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1335" yWindow="2385" windowWidth="16620" windowHeight="8130" firstSheet="5" activeTab="5"/>
  </bookViews>
  <sheets>
    <sheet name="DB_LOAD" sheetId="15" state="hidden" r:id="rId1"/>
    <sheet name="Config" sheetId="28" state="hidden" r:id="rId2"/>
    <sheet name="AGGREGATED_DATA" sheetId="27" state="hidden" r:id="rId3"/>
    <sheet name="DATA_FORMATTING" sheetId="10" state="hidden" r:id="rId4"/>
    <sheet name="_config" sheetId="31" state="hidden" r:id="rId5"/>
    <sheet name="MFI Home" sheetId="25" r:id="rId6"/>
    <sheet name="Ratios &amp; Trend Analysis" sheetId="11" r:id="rId7"/>
    <sheet name="Balance Sheet" sheetId="16" r:id="rId8"/>
    <sheet name="Income Statement" sheetId="24" r:id="rId9"/>
    <sheet name="Portfolio Quality" sheetId="18" r:id="rId10"/>
    <sheet name="Organizational Data" sheetId="19" r:id="rId11"/>
    <sheet name="Risk Assessment" sheetId="23" r:id="rId12"/>
    <sheet name="Refi-Annual Review" sheetId="9" state="hidden" r:id="rId13"/>
    <sheet name="Equity Monitoring Report" sheetId="30" r:id="rId14"/>
  </sheets>
  <definedNames>
    <definedName name="_xlnm._FilterDatabase" localSheetId="0" hidden="1">DB_LOAD!$B$2:$G$5000</definedName>
    <definedName name="BS">'Balance Sheet'!$H$9:$AQ$35</definedName>
    <definedName name="BS_PERIOD_START">'Balance Sheet'!$D$9</definedName>
    <definedName name="BS_PERIODS">'Balance Sheet'!$H$9:$AQ$9</definedName>
    <definedName name="config.id">1</definedName>
    <definedName name="data.amortization_history">DB_LOAD!$B$2:$G$13</definedName>
    <definedName name="data.commentary">DB_LOAD!$I$2:$J$6</definedName>
    <definedName name="data.country_deals">DB_LOAD!$L$2:$T$12</definedName>
    <definedName name="data.covenants">DB_LOAD!$V$2:$Y$5</definedName>
    <definedName name="data.historical_FX">DB_LOAD!$AA$2:$AD$116</definedName>
    <definedName name="data.monthly_financials">DB_LOAD!$AF$2:$AK$29979</definedName>
    <definedName name="data.other_ratings">DB_LOAD!$AM$2:$AO$2</definedName>
    <definedName name="data.portfolio_transactions">DB_LOAD!$AQ$2:$AY$5</definedName>
    <definedName name="data.ratings">DB_LOAD!$BA$2:$BC$7</definedName>
    <definedName name="data.social">DB_LOAD!$BE$2:$BJ$2</definedName>
    <definedName name="FX_1">'Balance Sheet'!M$39:AV$45</definedName>
    <definedName name="input.17.dateRange">AGGREGATED_DATA!$C$5:$AL$5</definedName>
    <definedName name="input.17.fieldRange">AGGREGATED_DATA!$B$6:$B$52</definedName>
    <definedName name="IS" localSheetId="8">'Income Statement'!$H$6:$AQ$35</definedName>
    <definedName name="IS_PERIOD_START" localSheetId="8">'Income Statement'!$D$6</definedName>
    <definedName name="IS_PERIODS" localSheetId="8">'Income Statement'!$H$6:$AQ$6</definedName>
    <definedName name="mapping.amortization_history.Fund">DB_LOAD!$C$1</definedName>
    <definedName name="mapping.amortization_history.lookup_key">DB_LOAD!$B$1</definedName>
    <definedName name="mapping.commentary.comment_date">DB_LOAD!$I$1</definedName>
    <definedName name="mapping.commentary.comments">DB_LOAD!$J$1</definedName>
    <definedName name="mapping.country_deals.country_name">DB_LOAD!$O$1</definedName>
    <definedName name="mapping.country_deals.currency_code">DB_LOAD!$R$1</definedName>
    <definedName name="mapping.country_deals.deal_type_id">DB_LOAD!$S$1</definedName>
    <definedName name="mapping.country_deals.fund_name">DB_LOAD!$L$1</definedName>
    <definedName name="mapping.country_deals.mfi_id">DB_LOAD!$N$1</definedName>
    <definedName name="mapping.country_deals.mfi_name">DB_LOAD!$M$1</definedName>
    <definedName name="mapping.country_deals.sumt">DB_LOAD!$P$1</definedName>
    <definedName name="mapping.country_deals.sumt_fx">DB_LOAD!$Q$1</definedName>
    <definedName name="mapping.covenants.covenant_type">DB_LOAD!$V$1</definedName>
    <definedName name="mapping.covenants.covenant_value">DB_LOAD!$W$1</definedName>
    <definedName name="mapping.covenants.end_date">DB_LOAD!$Y$1</definedName>
    <definedName name="mapping.covenants.start_date">DB_LOAD!$X$1</definedName>
    <definedName name="mapping.historical_FX.conversion_currency_code">DB_LOAD!$AB$1</definedName>
    <definedName name="mapping.historical_FX.fx_date">DB_LOAD!$AD$1</definedName>
    <definedName name="mapping.historical_FX.fx_value">DB_LOAD!$AC$1</definedName>
    <definedName name="mapping.historical_FX.month_year">DB_LOAD!$AA$1</definedName>
    <definedName name="mapping.monthly_financials.field_label_english">DB_LOAD!$AH$1</definedName>
    <definedName name="mapping.monthly_financials.field_set_date">DB_LOAD!$AJ$1</definedName>
    <definedName name="mapping.monthly_financials.field_value">DB_LOAD!$AK$1</definedName>
    <definedName name="mapping.monthly_financials.is_audited">DB_LOAD!$AI$1</definedName>
    <definedName name="mapping.monthly_financials.mapping">DB_LOAD!$AF$1</definedName>
    <definedName name="mapping.monthly_financials.sheet_name">DB_LOAD!$AG$1</definedName>
    <definedName name="mapping.other_ratings.rating_date">DB_LOAD!$AN$1</definedName>
    <definedName name="mapping.other_ratings.rating_type">DB_LOAD!$AM$1</definedName>
    <definedName name="mapping.other_ratings.rating_value">DB_LOAD!$AO$1</definedName>
    <definedName name="mapping.portfolio_transactions.deal_date">DB_LOAD!$AV$1</definedName>
    <definedName name="mapping.portfolio_transactions.fund_name">DB_LOAD!$AQ$1</definedName>
    <definedName name="mapping.portfolio_transactions.sum_of_deals_fx_at_latest">DB_LOAD!$AT$1</definedName>
    <definedName name="mapping.portfolio_transactions.sum_of_deals_fx_at_trans_date">DB_LOAD!$AS$1</definedName>
    <definedName name="mapping.portfolio_transactions.sum_of_deals_OC">DB_LOAD!$AR$1</definedName>
    <definedName name="mapping.ratings.rating_date">DB_LOAD!$BA$1</definedName>
    <definedName name="mapping.ratings.rating_label_long">DB_LOAD!$BC$1</definedName>
    <definedName name="mapping.ratings.rating_label_short">DB_LOAD!$BB$1</definedName>
    <definedName name="mapping.social.field_id">DB_LOAD!$BH$1</definedName>
    <definedName name="mapping.social.field_name">DB_LOAD!$BG$1</definedName>
    <definedName name="mapping.social.field_value">DB_LOAD!$BI$1</definedName>
    <definedName name="mapping.social.mfi_id">DB_LOAD!$BF$1</definedName>
    <definedName name="mapping.social.mfi_name">DB_LOAD!$BE$1</definedName>
    <definedName name="mapping.social.questionnaire_year">DB_LOAD!$BJ$1</definedName>
    <definedName name="OD">'Organizational Data'!$D$6:$AM$13</definedName>
    <definedName name="PQ">'Portfolio Quality'!$C$6:$AY$19</definedName>
    <definedName name="_xlnm.Print_Area" localSheetId="13">'Equity Monitoring Report'!$A$1:$AC$59</definedName>
    <definedName name="pull.32jk.range">'Balance Sheet'!$E$5</definedName>
    <definedName name="pull.last_reported.2">'Income Statement'!$D$6</definedName>
    <definedName name="pull.last_reported.range">'Balance Sheet'!$D$9</definedName>
    <definedName name="pull.last_reported_prior.2">'Income Statement'!$E$6</definedName>
    <definedName name="pull.last_reported_prior.range">'Balance Sheet'!$E$9</definedName>
    <definedName name="push.32jk">'Balance Sheet'!$A$10</definedName>
    <definedName name="push.last_reported">DATA_FORMATTING!$B$2</definedName>
    <definedName name="push.last_reported_prior">DATA_FORMATTING!$C$2</definedName>
  </definedNames>
  <calcPr calcId="145621"/>
</workbook>
</file>

<file path=xl/calcChain.xml><?xml version="1.0" encoding="utf-8"?>
<calcChain xmlns="http://schemas.openxmlformats.org/spreadsheetml/2006/main">
  <c r="B20" i="28" l="1"/>
  <c r="B19" i="28"/>
  <c r="B18" i="28"/>
  <c r="B17" i="28"/>
  <c r="B16" i="28"/>
  <c r="B15" i="28"/>
  <c r="B14" i="28"/>
  <c r="B13" i="28"/>
  <c r="B12" i="28"/>
  <c r="B11" i="28"/>
  <c r="B10" i="28"/>
  <c r="B2" i="25" s="1"/>
  <c r="C2" i="16" l="1"/>
  <c r="H20000" i="15"/>
  <c r="B20000" i="15"/>
  <c r="H19999" i="15"/>
  <c r="B19999" i="15"/>
  <c r="H19998" i="15"/>
  <c r="B19998" i="15"/>
  <c r="H19997" i="15"/>
  <c r="B19997" i="15"/>
  <c r="H19996" i="15"/>
  <c r="B19996" i="15"/>
  <c r="H19995" i="15"/>
  <c r="B19995" i="15"/>
  <c r="H19994" i="15"/>
  <c r="B19994" i="15"/>
  <c r="H19993" i="15"/>
  <c r="B19993" i="15"/>
  <c r="H19992" i="15"/>
  <c r="B19992" i="15"/>
  <c r="H19991" i="15"/>
  <c r="B19991" i="15"/>
  <c r="H19990" i="15"/>
  <c r="B19990" i="15"/>
  <c r="H19989" i="15"/>
  <c r="B19989" i="15"/>
  <c r="H19988" i="15"/>
  <c r="B19988" i="15"/>
  <c r="H19987" i="15"/>
  <c r="B19987" i="15"/>
  <c r="H19986" i="15"/>
  <c r="B19986" i="15"/>
  <c r="H19985" i="15"/>
  <c r="B19985" i="15"/>
  <c r="H19984" i="15"/>
  <c r="B19984" i="15"/>
  <c r="H19983" i="15"/>
  <c r="B19983" i="15"/>
  <c r="H19982" i="15"/>
  <c r="B19982" i="15"/>
  <c r="H19981" i="15"/>
  <c r="B19981" i="15"/>
  <c r="H19980" i="15"/>
  <c r="B19980" i="15"/>
  <c r="H19979" i="15"/>
  <c r="B19979" i="15"/>
  <c r="H19978" i="15"/>
  <c r="B19978" i="15"/>
  <c r="H19977" i="15"/>
  <c r="B19977" i="15"/>
  <c r="H19976" i="15"/>
  <c r="B19976" i="15"/>
  <c r="H19975" i="15"/>
  <c r="B19975" i="15"/>
  <c r="H19974" i="15"/>
  <c r="B19974" i="15"/>
  <c r="H19973" i="15"/>
  <c r="B19973" i="15"/>
  <c r="H19972" i="15"/>
  <c r="B19972" i="15"/>
  <c r="H19971" i="15"/>
  <c r="B19971" i="15"/>
  <c r="H19970" i="15"/>
  <c r="B19970" i="15"/>
  <c r="H19969" i="15"/>
  <c r="B19969" i="15"/>
  <c r="H19968" i="15"/>
  <c r="B19968" i="15"/>
  <c r="H19967" i="15"/>
  <c r="B19967" i="15"/>
  <c r="H19966" i="15"/>
  <c r="B19966" i="15"/>
  <c r="H19965" i="15"/>
  <c r="B19965" i="15"/>
  <c r="H19964" i="15"/>
  <c r="B19964" i="15"/>
  <c r="H19963" i="15"/>
  <c r="B19963" i="15"/>
  <c r="H19962" i="15"/>
  <c r="B19962" i="15"/>
  <c r="H19961" i="15"/>
  <c r="B19961" i="15"/>
  <c r="H19960" i="15"/>
  <c r="B19960" i="15"/>
  <c r="H19959" i="15"/>
  <c r="B19959" i="15"/>
  <c r="H19958" i="15"/>
  <c r="B19958" i="15"/>
  <c r="H19957" i="15"/>
  <c r="B19957" i="15"/>
  <c r="H19956" i="15"/>
  <c r="B19956" i="15"/>
  <c r="H19955" i="15"/>
  <c r="B19955" i="15"/>
  <c r="H19954" i="15"/>
  <c r="B19954" i="15"/>
  <c r="H19953" i="15"/>
  <c r="B19953" i="15"/>
  <c r="H19952" i="15"/>
  <c r="B19952" i="15"/>
  <c r="H19951" i="15"/>
  <c r="B19951" i="15"/>
  <c r="H19950" i="15"/>
  <c r="B19950" i="15"/>
  <c r="H19949" i="15"/>
  <c r="B19949" i="15"/>
  <c r="H19948" i="15"/>
  <c r="B19948" i="15"/>
  <c r="H19947" i="15"/>
  <c r="B19947" i="15"/>
  <c r="H19946" i="15"/>
  <c r="B19946" i="15"/>
  <c r="H19945" i="15"/>
  <c r="B19945" i="15"/>
  <c r="H19944" i="15"/>
  <c r="B19944" i="15"/>
  <c r="H19943" i="15"/>
  <c r="B19943" i="15"/>
  <c r="H19942" i="15"/>
  <c r="B19942" i="15"/>
  <c r="H19941" i="15"/>
  <c r="B19941" i="15"/>
  <c r="H19940" i="15"/>
  <c r="B19940" i="15"/>
  <c r="H19939" i="15"/>
  <c r="B19939" i="15"/>
  <c r="H19938" i="15"/>
  <c r="B19938" i="15"/>
  <c r="H19937" i="15"/>
  <c r="B19937" i="15"/>
  <c r="H19936" i="15"/>
  <c r="B19936" i="15"/>
  <c r="H19935" i="15"/>
  <c r="B19935" i="15"/>
  <c r="H19934" i="15"/>
  <c r="B19934" i="15"/>
  <c r="H19933" i="15"/>
  <c r="B19933" i="15"/>
  <c r="H19932" i="15"/>
  <c r="B19932" i="15"/>
  <c r="H19931" i="15"/>
  <c r="B19931" i="15"/>
  <c r="H19930" i="15"/>
  <c r="B19930" i="15"/>
  <c r="H19929" i="15"/>
  <c r="B19929" i="15"/>
  <c r="H19928" i="15"/>
  <c r="B19928" i="15"/>
  <c r="H19927" i="15"/>
  <c r="B19927" i="15"/>
  <c r="H19926" i="15"/>
  <c r="B19926" i="15"/>
  <c r="H19925" i="15"/>
  <c r="B19925" i="15"/>
  <c r="H19924" i="15"/>
  <c r="B19924" i="15"/>
  <c r="H19923" i="15"/>
  <c r="B19923" i="15"/>
  <c r="H19922" i="15"/>
  <c r="B19922" i="15"/>
  <c r="H19921" i="15"/>
  <c r="B19921" i="15"/>
  <c r="H19920" i="15"/>
  <c r="B19920" i="15"/>
  <c r="H19919" i="15"/>
  <c r="B19919" i="15"/>
  <c r="H19918" i="15"/>
  <c r="B19918" i="15"/>
  <c r="H19917" i="15"/>
  <c r="B19917" i="15"/>
  <c r="H19916" i="15"/>
  <c r="B19916" i="15"/>
  <c r="H19915" i="15"/>
  <c r="B19915" i="15"/>
  <c r="H19914" i="15"/>
  <c r="B19914" i="15"/>
  <c r="H19913" i="15"/>
  <c r="B19913" i="15"/>
  <c r="H19912" i="15"/>
  <c r="B19912" i="15"/>
  <c r="H19911" i="15"/>
  <c r="B19911" i="15"/>
  <c r="H19910" i="15"/>
  <c r="B19910" i="15"/>
  <c r="H19909" i="15"/>
  <c r="B19909" i="15"/>
  <c r="H19908" i="15"/>
  <c r="B19908" i="15"/>
  <c r="H19907" i="15"/>
  <c r="B19907" i="15"/>
  <c r="H19906" i="15"/>
  <c r="B19906" i="15"/>
  <c r="H19905" i="15"/>
  <c r="B19905" i="15"/>
  <c r="H19904" i="15"/>
  <c r="B19904" i="15"/>
  <c r="H19903" i="15"/>
  <c r="B19903" i="15"/>
  <c r="H19902" i="15"/>
  <c r="B19902" i="15"/>
  <c r="H19901" i="15"/>
  <c r="B19901" i="15"/>
  <c r="H19900" i="15"/>
  <c r="B19900" i="15"/>
  <c r="H19899" i="15"/>
  <c r="B19899" i="15"/>
  <c r="H19898" i="15"/>
  <c r="B19898" i="15"/>
  <c r="H19897" i="15"/>
  <c r="B19897" i="15"/>
  <c r="H19896" i="15"/>
  <c r="B19896" i="15"/>
  <c r="H19895" i="15"/>
  <c r="B19895" i="15"/>
  <c r="H19894" i="15"/>
  <c r="B19894" i="15"/>
  <c r="H19893" i="15"/>
  <c r="B19893" i="15"/>
  <c r="H19892" i="15"/>
  <c r="B19892" i="15"/>
  <c r="H19891" i="15"/>
  <c r="B19891" i="15"/>
  <c r="H19890" i="15"/>
  <c r="B19890" i="15"/>
  <c r="H19889" i="15"/>
  <c r="B19889" i="15"/>
  <c r="H19888" i="15"/>
  <c r="B19888" i="15"/>
  <c r="H19887" i="15"/>
  <c r="B19887" i="15"/>
  <c r="H19886" i="15"/>
  <c r="B19886" i="15"/>
  <c r="H19885" i="15"/>
  <c r="B19885" i="15"/>
  <c r="H19884" i="15"/>
  <c r="B19884" i="15"/>
  <c r="H19883" i="15"/>
  <c r="B19883" i="15"/>
  <c r="H19882" i="15"/>
  <c r="B19882" i="15"/>
  <c r="H19881" i="15"/>
  <c r="B19881" i="15"/>
  <c r="H19880" i="15"/>
  <c r="B19880" i="15"/>
  <c r="H19879" i="15"/>
  <c r="B19879" i="15"/>
  <c r="H19878" i="15"/>
  <c r="B19878" i="15"/>
  <c r="H19877" i="15"/>
  <c r="B19877" i="15"/>
  <c r="H19876" i="15"/>
  <c r="B19876" i="15"/>
  <c r="H19875" i="15"/>
  <c r="B19875" i="15"/>
  <c r="H19874" i="15"/>
  <c r="B19874" i="15"/>
  <c r="H19873" i="15"/>
  <c r="B19873" i="15"/>
  <c r="H19872" i="15"/>
  <c r="B19872" i="15"/>
  <c r="H19871" i="15"/>
  <c r="B19871" i="15"/>
  <c r="H19870" i="15"/>
  <c r="B19870" i="15"/>
  <c r="H19869" i="15"/>
  <c r="B19869" i="15"/>
  <c r="H19868" i="15"/>
  <c r="B19868" i="15"/>
  <c r="H19867" i="15"/>
  <c r="B19867" i="15"/>
  <c r="H19866" i="15"/>
  <c r="B19866" i="15"/>
  <c r="H19865" i="15"/>
  <c r="B19865" i="15"/>
  <c r="H19864" i="15"/>
  <c r="B19864" i="15"/>
  <c r="H19863" i="15"/>
  <c r="B19863" i="15"/>
  <c r="H19862" i="15"/>
  <c r="B19862" i="15"/>
  <c r="H19861" i="15"/>
  <c r="B19861" i="15"/>
  <c r="H19860" i="15"/>
  <c r="B19860" i="15"/>
  <c r="H19859" i="15"/>
  <c r="B19859" i="15"/>
  <c r="H19858" i="15"/>
  <c r="B19858" i="15"/>
  <c r="H19857" i="15"/>
  <c r="B19857" i="15"/>
  <c r="H19856" i="15"/>
  <c r="B19856" i="15"/>
  <c r="H19855" i="15"/>
  <c r="B19855" i="15"/>
  <c r="H19854" i="15"/>
  <c r="B19854" i="15"/>
  <c r="H19853" i="15"/>
  <c r="B19853" i="15"/>
  <c r="H19852" i="15"/>
  <c r="B19852" i="15"/>
  <c r="H19851" i="15"/>
  <c r="B19851" i="15"/>
  <c r="H19850" i="15"/>
  <c r="B19850" i="15"/>
  <c r="H19849" i="15"/>
  <c r="B19849" i="15"/>
  <c r="H19848" i="15"/>
  <c r="B19848" i="15"/>
  <c r="H19847" i="15"/>
  <c r="B19847" i="15"/>
  <c r="H19846" i="15"/>
  <c r="B19846" i="15"/>
  <c r="H19845" i="15"/>
  <c r="B19845" i="15"/>
  <c r="H19844" i="15"/>
  <c r="B19844" i="15"/>
  <c r="H19843" i="15"/>
  <c r="B19843" i="15"/>
  <c r="H19842" i="15"/>
  <c r="B19842" i="15"/>
  <c r="H19841" i="15"/>
  <c r="B19841" i="15"/>
  <c r="H19840" i="15"/>
  <c r="B19840" i="15"/>
  <c r="H19839" i="15"/>
  <c r="B19839" i="15"/>
  <c r="H19838" i="15"/>
  <c r="B19838" i="15"/>
  <c r="H19837" i="15"/>
  <c r="B19837" i="15"/>
  <c r="H19836" i="15"/>
  <c r="B19836" i="15"/>
  <c r="H19835" i="15"/>
  <c r="B19835" i="15"/>
  <c r="H19834" i="15"/>
  <c r="B19834" i="15"/>
  <c r="H19833" i="15"/>
  <c r="B19833" i="15"/>
  <c r="H19832" i="15"/>
  <c r="B19832" i="15"/>
  <c r="H19831" i="15"/>
  <c r="B19831" i="15"/>
  <c r="H19830" i="15"/>
  <c r="B19830" i="15"/>
  <c r="H19829" i="15"/>
  <c r="B19829" i="15"/>
  <c r="H19828" i="15"/>
  <c r="B19828" i="15"/>
  <c r="H19827" i="15"/>
  <c r="B19827" i="15"/>
  <c r="H19826" i="15"/>
  <c r="B19826" i="15"/>
  <c r="H19825" i="15"/>
  <c r="B19825" i="15"/>
  <c r="H19824" i="15"/>
  <c r="B19824" i="15"/>
  <c r="H19823" i="15"/>
  <c r="B19823" i="15"/>
  <c r="H19822" i="15"/>
  <c r="B19822" i="15"/>
  <c r="H19821" i="15"/>
  <c r="B19821" i="15"/>
  <c r="H19820" i="15"/>
  <c r="B19820" i="15"/>
  <c r="H19819" i="15"/>
  <c r="B19819" i="15"/>
  <c r="H19818" i="15"/>
  <c r="B19818" i="15"/>
  <c r="H19817" i="15"/>
  <c r="B19817" i="15"/>
  <c r="H19816" i="15"/>
  <c r="B19816" i="15"/>
  <c r="H19815" i="15"/>
  <c r="B19815" i="15"/>
  <c r="H19814" i="15"/>
  <c r="B19814" i="15"/>
  <c r="H19813" i="15"/>
  <c r="B19813" i="15"/>
  <c r="H19812" i="15"/>
  <c r="B19812" i="15"/>
  <c r="H19811" i="15"/>
  <c r="B19811" i="15"/>
  <c r="H19810" i="15"/>
  <c r="B19810" i="15"/>
  <c r="H19809" i="15"/>
  <c r="B19809" i="15"/>
  <c r="H19808" i="15"/>
  <c r="B19808" i="15"/>
  <c r="H19807" i="15"/>
  <c r="B19807" i="15"/>
  <c r="H19806" i="15"/>
  <c r="B19806" i="15"/>
  <c r="H19805" i="15"/>
  <c r="B19805" i="15"/>
  <c r="H19804" i="15"/>
  <c r="B19804" i="15"/>
  <c r="H19803" i="15"/>
  <c r="B19803" i="15"/>
  <c r="H19802" i="15"/>
  <c r="B19802" i="15"/>
  <c r="H19801" i="15"/>
  <c r="B19801" i="15"/>
  <c r="H19800" i="15"/>
  <c r="B19800" i="15"/>
  <c r="H19799" i="15"/>
  <c r="B19799" i="15"/>
  <c r="H19798" i="15"/>
  <c r="B19798" i="15"/>
  <c r="H19797" i="15"/>
  <c r="B19797" i="15"/>
  <c r="H19796" i="15"/>
  <c r="B19796" i="15"/>
  <c r="H19795" i="15"/>
  <c r="B19795" i="15"/>
  <c r="H19794" i="15"/>
  <c r="B19794" i="15"/>
  <c r="H19793" i="15"/>
  <c r="B19793" i="15"/>
  <c r="H19792" i="15"/>
  <c r="B19792" i="15"/>
  <c r="H19791" i="15"/>
  <c r="B19791" i="15"/>
  <c r="H19790" i="15"/>
  <c r="B19790" i="15"/>
  <c r="H19789" i="15"/>
  <c r="B19789" i="15"/>
  <c r="H19788" i="15"/>
  <c r="B19788" i="15"/>
  <c r="H19787" i="15"/>
  <c r="B19787" i="15"/>
  <c r="H19786" i="15"/>
  <c r="B19786" i="15"/>
  <c r="H19785" i="15"/>
  <c r="B19785" i="15"/>
  <c r="H19784" i="15"/>
  <c r="B19784" i="15"/>
  <c r="H19783" i="15"/>
  <c r="B19783" i="15"/>
  <c r="H19782" i="15"/>
  <c r="B19782" i="15"/>
  <c r="H19781" i="15"/>
  <c r="B19781" i="15"/>
  <c r="H19780" i="15"/>
  <c r="B19780" i="15"/>
  <c r="H19779" i="15"/>
  <c r="B19779" i="15"/>
  <c r="H19778" i="15"/>
  <c r="B19778" i="15"/>
  <c r="H19777" i="15"/>
  <c r="B19777" i="15"/>
  <c r="H19776" i="15"/>
  <c r="B19776" i="15"/>
  <c r="H19775" i="15"/>
  <c r="B19775" i="15"/>
  <c r="H19774" i="15"/>
  <c r="B19774" i="15"/>
  <c r="H19773" i="15"/>
  <c r="B19773" i="15"/>
  <c r="H19772" i="15"/>
  <c r="B19772" i="15"/>
  <c r="H19771" i="15"/>
  <c r="B19771" i="15"/>
  <c r="H19770" i="15"/>
  <c r="B19770" i="15"/>
  <c r="H19769" i="15"/>
  <c r="B19769" i="15"/>
  <c r="H19768" i="15"/>
  <c r="B19768" i="15"/>
  <c r="H19767" i="15"/>
  <c r="B19767" i="15"/>
  <c r="H19766" i="15"/>
  <c r="B19766" i="15"/>
  <c r="H19765" i="15"/>
  <c r="B19765" i="15"/>
  <c r="H19764" i="15"/>
  <c r="B19764" i="15"/>
  <c r="H19763" i="15"/>
  <c r="B19763" i="15"/>
  <c r="H19762" i="15"/>
  <c r="B19762" i="15"/>
  <c r="H19761" i="15"/>
  <c r="B19761" i="15"/>
  <c r="H19760" i="15"/>
  <c r="B19760" i="15"/>
  <c r="H19759" i="15"/>
  <c r="B19759" i="15"/>
  <c r="H19758" i="15"/>
  <c r="B19758" i="15"/>
  <c r="H19757" i="15"/>
  <c r="B19757" i="15"/>
  <c r="H19756" i="15"/>
  <c r="B19756" i="15"/>
  <c r="H19755" i="15"/>
  <c r="B19755" i="15"/>
  <c r="H19754" i="15"/>
  <c r="B19754" i="15"/>
  <c r="H19753" i="15"/>
  <c r="B19753" i="15"/>
  <c r="H19752" i="15"/>
  <c r="B19752" i="15"/>
  <c r="H19751" i="15"/>
  <c r="B19751" i="15"/>
  <c r="H19750" i="15"/>
  <c r="B19750" i="15"/>
  <c r="H19749" i="15"/>
  <c r="B19749" i="15"/>
  <c r="H19748" i="15"/>
  <c r="B19748" i="15"/>
  <c r="H19747" i="15"/>
  <c r="B19747" i="15"/>
  <c r="H19746" i="15"/>
  <c r="B19746" i="15"/>
  <c r="H19745" i="15"/>
  <c r="B19745" i="15"/>
  <c r="H19744" i="15"/>
  <c r="B19744" i="15"/>
  <c r="H19743" i="15"/>
  <c r="B19743" i="15"/>
  <c r="H19742" i="15"/>
  <c r="B19742" i="15"/>
  <c r="H19741" i="15"/>
  <c r="B19741" i="15"/>
  <c r="H19740" i="15"/>
  <c r="B19740" i="15"/>
  <c r="H19739" i="15"/>
  <c r="B19739" i="15"/>
  <c r="H19738" i="15"/>
  <c r="B19738" i="15"/>
  <c r="H19737" i="15"/>
  <c r="B19737" i="15"/>
  <c r="H19736" i="15"/>
  <c r="B19736" i="15"/>
  <c r="H19735" i="15"/>
  <c r="B19735" i="15"/>
  <c r="H19734" i="15"/>
  <c r="B19734" i="15"/>
  <c r="H19733" i="15"/>
  <c r="B19733" i="15"/>
  <c r="H19732" i="15"/>
  <c r="B19732" i="15"/>
  <c r="H19731" i="15"/>
  <c r="B19731" i="15"/>
  <c r="H19730" i="15"/>
  <c r="B19730" i="15"/>
  <c r="H19729" i="15"/>
  <c r="B19729" i="15"/>
  <c r="H19728" i="15"/>
  <c r="B19728" i="15"/>
  <c r="H19727" i="15"/>
  <c r="B19727" i="15"/>
  <c r="H19726" i="15"/>
  <c r="B19726" i="15"/>
  <c r="H19725" i="15"/>
  <c r="B19725" i="15"/>
  <c r="H19724" i="15"/>
  <c r="B19724" i="15"/>
  <c r="H19723" i="15"/>
  <c r="B19723" i="15"/>
  <c r="H19722" i="15"/>
  <c r="B19722" i="15"/>
  <c r="H19721" i="15"/>
  <c r="B19721" i="15"/>
  <c r="H19720" i="15"/>
  <c r="B19720" i="15"/>
  <c r="H19719" i="15"/>
  <c r="B19719" i="15"/>
  <c r="H19718" i="15"/>
  <c r="B19718" i="15"/>
  <c r="H19717" i="15"/>
  <c r="B19717" i="15"/>
  <c r="H19716" i="15"/>
  <c r="B19716" i="15"/>
  <c r="H19715" i="15"/>
  <c r="B19715" i="15"/>
  <c r="H19714" i="15"/>
  <c r="B19714" i="15"/>
  <c r="H19713" i="15"/>
  <c r="B19713" i="15"/>
  <c r="H19712" i="15"/>
  <c r="B19712" i="15"/>
  <c r="H19711" i="15"/>
  <c r="B19711" i="15"/>
  <c r="H19710" i="15"/>
  <c r="B19710" i="15"/>
  <c r="H19709" i="15"/>
  <c r="B19709" i="15"/>
  <c r="H19708" i="15"/>
  <c r="B19708" i="15"/>
  <c r="H19707" i="15"/>
  <c r="B19707" i="15"/>
  <c r="H19706" i="15"/>
  <c r="B19706" i="15"/>
  <c r="H19705" i="15"/>
  <c r="B19705" i="15"/>
  <c r="H19704" i="15"/>
  <c r="B19704" i="15"/>
  <c r="H19703" i="15"/>
  <c r="B19703" i="15"/>
  <c r="H19702" i="15"/>
  <c r="B19702" i="15"/>
  <c r="H19701" i="15"/>
  <c r="B19701" i="15"/>
  <c r="H19700" i="15"/>
  <c r="B19700" i="15"/>
  <c r="H19699" i="15"/>
  <c r="B19699" i="15"/>
  <c r="H19698" i="15"/>
  <c r="B19698" i="15"/>
  <c r="H19697" i="15"/>
  <c r="B19697" i="15"/>
  <c r="H19696" i="15"/>
  <c r="B19696" i="15"/>
  <c r="H19695" i="15"/>
  <c r="B19695" i="15"/>
  <c r="H19694" i="15"/>
  <c r="B19694" i="15"/>
  <c r="H19693" i="15"/>
  <c r="B19693" i="15"/>
  <c r="H19692" i="15"/>
  <c r="B19692" i="15"/>
  <c r="H19691" i="15"/>
  <c r="B19691" i="15"/>
  <c r="H19690" i="15"/>
  <c r="B19690" i="15"/>
  <c r="H19689" i="15"/>
  <c r="B19689" i="15"/>
  <c r="H19688" i="15"/>
  <c r="B19688" i="15"/>
  <c r="H19687" i="15"/>
  <c r="B19687" i="15"/>
  <c r="H19686" i="15"/>
  <c r="B19686" i="15"/>
  <c r="H19685" i="15"/>
  <c r="B19685" i="15"/>
  <c r="H19684" i="15"/>
  <c r="B19684" i="15"/>
  <c r="H19683" i="15"/>
  <c r="B19683" i="15"/>
  <c r="H19682" i="15"/>
  <c r="B19682" i="15"/>
  <c r="H19681" i="15"/>
  <c r="B19681" i="15"/>
  <c r="H19680" i="15"/>
  <c r="B19680" i="15"/>
  <c r="H19679" i="15"/>
  <c r="B19679" i="15"/>
  <c r="H19678" i="15"/>
  <c r="B19678" i="15"/>
  <c r="H19677" i="15"/>
  <c r="B19677" i="15"/>
  <c r="H19676" i="15"/>
  <c r="B19676" i="15"/>
  <c r="H19675" i="15"/>
  <c r="B19675" i="15"/>
  <c r="H19674" i="15"/>
  <c r="B19674" i="15"/>
  <c r="H19673" i="15"/>
  <c r="B19673" i="15"/>
  <c r="H19672" i="15"/>
  <c r="B19672" i="15"/>
  <c r="H19671" i="15"/>
  <c r="B19671" i="15"/>
  <c r="H19670" i="15"/>
  <c r="B19670" i="15"/>
  <c r="H19669" i="15"/>
  <c r="B19669" i="15"/>
  <c r="H19668" i="15"/>
  <c r="B19668" i="15"/>
  <c r="H19667" i="15"/>
  <c r="B19667" i="15"/>
  <c r="H19666" i="15"/>
  <c r="B19666" i="15"/>
  <c r="H19665" i="15"/>
  <c r="B19665" i="15"/>
  <c r="H19664" i="15"/>
  <c r="B19664" i="15"/>
  <c r="H19663" i="15"/>
  <c r="B19663" i="15"/>
  <c r="H19662" i="15"/>
  <c r="B19662" i="15"/>
  <c r="H19661" i="15"/>
  <c r="B19661" i="15"/>
  <c r="H19660" i="15"/>
  <c r="B19660" i="15"/>
  <c r="H19659" i="15"/>
  <c r="B19659" i="15"/>
  <c r="H19658" i="15"/>
  <c r="B19658" i="15"/>
  <c r="H19657" i="15"/>
  <c r="B19657" i="15"/>
  <c r="H19656" i="15"/>
  <c r="B19656" i="15"/>
  <c r="H19655" i="15"/>
  <c r="B19655" i="15"/>
  <c r="H19654" i="15"/>
  <c r="B19654" i="15"/>
  <c r="H19653" i="15"/>
  <c r="B19653" i="15"/>
  <c r="H19652" i="15"/>
  <c r="B19652" i="15"/>
  <c r="H19651" i="15"/>
  <c r="B19651" i="15"/>
  <c r="H19650" i="15"/>
  <c r="B19650" i="15"/>
  <c r="H19649" i="15"/>
  <c r="B19649" i="15"/>
  <c r="H19648" i="15"/>
  <c r="B19648" i="15"/>
  <c r="H19647" i="15"/>
  <c r="B19647" i="15"/>
  <c r="H19646" i="15"/>
  <c r="B19646" i="15"/>
  <c r="H19645" i="15"/>
  <c r="B19645" i="15"/>
  <c r="H19644" i="15"/>
  <c r="B19644" i="15"/>
  <c r="H19643" i="15"/>
  <c r="B19643" i="15"/>
  <c r="H19642" i="15"/>
  <c r="B19642" i="15"/>
  <c r="H19641" i="15"/>
  <c r="B19641" i="15"/>
  <c r="H19640" i="15"/>
  <c r="B19640" i="15"/>
  <c r="H19639" i="15"/>
  <c r="B19639" i="15"/>
  <c r="H19638" i="15"/>
  <c r="B19638" i="15"/>
  <c r="H19637" i="15"/>
  <c r="B19637" i="15"/>
  <c r="H19636" i="15"/>
  <c r="B19636" i="15"/>
  <c r="H19635" i="15"/>
  <c r="B19635" i="15"/>
  <c r="H19634" i="15"/>
  <c r="B19634" i="15"/>
  <c r="H19633" i="15"/>
  <c r="B19633" i="15"/>
  <c r="H19632" i="15"/>
  <c r="B19632" i="15"/>
  <c r="H19631" i="15"/>
  <c r="B19631" i="15"/>
  <c r="H19630" i="15"/>
  <c r="B19630" i="15"/>
  <c r="H19629" i="15"/>
  <c r="B19629" i="15"/>
  <c r="H19628" i="15"/>
  <c r="B19628" i="15"/>
  <c r="H19627" i="15"/>
  <c r="B19627" i="15"/>
  <c r="H19626" i="15"/>
  <c r="B19626" i="15"/>
  <c r="H19625" i="15"/>
  <c r="B19625" i="15"/>
  <c r="H19624" i="15"/>
  <c r="B19624" i="15"/>
  <c r="H19623" i="15"/>
  <c r="B19623" i="15"/>
  <c r="H19622" i="15"/>
  <c r="B19622" i="15"/>
  <c r="H19621" i="15"/>
  <c r="B19621" i="15"/>
  <c r="H19620" i="15"/>
  <c r="B19620" i="15"/>
  <c r="H19619" i="15"/>
  <c r="B19619" i="15"/>
  <c r="H19618" i="15"/>
  <c r="B19618" i="15"/>
  <c r="H19617" i="15"/>
  <c r="B19617" i="15"/>
  <c r="H19616" i="15"/>
  <c r="B19616" i="15"/>
  <c r="H19615" i="15"/>
  <c r="B19615" i="15"/>
  <c r="H19614" i="15"/>
  <c r="B19614" i="15"/>
  <c r="H19613" i="15"/>
  <c r="B19613" i="15"/>
  <c r="H19612" i="15"/>
  <c r="B19612" i="15"/>
  <c r="H19611" i="15"/>
  <c r="B19611" i="15"/>
  <c r="H19610" i="15"/>
  <c r="B19610" i="15"/>
  <c r="H19609" i="15"/>
  <c r="B19609" i="15"/>
  <c r="H19608" i="15"/>
  <c r="B19608" i="15"/>
  <c r="H19607" i="15"/>
  <c r="B19607" i="15"/>
  <c r="H19606" i="15"/>
  <c r="B19606" i="15"/>
  <c r="H19605" i="15"/>
  <c r="B19605" i="15"/>
  <c r="H19604" i="15"/>
  <c r="B19604" i="15"/>
  <c r="H19603" i="15"/>
  <c r="B19603" i="15"/>
  <c r="H19602" i="15"/>
  <c r="B19602" i="15"/>
  <c r="H19601" i="15"/>
  <c r="B19601" i="15"/>
  <c r="H19600" i="15"/>
  <c r="B19600" i="15"/>
  <c r="H19599" i="15"/>
  <c r="B19599" i="15"/>
  <c r="H19598" i="15"/>
  <c r="B19598" i="15"/>
  <c r="H19597" i="15"/>
  <c r="B19597" i="15"/>
  <c r="H19596" i="15"/>
  <c r="B19596" i="15"/>
  <c r="H19595" i="15"/>
  <c r="B19595" i="15"/>
  <c r="H19594" i="15"/>
  <c r="B19594" i="15"/>
  <c r="H19593" i="15"/>
  <c r="B19593" i="15"/>
  <c r="H19592" i="15"/>
  <c r="B19592" i="15"/>
  <c r="H19591" i="15"/>
  <c r="B19591" i="15"/>
  <c r="H19590" i="15"/>
  <c r="B19590" i="15"/>
  <c r="H19589" i="15"/>
  <c r="B19589" i="15"/>
  <c r="H19588" i="15"/>
  <c r="B19588" i="15"/>
  <c r="H19587" i="15"/>
  <c r="B19587" i="15"/>
  <c r="H19586" i="15"/>
  <c r="B19586" i="15"/>
  <c r="H19585" i="15"/>
  <c r="B19585" i="15"/>
  <c r="H19584" i="15"/>
  <c r="B19584" i="15"/>
  <c r="H19583" i="15"/>
  <c r="B19583" i="15"/>
  <c r="H19582" i="15"/>
  <c r="B19582" i="15"/>
  <c r="H19581" i="15"/>
  <c r="B19581" i="15"/>
  <c r="H19580" i="15"/>
  <c r="B19580" i="15"/>
  <c r="H19579" i="15"/>
  <c r="B19579" i="15"/>
  <c r="H19578" i="15"/>
  <c r="B19578" i="15"/>
  <c r="H19577" i="15"/>
  <c r="B19577" i="15"/>
  <c r="H19576" i="15"/>
  <c r="B19576" i="15"/>
  <c r="H19575" i="15"/>
  <c r="B19575" i="15"/>
  <c r="H19574" i="15"/>
  <c r="B19574" i="15"/>
  <c r="H19573" i="15"/>
  <c r="B19573" i="15"/>
  <c r="H19572" i="15"/>
  <c r="B19572" i="15"/>
  <c r="H19571" i="15"/>
  <c r="B19571" i="15"/>
  <c r="H19570" i="15"/>
  <c r="B19570" i="15"/>
  <c r="H19569" i="15"/>
  <c r="B19569" i="15"/>
  <c r="H19568" i="15"/>
  <c r="B19568" i="15"/>
  <c r="H19567" i="15"/>
  <c r="B19567" i="15"/>
  <c r="H19566" i="15"/>
  <c r="B19566" i="15"/>
  <c r="H19565" i="15"/>
  <c r="B19565" i="15"/>
  <c r="H19564" i="15"/>
  <c r="B19564" i="15"/>
  <c r="H19563" i="15"/>
  <c r="B19563" i="15"/>
  <c r="H19562" i="15"/>
  <c r="B19562" i="15"/>
  <c r="H19561" i="15"/>
  <c r="B19561" i="15"/>
  <c r="H19560" i="15"/>
  <c r="B19560" i="15"/>
  <c r="H19559" i="15"/>
  <c r="B19559" i="15"/>
  <c r="H19558" i="15"/>
  <c r="B19558" i="15"/>
  <c r="H19557" i="15"/>
  <c r="B19557" i="15"/>
  <c r="H19556" i="15"/>
  <c r="B19556" i="15"/>
  <c r="H19555" i="15"/>
  <c r="B19555" i="15"/>
  <c r="H19554" i="15"/>
  <c r="B19554" i="15"/>
  <c r="H19553" i="15"/>
  <c r="B19553" i="15"/>
  <c r="H19552" i="15"/>
  <c r="B19552" i="15"/>
  <c r="H19551" i="15"/>
  <c r="B19551" i="15"/>
  <c r="H19550" i="15"/>
  <c r="B19550" i="15"/>
  <c r="H19549" i="15"/>
  <c r="B19549" i="15"/>
  <c r="H19548" i="15"/>
  <c r="B19548" i="15"/>
  <c r="H19547" i="15"/>
  <c r="B19547" i="15"/>
  <c r="H19546" i="15"/>
  <c r="B19546" i="15"/>
  <c r="H19545" i="15"/>
  <c r="B19545" i="15"/>
  <c r="H19544" i="15"/>
  <c r="B19544" i="15"/>
  <c r="H19543" i="15"/>
  <c r="B19543" i="15"/>
  <c r="H19542" i="15"/>
  <c r="B19542" i="15"/>
  <c r="H19541" i="15"/>
  <c r="B19541" i="15"/>
  <c r="H19540" i="15"/>
  <c r="B19540" i="15"/>
  <c r="H19539" i="15"/>
  <c r="B19539" i="15"/>
  <c r="H19538" i="15"/>
  <c r="B19538" i="15"/>
  <c r="H19537" i="15"/>
  <c r="B19537" i="15"/>
  <c r="H19536" i="15"/>
  <c r="B19536" i="15"/>
  <c r="H19535" i="15"/>
  <c r="B19535" i="15"/>
  <c r="H19534" i="15"/>
  <c r="B19534" i="15"/>
  <c r="H19533" i="15"/>
  <c r="B19533" i="15"/>
  <c r="H19532" i="15"/>
  <c r="B19532" i="15"/>
  <c r="H19531" i="15"/>
  <c r="B19531" i="15"/>
  <c r="H19530" i="15"/>
  <c r="B19530" i="15"/>
  <c r="H19529" i="15"/>
  <c r="B19529" i="15"/>
  <c r="H19528" i="15"/>
  <c r="B19528" i="15"/>
  <c r="H19527" i="15"/>
  <c r="B19527" i="15"/>
  <c r="H19526" i="15"/>
  <c r="B19526" i="15"/>
  <c r="H19525" i="15"/>
  <c r="B19525" i="15"/>
  <c r="H19524" i="15"/>
  <c r="B19524" i="15"/>
  <c r="H19523" i="15"/>
  <c r="B19523" i="15"/>
  <c r="H19522" i="15"/>
  <c r="B19522" i="15"/>
  <c r="H19521" i="15"/>
  <c r="B19521" i="15"/>
  <c r="H19520" i="15"/>
  <c r="B19520" i="15"/>
  <c r="H19519" i="15"/>
  <c r="B19519" i="15"/>
  <c r="H19518" i="15"/>
  <c r="B19518" i="15"/>
  <c r="H19517" i="15"/>
  <c r="B19517" i="15"/>
  <c r="H19516" i="15"/>
  <c r="B19516" i="15"/>
  <c r="H19515" i="15"/>
  <c r="B19515" i="15"/>
  <c r="H19514" i="15"/>
  <c r="B19514" i="15"/>
  <c r="H19513" i="15"/>
  <c r="B19513" i="15"/>
  <c r="H19512" i="15"/>
  <c r="B19512" i="15"/>
  <c r="H19511" i="15"/>
  <c r="B19511" i="15"/>
  <c r="H19510" i="15"/>
  <c r="B19510" i="15"/>
  <c r="H19509" i="15"/>
  <c r="B19509" i="15"/>
  <c r="H19508" i="15"/>
  <c r="B19508" i="15"/>
  <c r="H19507" i="15"/>
  <c r="B19507" i="15"/>
  <c r="H19506" i="15"/>
  <c r="B19506" i="15"/>
  <c r="H19505" i="15"/>
  <c r="B19505" i="15"/>
  <c r="H19504" i="15"/>
  <c r="B19504" i="15"/>
  <c r="H19503" i="15"/>
  <c r="B19503" i="15"/>
  <c r="H19502" i="15"/>
  <c r="B19502" i="15"/>
  <c r="H19501" i="15"/>
  <c r="B19501" i="15"/>
  <c r="H19500" i="15"/>
  <c r="B19500" i="15"/>
  <c r="H19499" i="15"/>
  <c r="B19499" i="15"/>
  <c r="H19498" i="15"/>
  <c r="B19498" i="15"/>
  <c r="H19497" i="15"/>
  <c r="B19497" i="15"/>
  <c r="H19496" i="15"/>
  <c r="B19496" i="15"/>
  <c r="H19495" i="15"/>
  <c r="B19495" i="15"/>
  <c r="H19494" i="15"/>
  <c r="B19494" i="15"/>
  <c r="H19493" i="15"/>
  <c r="B19493" i="15"/>
  <c r="H19492" i="15"/>
  <c r="B19492" i="15"/>
  <c r="H19491" i="15"/>
  <c r="B19491" i="15"/>
  <c r="H19490" i="15"/>
  <c r="B19490" i="15"/>
  <c r="H19489" i="15"/>
  <c r="B19489" i="15"/>
  <c r="H19488" i="15"/>
  <c r="B19488" i="15"/>
  <c r="H19487" i="15"/>
  <c r="B19487" i="15"/>
  <c r="H19486" i="15"/>
  <c r="B19486" i="15"/>
  <c r="H19485" i="15"/>
  <c r="B19485" i="15"/>
  <c r="H19484" i="15"/>
  <c r="B19484" i="15"/>
  <c r="H19483" i="15"/>
  <c r="B19483" i="15"/>
  <c r="H19482" i="15"/>
  <c r="B19482" i="15"/>
  <c r="H19481" i="15"/>
  <c r="B19481" i="15"/>
  <c r="H19480" i="15"/>
  <c r="B19480" i="15"/>
  <c r="H19479" i="15"/>
  <c r="B19479" i="15"/>
  <c r="H19478" i="15"/>
  <c r="B19478" i="15"/>
  <c r="H19477" i="15"/>
  <c r="B19477" i="15"/>
  <c r="H19476" i="15"/>
  <c r="B19476" i="15"/>
  <c r="H19475" i="15"/>
  <c r="B19475" i="15"/>
  <c r="H19474" i="15"/>
  <c r="B19474" i="15"/>
  <c r="H19473" i="15"/>
  <c r="B19473" i="15"/>
  <c r="H19472" i="15"/>
  <c r="B19472" i="15"/>
  <c r="H19471" i="15"/>
  <c r="B19471" i="15"/>
  <c r="H19470" i="15"/>
  <c r="B19470" i="15"/>
  <c r="H19469" i="15"/>
  <c r="B19469" i="15"/>
  <c r="H19468" i="15"/>
  <c r="B19468" i="15"/>
  <c r="H19467" i="15"/>
  <c r="B19467" i="15"/>
  <c r="H19466" i="15"/>
  <c r="B19466" i="15"/>
  <c r="H19465" i="15"/>
  <c r="B19465" i="15"/>
  <c r="H19464" i="15"/>
  <c r="B19464" i="15"/>
  <c r="H19463" i="15"/>
  <c r="B19463" i="15"/>
  <c r="H19462" i="15"/>
  <c r="B19462" i="15"/>
  <c r="H19461" i="15"/>
  <c r="B19461" i="15"/>
  <c r="H19460" i="15"/>
  <c r="B19460" i="15"/>
  <c r="H19459" i="15"/>
  <c r="B19459" i="15"/>
  <c r="H19458" i="15"/>
  <c r="B19458" i="15"/>
  <c r="H19457" i="15"/>
  <c r="B19457" i="15"/>
  <c r="H19456" i="15"/>
  <c r="B19456" i="15"/>
  <c r="H19455" i="15"/>
  <c r="B19455" i="15"/>
  <c r="H19454" i="15"/>
  <c r="B19454" i="15"/>
  <c r="H19453" i="15"/>
  <c r="B19453" i="15"/>
  <c r="H19452" i="15"/>
  <c r="B19452" i="15"/>
  <c r="H19451" i="15"/>
  <c r="B19451" i="15"/>
  <c r="H19450" i="15"/>
  <c r="B19450" i="15"/>
  <c r="H19449" i="15"/>
  <c r="B19449" i="15"/>
  <c r="H19448" i="15"/>
  <c r="B19448" i="15"/>
  <c r="H19447" i="15"/>
  <c r="B19447" i="15"/>
  <c r="H19446" i="15"/>
  <c r="B19446" i="15"/>
  <c r="H19445" i="15"/>
  <c r="B19445" i="15"/>
  <c r="H19444" i="15"/>
  <c r="B19444" i="15"/>
  <c r="H19443" i="15"/>
  <c r="B19443" i="15"/>
  <c r="H19442" i="15"/>
  <c r="B19442" i="15"/>
  <c r="H19441" i="15"/>
  <c r="B19441" i="15"/>
  <c r="H19440" i="15"/>
  <c r="B19440" i="15"/>
  <c r="H19439" i="15"/>
  <c r="B19439" i="15"/>
  <c r="H19438" i="15"/>
  <c r="B19438" i="15"/>
  <c r="H19437" i="15"/>
  <c r="B19437" i="15"/>
  <c r="H19436" i="15"/>
  <c r="B19436" i="15"/>
  <c r="H19435" i="15"/>
  <c r="B19435" i="15"/>
  <c r="H19434" i="15"/>
  <c r="B19434" i="15"/>
  <c r="H19433" i="15"/>
  <c r="B19433" i="15"/>
  <c r="H19432" i="15"/>
  <c r="B19432" i="15"/>
  <c r="H19431" i="15"/>
  <c r="B19431" i="15"/>
  <c r="H19430" i="15"/>
  <c r="B19430" i="15"/>
  <c r="H19429" i="15"/>
  <c r="B19429" i="15"/>
  <c r="H19428" i="15"/>
  <c r="B19428" i="15"/>
  <c r="H19427" i="15"/>
  <c r="B19427" i="15"/>
  <c r="H19426" i="15"/>
  <c r="B19426" i="15"/>
  <c r="H19425" i="15"/>
  <c r="B19425" i="15"/>
  <c r="H19424" i="15"/>
  <c r="B19424" i="15"/>
  <c r="H19423" i="15"/>
  <c r="B19423" i="15"/>
  <c r="H19422" i="15"/>
  <c r="B19422" i="15"/>
  <c r="H19421" i="15"/>
  <c r="B19421" i="15"/>
  <c r="H19420" i="15"/>
  <c r="B19420" i="15"/>
  <c r="H19419" i="15"/>
  <c r="B19419" i="15"/>
  <c r="H19418" i="15"/>
  <c r="B19418" i="15"/>
  <c r="H19417" i="15"/>
  <c r="B19417" i="15"/>
  <c r="H19416" i="15"/>
  <c r="B19416" i="15"/>
  <c r="H19415" i="15"/>
  <c r="B19415" i="15"/>
  <c r="H19414" i="15"/>
  <c r="B19414" i="15"/>
  <c r="H19413" i="15"/>
  <c r="B19413" i="15"/>
  <c r="H19412" i="15"/>
  <c r="B19412" i="15"/>
  <c r="H19411" i="15"/>
  <c r="B19411" i="15"/>
  <c r="H19410" i="15"/>
  <c r="B19410" i="15"/>
  <c r="H19409" i="15"/>
  <c r="B19409" i="15"/>
  <c r="H19408" i="15"/>
  <c r="B19408" i="15"/>
  <c r="H19407" i="15"/>
  <c r="B19407" i="15"/>
  <c r="H19406" i="15"/>
  <c r="B19406" i="15"/>
  <c r="H19405" i="15"/>
  <c r="B19405" i="15"/>
  <c r="H19404" i="15"/>
  <c r="B19404" i="15"/>
  <c r="H19403" i="15"/>
  <c r="B19403" i="15"/>
  <c r="H19402" i="15"/>
  <c r="B19402" i="15"/>
  <c r="H19401" i="15"/>
  <c r="B19401" i="15"/>
  <c r="H19400" i="15"/>
  <c r="B19400" i="15"/>
  <c r="H19399" i="15"/>
  <c r="B19399" i="15"/>
  <c r="H19398" i="15"/>
  <c r="B19398" i="15"/>
  <c r="H19397" i="15"/>
  <c r="B19397" i="15"/>
  <c r="H19396" i="15"/>
  <c r="B19396" i="15"/>
  <c r="H19395" i="15"/>
  <c r="B19395" i="15"/>
  <c r="H19394" i="15"/>
  <c r="B19394" i="15"/>
  <c r="H19393" i="15"/>
  <c r="B19393" i="15"/>
  <c r="H19392" i="15"/>
  <c r="B19392" i="15"/>
  <c r="H19391" i="15"/>
  <c r="B19391" i="15"/>
  <c r="H19390" i="15"/>
  <c r="B19390" i="15"/>
  <c r="H19389" i="15"/>
  <c r="B19389" i="15"/>
  <c r="H19388" i="15"/>
  <c r="B19388" i="15"/>
  <c r="H19387" i="15"/>
  <c r="B19387" i="15"/>
  <c r="H19386" i="15"/>
  <c r="B19386" i="15"/>
  <c r="H19385" i="15"/>
  <c r="B19385" i="15"/>
  <c r="H19384" i="15"/>
  <c r="B19384" i="15"/>
  <c r="H19383" i="15"/>
  <c r="B19383" i="15"/>
  <c r="H19382" i="15"/>
  <c r="B19382" i="15"/>
  <c r="H19381" i="15"/>
  <c r="B19381" i="15"/>
  <c r="H19380" i="15"/>
  <c r="B19380" i="15"/>
  <c r="H19379" i="15"/>
  <c r="B19379" i="15"/>
  <c r="H19378" i="15"/>
  <c r="B19378" i="15"/>
  <c r="H19377" i="15"/>
  <c r="B19377" i="15"/>
  <c r="H19376" i="15"/>
  <c r="B19376" i="15"/>
  <c r="H19375" i="15"/>
  <c r="B19375" i="15"/>
  <c r="H19374" i="15"/>
  <c r="B19374" i="15"/>
  <c r="H19373" i="15"/>
  <c r="B19373" i="15"/>
  <c r="H19372" i="15"/>
  <c r="B19372" i="15"/>
  <c r="H19371" i="15"/>
  <c r="B19371" i="15"/>
  <c r="H19370" i="15"/>
  <c r="B19370" i="15"/>
  <c r="H19369" i="15"/>
  <c r="B19369" i="15"/>
  <c r="H19368" i="15"/>
  <c r="B19368" i="15"/>
  <c r="H19367" i="15"/>
  <c r="B19367" i="15"/>
  <c r="H19366" i="15"/>
  <c r="B19366" i="15"/>
  <c r="H19365" i="15"/>
  <c r="B19365" i="15"/>
  <c r="H19364" i="15"/>
  <c r="B19364" i="15"/>
  <c r="H19363" i="15"/>
  <c r="B19363" i="15"/>
  <c r="H19362" i="15"/>
  <c r="B19362" i="15"/>
  <c r="H19361" i="15"/>
  <c r="B19361" i="15"/>
  <c r="H19360" i="15"/>
  <c r="B19360" i="15"/>
  <c r="H19359" i="15"/>
  <c r="B19359" i="15"/>
  <c r="H19358" i="15"/>
  <c r="B19358" i="15"/>
  <c r="H19357" i="15"/>
  <c r="B19357" i="15"/>
  <c r="H19356" i="15"/>
  <c r="B19356" i="15"/>
  <c r="H19355" i="15"/>
  <c r="B19355" i="15"/>
  <c r="H19354" i="15"/>
  <c r="B19354" i="15"/>
  <c r="H19353" i="15"/>
  <c r="B19353" i="15"/>
  <c r="H19352" i="15"/>
  <c r="B19352" i="15"/>
  <c r="H19351" i="15"/>
  <c r="B19351" i="15"/>
  <c r="H19350" i="15"/>
  <c r="B19350" i="15"/>
  <c r="H19349" i="15"/>
  <c r="B19349" i="15"/>
  <c r="H19348" i="15"/>
  <c r="B19348" i="15"/>
  <c r="H19347" i="15"/>
  <c r="B19347" i="15"/>
  <c r="H19346" i="15"/>
  <c r="B19346" i="15"/>
  <c r="H19345" i="15"/>
  <c r="B19345" i="15"/>
  <c r="H19344" i="15"/>
  <c r="B19344" i="15"/>
  <c r="H19343" i="15"/>
  <c r="B19343" i="15"/>
  <c r="H19342" i="15"/>
  <c r="B19342" i="15"/>
  <c r="H19341" i="15"/>
  <c r="B19341" i="15"/>
  <c r="H19340" i="15"/>
  <c r="B19340" i="15"/>
  <c r="H19339" i="15"/>
  <c r="B19339" i="15"/>
  <c r="H19338" i="15"/>
  <c r="B19338" i="15"/>
  <c r="H19337" i="15"/>
  <c r="B19337" i="15"/>
  <c r="H19336" i="15"/>
  <c r="B19336" i="15"/>
  <c r="H19335" i="15"/>
  <c r="B19335" i="15"/>
  <c r="H19334" i="15"/>
  <c r="B19334" i="15"/>
  <c r="H19333" i="15"/>
  <c r="B19333" i="15"/>
  <c r="H19332" i="15"/>
  <c r="B19332" i="15"/>
  <c r="H19331" i="15"/>
  <c r="B19331" i="15"/>
  <c r="H19330" i="15"/>
  <c r="B19330" i="15"/>
  <c r="H19329" i="15"/>
  <c r="B19329" i="15"/>
  <c r="H19328" i="15"/>
  <c r="B19328" i="15"/>
  <c r="H19327" i="15"/>
  <c r="B19327" i="15"/>
  <c r="H19326" i="15"/>
  <c r="B19326" i="15"/>
  <c r="H19325" i="15"/>
  <c r="B19325" i="15"/>
  <c r="H19324" i="15"/>
  <c r="B19324" i="15"/>
  <c r="H19323" i="15"/>
  <c r="B19323" i="15"/>
  <c r="H19322" i="15"/>
  <c r="B19322" i="15"/>
  <c r="H19321" i="15"/>
  <c r="B19321" i="15"/>
  <c r="H19320" i="15"/>
  <c r="B19320" i="15"/>
  <c r="H19319" i="15"/>
  <c r="B19319" i="15"/>
  <c r="H19318" i="15"/>
  <c r="B19318" i="15"/>
  <c r="H19317" i="15"/>
  <c r="B19317" i="15"/>
  <c r="H19316" i="15"/>
  <c r="B19316" i="15"/>
  <c r="H19315" i="15"/>
  <c r="B19315" i="15"/>
  <c r="H19314" i="15"/>
  <c r="B19314" i="15"/>
  <c r="H19313" i="15"/>
  <c r="B19313" i="15"/>
  <c r="H19312" i="15"/>
  <c r="B19312" i="15"/>
  <c r="H19311" i="15"/>
  <c r="B19311" i="15"/>
  <c r="H19310" i="15"/>
  <c r="B19310" i="15"/>
  <c r="H19309" i="15"/>
  <c r="B19309" i="15"/>
  <c r="H19308" i="15"/>
  <c r="B19308" i="15"/>
  <c r="H19307" i="15"/>
  <c r="B19307" i="15"/>
  <c r="H19306" i="15"/>
  <c r="B19306" i="15"/>
  <c r="H19305" i="15"/>
  <c r="B19305" i="15"/>
  <c r="H19304" i="15"/>
  <c r="B19304" i="15"/>
  <c r="H19303" i="15"/>
  <c r="B19303" i="15"/>
  <c r="H19302" i="15"/>
  <c r="B19302" i="15"/>
  <c r="H19301" i="15"/>
  <c r="B19301" i="15"/>
  <c r="H19300" i="15"/>
  <c r="B19300" i="15"/>
  <c r="H19299" i="15"/>
  <c r="B19299" i="15"/>
  <c r="H19298" i="15"/>
  <c r="B19298" i="15"/>
  <c r="H19297" i="15"/>
  <c r="B19297" i="15"/>
  <c r="H19296" i="15"/>
  <c r="B19296" i="15"/>
  <c r="H19295" i="15"/>
  <c r="B19295" i="15"/>
  <c r="H19294" i="15"/>
  <c r="B19294" i="15"/>
  <c r="H19293" i="15"/>
  <c r="B19293" i="15"/>
  <c r="H19292" i="15"/>
  <c r="B19292" i="15"/>
  <c r="H19291" i="15"/>
  <c r="B19291" i="15"/>
  <c r="H19290" i="15"/>
  <c r="B19290" i="15"/>
  <c r="H19289" i="15"/>
  <c r="B19289" i="15"/>
  <c r="H19288" i="15"/>
  <c r="B19288" i="15"/>
  <c r="H19287" i="15"/>
  <c r="B19287" i="15"/>
  <c r="H19286" i="15"/>
  <c r="B19286" i="15"/>
  <c r="H19285" i="15"/>
  <c r="B19285" i="15"/>
  <c r="H19284" i="15"/>
  <c r="B19284" i="15"/>
  <c r="H19283" i="15"/>
  <c r="B19283" i="15"/>
  <c r="H19282" i="15"/>
  <c r="B19282" i="15"/>
  <c r="H19281" i="15"/>
  <c r="B19281" i="15"/>
  <c r="H19280" i="15"/>
  <c r="B19280" i="15"/>
  <c r="H19279" i="15"/>
  <c r="B19279" i="15"/>
  <c r="H19278" i="15"/>
  <c r="B19278" i="15"/>
  <c r="H19277" i="15"/>
  <c r="B19277" i="15"/>
  <c r="H19276" i="15"/>
  <c r="B19276" i="15"/>
  <c r="H19275" i="15"/>
  <c r="B19275" i="15"/>
  <c r="H19274" i="15"/>
  <c r="B19274" i="15"/>
  <c r="H19273" i="15"/>
  <c r="B19273" i="15"/>
  <c r="H19272" i="15"/>
  <c r="B19272" i="15"/>
  <c r="H19271" i="15"/>
  <c r="B19271" i="15"/>
  <c r="H19270" i="15"/>
  <c r="B19270" i="15"/>
  <c r="H19269" i="15"/>
  <c r="B19269" i="15"/>
  <c r="H19268" i="15"/>
  <c r="B19268" i="15"/>
  <c r="H19267" i="15"/>
  <c r="B19267" i="15"/>
  <c r="H19266" i="15"/>
  <c r="B19266" i="15"/>
  <c r="H19265" i="15"/>
  <c r="B19265" i="15"/>
  <c r="H19264" i="15"/>
  <c r="B19264" i="15"/>
  <c r="H19263" i="15"/>
  <c r="B19263" i="15"/>
  <c r="H19262" i="15"/>
  <c r="B19262" i="15"/>
  <c r="H19261" i="15"/>
  <c r="B19261" i="15"/>
  <c r="H19260" i="15"/>
  <c r="B19260" i="15"/>
  <c r="H19259" i="15"/>
  <c r="B19259" i="15"/>
  <c r="H19258" i="15"/>
  <c r="B19258" i="15"/>
  <c r="H19257" i="15"/>
  <c r="B19257" i="15"/>
  <c r="H19256" i="15"/>
  <c r="B19256" i="15"/>
  <c r="H19255" i="15"/>
  <c r="B19255" i="15"/>
  <c r="H19254" i="15"/>
  <c r="B19254" i="15"/>
  <c r="H19253" i="15"/>
  <c r="B19253" i="15"/>
  <c r="H19252" i="15"/>
  <c r="B19252" i="15"/>
  <c r="H19251" i="15"/>
  <c r="B19251" i="15"/>
  <c r="H19250" i="15"/>
  <c r="B19250" i="15"/>
  <c r="H19249" i="15"/>
  <c r="B19249" i="15"/>
  <c r="H19248" i="15"/>
  <c r="B19248" i="15"/>
  <c r="H19247" i="15"/>
  <c r="B19247" i="15"/>
  <c r="H19246" i="15"/>
  <c r="B19246" i="15"/>
  <c r="H19245" i="15"/>
  <c r="B19245" i="15"/>
  <c r="H19244" i="15"/>
  <c r="B19244" i="15"/>
  <c r="H19243" i="15"/>
  <c r="B19243" i="15"/>
  <c r="H19242" i="15"/>
  <c r="B19242" i="15"/>
  <c r="H19241" i="15"/>
  <c r="B19241" i="15"/>
  <c r="H19240" i="15"/>
  <c r="B19240" i="15"/>
  <c r="H19239" i="15"/>
  <c r="B19239" i="15"/>
  <c r="H19238" i="15"/>
  <c r="B19238" i="15"/>
  <c r="H19237" i="15"/>
  <c r="B19237" i="15"/>
  <c r="H19236" i="15"/>
  <c r="B19236" i="15"/>
  <c r="H19235" i="15"/>
  <c r="B19235" i="15"/>
  <c r="H19234" i="15"/>
  <c r="B19234" i="15"/>
  <c r="H19233" i="15"/>
  <c r="B19233" i="15"/>
  <c r="H19232" i="15"/>
  <c r="B19232" i="15"/>
  <c r="H19231" i="15"/>
  <c r="B19231" i="15"/>
  <c r="H19230" i="15"/>
  <c r="B19230" i="15"/>
  <c r="H19229" i="15"/>
  <c r="B19229" i="15"/>
  <c r="H19228" i="15"/>
  <c r="B19228" i="15"/>
  <c r="H19227" i="15"/>
  <c r="B19227" i="15"/>
  <c r="H19226" i="15"/>
  <c r="B19226" i="15"/>
  <c r="H19225" i="15"/>
  <c r="B19225" i="15"/>
  <c r="H19224" i="15"/>
  <c r="B19224" i="15"/>
  <c r="H19223" i="15"/>
  <c r="B19223" i="15"/>
  <c r="H19222" i="15"/>
  <c r="B19222" i="15"/>
  <c r="H19221" i="15"/>
  <c r="B19221" i="15"/>
  <c r="H19220" i="15"/>
  <c r="B19220" i="15"/>
  <c r="H19219" i="15"/>
  <c r="B19219" i="15"/>
  <c r="H19218" i="15"/>
  <c r="B19218" i="15"/>
  <c r="H19217" i="15"/>
  <c r="B19217" i="15"/>
  <c r="H19216" i="15"/>
  <c r="B19216" i="15"/>
  <c r="H19215" i="15"/>
  <c r="B19215" i="15"/>
  <c r="H19214" i="15"/>
  <c r="B19214" i="15"/>
  <c r="H19213" i="15"/>
  <c r="B19213" i="15"/>
  <c r="H19212" i="15"/>
  <c r="B19212" i="15"/>
  <c r="H19211" i="15"/>
  <c r="B19211" i="15"/>
  <c r="H19210" i="15"/>
  <c r="B19210" i="15"/>
  <c r="H19209" i="15"/>
  <c r="B19209" i="15"/>
  <c r="H19208" i="15"/>
  <c r="B19208" i="15"/>
  <c r="H19207" i="15"/>
  <c r="B19207" i="15"/>
  <c r="H19206" i="15"/>
  <c r="B19206" i="15"/>
  <c r="H19205" i="15"/>
  <c r="B19205" i="15"/>
  <c r="H19204" i="15"/>
  <c r="B19204" i="15"/>
  <c r="H19203" i="15"/>
  <c r="B19203" i="15"/>
  <c r="H19202" i="15"/>
  <c r="B19202" i="15"/>
  <c r="H19201" i="15"/>
  <c r="B19201" i="15"/>
  <c r="H19200" i="15"/>
  <c r="B19200" i="15"/>
  <c r="H19199" i="15"/>
  <c r="B19199" i="15"/>
  <c r="H19198" i="15"/>
  <c r="B19198" i="15"/>
  <c r="H19197" i="15"/>
  <c r="B19197" i="15"/>
  <c r="H19196" i="15"/>
  <c r="B19196" i="15"/>
  <c r="H19195" i="15"/>
  <c r="B19195" i="15"/>
  <c r="H19194" i="15"/>
  <c r="B19194" i="15"/>
  <c r="H19193" i="15"/>
  <c r="B19193" i="15"/>
  <c r="H19192" i="15"/>
  <c r="B19192" i="15"/>
  <c r="H19191" i="15"/>
  <c r="B19191" i="15"/>
  <c r="H19190" i="15"/>
  <c r="B19190" i="15"/>
  <c r="H19189" i="15"/>
  <c r="B19189" i="15"/>
  <c r="H19188" i="15"/>
  <c r="B19188" i="15"/>
  <c r="H19187" i="15"/>
  <c r="B19187" i="15"/>
  <c r="H19186" i="15"/>
  <c r="B19186" i="15"/>
  <c r="H19185" i="15"/>
  <c r="B19185" i="15"/>
  <c r="H19184" i="15"/>
  <c r="B19184" i="15"/>
  <c r="H19183" i="15"/>
  <c r="B19183" i="15"/>
  <c r="H19182" i="15"/>
  <c r="B19182" i="15"/>
  <c r="H19181" i="15"/>
  <c r="B19181" i="15"/>
  <c r="H19180" i="15"/>
  <c r="B19180" i="15"/>
  <c r="H19179" i="15"/>
  <c r="B19179" i="15"/>
  <c r="H19178" i="15"/>
  <c r="B19178" i="15"/>
  <c r="H19177" i="15"/>
  <c r="B19177" i="15"/>
  <c r="H19176" i="15"/>
  <c r="B19176" i="15"/>
  <c r="H19175" i="15"/>
  <c r="B19175" i="15"/>
  <c r="H19174" i="15"/>
  <c r="B19174" i="15"/>
  <c r="H19173" i="15"/>
  <c r="B19173" i="15"/>
  <c r="H19172" i="15"/>
  <c r="B19172" i="15"/>
  <c r="H19171" i="15"/>
  <c r="B19171" i="15"/>
  <c r="H19170" i="15"/>
  <c r="B19170" i="15"/>
  <c r="H19169" i="15"/>
  <c r="B19169" i="15"/>
  <c r="H19168" i="15"/>
  <c r="B19168" i="15"/>
  <c r="H19167" i="15"/>
  <c r="B19167" i="15"/>
  <c r="H19166" i="15"/>
  <c r="B19166" i="15"/>
  <c r="H19165" i="15"/>
  <c r="B19165" i="15"/>
  <c r="H19164" i="15"/>
  <c r="B19164" i="15"/>
  <c r="H19163" i="15"/>
  <c r="B19163" i="15"/>
  <c r="H19162" i="15"/>
  <c r="B19162" i="15"/>
  <c r="H19161" i="15"/>
  <c r="B19161" i="15"/>
  <c r="H19160" i="15"/>
  <c r="B19160" i="15"/>
  <c r="H19159" i="15"/>
  <c r="B19159" i="15"/>
  <c r="H19158" i="15"/>
  <c r="B19158" i="15"/>
  <c r="H19157" i="15"/>
  <c r="B19157" i="15"/>
  <c r="H19156" i="15"/>
  <c r="B19156" i="15"/>
  <c r="H19155" i="15"/>
  <c r="B19155" i="15"/>
  <c r="H19154" i="15"/>
  <c r="B19154" i="15"/>
  <c r="H19153" i="15"/>
  <c r="B19153" i="15"/>
  <c r="H19152" i="15"/>
  <c r="B19152" i="15"/>
  <c r="H19151" i="15"/>
  <c r="B19151" i="15"/>
  <c r="H19150" i="15"/>
  <c r="B19150" i="15"/>
  <c r="H19149" i="15"/>
  <c r="B19149" i="15"/>
  <c r="H19148" i="15"/>
  <c r="B19148" i="15"/>
  <c r="H19147" i="15"/>
  <c r="B19147" i="15"/>
  <c r="H19146" i="15"/>
  <c r="B19146" i="15"/>
  <c r="H19145" i="15"/>
  <c r="B19145" i="15"/>
  <c r="H19144" i="15"/>
  <c r="B19144" i="15"/>
  <c r="H19143" i="15"/>
  <c r="B19143" i="15"/>
  <c r="H19142" i="15"/>
  <c r="B19142" i="15"/>
  <c r="H19141" i="15"/>
  <c r="B19141" i="15"/>
  <c r="H19140" i="15"/>
  <c r="B19140" i="15"/>
  <c r="H19139" i="15"/>
  <c r="B19139" i="15"/>
  <c r="H19138" i="15"/>
  <c r="B19138" i="15"/>
  <c r="H19137" i="15"/>
  <c r="B19137" i="15"/>
  <c r="H19136" i="15"/>
  <c r="B19136" i="15"/>
  <c r="H19135" i="15"/>
  <c r="B19135" i="15"/>
  <c r="H19134" i="15"/>
  <c r="B19134" i="15"/>
  <c r="H19133" i="15"/>
  <c r="B19133" i="15"/>
  <c r="H19132" i="15"/>
  <c r="B19132" i="15"/>
  <c r="H19131" i="15"/>
  <c r="B19131" i="15"/>
  <c r="H19130" i="15"/>
  <c r="B19130" i="15"/>
  <c r="H19129" i="15"/>
  <c r="B19129" i="15"/>
  <c r="H19128" i="15"/>
  <c r="B19128" i="15"/>
  <c r="H19127" i="15"/>
  <c r="B19127" i="15"/>
  <c r="H19126" i="15"/>
  <c r="B19126" i="15"/>
  <c r="H19125" i="15"/>
  <c r="B19125" i="15"/>
  <c r="H19124" i="15"/>
  <c r="B19124" i="15"/>
  <c r="H19123" i="15"/>
  <c r="B19123" i="15"/>
  <c r="H19122" i="15"/>
  <c r="B19122" i="15"/>
  <c r="H19121" i="15"/>
  <c r="B19121" i="15"/>
  <c r="H19120" i="15"/>
  <c r="B19120" i="15"/>
  <c r="H19119" i="15"/>
  <c r="B19119" i="15"/>
  <c r="H19118" i="15"/>
  <c r="B19118" i="15"/>
  <c r="H19117" i="15"/>
  <c r="B19117" i="15"/>
  <c r="H19116" i="15"/>
  <c r="B19116" i="15"/>
  <c r="H19115" i="15"/>
  <c r="B19115" i="15"/>
  <c r="H19114" i="15"/>
  <c r="B19114" i="15"/>
  <c r="H19113" i="15"/>
  <c r="B19113" i="15"/>
  <c r="H19112" i="15"/>
  <c r="B19112" i="15"/>
  <c r="H19111" i="15"/>
  <c r="B19111" i="15"/>
  <c r="H19110" i="15"/>
  <c r="B19110" i="15"/>
  <c r="H19109" i="15"/>
  <c r="B19109" i="15"/>
  <c r="H19108" i="15"/>
  <c r="B19108" i="15"/>
  <c r="H19107" i="15"/>
  <c r="B19107" i="15"/>
  <c r="H19106" i="15"/>
  <c r="B19106" i="15"/>
  <c r="H19105" i="15"/>
  <c r="B19105" i="15"/>
  <c r="H19104" i="15"/>
  <c r="B19104" i="15"/>
  <c r="H19103" i="15"/>
  <c r="B19103" i="15"/>
  <c r="H19102" i="15"/>
  <c r="B19102" i="15"/>
  <c r="H19101" i="15"/>
  <c r="B19101" i="15"/>
  <c r="H19100" i="15"/>
  <c r="B19100" i="15"/>
  <c r="H19099" i="15"/>
  <c r="B19099" i="15"/>
  <c r="H19098" i="15"/>
  <c r="B19098" i="15"/>
  <c r="H19097" i="15"/>
  <c r="B19097" i="15"/>
  <c r="H19096" i="15"/>
  <c r="B19096" i="15"/>
  <c r="H19095" i="15"/>
  <c r="B19095" i="15"/>
  <c r="H19094" i="15"/>
  <c r="B19094" i="15"/>
  <c r="H19093" i="15"/>
  <c r="B19093" i="15"/>
  <c r="H19092" i="15"/>
  <c r="B19092" i="15"/>
  <c r="H19091" i="15"/>
  <c r="B19091" i="15"/>
  <c r="H19090" i="15"/>
  <c r="B19090" i="15"/>
  <c r="H19089" i="15"/>
  <c r="B19089" i="15"/>
  <c r="H19088" i="15"/>
  <c r="B19088" i="15"/>
  <c r="H19087" i="15"/>
  <c r="B19087" i="15"/>
  <c r="H19086" i="15"/>
  <c r="B19086" i="15"/>
  <c r="H19085" i="15"/>
  <c r="B19085" i="15"/>
  <c r="H19084" i="15"/>
  <c r="B19084" i="15"/>
  <c r="H19083" i="15"/>
  <c r="B19083" i="15"/>
  <c r="H19082" i="15"/>
  <c r="B19082" i="15"/>
  <c r="H19081" i="15"/>
  <c r="B19081" i="15"/>
  <c r="H19080" i="15"/>
  <c r="B19080" i="15"/>
  <c r="H19079" i="15"/>
  <c r="B19079" i="15"/>
  <c r="H19078" i="15"/>
  <c r="B19078" i="15"/>
  <c r="H19077" i="15"/>
  <c r="B19077" i="15"/>
  <c r="H19076" i="15"/>
  <c r="B19076" i="15"/>
  <c r="H19075" i="15"/>
  <c r="B19075" i="15"/>
  <c r="H19074" i="15"/>
  <c r="B19074" i="15"/>
  <c r="H19073" i="15"/>
  <c r="B19073" i="15"/>
  <c r="H19072" i="15"/>
  <c r="B19072" i="15"/>
  <c r="H19071" i="15"/>
  <c r="B19071" i="15"/>
  <c r="H19070" i="15"/>
  <c r="B19070" i="15"/>
  <c r="H19069" i="15"/>
  <c r="B19069" i="15"/>
  <c r="H19068" i="15"/>
  <c r="B19068" i="15"/>
  <c r="H19067" i="15"/>
  <c r="B19067" i="15"/>
  <c r="H19066" i="15"/>
  <c r="B19066" i="15"/>
  <c r="H19065" i="15"/>
  <c r="B19065" i="15"/>
  <c r="H19064" i="15"/>
  <c r="B19064" i="15"/>
  <c r="H19063" i="15"/>
  <c r="B19063" i="15"/>
  <c r="H19062" i="15"/>
  <c r="B19062" i="15"/>
  <c r="H19061" i="15"/>
  <c r="B19061" i="15"/>
  <c r="H19060" i="15"/>
  <c r="B19060" i="15"/>
  <c r="H19059" i="15"/>
  <c r="B19059" i="15"/>
  <c r="H19058" i="15"/>
  <c r="B19058" i="15"/>
  <c r="H19057" i="15"/>
  <c r="B19057" i="15"/>
  <c r="H19056" i="15"/>
  <c r="B19056" i="15"/>
  <c r="H19055" i="15"/>
  <c r="B19055" i="15"/>
  <c r="H19054" i="15"/>
  <c r="B19054" i="15"/>
  <c r="H19053" i="15"/>
  <c r="B19053" i="15"/>
  <c r="H19052" i="15"/>
  <c r="B19052" i="15"/>
  <c r="H19051" i="15"/>
  <c r="B19051" i="15"/>
  <c r="H19050" i="15"/>
  <c r="B19050" i="15"/>
  <c r="H19049" i="15"/>
  <c r="B19049" i="15"/>
  <c r="H19048" i="15"/>
  <c r="B19048" i="15"/>
  <c r="H19047" i="15"/>
  <c r="B19047" i="15"/>
  <c r="H19046" i="15"/>
  <c r="B19046" i="15"/>
  <c r="H19045" i="15"/>
  <c r="B19045" i="15"/>
  <c r="H19044" i="15"/>
  <c r="B19044" i="15"/>
  <c r="H19043" i="15"/>
  <c r="B19043" i="15"/>
  <c r="H19042" i="15"/>
  <c r="B19042" i="15"/>
  <c r="H19041" i="15"/>
  <c r="B19041" i="15"/>
  <c r="H19040" i="15"/>
  <c r="B19040" i="15"/>
  <c r="H19039" i="15"/>
  <c r="B19039" i="15"/>
  <c r="H19038" i="15"/>
  <c r="B19038" i="15"/>
  <c r="H19037" i="15"/>
  <c r="B19037" i="15"/>
  <c r="H19036" i="15"/>
  <c r="B19036" i="15"/>
  <c r="H19035" i="15"/>
  <c r="B19035" i="15"/>
  <c r="H19034" i="15"/>
  <c r="B19034" i="15"/>
  <c r="H19033" i="15"/>
  <c r="B19033" i="15"/>
  <c r="H19032" i="15"/>
  <c r="B19032" i="15"/>
  <c r="H19031" i="15"/>
  <c r="B19031" i="15"/>
  <c r="H19030" i="15"/>
  <c r="B19030" i="15"/>
  <c r="H19029" i="15"/>
  <c r="B19029" i="15"/>
  <c r="H19028" i="15"/>
  <c r="B19028" i="15"/>
  <c r="H19027" i="15"/>
  <c r="B19027" i="15"/>
  <c r="H19026" i="15"/>
  <c r="B19026" i="15"/>
  <c r="H19025" i="15"/>
  <c r="B19025" i="15"/>
  <c r="H19024" i="15"/>
  <c r="B19024" i="15"/>
  <c r="H19023" i="15"/>
  <c r="B19023" i="15"/>
  <c r="H19022" i="15"/>
  <c r="B19022" i="15"/>
  <c r="H19021" i="15"/>
  <c r="B19021" i="15"/>
  <c r="H19020" i="15"/>
  <c r="B19020" i="15"/>
  <c r="H19019" i="15"/>
  <c r="B19019" i="15"/>
  <c r="H19018" i="15"/>
  <c r="B19018" i="15"/>
  <c r="H19017" i="15"/>
  <c r="B19017" i="15"/>
  <c r="H19016" i="15"/>
  <c r="B19016" i="15"/>
  <c r="H19015" i="15"/>
  <c r="B19015" i="15"/>
  <c r="H19014" i="15"/>
  <c r="B19014" i="15"/>
  <c r="H19013" i="15"/>
  <c r="B19013" i="15"/>
  <c r="H19012" i="15"/>
  <c r="B19012" i="15"/>
  <c r="H19011" i="15"/>
  <c r="B19011" i="15"/>
  <c r="H19010" i="15"/>
  <c r="B19010" i="15"/>
  <c r="H19009" i="15"/>
  <c r="B19009" i="15"/>
  <c r="H19008" i="15"/>
  <c r="B19008" i="15"/>
  <c r="H19007" i="15"/>
  <c r="B19007" i="15"/>
  <c r="H19006" i="15"/>
  <c r="B19006" i="15"/>
  <c r="H19005" i="15"/>
  <c r="B19005" i="15"/>
  <c r="H19004" i="15"/>
  <c r="B19004" i="15"/>
  <c r="H19003" i="15"/>
  <c r="B19003" i="15"/>
  <c r="H19002" i="15"/>
  <c r="B19002" i="15"/>
  <c r="H19001" i="15"/>
  <c r="B19001" i="15"/>
  <c r="H19000" i="15"/>
  <c r="B19000" i="15"/>
  <c r="H18999" i="15"/>
  <c r="B18999" i="15"/>
  <c r="H18998" i="15"/>
  <c r="B18998" i="15"/>
  <c r="H18997" i="15"/>
  <c r="B18997" i="15"/>
  <c r="H18996" i="15"/>
  <c r="B18996" i="15"/>
  <c r="H18995" i="15"/>
  <c r="B18995" i="15"/>
  <c r="H18994" i="15"/>
  <c r="B18994" i="15"/>
  <c r="H18993" i="15"/>
  <c r="B18993" i="15"/>
  <c r="H18992" i="15"/>
  <c r="B18992" i="15"/>
  <c r="H18991" i="15"/>
  <c r="B18991" i="15"/>
  <c r="H18990" i="15"/>
  <c r="B18990" i="15"/>
  <c r="H18989" i="15"/>
  <c r="B18989" i="15"/>
  <c r="H18988" i="15"/>
  <c r="B18988" i="15"/>
  <c r="H18987" i="15"/>
  <c r="B18987" i="15"/>
  <c r="H18986" i="15"/>
  <c r="B18986" i="15"/>
  <c r="H18985" i="15"/>
  <c r="B18985" i="15"/>
  <c r="H18984" i="15"/>
  <c r="B18984" i="15"/>
  <c r="H18983" i="15"/>
  <c r="B18983" i="15"/>
  <c r="H18982" i="15"/>
  <c r="B18982" i="15"/>
  <c r="H18981" i="15"/>
  <c r="B18981" i="15"/>
  <c r="H18980" i="15"/>
  <c r="B18980" i="15"/>
  <c r="H18979" i="15"/>
  <c r="B18979" i="15"/>
  <c r="H18978" i="15"/>
  <c r="B18978" i="15"/>
  <c r="H18977" i="15"/>
  <c r="B18977" i="15"/>
  <c r="H18976" i="15"/>
  <c r="B18976" i="15"/>
  <c r="H18975" i="15"/>
  <c r="B18975" i="15"/>
  <c r="H18974" i="15"/>
  <c r="B18974" i="15"/>
  <c r="H18973" i="15"/>
  <c r="B18973" i="15"/>
  <c r="H18972" i="15"/>
  <c r="B18972" i="15"/>
  <c r="H18971" i="15"/>
  <c r="B18971" i="15"/>
  <c r="H18970" i="15"/>
  <c r="B18970" i="15"/>
  <c r="H18969" i="15"/>
  <c r="B18969" i="15"/>
  <c r="H18968" i="15"/>
  <c r="B18968" i="15"/>
  <c r="H18967" i="15"/>
  <c r="B18967" i="15"/>
  <c r="H18966" i="15"/>
  <c r="B18966" i="15"/>
  <c r="H18965" i="15"/>
  <c r="B18965" i="15"/>
  <c r="H18964" i="15"/>
  <c r="B18964" i="15"/>
  <c r="H18963" i="15"/>
  <c r="B18963" i="15"/>
  <c r="H18962" i="15"/>
  <c r="B18962" i="15"/>
  <c r="H18961" i="15"/>
  <c r="B18961" i="15"/>
  <c r="H18960" i="15"/>
  <c r="B18960" i="15"/>
  <c r="H18959" i="15"/>
  <c r="B18959" i="15"/>
  <c r="H18958" i="15"/>
  <c r="B18958" i="15"/>
  <c r="H18957" i="15"/>
  <c r="B18957" i="15"/>
  <c r="H18956" i="15"/>
  <c r="B18956" i="15"/>
  <c r="H18955" i="15"/>
  <c r="B18955" i="15"/>
  <c r="H18954" i="15"/>
  <c r="B18954" i="15"/>
  <c r="H18953" i="15"/>
  <c r="B18953" i="15"/>
  <c r="H18952" i="15"/>
  <c r="B18952" i="15"/>
  <c r="H18951" i="15"/>
  <c r="B18951" i="15"/>
  <c r="H18950" i="15"/>
  <c r="B18950" i="15"/>
  <c r="H18949" i="15"/>
  <c r="B18949" i="15"/>
  <c r="H18948" i="15"/>
  <c r="B18948" i="15"/>
  <c r="H18947" i="15"/>
  <c r="B18947" i="15"/>
  <c r="H18946" i="15"/>
  <c r="B18946" i="15"/>
  <c r="H18945" i="15"/>
  <c r="B18945" i="15"/>
  <c r="H18944" i="15"/>
  <c r="B18944" i="15"/>
  <c r="H18943" i="15"/>
  <c r="B18943" i="15"/>
  <c r="H18942" i="15"/>
  <c r="B18942" i="15"/>
  <c r="H18941" i="15"/>
  <c r="B18941" i="15"/>
  <c r="H18940" i="15"/>
  <c r="B18940" i="15"/>
  <c r="H18939" i="15"/>
  <c r="B18939" i="15"/>
  <c r="H18938" i="15"/>
  <c r="B18938" i="15"/>
  <c r="H18937" i="15"/>
  <c r="B18937" i="15"/>
  <c r="H18936" i="15"/>
  <c r="B18936" i="15"/>
  <c r="H18935" i="15"/>
  <c r="B18935" i="15"/>
  <c r="H18934" i="15"/>
  <c r="B18934" i="15"/>
  <c r="H18933" i="15"/>
  <c r="B18933" i="15"/>
  <c r="H18932" i="15"/>
  <c r="B18932" i="15"/>
  <c r="H18931" i="15"/>
  <c r="B18931" i="15"/>
  <c r="H18930" i="15"/>
  <c r="B18930" i="15"/>
  <c r="H18929" i="15"/>
  <c r="B18929" i="15"/>
  <c r="H18928" i="15"/>
  <c r="B18928" i="15"/>
  <c r="H18927" i="15"/>
  <c r="B18927" i="15"/>
  <c r="H18926" i="15"/>
  <c r="B18926" i="15"/>
  <c r="H18925" i="15"/>
  <c r="B18925" i="15"/>
  <c r="H18924" i="15"/>
  <c r="B18924" i="15"/>
  <c r="H18923" i="15"/>
  <c r="B18923" i="15"/>
  <c r="H18922" i="15"/>
  <c r="B18922" i="15"/>
  <c r="H18921" i="15"/>
  <c r="B18921" i="15"/>
  <c r="H18920" i="15"/>
  <c r="B18920" i="15"/>
  <c r="H18919" i="15"/>
  <c r="B18919" i="15"/>
  <c r="H18918" i="15"/>
  <c r="B18918" i="15"/>
  <c r="H18917" i="15"/>
  <c r="B18917" i="15"/>
  <c r="H18916" i="15"/>
  <c r="B18916" i="15"/>
  <c r="H18915" i="15"/>
  <c r="B18915" i="15"/>
  <c r="H18914" i="15"/>
  <c r="B18914" i="15"/>
  <c r="H18913" i="15"/>
  <c r="B18913" i="15"/>
  <c r="H18912" i="15"/>
  <c r="B18912" i="15"/>
  <c r="H18911" i="15"/>
  <c r="B18911" i="15"/>
  <c r="H18910" i="15"/>
  <c r="B18910" i="15"/>
  <c r="H18909" i="15"/>
  <c r="B18909" i="15"/>
  <c r="H18908" i="15"/>
  <c r="B18908" i="15"/>
  <c r="H18907" i="15"/>
  <c r="B18907" i="15"/>
  <c r="H18906" i="15"/>
  <c r="B18906" i="15"/>
  <c r="H18905" i="15"/>
  <c r="B18905" i="15"/>
  <c r="H18904" i="15"/>
  <c r="B18904" i="15"/>
  <c r="H18903" i="15"/>
  <c r="B18903" i="15"/>
  <c r="H18902" i="15"/>
  <c r="B18902" i="15"/>
  <c r="H18901" i="15"/>
  <c r="B18901" i="15"/>
  <c r="H18900" i="15"/>
  <c r="B18900" i="15"/>
  <c r="H18899" i="15"/>
  <c r="B18899" i="15"/>
  <c r="H18898" i="15"/>
  <c r="B18898" i="15"/>
  <c r="H18897" i="15"/>
  <c r="B18897" i="15"/>
  <c r="H18896" i="15"/>
  <c r="B18896" i="15"/>
  <c r="H18895" i="15"/>
  <c r="B18895" i="15"/>
  <c r="H18894" i="15"/>
  <c r="B18894" i="15"/>
  <c r="H18893" i="15"/>
  <c r="B18893" i="15"/>
  <c r="H18892" i="15"/>
  <c r="B18892" i="15"/>
  <c r="H18891" i="15"/>
  <c r="B18891" i="15"/>
  <c r="H18890" i="15"/>
  <c r="B18890" i="15"/>
  <c r="H18889" i="15"/>
  <c r="B18889" i="15"/>
  <c r="H18888" i="15"/>
  <c r="B18888" i="15"/>
  <c r="H18887" i="15"/>
  <c r="B18887" i="15"/>
  <c r="H18886" i="15"/>
  <c r="B18886" i="15"/>
  <c r="H18885" i="15"/>
  <c r="B18885" i="15"/>
  <c r="H18884" i="15"/>
  <c r="B18884" i="15"/>
  <c r="H18883" i="15"/>
  <c r="B18883" i="15"/>
  <c r="H18882" i="15"/>
  <c r="B18882" i="15"/>
  <c r="H18881" i="15"/>
  <c r="B18881" i="15"/>
  <c r="H18880" i="15"/>
  <c r="B18880" i="15"/>
  <c r="H18879" i="15"/>
  <c r="B18879" i="15"/>
  <c r="H18878" i="15"/>
  <c r="B18878" i="15"/>
  <c r="H18877" i="15"/>
  <c r="B18877" i="15"/>
  <c r="H18876" i="15"/>
  <c r="B18876" i="15"/>
  <c r="H18875" i="15"/>
  <c r="B18875" i="15"/>
  <c r="H18874" i="15"/>
  <c r="B18874" i="15"/>
  <c r="H18873" i="15"/>
  <c r="B18873" i="15"/>
  <c r="H18872" i="15"/>
  <c r="B18872" i="15"/>
  <c r="H18871" i="15"/>
  <c r="B18871" i="15"/>
  <c r="H18870" i="15"/>
  <c r="B18870" i="15"/>
  <c r="H18869" i="15"/>
  <c r="B18869" i="15"/>
  <c r="H18868" i="15"/>
  <c r="B18868" i="15"/>
  <c r="H18867" i="15"/>
  <c r="B18867" i="15"/>
  <c r="H18866" i="15"/>
  <c r="B18866" i="15"/>
  <c r="H18865" i="15"/>
  <c r="B18865" i="15"/>
  <c r="H18864" i="15"/>
  <c r="B18864" i="15"/>
  <c r="H18863" i="15"/>
  <c r="B18863" i="15"/>
  <c r="H18862" i="15"/>
  <c r="B18862" i="15"/>
  <c r="H18861" i="15"/>
  <c r="B18861" i="15"/>
  <c r="H18860" i="15"/>
  <c r="B18860" i="15"/>
  <c r="H18859" i="15"/>
  <c r="B18859" i="15"/>
  <c r="H18858" i="15"/>
  <c r="B18858" i="15"/>
  <c r="H18857" i="15"/>
  <c r="B18857" i="15"/>
  <c r="H18856" i="15"/>
  <c r="B18856" i="15"/>
  <c r="H18855" i="15"/>
  <c r="B18855" i="15"/>
  <c r="H18854" i="15"/>
  <c r="B18854" i="15"/>
  <c r="H18853" i="15"/>
  <c r="B18853" i="15"/>
  <c r="H18852" i="15"/>
  <c r="B18852" i="15"/>
  <c r="H18851" i="15"/>
  <c r="B18851" i="15"/>
  <c r="H18850" i="15"/>
  <c r="B18850" i="15"/>
  <c r="H18849" i="15"/>
  <c r="B18849" i="15"/>
  <c r="H18848" i="15"/>
  <c r="B18848" i="15"/>
  <c r="H18847" i="15"/>
  <c r="B18847" i="15"/>
  <c r="H18846" i="15"/>
  <c r="B18846" i="15"/>
  <c r="H18845" i="15"/>
  <c r="B18845" i="15"/>
  <c r="H18844" i="15"/>
  <c r="B18844" i="15"/>
  <c r="H18843" i="15"/>
  <c r="B18843" i="15"/>
  <c r="H18842" i="15"/>
  <c r="B18842" i="15"/>
  <c r="H18841" i="15"/>
  <c r="B18841" i="15"/>
  <c r="H18840" i="15"/>
  <c r="B18840" i="15"/>
  <c r="H18839" i="15"/>
  <c r="B18839" i="15"/>
  <c r="H18838" i="15"/>
  <c r="B18838" i="15"/>
  <c r="H18837" i="15"/>
  <c r="B18837" i="15"/>
  <c r="H18836" i="15"/>
  <c r="B18836" i="15"/>
  <c r="H18835" i="15"/>
  <c r="B18835" i="15"/>
  <c r="H18834" i="15"/>
  <c r="B18834" i="15"/>
  <c r="H18833" i="15"/>
  <c r="B18833" i="15"/>
  <c r="H18832" i="15"/>
  <c r="B18832" i="15"/>
  <c r="H18831" i="15"/>
  <c r="B18831" i="15"/>
  <c r="H18830" i="15"/>
  <c r="B18830" i="15"/>
  <c r="H18829" i="15"/>
  <c r="B18829" i="15"/>
  <c r="H18828" i="15"/>
  <c r="B18828" i="15"/>
  <c r="H18827" i="15"/>
  <c r="B18827" i="15"/>
  <c r="H18826" i="15"/>
  <c r="B18826" i="15"/>
  <c r="H18825" i="15"/>
  <c r="B18825" i="15"/>
  <c r="H18824" i="15"/>
  <c r="B18824" i="15"/>
  <c r="H18823" i="15"/>
  <c r="B18823" i="15"/>
  <c r="H18822" i="15"/>
  <c r="B18822" i="15"/>
  <c r="H18821" i="15"/>
  <c r="B18821" i="15"/>
  <c r="H18820" i="15"/>
  <c r="B18820" i="15"/>
  <c r="H18819" i="15"/>
  <c r="B18819" i="15"/>
  <c r="H18818" i="15"/>
  <c r="B18818" i="15"/>
  <c r="H18817" i="15"/>
  <c r="B18817" i="15"/>
  <c r="H18816" i="15"/>
  <c r="B18816" i="15"/>
  <c r="H18815" i="15"/>
  <c r="B18815" i="15"/>
  <c r="H18814" i="15"/>
  <c r="B18814" i="15"/>
  <c r="H18813" i="15"/>
  <c r="B18813" i="15"/>
  <c r="H18812" i="15"/>
  <c r="B18812" i="15"/>
  <c r="H18811" i="15"/>
  <c r="B18811" i="15"/>
  <c r="H18810" i="15"/>
  <c r="B18810" i="15"/>
  <c r="H18809" i="15"/>
  <c r="B18809" i="15"/>
  <c r="H18808" i="15"/>
  <c r="B18808" i="15"/>
  <c r="H18807" i="15"/>
  <c r="B18807" i="15"/>
  <c r="H18806" i="15"/>
  <c r="B18806" i="15"/>
  <c r="H18805" i="15"/>
  <c r="B18805" i="15"/>
  <c r="H18804" i="15"/>
  <c r="B18804" i="15"/>
  <c r="H18803" i="15"/>
  <c r="B18803" i="15"/>
  <c r="H18802" i="15"/>
  <c r="B18802" i="15"/>
  <c r="H18801" i="15"/>
  <c r="B18801" i="15"/>
  <c r="H18800" i="15"/>
  <c r="B18800" i="15"/>
  <c r="H18799" i="15"/>
  <c r="B18799" i="15"/>
  <c r="H18798" i="15"/>
  <c r="B18798" i="15"/>
  <c r="H18797" i="15"/>
  <c r="B18797" i="15"/>
  <c r="H18796" i="15"/>
  <c r="B18796" i="15"/>
  <c r="H18795" i="15"/>
  <c r="B18795" i="15"/>
  <c r="H18794" i="15"/>
  <c r="B18794" i="15"/>
  <c r="H18793" i="15"/>
  <c r="B18793" i="15"/>
  <c r="H18792" i="15"/>
  <c r="B18792" i="15"/>
  <c r="H18791" i="15"/>
  <c r="B18791" i="15"/>
  <c r="H18790" i="15"/>
  <c r="B18790" i="15"/>
  <c r="H18789" i="15"/>
  <c r="B18789" i="15"/>
  <c r="H18788" i="15"/>
  <c r="B18788" i="15"/>
  <c r="H18787" i="15"/>
  <c r="B18787" i="15"/>
  <c r="H18786" i="15"/>
  <c r="B18786" i="15"/>
  <c r="H18785" i="15"/>
  <c r="B18785" i="15"/>
  <c r="H18784" i="15"/>
  <c r="B18784" i="15"/>
  <c r="H18783" i="15"/>
  <c r="B18783" i="15"/>
  <c r="H18782" i="15"/>
  <c r="B18782" i="15"/>
  <c r="H18781" i="15"/>
  <c r="B18781" i="15"/>
  <c r="H18780" i="15"/>
  <c r="B18780" i="15"/>
  <c r="H18779" i="15"/>
  <c r="B18779" i="15"/>
  <c r="H18778" i="15"/>
  <c r="B18778" i="15"/>
  <c r="H18777" i="15"/>
  <c r="B18777" i="15"/>
  <c r="H18776" i="15"/>
  <c r="B18776" i="15"/>
  <c r="H18775" i="15"/>
  <c r="B18775" i="15"/>
  <c r="H18774" i="15"/>
  <c r="B18774" i="15"/>
  <c r="H18773" i="15"/>
  <c r="B18773" i="15"/>
  <c r="H18772" i="15"/>
  <c r="B18772" i="15"/>
  <c r="H18771" i="15"/>
  <c r="B18771" i="15"/>
  <c r="H18770" i="15"/>
  <c r="B18770" i="15"/>
  <c r="H18769" i="15"/>
  <c r="B18769" i="15"/>
  <c r="H18768" i="15"/>
  <c r="B18768" i="15"/>
  <c r="H18767" i="15"/>
  <c r="B18767" i="15"/>
  <c r="H18766" i="15"/>
  <c r="B18766" i="15"/>
  <c r="H18765" i="15"/>
  <c r="B18765" i="15"/>
  <c r="H18764" i="15"/>
  <c r="B18764" i="15"/>
  <c r="H18763" i="15"/>
  <c r="B18763" i="15"/>
  <c r="H18762" i="15"/>
  <c r="B18762" i="15"/>
  <c r="H18761" i="15"/>
  <c r="B18761" i="15"/>
  <c r="H18760" i="15"/>
  <c r="B18760" i="15"/>
  <c r="H18759" i="15"/>
  <c r="B18759" i="15"/>
  <c r="H18758" i="15"/>
  <c r="B18758" i="15"/>
  <c r="H18757" i="15"/>
  <c r="B18757" i="15"/>
  <c r="H18756" i="15"/>
  <c r="B18756" i="15"/>
  <c r="H18755" i="15"/>
  <c r="B18755" i="15"/>
  <c r="H18754" i="15"/>
  <c r="B18754" i="15"/>
  <c r="H18753" i="15"/>
  <c r="B18753" i="15"/>
  <c r="H18752" i="15"/>
  <c r="B18752" i="15"/>
  <c r="H18751" i="15"/>
  <c r="B18751" i="15"/>
  <c r="H18750" i="15"/>
  <c r="B18750" i="15"/>
  <c r="H18749" i="15"/>
  <c r="B18749" i="15"/>
  <c r="H18748" i="15"/>
  <c r="B18748" i="15"/>
  <c r="H18747" i="15"/>
  <c r="B18747" i="15"/>
  <c r="H18746" i="15"/>
  <c r="B18746" i="15"/>
  <c r="H18745" i="15"/>
  <c r="B18745" i="15"/>
  <c r="H18744" i="15"/>
  <c r="B18744" i="15"/>
  <c r="H18743" i="15"/>
  <c r="B18743" i="15"/>
  <c r="H18742" i="15"/>
  <c r="B18742" i="15"/>
  <c r="H18741" i="15"/>
  <c r="B18741" i="15"/>
  <c r="H18740" i="15"/>
  <c r="B18740" i="15"/>
  <c r="H18739" i="15"/>
  <c r="B18739" i="15"/>
  <c r="H18738" i="15"/>
  <c r="B18738" i="15"/>
  <c r="H18737" i="15"/>
  <c r="B18737" i="15"/>
  <c r="H18736" i="15"/>
  <c r="B18736" i="15"/>
  <c r="H18735" i="15"/>
  <c r="B18735" i="15"/>
  <c r="H18734" i="15"/>
  <c r="B18734" i="15"/>
  <c r="H18733" i="15"/>
  <c r="B18733" i="15"/>
  <c r="H18732" i="15"/>
  <c r="B18732" i="15"/>
  <c r="H18731" i="15"/>
  <c r="B18731" i="15"/>
  <c r="H18730" i="15"/>
  <c r="B18730" i="15"/>
  <c r="H18729" i="15"/>
  <c r="B18729" i="15"/>
  <c r="H18728" i="15"/>
  <c r="B18728" i="15"/>
  <c r="H18727" i="15"/>
  <c r="B18727" i="15"/>
  <c r="H18726" i="15"/>
  <c r="B18726" i="15"/>
  <c r="H18725" i="15"/>
  <c r="B18725" i="15"/>
  <c r="H18724" i="15"/>
  <c r="B18724" i="15"/>
  <c r="H18723" i="15"/>
  <c r="B18723" i="15"/>
  <c r="H18722" i="15"/>
  <c r="B18722" i="15"/>
  <c r="H18721" i="15"/>
  <c r="B18721" i="15"/>
  <c r="H18720" i="15"/>
  <c r="B18720" i="15"/>
  <c r="H18719" i="15"/>
  <c r="B18719" i="15"/>
  <c r="H18718" i="15"/>
  <c r="B18718" i="15"/>
  <c r="H18717" i="15"/>
  <c r="B18717" i="15"/>
  <c r="H18716" i="15"/>
  <c r="B18716" i="15"/>
  <c r="H18715" i="15"/>
  <c r="B18715" i="15"/>
  <c r="H18714" i="15"/>
  <c r="B18714" i="15"/>
  <c r="H18713" i="15"/>
  <c r="B18713" i="15"/>
  <c r="H18712" i="15"/>
  <c r="B18712" i="15"/>
  <c r="H18711" i="15"/>
  <c r="B18711" i="15"/>
  <c r="H18710" i="15"/>
  <c r="B18710" i="15"/>
  <c r="H18709" i="15"/>
  <c r="B18709" i="15"/>
  <c r="H18708" i="15"/>
  <c r="B18708" i="15"/>
  <c r="H18707" i="15"/>
  <c r="B18707" i="15"/>
  <c r="H18706" i="15"/>
  <c r="B18706" i="15"/>
  <c r="H18705" i="15"/>
  <c r="B18705" i="15"/>
  <c r="H18704" i="15"/>
  <c r="B18704" i="15"/>
  <c r="H18703" i="15"/>
  <c r="B18703" i="15"/>
  <c r="H18702" i="15"/>
  <c r="B18702" i="15"/>
  <c r="H18701" i="15"/>
  <c r="B18701" i="15"/>
  <c r="H18700" i="15"/>
  <c r="B18700" i="15"/>
  <c r="H18699" i="15"/>
  <c r="B18699" i="15"/>
  <c r="H18698" i="15"/>
  <c r="B18698" i="15"/>
  <c r="H18697" i="15"/>
  <c r="B18697" i="15"/>
  <c r="H18696" i="15"/>
  <c r="B18696" i="15"/>
  <c r="H18695" i="15"/>
  <c r="B18695" i="15"/>
  <c r="H18694" i="15"/>
  <c r="B18694" i="15"/>
  <c r="H18693" i="15"/>
  <c r="B18693" i="15"/>
  <c r="H18692" i="15"/>
  <c r="B18692" i="15"/>
  <c r="H18691" i="15"/>
  <c r="B18691" i="15"/>
  <c r="H18690" i="15"/>
  <c r="B18690" i="15"/>
  <c r="H18689" i="15"/>
  <c r="B18689" i="15"/>
  <c r="H18688" i="15"/>
  <c r="B18688" i="15"/>
  <c r="H18687" i="15"/>
  <c r="B18687" i="15"/>
  <c r="H18686" i="15"/>
  <c r="B18686" i="15"/>
  <c r="H18685" i="15"/>
  <c r="B18685" i="15"/>
  <c r="H18684" i="15"/>
  <c r="B18684" i="15"/>
  <c r="H18683" i="15"/>
  <c r="B18683" i="15"/>
  <c r="H18682" i="15"/>
  <c r="B18682" i="15"/>
  <c r="H18681" i="15"/>
  <c r="B18681" i="15"/>
  <c r="H18680" i="15"/>
  <c r="B18680" i="15"/>
  <c r="H18679" i="15"/>
  <c r="B18679" i="15"/>
  <c r="H18678" i="15"/>
  <c r="B18678" i="15"/>
  <c r="H18677" i="15"/>
  <c r="B18677" i="15"/>
  <c r="H18676" i="15"/>
  <c r="B18676" i="15"/>
  <c r="H18675" i="15"/>
  <c r="B18675" i="15"/>
  <c r="H18674" i="15"/>
  <c r="B18674" i="15"/>
  <c r="H18673" i="15"/>
  <c r="B18673" i="15"/>
  <c r="H18672" i="15"/>
  <c r="B18672" i="15"/>
  <c r="H18671" i="15"/>
  <c r="B18671" i="15"/>
  <c r="H18670" i="15"/>
  <c r="B18670" i="15"/>
  <c r="H18669" i="15"/>
  <c r="B18669" i="15"/>
  <c r="H18668" i="15"/>
  <c r="B18668" i="15"/>
  <c r="H18667" i="15"/>
  <c r="B18667" i="15"/>
  <c r="H18666" i="15"/>
  <c r="B18666" i="15"/>
  <c r="H18665" i="15"/>
  <c r="B18665" i="15"/>
  <c r="H18664" i="15"/>
  <c r="B18664" i="15"/>
  <c r="H18663" i="15"/>
  <c r="B18663" i="15"/>
  <c r="H18662" i="15"/>
  <c r="B18662" i="15"/>
  <c r="H18661" i="15"/>
  <c r="B18661" i="15"/>
  <c r="H18660" i="15"/>
  <c r="B18660" i="15"/>
  <c r="H18659" i="15"/>
  <c r="B18659" i="15"/>
  <c r="H18658" i="15"/>
  <c r="B18658" i="15"/>
  <c r="H18657" i="15"/>
  <c r="B18657" i="15"/>
  <c r="H18656" i="15"/>
  <c r="B18656" i="15"/>
  <c r="H18655" i="15"/>
  <c r="B18655" i="15"/>
  <c r="H18654" i="15"/>
  <c r="B18654" i="15"/>
  <c r="H18653" i="15"/>
  <c r="B18653" i="15"/>
  <c r="H18652" i="15"/>
  <c r="B18652" i="15"/>
  <c r="H18651" i="15"/>
  <c r="B18651" i="15"/>
  <c r="H18650" i="15"/>
  <c r="B18650" i="15"/>
  <c r="H18649" i="15"/>
  <c r="B18649" i="15"/>
  <c r="H18648" i="15"/>
  <c r="B18648" i="15"/>
  <c r="H18647" i="15"/>
  <c r="B18647" i="15"/>
  <c r="H18646" i="15"/>
  <c r="B18646" i="15"/>
  <c r="H18645" i="15"/>
  <c r="B18645" i="15"/>
  <c r="H18644" i="15"/>
  <c r="B18644" i="15"/>
  <c r="H18643" i="15"/>
  <c r="B18643" i="15"/>
  <c r="H18642" i="15"/>
  <c r="B18642" i="15"/>
  <c r="H18641" i="15"/>
  <c r="B18641" i="15"/>
  <c r="H18640" i="15"/>
  <c r="B18640" i="15"/>
  <c r="H18639" i="15"/>
  <c r="B18639" i="15"/>
  <c r="H18638" i="15"/>
  <c r="B18638" i="15"/>
  <c r="H18637" i="15"/>
  <c r="B18637" i="15"/>
  <c r="H18636" i="15"/>
  <c r="B18636" i="15"/>
  <c r="H18635" i="15"/>
  <c r="B18635" i="15"/>
  <c r="H18634" i="15"/>
  <c r="B18634" i="15"/>
  <c r="H18633" i="15"/>
  <c r="B18633" i="15"/>
  <c r="H18632" i="15"/>
  <c r="B18632" i="15"/>
  <c r="H18631" i="15"/>
  <c r="B18631" i="15"/>
  <c r="H18630" i="15"/>
  <c r="B18630" i="15"/>
  <c r="H18629" i="15"/>
  <c r="B18629" i="15"/>
  <c r="H18628" i="15"/>
  <c r="B18628" i="15"/>
  <c r="H18627" i="15"/>
  <c r="B18627" i="15"/>
  <c r="H18626" i="15"/>
  <c r="B18626" i="15"/>
  <c r="H18625" i="15"/>
  <c r="B18625" i="15"/>
  <c r="H18624" i="15"/>
  <c r="B18624" i="15"/>
  <c r="H18623" i="15"/>
  <c r="B18623" i="15"/>
  <c r="H18622" i="15"/>
  <c r="B18622" i="15"/>
  <c r="H18621" i="15"/>
  <c r="B18621" i="15"/>
  <c r="H18620" i="15"/>
  <c r="B18620" i="15"/>
  <c r="H18619" i="15"/>
  <c r="B18619" i="15"/>
  <c r="H18618" i="15"/>
  <c r="B18618" i="15"/>
  <c r="H18617" i="15"/>
  <c r="B18617" i="15"/>
  <c r="H18616" i="15"/>
  <c r="B18616" i="15"/>
  <c r="H18615" i="15"/>
  <c r="B18615" i="15"/>
  <c r="H18614" i="15"/>
  <c r="B18614" i="15"/>
  <c r="H18613" i="15"/>
  <c r="B18613" i="15"/>
  <c r="H18612" i="15"/>
  <c r="B18612" i="15"/>
  <c r="H18611" i="15"/>
  <c r="B18611" i="15"/>
  <c r="H18610" i="15"/>
  <c r="B18610" i="15"/>
  <c r="H18609" i="15"/>
  <c r="B18609" i="15"/>
  <c r="H18608" i="15"/>
  <c r="B18608" i="15"/>
  <c r="H18607" i="15"/>
  <c r="B18607" i="15"/>
  <c r="H18606" i="15"/>
  <c r="B18606" i="15"/>
  <c r="H18605" i="15"/>
  <c r="B18605" i="15"/>
  <c r="H18604" i="15"/>
  <c r="B18604" i="15"/>
  <c r="H18603" i="15"/>
  <c r="B18603" i="15"/>
  <c r="H18602" i="15"/>
  <c r="B18602" i="15"/>
  <c r="H18601" i="15"/>
  <c r="B18601" i="15"/>
  <c r="H18600" i="15"/>
  <c r="B18600" i="15"/>
  <c r="H18599" i="15"/>
  <c r="B18599" i="15"/>
  <c r="H18598" i="15"/>
  <c r="B18598" i="15"/>
  <c r="H18597" i="15"/>
  <c r="B18597" i="15"/>
  <c r="H18596" i="15"/>
  <c r="B18596" i="15"/>
  <c r="H18595" i="15"/>
  <c r="B18595" i="15"/>
  <c r="H18594" i="15"/>
  <c r="B18594" i="15"/>
  <c r="H18593" i="15"/>
  <c r="B18593" i="15"/>
  <c r="H18592" i="15"/>
  <c r="B18592" i="15"/>
  <c r="H18591" i="15"/>
  <c r="B18591" i="15"/>
  <c r="H18590" i="15"/>
  <c r="B18590" i="15"/>
  <c r="H18589" i="15"/>
  <c r="B18589" i="15"/>
  <c r="H18588" i="15"/>
  <c r="B18588" i="15"/>
  <c r="H18587" i="15"/>
  <c r="B18587" i="15"/>
  <c r="H18586" i="15"/>
  <c r="B18586" i="15"/>
  <c r="H18585" i="15"/>
  <c r="B18585" i="15"/>
  <c r="H18584" i="15"/>
  <c r="B18584" i="15"/>
  <c r="H18583" i="15"/>
  <c r="B18583" i="15"/>
  <c r="H18582" i="15"/>
  <c r="B18582" i="15"/>
  <c r="H18581" i="15"/>
  <c r="B18581" i="15"/>
  <c r="H18580" i="15"/>
  <c r="B18580" i="15"/>
  <c r="H18579" i="15"/>
  <c r="B18579" i="15"/>
  <c r="H18578" i="15"/>
  <c r="B18578" i="15"/>
  <c r="H18577" i="15"/>
  <c r="B18577" i="15"/>
  <c r="H18576" i="15"/>
  <c r="B18576" i="15"/>
  <c r="H18575" i="15"/>
  <c r="B18575" i="15"/>
  <c r="H18574" i="15"/>
  <c r="B18574" i="15"/>
  <c r="H18573" i="15"/>
  <c r="B18573" i="15"/>
  <c r="H18572" i="15"/>
  <c r="B18572" i="15"/>
  <c r="H18571" i="15"/>
  <c r="B18571" i="15"/>
  <c r="H18570" i="15"/>
  <c r="B18570" i="15"/>
  <c r="H18569" i="15"/>
  <c r="B18569" i="15"/>
  <c r="H18568" i="15"/>
  <c r="B18568" i="15"/>
  <c r="H18567" i="15"/>
  <c r="B18567" i="15"/>
  <c r="H18566" i="15"/>
  <c r="B18566" i="15"/>
  <c r="H18565" i="15"/>
  <c r="B18565" i="15"/>
  <c r="H18564" i="15"/>
  <c r="B18564" i="15"/>
  <c r="H18563" i="15"/>
  <c r="B18563" i="15"/>
  <c r="H18562" i="15"/>
  <c r="B18562" i="15"/>
  <c r="H18561" i="15"/>
  <c r="B18561" i="15"/>
  <c r="H18560" i="15"/>
  <c r="B18560" i="15"/>
  <c r="H18559" i="15"/>
  <c r="B18559" i="15"/>
  <c r="H18558" i="15"/>
  <c r="B18558" i="15"/>
  <c r="H18557" i="15"/>
  <c r="B18557" i="15"/>
  <c r="H18556" i="15"/>
  <c r="B18556" i="15"/>
  <c r="H18555" i="15"/>
  <c r="B18555" i="15"/>
  <c r="H18554" i="15"/>
  <c r="B18554" i="15"/>
  <c r="H18553" i="15"/>
  <c r="B18553" i="15"/>
  <c r="H18552" i="15"/>
  <c r="B18552" i="15"/>
  <c r="H18551" i="15"/>
  <c r="B18551" i="15"/>
  <c r="H18550" i="15"/>
  <c r="B18550" i="15"/>
  <c r="H18549" i="15"/>
  <c r="B18549" i="15"/>
  <c r="H18548" i="15"/>
  <c r="B18548" i="15"/>
  <c r="H18547" i="15"/>
  <c r="B18547" i="15"/>
  <c r="H18546" i="15"/>
  <c r="B18546" i="15"/>
  <c r="H18545" i="15"/>
  <c r="B18545" i="15"/>
  <c r="H18544" i="15"/>
  <c r="B18544" i="15"/>
  <c r="H18543" i="15"/>
  <c r="B18543" i="15"/>
  <c r="H18542" i="15"/>
  <c r="B18542" i="15"/>
  <c r="H18541" i="15"/>
  <c r="B18541" i="15"/>
  <c r="H18540" i="15"/>
  <c r="B18540" i="15"/>
  <c r="H18539" i="15"/>
  <c r="B18539" i="15"/>
  <c r="H18538" i="15"/>
  <c r="B18538" i="15"/>
  <c r="H18537" i="15"/>
  <c r="B18537" i="15"/>
  <c r="H18536" i="15"/>
  <c r="B18536" i="15"/>
  <c r="H18535" i="15"/>
  <c r="B18535" i="15"/>
  <c r="H18534" i="15"/>
  <c r="B18534" i="15"/>
  <c r="H18533" i="15"/>
  <c r="B18533" i="15"/>
  <c r="H18532" i="15"/>
  <c r="B18532" i="15"/>
  <c r="H18531" i="15"/>
  <c r="B18531" i="15"/>
  <c r="H18530" i="15"/>
  <c r="B18530" i="15"/>
  <c r="H18529" i="15"/>
  <c r="B18529" i="15"/>
  <c r="H18528" i="15"/>
  <c r="B18528" i="15"/>
  <c r="H18527" i="15"/>
  <c r="B18527" i="15"/>
  <c r="H18526" i="15"/>
  <c r="B18526" i="15"/>
  <c r="H18525" i="15"/>
  <c r="B18525" i="15"/>
  <c r="H18524" i="15"/>
  <c r="B18524" i="15"/>
  <c r="H18523" i="15"/>
  <c r="B18523" i="15"/>
  <c r="H18522" i="15"/>
  <c r="B18522" i="15"/>
  <c r="H18521" i="15"/>
  <c r="B18521" i="15"/>
  <c r="H18520" i="15"/>
  <c r="B18520" i="15"/>
  <c r="H18519" i="15"/>
  <c r="B18519" i="15"/>
  <c r="H18518" i="15"/>
  <c r="B18518" i="15"/>
  <c r="H18517" i="15"/>
  <c r="B18517" i="15"/>
  <c r="H18516" i="15"/>
  <c r="B18516" i="15"/>
  <c r="H18515" i="15"/>
  <c r="B18515" i="15"/>
  <c r="H18514" i="15"/>
  <c r="B18514" i="15"/>
  <c r="H18513" i="15"/>
  <c r="B18513" i="15"/>
  <c r="H18512" i="15"/>
  <c r="B18512" i="15"/>
  <c r="H18511" i="15"/>
  <c r="B18511" i="15"/>
  <c r="H18510" i="15"/>
  <c r="B18510" i="15"/>
  <c r="H18509" i="15"/>
  <c r="B18509" i="15"/>
  <c r="H18508" i="15"/>
  <c r="B18508" i="15"/>
  <c r="H18507" i="15"/>
  <c r="B18507" i="15"/>
  <c r="H18506" i="15"/>
  <c r="B18506" i="15"/>
  <c r="H18505" i="15"/>
  <c r="B18505" i="15"/>
  <c r="H18504" i="15"/>
  <c r="B18504" i="15"/>
  <c r="H18503" i="15"/>
  <c r="B18503" i="15"/>
  <c r="H18502" i="15"/>
  <c r="B18502" i="15"/>
  <c r="H18501" i="15"/>
  <c r="B18501" i="15"/>
  <c r="H18500" i="15"/>
  <c r="B18500" i="15"/>
  <c r="H18499" i="15"/>
  <c r="B18499" i="15"/>
  <c r="H18498" i="15"/>
  <c r="B18498" i="15"/>
  <c r="H18497" i="15"/>
  <c r="B18497" i="15"/>
  <c r="H18496" i="15"/>
  <c r="B18496" i="15"/>
  <c r="H18495" i="15"/>
  <c r="B18495" i="15"/>
  <c r="H18494" i="15"/>
  <c r="B18494" i="15"/>
  <c r="H18493" i="15"/>
  <c r="B18493" i="15"/>
  <c r="H18492" i="15"/>
  <c r="B18492" i="15"/>
  <c r="H18491" i="15"/>
  <c r="B18491" i="15"/>
  <c r="H18490" i="15"/>
  <c r="B18490" i="15"/>
  <c r="H18489" i="15"/>
  <c r="B18489" i="15"/>
  <c r="H18488" i="15"/>
  <c r="B18488" i="15"/>
  <c r="H18487" i="15"/>
  <c r="B18487" i="15"/>
  <c r="H18486" i="15"/>
  <c r="B18486" i="15"/>
  <c r="H18485" i="15"/>
  <c r="B18485" i="15"/>
  <c r="H18484" i="15"/>
  <c r="B18484" i="15"/>
  <c r="H18483" i="15"/>
  <c r="B18483" i="15"/>
  <c r="H18482" i="15"/>
  <c r="B18482" i="15"/>
  <c r="H18481" i="15"/>
  <c r="B18481" i="15"/>
  <c r="H18480" i="15"/>
  <c r="B18480" i="15"/>
  <c r="H18479" i="15"/>
  <c r="B18479" i="15"/>
  <c r="H18478" i="15"/>
  <c r="B18478" i="15"/>
  <c r="H18477" i="15"/>
  <c r="B18477" i="15"/>
  <c r="H18476" i="15"/>
  <c r="B18476" i="15"/>
  <c r="H18475" i="15"/>
  <c r="B18475" i="15"/>
  <c r="H18474" i="15"/>
  <c r="B18474" i="15"/>
  <c r="H18473" i="15"/>
  <c r="B18473" i="15"/>
  <c r="H18472" i="15"/>
  <c r="B18472" i="15"/>
  <c r="H18471" i="15"/>
  <c r="B18471" i="15"/>
  <c r="H18470" i="15"/>
  <c r="B18470" i="15"/>
  <c r="H18469" i="15"/>
  <c r="B18469" i="15"/>
  <c r="H18468" i="15"/>
  <c r="B18468" i="15"/>
  <c r="H18467" i="15"/>
  <c r="B18467" i="15"/>
  <c r="H18466" i="15"/>
  <c r="B18466" i="15"/>
  <c r="H18465" i="15"/>
  <c r="B18465" i="15"/>
  <c r="H18464" i="15"/>
  <c r="B18464" i="15"/>
  <c r="H18463" i="15"/>
  <c r="B18463" i="15"/>
  <c r="H18462" i="15"/>
  <c r="B18462" i="15"/>
  <c r="H18461" i="15"/>
  <c r="B18461" i="15"/>
  <c r="H18460" i="15"/>
  <c r="B18460" i="15"/>
  <c r="H18459" i="15"/>
  <c r="B18459" i="15"/>
  <c r="H18458" i="15"/>
  <c r="B18458" i="15"/>
  <c r="H18457" i="15"/>
  <c r="B18457" i="15"/>
  <c r="H18456" i="15"/>
  <c r="B18456" i="15"/>
  <c r="H18455" i="15"/>
  <c r="B18455" i="15"/>
  <c r="H18454" i="15"/>
  <c r="B18454" i="15"/>
  <c r="H18453" i="15"/>
  <c r="B18453" i="15"/>
  <c r="H18452" i="15"/>
  <c r="B18452" i="15"/>
  <c r="H18451" i="15"/>
  <c r="B18451" i="15"/>
  <c r="H18450" i="15"/>
  <c r="B18450" i="15"/>
  <c r="H18449" i="15"/>
  <c r="B18449" i="15"/>
  <c r="H18448" i="15"/>
  <c r="B18448" i="15"/>
  <c r="H18447" i="15"/>
  <c r="B18447" i="15"/>
  <c r="H18446" i="15"/>
  <c r="B18446" i="15"/>
  <c r="H18445" i="15"/>
  <c r="B18445" i="15"/>
  <c r="H18444" i="15"/>
  <c r="B18444" i="15"/>
  <c r="H18443" i="15"/>
  <c r="B18443" i="15"/>
  <c r="H18442" i="15"/>
  <c r="B18442" i="15"/>
  <c r="H18441" i="15"/>
  <c r="B18441" i="15"/>
  <c r="H18440" i="15"/>
  <c r="B18440" i="15"/>
  <c r="H18439" i="15"/>
  <c r="B18439" i="15"/>
  <c r="H18438" i="15"/>
  <c r="B18438" i="15"/>
  <c r="H18437" i="15"/>
  <c r="B18437" i="15"/>
  <c r="H18436" i="15"/>
  <c r="B18436" i="15"/>
  <c r="H18435" i="15"/>
  <c r="B18435" i="15"/>
  <c r="H18434" i="15"/>
  <c r="B18434" i="15"/>
  <c r="H18433" i="15"/>
  <c r="B18433" i="15"/>
  <c r="H18432" i="15"/>
  <c r="B18432" i="15"/>
  <c r="H18431" i="15"/>
  <c r="B18431" i="15"/>
  <c r="H18430" i="15"/>
  <c r="B18430" i="15"/>
  <c r="H18429" i="15"/>
  <c r="B18429" i="15"/>
  <c r="H18428" i="15"/>
  <c r="B18428" i="15"/>
  <c r="H18427" i="15"/>
  <c r="B18427" i="15"/>
  <c r="H18426" i="15"/>
  <c r="B18426" i="15"/>
  <c r="H18425" i="15"/>
  <c r="B18425" i="15"/>
  <c r="H18424" i="15"/>
  <c r="B18424" i="15"/>
  <c r="H18423" i="15"/>
  <c r="B18423" i="15"/>
  <c r="H18422" i="15"/>
  <c r="B18422" i="15"/>
  <c r="H18421" i="15"/>
  <c r="B18421" i="15"/>
  <c r="H18420" i="15"/>
  <c r="B18420" i="15"/>
  <c r="H18419" i="15"/>
  <c r="B18419" i="15"/>
  <c r="H18418" i="15"/>
  <c r="B18418" i="15"/>
  <c r="H18417" i="15"/>
  <c r="B18417" i="15"/>
  <c r="H18416" i="15"/>
  <c r="B18416" i="15"/>
  <c r="H18415" i="15"/>
  <c r="B18415" i="15"/>
  <c r="H18414" i="15"/>
  <c r="B18414" i="15"/>
  <c r="H18413" i="15"/>
  <c r="B18413" i="15"/>
  <c r="H18412" i="15"/>
  <c r="B18412" i="15"/>
  <c r="H18411" i="15"/>
  <c r="B18411" i="15"/>
  <c r="H18410" i="15"/>
  <c r="B18410" i="15"/>
  <c r="H18409" i="15"/>
  <c r="B18409" i="15"/>
  <c r="H18408" i="15"/>
  <c r="B18408" i="15"/>
  <c r="H18407" i="15"/>
  <c r="B18407" i="15"/>
  <c r="H18406" i="15"/>
  <c r="B18406" i="15"/>
  <c r="H18405" i="15"/>
  <c r="B18405" i="15"/>
  <c r="H18404" i="15"/>
  <c r="B18404" i="15"/>
  <c r="H18403" i="15"/>
  <c r="B18403" i="15"/>
  <c r="H18402" i="15"/>
  <c r="B18402" i="15"/>
  <c r="H18401" i="15"/>
  <c r="B18401" i="15"/>
  <c r="H18400" i="15"/>
  <c r="B18400" i="15"/>
  <c r="H18399" i="15"/>
  <c r="B18399" i="15"/>
  <c r="H18398" i="15"/>
  <c r="B18398" i="15"/>
  <c r="H18397" i="15"/>
  <c r="B18397" i="15"/>
  <c r="H18396" i="15"/>
  <c r="B18396" i="15"/>
  <c r="H18395" i="15"/>
  <c r="B18395" i="15"/>
  <c r="H18394" i="15"/>
  <c r="B18394" i="15"/>
  <c r="H18393" i="15"/>
  <c r="B18393" i="15"/>
  <c r="H18392" i="15"/>
  <c r="B18392" i="15"/>
  <c r="H18391" i="15"/>
  <c r="B18391" i="15"/>
  <c r="H18390" i="15"/>
  <c r="B18390" i="15"/>
  <c r="H18389" i="15"/>
  <c r="B18389" i="15"/>
  <c r="H18388" i="15"/>
  <c r="B18388" i="15"/>
  <c r="H18387" i="15"/>
  <c r="B18387" i="15"/>
  <c r="H18386" i="15"/>
  <c r="B18386" i="15"/>
  <c r="H18385" i="15"/>
  <c r="B18385" i="15"/>
  <c r="H18384" i="15"/>
  <c r="B18384" i="15"/>
  <c r="H18383" i="15"/>
  <c r="B18383" i="15"/>
  <c r="H18382" i="15"/>
  <c r="B18382" i="15"/>
  <c r="H18381" i="15"/>
  <c r="B18381" i="15"/>
  <c r="H18380" i="15"/>
  <c r="B18380" i="15"/>
  <c r="H18379" i="15"/>
  <c r="B18379" i="15"/>
  <c r="H18378" i="15"/>
  <c r="B18378" i="15"/>
  <c r="H18377" i="15"/>
  <c r="B18377" i="15"/>
  <c r="H18376" i="15"/>
  <c r="B18376" i="15"/>
  <c r="H18375" i="15"/>
  <c r="B18375" i="15"/>
  <c r="H18374" i="15"/>
  <c r="B18374" i="15"/>
  <c r="H18373" i="15"/>
  <c r="B18373" i="15"/>
  <c r="H18372" i="15"/>
  <c r="B18372" i="15"/>
  <c r="H18371" i="15"/>
  <c r="B18371" i="15"/>
  <c r="H18370" i="15"/>
  <c r="B18370" i="15"/>
  <c r="H18369" i="15"/>
  <c r="B18369" i="15"/>
  <c r="H18368" i="15"/>
  <c r="B18368" i="15"/>
  <c r="H18367" i="15"/>
  <c r="B18367" i="15"/>
  <c r="H18366" i="15"/>
  <c r="B18366" i="15"/>
  <c r="H18365" i="15"/>
  <c r="B18365" i="15"/>
  <c r="H18364" i="15"/>
  <c r="B18364" i="15"/>
  <c r="H18363" i="15"/>
  <c r="B18363" i="15"/>
  <c r="H18362" i="15"/>
  <c r="B18362" i="15"/>
  <c r="H18361" i="15"/>
  <c r="B18361" i="15"/>
  <c r="H18360" i="15"/>
  <c r="B18360" i="15"/>
  <c r="H18359" i="15"/>
  <c r="B18359" i="15"/>
  <c r="H18358" i="15"/>
  <c r="B18358" i="15"/>
  <c r="H18357" i="15"/>
  <c r="B18357" i="15"/>
  <c r="H18356" i="15"/>
  <c r="B18356" i="15"/>
  <c r="H18355" i="15"/>
  <c r="B18355" i="15"/>
  <c r="H18354" i="15"/>
  <c r="B18354" i="15"/>
  <c r="H18353" i="15"/>
  <c r="B18353" i="15"/>
  <c r="H18352" i="15"/>
  <c r="B18352" i="15"/>
  <c r="H18351" i="15"/>
  <c r="B18351" i="15"/>
  <c r="H18350" i="15"/>
  <c r="B18350" i="15"/>
  <c r="H18349" i="15"/>
  <c r="B18349" i="15"/>
  <c r="H18348" i="15"/>
  <c r="B18348" i="15"/>
  <c r="H18347" i="15"/>
  <c r="B18347" i="15"/>
  <c r="H18346" i="15"/>
  <c r="B18346" i="15"/>
  <c r="H18345" i="15"/>
  <c r="B18345" i="15"/>
  <c r="H18344" i="15"/>
  <c r="B18344" i="15"/>
  <c r="H18343" i="15"/>
  <c r="B18343" i="15"/>
  <c r="H18342" i="15"/>
  <c r="B18342" i="15"/>
  <c r="H18341" i="15"/>
  <c r="B18341" i="15"/>
  <c r="H18340" i="15"/>
  <c r="B18340" i="15"/>
  <c r="H18339" i="15"/>
  <c r="B18339" i="15"/>
  <c r="H18338" i="15"/>
  <c r="B18338" i="15"/>
  <c r="H18337" i="15"/>
  <c r="B18337" i="15"/>
  <c r="H18336" i="15"/>
  <c r="B18336" i="15"/>
  <c r="H18335" i="15"/>
  <c r="B18335" i="15"/>
  <c r="H18334" i="15"/>
  <c r="B18334" i="15"/>
  <c r="H18333" i="15"/>
  <c r="B18333" i="15"/>
  <c r="H18332" i="15"/>
  <c r="B18332" i="15"/>
  <c r="H18331" i="15"/>
  <c r="B18331" i="15"/>
  <c r="H18330" i="15"/>
  <c r="B18330" i="15"/>
  <c r="H18329" i="15"/>
  <c r="B18329" i="15"/>
  <c r="H18328" i="15"/>
  <c r="B18328" i="15"/>
  <c r="H18327" i="15"/>
  <c r="B18327" i="15"/>
  <c r="H18326" i="15"/>
  <c r="B18326" i="15"/>
  <c r="H18325" i="15"/>
  <c r="B18325" i="15"/>
  <c r="H18324" i="15"/>
  <c r="B18324" i="15"/>
  <c r="H18323" i="15"/>
  <c r="B18323" i="15"/>
  <c r="H18322" i="15"/>
  <c r="B18322" i="15"/>
  <c r="H18321" i="15"/>
  <c r="B18321" i="15"/>
  <c r="H18320" i="15"/>
  <c r="B18320" i="15"/>
  <c r="H18319" i="15"/>
  <c r="B18319" i="15"/>
  <c r="H18318" i="15"/>
  <c r="B18318" i="15"/>
  <c r="H18317" i="15"/>
  <c r="B18317" i="15"/>
  <c r="H18316" i="15"/>
  <c r="B18316" i="15"/>
  <c r="H18315" i="15"/>
  <c r="B18315" i="15"/>
  <c r="H18314" i="15"/>
  <c r="B18314" i="15"/>
  <c r="H18313" i="15"/>
  <c r="B18313" i="15"/>
  <c r="H18312" i="15"/>
  <c r="B18312" i="15"/>
  <c r="H18311" i="15"/>
  <c r="B18311" i="15"/>
  <c r="H18310" i="15"/>
  <c r="B18310" i="15"/>
  <c r="H18309" i="15"/>
  <c r="B18309" i="15"/>
  <c r="H18308" i="15"/>
  <c r="B18308" i="15"/>
  <c r="H18307" i="15"/>
  <c r="B18307" i="15"/>
  <c r="H18306" i="15"/>
  <c r="B18306" i="15"/>
  <c r="H18305" i="15"/>
  <c r="B18305" i="15"/>
  <c r="H18304" i="15"/>
  <c r="B18304" i="15"/>
  <c r="H18303" i="15"/>
  <c r="B18303" i="15"/>
  <c r="H18302" i="15"/>
  <c r="B18302" i="15"/>
  <c r="H18301" i="15"/>
  <c r="B18301" i="15"/>
  <c r="H18300" i="15"/>
  <c r="B18300" i="15"/>
  <c r="H18299" i="15"/>
  <c r="B18299" i="15"/>
  <c r="H18298" i="15"/>
  <c r="B18298" i="15"/>
  <c r="H18297" i="15"/>
  <c r="B18297" i="15"/>
  <c r="H18296" i="15"/>
  <c r="B18296" i="15"/>
  <c r="H18295" i="15"/>
  <c r="B18295" i="15"/>
  <c r="H18294" i="15"/>
  <c r="B18294" i="15"/>
  <c r="H18293" i="15"/>
  <c r="B18293" i="15"/>
  <c r="H18292" i="15"/>
  <c r="B18292" i="15"/>
  <c r="H18291" i="15"/>
  <c r="B18291" i="15"/>
  <c r="H18290" i="15"/>
  <c r="B18290" i="15"/>
  <c r="H18289" i="15"/>
  <c r="B18289" i="15"/>
  <c r="H18288" i="15"/>
  <c r="B18288" i="15"/>
  <c r="H18287" i="15"/>
  <c r="B18287" i="15"/>
  <c r="H18286" i="15"/>
  <c r="B18286" i="15"/>
  <c r="H18285" i="15"/>
  <c r="B18285" i="15"/>
  <c r="H18284" i="15"/>
  <c r="B18284" i="15"/>
  <c r="H18283" i="15"/>
  <c r="B18283" i="15"/>
  <c r="H18282" i="15"/>
  <c r="B18282" i="15"/>
  <c r="H18281" i="15"/>
  <c r="B18281" i="15"/>
  <c r="H18280" i="15"/>
  <c r="B18280" i="15"/>
  <c r="H18279" i="15"/>
  <c r="B18279" i="15"/>
  <c r="H18278" i="15"/>
  <c r="B18278" i="15"/>
  <c r="H18277" i="15"/>
  <c r="B18277" i="15"/>
  <c r="H18276" i="15"/>
  <c r="B18276" i="15"/>
  <c r="H18275" i="15"/>
  <c r="B18275" i="15"/>
  <c r="H18274" i="15"/>
  <c r="B18274" i="15"/>
  <c r="H18273" i="15"/>
  <c r="B18273" i="15"/>
  <c r="H18272" i="15"/>
  <c r="B18272" i="15"/>
  <c r="H18271" i="15"/>
  <c r="B18271" i="15"/>
  <c r="H18270" i="15"/>
  <c r="B18270" i="15"/>
  <c r="H18269" i="15"/>
  <c r="B18269" i="15"/>
  <c r="H18268" i="15"/>
  <c r="B18268" i="15"/>
  <c r="H18267" i="15"/>
  <c r="B18267" i="15"/>
  <c r="H18266" i="15"/>
  <c r="B18266" i="15"/>
  <c r="H18265" i="15"/>
  <c r="B18265" i="15"/>
  <c r="H18264" i="15"/>
  <c r="B18264" i="15"/>
  <c r="H18263" i="15"/>
  <c r="B18263" i="15"/>
  <c r="H18262" i="15"/>
  <c r="B18262" i="15"/>
  <c r="H18261" i="15"/>
  <c r="B18261" i="15"/>
  <c r="H18260" i="15"/>
  <c r="B18260" i="15"/>
  <c r="H18259" i="15"/>
  <c r="B18259" i="15"/>
  <c r="H18258" i="15"/>
  <c r="B18258" i="15"/>
  <c r="H18257" i="15"/>
  <c r="B18257" i="15"/>
  <c r="H18256" i="15"/>
  <c r="B18256" i="15"/>
  <c r="H18255" i="15"/>
  <c r="B18255" i="15"/>
  <c r="H18254" i="15"/>
  <c r="B18254" i="15"/>
  <c r="H18253" i="15"/>
  <c r="B18253" i="15"/>
  <c r="H18252" i="15"/>
  <c r="B18252" i="15"/>
  <c r="H18251" i="15"/>
  <c r="B18251" i="15"/>
  <c r="H18250" i="15"/>
  <c r="B18250" i="15"/>
  <c r="H18249" i="15"/>
  <c r="B18249" i="15"/>
  <c r="H18248" i="15"/>
  <c r="B18248" i="15"/>
  <c r="H18247" i="15"/>
  <c r="B18247" i="15"/>
  <c r="H18246" i="15"/>
  <c r="B18246" i="15"/>
  <c r="H18245" i="15"/>
  <c r="B18245" i="15"/>
  <c r="H18244" i="15"/>
  <c r="B18244" i="15"/>
  <c r="H18243" i="15"/>
  <c r="B18243" i="15"/>
  <c r="H18242" i="15"/>
  <c r="B18242" i="15"/>
  <c r="H18241" i="15"/>
  <c r="B18241" i="15"/>
  <c r="H18240" i="15"/>
  <c r="B18240" i="15"/>
  <c r="H18239" i="15"/>
  <c r="B18239" i="15"/>
  <c r="H18238" i="15"/>
  <c r="B18238" i="15"/>
  <c r="H18237" i="15"/>
  <c r="B18237" i="15"/>
  <c r="H18236" i="15"/>
  <c r="B18236" i="15"/>
  <c r="H18235" i="15"/>
  <c r="B18235" i="15"/>
  <c r="H18234" i="15"/>
  <c r="B18234" i="15"/>
  <c r="H18233" i="15"/>
  <c r="B18233" i="15"/>
  <c r="H18232" i="15"/>
  <c r="B18232" i="15"/>
  <c r="H18231" i="15"/>
  <c r="B18231" i="15"/>
  <c r="H18230" i="15"/>
  <c r="B18230" i="15"/>
  <c r="H18229" i="15"/>
  <c r="B18229" i="15"/>
  <c r="H18228" i="15"/>
  <c r="B18228" i="15"/>
  <c r="H18227" i="15"/>
  <c r="B18227" i="15"/>
  <c r="H18226" i="15"/>
  <c r="B18226" i="15"/>
  <c r="H18225" i="15"/>
  <c r="B18225" i="15"/>
  <c r="H18224" i="15"/>
  <c r="B18224" i="15"/>
  <c r="H18223" i="15"/>
  <c r="B18223" i="15"/>
  <c r="H18222" i="15"/>
  <c r="B18222" i="15"/>
  <c r="H18221" i="15"/>
  <c r="B18221" i="15"/>
  <c r="H18220" i="15"/>
  <c r="B18220" i="15"/>
  <c r="H18219" i="15"/>
  <c r="B18219" i="15"/>
  <c r="H18218" i="15"/>
  <c r="B18218" i="15"/>
  <c r="H18217" i="15"/>
  <c r="B18217" i="15"/>
  <c r="H18216" i="15"/>
  <c r="B18216" i="15"/>
  <c r="H18215" i="15"/>
  <c r="B18215" i="15"/>
  <c r="H18214" i="15"/>
  <c r="B18214" i="15"/>
  <c r="H18213" i="15"/>
  <c r="B18213" i="15"/>
  <c r="H18212" i="15"/>
  <c r="B18212" i="15"/>
  <c r="H18211" i="15"/>
  <c r="B18211" i="15"/>
  <c r="H18210" i="15"/>
  <c r="B18210" i="15"/>
  <c r="H18209" i="15"/>
  <c r="B18209" i="15"/>
  <c r="H18208" i="15"/>
  <c r="B18208" i="15"/>
  <c r="H18207" i="15"/>
  <c r="B18207" i="15"/>
  <c r="H18206" i="15"/>
  <c r="B18206" i="15"/>
  <c r="H18205" i="15"/>
  <c r="B18205" i="15"/>
  <c r="H18204" i="15"/>
  <c r="B18204" i="15"/>
  <c r="H18203" i="15"/>
  <c r="B18203" i="15"/>
  <c r="H18202" i="15"/>
  <c r="B18202" i="15"/>
  <c r="H18201" i="15"/>
  <c r="B18201" i="15"/>
  <c r="H18200" i="15"/>
  <c r="B18200" i="15"/>
  <c r="H18199" i="15"/>
  <c r="B18199" i="15"/>
  <c r="H18198" i="15"/>
  <c r="B18198" i="15"/>
  <c r="H18197" i="15"/>
  <c r="B18197" i="15"/>
  <c r="H18196" i="15"/>
  <c r="B18196" i="15"/>
  <c r="H18195" i="15"/>
  <c r="B18195" i="15"/>
  <c r="H18194" i="15"/>
  <c r="B18194" i="15"/>
  <c r="H18193" i="15"/>
  <c r="B18193" i="15"/>
  <c r="H18192" i="15"/>
  <c r="B18192" i="15"/>
  <c r="H18191" i="15"/>
  <c r="B18191" i="15"/>
  <c r="H18190" i="15"/>
  <c r="B18190" i="15"/>
  <c r="H18189" i="15"/>
  <c r="B18189" i="15"/>
  <c r="H18188" i="15"/>
  <c r="B18188" i="15"/>
  <c r="H18187" i="15"/>
  <c r="B18187" i="15"/>
  <c r="H18186" i="15"/>
  <c r="B18186" i="15"/>
  <c r="H18185" i="15"/>
  <c r="B18185" i="15"/>
  <c r="H18184" i="15"/>
  <c r="B18184" i="15"/>
  <c r="H18183" i="15"/>
  <c r="B18183" i="15"/>
  <c r="H18182" i="15"/>
  <c r="B18182" i="15"/>
  <c r="H18181" i="15"/>
  <c r="B18181" i="15"/>
  <c r="H18180" i="15"/>
  <c r="B18180" i="15"/>
  <c r="H18179" i="15"/>
  <c r="B18179" i="15"/>
  <c r="H18178" i="15"/>
  <c r="B18178" i="15"/>
  <c r="H18177" i="15"/>
  <c r="B18177" i="15"/>
  <c r="H18176" i="15"/>
  <c r="B18176" i="15"/>
  <c r="H18175" i="15"/>
  <c r="B18175" i="15"/>
  <c r="H18174" i="15"/>
  <c r="B18174" i="15"/>
  <c r="H18173" i="15"/>
  <c r="B18173" i="15"/>
  <c r="H18172" i="15"/>
  <c r="B18172" i="15"/>
  <c r="H18171" i="15"/>
  <c r="B18171" i="15"/>
  <c r="H18170" i="15"/>
  <c r="B18170" i="15"/>
  <c r="H18169" i="15"/>
  <c r="B18169" i="15"/>
  <c r="H18168" i="15"/>
  <c r="B18168" i="15"/>
  <c r="H18167" i="15"/>
  <c r="B18167" i="15"/>
  <c r="H18166" i="15"/>
  <c r="B18166" i="15"/>
  <c r="H18165" i="15"/>
  <c r="B18165" i="15"/>
  <c r="H18164" i="15"/>
  <c r="B18164" i="15"/>
  <c r="H18163" i="15"/>
  <c r="B18163" i="15"/>
  <c r="H18162" i="15"/>
  <c r="B18162" i="15"/>
  <c r="H18161" i="15"/>
  <c r="B18161" i="15"/>
  <c r="H18160" i="15"/>
  <c r="B18160" i="15"/>
  <c r="H18159" i="15"/>
  <c r="B18159" i="15"/>
  <c r="H18158" i="15"/>
  <c r="B18158" i="15"/>
  <c r="H18157" i="15"/>
  <c r="B18157" i="15"/>
  <c r="H18156" i="15"/>
  <c r="B18156" i="15"/>
  <c r="H18155" i="15"/>
  <c r="B18155" i="15"/>
  <c r="H18154" i="15"/>
  <c r="B18154" i="15"/>
  <c r="H18153" i="15"/>
  <c r="B18153" i="15"/>
  <c r="H18152" i="15"/>
  <c r="B18152" i="15"/>
  <c r="H18151" i="15"/>
  <c r="B18151" i="15"/>
  <c r="H18150" i="15"/>
  <c r="B18150" i="15"/>
  <c r="H18149" i="15"/>
  <c r="B18149" i="15"/>
  <c r="H18148" i="15"/>
  <c r="B18148" i="15"/>
  <c r="H18147" i="15"/>
  <c r="B18147" i="15"/>
  <c r="H18146" i="15"/>
  <c r="B18146" i="15"/>
  <c r="H18145" i="15"/>
  <c r="B18145" i="15"/>
  <c r="H18144" i="15"/>
  <c r="B18144" i="15"/>
  <c r="H18143" i="15"/>
  <c r="B18143" i="15"/>
  <c r="H18142" i="15"/>
  <c r="B18142" i="15"/>
  <c r="H18141" i="15"/>
  <c r="B18141" i="15"/>
  <c r="H18140" i="15"/>
  <c r="B18140" i="15"/>
  <c r="H18139" i="15"/>
  <c r="B18139" i="15"/>
  <c r="H18138" i="15"/>
  <c r="B18138" i="15"/>
  <c r="H18137" i="15"/>
  <c r="B18137" i="15"/>
  <c r="H18136" i="15"/>
  <c r="B18136" i="15"/>
  <c r="H18135" i="15"/>
  <c r="B18135" i="15"/>
  <c r="H18134" i="15"/>
  <c r="B18134" i="15"/>
  <c r="H18133" i="15"/>
  <c r="B18133" i="15"/>
  <c r="H18132" i="15"/>
  <c r="B18132" i="15"/>
  <c r="H18131" i="15"/>
  <c r="B18131" i="15"/>
  <c r="H18130" i="15"/>
  <c r="B18130" i="15"/>
  <c r="H18129" i="15"/>
  <c r="B18129" i="15"/>
  <c r="H18128" i="15"/>
  <c r="B18128" i="15"/>
  <c r="H18127" i="15"/>
  <c r="B18127" i="15"/>
  <c r="H18126" i="15"/>
  <c r="B18126" i="15"/>
  <c r="H18125" i="15"/>
  <c r="B18125" i="15"/>
  <c r="H18124" i="15"/>
  <c r="B18124" i="15"/>
  <c r="H18123" i="15"/>
  <c r="B18123" i="15"/>
  <c r="H18122" i="15"/>
  <c r="B18122" i="15"/>
  <c r="H18121" i="15"/>
  <c r="B18121" i="15"/>
  <c r="H18120" i="15"/>
  <c r="B18120" i="15"/>
  <c r="H18119" i="15"/>
  <c r="B18119" i="15"/>
  <c r="H18118" i="15"/>
  <c r="B18118" i="15"/>
  <c r="H18117" i="15"/>
  <c r="B18117" i="15"/>
  <c r="H18116" i="15"/>
  <c r="B18116" i="15"/>
  <c r="H18115" i="15"/>
  <c r="B18115" i="15"/>
  <c r="H18114" i="15"/>
  <c r="B18114" i="15"/>
  <c r="H18113" i="15"/>
  <c r="B18113" i="15"/>
  <c r="H18112" i="15"/>
  <c r="B18112" i="15"/>
  <c r="H18111" i="15"/>
  <c r="B18111" i="15"/>
  <c r="H18110" i="15"/>
  <c r="B18110" i="15"/>
  <c r="H18109" i="15"/>
  <c r="B18109" i="15"/>
  <c r="H18108" i="15"/>
  <c r="B18108" i="15"/>
  <c r="H18107" i="15"/>
  <c r="B18107" i="15"/>
  <c r="H18106" i="15"/>
  <c r="B18106" i="15"/>
  <c r="H18105" i="15"/>
  <c r="B18105" i="15"/>
  <c r="H18104" i="15"/>
  <c r="B18104" i="15"/>
  <c r="H18103" i="15"/>
  <c r="B18103" i="15"/>
  <c r="H18102" i="15"/>
  <c r="B18102" i="15"/>
  <c r="H18101" i="15"/>
  <c r="B18101" i="15"/>
  <c r="H18100" i="15"/>
  <c r="B18100" i="15"/>
  <c r="H18099" i="15"/>
  <c r="B18099" i="15"/>
  <c r="H18098" i="15"/>
  <c r="B18098" i="15"/>
  <c r="H18097" i="15"/>
  <c r="B18097" i="15"/>
  <c r="H18096" i="15"/>
  <c r="B18096" i="15"/>
  <c r="H18095" i="15"/>
  <c r="B18095" i="15"/>
  <c r="H18094" i="15"/>
  <c r="B18094" i="15"/>
  <c r="H18093" i="15"/>
  <c r="B18093" i="15"/>
  <c r="H18092" i="15"/>
  <c r="B18092" i="15"/>
  <c r="H18091" i="15"/>
  <c r="B18091" i="15"/>
  <c r="H18090" i="15"/>
  <c r="B18090" i="15"/>
  <c r="H18089" i="15"/>
  <c r="B18089" i="15"/>
  <c r="H18088" i="15"/>
  <c r="B18088" i="15"/>
  <c r="H18087" i="15"/>
  <c r="B18087" i="15"/>
  <c r="H18086" i="15"/>
  <c r="B18086" i="15"/>
  <c r="H18085" i="15"/>
  <c r="B18085" i="15"/>
  <c r="H18084" i="15"/>
  <c r="B18084" i="15"/>
  <c r="H18083" i="15"/>
  <c r="B18083" i="15"/>
  <c r="H18082" i="15"/>
  <c r="B18082" i="15"/>
  <c r="H18081" i="15"/>
  <c r="B18081" i="15"/>
  <c r="H18080" i="15"/>
  <c r="B18080" i="15"/>
  <c r="H18079" i="15"/>
  <c r="B18079" i="15"/>
  <c r="H18078" i="15"/>
  <c r="B18078" i="15"/>
  <c r="H18077" i="15"/>
  <c r="B18077" i="15"/>
  <c r="H18076" i="15"/>
  <c r="B18076" i="15"/>
  <c r="H18075" i="15"/>
  <c r="B18075" i="15"/>
  <c r="H18074" i="15"/>
  <c r="B18074" i="15"/>
  <c r="H18073" i="15"/>
  <c r="B18073" i="15"/>
  <c r="H18072" i="15"/>
  <c r="B18072" i="15"/>
  <c r="H18071" i="15"/>
  <c r="B18071" i="15"/>
  <c r="H18070" i="15"/>
  <c r="B18070" i="15"/>
  <c r="H18069" i="15"/>
  <c r="B18069" i="15"/>
  <c r="H18068" i="15"/>
  <c r="B18068" i="15"/>
  <c r="H18067" i="15"/>
  <c r="B18067" i="15"/>
  <c r="H18066" i="15"/>
  <c r="B18066" i="15"/>
  <c r="H18065" i="15"/>
  <c r="B18065" i="15"/>
  <c r="H18064" i="15"/>
  <c r="B18064" i="15"/>
  <c r="H18063" i="15"/>
  <c r="B18063" i="15"/>
  <c r="H18062" i="15"/>
  <c r="B18062" i="15"/>
  <c r="H18061" i="15"/>
  <c r="B18061" i="15"/>
  <c r="H18060" i="15"/>
  <c r="B18060" i="15"/>
  <c r="H18059" i="15"/>
  <c r="B18059" i="15"/>
  <c r="H18058" i="15"/>
  <c r="B18058" i="15"/>
  <c r="H18057" i="15"/>
  <c r="B18057" i="15"/>
  <c r="H18056" i="15"/>
  <c r="B18056" i="15"/>
  <c r="H18055" i="15"/>
  <c r="B18055" i="15"/>
  <c r="H18054" i="15"/>
  <c r="B18054" i="15"/>
  <c r="H18053" i="15"/>
  <c r="B18053" i="15"/>
  <c r="H18052" i="15"/>
  <c r="B18052" i="15"/>
  <c r="H18051" i="15"/>
  <c r="B18051" i="15"/>
  <c r="H18050" i="15"/>
  <c r="B18050" i="15"/>
  <c r="H18049" i="15"/>
  <c r="B18049" i="15"/>
  <c r="H18048" i="15"/>
  <c r="B18048" i="15"/>
  <c r="H18047" i="15"/>
  <c r="B18047" i="15"/>
  <c r="H18046" i="15"/>
  <c r="B18046" i="15"/>
  <c r="H18045" i="15"/>
  <c r="B18045" i="15"/>
  <c r="H18044" i="15"/>
  <c r="B18044" i="15"/>
  <c r="H18043" i="15"/>
  <c r="B18043" i="15"/>
  <c r="H18042" i="15"/>
  <c r="B18042" i="15"/>
  <c r="H18041" i="15"/>
  <c r="B18041" i="15"/>
  <c r="H18040" i="15"/>
  <c r="B18040" i="15"/>
  <c r="H18039" i="15"/>
  <c r="B18039" i="15"/>
  <c r="H18038" i="15"/>
  <c r="B18038" i="15"/>
  <c r="H18037" i="15"/>
  <c r="B18037" i="15"/>
  <c r="H18036" i="15"/>
  <c r="B18036" i="15"/>
  <c r="H18035" i="15"/>
  <c r="B18035" i="15"/>
  <c r="H18034" i="15"/>
  <c r="B18034" i="15"/>
  <c r="H18033" i="15"/>
  <c r="B18033" i="15"/>
  <c r="H18032" i="15"/>
  <c r="B18032" i="15"/>
  <c r="H18031" i="15"/>
  <c r="B18031" i="15"/>
  <c r="H18030" i="15"/>
  <c r="B18030" i="15"/>
  <c r="H18029" i="15"/>
  <c r="B18029" i="15"/>
  <c r="H18028" i="15"/>
  <c r="B18028" i="15"/>
  <c r="H18027" i="15"/>
  <c r="B18027" i="15"/>
  <c r="H18026" i="15"/>
  <c r="B18026" i="15"/>
  <c r="H18025" i="15"/>
  <c r="B18025" i="15"/>
  <c r="H18024" i="15"/>
  <c r="B18024" i="15"/>
  <c r="H18023" i="15"/>
  <c r="B18023" i="15"/>
  <c r="H18022" i="15"/>
  <c r="B18022" i="15"/>
  <c r="H18021" i="15"/>
  <c r="B18021" i="15"/>
  <c r="H18020" i="15"/>
  <c r="B18020" i="15"/>
  <c r="H18019" i="15"/>
  <c r="B18019" i="15"/>
  <c r="H18018" i="15"/>
  <c r="B18018" i="15"/>
  <c r="H18017" i="15"/>
  <c r="B18017" i="15"/>
  <c r="H18016" i="15"/>
  <c r="B18016" i="15"/>
  <c r="H18015" i="15"/>
  <c r="B18015" i="15"/>
  <c r="H18014" i="15"/>
  <c r="B18014" i="15"/>
  <c r="H18013" i="15"/>
  <c r="B18013" i="15"/>
  <c r="H18012" i="15"/>
  <c r="B18012" i="15"/>
  <c r="H18011" i="15"/>
  <c r="B18011" i="15"/>
  <c r="H18010" i="15"/>
  <c r="B18010" i="15"/>
  <c r="H18009" i="15"/>
  <c r="B18009" i="15"/>
  <c r="H18008" i="15"/>
  <c r="B18008" i="15"/>
  <c r="H18007" i="15"/>
  <c r="B18007" i="15"/>
  <c r="H18006" i="15"/>
  <c r="B18006" i="15"/>
  <c r="H18005" i="15"/>
  <c r="B18005" i="15"/>
  <c r="H18004" i="15"/>
  <c r="B18004" i="15"/>
  <c r="H18003" i="15"/>
  <c r="B18003" i="15"/>
  <c r="H18002" i="15"/>
  <c r="B18002" i="15"/>
  <c r="H18001" i="15"/>
  <c r="B18001" i="15"/>
  <c r="H18000" i="15"/>
  <c r="B18000" i="15"/>
  <c r="H17999" i="15"/>
  <c r="B17999" i="15"/>
  <c r="H17998" i="15"/>
  <c r="B17998" i="15"/>
  <c r="H17997" i="15"/>
  <c r="B17997" i="15"/>
  <c r="H17996" i="15"/>
  <c r="B17996" i="15"/>
  <c r="H17995" i="15"/>
  <c r="B17995" i="15"/>
  <c r="H17994" i="15"/>
  <c r="B17994" i="15"/>
  <c r="H17993" i="15"/>
  <c r="B17993" i="15"/>
  <c r="H17992" i="15"/>
  <c r="B17992" i="15"/>
  <c r="H17991" i="15"/>
  <c r="B17991" i="15"/>
  <c r="H17990" i="15"/>
  <c r="B17990" i="15"/>
  <c r="H17989" i="15"/>
  <c r="B17989" i="15"/>
  <c r="H17988" i="15"/>
  <c r="B17988" i="15"/>
  <c r="H17987" i="15"/>
  <c r="B17987" i="15"/>
  <c r="H17986" i="15"/>
  <c r="B17986" i="15"/>
  <c r="H17985" i="15"/>
  <c r="B17985" i="15"/>
  <c r="H17984" i="15"/>
  <c r="B17984" i="15"/>
  <c r="H17983" i="15"/>
  <c r="B17983" i="15"/>
  <c r="H17982" i="15"/>
  <c r="B17982" i="15"/>
  <c r="H17981" i="15"/>
  <c r="B17981" i="15"/>
  <c r="H17980" i="15"/>
  <c r="B17980" i="15"/>
  <c r="H17979" i="15"/>
  <c r="B17979" i="15"/>
  <c r="H17978" i="15"/>
  <c r="B17978" i="15"/>
  <c r="H17977" i="15"/>
  <c r="B17977" i="15"/>
  <c r="H17976" i="15"/>
  <c r="B17976" i="15"/>
  <c r="H17975" i="15"/>
  <c r="B17975" i="15"/>
  <c r="H17974" i="15"/>
  <c r="B17974" i="15"/>
  <c r="H17973" i="15"/>
  <c r="B17973" i="15"/>
  <c r="H17972" i="15"/>
  <c r="B17972" i="15"/>
  <c r="H17971" i="15"/>
  <c r="B17971" i="15"/>
  <c r="H17970" i="15"/>
  <c r="B17970" i="15"/>
  <c r="H17969" i="15"/>
  <c r="B17969" i="15"/>
  <c r="H17968" i="15"/>
  <c r="B17968" i="15"/>
  <c r="H17967" i="15"/>
  <c r="B17967" i="15"/>
  <c r="H17966" i="15"/>
  <c r="B17966" i="15"/>
  <c r="H17965" i="15"/>
  <c r="B17965" i="15"/>
  <c r="H17964" i="15"/>
  <c r="B17964" i="15"/>
  <c r="H17963" i="15"/>
  <c r="B17963" i="15"/>
  <c r="H17962" i="15"/>
  <c r="B17962" i="15"/>
  <c r="H17961" i="15"/>
  <c r="B17961" i="15"/>
  <c r="H17960" i="15"/>
  <c r="B17960" i="15"/>
  <c r="H17959" i="15"/>
  <c r="B17959" i="15"/>
  <c r="H17958" i="15"/>
  <c r="B17958" i="15"/>
  <c r="H17957" i="15"/>
  <c r="B17957" i="15"/>
  <c r="H17956" i="15"/>
  <c r="B17956" i="15"/>
  <c r="H17955" i="15"/>
  <c r="B17955" i="15"/>
  <c r="H17954" i="15"/>
  <c r="B17954" i="15"/>
  <c r="H17953" i="15"/>
  <c r="B17953" i="15"/>
  <c r="H17952" i="15"/>
  <c r="B17952" i="15"/>
  <c r="H17951" i="15"/>
  <c r="B17951" i="15"/>
  <c r="H17950" i="15"/>
  <c r="B17950" i="15"/>
  <c r="H17949" i="15"/>
  <c r="B17949" i="15"/>
  <c r="H17948" i="15"/>
  <c r="B17948" i="15"/>
  <c r="H17947" i="15"/>
  <c r="B17947" i="15"/>
  <c r="H17946" i="15"/>
  <c r="B17946" i="15"/>
  <c r="H17945" i="15"/>
  <c r="B17945" i="15"/>
  <c r="H17944" i="15"/>
  <c r="B17944" i="15"/>
  <c r="H17943" i="15"/>
  <c r="B17943" i="15"/>
  <c r="H17942" i="15"/>
  <c r="B17942" i="15"/>
  <c r="H17941" i="15"/>
  <c r="B17941" i="15"/>
  <c r="H17940" i="15"/>
  <c r="B17940" i="15"/>
  <c r="H17939" i="15"/>
  <c r="B17939" i="15"/>
  <c r="H17938" i="15"/>
  <c r="B17938" i="15"/>
  <c r="H17937" i="15"/>
  <c r="B17937" i="15"/>
  <c r="H17936" i="15"/>
  <c r="B17936" i="15"/>
  <c r="H17935" i="15"/>
  <c r="B17935" i="15"/>
  <c r="H17934" i="15"/>
  <c r="B17934" i="15"/>
  <c r="H17933" i="15"/>
  <c r="B17933" i="15"/>
  <c r="H17932" i="15"/>
  <c r="B17932" i="15"/>
  <c r="H17931" i="15"/>
  <c r="B17931" i="15"/>
  <c r="H17930" i="15"/>
  <c r="B17930" i="15"/>
  <c r="H17929" i="15"/>
  <c r="B17929" i="15"/>
  <c r="H17928" i="15"/>
  <c r="B17928" i="15"/>
  <c r="H17927" i="15"/>
  <c r="B17927" i="15"/>
  <c r="H17926" i="15"/>
  <c r="B17926" i="15"/>
  <c r="H17925" i="15"/>
  <c r="B17925" i="15"/>
  <c r="H17924" i="15"/>
  <c r="B17924" i="15"/>
  <c r="H17923" i="15"/>
  <c r="B17923" i="15"/>
  <c r="H17922" i="15"/>
  <c r="B17922" i="15"/>
  <c r="H17921" i="15"/>
  <c r="B17921" i="15"/>
  <c r="H17920" i="15"/>
  <c r="B17920" i="15"/>
  <c r="H17919" i="15"/>
  <c r="B17919" i="15"/>
  <c r="H17918" i="15"/>
  <c r="B17918" i="15"/>
  <c r="H17917" i="15"/>
  <c r="B17917" i="15"/>
  <c r="H17916" i="15"/>
  <c r="B17916" i="15"/>
  <c r="H17915" i="15"/>
  <c r="B17915" i="15"/>
  <c r="H17914" i="15"/>
  <c r="B17914" i="15"/>
  <c r="H17913" i="15"/>
  <c r="B17913" i="15"/>
  <c r="H17912" i="15"/>
  <c r="B17912" i="15"/>
  <c r="H17911" i="15"/>
  <c r="B17911" i="15"/>
  <c r="H17910" i="15"/>
  <c r="B17910" i="15"/>
  <c r="H17909" i="15"/>
  <c r="B17909" i="15"/>
  <c r="H17908" i="15"/>
  <c r="B17908" i="15"/>
  <c r="H17907" i="15"/>
  <c r="B17907" i="15"/>
  <c r="H17906" i="15"/>
  <c r="B17906" i="15"/>
  <c r="H17905" i="15"/>
  <c r="B17905" i="15"/>
  <c r="H17904" i="15"/>
  <c r="B17904" i="15"/>
  <c r="H17903" i="15"/>
  <c r="B17903" i="15"/>
  <c r="H17902" i="15"/>
  <c r="B17902" i="15"/>
  <c r="H17901" i="15"/>
  <c r="B17901" i="15"/>
  <c r="H17900" i="15"/>
  <c r="B17900" i="15"/>
  <c r="H17899" i="15"/>
  <c r="B17899" i="15"/>
  <c r="H17898" i="15"/>
  <c r="B17898" i="15"/>
  <c r="H17897" i="15"/>
  <c r="B17897" i="15"/>
  <c r="H17896" i="15"/>
  <c r="B17896" i="15"/>
  <c r="H17895" i="15"/>
  <c r="B17895" i="15"/>
  <c r="H17894" i="15"/>
  <c r="B17894" i="15"/>
  <c r="H17893" i="15"/>
  <c r="B17893" i="15"/>
  <c r="H17892" i="15"/>
  <c r="B17892" i="15"/>
  <c r="H17891" i="15"/>
  <c r="B17891" i="15"/>
  <c r="H17890" i="15"/>
  <c r="B17890" i="15"/>
  <c r="H17889" i="15"/>
  <c r="B17889" i="15"/>
  <c r="H17888" i="15"/>
  <c r="B17888" i="15"/>
  <c r="H17887" i="15"/>
  <c r="B17887" i="15"/>
  <c r="H17886" i="15"/>
  <c r="B17886" i="15"/>
  <c r="H17885" i="15"/>
  <c r="B17885" i="15"/>
  <c r="H17884" i="15"/>
  <c r="B17884" i="15"/>
  <c r="H17883" i="15"/>
  <c r="B17883" i="15"/>
  <c r="H17882" i="15"/>
  <c r="B17882" i="15"/>
  <c r="H17881" i="15"/>
  <c r="B17881" i="15"/>
  <c r="H17880" i="15"/>
  <c r="B17880" i="15"/>
  <c r="H17879" i="15"/>
  <c r="B17879" i="15"/>
  <c r="H17878" i="15"/>
  <c r="B17878" i="15"/>
  <c r="H17877" i="15"/>
  <c r="B17877" i="15"/>
  <c r="H17876" i="15"/>
  <c r="B17876" i="15"/>
  <c r="H17875" i="15"/>
  <c r="B17875" i="15"/>
  <c r="H17874" i="15"/>
  <c r="B17874" i="15"/>
  <c r="H17873" i="15"/>
  <c r="B17873" i="15"/>
  <c r="H17872" i="15"/>
  <c r="B17872" i="15"/>
  <c r="H17871" i="15"/>
  <c r="B17871" i="15"/>
  <c r="H17870" i="15"/>
  <c r="B17870" i="15"/>
  <c r="H17869" i="15"/>
  <c r="B17869" i="15"/>
  <c r="H17868" i="15"/>
  <c r="B17868" i="15"/>
  <c r="H17867" i="15"/>
  <c r="B17867" i="15"/>
  <c r="H17866" i="15"/>
  <c r="B17866" i="15"/>
  <c r="H17865" i="15"/>
  <c r="B17865" i="15"/>
  <c r="H17864" i="15"/>
  <c r="B17864" i="15"/>
  <c r="H17863" i="15"/>
  <c r="B17863" i="15"/>
  <c r="H17862" i="15"/>
  <c r="B17862" i="15"/>
  <c r="H17861" i="15"/>
  <c r="B17861" i="15"/>
  <c r="H17860" i="15"/>
  <c r="B17860" i="15"/>
  <c r="H17859" i="15"/>
  <c r="B17859" i="15"/>
  <c r="H17858" i="15"/>
  <c r="B17858" i="15"/>
  <c r="H17857" i="15"/>
  <c r="B17857" i="15"/>
  <c r="H17856" i="15"/>
  <c r="B17856" i="15"/>
  <c r="H17855" i="15"/>
  <c r="B17855" i="15"/>
  <c r="H17854" i="15"/>
  <c r="B17854" i="15"/>
  <c r="H17853" i="15"/>
  <c r="B17853" i="15"/>
  <c r="H17852" i="15"/>
  <c r="B17852" i="15"/>
  <c r="H17851" i="15"/>
  <c r="B17851" i="15"/>
  <c r="H17850" i="15"/>
  <c r="B17850" i="15"/>
  <c r="H17849" i="15"/>
  <c r="B17849" i="15"/>
  <c r="H17848" i="15"/>
  <c r="B17848" i="15"/>
  <c r="H17847" i="15"/>
  <c r="B17847" i="15"/>
  <c r="H17846" i="15"/>
  <c r="B17846" i="15"/>
  <c r="H17845" i="15"/>
  <c r="B17845" i="15"/>
  <c r="H17844" i="15"/>
  <c r="B17844" i="15"/>
  <c r="H17843" i="15"/>
  <c r="B17843" i="15"/>
  <c r="H17842" i="15"/>
  <c r="B17842" i="15"/>
  <c r="H17841" i="15"/>
  <c r="B17841" i="15"/>
  <c r="H17840" i="15"/>
  <c r="B17840" i="15"/>
  <c r="H17839" i="15"/>
  <c r="B17839" i="15"/>
  <c r="H17838" i="15"/>
  <c r="B17838" i="15"/>
  <c r="H17837" i="15"/>
  <c r="B17837" i="15"/>
  <c r="H17836" i="15"/>
  <c r="B17836" i="15"/>
  <c r="H17835" i="15"/>
  <c r="B17835" i="15"/>
  <c r="H17834" i="15"/>
  <c r="B17834" i="15"/>
  <c r="H17833" i="15"/>
  <c r="B17833" i="15"/>
  <c r="H17832" i="15"/>
  <c r="B17832" i="15"/>
  <c r="H17831" i="15"/>
  <c r="B17831" i="15"/>
  <c r="H17830" i="15"/>
  <c r="B17830" i="15"/>
  <c r="H17829" i="15"/>
  <c r="B17829" i="15"/>
  <c r="H17828" i="15"/>
  <c r="B17828" i="15"/>
  <c r="H17827" i="15"/>
  <c r="B17827" i="15"/>
  <c r="H17826" i="15"/>
  <c r="B17826" i="15"/>
  <c r="H17825" i="15"/>
  <c r="B17825" i="15"/>
  <c r="H17824" i="15"/>
  <c r="B17824" i="15"/>
  <c r="H17823" i="15"/>
  <c r="B17823" i="15"/>
  <c r="H17822" i="15"/>
  <c r="B17822" i="15"/>
  <c r="H17821" i="15"/>
  <c r="B17821" i="15"/>
  <c r="H17820" i="15"/>
  <c r="B17820" i="15"/>
  <c r="H17819" i="15"/>
  <c r="B17819" i="15"/>
  <c r="H17818" i="15"/>
  <c r="B17818" i="15"/>
  <c r="H17817" i="15"/>
  <c r="B17817" i="15"/>
  <c r="H17816" i="15"/>
  <c r="B17816" i="15"/>
  <c r="H17815" i="15"/>
  <c r="B17815" i="15"/>
  <c r="H17814" i="15"/>
  <c r="B17814" i="15"/>
  <c r="H17813" i="15"/>
  <c r="B17813" i="15"/>
  <c r="H17812" i="15"/>
  <c r="B17812" i="15"/>
  <c r="H17811" i="15"/>
  <c r="B17811" i="15"/>
  <c r="H17810" i="15"/>
  <c r="B17810" i="15"/>
  <c r="H17809" i="15"/>
  <c r="B17809" i="15"/>
  <c r="H17808" i="15"/>
  <c r="B17808" i="15"/>
  <c r="H17807" i="15"/>
  <c r="B17807" i="15"/>
  <c r="H17806" i="15"/>
  <c r="B17806" i="15"/>
  <c r="H17805" i="15"/>
  <c r="B17805" i="15"/>
  <c r="H17804" i="15"/>
  <c r="B17804" i="15"/>
  <c r="H17803" i="15"/>
  <c r="B17803" i="15"/>
  <c r="H17802" i="15"/>
  <c r="B17802" i="15"/>
  <c r="H17801" i="15"/>
  <c r="B17801" i="15"/>
  <c r="H17800" i="15"/>
  <c r="B17800" i="15"/>
  <c r="H17799" i="15"/>
  <c r="B17799" i="15"/>
  <c r="H17798" i="15"/>
  <c r="B17798" i="15"/>
  <c r="H17797" i="15"/>
  <c r="B17797" i="15"/>
  <c r="H17796" i="15"/>
  <c r="B17796" i="15"/>
  <c r="H17795" i="15"/>
  <c r="B17795" i="15"/>
  <c r="H17794" i="15"/>
  <c r="B17794" i="15"/>
  <c r="H17793" i="15"/>
  <c r="B17793" i="15"/>
  <c r="H17792" i="15"/>
  <c r="B17792" i="15"/>
  <c r="H17791" i="15"/>
  <c r="B17791" i="15"/>
  <c r="H17790" i="15"/>
  <c r="B17790" i="15"/>
  <c r="H17789" i="15"/>
  <c r="B17789" i="15"/>
  <c r="H17788" i="15"/>
  <c r="B17788" i="15"/>
  <c r="H17787" i="15"/>
  <c r="B17787" i="15"/>
  <c r="H17786" i="15"/>
  <c r="B17786" i="15"/>
  <c r="H17785" i="15"/>
  <c r="B17785" i="15"/>
  <c r="H17784" i="15"/>
  <c r="B17784" i="15"/>
  <c r="H17783" i="15"/>
  <c r="B17783" i="15"/>
  <c r="H17782" i="15"/>
  <c r="B17782" i="15"/>
  <c r="H17781" i="15"/>
  <c r="B17781" i="15"/>
  <c r="H17780" i="15"/>
  <c r="B17780" i="15"/>
  <c r="H17779" i="15"/>
  <c r="B17779" i="15"/>
  <c r="H17778" i="15"/>
  <c r="B17778" i="15"/>
  <c r="H17777" i="15"/>
  <c r="B17777" i="15"/>
  <c r="H17776" i="15"/>
  <c r="B17776" i="15"/>
  <c r="H17775" i="15"/>
  <c r="B17775" i="15"/>
  <c r="H17774" i="15"/>
  <c r="B17774" i="15"/>
  <c r="H17773" i="15"/>
  <c r="B17773" i="15"/>
  <c r="H17772" i="15"/>
  <c r="B17772" i="15"/>
  <c r="H17771" i="15"/>
  <c r="B17771" i="15"/>
  <c r="H17770" i="15"/>
  <c r="B17770" i="15"/>
  <c r="H17769" i="15"/>
  <c r="B17769" i="15"/>
  <c r="H17768" i="15"/>
  <c r="B17768" i="15"/>
  <c r="H17767" i="15"/>
  <c r="B17767" i="15"/>
  <c r="H17766" i="15"/>
  <c r="B17766" i="15"/>
  <c r="H17765" i="15"/>
  <c r="B17765" i="15"/>
  <c r="H17764" i="15"/>
  <c r="B17764" i="15"/>
  <c r="H17763" i="15"/>
  <c r="B17763" i="15"/>
  <c r="H17762" i="15"/>
  <c r="B17762" i="15"/>
  <c r="H17761" i="15"/>
  <c r="B17761" i="15"/>
  <c r="H17760" i="15"/>
  <c r="B17760" i="15"/>
  <c r="H17759" i="15"/>
  <c r="B17759" i="15"/>
  <c r="H17758" i="15"/>
  <c r="B17758" i="15"/>
  <c r="H17757" i="15"/>
  <c r="B17757" i="15"/>
  <c r="H17756" i="15"/>
  <c r="B17756" i="15"/>
  <c r="H17755" i="15"/>
  <c r="B17755" i="15"/>
  <c r="H17754" i="15"/>
  <c r="B17754" i="15"/>
  <c r="H17753" i="15"/>
  <c r="B17753" i="15"/>
  <c r="H17752" i="15"/>
  <c r="B17752" i="15"/>
  <c r="H17751" i="15"/>
  <c r="B17751" i="15"/>
  <c r="H17750" i="15"/>
  <c r="B17750" i="15"/>
  <c r="H17749" i="15"/>
  <c r="B17749" i="15"/>
  <c r="H17748" i="15"/>
  <c r="B17748" i="15"/>
  <c r="H17747" i="15"/>
  <c r="B17747" i="15"/>
  <c r="H17746" i="15"/>
  <c r="B17746" i="15"/>
  <c r="H17745" i="15"/>
  <c r="B17745" i="15"/>
  <c r="H17744" i="15"/>
  <c r="B17744" i="15"/>
  <c r="H17743" i="15"/>
  <c r="B17743" i="15"/>
  <c r="H17742" i="15"/>
  <c r="B17742" i="15"/>
  <c r="H17741" i="15"/>
  <c r="B17741" i="15"/>
  <c r="H17740" i="15"/>
  <c r="B17740" i="15"/>
  <c r="H17739" i="15"/>
  <c r="B17739" i="15"/>
  <c r="H17738" i="15"/>
  <c r="B17738" i="15"/>
  <c r="H17737" i="15"/>
  <c r="B17737" i="15"/>
  <c r="H17736" i="15"/>
  <c r="B17736" i="15"/>
  <c r="H17735" i="15"/>
  <c r="B17735" i="15"/>
  <c r="H17734" i="15"/>
  <c r="B17734" i="15"/>
  <c r="H17733" i="15"/>
  <c r="B17733" i="15"/>
  <c r="H17732" i="15"/>
  <c r="B17732" i="15"/>
  <c r="H17731" i="15"/>
  <c r="B17731" i="15"/>
  <c r="H17730" i="15"/>
  <c r="B17730" i="15"/>
  <c r="H17729" i="15"/>
  <c r="B17729" i="15"/>
  <c r="H17728" i="15"/>
  <c r="B17728" i="15"/>
  <c r="H17727" i="15"/>
  <c r="B17727" i="15"/>
  <c r="H17726" i="15"/>
  <c r="B17726" i="15"/>
  <c r="H17725" i="15"/>
  <c r="B17725" i="15"/>
  <c r="H17724" i="15"/>
  <c r="B17724" i="15"/>
  <c r="H17723" i="15"/>
  <c r="B17723" i="15"/>
  <c r="H17722" i="15"/>
  <c r="B17722" i="15"/>
  <c r="H17721" i="15"/>
  <c r="B17721" i="15"/>
  <c r="H17720" i="15"/>
  <c r="B17720" i="15"/>
  <c r="H17719" i="15"/>
  <c r="B17719" i="15"/>
  <c r="H17718" i="15"/>
  <c r="B17718" i="15"/>
  <c r="H17717" i="15"/>
  <c r="B17717" i="15"/>
  <c r="H17716" i="15"/>
  <c r="B17716" i="15"/>
  <c r="H17715" i="15"/>
  <c r="B17715" i="15"/>
  <c r="H17714" i="15"/>
  <c r="B17714" i="15"/>
  <c r="H17713" i="15"/>
  <c r="B17713" i="15"/>
  <c r="H17712" i="15"/>
  <c r="B17712" i="15"/>
  <c r="H17711" i="15"/>
  <c r="B17711" i="15"/>
  <c r="H17710" i="15"/>
  <c r="B17710" i="15"/>
  <c r="H17709" i="15"/>
  <c r="B17709" i="15"/>
  <c r="H17708" i="15"/>
  <c r="B17708" i="15"/>
  <c r="H17707" i="15"/>
  <c r="B17707" i="15"/>
  <c r="H17706" i="15"/>
  <c r="B17706" i="15"/>
  <c r="H17705" i="15"/>
  <c r="B17705" i="15"/>
  <c r="H17704" i="15"/>
  <c r="B17704" i="15"/>
  <c r="H17703" i="15"/>
  <c r="B17703" i="15"/>
  <c r="H17702" i="15"/>
  <c r="B17702" i="15"/>
  <c r="H17701" i="15"/>
  <c r="B17701" i="15"/>
  <c r="H17700" i="15"/>
  <c r="B17700" i="15"/>
  <c r="H17699" i="15"/>
  <c r="B17699" i="15"/>
  <c r="H17698" i="15"/>
  <c r="B17698" i="15"/>
  <c r="H17697" i="15"/>
  <c r="B17697" i="15"/>
  <c r="H17696" i="15"/>
  <c r="B17696" i="15"/>
  <c r="H17695" i="15"/>
  <c r="B17695" i="15"/>
  <c r="H17694" i="15"/>
  <c r="B17694" i="15"/>
  <c r="H17693" i="15"/>
  <c r="B17693" i="15"/>
  <c r="H17692" i="15"/>
  <c r="B17692" i="15"/>
  <c r="H17691" i="15"/>
  <c r="B17691" i="15"/>
  <c r="H17690" i="15"/>
  <c r="B17690" i="15"/>
  <c r="H17689" i="15"/>
  <c r="B17689" i="15"/>
  <c r="H17688" i="15"/>
  <c r="B17688" i="15"/>
  <c r="H17687" i="15"/>
  <c r="B17687" i="15"/>
  <c r="H17686" i="15"/>
  <c r="B17686" i="15"/>
  <c r="H17685" i="15"/>
  <c r="B17685" i="15"/>
  <c r="H17684" i="15"/>
  <c r="B17684" i="15"/>
  <c r="H17683" i="15"/>
  <c r="B17683" i="15"/>
  <c r="H17682" i="15"/>
  <c r="B17682" i="15"/>
  <c r="H17681" i="15"/>
  <c r="B17681" i="15"/>
  <c r="H17680" i="15"/>
  <c r="B17680" i="15"/>
  <c r="H17679" i="15"/>
  <c r="B17679" i="15"/>
  <c r="H17678" i="15"/>
  <c r="B17678" i="15"/>
  <c r="H17677" i="15"/>
  <c r="B17677" i="15"/>
  <c r="H17676" i="15"/>
  <c r="B17676" i="15"/>
  <c r="H17675" i="15"/>
  <c r="B17675" i="15"/>
  <c r="H17674" i="15"/>
  <c r="B17674" i="15"/>
  <c r="H17673" i="15"/>
  <c r="B17673" i="15"/>
  <c r="H17672" i="15"/>
  <c r="B17672" i="15"/>
  <c r="H17671" i="15"/>
  <c r="B17671" i="15"/>
  <c r="H17670" i="15"/>
  <c r="B17670" i="15"/>
  <c r="H17669" i="15"/>
  <c r="B17669" i="15"/>
  <c r="H17668" i="15"/>
  <c r="B17668" i="15"/>
  <c r="H17667" i="15"/>
  <c r="B17667" i="15"/>
  <c r="H17666" i="15"/>
  <c r="B17666" i="15"/>
  <c r="H17665" i="15"/>
  <c r="B17665" i="15"/>
  <c r="H17664" i="15"/>
  <c r="B17664" i="15"/>
  <c r="H17663" i="15"/>
  <c r="B17663" i="15"/>
  <c r="H17662" i="15"/>
  <c r="B17662" i="15"/>
  <c r="H17661" i="15"/>
  <c r="B17661" i="15"/>
  <c r="H17660" i="15"/>
  <c r="B17660" i="15"/>
  <c r="H17659" i="15"/>
  <c r="B17659" i="15"/>
  <c r="H17658" i="15"/>
  <c r="B17658" i="15"/>
  <c r="H17657" i="15"/>
  <c r="B17657" i="15"/>
  <c r="H17656" i="15"/>
  <c r="B17656" i="15"/>
  <c r="H17655" i="15"/>
  <c r="B17655" i="15"/>
  <c r="H17654" i="15"/>
  <c r="B17654" i="15"/>
  <c r="H17653" i="15"/>
  <c r="B17653" i="15"/>
  <c r="H17652" i="15"/>
  <c r="B17652" i="15"/>
  <c r="H17651" i="15"/>
  <c r="B17651" i="15"/>
  <c r="H17650" i="15"/>
  <c r="B17650" i="15"/>
  <c r="H17649" i="15"/>
  <c r="B17649" i="15"/>
  <c r="H17648" i="15"/>
  <c r="B17648" i="15"/>
  <c r="H17647" i="15"/>
  <c r="B17647" i="15"/>
  <c r="H17646" i="15"/>
  <c r="B17646" i="15"/>
  <c r="H17645" i="15"/>
  <c r="B17645" i="15"/>
  <c r="H17644" i="15"/>
  <c r="B17644" i="15"/>
  <c r="H17643" i="15"/>
  <c r="B17643" i="15"/>
  <c r="H17642" i="15"/>
  <c r="B17642" i="15"/>
  <c r="H17641" i="15"/>
  <c r="B17641" i="15"/>
  <c r="H17640" i="15"/>
  <c r="B17640" i="15"/>
  <c r="H17639" i="15"/>
  <c r="B17639" i="15"/>
  <c r="H17638" i="15"/>
  <c r="B17638" i="15"/>
  <c r="H17637" i="15"/>
  <c r="B17637" i="15"/>
  <c r="H17636" i="15"/>
  <c r="B17636" i="15"/>
  <c r="H17635" i="15"/>
  <c r="B17635" i="15"/>
  <c r="H17634" i="15"/>
  <c r="B17634" i="15"/>
  <c r="H17633" i="15"/>
  <c r="B17633" i="15"/>
  <c r="H17632" i="15"/>
  <c r="B17632" i="15"/>
  <c r="H17631" i="15"/>
  <c r="B17631" i="15"/>
  <c r="H17630" i="15"/>
  <c r="B17630" i="15"/>
  <c r="H17629" i="15"/>
  <c r="B17629" i="15"/>
  <c r="H17628" i="15"/>
  <c r="B17628" i="15"/>
  <c r="H17627" i="15"/>
  <c r="B17627" i="15"/>
  <c r="H17626" i="15"/>
  <c r="B17626" i="15"/>
  <c r="H17625" i="15"/>
  <c r="B17625" i="15"/>
  <c r="H17624" i="15"/>
  <c r="B17624" i="15"/>
  <c r="H17623" i="15"/>
  <c r="B17623" i="15"/>
  <c r="H17622" i="15"/>
  <c r="B17622" i="15"/>
  <c r="H17621" i="15"/>
  <c r="B17621" i="15"/>
  <c r="H17620" i="15"/>
  <c r="B17620" i="15"/>
  <c r="H17619" i="15"/>
  <c r="B17619" i="15"/>
  <c r="H17618" i="15"/>
  <c r="B17618" i="15"/>
  <c r="H17617" i="15"/>
  <c r="B17617" i="15"/>
  <c r="H17616" i="15"/>
  <c r="B17616" i="15"/>
  <c r="H17615" i="15"/>
  <c r="B17615" i="15"/>
  <c r="H17614" i="15"/>
  <c r="B17614" i="15"/>
  <c r="H17613" i="15"/>
  <c r="B17613" i="15"/>
  <c r="H17612" i="15"/>
  <c r="B17612" i="15"/>
  <c r="H17611" i="15"/>
  <c r="B17611" i="15"/>
  <c r="H17610" i="15"/>
  <c r="B17610" i="15"/>
  <c r="H17609" i="15"/>
  <c r="B17609" i="15"/>
  <c r="H17608" i="15"/>
  <c r="B17608" i="15"/>
  <c r="H17607" i="15"/>
  <c r="B17607" i="15"/>
  <c r="H17606" i="15"/>
  <c r="B17606" i="15"/>
  <c r="H17605" i="15"/>
  <c r="B17605" i="15"/>
  <c r="H17604" i="15"/>
  <c r="B17604" i="15"/>
  <c r="H17603" i="15"/>
  <c r="B17603" i="15"/>
  <c r="H17602" i="15"/>
  <c r="B17602" i="15"/>
  <c r="H17601" i="15"/>
  <c r="B17601" i="15"/>
  <c r="H17600" i="15"/>
  <c r="B17600" i="15"/>
  <c r="H17599" i="15"/>
  <c r="B17599" i="15"/>
  <c r="H17598" i="15"/>
  <c r="B17598" i="15"/>
  <c r="H17597" i="15"/>
  <c r="B17597" i="15"/>
  <c r="H17596" i="15"/>
  <c r="B17596" i="15"/>
  <c r="H17595" i="15"/>
  <c r="B17595" i="15"/>
  <c r="H17594" i="15"/>
  <c r="B17594" i="15"/>
  <c r="H17593" i="15"/>
  <c r="B17593" i="15"/>
  <c r="H17592" i="15"/>
  <c r="B17592" i="15"/>
  <c r="H17591" i="15"/>
  <c r="B17591" i="15"/>
  <c r="H17590" i="15"/>
  <c r="B17590" i="15"/>
  <c r="H17589" i="15"/>
  <c r="B17589" i="15"/>
  <c r="H17588" i="15"/>
  <c r="B17588" i="15"/>
  <c r="H17587" i="15"/>
  <c r="B17587" i="15"/>
  <c r="H17586" i="15"/>
  <c r="B17586" i="15"/>
  <c r="H17585" i="15"/>
  <c r="B17585" i="15"/>
  <c r="H17584" i="15"/>
  <c r="B17584" i="15"/>
  <c r="H17583" i="15"/>
  <c r="B17583" i="15"/>
  <c r="H17582" i="15"/>
  <c r="B17582" i="15"/>
  <c r="H17581" i="15"/>
  <c r="B17581" i="15"/>
  <c r="H17580" i="15"/>
  <c r="B17580" i="15"/>
  <c r="H17579" i="15"/>
  <c r="B17579" i="15"/>
  <c r="H17578" i="15"/>
  <c r="B17578" i="15"/>
  <c r="H17577" i="15"/>
  <c r="B17577" i="15"/>
  <c r="H17576" i="15"/>
  <c r="B17576" i="15"/>
  <c r="H17575" i="15"/>
  <c r="B17575" i="15"/>
  <c r="H17574" i="15"/>
  <c r="B17574" i="15"/>
  <c r="H17573" i="15"/>
  <c r="B17573" i="15"/>
  <c r="H17572" i="15"/>
  <c r="B17572" i="15"/>
  <c r="H17571" i="15"/>
  <c r="B17571" i="15"/>
  <c r="H17570" i="15"/>
  <c r="B17570" i="15"/>
  <c r="H17569" i="15"/>
  <c r="B17569" i="15"/>
  <c r="H17568" i="15"/>
  <c r="B17568" i="15"/>
  <c r="H17567" i="15"/>
  <c r="B17567" i="15"/>
  <c r="H17566" i="15"/>
  <c r="B17566" i="15"/>
  <c r="H17565" i="15"/>
  <c r="B17565" i="15"/>
  <c r="H17564" i="15"/>
  <c r="B17564" i="15"/>
  <c r="H17563" i="15"/>
  <c r="B17563" i="15"/>
  <c r="H17562" i="15"/>
  <c r="B17562" i="15"/>
  <c r="H17561" i="15"/>
  <c r="B17561" i="15"/>
  <c r="H17560" i="15"/>
  <c r="B17560" i="15"/>
  <c r="H17559" i="15"/>
  <c r="B17559" i="15"/>
  <c r="H17558" i="15"/>
  <c r="B17558" i="15"/>
  <c r="H17557" i="15"/>
  <c r="B17557" i="15"/>
  <c r="H17556" i="15"/>
  <c r="B17556" i="15"/>
  <c r="H17555" i="15"/>
  <c r="B17555" i="15"/>
  <c r="H17554" i="15"/>
  <c r="B17554" i="15"/>
  <c r="H17553" i="15"/>
  <c r="B17553" i="15"/>
  <c r="H17552" i="15"/>
  <c r="B17552" i="15"/>
  <c r="H17551" i="15"/>
  <c r="B17551" i="15"/>
  <c r="H17550" i="15"/>
  <c r="B17550" i="15"/>
  <c r="H17549" i="15"/>
  <c r="B17549" i="15"/>
  <c r="H17548" i="15"/>
  <c r="B17548" i="15"/>
  <c r="H17547" i="15"/>
  <c r="B17547" i="15"/>
  <c r="H17546" i="15"/>
  <c r="B17546" i="15"/>
  <c r="H17545" i="15"/>
  <c r="B17545" i="15"/>
  <c r="H17544" i="15"/>
  <c r="B17544" i="15"/>
  <c r="H17543" i="15"/>
  <c r="B17543" i="15"/>
  <c r="H17542" i="15"/>
  <c r="B17542" i="15"/>
  <c r="H17541" i="15"/>
  <c r="B17541" i="15"/>
  <c r="H17540" i="15"/>
  <c r="B17540" i="15"/>
  <c r="H17539" i="15"/>
  <c r="B17539" i="15"/>
  <c r="H17538" i="15"/>
  <c r="B17538" i="15"/>
  <c r="H17537" i="15"/>
  <c r="B17537" i="15"/>
  <c r="H17536" i="15"/>
  <c r="B17536" i="15"/>
  <c r="H17535" i="15"/>
  <c r="B17535" i="15"/>
  <c r="H17534" i="15"/>
  <c r="B17534" i="15"/>
  <c r="H17533" i="15"/>
  <c r="B17533" i="15"/>
  <c r="H17532" i="15"/>
  <c r="B17532" i="15"/>
  <c r="H17531" i="15"/>
  <c r="B17531" i="15"/>
  <c r="H17530" i="15"/>
  <c r="B17530" i="15"/>
  <c r="H17529" i="15"/>
  <c r="B17529" i="15"/>
  <c r="H17528" i="15"/>
  <c r="B17528" i="15"/>
  <c r="H17527" i="15"/>
  <c r="B17527" i="15"/>
  <c r="H17526" i="15"/>
  <c r="B17526" i="15"/>
  <c r="H17525" i="15"/>
  <c r="B17525" i="15"/>
  <c r="H17524" i="15"/>
  <c r="B17524" i="15"/>
  <c r="H17523" i="15"/>
  <c r="B17523" i="15"/>
  <c r="H17522" i="15"/>
  <c r="B17522" i="15"/>
  <c r="H17521" i="15"/>
  <c r="B17521" i="15"/>
  <c r="H17520" i="15"/>
  <c r="B17520" i="15"/>
  <c r="H17519" i="15"/>
  <c r="B17519" i="15"/>
  <c r="H17518" i="15"/>
  <c r="B17518" i="15"/>
  <c r="H17517" i="15"/>
  <c r="B17517" i="15"/>
  <c r="H17516" i="15"/>
  <c r="B17516" i="15"/>
  <c r="H17515" i="15"/>
  <c r="B17515" i="15"/>
  <c r="H17514" i="15"/>
  <c r="B17514" i="15"/>
  <c r="H17513" i="15"/>
  <c r="B17513" i="15"/>
  <c r="H17512" i="15"/>
  <c r="B17512" i="15"/>
  <c r="H17511" i="15"/>
  <c r="B17511" i="15"/>
  <c r="H17510" i="15"/>
  <c r="B17510" i="15"/>
  <c r="H17509" i="15"/>
  <c r="B17509" i="15"/>
  <c r="H17508" i="15"/>
  <c r="B17508" i="15"/>
  <c r="H17507" i="15"/>
  <c r="B17507" i="15"/>
  <c r="H17506" i="15"/>
  <c r="B17506" i="15"/>
  <c r="H17505" i="15"/>
  <c r="B17505" i="15"/>
  <c r="H17504" i="15"/>
  <c r="B17504" i="15"/>
  <c r="H17503" i="15"/>
  <c r="B17503" i="15"/>
  <c r="H17502" i="15"/>
  <c r="B17502" i="15"/>
  <c r="H17501" i="15"/>
  <c r="B17501" i="15"/>
  <c r="H17500" i="15"/>
  <c r="B17500" i="15"/>
  <c r="H17499" i="15"/>
  <c r="B17499" i="15"/>
  <c r="H17498" i="15"/>
  <c r="B17498" i="15"/>
  <c r="H17497" i="15"/>
  <c r="B17497" i="15"/>
  <c r="H17496" i="15"/>
  <c r="B17496" i="15"/>
  <c r="H17495" i="15"/>
  <c r="B17495" i="15"/>
  <c r="H17494" i="15"/>
  <c r="B17494" i="15"/>
  <c r="H17493" i="15"/>
  <c r="B17493" i="15"/>
  <c r="H17492" i="15"/>
  <c r="B17492" i="15"/>
  <c r="H17491" i="15"/>
  <c r="B17491" i="15"/>
  <c r="H17490" i="15"/>
  <c r="B17490" i="15"/>
  <c r="H17489" i="15"/>
  <c r="B17489" i="15"/>
  <c r="H17488" i="15"/>
  <c r="B17488" i="15"/>
  <c r="H17487" i="15"/>
  <c r="B17487" i="15"/>
  <c r="H17486" i="15"/>
  <c r="B17486" i="15"/>
  <c r="H17485" i="15"/>
  <c r="B17485" i="15"/>
  <c r="H17484" i="15"/>
  <c r="B17484" i="15"/>
  <c r="H17483" i="15"/>
  <c r="B17483" i="15"/>
  <c r="H17482" i="15"/>
  <c r="B17482" i="15"/>
  <c r="H17481" i="15"/>
  <c r="B17481" i="15"/>
  <c r="H17480" i="15"/>
  <c r="B17480" i="15"/>
  <c r="H17479" i="15"/>
  <c r="B17479" i="15"/>
  <c r="H17478" i="15"/>
  <c r="B17478" i="15"/>
  <c r="H17477" i="15"/>
  <c r="B17477" i="15"/>
  <c r="H17476" i="15"/>
  <c r="B17476" i="15"/>
  <c r="H17475" i="15"/>
  <c r="B17475" i="15"/>
  <c r="H17474" i="15"/>
  <c r="B17474" i="15"/>
  <c r="H17473" i="15"/>
  <c r="B17473" i="15"/>
  <c r="H17472" i="15"/>
  <c r="B17472" i="15"/>
  <c r="H17471" i="15"/>
  <c r="B17471" i="15"/>
  <c r="H17470" i="15"/>
  <c r="B17470" i="15"/>
  <c r="H17469" i="15"/>
  <c r="B17469" i="15"/>
  <c r="H17468" i="15"/>
  <c r="B17468" i="15"/>
  <c r="H17467" i="15"/>
  <c r="B17467" i="15"/>
  <c r="H17466" i="15"/>
  <c r="B17466" i="15"/>
  <c r="H17465" i="15"/>
  <c r="B17465" i="15"/>
  <c r="H17464" i="15"/>
  <c r="B17464" i="15"/>
  <c r="H17463" i="15"/>
  <c r="B17463" i="15"/>
  <c r="H17462" i="15"/>
  <c r="B17462" i="15"/>
  <c r="H17461" i="15"/>
  <c r="B17461" i="15"/>
  <c r="H17460" i="15"/>
  <c r="B17460" i="15"/>
  <c r="H17459" i="15"/>
  <c r="B17459" i="15"/>
  <c r="H17458" i="15"/>
  <c r="B17458" i="15"/>
  <c r="H17457" i="15"/>
  <c r="B17457" i="15"/>
  <c r="H17456" i="15"/>
  <c r="B17456" i="15"/>
  <c r="H17455" i="15"/>
  <c r="B17455" i="15"/>
  <c r="H17454" i="15"/>
  <c r="B17454" i="15"/>
  <c r="H17453" i="15"/>
  <c r="B17453" i="15"/>
  <c r="H17452" i="15"/>
  <c r="B17452" i="15"/>
  <c r="H17451" i="15"/>
  <c r="B17451" i="15"/>
  <c r="H17450" i="15"/>
  <c r="B17450" i="15"/>
  <c r="H17449" i="15"/>
  <c r="B17449" i="15"/>
  <c r="H17448" i="15"/>
  <c r="B17448" i="15"/>
  <c r="H17447" i="15"/>
  <c r="B17447" i="15"/>
  <c r="H17446" i="15"/>
  <c r="B17446" i="15"/>
  <c r="H17445" i="15"/>
  <c r="B17445" i="15"/>
  <c r="H17444" i="15"/>
  <c r="B17444" i="15"/>
  <c r="H17443" i="15"/>
  <c r="B17443" i="15"/>
  <c r="H17442" i="15"/>
  <c r="B17442" i="15"/>
  <c r="H17441" i="15"/>
  <c r="B17441" i="15"/>
  <c r="H17440" i="15"/>
  <c r="B17440" i="15"/>
  <c r="H17439" i="15"/>
  <c r="B17439" i="15"/>
  <c r="H17438" i="15"/>
  <c r="B17438" i="15"/>
  <c r="H17437" i="15"/>
  <c r="B17437" i="15"/>
  <c r="H17436" i="15"/>
  <c r="B17436" i="15"/>
  <c r="H17435" i="15"/>
  <c r="B17435" i="15"/>
  <c r="H17434" i="15"/>
  <c r="B17434" i="15"/>
  <c r="H17433" i="15"/>
  <c r="B17433" i="15"/>
  <c r="H17432" i="15"/>
  <c r="B17432" i="15"/>
  <c r="H17431" i="15"/>
  <c r="B17431" i="15"/>
  <c r="H17430" i="15"/>
  <c r="B17430" i="15"/>
  <c r="H17429" i="15"/>
  <c r="B17429" i="15"/>
  <c r="H17428" i="15"/>
  <c r="B17428" i="15"/>
  <c r="H17427" i="15"/>
  <c r="B17427" i="15"/>
  <c r="H17426" i="15"/>
  <c r="B17426" i="15"/>
  <c r="H17425" i="15"/>
  <c r="B17425" i="15"/>
  <c r="H17424" i="15"/>
  <c r="B17424" i="15"/>
  <c r="H17423" i="15"/>
  <c r="B17423" i="15"/>
  <c r="H17422" i="15"/>
  <c r="B17422" i="15"/>
  <c r="H17421" i="15"/>
  <c r="B17421" i="15"/>
  <c r="H17420" i="15"/>
  <c r="B17420" i="15"/>
  <c r="H17419" i="15"/>
  <c r="B17419" i="15"/>
  <c r="H17418" i="15"/>
  <c r="B17418" i="15"/>
  <c r="H17417" i="15"/>
  <c r="B17417" i="15"/>
  <c r="H17416" i="15"/>
  <c r="B17416" i="15"/>
  <c r="H17415" i="15"/>
  <c r="B17415" i="15"/>
  <c r="H17414" i="15"/>
  <c r="B17414" i="15"/>
  <c r="H17413" i="15"/>
  <c r="B17413" i="15"/>
  <c r="H17412" i="15"/>
  <c r="B17412" i="15"/>
  <c r="H17411" i="15"/>
  <c r="B17411" i="15"/>
  <c r="H17410" i="15"/>
  <c r="B17410" i="15"/>
  <c r="H17409" i="15"/>
  <c r="B17409" i="15"/>
  <c r="H17408" i="15"/>
  <c r="B17408" i="15"/>
  <c r="H17407" i="15"/>
  <c r="B17407" i="15"/>
  <c r="H17406" i="15"/>
  <c r="B17406" i="15"/>
  <c r="H17405" i="15"/>
  <c r="B17405" i="15"/>
  <c r="H17404" i="15"/>
  <c r="B17404" i="15"/>
  <c r="H17403" i="15"/>
  <c r="B17403" i="15"/>
  <c r="H17402" i="15"/>
  <c r="B17402" i="15"/>
  <c r="H17401" i="15"/>
  <c r="B17401" i="15"/>
  <c r="H17400" i="15"/>
  <c r="B17400" i="15"/>
  <c r="H17399" i="15"/>
  <c r="B17399" i="15"/>
  <c r="H17398" i="15"/>
  <c r="B17398" i="15"/>
  <c r="H17397" i="15"/>
  <c r="B17397" i="15"/>
  <c r="H17396" i="15"/>
  <c r="B17396" i="15"/>
  <c r="H17395" i="15"/>
  <c r="B17395" i="15"/>
  <c r="H17394" i="15"/>
  <c r="B17394" i="15"/>
  <c r="H17393" i="15"/>
  <c r="B17393" i="15"/>
  <c r="H17392" i="15"/>
  <c r="B17392" i="15"/>
  <c r="H17391" i="15"/>
  <c r="B17391" i="15"/>
  <c r="H17390" i="15"/>
  <c r="B17390" i="15"/>
  <c r="H17389" i="15"/>
  <c r="B17389" i="15"/>
  <c r="H17388" i="15"/>
  <c r="B17388" i="15"/>
  <c r="H17387" i="15"/>
  <c r="B17387" i="15"/>
  <c r="H17386" i="15"/>
  <c r="B17386" i="15"/>
  <c r="H17385" i="15"/>
  <c r="B17385" i="15"/>
  <c r="H17384" i="15"/>
  <c r="B17384" i="15"/>
  <c r="H17383" i="15"/>
  <c r="B17383" i="15"/>
  <c r="H17382" i="15"/>
  <c r="B17382" i="15"/>
  <c r="H17381" i="15"/>
  <c r="B17381" i="15"/>
  <c r="H17380" i="15"/>
  <c r="B17380" i="15"/>
  <c r="H17379" i="15"/>
  <c r="B17379" i="15"/>
  <c r="H17378" i="15"/>
  <c r="B17378" i="15"/>
  <c r="H17377" i="15"/>
  <c r="B17377" i="15"/>
  <c r="H17376" i="15"/>
  <c r="B17376" i="15"/>
  <c r="H17375" i="15"/>
  <c r="B17375" i="15"/>
  <c r="H17374" i="15"/>
  <c r="B17374" i="15"/>
  <c r="H17373" i="15"/>
  <c r="B17373" i="15"/>
  <c r="H17372" i="15"/>
  <c r="B17372" i="15"/>
  <c r="H17371" i="15"/>
  <c r="B17371" i="15"/>
  <c r="H17370" i="15"/>
  <c r="B17370" i="15"/>
  <c r="H17369" i="15"/>
  <c r="B17369" i="15"/>
  <c r="H17368" i="15"/>
  <c r="B17368" i="15"/>
  <c r="H17367" i="15"/>
  <c r="B17367" i="15"/>
  <c r="H17366" i="15"/>
  <c r="B17366" i="15"/>
  <c r="H17365" i="15"/>
  <c r="B17365" i="15"/>
  <c r="H17364" i="15"/>
  <c r="B17364" i="15"/>
  <c r="H17363" i="15"/>
  <c r="B17363" i="15"/>
  <c r="H17362" i="15"/>
  <c r="B17362" i="15"/>
  <c r="H17361" i="15"/>
  <c r="B17361" i="15"/>
  <c r="H17360" i="15"/>
  <c r="B17360" i="15"/>
  <c r="H17359" i="15"/>
  <c r="B17359" i="15"/>
  <c r="H17358" i="15"/>
  <c r="B17358" i="15"/>
  <c r="H17357" i="15"/>
  <c r="B17357" i="15"/>
  <c r="H17356" i="15"/>
  <c r="B17356" i="15"/>
  <c r="H17355" i="15"/>
  <c r="B17355" i="15"/>
  <c r="H17354" i="15"/>
  <c r="B17354" i="15"/>
  <c r="H17353" i="15"/>
  <c r="B17353" i="15"/>
  <c r="H17352" i="15"/>
  <c r="B17352" i="15"/>
  <c r="H17351" i="15"/>
  <c r="B17351" i="15"/>
  <c r="H17350" i="15"/>
  <c r="B17350" i="15"/>
  <c r="H17349" i="15"/>
  <c r="B17349" i="15"/>
  <c r="H17348" i="15"/>
  <c r="B17348" i="15"/>
  <c r="H17347" i="15"/>
  <c r="B17347" i="15"/>
  <c r="H17346" i="15"/>
  <c r="B17346" i="15"/>
  <c r="H17345" i="15"/>
  <c r="B17345" i="15"/>
  <c r="H17344" i="15"/>
  <c r="B17344" i="15"/>
  <c r="H17343" i="15"/>
  <c r="B17343" i="15"/>
  <c r="H17342" i="15"/>
  <c r="B17342" i="15"/>
  <c r="H17341" i="15"/>
  <c r="B17341" i="15"/>
  <c r="H17340" i="15"/>
  <c r="B17340" i="15"/>
  <c r="H17339" i="15"/>
  <c r="B17339" i="15"/>
  <c r="H17338" i="15"/>
  <c r="B17338" i="15"/>
  <c r="H17337" i="15"/>
  <c r="B17337" i="15"/>
  <c r="H17336" i="15"/>
  <c r="B17336" i="15"/>
  <c r="H17335" i="15"/>
  <c r="B17335" i="15"/>
  <c r="H17334" i="15"/>
  <c r="B17334" i="15"/>
  <c r="H17333" i="15"/>
  <c r="B17333" i="15"/>
  <c r="H17332" i="15"/>
  <c r="B17332" i="15"/>
  <c r="H17331" i="15"/>
  <c r="B17331" i="15"/>
  <c r="H17330" i="15"/>
  <c r="B17330" i="15"/>
  <c r="H17329" i="15"/>
  <c r="B17329" i="15"/>
  <c r="H17328" i="15"/>
  <c r="B17328" i="15"/>
  <c r="H17327" i="15"/>
  <c r="B17327" i="15"/>
  <c r="H17326" i="15"/>
  <c r="B17326" i="15"/>
  <c r="H17325" i="15"/>
  <c r="B17325" i="15"/>
  <c r="H17324" i="15"/>
  <c r="B17324" i="15"/>
  <c r="H17323" i="15"/>
  <c r="B17323" i="15"/>
  <c r="H17322" i="15"/>
  <c r="B17322" i="15"/>
  <c r="H17321" i="15"/>
  <c r="B17321" i="15"/>
  <c r="H17320" i="15"/>
  <c r="B17320" i="15"/>
  <c r="H17319" i="15"/>
  <c r="B17319" i="15"/>
  <c r="H17318" i="15"/>
  <c r="B17318" i="15"/>
  <c r="H17317" i="15"/>
  <c r="B17317" i="15"/>
  <c r="H17316" i="15"/>
  <c r="B17316" i="15"/>
  <c r="H17315" i="15"/>
  <c r="B17315" i="15"/>
  <c r="H17314" i="15"/>
  <c r="B17314" i="15"/>
  <c r="H17313" i="15"/>
  <c r="B17313" i="15"/>
  <c r="H17312" i="15"/>
  <c r="B17312" i="15"/>
  <c r="H17311" i="15"/>
  <c r="B17311" i="15"/>
  <c r="H17310" i="15"/>
  <c r="B17310" i="15"/>
  <c r="H17309" i="15"/>
  <c r="B17309" i="15"/>
  <c r="H17308" i="15"/>
  <c r="B17308" i="15"/>
  <c r="H17307" i="15"/>
  <c r="B17307" i="15"/>
  <c r="H17306" i="15"/>
  <c r="B17306" i="15"/>
  <c r="H17305" i="15"/>
  <c r="B17305" i="15"/>
  <c r="H17304" i="15"/>
  <c r="B17304" i="15"/>
  <c r="H17303" i="15"/>
  <c r="B17303" i="15"/>
  <c r="H17302" i="15"/>
  <c r="B17302" i="15"/>
  <c r="H17301" i="15"/>
  <c r="B17301" i="15"/>
  <c r="H17300" i="15"/>
  <c r="B17300" i="15"/>
  <c r="H17299" i="15"/>
  <c r="B17299" i="15"/>
  <c r="H17298" i="15"/>
  <c r="B17298" i="15"/>
  <c r="H17297" i="15"/>
  <c r="B17297" i="15"/>
  <c r="H17296" i="15"/>
  <c r="B17296" i="15"/>
  <c r="H17295" i="15"/>
  <c r="B17295" i="15"/>
  <c r="H17294" i="15"/>
  <c r="B17294" i="15"/>
  <c r="H17293" i="15"/>
  <c r="B17293" i="15"/>
  <c r="H17292" i="15"/>
  <c r="B17292" i="15"/>
  <c r="H17291" i="15"/>
  <c r="B17291" i="15"/>
  <c r="H17290" i="15"/>
  <c r="B17290" i="15"/>
  <c r="H17289" i="15"/>
  <c r="B17289" i="15"/>
  <c r="H17288" i="15"/>
  <c r="B17288" i="15"/>
  <c r="H17287" i="15"/>
  <c r="B17287" i="15"/>
  <c r="H17286" i="15"/>
  <c r="B17286" i="15"/>
  <c r="H17285" i="15"/>
  <c r="B17285" i="15"/>
  <c r="H17284" i="15"/>
  <c r="B17284" i="15"/>
  <c r="H17283" i="15"/>
  <c r="B17283" i="15"/>
  <c r="H17282" i="15"/>
  <c r="B17282" i="15"/>
  <c r="H17281" i="15"/>
  <c r="B17281" i="15"/>
  <c r="H17280" i="15"/>
  <c r="B17280" i="15"/>
  <c r="H17279" i="15"/>
  <c r="B17279" i="15"/>
  <c r="H17278" i="15"/>
  <c r="B17278" i="15"/>
  <c r="H17277" i="15"/>
  <c r="B17277" i="15"/>
  <c r="H17276" i="15"/>
  <c r="B17276" i="15"/>
  <c r="H17275" i="15"/>
  <c r="B17275" i="15"/>
  <c r="H17274" i="15"/>
  <c r="B17274" i="15"/>
  <c r="H17273" i="15"/>
  <c r="B17273" i="15"/>
  <c r="H17272" i="15"/>
  <c r="B17272" i="15"/>
  <c r="H17271" i="15"/>
  <c r="B17271" i="15"/>
  <c r="H17270" i="15"/>
  <c r="B17270" i="15"/>
  <c r="H17269" i="15"/>
  <c r="B17269" i="15"/>
  <c r="H17268" i="15"/>
  <c r="B17268" i="15"/>
  <c r="H17267" i="15"/>
  <c r="B17267" i="15"/>
  <c r="H17266" i="15"/>
  <c r="B17266" i="15"/>
  <c r="H17265" i="15"/>
  <c r="B17265" i="15"/>
  <c r="H17264" i="15"/>
  <c r="B17264" i="15"/>
  <c r="H17263" i="15"/>
  <c r="B17263" i="15"/>
  <c r="H17262" i="15"/>
  <c r="B17262" i="15"/>
  <c r="H17261" i="15"/>
  <c r="B17261" i="15"/>
  <c r="H17260" i="15"/>
  <c r="B17260" i="15"/>
  <c r="H17259" i="15"/>
  <c r="B17259" i="15"/>
  <c r="H17258" i="15"/>
  <c r="B17258" i="15"/>
  <c r="H17257" i="15"/>
  <c r="B17257" i="15"/>
  <c r="H17256" i="15"/>
  <c r="B17256" i="15"/>
  <c r="H17255" i="15"/>
  <c r="B17255" i="15"/>
  <c r="H17254" i="15"/>
  <c r="B17254" i="15"/>
  <c r="H17253" i="15"/>
  <c r="B17253" i="15"/>
  <c r="H17252" i="15"/>
  <c r="B17252" i="15"/>
  <c r="H17251" i="15"/>
  <c r="B17251" i="15"/>
  <c r="H17250" i="15"/>
  <c r="B17250" i="15"/>
  <c r="H17249" i="15"/>
  <c r="B17249" i="15"/>
  <c r="H17248" i="15"/>
  <c r="B17248" i="15"/>
  <c r="H17247" i="15"/>
  <c r="B17247" i="15"/>
  <c r="H17246" i="15"/>
  <c r="B17246" i="15"/>
  <c r="H17245" i="15"/>
  <c r="B17245" i="15"/>
  <c r="H17244" i="15"/>
  <c r="B17244" i="15"/>
  <c r="H17243" i="15"/>
  <c r="B17243" i="15"/>
  <c r="H17242" i="15"/>
  <c r="B17242" i="15"/>
  <c r="H17241" i="15"/>
  <c r="B17241" i="15"/>
  <c r="H17240" i="15"/>
  <c r="B17240" i="15"/>
  <c r="H17239" i="15"/>
  <c r="B17239" i="15"/>
  <c r="H17238" i="15"/>
  <c r="B17238" i="15"/>
  <c r="H17237" i="15"/>
  <c r="B17237" i="15"/>
  <c r="H17236" i="15"/>
  <c r="B17236" i="15"/>
  <c r="H17235" i="15"/>
  <c r="B17235" i="15"/>
  <c r="H17234" i="15"/>
  <c r="B17234" i="15"/>
  <c r="H17233" i="15"/>
  <c r="B17233" i="15"/>
  <c r="H17232" i="15"/>
  <c r="B17232" i="15"/>
  <c r="H17231" i="15"/>
  <c r="B17231" i="15"/>
  <c r="H17230" i="15"/>
  <c r="B17230" i="15"/>
  <c r="H17229" i="15"/>
  <c r="B17229" i="15"/>
  <c r="H17228" i="15"/>
  <c r="B17228" i="15"/>
  <c r="H17227" i="15"/>
  <c r="B17227" i="15"/>
  <c r="H17226" i="15"/>
  <c r="B17226" i="15"/>
  <c r="H17225" i="15"/>
  <c r="B17225" i="15"/>
  <c r="H17224" i="15"/>
  <c r="B17224" i="15"/>
  <c r="H17223" i="15"/>
  <c r="B17223" i="15"/>
  <c r="H17222" i="15"/>
  <c r="B17222" i="15"/>
  <c r="H17221" i="15"/>
  <c r="B17221" i="15"/>
  <c r="H17220" i="15"/>
  <c r="B17220" i="15"/>
  <c r="H17219" i="15"/>
  <c r="B17219" i="15"/>
  <c r="H17218" i="15"/>
  <c r="B17218" i="15"/>
  <c r="H17217" i="15"/>
  <c r="B17217" i="15"/>
  <c r="H17216" i="15"/>
  <c r="B17216" i="15"/>
  <c r="H17215" i="15"/>
  <c r="B17215" i="15"/>
  <c r="H17214" i="15"/>
  <c r="B17214" i="15"/>
  <c r="H17213" i="15"/>
  <c r="B17213" i="15"/>
  <c r="H17212" i="15"/>
  <c r="B17212" i="15"/>
  <c r="H17211" i="15"/>
  <c r="B17211" i="15"/>
  <c r="H17210" i="15"/>
  <c r="B17210" i="15"/>
  <c r="H17209" i="15"/>
  <c r="B17209" i="15"/>
  <c r="H17208" i="15"/>
  <c r="B17208" i="15"/>
  <c r="H17207" i="15"/>
  <c r="B17207" i="15"/>
  <c r="H17206" i="15"/>
  <c r="B17206" i="15"/>
  <c r="H17205" i="15"/>
  <c r="B17205" i="15"/>
  <c r="H17204" i="15"/>
  <c r="B17204" i="15"/>
  <c r="H17203" i="15"/>
  <c r="B17203" i="15"/>
  <c r="H17202" i="15"/>
  <c r="B17202" i="15"/>
  <c r="H17201" i="15"/>
  <c r="B17201" i="15"/>
  <c r="H17200" i="15"/>
  <c r="B17200" i="15"/>
  <c r="H17199" i="15"/>
  <c r="B17199" i="15"/>
  <c r="H17198" i="15"/>
  <c r="B17198" i="15"/>
  <c r="H17197" i="15"/>
  <c r="B17197" i="15"/>
  <c r="H17196" i="15"/>
  <c r="B17196" i="15"/>
  <c r="H17195" i="15"/>
  <c r="B17195" i="15"/>
  <c r="H17194" i="15"/>
  <c r="B17194" i="15"/>
  <c r="H17193" i="15"/>
  <c r="B17193" i="15"/>
  <c r="H17192" i="15"/>
  <c r="B17192" i="15"/>
  <c r="H17191" i="15"/>
  <c r="B17191" i="15"/>
  <c r="H17190" i="15"/>
  <c r="B17190" i="15"/>
  <c r="H17189" i="15"/>
  <c r="B17189" i="15"/>
  <c r="H17188" i="15"/>
  <c r="B17188" i="15"/>
  <c r="H17187" i="15"/>
  <c r="B17187" i="15"/>
  <c r="H17186" i="15"/>
  <c r="B17186" i="15"/>
  <c r="H17185" i="15"/>
  <c r="B17185" i="15"/>
  <c r="H17184" i="15"/>
  <c r="B17184" i="15"/>
  <c r="H17183" i="15"/>
  <c r="B17183" i="15"/>
  <c r="H17182" i="15"/>
  <c r="B17182" i="15"/>
  <c r="H17181" i="15"/>
  <c r="B17181" i="15"/>
  <c r="H17180" i="15"/>
  <c r="B17180" i="15"/>
  <c r="H17179" i="15"/>
  <c r="B17179" i="15"/>
  <c r="H17178" i="15"/>
  <c r="B17178" i="15"/>
  <c r="H17177" i="15"/>
  <c r="B17177" i="15"/>
  <c r="H17176" i="15"/>
  <c r="B17176" i="15"/>
  <c r="H17175" i="15"/>
  <c r="B17175" i="15"/>
  <c r="H17174" i="15"/>
  <c r="B17174" i="15"/>
  <c r="H17173" i="15"/>
  <c r="B17173" i="15"/>
  <c r="H17172" i="15"/>
  <c r="B17172" i="15"/>
  <c r="H17171" i="15"/>
  <c r="B17171" i="15"/>
  <c r="H17170" i="15"/>
  <c r="B17170" i="15"/>
  <c r="H17169" i="15"/>
  <c r="B17169" i="15"/>
  <c r="H17168" i="15"/>
  <c r="B17168" i="15"/>
  <c r="H17167" i="15"/>
  <c r="B17167" i="15"/>
  <c r="H17166" i="15"/>
  <c r="B17166" i="15"/>
  <c r="H17165" i="15"/>
  <c r="B17165" i="15"/>
  <c r="H17164" i="15"/>
  <c r="B17164" i="15"/>
  <c r="H17163" i="15"/>
  <c r="B17163" i="15"/>
  <c r="H17162" i="15"/>
  <c r="B17162" i="15"/>
  <c r="H17161" i="15"/>
  <c r="B17161" i="15"/>
  <c r="H17160" i="15"/>
  <c r="B17160" i="15"/>
  <c r="H17159" i="15"/>
  <c r="B17159" i="15"/>
  <c r="H17158" i="15"/>
  <c r="B17158" i="15"/>
  <c r="H17157" i="15"/>
  <c r="B17157" i="15"/>
  <c r="H17156" i="15"/>
  <c r="B17156" i="15"/>
  <c r="H17155" i="15"/>
  <c r="B17155" i="15"/>
  <c r="H17154" i="15"/>
  <c r="B17154" i="15"/>
  <c r="H17153" i="15"/>
  <c r="B17153" i="15"/>
  <c r="H17152" i="15"/>
  <c r="B17152" i="15"/>
  <c r="H17151" i="15"/>
  <c r="B17151" i="15"/>
  <c r="H17150" i="15"/>
  <c r="B17150" i="15"/>
  <c r="H17149" i="15"/>
  <c r="B17149" i="15"/>
  <c r="H17148" i="15"/>
  <c r="B17148" i="15"/>
  <c r="H17147" i="15"/>
  <c r="B17147" i="15"/>
  <c r="H17146" i="15"/>
  <c r="B17146" i="15"/>
  <c r="H17145" i="15"/>
  <c r="B17145" i="15"/>
  <c r="H17144" i="15"/>
  <c r="B17144" i="15"/>
  <c r="H17143" i="15"/>
  <c r="B17143" i="15"/>
  <c r="H17142" i="15"/>
  <c r="B17142" i="15"/>
  <c r="H17141" i="15"/>
  <c r="B17141" i="15"/>
  <c r="H17140" i="15"/>
  <c r="B17140" i="15"/>
  <c r="H17139" i="15"/>
  <c r="B17139" i="15"/>
  <c r="H17138" i="15"/>
  <c r="B17138" i="15"/>
  <c r="H17137" i="15"/>
  <c r="B17137" i="15"/>
  <c r="H17136" i="15"/>
  <c r="B17136" i="15"/>
  <c r="H17135" i="15"/>
  <c r="B17135" i="15"/>
  <c r="H17134" i="15"/>
  <c r="B17134" i="15"/>
  <c r="H17133" i="15"/>
  <c r="B17133" i="15"/>
  <c r="H17132" i="15"/>
  <c r="B17132" i="15"/>
  <c r="H17131" i="15"/>
  <c r="B17131" i="15"/>
  <c r="H17130" i="15"/>
  <c r="B17130" i="15"/>
  <c r="H17129" i="15"/>
  <c r="B17129" i="15"/>
  <c r="H17128" i="15"/>
  <c r="B17128" i="15"/>
  <c r="H17127" i="15"/>
  <c r="B17127" i="15"/>
  <c r="H17126" i="15"/>
  <c r="B17126" i="15"/>
  <c r="H17125" i="15"/>
  <c r="B17125" i="15"/>
  <c r="H17124" i="15"/>
  <c r="B17124" i="15"/>
  <c r="H17123" i="15"/>
  <c r="B17123" i="15"/>
  <c r="H17122" i="15"/>
  <c r="B17122" i="15"/>
  <c r="H17121" i="15"/>
  <c r="B17121" i="15"/>
  <c r="H17120" i="15"/>
  <c r="B17120" i="15"/>
  <c r="H17119" i="15"/>
  <c r="B17119" i="15"/>
  <c r="H17118" i="15"/>
  <c r="B17118" i="15"/>
  <c r="H17117" i="15"/>
  <c r="B17117" i="15"/>
  <c r="H17116" i="15"/>
  <c r="B17116" i="15"/>
  <c r="H17115" i="15"/>
  <c r="B17115" i="15"/>
  <c r="H17114" i="15"/>
  <c r="B17114" i="15"/>
  <c r="H17113" i="15"/>
  <c r="B17113" i="15"/>
  <c r="H17112" i="15"/>
  <c r="B17112" i="15"/>
  <c r="H17111" i="15"/>
  <c r="B17111" i="15"/>
  <c r="H17110" i="15"/>
  <c r="B17110" i="15"/>
  <c r="H17109" i="15"/>
  <c r="B17109" i="15"/>
  <c r="H17108" i="15"/>
  <c r="B17108" i="15"/>
  <c r="H17107" i="15"/>
  <c r="B17107" i="15"/>
  <c r="H17106" i="15"/>
  <c r="B17106" i="15"/>
  <c r="H17105" i="15"/>
  <c r="B17105" i="15"/>
  <c r="H17104" i="15"/>
  <c r="B17104" i="15"/>
  <c r="H17103" i="15"/>
  <c r="B17103" i="15"/>
  <c r="H17102" i="15"/>
  <c r="B17102" i="15"/>
  <c r="H17101" i="15"/>
  <c r="B17101" i="15"/>
  <c r="H17100" i="15"/>
  <c r="B17100" i="15"/>
  <c r="H17099" i="15"/>
  <c r="B17099" i="15"/>
  <c r="H17098" i="15"/>
  <c r="B17098" i="15"/>
  <c r="H17097" i="15"/>
  <c r="B17097" i="15"/>
  <c r="H17096" i="15"/>
  <c r="B17096" i="15"/>
  <c r="H17095" i="15"/>
  <c r="B17095" i="15"/>
  <c r="H17094" i="15"/>
  <c r="B17094" i="15"/>
  <c r="H17093" i="15"/>
  <c r="B17093" i="15"/>
  <c r="H17092" i="15"/>
  <c r="B17092" i="15"/>
  <c r="H17091" i="15"/>
  <c r="B17091" i="15"/>
  <c r="H17090" i="15"/>
  <c r="B17090" i="15"/>
  <c r="H17089" i="15"/>
  <c r="B17089" i="15"/>
  <c r="H17088" i="15"/>
  <c r="B17088" i="15"/>
  <c r="H17087" i="15"/>
  <c r="B17087" i="15"/>
  <c r="H17086" i="15"/>
  <c r="B17086" i="15"/>
  <c r="H17085" i="15"/>
  <c r="B17085" i="15"/>
  <c r="H17084" i="15"/>
  <c r="B17084" i="15"/>
  <c r="H17083" i="15"/>
  <c r="B17083" i="15"/>
  <c r="H17082" i="15"/>
  <c r="B17082" i="15"/>
  <c r="H17081" i="15"/>
  <c r="B17081" i="15"/>
  <c r="H17080" i="15"/>
  <c r="B17080" i="15"/>
  <c r="H17079" i="15"/>
  <c r="B17079" i="15"/>
  <c r="H17078" i="15"/>
  <c r="B17078" i="15"/>
  <c r="H17077" i="15"/>
  <c r="B17077" i="15"/>
  <c r="H17076" i="15"/>
  <c r="B17076" i="15"/>
  <c r="H17075" i="15"/>
  <c r="B17075" i="15"/>
  <c r="H17074" i="15"/>
  <c r="B17074" i="15"/>
  <c r="H17073" i="15"/>
  <c r="B17073" i="15"/>
  <c r="H17072" i="15"/>
  <c r="B17072" i="15"/>
  <c r="H17071" i="15"/>
  <c r="B17071" i="15"/>
  <c r="H17070" i="15"/>
  <c r="B17070" i="15"/>
  <c r="H17069" i="15"/>
  <c r="B17069" i="15"/>
  <c r="H17068" i="15"/>
  <c r="B17068" i="15"/>
  <c r="H17067" i="15"/>
  <c r="B17067" i="15"/>
  <c r="H17066" i="15"/>
  <c r="B17066" i="15"/>
  <c r="H17065" i="15"/>
  <c r="B17065" i="15"/>
  <c r="H17064" i="15"/>
  <c r="B17064" i="15"/>
  <c r="H17063" i="15"/>
  <c r="B17063" i="15"/>
  <c r="H17062" i="15"/>
  <c r="B17062" i="15"/>
  <c r="H17061" i="15"/>
  <c r="B17061" i="15"/>
  <c r="H17060" i="15"/>
  <c r="B17060" i="15"/>
  <c r="H17059" i="15"/>
  <c r="B17059" i="15"/>
  <c r="H17058" i="15"/>
  <c r="B17058" i="15"/>
  <c r="H17057" i="15"/>
  <c r="B17057" i="15"/>
  <c r="H17056" i="15"/>
  <c r="B17056" i="15"/>
  <c r="H17055" i="15"/>
  <c r="B17055" i="15"/>
  <c r="H17054" i="15"/>
  <c r="B17054" i="15"/>
  <c r="H17053" i="15"/>
  <c r="B17053" i="15"/>
  <c r="H17052" i="15"/>
  <c r="B17052" i="15"/>
  <c r="H17051" i="15"/>
  <c r="B17051" i="15"/>
  <c r="H17050" i="15"/>
  <c r="B17050" i="15"/>
  <c r="H17049" i="15"/>
  <c r="B17049" i="15"/>
  <c r="H17048" i="15"/>
  <c r="B17048" i="15"/>
  <c r="H17047" i="15"/>
  <c r="B17047" i="15"/>
  <c r="H17046" i="15"/>
  <c r="B17046" i="15"/>
  <c r="H17045" i="15"/>
  <c r="B17045" i="15"/>
  <c r="H17044" i="15"/>
  <c r="B17044" i="15"/>
  <c r="H17043" i="15"/>
  <c r="B17043" i="15"/>
  <c r="H17042" i="15"/>
  <c r="B17042" i="15"/>
  <c r="H17041" i="15"/>
  <c r="B17041" i="15"/>
  <c r="H17040" i="15"/>
  <c r="B17040" i="15"/>
  <c r="H17039" i="15"/>
  <c r="B17039" i="15"/>
  <c r="H17038" i="15"/>
  <c r="B17038" i="15"/>
  <c r="H17037" i="15"/>
  <c r="B17037" i="15"/>
  <c r="H17036" i="15"/>
  <c r="B17036" i="15"/>
  <c r="H17035" i="15"/>
  <c r="B17035" i="15"/>
  <c r="H17034" i="15"/>
  <c r="B17034" i="15"/>
  <c r="H17033" i="15"/>
  <c r="B17033" i="15"/>
  <c r="H17032" i="15"/>
  <c r="B17032" i="15"/>
  <c r="H17031" i="15"/>
  <c r="B17031" i="15"/>
  <c r="H17030" i="15"/>
  <c r="B17030" i="15"/>
  <c r="H17029" i="15"/>
  <c r="B17029" i="15"/>
  <c r="H17028" i="15"/>
  <c r="B17028" i="15"/>
  <c r="H17027" i="15"/>
  <c r="B17027" i="15"/>
  <c r="H17026" i="15"/>
  <c r="B17026" i="15"/>
  <c r="H17025" i="15"/>
  <c r="B17025" i="15"/>
  <c r="H17024" i="15"/>
  <c r="B17024" i="15"/>
  <c r="H17023" i="15"/>
  <c r="B17023" i="15"/>
  <c r="H17022" i="15"/>
  <c r="B17022" i="15"/>
  <c r="H17021" i="15"/>
  <c r="B17021" i="15"/>
  <c r="H17020" i="15"/>
  <c r="B17020" i="15"/>
  <c r="H17019" i="15"/>
  <c r="B17019" i="15"/>
  <c r="H17018" i="15"/>
  <c r="B17018" i="15"/>
  <c r="H17017" i="15"/>
  <c r="B17017" i="15"/>
  <c r="H17016" i="15"/>
  <c r="B17016" i="15"/>
  <c r="H17015" i="15"/>
  <c r="B17015" i="15"/>
  <c r="H17014" i="15"/>
  <c r="B17014" i="15"/>
  <c r="H17013" i="15"/>
  <c r="B17013" i="15"/>
  <c r="H17012" i="15"/>
  <c r="B17012" i="15"/>
  <c r="H17011" i="15"/>
  <c r="B17011" i="15"/>
  <c r="H17010" i="15"/>
  <c r="B17010" i="15"/>
  <c r="H17009" i="15"/>
  <c r="B17009" i="15"/>
  <c r="H17008" i="15"/>
  <c r="B17008" i="15"/>
  <c r="H17007" i="15"/>
  <c r="B17007" i="15"/>
  <c r="H17006" i="15"/>
  <c r="B17006" i="15"/>
  <c r="H17005" i="15"/>
  <c r="B17005" i="15"/>
  <c r="H17004" i="15"/>
  <c r="B17004" i="15"/>
  <c r="H17003" i="15"/>
  <c r="B17003" i="15"/>
  <c r="H17002" i="15"/>
  <c r="B17002" i="15"/>
  <c r="H17001" i="15"/>
  <c r="B17001" i="15"/>
  <c r="H17000" i="15"/>
  <c r="B17000" i="15"/>
  <c r="H16999" i="15"/>
  <c r="B16999" i="15"/>
  <c r="H16998" i="15"/>
  <c r="B16998" i="15"/>
  <c r="H16997" i="15"/>
  <c r="B16997" i="15"/>
  <c r="H16996" i="15"/>
  <c r="B16996" i="15"/>
  <c r="H16995" i="15"/>
  <c r="B16995" i="15"/>
  <c r="H16994" i="15"/>
  <c r="B16994" i="15"/>
  <c r="H16993" i="15"/>
  <c r="B16993" i="15"/>
  <c r="H16992" i="15"/>
  <c r="B16992" i="15"/>
  <c r="H16991" i="15"/>
  <c r="B16991" i="15"/>
  <c r="H16990" i="15"/>
  <c r="B16990" i="15"/>
  <c r="H16989" i="15"/>
  <c r="B16989" i="15"/>
  <c r="H16988" i="15"/>
  <c r="B16988" i="15"/>
  <c r="H16987" i="15"/>
  <c r="B16987" i="15"/>
  <c r="H16986" i="15"/>
  <c r="B16986" i="15"/>
  <c r="H16985" i="15"/>
  <c r="B16985" i="15"/>
  <c r="H16984" i="15"/>
  <c r="B16984" i="15"/>
  <c r="H16983" i="15"/>
  <c r="B16983" i="15"/>
  <c r="H16982" i="15"/>
  <c r="B16982" i="15"/>
  <c r="H16981" i="15"/>
  <c r="B16981" i="15"/>
  <c r="H16980" i="15"/>
  <c r="B16980" i="15"/>
  <c r="H16979" i="15"/>
  <c r="B16979" i="15"/>
  <c r="H16978" i="15"/>
  <c r="B16978" i="15"/>
  <c r="H16977" i="15"/>
  <c r="B16977" i="15"/>
  <c r="H16976" i="15"/>
  <c r="B16976" i="15"/>
  <c r="H16975" i="15"/>
  <c r="B16975" i="15"/>
  <c r="H16974" i="15"/>
  <c r="B16974" i="15"/>
  <c r="H16973" i="15"/>
  <c r="B16973" i="15"/>
  <c r="H16972" i="15"/>
  <c r="B16972" i="15"/>
  <c r="H16971" i="15"/>
  <c r="B16971" i="15"/>
  <c r="H16970" i="15"/>
  <c r="B16970" i="15"/>
  <c r="H16969" i="15"/>
  <c r="B16969" i="15"/>
  <c r="H16968" i="15"/>
  <c r="B16968" i="15"/>
  <c r="H16967" i="15"/>
  <c r="B16967" i="15"/>
  <c r="H16966" i="15"/>
  <c r="B16966" i="15"/>
  <c r="H16965" i="15"/>
  <c r="B16965" i="15"/>
  <c r="H16964" i="15"/>
  <c r="B16964" i="15"/>
  <c r="H16963" i="15"/>
  <c r="B16963" i="15"/>
  <c r="H16962" i="15"/>
  <c r="B16962" i="15"/>
  <c r="H16961" i="15"/>
  <c r="B16961" i="15"/>
  <c r="H16960" i="15"/>
  <c r="B16960" i="15"/>
  <c r="H16959" i="15"/>
  <c r="B16959" i="15"/>
  <c r="H16958" i="15"/>
  <c r="B16958" i="15"/>
  <c r="H16957" i="15"/>
  <c r="B16957" i="15"/>
  <c r="H16956" i="15"/>
  <c r="B16956" i="15"/>
  <c r="H16955" i="15"/>
  <c r="B16955" i="15"/>
  <c r="H16954" i="15"/>
  <c r="B16954" i="15"/>
  <c r="H16953" i="15"/>
  <c r="B16953" i="15"/>
  <c r="H16952" i="15"/>
  <c r="B16952" i="15"/>
  <c r="H16951" i="15"/>
  <c r="B16951" i="15"/>
  <c r="H16950" i="15"/>
  <c r="B16950" i="15"/>
  <c r="H16949" i="15"/>
  <c r="B16949" i="15"/>
  <c r="H16948" i="15"/>
  <c r="B16948" i="15"/>
  <c r="H16947" i="15"/>
  <c r="B16947" i="15"/>
  <c r="H16946" i="15"/>
  <c r="B16946" i="15"/>
  <c r="H16945" i="15"/>
  <c r="B16945" i="15"/>
  <c r="H16944" i="15"/>
  <c r="B16944" i="15"/>
  <c r="H16943" i="15"/>
  <c r="B16943" i="15"/>
  <c r="H16942" i="15"/>
  <c r="B16942" i="15"/>
  <c r="H16941" i="15"/>
  <c r="B16941" i="15"/>
  <c r="H16940" i="15"/>
  <c r="B16940" i="15"/>
  <c r="H16939" i="15"/>
  <c r="B16939" i="15"/>
  <c r="H16938" i="15"/>
  <c r="B16938" i="15"/>
  <c r="H16937" i="15"/>
  <c r="B16937" i="15"/>
  <c r="H16936" i="15"/>
  <c r="B16936" i="15"/>
  <c r="H16935" i="15"/>
  <c r="B16935" i="15"/>
  <c r="H16934" i="15"/>
  <c r="B16934" i="15"/>
  <c r="H16933" i="15"/>
  <c r="B16933" i="15"/>
  <c r="H16932" i="15"/>
  <c r="B16932" i="15"/>
  <c r="H16931" i="15"/>
  <c r="B16931" i="15"/>
  <c r="H16930" i="15"/>
  <c r="B16930" i="15"/>
  <c r="H16929" i="15"/>
  <c r="B16929" i="15"/>
  <c r="H16928" i="15"/>
  <c r="B16928" i="15"/>
  <c r="H16927" i="15"/>
  <c r="B16927" i="15"/>
  <c r="H16926" i="15"/>
  <c r="B16926" i="15"/>
  <c r="H16925" i="15"/>
  <c r="B16925" i="15"/>
  <c r="H16924" i="15"/>
  <c r="B16924" i="15"/>
  <c r="H16923" i="15"/>
  <c r="B16923" i="15"/>
  <c r="H16922" i="15"/>
  <c r="B16922" i="15"/>
  <c r="H16921" i="15"/>
  <c r="B16921" i="15"/>
  <c r="H16920" i="15"/>
  <c r="B16920" i="15"/>
  <c r="H16919" i="15"/>
  <c r="B16919" i="15"/>
  <c r="H16918" i="15"/>
  <c r="B16918" i="15"/>
  <c r="H16917" i="15"/>
  <c r="B16917" i="15"/>
  <c r="H16916" i="15"/>
  <c r="B16916" i="15"/>
  <c r="H16915" i="15"/>
  <c r="B16915" i="15"/>
  <c r="H16914" i="15"/>
  <c r="B16914" i="15"/>
  <c r="H16913" i="15"/>
  <c r="B16913" i="15"/>
  <c r="H16912" i="15"/>
  <c r="B16912" i="15"/>
  <c r="H16911" i="15"/>
  <c r="B16911" i="15"/>
  <c r="H16910" i="15"/>
  <c r="B16910" i="15"/>
  <c r="H16909" i="15"/>
  <c r="B16909" i="15"/>
  <c r="H16908" i="15"/>
  <c r="B16908" i="15"/>
  <c r="H16907" i="15"/>
  <c r="B16907" i="15"/>
  <c r="H16906" i="15"/>
  <c r="B16906" i="15"/>
  <c r="H16905" i="15"/>
  <c r="B16905" i="15"/>
  <c r="H16904" i="15"/>
  <c r="B16904" i="15"/>
  <c r="H16903" i="15"/>
  <c r="B16903" i="15"/>
  <c r="H16902" i="15"/>
  <c r="B16902" i="15"/>
  <c r="H16901" i="15"/>
  <c r="B16901" i="15"/>
  <c r="H16900" i="15"/>
  <c r="B16900" i="15"/>
  <c r="H16899" i="15"/>
  <c r="B16899" i="15"/>
  <c r="H16898" i="15"/>
  <c r="B16898" i="15"/>
  <c r="H16897" i="15"/>
  <c r="B16897" i="15"/>
  <c r="H16896" i="15"/>
  <c r="B16896" i="15"/>
  <c r="H16895" i="15"/>
  <c r="B16895" i="15"/>
  <c r="H16894" i="15"/>
  <c r="B16894" i="15"/>
  <c r="H16893" i="15"/>
  <c r="B16893" i="15"/>
  <c r="H16892" i="15"/>
  <c r="B16892" i="15"/>
  <c r="H16891" i="15"/>
  <c r="B16891" i="15"/>
  <c r="H16890" i="15"/>
  <c r="B16890" i="15"/>
  <c r="H16889" i="15"/>
  <c r="B16889" i="15"/>
  <c r="H16888" i="15"/>
  <c r="B16888" i="15"/>
  <c r="H16887" i="15"/>
  <c r="B16887" i="15"/>
  <c r="H16886" i="15"/>
  <c r="B16886" i="15"/>
  <c r="H16885" i="15"/>
  <c r="B16885" i="15"/>
  <c r="H16884" i="15"/>
  <c r="B16884" i="15"/>
  <c r="H16883" i="15"/>
  <c r="B16883" i="15"/>
  <c r="H16882" i="15"/>
  <c r="B16882" i="15"/>
  <c r="H16881" i="15"/>
  <c r="B16881" i="15"/>
  <c r="H16880" i="15"/>
  <c r="B16880" i="15"/>
  <c r="H16879" i="15"/>
  <c r="B16879" i="15"/>
  <c r="H16878" i="15"/>
  <c r="B16878" i="15"/>
  <c r="H16877" i="15"/>
  <c r="B16877" i="15"/>
  <c r="H16876" i="15"/>
  <c r="B16876" i="15"/>
  <c r="H16875" i="15"/>
  <c r="B16875" i="15"/>
  <c r="H16874" i="15"/>
  <c r="B16874" i="15"/>
  <c r="H16873" i="15"/>
  <c r="B16873" i="15"/>
  <c r="H16872" i="15"/>
  <c r="B16872" i="15"/>
  <c r="H16871" i="15"/>
  <c r="B16871" i="15"/>
  <c r="H16870" i="15"/>
  <c r="B16870" i="15"/>
  <c r="H16869" i="15"/>
  <c r="B16869" i="15"/>
  <c r="H16868" i="15"/>
  <c r="B16868" i="15"/>
  <c r="H16867" i="15"/>
  <c r="B16867" i="15"/>
  <c r="H16866" i="15"/>
  <c r="B16866" i="15"/>
  <c r="H16865" i="15"/>
  <c r="B16865" i="15"/>
  <c r="H16864" i="15"/>
  <c r="B16864" i="15"/>
  <c r="H16863" i="15"/>
  <c r="B16863" i="15"/>
  <c r="H16862" i="15"/>
  <c r="B16862" i="15"/>
  <c r="H16861" i="15"/>
  <c r="B16861" i="15"/>
  <c r="H16860" i="15"/>
  <c r="B16860" i="15"/>
  <c r="H16859" i="15"/>
  <c r="B16859" i="15"/>
  <c r="H16858" i="15"/>
  <c r="B16858" i="15"/>
  <c r="H16857" i="15"/>
  <c r="B16857" i="15"/>
  <c r="H16856" i="15"/>
  <c r="B16856" i="15"/>
  <c r="H16855" i="15"/>
  <c r="B16855" i="15"/>
  <c r="H16854" i="15"/>
  <c r="B16854" i="15"/>
  <c r="H16853" i="15"/>
  <c r="B16853" i="15"/>
  <c r="H16852" i="15"/>
  <c r="B16852" i="15"/>
  <c r="H16851" i="15"/>
  <c r="B16851" i="15"/>
  <c r="H16850" i="15"/>
  <c r="B16850" i="15"/>
  <c r="H16849" i="15"/>
  <c r="B16849" i="15"/>
  <c r="H16848" i="15"/>
  <c r="B16848" i="15"/>
  <c r="H16847" i="15"/>
  <c r="B16847" i="15"/>
  <c r="H16846" i="15"/>
  <c r="B16846" i="15"/>
  <c r="H16845" i="15"/>
  <c r="B16845" i="15"/>
  <c r="H16844" i="15"/>
  <c r="B16844" i="15"/>
  <c r="H16843" i="15"/>
  <c r="B16843" i="15"/>
  <c r="H16842" i="15"/>
  <c r="B16842" i="15"/>
  <c r="H16841" i="15"/>
  <c r="B16841" i="15"/>
  <c r="H16840" i="15"/>
  <c r="B16840" i="15"/>
  <c r="H16839" i="15"/>
  <c r="B16839" i="15"/>
  <c r="H16838" i="15"/>
  <c r="B16838" i="15"/>
  <c r="H16837" i="15"/>
  <c r="B16837" i="15"/>
  <c r="H16836" i="15"/>
  <c r="B16836" i="15"/>
  <c r="H16835" i="15"/>
  <c r="B16835" i="15"/>
  <c r="H16834" i="15"/>
  <c r="B16834" i="15"/>
  <c r="H16833" i="15"/>
  <c r="B16833" i="15"/>
  <c r="H16832" i="15"/>
  <c r="B16832" i="15"/>
  <c r="H16831" i="15"/>
  <c r="B16831" i="15"/>
  <c r="H16830" i="15"/>
  <c r="B16830" i="15"/>
  <c r="H16829" i="15"/>
  <c r="B16829" i="15"/>
  <c r="H16828" i="15"/>
  <c r="B16828" i="15"/>
  <c r="H16827" i="15"/>
  <c r="B16827" i="15"/>
  <c r="H16826" i="15"/>
  <c r="B16826" i="15"/>
  <c r="H16825" i="15"/>
  <c r="B16825" i="15"/>
  <c r="H16824" i="15"/>
  <c r="B16824" i="15"/>
  <c r="H16823" i="15"/>
  <c r="B16823" i="15"/>
  <c r="H16822" i="15"/>
  <c r="B16822" i="15"/>
  <c r="H16821" i="15"/>
  <c r="B16821" i="15"/>
  <c r="H16820" i="15"/>
  <c r="B16820" i="15"/>
  <c r="H16819" i="15"/>
  <c r="B16819" i="15"/>
  <c r="H16818" i="15"/>
  <c r="B16818" i="15"/>
  <c r="H16817" i="15"/>
  <c r="B16817" i="15"/>
  <c r="H16816" i="15"/>
  <c r="B16816" i="15"/>
  <c r="H16815" i="15"/>
  <c r="B16815" i="15"/>
  <c r="H16814" i="15"/>
  <c r="B16814" i="15"/>
  <c r="H16813" i="15"/>
  <c r="B16813" i="15"/>
  <c r="H16812" i="15"/>
  <c r="B16812" i="15"/>
  <c r="H16811" i="15"/>
  <c r="B16811" i="15"/>
  <c r="H16810" i="15"/>
  <c r="B16810" i="15"/>
  <c r="H16809" i="15"/>
  <c r="B16809" i="15"/>
  <c r="H16808" i="15"/>
  <c r="B16808" i="15"/>
  <c r="H16807" i="15"/>
  <c r="B16807" i="15"/>
  <c r="H16806" i="15"/>
  <c r="B16806" i="15"/>
  <c r="H16805" i="15"/>
  <c r="B16805" i="15"/>
  <c r="H16804" i="15"/>
  <c r="B16804" i="15"/>
  <c r="H16803" i="15"/>
  <c r="B16803" i="15"/>
  <c r="H16802" i="15"/>
  <c r="B16802" i="15"/>
  <c r="H16801" i="15"/>
  <c r="B16801" i="15"/>
  <c r="H16800" i="15"/>
  <c r="B16800" i="15"/>
  <c r="H16799" i="15"/>
  <c r="B16799" i="15"/>
  <c r="H16798" i="15"/>
  <c r="B16798" i="15"/>
  <c r="H16797" i="15"/>
  <c r="B16797" i="15"/>
  <c r="H16796" i="15"/>
  <c r="B16796" i="15"/>
  <c r="H16795" i="15"/>
  <c r="B16795" i="15"/>
  <c r="H16794" i="15"/>
  <c r="B16794" i="15"/>
  <c r="H16793" i="15"/>
  <c r="B16793" i="15"/>
  <c r="H16792" i="15"/>
  <c r="B16792" i="15"/>
  <c r="H16791" i="15"/>
  <c r="B16791" i="15"/>
  <c r="H16790" i="15"/>
  <c r="B16790" i="15"/>
  <c r="H16789" i="15"/>
  <c r="B16789" i="15"/>
  <c r="H16788" i="15"/>
  <c r="B16788" i="15"/>
  <c r="H16787" i="15"/>
  <c r="B16787" i="15"/>
  <c r="H16786" i="15"/>
  <c r="B16786" i="15"/>
  <c r="H16785" i="15"/>
  <c r="B16785" i="15"/>
  <c r="H16784" i="15"/>
  <c r="B16784" i="15"/>
  <c r="H16783" i="15"/>
  <c r="B16783" i="15"/>
  <c r="H16782" i="15"/>
  <c r="B16782" i="15"/>
  <c r="H16781" i="15"/>
  <c r="B16781" i="15"/>
  <c r="H16780" i="15"/>
  <c r="B16780" i="15"/>
  <c r="H16779" i="15"/>
  <c r="B16779" i="15"/>
  <c r="H16778" i="15"/>
  <c r="B16778" i="15"/>
  <c r="H16777" i="15"/>
  <c r="B16777" i="15"/>
  <c r="H16776" i="15"/>
  <c r="B16776" i="15"/>
  <c r="H16775" i="15"/>
  <c r="B16775" i="15"/>
  <c r="H16774" i="15"/>
  <c r="B16774" i="15"/>
  <c r="H16773" i="15"/>
  <c r="B16773" i="15"/>
  <c r="H16772" i="15"/>
  <c r="B16772" i="15"/>
  <c r="H16771" i="15"/>
  <c r="B16771" i="15"/>
  <c r="H16770" i="15"/>
  <c r="B16770" i="15"/>
  <c r="H16769" i="15"/>
  <c r="B16769" i="15"/>
  <c r="H16768" i="15"/>
  <c r="B16768" i="15"/>
  <c r="H16767" i="15"/>
  <c r="B16767" i="15"/>
  <c r="H16766" i="15"/>
  <c r="B16766" i="15"/>
  <c r="H16765" i="15"/>
  <c r="B16765" i="15"/>
  <c r="H16764" i="15"/>
  <c r="B16764" i="15"/>
  <c r="H16763" i="15"/>
  <c r="B16763" i="15"/>
  <c r="H16762" i="15"/>
  <c r="B16762" i="15"/>
  <c r="H16761" i="15"/>
  <c r="B16761" i="15"/>
  <c r="H16760" i="15"/>
  <c r="B16760" i="15"/>
  <c r="H16759" i="15"/>
  <c r="B16759" i="15"/>
  <c r="H16758" i="15"/>
  <c r="B16758" i="15"/>
  <c r="H16757" i="15"/>
  <c r="B16757" i="15"/>
  <c r="H16756" i="15"/>
  <c r="B16756" i="15"/>
  <c r="H16755" i="15"/>
  <c r="B16755" i="15"/>
  <c r="H16754" i="15"/>
  <c r="B16754" i="15"/>
  <c r="H16753" i="15"/>
  <c r="B16753" i="15"/>
  <c r="H16752" i="15"/>
  <c r="B16752" i="15"/>
  <c r="H16751" i="15"/>
  <c r="B16751" i="15"/>
  <c r="H16750" i="15"/>
  <c r="B16750" i="15"/>
  <c r="H16749" i="15"/>
  <c r="B16749" i="15"/>
  <c r="H16748" i="15"/>
  <c r="B16748" i="15"/>
  <c r="H16747" i="15"/>
  <c r="B16747" i="15"/>
  <c r="H16746" i="15"/>
  <c r="B16746" i="15"/>
  <c r="H16745" i="15"/>
  <c r="B16745" i="15"/>
  <c r="H16744" i="15"/>
  <c r="B16744" i="15"/>
  <c r="H16743" i="15"/>
  <c r="B16743" i="15"/>
  <c r="H16742" i="15"/>
  <c r="B16742" i="15"/>
  <c r="H16741" i="15"/>
  <c r="B16741" i="15"/>
  <c r="H16740" i="15"/>
  <c r="B16740" i="15"/>
  <c r="H16739" i="15"/>
  <c r="B16739" i="15"/>
  <c r="H16738" i="15"/>
  <c r="B16738" i="15"/>
  <c r="H16737" i="15"/>
  <c r="B16737" i="15"/>
  <c r="H16736" i="15"/>
  <c r="B16736" i="15"/>
  <c r="H16735" i="15"/>
  <c r="B16735" i="15"/>
  <c r="H16734" i="15"/>
  <c r="B16734" i="15"/>
  <c r="H16733" i="15"/>
  <c r="B16733" i="15"/>
  <c r="H16732" i="15"/>
  <c r="B16732" i="15"/>
  <c r="H16731" i="15"/>
  <c r="B16731" i="15"/>
  <c r="H16730" i="15"/>
  <c r="B16730" i="15"/>
  <c r="H16729" i="15"/>
  <c r="B16729" i="15"/>
  <c r="H16728" i="15"/>
  <c r="B16728" i="15"/>
  <c r="H16727" i="15"/>
  <c r="B16727" i="15"/>
  <c r="H16726" i="15"/>
  <c r="B16726" i="15"/>
  <c r="H16725" i="15"/>
  <c r="B16725" i="15"/>
  <c r="H16724" i="15"/>
  <c r="B16724" i="15"/>
  <c r="H16723" i="15"/>
  <c r="B16723" i="15"/>
  <c r="H16722" i="15"/>
  <c r="B16722" i="15"/>
  <c r="H16721" i="15"/>
  <c r="B16721" i="15"/>
  <c r="H16720" i="15"/>
  <c r="B16720" i="15"/>
  <c r="H16719" i="15"/>
  <c r="B16719" i="15"/>
  <c r="H16718" i="15"/>
  <c r="B16718" i="15"/>
  <c r="H16717" i="15"/>
  <c r="B16717" i="15"/>
  <c r="H16716" i="15"/>
  <c r="B16716" i="15"/>
  <c r="H16715" i="15"/>
  <c r="B16715" i="15"/>
  <c r="H16714" i="15"/>
  <c r="B16714" i="15"/>
  <c r="H16713" i="15"/>
  <c r="B16713" i="15"/>
  <c r="H16712" i="15"/>
  <c r="B16712" i="15"/>
  <c r="H16711" i="15"/>
  <c r="B16711" i="15"/>
  <c r="H16710" i="15"/>
  <c r="B16710" i="15"/>
  <c r="H16709" i="15"/>
  <c r="B16709" i="15"/>
  <c r="H16708" i="15"/>
  <c r="B16708" i="15"/>
  <c r="H16707" i="15"/>
  <c r="B16707" i="15"/>
  <c r="H16706" i="15"/>
  <c r="B16706" i="15"/>
  <c r="H16705" i="15"/>
  <c r="B16705" i="15"/>
  <c r="H16704" i="15"/>
  <c r="B16704" i="15"/>
  <c r="H16703" i="15"/>
  <c r="B16703" i="15"/>
  <c r="H16702" i="15"/>
  <c r="B16702" i="15"/>
  <c r="H16701" i="15"/>
  <c r="B16701" i="15"/>
  <c r="H16700" i="15"/>
  <c r="B16700" i="15"/>
  <c r="H16699" i="15"/>
  <c r="B16699" i="15"/>
  <c r="H16698" i="15"/>
  <c r="B16698" i="15"/>
  <c r="H16697" i="15"/>
  <c r="B16697" i="15"/>
  <c r="H16696" i="15"/>
  <c r="B16696" i="15"/>
  <c r="H16695" i="15"/>
  <c r="B16695" i="15"/>
  <c r="H16694" i="15"/>
  <c r="B16694" i="15"/>
  <c r="H16693" i="15"/>
  <c r="B16693" i="15"/>
  <c r="H16692" i="15"/>
  <c r="B16692" i="15"/>
  <c r="H16691" i="15"/>
  <c r="B16691" i="15"/>
  <c r="H16690" i="15"/>
  <c r="B16690" i="15"/>
  <c r="H16689" i="15"/>
  <c r="B16689" i="15"/>
  <c r="H16688" i="15"/>
  <c r="B16688" i="15"/>
  <c r="H16687" i="15"/>
  <c r="B16687" i="15"/>
  <c r="H16686" i="15"/>
  <c r="B16686" i="15"/>
  <c r="H16685" i="15"/>
  <c r="B16685" i="15"/>
  <c r="H16684" i="15"/>
  <c r="B16684" i="15"/>
  <c r="H16683" i="15"/>
  <c r="B16683" i="15"/>
  <c r="H16682" i="15"/>
  <c r="B16682" i="15"/>
  <c r="H16681" i="15"/>
  <c r="B16681" i="15"/>
  <c r="H16680" i="15"/>
  <c r="B16680" i="15"/>
  <c r="H16679" i="15"/>
  <c r="B16679" i="15"/>
  <c r="H16678" i="15"/>
  <c r="B16678" i="15"/>
  <c r="H16677" i="15"/>
  <c r="B16677" i="15"/>
  <c r="H16676" i="15"/>
  <c r="B16676" i="15"/>
  <c r="H16675" i="15"/>
  <c r="B16675" i="15"/>
  <c r="H16674" i="15"/>
  <c r="B16674" i="15"/>
  <c r="H16673" i="15"/>
  <c r="B16673" i="15"/>
  <c r="H16672" i="15"/>
  <c r="B16672" i="15"/>
  <c r="H16671" i="15"/>
  <c r="B16671" i="15"/>
  <c r="H16670" i="15"/>
  <c r="B16670" i="15"/>
  <c r="H16669" i="15"/>
  <c r="B16669" i="15"/>
  <c r="H16668" i="15"/>
  <c r="B16668" i="15"/>
  <c r="H16667" i="15"/>
  <c r="B16667" i="15"/>
  <c r="H16666" i="15"/>
  <c r="B16666" i="15"/>
  <c r="H16665" i="15"/>
  <c r="B16665" i="15"/>
  <c r="H16664" i="15"/>
  <c r="B16664" i="15"/>
  <c r="H16663" i="15"/>
  <c r="B16663" i="15"/>
  <c r="H16662" i="15"/>
  <c r="B16662" i="15"/>
  <c r="H16661" i="15"/>
  <c r="B16661" i="15"/>
  <c r="H16660" i="15"/>
  <c r="B16660" i="15"/>
  <c r="H16659" i="15"/>
  <c r="B16659" i="15"/>
  <c r="H16658" i="15"/>
  <c r="B16658" i="15"/>
  <c r="H16657" i="15"/>
  <c r="B16657" i="15"/>
  <c r="H16656" i="15"/>
  <c r="B16656" i="15"/>
  <c r="H16655" i="15"/>
  <c r="B16655" i="15"/>
  <c r="H16654" i="15"/>
  <c r="B16654" i="15"/>
  <c r="H16653" i="15"/>
  <c r="B16653" i="15"/>
  <c r="H16652" i="15"/>
  <c r="B16652" i="15"/>
  <c r="H16651" i="15"/>
  <c r="B16651" i="15"/>
  <c r="H16650" i="15"/>
  <c r="B16650" i="15"/>
  <c r="H16649" i="15"/>
  <c r="B16649" i="15"/>
  <c r="H16648" i="15"/>
  <c r="B16648" i="15"/>
  <c r="H16647" i="15"/>
  <c r="B16647" i="15"/>
  <c r="H16646" i="15"/>
  <c r="B16646" i="15"/>
  <c r="H16645" i="15"/>
  <c r="B16645" i="15"/>
  <c r="H16644" i="15"/>
  <c r="B16644" i="15"/>
  <c r="H16643" i="15"/>
  <c r="B16643" i="15"/>
  <c r="H16642" i="15"/>
  <c r="B16642" i="15"/>
  <c r="H16641" i="15"/>
  <c r="B16641" i="15"/>
  <c r="H16640" i="15"/>
  <c r="B16640" i="15"/>
  <c r="H16639" i="15"/>
  <c r="B16639" i="15"/>
  <c r="H16638" i="15"/>
  <c r="B16638" i="15"/>
  <c r="H16637" i="15"/>
  <c r="B16637" i="15"/>
  <c r="H16636" i="15"/>
  <c r="B16636" i="15"/>
  <c r="H16635" i="15"/>
  <c r="B16635" i="15"/>
  <c r="H16634" i="15"/>
  <c r="B16634" i="15"/>
  <c r="H16633" i="15"/>
  <c r="B16633" i="15"/>
  <c r="H16632" i="15"/>
  <c r="B16632" i="15"/>
  <c r="H16631" i="15"/>
  <c r="B16631" i="15"/>
  <c r="H16630" i="15"/>
  <c r="B16630" i="15"/>
  <c r="H16629" i="15"/>
  <c r="B16629" i="15"/>
  <c r="H16628" i="15"/>
  <c r="B16628" i="15"/>
  <c r="H16627" i="15"/>
  <c r="B16627" i="15"/>
  <c r="H16626" i="15"/>
  <c r="B16626" i="15"/>
  <c r="H16625" i="15"/>
  <c r="B16625" i="15"/>
  <c r="H16624" i="15"/>
  <c r="B16624" i="15"/>
  <c r="H16623" i="15"/>
  <c r="B16623" i="15"/>
  <c r="H16622" i="15"/>
  <c r="B16622" i="15"/>
  <c r="H16621" i="15"/>
  <c r="B16621" i="15"/>
  <c r="H16620" i="15"/>
  <c r="B16620" i="15"/>
  <c r="H16619" i="15"/>
  <c r="B16619" i="15"/>
  <c r="H16618" i="15"/>
  <c r="B16618" i="15"/>
  <c r="H16617" i="15"/>
  <c r="B16617" i="15"/>
  <c r="H16616" i="15"/>
  <c r="B16616" i="15"/>
  <c r="H16615" i="15"/>
  <c r="B16615" i="15"/>
  <c r="H16614" i="15"/>
  <c r="B16614" i="15"/>
  <c r="H16613" i="15"/>
  <c r="B16613" i="15"/>
  <c r="H16612" i="15"/>
  <c r="B16612" i="15"/>
  <c r="H16611" i="15"/>
  <c r="B16611" i="15"/>
  <c r="H16610" i="15"/>
  <c r="B16610" i="15"/>
  <c r="H16609" i="15"/>
  <c r="B16609" i="15"/>
  <c r="H16608" i="15"/>
  <c r="B16608" i="15"/>
  <c r="H16607" i="15"/>
  <c r="B16607" i="15"/>
  <c r="H16606" i="15"/>
  <c r="B16606" i="15"/>
  <c r="H16605" i="15"/>
  <c r="B16605" i="15"/>
  <c r="H16604" i="15"/>
  <c r="B16604" i="15"/>
  <c r="H16603" i="15"/>
  <c r="B16603" i="15"/>
  <c r="H16602" i="15"/>
  <c r="B16602" i="15"/>
  <c r="H16601" i="15"/>
  <c r="B16601" i="15"/>
  <c r="H16600" i="15"/>
  <c r="B16600" i="15"/>
  <c r="H16599" i="15"/>
  <c r="B16599" i="15"/>
  <c r="H16598" i="15"/>
  <c r="B16598" i="15"/>
  <c r="H16597" i="15"/>
  <c r="B16597" i="15"/>
  <c r="H16596" i="15"/>
  <c r="B16596" i="15"/>
  <c r="H16595" i="15"/>
  <c r="B16595" i="15"/>
  <c r="H16594" i="15"/>
  <c r="B16594" i="15"/>
  <c r="H16593" i="15"/>
  <c r="B16593" i="15"/>
  <c r="H16592" i="15"/>
  <c r="B16592" i="15"/>
  <c r="H16591" i="15"/>
  <c r="B16591" i="15"/>
  <c r="H16590" i="15"/>
  <c r="B16590" i="15"/>
  <c r="H16589" i="15"/>
  <c r="B16589" i="15"/>
  <c r="H16588" i="15"/>
  <c r="B16588" i="15"/>
  <c r="H16587" i="15"/>
  <c r="B16587" i="15"/>
  <c r="H16586" i="15"/>
  <c r="B16586" i="15"/>
  <c r="H16585" i="15"/>
  <c r="B16585" i="15"/>
  <c r="H16584" i="15"/>
  <c r="B16584" i="15"/>
  <c r="H16583" i="15"/>
  <c r="B16583" i="15"/>
  <c r="H16582" i="15"/>
  <c r="B16582" i="15"/>
  <c r="H16581" i="15"/>
  <c r="B16581" i="15"/>
  <c r="H16580" i="15"/>
  <c r="B16580" i="15"/>
  <c r="H16579" i="15"/>
  <c r="B16579" i="15"/>
  <c r="H16578" i="15"/>
  <c r="B16578" i="15"/>
  <c r="H16577" i="15"/>
  <c r="B16577" i="15"/>
  <c r="H16576" i="15"/>
  <c r="B16576" i="15"/>
  <c r="H16575" i="15"/>
  <c r="B16575" i="15"/>
  <c r="H16574" i="15"/>
  <c r="B16574" i="15"/>
  <c r="H16573" i="15"/>
  <c r="B16573" i="15"/>
  <c r="H16572" i="15"/>
  <c r="B16572" i="15"/>
  <c r="H16571" i="15"/>
  <c r="B16571" i="15"/>
  <c r="H16570" i="15"/>
  <c r="B16570" i="15"/>
  <c r="H16569" i="15"/>
  <c r="B16569" i="15"/>
  <c r="H16568" i="15"/>
  <c r="B16568" i="15"/>
  <c r="H16567" i="15"/>
  <c r="B16567" i="15"/>
  <c r="H16566" i="15"/>
  <c r="B16566" i="15"/>
  <c r="H16565" i="15"/>
  <c r="B16565" i="15"/>
  <c r="H16564" i="15"/>
  <c r="B16564" i="15"/>
  <c r="H16563" i="15"/>
  <c r="B16563" i="15"/>
  <c r="H16562" i="15"/>
  <c r="B16562" i="15"/>
  <c r="H16561" i="15"/>
  <c r="B16561" i="15"/>
  <c r="H16560" i="15"/>
  <c r="B16560" i="15"/>
  <c r="H16559" i="15"/>
  <c r="B16559" i="15"/>
  <c r="H16558" i="15"/>
  <c r="B16558" i="15"/>
  <c r="H16557" i="15"/>
  <c r="B16557" i="15"/>
  <c r="H16556" i="15"/>
  <c r="B16556" i="15"/>
  <c r="H16555" i="15"/>
  <c r="B16555" i="15"/>
  <c r="H16554" i="15"/>
  <c r="B16554" i="15"/>
  <c r="H16553" i="15"/>
  <c r="B16553" i="15"/>
  <c r="H16552" i="15"/>
  <c r="B16552" i="15"/>
  <c r="H16551" i="15"/>
  <c r="B16551" i="15"/>
  <c r="H16550" i="15"/>
  <c r="B16550" i="15"/>
  <c r="H16549" i="15"/>
  <c r="B16549" i="15"/>
  <c r="H16548" i="15"/>
  <c r="B16548" i="15"/>
  <c r="H16547" i="15"/>
  <c r="B16547" i="15"/>
  <c r="H16546" i="15"/>
  <c r="B16546" i="15"/>
  <c r="H16545" i="15"/>
  <c r="B16545" i="15"/>
  <c r="H16544" i="15"/>
  <c r="B16544" i="15"/>
  <c r="H16543" i="15"/>
  <c r="B16543" i="15"/>
  <c r="H16542" i="15"/>
  <c r="B16542" i="15"/>
  <c r="H16541" i="15"/>
  <c r="B16541" i="15"/>
  <c r="H16540" i="15"/>
  <c r="B16540" i="15"/>
  <c r="H16539" i="15"/>
  <c r="B16539" i="15"/>
  <c r="H16538" i="15"/>
  <c r="B16538" i="15"/>
  <c r="H16537" i="15"/>
  <c r="B16537" i="15"/>
  <c r="H16536" i="15"/>
  <c r="B16536" i="15"/>
  <c r="H16535" i="15"/>
  <c r="B16535" i="15"/>
  <c r="H16534" i="15"/>
  <c r="B16534" i="15"/>
  <c r="H16533" i="15"/>
  <c r="B16533" i="15"/>
  <c r="H16532" i="15"/>
  <c r="B16532" i="15"/>
  <c r="H16531" i="15"/>
  <c r="B16531" i="15"/>
  <c r="H16530" i="15"/>
  <c r="B16530" i="15"/>
  <c r="H16529" i="15"/>
  <c r="B16529" i="15"/>
  <c r="H16528" i="15"/>
  <c r="B16528" i="15"/>
  <c r="H16527" i="15"/>
  <c r="B16527" i="15"/>
  <c r="H16526" i="15"/>
  <c r="B16526" i="15"/>
  <c r="H16525" i="15"/>
  <c r="B16525" i="15"/>
  <c r="H16524" i="15"/>
  <c r="B16524" i="15"/>
  <c r="H16523" i="15"/>
  <c r="B16523" i="15"/>
  <c r="H16522" i="15"/>
  <c r="B16522" i="15"/>
  <c r="H16521" i="15"/>
  <c r="B16521" i="15"/>
  <c r="H16520" i="15"/>
  <c r="B16520" i="15"/>
  <c r="H16519" i="15"/>
  <c r="B16519" i="15"/>
  <c r="H16518" i="15"/>
  <c r="B16518" i="15"/>
  <c r="H16517" i="15"/>
  <c r="B16517" i="15"/>
  <c r="H16516" i="15"/>
  <c r="B16516" i="15"/>
  <c r="H16515" i="15"/>
  <c r="B16515" i="15"/>
  <c r="H16514" i="15"/>
  <c r="B16514" i="15"/>
  <c r="H16513" i="15"/>
  <c r="B16513" i="15"/>
  <c r="H16512" i="15"/>
  <c r="B16512" i="15"/>
  <c r="H16511" i="15"/>
  <c r="B16511" i="15"/>
  <c r="H16510" i="15"/>
  <c r="B16510" i="15"/>
  <c r="H16509" i="15"/>
  <c r="B16509" i="15"/>
  <c r="H16508" i="15"/>
  <c r="B16508" i="15"/>
  <c r="H16507" i="15"/>
  <c r="B16507" i="15"/>
  <c r="H16506" i="15"/>
  <c r="B16506" i="15"/>
  <c r="H16505" i="15"/>
  <c r="B16505" i="15"/>
  <c r="H16504" i="15"/>
  <c r="B16504" i="15"/>
  <c r="H16503" i="15"/>
  <c r="B16503" i="15"/>
  <c r="H16502" i="15"/>
  <c r="B16502" i="15"/>
  <c r="H16501" i="15"/>
  <c r="B16501" i="15"/>
  <c r="H16500" i="15"/>
  <c r="B16500" i="15"/>
  <c r="H16499" i="15"/>
  <c r="B16499" i="15"/>
  <c r="H16498" i="15"/>
  <c r="B16498" i="15"/>
  <c r="H16497" i="15"/>
  <c r="B16497" i="15"/>
  <c r="H16496" i="15"/>
  <c r="B16496" i="15"/>
  <c r="H16495" i="15"/>
  <c r="B16495" i="15"/>
  <c r="H16494" i="15"/>
  <c r="B16494" i="15"/>
  <c r="H16493" i="15"/>
  <c r="B16493" i="15"/>
  <c r="H16492" i="15"/>
  <c r="B16492" i="15"/>
  <c r="H16491" i="15"/>
  <c r="B16491" i="15"/>
  <c r="H16490" i="15"/>
  <c r="B16490" i="15"/>
  <c r="H16489" i="15"/>
  <c r="B16489" i="15"/>
  <c r="H16488" i="15"/>
  <c r="B16488" i="15"/>
  <c r="H16487" i="15"/>
  <c r="B16487" i="15"/>
  <c r="H16486" i="15"/>
  <c r="B16486" i="15"/>
  <c r="H16485" i="15"/>
  <c r="B16485" i="15"/>
  <c r="H16484" i="15"/>
  <c r="B16484" i="15"/>
  <c r="H16483" i="15"/>
  <c r="B16483" i="15"/>
  <c r="H16482" i="15"/>
  <c r="B16482" i="15"/>
  <c r="H16481" i="15"/>
  <c r="B16481" i="15"/>
  <c r="H16480" i="15"/>
  <c r="B16480" i="15"/>
  <c r="H16479" i="15"/>
  <c r="B16479" i="15"/>
  <c r="H16478" i="15"/>
  <c r="B16478" i="15"/>
  <c r="H16477" i="15"/>
  <c r="B16477" i="15"/>
  <c r="H16476" i="15"/>
  <c r="B16476" i="15"/>
  <c r="H16475" i="15"/>
  <c r="B16475" i="15"/>
  <c r="H16474" i="15"/>
  <c r="B16474" i="15"/>
  <c r="H16473" i="15"/>
  <c r="B16473" i="15"/>
  <c r="H16472" i="15"/>
  <c r="B16472" i="15"/>
  <c r="H16471" i="15"/>
  <c r="B16471" i="15"/>
  <c r="H16470" i="15"/>
  <c r="B16470" i="15"/>
  <c r="H16469" i="15"/>
  <c r="B16469" i="15"/>
  <c r="H16468" i="15"/>
  <c r="B16468" i="15"/>
  <c r="H16467" i="15"/>
  <c r="B16467" i="15"/>
  <c r="H16466" i="15"/>
  <c r="B16466" i="15"/>
  <c r="H16465" i="15"/>
  <c r="B16465" i="15"/>
  <c r="H16464" i="15"/>
  <c r="B16464" i="15"/>
  <c r="H16463" i="15"/>
  <c r="B16463" i="15"/>
  <c r="H16462" i="15"/>
  <c r="B16462" i="15"/>
  <c r="H16461" i="15"/>
  <c r="B16461" i="15"/>
  <c r="H16460" i="15"/>
  <c r="B16460" i="15"/>
  <c r="H16459" i="15"/>
  <c r="B16459" i="15"/>
  <c r="H16458" i="15"/>
  <c r="B16458" i="15"/>
  <c r="H16457" i="15"/>
  <c r="B16457" i="15"/>
  <c r="H16456" i="15"/>
  <c r="B16456" i="15"/>
  <c r="H16455" i="15"/>
  <c r="B16455" i="15"/>
  <c r="H16454" i="15"/>
  <c r="B16454" i="15"/>
  <c r="H16453" i="15"/>
  <c r="B16453" i="15"/>
  <c r="H16452" i="15"/>
  <c r="B16452" i="15"/>
  <c r="H16451" i="15"/>
  <c r="B16451" i="15"/>
  <c r="H16450" i="15"/>
  <c r="B16450" i="15"/>
  <c r="H16449" i="15"/>
  <c r="B16449" i="15"/>
  <c r="H16448" i="15"/>
  <c r="B16448" i="15"/>
  <c r="H16447" i="15"/>
  <c r="B16447" i="15"/>
  <c r="H16446" i="15"/>
  <c r="B16446" i="15"/>
  <c r="H16445" i="15"/>
  <c r="B16445" i="15"/>
  <c r="H16444" i="15"/>
  <c r="B16444" i="15"/>
  <c r="H16443" i="15"/>
  <c r="B16443" i="15"/>
  <c r="H16442" i="15"/>
  <c r="B16442" i="15"/>
  <c r="H16441" i="15"/>
  <c r="B16441" i="15"/>
  <c r="H16440" i="15"/>
  <c r="B16440" i="15"/>
  <c r="H16439" i="15"/>
  <c r="B16439" i="15"/>
  <c r="H16438" i="15"/>
  <c r="B16438" i="15"/>
  <c r="H16437" i="15"/>
  <c r="B16437" i="15"/>
  <c r="H16436" i="15"/>
  <c r="B16436" i="15"/>
  <c r="H16435" i="15"/>
  <c r="B16435" i="15"/>
  <c r="H16434" i="15"/>
  <c r="B16434" i="15"/>
  <c r="H16433" i="15"/>
  <c r="B16433" i="15"/>
  <c r="H16432" i="15"/>
  <c r="B16432" i="15"/>
  <c r="H16431" i="15"/>
  <c r="B16431" i="15"/>
  <c r="H16430" i="15"/>
  <c r="B16430" i="15"/>
  <c r="H16429" i="15"/>
  <c r="B16429" i="15"/>
  <c r="H16428" i="15"/>
  <c r="B16428" i="15"/>
  <c r="H16427" i="15"/>
  <c r="B16427" i="15"/>
  <c r="H16426" i="15"/>
  <c r="B16426" i="15"/>
  <c r="H16425" i="15"/>
  <c r="B16425" i="15"/>
  <c r="H16424" i="15"/>
  <c r="B16424" i="15"/>
  <c r="H16423" i="15"/>
  <c r="B16423" i="15"/>
  <c r="H16422" i="15"/>
  <c r="B16422" i="15"/>
  <c r="H16421" i="15"/>
  <c r="B16421" i="15"/>
  <c r="H16420" i="15"/>
  <c r="B16420" i="15"/>
  <c r="H16419" i="15"/>
  <c r="B16419" i="15"/>
  <c r="H16418" i="15"/>
  <c r="B16418" i="15"/>
  <c r="H16417" i="15"/>
  <c r="B16417" i="15"/>
  <c r="H16416" i="15"/>
  <c r="B16416" i="15"/>
  <c r="H16415" i="15"/>
  <c r="B16415" i="15"/>
  <c r="H16414" i="15"/>
  <c r="B16414" i="15"/>
  <c r="H16413" i="15"/>
  <c r="B16413" i="15"/>
  <c r="H16412" i="15"/>
  <c r="B16412" i="15"/>
  <c r="H16411" i="15"/>
  <c r="B16411" i="15"/>
  <c r="H16410" i="15"/>
  <c r="B16410" i="15"/>
  <c r="H16409" i="15"/>
  <c r="B16409" i="15"/>
  <c r="H16408" i="15"/>
  <c r="B16408" i="15"/>
  <c r="H16407" i="15"/>
  <c r="B16407" i="15"/>
  <c r="H16406" i="15"/>
  <c r="B16406" i="15"/>
  <c r="H16405" i="15"/>
  <c r="B16405" i="15"/>
  <c r="H16404" i="15"/>
  <c r="B16404" i="15"/>
  <c r="H16403" i="15"/>
  <c r="B16403" i="15"/>
  <c r="H16402" i="15"/>
  <c r="B16402" i="15"/>
  <c r="H16401" i="15"/>
  <c r="B16401" i="15"/>
  <c r="H16400" i="15"/>
  <c r="B16400" i="15"/>
  <c r="H16399" i="15"/>
  <c r="B16399" i="15"/>
  <c r="H16398" i="15"/>
  <c r="B16398" i="15"/>
  <c r="H16397" i="15"/>
  <c r="B16397" i="15"/>
  <c r="H16396" i="15"/>
  <c r="B16396" i="15"/>
  <c r="H16395" i="15"/>
  <c r="B16395" i="15"/>
  <c r="H16394" i="15"/>
  <c r="B16394" i="15"/>
  <c r="H16393" i="15"/>
  <c r="B16393" i="15"/>
  <c r="H16392" i="15"/>
  <c r="B16392" i="15"/>
  <c r="H16391" i="15"/>
  <c r="B16391" i="15"/>
  <c r="H16390" i="15"/>
  <c r="B16390" i="15"/>
  <c r="H16389" i="15"/>
  <c r="B16389" i="15"/>
  <c r="H16388" i="15"/>
  <c r="B16388" i="15"/>
  <c r="H16387" i="15"/>
  <c r="B16387" i="15"/>
  <c r="H16386" i="15"/>
  <c r="B16386" i="15"/>
  <c r="H16385" i="15"/>
  <c r="B16385" i="15"/>
  <c r="H16384" i="15"/>
  <c r="B16384" i="15"/>
  <c r="H16383" i="15"/>
  <c r="B16383" i="15"/>
  <c r="H16382" i="15"/>
  <c r="B16382" i="15"/>
  <c r="H16381" i="15"/>
  <c r="B16381" i="15"/>
  <c r="H16380" i="15"/>
  <c r="B16380" i="15"/>
  <c r="H16379" i="15"/>
  <c r="B16379" i="15"/>
  <c r="H16378" i="15"/>
  <c r="B16378" i="15"/>
  <c r="H16377" i="15"/>
  <c r="B16377" i="15"/>
  <c r="H16376" i="15"/>
  <c r="B16376" i="15"/>
  <c r="H16375" i="15"/>
  <c r="B16375" i="15"/>
  <c r="H16374" i="15"/>
  <c r="B16374" i="15"/>
  <c r="H16373" i="15"/>
  <c r="B16373" i="15"/>
  <c r="H16372" i="15"/>
  <c r="B16372" i="15"/>
  <c r="H16371" i="15"/>
  <c r="B16371" i="15"/>
  <c r="H16370" i="15"/>
  <c r="B16370" i="15"/>
  <c r="H16369" i="15"/>
  <c r="B16369" i="15"/>
  <c r="H16368" i="15"/>
  <c r="B16368" i="15"/>
  <c r="H16367" i="15"/>
  <c r="B16367" i="15"/>
  <c r="H16366" i="15"/>
  <c r="B16366" i="15"/>
  <c r="H16365" i="15"/>
  <c r="B16365" i="15"/>
  <c r="H16364" i="15"/>
  <c r="B16364" i="15"/>
  <c r="H16363" i="15"/>
  <c r="B16363" i="15"/>
  <c r="H16362" i="15"/>
  <c r="B16362" i="15"/>
  <c r="H16361" i="15"/>
  <c r="B16361" i="15"/>
  <c r="H16360" i="15"/>
  <c r="B16360" i="15"/>
  <c r="H16359" i="15"/>
  <c r="B16359" i="15"/>
  <c r="H16358" i="15"/>
  <c r="B16358" i="15"/>
  <c r="H16357" i="15"/>
  <c r="B16357" i="15"/>
  <c r="H16356" i="15"/>
  <c r="B16356" i="15"/>
  <c r="H16355" i="15"/>
  <c r="B16355" i="15"/>
  <c r="H16354" i="15"/>
  <c r="B16354" i="15"/>
  <c r="H16353" i="15"/>
  <c r="B16353" i="15"/>
  <c r="H16352" i="15"/>
  <c r="B16352" i="15"/>
  <c r="H16351" i="15"/>
  <c r="B16351" i="15"/>
  <c r="H16350" i="15"/>
  <c r="B16350" i="15"/>
  <c r="H16349" i="15"/>
  <c r="B16349" i="15"/>
  <c r="H16348" i="15"/>
  <c r="B16348" i="15"/>
  <c r="H16347" i="15"/>
  <c r="B16347" i="15"/>
  <c r="H16346" i="15"/>
  <c r="B16346" i="15"/>
  <c r="H16345" i="15"/>
  <c r="B16345" i="15"/>
  <c r="H16344" i="15"/>
  <c r="B16344" i="15"/>
  <c r="H16343" i="15"/>
  <c r="B16343" i="15"/>
  <c r="H16342" i="15"/>
  <c r="B16342" i="15"/>
  <c r="H16341" i="15"/>
  <c r="B16341" i="15"/>
  <c r="H16340" i="15"/>
  <c r="B16340" i="15"/>
  <c r="H16339" i="15"/>
  <c r="B16339" i="15"/>
  <c r="H16338" i="15"/>
  <c r="B16338" i="15"/>
  <c r="H16337" i="15"/>
  <c r="B16337" i="15"/>
  <c r="H16336" i="15"/>
  <c r="B16336" i="15"/>
  <c r="H16335" i="15"/>
  <c r="B16335" i="15"/>
  <c r="H16334" i="15"/>
  <c r="B16334" i="15"/>
  <c r="H16333" i="15"/>
  <c r="B16333" i="15"/>
  <c r="H16332" i="15"/>
  <c r="B16332" i="15"/>
  <c r="H16331" i="15"/>
  <c r="B16331" i="15"/>
  <c r="H16330" i="15"/>
  <c r="B16330" i="15"/>
  <c r="H16329" i="15"/>
  <c r="B16329" i="15"/>
  <c r="H16328" i="15"/>
  <c r="B16328" i="15"/>
  <c r="H16327" i="15"/>
  <c r="B16327" i="15"/>
  <c r="H16326" i="15"/>
  <c r="B16326" i="15"/>
  <c r="H16325" i="15"/>
  <c r="B16325" i="15"/>
  <c r="H16324" i="15"/>
  <c r="B16324" i="15"/>
  <c r="H16323" i="15"/>
  <c r="B16323" i="15"/>
  <c r="H16322" i="15"/>
  <c r="B16322" i="15"/>
  <c r="H16321" i="15"/>
  <c r="B16321" i="15"/>
  <c r="H16320" i="15"/>
  <c r="B16320" i="15"/>
  <c r="H16319" i="15"/>
  <c r="B16319" i="15"/>
  <c r="H16318" i="15"/>
  <c r="B16318" i="15"/>
  <c r="H16317" i="15"/>
  <c r="B16317" i="15"/>
  <c r="H16316" i="15"/>
  <c r="B16316" i="15"/>
  <c r="H16315" i="15"/>
  <c r="B16315" i="15"/>
  <c r="H16314" i="15"/>
  <c r="B16314" i="15"/>
  <c r="H16313" i="15"/>
  <c r="B16313" i="15"/>
  <c r="H16312" i="15"/>
  <c r="B16312" i="15"/>
  <c r="H16311" i="15"/>
  <c r="B16311" i="15"/>
  <c r="H16310" i="15"/>
  <c r="B16310" i="15"/>
  <c r="H16309" i="15"/>
  <c r="B16309" i="15"/>
  <c r="H16308" i="15"/>
  <c r="B16308" i="15"/>
  <c r="H16307" i="15"/>
  <c r="B16307" i="15"/>
  <c r="H16306" i="15"/>
  <c r="B16306" i="15"/>
  <c r="H16305" i="15"/>
  <c r="B16305" i="15"/>
  <c r="H16304" i="15"/>
  <c r="B16304" i="15"/>
  <c r="H16303" i="15"/>
  <c r="B16303" i="15"/>
  <c r="H16302" i="15"/>
  <c r="B16302" i="15"/>
  <c r="H16301" i="15"/>
  <c r="B16301" i="15"/>
  <c r="H16300" i="15"/>
  <c r="B16300" i="15"/>
  <c r="H16299" i="15"/>
  <c r="B16299" i="15"/>
  <c r="H16298" i="15"/>
  <c r="B16298" i="15"/>
  <c r="H16297" i="15"/>
  <c r="B16297" i="15"/>
  <c r="H16296" i="15"/>
  <c r="B16296" i="15"/>
  <c r="H16295" i="15"/>
  <c r="B16295" i="15"/>
  <c r="H16294" i="15"/>
  <c r="B16294" i="15"/>
  <c r="H16293" i="15"/>
  <c r="B16293" i="15"/>
  <c r="H16292" i="15"/>
  <c r="B16292" i="15"/>
  <c r="H16291" i="15"/>
  <c r="B16291" i="15"/>
  <c r="H16290" i="15"/>
  <c r="B16290" i="15"/>
  <c r="H16289" i="15"/>
  <c r="B16289" i="15"/>
  <c r="H16288" i="15"/>
  <c r="B16288" i="15"/>
  <c r="H16287" i="15"/>
  <c r="B16287" i="15"/>
  <c r="H16286" i="15"/>
  <c r="B16286" i="15"/>
  <c r="H16285" i="15"/>
  <c r="B16285" i="15"/>
  <c r="H16284" i="15"/>
  <c r="B16284" i="15"/>
  <c r="H16283" i="15"/>
  <c r="B16283" i="15"/>
  <c r="H16282" i="15"/>
  <c r="B16282" i="15"/>
  <c r="H16281" i="15"/>
  <c r="B16281" i="15"/>
  <c r="H16280" i="15"/>
  <c r="B16280" i="15"/>
  <c r="H16279" i="15"/>
  <c r="B16279" i="15"/>
  <c r="H16278" i="15"/>
  <c r="B16278" i="15"/>
  <c r="H16277" i="15"/>
  <c r="B16277" i="15"/>
  <c r="H16276" i="15"/>
  <c r="B16276" i="15"/>
  <c r="H16275" i="15"/>
  <c r="B16275" i="15"/>
  <c r="H16274" i="15"/>
  <c r="B16274" i="15"/>
  <c r="H16273" i="15"/>
  <c r="B16273" i="15"/>
  <c r="H16272" i="15"/>
  <c r="B16272" i="15"/>
  <c r="H16271" i="15"/>
  <c r="B16271" i="15"/>
  <c r="H16270" i="15"/>
  <c r="B16270" i="15"/>
  <c r="H16269" i="15"/>
  <c r="B16269" i="15"/>
  <c r="H16268" i="15"/>
  <c r="B16268" i="15"/>
  <c r="H16267" i="15"/>
  <c r="B16267" i="15"/>
  <c r="H16266" i="15"/>
  <c r="B16266" i="15"/>
  <c r="H16265" i="15"/>
  <c r="B16265" i="15"/>
  <c r="H16264" i="15"/>
  <c r="B16264" i="15"/>
  <c r="H16263" i="15"/>
  <c r="B16263" i="15"/>
  <c r="H16262" i="15"/>
  <c r="B16262" i="15"/>
  <c r="H16261" i="15"/>
  <c r="B16261" i="15"/>
  <c r="H16260" i="15"/>
  <c r="B16260" i="15"/>
  <c r="H16259" i="15"/>
  <c r="B16259" i="15"/>
  <c r="H16258" i="15"/>
  <c r="B16258" i="15"/>
  <c r="H16257" i="15"/>
  <c r="B16257" i="15"/>
  <c r="H16256" i="15"/>
  <c r="B16256" i="15"/>
  <c r="H16255" i="15"/>
  <c r="B16255" i="15"/>
  <c r="H16254" i="15"/>
  <c r="B16254" i="15"/>
  <c r="H16253" i="15"/>
  <c r="B16253" i="15"/>
  <c r="H16252" i="15"/>
  <c r="B16252" i="15"/>
  <c r="H16251" i="15"/>
  <c r="B16251" i="15"/>
  <c r="H16250" i="15"/>
  <c r="B16250" i="15"/>
  <c r="H16249" i="15"/>
  <c r="B16249" i="15"/>
  <c r="H16248" i="15"/>
  <c r="B16248" i="15"/>
  <c r="H16247" i="15"/>
  <c r="B16247" i="15"/>
  <c r="H16246" i="15"/>
  <c r="B16246" i="15"/>
  <c r="H16245" i="15"/>
  <c r="B16245" i="15"/>
  <c r="H16244" i="15"/>
  <c r="B16244" i="15"/>
  <c r="H16243" i="15"/>
  <c r="B16243" i="15"/>
  <c r="H16242" i="15"/>
  <c r="B16242" i="15"/>
  <c r="H16241" i="15"/>
  <c r="B16241" i="15"/>
  <c r="H16240" i="15"/>
  <c r="B16240" i="15"/>
  <c r="H16239" i="15"/>
  <c r="B16239" i="15"/>
  <c r="H16238" i="15"/>
  <c r="B16238" i="15"/>
  <c r="H16237" i="15"/>
  <c r="B16237" i="15"/>
  <c r="H16236" i="15"/>
  <c r="B16236" i="15"/>
  <c r="H16235" i="15"/>
  <c r="B16235" i="15"/>
  <c r="H16234" i="15"/>
  <c r="B16234" i="15"/>
  <c r="H16233" i="15"/>
  <c r="B16233" i="15"/>
  <c r="H16232" i="15"/>
  <c r="B16232" i="15"/>
  <c r="H16231" i="15"/>
  <c r="B16231" i="15"/>
  <c r="H16230" i="15"/>
  <c r="B16230" i="15"/>
  <c r="H16229" i="15"/>
  <c r="B16229" i="15"/>
  <c r="H16228" i="15"/>
  <c r="B16228" i="15"/>
  <c r="H16227" i="15"/>
  <c r="B16227" i="15"/>
  <c r="H16226" i="15"/>
  <c r="B16226" i="15"/>
  <c r="H16225" i="15"/>
  <c r="B16225" i="15"/>
  <c r="H16224" i="15"/>
  <c r="B16224" i="15"/>
  <c r="H16223" i="15"/>
  <c r="B16223" i="15"/>
  <c r="H16222" i="15"/>
  <c r="B16222" i="15"/>
  <c r="H16221" i="15"/>
  <c r="B16221" i="15"/>
  <c r="H16220" i="15"/>
  <c r="B16220" i="15"/>
  <c r="H16219" i="15"/>
  <c r="B16219" i="15"/>
  <c r="H16218" i="15"/>
  <c r="B16218" i="15"/>
  <c r="H16217" i="15"/>
  <c r="B16217" i="15"/>
  <c r="H16216" i="15"/>
  <c r="B16216" i="15"/>
  <c r="H16215" i="15"/>
  <c r="B16215" i="15"/>
  <c r="H16214" i="15"/>
  <c r="B16214" i="15"/>
  <c r="H16213" i="15"/>
  <c r="B16213" i="15"/>
  <c r="H16212" i="15"/>
  <c r="B16212" i="15"/>
  <c r="H16211" i="15"/>
  <c r="B16211" i="15"/>
  <c r="H16210" i="15"/>
  <c r="B16210" i="15"/>
  <c r="H16209" i="15"/>
  <c r="B16209" i="15"/>
  <c r="H16208" i="15"/>
  <c r="B16208" i="15"/>
  <c r="H16207" i="15"/>
  <c r="B16207" i="15"/>
  <c r="H16206" i="15"/>
  <c r="B16206" i="15"/>
  <c r="H16205" i="15"/>
  <c r="B16205" i="15"/>
  <c r="H16204" i="15"/>
  <c r="B16204" i="15"/>
  <c r="H16203" i="15"/>
  <c r="B16203" i="15"/>
  <c r="H16202" i="15"/>
  <c r="B16202" i="15"/>
  <c r="H16201" i="15"/>
  <c r="B16201" i="15"/>
  <c r="H16200" i="15"/>
  <c r="B16200" i="15"/>
  <c r="H16199" i="15"/>
  <c r="B16199" i="15"/>
  <c r="H16198" i="15"/>
  <c r="B16198" i="15"/>
  <c r="H16197" i="15"/>
  <c r="B16197" i="15"/>
  <c r="H16196" i="15"/>
  <c r="B16196" i="15"/>
  <c r="H16195" i="15"/>
  <c r="B16195" i="15"/>
  <c r="H16194" i="15"/>
  <c r="B16194" i="15"/>
  <c r="H16193" i="15"/>
  <c r="B16193" i="15"/>
  <c r="H16192" i="15"/>
  <c r="B16192" i="15"/>
  <c r="H16191" i="15"/>
  <c r="B16191" i="15"/>
  <c r="H16190" i="15"/>
  <c r="B16190" i="15"/>
  <c r="H16189" i="15"/>
  <c r="B16189" i="15"/>
  <c r="H16188" i="15"/>
  <c r="B16188" i="15"/>
  <c r="H16187" i="15"/>
  <c r="B16187" i="15"/>
  <c r="H16186" i="15"/>
  <c r="B16186" i="15"/>
  <c r="H16185" i="15"/>
  <c r="B16185" i="15"/>
  <c r="H16184" i="15"/>
  <c r="B16184" i="15"/>
  <c r="H16183" i="15"/>
  <c r="B16183" i="15"/>
  <c r="H16182" i="15"/>
  <c r="B16182" i="15"/>
  <c r="H16181" i="15"/>
  <c r="B16181" i="15"/>
  <c r="H16180" i="15"/>
  <c r="B16180" i="15"/>
  <c r="H16179" i="15"/>
  <c r="B16179" i="15"/>
  <c r="H16178" i="15"/>
  <c r="B16178" i="15"/>
  <c r="H16177" i="15"/>
  <c r="B16177" i="15"/>
  <c r="H16176" i="15"/>
  <c r="B16176" i="15"/>
  <c r="H16175" i="15"/>
  <c r="B16175" i="15"/>
  <c r="H16174" i="15"/>
  <c r="B16174" i="15"/>
  <c r="H16173" i="15"/>
  <c r="B16173" i="15"/>
  <c r="H16172" i="15"/>
  <c r="B16172" i="15"/>
  <c r="H16171" i="15"/>
  <c r="B16171" i="15"/>
  <c r="H16170" i="15"/>
  <c r="B16170" i="15"/>
  <c r="H16169" i="15"/>
  <c r="B16169" i="15"/>
  <c r="H16168" i="15"/>
  <c r="B16168" i="15"/>
  <c r="H16167" i="15"/>
  <c r="B16167" i="15"/>
  <c r="H16166" i="15"/>
  <c r="B16166" i="15"/>
  <c r="H16165" i="15"/>
  <c r="B16165" i="15"/>
  <c r="H16164" i="15"/>
  <c r="B16164" i="15"/>
  <c r="H16163" i="15"/>
  <c r="B16163" i="15"/>
  <c r="H16162" i="15"/>
  <c r="B16162" i="15"/>
  <c r="H16161" i="15"/>
  <c r="B16161" i="15"/>
  <c r="H16160" i="15"/>
  <c r="B16160" i="15"/>
  <c r="H16159" i="15"/>
  <c r="B16159" i="15"/>
  <c r="H16158" i="15"/>
  <c r="B16158" i="15"/>
  <c r="H16157" i="15"/>
  <c r="B16157" i="15"/>
  <c r="H16156" i="15"/>
  <c r="B16156" i="15"/>
  <c r="H16155" i="15"/>
  <c r="B16155" i="15"/>
  <c r="H16154" i="15"/>
  <c r="B16154" i="15"/>
  <c r="H16153" i="15"/>
  <c r="B16153" i="15"/>
  <c r="H16152" i="15"/>
  <c r="B16152" i="15"/>
  <c r="H16151" i="15"/>
  <c r="B16151" i="15"/>
  <c r="H16150" i="15"/>
  <c r="B16150" i="15"/>
  <c r="H16149" i="15"/>
  <c r="B16149" i="15"/>
  <c r="H16148" i="15"/>
  <c r="B16148" i="15"/>
  <c r="H16147" i="15"/>
  <c r="B16147" i="15"/>
  <c r="H16146" i="15"/>
  <c r="B16146" i="15"/>
  <c r="H16145" i="15"/>
  <c r="B16145" i="15"/>
  <c r="H16144" i="15"/>
  <c r="B16144" i="15"/>
  <c r="H16143" i="15"/>
  <c r="B16143" i="15"/>
  <c r="H16142" i="15"/>
  <c r="B16142" i="15"/>
  <c r="H16141" i="15"/>
  <c r="B16141" i="15"/>
  <c r="H16140" i="15"/>
  <c r="B16140" i="15"/>
  <c r="H16139" i="15"/>
  <c r="B16139" i="15"/>
  <c r="H16138" i="15"/>
  <c r="B16138" i="15"/>
  <c r="H16137" i="15"/>
  <c r="B16137" i="15"/>
  <c r="H16136" i="15"/>
  <c r="B16136" i="15"/>
  <c r="H16135" i="15"/>
  <c r="B16135" i="15"/>
  <c r="H16134" i="15"/>
  <c r="B16134" i="15"/>
  <c r="H16133" i="15"/>
  <c r="B16133" i="15"/>
  <c r="H16132" i="15"/>
  <c r="B16132" i="15"/>
  <c r="H16131" i="15"/>
  <c r="B16131" i="15"/>
  <c r="H16130" i="15"/>
  <c r="B16130" i="15"/>
  <c r="H16129" i="15"/>
  <c r="B16129" i="15"/>
  <c r="H16128" i="15"/>
  <c r="B16128" i="15"/>
  <c r="H16127" i="15"/>
  <c r="B16127" i="15"/>
  <c r="H16126" i="15"/>
  <c r="B16126" i="15"/>
  <c r="H16125" i="15"/>
  <c r="B16125" i="15"/>
  <c r="H16124" i="15"/>
  <c r="B16124" i="15"/>
  <c r="H16123" i="15"/>
  <c r="B16123" i="15"/>
  <c r="H16122" i="15"/>
  <c r="B16122" i="15"/>
  <c r="H16121" i="15"/>
  <c r="B16121" i="15"/>
  <c r="H16120" i="15"/>
  <c r="B16120" i="15"/>
  <c r="H16119" i="15"/>
  <c r="B16119" i="15"/>
  <c r="H16118" i="15"/>
  <c r="B16118" i="15"/>
  <c r="H16117" i="15"/>
  <c r="B16117" i="15"/>
  <c r="H16116" i="15"/>
  <c r="B16116" i="15"/>
  <c r="H16115" i="15"/>
  <c r="B16115" i="15"/>
  <c r="H16114" i="15"/>
  <c r="B16114" i="15"/>
  <c r="H16113" i="15"/>
  <c r="B16113" i="15"/>
  <c r="H16112" i="15"/>
  <c r="B16112" i="15"/>
  <c r="H16111" i="15"/>
  <c r="B16111" i="15"/>
  <c r="H16110" i="15"/>
  <c r="B16110" i="15"/>
  <c r="H16109" i="15"/>
  <c r="B16109" i="15"/>
  <c r="H16108" i="15"/>
  <c r="B16108" i="15"/>
  <c r="H16107" i="15"/>
  <c r="B16107" i="15"/>
  <c r="H16106" i="15"/>
  <c r="B16106" i="15"/>
  <c r="H16105" i="15"/>
  <c r="B16105" i="15"/>
  <c r="H16104" i="15"/>
  <c r="B16104" i="15"/>
  <c r="H16103" i="15"/>
  <c r="B16103" i="15"/>
  <c r="H16102" i="15"/>
  <c r="B16102" i="15"/>
  <c r="H16101" i="15"/>
  <c r="B16101" i="15"/>
  <c r="H16100" i="15"/>
  <c r="B16100" i="15"/>
  <c r="H16099" i="15"/>
  <c r="B16099" i="15"/>
  <c r="H16098" i="15"/>
  <c r="B16098" i="15"/>
  <c r="H16097" i="15"/>
  <c r="B16097" i="15"/>
  <c r="H16096" i="15"/>
  <c r="B16096" i="15"/>
  <c r="H16095" i="15"/>
  <c r="B16095" i="15"/>
  <c r="H16094" i="15"/>
  <c r="B16094" i="15"/>
  <c r="H16093" i="15"/>
  <c r="B16093" i="15"/>
  <c r="H16092" i="15"/>
  <c r="B16092" i="15"/>
  <c r="H16091" i="15"/>
  <c r="B16091" i="15"/>
  <c r="H16090" i="15"/>
  <c r="B16090" i="15"/>
  <c r="H16089" i="15"/>
  <c r="B16089" i="15"/>
  <c r="H16088" i="15"/>
  <c r="B16088" i="15"/>
  <c r="H16087" i="15"/>
  <c r="B16087" i="15"/>
  <c r="H16086" i="15"/>
  <c r="B16086" i="15"/>
  <c r="H16085" i="15"/>
  <c r="B16085" i="15"/>
  <c r="H16084" i="15"/>
  <c r="B16084" i="15"/>
  <c r="H16083" i="15"/>
  <c r="B16083" i="15"/>
  <c r="H16082" i="15"/>
  <c r="B16082" i="15"/>
  <c r="H16081" i="15"/>
  <c r="B16081" i="15"/>
  <c r="H16080" i="15"/>
  <c r="B16080" i="15"/>
  <c r="H16079" i="15"/>
  <c r="B16079" i="15"/>
  <c r="H16078" i="15"/>
  <c r="B16078" i="15"/>
  <c r="H16077" i="15"/>
  <c r="B16077" i="15"/>
  <c r="H16076" i="15"/>
  <c r="B16076" i="15"/>
  <c r="H16075" i="15"/>
  <c r="B16075" i="15"/>
  <c r="H16074" i="15"/>
  <c r="B16074" i="15"/>
  <c r="H16073" i="15"/>
  <c r="B16073" i="15"/>
  <c r="H16072" i="15"/>
  <c r="B16072" i="15"/>
  <c r="H16071" i="15"/>
  <c r="B16071" i="15"/>
  <c r="H16070" i="15"/>
  <c r="B16070" i="15"/>
  <c r="H16069" i="15"/>
  <c r="B16069" i="15"/>
  <c r="H16068" i="15"/>
  <c r="B16068" i="15"/>
  <c r="H16067" i="15"/>
  <c r="B16067" i="15"/>
  <c r="H16066" i="15"/>
  <c r="B16066" i="15"/>
  <c r="H16065" i="15"/>
  <c r="B16065" i="15"/>
  <c r="H16064" i="15"/>
  <c r="B16064" i="15"/>
  <c r="H16063" i="15"/>
  <c r="B16063" i="15"/>
  <c r="H16062" i="15"/>
  <c r="B16062" i="15"/>
  <c r="H16061" i="15"/>
  <c r="B16061" i="15"/>
  <c r="H16060" i="15"/>
  <c r="B16060" i="15"/>
  <c r="H16059" i="15"/>
  <c r="B16059" i="15"/>
  <c r="H16058" i="15"/>
  <c r="B16058" i="15"/>
  <c r="H16057" i="15"/>
  <c r="B16057" i="15"/>
  <c r="H16056" i="15"/>
  <c r="B16056" i="15"/>
  <c r="H16055" i="15"/>
  <c r="B16055" i="15"/>
  <c r="H16054" i="15"/>
  <c r="B16054" i="15"/>
  <c r="H16053" i="15"/>
  <c r="B16053" i="15"/>
  <c r="H16052" i="15"/>
  <c r="B16052" i="15"/>
  <c r="H16051" i="15"/>
  <c r="B16051" i="15"/>
  <c r="H16050" i="15"/>
  <c r="B16050" i="15"/>
  <c r="H16049" i="15"/>
  <c r="B16049" i="15"/>
  <c r="H16048" i="15"/>
  <c r="B16048" i="15"/>
  <c r="H16047" i="15"/>
  <c r="B16047" i="15"/>
  <c r="H16046" i="15"/>
  <c r="B16046" i="15"/>
  <c r="H16045" i="15"/>
  <c r="B16045" i="15"/>
  <c r="H16044" i="15"/>
  <c r="B16044" i="15"/>
  <c r="H16043" i="15"/>
  <c r="B16043" i="15"/>
  <c r="H16042" i="15"/>
  <c r="B16042" i="15"/>
  <c r="H16041" i="15"/>
  <c r="B16041" i="15"/>
  <c r="H16040" i="15"/>
  <c r="B16040" i="15"/>
  <c r="H16039" i="15"/>
  <c r="B16039" i="15"/>
  <c r="H16038" i="15"/>
  <c r="B16038" i="15"/>
  <c r="H16037" i="15"/>
  <c r="B16037" i="15"/>
  <c r="H16036" i="15"/>
  <c r="B16036" i="15"/>
  <c r="H16035" i="15"/>
  <c r="B16035" i="15"/>
  <c r="H16034" i="15"/>
  <c r="B16034" i="15"/>
  <c r="H16033" i="15"/>
  <c r="B16033" i="15"/>
  <c r="H16032" i="15"/>
  <c r="B16032" i="15"/>
  <c r="H16031" i="15"/>
  <c r="B16031" i="15"/>
  <c r="H16030" i="15"/>
  <c r="B16030" i="15"/>
  <c r="H16029" i="15"/>
  <c r="B16029" i="15"/>
  <c r="H16028" i="15"/>
  <c r="B16028" i="15"/>
  <c r="H16027" i="15"/>
  <c r="B16027" i="15"/>
  <c r="H16026" i="15"/>
  <c r="B16026" i="15"/>
  <c r="H16025" i="15"/>
  <c r="B16025" i="15"/>
  <c r="H16024" i="15"/>
  <c r="B16024" i="15"/>
  <c r="H16023" i="15"/>
  <c r="B16023" i="15"/>
  <c r="H16022" i="15"/>
  <c r="B16022" i="15"/>
  <c r="H16021" i="15"/>
  <c r="B16021" i="15"/>
  <c r="H16020" i="15"/>
  <c r="B16020" i="15"/>
  <c r="H16019" i="15"/>
  <c r="B16019" i="15"/>
  <c r="H16018" i="15"/>
  <c r="B16018" i="15"/>
  <c r="H16017" i="15"/>
  <c r="B16017" i="15"/>
  <c r="H16016" i="15"/>
  <c r="B16016" i="15"/>
  <c r="H16015" i="15"/>
  <c r="B16015" i="15"/>
  <c r="H16014" i="15"/>
  <c r="B16014" i="15"/>
  <c r="H16013" i="15"/>
  <c r="B16013" i="15"/>
  <c r="H16012" i="15"/>
  <c r="B16012" i="15"/>
  <c r="H16011" i="15"/>
  <c r="B16011" i="15"/>
  <c r="H16010" i="15"/>
  <c r="B16010" i="15"/>
  <c r="H16009" i="15"/>
  <c r="B16009" i="15"/>
  <c r="H16008" i="15"/>
  <c r="B16008" i="15"/>
  <c r="H16007" i="15"/>
  <c r="B16007" i="15"/>
  <c r="H16006" i="15"/>
  <c r="B16006" i="15"/>
  <c r="H16005" i="15"/>
  <c r="B16005" i="15"/>
  <c r="H16004" i="15"/>
  <c r="B16004" i="15"/>
  <c r="H16003" i="15"/>
  <c r="B16003" i="15"/>
  <c r="H16002" i="15"/>
  <c r="B16002" i="15"/>
  <c r="H16001" i="15"/>
  <c r="B16001" i="15"/>
  <c r="H16000" i="15"/>
  <c r="B16000" i="15"/>
  <c r="H15999" i="15"/>
  <c r="B15999" i="15"/>
  <c r="H15998" i="15"/>
  <c r="B15998" i="15"/>
  <c r="H15997" i="15"/>
  <c r="B15997" i="15"/>
  <c r="H15996" i="15"/>
  <c r="B15996" i="15"/>
  <c r="H15995" i="15"/>
  <c r="B15995" i="15"/>
  <c r="H15994" i="15"/>
  <c r="B15994" i="15"/>
  <c r="H15993" i="15"/>
  <c r="B15993" i="15"/>
  <c r="H15992" i="15"/>
  <c r="B15992" i="15"/>
  <c r="H15991" i="15"/>
  <c r="B15991" i="15"/>
  <c r="H15990" i="15"/>
  <c r="B15990" i="15"/>
  <c r="H15989" i="15"/>
  <c r="B15989" i="15"/>
  <c r="H15988" i="15"/>
  <c r="B15988" i="15"/>
  <c r="H15987" i="15"/>
  <c r="B15987" i="15"/>
  <c r="H15986" i="15"/>
  <c r="B15986" i="15"/>
  <c r="H15985" i="15"/>
  <c r="B15985" i="15"/>
  <c r="H15984" i="15"/>
  <c r="B15984" i="15"/>
  <c r="H15983" i="15"/>
  <c r="B15983" i="15"/>
  <c r="H15982" i="15"/>
  <c r="B15982" i="15"/>
  <c r="H15981" i="15"/>
  <c r="B15981" i="15"/>
  <c r="H15980" i="15"/>
  <c r="B15980" i="15"/>
  <c r="H15979" i="15"/>
  <c r="B15979" i="15"/>
  <c r="H15978" i="15"/>
  <c r="B15978" i="15"/>
  <c r="H15977" i="15"/>
  <c r="B15977" i="15"/>
  <c r="H15976" i="15"/>
  <c r="B15976" i="15"/>
  <c r="H15975" i="15"/>
  <c r="B15975" i="15"/>
  <c r="H15974" i="15"/>
  <c r="B15974" i="15"/>
  <c r="H15973" i="15"/>
  <c r="B15973" i="15"/>
  <c r="H15972" i="15"/>
  <c r="B15972" i="15"/>
  <c r="H15971" i="15"/>
  <c r="B15971" i="15"/>
  <c r="H15970" i="15"/>
  <c r="B15970" i="15"/>
  <c r="H15969" i="15"/>
  <c r="B15969" i="15"/>
  <c r="H15968" i="15"/>
  <c r="B15968" i="15"/>
  <c r="H15967" i="15"/>
  <c r="B15967" i="15"/>
  <c r="H15966" i="15"/>
  <c r="B15966" i="15"/>
  <c r="H15965" i="15"/>
  <c r="B15965" i="15"/>
  <c r="H15964" i="15"/>
  <c r="B15964" i="15"/>
  <c r="H15963" i="15"/>
  <c r="B15963" i="15"/>
  <c r="H15962" i="15"/>
  <c r="B15962" i="15"/>
  <c r="H15961" i="15"/>
  <c r="B15961" i="15"/>
  <c r="H15960" i="15"/>
  <c r="B15960" i="15"/>
  <c r="H15959" i="15"/>
  <c r="B15959" i="15"/>
  <c r="H15958" i="15"/>
  <c r="B15958" i="15"/>
  <c r="H15957" i="15"/>
  <c r="B15957" i="15"/>
  <c r="H15956" i="15"/>
  <c r="B15956" i="15"/>
  <c r="H15955" i="15"/>
  <c r="B15955" i="15"/>
  <c r="H15954" i="15"/>
  <c r="B15954" i="15"/>
  <c r="H15953" i="15"/>
  <c r="B15953" i="15"/>
  <c r="H15952" i="15"/>
  <c r="B15952" i="15"/>
  <c r="H15951" i="15"/>
  <c r="B15951" i="15"/>
  <c r="H15950" i="15"/>
  <c r="B15950" i="15"/>
  <c r="H15949" i="15"/>
  <c r="B15949" i="15"/>
  <c r="H15948" i="15"/>
  <c r="B15948" i="15"/>
  <c r="H15947" i="15"/>
  <c r="B15947" i="15"/>
  <c r="H15946" i="15"/>
  <c r="B15946" i="15"/>
  <c r="H15945" i="15"/>
  <c r="B15945" i="15"/>
  <c r="H15944" i="15"/>
  <c r="B15944" i="15"/>
  <c r="H15943" i="15"/>
  <c r="B15943" i="15"/>
  <c r="H15942" i="15"/>
  <c r="B15942" i="15"/>
  <c r="H15941" i="15"/>
  <c r="B15941" i="15"/>
  <c r="H15940" i="15"/>
  <c r="B15940" i="15"/>
  <c r="H15939" i="15"/>
  <c r="B15939" i="15"/>
  <c r="H15938" i="15"/>
  <c r="B15938" i="15"/>
  <c r="H15937" i="15"/>
  <c r="B15937" i="15"/>
  <c r="H15936" i="15"/>
  <c r="B15936" i="15"/>
  <c r="H15935" i="15"/>
  <c r="B15935" i="15"/>
  <c r="H15934" i="15"/>
  <c r="B15934" i="15"/>
  <c r="H15933" i="15"/>
  <c r="B15933" i="15"/>
  <c r="H15932" i="15"/>
  <c r="B15932" i="15"/>
  <c r="H15931" i="15"/>
  <c r="B15931" i="15"/>
  <c r="H15930" i="15"/>
  <c r="B15930" i="15"/>
  <c r="H15929" i="15"/>
  <c r="B15929" i="15"/>
  <c r="H15928" i="15"/>
  <c r="B15928" i="15"/>
  <c r="H15927" i="15"/>
  <c r="B15927" i="15"/>
  <c r="H15926" i="15"/>
  <c r="B15926" i="15"/>
  <c r="H15925" i="15"/>
  <c r="B15925" i="15"/>
  <c r="H15924" i="15"/>
  <c r="B15924" i="15"/>
  <c r="H15923" i="15"/>
  <c r="B15923" i="15"/>
  <c r="H15922" i="15"/>
  <c r="B15922" i="15"/>
  <c r="H15921" i="15"/>
  <c r="B15921" i="15"/>
  <c r="H15920" i="15"/>
  <c r="B15920" i="15"/>
  <c r="H15919" i="15"/>
  <c r="B15919" i="15"/>
  <c r="H15918" i="15"/>
  <c r="B15918" i="15"/>
  <c r="H15917" i="15"/>
  <c r="B15917" i="15"/>
  <c r="H15916" i="15"/>
  <c r="B15916" i="15"/>
  <c r="H15915" i="15"/>
  <c r="B15915" i="15"/>
  <c r="H15914" i="15"/>
  <c r="B15914" i="15"/>
  <c r="H15913" i="15"/>
  <c r="B15913" i="15"/>
  <c r="H15912" i="15"/>
  <c r="B15912" i="15"/>
  <c r="H15911" i="15"/>
  <c r="B15911" i="15"/>
  <c r="H15910" i="15"/>
  <c r="B15910" i="15"/>
  <c r="H15909" i="15"/>
  <c r="B15909" i="15"/>
  <c r="H15908" i="15"/>
  <c r="B15908" i="15"/>
  <c r="H15907" i="15"/>
  <c r="B15907" i="15"/>
  <c r="H15906" i="15"/>
  <c r="B15906" i="15"/>
  <c r="H15905" i="15"/>
  <c r="B15905" i="15"/>
  <c r="H15904" i="15"/>
  <c r="B15904" i="15"/>
  <c r="H15903" i="15"/>
  <c r="B15903" i="15"/>
  <c r="H15902" i="15"/>
  <c r="B15902" i="15"/>
  <c r="H15901" i="15"/>
  <c r="B15901" i="15"/>
  <c r="H15900" i="15"/>
  <c r="B15900" i="15"/>
  <c r="H15899" i="15"/>
  <c r="B15899" i="15"/>
  <c r="H15898" i="15"/>
  <c r="B15898" i="15"/>
  <c r="H15897" i="15"/>
  <c r="B15897" i="15"/>
  <c r="H15896" i="15"/>
  <c r="B15896" i="15"/>
  <c r="H15895" i="15"/>
  <c r="B15895" i="15"/>
  <c r="H15894" i="15"/>
  <c r="B15894" i="15"/>
  <c r="H15893" i="15"/>
  <c r="B15893" i="15"/>
  <c r="H15892" i="15"/>
  <c r="B15892" i="15"/>
  <c r="H15891" i="15"/>
  <c r="B15891" i="15"/>
  <c r="H15890" i="15"/>
  <c r="B15890" i="15"/>
  <c r="H15889" i="15"/>
  <c r="B15889" i="15"/>
  <c r="H15888" i="15"/>
  <c r="B15888" i="15"/>
  <c r="H15887" i="15"/>
  <c r="B15887" i="15"/>
  <c r="H15886" i="15"/>
  <c r="B15886" i="15"/>
  <c r="H15885" i="15"/>
  <c r="B15885" i="15"/>
  <c r="H15884" i="15"/>
  <c r="B15884" i="15"/>
  <c r="H15883" i="15"/>
  <c r="B15883" i="15"/>
  <c r="H15882" i="15"/>
  <c r="B15882" i="15"/>
  <c r="H15881" i="15"/>
  <c r="B15881" i="15"/>
  <c r="H15880" i="15"/>
  <c r="B15880" i="15"/>
  <c r="H15879" i="15"/>
  <c r="B15879" i="15"/>
  <c r="H15878" i="15"/>
  <c r="B15878" i="15"/>
  <c r="H15877" i="15"/>
  <c r="B15877" i="15"/>
  <c r="H15876" i="15"/>
  <c r="B15876" i="15"/>
  <c r="H15875" i="15"/>
  <c r="B15875" i="15"/>
  <c r="H15874" i="15"/>
  <c r="B15874" i="15"/>
  <c r="H15873" i="15"/>
  <c r="B15873" i="15"/>
  <c r="H15872" i="15"/>
  <c r="B15872" i="15"/>
  <c r="H15871" i="15"/>
  <c r="B15871" i="15"/>
  <c r="H15870" i="15"/>
  <c r="B15870" i="15"/>
  <c r="H15869" i="15"/>
  <c r="B15869" i="15"/>
  <c r="H15868" i="15"/>
  <c r="B15868" i="15"/>
  <c r="H15867" i="15"/>
  <c r="B15867" i="15"/>
  <c r="H15866" i="15"/>
  <c r="B15866" i="15"/>
  <c r="H15865" i="15"/>
  <c r="B15865" i="15"/>
  <c r="H15864" i="15"/>
  <c r="B15864" i="15"/>
  <c r="H15863" i="15"/>
  <c r="B15863" i="15"/>
  <c r="H15862" i="15"/>
  <c r="B15862" i="15"/>
  <c r="H15861" i="15"/>
  <c r="B15861" i="15"/>
  <c r="H15860" i="15"/>
  <c r="B15860" i="15"/>
  <c r="H15859" i="15"/>
  <c r="B15859" i="15"/>
  <c r="H15858" i="15"/>
  <c r="B15858" i="15"/>
  <c r="H15857" i="15"/>
  <c r="B15857" i="15"/>
  <c r="H15856" i="15"/>
  <c r="B15856" i="15"/>
  <c r="H15855" i="15"/>
  <c r="B15855" i="15"/>
  <c r="H15854" i="15"/>
  <c r="B15854" i="15"/>
  <c r="H15853" i="15"/>
  <c r="B15853" i="15"/>
  <c r="H15852" i="15"/>
  <c r="B15852" i="15"/>
  <c r="H15851" i="15"/>
  <c r="B15851" i="15"/>
  <c r="H15850" i="15"/>
  <c r="B15850" i="15"/>
  <c r="H15849" i="15"/>
  <c r="B15849" i="15"/>
  <c r="H15848" i="15"/>
  <c r="B15848" i="15"/>
  <c r="H15847" i="15"/>
  <c r="B15847" i="15"/>
  <c r="H15846" i="15"/>
  <c r="B15846" i="15"/>
  <c r="H15845" i="15"/>
  <c r="B15845" i="15"/>
  <c r="H15844" i="15"/>
  <c r="B15844" i="15"/>
  <c r="H15843" i="15"/>
  <c r="B15843" i="15"/>
  <c r="H15842" i="15"/>
  <c r="B15842" i="15"/>
  <c r="H15841" i="15"/>
  <c r="B15841" i="15"/>
  <c r="H15840" i="15"/>
  <c r="B15840" i="15"/>
  <c r="H15839" i="15"/>
  <c r="B15839" i="15"/>
  <c r="H15838" i="15"/>
  <c r="B15838" i="15"/>
  <c r="H15837" i="15"/>
  <c r="B15837" i="15"/>
  <c r="H15836" i="15"/>
  <c r="B15836" i="15"/>
  <c r="H15835" i="15"/>
  <c r="B15835" i="15"/>
  <c r="H15834" i="15"/>
  <c r="B15834" i="15"/>
  <c r="H15833" i="15"/>
  <c r="B15833" i="15"/>
  <c r="H15832" i="15"/>
  <c r="B15832" i="15"/>
  <c r="H15831" i="15"/>
  <c r="B15831" i="15"/>
  <c r="H15830" i="15"/>
  <c r="B15830" i="15"/>
  <c r="H15829" i="15"/>
  <c r="B15829" i="15"/>
  <c r="H15828" i="15"/>
  <c r="B15828" i="15"/>
  <c r="H15827" i="15"/>
  <c r="B15827" i="15"/>
  <c r="H15826" i="15"/>
  <c r="B15826" i="15"/>
  <c r="H15825" i="15"/>
  <c r="B15825" i="15"/>
  <c r="H15824" i="15"/>
  <c r="B15824" i="15"/>
  <c r="H15823" i="15"/>
  <c r="B15823" i="15"/>
  <c r="H15822" i="15"/>
  <c r="B15822" i="15"/>
  <c r="H15821" i="15"/>
  <c r="B15821" i="15"/>
  <c r="H15820" i="15"/>
  <c r="B15820" i="15"/>
  <c r="H15819" i="15"/>
  <c r="B15819" i="15"/>
  <c r="H15818" i="15"/>
  <c r="B15818" i="15"/>
  <c r="H15817" i="15"/>
  <c r="B15817" i="15"/>
  <c r="H15816" i="15"/>
  <c r="B15816" i="15"/>
  <c r="H15815" i="15"/>
  <c r="B15815" i="15"/>
  <c r="H15814" i="15"/>
  <c r="B15814" i="15"/>
  <c r="H15813" i="15"/>
  <c r="B15813" i="15"/>
  <c r="H15812" i="15"/>
  <c r="B15812" i="15"/>
  <c r="H15811" i="15"/>
  <c r="B15811" i="15"/>
  <c r="H15810" i="15"/>
  <c r="B15810" i="15"/>
  <c r="H15809" i="15"/>
  <c r="B15809" i="15"/>
  <c r="H15808" i="15"/>
  <c r="B15808" i="15"/>
  <c r="H15807" i="15"/>
  <c r="B15807" i="15"/>
  <c r="H15806" i="15"/>
  <c r="B15806" i="15"/>
  <c r="H15805" i="15"/>
  <c r="B15805" i="15"/>
  <c r="H15804" i="15"/>
  <c r="B15804" i="15"/>
  <c r="H15803" i="15"/>
  <c r="B15803" i="15"/>
  <c r="H15802" i="15"/>
  <c r="B15802" i="15"/>
  <c r="H15801" i="15"/>
  <c r="B15801" i="15"/>
  <c r="H15800" i="15"/>
  <c r="B15800" i="15"/>
  <c r="H15799" i="15"/>
  <c r="B15799" i="15"/>
  <c r="H15798" i="15"/>
  <c r="B15798" i="15"/>
  <c r="H15797" i="15"/>
  <c r="B15797" i="15"/>
  <c r="H15796" i="15"/>
  <c r="B15796" i="15"/>
  <c r="H15795" i="15"/>
  <c r="B15795" i="15"/>
  <c r="H15794" i="15"/>
  <c r="B15794" i="15"/>
  <c r="H15793" i="15"/>
  <c r="B15793" i="15"/>
  <c r="H15792" i="15"/>
  <c r="B15792" i="15"/>
  <c r="H15791" i="15"/>
  <c r="B15791" i="15"/>
  <c r="H15790" i="15"/>
  <c r="B15790" i="15"/>
  <c r="H15789" i="15"/>
  <c r="B15789" i="15"/>
  <c r="H15788" i="15"/>
  <c r="B15788" i="15"/>
  <c r="H15787" i="15"/>
  <c r="B15787" i="15"/>
  <c r="H15786" i="15"/>
  <c r="B15786" i="15"/>
  <c r="H15785" i="15"/>
  <c r="B15785" i="15"/>
  <c r="H15784" i="15"/>
  <c r="B15784" i="15"/>
  <c r="H15783" i="15"/>
  <c r="B15783" i="15"/>
  <c r="H15782" i="15"/>
  <c r="B15782" i="15"/>
  <c r="H15781" i="15"/>
  <c r="B15781" i="15"/>
  <c r="H15780" i="15"/>
  <c r="B15780" i="15"/>
  <c r="H15779" i="15"/>
  <c r="B15779" i="15"/>
  <c r="H15778" i="15"/>
  <c r="B15778" i="15"/>
  <c r="H15777" i="15"/>
  <c r="B15777" i="15"/>
  <c r="H15776" i="15"/>
  <c r="B15776" i="15"/>
  <c r="H15775" i="15"/>
  <c r="B15775" i="15"/>
  <c r="H15774" i="15"/>
  <c r="B15774" i="15"/>
  <c r="H15773" i="15"/>
  <c r="B15773" i="15"/>
  <c r="H15772" i="15"/>
  <c r="B15772" i="15"/>
  <c r="H15771" i="15"/>
  <c r="B15771" i="15"/>
  <c r="H15770" i="15"/>
  <c r="B15770" i="15"/>
  <c r="H15769" i="15"/>
  <c r="B15769" i="15"/>
  <c r="H15768" i="15"/>
  <c r="B15768" i="15"/>
  <c r="H15767" i="15"/>
  <c r="B15767" i="15"/>
  <c r="H15766" i="15"/>
  <c r="B15766" i="15"/>
  <c r="H15765" i="15"/>
  <c r="B15765" i="15"/>
  <c r="H15764" i="15"/>
  <c r="B15764" i="15"/>
  <c r="H15763" i="15"/>
  <c r="B15763" i="15"/>
  <c r="H15762" i="15"/>
  <c r="B15762" i="15"/>
  <c r="H15761" i="15"/>
  <c r="B15761" i="15"/>
  <c r="H15760" i="15"/>
  <c r="B15760" i="15"/>
  <c r="H15759" i="15"/>
  <c r="B15759" i="15"/>
  <c r="H15758" i="15"/>
  <c r="B15758" i="15"/>
  <c r="H15757" i="15"/>
  <c r="B15757" i="15"/>
  <c r="H15756" i="15"/>
  <c r="B15756" i="15"/>
  <c r="H15755" i="15"/>
  <c r="B15755" i="15"/>
  <c r="H15754" i="15"/>
  <c r="B15754" i="15"/>
  <c r="H15753" i="15"/>
  <c r="B15753" i="15"/>
  <c r="H15752" i="15"/>
  <c r="B15752" i="15"/>
  <c r="H15751" i="15"/>
  <c r="B15751" i="15"/>
  <c r="H15750" i="15"/>
  <c r="B15750" i="15"/>
  <c r="H15749" i="15"/>
  <c r="B15749" i="15"/>
  <c r="H15748" i="15"/>
  <c r="B15748" i="15"/>
  <c r="H15747" i="15"/>
  <c r="B15747" i="15"/>
  <c r="H15746" i="15"/>
  <c r="B15746" i="15"/>
  <c r="H15745" i="15"/>
  <c r="B15745" i="15"/>
  <c r="H15744" i="15"/>
  <c r="B15744" i="15"/>
  <c r="H15743" i="15"/>
  <c r="B15743" i="15"/>
  <c r="H15742" i="15"/>
  <c r="B15742" i="15"/>
  <c r="H15741" i="15"/>
  <c r="B15741" i="15"/>
  <c r="H15740" i="15"/>
  <c r="B15740" i="15"/>
  <c r="H15739" i="15"/>
  <c r="B15739" i="15"/>
  <c r="H15738" i="15"/>
  <c r="B15738" i="15"/>
  <c r="H15737" i="15"/>
  <c r="B15737" i="15"/>
  <c r="H15736" i="15"/>
  <c r="B15736" i="15"/>
  <c r="H15735" i="15"/>
  <c r="B15735" i="15"/>
  <c r="H15734" i="15"/>
  <c r="B15734" i="15"/>
  <c r="H15733" i="15"/>
  <c r="B15733" i="15"/>
  <c r="H15732" i="15"/>
  <c r="B15732" i="15"/>
  <c r="H15731" i="15"/>
  <c r="B15731" i="15"/>
  <c r="H15730" i="15"/>
  <c r="B15730" i="15"/>
  <c r="H15729" i="15"/>
  <c r="B15729" i="15"/>
  <c r="H15728" i="15"/>
  <c r="B15728" i="15"/>
  <c r="H15727" i="15"/>
  <c r="B15727" i="15"/>
  <c r="H15726" i="15"/>
  <c r="B15726" i="15"/>
  <c r="H15725" i="15"/>
  <c r="B15725" i="15"/>
  <c r="H15724" i="15"/>
  <c r="B15724" i="15"/>
  <c r="H15723" i="15"/>
  <c r="B15723" i="15"/>
  <c r="H15722" i="15"/>
  <c r="B15722" i="15"/>
  <c r="H15721" i="15"/>
  <c r="B15721" i="15"/>
  <c r="H15720" i="15"/>
  <c r="B15720" i="15"/>
  <c r="H15719" i="15"/>
  <c r="B15719" i="15"/>
  <c r="H15718" i="15"/>
  <c r="B15718" i="15"/>
  <c r="H15717" i="15"/>
  <c r="B15717" i="15"/>
  <c r="H15716" i="15"/>
  <c r="B15716" i="15"/>
  <c r="H15715" i="15"/>
  <c r="B15715" i="15"/>
  <c r="H15714" i="15"/>
  <c r="B15714" i="15"/>
  <c r="H15713" i="15"/>
  <c r="B15713" i="15"/>
  <c r="H15712" i="15"/>
  <c r="B15712" i="15"/>
  <c r="H15711" i="15"/>
  <c r="B15711" i="15"/>
  <c r="H15710" i="15"/>
  <c r="B15710" i="15"/>
  <c r="H15709" i="15"/>
  <c r="B15709" i="15"/>
  <c r="H15708" i="15"/>
  <c r="B15708" i="15"/>
  <c r="H15707" i="15"/>
  <c r="B15707" i="15"/>
  <c r="H15706" i="15"/>
  <c r="B15706" i="15"/>
  <c r="H15705" i="15"/>
  <c r="B15705" i="15"/>
  <c r="H15704" i="15"/>
  <c r="B15704" i="15"/>
  <c r="H15703" i="15"/>
  <c r="B15703" i="15"/>
  <c r="H15702" i="15"/>
  <c r="B15702" i="15"/>
  <c r="H15701" i="15"/>
  <c r="B15701" i="15"/>
  <c r="H15700" i="15"/>
  <c r="B15700" i="15"/>
  <c r="H15699" i="15"/>
  <c r="B15699" i="15"/>
  <c r="H15698" i="15"/>
  <c r="B15698" i="15"/>
  <c r="H15697" i="15"/>
  <c r="B15697" i="15"/>
  <c r="H15696" i="15"/>
  <c r="B15696" i="15"/>
  <c r="H15695" i="15"/>
  <c r="B15695" i="15"/>
  <c r="H15694" i="15"/>
  <c r="B15694" i="15"/>
  <c r="H15693" i="15"/>
  <c r="B15693" i="15"/>
  <c r="H15692" i="15"/>
  <c r="B15692" i="15"/>
  <c r="H15691" i="15"/>
  <c r="B15691" i="15"/>
  <c r="H15690" i="15"/>
  <c r="B15690" i="15"/>
  <c r="H15689" i="15"/>
  <c r="B15689" i="15"/>
  <c r="H15688" i="15"/>
  <c r="B15688" i="15"/>
  <c r="H15687" i="15"/>
  <c r="B15687" i="15"/>
  <c r="H15686" i="15"/>
  <c r="B15686" i="15"/>
  <c r="H15685" i="15"/>
  <c r="B15685" i="15"/>
  <c r="H15684" i="15"/>
  <c r="B15684" i="15"/>
  <c r="H15683" i="15"/>
  <c r="B15683" i="15"/>
  <c r="H15682" i="15"/>
  <c r="B15682" i="15"/>
  <c r="H15681" i="15"/>
  <c r="B15681" i="15"/>
  <c r="H15680" i="15"/>
  <c r="B15680" i="15"/>
  <c r="H15679" i="15"/>
  <c r="B15679" i="15"/>
  <c r="H15678" i="15"/>
  <c r="B15678" i="15"/>
  <c r="H15677" i="15"/>
  <c r="B15677" i="15"/>
  <c r="H15676" i="15"/>
  <c r="B15676" i="15"/>
  <c r="H15675" i="15"/>
  <c r="B15675" i="15"/>
  <c r="H15674" i="15"/>
  <c r="B15674" i="15"/>
  <c r="H15673" i="15"/>
  <c r="B15673" i="15"/>
  <c r="H15672" i="15"/>
  <c r="B15672" i="15"/>
  <c r="H15671" i="15"/>
  <c r="B15671" i="15"/>
  <c r="H15670" i="15"/>
  <c r="B15670" i="15"/>
  <c r="H15669" i="15"/>
  <c r="B15669" i="15"/>
  <c r="H15668" i="15"/>
  <c r="B15668" i="15"/>
  <c r="H15667" i="15"/>
  <c r="B15667" i="15"/>
  <c r="H15666" i="15"/>
  <c r="B15666" i="15"/>
  <c r="H15665" i="15"/>
  <c r="B15665" i="15"/>
  <c r="H15664" i="15"/>
  <c r="B15664" i="15"/>
  <c r="H15663" i="15"/>
  <c r="B15663" i="15"/>
  <c r="H15662" i="15"/>
  <c r="B15662" i="15"/>
  <c r="H15661" i="15"/>
  <c r="B15661" i="15"/>
  <c r="H15660" i="15"/>
  <c r="B15660" i="15"/>
  <c r="H15659" i="15"/>
  <c r="B15659" i="15"/>
  <c r="H15658" i="15"/>
  <c r="B15658" i="15"/>
  <c r="H15657" i="15"/>
  <c r="B15657" i="15"/>
  <c r="H15656" i="15"/>
  <c r="B15656" i="15"/>
  <c r="H15655" i="15"/>
  <c r="B15655" i="15"/>
  <c r="H15654" i="15"/>
  <c r="B15654" i="15"/>
  <c r="H15653" i="15"/>
  <c r="B15653" i="15"/>
  <c r="H15652" i="15"/>
  <c r="B15652" i="15"/>
  <c r="H15651" i="15"/>
  <c r="B15651" i="15"/>
  <c r="H15650" i="15"/>
  <c r="B15650" i="15"/>
  <c r="H15649" i="15"/>
  <c r="B15649" i="15"/>
  <c r="H15648" i="15"/>
  <c r="B15648" i="15"/>
  <c r="H15647" i="15"/>
  <c r="B15647" i="15"/>
  <c r="H15646" i="15"/>
  <c r="B15646" i="15"/>
  <c r="H15645" i="15"/>
  <c r="B15645" i="15"/>
  <c r="H15644" i="15"/>
  <c r="B15644" i="15"/>
  <c r="H15643" i="15"/>
  <c r="B15643" i="15"/>
  <c r="H15642" i="15"/>
  <c r="B15642" i="15"/>
  <c r="H15641" i="15"/>
  <c r="B15641" i="15"/>
  <c r="H15640" i="15"/>
  <c r="B15640" i="15"/>
  <c r="H15639" i="15"/>
  <c r="B15639" i="15"/>
  <c r="H15638" i="15"/>
  <c r="B15638" i="15"/>
  <c r="H15637" i="15"/>
  <c r="B15637" i="15"/>
  <c r="H15636" i="15"/>
  <c r="B15636" i="15"/>
  <c r="H15635" i="15"/>
  <c r="B15635" i="15"/>
  <c r="H15634" i="15"/>
  <c r="B15634" i="15"/>
  <c r="H15633" i="15"/>
  <c r="B15633" i="15"/>
  <c r="H15632" i="15"/>
  <c r="B15632" i="15"/>
  <c r="H15631" i="15"/>
  <c r="B15631" i="15"/>
  <c r="H15630" i="15"/>
  <c r="B15630" i="15"/>
  <c r="H15629" i="15"/>
  <c r="B15629" i="15"/>
  <c r="H15628" i="15"/>
  <c r="B15628" i="15"/>
  <c r="H15627" i="15"/>
  <c r="B15627" i="15"/>
  <c r="H15626" i="15"/>
  <c r="B15626" i="15"/>
  <c r="H15625" i="15"/>
  <c r="B15625" i="15"/>
  <c r="H15624" i="15"/>
  <c r="B15624" i="15"/>
  <c r="H15623" i="15"/>
  <c r="B15623" i="15"/>
  <c r="H15622" i="15"/>
  <c r="B15622" i="15"/>
  <c r="H15621" i="15"/>
  <c r="B15621" i="15"/>
  <c r="H15620" i="15"/>
  <c r="B15620" i="15"/>
  <c r="H15619" i="15"/>
  <c r="B15619" i="15"/>
  <c r="H15618" i="15"/>
  <c r="B15618" i="15"/>
  <c r="H15617" i="15"/>
  <c r="B15617" i="15"/>
  <c r="H15616" i="15"/>
  <c r="B15616" i="15"/>
  <c r="H15615" i="15"/>
  <c r="B15615" i="15"/>
  <c r="H15614" i="15"/>
  <c r="B15614" i="15"/>
  <c r="H15613" i="15"/>
  <c r="B15613" i="15"/>
  <c r="H15612" i="15"/>
  <c r="B15612" i="15"/>
  <c r="H15611" i="15"/>
  <c r="B15611" i="15"/>
  <c r="H15610" i="15"/>
  <c r="B15610" i="15"/>
  <c r="H15609" i="15"/>
  <c r="B15609" i="15"/>
  <c r="H15608" i="15"/>
  <c r="B15608" i="15"/>
  <c r="H15607" i="15"/>
  <c r="B15607" i="15"/>
  <c r="H15606" i="15"/>
  <c r="B15606" i="15"/>
  <c r="H15605" i="15"/>
  <c r="B15605" i="15"/>
  <c r="H15604" i="15"/>
  <c r="B15604" i="15"/>
  <c r="H15603" i="15"/>
  <c r="B15603" i="15"/>
  <c r="H15602" i="15"/>
  <c r="B15602" i="15"/>
  <c r="H15601" i="15"/>
  <c r="B15601" i="15"/>
  <c r="H15600" i="15"/>
  <c r="B15600" i="15"/>
  <c r="H15599" i="15"/>
  <c r="B15599" i="15"/>
  <c r="H15598" i="15"/>
  <c r="B15598" i="15"/>
  <c r="H15597" i="15"/>
  <c r="B15597" i="15"/>
  <c r="H15596" i="15"/>
  <c r="B15596" i="15"/>
  <c r="H15595" i="15"/>
  <c r="B15595" i="15"/>
  <c r="H15594" i="15"/>
  <c r="B15594" i="15"/>
  <c r="H15593" i="15"/>
  <c r="B15593" i="15"/>
  <c r="H15592" i="15"/>
  <c r="B15592" i="15"/>
  <c r="H15591" i="15"/>
  <c r="B15591" i="15"/>
  <c r="H15590" i="15"/>
  <c r="B15590" i="15"/>
  <c r="H15589" i="15"/>
  <c r="B15589" i="15"/>
  <c r="H15588" i="15"/>
  <c r="B15588" i="15"/>
  <c r="H15587" i="15"/>
  <c r="B15587" i="15"/>
  <c r="H15586" i="15"/>
  <c r="B15586" i="15"/>
  <c r="H15585" i="15"/>
  <c r="B15585" i="15"/>
  <c r="H15584" i="15"/>
  <c r="B15584" i="15"/>
  <c r="H15583" i="15"/>
  <c r="B15583" i="15"/>
  <c r="H15582" i="15"/>
  <c r="B15582" i="15"/>
  <c r="H15581" i="15"/>
  <c r="B15581" i="15"/>
  <c r="H15580" i="15"/>
  <c r="B15580" i="15"/>
  <c r="H15579" i="15"/>
  <c r="B15579" i="15"/>
  <c r="H15578" i="15"/>
  <c r="B15578" i="15"/>
  <c r="H15577" i="15"/>
  <c r="B15577" i="15"/>
  <c r="H15576" i="15"/>
  <c r="B15576" i="15"/>
  <c r="H15575" i="15"/>
  <c r="B15575" i="15"/>
  <c r="H15574" i="15"/>
  <c r="B15574" i="15"/>
  <c r="H15573" i="15"/>
  <c r="B15573" i="15"/>
  <c r="H15572" i="15"/>
  <c r="B15572" i="15"/>
  <c r="H15571" i="15"/>
  <c r="B15571" i="15"/>
  <c r="H15570" i="15"/>
  <c r="B15570" i="15"/>
  <c r="H15569" i="15"/>
  <c r="B15569" i="15"/>
  <c r="H15568" i="15"/>
  <c r="B15568" i="15"/>
  <c r="H15567" i="15"/>
  <c r="B15567" i="15"/>
  <c r="H15566" i="15"/>
  <c r="B15566" i="15"/>
  <c r="H15565" i="15"/>
  <c r="B15565" i="15"/>
  <c r="H15564" i="15"/>
  <c r="B15564" i="15"/>
  <c r="H15563" i="15"/>
  <c r="B15563" i="15"/>
  <c r="H15562" i="15"/>
  <c r="B15562" i="15"/>
  <c r="H15561" i="15"/>
  <c r="B15561" i="15"/>
  <c r="H15560" i="15"/>
  <c r="B15560" i="15"/>
  <c r="H15559" i="15"/>
  <c r="B15559" i="15"/>
  <c r="H15558" i="15"/>
  <c r="B15558" i="15"/>
  <c r="H15557" i="15"/>
  <c r="B15557" i="15"/>
  <c r="H15556" i="15"/>
  <c r="B15556" i="15"/>
  <c r="H15555" i="15"/>
  <c r="B15555" i="15"/>
  <c r="H15554" i="15"/>
  <c r="B15554" i="15"/>
  <c r="H15553" i="15"/>
  <c r="B15553" i="15"/>
  <c r="H15552" i="15"/>
  <c r="B15552" i="15"/>
  <c r="H15551" i="15"/>
  <c r="B15551" i="15"/>
  <c r="H15550" i="15"/>
  <c r="B15550" i="15"/>
  <c r="H15549" i="15"/>
  <c r="B15549" i="15"/>
  <c r="H15548" i="15"/>
  <c r="B15548" i="15"/>
  <c r="H15547" i="15"/>
  <c r="B15547" i="15"/>
  <c r="H15546" i="15"/>
  <c r="B15546" i="15"/>
  <c r="H15545" i="15"/>
  <c r="B15545" i="15"/>
  <c r="H15544" i="15"/>
  <c r="B15544" i="15"/>
  <c r="H15543" i="15"/>
  <c r="B15543" i="15"/>
  <c r="H15542" i="15"/>
  <c r="B15542" i="15"/>
  <c r="H15541" i="15"/>
  <c r="B15541" i="15"/>
  <c r="H15540" i="15"/>
  <c r="B15540" i="15"/>
  <c r="H15539" i="15"/>
  <c r="B15539" i="15"/>
  <c r="H15538" i="15"/>
  <c r="B15538" i="15"/>
  <c r="H15537" i="15"/>
  <c r="B15537" i="15"/>
  <c r="H15536" i="15"/>
  <c r="B15536" i="15"/>
  <c r="H15535" i="15"/>
  <c r="B15535" i="15"/>
  <c r="H15534" i="15"/>
  <c r="B15534" i="15"/>
  <c r="H15533" i="15"/>
  <c r="B15533" i="15"/>
  <c r="H15532" i="15"/>
  <c r="B15532" i="15"/>
  <c r="H15531" i="15"/>
  <c r="B15531" i="15"/>
  <c r="H15530" i="15"/>
  <c r="B15530" i="15"/>
  <c r="H15529" i="15"/>
  <c r="B15529" i="15"/>
  <c r="H15528" i="15"/>
  <c r="B15528" i="15"/>
  <c r="H15527" i="15"/>
  <c r="B15527" i="15"/>
  <c r="H15526" i="15"/>
  <c r="B15526" i="15"/>
  <c r="H15525" i="15"/>
  <c r="B15525" i="15"/>
  <c r="H15524" i="15"/>
  <c r="B15524" i="15"/>
  <c r="H15523" i="15"/>
  <c r="B15523" i="15"/>
  <c r="H15522" i="15"/>
  <c r="B15522" i="15"/>
  <c r="H15521" i="15"/>
  <c r="B15521" i="15"/>
  <c r="H15520" i="15"/>
  <c r="B15520" i="15"/>
  <c r="H15519" i="15"/>
  <c r="B15519" i="15"/>
  <c r="H15518" i="15"/>
  <c r="B15518" i="15"/>
  <c r="H15517" i="15"/>
  <c r="B15517" i="15"/>
  <c r="H15516" i="15"/>
  <c r="B15516" i="15"/>
  <c r="H15515" i="15"/>
  <c r="B15515" i="15"/>
  <c r="H15514" i="15"/>
  <c r="B15514" i="15"/>
  <c r="H15513" i="15"/>
  <c r="B15513" i="15"/>
  <c r="H15512" i="15"/>
  <c r="B15512" i="15"/>
  <c r="H15511" i="15"/>
  <c r="B15511" i="15"/>
  <c r="H15510" i="15"/>
  <c r="B15510" i="15"/>
  <c r="H15509" i="15"/>
  <c r="B15509" i="15"/>
  <c r="H15508" i="15"/>
  <c r="B15508" i="15"/>
  <c r="H15507" i="15"/>
  <c r="B15507" i="15"/>
  <c r="H15506" i="15"/>
  <c r="B15506" i="15"/>
  <c r="H15505" i="15"/>
  <c r="B15505" i="15"/>
  <c r="H15504" i="15"/>
  <c r="B15504" i="15"/>
  <c r="H15503" i="15"/>
  <c r="B15503" i="15"/>
  <c r="H15502" i="15"/>
  <c r="B15502" i="15"/>
  <c r="H15501" i="15"/>
  <c r="B15501" i="15"/>
  <c r="H15500" i="15"/>
  <c r="B15500" i="15"/>
  <c r="H15499" i="15"/>
  <c r="B15499" i="15"/>
  <c r="H15498" i="15"/>
  <c r="B15498" i="15"/>
  <c r="H15497" i="15"/>
  <c r="B15497" i="15"/>
  <c r="H15496" i="15"/>
  <c r="B15496" i="15"/>
  <c r="H15495" i="15"/>
  <c r="B15495" i="15"/>
  <c r="H15494" i="15"/>
  <c r="B15494" i="15"/>
  <c r="H15493" i="15"/>
  <c r="B15493" i="15"/>
  <c r="H15492" i="15"/>
  <c r="B15492" i="15"/>
  <c r="H15491" i="15"/>
  <c r="B15491" i="15"/>
  <c r="H15490" i="15"/>
  <c r="B15490" i="15"/>
  <c r="H15489" i="15"/>
  <c r="B15489" i="15"/>
  <c r="H15488" i="15"/>
  <c r="B15488" i="15"/>
  <c r="H15487" i="15"/>
  <c r="B15487" i="15"/>
  <c r="H15486" i="15"/>
  <c r="B15486" i="15"/>
  <c r="H15485" i="15"/>
  <c r="B15485" i="15"/>
  <c r="H15484" i="15"/>
  <c r="B15484" i="15"/>
  <c r="H15483" i="15"/>
  <c r="B15483" i="15"/>
  <c r="H15482" i="15"/>
  <c r="B15482" i="15"/>
  <c r="H15481" i="15"/>
  <c r="B15481" i="15"/>
  <c r="H15480" i="15"/>
  <c r="B15480" i="15"/>
  <c r="H15479" i="15"/>
  <c r="B15479" i="15"/>
  <c r="H15478" i="15"/>
  <c r="B15478" i="15"/>
  <c r="H15477" i="15"/>
  <c r="B15477" i="15"/>
  <c r="H15476" i="15"/>
  <c r="B15476" i="15"/>
  <c r="H15475" i="15"/>
  <c r="B15475" i="15"/>
  <c r="H15474" i="15"/>
  <c r="B15474" i="15"/>
  <c r="H15473" i="15"/>
  <c r="B15473" i="15"/>
  <c r="H15472" i="15"/>
  <c r="B15472" i="15"/>
  <c r="H15471" i="15"/>
  <c r="B15471" i="15"/>
  <c r="H15470" i="15"/>
  <c r="B15470" i="15"/>
  <c r="H15469" i="15"/>
  <c r="B15469" i="15"/>
  <c r="H15468" i="15"/>
  <c r="B15468" i="15"/>
  <c r="H15467" i="15"/>
  <c r="B15467" i="15"/>
  <c r="H15466" i="15"/>
  <c r="B15466" i="15"/>
  <c r="H15465" i="15"/>
  <c r="B15465" i="15"/>
  <c r="H15464" i="15"/>
  <c r="B15464" i="15"/>
  <c r="H15463" i="15"/>
  <c r="B15463" i="15"/>
  <c r="H15462" i="15"/>
  <c r="B15462" i="15"/>
  <c r="H15461" i="15"/>
  <c r="B15461" i="15"/>
  <c r="H15460" i="15"/>
  <c r="B15460" i="15"/>
  <c r="H15459" i="15"/>
  <c r="B15459" i="15"/>
  <c r="H15458" i="15"/>
  <c r="B15458" i="15"/>
  <c r="H15457" i="15"/>
  <c r="B15457" i="15"/>
  <c r="H15456" i="15"/>
  <c r="B15456" i="15"/>
  <c r="H15455" i="15"/>
  <c r="B15455" i="15"/>
  <c r="H15454" i="15"/>
  <c r="B15454" i="15"/>
  <c r="H15453" i="15"/>
  <c r="B15453" i="15"/>
  <c r="H15452" i="15"/>
  <c r="B15452" i="15"/>
  <c r="H15451" i="15"/>
  <c r="B15451" i="15"/>
  <c r="H15450" i="15"/>
  <c r="B15450" i="15"/>
  <c r="H15449" i="15"/>
  <c r="B15449" i="15"/>
  <c r="H15448" i="15"/>
  <c r="B15448" i="15"/>
  <c r="H15447" i="15"/>
  <c r="B15447" i="15"/>
  <c r="H15446" i="15"/>
  <c r="B15446" i="15"/>
  <c r="H15445" i="15"/>
  <c r="B15445" i="15"/>
  <c r="H15444" i="15"/>
  <c r="B15444" i="15"/>
  <c r="H15443" i="15"/>
  <c r="B15443" i="15"/>
  <c r="H15442" i="15"/>
  <c r="B15442" i="15"/>
  <c r="H15441" i="15"/>
  <c r="B15441" i="15"/>
  <c r="H15440" i="15"/>
  <c r="B15440" i="15"/>
  <c r="H15439" i="15"/>
  <c r="B15439" i="15"/>
  <c r="H15438" i="15"/>
  <c r="B15438" i="15"/>
  <c r="H15437" i="15"/>
  <c r="B15437" i="15"/>
  <c r="H15436" i="15"/>
  <c r="B15436" i="15"/>
  <c r="H15435" i="15"/>
  <c r="B15435" i="15"/>
  <c r="H15434" i="15"/>
  <c r="B15434" i="15"/>
  <c r="H15433" i="15"/>
  <c r="B15433" i="15"/>
  <c r="H15432" i="15"/>
  <c r="B15432" i="15"/>
  <c r="H15431" i="15"/>
  <c r="B15431" i="15"/>
  <c r="H15430" i="15"/>
  <c r="B15430" i="15"/>
  <c r="H15429" i="15"/>
  <c r="B15429" i="15"/>
  <c r="H15428" i="15"/>
  <c r="B15428" i="15"/>
  <c r="H15427" i="15"/>
  <c r="B15427" i="15"/>
  <c r="H15426" i="15"/>
  <c r="B15426" i="15"/>
  <c r="H15425" i="15"/>
  <c r="B15425" i="15"/>
  <c r="H15424" i="15"/>
  <c r="B15424" i="15"/>
  <c r="H15423" i="15"/>
  <c r="B15423" i="15"/>
  <c r="H15422" i="15"/>
  <c r="B15422" i="15"/>
  <c r="H15421" i="15"/>
  <c r="B15421" i="15"/>
  <c r="H15420" i="15"/>
  <c r="B15420" i="15"/>
  <c r="H15419" i="15"/>
  <c r="B15419" i="15"/>
  <c r="H15418" i="15"/>
  <c r="B15418" i="15"/>
  <c r="H15417" i="15"/>
  <c r="B15417" i="15"/>
  <c r="H15416" i="15"/>
  <c r="B15416" i="15"/>
  <c r="H15415" i="15"/>
  <c r="B15415" i="15"/>
  <c r="H15414" i="15"/>
  <c r="B15414" i="15"/>
  <c r="H15413" i="15"/>
  <c r="B15413" i="15"/>
  <c r="H15412" i="15"/>
  <c r="B15412" i="15"/>
  <c r="H15411" i="15"/>
  <c r="B15411" i="15"/>
  <c r="H15410" i="15"/>
  <c r="B15410" i="15"/>
  <c r="H15409" i="15"/>
  <c r="B15409" i="15"/>
  <c r="H15408" i="15"/>
  <c r="B15408" i="15"/>
  <c r="H15407" i="15"/>
  <c r="B15407" i="15"/>
  <c r="H15406" i="15"/>
  <c r="B15406" i="15"/>
  <c r="H15405" i="15"/>
  <c r="B15405" i="15"/>
  <c r="H15404" i="15"/>
  <c r="B15404" i="15"/>
  <c r="H15403" i="15"/>
  <c r="B15403" i="15"/>
  <c r="H15402" i="15"/>
  <c r="B15402" i="15"/>
  <c r="H15401" i="15"/>
  <c r="B15401" i="15"/>
  <c r="H15400" i="15"/>
  <c r="B15400" i="15"/>
  <c r="H15399" i="15"/>
  <c r="B15399" i="15"/>
  <c r="H15398" i="15"/>
  <c r="B15398" i="15"/>
  <c r="H15397" i="15"/>
  <c r="B15397" i="15"/>
  <c r="H15396" i="15"/>
  <c r="B15396" i="15"/>
  <c r="H15395" i="15"/>
  <c r="B15395" i="15"/>
  <c r="H15394" i="15"/>
  <c r="B15394" i="15"/>
  <c r="H15393" i="15"/>
  <c r="B15393" i="15"/>
  <c r="H15392" i="15"/>
  <c r="B15392" i="15"/>
  <c r="H15391" i="15"/>
  <c r="B15391" i="15"/>
  <c r="H15390" i="15"/>
  <c r="B15390" i="15"/>
  <c r="H15389" i="15"/>
  <c r="B15389" i="15"/>
  <c r="H15388" i="15"/>
  <c r="B15388" i="15"/>
  <c r="H15387" i="15"/>
  <c r="B15387" i="15"/>
  <c r="H15386" i="15"/>
  <c r="B15386" i="15"/>
  <c r="H15385" i="15"/>
  <c r="B15385" i="15"/>
  <c r="H15384" i="15"/>
  <c r="B15384" i="15"/>
  <c r="H15383" i="15"/>
  <c r="B15383" i="15"/>
  <c r="H15382" i="15"/>
  <c r="B15382" i="15"/>
  <c r="H15381" i="15"/>
  <c r="B15381" i="15"/>
  <c r="H15380" i="15"/>
  <c r="B15380" i="15"/>
  <c r="H15379" i="15"/>
  <c r="B15379" i="15"/>
  <c r="H15378" i="15"/>
  <c r="B15378" i="15"/>
  <c r="H15377" i="15"/>
  <c r="B15377" i="15"/>
  <c r="H15376" i="15"/>
  <c r="B15376" i="15"/>
  <c r="H15375" i="15"/>
  <c r="B15375" i="15"/>
  <c r="H15374" i="15"/>
  <c r="B15374" i="15"/>
  <c r="H15373" i="15"/>
  <c r="B15373" i="15"/>
  <c r="H15372" i="15"/>
  <c r="B15372" i="15"/>
  <c r="H15371" i="15"/>
  <c r="B15371" i="15"/>
  <c r="H15370" i="15"/>
  <c r="B15370" i="15"/>
  <c r="H15369" i="15"/>
  <c r="B15369" i="15"/>
  <c r="H15368" i="15"/>
  <c r="B15368" i="15"/>
  <c r="H15367" i="15"/>
  <c r="B15367" i="15"/>
  <c r="H15366" i="15"/>
  <c r="B15366" i="15"/>
  <c r="H15365" i="15"/>
  <c r="B15365" i="15"/>
  <c r="H15364" i="15"/>
  <c r="B15364" i="15"/>
  <c r="H15363" i="15"/>
  <c r="B15363" i="15"/>
  <c r="H15362" i="15"/>
  <c r="B15362" i="15"/>
  <c r="H15361" i="15"/>
  <c r="B15361" i="15"/>
  <c r="H15360" i="15"/>
  <c r="B15360" i="15"/>
  <c r="H15359" i="15"/>
  <c r="B15359" i="15"/>
  <c r="H15358" i="15"/>
  <c r="B15358" i="15"/>
  <c r="H15357" i="15"/>
  <c r="B15357" i="15"/>
  <c r="H15356" i="15"/>
  <c r="B15356" i="15"/>
  <c r="H15355" i="15"/>
  <c r="B15355" i="15"/>
  <c r="H15354" i="15"/>
  <c r="B15354" i="15"/>
  <c r="H15353" i="15"/>
  <c r="B15353" i="15"/>
  <c r="H15352" i="15"/>
  <c r="B15352" i="15"/>
  <c r="H15351" i="15"/>
  <c r="B15351" i="15"/>
  <c r="H15350" i="15"/>
  <c r="B15350" i="15"/>
  <c r="H15349" i="15"/>
  <c r="B15349" i="15"/>
  <c r="H15348" i="15"/>
  <c r="B15348" i="15"/>
  <c r="H15347" i="15"/>
  <c r="B15347" i="15"/>
  <c r="H15346" i="15"/>
  <c r="B15346" i="15"/>
  <c r="H15345" i="15"/>
  <c r="B15345" i="15"/>
  <c r="H15344" i="15"/>
  <c r="B15344" i="15"/>
  <c r="H15343" i="15"/>
  <c r="B15343" i="15"/>
  <c r="H15342" i="15"/>
  <c r="B15342" i="15"/>
  <c r="H15341" i="15"/>
  <c r="B15341" i="15"/>
  <c r="H15340" i="15"/>
  <c r="B15340" i="15"/>
  <c r="H15339" i="15"/>
  <c r="B15339" i="15"/>
  <c r="H15338" i="15"/>
  <c r="B15338" i="15"/>
  <c r="H15337" i="15"/>
  <c r="B15337" i="15"/>
  <c r="H15336" i="15"/>
  <c r="B15336" i="15"/>
  <c r="H15335" i="15"/>
  <c r="B15335" i="15"/>
  <c r="H15334" i="15"/>
  <c r="B15334" i="15"/>
  <c r="H15333" i="15"/>
  <c r="B15333" i="15"/>
  <c r="H15332" i="15"/>
  <c r="B15332" i="15"/>
  <c r="H15331" i="15"/>
  <c r="B15331" i="15"/>
  <c r="H15330" i="15"/>
  <c r="B15330" i="15"/>
  <c r="H15329" i="15"/>
  <c r="B15329" i="15"/>
  <c r="H15328" i="15"/>
  <c r="B15328" i="15"/>
  <c r="H15327" i="15"/>
  <c r="B15327" i="15"/>
  <c r="H15326" i="15"/>
  <c r="B15326" i="15"/>
  <c r="H15325" i="15"/>
  <c r="B15325" i="15"/>
  <c r="H15324" i="15"/>
  <c r="B15324" i="15"/>
  <c r="H15323" i="15"/>
  <c r="B15323" i="15"/>
  <c r="H15322" i="15"/>
  <c r="B15322" i="15"/>
  <c r="H15321" i="15"/>
  <c r="B15321" i="15"/>
  <c r="H15320" i="15"/>
  <c r="B15320" i="15"/>
  <c r="H15319" i="15"/>
  <c r="B15319" i="15"/>
  <c r="H15318" i="15"/>
  <c r="B15318" i="15"/>
  <c r="H15317" i="15"/>
  <c r="B15317" i="15"/>
  <c r="H15316" i="15"/>
  <c r="B15316" i="15"/>
  <c r="H15315" i="15"/>
  <c r="B15315" i="15"/>
  <c r="H15314" i="15"/>
  <c r="B15314" i="15"/>
  <c r="H15313" i="15"/>
  <c r="B15313" i="15"/>
  <c r="H15312" i="15"/>
  <c r="B15312" i="15"/>
  <c r="H15311" i="15"/>
  <c r="B15311" i="15"/>
  <c r="H15310" i="15"/>
  <c r="B15310" i="15"/>
  <c r="H15309" i="15"/>
  <c r="B15309" i="15"/>
  <c r="H15308" i="15"/>
  <c r="B15308" i="15"/>
  <c r="H15307" i="15"/>
  <c r="B15307" i="15"/>
  <c r="H15306" i="15"/>
  <c r="B15306" i="15"/>
  <c r="H15305" i="15"/>
  <c r="B15305" i="15"/>
  <c r="H15304" i="15"/>
  <c r="B15304" i="15"/>
  <c r="H15303" i="15"/>
  <c r="B15303" i="15"/>
  <c r="H15302" i="15"/>
  <c r="B15302" i="15"/>
  <c r="H15301" i="15"/>
  <c r="B15301" i="15"/>
  <c r="H15300" i="15"/>
  <c r="B15300" i="15"/>
  <c r="H15299" i="15"/>
  <c r="B15299" i="15"/>
  <c r="H15298" i="15"/>
  <c r="B15298" i="15"/>
  <c r="H15297" i="15"/>
  <c r="B15297" i="15"/>
  <c r="H15296" i="15"/>
  <c r="B15296" i="15"/>
  <c r="H15295" i="15"/>
  <c r="B15295" i="15"/>
  <c r="H15294" i="15"/>
  <c r="B15294" i="15"/>
  <c r="H15293" i="15"/>
  <c r="B15293" i="15"/>
  <c r="H15292" i="15"/>
  <c r="B15292" i="15"/>
  <c r="H15291" i="15"/>
  <c r="B15291" i="15"/>
  <c r="H15290" i="15"/>
  <c r="B15290" i="15"/>
  <c r="H15289" i="15"/>
  <c r="B15289" i="15"/>
  <c r="H15288" i="15"/>
  <c r="B15288" i="15"/>
  <c r="H15287" i="15"/>
  <c r="B15287" i="15"/>
  <c r="H15286" i="15"/>
  <c r="B15286" i="15"/>
  <c r="H15285" i="15"/>
  <c r="B15285" i="15"/>
  <c r="H15284" i="15"/>
  <c r="B15284" i="15"/>
  <c r="H15283" i="15"/>
  <c r="B15283" i="15"/>
  <c r="H15282" i="15"/>
  <c r="B15282" i="15"/>
  <c r="H15281" i="15"/>
  <c r="B15281" i="15"/>
  <c r="H15280" i="15"/>
  <c r="B15280" i="15"/>
  <c r="H15279" i="15"/>
  <c r="B15279" i="15"/>
  <c r="H15278" i="15"/>
  <c r="B15278" i="15"/>
  <c r="H15277" i="15"/>
  <c r="B15277" i="15"/>
  <c r="H15276" i="15"/>
  <c r="B15276" i="15"/>
  <c r="H15275" i="15"/>
  <c r="B15275" i="15"/>
  <c r="H15274" i="15"/>
  <c r="B15274" i="15"/>
  <c r="H15273" i="15"/>
  <c r="B15273" i="15"/>
  <c r="H15272" i="15"/>
  <c r="B15272" i="15"/>
  <c r="H15271" i="15"/>
  <c r="B15271" i="15"/>
  <c r="H15270" i="15"/>
  <c r="B15270" i="15"/>
  <c r="H15269" i="15"/>
  <c r="B15269" i="15"/>
  <c r="H15268" i="15"/>
  <c r="B15268" i="15"/>
  <c r="H15267" i="15"/>
  <c r="B15267" i="15"/>
  <c r="H15266" i="15"/>
  <c r="B15266" i="15"/>
  <c r="H15265" i="15"/>
  <c r="B15265" i="15"/>
  <c r="H15264" i="15"/>
  <c r="B15264" i="15"/>
  <c r="H15263" i="15"/>
  <c r="B15263" i="15"/>
  <c r="H15262" i="15"/>
  <c r="B15262" i="15"/>
  <c r="H15261" i="15"/>
  <c r="B15261" i="15"/>
  <c r="H15260" i="15"/>
  <c r="B15260" i="15"/>
  <c r="H15259" i="15"/>
  <c r="B15259" i="15"/>
  <c r="H15258" i="15"/>
  <c r="B15258" i="15"/>
  <c r="H15257" i="15"/>
  <c r="B15257" i="15"/>
  <c r="H15256" i="15"/>
  <c r="B15256" i="15"/>
  <c r="H15255" i="15"/>
  <c r="B15255" i="15"/>
  <c r="H15254" i="15"/>
  <c r="B15254" i="15"/>
  <c r="H15253" i="15"/>
  <c r="B15253" i="15"/>
  <c r="H15252" i="15"/>
  <c r="B15252" i="15"/>
  <c r="H15251" i="15"/>
  <c r="B15251" i="15"/>
  <c r="H15250" i="15"/>
  <c r="B15250" i="15"/>
  <c r="H15249" i="15"/>
  <c r="B15249" i="15"/>
  <c r="H15248" i="15"/>
  <c r="B15248" i="15"/>
  <c r="H15247" i="15"/>
  <c r="B15247" i="15"/>
  <c r="H15246" i="15"/>
  <c r="B15246" i="15"/>
  <c r="H15245" i="15"/>
  <c r="B15245" i="15"/>
  <c r="H15244" i="15"/>
  <c r="B15244" i="15"/>
  <c r="H15243" i="15"/>
  <c r="B15243" i="15"/>
  <c r="H15242" i="15"/>
  <c r="B15242" i="15"/>
  <c r="H15241" i="15"/>
  <c r="B15241" i="15"/>
  <c r="H15240" i="15"/>
  <c r="B15240" i="15"/>
  <c r="H15239" i="15"/>
  <c r="B15239" i="15"/>
  <c r="H15238" i="15"/>
  <c r="B15238" i="15"/>
  <c r="H15237" i="15"/>
  <c r="B15237" i="15"/>
  <c r="H15236" i="15"/>
  <c r="B15236" i="15"/>
  <c r="H15235" i="15"/>
  <c r="B15235" i="15"/>
  <c r="H15234" i="15"/>
  <c r="B15234" i="15"/>
  <c r="H15233" i="15"/>
  <c r="B15233" i="15"/>
  <c r="H15232" i="15"/>
  <c r="B15232" i="15"/>
  <c r="H15231" i="15"/>
  <c r="B15231" i="15"/>
  <c r="H15230" i="15"/>
  <c r="B15230" i="15"/>
  <c r="H15229" i="15"/>
  <c r="B15229" i="15"/>
  <c r="H15228" i="15"/>
  <c r="B15228" i="15"/>
  <c r="H15227" i="15"/>
  <c r="B15227" i="15"/>
  <c r="H15226" i="15"/>
  <c r="B15226" i="15"/>
  <c r="H15225" i="15"/>
  <c r="B15225" i="15"/>
  <c r="H15224" i="15"/>
  <c r="B15224" i="15"/>
  <c r="H15223" i="15"/>
  <c r="B15223" i="15"/>
  <c r="H15222" i="15"/>
  <c r="B15222" i="15"/>
  <c r="H15221" i="15"/>
  <c r="B15221" i="15"/>
  <c r="H15220" i="15"/>
  <c r="B15220" i="15"/>
  <c r="H15219" i="15"/>
  <c r="B15219" i="15"/>
  <c r="H15218" i="15"/>
  <c r="B15218" i="15"/>
  <c r="H15217" i="15"/>
  <c r="B15217" i="15"/>
  <c r="H15216" i="15"/>
  <c r="B15216" i="15"/>
  <c r="H15215" i="15"/>
  <c r="B15215" i="15"/>
  <c r="H15214" i="15"/>
  <c r="B15214" i="15"/>
  <c r="H15213" i="15"/>
  <c r="B15213" i="15"/>
  <c r="H15212" i="15"/>
  <c r="B15212" i="15"/>
  <c r="H15211" i="15"/>
  <c r="B15211" i="15"/>
  <c r="H15210" i="15"/>
  <c r="B15210" i="15"/>
  <c r="H15209" i="15"/>
  <c r="B15209" i="15"/>
  <c r="H15208" i="15"/>
  <c r="B15208" i="15"/>
  <c r="H15207" i="15"/>
  <c r="B15207" i="15"/>
  <c r="H15206" i="15"/>
  <c r="B15206" i="15"/>
  <c r="H15205" i="15"/>
  <c r="B15205" i="15"/>
  <c r="H15204" i="15"/>
  <c r="B15204" i="15"/>
  <c r="H15203" i="15"/>
  <c r="B15203" i="15"/>
  <c r="H15202" i="15"/>
  <c r="B15202" i="15"/>
  <c r="H15201" i="15"/>
  <c r="B15201" i="15"/>
  <c r="H15200" i="15"/>
  <c r="B15200" i="15"/>
  <c r="H15199" i="15"/>
  <c r="B15199" i="15"/>
  <c r="H15198" i="15"/>
  <c r="B15198" i="15"/>
  <c r="H15197" i="15"/>
  <c r="B15197" i="15"/>
  <c r="H15196" i="15"/>
  <c r="B15196" i="15"/>
  <c r="H15195" i="15"/>
  <c r="B15195" i="15"/>
  <c r="H15194" i="15"/>
  <c r="B15194" i="15"/>
  <c r="H15193" i="15"/>
  <c r="B15193" i="15"/>
  <c r="H15192" i="15"/>
  <c r="B15192" i="15"/>
  <c r="H15191" i="15"/>
  <c r="B15191" i="15"/>
  <c r="H15190" i="15"/>
  <c r="B15190" i="15"/>
  <c r="H15189" i="15"/>
  <c r="B15189" i="15"/>
  <c r="H15188" i="15"/>
  <c r="B15188" i="15"/>
  <c r="H15187" i="15"/>
  <c r="B15187" i="15"/>
  <c r="H15186" i="15"/>
  <c r="B15186" i="15"/>
  <c r="H15185" i="15"/>
  <c r="B15185" i="15"/>
  <c r="H15184" i="15"/>
  <c r="B15184" i="15"/>
  <c r="H15183" i="15"/>
  <c r="B15183" i="15"/>
  <c r="H15182" i="15"/>
  <c r="B15182" i="15"/>
  <c r="H15181" i="15"/>
  <c r="B15181" i="15"/>
  <c r="H15180" i="15"/>
  <c r="B15180" i="15"/>
  <c r="H15179" i="15"/>
  <c r="B15179" i="15"/>
  <c r="H15178" i="15"/>
  <c r="B15178" i="15"/>
  <c r="H15177" i="15"/>
  <c r="B15177" i="15"/>
  <c r="H15176" i="15"/>
  <c r="B15176" i="15"/>
  <c r="H15175" i="15"/>
  <c r="B15175" i="15"/>
  <c r="H15174" i="15"/>
  <c r="B15174" i="15"/>
  <c r="H15173" i="15"/>
  <c r="B15173" i="15"/>
  <c r="H15172" i="15"/>
  <c r="B15172" i="15"/>
  <c r="H15171" i="15"/>
  <c r="B15171" i="15"/>
  <c r="H15170" i="15"/>
  <c r="B15170" i="15"/>
  <c r="H15169" i="15"/>
  <c r="B15169" i="15"/>
  <c r="H15168" i="15"/>
  <c r="B15168" i="15"/>
  <c r="H15167" i="15"/>
  <c r="B15167" i="15"/>
  <c r="H15166" i="15"/>
  <c r="B15166" i="15"/>
  <c r="H15165" i="15"/>
  <c r="B15165" i="15"/>
  <c r="H15164" i="15"/>
  <c r="B15164" i="15"/>
  <c r="H15163" i="15"/>
  <c r="B15163" i="15"/>
  <c r="H15162" i="15"/>
  <c r="B15162" i="15"/>
  <c r="H15161" i="15"/>
  <c r="B15161" i="15"/>
  <c r="H15160" i="15"/>
  <c r="B15160" i="15"/>
  <c r="H15159" i="15"/>
  <c r="B15159" i="15"/>
  <c r="H15158" i="15"/>
  <c r="B15158" i="15"/>
  <c r="H15157" i="15"/>
  <c r="B15157" i="15"/>
  <c r="H15156" i="15"/>
  <c r="B15156" i="15"/>
  <c r="H15155" i="15"/>
  <c r="B15155" i="15"/>
  <c r="H15154" i="15"/>
  <c r="B15154" i="15"/>
  <c r="H15153" i="15"/>
  <c r="B15153" i="15"/>
  <c r="H15152" i="15"/>
  <c r="B15152" i="15"/>
  <c r="H15151" i="15"/>
  <c r="B15151" i="15"/>
  <c r="H15150" i="15"/>
  <c r="B15150" i="15"/>
  <c r="H15149" i="15"/>
  <c r="B15149" i="15"/>
  <c r="H15148" i="15"/>
  <c r="B15148" i="15"/>
  <c r="H15147" i="15"/>
  <c r="B15147" i="15"/>
  <c r="H15146" i="15"/>
  <c r="B15146" i="15"/>
  <c r="H15145" i="15"/>
  <c r="B15145" i="15"/>
  <c r="H15144" i="15"/>
  <c r="B15144" i="15"/>
  <c r="H15143" i="15"/>
  <c r="B15143" i="15"/>
  <c r="H15142" i="15"/>
  <c r="B15142" i="15"/>
  <c r="H15141" i="15"/>
  <c r="B15141" i="15"/>
  <c r="H15140" i="15"/>
  <c r="B15140" i="15"/>
  <c r="H15139" i="15"/>
  <c r="B15139" i="15"/>
  <c r="H15138" i="15"/>
  <c r="B15138" i="15"/>
  <c r="H15137" i="15"/>
  <c r="B15137" i="15"/>
  <c r="H15136" i="15"/>
  <c r="B15136" i="15"/>
  <c r="H15135" i="15"/>
  <c r="B15135" i="15"/>
  <c r="H15134" i="15"/>
  <c r="B15134" i="15"/>
  <c r="H15133" i="15"/>
  <c r="B15133" i="15"/>
  <c r="H15132" i="15"/>
  <c r="B15132" i="15"/>
  <c r="H15131" i="15"/>
  <c r="B15131" i="15"/>
  <c r="H15130" i="15"/>
  <c r="B15130" i="15"/>
  <c r="H15129" i="15"/>
  <c r="B15129" i="15"/>
  <c r="H15128" i="15"/>
  <c r="B15128" i="15"/>
  <c r="H15127" i="15"/>
  <c r="B15127" i="15"/>
  <c r="H15126" i="15"/>
  <c r="B15126" i="15"/>
  <c r="H15125" i="15"/>
  <c r="B15125" i="15"/>
  <c r="H15124" i="15"/>
  <c r="B15124" i="15"/>
  <c r="H15123" i="15"/>
  <c r="B15123" i="15"/>
  <c r="H15122" i="15"/>
  <c r="B15122" i="15"/>
  <c r="H15121" i="15"/>
  <c r="B15121" i="15"/>
  <c r="H15120" i="15"/>
  <c r="B15120" i="15"/>
  <c r="H15119" i="15"/>
  <c r="B15119" i="15"/>
  <c r="H15118" i="15"/>
  <c r="B15118" i="15"/>
  <c r="H15117" i="15"/>
  <c r="B15117" i="15"/>
  <c r="H15116" i="15"/>
  <c r="B15116" i="15"/>
  <c r="H15115" i="15"/>
  <c r="B15115" i="15"/>
  <c r="H15114" i="15"/>
  <c r="B15114" i="15"/>
  <c r="H15113" i="15"/>
  <c r="B15113" i="15"/>
  <c r="H15112" i="15"/>
  <c r="B15112" i="15"/>
  <c r="H15111" i="15"/>
  <c r="B15111" i="15"/>
  <c r="H15110" i="15"/>
  <c r="B15110" i="15"/>
  <c r="H15109" i="15"/>
  <c r="B15109" i="15"/>
  <c r="H15108" i="15"/>
  <c r="B15108" i="15"/>
  <c r="H15107" i="15"/>
  <c r="B15107" i="15"/>
  <c r="H15106" i="15"/>
  <c r="B15106" i="15"/>
  <c r="H15105" i="15"/>
  <c r="B15105" i="15"/>
  <c r="H15104" i="15"/>
  <c r="B15104" i="15"/>
  <c r="H15103" i="15"/>
  <c r="B15103" i="15"/>
  <c r="H15102" i="15"/>
  <c r="B15102" i="15"/>
  <c r="H15101" i="15"/>
  <c r="B15101" i="15"/>
  <c r="H15100" i="15"/>
  <c r="B15100" i="15"/>
  <c r="H15099" i="15"/>
  <c r="B15099" i="15"/>
  <c r="H15098" i="15"/>
  <c r="B15098" i="15"/>
  <c r="H15097" i="15"/>
  <c r="B15097" i="15"/>
  <c r="H15096" i="15"/>
  <c r="B15096" i="15"/>
  <c r="H15095" i="15"/>
  <c r="B15095" i="15"/>
  <c r="H15094" i="15"/>
  <c r="B15094" i="15"/>
  <c r="H15093" i="15"/>
  <c r="B15093" i="15"/>
  <c r="H15092" i="15"/>
  <c r="B15092" i="15"/>
  <c r="H15091" i="15"/>
  <c r="B15091" i="15"/>
  <c r="H15090" i="15"/>
  <c r="B15090" i="15"/>
  <c r="H15089" i="15"/>
  <c r="B15089" i="15"/>
  <c r="H15088" i="15"/>
  <c r="B15088" i="15"/>
  <c r="H15087" i="15"/>
  <c r="B15087" i="15"/>
  <c r="H15086" i="15"/>
  <c r="B15086" i="15"/>
  <c r="H15085" i="15"/>
  <c r="B15085" i="15"/>
  <c r="H15084" i="15"/>
  <c r="B15084" i="15"/>
  <c r="H15083" i="15"/>
  <c r="B15083" i="15"/>
  <c r="H15082" i="15"/>
  <c r="B15082" i="15"/>
  <c r="H15081" i="15"/>
  <c r="B15081" i="15"/>
  <c r="H15080" i="15"/>
  <c r="B15080" i="15"/>
  <c r="H15079" i="15"/>
  <c r="B15079" i="15"/>
  <c r="H15078" i="15"/>
  <c r="B15078" i="15"/>
  <c r="H15077" i="15"/>
  <c r="B15077" i="15"/>
  <c r="H15076" i="15"/>
  <c r="B15076" i="15"/>
  <c r="H15075" i="15"/>
  <c r="B15075" i="15"/>
  <c r="H15074" i="15"/>
  <c r="B15074" i="15"/>
  <c r="H15073" i="15"/>
  <c r="B15073" i="15"/>
  <c r="H15072" i="15"/>
  <c r="B15072" i="15"/>
  <c r="H15071" i="15"/>
  <c r="B15071" i="15"/>
  <c r="H15070" i="15"/>
  <c r="B15070" i="15"/>
  <c r="H15069" i="15"/>
  <c r="B15069" i="15"/>
  <c r="H15068" i="15"/>
  <c r="B15068" i="15"/>
  <c r="H15067" i="15"/>
  <c r="B15067" i="15"/>
  <c r="H15066" i="15"/>
  <c r="B15066" i="15"/>
  <c r="H15065" i="15"/>
  <c r="B15065" i="15"/>
  <c r="H15064" i="15"/>
  <c r="B15064" i="15"/>
  <c r="H15063" i="15"/>
  <c r="B15063" i="15"/>
  <c r="H15062" i="15"/>
  <c r="B15062" i="15"/>
  <c r="H15061" i="15"/>
  <c r="B15061" i="15"/>
  <c r="H15060" i="15"/>
  <c r="B15060" i="15"/>
  <c r="H15059" i="15"/>
  <c r="B15059" i="15"/>
  <c r="H15058" i="15"/>
  <c r="B15058" i="15"/>
  <c r="H15057" i="15"/>
  <c r="B15057" i="15"/>
  <c r="H15056" i="15"/>
  <c r="B15056" i="15"/>
  <c r="H15055" i="15"/>
  <c r="B15055" i="15"/>
  <c r="H15054" i="15"/>
  <c r="B15054" i="15"/>
  <c r="H15053" i="15"/>
  <c r="B15053" i="15"/>
  <c r="H15052" i="15"/>
  <c r="B15052" i="15"/>
  <c r="H15051" i="15"/>
  <c r="B15051" i="15"/>
  <c r="H15050" i="15"/>
  <c r="B15050" i="15"/>
  <c r="H15049" i="15"/>
  <c r="B15049" i="15"/>
  <c r="H15048" i="15"/>
  <c r="B15048" i="15"/>
  <c r="H15047" i="15"/>
  <c r="B15047" i="15"/>
  <c r="H15046" i="15"/>
  <c r="B15046" i="15"/>
  <c r="H15045" i="15"/>
  <c r="B15045" i="15"/>
  <c r="H15044" i="15"/>
  <c r="B15044" i="15"/>
  <c r="H15043" i="15"/>
  <c r="B15043" i="15"/>
  <c r="H15042" i="15"/>
  <c r="B15042" i="15"/>
  <c r="H15041" i="15"/>
  <c r="B15041" i="15"/>
  <c r="H15040" i="15"/>
  <c r="B15040" i="15"/>
  <c r="H15039" i="15"/>
  <c r="B15039" i="15"/>
  <c r="H15038" i="15"/>
  <c r="B15038" i="15"/>
  <c r="H15037" i="15"/>
  <c r="B15037" i="15"/>
  <c r="H15036" i="15"/>
  <c r="B15036" i="15"/>
  <c r="H15035" i="15"/>
  <c r="B15035" i="15"/>
  <c r="H15034" i="15"/>
  <c r="B15034" i="15"/>
  <c r="H15033" i="15"/>
  <c r="B15033" i="15"/>
  <c r="H15032" i="15"/>
  <c r="B15032" i="15"/>
  <c r="H15031" i="15"/>
  <c r="B15031" i="15"/>
  <c r="H15030" i="15"/>
  <c r="B15030" i="15"/>
  <c r="H15029" i="15"/>
  <c r="B15029" i="15"/>
  <c r="H15028" i="15"/>
  <c r="B15028" i="15"/>
  <c r="H15027" i="15"/>
  <c r="B15027" i="15"/>
  <c r="H15026" i="15"/>
  <c r="B15026" i="15"/>
  <c r="H15025" i="15"/>
  <c r="B15025" i="15"/>
  <c r="H15024" i="15"/>
  <c r="B15024" i="15"/>
  <c r="H15023" i="15"/>
  <c r="B15023" i="15"/>
  <c r="H15022" i="15"/>
  <c r="B15022" i="15"/>
  <c r="H15021" i="15"/>
  <c r="B15021" i="15"/>
  <c r="H15020" i="15"/>
  <c r="B15020" i="15"/>
  <c r="H15019" i="15"/>
  <c r="B15019" i="15"/>
  <c r="H15018" i="15"/>
  <c r="B15018" i="15"/>
  <c r="H15017" i="15"/>
  <c r="B15017" i="15"/>
  <c r="H15016" i="15"/>
  <c r="B15016" i="15"/>
  <c r="H15015" i="15"/>
  <c r="B15015" i="15"/>
  <c r="H15014" i="15"/>
  <c r="B15014" i="15"/>
  <c r="H15013" i="15"/>
  <c r="B15013" i="15"/>
  <c r="H15012" i="15"/>
  <c r="B15012" i="15"/>
  <c r="H15011" i="15"/>
  <c r="B15011" i="15"/>
  <c r="H15010" i="15"/>
  <c r="B15010" i="15"/>
  <c r="H15009" i="15"/>
  <c r="B15009" i="15"/>
  <c r="H15008" i="15"/>
  <c r="B15008" i="15"/>
  <c r="H15007" i="15"/>
  <c r="B15007" i="15"/>
  <c r="H15006" i="15"/>
  <c r="B15006" i="15"/>
  <c r="H15005" i="15"/>
  <c r="B15005" i="15"/>
  <c r="H15004" i="15"/>
  <c r="B15004" i="15"/>
  <c r="H15003" i="15"/>
  <c r="B15003" i="15"/>
  <c r="H15002" i="15"/>
  <c r="B15002" i="15"/>
  <c r="H15001" i="15"/>
  <c r="B15001" i="15"/>
  <c r="H15000" i="15"/>
  <c r="B15000" i="15"/>
  <c r="H14999" i="15"/>
  <c r="B14999" i="15"/>
  <c r="H14998" i="15"/>
  <c r="B14998" i="15"/>
  <c r="H14997" i="15"/>
  <c r="B14997" i="15"/>
  <c r="H14996" i="15"/>
  <c r="B14996" i="15"/>
  <c r="H14995" i="15"/>
  <c r="B14995" i="15"/>
  <c r="H14994" i="15"/>
  <c r="B14994" i="15"/>
  <c r="H14993" i="15"/>
  <c r="B14993" i="15"/>
  <c r="H14992" i="15"/>
  <c r="B14992" i="15"/>
  <c r="H14991" i="15"/>
  <c r="B14991" i="15"/>
  <c r="H14990" i="15"/>
  <c r="B14990" i="15"/>
  <c r="H14989" i="15"/>
  <c r="B14989" i="15"/>
  <c r="H14988" i="15"/>
  <c r="B14988" i="15"/>
  <c r="H14987" i="15"/>
  <c r="B14987" i="15"/>
  <c r="H14986" i="15"/>
  <c r="B14986" i="15"/>
  <c r="H14985" i="15"/>
  <c r="B14985" i="15"/>
  <c r="H14984" i="15"/>
  <c r="B14984" i="15"/>
  <c r="H14983" i="15"/>
  <c r="B14983" i="15"/>
  <c r="H14982" i="15"/>
  <c r="B14982" i="15"/>
  <c r="H14981" i="15"/>
  <c r="B14981" i="15"/>
  <c r="H14980" i="15"/>
  <c r="B14980" i="15"/>
  <c r="H14979" i="15"/>
  <c r="B14979" i="15"/>
  <c r="H14978" i="15"/>
  <c r="B14978" i="15"/>
  <c r="H14977" i="15"/>
  <c r="B14977" i="15"/>
  <c r="H14976" i="15"/>
  <c r="B14976" i="15"/>
  <c r="H14975" i="15"/>
  <c r="B14975" i="15"/>
  <c r="H14974" i="15"/>
  <c r="B14974" i="15"/>
  <c r="H14973" i="15"/>
  <c r="B14973" i="15"/>
  <c r="H14972" i="15"/>
  <c r="B14972" i="15"/>
  <c r="H14971" i="15"/>
  <c r="B14971" i="15"/>
  <c r="H14970" i="15"/>
  <c r="B14970" i="15"/>
  <c r="H14969" i="15"/>
  <c r="B14969" i="15"/>
  <c r="H14968" i="15"/>
  <c r="B14968" i="15"/>
  <c r="H14967" i="15"/>
  <c r="B14967" i="15"/>
  <c r="H14966" i="15"/>
  <c r="B14966" i="15"/>
  <c r="H14965" i="15"/>
  <c r="B14965" i="15"/>
  <c r="H14964" i="15"/>
  <c r="B14964" i="15"/>
  <c r="H14963" i="15"/>
  <c r="B14963" i="15"/>
  <c r="H14962" i="15"/>
  <c r="B14962" i="15"/>
  <c r="H14961" i="15"/>
  <c r="B14961" i="15"/>
  <c r="H14960" i="15"/>
  <c r="B14960" i="15"/>
  <c r="H14959" i="15"/>
  <c r="B14959" i="15"/>
  <c r="H14958" i="15"/>
  <c r="B14958" i="15"/>
  <c r="H14957" i="15"/>
  <c r="B14957" i="15"/>
  <c r="H14956" i="15"/>
  <c r="B14956" i="15"/>
  <c r="H14955" i="15"/>
  <c r="B14955" i="15"/>
  <c r="H14954" i="15"/>
  <c r="B14954" i="15"/>
  <c r="H14953" i="15"/>
  <c r="B14953" i="15"/>
  <c r="H14952" i="15"/>
  <c r="B14952" i="15"/>
  <c r="H14951" i="15"/>
  <c r="B14951" i="15"/>
  <c r="H14950" i="15"/>
  <c r="B14950" i="15"/>
  <c r="H14949" i="15"/>
  <c r="B14949" i="15"/>
  <c r="H14948" i="15"/>
  <c r="B14948" i="15"/>
  <c r="H14947" i="15"/>
  <c r="B14947" i="15"/>
  <c r="H14946" i="15"/>
  <c r="B14946" i="15"/>
  <c r="H14945" i="15"/>
  <c r="B14945" i="15"/>
  <c r="H14944" i="15"/>
  <c r="B14944" i="15"/>
  <c r="H14943" i="15"/>
  <c r="B14943" i="15"/>
  <c r="H14942" i="15"/>
  <c r="B14942" i="15"/>
  <c r="H14941" i="15"/>
  <c r="B14941" i="15"/>
  <c r="H14940" i="15"/>
  <c r="B14940" i="15"/>
  <c r="H14939" i="15"/>
  <c r="B14939" i="15"/>
  <c r="H14938" i="15"/>
  <c r="B14938" i="15"/>
  <c r="H14937" i="15"/>
  <c r="B14937" i="15"/>
  <c r="H14936" i="15"/>
  <c r="B14936" i="15"/>
  <c r="H14935" i="15"/>
  <c r="B14935" i="15"/>
  <c r="H14934" i="15"/>
  <c r="B14934" i="15"/>
  <c r="H14933" i="15"/>
  <c r="B14933" i="15"/>
  <c r="H14932" i="15"/>
  <c r="B14932" i="15"/>
  <c r="H14931" i="15"/>
  <c r="B14931" i="15"/>
  <c r="H14930" i="15"/>
  <c r="B14930" i="15"/>
  <c r="H14929" i="15"/>
  <c r="B14929" i="15"/>
  <c r="H14928" i="15"/>
  <c r="B14928" i="15"/>
  <c r="H14927" i="15"/>
  <c r="B14927" i="15"/>
  <c r="H14926" i="15"/>
  <c r="B14926" i="15"/>
  <c r="H14925" i="15"/>
  <c r="B14925" i="15"/>
  <c r="H14924" i="15"/>
  <c r="B14924" i="15"/>
  <c r="H14923" i="15"/>
  <c r="B14923" i="15"/>
  <c r="H14922" i="15"/>
  <c r="B14922" i="15"/>
  <c r="H14921" i="15"/>
  <c r="B14921" i="15"/>
  <c r="H14920" i="15"/>
  <c r="B14920" i="15"/>
  <c r="H14919" i="15"/>
  <c r="B14919" i="15"/>
  <c r="H14918" i="15"/>
  <c r="B14918" i="15"/>
  <c r="H14917" i="15"/>
  <c r="B14917" i="15"/>
  <c r="H14916" i="15"/>
  <c r="B14916" i="15"/>
  <c r="H14915" i="15"/>
  <c r="B14915" i="15"/>
  <c r="H14914" i="15"/>
  <c r="B14914" i="15"/>
  <c r="H14913" i="15"/>
  <c r="B14913" i="15"/>
  <c r="H14912" i="15"/>
  <c r="B14912" i="15"/>
  <c r="H14911" i="15"/>
  <c r="B14911" i="15"/>
  <c r="H14910" i="15"/>
  <c r="B14910" i="15"/>
  <c r="H14909" i="15"/>
  <c r="B14909" i="15"/>
  <c r="H14908" i="15"/>
  <c r="B14908" i="15"/>
  <c r="H14907" i="15"/>
  <c r="B14907" i="15"/>
  <c r="H14906" i="15"/>
  <c r="B14906" i="15"/>
  <c r="H14905" i="15"/>
  <c r="B14905" i="15"/>
  <c r="H14904" i="15"/>
  <c r="B14904" i="15"/>
  <c r="H14903" i="15"/>
  <c r="B14903" i="15"/>
  <c r="H14902" i="15"/>
  <c r="B14902" i="15"/>
  <c r="H14901" i="15"/>
  <c r="B14901" i="15"/>
  <c r="H14900" i="15"/>
  <c r="B14900" i="15"/>
  <c r="H14899" i="15"/>
  <c r="B14899" i="15"/>
  <c r="H14898" i="15"/>
  <c r="B14898" i="15"/>
  <c r="H14897" i="15"/>
  <c r="B14897" i="15"/>
  <c r="H14896" i="15"/>
  <c r="B14896" i="15"/>
  <c r="H14895" i="15"/>
  <c r="B14895" i="15"/>
  <c r="H14894" i="15"/>
  <c r="B14894" i="15"/>
  <c r="H14893" i="15"/>
  <c r="B14893" i="15"/>
  <c r="H14892" i="15"/>
  <c r="B14892" i="15"/>
  <c r="H14891" i="15"/>
  <c r="B14891" i="15"/>
  <c r="H14890" i="15"/>
  <c r="B14890" i="15"/>
  <c r="H14889" i="15"/>
  <c r="B14889" i="15"/>
  <c r="H14888" i="15"/>
  <c r="B14888" i="15"/>
  <c r="H14887" i="15"/>
  <c r="B14887" i="15"/>
  <c r="H14886" i="15"/>
  <c r="B14886" i="15"/>
  <c r="H14885" i="15"/>
  <c r="B14885" i="15"/>
  <c r="H14884" i="15"/>
  <c r="B14884" i="15"/>
  <c r="H14883" i="15"/>
  <c r="B14883" i="15"/>
  <c r="H14882" i="15"/>
  <c r="B14882" i="15"/>
  <c r="H14881" i="15"/>
  <c r="B14881" i="15"/>
  <c r="H14880" i="15"/>
  <c r="B14880" i="15"/>
  <c r="H14879" i="15"/>
  <c r="B14879" i="15"/>
  <c r="H14878" i="15"/>
  <c r="B14878" i="15"/>
  <c r="H14877" i="15"/>
  <c r="B14877" i="15"/>
  <c r="H14876" i="15"/>
  <c r="B14876" i="15"/>
  <c r="H14875" i="15"/>
  <c r="B14875" i="15"/>
  <c r="H14874" i="15"/>
  <c r="B14874" i="15"/>
  <c r="H14873" i="15"/>
  <c r="B14873" i="15"/>
  <c r="H14872" i="15"/>
  <c r="B14872" i="15"/>
  <c r="H14871" i="15"/>
  <c r="B14871" i="15"/>
  <c r="H14870" i="15"/>
  <c r="B14870" i="15"/>
  <c r="H14869" i="15"/>
  <c r="B14869" i="15"/>
  <c r="H14868" i="15"/>
  <c r="B14868" i="15"/>
  <c r="H14867" i="15"/>
  <c r="B14867" i="15"/>
  <c r="H14866" i="15"/>
  <c r="B14866" i="15"/>
  <c r="H14865" i="15"/>
  <c r="B14865" i="15"/>
  <c r="H14864" i="15"/>
  <c r="B14864" i="15"/>
  <c r="H14863" i="15"/>
  <c r="B14863" i="15"/>
  <c r="H14862" i="15"/>
  <c r="B14862" i="15"/>
  <c r="H14861" i="15"/>
  <c r="B14861" i="15"/>
  <c r="H14860" i="15"/>
  <c r="B14860" i="15"/>
  <c r="H14859" i="15"/>
  <c r="B14859" i="15"/>
  <c r="H14858" i="15"/>
  <c r="B14858" i="15"/>
  <c r="H14857" i="15"/>
  <c r="B14857" i="15"/>
  <c r="H14856" i="15"/>
  <c r="B14856" i="15"/>
  <c r="H14855" i="15"/>
  <c r="B14855" i="15"/>
  <c r="H14854" i="15"/>
  <c r="B14854" i="15"/>
  <c r="H14853" i="15"/>
  <c r="B14853" i="15"/>
  <c r="H14852" i="15"/>
  <c r="B14852" i="15"/>
  <c r="H14851" i="15"/>
  <c r="B14851" i="15"/>
  <c r="H14850" i="15"/>
  <c r="B14850" i="15"/>
  <c r="H14849" i="15"/>
  <c r="B14849" i="15"/>
  <c r="H14848" i="15"/>
  <c r="B14848" i="15"/>
  <c r="H14847" i="15"/>
  <c r="B14847" i="15"/>
  <c r="H14846" i="15"/>
  <c r="B14846" i="15"/>
  <c r="H14845" i="15"/>
  <c r="B14845" i="15"/>
  <c r="H14844" i="15"/>
  <c r="B14844" i="15"/>
  <c r="H14843" i="15"/>
  <c r="B14843" i="15"/>
  <c r="H14842" i="15"/>
  <c r="B14842" i="15"/>
  <c r="H14841" i="15"/>
  <c r="B14841" i="15"/>
  <c r="H14840" i="15"/>
  <c r="B14840" i="15"/>
  <c r="H14839" i="15"/>
  <c r="B14839" i="15"/>
  <c r="H14838" i="15"/>
  <c r="B14838" i="15"/>
  <c r="H14837" i="15"/>
  <c r="B14837" i="15"/>
  <c r="H14836" i="15"/>
  <c r="B14836" i="15"/>
  <c r="H14835" i="15"/>
  <c r="B14835" i="15"/>
  <c r="H14834" i="15"/>
  <c r="B14834" i="15"/>
  <c r="H14833" i="15"/>
  <c r="B14833" i="15"/>
  <c r="H14832" i="15"/>
  <c r="B14832" i="15"/>
  <c r="H14831" i="15"/>
  <c r="B14831" i="15"/>
  <c r="H14830" i="15"/>
  <c r="B14830" i="15"/>
  <c r="H14829" i="15"/>
  <c r="B14829" i="15"/>
  <c r="H14828" i="15"/>
  <c r="B14828" i="15"/>
  <c r="H14827" i="15"/>
  <c r="B14827" i="15"/>
  <c r="H14826" i="15"/>
  <c r="B14826" i="15"/>
  <c r="H14825" i="15"/>
  <c r="B14825" i="15"/>
  <c r="H14824" i="15"/>
  <c r="B14824" i="15"/>
  <c r="H14823" i="15"/>
  <c r="B14823" i="15"/>
  <c r="H14822" i="15"/>
  <c r="B14822" i="15"/>
  <c r="H14821" i="15"/>
  <c r="B14821" i="15"/>
  <c r="H14820" i="15"/>
  <c r="B14820" i="15"/>
  <c r="H14819" i="15"/>
  <c r="B14819" i="15"/>
  <c r="H14818" i="15"/>
  <c r="B14818" i="15"/>
  <c r="H14817" i="15"/>
  <c r="B14817" i="15"/>
  <c r="H14816" i="15"/>
  <c r="B14816" i="15"/>
  <c r="H14815" i="15"/>
  <c r="B14815" i="15"/>
  <c r="H14814" i="15"/>
  <c r="B14814" i="15"/>
  <c r="H14813" i="15"/>
  <c r="B14813" i="15"/>
  <c r="H14812" i="15"/>
  <c r="B14812" i="15"/>
  <c r="H14811" i="15"/>
  <c r="B14811" i="15"/>
  <c r="H14810" i="15"/>
  <c r="B14810" i="15"/>
  <c r="H14809" i="15"/>
  <c r="B14809" i="15"/>
  <c r="H14808" i="15"/>
  <c r="B14808" i="15"/>
  <c r="H14807" i="15"/>
  <c r="B14807" i="15"/>
  <c r="H14806" i="15"/>
  <c r="B14806" i="15"/>
  <c r="H14805" i="15"/>
  <c r="B14805" i="15"/>
  <c r="H14804" i="15"/>
  <c r="B14804" i="15"/>
  <c r="H14803" i="15"/>
  <c r="B14803" i="15"/>
  <c r="H14802" i="15"/>
  <c r="B14802" i="15"/>
  <c r="H14801" i="15"/>
  <c r="B14801" i="15"/>
  <c r="H14800" i="15"/>
  <c r="B14800" i="15"/>
  <c r="H14799" i="15"/>
  <c r="B14799" i="15"/>
  <c r="H14798" i="15"/>
  <c r="B14798" i="15"/>
  <c r="H14797" i="15"/>
  <c r="B14797" i="15"/>
  <c r="H14796" i="15"/>
  <c r="B14796" i="15"/>
  <c r="H14795" i="15"/>
  <c r="B14795" i="15"/>
  <c r="H14794" i="15"/>
  <c r="B14794" i="15"/>
  <c r="H14793" i="15"/>
  <c r="B14793" i="15"/>
  <c r="H14792" i="15"/>
  <c r="B14792" i="15"/>
  <c r="H14791" i="15"/>
  <c r="B14791" i="15"/>
  <c r="H14790" i="15"/>
  <c r="B14790" i="15"/>
  <c r="H14789" i="15"/>
  <c r="B14789" i="15"/>
  <c r="H14788" i="15"/>
  <c r="B14788" i="15"/>
  <c r="H14787" i="15"/>
  <c r="B14787" i="15"/>
  <c r="H14786" i="15"/>
  <c r="B14786" i="15"/>
  <c r="H14785" i="15"/>
  <c r="B14785" i="15"/>
  <c r="H14784" i="15"/>
  <c r="B14784" i="15"/>
  <c r="H14783" i="15"/>
  <c r="B14783" i="15"/>
  <c r="H14782" i="15"/>
  <c r="B14782" i="15"/>
  <c r="H14781" i="15"/>
  <c r="B14781" i="15"/>
  <c r="H14780" i="15"/>
  <c r="B14780" i="15"/>
  <c r="H14779" i="15"/>
  <c r="B14779" i="15"/>
  <c r="H14778" i="15"/>
  <c r="B14778" i="15"/>
  <c r="H14777" i="15"/>
  <c r="B14777" i="15"/>
  <c r="H14776" i="15"/>
  <c r="B14776" i="15"/>
  <c r="H14775" i="15"/>
  <c r="B14775" i="15"/>
  <c r="H14774" i="15"/>
  <c r="B14774" i="15"/>
  <c r="H14773" i="15"/>
  <c r="B14773" i="15"/>
  <c r="H14772" i="15"/>
  <c r="B14772" i="15"/>
  <c r="H14771" i="15"/>
  <c r="B14771" i="15"/>
  <c r="H14770" i="15"/>
  <c r="B14770" i="15"/>
  <c r="H14769" i="15"/>
  <c r="B14769" i="15"/>
  <c r="H14768" i="15"/>
  <c r="B14768" i="15"/>
  <c r="H14767" i="15"/>
  <c r="B14767" i="15"/>
  <c r="H14766" i="15"/>
  <c r="B14766" i="15"/>
  <c r="H14765" i="15"/>
  <c r="B14765" i="15"/>
  <c r="H14764" i="15"/>
  <c r="B14764" i="15"/>
  <c r="H14763" i="15"/>
  <c r="B14763" i="15"/>
  <c r="H14762" i="15"/>
  <c r="B14762" i="15"/>
  <c r="H14761" i="15"/>
  <c r="B14761" i="15"/>
  <c r="H14760" i="15"/>
  <c r="B14760" i="15"/>
  <c r="H14759" i="15"/>
  <c r="B14759" i="15"/>
  <c r="H14758" i="15"/>
  <c r="B14758" i="15"/>
  <c r="H14757" i="15"/>
  <c r="B14757" i="15"/>
  <c r="H14756" i="15"/>
  <c r="B14756" i="15"/>
  <c r="H14755" i="15"/>
  <c r="B14755" i="15"/>
  <c r="H14754" i="15"/>
  <c r="B14754" i="15"/>
  <c r="H14753" i="15"/>
  <c r="B14753" i="15"/>
  <c r="H14752" i="15"/>
  <c r="B14752" i="15"/>
  <c r="H14751" i="15"/>
  <c r="B14751" i="15"/>
  <c r="H14750" i="15"/>
  <c r="B14750" i="15"/>
  <c r="H14749" i="15"/>
  <c r="B14749" i="15"/>
  <c r="H14748" i="15"/>
  <c r="B14748" i="15"/>
  <c r="H14747" i="15"/>
  <c r="B14747" i="15"/>
  <c r="H14746" i="15"/>
  <c r="B14746" i="15"/>
  <c r="H14745" i="15"/>
  <c r="B14745" i="15"/>
  <c r="H14744" i="15"/>
  <c r="B14744" i="15"/>
  <c r="H14743" i="15"/>
  <c r="B14743" i="15"/>
  <c r="H14742" i="15"/>
  <c r="B14742" i="15"/>
  <c r="H14741" i="15"/>
  <c r="B14741" i="15"/>
  <c r="H14740" i="15"/>
  <c r="B14740" i="15"/>
  <c r="H14739" i="15"/>
  <c r="B14739" i="15"/>
  <c r="H14738" i="15"/>
  <c r="B14738" i="15"/>
  <c r="H14737" i="15"/>
  <c r="B14737" i="15"/>
  <c r="H14736" i="15"/>
  <c r="B14736" i="15"/>
  <c r="H14735" i="15"/>
  <c r="B14735" i="15"/>
  <c r="H14734" i="15"/>
  <c r="B14734" i="15"/>
  <c r="H14733" i="15"/>
  <c r="B14733" i="15"/>
  <c r="H14732" i="15"/>
  <c r="B14732" i="15"/>
  <c r="H14731" i="15"/>
  <c r="B14731" i="15"/>
  <c r="H14730" i="15"/>
  <c r="B14730" i="15"/>
  <c r="H14729" i="15"/>
  <c r="B14729" i="15"/>
  <c r="H14728" i="15"/>
  <c r="B14728" i="15"/>
  <c r="H14727" i="15"/>
  <c r="B14727" i="15"/>
  <c r="H14726" i="15"/>
  <c r="B14726" i="15"/>
  <c r="H14725" i="15"/>
  <c r="B14725" i="15"/>
  <c r="H14724" i="15"/>
  <c r="B14724" i="15"/>
  <c r="H14723" i="15"/>
  <c r="B14723" i="15"/>
  <c r="H14722" i="15"/>
  <c r="B14722" i="15"/>
  <c r="H14721" i="15"/>
  <c r="B14721" i="15"/>
  <c r="H14720" i="15"/>
  <c r="B14720" i="15"/>
  <c r="H14719" i="15"/>
  <c r="B14719" i="15"/>
  <c r="H14718" i="15"/>
  <c r="B14718" i="15"/>
  <c r="H14717" i="15"/>
  <c r="B14717" i="15"/>
  <c r="H14716" i="15"/>
  <c r="B14716" i="15"/>
  <c r="H14715" i="15"/>
  <c r="B14715" i="15"/>
  <c r="H14714" i="15"/>
  <c r="B14714" i="15"/>
  <c r="H14713" i="15"/>
  <c r="B14713" i="15"/>
  <c r="H14712" i="15"/>
  <c r="B14712" i="15"/>
  <c r="H14711" i="15"/>
  <c r="B14711" i="15"/>
  <c r="H14710" i="15"/>
  <c r="B14710" i="15"/>
  <c r="H14709" i="15"/>
  <c r="B14709" i="15"/>
  <c r="H14708" i="15"/>
  <c r="B14708" i="15"/>
  <c r="H14707" i="15"/>
  <c r="B14707" i="15"/>
  <c r="H14706" i="15"/>
  <c r="B14706" i="15"/>
  <c r="H14705" i="15"/>
  <c r="B14705" i="15"/>
  <c r="H14704" i="15"/>
  <c r="B14704" i="15"/>
  <c r="H14703" i="15"/>
  <c r="B14703" i="15"/>
  <c r="H14702" i="15"/>
  <c r="B14702" i="15"/>
  <c r="H14701" i="15"/>
  <c r="B14701" i="15"/>
  <c r="H14700" i="15"/>
  <c r="B14700" i="15"/>
  <c r="H14699" i="15"/>
  <c r="B14699" i="15"/>
  <c r="H14698" i="15"/>
  <c r="B14698" i="15"/>
  <c r="H14697" i="15"/>
  <c r="B14697" i="15"/>
  <c r="H14696" i="15"/>
  <c r="B14696" i="15"/>
  <c r="H14695" i="15"/>
  <c r="B14695" i="15"/>
  <c r="H14694" i="15"/>
  <c r="B14694" i="15"/>
  <c r="H14693" i="15"/>
  <c r="B14693" i="15"/>
  <c r="H14692" i="15"/>
  <c r="B14692" i="15"/>
  <c r="H14691" i="15"/>
  <c r="B14691" i="15"/>
  <c r="H14690" i="15"/>
  <c r="B14690" i="15"/>
  <c r="H14689" i="15"/>
  <c r="B14689" i="15"/>
  <c r="H14688" i="15"/>
  <c r="B14688" i="15"/>
  <c r="H14687" i="15"/>
  <c r="B14687" i="15"/>
  <c r="H14686" i="15"/>
  <c r="B14686" i="15"/>
  <c r="H14685" i="15"/>
  <c r="B14685" i="15"/>
  <c r="H14684" i="15"/>
  <c r="B14684" i="15"/>
  <c r="H14683" i="15"/>
  <c r="B14683" i="15"/>
  <c r="H14682" i="15"/>
  <c r="B14682" i="15"/>
  <c r="H14681" i="15"/>
  <c r="B14681" i="15"/>
  <c r="H14680" i="15"/>
  <c r="B14680" i="15"/>
  <c r="H14679" i="15"/>
  <c r="B14679" i="15"/>
  <c r="H14678" i="15"/>
  <c r="B14678" i="15"/>
  <c r="H14677" i="15"/>
  <c r="B14677" i="15"/>
  <c r="H14676" i="15"/>
  <c r="B14676" i="15"/>
  <c r="H14675" i="15"/>
  <c r="B14675" i="15"/>
  <c r="H14674" i="15"/>
  <c r="B14674" i="15"/>
  <c r="H14673" i="15"/>
  <c r="B14673" i="15"/>
  <c r="H14672" i="15"/>
  <c r="B14672" i="15"/>
  <c r="H14671" i="15"/>
  <c r="B14671" i="15"/>
  <c r="H14670" i="15"/>
  <c r="B14670" i="15"/>
  <c r="H14669" i="15"/>
  <c r="B14669" i="15"/>
  <c r="H14668" i="15"/>
  <c r="B14668" i="15"/>
  <c r="H14667" i="15"/>
  <c r="B14667" i="15"/>
  <c r="H14666" i="15"/>
  <c r="B14666" i="15"/>
  <c r="H14665" i="15"/>
  <c r="B14665" i="15"/>
  <c r="H14664" i="15"/>
  <c r="B14664" i="15"/>
  <c r="H14663" i="15"/>
  <c r="B14663" i="15"/>
  <c r="H14662" i="15"/>
  <c r="B14662" i="15"/>
  <c r="H14661" i="15"/>
  <c r="B14661" i="15"/>
  <c r="H14660" i="15"/>
  <c r="B14660" i="15"/>
  <c r="H14659" i="15"/>
  <c r="B14659" i="15"/>
  <c r="H14658" i="15"/>
  <c r="B14658" i="15"/>
  <c r="H14657" i="15"/>
  <c r="B14657" i="15"/>
  <c r="H14656" i="15"/>
  <c r="B14656" i="15"/>
  <c r="H14655" i="15"/>
  <c r="B14655" i="15"/>
  <c r="H14654" i="15"/>
  <c r="B14654" i="15"/>
  <c r="H14653" i="15"/>
  <c r="B14653" i="15"/>
  <c r="H14652" i="15"/>
  <c r="B14652" i="15"/>
  <c r="H14651" i="15"/>
  <c r="B14651" i="15"/>
  <c r="H14650" i="15"/>
  <c r="B14650" i="15"/>
  <c r="H14649" i="15"/>
  <c r="B14649" i="15"/>
  <c r="H14648" i="15"/>
  <c r="B14648" i="15"/>
  <c r="H14647" i="15"/>
  <c r="B14647" i="15"/>
  <c r="H14646" i="15"/>
  <c r="B14646" i="15"/>
  <c r="H14645" i="15"/>
  <c r="B14645" i="15"/>
  <c r="H14644" i="15"/>
  <c r="B14644" i="15"/>
  <c r="H14643" i="15"/>
  <c r="B14643" i="15"/>
  <c r="H14642" i="15"/>
  <c r="B14642" i="15"/>
  <c r="H14641" i="15"/>
  <c r="B14641" i="15"/>
  <c r="H14640" i="15"/>
  <c r="B14640" i="15"/>
  <c r="H14639" i="15"/>
  <c r="B14639" i="15"/>
  <c r="H14638" i="15"/>
  <c r="B14638" i="15"/>
  <c r="H14637" i="15"/>
  <c r="B14637" i="15"/>
  <c r="H14636" i="15"/>
  <c r="B14636" i="15"/>
  <c r="H14635" i="15"/>
  <c r="B14635" i="15"/>
  <c r="H14634" i="15"/>
  <c r="B14634" i="15"/>
  <c r="H14633" i="15"/>
  <c r="B14633" i="15"/>
  <c r="H14632" i="15"/>
  <c r="B14632" i="15"/>
  <c r="H14631" i="15"/>
  <c r="B14631" i="15"/>
  <c r="H14630" i="15"/>
  <c r="B14630" i="15"/>
  <c r="H14629" i="15"/>
  <c r="B14629" i="15"/>
  <c r="H14628" i="15"/>
  <c r="B14628" i="15"/>
  <c r="H14627" i="15"/>
  <c r="B14627" i="15"/>
  <c r="H14626" i="15"/>
  <c r="B14626" i="15"/>
  <c r="H14625" i="15"/>
  <c r="B14625" i="15"/>
  <c r="H14624" i="15"/>
  <c r="B14624" i="15"/>
  <c r="H14623" i="15"/>
  <c r="B14623" i="15"/>
  <c r="H14622" i="15"/>
  <c r="B14622" i="15"/>
  <c r="H14621" i="15"/>
  <c r="B14621" i="15"/>
  <c r="H14620" i="15"/>
  <c r="B14620" i="15"/>
  <c r="H14619" i="15"/>
  <c r="B14619" i="15"/>
  <c r="H14618" i="15"/>
  <c r="B14618" i="15"/>
  <c r="H14617" i="15"/>
  <c r="B14617" i="15"/>
  <c r="H14616" i="15"/>
  <c r="B14616" i="15"/>
  <c r="H14615" i="15"/>
  <c r="B14615" i="15"/>
  <c r="H14614" i="15"/>
  <c r="B14614" i="15"/>
  <c r="H14613" i="15"/>
  <c r="B14613" i="15"/>
  <c r="H14612" i="15"/>
  <c r="B14612" i="15"/>
  <c r="H14611" i="15"/>
  <c r="B14611" i="15"/>
  <c r="H14610" i="15"/>
  <c r="B14610" i="15"/>
  <c r="H14609" i="15"/>
  <c r="B14609" i="15"/>
  <c r="H14608" i="15"/>
  <c r="B14608" i="15"/>
  <c r="H14607" i="15"/>
  <c r="B14607" i="15"/>
  <c r="H14606" i="15"/>
  <c r="B14606" i="15"/>
  <c r="H14605" i="15"/>
  <c r="B14605" i="15"/>
  <c r="H14604" i="15"/>
  <c r="B14604" i="15"/>
  <c r="H14603" i="15"/>
  <c r="B14603" i="15"/>
  <c r="H14602" i="15"/>
  <c r="B14602" i="15"/>
  <c r="H14601" i="15"/>
  <c r="B14601" i="15"/>
  <c r="H14600" i="15"/>
  <c r="B14600" i="15"/>
  <c r="H14599" i="15"/>
  <c r="B14599" i="15"/>
  <c r="H14598" i="15"/>
  <c r="B14598" i="15"/>
  <c r="H14597" i="15"/>
  <c r="B14597" i="15"/>
  <c r="H14596" i="15"/>
  <c r="B14596" i="15"/>
  <c r="H14595" i="15"/>
  <c r="B14595" i="15"/>
  <c r="H14594" i="15"/>
  <c r="B14594" i="15"/>
  <c r="H14593" i="15"/>
  <c r="B14593" i="15"/>
  <c r="H14592" i="15"/>
  <c r="B14592" i="15"/>
  <c r="H14591" i="15"/>
  <c r="B14591" i="15"/>
  <c r="H14590" i="15"/>
  <c r="B14590" i="15"/>
  <c r="H14589" i="15"/>
  <c r="B14589" i="15"/>
  <c r="H14588" i="15"/>
  <c r="B14588" i="15"/>
  <c r="H14587" i="15"/>
  <c r="B14587" i="15"/>
  <c r="H14586" i="15"/>
  <c r="B14586" i="15"/>
  <c r="H14585" i="15"/>
  <c r="B14585" i="15"/>
  <c r="H14584" i="15"/>
  <c r="B14584" i="15"/>
  <c r="H14583" i="15"/>
  <c r="B14583" i="15"/>
  <c r="H14582" i="15"/>
  <c r="B14582" i="15"/>
  <c r="H14581" i="15"/>
  <c r="B14581" i="15"/>
  <c r="H14580" i="15"/>
  <c r="B14580" i="15"/>
  <c r="H14579" i="15"/>
  <c r="B14579" i="15"/>
  <c r="H14578" i="15"/>
  <c r="B14578" i="15"/>
  <c r="H14577" i="15"/>
  <c r="B14577" i="15"/>
  <c r="H14576" i="15"/>
  <c r="B14576" i="15"/>
  <c r="H14575" i="15"/>
  <c r="B14575" i="15"/>
  <c r="H14574" i="15"/>
  <c r="B14574" i="15"/>
  <c r="H14573" i="15"/>
  <c r="B14573" i="15"/>
  <c r="H14572" i="15"/>
  <c r="B14572" i="15"/>
  <c r="H14571" i="15"/>
  <c r="B14571" i="15"/>
  <c r="H14570" i="15"/>
  <c r="B14570" i="15"/>
  <c r="H14569" i="15"/>
  <c r="B14569" i="15"/>
  <c r="H14568" i="15"/>
  <c r="B14568" i="15"/>
  <c r="H14567" i="15"/>
  <c r="B14567" i="15"/>
  <c r="H14566" i="15"/>
  <c r="B14566" i="15"/>
  <c r="H14565" i="15"/>
  <c r="B14565" i="15"/>
  <c r="H14564" i="15"/>
  <c r="B14564" i="15"/>
  <c r="H14563" i="15"/>
  <c r="B14563" i="15"/>
  <c r="H14562" i="15"/>
  <c r="B14562" i="15"/>
  <c r="H14561" i="15"/>
  <c r="B14561" i="15"/>
  <c r="H14560" i="15"/>
  <c r="B14560" i="15"/>
  <c r="H14559" i="15"/>
  <c r="B14559" i="15"/>
  <c r="H14558" i="15"/>
  <c r="B14558" i="15"/>
  <c r="H14557" i="15"/>
  <c r="B14557" i="15"/>
  <c r="H14556" i="15"/>
  <c r="B14556" i="15"/>
  <c r="H14555" i="15"/>
  <c r="B14555" i="15"/>
  <c r="H14554" i="15"/>
  <c r="B14554" i="15"/>
  <c r="H14553" i="15"/>
  <c r="B14553" i="15"/>
  <c r="H14552" i="15"/>
  <c r="B14552" i="15"/>
  <c r="H14551" i="15"/>
  <c r="B14551" i="15"/>
  <c r="H14550" i="15"/>
  <c r="B14550" i="15"/>
  <c r="H14549" i="15"/>
  <c r="B14549" i="15"/>
  <c r="H14548" i="15"/>
  <c r="B14548" i="15"/>
  <c r="H14547" i="15"/>
  <c r="B14547" i="15"/>
  <c r="H14546" i="15"/>
  <c r="B14546" i="15"/>
  <c r="H14545" i="15"/>
  <c r="B14545" i="15"/>
  <c r="H14544" i="15"/>
  <c r="B14544" i="15"/>
  <c r="H14543" i="15"/>
  <c r="B14543" i="15"/>
  <c r="H14542" i="15"/>
  <c r="B14542" i="15"/>
  <c r="H14541" i="15"/>
  <c r="B14541" i="15"/>
  <c r="H14540" i="15"/>
  <c r="B14540" i="15"/>
  <c r="H14539" i="15"/>
  <c r="B14539" i="15"/>
  <c r="H14538" i="15"/>
  <c r="B14538" i="15"/>
  <c r="H14537" i="15"/>
  <c r="B14537" i="15"/>
  <c r="H14536" i="15"/>
  <c r="B14536" i="15"/>
  <c r="H14535" i="15"/>
  <c r="B14535" i="15"/>
  <c r="H14534" i="15"/>
  <c r="B14534" i="15"/>
  <c r="H14533" i="15"/>
  <c r="B14533" i="15"/>
  <c r="H14532" i="15"/>
  <c r="B14532" i="15"/>
  <c r="H14531" i="15"/>
  <c r="B14531" i="15"/>
  <c r="H14530" i="15"/>
  <c r="B14530" i="15"/>
  <c r="H14529" i="15"/>
  <c r="B14529" i="15"/>
  <c r="H14528" i="15"/>
  <c r="B14528" i="15"/>
  <c r="H14527" i="15"/>
  <c r="B14527" i="15"/>
  <c r="H14526" i="15"/>
  <c r="B14526" i="15"/>
  <c r="H14525" i="15"/>
  <c r="B14525" i="15"/>
  <c r="H14524" i="15"/>
  <c r="B14524" i="15"/>
  <c r="H14523" i="15"/>
  <c r="B14523" i="15"/>
  <c r="H14522" i="15"/>
  <c r="B14522" i="15"/>
  <c r="H14521" i="15"/>
  <c r="B14521" i="15"/>
  <c r="H14520" i="15"/>
  <c r="B14520" i="15"/>
  <c r="H14519" i="15"/>
  <c r="B14519" i="15"/>
  <c r="H14518" i="15"/>
  <c r="B14518" i="15"/>
  <c r="H14517" i="15"/>
  <c r="B14517" i="15"/>
  <c r="H14516" i="15"/>
  <c r="B14516" i="15"/>
  <c r="H14515" i="15"/>
  <c r="B14515" i="15"/>
  <c r="H14514" i="15"/>
  <c r="B14514" i="15"/>
  <c r="H14513" i="15"/>
  <c r="B14513" i="15"/>
  <c r="H14512" i="15"/>
  <c r="B14512" i="15"/>
  <c r="H14511" i="15"/>
  <c r="B14511" i="15"/>
  <c r="H14510" i="15"/>
  <c r="B14510" i="15"/>
  <c r="H14509" i="15"/>
  <c r="B14509" i="15"/>
  <c r="H14508" i="15"/>
  <c r="B14508" i="15"/>
  <c r="H14507" i="15"/>
  <c r="B14507" i="15"/>
  <c r="H14506" i="15"/>
  <c r="B14506" i="15"/>
  <c r="H14505" i="15"/>
  <c r="B14505" i="15"/>
  <c r="H14504" i="15"/>
  <c r="B14504" i="15"/>
  <c r="H14503" i="15"/>
  <c r="B14503" i="15"/>
  <c r="H14502" i="15"/>
  <c r="B14502" i="15"/>
  <c r="H14501" i="15"/>
  <c r="B14501" i="15"/>
  <c r="H14500" i="15"/>
  <c r="B14500" i="15"/>
  <c r="H14499" i="15"/>
  <c r="B14499" i="15"/>
  <c r="H14498" i="15"/>
  <c r="B14498" i="15"/>
  <c r="H14497" i="15"/>
  <c r="B14497" i="15"/>
  <c r="H14496" i="15"/>
  <c r="B14496" i="15"/>
  <c r="H14495" i="15"/>
  <c r="B14495" i="15"/>
  <c r="H14494" i="15"/>
  <c r="B14494" i="15"/>
  <c r="H14493" i="15"/>
  <c r="B14493" i="15"/>
  <c r="H14492" i="15"/>
  <c r="B14492" i="15"/>
  <c r="H14491" i="15"/>
  <c r="B14491" i="15"/>
  <c r="H14490" i="15"/>
  <c r="B14490" i="15"/>
  <c r="H14489" i="15"/>
  <c r="B14489" i="15"/>
  <c r="H14488" i="15"/>
  <c r="B14488" i="15"/>
  <c r="H14487" i="15"/>
  <c r="B14487" i="15"/>
  <c r="H14486" i="15"/>
  <c r="B14486" i="15"/>
  <c r="H14485" i="15"/>
  <c r="B14485" i="15"/>
  <c r="H14484" i="15"/>
  <c r="B14484" i="15"/>
  <c r="H14483" i="15"/>
  <c r="B14483" i="15"/>
  <c r="H14482" i="15"/>
  <c r="B14482" i="15"/>
  <c r="H14481" i="15"/>
  <c r="B14481" i="15"/>
  <c r="H14480" i="15"/>
  <c r="B14480" i="15"/>
  <c r="H14479" i="15"/>
  <c r="B14479" i="15"/>
  <c r="H14478" i="15"/>
  <c r="B14478" i="15"/>
  <c r="H14477" i="15"/>
  <c r="B14477" i="15"/>
  <c r="H14476" i="15"/>
  <c r="B14476" i="15"/>
  <c r="H14475" i="15"/>
  <c r="B14475" i="15"/>
  <c r="H14474" i="15"/>
  <c r="B14474" i="15"/>
  <c r="H14473" i="15"/>
  <c r="B14473" i="15"/>
  <c r="H14472" i="15"/>
  <c r="B14472" i="15"/>
  <c r="H14471" i="15"/>
  <c r="B14471" i="15"/>
  <c r="H14470" i="15"/>
  <c r="B14470" i="15"/>
  <c r="H14469" i="15"/>
  <c r="B14469" i="15"/>
  <c r="H14468" i="15"/>
  <c r="B14468" i="15"/>
  <c r="H14467" i="15"/>
  <c r="B14467" i="15"/>
  <c r="H14466" i="15"/>
  <c r="B14466" i="15"/>
  <c r="H14465" i="15"/>
  <c r="B14465" i="15"/>
  <c r="H14464" i="15"/>
  <c r="B14464" i="15"/>
  <c r="H14463" i="15"/>
  <c r="B14463" i="15"/>
  <c r="H14462" i="15"/>
  <c r="B14462" i="15"/>
  <c r="H14461" i="15"/>
  <c r="B14461" i="15"/>
  <c r="H14460" i="15"/>
  <c r="B14460" i="15"/>
  <c r="H14459" i="15"/>
  <c r="B14459" i="15"/>
  <c r="H14458" i="15"/>
  <c r="B14458" i="15"/>
  <c r="H14457" i="15"/>
  <c r="B14457" i="15"/>
  <c r="H14456" i="15"/>
  <c r="B14456" i="15"/>
  <c r="H14455" i="15"/>
  <c r="B14455" i="15"/>
  <c r="H14454" i="15"/>
  <c r="B14454" i="15"/>
  <c r="H14453" i="15"/>
  <c r="B14453" i="15"/>
  <c r="H14452" i="15"/>
  <c r="B14452" i="15"/>
  <c r="H14451" i="15"/>
  <c r="B14451" i="15"/>
  <c r="H14450" i="15"/>
  <c r="B14450" i="15"/>
  <c r="H14449" i="15"/>
  <c r="B14449" i="15"/>
  <c r="H14448" i="15"/>
  <c r="B14448" i="15"/>
  <c r="H14447" i="15"/>
  <c r="B14447" i="15"/>
  <c r="H14446" i="15"/>
  <c r="B14446" i="15"/>
  <c r="H14445" i="15"/>
  <c r="B14445" i="15"/>
  <c r="H14444" i="15"/>
  <c r="B14444" i="15"/>
  <c r="H14443" i="15"/>
  <c r="B14443" i="15"/>
  <c r="H14442" i="15"/>
  <c r="B14442" i="15"/>
  <c r="H14441" i="15"/>
  <c r="B14441" i="15"/>
  <c r="H14440" i="15"/>
  <c r="B14440" i="15"/>
  <c r="H14439" i="15"/>
  <c r="B14439" i="15"/>
  <c r="H14438" i="15"/>
  <c r="B14438" i="15"/>
  <c r="H14437" i="15"/>
  <c r="B14437" i="15"/>
  <c r="H14436" i="15"/>
  <c r="B14436" i="15"/>
  <c r="H14435" i="15"/>
  <c r="B14435" i="15"/>
  <c r="H14434" i="15"/>
  <c r="B14434" i="15"/>
  <c r="H14433" i="15"/>
  <c r="B14433" i="15"/>
  <c r="H14432" i="15"/>
  <c r="B14432" i="15"/>
  <c r="H14431" i="15"/>
  <c r="B14431" i="15"/>
  <c r="H14430" i="15"/>
  <c r="B14430" i="15"/>
  <c r="H14429" i="15"/>
  <c r="B14429" i="15"/>
  <c r="H14428" i="15"/>
  <c r="B14428" i="15"/>
  <c r="H14427" i="15"/>
  <c r="B14427" i="15"/>
  <c r="H14426" i="15"/>
  <c r="B14426" i="15"/>
  <c r="H14425" i="15"/>
  <c r="B14425" i="15"/>
  <c r="H14424" i="15"/>
  <c r="B14424" i="15"/>
  <c r="H14423" i="15"/>
  <c r="B14423" i="15"/>
  <c r="H14422" i="15"/>
  <c r="B14422" i="15"/>
  <c r="H14421" i="15"/>
  <c r="B14421" i="15"/>
  <c r="H14420" i="15"/>
  <c r="B14420" i="15"/>
  <c r="H14419" i="15"/>
  <c r="B14419" i="15"/>
  <c r="H14418" i="15"/>
  <c r="B14418" i="15"/>
  <c r="H14417" i="15"/>
  <c r="B14417" i="15"/>
  <c r="H14416" i="15"/>
  <c r="B14416" i="15"/>
  <c r="H14415" i="15"/>
  <c r="B14415" i="15"/>
  <c r="H14414" i="15"/>
  <c r="B14414" i="15"/>
  <c r="H14413" i="15"/>
  <c r="B14413" i="15"/>
  <c r="H14412" i="15"/>
  <c r="B14412" i="15"/>
  <c r="H14411" i="15"/>
  <c r="B14411" i="15"/>
  <c r="H14410" i="15"/>
  <c r="B14410" i="15"/>
  <c r="H14409" i="15"/>
  <c r="B14409" i="15"/>
  <c r="H14408" i="15"/>
  <c r="B14408" i="15"/>
  <c r="H14407" i="15"/>
  <c r="B14407" i="15"/>
  <c r="H14406" i="15"/>
  <c r="B14406" i="15"/>
  <c r="H14405" i="15"/>
  <c r="B14405" i="15"/>
  <c r="H14404" i="15"/>
  <c r="B14404" i="15"/>
  <c r="H14403" i="15"/>
  <c r="B14403" i="15"/>
  <c r="H14402" i="15"/>
  <c r="B14402" i="15"/>
  <c r="H14401" i="15"/>
  <c r="B14401" i="15"/>
  <c r="H14400" i="15"/>
  <c r="B14400" i="15"/>
  <c r="H14399" i="15"/>
  <c r="B14399" i="15"/>
  <c r="H14398" i="15"/>
  <c r="B14398" i="15"/>
  <c r="H14397" i="15"/>
  <c r="B14397" i="15"/>
  <c r="H14396" i="15"/>
  <c r="B14396" i="15"/>
  <c r="H14395" i="15"/>
  <c r="B14395" i="15"/>
  <c r="H14394" i="15"/>
  <c r="B14394" i="15"/>
  <c r="H14393" i="15"/>
  <c r="B14393" i="15"/>
  <c r="H14392" i="15"/>
  <c r="B14392" i="15"/>
  <c r="H14391" i="15"/>
  <c r="B14391" i="15"/>
  <c r="H14390" i="15"/>
  <c r="B14390" i="15"/>
  <c r="H14389" i="15"/>
  <c r="B14389" i="15"/>
  <c r="H14388" i="15"/>
  <c r="B14388" i="15"/>
  <c r="H14387" i="15"/>
  <c r="B14387" i="15"/>
  <c r="H14386" i="15"/>
  <c r="B14386" i="15"/>
  <c r="H14385" i="15"/>
  <c r="B14385" i="15"/>
  <c r="H14384" i="15"/>
  <c r="B14384" i="15"/>
  <c r="H14383" i="15"/>
  <c r="B14383" i="15"/>
  <c r="H14382" i="15"/>
  <c r="B14382" i="15"/>
  <c r="H14381" i="15"/>
  <c r="B14381" i="15"/>
  <c r="H14380" i="15"/>
  <c r="B14380" i="15"/>
  <c r="H14379" i="15"/>
  <c r="B14379" i="15"/>
  <c r="H14378" i="15"/>
  <c r="B14378" i="15"/>
  <c r="H14377" i="15"/>
  <c r="B14377" i="15"/>
  <c r="H14376" i="15"/>
  <c r="B14376" i="15"/>
  <c r="H14375" i="15"/>
  <c r="B14375" i="15"/>
  <c r="H14374" i="15"/>
  <c r="B14374" i="15"/>
  <c r="H14373" i="15"/>
  <c r="B14373" i="15"/>
  <c r="H14372" i="15"/>
  <c r="B14372" i="15"/>
  <c r="H14371" i="15"/>
  <c r="B14371" i="15"/>
  <c r="H14370" i="15"/>
  <c r="B14370" i="15"/>
  <c r="H14369" i="15"/>
  <c r="B14369" i="15"/>
  <c r="H14368" i="15"/>
  <c r="B14368" i="15"/>
  <c r="H14367" i="15"/>
  <c r="B14367" i="15"/>
  <c r="H14366" i="15"/>
  <c r="B14366" i="15"/>
  <c r="H14365" i="15"/>
  <c r="B14365" i="15"/>
  <c r="H14364" i="15"/>
  <c r="B14364" i="15"/>
  <c r="H14363" i="15"/>
  <c r="B14363" i="15"/>
  <c r="H14362" i="15"/>
  <c r="B14362" i="15"/>
  <c r="H14361" i="15"/>
  <c r="B14361" i="15"/>
  <c r="H14360" i="15"/>
  <c r="B14360" i="15"/>
  <c r="H14359" i="15"/>
  <c r="B14359" i="15"/>
  <c r="H14358" i="15"/>
  <c r="B14358" i="15"/>
  <c r="H14357" i="15"/>
  <c r="B14357" i="15"/>
  <c r="H14356" i="15"/>
  <c r="B14356" i="15"/>
  <c r="H14355" i="15"/>
  <c r="B14355" i="15"/>
  <c r="H14354" i="15"/>
  <c r="B14354" i="15"/>
  <c r="H14353" i="15"/>
  <c r="B14353" i="15"/>
  <c r="H14352" i="15"/>
  <c r="B14352" i="15"/>
  <c r="H14351" i="15"/>
  <c r="B14351" i="15"/>
  <c r="H14350" i="15"/>
  <c r="B14350" i="15"/>
  <c r="H14349" i="15"/>
  <c r="B14349" i="15"/>
  <c r="H14348" i="15"/>
  <c r="B14348" i="15"/>
  <c r="H14347" i="15"/>
  <c r="B14347" i="15"/>
  <c r="H14346" i="15"/>
  <c r="B14346" i="15"/>
  <c r="H14345" i="15"/>
  <c r="B14345" i="15"/>
  <c r="H14344" i="15"/>
  <c r="B14344" i="15"/>
  <c r="H14343" i="15"/>
  <c r="B14343" i="15"/>
  <c r="H14342" i="15"/>
  <c r="B14342" i="15"/>
  <c r="H14341" i="15"/>
  <c r="B14341" i="15"/>
  <c r="H14340" i="15"/>
  <c r="B14340" i="15"/>
  <c r="H14339" i="15"/>
  <c r="B14339" i="15"/>
  <c r="H14338" i="15"/>
  <c r="B14338" i="15"/>
  <c r="H14337" i="15"/>
  <c r="B14337" i="15"/>
  <c r="H14336" i="15"/>
  <c r="B14336" i="15"/>
  <c r="H14335" i="15"/>
  <c r="B14335" i="15"/>
  <c r="H14334" i="15"/>
  <c r="B14334" i="15"/>
  <c r="H14333" i="15"/>
  <c r="B14333" i="15"/>
  <c r="H14332" i="15"/>
  <c r="B14332" i="15"/>
  <c r="H14331" i="15"/>
  <c r="B14331" i="15"/>
  <c r="H14330" i="15"/>
  <c r="B14330" i="15"/>
  <c r="H14329" i="15"/>
  <c r="B14329" i="15"/>
  <c r="H14328" i="15"/>
  <c r="B14328" i="15"/>
  <c r="H14327" i="15"/>
  <c r="B14327" i="15"/>
  <c r="H14326" i="15"/>
  <c r="B14326" i="15"/>
  <c r="H14325" i="15"/>
  <c r="B14325" i="15"/>
  <c r="H14324" i="15"/>
  <c r="B14324" i="15"/>
  <c r="H14323" i="15"/>
  <c r="B14323" i="15"/>
  <c r="H14322" i="15"/>
  <c r="B14322" i="15"/>
  <c r="H14321" i="15"/>
  <c r="B14321" i="15"/>
  <c r="H14320" i="15"/>
  <c r="B14320" i="15"/>
  <c r="H14319" i="15"/>
  <c r="B14319" i="15"/>
  <c r="H14318" i="15"/>
  <c r="B14318" i="15"/>
  <c r="H14317" i="15"/>
  <c r="B14317" i="15"/>
  <c r="H14316" i="15"/>
  <c r="B14316" i="15"/>
  <c r="H14315" i="15"/>
  <c r="B14315" i="15"/>
  <c r="H14314" i="15"/>
  <c r="B14314" i="15"/>
  <c r="H14313" i="15"/>
  <c r="B14313" i="15"/>
  <c r="H14312" i="15"/>
  <c r="B14312" i="15"/>
  <c r="H14311" i="15"/>
  <c r="B14311" i="15"/>
  <c r="H14310" i="15"/>
  <c r="B14310" i="15"/>
  <c r="H14309" i="15"/>
  <c r="B14309" i="15"/>
  <c r="H14308" i="15"/>
  <c r="B14308" i="15"/>
  <c r="H14307" i="15"/>
  <c r="B14307" i="15"/>
  <c r="H14306" i="15"/>
  <c r="B14306" i="15"/>
  <c r="H14305" i="15"/>
  <c r="B14305" i="15"/>
  <c r="H14304" i="15"/>
  <c r="B14304" i="15"/>
  <c r="H14303" i="15"/>
  <c r="B14303" i="15"/>
  <c r="H14302" i="15"/>
  <c r="B14302" i="15"/>
  <c r="H14301" i="15"/>
  <c r="B14301" i="15"/>
  <c r="H14300" i="15"/>
  <c r="B14300" i="15"/>
  <c r="H14299" i="15"/>
  <c r="B14299" i="15"/>
  <c r="H14298" i="15"/>
  <c r="B14298" i="15"/>
  <c r="H14297" i="15"/>
  <c r="B14297" i="15"/>
  <c r="H14296" i="15"/>
  <c r="B14296" i="15"/>
  <c r="H14295" i="15"/>
  <c r="B14295" i="15"/>
  <c r="H14294" i="15"/>
  <c r="B14294" i="15"/>
  <c r="H14293" i="15"/>
  <c r="B14293" i="15"/>
  <c r="H14292" i="15"/>
  <c r="B14292" i="15"/>
  <c r="H14291" i="15"/>
  <c r="B14291" i="15"/>
  <c r="H14290" i="15"/>
  <c r="B14290" i="15"/>
  <c r="H14289" i="15"/>
  <c r="B14289" i="15"/>
  <c r="H14288" i="15"/>
  <c r="B14288" i="15"/>
  <c r="H14287" i="15"/>
  <c r="B14287" i="15"/>
  <c r="H14286" i="15"/>
  <c r="B14286" i="15"/>
  <c r="H14285" i="15"/>
  <c r="B14285" i="15"/>
  <c r="H14284" i="15"/>
  <c r="B14284" i="15"/>
  <c r="H14283" i="15"/>
  <c r="B14283" i="15"/>
  <c r="H14282" i="15"/>
  <c r="B14282" i="15"/>
  <c r="H14281" i="15"/>
  <c r="B14281" i="15"/>
  <c r="H14280" i="15"/>
  <c r="B14280" i="15"/>
  <c r="H14279" i="15"/>
  <c r="B14279" i="15"/>
  <c r="H14278" i="15"/>
  <c r="B14278" i="15"/>
  <c r="H14277" i="15"/>
  <c r="B14277" i="15"/>
  <c r="H14276" i="15"/>
  <c r="B14276" i="15"/>
  <c r="H14275" i="15"/>
  <c r="B14275" i="15"/>
  <c r="H14274" i="15"/>
  <c r="B14274" i="15"/>
  <c r="H14273" i="15"/>
  <c r="B14273" i="15"/>
  <c r="H14272" i="15"/>
  <c r="B14272" i="15"/>
  <c r="H14271" i="15"/>
  <c r="B14271" i="15"/>
  <c r="H14270" i="15"/>
  <c r="B14270" i="15"/>
  <c r="H14269" i="15"/>
  <c r="B14269" i="15"/>
  <c r="H14268" i="15"/>
  <c r="B14268" i="15"/>
  <c r="H14267" i="15"/>
  <c r="B14267" i="15"/>
  <c r="H14266" i="15"/>
  <c r="B14266" i="15"/>
  <c r="H14265" i="15"/>
  <c r="B14265" i="15"/>
  <c r="H14264" i="15"/>
  <c r="B14264" i="15"/>
  <c r="H14263" i="15"/>
  <c r="B14263" i="15"/>
  <c r="H14262" i="15"/>
  <c r="B14262" i="15"/>
  <c r="H14261" i="15"/>
  <c r="B14261" i="15"/>
  <c r="H14260" i="15"/>
  <c r="B14260" i="15"/>
  <c r="H14259" i="15"/>
  <c r="B14259" i="15"/>
  <c r="H14258" i="15"/>
  <c r="B14258" i="15"/>
  <c r="H14257" i="15"/>
  <c r="B14257" i="15"/>
  <c r="H14256" i="15"/>
  <c r="B14256" i="15"/>
  <c r="H14255" i="15"/>
  <c r="B14255" i="15"/>
  <c r="H14254" i="15"/>
  <c r="B14254" i="15"/>
  <c r="H14253" i="15"/>
  <c r="B14253" i="15"/>
  <c r="H14252" i="15"/>
  <c r="B14252" i="15"/>
  <c r="H14251" i="15"/>
  <c r="B14251" i="15"/>
  <c r="H14250" i="15"/>
  <c r="B14250" i="15"/>
  <c r="H14249" i="15"/>
  <c r="B14249" i="15"/>
  <c r="H14248" i="15"/>
  <c r="B14248" i="15"/>
  <c r="H14247" i="15"/>
  <c r="B14247" i="15"/>
  <c r="H14246" i="15"/>
  <c r="B14246" i="15"/>
  <c r="H14245" i="15"/>
  <c r="B14245" i="15"/>
  <c r="H14244" i="15"/>
  <c r="B14244" i="15"/>
  <c r="H14243" i="15"/>
  <c r="B14243" i="15"/>
  <c r="H14242" i="15"/>
  <c r="B14242" i="15"/>
  <c r="H14241" i="15"/>
  <c r="B14241" i="15"/>
  <c r="H14240" i="15"/>
  <c r="B14240" i="15"/>
  <c r="H14239" i="15"/>
  <c r="B14239" i="15"/>
  <c r="H14238" i="15"/>
  <c r="B14238" i="15"/>
  <c r="H14237" i="15"/>
  <c r="B14237" i="15"/>
  <c r="H14236" i="15"/>
  <c r="B14236" i="15"/>
  <c r="H14235" i="15"/>
  <c r="B14235" i="15"/>
  <c r="H14234" i="15"/>
  <c r="B14234" i="15"/>
  <c r="H14233" i="15"/>
  <c r="B14233" i="15"/>
  <c r="H14232" i="15"/>
  <c r="B14232" i="15"/>
  <c r="H14231" i="15"/>
  <c r="B14231" i="15"/>
  <c r="H14230" i="15"/>
  <c r="B14230" i="15"/>
  <c r="H14229" i="15"/>
  <c r="B14229" i="15"/>
  <c r="H14228" i="15"/>
  <c r="B14228" i="15"/>
  <c r="H14227" i="15"/>
  <c r="B14227" i="15"/>
  <c r="H14226" i="15"/>
  <c r="B14226" i="15"/>
  <c r="H14225" i="15"/>
  <c r="B14225" i="15"/>
  <c r="H14224" i="15"/>
  <c r="B14224" i="15"/>
  <c r="H14223" i="15"/>
  <c r="B14223" i="15"/>
  <c r="H14222" i="15"/>
  <c r="B14222" i="15"/>
  <c r="H14221" i="15"/>
  <c r="B14221" i="15"/>
  <c r="H14220" i="15"/>
  <c r="B14220" i="15"/>
  <c r="H14219" i="15"/>
  <c r="B14219" i="15"/>
  <c r="H14218" i="15"/>
  <c r="B14218" i="15"/>
  <c r="H14217" i="15"/>
  <c r="B14217" i="15"/>
  <c r="H14216" i="15"/>
  <c r="B14216" i="15"/>
  <c r="H14215" i="15"/>
  <c r="B14215" i="15"/>
  <c r="H14214" i="15"/>
  <c r="B14214" i="15"/>
  <c r="H14213" i="15"/>
  <c r="B14213" i="15"/>
  <c r="H14212" i="15"/>
  <c r="B14212" i="15"/>
  <c r="H14211" i="15"/>
  <c r="B14211" i="15"/>
  <c r="H14210" i="15"/>
  <c r="B14210" i="15"/>
  <c r="H14209" i="15"/>
  <c r="B14209" i="15"/>
  <c r="H14208" i="15"/>
  <c r="B14208" i="15"/>
  <c r="H14207" i="15"/>
  <c r="B14207" i="15"/>
  <c r="H14206" i="15"/>
  <c r="B14206" i="15"/>
  <c r="H14205" i="15"/>
  <c r="B14205" i="15"/>
  <c r="H14204" i="15"/>
  <c r="B14204" i="15"/>
  <c r="H14203" i="15"/>
  <c r="B14203" i="15"/>
  <c r="H14202" i="15"/>
  <c r="B14202" i="15"/>
  <c r="H14201" i="15"/>
  <c r="B14201" i="15"/>
  <c r="H14200" i="15"/>
  <c r="B14200" i="15"/>
  <c r="H14199" i="15"/>
  <c r="B14199" i="15"/>
  <c r="H14198" i="15"/>
  <c r="B14198" i="15"/>
  <c r="H14197" i="15"/>
  <c r="B14197" i="15"/>
  <c r="H14196" i="15"/>
  <c r="B14196" i="15"/>
  <c r="H14195" i="15"/>
  <c r="B14195" i="15"/>
  <c r="H14194" i="15"/>
  <c r="B14194" i="15"/>
  <c r="H14193" i="15"/>
  <c r="B14193" i="15"/>
  <c r="H14192" i="15"/>
  <c r="B14192" i="15"/>
  <c r="H14191" i="15"/>
  <c r="B14191" i="15"/>
  <c r="H14190" i="15"/>
  <c r="B14190" i="15"/>
  <c r="H14189" i="15"/>
  <c r="B14189" i="15"/>
  <c r="H14188" i="15"/>
  <c r="B14188" i="15"/>
  <c r="H14187" i="15"/>
  <c r="B14187" i="15"/>
  <c r="H14186" i="15"/>
  <c r="B14186" i="15"/>
  <c r="H14185" i="15"/>
  <c r="B14185" i="15"/>
  <c r="H14184" i="15"/>
  <c r="B14184" i="15"/>
  <c r="H14183" i="15"/>
  <c r="B14183" i="15"/>
  <c r="H14182" i="15"/>
  <c r="B14182" i="15"/>
  <c r="H14181" i="15"/>
  <c r="B14181" i="15"/>
  <c r="H14180" i="15"/>
  <c r="B14180" i="15"/>
  <c r="H14179" i="15"/>
  <c r="B14179" i="15"/>
  <c r="H14178" i="15"/>
  <c r="B14178" i="15"/>
  <c r="H14177" i="15"/>
  <c r="B14177" i="15"/>
  <c r="H14176" i="15"/>
  <c r="B14176" i="15"/>
  <c r="H14175" i="15"/>
  <c r="B14175" i="15"/>
  <c r="H14174" i="15"/>
  <c r="B14174" i="15"/>
  <c r="H14173" i="15"/>
  <c r="B14173" i="15"/>
  <c r="H14172" i="15"/>
  <c r="B14172" i="15"/>
  <c r="H14171" i="15"/>
  <c r="B14171" i="15"/>
  <c r="H14170" i="15"/>
  <c r="B14170" i="15"/>
  <c r="H14169" i="15"/>
  <c r="B14169" i="15"/>
  <c r="H14168" i="15"/>
  <c r="B14168" i="15"/>
  <c r="H14167" i="15"/>
  <c r="B14167" i="15"/>
  <c r="H14166" i="15"/>
  <c r="B14166" i="15"/>
  <c r="H14165" i="15"/>
  <c r="B14165" i="15"/>
  <c r="H14164" i="15"/>
  <c r="B14164" i="15"/>
  <c r="H14163" i="15"/>
  <c r="B14163" i="15"/>
  <c r="H14162" i="15"/>
  <c r="B14162" i="15"/>
  <c r="H14161" i="15"/>
  <c r="B14161" i="15"/>
  <c r="H14160" i="15"/>
  <c r="B14160" i="15"/>
  <c r="H14159" i="15"/>
  <c r="B14159" i="15"/>
  <c r="H14158" i="15"/>
  <c r="B14158" i="15"/>
  <c r="H14157" i="15"/>
  <c r="B14157" i="15"/>
  <c r="H14156" i="15"/>
  <c r="B14156" i="15"/>
  <c r="H14155" i="15"/>
  <c r="B14155" i="15"/>
  <c r="H14154" i="15"/>
  <c r="B14154" i="15"/>
  <c r="H14153" i="15"/>
  <c r="B14153" i="15"/>
  <c r="H14152" i="15"/>
  <c r="B14152" i="15"/>
  <c r="H14151" i="15"/>
  <c r="B14151" i="15"/>
  <c r="H14150" i="15"/>
  <c r="B14150" i="15"/>
  <c r="H14149" i="15"/>
  <c r="B14149" i="15"/>
  <c r="H14148" i="15"/>
  <c r="B14148" i="15"/>
  <c r="H14147" i="15"/>
  <c r="B14147" i="15"/>
  <c r="H14146" i="15"/>
  <c r="B14146" i="15"/>
  <c r="H14145" i="15"/>
  <c r="B14145" i="15"/>
  <c r="H14144" i="15"/>
  <c r="B14144" i="15"/>
  <c r="H14143" i="15"/>
  <c r="B14143" i="15"/>
  <c r="H14142" i="15"/>
  <c r="B14142" i="15"/>
  <c r="H14141" i="15"/>
  <c r="B14141" i="15"/>
  <c r="H14140" i="15"/>
  <c r="B14140" i="15"/>
  <c r="H14139" i="15"/>
  <c r="B14139" i="15"/>
  <c r="H14138" i="15"/>
  <c r="B14138" i="15"/>
  <c r="H14137" i="15"/>
  <c r="B14137" i="15"/>
  <c r="H14136" i="15"/>
  <c r="B14136" i="15"/>
  <c r="H14135" i="15"/>
  <c r="B14135" i="15"/>
  <c r="H14134" i="15"/>
  <c r="B14134" i="15"/>
  <c r="H14133" i="15"/>
  <c r="B14133" i="15"/>
  <c r="H14132" i="15"/>
  <c r="B14132" i="15"/>
  <c r="H14131" i="15"/>
  <c r="B14131" i="15"/>
  <c r="H14130" i="15"/>
  <c r="B14130" i="15"/>
  <c r="H14129" i="15"/>
  <c r="B14129" i="15"/>
  <c r="H14128" i="15"/>
  <c r="B14128" i="15"/>
  <c r="H14127" i="15"/>
  <c r="B14127" i="15"/>
  <c r="H14126" i="15"/>
  <c r="B14126" i="15"/>
  <c r="H14125" i="15"/>
  <c r="B14125" i="15"/>
  <c r="H14124" i="15"/>
  <c r="B14124" i="15"/>
  <c r="H14123" i="15"/>
  <c r="B14123" i="15"/>
  <c r="H14122" i="15"/>
  <c r="B14122" i="15"/>
  <c r="H14121" i="15"/>
  <c r="B14121" i="15"/>
  <c r="H14120" i="15"/>
  <c r="B14120" i="15"/>
  <c r="H14119" i="15"/>
  <c r="B14119" i="15"/>
  <c r="H14118" i="15"/>
  <c r="B14118" i="15"/>
  <c r="H14117" i="15"/>
  <c r="B14117" i="15"/>
  <c r="H14116" i="15"/>
  <c r="B14116" i="15"/>
  <c r="H14115" i="15"/>
  <c r="B14115" i="15"/>
  <c r="H14114" i="15"/>
  <c r="B14114" i="15"/>
  <c r="H14113" i="15"/>
  <c r="B14113" i="15"/>
  <c r="H14112" i="15"/>
  <c r="B14112" i="15"/>
  <c r="H14111" i="15"/>
  <c r="B14111" i="15"/>
  <c r="H14110" i="15"/>
  <c r="B14110" i="15"/>
  <c r="H14109" i="15"/>
  <c r="B14109" i="15"/>
  <c r="H14108" i="15"/>
  <c r="B14108" i="15"/>
  <c r="H14107" i="15"/>
  <c r="B14107" i="15"/>
  <c r="H14106" i="15"/>
  <c r="B14106" i="15"/>
  <c r="H14105" i="15"/>
  <c r="B14105" i="15"/>
  <c r="H14104" i="15"/>
  <c r="B14104" i="15"/>
  <c r="H14103" i="15"/>
  <c r="B14103" i="15"/>
  <c r="H14102" i="15"/>
  <c r="B14102" i="15"/>
  <c r="H14101" i="15"/>
  <c r="B14101" i="15"/>
  <c r="H14100" i="15"/>
  <c r="B14100" i="15"/>
  <c r="H14099" i="15"/>
  <c r="B14099" i="15"/>
  <c r="H14098" i="15"/>
  <c r="B14098" i="15"/>
  <c r="H14097" i="15"/>
  <c r="B14097" i="15"/>
  <c r="H14096" i="15"/>
  <c r="B14096" i="15"/>
  <c r="H14095" i="15"/>
  <c r="B14095" i="15"/>
  <c r="H14094" i="15"/>
  <c r="B14094" i="15"/>
  <c r="H14093" i="15"/>
  <c r="B14093" i="15"/>
  <c r="H14092" i="15"/>
  <c r="B14092" i="15"/>
  <c r="H14091" i="15"/>
  <c r="B14091" i="15"/>
  <c r="H14090" i="15"/>
  <c r="B14090" i="15"/>
  <c r="H14089" i="15"/>
  <c r="B14089" i="15"/>
  <c r="H14088" i="15"/>
  <c r="B14088" i="15"/>
  <c r="H14087" i="15"/>
  <c r="B14087" i="15"/>
  <c r="H14086" i="15"/>
  <c r="B14086" i="15"/>
  <c r="H14085" i="15"/>
  <c r="B14085" i="15"/>
  <c r="H14084" i="15"/>
  <c r="B14084" i="15"/>
  <c r="H14083" i="15"/>
  <c r="B14083" i="15"/>
  <c r="H14082" i="15"/>
  <c r="B14082" i="15"/>
  <c r="H14081" i="15"/>
  <c r="B14081" i="15"/>
  <c r="H14080" i="15"/>
  <c r="B14080" i="15"/>
  <c r="H14079" i="15"/>
  <c r="B14079" i="15"/>
  <c r="H14078" i="15"/>
  <c r="B14078" i="15"/>
  <c r="H14077" i="15"/>
  <c r="B14077" i="15"/>
  <c r="H14076" i="15"/>
  <c r="B14076" i="15"/>
  <c r="H14075" i="15"/>
  <c r="B14075" i="15"/>
  <c r="H14074" i="15"/>
  <c r="B14074" i="15"/>
  <c r="H14073" i="15"/>
  <c r="B14073" i="15"/>
  <c r="H14072" i="15"/>
  <c r="B14072" i="15"/>
  <c r="H14071" i="15"/>
  <c r="B14071" i="15"/>
  <c r="H14070" i="15"/>
  <c r="B14070" i="15"/>
  <c r="H14069" i="15"/>
  <c r="B14069" i="15"/>
  <c r="H14068" i="15"/>
  <c r="B14068" i="15"/>
  <c r="H14067" i="15"/>
  <c r="B14067" i="15"/>
  <c r="H14066" i="15"/>
  <c r="B14066" i="15"/>
  <c r="H14065" i="15"/>
  <c r="B14065" i="15"/>
  <c r="H14064" i="15"/>
  <c r="B14064" i="15"/>
  <c r="H14063" i="15"/>
  <c r="B14063" i="15"/>
  <c r="H14062" i="15"/>
  <c r="B14062" i="15"/>
  <c r="H14061" i="15"/>
  <c r="B14061" i="15"/>
  <c r="H14060" i="15"/>
  <c r="B14060" i="15"/>
  <c r="H14059" i="15"/>
  <c r="B14059" i="15"/>
  <c r="H14058" i="15"/>
  <c r="B14058" i="15"/>
  <c r="H14057" i="15"/>
  <c r="B14057" i="15"/>
  <c r="H14056" i="15"/>
  <c r="B14056" i="15"/>
  <c r="H14055" i="15"/>
  <c r="B14055" i="15"/>
  <c r="H14054" i="15"/>
  <c r="B14054" i="15"/>
  <c r="H14053" i="15"/>
  <c r="B14053" i="15"/>
  <c r="H14052" i="15"/>
  <c r="B14052" i="15"/>
  <c r="H14051" i="15"/>
  <c r="B14051" i="15"/>
  <c r="H14050" i="15"/>
  <c r="B14050" i="15"/>
  <c r="H14049" i="15"/>
  <c r="B14049" i="15"/>
  <c r="H14048" i="15"/>
  <c r="B14048" i="15"/>
  <c r="H14047" i="15"/>
  <c r="B14047" i="15"/>
  <c r="H14046" i="15"/>
  <c r="B14046" i="15"/>
  <c r="H14045" i="15"/>
  <c r="B14045" i="15"/>
  <c r="H14044" i="15"/>
  <c r="B14044" i="15"/>
  <c r="H14043" i="15"/>
  <c r="B14043" i="15"/>
  <c r="H14042" i="15"/>
  <c r="B14042" i="15"/>
  <c r="H14041" i="15"/>
  <c r="B14041" i="15"/>
  <c r="H14040" i="15"/>
  <c r="B14040" i="15"/>
  <c r="H14039" i="15"/>
  <c r="B14039" i="15"/>
  <c r="H14038" i="15"/>
  <c r="B14038" i="15"/>
  <c r="H14037" i="15"/>
  <c r="B14037" i="15"/>
  <c r="H14036" i="15"/>
  <c r="B14036" i="15"/>
  <c r="H14035" i="15"/>
  <c r="B14035" i="15"/>
  <c r="H14034" i="15"/>
  <c r="B14034" i="15"/>
  <c r="H14033" i="15"/>
  <c r="B14033" i="15"/>
  <c r="H14032" i="15"/>
  <c r="B14032" i="15"/>
  <c r="H14031" i="15"/>
  <c r="B14031" i="15"/>
  <c r="H14030" i="15"/>
  <c r="B14030" i="15"/>
  <c r="H14029" i="15"/>
  <c r="B14029" i="15"/>
  <c r="H14028" i="15"/>
  <c r="B14028" i="15"/>
  <c r="H14027" i="15"/>
  <c r="B14027" i="15"/>
  <c r="H14026" i="15"/>
  <c r="B14026" i="15"/>
  <c r="H14025" i="15"/>
  <c r="B14025" i="15"/>
  <c r="H14024" i="15"/>
  <c r="B14024" i="15"/>
  <c r="H14023" i="15"/>
  <c r="B14023" i="15"/>
  <c r="H14022" i="15"/>
  <c r="B14022" i="15"/>
  <c r="H14021" i="15"/>
  <c r="B14021" i="15"/>
  <c r="H14020" i="15"/>
  <c r="B14020" i="15"/>
  <c r="H14019" i="15"/>
  <c r="B14019" i="15"/>
  <c r="H14018" i="15"/>
  <c r="B14018" i="15"/>
  <c r="H14017" i="15"/>
  <c r="B14017" i="15"/>
  <c r="H14016" i="15"/>
  <c r="B14016" i="15"/>
  <c r="H14015" i="15"/>
  <c r="B14015" i="15"/>
  <c r="H14014" i="15"/>
  <c r="B14014" i="15"/>
  <c r="H14013" i="15"/>
  <c r="B14013" i="15"/>
  <c r="H14012" i="15"/>
  <c r="B14012" i="15"/>
  <c r="H14011" i="15"/>
  <c r="B14011" i="15"/>
  <c r="H14010" i="15"/>
  <c r="B14010" i="15"/>
  <c r="H14009" i="15"/>
  <c r="B14009" i="15"/>
  <c r="H14008" i="15"/>
  <c r="B14008" i="15"/>
  <c r="H14007" i="15"/>
  <c r="B14007" i="15"/>
  <c r="H14006" i="15"/>
  <c r="B14006" i="15"/>
  <c r="H14005" i="15"/>
  <c r="B14005" i="15"/>
  <c r="H14004" i="15"/>
  <c r="B14004" i="15"/>
  <c r="H14003" i="15"/>
  <c r="B14003" i="15"/>
  <c r="H14002" i="15"/>
  <c r="B14002" i="15"/>
  <c r="H14001" i="15"/>
  <c r="B14001" i="15"/>
  <c r="H14000" i="15"/>
  <c r="B14000" i="15"/>
  <c r="H13999" i="15"/>
  <c r="B13999" i="15"/>
  <c r="H13998" i="15"/>
  <c r="B13998" i="15"/>
  <c r="H13997" i="15"/>
  <c r="B13997" i="15"/>
  <c r="H13996" i="15"/>
  <c r="B13996" i="15"/>
  <c r="H13995" i="15"/>
  <c r="B13995" i="15"/>
  <c r="H13994" i="15"/>
  <c r="B13994" i="15"/>
  <c r="H13993" i="15"/>
  <c r="B13993" i="15"/>
  <c r="H13992" i="15"/>
  <c r="B13992" i="15"/>
  <c r="H13991" i="15"/>
  <c r="B13991" i="15"/>
  <c r="H13990" i="15"/>
  <c r="B13990" i="15"/>
  <c r="H13989" i="15"/>
  <c r="B13989" i="15"/>
  <c r="H13988" i="15"/>
  <c r="B13988" i="15"/>
  <c r="H13987" i="15"/>
  <c r="B13987" i="15"/>
  <c r="H13986" i="15"/>
  <c r="B13986" i="15"/>
  <c r="H13985" i="15"/>
  <c r="B13985" i="15"/>
  <c r="H13984" i="15"/>
  <c r="B13984" i="15"/>
  <c r="H13983" i="15"/>
  <c r="B13983" i="15"/>
  <c r="H13982" i="15"/>
  <c r="B13982" i="15"/>
  <c r="H13981" i="15"/>
  <c r="B13981" i="15"/>
  <c r="H13980" i="15"/>
  <c r="B13980" i="15"/>
  <c r="H13979" i="15"/>
  <c r="B13979" i="15"/>
  <c r="H13978" i="15"/>
  <c r="B13978" i="15"/>
  <c r="H13977" i="15"/>
  <c r="B13977" i="15"/>
  <c r="H13976" i="15"/>
  <c r="B13976" i="15"/>
  <c r="H13975" i="15"/>
  <c r="B13975" i="15"/>
  <c r="H13974" i="15"/>
  <c r="B13974" i="15"/>
  <c r="H13973" i="15"/>
  <c r="B13973" i="15"/>
  <c r="H13972" i="15"/>
  <c r="B13972" i="15"/>
  <c r="H13971" i="15"/>
  <c r="B13971" i="15"/>
  <c r="H13970" i="15"/>
  <c r="B13970" i="15"/>
  <c r="H13969" i="15"/>
  <c r="B13969" i="15"/>
  <c r="H13968" i="15"/>
  <c r="B13968" i="15"/>
  <c r="H13967" i="15"/>
  <c r="B13967" i="15"/>
  <c r="H13966" i="15"/>
  <c r="B13966" i="15"/>
  <c r="H13965" i="15"/>
  <c r="B13965" i="15"/>
  <c r="H13964" i="15"/>
  <c r="B13964" i="15"/>
  <c r="H13963" i="15"/>
  <c r="B13963" i="15"/>
  <c r="H13962" i="15"/>
  <c r="B13962" i="15"/>
  <c r="H13961" i="15"/>
  <c r="B13961" i="15"/>
  <c r="H13960" i="15"/>
  <c r="B13960" i="15"/>
  <c r="H13959" i="15"/>
  <c r="B13959" i="15"/>
  <c r="H13958" i="15"/>
  <c r="B13958" i="15"/>
  <c r="H13957" i="15"/>
  <c r="B13957" i="15"/>
  <c r="H13956" i="15"/>
  <c r="B13956" i="15"/>
  <c r="H13955" i="15"/>
  <c r="B13955" i="15"/>
  <c r="H13954" i="15"/>
  <c r="B13954" i="15"/>
  <c r="H13953" i="15"/>
  <c r="B13953" i="15"/>
  <c r="H13952" i="15"/>
  <c r="B13952" i="15"/>
  <c r="H13951" i="15"/>
  <c r="B13951" i="15"/>
  <c r="H13950" i="15"/>
  <c r="B13950" i="15"/>
  <c r="H13949" i="15"/>
  <c r="B13949" i="15"/>
  <c r="H13948" i="15"/>
  <c r="B13948" i="15"/>
  <c r="H13947" i="15"/>
  <c r="B13947" i="15"/>
  <c r="H13946" i="15"/>
  <c r="B13946" i="15"/>
  <c r="H13945" i="15"/>
  <c r="B13945" i="15"/>
  <c r="H13944" i="15"/>
  <c r="B13944" i="15"/>
  <c r="H13943" i="15"/>
  <c r="B13943" i="15"/>
  <c r="H13942" i="15"/>
  <c r="B13942" i="15"/>
  <c r="H13941" i="15"/>
  <c r="B13941" i="15"/>
  <c r="H13940" i="15"/>
  <c r="B13940" i="15"/>
  <c r="H13939" i="15"/>
  <c r="B13939" i="15"/>
  <c r="H13938" i="15"/>
  <c r="B13938" i="15"/>
  <c r="H13937" i="15"/>
  <c r="B13937" i="15"/>
  <c r="H13936" i="15"/>
  <c r="B13936" i="15"/>
  <c r="H13935" i="15"/>
  <c r="B13935" i="15"/>
  <c r="H13934" i="15"/>
  <c r="B13934" i="15"/>
  <c r="H13933" i="15"/>
  <c r="B13933" i="15"/>
  <c r="H13932" i="15"/>
  <c r="B13932" i="15"/>
  <c r="H13931" i="15"/>
  <c r="B13931" i="15"/>
  <c r="H13930" i="15"/>
  <c r="B13930" i="15"/>
  <c r="H13929" i="15"/>
  <c r="B13929" i="15"/>
  <c r="H13928" i="15"/>
  <c r="B13928" i="15"/>
  <c r="H13927" i="15"/>
  <c r="B13927" i="15"/>
  <c r="H13926" i="15"/>
  <c r="B13926" i="15"/>
  <c r="H13925" i="15"/>
  <c r="B13925" i="15"/>
  <c r="H13924" i="15"/>
  <c r="B13924" i="15"/>
  <c r="H13923" i="15"/>
  <c r="B13923" i="15"/>
  <c r="H13922" i="15"/>
  <c r="B13922" i="15"/>
  <c r="H13921" i="15"/>
  <c r="B13921" i="15"/>
  <c r="H13920" i="15"/>
  <c r="B13920" i="15"/>
  <c r="H13919" i="15"/>
  <c r="B13919" i="15"/>
  <c r="H13918" i="15"/>
  <c r="B13918" i="15"/>
  <c r="H13917" i="15"/>
  <c r="B13917" i="15"/>
  <c r="H13916" i="15"/>
  <c r="B13916" i="15"/>
  <c r="H13915" i="15"/>
  <c r="B13915" i="15"/>
  <c r="H13914" i="15"/>
  <c r="B13914" i="15"/>
  <c r="H13913" i="15"/>
  <c r="B13913" i="15"/>
  <c r="H13912" i="15"/>
  <c r="B13912" i="15"/>
  <c r="H13911" i="15"/>
  <c r="B13911" i="15"/>
  <c r="H13910" i="15"/>
  <c r="B13910" i="15"/>
  <c r="H13909" i="15"/>
  <c r="B13909" i="15"/>
  <c r="H13908" i="15"/>
  <c r="B13908" i="15"/>
  <c r="H13907" i="15"/>
  <c r="B13907" i="15"/>
  <c r="H13906" i="15"/>
  <c r="B13906" i="15"/>
  <c r="H13905" i="15"/>
  <c r="B13905" i="15"/>
  <c r="H13904" i="15"/>
  <c r="B13904" i="15"/>
  <c r="H13903" i="15"/>
  <c r="B13903" i="15"/>
  <c r="H13902" i="15"/>
  <c r="B13902" i="15"/>
  <c r="H13901" i="15"/>
  <c r="B13901" i="15"/>
  <c r="H13900" i="15"/>
  <c r="B13900" i="15"/>
  <c r="H13899" i="15"/>
  <c r="B13899" i="15"/>
  <c r="H13898" i="15"/>
  <c r="B13898" i="15"/>
  <c r="H13897" i="15"/>
  <c r="B13897" i="15"/>
  <c r="H13896" i="15"/>
  <c r="B13896" i="15"/>
  <c r="H13895" i="15"/>
  <c r="B13895" i="15"/>
  <c r="H13894" i="15"/>
  <c r="B13894" i="15"/>
  <c r="H13893" i="15"/>
  <c r="B13893" i="15"/>
  <c r="H13892" i="15"/>
  <c r="B13892" i="15"/>
  <c r="H13891" i="15"/>
  <c r="B13891" i="15"/>
  <c r="H13890" i="15"/>
  <c r="B13890" i="15"/>
  <c r="H13889" i="15"/>
  <c r="B13889" i="15"/>
  <c r="H13888" i="15"/>
  <c r="B13888" i="15"/>
  <c r="H13887" i="15"/>
  <c r="B13887" i="15"/>
  <c r="H13886" i="15"/>
  <c r="B13886" i="15"/>
  <c r="H13885" i="15"/>
  <c r="B13885" i="15"/>
  <c r="H13884" i="15"/>
  <c r="B13884" i="15"/>
  <c r="H13883" i="15"/>
  <c r="B13883" i="15"/>
  <c r="H13882" i="15"/>
  <c r="B13882" i="15"/>
  <c r="H13881" i="15"/>
  <c r="B13881" i="15"/>
  <c r="H13880" i="15"/>
  <c r="B13880" i="15"/>
  <c r="H13879" i="15"/>
  <c r="B13879" i="15"/>
  <c r="H13878" i="15"/>
  <c r="B13878" i="15"/>
  <c r="H13877" i="15"/>
  <c r="B13877" i="15"/>
  <c r="H13876" i="15"/>
  <c r="B13876" i="15"/>
  <c r="H13875" i="15"/>
  <c r="B13875" i="15"/>
  <c r="H13874" i="15"/>
  <c r="B13874" i="15"/>
  <c r="H13873" i="15"/>
  <c r="B13873" i="15"/>
  <c r="H13872" i="15"/>
  <c r="B13872" i="15"/>
  <c r="H13871" i="15"/>
  <c r="B13871" i="15"/>
  <c r="H13870" i="15"/>
  <c r="B13870" i="15"/>
  <c r="H13869" i="15"/>
  <c r="B13869" i="15"/>
  <c r="H13868" i="15"/>
  <c r="B13868" i="15"/>
  <c r="H13867" i="15"/>
  <c r="B13867" i="15"/>
  <c r="H13866" i="15"/>
  <c r="B13866" i="15"/>
  <c r="H13865" i="15"/>
  <c r="B13865" i="15"/>
  <c r="H13864" i="15"/>
  <c r="B13864" i="15"/>
  <c r="H13863" i="15"/>
  <c r="B13863" i="15"/>
  <c r="H13862" i="15"/>
  <c r="B13862" i="15"/>
  <c r="H13861" i="15"/>
  <c r="B13861" i="15"/>
  <c r="H13860" i="15"/>
  <c r="B13860" i="15"/>
  <c r="H13859" i="15"/>
  <c r="B13859" i="15"/>
  <c r="H13858" i="15"/>
  <c r="B13858" i="15"/>
  <c r="H13857" i="15"/>
  <c r="B13857" i="15"/>
  <c r="H13856" i="15"/>
  <c r="B13856" i="15"/>
  <c r="H13855" i="15"/>
  <c r="B13855" i="15"/>
  <c r="H13854" i="15"/>
  <c r="B13854" i="15"/>
  <c r="H13853" i="15"/>
  <c r="B13853" i="15"/>
  <c r="H13852" i="15"/>
  <c r="B13852" i="15"/>
  <c r="H13851" i="15"/>
  <c r="B13851" i="15"/>
  <c r="H13850" i="15"/>
  <c r="B13850" i="15"/>
  <c r="H13849" i="15"/>
  <c r="B13849" i="15"/>
  <c r="H13848" i="15"/>
  <c r="B13848" i="15"/>
  <c r="H13847" i="15"/>
  <c r="B13847" i="15"/>
  <c r="H13846" i="15"/>
  <c r="B13846" i="15"/>
  <c r="H13845" i="15"/>
  <c r="B13845" i="15"/>
  <c r="H13844" i="15"/>
  <c r="B13844" i="15"/>
  <c r="H13843" i="15"/>
  <c r="B13843" i="15"/>
  <c r="H13842" i="15"/>
  <c r="B13842" i="15"/>
  <c r="H13841" i="15"/>
  <c r="B13841" i="15"/>
  <c r="H13840" i="15"/>
  <c r="B13840" i="15"/>
  <c r="H13839" i="15"/>
  <c r="B13839" i="15"/>
  <c r="H13838" i="15"/>
  <c r="B13838" i="15"/>
  <c r="H13837" i="15"/>
  <c r="B13837" i="15"/>
  <c r="H13836" i="15"/>
  <c r="B13836" i="15"/>
  <c r="H13835" i="15"/>
  <c r="B13835" i="15"/>
  <c r="H13834" i="15"/>
  <c r="B13834" i="15"/>
  <c r="H13833" i="15"/>
  <c r="B13833" i="15"/>
  <c r="H13832" i="15"/>
  <c r="B13832" i="15"/>
  <c r="H13831" i="15"/>
  <c r="B13831" i="15"/>
  <c r="H13830" i="15"/>
  <c r="B13830" i="15"/>
  <c r="H13829" i="15"/>
  <c r="B13829" i="15"/>
  <c r="H13828" i="15"/>
  <c r="B13828" i="15"/>
  <c r="H13827" i="15"/>
  <c r="B13827" i="15"/>
  <c r="H13826" i="15"/>
  <c r="B13826" i="15"/>
  <c r="H13825" i="15"/>
  <c r="B13825" i="15"/>
  <c r="H13824" i="15"/>
  <c r="B13824" i="15"/>
  <c r="H13823" i="15"/>
  <c r="B13823" i="15"/>
  <c r="H13822" i="15"/>
  <c r="B13822" i="15"/>
  <c r="H13821" i="15"/>
  <c r="B13821" i="15"/>
  <c r="H13820" i="15"/>
  <c r="B13820" i="15"/>
  <c r="H13819" i="15"/>
  <c r="B13819" i="15"/>
  <c r="H13818" i="15"/>
  <c r="B13818" i="15"/>
  <c r="H13817" i="15"/>
  <c r="B13817" i="15"/>
  <c r="H13816" i="15"/>
  <c r="B13816" i="15"/>
  <c r="H13815" i="15"/>
  <c r="B13815" i="15"/>
  <c r="H13814" i="15"/>
  <c r="B13814" i="15"/>
  <c r="H13813" i="15"/>
  <c r="B13813" i="15"/>
  <c r="H13812" i="15"/>
  <c r="B13812" i="15"/>
  <c r="H13811" i="15"/>
  <c r="B13811" i="15"/>
  <c r="H13810" i="15"/>
  <c r="B13810" i="15"/>
  <c r="H13809" i="15"/>
  <c r="B13809" i="15"/>
  <c r="H13808" i="15"/>
  <c r="B13808" i="15"/>
  <c r="H13807" i="15"/>
  <c r="B13807" i="15"/>
  <c r="H13806" i="15"/>
  <c r="B13806" i="15"/>
  <c r="H13805" i="15"/>
  <c r="B13805" i="15"/>
  <c r="H13804" i="15"/>
  <c r="B13804" i="15"/>
  <c r="H13803" i="15"/>
  <c r="B13803" i="15"/>
  <c r="H13802" i="15"/>
  <c r="B13802" i="15"/>
  <c r="H13801" i="15"/>
  <c r="B13801" i="15"/>
  <c r="H13800" i="15"/>
  <c r="B13800" i="15"/>
  <c r="H13799" i="15"/>
  <c r="B13799" i="15"/>
  <c r="H13798" i="15"/>
  <c r="B13798" i="15"/>
  <c r="H13797" i="15"/>
  <c r="B13797" i="15"/>
  <c r="H13796" i="15"/>
  <c r="B13796" i="15"/>
  <c r="H13795" i="15"/>
  <c r="B13795" i="15"/>
  <c r="H13794" i="15"/>
  <c r="B13794" i="15"/>
  <c r="H13793" i="15"/>
  <c r="B13793" i="15"/>
  <c r="H13792" i="15"/>
  <c r="B13792" i="15"/>
  <c r="H13791" i="15"/>
  <c r="B13791" i="15"/>
  <c r="H13790" i="15"/>
  <c r="B13790" i="15"/>
  <c r="H13789" i="15"/>
  <c r="B13789" i="15"/>
  <c r="H13788" i="15"/>
  <c r="B13788" i="15"/>
  <c r="H13787" i="15"/>
  <c r="B13787" i="15"/>
  <c r="H13786" i="15"/>
  <c r="B13786" i="15"/>
  <c r="H13785" i="15"/>
  <c r="B13785" i="15"/>
  <c r="H13784" i="15"/>
  <c r="B13784" i="15"/>
  <c r="H13783" i="15"/>
  <c r="B13783" i="15"/>
  <c r="H13782" i="15"/>
  <c r="B13782" i="15"/>
  <c r="H13781" i="15"/>
  <c r="B13781" i="15"/>
  <c r="H13780" i="15"/>
  <c r="B13780" i="15"/>
  <c r="H13779" i="15"/>
  <c r="B13779" i="15"/>
  <c r="H13778" i="15"/>
  <c r="B13778" i="15"/>
  <c r="H13777" i="15"/>
  <c r="B13777" i="15"/>
  <c r="H13776" i="15"/>
  <c r="B13776" i="15"/>
  <c r="H13775" i="15"/>
  <c r="B13775" i="15"/>
  <c r="H13774" i="15"/>
  <c r="B13774" i="15"/>
  <c r="H13773" i="15"/>
  <c r="B13773" i="15"/>
  <c r="H13772" i="15"/>
  <c r="B13772" i="15"/>
  <c r="H13771" i="15"/>
  <c r="B13771" i="15"/>
  <c r="H13770" i="15"/>
  <c r="B13770" i="15"/>
  <c r="H13769" i="15"/>
  <c r="B13769" i="15"/>
  <c r="H13768" i="15"/>
  <c r="B13768" i="15"/>
  <c r="H13767" i="15"/>
  <c r="B13767" i="15"/>
  <c r="H13766" i="15"/>
  <c r="B13766" i="15"/>
  <c r="H13765" i="15"/>
  <c r="B13765" i="15"/>
  <c r="H13764" i="15"/>
  <c r="B13764" i="15"/>
  <c r="H13763" i="15"/>
  <c r="B13763" i="15"/>
  <c r="H13762" i="15"/>
  <c r="B13762" i="15"/>
  <c r="H13761" i="15"/>
  <c r="B13761" i="15"/>
  <c r="H13760" i="15"/>
  <c r="B13760" i="15"/>
  <c r="H13759" i="15"/>
  <c r="B13759" i="15"/>
  <c r="H13758" i="15"/>
  <c r="B13758" i="15"/>
  <c r="H13757" i="15"/>
  <c r="B13757" i="15"/>
  <c r="H13756" i="15"/>
  <c r="B13756" i="15"/>
  <c r="H13755" i="15"/>
  <c r="B13755" i="15"/>
  <c r="H13754" i="15"/>
  <c r="B13754" i="15"/>
  <c r="H13753" i="15"/>
  <c r="B13753" i="15"/>
  <c r="H13752" i="15"/>
  <c r="B13752" i="15"/>
  <c r="H13751" i="15"/>
  <c r="B13751" i="15"/>
  <c r="H13750" i="15"/>
  <c r="B13750" i="15"/>
  <c r="H13749" i="15"/>
  <c r="B13749" i="15"/>
  <c r="H13748" i="15"/>
  <c r="B13748" i="15"/>
  <c r="H13747" i="15"/>
  <c r="B13747" i="15"/>
  <c r="H13746" i="15"/>
  <c r="B13746" i="15"/>
  <c r="H13745" i="15"/>
  <c r="B13745" i="15"/>
  <c r="H13744" i="15"/>
  <c r="B13744" i="15"/>
  <c r="H13743" i="15"/>
  <c r="B13743" i="15"/>
  <c r="H13742" i="15"/>
  <c r="B13742" i="15"/>
  <c r="H13741" i="15"/>
  <c r="B13741" i="15"/>
  <c r="H13740" i="15"/>
  <c r="B13740" i="15"/>
  <c r="H13739" i="15"/>
  <c r="B13739" i="15"/>
  <c r="H13738" i="15"/>
  <c r="B13738" i="15"/>
  <c r="H13737" i="15"/>
  <c r="B13737" i="15"/>
  <c r="H13736" i="15"/>
  <c r="B13736" i="15"/>
  <c r="H13735" i="15"/>
  <c r="B13735" i="15"/>
  <c r="H13734" i="15"/>
  <c r="B13734" i="15"/>
  <c r="H13733" i="15"/>
  <c r="B13733" i="15"/>
  <c r="H13732" i="15"/>
  <c r="B13732" i="15"/>
  <c r="H13731" i="15"/>
  <c r="B13731" i="15"/>
  <c r="H13730" i="15"/>
  <c r="B13730" i="15"/>
  <c r="H13729" i="15"/>
  <c r="B13729" i="15"/>
  <c r="H13728" i="15"/>
  <c r="B13728" i="15"/>
  <c r="H13727" i="15"/>
  <c r="B13727" i="15"/>
  <c r="H13726" i="15"/>
  <c r="B13726" i="15"/>
  <c r="H13725" i="15"/>
  <c r="B13725" i="15"/>
  <c r="H13724" i="15"/>
  <c r="B13724" i="15"/>
  <c r="H13723" i="15"/>
  <c r="B13723" i="15"/>
  <c r="H13722" i="15"/>
  <c r="B13722" i="15"/>
  <c r="H13721" i="15"/>
  <c r="B13721" i="15"/>
  <c r="H13720" i="15"/>
  <c r="B13720" i="15"/>
  <c r="H13719" i="15"/>
  <c r="B13719" i="15"/>
  <c r="H13718" i="15"/>
  <c r="B13718" i="15"/>
  <c r="H13717" i="15"/>
  <c r="B13717" i="15"/>
  <c r="H13716" i="15"/>
  <c r="B13716" i="15"/>
  <c r="H13715" i="15"/>
  <c r="B13715" i="15"/>
  <c r="H13714" i="15"/>
  <c r="B13714" i="15"/>
  <c r="H13713" i="15"/>
  <c r="B13713" i="15"/>
  <c r="H13712" i="15"/>
  <c r="B13712" i="15"/>
  <c r="H13711" i="15"/>
  <c r="B13711" i="15"/>
  <c r="H13710" i="15"/>
  <c r="B13710" i="15"/>
  <c r="H13709" i="15"/>
  <c r="B13709" i="15"/>
  <c r="H13708" i="15"/>
  <c r="B13708" i="15"/>
  <c r="H13707" i="15"/>
  <c r="B13707" i="15"/>
  <c r="H13706" i="15"/>
  <c r="B13706" i="15"/>
  <c r="H13705" i="15"/>
  <c r="B13705" i="15"/>
  <c r="H13704" i="15"/>
  <c r="B13704" i="15"/>
  <c r="H13703" i="15"/>
  <c r="B13703" i="15"/>
  <c r="H13702" i="15"/>
  <c r="B13702" i="15"/>
  <c r="H13701" i="15"/>
  <c r="B13701" i="15"/>
  <c r="H13700" i="15"/>
  <c r="B13700" i="15"/>
  <c r="H13699" i="15"/>
  <c r="B13699" i="15"/>
  <c r="H13698" i="15"/>
  <c r="B13698" i="15"/>
  <c r="H13697" i="15"/>
  <c r="B13697" i="15"/>
  <c r="H13696" i="15"/>
  <c r="B13696" i="15"/>
  <c r="H13695" i="15"/>
  <c r="B13695" i="15"/>
  <c r="H13694" i="15"/>
  <c r="B13694" i="15"/>
  <c r="H13693" i="15"/>
  <c r="B13693" i="15"/>
  <c r="H13692" i="15"/>
  <c r="B13692" i="15"/>
  <c r="H13691" i="15"/>
  <c r="B13691" i="15"/>
  <c r="H13690" i="15"/>
  <c r="B13690" i="15"/>
  <c r="H13689" i="15"/>
  <c r="B13689" i="15"/>
  <c r="H13688" i="15"/>
  <c r="B13688" i="15"/>
  <c r="H13687" i="15"/>
  <c r="B13687" i="15"/>
  <c r="H13686" i="15"/>
  <c r="B13686" i="15"/>
  <c r="H13685" i="15"/>
  <c r="B13685" i="15"/>
  <c r="H13684" i="15"/>
  <c r="B13684" i="15"/>
  <c r="H13683" i="15"/>
  <c r="B13683" i="15"/>
  <c r="H13682" i="15"/>
  <c r="B13682" i="15"/>
  <c r="H13681" i="15"/>
  <c r="B13681" i="15"/>
  <c r="H13680" i="15"/>
  <c r="B13680" i="15"/>
  <c r="H13679" i="15"/>
  <c r="B13679" i="15"/>
  <c r="H13678" i="15"/>
  <c r="B13678" i="15"/>
  <c r="H13677" i="15"/>
  <c r="B13677" i="15"/>
  <c r="H13676" i="15"/>
  <c r="B13676" i="15"/>
  <c r="H13675" i="15"/>
  <c r="B13675" i="15"/>
  <c r="H13674" i="15"/>
  <c r="B13674" i="15"/>
  <c r="H13673" i="15"/>
  <c r="B13673" i="15"/>
  <c r="H13672" i="15"/>
  <c r="B13672" i="15"/>
  <c r="H13671" i="15"/>
  <c r="B13671" i="15"/>
  <c r="H13670" i="15"/>
  <c r="B13670" i="15"/>
  <c r="H13669" i="15"/>
  <c r="B13669" i="15"/>
  <c r="H13668" i="15"/>
  <c r="B13668" i="15"/>
  <c r="H13667" i="15"/>
  <c r="B13667" i="15"/>
  <c r="H13666" i="15"/>
  <c r="B13666" i="15"/>
  <c r="H13665" i="15"/>
  <c r="B13665" i="15"/>
  <c r="H13664" i="15"/>
  <c r="B13664" i="15"/>
  <c r="H13663" i="15"/>
  <c r="B13663" i="15"/>
  <c r="H13662" i="15"/>
  <c r="B13662" i="15"/>
  <c r="H13661" i="15"/>
  <c r="B13661" i="15"/>
  <c r="H13660" i="15"/>
  <c r="B13660" i="15"/>
  <c r="H13659" i="15"/>
  <c r="B13659" i="15"/>
  <c r="H13658" i="15"/>
  <c r="B13658" i="15"/>
  <c r="H13657" i="15"/>
  <c r="B13657" i="15"/>
  <c r="H13656" i="15"/>
  <c r="B13656" i="15"/>
  <c r="H13655" i="15"/>
  <c r="B13655" i="15"/>
  <c r="H13654" i="15"/>
  <c r="B13654" i="15"/>
  <c r="H13653" i="15"/>
  <c r="B13653" i="15"/>
  <c r="H13652" i="15"/>
  <c r="B13652" i="15"/>
  <c r="H13651" i="15"/>
  <c r="B13651" i="15"/>
  <c r="H13650" i="15"/>
  <c r="B13650" i="15"/>
  <c r="H13649" i="15"/>
  <c r="B13649" i="15"/>
  <c r="H13648" i="15"/>
  <c r="B13648" i="15"/>
  <c r="H13647" i="15"/>
  <c r="B13647" i="15"/>
  <c r="H13646" i="15"/>
  <c r="B13646" i="15"/>
  <c r="H13645" i="15"/>
  <c r="B13645" i="15"/>
  <c r="H13644" i="15"/>
  <c r="B13644" i="15"/>
  <c r="H13643" i="15"/>
  <c r="B13643" i="15"/>
  <c r="H13642" i="15"/>
  <c r="B13642" i="15"/>
  <c r="H13641" i="15"/>
  <c r="B13641" i="15"/>
  <c r="H13640" i="15"/>
  <c r="B13640" i="15"/>
  <c r="H13639" i="15"/>
  <c r="B13639" i="15"/>
  <c r="H13638" i="15"/>
  <c r="B13638" i="15"/>
  <c r="H13637" i="15"/>
  <c r="B13637" i="15"/>
  <c r="H13636" i="15"/>
  <c r="B13636" i="15"/>
  <c r="H13635" i="15"/>
  <c r="B13635" i="15"/>
  <c r="H13634" i="15"/>
  <c r="B13634" i="15"/>
  <c r="H13633" i="15"/>
  <c r="B13633" i="15"/>
  <c r="H13632" i="15"/>
  <c r="B13632" i="15"/>
  <c r="H13631" i="15"/>
  <c r="B13631" i="15"/>
  <c r="H13630" i="15"/>
  <c r="B13630" i="15"/>
  <c r="H13629" i="15"/>
  <c r="B13629" i="15"/>
  <c r="H13628" i="15"/>
  <c r="B13628" i="15"/>
  <c r="H13627" i="15"/>
  <c r="B13627" i="15"/>
  <c r="H13626" i="15"/>
  <c r="B13626" i="15"/>
  <c r="H13625" i="15"/>
  <c r="B13625" i="15"/>
  <c r="H13624" i="15"/>
  <c r="B13624" i="15"/>
  <c r="H13623" i="15"/>
  <c r="B13623" i="15"/>
  <c r="H13622" i="15"/>
  <c r="B13622" i="15"/>
  <c r="H13621" i="15"/>
  <c r="B13621" i="15"/>
  <c r="H13620" i="15"/>
  <c r="B13620" i="15"/>
  <c r="H13619" i="15"/>
  <c r="B13619" i="15"/>
  <c r="H13618" i="15"/>
  <c r="B13618" i="15"/>
  <c r="H13617" i="15"/>
  <c r="B13617" i="15"/>
  <c r="H13616" i="15"/>
  <c r="B13616" i="15"/>
  <c r="H13615" i="15"/>
  <c r="B13615" i="15"/>
  <c r="H13614" i="15"/>
  <c r="B13614" i="15"/>
  <c r="H13613" i="15"/>
  <c r="B13613" i="15"/>
  <c r="H13612" i="15"/>
  <c r="B13612" i="15"/>
  <c r="H13611" i="15"/>
  <c r="B13611" i="15"/>
  <c r="H13610" i="15"/>
  <c r="B13610" i="15"/>
  <c r="H13609" i="15"/>
  <c r="B13609" i="15"/>
  <c r="H13608" i="15"/>
  <c r="B13608" i="15"/>
  <c r="H13607" i="15"/>
  <c r="B13607" i="15"/>
  <c r="H13606" i="15"/>
  <c r="B13606" i="15"/>
  <c r="H13605" i="15"/>
  <c r="B13605" i="15"/>
  <c r="H13604" i="15"/>
  <c r="B13604" i="15"/>
  <c r="H13603" i="15"/>
  <c r="B13603" i="15"/>
  <c r="H13602" i="15"/>
  <c r="B13602" i="15"/>
  <c r="H13601" i="15"/>
  <c r="B13601" i="15"/>
  <c r="H13600" i="15"/>
  <c r="B13600" i="15"/>
  <c r="H13599" i="15"/>
  <c r="B13599" i="15"/>
  <c r="H13598" i="15"/>
  <c r="B13598" i="15"/>
  <c r="H13597" i="15"/>
  <c r="B13597" i="15"/>
  <c r="H13596" i="15"/>
  <c r="B13596" i="15"/>
  <c r="H13595" i="15"/>
  <c r="B13595" i="15"/>
  <c r="H13594" i="15"/>
  <c r="B13594" i="15"/>
  <c r="H13593" i="15"/>
  <c r="B13593" i="15"/>
  <c r="H13592" i="15"/>
  <c r="B13592" i="15"/>
  <c r="H13591" i="15"/>
  <c r="B13591" i="15"/>
  <c r="H13590" i="15"/>
  <c r="B13590" i="15"/>
  <c r="H13589" i="15"/>
  <c r="B13589" i="15"/>
  <c r="H13588" i="15"/>
  <c r="B13588" i="15"/>
  <c r="H13587" i="15"/>
  <c r="B13587" i="15"/>
  <c r="H13586" i="15"/>
  <c r="B13586" i="15"/>
  <c r="H13585" i="15"/>
  <c r="B13585" i="15"/>
  <c r="H13584" i="15"/>
  <c r="B13584" i="15"/>
  <c r="H13583" i="15"/>
  <c r="B13583" i="15"/>
  <c r="H13582" i="15"/>
  <c r="B13582" i="15"/>
  <c r="H13581" i="15"/>
  <c r="B13581" i="15"/>
  <c r="H13580" i="15"/>
  <c r="B13580" i="15"/>
  <c r="H13579" i="15"/>
  <c r="B13579" i="15"/>
  <c r="H13578" i="15"/>
  <c r="B13578" i="15"/>
  <c r="H13577" i="15"/>
  <c r="B13577" i="15"/>
  <c r="H13576" i="15"/>
  <c r="B13576" i="15"/>
  <c r="H13575" i="15"/>
  <c r="B13575" i="15"/>
  <c r="H13574" i="15"/>
  <c r="B13574" i="15"/>
  <c r="H13573" i="15"/>
  <c r="B13573" i="15"/>
  <c r="H13572" i="15"/>
  <c r="B13572" i="15"/>
  <c r="H13571" i="15"/>
  <c r="B13571" i="15"/>
  <c r="H13570" i="15"/>
  <c r="B13570" i="15"/>
  <c r="H13569" i="15"/>
  <c r="B13569" i="15"/>
  <c r="H13568" i="15"/>
  <c r="B13568" i="15"/>
  <c r="H13567" i="15"/>
  <c r="B13567" i="15"/>
  <c r="H13566" i="15"/>
  <c r="B13566" i="15"/>
  <c r="H13565" i="15"/>
  <c r="B13565" i="15"/>
  <c r="H13564" i="15"/>
  <c r="B13564" i="15"/>
  <c r="H13563" i="15"/>
  <c r="B13563" i="15"/>
  <c r="H13562" i="15"/>
  <c r="B13562" i="15"/>
  <c r="H13561" i="15"/>
  <c r="B13561" i="15"/>
  <c r="H13560" i="15"/>
  <c r="B13560" i="15"/>
  <c r="H13559" i="15"/>
  <c r="B13559" i="15"/>
  <c r="H13558" i="15"/>
  <c r="B13558" i="15"/>
  <c r="H13557" i="15"/>
  <c r="B13557" i="15"/>
  <c r="H13556" i="15"/>
  <c r="B13556" i="15"/>
  <c r="H13555" i="15"/>
  <c r="B13555" i="15"/>
  <c r="H13554" i="15"/>
  <c r="B13554" i="15"/>
  <c r="H13553" i="15"/>
  <c r="B13553" i="15"/>
  <c r="H13552" i="15"/>
  <c r="B13552" i="15"/>
  <c r="H13551" i="15"/>
  <c r="B13551" i="15"/>
  <c r="H13550" i="15"/>
  <c r="B13550" i="15"/>
  <c r="H13549" i="15"/>
  <c r="B13549" i="15"/>
  <c r="H13548" i="15"/>
  <c r="B13548" i="15"/>
  <c r="H13547" i="15"/>
  <c r="B13547" i="15"/>
  <c r="H13546" i="15"/>
  <c r="B13546" i="15"/>
  <c r="H13545" i="15"/>
  <c r="B13545" i="15"/>
  <c r="H13544" i="15"/>
  <c r="B13544" i="15"/>
  <c r="H13543" i="15"/>
  <c r="B13543" i="15"/>
  <c r="H13542" i="15"/>
  <c r="B13542" i="15"/>
  <c r="H13541" i="15"/>
  <c r="B13541" i="15"/>
  <c r="H13540" i="15"/>
  <c r="B13540" i="15"/>
  <c r="H13539" i="15"/>
  <c r="B13539" i="15"/>
  <c r="H13538" i="15"/>
  <c r="B13538" i="15"/>
  <c r="H13537" i="15"/>
  <c r="B13537" i="15"/>
  <c r="H13536" i="15"/>
  <c r="B13536" i="15"/>
  <c r="H13535" i="15"/>
  <c r="B13535" i="15"/>
  <c r="H13534" i="15"/>
  <c r="B13534" i="15"/>
  <c r="H13533" i="15"/>
  <c r="B13533" i="15"/>
  <c r="H13532" i="15"/>
  <c r="B13532" i="15"/>
  <c r="H13531" i="15"/>
  <c r="B13531" i="15"/>
  <c r="H13530" i="15"/>
  <c r="B13530" i="15"/>
  <c r="H13529" i="15"/>
  <c r="B13529" i="15"/>
  <c r="H13528" i="15"/>
  <c r="B13528" i="15"/>
  <c r="H13527" i="15"/>
  <c r="B13527" i="15"/>
  <c r="H13526" i="15"/>
  <c r="B13526" i="15"/>
  <c r="H13525" i="15"/>
  <c r="B13525" i="15"/>
  <c r="H13524" i="15"/>
  <c r="B13524" i="15"/>
  <c r="H13523" i="15"/>
  <c r="B13523" i="15"/>
  <c r="H13522" i="15"/>
  <c r="B13522" i="15"/>
  <c r="H13521" i="15"/>
  <c r="B13521" i="15"/>
  <c r="H13520" i="15"/>
  <c r="B13520" i="15"/>
  <c r="H13519" i="15"/>
  <c r="B13519" i="15"/>
  <c r="H13518" i="15"/>
  <c r="B13518" i="15"/>
  <c r="H13517" i="15"/>
  <c r="B13517" i="15"/>
  <c r="H13516" i="15"/>
  <c r="B13516" i="15"/>
  <c r="H13515" i="15"/>
  <c r="B13515" i="15"/>
  <c r="H13514" i="15"/>
  <c r="B13514" i="15"/>
  <c r="H13513" i="15"/>
  <c r="B13513" i="15"/>
  <c r="H13512" i="15"/>
  <c r="B13512" i="15"/>
  <c r="H13511" i="15"/>
  <c r="B13511" i="15"/>
  <c r="H13510" i="15"/>
  <c r="B13510" i="15"/>
  <c r="H13509" i="15"/>
  <c r="B13509" i="15"/>
  <c r="H13508" i="15"/>
  <c r="B13508" i="15"/>
  <c r="H13507" i="15"/>
  <c r="B13507" i="15"/>
  <c r="H13506" i="15"/>
  <c r="B13506" i="15"/>
  <c r="H13505" i="15"/>
  <c r="B13505" i="15"/>
  <c r="H13504" i="15"/>
  <c r="B13504" i="15"/>
  <c r="H13503" i="15"/>
  <c r="B13503" i="15"/>
  <c r="H13502" i="15"/>
  <c r="B13502" i="15"/>
  <c r="H13501" i="15"/>
  <c r="B13501" i="15"/>
  <c r="H13500" i="15"/>
  <c r="B13500" i="15"/>
  <c r="H13499" i="15"/>
  <c r="B13499" i="15"/>
  <c r="H13498" i="15"/>
  <c r="B13498" i="15"/>
  <c r="H13497" i="15"/>
  <c r="B13497" i="15"/>
  <c r="H13496" i="15"/>
  <c r="B13496" i="15"/>
  <c r="H13495" i="15"/>
  <c r="B13495" i="15"/>
  <c r="H13494" i="15"/>
  <c r="B13494" i="15"/>
  <c r="H13493" i="15"/>
  <c r="B13493" i="15"/>
  <c r="H13492" i="15"/>
  <c r="B13492" i="15"/>
  <c r="H13491" i="15"/>
  <c r="B13491" i="15"/>
  <c r="H13490" i="15"/>
  <c r="B13490" i="15"/>
  <c r="H13489" i="15"/>
  <c r="B13489" i="15"/>
  <c r="H13488" i="15"/>
  <c r="B13488" i="15"/>
  <c r="H13487" i="15"/>
  <c r="B13487" i="15"/>
  <c r="H13486" i="15"/>
  <c r="B13486" i="15"/>
  <c r="H13485" i="15"/>
  <c r="B13485" i="15"/>
  <c r="H13484" i="15"/>
  <c r="B13484" i="15"/>
  <c r="H13483" i="15"/>
  <c r="B13483" i="15"/>
  <c r="H13482" i="15"/>
  <c r="B13482" i="15"/>
  <c r="H13481" i="15"/>
  <c r="B13481" i="15"/>
  <c r="H13480" i="15"/>
  <c r="B13480" i="15"/>
  <c r="H13479" i="15"/>
  <c r="B13479" i="15"/>
  <c r="H13478" i="15"/>
  <c r="B13478" i="15"/>
  <c r="H13477" i="15"/>
  <c r="B13477" i="15"/>
  <c r="H13476" i="15"/>
  <c r="B13476" i="15"/>
  <c r="H13475" i="15"/>
  <c r="B13475" i="15"/>
  <c r="H13474" i="15"/>
  <c r="B13474" i="15"/>
  <c r="H13473" i="15"/>
  <c r="B13473" i="15"/>
  <c r="H13472" i="15"/>
  <c r="B13472" i="15"/>
  <c r="H13471" i="15"/>
  <c r="B13471" i="15"/>
  <c r="H13470" i="15"/>
  <c r="B13470" i="15"/>
  <c r="H13469" i="15"/>
  <c r="B13469" i="15"/>
  <c r="H13468" i="15"/>
  <c r="B13468" i="15"/>
  <c r="H13467" i="15"/>
  <c r="B13467" i="15"/>
  <c r="H13466" i="15"/>
  <c r="B13466" i="15"/>
  <c r="H13465" i="15"/>
  <c r="B13465" i="15"/>
  <c r="H13464" i="15"/>
  <c r="B13464" i="15"/>
  <c r="H13463" i="15"/>
  <c r="B13463" i="15"/>
  <c r="H13462" i="15"/>
  <c r="B13462" i="15"/>
  <c r="H13461" i="15"/>
  <c r="B13461" i="15"/>
  <c r="H13460" i="15"/>
  <c r="B13460" i="15"/>
  <c r="H13459" i="15"/>
  <c r="B13459" i="15"/>
  <c r="H13458" i="15"/>
  <c r="B13458" i="15"/>
  <c r="H13457" i="15"/>
  <c r="B13457" i="15"/>
  <c r="H13456" i="15"/>
  <c r="B13456" i="15"/>
  <c r="H13455" i="15"/>
  <c r="B13455" i="15"/>
  <c r="H13454" i="15"/>
  <c r="B13454" i="15"/>
  <c r="H13453" i="15"/>
  <c r="B13453" i="15"/>
  <c r="H13452" i="15"/>
  <c r="B13452" i="15"/>
  <c r="H13451" i="15"/>
  <c r="B13451" i="15"/>
  <c r="H13450" i="15"/>
  <c r="B13450" i="15"/>
  <c r="H13449" i="15"/>
  <c r="B13449" i="15"/>
  <c r="H13448" i="15"/>
  <c r="B13448" i="15"/>
  <c r="H13447" i="15"/>
  <c r="B13447" i="15"/>
  <c r="H13446" i="15"/>
  <c r="B13446" i="15"/>
  <c r="H13445" i="15"/>
  <c r="B13445" i="15"/>
  <c r="H13444" i="15"/>
  <c r="B13444" i="15"/>
  <c r="H13443" i="15"/>
  <c r="B13443" i="15"/>
  <c r="H13442" i="15"/>
  <c r="B13442" i="15"/>
  <c r="H13441" i="15"/>
  <c r="B13441" i="15"/>
  <c r="H13440" i="15"/>
  <c r="B13440" i="15"/>
  <c r="H13439" i="15"/>
  <c r="B13439" i="15"/>
  <c r="H13438" i="15"/>
  <c r="B13438" i="15"/>
  <c r="H13437" i="15"/>
  <c r="B13437" i="15"/>
  <c r="H13436" i="15"/>
  <c r="B13436" i="15"/>
  <c r="H13435" i="15"/>
  <c r="B13435" i="15"/>
  <c r="H13434" i="15"/>
  <c r="B13434" i="15"/>
  <c r="H13433" i="15"/>
  <c r="B13433" i="15"/>
  <c r="H13432" i="15"/>
  <c r="B13432" i="15"/>
  <c r="H13431" i="15"/>
  <c r="B13431" i="15"/>
  <c r="H13430" i="15"/>
  <c r="B13430" i="15"/>
  <c r="H13429" i="15"/>
  <c r="B13429" i="15"/>
  <c r="H13428" i="15"/>
  <c r="B13428" i="15"/>
  <c r="H13427" i="15"/>
  <c r="B13427" i="15"/>
  <c r="H13426" i="15"/>
  <c r="B13426" i="15"/>
  <c r="H13425" i="15"/>
  <c r="B13425" i="15"/>
  <c r="H13424" i="15"/>
  <c r="B13424" i="15"/>
  <c r="H13423" i="15"/>
  <c r="B13423" i="15"/>
  <c r="H13422" i="15"/>
  <c r="B13422" i="15"/>
  <c r="H13421" i="15"/>
  <c r="B13421" i="15"/>
  <c r="H13420" i="15"/>
  <c r="B13420" i="15"/>
  <c r="H13419" i="15"/>
  <c r="B13419" i="15"/>
  <c r="H13418" i="15"/>
  <c r="B13418" i="15"/>
  <c r="H13417" i="15"/>
  <c r="B13417" i="15"/>
  <c r="H13416" i="15"/>
  <c r="B13416" i="15"/>
  <c r="H13415" i="15"/>
  <c r="B13415" i="15"/>
  <c r="H13414" i="15"/>
  <c r="B13414" i="15"/>
  <c r="H13413" i="15"/>
  <c r="B13413" i="15"/>
  <c r="H13412" i="15"/>
  <c r="B13412" i="15"/>
  <c r="H13411" i="15"/>
  <c r="B13411" i="15"/>
  <c r="H13410" i="15"/>
  <c r="B13410" i="15"/>
  <c r="H13409" i="15"/>
  <c r="B13409" i="15"/>
  <c r="H13408" i="15"/>
  <c r="B13408" i="15"/>
  <c r="H13407" i="15"/>
  <c r="B13407" i="15"/>
  <c r="H13406" i="15"/>
  <c r="B13406" i="15"/>
  <c r="H13405" i="15"/>
  <c r="B13405" i="15"/>
  <c r="H13404" i="15"/>
  <c r="B13404" i="15"/>
  <c r="H13403" i="15"/>
  <c r="B13403" i="15"/>
  <c r="H13402" i="15"/>
  <c r="B13402" i="15"/>
  <c r="H13401" i="15"/>
  <c r="B13401" i="15"/>
  <c r="H13400" i="15"/>
  <c r="B13400" i="15"/>
  <c r="H13399" i="15"/>
  <c r="B13399" i="15"/>
  <c r="H13398" i="15"/>
  <c r="B13398" i="15"/>
  <c r="H13397" i="15"/>
  <c r="B13397" i="15"/>
  <c r="H13396" i="15"/>
  <c r="B13396" i="15"/>
  <c r="H13395" i="15"/>
  <c r="B13395" i="15"/>
  <c r="H13394" i="15"/>
  <c r="B13394" i="15"/>
  <c r="H13393" i="15"/>
  <c r="B13393" i="15"/>
  <c r="H13392" i="15"/>
  <c r="B13392" i="15"/>
  <c r="H13391" i="15"/>
  <c r="B13391" i="15"/>
  <c r="H13390" i="15"/>
  <c r="B13390" i="15"/>
  <c r="H13389" i="15"/>
  <c r="B13389" i="15"/>
  <c r="H13388" i="15"/>
  <c r="B13388" i="15"/>
  <c r="H13387" i="15"/>
  <c r="B13387" i="15"/>
  <c r="H13386" i="15"/>
  <c r="B13386" i="15"/>
  <c r="H13385" i="15"/>
  <c r="B13385" i="15"/>
  <c r="H13384" i="15"/>
  <c r="B13384" i="15"/>
  <c r="H13383" i="15"/>
  <c r="B13383" i="15"/>
  <c r="H13382" i="15"/>
  <c r="B13382" i="15"/>
  <c r="H13381" i="15"/>
  <c r="B13381" i="15"/>
  <c r="H13380" i="15"/>
  <c r="B13380" i="15"/>
  <c r="H13379" i="15"/>
  <c r="B13379" i="15"/>
  <c r="H13378" i="15"/>
  <c r="B13378" i="15"/>
  <c r="H13377" i="15"/>
  <c r="B13377" i="15"/>
  <c r="H13376" i="15"/>
  <c r="B13376" i="15"/>
  <c r="H13375" i="15"/>
  <c r="B13375" i="15"/>
  <c r="H13374" i="15"/>
  <c r="B13374" i="15"/>
  <c r="H13373" i="15"/>
  <c r="B13373" i="15"/>
  <c r="H13372" i="15"/>
  <c r="B13372" i="15"/>
  <c r="H13371" i="15"/>
  <c r="B13371" i="15"/>
  <c r="H13370" i="15"/>
  <c r="B13370" i="15"/>
  <c r="H13369" i="15"/>
  <c r="B13369" i="15"/>
  <c r="H13368" i="15"/>
  <c r="B13368" i="15"/>
  <c r="H13367" i="15"/>
  <c r="B13367" i="15"/>
  <c r="H13366" i="15"/>
  <c r="B13366" i="15"/>
  <c r="H13365" i="15"/>
  <c r="B13365" i="15"/>
  <c r="H13364" i="15"/>
  <c r="B13364" i="15"/>
  <c r="H13363" i="15"/>
  <c r="B13363" i="15"/>
  <c r="H13362" i="15"/>
  <c r="B13362" i="15"/>
  <c r="H13361" i="15"/>
  <c r="B13361" i="15"/>
  <c r="H13360" i="15"/>
  <c r="B13360" i="15"/>
  <c r="H13359" i="15"/>
  <c r="B13359" i="15"/>
  <c r="H13358" i="15"/>
  <c r="B13358" i="15"/>
  <c r="H13357" i="15"/>
  <c r="B13357" i="15"/>
  <c r="H13356" i="15"/>
  <c r="B13356" i="15"/>
  <c r="H13355" i="15"/>
  <c r="B13355" i="15"/>
  <c r="H13354" i="15"/>
  <c r="B13354" i="15"/>
  <c r="H13353" i="15"/>
  <c r="B13353" i="15"/>
  <c r="H13352" i="15"/>
  <c r="B13352" i="15"/>
  <c r="H13351" i="15"/>
  <c r="B13351" i="15"/>
  <c r="H13350" i="15"/>
  <c r="B13350" i="15"/>
  <c r="H13349" i="15"/>
  <c r="B13349" i="15"/>
  <c r="H13348" i="15"/>
  <c r="B13348" i="15"/>
  <c r="H13347" i="15"/>
  <c r="B13347" i="15"/>
  <c r="H13346" i="15"/>
  <c r="B13346" i="15"/>
  <c r="H13345" i="15"/>
  <c r="B13345" i="15"/>
  <c r="H13344" i="15"/>
  <c r="B13344" i="15"/>
  <c r="H13343" i="15"/>
  <c r="B13343" i="15"/>
  <c r="H13342" i="15"/>
  <c r="B13342" i="15"/>
  <c r="H13341" i="15"/>
  <c r="B13341" i="15"/>
  <c r="H13340" i="15"/>
  <c r="B13340" i="15"/>
  <c r="H13339" i="15"/>
  <c r="B13339" i="15"/>
  <c r="H13338" i="15"/>
  <c r="B13338" i="15"/>
  <c r="H13337" i="15"/>
  <c r="B13337" i="15"/>
  <c r="H13336" i="15"/>
  <c r="B13336" i="15"/>
  <c r="H13335" i="15"/>
  <c r="B13335" i="15"/>
  <c r="H13334" i="15"/>
  <c r="B13334" i="15"/>
  <c r="H13333" i="15"/>
  <c r="B13333" i="15"/>
  <c r="H13332" i="15"/>
  <c r="B13332" i="15"/>
  <c r="H13331" i="15"/>
  <c r="B13331" i="15"/>
  <c r="H13330" i="15"/>
  <c r="B13330" i="15"/>
  <c r="H13329" i="15"/>
  <c r="B13329" i="15"/>
  <c r="H13328" i="15"/>
  <c r="B13328" i="15"/>
  <c r="H13327" i="15"/>
  <c r="B13327" i="15"/>
  <c r="H13326" i="15"/>
  <c r="B13326" i="15"/>
  <c r="H13325" i="15"/>
  <c r="B13325" i="15"/>
  <c r="H13324" i="15"/>
  <c r="B13324" i="15"/>
  <c r="H13323" i="15"/>
  <c r="B13323" i="15"/>
  <c r="H13322" i="15"/>
  <c r="B13322" i="15"/>
  <c r="H13321" i="15"/>
  <c r="B13321" i="15"/>
  <c r="H13320" i="15"/>
  <c r="B13320" i="15"/>
  <c r="H13319" i="15"/>
  <c r="B13319" i="15"/>
  <c r="H13318" i="15"/>
  <c r="B13318" i="15"/>
  <c r="H13317" i="15"/>
  <c r="B13317" i="15"/>
  <c r="H13316" i="15"/>
  <c r="B13316" i="15"/>
  <c r="H13315" i="15"/>
  <c r="B13315" i="15"/>
  <c r="H13314" i="15"/>
  <c r="B13314" i="15"/>
  <c r="H13313" i="15"/>
  <c r="B13313" i="15"/>
  <c r="H13312" i="15"/>
  <c r="B13312" i="15"/>
  <c r="H13311" i="15"/>
  <c r="B13311" i="15"/>
  <c r="H13310" i="15"/>
  <c r="B13310" i="15"/>
  <c r="H13309" i="15"/>
  <c r="B13309" i="15"/>
  <c r="H13308" i="15"/>
  <c r="B13308" i="15"/>
  <c r="H13307" i="15"/>
  <c r="B13307" i="15"/>
  <c r="H13306" i="15"/>
  <c r="B13306" i="15"/>
  <c r="H13305" i="15"/>
  <c r="B13305" i="15"/>
  <c r="H13304" i="15"/>
  <c r="B13304" i="15"/>
  <c r="H13303" i="15"/>
  <c r="B13303" i="15"/>
  <c r="H13302" i="15"/>
  <c r="B13302" i="15"/>
  <c r="H13301" i="15"/>
  <c r="B13301" i="15"/>
  <c r="H13300" i="15"/>
  <c r="B13300" i="15"/>
  <c r="H13299" i="15"/>
  <c r="B13299" i="15"/>
  <c r="H13298" i="15"/>
  <c r="B13298" i="15"/>
  <c r="H13297" i="15"/>
  <c r="B13297" i="15"/>
  <c r="H13296" i="15"/>
  <c r="B13296" i="15"/>
  <c r="H13295" i="15"/>
  <c r="B13295" i="15"/>
  <c r="H13294" i="15"/>
  <c r="B13294" i="15"/>
  <c r="H13293" i="15"/>
  <c r="B13293" i="15"/>
  <c r="H13292" i="15"/>
  <c r="B13292" i="15"/>
  <c r="H13291" i="15"/>
  <c r="B13291" i="15"/>
  <c r="H13290" i="15"/>
  <c r="B13290" i="15"/>
  <c r="H13289" i="15"/>
  <c r="B13289" i="15"/>
  <c r="H13288" i="15"/>
  <c r="B13288" i="15"/>
  <c r="H13287" i="15"/>
  <c r="B13287" i="15"/>
  <c r="H13286" i="15"/>
  <c r="B13286" i="15"/>
  <c r="H13285" i="15"/>
  <c r="B13285" i="15"/>
  <c r="H13284" i="15"/>
  <c r="B13284" i="15"/>
  <c r="H13283" i="15"/>
  <c r="B13283" i="15"/>
  <c r="H13282" i="15"/>
  <c r="B13282" i="15"/>
  <c r="H13281" i="15"/>
  <c r="B13281" i="15"/>
  <c r="H13280" i="15"/>
  <c r="B13280" i="15"/>
  <c r="H13279" i="15"/>
  <c r="B13279" i="15"/>
  <c r="H13278" i="15"/>
  <c r="B13278" i="15"/>
  <c r="H13277" i="15"/>
  <c r="B13277" i="15"/>
  <c r="H13276" i="15"/>
  <c r="B13276" i="15"/>
  <c r="H13275" i="15"/>
  <c r="B13275" i="15"/>
  <c r="H13274" i="15"/>
  <c r="B13274" i="15"/>
  <c r="H13273" i="15"/>
  <c r="B13273" i="15"/>
  <c r="H13272" i="15"/>
  <c r="B13272" i="15"/>
  <c r="H13271" i="15"/>
  <c r="B13271" i="15"/>
  <c r="H13270" i="15"/>
  <c r="B13270" i="15"/>
  <c r="H13269" i="15"/>
  <c r="B13269" i="15"/>
  <c r="H13268" i="15"/>
  <c r="B13268" i="15"/>
  <c r="H13267" i="15"/>
  <c r="B13267" i="15"/>
  <c r="H13266" i="15"/>
  <c r="B13266" i="15"/>
  <c r="H13265" i="15"/>
  <c r="B13265" i="15"/>
  <c r="H13264" i="15"/>
  <c r="B13264" i="15"/>
  <c r="H13263" i="15"/>
  <c r="B13263" i="15"/>
  <c r="H13262" i="15"/>
  <c r="B13262" i="15"/>
  <c r="H13261" i="15"/>
  <c r="B13261" i="15"/>
  <c r="H13260" i="15"/>
  <c r="B13260" i="15"/>
  <c r="H13259" i="15"/>
  <c r="B13259" i="15"/>
  <c r="H13258" i="15"/>
  <c r="B13258" i="15"/>
  <c r="H13257" i="15"/>
  <c r="B13257" i="15"/>
  <c r="H13256" i="15"/>
  <c r="B13256" i="15"/>
  <c r="H13255" i="15"/>
  <c r="B13255" i="15"/>
  <c r="H13254" i="15"/>
  <c r="B13254" i="15"/>
  <c r="H13253" i="15"/>
  <c r="B13253" i="15"/>
  <c r="H13252" i="15"/>
  <c r="B13252" i="15"/>
  <c r="H13251" i="15"/>
  <c r="B13251" i="15"/>
  <c r="H13250" i="15"/>
  <c r="B13250" i="15"/>
  <c r="H13249" i="15"/>
  <c r="B13249" i="15"/>
  <c r="H13248" i="15"/>
  <c r="B13248" i="15"/>
  <c r="H13247" i="15"/>
  <c r="B13247" i="15"/>
  <c r="H13246" i="15"/>
  <c r="B13246" i="15"/>
  <c r="H13245" i="15"/>
  <c r="B13245" i="15"/>
  <c r="H13244" i="15"/>
  <c r="B13244" i="15"/>
  <c r="H13243" i="15"/>
  <c r="B13243" i="15"/>
  <c r="H13242" i="15"/>
  <c r="B13242" i="15"/>
  <c r="H13241" i="15"/>
  <c r="B13241" i="15"/>
  <c r="H13240" i="15"/>
  <c r="B13240" i="15"/>
  <c r="H13239" i="15"/>
  <c r="B13239" i="15"/>
  <c r="H13238" i="15"/>
  <c r="B13238" i="15"/>
  <c r="H13237" i="15"/>
  <c r="B13237" i="15"/>
  <c r="H13236" i="15"/>
  <c r="B13236" i="15"/>
  <c r="H13235" i="15"/>
  <c r="B13235" i="15"/>
  <c r="H13234" i="15"/>
  <c r="B13234" i="15"/>
  <c r="H13233" i="15"/>
  <c r="B13233" i="15"/>
  <c r="H13232" i="15"/>
  <c r="B13232" i="15"/>
  <c r="H13231" i="15"/>
  <c r="B13231" i="15"/>
  <c r="H13230" i="15"/>
  <c r="B13230" i="15"/>
  <c r="H13229" i="15"/>
  <c r="B13229" i="15"/>
  <c r="H13228" i="15"/>
  <c r="B13228" i="15"/>
  <c r="H13227" i="15"/>
  <c r="B13227" i="15"/>
  <c r="H13226" i="15"/>
  <c r="B13226" i="15"/>
  <c r="H13225" i="15"/>
  <c r="B13225" i="15"/>
  <c r="H13224" i="15"/>
  <c r="B13224" i="15"/>
  <c r="H13223" i="15"/>
  <c r="B13223" i="15"/>
  <c r="H13222" i="15"/>
  <c r="B13222" i="15"/>
  <c r="H13221" i="15"/>
  <c r="B13221" i="15"/>
  <c r="H13220" i="15"/>
  <c r="B13220" i="15"/>
  <c r="H13219" i="15"/>
  <c r="B13219" i="15"/>
  <c r="H13218" i="15"/>
  <c r="B13218" i="15"/>
  <c r="H13217" i="15"/>
  <c r="B13217" i="15"/>
  <c r="H13216" i="15"/>
  <c r="B13216" i="15"/>
  <c r="H13215" i="15"/>
  <c r="B13215" i="15"/>
  <c r="H13214" i="15"/>
  <c r="B13214" i="15"/>
  <c r="H13213" i="15"/>
  <c r="B13213" i="15"/>
  <c r="H13212" i="15"/>
  <c r="B13212" i="15"/>
  <c r="H13211" i="15"/>
  <c r="B13211" i="15"/>
  <c r="H13210" i="15"/>
  <c r="B13210" i="15"/>
  <c r="H13209" i="15"/>
  <c r="B13209" i="15"/>
  <c r="H13208" i="15"/>
  <c r="B13208" i="15"/>
  <c r="H13207" i="15"/>
  <c r="B13207" i="15"/>
  <c r="H13206" i="15"/>
  <c r="B13206" i="15"/>
  <c r="H13205" i="15"/>
  <c r="B13205" i="15"/>
  <c r="H13204" i="15"/>
  <c r="B13204" i="15"/>
  <c r="H13203" i="15"/>
  <c r="B13203" i="15"/>
  <c r="H13202" i="15"/>
  <c r="B13202" i="15"/>
  <c r="H13201" i="15"/>
  <c r="B13201" i="15"/>
  <c r="H13200" i="15"/>
  <c r="B13200" i="15"/>
  <c r="H13199" i="15"/>
  <c r="B13199" i="15"/>
  <c r="H13198" i="15"/>
  <c r="B13198" i="15"/>
  <c r="H13197" i="15"/>
  <c r="B13197" i="15"/>
  <c r="H13196" i="15"/>
  <c r="B13196" i="15"/>
  <c r="H13195" i="15"/>
  <c r="B13195" i="15"/>
  <c r="H13194" i="15"/>
  <c r="B13194" i="15"/>
  <c r="H13193" i="15"/>
  <c r="B13193" i="15"/>
  <c r="H13192" i="15"/>
  <c r="B13192" i="15"/>
  <c r="H13191" i="15"/>
  <c r="B13191" i="15"/>
  <c r="H13190" i="15"/>
  <c r="B13190" i="15"/>
  <c r="H13189" i="15"/>
  <c r="B13189" i="15"/>
  <c r="H13188" i="15"/>
  <c r="B13188" i="15"/>
  <c r="H13187" i="15"/>
  <c r="B13187" i="15"/>
  <c r="H13186" i="15"/>
  <c r="B13186" i="15"/>
  <c r="H13185" i="15"/>
  <c r="B13185" i="15"/>
  <c r="H13184" i="15"/>
  <c r="B13184" i="15"/>
  <c r="H13183" i="15"/>
  <c r="B13183" i="15"/>
  <c r="H13182" i="15"/>
  <c r="B13182" i="15"/>
  <c r="H13181" i="15"/>
  <c r="B13181" i="15"/>
  <c r="H13180" i="15"/>
  <c r="B13180" i="15"/>
  <c r="H13179" i="15"/>
  <c r="B13179" i="15"/>
  <c r="H13178" i="15"/>
  <c r="B13178" i="15"/>
  <c r="H13177" i="15"/>
  <c r="B13177" i="15"/>
  <c r="H13176" i="15"/>
  <c r="B13176" i="15"/>
  <c r="H13175" i="15"/>
  <c r="B13175" i="15"/>
  <c r="H13174" i="15"/>
  <c r="B13174" i="15"/>
  <c r="H13173" i="15"/>
  <c r="B13173" i="15"/>
  <c r="H13172" i="15"/>
  <c r="B13172" i="15"/>
  <c r="H13171" i="15"/>
  <c r="B13171" i="15"/>
  <c r="H13170" i="15"/>
  <c r="B13170" i="15"/>
  <c r="H13169" i="15"/>
  <c r="B13169" i="15"/>
  <c r="H13168" i="15"/>
  <c r="B13168" i="15"/>
  <c r="H13167" i="15"/>
  <c r="B13167" i="15"/>
  <c r="H13166" i="15"/>
  <c r="B13166" i="15"/>
  <c r="H13165" i="15"/>
  <c r="B13165" i="15"/>
  <c r="H13164" i="15"/>
  <c r="B13164" i="15"/>
  <c r="H13163" i="15"/>
  <c r="B13163" i="15"/>
  <c r="H13162" i="15"/>
  <c r="B13162" i="15"/>
  <c r="H13161" i="15"/>
  <c r="B13161" i="15"/>
  <c r="H13160" i="15"/>
  <c r="B13160" i="15"/>
  <c r="H13159" i="15"/>
  <c r="B13159" i="15"/>
  <c r="H13158" i="15"/>
  <c r="B13158" i="15"/>
  <c r="H13157" i="15"/>
  <c r="B13157" i="15"/>
  <c r="H13156" i="15"/>
  <c r="B13156" i="15"/>
  <c r="H13155" i="15"/>
  <c r="B13155" i="15"/>
  <c r="H13154" i="15"/>
  <c r="B13154" i="15"/>
  <c r="H13153" i="15"/>
  <c r="B13153" i="15"/>
  <c r="H13152" i="15"/>
  <c r="B13152" i="15"/>
  <c r="H13151" i="15"/>
  <c r="B13151" i="15"/>
  <c r="H13150" i="15"/>
  <c r="B13150" i="15"/>
  <c r="H13149" i="15"/>
  <c r="B13149" i="15"/>
  <c r="H13148" i="15"/>
  <c r="B13148" i="15"/>
  <c r="H13147" i="15"/>
  <c r="B13147" i="15"/>
  <c r="H13146" i="15"/>
  <c r="B13146" i="15"/>
  <c r="H13145" i="15"/>
  <c r="B13145" i="15"/>
  <c r="H13144" i="15"/>
  <c r="B13144" i="15"/>
  <c r="H13143" i="15"/>
  <c r="B13143" i="15"/>
  <c r="H13142" i="15"/>
  <c r="B13142" i="15"/>
  <c r="H13141" i="15"/>
  <c r="B13141" i="15"/>
  <c r="H13140" i="15"/>
  <c r="B13140" i="15"/>
  <c r="H13139" i="15"/>
  <c r="B13139" i="15"/>
  <c r="H13138" i="15"/>
  <c r="B13138" i="15"/>
  <c r="H13137" i="15"/>
  <c r="B13137" i="15"/>
  <c r="H13136" i="15"/>
  <c r="B13136" i="15"/>
  <c r="H13135" i="15"/>
  <c r="B13135" i="15"/>
  <c r="H13134" i="15"/>
  <c r="B13134" i="15"/>
  <c r="H13133" i="15"/>
  <c r="B13133" i="15"/>
  <c r="H13132" i="15"/>
  <c r="B13132" i="15"/>
  <c r="H13131" i="15"/>
  <c r="B13131" i="15"/>
  <c r="H13130" i="15"/>
  <c r="B13130" i="15"/>
  <c r="H13129" i="15"/>
  <c r="B13129" i="15"/>
  <c r="H13128" i="15"/>
  <c r="B13128" i="15"/>
  <c r="H13127" i="15"/>
  <c r="B13127" i="15"/>
  <c r="H13126" i="15"/>
  <c r="B13126" i="15"/>
  <c r="H13125" i="15"/>
  <c r="B13125" i="15"/>
  <c r="H13124" i="15"/>
  <c r="B13124" i="15"/>
  <c r="H13123" i="15"/>
  <c r="B13123" i="15"/>
  <c r="H13122" i="15"/>
  <c r="B13122" i="15"/>
  <c r="H13121" i="15"/>
  <c r="B13121" i="15"/>
  <c r="H13120" i="15"/>
  <c r="B13120" i="15"/>
  <c r="H13119" i="15"/>
  <c r="B13119" i="15"/>
  <c r="H13118" i="15"/>
  <c r="B13118" i="15"/>
  <c r="H13117" i="15"/>
  <c r="B13117" i="15"/>
  <c r="H13116" i="15"/>
  <c r="B13116" i="15"/>
  <c r="H13115" i="15"/>
  <c r="B13115" i="15"/>
  <c r="H13114" i="15"/>
  <c r="B13114" i="15"/>
  <c r="H13113" i="15"/>
  <c r="B13113" i="15"/>
  <c r="H13112" i="15"/>
  <c r="B13112" i="15"/>
  <c r="H13111" i="15"/>
  <c r="B13111" i="15"/>
  <c r="H13110" i="15"/>
  <c r="B13110" i="15"/>
  <c r="H13109" i="15"/>
  <c r="B13109" i="15"/>
  <c r="H13108" i="15"/>
  <c r="B13108" i="15"/>
  <c r="H13107" i="15"/>
  <c r="B13107" i="15"/>
  <c r="H13106" i="15"/>
  <c r="B13106" i="15"/>
  <c r="H13105" i="15"/>
  <c r="B13105" i="15"/>
  <c r="H13104" i="15"/>
  <c r="B13104" i="15"/>
  <c r="H13103" i="15"/>
  <c r="B13103" i="15"/>
  <c r="H13102" i="15"/>
  <c r="B13102" i="15"/>
  <c r="H13101" i="15"/>
  <c r="B13101" i="15"/>
  <c r="H13100" i="15"/>
  <c r="B13100" i="15"/>
  <c r="H13099" i="15"/>
  <c r="B13099" i="15"/>
  <c r="H13098" i="15"/>
  <c r="B13098" i="15"/>
  <c r="H13097" i="15"/>
  <c r="B13097" i="15"/>
  <c r="H13096" i="15"/>
  <c r="B13096" i="15"/>
  <c r="H13095" i="15"/>
  <c r="B13095" i="15"/>
  <c r="H13094" i="15"/>
  <c r="B13094" i="15"/>
  <c r="H13093" i="15"/>
  <c r="B13093" i="15"/>
  <c r="H13092" i="15"/>
  <c r="B13092" i="15"/>
  <c r="H13091" i="15"/>
  <c r="B13091" i="15"/>
  <c r="H13090" i="15"/>
  <c r="B13090" i="15"/>
  <c r="H13089" i="15"/>
  <c r="B13089" i="15"/>
  <c r="H13088" i="15"/>
  <c r="B13088" i="15"/>
  <c r="H13087" i="15"/>
  <c r="B13087" i="15"/>
  <c r="H13086" i="15"/>
  <c r="B13086" i="15"/>
  <c r="H13085" i="15"/>
  <c r="B13085" i="15"/>
  <c r="H13084" i="15"/>
  <c r="B13084" i="15"/>
  <c r="H13083" i="15"/>
  <c r="B13083" i="15"/>
  <c r="H13082" i="15"/>
  <c r="B13082" i="15"/>
  <c r="H13081" i="15"/>
  <c r="B13081" i="15"/>
  <c r="H13080" i="15"/>
  <c r="B13080" i="15"/>
  <c r="H13079" i="15"/>
  <c r="B13079" i="15"/>
  <c r="H13078" i="15"/>
  <c r="B13078" i="15"/>
  <c r="H13077" i="15"/>
  <c r="B13077" i="15"/>
  <c r="H13076" i="15"/>
  <c r="B13076" i="15"/>
  <c r="H13075" i="15"/>
  <c r="B13075" i="15"/>
  <c r="H13074" i="15"/>
  <c r="B13074" i="15"/>
  <c r="H13073" i="15"/>
  <c r="B13073" i="15"/>
  <c r="H13072" i="15"/>
  <c r="B13072" i="15"/>
  <c r="H13071" i="15"/>
  <c r="B13071" i="15"/>
  <c r="H13070" i="15"/>
  <c r="B13070" i="15"/>
  <c r="H13069" i="15"/>
  <c r="B13069" i="15"/>
  <c r="H13068" i="15"/>
  <c r="B13068" i="15"/>
  <c r="H13067" i="15"/>
  <c r="B13067" i="15"/>
  <c r="H13066" i="15"/>
  <c r="B13066" i="15"/>
  <c r="H13065" i="15"/>
  <c r="B13065" i="15"/>
  <c r="H13064" i="15"/>
  <c r="B13064" i="15"/>
  <c r="H13063" i="15"/>
  <c r="B13063" i="15"/>
  <c r="H13062" i="15"/>
  <c r="B13062" i="15"/>
  <c r="H13061" i="15"/>
  <c r="B13061" i="15"/>
  <c r="H13060" i="15"/>
  <c r="B13060" i="15"/>
  <c r="H13059" i="15"/>
  <c r="B13059" i="15"/>
  <c r="H13058" i="15"/>
  <c r="B13058" i="15"/>
  <c r="H13057" i="15"/>
  <c r="B13057" i="15"/>
  <c r="H13056" i="15"/>
  <c r="B13056" i="15"/>
  <c r="H13055" i="15"/>
  <c r="B13055" i="15"/>
  <c r="H13054" i="15"/>
  <c r="B13054" i="15"/>
  <c r="H13053" i="15"/>
  <c r="B13053" i="15"/>
  <c r="H13052" i="15"/>
  <c r="B13052" i="15"/>
  <c r="H13051" i="15"/>
  <c r="B13051" i="15"/>
  <c r="H13050" i="15"/>
  <c r="B13050" i="15"/>
  <c r="H13049" i="15"/>
  <c r="B13049" i="15"/>
  <c r="H13048" i="15"/>
  <c r="B13048" i="15"/>
  <c r="H13047" i="15"/>
  <c r="B13047" i="15"/>
  <c r="H13046" i="15"/>
  <c r="B13046" i="15"/>
  <c r="H13045" i="15"/>
  <c r="B13045" i="15"/>
  <c r="H13044" i="15"/>
  <c r="B13044" i="15"/>
  <c r="H13043" i="15"/>
  <c r="B13043" i="15"/>
  <c r="H13042" i="15"/>
  <c r="B13042" i="15"/>
  <c r="H13041" i="15"/>
  <c r="B13041" i="15"/>
  <c r="H13040" i="15"/>
  <c r="B13040" i="15"/>
  <c r="H13039" i="15"/>
  <c r="B13039" i="15"/>
  <c r="H13038" i="15"/>
  <c r="B13038" i="15"/>
  <c r="H13037" i="15"/>
  <c r="B13037" i="15"/>
  <c r="H13036" i="15"/>
  <c r="B13036" i="15"/>
  <c r="H13035" i="15"/>
  <c r="B13035" i="15"/>
  <c r="H13034" i="15"/>
  <c r="B13034" i="15"/>
  <c r="H13033" i="15"/>
  <c r="B13033" i="15"/>
  <c r="H13032" i="15"/>
  <c r="B13032" i="15"/>
  <c r="H13031" i="15"/>
  <c r="B13031" i="15"/>
  <c r="H13030" i="15"/>
  <c r="B13030" i="15"/>
  <c r="H13029" i="15"/>
  <c r="B13029" i="15"/>
  <c r="H13028" i="15"/>
  <c r="B13028" i="15"/>
  <c r="H13027" i="15"/>
  <c r="B13027" i="15"/>
  <c r="H13026" i="15"/>
  <c r="B13026" i="15"/>
  <c r="H13025" i="15"/>
  <c r="B13025" i="15"/>
  <c r="H13024" i="15"/>
  <c r="B13024" i="15"/>
  <c r="H13023" i="15"/>
  <c r="B13023" i="15"/>
  <c r="H13022" i="15"/>
  <c r="B13022" i="15"/>
  <c r="H13021" i="15"/>
  <c r="B13021" i="15"/>
  <c r="H13020" i="15"/>
  <c r="B13020" i="15"/>
  <c r="H13019" i="15"/>
  <c r="B13019" i="15"/>
  <c r="H13018" i="15"/>
  <c r="B13018" i="15"/>
  <c r="H13017" i="15"/>
  <c r="B13017" i="15"/>
  <c r="H13016" i="15"/>
  <c r="B13016" i="15"/>
  <c r="H13015" i="15"/>
  <c r="B13015" i="15"/>
  <c r="H13014" i="15"/>
  <c r="B13014" i="15"/>
  <c r="H13013" i="15"/>
  <c r="B13013" i="15"/>
  <c r="H13012" i="15"/>
  <c r="B13012" i="15"/>
  <c r="H13011" i="15"/>
  <c r="B13011" i="15"/>
  <c r="H13010" i="15"/>
  <c r="B13010" i="15"/>
  <c r="H13009" i="15"/>
  <c r="B13009" i="15"/>
  <c r="H13008" i="15"/>
  <c r="B13008" i="15"/>
  <c r="H13007" i="15"/>
  <c r="B13007" i="15"/>
  <c r="H13006" i="15"/>
  <c r="B13006" i="15"/>
  <c r="H13005" i="15"/>
  <c r="B13005" i="15"/>
  <c r="H13004" i="15"/>
  <c r="B13004" i="15"/>
  <c r="H13003" i="15"/>
  <c r="B13003" i="15"/>
  <c r="H13002" i="15"/>
  <c r="B13002" i="15"/>
  <c r="H13001" i="15"/>
  <c r="B13001" i="15"/>
  <c r="H13000" i="15"/>
  <c r="B13000" i="15"/>
  <c r="H12999" i="15"/>
  <c r="B12999" i="15"/>
  <c r="H12998" i="15"/>
  <c r="B12998" i="15"/>
  <c r="H12997" i="15"/>
  <c r="B12997" i="15"/>
  <c r="H12996" i="15"/>
  <c r="B12996" i="15"/>
  <c r="H12995" i="15"/>
  <c r="B12995" i="15"/>
  <c r="H12994" i="15"/>
  <c r="B12994" i="15"/>
  <c r="H12993" i="15"/>
  <c r="B12993" i="15"/>
  <c r="H12992" i="15"/>
  <c r="B12992" i="15"/>
  <c r="H12991" i="15"/>
  <c r="B12991" i="15"/>
  <c r="H12990" i="15"/>
  <c r="B12990" i="15"/>
  <c r="H12989" i="15"/>
  <c r="B12989" i="15"/>
  <c r="H12988" i="15"/>
  <c r="B12988" i="15"/>
  <c r="H12987" i="15"/>
  <c r="B12987" i="15"/>
  <c r="H12986" i="15"/>
  <c r="B12986" i="15"/>
  <c r="H12985" i="15"/>
  <c r="B12985" i="15"/>
  <c r="H12984" i="15"/>
  <c r="B12984" i="15"/>
  <c r="H12983" i="15"/>
  <c r="B12983" i="15"/>
  <c r="H12982" i="15"/>
  <c r="B12982" i="15"/>
  <c r="H12981" i="15"/>
  <c r="B12981" i="15"/>
  <c r="H12980" i="15"/>
  <c r="B12980" i="15"/>
  <c r="H12979" i="15"/>
  <c r="B12979" i="15"/>
  <c r="H12978" i="15"/>
  <c r="B12978" i="15"/>
  <c r="H12977" i="15"/>
  <c r="B12977" i="15"/>
  <c r="H12976" i="15"/>
  <c r="B12976" i="15"/>
  <c r="H12975" i="15"/>
  <c r="B12975" i="15"/>
  <c r="H12974" i="15"/>
  <c r="B12974" i="15"/>
  <c r="H12973" i="15"/>
  <c r="B12973" i="15"/>
  <c r="H12972" i="15"/>
  <c r="B12972" i="15"/>
  <c r="H12971" i="15"/>
  <c r="B12971" i="15"/>
  <c r="H12970" i="15"/>
  <c r="B12970" i="15"/>
  <c r="H12969" i="15"/>
  <c r="B12969" i="15"/>
  <c r="H12968" i="15"/>
  <c r="B12968" i="15"/>
  <c r="H12967" i="15"/>
  <c r="B12967" i="15"/>
  <c r="H12966" i="15"/>
  <c r="B12966" i="15"/>
  <c r="H12965" i="15"/>
  <c r="B12965" i="15"/>
  <c r="H12964" i="15"/>
  <c r="B12964" i="15"/>
  <c r="H12963" i="15"/>
  <c r="B12963" i="15"/>
  <c r="H12962" i="15"/>
  <c r="B12962" i="15"/>
  <c r="H12961" i="15"/>
  <c r="B12961" i="15"/>
  <c r="H12960" i="15"/>
  <c r="B12960" i="15"/>
  <c r="H12959" i="15"/>
  <c r="B12959" i="15"/>
  <c r="H12958" i="15"/>
  <c r="B12958" i="15"/>
  <c r="H12957" i="15"/>
  <c r="B12957" i="15"/>
  <c r="H12956" i="15"/>
  <c r="B12956" i="15"/>
  <c r="H12955" i="15"/>
  <c r="B12955" i="15"/>
  <c r="H12954" i="15"/>
  <c r="B12954" i="15"/>
  <c r="H12953" i="15"/>
  <c r="B12953" i="15"/>
  <c r="H12952" i="15"/>
  <c r="B12952" i="15"/>
  <c r="H12951" i="15"/>
  <c r="B12951" i="15"/>
  <c r="H12950" i="15"/>
  <c r="B12950" i="15"/>
  <c r="H12949" i="15"/>
  <c r="B12949" i="15"/>
  <c r="H12948" i="15"/>
  <c r="B12948" i="15"/>
  <c r="H12947" i="15"/>
  <c r="B12947" i="15"/>
  <c r="H12946" i="15"/>
  <c r="B12946" i="15"/>
  <c r="H12945" i="15"/>
  <c r="B12945" i="15"/>
  <c r="H12944" i="15"/>
  <c r="B12944" i="15"/>
  <c r="H12943" i="15"/>
  <c r="B12943" i="15"/>
  <c r="H12942" i="15"/>
  <c r="B12942" i="15"/>
  <c r="H12941" i="15"/>
  <c r="B12941" i="15"/>
  <c r="H12940" i="15"/>
  <c r="B12940" i="15"/>
  <c r="H12939" i="15"/>
  <c r="B12939" i="15"/>
  <c r="H12938" i="15"/>
  <c r="B12938" i="15"/>
  <c r="H12937" i="15"/>
  <c r="B12937" i="15"/>
  <c r="H12936" i="15"/>
  <c r="B12936" i="15"/>
  <c r="H12935" i="15"/>
  <c r="B12935" i="15"/>
  <c r="H12934" i="15"/>
  <c r="B12934" i="15"/>
  <c r="H12933" i="15"/>
  <c r="B12933" i="15"/>
  <c r="H12932" i="15"/>
  <c r="B12932" i="15"/>
  <c r="H12931" i="15"/>
  <c r="B12931" i="15"/>
  <c r="H12930" i="15"/>
  <c r="B12930" i="15"/>
  <c r="H12929" i="15"/>
  <c r="B12929" i="15"/>
  <c r="H12928" i="15"/>
  <c r="B12928" i="15"/>
  <c r="H12927" i="15"/>
  <c r="B12927" i="15"/>
  <c r="H12926" i="15"/>
  <c r="B12926" i="15"/>
  <c r="H12925" i="15"/>
  <c r="B12925" i="15"/>
  <c r="H12924" i="15"/>
  <c r="B12924" i="15"/>
  <c r="H12923" i="15"/>
  <c r="B12923" i="15"/>
  <c r="H12922" i="15"/>
  <c r="B12922" i="15"/>
  <c r="H12921" i="15"/>
  <c r="B12921" i="15"/>
  <c r="H12920" i="15"/>
  <c r="B12920" i="15"/>
  <c r="H12919" i="15"/>
  <c r="B12919" i="15"/>
  <c r="H12918" i="15"/>
  <c r="B12918" i="15"/>
  <c r="H12917" i="15"/>
  <c r="B12917" i="15"/>
  <c r="H12916" i="15"/>
  <c r="B12916" i="15"/>
  <c r="H12915" i="15"/>
  <c r="B12915" i="15"/>
  <c r="H12914" i="15"/>
  <c r="B12914" i="15"/>
  <c r="H12913" i="15"/>
  <c r="B12913" i="15"/>
  <c r="H12912" i="15"/>
  <c r="B12912" i="15"/>
  <c r="H12911" i="15"/>
  <c r="B12911" i="15"/>
  <c r="H12910" i="15"/>
  <c r="B12910" i="15"/>
  <c r="H12909" i="15"/>
  <c r="B12909" i="15"/>
  <c r="H12908" i="15"/>
  <c r="B12908" i="15"/>
  <c r="H12907" i="15"/>
  <c r="B12907" i="15"/>
  <c r="H12906" i="15"/>
  <c r="B12906" i="15"/>
  <c r="H12905" i="15"/>
  <c r="B12905" i="15"/>
  <c r="H12904" i="15"/>
  <c r="B12904" i="15"/>
  <c r="H12903" i="15"/>
  <c r="B12903" i="15"/>
  <c r="H12902" i="15"/>
  <c r="B12902" i="15"/>
  <c r="H12901" i="15"/>
  <c r="B12901" i="15"/>
  <c r="H12900" i="15"/>
  <c r="B12900" i="15"/>
  <c r="H12899" i="15"/>
  <c r="B12899" i="15"/>
  <c r="H12898" i="15"/>
  <c r="B12898" i="15"/>
  <c r="H12897" i="15"/>
  <c r="B12897" i="15"/>
  <c r="H12896" i="15"/>
  <c r="B12896" i="15"/>
  <c r="H12895" i="15"/>
  <c r="B12895" i="15"/>
  <c r="H12894" i="15"/>
  <c r="B12894" i="15"/>
  <c r="H12893" i="15"/>
  <c r="B12893" i="15"/>
  <c r="H12892" i="15"/>
  <c r="B12892" i="15"/>
  <c r="H12891" i="15"/>
  <c r="B12891" i="15"/>
  <c r="H12890" i="15"/>
  <c r="B12890" i="15"/>
  <c r="H12889" i="15"/>
  <c r="B12889" i="15"/>
  <c r="H12888" i="15"/>
  <c r="B12888" i="15"/>
  <c r="H12887" i="15"/>
  <c r="B12887" i="15"/>
  <c r="H12886" i="15"/>
  <c r="B12886" i="15"/>
  <c r="H12885" i="15"/>
  <c r="B12885" i="15"/>
  <c r="H12884" i="15"/>
  <c r="B12884" i="15"/>
  <c r="H12883" i="15"/>
  <c r="B12883" i="15"/>
  <c r="H12882" i="15"/>
  <c r="B12882" i="15"/>
  <c r="H12881" i="15"/>
  <c r="B12881" i="15"/>
  <c r="H12880" i="15"/>
  <c r="B12880" i="15"/>
  <c r="H12879" i="15"/>
  <c r="B12879" i="15"/>
  <c r="H12878" i="15"/>
  <c r="B12878" i="15"/>
  <c r="H12877" i="15"/>
  <c r="B12877" i="15"/>
  <c r="H12876" i="15"/>
  <c r="B12876" i="15"/>
  <c r="H12875" i="15"/>
  <c r="B12875" i="15"/>
  <c r="H12874" i="15"/>
  <c r="B12874" i="15"/>
  <c r="H12873" i="15"/>
  <c r="B12873" i="15"/>
  <c r="H12872" i="15"/>
  <c r="B12872" i="15"/>
  <c r="H12871" i="15"/>
  <c r="B12871" i="15"/>
  <c r="H12870" i="15"/>
  <c r="B12870" i="15"/>
  <c r="H12869" i="15"/>
  <c r="B12869" i="15"/>
  <c r="H12868" i="15"/>
  <c r="B12868" i="15"/>
  <c r="H12867" i="15"/>
  <c r="B12867" i="15"/>
  <c r="H12866" i="15"/>
  <c r="B12866" i="15"/>
  <c r="H12865" i="15"/>
  <c r="B12865" i="15"/>
  <c r="H12864" i="15"/>
  <c r="B12864" i="15"/>
  <c r="H12863" i="15"/>
  <c r="B12863" i="15"/>
  <c r="H12862" i="15"/>
  <c r="B12862" i="15"/>
  <c r="H12861" i="15"/>
  <c r="B12861" i="15"/>
  <c r="H12860" i="15"/>
  <c r="B12860" i="15"/>
  <c r="H12859" i="15"/>
  <c r="B12859" i="15"/>
  <c r="H12858" i="15"/>
  <c r="B12858" i="15"/>
  <c r="H12857" i="15"/>
  <c r="B12857" i="15"/>
  <c r="H12856" i="15"/>
  <c r="B12856" i="15"/>
  <c r="H12855" i="15"/>
  <c r="B12855" i="15"/>
  <c r="H12854" i="15"/>
  <c r="B12854" i="15"/>
  <c r="H12853" i="15"/>
  <c r="B12853" i="15"/>
  <c r="H12852" i="15"/>
  <c r="B12852" i="15"/>
  <c r="H12851" i="15"/>
  <c r="B12851" i="15"/>
  <c r="H12850" i="15"/>
  <c r="B12850" i="15"/>
  <c r="H12849" i="15"/>
  <c r="B12849" i="15"/>
  <c r="H12848" i="15"/>
  <c r="B12848" i="15"/>
  <c r="H12847" i="15"/>
  <c r="B12847" i="15"/>
  <c r="H12846" i="15"/>
  <c r="B12846" i="15"/>
  <c r="H12845" i="15"/>
  <c r="B12845" i="15"/>
  <c r="H12844" i="15"/>
  <c r="B12844" i="15"/>
  <c r="H12843" i="15"/>
  <c r="B12843" i="15"/>
  <c r="H12842" i="15"/>
  <c r="B12842" i="15"/>
  <c r="H12841" i="15"/>
  <c r="B12841" i="15"/>
  <c r="H12840" i="15"/>
  <c r="B12840" i="15"/>
  <c r="H12839" i="15"/>
  <c r="B12839" i="15"/>
  <c r="H12838" i="15"/>
  <c r="B12838" i="15"/>
  <c r="H12837" i="15"/>
  <c r="B12837" i="15"/>
  <c r="H12836" i="15"/>
  <c r="B12836" i="15"/>
  <c r="H12835" i="15"/>
  <c r="B12835" i="15"/>
  <c r="H12834" i="15"/>
  <c r="B12834" i="15"/>
  <c r="H12833" i="15"/>
  <c r="B12833" i="15"/>
  <c r="H12832" i="15"/>
  <c r="B12832" i="15"/>
  <c r="H12831" i="15"/>
  <c r="B12831" i="15"/>
  <c r="H12830" i="15"/>
  <c r="B12830" i="15"/>
  <c r="H12829" i="15"/>
  <c r="B12829" i="15"/>
  <c r="H12828" i="15"/>
  <c r="B12828" i="15"/>
  <c r="H12827" i="15"/>
  <c r="B12827" i="15"/>
  <c r="H12826" i="15"/>
  <c r="B12826" i="15"/>
  <c r="H12825" i="15"/>
  <c r="B12825" i="15"/>
  <c r="H12824" i="15"/>
  <c r="B12824" i="15"/>
  <c r="H12823" i="15"/>
  <c r="B12823" i="15"/>
  <c r="H12822" i="15"/>
  <c r="B12822" i="15"/>
  <c r="H12821" i="15"/>
  <c r="B12821" i="15"/>
  <c r="H12820" i="15"/>
  <c r="B12820" i="15"/>
  <c r="H12819" i="15"/>
  <c r="B12819" i="15"/>
  <c r="H12818" i="15"/>
  <c r="B12818" i="15"/>
  <c r="H12817" i="15"/>
  <c r="B12817" i="15"/>
  <c r="H12816" i="15"/>
  <c r="B12816" i="15"/>
  <c r="H12815" i="15"/>
  <c r="B12815" i="15"/>
  <c r="H12814" i="15"/>
  <c r="B12814" i="15"/>
  <c r="H12813" i="15"/>
  <c r="B12813" i="15"/>
  <c r="H12812" i="15"/>
  <c r="B12812" i="15"/>
  <c r="H12811" i="15"/>
  <c r="B12811" i="15"/>
  <c r="H12810" i="15"/>
  <c r="B12810" i="15"/>
  <c r="H12809" i="15"/>
  <c r="B12809" i="15"/>
  <c r="H12808" i="15"/>
  <c r="B12808" i="15"/>
  <c r="H12807" i="15"/>
  <c r="B12807" i="15"/>
  <c r="H12806" i="15"/>
  <c r="B12806" i="15"/>
  <c r="H12805" i="15"/>
  <c r="B12805" i="15"/>
  <c r="H12804" i="15"/>
  <c r="B12804" i="15"/>
  <c r="H12803" i="15"/>
  <c r="B12803" i="15"/>
  <c r="H12802" i="15"/>
  <c r="B12802" i="15"/>
  <c r="H12801" i="15"/>
  <c r="B12801" i="15"/>
  <c r="H12800" i="15"/>
  <c r="B12800" i="15"/>
  <c r="H12799" i="15"/>
  <c r="B12799" i="15"/>
  <c r="H12798" i="15"/>
  <c r="B12798" i="15"/>
  <c r="H12797" i="15"/>
  <c r="B12797" i="15"/>
  <c r="H12796" i="15"/>
  <c r="B12796" i="15"/>
  <c r="H12795" i="15"/>
  <c r="B12795" i="15"/>
  <c r="H12794" i="15"/>
  <c r="B12794" i="15"/>
  <c r="H12793" i="15"/>
  <c r="B12793" i="15"/>
  <c r="H12792" i="15"/>
  <c r="B12792" i="15"/>
  <c r="H12791" i="15"/>
  <c r="B12791" i="15"/>
  <c r="H12790" i="15"/>
  <c r="B12790" i="15"/>
  <c r="H12789" i="15"/>
  <c r="B12789" i="15"/>
  <c r="H12788" i="15"/>
  <c r="B12788" i="15"/>
  <c r="H12787" i="15"/>
  <c r="B12787" i="15"/>
  <c r="H12786" i="15"/>
  <c r="B12786" i="15"/>
  <c r="H12785" i="15"/>
  <c r="B12785" i="15"/>
  <c r="H12784" i="15"/>
  <c r="B12784" i="15"/>
  <c r="H12783" i="15"/>
  <c r="B12783" i="15"/>
  <c r="H12782" i="15"/>
  <c r="B12782" i="15"/>
  <c r="H12781" i="15"/>
  <c r="B12781" i="15"/>
  <c r="H12780" i="15"/>
  <c r="B12780" i="15"/>
  <c r="H12779" i="15"/>
  <c r="B12779" i="15"/>
  <c r="H12778" i="15"/>
  <c r="B12778" i="15"/>
  <c r="H12777" i="15"/>
  <c r="B12777" i="15"/>
  <c r="H12776" i="15"/>
  <c r="B12776" i="15"/>
  <c r="H12775" i="15"/>
  <c r="B12775" i="15"/>
  <c r="H12774" i="15"/>
  <c r="B12774" i="15"/>
  <c r="H12773" i="15"/>
  <c r="B12773" i="15"/>
  <c r="H12772" i="15"/>
  <c r="B12772" i="15"/>
  <c r="H12771" i="15"/>
  <c r="B12771" i="15"/>
  <c r="H12770" i="15"/>
  <c r="B12770" i="15"/>
  <c r="H12769" i="15"/>
  <c r="B12769" i="15"/>
  <c r="H12768" i="15"/>
  <c r="B12768" i="15"/>
  <c r="H12767" i="15"/>
  <c r="B12767" i="15"/>
  <c r="H12766" i="15"/>
  <c r="B12766" i="15"/>
  <c r="H12765" i="15"/>
  <c r="B12765" i="15"/>
  <c r="H12764" i="15"/>
  <c r="B12764" i="15"/>
  <c r="H12763" i="15"/>
  <c r="B12763" i="15"/>
  <c r="H12762" i="15"/>
  <c r="B12762" i="15"/>
  <c r="H12761" i="15"/>
  <c r="B12761" i="15"/>
  <c r="H12760" i="15"/>
  <c r="B12760" i="15"/>
  <c r="H12759" i="15"/>
  <c r="B12759" i="15"/>
  <c r="H12758" i="15"/>
  <c r="B12758" i="15"/>
  <c r="H12757" i="15"/>
  <c r="B12757" i="15"/>
  <c r="H12756" i="15"/>
  <c r="B12756" i="15"/>
  <c r="H12755" i="15"/>
  <c r="B12755" i="15"/>
  <c r="H12754" i="15"/>
  <c r="B12754" i="15"/>
  <c r="H12753" i="15"/>
  <c r="B12753" i="15"/>
  <c r="H12752" i="15"/>
  <c r="B12752" i="15"/>
  <c r="H12751" i="15"/>
  <c r="B12751" i="15"/>
  <c r="H12750" i="15"/>
  <c r="B12750" i="15"/>
  <c r="H12749" i="15"/>
  <c r="B12749" i="15"/>
  <c r="H12748" i="15"/>
  <c r="B12748" i="15"/>
  <c r="H12747" i="15"/>
  <c r="B12747" i="15"/>
  <c r="H12746" i="15"/>
  <c r="B12746" i="15"/>
  <c r="H12745" i="15"/>
  <c r="B12745" i="15"/>
  <c r="H12744" i="15"/>
  <c r="B12744" i="15"/>
  <c r="H12743" i="15"/>
  <c r="B12743" i="15"/>
  <c r="H12742" i="15"/>
  <c r="B12742" i="15"/>
  <c r="H12741" i="15"/>
  <c r="B12741" i="15"/>
  <c r="H12740" i="15"/>
  <c r="B12740" i="15"/>
  <c r="H12739" i="15"/>
  <c r="B12739" i="15"/>
  <c r="H12738" i="15"/>
  <c r="B12738" i="15"/>
  <c r="H12737" i="15"/>
  <c r="B12737" i="15"/>
  <c r="H12736" i="15"/>
  <c r="B12736" i="15"/>
  <c r="H12735" i="15"/>
  <c r="B12735" i="15"/>
  <c r="H12734" i="15"/>
  <c r="B12734" i="15"/>
  <c r="H12733" i="15"/>
  <c r="B12733" i="15"/>
  <c r="H12732" i="15"/>
  <c r="B12732" i="15"/>
  <c r="H12731" i="15"/>
  <c r="B12731" i="15"/>
  <c r="H12730" i="15"/>
  <c r="B12730" i="15"/>
  <c r="H12729" i="15"/>
  <c r="B12729" i="15"/>
  <c r="H12728" i="15"/>
  <c r="B12728" i="15"/>
  <c r="H12727" i="15"/>
  <c r="B12727" i="15"/>
  <c r="H12726" i="15"/>
  <c r="B12726" i="15"/>
  <c r="H12725" i="15"/>
  <c r="B12725" i="15"/>
  <c r="H12724" i="15"/>
  <c r="B12724" i="15"/>
  <c r="H12723" i="15"/>
  <c r="B12723" i="15"/>
  <c r="H12722" i="15"/>
  <c r="B12722" i="15"/>
  <c r="H12721" i="15"/>
  <c r="B12721" i="15"/>
  <c r="H12720" i="15"/>
  <c r="B12720" i="15"/>
  <c r="H12719" i="15"/>
  <c r="B12719" i="15"/>
  <c r="H12718" i="15"/>
  <c r="B12718" i="15"/>
  <c r="H12717" i="15"/>
  <c r="B12717" i="15"/>
  <c r="H12716" i="15"/>
  <c r="B12716" i="15"/>
  <c r="H12715" i="15"/>
  <c r="B12715" i="15"/>
  <c r="H12714" i="15"/>
  <c r="B12714" i="15"/>
  <c r="H12713" i="15"/>
  <c r="B12713" i="15"/>
  <c r="H12712" i="15"/>
  <c r="B12712" i="15"/>
  <c r="H12711" i="15"/>
  <c r="B12711" i="15"/>
  <c r="H12710" i="15"/>
  <c r="B12710" i="15"/>
  <c r="H12709" i="15"/>
  <c r="B12709" i="15"/>
  <c r="H12708" i="15"/>
  <c r="B12708" i="15"/>
  <c r="H12707" i="15"/>
  <c r="B12707" i="15"/>
  <c r="H12706" i="15"/>
  <c r="B12706" i="15"/>
  <c r="H12705" i="15"/>
  <c r="B12705" i="15"/>
  <c r="H12704" i="15"/>
  <c r="B12704" i="15"/>
  <c r="H12703" i="15"/>
  <c r="B12703" i="15"/>
  <c r="H12702" i="15"/>
  <c r="B12702" i="15"/>
  <c r="H12701" i="15"/>
  <c r="B12701" i="15"/>
  <c r="H12700" i="15"/>
  <c r="B12700" i="15"/>
  <c r="H12699" i="15"/>
  <c r="B12699" i="15"/>
  <c r="H12698" i="15"/>
  <c r="B12698" i="15"/>
  <c r="H12697" i="15"/>
  <c r="B12697" i="15"/>
  <c r="H12696" i="15"/>
  <c r="B12696" i="15"/>
  <c r="H12695" i="15"/>
  <c r="B12695" i="15"/>
  <c r="H12694" i="15"/>
  <c r="B12694" i="15"/>
  <c r="H12693" i="15"/>
  <c r="B12693" i="15"/>
  <c r="H12692" i="15"/>
  <c r="B12692" i="15"/>
  <c r="H12691" i="15"/>
  <c r="B12691" i="15"/>
  <c r="H12690" i="15"/>
  <c r="B12690" i="15"/>
  <c r="H12689" i="15"/>
  <c r="B12689" i="15"/>
  <c r="H12688" i="15"/>
  <c r="B12688" i="15"/>
  <c r="H12687" i="15"/>
  <c r="B12687" i="15"/>
  <c r="H12686" i="15"/>
  <c r="B12686" i="15"/>
  <c r="H12685" i="15"/>
  <c r="B12685" i="15"/>
  <c r="H12684" i="15"/>
  <c r="B12684" i="15"/>
  <c r="H12683" i="15"/>
  <c r="B12683" i="15"/>
  <c r="H12682" i="15"/>
  <c r="B12682" i="15"/>
  <c r="H12681" i="15"/>
  <c r="B12681" i="15"/>
  <c r="H12680" i="15"/>
  <c r="B12680" i="15"/>
  <c r="H12679" i="15"/>
  <c r="B12679" i="15"/>
  <c r="H12678" i="15"/>
  <c r="B12678" i="15"/>
  <c r="H12677" i="15"/>
  <c r="B12677" i="15"/>
  <c r="H12676" i="15"/>
  <c r="B12676" i="15"/>
  <c r="H12675" i="15"/>
  <c r="B12675" i="15"/>
  <c r="H12674" i="15"/>
  <c r="B12674" i="15"/>
  <c r="H12673" i="15"/>
  <c r="B12673" i="15"/>
  <c r="H12672" i="15"/>
  <c r="B12672" i="15"/>
  <c r="H12671" i="15"/>
  <c r="B12671" i="15"/>
  <c r="H12670" i="15"/>
  <c r="B12670" i="15"/>
  <c r="H12669" i="15"/>
  <c r="B12669" i="15"/>
  <c r="H12668" i="15"/>
  <c r="B12668" i="15"/>
  <c r="H12667" i="15"/>
  <c r="B12667" i="15"/>
  <c r="H12666" i="15"/>
  <c r="B12666" i="15"/>
  <c r="H12665" i="15"/>
  <c r="B12665" i="15"/>
  <c r="H12664" i="15"/>
  <c r="B12664" i="15"/>
  <c r="H12663" i="15"/>
  <c r="B12663" i="15"/>
  <c r="H12662" i="15"/>
  <c r="B12662" i="15"/>
  <c r="H12661" i="15"/>
  <c r="B12661" i="15"/>
  <c r="H12660" i="15"/>
  <c r="B12660" i="15"/>
  <c r="H12659" i="15"/>
  <c r="B12659" i="15"/>
  <c r="H12658" i="15"/>
  <c r="B12658" i="15"/>
  <c r="H12657" i="15"/>
  <c r="B12657" i="15"/>
  <c r="H12656" i="15"/>
  <c r="B12656" i="15"/>
  <c r="H12655" i="15"/>
  <c r="B12655" i="15"/>
  <c r="H12654" i="15"/>
  <c r="B12654" i="15"/>
  <c r="H12653" i="15"/>
  <c r="B12653" i="15"/>
  <c r="H12652" i="15"/>
  <c r="B12652" i="15"/>
  <c r="H12651" i="15"/>
  <c r="B12651" i="15"/>
  <c r="H12650" i="15"/>
  <c r="B12650" i="15"/>
  <c r="H12649" i="15"/>
  <c r="B12649" i="15"/>
  <c r="H12648" i="15"/>
  <c r="B12648" i="15"/>
  <c r="H12647" i="15"/>
  <c r="B12647" i="15"/>
  <c r="H12646" i="15"/>
  <c r="B12646" i="15"/>
  <c r="H12645" i="15"/>
  <c r="B12645" i="15"/>
  <c r="H12644" i="15"/>
  <c r="B12644" i="15"/>
  <c r="H12643" i="15"/>
  <c r="B12643" i="15"/>
  <c r="H12642" i="15"/>
  <c r="B12642" i="15"/>
  <c r="H12641" i="15"/>
  <c r="B12641" i="15"/>
  <c r="H12640" i="15"/>
  <c r="B12640" i="15"/>
  <c r="H12639" i="15"/>
  <c r="B12639" i="15"/>
  <c r="H12638" i="15"/>
  <c r="B12638" i="15"/>
  <c r="H12637" i="15"/>
  <c r="B12637" i="15"/>
  <c r="H12636" i="15"/>
  <c r="B12636" i="15"/>
  <c r="H12635" i="15"/>
  <c r="B12635" i="15"/>
  <c r="H12634" i="15"/>
  <c r="B12634" i="15"/>
  <c r="H12633" i="15"/>
  <c r="B12633" i="15"/>
  <c r="H12632" i="15"/>
  <c r="B12632" i="15"/>
  <c r="H12631" i="15"/>
  <c r="B12631" i="15"/>
  <c r="H12630" i="15"/>
  <c r="B12630" i="15"/>
  <c r="H12629" i="15"/>
  <c r="B12629" i="15"/>
  <c r="H12628" i="15"/>
  <c r="B12628" i="15"/>
  <c r="H12627" i="15"/>
  <c r="B12627" i="15"/>
  <c r="H12626" i="15"/>
  <c r="B12626" i="15"/>
  <c r="H12625" i="15"/>
  <c r="B12625" i="15"/>
  <c r="H12624" i="15"/>
  <c r="B12624" i="15"/>
  <c r="H12623" i="15"/>
  <c r="B12623" i="15"/>
  <c r="H12622" i="15"/>
  <c r="B12622" i="15"/>
  <c r="H12621" i="15"/>
  <c r="B12621" i="15"/>
  <c r="H12620" i="15"/>
  <c r="B12620" i="15"/>
  <c r="H12619" i="15"/>
  <c r="B12619" i="15"/>
  <c r="H12618" i="15"/>
  <c r="B12618" i="15"/>
  <c r="H12617" i="15"/>
  <c r="B12617" i="15"/>
  <c r="H12616" i="15"/>
  <c r="B12616" i="15"/>
  <c r="H12615" i="15"/>
  <c r="B12615" i="15"/>
  <c r="H12614" i="15"/>
  <c r="B12614" i="15"/>
  <c r="H12613" i="15"/>
  <c r="B12613" i="15"/>
  <c r="H12612" i="15"/>
  <c r="B12612" i="15"/>
  <c r="H12611" i="15"/>
  <c r="B12611" i="15"/>
  <c r="H12610" i="15"/>
  <c r="B12610" i="15"/>
  <c r="H12609" i="15"/>
  <c r="B12609" i="15"/>
  <c r="H12608" i="15"/>
  <c r="B12608" i="15"/>
  <c r="H12607" i="15"/>
  <c r="B12607" i="15"/>
  <c r="H12606" i="15"/>
  <c r="B12606" i="15"/>
  <c r="H12605" i="15"/>
  <c r="B12605" i="15"/>
  <c r="H12604" i="15"/>
  <c r="B12604" i="15"/>
  <c r="H12603" i="15"/>
  <c r="B12603" i="15"/>
  <c r="H12602" i="15"/>
  <c r="B12602" i="15"/>
  <c r="H12601" i="15"/>
  <c r="B12601" i="15"/>
  <c r="H12600" i="15"/>
  <c r="B12600" i="15"/>
  <c r="H12599" i="15"/>
  <c r="B12599" i="15"/>
  <c r="H12598" i="15"/>
  <c r="B12598" i="15"/>
  <c r="H12597" i="15"/>
  <c r="B12597" i="15"/>
  <c r="H12596" i="15"/>
  <c r="B12596" i="15"/>
  <c r="H12595" i="15"/>
  <c r="B12595" i="15"/>
  <c r="H12594" i="15"/>
  <c r="B12594" i="15"/>
  <c r="H12593" i="15"/>
  <c r="B12593" i="15"/>
  <c r="H12592" i="15"/>
  <c r="B12592" i="15"/>
  <c r="H12591" i="15"/>
  <c r="B12591" i="15"/>
  <c r="H12590" i="15"/>
  <c r="B12590" i="15"/>
  <c r="H12589" i="15"/>
  <c r="B12589" i="15"/>
  <c r="H12588" i="15"/>
  <c r="B12588" i="15"/>
  <c r="H12587" i="15"/>
  <c r="B12587" i="15"/>
  <c r="H12586" i="15"/>
  <c r="B12586" i="15"/>
  <c r="H12585" i="15"/>
  <c r="B12585" i="15"/>
  <c r="H12584" i="15"/>
  <c r="B12584" i="15"/>
  <c r="H12583" i="15"/>
  <c r="B12583" i="15"/>
  <c r="H12582" i="15"/>
  <c r="B12582" i="15"/>
  <c r="H12581" i="15"/>
  <c r="B12581" i="15"/>
  <c r="H12580" i="15"/>
  <c r="B12580" i="15"/>
  <c r="H12579" i="15"/>
  <c r="B12579" i="15"/>
  <c r="H12578" i="15"/>
  <c r="B12578" i="15"/>
  <c r="H12577" i="15"/>
  <c r="B12577" i="15"/>
  <c r="H12576" i="15"/>
  <c r="B12576" i="15"/>
  <c r="H12575" i="15"/>
  <c r="B12575" i="15"/>
  <c r="H12574" i="15"/>
  <c r="B12574" i="15"/>
  <c r="H12573" i="15"/>
  <c r="B12573" i="15"/>
  <c r="H12572" i="15"/>
  <c r="B12572" i="15"/>
  <c r="H12571" i="15"/>
  <c r="B12571" i="15"/>
  <c r="H12570" i="15"/>
  <c r="B12570" i="15"/>
  <c r="H12569" i="15"/>
  <c r="B12569" i="15"/>
  <c r="H12568" i="15"/>
  <c r="B12568" i="15"/>
  <c r="H12567" i="15"/>
  <c r="B12567" i="15"/>
  <c r="H12566" i="15"/>
  <c r="B12566" i="15"/>
  <c r="H12565" i="15"/>
  <c r="B12565" i="15"/>
  <c r="H12564" i="15"/>
  <c r="B12564" i="15"/>
  <c r="H12563" i="15"/>
  <c r="B12563" i="15"/>
  <c r="H12562" i="15"/>
  <c r="B12562" i="15"/>
  <c r="H12561" i="15"/>
  <c r="B12561" i="15"/>
  <c r="H12560" i="15"/>
  <c r="B12560" i="15"/>
  <c r="H12559" i="15"/>
  <c r="B12559" i="15"/>
  <c r="H12558" i="15"/>
  <c r="B12558" i="15"/>
  <c r="H12557" i="15"/>
  <c r="B12557" i="15"/>
  <c r="H12556" i="15"/>
  <c r="B12556" i="15"/>
  <c r="H12555" i="15"/>
  <c r="B12555" i="15"/>
  <c r="H12554" i="15"/>
  <c r="B12554" i="15"/>
  <c r="H12553" i="15"/>
  <c r="B12553" i="15"/>
  <c r="H12552" i="15"/>
  <c r="B12552" i="15"/>
  <c r="H12551" i="15"/>
  <c r="B12551" i="15"/>
  <c r="H12550" i="15"/>
  <c r="B12550" i="15"/>
  <c r="H12549" i="15"/>
  <c r="B12549" i="15"/>
  <c r="H12548" i="15"/>
  <c r="B12548" i="15"/>
  <c r="H12547" i="15"/>
  <c r="B12547" i="15"/>
  <c r="H12546" i="15"/>
  <c r="B12546" i="15"/>
  <c r="H12545" i="15"/>
  <c r="B12545" i="15"/>
  <c r="H12544" i="15"/>
  <c r="B12544" i="15"/>
  <c r="H12543" i="15"/>
  <c r="B12543" i="15"/>
  <c r="H12542" i="15"/>
  <c r="B12542" i="15"/>
  <c r="H12541" i="15"/>
  <c r="B12541" i="15"/>
  <c r="H12540" i="15"/>
  <c r="B12540" i="15"/>
  <c r="H12539" i="15"/>
  <c r="B12539" i="15"/>
  <c r="H12538" i="15"/>
  <c r="B12538" i="15"/>
  <c r="H12537" i="15"/>
  <c r="B12537" i="15"/>
  <c r="H12536" i="15"/>
  <c r="B12536" i="15"/>
  <c r="H12535" i="15"/>
  <c r="B12535" i="15"/>
  <c r="H12534" i="15"/>
  <c r="B12534" i="15"/>
  <c r="H12533" i="15"/>
  <c r="B12533" i="15"/>
  <c r="H12532" i="15"/>
  <c r="B12532" i="15"/>
  <c r="H12531" i="15"/>
  <c r="B12531" i="15"/>
  <c r="H12530" i="15"/>
  <c r="B12530" i="15"/>
  <c r="H12529" i="15"/>
  <c r="B12529" i="15"/>
  <c r="H12528" i="15"/>
  <c r="B12528" i="15"/>
  <c r="H12527" i="15"/>
  <c r="B12527" i="15"/>
  <c r="H12526" i="15"/>
  <c r="B12526" i="15"/>
  <c r="H12525" i="15"/>
  <c r="B12525" i="15"/>
  <c r="H12524" i="15"/>
  <c r="B12524" i="15"/>
  <c r="H12523" i="15"/>
  <c r="B12523" i="15"/>
  <c r="H12522" i="15"/>
  <c r="B12522" i="15"/>
  <c r="H12521" i="15"/>
  <c r="B12521" i="15"/>
  <c r="H12520" i="15"/>
  <c r="B12520" i="15"/>
  <c r="H12519" i="15"/>
  <c r="B12519" i="15"/>
  <c r="H12518" i="15"/>
  <c r="B12518" i="15"/>
  <c r="H12517" i="15"/>
  <c r="B12517" i="15"/>
  <c r="H12516" i="15"/>
  <c r="B12516" i="15"/>
  <c r="H12515" i="15"/>
  <c r="B12515" i="15"/>
  <c r="H12514" i="15"/>
  <c r="B12514" i="15"/>
  <c r="H12513" i="15"/>
  <c r="B12513" i="15"/>
  <c r="H12512" i="15"/>
  <c r="B12512" i="15"/>
  <c r="H12511" i="15"/>
  <c r="B12511" i="15"/>
  <c r="H12510" i="15"/>
  <c r="B12510" i="15"/>
  <c r="H12509" i="15"/>
  <c r="B12509" i="15"/>
  <c r="H12508" i="15"/>
  <c r="B12508" i="15"/>
  <c r="H12507" i="15"/>
  <c r="B12507" i="15"/>
  <c r="H12506" i="15"/>
  <c r="B12506" i="15"/>
  <c r="H12505" i="15"/>
  <c r="B12505" i="15"/>
  <c r="H12504" i="15"/>
  <c r="B12504" i="15"/>
  <c r="H12503" i="15"/>
  <c r="B12503" i="15"/>
  <c r="H12502" i="15"/>
  <c r="B12502" i="15"/>
  <c r="H12501" i="15"/>
  <c r="B12501" i="15"/>
  <c r="H12500" i="15"/>
  <c r="B12500" i="15"/>
  <c r="H12499" i="15"/>
  <c r="B12499" i="15"/>
  <c r="H12498" i="15"/>
  <c r="B12498" i="15"/>
  <c r="H12497" i="15"/>
  <c r="B12497" i="15"/>
  <c r="H12496" i="15"/>
  <c r="B12496" i="15"/>
  <c r="H12495" i="15"/>
  <c r="B12495" i="15"/>
  <c r="H12494" i="15"/>
  <c r="B12494" i="15"/>
  <c r="H12493" i="15"/>
  <c r="B12493" i="15"/>
  <c r="H12492" i="15"/>
  <c r="B12492" i="15"/>
  <c r="H12491" i="15"/>
  <c r="B12491" i="15"/>
  <c r="H12490" i="15"/>
  <c r="B12490" i="15"/>
  <c r="H12489" i="15"/>
  <c r="B12489" i="15"/>
  <c r="H12488" i="15"/>
  <c r="B12488" i="15"/>
  <c r="H12487" i="15"/>
  <c r="B12487" i="15"/>
  <c r="H12486" i="15"/>
  <c r="B12486" i="15"/>
  <c r="H12485" i="15"/>
  <c r="B12485" i="15"/>
  <c r="H12484" i="15"/>
  <c r="B12484" i="15"/>
  <c r="H12483" i="15"/>
  <c r="B12483" i="15"/>
  <c r="H12482" i="15"/>
  <c r="B12482" i="15"/>
  <c r="H12481" i="15"/>
  <c r="B12481" i="15"/>
  <c r="H12480" i="15"/>
  <c r="B12480" i="15"/>
  <c r="H12479" i="15"/>
  <c r="B12479" i="15"/>
  <c r="H12478" i="15"/>
  <c r="B12478" i="15"/>
  <c r="H12477" i="15"/>
  <c r="B12477" i="15"/>
  <c r="H12476" i="15"/>
  <c r="B12476" i="15"/>
  <c r="H12475" i="15"/>
  <c r="B12475" i="15"/>
  <c r="H12474" i="15"/>
  <c r="B12474" i="15"/>
  <c r="H12473" i="15"/>
  <c r="B12473" i="15"/>
  <c r="H12472" i="15"/>
  <c r="B12472" i="15"/>
  <c r="H12471" i="15"/>
  <c r="B12471" i="15"/>
  <c r="H12470" i="15"/>
  <c r="B12470" i="15"/>
  <c r="H12469" i="15"/>
  <c r="B12469" i="15"/>
  <c r="H12468" i="15"/>
  <c r="B12468" i="15"/>
  <c r="H12467" i="15"/>
  <c r="B12467" i="15"/>
  <c r="H12466" i="15"/>
  <c r="B12466" i="15"/>
  <c r="H12465" i="15"/>
  <c r="B12465" i="15"/>
  <c r="H12464" i="15"/>
  <c r="B12464" i="15"/>
  <c r="H12463" i="15"/>
  <c r="B12463" i="15"/>
  <c r="H12462" i="15"/>
  <c r="B12462" i="15"/>
  <c r="H12461" i="15"/>
  <c r="B12461" i="15"/>
  <c r="H12460" i="15"/>
  <c r="B12460" i="15"/>
  <c r="H12459" i="15"/>
  <c r="B12459" i="15"/>
  <c r="H12458" i="15"/>
  <c r="B12458" i="15"/>
  <c r="H12457" i="15"/>
  <c r="B12457" i="15"/>
  <c r="H12456" i="15"/>
  <c r="B12456" i="15"/>
  <c r="H12455" i="15"/>
  <c r="B12455" i="15"/>
  <c r="H12454" i="15"/>
  <c r="B12454" i="15"/>
  <c r="H12453" i="15"/>
  <c r="B12453" i="15"/>
  <c r="H12452" i="15"/>
  <c r="B12452" i="15"/>
  <c r="H12451" i="15"/>
  <c r="B12451" i="15"/>
  <c r="H12450" i="15"/>
  <c r="B12450" i="15"/>
  <c r="H12449" i="15"/>
  <c r="B12449" i="15"/>
  <c r="H12448" i="15"/>
  <c r="B12448" i="15"/>
  <c r="H12447" i="15"/>
  <c r="B12447" i="15"/>
  <c r="H12446" i="15"/>
  <c r="B12446" i="15"/>
  <c r="H12445" i="15"/>
  <c r="B12445" i="15"/>
  <c r="H12444" i="15"/>
  <c r="B12444" i="15"/>
  <c r="H12443" i="15"/>
  <c r="B12443" i="15"/>
  <c r="H12442" i="15"/>
  <c r="B12442" i="15"/>
  <c r="H12441" i="15"/>
  <c r="B12441" i="15"/>
  <c r="H12440" i="15"/>
  <c r="B12440" i="15"/>
  <c r="H12439" i="15"/>
  <c r="B12439" i="15"/>
  <c r="H12438" i="15"/>
  <c r="B12438" i="15"/>
  <c r="H12437" i="15"/>
  <c r="B12437" i="15"/>
  <c r="H12436" i="15"/>
  <c r="B12436" i="15"/>
  <c r="H12435" i="15"/>
  <c r="B12435" i="15"/>
  <c r="H12434" i="15"/>
  <c r="B12434" i="15"/>
  <c r="H12433" i="15"/>
  <c r="B12433" i="15"/>
  <c r="H12432" i="15"/>
  <c r="B12432" i="15"/>
  <c r="H12431" i="15"/>
  <c r="B12431" i="15"/>
  <c r="H12430" i="15"/>
  <c r="B12430" i="15"/>
  <c r="H12429" i="15"/>
  <c r="B12429" i="15"/>
  <c r="H12428" i="15"/>
  <c r="B12428" i="15"/>
  <c r="H12427" i="15"/>
  <c r="B12427" i="15"/>
  <c r="H12426" i="15"/>
  <c r="B12426" i="15"/>
  <c r="H12425" i="15"/>
  <c r="B12425" i="15"/>
  <c r="H12424" i="15"/>
  <c r="B12424" i="15"/>
  <c r="H12423" i="15"/>
  <c r="B12423" i="15"/>
  <c r="H12422" i="15"/>
  <c r="B12422" i="15"/>
  <c r="H12421" i="15"/>
  <c r="B12421" i="15"/>
  <c r="H12420" i="15"/>
  <c r="B12420" i="15"/>
  <c r="H12419" i="15"/>
  <c r="B12419" i="15"/>
  <c r="H12418" i="15"/>
  <c r="B12418" i="15"/>
  <c r="H12417" i="15"/>
  <c r="B12417" i="15"/>
  <c r="H12416" i="15"/>
  <c r="B12416" i="15"/>
  <c r="H12415" i="15"/>
  <c r="B12415" i="15"/>
  <c r="H12414" i="15"/>
  <c r="B12414" i="15"/>
  <c r="H12413" i="15"/>
  <c r="B12413" i="15"/>
  <c r="H12412" i="15"/>
  <c r="B12412" i="15"/>
  <c r="H12411" i="15"/>
  <c r="B12411" i="15"/>
  <c r="H12410" i="15"/>
  <c r="B12410" i="15"/>
  <c r="H12409" i="15"/>
  <c r="B12409" i="15"/>
  <c r="H12408" i="15"/>
  <c r="B12408" i="15"/>
  <c r="H12407" i="15"/>
  <c r="B12407" i="15"/>
  <c r="H12406" i="15"/>
  <c r="B12406" i="15"/>
  <c r="H12405" i="15"/>
  <c r="B12405" i="15"/>
  <c r="H12404" i="15"/>
  <c r="B12404" i="15"/>
  <c r="H12403" i="15"/>
  <c r="B12403" i="15"/>
  <c r="H12402" i="15"/>
  <c r="B12402" i="15"/>
  <c r="H12401" i="15"/>
  <c r="B12401" i="15"/>
  <c r="H12400" i="15"/>
  <c r="B12400" i="15"/>
  <c r="H12399" i="15"/>
  <c r="B12399" i="15"/>
  <c r="H12398" i="15"/>
  <c r="B12398" i="15"/>
  <c r="H12397" i="15"/>
  <c r="B12397" i="15"/>
  <c r="H12396" i="15"/>
  <c r="B12396" i="15"/>
  <c r="H12395" i="15"/>
  <c r="B12395" i="15"/>
  <c r="H12394" i="15"/>
  <c r="B12394" i="15"/>
  <c r="H12393" i="15"/>
  <c r="B12393" i="15"/>
  <c r="H12392" i="15"/>
  <c r="B12392" i="15"/>
  <c r="H12391" i="15"/>
  <c r="B12391" i="15"/>
  <c r="H12390" i="15"/>
  <c r="B12390" i="15"/>
  <c r="H12389" i="15"/>
  <c r="B12389" i="15"/>
  <c r="H12388" i="15"/>
  <c r="B12388" i="15"/>
  <c r="H12387" i="15"/>
  <c r="B12387" i="15"/>
  <c r="H12386" i="15"/>
  <c r="B12386" i="15"/>
  <c r="H12385" i="15"/>
  <c r="B12385" i="15"/>
  <c r="H12384" i="15"/>
  <c r="B12384" i="15"/>
  <c r="H12383" i="15"/>
  <c r="B12383" i="15"/>
  <c r="H12382" i="15"/>
  <c r="B12382" i="15"/>
  <c r="H12381" i="15"/>
  <c r="B12381" i="15"/>
  <c r="H12380" i="15"/>
  <c r="B12380" i="15"/>
  <c r="H12379" i="15"/>
  <c r="B12379" i="15"/>
  <c r="H12378" i="15"/>
  <c r="B12378" i="15"/>
  <c r="H12377" i="15"/>
  <c r="B12377" i="15"/>
  <c r="H12376" i="15"/>
  <c r="B12376" i="15"/>
  <c r="H12375" i="15"/>
  <c r="B12375" i="15"/>
  <c r="H12374" i="15"/>
  <c r="B12374" i="15"/>
  <c r="H12373" i="15"/>
  <c r="B12373" i="15"/>
  <c r="H12372" i="15"/>
  <c r="B12372" i="15"/>
  <c r="H12371" i="15"/>
  <c r="B12371" i="15"/>
  <c r="H12370" i="15"/>
  <c r="B12370" i="15"/>
  <c r="H12369" i="15"/>
  <c r="B12369" i="15"/>
  <c r="H12368" i="15"/>
  <c r="B12368" i="15"/>
  <c r="H12367" i="15"/>
  <c r="B12367" i="15"/>
  <c r="H12366" i="15"/>
  <c r="B12366" i="15"/>
  <c r="H12365" i="15"/>
  <c r="B12365" i="15"/>
  <c r="H12364" i="15"/>
  <c r="B12364" i="15"/>
  <c r="H12363" i="15"/>
  <c r="B12363" i="15"/>
  <c r="H12362" i="15"/>
  <c r="B12362" i="15"/>
  <c r="H12361" i="15"/>
  <c r="B12361" i="15"/>
  <c r="H12360" i="15"/>
  <c r="B12360" i="15"/>
  <c r="H12359" i="15"/>
  <c r="B12359" i="15"/>
  <c r="H12358" i="15"/>
  <c r="B12358" i="15"/>
  <c r="H12357" i="15"/>
  <c r="B12357" i="15"/>
  <c r="H12356" i="15"/>
  <c r="B12356" i="15"/>
  <c r="H12355" i="15"/>
  <c r="B12355" i="15"/>
  <c r="H12354" i="15"/>
  <c r="B12354" i="15"/>
  <c r="H12353" i="15"/>
  <c r="B12353" i="15"/>
  <c r="H12352" i="15"/>
  <c r="B12352" i="15"/>
  <c r="H12351" i="15"/>
  <c r="B12351" i="15"/>
  <c r="H12350" i="15"/>
  <c r="B12350" i="15"/>
  <c r="H12349" i="15"/>
  <c r="B12349" i="15"/>
  <c r="H12348" i="15"/>
  <c r="B12348" i="15"/>
  <c r="H12347" i="15"/>
  <c r="B12347" i="15"/>
  <c r="H12346" i="15"/>
  <c r="B12346" i="15"/>
  <c r="H12345" i="15"/>
  <c r="B12345" i="15"/>
  <c r="H12344" i="15"/>
  <c r="B12344" i="15"/>
  <c r="H12343" i="15"/>
  <c r="B12343" i="15"/>
  <c r="H12342" i="15"/>
  <c r="B12342" i="15"/>
  <c r="H12341" i="15"/>
  <c r="B12341" i="15"/>
  <c r="H12340" i="15"/>
  <c r="B12340" i="15"/>
  <c r="H12339" i="15"/>
  <c r="B12339" i="15"/>
  <c r="H12338" i="15"/>
  <c r="B12338" i="15"/>
  <c r="H12337" i="15"/>
  <c r="B12337" i="15"/>
  <c r="H12336" i="15"/>
  <c r="B12336" i="15"/>
  <c r="H12335" i="15"/>
  <c r="B12335" i="15"/>
  <c r="H12334" i="15"/>
  <c r="B12334" i="15"/>
  <c r="H12333" i="15"/>
  <c r="B12333" i="15"/>
  <c r="H12332" i="15"/>
  <c r="B12332" i="15"/>
  <c r="H12331" i="15"/>
  <c r="B12331" i="15"/>
  <c r="H12330" i="15"/>
  <c r="B12330" i="15"/>
  <c r="H12329" i="15"/>
  <c r="B12329" i="15"/>
  <c r="H12328" i="15"/>
  <c r="B12328" i="15"/>
  <c r="H12327" i="15"/>
  <c r="B12327" i="15"/>
  <c r="H12326" i="15"/>
  <c r="B12326" i="15"/>
  <c r="H12325" i="15"/>
  <c r="B12325" i="15"/>
  <c r="H12324" i="15"/>
  <c r="B12324" i="15"/>
  <c r="H12323" i="15"/>
  <c r="B12323" i="15"/>
  <c r="H12322" i="15"/>
  <c r="B12322" i="15"/>
  <c r="H12321" i="15"/>
  <c r="B12321" i="15"/>
  <c r="H12320" i="15"/>
  <c r="B12320" i="15"/>
  <c r="H12319" i="15"/>
  <c r="B12319" i="15"/>
  <c r="H12318" i="15"/>
  <c r="B12318" i="15"/>
  <c r="H12317" i="15"/>
  <c r="B12317" i="15"/>
  <c r="H12316" i="15"/>
  <c r="B12316" i="15"/>
  <c r="H12315" i="15"/>
  <c r="B12315" i="15"/>
  <c r="H12314" i="15"/>
  <c r="B12314" i="15"/>
  <c r="H12313" i="15"/>
  <c r="B12313" i="15"/>
  <c r="H12312" i="15"/>
  <c r="B12312" i="15"/>
  <c r="H12311" i="15"/>
  <c r="B12311" i="15"/>
  <c r="H12310" i="15"/>
  <c r="B12310" i="15"/>
  <c r="H12309" i="15"/>
  <c r="B12309" i="15"/>
  <c r="H12308" i="15"/>
  <c r="B12308" i="15"/>
  <c r="H12307" i="15"/>
  <c r="B12307" i="15"/>
  <c r="H12306" i="15"/>
  <c r="B12306" i="15"/>
  <c r="H12305" i="15"/>
  <c r="B12305" i="15"/>
  <c r="H12304" i="15"/>
  <c r="B12304" i="15"/>
  <c r="H12303" i="15"/>
  <c r="B12303" i="15"/>
  <c r="H12302" i="15"/>
  <c r="B12302" i="15"/>
  <c r="H12301" i="15"/>
  <c r="B12301" i="15"/>
  <c r="H12300" i="15"/>
  <c r="B12300" i="15"/>
  <c r="H12299" i="15"/>
  <c r="B12299" i="15"/>
  <c r="H12298" i="15"/>
  <c r="B12298" i="15"/>
  <c r="H12297" i="15"/>
  <c r="B12297" i="15"/>
  <c r="H12296" i="15"/>
  <c r="B12296" i="15"/>
  <c r="H12295" i="15"/>
  <c r="B12295" i="15"/>
  <c r="H12294" i="15"/>
  <c r="B12294" i="15"/>
  <c r="H12293" i="15"/>
  <c r="B12293" i="15"/>
  <c r="H12292" i="15"/>
  <c r="B12292" i="15"/>
  <c r="H12291" i="15"/>
  <c r="B12291" i="15"/>
  <c r="H12290" i="15"/>
  <c r="B12290" i="15"/>
  <c r="H12289" i="15"/>
  <c r="B12289" i="15"/>
  <c r="H12288" i="15"/>
  <c r="B12288" i="15"/>
  <c r="H12287" i="15"/>
  <c r="B12287" i="15"/>
  <c r="H12286" i="15"/>
  <c r="B12286" i="15"/>
  <c r="H12285" i="15"/>
  <c r="B12285" i="15"/>
  <c r="H12284" i="15"/>
  <c r="B12284" i="15"/>
  <c r="H12283" i="15"/>
  <c r="B12283" i="15"/>
  <c r="H12282" i="15"/>
  <c r="B12282" i="15"/>
  <c r="H12281" i="15"/>
  <c r="B12281" i="15"/>
  <c r="H12280" i="15"/>
  <c r="B12280" i="15"/>
  <c r="H12279" i="15"/>
  <c r="B12279" i="15"/>
  <c r="H12278" i="15"/>
  <c r="B12278" i="15"/>
  <c r="H12277" i="15"/>
  <c r="B12277" i="15"/>
  <c r="H12276" i="15"/>
  <c r="B12276" i="15"/>
  <c r="H12275" i="15"/>
  <c r="B12275" i="15"/>
  <c r="H12274" i="15"/>
  <c r="B12274" i="15"/>
  <c r="H12273" i="15"/>
  <c r="B12273" i="15"/>
  <c r="H12272" i="15"/>
  <c r="B12272" i="15"/>
  <c r="H12271" i="15"/>
  <c r="B12271" i="15"/>
  <c r="H12270" i="15"/>
  <c r="B12270" i="15"/>
  <c r="H12269" i="15"/>
  <c r="B12269" i="15"/>
  <c r="H12268" i="15"/>
  <c r="B12268" i="15"/>
  <c r="H12267" i="15"/>
  <c r="B12267" i="15"/>
  <c r="H12266" i="15"/>
  <c r="B12266" i="15"/>
  <c r="H12265" i="15"/>
  <c r="B12265" i="15"/>
  <c r="H12264" i="15"/>
  <c r="B12264" i="15"/>
  <c r="H12263" i="15"/>
  <c r="B12263" i="15"/>
  <c r="H12262" i="15"/>
  <c r="B12262" i="15"/>
  <c r="H12261" i="15"/>
  <c r="B12261" i="15"/>
  <c r="H12260" i="15"/>
  <c r="B12260" i="15"/>
  <c r="H12259" i="15"/>
  <c r="B12259" i="15"/>
  <c r="H12258" i="15"/>
  <c r="B12258" i="15"/>
  <c r="H12257" i="15"/>
  <c r="B12257" i="15"/>
  <c r="H12256" i="15"/>
  <c r="B12256" i="15"/>
  <c r="H12255" i="15"/>
  <c r="B12255" i="15"/>
  <c r="H12254" i="15"/>
  <c r="B12254" i="15"/>
  <c r="H12253" i="15"/>
  <c r="B12253" i="15"/>
  <c r="H12252" i="15"/>
  <c r="B12252" i="15"/>
  <c r="H12251" i="15"/>
  <c r="B12251" i="15"/>
  <c r="H12250" i="15"/>
  <c r="B12250" i="15"/>
  <c r="H12249" i="15"/>
  <c r="B12249" i="15"/>
  <c r="H12248" i="15"/>
  <c r="B12248" i="15"/>
  <c r="H12247" i="15"/>
  <c r="B12247" i="15"/>
  <c r="H12246" i="15"/>
  <c r="B12246" i="15"/>
  <c r="H12245" i="15"/>
  <c r="B12245" i="15"/>
  <c r="H12244" i="15"/>
  <c r="B12244" i="15"/>
  <c r="H12243" i="15"/>
  <c r="B12243" i="15"/>
  <c r="H12242" i="15"/>
  <c r="B12242" i="15"/>
  <c r="H12241" i="15"/>
  <c r="B12241" i="15"/>
  <c r="H12240" i="15"/>
  <c r="B12240" i="15"/>
  <c r="H12239" i="15"/>
  <c r="B12239" i="15"/>
  <c r="H12238" i="15"/>
  <c r="B12238" i="15"/>
  <c r="H12237" i="15"/>
  <c r="B12237" i="15"/>
  <c r="H12236" i="15"/>
  <c r="B12236" i="15"/>
  <c r="H12235" i="15"/>
  <c r="B12235" i="15"/>
  <c r="H12234" i="15"/>
  <c r="B12234" i="15"/>
  <c r="H12233" i="15"/>
  <c r="B12233" i="15"/>
  <c r="H12232" i="15"/>
  <c r="B12232" i="15"/>
  <c r="H12231" i="15"/>
  <c r="B12231" i="15"/>
  <c r="H12230" i="15"/>
  <c r="B12230" i="15"/>
  <c r="H12229" i="15"/>
  <c r="B12229" i="15"/>
  <c r="H12228" i="15"/>
  <c r="B12228" i="15"/>
  <c r="H12227" i="15"/>
  <c r="B12227" i="15"/>
  <c r="H12226" i="15"/>
  <c r="B12226" i="15"/>
  <c r="H12225" i="15"/>
  <c r="B12225" i="15"/>
  <c r="H12224" i="15"/>
  <c r="B12224" i="15"/>
  <c r="H12223" i="15"/>
  <c r="B12223" i="15"/>
  <c r="H12222" i="15"/>
  <c r="B12222" i="15"/>
  <c r="H12221" i="15"/>
  <c r="B12221" i="15"/>
  <c r="H12220" i="15"/>
  <c r="B12220" i="15"/>
  <c r="H12219" i="15"/>
  <c r="B12219" i="15"/>
  <c r="H12218" i="15"/>
  <c r="B12218" i="15"/>
  <c r="H12217" i="15"/>
  <c r="B12217" i="15"/>
  <c r="H12216" i="15"/>
  <c r="B12216" i="15"/>
  <c r="H12215" i="15"/>
  <c r="B12215" i="15"/>
  <c r="H12214" i="15"/>
  <c r="B12214" i="15"/>
  <c r="H12213" i="15"/>
  <c r="B12213" i="15"/>
  <c r="H12212" i="15"/>
  <c r="B12212" i="15"/>
  <c r="H12211" i="15"/>
  <c r="B12211" i="15"/>
  <c r="H12210" i="15"/>
  <c r="B12210" i="15"/>
  <c r="H12209" i="15"/>
  <c r="B12209" i="15"/>
  <c r="H12208" i="15"/>
  <c r="B12208" i="15"/>
  <c r="H12207" i="15"/>
  <c r="B12207" i="15"/>
  <c r="H12206" i="15"/>
  <c r="B12206" i="15"/>
  <c r="H12205" i="15"/>
  <c r="B12205" i="15"/>
  <c r="H12204" i="15"/>
  <c r="B12204" i="15"/>
  <c r="H12203" i="15"/>
  <c r="B12203" i="15"/>
  <c r="H12202" i="15"/>
  <c r="B12202" i="15"/>
  <c r="H12201" i="15"/>
  <c r="B12201" i="15"/>
  <c r="H12200" i="15"/>
  <c r="B12200" i="15"/>
  <c r="H12199" i="15"/>
  <c r="B12199" i="15"/>
  <c r="H12198" i="15"/>
  <c r="B12198" i="15"/>
  <c r="H12197" i="15"/>
  <c r="B12197" i="15"/>
  <c r="H12196" i="15"/>
  <c r="B12196" i="15"/>
  <c r="H12195" i="15"/>
  <c r="B12195" i="15"/>
  <c r="H12194" i="15"/>
  <c r="B12194" i="15"/>
  <c r="H12193" i="15"/>
  <c r="B12193" i="15"/>
  <c r="H12192" i="15"/>
  <c r="B12192" i="15"/>
  <c r="H12191" i="15"/>
  <c r="B12191" i="15"/>
  <c r="H12190" i="15"/>
  <c r="B12190" i="15"/>
  <c r="H12189" i="15"/>
  <c r="B12189" i="15"/>
  <c r="H12188" i="15"/>
  <c r="B12188" i="15"/>
  <c r="H12187" i="15"/>
  <c r="B12187" i="15"/>
  <c r="H12186" i="15"/>
  <c r="B12186" i="15"/>
  <c r="H12185" i="15"/>
  <c r="B12185" i="15"/>
  <c r="H12184" i="15"/>
  <c r="B12184" i="15"/>
  <c r="H12183" i="15"/>
  <c r="B12183" i="15"/>
  <c r="H12182" i="15"/>
  <c r="B12182" i="15"/>
  <c r="H12181" i="15"/>
  <c r="B12181" i="15"/>
  <c r="H12180" i="15"/>
  <c r="B12180" i="15"/>
  <c r="H12179" i="15"/>
  <c r="B12179" i="15"/>
  <c r="H12178" i="15"/>
  <c r="B12178" i="15"/>
  <c r="H12177" i="15"/>
  <c r="B12177" i="15"/>
  <c r="H12176" i="15"/>
  <c r="B12176" i="15"/>
  <c r="H12175" i="15"/>
  <c r="B12175" i="15"/>
  <c r="H12174" i="15"/>
  <c r="B12174" i="15"/>
  <c r="H12173" i="15"/>
  <c r="B12173" i="15"/>
  <c r="H12172" i="15"/>
  <c r="B12172" i="15"/>
  <c r="H12171" i="15"/>
  <c r="B12171" i="15"/>
  <c r="H12170" i="15"/>
  <c r="B12170" i="15"/>
  <c r="H12169" i="15"/>
  <c r="B12169" i="15"/>
  <c r="H12168" i="15"/>
  <c r="B12168" i="15"/>
  <c r="H12167" i="15"/>
  <c r="B12167" i="15"/>
  <c r="H12166" i="15"/>
  <c r="B12166" i="15"/>
  <c r="H12165" i="15"/>
  <c r="B12165" i="15"/>
  <c r="H12164" i="15"/>
  <c r="B12164" i="15"/>
  <c r="H12163" i="15"/>
  <c r="B12163" i="15"/>
  <c r="H12162" i="15"/>
  <c r="B12162" i="15"/>
  <c r="H12161" i="15"/>
  <c r="B12161" i="15"/>
  <c r="H12160" i="15"/>
  <c r="B12160" i="15"/>
  <c r="H12159" i="15"/>
  <c r="B12159" i="15"/>
  <c r="H12158" i="15"/>
  <c r="B12158" i="15"/>
  <c r="H12157" i="15"/>
  <c r="B12157" i="15"/>
  <c r="H12156" i="15"/>
  <c r="B12156" i="15"/>
  <c r="H12155" i="15"/>
  <c r="B12155" i="15"/>
  <c r="H12154" i="15"/>
  <c r="B12154" i="15"/>
  <c r="H12153" i="15"/>
  <c r="B12153" i="15"/>
  <c r="H12152" i="15"/>
  <c r="B12152" i="15"/>
  <c r="H12151" i="15"/>
  <c r="B12151" i="15"/>
  <c r="H12150" i="15"/>
  <c r="B12150" i="15"/>
  <c r="H12149" i="15"/>
  <c r="B12149" i="15"/>
  <c r="H12148" i="15"/>
  <c r="B12148" i="15"/>
  <c r="H12147" i="15"/>
  <c r="B12147" i="15"/>
  <c r="H12146" i="15"/>
  <c r="B12146" i="15"/>
  <c r="H12145" i="15"/>
  <c r="B12145" i="15"/>
  <c r="H12144" i="15"/>
  <c r="B12144" i="15"/>
  <c r="H12143" i="15"/>
  <c r="B12143" i="15"/>
  <c r="H12142" i="15"/>
  <c r="B12142" i="15"/>
  <c r="H12141" i="15"/>
  <c r="B12141" i="15"/>
  <c r="H12140" i="15"/>
  <c r="B12140" i="15"/>
  <c r="H12139" i="15"/>
  <c r="B12139" i="15"/>
  <c r="H12138" i="15"/>
  <c r="B12138" i="15"/>
  <c r="H12137" i="15"/>
  <c r="B12137" i="15"/>
  <c r="H12136" i="15"/>
  <c r="B12136" i="15"/>
  <c r="H12135" i="15"/>
  <c r="B12135" i="15"/>
  <c r="H12134" i="15"/>
  <c r="B12134" i="15"/>
  <c r="H12133" i="15"/>
  <c r="B12133" i="15"/>
  <c r="H12132" i="15"/>
  <c r="B12132" i="15"/>
  <c r="H12131" i="15"/>
  <c r="B12131" i="15"/>
  <c r="H12130" i="15"/>
  <c r="B12130" i="15"/>
  <c r="H12129" i="15"/>
  <c r="B12129" i="15"/>
  <c r="H12128" i="15"/>
  <c r="B12128" i="15"/>
  <c r="H12127" i="15"/>
  <c r="B12127" i="15"/>
  <c r="H12126" i="15"/>
  <c r="B12126" i="15"/>
  <c r="H12125" i="15"/>
  <c r="B12125" i="15"/>
  <c r="H12124" i="15"/>
  <c r="B12124" i="15"/>
  <c r="H12123" i="15"/>
  <c r="B12123" i="15"/>
  <c r="H12122" i="15"/>
  <c r="B12122" i="15"/>
  <c r="H12121" i="15"/>
  <c r="B12121" i="15"/>
  <c r="H12120" i="15"/>
  <c r="B12120" i="15"/>
  <c r="H12119" i="15"/>
  <c r="B12119" i="15"/>
  <c r="H12118" i="15"/>
  <c r="B12118" i="15"/>
  <c r="H12117" i="15"/>
  <c r="B12117" i="15"/>
  <c r="H12116" i="15"/>
  <c r="B12116" i="15"/>
  <c r="H12115" i="15"/>
  <c r="B12115" i="15"/>
  <c r="H12114" i="15"/>
  <c r="B12114" i="15"/>
  <c r="H12113" i="15"/>
  <c r="B12113" i="15"/>
  <c r="H12112" i="15"/>
  <c r="B12112" i="15"/>
  <c r="H12111" i="15"/>
  <c r="B12111" i="15"/>
  <c r="H12110" i="15"/>
  <c r="B12110" i="15"/>
  <c r="H12109" i="15"/>
  <c r="B12109" i="15"/>
  <c r="H12108" i="15"/>
  <c r="B12108" i="15"/>
  <c r="H12107" i="15"/>
  <c r="B12107" i="15"/>
  <c r="H12106" i="15"/>
  <c r="B12106" i="15"/>
  <c r="H12105" i="15"/>
  <c r="B12105" i="15"/>
  <c r="H12104" i="15"/>
  <c r="B12104" i="15"/>
  <c r="H12103" i="15"/>
  <c r="B12103" i="15"/>
  <c r="H12102" i="15"/>
  <c r="B12102" i="15"/>
  <c r="H12101" i="15"/>
  <c r="B12101" i="15"/>
  <c r="H12100" i="15"/>
  <c r="B12100" i="15"/>
  <c r="H12099" i="15"/>
  <c r="B12099" i="15"/>
  <c r="H12098" i="15"/>
  <c r="B12098" i="15"/>
  <c r="H12097" i="15"/>
  <c r="B12097" i="15"/>
  <c r="H12096" i="15"/>
  <c r="B12096" i="15"/>
  <c r="H12095" i="15"/>
  <c r="B12095" i="15"/>
  <c r="H12094" i="15"/>
  <c r="B12094" i="15"/>
  <c r="H12093" i="15"/>
  <c r="B12093" i="15"/>
  <c r="H12092" i="15"/>
  <c r="B12092" i="15"/>
  <c r="H12091" i="15"/>
  <c r="B12091" i="15"/>
  <c r="H12090" i="15"/>
  <c r="B12090" i="15"/>
  <c r="H12089" i="15"/>
  <c r="B12089" i="15"/>
  <c r="H12088" i="15"/>
  <c r="B12088" i="15"/>
  <c r="H12087" i="15"/>
  <c r="B12087" i="15"/>
  <c r="H12086" i="15"/>
  <c r="B12086" i="15"/>
  <c r="H12085" i="15"/>
  <c r="B12085" i="15"/>
  <c r="H12084" i="15"/>
  <c r="B12084" i="15"/>
  <c r="H12083" i="15"/>
  <c r="B12083" i="15"/>
  <c r="H12082" i="15"/>
  <c r="B12082" i="15"/>
  <c r="H12081" i="15"/>
  <c r="B12081" i="15"/>
  <c r="H12080" i="15"/>
  <c r="B12080" i="15"/>
  <c r="H12079" i="15"/>
  <c r="B12079" i="15"/>
  <c r="H12078" i="15"/>
  <c r="B12078" i="15"/>
  <c r="H12077" i="15"/>
  <c r="B12077" i="15"/>
  <c r="H12076" i="15"/>
  <c r="B12076" i="15"/>
  <c r="H12075" i="15"/>
  <c r="B12075" i="15"/>
  <c r="H12074" i="15"/>
  <c r="B12074" i="15"/>
  <c r="H12073" i="15"/>
  <c r="B12073" i="15"/>
  <c r="H12072" i="15"/>
  <c r="B12072" i="15"/>
  <c r="H12071" i="15"/>
  <c r="B12071" i="15"/>
  <c r="H12070" i="15"/>
  <c r="B12070" i="15"/>
  <c r="H12069" i="15"/>
  <c r="B12069" i="15"/>
  <c r="H12068" i="15"/>
  <c r="B12068" i="15"/>
  <c r="H12067" i="15"/>
  <c r="B12067" i="15"/>
  <c r="H12066" i="15"/>
  <c r="B12066" i="15"/>
  <c r="H12065" i="15"/>
  <c r="B12065" i="15"/>
  <c r="H12064" i="15"/>
  <c r="B12064" i="15"/>
  <c r="H12063" i="15"/>
  <c r="B12063" i="15"/>
  <c r="H12062" i="15"/>
  <c r="B12062" i="15"/>
  <c r="H12061" i="15"/>
  <c r="B12061" i="15"/>
  <c r="H12060" i="15"/>
  <c r="B12060" i="15"/>
  <c r="H12059" i="15"/>
  <c r="B12059" i="15"/>
  <c r="H12058" i="15"/>
  <c r="B12058" i="15"/>
  <c r="H12057" i="15"/>
  <c r="B12057" i="15"/>
  <c r="H12056" i="15"/>
  <c r="B12056" i="15"/>
  <c r="H12055" i="15"/>
  <c r="B12055" i="15"/>
  <c r="H12054" i="15"/>
  <c r="B12054" i="15"/>
  <c r="H12053" i="15"/>
  <c r="B12053" i="15"/>
  <c r="H12052" i="15"/>
  <c r="B12052" i="15"/>
  <c r="H12051" i="15"/>
  <c r="B12051" i="15"/>
  <c r="H12050" i="15"/>
  <c r="B12050" i="15"/>
  <c r="H12049" i="15"/>
  <c r="B12049" i="15"/>
  <c r="H12048" i="15"/>
  <c r="B12048" i="15"/>
  <c r="H12047" i="15"/>
  <c r="B12047" i="15"/>
  <c r="H12046" i="15"/>
  <c r="B12046" i="15"/>
  <c r="H12045" i="15"/>
  <c r="B12045" i="15"/>
  <c r="H12044" i="15"/>
  <c r="B12044" i="15"/>
  <c r="H12043" i="15"/>
  <c r="B12043" i="15"/>
  <c r="H12042" i="15"/>
  <c r="B12042" i="15"/>
  <c r="H12041" i="15"/>
  <c r="B12041" i="15"/>
  <c r="H12040" i="15"/>
  <c r="B12040" i="15"/>
  <c r="H12039" i="15"/>
  <c r="B12039" i="15"/>
  <c r="H12038" i="15"/>
  <c r="B12038" i="15"/>
  <c r="H12037" i="15"/>
  <c r="B12037" i="15"/>
  <c r="H12036" i="15"/>
  <c r="B12036" i="15"/>
  <c r="H12035" i="15"/>
  <c r="B12035" i="15"/>
  <c r="H12034" i="15"/>
  <c r="B12034" i="15"/>
  <c r="H12033" i="15"/>
  <c r="B12033" i="15"/>
  <c r="H12032" i="15"/>
  <c r="B12032" i="15"/>
  <c r="H12031" i="15"/>
  <c r="B12031" i="15"/>
  <c r="H12030" i="15"/>
  <c r="B12030" i="15"/>
  <c r="H12029" i="15"/>
  <c r="B12029" i="15"/>
  <c r="H12028" i="15"/>
  <c r="B12028" i="15"/>
  <c r="H12027" i="15"/>
  <c r="B12027" i="15"/>
  <c r="H12026" i="15"/>
  <c r="B12026" i="15"/>
  <c r="H12025" i="15"/>
  <c r="B12025" i="15"/>
  <c r="H12024" i="15"/>
  <c r="B12024" i="15"/>
  <c r="H12023" i="15"/>
  <c r="B12023" i="15"/>
  <c r="H12022" i="15"/>
  <c r="B12022" i="15"/>
  <c r="H12021" i="15"/>
  <c r="B12021" i="15"/>
  <c r="H12020" i="15"/>
  <c r="B12020" i="15"/>
  <c r="H12019" i="15"/>
  <c r="B12019" i="15"/>
  <c r="H12018" i="15"/>
  <c r="B12018" i="15"/>
  <c r="H12017" i="15"/>
  <c r="B12017" i="15"/>
  <c r="H12016" i="15"/>
  <c r="B12016" i="15"/>
  <c r="H12015" i="15"/>
  <c r="B12015" i="15"/>
  <c r="H12014" i="15"/>
  <c r="B12014" i="15"/>
  <c r="H12013" i="15"/>
  <c r="B12013" i="15"/>
  <c r="H12012" i="15"/>
  <c r="B12012" i="15"/>
  <c r="H12011" i="15"/>
  <c r="B12011" i="15"/>
  <c r="H12010" i="15"/>
  <c r="B12010" i="15"/>
  <c r="H12009" i="15"/>
  <c r="B12009" i="15"/>
  <c r="H12008" i="15"/>
  <c r="B12008" i="15"/>
  <c r="H12007" i="15"/>
  <c r="B12007" i="15"/>
  <c r="H12006" i="15"/>
  <c r="B12006" i="15"/>
  <c r="H12005" i="15"/>
  <c r="B12005" i="15"/>
  <c r="H12004" i="15"/>
  <c r="B12004" i="15"/>
  <c r="H12003" i="15"/>
  <c r="B12003" i="15"/>
  <c r="H12002" i="15"/>
  <c r="B12002" i="15"/>
  <c r="H12001" i="15"/>
  <c r="B12001" i="15"/>
  <c r="H12000" i="15"/>
  <c r="B12000" i="15"/>
  <c r="H11999" i="15"/>
  <c r="B11999" i="15"/>
  <c r="H11998" i="15"/>
  <c r="B11998" i="15"/>
  <c r="H11997" i="15"/>
  <c r="B11997" i="15"/>
  <c r="H11996" i="15"/>
  <c r="B11996" i="15"/>
  <c r="H11995" i="15"/>
  <c r="B11995" i="15"/>
  <c r="H11994" i="15"/>
  <c r="B11994" i="15"/>
  <c r="H11993" i="15"/>
  <c r="B11993" i="15"/>
  <c r="H11992" i="15"/>
  <c r="B11992" i="15"/>
  <c r="H11991" i="15"/>
  <c r="B11991" i="15"/>
  <c r="H11990" i="15"/>
  <c r="B11990" i="15"/>
  <c r="H11989" i="15"/>
  <c r="B11989" i="15"/>
  <c r="H11988" i="15"/>
  <c r="B11988" i="15"/>
  <c r="H11987" i="15"/>
  <c r="B11987" i="15"/>
  <c r="H11986" i="15"/>
  <c r="B11986" i="15"/>
  <c r="H11985" i="15"/>
  <c r="B11985" i="15"/>
  <c r="H11984" i="15"/>
  <c r="B11984" i="15"/>
  <c r="H11983" i="15"/>
  <c r="B11983" i="15"/>
  <c r="H11982" i="15"/>
  <c r="B11982" i="15"/>
  <c r="H11981" i="15"/>
  <c r="B11981" i="15"/>
  <c r="H11980" i="15"/>
  <c r="B11980" i="15"/>
  <c r="H11979" i="15"/>
  <c r="B11979" i="15"/>
  <c r="H11978" i="15"/>
  <c r="B11978" i="15"/>
  <c r="H11977" i="15"/>
  <c r="B11977" i="15"/>
  <c r="H11976" i="15"/>
  <c r="B11976" i="15"/>
  <c r="H11975" i="15"/>
  <c r="B11975" i="15"/>
  <c r="H11974" i="15"/>
  <c r="B11974" i="15"/>
  <c r="H11973" i="15"/>
  <c r="B11973" i="15"/>
  <c r="H11972" i="15"/>
  <c r="B11972" i="15"/>
  <c r="H11971" i="15"/>
  <c r="B11971" i="15"/>
  <c r="H11970" i="15"/>
  <c r="B11970" i="15"/>
  <c r="H11969" i="15"/>
  <c r="B11969" i="15"/>
  <c r="H11968" i="15"/>
  <c r="B11968" i="15"/>
  <c r="H11967" i="15"/>
  <c r="B11967" i="15"/>
  <c r="H11966" i="15"/>
  <c r="B11966" i="15"/>
  <c r="H11965" i="15"/>
  <c r="B11965" i="15"/>
  <c r="H11964" i="15"/>
  <c r="B11964" i="15"/>
  <c r="H11963" i="15"/>
  <c r="B11963" i="15"/>
  <c r="H11962" i="15"/>
  <c r="B11962" i="15"/>
  <c r="H11961" i="15"/>
  <c r="B11961" i="15"/>
  <c r="H11960" i="15"/>
  <c r="B11960" i="15"/>
  <c r="H11959" i="15"/>
  <c r="B11959" i="15"/>
  <c r="H11958" i="15"/>
  <c r="B11958" i="15"/>
  <c r="H11957" i="15"/>
  <c r="B11957" i="15"/>
  <c r="H11956" i="15"/>
  <c r="B11956" i="15"/>
  <c r="H11955" i="15"/>
  <c r="B11955" i="15"/>
  <c r="H11954" i="15"/>
  <c r="B11954" i="15"/>
  <c r="H11953" i="15"/>
  <c r="B11953" i="15"/>
  <c r="H11952" i="15"/>
  <c r="B11952" i="15"/>
  <c r="H11951" i="15"/>
  <c r="B11951" i="15"/>
  <c r="H11950" i="15"/>
  <c r="B11950" i="15"/>
  <c r="H11949" i="15"/>
  <c r="B11949" i="15"/>
  <c r="H11948" i="15"/>
  <c r="B11948" i="15"/>
  <c r="H11947" i="15"/>
  <c r="B11947" i="15"/>
  <c r="H11946" i="15"/>
  <c r="B11946" i="15"/>
  <c r="H11945" i="15"/>
  <c r="B11945" i="15"/>
  <c r="H11944" i="15"/>
  <c r="B11944" i="15"/>
  <c r="H11943" i="15"/>
  <c r="B11943" i="15"/>
  <c r="H11942" i="15"/>
  <c r="B11942" i="15"/>
  <c r="H11941" i="15"/>
  <c r="B11941" i="15"/>
  <c r="H11940" i="15"/>
  <c r="B11940" i="15"/>
  <c r="H11939" i="15"/>
  <c r="B11939" i="15"/>
  <c r="H11938" i="15"/>
  <c r="B11938" i="15"/>
  <c r="H11937" i="15"/>
  <c r="B11937" i="15"/>
  <c r="H11936" i="15"/>
  <c r="B11936" i="15"/>
  <c r="H11935" i="15"/>
  <c r="B11935" i="15"/>
  <c r="H11934" i="15"/>
  <c r="B11934" i="15"/>
  <c r="H11933" i="15"/>
  <c r="B11933" i="15"/>
  <c r="H11932" i="15"/>
  <c r="B11932" i="15"/>
  <c r="H11931" i="15"/>
  <c r="B11931" i="15"/>
  <c r="H11930" i="15"/>
  <c r="B11930" i="15"/>
  <c r="H11929" i="15"/>
  <c r="B11929" i="15"/>
  <c r="H11928" i="15"/>
  <c r="B11928" i="15"/>
  <c r="H11927" i="15"/>
  <c r="B11927" i="15"/>
  <c r="H11926" i="15"/>
  <c r="B11926" i="15"/>
  <c r="H11925" i="15"/>
  <c r="B11925" i="15"/>
  <c r="H11924" i="15"/>
  <c r="B11924" i="15"/>
  <c r="H11923" i="15"/>
  <c r="B11923" i="15"/>
  <c r="H11922" i="15"/>
  <c r="B11922" i="15"/>
  <c r="H11921" i="15"/>
  <c r="B11921" i="15"/>
  <c r="H11920" i="15"/>
  <c r="B11920" i="15"/>
  <c r="H11919" i="15"/>
  <c r="B11919" i="15"/>
  <c r="H11918" i="15"/>
  <c r="B11918" i="15"/>
  <c r="H11917" i="15"/>
  <c r="B11917" i="15"/>
  <c r="H11916" i="15"/>
  <c r="B11916" i="15"/>
  <c r="H11915" i="15"/>
  <c r="B11915" i="15"/>
  <c r="H11914" i="15"/>
  <c r="B11914" i="15"/>
  <c r="H11913" i="15"/>
  <c r="B11913" i="15"/>
  <c r="H11912" i="15"/>
  <c r="B11912" i="15"/>
  <c r="H11911" i="15"/>
  <c r="B11911" i="15"/>
  <c r="H11910" i="15"/>
  <c r="B11910" i="15"/>
  <c r="H11909" i="15"/>
  <c r="B11909" i="15"/>
  <c r="H11908" i="15"/>
  <c r="B11908" i="15"/>
  <c r="H11907" i="15"/>
  <c r="B11907" i="15"/>
  <c r="H11906" i="15"/>
  <c r="B11906" i="15"/>
  <c r="H11905" i="15"/>
  <c r="B11905" i="15"/>
  <c r="H11904" i="15"/>
  <c r="B11904" i="15"/>
  <c r="H11903" i="15"/>
  <c r="B11903" i="15"/>
  <c r="H11902" i="15"/>
  <c r="B11902" i="15"/>
  <c r="H11901" i="15"/>
  <c r="B11901" i="15"/>
  <c r="H11900" i="15"/>
  <c r="B11900" i="15"/>
  <c r="H11899" i="15"/>
  <c r="B11899" i="15"/>
  <c r="H11898" i="15"/>
  <c r="B11898" i="15"/>
  <c r="H11897" i="15"/>
  <c r="B11897" i="15"/>
  <c r="H11896" i="15"/>
  <c r="B11896" i="15"/>
  <c r="H11895" i="15"/>
  <c r="B11895" i="15"/>
  <c r="H11894" i="15"/>
  <c r="B11894" i="15"/>
  <c r="H11893" i="15"/>
  <c r="B11893" i="15"/>
  <c r="H11892" i="15"/>
  <c r="B11892" i="15"/>
  <c r="H11891" i="15"/>
  <c r="B11891" i="15"/>
  <c r="H11890" i="15"/>
  <c r="B11890" i="15"/>
  <c r="H11889" i="15"/>
  <c r="B11889" i="15"/>
  <c r="H11888" i="15"/>
  <c r="B11888" i="15"/>
  <c r="H11887" i="15"/>
  <c r="B11887" i="15"/>
  <c r="H11886" i="15"/>
  <c r="B11886" i="15"/>
  <c r="H11885" i="15"/>
  <c r="B11885" i="15"/>
  <c r="H11884" i="15"/>
  <c r="B11884" i="15"/>
  <c r="H11883" i="15"/>
  <c r="B11883" i="15"/>
  <c r="H11882" i="15"/>
  <c r="B11882" i="15"/>
  <c r="H11881" i="15"/>
  <c r="B11881" i="15"/>
  <c r="H11880" i="15"/>
  <c r="B11880" i="15"/>
  <c r="H11879" i="15"/>
  <c r="B11879" i="15"/>
  <c r="H11878" i="15"/>
  <c r="B11878" i="15"/>
  <c r="H11877" i="15"/>
  <c r="B11877" i="15"/>
  <c r="H11876" i="15"/>
  <c r="B11876" i="15"/>
  <c r="H11875" i="15"/>
  <c r="B11875" i="15"/>
  <c r="H11874" i="15"/>
  <c r="B11874" i="15"/>
  <c r="H11873" i="15"/>
  <c r="B11873" i="15"/>
  <c r="H11872" i="15"/>
  <c r="B11872" i="15"/>
  <c r="H11871" i="15"/>
  <c r="B11871" i="15"/>
  <c r="H11870" i="15"/>
  <c r="B11870" i="15"/>
  <c r="H11869" i="15"/>
  <c r="B11869" i="15"/>
  <c r="H11868" i="15"/>
  <c r="B11868" i="15"/>
  <c r="H11867" i="15"/>
  <c r="B11867" i="15"/>
  <c r="H11866" i="15"/>
  <c r="B11866" i="15"/>
  <c r="H11865" i="15"/>
  <c r="B11865" i="15"/>
  <c r="H11864" i="15"/>
  <c r="B11864" i="15"/>
  <c r="H11863" i="15"/>
  <c r="B11863" i="15"/>
  <c r="H11862" i="15"/>
  <c r="B11862" i="15"/>
  <c r="H11861" i="15"/>
  <c r="B11861" i="15"/>
  <c r="H11860" i="15"/>
  <c r="B11860" i="15"/>
  <c r="H11859" i="15"/>
  <c r="B11859" i="15"/>
  <c r="H11858" i="15"/>
  <c r="B11858" i="15"/>
  <c r="H11857" i="15"/>
  <c r="B11857" i="15"/>
  <c r="H11856" i="15"/>
  <c r="B11856" i="15"/>
  <c r="H11855" i="15"/>
  <c r="B11855" i="15"/>
  <c r="H11854" i="15"/>
  <c r="B11854" i="15"/>
  <c r="H11853" i="15"/>
  <c r="B11853" i="15"/>
  <c r="H11852" i="15"/>
  <c r="B11852" i="15"/>
  <c r="H11851" i="15"/>
  <c r="B11851" i="15"/>
  <c r="H11850" i="15"/>
  <c r="B11850" i="15"/>
  <c r="H11849" i="15"/>
  <c r="B11849" i="15"/>
  <c r="H11848" i="15"/>
  <c r="B11848" i="15"/>
  <c r="H11847" i="15"/>
  <c r="B11847" i="15"/>
  <c r="H11846" i="15"/>
  <c r="B11846" i="15"/>
  <c r="H11845" i="15"/>
  <c r="B11845" i="15"/>
  <c r="H11844" i="15"/>
  <c r="B11844" i="15"/>
  <c r="H11843" i="15"/>
  <c r="B11843" i="15"/>
  <c r="H11842" i="15"/>
  <c r="B11842" i="15"/>
  <c r="H11841" i="15"/>
  <c r="B11841" i="15"/>
  <c r="H11840" i="15"/>
  <c r="B11840" i="15"/>
  <c r="H11839" i="15"/>
  <c r="B11839" i="15"/>
  <c r="H11838" i="15"/>
  <c r="B11838" i="15"/>
  <c r="H11837" i="15"/>
  <c r="B11837" i="15"/>
  <c r="H11836" i="15"/>
  <c r="B11836" i="15"/>
  <c r="H11835" i="15"/>
  <c r="B11835" i="15"/>
  <c r="H11834" i="15"/>
  <c r="B11834" i="15"/>
  <c r="H11833" i="15"/>
  <c r="B11833" i="15"/>
  <c r="H11832" i="15"/>
  <c r="B11832" i="15"/>
  <c r="H11831" i="15"/>
  <c r="B11831" i="15"/>
  <c r="H11830" i="15"/>
  <c r="B11830" i="15"/>
  <c r="H11829" i="15"/>
  <c r="B11829" i="15"/>
  <c r="H11828" i="15"/>
  <c r="B11828" i="15"/>
  <c r="H11827" i="15"/>
  <c r="B11827" i="15"/>
  <c r="H11826" i="15"/>
  <c r="B11826" i="15"/>
  <c r="H11825" i="15"/>
  <c r="B11825" i="15"/>
  <c r="H11824" i="15"/>
  <c r="B11824" i="15"/>
  <c r="H11823" i="15"/>
  <c r="B11823" i="15"/>
  <c r="H11822" i="15"/>
  <c r="B11822" i="15"/>
  <c r="H11821" i="15"/>
  <c r="B11821" i="15"/>
  <c r="H11820" i="15"/>
  <c r="B11820" i="15"/>
  <c r="H11819" i="15"/>
  <c r="B11819" i="15"/>
  <c r="H11818" i="15"/>
  <c r="B11818" i="15"/>
  <c r="H11817" i="15"/>
  <c r="B11817" i="15"/>
  <c r="H11816" i="15"/>
  <c r="B11816" i="15"/>
  <c r="H11815" i="15"/>
  <c r="B11815" i="15"/>
  <c r="H11814" i="15"/>
  <c r="B11814" i="15"/>
  <c r="H11813" i="15"/>
  <c r="B11813" i="15"/>
  <c r="H11812" i="15"/>
  <c r="B11812" i="15"/>
  <c r="H11811" i="15"/>
  <c r="B11811" i="15"/>
  <c r="H11810" i="15"/>
  <c r="B11810" i="15"/>
  <c r="H11809" i="15"/>
  <c r="B11809" i="15"/>
  <c r="H11808" i="15"/>
  <c r="B11808" i="15"/>
  <c r="H11807" i="15"/>
  <c r="B11807" i="15"/>
  <c r="H11806" i="15"/>
  <c r="B11806" i="15"/>
  <c r="H11805" i="15"/>
  <c r="B11805" i="15"/>
  <c r="H11804" i="15"/>
  <c r="B11804" i="15"/>
  <c r="H11803" i="15"/>
  <c r="B11803" i="15"/>
  <c r="H11802" i="15"/>
  <c r="B11802" i="15"/>
  <c r="H11801" i="15"/>
  <c r="B11801" i="15"/>
  <c r="H11800" i="15"/>
  <c r="B11800" i="15"/>
  <c r="H11799" i="15"/>
  <c r="B11799" i="15"/>
  <c r="H11798" i="15"/>
  <c r="B11798" i="15"/>
  <c r="H11797" i="15"/>
  <c r="B11797" i="15"/>
  <c r="H11796" i="15"/>
  <c r="B11796" i="15"/>
  <c r="H11795" i="15"/>
  <c r="B11795" i="15"/>
  <c r="H11794" i="15"/>
  <c r="B11794" i="15"/>
  <c r="H11793" i="15"/>
  <c r="B11793" i="15"/>
  <c r="H11792" i="15"/>
  <c r="B11792" i="15"/>
  <c r="H11791" i="15"/>
  <c r="B11791" i="15"/>
  <c r="H11790" i="15"/>
  <c r="B11790" i="15"/>
  <c r="H11789" i="15"/>
  <c r="B11789" i="15"/>
  <c r="H11788" i="15"/>
  <c r="B11788" i="15"/>
  <c r="H11787" i="15"/>
  <c r="B11787" i="15"/>
  <c r="H11786" i="15"/>
  <c r="B11786" i="15"/>
  <c r="H11785" i="15"/>
  <c r="B11785" i="15"/>
  <c r="H11784" i="15"/>
  <c r="B11784" i="15"/>
  <c r="H11783" i="15"/>
  <c r="B11783" i="15"/>
  <c r="H11782" i="15"/>
  <c r="B11782" i="15"/>
  <c r="H11781" i="15"/>
  <c r="B11781" i="15"/>
  <c r="H11780" i="15"/>
  <c r="B11780" i="15"/>
  <c r="H11779" i="15"/>
  <c r="B11779" i="15"/>
  <c r="H11778" i="15"/>
  <c r="B11778" i="15"/>
  <c r="H11777" i="15"/>
  <c r="B11777" i="15"/>
  <c r="H11776" i="15"/>
  <c r="B11776" i="15"/>
  <c r="H11775" i="15"/>
  <c r="B11775" i="15"/>
  <c r="H11774" i="15"/>
  <c r="B11774" i="15"/>
  <c r="H11773" i="15"/>
  <c r="B11773" i="15"/>
  <c r="H11772" i="15"/>
  <c r="B11772" i="15"/>
  <c r="H11771" i="15"/>
  <c r="B11771" i="15"/>
  <c r="H11770" i="15"/>
  <c r="B11770" i="15"/>
  <c r="H11769" i="15"/>
  <c r="B11769" i="15"/>
  <c r="H11768" i="15"/>
  <c r="B11768" i="15"/>
  <c r="H11767" i="15"/>
  <c r="B11767" i="15"/>
  <c r="H11766" i="15"/>
  <c r="B11766" i="15"/>
  <c r="H11765" i="15"/>
  <c r="B11765" i="15"/>
  <c r="H11764" i="15"/>
  <c r="B11764" i="15"/>
  <c r="H11763" i="15"/>
  <c r="B11763" i="15"/>
  <c r="H11762" i="15"/>
  <c r="B11762" i="15"/>
  <c r="H11761" i="15"/>
  <c r="B11761" i="15"/>
  <c r="H11760" i="15"/>
  <c r="B11760" i="15"/>
  <c r="H11759" i="15"/>
  <c r="B11759" i="15"/>
  <c r="H11758" i="15"/>
  <c r="B11758" i="15"/>
  <c r="H11757" i="15"/>
  <c r="B11757" i="15"/>
  <c r="H11756" i="15"/>
  <c r="B11756" i="15"/>
  <c r="H11755" i="15"/>
  <c r="B11755" i="15"/>
  <c r="H11754" i="15"/>
  <c r="B11754" i="15"/>
  <c r="H11753" i="15"/>
  <c r="B11753" i="15"/>
  <c r="H11752" i="15"/>
  <c r="B11752" i="15"/>
  <c r="H11751" i="15"/>
  <c r="B11751" i="15"/>
  <c r="H11750" i="15"/>
  <c r="B11750" i="15"/>
  <c r="H11749" i="15"/>
  <c r="B11749" i="15"/>
  <c r="H11748" i="15"/>
  <c r="B11748" i="15"/>
  <c r="H11747" i="15"/>
  <c r="B11747" i="15"/>
  <c r="H11746" i="15"/>
  <c r="B11746" i="15"/>
  <c r="H11745" i="15"/>
  <c r="B11745" i="15"/>
  <c r="H11744" i="15"/>
  <c r="B11744" i="15"/>
  <c r="H11743" i="15"/>
  <c r="B11743" i="15"/>
  <c r="H11742" i="15"/>
  <c r="B11742" i="15"/>
  <c r="H11741" i="15"/>
  <c r="B11741" i="15"/>
  <c r="H11740" i="15"/>
  <c r="B11740" i="15"/>
  <c r="H11739" i="15"/>
  <c r="B11739" i="15"/>
  <c r="H11738" i="15"/>
  <c r="B11738" i="15"/>
  <c r="H11737" i="15"/>
  <c r="B11737" i="15"/>
  <c r="H11736" i="15"/>
  <c r="B11736" i="15"/>
  <c r="H11735" i="15"/>
  <c r="B11735" i="15"/>
  <c r="H11734" i="15"/>
  <c r="B11734" i="15"/>
  <c r="H11733" i="15"/>
  <c r="B11733" i="15"/>
  <c r="H11732" i="15"/>
  <c r="B11732" i="15"/>
  <c r="H11731" i="15"/>
  <c r="B11731" i="15"/>
  <c r="H11730" i="15"/>
  <c r="B11730" i="15"/>
  <c r="H11729" i="15"/>
  <c r="B11729" i="15"/>
  <c r="H11728" i="15"/>
  <c r="B11728" i="15"/>
  <c r="H11727" i="15"/>
  <c r="B11727" i="15"/>
  <c r="H11726" i="15"/>
  <c r="B11726" i="15"/>
  <c r="H11725" i="15"/>
  <c r="B11725" i="15"/>
  <c r="H11724" i="15"/>
  <c r="B11724" i="15"/>
  <c r="H11723" i="15"/>
  <c r="B11723" i="15"/>
  <c r="H11722" i="15"/>
  <c r="B11722" i="15"/>
  <c r="H11721" i="15"/>
  <c r="B11721" i="15"/>
  <c r="H11720" i="15"/>
  <c r="B11720" i="15"/>
  <c r="H11719" i="15"/>
  <c r="B11719" i="15"/>
  <c r="H11718" i="15"/>
  <c r="B11718" i="15"/>
  <c r="H11717" i="15"/>
  <c r="B11717" i="15"/>
  <c r="H11716" i="15"/>
  <c r="B11716" i="15"/>
  <c r="H11715" i="15"/>
  <c r="B11715" i="15"/>
  <c r="H11714" i="15"/>
  <c r="B11714" i="15"/>
  <c r="H11713" i="15"/>
  <c r="B11713" i="15"/>
  <c r="H11712" i="15"/>
  <c r="B11712" i="15"/>
  <c r="H11711" i="15"/>
  <c r="B11711" i="15"/>
  <c r="H11710" i="15"/>
  <c r="B11710" i="15"/>
  <c r="H11709" i="15"/>
  <c r="B11709" i="15"/>
  <c r="H11708" i="15"/>
  <c r="B11708" i="15"/>
  <c r="H11707" i="15"/>
  <c r="B11707" i="15"/>
  <c r="H11706" i="15"/>
  <c r="B11706" i="15"/>
  <c r="H11705" i="15"/>
  <c r="B11705" i="15"/>
  <c r="H11704" i="15"/>
  <c r="B11704" i="15"/>
  <c r="H11703" i="15"/>
  <c r="B11703" i="15"/>
  <c r="H11702" i="15"/>
  <c r="B11702" i="15"/>
  <c r="H11701" i="15"/>
  <c r="B11701" i="15"/>
  <c r="H11700" i="15"/>
  <c r="B11700" i="15"/>
  <c r="H11699" i="15"/>
  <c r="B11699" i="15"/>
  <c r="H11698" i="15"/>
  <c r="B11698" i="15"/>
  <c r="H11697" i="15"/>
  <c r="B11697" i="15"/>
  <c r="H11696" i="15"/>
  <c r="B11696" i="15"/>
  <c r="H11695" i="15"/>
  <c r="B11695" i="15"/>
  <c r="H11694" i="15"/>
  <c r="B11694" i="15"/>
  <c r="H11693" i="15"/>
  <c r="B11693" i="15"/>
  <c r="H11692" i="15"/>
  <c r="B11692" i="15"/>
  <c r="H11691" i="15"/>
  <c r="B11691" i="15"/>
  <c r="H11690" i="15"/>
  <c r="B11690" i="15"/>
  <c r="H11689" i="15"/>
  <c r="B11689" i="15"/>
  <c r="H11688" i="15"/>
  <c r="B11688" i="15"/>
  <c r="H11687" i="15"/>
  <c r="B11687" i="15"/>
  <c r="H11686" i="15"/>
  <c r="B11686" i="15"/>
  <c r="H11685" i="15"/>
  <c r="B11685" i="15"/>
  <c r="H11684" i="15"/>
  <c r="B11684" i="15"/>
  <c r="H11683" i="15"/>
  <c r="B11683" i="15"/>
  <c r="H11682" i="15"/>
  <c r="B11682" i="15"/>
  <c r="H11681" i="15"/>
  <c r="B11681" i="15"/>
  <c r="H11680" i="15"/>
  <c r="B11680" i="15"/>
  <c r="H11679" i="15"/>
  <c r="B11679" i="15"/>
  <c r="H11678" i="15"/>
  <c r="B11678" i="15"/>
  <c r="H11677" i="15"/>
  <c r="B11677" i="15"/>
  <c r="H11676" i="15"/>
  <c r="B11676" i="15"/>
  <c r="H11675" i="15"/>
  <c r="B11675" i="15"/>
  <c r="H11674" i="15"/>
  <c r="B11674" i="15"/>
  <c r="H11673" i="15"/>
  <c r="B11673" i="15"/>
  <c r="H11672" i="15"/>
  <c r="B11672" i="15"/>
  <c r="H11671" i="15"/>
  <c r="B11671" i="15"/>
  <c r="H11670" i="15"/>
  <c r="B11670" i="15"/>
  <c r="H11669" i="15"/>
  <c r="B11669" i="15"/>
  <c r="H11668" i="15"/>
  <c r="B11668" i="15"/>
  <c r="H11667" i="15"/>
  <c r="B11667" i="15"/>
  <c r="H11666" i="15"/>
  <c r="B11666" i="15"/>
  <c r="H11665" i="15"/>
  <c r="B11665" i="15"/>
  <c r="H11664" i="15"/>
  <c r="B11664" i="15"/>
  <c r="H11663" i="15"/>
  <c r="B11663" i="15"/>
  <c r="H11662" i="15"/>
  <c r="B11662" i="15"/>
  <c r="H11661" i="15"/>
  <c r="B11661" i="15"/>
  <c r="H11660" i="15"/>
  <c r="B11660" i="15"/>
  <c r="H11659" i="15"/>
  <c r="B11659" i="15"/>
  <c r="H11658" i="15"/>
  <c r="B11658" i="15"/>
  <c r="H11657" i="15"/>
  <c r="B11657" i="15"/>
  <c r="H11656" i="15"/>
  <c r="B11656" i="15"/>
  <c r="H11655" i="15"/>
  <c r="B11655" i="15"/>
  <c r="H11654" i="15"/>
  <c r="B11654" i="15"/>
  <c r="H11653" i="15"/>
  <c r="B11653" i="15"/>
  <c r="H11652" i="15"/>
  <c r="B11652" i="15"/>
  <c r="H11651" i="15"/>
  <c r="B11651" i="15"/>
  <c r="H11650" i="15"/>
  <c r="B11650" i="15"/>
  <c r="H11649" i="15"/>
  <c r="B11649" i="15"/>
  <c r="H11648" i="15"/>
  <c r="B11648" i="15"/>
  <c r="H11647" i="15"/>
  <c r="B11647" i="15"/>
  <c r="H11646" i="15"/>
  <c r="B11646" i="15"/>
  <c r="H11645" i="15"/>
  <c r="B11645" i="15"/>
  <c r="H11644" i="15"/>
  <c r="B11644" i="15"/>
  <c r="H11643" i="15"/>
  <c r="B11643" i="15"/>
  <c r="H11642" i="15"/>
  <c r="B11642" i="15"/>
  <c r="H11641" i="15"/>
  <c r="B11641" i="15"/>
  <c r="H11640" i="15"/>
  <c r="B11640" i="15"/>
  <c r="H11639" i="15"/>
  <c r="B11639" i="15"/>
  <c r="H11638" i="15"/>
  <c r="B11638" i="15"/>
  <c r="H11637" i="15"/>
  <c r="B11637" i="15"/>
  <c r="H11636" i="15"/>
  <c r="B11636" i="15"/>
  <c r="H11635" i="15"/>
  <c r="B11635" i="15"/>
  <c r="H11634" i="15"/>
  <c r="B11634" i="15"/>
  <c r="H11633" i="15"/>
  <c r="B11633" i="15"/>
  <c r="H11632" i="15"/>
  <c r="B11632" i="15"/>
  <c r="H11631" i="15"/>
  <c r="B11631" i="15"/>
  <c r="H11630" i="15"/>
  <c r="B11630" i="15"/>
  <c r="H11629" i="15"/>
  <c r="B11629" i="15"/>
  <c r="H11628" i="15"/>
  <c r="B11628" i="15"/>
  <c r="H11627" i="15"/>
  <c r="B11627" i="15"/>
  <c r="H11626" i="15"/>
  <c r="B11626" i="15"/>
  <c r="H11625" i="15"/>
  <c r="B11625" i="15"/>
  <c r="H11624" i="15"/>
  <c r="B11624" i="15"/>
  <c r="H11623" i="15"/>
  <c r="B11623" i="15"/>
  <c r="H11622" i="15"/>
  <c r="B11622" i="15"/>
  <c r="H11621" i="15"/>
  <c r="B11621" i="15"/>
  <c r="H11620" i="15"/>
  <c r="B11620" i="15"/>
  <c r="H11619" i="15"/>
  <c r="B11619" i="15"/>
  <c r="H11618" i="15"/>
  <c r="B11618" i="15"/>
  <c r="H11617" i="15"/>
  <c r="B11617" i="15"/>
  <c r="H11616" i="15"/>
  <c r="B11616" i="15"/>
  <c r="H11615" i="15"/>
  <c r="B11615" i="15"/>
  <c r="H11614" i="15"/>
  <c r="B11614" i="15"/>
  <c r="H11613" i="15"/>
  <c r="B11613" i="15"/>
  <c r="H11612" i="15"/>
  <c r="B11612" i="15"/>
  <c r="H11611" i="15"/>
  <c r="B11611" i="15"/>
  <c r="H11610" i="15"/>
  <c r="B11610" i="15"/>
  <c r="H11609" i="15"/>
  <c r="B11609" i="15"/>
  <c r="H11608" i="15"/>
  <c r="B11608" i="15"/>
  <c r="H11607" i="15"/>
  <c r="B11607" i="15"/>
  <c r="H11606" i="15"/>
  <c r="B11606" i="15"/>
  <c r="H11605" i="15"/>
  <c r="B11605" i="15"/>
  <c r="H11604" i="15"/>
  <c r="B11604" i="15"/>
  <c r="H11603" i="15"/>
  <c r="B11603" i="15"/>
  <c r="H11602" i="15"/>
  <c r="B11602" i="15"/>
  <c r="H11601" i="15"/>
  <c r="B11601" i="15"/>
  <c r="H11600" i="15"/>
  <c r="B11600" i="15"/>
  <c r="H11599" i="15"/>
  <c r="B11599" i="15"/>
  <c r="H11598" i="15"/>
  <c r="B11598" i="15"/>
  <c r="H11597" i="15"/>
  <c r="B11597" i="15"/>
  <c r="H11596" i="15"/>
  <c r="B11596" i="15"/>
  <c r="H11595" i="15"/>
  <c r="B11595" i="15"/>
  <c r="H11594" i="15"/>
  <c r="B11594" i="15"/>
  <c r="H11593" i="15"/>
  <c r="B11593" i="15"/>
  <c r="H11592" i="15"/>
  <c r="B11592" i="15"/>
  <c r="H11591" i="15"/>
  <c r="B11591" i="15"/>
  <c r="H11590" i="15"/>
  <c r="B11590" i="15"/>
  <c r="H11589" i="15"/>
  <c r="B11589" i="15"/>
  <c r="H11588" i="15"/>
  <c r="B11588" i="15"/>
  <c r="H11587" i="15"/>
  <c r="B11587" i="15"/>
  <c r="H11586" i="15"/>
  <c r="B11586" i="15"/>
  <c r="H11585" i="15"/>
  <c r="B11585" i="15"/>
  <c r="H11584" i="15"/>
  <c r="B11584" i="15"/>
  <c r="H11583" i="15"/>
  <c r="B11583" i="15"/>
  <c r="H11582" i="15"/>
  <c r="B11582" i="15"/>
  <c r="H11581" i="15"/>
  <c r="B11581" i="15"/>
  <c r="H11580" i="15"/>
  <c r="B11580" i="15"/>
  <c r="H11579" i="15"/>
  <c r="B11579" i="15"/>
  <c r="H11578" i="15"/>
  <c r="B11578" i="15"/>
  <c r="H11577" i="15"/>
  <c r="B11577" i="15"/>
  <c r="H11576" i="15"/>
  <c r="B11576" i="15"/>
  <c r="H11575" i="15"/>
  <c r="B11575" i="15"/>
  <c r="H11574" i="15"/>
  <c r="B11574" i="15"/>
  <c r="H11573" i="15"/>
  <c r="B11573" i="15"/>
  <c r="H11572" i="15"/>
  <c r="B11572" i="15"/>
  <c r="H11571" i="15"/>
  <c r="B11571" i="15"/>
  <c r="H11570" i="15"/>
  <c r="B11570" i="15"/>
  <c r="H11569" i="15"/>
  <c r="B11569" i="15"/>
  <c r="H11568" i="15"/>
  <c r="B11568" i="15"/>
  <c r="H11567" i="15"/>
  <c r="B11567" i="15"/>
  <c r="H11566" i="15"/>
  <c r="B11566" i="15"/>
  <c r="H11565" i="15"/>
  <c r="B11565" i="15"/>
  <c r="H11564" i="15"/>
  <c r="B11564" i="15"/>
  <c r="H11563" i="15"/>
  <c r="B11563" i="15"/>
  <c r="H11562" i="15"/>
  <c r="B11562" i="15"/>
  <c r="H11561" i="15"/>
  <c r="B11561" i="15"/>
  <c r="H11560" i="15"/>
  <c r="B11560" i="15"/>
  <c r="H11559" i="15"/>
  <c r="B11559" i="15"/>
  <c r="H11558" i="15"/>
  <c r="B11558" i="15"/>
  <c r="H11557" i="15"/>
  <c r="B11557" i="15"/>
  <c r="H11556" i="15"/>
  <c r="B11556" i="15"/>
  <c r="H11555" i="15"/>
  <c r="B11555" i="15"/>
  <c r="H11554" i="15"/>
  <c r="B11554" i="15"/>
  <c r="H11553" i="15"/>
  <c r="B11553" i="15"/>
  <c r="H11552" i="15"/>
  <c r="B11552" i="15"/>
  <c r="H11551" i="15"/>
  <c r="B11551" i="15"/>
  <c r="H11550" i="15"/>
  <c r="B11550" i="15"/>
  <c r="H11549" i="15"/>
  <c r="B11549" i="15"/>
  <c r="H11548" i="15"/>
  <c r="B11548" i="15"/>
  <c r="H11547" i="15"/>
  <c r="B11547" i="15"/>
  <c r="H11546" i="15"/>
  <c r="B11546" i="15"/>
  <c r="H11545" i="15"/>
  <c r="B11545" i="15"/>
  <c r="H11544" i="15"/>
  <c r="B11544" i="15"/>
  <c r="H11543" i="15"/>
  <c r="B11543" i="15"/>
  <c r="H11542" i="15"/>
  <c r="B11542" i="15"/>
  <c r="H11541" i="15"/>
  <c r="B11541" i="15"/>
  <c r="H11540" i="15"/>
  <c r="B11540" i="15"/>
  <c r="H11539" i="15"/>
  <c r="B11539" i="15"/>
  <c r="H11538" i="15"/>
  <c r="B11538" i="15"/>
  <c r="H11537" i="15"/>
  <c r="B11537" i="15"/>
  <c r="H11536" i="15"/>
  <c r="B11536" i="15"/>
  <c r="H11535" i="15"/>
  <c r="B11535" i="15"/>
  <c r="H11534" i="15"/>
  <c r="B11534" i="15"/>
  <c r="H11533" i="15"/>
  <c r="B11533" i="15"/>
  <c r="H11532" i="15"/>
  <c r="B11532" i="15"/>
  <c r="H11531" i="15"/>
  <c r="B11531" i="15"/>
  <c r="H11530" i="15"/>
  <c r="B11530" i="15"/>
  <c r="H11529" i="15"/>
  <c r="B11529" i="15"/>
  <c r="H11528" i="15"/>
  <c r="B11528" i="15"/>
  <c r="H11527" i="15"/>
  <c r="B11527" i="15"/>
  <c r="H11526" i="15"/>
  <c r="B11526" i="15"/>
  <c r="H11525" i="15"/>
  <c r="B11525" i="15"/>
  <c r="H11524" i="15"/>
  <c r="B11524" i="15"/>
  <c r="H11523" i="15"/>
  <c r="B11523" i="15"/>
  <c r="H11522" i="15"/>
  <c r="B11522" i="15"/>
  <c r="H11521" i="15"/>
  <c r="B11521" i="15"/>
  <c r="H11520" i="15"/>
  <c r="B11520" i="15"/>
  <c r="H11519" i="15"/>
  <c r="B11519" i="15"/>
  <c r="H11518" i="15"/>
  <c r="B11518" i="15"/>
  <c r="H11517" i="15"/>
  <c r="B11517" i="15"/>
  <c r="H11516" i="15"/>
  <c r="B11516" i="15"/>
  <c r="H11515" i="15"/>
  <c r="B11515" i="15"/>
  <c r="H11514" i="15"/>
  <c r="B11514" i="15"/>
  <c r="H11513" i="15"/>
  <c r="B11513" i="15"/>
  <c r="H11512" i="15"/>
  <c r="B11512" i="15"/>
  <c r="H11511" i="15"/>
  <c r="B11511" i="15"/>
  <c r="H11510" i="15"/>
  <c r="B11510" i="15"/>
  <c r="H11509" i="15"/>
  <c r="B11509" i="15"/>
  <c r="H11508" i="15"/>
  <c r="B11508" i="15"/>
  <c r="H11507" i="15"/>
  <c r="B11507" i="15"/>
  <c r="H11506" i="15"/>
  <c r="B11506" i="15"/>
  <c r="H11505" i="15"/>
  <c r="B11505" i="15"/>
  <c r="H11504" i="15"/>
  <c r="B11504" i="15"/>
  <c r="H11503" i="15"/>
  <c r="B11503" i="15"/>
  <c r="H11502" i="15"/>
  <c r="B11502" i="15"/>
  <c r="H11501" i="15"/>
  <c r="B11501" i="15"/>
  <c r="H11500" i="15"/>
  <c r="B11500" i="15"/>
  <c r="H11499" i="15"/>
  <c r="B11499" i="15"/>
  <c r="H11498" i="15"/>
  <c r="B11498" i="15"/>
  <c r="H11497" i="15"/>
  <c r="B11497" i="15"/>
  <c r="H11496" i="15"/>
  <c r="B11496" i="15"/>
  <c r="H11495" i="15"/>
  <c r="B11495" i="15"/>
  <c r="H11494" i="15"/>
  <c r="B11494" i="15"/>
  <c r="H11493" i="15"/>
  <c r="B11493" i="15"/>
  <c r="H11492" i="15"/>
  <c r="B11492" i="15"/>
  <c r="H11491" i="15"/>
  <c r="B11491" i="15"/>
  <c r="H11490" i="15"/>
  <c r="B11490" i="15"/>
  <c r="H11489" i="15"/>
  <c r="B11489" i="15"/>
  <c r="H11488" i="15"/>
  <c r="B11488" i="15"/>
  <c r="H11487" i="15"/>
  <c r="B11487" i="15"/>
  <c r="H11486" i="15"/>
  <c r="B11486" i="15"/>
  <c r="H11485" i="15"/>
  <c r="B11485" i="15"/>
  <c r="H11484" i="15"/>
  <c r="B11484" i="15"/>
  <c r="H11483" i="15"/>
  <c r="B11483" i="15"/>
  <c r="H11482" i="15"/>
  <c r="B11482" i="15"/>
  <c r="H11481" i="15"/>
  <c r="B11481" i="15"/>
  <c r="H11480" i="15"/>
  <c r="B11480" i="15"/>
  <c r="H11479" i="15"/>
  <c r="B11479" i="15"/>
  <c r="H11478" i="15"/>
  <c r="B11478" i="15"/>
  <c r="H11477" i="15"/>
  <c r="B11477" i="15"/>
  <c r="H11476" i="15"/>
  <c r="B11476" i="15"/>
  <c r="H11475" i="15"/>
  <c r="B11475" i="15"/>
  <c r="H11474" i="15"/>
  <c r="B11474" i="15"/>
  <c r="H11473" i="15"/>
  <c r="B11473" i="15"/>
  <c r="H11472" i="15"/>
  <c r="B11472" i="15"/>
  <c r="H11471" i="15"/>
  <c r="B11471" i="15"/>
  <c r="H11470" i="15"/>
  <c r="B11470" i="15"/>
  <c r="H11469" i="15"/>
  <c r="B11469" i="15"/>
  <c r="H11468" i="15"/>
  <c r="B11468" i="15"/>
  <c r="H11467" i="15"/>
  <c r="B11467" i="15"/>
  <c r="H11466" i="15"/>
  <c r="B11466" i="15"/>
  <c r="H11465" i="15"/>
  <c r="B11465" i="15"/>
  <c r="H11464" i="15"/>
  <c r="B11464" i="15"/>
  <c r="H11463" i="15"/>
  <c r="B11463" i="15"/>
  <c r="H11462" i="15"/>
  <c r="B11462" i="15"/>
  <c r="H11461" i="15"/>
  <c r="B11461" i="15"/>
  <c r="H11460" i="15"/>
  <c r="B11460" i="15"/>
  <c r="H11459" i="15"/>
  <c r="B11459" i="15"/>
  <c r="H11458" i="15"/>
  <c r="B11458" i="15"/>
  <c r="H11457" i="15"/>
  <c r="B11457" i="15"/>
  <c r="H11456" i="15"/>
  <c r="B11456" i="15"/>
  <c r="H11455" i="15"/>
  <c r="B11455" i="15"/>
  <c r="H11454" i="15"/>
  <c r="B11454" i="15"/>
  <c r="H11453" i="15"/>
  <c r="B11453" i="15"/>
  <c r="H11452" i="15"/>
  <c r="B11452" i="15"/>
  <c r="H11451" i="15"/>
  <c r="B11451" i="15"/>
  <c r="H11450" i="15"/>
  <c r="B11450" i="15"/>
  <c r="H11449" i="15"/>
  <c r="B11449" i="15"/>
  <c r="H11448" i="15"/>
  <c r="B11448" i="15"/>
  <c r="H11447" i="15"/>
  <c r="B11447" i="15"/>
  <c r="H11446" i="15"/>
  <c r="B11446" i="15"/>
  <c r="H11445" i="15"/>
  <c r="B11445" i="15"/>
  <c r="H11444" i="15"/>
  <c r="B11444" i="15"/>
  <c r="H11443" i="15"/>
  <c r="B11443" i="15"/>
  <c r="H11442" i="15"/>
  <c r="B11442" i="15"/>
  <c r="H11441" i="15"/>
  <c r="B11441" i="15"/>
  <c r="H11440" i="15"/>
  <c r="B11440" i="15"/>
  <c r="H11439" i="15"/>
  <c r="B11439" i="15"/>
  <c r="H11438" i="15"/>
  <c r="B11438" i="15"/>
  <c r="H11437" i="15"/>
  <c r="B11437" i="15"/>
  <c r="H11436" i="15"/>
  <c r="B11436" i="15"/>
  <c r="H11435" i="15"/>
  <c r="B11435" i="15"/>
  <c r="H11434" i="15"/>
  <c r="B11434" i="15"/>
  <c r="H11433" i="15"/>
  <c r="B11433" i="15"/>
  <c r="H11432" i="15"/>
  <c r="B11432" i="15"/>
  <c r="H11431" i="15"/>
  <c r="B11431" i="15"/>
  <c r="H11430" i="15"/>
  <c r="B11430" i="15"/>
  <c r="H11429" i="15"/>
  <c r="B11429" i="15"/>
  <c r="H11428" i="15"/>
  <c r="B11428" i="15"/>
  <c r="H11427" i="15"/>
  <c r="B11427" i="15"/>
  <c r="H11426" i="15"/>
  <c r="B11426" i="15"/>
  <c r="H11425" i="15"/>
  <c r="B11425" i="15"/>
  <c r="H11424" i="15"/>
  <c r="B11424" i="15"/>
  <c r="H11423" i="15"/>
  <c r="B11423" i="15"/>
  <c r="H11422" i="15"/>
  <c r="B11422" i="15"/>
  <c r="H11421" i="15"/>
  <c r="B11421" i="15"/>
  <c r="H11420" i="15"/>
  <c r="B11420" i="15"/>
  <c r="H11419" i="15"/>
  <c r="B11419" i="15"/>
  <c r="H11418" i="15"/>
  <c r="B11418" i="15"/>
  <c r="H11417" i="15"/>
  <c r="B11417" i="15"/>
  <c r="H11416" i="15"/>
  <c r="B11416" i="15"/>
  <c r="H11415" i="15"/>
  <c r="B11415" i="15"/>
  <c r="H11414" i="15"/>
  <c r="B11414" i="15"/>
  <c r="H11413" i="15"/>
  <c r="B11413" i="15"/>
  <c r="H11412" i="15"/>
  <c r="B11412" i="15"/>
  <c r="H11411" i="15"/>
  <c r="B11411" i="15"/>
  <c r="H11410" i="15"/>
  <c r="B11410" i="15"/>
  <c r="H11409" i="15"/>
  <c r="B11409" i="15"/>
  <c r="H11408" i="15"/>
  <c r="B11408" i="15"/>
  <c r="H11407" i="15"/>
  <c r="B11407" i="15"/>
  <c r="H11406" i="15"/>
  <c r="B11406" i="15"/>
  <c r="H11405" i="15"/>
  <c r="B11405" i="15"/>
  <c r="H11404" i="15"/>
  <c r="B11404" i="15"/>
  <c r="H11403" i="15"/>
  <c r="B11403" i="15"/>
  <c r="H11402" i="15"/>
  <c r="B11402" i="15"/>
  <c r="H11401" i="15"/>
  <c r="B11401" i="15"/>
  <c r="H11400" i="15"/>
  <c r="B11400" i="15"/>
  <c r="H11399" i="15"/>
  <c r="B11399" i="15"/>
  <c r="H11398" i="15"/>
  <c r="B11398" i="15"/>
  <c r="H11397" i="15"/>
  <c r="B11397" i="15"/>
  <c r="H11396" i="15"/>
  <c r="B11396" i="15"/>
  <c r="H11395" i="15"/>
  <c r="B11395" i="15"/>
  <c r="H11394" i="15"/>
  <c r="B11394" i="15"/>
  <c r="H11393" i="15"/>
  <c r="B11393" i="15"/>
  <c r="H11392" i="15"/>
  <c r="B11392" i="15"/>
  <c r="H11391" i="15"/>
  <c r="B11391" i="15"/>
  <c r="H11390" i="15"/>
  <c r="B11390" i="15"/>
  <c r="H11389" i="15"/>
  <c r="B11389" i="15"/>
  <c r="H11388" i="15"/>
  <c r="B11388" i="15"/>
  <c r="H11387" i="15"/>
  <c r="B11387" i="15"/>
  <c r="H11386" i="15"/>
  <c r="B11386" i="15"/>
  <c r="H11385" i="15"/>
  <c r="B11385" i="15"/>
  <c r="H11384" i="15"/>
  <c r="B11384" i="15"/>
  <c r="H11383" i="15"/>
  <c r="B11383" i="15"/>
  <c r="H11382" i="15"/>
  <c r="B11382" i="15"/>
  <c r="H11381" i="15"/>
  <c r="B11381" i="15"/>
  <c r="H11380" i="15"/>
  <c r="B11380" i="15"/>
  <c r="H11379" i="15"/>
  <c r="B11379" i="15"/>
  <c r="H11378" i="15"/>
  <c r="B11378" i="15"/>
  <c r="H11377" i="15"/>
  <c r="B11377" i="15"/>
  <c r="H11376" i="15"/>
  <c r="B11376" i="15"/>
  <c r="H11375" i="15"/>
  <c r="B11375" i="15"/>
  <c r="H11374" i="15"/>
  <c r="B11374" i="15"/>
  <c r="H11373" i="15"/>
  <c r="B11373" i="15"/>
  <c r="H11372" i="15"/>
  <c r="B11372" i="15"/>
  <c r="H11371" i="15"/>
  <c r="B11371" i="15"/>
  <c r="H11370" i="15"/>
  <c r="B11370" i="15"/>
  <c r="H11369" i="15"/>
  <c r="B11369" i="15"/>
  <c r="H11368" i="15"/>
  <c r="B11368" i="15"/>
  <c r="H11367" i="15"/>
  <c r="B11367" i="15"/>
  <c r="H11366" i="15"/>
  <c r="B11366" i="15"/>
  <c r="H11365" i="15"/>
  <c r="B11365" i="15"/>
  <c r="H11364" i="15"/>
  <c r="B11364" i="15"/>
  <c r="H11363" i="15"/>
  <c r="B11363" i="15"/>
  <c r="H11362" i="15"/>
  <c r="B11362" i="15"/>
  <c r="H11361" i="15"/>
  <c r="B11361" i="15"/>
  <c r="H11360" i="15"/>
  <c r="B11360" i="15"/>
  <c r="H11359" i="15"/>
  <c r="B11359" i="15"/>
  <c r="H11358" i="15"/>
  <c r="B11358" i="15"/>
  <c r="H11357" i="15"/>
  <c r="B11357" i="15"/>
  <c r="H11356" i="15"/>
  <c r="B11356" i="15"/>
  <c r="H11355" i="15"/>
  <c r="B11355" i="15"/>
  <c r="H11354" i="15"/>
  <c r="B11354" i="15"/>
  <c r="H11353" i="15"/>
  <c r="B11353" i="15"/>
  <c r="H11352" i="15"/>
  <c r="B11352" i="15"/>
  <c r="H11351" i="15"/>
  <c r="B11351" i="15"/>
  <c r="H11350" i="15"/>
  <c r="B11350" i="15"/>
  <c r="H11349" i="15"/>
  <c r="B11349" i="15"/>
  <c r="H11348" i="15"/>
  <c r="B11348" i="15"/>
  <c r="H11347" i="15"/>
  <c r="B11347" i="15"/>
  <c r="H11346" i="15"/>
  <c r="B11346" i="15"/>
  <c r="H11345" i="15"/>
  <c r="B11345" i="15"/>
  <c r="H11344" i="15"/>
  <c r="B11344" i="15"/>
  <c r="H11343" i="15"/>
  <c r="B11343" i="15"/>
  <c r="H11342" i="15"/>
  <c r="B11342" i="15"/>
  <c r="H11341" i="15"/>
  <c r="B11341" i="15"/>
  <c r="H11340" i="15"/>
  <c r="B11340" i="15"/>
  <c r="H11339" i="15"/>
  <c r="B11339" i="15"/>
  <c r="H11338" i="15"/>
  <c r="B11338" i="15"/>
  <c r="H11337" i="15"/>
  <c r="B11337" i="15"/>
  <c r="H11336" i="15"/>
  <c r="B11336" i="15"/>
  <c r="H11335" i="15"/>
  <c r="B11335" i="15"/>
  <c r="H11334" i="15"/>
  <c r="B11334" i="15"/>
  <c r="H11333" i="15"/>
  <c r="B11333" i="15"/>
  <c r="H11332" i="15"/>
  <c r="B11332" i="15"/>
  <c r="H11331" i="15"/>
  <c r="B11331" i="15"/>
  <c r="H11330" i="15"/>
  <c r="B11330" i="15"/>
  <c r="H11329" i="15"/>
  <c r="B11329" i="15"/>
  <c r="H11328" i="15"/>
  <c r="B11328" i="15"/>
  <c r="H11327" i="15"/>
  <c r="B11327" i="15"/>
  <c r="H11326" i="15"/>
  <c r="B11326" i="15"/>
  <c r="H11325" i="15"/>
  <c r="B11325" i="15"/>
  <c r="H11324" i="15"/>
  <c r="B11324" i="15"/>
  <c r="H11323" i="15"/>
  <c r="B11323" i="15"/>
  <c r="H11322" i="15"/>
  <c r="B11322" i="15"/>
  <c r="H11321" i="15"/>
  <c r="B11321" i="15"/>
  <c r="H11320" i="15"/>
  <c r="B11320" i="15"/>
  <c r="H11319" i="15"/>
  <c r="B11319" i="15"/>
  <c r="H11318" i="15"/>
  <c r="B11318" i="15"/>
  <c r="H11317" i="15"/>
  <c r="B11317" i="15"/>
  <c r="H11316" i="15"/>
  <c r="B11316" i="15"/>
  <c r="H11315" i="15"/>
  <c r="B11315" i="15"/>
  <c r="H11314" i="15"/>
  <c r="B11314" i="15"/>
  <c r="H11313" i="15"/>
  <c r="B11313" i="15"/>
  <c r="H11312" i="15"/>
  <c r="B11312" i="15"/>
  <c r="H11311" i="15"/>
  <c r="B11311" i="15"/>
  <c r="H11310" i="15"/>
  <c r="B11310" i="15"/>
  <c r="H11309" i="15"/>
  <c r="B11309" i="15"/>
  <c r="H11308" i="15"/>
  <c r="B11308" i="15"/>
  <c r="H11307" i="15"/>
  <c r="B11307" i="15"/>
  <c r="H11306" i="15"/>
  <c r="B11306" i="15"/>
  <c r="H11305" i="15"/>
  <c r="B11305" i="15"/>
  <c r="H11304" i="15"/>
  <c r="B11304" i="15"/>
  <c r="H11303" i="15"/>
  <c r="B11303" i="15"/>
  <c r="H11302" i="15"/>
  <c r="B11302" i="15"/>
  <c r="H11301" i="15"/>
  <c r="B11301" i="15"/>
  <c r="H11300" i="15"/>
  <c r="B11300" i="15"/>
  <c r="H11299" i="15"/>
  <c r="B11299" i="15"/>
  <c r="H11298" i="15"/>
  <c r="B11298" i="15"/>
  <c r="H11297" i="15"/>
  <c r="B11297" i="15"/>
  <c r="H11296" i="15"/>
  <c r="B11296" i="15"/>
  <c r="H11295" i="15"/>
  <c r="B11295" i="15"/>
  <c r="H11294" i="15"/>
  <c r="B11294" i="15"/>
  <c r="H11293" i="15"/>
  <c r="B11293" i="15"/>
  <c r="H11292" i="15"/>
  <c r="B11292" i="15"/>
  <c r="H11291" i="15"/>
  <c r="B11291" i="15"/>
  <c r="H11290" i="15"/>
  <c r="B11290" i="15"/>
  <c r="H11289" i="15"/>
  <c r="B11289" i="15"/>
  <c r="H11288" i="15"/>
  <c r="B11288" i="15"/>
  <c r="H11287" i="15"/>
  <c r="B11287" i="15"/>
  <c r="H11286" i="15"/>
  <c r="B11286" i="15"/>
  <c r="H11285" i="15"/>
  <c r="B11285" i="15"/>
  <c r="H11284" i="15"/>
  <c r="B11284" i="15"/>
  <c r="H11283" i="15"/>
  <c r="B11283" i="15"/>
  <c r="H11282" i="15"/>
  <c r="B11282" i="15"/>
  <c r="H11281" i="15"/>
  <c r="B11281" i="15"/>
  <c r="H11280" i="15"/>
  <c r="B11280" i="15"/>
  <c r="H11279" i="15"/>
  <c r="B11279" i="15"/>
  <c r="H11278" i="15"/>
  <c r="B11278" i="15"/>
  <c r="H11277" i="15"/>
  <c r="B11277" i="15"/>
  <c r="H11276" i="15"/>
  <c r="B11276" i="15"/>
  <c r="H11275" i="15"/>
  <c r="B11275" i="15"/>
  <c r="H11274" i="15"/>
  <c r="B11274" i="15"/>
  <c r="H11273" i="15"/>
  <c r="B11273" i="15"/>
  <c r="H11272" i="15"/>
  <c r="B11272" i="15"/>
  <c r="H11271" i="15"/>
  <c r="B11271" i="15"/>
  <c r="H11270" i="15"/>
  <c r="B11270" i="15"/>
  <c r="H11269" i="15"/>
  <c r="B11269" i="15"/>
  <c r="H11268" i="15"/>
  <c r="B11268" i="15"/>
  <c r="H11267" i="15"/>
  <c r="B11267" i="15"/>
  <c r="H11266" i="15"/>
  <c r="B11266" i="15"/>
  <c r="H11265" i="15"/>
  <c r="B11265" i="15"/>
  <c r="H11264" i="15"/>
  <c r="B11264" i="15"/>
  <c r="H11263" i="15"/>
  <c r="B11263" i="15"/>
  <c r="H11262" i="15"/>
  <c r="B11262" i="15"/>
  <c r="H11261" i="15"/>
  <c r="B11261" i="15"/>
  <c r="H11260" i="15"/>
  <c r="B11260" i="15"/>
  <c r="H11259" i="15"/>
  <c r="B11259" i="15"/>
  <c r="H11258" i="15"/>
  <c r="B11258" i="15"/>
  <c r="H11257" i="15"/>
  <c r="B11257" i="15"/>
  <c r="H11256" i="15"/>
  <c r="B11256" i="15"/>
  <c r="H11255" i="15"/>
  <c r="B11255" i="15"/>
  <c r="H11254" i="15"/>
  <c r="B11254" i="15"/>
  <c r="H11253" i="15"/>
  <c r="B11253" i="15"/>
  <c r="H11252" i="15"/>
  <c r="B11252" i="15"/>
  <c r="H11251" i="15"/>
  <c r="B11251" i="15"/>
  <c r="H11250" i="15"/>
  <c r="B11250" i="15"/>
  <c r="H11249" i="15"/>
  <c r="B11249" i="15"/>
  <c r="H11248" i="15"/>
  <c r="B11248" i="15"/>
  <c r="H11247" i="15"/>
  <c r="B11247" i="15"/>
  <c r="H11246" i="15"/>
  <c r="B11246" i="15"/>
  <c r="H11245" i="15"/>
  <c r="B11245" i="15"/>
  <c r="H11244" i="15"/>
  <c r="B11244" i="15"/>
  <c r="H11243" i="15"/>
  <c r="B11243" i="15"/>
  <c r="H11242" i="15"/>
  <c r="B11242" i="15"/>
  <c r="H11241" i="15"/>
  <c r="B11241" i="15"/>
  <c r="H11240" i="15"/>
  <c r="B11240" i="15"/>
  <c r="H11239" i="15"/>
  <c r="B11239" i="15"/>
  <c r="H11238" i="15"/>
  <c r="B11238" i="15"/>
  <c r="H11237" i="15"/>
  <c r="B11237" i="15"/>
  <c r="H11236" i="15"/>
  <c r="B11236" i="15"/>
  <c r="H11235" i="15"/>
  <c r="B11235" i="15"/>
  <c r="H11234" i="15"/>
  <c r="B11234" i="15"/>
  <c r="H11233" i="15"/>
  <c r="B11233" i="15"/>
  <c r="H11232" i="15"/>
  <c r="B11232" i="15"/>
  <c r="H11231" i="15"/>
  <c r="B11231" i="15"/>
  <c r="H11230" i="15"/>
  <c r="B11230" i="15"/>
  <c r="H11229" i="15"/>
  <c r="B11229" i="15"/>
  <c r="H11228" i="15"/>
  <c r="B11228" i="15"/>
  <c r="H11227" i="15"/>
  <c r="B11227" i="15"/>
  <c r="H11226" i="15"/>
  <c r="B11226" i="15"/>
  <c r="H11225" i="15"/>
  <c r="B11225" i="15"/>
  <c r="H11224" i="15"/>
  <c r="B11224" i="15"/>
  <c r="H11223" i="15"/>
  <c r="B11223" i="15"/>
  <c r="H11222" i="15"/>
  <c r="B11222" i="15"/>
  <c r="H11221" i="15"/>
  <c r="B11221" i="15"/>
  <c r="H11220" i="15"/>
  <c r="B11220" i="15"/>
  <c r="H11219" i="15"/>
  <c r="B11219" i="15"/>
  <c r="H11218" i="15"/>
  <c r="B11218" i="15"/>
  <c r="H11217" i="15"/>
  <c r="B11217" i="15"/>
  <c r="H11216" i="15"/>
  <c r="B11216" i="15"/>
  <c r="H11215" i="15"/>
  <c r="B11215" i="15"/>
  <c r="H11214" i="15"/>
  <c r="B11214" i="15"/>
  <c r="H11213" i="15"/>
  <c r="B11213" i="15"/>
  <c r="H11212" i="15"/>
  <c r="B11212" i="15"/>
  <c r="H11211" i="15"/>
  <c r="B11211" i="15"/>
  <c r="H11210" i="15"/>
  <c r="B11210" i="15"/>
  <c r="H11209" i="15"/>
  <c r="B11209" i="15"/>
  <c r="H11208" i="15"/>
  <c r="B11208" i="15"/>
  <c r="H11207" i="15"/>
  <c r="B11207" i="15"/>
  <c r="H11206" i="15"/>
  <c r="B11206" i="15"/>
  <c r="H11205" i="15"/>
  <c r="B11205" i="15"/>
  <c r="H11204" i="15"/>
  <c r="B11204" i="15"/>
  <c r="H11203" i="15"/>
  <c r="B11203" i="15"/>
  <c r="H11202" i="15"/>
  <c r="B11202" i="15"/>
  <c r="H11201" i="15"/>
  <c r="B11201" i="15"/>
  <c r="H11200" i="15"/>
  <c r="B11200" i="15"/>
  <c r="H11199" i="15"/>
  <c r="B11199" i="15"/>
  <c r="H11198" i="15"/>
  <c r="B11198" i="15"/>
  <c r="H11197" i="15"/>
  <c r="B11197" i="15"/>
  <c r="H11196" i="15"/>
  <c r="B11196" i="15"/>
  <c r="H11195" i="15"/>
  <c r="B11195" i="15"/>
  <c r="H11194" i="15"/>
  <c r="B11194" i="15"/>
  <c r="H11193" i="15"/>
  <c r="B11193" i="15"/>
  <c r="H11192" i="15"/>
  <c r="B11192" i="15"/>
  <c r="H11191" i="15"/>
  <c r="B11191" i="15"/>
  <c r="H11190" i="15"/>
  <c r="B11190" i="15"/>
  <c r="H11189" i="15"/>
  <c r="B11189" i="15"/>
  <c r="H11188" i="15"/>
  <c r="B11188" i="15"/>
  <c r="H11187" i="15"/>
  <c r="B11187" i="15"/>
  <c r="H11186" i="15"/>
  <c r="B11186" i="15"/>
  <c r="H11185" i="15"/>
  <c r="B11185" i="15"/>
  <c r="H11184" i="15"/>
  <c r="B11184" i="15"/>
  <c r="H11183" i="15"/>
  <c r="B11183" i="15"/>
  <c r="H11182" i="15"/>
  <c r="B11182" i="15"/>
  <c r="H11181" i="15"/>
  <c r="B11181" i="15"/>
  <c r="H11180" i="15"/>
  <c r="B11180" i="15"/>
  <c r="H11179" i="15"/>
  <c r="B11179" i="15"/>
  <c r="H11178" i="15"/>
  <c r="B11178" i="15"/>
  <c r="H11177" i="15"/>
  <c r="B11177" i="15"/>
  <c r="H11176" i="15"/>
  <c r="B11176" i="15"/>
  <c r="H11175" i="15"/>
  <c r="B11175" i="15"/>
  <c r="H11174" i="15"/>
  <c r="B11174" i="15"/>
  <c r="H11173" i="15"/>
  <c r="B11173" i="15"/>
  <c r="H11172" i="15"/>
  <c r="B11172" i="15"/>
  <c r="H11171" i="15"/>
  <c r="B11171" i="15"/>
  <c r="H11170" i="15"/>
  <c r="B11170" i="15"/>
  <c r="H11169" i="15"/>
  <c r="B11169" i="15"/>
  <c r="H11168" i="15"/>
  <c r="B11168" i="15"/>
  <c r="H11167" i="15"/>
  <c r="B11167" i="15"/>
  <c r="H11166" i="15"/>
  <c r="B11166" i="15"/>
  <c r="H11165" i="15"/>
  <c r="B11165" i="15"/>
  <c r="H11164" i="15"/>
  <c r="B11164" i="15"/>
  <c r="H11163" i="15"/>
  <c r="B11163" i="15"/>
  <c r="H11162" i="15"/>
  <c r="B11162" i="15"/>
  <c r="H11161" i="15"/>
  <c r="B11161" i="15"/>
  <c r="H11160" i="15"/>
  <c r="B11160" i="15"/>
  <c r="H11159" i="15"/>
  <c r="B11159" i="15"/>
  <c r="H11158" i="15"/>
  <c r="B11158" i="15"/>
  <c r="H11157" i="15"/>
  <c r="B11157" i="15"/>
  <c r="H11156" i="15"/>
  <c r="B11156" i="15"/>
  <c r="H11155" i="15"/>
  <c r="B11155" i="15"/>
  <c r="H11154" i="15"/>
  <c r="B11154" i="15"/>
  <c r="H11153" i="15"/>
  <c r="B11153" i="15"/>
  <c r="H11152" i="15"/>
  <c r="B11152" i="15"/>
  <c r="H11151" i="15"/>
  <c r="B11151" i="15"/>
  <c r="H11150" i="15"/>
  <c r="B11150" i="15"/>
  <c r="H11149" i="15"/>
  <c r="B11149" i="15"/>
  <c r="H11148" i="15"/>
  <c r="B11148" i="15"/>
  <c r="H11147" i="15"/>
  <c r="B11147" i="15"/>
  <c r="H11146" i="15"/>
  <c r="B11146" i="15"/>
  <c r="H11145" i="15"/>
  <c r="B11145" i="15"/>
  <c r="H11144" i="15"/>
  <c r="B11144" i="15"/>
  <c r="H11143" i="15"/>
  <c r="B11143" i="15"/>
  <c r="H11142" i="15"/>
  <c r="B11142" i="15"/>
  <c r="H11141" i="15"/>
  <c r="B11141" i="15"/>
  <c r="H11140" i="15"/>
  <c r="B11140" i="15"/>
  <c r="H11139" i="15"/>
  <c r="B11139" i="15"/>
  <c r="H11138" i="15"/>
  <c r="B11138" i="15"/>
  <c r="H11137" i="15"/>
  <c r="B11137" i="15"/>
  <c r="H11136" i="15"/>
  <c r="B11136" i="15"/>
  <c r="H11135" i="15"/>
  <c r="B11135" i="15"/>
  <c r="H11134" i="15"/>
  <c r="B11134" i="15"/>
  <c r="H11133" i="15"/>
  <c r="B11133" i="15"/>
  <c r="H11132" i="15"/>
  <c r="B11132" i="15"/>
  <c r="H11131" i="15"/>
  <c r="B11131" i="15"/>
  <c r="H11130" i="15"/>
  <c r="B11130" i="15"/>
  <c r="H11129" i="15"/>
  <c r="B11129" i="15"/>
  <c r="H11128" i="15"/>
  <c r="B11128" i="15"/>
  <c r="H11127" i="15"/>
  <c r="B11127" i="15"/>
  <c r="H11126" i="15"/>
  <c r="B11126" i="15"/>
  <c r="H11125" i="15"/>
  <c r="B11125" i="15"/>
  <c r="H11124" i="15"/>
  <c r="B11124" i="15"/>
  <c r="H11123" i="15"/>
  <c r="B11123" i="15"/>
  <c r="H11122" i="15"/>
  <c r="B11122" i="15"/>
  <c r="H11121" i="15"/>
  <c r="B11121" i="15"/>
  <c r="H11120" i="15"/>
  <c r="B11120" i="15"/>
  <c r="H11119" i="15"/>
  <c r="B11119" i="15"/>
  <c r="H11118" i="15"/>
  <c r="B11118" i="15"/>
  <c r="H11117" i="15"/>
  <c r="B11117" i="15"/>
  <c r="H11116" i="15"/>
  <c r="B11116" i="15"/>
  <c r="H11115" i="15"/>
  <c r="B11115" i="15"/>
  <c r="H11114" i="15"/>
  <c r="B11114" i="15"/>
  <c r="H11113" i="15"/>
  <c r="B11113" i="15"/>
  <c r="H11112" i="15"/>
  <c r="B11112" i="15"/>
  <c r="H11111" i="15"/>
  <c r="B11111" i="15"/>
  <c r="H11110" i="15"/>
  <c r="B11110" i="15"/>
  <c r="H11109" i="15"/>
  <c r="B11109" i="15"/>
  <c r="H11108" i="15"/>
  <c r="B11108" i="15"/>
  <c r="H11107" i="15"/>
  <c r="B11107" i="15"/>
  <c r="H11106" i="15"/>
  <c r="B11106" i="15"/>
  <c r="H11105" i="15"/>
  <c r="B11105" i="15"/>
  <c r="H11104" i="15"/>
  <c r="B11104" i="15"/>
  <c r="H11103" i="15"/>
  <c r="B11103" i="15"/>
  <c r="H11102" i="15"/>
  <c r="B11102" i="15"/>
  <c r="H11101" i="15"/>
  <c r="B11101" i="15"/>
  <c r="H11100" i="15"/>
  <c r="B11100" i="15"/>
  <c r="H11099" i="15"/>
  <c r="B11099" i="15"/>
  <c r="H11098" i="15"/>
  <c r="B11098" i="15"/>
  <c r="H11097" i="15"/>
  <c r="B11097" i="15"/>
  <c r="H11096" i="15"/>
  <c r="B11096" i="15"/>
  <c r="H11095" i="15"/>
  <c r="B11095" i="15"/>
  <c r="H11094" i="15"/>
  <c r="B11094" i="15"/>
  <c r="H11093" i="15"/>
  <c r="B11093" i="15"/>
  <c r="H11092" i="15"/>
  <c r="B11092" i="15"/>
  <c r="H11091" i="15"/>
  <c r="B11091" i="15"/>
  <c r="H11090" i="15"/>
  <c r="B11090" i="15"/>
  <c r="H11089" i="15"/>
  <c r="B11089" i="15"/>
  <c r="H11088" i="15"/>
  <c r="B11088" i="15"/>
  <c r="H11087" i="15"/>
  <c r="B11087" i="15"/>
  <c r="H11086" i="15"/>
  <c r="B11086" i="15"/>
  <c r="H11085" i="15"/>
  <c r="B11085" i="15"/>
  <c r="H11084" i="15"/>
  <c r="B11084" i="15"/>
  <c r="H11083" i="15"/>
  <c r="B11083" i="15"/>
  <c r="H11082" i="15"/>
  <c r="B11082" i="15"/>
  <c r="H11081" i="15"/>
  <c r="B11081" i="15"/>
  <c r="H11080" i="15"/>
  <c r="B11080" i="15"/>
  <c r="H11079" i="15"/>
  <c r="B11079" i="15"/>
  <c r="H11078" i="15"/>
  <c r="B11078" i="15"/>
  <c r="H11077" i="15"/>
  <c r="B11077" i="15"/>
  <c r="H11076" i="15"/>
  <c r="B11076" i="15"/>
  <c r="H11075" i="15"/>
  <c r="B11075" i="15"/>
  <c r="H11074" i="15"/>
  <c r="B11074" i="15"/>
  <c r="H11073" i="15"/>
  <c r="B11073" i="15"/>
  <c r="H11072" i="15"/>
  <c r="B11072" i="15"/>
  <c r="H11071" i="15"/>
  <c r="B11071" i="15"/>
  <c r="H11070" i="15"/>
  <c r="B11070" i="15"/>
  <c r="H11069" i="15"/>
  <c r="B11069" i="15"/>
  <c r="H11068" i="15"/>
  <c r="B11068" i="15"/>
  <c r="H11067" i="15"/>
  <c r="B11067" i="15"/>
  <c r="H11066" i="15"/>
  <c r="B11066" i="15"/>
  <c r="H11065" i="15"/>
  <c r="B11065" i="15"/>
  <c r="H11064" i="15"/>
  <c r="B11064" i="15"/>
  <c r="H11063" i="15"/>
  <c r="B11063" i="15"/>
  <c r="H11062" i="15"/>
  <c r="B11062" i="15"/>
  <c r="H11061" i="15"/>
  <c r="B11061" i="15"/>
  <c r="H11060" i="15"/>
  <c r="B11060" i="15"/>
  <c r="H11059" i="15"/>
  <c r="B11059" i="15"/>
  <c r="H11058" i="15"/>
  <c r="B11058" i="15"/>
  <c r="H11057" i="15"/>
  <c r="B11057" i="15"/>
  <c r="H11056" i="15"/>
  <c r="B11056" i="15"/>
  <c r="H11055" i="15"/>
  <c r="B11055" i="15"/>
  <c r="H11054" i="15"/>
  <c r="B11054" i="15"/>
  <c r="H11053" i="15"/>
  <c r="B11053" i="15"/>
  <c r="H11052" i="15"/>
  <c r="B11052" i="15"/>
  <c r="H11051" i="15"/>
  <c r="B11051" i="15"/>
  <c r="H11050" i="15"/>
  <c r="B11050" i="15"/>
  <c r="H11049" i="15"/>
  <c r="B11049" i="15"/>
  <c r="H11048" i="15"/>
  <c r="B11048" i="15"/>
  <c r="H11047" i="15"/>
  <c r="B11047" i="15"/>
  <c r="H11046" i="15"/>
  <c r="B11046" i="15"/>
  <c r="H11045" i="15"/>
  <c r="B11045" i="15"/>
  <c r="H11044" i="15"/>
  <c r="B11044" i="15"/>
  <c r="H11043" i="15"/>
  <c r="B11043" i="15"/>
  <c r="H11042" i="15"/>
  <c r="B11042" i="15"/>
  <c r="H11041" i="15"/>
  <c r="B11041" i="15"/>
  <c r="H11040" i="15"/>
  <c r="B11040" i="15"/>
  <c r="H11039" i="15"/>
  <c r="B11039" i="15"/>
  <c r="H11038" i="15"/>
  <c r="B11038" i="15"/>
  <c r="H11037" i="15"/>
  <c r="B11037" i="15"/>
  <c r="H11036" i="15"/>
  <c r="B11036" i="15"/>
  <c r="H11035" i="15"/>
  <c r="B11035" i="15"/>
  <c r="H11034" i="15"/>
  <c r="B11034" i="15"/>
  <c r="H11033" i="15"/>
  <c r="B11033" i="15"/>
  <c r="H11032" i="15"/>
  <c r="B11032" i="15"/>
  <c r="H11031" i="15"/>
  <c r="B11031" i="15"/>
  <c r="H11030" i="15"/>
  <c r="B11030" i="15"/>
  <c r="H11029" i="15"/>
  <c r="B11029" i="15"/>
  <c r="H11028" i="15"/>
  <c r="B11028" i="15"/>
  <c r="H11027" i="15"/>
  <c r="B11027" i="15"/>
  <c r="H11026" i="15"/>
  <c r="B11026" i="15"/>
  <c r="H11025" i="15"/>
  <c r="B11025" i="15"/>
  <c r="H11024" i="15"/>
  <c r="B11024" i="15"/>
  <c r="H11023" i="15"/>
  <c r="B11023" i="15"/>
  <c r="H11022" i="15"/>
  <c r="B11022" i="15"/>
  <c r="H11021" i="15"/>
  <c r="B11021" i="15"/>
  <c r="H11020" i="15"/>
  <c r="B11020" i="15"/>
  <c r="H11019" i="15"/>
  <c r="B11019" i="15"/>
  <c r="H11018" i="15"/>
  <c r="B11018" i="15"/>
  <c r="H11017" i="15"/>
  <c r="B11017" i="15"/>
  <c r="H11016" i="15"/>
  <c r="B11016" i="15"/>
  <c r="H11015" i="15"/>
  <c r="B11015" i="15"/>
  <c r="H11014" i="15"/>
  <c r="B11014" i="15"/>
  <c r="H11013" i="15"/>
  <c r="B11013" i="15"/>
  <c r="H11012" i="15"/>
  <c r="B11012" i="15"/>
  <c r="H11011" i="15"/>
  <c r="B11011" i="15"/>
  <c r="H11010" i="15"/>
  <c r="B11010" i="15"/>
  <c r="H11009" i="15"/>
  <c r="B11009" i="15"/>
  <c r="H11008" i="15"/>
  <c r="B11008" i="15"/>
  <c r="H11007" i="15"/>
  <c r="B11007" i="15"/>
  <c r="H11006" i="15"/>
  <c r="B11006" i="15"/>
  <c r="H11005" i="15"/>
  <c r="B11005" i="15"/>
  <c r="H11004" i="15"/>
  <c r="B11004" i="15"/>
  <c r="H11003" i="15"/>
  <c r="B11003" i="15"/>
  <c r="H11002" i="15"/>
  <c r="B11002" i="15"/>
  <c r="H11001" i="15"/>
  <c r="B11001" i="15"/>
  <c r="H11000" i="15"/>
  <c r="B11000" i="15"/>
  <c r="H10999" i="15"/>
  <c r="B10999" i="15"/>
  <c r="H10998" i="15"/>
  <c r="B10998" i="15"/>
  <c r="H10997" i="15"/>
  <c r="B10997" i="15"/>
  <c r="H10996" i="15"/>
  <c r="B10996" i="15"/>
  <c r="H10995" i="15"/>
  <c r="B10995" i="15"/>
  <c r="H10994" i="15"/>
  <c r="B10994" i="15"/>
  <c r="H10993" i="15"/>
  <c r="B10993" i="15"/>
  <c r="H10992" i="15"/>
  <c r="B10992" i="15"/>
  <c r="H10991" i="15"/>
  <c r="B10991" i="15"/>
  <c r="H10990" i="15"/>
  <c r="B10990" i="15"/>
  <c r="H10989" i="15"/>
  <c r="B10989" i="15"/>
  <c r="H10988" i="15"/>
  <c r="B10988" i="15"/>
  <c r="H10987" i="15"/>
  <c r="B10987" i="15"/>
  <c r="H10986" i="15"/>
  <c r="B10986" i="15"/>
  <c r="H10985" i="15"/>
  <c r="B10985" i="15"/>
  <c r="H10984" i="15"/>
  <c r="B10984" i="15"/>
  <c r="H10983" i="15"/>
  <c r="B10983" i="15"/>
  <c r="H10982" i="15"/>
  <c r="B10982" i="15"/>
  <c r="H10981" i="15"/>
  <c r="B10981" i="15"/>
  <c r="H10980" i="15"/>
  <c r="B10980" i="15"/>
  <c r="H10979" i="15"/>
  <c r="B10979" i="15"/>
  <c r="H10978" i="15"/>
  <c r="B10978" i="15"/>
  <c r="H10977" i="15"/>
  <c r="B10977" i="15"/>
  <c r="H10976" i="15"/>
  <c r="B10976" i="15"/>
  <c r="H10975" i="15"/>
  <c r="B10975" i="15"/>
  <c r="H10974" i="15"/>
  <c r="B10974" i="15"/>
  <c r="H10973" i="15"/>
  <c r="B10973" i="15"/>
  <c r="H10972" i="15"/>
  <c r="B10972" i="15"/>
  <c r="H10971" i="15"/>
  <c r="B10971" i="15"/>
  <c r="H10970" i="15"/>
  <c r="B10970" i="15"/>
  <c r="H10969" i="15"/>
  <c r="B10969" i="15"/>
  <c r="H10968" i="15"/>
  <c r="B10968" i="15"/>
  <c r="H10967" i="15"/>
  <c r="B10967" i="15"/>
  <c r="H10966" i="15"/>
  <c r="B10966" i="15"/>
  <c r="H10965" i="15"/>
  <c r="B10965" i="15"/>
  <c r="H10964" i="15"/>
  <c r="B10964" i="15"/>
  <c r="H10963" i="15"/>
  <c r="B10963" i="15"/>
  <c r="H10962" i="15"/>
  <c r="B10962" i="15"/>
  <c r="H10961" i="15"/>
  <c r="B10961" i="15"/>
  <c r="H10960" i="15"/>
  <c r="B10960" i="15"/>
  <c r="H10959" i="15"/>
  <c r="B10959" i="15"/>
  <c r="H10958" i="15"/>
  <c r="B10958" i="15"/>
  <c r="H10957" i="15"/>
  <c r="B10957" i="15"/>
  <c r="H10956" i="15"/>
  <c r="B10956" i="15"/>
  <c r="H10955" i="15"/>
  <c r="B10955" i="15"/>
  <c r="H10954" i="15"/>
  <c r="B10954" i="15"/>
  <c r="H10953" i="15"/>
  <c r="B10953" i="15"/>
  <c r="H10952" i="15"/>
  <c r="B10952" i="15"/>
  <c r="H10951" i="15"/>
  <c r="B10951" i="15"/>
  <c r="H10950" i="15"/>
  <c r="B10950" i="15"/>
  <c r="H10949" i="15"/>
  <c r="B10949" i="15"/>
  <c r="H10948" i="15"/>
  <c r="B10948" i="15"/>
  <c r="H10947" i="15"/>
  <c r="B10947" i="15"/>
  <c r="H10946" i="15"/>
  <c r="B10946" i="15"/>
  <c r="H10945" i="15"/>
  <c r="B10945" i="15"/>
  <c r="H10944" i="15"/>
  <c r="B10944" i="15"/>
  <c r="H10943" i="15"/>
  <c r="B10943" i="15"/>
  <c r="H10942" i="15"/>
  <c r="B10942" i="15"/>
  <c r="H10941" i="15"/>
  <c r="B10941" i="15"/>
  <c r="H10940" i="15"/>
  <c r="B10940" i="15"/>
  <c r="H10939" i="15"/>
  <c r="B10939" i="15"/>
  <c r="H10938" i="15"/>
  <c r="B10938" i="15"/>
  <c r="H10937" i="15"/>
  <c r="B10937" i="15"/>
  <c r="H10936" i="15"/>
  <c r="B10936" i="15"/>
  <c r="H10935" i="15"/>
  <c r="B10935" i="15"/>
  <c r="H10934" i="15"/>
  <c r="B10934" i="15"/>
  <c r="H10933" i="15"/>
  <c r="B10933" i="15"/>
  <c r="H10932" i="15"/>
  <c r="B10932" i="15"/>
  <c r="H10931" i="15"/>
  <c r="B10931" i="15"/>
  <c r="H10930" i="15"/>
  <c r="B10930" i="15"/>
  <c r="H10929" i="15"/>
  <c r="B10929" i="15"/>
  <c r="H10928" i="15"/>
  <c r="B10928" i="15"/>
  <c r="H10927" i="15"/>
  <c r="B10927" i="15"/>
  <c r="H10926" i="15"/>
  <c r="B10926" i="15"/>
  <c r="H10925" i="15"/>
  <c r="B10925" i="15"/>
  <c r="H10924" i="15"/>
  <c r="B10924" i="15"/>
  <c r="H10923" i="15"/>
  <c r="B10923" i="15"/>
  <c r="H10922" i="15"/>
  <c r="B10922" i="15"/>
  <c r="H10921" i="15"/>
  <c r="B10921" i="15"/>
  <c r="H10920" i="15"/>
  <c r="B10920" i="15"/>
  <c r="H10919" i="15"/>
  <c r="B10919" i="15"/>
  <c r="H10918" i="15"/>
  <c r="B10918" i="15"/>
  <c r="H10917" i="15"/>
  <c r="B10917" i="15"/>
  <c r="H10916" i="15"/>
  <c r="B10916" i="15"/>
  <c r="H10915" i="15"/>
  <c r="B10915" i="15"/>
  <c r="H10914" i="15"/>
  <c r="B10914" i="15"/>
  <c r="H10913" i="15"/>
  <c r="B10913" i="15"/>
  <c r="H10912" i="15"/>
  <c r="B10912" i="15"/>
  <c r="H10911" i="15"/>
  <c r="B10911" i="15"/>
  <c r="H10910" i="15"/>
  <c r="B10910" i="15"/>
  <c r="H10909" i="15"/>
  <c r="B10909" i="15"/>
  <c r="H10908" i="15"/>
  <c r="B10908" i="15"/>
  <c r="H10907" i="15"/>
  <c r="B10907" i="15"/>
  <c r="H10906" i="15"/>
  <c r="B10906" i="15"/>
  <c r="H10905" i="15"/>
  <c r="B10905" i="15"/>
  <c r="H10904" i="15"/>
  <c r="B10904" i="15"/>
  <c r="H10903" i="15"/>
  <c r="B10903" i="15"/>
  <c r="H10902" i="15"/>
  <c r="B10902" i="15"/>
  <c r="H10901" i="15"/>
  <c r="B10901" i="15"/>
  <c r="H10900" i="15"/>
  <c r="B10900" i="15"/>
  <c r="H10899" i="15"/>
  <c r="B10899" i="15"/>
  <c r="H10898" i="15"/>
  <c r="B10898" i="15"/>
  <c r="H10897" i="15"/>
  <c r="B10897" i="15"/>
  <c r="H10896" i="15"/>
  <c r="B10896" i="15"/>
  <c r="H10895" i="15"/>
  <c r="B10895" i="15"/>
  <c r="H10894" i="15"/>
  <c r="B10894" i="15"/>
  <c r="H10893" i="15"/>
  <c r="B10893" i="15"/>
  <c r="H10892" i="15"/>
  <c r="B10892" i="15"/>
  <c r="H10891" i="15"/>
  <c r="B10891" i="15"/>
  <c r="H10890" i="15"/>
  <c r="B10890" i="15"/>
  <c r="H10889" i="15"/>
  <c r="B10889" i="15"/>
  <c r="H10888" i="15"/>
  <c r="B10888" i="15"/>
  <c r="H10887" i="15"/>
  <c r="B10887" i="15"/>
  <c r="H10886" i="15"/>
  <c r="B10886" i="15"/>
  <c r="H10885" i="15"/>
  <c r="B10885" i="15"/>
  <c r="H10884" i="15"/>
  <c r="B10884" i="15"/>
  <c r="H10883" i="15"/>
  <c r="B10883" i="15"/>
  <c r="H10882" i="15"/>
  <c r="B10882" i="15"/>
  <c r="H10881" i="15"/>
  <c r="B10881" i="15"/>
  <c r="H10880" i="15"/>
  <c r="B10880" i="15"/>
  <c r="H10879" i="15"/>
  <c r="B10879" i="15"/>
  <c r="H10878" i="15"/>
  <c r="B10878" i="15"/>
  <c r="H10877" i="15"/>
  <c r="B10877" i="15"/>
  <c r="H10876" i="15"/>
  <c r="B10876" i="15"/>
  <c r="H10875" i="15"/>
  <c r="B10875" i="15"/>
  <c r="H10874" i="15"/>
  <c r="B10874" i="15"/>
  <c r="H10873" i="15"/>
  <c r="B10873" i="15"/>
  <c r="H10872" i="15"/>
  <c r="B10872" i="15"/>
  <c r="H10871" i="15"/>
  <c r="B10871" i="15"/>
  <c r="H10870" i="15"/>
  <c r="B10870" i="15"/>
  <c r="H10869" i="15"/>
  <c r="B10869" i="15"/>
  <c r="H10868" i="15"/>
  <c r="B10868" i="15"/>
  <c r="H10867" i="15"/>
  <c r="B10867" i="15"/>
  <c r="H10866" i="15"/>
  <c r="B10866" i="15"/>
  <c r="H10865" i="15"/>
  <c r="B10865" i="15"/>
  <c r="H10864" i="15"/>
  <c r="B10864" i="15"/>
  <c r="H10863" i="15"/>
  <c r="B10863" i="15"/>
  <c r="H10862" i="15"/>
  <c r="B10862" i="15"/>
  <c r="H10861" i="15"/>
  <c r="B10861" i="15"/>
  <c r="H10860" i="15"/>
  <c r="B10860" i="15"/>
  <c r="H10859" i="15"/>
  <c r="B10859" i="15"/>
  <c r="H10858" i="15"/>
  <c r="B10858" i="15"/>
  <c r="H10857" i="15"/>
  <c r="B10857" i="15"/>
  <c r="H10856" i="15"/>
  <c r="B10856" i="15"/>
  <c r="H10855" i="15"/>
  <c r="B10855" i="15"/>
  <c r="H10854" i="15"/>
  <c r="B10854" i="15"/>
  <c r="H10853" i="15"/>
  <c r="B10853" i="15"/>
  <c r="H10852" i="15"/>
  <c r="B10852" i="15"/>
  <c r="H10851" i="15"/>
  <c r="B10851" i="15"/>
  <c r="H10850" i="15"/>
  <c r="B10850" i="15"/>
  <c r="H10849" i="15"/>
  <c r="B10849" i="15"/>
  <c r="H10848" i="15"/>
  <c r="B10848" i="15"/>
  <c r="H10847" i="15"/>
  <c r="B10847" i="15"/>
  <c r="H10846" i="15"/>
  <c r="B10846" i="15"/>
  <c r="H10845" i="15"/>
  <c r="B10845" i="15"/>
  <c r="H10844" i="15"/>
  <c r="B10844" i="15"/>
  <c r="H10843" i="15"/>
  <c r="B10843" i="15"/>
  <c r="H10842" i="15"/>
  <c r="B10842" i="15"/>
  <c r="H10841" i="15"/>
  <c r="B10841" i="15"/>
  <c r="H10840" i="15"/>
  <c r="B10840" i="15"/>
  <c r="H10839" i="15"/>
  <c r="B10839" i="15"/>
  <c r="H10838" i="15"/>
  <c r="B10838" i="15"/>
  <c r="H10837" i="15"/>
  <c r="B10837" i="15"/>
  <c r="H10836" i="15"/>
  <c r="B10836" i="15"/>
  <c r="H10835" i="15"/>
  <c r="B10835" i="15"/>
  <c r="H10834" i="15"/>
  <c r="B10834" i="15"/>
  <c r="H10833" i="15"/>
  <c r="B10833" i="15"/>
  <c r="H10832" i="15"/>
  <c r="B10832" i="15"/>
  <c r="H10831" i="15"/>
  <c r="B10831" i="15"/>
  <c r="H10830" i="15"/>
  <c r="B10830" i="15"/>
  <c r="H10829" i="15"/>
  <c r="B10829" i="15"/>
  <c r="H10828" i="15"/>
  <c r="B10828" i="15"/>
  <c r="H10827" i="15"/>
  <c r="B10827" i="15"/>
  <c r="H10826" i="15"/>
  <c r="B10826" i="15"/>
  <c r="H10825" i="15"/>
  <c r="B10825" i="15"/>
  <c r="H10824" i="15"/>
  <c r="B10824" i="15"/>
  <c r="H10823" i="15"/>
  <c r="B10823" i="15"/>
  <c r="H10822" i="15"/>
  <c r="B10822" i="15"/>
  <c r="H10821" i="15"/>
  <c r="B10821" i="15"/>
  <c r="H10820" i="15"/>
  <c r="B10820" i="15"/>
  <c r="H10819" i="15"/>
  <c r="B10819" i="15"/>
  <c r="H10818" i="15"/>
  <c r="B10818" i="15"/>
  <c r="H10817" i="15"/>
  <c r="B10817" i="15"/>
  <c r="H10816" i="15"/>
  <c r="B10816" i="15"/>
  <c r="H10815" i="15"/>
  <c r="B10815" i="15"/>
  <c r="H10814" i="15"/>
  <c r="B10814" i="15"/>
  <c r="H10813" i="15"/>
  <c r="B10813" i="15"/>
  <c r="H10812" i="15"/>
  <c r="B10812" i="15"/>
  <c r="H10811" i="15"/>
  <c r="B10811" i="15"/>
  <c r="H10810" i="15"/>
  <c r="B10810" i="15"/>
  <c r="H10809" i="15"/>
  <c r="B10809" i="15"/>
  <c r="H10808" i="15"/>
  <c r="B10808" i="15"/>
  <c r="H10807" i="15"/>
  <c r="B10807" i="15"/>
  <c r="H10806" i="15"/>
  <c r="B10806" i="15"/>
  <c r="H10805" i="15"/>
  <c r="B10805" i="15"/>
  <c r="H10804" i="15"/>
  <c r="B10804" i="15"/>
  <c r="H10803" i="15"/>
  <c r="B10803" i="15"/>
  <c r="H10802" i="15"/>
  <c r="B10802" i="15"/>
  <c r="H10801" i="15"/>
  <c r="B10801" i="15"/>
  <c r="H10800" i="15"/>
  <c r="B10800" i="15"/>
  <c r="H10799" i="15"/>
  <c r="B10799" i="15"/>
  <c r="H10798" i="15"/>
  <c r="B10798" i="15"/>
  <c r="H10797" i="15"/>
  <c r="B10797" i="15"/>
  <c r="H10796" i="15"/>
  <c r="B10796" i="15"/>
  <c r="H10795" i="15"/>
  <c r="B10795" i="15"/>
  <c r="H10794" i="15"/>
  <c r="B10794" i="15"/>
  <c r="H10793" i="15"/>
  <c r="B10793" i="15"/>
  <c r="H10792" i="15"/>
  <c r="B10792" i="15"/>
  <c r="H10791" i="15"/>
  <c r="B10791" i="15"/>
  <c r="H10790" i="15"/>
  <c r="B10790" i="15"/>
  <c r="H10789" i="15"/>
  <c r="B10789" i="15"/>
  <c r="H10788" i="15"/>
  <c r="B10788" i="15"/>
  <c r="H10787" i="15"/>
  <c r="B10787" i="15"/>
  <c r="H10786" i="15"/>
  <c r="B10786" i="15"/>
  <c r="H10785" i="15"/>
  <c r="B10785" i="15"/>
  <c r="H10784" i="15"/>
  <c r="B10784" i="15"/>
  <c r="H10783" i="15"/>
  <c r="B10783" i="15"/>
  <c r="H10782" i="15"/>
  <c r="B10782" i="15"/>
  <c r="H10781" i="15"/>
  <c r="B10781" i="15"/>
  <c r="H10780" i="15"/>
  <c r="B10780" i="15"/>
  <c r="H10779" i="15"/>
  <c r="B10779" i="15"/>
  <c r="H10778" i="15"/>
  <c r="B10778" i="15"/>
  <c r="H10777" i="15"/>
  <c r="B10777" i="15"/>
  <c r="H10776" i="15"/>
  <c r="B10776" i="15"/>
  <c r="H10775" i="15"/>
  <c r="B10775" i="15"/>
  <c r="H10774" i="15"/>
  <c r="B10774" i="15"/>
  <c r="H10773" i="15"/>
  <c r="B10773" i="15"/>
  <c r="H10772" i="15"/>
  <c r="B10772" i="15"/>
  <c r="H10771" i="15"/>
  <c r="B10771" i="15"/>
  <c r="H10770" i="15"/>
  <c r="B10770" i="15"/>
  <c r="H10769" i="15"/>
  <c r="B10769" i="15"/>
  <c r="H10768" i="15"/>
  <c r="B10768" i="15"/>
  <c r="H10767" i="15"/>
  <c r="B10767" i="15"/>
  <c r="H10766" i="15"/>
  <c r="B10766" i="15"/>
  <c r="H10765" i="15"/>
  <c r="B10765" i="15"/>
  <c r="H10764" i="15"/>
  <c r="B10764" i="15"/>
  <c r="H10763" i="15"/>
  <c r="B10763" i="15"/>
  <c r="H10762" i="15"/>
  <c r="B10762" i="15"/>
  <c r="H10761" i="15"/>
  <c r="B10761" i="15"/>
  <c r="H10760" i="15"/>
  <c r="B10760" i="15"/>
  <c r="H10759" i="15"/>
  <c r="B10759" i="15"/>
  <c r="H10758" i="15"/>
  <c r="B10758" i="15"/>
  <c r="H10757" i="15"/>
  <c r="B10757" i="15"/>
  <c r="H10756" i="15"/>
  <c r="B10756" i="15"/>
  <c r="H10755" i="15"/>
  <c r="B10755" i="15"/>
  <c r="H10754" i="15"/>
  <c r="B10754" i="15"/>
  <c r="H10753" i="15"/>
  <c r="B10753" i="15"/>
  <c r="H10752" i="15"/>
  <c r="B10752" i="15"/>
  <c r="H10751" i="15"/>
  <c r="B10751" i="15"/>
  <c r="H10750" i="15"/>
  <c r="B10750" i="15"/>
  <c r="H10749" i="15"/>
  <c r="B10749" i="15"/>
  <c r="H10748" i="15"/>
  <c r="B10748" i="15"/>
  <c r="H10747" i="15"/>
  <c r="B10747" i="15"/>
  <c r="H10746" i="15"/>
  <c r="B10746" i="15"/>
  <c r="H10745" i="15"/>
  <c r="B10745" i="15"/>
  <c r="H10744" i="15"/>
  <c r="B10744" i="15"/>
  <c r="H10743" i="15"/>
  <c r="B10743" i="15"/>
  <c r="H10742" i="15"/>
  <c r="B10742" i="15"/>
  <c r="H10741" i="15"/>
  <c r="B10741" i="15"/>
  <c r="H10740" i="15"/>
  <c r="B10740" i="15"/>
  <c r="H10739" i="15"/>
  <c r="B10739" i="15"/>
  <c r="H10738" i="15"/>
  <c r="B10738" i="15"/>
  <c r="H10737" i="15"/>
  <c r="B10737" i="15"/>
  <c r="H10736" i="15"/>
  <c r="B10736" i="15"/>
  <c r="H10735" i="15"/>
  <c r="B10735" i="15"/>
  <c r="H10734" i="15"/>
  <c r="B10734" i="15"/>
  <c r="H10733" i="15"/>
  <c r="B10733" i="15"/>
  <c r="H10732" i="15"/>
  <c r="B10732" i="15"/>
  <c r="H10731" i="15"/>
  <c r="B10731" i="15"/>
  <c r="H10730" i="15"/>
  <c r="B10730" i="15"/>
  <c r="H10729" i="15"/>
  <c r="B10729" i="15"/>
  <c r="H10728" i="15"/>
  <c r="B10728" i="15"/>
  <c r="H10727" i="15"/>
  <c r="B10727" i="15"/>
  <c r="H10726" i="15"/>
  <c r="B10726" i="15"/>
  <c r="H10725" i="15"/>
  <c r="B10725" i="15"/>
  <c r="H10724" i="15"/>
  <c r="B10724" i="15"/>
  <c r="H10723" i="15"/>
  <c r="B10723" i="15"/>
  <c r="H10722" i="15"/>
  <c r="B10722" i="15"/>
  <c r="H10721" i="15"/>
  <c r="B10721" i="15"/>
  <c r="H10720" i="15"/>
  <c r="B10720" i="15"/>
  <c r="H10719" i="15"/>
  <c r="B10719" i="15"/>
  <c r="H10718" i="15"/>
  <c r="B10718" i="15"/>
  <c r="H10717" i="15"/>
  <c r="B10717" i="15"/>
  <c r="H10716" i="15"/>
  <c r="B10716" i="15"/>
  <c r="H10715" i="15"/>
  <c r="B10715" i="15"/>
  <c r="H10714" i="15"/>
  <c r="B10714" i="15"/>
  <c r="H10713" i="15"/>
  <c r="B10713" i="15"/>
  <c r="H10712" i="15"/>
  <c r="B10712" i="15"/>
  <c r="H10711" i="15"/>
  <c r="B10711" i="15"/>
  <c r="H10710" i="15"/>
  <c r="B10710" i="15"/>
  <c r="H10709" i="15"/>
  <c r="B10709" i="15"/>
  <c r="H10708" i="15"/>
  <c r="B10708" i="15"/>
  <c r="H10707" i="15"/>
  <c r="B10707" i="15"/>
  <c r="H10706" i="15"/>
  <c r="B10706" i="15"/>
  <c r="H10705" i="15"/>
  <c r="B10705" i="15"/>
  <c r="H10704" i="15"/>
  <c r="B10704" i="15"/>
  <c r="H10703" i="15"/>
  <c r="B10703" i="15"/>
  <c r="H10702" i="15"/>
  <c r="B10702" i="15"/>
  <c r="H10701" i="15"/>
  <c r="B10701" i="15"/>
  <c r="H10700" i="15"/>
  <c r="B10700" i="15"/>
  <c r="H10699" i="15"/>
  <c r="B10699" i="15"/>
  <c r="H10698" i="15"/>
  <c r="B10698" i="15"/>
  <c r="H10697" i="15"/>
  <c r="B10697" i="15"/>
  <c r="H10696" i="15"/>
  <c r="B10696" i="15"/>
  <c r="H10695" i="15"/>
  <c r="B10695" i="15"/>
  <c r="H10694" i="15"/>
  <c r="B10694" i="15"/>
  <c r="H10693" i="15"/>
  <c r="B10693" i="15"/>
  <c r="H10692" i="15"/>
  <c r="B10692" i="15"/>
  <c r="H10691" i="15"/>
  <c r="B10691" i="15"/>
  <c r="H10690" i="15"/>
  <c r="B10690" i="15"/>
  <c r="H10689" i="15"/>
  <c r="B10689" i="15"/>
  <c r="H10688" i="15"/>
  <c r="B10688" i="15"/>
  <c r="H10687" i="15"/>
  <c r="B10687" i="15"/>
  <c r="H10686" i="15"/>
  <c r="B10686" i="15"/>
  <c r="H10685" i="15"/>
  <c r="B10685" i="15"/>
  <c r="H10684" i="15"/>
  <c r="B10684" i="15"/>
  <c r="H10683" i="15"/>
  <c r="B10683" i="15"/>
  <c r="H10682" i="15"/>
  <c r="B10682" i="15"/>
  <c r="H10681" i="15"/>
  <c r="B10681" i="15"/>
  <c r="H10680" i="15"/>
  <c r="B10680" i="15"/>
  <c r="H10679" i="15"/>
  <c r="B10679" i="15"/>
  <c r="H10678" i="15"/>
  <c r="B10678" i="15"/>
  <c r="H10677" i="15"/>
  <c r="B10677" i="15"/>
  <c r="H10676" i="15"/>
  <c r="B10676" i="15"/>
  <c r="H10675" i="15"/>
  <c r="B10675" i="15"/>
  <c r="H10674" i="15"/>
  <c r="B10674" i="15"/>
  <c r="H10673" i="15"/>
  <c r="B10673" i="15"/>
  <c r="H10672" i="15"/>
  <c r="B10672" i="15"/>
  <c r="H10671" i="15"/>
  <c r="B10671" i="15"/>
  <c r="H10670" i="15"/>
  <c r="B10670" i="15"/>
  <c r="H10669" i="15"/>
  <c r="B10669" i="15"/>
  <c r="H10668" i="15"/>
  <c r="B10668" i="15"/>
  <c r="H10667" i="15"/>
  <c r="B10667" i="15"/>
  <c r="H10666" i="15"/>
  <c r="B10666" i="15"/>
  <c r="H10665" i="15"/>
  <c r="B10665" i="15"/>
  <c r="H10664" i="15"/>
  <c r="B10664" i="15"/>
  <c r="H10663" i="15"/>
  <c r="B10663" i="15"/>
  <c r="H10662" i="15"/>
  <c r="B10662" i="15"/>
  <c r="H10661" i="15"/>
  <c r="B10661" i="15"/>
  <c r="H10660" i="15"/>
  <c r="B10660" i="15"/>
  <c r="H10659" i="15"/>
  <c r="B10659" i="15"/>
  <c r="H10658" i="15"/>
  <c r="B10658" i="15"/>
  <c r="H10657" i="15"/>
  <c r="B10657" i="15"/>
  <c r="H10656" i="15"/>
  <c r="B10656" i="15"/>
  <c r="H10655" i="15"/>
  <c r="B10655" i="15"/>
  <c r="H10654" i="15"/>
  <c r="B10654" i="15"/>
  <c r="H10653" i="15"/>
  <c r="B10653" i="15"/>
  <c r="H10652" i="15"/>
  <c r="B10652" i="15"/>
  <c r="H10651" i="15"/>
  <c r="B10651" i="15"/>
  <c r="H10650" i="15"/>
  <c r="B10650" i="15"/>
  <c r="H10649" i="15"/>
  <c r="B10649" i="15"/>
  <c r="H10648" i="15"/>
  <c r="B10648" i="15"/>
  <c r="H10647" i="15"/>
  <c r="B10647" i="15"/>
  <c r="H10646" i="15"/>
  <c r="B10646" i="15"/>
  <c r="H10645" i="15"/>
  <c r="B10645" i="15"/>
  <c r="H10644" i="15"/>
  <c r="B10644" i="15"/>
  <c r="H10643" i="15"/>
  <c r="B10643" i="15"/>
  <c r="H10642" i="15"/>
  <c r="B10642" i="15"/>
  <c r="H10641" i="15"/>
  <c r="B10641" i="15"/>
  <c r="H10640" i="15"/>
  <c r="B10640" i="15"/>
  <c r="H10639" i="15"/>
  <c r="B10639" i="15"/>
  <c r="H10638" i="15"/>
  <c r="B10638" i="15"/>
  <c r="H10637" i="15"/>
  <c r="B10637" i="15"/>
  <c r="H10636" i="15"/>
  <c r="B10636" i="15"/>
  <c r="H10635" i="15"/>
  <c r="B10635" i="15"/>
  <c r="H10634" i="15"/>
  <c r="B10634" i="15"/>
  <c r="H10633" i="15"/>
  <c r="B10633" i="15"/>
  <c r="H10632" i="15"/>
  <c r="B10632" i="15"/>
  <c r="H10631" i="15"/>
  <c r="B10631" i="15"/>
  <c r="H10630" i="15"/>
  <c r="B10630" i="15"/>
  <c r="H10629" i="15"/>
  <c r="B10629" i="15"/>
  <c r="H10628" i="15"/>
  <c r="B10628" i="15"/>
  <c r="H10627" i="15"/>
  <c r="B10627" i="15"/>
  <c r="H10626" i="15"/>
  <c r="B10626" i="15"/>
  <c r="H10625" i="15"/>
  <c r="B10625" i="15"/>
  <c r="H10624" i="15"/>
  <c r="B10624" i="15"/>
  <c r="H10623" i="15"/>
  <c r="B10623" i="15"/>
  <c r="H10622" i="15"/>
  <c r="B10622" i="15"/>
  <c r="H10621" i="15"/>
  <c r="B10621" i="15"/>
  <c r="H10620" i="15"/>
  <c r="B10620" i="15"/>
  <c r="H10619" i="15"/>
  <c r="B10619" i="15"/>
  <c r="H10618" i="15"/>
  <c r="B10618" i="15"/>
  <c r="H10617" i="15"/>
  <c r="B10617" i="15"/>
  <c r="H10616" i="15"/>
  <c r="B10616" i="15"/>
  <c r="H10615" i="15"/>
  <c r="B10615" i="15"/>
  <c r="H10614" i="15"/>
  <c r="B10614" i="15"/>
  <c r="H10613" i="15"/>
  <c r="B10613" i="15"/>
  <c r="H10612" i="15"/>
  <c r="B10612" i="15"/>
  <c r="H10611" i="15"/>
  <c r="B10611" i="15"/>
  <c r="H10610" i="15"/>
  <c r="B10610" i="15"/>
  <c r="H10609" i="15"/>
  <c r="B10609" i="15"/>
  <c r="H10608" i="15"/>
  <c r="B10608" i="15"/>
  <c r="H10607" i="15"/>
  <c r="B10607" i="15"/>
  <c r="H10606" i="15"/>
  <c r="B10606" i="15"/>
  <c r="H10605" i="15"/>
  <c r="B10605" i="15"/>
  <c r="H10604" i="15"/>
  <c r="B10604" i="15"/>
  <c r="H10603" i="15"/>
  <c r="B10603" i="15"/>
  <c r="H10602" i="15"/>
  <c r="B10602" i="15"/>
  <c r="H10601" i="15"/>
  <c r="B10601" i="15"/>
  <c r="H10600" i="15"/>
  <c r="B10600" i="15"/>
  <c r="H10599" i="15"/>
  <c r="B10599" i="15"/>
  <c r="H10598" i="15"/>
  <c r="B10598" i="15"/>
  <c r="H10597" i="15"/>
  <c r="B10597" i="15"/>
  <c r="H10596" i="15"/>
  <c r="B10596" i="15"/>
  <c r="H10595" i="15"/>
  <c r="B10595" i="15"/>
  <c r="H10594" i="15"/>
  <c r="B10594" i="15"/>
  <c r="H10593" i="15"/>
  <c r="B10593" i="15"/>
  <c r="H10592" i="15"/>
  <c r="B10592" i="15"/>
  <c r="H10591" i="15"/>
  <c r="B10591" i="15"/>
  <c r="H10590" i="15"/>
  <c r="B10590" i="15"/>
  <c r="H10589" i="15"/>
  <c r="B10589" i="15"/>
  <c r="H10588" i="15"/>
  <c r="B10588" i="15"/>
  <c r="H10587" i="15"/>
  <c r="B10587" i="15"/>
  <c r="H10586" i="15"/>
  <c r="B10586" i="15"/>
  <c r="H10585" i="15"/>
  <c r="B10585" i="15"/>
  <c r="H10584" i="15"/>
  <c r="B10584" i="15"/>
  <c r="H10583" i="15"/>
  <c r="B10583" i="15"/>
  <c r="H10582" i="15"/>
  <c r="B10582" i="15"/>
  <c r="H10581" i="15"/>
  <c r="B10581" i="15"/>
  <c r="H10580" i="15"/>
  <c r="B10580" i="15"/>
  <c r="H10579" i="15"/>
  <c r="B10579" i="15"/>
  <c r="H10578" i="15"/>
  <c r="B10578" i="15"/>
  <c r="H10577" i="15"/>
  <c r="B10577" i="15"/>
  <c r="H10576" i="15"/>
  <c r="B10576" i="15"/>
  <c r="H10575" i="15"/>
  <c r="B10575" i="15"/>
  <c r="H10574" i="15"/>
  <c r="B10574" i="15"/>
  <c r="H10573" i="15"/>
  <c r="B10573" i="15"/>
  <c r="H10572" i="15"/>
  <c r="B10572" i="15"/>
  <c r="H10571" i="15"/>
  <c r="B10571" i="15"/>
  <c r="H10570" i="15"/>
  <c r="B10570" i="15"/>
  <c r="H10569" i="15"/>
  <c r="B10569" i="15"/>
  <c r="H10568" i="15"/>
  <c r="B10568" i="15"/>
  <c r="H10567" i="15"/>
  <c r="B10567" i="15"/>
  <c r="H10566" i="15"/>
  <c r="B10566" i="15"/>
  <c r="H10565" i="15"/>
  <c r="B10565" i="15"/>
  <c r="H10564" i="15"/>
  <c r="B10564" i="15"/>
  <c r="H10563" i="15"/>
  <c r="B10563" i="15"/>
  <c r="H10562" i="15"/>
  <c r="B10562" i="15"/>
  <c r="H10561" i="15"/>
  <c r="B10561" i="15"/>
  <c r="H10560" i="15"/>
  <c r="B10560" i="15"/>
  <c r="H10559" i="15"/>
  <c r="B10559" i="15"/>
  <c r="H10558" i="15"/>
  <c r="B10558" i="15"/>
  <c r="H10557" i="15"/>
  <c r="B10557" i="15"/>
  <c r="H10556" i="15"/>
  <c r="B10556" i="15"/>
  <c r="H10555" i="15"/>
  <c r="B10555" i="15"/>
  <c r="H10554" i="15"/>
  <c r="B10554" i="15"/>
  <c r="H10553" i="15"/>
  <c r="B10553" i="15"/>
  <c r="H10552" i="15"/>
  <c r="B10552" i="15"/>
  <c r="H10551" i="15"/>
  <c r="B10551" i="15"/>
  <c r="H10550" i="15"/>
  <c r="B10550" i="15"/>
  <c r="H10549" i="15"/>
  <c r="B10549" i="15"/>
  <c r="H10548" i="15"/>
  <c r="B10548" i="15"/>
  <c r="H10547" i="15"/>
  <c r="B10547" i="15"/>
  <c r="H10546" i="15"/>
  <c r="B10546" i="15"/>
  <c r="H10545" i="15"/>
  <c r="B10545" i="15"/>
  <c r="H10544" i="15"/>
  <c r="B10544" i="15"/>
  <c r="H10543" i="15"/>
  <c r="B10543" i="15"/>
  <c r="H10542" i="15"/>
  <c r="B10542" i="15"/>
  <c r="H10541" i="15"/>
  <c r="B10541" i="15"/>
  <c r="H10540" i="15"/>
  <c r="B10540" i="15"/>
  <c r="H10539" i="15"/>
  <c r="B10539" i="15"/>
  <c r="H10538" i="15"/>
  <c r="B10538" i="15"/>
  <c r="H10537" i="15"/>
  <c r="B10537" i="15"/>
  <c r="H10536" i="15"/>
  <c r="B10536" i="15"/>
  <c r="H10535" i="15"/>
  <c r="B10535" i="15"/>
  <c r="H10534" i="15"/>
  <c r="B10534" i="15"/>
  <c r="H10533" i="15"/>
  <c r="B10533" i="15"/>
  <c r="H10532" i="15"/>
  <c r="B10532" i="15"/>
  <c r="H10531" i="15"/>
  <c r="B10531" i="15"/>
  <c r="H10530" i="15"/>
  <c r="B10530" i="15"/>
  <c r="H10529" i="15"/>
  <c r="B10529" i="15"/>
  <c r="H10528" i="15"/>
  <c r="B10528" i="15"/>
  <c r="H10527" i="15"/>
  <c r="B10527" i="15"/>
  <c r="H10526" i="15"/>
  <c r="B10526" i="15"/>
  <c r="H10525" i="15"/>
  <c r="B10525" i="15"/>
  <c r="H10524" i="15"/>
  <c r="B10524" i="15"/>
  <c r="H10523" i="15"/>
  <c r="B10523" i="15"/>
  <c r="H10522" i="15"/>
  <c r="B10522" i="15"/>
  <c r="H10521" i="15"/>
  <c r="B10521" i="15"/>
  <c r="H10520" i="15"/>
  <c r="B10520" i="15"/>
  <c r="H10519" i="15"/>
  <c r="B10519" i="15"/>
  <c r="H10518" i="15"/>
  <c r="B10518" i="15"/>
  <c r="H10517" i="15"/>
  <c r="B10517" i="15"/>
  <c r="H10516" i="15"/>
  <c r="B10516" i="15"/>
  <c r="H10515" i="15"/>
  <c r="B10515" i="15"/>
  <c r="H10514" i="15"/>
  <c r="B10514" i="15"/>
  <c r="H10513" i="15"/>
  <c r="B10513" i="15"/>
  <c r="H10512" i="15"/>
  <c r="B10512" i="15"/>
  <c r="H10511" i="15"/>
  <c r="B10511" i="15"/>
  <c r="H10510" i="15"/>
  <c r="B10510" i="15"/>
  <c r="H10509" i="15"/>
  <c r="B10509" i="15"/>
  <c r="H10508" i="15"/>
  <c r="B10508" i="15"/>
  <c r="H10507" i="15"/>
  <c r="B10507" i="15"/>
  <c r="H10506" i="15"/>
  <c r="B10506" i="15"/>
  <c r="H10505" i="15"/>
  <c r="B10505" i="15"/>
  <c r="H10504" i="15"/>
  <c r="B10504" i="15"/>
  <c r="H10503" i="15"/>
  <c r="B10503" i="15"/>
  <c r="H10502" i="15"/>
  <c r="B10502" i="15"/>
  <c r="H10501" i="15"/>
  <c r="B10501" i="15"/>
  <c r="H10500" i="15"/>
  <c r="B10500" i="15"/>
  <c r="H10499" i="15"/>
  <c r="B10499" i="15"/>
  <c r="H10498" i="15"/>
  <c r="B10498" i="15"/>
  <c r="H10497" i="15"/>
  <c r="B10497" i="15"/>
  <c r="H10496" i="15"/>
  <c r="B10496" i="15"/>
  <c r="H10495" i="15"/>
  <c r="B10495" i="15"/>
  <c r="H10494" i="15"/>
  <c r="B10494" i="15"/>
  <c r="H10493" i="15"/>
  <c r="B10493" i="15"/>
  <c r="H10492" i="15"/>
  <c r="B10492" i="15"/>
  <c r="H10491" i="15"/>
  <c r="B10491" i="15"/>
  <c r="H10490" i="15"/>
  <c r="B10490" i="15"/>
  <c r="H10489" i="15"/>
  <c r="B10489" i="15"/>
  <c r="H10488" i="15"/>
  <c r="B10488" i="15"/>
  <c r="H10487" i="15"/>
  <c r="B10487" i="15"/>
  <c r="H10486" i="15"/>
  <c r="B10486" i="15"/>
  <c r="H10485" i="15"/>
  <c r="B10485" i="15"/>
  <c r="H10484" i="15"/>
  <c r="B10484" i="15"/>
  <c r="H10483" i="15"/>
  <c r="B10483" i="15"/>
  <c r="H10482" i="15"/>
  <c r="B10482" i="15"/>
  <c r="H10481" i="15"/>
  <c r="B10481" i="15"/>
  <c r="H10480" i="15"/>
  <c r="B10480" i="15"/>
  <c r="H10479" i="15"/>
  <c r="B10479" i="15"/>
  <c r="H10478" i="15"/>
  <c r="B10478" i="15"/>
  <c r="H10477" i="15"/>
  <c r="B10477" i="15"/>
  <c r="H10476" i="15"/>
  <c r="B10476" i="15"/>
  <c r="H10475" i="15"/>
  <c r="B10475" i="15"/>
  <c r="H10474" i="15"/>
  <c r="B10474" i="15"/>
  <c r="H10473" i="15"/>
  <c r="B10473" i="15"/>
  <c r="H10472" i="15"/>
  <c r="B10472" i="15"/>
  <c r="H10471" i="15"/>
  <c r="B10471" i="15"/>
  <c r="H10470" i="15"/>
  <c r="B10470" i="15"/>
  <c r="H10469" i="15"/>
  <c r="B10469" i="15"/>
  <c r="H10468" i="15"/>
  <c r="B10468" i="15"/>
  <c r="H10467" i="15"/>
  <c r="B10467" i="15"/>
  <c r="H10466" i="15"/>
  <c r="B10466" i="15"/>
  <c r="H10465" i="15"/>
  <c r="B10465" i="15"/>
  <c r="H10464" i="15"/>
  <c r="B10464" i="15"/>
  <c r="H10463" i="15"/>
  <c r="B10463" i="15"/>
  <c r="H10462" i="15"/>
  <c r="B10462" i="15"/>
  <c r="H10461" i="15"/>
  <c r="B10461" i="15"/>
  <c r="H10460" i="15"/>
  <c r="B10460" i="15"/>
  <c r="H10459" i="15"/>
  <c r="B10459" i="15"/>
  <c r="H10458" i="15"/>
  <c r="B10458" i="15"/>
  <c r="H10457" i="15"/>
  <c r="B10457" i="15"/>
  <c r="H10456" i="15"/>
  <c r="B10456" i="15"/>
  <c r="H10455" i="15"/>
  <c r="B10455" i="15"/>
  <c r="H10454" i="15"/>
  <c r="B10454" i="15"/>
  <c r="H10453" i="15"/>
  <c r="B10453" i="15"/>
  <c r="H10452" i="15"/>
  <c r="B10452" i="15"/>
  <c r="H10451" i="15"/>
  <c r="B10451" i="15"/>
  <c r="H10450" i="15"/>
  <c r="B10450" i="15"/>
  <c r="H10449" i="15"/>
  <c r="B10449" i="15"/>
  <c r="H10448" i="15"/>
  <c r="B10448" i="15"/>
  <c r="H10447" i="15"/>
  <c r="B10447" i="15"/>
  <c r="H10446" i="15"/>
  <c r="B10446" i="15"/>
  <c r="H10445" i="15"/>
  <c r="B10445" i="15"/>
  <c r="H10444" i="15"/>
  <c r="B10444" i="15"/>
  <c r="H10443" i="15"/>
  <c r="B10443" i="15"/>
  <c r="H10442" i="15"/>
  <c r="B10442" i="15"/>
  <c r="H10441" i="15"/>
  <c r="B10441" i="15"/>
  <c r="H10440" i="15"/>
  <c r="B10440" i="15"/>
  <c r="H10439" i="15"/>
  <c r="B10439" i="15"/>
  <c r="H10438" i="15"/>
  <c r="B10438" i="15"/>
  <c r="H10437" i="15"/>
  <c r="B10437" i="15"/>
  <c r="H10436" i="15"/>
  <c r="B10436" i="15"/>
  <c r="H10435" i="15"/>
  <c r="B10435" i="15"/>
  <c r="H10434" i="15"/>
  <c r="B10434" i="15"/>
  <c r="H10433" i="15"/>
  <c r="B10433" i="15"/>
  <c r="H10432" i="15"/>
  <c r="B10432" i="15"/>
  <c r="H10431" i="15"/>
  <c r="B10431" i="15"/>
  <c r="H10430" i="15"/>
  <c r="B10430" i="15"/>
  <c r="H10429" i="15"/>
  <c r="B10429" i="15"/>
  <c r="H10428" i="15"/>
  <c r="B10428" i="15"/>
  <c r="H10427" i="15"/>
  <c r="B10427" i="15"/>
  <c r="H10426" i="15"/>
  <c r="B10426" i="15"/>
  <c r="H10425" i="15"/>
  <c r="B10425" i="15"/>
  <c r="H10424" i="15"/>
  <c r="B10424" i="15"/>
  <c r="H10423" i="15"/>
  <c r="B10423" i="15"/>
  <c r="H10422" i="15"/>
  <c r="B10422" i="15"/>
  <c r="H10421" i="15"/>
  <c r="B10421" i="15"/>
  <c r="H10420" i="15"/>
  <c r="B10420" i="15"/>
  <c r="H10419" i="15"/>
  <c r="B10419" i="15"/>
  <c r="H10418" i="15"/>
  <c r="B10418" i="15"/>
  <c r="H10417" i="15"/>
  <c r="B10417" i="15"/>
  <c r="H10416" i="15"/>
  <c r="B10416" i="15"/>
  <c r="H10415" i="15"/>
  <c r="B10415" i="15"/>
  <c r="H10414" i="15"/>
  <c r="B10414" i="15"/>
  <c r="H10413" i="15"/>
  <c r="B10413" i="15"/>
  <c r="H10412" i="15"/>
  <c r="B10412" i="15"/>
  <c r="H10411" i="15"/>
  <c r="B10411" i="15"/>
  <c r="H10410" i="15"/>
  <c r="B10410" i="15"/>
  <c r="H10409" i="15"/>
  <c r="B10409" i="15"/>
  <c r="H10408" i="15"/>
  <c r="B10408" i="15"/>
  <c r="H10407" i="15"/>
  <c r="B10407" i="15"/>
  <c r="H10406" i="15"/>
  <c r="B10406" i="15"/>
  <c r="H10405" i="15"/>
  <c r="B10405" i="15"/>
  <c r="H10404" i="15"/>
  <c r="B10404" i="15"/>
  <c r="H10403" i="15"/>
  <c r="B10403" i="15"/>
  <c r="H10402" i="15"/>
  <c r="B10402" i="15"/>
  <c r="H10401" i="15"/>
  <c r="B10401" i="15"/>
  <c r="H10400" i="15"/>
  <c r="B10400" i="15"/>
  <c r="H10399" i="15"/>
  <c r="B10399" i="15"/>
  <c r="H10398" i="15"/>
  <c r="B10398" i="15"/>
  <c r="H10397" i="15"/>
  <c r="B10397" i="15"/>
  <c r="H10396" i="15"/>
  <c r="B10396" i="15"/>
  <c r="H10395" i="15"/>
  <c r="B10395" i="15"/>
  <c r="H10394" i="15"/>
  <c r="B10394" i="15"/>
  <c r="H10393" i="15"/>
  <c r="B10393" i="15"/>
  <c r="H10392" i="15"/>
  <c r="B10392" i="15"/>
  <c r="H10391" i="15"/>
  <c r="B10391" i="15"/>
  <c r="H10390" i="15"/>
  <c r="B10390" i="15"/>
  <c r="H10389" i="15"/>
  <c r="B10389" i="15"/>
  <c r="H10388" i="15"/>
  <c r="B10388" i="15"/>
  <c r="H10387" i="15"/>
  <c r="B10387" i="15"/>
  <c r="H10386" i="15"/>
  <c r="B10386" i="15"/>
  <c r="H10385" i="15"/>
  <c r="B10385" i="15"/>
  <c r="H10384" i="15"/>
  <c r="B10384" i="15"/>
  <c r="H10383" i="15"/>
  <c r="B10383" i="15"/>
  <c r="H10382" i="15"/>
  <c r="B10382" i="15"/>
  <c r="H10381" i="15"/>
  <c r="B10381" i="15"/>
  <c r="H10380" i="15"/>
  <c r="B10380" i="15"/>
  <c r="H10379" i="15"/>
  <c r="B10379" i="15"/>
  <c r="H10378" i="15"/>
  <c r="B10378" i="15"/>
  <c r="H10377" i="15"/>
  <c r="B10377" i="15"/>
  <c r="H10376" i="15"/>
  <c r="B10376" i="15"/>
  <c r="H10375" i="15"/>
  <c r="B10375" i="15"/>
  <c r="H10374" i="15"/>
  <c r="B10374" i="15"/>
  <c r="H10373" i="15"/>
  <c r="B10373" i="15"/>
  <c r="H10372" i="15"/>
  <c r="B10372" i="15"/>
  <c r="H10371" i="15"/>
  <c r="B10371" i="15"/>
  <c r="H10370" i="15"/>
  <c r="B10370" i="15"/>
  <c r="H10369" i="15"/>
  <c r="B10369" i="15"/>
  <c r="H10368" i="15"/>
  <c r="B10368" i="15"/>
  <c r="H10367" i="15"/>
  <c r="B10367" i="15"/>
  <c r="H10366" i="15"/>
  <c r="B10366" i="15"/>
  <c r="H10365" i="15"/>
  <c r="B10365" i="15"/>
  <c r="H10364" i="15"/>
  <c r="B10364" i="15"/>
  <c r="H10363" i="15"/>
  <c r="B10363" i="15"/>
  <c r="H10362" i="15"/>
  <c r="B10362" i="15"/>
  <c r="H10361" i="15"/>
  <c r="B10361" i="15"/>
  <c r="H10360" i="15"/>
  <c r="B10360" i="15"/>
  <c r="H10359" i="15"/>
  <c r="B10359" i="15"/>
  <c r="H10358" i="15"/>
  <c r="B10358" i="15"/>
  <c r="H10357" i="15"/>
  <c r="B10357" i="15"/>
  <c r="H10356" i="15"/>
  <c r="B10356" i="15"/>
  <c r="H10355" i="15"/>
  <c r="B10355" i="15"/>
  <c r="H10354" i="15"/>
  <c r="B10354" i="15"/>
  <c r="H10353" i="15"/>
  <c r="B10353" i="15"/>
  <c r="H10352" i="15"/>
  <c r="B10352" i="15"/>
  <c r="H10351" i="15"/>
  <c r="B10351" i="15"/>
  <c r="H10350" i="15"/>
  <c r="B10350" i="15"/>
  <c r="H10349" i="15"/>
  <c r="B10349" i="15"/>
  <c r="H10348" i="15"/>
  <c r="B10348" i="15"/>
  <c r="H10347" i="15"/>
  <c r="B10347" i="15"/>
  <c r="H10346" i="15"/>
  <c r="B10346" i="15"/>
  <c r="H10345" i="15"/>
  <c r="B10345" i="15"/>
  <c r="H10344" i="15"/>
  <c r="B10344" i="15"/>
  <c r="H10343" i="15"/>
  <c r="B10343" i="15"/>
  <c r="H10342" i="15"/>
  <c r="B10342" i="15"/>
  <c r="H10341" i="15"/>
  <c r="B10341" i="15"/>
  <c r="H10340" i="15"/>
  <c r="B10340" i="15"/>
  <c r="H10339" i="15"/>
  <c r="B10339" i="15"/>
  <c r="H10338" i="15"/>
  <c r="B10338" i="15"/>
  <c r="H10337" i="15"/>
  <c r="B10337" i="15"/>
  <c r="H10336" i="15"/>
  <c r="B10336" i="15"/>
  <c r="H10335" i="15"/>
  <c r="B10335" i="15"/>
  <c r="H10334" i="15"/>
  <c r="B10334" i="15"/>
  <c r="H10333" i="15"/>
  <c r="B10333" i="15"/>
  <c r="H10332" i="15"/>
  <c r="B10332" i="15"/>
  <c r="H10331" i="15"/>
  <c r="B10331" i="15"/>
  <c r="H10330" i="15"/>
  <c r="B10330" i="15"/>
  <c r="H10329" i="15"/>
  <c r="B10329" i="15"/>
  <c r="H10328" i="15"/>
  <c r="B10328" i="15"/>
  <c r="H10327" i="15"/>
  <c r="B10327" i="15"/>
  <c r="H10326" i="15"/>
  <c r="B10326" i="15"/>
  <c r="H10325" i="15"/>
  <c r="B10325" i="15"/>
  <c r="H10324" i="15"/>
  <c r="B10324" i="15"/>
  <c r="H10323" i="15"/>
  <c r="B10323" i="15"/>
  <c r="H10322" i="15"/>
  <c r="B10322" i="15"/>
  <c r="H10321" i="15"/>
  <c r="B10321" i="15"/>
  <c r="H10320" i="15"/>
  <c r="B10320" i="15"/>
  <c r="H10319" i="15"/>
  <c r="B10319" i="15"/>
  <c r="H10318" i="15"/>
  <c r="B10318" i="15"/>
  <c r="H10317" i="15"/>
  <c r="B10317" i="15"/>
  <c r="H10316" i="15"/>
  <c r="B10316" i="15"/>
  <c r="H10315" i="15"/>
  <c r="B10315" i="15"/>
  <c r="H10314" i="15"/>
  <c r="B10314" i="15"/>
  <c r="H10313" i="15"/>
  <c r="B10313" i="15"/>
  <c r="H10312" i="15"/>
  <c r="B10312" i="15"/>
  <c r="H10311" i="15"/>
  <c r="B10311" i="15"/>
  <c r="H10310" i="15"/>
  <c r="B10310" i="15"/>
  <c r="H10309" i="15"/>
  <c r="B10309" i="15"/>
  <c r="H10308" i="15"/>
  <c r="B10308" i="15"/>
  <c r="H10307" i="15"/>
  <c r="B10307" i="15"/>
  <c r="H10306" i="15"/>
  <c r="B10306" i="15"/>
  <c r="H10305" i="15"/>
  <c r="B10305" i="15"/>
  <c r="H10304" i="15"/>
  <c r="B10304" i="15"/>
  <c r="H10303" i="15"/>
  <c r="B10303" i="15"/>
  <c r="H10302" i="15"/>
  <c r="B10302" i="15"/>
  <c r="H10301" i="15"/>
  <c r="B10301" i="15"/>
  <c r="H10300" i="15"/>
  <c r="B10300" i="15"/>
  <c r="H10299" i="15"/>
  <c r="B10299" i="15"/>
  <c r="H10298" i="15"/>
  <c r="B10298" i="15"/>
  <c r="H10297" i="15"/>
  <c r="B10297" i="15"/>
  <c r="H10296" i="15"/>
  <c r="B10296" i="15"/>
  <c r="H10295" i="15"/>
  <c r="B10295" i="15"/>
  <c r="H10294" i="15"/>
  <c r="B10294" i="15"/>
  <c r="H10293" i="15"/>
  <c r="B10293" i="15"/>
  <c r="H10292" i="15"/>
  <c r="B10292" i="15"/>
  <c r="H10291" i="15"/>
  <c r="B10291" i="15"/>
  <c r="H10290" i="15"/>
  <c r="B10290" i="15"/>
  <c r="H10289" i="15"/>
  <c r="B10289" i="15"/>
  <c r="H10288" i="15"/>
  <c r="B10288" i="15"/>
  <c r="H10287" i="15"/>
  <c r="B10287" i="15"/>
  <c r="H10286" i="15"/>
  <c r="B10286" i="15"/>
  <c r="H10285" i="15"/>
  <c r="B10285" i="15"/>
  <c r="H10284" i="15"/>
  <c r="B10284" i="15"/>
  <c r="H10283" i="15"/>
  <c r="B10283" i="15"/>
  <c r="H10282" i="15"/>
  <c r="B10282" i="15"/>
  <c r="H10281" i="15"/>
  <c r="B10281" i="15"/>
  <c r="H10280" i="15"/>
  <c r="B10280" i="15"/>
  <c r="H10279" i="15"/>
  <c r="B10279" i="15"/>
  <c r="H10278" i="15"/>
  <c r="B10278" i="15"/>
  <c r="H10277" i="15"/>
  <c r="B10277" i="15"/>
  <c r="H10276" i="15"/>
  <c r="B10276" i="15"/>
  <c r="H10275" i="15"/>
  <c r="B10275" i="15"/>
  <c r="H10274" i="15"/>
  <c r="B10274" i="15"/>
  <c r="H10273" i="15"/>
  <c r="B10273" i="15"/>
  <c r="H10272" i="15"/>
  <c r="B10272" i="15"/>
  <c r="H10271" i="15"/>
  <c r="B10271" i="15"/>
  <c r="H10270" i="15"/>
  <c r="B10270" i="15"/>
  <c r="H10269" i="15"/>
  <c r="B10269" i="15"/>
  <c r="H10268" i="15"/>
  <c r="B10268" i="15"/>
  <c r="H10267" i="15"/>
  <c r="B10267" i="15"/>
  <c r="H10266" i="15"/>
  <c r="B10266" i="15"/>
  <c r="H10265" i="15"/>
  <c r="B10265" i="15"/>
  <c r="H10264" i="15"/>
  <c r="B10264" i="15"/>
  <c r="H10263" i="15"/>
  <c r="B10263" i="15"/>
  <c r="H10262" i="15"/>
  <c r="B10262" i="15"/>
  <c r="H10261" i="15"/>
  <c r="B10261" i="15"/>
  <c r="H10260" i="15"/>
  <c r="B10260" i="15"/>
  <c r="H10259" i="15"/>
  <c r="B10259" i="15"/>
  <c r="H10258" i="15"/>
  <c r="B10258" i="15"/>
  <c r="H10257" i="15"/>
  <c r="B10257" i="15"/>
  <c r="H10256" i="15"/>
  <c r="B10256" i="15"/>
  <c r="H10255" i="15"/>
  <c r="B10255" i="15"/>
  <c r="H10254" i="15"/>
  <c r="B10254" i="15"/>
  <c r="H10253" i="15"/>
  <c r="B10253" i="15"/>
  <c r="H10252" i="15"/>
  <c r="B10252" i="15"/>
  <c r="H10251" i="15"/>
  <c r="B10251" i="15"/>
  <c r="H10250" i="15"/>
  <c r="B10250" i="15"/>
  <c r="H10249" i="15"/>
  <c r="B10249" i="15"/>
  <c r="H10248" i="15"/>
  <c r="B10248" i="15"/>
  <c r="H10247" i="15"/>
  <c r="B10247" i="15"/>
  <c r="H10246" i="15"/>
  <c r="B10246" i="15"/>
  <c r="H10245" i="15"/>
  <c r="B10245" i="15"/>
  <c r="H10244" i="15"/>
  <c r="B10244" i="15"/>
  <c r="H10243" i="15"/>
  <c r="B10243" i="15"/>
  <c r="H10242" i="15"/>
  <c r="B10242" i="15"/>
  <c r="H10241" i="15"/>
  <c r="B10241" i="15"/>
  <c r="H10240" i="15"/>
  <c r="B10240" i="15"/>
  <c r="H10239" i="15"/>
  <c r="B10239" i="15"/>
  <c r="H10238" i="15"/>
  <c r="B10238" i="15"/>
  <c r="H10237" i="15"/>
  <c r="B10237" i="15"/>
  <c r="H10236" i="15"/>
  <c r="B10236" i="15"/>
  <c r="H10235" i="15"/>
  <c r="B10235" i="15"/>
  <c r="H10234" i="15"/>
  <c r="B10234" i="15"/>
  <c r="H10233" i="15"/>
  <c r="B10233" i="15"/>
  <c r="H10232" i="15"/>
  <c r="B10232" i="15"/>
  <c r="H10231" i="15"/>
  <c r="B10231" i="15"/>
  <c r="H10230" i="15"/>
  <c r="B10230" i="15"/>
  <c r="H10229" i="15"/>
  <c r="B10229" i="15"/>
  <c r="H10228" i="15"/>
  <c r="B10228" i="15"/>
  <c r="H10227" i="15"/>
  <c r="B10227" i="15"/>
  <c r="H10226" i="15"/>
  <c r="B10226" i="15"/>
  <c r="H10225" i="15"/>
  <c r="B10225" i="15"/>
  <c r="H10224" i="15"/>
  <c r="B10224" i="15"/>
  <c r="H10223" i="15"/>
  <c r="B10223" i="15"/>
  <c r="H10222" i="15"/>
  <c r="B10222" i="15"/>
  <c r="H10221" i="15"/>
  <c r="B10221" i="15"/>
  <c r="H10220" i="15"/>
  <c r="B10220" i="15"/>
  <c r="H10219" i="15"/>
  <c r="B10219" i="15"/>
  <c r="H10218" i="15"/>
  <c r="B10218" i="15"/>
  <c r="H10217" i="15"/>
  <c r="B10217" i="15"/>
  <c r="H10216" i="15"/>
  <c r="B10216" i="15"/>
  <c r="H10215" i="15"/>
  <c r="B10215" i="15"/>
  <c r="H10214" i="15"/>
  <c r="B10214" i="15"/>
  <c r="H10213" i="15"/>
  <c r="B10213" i="15"/>
  <c r="H10212" i="15"/>
  <c r="B10212" i="15"/>
  <c r="H10211" i="15"/>
  <c r="B10211" i="15"/>
  <c r="H10210" i="15"/>
  <c r="B10210" i="15"/>
  <c r="H10209" i="15"/>
  <c r="B10209" i="15"/>
  <c r="H10208" i="15"/>
  <c r="B10208" i="15"/>
  <c r="H10207" i="15"/>
  <c r="B10207" i="15"/>
  <c r="H10206" i="15"/>
  <c r="B10206" i="15"/>
  <c r="H10205" i="15"/>
  <c r="B10205" i="15"/>
  <c r="H10204" i="15"/>
  <c r="B10204" i="15"/>
  <c r="H10203" i="15"/>
  <c r="B10203" i="15"/>
  <c r="H10202" i="15"/>
  <c r="B10202" i="15"/>
  <c r="H10201" i="15"/>
  <c r="B10201" i="15"/>
  <c r="H10200" i="15"/>
  <c r="B10200" i="15"/>
  <c r="H10199" i="15"/>
  <c r="B10199" i="15"/>
  <c r="H10198" i="15"/>
  <c r="B10198" i="15"/>
  <c r="H10197" i="15"/>
  <c r="B10197" i="15"/>
  <c r="H10196" i="15"/>
  <c r="B10196" i="15"/>
  <c r="H10195" i="15"/>
  <c r="B10195" i="15"/>
  <c r="H10194" i="15"/>
  <c r="B10194" i="15"/>
  <c r="H10193" i="15"/>
  <c r="B10193" i="15"/>
  <c r="H10192" i="15"/>
  <c r="B10192" i="15"/>
  <c r="H10191" i="15"/>
  <c r="B10191" i="15"/>
  <c r="H10190" i="15"/>
  <c r="B10190" i="15"/>
  <c r="H10189" i="15"/>
  <c r="B10189" i="15"/>
  <c r="H10188" i="15"/>
  <c r="B10188" i="15"/>
  <c r="H10187" i="15"/>
  <c r="B10187" i="15"/>
  <c r="H10186" i="15"/>
  <c r="B10186" i="15"/>
  <c r="H10185" i="15"/>
  <c r="B10185" i="15"/>
  <c r="H10184" i="15"/>
  <c r="B10184" i="15"/>
  <c r="H10183" i="15"/>
  <c r="B10183" i="15"/>
  <c r="H10182" i="15"/>
  <c r="B10182" i="15"/>
  <c r="H10181" i="15"/>
  <c r="B10181" i="15"/>
  <c r="H10180" i="15"/>
  <c r="B10180" i="15"/>
  <c r="H10179" i="15"/>
  <c r="B10179" i="15"/>
  <c r="H10178" i="15"/>
  <c r="B10178" i="15"/>
  <c r="H10177" i="15"/>
  <c r="B10177" i="15"/>
  <c r="H10176" i="15"/>
  <c r="B10176" i="15"/>
  <c r="H10175" i="15"/>
  <c r="B10175" i="15"/>
  <c r="H10174" i="15"/>
  <c r="B10174" i="15"/>
  <c r="H10173" i="15"/>
  <c r="B10173" i="15"/>
  <c r="H10172" i="15"/>
  <c r="B10172" i="15"/>
  <c r="H10171" i="15"/>
  <c r="B10171" i="15"/>
  <c r="H10170" i="15"/>
  <c r="B10170" i="15"/>
  <c r="H10169" i="15"/>
  <c r="B10169" i="15"/>
  <c r="H10168" i="15"/>
  <c r="B10168" i="15"/>
  <c r="H10167" i="15"/>
  <c r="B10167" i="15"/>
  <c r="H10166" i="15"/>
  <c r="B10166" i="15"/>
  <c r="H10165" i="15"/>
  <c r="B10165" i="15"/>
  <c r="H10164" i="15"/>
  <c r="B10164" i="15"/>
  <c r="H10163" i="15"/>
  <c r="B10163" i="15"/>
  <c r="H10162" i="15"/>
  <c r="B10162" i="15"/>
  <c r="H10161" i="15"/>
  <c r="B10161" i="15"/>
  <c r="H10160" i="15"/>
  <c r="B10160" i="15"/>
  <c r="H10159" i="15"/>
  <c r="B10159" i="15"/>
  <c r="H10158" i="15"/>
  <c r="B10158" i="15"/>
  <c r="H10157" i="15"/>
  <c r="B10157" i="15"/>
  <c r="H10156" i="15"/>
  <c r="B10156" i="15"/>
  <c r="H10155" i="15"/>
  <c r="B10155" i="15"/>
  <c r="H10154" i="15"/>
  <c r="B10154" i="15"/>
  <c r="H10153" i="15"/>
  <c r="B10153" i="15"/>
  <c r="H10152" i="15"/>
  <c r="B10152" i="15"/>
  <c r="H10151" i="15"/>
  <c r="B10151" i="15"/>
  <c r="H10150" i="15"/>
  <c r="B10150" i="15"/>
  <c r="H10149" i="15"/>
  <c r="B10149" i="15"/>
  <c r="H10148" i="15"/>
  <c r="B10148" i="15"/>
  <c r="H10147" i="15"/>
  <c r="B10147" i="15"/>
  <c r="H10146" i="15"/>
  <c r="B10146" i="15"/>
  <c r="H10145" i="15"/>
  <c r="B10145" i="15"/>
  <c r="H10144" i="15"/>
  <c r="B10144" i="15"/>
  <c r="H10143" i="15"/>
  <c r="B10143" i="15"/>
  <c r="H10142" i="15"/>
  <c r="B10142" i="15"/>
  <c r="H10141" i="15"/>
  <c r="B10141" i="15"/>
  <c r="H10140" i="15"/>
  <c r="B10140" i="15"/>
  <c r="H10139" i="15"/>
  <c r="B10139" i="15"/>
  <c r="H10138" i="15"/>
  <c r="B10138" i="15"/>
  <c r="H10137" i="15"/>
  <c r="B10137" i="15"/>
  <c r="H10136" i="15"/>
  <c r="B10136" i="15"/>
  <c r="H10135" i="15"/>
  <c r="B10135" i="15"/>
  <c r="H10134" i="15"/>
  <c r="B10134" i="15"/>
  <c r="H10133" i="15"/>
  <c r="B10133" i="15"/>
  <c r="H10132" i="15"/>
  <c r="B10132" i="15"/>
  <c r="H10131" i="15"/>
  <c r="B10131" i="15"/>
  <c r="H10130" i="15"/>
  <c r="B10130" i="15"/>
  <c r="H10129" i="15"/>
  <c r="B10129" i="15"/>
  <c r="H10128" i="15"/>
  <c r="B10128" i="15"/>
  <c r="H10127" i="15"/>
  <c r="B10127" i="15"/>
  <c r="H10126" i="15"/>
  <c r="B10126" i="15"/>
  <c r="H10125" i="15"/>
  <c r="B10125" i="15"/>
  <c r="H10124" i="15"/>
  <c r="B10124" i="15"/>
  <c r="H10123" i="15"/>
  <c r="B10123" i="15"/>
  <c r="H10122" i="15"/>
  <c r="B10122" i="15"/>
  <c r="H10121" i="15"/>
  <c r="B10121" i="15"/>
  <c r="H10120" i="15"/>
  <c r="B10120" i="15"/>
  <c r="H10119" i="15"/>
  <c r="B10119" i="15"/>
  <c r="H10118" i="15"/>
  <c r="B10118" i="15"/>
  <c r="H10117" i="15"/>
  <c r="B10117" i="15"/>
  <c r="H10116" i="15"/>
  <c r="B10116" i="15"/>
  <c r="H10115" i="15"/>
  <c r="B10115" i="15"/>
  <c r="H10114" i="15"/>
  <c r="B10114" i="15"/>
  <c r="H10113" i="15"/>
  <c r="B10113" i="15"/>
  <c r="H10112" i="15"/>
  <c r="B10112" i="15"/>
  <c r="H10111" i="15"/>
  <c r="B10111" i="15"/>
  <c r="H10110" i="15"/>
  <c r="B10110" i="15"/>
  <c r="H10109" i="15"/>
  <c r="B10109" i="15"/>
  <c r="H10108" i="15"/>
  <c r="B10108" i="15"/>
  <c r="H10107" i="15"/>
  <c r="B10107" i="15"/>
  <c r="H10106" i="15"/>
  <c r="B10106" i="15"/>
  <c r="H10105" i="15"/>
  <c r="B10105" i="15"/>
  <c r="H10104" i="15"/>
  <c r="B10104" i="15"/>
  <c r="H10103" i="15"/>
  <c r="B10103" i="15"/>
  <c r="H10102" i="15"/>
  <c r="B10102" i="15"/>
  <c r="H10101" i="15"/>
  <c r="B10101" i="15"/>
  <c r="H10100" i="15"/>
  <c r="B10100" i="15"/>
  <c r="H10099" i="15"/>
  <c r="B10099" i="15"/>
  <c r="H10098" i="15"/>
  <c r="B10098" i="15"/>
  <c r="H10097" i="15"/>
  <c r="B10097" i="15"/>
  <c r="H10096" i="15"/>
  <c r="B10096" i="15"/>
  <c r="H10095" i="15"/>
  <c r="B10095" i="15"/>
  <c r="H10094" i="15"/>
  <c r="B10094" i="15"/>
  <c r="H10093" i="15"/>
  <c r="B10093" i="15"/>
  <c r="H10092" i="15"/>
  <c r="B10092" i="15"/>
  <c r="H10091" i="15"/>
  <c r="B10091" i="15"/>
  <c r="H10090" i="15"/>
  <c r="B10090" i="15"/>
  <c r="H10089" i="15"/>
  <c r="B10089" i="15"/>
  <c r="H10088" i="15"/>
  <c r="B10088" i="15"/>
  <c r="H10087" i="15"/>
  <c r="B10087" i="15"/>
  <c r="H10086" i="15"/>
  <c r="B10086" i="15"/>
  <c r="H10085" i="15"/>
  <c r="B10085" i="15"/>
  <c r="H10084" i="15"/>
  <c r="B10084" i="15"/>
  <c r="H10083" i="15"/>
  <c r="B10083" i="15"/>
  <c r="H10082" i="15"/>
  <c r="B10082" i="15"/>
  <c r="H10081" i="15"/>
  <c r="B10081" i="15"/>
  <c r="H10080" i="15"/>
  <c r="B10080" i="15"/>
  <c r="H10079" i="15"/>
  <c r="B10079" i="15"/>
  <c r="H10078" i="15"/>
  <c r="B10078" i="15"/>
  <c r="H10077" i="15"/>
  <c r="B10077" i="15"/>
  <c r="H10076" i="15"/>
  <c r="B10076" i="15"/>
  <c r="H10075" i="15"/>
  <c r="B10075" i="15"/>
  <c r="H10074" i="15"/>
  <c r="B10074" i="15"/>
  <c r="H10073" i="15"/>
  <c r="B10073" i="15"/>
  <c r="H10072" i="15"/>
  <c r="B10072" i="15"/>
  <c r="H10071" i="15"/>
  <c r="B10071" i="15"/>
  <c r="H10070" i="15"/>
  <c r="B10070" i="15"/>
  <c r="H10069" i="15"/>
  <c r="B10069" i="15"/>
  <c r="H10068" i="15"/>
  <c r="B10068" i="15"/>
  <c r="H10067" i="15"/>
  <c r="B10067" i="15"/>
  <c r="H10066" i="15"/>
  <c r="B10066" i="15"/>
  <c r="H10065" i="15"/>
  <c r="B10065" i="15"/>
  <c r="H10064" i="15"/>
  <c r="B10064" i="15"/>
  <c r="H10063" i="15"/>
  <c r="B10063" i="15"/>
  <c r="H10062" i="15"/>
  <c r="B10062" i="15"/>
  <c r="H10061" i="15"/>
  <c r="B10061" i="15"/>
  <c r="H10060" i="15"/>
  <c r="B10060" i="15"/>
  <c r="H10059" i="15"/>
  <c r="B10059" i="15"/>
  <c r="H10058" i="15"/>
  <c r="B10058" i="15"/>
  <c r="H10057" i="15"/>
  <c r="B10057" i="15"/>
  <c r="H10056" i="15"/>
  <c r="B10056" i="15"/>
  <c r="H10055" i="15"/>
  <c r="B10055" i="15"/>
  <c r="H10054" i="15"/>
  <c r="B10054" i="15"/>
  <c r="H10053" i="15"/>
  <c r="B10053" i="15"/>
  <c r="H10052" i="15"/>
  <c r="B10052" i="15"/>
  <c r="H10051" i="15"/>
  <c r="B10051" i="15"/>
  <c r="H10050" i="15"/>
  <c r="B10050" i="15"/>
  <c r="H10049" i="15"/>
  <c r="B10049" i="15"/>
  <c r="H10048" i="15"/>
  <c r="B10048" i="15"/>
  <c r="H10047" i="15"/>
  <c r="B10047" i="15"/>
  <c r="H10046" i="15"/>
  <c r="B10046" i="15"/>
  <c r="H10045" i="15"/>
  <c r="B10045" i="15"/>
  <c r="H10044" i="15"/>
  <c r="B10044" i="15"/>
  <c r="H10043" i="15"/>
  <c r="B10043" i="15"/>
  <c r="H10042" i="15"/>
  <c r="B10042" i="15"/>
  <c r="H10041" i="15"/>
  <c r="B10041" i="15"/>
  <c r="H10040" i="15"/>
  <c r="B10040" i="15"/>
  <c r="H10039" i="15"/>
  <c r="B10039" i="15"/>
  <c r="H10038" i="15"/>
  <c r="B10038" i="15"/>
  <c r="H10037" i="15"/>
  <c r="B10037" i="15"/>
  <c r="H10036" i="15"/>
  <c r="B10036" i="15"/>
  <c r="H10035" i="15"/>
  <c r="B10035" i="15"/>
  <c r="H10034" i="15"/>
  <c r="B10034" i="15"/>
  <c r="H10033" i="15"/>
  <c r="B10033" i="15"/>
  <c r="H10032" i="15"/>
  <c r="B10032" i="15"/>
  <c r="H10031" i="15"/>
  <c r="B10031" i="15"/>
  <c r="H10030" i="15"/>
  <c r="B10030" i="15"/>
  <c r="H10029" i="15"/>
  <c r="B10029" i="15"/>
  <c r="H10028" i="15"/>
  <c r="B10028" i="15"/>
  <c r="H10027" i="15"/>
  <c r="B10027" i="15"/>
  <c r="H10026" i="15"/>
  <c r="B10026" i="15"/>
  <c r="H10025" i="15"/>
  <c r="B10025" i="15"/>
  <c r="H10024" i="15"/>
  <c r="B10024" i="15"/>
  <c r="H10023" i="15"/>
  <c r="B10023" i="15"/>
  <c r="H10022" i="15"/>
  <c r="B10022" i="15"/>
  <c r="H10021" i="15"/>
  <c r="B10021" i="15"/>
  <c r="H10020" i="15"/>
  <c r="B10020" i="15"/>
  <c r="H10019" i="15"/>
  <c r="B10019" i="15"/>
  <c r="H10018" i="15"/>
  <c r="B10018" i="15"/>
  <c r="H10017" i="15"/>
  <c r="B10017" i="15"/>
  <c r="H10016" i="15"/>
  <c r="B10016" i="15"/>
  <c r="H10015" i="15"/>
  <c r="B10015" i="15"/>
  <c r="H10014" i="15"/>
  <c r="B10014" i="15"/>
  <c r="H10013" i="15"/>
  <c r="B10013" i="15"/>
  <c r="H10012" i="15"/>
  <c r="B10012" i="15"/>
  <c r="H10011" i="15"/>
  <c r="B10011" i="15"/>
  <c r="H10010" i="15"/>
  <c r="B10010" i="15"/>
  <c r="H10009" i="15"/>
  <c r="B10009" i="15"/>
  <c r="H10008" i="15"/>
  <c r="B10008" i="15"/>
  <c r="H10007" i="15"/>
  <c r="B10007" i="15"/>
  <c r="H10006" i="15"/>
  <c r="B10006" i="15"/>
  <c r="H10005" i="15"/>
  <c r="B10005" i="15"/>
  <c r="H10004" i="15"/>
  <c r="B10004" i="15"/>
  <c r="H10003" i="15"/>
  <c r="B10003" i="15"/>
  <c r="H10002" i="15"/>
  <c r="B10002" i="15"/>
  <c r="H10001" i="15"/>
  <c r="B10001" i="15"/>
  <c r="F3" i="25" l="1"/>
  <c r="F6" i="25"/>
  <c r="F4" i="25"/>
  <c r="AU40" i="23"/>
  <c r="AR40" i="23" s="1"/>
  <c r="AS40" i="23" s="1"/>
  <c r="AU39" i="23"/>
  <c r="AR39" i="23" s="1"/>
  <c r="AS39" i="23" s="1"/>
  <c r="AV40" i="23"/>
  <c r="AV39" i="23"/>
  <c r="M17" i="23"/>
  <c r="C44" i="25" l="1"/>
  <c r="C45" i="25" s="1"/>
  <c r="N7" i="9"/>
  <c r="E56" i="16"/>
  <c r="F56" i="16"/>
  <c r="G56" i="16"/>
  <c r="D56" i="16"/>
  <c r="E50" i="16"/>
  <c r="F50" i="16"/>
  <c r="G50" i="16"/>
  <c r="D50" i="16"/>
  <c r="D43" i="25" l="1"/>
  <c r="D44" i="25" s="1"/>
  <c r="C47" i="25"/>
  <c r="C48" i="25"/>
  <c r="C46" i="25"/>
  <c r="B5001" i="15"/>
  <c r="B5002" i="15"/>
  <c r="B5003" i="15"/>
  <c r="B5004" i="15"/>
  <c r="B5005" i="15"/>
  <c r="B5006" i="15"/>
  <c r="B5007" i="15"/>
  <c r="B5008" i="15"/>
  <c r="B5009" i="15"/>
  <c r="B5010" i="15"/>
  <c r="B5011" i="15"/>
  <c r="B5012" i="15"/>
  <c r="B5013" i="15"/>
  <c r="B5014" i="15"/>
  <c r="B5015" i="15"/>
  <c r="B5016" i="15"/>
  <c r="B5017" i="15"/>
  <c r="B5018" i="15"/>
  <c r="B5019" i="15"/>
  <c r="B5020" i="15"/>
  <c r="B5021" i="15"/>
  <c r="B5022" i="15"/>
  <c r="B5023" i="15"/>
  <c r="B5024" i="15"/>
  <c r="B5025" i="15"/>
  <c r="B5026" i="15"/>
  <c r="B5027" i="15"/>
  <c r="B5028" i="15"/>
  <c r="B5029" i="15"/>
  <c r="B5030" i="15"/>
  <c r="B5031" i="15"/>
  <c r="B5032" i="15"/>
  <c r="B5033" i="15"/>
  <c r="B5034" i="15"/>
  <c r="B5035" i="15"/>
  <c r="B5036" i="15"/>
  <c r="B5037" i="15"/>
  <c r="B5038" i="15"/>
  <c r="B5039" i="15"/>
  <c r="B5040" i="15"/>
  <c r="B5041" i="15"/>
  <c r="B5042" i="15"/>
  <c r="B5043" i="15"/>
  <c r="B5044" i="15"/>
  <c r="B5045" i="15"/>
  <c r="B5046" i="15"/>
  <c r="B5047" i="15"/>
  <c r="B5048" i="15"/>
  <c r="B5049" i="15"/>
  <c r="B5050" i="15"/>
  <c r="B5051" i="15"/>
  <c r="B5052" i="15"/>
  <c r="B5053" i="15"/>
  <c r="B5054" i="15"/>
  <c r="B5055" i="15"/>
  <c r="B5056" i="15"/>
  <c r="B5057" i="15"/>
  <c r="B5058" i="15"/>
  <c r="B5059" i="15"/>
  <c r="B5060" i="15"/>
  <c r="B5061" i="15"/>
  <c r="B5062" i="15"/>
  <c r="B5063" i="15"/>
  <c r="B5064" i="15"/>
  <c r="B5065" i="15"/>
  <c r="B5066" i="15"/>
  <c r="B5067" i="15"/>
  <c r="B5068" i="15"/>
  <c r="B5069" i="15"/>
  <c r="B5070" i="15"/>
  <c r="B5071" i="15"/>
  <c r="B5072" i="15"/>
  <c r="B5073" i="15"/>
  <c r="B5074" i="15"/>
  <c r="B5075" i="15"/>
  <c r="B5076" i="15"/>
  <c r="B5077" i="15"/>
  <c r="B5078" i="15"/>
  <c r="B5079" i="15"/>
  <c r="B5080" i="15"/>
  <c r="B5081" i="15"/>
  <c r="B5082" i="15"/>
  <c r="B5083" i="15"/>
  <c r="B5084" i="15"/>
  <c r="B5085" i="15"/>
  <c r="B5086" i="15"/>
  <c r="B5087" i="15"/>
  <c r="B5088" i="15"/>
  <c r="B5089" i="15"/>
  <c r="B5090" i="15"/>
  <c r="B5091" i="15"/>
  <c r="B5092" i="15"/>
  <c r="B5093" i="15"/>
  <c r="B5094" i="15"/>
  <c r="B5095" i="15"/>
  <c r="B5096" i="15"/>
  <c r="B5097" i="15"/>
  <c r="B5098" i="15"/>
  <c r="B5099" i="15"/>
  <c r="B5100" i="15"/>
  <c r="B5101" i="15"/>
  <c r="B5102" i="15"/>
  <c r="B5103" i="15"/>
  <c r="B5104" i="15"/>
  <c r="B5105" i="15"/>
  <c r="B5106" i="15"/>
  <c r="B5107" i="15"/>
  <c r="B5108" i="15"/>
  <c r="B5109" i="15"/>
  <c r="B5110" i="15"/>
  <c r="B5111" i="15"/>
  <c r="B5112" i="15"/>
  <c r="B5113" i="15"/>
  <c r="B5114" i="15"/>
  <c r="B5115" i="15"/>
  <c r="B5116" i="15"/>
  <c r="B5117" i="15"/>
  <c r="B5118" i="15"/>
  <c r="B5119" i="15"/>
  <c r="B5120" i="15"/>
  <c r="B5121" i="15"/>
  <c r="B5122" i="15"/>
  <c r="B5123" i="15"/>
  <c r="B5124" i="15"/>
  <c r="B5125" i="15"/>
  <c r="B5126" i="15"/>
  <c r="B5127" i="15"/>
  <c r="B5128" i="15"/>
  <c r="B5129" i="15"/>
  <c r="B5130" i="15"/>
  <c r="B5131" i="15"/>
  <c r="B5132" i="15"/>
  <c r="B5133" i="15"/>
  <c r="B5134" i="15"/>
  <c r="B5135" i="15"/>
  <c r="B5136" i="15"/>
  <c r="B5137" i="15"/>
  <c r="B5138" i="15"/>
  <c r="B5139" i="15"/>
  <c r="B5140" i="15"/>
  <c r="B5141" i="15"/>
  <c r="B5142" i="15"/>
  <c r="B5143" i="15"/>
  <c r="B5144" i="15"/>
  <c r="B5145" i="15"/>
  <c r="B5146" i="15"/>
  <c r="B5147" i="15"/>
  <c r="B5148" i="15"/>
  <c r="B5149" i="15"/>
  <c r="B5150" i="15"/>
  <c r="B5151" i="15"/>
  <c r="B5152" i="15"/>
  <c r="B5153" i="15"/>
  <c r="B5154" i="15"/>
  <c r="B5155" i="15"/>
  <c r="B5156" i="15"/>
  <c r="B5157" i="15"/>
  <c r="B5158" i="15"/>
  <c r="B5159" i="15"/>
  <c r="B5160" i="15"/>
  <c r="B5161" i="15"/>
  <c r="B5162" i="15"/>
  <c r="B5163" i="15"/>
  <c r="B5164" i="15"/>
  <c r="B5165" i="15"/>
  <c r="B5166" i="15"/>
  <c r="B5167" i="15"/>
  <c r="B5168" i="15"/>
  <c r="B5169" i="15"/>
  <c r="B5170" i="15"/>
  <c r="B5171" i="15"/>
  <c r="B5172" i="15"/>
  <c r="B5173" i="15"/>
  <c r="B5174" i="15"/>
  <c r="B5175" i="15"/>
  <c r="B5176" i="15"/>
  <c r="B5177" i="15"/>
  <c r="B5178" i="15"/>
  <c r="B5179" i="15"/>
  <c r="B5180" i="15"/>
  <c r="B5181" i="15"/>
  <c r="B5182" i="15"/>
  <c r="B5183" i="15"/>
  <c r="B5184" i="15"/>
  <c r="B5185" i="15"/>
  <c r="B5186" i="15"/>
  <c r="B5187" i="15"/>
  <c r="B5188" i="15"/>
  <c r="B5189" i="15"/>
  <c r="B5190" i="15"/>
  <c r="B5191" i="15"/>
  <c r="B5192" i="15"/>
  <c r="B5193" i="15"/>
  <c r="B5194" i="15"/>
  <c r="B5195" i="15"/>
  <c r="B5196" i="15"/>
  <c r="B5197" i="15"/>
  <c r="B5198" i="15"/>
  <c r="B5199" i="15"/>
  <c r="B5200" i="15"/>
  <c r="B5201" i="15"/>
  <c r="B5202" i="15"/>
  <c r="B5203" i="15"/>
  <c r="B5204" i="15"/>
  <c r="B5205" i="15"/>
  <c r="B5206" i="15"/>
  <c r="B5207" i="15"/>
  <c r="B5208" i="15"/>
  <c r="B5209" i="15"/>
  <c r="B5210" i="15"/>
  <c r="B5211" i="15"/>
  <c r="B5212" i="15"/>
  <c r="B5213" i="15"/>
  <c r="B5214" i="15"/>
  <c r="B5215" i="15"/>
  <c r="B5216" i="15"/>
  <c r="B5217" i="15"/>
  <c r="B5218" i="15"/>
  <c r="B5219" i="15"/>
  <c r="B5220" i="15"/>
  <c r="B5221" i="15"/>
  <c r="B5222" i="15"/>
  <c r="B5223" i="15"/>
  <c r="B5224" i="15"/>
  <c r="B5225" i="15"/>
  <c r="B5226" i="15"/>
  <c r="B5227" i="15"/>
  <c r="B5228" i="15"/>
  <c r="B5229" i="15"/>
  <c r="B5230" i="15"/>
  <c r="B5231" i="15"/>
  <c r="B5232" i="15"/>
  <c r="B5233" i="15"/>
  <c r="B5234" i="15"/>
  <c r="B5235" i="15"/>
  <c r="B5236" i="15"/>
  <c r="B5237" i="15"/>
  <c r="B5238" i="15"/>
  <c r="B5239" i="15"/>
  <c r="B5240" i="15"/>
  <c r="B5241" i="15"/>
  <c r="B5242" i="15"/>
  <c r="B5243" i="15"/>
  <c r="B5244" i="15"/>
  <c r="B5245" i="15"/>
  <c r="B5246" i="15"/>
  <c r="B5247" i="15"/>
  <c r="B5248" i="15"/>
  <c r="B5249" i="15"/>
  <c r="B5250" i="15"/>
  <c r="B5251" i="15"/>
  <c r="B5252" i="15"/>
  <c r="B5253" i="15"/>
  <c r="B5254" i="15"/>
  <c r="B5255" i="15"/>
  <c r="B5256" i="15"/>
  <c r="B5257" i="15"/>
  <c r="B5258" i="15"/>
  <c r="B5259" i="15"/>
  <c r="B5260" i="15"/>
  <c r="B5261" i="15"/>
  <c r="B5262" i="15"/>
  <c r="B5263" i="15"/>
  <c r="B5264" i="15"/>
  <c r="B5265" i="15"/>
  <c r="B5266" i="15"/>
  <c r="B5267" i="15"/>
  <c r="B5268" i="15"/>
  <c r="B5269" i="15"/>
  <c r="B5270" i="15"/>
  <c r="B5271" i="15"/>
  <c r="B5272" i="15"/>
  <c r="B5273" i="15"/>
  <c r="B5274" i="15"/>
  <c r="B5275" i="15"/>
  <c r="B5276" i="15"/>
  <c r="B5277" i="15"/>
  <c r="B5278" i="15"/>
  <c r="B5279" i="15"/>
  <c r="B5280" i="15"/>
  <c r="B5281" i="15"/>
  <c r="B5282" i="15"/>
  <c r="B5283" i="15"/>
  <c r="B5284" i="15"/>
  <c r="B5285" i="15"/>
  <c r="B5286" i="15"/>
  <c r="B5287" i="15"/>
  <c r="B5288" i="15"/>
  <c r="B5289" i="15"/>
  <c r="B5290" i="15"/>
  <c r="B5291" i="15"/>
  <c r="B5292" i="15"/>
  <c r="B5293" i="15"/>
  <c r="B5294" i="15"/>
  <c r="B5295" i="15"/>
  <c r="B5296" i="15"/>
  <c r="B5297" i="15"/>
  <c r="B5298" i="15"/>
  <c r="B5299" i="15"/>
  <c r="B5300" i="15"/>
  <c r="B5301" i="15"/>
  <c r="B5302" i="15"/>
  <c r="B5303" i="15"/>
  <c r="B5304" i="15"/>
  <c r="B5305" i="15"/>
  <c r="B5306" i="15"/>
  <c r="B5307" i="15"/>
  <c r="B5308" i="15"/>
  <c r="B5309" i="15"/>
  <c r="B5310" i="15"/>
  <c r="B5311" i="15"/>
  <c r="B5312" i="15"/>
  <c r="B5313" i="15"/>
  <c r="B5314" i="15"/>
  <c r="B5315" i="15"/>
  <c r="B5316" i="15"/>
  <c r="B5317" i="15"/>
  <c r="B5318" i="15"/>
  <c r="B5319" i="15"/>
  <c r="B5320" i="15"/>
  <c r="B5321" i="15"/>
  <c r="B5322" i="15"/>
  <c r="B5323" i="15"/>
  <c r="B5324" i="15"/>
  <c r="B5325" i="15"/>
  <c r="B5326" i="15"/>
  <c r="B5327" i="15"/>
  <c r="B5328" i="15"/>
  <c r="B5329" i="15"/>
  <c r="B5330" i="15"/>
  <c r="B5331" i="15"/>
  <c r="B5332" i="15"/>
  <c r="B5333" i="15"/>
  <c r="B5334" i="15"/>
  <c r="B5335" i="15"/>
  <c r="B5336" i="15"/>
  <c r="B5337" i="15"/>
  <c r="B5338" i="15"/>
  <c r="B5339" i="15"/>
  <c r="B5340" i="15"/>
  <c r="B5341" i="15"/>
  <c r="B5342" i="15"/>
  <c r="B5343" i="15"/>
  <c r="B5344" i="15"/>
  <c r="B5345" i="15"/>
  <c r="B5346" i="15"/>
  <c r="B5347" i="15"/>
  <c r="B5348" i="15"/>
  <c r="B5349" i="15"/>
  <c r="B5350" i="15"/>
  <c r="B5351" i="15"/>
  <c r="B5352" i="15"/>
  <c r="B5353" i="15"/>
  <c r="B5354" i="15"/>
  <c r="B5355" i="15"/>
  <c r="B5356" i="15"/>
  <c r="B5357" i="15"/>
  <c r="B5358" i="15"/>
  <c r="B5359" i="15"/>
  <c r="B5360" i="15"/>
  <c r="B5361" i="15"/>
  <c r="B5362" i="15"/>
  <c r="B5363" i="15"/>
  <c r="B5364" i="15"/>
  <c r="B5365" i="15"/>
  <c r="B5366" i="15"/>
  <c r="B5367" i="15"/>
  <c r="B5368" i="15"/>
  <c r="B5369" i="15"/>
  <c r="B5370" i="15"/>
  <c r="B5371" i="15"/>
  <c r="B5372" i="15"/>
  <c r="B5373" i="15"/>
  <c r="B5374" i="15"/>
  <c r="B5375" i="15"/>
  <c r="B5376" i="15"/>
  <c r="B5377" i="15"/>
  <c r="B5378" i="15"/>
  <c r="B5379" i="15"/>
  <c r="B5380" i="15"/>
  <c r="B5381" i="15"/>
  <c r="B5382" i="15"/>
  <c r="B5383" i="15"/>
  <c r="B5384" i="15"/>
  <c r="B5385" i="15"/>
  <c r="B5386" i="15"/>
  <c r="B5387" i="15"/>
  <c r="B5388" i="15"/>
  <c r="B5389" i="15"/>
  <c r="B5390" i="15"/>
  <c r="B5391" i="15"/>
  <c r="B5392" i="15"/>
  <c r="B5393" i="15"/>
  <c r="B5394" i="15"/>
  <c r="B5395" i="15"/>
  <c r="B5396" i="15"/>
  <c r="B5397" i="15"/>
  <c r="B5398" i="15"/>
  <c r="B5399" i="15"/>
  <c r="B5400" i="15"/>
  <c r="B5401" i="15"/>
  <c r="B5402" i="15"/>
  <c r="B5403" i="15"/>
  <c r="B5404" i="15"/>
  <c r="B5405" i="15"/>
  <c r="B5406" i="15"/>
  <c r="B5407" i="15"/>
  <c r="B5408" i="15"/>
  <c r="B5409" i="15"/>
  <c r="B5410" i="15"/>
  <c r="B5411" i="15"/>
  <c r="B5412" i="15"/>
  <c r="B5413" i="15"/>
  <c r="B5414" i="15"/>
  <c r="B5415" i="15"/>
  <c r="B5416" i="15"/>
  <c r="B5417" i="15"/>
  <c r="B5418" i="15"/>
  <c r="B5419" i="15"/>
  <c r="B5420" i="15"/>
  <c r="B5421" i="15"/>
  <c r="B5422" i="15"/>
  <c r="B5423" i="15"/>
  <c r="B5424" i="15"/>
  <c r="B5425" i="15"/>
  <c r="B5426" i="15"/>
  <c r="B5427" i="15"/>
  <c r="B5428" i="15"/>
  <c r="B5429" i="15"/>
  <c r="B5430" i="15"/>
  <c r="B5431" i="15"/>
  <c r="B5432" i="15"/>
  <c r="B5433" i="15"/>
  <c r="B5434" i="15"/>
  <c r="B5435" i="15"/>
  <c r="B5436" i="15"/>
  <c r="B5437" i="15"/>
  <c r="B5438" i="15"/>
  <c r="B5439" i="15"/>
  <c r="B5440" i="15"/>
  <c r="B5441" i="15"/>
  <c r="B5442" i="15"/>
  <c r="B5443" i="15"/>
  <c r="B5444" i="15"/>
  <c r="B5445" i="15"/>
  <c r="B5446" i="15"/>
  <c r="B5447" i="15"/>
  <c r="B5448" i="15"/>
  <c r="B5449" i="15"/>
  <c r="B5450" i="15"/>
  <c r="B5451" i="15"/>
  <c r="B5452" i="15"/>
  <c r="B5453" i="15"/>
  <c r="B5454" i="15"/>
  <c r="B5455" i="15"/>
  <c r="B5456" i="15"/>
  <c r="B5457" i="15"/>
  <c r="B5458" i="15"/>
  <c r="B5459" i="15"/>
  <c r="B5460" i="15"/>
  <c r="B5461" i="15"/>
  <c r="B5462" i="15"/>
  <c r="B5463" i="15"/>
  <c r="B5464" i="15"/>
  <c r="B5465" i="15"/>
  <c r="B5466" i="15"/>
  <c r="B5467" i="15"/>
  <c r="B5468" i="15"/>
  <c r="B5469" i="15"/>
  <c r="B5470" i="15"/>
  <c r="B5471" i="15"/>
  <c r="B5472" i="15"/>
  <c r="B5473" i="15"/>
  <c r="B5474" i="15"/>
  <c r="B5475" i="15"/>
  <c r="B5476" i="15"/>
  <c r="B5477" i="15"/>
  <c r="B5478" i="15"/>
  <c r="B5479" i="15"/>
  <c r="B5480" i="15"/>
  <c r="B5481" i="15"/>
  <c r="B5482" i="15"/>
  <c r="B5483" i="15"/>
  <c r="B5484" i="15"/>
  <c r="B5485" i="15"/>
  <c r="B5486" i="15"/>
  <c r="B5487" i="15"/>
  <c r="B5488" i="15"/>
  <c r="B5489" i="15"/>
  <c r="B5490" i="15"/>
  <c r="B5491" i="15"/>
  <c r="B5492" i="15"/>
  <c r="B5493" i="15"/>
  <c r="B5494" i="15"/>
  <c r="B5495" i="15"/>
  <c r="B5496" i="15"/>
  <c r="B5497" i="15"/>
  <c r="B5498" i="15"/>
  <c r="B5499" i="15"/>
  <c r="B5500" i="15"/>
  <c r="B5501" i="15"/>
  <c r="B5502" i="15"/>
  <c r="B5503" i="15"/>
  <c r="B5504" i="15"/>
  <c r="B5505" i="15"/>
  <c r="B5506" i="15"/>
  <c r="B5507" i="15"/>
  <c r="B5508" i="15"/>
  <c r="B5509" i="15"/>
  <c r="B5510" i="15"/>
  <c r="B5511" i="15"/>
  <c r="B5512" i="15"/>
  <c r="B5513" i="15"/>
  <c r="B5514" i="15"/>
  <c r="B5515" i="15"/>
  <c r="B5516" i="15"/>
  <c r="B5517" i="15"/>
  <c r="B5518" i="15"/>
  <c r="B5519" i="15"/>
  <c r="B5520" i="15"/>
  <c r="B5521" i="15"/>
  <c r="B5522" i="15"/>
  <c r="B5523" i="15"/>
  <c r="B5524" i="15"/>
  <c r="B5525" i="15"/>
  <c r="B5526" i="15"/>
  <c r="B5527" i="15"/>
  <c r="B5528" i="15"/>
  <c r="B5529" i="15"/>
  <c r="B5530" i="15"/>
  <c r="B5531" i="15"/>
  <c r="B5532" i="15"/>
  <c r="B5533" i="15"/>
  <c r="B5534" i="15"/>
  <c r="B5535" i="15"/>
  <c r="B5536" i="15"/>
  <c r="B5537" i="15"/>
  <c r="B5538" i="15"/>
  <c r="B5539" i="15"/>
  <c r="B5540" i="15"/>
  <c r="B5541" i="15"/>
  <c r="B5542" i="15"/>
  <c r="B5543" i="15"/>
  <c r="B5544" i="15"/>
  <c r="B5545" i="15"/>
  <c r="B5546" i="15"/>
  <c r="B5547" i="15"/>
  <c r="B5548" i="15"/>
  <c r="B5549" i="15"/>
  <c r="B5550" i="15"/>
  <c r="B5551" i="15"/>
  <c r="B5552" i="15"/>
  <c r="B5553" i="15"/>
  <c r="B5554" i="15"/>
  <c r="B5555" i="15"/>
  <c r="B5556" i="15"/>
  <c r="B5557" i="15"/>
  <c r="B5558" i="15"/>
  <c r="B5559" i="15"/>
  <c r="B5560" i="15"/>
  <c r="B5561" i="15"/>
  <c r="B5562" i="15"/>
  <c r="B5563" i="15"/>
  <c r="B5564" i="15"/>
  <c r="B5565" i="15"/>
  <c r="B5566" i="15"/>
  <c r="B5567" i="15"/>
  <c r="B5568" i="15"/>
  <c r="B5569" i="15"/>
  <c r="B5570" i="15"/>
  <c r="B5571" i="15"/>
  <c r="B5572" i="15"/>
  <c r="B5573" i="15"/>
  <c r="B5574" i="15"/>
  <c r="B5575" i="15"/>
  <c r="B5576" i="15"/>
  <c r="B5577" i="15"/>
  <c r="B5578" i="15"/>
  <c r="B5579" i="15"/>
  <c r="B5580" i="15"/>
  <c r="B5581" i="15"/>
  <c r="B5582" i="15"/>
  <c r="B5583" i="15"/>
  <c r="B5584" i="15"/>
  <c r="B5585" i="15"/>
  <c r="B5586" i="15"/>
  <c r="B5587" i="15"/>
  <c r="B5588" i="15"/>
  <c r="B5589" i="15"/>
  <c r="B5590" i="15"/>
  <c r="B5591" i="15"/>
  <c r="B5592" i="15"/>
  <c r="B5593" i="15"/>
  <c r="B5594" i="15"/>
  <c r="B5595" i="15"/>
  <c r="B5596" i="15"/>
  <c r="B5597" i="15"/>
  <c r="B5598" i="15"/>
  <c r="B5599" i="15"/>
  <c r="B5600" i="15"/>
  <c r="B5601" i="15"/>
  <c r="B5602" i="15"/>
  <c r="B5603" i="15"/>
  <c r="B5604" i="15"/>
  <c r="B5605" i="15"/>
  <c r="B5606" i="15"/>
  <c r="B5607" i="15"/>
  <c r="B5608" i="15"/>
  <c r="B5609" i="15"/>
  <c r="B5610" i="15"/>
  <c r="B5611" i="15"/>
  <c r="B5612" i="15"/>
  <c r="B5613" i="15"/>
  <c r="B5614" i="15"/>
  <c r="B5615" i="15"/>
  <c r="B5616" i="15"/>
  <c r="B5617" i="15"/>
  <c r="B5618" i="15"/>
  <c r="B5619" i="15"/>
  <c r="B5620" i="15"/>
  <c r="B5621" i="15"/>
  <c r="B5622" i="15"/>
  <c r="B5623" i="15"/>
  <c r="B5624" i="15"/>
  <c r="B5625" i="15"/>
  <c r="B5626" i="15"/>
  <c r="B5627" i="15"/>
  <c r="B5628" i="15"/>
  <c r="B5629" i="15"/>
  <c r="B5630" i="15"/>
  <c r="B5631" i="15"/>
  <c r="B5632" i="15"/>
  <c r="B5633" i="15"/>
  <c r="B5634" i="15"/>
  <c r="B5635" i="15"/>
  <c r="B5636" i="15"/>
  <c r="B5637" i="15"/>
  <c r="B5638" i="15"/>
  <c r="B5639" i="15"/>
  <c r="B5640" i="15"/>
  <c r="B5641" i="15"/>
  <c r="B5642" i="15"/>
  <c r="B5643" i="15"/>
  <c r="B5644" i="15"/>
  <c r="B5645" i="15"/>
  <c r="B5646" i="15"/>
  <c r="B5647" i="15"/>
  <c r="B5648" i="15"/>
  <c r="B5649" i="15"/>
  <c r="B5650" i="15"/>
  <c r="B5651" i="15"/>
  <c r="B5652" i="15"/>
  <c r="B5653" i="15"/>
  <c r="B5654" i="15"/>
  <c r="B5655" i="15"/>
  <c r="B5656" i="15"/>
  <c r="B5657" i="15"/>
  <c r="B5658" i="15"/>
  <c r="B5659" i="15"/>
  <c r="B5660" i="15"/>
  <c r="B5661" i="15"/>
  <c r="B5662" i="15"/>
  <c r="B5663" i="15"/>
  <c r="B5664" i="15"/>
  <c r="B5665" i="15"/>
  <c r="B5666" i="15"/>
  <c r="B5667" i="15"/>
  <c r="B5668" i="15"/>
  <c r="B5669" i="15"/>
  <c r="B5670" i="15"/>
  <c r="B5671" i="15"/>
  <c r="B5672" i="15"/>
  <c r="B5673" i="15"/>
  <c r="B5674" i="15"/>
  <c r="B5675" i="15"/>
  <c r="B5676" i="15"/>
  <c r="B5677" i="15"/>
  <c r="B5678" i="15"/>
  <c r="B5679" i="15"/>
  <c r="B5680" i="15"/>
  <c r="B5681" i="15"/>
  <c r="B5682" i="15"/>
  <c r="B5683" i="15"/>
  <c r="B5684" i="15"/>
  <c r="B5685" i="15"/>
  <c r="B5686" i="15"/>
  <c r="B5687" i="15"/>
  <c r="B5688" i="15"/>
  <c r="B5689" i="15"/>
  <c r="B5690" i="15"/>
  <c r="B5691" i="15"/>
  <c r="B5692" i="15"/>
  <c r="B5693" i="15"/>
  <c r="B5694" i="15"/>
  <c r="B5695" i="15"/>
  <c r="B5696" i="15"/>
  <c r="B5697" i="15"/>
  <c r="B5698" i="15"/>
  <c r="B5699" i="15"/>
  <c r="B5700" i="15"/>
  <c r="B5701" i="15"/>
  <c r="B5702" i="15"/>
  <c r="B5703" i="15"/>
  <c r="B5704" i="15"/>
  <c r="B5705" i="15"/>
  <c r="B5706" i="15"/>
  <c r="B5707" i="15"/>
  <c r="B5708" i="15"/>
  <c r="B5709" i="15"/>
  <c r="B5710" i="15"/>
  <c r="B5711" i="15"/>
  <c r="B5712" i="15"/>
  <c r="B5713" i="15"/>
  <c r="B5714" i="15"/>
  <c r="B5715" i="15"/>
  <c r="B5716" i="15"/>
  <c r="B5717" i="15"/>
  <c r="B5718" i="15"/>
  <c r="B5719" i="15"/>
  <c r="B5720" i="15"/>
  <c r="B5721" i="15"/>
  <c r="B5722" i="15"/>
  <c r="B5723" i="15"/>
  <c r="B5724" i="15"/>
  <c r="B5725" i="15"/>
  <c r="B5726" i="15"/>
  <c r="B5727" i="15"/>
  <c r="B5728" i="15"/>
  <c r="B5729" i="15"/>
  <c r="B5730" i="15"/>
  <c r="B5731" i="15"/>
  <c r="B5732" i="15"/>
  <c r="B5733" i="15"/>
  <c r="B5734" i="15"/>
  <c r="B5735" i="15"/>
  <c r="B5736" i="15"/>
  <c r="B5737" i="15"/>
  <c r="B5738" i="15"/>
  <c r="B5739" i="15"/>
  <c r="B5740" i="15"/>
  <c r="B5741" i="15"/>
  <c r="B5742" i="15"/>
  <c r="B5743" i="15"/>
  <c r="B5744" i="15"/>
  <c r="B5745" i="15"/>
  <c r="B5746" i="15"/>
  <c r="B5747" i="15"/>
  <c r="B5748" i="15"/>
  <c r="B5749" i="15"/>
  <c r="B5750" i="15"/>
  <c r="B5751" i="15"/>
  <c r="B5752" i="15"/>
  <c r="B5753" i="15"/>
  <c r="B5754" i="15"/>
  <c r="B5755" i="15"/>
  <c r="B5756" i="15"/>
  <c r="B5757" i="15"/>
  <c r="B5758" i="15"/>
  <c r="B5759" i="15"/>
  <c r="B5760" i="15"/>
  <c r="B5761" i="15"/>
  <c r="B5762" i="15"/>
  <c r="B5763" i="15"/>
  <c r="B5764" i="15"/>
  <c r="B5765" i="15"/>
  <c r="B5766" i="15"/>
  <c r="B5767" i="15"/>
  <c r="B5768" i="15"/>
  <c r="B5769" i="15"/>
  <c r="B5770" i="15"/>
  <c r="B5771" i="15"/>
  <c r="B5772" i="15"/>
  <c r="B5773" i="15"/>
  <c r="B5774" i="15"/>
  <c r="B5775" i="15"/>
  <c r="B5776" i="15"/>
  <c r="B5777" i="15"/>
  <c r="B5778" i="15"/>
  <c r="B5779" i="15"/>
  <c r="B5780" i="15"/>
  <c r="B5781" i="15"/>
  <c r="B5782" i="15"/>
  <c r="B5783" i="15"/>
  <c r="B5784" i="15"/>
  <c r="B5785" i="15"/>
  <c r="B5786" i="15"/>
  <c r="B5787" i="15"/>
  <c r="B5788" i="15"/>
  <c r="B5789" i="15"/>
  <c r="B5790" i="15"/>
  <c r="B5791" i="15"/>
  <c r="B5792" i="15"/>
  <c r="B5793" i="15"/>
  <c r="B5794" i="15"/>
  <c r="B5795" i="15"/>
  <c r="B5796" i="15"/>
  <c r="B5797" i="15"/>
  <c r="B5798" i="15"/>
  <c r="B5799" i="15"/>
  <c r="B5800" i="15"/>
  <c r="B5801" i="15"/>
  <c r="B5802" i="15"/>
  <c r="B5803" i="15"/>
  <c r="B5804" i="15"/>
  <c r="B5805" i="15"/>
  <c r="B5806" i="15"/>
  <c r="B5807" i="15"/>
  <c r="B5808" i="15"/>
  <c r="B5809" i="15"/>
  <c r="B5810" i="15"/>
  <c r="B5811" i="15"/>
  <c r="B5812" i="15"/>
  <c r="B5813" i="15"/>
  <c r="B5814" i="15"/>
  <c r="B5815" i="15"/>
  <c r="B5816" i="15"/>
  <c r="B5817" i="15"/>
  <c r="B5818" i="15"/>
  <c r="B5819" i="15"/>
  <c r="B5820" i="15"/>
  <c r="B5821" i="15"/>
  <c r="B5822" i="15"/>
  <c r="B5823" i="15"/>
  <c r="B5824" i="15"/>
  <c r="B5825" i="15"/>
  <c r="B5826" i="15"/>
  <c r="B5827" i="15"/>
  <c r="B5828" i="15"/>
  <c r="B5829" i="15"/>
  <c r="B5830" i="15"/>
  <c r="B5831" i="15"/>
  <c r="B5832" i="15"/>
  <c r="B5833" i="15"/>
  <c r="B5834" i="15"/>
  <c r="B5835" i="15"/>
  <c r="B5836" i="15"/>
  <c r="B5837" i="15"/>
  <c r="B5838" i="15"/>
  <c r="B5839" i="15"/>
  <c r="B5840" i="15"/>
  <c r="B5841" i="15"/>
  <c r="B5842" i="15"/>
  <c r="B5843" i="15"/>
  <c r="B5844" i="15"/>
  <c r="B5845" i="15"/>
  <c r="B5846" i="15"/>
  <c r="B5847" i="15"/>
  <c r="B5848" i="15"/>
  <c r="B5849" i="15"/>
  <c r="B5850" i="15"/>
  <c r="B5851" i="15"/>
  <c r="B5852" i="15"/>
  <c r="B5853" i="15"/>
  <c r="B5854" i="15"/>
  <c r="B5855" i="15"/>
  <c r="B5856" i="15"/>
  <c r="B5857" i="15"/>
  <c r="B5858" i="15"/>
  <c r="B5859" i="15"/>
  <c r="B5860" i="15"/>
  <c r="B5861" i="15"/>
  <c r="B5862" i="15"/>
  <c r="B5863" i="15"/>
  <c r="B5864" i="15"/>
  <c r="B5865" i="15"/>
  <c r="B5866" i="15"/>
  <c r="B5867" i="15"/>
  <c r="B5868" i="15"/>
  <c r="B5869" i="15"/>
  <c r="B5870" i="15"/>
  <c r="B5871" i="15"/>
  <c r="B5872" i="15"/>
  <c r="B5873" i="15"/>
  <c r="B5874" i="15"/>
  <c r="B5875" i="15"/>
  <c r="B5876" i="15"/>
  <c r="B5877" i="15"/>
  <c r="B5878" i="15"/>
  <c r="B5879" i="15"/>
  <c r="B5880" i="15"/>
  <c r="B5881" i="15"/>
  <c r="B5882" i="15"/>
  <c r="B5883" i="15"/>
  <c r="B5884" i="15"/>
  <c r="B5885" i="15"/>
  <c r="B5886" i="15"/>
  <c r="B5887" i="15"/>
  <c r="B5888" i="15"/>
  <c r="B5889" i="15"/>
  <c r="B5890" i="15"/>
  <c r="B5891" i="15"/>
  <c r="B5892" i="15"/>
  <c r="B5893" i="15"/>
  <c r="B5894" i="15"/>
  <c r="B5895" i="15"/>
  <c r="B5896" i="15"/>
  <c r="B5897" i="15"/>
  <c r="B5898" i="15"/>
  <c r="B5899" i="15"/>
  <c r="B5900" i="15"/>
  <c r="B5901" i="15"/>
  <c r="B5902" i="15"/>
  <c r="B5903" i="15"/>
  <c r="B5904" i="15"/>
  <c r="B5905" i="15"/>
  <c r="B5906" i="15"/>
  <c r="B5907" i="15"/>
  <c r="B5908" i="15"/>
  <c r="B5909" i="15"/>
  <c r="B5910" i="15"/>
  <c r="B5911" i="15"/>
  <c r="B5912" i="15"/>
  <c r="B5913" i="15"/>
  <c r="B5914" i="15"/>
  <c r="B5915" i="15"/>
  <c r="B5916" i="15"/>
  <c r="B5917" i="15"/>
  <c r="B5918" i="15"/>
  <c r="B5919" i="15"/>
  <c r="B5920" i="15"/>
  <c r="B5921" i="15"/>
  <c r="B5922" i="15"/>
  <c r="B5923" i="15"/>
  <c r="B5924" i="15"/>
  <c r="B5925" i="15"/>
  <c r="B5926" i="15"/>
  <c r="B5927" i="15"/>
  <c r="B5928" i="15"/>
  <c r="B5929" i="15"/>
  <c r="B5930" i="15"/>
  <c r="B5931" i="15"/>
  <c r="B5932" i="15"/>
  <c r="B5933" i="15"/>
  <c r="B5934" i="15"/>
  <c r="B5935" i="15"/>
  <c r="B5936" i="15"/>
  <c r="B5937" i="15"/>
  <c r="B5938" i="15"/>
  <c r="B5939" i="15"/>
  <c r="B5940" i="15"/>
  <c r="B5941" i="15"/>
  <c r="B5942" i="15"/>
  <c r="B5943" i="15"/>
  <c r="B5944" i="15"/>
  <c r="B5945" i="15"/>
  <c r="B5946" i="15"/>
  <c r="B5947" i="15"/>
  <c r="B5948" i="15"/>
  <c r="B5949" i="15"/>
  <c r="B5950" i="15"/>
  <c r="B5951" i="15"/>
  <c r="B5952" i="15"/>
  <c r="B5953" i="15"/>
  <c r="B5954" i="15"/>
  <c r="B5955" i="15"/>
  <c r="B5956" i="15"/>
  <c r="B5957" i="15"/>
  <c r="B5958" i="15"/>
  <c r="B5959" i="15"/>
  <c r="B5960" i="15"/>
  <c r="B5961" i="15"/>
  <c r="B5962" i="15"/>
  <c r="B5963" i="15"/>
  <c r="B5964" i="15"/>
  <c r="B5965" i="15"/>
  <c r="B5966" i="15"/>
  <c r="B5967" i="15"/>
  <c r="B5968" i="15"/>
  <c r="B5969" i="15"/>
  <c r="B5970" i="15"/>
  <c r="B5971" i="15"/>
  <c r="B5972" i="15"/>
  <c r="B5973" i="15"/>
  <c r="B5974" i="15"/>
  <c r="B5975" i="15"/>
  <c r="B5976" i="15"/>
  <c r="B5977" i="15"/>
  <c r="B5978" i="15"/>
  <c r="B5979" i="15"/>
  <c r="B5980" i="15"/>
  <c r="B5981" i="15"/>
  <c r="B5982" i="15"/>
  <c r="B5983" i="15"/>
  <c r="B5984" i="15"/>
  <c r="B5985" i="15"/>
  <c r="B5986" i="15"/>
  <c r="B5987" i="15"/>
  <c r="B5988" i="15"/>
  <c r="B5989" i="15"/>
  <c r="B5990" i="15"/>
  <c r="B5991" i="15"/>
  <c r="B5992" i="15"/>
  <c r="B5993" i="15"/>
  <c r="B5994" i="15"/>
  <c r="B5995" i="15"/>
  <c r="B5996" i="15"/>
  <c r="B5997" i="15"/>
  <c r="B5998" i="15"/>
  <c r="B5999" i="15"/>
  <c r="B6000" i="15"/>
  <c r="B6001" i="15"/>
  <c r="B6002" i="15"/>
  <c r="B6003" i="15"/>
  <c r="B6004" i="15"/>
  <c r="B6005" i="15"/>
  <c r="B6006" i="15"/>
  <c r="B6007" i="15"/>
  <c r="B6008" i="15"/>
  <c r="B6009" i="15"/>
  <c r="B6010" i="15"/>
  <c r="B6011" i="15"/>
  <c r="B6012" i="15"/>
  <c r="B6013" i="15"/>
  <c r="B6014" i="15"/>
  <c r="B6015" i="15"/>
  <c r="B6016" i="15"/>
  <c r="B6017" i="15"/>
  <c r="B6018" i="15"/>
  <c r="B6019" i="15"/>
  <c r="B6020" i="15"/>
  <c r="B6021" i="15"/>
  <c r="B6022" i="15"/>
  <c r="B6023" i="15"/>
  <c r="B6024" i="15"/>
  <c r="B6025" i="15"/>
  <c r="B6026" i="15"/>
  <c r="B6027" i="15"/>
  <c r="B6028" i="15"/>
  <c r="B6029" i="15"/>
  <c r="B6030" i="15"/>
  <c r="B6031" i="15"/>
  <c r="B6032" i="15"/>
  <c r="B6033" i="15"/>
  <c r="B6034" i="15"/>
  <c r="B6035" i="15"/>
  <c r="B6036" i="15"/>
  <c r="B6037" i="15"/>
  <c r="B6038" i="15"/>
  <c r="B6039" i="15"/>
  <c r="B6040" i="15"/>
  <c r="B6041" i="15"/>
  <c r="B6042" i="15"/>
  <c r="B6043" i="15"/>
  <c r="B6044" i="15"/>
  <c r="B6045" i="15"/>
  <c r="B6046" i="15"/>
  <c r="B6047" i="15"/>
  <c r="B6048" i="15"/>
  <c r="B6049" i="15"/>
  <c r="B6050" i="15"/>
  <c r="B6051" i="15"/>
  <c r="B6052" i="15"/>
  <c r="B6053" i="15"/>
  <c r="B6054" i="15"/>
  <c r="B6055" i="15"/>
  <c r="B6056" i="15"/>
  <c r="B6057" i="15"/>
  <c r="B6058" i="15"/>
  <c r="B6059" i="15"/>
  <c r="B6060" i="15"/>
  <c r="B6061" i="15"/>
  <c r="B6062" i="15"/>
  <c r="B6063" i="15"/>
  <c r="B6064" i="15"/>
  <c r="B6065" i="15"/>
  <c r="B6066" i="15"/>
  <c r="B6067" i="15"/>
  <c r="B6068" i="15"/>
  <c r="B6069" i="15"/>
  <c r="B6070" i="15"/>
  <c r="B6071" i="15"/>
  <c r="B6072" i="15"/>
  <c r="B6073" i="15"/>
  <c r="B6074" i="15"/>
  <c r="B6075" i="15"/>
  <c r="B6076" i="15"/>
  <c r="B6077" i="15"/>
  <c r="B6078" i="15"/>
  <c r="B6079" i="15"/>
  <c r="B6080" i="15"/>
  <c r="B6081" i="15"/>
  <c r="B6082" i="15"/>
  <c r="B6083" i="15"/>
  <c r="B6084" i="15"/>
  <c r="B6085" i="15"/>
  <c r="B6086" i="15"/>
  <c r="B6087" i="15"/>
  <c r="B6088" i="15"/>
  <c r="B6089" i="15"/>
  <c r="B6090" i="15"/>
  <c r="B6091" i="15"/>
  <c r="B6092" i="15"/>
  <c r="B6093" i="15"/>
  <c r="B6094" i="15"/>
  <c r="B6095" i="15"/>
  <c r="B6096" i="15"/>
  <c r="B6097" i="15"/>
  <c r="B6098" i="15"/>
  <c r="B6099" i="15"/>
  <c r="B6100" i="15"/>
  <c r="B6101" i="15"/>
  <c r="B6102" i="15"/>
  <c r="B6103" i="15"/>
  <c r="B6104" i="15"/>
  <c r="B6105" i="15"/>
  <c r="B6106" i="15"/>
  <c r="B6107" i="15"/>
  <c r="B6108" i="15"/>
  <c r="B6109" i="15"/>
  <c r="B6110" i="15"/>
  <c r="B6111" i="15"/>
  <c r="B6112" i="15"/>
  <c r="B6113" i="15"/>
  <c r="B6114" i="15"/>
  <c r="B6115" i="15"/>
  <c r="B6116" i="15"/>
  <c r="B6117" i="15"/>
  <c r="B6118" i="15"/>
  <c r="B6119" i="15"/>
  <c r="B6120" i="15"/>
  <c r="B6121" i="15"/>
  <c r="B6122" i="15"/>
  <c r="B6123" i="15"/>
  <c r="B6124" i="15"/>
  <c r="B6125" i="15"/>
  <c r="B6126" i="15"/>
  <c r="B6127" i="15"/>
  <c r="B6128" i="15"/>
  <c r="B6129" i="15"/>
  <c r="B6130" i="15"/>
  <c r="B6131" i="15"/>
  <c r="B6132" i="15"/>
  <c r="B6133" i="15"/>
  <c r="B6134" i="15"/>
  <c r="B6135" i="15"/>
  <c r="B6136" i="15"/>
  <c r="B6137" i="15"/>
  <c r="B6138" i="15"/>
  <c r="B6139" i="15"/>
  <c r="B6140" i="15"/>
  <c r="B6141" i="15"/>
  <c r="B6142" i="15"/>
  <c r="B6143" i="15"/>
  <c r="B6144" i="15"/>
  <c r="B6145" i="15"/>
  <c r="B6146" i="15"/>
  <c r="B6147" i="15"/>
  <c r="B6148" i="15"/>
  <c r="B6149" i="15"/>
  <c r="B6150" i="15"/>
  <c r="B6151" i="15"/>
  <c r="B6152" i="15"/>
  <c r="B6153" i="15"/>
  <c r="B6154" i="15"/>
  <c r="B6155" i="15"/>
  <c r="B6156" i="15"/>
  <c r="B6157" i="15"/>
  <c r="B6158" i="15"/>
  <c r="B6159" i="15"/>
  <c r="B6160" i="15"/>
  <c r="B6161" i="15"/>
  <c r="B6162" i="15"/>
  <c r="B6163" i="15"/>
  <c r="B6164" i="15"/>
  <c r="B6165" i="15"/>
  <c r="B6166" i="15"/>
  <c r="B6167" i="15"/>
  <c r="B6168" i="15"/>
  <c r="B6169" i="15"/>
  <c r="B6170" i="15"/>
  <c r="B6171" i="15"/>
  <c r="B6172" i="15"/>
  <c r="B6173" i="15"/>
  <c r="B6174" i="15"/>
  <c r="B6175" i="15"/>
  <c r="B6176" i="15"/>
  <c r="B6177" i="15"/>
  <c r="B6178" i="15"/>
  <c r="B6179" i="15"/>
  <c r="B6180" i="15"/>
  <c r="B6181" i="15"/>
  <c r="B6182" i="15"/>
  <c r="B6183" i="15"/>
  <c r="B6184" i="15"/>
  <c r="B6185" i="15"/>
  <c r="B6186" i="15"/>
  <c r="B6187" i="15"/>
  <c r="B6188" i="15"/>
  <c r="B6189" i="15"/>
  <c r="B6190" i="15"/>
  <c r="B6191" i="15"/>
  <c r="B6192" i="15"/>
  <c r="B6193" i="15"/>
  <c r="B6194" i="15"/>
  <c r="B6195" i="15"/>
  <c r="B6196" i="15"/>
  <c r="B6197" i="15"/>
  <c r="B6198" i="15"/>
  <c r="B6199" i="15"/>
  <c r="B6200" i="15"/>
  <c r="B6201" i="15"/>
  <c r="B6202" i="15"/>
  <c r="B6203" i="15"/>
  <c r="B6204" i="15"/>
  <c r="B6205" i="15"/>
  <c r="B6206" i="15"/>
  <c r="B6207" i="15"/>
  <c r="B6208" i="15"/>
  <c r="B6209" i="15"/>
  <c r="B6210" i="15"/>
  <c r="B6211" i="15"/>
  <c r="B6212" i="15"/>
  <c r="B6213" i="15"/>
  <c r="B6214" i="15"/>
  <c r="B6215" i="15"/>
  <c r="B6216" i="15"/>
  <c r="B6217" i="15"/>
  <c r="B6218" i="15"/>
  <c r="B6219" i="15"/>
  <c r="B6220" i="15"/>
  <c r="B6221" i="15"/>
  <c r="B6222" i="15"/>
  <c r="B6223" i="15"/>
  <c r="B6224" i="15"/>
  <c r="B6225" i="15"/>
  <c r="B6226" i="15"/>
  <c r="B6227" i="15"/>
  <c r="B6228" i="15"/>
  <c r="B6229" i="15"/>
  <c r="B6230" i="15"/>
  <c r="B6231" i="15"/>
  <c r="B6232" i="15"/>
  <c r="B6233" i="15"/>
  <c r="B6234" i="15"/>
  <c r="B6235" i="15"/>
  <c r="B6236" i="15"/>
  <c r="B6237" i="15"/>
  <c r="B6238" i="15"/>
  <c r="B6239" i="15"/>
  <c r="B6240" i="15"/>
  <c r="B6241" i="15"/>
  <c r="B6242" i="15"/>
  <c r="B6243" i="15"/>
  <c r="B6244" i="15"/>
  <c r="B6245" i="15"/>
  <c r="B6246" i="15"/>
  <c r="B6247" i="15"/>
  <c r="B6248" i="15"/>
  <c r="B6249" i="15"/>
  <c r="B6250" i="15"/>
  <c r="B6251" i="15"/>
  <c r="B6252" i="15"/>
  <c r="B6253" i="15"/>
  <c r="B6254" i="15"/>
  <c r="B6255" i="15"/>
  <c r="B6256" i="15"/>
  <c r="B6257" i="15"/>
  <c r="B6258" i="15"/>
  <c r="B6259" i="15"/>
  <c r="B6260" i="15"/>
  <c r="B6261" i="15"/>
  <c r="B6262" i="15"/>
  <c r="B6263" i="15"/>
  <c r="B6264" i="15"/>
  <c r="B6265" i="15"/>
  <c r="B6266" i="15"/>
  <c r="B6267" i="15"/>
  <c r="B6268" i="15"/>
  <c r="B6269" i="15"/>
  <c r="B6270" i="15"/>
  <c r="B6271" i="15"/>
  <c r="B6272" i="15"/>
  <c r="B6273" i="15"/>
  <c r="B6274" i="15"/>
  <c r="B6275" i="15"/>
  <c r="B6276" i="15"/>
  <c r="B6277" i="15"/>
  <c r="B6278" i="15"/>
  <c r="B6279" i="15"/>
  <c r="B6280" i="15"/>
  <c r="B6281" i="15"/>
  <c r="B6282" i="15"/>
  <c r="B6283" i="15"/>
  <c r="B6284" i="15"/>
  <c r="B6285" i="15"/>
  <c r="B6286" i="15"/>
  <c r="B6287" i="15"/>
  <c r="B6288" i="15"/>
  <c r="B6289" i="15"/>
  <c r="B6290" i="15"/>
  <c r="B6291" i="15"/>
  <c r="B6292" i="15"/>
  <c r="B6293" i="15"/>
  <c r="B6294" i="15"/>
  <c r="B6295" i="15"/>
  <c r="B6296" i="15"/>
  <c r="B6297" i="15"/>
  <c r="B6298" i="15"/>
  <c r="B6299" i="15"/>
  <c r="B6300" i="15"/>
  <c r="B6301" i="15"/>
  <c r="B6302" i="15"/>
  <c r="B6303" i="15"/>
  <c r="B6304" i="15"/>
  <c r="B6305" i="15"/>
  <c r="B6306" i="15"/>
  <c r="B6307" i="15"/>
  <c r="B6308" i="15"/>
  <c r="B6309" i="15"/>
  <c r="B6310" i="15"/>
  <c r="B6311" i="15"/>
  <c r="B6312" i="15"/>
  <c r="B6313" i="15"/>
  <c r="B6314" i="15"/>
  <c r="B6315" i="15"/>
  <c r="B6316" i="15"/>
  <c r="B6317" i="15"/>
  <c r="B6318" i="15"/>
  <c r="B6319" i="15"/>
  <c r="B6320" i="15"/>
  <c r="B6321" i="15"/>
  <c r="B6322" i="15"/>
  <c r="B6323" i="15"/>
  <c r="B6324" i="15"/>
  <c r="B6325" i="15"/>
  <c r="B6326" i="15"/>
  <c r="B6327" i="15"/>
  <c r="B6328" i="15"/>
  <c r="B6329" i="15"/>
  <c r="B6330" i="15"/>
  <c r="B6331" i="15"/>
  <c r="B6332" i="15"/>
  <c r="B6333" i="15"/>
  <c r="B6334" i="15"/>
  <c r="B6335" i="15"/>
  <c r="B6336" i="15"/>
  <c r="B6337" i="15"/>
  <c r="B6338" i="15"/>
  <c r="B6339" i="15"/>
  <c r="B6340" i="15"/>
  <c r="B6341" i="15"/>
  <c r="B6342" i="15"/>
  <c r="B6343" i="15"/>
  <c r="B6344" i="15"/>
  <c r="B6345" i="15"/>
  <c r="B6346" i="15"/>
  <c r="B6347" i="15"/>
  <c r="B6348" i="15"/>
  <c r="B6349" i="15"/>
  <c r="B6350" i="15"/>
  <c r="B6351" i="15"/>
  <c r="B6352" i="15"/>
  <c r="B6353" i="15"/>
  <c r="B6354" i="15"/>
  <c r="B6355" i="15"/>
  <c r="B6356" i="15"/>
  <c r="B6357" i="15"/>
  <c r="B6358" i="15"/>
  <c r="B6359" i="15"/>
  <c r="B6360" i="15"/>
  <c r="B6361" i="15"/>
  <c r="B6362" i="15"/>
  <c r="B6363" i="15"/>
  <c r="B6364" i="15"/>
  <c r="B6365" i="15"/>
  <c r="B6366" i="15"/>
  <c r="B6367" i="15"/>
  <c r="B6368" i="15"/>
  <c r="B6369" i="15"/>
  <c r="B6370" i="15"/>
  <c r="B6371" i="15"/>
  <c r="B6372" i="15"/>
  <c r="B6373" i="15"/>
  <c r="B6374" i="15"/>
  <c r="B6375" i="15"/>
  <c r="B6376" i="15"/>
  <c r="B6377" i="15"/>
  <c r="B6378" i="15"/>
  <c r="B6379" i="15"/>
  <c r="B6380" i="15"/>
  <c r="B6381" i="15"/>
  <c r="B6382" i="15"/>
  <c r="B6383" i="15"/>
  <c r="B6384" i="15"/>
  <c r="B6385" i="15"/>
  <c r="B6386" i="15"/>
  <c r="B6387" i="15"/>
  <c r="B6388" i="15"/>
  <c r="B6389" i="15"/>
  <c r="B6390" i="15"/>
  <c r="B6391" i="15"/>
  <c r="B6392" i="15"/>
  <c r="B6393" i="15"/>
  <c r="B6394" i="15"/>
  <c r="B6395" i="15"/>
  <c r="B6396" i="15"/>
  <c r="B6397" i="15"/>
  <c r="B6398" i="15"/>
  <c r="B6399" i="15"/>
  <c r="B6400" i="15"/>
  <c r="B6401" i="15"/>
  <c r="B6402" i="15"/>
  <c r="B6403" i="15"/>
  <c r="B6404" i="15"/>
  <c r="B6405" i="15"/>
  <c r="B6406" i="15"/>
  <c r="B6407" i="15"/>
  <c r="B6408" i="15"/>
  <c r="B6409" i="15"/>
  <c r="B6410" i="15"/>
  <c r="B6411" i="15"/>
  <c r="B6412" i="15"/>
  <c r="B6413" i="15"/>
  <c r="B6414" i="15"/>
  <c r="B6415" i="15"/>
  <c r="B6416" i="15"/>
  <c r="B6417" i="15"/>
  <c r="B6418" i="15"/>
  <c r="B6419" i="15"/>
  <c r="B6420" i="15"/>
  <c r="B6421" i="15"/>
  <c r="B6422" i="15"/>
  <c r="B6423" i="15"/>
  <c r="B6424" i="15"/>
  <c r="B6425" i="15"/>
  <c r="B6426" i="15"/>
  <c r="B6427" i="15"/>
  <c r="B6428" i="15"/>
  <c r="B6429" i="15"/>
  <c r="B6430" i="15"/>
  <c r="B6431" i="15"/>
  <c r="B6432" i="15"/>
  <c r="B6433" i="15"/>
  <c r="B6434" i="15"/>
  <c r="B6435" i="15"/>
  <c r="B6436" i="15"/>
  <c r="B6437" i="15"/>
  <c r="B6438" i="15"/>
  <c r="B6439" i="15"/>
  <c r="B6440" i="15"/>
  <c r="B6441" i="15"/>
  <c r="B6442" i="15"/>
  <c r="B6443" i="15"/>
  <c r="B6444" i="15"/>
  <c r="B6445" i="15"/>
  <c r="B6446" i="15"/>
  <c r="B6447" i="15"/>
  <c r="B6448" i="15"/>
  <c r="B6449" i="15"/>
  <c r="B6450" i="15"/>
  <c r="B6451" i="15"/>
  <c r="B6452" i="15"/>
  <c r="B6453" i="15"/>
  <c r="B6454" i="15"/>
  <c r="B6455" i="15"/>
  <c r="B6456" i="15"/>
  <c r="B6457" i="15"/>
  <c r="B6458" i="15"/>
  <c r="B6459" i="15"/>
  <c r="B6460" i="15"/>
  <c r="B6461" i="15"/>
  <c r="B6462" i="15"/>
  <c r="B6463" i="15"/>
  <c r="B6464" i="15"/>
  <c r="B6465" i="15"/>
  <c r="B6466" i="15"/>
  <c r="B6467" i="15"/>
  <c r="B6468" i="15"/>
  <c r="B6469" i="15"/>
  <c r="B6470" i="15"/>
  <c r="B6471" i="15"/>
  <c r="B6472" i="15"/>
  <c r="B6473" i="15"/>
  <c r="B6474" i="15"/>
  <c r="B6475" i="15"/>
  <c r="B6476" i="15"/>
  <c r="B6477" i="15"/>
  <c r="B6478" i="15"/>
  <c r="B6479" i="15"/>
  <c r="B6480" i="15"/>
  <c r="B6481" i="15"/>
  <c r="B6482" i="15"/>
  <c r="B6483" i="15"/>
  <c r="B6484" i="15"/>
  <c r="B6485" i="15"/>
  <c r="B6486" i="15"/>
  <c r="B6487" i="15"/>
  <c r="B6488" i="15"/>
  <c r="B6489" i="15"/>
  <c r="B6490" i="15"/>
  <c r="B6491" i="15"/>
  <c r="B6492" i="15"/>
  <c r="B6493" i="15"/>
  <c r="B6494" i="15"/>
  <c r="B6495" i="15"/>
  <c r="B6496" i="15"/>
  <c r="B6497" i="15"/>
  <c r="B6498" i="15"/>
  <c r="B6499" i="15"/>
  <c r="B6500" i="15"/>
  <c r="B6501" i="15"/>
  <c r="B6502" i="15"/>
  <c r="B6503" i="15"/>
  <c r="B6504" i="15"/>
  <c r="B6505" i="15"/>
  <c r="B6506" i="15"/>
  <c r="B6507" i="15"/>
  <c r="B6508" i="15"/>
  <c r="B6509" i="15"/>
  <c r="B6510" i="15"/>
  <c r="B6511" i="15"/>
  <c r="B6512" i="15"/>
  <c r="B6513" i="15"/>
  <c r="B6514" i="15"/>
  <c r="B6515" i="15"/>
  <c r="B6516" i="15"/>
  <c r="B6517" i="15"/>
  <c r="B6518" i="15"/>
  <c r="B6519" i="15"/>
  <c r="B6520" i="15"/>
  <c r="B6521" i="15"/>
  <c r="B6522" i="15"/>
  <c r="B6523" i="15"/>
  <c r="B6524" i="15"/>
  <c r="B6525" i="15"/>
  <c r="B6526" i="15"/>
  <c r="B6527" i="15"/>
  <c r="B6528" i="15"/>
  <c r="B6529" i="15"/>
  <c r="B6530" i="15"/>
  <c r="B6531" i="15"/>
  <c r="B6532" i="15"/>
  <c r="B6533" i="15"/>
  <c r="B6534" i="15"/>
  <c r="B6535" i="15"/>
  <c r="B6536" i="15"/>
  <c r="B6537" i="15"/>
  <c r="B6538" i="15"/>
  <c r="B6539" i="15"/>
  <c r="B6540" i="15"/>
  <c r="B6541" i="15"/>
  <c r="B6542" i="15"/>
  <c r="B6543" i="15"/>
  <c r="B6544" i="15"/>
  <c r="B6545" i="15"/>
  <c r="B6546" i="15"/>
  <c r="B6547" i="15"/>
  <c r="B6548" i="15"/>
  <c r="B6549" i="15"/>
  <c r="B6550" i="15"/>
  <c r="B6551" i="15"/>
  <c r="B6552" i="15"/>
  <c r="B6553" i="15"/>
  <c r="B6554" i="15"/>
  <c r="B6555" i="15"/>
  <c r="B6556" i="15"/>
  <c r="B6557" i="15"/>
  <c r="B6558" i="15"/>
  <c r="B6559" i="15"/>
  <c r="B6560" i="15"/>
  <c r="B6561" i="15"/>
  <c r="B6562" i="15"/>
  <c r="B6563" i="15"/>
  <c r="B6564" i="15"/>
  <c r="B6565" i="15"/>
  <c r="B6566" i="15"/>
  <c r="B6567" i="15"/>
  <c r="B6568" i="15"/>
  <c r="B6569" i="15"/>
  <c r="B6570" i="15"/>
  <c r="B6571" i="15"/>
  <c r="B6572" i="15"/>
  <c r="B6573" i="15"/>
  <c r="B6574" i="15"/>
  <c r="B6575" i="15"/>
  <c r="B6576" i="15"/>
  <c r="B6577" i="15"/>
  <c r="B6578" i="15"/>
  <c r="B6579" i="15"/>
  <c r="B6580" i="15"/>
  <c r="B6581" i="15"/>
  <c r="B6582" i="15"/>
  <c r="B6583" i="15"/>
  <c r="B6584" i="15"/>
  <c r="B6585" i="15"/>
  <c r="B6586" i="15"/>
  <c r="B6587" i="15"/>
  <c r="B6588" i="15"/>
  <c r="B6589" i="15"/>
  <c r="B6590" i="15"/>
  <c r="B6591" i="15"/>
  <c r="B6592" i="15"/>
  <c r="B6593" i="15"/>
  <c r="B6594" i="15"/>
  <c r="B6595" i="15"/>
  <c r="B6596" i="15"/>
  <c r="B6597" i="15"/>
  <c r="B6598" i="15"/>
  <c r="B6599" i="15"/>
  <c r="B6600" i="15"/>
  <c r="B6601" i="15"/>
  <c r="B6602" i="15"/>
  <c r="B6603" i="15"/>
  <c r="B6604" i="15"/>
  <c r="B6605" i="15"/>
  <c r="B6606" i="15"/>
  <c r="B6607" i="15"/>
  <c r="B6608" i="15"/>
  <c r="B6609" i="15"/>
  <c r="B6610" i="15"/>
  <c r="B6611" i="15"/>
  <c r="B6612" i="15"/>
  <c r="B6613" i="15"/>
  <c r="B6614" i="15"/>
  <c r="B6615" i="15"/>
  <c r="B6616" i="15"/>
  <c r="B6617" i="15"/>
  <c r="B6618" i="15"/>
  <c r="B6619" i="15"/>
  <c r="B6620" i="15"/>
  <c r="B6621" i="15"/>
  <c r="B6622" i="15"/>
  <c r="B6623" i="15"/>
  <c r="B6624" i="15"/>
  <c r="B6625" i="15"/>
  <c r="B6626" i="15"/>
  <c r="B6627" i="15"/>
  <c r="B6628" i="15"/>
  <c r="B6629" i="15"/>
  <c r="B6630" i="15"/>
  <c r="B6631" i="15"/>
  <c r="B6632" i="15"/>
  <c r="B6633" i="15"/>
  <c r="B6634" i="15"/>
  <c r="B6635" i="15"/>
  <c r="B6636" i="15"/>
  <c r="B6637" i="15"/>
  <c r="B6638" i="15"/>
  <c r="B6639" i="15"/>
  <c r="B6640" i="15"/>
  <c r="B6641" i="15"/>
  <c r="B6642" i="15"/>
  <c r="B6643" i="15"/>
  <c r="B6644" i="15"/>
  <c r="B6645" i="15"/>
  <c r="B6646" i="15"/>
  <c r="B6647" i="15"/>
  <c r="B6648" i="15"/>
  <c r="B6649" i="15"/>
  <c r="B6650" i="15"/>
  <c r="B6651" i="15"/>
  <c r="B6652" i="15"/>
  <c r="B6653" i="15"/>
  <c r="B6654" i="15"/>
  <c r="B6655" i="15"/>
  <c r="B6656" i="15"/>
  <c r="B6657" i="15"/>
  <c r="B6658" i="15"/>
  <c r="B6659" i="15"/>
  <c r="B6660" i="15"/>
  <c r="B6661" i="15"/>
  <c r="B6662" i="15"/>
  <c r="B6663" i="15"/>
  <c r="B6664" i="15"/>
  <c r="B6665" i="15"/>
  <c r="B6666" i="15"/>
  <c r="B6667" i="15"/>
  <c r="B6668" i="15"/>
  <c r="B6669" i="15"/>
  <c r="B6670" i="15"/>
  <c r="B6671" i="15"/>
  <c r="B6672" i="15"/>
  <c r="B6673" i="15"/>
  <c r="B6674" i="15"/>
  <c r="B6675" i="15"/>
  <c r="B6676" i="15"/>
  <c r="B6677" i="15"/>
  <c r="B6678" i="15"/>
  <c r="B6679" i="15"/>
  <c r="B6680" i="15"/>
  <c r="B6681" i="15"/>
  <c r="B6682" i="15"/>
  <c r="B6683" i="15"/>
  <c r="B6684" i="15"/>
  <c r="B6685" i="15"/>
  <c r="B6686" i="15"/>
  <c r="B6687" i="15"/>
  <c r="B6688" i="15"/>
  <c r="B6689" i="15"/>
  <c r="B6690" i="15"/>
  <c r="B6691" i="15"/>
  <c r="B6692" i="15"/>
  <c r="B6693" i="15"/>
  <c r="B6694" i="15"/>
  <c r="B6695" i="15"/>
  <c r="B6696" i="15"/>
  <c r="B6697" i="15"/>
  <c r="B6698" i="15"/>
  <c r="B6699" i="15"/>
  <c r="B6700" i="15"/>
  <c r="B6701" i="15"/>
  <c r="B6702" i="15"/>
  <c r="B6703" i="15"/>
  <c r="B6704" i="15"/>
  <c r="B6705" i="15"/>
  <c r="B6706" i="15"/>
  <c r="B6707" i="15"/>
  <c r="B6708" i="15"/>
  <c r="B6709" i="15"/>
  <c r="B6710" i="15"/>
  <c r="B6711" i="15"/>
  <c r="B6712" i="15"/>
  <c r="B6713" i="15"/>
  <c r="B6714" i="15"/>
  <c r="B6715" i="15"/>
  <c r="B6716" i="15"/>
  <c r="B6717" i="15"/>
  <c r="B6718" i="15"/>
  <c r="B6719" i="15"/>
  <c r="B6720" i="15"/>
  <c r="B6721" i="15"/>
  <c r="B6722" i="15"/>
  <c r="B6723" i="15"/>
  <c r="B6724" i="15"/>
  <c r="B6725" i="15"/>
  <c r="B6726" i="15"/>
  <c r="B6727" i="15"/>
  <c r="B6728" i="15"/>
  <c r="B6729" i="15"/>
  <c r="B6730" i="15"/>
  <c r="B6731" i="15"/>
  <c r="B6732" i="15"/>
  <c r="B6733" i="15"/>
  <c r="B6734" i="15"/>
  <c r="B6735" i="15"/>
  <c r="B6736" i="15"/>
  <c r="B6737" i="15"/>
  <c r="B6738" i="15"/>
  <c r="B6739" i="15"/>
  <c r="B6740" i="15"/>
  <c r="B6741" i="15"/>
  <c r="B6742" i="15"/>
  <c r="B6743" i="15"/>
  <c r="B6744" i="15"/>
  <c r="B6745" i="15"/>
  <c r="B6746" i="15"/>
  <c r="B6747" i="15"/>
  <c r="B6748" i="15"/>
  <c r="B6749" i="15"/>
  <c r="B6750" i="15"/>
  <c r="B6751" i="15"/>
  <c r="B6752" i="15"/>
  <c r="B6753" i="15"/>
  <c r="B6754" i="15"/>
  <c r="B6755" i="15"/>
  <c r="B6756" i="15"/>
  <c r="B6757" i="15"/>
  <c r="B6758" i="15"/>
  <c r="B6759" i="15"/>
  <c r="B6760" i="15"/>
  <c r="B6761" i="15"/>
  <c r="B6762" i="15"/>
  <c r="B6763" i="15"/>
  <c r="B6764" i="15"/>
  <c r="B6765" i="15"/>
  <c r="B6766" i="15"/>
  <c r="B6767" i="15"/>
  <c r="B6768" i="15"/>
  <c r="B6769" i="15"/>
  <c r="B6770" i="15"/>
  <c r="B6771" i="15"/>
  <c r="B6772" i="15"/>
  <c r="B6773" i="15"/>
  <c r="B6774" i="15"/>
  <c r="B6775" i="15"/>
  <c r="B6776" i="15"/>
  <c r="B6777" i="15"/>
  <c r="B6778" i="15"/>
  <c r="B6779" i="15"/>
  <c r="B6780" i="15"/>
  <c r="B6781" i="15"/>
  <c r="B6782" i="15"/>
  <c r="B6783" i="15"/>
  <c r="B6784" i="15"/>
  <c r="B6785" i="15"/>
  <c r="B6786" i="15"/>
  <c r="B6787" i="15"/>
  <c r="B6788" i="15"/>
  <c r="B6789" i="15"/>
  <c r="B6790" i="15"/>
  <c r="B6791" i="15"/>
  <c r="B6792" i="15"/>
  <c r="B6793" i="15"/>
  <c r="B6794" i="15"/>
  <c r="B6795" i="15"/>
  <c r="B6796" i="15"/>
  <c r="B6797" i="15"/>
  <c r="B6798" i="15"/>
  <c r="B6799" i="15"/>
  <c r="B6800" i="15"/>
  <c r="B6801" i="15"/>
  <c r="B6802" i="15"/>
  <c r="B6803" i="15"/>
  <c r="B6804" i="15"/>
  <c r="B6805" i="15"/>
  <c r="B6806" i="15"/>
  <c r="B6807" i="15"/>
  <c r="B6808" i="15"/>
  <c r="B6809" i="15"/>
  <c r="B6810" i="15"/>
  <c r="B6811" i="15"/>
  <c r="B6812" i="15"/>
  <c r="B6813" i="15"/>
  <c r="B6814" i="15"/>
  <c r="B6815" i="15"/>
  <c r="B6816" i="15"/>
  <c r="B6817" i="15"/>
  <c r="B6818" i="15"/>
  <c r="B6819" i="15"/>
  <c r="B6820" i="15"/>
  <c r="B6821" i="15"/>
  <c r="B6822" i="15"/>
  <c r="B6823" i="15"/>
  <c r="B6824" i="15"/>
  <c r="B6825" i="15"/>
  <c r="B6826" i="15"/>
  <c r="B6827" i="15"/>
  <c r="B6828" i="15"/>
  <c r="B6829" i="15"/>
  <c r="B6830" i="15"/>
  <c r="B6831" i="15"/>
  <c r="B6832" i="15"/>
  <c r="B6833" i="15"/>
  <c r="B6834" i="15"/>
  <c r="B6835" i="15"/>
  <c r="B6836" i="15"/>
  <c r="B6837" i="15"/>
  <c r="B6838" i="15"/>
  <c r="B6839" i="15"/>
  <c r="B6840" i="15"/>
  <c r="B6841" i="15"/>
  <c r="B6842" i="15"/>
  <c r="B6843" i="15"/>
  <c r="B6844" i="15"/>
  <c r="B6845" i="15"/>
  <c r="B6846" i="15"/>
  <c r="B6847" i="15"/>
  <c r="B6848" i="15"/>
  <c r="B6849" i="15"/>
  <c r="B6850" i="15"/>
  <c r="B6851" i="15"/>
  <c r="B6852" i="15"/>
  <c r="B6853" i="15"/>
  <c r="B6854" i="15"/>
  <c r="B6855" i="15"/>
  <c r="B6856" i="15"/>
  <c r="B6857" i="15"/>
  <c r="B6858" i="15"/>
  <c r="B6859" i="15"/>
  <c r="B6860" i="15"/>
  <c r="B6861" i="15"/>
  <c r="B6862" i="15"/>
  <c r="B6863" i="15"/>
  <c r="B6864" i="15"/>
  <c r="B6865" i="15"/>
  <c r="B6866" i="15"/>
  <c r="B6867" i="15"/>
  <c r="B6868" i="15"/>
  <c r="B6869" i="15"/>
  <c r="B6870" i="15"/>
  <c r="B6871" i="15"/>
  <c r="B6872" i="15"/>
  <c r="B6873" i="15"/>
  <c r="B6874" i="15"/>
  <c r="B6875" i="15"/>
  <c r="B6876" i="15"/>
  <c r="B6877" i="15"/>
  <c r="B6878" i="15"/>
  <c r="B6879" i="15"/>
  <c r="B6880" i="15"/>
  <c r="B6881" i="15"/>
  <c r="B6882" i="15"/>
  <c r="B6883" i="15"/>
  <c r="B6884" i="15"/>
  <c r="B6885" i="15"/>
  <c r="B6886" i="15"/>
  <c r="B6887" i="15"/>
  <c r="B6888" i="15"/>
  <c r="B6889" i="15"/>
  <c r="B6890" i="15"/>
  <c r="B6891" i="15"/>
  <c r="B6892" i="15"/>
  <c r="B6893" i="15"/>
  <c r="B6894" i="15"/>
  <c r="B6895" i="15"/>
  <c r="B6896" i="15"/>
  <c r="B6897" i="15"/>
  <c r="B6898" i="15"/>
  <c r="B6899" i="15"/>
  <c r="B6900" i="15"/>
  <c r="B6901" i="15"/>
  <c r="B6902" i="15"/>
  <c r="B6903" i="15"/>
  <c r="B6904" i="15"/>
  <c r="B6905" i="15"/>
  <c r="B6906" i="15"/>
  <c r="B6907" i="15"/>
  <c r="B6908" i="15"/>
  <c r="B6909" i="15"/>
  <c r="B6910" i="15"/>
  <c r="B6911" i="15"/>
  <c r="B6912" i="15"/>
  <c r="B6913" i="15"/>
  <c r="B6914" i="15"/>
  <c r="B6915" i="15"/>
  <c r="B6916" i="15"/>
  <c r="B6917" i="15"/>
  <c r="B6918" i="15"/>
  <c r="B6919" i="15"/>
  <c r="B6920" i="15"/>
  <c r="B6921" i="15"/>
  <c r="B6922" i="15"/>
  <c r="B6923" i="15"/>
  <c r="B6924" i="15"/>
  <c r="B6925" i="15"/>
  <c r="B6926" i="15"/>
  <c r="B6927" i="15"/>
  <c r="B6928" i="15"/>
  <c r="B6929" i="15"/>
  <c r="B6930" i="15"/>
  <c r="B6931" i="15"/>
  <c r="B6932" i="15"/>
  <c r="B6933" i="15"/>
  <c r="B6934" i="15"/>
  <c r="B6935" i="15"/>
  <c r="B6936" i="15"/>
  <c r="B6937" i="15"/>
  <c r="B6938" i="15"/>
  <c r="B6939" i="15"/>
  <c r="B6940" i="15"/>
  <c r="B6941" i="15"/>
  <c r="B6942" i="15"/>
  <c r="B6943" i="15"/>
  <c r="B6944" i="15"/>
  <c r="B6945" i="15"/>
  <c r="B6946" i="15"/>
  <c r="B6947" i="15"/>
  <c r="B6948" i="15"/>
  <c r="B6949" i="15"/>
  <c r="B6950" i="15"/>
  <c r="B6951" i="15"/>
  <c r="B6952" i="15"/>
  <c r="B6953" i="15"/>
  <c r="B6954" i="15"/>
  <c r="B6955" i="15"/>
  <c r="B6956" i="15"/>
  <c r="B6957" i="15"/>
  <c r="B6958" i="15"/>
  <c r="B6959" i="15"/>
  <c r="B6960" i="15"/>
  <c r="B6961" i="15"/>
  <c r="B6962" i="15"/>
  <c r="B6963" i="15"/>
  <c r="B6964" i="15"/>
  <c r="B6965" i="15"/>
  <c r="B6966" i="15"/>
  <c r="B6967" i="15"/>
  <c r="B6968" i="15"/>
  <c r="B6969" i="15"/>
  <c r="B6970" i="15"/>
  <c r="B6971" i="15"/>
  <c r="B6972" i="15"/>
  <c r="B6973" i="15"/>
  <c r="B6974" i="15"/>
  <c r="B6975" i="15"/>
  <c r="B6976" i="15"/>
  <c r="B6977" i="15"/>
  <c r="B6978" i="15"/>
  <c r="B6979" i="15"/>
  <c r="B6980" i="15"/>
  <c r="B6981" i="15"/>
  <c r="B6982" i="15"/>
  <c r="B6983" i="15"/>
  <c r="B6984" i="15"/>
  <c r="B6985" i="15"/>
  <c r="B6986" i="15"/>
  <c r="B6987" i="15"/>
  <c r="B6988" i="15"/>
  <c r="B6989" i="15"/>
  <c r="B6990" i="15"/>
  <c r="B6991" i="15"/>
  <c r="B6992" i="15"/>
  <c r="B6993" i="15"/>
  <c r="B6994" i="15"/>
  <c r="B6995" i="15"/>
  <c r="B6996" i="15"/>
  <c r="B6997" i="15"/>
  <c r="B6998" i="15"/>
  <c r="B6999" i="15"/>
  <c r="B7000" i="15"/>
  <c r="B7001" i="15"/>
  <c r="B7002" i="15"/>
  <c r="B7003" i="15"/>
  <c r="B7004" i="15"/>
  <c r="B7005" i="15"/>
  <c r="B7006" i="15"/>
  <c r="B7007" i="15"/>
  <c r="B7008" i="15"/>
  <c r="B7009" i="15"/>
  <c r="B7010" i="15"/>
  <c r="B7011" i="15"/>
  <c r="B7012" i="15"/>
  <c r="B7013" i="15"/>
  <c r="B7014" i="15"/>
  <c r="B7015" i="15"/>
  <c r="B7016" i="15"/>
  <c r="B7017" i="15"/>
  <c r="B7018" i="15"/>
  <c r="B7019" i="15"/>
  <c r="B7020" i="15"/>
  <c r="B7021" i="15"/>
  <c r="B7022" i="15"/>
  <c r="B7023" i="15"/>
  <c r="B7024" i="15"/>
  <c r="B7025" i="15"/>
  <c r="B7026" i="15"/>
  <c r="B7027" i="15"/>
  <c r="B7028" i="15"/>
  <c r="B7029" i="15"/>
  <c r="B7030" i="15"/>
  <c r="B7031" i="15"/>
  <c r="B7032" i="15"/>
  <c r="B7033" i="15"/>
  <c r="B7034" i="15"/>
  <c r="B7035" i="15"/>
  <c r="B7036" i="15"/>
  <c r="B7037" i="15"/>
  <c r="B7038" i="15"/>
  <c r="B7039" i="15"/>
  <c r="B7040" i="15"/>
  <c r="B7041" i="15"/>
  <c r="B7042" i="15"/>
  <c r="B7043" i="15"/>
  <c r="B7044" i="15"/>
  <c r="B7045" i="15"/>
  <c r="B7046" i="15"/>
  <c r="B7047" i="15"/>
  <c r="B7048" i="15"/>
  <c r="B7049" i="15"/>
  <c r="B7050" i="15"/>
  <c r="B7051" i="15"/>
  <c r="B7052" i="15"/>
  <c r="B7053" i="15"/>
  <c r="B7054" i="15"/>
  <c r="B7055" i="15"/>
  <c r="B7056" i="15"/>
  <c r="B7057" i="15"/>
  <c r="B7058" i="15"/>
  <c r="B7059" i="15"/>
  <c r="B7060" i="15"/>
  <c r="B7061" i="15"/>
  <c r="B7062" i="15"/>
  <c r="B7063" i="15"/>
  <c r="B7064" i="15"/>
  <c r="B7065" i="15"/>
  <c r="B7066" i="15"/>
  <c r="B7067" i="15"/>
  <c r="B7068" i="15"/>
  <c r="B7069" i="15"/>
  <c r="B7070" i="15"/>
  <c r="B7071" i="15"/>
  <c r="B7072" i="15"/>
  <c r="B7073" i="15"/>
  <c r="B7074" i="15"/>
  <c r="B7075" i="15"/>
  <c r="B7076" i="15"/>
  <c r="B7077" i="15"/>
  <c r="B7078" i="15"/>
  <c r="B7079" i="15"/>
  <c r="B7080" i="15"/>
  <c r="B7081" i="15"/>
  <c r="B7082" i="15"/>
  <c r="B7083" i="15"/>
  <c r="B7084" i="15"/>
  <c r="B7085" i="15"/>
  <c r="B7086" i="15"/>
  <c r="B7087" i="15"/>
  <c r="B7088" i="15"/>
  <c r="B7089" i="15"/>
  <c r="B7090" i="15"/>
  <c r="B7091" i="15"/>
  <c r="B7092" i="15"/>
  <c r="B7093" i="15"/>
  <c r="B7094" i="15"/>
  <c r="B7095" i="15"/>
  <c r="B7096" i="15"/>
  <c r="B7097" i="15"/>
  <c r="B7098" i="15"/>
  <c r="B7099" i="15"/>
  <c r="B7100" i="15"/>
  <c r="B7101" i="15"/>
  <c r="B7102" i="15"/>
  <c r="B7103" i="15"/>
  <c r="B7104" i="15"/>
  <c r="B7105" i="15"/>
  <c r="B7106" i="15"/>
  <c r="B7107" i="15"/>
  <c r="B7108" i="15"/>
  <c r="B7109" i="15"/>
  <c r="B7110" i="15"/>
  <c r="B7111" i="15"/>
  <c r="B7112" i="15"/>
  <c r="B7113" i="15"/>
  <c r="B7114" i="15"/>
  <c r="B7115" i="15"/>
  <c r="B7116" i="15"/>
  <c r="B7117" i="15"/>
  <c r="B7118" i="15"/>
  <c r="B7119" i="15"/>
  <c r="B7120" i="15"/>
  <c r="B7121" i="15"/>
  <c r="B7122" i="15"/>
  <c r="B7123" i="15"/>
  <c r="B7124" i="15"/>
  <c r="B7125" i="15"/>
  <c r="B7126" i="15"/>
  <c r="B7127" i="15"/>
  <c r="B7128" i="15"/>
  <c r="B7129" i="15"/>
  <c r="B7130" i="15"/>
  <c r="B7131" i="15"/>
  <c r="B7132" i="15"/>
  <c r="B7133" i="15"/>
  <c r="B7134" i="15"/>
  <c r="B7135" i="15"/>
  <c r="B7136" i="15"/>
  <c r="B7137" i="15"/>
  <c r="B7138" i="15"/>
  <c r="B7139" i="15"/>
  <c r="B7140" i="15"/>
  <c r="B7141" i="15"/>
  <c r="B7142" i="15"/>
  <c r="B7143" i="15"/>
  <c r="B7144" i="15"/>
  <c r="B7145" i="15"/>
  <c r="B7146" i="15"/>
  <c r="B7147" i="15"/>
  <c r="B7148" i="15"/>
  <c r="B7149" i="15"/>
  <c r="B7150" i="15"/>
  <c r="B7151" i="15"/>
  <c r="B7152" i="15"/>
  <c r="B7153" i="15"/>
  <c r="B7154" i="15"/>
  <c r="B7155" i="15"/>
  <c r="B7156" i="15"/>
  <c r="B7157" i="15"/>
  <c r="B7158" i="15"/>
  <c r="B7159" i="15"/>
  <c r="B7160" i="15"/>
  <c r="B7161" i="15"/>
  <c r="B7162" i="15"/>
  <c r="B7163" i="15"/>
  <c r="B7164" i="15"/>
  <c r="B7165" i="15"/>
  <c r="B7166" i="15"/>
  <c r="B7167" i="15"/>
  <c r="B7168" i="15"/>
  <c r="B7169" i="15"/>
  <c r="B7170" i="15"/>
  <c r="B7171" i="15"/>
  <c r="B7172" i="15"/>
  <c r="B7173" i="15"/>
  <c r="B7174" i="15"/>
  <c r="B7175" i="15"/>
  <c r="B7176" i="15"/>
  <c r="B7177" i="15"/>
  <c r="B7178" i="15"/>
  <c r="B7179" i="15"/>
  <c r="B7180" i="15"/>
  <c r="B7181" i="15"/>
  <c r="B7182" i="15"/>
  <c r="B7183" i="15"/>
  <c r="B7184" i="15"/>
  <c r="B7185" i="15"/>
  <c r="B7186" i="15"/>
  <c r="B7187" i="15"/>
  <c r="B7188" i="15"/>
  <c r="B7189" i="15"/>
  <c r="B7190" i="15"/>
  <c r="B7191" i="15"/>
  <c r="B7192" i="15"/>
  <c r="B7193" i="15"/>
  <c r="B7194" i="15"/>
  <c r="B7195" i="15"/>
  <c r="B7196" i="15"/>
  <c r="B7197" i="15"/>
  <c r="B7198" i="15"/>
  <c r="B7199" i="15"/>
  <c r="B7200" i="15"/>
  <c r="B7201" i="15"/>
  <c r="B7202" i="15"/>
  <c r="B7203" i="15"/>
  <c r="B7204" i="15"/>
  <c r="B7205" i="15"/>
  <c r="B7206" i="15"/>
  <c r="B7207" i="15"/>
  <c r="B7208" i="15"/>
  <c r="B7209" i="15"/>
  <c r="B7210" i="15"/>
  <c r="B7211" i="15"/>
  <c r="B7212" i="15"/>
  <c r="B7213" i="15"/>
  <c r="B7214" i="15"/>
  <c r="B7215" i="15"/>
  <c r="B7216" i="15"/>
  <c r="B7217" i="15"/>
  <c r="B7218" i="15"/>
  <c r="B7219" i="15"/>
  <c r="B7220" i="15"/>
  <c r="B7221" i="15"/>
  <c r="B7222" i="15"/>
  <c r="B7223" i="15"/>
  <c r="B7224" i="15"/>
  <c r="B7225" i="15"/>
  <c r="B7226" i="15"/>
  <c r="B7227" i="15"/>
  <c r="B7228" i="15"/>
  <c r="B7229" i="15"/>
  <c r="B7230" i="15"/>
  <c r="B7231" i="15"/>
  <c r="B7232" i="15"/>
  <c r="B7233" i="15"/>
  <c r="B7234" i="15"/>
  <c r="B7235" i="15"/>
  <c r="B7236" i="15"/>
  <c r="B7237" i="15"/>
  <c r="B7238" i="15"/>
  <c r="B7239" i="15"/>
  <c r="B7240" i="15"/>
  <c r="B7241" i="15"/>
  <c r="B7242" i="15"/>
  <c r="B7243" i="15"/>
  <c r="B7244" i="15"/>
  <c r="B7245" i="15"/>
  <c r="B7246" i="15"/>
  <c r="B7247" i="15"/>
  <c r="B7248" i="15"/>
  <c r="B7249" i="15"/>
  <c r="B7250" i="15"/>
  <c r="B7251" i="15"/>
  <c r="B7252" i="15"/>
  <c r="B7253" i="15"/>
  <c r="B7254" i="15"/>
  <c r="B7255" i="15"/>
  <c r="B7256" i="15"/>
  <c r="B7257" i="15"/>
  <c r="B7258" i="15"/>
  <c r="B7259" i="15"/>
  <c r="B7260" i="15"/>
  <c r="B7261" i="15"/>
  <c r="B7262" i="15"/>
  <c r="B7263" i="15"/>
  <c r="B7264" i="15"/>
  <c r="B7265" i="15"/>
  <c r="B7266" i="15"/>
  <c r="B7267" i="15"/>
  <c r="B7268" i="15"/>
  <c r="B7269" i="15"/>
  <c r="B7270" i="15"/>
  <c r="B7271" i="15"/>
  <c r="B7272" i="15"/>
  <c r="B7273" i="15"/>
  <c r="B7274" i="15"/>
  <c r="B7275" i="15"/>
  <c r="B7276" i="15"/>
  <c r="B7277" i="15"/>
  <c r="B7278" i="15"/>
  <c r="B7279" i="15"/>
  <c r="B7280" i="15"/>
  <c r="B7281" i="15"/>
  <c r="B7282" i="15"/>
  <c r="B7283" i="15"/>
  <c r="B7284" i="15"/>
  <c r="B7285" i="15"/>
  <c r="B7286" i="15"/>
  <c r="B7287" i="15"/>
  <c r="B7288" i="15"/>
  <c r="B7289" i="15"/>
  <c r="B7290" i="15"/>
  <c r="B7291" i="15"/>
  <c r="B7292" i="15"/>
  <c r="B7293" i="15"/>
  <c r="B7294" i="15"/>
  <c r="B7295" i="15"/>
  <c r="B7296" i="15"/>
  <c r="B7297" i="15"/>
  <c r="B7298" i="15"/>
  <c r="B7299" i="15"/>
  <c r="B7300" i="15"/>
  <c r="B7301" i="15"/>
  <c r="B7302" i="15"/>
  <c r="B7303" i="15"/>
  <c r="B7304" i="15"/>
  <c r="B7305" i="15"/>
  <c r="B7306" i="15"/>
  <c r="B7307" i="15"/>
  <c r="B7308" i="15"/>
  <c r="B7309" i="15"/>
  <c r="B7310" i="15"/>
  <c r="B7311" i="15"/>
  <c r="B7312" i="15"/>
  <c r="B7313" i="15"/>
  <c r="B7314" i="15"/>
  <c r="B7315" i="15"/>
  <c r="B7316" i="15"/>
  <c r="B7317" i="15"/>
  <c r="B7318" i="15"/>
  <c r="B7319" i="15"/>
  <c r="B7320" i="15"/>
  <c r="B7321" i="15"/>
  <c r="B7322" i="15"/>
  <c r="B7323" i="15"/>
  <c r="B7324" i="15"/>
  <c r="B7325" i="15"/>
  <c r="B7326" i="15"/>
  <c r="B7327" i="15"/>
  <c r="B7328" i="15"/>
  <c r="B7329" i="15"/>
  <c r="B7330" i="15"/>
  <c r="B7331" i="15"/>
  <c r="B7332" i="15"/>
  <c r="B7333" i="15"/>
  <c r="B7334" i="15"/>
  <c r="B7335" i="15"/>
  <c r="B7336" i="15"/>
  <c r="B7337" i="15"/>
  <c r="B7338" i="15"/>
  <c r="B7339" i="15"/>
  <c r="B7340" i="15"/>
  <c r="B7341" i="15"/>
  <c r="B7342" i="15"/>
  <c r="B7343" i="15"/>
  <c r="B7344" i="15"/>
  <c r="B7345" i="15"/>
  <c r="B7346" i="15"/>
  <c r="B7347" i="15"/>
  <c r="B7348" i="15"/>
  <c r="B7349" i="15"/>
  <c r="B7350" i="15"/>
  <c r="B7351" i="15"/>
  <c r="B7352" i="15"/>
  <c r="B7353" i="15"/>
  <c r="B7354" i="15"/>
  <c r="B7355" i="15"/>
  <c r="B7356" i="15"/>
  <c r="B7357" i="15"/>
  <c r="B7358" i="15"/>
  <c r="B7359" i="15"/>
  <c r="B7360" i="15"/>
  <c r="B7361" i="15"/>
  <c r="B7362" i="15"/>
  <c r="B7363" i="15"/>
  <c r="B7364" i="15"/>
  <c r="B7365" i="15"/>
  <c r="B7366" i="15"/>
  <c r="B7367" i="15"/>
  <c r="B7368" i="15"/>
  <c r="B7369" i="15"/>
  <c r="B7370" i="15"/>
  <c r="B7371" i="15"/>
  <c r="B7372" i="15"/>
  <c r="B7373" i="15"/>
  <c r="B7374" i="15"/>
  <c r="B7375" i="15"/>
  <c r="B7376" i="15"/>
  <c r="B7377" i="15"/>
  <c r="B7378" i="15"/>
  <c r="B7379" i="15"/>
  <c r="B7380" i="15"/>
  <c r="B7381" i="15"/>
  <c r="B7382" i="15"/>
  <c r="B7383" i="15"/>
  <c r="B7384" i="15"/>
  <c r="B7385" i="15"/>
  <c r="B7386" i="15"/>
  <c r="B7387" i="15"/>
  <c r="B7388" i="15"/>
  <c r="B7389" i="15"/>
  <c r="B7390" i="15"/>
  <c r="B7391" i="15"/>
  <c r="B7392" i="15"/>
  <c r="B7393" i="15"/>
  <c r="B7394" i="15"/>
  <c r="B7395" i="15"/>
  <c r="B7396" i="15"/>
  <c r="B7397" i="15"/>
  <c r="B7398" i="15"/>
  <c r="B7399" i="15"/>
  <c r="B7400" i="15"/>
  <c r="B7401" i="15"/>
  <c r="B7402" i="15"/>
  <c r="B7403" i="15"/>
  <c r="B7404" i="15"/>
  <c r="B7405" i="15"/>
  <c r="B7406" i="15"/>
  <c r="B7407" i="15"/>
  <c r="B7408" i="15"/>
  <c r="B7409" i="15"/>
  <c r="B7410" i="15"/>
  <c r="B7411" i="15"/>
  <c r="B7412" i="15"/>
  <c r="B7413" i="15"/>
  <c r="B7414" i="15"/>
  <c r="B7415" i="15"/>
  <c r="B7416" i="15"/>
  <c r="B7417" i="15"/>
  <c r="B7418" i="15"/>
  <c r="B7419" i="15"/>
  <c r="B7420" i="15"/>
  <c r="B7421" i="15"/>
  <c r="B7422" i="15"/>
  <c r="B7423" i="15"/>
  <c r="B7424" i="15"/>
  <c r="B7425" i="15"/>
  <c r="B7426" i="15"/>
  <c r="B7427" i="15"/>
  <c r="B7428" i="15"/>
  <c r="B7429" i="15"/>
  <c r="B7430" i="15"/>
  <c r="B7431" i="15"/>
  <c r="B7432" i="15"/>
  <c r="B7433" i="15"/>
  <c r="B7434" i="15"/>
  <c r="B7435" i="15"/>
  <c r="B7436" i="15"/>
  <c r="B7437" i="15"/>
  <c r="B7438" i="15"/>
  <c r="B7439" i="15"/>
  <c r="B7440" i="15"/>
  <c r="B7441" i="15"/>
  <c r="B7442" i="15"/>
  <c r="B7443" i="15"/>
  <c r="B7444" i="15"/>
  <c r="B7445" i="15"/>
  <c r="B7446" i="15"/>
  <c r="B7447" i="15"/>
  <c r="B7448" i="15"/>
  <c r="B7449" i="15"/>
  <c r="B7450" i="15"/>
  <c r="B7451" i="15"/>
  <c r="B7452" i="15"/>
  <c r="B7453" i="15"/>
  <c r="B7454" i="15"/>
  <c r="B7455" i="15"/>
  <c r="B7456" i="15"/>
  <c r="B7457" i="15"/>
  <c r="B7458" i="15"/>
  <c r="B7459" i="15"/>
  <c r="B7460" i="15"/>
  <c r="B7461" i="15"/>
  <c r="B7462" i="15"/>
  <c r="B7463" i="15"/>
  <c r="B7464" i="15"/>
  <c r="B7465" i="15"/>
  <c r="B7466" i="15"/>
  <c r="B7467" i="15"/>
  <c r="B7468" i="15"/>
  <c r="B7469" i="15"/>
  <c r="B7470" i="15"/>
  <c r="B7471" i="15"/>
  <c r="B7472" i="15"/>
  <c r="B7473" i="15"/>
  <c r="B7474" i="15"/>
  <c r="B7475" i="15"/>
  <c r="B7476" i="15"/>
  <c r="B7477" i="15"/>
  <c r="B7478" i="15"/>
  <c r="B7479" i="15"/>
  <c r="B7480" i="15"/>
  <c r="B7481" i="15"/>
  <c r="B7482" i="15"/>
  <c r="B7483" i="15"/>
  <c r="B7484" i="15"/>
  <c r="B7485" i="15"/>
  <c r="B7486" i="15"/>
  <c r="B7487" i="15"/>
  <c r="B7488" i="15"/>
  <c r="B7489" i="15"/>
  <c r="B7490" i="15"/>
  <c r="B7491" i="15"/>
  <c r="B7492" i="15"/>
  <c r="B7493" i="15"/>
  <c r="B7494" i="15"/>
  <c r="B7495" i="15"/>
  <c r="B7496" i="15"/>
  <c r="B7497" i="15"/>
  <c r="B7498" i="15"/>
  <c r="B7499" i="15"/>
  <c r="B7500" i="15"/>
  <c r="B7501" i="15"/>
  <c r="B7502" i="15"/>
  <c r="B7503" i="15"/>
  <c r="B7504" i="15"/>
  <c r="B7505" i="15"/>
  <c r="B7506" i="15"/>
  <c r="B7507" i="15"/>
  <c r="B7508" i="15"/>
  <c r="B7509" i="15"/>
  <c r="B7510" i="15"/>
  <c r="B7511" i="15"/>
  <c r="B7512" i="15"/>
  <c r="B7513" i="15"/>
  <c r="B7514" i="15"/>
  <c r="B7515" i="15"/>
  <c r="B7516" i="15"/>
  <c r="B7517" i="15"/>
  <c r="B7518" i="15"/>
  <c r="B7519" i="15"/>
  <c r="B7520" i="15"/>
  <c r="B7521" i="15"/>
  <c r="B7522" i="15"/>
  <c r="B7523" i="15"/>
  <c r="B7524" i="15"/>
  <c r="B7525" i="15"/>
  <c r="B7526" i="15"/>
  <c r="B7527" i="15"/>
  <c r="B7528" i="15"/>
  <c r="B7529" i="15"/>
  <c r="B7530" i="15"/>
  <c r="B7531" i="15"/>
  <c r="B7532" i="15"/>
  <c r="B7533" i="15"/>
  <c r="B7534" i="15"/>
  <c r="B7535" i="15"/>
  <c r="B7536" i="15"/>
  <c r="B7537" i="15"/>
  <c r="B7538" i="15"/>
  <c r="B7539" i="15"/>
  <c r="B7540" i="15"/>
  <c r="B7541" i="15"/>
  <c r="B7542" i="15"/>
  <c r="B7543" i="15"/>
  <c r="B7544" i="15"/>
  <c r="B7545" i="15"/>
  <c r="B7546" i="15"/>
  <c r="B7547" i="15"/>
  <c r="B7548" i="15"/>
  <c r="B7549" i="15"/>
  <c r="B7550" i="15"/>
  <c r="B7551" i="15"/>
  <c r="B7552" i="15"/>
  <c r="B7553" i="15"/>
  <c r="B7554" i="15"/>
  <c r="B7555" i="15"/>
  <c r="B7556" i="15"/>
  <c r="B7557" i="15"/>
  <c r="B7558" i="15"/>
  <c r="B7559" i="15"/>
  <c r="B7560" i="15"/>
  <c r="B7561" i="15"/>
  <c r="B7562" i="15"/>
  <c r="B7563" i="15"/>
  <c r="B7564" i="15"/>
  <c r="B7565" i="15"/>
  <c r="B7566" i="15"/>
  <c r="B7567" i="15"/>
  <c r="B7568" i="15"/>
  <c r="B7569" i="15"/>
  <c r="B7570" i="15"/>
  <c r="B7571" i="15"/>
  <c r="B7572" i="15"/>
  <c r="B7573" i="15"/>
  <c r="B7574" i="15"/>
  <c r="B7575" i="15"/>
  <c r="B7576" i="15"/>
  <c r="B7577" i="15"/>
  <c r="B7578" i="15"/>
  <c r="B7579" i="15"/>
  <c r="B7580" i="15"/>
  <c r="B7581" i="15"/>
  <c r="B7582" i="15"/>
  <c r="B7583" i="15"/>
  <c r="B7584" i="15"/>
  <c r="B7585" i="15"/>
  <c r="B7586" i="15"/>
  <c r="B7587" i="15"/>
  <c r="B7588" i="15"/>
  <c r="B7589" i="15"/>
  <c r="B7590" i="15"/>
  <c r="B7591" i="15"/>
  <c r="B7592" i="15"/>
  <c r="B7593" i="15"/>
  <c r="B7594" i="15"/>
  <c r="B7595" i="15"/>
  <c r="B7596" i="15"/>
  <c r="B7597" i="15"/>
  <c r="B7598" i="15"/>
  <c r="B7599" i="15"/>
  <c r="B7600" i="15"/>
  <c r="B7601" i="15"/>
  <c r="B7602" i="15"/>
  <c r="B7603" i="15"/>
  <c r="B7604" i="15"/>
  <c r="B7605" i="15"/>
  <c r="B7606" i="15"/>
  <c r="B7607" i="15"/>
  <c r="B7608" i="15"/>
  <c r="B7609" i="15"/>
  <c r="B7610" i="15"/>
  <c r="B7611" i="15"/>
  <c r="B7612" i="15"/>
  <c r="B7613" i="15"/>
  <c r="B7614" i="15"/>
  <c r="B7615" i="15"/>
  <c r="B7616" i="15"/>
  <c r="B7617" i="15"/>
  <c r="B7618" i="15"/>
  <c r="B7619" i="15"/>
  <c r="B7620" i="15"/>
  <c r="B7621" i="15"/>
  <c r="B7622" i="15"/>
  <c r="B7623" i="15"/>
  <c r="B7624" i="15"/>
  <c r="B7625" i="15"/>
  <c r="B7626" i="15"/>
  <c r="B7627" i="15"/>
  <c r="B7628" i="15"/>
  <c r="B7629" i="15"/>
  <c r="B7630" i="15"/>
  <c r="B7631" i="15"/>
  <c r="B7632" i="15"/>
  <c r="B7633" i="15"/>
  <c r="B7634" i="15"/>
  <c r="B7635" i="15"/>
  <c r="B7636" i="15"/>
  <c r="B7637" i="15"/>
  <c r="B7638" i="15"/>
  <c r="B7639" i="15"/>
  <c r="B7640" i="15"/>
  <c r="B7641" i="15"/>
  <c r="B7642" i="15"/>
  <c r="B7643" i="15"/>
  <c r="B7644" i="15"/>
  <c r="B7645" i="15"/>
  <c r="B7646" i="15"/>
  <c r="B7647" i="15"/>
  <c r="B7648" i="15"/>
  <c r="B7649" i="15"/>
  <c r="B7650" i="15"/>
  <c r="B7651" i="15"/>
  <c r="B7652" i="15"/>
  <c r="B7653" i="15"/>
  <c r="B7654" i="15"/>
  <c r="B7655" i="15"/>
  <c r="B7656" i="15"/>
  <c r="B7657" i="15"/>
  <c r="B7658" i="15"/>
  <c r="B7659" i="15"/>
  <c r="B7660" i="15"/>
  <c r="B7661" i="15"/>
  <c r="B7662" i="15"/>
  <c r="B7663" i="15"/>
  <c r="B7664" i="15"/>
  <c r="B7665" i="15"/>
  <c r="B7666" i="15"/>
  <c r="B7667" i="15"/>
  <c r="B7668" i="15"/>
  <c r="B7669" i="15"/>
  <c r="B7670" i="15"/>
  <c r="B7671" i="15"/>
  <c r="B7672" i="15"/>
  <c r="B7673" i="15"/>
  <c r="B7674" i="15"/>
  <c r="B7675" i="15"/>
  <c r="B7676" i="15"/>
  <c r="B7677" i="15"/>
  <c r="B7678" i="15"/>
  <c r="B7679" i="15"/>
  <c r="B7680" i="15"/>
  <c r="B7681" i="15"/>
  <c r="B7682" i="15"/>
  <c r="B7683" i="15"/>
  <c r="B7684" i="15"/>
  <c r="B7685" i="15"/>
  <c r="B7686" i="15"/>
  <c r="B7687" i="15"/>
  <c r="B7688" i="15"/>
  <c r="B7689" i="15"/>
  <c r="B7690" i="15"/>
  <c r="B7691" i="15"/>
  <c r="B7692" i="15"/>
  <c r="B7693" i="15"/>
  <c r="B7694" i="15"/>
  <c r="B7695" i="15"/>
  <c r="B7696" i="15"/>
  <c r="B7697" i="15"/>
  <c r="B7698" i="15"/>
  <c r="B7699" i="15"/>
  <c r="B7700" i="15"/>
  <c r="B7701" i="15"/>
  <c r="B7702" i="15"/>
  <c r="B7703" i="15"/>
  <c r="B7704" i="15"/>
  <c r="B7705" i="15"/>
  <c r="B7706" i="15"/>
  <c r="B7707" i="15"/>
  <c r="B7708" i="15"/>
  <c r="B7709" i="15"/>
  <c r="B7710" i="15"/>
  <c r="B7711" i="15"/>
  <c r="B7712" i="15"/>
  <c r="B7713" i="15"/>
  <c r="B7714" i="15"/>
  <c r="B7715" i="15"/>
  <c r="B7716" i="15"/>
  <c r="B7717" i="15"/>
  <c r="B7718" i="15"/>
  <c r="B7719" i="15"/>
  <c r="B7720" i="15"/>
  <c r="B7721" i="15"/>
  <c r="B7722" i="15"/>
  <c r="B7723" i="15"/>
  <c r="B7724" i="15"/>
  <c r="B7725" i="15"/>
  <c r="B7726" i="15"/>
  <c r="B7727" i="15"/>
  <c r="B7728" i="15"/>
  <c r="B7729" i="15"/>
  <c r="B7730" i="15"/>
  <c r="B7731" i="15"/>
  <c r="B7732" i="15"/>
  <c r="B7733" i="15"/>
  <c r="B7734" i="15"/>
  <c r="B7735" i="15"/>
  <c r="B7736" i="15"/>
  <c r="B7737" i="15"/>
  <c r="B7738" i="15"/>
  <c r="B7739" i="15"/>
  <c r="B7740" i="15"/>
  <c r="B7741" i="15"/>
  <c r="B7742" i="15"/>
  <c r="B7743" i="15"/>
  <c r="B7744" i="15"/>
  <c r="B7745" i="15"/>
  <c r="B7746" i="15"/>
  <c r="B7747" i="15"/>
  <c r="B7748" i="15"/>
  <c r="B7749" i="15"/>
  <c r="B7750" i="15"/>
  <c r="B7751" i="15"/>
  <c r="B7752" i="15"/>
  <c r="B7753" i="15"/>
  <c r="B7754" i="15"/>
  <c r="B7755" i="15"/>
  <c r="B7756" i="15"/>
  <c r="B7757" i="15"/>
  <c r="B7758" i="15"/>
  <c r="B7759" i="15"/>
  <c r="B7760" i="15"/>
  <c r="B7761" i="15"/>
  <c r="B7762" i="15"/>
  <c r="B7763" i="15"/>
  <c r="B7764" i="15"/>
  <c r="B7765" i="15"/>
  <c r="B7766" i="15"/>
  <c r="B7767" i="15"/>
  <c r="B7768" i="15"/>
  <c r="B7769" i="15"/>
  <c r="B7770" i="15"/>
  <c r="B7771" i="15"/>
  <c r="B7772" i="15"/>
  <c r="B7773" i="15"/>
  <c r="B7774" i="15"/>
  <c r="B7775" i="15"/>
  <c r="B7776" i="15"/>
  <c r="B7777" i="15"/>
  <c r="B7778" i="15"/>
  <c r="B7779" i="15"/>
  <c r="B7780" i="15"/>
  <c r="B7781" i="15"/>
  <c r="B7782" i="15"/>
  <c r="B7783" i="15"/>
  <c r="B7784" i="15"/>
  <c r="B7785" i="15"/>
  <c r="B7786" i="15"/>
  <c r="B7787" i="15"/>
  <c r="B7788" i="15"/>
  <c r="B7789" i="15"/>
  <c r="B7790" i="15"/>
  <c r="B7791" i="15"/>
  <c r="B7792" i="15"/>
  <c r="B7793" i="15"/>
  <c r="B7794" i="15"/>
  <c r="B7795" i="15"/>
  <c r="B7796" i="15"/>
  <c r="B7797" i="15"/>
  <c r="B7798" i="15"/>
  <c r="B7799" i="15"/>
  <c r="B7800" i="15"/>
  <c r="B7801" i="15"/>
  <c r="B7802" i="15"/>
  <c r="B7803" i="15"/>
  <c r="B7804" i="15"/>
  <c r="B7805" i="15"/>
  <c r="B7806" i="15"/>
  <c r="B7807" i="15"/>
  <c r="B7808" i="15"/>
  <c r="B7809" i="15"/>
  <c r="B7810" i="15"/>
  <c r="B7811" i="15"/>
  <c r="B7812" i="15"/>
  <c r="B7813" i="15"/>
  <c r="B7814" i="15"/>
  <c r="B7815" i="15"/>
  <c r="B7816" i="15"/>
  <c r="B7817" i="15"/>
  <c r="B7818" i="15"/>
  <c r="B7819" i="15"/>
  <c r="B7820" i="15"/>
  <c r="B7821" i="15"/>
  <c r="B7822" i="15"/>
  <c r="B7823" i="15"/>
  <c r="B7824" i="15"/>
  <c r="B7825" i="15"/>
  <c r="B7826" i="15"/>
  <c r="B7827" i="15"/>
  <c r="B7828" i="15"/>
  <c r="B7829" i="15"/>
  <c r="B7830" i="15"/>
  <c r="B7831" i="15"/>
  <c r="B7832" i="15"/>
  <c r="B7833" i="15"/>
  <c r="B7834" i="15"/>
  <c r="B7835" i="15"/>
  <c r="B7836" i="15"/>
  <c r="B7837" i="15"/>
  <c r="B7838" i="15"/>
  <c r="B7839" i="15"/>
  <c r="B7840" i="15"/>
  <c r="B7841" i="15"/>
  <c r="B7842" i="15"/>
  <c r="B7843" i="15"/>
  <c r="B7844" i="15"/>
  <c r="B7845" i="15"/>
  <c r="B7846" i="15"/>
  <c r="B7847" i="15"/>
  <c r="B7848" i="15"/>
  <c r="B7849" i="15"/>
  <c r="B7850" i="15"/>
  <c r="B7851" i="15"/>
  <c r="B7852" i="15"/>
  <c r="B7853" i="15"/>
  <c r="B7854" i="15"/>
  <c r="B7855" i="15"/>
  <c r="B7856" i="15"/>
  <c r="B7857" i="15"/>
  <c r="B7858" i="15"/>
  <c r="B7859" i="15"/>
  <c r="B7860" i="15"/>
  <c r="B7861" i="15"/>
  <c r="B7862" i="15"/>
  <c r="B7863" i="15"/>
  <c r="B7864" i="15"/>
  <c r="B7865" i="15"/>
  <c r="B7866" i="15"/>
  <c r="B7867" i="15"/>
  <c r="B7868" i="15"/>
  <c r="B7869" i="15"/>
  <c r="B7870" i="15"/>
  <c r="B7871" i="15"/>
  <c r="B7872" i="15"/>
  <c r="B7873" i="15"/>
  <c r="B7874" i="15"/>
  <c r="B7875" i="15"/>
  <c r="B7876" i="15"/>
  <c r="B7877" i="15"/>
  <c r="B7878" i="15"/>
  <c r="B7879" i="15"/>
  <c r="B7880" i="15"/>
  <c r="B7881" i="15"/>
  <c r="B7882" i="15"/>
  <c r="B7883" i="15"/>
  <c r="B7884" i="15"/>
  <c r="B7885" i="15"/>
  <c r="B7886" i="15"/>
  <c r="B7887" i="15"/>
  <c r="B7888" i="15"/>
  <c r="B7889" i="15"/>
  <c r="B7890" i="15"/>
  <c r="B7891" i="15"/>
  <c r="B7892" i="15"/>
  <c r="B7893" i="15"/>
  <c r="B7894" i="15"/>
  <c r="B7895" i="15"/>
  <c r="B7896" i="15"/>
  <c r="B7897" i="15"/>
  <c r="B7898" i="15"/>
  <c r="B7899" i="15"/>
  <c r="B7900" i="15"/>
  <c r="B7901" i="15"/>
  <c r="B7902" i="15"/>
  <c r="B7903" i="15"/>
  <c r="B7904" i="15"/>
  <c r="B7905" i="15"/>
  <c r="B7906" i="15"/>
  <c r="B7907" i="15"/>
  <c r="B7908" i="15"/>
  <c r="B7909" i="15"/>
  <c r="B7910" i="15"/>
  <c r="B7911" i="15"/>
  <c r="B7912" i="15"/>
  <c r="B7913" i="15"/>
  <c r="B7914" i="15"/>
  <c r="B7915" i="15"/>
  <c r="B7916" i="15"/>
  <c r="B7917" i="15"/>
  <c r="B7918" i="15"/>
  <c r="B7919" i="15"/>
  <c r="B7920" i="15"/>
  <c r="B7921" i="15"/>
  <c r="B7922" i="15"/>
  <c r="B7923" i="15"/>
  <c r="B7924" i="15"/>
  <c r="B7925" i="15"/>
  <c r="B7926" i="15"/>
  <c r="B7927" i="15"/>
  <c r="B7928" i="15"/>
  <c r="B7929" i="15"/>
  <c r="B7930" i="15"/>
  <c r="B7931" i="15"/>
  <c r="B7932" i="15"/>
  <c r="B7933" i="15"/>
  <c r="B7934" i="15"/>
  <c r="B7935" i="15"/>
  <c r="B7936" i="15"/>
  <c r="B7937" i="15"/>
  <c r="B7938" i="15"/>
  <c r="B7939" i="15"/>
  <c r="B7940" i="15"/>
  <c r="B7941" i="15"/>
  <c r="B7942" i="15"/>
  <c r="B7943" i="15"/>
  <c r="B7944" i="15"/>
  <c r="B7945" i="15"/>
  <c r="B7946" i="15"/>
  <c r="B7947" i="15"/>
  <c r="B7948" i="15"/>
  <c r="B7949" i="15"/>
  <c r="B7950" i="15"/>
  <c r="B7951" i="15"/>
  <c r="B7952" i="15"/>
  <c r="B7953" i="15"/>
  <c r="B7954" i="15"/>
  <c r="B7955" i="15"/>
  <c r="B7956" i="15"/>
  <c r="B7957" i="15"/>
  <c r="B7958" i="15"/>
  <c r="B7959" i="15"/>
  <c r="B7960" i="15"/>
  <c r="B7961" i="15"/>
  <c r="B7962" i="15"/>
  <c r="B7963" i="15"/>
  <c r="B7964" i="15"/>
  <c r="B7965" i="15"/>
  <c r="B7966" i="15"/>
  <c r="B7967" i="15"/>
  <c r="B7968" i="15"/>
  <c r="B7969" i="15"/>
  <c r="B7970" i="15"/>
  <c r="B7971" i="15"/>
  <c r="B7972" i="15"/>
  <c r="B7973" i="15"/>
  <c r="B7974" i="15"/>
  <c r="B7975" i="15"/>
  <c r="B7976" i="15"/>
  <c r="B7977" i="15"/>
  <c r="B7978" i="15"/>
  <c r="B7979" i="15"/>
  <c r="B7980" i="15"/>
  <c r="B7981" i="15"/>
  <c r="B7982" i="15"/>
  <c r="B7983" i="15"/>
  <c r="B7984" i="15"/>
  <c r="B7985" i="15"/>
  <c r="B7986" i="15"/>
  <c r="B7987" i="15"/>
  <c r="B7988" i="15"/>
  <c r="B7989" i="15"/>
  <c r="B7990" i="15"/>
  <c r="B7991" i="15"/>
  <c r="B7992" i="15"/>
  <c r="B7993" i="15"/>
  <c r="B7994" i="15"/>
  <c r="B7995" i="15"/>
  <c r="B7996" i="15"/>
  <c r="B7997" i="15"/>
  <c r="B7998" i="15"/>
  <c r="B7999" i="15"/>
  <c r="B8000" i="15"/>
  <c r="B8001" i="15"/>
  <c r="B8002" i="15"/>
  <c r="B8003" i="15"/>
  <c r="B8004" i="15"/>
  <c r="B8005" i="15"/>
  <c r="B8006" i="15"/>
  <c r="B8007" i="15"/>
  <c r="B8008" i="15"/>
  <c r="B8009" i="15"/>
  <c r="B8010" i="15"/>
  <c r="B8011" i="15"/>
  <c r="B8012" i="15"/>
  <c r="B8013" i="15"/>
  <c r="B8014" i="15"/>
  <c r="B8015" i="15"/>
  <c r="B8016" i="15"/>
  <c r="B8017" i="15"/>
  <c r="B8018" i="15"/>
  <c r="B8019" i="15"/>
  <c r="B8020" i="15"/>
  <c r="B8021" i="15"/>
  <c r="B8022" i="15"/>
  <c r="B8023" i="15"/>
  <c r="B8024" i="15"/>
  <c r="B8025" i="15"/>
  <c r="B8026" i="15"/>
  <c r="B8027" i="15"/>
  <c r="B8028" i="15"/>
  <c r="B8029" i="15"/>
  <c r="B8030" i="15"/>
  <c r="B8031" i="15"/>
  <c r="B8032" i="15"/>
  <c r="B8033" i="15"/>
  <c r="B8034" i="15"/>
  <c r="B8035" i="15"/>
  <c r="B8036" i="15"/>
  <c r="B8037" i="15"/>
  <c r="B8038" i="15"/>
  <c r="B8039" i="15"/>
  <c r="B8040" i="15"/>
  <c r="B8041" i="15"/>
  <c r="B8042" i="15"/>
  <c r="B8043" i="15"/>
  <c r="B8044" i="15"/>
  <c r="B8045" i="15"/>
  <c r="B8046" i="15"/>
  <c r="B8047" i="15"/>
  <c r="B8048" i="15"/>
  <c r="B8049" i="15"/>
  <c r="B8050" i="15"/>
  <c r="B8051" i="15"/>
  <c r="B8052" i="15"/>
  <c r="B8053" i="15"/>
  <c r="B8054" i="15"/>
  <c r="B8055" i="15"/>
  <c r="B8056" i="15"/>
  <c r="B8057" i="15"/>
  <c r="B8058" i="15"/>
  <c r="B8059" i="15"/>
  <c r="B8060" i="15"/>
  <c r="B8061" i="15"/>
  <c r="B8062" i="15"/>
  <c r="B8063" i="15"/>
  <c r="B8064" i="15"/>
  <c r="B8065" i="15"/>
  <c r="B8066" i="15"/>
  <c r="B8067" i="15"/>
  <c r="B8068" i="15"/>
  <c r="B8069" i="15"/>
  <c r="B8070" i="15"/>
  <c r="B8071" i="15"/>
  <c r="B8072" i="15"/>
  <c r="B8073" i="15"/>
  <c r="B8074" i="15"/>
  <c r="B8075" i="15"/>
  <c r="B8076" i="15"/>
  <c r="B8077" i="15"/>
  <c r="B8078" i="15"/>
  <c r="B8079" i="15"/>
  <c r="B8080" i="15"/>
  <c r="B8081" i="15"/>
  <c r="B8082" i="15"/>
  <c r="B8083" i="15"/>
  <c r="B8084" i="15"/>
  <c r="B8085" i="15"/>
  <c r="B8086" i="15"/>
  <c r="B8087" i="15"/>
  <c r="B8088" i="15"/>
  <c r="B8089" i="15"/>
  <c r="B8090" i="15"/>
  <c r="B8091" i="15"/>
  <c r="B8092" i="15"/>
  <c r="B8093" i="15"/>
  <c r="B8094" i="15"/>
  <c r="B8095" i="15"/>
  <c r="B8096" i="15"/>
  <c r="B8097" i="15"/>
  <c r="B8098" i="15"/>
  <c r="B8099" i="15"/>
  <c r="B8100" i="15"/>
  <c r="B8101" i="15"/>
  <c r="B8102" i="15"/>
  <c r="B8103" i="15"/>
  <c r="B8104" i="15"/>
  <c r="B8105" i="15"/>
  <c r="B8106" i="15"/>
  <c r="B8107" i="15"/>
  <c r="B8108" i="15"/>
  <c r="B8109" i="15"/>
  <c r="B8110" i="15"/>
  <c r="B8111" i="15"/>
  <c r="B8112" i="15"/>
  <c r="B8113" i="15"/>
  <c r="B8114" i="15"/>
  <c r="B8115" i="15"/>
  <c r="B8116" i="15"/>
  <c r="B8117" i="15"/>
  <c r="B8118" i="15"/>
  <c r="B8119" i="15"/>
  <c r="B8120" i="15"/>
  <c r="B8121" i="15"/>
  <c r="B8122" i="15"/>
  <c r="B8123" i="15"/>
  <c r="B8124" i="15"/>
  <c r="B8125" i="15"/>
  <c r="B8126" i="15"/>
  <c r="B8127" i="15"/>
  <c r="B8128" i="15"/>
  <c r="B8129" i="15"/>
  <c r="B8130" i="15"/>
  <c r="B8131" i="15"/>
  <c r="B8132" i="15"/>
  <c r="B8133" i="15"/>
  <c r="B8134" i="15"/>
  <c r="B8135" i="15"/>
  <c r="B8136" i="15"/>
  <c r="B8137" i="15"/>
  <c r="B8138" i="15"/>
  <c r="B8139" i="15"/>
  <c r="B8140" i="15"/>
  <c r="B8141" i="15"/>
  <c r="B8142" i="15"/>
  <c r="B8143" i="15"/>
  <c r="B8144" i="15"/>
  <c r="B8145" i="15"/>
  <c r="B8146" i="15"/>
  <c r="B8147" i="15"/>
  <c r="B8148" i="15"/>
  <c r="B8149" i="15"/>
  <c r="B8150" i="15"/>
  <c r="B8151" i="15"/>
  <c r="B8152" i="15"/>
  <c r="B8153" i="15"/>
  <c r="B8154" i="15"/>
  <c r="B8155" i="15"/>
  <c r="B8156" i="15"/>
  <c r="B8157" i="15"/>
  <c r="B8158" i="15"/>
  <c r="B8159" i="15"/>
  <c r="B8160" i="15"/>
  <c r="B8161" i="15"/>
  <c r="B8162" i="15"/>
  <c r="B8163" i="15"/>
  <c r="B8164" i="15"/>
  <c r="B8165" i="15"/>
  <c r="B8166" i="15"/>
  <c r="B8167" i="15"/>
  <c r="B8168" i="15"/>
  <c r="B8169" i="15"/>
  <c r="B8170" i="15"/>
  <c r="B8171" i="15"/>
  <c r="B8172" i="15"/>
  <c r="B8173" i="15"/>
  <c r="B8174" i="15"/>
  <c r="B8175" i="15"/>
  <c r="B8176" i="15"/>
  <c r="B8177" i="15"/>
  <c r="B8178" i="15"/>
  <c r="B8179" i="15"/>
  <c r="B8180" i="15"/>
  <c r="B8181" i="15"/>
  <c r="B8182" i="15"/>
  <c r="B8183" i="15"/>
  <c r="B8184" i="15"/>
  <c r="B8185" i="15"/>
  <c r="B8186" i="15"/>
  <c r="B8187" i="15"/>
  <c r="B8188" i="15"/>
  <c r="B8189" i="15"/>
  <c r="B8190" i="15"/>
  <c r="B8191" i="15"/>
  <c r="B8192" i="15"/>
  <c r="B8193" i="15"/>
  <c r="B8194" i="15"/>
  <c r="B8195" i="15"/>
  <c r="B8196" i="15"/>
  <c r="B8197" i="15"/>
  <c r="B8198" i="15"/>
  <c r="B8199" i="15"/>
  <c r="B8200" i="15"/>
  <c r="B8201" i="15"/>
  <c r="B8202" i="15"/>
  <c r="B8203" i="15"/>
  <c r="B8204" i="15"/>
  <c r="B8205" i="15"/>
  <c r="B8206" i="15"/>
  <c r="B8207" i="15"/>
  <c r="B8208" i="15"/>
  <c r="B8209" i="15"/>
  <c r="B8210" i="15"/>
  <c r="B8211" i="15"/>
  <c r="B8212" i="15"/>
  <c r="B8213" i="15"/>
  <c r="B8214" i="15"/>
  <c r="B8215" i="15"/>
  <c r="B8216" i="15"/>
  <c r="B8217" i="15"/>
  <c r="B8218" i="15"/>
  <c r="B8219" i="15"/>
  <c r="B8220" i="15"/>
  <c r="B8221" i="15"/>
  <c r="B8222" i="15"/>
  <c r="B8223" i="15"/>
  <c r="B8224" i="15"/>
  <c r="B8225" i="15"/>
  <c r="B8226" i="15"/>
  <c r="B8227" i="15"/>
  <c r="B8228" i="15"/>
  <c r="B8229" i="15"/>
  <c r="B8230" i="15"/>
  <c r="B8231" i="15"/>
  <c r="B8232" i="15"/>
  <c r="B8233" i="15"/>
  <c r="B8234" i="15"/>
  <c r="B8235" i="15"/>
  <c r="B8236" i="15"/>
  <c r="B8237" i="15"/>
  <c r="B8238" i="15"/>
  <c r="B8239" i="15"/>
  <c r="B8240" i="15"/>
  <c r="B8241" i="15"/>
  <c r="B8242" i="15"/>
  <c r="B8243" i="15"/>
  <c r="B8244" i="15"/>
  <c r="B8245" i="15"/>
  <c r="B8246" i="15"/>
  <c r="B8247" i="15"/>
  <c r="B8248" i="15"/>
  <c r="B8249" i="15"/>
  <c r="B8250" i="15"/>
  <c r="B8251" i="15"/>
  <c r="B8252" i="15"/>
  <c r="B8253" i="15"/>
  <c r="B8254" i="15"/>
  <c r="B8255" i="15"/>
  <c r="B8256" i="15"/>
  <c r="B8257" i="15"/>
  <c r="B8258" i="15"/>
  <c r="B8259" i="15"/>
  <c r="B8260" i="15"/>
  <c r="B8261" i="15"/>
  <c r="B8262" i="15"/>
  <c r="B8263" i="15"/>
  <c r="B8264" i="15"/>
  <c r="B8265" i="15"/>
  <c r="B8266" i="15"/>
  <c r="B8267" i="15"/>
  <c r="B8268" i="15"/>
  <c r="B8269" i="15"/>
  <c r="B8270" i="15"/>
  <c r="B8271" i="15"/>
  <c r="B8272" i="15"/>
  <c r="B8273" i="15"/>
  <c r="B8274" i="15"/>
  <c r="B8275" i="15"/>
  <c r="B8276" i="15"/>
  <c r="B8277" i="15"/>
  <c r="B8278" i="15"/>
  <c r="B8279" i="15"/>
  <c r="B8280" i="15"/>
  <c r="B8281" i="15"/>
  <c r="B8282" i="15"/>
  <c r="B8283" i="15"/>
  <c r="B8284" i="15"/>
  <c r="B8285" i="15"/>
  <c r="B8286" i="15"/>
  <c r="B8287" i="15"/>
  <c r="B8288" i="15"/>
  <c r="B8289" i="15"/>
  <c r="B8290" i="15"/>
  <c r="B8291" i="15"/>
  <c r="B8292" i="15"/>
  <c r="B8293" i="15"/>
  <c r="B8294" i="15"/>
  <c r="B8295" i="15"/>
  <c r="B8296" i="15"/>
  <c r="B8297" i="15"/>
  <c r="B8298" i="15"/>
  <c r="B8299" i="15"/>
  <c r="B8300" i="15"/>
  <c r="B8301" i="15"/>
  <c r="B8302" i="15"/>
  <c r="B8303" i="15"/>
  <c r="B8304" i="15"/>
  <c r="B8305" i="15"/>
  <c r="B8306" i="15"/>
  <c r="B8307" i="15"/>
  <c r="B8308" i="15"/>
  <c r="B8309" i="15"/>
  <c r="B8310" i="15"/>
  <c r="B8311" i="15"/>
  <c r="B8312" i="15"/>
  <c r="B8313" i="15"/>
  <c r="B8314" i="15"/>
  <c r="B8315" i="15"/>
  <c r="B8316" i="15"/>
  <c r="B8317" i="15"/>
  <c r="B8318" i="15"/>
  <c r="B8319" i="15"/>
  <c r="B8320" i="15"/>
  <c r="B8321" i="15"/>
  <c r="B8322" i="15"/>
  <c r="B8323" i="15"/>
  <c r="B8324" i="15"/>
  <c r="B8325" i="15"/>
  <c r="B8326" i="15"/>
  <c r="B8327" i="15"/>
  <c r="B8328" i="15"/>
  <c r="B8329" i="15"/>
  <c r="B8330" i="15"/>
  <c r="B8331" i="15"/>
  <c r="B8332" i="15"/>
  <c r="B8333" i="15"/>
  <c r="B8334" i="15"/>
  <c r="B8335" i="15"/>
  <c r="B8336" i="15"/>
  <c r="B8337" i="15"/>
  <c r="B8338" i="15"/>
  <c r="B8339" i="15"/>
  <c r="B8340" i="15"/>
  <c r="B8341" i="15"/>
  <c r="B8342" i="15"/>
  <c r="B8343" i="15"/>
  <c r="B8344" i="15"/>
  <c r="B8345" i="15"/>
  <c r="B8346" i="15"/>
  <c r="B8347" i="15"/>
  <c r="B8348" i="15"/>
  <c r="B8349" i="15"/>
  <c r="B8350" i="15"/>
  <c r="B8351" i="15"/>
  <c r="B8352" i="15"/>
  <c r="B8353" i="15"/>
  <c r="B8354" i="15"/>
  <c r="B8355" i="15"/>
  <c r="B8356" i="15"/>
  <c r="B8357" i="15"/>
  <c r="B8358" i="15"/>
  <c r="B8359" i="15"/>
  <c r="B8360" i="15"/>
  <c r="B8361" i="15"/>
  <c r="B8362" i="15"/>
  <c r="B8363" i="15"/>
  <c r="B8364" i="15"/>
  <c r="B8365" i="15"/>
  <c r="B8366" i="15"/>
  <c r="B8367" i="15"/>
  <c r="B8368" i="15"/>
  <c r="B8369" i="15"/>
  <c r="B8370" i="15"/>
  <c r="B8371" i="15"/>
  <c r="B8372" i="15"/>
  <c r="B8373" i="15"/>
  <c r="B8374" i="15"/>
  <c r="B8375" i="15"/>
  <c r="B8376" i="15"/>
  <c r="B8377" i="15"/>
  <c r="B8378" i="15"/>
  <c r="B8379" i="15"/>
  <c r="B8380" i="15"/>
  <c r="B8381" i="15"/>
  <c r="B8382" i="15"/>
  <c r="B8383" i="15"/>
  <c r="B8384" i="15"/>
  <c r="B8385" i="15"/>
  <c r="B8386" i="15"/>
  <c r="B8387" i="15"/>
  <c r="B8388" i="15"/>
  <c r="B8389" i="15"/>
  <c r="B8390" i="15"/>
  <c r="B8391" i="15"/>
  <c r="B8392" i="15"/>
  <c r="B8393" i="15"/>
  <c r="B8394" i="15"/>
  <c r="B8395" i="15"/>
  <c r="B8396" i="15"/>
  <c r="B8397" i="15"/>
  <c r="B8398" i="15"/>
  <c r="B8399" i="15"/>
  <c r="B8400" i="15"/>
  <c r="B8401" i="15"/>
  <c r="B8402" i="15"/>
  <c r="B8403" i="15"/>
  <c r="B8404" i="15"/>
  <c r="B8405" i="15"/>
  <c r="B8406" i="15"/>
  <c r="B8407" i="15"/>
  <c r="B8408" i="15"/>
  <c r="B8409" i="15"/>
  <c r="B8410" i="15"/>
  <c r="B8411" i="15"/>
  <c r="B8412" i="15"/>
  <c r="B8413" i="15"/>
  <c r="B8414" i="15"/>
  <c r="B8415" i="15"/>
  <c r="B8416" i="15"/>
  <c r="B8417" i="15"/>
  <c r="B8418" i="15"/>
  <c r="B8419" i="15"/>
  <c r="B8420" i="15"/>
  <c r="B8421" i="15"/>
  <c r="B8422" i="15"/>
  <c r="B8423" i="15"/>
  <c r="B8424" i="15"/>
  <c r="B8425" i="15"/>
  <c r="B8426" i="15"/>
  <c r="B8427" i="15"/>
  <c r="B8428" i="15"/>
  <c r="B8429" i="15"/>
  <c r="B8430" i="15"/>
  <c r="B8431" i="15"/>
  <c r="B8432" i="15"/>
  <c r="B8433" i="15"/>
  <c r="B8434" i="15"/>
  <c r="B8435" i="15"/>
  <c r="B8436" i="15"/>
  <c r="B8437" i="15"/>
  <c r="B8438" i="15"/>
  <c r="B8439" i="15"/>
  <c r="B8440" i="15"/>
  <c r="B8441" i="15"/>
  <c r="B8442" i="15"/>
  <c r="B8443" i="15"/>
  <c r="B8444" i="15"/>
  <c r="B8445" i="15"/>
  <c r="B8446" i="15"/>
  <c r="B8447" i="15"/>
  <c r="B8448" i="15"/>
  <c r="B8449" i="15"/>
  <c r="B8450" i="15"/>
  <c r="B8451" i="15"/>
  <c r="B8452" i="15"/>
  <c r="B8453" i="15"/>
  <c r="B8454" i="15"/>
  <c r="B8455" i="15"/>
  <c r="B8456" i="15"/>
  <c r="B8457" i="15"/>
  <c r="B8458" i="15"/>
  <c r="B8459" i="15"/>
  <c r="B8460" i="15"/>
  <c r="B8461" i="15"/>
  <c r="B8462" i="15"/>
  <c r="B8463" i="15"/>
  <c r="B8464" i="15"/>
  <c r="B8465" i="15"/>
  <c r="B8466" i="15"/>
  <c r="B8467" i="15"/>
  <c r="B8468" i="15"/>
  <c r="B8469" i="15"/>
  <c r="B8470" i="15"/>
  <c r="B8471" i="15"/>
  <c r="B8472" i="15"/>
  <c r="B8473" i="15"/>
  <c r="B8474" i="15"/>
  <c r="B8475" i="15"/>
  <c r="B8476" i="15"/>
  <c r="B8477" i="15"/>
  <c r="B8478" i="15"/>
  <c r="B8479" i="15"/>
  <c r="B8480" i="15"/>
  <c r="B8481" i="15"/>
  <c r="B8482" i="15"/>
  <c r="B8483" i="15"/>
  <c r="B8484" i="15"/>
  <c r="B8485" i="15"/>
  <c r="B8486" i="15"/>
  <c r="B8487" i="15"/>
  <c r="B8488" i="15"/>
  <c r="B8489" i="15"/>
  <c r="B8490" i="15"/>
  <c r="B8491" i="15"/>
  <c r="B8492" i="15"/>
  <c r="B8493" i="15"/>
  <c r="B8494" i="15"/>
  <c r="B8495" i="15"/>
  <c r="B8496" i="15"/>
  <c r="B8497" i="15"/>
  <c r="B8498" i="15"/>
  <c r="B8499" i="15"/>
  <c r="B8500" i="15"/>
  <c r="B8501" i="15"/>
  <c r="B8502" i="15"/>
  <c r="B8503" i="15"/>
  <c r="B8504" i="15"/>
  <c r="B8505" i="15"/>
  <c r="B8506" i="15"/>
  <c r="B8507" i="15"/>
  <c r="B8508" i="15"/>
  <c r="B8509" i="15"/>
  <c r="B8510" i="15"/>
  <c r="B8511" i="15"/>
  <c r="B8512" i="15"/>
  <c r="B8513" i="15"/>
  <c r="B8514" i="15"/>
  <c r="B8515" i="15"/>
  <c r="B8516" i="15"/>
  <c r="B8517" i="15"/>
  <c r="B8518" i="15"/>
  <c r="B8519" i="15"/>
  <c r="B8520" i="15"/>
  <c r="B8521" i="15"/>
  <c r="B8522" i="15"/>
  <c r="B8523" i="15"/>
  <c r="B8524" i="15"/>
  <c r="B8525" i="15"/>
  <c r="B8526" i="15"/>
  <c r="B8527" i="15"/>
  <c r="B8528" i="15"/>
  <c r="B8529" i="15"/>
  <c r="B8530" i="15"/>
  <c r="B8531" i="15"/>
  <c r="B8532" i="15"/>
  <c r="B8533" i="15"/>
  <c r="B8534" i="15"/>
  <c r="B8535" i="15"/>
  <c r="B8536" i="15"/>
  <c r="B8537" i="15"/>
  <c r="B8538" i="15"/>
  <c r="B8539" i="15"/>
  <c r="B8540" i="15"/>
  <c r="B8541" i="15"/>
  <c r="B8542" i="15"/>
  <c r="B8543" i="15"/>
  <c r="B8544" i="15"/>
  <c r="B8545" i="15"/>
  <c r="B8546" i="15"/>
  <c r="B8547" i="15"/>
  <c r="B8548" i="15"/>
  <c r="B8549" i="15"/>
  <c r="B8550" i="15"/>
  <c r="B8551" i="15"/>
  <c r="B8552" i="15"/>
  <c r="B8553" i="15"/>
  <c r="B8554" i="15"/>
  <c r="B8555" i="15"/>
  <c r="B8556" i="15"/>
  <c r="B8557" i="15"/>
  <c r="B8558" i="15"/>
  <c r="B8559" i="15"/>
  <c r="B8560" i="15"/>
  <c r="B8561" i="15"/>
  <c r="B8562" i="15"/>
  <c r="B8563" i="15"/>
  <c r="B8564" i="15"/>
  <c r="B8565" i="15"/>
  <c r="B8566" i="15"/>
  <c r="B8567" i="15"/>
  <c r="B8568" i="15"/>
  <c r="B8569" i="15"/>
  <c r="B8570" i="15"/>
  <c r="B8571" i="15"/>
  <c r="B8572" i="15"/>
  <c r="B8573" i="15"/>
  <c r="B8574" i="15"/>
  <c r="B8575" i="15"/>
  <c r="B8576" i="15"/>
  <c r="B8577" i="15"/>
  <c r="B8578" i="15"/>
  <c r="B8579" i="15"/>
  <c r="B8580" i="15"/>
  <c r="B8581" i="15"/>
  <c r="B8582" i="15"/>
  <c r="B8583" i="15"/>
  <c r="B8584" i="15"/>
  <c r="B8585" i="15"/>
  <c r="B8586" i="15"/>
  <c r="B8587" i="15"/>
  <c r="B8588" i="15"/>
  <c r="B8589" i="15"/>
  <c r="B8590" i="15"/>
  <c r="B8591" i="15"/>
  <c r="B8592" i="15"/>
  <c r="B8593" i="15"/>
  <c r="B8594" i="15"/>
  <c r="B8595" i="15"/>
  <c r="B8596" i="15"/>
  <c r="B8597" i="15"/>
  <c r="B8598" i="15"/>
  <c r="B8599" i="15"/>
  <c r="B8600" i="15"/>
  <c r="B8601" i="15"/>
  <c r="B8602" i="15"/>
  <c r="B8603" i="15"/>
  <c r="B8604" i="15"/>
  <c r="B8605" i="15"/>
  <c r="B8606" i="15"/>
  <c r="B8607" i="15"/>
  <c r="B8608" i="15"/>
  <c r="B8609" i="15"/>
  <c r="B8610" i="15"/>
  <c r="B8611" i="15"/>
  <c r="B8612" i="15"/>
  <c r="B8613" i="15"/>
  <c r="B8614" i="15"/>
  <c r="B8615" i="15"/>
  <c r="B8616" i="15"/>
  <c r="B8617" i="15"/>
  <c r="B8618" i="15"/>
  <c r="B8619" i="15"/>
  <c r="B8620" i="15"/>
  <c r="B8621" i="15"/>
  <c r="B8622" i="15"/>
  <c r="B8623" i="15"/>
  <c r="B8624" i="15"/>
  <c r="B8625" i="15"/>
  <c r="B8626" i="15"/>
  <c r="B8627" i="15"/>
  <c r="B8628" i="15"/>
  <c r="B8629" i="15"/>
  <c r="B8630" i="15"/>
  <c r="B8631" i="15"/>
  <c r="B8632" i="15"/>
  <c r="B8633" i="15"/>
  <c r="B8634" i="15"/>
  <c r="B8635" i="15"/>
  <c r="B8636" i="15"/>
  <c r="B8637" i="15"/>
  <c r="B8638" i="15"/>
  <c r="B8639" i="15"/>
  <c r="B8640" i="15"/>
  <c r="B8641" i="15"/>
  <c r="B8642" i="15"/>
  <c r="B8643" i="15"/>
  <c r="B8644" i="15"/>
  <c r="B8645" i="15"/>
  <c r="B8646" i="15"/>
  <c r="B8647" i="15"/>
  <c r="B8648" i="15"/>
  <c r="B8649" i="15"/>
  <c r="B8650" i="15"/>
  <c r="B8651" i="15"/>
  <c r="B8652" i="15"/>
  <c r="B8653" i="15"/>
  <c r="B8654" i="15"/>
  <c r="B8655" i="15"/>
  <c r="B8656" i="15"/>
  <c r="B8657" i="15"/>
  <c r="B8658" i="15"/>
  <c r="B8659" i="15"/>
  <c r="B8660" i="15"/>
  <c r="B8661" i="15"/>
  <c r="B8662" i="15"/>
  <c r="B8663" i="15"/>
  <c r="B8664" i="15"/>
  <c r="B8665" i="15"/>
  <c r="B8666" i="15"/>
  <c r="B8667" i="15"/>
  <c r="B8668" i="15"/>
  <c r="B8669" i="15"/>
  <c r="B8670" i="15"/>
  <c r="B8671" i="15"/>
  <c r="B8672" i="15"/>
  <c r="B8673" i="15"/>
  <c r="B8674" i="15"/>
  <c r="B8675" i="15"/>
  <c r="B8676" i="15"/>
  <c r="B8677" i="15"/>
  <c r="B8678" i="15"/>
  <c r="B8679" i="15"/>
  <c r="B8680" i="15"/>
  <c r="B8681" i="15"/>
  <c r="B8682" i="15"/>
  <c r="B8683" i="15"/>
  <c r="B8684" i="15"/>
  <c r="B8685" i="15"/>
  <c r="B8686" i="15"/>
  <c r="B8687" i="15"/>
  <c r="B8688" i="15"/>
  <c r="B8689" i="15"/>
  <c r="B8690" i="15"/>
  <c r="B8691" i="15"/>
  <c r="B8692" i="15"/>
  <c r="B8693" i="15"/>
  <c r="B8694" i="15"/>
  <c r="B8695" i="15"/>
  <c r="B8696" i="15"/>
  <c r="B8697" i="15"/>
  <c r="B8698" i="15"/>
  <c r="B8699" i="15"/>
  <c r="B8700" i="15"/>
  <c r="B8701" i="15"/>
  <c r="B8702" i="15"/>
  <c r="B8703" i="15"/>
  <c r="B8704" i="15"/>
  <c r="B8705" i="15"/>
  <c r="B8706" i="15"/>
  <c r="B8707" i="15"/>
  <c r="B8708" i="15"/>
  <c r="B8709" i="15"/>
  <c r="B8710" i="15"/>
  <c r="B8711" i="15"/>
  <c r="B8712" i="15"/>
  <c r="B8713" i="15"/>
  <c r="B8714" i="15"/>
  <c r="B8715" i="15"/>
  <c r="B8716" i="15"/>
  <c r="B8717" i="15"/>
  <c r="B8718" i="15"/>
  <c r="B8719" i="15"/>
  <c r="B8720" i="15"/>
  <c r="B8721" i="15"/>
  <c r="B8722" i="15"/>
  <c r="B8723" i="15"/>
  <c r="B8724" i="15"/>
  <c r="B8725" i="15"/>
  <c r="B8726" i="15"/>
  <c r="B8727" i="15"/>
  <c r="B8728" i="15"/>
  <c r="B8729" i="15"/>
  <c r="B8730" i="15"/>
  <c r="B8731" i="15"/>
  <c r="B8732" i="15"/>
  <c r="B8733" i="15"/>
  <c r="B8734" i="15"/>
  <c r="B8735" i="15"/>
  <c r="B8736" i="15"/>
  <c r="B8737" i="15"/>
  <c r="B8738" i="15"/>
  <c r="B8739" i="15"/>
  <c r="B8740" i="15"/>
  <c r="B8741" i="15"/>
  <c r="B8742" i="15"/>
  <c r="B8743" i="15"/>
  <c r="B8744" i="15"/>
  <c r="B8745" i="15"/>
  <c r="B8746" i="15"/>
  <c r="B8747" i="15"/>
  <c r="B8748" i="15"/>
  <c r="B8749" i="15"/>
  <c r="B8750" i="15"/>
  <c r="B8751" i="15"/>
  <c r="B8752" i="15"/>
  <c r="B8753" i="15"/>
  <c r="B8754" i="15"/>
  <c r="B8755" i="15"/>
  <c r="B8756" i="15"/>
  <c r="B8757" i="15"/>
  <c r="B8758" i="15"/>
  <c r="B8759" i="15"/>
  <c r="B8760" i="15"/>
  <c r="B8761" i="15"/>
  <c r="B8762" i="15"/>
  <c r="B8763" i="15"/>
  <c r="B8764" i="15"/>
  <c r="B8765" i="15"/>
  <c r="B8766" i="15"/>
  <c r="B8767" i="15"/>
  <c r="B8768" i="15"/>
  <c r="B8769" i="15"/>
  <c r="B8770" i="15"/>
  <c r="B8771" i="15"/>
  <c r="B8772" i="15"/>
  <c r="B8773" i="15"/>
  <c r="B8774" i="15"/>
  <c r="B8775" i="15"/>
  <c r="B8776" i="15"/>
  <c r="B8777" i="15"/>
  <c r="B8778" i="15"/>
  <c r="B8779" i="15"/>
  <c r="B8780" i="15"/>
  <c r="B8781" i="15"/>
  <c r="B8782" i="15"/>
  <c r="B8783" i="15"/>
  <c r="B8784" i="15"/>
  <c r="B8785" i="15"/>
  <c r="B8786" i="15"/>
  <c r="B8787" i="15"/>
  <c r="B8788" i="15"/>
  <c r="B8789" i="15"/>
  <c r="B8790" i="15"/>
  <c r="B8791" i="15"/>
  <c r="B8792" i="15"/>
  <c r="B8793" i="15"/>
  <c r="B8794" i="15"/>
  <c r="B8795" i="15"/>
  <c r="B8796" i="15"/>
  <c r="B8797" i="15"/>
  <c r="B8798" i="15"/>
  <c r="B8799" i="15"/>
  <c r="B8800" i="15"/>
  <c r="B8801" i="15"/>
  <c r="B8802" i="15"/>
  <c r="B8803" i="15"/>
  <c r="B8804" i="15"/>
  <c r="B8805" i="15"/>
  <c r="B8806" i="15"/>
  <c r="B8807" i="15"/>
  <c r="B8808" i="15"/>
  <c r="B8809" i="15"/>
  <c r="B8810" i="15"/>
  <c r="B8811" i="15"/>
  <c r="B8812" i="15"/>
  <c r="B8813" i="15"/>
  <c r="B8814" i="15"/>
  <c r="B8815" i="15"/>
  <c r="B8816" i="15"/>
  <c r="B8817" i="15"/>
  <c r="B8818" i="15"/>
  <c r="B8819" i="15"/>
  <c r="B8820" i="15"/>
  <c r="B8821" i="15"/>
  <c r="B8822" i="15"/>
  <c r="B8823" i="15"/>
  <c r="B8824" i="15"/>
  <c r="B8825" i="15"/>
  <c r="B8826" i="15"/>
  <c r="B8827" i="15"/>
  <c r="B8828" i="15"/>
  <c r="B8829" i="15"/>
  <c r="B8830" i="15"/>
  <c r="B8831" i="15"/>
  <c r="B8832" i="15"/>
  <c r="B8833" i="15"/>
  <c r="B8834" i="15"/>
  <c r="B8835" i="15"/>
  <c r="B8836" i="15"/>
  <c r="B8837" i="15"/>
  <c r="B8838" i="15"/>
  <c r="B8839" i="15"/>
  <c r="B8840" i="15"/>
  <c r="B8841" i="15"/>
  <c r="B8842" i="15"/>
  <c r="B8843" i="15"/>
  <c r="B8844" i="15"/>
  <c r="B8845" i="15"/>
  <c r="B8846" i="15"/>
  <c r="B8847" i="15"/>
  <c r="B8848" i="15"/>
  <c r="B8849" i="15"/>
  <c r="B8850" i="15"/>
  <c r="B8851" i="15"/>
  <c r="B8852" i="15"/>
  <c r="B8853" i="15"/>
  <c r="B8854" i="15"/>
  <c r="B8855" i="15"/>
  <c r="B8856" i="15"/>
  <c r="B8857" i="15"/>
  <c r="B8858" i="15"/>
  <c r="B8859" i="15"/>
  <c r="B8860" i="15"/>
  <c r="B8861" i="15"/>
  <c r="B8862" i="15"/>
  <c r="B8863" i="15"/>
  <c r="B8864" i="15"/>
  <c r="B8865" i="15"/>
  <c r="B8866" i="15"/>
  <c r="B8867" i="15"/>
  <c r="B8868" i="15"/>
  <c r="B8869" i="15"/>
  <c r="B8870" i="15"/>
  <c r="B8871" i="15"/>
  <c r="B8872" i="15"/>
  <c r="B8873" i="15"/>
  <c r="B8874" i="15"/>
  <c r="B8875" i="15"/>
  <c r="B8876" i="15"/>
  <c r="B8877" i="15"/>
  <c r="B8878" i="15"/>
  <c r="B8879" i="15"/>
  <c r="B8880" i="15"/>
  <c r="B8881" i="15"/>
  <c r="B8882" i="15"/>
  <c r="B8883" i="15"/>
  <c r="B8884" i="15"/>
  <c r="B8885" i="15"/>
  <c r="B8886" i="15"/>
  <c r="B8887" i="15"/>
  <c r="B8888" i="15"/>
  <c r="B8889" i="15"/>
  <c r="B8890" i="15"/>
  <c r="B8891" i="15"/>
  <c r="B8892" i="15"/>
  <c r="B8893" i="15"/>
  <c r="B8894" i="15"/>
  <c r="B8895" i="15"/>
  <c r="B8896" i="15"/>
  <c r="B8897" i="15"/>
  <c r="B8898" i="15"/>
  <c r="B8899" i="15"/>
  <c r="B8900" i="15"/>
  <c r="B8901" i="15"/>
  <c r="B8902" i="15"/>
  <c r="B8903" i="15"/>
  <c r="B8904" i="15"/>
  <c r="B8905" i="15"/>
  <c r="B8906" i="15"/>
  <c r="B8907" i="15"/>
  <c r="B8908" i="15"/>
  <c r="B8909" i="15"/>
  <c r="B8910" i="15"/>
  <c r="B8911" i="15"/>
  <c r="B8912" i="15"/>
  <c r="B8913" i="15"/>
  <c r="B8914" i="15"/>
  <c r="B8915" i="15"/>
  <c r="B8916" i="15"/>
  <c r="B8917" i="15"/>
  <c r="B8918" i="15"/>
  <c r="B8919" i="15"/>
  <c r="B8920" i="15"/>
  <c r="B8921" i="15"/>
  <c r="B8922" i="15"/>
  <c r="B8923" i="15"/>
  <c r="B8924" i="15"/>
  <c r="B8925" i="15"/>
  <c r="B8926" i="15"/>
  <c r="B8927" i="15"/>
  <c r="B8928" i="15"/>
  <c r="B8929" i="15"/>
  <c r="B8930" i="15"/>
  <c r="B8931" i="15"/>
  <c r="B8932" i="15"/>
  <c r="B8933" i="15"/>
  <c r="B8934" i="15"/>
  <c r="B8935" i="15"/>
  <c r="B8936" i="15"/>
  <c r="B8937" i="15"/>
  <c r="B8938" i="15"/>
  <c r="B8939" i="15"/>
  <c r="B8940" i="15"/>
  <c r="B8941" i="15"/>
  <c r="B8942" i="15"/>
  <c r="B8943" i="15"/>
  <c r="B8944" i="15"/>
  <c r="B8945" i="15"/>
  <c r="B8946" i="15"/>
  <c r="B8947" i="15"/>
  <c r="B8948" i="15"/>
  <c r="B8949" i="15"/>
  <c r="B8950" i="15"/>
  <c r="B8951" i="15"/>
  <c r="B8952" i="15"/>
  <c r="B8953" i="15"/>
  <c r="B8954" i="15"/>
  <c r="B8955" i="15"/>
  <c r="B8956" i="15"/>
  <c r="B8957" i="15"/>
  <c r="B8958" i="15"/>
  <c r="B8959" i="15"/>
  <c r="B8960" i="15"/>
  <c r="B8961" i="15"/>
  <c r="B8962" i="15"/>
  <c r="B8963" i="15"/>
  <c r="B8964" i="15"/>
  <c r="B8965" i="15"/>
  <c r="B8966" i="15"/>
  <c r="B8967" i="15"/>
  <c r="B8968" i="15"/>
  <c r="B8969" i="15"/>
  <c r="B8970" i="15"/>
  <c r="B8971" i="15"/>
  <c r="B8972" i="15"/>
  <c r="B8973" i="15"/>
  <c r="B8974" i="15"/>
  <c r="B8975" i="15"/>
  <c r="B8976" i="15"/>
  <c r="B8977" i="15"/>
  <c r="B8978" i="15"/>
  <c r="B8979" i="15"/>
  <c r="B8980" i="15"/>
  <c r="B8981" i="15"/>
  <c r="B8982" i="15"/>
  <c r="B8983" i="15"/>
  <c r="B8984" i="15"/>
  <c r="B8985" i="15"/>
  <c r="B8986" i="15"/>
  <c r="B8987" i="15"/>
  <c r="B8988" i="15"/>
  <c r="B8989" i="15"/>
  <c r="B8990" i="15"/>
  <c r="B8991" i="15"/>
  <c r="B8992" i="15"/>
  <c r="B8993" i="15"/>
  <c r="B8994" i="15"/>
  <c r="B8995" i="15"/>
  <c r="B8996" i="15"/>
  <c r="B8997" i="15"/>
  <c r="B8998" i="15"/>
  <c r="B8999" i="15"/>
  <c r="B9000" i="15"/>
  <c r="B9001" i="15"/>
  <c r="B9002" i="15"/>
  <c r="B9003" i="15"/>
  <c r="B9004" i="15"/>
  <c r="B9005" i="15"/>
  <c r="B9006" i="15"/>
  <c r="B9007" i="15"/>
  <c r="B9008" i="15"/>
  <c r="B9009" i="15"/>
  <c r="B9010" i="15"/>
  <c r="B9011" i="15"/>
  <c r="B9012" i="15"/>
  <c r="B9013" i="15"/>
  <c r="B9014" i="15"/>
  <c r="B9015" i="15"/>
  <c r="B9016" i="15"/>
  <c r="B9017" i="15"/>
  <c r="B9018" i="15"/>
  <c r="B9019" i="15"/>
  <c r="B9020" i="15"/>
  <c r="B9021" i="15"/>
  <c r="B9022" i="15"/>
  <c r="B9023" i="15"/>
  <c r="B9024" i="15"/>
  <c r="B9025" i="15"/>
  <c r="B9026" i="15"/>
  <c r="B9027" i="15"/>
  <c r="B9028" i="15"/>
  <c r="B9029" i="15"/>
  <c r="B9030" i="15"/>
  <c r="B9031" i="15"/>
  <c r="B9032" i="15"/>
  <c r="B9033" i="15"/>
  <c r="B9034" i="15"/>
  <c r="B9035" i="15"/>
  <c r="B9036" i="15"/>
  <c r="B9037" i="15"/>
  <c r="B9038" i="15"/>
  <c r="B9039" i="15"/>
  <c r="B9040" i="15"/>
  <c r="B9041" i="15"/>
  <c r="B9042" i="15"/>
  <c r="B9043" i="15"/>
  <c r="B9044" i="15"/>
  <c r="B9045" i="15"/>
  <c r="B9046" i="15"/>
  <c r="B9047" i="15"/>
  <c r="B9048" i="15"/>
  <c r="B9049" i="15"/>
  <c r="B9050" i="15"/>
  <c r="B9051" i="15"/>
  <c r="B9052" i="15"/>
  <c r="B9053" i="15"/>
  <c r="B9054" i="15"/>
  <c r="B9055" i="15"/>
  <c r="B9056" i="15"/>
  <c r="B9057" i="15"/>
  <c r="B9058" i="15"/>
  <c r="B9059" i="15"/>
  <c r="B9060" i="15"/>
  <c r="B9061" i="15"/>
  <c r="B9062" i="15"/>
  <c r="B9063" i="15"/>
  <c r="B9064" i="15"/>
  <c r="B9065" i="15"/>
  <c r="B9066" i="15"/>
  <c r="B9067" i="15"/>
  <c r="B9068" i="15"/>
  <c r="B9069" i="15"/>
  <c r="B9070" i="15"/>
  <c r="B9071" i="15"/>
  <c r="B9072" i="15"/>
  <c r="B9073" i="15"/>
  <c r="B9074" i="15"/>
  <c r="B9075" i="15"/>
  <c r="B9076" i="15"/>
  <c r="B9077" i="15"/>
  <c r="B9078" i="15"/>
  <c r="B9079" i="15"/>
  <c r="B9080" i="15"/>
  <c r="B9081" i="15"/>
  <c r="B9082" i="15"/>
  <c r="B9083" i="15"/>
  <c r="B9084" i="15"/>
  <c r="B9085" i="15"/>
  <c r="B9086" i="15"/>
  <c r="B9087" i="15"/>
  <c r="B9088" i="15"/>
  <c r="B9089" i="15"/>
  <c r="B9090" i="15"/>
  <c r="B9091" i="15"/>
  <c r="B9092" i="15"/>
  <c r="B9093" i="15"/>
  <c r="B9094" i="15"/>
  <c r="B9095" i="15"/>
  <c r="B9096" i="15"/>
  <c r="B9097" i="15"/>
  <c r="B9098" i="15"/>
  <c r="B9099" i="15"/>
  <c r="B9100" i="15"/>
  <c r="B9101" i="15"/>
  <c r="B9102" i="15"/>
  <c r="B9103" i="15"/>
  <c r="B9104" i="15"/>
  <c r="B9105" i="15"/>
  <c r="B9106" i="15"/>
  <c r="B9107" i="15"/>
  <c r="B9108" i="15"/>
  <c r="B9109" i="15"/>
  <c r="B9110" i="15"/>
  <c r="B9111" i="15"/>
  <c r="B9112" i="15"/>
  <c r="B9113" i="15"/>
  <c r="B9114" i="15"/>
  <c r="B9115" i="15"/>
  <c r="B9116" i="15"/>
  <c r="B9117" i="15"/>
  <c r="B9118" i="15"/>
  <c r="B9119" i="15"/>
  <c r="B9120" i="15"/>
  <c r="B9121" i="15"/>
  <c r="B9122" i="15"/>
  <c r="B9123" i="15"/>
  <c r="B9124" i="15"/>
  <c r="B9125" i="15"/>
  <c r="B9126" i="15"/>
  <c r="B9127" i="15"/>
  <c r="B9128" i="15"/>
  <c r="B9129" i="15"/>
  <c r="B9130" i="15"/>
  <c r="B9131" i="15"/>
  <c r="B9132" i="15"/>
  <c r="B9133" i="15"/>
  <c r="B9134" i="15"/>
  <c r="B9135" i="15"/>
  <c r="B9136" i="15"/>
  <c r="B9137" i="15"/>
  <c r="B9138" i="15"/>
  <c r="B9139" i="15"/>
  <c r="B9140" i="15"/>
  <c r="B9141" i="15"/>
  <c r="B9142" i="15"/>
  <c r="B9143" i="15"/>
  <c r="B9144" i="15"/>
  <c r="B9145" i="15"/>
  <c r="B9146" i="15"/>
  <c r="B9147" i="15"/>
  <c r="B9148" i="15"/>
  <c r="B9149" i="15"/>
  <c r="B9150" i="15"/>
  <c r="B9151" i="15"/>
  <c r="B9152" i="15"/>
  <c r="B9153" i="15"/>
  <c r="B9154" i="15"/>
  <c r="B9155" i="15"/>
  <c r="B9156" i="15"/>
  <c r="B9157" i="15"/>
  <c r="B9158" i="15"/>
  <c r="B9159" i="15"/>
  <c r="B9160" i="15"/>
  <c r="B9161" i="15"/>
  <c r="B9162" i="15"/>
  <c r="B9163" i="15"/>
  <c r="B9164" i="15"/>
  <c r="B9165" i="15"/>
  <c r="B9166" i="15"/>
  <c r="B9167" i="15"/>
  <c r="B9168" i="15"/>
  <c r="B9169" i="15"/>
  <c r="B9170" i="15"/>
  <c r="B9171" i="15"/>
  <c r="B9172" i="15"/>
  <c r="B9173" i="15"/>
  <c r="B9174" i="15"/>
  <c r="B9175" i="15"/>
  <c r="B9176" i="15"/>
  <c r="B9177" i="15"/>
  <c r="B9178" i="15"/>
  <c r="B9179" i="15"/>
  <c r="B9180" i="15"/>
  <c r="B9181" i="15"/>
  <c r="B9182" i="15"/>
  <c r="B9183" i="15"/>
  <c r="B9184" i="15"/>
  <c r="B9185" i="15"/>
  <c r="B9186" i="15"/>
  <c r="B9187" i="15"/>
  <c r="B9188" i="15"/>
  <c r="B9189" i="15"/>
  <c r="B9190" i="15"/>
  <c r="B9191" i="15"/>
  <c r="B9192" i="15"/>
  <c r="B9193" i="15"/>
  <c r="B9194" i="15"/>
  <c r="B9195" i="15"/>
  <c r="B9196" i="15"/>
  <c r="B9197" i="15"/>
  <c r="B9198" i="15"/>
  <c r="B9199" i="15"/>
  <c r="B9200" i="15"/>
  <c r="B9201" i="15"/>
  <c r="B9202" i="15"/>
  <c r="B9203" i="15"/>
  <c r="B9204" i="15"/>
  <c r="B9205" i="15"/>
  <c r="B9206" i="15"/>
  <c r="B9207" i="15"/>
  <c r="B9208" i="15"/>
  <c r="B9209" i="15"/>
  <c r="B9210" i="15"/>
  <c r="B9211" i="15"/>
  <c r="B9212" i="15"/>
  <c r="B9213" i="15"/>
  <c r="B9214" i="15"/>
  <c r="B9215" i="15"/>
  <c r="B9216" i="15"/>
  <c r="B9217" i="15"/>
  <c r="B9218" i="15"/>
  <c r="B9219" i="15"/>
  <c r="B9220" i="15"/>
  <c r="B9221" i="15"/>
  <c r="B9222" i="15"/>
  <c r="B9223" i="15"/>
  <c r="B9224" i="15"/>
  <c r="B9225" i="15"/>
  <c r="B9226" i="15"/>
  <c r="B9227" i="15"/>
  <c r="B9228" i="15"/>
  <c r="B9229" i="15"/>
  <c r="B9230" i="15"/>
  <c r="B9231" i="15"/>
  <c r="B9232" i="15"/>
  <c r="B9233" i="15"/>
  <c r="B9234" i="15"/>
  <c r="B9235" i="15"/>
  <c r="B9236" i="15"/>
  <c r="B9237" i="15"/>
  <c r="B9238" i="15"/>
  <c r="B9239" i="15"/>
  <c r="B9240" i="15"/>
  <c r="B9241" i="15"/>
  <c r="B9242" i="15"/>
  <c r="B9243" i="15"/>
  <c r="B9244" i="15"/>
  <c r="B9245" i="15"/>
  <c r="B9246" i="15"/>
  <c r="B9247" i="15"/>
  <c r="B9248" i="15"/>
  <c r="B9249" i="15"/>
  <c r="B9250" i="15"/>
  <c r="B9251" i="15"/>
  <c r="B9252" i="15"/>
  <c r="B9253" i="15"/>
  <c r="B9254" i="15"/>
  <c r="B9255" i="15"/>
  <c r="B9256" i="15"/>
  <c r="B9257" i="15"/>
  <c r="B9258" i="15"/>
  <c r="B9259" i="15"/>
  <c r="B9260" i="15"/>
  <c r="B9261" i="15"/>
  <c r="B9262" i="15"/>
  <c r="B9263" i="15"/>
  <c r="B9264" i="15"/>
  <c r="B9265" i="15"/>
  <c r="B9266" i="15"/>
  <c r="B9267" i="15"/>
  <c r="B9268" i="15"/>
  <c r="B9269" i="15"/>
  <c r="B9270" i="15"/>
  <c r="B9271" i="15"/>
  <c r="B9272" i="15"/>
  <c r="B9273" i="15"/>
  <c r="B9274" i="15"/>
  <c r="B9275" i="15"/>
  <c r="B9276" i="15"/>
  <c r="B9277" i="15"/>
  <c r="B9278" i="15"/>
  <c r="B9279" i="15"/>
  <c r="B9280" i="15"/>
  <c r="B9281" i="15"/>
  <c r="B9282" i="15"/>
  <c r="B9283" i="15"/>
  <c r="B9284" i="15"/>
  <c r="B9285" i="15"/>
  <c r="B9286" i="15"/>
  <c r="B9287" i="15"/>
  <c r="B9288" i="15"/>
  <c r="B9289" i="15"/>
  <c r="B9290" i="15"/>
  <c r="B9291" i="15"/>
  <c r="B9292" i="15"/>
  <c r="B9293" i="15"/>
  <c r="B9294" i="15"/>
  <c r="B9295" i="15"/>
  <c r="B9296" i="15"/>
  <c r="B9297" i="15"/>
  <c r="B9298" i="15"/>
  <c r="B9299" i="15"/>
  <c r="B9300" i="15"/>
  <c r="B9301" i="15"/>
  <c r="B9302" i="15"/>
  <c r="B9303" i="15"/>
  <c r="B9304" i="15"/>
  <c r="B9305" i="15"/>
  <c r="B9306" i="15"/>
  <c r="B9307" i="15"/>
  <c r="B9308" i="15"/>
  <c r="B9309" i="15"/>
  <c r="B9310" i="15"/>
  <c r="B9311" i="15"/>
  <c r="B9312" i="15"/>
  <c r="B9313" i="15"/>
  <c r="B9314" i="15"/>
  <c r="B9315" i="15"/>
  <c r="B9316" i="15"/>
  <c r="B9317" i="15"/>
  <c r="B9318" i="15"/>
  <c r="B9319" i="15"/>
  <c r="B9320" i="15"/>
  <c r="B9321" i="15"/>
  <c r="B9322" i="15"/>
  <c r="B9323" i="15"/>
  <c r="B9324" i="15"/>
  <c r="B9325" i="15"/>
  <c r="B9326" i="15"/>
  <c r="B9327" i="15"/>
  <c r="B9328" i="15"/>
  <c r="B9329" i="15"/>
  <c r="B9330" i="15"/>
  <c r="B9331" i="15"/>
  <c r="B9332" i="15"/>
  <c r="B9333" i="15"/>
  <c r="B9334" i="15"/>
  <c r="B9335" i="15"/>
  <c r="B9336" i="15"/>
  <c r="B9337" i="15"/>
  <c r="B9338" i="15"/>
  <c r="B9339" i="15"/>
  <c r="B9340" i="15"/>
  <c r="B9341" i="15"/>
  <c r="B9342" i="15"/>
  <c r="B9343" i="15"/>
  <c r="B9344" i="15"/>
  <c r="B9345" i="15"/>
  <c r="B9346" i="15"/>
  <c r="B9347" i="15"/>
  <c r="B9348" i="15"/>
  <c r="B9349" i="15"/>
  <c r="B9350" i="15"/>
  <c r="B9351" i="15"/>
  <c r="B9352" i="15"/>
  <c r="B9353" i="15"/>
  <c r="B9354" i="15"/>
  <c r="B9355" i="15"/>
  <c r="B9356" i="15"/>
  <c r="B9357" i="15"/>
  <c r="B9358" i="15"/>
  <c r="B9359" i="15"/>
  <c r="B9360" i="15"/>
  <c r="B9361" i="15"/>
  <c r="B9362" i="15"/>
  <c r="B9363" i="15"/>
  <c r="B9364" i="15"/>
  <c r="B9365" i="15"/>
  <c r="B9366" i="15"/>
  <c r="B9367" i="15"/>
  <c r="B9368" i="15"/>
  <c r="B9369" i="15"/>
  <c r="B9370" i="15"/>
  <c r="B9371" i="15"/>
  <c r="B9372" i="15"/>
  <c r="B9373" i="15"/>
  <c r="B9374" i="15"/>
  <c r="B9375" i="15"/>
  <c r="B9376" i="15"/>
  <c r="B9377" i="15"/>
  <c r="B9378" i="15"/>
  <c r="B9379" i="15"/>
  <c r="B9380" i="15"/>
  <c r="B9381" i="15"/>
  <c r="B9382" i="15"/>
  <c r="B9383" i="15"/>
  <c r="B9384" i="15"/>
  <c r="B9385" i="15"/>
  <c r="B9386" i="15"/>
  <c r="B9387" i="15"/>
  <c r="B9388" i="15"/>
  <c r="B9389" i="15"/>
  <c r="B9390" i="15"/>
  <c r="B9391" i="15"/>
  <c r="B9392" i="15"/>
  <c r="B9393" i="15"/>
  <c r="B9394" i="15"/>
  <c r="B9395" i="15"/>
  <c r="B9396" i="15"/>
  <c r="B9397" i="15"/>
  <c r="B9398" i="15"/>
  <c r="B9399" i="15"/>
  <c r="B9400" i="15"/>
  <c r="B9401" i="15"/>
  <c r="B9402" i="15"/>
  <c r="B9403" i="15"/>
  <c r="B9404" i="15"/>
  <c r="B9405" i="15"/>
  <c r="B9406" i="15"/>
  <c r="B9407" i="15"/>
  <c r="B9408" i="15"/>
  <c r="B9409" i="15"/>
  <c r="B9410" i="15"/>
  <c r="B9411" i="15"/>
  <c r="B9412" i="15"/>
  <c r="B9413" i="15"/>
  <c r="B9414" i="15"/>
  <c r="B9415" i="15"/>
  <c r="B9416" i="15"/>
  <c r="B9417" i="15"/>
  <c r="B9418" i="15"/>
  <c r="B9419" i="15"/>
  <c r="B9420" i="15"/>
  <c r="B9421" i="15"/>
  <c r="B9422" i="15"/>
  <c r="B9423" i="15"/>
  <c r="B9424" i="15"/>
  <c r="B9425" i="15"/>
  <c r="B9426" i="15"/>
  <c r="B9427" i="15"/>
  <c r="B9428" i="15"/>
  <c r="B9429" i="15"/>
  <c r="B9430" i="15"/>
  <c r="B9431" i="15"/>
  <c r="B9432" i="15"/>
  <c r="B9433" i="15"/>
  <c r="B9434" i="15"/>
  <c r="B9435" i="15"/>
  <c r="B9436" i="15"/>
  <c r="B9437" i="15"/>
  <c r="B9438" i="15"/>
  <c r="B9439" i="15"/>
  <c r="B9440" i="15"/>
  <c r="B9441" i="15"/>
  <c r="B9442" i="15"/>
  <c r="B9443" i="15"/>
  <c r="B9444" i="15"/>
  <c r="B9445" i="15"/>
  <c r="B9446" i="15"/>
  <c r="B9447" i="15"/>
  <c r="B9448" i="15"/>
  <c r="B9449" i="15"/>
  <c r="B9450" i="15"/>
  <c r="B9451" i="15"/>
  <c r="B9452" i="15"/>
  <c r="B9453" i="15"/>
  <c r="B9454" i="15"/>
  <c r="B9455" i="15"/>
  <c r="B9456" i="15"/>
  <c r="B9457" i="15"/>
  <c r="B9458" i="15"/>
  <c r="B9459" i="15"/>
  <c r="B9460" i="15"/>
  <c r="B9461" i="15"/>
  <c r="B9462" i="15"/>
  <c r="B9463" i="15"/>
  <c r="B9464" i="15"/>
  <c r="B9465" i="15"/>
  <c r="B9466" i="15"/>
  <c r="B9467" i="15"/>
  <c r="B9468" i="15"/>
  <c r="B9469" i="15"/>
  <c r="B9470" i="15"/>
  <c r="B9471" i="15"/>
  <c r="B9472" i="15"/>
  <c r="B9473" i="15"/>
  <c r="B9474" i="15"/>
  <c r="B9475" i="15"/>
  <c r="B9476" i="15"/>
  <c r="B9477" i="15"/>
  <c r="B9478" i="15"/>
  <c r="B9479" i="15"/>
  <c r="B9480" i="15"/>
  <c r="B9481" i="15"/>
  <c r="B9482" i="15"/>
  <c r="B9483" i="15"/>
  <c r="B9484" i="15"/>
  <c r="B9485" i="15"/>
  <c r="B9486" i="15"/>
  <c r="B9487" i="15"/>
  <c r="B9488" i="15"/>
  <c r="B9489" i="15"/>
  <c r="B9490" i="15"/>
  <c r="B9491" i="15"/>
  <c r="B9492" i="15"/>
  <c r="B9493" i="15"/>
  <c r="B9494" i="15"/>
  <c r="B9495" i="15"/>
  <c r="B9496" i="15"/>
  <c r="B9497" i="15"/>
  <c r="B9498" i="15"/>
  <c r="B9499" i="15"/>
  <c r="B9500" i="15"/>
  <c r="B9501" i="15"/>
  <c r="B9502" i="15"/>
  <c r="B9503" i="15"/>
  <c r="B9504" i="15"/>
  <c r="B9505" i="15"/>
  <c r="B9506" i="15"/>
  <c r="B9507" i="15"/>
  <c r="B9508" i="15"/>
  <c r="B9509" i="15"/>
  <c r="B9510" i="15"/>
  <c r="B9511" i="15"/>
  <c r="B9512" i="15"/>
  <c r="B9513" i="15"/>
  <c r="B9514" i="15"/>
  <c r="B9515" i="15"/>
  <c r="B9516" i="15"/>
  <c r="B9517" i="15"/>
  <c r="B9518" i="15"/>
  <c r="B9519" i="15"/>
  <c r="B9520" i="15"/>
  <c r="B9521" i="15"/>
  <c r="B9522" i="15"/>
  <c r="B9523" i="15"/>
  <c r="B9524" i="15"/>
  <c r="B9525" i="15"/>
  <c r="B9526" i="15"/>
  <c r="B9527" i="15"/>
  <c r="B9528" i="15"/>
  <c r="B9529" i="15"/>
  <c r="B9530" i="15"/>
  <c r="B9531" i="15"/>
  <c r="B9532" i="15"/>
  <c r="B9533" i="15"/>
  <c r="B9534" i="15"/>
  <c r="B9535" i="15"/>
  <c r="B9536" i="15"/>
  <c r="B9537" i="15"/>
  <c r="B9538" i="15"/>
  <c r="B9539" i="15"/>
  <c r="B9540" i="15"/>
  <c r="B9541" i="15"/>
  <c r="B9542" i="15"/>
  <c r="B9543" i="15"/>
  <c r="B9544" i="15"/>
  <c r="B9545" i="15"/>
  <c r="B9546" i="15"/>
  <c r="B9547" i="15"/>
  <c r="B9548" i="15"/>
  <c r="B9549" i="15"/>
  <c r="B9550" i="15"/>
  <c r="B9551" i="15"/>
  <c r="B9552" i="15"/>
  <c r="B9553" i="15"/>
  <c r="B9554" i="15"/>
  <c r="B9555" i="15"/>
  <c r="B9556" i="15"/>
  <c r="B9557" i="15"/>
  <c r="B9558" i="15"/>
  <c r="B9559" i="15"/>
  <c r="B9560" i="15"/>
  <c r="B9561" i="15"/>
  <c r="B9562" i="15"/>
  <c r="B9563" i="15"/>
  <c r="B9564" i="15"/>
  <c r="B9565" i="15"/>
  <c r="B9566" i="15"/>
  <c r="B9567" i="15"/>
  <c r="B9568" i="15"/>
  <c r="B9569" i="15"/>
  <c r="B9570" i="15"/>
  <c r="B9571" i="15"/>
  <c r="B9572" i="15"/>
  <c r="B9573" i="15"/>
  <c r="B9574" i="15"/>
  <c r="B9575" i="15"/>
  <c r="B9576" i="15"/>
  <c r="B9577" i="15"/>
  <c r="B9578" i="15"/>
  <c r="B9579" i="15"/>
  <c r="B9580" i="15"/>
  <c r="B9581" i="15"/>
  <c r="B9582" i="15"/>
  <c r="B9583" i="15"/>
  <c r="B9584" i="15"/>
  <c r="B9585" i="15"/>
  <c r="B9586" i="15"/>
  <c r="B9587" i="15"/>
  <c r="B9588" i="15"/>
  <c r="B9589" i="15"/>
  <c r="B9590" i="15"/>
  <c r="B9591" i="15"/>
  <c r="B9592" i="15"/>
  <c r="B9593" i="15"/>
  <c r="B9594" i="15"/>
  <c r="B9595" i="15"/>
  <c r="B9596" i="15"/>
  <c r="B9597" i="15"/>
  <c r="B9598" i="15"/>
  <c r="B9599" i="15"/>
  <c r="B9600" i="15"/>
  <c r="B9601" i="15"/>
  <c r="B9602" i="15"/>
  <c r="B9603" i="15"/>
  <c r="B9604" i="15"/>
  <c r="B9605" i="15"/>
  <c r="B9606" i="15"/>
  <c r="B9607" i="15"/>
  <c r="B9608" i="15"/>
  <c r="B9609" i="15"/>
  <c r="B9610" i="15"/>
  <c r="B9611" i="15"/>
  <c r="B9612" i="15"/>
  <c r="B9613" i="15"/>
  <c r="B9614" i="15"/>
  <c r="B9615" i="15"/>
  <c r="B9616" i="15"/>
  <c r="B9617" i="15"/>
  <c r="B9618" i="15"/>
  <c r="B9619" i="15"/>
  <c r="B9620" i="15"/>
  <c r="B9621" i="15"/>
  <c r="B9622" i="15"/>
  <c r="B9623" i="15"/>
  <c r="B9624" i="15"/>
  <c r="B9625" i="15"/>
  <c r="B9626" i="15"/>
  <c r="B9627" i="15"/>
  <c r="B9628" i="15"/>
  <c r="B9629" i="15"/>
  <c r="B9630" i="15"/>
  <c r="B9631" i="15"/>
  <c r="B9632" i="15"/>
  <c r="B9633" i="15"/>
  <c r="B9634" i="15"/>
  <c r="B9635" i="15"/>
  <c r="B9636" i="15"/>
  <c r="B9637" i="15"/>
  <c r="B9638" i="15"/>
  <c r="B9639" i="15"/>
  <c r="B9640" i="15"/>
  <c r="B9641" i="15"/>
  <c r="B9642" i="15"/>
  <c r="B9643" i="15"/>
  <c r="B9644" i="15"/>
  <c r="B9645" i="15"/>
  <c r="B9646" i="15"/>
  <c r="B9647" i="15"/>
  <c r="B9648" i="15"/>
  <c r="B9649" i="15"/>
  <c r="B9650" i="15"/>
  <c r="B9651" i="15"/>
  <c r="B9652" i="15"/>
  <c r="B9653" i="15"/>
  <c r="B9654" i="15"/>
  <c r="B9655" i="15"/>
  <c r="B9656" i="15"/>
  <c r="B9657" i="15"/>
  <c r="B9658" i="15"/>
  <c r="B9659" i="15"/>
  <c r="B9660" i="15"/>
  <c r="B9661" i="15"/>
  <c r="B9662" i="15"/>
  <c r="B9663" i="15"/>
  <c r="B9664" i="15"/>
  <c r="B9665" i="15"/>
  <c r="B9666" i="15"/>
  <c r="B9667" i="15"/>
  <c r="B9668" i="15"/>
  <c r="B9669" i="15"/>
  <c r="B9670" i="15"/>
  <c r="B9671" i="15"/>
  <c r="B9672" i="15"/>
  <c r="B9673" i="15"/>
  <c r="B9674" i="15"/>
  <c r="B9675" i="15"/>
  <c r="B9676" i="15"/>
  <c r="B9677" i="15"/>
  <c r="B9678" i="15"/>
  <c r="B9679" i="15"/>
  <c r="B9680" i="15"/>
  <c r="B9681" i="15"/>
  <c r="B9682" i="15"/>
  <c r="B9683" i="15"/>
  <c r="B9684" i="15"/>
  <c r="B9685" i="15"/>
  <c r="B9686" i="15"/>
  <c r="B9687" i="15"/>
  <c r="B9688" i="15"/>
  <c r="B9689" i="15"/>
  <c r="B9690" i="15"/>
  <c r="B9691" i="15"/>
  <c r="B9692" i="15"/>
  <c r="B9693" i="15"/>
  <c r="B9694" i="15"/>
  <c r="B9695" i="15"/>
  <c r="B9696" i="15"/>
  <c r="B9697" i="15"/>
  <c r="B9698" i="15"/>
  <c r="B9699" i="15"/>
  <c r="B9700" i="15"/>
  <c r="B9701" i="15"/>
  <c r="B9702" i="15"/>
  <c r="B9703" i="15"/>
  <c r="B9704" i="15"/>
  <c r="B9705" i="15"/>
  <c r="B9706" i="15"/>
  <c r="B9707" i="15"/>
  <c r="B9708" i="15"/>
  <c r="B9709" i="15"/>
  <c r="B9710" i="15"/>
  <c r="B9711" i="15"/>
  <c r="B9712" i="15"/>
  <c r="B9713" i="15"/>
  <c r="B9714" i="15"/>
  <c r="B9715" i="15"/>
  <c r="B9716" i="15"/>
  <c r="B9717" i="15"/>
  <c r="B9718" i="15"/>
  <c r="B9719" i="15"/>
  <c r="B9720" i="15"/>
  <c r="B9721" i="15"/>
  <c r="B9722" i="15"/>
  <c r="B9723" i="15"/>
  <c r="B9724" i="15"/>
  <c r="B9725" i="15"/>
  <c r="B9726" i="15"/>
  <c r="B9727" i="15"/>
  <c r="B9728" i="15"/>
  <c r="B9729" i="15"/>
  <c r="B9730" i="15"/>
  <c r="B9731" i="15"/>
  <c r="B9732" i="15"/>
  <c r="B9733" i="15"/>
  <c r="B9734" i="15"/>
  <c r="B9735" i="15"/>
  <c r="B9736" i="15"/>
  <c r="B9737" i="15"/>
  <c r="B9738" i="15"/>
  <c r="B9739" i="15"/>
  <c r="B9740" i="15"/>
  <c r="B9741" i="15"/>
  <c r="B9742" i="15"/>
  <c r="B9743" i="15"/>
  <c r="B9744" i="15"/>
  <c r="B9745" i="15"/>
  <c r="B9746" i="15"/>
  <c r="B9747" i="15"/>
  <c r="B9748" i="15"/>
  <c r="B9749" i="15"/>
  <c r="B9750" i="15"/>
  <c r="B9751" i="15"/>
  <c r="B9752" i="15"/>
  <c r="B9753" i="15"/>
  <c r="B9754" i="15"/>
  <c r="B9755" i="15"/>
  <c r="B9756" i="15"/>
  <c r="B9757" i="15"/>
  <c r="B9758" i="15"/>
  <c r="B9759" i="15"/>
  <c r="B9760" i="15"/>
  <c r="B9761" i="15"/>
  <c r="B9762" i="15"/>
  <c r="B9763" i="15"/>
  <c r="B9764" i="15"/>
  <c r="B9765" i="15"/>
  <c r="B9766" i="15"/>
  <c r="B9767" i="15"/>
  <c r="B9768" i="15"/>
  <c r="B9769" i="15"/>
  <c r="B9770" i="15"/>
  <c r="B9771" i="15"/>
  <c r="B9772" i="15"/>
  <c r="B9773" i="15"/>
  <c r="B9774" i="15"/>
  <c r="B9775" i="15"/>
  <c r="B9776" i="15"/>
  <c r="B9777" i="15"/>
  <c r="B9778" i="15"/>
  <c r="B9779" i="15"/>
  <c r="B9780" i="15"/>
  <c r="B9781" i="15"/>
  <c r="B9782" i="15"/>
  <c r="B9783" i="15"/>
  <c r="B9784" i="15"/>
  <c r="B9785" i="15"/>
  <c r="B9786" i="15"/>
  <c r="B9787" i="15"/>
  <c r="B9788" i="15"/>
  <c r="B9789" i="15"/>
  <c r="B9790" i="15"/>
  <c r="B9791" i="15"/>
  <c r="B9792" i="15"/>
  <c r="B9793" i="15"/>
  <c r="B9794" i="15"/>
  <c r="B9795" i="15"/>
  <c r="B9796" i="15"/>
  <c r="B9797" i="15"/>
  <c r="B9798" i="15"/>
  <c r="B9799" i="15"/>
  <c r="B9800" i="15"/>
  <c r="B9801" i="15"/>
  <c r="B9802" i="15"/>
  <c r="B9803" i="15"/>
  <c r="B9804" i="15"/>
  <c r="B9805" i="15"/>
  <c r="B9806" i="15"/>
  <c r="B9807" i="15"/>
  <c r="B9808" i="15"/>
  <c r="B9809" i="15"/>
  <c r="B9810" i="15"/>
  <c r="B9811" i="15"/>
  <c r="B9812" i="15"/>
  <c r="B9813" i="15"/>
  <c r="B9814" i="15"/>
  <c r="B9815" i="15"/>
  <c r="B9816" i="15"/>
  <c r="B9817" i="15"/>
  <c r="B9818" i="15"/>
  <c r="B9819" i="15"/>
  <c r="B9820" i="15"/>
  <c r="B9821" i="15"/>
  <c r="B9822" i="15"/>
  <c r="B9823" i="15"/>
  <c r="B9824" i="15"/>
  <c r="B9825" i="15"/>
  <c r="B9826" i="15"/>
  <c r="B9827" i="15"/>
  <c r="B9828" i="15"/>
  <c r="B9829" i="15"/>
  <c r="B9830" i="15"/>
  <c r="B9831" i="15"/>
  <c r="B9832" i="15"/>
  <c r="B9833" i="15"/>
  <c r="B9834" i="15"/>
  <c r="B9835" i="15"/>
  <c r="B9836" i="15"/>
  <c r="B9837" i="15"/>
  <c r="B9838" i="15"/>
  <c r="B9839" i="15"/>
  <c r="B9840" i="15"/>
  <c r="B9841" i="15"/>
  <c r="B9842" i="15"/>
  <c r="B9843" i="15"/>
  <c r="B9844" i="15"/>
  <c r="B9845" i="15"/>
  <c r="B9846" i="15"/>
  <c r="B9847" i="15"/>
  <c r="B9848" i="15"/>
  <c r="B9849" i="15"/>
  <c r="B9850" i="15"/>
  <c r="B9851" i="15"/>
  <c r="B9852" i="15"/>
  <c r="B9853" i="15"/>
  <c r="B9854" i="15"/>
  <c r="B9855" i="15"/>
  <c r="B9856" i="15"/>
  <c r="B9857" i="15"/>
  <c r="B9858" i="15"/>
  <c r="B9859" i="15"/>
  <c r="B9860" i="15"/>
  <c r="B9861" i="15"/>
  <c r="B9862" i="15"/>
  <c r="B9863" i="15"/>
  <c r="B9864" i="15"/>
  <c r="B9865" i="15"/>
  <c r="B9866" i="15"/>
  <c r="B9867" i="15"/>
  <c r="B9868" i="15"/>
  <c r="B9869" i="15"/>
  <c r="B9870" i="15"/>
  <c r="B9871" i="15"/>
  <c r="B9872" i="15"/>
  <c r="B9873" i="15"/>
  <c r="B9874" i="15"/>
  <c r="B9875" i="15"/>
  <c r="B9876" i="15"/>
  <c r="B9877" i="15"/>
  <c r="B9878" i="15"/>
  <c r="B9879" i="15"/>
  <c r="B9880" i="15"/>
  <c r="B9881" i="15"/>
  <c r="B9882" i="15"/>
  <c r="B9883" i="15"/>
  <c r="B9884" i="15"/>
  <c r="B9885" i="15"/>
  <c r="B9886" i="15"/>
  <c r="B9887" i="15"/>
  <c r="B9888" i="15"/>
  <c r="B9889" i="15"/>
  <c r="B9890" i="15"/>
  <c r="B9891" i="15"/>
  <c r="B9892" i="15"/>
  <c r="B9893" i="15"/>
  <c r="B9894" i="15"/>
  <c r="B9895" i="15"/>
  <c r="B9896" i="15"/>
  <c r="B9897" i="15"/>
  <c r="B9898" i="15"/>
  <c r="B9899" i="15"/>
  <c r="B9900" i="15"/>
  <c r="B9901" i="15"/>
  <c r="B9902" i="15"/>
  <c r="B9903" i="15"/>
  <c r="B9904" i="15"/>
  <c r="B9905" i="15"/>
  <c r="B9906" i="15"/>
  <c r="B9907" i="15"/>
  <c r="B9908" i="15"/>
  <c r="B9909" i="15"/>
  <c r="B9910" i="15"/>
  <c r="B9911" i="15"/>
  <c r="B9912" i="15"/>
  <c r="B9913" i="15"/>
  <c r="B9914" i="15"/>
  <c r="B9915" i="15"/>
  <c r="B9916" i="15"/>
  <c r="B9917" i="15"/>
  <c r="B9918" i="15"/>
  <c r="B9919" i="15"/>
  <c r="B9920" i="15"/>
  <c r="B9921" i="15"/>
  <c r="B9922" i="15"/>
  <c r="B9923" i="15"/>
  <c r="B9924" i="15"/>
  <c r="B9925" i="15"/>
  <c r="B9926" i="15"/>
  <c r="B9927" i="15"/>
  <c r="B9928" i="15"/>
  <c r="B9929" i="15"/>
  <c r="B9930" i="15"/>
  <c r="B9931" i="15"/>
  <c r="B9932" i="15"/>
  <c r="B9933" i="15"/>
  <c r="B9934" i="15"/>
  <c r="B9935" i="15"/>
  <c r="B9936" i="15"/>
  <c r="B9937" i="15"/>
  <c r="B9938" i="15"/>
  <c r="B9939" i="15"/>
  <c r="B9940" i="15"/>
  <c r="B9941" i="15"/>
  <c r="B9942" i="15"/>
  <c r="B9943" i="15"/>
  <c r="B9944" i="15"/>
  <c r="B9945" i="15"/>
  <c r="B9946" i="15"/>
  <c r="B9947" i="15"/>
  <c r="B9948" i="15"/>
  <c r="B9949" i="15"/>
  <c r="B9950" i="15"/>
  <c r="B9951" i="15"/>
  <c r="B9952" i="15"/>
  <c r="B9953" i="15"/>
  <c r="B9954" i="15"/>
  <c r="B9955" i="15"/>
  <c r="B9956" i="15"/>
  <c r="B9957" i="15"/>
  <c r="B9958" i="15"/>
  <c r="B9959" i="15"/>
  <c r="B9960" i="15"/>
  <c r="B9961" i="15"/>
  <c r="B9962" i="15"/>
  <c r="B9963" i="15"/>
  <c r="B9964" i="15"/>
  <c r="B9965" i="15"/>
  <c r="B9966" i="15"/>
  <c r="B9967" i="15"/>
  <c r="B9968" i="15"/>
  <c r="B9969" i="15"/>
  <c r="B9970" i="15"/>
  <c r="B9971" i="15"/>
  <c r="B9972" i="15"/>
  <c r="B9973" i="15"/>
  <c r="B9974" i="15"/>
  <c r="B9975" i="15"/>
  <c r="B9976" i="15"/>
  <c r="B9977" i="15"/>
  <c r="B9978" i="15"/>
  <c r="B9979" i="15"/>
  <c r="B9980" i="15"/>
  <c r="B9981" i="15"/>
  <c r="B9982" i="15"/>
  <c r="B9983" i="15"/>
  <c r="B9984" i="15"/>
  <c r="B9985" i="15"/>
  <c r="B9986" i="15"/>
  <c r="B9987" i="15"/>
  <c r="B9988" i="15"/>
  <c r="B9989" i="15"/>
  <c r="B9990" i="15"/>
  <c r="B9991" i="15"/>
  <c r="B9992" i="15"/>
  <c r="B9993" i="15"/>
  <c r="B9994" i="15"/>
  <c r="B9995" i="15"/>
  <c r="B9996" i="15"/>
  <c r="B9997" i="15"/>
  <c r="B9998" i="15"/>
  <c r="B9999" i="15"/>
  <c r="B10000" i="15"/>
  <c r="H501" i="15"/>
  <c r="H502" i="15"/>
  <c r="H503" i="15"/>
  <c r="H504" i="15"/>
  <c r="H505" i="15"/>
  <c r="H506" i="15"/>
  <c r="H507" i="15"/>
  <c r="H508" i="15"/>
  <c r="H509" i="15"/>
  <c r="H510" i="15"/>
  <c r="H511" i="15"/>
  <c r="H512" i="15"/>
  <c r="H513" i="15"/>
  <c r="H514" i="15"/>
  <c r="H515" i="15"/>
  <c r="H516" i="15"/>
  <c r="H517" i="15"/>
  <c r="H518" i="15"/>
  <c r="H519" i="15"/>
  <c r="H520" i="15"/>
  <c r="H521" i="15"/>
  <c r="H522" i="15"/>
  <c r="H523" i="15"/>
  <c r="H524" i="15"/>
  <c r="H525" i="15"/>
  <c r="H526" i="15"/>
  <c r="H527" i="15"/>
  <c r="H528" i="15"/>
  <c r="H529" i="15"/>
  <c r="H530" i="15"/>
  <c r="H531" i="15"/>
  <c r="H532" i="15"/>
  <c r="H533" i="15"/>
  <c r="H534" i="15"/>
  <c r="H535" i="15"/>
  <c r="H536" i="15"/>
  <c r="H537" i="15"/>
  <c r="H538" i="15"/>
  <c r="H539" i="15"/>
  <c r="H540" i="15"/>
  <c r="H541" i="15"/>
  <c r="H542" i="15"/>
  <c r="H543" i="15"/>
  <c r="H544" i="15"/>
  <c r="H545" i="15"/>
  <c r="H546" i="15"/>
  <c r="H547" i="15"/>
  <c r="H548" i="15"/>
  <c r="H549" i="15"/>
  <c r="H550" i="15"/>
  <c r="H551" i="15"/>
  <c r="H552" i="15"/>
  <c r="H553" i="15"/>
  <c r="H554" i="15"/>
  <c r="H555" i="15"/>
  <c r="H556" i="15"/>
  <c r="H557" i="15"/>
  <c r="H558" i="15"/>
  <c r="H559" i="15"/>
  <c r="H560" i="15"/>
  <c r="H561" i="15"/>
  <c r="H562" i="15"/>
  <c r="H563" i="15"/>
  <c r="H564" i="15"/>
  <c r="H565" i="15"/>
  <c r="H566" i="15"/>
  <c r="H567" i="15"/>
  <c r="H568" i="15"/>
  <c r="H569" i="15"/>
  <c r="H570" i="15"/>
  <c r="H571" i="15"/>
  <c r="H572" i="15"/>
  <c r="H573" i="15"/>
  <c r="H574" i="15"/>
  <c r="H575" i="15"/>
  <c r="H576" i="15"/>
  <c r="H577" i="15"/>
  <c r="H578" i="15"/>
  <c r="H579" i="15"/>
  <c r="H580" i="15"/>
  <c r="H581" i="15"/>
  <c r="H582" i="15"/>
  <c r="H583" i="15"/>
  <c r="H584" i="15"/>
  <c r="H585" i="15"/>
  <c r="H586" i="15"/>
  <c r="H587" i="15"/>
  <c r="H588" i="15"/>
  <c r="H589" i="15"/>
  <c r="H590" i="15"/>
  <c r="H591" i="15"/>
  <c r="H592" i="15"/>
  <c r="H593" i="15"/>
  <c r="H594" i="15"/>
  <c r="H595" i="15"/>
  <c r="H596" i="15"/>
  <c r="H597" i="15"/>
  <c r="H598" i="15"/>
  <c r="H599" i="15"/>
  <c r="H600" i="15"/>
  <c r="H601" i="15"/>
  <c r="H602" i="15"/>
  <c r="H603" i="15"/>
  <c r="H604" i="15"/>
  <c r="H605" i="15"/>
  <c r="H606" i="15"/>
  <c r="H607" i="15"/>
  <c r="H608" i="15"/>
  <c r="H609" i="15"/>
  <c r="H610" i="15"/>
  <c r="H611" i="15"/>
  <c r="H612" i="15"/>
  <c r="H613" i="15"/>
  <c r="H614" i="15"/>
  <c r="H615" i="15"/>
  <c r="H616" i="15"/>
  <c r="H617" i="15"/>
  <c r="H618" i="15"/>
  <c r="H619" i="15"/>
  <c r="H620" i="15"/>
  <c r="H621" i="15"/>
  <c r="H622" i="15"/>
  <c r="H623" i="15"/>
  <c r="H624" i="15"/>
  <c r="H625" i="15"/>
  <c r="H626" i="15"/>
  <c r="H627" i="15"/>
  <c r="H628" i="15"/>
  <c r="H629" i="15"/>
  <c r="H630" i="15"/>
  <c r="H631" i="15"/>
  <c r="H632" i="15"/>
  <c r="H633" i="15"/>
  <c r="H634" i="15"/>
  <c r="H635" i="15"/>
  <c r="H636" i="15"/>
  <c r="H637" i="15"/>
  <c r="H638" i="15"/>
  <c r="H639" i="15"/>
  <c r="H640" i="15"/>
  <c r="H641" i="15"/>
  <c r="H642" i="15"/>
  <c r="H643" i="15"/>
  <c r="H644" i="15"/>
  <c r="H645" i="15"/>
  <c r="H646" i="15"/>
  <c r="H647" i="15"/>
  <c r="H648" i="15"/>
  <c r="H649" i="15"/>
  <c r="H650" i="15"/>
  <c r="H651" i="15"/>
  <c r="H652" i="15"/>
  <c r="H653" i="15"/>
  <c r="H654" i="15"/>
  <c r="H655" i="15"/>
  <c r="H656" i="15"/>
  <c r="H657" i="15"/>
  <c r="H658" i="15"/>
  <c r="H659" i="15"/>
  <c r="H660" i="15"/>
  <c r="H661" i="15"/>
  <c r="H662" i="15"/>
  <c r="H663" i="15"/>
  <c r="H664" i="15"/>
  <c r="H665" i="15"/>
  <c r="H666" i="15"/>
  <c r="H667" i="15"/>
  <c r="H668" i="15"/>
  <c r="H669" i="15"/>
  <c r="H670" i="15"/>
  <c r="H671" i="15"/>
  <c r="H672" i="15"/>
  <c r="H673" i="15"/>
  <c r="H674" i="15"/>
  <c r="H675" i="15"/>
  <c r="H676" i="15"/>
  <c r="H677" i="15"/>
  <c r="H678" i="15"/>
  <c r="H679" i="15"/>
  <c r="H680" i="15"/>
  <c r="H681" i="15"/>
  <c r="H682" i="15"/>
  <c r="H683" i="15"/>
  <c r="H684" i="15"/>
  <c r="H685" i="15"/>
  <c r="H686" i="15"/>
  <c r="H687" i="15"/>
  <c r="H688" i="15"/>
  <c r="H689" i="15"/>
  <c r="H690" i="15"/>
  <c r="H691" i="15"/>
  <c r="H692" i="15"/>
  <c r="H693" i="15"/>
  <c r="H694" i="15"/>
  <c r="H695" i="15"/>
  <c r="H696" i="15"/>
  <c r="H697" i="15"/>
  <c r="H698" i="15"/>
  <c r="H699" i="15"/>
  <c r="H700" i="15"/>
  <c r="H701" i="15"/>
  <c r="H702" i="15"/>
  <c r="H703" i="15"/>
  <c r="H704" i="15"/>
  <c r="H705" i="15"/>
  <c r="H706" i="15"/>
  <c r="H707" i="15"/>
  <c r="H708" i="15"/>
  <c r="H709" i="15"/>
  <c r="H710" i="15"/>
  <c r="H711" i="15"/>
  <c r="H712" i="15"/>
  <c r="H713" i="15"/>
  <c r="H714" i="15"/>
  <c r="H715" i="15"/>
  <c r="H716" i="15"/>
  <c r="H717" i="15"/>
  <c r="H718" i="15"/>
  <c r="H719" i="15"/>
  <c r="H720" i="15"/>
  <c r="H721" i="15"/>
  <c r="H722" i="15"/>
  <c r="H723" i="15"/>
  <c r="H724" i="15"/>
  <c r="H725" i="15"/>
  <c r="H726" i="15"/>
  <c r="H727" i="15"/>
  <c r="H728" i="15"/>
  <c r="H729" i="15"/>
  <c r="H730" i="15"/>
  <c r="H731" i="15"/>
  <c r="H732" i="15"/>
  <c r="H733" i="15"/>
  <c r="H734" i="15"/>
  <c r="H735" i="15"/>
  <c r="H736" i="15"/>
  <c r="H737" i="15"/>
  <c r="H738" i="15"/>
  <c r="H739" i="15"/>
  <c r="H740" i="15"/>
  <c r="H741" i="15"/>
  <c r="H742" i="15"/>
  <c r="H743" i="15"/>
  <c r="H744" i="15"/>
  <c r="H745" i="15"/>
  <c r="H746" i="15"/>
  <c r="H747" i="15"/>
  <c r="H748" i="15"/>
  <c r="H749" i="15"/>
  <c r="H750" i="15"/>
  <c r="H751" i="15"/>
  <c r="H752" i="15"/>
  <c r="H753" i="15"/>
  <c r="H754" i="15"/>
  <c r="H755" i="15"/>
  <c r="H756" i="15"/>
  <c r="H757" i="15"/>
  <c r="H758" i="15"/>
  <c r="H759" i="15"/>
  <c r="H760" i="15"/>
  <c r="H761" i="15"/>
  <c r="H762" i="15"/>
  <c r="H763" i="15"/>
  <c r="H764" i="15"/>
  <c r="H765" i="15"/>
  <c r="H766" i="15"/>
  <c r="H767" i="15"/>
  <c r="H768" i="15"/>
  <c r="H769" i="15"/>
  <c r="H770" i="15"/>
  <c r="H771" i="15"/>
  <c r="H772" i="15"/>
  <c r="H773" i="15"/>
  <c r="H774" i="15"/>
  <c r="H775" i="15"/>
  <c r="H776" i="15"/>
  <c r="H777" i="15"/>
  <c r="H778" i="15"/>
  <c r="H779" i="15"/>
  <c r="H780" i="15"/>
  <c r="H781" i="15"/>
  <c r="H782" i="15"/>
  <c r="H783" i="15"/>
  <c r="H784" i="15"/>
  <c r="H785" i="15"/>
  <c r="H786" i="15"/>
  <c r="H787" i="15"/>
  <c r="H788" i="15"/>
  <c r="H789" i="15"/>
  <c r="H790" i="15"/>
  <c r="H791" i="15"/>
  <c r="H792" i="15"/>
  <c r="H793" i="15"/>
  <c r="H794" i="15"/>
  <c r="H795" i="15"/>
  <c r="H796" i="15"/>
  <c r="H797" i="15"/>
  <c r="H798" i="15"/>
  <c r="H799" i="15"/>
  <c r="H800" i="15"/>
  <c r="H801" i="15"/>
  <c r="H802" i="15"/>
  <c r="H803" i="15"/>
  <c r="H804" i="15"/>
  <c r="H805" i="15"/>
  <c r="H806" i="15"/>
  <c r="H807" i="15"/>
  <c r="H808" i="15"/>
  <c r="H809" i="15"/>
  <c r="H810" i="15"/>
  <c r="H811" i="15"/>
  <c r="H812" i="15"/>
  <c r="H813" i="15"/>
  <c r="H814" i="15"/>
  <c r="H815" i="15"/>
  <c r="H816" i="15"/>
  <c r="H817" i="15"/>
  <c r="H818" i="15"/>
  <c r="H819" i="15"/>
  <c r="H820" i="15"/>
  <c r="H821" i="15"/>
  <c r="H822" i="15"/>
  <c r="H823" i="15"/>
  <c r="H824" i="15"/>
  <c r="H825" i="15"/>
  <c r="H826" i="15"/>
  <c r="H827" i="15"/>
  <c r="H828" i="15"/>
  <c r="H829" i="15"/>
  <c r="H830" i="15"/>
  <c r="H831" i="15"/>
  <c r="H832" i="15"/>
  <c r="H833" i="15"/>
  <c r="H834" i="15"/>
  <c r="H835" i="15"/>
  <c r="H836" i="15"/>
  <c r="H837" i="15"/>
  <c r="H838" i="15"/>
  <c r="H839" i="15"/>
  <c r="H840" i="15"/>
  <c r="H841" i="15"/>
  <c r="H842" i="15"/>
  <c r="H843" i="15"/>
  <c r="H844" i="15"/>
  <c r="H845" i="15"/>
  <c r="H846" i="15"/>
  <c r="H847" i="15"/>
  <c r="H848" i="15"/>
  <c r="H849" i="15"/>
  <c r="H850" i="15"/>
  <c r="H851" i="15"/>
  <c r="H852" i="15"/>
  <c r="H853" i="15"/>
  <c r="H854" i="15"/>
  <c r="H855" i="15"/>
  <c r="H856" i="15"/>
  <c r="H857" i="15"/>
  <c r="H858" i="15"/>
  <c r="H859" i="15"/>
  <c r="H860" i="15"/>
  <c r="H861" i="15"/>
  <c r="H862" i="15"/>
  <c r="H863" i="15"/>
  <c r="H864" i="15"/>
  <c r="H865" i="15"/>
  <c r="H866" i="15"/>
  <c r="H867" i="15"/>
  <c r="H868" i="15"/>
  <c r="H869" i="15"/>
  <c r="H870" i="15"/>
  <c r="H871" i="15"/>
  <c r="H872" i="15"/>
  <c r="H873" i="15"/>
  <c r="H874" i="15"/>
  <c r="H875" i="15"/>
  <c r="H876" i="15"/>
  <c r="H877" i="15"/>
  <c r="H878" i="15"/>
  <c r="H879" i="15"/>
  <c r="H880" i="15"/>
  <c r="H881" i="15"/>
  <c r="H882" i="15"/>
  <c r="H883" i="15"/>
  <c r="H884" i="15"/>
  <c r="H885" i="15"/>
  <c r="H886" i="15"/>
  <c r="H887" i="15"/>
  <c r="H888" i="15"/>
  <c r="H889" i="15"/>
  <c r="H890" i="15"/>
  <c r="H891" i="15"/>
  <c r="H892" i="15"/>
  <c r="H893" i="15"/>
  <c r="H894" i="15"/>
  <c r="H895" i="15"/>
  <c r="H896" i="15"/>
  <c r="H897" i="15"/>
  <c r="H898" i="15"/>
  <c r="H899" i="15"/>
  <c r="H900" i="15"/>
  <c r="H901" i="15"/>
  <c r="H902" i="15"/>
  <c r="H903" i="15"/>
  <c r="H904" i="15"/>
  <c r="H905" i="15"/>
  <c r="H906" i="15"/>
  <c r="H907" i="15"/>
  <c r="H908" i="15"/>
  <c r="H909" i="15"/>
  <c r="H910" i="15"/>
  <c r="H911" i="15"/>
  <c r="H912" i="15"/>
  <c r="H913" i="15"/>
  <c r="H914" i="15"/>
  <c r="H915" i="15"/>
  <c r="H916" i="15"/>
  <c r="H917" i="15"/>
  <c r="H918" i="15"/>
  <c r="H919" i="15"/>
  <c r="H920" i="15"/>
  <c r="H921" i="15"/>
  <c r="H922" i="15"/>
  <c r="H923" i="15"/>
  <c r="H924" i="15"/>
  <c r="H925" i="15"/>
  <c r="H926" i="15"/>
  <c r="H927" i="15"/>
  <c r="H928" i="15"/>
  <c r="H929" i="15"/>
  <c r="H930" i="15"/>
  <c r="H931" i="15"/>
  <c r="H932" i="15"/>
  <c r="H933" i="15"/>
  <c r="H934" i="15"/>
  <c r="H935" i="15"/>
  <c r="H936" i="15"/>
  <c r="H937" i="15"/>
  <c r="H938" i="15"/>
  <c r="H939" i="15"/>
  <c r="H940" i="15"/>
  <c r="H941" i="15"/>
  <c r="H942" i="15"/>
  <c r="H943" i="15"/>
  <c r="H944" i="15"/>
  <c r="H945" i="15"/>
  <c r="H946" i="15"/>
  <c r="H947" i="15"/>
  <c r="H948" i="15"/>
  <c r="H949" i="15"/>
  <c r="H950" i="15"/>
  <c r="H951" i="15"/>
  <c r="H952" i="15"/>
  <c r="H953" i="15"/>
  <c r="H954" i="15"/>
  <c r="H955" i="15"/>
  <c r="H956" i="15"/>
  <c r="H957" i="15"/>
  <c r="H958" i="15"/>
  <c r="H959" i="15"/>
  <c r="H960" i="15"/>
  <c r="H961" i="15"/>
  <c r="H962" i="15"/>
  <c r="H963" i="15"/>
  <c r="H964" i="15"/>
  <c r="H965" i="15"/>
  <c r="H966" i="15"/>
  <c r="H967" i="15"/>
  <c r="H968" i="15"/>
  <c r="H969" i="15"/>
  <c r="H970" i="15"/>
  <c r="H971" i="15"/>
  <c r="H972" i="15"/>
  <c r="H973" i="15"/>
  <c r="H974" i="15"/>
  <c r="H975" i="15"/>
  <c r="H976" i="15"/>
  <c r="H977" i="15"/>
  <c r="H978" i="15"/>
  <c r="H979" i="15"/>
  <c r="H980" i="15"/>
  <c r="H981" i="15"/>
  <c r="H982" i="15"/>
  <c r="H983" i="15"/>
  <c r="H984" i="15"/>
  <c r="H985" i="15"/>
  <c r="H986" i="15"/>
  <c r="H987" i="15"/>
  <c r="H988" i="15"/>
  <c r="H989" i="15"/>
  <c r="H990" i="15"/>
  <c r="H991" i="15"/>
  <c r="H992" i="15"/>
  <c r="H993" i="15"/>
  <c r="H994" i="15"/>
  <c r="H995" i="15"/>
  <c r="H996" i="15"/>
  <c r="H997" i="15"/>
  <c r="H998" i="15"/>
  <c r="H999" i="15"/>
  <c r="H1000" i="15"/>
  <c r="H1001" i="15"/>
  <c r="H1002" i="15"/>
  <c r="H1003" i="15"/>
  <c r="H1004" i="15"/>
  <c r="H1005" i="15"/>
  <c r="H1006" i="15"/>
  <c r="H1007" i="15"/>
  <c r="H1008" i="15"/>
  <c r="H1009" i="15"/>
  <c r="H1010" i="15"/>
  <c r="H1011" i="15"/>
  <c r="H1012" i="15"/>
  <c r="H1013" i="15"/>
  <c r="H1014" i="15"/>
  <c r="H1015" i="15"/>
  <c r="H1016" i="15"/>
  <c r="H1017" i="15"/>
  <c r="H1018" i="15"/>
  <c r="H1019" i="15"/>
  <c r="H1020" i="15"/>
  <c r="H1021" i="15"/>
  <c r="H1022" i="15"/>
  <c r="H1023" i="15"/>
  <c r="H1024" i="15"/>
  <c r="H1025" i="15"/>
  <c r="H1026" i="15"/>
  <c r="H1027" i="15"/>
  <c r="H1028" i="15"/>
  <c r="H1029" i="15"/>
  <c r="H1030" i="15"/>
  <c r="H1031" i="15"/>
  <c r="H1032" i="15"/>
  <c r="H1033" i="15"/>
  <c r="H1034" i="15"/>
  <c r="H1035" i="15"/>
  <c r="H1036" i="15"/>
  <c r="H1037" i="15"/>
  <c r="H1038" i="15"/>
  <c r="H1039" i="15"/>
  <c r="H1040" i="15"/>
  <c r="H1041" i="15"/>
  <c r="H1042" i="15"/>
  <c r="H1043" i="15"/>
  <c r="H1044" i="15"/>
  <c r="H1045" i="15"/>
  <c r="H1046" i="15"/>
  <c r="H1047" i="15"/>
  <c r="H1048" i="15"/>
  <c r="H1049" i="15"/>
  <c r="H1050" i="15"/>
  <c r="H1051" i="15"/>
  <c r="H1052" i="15"/>
  <c r="H1053" i="15"/>
  <c r="H1054" i="15"/>
  <c r="H1055" i="15"/>
  <c r="H1056" i="15"/>
  <c r="H1057" i="15"/>
  <c r="H1058" i="15"/>
  <c r="H1059" i="15"/>
  <c r="H1060" i="15"/>
  <c r="H1061" i="15"/>
  <c r="H1062" i="15"/>
  <c r="H1063" i="15"/>
  <c r="H1064" i="15"/>
  <c r="H1065" i="15"/>
  <c r="H1066" i="15"/>
  <c r="H1067" i="15"/>
  <c r="H1068" i="15"/>
  <c r="H1069" i="15"/>
  <c r="H1070" i="15"/>
  <c r="H1071" i="15"/>
  <c r="H1072" i="15"/>
  <c r="H1073" i="15"/>
  <c r="H1074" i="15"/>
  <c r="H1075" i="15"/>
  <c r="H1076" i="15"/>
  <c r="H1077" i="15"/>
  <c r="H1078" i="15"/>
  <c r="H1079" i="15"/>
  <c r="H1080" i="15"/>
  <c r="H1081" i="15"/>
  <c r="H1082" i="15"/>
  <c r="H1083" i="15"/>
  <c r="H1084" i="15"/>
  <c r="H1085" i="15"/>
  <c r="H1086" i="15"/>
  <c r="H1087" i="15"/>
  <c r="H1088" i="15"/>
  <c r="H1089" i="15"/>
  <c r="H1090" i="15"/>
  <c r="H1091" i="15"/>
  <c r="H1092" i="15"/>
  <c r="H1093" i="15"/>
  <c r="H1094" i="15"/>
  <c r="H1095" i="15"/>
  <c r="H1096" i="15"/>
  <c r="H1097" i="15"/>
  <c r="H1098" i="15"/>
  <c r="H1099" i="15"/>
  <c r="H1100" i="15"/>
  <c r="H1101" i="15"/>
  <c r="H1102" i="15"/>
  <c r="H1103" i="15"/>
  <c r="H1104" i="15"/>
  <c r="H1105" i="15"/>
  <c r="H1106" i="15"/>
  <c r="H1107" i="15"/>
  <c r="H1108" i="15"/>
  <c r="H1109" i="15"/>
  <c r="H1110" i="15"/>
  <c r="H1111" i="15"/>
  <c r="H1112" i="15"/>
  <c r="H1113" i="15"/>
  <c r="H1114" i="15"/>
  <c r="H1115" i="15"/>
  <c r="H1116" i="15"/>
  <c r="H1117" i="15"/>
  <c r="H1118" i="15"/>
  <c r="H1119" i="15"/>
  <c r="H1120" i="15"/>
  <c r="H1121" i="15"/>
  <c r="H1122" i="15"/>
  <c r="H1123" i="15"/>
  <c r="H1124" i="15"/>
  <c r="H1125" i="15"/>
  <c r="H1126" i="15"/>
  <c r="H1127" i="15"/>
  <c r="H1128" i="15"/>
  <c r="H1129" i="15"/>
  <c r="H1130" i="15"/>
  <c r="H1131" i="15"/>
  <c r="H1132" i="15"/>
  <c r="H1133" i="15"/>
  <c r="H1134" i="15"/>
  <c r="H1135" i="15"/>
  <c r="H1136" i="15"/>
  <c r="H1137" i="15"/>
  <c r="H1138" i="15"/>
  <c r="H1139" i="15"/>
  <c r="H1140" i="15"/>
  <c r="H1141" i="15"/>
  <c r="H1142" i="15"/>
  <c r="H1143" i="15"/>
  <c r="H1144" i="15"/>
  <c r="H1145" i="15"/>
  <c r="H1146" i="15"/>
  <c r="H1147" i="15"/>
  <c r="H1148" i="15"/>
  <c r="H1149" i="15"/>
  <c r="H1150" i="15"/>
  <c r="H1151" i="15"/>
  <c r="H1152" i="15"/>
  <c r="H1153" i="15"/>
  <c r="H1154" i="15"/>
  <c r="H1155" i="15"/>
  <c r="H1156" i="15"/>
  <c r="H1157" i="15"/>
  <c r="H1158" i="15"/>
  <c r="H1159" i="15"/>
  <c r="H1160" i="15"/>
  <c r="H1161" i="15"/>
  <c r="H1162" i="15"/>
  <c r="H1163" i="15"/>
  <c r="H1164" i="15"/>
  <c r="H1165" i="15"/>
  <c r="H1166" i="15"/>
  <c r="H1167" i="15"/>
  <c r="H1168" i="15"/>
  <c r="H1169" i="15"/>
  <c r="H1170" i="15"/>
  <c r="H1171" i="15"/>
  <c r="H1172" i="15"/>
  <c r="H1173" i="15"/>
  <c r="H1174" i="15"/>
  <c r="H1175" i="15"/>
  <c r="H1176" i="15"/>
  <c r="H1177" i="15"/>
  <c r="H1178" i="15"/>
  <c r="H1179" i="15"/>
  <c r="H1180" i="15"/>
  <c r="H1181" i="15"/>
  <c r="H1182" i="15"/>
  <c r="H1183" i="15"/>
  <c r="H1184" i="15"/>
  <c r="H1185" i="15"/>
  <c r="H1186" i="15"/>
  <c r="H1187" i="15"/>
  <c r="H1188" i="15"/>
  <c r="H1189" i="15"/>
  <c r="H1190" i="15"/>
  <c r="H1191" i="15"/>
  <c r="H1192" i="15"/>
  <c r="H1193" i="15"/>
  <c r="H1194" i="15"/>
  <c r="H1195" i="15"/>
  <c r="H1196" i="15"/>
  <c r="H1197" i="15"/>
  <c r="H1198" i="15"/>
  <c r="H1199" i="15"/>
  <c r="H1200" i="15"/>
  <c r="H1201" i="15"/>
  <c r="H1202" i="15"/>
  <c r="H1203" i="15"/>
  <c r="H1204" i="15"/>
  <c r="H1205" i="15"/>
  <c r="H1206" i="15"/>
  <c r="H1207" i="15"/>
  <c r="H1208" i="15"/>
  <c r="H1209" i="15"/>
  <c r="H1210" i="15"/>
  <c r="H1211" i="15"/>
  <c r="H1212" i="15"/>
  <c r="H1213" i="15"/>
  <c r="H1214" i="15"/>
  <c r="H1215" i="15"/>
  <c r="H1216" i="15"/>
  <c r="H1217" i="15"/>
  <c r="H1218" i="15"/>
  <c r="H1219" i="15"/>
  <c r="H1220" i="15"/>
  <c r="H1221" i="15"/>
  <c r="H1222" i="15"/>
  <c r="H1223" i="15"/>
  <c r="H1224" i="15"/>
  <c r="H1225" i="15"/>
  <c r="H1226" i="15"/>
  <c r="H1227" i="15"/>
  <c r="H1228" i="15"/>
  <c r="H1229" i="15"/>
  <c r="H1230" i="15"/>
  <c r="H1231" i="15"/>
  <c r="H1232" i="15"/>
  <c r="H1233" i="15"/>
  <c r="H1234" i="15"/>
  <c r="H1235" i="15"/>
  <c r="H1236" i="15"/>
  <c r="H1237" i="15"/>
  <c r="H1238" i="15"/>
  <c r="H1239" i="15"/>
  <c r="H1240" i="15"/>
  <c r="H1241" i="15"/>
  <c r="H1242" i="15"/>
  <c r="H1243" i="15"/>
  <c r="H1244" i="15"/>
  <c r="H1245" i="15"/>
  <c r="H1246" i="15"/>
  <c r="H1247" i="15"/>
  <c r="H1248" i="15"/>
  <c r="H1249" i="15"/>
  <c r="H1250" i="15"/>
  <c r="H1251" i="15"/>
  <c r="H1252" i="15"/>
  <c r="H1253" i="15"/>
  <c r="H1254" i="15"/>
  <c r="H1255" i="15"/>
  <c r="H1256" i="15"/>
  <c r="H1257" i="15"/>
  <c r="H1258" i="15"/>
  <c r="H1259" i="15"/>
  <c r="H1260" i="15"/>
  <c r="H1261" i="15"/>
  <c r="H1262" i="15"/>
  <c r="H1263" i="15"/>
  <c r="H1264" i="15"/>
  <c r="H1265" i="15"/>
  <c r="H1266" i="15"/>
  <c r="H1267" i="15"/>
  <c r="H1268" i="15"/>
  <c r="H1269" i="15"/>
  <c r="H1270" i="15"/>
  <c r="H1271" i="15"/>
  <c r="H1272" i="15"/>
  <c r="H1273" i="15"/>
  <c r="H1274" i="15"/>
  <c r="H1275" i="15"/>
  <c r="H1276" i="15"/>
  <c r="H1277" i="15"/>
  <c r="H1278" i="15"/>
  <c r="H1279" i="15"/>
  <c r="H1280" i="15"/>
  <c r="H1281" i="15"/>
  <c r="H1282" i="15"/>
  <c r="H1283" i="15"/>
  <c r="H1284" i="15"/>
  <c r="H1285" i="15"/>
  <c r="H1286" i="15"/>
  <c r="H1287" i="15"/>
  <c r="H1288" i="15"/>
  <c r="H1289" i="15"/>
  <c r="H1290" i="15"/>
  <c r="H1291" i="15"/>
  <c r="H1292" i="15"/>
  <c r="H1293" i="15"/>
  <c r="H1294" i="15"/>
  <c r="H1295" i="15"/>
  <c r="H1296" i="15"/>
  <c r="H1297" i="15"/>
  <c r="H1298" i="15"/>
  <c r="H1299" i="15"/>
  <c r="H1300" i="15"/>
  <c r="H1301" i="15"/>
  <c r="H1302" i="15"/>
  <c r="H1303" i="15"/>
  <c r="H1304" i="15"/>
  <c r="H1305" i="15"/>
  <c r="H1306" i="15"/>
  <c r="H1307" i="15"/>
  <c r="H1308" i="15"/>
  <c r="H1309" i="15"/>
  <c r="H1310" i="15"/>
  <c r="H1311" i="15"/>
  <c r="H1312" i="15"/>
  <c r="H1313" i="15"/>
  <c r="H1314" i="15"/>
  <c r="H1315" i="15"/>
  <c r="H1316" i="15"/>
  <c r="H1317" i="15"/>
  <c r="H1318" i="15"/>
  <c r="H1319" i="15"/>
  <c r="H1320" i="15"/>
  <c r="H1321" i="15"/>
  <c r="H1322" i="15"/>
  <c r="H1323" i="15"/>
  <c r="H1324" i="15"/>
  <c r="H1325" i="15"/>
  <c r="H1326" i="15"/>
  <c r="H1327" i="15"/>
  <c r="H1328" i="15"/>
  <c r="H1329" i="15"/>
  <c r="H1330" i="15"/>
  <c r="H1331" i="15"/>
  <c r="H1332" i="15"/>
  <c r="H1333" i="15"/>
  <c r="H1334" i="15"/>
  <c r="H1335" i="15"/>
  <c r="H1336" i="15"/>
  <c r="H1337" i="15"/>
  <c r="H1338" i="15"/>
  <c r="H1339" i="15"/>
  <c r="H1340" i="15"/>
  <c r="H1341" i="15"/>
  <c r="H1342" i="15"/>
  <c r="H1343" i="15"/>
  <c r="H1344" i="15"/>
  <c r="H1345" i="15"/>
  <c r="H1346" i="15"/>
  <c r="H1347" i="15"/>
  <c r="H1348" i="15"/>
  <c r="H1349" i="15"/>
  <c r="H1350" i="15"/>
  <c r="H1351" i="15"/>
  <c r="H1352" i="15"/>
  <c r="H1353" i="15"/>
  <c r="H1354" i="15"/>
  <c r="H1355" i="15"/>
  <c r="H1356" i="15"/>
  <c r="H1357" i="15"/>
  <c r="H1358" i="15"/>
  <c r="H1359" i="15"/>
  <c r="H1360" i="15"/>
  <c r="H1361" i="15"/>
  <c r="H1362" i="15"/>
  <c r="H1363" i="15"/>
  <c r="H1364" i="15"/>
  <c r="H1365" i="15"/>
  <c r="H1366" i="15"/>
  <c r="H1367" i="15"/>
  <c r="H1368" i="15"/>
  <c r="H1369" i="15"/>
  <c r="H1370" i="15"/>
  <c r="H1371" i="15"/>
  <c r="H1372" i="15"/>
  <c r="H1373" i="15"/>
  <c r="H1374" i="15"/>
  <c r="H1375" i="15"/>
  <c r="H1376" i="15"/>
  <c r="H1377" i="15"/>
  <c r="H1378" i="15"/>
  <c r="H1379" i="15"/>
  <c r="H1380" i="15"/>
  <c r="H1381" i="15"/>
  <c r="H1382" i="15"/>
  <c r="H1383" i="15"/>
  <c r="H1384" i="15"/>
  <c r="H1385" i="15"/>
  <c r="H1386" i="15"/>
  <c r="H1387" i="15"/>
  <c r="H1388" i="15"/>
  <c r="H1389" i="15"/>
  <c r="H1390" i="15"/>
  <c r="H1391" i="15"/>
  <c r="H1392" i="15"/>
  <c r="H1393" i="15"/>
  <c r="H1394" i="15"/>
  <c r="H1395" i="15"/>
  <c r="H1396" i="15"/>
  <c r="H1397" i="15"/>
  <c r="H1398" i="15"/>
  <c r="H1399" i="15"/>
  <c r="H1400" i="15"/>
  <c r="H1401" i="15"/>
  <c r="H1402" i="15"/>
  <c r="H1403" i="15"/>
  <c r="H1404" i="15"/>
  <c r="H1405" i="15"/>
  <c r="H1406" i="15"/>
  <c r="H1407" i="15"/>
  <c r="H1408" i="15"/>
  <c r="H1409" i="15"/>
  <c r="H1410" i="15"/>
  <c r="H1411" i="15"/>
  <c r="H1412" i="15"/>
  <c r="H1413" i="15"/>
  <c r="H1414" i="15"/>
  <c r="H1415" i="15"/>
  <c r="H1416" i="15"/>
  <c r="H1417" i="15"/>
  <c r="H1418" i="15"/>
  <c r="H1419" i="15"/>
  <c r="H1420" i="15"/>
  <c r="H1421" i="15"/>
  <c r="H1422" i="15"/>
  <c r="H1423" i="15"/>
  <c r="H1424" i="15"/>
  <c r="H1425" i="15"/>
  <c r="H1426" i="15"/>
  <c r="H1427" i="15"/>
  <c r="H1428" i="15"/>
  <c r="H1429" i="15"/>
  <c r="H1430" i="15"/>
  <c r="H1431" i="15"/>
  <c r="H1432" i="15"/>
  <c r="H1433" i="15"/>
  <c r="H1434" i="15"/>
  <c r="H1435" i="15"/>
  <c r="H1436" i="15"/>
  <c r="H1437" i="15"/>
  <c r="H1438" i="15"/>
  <c r="H1439" i="15"/>
  <c r="H1440" i="15"/>
  <c r="H1441" i="15"/>
  <c r="H1442" i="15"/>
  <c r="H1443" i="15"/>
  <c r="H1444" i="15"/>
  <c r="H1445" i="15"/>
  <c r="H1446" i="15"/>
  <c r="H1447" i="15"/>
  <c r="H1448" i="15"/>
  <c r="H1449" i="15"/>
  <c r="H1450" i="15"/>
  <c r="H1451" i="15"/>
  <c r="H1452" i="15"/>
  <c r="H1453" i="15"/>
  <c r="H1454" i="15"/>
  <c r="H1455" i="15"/>
  <c r="H1456" i="15"/>
  <c r="H1457" i="15"/>
  <c r="H1458" i="15"/>
  <c r="H1459" i="15"/>
  <c r="H1460" i="15"/>
  <c r="H1461" i="15"/>
  <c r="H1462" i="15"/>
  <c r="H1463" i="15"/>
  <c r="H1464" i="15"/>
  <c r="H1465" i="15"/>
  <c r="H1466" i="15"/>
  <c r="H1467" i="15"/>
  <c r="H1468" i="15"/>
  <c r="H1469" i="15"/>
  <c r="H1470" i="15"/>
  <c r="H1471" i="15"/>
  <c r="H1472" i="15"/>
  <c r="H1473" i="15"/>
  <c r="H1474" i="15"/>
  <c r="H1475" i="15"/>
  <c r="H1476" i="15"/>
  <c r="H1477" i="15"/>
  <c r="H1478" i="15"/>
  <c r="H1479" i="15"/>
  <c r="H1480" i="15"/>
  <c r="H1481" i="15"/>
  <c r="H1482" i="15"/>
  <c r="H1483" i="15"/>
  <c r="H1484" i="15"/>
  <c r="H1485" i="15"/>
  <c r="H1486" i="15"/>
  <c r="H1487" i="15"/>
  <c r="H1488" i="15"/>
  <c r="H1489" i="15"/>
  <c r="H1490" i="15"/>
  <c r="H1491" i="15"/>
  <c r="H1492" i="15"/>
  <c r="H1493" i="15"/>
  <c r="H1494" i="15"/>
  <c r="H1495" i="15"/>
  <c r="H1496" i="15"/>
  <c r="H1497" i="15"/>
  <c r="H1498" i="15"/>
  <c r="H1499" i="15"/>
  <c r="H1500" i="15"/>
  <c r="H1501" i="15"/>
  <c r="H1502" i="15"/>
  <c r="H1503" i="15"/>
  <c r="H1504" i="15"/>
  <c r="H1505" i="15"/>
  <c r="H1506" i="15"/>
  <c r="H1507" i="15"/>
  <c r="H1508" i="15"/>
  <c r="H1509" i="15"/>
  <c r="H1510" i="15"/>
  <c r="H1511" i="15"/>
  <c r="H1512" i="15"/>
  <c r="H1513" i="15"/>
  <c r="H1514" i="15"/>
  <c r="H1515" i="15"/>
  <c r="H1516" i="15"/>
  <c r="H1517" i="15"/>
  <c r="H1518" i="15"/>
  <c r="H1519" i="15"/>
  <c r="H1520" i="15"/>
  <c r="H1521" i="15"/>
  <c r="H1522" i="15"/>
  <c r="H1523" i="15"/>
  <c r="H1524" i="15"/>
  <c r="H1525" i="15"/>
  <c r="H1526" i="15"/>
  <c r="H1527" i="15"/>
  <c r="H1528" i="15"/>
  <c r="H1529" i="15"/>
  <c r="H1530" i="15"/>
  <c r="H1531" i="15"/>
  <c r="H1532" i="15"/>
  <c r="H1533" i="15"/>
  <c r="H1534" i="15"/>
  <c r="H1535" i="15"/>
  <c r="H1536" i="15"/>
  <c r="H1537" i="15"/>
  <c r="H1538" i="15"/>
  <c r="H1539" i="15"/>
  <c r="H1540" i="15"/>
  <c r="H1541" i="15"/>
  <c r="H1542" i="15"/>
  <c r="H1543" i="15"/>
  <c r="H1544" i="15"/>
  <c r="H1545" i="15"/>
  <c r="H1546" i="15"/>
  <c r="H1547" i="15"/>
  <c r="H1548" i="15"/>
  <c r="H1549" i="15"/>
  <c r="H1550" i="15"/>
  <c r="H1551" i="15"/>
  <c r="H1552" i="15"/>
  <c r="H1553" i="15"/>
  <c r="H1554" i="15"/>
  <c r="H1555" i="15"/>
  <c r="H1556" i="15"/>
  <c r="H1557" i="15"/>
  <c r="H1558" i="15"/>
  <c r="H1559" i="15"/>
  <c r="H1560" i="15"/>
  <c r="H1561" i="15"/>
  <c r="H1562" i="15"/>
  <c r="H1563" i="15"/>
  <c r="H1564" i="15"/>
  <c r="H1565" i="15"/>
  <c r="H1566" i="15"/>
  <c r="H1567" i="15"/>
  <c r="H1568" i="15"/>
  <c r="H1569" i="15"/>
  <c r="H1570" i="15"/>
  <c r="H1571" i="15"/>
  <c r="H1572" i="15"/>
  <c r="H1573" i="15"/>
  <c r="H1574" i="15"/>
  <c r="H1575" i="15"/>
  <c r="H1576" i="15"/>
  <c r="H1577" i="15"/>
  <c r="H1578" i="15"/>
  <c r="H1579" i="15"/>
  <c r="H1580" i="15"/>
  <c r="H1581" i="15"/>
  <c r="H1582" i="15"/>
  <c r="H1583" i="15"/>
  <c r="H1584" i="15"/>
  <c r="H1585" i="15"/>
  <c r="H1586" i="15"/>
  <c r="H1587" i="15"/>
  <c r="H1588" i="15"/>
  <c r="H1589" i="15"/>
  <c r="H1590" i="15"/>
  <c r="H1591" i="15"/>
  <c r="H1592" i="15"/>
  <c r="H1593" i="15"/>
  <c r="H1594" i="15"/>
  <c r="H1595" i="15"/>
  <c r="H1596" i="15"/>
  <c r="H1597" i="15"/>
  <c r="H1598" i="15"/>
  <c r="H1599" i="15"/>
  <c r="H1600" i="15"/>
  <c r="H1601" i="15"/>
  <c r="H1602" i="15"/>
  <c r="H1603" i="15"/>
  <c r="H1604" i="15"/>
  <c r="H1605" i="15"/>
  <c r="H1606" i="15"/>
  <c r="H1607" i="15"/>
  <c r="H1608" i="15"/>
  <c r="H1609" i="15"/>
  <c r="H1610" i="15"/>
  <c r="H1611" i="15"/>
  <c r="H1612" i="15"/>
  <c r="H1613" i="15"/>
  <c r="H1614" i="15"/>
  <c r="H1615" i="15"/>
  <c r="H1616" i="15"/>
  <c r="H1617" i="15"/>
  <c r="H1618" i="15"/>
  <c r="H1619" i="15"/>
  <c r="H1620" i="15"/>
  <c r="H1621" i="15"/>
  <c r="H1622" i="15"/>
  <c r="H1623" i="15"/>
  <c r="H1624" i="15"/>
  <c r="H1625" i="15"/>
  <c r="H1626" i="15"/>
  <c r="H1627" i="15"/>
  <c r="H1628" i="15"/>
  <c r="H1629" i="15"/>
  <c r="H1630" i="15"/>
  <c r="H1631" i="15"/>
  <c r="H1632" i="15"/>
  <c r="H1633" i="15"/>
  <c r="H1634" i="15"/>
  <c r="H1635" i="15"/>
  <c r="H1636" i="15"/>
  <c r="H1637" i="15"/>
  <c r="H1638" i="15"/>
  <c r="H1639" i="15"/>
  <c r="H1640" i="15"/>
  <c r="H1641" i="15"/>
  <c r="H1642" i="15"/>
  <c r="H1643" i="15"/>
  <c r="H1644" i="15"/>
  <c r="H1645" i="15"/>
  <c r="H1646" i="15"/>
  <c r="H1647" i="15"/>
  <c r="H1648" i="15"/>
  <c r="H1649" i="15"/>
  <c r="H1650" i="15"/>
  <c r="H1651" i="15"/>
  <c r="H1652" i="15"/>
  <c r="H1653" i="15"/>
  <c r="H1654" i="15"/>
  <c r="H1655" i="15"/>
  <c r="H1656" i="15"/>
  <c r="H1657" i="15"/>
  <c r="H1658" i="15"/>
  <c r="H1659" i="15"/>
  <c r="H1660" i="15"/>
  <c r="H1661" i="15"/>
  <c r="H1662" i="15"/>
  <c r="H1663" i="15"/>
  <c r="H1664" i="15"/>
  <c r="H1665" i="15"/>
  <c r="H1666" i="15"/>
  <c r="H1667" i="15"/>
  <c r="H1668" i="15"/>
  <c r="H1669" i="15"/>
  <c r="H1670" i="15"/>
  <c r="H1671" i="15"/>
  <c r="H1672" i="15"/>
  <c r="H1673" i="15"/>
  <c r="H1674" i="15"/>
  <c r="H1675" i="15"/>
  <c r="H1676" i="15"/>
  <c r="H1677" i="15"/>
  <c r="H1678" i="15"/>
  <c r="H1679" i="15"/>
  <c r="H1680" i="15"/>
  <c r="H1681" i="15"/>
  <c r="H1682" i="15"/>
  <c r="H1683" i="15"/>
  <c r="H1684" i="15"/>
  <c r="H1685" i="15"/>
  <c r="H1686" i="15"/>
  <c r="H1687" i="15"/>
  <c r="H1688" i="15"/>
  <c r="H1689" i="15"/>
  <c r="H1690" i="15"/>
  <c r="H1691" i="15"/>
  <c r="H1692" i="15"/>
  <c r="H1693" i="15"/>
  <c r="H1694" i="15"/>
  <c r="H1695" i="15"/>
  <c r="H1696" i="15"/>
  <c r="H1697" i="15"/>
  <c r="H1698" i="15"/>
  <c r="H1699" i="15"/>
  <c r="H1700" i="15"/>
  <c r="H1701" i="15"/>
  <c r="H1702" i="15"/>
  <c r="H1703" i="15"/>
  <c r="H1704" i="15"/>
  <c r="H1705" i="15"/>
  <c r="H1706" i="15"/>
  <c r="H1707" i="15"/>
  <c r="H1708" i="15"/>
  <c r="H1709" i="15"/>
  <c r="H1710" i="15"/>
  <c r="H1711" i="15"/>
  <c r="H1712" i="15"/>
  <c r="H1713" i="15"/>
  <c r="H1714" i="15"/>
  <c r="H1715" i="15"/>
  <c r="H1716" i="15"/>
  <c r="H1717" i="15"/>
  <c r="H1718" i="15"/>
  <c r="H1719" i="15"/>
  <c r="H1720" i="15"/>
  <c r="H1721" i="15"/>
  <c r="H1722" i="15"/>
  <c r="H1723" i="15"/>
  <c r="H1724" i="15"/>
  <c r="H1725" i="15"/>
  <c r="H1726" i="15"/>
  <c r="H1727" i="15"/>
  <c r="H1728" i="15"/>
  <c r="H1729" i="15"/>
  <c r="H1730" i="15"/>
  <c r="H1731" i="15"/>
  <c r="H1732" i="15"/>
  <c r="H1733" i="15"/>
  <c r="H1734" i="15"/>
  <c r="H1735" i="15"/>
  <c r="H1736" i="15"/>
  <c r="H1737" i="15"/>
  <c r="H1738" i="15"/>
  <c r="H1739" i="15"/>
  <c r="H1740" i="15"/>
  <c r="H1741" i="15"/>
  <c r="H1742" i="15"/>
  <c r="H1743" i="15"/>
  <c r="H1744" i="15"/>
  <c r="H1745" i="15"/>
  <c r="H1746" i="15"/>
  <c r="H1747" i="15"/>
  <c r="H1748" i="15"/>
  <c r="H1749" i="15"/>
  <c r="H1750" i="15"/>
  <c r="H1751" i="15"/>
  <c r="H1752" i="15"/>
  <c r="H1753" i="15"/>
  <c r="H1754" i="15"/>
  <c r="H1755" i="15"/>
  <c r="H1756" i="15"/>
  <c r="H1757" i="15"/>
  <c r="H1758" i="15"/>
  <c r="H1759" i="15"/>
  <c r="H1760" i="15"/>
  <c r="H1761" i="15"/>
  <c r="H1762" i="15"/>
  <c r="H1763" i="15"/>
  <c r="H1764" i="15"/>
  <c r="H1765" i="15"/>
  <c r="H1766" i="15"/>
  <c r="H1767" i="15"/>
  <c r="H1768" i="15"/>
  <c r="H1769" i="15"/>
  <c r="H1770" i="15"/>
  <c r="H1771" i="15"/>
  <c r="H1772" i="15"/>
  <c r="H1773" i="15"/>
  <c r="H1774" i="15"/>
  <c r="H1775" i="15"/>
  <c r="H1776" i="15"/>
  <c r="H1777" i="15"/>
  <c r="H1778" i="15"/>
  <c r="H1779" i="15"/>
  <c r="H1780" i="15"/>
  <c r="H1781" i="15"/>
  <c r="H1782" i="15"/>
  <c r="H1783" i="15"/>
  <c r="H1784" i="15"/>
  <c r="H1785" i="15"/>
  <c r="H1786" i="15"/>
  <c r="H1787" i="15"/>
  <c r="H1788" i="15"/>
  <c r="H1789" i="15"/>
  <c r="H1790" i="15"/>
  <c r="H1791" i="15"/>
  <c r="H1792" i="15"/>
  <c r="H1793" i="15"/>
  <c r="H1794" i="15"/>
  <c r="H1795" i="15"/>
  <c r="H1796" i="15"/>
  <c r="H1797" i="15"/>
  <c r="H1798" i="15"/>
  <c r="H1799" i="15"/>
  <c r="H1800" i="15"/>
  <c r="H1801" i="15"/>
  <c r="H1802" i="15"/>
  <c r="H1803" i="15"/>
  <c r="H1804" i="15"/>
  <c r="H1805" i="15"/>
  <c r="H1806" i="15"/>
  <c r="H1807" i="15"/>
  <c r="H1808" i="15"/>
  <c r="H1809" i="15"/>
  <c r="H1810" i="15"/>
  <c r="H1811" i="15"/>
  <c r="H1812" i="15"/>
  <c r="H1813" i="15"/>
  <c r="H1814" i="15"/>
  <c r="H1815" i="15"/>
  <c r="H1816" i="15"/>
  <c r="H1817" i="15"/>
  <c r="H1818" i="15"/>
  <c r="H1819" i="15"/>
  <c r="H1820" i="15"/>
  <c r="H1821" i="15"/>
  <c r="H1822" i="15"/>
  <c r="H1823" i="15"/>
  <c r="H1824" i="15"/>
  <c r="H1825" i="15"/>
  <c r="H1826" i="15"/>
  <c r="H1827" i="15"/>
  <c r="H1828" i="15"/>
  <c r="H1829" i="15"/>
  <c r="H1830" i="15"/>
  <c r="H1831" i="15"/>
  <c r="H1832" i="15"/>
  <c r="H1833" i="15"/>
  <c r="H1834" i="15"/>
  <c r="H1835" i="15"/>
  <c r="H1836" i="15"/>
  <c r="H1837" i="15"/>
  <c r="H1838" i="15"/>
  <c r="H1839" i="15"/>
  <c r="H1840" i="15"/>
  <c r="H1841" i="15"/>
  <c r="H1842" i="15"/>
  <c r="H1843" i="15"/>
  <c r="H1844" i="15"/>
  <c r="H1845" i="15"/>
  <c r="H1846" i="15"/>
  <c r="H1847" i="15"/>
  <c r="H1848" i="15"/>
  <c r="H1849" i="15"/>
  <c r="H1850" i="15"/>
  <c r="H1851" i="15"/>
  <c r="H1852" i="15"/>
  <c r="H1853" i="15"/>
  <c r="H1854" i="15"/>
  <c r="H1855" i="15"/>
  <c r="H1856" i="15"/>
  <c r="H1857" i="15"/>
  <c r="H1858" i="15"/>
  <c r="H1859" i="15"/>
  <c r="H1860" i="15"/>
  <c r="H1861" i="15"/>
  <c r="H1862" i="15"/>
  <c r="H1863" i="15"/>
  <c r="H1864" i="15"/>
  <c r="H1865" i="15"/>
  <c r="H1866" i="15"/>
  <c r="H1867" i="15"/>
  <c r="H1868" i="15"/>
  <c r="H1869" i="15"/>
  <c r="H1870" i="15"/>
  <c r="H1871" i="15"/>
  <c r="H1872" i="15"/>
  <c r="H1873" i="15"/>
  <c r="H1874" i="15"/>
  <c r="H1875" i="15"/>
  <c r="H1876" i="15"/>
  <c r="H1877" i="15"/>
  <c r="H1878" i="15"/>
  <c r="H1879" i="15"/>
  <c r="H1880" i="15"/>
  <c r="H1881" i="15"/>
  <c r="H1882" i="15"/>
  <c r="H1883" i="15"/>
  <c r="H1884" i="15"/>
  <c r="H1885" i="15"/>
  <c r="H1886" i="15"/>
  <c r="H1887" i="15"/>
  <c r="H1888" i="15"/>
  <c r="H1889" i="15"/>
  <c r="H1890" i="15"/>
  <c r="H1891" i="15"/>
  <c r="H1892" i="15"/>
  <c r="H1893" i="15"/>
  <c r="H1894" i="15"/>
  <c r="H1895" i="15"/>
  <c r="H1896" i="15"/>
  <c r="H1897" i="15"/>
  <c r="H1898" i="15"/>
  <c r="H1899" i="15"/>
  <c r="H1900" i="15"/>
  <c r="H1901" i="15"/>
  <c r="H1902" i="15"/>
  <c r="H1903" i="15"/>
  <c r="H1904" i="15"/>
  <c r="H1905" i="15"/>
  <c r="H1906" i="15"/>
  <c r="H1907" i="15"/>
  <c r="H1908" i="15"/>
  <c r="H1909" i="15"/>
  <c r="H1910" i="15"/>
  <c r="H1911" i="15"/>
  <c r="H1912" i="15"/>
  <c r="H1913" i="15"/>
  <c r="H1914" i="15"/>
  <c r="H1915" i="15"/>
  <c r="H1916" i="15"/>
  <c r="H1917" i="15"/>
  <c r="H1918" i="15"/>
  <c r="H1919" i="15"/>
  <c r="H1920" i="15"/>
  <c r="H1921" i="15"/>
  <c r="H1922" i="15"/>
  <c r="H1923" i="15"/>
  <c r="H1924" i="15"/>
  <c r="H1925" i="15"/>
  <c r="H1926" i="15"/>
  <c r="H1927" i="15"/>
  <c r="H1928" i="15"/>
  <c r="H1929" i="15"/>
  <c r="H1930" i="15"/>
  <c r="H1931" i="15"/>
  <c r="H1932" i="15"/>
  <c r="H1933" i="15"/>
  <c r="H1934" i="15"/>
  <c r="H1935" i="15"/>
  <c r="H1936" i="15"/>
  <c r="H1937" i="15"/>
  <c r="H1938" i="15"/>
  <c r="H1939" i="15"/>
  <c r="H1940" i="15"/>
  <c r="H1941" i="15"/>
  <c r="H1942" i="15"/>
  <c r="H1943" i="15"/>
  <c r="H1944" i="15"/>
  <c r="H1945" i="15"/>
  <c r="H1946" i="15"/>
  <c r="H1947" i="15"/>
  <c r="H1948" i="15"/>
  <c r="H1949" i="15"/>
  <c r="H1950" i="15"/>
  <c r="H1951" i="15"/>
  <c r="H1952" i="15"/>
  <c r="H1953" i="15"/>
  <c r="H1954" i="15"/>
  <c r="H1955" i="15"/>
  <c r="H1956" i="15"/>
  <c r="H1957" i="15"/>
  <c r="H1958" i="15"/>
  <c r="H1959" i="15"/>
  <c r="H1960" i="15"/>
  <c r="H1961" i="15"/>
  <c r="H1962" i="15"/>
  <c r="H1963" i="15"/>
  <c r="H1964" i="15"/>
  <c r="H1965" i="15"/>
  <c r="H1966" i="15"/>
  <c r="H1967" i="15"/>
  <c r="H1968" i="15"/>
  <c r="H1969" i="15"/>
  <c r="H1970" i="15"/>
  <c r="H1971" i="15"/>
  <c r="H1972" i="15"/>
  <c r="H1973" i="15"/>
  <c r="H1974" i="15"/>
  <c r="H1975" i="15"/>
  <c r="H1976" i="15"/>
  <c r="H1977" i="15"/>
  <c r="H1978" i="15"/>
  <c r="H1979" i="15"/>
  <c r="H1980" i="15"/>
  <c r="H1981" i="15"/>
  <c r="H1982" i="15"/>
  <c r="H1983" i="15"/>
  <c r="H1984" i="15"/>
  <c r="H1985" i="15"/>
  <c r="H1986" i="15"/>
  <c r="H1987" i="15"/>
  <c r="H1988" i="15"/>
  <c r="H1989" i="15"/>
  <c r="H1990" i="15"/>
  <c r="H1991" i="15"/>
  <c r="H1992" i="15"/>
  <c r="H1993" i="15"/>
  <c r="H1994" i="15"/>
  <c r="H1995" i="15"/>
  <c r="H1996" i="15"/>
  <c r="H1997" i="15"/>
  <c r="H1998" i="15"/>
  <c r="H1999" i="15"/>
  <c r="H2000" i="15"/>
  <c r="H2001" i="15"/>
  <c r="H2002" i="15"/>
  <c r="H2003" i="15"/>
  <c r="H2004" i="15"/>
  <c r="H2005" i="15"/>
  <c r="H2006" i="15"/>
  <c r="H2007" i="15"/>
  <c r="H2008" i="15"/>
  <c r="H2009" i="15"/>
  <c r="H2010" i="15"/>
  <c r="H2011" i="15"/>
  <c r="H2012" i="15"/>
  <c r="H2013" i="15"/>
  <c r="H2014" i="15"/>
  <c r="H2015" i="15"/>
  <c r="H2016" i="15"/>
  <c r="H2017" i="15"/>
  <c r="H2018" i="15"/>
  <c r="H2019" i="15"/>
  <c r="H2020" i="15"/>
  <c r="H2021" i="15"/>
  <c r="H2022" i="15"/>
  <c r="H2023" i="15"/>
  <c r="H2024" i="15"/>
  <c r="H2025" i="15"/>
  <c r="H2026" i="15"/>
  <c r="H2027" i="15"/>
  <c r="H2028" i="15"/>
  <c r="H2029" i="15"/>
  <c r="H2030" i="15"/>
  <c r="H2031" i="15"/>
  <c r="H2032" i="15"/>
  <c r="H2033" i="15"/>
  <c r="H2034" i="15"/>
  <c r="H2035" i="15"/>
  <c r="H2036" i="15"/>
  <c r="H2037" i="15"/>
  <c r="H2038" i="15"/>
  <c r="H2039" i="15"/>
  <c r="H2040" i="15"/>
  <c r="H2041" i="15"/>
  <c r="H2042" i="15"/>
  <c r="H2043" i="15"/>
  <c r="H2044" i="15"/>
  <c r="H2045" i="15"/>
  <c r="H2046" i="15"/>
  <c r="H2047" i="15"/>
  <c r="H2048" i="15"/>
  <c r="H2049" i="15"/>
  <c r="H2050" i="15"/>
  <c r="H2051" i="15"/>
  <c r="H2052" i="15"/>
  <c r="H2053" i="15"/>
  <c r="H2054" i="15"/>
  <c r="H2055" i="15"/>
  <c r="H2056" i="15"/>
  <c r="H2057" i="15"/>
  <c r="H2058" i="15"/>
  <c r="H2059" i="15"/>
  <c r="H2060" i="15"/>
  <c r="H2061" i="15"/>
  <c r="H2062" i="15"/>
  <c r="H2063" i="15"/>
  <c r="H2064" i="15"/>
  <c r="H2065" i="15"/>
  <c r="H2066" i="15"/>
  <c r="H2067" i="15"/>
  <c r="H2068" i="15"/>
  <c r="H2069" i="15"/>
  <c r="H2070" i="15"/>
  <c r="H2071" i="15"/>
  <c r="H2072" i="15"/>
  <c r="H2073" i="15"/>
  <c r="H2074" i="15"/>
  <c r="H2075" i="15"/>
  <c r="H2076" i="15"/>
  <c r="H2077" i="15"/>
  <c r="H2078" i="15"/>
  <c r="H2079" i="15"/>
  <c r="H2080" i="15"/>
  <c r="H2081" i="15"/>
  <c r="H2082" i="15"/>
  <c r="H2083" i="15"/>
  <c r="H2084" i="15"/>
  <c r="H2085" i="15"/>
  <c r="H2086" i="15"/>
  <c r="H2087" i="15"/>
  <c r="H2088" i="15"/>
  <c r="H2089" i="15"/>
  <c r="H2090" i="15"/>
  <c r="H2091" i="15"/>
  <c r="H2092" i="15"/>
  <c r="H2093" i="15"/>
  <c r="H2094" i="15"/>
  <c r="H2095" i="15"/>
  <c r="H2096" i="15"/>
  <c r="H2097" i="15"/>
  <c r="H2098" i="15"/>
  <c r="H2099" i="15"/>
  <c r="H2100" i="15"/>
  <c r="H2101" i="15"/>
  <c r="H2102" i="15"/>
  <c r="H2103" i="15"/>
  <c r="H2104" i="15"/>
  <c r="H2105" i="15"/>
  <c r="H2106" i="15"/>
  <c r="H2107" i="15"/>
  <c r="H2108" i="15"/>
  <c r="H2109" i="15"/>
  <c r="H2110" i="15"/>
  <c r="H2111" i="15"/>
  <c r="H2112" i="15"/>
  <c r="H2113" i="15"/>
  <c r="H2114" i="15"/>
  <c r="H2115" i="15"/>
  <c r="H2116" i="15"/>
  <c r="H2117" i="15"/>
  <c r="H2118" i="15"/>
  <c r="H2119" i="15"/>
  <c r="H2120" i="15"/>
  <c r="H2121" i="15"/>
  <c r="H2122" i="15"/>
  <c r="H2123" i="15"/>
  <c r="H2124" i="15"/>
  <c r="H2125" i="15"/>
  <c r="H2126" i="15"/>
  <c r="H2127" i="15"/>
  <c r="H2128" i="15"/>
  <c r="H2129" i="15"/>
  <c r="H2130" i="15"/>
  <c r="H2131" i="15"/>
  <c r="H2132" i="15"/>
  <c r="H2133" i="15"/>
  <c r="H2134" i="15"/>
  <c r="H2135" i="15"/>
  <c r="H2136" i="15"/>
  <c r="H2137" i="15"/>
  <c r="H2138" i="15"/>
  <c r="H2139" i="15"/>
  <c r="H2140" i="15"/>
  <c r="H2141" i="15"/>
  <c r="H2142" i="15"/>
  <c r="H2143" i="15"/>
  <c r="H2144" i="15"/>
  <c r="H2145" i="15"/>
  <c r="H2146" i="15"/>
  <c r="H2147" i="15"/>
  <c r="H2148" i="15"/>
  <c r="H2149" i="15"/>
  <c r="H2150" i="15"/>
  <c r="H2151" i="15"/>
  <c r="H2152" i="15"/>
  <c r="H2153" i="15"/>
  <c r="H2154" i="15"/>
  <c r="H2155" i="15"/>
  <c r="H2156" i="15"/>
  <c r="H2157" i="15"/>
  <c r="H2158" i="15"/>
  <c r="H2159" i="15"/>
  <c r="H2160" i="15"/>
  <c r="H2161" i="15"/>
  <c r="H2162" i="15"/>
  <c r="H2163" i="15"/>
  <c r="H2164" i="15"/>
  <c r="H2165" i="15"/>
  <c r="H2166" i="15"/>
  <c r="H2167" i="15"/>
  <c r="H2168" i="15"/>
  <c r="H2169" i="15"/>
  <c r="H2170" i="15"/>
  <c r="H2171" i="15"/>
  <c r="H2172" i="15"/>
  <c r="H2173" i="15"/>
  <c r="H2174" i="15"/>
  <c r="H2175" i="15"/>
  <c r="H2176" i="15"/>
  <c r="H2177" i="15"/>
  <c r="H2178" i="15"/>
  <c r="H2179" i="15"/>
  <c r="H2180" i="15"/>
  <c r="H2181" i="15"/>
  <c r="H2182" i="15"/>
  <c r="H2183" i="15"/>
  <c r="H2184" i="15"/>
  <c r="H2185" i="15"/>
  <c r="H2186" i="15"/>
  <c r="H2187" i="15"/>
  <c r="H2188" i="15"/>
  <c r="H2189" i="15"/>
  <c r="H2190" i="15"/>
  <c r="H2191" i="15"/>
  <c r="H2192" i="15"/>
  <c r="H2193" i="15"/>
  <c r="H2194" i="15"/>
  <c r="H2195" i="15"/>
  <c r="H2196" i="15"/>
  <c r="H2197" i="15"/>
  <c r="H2198" i="15"/>
  <c r="H2199" i="15"/>
  <c r="H2200" i="15"/>
  <c r="H2201" i="15"/>
  <c r="H2202" i="15"/>
  <c r="H2203" i="15"/>
  <c r="H2204" i="15"/>
  <c r="H2205" i="15"/>
  <c r="H2206" i="15"/>
  <c r="H2207" i="15"/>
  <c r="H2208" i="15"/>
  <c r="H2209" i="15"/>
  <c r="H2210" i="15"/>
  <c r="H2211" i="15"/>
  <c r="H2212" i="15"/>
  <c r="H2213" i="15"/>
  <c r="H2214" i="15"/>
  <c r="H2215" i="15"/>
  <c r="H2216" i="15"/>
  <c r="H2217" i="15"/>
  <c r="H2218" i="15"/>
  <c r="H2219" i="15"/>
  <c r="H2220" i="15"/>
  <c r="H2221" i="15"/>
  <c r="H2222" i="15"/>
  <c r="H2223" i="15"/>
  <c r="H2224" i="15"/>
  <c r="H2225" i="15"/>
  <c r="H2226" i="15"/>
  <c r="H2227" i="15"/>
  <c r="H2228" i="15"/>
  <c r="H2229" i="15"/>
  <c r="H2230" i="15"/>
  <c r="H2231" i="15"/>
  <c r="H2232" i="15"/>
  <c r="H2233" i="15"/>
  <c r="H2234" i="15"/>
  <c r="H2235" i="15"/>
  <c r="H2236" i="15"/>
  <c r="H2237" i="15"/>
  <c r="H2238" i="15"/>
  <c r="H2239" i="15"/>
  <c r="H2240" i="15"/>
  <c r="H2241" i="15"/>
  <c r="H2242" i="15"/>
  <c r="H2243" i="15"/>
  <c r="H2244" i="15"/>
  <c r="H2245" i="15"/>
  <c r="H2246" i="15"/>
  <c r="H2247" i="15"/>
  <c r="H2248" i="15"/>
  <c r="H2249" i="15"/>
  <c r="H2250" i="15"/>
  <c r="H2251" i="15"/>
  <c r="H2252" i="15"/>
  <c r="H2253" i="15"/>
  <c r="H2254" i="15"/>
  <c r="H2255" i="15"/>
  <c r="H2256" i="15"/>
  <c r="H2257" i="15"/>
  <c r="H2258" i="15"/>
  <c r="H2259" i="15"/>
  <c r="H2260" i="15"/>
  <c r="H2261" i="15"/>
  <c r="H2262" i="15"/>
  <c r="H2263" i="15"/>
  <c r="H2264" i="15"/>
  <c r="H2265" i="15"/>
  <c r="H2266" i="15"/>
  <c r="H2267" i="15"/>
  <c r="H2268" i="15"/>
  <c r="H2269" i="15"/>
  <c r="H2270" i="15"/>
  <c r="H2271" i="15"/>
  <c r="H2272" i="15"/>
  <c r="H2273" i="15"/>
  <c r="H2274" i="15"/>
  <c r="H2275" i="15"/>
  <c r="H2276" i="15"/>
  <c r="H2277" i="15"/>
  <c r="H2278" i="15"/>
  <c r="H2279" i="15"/>
  <c r="H2280" i="15"/>
  <c r="H2281" i="15"/>
  <c r="H2282" i="15"/>
  <c r="H2283" i="15"/>
  <c r="H2284" i="15"/>
  <c r="H2285" i="15"/>
  <c r="H2286" i="15"/>
  <c r="H2287" i="15"/>
  <c r="H2288" i="15"/>
  <c r="H2289" i="15"/>
  <c r="H2290" i="15"/>
  <c r="H2291" i="15"/>
  <c r="H2292" i="15"/>
  <c r="H2293" i="15"/>
  <c r="H2294" i="15"/>
  <c r="H2295" i="15"/>
  <c r="H2296" i="15"/>
  <c r="H2297" i="15"/>
  <c r="H2298" i="15"/>
  <c r="H2299" i="15"/>
  <c r="H2300" i="15"/>
  <c r="H2301" i="15"/>
  <c r="H2302" i="15"/>
  <c r="H2303" i="15"/>
  <c r="H2304" i="15"/>
  <c r="H2305" i="15"/>
  <c r="H2306" i="15"/>
  <c r="H2307" i="15"/>
  <c r="H2308" i="15"/>
  <c r="H2309" i="15"/>
  <c r="H2310" i="15"/>
  <c r="H2311" i="15"/>
  <c r="H2312" i="15"/>
  <c r="H2313" i="15"/>
  <c r="H2314" i="15"/>
  <c r="H2315" i="15"/>
  <c r="H2316" i="15"/>
  <c r="H2317" i="15"/>
  <c r="H2318" i="15"/>
  <c r="H2319" i="15"/>
  <c r="H2320" i="15"/>
  <c r="H2321" i="15"/>
  <c r="H2322" i="15"/>
  <c r="H2323" i="15"/>
  <c r="H2324" i="15"/>
  <c r="H2325" i="15"/>
  <c r="H2326" i="15"/>
  <c r="H2327" i="15"/>
  <c r="H2328" i="15"/>
  <c r="H2329" i="15"/>
  <c r="H2330" i="15"/>
  <c r="H2331" i="15"/>
  <c r="H2332" i="15"/>
  <c r="H2333" i="15"/>
  <c r="H2334" i="15"/>
  <c r="H2335" i="15"/>
  <c r="H2336" i="15"/>
  <c r="H2337" i="15"/>
  <c r="H2338" i="15"/>
  <c r="H2339" i="15"/>
  <c r="H2340" i="15"/>
  <c r="H2341" i="15"/>
  <c r="H2342" i="15"/>
  <c r="H2343" i="15"/>
  <c r="H2344" i="15"/>
  <c r="H2345" i="15"/>
  <c r="H2346" i="15"/>
  <c r="H2347" i="15"/>
  <c r="H2348" i="15"/>
  <c r="H2349" i="15"/>
  <c r="H2350" i="15"/>
  <c r="H2351" i="15"/>
  <c r="H2352" i="15"/>
  <c r="H2353" i="15"/>
  <c r="H2354" i="15"/>
  <c r="H2355" i="15"/>
  <c r="H2356" i="15"/>
  <c r="H2357" i="15"/>
  <c r="H2358" i="15"/>
  <c r="H2359" i="15"/>
  <c r="H2360" i="15"/>
  <c r="H2361" i="15"/>
  <c r="H2362" i="15"/>
  <c r="H2363" i="15"/>
  <c r="H2364" i="15"/>
  <c r="H2365" i="15"/>
  <c r="H2366" i="15"/>
  <c r="H2367" i="15"/>
  <c r="H2368" i="15"/>
  <c r="H2369" i="15"/>
  <c r="H2370" i="15"/>
  <c r="H2371" i="15"/>
  <c r="H2372" i="15"/>
  <c r="H2373" i="15"/>
  <c r="H2374" i="15"/>
  <c r="H2375" i="15"/>
  <c r="H2376" i="15"/>
  <c r="H2377" i="15"/>
  <c r="H2378" i="15"/>
  <c r="H2379" i="15"/>
  <c r="H2380" i="15"/>
  <c r="H2381" i="15"/>
  <c r="H2382" i="15"/>
  <c r="H2383" i="15"/>
  <c r="H2384" i="15"/>
  <c r="H2385" i="15"/>
  <c r="H2386" i="15"/>
  <c r="H2387" i="15"/>
  <c r="H2388" i="15"/>
  <c r="H2389" i="15"/>
  <c r="H2390" i="15"/>
  <c r="H2391" i="15"/>
  <c r="H2392" i="15"/>
  <c r="H2393" i="15"/>
  <c r="H2394" i="15"/>
  <c r="H2395" i="15"/>
  <c r="H2396" i="15"/>
  <c r="H2397" i="15"/>
  <c r="H2398" i="15"/>
  <c r="H2399" i="15"/>
  <c r="H2400" i="15"/>
  <c r="H2401" i="15"/>
  <c r="H2402" i="15"/>
  <c r="H2403" i="15"/>
  <c r="H2404" i="15"/>
  <c r="H2405" i="15"/>
  <c r="H2406" i="15"/>
  <c r="H2407" i="15"/>
  <c r="H2408" i="15"/>
  <c r="H2409" i="15"/>
  <c r="H2410" i="15"/>
  <c r="H2411" i="15"/>
  <c r="H2412" i="15"/>
  <c r="H2413" i="15"/>
  <c r="H2414" i="15"/>
  <c r="H2415" i="15"/>
  <c r="H2416" i="15"/>
  <c r="H2417" i="15"/>
  <c r="H2418" i="15"/>
  <c r="H2419" i="15"/>
  <c r="H2420" i="15"/>
  <c r="H2421" i="15"/>
  <c r="H2422" i="15"/>
  <c r="H2423" i="15"/>
  <c r="H2424" i="15"/>
  <c r="H2425" i="15"/>
  <c r="H2426" i="15"/>
  <c r="H2427" i="15"/>
  <c r="H2428" i="15"/>
  <c r="H2429" i="15"/>
  <c r="H2430" i="15"/>
  <c r="H2431" i="15"/>
  <c r="H2432" i="15"/>
  <c r="H2433" i="15"/>
  <c r="H2434" i="15"/>
  <c r="H2435" i="15"/>
  <c r="H2436" i="15"/>
  <c r="H2437" i="15"/>
  <c r="H2438" i="15"/>
  <c r="H2439" i="15"/>
  <c r="H2440" i="15"/>
  <c r="H2441" i="15"/>
  <c r="H2442" i="15"/>
  <c r="H2443" i="15"/>
  <c r="H2444" i="15"/>
  <c r="H2445" i="15"/>
  <c r="H2446" i="15"/>
  <c r="H2447" i="15"/>
  <c r="H2448" i="15"/>
  <c r="H2449" i="15"/>
  <c r="H2450" i="15"/>
  <c r="H2451" i="15"/>
  <c r="H2452" i="15"/>
  <c r="H2453" i="15"/>
  <c r="H2454" i="15"/>
  <c r="H2455" i="15"/>
  <c r="H2456" i="15"/>
  <c r="H2457" i="15"/>
  <c r="H2458" i="15"/>
  <c r="H2459" i="15"/>
  <c r="H2460" i="15"/>
  <c r="H2461" i="15"/>
  <c r="H2462" i="15"/>
  <c r="H2463" i="15"/>
  <c r="H2464" i="15"/>
  <c r="H2465" i="15"/>
  <c r="H2466" i="15"/>
  <c r="H2467" i="15"/>
  <c r="H2468" i="15"/>
  <c r="H2469" i="15"/>
  <c r="H2470" i="15"/>
  <c r="H2471" i="15"/>
  <c r="H2472" i="15"/>
  <c r="H2473" i="15"/>
  <c r="H2474" i="15"/>
  <c r="H2475" i="15"/>
  <c r="H2476" i="15"/>
  <c r="H2477" i="15"/>
  <c r="H2478" i="15"/>
  <c r="H2479" i="15"/>
  <c r="H2480" i="15"/>
  <c r="H2481" i="15"/>
  <c r="H2482" i="15"/>
  <c r="H2483" i="15"/>
  <c r="H2484" i="15"/>
  <c r="H2485" i="15"/>
  <c r="H2486" i="15"/>
  <c r="H2487" i="15"/>
  <c r="H2488" i="15"/>
  <c r="H2489" i="15"/>
  <c r="H2490" i="15"/>
  <c r="H2491" i="15"/>
  <c r="H2492" i="15"/>
  <c r="H2493" i="15"/>
  <c r="H2494" i="15"/>
  <c r="H2495" i="15"/>
  <c r="H2496" i="15"/>
  <c r="H2497" i="15"/>
  <c r="H2498" i="15"/>
  <c r="H2499" i="15"/>
  <c r="H2500" i="15"/>
  <c r="H2501" i="15"/>
  <c r="H2502" i="15"/>
  <c r="H2503" i="15"/>
  <c r="H2504" i="15"/>
  <c r="H2505" i="15"/>
  <c r="H2506" i="15"/>
  <c r="H2507" i="15"/>
  <c r="H2508" i="15"/>
  <c r="H2509" i="15"/>
  <c r="H2510" i="15"/>
  <c r="H2511" i="15"/>
  <c r="H2512" i="15"/>
  <c r="H2513" i="15"/>
  <c r="H2514" i="15"/>
  <c r="H2515" i="15"/>
  <c r="H2516" i="15"/>
  <c r="H2517" i="15"/>
  <c r="H2518" i="15"/>
  <c r="H2519" i="15"/>
  <c r="H2520" i="15"/>
  <c r="H2521" i="15"/>
  <c r="H2522" i="15"/>
  <c r="H2523" i="15"/>
  <c r="H2524" i="15"/>
  <c r="H2525" i="15"/>
  <c r="H2526" i="15"/>
  <c r="H2527" i="15"/>
  <c r="H2528" i="15"/>
  <c r="H2529" i="15"/>
  <c r="H2530" i="15"/>
  <c r="H2531" i="15"/>
  <c r="H2532" i="15"/>
  <c r="H2533" i="15"/>
  <c r="H2534" i="15"/>
  <c r="H2535" i="15"/>
  <c r="H2536" i="15"/>
  <c r="H2537" i="15"/>
  <c r="H2538" i="15"/>
  <c r="H2539" i="15"/>
  <c r="H2540" i="15"/>
  <c r="H2541" i="15"/>
  <c r="H2542" i="15"/>
  <c r="H2543" i="15"/>
  <c r="H2544" i="15"/>
  <c r="H2545" i="15"/>
  <c r="H2546" i="15"/>
  <c r="H2547" i="15"/>
  <c r="H2548" i="15"/>
  <c r="H2549" i="15"/>
  <c r="H2550" i="15"/>
  <c r="H2551" i="15"/>
  <c r="H2552" i="15"/>
  <c r="H2553" i="15"/>
  <c r="H2554" i="15"/>
  <c r="H2555" i="15"/>
  <c r="H2556" i="15"/>
  <c r="H2557" i="15"/>
  <c r="H2558" i="15"/>
  <c r="H2559" i="15"/>
  <c r="H2560" i="15"/>
  <c r="H2561" i="15"/>
  <c r="H2562" i="15"/>
  <c r="H2563" i="15"/>
  <c r="H2564" i="15"/>
  <c r="H2565" i="15"/>
  <c r="H2566" i="15"/>
  <c r="H2567" i="15"/>
  <c r="H2568" i="15"/>
  <c r="H2569" i="15"/>
  <c r="H2570" i="15"/>
  <c r="H2571" i="15"/>
  <c r="H2572" i="15"/>
  <c r="H2573" i="15"/>
  <c r="H2574" i="15"/>
  <c r="H2575" i="15"/>
  <c r="H2576" i="15"/>
  <c r="H2577" i="15"/>
  <c r="H2578" i="15"/>
  <c r="H2579" i="15"/>
  <c r="H2580" i="15"/>
  <c r="H2581" i="15"/>
  <c r="H2582" i="15"/>
  <c r="H2583" i="15"/>
  <c r="H2584" i="15"/>
  <c r="H2585" i="15"/>
  <c r="H2586" i="15"/>
  <c r="H2587" i="15"/>
  <c r="H2588" i="15"/>
  <c r="H2589" i="15"/>
  <c r="H2590" i="15"/>
  <c r="H2591" i="15"/>
  <c r="H2592" i="15"/>
  <c r="H2593" i="15"/>
  <c r="H2594" i="15"/>
  <c r="H2595" i="15"/>
  <c r="H2596" i="15"/>
  <c r="H2597" i="15"/>
  <c r="H2598" i="15"/>
  <c r="H2599" i="15"/>
  <c r="H2600" i="15"/>
  <c r="H2601" i="15"/>
  <c r="H2602" i="15"/>
  <c r="H2603" i="15"/>
  <c r="H2604" i="15"/>
  <c r="H2605" i="15"/>
  <c r="H2606" i="15"/>
  <c r="H2607" i="15"/>
  <c r="H2608" i="15"/>
  <c r="H2609" i="15"/>
  <c r="H2610" i="15"/>
  <c r="H2611" i="15"/>
  <c r="H2612" i="15"/>
  <c r="H2613" i="15"/>
  <c r="H2614" i="15"/>
  <c r="H2615" i="15"/>
  <c r="H2616" i="15"/>
  <c r="H2617" i="15"/>
  <c r="H2618" i="15"/>
  <c r="H2619" i="15"/>
  <c r="H2620" i="15"/>
  <c r="H2621" i="15"/>
  <c r="H2622" i="15"/>
  <c r="H2623" i="15"/>
  <c r="H2624" i="15"/>
  <c r="H2625" i="15"/>
  <c r="H2626" i="15"/>
  <c r="H2627" i="15"/>
  <c r="H2628" i="15"/>
  <c r="H2629" i="15"/>
  <c r="H2630" i="15"/>
  <c r="H2631" i="15"/>
  <c r="H2632" i="15"/>
  <c r="H2633" i="15"/>
  <c r="H2634" i="15"/>
  <c r="H2635" i="15"/>
  <c r="H2636" i="15"/>
  <c r="H2637" i="15"/>
  <c r="H2638" i="15"/>
  <c r="H2639" i="15"/>
  <c r="H2640" i="15"/>
  <c r="H2641" i="15"/>
  <c r="H2642" i="15"/>
  <c r="H2643" i="15"/>
  <c r="H2644" i="15"/>
  <c r="H2645" i="15"/>
  <c r="H2646" i="15"/>
  <c r="H2647" i="15"/>
  <c r="H2648" i="15"/>
  <c r="H2649" i="15"/>
  <c r="H2650" i="15"/>
  <c r="H2651" i="15"/>
  <c r="H2652" i="15"/>
  <c r="H2653" i="15"/>
  <c r="H2654" i="15"/>
  <c r="H2655" i="15"/>
  <c r="H2656" i="15"/>
  <c r="H2657" i="15"/>
  <c r="H2658" i="15"/>
  <c r="H2659" i="15"/>
  <c r="H2660" i="15"/>
  <c r="H2661" i="15"/>
  <c r="H2662" i="15"/>
  <c r="H2663" i="15"/>
  <c r="H2664" i="15"/>
  <c r="H2665" i="15"/>
  <c r="H2666" i="15"/>
  <c r="H2667" i="15"/>
  <c r="H2668" i="15"/>
  <c r="H2669" i="15"/>
  <c r="H2670" i="15"/>
  <c r="H2671" i="15"/>
  <c r="H2672" i="15"/>
  <c r="H2673" i="15"/>
  <c r="H2674" i="15"/>
  <c r="H2675" i="15"/>
  <c r="H2676" i="15"/>
  <c r="H2677" i="15"/>
  <c r="H2678" i="15"/>
  <c r="H2679" i="15"/>
  <c r="H2680" i="15"/>
  <c r="H2681" i="15"/>
  <c r="H2682" i="15"/>
  <c r="H2683" i="15"/>
  <c r="H2684" i="15"/>
  <c r="H2685" i="15"/>
  <c r="H2686" i="15"/>
  <c r="H2687" i="15"/>
  <c r="H2688" i="15"/>
  <c r="H2689" i="15"/>
  <c r="H2690" i="15"/>
  <c r="H2691" i="15"/>
  <c r="H2692" i="15"/>
  <c r="H2693" i="15"/>
  <c r="H2694" i="15"/>
  <c r="H2695" i="15"/>
  <c r="H2696" i="15"/>
  <c r="H2697" i="15"/>
  <c r="H2698" i="15"/>
  <c r="H2699" i="15"/>
  <c r="H2700" i="15"/>
  <c r="H2701" i="15"/>
  <c r="H2702" i="15"/>
  <c r="H2703" i="15"/>
  <c r="H2704" i="15"/>
  <c r="H2705" i="15"/>
  <c r="H2706" i="15"/>
  <c r="H2707" i="15"/>
  <c r="H2708" i="15"/>
  <c r="H2709" i="15"/>
  <c r="H2710" i="15"/>
  <c r="H2711" i="15"/>
  <c r="H2712" i="15"/>
  <c r="H2713" i="15"/>
  <c r="H2714" i="15"/>
  <c r="H2715" i="15"/>
  <c r="H2716" i="15"/>
  <c r="H2717" i="15"/>
  <c r="H2718" i="15"/>
  <c r="H2719" i="15"/>
  <c r="H2720" i="15"/>
  <c r="H2721" i="15"/>
  <c r="H2722" i="15"/>
  <c r="H2723" i="15"/>
  <c r="H2724" i="15"/>
  <c r="H2725" i="15"/>
  <c r="H2726" i="15"/>
  <c r="H2727" i="15"/>
  <c r="H2728" i="15"/>
  <c r="H2729" i="15"/>
  <c r="H2730" i="15"/>
  <c r="H2731" i="15"/>
  <c r="H2732" i="15"/>
  <c r="H2733" i="15"/>
  <c r="H2734" i="15"/>
  <c r="H2735" i="15"/>
  <c r="H2736" i="15"/>
  <c r="H2737" i="15"/>
  <c r="H2738" i="15"/>
  <c r="H2739" i="15"/>
  <c r="H2740" i="15"/>
  <c r="H2741" i="15"/>
  <c r="H2742" i="15"/>
  <c r="H2743" i="15"/>
  <c r="H2744" i="15"/>
  <c r="H2745" i="15"/>
  <c r="H2746" i="15"/>
  <c r="H2747" i="15"/>
  <c r="H2748" i="15"/>
  <c r="H2749" i="15"/>
  <c r="H2750" i="15"/>
  <c r="H2751" i="15"/>
  <c r="H2752" i="15"/>
  <c r="H2753" i="15"/>
  <c r="H2754" i="15"/>
  <c r="H2755" i="15"/>
  <c r="H2756" i="15"/>
  <c r="H2757" i="15"/>
  <c r="H2758" i="15"/>
  <c r="H2759" i="15"/>
  <c r="H2760" i="15"/>
  <c r="H2761" i="15"/>
  <c r="H2762" i="15"/>
  <c r="H2763" i="15"/>
  <c r="H2764" i="15"/>
  <c r="H2765" i="15"/>
  <c r="H2766" i="15"/>
  <c r="H2767" i="15"/>
  <c r="H2768" i="15"/>
  <c r="H2769" i="15"/>
  <c r="H2770" i="15"/>
  <c r="H2771" i="15"/>
  <c r="H2772" i="15"/>
  <c r="H2773" i="15"/>
  <c r="H2774" i="15"/>
  <c r="H2775" i="15"/>
  <c r="H2776" i="15"/>
  <c r="H2777" i="15"/>
  <c r="H2778" i="15"/>
  <c r="H2779" i="15"/>
  <c r="H2780" i="15"/>
  <c r="H2781" i="15"/>
  <c r="H2782" i="15"/>
  <c r="H2783" i="15"/>
  <c r="H2784" i="15"/>
  <c r="H2785" i="15"/>
  <c r="H2786" i="15"/>
  <c r="H2787" i="15"/>
  <c r="H2788" i="15"/>
  <c r="H2789" i="15"/>
  <c r="H2790" i="15"/>
  <c r="H2791" i="15"/>
  <c r="H2792" i="15"/>
  <c r="H2793" i="15"/>
  <c r="H2794" i="15"/>
  <c r="H2795" i="15"/>
  <c r="H2796" i="15"/>
  <c r="H2797" i="15"/>
  <c r="H2798" i="15"/>
  <c r="H2799" i="15"/>
  <c r="H2800" i="15"/>
  <c r="H2801" i="15"/>
  <c r="H2802" i="15"/>
  <c r="H2803" i="15"/>
  <c r="H2804" i="15"/>
  <c r="H2805" i="15"/>
  <c r="H2806" i="15"/>
  <c r="H2807" i="15"/>
  <c r="H2808" i="15"/>
  <c r="H2809" i="15"/>
  <c r="H2810" i="15"/>
  <c r="H2811" i="15"/>
  <c r="H2812" i="15"/>
  <c r="H2813" i="15"/>
  <c r="H2814" i="15"/>
  <c r="H2815" i="15"/>
  <c r="H2816" i="15"/>
  <c r="H2817" i="15"/>
  <c r="H2818" i="15"/>
  <c r="H2819" i="15"/>
  <c r="H2820" i="15"/>
  <c r="H2821" i="15"/>
  <c r="H2822" i="15"/>
  <c r="H2823" i="15"/>
  <c r="H2824" i="15"/>
  <c r="H2825" i="15"/>
  <c r="H2826" i="15"/>
  <c r="H2827" i="15"/>
  <c r="H2828" i="15"/>
  <c r="H2829" i="15"/>
  <c r="H2830" i="15"/>
  <c r="H2831" i="15"/>
  <c r="H2832" i="15"/>
  <c r="H2833" i="15"/>
  <c r="H2834" i="15"/>
  <c r="H2835" i="15"/>
  <c r="H2836" i="15"/>
  <c r="H2837" i="15"/>
  <c r="H2838" i="15"/>
  <c r="H2839" i="15"/>
  <c r="H2840" i="15"/>
  <c r="H2841" i="15"/>
  <c r="H2842" i="15"/>
  <c r="H2843" i="15"/>
  <c r="H2844" i="15"/>
  <c r="H2845" i="15"/>
  <c r="H2846" i="15"/>
  <c r="H2847" i="15"/>
  <c r="H2848" i="15"/>
  <c r="H2849" i="15"/>
  <c r="H2850" i="15"/>
  <c r="H2851" i="15"/>
  <c r="H2852" i="15"/>
  <c r="H2853" i="15"/>
  <c r="H2854" i="15"/>
  <c r="H2855" i="15"/>
  <c r="H2856" i="15"/>
  <c r="H2857" i="15"/>
  <c r="H2858" i="15"/>
  <c r="H2859" i="15"/>
  <c r="H2860" i="15"/>
  <c r="H2861" i="15"/>
  <c r="H2862" i="15"/>
  <c r="H2863" i="15"/>
  <c r="H2864" i="15"/>
  <c r="H2865" i="15"/>
  <c r="H2866" i="15"/>
  <c r="H2867" i="15"/>
  <c r="H2868" i="15"/>
  <c r="H2869" i="15"/>
  <c r="H2870" i="15"/>
  <c r="H2871" i="15"/>
  <c r="H2872" i="15"/>
  <c r="H2873" i="15"/>
  <c r="H2874" i="15"/>
  <c r="H2875" i="15"/>
  <c r="H2876" i="15"/>
  <c r="H2877" i="15"/>
  <c r="H2878" i="15"/>
  <c r="H2879" i="15"/>
  <c r="H2880" i="15"/>
  <c r="H2881" i="15"/>
  <c r="H2882" i="15"/>
  <c r="H2883" i="15"/>
  <c r="H2884" i="15"/>
  <c r="H2885" i="15"/>
  <c r="H2886" i="15"/>
  <c r="H2887" i="15"/>
  <c r="H2888" i="15"/>
  <c r="H2889" i="15"/>
  <c r="H2890" i="15"/>
  <c r="H2891" i="15"/>
  <c r="H2892" i="15"/>
  <c r="H2893" i="15"/>
  <c r="H2894" i="15"/>
  <c r="H2895" i="15"/>
  <c r="H2896" i="15"/>
  <c r="H2897" i="15"/>
  <c r="H2898" i="15"/>
  <c r="H2899" i="15"/>
  <c r="H2900" i="15"/>
  <c r="H2901" i="15"/>
  <c r="H2902" i="15"/>
  <c r="H2903" i="15"/>
  <c r="H2904" i="15"/>
  <c r="H2905" i="15"/>
  <c r="H2906" i="15"/>
  <c r="H2907" i="15"/>
  <c r="H2908" i="15"/>
  <c r="H2909" i="15"/>
  <c r="H2910" i="15"/>
  <c r="H2911" i="15"/>
  <c r="H2912" i="15"/>
  <c r="H2913" i="15"/>
  <c r="H2914" i="15"/>
  <c r="H2915" i="15"/>
  <c r="H2916" i="15"/>
  <c r="H2917" i="15"/>
  <c r="H2918" i="15"/>
  <c r="H2919" i="15"/>
  <c r="H2920" i="15"/>
  <c r="H2921" i="15"/>
  <c r="H2922" i="15"/>
  <c r="H2923" i="15"/>
  <c r="H2924" i="15"/>
  <c r="H2925" i="15"/>
  <c r="H2926" i="15"/>
  <c r="H2927" i="15"/>
  <c r="H2928" i="15"/>
  <c r="H2929" i="15"/>
  <c r="H2930" i="15"/>
  <c r="H2931" i="15"/>
  <c r="H2932" i="15"/>
  <c r="H2933" i="15"/>
  <c r="H2934" i="15"/>
  <c r="H2935" i="15"/>
  <c r="H2936" i="15"/>
  <c r="H2937" i="15"/>
  <c r="H2938" i="15"/>
  <c r="H2939" i="15"/>
  <c r="H2940" i="15"/>
  <c r="H2941" i="15"/>
  <c r="H2942" i="15"/>
  <c r="H2943" i="15"/>
  <c r="H2944" i="15"/>
  <c r="H2945" i="15"/>
  <c r="H2946" i="15"/>
  <c r="H2947" i="15"/>
  <c r="H2948" i="15"/>
  <c r="H2949" i="15"/>
  <c r="H2950" i="15"/>
  <c r="H2951" i="15"/>
  <c r="H2952" i="15"/>
  <c r="H2953" i="15"/>
  <c r="H2954" i="15"/>
  <c r="H2955" i="15"/>
  <c r="H2956" i="15"/>
  <c r="H2957" i="15"/>
  <c r="H2958" i="15"/>
  <c r="H2959" i="15"/>
  <c r="H2960" i="15"/>
  <c r="H2961" i="15"/>
  <c r="H2962" i="15"/>
  <c r="H2963" i="15"/>
  <c r="H2964" i="15"/>
  <c r="H2965" i="15"/>
  <c r="H2966" i="15"/>
  <c r="H2967" i="15"/>
  <c r="H2968" i="15"/>
  <c r="H2969" i="15"/>
  <c r="H2970" i="15"/>
  <c r="H2971" i="15"/>
  <c r="H2972" i="15"/>
  <c r="H2973" i="15"/>
  <c r="H2974" i="15"/>
  <c r="H2975" i="15"/>
  <c r="H2976" i="15"/>
  <c r="H2977" i="15"/>
  <c r="H2978" i="15"/>
  <c r="H2979" i="15"/>
  <c r="H2980" i="15"/>
  <c r="H2981" i="15"/>
  <c r="H2982" i="15"/>
  <c r="H2983" i="15"/>
  <c r="H2984" i="15"/>
  <c r="H2985" i="15"/>
  <c r="H2986" i="15"/>
  <c r="H2987" i="15"/>
  <c r="H2988" i="15"/>
  <c r="H2989" i="15"/>
  <c r="H2990" i="15"/>
  <c r="H2991" i="15"/>
  <c r="H2992" i="15"/>
  <c r="H2993" i="15"/>
  <c r="H2994" i="15"/>
  <c r="H2995" i="15"/>
  <c r="H2996" i="15"/>
  <c r="H2997" i="15"/>
  <c r="H2998" i="15"/>
  <c r="H2999" i="15"/>
  <c r="H3000" i="15"/>
  <c r="H3001" i="15"/>
  <c r="H3002" i="15"/>
  <c r="H3003" i="15"/>
  <c r="H3004" i="15"/>
  <c r="H3005" i="15"/>
  <c r="H3006" i="15"/>
  <c r="H3007" i="15"/>
  <c r="H3008" i="15"/>
  <c r="H3009" i="15"/>
  <c r="H3010" i="15"/>
  <c r="H3011" i="15"/>
  <c r="H3012" i="15"/>
  <c r="H3013" i="15"/>
  <c r="H3014" i="15"/>
  <c r="H3015" i="15"/>
  <c r="H3016" i="15"/>
  <c r="H3017" i="15"/>
  <c r="H3018" i="15"/>
  <c r="H3019" i="15"/>
  <c r="H3020" i="15"/>
  <c r="H3021" i="15"/>
  <c r="H3022" i="15"/>
  <c r="H3023" i="15"/>
  <c r="H3024" i="15"/>
  <c r="H3025" i="15"/>
  <c r="H3026" i="15"/>
  <c r="H3027" i="15"/>
  <c r="H3028" i="15"/>
  <c r="H3029" i="15"/>
  <c r="H3030" i="15"/>
  <c r="H3031" i="15"/>
  <c r="H3032" i="15"/>
  <c r="H3033" i="15"/>
  <c r="H3034" i="15"/>
  <c r="H3035" i="15"/>
  <c r="H3036" i="15"/>
  <c r="H3037" i="15"/>
  <c r="H3038" i="15"/>
  <c r="H3039" i="15"/>
  <c r="H3040" i="15"/>
  <c r="H3041" i="15"/>
  <c r="H3042" i="15"/>
  <c r="H3043" i="15"/>
  <c r="H3044" i="15"/>
  <c r="H3045" i="15"/>
  <c r="H3046" i="15"/>
  <c r="H3047" i="15"/>
  <c r="H3048" i="15"/>
  <c r="H3049" i="15"/>
  <c r="H3050" i="15"/>
  <c r="H3051" i="15"/>
  <c r="H3052" i="15"/>
  <c r="H3053" i="15"/>
  <c r="H3054" i="15"/>
  <c r="H3055" i="15"/>
  <c r="H3056" i="15"/>
  <c r="H3057" i="15"/>
  <c r="H3058" i="15"/>
  <c r="H3059" i="15"/>
  <c r="H3060" i="15"/>
  <c r="H3061" i="15"/>
  <c r="H3062" i="15"/>
  <c r="H3063" i="15"/>
  <c r="H3064" i="15"/>
  <c r="H3065" i="15"/>
  <c r="H3066" i="15"/>
  <c r="H3067" i="15"/>
  <c r="H3068" i="15"/>
  <c r="H3069" i="15"/>
  <c r="H3070" i="15"/>
  <c r="H3071" i="15"/>
  <c r="H3072" i="15"/>
  <c r="H3073" i="15"/>
  <c r="H3074" i="15"/>
  <c r="H3075" i="15"/>
  <c r="H3076" i="15"/>
  <c r="H3077" i="15"/>
  <c r="H3078" i="15"/>
  <c r="H3079" i="15"/>
  <c r="H3080" i="15"/>
  <c r="H3081" i="15"/>
  <c r="H3082" i="15"/>
  <c r="H3083" i="15"/>
  <c r="H3084" i="15"/>
  <c r="H3085" i="15"/>
  <c r="H3086" i="15"/>
  <c r="H3087" i="15"/>
  <c r="H3088" i="15"/>
  <c r="H3089" i="15"/>
  <c r="H3090" i="15"/>
  <c r="H3091" i="15"/>
  <c r="H3092" i="15"/>
  <c r="H3093" i="15"/>
  <c r="H3094" i="15"/>
  <c r="H3095" i="15"/>
  <c r="H3096" i="15"/>
  <c r="H3097" i="15"/>
  <c r="H3098" i="15"/>
  <c r="H3099" i="15"/>
  <c r="H3100" i="15"/>
  <c r="H3101" i="15"/>
  <c r="H3102" i="15"/>
  <c r="H3103" i="15"/>
  <c r="H3104" i="15"/>
  <c r="H3105" i="15"/>
  <c r="H3106" i="15"/>
  <c r="H3107" i="15"/>
  <c r="H3108" i="15"/>
  <c r="H3109" i="15"/>
  <c r="H3110" i="15"/>
  <c r="H3111" i="15"/>
  <c r="H3112" i="15"/>
  <c r="H3113" i="15"/>
  <c r="H3114" i="15"/>
  <c r="H3115" i="15"/>
  <c r="H3116" i="15"/>
  <c r="H3117" i="15"/>
  <c r="H3118" i="15"/>
  <c r="H3119" i="15"/>
  <c r="H3120" i="15"/>
  <c r="H3121" i="15"/>
  <c r="H3122" i="15"/>
  <c r="H3123" i="15"/>
  <c r="H3124" i="15"/>
  <c r="H3125" i="15"/>
  <c r="H3126" i="15"/>
  <c r="H3127" i="15"/>
  <c r="H3128" i="15"/>
  <c r="H3129" i="15"/>
  <c r="H3130" i="15"/>
  <c r="H3131" i="15"/>
  <c r="H3132" i="15"/>
  <c r="H3133" i="15"/>
  <c r="H3134" i="15"/>
  <c r="H3135" i="15"/>
  <c r="H3136" i="15"/>
  <c r="H3137" i="15"/>
  <c r="H3138" i="15"/>
  <c r="H3139" i="15"/>
  <c r="H3140" i="15"/>
  <c r="H3141" i="15"/>
  <c r="H3142" i="15"/>
  <c r="H3143" i="15"/>
  <c r="H3144" i="15"/>
  <c r="H3145" i="15"/>
  <c r="H3146" i="15"/>
  <c r="H3147" i="15"/>
  <c r="H3148" i="15"/>
  <c r="H3149" i="15"/>
  <c r="H3150" i="15"/>
  <c r="H3151" i="15"/>
  <c r="H3152" i="15"/>
  <c r="H3153" i="15"/>
  <c r="H3154" i="15"/>
  <c r="H3155" i="15"/>
  <c r="H3156" i="15"/>
  <c r="H3157" i="15"/>
  <c r="H3158" i="15"/>
  <c r="H3159" i="15"/>
  <c r="H3160" i="15"/>
  <c r="H3161" i="15"/>
  <c r="H3162" i="15"/>
  <c r="H3163" i="15"/>
  <c r="H3164" i="15"/>
  <c r="H3165" i="15"/>
  <c r="H3166" i="15"/>
  <c r="H3167" i="15"/>
  <c r="H3168" i="15"/>
  <c r="H3169" i="15"/>
  <c r="H3170" i="15"/>
  <c r="H3171" i="15"/>
  <c r="H3172" i="15"/>
  <c r="H3173" i="15"/>
  <c r="H3174" i="15"/>
  <c r="H3175" i="15"/>
  <c r="H3176" i="15"/>
  <c r="H3177" i="15"/>
  <c r="H3178" i="15"/>
  <c r="H3179" i="15"/>
  <c r="H3180" i="15"/>
  <c r="H3181" i="15"/>
  <c r="H3182" i="15"/>
  <c r="H3183" i="15"/>
  <c r="H3184" i="15"/>
  <c r="H3185" i="15"/>
  <c r="H3186" i="15"/>
  <c r="H3187" i="15"/>
  <c r="H3188" i="15"/>
  <c r="H3189" i="15"/>
  <c r="H3190" i="15"/>
  <c r="H3191" i="15"/>
  <c r="H3192" i="15"/>
  <c r="H3193" i="15"/>
  <c r="H3194" i="15"/>
  <c r="H3195" i="15"/>
  <c r="H3196" i="15"/>
  <c r="H3197" i="15"/>
  <c r="H3198" i="15"/>
  <c r="H3199" i="15"/>
  <c r="H3200" i="15"/>
  <c r="H3201" i="15"/>
  <c r="H3202" i="15"/>
  <c r="H3203" i="15"/>
  <c r="H3204" i="15"/>
  <c r="H3205" i="15"/>
  <c r="H3206" i="15"/>
  <c r="H3207" i="15"/>
  <c r="H3208" i="15"/>
  <c r="H3209" i="15"/>
  <c r="H3210" i="15"/>
  <c r="H3211" i="15"/>
  <c r="H3212" i="15"/>
  <c r="H3213" i="15"/>
  <c r="H3214" i="15"/>
  <c r="H3215" i="15"/>
  <c r="H3216" i="15"/>
  <c r="H3217" i="15"/>
  <c r="H3218" i="15"/>
  <c r="H3219" i="15"/>
  <c r="H3220" i="15"/>
  <c r="H3221" i="15"/>
  <c r="H3222" i="15"/>
  <c r="H3223" i="15"/>
  <c r="H3224" i="15"/>
  <c r="H3225" i="15"/>
  <c r="H3226" i="15"/>
  <c r="H3227" i="15"/>
  <c r="H3228" i="15"/>
  <c r="H3229" i="15"/>
  <c r="H3230" i="15"/>
  <c r="H3231" i="15"/>
  <c r="H3232" i="15"/>
  <c r="H3233" i="15"/>
  <c r="H3234" i="15"/>
  <c r="H3235" i="15"/>
  <c r="H3236" i="15"/>
  <c r="H3237" i="15"/>
  <c r="H3238" i="15"/>
  <c r="H3239" i="15"/>
  <c r="H3240" i="15"/>
  <c r="H3241" i="15"/>
  <c r="H3242" i="15"/>
  <c r="H3243" i="15"/>
  <c r="H3244" i="15"/>
  <c r="H3245" i="15"/>
  <c r="H3246" i="15"/>
  <c r="H3247" i="15"/>
  <c r="H3248" i="15"/>
  <c r="H3249" i="15"/>
  <c r="H3250" i="15"/>
  <c r="H3251" i="15"/>
  <c r="H3252" i="15"/>
  <c r="H3253" i="15"/>
  <c r="H3254" i="15"/>
  <c r="H3255" i="15"/>
  <c r="H3256" i="15"/>
  <c r="H3257" i="15"/>
  <c r="H3258" i="15"/>
  <c r="H3259" i="15"/>
  <c r="H3260" i="15"/>
  <c r="H3261" i="15"/>
  <c r="H3262" i="15"/>
  <c r="H3263" i="15"/>
  <c r="H3264" i="15"/>
  <c r="H3265" i="15"/>
  <c r="H3266" i="15"/>
  <c r="H3267" i="15"/>
  <c r="H3268" i="15"/>
  <c r="H3269" i="15"/>
  <c r="H3270" i="15"/>
  <c r="H3271" i="15"/>
  <c r="H3272" i="15"/>
  <c r="H3273" i="15"/>
  <c r="H3274" i="15"/>
  <c r="H3275" i="15"/>
  <c r="H3276" i="15"/>
  <c r="H3277" i="15"/>
  <c r="H3278" i="15"/>
  <c r="H3279" i="15"/>
  <c r="H3280" i="15"/>
  <c r="H3281" i="15"/>
  <c r="H3282" i="15"/>
  <c r="H3283" i="15"/>
  <c r="H3284" i="15"/>
  <c r="H3285" i="15"/>
  <c r="H3286" i="15"/>
  <c r="H3287" i="15"/>
  <c r="H3288" i="15"/>
  <c r="H3289" i="15"/>
  <c r="H3290" i="15"/>
  <c r="H3291" i="15"/>
  <c r="H3292" i="15"/>
  <c r="H3293" i="15"/>
  <c r="H3294" i="15"/>
  <c r="H3295" i="15"/>
  <c r="H3296" i="15"/>
  <c r="H3297" i="15"/>
  <c r="H3298" i="15"/>
  <c r="H3299" i="15"/>
  <c r="H3300" i="15"/>
  <c r="H3301" i="15"/>
  <c r="H3302" i="15"/>
  <c r="H3303" i="15"/>
  <c r="H3304" i="15"/>
  <c r="H3305" i="15"/>
  <c r="H3306" i="15"/>
  <c r="H3307" i="15"/>
  <c r="H3308" i="15"/>
  <c r="H3309" i="15"/>
  <c r="H3310" i="15"/>
  <c r="H3311" i="15"/>
  <c r="H3312" i="15"/>
  <c r="H3313" i="15"/>
  <c r="H3314" i="15"/>
  <c r="H3315" i="15"/>
  <c r="H3316" i="15"/>
  <c r="H3317" i="15"/>
  <c r="H3318" i="15"/>
  <c r="H3319" i="15"/>
  <c r="H3320" i="15"/>
  <c r="H3321" i="15"/>
  <c r="H3322" i="15"/>
  <c r="H3323" i="15"/>
  <c r="H3324" i="15"/>
  <c r="H3325" i="15"/>
  <c r="H3326" i="15"/>
  <c r="H3327" i="15"/>
  <c r="H3328" i="15"/>
  <c r="H3329" i="15"/>
  <c r="H3330" i="15"/>
  <c r="H3331" i="15"/>
  <c r="H3332" i="15"/>
  <c r="H3333" i="15"/>
  <c r="H3334" i="15"/>
  <c r="H3335" i="15"/>
  <c r="H3336" i="15"/>
  <c r="H3337" i="15"/>
  <c r="H3338" i="15"/>
  <c r="H3339" i="15"/>
  <c r="H3340" i="15"/>
  <c r="H3341" i="15"/>
  <c r="H3342" i="15"/>
  <c r="H3343" i="15"/>
  <c r="H3344" i="15"/>
  <c r="H3345" i="15"/>
  <c r="H3346" i="15"/>
  <c r="H3347" i="15"/>
  <c r="H3348" i="15"/>
  <c r="H3349" i="15"/>
  <c r="H3350" i="15"/>
  <c r="H3351" i="15"/>
  <c r="H3352" i="15"/>
  <c r="H3353" i="15"/>
  <c r="H3354" i="15"/>
  <c r="H3355" i="15"/>
  <c r="H3356" i="15"/>
  <c r="H3357" i="15"/>
  <c r="H3358" i="15"/>
  <c r="H3359" i="15"/>
  <c r="H3360" i="15"/>
  <c r="H3361" i="15"/>
  <c r="H3362" i="15"/>
  <c r="H3363" i="15"/>
  <c r="H3364" i="15"/>
  <c r="H3365" i="15"/>
  <c r="H3366" i="15"/>
  <c r="H3367" i="15"/>
  <c r="H3368" i="15"/>
  <c r="H3369" i="15"/>
  <c r="H3370" i="15"/>
  <c r="H3371" i="15"/>
  <c r="H3372" i="15"/>
  <c r="H3373" i="15"/>
  <c r="H3374" i="15"/>
  <c r="H3375" i="15"/>
  <c r="H3376" i="15"/>
  <c r="H3377" i="15"/>
  <c r="H3378" i="15"/>
  <c r="H3379" i="15"/>
  <c r="H3380" i="15"/>
  <c r="H3381" i="15"/>
  <c r="H3382" i="15"/>
  <c r="H3383" i="15"/>
  <c r="H3384" i="15"/>
  <c r="H3385" i="15"/>
  <c r="H3386" i="15"/>
  <c r="H3387" i="15"/>
  <c r="H3388" i="15"/>
  <c r="H3389" i="15"/>
  <c r="H3390" i="15"/>
  <c r="H3391" i="15"/>
  <c r="H3392" i="15"/>
  <c r="H3393" i="15"/>
  <c r="H3394" i="15"/>
  <c r="H3395" i="15"/>
  <c r="H3396" i="15"/>
  <c r="H3397" i="15"/>
  <c r="H3398" i="15"/>
  <c r="H3399" i="15"/>
  <c r="H3400" i="15"/>
  <c r="H3401" i="15"/>
  <c r="H3402" i="15"/>
  <c r="H3403" i="15"/>
  <c r="H3404" i="15"/>
  <c r="H3405" i="15"/>
  <c r="H3406" i="15"/>
  <c r="H3407" i="15"/>
  <c r="H3408" i="15"/>
  <c r="H3409" i="15"/>
  <c r="H3410" i="15"/>
  <c r="H3411" i="15"/>
  <c r="H3412" i="15"/>
  <c r="H3413" i="15"/>
  <c r="H3414" i="15"/>
  <c r="H3415" i="15"/>
  <c r="H3416" i="15"/>
  <c r="H3417" i="15"/>
  <c r="H3418" i="15"/>
  <c r="H3419" i="15"/>
  <c r="H3420" i="15"/>
  <c r="H3421" i="15"/>
  <c r="H3422" i="15"/>
  <c r="H3423" i="15"/>
  <c r="H3424" i="15"/>
  <c r="H3425" i="15"/>
  <c r="H3426" i="15"/>
  <c r="H3427" i="15"/>
  <c r="H3428" i="15"/>
  <c r="H3429" i="15"/>
  <c r="H3430" i="15"/>
  <c r="H3431" i="15"/>
  <c r="H3432" i="15"/>
  <c r="H3433" i="15"/>
  <c r="H3434" i="15"/>
  <c r="H3435" i="15"/>
  <c r="H3436" i="15"/>
  <c r="H3437" i="15"/>
  <c r="H3438" i="15"/>
  <c r="H3439" i="15"/>
  <c r="H3440" i="15"/>
  <c r="H3441" i="15"/>
  <c r="H3442" i="15"/>
  <c r="H3443" i="15"/>
  <c r="H3444" i="15"/>
  <c r="H3445" i="15"/>
  <c r="H3446" i="15"/>
  <c r="H3447" i="15"/>
  <c r="H3448" i="15"/>
  <c r="H3449" i="15"/>
  <c r="H3450" i="15"/>
  <c r="H3451" i="15"/>
  <c r="H3452" i="15"/>
  <c r="H3453" i="15"/>
  <c r="H3454" i="15"/>
  <c r="H3455" i="15"/>
  <c r="H3456" i="15"/>
  <c r="H3457" i="15"/>
  <c r="H3458" i="15"/>
  <c r="H3459" i="15"/>
  <c r="H3460" i="15"/>
  <c r="H3461" i="15"/>
  <c r="H3462" i="15"/>
  <c r="H3463" i="15"/>
  <c r="H3464" i="15"/>
  <c r="H3465" i="15"/>
  <c r="H3466" i="15"/>
  <c r="H3467" i="15"/>
  <c r="H3468" i="15"/>
  <c r="H3469" i="15"/>
  <c r="H3470" i="15"/>
  <c r="H3471" i="15"/>
  <c r="H3472" i="15"/>
  <c r="H3473" i="15"/>
  <c r="H3474" i="15"/>
  <c r="H3475" i="15"/>
  <c r="H3476" i="15"/>
  <c r="H3477" i="15"/>
  <c r="H3478" i="15"/>
  <c r="H3479" i="15"/>
  <c r="H3480" i="15"/>
  <c r="H3481" i="15"/>
  <c r="H3482" i="15"/>
  <c r="H3483" i="15"/>
  <c r="H3484" i="15"/>
  <c r="H3485" i="15"/>
  <c r="H3486" i="15"/>
  <c r="H3487" i="15"/>
  <c r="H3488" i="15"/>
  <c r="H3489" i="15"/>
  <c r="H3490" i="15"/>
  <c r="H3491" i="15"/>
  <c r="H3492" i="15"/>
  <c r="H3493" i="15"/>
  <c r="H3494" i="15"/>
  <c r="H3495" i="15"/>
  <c r="H3496" i="15"/>
  <c r="H3497" i="15"/>
  <c r="H3498" i="15"/>
  <c r="H3499" i="15"/>
  <c r="H3500" i="15"/>
  <c r="H3501" i="15"/>
  <c r="H3502" i="15"/>
  <c r="H3503" i="15"/>
  <c r="H3504" i="15"/>
  <c r="H3505" i="15"/>
  <c r="H3506" i="15"/>
  <c r="H3507" i="15"/>
  <c r="H3508" i="15"/>
  <c r="H3509" i="15"/>
  <c r="H3510" i="15"/>
  <c r="H3511" i="15"/>
  <c r="H3512" i="15"/>
  <c r="H3513" i="15"/>
  <c r="H3514" i="15"/>
  <c r="H3515" i="15"/>
  <c r="H3516" i="15"/>
  <c r="H3517" i="15"/>
  <c r="H3518" i="15"/>
  <c r="H3519" i="15"/>
  <c r="H3520" i="15"/>
  <c r="H3521" i="15"/>
  <c r="H3522" i="15"/>
  <c r="H3523" i="15"/>
  <c r="H3524" i="15"/>
  <c r="H3525" i="15"/>
  <c r="H3526" i="15"/>
  <c r="H3527" i="15"/>
  <c r="H3528" i="15"/>
  <c r="H3529" i="15"/>
  <c r="H3530" i="15"/>
  <c r="H3531" i="15"/>
  <c r="H3532" i="15"/>
  <c r="H3533" i="15"/>
  <c r="H3534" i="15"/>
  <c r="H3535" i="15"/>
  <c r="H3536" i="15"/>
  <c r="H3537" i="15"/>
  <c r="H3538" i="15"/>
  <c r="H3539" i="15"/>
  <c r="H3540" i="15"/>
  <c r="H3541" i="15"/>
  <c r="H3542" i="15"/>
  <c r="H3543" i="15"/>
  <c r="H3544" i="15"/>
  <c r="H3545" i="15"/>
  <c r="H3546" i="15"/>
  <c r="H3547" i="15"/>
  <c r="H3548" i="15"/>
  <c r="H3549" i="15"/>
  <c r="H3550" i="15"/>
  <c r="H3551" i="15"/>
  <c r="H3552" i="15"/>
  <c r="H3553" i="15"/>
  <c r="H3554" i="15"/>
  <c r="H3555" i="15"/>
  <c r="H3556" i="15"/>
  <c r="H3557" i="15"/>
  <c r="H3558" i="15"/>
  <c r="H3559" i="15"/>
  <c r="H3560" i="15"/>
  <c r="H3561" i="15"/>
  <c r="H3562" i="15"/>
  <c r="H3563" i="15"/>
  <c r="H3564" i="15"/>
  <c r="H3565" i="15"/>
  <c r="H3566" i="15"/>
  <c r="H3567" i="15"/>
  <c r="H3568" i="15"/>
  <c r="H3569" i="15"/>
  <c r="H3570" i="15"/>
  <c r="H3571" i="15"/>
  <c r="H3572" i="15"/>
  <c r="H3573" i="15"/>
  <c r="H3574" i="15"/>
  <c r="H3575" i="15"/>
  <c r="H3576" i="15"/>
  <c r="H3577" i="15"/>
  <c r="H3578" i="15"/>
  <c r="H3579" i="15"/>
  <c r="H3580" i="15"/>
  <c r="H3581" i="15"/>
  <c r="H3582" i="15"/>
  <c r="H3583" i="15"/>
  <c r="H3584" i="15"/>
  <c r="H3585" i="15"/>
  <c r="H3586" i="15"/>
  <c r="H3587" i="15"/>
  <c r="H3588" i="15"/>
  <c r="H3589" i="15"/>
  <c r="H3590" i="15"/>
  <c r="H3591" i="15"/>
  <c r="H3592" i="15"/>
  <c r="H3593" i="15"/>
  <c r="H3594" i="15"/>
  <c r="H3595" i="15"/>
  <c r="H3596" i="15"/>
  <c r="H3597" i="15"/>
  <c r="H3598" i="15"/>
  <c r="H3599" i="15"/>
  <c r="H3600" i="15"/>
  <c r="H3601" i="15"/>
  <c r="H3602" i="15"/>
  <c r="H3603" i="15"/>
  <c r="H3604" i="15"/>
  <c r="H3605" i="15"/>
  <c r="H3606" i="15"/>
  <c r="H3607" i="15"/>
  <c r="H3608" i="15"/>
  <c r="H3609" i="15"/>
  <c r="H3610" i="15"/>
  <c r="H3611" i="15"/>
  <c r="H3612" i="15"/>
  <c r="H3613" i="15"/>
  <c r="H3614" i="15"/>
  <c r="H3615" i="15"/>
  <c r="H3616" i="15"/>
  <c r="H3617" i="15"/>
  <c r="H3618" i="15"/>
  <c r="H3619" i="15"/>
  <c r="H3620" i="15"/>
  <c r="H3621" i="15"/>
  <c r="H3622" i="15"/>
  <c r="H3623" i="15"/>
  <c r="H3624" i="15"/>
  <c r="H3625" i="15"/>
  <c r="H3626" i="15"/>
  <c r="H3627" i="15"/>
  <c r="H3628" i="15"/>
  <c r="H3629" i="15"/>
  <c r="H3630" i="15"/>
  <c r="H3631" i="15"/>
  <c r="H3632" i="15"/>
  <c r="H3633" i="15"/>
  <c r="H3634" i="15"/>
  <c r="H3635" i="15"/>
  <c r="H3636" i="15"/>
  <c r="H3637" i="15"/>
  <c r="H3638" i="15"/>
  <c r="H3639" i="15"/>
  <c r="H3640" i="15"/>
  <c r="H3641" i="15"/>
  <c r="H3642" i="15"/>
  <c r="H3643" i="15"/>
  <c r="H3644" i="15"/>
  <c r="H3645" i="15"/>
  <c r="H3646" i="15"/>
  <c r="H3647" i="15"/>
  <c r="H3648" i="15"/>
  <c r="H3649" i="15"/>
  <c r="H3650" i="15"/>
  <c r="H3651" i="15"/>
  <c r="H3652" i="15"/>
  <c r="H3653" i="15"/>
  <c r="H3654" i="15"/>
  <c r="H3655" i="15"/>
  <c r="H3656" i="15"/>
  <c r="H3657" i="15"/>
  <c r="H3658" i="15"/>
  <c r="H3659" i="15"/>
  <c r="H3660" i="15"/>
  <c r="H3661" i="15"/>
  <c r="H3662" i="15"/>
  <c r="H3663" i="15"/>
  <c r="H3664" i="15"/>
  <c r="H3665" i="15"/>
  <c r="H3666" i="15"/>
  <c r="H3667" i="15"/>
  <c r="H3668" i="15"/>
  <c r="H3669" i="15"/>
  <c r="H3670" i="15"/>
  <c r="H3671" i="15"/>
  <c r="H3672" i="15"/>
  <c r="H3673" i="15"/>
  <c r="H3674" i="15"/>
  <c r="H3675" i="15"/>
  <c r="H3676" i="15"/>
  <c r="H3677" i="15"/>
  <c r="H3678" i="15"/>
  <c r="H3679" i="15"/>
  <c r="H3680" i="15"/>
  <c r="H3681" i="15"/>
  <c r="H3682" i="15"/>
  <c r="H3683" i="15"/>
  <c r="H3684" i="15"/>
  <c r="H3685" i="15"/>
  <c r="H3686" i="15"/>
  <c r="H3687" i="15"/>
  <c r="H3688" i="15"/>
  <c r="H3689" i="15"/>
  <c r="H3690" i="15"/>
  <c r="H3691" i="15"/>
  <c r="H3692" i="15"/>
  <c r="H3693" i="15"/>
  <c r="H3694" i="15"/>
  <c r="H3695" i="15"/>
  <c r="H3696" i="15"/>
  <c r="H3697" i="15"/>
  <c r="H3698" i="15"/>
  <c r="H3699" i="15"/>
  <c r="H3700" i="15"/>
  <c r="H3701" i="15"/>
  <c r="H3702" i="15"/>
  <c r="H3703" i="15"/>
  <c r="H3704" i="15"/>
  <c r="H3705" i="15"/>
  <c r="H3706" i="15"/>
  <c r="H3707" i="15"/>
  <c r="H3708" i="15"/>
  <c r="H3709" i="15"/>
  <c r="H3710" i="15"/>
  <c r="H3711" i="15"/>
  <c r="H3712" i="15"/>
  <c r="H3713" i="15"/>
  <c r="H3714" i="15"/>
  <c r="H3715" i="15"/>
  <c r="H3716" i="15"/>
  <c r="H3717" i="15"/>
  <c r="H3718" i="15"/>
  <c r="H3719" i="15"/>
  <c r="H3720" i="15"/>
  <c r="H3721" i="15"/>
  <c r="H3722" i="15"/>
  <c r="H3723" i="15"/>
  <c r="H3724" i="15"/>
  <c r="H3725" i="15"/>
  <c r="H3726" i="15"/>
  <c r="H3727" i="15"/>
  <c r="H3728" i="15"/>
  <c r="H3729" i="15"/>
  <c r="H3730" i="15"/>
  <c r="H3731" i="15"/>
  <c r="H3732" i="15"/>
  <c r="H3733" i="15"/>
  <c r="H3734" i="15"/>
  <c r="H3735" i="15"/>
  <c r="H3736" i="15"/>
  <c r="H3737" i="15"/>
  <c r="H3738" i="15"/>
  <c r="H3739" i="15"/>
  <c r="H3740" i="15"/>
  <c r="H3741" i="15"/>
  <c r="H3742" i="15"/>
  <c r="H3743" i="15"/>
  <c r="H3744" i="15"/>
  <c r="H3745" i="15"/>
  <c r="H3746" i="15"/>
  <c r="H3747" i="15"/>
  <c r="H3748" i="15"/>
  <c r="H3749" i="15"/>
  <c r="H3750" i="15"/>
  <c r="H3751" i="15"/>
  <c r="H3752" i="15"/>
  <c r="H3753" i="15"/>
  <c r="H3754" i="15"/>
  <c r="H3755" i="15"/>
  <c r="H3756" i="15"/>
  <c r="H3757" i="15"/>
  <c r="H3758" i="15"/>
  <c r="H3759" i="15"/>
  <c r="H3760" i="15"/>
  <c r="H3761" i="15"/>
  <c r="H3762" i="15"/>
  <c r="H3763" i="15"/>
  <c r="H3764" i="15"/>
  <c r="H3765" i="15"/>
  <c r="H3766" i="15"/>
  <c r="H3767" i="15"/>
  <c r="H3768" i="15"/>
  <c r="H3769" i="15"/>
  <c r="H3770" i="15"/>
  <c r="H3771" i="15"/>
  <c r="H3772" i="15"/>
  <c r="H3773" i="15"/>
  <c r="H3774" i="15"/>
  <c r="H3775" i="15"/>
  <c r="H3776" i="15"/>
  <c r="H3777" i="15"/>
  <c r="H3778" i="15"/>
  <c r="H3779" i="15"/>
  <c r="H3780" i="15"/>
  <c r="H3781" i="15"/>
  <c r="H3782" i="15"/>
  <c r="H3783" i="15"/>
  <c r="H3784" i="15"/>
  <c r="H3785" i="15"/>
  <c r="H3786" i="15"/>
  <c r="H3787" i="15"/>
  <c r="H3788" i="15"/>
  <c r="H3789" i="15"/>
  <c r="H3790" i="15"/>
  <c r="H3791" i="15"/>
  <c r="H3792" i="15"/>
  <c r="H3793" i="15"/>
  <c r="H3794" i="15"/>
  <c r="H3795" i="15"/>
  <c r="H3796" i="15"/>
  <c r="H3797" i="15"/>
  <c r="H3798" i="15"/>
  <c r="H3799" i="15"/>
  <c r="H3800" i="15"/>
  <c r="H3801" i="15"/>
  <c r="H3802" i="15"/>
  <c r="H3803" i="15"/>
  <c r="H3804" i="15"/>
  <c r="H3805" i="15"/>
  <c r="H3806" i="15"/>
  <c r="H3807" i="15"/>
  <c r="H3808" i="15"/>
  <c r="H3809" i="15"/>
  <c r="H3810" i="15"/>
  <c r="H3811" i="15"/>
  <c r="H3812" i="15"/>
  <c r="H3813" i="15"/>
  <c r="H3814" i="15"/>
  <c r="H3815" i="15"/>
  <c r="H3816" i="15"/>
  <c r="H3817" i="15"/>
  <c r="H3818" i="15"/>
  <c r="H3819" i="15"/>
  <c r="H3820" i="15"/>
  <c r="H3821" i="15"/>
  <c r="H3822" i="15"/>
  <c r="H3823" i="15"/>
  <c r="H3824" i="15"/>
  <c r="H3825" i="15"/>
  <c r="H3826" i="15"/>
  <c r="H3827" i="15"/>
  <c r="H3828" i="15"/>
  <c r="H3829" i="15"/>
  <c r="H3830" i="15"/>
  <c r="H3831" i="15"/>
  <c r="H3832" i="15"/>
  <c r="H3833" i="15"/>
  <c r="H3834" i="15"/>
  <c r="H3835" i="15"/>
  <c r="H3836" i="15"/>
  <c r="H3837" i="15"/>
  <c r="H3838" i="15"/>
  <c r="H3839" i="15"/>
  <c r="H3840" i="15"/>
  <c r="H3841" i="15"/>
  <c r="H3842" i="15"/>
  <c r="H3843" i="15"/>
  <c r="H3844" i="15"/>
  <c r="H3845" i="15"/>
  <c r="H3846" i="15"/>
  <c r="H3847" i="15"/>
  <c r="H3848" i="15"/>
  <c r="H3849" i="15"/>
  <c r="H3850" i="15"/>
  <c r="H3851" i="15"/>
  <c r="H3852" i="15"/>
  <c r="H3853" i="15"/>
  <c r="H3854" i="15"/>
  <c r="H3855" i="15"/>
  <c r="H3856" i="15"/>
  <c r="H3857" i="15"/>
  <c r="H3858" i="15"/>
  <c r="H3859" i="15"/>
  <c r="H3860" i="15"/>
  <c r="H3861" i="15"/>
  <c r="H3862" i="15"/>
  <c r="H3863" i="15"/>
  <c r="H3864" i="15"/>
  <c r="H3865" i="15"/>
  <c r="H3866" i="15"/>
  <c r="H3867" i="15"/>
  <c r="H3868" i="15"/>
  <c r="H3869" i="15"/>
  <c r="H3870" i="15"/>
  <c r="H3871" i="15"/>
  <c r="H3872" i="15"/>
  <c r="H3873" i="15"/>
  <c r="H3874" i="15"/>
  <c r="H3875" i="15"/>
  <c r="H3876" i="15"/>
  <c r="H3877" i="15"/>
  <c r="H3878" i="15"/>
  <c r="H3879" i="15"/>
  <c r="H3880" i="15"/>
  <c r="H3881" i="15"/>
  <c r="H3882" i="15"/>
  <c r="H3883" i="15"/>
  <c r="H3884" i="15"/>
  <c r="H3885" i="15"/>
  <c r="H3886" i="15"/>
  <c r="H3887" i="15"/>
  <c r="H3888" i="15"/>
  <c r="H3889" i="15"/>
  <c r="H3890" i="15"/>
  <c r="H3891" i="15"/>
  <c r="H3892" i="15"/>
  <c r="H3893" i="15"/>
  <c r="H3894" i="15"/>
  <c r="H3895" i="15"/>
  <c r="H3896" i="15"/>
  <c r="H3897" i="15"/>
  <c r="H3898" i="15"/>
  <c r="H3899" i="15"/>
  <c r="H3900" i="15"/>
  <c r="H3901" i="15"/>
  <c r="H3902" i="15"/>
  <c r="H3903" i="15"/>
  <c r="H3904" i="15"/>
  <c r="H3905" i="15"/>
  <c r="H3906" i="15"/>
  <c r="H3907" i="15"/>
  <c r="H3908" i="15"/>
  <c r="H3909" i="15"/>
  <c r="H3910" i="15"/>
  <c r="H3911" i="15"/>
  <c r="H3912" i="15"/>
  <c r="H3913" i="15"/>
  <c r="H3914" i="15"/>
  <c r="H3915" i="15"/>
  <c r="H3916" i="15"/>
  <c r="H3917" i="15"/>
  <c r="H3918" i="15"/>
  <c r="H3919" i="15"/>
  <c r="H3920" i="15"/>
  <c r="H3921" i="15"/>
  <c r="H3922" i="15"/>
  <c r="H3923" i="15"/>
  <c r="H3924" i="15"/>
  <c r="H3925" i="15"/>
  <c r="H3926" i="15"/>
  <c r="H3927" i="15"/>
  <c r="H3928" i="15"/>
  <c r="H3929" i="15"/>
  <c r="H3930" i="15"/>
  <c r="H3931" i="15"/>
  <c r="H3932" i="15"/>
  <c r="H3933" i="15"/>
  <c r="H3934" i="15"/>
  <c r="H3935" i="15"/>
  <c r="H3936" i="15"/>
  <c r="H3937" i="15"/>
  <c r="H3938" i="15"/>
  <c r="H3939" i="15"/>
  <c r="H3940" i="15"/>
  <c r="H3941" i="15"/>
  <c r="H3942" i="15"/>
  <c r="H3943" i="15"/>
  <c r="H3944" i="15"/>
  <c r="H3945" i="15"/>
  <c r="H3946" i="15"/>
  <c r="H3947" i="15"/>
  <c r="H3948" i="15"/>
  <c r="H3949" i="15"/>
  <c r="H3950" i="15"/>
  <c r="H3951" i="15"/>
  <c r="H3952" i="15"/>
  <c r="H3953" i="15"/>
  <c r="H3954" i="15"/>
  <c r="H3955" i="15"/>
  <c r="H3956" i="15"/>
  <c r="H3957" i="15"/>
  <c r="H3958" i="15"/>
  <c r="H3959" i="15"/>
  <c r="H3960" i="15"/>
  <c r="H3961" i="15"/>
  <c r="H3962" i="15"/>
  <c r="H3963" i="15"/>
  <c r="H3964" i="15"/>
  <c r="H3965" i="15"/>
  <c r="H3966" i="15"/>
  <c r="H3967" i="15"/>
  <c r="H3968" i="15"/>
  <c r="H3969" i="15"/>
  <c r="H3970" i="15"/>
  <c r="H3971" i="15"/>
  <c r="H3972" i="15"/>
  <c r="H3973" i="15"/>
  <c r="H3974" i="15"/>
  <c r="H3975" i="15"/>
  <c r="H3976" i="15"/>
  <c r="H3977" i="15"/>
  <c r="H3978" i="15"/>
  <c r="H3979" i="15"/>
  <c r="H3980" i="15"/>
  <c r="H3981" i="15"/>
  <c r="H3982" i="15"/>
  <c r="H3983" i="15"/>
  <c r="H3984" i="15"/>
  <c r="H3985" i="15"/>
  <c r="H3986" i="15"/>
  <c r="H3987" i="15"/>
  <c r="H3988" i="15"/>
  <c r="H3989" i="15"/>
  <c r="H3990" i="15"/>
  <c r="H3991" i="15"/>
  <c r="H3992" i="15"/>
  <c r="H3993" i="15"/>
  <c r="H3994" i="15"/>
  <c r="H3995" i="15"/>
  <c r="H3996" i="15"/>
  <c r="H3997" i="15"/>
  <c r="H3998" i="15"/>
  <c r="H3999" i="15"/>
  <c r="H4000" i="15"/>
  <c r="H4001" i="15"/>
  <c r="H4002" i="15"/>
  <c r="H4003" i="15"/>
  <c r="H4004" i="15"/>
  <c r="H4005" i="15"/>
  <c r="H4006" i="15"/>
  <c r="H4007" i="15"/>
  <c r="H4008" i="15"/>
  <c r="H4009" i="15"/>
  <c r="H4010" i="15"/>
  <c r="H4011" i="15"/>
  <c r="H4012" i="15"/>
  <c r="H4013" i="15"/>
  <c r="H4014" i="15"/>
  <c r="H4015" i="15"/>
  <c r="H4016" i="15"/>
  <c r="H4017" i="15"/>
  <c r="H4018" i="15"/>
  <c r="H4019" i="15"/>
  <c r="H4020" i="15"/>
  <c r="H4021" i="15"/>
  <c r="H4022" i="15"/>
  <c r="H4023" i="15"/>
  <c r="H4024" i="15"/>
  <c r="H4025" i="15"/>
  <c r="H4026" i="15"/>
  <c r="H4027" i="15"/>
  <c r="H4028" i="15"/>
  <c r="H4029" i="15"/>
  <c r="H4030" i="15"/>
  <c r="H4031" i="15"/>
  <c r="H4032" i="15"/>
  <c r="H4033" i="15"/>
  <c r="H4034" i="15"/>
  <c r="H4035" i="15"/>
  <c r="H4036" i="15"/>
  <c r="H4037" i="15"/>
  <c r="H4038" i="15"/>
  <c r="H4039" i="15"/>
  <c r="H4040" i="15"/>
  <c r="H4041" i="15"/>
  <c r="H4042" i="15"/>
  <c r="H4043" i="15"/>
  <c r="H4044" i="15"/>
  <c r="H4045" i="15"/>
  <c r="H4046" i="15"/>
  <c r="H4047" i="15"/>
  <c r="H4048" i="15"/>
  <c r="H4049" i="15"/>
  <c r="H4050" i="15"/>
  <c r="H4051" i="15"/>
  <c r="H4052" i="15"/>
  <c r="H4053" i="15"/>
  <c r="H4054" i="15"/>
  <c r="H4055" i="15"/>
  <c r="H4056" i="15"/>
  <c r="H4057" i="15"/>
  <c r="H4058" i="15"/>
  <c r="H4059" i="15"/>
  <c r="H4060" i="15"/>
  <c r="H4061" i="15"/>
  <c r="H4062" i="15"/>
  <c r="H4063" i="15"/>
  <c r="H4064" i="15"/>
  <c r="H4065" i="15"/>
  <c r="H4066" i="15"/>
  <c r="H4067" i="15"/>
  <c r="H4068" i="15"/>
  <c r="H4069" i="15"/>
  <c r="H4070" i="15"/>
  <c r="H4071" i="15"/>
  <c r="H4072" i="15"/>
  <c r="H4073" i="15"/>
  <c r="H4074" i="15"/>
  <c r="H4075" i="15"/>
  <c r="H4076" i="15"/>
  <c r="H4077" i="15"/>
  <c r="H4078" i="15"/>
  <c r="H4079" i="15"/>
  <c r="H4080" i="15"/>
  <c r="H4081" i="15"/>
  <c r="H4082" i="15"/>
  <c r="H4083" i="15"/>
  <c r="H4084" i="15"/>
  <c r="H4085" i="15"/>
  <c r="H4086" i="15"/>
  <c r="H4087" i="15"/>
  <c r="H4088" i="15"/>
  <c r="H4089" i="15"/>
  <c r="H4090" i="15"/>
  <c r="H4091" i="15"/>
  <c r="H4092" i="15"/>
  <c r="H4093" i="15"/>
  <c r="H4094" i="15"/>
  <c r="H4095" i="15"/>
  <c r="H4096" i="15"/>
  <c r="H4097" i="15"/>
  <c r="H4098" i="15"/>
  <c r="H4099" i="15"/>
  <c r="H4100" i="15"/>
  <c r="H4101" i="15"/>
  <c r="H4102" i="15"/>
  <c r="H4103" i="15"/>
  <c r="H4104" i="15"/>
  <c r="H4105" i="15"/>
  <c r="H4106" i="15"/>
  <c r="H4107" i="15"/>
  <c r="H4108" i="15"/>
  <c r="H4109" i="15"/>
  <c r="H4110" i="15"/>
  <c r="H4111" i="15"/>
  <c r="H4112" i="15"/>
  <c r="H4113" i="15"/>
  <c r="H4114" i="15"/>
  <c r="H4115" i="15"/>
  <c r="H4116" i="15"/>
  <c r="H4117" i="15"/>
  <c r="H4118" i="15"/>
  <c r="H4119" i="15"/>
  <c r="H4120" i="15"/>
  <c r="H4121" i="15"/>
  <c r="H4122" i="15"/>
  <c r="H4123" i="15"/>
  <c r="H4124" i="15"/>
  <c r="H4125" i="15"/>
  <c r="H4126" i="15"/>
  <c r="H4127" i="15"/>
  <c r="H4128" i="15"/>
  <c r="H4129" i="15"/>
  <c r="H4130" i="15"/>
  <c r="H4131" i="15"/>
  <c r="H4132" i="15"/>
  <c r="H4133" i="15"/>
  <c r="H4134" i="15"/>
  <c r="H4135" i="15"/>
  <c r="H4136" i="15"/>
  <c r="H4137" i="15"/>
  <c r="H4138" i="15"/>
  <c r="H4139" i="15"/>
  <c r="H4140" i="15"/>
  <c r="H4141" i="15"/>
  <c r="H4142" i="15"/>
  <c r="H4143" i="15"/>
  <c r="H4144" i="15"/>
  <c r="H4145" i="15"/>
  <c r="H4146" i="15"/>
  <c r="H4147" i="15"/>
  <c r="H4148" i="15"/>
  <c r="H4149" i="15"/>
  <c r="H4150" i="15"/>
  <c r="H4151" i="15"/>
  <c r="H4152" i="15"/>
  <c r="H4153" i="15"/>
  <c r="H4154" i="15"/>
  <c r="H4155" i="15"/>
  <c r="H4156" i="15"/>
  <c r="H4157" i="15"/>
  <c r="H4158" i="15"/>
  <c r="H4159" i="15"/>
  <c r="H4160" i="15"/>
  <c r="H4161" i="15"/>
  <c r="H4162" i="15"/>
  <c r="H4163" i="15"/>
  <c r="H4164" i="15"/>
  <c r="H4165" i="15"/>
  <c r="H4166" i="15"/>
  <c r="H4167" i="15"/>
  <c r="H4168" i="15"/>
  <c r="H4169" i="15"/>
  <c r="H4170" i="15"/>
  <c r="H4171" i="15"/>
  <c r="H4172" i="15"/>
  <c r="H4173" i="15"/>
  <c r="H4174" i="15"/>
  <c r="H4175" i="15"/>
  <c r="H4176" i="15"/>
  <c r="H4177" i="15"/>
  <c r="H4178" i="15"/>
  <c r="H4179" i="15"/>
  <c r="H4180" i="15"/>
  <c r="H4181" i="15"/>
  <c r="H4182" i="15"/>
  <c r="H4183" i="15"/>
  <c r="H4184" i="15"/>
  <c r="H4185" i="15"/>
  <c r="H4186" i="15"/>
  <c r="H4187" i="15"/>
  <c r="H4188" i="15"/>
  <c r="H4189" i="15"/>
  <c r="H4190" i="15"/>
  <c r="H4191" i="15"/>
  <c r="H4192" i="15"/>
  <c r="H4193" i="15"/>
  <c r="H4194" i="15"/>
  <c r="H4195" i="15"/>
  <c r="H4196" i="15"/>
  <c r="H4197" i="15"/>
  <c r="H4198" i="15"/>
  <c r="H4199" i="15"/>
  <c r="H4200" i="15"/>
  <c r="H4201" i="15"/>
  <c r="H4202" i="15"/>
  <c r="H4203" i="15"/>
  <c r="H4204" i="15"/>
  <c r="H4205" i="15"/>
  <c r="H4206" i="15"/>
  <c r="H4207" i="15"/>
  <c r="H4208" i="15"/>
  <c r="H4209" i="15"/>
  <c r="H4210" i="15"/>
  <c r="H4211" i="15"/>
  <c r="H4212" i="15"/>
  <c r="H4213" i="15"/>
  <c r="H4214" i="15"/>
  <c r="H4215" i="15"/>
  <c r="H4216" i="15"/>
  <c r="H4217" i="15"/>
  <c r="H4218" i="15"/>
  <c r="H4219" i="15"/>
  <c r="H4220" i="15"/>
  <c r="H4221" i="15"/>
  <c r="H4222" i="15"/>
  <c r="H4223" i="15"/>
  <c r="H4224" i="15"/>
  <c r="H4225" i="15"/>
  <c r="H4226" i="15"/>
  <c r="H4227" i="15"/>
  <c r="H4228" i="15"/>
  <c r="H4229" i="15"/>
  <c r="H4230" i="15"/>
  <c r="H4231" i="15"/>
  <c r="H4232" i="15"/>
  <c r="H4233" i="15"/>
  <c r="H4234" i="15"/>
  <c r="H4235" i="15"/>
  <c r="H4236" i="15"/>
  <c r="H4237" i="15"/>
  <c r="H4238" i="15"/>
  <c r="H4239" i="15"/>
  <c r="H4240" i="15"/>
  <c r="H4241" i="15"/>
  <c r="H4242" i="15"/>
  <c r="H4243" i="15"/>
  <c r="H4244" i="15"/>
  <c r="H4245" i="15"/>
  <c r="H4246" i="15"/>
  <c r="H4247" i="15"/>
  <c r="H4248" i="15"/>
  <c r="H4249" i="15"/>
  <c r="H4250" i="15"/>
  <c r="H4251" i="15"/>
  <c r="H4252" i="15"/>
  <c r="H4253" i="15"/>
  <c r="H4254" i="15"/>
  <c r="H4255" i="15"/>
  <c r="H4256" i="15"/>
  <c r="H4257" i="15"/>
  <c r="H4258" i="15"/>
  <c r="H4259" i="15"/>
  <c r="H4260" i="15"/>
  <c r="H4261" i="15"/>
  <c r="H4262" i="15"/>
  <c r="H4263" i="15"/>
  <c r="H4264" i="15"/>
  <c r="H4265" i="15"/>
  <c r="H4266" i="15"/>
  <c r="H4267" i="15"/>
  <c r="H4268" i="15"/>
  <c r="H4269" i="15"/>
  <c r="H4270" i="15"/>
  <c r="H4271" i="15"/>
  <c r="H4272" i="15"/>
  <c r="H4273" i="15"/>
  <c r="H4274" i="15"/>
  <c r="H4275" i="15"/>
  <c r="H4276" i="15"/>
  <c r="H4277" i="15"/>
  <c r="H4278" i="15"/>
  <c r="H4279" i="15"/>
  <c r="H4280" i="15"/>
  <c r="H4281" i="15"/>
  <c r="H4282" i="15"/>
  <c r="H4283" i="15"/>
  <c r="H4284" i="15"/>
  <c r="H4285" i="15"/>
  <c r="H4286" i="15"/>
  <c r="H4287" i="15"/>
  <c r="H4288" i="15"/>
  <c r="H4289" i="15"/>
  <c r="H4290" i="15"/>
  <c r="H4291" i="15"/>
  <c r="H4292" i="15"/>
  <c r="H4293" i="15"/>
  <c r="H4294" i="15"/>
  <c r="H4295" i="15"/>
  <c r="H4296" i="15"/>
  <c r="H4297" i="15"/>
  <c r="H4298" i="15"/>
  <c r="H4299" i="15"/>
  <c r="H4300" i="15"/>
  <c r="H4301" i="15"/>
  <c r="H4302" i="15"/>
  <c r="H4303" i="15"/>
  <c r="H4304" i="15"/>
  <c r="H4305" i="15"/>
  <c r="H4306" i="15"/>
  <c r="H4307" i="15"/>
  <c r="H4308" i="15"/>
  <c r="H4309" i="15"/>
  <c r="H4310" i="15"/>
  <c r="H4311" i="15"/>
  <c r="H4312" i="15"/>
  <c r="H4313" i="15"/>
  <c r="H4314" i="15"/>
  <c r="H4315" i="15"/>
  <c r="H4316" i="15"/>
  <c r="H4317" i="15"/>
  <c r="H4318" i="15"/>
  <c r="H4319" i="15"/>
  <c r="H4320" i="15"/>
  <c r="H4321" i="15"/>
  <c r="H4322" i="15"/>
  <c r="H4323" i="15"/>
  <c r="H4324" i="15"/>
  <c r="H4325" i="15"/>
  <c r="H4326" i="15"/>
  <c r="H4327" i="15"/>
  <c r="H4328" i="15"/>
  <c r="H4329" i="15"/>
  <c r="H4330" i="15"/>
  <c r="H4331" i="15"/>
  <c r="H4332" i="15"/>
  <c r="H4333" i="15"/>
  <c r="H4334" i="15"/>
  <c r="H4335" i="15"/>
  <c r="H4336" i="15"/>
  <c r="H4337" i="15"/>
  <c r="H4338" i="15"/>
  <c r="H4339" i="15"/>
  <c r="H4340" i="15"/>
  <c r="H4341" i="15"/>
  <c r="H4342" i="15"/>
  <c r="H4343" i="15"/>
  <c r="H4344" i="15"/>
  <c r="H4345" i="15"/>
  <c r="H4346" i="15"/>
  <c r="H4347" i="15"/>
  <c r="H4348" i="15"/>
  <c r="H4349" i="15"/>
  <c r="H4350" i="15"/>
  <c r="H4351" i="15"/>
  <c r="H4352" i="15"/>
  <c r="H4353" i="15"/>
  <c r="H4354" i="15"/>
  <c r="H4355" i="15"/>
  <c r="H4356" i="15"/>
  <c r="H4357" i="15"/>
  <c r="H4358" i="15"/>
  <c r="H4359" i="15"/>
  <c r="H4360" i="15"/>
  <c r="H4361" i="15"/>
  <c r="H4362" i="15"/>
  <c r="H4363" i="15"/>
  <c r="H4364" i="15"/>
  <c r="H4365" i="15"/>
  <c r="H4366" i="15"/>
  <c r="H4367" i="15"/>
  <c r="H4368" i="15"/>
  <c r="H4369" i="15"/>
  <c r="H4370" i="15"/>
  <c r="H4371" i="15"/>
  <c r="H4372" i="15"/>
  <c r="H4373" i="15"/>
  <c r="H4374" i="15"/>
  <c r="H4375" i="15"/>
  <c r="H4376" i="15"/>
  <c r="H4377" i="15"/>
  <c r="H4378" i="15"/>
  <c r="H4379" i="15"/>
  <c r="H4380" i="15"/>
  <c r="H4381" i="15"/>
  <c r="H4382" i="15"/>
  <c r="H4383" i="15"/>
  <c r="H4384" i="15"/>
  <c r="H4385" i="15"/>
  <c r="H4386" i="15"/>
  <c r="H4387" i="15"/>
  <c r="H4388" i="15"/>
  <c r="H4389" i="15"/>
  <c r="H4390" i="15"/>
  <c r="H4391" i="15"/>
  <c r="H4392" i="15"/>
  <c r="H4393" i="15"/>
  <c r="H4394" i="15"/>
  <c r="H4395" i="15"/>
  <c r="H4396" i="15"/>
  <c r="H4397" i="15"/>
  <c r="H4398" i="15"/>
  <c r="H4399" i="15"/>
  <c r="H4400" i="15"/>
  <c r="H4401" i="15"/>
  <c r="H4402" i="15"/>
  <c r="H4403" i="15"/>
  <c r="H4404" i="15"/>
  <c r="H4405" i="15"/>
  <c r="H4406" i="15"/>
  <c r="H4407" i="15"/>
  <c r="H4408" i="15"/>
  <c r="H4409" i="15"/>
  <c r="H4410" i="15"/>
  <c r="H4411" i="15"/>
  <c r="H4412" i="15"/>
  <c r="H4413" i="15"/>
  <c r="H4414" i="15"/>
  <c r="H4415" i="15"/>
  <c r="H4416" i="15"/>
  <c r="H4417" i="15"/>
  <c r="H4418" i="15"/>
  <c r="H4419" i="15"/>
  <c r="H4420" i="15"/>
  <c r="H4421" i="15"/>
  <c r="H4422" i="15"/>
  <c r="H4423" i="15"/>
  <c r="H4424" i="15"/>
  <c r="H4425" i="15"/>
  <c r="H4426" i="15"/>
  <c r="H4427" i="15"/>
  <c r="H4428" i="15"/>
  <c r="H4429" i="15"/>
  <c r="H4430" i="15"/>
  <c r="H4431" i="15"/>
  <c r="H4432" i="15"/>
  <c r="H4433" i="15"/>
  <c r="H4434" i="15"/>
  <c r="H4435" i="15"/>
  <c r="H4436" i="15"/>
  <c r="H4437" i="15"/>
  <c r="H4438" i="15"/>
  <c r="H4439" i="15"/>
  <c r="H4440" i="15"/>
  <c r="H4441" i="15"/>
  <c r="H4442" i="15"/>
  <c r="H4443" i="15"/>
  <c r="H4444" i="15"/>
  <c r="H4445" i="15"/>
  <c r="H4446" i="15"/>
  <c r="H4447" i="15"/>
  <c r="H4448" i="15"/>
  <c r="H4449" i="15"/>
  <c r="H4450" i="15"/>
  <c r="H4451" i="15"/>
  <c r="H4452" i="15"/>
  <c r="H4453" i="15"/>
  <c r="H4454" i="15"/>
  <c r="H4455" i="15"/>
  <c r="H4456" i="15"/>
  <c r="H4457" i="15"/>
  <c r="H4458" i="15"/>
  <c r="H4459" i="15"/>
  <c r="H4460" i="15"/>
  <c r="H4461" i="15"/>
  <c r="H4462" i="15"/>
  <c r="H4463" i="15"/>
  <c r="H4464" i="15"/>
  <c r="H4465" i="15"/>
  <c r="H4466" i="15"/>
  <c r="H4467" i="15"/>
  <c r="H4468" i="15"/>
  <c r="H4469" i="15"/>
  <c r="H4470" i="15"/>
  <c r="H4471" i="15"/>
  <c r="H4472" i="15"/>
  <c r="H4473" i="15"/>
  <c r="H4474" i="15"/>
  <c r="H4475" i="15"/>
  <c r="H4476" i="15"/>
  <c r="H4477" i="15"/>
  <c r="H4478" i="15"/>
  <c r="H4479" i="15"/>
  <c r="H4480" i="15"/>
  <c r="H4481" i="15"/>
  <c r="H4482" i="15"/>
  <c r="H4483" i="15"/>
  <c r="H4484" i="15"/>
  <c r="H4485" i="15"/>
  <c r="H4486" i="15"/>
  <c r="H4487" i="15"/>
  <c r="H4488" i="15"/>
  <c r="H4489" i="15"/>
  <c r="H4490" i="15"/>
  <c r="H4491" i="15"/>
  <c r="H4492" i="15"/>
  <c r="H4493" i="15"/>
  <c r="H4494" i="15"/>
  <c r="H4495" i="15"/>
  <c r="H4496" i="15"/>
  <c r="H4497" i="15"/>
  <c r="H4498" i="15"/>
  <c r="H4499" i="15"/>
  <c r="H4500" i="15"/>
  <c r="H4501" i="15"/>
  <c r="H4502" i="15"/>
  <c r="H4503" i="15"/>
  <c r="H4504" i="15"/>
  <c r="H4505" i="15"/>
  <c r="H4506" i="15"/>
  <c r="H4507" i="15"/>
  <c r="H4508" i="15"/>
  <c r="H4509" i="15"/>
  <c r="H4510" i="15"/>
  <c r="H4511" i="15"/>
  <c r="H4512" i="15"/>
  <c r="H4513" i="15"/>
  <c r="H4514" i="15"/>
  <c r="H4515" i="15"/>
  <c r="H4516" i="15"/>
  <c r="H4517" i="15"/>
  <c r="H4518" i="15"/>
  <c r="H4519" i="15"/>
  <c r="H4520" i="15"/>
  <c r="H4521" i="15"/>
  <c r="H4522" i="15"/>
  <c r="H4523" i="15"/>
  <c r="H4524" i="15"/>
  <c r="H4525" i="15"/>
  <c r="H4526" i="15"/>
  <c r="H4527" i="15"/>
  <c r="H4528" i="15"/>
  <c r="H4529" i="15"/>
  <c r="H4530" i="15"/>
  <c r="H4531" i="15"/>
  <c r="H4532" i="15"/>
  <c r="H4533" i="15"/>
  <c r="H4534" i="15"/>
  <c r="H4535" i="15"/>
  <c r="H4536" i="15"/>
  <c r="H4537" i="15"/>
  <c r="H4538" i="15"/>
  <c r="H4539" i="15"/>
  <c r="H4540" i="15"/>
  <c r="H4541" i="15"/>
  <c r="H4542" i="15"/>
  <c r="H4543" i="15"/>
  <c r="H4544" i="15"/>
  <c r="H4545" i="15"/>
  <c r="H4546" i="15"/>
  <c r="H4547" i="15"/>
  <c r="H4548" i="15"/>
  <c r="H4549" i="15"/>
  <c r="H4550" i="15"/>
  <c r="H4551" i="15"/>
  <c r="H4552" i="15"/>
  <c r="H4553" i="15"/>
  <c r="H4554" i="15"/>
  <c r="H4555" i="15"/>
  <c r="H4556" i="15"/>
  <c r="H4557" i="15"/>
  <c r="H4558" i="15"/>
  <c r="H4559" i="15"/>
  <c r="H4560" i="15"/>
  <c r="H4561" i="15"/>
  <c r="H4562" i="15"/>
  <c r="H4563" i="15"/>
  <c r="H4564" i="15"/>
  <c r="H4565" i="15"/>
  <c r="H4566" i="15"/>
  <c r="H4567" i="15"/>
  <c r="H4568" i="15"/>
  <c r="H4569" i="15"/>
  <c r="H4570" i="15"/>
  <c r="H4571" i="15"/>
  <c r="H4572" i="15"/>
  <c r="H4573" i="15"/>
  <c r="H4574" i="15"/>
  <c r="H4575" i="15"/>
  <c r="H4576" i="15"/>
  <c r="H4577" i="15"/>
  <c r="H4578" i="15"/>
  <c r="H4579" i="15"/>
  <c r="H4580" i="15"/>
  <c r="H4581" i="15"/>
  <c r="H4582" i="15"/>
  <c r="H4583" i="15"/>
  <c r="H4584" i="15"/>
  <c r="H4585" i="15"/>
  <c r="H4586" i="15"/>
  <c r="H4587" i="15"/>
  <c r="H4588" i="15"/>
  <c r="H4589" i="15"/>
  <c r="H4590" i="15"/>
  <c r="H4591" i="15"/>
  <c r="H4592" i="15"/>
  <c r="H4593" i="15"/>
  <c r="H4594" i="15"/>
  <c r="H4595" i="15"/>
  <c r="H4596" i="15"/>
  <c r="H4597" i="15"/>
  <c r="H4598" i="15"/>
  <c r="H4599" i="15"/>
  <c r="H4600" i="15"/>
  <c r="H4601" i="15"/>
  <c r="H4602" i="15"/>
  <c r="H4603" i="15"/>
  <c r="H4604" i="15"/>
  <c r="H4605" i="15"/>
  <c r="H4606" i="15"/>
  <c r="H4607" i="15"/>
  <c r="H4608" i="15"/>
  <c r="H4609" i="15"/>
  <c r="H4610" i="15"/>
  <c r="H4611" i="15"/>
  <c r="H4612" i="15"/>
  <c r="H4613" i="15"/>
  <c r="H4614" i="15"/>
  <c r="H4615" i="15"/>
  <c r="H4616" i="15"/>
  <c r="H4617" i="15"/>
  <c r="H4618" i="15"/>
  <c r="H4619" i="15"/>
  <c r="H4620" i="15"/>
  <c r="H4621" i="15"/>
  <c r="H4622" i="15"/>
  <c r="H4623" i="15"/>
  <c r="H4624" i="15"/>
  <c r="H4625" i="15"/>
  <c r="H4626" i="15"/>
  <c r="H4627" i="15"/>
  <c r="H4628" i="15"/>
  <c r="H4629" i="15"/>
  <c r="H4630" i="15"/>
  <c r="H4631" i="15"/>
  <c r="H4632" i="15"/>
  <c r="H4633" i="15"/>
  <c r="H4634" i="15"/>
  <c r="H4635" i="15"/>
  <c r="H4636" i="15"/>
  <c r="H4637" i="15"/>
  <c r="H4638" i="15"/>
  <c r="H4639" i="15"/>
  <c r="H4640" i="15"/>
  <c r="H4641" i="15"/>
  <c r="H4642" i="15"/>
  <c r="H4643" i="15"/>
  <c r="H4644" i="15"/>
  <c r="H4645" i="15"/>
  <c r="H4646" i="15"/>
  <c r="H4647" i="15"/>
  <c r="H4648" i="15"/>
  <c r="H4649" i="15"/>
  <c r="H4650" i="15"/>
  <c r="H4651" i="15"/>
  <c r="H4652" i="15"/>
  <c r="H4653" i="15"/>
  <c r="H4654" i="15"/>
  <c r="H4655" i="15"/>
  <c r="H4656" i="15"/>
  <c r="H4657" i="15"/>
  <c r="H4658" i="15"/>
  <c r="H4659" i="15"/>
  <c r="H4660" i="15"/>
  <c r="H4661" i="15"/>
  <c r="H4662" i="15"/>
  <c r="H4663" i="15"/>
  <c r="H4664" i="15"/>
  <c r="H4665" i="15"/>
  <c r="H4666" i="15"/>
  <c r="H4667" i="15"/>
  <c r="H4668" i="15"/>
  <c r="H4669" i="15"/>
  <c r="H4670" i="15"/>
  <c r="H4671" i="15"/>
  <c r="H4672" i="15"/>
  <c r="H4673" i="15"/>
  <c r="H4674" i="15"/>
  <c r="H4675" i="15"/>
  <c r="H4676" i="15"/>
  <c r="H4677" i="15"/>
  <c r="H4678" i="15"/>
  <c r="H4679" i="15"/>
  <c r="H4680" i="15"/>
  <c r="H4681" i="15"/>
  <c r="H4682" i="15"/>
  <c r="H4683" i="15"/>
  <c r="H4684" i="15"/>
  <c r="H4685" i="15"/>
  <c r="H4686" i="15"/>
  <c r="H4687" i="15"/>
  <c r="H4688" i="15"/>
  <c r="H4689" i="15"/>
  <c r="H4690" i="15"/>
  <c r="H4691" i="15"/>
  <c r="H4692" i="15"/>
  <c r="H4693" i="15"/>
  <c r="H4694" i="15"/>
  <c r="H4695" i="15"/>
  <c r="H4696" i="15"/>
  <c r="H4697" i="15"/>
  <c r="H4698" i="15"/>
  <c r="H4699" i="15"/>
  <c r="H4700" i="15"/>
  <c r="H4701" i="15"/>
  <c r="H4702" i="15"/>
  <c r="H4703" i="15"/>
  <c r="H4704" i="15"/>
  <c r="H4705" i="15"/>
  <c r="H4706" i="15"/>
  <c r="H4707" i="15"/>
  <c r="H4708" i="15"/>
  <c r="H4709" i="15"/>
  <c r="H4710" i="15"/>
  <c r="H4711" i="15"/>
  <c r="H4712" i="15"/>
  <c r="H4713" i="15"/>
  <c r="H4714" i="15"/>
  <c r="H4715" i="15"/>
  <c r="H4716" i="15"/>
  <c r="H4717" i="15"/>
  <c r="H4718" i="15"/>
  <c r="H4719" i="15"/>
  <c r="H4720" i="15"/>
  <c r="H4721" i="15"/>
  <c r="H4722" i="15"/>
  <c r="H4723" i="15"/>
  <c r="H4724" i="15"/>
  <c r="H4725" i="15"/>
  <c r="H4726" i="15"/>
  <c r="H4727" i="15"/>
  <c r="H4728" i="15"/>
  <c r="H4729" i="15"/>
  <c r="H4730" i="15"/>
  <c r="H4731" i="15"/>
  <c r="H4732" i="15"/>
  <c r="H4733" i="15"/>
  <c r="H4734" i="15"/>
  <c r="H4735" i="15"/>
  <c r="H4736" i="15"/>
  <c r="H4737" i="15"/>
  <c r="H4738" i="15"/>
  <c r="H4739" i="15"/>
  <c r="H4740" i="15"/>
  <c r="H4741" i="15"/>
  <c r="H4742" i="15"/>
  <c r="H4743" i="15"/>
  <c r="H4744" i="15"/>
  <c r="H4745" i="15"/>
  <c r="H4746" i="15"/>
  <c r="H4747" i="15"/>
  <c r="H4748" i="15"/>
  <c r="H4749" i="15"/>
  <c r="H4750" i="15"/>
  <c r="H4751" i="15"/>
  <c r="H4752" i="15"/>
  <c r="H4753" i="15"/>
  <c r="H4754" i="15"/>
  <c r="H4755" i="15"/>
  <c r="H4756" i="15"/>
  <c r="H4757" i="15"/>
  <c r="H4758" i="15"/>
  <c r="H4759" i="15"/>
  <c r="H4760" i="15"/>
  <c r="H4761" i="15"/>
  <c r="H4762" i="15"/>
  <c r="H4763" i="15"/>
  <c r="H4764" i="15"/>
  <c r="H4765" i="15"/>
  <c r="H4766" i="15"/>
  <c r="H4767" i="15"/>
  <c r="H4768" i="15"/>
  <c r="H4769" i="15"/>
  <c r="H4770" i="15"/>
  <c r="H4771" i="15"/>
  <c r="H4772" i="15"/>
  <c r="H4773" i="15"/>
  <c r="H4774" i="15"/>
  <c r="H4775" i="15"/>
  <c r="H4776" i="15"/>
  <c r="H4777" i="15"/>
  <c r="H4778" i="15"/>
  <c r="H4779" i="15"/>
  <c r="H4780" i="15"/>
  <c r="H4781" i="15"/>
  <c r="H4782" i="15"/>
  <c r="H4783" i="15"/>
  <c r="H4784" i="15"/>
  <c r="H4785" i="15"/>
  <c r="H4786" i="15"/>
  <c r="H4787" i="15"/>
  <c r="H4788" i="15"/>
  <c r="H4789" i="15"/>
  <c r="H4790" i="15"/>
  <c r="H4791" i="15"/>
  <c r="H4792" i="15"/>
  <c r="H4793" i="15"/>
  <c r="H4794" i="15"/>
  <c r="H4795" i="15"/>
  <c r="H4796" i="15"/>
  <c r="H4797" i="15"/>
  <c r="H4798" i="15"/>
  <c r="H4799" i="15"/>
  <c r="H4800" i="15"/>
  <c r="H4801" i="15"/>
  <c r="H4802" i="15"/>
  <c r="H4803" i="15"/>
  <c r="H4804" i="15"/>
  <c r="H4805" i="15"/>
  <c r="H4806" i="15"/>
  <c r="H4807" i="15"/>
  <c r="H4808" i="15"/>
  <c r="H4809" i="15"/>
  <c r="H4810" i="15"/>
  <c r="H4811" i="15"/>
  <c r="H4812" i="15"/>
  <c r="H4813" i="15"/>
  <c r="H4814" i="15"/>
  <c r="H4815" i="15"/>
  <c r="H4816" i="15"/>
  <c r="H4817" i="15"/>
  <c r="H4818" i="15"/>
  <c r="H4819" i="15"/>
  <c r="H4820" i="15"/>
  <c r="H4821" i="15"/>
  <c r="H4822" i="15"/>
  <c r="H4823" i="15"/>
  <c r="H4824" i="15"/>
  <c r="H4825" i="15"/>
  <c r="H4826" i="15"/>
  <c r="H4827" i="15"/>
  <c r="H4828" i="15"/>
  <c r="H4829" i="15"/>
  <c r="H4830" i="15"/>
  <c r="H4831" i="15"/>
  <c r="H4832" i="15"/>
  <c r="H4833" i="15"/>
  <c r="H4834" i="15"/>
  <c r="H4835" i="15"/>
  <c r="H4836" i="15"/>
  <c r="H4837" i="15"/>
  <c r="H4838" i="15"/>
  <c r="H4839" i="15"/>
  <c r="H4840" i="15"/>
  <c r="H4841" i="15"/>
  <c r="H4842" i="15"/>
  <c r="H4843" i="15"/>
  <c r="H4844" i="15"/>
  <c r="H4845" i="15"/>
  <c r="H4846" i="15"/>
  <c r="H4847" i="15"/>
  <c r="H4848" i="15"/>
  <c r="H4849" i="15"/>
  <c r="H4850" i="15"/>
  <c r="H4851" i="15"/>
  <c r="H4852" i="15"/>
  <c r="H4853" i="15"/>
  <c r="H4854" i="15"/>
  <c r="H4855" i="15"/>
  <c r="H4856" i="15"/>
  <c r="H4857" i="15"/>
  <c r="H4858" i="15"/>
  <c r="H4859" i="15"/>
  <c r="H4860" i="15"/>
  <c r="H4861" i="15"/>
  <c r="H4862" i="15"/>
  <c r="H4863" i="15"/>
  <c r="H4864" i="15"/>
  <c r="H4865" i="15"/>
  <c r="H4866" i="15"/>
  <c r="H4867" i="15"/>
  <c r="H4868" i="15"/>
  <c r="H4869" i="15"/>
  <c r="H4870" i="15"/>
  <c r="H4871" i="15"/>
  <c r="H4872" i="15"/>
  <c r="H4873" i="15"/>
  <c r="H4874" i="15"/>
  <c r="H4875" i="15"/>
  <c r="H4876" i="15"/>
  <c r="H4877" i="15"/>
  <c r="H4878" i="15"/>
  <c r="H4879" i="15"/>
  <c r="H4880" i="15"/>
  <c r="H4881" i="15"/>
  <c r="H4882" i="15"/>
  <c r="H4883" i="15"/>
  <c r="H4884" i="15"/>
  <c r="H4885" i="15"/>
  <c r="H4886" i="15"/>
  <c r="H4887" i="15"/>
  <c r="H4888" i="15"/>
  <c r="H4889" i="15"/>
  <c r="H4890" i="15"/>
  <c r="H4891" i="15"/>
  <c r="H4892" i="15"/>
  <c r="H4893" i="15"/>
  <c r="H4894" i="15"/>
  <c r="H4895" i="15"/>
  <c r="H4896" i="15"/>
  <c r="H4897" i="15"/>
  <c r="H4898" i="15"/>
  <c r="H4899" i="15"/>
  <c r="H4900" i="15"/>
  <c r="H4901" i="15"/>
  <c r="H4902" i="15"/>
  <c r="H4903" i="15"/>
  <c r="H4904" i="15"/>
  <c r="H4905" i="15"/>
  <c r="H4906" i="15"/>
  <c r="H4907" i="15"/>
  <c r="H4908" i="15"/>
  <c r="H4909" i="15"/>
  <c r="H4910" i="15"/>
  <c r="H4911" i="15"/>
  <c r="H4912" i="15"/>
  <c r="H4913" i="15"/>
  <c r="H4914" i="15"/>
  <c r="H4915" i="15"/>
  <c r="H4916" i="15"/>
  <c r="H4917" i="15"/>
  <c r="H4918" i="15"/>
  <c r="H4919" i="15"/>
  <c r="H4920" i="15"/>
  <c r="H4921" i="15"/>
  <c r="H4922" i="15"/>
  <c r="H4923" i="15"/>
  <c r="H4924" i="15"/>
  <c r="H4925" i="15"/>
  <c r="H4926" i="15"/>
  <c r="H4927" i="15"/>
  <c r="H4928" i="15"/>
  <c r="H4929" i="15"/>
  <c r="H4930" i="15"/>
  <c r="H4931" i="15"/>
  <c r="H4932" i="15"/>
  <c r="H4933" i="15"/>
  <c r="H4934" i="15"/>
  <c r="H4935" i="15"/>
  <c r="H4936" i="15"/>
  <c r="H4937" i="15"/>
  <c r="H4938" i="15"/>
  <c r="H4939" i="15"/>
  <c r="H4940" i="15"/>
  <c r="H4941" i="15"/>
  <c r="H4942" i="15"/>
  <c r="H4943" i="15"/>
  <c r="H4944" i="15"/>
  <c r="H4945" i="15"/>
  <c r="H4946" i="15"/>
  <c r="H4947" i="15"/>
  <c r="H4948" i="15"/>
  <c r="H4949" i="15"/>
  <c r="H4950" i="15"/>
  <c r="H4951" i="15"/>
  <c r="H4952" i="15"/>
  <c r="H4953" i="15"/>
  <c r="H4954" i="15"/>
  <c r="H4955" i="15"/>
  <c r="H4956" i="15"/>
  <c r="H4957" i="15"/>
  <c r="H4958" i="15"/>
  <c r="H4959" i="15"/>
  <c r="H4960" i="15"/>
  <c r="H4961" i="15"/>
  <c r="H4962" i="15"/>
  <c r="H4963" i="15"/>
  <c r="H4964" i="15"/>
  <c r="H4965" i="15"/>
  <c r="H4966" i="15"/>
  <c r="H4967" i="15"/>
  <c r="H4968" i="15"/>
  <c r="H4969" i="15"/>
  <c r="H4970" i="15"/>
  <c r="H4971" i="15"/>
  <c r="H4972" i="15"/>
  <c r="H4973" i="15"/>
  <c r="H4974" i="15"/>
  <c r="H4975" i="15"/>
  <c r="H4976" i="15"/>
  <c r="H4977" i="15"/>
  <c r="H4978" i="15"/>
  <c r="H4979" i="15"/>
  <c r="H4980" i="15"/>
  <c r="H4981" i="15"/>
  <c r="H4982" i="15"/>
  <c r="H4983" i="15"/>
  <c r="H4984" i="15"/>
  <c r="H4985" i="15"/>
  <c r="H4986" i="15"/>
  <c r="H4987" i="15"/>
  <c r="H4988" i="15"/>
  <c r="H4989" i="15"/>
  <c r="H4990" i="15"/>
  <c r="H4991" i="15"/>
  <c r="H4992" i="15"/>
  <c r="H4993" i="15"/>
  <c r="H4994" i="15"/>
  <c r="H4995" i="15"/>
  <c r="H4996" i="15"/>
  <c r="H4997" i="15"/>
  <c r="H4998" i="15"/>
  <c r="H4999" i="15"/>
  <c r="H5000" i="15"/>
  <c r="H5001" i="15"/>
  <c r="H5002" i="15"/>
  <c r="H5003" i="15"/>
  <c r="H5004" i="15"/>
  <c r="H5005" i="15"/>
  <c r="H5006" i="15"/>
  <c r="H5007" i="15"/>
  <c r="H5008" i="15"/>
  <c r="H5009" i="15"/>
  <c r="H5010" i="15"/>
  <c r="H5011" i="15"/>
  <c r="H5012" i="15"/>
  <c r="H5013" i="15"/>
  <c r="H5014" i="15"/>
  <c r="H5015" i="15"/>
  <c r="H5016" i="15"/>
  <c r="H5017" i="15"/>
  <c r="H5018" i="15"/>
  <c r="H5019" i="15"/>
  <c r="H5020" i="15"/>
  <c r="H5021" i="15"/>
  <c r="H5022" i="15"/>
  <c r="H5023" i="15"/>
  <c r="H5024" i="15"/>
  <c r="H5025" i="15"/>
  <c r="H5026" i="15"/>
  <c r="H5027" i="15"/>
  <c r="H5028" i="15"/>
  <c r="H5029" i="15"/>
  <c r="H5030" i="15"/>
  <c r="H5031" i="15"/>
  <c r="H5032" i="15"/>
  <c r="H5033" i="15"/>
  <c r="H5034" i="15"/>
  <c r="H5035" i="15"/>
  <c r="H5036" i="15"/>
  <c r="H5037" i="15"/>
  <c r="H5038" i="15"/>
  <c r="H5039" i="15"/>
  <c r="H5040" i="15"/>
  <c r="H5041" i="15"/>
  <c r="H5042" i="15"/>
  <c r="H5043" i="15"/>
  <c r="H5044" i="15"/>
  <c r="H5045" i="15"/>
  <c r="H5046" i="15"/>
  <c r="H5047" i="15"/>
  <c r="H5048" i="15"/>
  <c r="H5049" i="15"/>
  <c r="H5050" i="15"/>
  <c r="H5051" i="15"/>
  <c r="H5052" i="15"/>
  <c r="H5053" i="15"/>
  <c r="H5054" i="15"/>
  <c r="H5055" i="15"/>
  <c r="H5056" i="15"/>
  <c r="H5057" i="15"/>
  <c r="H5058" i="15"/>
  <c r="H5059" i="15"/>
  <c r="H5060" i="15"/>
  <c r="H5061" i="15"/>
  <c r="H5062" i="15"/>
  <c r="H5063" i="15"/>
  <c r="H5064" i="15"/>
  <c r="H5065" i="15"/>
  <c r="H5066" i="15"/>
  <c r="H5067" i="15"/>
  <c r="H5068" i="15"/>
  <c r="H5069" i="15"/>
  <c r="H5070" i="15"/>
  <c r="H5071" i="15"/>
  <c r="H5072" i="15"/>
  <c r="H5073" i="15"/>
  <c r="H5074" i="15"/>
  <c r="H5075" i="15"/>
  <c r="H5076" i="15"/>
  <c r="H5077" i="15"/>
  <c r="H5078" i="15"/>
  <c r="H5079" i="15"/>
  <c r="H5080" i="15"/>
  <c r="H5081" i="15"/>
  <c r="H5082" i="15"/>
  <c r="H5083" i="15"/>
  <c r="H5084" i="15"/>
  <c r="H5085" i="15"/>
  <c r="H5086" i="15"/>
  <c r="H5087" i="15"/>
  <c r="H5088" i="15"/>
  <c r="H5089" i="15"/>
  <c r="H5090" i="15"/>
  <c r="H5091" i="15"/>
  <c r="H5092" i="15"/>
  <c r="H5093" i="15"/>
  <c r="H5094" i="15"/>
  <c r="H5095" i="15"/>
  <c r="H5096" i="15"/>
  <c r="H5097" i="15"/>
  <c r="H5098" i="15"/>
  <c r="H5099" i="15"/>
  <c r="H5100" i="15"/>
  <c r="H5101" i="15"/>
  <c r="H5102" i="15"/>
  <c r="H5103" i="15"/>
  <c r="H5104" i="15"/>
  <c r="H5105" i="15"/>
  <c r="H5106" i="15"/>
  <c r="H5107" i="15"/>
  <c r="H5108" i="15"/>
  <c r="H5109" i="15"/>
  <c r="H5110" i="15"/>
  <c r="H5111" i="15"/>
  <c r="H5112" i="15"/>
  <c r="H5113" i="15"/>
  <c r="H5114" i="15"/>
  <c r="H5115" i="15"/>
  <c r="H5116" i="15"/>
  <c r="H5117" i="15"/>
  <c r="H5118" i="15"/>
  <c r="H5119" i="15"/>
  <c r="H5120" i="15"/>
  <c r="H5121" i="15"/>
  <c r="H5122" i="15"/>
  <c r="H5123" i="15"/>
  <c r="H5124" i="15"/>
  <c r="H5125" i="15"/>
  <c r="H5126" i="15"/>
  <c r="H5127" i="15"/>
  <c r="H5128" i="15"/>
  <c r="H5129" i="15"/>
  <c r="H5130" i="15"/>
  <c r="H5131" i="15"/>
  <c r="H5132" i="15"/>
  <c r="H5133" i="15"/>
  <c r="H5134" i="15"/>
  <c r="H5135" i="15"/>
  <c r="H5136" i="15"/>
  <c r="H5137" i="15"/>
  <c r="H5138" i="15"/>
  <c r="H5139" i="15"/>
  <c r="H5140" i="15"/>
  <c r="H5141" i="15"/>
  <c r="H5142" i="15"/>
  <c r="H5143" i="15"/>
  <c r="H5144" i="15"/>
  <c r="H5145" i="15"/>
  <c r="H5146" i="15"/>
  <c r="H5147" i="15"/>
  <c r="H5148" i="15"/>
  <c r="H5149" i="15"/>
  <c r="H5150" i="15"/>
  <c r="H5151" i="15"/>
  <c r="H5152" i="15"/>
  <c r="H5153" i="15"/>
  <c r="H5154" i="15"/>
  <c r="H5155" i="15"/>
  <c r="H5156" i="15"/>
  <c r="H5157" i="15"/>
  <c r="H5158" i="15"/>
  <c r="H5159" i="15"/>
  <c r="H5160" i="15"/>
  <c r="H5161" i="15"/>
  <c r="H5162" i="15"/>
  <c r="H5163" i="15"/>
  <c r="H5164" i="15"/>
  <c r="H5165" i="15"/>
  <c r="H5166" i="15"/>
  <c r="H5167" i="15"/>
  <c r="H5168" i="15"/>
  <c r="H5169" i="15"/>
  <c r="H5170" i="15"/>
  <c r="H5171" i="15"/>
  <c r="H5172" i="15"/>
  <c r="H5173" i="15"/>
  <c r="H5174" i="15"/>
  <c r="H5175" i="15"/>
  <c r="H5176" i="15"/>
  <c r="H5177" i="15"/>
  <c r="H5178" i="15"/>
  <c r="H5179" i="15"/>
  <c r="H5180" i="15"/>
  <c r="H5181" i="15"/>
  <c r="H5182" i="15"/>
  <c r="H5183" i="15"/>
  <c r="H5184" i="15"/>
  <c r="H5185" i="15"/>
  <c r="H5186" i="15"/>
  <c r="H5187" i="15"/>
  <c r="H5188" i="15"/>
  <c r="H5189" i="15"/>
  <c r="H5190" i="15"/>
  <c r="H5191" i="15"/>
  <c r="H5192" i="15"/>
  <c r="H5193" i="15"/>
  <c r="H5194" i="15"/>
  <c r="H5195" i="15"/>
  <c r="H5196" i="15"/>
  <c r="H5197" i="15"/>
  <c r="H5198" i="15"/>
  <c r="H5199" i="15"/>
  <c r="H5200" i="15"/>
  <c r="H5201" i="15"/>
  <c r="H5202" i="15"/>
  <c r="H5203" i="15"/>
  <c r="H5204" i="15"/>
  <c r="H5205" i="15"/>
  <c r="H5206" i="15"/>
  <c r="H5207" i="15"/>
  <c r="H5208" i="15"/>
  <c r="H5209" i="15"/>
  <c r="H5210" i="15"/>
  <c r="H5211" i="15"/>
  <c r="H5212" i="15"/>
  <c r="H5213" i="15"/>
  <c r="H5214" i="15"/>
  <c r="H5215" i="15"/>
  <c r="H5216" i="15"/>
  <c r="H5217" i="15"/>
  <c r="H5218" i="15"/>
  <c r="H5219" i="15"/>
  <c r="H5220" i="15"/>
  <c r="H5221" i="15"/>
  <c r="H5222" i="15"/>
  <c r="H5223" i="15"/>
  <c r="H5224" i="15"/>
  <c r="H5225" i="15"/>
  <c r="H5226" i="15"/>
  <c r="H5227" i="15"/>
  <c r="H5228" i="15"/>
  <c r="H5229" i="15"/>
  <c r="H5230" i="15"/>
  <c r="H5231" i="15"/>
  <c r="H5232" i="15"/>
  <c r="H5233" i="15"/>
  <c r="H5234" i="15"/>
  <c r="H5235" i="15"/>
  <c r="H5236" i="15"/>
  <c r="H5237" i="15"/>
  <c r="H5238" i="15"/>
  <c r="H5239" i="15"/>
  <c r="H5240" i="15"/>
  <c r="H5241" i="15"/>
  <c r="H5242" i="15"/>
  <c r="H5243" i="15"/>
  <c r="H5244" i="15"/>
  <c r="H5245" i="15"/>
  <c r="H5246" i="15"/>
  <c r="H5247" i="15"/>
  <c r="H5248" i="15"/>
  <c r="H5249" i="15"/>
  <c r="H5250" i="15"/>
  <c r="H5251" i="15"/>
  <c r="H5252" i="15"/>
  <c r="H5253" i="15"/>
  <c r="H5254" i="15"/>
  <c r="H5255" i="15"/>
  <c r="H5256" i="15"/>
  <c r="H5257" i="15"/>
  <c r="H5258" i="15"/>
  <c r="H5259" i="15"/>
  <c r="H5260" i="15"/>
  <c r="H5261" i="15"/>
  <c r="H5262" i="15"/>
  <c r="H5263" i="15"/>
  <c r="H5264" i="15"/>
  <c r="H5265" i="15"/>
  <c r="H5266" i="15"/>
  <c r="H5267" i="15"/>
  <c r="H5268" i="15"/>
  <c r="H5269" i="15"/>
  <c r="H5270" i="15"/>
  <c r="H5271" i="15"/>
  <c r="H5272" i="15"/>
  <c r="H5273" i="15"/>
  <c r="H5274" i="15"/>
  <c r="H5275" i="15"/>
  <c r="H5276" i="15"/>
  <c r="H5277" i="15"/>
  <c r="H5278" i="15"/>
  <c r="H5279" i="15"/>
  <c r="H5280" i="15"/>
  <c r="H5281" i="15"/>
  <c r="H5282" i="15"/>
  <c r="H5283" i="15"/>
  <c r="H5284" i="15"/>
  <c r="H5285" i="15"/>
  <c r="H5286" i="15"/>
  <c r="H5287" i="15"/>
  <c r="H5288" i="15"/>
  <c r="H5289" i="15"/>
  <c r="H5290" i="15"/>
  <c r="H5291" i="15"/>
  <c r="H5292" i="15"/>
  <c r="H5293" i="15"/>
  <c r="H5294" i="15"/>
  <c r="H5295" i="15"/>
  <c r="H5296" i="15"/>
  <c r="H5297" i="15"/>
  <c r="H5298" i="15"/>
  <c r="H5299" i="15"/>
  <c r="H5300" i="15"/>
  <c r="H5301" i="15"/>
  <c r="H5302" i="15"/>
  <c r="H5303" i="15"/>
  <c r="H5304" i="15"/>
  <c r="H5305" i="15"/>
  <c r="H5306" i="15"/>
  <c r="H5307" i="15"/>
  <c r="H5308" i="15"/>
  <c r="H5309" i="15"/>
  <c r="H5310" i="15"/>
  <c r="H5311" i="15"/>
  <c r="H5312" i="15"/>
  <c r="H5313" i="15"/>
  <c r="H5314" i="15"/>
  <c r="H5315" i="15"/>
  <c r="H5316" i="15"/>
  <c r="H5317" i="15"/>
  <c r="H5318" i="15"/>
  <c r="H5319" i="15"/>
  <c r="H5320" i="15"/>
  <c r="H5321" i="15"/>
  <c r="H5322" i="15"/>
  <c r="H5323" i="15"/>
  <c r="H5324" i="15"/>
  <c r="H5325" i="15"/>
  <c r="H5326" i="15"/>
  <c r="H5327" i="15"/>
  <c r="H5328" i="15"/>
  <c r="H5329" i="15"/>
  <c r="H5330" i="15"/>
  <c r="H5331" i="15"/>
  <c r="H5332" i="15"/>
  <c r="H5333" i="15"/>
  <c r="H5334" i="15"/>
  <c r="H5335" i="15"/>
  <c r="H5336" i="15"/>
  <c r="H5337" i="15"/>
  <c r="H5338" i="15"/>
  <c r="H5339" i="15"/>
  <c r="H5340" i="15"/>
  <c r="H5341" i="15"/>
  <c r="H5342" i="15"/>
  <c r="H5343" i="15"/>
  <c r="H5344" i="15"/>
  <c r="H5345" i="15"/>
  <c r="H5346" i="15"/>
  <c r="H5347" i="15"/>
  <c r="H5348" i="15"/>
  <c r="H5349" i="15"/>
  <c r="H5350" i="15"/>
  <c r="H5351" i="15"/>
  <c r="H5352" i="15"/>
  <c r="H5353" i="15"/>
  <c r="H5354" i="15"/>
  <c r="H5355" i="15"/>
  <c r="H5356" i="15"/>
  <c r="H5357" i="15"/>
  <c r="H5358" i="15"/>
  <c r="H5359" i="15"/>
  <c r="H5360" i="15"/>
  <c r="H5361" i="15"/>
  <c r="H5362" i="15"/>
  <c r="H5363" i="15"/>
  <c r="H5364" i="15"/>
  <c r="H5365" i="15"/>
  <c r="H5366" i="15"/>
  <c r="H5367" i="15"/>
  <c r="H5368" i="15"/>
  <c r="H5369" i="15"/>
  <c r="H5370" i="15"/>
  <c r="H5371" i="15"/>
  <c r="H5372" i="15"/>
  <c r="H5373" i="15"/>
  <c r="H5374" i="15"/>
  <c r="H5375" i="15"/>
  <c r="H5376" i="15"/>
  <c r="H5377" i="15"/>
  <c r="H5378" i="15"/>
  <c r="H5379" i="15"/>
  <c r="H5380" i="15"/>
  <c r="H5381" i="15"/>
  <c r="H5382" i="15"/>
  <c r="H5383" i="15"/>
  <c r="H5384" i="15"/>
  <c r="H5385" i="15"/>
  <c r="H5386" i="15"/>
  <c r="H5387" i="15"/>
  <c r="H5388" i="15"/>
  <c r="H5389" i="15"/>
  <c r="H5390" i="15"/>
  <c r="H5391" i="15"/>
  <c r="H5392" i="15"/>
  <c r="H5393" i="15"/>
  <c r="H5394" i="15"/>
  <c r="H5395" i="15"/>
  <c r="H5396" i="15"/>
  <c r="H5397" i="15"/>
  <c r="H5398" i="15"/>
  <c r="H5399" i="15"/>
  <c r="H5400" i="15"/>
  <c r="H5401" i="15"/>
  <c r="H5402" i="15"/>
  <c r="H5403" i="15"/>
  <c r="H5404" i="15"/>
  <c r="H5405" i="15"/>
  <c r="H5406" i="15"/>
  <c r="H5407" i="15"/>
  <c r="H5408" i="15"/>
  <c r="H5409" i="15"/>
  <c r="H5410" i="15"/>
  <c r="H5411" i="15"/>
  <c r="H5412" i="15"/>
  <c r="H5413" i="15"/>
  <c r="H5414" i="15"/>
  <c r="H5415" i="15"/>
  <c r="H5416" i="15"/>
  <c r="H5417" i="15"/>
  <c r="H5418" i="15"/>
  <c r="H5419" i="15"/>
  <c r="H5420" i="15"/>
  <c r="H5421" i="15"/>
  <c r="H5422" i="15"/>
  <c r="H5423" i="15"/>
  <c r="H5424" i="15"/>
  <c r="H5425" i="15"/>
  <c r="H5426" i="15"/>
  <c r="H5427" i="15"/>
  <c r="H5428" i="15"/>
  <c r="H5429" i="15"/>
  <c r="H5430" i="15"/>
  <c r="H5431" i="15"/>
  <c r="H5432" i="15"/>
  <c r="H5433" i="15"/>
  <c r="H5434" i="15"/>
  <c r="H5435" i="15"/>
  <c r="H5436" i="15"/>
  <c r="H5437" i="15"/>
  <c r="H5438" i="15"/>
  <c r="H5439" i="15"/>
  <c r="H5440" i="15"/>
  <c r="H5441" i="15"/>
  <c r="H5442" i="15"/>
  <c r="H5443" i="15"/>
  <c r="H5444" i="15"/>
  <c r="H5445" i="15"/>
  <c r="H5446" i="15"/>
  <c r="H5447" i="15"/>
  <c r="H5448" i="15"/>
  <c r="H5449" i="15"/>
  <c r="H5450" i="15"/>
  <c r="H5451" i="15"/>
  <c r="H5452" i="15"/>
  <c r="H5453" i="15"/>
  <c r="H5454" i="15"/>
  <c r="H5455" i="15"/>
  <c r="H5456" i="15"/>
  <c r="H5457" i="15"/>
  <c r="H5458" i="15"/>
  <c r="H5459" i="15"/>
  <c r="H5460" i="15"/>
  <c r="H5461" i="15"/>
  <c r="H5462" i="15"/>
  <c r="H5463" i="15"/>
  <c r="H5464" i="15"/>
  <c r="H5465" i="15"/>
  <c r="H5466" i="15"/>
  <c r="H5467" i="15"/>
  <c r="H5468" i="15"/>
  <c r="H5469" i="15"/>
  <c r="H5470" i="15"/>
  <c r="H5471" i="15"/>
  <c r="H5472" i="15"/>
  <c r="H5473" i="15"/>
  <c r="H5474" i="15"/>
  <c r="H5475" i="15"/>
  <c r="H5476" i="15"/>
  <c r="H5477" i="15"/>
  <c r="H5478" i="15"/>
  <c r="H5479" i="15"/>
  <c r="H5480" i="15"/>
  <c r="H5481" i="15"/>
  <c r="H5482" i="15"/>
  <c r="H5483" i="15"/>
  <c r="H5484" i="15"/>
  <c r="H5485" i="15"/>
  <c r="H5486" i="15"/>
  <c r="H5487" i="15"/>
  <c r="H5488" i="15"/>
  <c r="H5489" i="15"/>
  <c r="H5490" i="15"/>
  <c r="H5491" i="15"/>
  <c r="H5492" i="15"/>
  <c r="H5493" i="15"/>
  <c r="H5494" i="15"/>
  <c r="H5495" i="15"/>
  <c r="H5496" i="15"/>
  <c r="H5497" i="15"/>
  <c r="H5498" i="15"/>
  <c r="H5499" i="15"/>
  <c r="H5500" i="15"/>
  <c r="H5501" i="15"/>
  <c r="H5502" i="15"/>
  <c r="H5503" i="15"/>
  <c r="H5504" i="15"/>
  <c r="H5505" i="15"/>
  <c r="H5506" i="15"/>
  <c r="H5507" i="15"/>
  <c r="H5508" i="15"/>
  <c r="H5509" i="15"/>
  <c r="H5510" i="15"/>
  <c r="H5511" i="15"/>
  <c r="H5512" i="15"/>
  <c r="H5513" i="15"/>
  <c r="H5514" i="15"/>
  <c r="H5515" i="15"/>
  <c r="H5516" i="15"/>
  <c r="H5517" i="15"/>
  <c r="H5518" i="15"/>
  <c r="H5519" i="15"/>
  <c r="H5520" i="15"/>
  <c r="H5521" i="15"/>
  <c r="H5522" i="15"/>
  <c r="H5523" i="15"/>
  <c r="H5524" i="15"/>
  <c r="H5525" i="15"/>
  <c r="H5526" i="15"/>
  <c r="H5527" i="15"/>
  <c r="H5528" i="15"/>
  <c r="H5529" i="15"/>
  <c r="H5530" i="15"/>
  <c r="H5531" i="15"/>
  <c r="H5532" i="15"/>
  <c r="H5533" i="15"/>
  <c r="H5534" i="15"/>
  <c r="H5535" i="15"/>
  <c r="H5536" i="15"/>
  <c r="H5537" i="15"/>
  <c r="H5538" i="15"/>
  <c r="H5539" i="15"/>
  <c r="H5540" i="15"/>
  <c r="H5541" i="15"/>
  <c r="H5542" i="15"/>
  <c r="H5543" i="15"/>
  <c r="H5544" i="15"/>
  <c r="H5545" i="15"/>
  <c r="H5546" i="15"/>
  <c r="H5547" i="15"/>
  <c r="H5548" i="15"/>
  <c r="H5549" i="15"/>
  <c r="H5550" i="15"/>
  <c r="H5551" i="15"/>
  <c r="H5552" i="15"/>
  <c r="H5553" i="15"/>
  <c r="H5554" i="15"/>
  <c r="H5555" i="15"/>
  <c r="H5556" i="15"/>
  <c r="H5557" i="15"/>
  <c r="H5558" i="15"/>
  <c r="H5559" i="15"/>
  <c r="H5560" i="15"/>
  <c r="H5561" i="15"/>
  <c r="H5562" i="15"/>
  <c r="H5563" i="15"/>
  <c r="H5564" i="15"/>
  <c r="H5565" i="15"/>
  <c r="H5566" i="15"/>
  <c r="H5567" i="15"/>
  <c r="H5568" i="15"/>
  <c r="H5569" i="15"/>
  <c r="H5570" i="15"/>
  <c r="H5571" i="15"/>
  <c r="H5572" i="15"/>
  <c r="H5573" i="15"/>
  <c r="H5574" i="15"/>
  <c r="H5575" i="15"/>
  <c r="H5576" i="15"/>
  <c r="H5577" i="15"/>
  <c r="H5578" i="15"/>
  <c r="H5579" i="15"/>
  <c r="H5580" i="15"/>
  <c r="H5581" i="15"/>
  <c r="H5582" i="15"/>
  <c r="H5583" i="15"/>
  <c r="H5584" i="15"/>
  <c r="H5585" i="15"/>
  <c r="H5586" i="15"/>
  <c r="H5587" i="15"/>
  <c r="H5588" i="15"/>
  <c r="H5589" i="15"/>
  <c r="H5590" i="15"/>
  <c r="H5591" i="15"/>
  <c r="H5592" i="15"/>
  <c r="H5593" i="15"/>
  <c r="H5594" i="15"/>
  <c r="H5595" i="15"/>
  <c r="H5596" i="15"/>
  <c r="H5597" i="15"/>
  <c r="H5598" i="15"/>
  <c r="H5599" i="15"/>
  <c r="H5600" i="15"/>
  <c r="H5601" i="15"/>
  <c r="H5602" i="15"/>
  <c r="H5603" i="15"/>
  <c r="H5604" i="15"/>
  <c r="H5605" i="15"/>
  <c r="H5606" i="15"/>
  <c r="H5607" i="15"/>
  <c r="H5608" i="15"/>
  <c r="H5609" i="15"/>
  <c r="H5610" i="15"/>
  <c r="H5611" i="15"/>
  <c r="H5612" i="15"/>
  <c r="H5613" i="15"/>
  <c r="H5614" i="15"/>
  <c r="H5615" i="15"/>
  <c r="H5616" i="15"/>
  <c r="H5617" i="15"/>
  <c r="H5618" i="15"/>
  <c r="H5619" i="15"/>
  <c r="H5620" i="15"/>
  <c r="H5621" i="15"/>
  <c r="H5622" i="15"/>
  <c r="H5623" i="15"/>
  <c r="H5624" i="15"/>
  <c r="H5625" i="15"/>
  <c r="H5626" i="15"/>
  <c r="H5627" i="15"/>
  <c r="H5628" i="15"/>
  <c r="H5629" i="15"/>
  <c r="H5630" i="15"/>
  <c r="H5631" i="15"/>
  <c r="H5632" i="15"/>
  <c r="H5633" i="15"/>
  <c r="H5634" i="15"/>
  <c r="H5635" i="15"/>
  <c r="H5636" i="15"/>
  <c r="H5637" i="15"/>
  <c r="H5638" i="15"/>
  <c r="H5639" i="15"/>
  <c r="H5640" i="15"/>
  <c r="H5641" i="15"/>
  <c r="H5642" i="15"/>
  <c r="H5643" i="15"/>
  <c r="H5644" i="15"/>
  <c r="H5645" i="15"/>
  <c r="H5646" i="15"/>
  <c r="H5647" i="15"/>
  <c r="H5648" i="15"/>
  <c r="H5649" i="15"/>
  <c r="H5650" i="15"/>
  <c r="H5651" i="15"/>
  <c r="H5652" i="15"/>
  <c r="H5653" i="15"/>
  <c r="H5654" i="15"/>
  <c r="H5655" i="15"/>
  <c r="H5656" i="15"/>
  <c r="H5657" i="15"/>
  <c r="H5658" i="15"/>
  <c r="H5659" i="15"/>
  <c r="H5660" i="15"/>
  <c r="H5661" i="15"/>
  <c r="H5662" i="15"/>
  <c r="H5663" i="15"/>
  <c r="H5664" i="15"/>
  <c r="H5665" i="15"/>
  <c r="H5666" i="15"/>
  <c r="H5667" i="15"/>
  <c r="H5668" i="15"/>
  <c r="H5669" i="15"/>
  <c r="H5670" i="15"/>
  <c r="H5671" i="15"/>
  <c r="H5672" i="15"/>
  <c r="H5673" i="15"/>
  <c r="H5674" i="15"/>
  <c r="H5675" i="15"/>
  <c r="H5676" i="15"/>
  <c r="H5677" i="15"/>
  <c r="H5678" i="15"/>
  <c r="H5679" i="15"/>
  <c r="H5680" i="15"/>
  <c r="H5681" i="15"/>
  <c r="H5682" i="15"/>
  <c r="H5683" i="15"/>
  <c r="H5684" i="15"/>
  <c r="H5685" i="15"/>
  <c r="H5686" i="15"/>
  <c r="H5687" i="15"/>
  <c r="H5688" i="15"/>
  <c r="H5689" i="15"/>
  <c r="H5690" i="15"/>
  <c r="H5691" i="15"/>
  <c r="H5692" i="15"/>
  <c r="H5693" i="15"/>
  <c r="H5694" i="15"/>
  <c r="H5695" i="15"/>
  <c r="H5696" i="15"/>
  <c r="H5697" i="15"/>
  <c r="H5698" i="15"/>
  <c r="H5699" i="15"/>
  <c r="H5700" i="15"/>
  <c r="H5701" i="15"/>
  <c r="H5702" i="15"/>
  <c r="H5703" i="15"/>
  <c r="H5704" i="15"/>
  <c r="H5705" i="15"/>
  <c r="H5706" i="15"/>
  <c r="H5707" i="15"/>
  <c r="H5708" i="15"/>
  <c r="H5709" i="15"/>
  <c r="H5710" i="15"/>
  <c r="H5711" i="15"/>
  <c r="H5712" i="15"/>
  <c r="H5713" i="15"/>
  <c r="H5714" i="15"/>
  <c r="H5715" i="15"/>
  <c r="H5716" i="15"/>
  <c r="H5717" i="15"/>
  <c r="H5718" i="15"/>
  <c r="H5719" i="15"/>
  <c r="H5720" i="15"/>
  <c r="H5721" i="15"/>
  <c r="H5722" i="15"/>
  <c r="H5723" i="15"/>
  <c r="H5724" i="15"/>
  <c r="H5725" i="15"/>
  <c r="H5726" i="15"/>
  <c r="H5727" i="15"/>
  <c r="H5728" i="15"/>
  <c r="H5729" i="15"/>
  <c r="H5730" i="15"/>
  <c r="H5731" i="15"/>
  <c r="H5732" i="15"/>
  <c r="H5733" i="15"/>
  <c r="H5734" i="15"/>
  <c r="H5735" i="15"/>
  <c r="H5736" i="15"/>
  <c r="H5737" i="15"/>
  <c r="H5738" i="15"/>
  <c r="H5739" i="15"/>
  <c r="H5740" i="15"/>
  <c r="H5741" i="15"/>
  <c r="H5742" i="15"/>
  <c r="H5743" i="15"/>
  <c r="H5744" i="15"/>
  <c r="H5745" i="15"/>
  <c r="H5746" i="15"/>
  <c r="H5747" i="15"/>
  <c r="H5748" i="15"/>
  <c r="H5749" i="15"/>
  <c r="H5750" i="15"/>
  <c r="H5751" i="15"/>
  <c r="H5752" i="15"/>
  <c r="H5753" i="15"/>
  <c r="H5754" i="15"/>
  <c r="H5755" i="15"/>
  <c r="H5756" i="15"/>
  <c r="H5757" i="15"/>
  <c r="H5758" i="15"/>
  <c r="H5759" i="15"/>
  <c r="H5760" i="15"/>
  <c r="H5761" i="15"/>
  <c r="H5762" i="15"/>
  <c r="H5763" i="15"/>
  <c r="H5764" i="15"/>
  <c r="H5765" i="15"/>
  <c r="H5766" i="15"/>
  <c r="H5767" i="15"/>
  <c r="H5768" i="15"/>
  <c r="H5769" i="15"/>
  <c r="H5770" i="15"/>
  <c r="H5771" i="15"/>
  <c r="H5772" i="15"/>
  <c r="H5773" i="15"/>
  <c r="H5774" i="15"/>
  <c r="H5775" i="15"/>
  <c r="H5776" i="15"/>
  <c r="H5777" i="15"/>
  <c r="H5778" i="15"/>
  <c r="H5779" i="15"/>
  <c r="H5780" i="15"/>
  <c r="H5781" i="15"/>
  <c r="H5782" i="15"/>
  <c r="H5783" i="15"/>
  <c r="H5784" i="15"/>
  <c r="H5785" i="15"/>
  <c r="H5786" i="15"/>
  <c r="H5787" i="15"/>
  <c r="H5788" i="15"/>
  <c r="H5789" i="15"/>
  <c r="H5790" i="15"/>
  <c r="H5791" i="15"/>
  <c r="H5792" i="15"/>
  <c r="H5793" i="15"/>
  <c r="H5794" i="15"/>
  <c r="H5795" i="15"/>
  <c r="H5796" i="15"/>
  <c r="H5797" i="15"/>
  <c r="H5798" i="15"/>
  <c r="H5799" i="15"/>
  <c r="H5800" i="15"/>
  <c r="H5801" i="15"/>
  <c r="H5802" i="15"/>
  <c r="H5803" i="15"/>
  <c r="H5804" i="15"/>
  <c r="H5805" i="15"/>
  <c r="H5806" i="15"/>
  <c r="H5807" i="15"/>
  <c r="H5808" i="15"/>
  <c r="H5809" i="15"/>
  <c r="H5810" i="15"/>
  <c r="H5811" i="15"/>
  <c r="H5812" i="15"/>
  <c r="H5813" i="15"/>
  <c r="H5814" i="15"/>
  <c r="H5815" i="15"/>
  <c r="H5816" i="15"/>
  <c r="H5817" i="15"/>
  <c r="H5818" i="15"/>
  <c r="H5819" i="15"/>
  <c r="H5820" i="15"/>
  <c r="H5821" i="15"/>
  <c r="H5822" i="15"/>
  <c r="H5823" i="15"/>
  <c r="H5824" i="15"/>
  <c r="H5825" i="15"/>
  <c r="H5826" i="15"/>
  <c r="H5827" i="15"/>
  <c r="H5828" i="15"/>
  <c r="H5829" i="15"/>
  <c r="H5830" i="15"/>
  <c r="H5831" i="15"/>
  <c r="H5832" i="15"/>
  <c r="H5833" i="15"/>
  <c r="H5834" i="15"/>
  <c r="H5835" i="15"/>
  <c r="H5836" i="15"/>
  <c r="H5837" i="15"/>
  <c r="H5838" i="15"/>
  <c r="H5839" i="15"/>
  <c r="H5840" i="15"/>
  <c r="H5841" i="15"/>
  <c r="H5842" i="15"/>
  <c r="H5843" i="15"/>
  <c r="H5844" i="15"/>
  <c r="H5845" i="15"/>
  <c r="H5846" i="15"/>
  <c r="H5847" i="15"/>
  <c r="H5848" i="15"/>
  <c r="H5849" i="15"/>
  <c r="H5850" i="15"/>
  <c r="H5851" i="15"/>
  <c r="H5852" i="15"/>
  <c r="H5853" i="15"/>
  <c r="H5854" i="15"/>
  <c r="H5855" i="15"/>
  <c r="H5856" i="15"/>
  <c r="H5857" i="15"/>
  <c r="H5858" i="15"/>
  <c r="H5859" i="15"/>
  <c r="H5860" i="15"/>
  <c r="H5861" i="15"/>
  <c r="H5862" i="15"/>
  <c r="H5863" i="15"/>
  <c r="H5864" i="15"/>
  <c r="H5865" i="15"/>
  <c r="H5866" i="15"/>
  <c r="H5867" i="15"/>
  <c r="H5868" i="15"/>
  <c r="H5869" i="15"/>
  <c r="H5870" i="15"/>
  <c r="H5871" i="15"/>
  <c r="H5872" i="15"/>
  <c r="H5873" i="15"/>
  <c r="H5874" i="15"/>
  <c r="H5875" i="15"/>
  <c r="H5876" i="15"/>
  <c r="H5877" i="15"/>
  <c r="H5878" i="15"/>
  <c r="H5879" i="15"/>
  <c r="H5880" i="15"/>
  <c r="H5881" i="15"/>
  <c r="H5882" i="15"/>
  <c r="H5883" i="15"/>
  <c r="H5884" i="15"/>
  <c r="H5885" i="15"/>
  <c r="H5886" i="15"/>
  <c r="H5887" i="15"/>
  <c r="H5888" i="15"/>
  <c r="H5889" i="15"/>
  <c r="H5890" i="15"/>
  <c r="H5891" i="15"/>
  <c r="H5892" i="15"/>
  <c r="H5893" i="15"/>
  <c r="H5894" i="15"/>
  <c r="H5895" i="15"/>
  <c r="H5896" i="15"/>
  <c r="H5897" i="15"/>
  <c r="H5898" i="15"/>
  <c r="H5899" i="15"/>
  <c r="H5900" i="15"/>
  <c r="H5901" i="15"/>
  <c r="H5902" i="15"/>
  <c r="H5903" i="15"/>
  <c r="H5904" i="15"/>
  <c r="H5905" i="15"/>
  <c r="H5906" i="15"/>
  <c r="H5907" i="15"/>
  <c r="H5908" i="15"/>
  <c r="H5909" i="15"/>
  <c r="H5910" i="15"/>
  <c r="H5911" i="15"/>
  <c r="H5912" i="15"/>
  <c r="H5913" i="15"/>
  <c r="H5914" i="15"/>
  <c r="H5915" i="15"/>
  <c r="H5916" i="15"/>
  <c r="H5917" i="15"/>
  <c r="H5918" i="15"/>
  <c r="H5919" i="15"/>
  <c r="H5920" i="15"/>
  <c r="H5921" i="15"/>
  <c r="H5922" i="15"/>
  <c r="H5923" i="15"/>
  <c r="H5924" i="15"/>
  <c r="H5925" i="15"/>
  <c r="H5926" i="15"/>
  <c r="H5927" i="15"/>
  <c r="H5928" i="15"/>
  <c r="H5929" i="15"/>
  <c r="H5930" i="15"/>
  <c r="H5931" i="15"/>
  <c r="H5932" i="15"/>
  <c r="H5933" i="15"/>
  <c r="H5934" i="15"/>
  <c r="H5935" i="15"/>
  <c r="H5936" i="15"/>
  <c r="H5937" i="15"/>
  <c r="H5938" i="15"/>
  <c r="H5939" i="15"/>
  <c r="H5940" i="15"/>
  <c r="H5941" i="15"/>
  <c r="H5942" i="15"/>
  <c r="H5943" i="15"/>
  <c r="H5944" i="15"/>
  <c r="H5945" i="15"/>
  <c r="H5946" i="15"/>
  <c r="H5947" i="15"/>
  <c r="H5948" i="15"/>
  <c r="H5949" i="15"/>
  <c r="H5950" i="15"/>
  <c r="H5951" i="15"/>
  <c r="H5952" i="15"/>
  <c r="H5953" i="15"/>
  <c r="H5954" i="15"/>
  <c r="H5955" i="15"/>
  <c r="H5956" i="15"/>
  <c r="H5957" i="15"/>
  <c r="H5958" i="15"/>
  <c r="H5959" i="15"/>
  <c r="H5960" i="15"/>
  <c r="H5961" i="15"/>
  <c r="H5962" i="15"/>
  <c r="H5963" i="15"/>
  <c r="H5964" i="15"/>
  <c r="H5965" i="15"/>
  <c r="H5966" i="15"/>
  <c r="H5967" i="15"/>
  <c r="H5968" i="15"/>
  <c r="H5969" i="15"/>
  <c r="H5970" i="15"/>
  <c r="H5971" i="15"/>
  <c r="H5972" i="15"/>
  <c r="H5973" i="15"/>
  <c r="H5974" i="15"/>
  <c r="H5975" i="15"/>
  <c r="H5976" i="15"/>
  <c r="H5977" i="15"/>
  <c r="H5978" i="15"/>
  <c r="H5979" i="15"/>
  <c r="H5980" i="15"/>
  <c r="H5981" i="15"/>
  <c r="H5982" i="15"/>
  <c r="H5983" i="15"/>
  <c r="H5984" i="15"/>
  <c r="H5985" i="15"/>
  <c r="H5986" i="15"/>
  <c r="H5987" i="15"/>
  <c r="H5988" i="15"/>
  <c r="H5989" i="15"/>
  <c r="H5990" i="15"/>
  <c r="H5991" i="15"/>
  <c r="H5992" i="15"/>
  <c r="H5993" i="15"/>
  <c r="H5994" i="15"/>
  <c r="H5995" i="15"/>
  <c r="H5996" i="15"/>
  <c r="H5997" i="15"/>
  <c r="H5998" i="15"/>
  <c r="H5999" i="15"/>
  <c r="H6000" i="15"/>
  <c r="H6001" i="15"/>
  <c r="H6002" i="15"/>
  <c r="H6003" i="15"/>
  <c r="H6004" i="15"/>
  <c r="H6005" i="15"/>
  <c r="H6006" i="15"/>
  <c r="H6007" i="15"/>
  <c r="H6008" i="15"/>
  <c r="H6009" i="15"/>
  <c r="H6010" i="15"/>
  <c r="H6011" i="15"/>
  <c r="H6012" i="15"/>
  <c r="H6013" i="15"/>
  <c r="H6014" i="15"/>
  <c r="H6015" i="15"/>
  <c r="H6016" i="15"/>
  <c r="H6017" i="15"/>
  <c r="H6018" i="15"/>
  <c r="H6019" i="15"/>
  <c r="H6020" i="15"/>
  <c r="H6021" i="15"/>
  <c r="H6022" i="15"/>
  <c r="H6023" i="15"/>
  <c r="H6024" i="15"/>
  <c r="H6025" i="15"/>
  <c r="H6026" i="15"/>
  <c r="H6027" i="15"/>
  <c r="H6028" i="15"/>
  <c r="H6029" i="15"/>
  <c r="H6030" i="15"/>
  <c r="H6031" i="15"/>
  <c r="H6032" i="15"/>
  <c r="H6033" i="15"/>
  <c r="H6034" i="15"/>
  <c r="H6035" i="15"/>
  <c r="H6036" i="15"/>
  <c r="H6037" i="15"/>
  <c r="H6038" i="15"/>
  <c r="H6039" i="15"/>
  <c r="H6040" i="15"/>
  <c r="H6041" i="15"/>
  <c r="H6042" i="15"/>
  <c r="H6043" i="15"/>
  <c r="H6044" i="15"/>
  <c r="H6045" i="15"/>
  <c r="H6046" i="15"/>
  <c r="H6047" i="15"/>
  <c r="H6048" i="15"/>
  <c r="H6049" i="15"/>
  <c r="H6050" i="15"/>
  <c r="H6051" i="15"/>
  <c r="H6052" i="15"/>
  <c r="H6053" i="15"/>
  <c r="H6054" i="15"/>
  <c r="H6055" i="15"/>
  <c r="H6056" i="15"/>
  <c r="H6057" i="15"/>
  <c r="H6058" i="15"/>
  <c r="H6059" i="15"/>
  <c r="H6060" i="15"/>
  <c r="H6061" i="15"/>
  <c r="H6062" i="15"/>
  <c r="H6063" i="15"/>
  <c r="H6064" i="15"/>
  <c r="H6065" i="15"/>
  <c r="H6066" i="15"/>
  <c r="H6067" i="15"/>
  <c r="H6068" i="15"/>
  <c r="H6069" i="15"/>
  <c r="H6070" i="15"/>
  <c r="H6071" i="15"/>
  <c r="H6072" i="15"/>
  <c r="H6073" i="15"/>
  <c r="H6074" i="15"/>
  <c r="H6075" i="15"/>
  <c r="H6076" i="15"/>
  <c r="H6077" i="15"/>
  <c r="H6078" i="15"/>
  <c r="H6079" i="15"/>
  <c r="H6080" i="15"/>
  <c r="H6081" i="15"/>
  <c r="H6082" i="15"/>
  <c r="H6083" i="15"/>
  <c r="H6084" i="15"/>
  <c r="H6085" i="15"/>
  <c r="H6086" i="15"/>
  <c r="H6087" i="15"/>
  <c r="H6088" i="15"/>
  <c r="H6089" i="15"/>
  <c r="H6090" i="15"/>
  <c r="H6091" i="15"/>
  <c r="H6092" i="15"/>
  <c r="H6093" i="15"/>
  <c r="H6094" i="15"/>
  <c r="H6095" i="15"/>
  <c r="H6096" i="15"/>
  <c r="H6097" i="15"/>
  <c r="H6098" i="15"/>
  <c r="H6099" i="15"/>
  <c r="H6100" i="15"/>
  <c r="H6101" i="15"/>
  <c r="H6102" i="15"/>
  <c r="H6103" i="15"/>
  <c r="H6104" i="15"/>
  <c r="H6105" i="15"/>
  <c r="H6106" i="15"/>
  <c r="H6107" i="15"/>
  <c r="H6108" i="15"/>
  <c r="H6109" i="15"/>
  <c r="H6110" i="15"/>
  <c r="H6111" i="15"/>
  <c r="H6112" i="15"/>
  <c r="H6113" i="15"/>
  <c r="H6114" i="15"/>
  <c r="H6115" i="15"/>
  <c r="H6116" i="15"/>
  <c r="H6117" i="15"/>
  <c r="H6118" i="15"/>
  <c r="H6119" i="15"/>
  <c r="H6120" i="15"/>
  <c r="H6121" i="15"/>
  <c r="H6122" i="15"/>
  <c r="H6123" i="15"/>
  <c r="H6124" i="15"/>
  <c r="H6125" i="15"/>
  <c r="H6126" i="15"/>
  <c r="H6127" i="15"/>
  <c r="H6128" i="15"/>
  <c r="H6129" i="15"/>
  <c r="H6130" i="15"/>
  <c r="H6131" i="15"/>
  <c r="H6132" i="15"/>
  <c r="H6133" i="15"/>
  <c r="H6134" i="15"/>
  <c r="H6135" i="15"/>
  <c r="H6136" i="15"/>
  <c r="H6137" i="15"/>
  <c r="H6138" i="15"/>
  <c r="H6139" i="15"/>
  <c r="H6140" i="15"/>
  <c r="H6141" i="15"/>
  <c r="H6142" i="15"/>
  <c r="H6143" i="15"/>
  <c r="H6144" i="15"/>
  <c r="H6145" i="15"/>
  <c r="H6146" i="15"/>
  <c r="H6147" i="15"/>
  <c r="H6148" i="15"/>
  <c r="H6149" i="15"/>
  <c r="H6150" i="15"/>
  <c r="H6151" i="15"/>
  <c r="H6152" i="15"/>
  <c r="H6153" i="15"/>
  <c r="H6154" i="15"/>
  <c r="H6155" i="15"/>
  <c r="H6156" i="15"/>
  <c r="H6157" i="15"/>
  <c r="H6158" i="15"/>
  <c r="H6159" i="15"/>
  <c r="H6160" i="15"/>
  <c r="H6161" i="15"/>
  <c r="H6162" i="15"/>
  <c r="H6163" i="15"/>
  <c r="H6164" i="15"/>
  <c r="H6165" i="15"/>
  <c r="H6166" i="15"/>
  <c r="H6167" i="15"/>
  <c r="H6168" i="15"/>
  <c r="H6169" i="15"/>
  <c r="H6170" i="15"/>
  <c r="H6171" i="15"/>
  <c r="H6172" i="15"/>
  <c r="H6173" i="15"/>
  <c r="H6174" i="15"/>
  <c r="H6175" i="15"/>
  <c r="H6176" i="15"/>
  <c r="H6177" i="15"/>
  <c r="H6178" i="15"/>
  <c r="H6179" i="15"/>
  <c r="H6180" i="15"/>
  <c r="H6181" i="15"/>
  <c r="H6182" i="15"/>
  <c r="H6183" i="15"/>
  <c r="H6184" i="15"/>
  <c r="H6185" i="15"/>
  <c r="H6186" i="15"/>
  <c r="H6187" i="15"/>
  <c r="H6188" i="15"/>
  <c r="H6189" i="15"/>
  <c r="H6190" i="15"/>
  <c r="H6191" i="15"/>
  <c r="H6192" i="15"/>
  <c r="H6193" i="15"/>
  <c r="H6194" i="15"/>
  <c r="H6195" i="15"/>
  <c r="H6196" i="15"/>
  <c r="H6197" i="15"/>
  <c r="H6198" i="15"/>
  <c r="H6199" i="15"/>
  <c r="H6200" i="15"/>
  <c r="H6201" i="15"/>
  <c r="H6202" i="15"/>
  <c r="H6203" i="15"/>
  <c r="H6204" i="15"/>
  <c r="H6205" i="15"/>
  <c r="H6206" i="15"/>
  <c r="H6207" i="15"/>
  <c r="H6208" i="15"/>
  <c r="H6209" i="15"/>
  <c r="H6210" i="15"/>
  <c r="H6211" i="15"/>
  <c r="H6212" i="15"/>
  <c r="H6213" i="15"/>
  <c r="H6214" i="15"/>
  <c r="H6215" i="15"/>
  <c r="H6216" i="15"/>
  <c r="H6217" i="15"/>
  <c r="H6218" i="15"/>
  <c r="H6219" i="15"/>
  <c r="H6220" i="15"/>
  <c r="H6221" i="15"/>
  <c r="H6222" i="15"/>
  <c r="H6223" i="15"/>
  <c r="H6224" i="15"/>
  <c r="H6225" i="15"/>
  <c r="H6226" i="15"/>
  <c r="H6227" i="15"/>
  <c r="H6228" i="15"/>
  <c r="H6229" i="15"/>
  <c r="H6230" i="15"/>
  <c r="H6231" i="15"/>
  <c r="H6232" i="15"/>
  <c r="H6233" i="15"/>
  <c r="H6234" i="15"/>
  <c r="H6235" i="15"/>
  <c r="H6236" i="15"/>
  <c r="H6237" i="15"/>
  <c r="H6238" i="15"/>
  <c r="H6239" i="15"/>
  <c r="H6240" i="15"/>
  <c r="H6241" i="15"/>
  <c r="H6242" i="15"/>
  <c r="H6243" i="15"/>
  <c r="H6244" i="15"/>
  <c r="H6245" i="15"/>
  <c r="H6246" i="15"/>
  <c r="H6247" i="15"/>
  <c r="H6248" i="15"/>
  <c r="H6249" i="15"/>
  <c r="H6250" i="15"/>
  <c r="H6251" i="15"/>
  <c r="H6252" i="15"/>
  <c r="H6253" i="15"/>
  <c r="H6254" i="15"/>
  <c r="H6255" i="15"/>
  <c r="H6256" i="15"/>
  <c r="H6257" i="15"/>
  <c r="H6258" i="15"/>
  <c r="H6259" i="15"/>
  <c r="H6260" i="15"/>
  <c r="H6261" i="15"/>
  <c r="H6262" i="15"/>
  <c r="H6263" i="15"/>
  <c r="H6264" i="15"/>
  <c r="H6265" i="15"/>
  <c r="H6266" i="15"/>
  <c r="H6267" i="15"/>
  <c r="H6268" i="15"/>
  <c r="H6269" i="15"/>
  <c r="H6270" i="15"/>
  <c r="H6271" i="15"/>
  <c r="H6272" i="15"/>
  <c r="H6273" i="15"/>
  <c r="H6274" i="15"/>
  <c r="H6275" i="15"/>
  <c r="H6276" i="15"/>
  <c r="H6277" i="15"/>
  <c r="H6278" i="15"/>
  <c r="H6279" i="15"/>
  <c r="H6280" i="15"/>
  <c r="H6281" i="15"/>
  <c r="H6282" i="15"/>
  <c r="H6283" i="15"/>
  <c r="H6284" i="15"/>
  <c r="H6285" i="15"/>
  <c r="H6286" i="15"/>
  <c r="H6287" i="15"/>
  <c r="H6288" i="15"/>
  <c r="H6289" i="15"/>
  <c r="H6290" i="15"/>
  <c r="H6291" i="15"/>
  <c r="H6292" i="15"/>
  <c r="H6293" i="15"/>
  <c r="H6294" i="15"/>
  <c r="H6295" i="15"/>
  <c r="H6296" i="15"/>
  <c r="H6297" i="15"/>
  <c r="H6298" i="15"/>
  <c r="H6299" i="15"/>
  <c r="H6300" i="15"/>
  <c r="H6301" i="15"/>
  <c r="H6302" i="15"/>
  <c r="H6303" i="15"/>
  <c r="H6304" i="15"/>
  <c r="H6305" i="15"/>
  <c r="H6306" i="15"/>
  <c r="H6307" i="15"/>
  <c r="H6308" i="15"/>
  <c r="H6309" i="15"/>
  <c r="H6310" i="15"/>
  <c r="H6311" i="15"/>
  <c r="H6312" i="15"/>
  <c r="H6313" i="15"/>
  <c r="H6314" i="15"/>
  <c r="H6315" i="15"/>
  <c r="H6316" i="15"/>
  <c r="H6317" i="15"/>
  <c r="H6318" i="15"/>
  <c r="H6319" i="15"/>
  <c r="H6320" i="15"/>
  <c r="H6321" i="15"/>
  <c r="H6322" i="15"/>
  <c r="H6323" i="15"/>
  <c r="H6324" i="15"/>
  <c r="H6325" i="15"/>
  <c r="H6326" i="15"/>
  <c r="H6327" i="15"/>
  <c r="H6328" i="15"/>
  <c r="H6329" i="15"/>
  <c r="H6330" i="15"/>
  <c r="H6331" i="15"/>
  <c r="H6332" i="15"/>
  <c r="H6333" i="15"/>
  <c r="H6334" i="15"/>
  <c r="H6335" i="15"/>
  <c r="H6336" i="15"/>
  <c r="H6337" i="15"/>
  <c r="H6338" i="15"/>
  <c r="H6339" i="15"/>
  <c r="H6340" i="15"/>
  <c r="H6341" i="15"/>
  <c r="H6342" i="15"/>
  <c r="H6343" i="15"/>
  <c r="H6344" i="15"/>
  <c r="H6345" i="15"/>
  <c r="H6346" i="15"/>
  <c r="H6347" i="15"/>
  <c r="H6348" i="15"/>
  <c r="H6349" i="15"/>
  <c r="H6350" i="15"/>
  <c r="H6351" i="15"/>
  <c r="H6352" i="15"/>
  <c r="H6353" i="15"/>
  <c r="H6354" i="15"/>
  <c r="H6355" i="15"/>
  <c r="H6356" i="15"/>
  <c r="H6357" i="15"/>
  <c r="H6358" i="15"/>
  <c r="H6359" i="15"/>
  <c r="H6360" i="15"/>
  <c r="H6361" i="15"/>
  <c r="H6362" i="15"/>
  <c r="H6363" i="15"/>
  <c r="H6364" i="15"/>
  <c r="H6365" i="15"/>
  <c r="H6366" i="15"/>
  <c r="H6367" i="15"/>
  <c r="H6368" i="15"/>
  <c r="H6369" i="15"/>
  <c r="H6370" i="15"/>
  <c r="H6371" i="15"/>
  <c r="H6372" i="15"/>
  <c r="H6373" i="15"/>
  <c r="H6374" i="15"/>
  <c r="H6375" i="15"/>
  <c r="H6376" i="15"/>
  <c r="H6377" i="15"/>
  <c r="H6378" i="15"/>
  <c r="H6379" i="15"/>
  <c r="H6380" i="15"/>
  <c r="H6381" i="15"/>
  <c r="H6382" i="15"/>
  <c r="H6383" i="15"/>
  <c r="H6384" i="15"/>
  <c r="H6385" i="15"/>
  <c r="H6386" i="15"/>
  <c r="H6387" i="15"/>
  <c r="H6388" i="15"/>
  <c r="H6389" i="15"/>
  <c r="H6390" i="15"/>
  <c r="H6391" i="15"/>
  <c r="H6392" i="15"/>
  <c r="H6393" i="15"/>
  <c r="H6394" i="15"/>
  <c r="H6395" i="15"/>
  <c r="H6396" i="15"/>
  <c r="H6397" i="15"/>
  <c r="H6398" i="15"/>
  <c r="H6399" i="15"/>
  <c r="H6400" i="15"/>
  <c r="H6401" i="15"/>
  <c r="H6402" i="15"/>
  <c r="H6403" i="15"/>
  <c r="H6404" i="15"/>
  <c r="H6405" i="15"/>
  <c r="H6406" i="15"/>
  <c r="H6407" i="15"/>
  <c r="H6408" i="15"/>
  <c r="H6409" i="15"/>
  <c r="H6410" i="15"/>
  <c r="H6411" i="15"/>
  <c r="H6412" i="15"/>
  <c r="H6413" i="15"/>
  <c r="H6414" i="15"/>
  <c r="H6415" i="15"/>
  <c r="H6416" i="15"/>
  <c r="H6417" i="15"/>
  <c r="H6418" i="15"/>
  <c r="H6419" i="15"/>
  <c r="H6420" i="15"/>
  <c r="H6421" i="15"/>
  <c r="H6422" i="15"/>
  <c r="H6423" i="15"/>
  <c r="H6424" i="15"/>
  <c r="H6425" i="15"/>
  <c r="H6426" i="15"/>
  <c r="H6427" i="15"/>
  <c r="H6428" i="15"/>
  <c r="H6429" i="15"/>
  <c r="H6430" i="15"/>
  <c r="H6431" i="15"/>
  <c r="H6432" i="15"/>
  <c r="H6433" i="15"/>
  <c r="H6434" i="15"/>
  <c r="H6435" i="15"/>
  <c r="H6436" i="15"/>
  <c r="H6437" i="15"/>
  <c r="H6438" i="15"/>
  <c r="H6439" i="15"/>
  <c r="H6440" i="15"/>
  <c r="H6441" i="15"/>
  <c r="H6442" i="15"/>
  <c r="H6443" i="15"/>
  <c r="H6444" i="15"/>
  <c r="H6445" i="15"/>
  <c r="H6446" i="15"/>
  <c r="H6447" i="15"/>
  <c r="H6448" i="15"/>
  <c r="H6449" i="15"/>
  <c r="H6450" i="15"/>
  <c r="H6451" i="15"/>
  <c r="H6452" i="15"/>
  <c r="H6453" i="15"/>
  <c r="H6454" i="15"/>
  <c r="H6455" i="15"/>
  <c r="H6456" i="15"/>
  <c r="H6457" i="15"/>
  <c r="H6458" i="15"/>
  <c r="H6459" i="15"/>
  <c r="H6460" i="15"/>
  <c r="H6461" i="15"/>
  <c r="H6462" i="15"/>
  <c r="H6463" i="15"/>
  <c r="H6464" i="15"/>
  <c r="H6465" i="15"/>
  <c r="H6466" i="15"/>
  <c r="H6467" i="15"/>
  <c r="H6468" i="15"/>
  <c r="H6469" i="15"/>
  <c r="H6470" i="15"/>
  <c r="H6471" i="15"/>
  <c r="H6472" i="15"/>
  <c r="H6473" i="15"/>
  <c r="H6474" i="15"/>
  <c r="H6475" i="15"/>
  <c r="H6476" i="15"/>
  <c r="H6477" i="15"/>
  <c r="H6478" i="15"/>
  <c r="H6479" i="15"/>
  <c r="H6480" i="15"/>
  <c r="H6481" i="15"/>
  <c r="H6482" i="15"/>
  <c r="H6483" i="15"/>
  <c r="H6484" i="15"/>
  <c r="H6485" i="15"/>
  <c r="H6486" i="15"/>
  <c r="H6487" i="15"/>
  <c r="H6488" i="15"/>
  <c r="H6489" i="15"/>
  <c r="H6490" i="15"/>
  <c r="H6491" i="15"/>
  <c r="H6492" i="15"/>
  <c r="H6493" i="15"/>
  <c r="H6494" i="15"/>
  <c r="H6495" i="15"/>
  <c r="H6496" i="15"/>
  <c r="H6497" i="15"/>
  <c r="H6498" i="15"/>
  <c r="H6499" i="15"/>
  <c r="H6500" i="15"/>
  <c r="H6501" i="15"/>
  <c r="H6502" i="15"/>
  <c r="H6503" i="15"/>
  <c r="H6504" i="15"/>
  <c r="H6505" i="15"/>
  <c r="H6506" i="15"/>
  <c r="H6507" i="15"/>
  <c r="H6508" i="15"/>
  <c r="H6509" i="15"/>
  <c r="H6510" i="15"/>
  <c r="H6511" i="15"/>
  <c r="H6512" i="15"/>
  <c r="H6513" i="15"/>
  <c r="H6514" i="15"/>
  <c r="H6515" i="15"/>
  <c r="H6516" i="15"/>
  <c r="H6517" i="15"/>
  <c r="H6518" i="15"/>
  <c r="H6519" i="15"/>
  <c r="H6520" i="15"/>
  <c r="H6521" i="15"/>
  <c r="H6522" i="15"/>
  <c r="H6523" i="15"/>
  <c r="H6524" i="15"/>
  <c r="H6525" i="15"/>
  <c r="H6526" i="15"/>
  <c r="H6527" i="15"/>
  <c r="H6528" i="15"/>
  <c r="H6529" i="15"/>
  <c r="H6530" i="15"/>
  <c r="H6531" i="15"/>
  <c r="H6532" i="15"/>
  <c r="H6533" i="15"/>
  <c r="H6534" i="15"/>
  <c r="H6535" i="15"/>
  <c r="H6536" i="15"/>
  <c r="H6537" i="15"/>
  <c r="H6538" i="15"/>
  <c r="H6539" i="15"/>
  <c r="H6540" i="15"/>
  <c r="H6541" i="15"/>
  <c r="H6542" i="15"/>
  <c r="H6543" i="15"/>
  <c r="H6544" i="15"/>
  <c r="H6545" i="15"/>
  <c r="H6546" i="15"/>
  <c r="H6547" i="15"/>
  <c r="H6548" i="15"/>
  <c r="H6549" i="15"/>
  <c r="H6550" i="15"/>
  <c r="H6551" i="15"/>
  <c r="H6552" i="15"/>
  <c r="H6553" i="15"/>
  <c r="H6554" i="15"/>
  <c r="H6555" i="15"/>
  <c r="H6556" i="15"/>
  <c r="H6557" i="15"/>
  <c r="H6558" i="15"/>
  <c r="H6559" i="15"/>
  <c r="H6560" i="15"/>
  <c r="H6561" i="15"/>
  <c r="H6562" i="15"/>
  <c r="H6563" i="15"/>
  <c r="H6564" i="15"/>
  <c r="H6565" i="15"/>
  <c r="H6566" i="15"/>
  <c r="H6567" i="15"/>
  <c r="H6568" i="15"/>
  <c r="H6569" i="15"/>
  <c r="H6570" i="15"/>
  <c r="H6571" i="15"/>
  <c r="H6572" i="15"/>
  <c r="H6573" i="15"/>
  <c r="H6574" i="15"/>
  <c r="H6575" i="15"/>
  <c r="H6576" i="15"/>
  <c r="H6577" i="15"/>
  <c r="H6578" i="15"/>
  <c r="H6579" i="15"/>
  <c r="H6580" i="15"/>
  <c r="H6581" i="15"/>
  <c r="H6582" i="15"/>
  <c r="H6583" i="15"/>
  <c r="H6584" i="15"/>
  <c r="H6585" i="15"/>
  <c r="H6586" i="15"/>
  <c r="H6587" i="15"/>
  <c r="H6588" i="15"/>
  <c r="H6589" i="15"/>
  <c r="H6590" i="15"/>
  <c r="H6591" i="15"/>
  <c r="H6592" i="15"/>
  <c r="H6593" i="15"/>
  <c r="H6594" i="15"/>
  <c r="H6595" i="15"/>
  <c r="H6596" i="15"/>
  <c r="H6597" i="15"/>
  <c r="H6598" i="15"/>
  <c r="H6599" i="15"/>
  <c r="H6600" i="15"/>
  <c r="H6601" i="15"/>
  <c r="H6602" i="15"/>
  <c r="H6603" i="15"/>
  <c r="H6604" i="15"/>
  <c r="H6605" i="15"/>
  <c r="H6606" i="15"/>
  <c r="H6607" i="15"/>
  <c r="H6608" i="15"/>
  <c r="H6609" i="15"/>
  <c r="H6610" i="15"/>
  <c r="H6611" i="15"/>
  <c r="H6612" i="15"/>
  <c r="H6613" i="15"/>
  <c r="H6614" i="15"/>
  <c r="H6615" i="15"/>
  <c r="H6616" i="15"/>
  <c r="H6617" i="15"/>
  <c r="H6618" i="15"/>
  <c r="H6619" i="15"/>
  <c r="H6620" i="15"/>
  <c r="H6621" i="15"/>
  <c r="H6622" i="15"/>
  <c r="H6623" i="15"/>
  <c r="H6624" i="15"/>
  <c r="H6625" i="15"/>
  <c r="H6626" i="15"/>
  <c r="H6627" i="15"/>
  <c r="H6628" i="15"/>
  <c r="H6629" i="15"/>
  <c r="H6630" i="15"/>
  <c r="H6631" i="15"/>
  <c r="H6632" i="15"/>
  <c r="H6633" i="15"/>
  <c r="H6634" i="15"/>
  <c r="H6635" i="15"/>
  <c r="H6636" i="15"/>
  <c r="H6637" i="15"/>
  <c r="H6638" i="15"/>
  <c r="H6639" i="15"/>
  <c r="H6640" i="15"/>
  <c r="H6641" i="15"/>
  <c r="H6642" i="15"/>
  <c r="H6643" i="15"/>
  <c r="H6644" i="15"/>
  <c r="H6645" i="15"/>
  <c r="H6646" i="15"/>
  <c r="H6647" i="15"/>
  <c r="H6648" i="15"/>
  <c r="H6649" i="15"/>
  <c r="H6650" i="15"/>
  <c r="H6651" i="15"/>
  <c r="H6652" i="15"/>
  <c r="H6653" i="15"/>
  <c r="H6654" i="15"/>
  <c r="H6655" i="15"/>
  <c r="H6656" i="15"/>
  <c r="H6657" i="15"/>
  <c r="H6658" i="15"/>
  <c r="H6659" i="15"/>
  <c r="H6660" i="15"/>
  <c r="H6661" i="15"/>
  <c r="H6662" i="15"/>
  <c r="H6663" i="15"/>
  <c r="H6664" i="15"/>
  <c r="H6665" i="15"/>
  <c r="H6666" i="15"/>
  <c r="H6667" i="15"/>
  <c r="H6668" i="15"/>
  <c r="H6669" i="15"/>
  <c r="H6670" i="15"/>
  <c r="H6671" i="15"/>
  <c r="H6672" i="15"/>
  <c r="H6673" i="15"/>
  <c r="H6674" i="15"/>
  <c r="H6675" i="15"/>
  <c r="H6676" i="15"/>
  <c r="H6677" i="15"/>
  <c r="H6678" i="15"/>
  <c r="H6679" i="15"/>
  <c r="H6680" i="15"/>
  <c r="H6681" i="15"/>
  <c r="H6682" i="15"/>
  <c r="H6683" i="15"/>
  <c r="H6684" i="15"/>
  <c r="H6685" i="15"/>
  <c r="H6686" i="15"/>
  <c r="H6687" i="15"/>
  <c r="H6688" i="15"/>
  <c r="H6689" i="15"/>
  <c r="H6690" i="15"/>
  <c r="H6691" i="15"/>
  <c r="H6692" i="15"/>
  <c r="H6693" i="15"/>
  <c r="H6694" i="15"/>
  <c r="H6695" i="15"/>
  <c r="H6696" i="15"/>
  <c r="H6697" i="15"/>
  <c r="H6698" i="15"/>
  <c r="H6699" i="15"/>
  <c r="H6700" i="15"/>
  <c r="H6701" i="15"/>
  <c r="H6702" i="15"/>
  <c r="H6703" i="15"/>
  <c r="H6704" i="15"/>
  <c r="H6705" i="15"/>
  <c r="H6706" i="15"/>
  <c r="H6707" i="15"/>
  <c r="H6708" i="15"/>
  <c r="H6709" i="15"/>
  <c r="H6710" i="15"/>
  <c r="H6711" i="15"/>
  <c r="H6712" i="15"/>
  <c r="H6713" i="15"/>
  <c r="H6714" i="15"/>
  <c r="H6715" i="15"/>
  <c r="H6716" i="15"/>
  <c r="H6717" i="15"/>
  <c r="H6718" i="15"/>
  <c r="H6719" i="15"/>
  <c r="H6720" i="15"/>
  <c r="H6721" i="15"/>
  <c r="H6722" i="15"/>
  <c r="H6723" i="15"/>
  <c r="H6724" i="15"/>
  <c r="H6725" i="15"/>
  <c r="H6726" i="15"/>
  <c r="H6727" i="15"/>
  <c r="H6728" i="15"/>
  <c r="H6729" i="15"/>
  <c r="H6730" i="15"/>
  <c r="H6731" i="15"/>
  <c r="H6732" i="15"/>
  <c r="H6733" i="15"/>
  <c r="H6734" i="15"/>
  <c r="H6735" i="15"/>
  <c r="H6736" i="15"/>
  <c r="H6737" i="15"/>
  <c r="H6738" i="15"/>
  <c r="H6739" i="15"/>
  <c r="H6740" i="15"/>
  <c r="H6741" i="15"/>
  <c r="H6742" i="15"/>
  <c r="H6743" i="15"/>
  <c r="H6744" i="15"/>
  <c r="H6745" i="15"/>
  <c r="H6746" i="15"/>
  <c r="H6747" i="15"/>
  <c r="H6748" i="15"/>
  <c r="H6749" i="15"/>
  <c r="H6750" i="15"/>
  <c r="H6751" i="15"/>
  <c r="H6752" i="15"/>
  <c r="H6753" i="15"/>
  <c r="H6754" i="15"/>
  <c r="H6755" i="15"/>
  <c r="H6756" i="15"/>
  <c r="H6757" i="15"/>
  <c r="H6758" i="15"/>
  <c r="H6759" i="15"/>
  <c r="H6760" i="15"/>
  <c r="H6761" i="15"/>
  <c r="H6762" i="15"/>
  <c r="H6763" i="15"/>
  <c r="H6764" i="15"/>
  <c r="H6765" i="15"/>
  <c r="H6766" i="15"/>
  <c r="H6767" i="15"/>
  <c r="H6768" i="15"/>
  <c r="H6769" i="15"/>
  <c r="H6770" i="15"/>
  <c r="H6771" i="15"/>
  <c r="H6772" i="15"/>
  <c r="H6773" i="15"/>
  <c r="H6774" i="15"/>
  <c r="H6775" i="15"/>
  <c r="H6776" i="15"/>
  <c r="H6777" i="15"/>
  <c r="H6778" i="15"/>
  <c r="H6779" i="15"/>
  <c r="H6780" i="15"/>
  <c r="H6781" i="15"/>
  <c r="H6782" i="15"/>
  <c r="H6783" i="15"/>
  <c r="H6784" i="15"/>
  <c r="H6785" i="15"/>
  <c r="H6786" i="15"/>
  <c r="H6787" i="15"/>
  <c r="H6788" i="15"/>
  <c r="H6789" i="15"/>
  <c r="H6790" i="15"/>
  <c r="H6791" i="15"/>
  <c r="H6792" i="15"/>
  <c r="H6793" i="15"/>
  <c r="H6794" i="15"/>
  <c r="H6795" i="15"/>
  <c r="H6796" i="15"/>
  <c r="H6797" i="15"/>
  <c r="H6798" i="15"/>
  <c r="H6799" i="15"/>
  <c r="H6800" i="15"/>
  <c r="H6801" i="15"/>
  <c r="H6802" i="15"/>
  <c r="H6803" i="15"/>
  <c r="H6804" i="15"/>
  <c r="H6805" i="15"/>
  <c r="H6806" i="15"/>
  <c r="H6807" i="15"/>
  <c r="H6808" i="15"/>
  <c r="H6809" i="15"/>
  <c r="H6810" i="15"/>
  <c r="H6811" i="15"/>
  <c r="H6812" i="15"/>
  <c r="H6813" i="15"/>
  <c r="H6814" i="15"/>
  <c r="H6815" i="15"/>
  <c r="H6816" i="15"/>
  <c r="H6817" i="15"/>
  <c r="H6818" i="15"/>
  <c r="H6819" i="15"/>
  <c r="H6820" i="15"/>
  <c r="H6821" i="15"/>
  <c r="H6822" i="15"/>
  <c r="H6823" i="15"/>
  <c r="H6824" i="15"/>
  <c r="H6825" i="15"/>
  <c r="H6826" i="15"/>
  <c r="H6827" i="15"/>
  <c r="H6828" i="15"/>
  <c r="H6829" i="15"/>
  <c r="H6830" i="15"/>
  <c r="H6831" i="15"/>
  <c r="H6832" i="15"/>
  <c r="H6833" i="15"/>
  <c r="H6834" i="15"/>
  <c r="H6835" i="15"/>
  <c r="H6836" i="15"/>
  <c r="H6837" i="15"/>
  <c r="H6838" i="15"/>
  <c r="H6839" i="15"/>
  <c r="H6840" i="15"/>
  <c r="H6841" i="15"/>
  <c r="H6842" i="15"/>
  <c r="H6843" i="15"/>
  <c r="H6844" i="15"/>
  <c r="H6845" i="15"/>
  <c r="H6846" i="15"/>
  <c r="H6847" i="15"/>
  <c r="H6848" i="15"/>
  <c r="H6849" i="15"/>
  <c r="H6850" i="15"/>
  <c r="H6851" i="15"/>
  <c r="H6852" i="15"/>
  <c r="H6853" i="15"/>
  <c r="H6854" i="15"/>
  <c r="H6855" i="15"/>
  <c r="H6856" i="15"/>
  <c r="H6857" i="15"/>
  <c r="H6858" i="15"/>
  <c r="H6859" i="15"/>
  <c r="H6860" i="15"/>
  <c r="H6861" i="15"/>
  <c r="H6862" i="15"/>
  <c r="H6863" i="15"/>
  <c r="H6864" i="15"/>
  <c r="H6865" i="15"/>
  <c r="H6866" i="15"/>
  <c r="H6867" i="15"/>
  <c r="H6868" i="15"/>
  <c r="H6869" i="15"/>
  <c r="H6870" i="15"/>
  <c r="H6871" i="15"/>
  <c r="H6872" i="15"/>
  <c r="H6873" i="15"/>
  <c r="H6874" i="15"/>
  <c r="H6875" i="15"/>
  <c r="H6876" i="15"/>
  <c r="H6877" i="15"/>
  <c r="H6878" i="15"/>
  <c r="H6879" i="15"/>
  <c r="H6880" i="15"/>
  <c r="H6881" i="15"/>
  <c r="H6882" i="15"/>
  <c r="H6883" i="15"/>
  <c r="H6884" i="15"/>
  <c r="H6885" i="15"/>
  <c r="H6886" i="15"/>
  <c r="H6887" i="15"/>
  <c r="H6888" i="15"/>
  <c r="H6889" i="15"/>
  <c r="H6890" i="15"/>
  <c r="H6891" i="15"/>
  <c r="H6892" i="15"/>
  <c r="H6893" i="15"/>
  <c r="H6894" i="15"/>
  <c r="H6895" i="15"/>
  <c r="H6896" i="15"/>
  <c r="H6897" i="15"/>
  <c r="H6898" i="15"/>
  <c r="H6899" i="15"/>
  <c r="H6900" i="15"/>
  <c r="H6901" i="15"/>
  <c r="H6902" i="15"/>
  <c r="H6903" i="15"/>
  <c r="H6904" i="15"/>
  <c r="H6905" i="15"/>
  <c r="H6906" i="15"/>
  <c r="H6907" i="15"/>
  <c r="H6908" i="15"/>
  <c r="H6909" i="15"/>
  <c r="H6910" i="15"/>
  <c r="H6911" i="15"/>
  <c r="H6912" i="15"/>
  <c r="H6913" i="15"/>
  <c r="H6914" i="15"/>
  <c r="H6915" i="15"/>
  <c r="H6916" i="15"/>
  <c r="H6917" i="15"/>
  <c r="H6918" i="15"/>
  <c r="H6919" i="15"/>
  <c r="H6920" i="15"/>
  <c r="H6921" i="15"/>
  <c r="H6922" i="15"/>
  <c r="H6923" i="15"/>
  <c r="H6924" i="15"/>
  <c r="H6925" i="15"/>
  <c r="H6926" i="15"/>
  <c r="H6927" i="15"/>
  <c r="H6928" i="15"/>
  <c r="H6929" i="15"/>
  <c r="H6930" i="15"/>
  <c r="H6931" i="15"/>
  <c r="H6932" i="15"/>
  <c r="H6933" i="15"/>
  <c r="H6934" i="15"/>
  <c r="H6935" i="15"/>
  <c r="H6936" i="15"/>
  <c r="H6937" i="15"/>
  <c r="H6938" i="15"/>
  <c r="H6939" i="15"/>
  <c r="H6940" i="15"/>
  <c r="H6941" i="15"/>
  <c r="H6942" i="15"/>
  <c r="H6943" i="15"/>
  <c r="H6944" i="15"/>
  <c r="H6945" i="15"/>
  <c r="H6946" i="15"/>
  <c r="H6947" i="15"/>
  <c r="H6948" i="15"/>
  <c r="H6949" i="15"/>
  <c r="H6950" i="15"/>
  <c r="H6951" i="15"/>
  <c r="H6952" i="15"/>
  <c r="H6953" i="15"/>
  <c r="H6954" i="15"/>
  <c r="H6955" i="15"/>
  <c r="H6956" i="15"/>
  <c r="H6957" i="15"/>
  <c r="H6958" i="15"/>
  <c r="H6959" i="15"/>
  <c r="H6960" i="15"/>
  <c r="H6961" i="15"/>
  <c r="H6962" i="15"/>
  <c r="H6963" i="15"/>
  <c r="H6964" i="15"/>
  <c r="H6965" i="15"/>
  <c r="H6966" i="15"/>
  <c r="H6967" i="15"/>
  <c r="H6968" i="15"/>
  <c r="H6969" i="15"/>
  <c r="H6970" i="15"/>
  <c r="H6971" i="15"/>
  <c r="H6972" i="15"/>
  <c r="H6973" i="15"/>
  <c r="H6974" i="15"/>
  <c r="H6975" i="15"/>
  <c r="H6976" i="15"/>
  <c r="H6977" i="15"/>
  <c r="H6978" i="15"/>
  <c r="H6979" i="15"/>
  <c r="H6980" i="15"/>
  <c r="H6981" i="15"/>
  <c r="H6982" i="15"/>
  <c r="H6983" i="15"/>
  <c r="H6984" i="15"/>
  <c r="H6985" i="15"/>
  <c r="H6986" i="15"/>
  <c r="H6987" i="15"/>
  <c r="H6988" i="15"/>
  <c r="H6989" i="15"/>
  <c r="H6990" i="15"/>
  <c r="H6991" i="15"/>
  <c r="H6992" i="15"/>
  <c r="H6993" i="15"/>
  <c r="H6994" i="15"/>
  <c r="H6995" i="15"/>
  <c r="H6996" i="15"/>
  <c r="H6997" i="15"/>
  <c r="H6998" i="15"/>
  <c r="H6999" i="15"/>
  <c r="H7000" i="15"/>
  <c r="H7001" i="15"/>
  <c r="H7002" i="15"/>
  <c r="H7003" i="15"/>
  <c r="H7004" i="15"/>
  <c r="H7005" i="15"/>
  <c r="H7006" i="15"/>
  <c r="H7007" i="15"/>
  <c r="H7008" i="15"/>
  <c r="H7009" i="15"/>
  <c r="H7010" i="15"/>
  <c r="H7011" i="15"/>
  <c r="H7012" i="15"/>
  <c r="H7013" i="15"/>
  <c r="H7014" i="15"/>
  <c r="H7015" i="15"/>
  <c r="H7016" i="15"/>
  <c r="H7017" i="15"/>
  <c r="H7018" i="15"/>
  <c r="H7019" i="15"/>
  <c r="H7020" i="15"/>
  <c r="H7021" i="15"/>
  <c r="H7022" i="15"/>
  <c r="H7023" i="15"/>
  <c r="H7024" i="15"/>
  <c r="H7025" i="15"/>
  <c r="H7026" i="15"/>
  <c r="H7027" i="15"/>
  <c r="H7028" i="15"/>
  <c r="H7029" i="15"/>
  <c r="H7030" i="15"/>
  <c r="H7031" i="15"/>
  <c r="H7032" i="15"/>
  <c r="H7033" i="15"/>
  <c r="H7034" i="15"/>
  <c r="H7035" i="15"/>
  <c r="H7036" i="15"/>
  <c r="H7037" i="15"/>
  <c r="H7038" i="15"/>
  <c r="H7039" i="15"/>
  <c r="H7040" i="15"/>
  <c r="H7041" i="15"/>
  <c r="H7042" i="15"/>
  <c r="H7043" i="15"/>
  <c r="H7044" i="15"/>
  <c r="H7045" i="15"/>
  <c r="H7046" i="15"/>
  <c r="H7047" i="15"/>
  <c r="H7048" i="15"/>
  <c r="H7049" i="15"/>
  <c r="H7050" i="15"/>
  <c r="H7051" i="15"/>
  <c r="H7052" i="15"/>
  <c r="H7053" i="15"/>
  <c r="H7054" i="15"/>
  <c r="H7055" i="15"/>
  <c r="H7056" i="15"/>
  <c r="H7057" i="15"/>
  <c r="H7058" i="15"/>
  <c r="H7059" i="15"/>
  <c r="H7060" i="15"/>
  <c r="H7061" i="15"/>
  <c r="H7062" i="15"/>
  <c r="H7063" i="15"/>
  <c r="H7064" i="15"/>
  <c r="H7065" i="15"/>
  <c r="H7066" i="15"/>
  <c r="H7067" i="15"/>
  <c r="H7068" i="15"/>
  <c r="H7069" i="15"/>
  <c r="H7070" i="15"/>
  <c r="H7071" i="15"/>
  <c r="H7072" i="15"/>
  <c r="H7073" i="15"/>
  <c r="H7074" i="15"/>
  <c r="H7075" i="15"/>
  <c r="H7076" i="15"/>
  <c r="H7077" i="15"/>
  <c r="H7078" i="15"/>
  <c r="H7079" i="15"/>
  <c r="H7080" i="15"/>
  <c r="H7081" i="15"/>
  <c r="H7082" i="15"/>
  <c r="H7083" i="15"/>
  <c r="H7084" i="15"/>
  <c r="H7085" i="15"/>
  <c r="H7086" i="15"/>
  <c r="H7087" i="15"/>
  <c r="H7088" i="15"/>
  <c r="H7089" i="15"/>
  <c r="H7090" i="15"/>
  <c r="H7091" i="15"/>
  <c r="H7092" i="15"/>
  <c r="H7093" i="15"/>
  <c r="H7094" i="15"/>
  <c r="H7095" i="15"/>
  <c r="H7096" i="15"/>
  <c r="H7097" i="15"/>
  <c r="H7098" i="15"/>
  <c r="H7099" i="15"/>
  <c r="H7100" i="15"/>
  <c r="H7101" i="15"/>
  <c r="H7102" i="15"/>
  <c r="H7103" i="15"/>
  <c r="H7104" i="15"/>
  <c r="H7105" i="15"/>
  <c r="H7106" i="15"/>
  <c r="H7107" i="15"/>
  <c r="H7108" i="15"/>
  <c r="H7109" i="15"/>
  <c r="H7110" i="15"/>
  <c r="H7111" i="15"/>
  <c r="H7112" i="15"/>
  <c r="H7113" i="15"/>
  <c r="H7114" i="15"/>
  <c r="H7115" i="15"/>
  <c r="H7116" i="15"/>
  <c r="H7117" i="15"/>
  <c r="H7118" i="15"/>
  <c r="H7119" i="15"/>
  <c r="H7120" i="15"/>
  <c r="H7121" i="15"/>
  <c r="H7122" i="15"/>
  <c r="H7123" i="15"/>
  <c r="H7124" i="15"/>
  <c r="H7125" i="15"/>
  <c r="H7126" i="15"/>
  <c r="H7127" i="15"/>
  <c r="H7128" i="15"/>
  <c r="H7129" i="15"/>
  <c r="H7130" i="15"/>
  <c r="H7131" i="15"/>
  <c r="H7132" i="15"/>
  <c r="H7133" i="15"/>
  <c r="H7134" i="15"/>
  <c r="H7135" i="15"/>
  <c r="H7136" i="15"/>
  <c r="H7137" i="15"/>
  <c r="H7138" i="15"/>
  <c r="H7139" i="15"/>
  <c r="H7140" i="15"/>
  <c r="H7141" i="15"/>
  <c r="H7142" i="15"/>
  <c r="H7143" i="15"/>
  <c r="H7144" i="15"/>
  <c r="H7145" i="15"/>
  <c r="H7146" i="15"/>
  <c r="H7147" i="15"/>
  <c r="H7148" i="15"/>
  <c r="H7149" i="15"/>
  <c r="H7150" i="15"/>
  <c r="H7151" i="15"/>
  <c r="H7152" i="15"/>
  <c r="H7153" i="15"/>
  <c r="H7154" i="15"/>
  <c r="H7155" i="15"/>
  <c r="H7156" i="15"/>
  <c r="H7157" i="15"/>
  <c r="H7158" i="15"/>
  <c r="H7159" i="15"/>
  <c r="H7160" i="15"/>
  <c r="H7161" i="15"/>
  <c r="H7162" i="15"/>
  <c r="H7163" i="15"/>
  <c r="H7164" i="15"/>
  <c r="H7165" i="15"/>
  <c r="H7166" i="15"/>
  <c r="H7167" i="15"/>
  <c r="H7168" i="15"/>
  <c r="H7169" i="15"/>
  <c r="H7170" i="15"/>
  <c r="H7171" i="15"/>
  <c r="H7172" i="15"/>
  <c r="H7173" i="15"/>
  <c r="H7174" i="15"/>
  <c r="H7175" i="15"/>
  <c r="H7176" i="15"/>
  <c r="H7177" i="15"/>
  <c r="H7178" i="15"/>
  <c r="H7179" i="15"/>
  <c r="H7180" i="15"/>
  <c r="H7181" i="15"/>
  <c r="H7182" i="15"/>
  <c r="H7183" i="15"/>
  <c r="H7184" i="15"/>
  <c r="H7185" i="15"/>
  <c r="H7186" i="15"/>
  <c r="H7187" i="15"/>
  <c r="H7188" i="15"/>
  <c r="H7189" i="15"/>
  <c r="H7190" i="15"/>
  <c r="H7191" i="15"/>
  <c r="H7192" i="15"/>
  <c r="H7193" i="15"/>
  <c r="H7194" i="15"/>
  <c r="H7195" i="15"/>
  <c r="H7196" i="15"/>
  <c r="H7197" i="15"/>
  <c r="H7198" i="15"/>
  <c r="H7199" i="15"/>
  <c r="H7200" i="15"/>
  <c r="H7201" i="15"/>
  <c r="H7202" i="15"/>
  <c r="H7203" i="15"/>
  <c r="H7204" i="15"/>
  <c r="H7205" i="15"/>
  <c r="H7206" i="15"/>
  <c r="H7207" i="15"/>
  <c r="H7208" i="15"/>
  <c r="H7209" i="15"/>
  <c r="H7210" i="15"/>
  <c r="H7211" i="15"/>
  <c r="H7212" i="15"/>
  <c r="H7213" i="15"/>
  <c r="H7214" i="15"/>
  <c r="H7215" i="15"/>
  <c r="H7216" i="15"/>
  <c r="H7217" i="15"/>
  <c r="H7218" i="15"/>
  <c r="H7219" i="15"/>
  <c r="H7220" i="15"/>
  <c r="H7221" i="15"/>
  <c r="H7222" i="15"/>
  <c r="H7223" i="15"/>
  <c r="H7224" i="15"/>
  <c r="H7225" i="15"/>
  <c r="H7226" i="15"/>
  <c r="H7227" i="15"/>
  <c r="H7228" i="15"/>
  <c r="H7229" i="15"/>
  <c r="H7230" i="15"/>
  <c r="H7231" i="15"/>
  <c r="H7232" i="15"/>
  <c r="H7233" i="15"/>
  <c r="H7234" i="15"/>
  <c r="H7235" i="15"/>
  <c r="H7236" i="15"/>
  <c r="H7237" i="15"/>
  <c r="H7238" i="15"/>
  <c r="H7239" i="15"/>
  <c r="H7240" i="15"/>
  <c r="H7241" i="15"/>
  <c r="H7242" i="15"/>
  <c r="H7243" i="15"/>
  <c r="H7244" i="15"/>
  <c r="H7245" i="15"/>
  <c r="H7246" i="15"/>
  <c r="H7247" i="15"/>
  <c r="H7248" i="15"/>
  <c r="H7249" i="15"/>
  <c r="H7250" i="15"/>
  <c r="H7251" i="15"/>
  <c r="H7252" i="15"/>
  <c r="H7253" i="15"/>
  <c r="H7254" i="15"/>
  <c r="H7255" i="15"/>
  <c r="H7256" i="15"/>
  <c r="H7257" i="15"/>
  <c r="H7258" i="15"/>
  <c r="H7259" i="15"/>
  <c r="H7260" i="15"/>
  <c r="H7261" i="15"/>
  <c r="H7262" i="15"/>
  <c r="H7263" i="15"/>
  <c r="H7264" i="15"/>
  <c r="H7265" i="15"/>
  <c r="H7266" i="15"/>
  <c r="H7267" i="15"/>
  <c r="H7268" i="15"/>
  <c r="H7269" i="15"/>
  <c r="H7270" i="15"/>
  <c r="H7271" i="15"/>
  <c r="H7272" i="15"/>
  <c r="H7273" i="15"/>
  <c r="H7274" i="15"/>
  <c r="H7275" i="15"/>
  <c r="H7276" i="15"/>
  <c r="H7277" i="15"/>
  <c r="H7278" i="15"/>
  <c r="H7279" i="15"/>
  <c r="H7280" i="15"/>
  <c r="H7281" i="15"/>
  <c r="H7282" i="15"/>
  <c r="H7283" i="15"/>
  <c r="H7284" i="15"/>
  <c r="H7285" i="15"/>
  <c r="H7286" i="15"/>
  <c r="H7287" i="15"/>
  <c r="H7288" i="15"/>
  <c r="H7289" i="15"/>
  <c r="H7290" i="15"/>
  <c r="H7291" i="15"/>
  <c r="H7292" i="15"/>
  <c r="H7293" i="15"/>
  <c r="H7294" i="15"/>
  <c r="H7295" i="15"/>
  <c r="H7296" i="15"/>
  <c r="H7297" i="15"/>
  <c r="H7298" i="15"/>
  <c r="H7299" i="15"/>
  <c r="H7300" i="15"/>
  <c r="H7301" i="15"/>
  <c r="H7302" i="15"/>
  <c r="H7303" i="15"/>
  <c r="H7304" i="15"/>
  <c r="H7305" i="15"/>
  <c r="H7306" i="15"/>
  <c r="H7307" i="15"/>
  <c r="H7308" i="15"/>
  <c r="H7309" i="15"/>
  <c r="H7310" i="15"/>
  <c r="H7311" i="15"/>
  <c r="H7312" i="15"/>
  <c r="H7313" i="15"/>
  <c r="H7314" i="15"/>
  <c r="H7315" i="15"/>
  <c r="H7316" i="15"/>
  <c r="H7317" i="15"/>
  <c r="H7318" i="15"/>
  <c r="H7319" i="15"/>
  <c r="H7320" i="15"/>
  <c r="H7321" i="15"/>
  <c r="H7322" i="15"/>
  <c r="H7323" i="15"/>
  <c r="H7324" i="15"/>
  <c r="H7325" i="15"/>
  <c r="H7326" i="15"/>
  <c r="H7327" i="15"/>
  <c r="H7328" i="15"/>
  <c r="H7329" i="15"/>
  <c r="H7330" i="15"/>
  <c r="H7331" i="15"/>
  <c r="H7332" i="15"/>
  <c r="H7333" i="15"/>
  <c r="H7334" i="15"/>
  <c r="H7335" i="15"/>
  <c r="H7336" i="15"/>
  <c r="H7337" i="15"/>
  <c r="H7338" i="15"/>
  <c r="H7339" i="15"/>
  <c r="H7340" i="15"/>
  <c r="H7341" i="15"/>
  <c r="H7342" i="15"/>
  <c r="H7343" i="15"/>
  <c r="H7344" i="15"/>
  <c r="H7345" i="15"/>
  <c r="H7346" i="15"/>
  <c r="H7347" i="15"/>
  <c r="H7348" i="15"/>
  <c r="H7349" i="15"/>
  <c r="H7350" i="15"/>
  <c r="H7351" i="15"/>
  <c r="H7352" i="15"/>
  <c r="H7353" i="15"/>
  <c r="H7354" i="15"/>
  <c r="H7355" i="15"/>
  <c r="H7356" i="15"/>
  <c r="H7357" i="15"/>
  <c r="H7358" i="15"/>
  <c r="H7359" i="15"/>
  <c r="H7360" i="15"/>
  <c r="H7361" i="15"/>
  <c r="H7362" i="15"/>
  <c r="H7363" i="15"/>
  <c r="H7364" i="15"/>
  <c r="H7365" i="15"/>
  <c r="H7366" i="15"/>
  <c r="H7367" i="15"/>
  <c r="H7368" i="15"/>
  <c r="H7369" i="15"/>
  <c r="H7370" i="15"/>
  <c r="H7371" i="15"/>
  <c r="H7372" i="15"/>
  <c r="H7373" i="15"/>
  <c r="H7374" i="15"/>
  <c r="H7375" i="15"/>
  <c r="H7376" i="15"/>
  <c r="H7377" i="15"/>
  <c r="H7378" i="15"/>
  <c r="H7379" i="15"/>
  <c r="H7380" i="15"/>
  <c r="H7381" i="15"/>
  <c r="H7382" i="15"/>
  <c r="H7383" i="15"/>
  <c r="H7384" i="15"/>
  <c r="H7385" i="15"/>
  <c r="H7386" i="15"/>
  <c r="H7387" i="15"/>
  <c r="H7388" i="15"/>
  <c r="H7389" i="15"/>
  <c r="H7390" i="15"/>
  <c r="H7391" i="15"/>
  <c r="H7392" i="15"/>
  <c r="H7393" i="15"/>
  <c r="H7394" i="15"/>
  <c r="H7395" i="15"/>
  <c r="H7396" i="15"/>
  <c r="H7397" i="15"/>
  <c r="H7398" i="15"/>
  <c r="H7399" i="15"/>
  <c r="H7400" i="15"/>
  <c r="H7401" i="15"/>
  <c r="H7402" i="15"/>
  <c r="H7403" i="15"/>
  <c r="H7404" i="15"/>
  <c r="H7405" i="15"/>
  <c r="H7406" i="15"/>
  <c r="H7407" i="15"/>
  <c r="H7408" i="15"/>
  <c r="H7409" i="15"/>
  <c r="H7410" i="15"/>
  <c r="H7411" i="15"/>
  <c r="H7412" i="15"/>
  <c r="H7413" i="15"/>
  <c r="H7414" i="15"/>
  <c r="H7415" i="15"/>
  <c r="H7416" i="15"/>
  <c r="H7417" i="15"/>
  <c r="H7418" i="15"/>
  <c r="H7419" i="15"/>
  <c r="H7420" i="15"/>
  <c r="H7421" i="15"/>
  <c r="H7422" i="15"/>
  <c r="H7423" i="15"/>
  <c r="H7424" i="15"/>
  <c r="H7425" i="15"/>
  <c r="H7426" i="15"/>
  <c r="H7427" i="15"/>
  <c r="H7428" i="15"/>
  <c r="H7429" i="15"/>
  <c r="H7430" i="15"/>
  <c r="H7431" i="15"/>
  <c r="H7432" i="15"/>
  <c r="H7433" i="15"/>
  <c r="H7434" i="15"/>
  <c r="H7435" i="15"/>
  <c r="H7436" i="15"/>
  <c r="H7437" i="15"/>
  <c r="H7438" i="15"/>
  <c r="H7439" i="15"/>
  <c r="H7440" i="15"/>
  <c r="H7441" i="15"/>
  <c r="H7442" i="15"/>
  <c r="H7443" i="15"/>
  <c r="H7444" i="15"/>
  <c r="H7445" i="15"/>
  <c r="H7446" i="15"/>
  <c r="H7447" i="15"/>
  <c r="H7448" i="15"/>
  <c r="H7449" i="15"/>
  <c r="H7450" i="15"/>
  <c r="H7451" i="15"/>
  <c r="H7452" i="15"/>
  <c r="H7453" i="15"/>
  <c r="H7454" i="15"/>
  <c r="H7455" i="15"/>
  <c r="H7456" i="15"/>
  <c r="H7457" i="15"/>
  <c r="H7458" i="15"/>
  <c r="H7459" i="15"/>
  <c r="H7460" i="15"/>
  <c r="H7461" i="15"/>
  <c r="H7462" i="15"/>
  <c r="H7463" i="15"/>
  <c r="H7464" i="15"/>
  <c r="H7465" i="15"/>
  <c r="H7466" i="15"/>
  <c r="H7467" i="15"/>
  <c r="H7468" i="15"/>
  <c r="H7469" i="15"/>
  <c r="H7470" i="15"/>
  <c r="H7471" i="15"/>
  <c r="H7472" i="15"/>
  <c r="H7473" i="15"/>
  <c r="H7474" i="15"/>
  <c r="H7475" i="15"/>
  <c r="H7476" i="15"/>
  <c r="H7477" i="15"/>
  <c r="H7478" i="15"/>
  <c r="H7479" i="15"/>
  <c r="H7480" i="15"/>
  <c r="H7481" i="15"/>
  <c r="H7482" i="15"/>
  <c r="H7483" i="15"/>
  <c r="H7484" i="15"/>
  <c r="H7485" i="15"/>
  <c r="H7486" i="15"/>
  <c r="H7487" i="15"/>
  <c r="H7488" i="15"/>
  <c r="H7489" i="15"/>
  <c r="H7490" i="15"/>
  <c r="H7491" i="15"/>
  <c r="H7492" i="15"/>
  <c r="H7493" i="15"/>
  <c r="H7494" i="15"/>
  <c r="H7495" i="15"/>
  <c r="H7496" i="15"/>
  <c r="H7497" i="15"/>
  <c r="H7498" i="15"/>
  <c r="H7499" i="15"/>
  <c r="H7500" i="15"/>
  <c r="H7501" i="15"/>
  <c r="H7502" i="15"/>
  <c r="H7503" i="15"/>
  <c r="H7504" i="15"/>
  <c r="H7505" i="15"/>
  <c r="H7506" i="15"/>
  <c r="H7507" i="15"/>
  <c r="H7508" i="15"/>
  <c r="H7509" i="15"/>
  <c r="H7510" i="15"/>
  <c r="H7511" i="15"/>
  <c r="H7512" i="15"/>
  <c r="H7513" i="15"/>
  <c r="H7514" i="15"/>
  <c r="H7515" i="15"/>
  <c r="H7516" i="15"/>
  <c r="H7517" i="15"/>
  <c r="H7518" i="15"/>
  <c r="H7519" i="15"/>
  <c r="H7520" i="15"/>
  <c r="H7521" i="15"/>
  <c r="H7522" i="15"/>
  <c r="H7523" i="15"/>
  <c r="H7524" i="15"/>
  <c r="H7525" i="15"/>
  <c r="H7526" i="15"/>
  <c r="H7527" i="15"/>
  <c r="H7528" i="15"/>
  <c r="H7529" i="15"/>
  <c r="H7530" i="15"/>
  <c r="H7531" i="15"/>
  <c r="H7532" i="15"/>
  <c r="H7533" i="15"/>
  <c r="H7534" i="15"/>
  <c r="H7535" i="15"/>
  <c r="H7536" i="15"/>
  <c r="H7537" i="15"/>
  <c r="H7538" i="15"/>
  <c r="H7539" i="15"/>
  <c r="H7540" i="15"/>
  <c r="H7541" i="15"/>
  <c r="H7542" i="15"/>
  <c r="H7543" i="15"/>
  <c r="H7544" i="15"/>
  <c r="H7545" i="15"/>
  <c r="H7546" i="15"/>
  <c r="H7547" i="15"/>
  <c r="H7548" i="15"/>
  <c r="H7549" i="15"/>
  <c r="H7550" i="15"/>
  <c r="H7551" i="15"/>
  <c r="H7552" i="15"/>
  <c r="H7553" i="15"/>
  <c r="H7554" i="15"/>
  <c r="H7555" i="15"/>
  <c r="H7556" i="15"/>
  <c r="H7557" i="15"/>
  <c r="H7558" i="15"/>
  <c r="H7559" i="15"/>
  <c r="H7560" i="15"/>
  <c r="H7561" i="15"/>
  <c r="H7562" i="15"/>
  <c r="H7563" i="15"/>
  <c r="H7564" i="15"/>
  <c r="H7565" i="15"/>
  <c r="H7566" i="15"/>
  <c r="H7567" i="15"/>
  <c r="H7568" i="15"/>
  <c r="H7569" i="15"/>
  <c r="H7570" i="15"/>
  <c r="H7571" i="15"/>
  <c r="H7572" i="15"/>
  <c r="H7573" i="15"/>
  <c r="H7574" i="15"/>
  <c r="H7575" i="15"/>
  <c r="H7576" i="15"/>
  <c r="H7577" i="15"/>
  <c r="H7578" i="15"/>
  <c r="H7579" i="15"/>
  <c r="H7580" i="15"/>
  <c r="H7581" i="15"/>
  <c r="H7582" i="15"/>
  <c r="H7583" i="15"/>
  <c r="H7584" i="15"/>
  <c r="H7585" i="15"/>
  <c r="H7586" i="15"/>
  <c r="H7587" i="15"/>
  <c r="H7588" i="15"/>
  <c r="H7589" i="15"/>
  <c r="H7590" i="15"/>
  <c r="H7591" i="15"/>
  <c r="H7592" i="15"/>
  <c r="H7593" i="15"/>
  <c r="H7594" i="15"/>
  <c r="H7595" i="15"/>
  <c r="H7596" i="15"/>
  <c r="H7597" i="15"/>
  <c r="H7598" i="15"/>
  <c r="H7599" i="15"/>
  <c r="H7600" i="15"/>
  <c r="H7601" i="15"/>
  <c r="H7602" i="15"/>
  <c r="H7603" i="15"/>
  <c r="H7604" i="15"/>
  <c r="H7605" i="15"/>
  <c r="H7606" i="15"/>
  <c r="H7607" i="15"/>
  <c r="H7608" i="15"/>
  <c r="H7609" i="15"/>
  <c r="H7610" i="15"/>
  <c r="H7611" i="15"/>
  <c r="H7612" i="15"/>
  <c r="H7613" i="15"/>
  <c r="H7614" i="15"/>
  <c r="H7615" i="15"/>
  <c r="H7616" i="15"/>
  <c r="H7617" i="15"/>
  <c r="H7618" i="15"/>
  <c r="H7619" i="15"/>
  <c r="H7620" i="15"/>
  <c r="H7621" i="15"/>
  <c r="H7622" i="15"/>
  <c r="H7623" i="15"/>
  <c r="H7624" i="15"/>
  <c r="H7625" i="15"/>
  <c r="H7626" i="15"/>
  <c r="H7627" i="15"/>
  <c r="H7628" i="15"/>
  <c r="H7629" i="15"/>
  <c r="H7630" i="15"/>
  <c r="H7631" i="15"/>
  <c r="H7632" i="15"/>
  <c r="H7633" i="15"/>
  <c r="H7634" i="15"/>
  <c r="H7635" i="15"/>
  <c r="H7636" i="15"/>
  <c r="H7637" i="15"/>
  <c r="H7638" i="15"/>
  <c r="H7639" i="15"/>
  <c r="H7640" i="15"/>
  <c r="H7641" i="15"/>
  <c r="H7642" i="15"/>
  <c r="H7643" i="15"/>
  <c r="H7644" i="15"/>
  <c r="H7645" i="15"/>
  <c r="H7646" i="15"/>
  <c r="H7647" i="15"/>
  <c r="H7648" i="15"/>
  <c r="H7649" i="15"/>
  <c r="H7650" i="15"/>
  <c r="H7651" i="15"/>
  <c r="H7652" i="15"/>
  <c r="H7653" i="15"/>
  <c r="H7654" i="15"/>
  <c r="H7655" i="15"/>
  <c r="H7656" i="15"/>
  <c r="H7657" i="15"/>
  <c r="H7658" i="15"/>
  <c r="H7659" i="15"/>
  <c r="H7660" i="15"/>
  <c r="H7661" i="15"/>
  <c r="H7662" i="15"/>
  <c r="H7663" i="15"/>
  <c r="H7664" i="15"/>
  <c r="H7665" i="15"/>
  <c r="H7666" i="15"/>
  <c r="H7667" i="15"/>
  <c r="H7668" i="15"/>
  <c r="H7669" i="15"/>
  <c r="H7670" i="15"/>
  <c r="H7671" i="15"/>
  <c r="H7672" i="15"/>
  <c r="H7673" i="15"/>
  <c r="H7674" i="15"/>
  <c r="H7675" i="15"/>
  <c r="H7676" i="15"/>
  <c r="H7677" i="15"/>
  <c r="H7678" i="15"/>
  <c r="H7679" i="15"/>
  <c r="H7680" i="15"/>
  <c r="H7681" i="15"/>
  <c r="H7682" i="15"/>
  <c r="H7683" i="15"/>
  <c r="H7684" i="15"/>
  <c r="H7685" i="15"/>
  <c r="H7686" i="15"/>
  <c r="H7687" i="15"/>
  <c r="H7688" i="15"/>
  <c r="H7689" i="15"/>
  <c r="H7690" i="15"/>
  <c r="H7691" i="15"/>
  <c r="H7692" i="15"/>
  <c r="H7693" i="15"/>
  <c r="H7694" i="15"/>
  <c r="H7695" i="15"/>
  <c r="H7696" i="15"/>
  <c r="H7697" i="15"/>
  <c r="H7698" i="15"/>
  <c r="H7699" i="15"/>
  <c r="H7700" i="15"/>
  <c r="H7701" i="15"/>
  <c r="H7702" i="15"/>
  <c r="H7703" i="15"/>
  <c r="H7704" i="15"/>
  <c r="H7705" i="15"/>
  <c r="H7706" i="15"/>
  <c r="H7707" i="15"/>
  <c r="H7708" i="15"/>
  <c r="H7709" i="15"/>
  <c r="H7710" i="15"/>
  <c r="H7711" i="15"/>
  <c r="H7712" i="15"/>
  <c r="H7713" i="15"/>
  <c r="H7714" i="15"/>
  <c r="H7715" i="15"/>
  <c r="H7716" i="15"/>
  <c r="H7717" i="15"/>
  <c r="H7718" i="15"/>
  <c r="H7719" i="15"/>
  <c r="H7720" i="15"/>
  <c r="H7721" i="15"/>
  <c r="H7722" i="15"/>
  <c r="H7723" i="15"/>
  <c r="H7724" i="15"/>
  <c r="H7725" i="15"/>
  <c r="H7726" i="15"/>
  <c r="H7727" i="15"/>
  <c r="H7728" i="15"/>
  <c r="H7729" i="15"/>
  <c r="H7730" i="15"/>
  <c r="H7731" i="15"/>
  <c r="H7732" i="15"/>
  <c r="H7733" i="15"/>
  <c r="H7734" i="15"/>
  <c r="H7735" i="15"/>
  <c r="H7736" i="15"/>
  <c r="H7737" i="15"/>
  <c r="H7738" i="15"/>
  <c r="H7739" i="15"/>
  <c r="H7740" i="15"/>
  <c r="H7741" i="15"/>
  <c r="H7742" i="15"/>
  <c r="H7743" i="15"/>
  <c r="H7744" i="15"/>
  <c r="H7745" i="15"/>
  <c r="H7746" i="15"/>
  <c r="H7747" i="15"/>
  <c r="H7748" i="15"/>
  <c r="H7749" i="15"/>
  <c r="H7750" i="15"/>
  <c r="H7751" i="15"/>
  <c r="H7752" i="15"/>
  <c r="H7753" i="15"/>
  <c r="H7754" i="15"/>
  <c r="H7755" i="15"/>
  <c r="H7756" i="15"/>
  <c r="H7757" i="15"/>
  <c r="H7758" i="15"/>
  <c r="H7759" i="15"/>
  <c r="H7760" i="15"/>
  <c r="H7761" i="15"/>
  <c r="H7762" i="15"/>
  <c r="H7763" i="15"/>
  <c r="H7764" i="15"/>
  <c r="H7765" i="15"/>
  <c r="H7766" i="15"/>
  <c r="H7767" i="15"/>
  <c r="H7768" i="15"/>
  <c r="H7769" i="15"/>
  <c r="H7770" i="15"/>
  <c r="H7771" i="15"/>
  <c r="H7772" i="15"/>
  <c r="H7773" i="15"/>
  <c r="H7774" i="15"/>
  <c r="H7775" i="15"/>
  <c r="H7776" i="15"/>
  <c r="H7777" i="15"/>
  <c r="H7778" i="15"/>
  <c r="H7779" i="15"/>
  <c r="H7780" i="15"/>
  <c r="H7781" i="15"/>
  <c r="H7782" i="15"/>
  <c r="H7783" i="15"/>
  <c r="H7784" i="15"/>
  <c r="H7785" i="15"/>
  <c r="H7786" i="15"/>
  <c r="H7787" i="15"/>
  <c r="H7788" i="15"/>
  <c r="H7789" i="15"/>
  <c r="H7790" i="15"/>
  <c r="H7791" i="15"/>
  <c r="H7792" i="15"/>
  <c r="H7793" i="15"/>
  <c r="H7794" i="15"/>
  <c r="H7795" i="15"/>
  <c r="H7796" i="15"/>
  <c r="H7797" i="15"/>
  <c r="H7798" i="15"/>
  <c r="H7799" i="15"/>
  <c r="H7800" i="15"/>
  <c r="H7801" i="15"/>
  <c r="H7802" i="15"/>
  <c r="H7803" i="15"/>
  <c r="H7804" i="15"/>
  <c r="H7805" i="15"/>
  <c r="H7806" i="15"/>
  <c r="H7807" i="15"/>
  <c r="H7808" i="15"/>
  <c r="H7809" i="15"/>
  <c r="H7810" i="15"/>
  <c r="H7811" i="15"/>
  <c r="H7812" i="15"/>
  <c r="H7813" i="15"/>
  <c r="H7814" i="15"/>
  <c r="H7815" i="15"/>
  <c r="H7816" i="15"/>
  <c r="H7817" i="15"/>
  <c r="H7818" i="15"/>
  <c r="H7819" i="15"/>
  <c r="H7820" i="15"/>
  <c r="H7821" i="15"/>
  <c r="H7822" i="15"/>
  <c r="H7823" i="15"/>
  <c r="H7824" i="15"/>
  <c r="H7825" i="15"/>
  <c r="H7826" i="15"/>
  <c r="H7827" i="15"/>
  <c r="H7828" i="15"/>
  <c r="H7829" i="15"/>
  <c r="H7830" i="15"/>
  <c r="H7831" i="15"/>
  <c r="H7832" i="15"/>
  <c r="H7833" i="15"/>
  <c r="H7834" i="15"/>
  <c r="H7835" i="15"/>
  <c r="H7836" i="15"/>
  <c r="H7837" i="15"/>
  <c r="H7838" i="15"/>
  <c r="H7839" i="15"/>
  <c r="H7840" i="15"/>
  <c r="H7841" i="15"/>
  <c r="H7842" i="15"/>
  <c r="H7843" i="15"/>
  <c r="H7844" i="15"/>
  <c r="H7845" i="15"/>
  <c r="H7846" i="15"/>
  <c r="H7847" i="15"/>
  <c r="H7848" i="15"/>
  <c r="H7849" i="15"/>
  <c r="H7850" i="15"/>
  <c r="H7851" i="15"/>
  <c r="H7852" i="15"/>
  <c r="H7853" i="15"/>
  <c r="H7854" i="15"/>
  <c r="H7855" i="15"/>
  <c r="H7856" i="15"/>
  <c r="H7857" i="15"/>
  <c r="H7858" i="15"/>
  <c r="H7859" i="15"/>
  <c r="H7860" i="15"/>
  <c r="H7861" i="15"/>
  <c r="H7862" i="15"/>
  <c r="H7863" i="15"/>
  <c r="H7864" i="15"/>
  <c r="H7865" i="15"/>
  <c r="H7866" i="15"/>
  <c r="H7867" i="15"/>
  <c r="H7868" i="15"/>
  <c r="H7869" i="15"/>
  <c r="H7870" i="15"/>
  <c r="H7871" i="15"/>
  <c r="H7872" i="15"/>
  <c r="H7873" i="15"/>
  <c r="H7874" i="15"/>
  <c r="H7875" i="15"/>
  <c r="H7876" i="15"/>
  <c r="H7877" i="15"/>
  <c r="H7878" i="15"/>
  <c r="H7879" i="15"/>
  <c r="H7880" i="15"/>
  <c r="H7881" i="15"/>
  <c r="H7882" i="15"/>
  <c r="H7883" i="15"/>
  <c r="H7884" i="15"/>
  <c r="H7885" i="15"/>
  <c r="H7886" i="15"/>
  <c r="H7887" i="15"/>
  <c r="H7888" i="15"/>
  <c r="H7889" i="15"/>
  <c r="H7890" i="15"/>
  <c r="H7891" i="15"/>
  <c r="H7892" i="15"/>
  <c r="H7893" i="15"/>
  <c r="H7894" i="15"/>
  <c r="H7895" i="15"/>
  <c r="H7896" i="15"/>
  <c r="H7897" i="15"/>
  <c r="H7898" i="15"/>
  <c r="H7899" i="15"/>
  <c r="H7900" i="15"/>
  <c r="H7901" i="15"/>
  <c r="H7902" i="15"/>
  <c r="H7903" i="15"/>
  <c r="H7904" i="15"/>
  <c r="H7905" i="15"/>
  <c r="H7906" i="15"/>
  <c r="H7907" i="15"/>
  <c r="H7908" i="15"/>
  <c r="H7909" i="15"/>
  <c r="H7910" i="15"/>
  <c r="H7911" i="15"/>
  <c r="H7912" i="15"/>
  <c r="H7913" i="15"/>
  <c r="H7914" i="15"/>
  <c r="H7915" i="15"/>
  <c r="H7916" i="15"/>
  <c r="H7917" i="15"/>
  <c r="H7918" i="15"/>
  <c r="H7919" i="15"/>
  <c r="H7920" i="15"/>
  <c r="H7921" i="15"/>
  <c r="H7922" i="15"/>
  <c r="H7923" i="15"/>
  <c r="H7924" i="15"/>
  <c r="H7925" i="15"/>
  <c r="H7926" i="15"/>
  <c r="H7927" i="15"/>
  <c r="H7928" i="15"/>
  <c r="H7929" i="15"/>
  <c r="H7930" i="15"/>
  <c r="H7931" i="15"/>
  <c r="H7932" i="15"/>
  <c r="H7933" i="15"/>
  <c r="H7934" i="15"/>
  <c r="H7935" i="15"/>
  <c r="H7936" i="15"/>
  <c r="H7937" i="15"/>
  <c r="H7938" i="15"/>
  <c r="H7939" i="15"/>
  <c r="H7940" i="15"/>
  <c r="H7941" i="15"/>
  <c r="H7942" i="15"/>
  <c r="H7943" i="15"/>
  <c r="H7944" i="15"/>
  <c r="H7945" i="15"/>
  <c r="H7946" i="15"/>
  <c r="H7947" i="15"/>
  <c r="H7948" i="15"/>
  <c r="H7949" i="15"/>
  <c r="H7950" i="15"/>
  <c r="H7951" i="15"/>
  <c r="H7952" i="15"/>
  <c r="H7953" i="15"/>
  <c r="H7954" i="15"/>
  <c r="H7955" i="15"/>
  <c r="H7956" i="15"/>
  <c r="H7957" i="15"/>
  <c r="H7958" i="15"/>
  <c r="H7959" i="15"/>
  <c r="H7960" i="15"/>
  <c r="H7961" i="15"/>
  <c r="H7962" i="15"/>
  <c r="H7963" i="15"/>
  <c r="H7964" i="15"/>
  <c r="H7965" i="15"/>
  <c r="H7966" i="15"/>
  <c r="H7967" i="15"/>
  <c r="H7968" i="15"/>
  <c r="H7969" i="15"/>
  <c r="H7970" i="15"/>
  <c r="H7971" i="15"/>
  <c r="H7972" i="15"/>
  <c r="H7973" i="15"/>
  <c r="H7974" i="15"/>
  <c r="H7975" i="15"/>
  <c r="H7976" i="15"/>
  <c r="H7977" i="15"/>
  <c r="H7978" i="15"/>
  <c r="H7979" i="15"/>
  <c r="H7980" i="15"/>
  <c r="H7981" i="15"/>
  <c r="H7982" i="15"/>
  <c r="H7983" i="15"/>
  <c r="H7984" i="15"/>
  <c r="H7985" i="15"/>
  <c r="H7986" i="15"/>
  <c r="H7987" i="15"/>
  <c r="H7988" i="15"/>
  <c r="H7989" i="15"/>
  <c r="H7990" i="15"/>
  <c r="H7991" i="15"/>
  <c r="H7992" i="15"/>
  <c r="H7993" i="15"/>
  <c r="H7994" i="15"/>
  <c r="H7995" i="15"/>
  <c r="H7996" i="15"/>
  <c r="H7997" i="15"/>
  <c r="H7998" i="15"/>
  <c r="H7999" i="15"/>
  <c r="H8000" i="15"/>
  <c r="H8001" i="15"/>
  <c r="H8002" i="15"/>
  <c r="H8003" i="15"/>
  <c r="H8004" i="15"/>
  <c r="H8005" i="15"/>
  <c r="H8006" i="15"/>
  <c r="H8007" i="15"/>
  <c r="H8008" i="15"/>
  <c r="H8009" i="15"/>
  <c r="H8010" i="15"/>
  <c r="H8011" i="15"/>
  <c r="H8012" i="15"/>
  <c r="H8013" i="15"/>
  <c r="H8014" i="15"/>
  <c r="H8015" i="15"/>
  <c r="H8016" i="15"/>
  <c r="H8017" i="15"/>
  <c r="H8018" i="15"/>
  <c r="H8019" i="15"/>
  <c r="H8020" i="15"/>
  <c r="H8021" i="15"/>
  <c r="H8022" i="15"/>
  <c r="H8023" i="15"/>
  <c r="H8024" i="15"/>
  <c r="H8025" i="15"/>
  <c r="H8026" i="15"/>
  <c r="H8027" i="15"/>
  <c r="H8028" i="15"/>
  <c r="H8029" i="15"/>
  <c r="H8030" i="15"/>
  <c r="H8031" i="15"/>
  <c r="H8032" i="15"/>
  <c r="H8033" i="15"/>
  <c r="H8034" i="15"/>
  <c r="H8035" i="15"/>
  <c r="H8036" i="15"/>
  <c r="H8037" i="15"/>
  <c r="H8038" i="15"/>
  <c r="H8039" i="15"/>
  <c r="H8040" i="15"/>
  <c r="H8041" i="15"/>
  <c r="H8042" i="15"/>
  <c r="H8043" i="15"/>
  <c r="H8044" i="15"/>
  <c r="H8045" i="15"/>
  <c r="H8046" i="15"/>
  <c r="H8047" i="15"/>
  <c r="H8048" i="15"/>
  <c r="H8049" i="15"/>
  <c r="H8050" i="15"/>
  <c r="H8051" i="15"/>
  <c r="H8052" i="15"/>
  <c r="H8053" i="15"/>
  <c r="H8054" i="15"/>
  <c r="H8055" i="15"/>
  <c r="H8056" i="15"/>
  <c r="H8057" i="15"/>
  <c r="H8058" i="15"/>
  <c r="H8059" i="15"/>
  <c r="H8060" i="15"/>
  <c r="H8061" i="15"/>
  <c r="H8062" i="15"/>
  <c r="H8063" i="15"/>
  <c r="H8064" i="15"/>
  <c r="H8065" i="15"/>
  <c r="H8066" i="15"/>
  <c r="H8067" i="15"/>
  <c r="H8068" i="15"/>
  <c r="H8069" i="15"/>
  <c r="H8070" i="15"/>
  <c r="H8071" i="15"/>
  <c r="H8072" i="15"/>
  <c r="H8073" i="15"/>
  <c r="H8074" i="15"/>
  <c r="H8075" i="15"/>
  <c r="H8076" i="15"/>
  <c r="H8077" i="15"/>
  <c r="H8078" i="15"/>
  <c r="H8079" i="15"/>
  <c r="H8080" i="15"/>
  <c r="H8081" i="15"/>
  <c r="H8082" i="15"/>
  <c r="H8083" i="15"/>
  <c r="H8084" i="15"/>
  <c r="H8085" i="15"/>
  <c r="H8086" i="15"/>
  <c r="H8087" i="15"/>
  <c r="H8088" i="15"/>
  <c r="H8089" i="15"/>
  <c r="H8090" i="15"/>
  <c r="H8091" i="15"/>
  <c r="H8092" i="15"/>
  <c r="H8093" i="15"/>
  <c r="H8094" i="15"/>
  <c r="H8095" i="15"/>
  <c r="H8096" i="15"/>
  <c r="H8097" i="15"/>
  <c r="H8098" i="15"/>
  <c r="H8099" i="15"/>
  <c r="H8100" i="15"/>
  <c r="H8101" i="15"/>
  <c r="H8102" i="15"/>
  <c r="H8103" i="15"/>
  <c r="H8104" i="15"/>
  <c r="H8105" i="15"/>
  <c r="H8106" i="15"/>
  <c r="H8107" i="15"/>
  <c r="H8108" i="15"/>
  <c r="H8109" i="15"/>
  <c r="H8110" i="15"/>
  <c r="H8111" i="15"/>
  <c r="H8112" i="15"/>
  <c r="H8113" i="15"/>
  <c r="H8114" i="15"/>
  <c r="H8115" i="15"/>
  <c r="H8116" i="15"/>
  <c r="H8117" i="15"/>
  <c r="H8118" i="15"/>
  <c r="H8119" i="15"/>
  <c r="H8120" i="15"/>
  <c r="H8121" i="15"/>
  <c r="H8122" i="15"/>
  <c r="H8123" i="15"/>
  <c r="H8124" i="15"/>
  <c r="H8125" i="15"/>
  <c r="H8126" i="15"/>
  <c r="H8127" i="15"/>
  <c r="H8128" i="15"/>
  <c r="H8129" i="15"/>
  <c r="H8130" i="15"/>
  <c r="H8131" i="15"/>
  <c r="H8132" i="15"/>
  <c r="H8133" i="15"/>
  <c r="H8134" i="15"/>
  <c r="H8135" i="15"/>
  <c r="H8136" i="15"/>
  <c r="H8137" i="15"/>
  <c r="H8138" i="15"/>
  <c r="H8139" i="15"/>
  <c r="H8140" i="15"/>
  <c r="H8141" i="15"/>
  <c r="H8142" i="15"/>
  <c r="H8143" i="15"/>
  <c r="H8144" i="15"/>
  <c r="H8145" i="15"/>
  <c r="H8146" i="15"/>
  <c r="H8147" i="15"/>
  <c r="H8148" i="15"/>
  <c r="H8149" i="15"/>
  <c r="H8150" i="15"/>
  <c r="H8151" i="15"/>
  <c r="H8152" i="15"/>
  <c r="H8153" i="15"/>
  <c r="H8154" i="15"/>
  <c r="H8155" i="15"/>
  <c r="H8156" i="15"/>
  <c r="H8157" i="15"/>
  <c r="H8158" i="15"/>
  <c r="H8159" i="15"/>
  <c r="H8160" i="15"/>
  <c r="H8161" i="15"/>
  <c r="H8162" i="15"/>
  <c r="H8163" i="15"/>
  <c r="H8164" i="15"/>
  <c r="H8165" i="15"/>
  <c r="H8166" i="15"/>
  <c r="H8167" i="15"/>
  <c r="H8168" i="15"/>
  <c r="H8169" i="15"/>
  <c r="H8170" i="15"/>
  <c r="H8171" i="15"/>
  <c r="H8172" i="15"/>
  <c r="H8173" i="15"/>
  <c r="H8174" i="15"/>
  <c r="H8175" i="15"/>
  <c r="H8176" i="15"/>
  <c r="H8177" i="15"/>
  <c r="H8178" i="15"/>
  <c r="H8179" i="15"/>
  <c r="H8180" i="15"/>
  <c r="H8181" i="15"/>
  <c r="H8182" i="15"/>
  <c r="H8183" i="15"/>
  <c r="H8184" i="15"/>
  <c r="H8185" i="15"/>
  <c r="H8186" i="15"/>
  <c r="H8187" i="15"/>
  <c r="H8188" i="15"/>
  <c r="H8189" i="15"/>
  <c r="H8190" i="15"/>
  <c r="H8191" i="15"/>
  <c r="H8192" i="15"/>
  <c r="H8193" i="15"/>
  <c r="H8194" i="15"/>
  <c r="H8195" i="15"/>
  <c r="H8196" i="15"/>
  <c r="H8197" i="15"/>
  <c r="H8198" i="15"/>
  <c r="H8199" i="15"/>
  <c r="H8200" i="15"/>
  <c r="H8201" i="15"/>
  <c r="H8202" i="15"/>
  <c r="H8203" i="15"/>
  <c r="H8204" i="15"/>
  <c r="H8205" i="15"/>
  <c r="H8206" i="15"/>
  <c r="H8207" i="15"/>
  <c r="H8208" i="15"/>
  <c r="H8209" i="15"/>
  <c r="H8210" i="15"/>
  <c r="H8211" i="15"/>
  <c r="H8212" i="15"/>
  <c r="H8213" i="15"/>
  <c r="H8214" i="15"/>
  <c r="H8215" i="15"/>
  <c r="H8216" i="15"/>
  <c r="H8217" i="15"/>
  <c r="H8218" i="15"/>
  <c r="H8219" i="15"/>
  <c r="H8220" i="15"/>
  <c r="H8221" i="15"/>
  <c r="H8222" i="15"/>
  <c r="H8223" i="15"/>
  <c r="H8224" i="15"/>
  <c r="H8225" i="15"/>
  <c r="H8226" i="15"/>
  <c r="H8227" i="15"/>
  <c r="H8228" i="15"/>
  <c r="H8229" i="15"/>
  <c r="H8230" i="15"/>
  <c r="H8231" i="15"/>
  <c r="H8232" i="15"/>
  <c r="H8233" i="15"/>
  <c r="H8234" i="15"/>
  <c r="H8235" i="15"/>
  <c r="H8236" i="15"/>
  <c r="H8237" i="15"/>
  <c r="H8238" i="15"/>
  <c r="H8239" i="15"/>
  <c r="H8240" i="15"/>
  <c r="H8241" i="15"/>
  <c r="H8242" i="15"/>
  <c r="H8243" i="15"/>
  <c r="H8244" i="15"/>
  <c r="H8245" i="15"/>
  <c r="H8246" i="15"/>
  <c r="H8247" i="15"/>
  <c r="H8248" i="15"/>
  <c r="H8249" i="15"/>
  <c r="H8250" i="15"/>
  <c r="H8251" i="15"/>
  <c r="H8252" i="15"/>
  <c r="H8253" i="15"/>
  <c r="H8254" i="15"/>
  <c r="H8255" i="15"/>
  <c r="H8256" i="15"/>
  <c r="H8257" i="15"/>
  <c r="H8258" i="15"/>
  <c r="H8259" i="15"/>
  <c r="H8260" i="15"/>
  <c r="H8261" i="15"/>
  <c r="H8262" i="15"/>
  <c r="H8263" i="15"/>
  <c r="H8264" i="15"/>
  <c r="H8265" i="15"/>
  <c r="H8266" i="15"/>
  <c r="H8267" i="15"/>
  <c r="H8268" i="15"/>
  <c r="H8269" i="15"/>
  <c r="H8270" i="15"/>
  <c r="H8271" i="15"/>
  <c r="H8272" i="15"/>
  <c r="H8273" i="15"/>
  <c r="H8274" i="15"/>
  <c r="H8275" i="15"/>
  <c r="H8276" i="15"/>
  <c r="H8277" i="15"/>
  <c r="H8278" i="15"/>
  <c r="H8279" i="15"/>
  <c r="H8280" i="15"/>
  <c r="H8281" i="15"/>
  <c r="H8282" i="15"/>
  <c r="H8283" i="15"/>
  <c r="H8284" i="15"/>
  <c r="H8285" i="15"/>
  <c r="H8286" i="15"/>
  <c r="H8287" i="15"/>
  <c r="H8288" i="15"/>
  <c r="H8289" i="15"/>
  <c r="H8290" i="15"/>
  <c r="H8291" i="15"/>
  <c r="H8292" i="15"/>
  <c r="H8293" i="15"/>
  <c r="H8294" i="15"/>
  <c r="H8295" i="15"/>
  <c r="H8296" i="15"/>
  <c r="H8297" i="15"/>
  <c r="H8298" i="15"/>
  <c r="H8299" i="15"/>
  <c r="H8300" i="15"/>
  <c r="H8301" i="15"/>
  <c r="H8302" i="15"/>
  <c r="H8303" i="15"/>
  <c r="H8304" i="15"/>
  <c r="H8305" i="15"/>
  <c r="H8306" i="15"/>
  <c r="H8307" i="15"/>
  <c r="H8308" i="15"/>
  <c r="H8309" i="15"/>
  <c r="H8310" i="15"/>
  <c r="H8311" i="15"/>
  <c r="H8312" i="15"/>
  <c r="H8313" i="15"/>
  <c r="H8314" i="15"/>
  <c r="H8315" i="15"/>
  <c r="H8316" i="15"/>
  <c r="H8317" i="15"/>
  <c r="H8318" i="15"/>
  <c r="H8319" i="15"/>
  <c r="H8320" i="15"/>
  <c r="H8321" i="15"/>
  <c r="H8322" i="15"/>
  <c r="H8323" i="15"/>
  <c r="H8324" i="15"/>
  <c r="H8325" i="15"/>
  <c r="H8326" i="15"/>
  <c r="H8327" i="15"/>
  <c r="H8328" i="15"/>
  <c r="H8329" i="15"/>
  <c r="H8330" i="15"/>
  <c r="H8331" i="15"/>
  <c r="H8332" i="15"/>
  <c r="H8333" i="15"/>
  <c r="H8334" i="15"/>
  <c r="H8335" i="15"/>
  <c r="H8336" i="15"/>
  <c r="H8337" i="15"/>
  <c r="H8338" i="15"/>
  <c r="H8339" i="15"/>
  <c r="H8340" i="15"/>
  <c r="H8341" i="15"/>
  <c r="H8342" i="15"/>
  <c r="H8343" i="15"/>
  <c r="H8344" i="15"/>
  <c r="H8345" i="15"/>
  <c r="H8346" i="15"/>
  <c r="H8347" i="15"/>
  <c r="H8348" i="15"/>
  <c r="H8349" i="15"/>
  <c r="H8350" i="15"/>
  <c r="H8351" i="15"/>
  <c r="H8352" i="15"/>
  <c r="H8353" i="15"/>
  <c r="H8354" i="15"/>
  <c r="H8355" i="15"/>
  <c r="H8356" i="15"/>
  <c r="H8357" i="15"/>
  <c r="H8358" i="15"/>
  <c r="H8359" i="15"/>
  <c r="H8360" i="15"/>
  <c r="H8361" i="15"/>
  <c r="H8362" i="15"/>
  <c r="H8363" i="15"/>
  <c r="H8364" i="15"/>
  <c r="H8365" i="15"/>
  <c r="H8366" i="15"/>
  <c r="H8367" i="15"/>
  <c r="H8368" i="15"/>
  <c r="H8369" i="15"/>
  <c r="H8370" i="15"/>
  <c r="H8371" i="15"/>
  <c r="H8372" i="15"/>
  <c r="H8373" i="15"/>
  <c r="H8374" i="15"/>
  <c r="H8375" i="15"/>
  <c r="H8376" i="15"/>
  <c r="H8377" i="15"/>
  <c r="H8378" i="15"/>
  <c r="H8379" i="15"/>
  <c r="H8380" i="15"/>
  <c r="H8381" i="15"/>
  <c r="H8382" i="15"/>
  <c r="H8383" i="15"/>
  <c r="H8384" i="15"/>
  <c r="H8385" i="15"/>
  <c r="H8386" i="15"/>
  <c r="H8387" i="15"/>
  <c r="H8388" i="15"/>
  <c r="H8389" i="15"/>
  <c r="H8390" i="15"/>
  <c r="H8391" i="15"/>
  <c r="H8392" i="15"/>
  <c r="H8393" i="15"/>
  <c r="H8394" i="15"/>
  <c r="H8395" i="15"/>
  <c r="H8396" i="15"/>
  <c r="H8397" i="15"/>
  <c r="H8398" i="15"/>
  <c r="H8399" i="15"/>
  <c r="H8400" i="15"/>
  <c r="H8401" i="15"/>
  <c r="H8402" i="15"/>
  <c r="H8403" i="15"/>
  <c r="H8404" i="15"/>
  <c r="H8405" i="15"/>
  <c r="H8406" i="15"/>
  <c r="H8407" i="15"/>
  <c r="H8408" i="15"/>
  <c r="H8409" i="15"/>
  <c r="H8410" i="15"/>
  <c r="H8411" i="15"/>
  <c r="H8412" i="15"/>
  <c r="H8413" i="15"/>
  <c r="H8414" i="15"/>
  <c r="H8415" i="15"/>
  <c r="H8416" i="15"/>
  <c r="H8417" i="15"/>
  <c r="H8418" i="15"/>
  <c r="H8419" i="15"/>
  <c r="H8420" i="15"/>
  <c r="H8421" i="15"/>
  <c r="H8422" i="15"/>
  <c r="H8423" i="15"/>
  <c r="H8424" i="15"/>
  <c r="H8425" i="15"/>
  <c r="H8426" i="15"/>
  <c r="H8427" i="15"/>
  <c r="H8428" i="15"/>
  <c r="H8429" i="15"/>
  <c r="H8430" i="15"/>
  <c r="H8431" i="15"/>
  <c r="H8432" i="15"/>
  <c r="H8433" i="15"/>
  <c r="H8434" i="15"/>
  <c r="H8435" i="15"/>
  <c r="H8436" i="15"/>
  <c r="H8437" i="15"/>
  <c r="H8438" i="15"/>
  <c r="H8439" i="15"/>
  <c r="H8440" i="15"/>
  <c r="H8441" i="15"/>
  <c r="H8442" i="15"/>
  <c r="H8443" i="15"/>
  <c r="H8444" i="15"/>
  <c r="H8445" i="15"/>
  <c r="H8446" i="15"/>
  <c r="H8447" i="15"/>
  <c r="H8448" i="15"/>
  <c r="H8449" i="15"/>
  <c r="H8450" i="15"/>
  <c r="H8451" i="15"/>
  <c r="H8452" i="15"/>
  <c r="H8453" i="15"/>
  <c r="H8454" i="15"/>
  <c r="H8455" i="15"/>
  <c r="H8456" i="15"/>
  <c r="H8457" i="15"/>
  <c r="H8458" i="15"/>
  <c r="H8459" i="15"/>
  <c r="H8460" i="15"/>
  <c r="H8461" i="15"/>
  <c r="H8462" i="15"/>
  <c r="H8463" i="15"/>
  <c r="H8464" i="15"/>
  <c r="H8465" i="15"/>
  <c r="H8466" i="15"/>
  <c r="H8467" i="15"/>
  <c r="H8468" i="15"/>
  <c r="H8469" i="15"/>
  <c r="H8470" i="15"/>
  <c r="H8471" i="15"/>
  <c r="H8472" i="15"/>
  <c r="H8473" i="15"/>
  <c r="H8474" i="15"/>
  <c r="H8475" i="15"/>
  <c r="H8476" i="15"/>
  <c r="H8477" i="15"/>
  <c r="H8478" i="15"/>
  <c r="H8479" i="15"/>
  <c r="H8480" i="15"/>
  <c r="H8481" i="15"/>
  <c r="H8482" i="15"/>
  <c r="H8483" i="15"/>
  <c r="H8484" i="15"/>
  <c r="H8485" i="15"/>
  <c r="H8486" i="15"/>
  <c r="H8487" i="15"/>
  <c r="H8488" i="15"/>
  <c r="H8489" i="15"/>
  <c r="H8490" i="15"/>
  <c r="H8491" i="15"/>
  <c r="H8492" i="15"/>
  <c r="H8493" i="15"/>
  <c r="H8494" i="15"/>
  <c r="H8495" i="15"/>
  <c r="H8496" i="15"/>
  <c r="H8497" i="15"/>
  <c r="H8498" i="15"/>
  <c r="H8499" i="15"/>
  <c r="H8500" i="15"/>
  <c r="H8501" i="15"/>
  <c r="H8502" i="15"/>
  <c r="H8503" i="15"/>
  <c r="H8504" i="15"/>
  <c r="H8505" i="15"/>
  <c r="H8506" i="15"/>
  <c r="H8507" i="15"/>
  <c r="H8508" i="15"/>
  <c r="H8509" i="15"/>
  <c r="H8510" i="15"/>
  <c r="H8511" i="15"/>
  <c r="H8512" i="15"/>
  <c r="H8513" i="15"/>
  <c r="H8514" i="15"/>
  <c r="H8515" i="15"/>
  <c r="H8516" i="15"/>
  <c r="H8517" i="15"/>
  <c r="H8518" i="15"/>
  <c r="H8519" i="15"/>
  <c r="H8520" i="15"/>
  <c r="H8521" i="15"/>
  <c r="H8522" i="15"/>
  <c r="H8523" i="15"/>
  <c r="H8524" i="15"/>
  <c r="H8525" i="15"/>
  <c r="H8526" i="15"/>
  <c r="H8527" i="15"/>
  <c r="H8528" i="15"/>
  <c r="H8529" i="15"/>
  <c r="H8530" i="15"/>
  <c r="H8531" i="15"/>
  <c r="H8532" i="15"/>
  <c r="H8533" i="15"/>
  <c r="H8534" i="15"/>
  <c r="H8535" i="15"/>
  <c r="H8536" i="15"/>
  <c r="H8537" i="15"/>
  <c r="H8538" i="15"/>
  <c r="H8539" i="15"/>
  <c r="H8540" i="15"/>
  <c r="H8541" i="15"/>
  <c r="H8542" i="15"/>
  <c r="H8543" i="15"/>
  <c r="H8544" i="15"/>
  <c r="H8545" i="15"/>
  <c r="H8546" i="15"/>
  <c r="H8547" i="15"/>
  <c r="H8548" i="15"/>
  <c r="H8549" i="15"/>
  <c r="H8550" i="15"/>
  <c r="H8551" i="15"/>
  <c r="H8552" i="15"/>
  <c r="H8553" i="15"/>
  <c r="H8554" i="15"/>
  <c r="H8555" i="15"/>
  <c r="H8556" i="15"/>
  <c r="H8557" i="15"/>
  <c r="H8558" i="15"/>
  <c r="H8559" i="15"/>
  <c r="H8560" i="15"/>
  <c r="H8561" i="15"/>
  <c r="H8562" i="15"/>
  <c r="H8563" i="15"/>
  <c r="H8564" i="15"/>
  <c r="H8565" i="15"/>
  <c r="H8566" i="15"/>
  <c r="H8567" i="15"/>
  <c r="H8568" i="15"/>
  <c r="H8569" i="15"/>
  <c r="H8570" i="15"/>
  <c r="H8571" i="15"/>
  <c r="H8572" i="15"/>
  <c r="H8573" i="15"/>
  <c r="H8574" i="15"/>
  <c r="H8575" i="15"/>
  <c r="H8576" i="15"/>
  <c r="H8577" i="15"/>
  <c r="H8578" i="15"/>
  <c r="H8579" i="15"/>
  <c r="H8580" i="15"/>
  <c r="H8581" i="15"/>
  <c r="H8582" i="15"/>
  <c r="H8583" i="15"/>
  <c r="H8584" i="15"/>
  <c r="H8585" i="15"/>
  <c r="H8586" i="15"/>
  <c r="H8587" i="15"/>
  <c r="H8588" i="15"/>
  <c r="H8589" i="15"/>
  <c r="H8590" i="15"/>
  <c r="H8591" i="15"/>
  <c r="H8592" i="15"/>
  <c r="H8593" i="15"/>
  <c r="H8594" i="15"/>
  <c r="H8595" i="15"/>
  <c r="H8596" i="15"/>
  <c r="H8597" i="15"/>
  <c r="H8598" i="15"/>
  <c r="H8599" i="15"/>
  <c r="H8600" i="15"/>
  <c r="H8601" i="15"/>
  <c r="H8602" i="15"/>
  <c r="H8603" i="15"/>
  <c r="H8604" i="15"/>
  <c r="H8605" i="15"/>
  <c r="H8606" i="15"/>
  <c r="H8607" i="15"/>
  <c r="H8608" i="15"/>
  <c r="H8609" i="15"/>
  <c r="H8610" i="15"/>
  <c r="H8611" i="15"/>
  <c r="H8612" i="15"/>
  <c r="H8613" i="15"/>
  <c r="H8614" i="15"/>
  <c r="H8615" i="15"/>
  <c r="H8616" i="15"/>
  <c r="H8617" i="15"/>
  <c r="H8618" i="15"/>
  <c r="H8619" i="15"/>
  <c r="H8620" i="15"/>
  <c r="H8621" i="15"/>
  <c r="H8622" i="15"/>
  <c r="H8623" i="15"/>
  <c r="H8624" i="15"/>
  <c r="H8625" i="15"/>
  <c r="H8626" i="15"/>
  <c r="H8627" i="15"/>
  <c r="H8628" i="15"/>
  <c r="H8629" i="15"/>
  <c r="H8630" i="15"/>
  <c r="H8631" i="15"/>
  <c r="H8632" i="15"/>
  <c r="H8633" i="15"/>
  <c r="H8634" i="15"/>
  <c r="H8635" i="15"/>
  <c r="H8636" i="15"/>
  <c r="H8637" i="15"/>
  <c r="H8638" i="15"/>
  <c r="H8639" i="15"/>
  <c r="H8640" i="15"/>
  <c r="H8641" i="15"/>
  <c r="H8642" i="15"/>
  <c r="H8643" i="15"/>
  <c r="H8644" i="15"/>
  <c r="H8645" i="15"/>
  <c r="H8646" i="15"/>
  <c r="H8647" i="15"/>
  <c r="H8648" i="15"/>
  <c r="H8649" i="15"/>
  <c r="H8650" i="15"/>
  <c r="H8651" i="15"/>
  <c r="H8652" i="15"/>
  <c r="H8653" i="15"/>
  <c r="H8654" i="15"/>
  <c r="H8655" i="15"/>
  <c r="H8656" i="15"/>
  <c r="H8657" i="15"/>
  <c r="H8658" i="15"/>
  <c r="H8659" i="15"/>
  <c r="H8660" i="15"/>
  <c r="H8661" i="15"/>
  <c r="H8662" i="15"/>
  <c r="H8663" i="15"/>
  <c r="H8664" i="15"/>
  <c r="H8665" i="15"/>
  <c r="H8666" i="15"/>
  <c r="H8667" i="15"/>
  <c r="H8668" i="15"/>
  <c r="H8669" i="15"/>
  <c r="H8670" i="15"/>
  <c r="H8671" i="15"/>
  <c r="H8672" i="15"/>
  <c r="H8673" i="15"/>
  <c r="H8674" i="15"/>
  <c r="H8675" i="15"/>
  <c r="H8676" i="15"/>
  <c r="H8677" i="15"/>
  <c r="H8678" i="15"/>
  <c r="H8679" i="15"/>
  <c r="H8680" i="15"/>
  <c r="H8681" i="15"/>
  <c r="H8682" i="15"/>
  <c r="H8683" i="15"/>
  <c r="H8684" i="15"/>
  <c r="H8685" i="15"/>
  <c r="H8686" i="15"/>
  <c r="H8687" i="15"/>
  <c r="H8688" i="15"/>
  <c r="H8689" i="15"/>
  <c r="H8690" i="15"/>
  <c r="H8691" i="15"/>
  <c r="H8692" i="15"/>
  <c r="H8693" i="15"/>
  <c r="H8694" i="15"/>
  <c r="H8695" i="15"/>
  <c r="H8696" i="15"/>
  <c r="H8697" i="15"/>
  <c r="H8698" i="15"/>
  <c r="H8699" i="15"/>
  <c r="H8700" i="15"/>
  <c r="H8701" i="15"/>
  <c r="H8702" i="15"/>
  <c r="H8703" i="15"/>
  <c r="H8704" i="15"/>
  <c r="H8705" i="15"/>
  <c r="H8706" i="15"/>
  <c r="H8707" i="15"/>
  <c r="H8708" i="15"/>
  <c r="H8709" i="15"/>
  <c r="H8710" i="15"/>
  <c r="H8711" i="15"/>
  <c r="H8712" i="15"/>
  <c r="H8713" i="15"/>
  <c r="H8714" i="15"/>
  <c r="H8715" i="15"/>
  <c r="H8716" i="15"/>
  <c r="H8717" i="15"/>
  <c r="H8718" i="15"/>
  <c r="H8719" i="15"/>
  <c r="H8720" i="15"/>
  <c r="H8721" i="15"/>
  <c r="H8722" i="15"/>
  <c r="H8723" i="15"/>
  <c r="H8724" i="15"/>
  <c r="H8725" i="15"/>
  <c r="H8726" i="15"/>
  <c r="H8727" i="15"/>
  <c r="H8728" i="15"/>
  <c r="H8729" i="15"/>
  <c r="H8730" i="15"/>
  <c r="H8731" i="15"/>
  <c r="H8732" i="15"/>
  <c r="H8733" i="15"/>
  <c r="H8734" i="15"/>
  <c r="H8735" i="15"/>
  <c r="H8736" i="15"/>
  <c r="H8737" i="15"/>
  <c r="H8738" i="15"/>
  <c r="H8739" i="15"/>
  <c r="H8740" i="15"/>
  <c r="H8741" i="15"/>
  <c r="H8742" i="15"/>
  <c r="H8743" i="15"/>
  <c r="H8744" i="15"/>
  <c r="H8745" i="15"/>
  <c r="H8746" i="15"/>
  <c r="H8747" i="15"/>
  <c r="H8748" i="15"/>
  <c r="H8749" i="15"/>
  <c r="H8750" i="15"/>
  <c r="H8751" i="15"/>
  <c r="H8752" i="15"/>
  <c r="H8753" i="15"/>
  <c r="H8754" i="15"/>
  <c r="H8755" i="15"/>
  <c r="H8756" i="15"/>
  <c r="H8757" i="15"/>
  <c r="H8758" i="15"/>
  <c r="H8759" i="15"/>
  <c r="H8760" i="15"/>
  <c r="H8761" i="15"/>
  <c r="H8762" i="15"/>
  <c r="H8763" i="15"/>
  <c r="H8764" i="15"/>
  <c r="H8765" i="15"/>
  <c r="H8766" i="15"/>
  <c r="H8767" i="15"/>
  <c r="H8768" i="15"/>
  <c r="H8769" i="15"/>
  <c r="H8770" i="15"/>
  <c r="H8771" i="15"/>
  <c r="H8772" i="15"/>
  <c r="H8773" i="15"/>
  <c r="H8774" i="15"/>
  <c r="H8775" i="15"/>
  <c r="H8776" i="15"/>
  <c r="H8777" i="15"/>
  <c r="H8778" i="15"/>
  <c r="H8779" i="15"/>
  <c r="H8780" i="15"/>
  <c r="H8781" i="15"/>
  <c r="H8782" i="15"/>
  <c r="H8783" i="15"/>
  <c r="H8784" i="15"/>
  <c r="H8785" i="15"/>
  <c r="H8786" i="15"/>
  <c r="H8787" i="15"/>
  <c r="H8788" i="15"/>
  <c r="H8789" i="15"/>
  <c r="H8790" i="15"/>
  <c r="H8791" i="15"/>
  <c r="H8792" i="15"/>
  <c r="H8793" i="15"/>
  <c r="H8794" i="15"/>
  <c r="H8795" i="15"/>
  <c r="H8796" i="15"/>
  <c r="H8797" i="15"/>
  <c r="H8798" i="15"/>
  <c r="H8799" i="15"/>
  <c r="H8800" i="15"/>
  <c r="H8801" i="15"/>
  <c r="H8802" i="15"/>
  <c r="H8803" i="15"/>
  <c r="H8804" i="15"/>
  <c r="H8805" i="15"/>
  <c r="H8806" i="15"/>
  <c r="H8807" i="15"/>
  <c r="H8808" i="15"/>
  <c r="H8809" i="15"/>
  <c r="H8810" i="15"/>
  <c r="H8811" i="15"/>
  <c r="H8812" i="15"/>
  <c r="H8813" i="15"/>
  <c r="H8814" i="15"/>
  <c r="H8815" i="15"/>
  <c r="H8816" i="15"/>
  <c r="H8817" i="15"/>
  <c r="H8818" i="15"/>
  <c r="H8819" i="15"/>
  <c r="H8820" i="15"/>
  <c r="H8821" i="15"/>
  <c r="H8822" i="15"/>
  <c r="H8823" i="15"/>
  <c r="H8824" i="15"/>
  <c r="H8825" i="15"/>
  <c r="H8826" i="15"/>
  <c r="H8827" i="15"/>
  <c r="H8828" i="15"/>
  <c r="H8829" i="15"/>
  <c r="H8830" i="15"/>
  <c r="H8831" i="15"/>
  <c r="H8832" i="15"/>
  <c r="H8833" i="15"/>
  <c r="H8834" i="15"/>
  <c r="H8835" i="15"/>
  <c r="H8836" i="15"/>
  <c r="H8837" i="15"/>
  <c r="H8838" i="15"/>
  <c r="H8839" i="15"/>
  <c r="H8840" i="15"/>
  <c r="H8841" i="15"/>
  <c r="H8842" i="15"/>
  <c r="H8843" i="15"/>
  <c r="H8844" i="15"/>
  <c r="H8845" i="15"/>
  <c r="H8846" i="15"/>
  <c r="H8847" i="15"/>
  <c r="H8848" i="15"/>
  <c r="H8849" i="15"/>
  <c r="H8850" i="15"/>
  <c r="H8851" i="15"/>
  <c r="H8852" i="15"/>
  <c r="H8853" i="15"/>
  <c r="H8854" i="15"/>
  <c r="H8855" i="15"/>
  <c r="H8856" i="15"/>
  <c r="H8857" i="15"/>
  <c r="H8858" i="15"/>
  <c r="H8859" i="15"/>
  <c r="H8860" i="15"/>
  <c r="H8861" i="15"/>
  <c r="H8862" i="15"/>
  <c r="H8863" i="15"/>
  <c r="H8864" i="15"/>
  <c r="H8865" i="15"/>
  <c r="H8866" i="15"/>
  <c r="H8867" i="15"/>
  <c r="H8868" i="15"/>
  <c r="H8869" i="15"/>
  <c r="H8870" i="15"/>
  <c r="H8871" i="15"/>
  <c r="H8872" i="15"/>
  <c r="H8873" i="15"/>
  <c r="H8874" i="15"/>
  <c r="H8875" i="15"/>
  <c r="H8876" i="15"/>
  <c r="H8877" i="15"/>
  <c r="H8878" i="15"/>
  <c r="H8879" i="15"/>
  <c r="H8880" i="15"/>
  <c r="H8881" i="15"/>
  <c r="H8882" i="15"/>
  <c r="H8883" i="15"/>
  <c r="H8884" i="15"/>
  <c r="H8885" i="15"/>
  <c r="H8886" i="15"/>
  <c r="H8887" i="15"/>
  <c r="H8888" i="15"/>
  <c r="H8889" i="15"/>
  <c r="H8890" i="15"/>
  <c r="H8891" i="15"/>
  <c r="H8892" i="15"/>
  <c r="H8893" i="15"/>
  <c r="H8894" i="15"/>
  <c r="H8895" i="15"/>
  <c r="H8896" i="15"/>
  <c r="H8897" i="15"/>
  <c r="H8898" i="15"/>
  <c r="H8899" i="15"/>
  <c r="H8900" i="15"/>
  <c r="H8901" i="15"/>
  <c r="H8902" i="15"/>
  <c r="H8903" i="15"/>
  <c r="H8904" i="15"/>
  <c r="H8905" i="15"/>
  <c r="H8906" i="15"/>
  <c r="H8907" i="15"/>
  <c r="H8908" i="15"/>
  <c r="H8909" i="15"/>
  <c r="H8910" i="15"/>
  <c r="H8911" i="15"/>
  <c r="H8912" i="15"/>
  <c r="H8913" i="15"/>
  <c r="H8914" i="15"/>
  <c r="H8915" i="15"/>
  <c r="H8916" i="15"/>
  <c r="H8917" i="15"/>
  <c r="H8918" i="15"/>
  <c r="H8919" i="15"/>
  <c r="H8920" i="15"/>
  <c r="H8921" i="15"/>
  <c r="H8922" i="15"/>
  <c r="H8923" i="15"/>
  <c r="H8924" i="15"/>
  <c r="H8925" i="15"/>
  <c r="H8926" i="15"/>
  <c r="H8927" i="15"/>
  <c r="H8928" i="15"/>
  <c r="H8929" i="15"/>
  <c r="H8930" i="15"/>
  <c r="H8931" i="15"/>
  <c r="H8932" i="15"/>
  <c r="H8933" i="15"/>
  <c r="H8934" i="15"/>
  <c r="H8935" i="15"/>
  <c r="H8936" i="15"/>
  <c r="H8937" i="15"/>
  <c r="H8938" i="15"/>
  <c r="H8939" i="15"/>
  <c r="H8940" i="15"/>
  <c r="H8941" i="15"/>
  <c r="H8942" i="15"/>
  <c r="H8943" i="15"/>
  <c r="H8944" i="15"/>
  <c r="H8945" i="15"/>
  <c r="H8946" i="15"/>
  <c r="H8947" i="15"/>
  <c r="H8948" i="15"/>
  <c r="H8949" i="15"/>
  <c r="H8950" i="15"/>
  <c r="H8951" i="15"/>
  <c r="H8952" i="15"/>
  <c r="H8953" i="15"/>
  <c r="H8954" i="15"/>
  <c r="H8955" i="15"/>
  <c r="H8956" i="15"/>
  <c r="H8957" i="15"/>
  <c r="H8958" i="15"/>
  <c r="H8959" i="15"/>
  <c r="H8960" i="15"/>
  <c r="H8961" i="15"/>
  <c r="H8962" i="15"/>
  <c r="H8963" i="15"/>
  <c r="H8964" i="15"/>
  <c r="H8965" i="15"/>
  <c r="H8966" i="15"/>
  <c r="H8967" i="15"/>
  <c r="H8968" i="15"/>
  <c r="H8969" i="15"/>
  <c r="H8970" i="15"/>
  <c r="H8971" i="15"/>
  <c r="H8972" i="15"/>
  <c r="H8973" i="15"/>
  <c r="H8974" i="15"/>
  <c r="H8975" i="15"/>
  <c r="H8976" i="15"/>
  <c r="H8977" i="15"/>
  <c r="H8978" i="15"/>
  <c r="H8979" i="15"/>
  <c r="H8980" i="15"/>
  <c r="H8981" i="15"/>
  <c r="H8982" i="15"/>
  <c r="H8983" i="15"/>
  <c r="H8984" i="15"/>
  <c r="H8985" i="15"/>
  <c r="H8986" i="15"/>
  <c r="H8987" i="15"/>
  <c r="H8988" i="15"/>
  <c r="H8989" i="15"/>
  <c r="H8990" i="15"/>
  <c r="H8991" i="15"/>
  <c r="H8992" i="15"/>
  <c r="H8993" i="15"/>
  <c r="H8994" i="15"/>
  <c r="H8995" i="15"/>
  <c r="H8996" i="15"/>
  <c r="H8997" i="15"/>
  <c r="H8998" i="15"/>
  <c r="H8999" i="15"/>
  <c r="H9000" i="15"/>
  <c r="H9001" i="15"/>
  <c r="H9002" i="15"/>
  <c r="H9003" i="15"/>
  <c r="H9004" i="15"/>
  <c r="H9005" i="15"/>
  <c r="H9006" i="15"/>
  <c r="H9007" i="15"/>
  <c r="H9008" i="15"/>
  <c r="H9009" i="15"/>
  <c r="H9010" i="15"/>
  <c r="H9011" i="15"/>
  <c r="H9012" i="15"/>
  <c r="H9013" i="15"/>
  <c r="H9014" i="15"/>
  <c r="H9015" i="15"/>
  <c r="H9016" i="15"/>
  <c r="H9017" i="15"/>
  <c r="H9018" i="15"/>
  <c r="H9019" i="15"/>
  <c r="H9020" i="15"/>
  <c r="H9021" i="15"/>
  <c r="H9022" i="15"/>
  <c r="H9023" i="15"/>
  <c r="H9024" i="15"/>
  <c r="H9025" i="15"/>
  <c r="H9026" i="15"/>
  <c r="H9027" i="15"/>
  <c r="H9028" i="15"/>
  <c r="H9029" i="15"/>
  <c r="H9030" i="15"/>
  <c r="H9031" i="15"/>
  <c r="H9032" i="15"/>
  <c r="H9033" i="15"/>
  <c r="H9034" i="15"/>
  <c r="H9035" i="15"/>
  <c r="H9036" i="15"/>
  <c r="H9037" i="15"/>
  <c r="H9038" i="15"/>
  <c r="H9039" i="15"/>
  <c r="H9040" i="15"/>
  <c r="H9041" i="15"/>
  <c r="H9042" i="15"/>
  <c r="H9043" i="15"/>
  <c r="H9044" i="15"/>
  <c r="H9045" i="15"/>
  <c r="H9046" i="15"/>
  <c r="H9047" i="15"/>
  <c r="H9048" i="15"/>
  <c r="H9049" i="15"/>
  <c r="H9050" i="15"/>
  <c r="H9051" i="15"/>
  <c r="H9052" i="15"/>
  <c r="H9053" i="15"/>
  <c r="H9054" i="15"/>
  <c r="H9055" i="15"/>
  <c r="H9056" i="15"/>
  <c r="H9057" i="15"/>
  <c r="H9058" i="15"/>
  <c r="H9059" i="15"/>
  <c r="H9060" i="15"/>
  <c r="H9061" i="15"/>
  <c r="H9062" i="15"/>
  <c r="H9063" i="15"/>
  <c r="H9064" i="15"/>
  <c r="H9065" i="15"/>
  <c r="H9066" i="15"/>
  <c r="H9067" i="15"/>
  <c r="H9068" i="15"/>
  <c r="H9069" i="15"/>
  <c r="H9070" i="15"/>
  <c r="H9071" i="15"/>
  <c r="H9072" i="15"/>
  <c r="H9073" i="15"/>
  <c r="H9074" i="15"/>
  <c r="H9075" i="15"/>
  <c r="H9076" i="15"/>
  <c r="H9077" i="15"/>
  <c r="H9078" i="15"/>
  <c r="H9079" i="15"/>
  <c r="H9080" i="15"/>
  <c r="H9081" i="15"/>
  <c r="H9082" i="15"/>
  <c r="H9083" i="15"/>
  <c r="H9084" i="15"/>
  <c r="H9085" i="15"/>
  <c r="H9086" i="15"/>
  <c r="H9087" i="15"/>
  <c r="H9088" i="15"/>
  <c r="H9089" i="15"/>
  <c r="H9090" i="15"/>
  <c r="H9091" i="15"/>
  <c r="H9092" i="15"/>
  <c r="H9093" i="15"/>
  <c r="H9094" i="15"/>
  <c r="H9095" i="15"/>
  <c r="H9096" i="15"/>
  <c r="H9097" i="15"/>
  <c r="H9098" i="15"/>
  <c r="H9099" i="15"/>
  <c r="H9100" i="15"/>
  <c r="H9101" i="15"/>
  <c r="H9102" i="15"/>
  <c r="H9103" i="15"/>
  <c r="H9104" i="15"/>
  <c r="H9105" i="15"/>
  <c r="H9106" i="15"/>
  <c r="H9107" i="15"/>
  <c r="H9108" i="15"/>
  <c r="H9109" i="15"/>
  <c r="H9110" i="15"/>
  <c r="H9111" i="15"/>
  <c r="H9112" i="15"/>
  <c r="H9113" i="15"/>
  <c r="H9114" i="15"/>
  <c r="H9115" i="15"/>
  <c r="H9116" i="15"/>
  <c r="H9117" i="15"/>
  <c r="H9118" i="15"/>
  <c r="H9119" i="15"/>
  <c r="H9120" i="15"/>
  <c r="H9121" i="15"/>
  <c r="H9122" i="15"/>
  <c r="H9123" i="15"/>
  <c r="H9124" i="15"/>
  <c r="H9125" i="15"/>
  <c r="H9126" i="15"/>
  <c r="H9127" i="15"/>
  <c r="H9128" i="15"/>
  <c r="H9129" i="15"/>
  <c r="H9130" i="15"/>
  <c r="H9131" i="15"/>
  <c r="H9132" i="15"/>
  <c r="H9133" i="15"/>
  <c r="H9134" i="15"/>
  <c r="H9135" i="15"/>
  <c r="H9136" i="15"/>
  <c r="H9137" i="15"/>
  <c r="H9138" i="15"/>
  <c r="H9139" i="15"/>
  <c r="H9140" i="15"/>
  <c r="H9141" i="15"/>
  <c r="H9142" i="15"/>
  <c r="H9143" i="15"/>
  <c r="H9144" i="15"/>
  <c r="H9145" i="15"/>
  <c r="H9146" i="15"/>
  <c r="H9147" i="15"/>
  <c r="H9148" i="15"/>
  <c r="H9149" i="15"/>
  <c r="H9150" i="15"/>
  <c r="H9151" i="15"/>
  <c r="H9152" i="15"/>
  <c r="H9153" i="15"/>
  <c r="H9154" i="15"/>
  <c r="H9155" i="15"/>
  <c r="H9156" i="15"/>
  <c r="H9157" i="15"/>
  <c r="H9158" i="15"/>
  <c r="H9159" i="15"/>
  <c r="H9160" i="15"/>
  <c r="H9161" i="15"/>
  <c r="H9162" i="15"/>
  <c r="H9163" i="15"/>
  <c r="H9164" i="15"/>
  <c r="H9165" i="15"/>
  <c r="H9166" i="15"/>
  <c r="H9167" i="15"/>
  <c r="H9168" i="15"/>
  <c r="H9169" i="15"/>
  <c r="H9170" i="15"/>
  <c r="H9171" i="15"/>
  <c r="H9172" i="15"/>
  <c r="H9173" i="15"/>
  <c r="H9174" i="15"/>
  <c r="H9175" i="15"/>
  <c r="H9176" i="15"/>
  <c r="H9177" i="15"/>
  <c r="H9178" i="15"/>
  <c r="H9179" i="15"/>
  <c r="H9180" i="15"/>
  <c r="H9181" i="15"/>
  <c r="H9182" i="15"/>
  <c r="H9183" i="15"/>
  <c r="H9184" i="15"/>
  <c r="H9185" i="15"/>
  <c r="H9186" i="15"/>
  <c r="H9187" i="15"/>
  <c r="H9188" i="15"/>
  <c r="H9189" i="15"/>
  <c r="H9190" i="15"/>
  <c r="H9191" i="15"/>
  <c r="H9192" i="15"/>
  <c r="H9193" i="15"/>
  <c r="H9194" i="15"/>
  <c r="H9195" i="15"/>
  <c r="H9196" i="15"/>
  <c r="H9197" i="15"/>
  <c r="H9198" i="15"/>
  <c r="H9199" i="15"/>
  <c r="H9200" i="15"/>
  <c r="H9201" i="15"/>
  <c r="H9202" i="15"/>
  <c r="H9203" i="15"/>
  <c r="H9204" i="15"/>
  <c r="H9205" i="15"/>
  <c r="H9206" i="15"/>
  <c r="H9207" i="15"/>
  <c r="H9208" i="15"/>
  <c r="H9209" i="15"/>
  <c r="H9210" i="15"/>
  <c r="H9211" i="15"/>
  <c r="H9212" i="15"/>
  <c r="H9213" i="15"/>
  <c r="H9214" i="15"/>
  <c r="H9215" i="15"/>
  <c r="H9216" i="15"/>
  <c r="H9217" i="15"/>
  <c r="H9218" i="15"/>
  <c r="H9219" i="15"/>
  <c r="H9220" i="15"/>
  <c r="H9221" i="15"/>
  <c r="H9222" i="15"/>
  <c r="H9223" i="15"/>
  <c r="H9224" i="15"/>
  <c r="H9225" i="15"/>
  <c r="H9226" i="15"/>
  <c r="H9227" i="15"/>
  <c r="H9228" i="15"/>
  <c r="H9229" i="15"/>
  <c r="H9230" i="15"/>
  <c r="H9231" i="15"/>
  <c r="H9232" i="15"/>
  <c r="H9233" i="15"/>
  <c r="H9234" i="15"/>
  <c r="H9235" i="15"/>
  <c r="H9236" i="15"/>
  <c r="H9237" i="15"/>
  <c r="H9238" i="15"/>
  <c r="H9239" i="15"/>
  <c r="H9240" i="15"/>
  <c r="H9241" i="15"/>
  <c r="H9242" i="15"/>
  <c r="H9243" i="15"/>
  <c r="H9244" i="15"/>
  <c r="H9245" i="15"/>
  <c r="H9246" i="15"/>
  <c r="H9247" i="15"/>
  <c r="H9248" i="15"/>
  <c r="H9249" i="15"/>
  <c r="H9250" i="15"/>
  <c r="H9251" i="15"/>
  <c r="H9252" i="15"/>
  <c r="H9253" i="15"/>
  <c r="H9254" i="15"/>
  <c r="H9255" i="15"/>
  <c r="H9256" i="15"/>
  <c r="H9257" i="15"/>
  <c r="H9258" i="15"/>
  <c r="H9259" i="15"/>
  <c r="H9260" i="15"/>
  <c r="H9261" i="15"/>
  <c r="H9262" i="15"/>
  <c r="H9263" i="15"/>
  <c r="H9264" i="15"/>
  <c r="H9265" i="15"/>
  <c r="H9266" i="15"/>
  <c r="H9267" i="15"/>
  <c r="H9268" i="15"/>
  <c r="H9269" i="15"/>
  <c r="H9270" i="15"/>
  <c r="H9271" i="15"/>
  <c r="H9272" i="15"/>
  <c r="H9273" i="15"/>
  <c r="H9274" i="15"/>
  <c r="H9275" i="15"/>
  <c r="H9276" i="15"/>
  <c r="H9277" i="15"/>
  <c r="H9278" i="15"/>
  <c r="H9279" i="15"/>
  <c r="H9280" i="15"/>
  <c r="H9281" i="15"/>
  <c r="H9282" i="15"/>
  <c r="H9283" i="15"/>
  <c r="H9284" i="15"/>
  <c r="H9285" i="15"/>
  <c r="H9286" i="15"/>
  <c r="H9287" i="15"/>
  <c r="H9288" i="15"/>
  <c r="H9289" i="15"/>
  <c r="H9290" i="15"/>
  <c r="H9291" i="15"/>
  <c r="H9292" i="15"/>
  <c r="H9293" i="15"/>
  <c r="H9294" i="15"/>
  <c r="H9295" i="15"/>
  <c r="H9296" i="15"/>
  <c r="H9297" i="15"/>
  <c r="H9298" i="15"/>
  <c r="H9299" i="15"/>
  <c r="H9300" i="15"/>
  <c r="H9301" i="15"/>
  <c r="H9302" i="15"/>
  <c r="H9303" i="15"/>
  <c r="H9304" i="15"/>
  <c r="H9305" i="15"/>
  <c r="H9306" i="15"/>
  <c r="H9307" i="15"/>
  <c r="H9308" i="15"/>
  <c r="H9309" i="15"/>
  <c r="H9310" i="15"/>
  <c r="H9311" i="15"/>
  <c r="H9312" i="15"/>
  <c r="H9313" i="15"/>
  <c r="H9314" i="15"/>
  <c r="H9315" i="15"/>
  <c r="H9316" i="15"/>
  <c r="H9317" i="15"/>
  <c r="H9318" i="15"/>
  <c r="H9319" i="15"/>
  <c r="H9320" i="15"/>
  <c r="H9321" i="15"/>
  <c r="H9322" i="15"/>
  <c r="H9323" i="15"/>
  <c r="H9324" i="15"/>
  <c r="H9325" i="15"/>
  <c r="H9326" i="15"/>
  <c r="H9327" i="15"/>
  <c r="H9328" i="15"/>
  <c r="H9329" i="15"/>
  <c r="H9330" i="15"/>
  <c r="H9331" i="15"/>
  <c r="H9332" i="15"/>
  <c r="H9333" i="15"/>
  <c r="H9334" i="15"/>
  <c r="H9335" i="15"/>
  <c r="H9336" i="15"/>
  <c r="H9337" i="15"/>
  <c r="H9338" i="15"/>
  <c r="H9339" i="15"/>
  <c r="H9340" i="15"/>
  <c r="H9341" i="15"/>
  <c r="H9342" i="15"/>
  <c r="H9343" i="15"/>
  <c r="H9344" i="15"/>
  <c r="H9345" i="15"/>
  <c r="H9346" i="15"/>
  <c r="H9347" i="15"/>
  <c r="H9348" i="15"/>
  <c r="H9349" i="15"/>
  <c r="H9350" i="15"/>
  <c r="H9351" i="15"/>
  <c r="H9352" i="15"/>
  <c r="H9353" i="15"/>
  <c r="H9354" i="15"/>
  <c r="H9355" i="15"/>
  <c r="H9356" i="15"/>
  <c r="H9357" i="15"/>
  <c r="H9358" i="15"/>
  <c r="H9359" i="15"/>
  <c r="H9360" i="15"/>
  <c r="H9361" i="15"/>
  <c r="H9362" i="15"/>
  <c r="H9363" i="15"/>
  <c r="H9364" i="15"/>
  <c r="H9365" i="15"/>
  <c r="H9366" i="15"/>
  <c r="H9367" i="15"/>
  <c r="H9368" i="15"/>
  <c r="H9369" i="15"/>
  <c r="H9370" i="15"/>
  <c r="H9371" i="15"/>
  <c r="H9372" i="15"/>
  <c r="H9373" i="15"/>
  <c r="H9374" i="15"/>
  <c r="H9375" i="15"/>
  <c r="H9376" i="15"/>
  <c r="H9377" i="15"/>
  <c r="H9378" i="15"/>
  <c r="H9379" i="15"/>
  <c r="H9380" i="15"/>
  <c r="H9381" i="15"/>
  <c r="H9382" i="15"/>
  <c r="H9383" i="15"/>
  <c r="H9384" i="15"/>
  <c r="H9385" i="15"/>
  <c r="H9386" i="15"/>
  <c r="H9387" i="15"/>
  <c r="H9388" i="15"/>
  <c r="H9389" i="15"/>
  <c r="H9390" i="15"/>
  <c r="H9391" i="15"/>
  <c r="H9392" i="15"/>
  <c r="H9393" i="15"/>
  <c r="H9394" i="15"/>
  <c r="H9395" i="15"/>
  <c r="H9396" i="15"/>
  <c r="H9397" i="15"/>
  <c r="H9398" i="15"/>
  <c r="H9399" i="15"/>
  <c r="H9400" i="15"/>
  <c r="H9401" i="15"/>
  <c r="H9402" i="15"/>
  <c r="H9403" i="15"/>
  <c r="H9404" i="15"/>
  <c r="H9405" i="15"/>
  <c r="H9406" i="15"/>
  <c r="H9407" i="15"/>
  <c r="H9408" i="15"/>
  <c r="H9409" i="15"/>
  <c r="H9410" i="15"/>
  <c r="H9411" i="15"/>
  <c r="H9412" i="15"/>
  <c r="H9413" i="15"/>
  <c r="H9414" i="15"/>
  <c r="H9415" i="15"/>
  <c r="H9416" i="15"/>
  <c r="H9417" i="15"/>
  <c r="H9418" i="15"/>
  <c r="H9419" i="15"/>
  <c r="H9420" i="15"/>
  <c r="H9421" i="15"/>
  <c r="H9422" i="15"/>
  <c r="H9423" i="15"/>
  <c r="H9424" i="15"/>
  <c r="H9425" i="15"/>
  <c r="H9426" i="15"/>
  <c r="H9427" i="15"/>
  <c r="H9428" i="15"/>
  <c r="H9429" i="15"/>
  <c r="H9430" i="15"/>
  <c r="H9431" i="15"/>
  <c r="H9432" i="15"/>
  <c r="H9433" i="15"/>
  <c r="H9434" i="15"/>
  <c r="H9435" i="15"/>
  <c r="H9436" i="15"/>
  <c r="H9437" i="15"/>
  <c r="H9438" i="15"/>
  <c r="H9439" i="15"/>
  <c r="H9440" i="15"/>
  <c r="H9441" i="15"/>
  <c r="H9442" i="15"/>
  <c r="H9443" i="15"/>
  <c r="H9444" i="15"/>
  <c r="H9445" i="15"/>
  <c r="H9446" i="15"/>
  <c r="H9447" i="15"/>
  <c r="H9448" i="15"/>
  <c r="H9449" i="15"/>
  <c r="H9450" i="15"/>
  <c r="H9451" i="15"/>
  <c r="H9452" i="15"/>
  <c r="H9453" i="15"/>
  <c r="H9454" i="15"/>
  <c r="H9455" i="15"/>
  <c r="H9456" i="15"/>
  <c r="H9457" i="15"/>
  <c r="H9458" i="15"/>
  <c r="H9459" i="15"/>
  <c r="H9460" i="15"/>
  <c r="H9461" i="15"/>
  <c r="H9462" i="15"/>
  <c r="H9463" i="15"/>
  <c r="H9464" i="15"/>
  <c r="H9465" i="15"/>
  <c r="H9466" i="15"/>
  <c r="H9467" i="15"/>
  <c r="H9468" i="15"/>
  <c r="H9469" i="15"/>
  <c r="H9470" i="15"/>
  <c r="H9471" i="15"/>
  <c r="H9472" i="15"/>
  <c r="H9473" i="15"/>
  <c r="H9474" i="15"/>
  <c r="H9475" i="15"/>
  <c r="H9476" i="15"/>
  <c r="H9477" i="15"/>
  <c r="H9478" i="15"/>
  <c r="H9479" i="15"/>
  <c r="H9480" i="15"/>
  <c r="H9481" i="15"/>
  <c r="H9482" i="15"/>
  <c r="H9483" i="15"/>
  <c r="H9484" i="15"/>
  <c r="H9485" i="15"/>
  <c r="H9486" i="15"/>
  <c r="H9487" i="15"/>
  <c r="H9488" i="15"/>
  <c r="H9489" i="15"/>
  <c r="H9490" i="15"/>
  <c r="H9491" i="15"/>
  <c r="H9492" i="15"/>
  <c r="H9493" i="15"/>
  <c r="H9494" i="15"/>
  <c r="H9495" i="15"/>
  <c r="H9496" i="15"/>
  <c r="H9497" i="15"/>
  <c r="H9498" i="15"/>
  <c r="H9499" i="15"/>
  <c r="H9500" i="15"/>
  <c r="H9501" i="15"/>
  <c r="H9502" i="15"/>
  <c r="H9503" i="15"/>
  <c r="H9504" i="15"/>
  <c r="H9505" i="15"/>
  <c r="H9506" i="15"/>
  <c r="H9507" i="15"/>
  <c r="H9508" i="15"/>
  <c r="H9509" i="15"/>
  <c r="H9510" i="15"/>
  <c r="H9511" i="15"/>
  <c r="H9512" i="15"/>
  <c r="H9513" i="15"/>
  <c r="H9514" i="15"/>
  <c r="H9515" i="15"/>
  <c r="H9516" i="15"/>
  <c r="H9517" i="15"/>
  <c r="H9518" i="15"/>
  <c r="H9519" i="15"/>
  <c r="H9520" i="15"/>
  <c r="H9521" i="15"/>
  <c r="H9522" i="15"/>
  <c r="H9523" i="15"/>
  <c r="H9524" i="15"/>
  <c r="H9525" i="15"/>
  <c r="H9526" i="15"/>
  <c r="H9527" i="15"/>
  <c r="H9528" i="15"/>
  <c r="H9529" i="15"/>
  <c r="H9530" i="15"/>
  <c r="H9531" i="15"/>
  <c r="H9532" i="15"/>
  <c r="H9533" i="15"/>
  <c r="H9534" i="15"/>
  <c r="H9535" i="15"/>
  <c r="H9536" i="15"/>
  <c r="H9537" i="15"/>
  <c r="H9538" i="15"/>
  <c r="H9539" i="15"/>
  <c r="H9540" i="15"/>
  <c r="H9541" i="15"/>
  <c r="H9542" i="15"/>
  <c r="H9543" i="15"/>
  <c r="H9544" i="15"/>
  <c r="H9545" i="15"/>
  <c r="H9546" i="15"/>
  <c r="H9547" i="15"/>
  <c r="H9548" i="15"/>
  <c r="H9549" i="15"/>
  <c r="H9550" i="15"/>
  <c r="H9551" i="15"/>
  <c r="H9552" i="15"/>
  <c r="H9553" i="15"/>
  <c r="H9554" i="15"/>
  <c r="H9555" i="15"/>
  <c r="H9556" i="15"/>
  <c r="H9557" i="15"/>
  <c r="H9558" i="15"/>
  <c r="H9559" i="15"/>
  <c r="H9560" i="15"/>
  <c r="H9561" i="15"/>
  <c r="H9562" i="15"/>
  <c r="H9563" i="15"/>
  <c r="H9564" i="15"/>
  <c r="H9565" i="15"/>
  <c r="H9566" i="15"/>
  <c r="H9567" i="15"/>
  <c r="H9568" i="15"/>
  <c r="H9569" i="15"/>
  <c r="H9570" i="15"/>
  <c r="H9571" i="15"/>
  <c r="H9572" i="15"/>
  <c r="H9573" i="15"/>
  <c r="H9574" i="15"/>
  <c r="H9575" i="15"/>
  <c r="H9576" i="15"/>
  <c r="H9577" i="15"/>
  <c r="H9578" i="15"/>
  <c r="H9579" i="15"/>
  <c r="H9580" i="15"/>
  <c r="H9581" i="15"/>
  <c r="H9582" i="15"/>
  <c r="H9583" i="15"/>
  <c r="H9584" i="15"/>
  <c r="H9585" i="15"/>
  <c r="H9586" i="15"/>
  <c r="H9587" i="15"/>
  <c r="H9588" i="15"/>
  <c r="H9589" i="15"/>
  <c r="H9590" i="15"/>
  <c r="H9591" i="15"/>
  <c r="H9592" i="15"/>
  <c r="H9593" i="15"/>
  <c r="H9594" i="15"/>
  <c r="H9595" i="15"/>
  <c r="H9596" i="15"/>
  <c r="H9597" i="15"/>
  <c r="H9598" i="15"/>
  <c r="H9599" i="15"/>
  <c r="H9600" i="15"/>
  <c r="H9601" i="15"/>
  <c r="H9602" i="15"/>
  <c r="H9603" i="15"/>
  <c r="H9604" i="15"/>
  <c r="H9605" i="15"/>
  <c r="H9606" i="15"/>
  <c r="H9607" i="15"/>
  <c r="H9608" i="15"/>
  <c r="H9609" i="15"/>
  <c r="H9610" i="15"/>
  <c r="H9611" i="15"/>
  <c r="H9612" i="15"/>
  <c r="H9613" i="15"/>
  <c r="H9614" i="15"/>
  <c r="H9615" i="15"/>
  <c r="H9616" i="15"/>
  <c r="H9617" i="15"/>
  <c r="H9618" i="15"/>
  <c r="H9619" i="15"/>
  <c r="H9620" i="15"/>
  <c r="H9621" i="15"/>
  <c r="H9622" i="15"/>
  <c r="H9623" i="15"/>
  <c r="H9624" i="15"/>
  <c r="H9625" i="15"/>
  <c r="H9626" i="15"/>
  <c r="H9627" i="15"/>
  <c r="H9628" i="15"/>
  <c r="H9629" i="15"/>
  <c r="H9630" i="15"/>
  <c r="H9631" i="15"/>
  <c r="H9632" i="15"/>
  <c r="H9633" i="15"/>
  <c r="H9634" i="15"/>
  <c r="H9635" i="15"/>
  <c r="H9636" i="15"/>
  <c r="H9637" i="15"/>
  <c r="H9638" i="15"/>
  <c r="H9639" i="15"/>
  <c r="H9640" i="15"/>
  <c r="H9641" i="15"/>
  <c r="H9642" i="15"/>
  <c r="H9643" i="15"/>
  <c r="H9644" i="15"/>
  <c r="H9645" i="15"/>
  <c r="H9646" i="15"/>
  <c r="H9647" i="15"/>
  <c r="H9648" i="15"/>
  <c r="H9649" i="15"/>
  <c r="H9650" i="15"/>
  <c r="H9651" i="15"/>
  <c r="H9652" i="15"/>
  <c r="H9653" i="15"/>
  <c r="H9654" i="15"/>
  <c r="H9655" i="15"/>
  <c r="H9656" i="15"/>
  <c r="H9657" i="15"/>
  <c r="H9658" i="15"/>
  <c r="H9659" i="15"/>
  <c r="H9660" i="15"/>
  <c r="H9661" i="15"/>
  <c r="H9662" i="15"/>
  <c r="H9663" i="15"/>
  <c r="H9664" i="15"/>
  <c r="H9665" i="15"/>
  <c r="H9666" i="15"/>
  <c r="H9667" i="15"/>
  <c r="H9668" i="15"/>
  <c r="H9669" i="15"/>
  <c r="H9670" i="15"/>
  <c r="H9671" i="15"/>
  <c r="H9672" i="15"/>
  <c r="H9673" i="15"/>
  <c r="H9674" i="15"/>
  <c r="H9675" i="15"/>
  <c r="H9676" i="15"/>
  <c r="H9677" i="15"/>
  <c r="H9678" i="15"/>
  <c r="H9679" i="15"/>
  <c r="H9680" i="15"/>
  <c r="H9681" i="15"/>
  <c r="H9682" i="15"/>
  <c r="H9683" i="15"/>
  <c r="H9684" i="15"/>
  <c r="H9685" i="15"/>
  <c r="H9686" i="15"/>
  <c r="H9687" i="15"/>
  <c r="H9688" i="15"/>
  <c r="H9689" i="15"/>
  <c r="H9690" i="15"/>
  <c r="H9691" i="15"/>
  <c r="H9692" i="15"/>
  <c r="H9693" i="15"/>
  <c r="H9694" i="15"/>
  <c r="H9695" i="15"/>
  <c r="H9696" i="15"/>
  <c r="H9697" i="15"/>
  <c r="H9698" i="15"/>
  <c r="H9699" i="15"/>
  <c r="H9700" i="15"/>
  <c r="H9701" i="15"/>
  <c r="H9702" i="15"/>
  <c r="H9703" i="15"/>
  <c r="H9704" i="15"/>
  <c r="H9705" i="15"/>
  <c r="H9706" i="15"/>
  <c r="H9707" i="15"/>
  <c r="H9708" i="15"/>
  <c r="H9709" i="15"/>
  <c r="H9710" i="15"/>
  <c r="H9711" i="15"/>
  <c r="H9712" i="15"/>
  <c r="H9713" i="15"/>
  <c r="H9714" i="15"/>
  <c r="H9715" i="15"/>
  <c r="H9716" i="15"/>
  <c r="H9717" i="15"/>
  <c r="H9718" i="15"/>
  <c r="H9719" i="15"/>
  <c r="H9720" i="15"/>
  <c r="H9721" i="15"/>
  <c r="H9722" i="15"/>
  <c r="H9723" i="15"/>
  <c r="H9724" i="15"/>
  <c r="H9725" i="15"/>
  <c r="H9726" i="15"/>
  <c r="H9727" i="15"/>
  <c r="H9728" i="15"/>
  <c r="H9729" i="15"/>
  <c r="H9730" i="15"/>
  <c r="H9731" i="15"/>
  <c r="H9732" i="15"/>
  <c r="H9733" i="15"/>
  <c r="H9734" i="15"/>
  <c r="H9735" i="15"/>
  <c r="H9736" i="15"/>
  <c r="H9737" i="15"/>
  <c r="H9738" i="15"/>
  <c r="H9739" i="15"/>
  <c r="H9740" i="15"/>
  <c r="H9741" i="15"/>
  <c r="H9742" i="15"/>
  <c r="H9743" i="15"/>
  <c r="H9744" i="15"/>
  <c r="H9745" i="15"/>
  <c r="H9746" i="15"/>
  <c r="H9747" i="15"/>
  <c r="H9748" i="15"/>
  <c r="H9749" i="15"/>
  <c r="H9750" i="15"/>
  <c r="H9751" i="15"/>
  <c r="H9752" i="15"/>
  <c r="H9753" i="15"/>
  <c r="H9754" i="15"/>
  <c r="H9755" i="15"/>
  <c r="H9756" i="15"/>
  <c r="H9757" i="15"/>
  <c r="H9758" i="15"/>
  <c r="H9759" i="15"/>
  <c r="H9760" i="15"/>
  <c r="H9761" i="15"/>
  <c r="H9762" i="15"/>
  <c r="H9763" i="15"/>
  <c r="H9764" i="15"/>
  <c r="H9765" i="15"/>
  <c r="H9766" i="15"/>
  <c r="H9767" i="15"/>
  <c r="H9768" i="15"/>
  <c r="H9769" i="15"/>
  <c r="H9770" i="15"/>
  <c r="H9771" i="15"/>
  <c r="H9772" i="15"/>
  <c r="H9773" i="15"/>
  <c r="H9774" i="15"/>
  <c r="H9775" i="15"/>
  <c r="H9776" i="15"/>
  <c r="H9777" i="15"/>
  <c r="H9778" i="15"/>
  <c r="H9779" i="15"/>
  <c r="H9780" i="15"/>
  <c r="H9781" i="15"/>
  <c r="H9782" i="15"/>
  <c r="H9783" i="15"/>
  <c r="H9784" i="15"/>
  <c r="H9785" i="15"/>
  <c r="H9786" i="15"/>
  <c r="H9787" i="15"/>
  <c r="H9788" i="15"/>
  <c r="H9789" i="15"/>
  <c r="H9790" i="15"/>
  <c r="H9791" i="15"/>
  <c r="H9792" i="15"/>
  <c r="H9793" i="15"/>
  <c r="H9794" i="15"/>
  <c r="H9795" i="15"/>
  <c r="H9796" i="15"/>
  <c r="H9797" i="15"/>
  <c r="H9798" i="15"/>
  <c r="H9799" i="15"/>
  <c r="H9800" i="15"/>
  <c r="H9801" i="15"/>
  <c r="H9802" i="15"/>
  <c r="H9803" i="15"/>
  <c r="H9804" i="15"/>
  <c r="H9805" i="15"/>
  <c r="H9806" i="15"/>
  <c r="H9807" i="15"/>
  <c r="H9808" i="15"/>
  <c r="H9809" i="15"/>
  <c r="H9810" i="15"/>
  <c r="H9811" i="15"/>
  <c r="H9812" i="15"/>
  <c r="H9813" i="15"/>
  <c r="H9814" i="15"/>
  <c r="H9815" i="15"/>
  <c r="H9816" i="15"/>
  <c r="H9817" i="15"/>
  <c r="H9818" i="15"/>
  <c r="H9819" i="15"/>
  <c r="H9820" i="15"/>
  <c r="H9821" i="15"/>
  <c r="H9822" i="15"/>
  <c r="H9823" i="15"/>
  <c r="H9824" i="15"/>
  <c r="H9825" i="15"/>
  <c r="H9826" i="15"/>
  <c r="H9827" i="15"/>
  <c r="H9828" i="15"/>
  <c r="H9829" i="15"/>
  <c r="H9830" i="15"/>
  <c r="H9831" i="15"/>
  <c r="H9832" i="15"/>
  <c r="H9833" i="15"/>
  <c r="H9834" i="15"/>
  <c r="H9835" i="15"/>
  <c r="H9836" i="15"/>
  <c r="H9837" i="15"/>
  <c r="H9838" i="15"/>
  <c r="H9839" i="15"/>
  <c r="H9840" i="15"/>
  <c r="H9841" i="15"/>
  <c r="H9842" i="15"/>
  <c r="H9843" i="15"/>
  <c r="H9844" i="15"/>
  <c r="H9845" i="15"/>
  <c r="H9846" i="15"/>
  <c r="H9847" i="15"/>
  <c r="H9848" i="15"/>
  <c r="H9849" i="15"/>
  <c r="H9850" i="15"/>
  <c r="H9851" i="15"/>
  <c r="H9852" i="15"/>
  <c r="H9853" i="15"/>
  <c r="H9854" i="15"/>
  <c r="H9855" i="15"/>
  <c r="H9856" i="15"/>
  <c r="H9857" i="15"/>
  <c r="H9858" i="15"/>
  <c r="H9859" i="15"/>
  <c r="H9860" i="15"/>
  <c r="H9861" i="15"/>
  <c r="H9862" i="15"/>
  <c r="H9863" i="15"/>
  <c r="H9864" i="15"/>
  <c r="H9865" i="15"/>
  <c r="H9866" i="15"/>
  <c r="H9867" i="15"/>
  <c r="H9868" i="15"/>
  <c r="H9869" i="15"/>
  <c r="H9870" i="15"/>
  <c r="H9871" i="15"/>
  <c r="H9872" i="15"/>
  <c r="H9873" i="15"/>
  <c r="H9874" i="15"/>
  <c r="H9875" i="15"/>
  <c r="H9876" i="15"/>
  <c r="H9877" i="15"/>
  <c r="H9878" i="15"/>
  <c r="H9879" i="15"/>
  <c r="H9880" i="15"/>
  <c r="H9881" i="15"/>
  <c r="H9882" i="15"/>
  <c r="H9883" i="15"/>
  <c r="H9884" i="15"/>
  <c r="H9885" i="15"/>
  <c r="H9886" i="15"/>
  <c r="H9887" i="15"/>
  <c r="H9888" i="15"/>
  <c r="H9889" i="15"/>
  <c r="H9890" i="15"/>
  <c r="H9891" i="15"/>
  <c r="H9892" i="15"/>
  <c r="H9893" i="15"/>
  <c r="H9894" i="15"/>
  <c r="H9895" i="15"/>
  <c r="H9896" i="15"/>
  <c r="H9897" i="15"/>
  <c r="H9898" i="15"/>
  <c r="H9899" i="15"/>
  <c r="H9900" i="15"/>
  <c r="H9901" i="15"/>
  <c r="H9902" i="15"/>
  <c r="H9903" i="15"/>
  <c r="H9904" i="15"/>
  <c r="H9905" i="15"/>
  <c r="H9906" i="15"/>
  <c r="H9907" i="15"/>
  <c r="H9908" i="15"/>
  <c r="H9909" i="15"/>
  <c r="H9910" i="15"/>
  <c r="H9911" i="15"/>
  <c r="H9912" i="15"/>
  <c r="H9913" i="15"/>
  <c r="H9914" i="15"/>
  <c r="H9915" i="15"/>
  <c r="H9916" i="15"/>
  <c r="H9917" i="15"/>
  <c r="H9918" i="15"/>
  <c r="H9919" i="15"/>
  <c r="H9920" i="15"/>
  <c r="H9921" i="15"/>
  <c r="H9922" i="15"/>
  <c r="H9923" i="15"/>
  <c r="H9924" i="15"/>
  <c r="H9925" i="15"/>
  <c r="H9926" i="15"/>
  <c r="H9927" i="15"/>
  <c r="H9928" i="15"/>
  <c r="H9929" i="15"/>
  <c r="H9930" i="15"/>
  <c r="H9931" i="15"/>
  <c r="H9932" i="15"/>
  <c r="H9933" i="15"/>
  <c r="H9934" i="15"/>
  <c r="H9935" i="15"/>
  <c r="H9936" i="15"/>
  <c r="H9937" i="15"/>
  <c r="H9938" i="15"/>
  <c r="H9939" i="15"/>
  <c r="H9940" i="15"/>
  <c r="H9941" i="15"/>
  <c r="H9942" i="15"/>
  <c r="H9943" i="15"/>
  <c r="H9944" i="15"/>
  <c r="H9945" i="15"/>
  <c r="H9946" i="15"/>
  <c r="H9947" i="15"/>
  <c r="H9948" i="15"/>
  <c r="H9949" i="15"/>
  <c r="H9950" i="15"/>
  <c r="H9951" i="15"/>
  <c r="H9952" i="15"/>
  <c r="H9953" i="15"/>
  <c r="H9954" i="15"/>
  <c r="H9955" i="15"/>
  <c r="H9956" i="15"/>
  <c r="H9957" i="15"/>
  <c r="H9958" i="15"/>
  <c r="H9959" i="15"/>
  <c r="H9960" i="15"/>
  <c r="H9961" i="15"/>
  <c r="H9962" i="15"/>
  <c r="H9963" i="15"/>
  <c r="H9964" i="15"/>
  <c r="H9965" i="15"/>
  <c r="H9966" i="15"/>
  <c r="H9967" i="15"/>
  <c r="H9968" i="15"/>
  <c r="H9969" i="15"/>
  <c r="H9970" i="15"/>
  <c r="H9971" i="15"/>
  <c r="H9972" i="15"/>
  <c r="H9973" i="15"/>
  <c r="H9974" i="15"/>
  <c r="H9975" i="15"/>
  <c r="H9976" i="15"/>
  <c r="H9977" i="15"/>
  <c r="H9978" i="15"/>
  <c r="H9979" i="15"/>
  <c r="H9980" i="15"/>
  <c r="H9981" i="15"/>
  <c r="H9982" i="15"/>
  <c r="H9983" i="15"/>
  <c r="H9984" i="15"/>
  <c r="H9985" i="15"/>
  <c r="H9986" i="15"/>
  <c r="H9987" i="15"/>
  <c r="H9988" i="15"/>
  <c r="H9989" i="15"/>
  <c r="H9990" i="15"/>
  <c r="H9991" i="15"/>
  <c r="H9992" i="15"/>
  <c r="H9993" i="15"/>
  <c r="H9994" i="15"/>
  <c r="H9995" i="15"/>
  <c r="H9996" i="15"/>
  <c r="H9997" i="15"/>
  <c r="H9998" i="15"/>
  <c r="H9999" i="15"/>
  <c r="H10000" i="15"/>
  <c r="C49" i="25" l="1"/>
  <c r="E43" i="25"/>
  <c r="E44" i="25" s="1"/>
  <c r="D48" i="25"/>
  <c r="D47" i="25"/>
  <c r="D45" i="25"/>
  <c r="D46" i="25"/>
  <c r="B31" i="15"/>
  <c r="AP5000" i="15"/>
  <c r="AP4999" i="15"/>
  <c r="AP4998" i="15"/>
  <c r="AP4997" i="15"/>
  <c r="AP4996" i="15"/>
  <c r="AP4995" i="15"/>
  <c r="AP4994" i="15"/>
  <c r="AP4993" i="15"/>
  <c r="AP4992" i="15"/>
  <c r="AP4991" i="15"/>
  <c r="AP4990" i="15"/>
  <c r="AP4989" i="15"/>
  <c r="AP4988" i="15"/>
  <c r="AP4987" i="15"/>
  <c r="AP4986" i="15"/>
  <c r="AP4985" i="15"/>
  <c r="AP4984" i="15"/>
  <c r="AP4983" i="15"/>
  <c r="AP4982" i="15"/>
  <c r="AP4981" i="15"/>
  <c r="AP4980" i="15"/>
  <c r="AP4979" i="15"/>
  <c r="AP4978" i="15"/>
  <c r="AP4977" i="15"/>
  <c r="AP4976" i="15"/>
  <c r="AP4975" i="15"/>
  <c r="AP4974" i="15"/>
  <c r="AP4973" i="15"/>
  <c r="AP4972" i="15"/>
  <c r="AP4971" i="15"/>
  <c r="AP4970" i="15"/>
  <c r="AP4969" i="15"/>
  <c r="AP4968" i="15"/>
  <c r="AP4967" i="15"/>
  <c r="AP4966" i="15"/>
  <c r="AP4965" i="15"/>
  <c r="AP4964" i="15"/>
  <c r="AP4963" i="15"/>
  <c r="AP4962" i="15"/>
  <c r="AP4961" i="15"/>
  <c r="AP4960" i="15"/>
  <c r="AP4959" i="15"/>
  <c r="AP4958" i="15"/>
  <c r="AP4957" i="15"/>
  <c r="AP4956" i="15"/>
  <c r="AP4955" i="15"/>
  <c r="AP4954" i="15"/>
  <c r="AP4953" i="15"/>
  <c r="AP4952" i="15"/>
  <c r="AP4951" i="15"/>
  <c r="AP4950" i="15"/>
  <c r="AP4949" i="15"/>
  <c r="AP4948" i="15"/>
  <c r="AP4947" i="15"/>
  <c r="AP4946" i="15"/>
  <c r="AP4945" i="15"/>
  <c r="AP4944" i="15"/>
  <c r="AP4943" i="15"/>
  <c r="AP4942" i="15"/>
  <c r="AP4941" i="15"/>
  <c r="AP4940" i="15"/>
  <c r="AP4939" i="15"/>
  <c r="AP4938" i="15"/>
  <c r="AP4937" i="15"/>
  <c r="AP4936" i="15"/>
  <c r="AP4935" i="15"/>
  <c r="AP4934" i="15"/>
  <c r="AP4933" i="15"/>
  <c r="AP4932" i="15"/>
  <c r="AP4931" i="15"/>
  <c r="AP4930" i="15"/>
  <c r="AP4929" i="15"/>
  <c r="AP4928" i="15"/>
  <c r="AP4927" i="15"/>
  <c r="AP4926" i="15"/>
  <c r="AP4925" i="15"/>
  <c r="AP4924" i="15"/>
  <c r="AP4923" i="15"/>
  <c r="AP4922" i="15"/>
  <c r="AP4921" i="15"/>
  <c r="AP4920" i="15"/>
  <c r="AP4919" i="15"/>
  <c r="AP4918" i="15"/>
  <c r="AP4917" i="15"/>
  <c r="AP4916" i="15"/>
  <c r="AP4915" i="15"/>
  <c r="AP4914" i="15"/>
  <c r="AP4913" i="15"/>
  <c r="AP4912" i="15"/>
  <c r="AP4911" i="15"/>
  <c r="AP4910" i="15"/>
  <c r="AP4909" i="15"/>
  <c r="AP4908" i="15"/>
  <c r="AP4907" i="15"/>
  <c r="AP4906" i="15"/>
  <c r="AP4905" i="15"/>
  <c r="AP4904" i="15"/>
  <c r="AP4903" i="15"/>
  <c r="AP4902" i="15"/>
  <c r="AP4901" i="15"/>
  <c r="AP4900" i="15"/>
  <c r="AP4899" i="15"/>
  <c r="AP4898" i="15"/>
  <c r="AP4897" i="15"/>
  <c r="AP4896" i="15"/>
  <c r="AP4895" i="15"/>
  <c r="AP4894" i="15"/>
  <c r="AP4893" i="15"/>
  <c r="AP4892" i="15"/>
  <c r="AP4891" i="15"/>
  <c r="AP4890" i="15"/>
  <c r="AP4889" i="15"/>
  <c r="AP4888" i="15"/>
  <c r="AP4887" i="15"/>
  <c r="AP4886" i="15"/>
  <c r="AP4885" i="15"/>
  <c r="AP4884" i="15"/>
  <c r="AP4883" i="15"/>
  <c r="AP4882" i="15"/>
  <c r="AP4881" i="15"/>
  <c r="AP4880" i="15"/>
  <c r="AP4879" i="15"/>
  <c r="AP4878" i="15"/>
  <c r="AP4877" i="15"/>
  <c r="AP4876" i="15"/>
  <c r="AP4875" i="15"/>
  <c r="AP4874" i="15"/>
  <c r="AP4873" i="15"/>
  <c r="AP4872" i="15"/>
  <c r="AP4871" i="15"/>
  <c r="AP4870" i="15"/>
  <c r="AP4869" i="15"/>
  <c r="AP4868" i="15"/>
  <c r="AP4867" i="15"/>
  <c r="AP4866" i="15"/>
  <c r="AP4865" i="15"/>
  <c r="AP4864" i="15"/>
  <c r="AP4863" i="15"/>
  <c r="AP4862" i="15"/>
  <c r="AP4861" i="15"/>
  <c r="AP4860" i="15"/>
  <c r="AP4859" i="15"/>
  <c r="AP4858" i="15"/>
  <c r="AP4857" i="15"/>
  <c r="AP4856" i="15"/>
  <c r="AP4855" i="15"/>
  <c r="AP4854" i="15"/>
  <c r="AP4853" i="15"/>
  <c r="AP4852" i="15"/>
  <c r="AP4851" i="15"/>
  <c r="AP4850" i="15"/>
  <c r="AP4849" i="15"/>
  <c r="AP4848" i="15"/>
  <c r="AP4847" i="15"/>
  <c r="AP4846" i="15"/>
  <c r="AP4845" i="15"/>
  <c r="AP4844" i="15"/>
  <c r="AP4843" i="15"/>
  <c r="AP4842" i="15"/>
  <c r="AP4841" i="15"/>
  <c r="AP4840" i="15"/>
  <c r="AP4839" i="15"/>
  <c r="AP4838" i="15"/>
  <c r="AP4837" i="15"/>
  <c r="AP4836" i="15"/>
  <c r="AP4835" i="15"/>
  <c r="AP4834" i="15"/>
  <c r="AP4833" i="15"/>
  <c r="AP4832" i="15"/>
  <c r="AP4831" i="15"/>
  <c r="AP4830" i="15"/>
  <c r="AP4829" i="15"/>
  <c r="AP4828" i="15"/>
  <c r="AP4827" i="15"/>
  <c r="AP4826" i="15"/>
  <c r="AP4825" i="15"/>
  <c r="AP4824" i="15"/>
  <c r="AP4823" i="15"/>
  <c r="AP4822" i="15"/>
  <c r="AP4821" i="15"/>
  <c r="AP4820" i="15"/>
  <c r="AP4819" i="15"/>
  <c r="AP4818" i="15"/>
  <c r="AP4817" i="15"/>
  <c r="AP4816" i="15"/>
  <c r="AP4815" i="15"/>
  <c r="AP4814" i="15"/>
  <c r="AP4813" i="15"/>
  <c r="AP4812" i="15"/>
  <c r="AP4811" i="15"/>
  <c r="AP4810" i="15"/>
  <c r="AP4809" i="15"/>
  <c r="AP4808" i="15"/>
  <c r="AP4807" i="15"/>
  <c r="AP4806" i="15"/>
  <c r="AP4805" i="15"/>
  <c r="AP4804" i="15"/>
  <c r="AP4803" i="15"/>
  <c r="AP4802" i="15"/>
  <c r="AP4801" i="15"/>
  <c r="AP4800" i="15"/>
  <c r="AP4799" i="15"/>
  <c r="AP4798" i="15"/>
  <c r="AP4797" i="15"/>
  <c r="AP4796" i="15"/>
  <c r="AP4795" i="15"/>
  <c r="AP4794" i="15"/>
  <c r="AP4793" i="15"/>
  <c r="AP4792" i="15"/>
  <c r="AP4791" i="15"/>
  <c r="AP4790" i="15"/>
  <c r="AP4789" i="15"/>
  <c r="AP4788" i="15"/>
  <c r="AP4787" i="15"/>
  <c r="AP4786" i="15"/>
  <c r="AP4785" i="15"/>
  <c r="AP4784" i="15"/>
  <c r="AP4783" i="15"/>
  <c r="AP4782" i="15"/>
  <c r="AP4781" i="15"/>
  <c r="AP4780" i="15"/>
  <c r="AP4779" i="15"/>
  <c r="AP4778" i="15"/>
  <c r="AP4777" i="15"/>
  <c r="AP4776" i="15"/>
  <c r="AP4775" i="15"/>
  <c r="AP4774" i="15"/>
  <c r="AP4773" i="15"/>
  <c r="AP4772" i="15"/>
  <c r="AP4771" i="15"/>
  <c r="AP4770" i="15"/>
  <c r="AP4769" i="15"/>
  <c r="AP4768" i="15"/>
  <c r="AP4767" i="15"/>
  <c r="AP4766" i="15"/>
  <c r="AP4765" i="15"/>
  <c r="AP4764" i="15"/>
  <c r="AP4763" i="15"/>
  <c r="AP4762" i="15"/>
  <c r="AP4761" i="15"/>
  <c r="AP4760" i="15"/>
  <c r="AP4759" i="15"/>
  <c r="AP4758" i="15"/>
  <c r="AP4757" i="15"/>
  <c r="AP4756" i="15"/>
  <c r="AP4755" i="15"/>
  <c r="AP4754" i="15"/>
  <c r="AP4753" i="15"/>
  <c r="AP4752" i="15"/>
  <c r="AP4751" i="15"/>
  <c r="AP4750" i="15"/>
  <c r="AP4749" i="15"/>
  <c r="AP4748" i="15"/>
  <c r="AP4747" i="15"/>
  <c r="AP4746" i="15"/>
  <c r="AP4745" i="15"/>
  <c r="AP4744" i="15"/>
  <c r="AP4743" i="15"/>
  <c r="AP4742" i="15"/>
  <c r="AP4741" i="15"/>
  <c r="AP4740" i="15"/>
  <c r="AP4739" i="15"/>
  <c r="AP4738" i="15"/>
  <c r="AP4737" i="15"/>
  <c r="AP4736" i="15"/>
  <c r="AP4735" i="15"/>
  <c r="AP4734" i="15"/>
  <c r="AP4733" i="15"/>
  <c r="AP4732" i="15"/>
  <c r="AP4731" i="15"/>
  <c r="AP4730" i="15"/>
  <c r="AP4729" i="15"/>
  <c r="AP4728" i="15"/>
  <c r="AP4727" i="15"/>
  <c r="AP4726" i="15"/>
  <c r="AP4725" i="15"/>
  <c r="AP4724" i="15"/>
  <c r="AP4723" i="15"/>
  <c r="AP4722" i="15"/>
  <c r="AP4721" i="15"/>
  <c r="AP4720" i="15"/>
  <c r="AP4719" i="15"/>
  <c r="AP4718" i="15"/>
  <c r="AP4717" i="15"/>
  <c r="AP4716" i="15"/>
  <c r="AP4715" i="15"/>
  <c r="AP4714" i="15"/>
  <c r="AP4713" i="15"/>
  <c r="AP4712" i="15"/>
  <c r="AP4711" i="15"/>
  <c r="AP4710" i="15"/>
  <c r="AP4709" i="15"/>
  <c r="AP4708" i="15"/>
  <c r="AP4707" i="15"/>
  <c r="AP4706" i="15"/>
  <c r="AP4705" i="15"/>
  <c r="AP4704" i="15"/>
  <c r="AP4703" i="15"/>
  <c r="AP4702" i="15"/>
  <c r="AP4701" i="15"/>
  <c r="AP4700" i="15"/>
  <c r="AP4699" i="15"/>
  <c r="AP4698" i="15"/>
  <c r="AP4697" i="15"/>
  <c r="AP4696" i="15"/>
  <c r="AP4695" i="15"/>
  <c r="AP4694" i="15"/>
  <c r="AP4693" i="15"/>
  <c r="AP4692" i="15"/>
  <c r="AP4691" i="15"/>
  <c r="AP4690" i="15"/>
  <c r="AP4689" i="15"/>
  <c r="AP4688" i="15"/>
  <c r="AP4687" i="15"/>
  <c r="AP4686" i="15"/>
  <c r="AP4685" i="15"/>
  <c r="AP4684" i="15"/>
  <c r="AP4683" i="15"/>
  <c r="AP4682" i="15"/>
  <c r="AP4681" i="15"/>
  <c r="AP4680" i="15"/>
  <c r="AP4679" i="15"/>
  <c r="AP4678" i="15"/>
  <c r="AP4677" i="15"/>
  <c r="AP4676" i="15"/>
  <c r="AP4675" i="15"/>
  <c r="AP4674" i="15"/>
  <c r="AP4673" i="15"/>
  <c r="AP4672" i="15"/>
  <c r="AP4671" i="15"/>
  <c r="AP4670" i="15"/>
  <c r="AP4669" i="15"/>
  <c r="AP4668" i="15"/>
  <c r="AP4667" i="15"/>
  <c r="AP4666" i="15"/>
  <c r="AP4665" i="15"/>
  <c r="AP4664" i="15"/>
  <c r="AP4663" i="15"/>
  <c r="AP4662" i="15"/>
  <c r="AP4661" i="15"/>
  <c r="AP4660" i="15"/>
  <c r="AP4659" i="15"/>
  <c r="AP4658" i="15"/>
  <c r="AP4657" i="15"/>
  <c r="AP4656" i="15"/>
  <c r="AP4655" i="15"/>
  <c r="AP4654" i="15"/>
  <c r="AP4653" i="15"/>
  <c r="AP4652" i="15"/>
  <c r="AP4651" i="15"/>
  <c r="AP4650" i="15"/>
  <c r="AP4649" i="15"/>
  <c r="AP4648" i="15"/>
  <c r="AP4647" i="15"/>
  <c r="AP4646" i="15"/>
  <c r="AP4645" i="15"/>
  <c r="AP4644" i="15"/>
  <c r="AP4643" i="15"/>
  <c r="AP4642" i="15"/>
  <c r="AP4641" i="15"/>
  <c r="AP4640" i="15"/>
  <c r="AP4639" i="15"/>
  <c r="AP4638" i="15"/>
  <c r="AP4637" i="15"/>
  <c r="AP4636" i="15"/>
  <c r="AP4635" i="15"/>
  <c r="AP4634" i="15"/>
  <c r="AP4633" i="15"/>
  <c r="AP4632" i="15"/>
  <c r="AP4631" i="15"/>
  <c r="AP4630" i="15"/>
  <c r="AP4629" i="15"/>
  <c r="AP4628" i="15"/>
  <c r="AP4627" i="15"/>
  <c r="AP4626" i="15"/>
  <c r="AP4625" i="15"/>
  <c r="AP4624" i="15"/>
  <c r="AP4623" i="15"/>
  <c r="AP4622" i="15"/>
  <c r="AP4621" i="15"/>
  <c r="AP4620" i="15"/>
  <c r="AP4619" i="15"/>
  <c r="AP4618" i="15"/>
  <c r="AP4617" i="15"/>
  <c r="AP4616" i="15"/>
  <c r="AP4615" i="15"/>
  <c r="AP4614" i="15"/>
  <c r="AP4613" i="15"/>
  <c r="AP4612" i="15"/>
  <c r="AP4611" i="15"/>
  <c r="AP4610" i="15"/>
  <c r="AP4609" i="15"/>
  <c r="AP4608" i="15"/>
  <c r="AP4607" i="15"/>
  <c r="AP4606" i="15"/>
  <c r="AP4605" i="15"/>
  <c r="AP4604" i="15"/>
  <c r="AP4603" i="15"/>
  <c r="AP4602" i="15"/>
  <c r="AP4601" i="15"/>
  <c r="AP4600" i="15"/>
  <c r="AP4599" i="15"/>
  <c r="AP4598" i="15"/>
  <c r="AP4597" i="15"/>
  <c r="AP4596" i="15"/>
  <c r="AP4595" i="15"/>
  <c r="AP4594" i="15"/>
  <c r="AP4593" i="15"/>
  <c r="AP4592" i="15"/>
  <c r="AP4591" i="15"/>
  <c r="AP4590" i="15"/>
  <c r="AP4589" i="15"/>
  <c r="AP4588" i="15"/>
  <c r="AP4587" i="15"/>
  <c r="AP4586" i="15"/>
  <c r="AP4585" i="15"/>
  <c r="AP4584" i="15"/>
  <c r="AP4583" i="15"/>
  <c r="AP4582" i="15"/>
  <c r="AP4581" i="15"/>
  <c r="AP4580" i="15"/>
  <c r="AP4579" i="15"/>
  <c r="AP4578" i="15"/>
  <c r="AP4577" i="15"/>
  <c r="AP4576" i="15"/>
  <c r="AP4575" i="15"/>
  <c r="AP4574" i="15"/>
  <c r="AP4573" i="15"/>
  <c r="AP4572" i="15"/>
  <c r="AP4571" i="15"/>
  <c r="AP4570" i="15"/>
  <c r="AP4569" i="15"/>
  <c r="AP4568" i="15"/>
  <c r="AP4567" i="15"/>
  <c r="AP4566" i="15"/>
  <c r="AP4565" i="15"/>
  <c r="AP4564" i="15"/>
  <c r="AP4563" i="15"/>
  <c r="AP4562" i="15"/>
  <c r="AP4561" i="15"/>
  <c r="AP4560" i="15"/>
  <c r="AP4559" i="15"/>
  <c r="AP4558" i="15"/>
  <c r="AP4557" i="15"/>
  <c r="AP4556" i="15"/>
  <c r="AP4555" i="15"/>
  <c r="AP4554" i="15"/>
  <c r="AP4553" i="15"/>
  <c r="AP4552" i="15"/>
  <c r="AP4551" i="15"/>
  <c r="AP4550" i="15"/>
  <c r="AP4549" i="15"/>
  <c r="AP4548" i="15"/>
  <c r="AP4547" i="15"/>
  <c r="AP4546" i="15"/>
  <c r="AP4545" i="15"/>
  <c r="AP4544" i="15"/>
  <c r="AP4543" i="15"/>
  <c r="AP4542" i="15"/>
  <c r="AP4541" i="15"/>
  <c r="AP4540" i="15"/>
  <c r="AP4539" i="15"/>
  <c r="AP4538" i="15"/>
  <c r="AP4537" i="15"/>
  <c r="AP4536" i="15"/>
  <c r="AP4535" i="15"/>
  <c r="AP4534" i="15"/>
  <c r="AP4533" i="15"/>
  <c r="AP4532" i="15"/>
  <c r="AP4531" i="15"/>
  <c r="AP4530" i="15"/>
  <c r="AP4529" i="15"/>
  <c r="AP4528" i="15"/>
  <c r="AP4527" i="15"/>
  <c r="AP4526" i="15"/>
  <c r="AP4525" i="15"/>
  <c r="AP4524" i="15"/>
  <c r="AP4523" i="15"/>
  <c r="AP4522" i="15"/>
  <c r="AP4521" i="15"/>
  <c r="AP4520" i="15"/>
  <c r="AP4519" i="15"/>
  <c r="AP4518" i="15"/>
  <c r="AP4517" i="15"/>
  <c r="AP4516" i="15"/>
  <c r="AP4515" i="15"/>
  <c r="AP4514" i="15"/>
  <c r="AP4513" i="15"/>
  <c r="AP4512" i="15"/>
  <c r="AP4511" i="15"/>
  <c r="AP4510" i="15"/>
  <c r="AP4509" i="15"/>
  <c r="AP4508" i="15"/>
  <c r="AP4507" i="15"/>
  <c r="AP4506" i="15"/>
  <c r="AP4505" i="15"/>
  <c r="AP4504" i="15"/>
  <c r="AP4503" i="15"/>
  <c r="AP4502" i="15"/>
  <c r="AP4501" i="15"/>
  <c r="AP4500" i="15"/>
  <c r="AP4499" i="15"/>
  <c r="AP4498" i="15"/>
  <c r="AP4497" i="15"/>
  <c r="AP4496" i="15"/>
  <c r="AP4495" i="15"/>
  <c r="AP4494" i="15"/>
  <c r="AP4493" i="15"/>
  <c r="AP4492" i="15"/>
  <c r="AP4491" i="15"/>
  <c r="AP4490" i="15"/>
  <c r="AP4489" i="15"/>
  <c r="AP4488" i="15"/>
  <c r="AP4487" i="15"/>
  <c r="AP4486" i="15"/>
  <c r="AP4485" i="15"/>
  <c r="AP4484" i="15"/>
  <c r="AP4483" i="15"/>
  <c r="AP4482" i="15"/>
  <c r="AP4481" i="15"/>
  <c r="AP4480" i="15"/>
  <c r="AP4479" i="15"/>
  <c r="AP4478" i="15"/>
  <c r="AP4477" i="15"/>
  <c r="AP4476" i="15"/>
  <c r="AP4475" i="15"/>
  <c r="AP4474" i="15"/>
  <c r="AP4473" i="15"/>
  <c r="AP4472" i="15"/>
  <c r="AP4471" i="15"/>
  <c r="AP4470" i="15"/>
  <c r="AP4469" i="15"/>
  <c r="AP4468" i="15"/>
  <c r="AP4467" i="15"/>
  <c r="AP4466" i="15"/>
  <c r="AP4465" i="15"/>
  <c r="AP4464" i="15"/>
  <c r="AP4463" i="15"/>
  <c r="AP4462" i="15"/>
  <c r="AP4461" i="15"/>
  <c r="AP4460" i="15"/>
  <c r="AP4459" i="15"/>
  <c r="AP4458" i="15"/>
  <c r="AP4457" i="15"/>
  <c r="AP4456" i="15"/>
  <c r="AP4455" i="15"/>
  <c r="AP4454" i="15"/>
  <c r="AP4453" i="15"/>
  <c r="AP4452" i="15"/>
  <c r="AP4451" i="15"/>
  <c r="AP4450" i="15"/>
  <c r="AP4449" i="15"/>
  <c r="AP4448" i="15"/>
  <c r="AP4447" i="15"/>
  <c r="AP4446" i="15"/>
  <c r="AP4445" i="15"/>
  <c r="AP4444" i="15"/>
  <c r="AP4443" i="15"/>
  <c r="AP4442" i="15"/>
  <c r="AP4441" i="15"/>
  <c r="AP4440" i="15"/>
  <c r="AP4439" i="15"/>
  <c r="AP4438" i="15"/>
  <c r="AP4437" i="15"/>
  <c r="AP4436" i="15"/>
  <c r="AP4435" i="15"/>
  <c r="AP4434" i="15"/>
  <c r="AP4433" i="15"/>
  <c r="AP4432" i="15"/>
  <c r="AP4431" i="15"/>
  <c r="AP4430" i="15"/>
  <c r="AP4429" i="15"/>
  <c r="AP4428" i="15"/>
  <c r="AP4427" i="15"/>
  <c r="AP4426" i="15"/>
  <c r="AP4425" i="15"/>
  <c r="AP4424" i="15"/>
  <c r="AP4423" i="15"/>
  <c r="AP4422" i="15"/>
  <c r="AP4421" i="15"/>
  <c r="AP4420" i="15"/>
  <c r="AP4419" i="15"/>
  <c r="AP4418" i="15"/>
  <c r="AP4417" i="15"/>
  <c r="AP4416" i="15"/>
  <c r="AP4415" i="15"/>
  <c r="AP4414" i="15"/>
  <c r="AP4413" i="15"/>
  <c r="AP4412" i="15"/>
  <c r="AP4411" i="15"/>
  <c r="AP4410" i="15"/>
  <c r="AP4409" i="15"/>
  <c r="AP4408" i="15"/>
  <c r="AP4407" i="15"/>
  <c r="AP4406" i="15"/>
  <c r="AP4405" i="15"/>
  <c r="AP4404" i="15"/>
  <c r="AP4403" i="15"/>
  <c r="AP4402" i="15"/>
  <c r="AP4401" i="15"/>
  <c r="AP4400" i="15"/>
  <c r="AP4399" i="15"/>
  <c r="AP4398" i="15"/>
  <c r="AP4397" i="15"/>
  <c r="AP4396" i="15"/>
  <c r="AP4395" i="15"/>
  <c r="AP4394" i="15"/>
  <c r="AP4393" i="15"/>
  <c r="AP4392" i="15"/>
  <c r="AP4391" i="15"/>
  <c r="AP4390" i="15"/>
  <c r="AP4389" i="15"/>
  <c r="AP4388" i="15"/>
  <c r="AP4387" i="15"/>
  <c r="AP4386" i="15"/>
  <c r="AP4385" i="15"/>
  <c r="AP4384" i="15"/>
  <c r="AP4383" i="15"/>
  <c r="AP4382" i="15"/>
  <c r="AP4381" i="15"/>
  <c r="AP4380" i="15"/>
  <c r="AP4379" i="15"/>
  <c r="AP4378" i="15"/>
  <c r="AP4377" i="15"/>
  <c r="AP4376" i="15"/>
  <c r="AP4375" i="15"/>
  <c r="AP4374" i="15"/>
  <c r="AP4373" i="15"/>
  <c r="AP4372" i="15"/>
  <c r="AP4371" i="15"/>
  <c r="AP4370" i="15"/>
  <c r="AP4369" i="15"/>
  <c r="AP4368" i="15"/>
  <c r="AP4367" i="15"/>
  <c r="AP4366" i="15"/>
  <c r="AP4365" i="15"/>
  <c r="AP4364" i="15"/>
  <c r="AP4363" i="15"/>
  <c r="AP4362" i="15"/>
  <c r="AP4361" i="15"/>
  <c r="AP4360" i="15"/>
  <c r="AP4359" i="15"/>
  <c r="AP4358" i="15"/>
  <c r="AP4357" i="15"/>
  <c r="AP4356" i="15"/>
  <c r="AP4355" i="15"/>
  <c r="AP4354" i="15"/>
  <c r="AP4353" i="15"/>
  <c r="AP4352" i="15"/>
  <c r="AP4351" i="15"/>
  <c r="AP4350" i="15"/>
  <c r="AP4349" i="15"/>
  <c r="AP4348" i="15"/>
  <c r="AP4347" i="15"/>
  <c r="AP4346" i="15"/>
  <c r="AP4345" i="15"/>
  <c r="AP4344" i="15"/>
  <c r="AP4343" i="15"/>
  <c r="AP4342" i="15"/>
  <c r="AP4341" i="15"/>
  <c r="AP4340" i="15"/>
  <c r="AP4339" i="15"/>
  <c r="AP4338" i="15"/>
  <c r="AP4337" i="15"/>
  <c r="AP4336" i="15"/>
  <c r="AP4335" i="15"/>
  <c r="AP4334" i="15"/>
  <c r="AP4333" i="15"/>
  <c r="AP4332" i="15"/>
  <c r="AP4331" i="15"/>
  <c r="AP4330" i="15"/>
  <c r="AP4329" i="15"/>
  <c r="AP4328" i="15"/>
  <c r="AP4327" i="15"/>
  <c r="AP4326" i="15"/>
  <c r="AP4325" i="15"/>
  <c r="AP4324" i="15"/>
  <c r="AP4323" i="15"/>
  <c r="AP4322" i="15"/>
  <c r="AP4321" i="15"/>
  <c r="AP4320" i="15"/>
  <c r="AP4319" i="15"/>
  <c r="AP4318" i="15"/>
  <c r="AP4317" i="15"/>
  <c r="AP4316" i="15"/>
  <c r="AP4315" i="15"/>
  <c r="AP4314" i="15"/>
  <c r="AP4313" i="15"/>
  <c r="AP4312" i="15"/>
  <c r="AP4311" i="15"/>
  <c r="AP4310" i="15"/>
  <c r="AP4309" i="15"/>
  <c r="AP4308" i="15"/>
  <c r="AP4307" i="15"/>
  <c r="AP4306" i="15"/>
  <c r="AP4305" i="15"/>
  <c r="AP4304" i="15"/>
  <c r="AP4303" i="15"/>
  <c r="AP4302" i="15"/>
  <c r="AP4301" i="15"/>
  <c r="AP4300" i="15"/>
  <c r="AP4299" i="15"/>
  <c r="AP4298" i="15"/>
  <c r="AP4297" i="15"/>
  <c r="AP4296" i="15"/>
  <c r="AP4295" i="15"/>
  <c r="AP4294" i="15"/>
  <c r="AP4293" i="15"/>
  <c r="AP4292" i="15"/>
  <c r="AP4291" i="15"/>
  <c r="AP4290" i="15"/>
  <c r="AP4289" i="15"/>
  <c r="AP4288" i="15"/>
  <c r="AP4287" i="15"/>
  <c r="AP4286" i="15"/>
  <c r="AP4285" i="15"/>
  <c r="AP4284" i="15"/>
  <c r="AP4283" i="15"/>
  <c r="AP4282" i="15"/>
  <c r="AP4281" i="15"/>
  <c r="AP4280" i="15"/>
  <c r="AP4279" i="15"/>
  <c r="AP4278" i="15"/>
  <c r="AP4277" i="15"/>
  <c r="AP4276" i="15"/>
  <c r="AP4275" i="15"/>
  <c r="AP4274" i="15"/>
  <c r="AP4273" i="15"/>
  <c r="AP4272" i="15"/>
  <c r="AP4271" i="15"/>
  <c r="AP4270" i="15"/>
  <c r="AP4269" i="15"/>
  <c r="AP4268" i="15"/>
  <c r="AP4267" i="15"/>
  <c r="AP4266" i="15"/>
  <c r="AP4265" i="15"/>
  <c r="AP4264" i="15"/>
  <c r="AP4263" i="15"/>
  <c r="AP4262" i="15"/>
  <c r="AP4261" i="15"/>
  <c r="AP4260" i="15"/>
  <c r="AP4259" i="15"/>
  <c r="AP4258" i="15"/>
  <c r="AP4257" i="15"/>
  <c r="AP4256" i="15"/>
  <c r="AP4255" i="15"/>
  <c r="AP4254" i="15"/>
  <c r="AP4253" i="15"/>
  <c r="AP4252" i="15"/>
  <c r="AP4251" i="15"/>
  <c r="AP4250" i="15"/>
  <c r="AP4249" i="15"/>
  <c r="AP4248" i="15"/>
  <c r="AP4247" i="15"/>
  <c r="AP4246" i="15"/>
  <c r="AP4245" i="15"/>
  <c r="AP4244" i="15"/>
  <c r="AP4243" i="15"/>
  <c r="AP4242" i="15"/>
  <c r="AP4241" i="15"/>
  <c r="AP4240" i="15"/>
  <c r="AP4239" i="15"/>
  <c r="AP4238" i="15"/>
  <c r="AP4237" i="15"/>
  <c r="AP4236" i="15"/>
  <c r="AP4235" i="15"/>
  <c r="AP4234" i="15"/>
  <c r="AP4233" i="15"/>
  <c r="AP4232" i="15"/>
  <c r="AP4231" i="15"/>
  <c r="AP4230" i="15"/>
  <c r="AP4229" i="15"/>
  <c r="AP4228" i="15"/>
  <c r="AP4227" i="15"/>
  <c r="AP4226" i="15"/>
  <c r="AP4225" i="15"/>
  <c r="AP4224" i="15"/>
  <c r="AP4223" i="15"/>
  <c r="AP4222" i="15"/>
  <c r="AP4221" i="15"/>
  <c r="AP4220" i="15"/>
  <c r="AP4219" i="15"/>
  <c r="AP4218" i="15"/>
  <c r="AP4217" i="15"/>
  <c r="AP4216" i="15"/>
  <c r="AP4215" i="15"/>
  <c r="AP4214" i="15"/>
  <c r="AP4213" i="15"/>
  <c r="AP4212" i="15"/>
  <c r="AP4211" i="15"/>
  <c r="AP4210" i="15"/>
  <c r="AP4209" i="15"/>
  <c r="AP4208" i="15"/>
  <c r="AP4207" i="15"/>
  <c r="AP4206" i="15"/>
  <c r="AP4205" i="15"/>
  <c r="AP4204" i="15"/>
  <c r="AP4203" i="15"/>
  <c r="AP4202" i="15"/>
  <c r="AP4201" i="15"/>
  <c r="AP4200" i="15"/>
  <c r="AP4199" i="15"/>
  <c r="AP4198" i="15"/>
  <c r="AP4197" i="15"/>
  <c r="AP4196" i="15"/>
  <c r="AP4195" i="15"/>
  <c r="AP4194" i="15"/>
  <c r="AP4193" i="15"/>
  <c r="AP4192" i="15"/>
  <c r="AP4191" i="15"/>
  <c r="AP4190" i="15"/>
  <c r="AP4189" i="15"/>
  <c r="AP4188" i="15"/>
  <c r="AP4187" i="15"/>
  <c r="AP4186" i="15"/>
  <c r="AP4185" i="15"/>
  <c r="AP4184" i="15"/>
  <c r="AP4183" i="15"/>
  <c r="AP4182" i="15"/>
  <c r="AP4181" i="15"/>
  <c r="AP4180" i="15"/>
  <c r="AP4179" i="15"/>
  <c r="AP4178" i="15"/>
  <c r="AP4177" i="15"/>
  <c r="AP4176" i="15"/>
  <c r="AP4175" i="15"/>
  <c r="AP4174" i="15"/>
  <c r="AP4173" i="15"/>
  <c r="AP4172" i="15"/>
  <c r="AP4171" i="15"/>
  <c r="AP4170" i="15"/>
  <c r="AP4169" i="15"/>
  <c r="AP4168" i="15"/>
  <c r="AP4167" i="15"/>
  <c r="AP4166" i="15"/>
  <c r="AP4165" i="15"/>
  <c r="AP4164" i="15"/>
  <c r="AP4163" i="15"/>
  <c r="AP4162" i="15"/>
  <c r="AP4161" i="15"/>
  <c r="AP4160" i="15"/>
  <c r="AP4159" i="15"/>
  <c r="AP4158" i="15"/>
  <c r="AP4157" i="15"/>
  <c r="AP4156" i="15"/>
  <c r="AP4155" i="15"/>
  <c r="AP4154" i="15"/>
  <c r="AP4153" i="15"/>
  <c r="AP4152" i="15"/>
  <c r="AP4151" i="15"/>
  <c r="AP4150" i="15"/>
  <c r="AP4149" i="15"/>
  <c r="AP4148" i="15"/>
  <c r="AP4147" i="15"/>
  <c r="AP4146" i="15"/>
  <c r="AP4145" i="15"/>
  <c r="AP4144" i="15"/>
  <c r="AP4143" i="15"/>
  <c r="AP4142" i="15"/>
  <c r="AP4141" i="15"/>
  <c r="AP4140" i="15"/>
  <c r="AP4139" i="15"/>
  <c r="AP4138" i="15"/>
  <c r="AP4137" i="15"/>
  <c r="AP4136" i="15"/>
  <c r="AP4135" i="15"/>
  <c r="AP4134" i="15"/>
  <c r="AP4133" i="15"/>
  <c r="AP4132" i="15"/>
  <c r="AP4131" i="15"/>
  <c r="AP4130" i="15"/>
  <c r="AP4129" i="15"/>
  <c r="AP4128" i="15"/>
  <c r="AP4127" i="15"/>
  <c r="AP4126" i="15"/>
  <c r="AP4125" i="15"/>
  <c r="AP4124" i="15"/>
  <c r="AP4123" i="15"/>
  <c r="AP4122" i="15"/>
  <c r="AP4121" i="15"/>
  <c r="AP4120" i="15"/>
  <c r="AP4119" i="15"/>
  <c r="AP4118" i="15"/>
  <c r="AP4117" i="15"/>
  <c r="AP4116" i="15"/>
  <c r="AP4115" i="15"/>
  <c r="AP4114" i="15"/>
  <c r="AP4113" i="15"/>
  <c r="AP4112" i="15"/>
  <c r="AP4111" i="15"/>
  <c r="AP4110" i="15"/>
  <c r="AP4109" i="15"/>
  <c r="AP4108" i="15"/>
  <c r="AP4107" i="15"/>
  <c r="AP4106" i="15"/>
  <c r="AP4105" i="15"/>
  <c r="AP4104" i="15"/>
  <c r="AP4103" i="15"/>
  <c r="AP4102" i="15"/>
  <c r="AP4101" i="15"/>
  <c r="AP4100" i="15"/>
  <c r="AP4099" i="15"/>
  <c r="AP4098" i="15"/>
  <c r="AP4097" i="15"/>
  <c r="AP4096" i="15"/>
  <c r="AP4095" i="15"/>
  <c r="AP4094" i="15"/>
  <c r="AP4093" i="15"/>
  <c r="AP4092" i="15"/>
  <c r="AP4091" i="15"/>
  <c r="AP4090" i="15"/>
  <c r="AP4089" i="15"/>
  <c r="AP4088" i="15"/>
  <c r="AP4087" i="15"/>
  <c r="AP4086" i="15"/>
  <c r="AP4085" i="15"/>
  <c r="AP4084" i="15"/>
  <c r="AP4083" i="15"/>
  <c r="AP4082" i="15"/>
  <c r="AP4081" i="15"/>
  <c r="AP4080" i="15"/>
  <c r="AP4079" i="15"/>
  <c r="AP4078" i="15"/>
  <c r="AP4077" i="15"/>
  <c r="AP4076" i="15"/>
  <c r="AP4075" i="15"/>
  <c r="AP4074" i="15"/>
  <c r="AP4073" i="15"/>
  <c r="AP4072" i="15"/>
  <c r="AP4071" i="15"/>
  <c r="AP4070" i="15"/>
  <c r="AP4069" i="15"/>
  <c r="AP4068" i="15"/>
  <c r="AP4067" i="15"/>
  <c r="AP4066" i="15"/>
  <c r="AP4065" i="15"/>
  <c r="AP4064" i="15"/>
  <c r="AP4063" i="15"/>
  <c r="AP4062" i="15"/>
  <c r="AP4061" i="15"/>
  <c r="AP4060" i="15"/>
  <c r="AP4059" i="15"/>
  <c r="AP4058" i="15"/>
  <c r="AP4057" i="15"/>
  <c r="AP4056" i="15"/>
  <c r="AP4055" i="15"/>
  <c r="AP4054" i="15"/>
  <c r="AP4053" i="15"/>
  <c r="AP4052" i="15"/>
  <c r="AP4051" i="15"/>
  <c r="AP4050" i="15"/>
  <c r="AP4049" i="15"/>
  <c r="AP4048" i="15"/>
  <c r="AP4047" i="15"/>
  <c r="AP4046" i="15"/>
  <c r="AP4045" i="15"/>
  <c r="AP4044" i="15"/>
  <c r="AP4043" i="15"/>
  <c r="AP4042" i="15"/>
  <c r="AP4041" i="15"/>
  <c r="AP4040" i="15"/>
  <c r="AP4039" i="15"/>
  <c r="AP4038" i="15"/>
  <c r="AP4037" i="15"/>
  <c r="AP4036" i="15"/>
  <c r="AP4035" i="15"/>
  <c r="AP4034" i="15"/>
  <c r="AP4033" i="15"/>
  <c r="AP4032" i="15"/>
  <c r="AP4031" i="15"/>
  <c r="AP4030" i="15"/>
  <c r="AP4029" i="15"/>
  <c r="AP4028" i="15"/>
  <c r="AP4027" i="15"/>
  <c r="AP4026" i="15"/>
  <c r="AP4025" i="15"/>
  <c r="AP4024" i="15"/>
  <c r="AP4023" i="15"/>
  <c r="AP4022" i="15"/>
  <c r="AP4021" i="15"/>
  <c r="AP4020" i="15"/>
  <c r="AP4019" i="15"/>
  <c r="AP4018" i="15"/>
  <c r="AP4017" i="15"/>
  <c r="AP4016" i="15"/>
  <c r="AP4015" i="15"/>
  <c r="AP4014" i="15"/>
  <c r="AP4013" i="15"/>
  <c r="AP4012" i="15"/>
  <c r="AP4011" i="15"/>
  <c r="AP4010" i="15"/>
  <c r="AP4009" i="15"/>
  <c r="AP4008" i="15"/>
  <c r="AP4007" i="15"/>
  <c r="AP4006" i="15"/>
  <c r="AP4005" i="15"/>
  <c r="AP4004" i="15"/>
  <c r="AP4003" i="15"/>
  <c r="AP4002" i="15"/>
  <c r="AP4001" i="15"/>
  <c r="AP4000" i="15"/>
  <c r="AP3999" i="15"/>
  <c r="AP3998" i="15"/>
  <c r="AP3997" i="15"/>
  <c r="AP3996" i="15"/>
  <c r="AP3995" i="15"/>
  <c r="AP3994" i="15"/>
  <c r="AP3993" i="15"/>
  <c r="AP3992" i="15"/>
  <c r="AP3991" i="15"/>
  <c r="AP3990" i="15"/>
  <c r="AP3989" i="15"/>
  <c r="AP3988" i="15"/>
  <c r="AP3987" i="15"/>
  <c r="AP3986" i="15"/>
  <c r="AP3985" i="15"/>
  <c r="AP3984" i="15"/>
  <c r="AP3983" i="15"/>
  <c r="AP3982" i="15"/>
  <c r="AP3981" i="15"/>
  <c r="AP3980" i="15"/>
  <c r="AP3979" i="15"/>
  <c r="AP3978" i="15"/>
  <c r="AP3977" i="15"/>
  <c r="AP3976" i="15"/>
  <c r="AP3975" i="15"/>
  <c r="AP3974" i="15"/>
  <c r="AP3973" i="15"/>
  <c r="AP3972" i="15"/>
  <c r="AP3971" i="15"/>
  <c r="AP3970" i="15"/>
  <c r="AP3969" i="15"/>
  <c r="AP3968" i="15"/>
  <c r="AP3967" i="15"/>
  <c r="AP3966" i="15"/>
  <c r="AP3965" i="15"/>
  <c r="AP3964" i="15"/>
  <c r="AP3963" i="15"/>
  <c r="AP3962" i="15"/>
  <c r="AP3961" i="15"/>
  <c r="AP3960" i="15"/>
  <c r="AP3959" i="15"/>
  <c r="AP3958" i="15"/>
  <c r="AP3957" i="15"/>
  <c r="AP3956" i="15"/>
  <c r="AP3955" i="15"/>
  <c r="AP3954" i="15"/>
  <c r="AP3953" i="15"/>
  <c r="AP3952" i="15"/>
  <c r="AP3951" i="15"/>
  <c r="AP3950" i="15"/>
  <c r="AP3949" i="15"/>
  <c r="AP3948" i="15"/>
  <c r="AP3947" i="15"/>
  <c r="AP3946" i="15"/>
  <c r="AP3945" i="15"/>
  <c r="AP3944" i="15"/>
  <c r="AP3943" i="15"/>
  <c r="AP3942" i="15"/>
  <c r="AP3941" i="15"/>
  <c r="AP3940" i="15"/>
  <c r="AP3939" i="15"/>
  <c r="AP3938" i="15"/>
  <c r="AP3937" i="15"/>
  <c r="AP3936" i="15"/>
  <c r="AP3935" i="15"/>
  <c r="AP3934" i="15"/>
  <c r="AP3933" i="15"/>
  <c r="AP3932" i="15"/>
  <c r="AP3931" i="15"/>
  <c r="AP3930" i="15"/>
  <c r="AP3929" i="15"/>
  <c r="AP3928" i="15"/>
  <c r="AP3927" i="15"/>
  <c r="AP3926" i="15"/>
  <c r="AP3925" i="15"/>
  <c r="AP3924" i="15"/>
  <c r="AP3923" i="15"/>
  <c r="AP3922" i="15"/>
  <c r="AP3921" i="15"/>
  <c r="AP3920" i="15"/>
  <c r="AP3919" i="15"/>
  <c r="AP3918" i="15"/>
  <c r="AP3917" i="15"/>
  <c r="AP3916" i="15"/>
  <c r="AP3915" i="15"/>
  <c r="AP3914" i="15"/>
  <c r="AP3913" i="15"/>
  <c r="AP3912" i="15"/>
  <c r="AP3911" i="15"/>
  <c r="AP3910" i="15"/>
  <c r="AP3909" i="15"/>
  <c r="AP3908" i="15"/>
  <c r="AP3907" i="15"/>
  <c r="AP3906" i="15"/>
  <c r="AP3905" i="15"/>
  <c r="AP3904" i="15"/>
  <c r="AP3903" i="15"/>
  <c r="AP3902" i="15"/>
  <c r="AP3901" i="15"/>
  <c r="AP3900" i="15"/>
  <c r="AP3899" i="15"/>
  <c r="AP3898" i="15"/>
  <c r="AP3897" i="15"/>
  <c r="AP3896" i="15"/>
  <c r="AP3895" i="15"/>
  <c r="AP3894" i="15"/>
  <c r="AP3893" i="15"/>
  <c r="AP3892" i="15"/>
  <c r="AP3891" i="15"/>
  <c r="AP3890" i="15"/>
  <c r="AP3889" i="15"/>
  <c r="AP3888" i="15"/>
  <c r="AP3887" i="15"/>
  <c r="AP3886" i="15"/>
  <c r="AP3885" i="15"/>
  <c r="AP3884" i="15"/>
  <c r="AP3883" i="15"/>
  <c r="AP3882" i="15"/>
  <c r="AP3881" i="15"/>
  <c r="AP3880" i="15"/>
  <c r="AP3879" i="15"/>
  <c r="AP3878" i="15"/>
  <c r="AP3877" i="15"/>
  <c r="AP3876" i="15"/>
  <c r="AP3875" i="15"/>
  <c r="AP3874" i="15"/>
  <c r="AP3873" i="15"/>
  <c r="AP3872" i="15"/>
  <c r="AP3871" i="15"/>
  <c r="AP3870" i="15"/>
  <c r="AP3869" i="15"/>
  <c r="AP3868" i="15"/>
  <c r="AP3867" i="15"/>
  <c r="AP3866" i="15"/>
  <c r="AP3865" i="15"/>
  <c r="AP3864" i="15"/>
  <c r="AP3863" i="15"/>
  <c r="AP3862" i="15"/>
  <c r="AP3861" i="15"/>
  <c r="AP3860" i="15"/>
  <c r="AP3859" i="15"/>
  <c r="AP3858" i="15"/>
  <c r="AP3857" i="15"/>
  <c r="AP3856" i="15"/>
  <c r="AP3855" i="15"/>
  <c r="AP3854" i="15"/>
  <c r="AP3853" i="15"/>
  <c r="AP3852" i="15"/>
  <c r="AP3851" i="15"/>
  <c r="AP3850" i="15"/>
  <c r="AP3849" i="15"/>
  <c r="AP3848" i="15"/>
  <c r="AP3847" i="15"/>
  <c r="AP3846" i="15"/>
  <c r="AP3845" i="15"/>
  <c r="AP3844" i="15"/>
  <c r="AP3843" i="15"/>
  <c r="AP3842" i="15"/>
  <c r="AP3841" i="15"/>
  <c r="AP3840" i="15"/>
  <c r="AP3839" i="15"/>
  <c r="AP3838" i="15"/>
  <c r="AP3837" i="15"/>
  <c r="AP3836" i="15"/>
  <c r="AP3835" i="15"/>
  <c r="AP3834" i="15"/>
  <c r="AP3833" i="15"/>
  <c r="AP3832" i="15"/>
  <c r="AP3831" i="15"/>
  <c r="AP3830" i="15"/>
  <c r="AP3829" i="15"/>
  <c r="AP3828" i="15"/>
  <c r="AP3827" i="15"/>
  <c r="AP3826" i="15"/>
  <c r="AP3825" i="15"/>
  <c r="AP3824" i="15"/>
  <c r="AP3823" i="15"/>
  <c r="AP3822" i="15"/>
  <c r="AP3821" i="15"/>
  <c r="AP3820" i="15"/>
  <c r="AP3819" i="15"/>
  <c r="AP3818" i="15"/>
  <c r="AP3817" i="15"/>
  <c r="AP3816" i="15"/>
  <c r="AP3815" i="15"/>
  <c r="AP3814" i="15"/>
  <c r="AP3813" i="15"/>
  <c r="AP3812" i="15"/>
  <c r="AP3811" i="15"/>
  <c r="AP3810" i="15"/>
  <c r="AP3809" i="15"/>
  <c r="AP3808" i="15"/>
  <c r="AP3807" i="15"/>
  <c r="AP3806" i="15"/>
  <c r="AP3805" i="15"/>
  <c r="AP3804" i="15"/>
  <c r="AP3803" i="15"/>
  <c r="AP3802" i="15"/>
  <c r="AP3801" i="15"/>
  <c r="AP3800" i="15"/>
  <c r="AP3799" i="15"/>
  <c r="AP3798" i="15"/>
  <c r="AP3797" i="15"/>
  <c r="AP3796" i="15"/>
  <c r="AP3795" i="15"/>
  <c r="AP3794" i="15"/>
  <c r="AP3793" i="15"/>
  <c r="AP3792" i="15"/>
  <c r="AP3791" i="15"/>
  <c r="AP3790" i="15"/>
  <c r="AP3789" i="15"/>
  <c r="AP3788" i="15"/>
  <c r="AP3787" i="15"/>
  <c r="AP3786" i="15"/>
  <c r="AP3785" i="15"/>
  <c r="AP3784" i="15"/>
  <c r="AP3783" i="15"/>
  <c r="AP3782" i="15"/>
  <c r="AP3781" i="15"/>
  <c r="AP3780" i="15"/>
  <c r="AP3779" i="15"/>
  <c r="AP3778" i="15"/>
  <c r="AP3777" i="15"/>
  <c r="AP3776" i="15"/>
  <c r="AP3775" i="15"/>
  <c r="AP3774" i="15"/>
  <c r="AP3773" i="15"/>
  <c r="AP3772" i="15"/>
  <c r="AP3771" i="15"/>
  <c r="AP3770" i="15"/>
  <c r="AP3769" i="15"/>
  <c r="AP3768" i="15"/>
  <c r="AP3767" i="15"/>
  <c r="AP3766" i="15"/>
  <c r="AP3765" i="15"/>
  <c r="AP3764" i="15"/>
  <c r="AP3763" i="15"/>
  <c r="AP3762" i="15"/>
  <c r="AP3761" i="15"/>
  <c r="AP3760" i="15"/>
  <c r="AP3759" i="15"/>
  <c r="AP3758" i="15"/>
  <c r="AP3757" i="15"/>
  <c r="AP3756" i="15"/>
  <c r="AP3755" i="15"/>
  <c r="AP3754" i="15"/>
  <c r="AP3753" i="15"/>
  <c r="AP3752" i="15"/>
  <c r="AP3751" i="15"/>
  <c r="AP3750" i="15"/>
  <c r="AP3749" i="15"/>
  <c r="AP3748" i="15"/>
  <c r="AP3747" i="15"/>
  <c r="AP3746" i="15"/>
  <c r="AP3745" i="15"/>
  <c r="AP3744" i="15"/>
  <c r="AP3743" i="15"/>
  <c r="AP3742" i="15"/>
  <c r="AP3741" i="15"/>
  <c r="AP3740" i="15"/>
  <c r="AP3739" i="15"/>
  <c r="AP3738" i="15"/>
  <c r="AP3737" i="15"/>
  <c r="AP3736" i="15"/>
  <c r="AP3735" i="15"/>
  <c r="AP3734" i="15"/>
  <c r="AP3733" i="15"/>
  <c r="AP3732" i="15"/>
  <c r="AP3731" i="15"/>
  <c r="AP3730" i="15"/>
  <c r="AP3729" i="15"/>
  <c r="AP3728" i="15"/>
  <c r="AP3727" i="15"/>
  <c r="AP3726" i="15"/>
  <c r="AP3725" i="15"/>
  <c r="AP3724" i="15"/>
  <c r="AP3723" i="15"/>
  <c r="AP3722" i="15"/>
  <c r="AP3721" i="15"/>
  <c r="AP3720" i="15"/>
  <c r="AP3719" i="15"/>
  <c r="AP3718" i="15"/>
  <c r="AP3717" i="15"/>
  <c r="AP3716" i="15"/>
  <c r="AP3715" i="15"/>
  <c r="AP3714" i="15"/>
  <c r="AP3713" i="15"/>
  <c r="AP3712" i="15"/>
  <c r="AP3711" i="15"/>
  <c r="AP3710" i="15"/>
  <c r="AP3709" i="15"/>
  <c r="AP3708" i="15"/>
  <c r="AP3707" i="15"/>
  <c r="AP3706" i="15"/>
  <c r="AP3705" i="15"/>
  <c r="AP3704" i="15"/>
  <c r="AP3703" i="15"/>
  <c r="AP3702" i="15"/>
  <c r="AP3701" i="15"/>
  <c r="AP3700" i="15"/>
  <c r="AP3699" i="15"/>
  <c r="AP3698" i="15"/>
  <c r="AP3697" i="15"/>
  <c r="AP3696" i="15"/>
  <c r="AP3695" i="15"/>
  <c r="AP3694" i="15"/>
  <c r="AP3693" i="15"/>
  <c r="AP3692" i="15"/>
  <c r="AP3691" i="15"/>
  <c r="AP3690" i="15"/>
  <c r="AP3689" i="15"/>
  <c r="AP3688" i="15"/>
  <c r="AP3687" i="15"/>
  <c r="AP3686" i="15"/>
  <c r="AP3685" i="15"/>
  <c r="AP3684" i="15"/>
  <c r="AP3683" i="15"/>
  <c r="AP3682" i="15"/>
  <c r="AP3681" i="15"/>
  <c r="AP3680" i="15"/>
  <c r="AP3679" i="15"/>
  <c r="AP3678" i="15"/>
  <c r="AP3677" i="15"/>
  <c r="AP3676" i="15"/>
  <c r="AP3675" i="15"/>
  <c r="AP3674" i="15"/>
  <c r="AP3673" i="15"/>
  <c r="AP3672" i="15"/>
  <c r="AP3671" i="15"/>
  <c r="AP3670" i="15"/>
  <c r="AP3669" i="15"/>
  <c r="AP3668" i="15"/>
  <c r="AP3667" i="15"/>
  <c r="AP3666" i="15"/>
  <c r="AP3665" i="15"/>
  <c r="AP3664" i="15"/>
  <c r="AP3663" i="15"/>
  <c r="AP3662" i="15"/>
  <c r="AP3661" i="15"/>
  <c r="AP3660" i="15"/>
  <c r="AP3659" i="15"/>
  <c r="AP3658" i="15"/>
  <c r="AP3657" i="15"/>
  <c r="AP3656" i="15"/>
  <c r="AP3655" i="15"/>
  <c r="AP3654" i="15"/>
  <c r="AP3653" i="15"/>
  <c r="AP3652" i="15"/>
  <c r="AP3651" i="15"/>
  <c r="AP3650" i="15"/>
  <c r="AP3649" i="15"/>
  <c r="AP3648" i="15"/>
  <c r="AP3647" i="15"/>
  <c r="AP3646" i="15"/>
  <c r="AP3645" i="15"/>
  <c r="AP3644" i="15"/>
  <c r="AP3643" i="15"/>
  <c r="AP3642" i="15"/>
  <c r="AP3641" i="15"/>
  <c r="AP3640" i="15"/>
  <c r="AP3639" i="15"/>
  <c r="AP3638" i="15"/>
  <c r="AP3637" i="15"/>
  <c r="AP3636" i="15"/>
  <c r="AP3635" i="15"/>
  <c r="AP3634" i="15"/>
  <c r="AP3633" i="15"/>
  <c r="AP3632" i="15"/>
  <c r="AP3631" i="15"/>
  <c r="AP3630" i="15"/>
  <c r="AP3629" i="15"/>
  <c r="AP3628" i="15"/>
  <c r="AP3627" i="15"/>
  <c r="AP3626" i="15"/>
  <c r="AP3625" i="15"/>
  <c r="AP3624" i="15"/>
  <c r="AP3623" i="15"/>
  <c r="AP3622" i="15"/>
  <c r="AP3621" i="15"/>
  <c r="AP3620" i="15"/>
  <c r="AP3619" i="15"/>
  <c r="AP3618" i="15"/>
  <c r="AP3617" i="15"/>
  <c r="AP3616" i="15"/>
  <c r="AP3615" i="15"/>
  <c r="AP3614" i="15"/>
  <c r="AP3613" i="15"/>
  <c r="AP3612" i="15"/>
  <c r="AP3611" i="15"/>
  <c r="AP3610" i="15"/>
  <c r="AP3609" i="15"/>
  <c r="AP3608" i="15"/>
  <c r="AP3607" i="15"/>
  <c r="AP3606" i="15"/>
  <c r="AP3605" i="15"/>
  <c r="AP3604" i="15"/>
  <c r="AP3603" i="15"/>
  <c r="AP3602" i="15"/>
  <c r="AP3601" i="15"/>
  <c r="AP3600" i="15"/>
  <c r="AP3599" i="15"/>
  <c r="AP3598" i="15"/>
  <c r="AP3597" i="15"/>
  <c r="AP3596" i="15"/>
  <c r="AP3595" i="15"/>
  <c r="AP3594" i="15"/>
  <c r="AP3593" i="15"/>
  <c r="AP3592" i="15"/>
  <c r="AP3591" i="15"/>
  <c r="AP3590" i="15"/>
  <c r="AP3589" i="15"/>
  <c r="AP3588" i="15"/>
  <c r="AP3587" i="15"/>
  <c r="AP3586" i="15"/>
  <c r="AP3585" i="15"/>
  <c r="AP3584" i="15"/>
  <c r="AP3583" i="15"/>
  <c r="AP3582" i="15"/>
  <c r="AP3581" i="15"/>
  <c r="AP3580" i="15"/>
  <c r="AP3579" i="15"/>
  <c r="AP3578" i="15"/>
  <c r="AP3577" i="15"/>
  <c r="AP3576" i="15"/>
  <c r="AP3575" i="15"/>
  <c r="AP3574" i="15"/>
  <c r="AP3573" i="15"/>
  <c r="AP3572" i="15"/>
  <c r="AP3571" i="15"/>
  <c r="AP3570" i="15"/>
  <c r="AP3569" i="15"/>
  <c r="AP3568" i="15"/>
  <c r="AP3567" i="15"/>
  <c r="AP3566" i="15"/>
  <c r="AP3565" i="15"/>
  <c r="AP3564" i="15"/>
  <c r="AP3563" i="15"/>
  <c r="AP3562" i="15"/>
  <c r="AP3561" i="15"/>
  <c r="AP3560" i="15"/>
  <c r="AP3559" i="15"/>
  <c r="AP3558" i="15"/>
  <c r="AP3557" i="15"/>
  <c r="AP3556" i="15"/>
  <c r="AP3555" i="15"/>
  <c r="AP3554" i="15"/>
  <c r="AP3553" i="15"/>
  <c r="AP3552" i="15"/>
  <c r="AP3551" i="15"/>
  <c r="AP3550" i="15"/>
  <c r="AP3549" i="15"/>
  <c r="AP3548" i="15"/>
  <c r="AP3547" i="15"/>
  <c r="AP3546" i="15"/>
  <c r="AP3545" i="15"/>
  <c r="AP3544" i="15"/>
  <c r="AP3543" i="15"/>
  <c r="AP3542" i="15"/>
  <c r="AP3541" i="15"/>
  <c r="AP3540" i="15"/>
  <c r="AP3539" i="15"/>
  <c r="AP3538" i="15"/>
  <c r="AP3537" i="15"/>
  <c r="AP3536" i="15"/>
  <c r="AP3535" i="15"/>
  <c r="AP3534" i="15"/>
  <c r="AP3533" i="15"/>
  <c r="AP3532" i="15"/>
  <c r="AP3531" i="15"/>
  <c r="AP3530" i="15"/>
  <c r="AP3529" i="15"/>
  <c r="AP3528" i="15"/>
  <c r="AP3527" i="15"/>
  <c r="AP3526" i="15"/>
  <c r="AP3525" i="15"/>
  <c r="AP3524" i="15"/>
  <c r="AP3523" i="15"/>
  <c r="AP3522" i="15"/>
  <c r="AP3521" i="15"/>
  <c r="AP3520" i="15"/>
  <c r="AP3519" i="15"/>
  <c r="AP3518" i="15"/>
  <c r="AP3517" i="15"/>
  <c r="AP3516" i="15"/>
  <c r="AP3515" i="15"/>
  <c r="AP3514" i="15"/>
  <c r="AP3513" i="15"/>
  <c r="AP3512" i="15"/>
  <c r="AP3511" i="15"/>
  <c r="AP3510" i="15"/>
  <c r="AP3509" i="15"/>
  <c r="AP3508" i="15"/>
  <c r="AP3507" i="15"/>
  <c r="AP3506" i="15"/>
  <c r="AP3505" i="15"/>
  <c r="AP3504" i="15"/>
  <c r="AP3503" i="15"/>
  <c r="AP3502" i="15"/>
  <c r="AP3501" i="15"/>
  <c r="AP3500" i="15"/>
  <c r="AP3499" i="15"/>
  <c r="AP3498" i="15"/>
  <c r="AP3497" i="15"/>
  <c r="AP3496" i="15"/>
  <c r="AP3495" i="15"/>
  <c r="AP3494" i="15"/>
  <c r="AP3493" i="15"/>
  <c r="AP3492" i="15"/>
  <c r="AP3491" i="15"/>
  <c r="AP3490" i="15"/>
  <c r="AP3489" i="15"/>
  <c r="AP3488" i="15"/>
  <c r="AP3487" i="15"/>
  <c r="AP3486" i="15"/>
  <c r="AP3485" i="15"/>
  <c r="AP3484" i="15"/>
  <c r="AP3483" i="15"/>
  <c r="AP3482" i="15"/>
  <c r="AP3481" i="15"/>
  <c r="AP3480" i="15"/>
  <c r="AP3479" i="15"/>
  <c r="AP3478" i="15"/>
  <c r="AP3477" i="15"/>
  <c r="AP3476" i="15"/>
  <c r="AP3475" i="15"/>
  <c r="AP3474" i="15"/>
  <c r="AP3473" i="15"/>
  <c r="AP3472" i="15"/>
  <c r="AP3471" i="15"/>
  <c r="AP3470" i="15"/>
  <c r="AP3469" i="15"/>
  <c r="AP3468" i="15"/>
  <c r="AP3467" i="15"/>
  <c r="AP3466" i="15"/>
  <c r="AP3465" i="15"/>
  <c r="AP3464" i="15"/>
  <c r="AP3463" i="15"/>
  <c r="AP3462" i="15"/>
  <c r="AP3461" i="15"/>
  <c r="AP3460" i="15"/>
  <c r="AP3459" i="15"/>
  <c r="AP3458" i="15"/>
  <c r="AP3457" i="15"/>
  <c r="AP3456" i="15"/>
  <c r="AP3455" i="15"/>
  <c r="AP3454" i="15"/>
  <c r="AP3453" i="15"/>
  <c r="AP3452" i="15"/>
  <c r="AP3451" i="15"/>
  <c r="AP3450" i="15"/>
  <c r="AP3449" i="15"/>
  <c r="AP3448" i="15"/>
  <c r="AP3447" i="15"/>
  <c r="AP3446" i="15"/>
  <c r="AP3445" i="15"/>
  <c r="AP3444" i="15"/>
  <c r="AP3443" i="15"/>
  <c r="AP3442" i="15"/>
  <c r="AP3441" i="15"/>
  <c r="AP3440" i="15"/>
  <c r="AP3439" i="15"/>
  <c r="AP3438" i="15"/>
  <c r="AP3437" i="15"/>
  <c r="AP3436" i="15"/>
  <c r="AP3435" i="15"/>
  <c r="AP3434" i="15"/>
  <c r="AP3433" i="15"/>
  <c r="AP3432" i="15"/>
  <c r="AP3431" i="15"/>
  <c r="AP3430" i="15"/>
  <c r="AP3429" i="15"/>
  <c r="AP3428" i="15"/>
  <c r="AP3427" i="15"/>
  <c r="AP3426" i="15"/>
  <c r="AP3425" i="15"/>
  <c r="AP3424" i="15"/>
  <c r="AP3423" i="15"/>
  <c r="AP3422" i="15"/>
  <c r="AP3421" i="15"/>
  <c r="AP3420" i="15"/>
  <c r="AP3419" i="15"/>
  <c r="AP3418" i="15"/>
  <c r="AP3417" i="15"/>
  <c r="AP3416" i="15"/>
  <c r="AP3415" i="15"/>
  <c r="AP3414" i="15"/>
  <c r="AP3413" i="15"/>
  <c r="AP3412" i="15"/>
  <c r="AP3411" i="15"/>
  <c r="AP3410" i="15"/>
  <c r="AP3409" i="15"/>
  <c r="AP3408" i="15"/>
  <c r="AP3407" i="15"/>
  <c r="AP3406" i="15"/>
  <c r="AP3405" i="15"/>
  <c r="AP3404" i="15"/>
  <c r="AP3403" i="15"/>
  <c r="AP3402" i="15"/>
  <c r="AP3401" i="15"/>
  <c r="AP3400" i="15"/>
  <c r="AP3399" i="15"/>
  <c r="AP3398" i="15"/>
  <c r="AP3397" i="15"/>
  <c r="AP3396" i="15"/>
  <c r="AP3395" i="15"/>
  <c r="AP3394" i="15"/>
  <c r="AP3393" i="15"/>
  <c r="AP3392" i="15"/>
  <c r="AP3391" i="15"/>
  <c r="AP3390" i="15"/>
  <c r="AP3389" i="15"/>
  <c r="AP3388" i="15"/>
  <c r="AP3387" i="15"/>
  <c r="AP3386" i="15"/>
  <c r="AP3385" i="15"/>
  <c r="AP3384" i="15"/>
  <c r="AP3383" i="15"/>
  <c r="AP3382" i="15"/>
  <c r="AP3381" i="15"/>
  <c r="AP3380" i="15"/>
  <c r="AP3379" i="15"/>
  <c r="AP3378" i="15"/>
  <c r="AP3377" i="15"/>
  <c r="AP3376" i="15"/>
  <c r="AP3375" i="15"/>
  <c r="AP3374" i="15"/>
  <c r="AP3373" i="15"/>
  <c r="AP3372" i="15"/>
  <c r="AP3371" i="15"/>
  <c r="AP3370" i="15"/>
  <c r="AP3369" i="15"/>
  <c r="AP3368" i="15"/>
  <c r="AP3367" i="15"/>
  <c r="AP3366" i="15"/>
  <c r="AP3365" i="15"/>
  <c r="AP3364" i="15"/>
  <c r="AP3363" i="15"/>
  <c r="AP3362" i="15"/>
  <c r="AP3361" i="15"/>
  <c r="AP3360" i="15"/>
  <c r="AP3359" i="15"/>
  <c r="AP3358" i="15"/>
  <c r="AP3357" i="15"/>
  <c r="AP3356" i="15"/>
  <c r="AP3355" i="15"/>
  <c r="AP3354" i="15"/>
  <c r="AP3353" i="15"/>
  <c r="AP3352" i="15"/>
  <c r="AP3351" i="15"/>
  <c r="AP3350" i="15"/>
  <c r="AP3349" i="15"/>
  <c r="AP3348" i="15"/>
  <c r="AP3347" i="15"/>
  <c r="AP3346" i="15"/>
  <c r="AP3345" i="15"/>
  <c r="AP3344" i="15"/>
  <c r="AP3343" i="15"/>
  <c r="AP3342" i="15"/>
  <c r="AP3341" i="15"/>
  <c r="AP3340" i="15"/>
  <c r="AP3339" i="15"/>
  <c r="AP3338" i="15"/>
  <c r="AP3337" i="15"/>
  <c r="AP3336" i="15"/>
  <c r="AP3335" i="15"/>
  <c r="AP3334" i="15"/>
  <c r="AP3333" i="15"/>
  <c r="AP3332" i="15"/>
  <c r="AP3331" i="15"/>
  <c r="AP3330" i="15"/>
  <c r="AP3329" i="15"/>
  <c r="AP3328" i="15"/>
  <c r="AP3327" i="15"/>
  <c r="AP3326" i="15"/>
  <c r="AP3325" i="15"/>
  <c r="AP3324" i="15"/>
  <c r="AP3323" i="15"/>
  <c r="AP3322" i="15"/>
  <c r="AP3321" i="15"/>
  <c r="AP3320" i="15"/>
  <c r="AP3319" i="15"/>
  <c r="AP3318" i="15"/>
  <c r="AP3317" i="15"/>
  <c r="AP3316" i="15"/>
  <c r="AP3315" i="15"/>
  <c r="AP3314" i="15"/>
  <c r="AP3313" i="15"/>
  <c r="AP3312" i="15"/>
  <c r="AP3311" i="15"/>
  <c r="AP3310" i="15"/>
  <c r="AP3309" i="15"/>
  <c r="AP3308" i="15"/>
  <c r="AP3307" i="15"/>
  <c r="AP3306" i="15"/>
  <c r="AP3305" i="15"/>
  <c r="AP3304" i="15"/>
  <c r="AP3303" i="15"/>
  <c r="AP3302" i="15"/>
  <c r="AP3301" i="15"/>
  <c r="AP3300" i="15"/>
  <c r="AP3299" i="15"/>
  <c r="AP3298" i="15"/>
  <c r="AP3297" i="15"/>
  <c r="AP3296" i="15"/>
  <c r="AP3295" i="15"/>
  <c r="AP3294" i="15"/>
  <c r="AP3293" i="15"/>
  <c r="AP3292" i="15"/>
  <c r="AP3291" i="15"/>
  <c r="AP3290" i="15"/>
  <c r="AP3289" i="15"/>
  <c r="AP3288" i="15"/>
  <c r="AP3287" i="15"/>
  <c r="AP3286" i="15"/>
  <c r="AP3285" i="15"/>
  <c r="AP3284" i="15"/>
  <c r="AP3283" i="15"/>
  <c r="AP3282" i="15"/>
  <c r="AP3281" i="15"/>
  <c r="AP3280" i="15"/>
  <c r="AP3279" i="15"/>
  <c r="AP3278" i="15"/>
  <c r="AP3277" i="15"/>
  <c r="AP3276" i="15"/>
  <c r="AP3275" i="15"/>
  <c r="AP3274" i="15"/>
  <c r="AP3273" i="15"/>
  <c r="AP3272" i="15"/>
  <c r="AP3271" i="15"/>
  <c r="AP3270" i="15"/>
  <c r="AP3269" i="15"/>
  <c r="AP3268" i="15"/>
  <c r="AP3267" i="15"/>
  <c r="AP3266" i="15"/>
  <c r="AP3265" i="15"/>
  <c r="AP3264" i="15"/>
  <c r="AP3263" i="15"/>
  <c r="AP3262" i="15"/>
  <c r="AP3261" i="15"/>
  <c r="AP3260" i="15"/>
  <c r="AP3259" i="15"/>
  <c r="AP3258" i="15"/>
  <c r="AP3257" i="15"/>
  <c r="AP3256" i="15"/>
  <c r="AP3255" i="15"/>
  <c r="AP3254" i="15"/>
  <c r="AP3253" i="15"/>
  <c r="AP3252" i="15"/>
  <c r="AP3251" i="15"/>
  <c r="AP3250" i="15"/>
  <c r="AP3249" i="15"/>
  <c r="AP3248" i="15"/>
  <c r="AP3247" i="15"/>
  <c r="AP3246" i="15"/>
  <c r="AP3245" i="15"/>
  <c r="AP3244" i="15"/>
  <c r="AP3243" i="15"/>
  <c r="AP3242" i="15"/>
  <c r="AP3241" i="15"/>
  <c r="AP3240" i="15"/>
  <c r="AP3239" i="15"/>
  <c r="AP3238" i="15"/>
  <c r="AP3237" i="15"/>
  <c r="AP3236" i="15"/>
  <c r="AP3235" i="15"/>
  <c r="AP3234" i="15"/>
  <c r="AP3233" i="15"/>
  <c r="AP3232" i="15"/>
  <c r="AP3231" i="15"/>
  <c r="AP3230" i="15"/>
  <c r="AP3229" i="15"/>
  <c r="AP3228" i="15"/>
  <c r="AP3227" i="15"/>
  <c r="AP3226" i="15"/>
  <c r="AP3225" i="15"/>
  <c r="AP3224" i="15"/>
  <c r="AP3223" i="15"/>
  <c r="AP3222" i="15"/>
  <c r="AP3221" i="15"/>
  <c r="AP3220" i="15"/>
  <c r="AP3219" i="15"/>
  <c r="AP3218" i="15"/>
  <c r="AP3217" i="15"/>
  <c r="AP3216" i="15"/>
  <c r="AP3215" i="15"/>
  <c r="AP3214" i="15"/>
  <c r="AP3213" i="15"/>
  <c r="AP3212" i="15"/>
  <c r="AP3211" i="15"/>
  <c r="AP3210" i="15"/>
  <c r="AP3209" i="15"/>
  <c r="AP3208" i="15"/>
  <c r="AP3207" i="15"/>
  <c r="AP3206" i="15"/>
  <c r="AP3205" i="15"/>
  <c r="AP3204" i="15"/>
  <c r="AP3203" i="15"/>
  <c r="AP3202" i="15"/>
  <c r="AP3201" i="15"/>
  <c r="AP3200" i="15"/>
  <c r="AP3199" i="15"/>
  <c r="AP3198" i="15"/>
  <c r="AP3197" i="15"/>
  <c r="AP3196" i="15"/>
  <c r="AP3195" i="15"/>
  <c r="AP3194" i="15"/>
  <c r="AP3193" i="15"/>
  <c r="AP3192" i="15"/>
  <c r="AP3191" i="15"/>
  <c r="AP3190" i="15"/>
  <c r="AP3189" i="15"/>
  <c r="AP3188" i="15"/>
  <c r="AP3187" i="15"/>
  <c r="AP3186" i="15"/>
  <c r="AP3185" i="15"/>
  <c r="AP3184" i="15"/>
  <c r="AP3183" i="15"/>
  <c r="AP3182" i="15"/>
  <c r="AP3181" i="15"/>
  <c r="AP3180" i="15"/>
  <c r="AP3179" i="15"/>
  <c r="AP3178" i="15"/>
  <c r="AP3177" i="15"/>
  <c r="AP3176" i="15"/>
  <c r="AP3175" i="15"/>
  <c r="AP3174" i="15"/>
  <c r="AP3173" i="15"/>
  <c r="AP3172" i="15"/>
  <c r="AP3171" i="15"/>
  <c r="AP3170" i="15"/>
  <c r="AP3169" i="15"/>
  <c r="AP3168" i="15"/>
  <c r="AP3167" i="15"/>
  <c r="AP3166" i="15"/>
  <c r="AP3165" i="15"/>
  <c r="AP3164" i="15"/>
  <c r="AP3163" i="15"/>
  <c r="AP3162" i="15"/>
  <c r="AP3161" i="15"/>
  <c r="AP3160" i="15"/>
  <c r="AP3159" i="15"/>
  <c r="AP3158" i="15"/>
  <c r="AP3157" i="15"/>
  <c r="AP3156" i="15"/>
  <c r="AP3155" i="15"/>
  <c r="AP3154" i="15"/>
  <c r="AP3153" i="15"/>
  <c r="AP3152" i="15"/>
  <c r="AP3151" i="15"/>
  <c r="AP3150" i="15"/>
  <c r="AP3149" i="15"/>
  <c r="AP3148" i="15"/>
  <c r="AP3147" i="15"/>
  <c r="AP3146" i="15"/>
  <c r="AP3145" i="15"/>
  <c r="AP3144" i="15"/>
  <c r="AP3143" i="15"/>
  <c r="AP3142" i="15"/>
  <c r="AP3141" i="15"/>
  <c r="AP3140" i="15"/>
  <c r="AP3139" i="15"/>
  <c r="AP3138" i="15"/>
  <c r="AP3137" i="15"/>
  <c r="AP3136" i="15"/>
  <c r="AP3135" i="15"/>
  <c r="AP3134" i="15"/>
  <c r="AP3133" i="15"/>
  <c r="AP3132" i="15"/>
  <c r="AP3131" i="15"/>
  <c r="AP3130" i="15"/>
  <c r="AP3129" i="15"/>
  <c r="AP3128" i="15"/>
  <c r="AP3127" i="15"/>
  <c r="AP3126" i="15"/>
  <c r="AP3125" i="15"/>
  <c r="AP3124" i="15"/>
  <c r="AP3123" i="15"/>
  <c r="AP3122" i="15"/>
  <c r="AP3121" i="15"/>
  <c r="AP3120" i="15"/>
  <c r="AP3119" i="15"/>
  <c r="AP3118" i="15"/>
  <c r="AP3117" i="15"/>
  <c r="AP3116" i="15"/>
  <c r="AP3115" i="15"/>
  <c r="AP3114" i="15"/>
  <c r="AP3113" i="15"/>
  <c r="AP3112" i="15"/>
  <c r="AP3111" i="15"/>
  <c r="AP3110" i="15"/>
  <c r="AP3109" i="15"/>
  <c r="AP3108" i="15"/>
  <c r="AP3107" i="15"/>
  <c r="AP3106" i="15"/>
  <c r="AP3105" i="15"/>
  <c r="AP3104" i="15"/>
  <c r="AP3103" i="15"/>
  <c r="AP3102" i="15"/>
  <c r="AP3101" i="15"/>
  <c r="AP3100" i="15"/>
  <c r="AP3099" i="15"/>
  <c r="AP3098" i="15"/>
  <c r="AP3097" i="15"/>
  <c r="AP3096" i="15"/>
  <c r="AP3095" i="15"/>
  <c r="AP3094" i="15"/>
  <c r="AP3093" i="15"/>
  <c r="AP3092" i="15"/>
  <c r="AP3091" i="15"/>
  <c r="AP3090" i="15"/>
  <c r="AP3089" i="15"/>
  <c r="AP3088" i="15"/>
  <c r="AP3087" i="15"/>
  <c r="AP3086" i="15"/>
  <c r="AP3085" i="15"/>
  <c r="AP3084" i="15"/>
  <c r="AP3083" i="15"/>
  <c r="AP3082" i="15"/>
  <c r="AP3081" i="15"/>
  <c r="AP3080" i="15"/>
  <c r="AP3079" i="15"/>
  <c r="AP3078" i="15"/>
  <c r="AP3077" i="15"/>
  <c r="AP3076" i="15"/>
  <c r="AP3075" i="15"/>
  <c r="AP3074" i="15"/>
  <c r="AP3073" i="15"/>
  <c r="AP3072" i="15"/>
  <c r="AP3071" i="15"/>
  <c r="AP3070" i="15"/>
  <c r="AP3069" i="15"/>
  <c r="AP3068" i="15"/>
  <c r="AP3067" i="15"/>
  <c r="AP3066" i="15"/>
  <c r="AP3065" i="15"/>
  <c r="AP3064" i="15"/>
  <c r="AP3063" i="15"/>
  <c r="AP3062" i="15"/>
  <c r="AP3061" i="15"/>
  <c r="AP3060" i="15"/>
  <c r="AP3059" i="15"/>
  <c r="AP3058" i="15"/>
  <c r="AP3057" i="15"/>
  <c r="AP3056" i="15"/>
  <c r="AP3055" i="15"/>
  <c r="AP3054" i="15"/>
  <c r="AP3053" i="15"/>
  <c r="AP3052" i="15"/>
  <c r="AP3051" i="15"/>
  <c r="AP3050" i="15"/>
  <c r="AP3049" i="15"/>
  <c r="AP3048" i="15"/>
  <c r="AP3047" i="15"/>
  <c r="AP3046" i="15"/>
  <c r="AP3045" i="15"/>
  <c r="AP3044" i="15"/>
  <c r="AP3043" i="15"/>
  <c r="AP3042" i="15"/>
  <c r="AP3041" i="15"/>
  <c r="AP3040" i="15"/>
  <c r="AP3039" i="15"/>
  <c r="AP3038" i="15"/>
  <c r="AP3037" i="15"/>
  <c r="AP3036" i="15"/>
  <c r="AP3035" i="15"/>
  <c r="AP3034" i="15"/>
  <c r="AP3033" i="15"/>
  <c r="AP3032" i="15"/>
  <c r="AP3031" i="15"/>
  <c r="AP3030" i="15"/>
  <c r="AP3029" i="15"/>
  <c r="AP3028" i="15"/>
  <c r="AP3027" i="15"/>
  <c r="AP3026" i="15"/>
  <c r="AP3025" i="15"/>
  <c r="AP3024" i="15"/>
  <c r="AP3023" i="15"/>
  <c r="AP3022" i="15"/>
  <c r="AP3021" i="15"/>
  <c r="AP3020" i="15"/>
  <c r="AP3019" i="15"/>
  <c r="AP3018" i="15"/>
  <c r="AP3017" i="15"/>
  <c r="AP3016" i="15"/>
  <c r="AP3015" i="15"/>
  <c r="AP3014" i="15"/>
  <c r="AP3013" i="15"/>
  <c r="AP3012" i="15"/>
  <c r="AP3011" i="15"/>
  <c r="AP3010" i="15"/>
  <c r="AP3009" i="15"/>
  <c r="AP3008" i="15"/>
  <c r="AP3007" i="15"/>
  <c r="AP3006" i="15"/>
  <c r="AP3005" i="15"/>
  <c r="AP3004" i="15"/>
  <c r="AP3003" i="15"/>
  <c r="AP3002" i="15"/>
  <c r="AP3001" i="15"/>
  <c r="AP3000" i="15"/>
  <c r="AP2999" i="15"/>
  <c r="AP2998" i="15"/>
  <c r="AP2997" i="15"/>
  <c r="AP2996" i="15"/>
  <c r="AP2995" i="15"/>
  <c r="AP2994" i="15"/>
  <c r="AP2993" i="15"/>
  <c r="AP2992" i="15"/>
  <c r="AP2991" i="15"/>
  <c r="AP2990" i="15"/>
  <c r="AP2989" i="15"/>
  <c r="AP2988" i="15"/>
  <c r="AP2987" i="15"/>
  <c r="AP2986" i="15"/>
  <c r="AP2985" i="15"/>
  <c r="AP2984" i="15"/>
  <c r="AP2983" i="15"/>
  <c r="AP2982" i="15"/>
  <c r="AP2981" i="15"/>
  <c r="AP2980" i="15"/>
  <c r="AP2979" i="15"/>
  <c r="AP2978" i="15"/>
  <c r="AP2977" i="15"/>
  <c r="AP2976" i="15"/>
  <c r="AP2975" i="15"/>
  <c r="AP2974" i="15"/>
  <c r="AP2973" i="15"/>
  <c r="AP2972" i="15"/>
  <c r="AP2971" i="15"/>
  <c r="AP2970" i="15"/>
  <c r="AP2969" i="15"/>
  <c r="AP2968" i="15"/>
  <c r="AP2967" i="15"/>
  <c r="AP2966" i="15"/>
  <c r="AP2965" i="15"/>
  <c r="AP2964" i="15"/>
  <c r="AP2963" i="15"/>
  <c r="AP2962" i="15"/>
  <c r="AP2961" i="15"/>
  <c r="AP2960" i="15"/>
  <c r="AP2959" i="15"/>
  <c r="AP2958" i="15"/>
  <c r="AP2957" i="15"/>
  <c r="AP2956" i="15"/>
  <c r="AP2955" i="15"/>
  <c r="AP2954" i="15"/>
  <c r="AP2953" i="15"/>
  <c r="AP2952" i="15"/>
  <c r="AP2951" i="15"/>
  <c r="AP2950" i="15"/>
  <c r="AP2949" i="15"/>
  <c r="AP2948" i="15"/>
  <c r="AP2947" i="15"/>
  <c r="AP2946" i="15"/>
  <c r="AP2945" i="15"/>
  <c r="AP2944" i="15"/>
  <c r="AP2943" i="15"/>
  <c r="AP2942" i="15"/>
  <c r="AP2941" i="15"/>
  <c r="AP2940" i="15"/>
  <c r="AP2939" i="15"/>
  <c r="AP2938" i="15"/>
  <c r="AP2937" i="15"/>
  <c r="AP2936" i="15"/>
  <c r="AP2935" i="15"/>
  <c r="AP2934" i="15"/>
  <c r="AP2933" i="15"/>
  <c r="AP2932" i="15"/>
  <c r="AP2931" i="15"/>
  <c r="AP2930" i="15"/>
  <c r="AP2929" i="15"/>
  <c r="AP2928" i="15"/>
  <c r="AP2927" i="15"/>
  <c r="AP2926" i="15"/>
  <c r="AP2925" i="15"/>
  <c r="AP2924" i="15"/>
  <c r="AP2923" i="15"/>
  <c r="AP2922" i="15"/>
  <c r="AP2921" i="15"/>
  <c r="AP2920" i="15"/>
  <c r="AP2919" i="15"/>
  <c r="AP2918" i="15"/>
  <c r="AP2917" i="15"/>
  <c r="AP2916" i="15"/>
  <c r="AP2915" i="15"/>
  <c r="AP2914" i="15"/>
  <c r="AP2913" i="15"/>
  <c r="AP2912" i="15"/>
  <c r="AP2911" i="15"/>
  <c r="AP2910" i="15"/>
  <c r="AP2909" i="15"/>
  <c r="AP2908" i="15"/>
  <c r="AP2907" i="15"/>
  <c r="AP2906" i="15"/>
  <c r="AP2905" i="15"/>
  <c r="AP2904" i="15"/>
  <c r="AP2903" i="15"/>
  <c r="AP2902" i="15"/>
  <c r="AP2901" i="15"/>
  <c r="AP2900" i="15"/>
  <c r="AP2899" i="15"/>
  <c r="AP2898" i="15"/>
  <c r="AP2897" i="15"/>
  <c r="AP2896" i="15"/>
  <c r="AP2895" i="15"/>
  <c r="AP2894" i="15"/>
  <c r="AP2893" i="15"/>
  <c r="AP2892" i="15"/>
  <c r="AP2891" i="15"/>
  <c r="AP2890" i="15"/>
  <c r="AP2889" i="15"/>
  <c r="AP2888" i="15"/>
  <c r="AP2887" i="15"/>
  <c r="AP2886" i="15"/>
  <c r="AP2885" i="15"/>
  <c r="AP2884" i="15"/>
  <c r="AP2883" i="15"/>
  <c r="AP2882" i="15"/>
  <c r="AP2881" i="15"/>
  <c r="AP2880" i="15"/>
  <c r="AP2879" i="15"/>
  <c r="AP2878" i="15"/>
  <c r="AP2877" i="15"/>
  <c r="AP2876" i="15"/>
  <c r="AP2875" i="15"/>
  <c r="AP2874" i="15"/>
  <c r="AP2873" i="15"/>
  <c r="AP2872" i="15"/>
  <c r="AP2871" i="15"/>
  <c r="AP2870" i="15"/>
  <c r="AP2869" i="15"/>
  <c r="AP2868" i="15"/>
  <c r="AP2867" i="15"/>
  <c r="AP2866" i="15"/>
  <c r="AP2865" i="15"/>
  <c r="AP2864" i="15"/>
  <c r="AP2863" i="15"/>
  <c r="AP2862" i="15"/>
  <c r="AP2861" i="15"/>
  <c r="AP2860" i="15"/>
  <c r="AP2859" i="15"/>
  <c r="AP2858" i="15"/>
  <c r="AP2857" i="15"/>
  <c r="AP2856" i="15"/>
  <c r="AP2855" i="15"/>
  <c r="AP2854" i="15"/>
  <c r="AP2853" i="15"/>
  <c r="AP2852" i="15"/>
  <c r="AP2851" i="15"/>
  <c r="AP2850" i="15"/>
  <c r="AP2849" i="15"/>
  <c r="AP2848" i="15"/>
  <c r="AP2847" i="15"/>
  <c r="AP2846" i="15"/>
  <c r="AP2845" i="15"/>
  <c r="AP2844" i="15"/>
  <c r="AP2843" i="15"/>
  <c r="AP2842" i="15"/>
  <c r="AP2841" i="15"/>
  <c r="AP2840" i="15"/>
  <c r="AP2839" i="15"/>
  <c r="AP2838" i="15"/>
  <c r="AP2837" i="15"/>
  <c r="AP2836" i="15"/>
  <c r="AP2835" i="15"/>
  <c r="AP2834" i="15"/>
  <c r="AP2833" i="15"/>
  <c r="AP2832" i="15"/>
  <c r="AP2831" i="15"/>
  <c r="AP2830" i="15"/>
  <c r="AP2829" i="15"/>
  <c r="AP2828" i="15"/>
  <c r="AP2827" i="15"/>
  <c r="AP2826" i="15"/>
  <c r="AP2825" i="15"/>
  <c r="AP2824" i="15"/>
  <c r="AP2823" i="15"/>
  <c r="AP2822" i="15"/>
  <c r="AP2821" i="15"/>
  <c r="AP2820" i="15"/>
  <c r="AP2819" i="15"/>
  <c r="AP2818" i="15"/>
  <c r="AP2817" i="15"/>
  <c r="AP2816" i="15"/>
  <c r="AP2815" i="15"/>
  <c r="AP2814" i="15"/>
  <c r="AP2813" i="15"/>
  <c r="AP2812" i="15"/>
  <c r="AP2811" i="15"/>
  <c r="AP2810" i="15"/>
  <c r="AP2809" i="15"/>
  <c r="AP2808" i="15"/>
  <c r="AP2807" i="15"/>
  <c r="AP2806" i="15"/>
  <c r="AP2805" i="15"/>
  <c r="AP2804" i="15"/>
  <c r="AP2803" i="15"/>
  <c r="AP2802" i="15"/>
  <c r="AP2801" i="15"/>
  <c r="AP2800" i="15"/>
  <c r="AP2799" i="15"/>
  <c r="AP2798" i="15"/>
  <c r="AP2797" i="15"/>
  <c r="AP2796" i="15"/>
  <c r="AP2795" i="15"/>
  <c r="AP2794" i="15"/>
  <c r="AP2793" i="15"/>
  <c r="AP2792" i="15"/>
  <c r="AP2791" i="15"/>
  <c r="AP2790" i="15"/>
  <c r="AP2789" i="15"/>
  <c r="AP2788" i="15"/>
  <c r="AP2787" i="15"/>
  <c r="AP2786" i="15"/>
  <c r="AP2785" i="15"/>
  <c r="AP2784" i="15"/>
  <c r="AP2783" i="15"/>
  <c r="AP2782" i="15"/>
  <c r="AP2781" i="15"/>
  <c r="AP2780" i="15"/>
  <c r="AP2779" i="15"/>
  <c r="AP2778" i="15"/>
  <c r="AP2777" i="15"/>
  <c r="AP2776" i="15"/>
  <c r="AP2775" i="15"/>
  <c r="AP2774" i="15"/>
  <c r="AP2773" i="15"/>
  <c r="AP2772" i="15"/>
  <c r="AP2771" i="15"/>
  <c r="AP2770" i="15"/>
  <c r="AP2769" i="15"/>
  <c r="AP2768" i="15"/>
  <c r="AP2767" i="15"/>
  <c r="AP2766" i="15"/>
  <c r="AP2765" i="15"/>
  <c r="AP2764" i="15"/>
  <c r="AP2763" i="15"/>
  <c r="AP2762" i="15"/>
  <c r="AP2761" i="15"/>
  <c r="AP2760" i="15"/>
  <c r="AP2759" i="15"/>
  <c r="AP2758" i="15"/>
  <c r="AP2757" i="15"/>
  <c r="AP2756" i="15"/>
  <c r="AP2755" i="15"/>
  <c r="AP2754" i="15"/>
  <c r="AP2753" i="15"/>
  <c r="AP2752" i="15"/>
  <c r="AP2751" i="15"/>
  <c r="AP2750" i="15"/>
  <c r="AP2749" i="15"/>
  <c r="AP2748" i="15"/>
  <c r="AP2747" i="15"/>
  <c r="AP2746" i="15"/>
  <c r="AP2745" i="15"/>
  <c r="AP2744" i="15"/>
  <c r="AP2743" i="15"/>
  <c r="AP2742" i="15"/>
  <c r="AP2741" i="15"/>
  <c r="AP2740" i="15"/>
  <c r="AP2739" i="15"/>
  <c r="AP2738" i="15"/>
  <c r="AP2737" i="15"/>
  <c r="AP2736" i="15"/>
  <c r="AP2735" i="15"/>
  <c r="AP2734" i="15"/>
  <c r="AP2733" i="15"/>
  <c r="AP2732" i="15"/>
  <c r="AP2731" i="15"/>
  <c r="AP2730" i="15"/>
  <c r="AP2729" i="15"/>
  <c r="AP2728" i="15"/>
  <c r="AP2727" i="15"/>
  <c r="AP2726" i="15"/>
  <c r="AP2725" i="15"/>
  <c r="AP2724" i="15"/>
  <c r="AP2723" i="15"/>
  <c r="AP2722" i="15"/>
  <c r="AP2721" i="15"/>
  <c r="AP2720" i="15"/>
  <c r="AP2719" i="15"/>
  <c r="AP2718" i="15"/>
  <c r="AP2717" i="15"/>
  <c r="AP2716" i="15"/>
  <c r="AP2715" i="15"/>
  <c r="AP2714" i="15"/>
  <c r="AP2713" i="15"/>
  <c r="AP2712" i="15"/>
  <c r="AP2711" i="15"/>
  <c r="AP2710" i="15"/>
  <c r="AP2709" i="15"/>
  <c r="AP2708" i="15"/>
  <c r="AP2707" i="15"/>
  <c r="AP2706" i="15"/>
  <c r="AP2705" i="15"/>
  <c r="AP2704" i="15"/>
  <c r="AP2703" i="15"/>
  <c r="AP2702" i="15"/>
  <c r="AP2701" i="15"/>
  <c r="AP2700" i="15"/>
  <c r="AP2699" i="15"/>
  <c r="AP2698" i="15"/>
  <c r="AP2697" i="15"/>
  <c r="AP2696" i="15"/>
  <c r="AP2695" i="15"/>
  <c r="AP2694" i="15"/>
  <c r="AP2693" i="15"/>
  <c r="AP2692" i="15"/>
  <c r="AP2691" i="15"/>
  <c r="AP2690" i="15"/>
  <c r="AP2689" i="15"/>
  <c r="AP2688" i="15"/>
  <c r="AP2687" i="15"/>
  <c r="AP2686" i="15"/>
  <c r="AP2685" i="15"/>
  <c r="AP2684" i="15"/>
  <c r="AP2683" i="15"/>
  <c r="AP2682" i="15"/>
  <c r="AP2681" i="15"/>
  <c r="AP2680" i="15"/>
  <c r="AP2679" i="15"/>
  <c r="AP2678" i="15"/>
  <c r="AP2677" i="15"/>
  <c r="AP2676" i="15"/>
  <c r="AP2675" i="15"/>
  <c r="AP2674" i="15"/>
  <c r="AP2673" i="15"/>
  <c r="AP2672" i="15"/>
  <c r="AP2671" i="15"/>
  <c r="AP2670" i="15"/>
  <c r="AP2669" i="15"/>
  <c r="AP2668" i="15"/>
  <c r="AP2667" i="15"/>
  <c r="AP2666" i="15"/>
  <c r="AP2665" i="15"/>
  <c r="AP2664" i="15"/>
  <c r="AP2663" i="15"/>
  <c r="AP2662" i="15"/>
  <c r="AP2661" i="15"/>
  <c r="AP2660" i="15"/>
  <c r="AP2659" i="15"/>
  <c r="AP2658" i="15"/>
  <c r="AP2657" i="15"/>
  <c r="AP2656" i="15"/>
  <c r="AP2655" i="15"/>
  <c r="AP2654" i="15"/>
  <c r="AP2653" i="15"/>
  <c r="AP2652" i="15"/>
  <c r="AP2651" i="15"/>
  <c r="AP2650" i="15"/>
  <c r="AP2649" i="15"/>
  <c r="AP2648" i="15"/>
  <c r="AP2647" i="15"/>
  <c r="AP2646" i="15"/>
  <c r="AP2645" i="15"/>
  <c r="AP2644" i="15"/>
  <c r="AP2643" i="15"/>
  <c r="AP2642" i="15"/>
  <c r="AP2641" i="15"/>
  <c r="AP2640" i="15"/>
  <c r="AP2639" i="15"/>
  <c r="AP2638" i="15"/>
  <c r="AP2637" i="15"/>
  <c r="AP2636" i="15"/>
  <c r="AP2635" i="15"/>
  <c r="AP2634" i="15"/>
  <c r="AP2633" i="15"/>
  <c r="AP2632" i="15"/>
  <c r="AP2631" i="15"/>
  <c r="AP2630" i="15"/>
  <c r="AP2629" i="15"/>
  <c r="AP2628" i="15"/>
  <c r="AP2627" i="15"/>
  <c r="AP2626" i="15"/>
  <c r="AP2625" i="15"/>
  <c r="AP2624" i="15"/>
  <c r="AP2623" i="15"/>
  <c r="AP2622" i="15"/>
  <c r="AP2621" i="15"/>
  <c r="AP2620" i="15"/>
  <c r="AP2619" i="15"/>
  <c r="AP2618" i="15"/>
  <c r="AP2617" i="15"/>
  <c r="AP2616" i="15"/>
  <c r="AP2615" i="15"/>
  <c r="AP2614" i="15"/>
  <c r="AP2613" i="15"/>
  <c r="AP2612" i="15"/>
  <c r="AP2611" i="15"/>
  <c r="AP2610" i="15"/>
  <c r="AP2609" i="15"/>
  <c r="AP2608" i="15"/>
  <c r="AP2607" i="15"/>
  <c r="AP2606" i="15"/>
  <c r="AP2605" i="15"/>
  <c r="AP2604" i="15"/>
  <c r="AP2603" i="15"/>
  <c r="AP2602" i="15"/>
  <c r="AP2601" i="15"/>
  <c r="AP2600" i="15"/>
  <c r="AP2599" i="15"/>
  <c r="AP2598" i="15"/>
  <c r="AP2597" i="15"/>
  <c r="AP2596" i="15"/>
  <c r="AP2595" i="15"/>
  <c r="AP2594" i="15"/>
  <c r="AP2593" i="15"/>
  <c r="AP2592" i="15"/>
  <c r="AP2591" i="15"/>
  <c r="AP2590" i="15"/>
  <c r="AP2589" i="15"/>
  <c r="AP2588" i="15"/>
  <c r="AP2587" i="15"/>
  <c r="AP2586" i="15"/>
  <c r="AP2585" i="15"/>
  <c r="AP2584" i="15"/>
  <c r="AP2583" i="15"/>
  <c r="AP2582" i="15"/>
  <c r="AP2581" i="15"/>
  <c r="AP2580" i="15"/>
  <c r="AP2579" i="15"/>
  <c r="AP2578" i="15"/>
  <c r="AP2577" i="15"/>
  <c r="AP2576" i="15"/>
  <c r="AP2575" i="15"/>
  <c r="AP2574" i="15"/>
  <c r="AP2573" i="15"/>
  <c r="AP2572" i="15"/>
  <c r="AP2571" i="15"/>
  <c r="AP2570" i="15"/>
  <c r="AP2569" i="15"/>
  <c r="AP2568" i="15"/>
  <c r="AP2567" i="15"/>
  <c r="AP2566" i="15"/>
  <c r="AP2565" i="15"/>
  <c r="AP2564" i="15"/>
  <c r="AP2563" i="15"/>
  <c r="AP2562" i="15"/>
  <c r="AP2561" i="15"/>
  <c r="AP2560" i="15"/>
  <c r="AP2559" i="15"/>
  <c r="AP2558" i="15"/>
  <c r="AP2557" i="15"/>
  <c r="AP2556" i="15"/>
  <c r="AP2555" i="15"/>
  <c r="AP2554" i="15"/>
  <c r="AP2553" i="15"/>
  <c r="AP2552" i="15"/>
  <c r="AP2551" i="15"/>
  <c r="AP2550" i="15"/>
  <c r="AP2549" i="15"/>
  <c r="AP2548" i="15"/>
  <c r="AP2547" i="15"/>
  <c r="AP2546" i="15"/>
  <c r="AP2545" i="15"/>
  <c r="AP2544" i="15"/>
  <c r="AP2543" i="15"/>
  <c r="AP2542" i="15"/>
  <c r="AP2541" i="15"/>
  <c r="AP2540" i="15"/>
  <c r="AP2539" i="15"/>
  <c r="AP2538" i="15"/>
  <c r="AP2537" i="15"/>
  <c r="AP2536" i="15"/>
  <c r="AP2535" i="15"/>
  <c r="AP2534" i="15"/>
  <c r="AP2533" i="15"/>
  <c r="AP2532" i="15"/>
  <c r="AP2531" i="15"/>
  <c r="AP2530" i="15"/>
  <c r="AP2529" i="15"/>
  <c r="AP2528" i="15"/>
  <c r="AP2527" i="15"/>
  <c r="AP2526" i="15"/>
  <c r="AP2525" i="15"/>
  <c r="AP2524" i="15"/>
  <c r="AP2523" i="15"/>
  <c r="AP2522" i="15"/>
  <c r="AP2521" i="15"/>
  <c r="AP2520" i="15"/>
  <c r="AP2519" i="15"/>
  <c r="AP2518" i="15"/>
  <c r="AP2517" i="15"/>
  <c r="AP2516" i="15"/>
  <c r="AP2515" i="15"/>
  <c r="AP2514" i="15"/>
  <c r="AP2513" i="15"/>
  <c r="AP2512" i="15"/>
  <c r="AP2511" i="15"/>
  <c r="AP2510" i="15"/>
  <c r="AP2509" i="15"/>
  <c r="AP2508" i="15"/>
  <c r="AP2507" i="15"/>
  <c r="AP2506" i="15"/>
  <c r="AP2505" i="15"/>
  <c r="AP2504" i="15"/>
  <c r="AP2503" i="15"/>
  <c r="AP2502" i="15"/>
  <c r="AP2501" i="15"/>
  <c r="AP2500" i="15"/>
  <c r="AP2499" i="15"/>
  <c r="AP2498" i="15"/>
  <c r="AP2497" i="15"/>
  <c r="AP2496" i="15"/>
  <c r="AP2495" i="15"/>
  <c r="AP2494" i="15"/>
  <c r="AP2493" i="15"/>
  <c r="AP2492" i="15"/>
  <c r="AP2491" i="15"/>
  <c r="AP2490" i="15"/>
  <c r="AP2489" i="15"/>
  <c r="AP2488" i="15"/>
  <c r="AP2487" i="15"/>
  <c r="AP2486" i="15"/>
  <c r="AP2485" i="15"/>
  <c r="AP2484" i="15"/>
  <c r="AP2483" i="15"/>
  <c r="AP2482" i="15"/>
  <c r="AP2481" i="15"/>
  <c r="AP2480" i="15"/>
  <c r="AP2479" i="15"/>
  <c r="AP2478" i="15"/>
  <c r="AP2477" i="15"/>
  <c r="AP2476" i="15"/>
  <c r="AP2475" i="15"/>
  <c r="AP2474" i="15"/>
  <c r="AP2473" i="15"/>
  <c r="AP2472" i="15"/>
  <c r="AP2471" i="15"/>
  <c r="AP2470" i="15"/>
  <c r="AP2469" i="15"/>
  <c r="AP2468" i="15"/>
  <c r="AP2467" i="15"/>
  <c r="AP2466" i="15"/>
  <c r="AP2465" i="15"/>
  <c r="AP2464" i="15"/>
  <c r="AP2463" i="15"/>
  <c r="AP2462" i="15"/>
  <c r="AP2461" i="15"/>
  <c r="AP2460" i="15"/>
  <c r="AP2459" i="15"/>
  <c r="AP2458" i="15"/>
  <c r="AP2457" i="15"/>
  <c r="AP2456" i="15"/>
  <c r="AP2455" i="15"/>
  <c r="AP2454" i="15"/>
  <c r="AP2453" i="15"/>
  <c r="AP2452" i="15"/>
  <c r="AP2451" i="15"/>
  <c r="AP2450" i="15"/>
  <c r="AP2449" i="15"/>
  <c r="AP2448" i="15"/>
  <c r="AP2447" i="15"/>
  <c r="AP2446" i="15"/>
  <c r="AP2445" i="15"/>
  <c r="AP2444" i="15"/>
  <c r="AP2443" i="15"/>
  <c r="AP2442" i="15"/>
  <c r="AP2441" i="15"/>
  <c r="AP2440" i="15"/>
  <c r="AP2439" i="15"/>
  <c r="AP2438" i="15"/>
  <c r="AP2437" i="15"/>
  <c r="AP2436" i="15"/>
  <c r="AP2435" i="15"/>
  <c r="AP2434" i="15"/>
  <c r="AP2433" i="15"/>
  <c r="AP2432" i="15"/>
  <c r="AP2431" i="15"/>
  <c r="AP2430" i="15"/>
  <c r="AP2429" i="15"/>
  <c r="AP2428" i="15"/>
  <c r="AP2427" i="15"/>
  <c r="AP2426" i="15"/>
  <c r="AP2425" i="15"/>
  <c r="AP2424" i="15"/>
  <c r="AP2423" i="15"/>
  <c r="AP2422" i="15"/>
  <c r="AP2421" i="15"/>
  <c r="AP2420" i="15"/>
  <c r="AP2419" i="15"/>
  <c r="AP2418" i="15"/>
  <c r="AP2417" i="15"/>
  <c r="AP2416" i="15"/>
  <c r="AP2415" i="15"/>
  <c r="AP2414" i="15"/>
  <c r="AP2413" i="15"/>
  <c r="AP2412" i="15"/>
  <c r="AP2411" i="15"/>
  <c r="AP2410" i="15"/>
  <c r="AP2409" i="15"/>
  <c r="AP2408" i="15"/>
  <c r="AP2407" i="15"/>
  <c r="AP2406" i="15"/>
  <c r="AP2405" i="15"/>
  <c r="AP2404" i="15"/>
  <c r="AP2403" i="15"/>
  <c r="AP2402" i="15"/>
  <c r="AP2401" i="15"/>
  <c r="AP2400" i="15"/>
  <c r="AP2399" i="15"/>
  <c r="AP2398" i="15"/>
  <c r="AP2397" i="15"/>
  <c r="AP2396" i="15"/>
  <c r="AP2395" i="15"/>
  <c r="AP2394" i="15"/>
  <c r="AP2393" i="15"/>
  <c r="AP2392" i="15"/>
  <c r="AP2391" i="15"/>
  <c r="AP2390" i="15"/>
  <c r="AP2389" i="15"/>
  <c r="AP2388" i="15"/>
  <c r="AP2387" i="15"/>
  <c r="AP2386" i="15"/>
  <c r="AP2385" i="15"/>
  <c r="AP2384" i="15"/>
  <c r="AP2383" i="15"/>
  <c r="AP2382" i="15"/>
  <c r="AP2381" i="15"/>
  <c r="AP2380" i="15"/>
  <c r="AP2379" i="15"/>
  <c r="AP2378" i="15"/>
  <c r="AP2377" i="15"/>
  <c r="AP2376" i="15"/>
  <c r="AP2375" i="15"/>
  <c r="AP2374" i="15"/>
  <c r="AP2373" i="15"/>
  <c r="AP2372" i="15"/>
  <c r="AP2371" i="15"/>
  <c r="AP2370" i="15"/>
  <c r="AP2369" i="15"/>
  <c r="AP2368" i="15"/>
  <c r="AP2367" i="15"/>
  <c r="AP2366" i="15"/>
  <c r="AP2365" i="15"/>
  <c r="AP2364" i="15"/>
  <c r="AP2363" i="15"/>
  <c r="AP2362" i="15"/>
  <c r="AP2361" i="15"/>
  <c r="AP2360" i="15"/>
  <c r="AP2359" i="15"/>
  <c r="AP2358" i="15"/>
  <c r="AP2357" i="15"/>
  <c r="AP2356" i="15"/>
  <c r="AP2355" i="15"/>
  <c r="AP2354" i="15"/>
  <c r="AP2353" i="15"/>
  <c r="AP2352" i="15"/>
  <c r="AP2351" i="15"/>
  <c r="AP2350" i="15"/>
  <c r="AP2349" i="15"/>
  <c r="AP2348" i="15"/>
  <c r="AP2347" i="15"/>
  <c r="AP2346" i="15"/>
  <c r="AP2345" i="15"/>
  <c r="AP2344" i="15"/>
  <c r="AP2343" i="15"/>
  <c r="AP2342" i="15"/>
  <c r="AP2341" i="15"/>
  <c r="AP2340" i="15"/>
  <c r="AP2339" i="15"/>
  <c r="AP2338" i="15"/>
  <c r="AP2337" i="15"/>
  <c r="AP2336" i="15"/>
  <c r="AP2335" i="15"/>
  <c r="AP2334" i="15"/>
  <c r="AP2333" i="15"/>
  <c r="AP2332" i="15"/>
  <c r="AP2331" i="15"/>
  <c r="AP2330" i="15"/>
  <c r="AP2329" i="15"/>
  <c r="AP2328" i="15"/>
  <c r="AP2327" i="15"/>
  <c r="AP2326" i="15"/>
  <c r="AP2325" i="15"/>
  <c r="AP2324" i="15"/>
  <c r="AP2323" i="15"/>
  <c r="AP2322" i="15"/>
  <c r="AP2321" i="15"/>
  <c r="AP2320" i="15"/>
  <c r="AP2319" i="15"/>
  <c r="AP2318" i="15"/>
  <c r="AP2317" i="15"/>
  <c r="AP2316" i="15"/>
  <c r="AP2315" i="15"/>
  <c r="AP2314" i="15"/>
  <c r="AP2313" i="15"/>
  <c r="AP2312" i="15"/>
  <c r="AP2311" i="15"/>
  <c r="AP2310" i="15"/>
  <c r="AP2309" i="15"/>
  <c r="AP2308" i="15"/>
  <c r="AP2307" i="15"/>
  <c r="AP2306" i="15"/>
  <c r="AP2305" i="15"/>
  <c r="AP2304" i="15"/>
  <c r="AP2303" i="15"/>
  <c r="AP2302" i="15"/>
  <c r="AP2301" i="15"/>
  <c r="AP2300" i="15"/>
  <c r="AP2299" i="15"/>
  <c r="AP2298" i="15"/>
  <c r="AP2297" i="15"/>
  <c r="AP2296" i="15"/>
  <c r="AP2295" i="15"/>
  <c r="AP2294" i="15"/>
  <c r="AP2293" i="15"/>
  <c r="AP2292" i="15"/>
  <c r="AP2291" i="15"/>
  <c r="AP2290" i="15"/>
  <c r="AP2289" i="15"/>
  <c r="AP2288" i="15"/>
  <c r="AP2287" i="15"/>
  <c r="AP2286" i="15"/>
  <c r="AP2285" i="15"/>
  <c r="AP2284" i="15"/>
  <c r="AP2283" i="15"/>
  <c r="AP2282" i="15"/>
  <c r="AP2281" i="15"/>
  <c r="AP2280" i="15"/>
  <c r="AP2279" i="15"/>
  <c r="AP2278" i="15"/>
  <c r="AP2277" i="15"/>
  <c r="AP2276" i="15"/>
  <c r="AP2275" i="15"/>
  <c r="AP2274" i="15"/>
  <c r="AP2273" i="15"/>
  <c r="AP2272" i="15"/>
  <c r="AP2271" i="15"/>
  <c r="AP2270" i="15"/>
  <c r="AP2269" i="15"/>
  <c r="AP2268" i="15"/>
  <c r="AP2267" i="15"/>
  <c r="AP2266" i="15"/>
  <c r="AP2265" i="15"/>
  <c r="AP2264" i="15"/>
  <c r="AP2263" i="15"/>
  <c r="AP2262" i="15"/>
  <c r="AP2261" i="15"/>
  <c r="AP2260" i="15"/>
  <c r="AP2259" i="15"/>
  <c r="AP2258" i="15"/>
  <c r="AP2257" i="15"/>
  <c r="AP2256" i="15"/>
  <c r="AP2255" i="15"/>
  <c r="AP2254" i="15"/>
  <c r="AP2253" i="15"/>
  <c r="AP2252" i="15"/>
  <c r="AP2251" i="15"/>
  <c r="AP2250" i="15"/>
  <c r="AP2249" i="15"/>
  <c r="AP2248" i="15"/>
  <c r="AP2247" i="15"/>
  <c r="AP2246" i="15"/>
  <c r="AP2245" i="15"/>
  <c r="AP2244" i="15"/>
  <c r="AP2243" i="15"/>
  <c r="AP2242" i="15"/>
  <c r="AP2241" i="15"/>
  <c r="AP2240" i="15"/>
  <c r="AP2239" i="15"/>
  <c r="AP2238" i="15"/>
  <c r="AP2237" i="15"/>
  <c r="AP2236" i="15"/>
  <c r="AP2235" i="15"/>
  <c r="AP2234" i="15"/>
  <c r="AP2233" i="15"/>
  <c r="AP2232" i="15"/>
  <c r="AP2231" i="15"/>
  <c r="AP2230" i="15"/>
  <c r="AP2229" i="15"/>
  <c r="AP2228" i="15"/>
  <c r="AP2227" i="15"/>
  <c r="AP2226" i="15"/>
  <c r="AP2225" i="15"/>
  <c r="AP2224" i="15"/>
  <c r="AP2223" i="15"/>
  <c r="AP2222" i="15"/>
  <c r="AP2221" i="15"/>
  <c r="AP2220" i="15"/>
  <c r="AP2219" i="15"/>
  <c r="AP2218" i="15"/>
  <c r="AP2217" i="15"/>
  <c r="AP2216" i="15"/>
  <c r="AP2215" i="15"/>
  <c r="AP2214" i="15"/>
  <c r="AP2213" i="15"/>
  <c r="AP2212" i="15"/>
  <c r="AP2211" i="15"/>
  <c r="AP2210" i="15"/>
  <c r="AP2209" i="15"/>
  <c r="AP2208" i="15"/>
  <c r="AP2207" i="15"/>
  <c r="AP2206" i="15"/>
  <c r="AP2205" i="15"/>
  <c r="AP2204" i="15"/>
  <c r="AP2203" i="15"/>
  <c r="AP2202" i="15"/>
  <c r="AP2201" i="15"/>
  <c r="AP2200" i="15"/>
  <c r="AP2199" i="15"/>
  <c r="AP2198" i="15"/>
  <c r="AP2197" i="15"/>
  <c r="AP2196" i="15"/>
  <c r="AP2195" i="15"/>
  <c r="AP2194" i="15"/>
  <c r="AP2193" i="15"/>
  <c r="AP2192" i="15"/>
  <c r="AP2191" i="15"/>
  <c r="AP2190" i="15"/>
  <c r="AP2189" i="15"/>
  <c r="AP2188" i="15"/>
  <c r="AP2187" i="15"/>
  <c r="AP2186" i="15"/>
  <c r="AP2185" i="15"/>
  <c r="AP2184" i="15"/>
  <c r="AP2183" i="15"/>
  <c r="AP2182" i="15"/>
  <c r="AP2181" i="15"/>
  <c r="AP2180" i="15"/>
  <c r="AP2179" i="15"/>
  <c r="AP2178" i="15"/>
  <c r="AP2177" i="15"/>
  <c r="AP2176" i="15"/>
  <c r="AP2175" i="15"/>
  <c r="AP2174" i="15"/>
  <c r="AP2173" i="15"/>
  <c r="AP2172" i="15"/>
  <c r="AP2171" i="15"/>
  <c r="AP2170" i="15"/>
  <c r="AP2169" i="15"/>
  <c r="AP2168" i="15"/>
  <c r="AP2167" i="15"/>
  <c r="AP2166" i="15"/>
  <c r="AP2165" i="15"/>
  <c r="AP2164" i="15"/>
  <c r="AP2163" i="15"/>
  <c r="AP2162" i="15"/>
  <c r="AP2161" i="15"/>
  <c r="AP2160" i="15"/>
  <c r="AP2159" i="15"/>
  <c r="AP2158" i="15"/>
  <c r="AP2157" i="15"/>
  <c r="AP2156" i="15"/>
  <c r="AP2155" i="15"/>
  <c r="AP2154" i="15"/>
  <c r="AP2153" i="15"/>
  <c r="AP2152" i="15"/>
  <c r="AP2151" i="15"/>
  <c r="AP2150" i="15"/>
  <c r="AP2149" i="15"/>
  <c r="AP2148" i="15"/>
  <c r="AP2147" i="15"/>
  <c r="AP2146" i="15"/>
  <c r="AP2145" i="15"/>
  <c r="AP2144" i="15"/>
  <c r="AP2143" i="15"/>
  <c r="AP2142" i="15"/>
  <c r="AP2141" i="15"/>
  <c r="AP2140" i="15"/>
  <c r="AP2139" i="15"/>
  <c r="AP2138" i="15"/>
  <c r="AP2137" i="15"/>
  <c r="AP2136" i="15"/>
  <c r="AP2135" i="15"/>
  <c r="AP2134" i="15"/>
  <c r="AP2133" i="15"/>
  <c r="AP2132" i="15"/>
  <c r="AP2131" i="15"/>
  <c r="AP2130" i="15"/>
  <c r="AP2129" i="15"/>
  <c r="AP2128" i="15"/>
  <c r="AP2127" i="15"/>
  <c r="AP2126" i="15"/>
  <c r="AP2125" i="15"/>
  <c r="AP2124" i="15"/>
  <c r="AP2123" i="15"/>
  <c r="AP2122" i="15"/>
  <c r="AP2121" i="15"/>
  <c r="AP2120" i="15"/>
  <c r="AP2119" i="15"/>
  <c r="AP2118" i="15"/>
  <c r="AP2117" i="15"/>
  <c r="AP2116" i="15"/>
  <c r="AP2115" i="15"/>
  <c r="AP2114" i="15"/>
  <c r="AP2113" i="15"/>
  <c r="AP2112" i="15"/>
  <c r="AP2111" i="15"/>
  <c r="AP2110" i="15"/>
  <c r="AP2109" i="15"/>
  <c r="AP2108" i="15"/>
  <c r="AP2107" i="15"/>
  <c r="AP2106" i="15"/>
  <c r="AP2105" i="15"/>
  <c r="AP2104" i="15"/>
  <c r="AP2103" i="15"/>
  <c r="AP2102" i="15"/>
  <c r="AP2101" i="15"/>
  <c r="AP2100" i="15"/>
  <c r="AP2099" i="15"/>
  <c r="AP2098" i="15"/>
  <c r="AP2097" i="15"/>
  <c r="AP2096" i="15"/>
  <c r="AP2095" i="15"/>
  <c r="AP2094" i="15"/>
  <c r="AP2093" i="15"/>
  <c r="AP2092" i="15"/>
  <c r="AP2091" i="15"/>
  <c r="AP2090" i="15"/>
  <c r="AP2089" i="15"/>
  <c r="AP2088" i="15"/>
  <c r="AP2087" i="15"/>
  <c r="AP2086" i="15"/>
  <c r="AP2085" i="15"/>
  <c r="AP2084" i="15"/>
  <c r="AP2083" i="15"/>
  <c r="AP2082" i="15"/>
  <c r="AP2081" i="15"/>
  <c r="AP2080" i="15"/>
  <c r="AP2079" i="15"/>
  <c r="AP2078" i="15"/>
  <c r="AP2077" i="15"/>
  <c r="AP2076" i="15"/>
  <c r="AP2075" i="15"/>
  <c r="AP2074" i="15"/>
  <c r="AP2073" i="15"/>
  <c r="AP2072" i="15"/>
  <c r="AP2071" i="15"/>
  <c r="AP2070" i="15"/>
  <c r="AP2069" i="15"/>
  <c r="AP2068" i="15"/>
  <c r="AP2067" i="15"/>
  <c r="AP2066" i="15"/>
  <c r="AP2065" i="15"/>
  <c r="AP2064" i="15"/>
  <c r="AP2063" i="15"/>
  <c r="AP2062" i="15"/>
  <c r="AP2061" i="15"/>
  <c r="AP2060" i="15"/>
  <c r="AP2059" i="15"/>
  <c r="AP2058" i="15"/>
  <c r="AP2057" i="15"/>
  <c r="AP2056" i="15"/>
  <c r="AP2055" i="15"/>
  <c r="AP2054" i="15"/>
  <c r="AP2053" i="15"/>
  <c r="AP2052" i="15"/>
  <c r="AP2051" i="15"/>
  <c r="AP2050" i="15"/>
  <c r="AP2049" i="15"/>
  <c r="AP2048" i="15"/>
  <c r="AP2047" i="15"/>
  <c r="AP2046" i="15"/>
  <c r="AP2045" i="15"/>
  <c r="AP2044" i="15"/>
  <c r="AP2043" i="15"/>
  <c r="AP2042" i="15"/>
  <c r="AP2041" i="15"/>
  <c r="AP2040" i="15"/>
  <c r="AP2039" i="15"/>
  <c r="AP2038" i="15"/>
  <c r="AP2037" i="15"/>
  <c r="AP2036" i="15"/>
  <c r="AP2035" i="15"/>
  <c r="AP2034" i="15"/>
  <c r="AP2033" i="15"/>
  <c r="AP2032" i="15"/>
  <c r="AP2031" i="15"/>
  <c r="AP2030" i="15"/>
  <c r="AP2029" i="15"/>
  <c r="AP2028" i="15"/>
  <c r="AP2027" i="15"/>
  <c r="AP2026" i="15"/>
  <c r="AP2025" i="15"/>
  <c r="AP2024" i="15"/>
  <c r="AP2023" i="15"/>
  <c r="AP2022" i="15"/>
  <c r="AP2021" i="15"/>
  <c r="AP2020" i="15"/>
  <c r="AP2019" i="15"/>
  <c r="AP2018" i="15"/>
  <c r="AP2017" i="15"/>
  <c r="AP2016" i="15"/>
  <c r="AP2015" i="15"/>
  <c r="AP2014" i="15"/>
  <c r="AP2013" i="15"/>
  <c r="AP2012" i="15"/>
  <c r="AP2011" i="15"/>
  <c r="AP2010" i="15"/>
  <c r="AP2009" i="15"/>
  <c r="AP2008" i="15"/>
  <c r="AP2007" i="15"/>
  <c r="AP2006" i="15"/>
  <c r="AP2005" i="15"/>
  <c r="AP2004" i="15"/>
  <c r="AP2003" i="15"/>
  <c r="AP2002" i="15"/>
  <c r="AP2001" i="15"/>
  <c r="AP2000" i="15"/>
  <c r="AP1999" i="15"/>
  <c r="AP1998" i="15"/>
  <c r="AP1997" i="15"/>
  <c r="AP1996" i="15"/>
  <c r="AP1995" i="15"/>
  <c r="AP1994" i="15"/>
  <c r="AP1993" i="15"/>
  <c r="AP1992" i="15"/>
  <c r="AP1991" i="15"/>
  <c r="AP1990" i="15"/>
  <c r="AP1989" i="15"/>
  <c r="AP1988" i="15"/>
  <c r="AP1987" i="15"/>
  <c r="AP1986" i="15"/>
  <c r="AP1985" i="15"/>
  <c r="AP1984" i="15"/>
  <c r="AP1983" i="15"/>
  <c r="AP1982" i="15"/>
  <c r="AP1981" i="15"/>
  <c r="AP1980" i="15"/>
  <c r="AP1979" i="15"/>
  <c r="AP1978" i="15"/>
  <c r="AP1977" i="15"/>
  <c r="AP1976" i="15"/>
  <c r="AP1975" i="15"/>
  <c r="AP1974" i="15"/>
  <c r="AP1973" i="15"/>
  <c r="AP1972" i="15"/>
  <c r="AP1971" i="15"/>
  <c r="AP1970" i="15"/>
  <c r="AP1969" i="15"/>
  <c r="AP1968" i="15"/>
  <c r="AP1967" i="15"/>
  <c r="AP1966" i="15"/>
  <c r="AP1965" i="15"/>
  <c r="AP1964" i="15"/>
  <c r="AP1963" i="15"/>
  <c r="AP1962" i="15"/>
  <c r="AP1961" i="15"/>
  <c r="AP1960" i="15"/>
  <c r="AP1959" i="15"/>
  <c r="AP1958" i="15"/>
  <c r="AP1957" i="15"/>
  <c r="AP1956" i="15"/>
  <c r="AP1955" i="15"/>
  <c r="AP1954" i="15"/>
  <c r="AP1953" i="15"/>
  <c r="AP1952" i="15"/>
  <c r="AP1951" i="15"/>
  <c r="AP1950" i="15"/>
  <c r="AP1949" i="15"/>
  <c r="AP1948" i="15"/>
  <c r="AP1947" i="15"/>
  <c r="AP1946" i="15"/>
  <c r="AP1945" i="15"/>
  <c r="AP1944" i="15"/>
  <c r="AP1943" i="15"/>
  <c r="AP1942" i="15"/>
  <c r="AP1941" i="15"/>
  <c r="AP1940" i="15"/>
  <c r="AP1939" i="15"/>
  <c r="AP1938" i="15"/>
  <c r="AP1937" i="15"/>
  <c r="AP1936" i="15"/>
  <c r="AP1935" i="15"/>
  <c r="AP1934" i="15"/>
  <c r="AP1933" i="15"/>
  <c r="AP1932" i="15"/>
  <c r="AP1931" i="15"/>
  <c r="AP1930" i="15"/>
  <c r="AP1929" i="15"/>
  <c r="AP1928" i="15"/>
  <c r="AP1927" i="15"/>
  <c r="AP1926" i="15"/>
  <c r="AP1925" i="15"/>
  <c r="AP1924" i="15"/>
  <c r="AP1923" i="15"/>
  <c r="AP1922" i="15"/>
  <c r="AP1921" i="15"/>
  <c r="AP1920" i="15"/>
  <c r="AP1919" i="15"/>
  <c r="AP1918" i="15"/>
  <c r="AP1917" i="15"/>
  <c r="AP1916" i="15"/>
  <c r="AP1915" i="15"/>
  <c r="AP1914" i="15"/>
  <c r="AP1913" i="15"/>
  <c r="AP1912" i="15"/>
  <c r="AP1911" i="15"/>
  <c r="AP1910" i="15"/>
  <c r="AP1909" i="15"/>
  <c r="AP1908" i="15"/>
  <c r="AP1907" i="15"/>
  <c r="AP1906" i="15"/>
  <c r="AP1905" i="15"/>
  <c r="AP1904" i="15"/>
  <c r="AP1903" i="15"/>
  <c r="AP1902" i="15"/>
  <c r="AP1901" i="15"/>
  <c r="AP1900" i="15"/>
  <c r="AP1899" i="15"/>
  <c r="AP1898" i="15"/>
  <c r="AP1897" i="15"/>
  <c r="AP1896" i="15"/>
  <c r="AP1895" i="15"/>
  <c r="AP1894" i="15"/>
  <c r="AP1893" i="15"/>
  <c r="AP1892" i="15"/>
  <c r="AP1891" i="15"/>
  <c r="AP1890" i="15"/>
  <c r="AP1889" i="15"/>
  <c r="AP1888" i="15"/>
  <c r="AP1887" i="15"/>
  <c r="AP1886" i="15"/>
  <c r="AP1885" i="15"/>
  <c r="AP1884" i="15"/>
  <c r="AP1883" i="15"/>
  <c r="AP1882" i="15"/>
  <c r="AP1881" i="15"/>
  <c r="AP1880" i="15"/>
  <c r="AP1879" i="15"/>
  <c r="AP1878" i="15"/>
  <c r="AP1877" i="15"/>
  <c r="AP1876" i="15"/>
  <c r="AP1875" i="15"/>
  <c r="AP1874" i="15"/>
  <c r="AP1873" i="15"/>
  <c r="AP1872" i="15"/>
  <c r="AP1871" i="15"/>
  <c r="AP1870" i="15"/>
  <c r="AP1869" i="15"/>
  <c r="AP1868" i="15"/>
  <c r="AP1867" i="15"/>
  <c r="AP1866" i="15"/>
  <c r="AP1865" i="15"/>
  <c r="AP1864" i="15"/>
  <c r="AP1863" i="15"/>
  <c r="AP1862" i="15"/>
  <c r="AP1861" i="15"/>
  <c r="AP1860" i="15"/>
  <c r="AP1859" i="15"/>
  <c r="AP1858" i="15"/>
  <c r="AP1857" i="15"/>
  <c r="AP1856" i="15"/>
  <c r="AP1855" i="15"/>
  <c r="AP1854" i="15"/>
  <c r="AP1853" i="15"/>
  <c r="AP1852" i="15"/>
  <c r="AP1851" i="15"/>
  <c r="AP1850" i="15"/>
  <c r="AP1849" i="15"/>
  <c r="AP1848" i="15"/>
  <c r="AP1847" i="15"/>
  <c r="AP1846" i="15"/>
  <c r="AP1845" i="15"/>
  <c r="AP1844" i="15"/>
  <c r="AP1843" i="15"/>
  <c r="AP1842" i="15"/>
  <c r="AP1841" i="15"/>
  <c r="AP1840" i="15"/>
  <c r="AP1839" i="15"/>
  <c r="AP1838" i="15"/>
  <c r="AP1837" i="15"/>
  <c r="AP1836" i="15"/>
  <c r="AP1835" i="15"/>
  <c r="AP1834" i="15"/>
  <c r="AP1833" i="15"/>
  <c r="AP1832" i="15"/>
  <c r="AP1831" i="15"/>
  <c r="AP1830" i="15"/>
  <c r="AP1829" i="15"/>
  <c r="AP1828" i="15"/>
  <c r="AP1827" i="15"/>
  <c r="AP1826" i="15"/>
  <c r="AP1825" i="15"/>
  <c r="AP1824" i="15"/>
  <c r="AP1823" i="15"/>
  <c r="AP1822" i="15"/>
  <c r="AP1821" i="15"/>
  <c r="AP1820" i="15"/>
  <c r="AP1819" i="15"/>
  <c r="AP1818" i="15"/>
  <c r="AP1817" i="15"/>
  <c r="AP1816" i="15"/>
  <c r="AP1815" i="15"/>
  <c r="AP1814" i="15"/>
  <c r="AP1813" i="15"/>
  <c r="AP1812" i="15"/>
  <c r="AP1811" i="15"/>
  <c r="AP1810" i="15"/>
  <c r="AP1809" i="15"/>
  <c r="AP1808" i="15"/>
  <c r="AP1807" i="15"/>
  <c r="AP1806" i="15"/>
  <c r="AP1805" i="15"/>
  <c r="AP1804" i="15"/>
  <c r="AP1803" i="15"/>
  <c r="AP1802" i="15"/>
  <c r="AP1801" i="15"/>
  <c r="AP1800" i="15"/>
  <c r="AP1799" i="15"/>
  <c r="AP1798" i="15"/>
  <c r="AP1797" i="15"/>
  <c r="AP1796" i="15"/>
  <c r="AP1795" i="15"/>
  <c r="AP1794" i="15"/>
  <c r="AP1793" i="15"/>
  <c r="AP1792" i="15"/>
  <c r="AP1791" i="15"/>
  <c r="AP1790" i="15"/>
  <c r="AP1789" i="15"/>
  <c r="AP1788" i="15"/>
  <c r="AP1787" i="15"/>
  <c r="AP1786" i="15"/>
  <c r="AP1785" i="15"/>
  <c r="AP1784" i="15"/>
  <c r="AP1783" i="15"/>
  <c r="AP1782" i="15"/>
  <c r="AP1781" i="15"/>
  <c r="AP1780" i="15"/>
  <c r="AP1779" i="15"/>
  <c r="AP1778" i="15"/>
  <c r="AP1777" i="15"/>
  <c r="AP1776" i="15"/>
  <c r="AP1775" i="15"/>
  <c r="AP1774" i="15"/>
  <c r="AP1773" i="15"/>
  <c r="AP1772" i="15"/>
  <c r="AP1771" i="15"/>
  <c r="AP1770" i="15"/>
  <c r="AP1769" i="15"/>
  <c r="AP1768" i="15"/>
  <c r="AP1767" i="15"/>
  <c r="AP1766" i="15"/>
  <c r="AP1765" i="15"/>
  <c r="AP1764" i="15"/>
  <c r="AP1763" i="15"/>
  <c r="AP1762" i="15"/>
  <c r="AP1761" i="15"/>
  <c r="AP1760" i="15"/>
  <c r="AP1759" i="15"/>
  <c r="AP1758" i="15"/>
  <c r="AP1757" i="15"/>
  <c r="AP1756" i="15"/>
  <c r="AP1755" i="15"/>
  <c r="AP1754" i="15"/>
  <c r="AP1753" i="15"/>
  <c r="AP1752" i="15"/>
  <c r="AP1751" i="15"/>
  <c r="AP1750" i="15"/>
  <c r="AP1749" i="15"/>
  <c r="AP1748" i="15"/>
  <c r="AP1747" i="15"/>
  <c r="AP1746" i="15"/>
  <c r="AP1745" i="15"/>
  <c r="AP1744" i="15"/>
  <c r="AP1743" i="15"/>
  <c r="AP1742" i="15"/>
  <c r="AP1741" i="15"/>
  <c r="AP1740" i="15"/>
  <c r="AP1739" i="15"/>
  <c r="AP1738" i="15"/>
  <c r="AP1737" i="15"/>
  <c r="AP1736" i="15"/>
  <c r="AP1735" i="15"/>
  <c r="AP1734" i="15"/>
  <c r="AP1733" i="15"/>
  <c r="AP1732" i="15"/>
  <c r="AP1731" i="15"/>
  <c r="AP1730" i="15"/>
  <c r="AP1729" i="15"/>
  <c r="AP1728" i="15"/>
  <c r="AP1727" i="15"/>
  <c r="AP1726" i="15"/>
  <c r="AP1725" i="15"/>
  <c r="AP1724" i="15"/>
  <c r="AP1723" i="15"/>
  <c r="AP1722" i="15"/>
  <c r="AP1721" i="15"/>
  <c r="AP1720" i="15"/>
  <c r="AP1719" i="15"/>
  <c r="AP1718" i="15"/>
  <c r="AP1717" i="15"/>
  <c r="AP1716" i="15"/>
  <c r="AP1715" i="15"/>
  <c r="AP1714" i="15"/>
  <c r="AP1713" i="15"/>
  <c r="AP1712" i="15"/>
  <c r="AP1711" i="15"/>
  <c r="AP1710" i="15"/>
  <c r="AP1709" i="15"/>
  <c r="AP1708" i="15"/>
  <c r="AP1707" i="15"/>
  <c r="AP1706" i="15"/>
  <c r="AP1705" i="15"/>
  <c r="AP1704" i="15"/>
  <c r="AP1703" i="15"/>
  <c r="AP1702" i="15"/>
  <c r="AP1701" i="15"/>
  <c r="AP1700" i="15"/>
  <c r="AP1699" i="15"/>
  <c r="AP1698" i="15"/>
  <c r="AP1697" i="15"/>
  <c r="AP1696" i="15"/>
  <c r="AP1695" i="15"/>
  <c r="AP1694" i="15"/>
  <c r="AP1693" i="15"/>
  <c r="AP1692" i="15"/>
  <c r="AP1691" i="15"/>
  <c r="AP1690" i="15"/>
  <c r="AP1689" i="15"/>
  <c r="AP1688" i="15"/>
  <c r="AP1687" i="15"/>
  <c r="AP1686" i="15"/>
  <c r="AP1685" i="15"/>
  <c r="AP1684" i="15"/>
  <c r="AP1683" i="15"/>
  <c r="AP1682" i="15"/>
  <c r="AP1681" i="15"/>
  <c r="AP1680" i="15"/>
  <c r="AP1679" i="15"/>
  <c r="AP1678" i="15"/>
  <c r="AP1677" i="15"/>
  <c r="AP1676" i="15"/>
  <c r="AP1675" i="15"/>
  <c r="AP1674" i="15"/>
  <c r="AP1673" i="15"/>
  <c r="AP1672" i="15"/>
  <c r="AP1671" i="15"/>
  <c r="AP1670" i="15"/>
  <c r="AP1669" i="15"/>
  <c r="AP1668" i="15"/>
  <c r="AP1667" i="15"/>
  <c r="AP1666" i="15"/>
  <c r="AP1665" i="15"/>
  <c r="AP1664" i="15"/>
  <c r="AP1663" i="15"/>
  <c r="AP1662" i="15"/>
  <c r="AP1661" i="15"/>
  <c r="AP1660" i="15"/>
  <c r="AP1659" i="15"/>
  <c r="AP1658" i="15"/>
  <c r="AP1657" i="15"/>
  <c r="AP1656" i="15"/>
  <c r="AP1655" i="15"/>
  <c r="AP1654" i="15"/>
  <c r="AP1653" i="15"/>
  <c r="AP1652" i="15"/>
  <c r="AP1651" i="15"/>
  <c r="AP1650" i="15"/>
  <c r="AP1649" i="15"/>
  <c r="AP1648" i="15"/>
  <c r="AP1647" i="15"/>
  <c r="AP1646" i="15"/>
  <c r="AP1645" i="15"/>
  <c r="AP1644" i="15"/>
  <c r="AP1643" i="15"/>
  <c r="AP1642" i="15"/>
  <c r="AP1641" i="15"/>
  <c r="AP1640" i="15"/>
  <c r="AP1639" i="15"/>
  <c r="AP1638" i="15"/>
  <c r="AP1637" i="15"/>
  <c r="AP1636" i="15"/>
  <c r="AP1635" i="15"/>
  <c r="AP1634" i="15"/>
  <c r="AP1633" i="15"/>
  <c r="AP1632" i="15"/>
  <c r="AP1631" i="15"/>
  <c r="AP1630" i="15"/>
  <c r="AP1629" i="15"/>
  <c r="AP1628" i="15"/>
  <c r="AP1627" i="15"/>
  <c r="AP1626" i="15"/>
  <c r="AP1625" i="15"/>
  <c r="AP1624" i="15"/>
  <c r="AP1623" i="15"/>
  <c r="AP1622" i="15"/>
  <c r="AP1621" i="15"/>
  <c r="AP1620" i="15"/>
  <c r="AP1619" i="15"/>
  <c r="AP1618" i="15"/>
  <c r="AP1617" i="15"/>
  <c r="AP1616" i="15"/>
  <c r="AP1615" i="15"/>
  <c r="AP1614" i="15"/>
  <c r="AP1613" i="15"/>
  <c r="AP1612" i="15"/>
  <c r="AP1611" i="15"/>
  <c r="AP1610" i="15"/>
  <c r="AP1609" i="15"/>
  <c r="AP1608" i="15"/>
  <c r="AP1607" i="15"/>
  <c r="AP1606" i="15"/>
  <c r="AP1605" i="15"/>
  <c r="AP1604" i="15"/>
  <c r="AP1603" i="15"/>
  <c r="AP1602" i="15"/>
  <c r="AP1601" i="15"/>
  <c r="AP1600" i="15"/>
  <c r="AP1599" i="15"/>
  <c r="AP1598" i="15"/>
  <c r="AP1597" i="15"/>
  <c r="AP1596" i="15"/>
  <c r="AP1595" i="15"/>
  <c r="AP1594" i="15"/>
  <c r="AP1593" i="15"/>
  <c r="AP1592" i="15"/>
  <c r="AP1591" i="15"/>
  <c r="AP1590" i="15"/>
  <c r="AP1589" i="15"/>
  <c r="AP1588" i="15"/>
  <c r="AP1587" i="15"/>
  <c r="AP1586" i="15"/>
  <c r="AP1585" i="15"/>
  <c r="AP1584" i="15"/>
  <c r="AP1583" i="15"/>
  <c r="AP1582" i="15"/>
  <c r="AP1581" i="15"/>
  <c r="AP1580" i="15"/>
  <c r="AP1579" i="15"/>
  <c r="AP1578" i="15"/>
  <c r="AP1577" i="15"/>
  <c r="AP1576" i="15"/>
  <c r="AP1575" i="15"/>
  <c r="AP1574" i="15"/>
  <c r="AP1573" i="15"/>
  <c r="AP1572" i="15"/>
  <c r="AP1571" i="15"/>
  <c r="AP1570" i="15"/>
  <c r="AP1569" i="15"/>
  <c r="AP1568" i="15"/>
  <c r="AP1567" i="15"/>
  <c r="AP1566" i="15"/>
  <c r="AP1565" i="15"/>
  <c r="AP1564" i="15"/>
  <c r="AP1563" i="15"/>
  <c r="AP1562" i="15"/>
  <c r="AP1561" i="15"/>
  <c r="AP1560" i="15"/>
  <c r="AP1559" i="15"/>
  <c r="AP1558" i="15"/>
  <c r="AP1557" i="15"/>
  <c r="AP1556" i="15"/>
  <c r="AP1555" i="15"/>
  <c r="AP1554" i="15"/>
  <c r="AP1553" i="15"/>
  <c r="AP1552" i="15"/>
  <c r="AP1551" i="15"/>
  <c r="AP1550" i="15"/>
  <c r="AP1549" i="15"/>
  <c r="AP1548" i="15"/>
  <c r="AP1547" i="15"/>
  <c r="AP1546" i="15"/>
  <c r="AP1545" i="15"/>
  <c r="AP1544" i="15"/>
  <c r="AP1543" i="15"/>
  <c r="AP1542" i="15"/>
  <c r="AP1541" i="15"/>
  <c r="AP1540" i="15"/>
  <c r="AP1539" i="15"/>
  <c r="AP1538" i="15"/>
  <c r="AP1537" i="15"/>
  <c r="AP1536" i="15"/>
  <c r="AP1535" i="15"/>
  <c r="AP1534" i="15"/>
  <c r="AP1533" i="15"/>
  <c r="AP1532" i="15"/>
  <c r="AP1531" i="15"/>
  <c r="AP1530" i="15"/>
  <c r="AP1529" i="15"/>
  <c r="AP1528" i="15"/>
  <c r="AP1527" i="15"/>
  <c r="AP1526" i="15"/>
  <c r="AP1525" i="15"/>
  <c r="AP1524" i="15"/>
  <c r="AP1523" i="15"/>
  <c r="AP1522" i="15"/>
  <c r="AP1521" i="15"/>
  <c r="AP1520" i="15"/>
  <c r="AP1519" i="15"/>
  <c r="AP1518" i="15"/>
  <c r="AP1517" i="15"/>
  <c r="AP1516" i="15"/>
  <c r="AP1515" i="15"/>
  <c r="AP1514" i="15"/>
  <c r="AP1513" i="15"/>
  <c r="AP1512" i="15"/>
  <c r="AP1511" i="15"/>
  <c r="AP1510" i="15"/>
  <c r="AP1509" i="15"/>
  <c r="AP1508" i="15"/>
  <c r="AP1507" i="15"/>
  <c r="AP1506" i="15"/>
  <c r="AP1505" i="15"/>
  <c r="AP1504" i="15"/>
  <c r="AP1503" i="15"/>
  <c r="AP1502" i="15"/>
  <c r="AP1501" i="15"/>
  <c r="AP1500" i="15"/>
  <c r="AP1499" i="15"/>
  <c r="AP1498" i="15"/>
  <c r="AP1497" i="15"/>
  <c r="AP1496" i="15"/>
  <c r="AP1495" i="15"/>
  <c r="AP1494" i="15"/>
  <c r="AP1493" i="15"/>
  <c r="AP1492" i="15"/>
  <c r="AP1491" i="15"/>
  <c r="AP1490" i="15"/>
  <c r="AP1489" i="15"/>
  <c r="AP1488" i="15"/>
  <c r="AP1487" i="15"/>
  <c r="AP1486" i="15"/>
  <c r="AP1485" i="15"/>
  <c r="AP1484" i="15"/>
  <c r="AP1483" i="15"/>
  <c r="AP1482" i="15"/>
  <c r="AP1481" i="15"/>
  <c r="AP1480" i="15"/>
  <c r="AP1479" i="15"/>
  <c r="AP1478" i="15"/>
  <c r="AP1477" i="15"/>
  <c r="AP1476" i="15"/>
  <c r="AP1475" i="15"/>
  <c r="AP1474" i="15"/>
  <c r="AP1473" i="15"/>
  <c r="AP1472" i="15"/>
  <c r="AP1471" i="15"/>
  <c r="AP1470" i="15"/>
  <c r="AP1469" i="15"/>
  <c r="AP1468" i="15"/>
  <c r="AP1467" i="15"/>
  <c r="AP1466" i="15"/>
  <c r="AP1465" i="15"/>
  <c r="AP1464" i="15"/>
  <c r="AP1463" i="15"/>
  <c r="AP1462" i="15"/>
  <c r="AP1461" i="15"/>
  <c r="AP1460" i="15"/>
  <c r="AP1459" i="15"/>
  <c r="AP1458" i="15"/>
  <c r="AP1457" i="15"/>
  <c r="AP1456" i="15"/>
  <c r="AP1455" i="15"/>
  <c r="AP1454" i="15"/>
  <c r="AP1453" i="15"/>
  <c r="AP1452" i="15"/>
  <c r="AP1451" i="15"/>
  <c r="AP1450" i="15"/>
  <c r="AP1449" i="15"/>
  <c r="AP1448" i="15"/>
  <c r="AP1447" i="15"/>
  <c r="AP1446" i="15"/>
  <c r="AP1445" i="15"/>
  <c r="AP1444" i="15"/>
  <c r="AP1443" i="15"/>
  <c r="AP1442" i="15"/>
  <c r="AP1441" i="15"/>
  <c r="AP1440" i="15"/>
  <c r="AP1439" i="15"/>
  <c r="AP1438" i="15"/>
  <c r="AP1437" i="15"/>
  <c r="AP1436" i="15"/>
  <c r="AP1435" i="15"/>
  <c r="AP1434" i="15"/>
  <c r="AP1433" i="15"/>
  <c r="AP1432" i="15"/>
  <c r="AP1431" i="15"/>
  <c r="AP1430" i="15"/>
  <c r="AP1429" i="15"/>
  <c r="AP1428" i="15"/>
  <c r="AP1427" i="15"/>
  <c r="AP1426" i="15"/>
  <c r="AP1425" i="15"/>
  <c r="AP1424" i="15"/>
  <c r="AP1423" i="15"/>
  <c r="AP1422" i="15"/>
  <c r="AP1421" i="15"/>
  <c r="AP1420" i="15"/>
  <c r="AP1419" i="15"/>
  <c r="AP1418" i="15"/>
  <c r="AP1417" i="15"/>
  <c r="AP1416" i="15"/>
  <c r="AP1415" i="15"/>
  <c r="AP1414" i="15"/>
  <c r="AP1413" i="15"/>
  <c r="AP1412" i="15"/>
  <c r="AP1411" i="15"/>
  <c r="AP1410" i="15"/>
  <c r="AP1409" i="15"/>
  <c r="AP1408" i="15"/>
  <c r="AP1407" i="15"/>
  <c r="AP1406" i="15"/>
  <c r="AP1405" i="15"/>
  <c r="AP1404" i="15"/>
  <c r="AP1403" i="15"/>
  <c r="AP1402" i="15"/>
  <c r="AP1401" i="15"/>
  <c r="AP1400" i="15"/>
  <c r="AP1399" i="15"/>
  <c r="AP1398" i="15"/>
  <c r="AP1397" i="15"/>
  <c r="AP1396" i="15"/>
  <c r="AP1395" i="15"/>
  <c r="AP1394" i="15"/>
  <c r="AP1393" i="15"/>
  <c r="AP1392" i="15"/>
  <c r="AP1391" i="15"/>
  <c r="AP1390" i="15"/>
  <c r="AP1389" i="15"/>
  <c r="AP1388" i="15"/>
  <c r="AP1387" i="15"/>
  <c r="AP1386" i="15"/>
  <c r="AP1385" i="15"/>
  <c r="AP1384" i="15"/>
  <c r="AP1383" i="15"/>
  <c r="AP1382" i="15"/>
  <c r="AP1381" i="15"/>
  <c r="AP1380" i="15"/>
  <c r="AP1379" i="15"/>
  <c r="AP1378" i="15"/>
  <c r="AP1377" i="15"/>
  <c r="AP1376" i="15"/>
  <c r="AP1375" i="15"/>
  <c r="AP1374" i="15"/>
  <c r="AP1373" i="15"/>
  <c r="AP1372" i="15"/>
  <c r="AP1371" i="15"/>
  <c r="AP1370" i="15"/>
  <c r="AP1369" i="15"/>
  <c r="AP1368" i="15"/>
  <c r="AP1367" i="15"/>
  <c r="AP1366" i="15"/>
  <c r="AP1365" i="15"/>
  <c r="AP1364" i="15"/>
  <c r="AP1363" i="15"/>
  <c r="AP1362" i="15"/>
  <c r="AP1361" i="15"/>
  <c r="AP1360" i="15"/>
  <c r="AP1359" i="15"/>
  <c r="AP1358" i="15"/>
  <c r="AP1357" i="15"/>
  <c r="AP1356" i="15"/>
  <c r="AP1355" i="15"/>
  <c r="AP1354" i="15"/>
  <c r="AP1353" i="15"/>
  <c r="AP1352" i="15"/>
  <c r="AP1351" i="15"/>
  <c r="AP1350" i="15"/>
  <c r="AP1349" i="15"/>
  <c r="AP1348" i="15"/>
  <c r="AP1347" i="15"/>
  <c r="AP1346" i="15"/>
  <c r="AP1345" i="15"/>
  <c r="AP1344" i="15"/>
  <c r="AP1343" i="15"/>
  <c r="AP1342" i="15"/>
  <c r="AP1341" i="15"/>
  <c r="AP1340" i="15"/>
  <c r="AP1339" i="15"/>
  <c r="AP1338" i="15"/>
  <c r="AP1337" i="15"/>
  <c r="AP1336" i="15"/>
  <c r="AP1335" i="15"/>
  <c r="AP1334" i="15"/>
  <c r="AP1333" i="15"/>
  <c r="AP1332" i="15"/>
  <c r="AP1331" i="15"/>
  <c r="AP1330" i="15"/>
  <c r="AP1329" i="15"/>
  <c r="AP1328" i="15"/>
  <c r="AP1327" i="15"/>
  <c r="AP1326" i="15"/>
  <c r="AP1325" i="15"/>
  <c r="AP1324" i="15"/>
  <c r="AP1323" i="15"/>
  <c r="AP1322" i="15"/>
  <c r="AP1321" i="15"/>
  <c r="AP1320" i="15"/>
  <c r="AP1319" i="15"/>
  <c r="AP1318" i="15"/>
  <c r="AP1317" i="15"/>
  <c r="AP1316" i="15"/>
  <c r="AP1315" i="15"/>
  <c r="AP1314" i="15"/>
  <c r="AP1313" i="15"/>
  <c r="AP1312" i="15"/>
  <c r="AP1311" i="15"/>
  <c r="AP1310" i="15"/>
  <c r="AP1309" i="15"/>
  <c r="AP1308" i="15"/>
  <c r="AP1307" i="15"/>
  <c r="AP1306" i="15"/>
  <c r="AP1305" i="15"/>
  <c r="AP1304" i="15"/>
  <c r="AP1303" i="15"/>
  <c r="AP1302" i="15"/>
  <c r="AP1301" i="15"/>
  <c r="AP1300" i="15"/>
  <c r="AP1299" i="15"/>
  <c r="AP1298" i="15"/>
  <c r="AP1297" i="15"/>
  <c r="AP1296" i="15"/>
  <c r="AP1295" i="15"/>
  <c r="AP1294" i="15"/>
  <c r="AP1293" i="15"/>
  <c r="AP1292" i="15"/>
  <c r="AP1291" i="15"/>
  <c r="AP1290" i="15"/>
  <c r="AP1289" i="15"/>
  <c r="AP1288" i="15"/>
  <c r="AP1287" i="15"/>
  <c r="AP1286" i="15"/>
  <c r="AP1285" i="15"/>
  <c r="AP1284" i="15"/>
  <c r="AP1283" i="15"/>
  <c r="AP1282" i="15"/>
  <c r="AP1281" i="15"/>
  <c r="AP1280" i="15"/>
  <c r="AP1279" i="15"/>
  <c r="AP1278" i="15"/>
  <c r="AP1277" i="15"/>
  <c r="AP1276" i="15"/>
  <c r="AP1275" i="15"/>
  <c r="AP1274" i="15"/>
  <c r="AP1273" i="15"/>
  <c r="AP1272" i="15"/>
  <c r="AP1271" i="15"/>
  <c r="AP1270" i="15"/>
  <c r="AP1269" i="15"/>
  <c r="AP1268" i="15"/>
  <c r="AP1267" i="15"/>
  <c r="AP1266" i="15"/>
  <c r="AP1265" i="15"/>
  <c r="AP1264" i="15"/>
  <c r="AP1263" i="15"/>
  <c r="AP1262" i="15"/>
  <c r="AP1261" i="15"/>
  <c r="AP1260" i="15"/>
  <c r="AP1259" i="15"/>
  <c r="AP1258" i="15"/>
  <c r="AP1257" i="15"/>
  <c r="AP1256" i="15"/>
  <c r="AP1255" i="15"/>
  <c r="AP1254" i="15"/>
  <c r="AP1253" i="15"/>
  <c r="AP1252" i="15"/>
  <c r="AP1251" i="15"/>
  <c r="AP1250" i="15"/>
  <c r="AP1249" i="15"/>
  <c r="AP1248" i="15"/>
  <c r="AP1247" i="15"/>
  <c r="AP1246" i="15"/>
  <c r="AP1245" i="15"/>
  <c r="AP1244" i="15"/>
  <c r="AP1243" i="15"/>
  <c r="AP1242" i="15"/>
  <c r="AP1241" i="15"/>
  <c r="AP1240" i="15"/>
  <c r="AP1239" i="15"/>
  <c r="AP1238" i="15"/>
  <c r="AP1237" i="15"/>
  <c r="AP1236" i="15"/>
  <c r="AP1235" i="15"/>
  <c r="AP1234" i="15"/>
  <c r="AP1233" i="15"/>
  <c r="AP1232" i="15"/>
  <c r="AP1231" i="15"/>
  <c r="AP1230" i="15"/>
  <c r="AP1229" i="15"/>
  <c r="AP1228" i="15"/>
  <c r="AP1227" i="15"/>
  <c r="AP1226" i="15"/>
  <c r="AP1225" i="15"/>
  <c r="AP1224" i="15"/>
  <c r="AP1223" i="15"/>
  <c r="AP1222" i="15"/>
  <c r="AP1221" i="15"/>
  <c r="AP1220" i="15"/>
  <c r="AP1219" i="15"/>
  <c r="AP1218" i="15"/>
  <c r="AP1217" i="15"/>
  <c r="AP1216" i="15"/>
  <c r="AP1215" i="15"/>
  <c r="AP1214" i="15"/>
  <c r="AP1213" i="15"/>
  <c r="AP1212" i="15"/>
  <c r="AP1211" i="15"/>
  <c r="AP1210" i="15"/>
  <c r="AP1209" i="15"/>
  <c r="AP1208" i="15"/>
  <c r="AP1207" i="15"/>
  <c r="AP1206" i="15"/>
  <c r="AP1205" i="15"/>
  <c r="AP1204" i="15"/>
  <c r="AP1203" i="15"/>
  <c r="AP1202" i="15"/>
  <c r="AP1201" i="15"/>
  <c r="AP1200" i="15"/>
  <c r="AP1199" i="15"/>
  <c r="AP1198" i="15"/>
  <c r="AP1197" i="15"/>
  <c r="AP1196" i="15"/>
  <c r="AP1195" i="15"/>
  <c r="AP1194" i="15"/>
  <c r="AP1193" i="15"/>
  <c r="AP1192" i="15"/>
  <c r="AP1191" i="15"/>
  <c r="AP1190" i="15"/>
  <c r="AP1189" i="15"/>
  <c r="AP1188" i="15"/>
  <c r="AP1187" i="15"/>
  <c r="AP1186" i="15"/>
  <c r="AP1185" i="15"/>
  <c r="AP1184" i="15"/>
  <c r="AP1183" i="15"/>
  <c r="AP1182" i="15"/>
  <c r="AP1181" i="15"/>
  <c r="AP1180" i="15"/>
  <c r="AP1179" i="15"/>
  <c r="AP1178" i="15"/>
  <c r="AP1177" i="15"/>
  <c r="AP1176" i="15"/>
  <c r="AP1175" i="15"/>
  <c r="AP1174" i="15"/>
  <c r="AP1173" i="15"/>
  <c r="AP1172" i="15"/>
  <c r="AP1171" i="15"/>
  <c r="AP1170" i="15"/>
  <c r="AP1169" i="15"/>
  <c r="AP1168" i="15"/>
  <c r="AP1167" i="15"/>
  <c r="AP1166" i="15"/>
  <c r="AP1165" i="15"/>
  <c r="AP1164" i="15"/>
  <c r="AP1163" i="15"/>
  <c r="AP1162" i="15"/>
  <c r="AP1161" i="15"/>
  <c r="AP1160" i="15"/>
  <c r="AP1159" i="15"/>
  <c r="AP1158" i="15"/>
  <c r="AP1157" i="15"/>
  <c r="AP1156" i="15"/>
  <c r="AP1155" i="15"/>
  <c r="AP1154" i="15"/>
  <c r="AP1153" i="15"/>
  <c r="AP1152" i="15"/>
  <c r="AP1151" i="15"/>
  <c r="AP1150" i="15"/>
  <c r="AP1149" i="15"/>
  <c r="AP1148" i="15"/>
  <c r="AP1147" i="15"/>
  <c r="AP1146" i="15"/>
  <c r="AP1145" i="15"/>
  <c r="AP1144" i="15"/>
  <c r="AP1143" i="15"/>
  <c r="AP1142" i="15"/>
  <c r="AP1141" i="15"/>
  <c r="AP1140" i="15"/>
  <c r="AP1139" i="15"/>
  <c r="AP1138" i="15"/>
  <c r="AP1137" i="15"/>
  <c r="AP1136" i="15"/>
  <c r="AP1135" i="15"/>
  <c r="AP1134" i="15"/>
  <c r="AP1133" i="15"/>
  <c r="AP1132" i="15"/>
  <c r="AP1131" i="15"/>
  <c r="AP1130" i="15"/>
  <c r="AP1129" i="15"/>
  <c r="AP1128" i="15"/>
  <c r="AP1127" i="15"/>
  <c r="AP1126" i="15"/>
  <c r="AP1125" i="15"/>
  <c r="AP1124" i="15"/>
  <c r="AP1123" i="15"/>
  <c r="AP1122" i="15"/>
  <c r="AP1121" i="15"/>
  <c r="AP1120" i="15"/>
  <c r="AP1119" i="15"/>
  <c r="AP1118" i="15"/>
  <c r="AP1117" i="15"/>
  <c r="AP1116" i="15"/>
  <c r="AP1115" i="15"/>
  <c r="AP1114" i="15"/>
  <c r="AP1113" i="15"/>
  <c r="AP1112" i="15"/>
  <c r="AP1111" i="15"/>
  <c r="AP1110" i="15"/>
  <c r="AP1109" i="15"/>
  <c r="AP1108" i="15"/>
  <c r="AP1107" i="15"/>
  <c r="AP1106" i="15"/>
  <c r="AP1105" i="15"/>
  <c r="AP1104" i="15"/>
  <c r="AP1103" i="15"/>
  <c r="AP1102" i="15"/>
  <c r="AP1101" i="15"/>
  <c r="AP1100" i="15"/>
  <c r="AP1099" i="15"/>
  <c r="AP1098" i="15"/>
  <c r="AP1097" i="15"/>
  <c r="AP1096" i="15"/>
  <c r="AP1095" i="15"/>
  <c r="AP1094" i="15"/>
  <c r="AP1093" i="15"/>
  <c r="AP1092" i="15"/>
  <c r="AP1091" i="15"/>
  <c r="AP1090" i="15"/>
  <c r="AP1089" i="15"/>
  <c r="AP1088" i="15"/>
  <c r="AP1087" i="15"/>
  <c r="AP1086" i="15"/>
  <c r="AP1085" i="15"/>
  <c r="AP1084" i="15"/>
  <c r="AP1083" i="15"/>
  <c r="AP1082" i="15"/>
  <c r="AP1081" i="15"/>
  <c r="AP1080" i="15"/>
  <c r="AP1079" i="15"/>
  <c r="AP1078" i="15"/>
  <c r="AP1077" i="15"/>
  <c r="AP1076" i="15"/>
  <c r="AP1075" i="15"/>
  <c r="AP1074" i="15"/>
  <c r="AP1073" i="15"/>
  <c r="AP1072" i="15"/>
  <c r="AP1071" i="15"/>
  <c r="AP1070" i="15"/>
  <c r="AP1069" i="15"/>
  <c r="AP1068" i="15"/>
  <c r="AP1067" i="15"/>
  <c r="AP1066" i="15"/>
  <c r="AP1065" i="15"/>
  <c r="AP1064" i="15"/>
  <c r="AP1063" i="15"/>
  <c r="AP1062" i="15"/>
  <c r="AP1061" i="15"/>
  <c r="AP1060" i="15"/>
  <c r="AP1059" i="15"/>
  <c r="AP1058" i="15"/>
  <c r="AP1057" i="15"/>
  <c r="AP1056" i="15"/>
  <c r="AP1055" i="15"/>
  <c r="AP1054" i="15"/>
  <c r="AP1053" i="15"/>
  <c r="AP1052" i="15"/>
  <c r="AP1051" i="15"/>
  <c r="AP1050" i="15"/>
  <c r="AP1049" i="15"/>
  <c r="AP1048" i="15"/>
  <c r="AP1047" i="15"/>
  <c r="AP1046" i="15"/>
  <c r="AP1045" i="15"/>
  <c r="AP1044" i="15"/>
  <c r="AP1043" i="15"/>
  <c r="AP1042" i="15"/>
  <c r="AP1041" i="15"/>
  <c r="AP1040" i="15"/>
  <c r="AP1039" i="15"/>
  <c r="AP1038" i="15"/>
  <c r="AP1037" i="15"/>
  <c r="AP1036" i="15"/>
  <c r="AP1035" i="15"/>
  <c r="AP1034" i="15"/>
  <c r="AP1033" i="15"/>
  <c r="AP1032" i="15"/>
  <c r="AP1031" i="15"/>
  <c r="AP1030" i="15"/>
  <c r="AP1029" i="15"/>
  <c r="AP1028" i="15"/>
  <c r="AP1027" i="15"/>
  <c r="AP1026" i="15"/>
  <c r="AP1025" i="15"/>
  <c r="AP1024" i="15"/>
  <c r="AP1023" i="15"/>
  <c r="AP1022" i="15"/>
  <c r="AP1021" i="15"/>
  <c r="AP1020" i="15"/>
  <c r="AP1019" i="15"/>
  <c r="AP1018" i="15"/>
  <c r="AP1017" i="15"/>
  <c r="AP1016" i="15"/>
  <c r="AP1015" i="15"/>
  <c r="AP1014" i="15"/>
  <c r="AP1013" i="15"/>
  <c r="AP1012" i="15"/>
  <c r="AP1011" i="15"/>
  <c r="AP1010" i="15"/>
  <c r="AP1009" i="15"/>
  <c r="AP1008" i="15"/>
  <c r="AP1007" i="15"/>
  <c r="AP1006" i="15"/>
  <c r="AP1005" i="15"/>
  <c r="AP1004" i="15"/>
  <c r="AP1003" i="15"/>
  <c r="AP1002" i="15"/>
  <c r="AP1001" i="15"/>
  <c r="AP1000" i="15"/>
  <c r="AP999" i="15"/>
  <c r="AP998" i="15"/>
  <c r="AP997" i="15"/>
  <c r="AP996" i="15"/>
  <c r="AP995" i="15"/>
  <c r="AP994" i="15"/>
  <c r="AP993" i="15"/>
  <c r="AP992" i="15"/>
  <c r="AP991" i="15"/>
  <c r="AP990" i="15"/>
  <c r="AP989" i="15"/>
  <c r="AP988" i="15"/>
  <c r="AP987" i="15"/>
  <c r="AP986" i="15"/>
  <c r="AP985" i="15"/>
  <c r="AP984" i="15"/>
  <c r="AP983" i="15"/>
  <c r="AP982" i="15"/>
  <c r="AP981" i="15"/>
  <c r="AP980" i="15"/>
  <c r="AP979" i="15"/>
  <c r="AP978" i="15"/>
  <c r="AP977" i="15"/>
  <c r="AP976" i="15"/>
  <c r="AP975" i="15"/>
  <c r="AP974" i="15"/>
  <c r="AP973" i="15"/>
  <c r="AP972" i="15"/>
  <c r="AP971" i="15"/>
  <c r="AP970" i="15"/>
  <c r="AP969" i="15"/>
  <c r="AP968" i="15"/>
  <c r="AP967" i="15"/>
  <c r="AP966" i="15"/>
  <c r="AP965" i="15"/>
  <c r="AP964" i="15"/>
  <c r="AP963" i="15"/>
  <c r="AP962" i="15"/>
  <c r="AP961" i="15"/>
  <c r="AP960" i="15"/>
  <c r="AP959" i="15"/>
  <c r="AP958" i="15"/>
  <c r="AP957" i="15"/>
  <c r="AP956" i="15"/>
  <c r="AP955" i="15"/>
  <c r="AP954" i="15"/>
  <c r="AP953" i="15"/>
  <c r="AP952" i="15"/>
  <c r="AP951" i="15"/>
  <c r="AP950" i="15"/>
  <c r="AP949" i="15"/>
  <c r="AP948" i="15"/>
  <c r="AP947" i="15"/>
  <c r="AP946" i="15"/>
  <c r="AP945" i="15"/>
  <c r="AP944" i="15"/>
  <c r="AP943" i="15"/>
  <c r="AP942" i="15"/>
  <c r="AP941" i="15"/>
  <c r="AP940" i="15"/>
  <c r="AP939" i="15"/>
  <c r="AP938" i="15"/>
  <c r="AP937" i="15"/>
  <c r="AP936" i="15"/>
  <c r="AP935" i="15"/>
  <c r="AP934" i="15"/>
  <c r="AP933" i="15"/>
  <c r="AP932" i="15"/>
  <c r="AP931" i="15"/>
  <c r="AP930" i="15"/>
  <c r="AP929" i="15"/>
  <c r="AP928" i="15"/>
  <c r="AP927" i="15"/>
  <c r="AP926" i="15"/>
  <c r="AP925" i="15"/>
  <c r="AP924" i="15"/>
  <c r="AP923" i="15"/>
  <c r="AP922" i="15"/>
  <c r="AP921" i="15"/>
  <c r="AP920" i="15"/>
  <c r="AP919" i="15"/>
  <c r="AP918" i="15"/>
  <c r="AP917" i="15"/>
  <c r="AP916" i="15"/>
  <c r="AP915" i="15"/>
  <c r="AP914" i="15"/>
  <c r="AP913" i="15"/>
  <c r="AP912" i="15"/>
  <c r="AP911" i="15"/>
  <c r="AP910" i="15"/>
  <c r="AP909" i="15"/>
  <c r="AP908" i="15"/>
  <c r="AP907" i="15"/>
  <c r="AP906" i="15"/>
  <c r="AP905" i="15"/>
  <c r="AP904" i="15"/>
  <c r="AP903" i="15"/>
  <c r="AP902" i="15"/>
  <c r="AP901" i="15"/>
  <c r="AP900" i="15"/>
  <c r="AP899" i="15"/>
  <c r="AP898" i="15"/>
  <c r="AP897" i="15"/>
  <c r="AP896" i="15"/>
  <c r="AP895" i="15"/>
  <c r="AP894" i="15"/>
  <c r="AP893" i="15"/>
  <c r="AP892" i="15"/>
  <c r="AP891" i="15"/>
  <c r="AP890" i="15"/>
  <c r="AP889" i="15"/>
  <c r="AP888" i="15"/>
  <c r="AP887" i="15"/>
  <c r="AP886" i="15"/>
  <c r="AP885" i="15"/>
  <c r="AP884" i="15"/>
  <c r="AP883" i="15"/>
  <c r="AP882" i="15"/>
  <c r="AP881" i="15"/>
  <c r="AP880" i="15"/>
  <c r="AP879" i="15"/>
  <c r="AP878" i="15"/>
  <c r="AP877" i="15"/>
  <c r="AP876" i="15"/>
  <c r="AP875" i="15"/>
  <c r="AP874" i="15"/>
  <c r="AP873" i="15"/>
  <c r="AP872" i="15"/>
  <c r="AP871" i="15"/>
  <c r="AP870" i="15"/>
  <c r="AP869" i="15"/>
  <c r="AP868" i="15"/>
  <c r="AP867" i="15"/>
  <c r="AP866" i="15"/>
  <c r="AP865" i="15"/>
  <c r="AP864" i="15"/>
  <c r="AP863" i="15"/>
  <c r="AP862" i="15"/>
  <c r="AP861" i="15"/>
  <c r="AP860" i="15"/>
  <c r="AP859" i="15"/>
  <c r="AP858" i="15"/>
  <c r="AP857" i="15"/>
  <c r="AP856" i="15"/>
  <c r="AP855" i="15"/>
  <c r="AP854" i="15"/>
  <c r="AP853" i="15"/>
  <c r="AP852" i="15"/>
  <c r="AP851" i="15"/>
  <c r="AP850" i="15"/>
  <c r="AP849" i="15"/>
  <c r="AP848" i="15"/>
  <c r="AP847" i="15"/>
  <c r="AP846" i="15"/>
  <c r="AP845" i="15"/>
  <c r="AP844" i="15"/>
  <c r="AP843" i="15"/>
  <c r="AP842" i="15"/>
  <c r="AP841" i="15"/>
  <c r="AP840" i="15"/>
  <c r="AP839" i="15"/>
  <c r="AP838" i="15"/>
  <c r="AP837" i="15"/>
  <c r="AP836" i="15"/>
  <c r="AP835" i="15"/>
  <c r="AP834" i="15"/>
  <c r="AP833" i="15"/>
  <c r="AP832" i="15"/>
  <c r="AP831" i="15"/>
  <c r="AP830" i="15"/>
  <c r="AP829" i="15"/>
  <c r="AP828" i="15"/>
  <c r="AP827" i="15"/>
  <c r="AP826" i="15"/>
  <c r="AP825" i="15"/>
  <c r="AP824" i="15"/>
  <c r="AP823" i="15"/>
  <c r="AP822" i="15"/>
  <c r="AP821" i="15"/>
  <c r="AP820" i="15"/>
  <c r="AP819" i="15"/>
  <c r="AP818" i="15"/>
  <c r="AP817" i="15"/>
  <c r="AP816" i="15"/>
  <c r="AP815" i="15"/>
  <c r="AP814" i="15"/>
  <c r="AP813" i="15"/>
  <c r="AP812" i="15"/>
  <c r="AP811" i="15"/>
  <c r="AP810" i="15"/>
  <c r="AP809" i="15"/>
  <c r="AP808" i="15"/>
  <c r="AP807" i="15"/>
  <c r="AP806" i="15"/>
  <c r="AP805" i="15"/>
  <c r="AP804" i="15"/>
  <c r="AP803" i="15"/>
  <c r="AP802" i="15"/>
  <c r="AP801" i="15"/>
  <c r="AP800" i="15"/>
  <c r="AP799" i="15"/>
  <c r="AP798" i="15"/>
  <c r="AP797" i="15"/>
  <c r="AP796" i="15"/>
  <c r="AP795" i="15"/>
  <c r="AP794" i="15"/>
  <c r="AP793" i="15"/>
  <c r="AP792" i="15"/>
  <c r="AP791" i="15"/>
  <c r="AP790" i="15"/>
  <c r="AP789" i="15"/>
  <c r="AP788" i="15"/>
  <c r="AP787" i="15"/>
  <c r="AP786" i="15"/>
  <c r="AP785" i="15"/>
  <c r="AP784" i="15"/>
  <c r="AP783" i="15"/>
  <c r="AP782" i="15"/>
  <c r="AP781" i="15"/>
  <c r="AP780" i="15"/>
  <c r="AP779" i="15"/>
  <c r="AP778" i="15"/>
  <c r="AP777" i="15"/>
  <c r="AP776" i="15"/>
  <c r="AP775" i="15"/>
  <c r="AP774" i="15"/>
  <c r="AP773" i="15"/>
  <c r="AP772" i="15"/>
  <c r="AP771" i="15"/>
  <c r="AP770" i="15"/>
  <c r="AP769" i="15"/>
  <c r="AP768" i="15"/>
  <c r="AP767" i="15"/>
  <c r="AP766" i="15"/>
  <c r="AP765" i="15"/>
  <c r="AP764" i="15"/>
  <c r="AP763" i="15"/>
  <c r="AP762" i="15"/>
  <c r="AP761" i="15"/>
  <c r="AP760" i="15"/>
  <c r="AP759" i="15"/>
  <c r="AP758" i="15"/>
  <c r="AP757" i="15"/>
  <c r="AP756" i="15"/>
  <c r="AP755" i="15"/>
  <c r="AP754" i="15"/>
  <c r="AP753" i="15"/>
  <c r="AP752" i="15"/>
  <c r="AP751" i="15"/>
  <c r="AP750" i="15"/>
  <c r="AP749" i="15"/>
  <c r="AP748" i="15"/>
  <c r="AP747" i="15"/>
  <c r="AP746" i="15"/>
  <c r="AP745" i="15"/>
  <c r="AP744" i="15"/>
  <c r="AP743" i="15"/>
  <c r="AP742" i="15"/>
  <c r="AP741" i="15"/>
  <c r="AP740" i="15"/>
  <c r="AP739" i="15"/>
  <c r="AP738" i="15"/>
  <c r="AP737" i="15"/>
  <c r="AP736" i="15"/>
  <c r="AP735" i="15"/>
  <c r="AP734" i="15"/>
  <c r="AP733" i="15"/>
  <c r="AP732" i="15"/>
  <c r="AP731" i="15"/>
  <c r="AP730" i="15"/>
  <c r="AP729" i="15"/>
  <c r="AP728" i="15"/>
  <c r="AP727" i="15"/>
  <c r="AP726" i="15"/>
  <c r="AP725" i="15"/>
  <c r="AP724" i="15"/>
  <c r="AP723" i="15"/>
  <c r="AP722" i="15"/>
  <c r="AP721" i="15"/>
  <c r="AP720" i="15"/>
  <c r="AP719" i="15"/>
  <c r="AP718" i="15"/>
  <c r="AP717" i="15"/>
  <c r="AP716" i="15"/>
  <c r="AP715" i="15"/>
  <c r="AP714" i="15"/>
  <c r="AP713" i="15"/>
  <c r="AP712" i="15"/>
  <c r="AP711" i="15"/>
  <c r="AP710" i="15"/>
  <c r="AP709" i="15"/>
  <c r="AP708" i="15"/>
  <c r="AP707" i="15"/>
  <c r="AP706" i="15"/>
  <c r="AP705" i="15"/>
  <c r="AP704" i="15"/>
  <c r="AP703" i="15"/>
  <c r="AP702" i="15"/>
  <c r="AP701" i="15"/>
  <c r="AP700" i="15"/>
  <c r="AP699" i="15"/>
  <c r="AP698" i="15"/>
  <c r="AP697" i="15"/>
  <c r="AP696" i="15"/>
  <c r="AP695" i="15"/>
  <c r="AP694" i="15"/>
  <c r="AP693" i="15"/>
  <c r="AP692" i="15"/>
  <c r="AP691" i="15"/>
  <c r="AP690" i="15"/>
  <c r="AP689" i="15"/>
  <c r="AP688" i="15"/>
  <c r="AP687" i="15"/>
  <c r="AP686" i="15"/>
  <c r="AP685" i="15"/>
  <c r="AP684" i="15"/>
  <c r="AP683" i="15"/>
  <c r="AP682" i="15"/>
  <c r="AP681" i="15"/>
  <c r="AP680" i="15"/>
  <c r="AP679" i="15"/>
  <c r="AP678" i="15"/>
  <c r="AP677" i="15"/>
  <c r="AP676" i="15"/>
  <c r="AP675" i="15"/>
  <c r="AP674" i="15"/>
  <c r="AP673" i="15"/>
  <c r="AP672" i="15"/>
  <c r="AP671" i="15"/>
  <c r="AP670" i="15"/>
  <c r="AP669" i="15"/>
  <c r="AP668" i="15"/>
  <c r="AP667" i="15"/>
  <c r="AP666" i="15"/>
  <c r="AP665" i="15"/>
  <c r="AP664" i="15"/>
  <c r="AP663" i="15"/>
  <c r="AP662" i="15"/>
  <c r="AP661" i="15"/>
  <c r="AP660" i="15"/>
  <c r="AP659" i="15"/>
  <c r="AP658" i="15"/>
  <c r="AP657" i="15"/>
  <c r="AP656" i="15"/>
  <c r="AP655" i="15"/>
  <c r="AP654" i="15"/>
  <c r="AP653" i="15"/>
  <c r="AP652" i="15"/>
  <c r="AP651" i="15"/>
  <c r="AP650" i="15"/>
  <c r="AP649" i="15"/>
  <c r="AP648" i="15"/>
  <c r="AP647" i="15"/>
  <c r="AP646" i="15"/>
  <c r="AP645" i="15"/>
  <c r="AP644" i="15"/>
  <c r="AP643" i="15"/>
  <c r="AP642" i="15"/>
  <c r="AP641" i="15"/>
  <c r="AP640" i="15"/>
  <c r="AP639" i="15"/>
  <c r="AP638" i="15"/>
  <c r="AP637" i="15"/>
  <c r="AP636" i="15"/>
  <c r="AP635" i="15"/>
  <c r="AP634" i="15"/>
  <c r="AP633" i="15"/>
  <c r="AP632" i="15"/>
  <c r="AP631" i="15"/>
  <c r="AP630" i="15"/>
  <c r="AP629" i="15"/>
  <c r="AP628" i="15"/>
  <c r="AP627" i="15"/>
  <c r="AP626" i="15"/>
  <c r="AP625" i="15"/>
  <c r="AP624" i="15"/>
  <c r="AP623" i="15"/>
  <c r="AP622" i="15"/>
  <c r="AP621" i="15"/>
  <c r="AP620" i="15"/>
  <c r="AP619" i="15"/>
  <c r="AP618" i="15"/>
  <c r="AP617" i="15"/>
  <c r="AP616" i="15"/>
  <c r="AP615" i="15"/>
  <c r="AP614" i="15"/>
  <c r="AP613" i="15"/>
  <c r="AP612" i="15"/>
  <c r="AP611" i="15"/>
  <c r="AP610" i="15"/>
  <c r="AP609" i="15"/>
  <c r="AP608" i="15"/>
  <c r="AP607" i="15"/>
  <c r="AP606" i="15"/>
  <c r="AP605" i="15"/>
  <c r="AP604" i="15"/>
  <c r="AP603" i="15"/>
  <c r="AP602" i="15"/>
  <c r="AP601" i="15"/>
  <c r="AP600" i="15"/>
  <c r="AP599" i="15"/>
  <c r="AP598" i="15"/>
  <c r="AP597" i="15"/>
  <c r="AP596" i="15"/>
  <c r="AP595" i="15"/>
  <c r="AP594" i="15"/>
  <c r="AP593" i="15"/>
  <c r="AP592" i="15"/>
  <c r="AP591" i="15"/>
  <c r="AP590" i="15"/>
  <c r="AP589" i="15"/>
  <c r="AP588" i="15"/>
  <c r="AP587" i="15"/>
  <c r="AP586" i="15"/>
  <c r="AP585" i="15"/>
  <c r="AP584" i="15"/>
  <c r="AP583" i="15"/>
  <c r="AP582" i="15"/>
  <c r="AP581" i="15"/>
  <c r="AP580" i="15"/>
  <c r="AP579" i="15"/>
  <c r="AP578" i="15"/>
  <c r="AP577" i="15"/>
  <c r="AP576" i="15"/>
  <c r="AP575" i="15"/>
  <c r="AP574" i="15"/>
  <c r="AP573" i="15"/>
  <c r="AP572" i="15"/>
  <c r="AP571" i="15"/>
  <c r="AP570" i="15"/>
  <c r="AP569" i="15"/>
  <c r="AP568" i="15"/>
  <c r="AP567" i="15"/>
  <c r="AP566" i="15"/>
  <c r="AP565" i="15"/>
  <c r="AP564" i="15"/>
  <c r="AP563" i="15"/>
  <c r="AP562" i="15"/>
  <c r="AP561" i="15"/>
  <c r="AP560" i="15"/>
  <c r="AP559" i="15"/>
  <c r="AP558" i="15"/>
  <c r="AP557" i="15"/>
  <c r="AP556" i="15"/>
  <c r="AP555" i="15"/>
  <c r="AP554" i="15"/>
  <c r="AP553" i="15"/>
  <c r="AP552" i="15"/>
  <c r="AP551" i="15"/>
  <c r="AP550" i="15"/>
  <c r="AP549" i="15"/>
  <c r="AP548" i="15"/>
  <c r="AP547" i="15"/>
  <c r="AP546" i="15"/>
  <c r="AP545" i="15"/>
  <c r="AP544" i="15"/>
  <c r="AP543" i="15"/>
  <c r="AP542" i="15"/>
  <c r="AP541" i="15"/>
  <c r="AP540" i="15"/>
  <c r="AP539" i="15"/>
  <c r="AP538" i="15"/>
  <c r="AP537" i="15"/>
  <c r="AP536" i="15"/>
  <c r="AP535" i="15"/>
  <c r="AP534" i="15"/>
  <c r="AP533" i="15"/>
  <c r="AP532" i="15"/>
  <c r="AP531" i="15"/>
  <c r="AP530" i="15"/>
  <c r="AP529" i="15"/>
  <c r="AP528" i="15"/>
  <c r="AP527" i="15"/>
  <c r="AP526" i="15"/>
  <c r="AP525" i="15"/>
  <c r="AP524" i="15"/>
  <c r="AP523" i="15"/>
  <c r="AP522" i="15"/>
  <c r="AP521" i="15"/>
  <c r="AP520" i="15"/>
  <c r="AP519" i="15"/>
  <c r="AP518" i="15"/>
  <c r="AP517" i="15"/>
  <c r="AP516" i="15"/>
  <c r="AP515" i="15"/>
  <c r="AP514" i="15"/>
  <c r="AP513" i="15"/>
  <c r="AP512" i="15"/>
  <c r="AP511" i="15"/>
  <c r="AP510" i="15"/>
  <c r="AP509" i="15"/>
  <c r="AP508" i="15"/>
  <c r="AP507" i="15"/>
  <c r="AP506" i="15"/>
  <c r="AP505" i="15"/>
  <c r="AP504" i="15"/>
  <c r="AP503" i="15"/>
  <c r="AP502" i="15"/>
  <c r="AP501" i="15"/>
  <c r="AP500" i="15"/>
  <c r="AP499" i="15"/>
  <c r="AP498" i="15"/>
  <c r="AP497" i="15"/>
  <c r="AP496" i="15"/>
  <c r="AP495" i="15"/>
  <c r="AP494" i="15"/>
  <c r="AP493" i="15"/>
  <c r="AP492" i="15"/>
  <c r="AP491" i="15"/>
  <c r="AP490" i="15"/>
  <c r="AP489" i="15"/>
  <c r="AP488" i="15"/>
  <c r="AP487" i="15"/>
  <c r="AP486" i="15"/>
  <c r="AP485" i="15"/>
  <c r="AP484" i="15"/>
  <c r="AP483" i="15"/>
  <c r="AP482" i="15"/>
  <c r="AP481" i="15"/>
  <c r="AP480" i="15"/>
  <c r="AP479" i="15"/>
  <c r="AP478" i="15"/>
  <c r="AP477" i="15"/>
  <c r="AP476" i="15"/>
  <c r="AP475" i="15"/>
  <c r="AP474" i="15"/>
  <c r="AP473" i="15"/>
  <c r="AP472" i="15"/>
  <c r="AP471" i="15"/>
  <c r="AP470" i="15"/>
  <c r="AP469" i="15"/>
  <c r="AP468" i="15"/>
  <c r="AP467" i="15"/>
  <c r="AP466" i="15"/>
  <c r="AP465" i="15"/>
  <c r="AP464" i="15"/>
  <c r="AP463" i="15"/>
  <c r="AP462" i="15"/>
  <c r="AP461" i="15"/>
  <c r="AP460" i="15"/>
  <c r="AP459" i="15"/>
  <c r="AP458" i="15"/>
  <c r="AP457" i="15"/>
  <c r="AP456" i="15"/>
  <c r="AP455" i="15"/>
  <c r="AP454" i="15"/>
  <c r="AP453" i="15"/>
  <c r="AP452" i="15"/>
  <c r="AP451" i="15"/>
  <c r="AP450" i="15"/>
  <c r="AP449" i="15"/>
  <c r="AP448" i="15"/>
  <c r="AP447" i="15"/>
  <c r="AP446" i="15"/>
  <c r="AP445" i="15"/>
  <c r="AP444" i="15"/>
  <c r="AP443" i="15"/>
  <c r="AP442" i="15"/>
  <c r="AP441" i="15"/>
  <c r="AP440" i="15"/>
  <c r="AP439" i="15"/>
  <c r="AP438" i="15"/>
  <c r="AP437" i="15"/>
  <c r="AP436" i="15"/>
  <c r="AP435" i="15"/>
  <c r="AP434" i="15"/>
  <c r="AP433" i="15"/>
  <c r="AP432" i="15"/>
  <c r="AP431" i="15"/>
  <c r="AP430" i="15"/>
  <c r="AP429" i="15"/>
  <c r="AP428" i="15"/>
  <c r="AP427" i="15"/>
  <c r="AP426" i="15"/>
  <c r="AP425" i="15"/>
  <c r="AP424" i="15"/>
  <c r="AP423" i="15"/>
  <c r="AP422" i="15"/>
  <c r="AP421" i="15"/>
  <c r="AP420" i="15"/>
  <c r="AP419" i="15"/>
  <c r="AP418" i="15"/>
  <c r="AP417" i="15"/>
  <c r="AP416" i="15"/>
  <c r="AP415" i="15"/>
  <c r="AP414" i="15"/>
  <c r="AP413" i="15"/>
  <c r="AP412" i="15"/>
  <c r="AP411" i="15"/>
  <c r="AP410" i="15"/>
  <c r="AP409" i="15"/>
  <c r="AP408" i="15"/>
  <c r="AP407" i="15"/>
  <c r="AP406" i="15"/>
  <c r="AP405" i="15"/>
  <c r="AP404" i="15"/>
  <c r="AP403" i="15"/>
  <c r="AP402" i="15"/>
  <c r="AP401" i="15"/>
  <c r="AP400" i="15"/>
  <c r="AP399" i="15"/>
  <c r="AP398" i="15"/>
  <c r="AP397" i="15"/>
  <c r="AP396" i="15"/>
  <c r="AP395" i="15"/>
  <c r="AP394" i="15"/>
  <c r="AP393" i="15"/>
  <c r="AP392" i="15"/>
  <c r="AP391" i="15"/>
  <c r="AP390" i="15"/>
  <c r="AP389" i="15"/>
  <c r="AP388" i="15"/>
  <c r="AP387" i="15"/>
  <c r="AP386" i="15"/>
  <c r="AP385" i="15"/>
  <c r="AP384" i="15"/>
  <c r="AP383" i="15"/>
  <c r="AP382" i="15"/>
  <c r="AP381" i="15"/>
  <c r="AP380" i="15"/>
  <c r="AP379" i="15"/>
  <c r="AP378" i="15"/>
  <c r="AP377" i="15"/>
  <c r="AP376" i="15"/>
  <c r="AP375" i="15"/>
  <c r="AP374" i="15"/>
  <c r="AP373" i="15"/>
  <c r="AP372" i="15"/>
  <c r="AP371" i="15"/>
  <c r="AP370" i="15"/>
  <c r="AP369" i="15"/>
  <c r="AP368" i="15"/>
  <c r="AP367" i="15"/>
  <c r="AP366" i="15"/>
  <c r="AP365" i="15"/>
  <c r="AP364" i="15"/>
  <c r="AP363" i="15"/>
  <c r="AP362" i="15"/>
  <c r="AP361" i="15"/>
  <c r="AP360" i="15"/>
  <c r="AP359" i="15"/>
  <c r="AP358" i="15"/>
  <c r="AP357" i="15"/>
  <c r="AP356" i="15"/>
  <c r="AP355" i="15"/>
  <c r="AP354" i="15"/>
  <c r="AP353" i="15"/>
  <c r="AP352" i="15"/>
  <c r="AP351" i="15"/>
  <c r="AP350" i="15"/>
  <c r="AP349" i="15"/>
  <c r="AP348" i="15"/>
  <c r="AP347" i="15"/>
  <c r="AP346" i="15"/>
  <c r="AP345" i="15"/>
  <c r="AP344" i="15"/>
  <c r="AP343" i="15"/>
  <c r="AP342" i="15"/>
  <c r="AP341" i="15"/>
  <c r="AP340" i="15"/>
  <c r="AP339" i="15"/>
  <c r="AP338" i="15"/>
  <c r="AP337" i="15"/>
  <c r="AP336" i="15"/>
  <c r="AP335" i="15"/>
  <c r="AP334" i="15"/>
  <c r="AP333" i="15"/>
  <c r="AP332" i="15"/>
  <c r="AP331" i="15"/>
  <c r="AP330" i="15"/>
  <c r="AP329" i="15"/>
  <c r="AP328" i="15"/>
  <c r="AP327" i="15"/>
  <c r="AP326" i="15"/>
  <c r="AP325" i="15"/>
  <c r="AP324" i="15"/>
  <c r="AP323" i="15"/>
  <c r="AP322" i="15"/>
  <c r="AP321" i="15"/>
  <c r="AP320" i="15"/>
  <c r="AP319" i="15"/>
  <c r="AP318" i="15"/>
  <c r="AP317" i="15"/>
  <c r="AP316" i="15"/>
  <c r="AP315" i="15"/>
  <c r="AP314" i="15"/>
  <c r="AP313" i="15"/>
  <c r="AP312" i="15"/>
  <c r="AP311" i="15"/>
  <c r="AP310" i="15"/>
  <c r="AP309" i="15"/>
  <c r="AP308" i="15"/>
  <c r="AP307" i="15"/>
  <c r="AP306" i="15"/>
  <c r="AP305" i="15"/>
  <c r="AP304" i="15"/>
  <c r="AP303" i="15"/>
  <c r="AP302" i="15"/>
  <c r="AP301" i="15"/>
  <c r="AP300" i="15"/>
  <c r="AP299" i="15"/>
  <c r="AP298" i="15"/>
  <c r="AP297" i="15"/>
  <c r="AP296" i="15"/>
  <c r="AP295" i="15"/>
  <c r="AP294" i="15"/>
  <c r="AP293" i="15"/>
  <c r="AP292" i="15"/>
  <c r="AP291" i="15"/>
  <c r="AP290" i="15"/>
  <c r="AP289" i="15"/>
  <c r="AP288" i="15"/>
  <c r="AP287" i="15"/>
  <c r="AP286" i="15"/>
  <c r="AP285" i="15"/>
  <c r="AP284" i="15"/>
  <c r="AP283" i="15"/>
  <c r="AP282" i="15"/>
  <c r="AP281" i="15"/>
  <c r="AP280" i="15"/>
  <c r="AP279" i="15"/>
  <c r="AP278" i="15"/>
  <c r="AP277" i="15"/>
  <c r="AP276" i="15"/>
  <c r="AP275" i="15"/>
  <c r="AP274" i="15"/>
  <c r="AP273" i="15"/>
  <c r="AP272" i="15"/>
  <c r="AP271" i="15"/>
  <c r="AP270" i="15"/>
  <c r="AP269" i="15"/>
  <c r="AP268" i="15"/>
  <c r="AP267" i="15"/>
  <c r="AP266" i="15"/>
  <c r="AP265" i="15"/>
  <c r="AP264" i="15"/>
  <c r="AP263" i="15"/>
  <c r="AP262" i="15"/>
  <c r="AP261" i="15"/>
  <c r="AP260" i="15"/>
  <c r="AP259" i="15"/>
  <c r="AP258" i="15"/>
  <c r="AP257" i="15"/>
  <c r="AP256" i="15"/>
  <c r="AP255" i="15"/>
  <c r="AP254" i="15"/>
  <c r="AP253" i="15"/>
  <c r="AP252" i="15"/>
  <c r="AP251" i="15"/>
  <c r="AP250" i="15"/>
  <c r="AP249" i="15"/>
  <c r="AP248" i="15"/>
  <c r="AP247" i="15"/>
  <c r="AP246" i="15"/>
  <c r="AP245" i="15"/>
  <c r="AP244" i="15"/>
  <c r="AP243" i="15"/>
  <c r="AP242" i="15"/>
  <c r="AP241" i="15"/>
  <c r="AP240" i="15"/>
  <c r="AP239" i="15"/>
  <c r="AP238" i="15"/>
  <c r="AP237" i="15"/>
  <c r="AP236" i="15"/>
  <c r="AP235" i="15"/>
  <c r="AP234" i="15"/>
  <c r="AP233" i="15"/>
  <c r="AP232" i="15"/>
  <c r="AP231" i="15"/>
  <c r="AP230" i="15"/>
  <c r="AP229" i="15"/>
  <c r="AP228" i="15"/>
  <c r="AP227" i="15"/>
  <c r="AP226" i="15"/>
  <c r="AP225" i="15"/>
  <c r="AP224" i="15"/>
  <c r="AP223" i="15"/>
  <c r="AP222" i="15"/>
  <c r="AP221" i="15"/>
  <c r="AP220" i="15"/>
  <c r="AP219" i="15"/>
  <c r="AP218" i="15"/>
  <c r="AP217" i="15"/>
  <c r="AP216" i="15"/>
  <c r="AP215" i="15"/>
  <c r="AP214" i="15"/>
  <c r="AP213" i="15"/>
  <c r="AP212" i="15"/>
  <c r="AP211" i="15"/>
  <c r="AP210" i="15"/>
  <c r="AP209" i="15"/>
  <c r="AP208" i="15"/>
  <c r="AP207" i="15"/>
  <c r="AP206" i="15"/>
  <c r="AP205" i="15"/>
  <c r="AP204" i="15"/>
  <c r="AP203" i="15"/>
  <c r="AP202" i="15"/>
  <c r="AP201" i="15"/>
  <c r="AP200" i="15"/>
  <c r="AP199" i="15"/>
  <c r="AP198" i="15"/>
  <c r="AP197" i="15"/>
  <c r="AP196" i="15"/>
  <c r="AP195" i="15"/>
  <c r="AP194" i="15"/>
  <c r="AP193" i="15"/>
  <c r="AP192" i="15"/>
  <c r="AP191" i="15"/>
  <c r="AP190" i="15"/>
  <c r="AP189" i="15"/>
  <c r="AP188" i="15"/>
  <c r="AP187" i="15"/>
  <c r="AP186" i="15"/>
  <c r="AP185" i="15"/>
  <c r="AP184" i="15"/>
  <c r="AP183" i="15"/>
  <c r="AP182" i="15"/>
  <c r="AP181" i="15"/>
  <c r="AP180" i="15"/>
  <c r="AP179" i="15"/>
  <c r="AP178" i="15"/>
  <c r="AP177" i="15"/>
  <c r="AP176" i="15"/>
  <c r="AP175" i="15"/>
  <c r="AP174" i="15"/>
  <c r="AP173" i="15"/>
  <c r="AP172" i="15"/>
  <c r="AP171" i="15"/>
  <c r="AP170" i="15"/>
  <c r="AP169" i="15"/>
  <c r="AP168" i="15"/>
  <c r="AP167" i="15"/>
  <c r="AP166" i="15"/>
  <c r="AP165" i="15"/>
  <c r="AP164" i="15"/>
  <c r="AP163" i="15"/>
  <c r="AP162" i="15"/>
  <c r="AP161" i="15"/>
  <c r="AP160" i="15"/>
  <c r="AP159" i="15"/>
  <c r="AP158" i="15"/>
  <c r="AP157" i="15"/>
  <c r="AP156" i="15"/>
  <c r="AP155" i="15"/>
  <c r="AP154" i="15"/>
  <c r="AP153" i="15"/>
  <c r="AP152" i="15"/>
  <c r="AP151" i="15"/>
  <c r="AP150" i="15"/>
  <c r="AP149" i="15"/>
  <c r="AP148" i="15"/>
  <c r="AP147" i="15"/>
  <c r="AP146" i="15"/>
  <c r="AP145" i="15"/>
  <c r="AP144" i="15"/>
  <c r="AP143" i="15"/>
  <c r="AP142" i="15"/>
  <c r="AP141" i="15"/>
  <c r="AP140" i="15"/>
  <c r="AP139" i="15"/>
  <c r="AP138" i="15"/>
  <c r="AP137" i="15"/>
  <c r="AP136" i="15"/>
  <c r="AP135" i="15"/>
  <c r="AP134" i="15"/>
  <c r="AP133" i="15"/>
  <c r="AP132" i="15"/>
  <c r="AP131" i="15"/>
  <c r="AP130" i="15"/>
  <c r="AP129" i="15"/>
  <c r="AP128" i="15"/>
  <c r="AP127" i="15"/>
  <c r="AP126" i="15"/>
  <c r="AP125" i="15"/>
  <c r="AP124" i="15"/>
  <c r="AP123" i="15"/>
  <c r="AP122" i="15"/>
  <c r="AP121" i="15"/>
  <c r="AP120" i="15"/>
  <c r="AP119" i="15"/>
  <c r="AP118" i="15"/>
  <c r="AP117" i="15"/>
  <c r="AP116" i="15"/>
  <c r="AP115" i="15"/>
  <c r="AP114" i="15"/>
  <c r="AP113" i="15"/>
  <c r="AP112" i="15"/>
  <c r="AP111" i="15"/>
  <c r="AP110" i="15"/>
  <c r="AP109" i="15"/>
  <c r="AP108" i="15"/>
  <c r="AP107" i="15"/>
  <c r="AP106" i="15"/>
  <c r="AP105" i="15"/>
  <c r="AP104" i="15"/>
  <c r="AP103" i="15"/>
  <c r="AP102" i="15"/>
  <c r="AP101" i="15"/>
  <c r="AP100" i="15"/>
  <c r="AP99" i="15"/>
  <c r="AP98" i="15"/>
  <c r="AP97" i="15"/>
  <c r="AP96" i="15"/>
  <c r="AP95" i="15"/>
  <c r="AP94" i="15"/>
  <c r="AP93" i="15"/>
  <c r="AP92" i="15"/>
  <c r="AP91" i="15"/>
  <c r="AP90" i="15"/>
  <c r="AP89" i="15"/>
  <c r="AP88" i="15"/>
  <c r="AP87" i="15"/>
  <c r="AP86" i="15"/>
  <c r="AP85" i="15"/>
  <c r="AP84" i="15"/>
  <c r="AP83" i="15"/>
  <c r="AP82" i="15"/>
  <c r="AP81" i="15"/>
  <c r="AP80" i="15"/>
  <c r="AP79" i="15"/>
  <c r="AP78" i="15"/>
  <c r="AP77" i="15"/>
  <c r="AP76" i="15"/>
  <c r="AP75" i="15"/>
  <c r="AP74" i="15"/>
  <c r="AP73" i="15"/>
  <c r="AP72" i="15"/>
  <c r="AP71" i="15"/>
  <c r="AP70" i="15"/>
  <c r="AP69" i="15"/>
  <c r="AP68" i="15"/>
  <c r="AP67" i="15"/>
  <c r="AP66" i="15"/>
  <c r="AP65" i="15"/>
  <c r="AP64" i="15"/>
  <c r="AP63" i="15"/>
  <c r="AP62" i="15"/>
  <c r="AP61" i="15"/>
  <c r="AP60" i="15"/>
  <c r="AP59" i="15"/>
  <c r="AP58" i="15"/>
  <c r="AP57" i="15"/>
  <c r="AP56" i="15"/>
  <c r="AP55" i="15"/>
  <c r="AP54" i="15"/>
  <c r="AP53" i="15"/>
  <c r="AP52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5" i="15"/>
  <c r="AP24" i="15"/>
  <c r="AP23" i="15"/>
  <c r="AP22" i="15"/>
  <c r="AP21" i="15"/>
  <c r="AP20" i="15"/>
  <c r="AP19" i="15"/>
  <c r="AP18" i="15"/>
  <c r="AP17" i="15"/>
  <c r="AP16" i="15"/>
  <c r="AP15" i="15"/>
  <c r="AP14" i="15"/>
  <c r="AP13" i="15"/>
  <c r="AP12" i="15"/>
  <c r="AP11" i="15"/>
  <c r="AP10" i="15"/>
  <c r="AP9" i="15"/>
  <c r="AP8" i="15"/>
  <c r="AP7" i="15"/>
  <c r="AP6" i="15"/>
  <c r="AP5" i="15"/>
  <c r="AP4" i="15"/>
  <c r="AP3" i="15"/>
  <c r="AP2" i="15"/>
  <c r="E17" i="25"/>
  <c r="E16" i="25"/>
  <c r="E15" i="25"/>
  <c r="E14" i="25"/>
  <c r="E13" i="25"/>
  <c r="E12" i="25"/>
  <c r="E11" i="25"/>
  <c r="E10" i="25"/>
  <c r="I8" i="30"/>
  <c r="B2" i="30"/>
  <c r="E59" i="30"/>
  <c r="F59" i="30"/>
  <c r="I57" i="30"/>
  <c r="I58" i="30"/>
  <c r="G16" i="23"/>
  <c r="G15" i="23"/>
  <c r="G14" i="23"/>
  <c r="G13" i="23"/>
  <c r="G12" i="23"/>
  <c r="G11" i="23"/>
  <c r="G10" i="23"/>
  <c r="G9" i="23"/>
  <c r="D17" i="25"/>
  <c r="D16" i="25"/>
  <c r="M41" i="25" s="1"/>
  <c r="D15" i="25"/>
  <c r="D14" i="25"/>
  <c r="M39" i="25" s="1"/>
  <c r="D13" i="25"/>
  <c r="D12" i="25"/>
  <c r="M37" i="25" s="1"/>
  <c r="D11" i="25"/>
  <c r="D10" i="25"/>
  <c r="A23" i="9"/>
  <c r="A11" i="16"/>
  <c r="A3" i="9"/>
  <c r="BP13" i="9" s="1"/>
  <c r="A8" i="23"/>
  <c r="A12" i="9"/>
  <c r="B4" i="25"/>
  <c r="A11" i="9"/>
  <c r="A7" i="23"/>
  <c r="C3" i="11"/>
  <c r="A10" i="9"/>
  <c r="A6" i="23"/>
  <c r="A9" i="9"/>
  <c r="A8" i="9"/>
  <c r="A7" i="9"/>
  <c r="L34" i="25"/>
  <c r="B37" i="25"/>
  <c r="A6" i="9"/>
  <c r="BF108" i="9" s="1"/>
  <c r="A5" i="9"/>
  <c r="C8" i="11"/>
  <c r="A2" i="9"/>
  <c r="A1" i="9"/>
  <c r="A16" i="9" s="1"/>
  <c r="B5000" i="15"/>
  <c r="B4999" i="15"/>
  <c r="B4998" i="15"/>
  <c r="B4997" i="15"/>
  <c r="B4996" i="15"/>
  <c r="B4995" i="15"/>
  <c r="B4994" i="15"/>
  <c r="B4993" i="15"/>
  <c r="B4992" i="15"/>
  <c r="B4991" i="15"/>
  <c r="B4990" i="15"/>
  <c r="B4989" i="15"/>
  <c r="B4988" i="15"/>
  <c r="B4987" i="15"/>
  <c r="B4986" i="15"/>
  <c r="B4985" i="15"/>
  <c r="B4984" i="15"/>
  <c r="B4983" i="15"/>
  <c r="B4982" i="15"/>
  <c r="B4981" i="15"/>
  <c r="B4980" i="15"/>
  <c r="B4979" i="15"/>
  <c r="B4978" i="15"/>
  <c r="B4977" i="15"/>
  <c r="B4976" i="15"/>
  <c r="B4975" i="15"/>
  <c r="B4974" i="15"/>
  <c r="B4973" i="15"/>
  <c r="B4972" i="15"/>
  <c r="B4971" i="15"/>
  <c r="B4970" i="15"/>
  <c r="B4969" i="15"/>
  <c r="B4968" i="15"/>
  <c r="B4967" i="15"/>
  <c r="B4966" i="15"/>
  <c r="B4965" i="15"/>
  <c r="B4964" i="15"/>
  <c r="B4963" i="15"/>
  <c r="B4962" i="15"/>
  <c r="B4961" i="15"/>
  <c r="B4960" i="15"/>
  <c r="B4959" i="15"/>
  <c r="B4958" i="15"/>
  <c r="B4957" i="15"/>
  <c r="B4956" i="15"/>
  <c r="B4955" i="15"/>
  <c r="B4954" i="15"/>
  <c r="B4953" i="15"/>
  <c r="B4952" i="15"/>
  <c r="B4951" i="15"/>
  <c r="B4950" i="15"/>
  <c r="B4949" i="15"/>
  <c r="B4948" i="15"/>
  <c r="B4947" i="15"/>
  <c r="B4946" i="15"/>
  <c r="B4945" i="15"/>
  <c r="B4944" i="15"/>
  <c r="B4943" i="15"/>
  <c r="B4942" i="15"/>
  <c r="B4941" i="15"/>
  <c r="B4940" i="15"/>
  <c r="B4939" i="15"/>
  <c r="B4938" i="15"/>
  <c r="B4937" i="15"/>
  <c r="B4936" i="15"/>
  <c r="B4935" i="15"/>
  <c r="B4934" i="15"/>
  <c r="B4933" i="15"/>
  <c r="B4932" i="15"/>
  <c r="B4931" i="15"/>
  <c r="B4930" i="15"/>
  <c r="B4929" i="15"/>
  <c r="B4928" i="15"/>
  <c r="B4927" i="15"/>
  <c r="B4926" i="15"/>
  <c r="B4925" i="15"/>
  <c r="B4924" i="15"/>
  <c r="B4923" i="15"/>
  <c r="B4922" i="15"/>
  <c r="B4921" i="15"/>
  <c r="B4920" i="15"/>
  <c r="B4919" i="15"/>
  <c r="B4918" i="15"/>
  <c r="B4917" i="15"/>
  <c r="B4916" i="15"/>
  <c r="B4915" i="15"/>
  <c r="B4914" i="15"/>
  <c r="B4913" i="15"/>
  <c r="B4912" i="15"/>
  <c r="B4911" i="15"/>
  <c r="B4910" i="15"/>
  <c r="B4909" i="15"/>
  <c r="B4908" i="15"/>
  <c r="B4907" i="15"/>
  <c r="B4906" i="15"/>
  <c r="B4905" i="15"/>
  <c r="B4904" i="15"/>
  <c r="B4903" i="15"/>
  <c r="B4902" i="15"/>
  <c r="B4901" i="15"/>
  <c r="B4900" i="15"/>
  <c r="B4899" i="15"/>
  <c r="B4898" i="15"/>
  <c r="B4897" i="15"/>
  <c r="B4896" i="15"/>
  <c r="B4895" i="15"/>
  <c r="B4894" i="15"/>
  <c r="B4893" i="15"/>
  <c r="B4892" i="15"/>
  <c r="B4891" i="15"/>
  <c r="B4890" i="15"/>
  <c r="B4889" i="15"/>
  <c r="B4888" i="15"/>
  <c r="B4887" i="15"/>
  <c r="B4886" i="15"/>
  <c r="B4885" i="15"/>
  <c r="B4884" i="15"/>
  <c r="B4883" i="15"/>
  <c r="B4882" i="15"/>
  <c r="B4881" i="15"/>
  <c r="B4880" i="15"/>
  <c r="B4879" i="15"/>
  <c r="B4878" i="15"/>
  <c r="B4877" i="15"/>
  <c r="B4876" i="15"/>
  <c r="B4875" i="15"/>
  <c r="B4874" i="15"/>
  <c r="B4873" i="15"/>
  <c r="B4872" i="15"/>
  <c r="B4871" i="15"/>
  <c r="B4870" i="15"/>
  <c r="B4869" i="15"/>
  <c r="B4868" i="15"/>
  <c r="B4867" i="15"/>
  <c r="B4866" i="15"/>
  <c r="B4865" i="15"/>
  <c r="B4864" i="15"/>
  <c r="B4863" i="15"/>
  <c r="B4862" i="15"/>
  <c r="B4861" i="15"/>
  <c r="B4860" i="15"/>
  <c r="B4859" i="15"/>
  <c r="B4858" i="15"/>
  <c r="B4857" i="15"/>
  <c r="B4856" i="15"/>
  <c r="B4855" i="15"/>
  <c r="B4854" i="15"/>
  <c r="B4853" i="15"/>
  <c r="B4852" i="15"/>
  <c r="B4851" i="15"/>
  <c r="B4850" i="15"/>
  <c r="B4849" i="15"/>
  <c r="B4848" i="15"/>
  <c r="B4847" i="15"/>
  <c r="B4846" i="15"/>
  <c r="B4845" i="15"/>
  <c r="B4844" i="15"/>
  <c r="B4843" i="15"/>
  <c r="B4842" i="15"/>
  <c r="B4841" i="15"/>
  <c r="B4840" i="15"/>
  <c r="B4839" i="15"/>
  <c r="B4838" i="15"/>
  <c r="B4837" i="15"/>
  <c r="B4836" i="15"/>
  <c r="B4835" i="15"/>
  <c r="B4834" i="15"/>
  <c r="B4833" i="15"/>
  <c r="B4832" i="15"/>
  <c r="B4831" i="15"/>
  <c r="B4830" i="15"/>
  <c r="B4829" i="15"/>
  <c r="B4828" i="15"/>
  <c r="B4827" i="15"/>
  <c r="B4826" i="15"/>
  <c r="B4825" i="15"/>
  <c r="B4824" i="15"/>
  <c r="B4823" i="15"/>
  <c r="B4822" i="15"/>
  <c r="B4821" i="15"/>
  <c r="B4820" i="15"/>
  <c r="B4819" i="15"/>
  <c r="B4818" i="15"/>
  <c r="B4817" i="15"/>
  <c r="B4816" i="15"/>
  <c r="B4815" i="15"/>
  <c r="B4814" i="15"/>
  <c r="B4813" i="15"/>
  <c r="B4812" i="15"/>
  <c r="B4811" i="15"/>
  <c r="B4810" i="15"/>
  <c r="B4809" i="15"/>
  <c r="B4808" i="15"/>
  <c r="B4807" i="15"/>
  <c r="B4806" i="15"/>
  <c r="B4805" i="15"/>
  <c r="B4804" i="15"/>
  <c r="B4803" i="15"/>
  <c r="B4802" i="15"/>
  <c r="B4801" i="15"/>
  <c r="B4800" i="15"/>
  <c r="B4799" i="15"/>
  <c r="B4798" i="15"/>
  <c r="B4797" i="15"/>
  <c r="B4796" i="15"/>
  <c r="B4795" i="15"/>
  <c r="B4794" i="15"/>
  <c r="B4793" i="15"/>
  <c r="B4792" i="15"/>
  <c r="B4791" i="15"/>
  <c r="B4790" i="15"/>
  <c r="B4789" i="15"/>
  <c r="B4788" i="15"/>
  <c r="B4787" i="15"/>
  <c r="B4786" i="15"/>
  <c r="B4785" i="15"/>
  <c r="B4784" i="15"/>
  <c r="B4783" i="15"/>
  <c r="B4782" i="15"/>
  <c r="B4781" i="15"/>
  <c r="B4780" i="15"/>
  <c r="B4779" i="15"/>
  <c r="B4778" i="15"/>
  <c r="B4777" i="15"/>
  <c r="B4776" i="15"/>
  <c r="B4775" i="15"/>
  <c r="B4774" i="15"/>
  <c r="B4773" i="15"/>
  <c r="B4772" i="15"/>
  <c r="B4771" i="15"/>
  <c r="B4770" i="15"/>
  <c r="B4769" i="15"/>
  <c r="B4768" i="15"/>
  <c r="B4767" i="15"/>
  <c r="B4766" i="15"/>
  <c r="B4765" i="15"/>
  <c r="B4764" i="15"/>
  <c r="B4763" i="15"/>
  <c r="B4762" i="15"/>
  <c r="B4761" i="15"/>
  <c r="B4760" i="15"/>
  <c r="B4759" i="15"/>
  <c r="B4758" i="15"/>
  <c r="B4757" i="15"/>
  <c r="B4756" i="15"/>
  <c r="B4755" i="15"/>
  <c r="B4754" i="15"/>
  <c r="B4753" i="15"/>
  <c r="B4752" i="15"/>
  <c r="B4751" i="15"/>
  <c r="B4750" i="15"/>
  <c r="B4749" i="15"/>
  <c r="B4748" i="15"/>
  <c r="B4747" i="15"/>
  <c r="B4746" i="15"/>
  <c r="B4745" i="15"/>
  <c r="B4744" i="15"/>
  <c r="B4743" i="15"/>
  <c r="B4742" i="15"/>
  <c r="B4741" i="15"/>
  <c r="B4740" i="15"/>
  <c r="B4739" i="15"/>
  <c r="B4738" i="15"/>
  <c r="B4737" i="15"/>
  <c r="B4736" i="15"/>
  <c r="B4735" i="15"/>
  <c r="B4734" i="15"/>
  <c r="B4733" i="15"/>
  <c r="B4732" i="15"/>
  <c r="B4731" i="15"/>
  <c r="B4730" i="15"/>
  <c r="B4729" i="15"/>
  <c r="B4728" i="15"/>
  <c r="B4727" i="15"/>
  <c r="B4726" i="15"/>
  <c r="B4725" i="15"/>
  <c r="B4724" i="15"/>
  <c r="B4723" i="15"/>
  <c r="B4722" i="15"/>
  <c r="B4721" i="15"/>
  <c r="B4720" i="15"/>
  <c r="B4719" i="15"/>
  <c r="B4718" i="15"/>
  <c r="B4717" i="15"/>
  <c r="B4716" i="15"/>
  <c r="B4715" i="15"/>
  <c r="B4714" i="15"/>
  <c r="B4713" i="15"/>
  <c r="B4712" i="15"/>
  <c r="B4711" i="15"/>
  <c r="B4710" i="15"/>
  <c r="B4709" i="15"/>
  <c r="B4708" i="15"/>
  <c r="B4707" i="15"/>
  <c r="B4706" i="15"/>
  <c r="B4705" i="15"/>
  <c r="B4704" i="15"/>
  <c r="B4703" i="15"/>
  <c r="B4702" i="15"/>
  <c r="B4701" i="15"/>
  <c r="B4700" i="15"/>
  <c r="B4699" i="15"/>
  <c r="B4698" i="15"/>
  <c r="B4697" i="15"/>
  <c r="B4696" i="15"/>
  <c r="B4695" i="15"/>
  <c r="B4694" i="15"/>
  <c r="B4693" i="15"/>
  <c r="B4692" i="15"/>
  <c r="B4691" i="15"/>
  <c r="B4690" i="15"/>
  <c r="B4689" i="15"/>
  <c r="B4688" i="15"/>
  <c r="B4687" i="15"/>
  <c r="B4686" i="15"/>
  <c r="B4685" i="15"/>
  <c r="B4684" i="15"/>
  <c r="B4683" i="15"/>
  <c r="B4682" i="15"/>
  <c r="B4681" i="15"/>
  <c r="B4680" i="15"/>
  <c r="B4679" i="15"/>
  <c r="B4678" i="15"/>
  <c r="B4677" i="15"/>
  <c r="B4676" i="15"/>
  <c r="B4675" i="15"/>
  <c r="B4674" i="15"/>
  <c r="B4673" i="15"/>
  <c r="B4672" i="15"/>
  <c r="B4671" i="15"/>
  <c r="B4670" i="15"/>
  <c r="B4669" i="15"/>
  <c r="B4668" i="15"/>
  <c r="B4667" i="15"/>
  <c r="B4666" i="15"/>
  <c r="B4665" i="15"/>
  <c r="B4664" i="15"/>
  <c r="B4663" i="15"/>
  <c r="B4662" i="15"/>
  <c r="B4661" i="15"/>
  <c r="B4660" i="15"/>
  <c r="B4659" i="15"/>
  <c r="B4658" i="15"/>
  <c r="B4657" i="15"/>
  <c r="B4656" i="15"/>
  <c r="B4655" i="15"/>
  <c r="B4654" i="15"/>
  <c r="B4653" i="15"/>
  <c r="B4652" i="15"/>
  <c r="B4651" i="15"/>
  <c r="B4650" i="15"/>
  <c r="B4649" i="15"/>
  <c r="B4648" i="15"/>
  <c r="B4647" i="15"/>
  <c r="B4646" i="15"/>
  <c r="B4645" i="15"/>
  <c r="B4644" i="15"/>
  <c r="B4643" i="15"/>
  <c r="B4642" i="15"/>
  <c r="B4641" i="15"/>
  <c r="B4640" i="15"/>
  <c r="B4639" i="15"/>
  <c r="B4638" i="15"/>
  <c r="B4637" i="15"/>
  <c r="B4636" i="15"/>
  <c r="B4635" i="15"/>
  <c r="B4634" i="15"/>
  <c r="B4633" i="15"/>
  <c r="B4632" i="15"/>
  <c r="B4631" i="15"/>
  <c r="B4630" i="15"/>
  <c r="B4629" i="15"/>
  <c r="B4628" i="15"/>
  <c r="B4627" i="15"/>
  <c r="B4626" i="15"/>
  <c r="B4625" i="15"/>
  <c r="B4624" i="15"/>
  <c r="B4623" i="15"/>
  <c r="B4622" i="15"/>
  <c r="B4621" i="15"/>
  <c r="B4620" i="15"/>
  <c r="B4619" i="15"/>
  <c r="B4618" i="15"/>
  <c r="B4617" i="15"/>
  <c r="B4616" i="15"/>
  <c r="B4615" i="15"/>
  <c r="B4614" i="15"/>
  <c r="B4613" i="15"/>
  <c r="B4612" i="15"/>
  <c r="B4611" i="15"/>
  <c r="B4610" i="15"/>
  <c r="B4609" i="15"/>
  <c r="B4608" i="15"/>
  <c r="B4607" i="15"/>
  <c r="B4606" i="15"/>
  <c r="B4605" i="15"/>
  <c r="B4604" i="15"/>
  <c r="B4603" i="15"/>
  <c r="B4602" i="15"/>
  <c r="B4601" i="15"/>
  <c r="B4600" i="15"/>
  <c r="B4599" i="15"/>
  <c r="B4598" i="15"/>
  <c r="B4597" i="15"/>
  <c r="B4596" i="15"/>
  <c r="B4595" i="15"/>
  <c r="B4594" i="15"/>
  <c r="B4593" i="15"/>
  <c r="B4592" i="15"/>
  <c r="B4591" i="15"/>
  <c r="B4590" i="15"/>
  <c r="B4589" i="15"/>
  <c r="B4588" i="15"/>
  <c r="B4587" i="15"/>
  <c r="B4586" i="15"/>
  <c r="B4585" i="15"/>
  <c r="B4584" i="15"/>
  <c r="B4583" i="15"/>
  <c r="B4582" i="15"/>
  <c r="B4581" i="15"/>
  <c r="B4580" i="15"/>
  <c r="B4579" i="15"/>
  <c r="B4578" i="15"/>
  <c r="B4577" i="15"/>
  <c r="B4576" i="15"/>
  <c r="B4575" i="15"/>
  <c r="B4574" i="15"/>
  <c r="B4573" i="15"/>
  <c r="B4572" i="15"/>
  <c r="B4571" i="15"/>
  <c r="B4570" i="15"/>
  <c r="B4569" i="15"/>
  <c r="B4568" i="15"/>
  <c r="B4567" i="15"/>
  <c r="B4566" i="15"/>
  <c r="B4565" i="15"/>
  <c r="B4564" i="15"/>
  <c r="B4563" i="15"/>
  <c r="B4562" i="15"/>
  <c r="B4561" i="15"/>
  <c r="B4560" i="15"/>
  <c r="B4559" i="15"/>
  <c r="B4558" i="15"/>
  <c r="B4557" i="15"/>
  <c r="B4556" i="15"/>
  <c r="B4555" i="15"/>
  <c r="B4554" i="15"/>
  <c r="B4553" i="15"/>
  <c r="B4552" i="15"/>
  <c r="B4551" i="15"/>
  <c r="B4550" i="15"/>
  <c r="B4549" i="15"/>
  <c r="B4548" i="15"/>
  <c r="B4547" i="15"/>
  <c r="B4546" i="15"/>
  <c r="B4545" i="15"/>
  <c r="B4544" i="15"/>
  <c r="B4543" i="15"/>
  <c r="B4542" i="15"/>
  <c r="B4541" i="15"/>
  <c r="B4540" i="15"/>
  <c r="B4539" i="15"/>
  <c r="B4538" i="15"/>
  <c r="B4537" i="15"/>
  <c r="B4536" i="15"/>
  <c r="B4535" i="15"/>
  <c r="B4534" i="15"/>
  <c r="B4533" i="15"/>
  <c r="B4532" i="15"/>
  <c r="B4531" i="15"/>
  <c r="B4530" i="15"/>
  <c r="B4529" i="15"/>
  <c r="B4528" i="15"/>
  <c r="B4527" i="15"/>
  <c r="B4526" i="15"/>
  <c r="B4525" i="15"/>
  <c r="B4524" i="15"/>
  <c r="B4523" i="15"/>
  <c r="B4522" i="15"/>
  <c r="B4521" i="15"/>
  <c r="B4520" i="15"/>
  <c r="B4519" i="15"/>
  <c r="B4518" i="15"/>
  <c r="B4517" i="15"/>
  <c r="B4516" i="15"/>
  <c r="B4515" i="15"/>
  <c r="B4514" i="15"/>
  <c r="B4513" i="15"/>
  <c r="B4512" i="15"/>
  <c r="B4511" i="15"/>
  <c r="B4510" i="15"/>
  <c r="B4509" i="15"/>
  <c r="B4508" i="15"/>
  <c r="B4507" i="15"/>
  <c r="B4506" i="15"/>
  <c r="B4505" i="15"/>
  <c r="B4504" i="15"/>
  <c r="B4503" i="15"/>
  <c r="B4502" i="15"/>
  <c r="B4501" i="15"/>
  <c r="B4500" i="15"/>
  <c r="B4499" i="15"/>
  <c r="B4498" i="15"/>
  <c r="B4497" i="15"/>
  <c r="B4496" i="15"/>
  <c r="B4495" i="15"/>
  <c r="B4494" i="15"/>
  <c r="B4493" i="15"/>
  <c r="B4492" i="15"/>
  <c r="B4491" i="15"/>
  <c r="B4490" i="15"/>
  <c r="B4489" i="15"/>
  <c r="B4488" i="15"/>
  <c r="B4487" i="15"/>
  <c r="B4486" i="15"/>
  <c r="B4485" i="15"/>
  <c r="B4484" i="15"/>
  <c r="B4483" i="15"/>
  <c r="B4482" i="15"/>
  <c r="B4481" i="15"/>
  <c r="B4480" i="15"/>
  <c r="B4479" i="15"/>
  <c r="B4478" i="15"/>
  <c r="B4477" i="15"/>
  <c r="B4476" i="15"/>
  <c r="B4475" i="15"/>
  <c r="B4474" i="15"/>
  <c r="B4473" i="15"/>
  <c r="B4472" i="15"/>
  <c r="B4471" i="15"/>
  <c r="B4470" i="15"/>
  <c r="B4469" i="15"/>
  <c r="B4468" i="15"/>
  <c r="B4467" i="15"/>
  <c r="B4466" i="15"/>
  <c r="B4465" i="15"/>
  <c r="B4464" i="15"/>
  <c r="B4463" i="15"/>
  <c r="B4462" i="15"/>
  <c r="B4461" i="15"/>
  <c r="B4460" i="15"/>
  <c r="B4459" i="15"/>
  <c r="B4458" i="15"/>
  <c r="B4457" i="15"/>
  <c r="B4456" i="15"/>
  <c r="B4455" i="15"/>
  <c r="B4454" i="15"/>
  <c r="B4453" i="15"/>
  <c r="B4452" i="15"/>
  <c r="B4451" i="15"/>
  <c r="B4450" i="15"/>
  <c r="B4449" i="15"/>
  <c r="B4448" i="15"/>
  <c r="B4447" i="15"/>
  <c r="B4446" i="15"/>
  <c r="B4445" i="15"/>
  <c r="B4444" i="15"/>
  <c r="B4443" i="15"/>
  <c r="B4442" i="15"/>
  <c r="B4441" i="15"/>
  <c r="B4440" i="15"/>
  <c r="B4439" i="15"/>
  <c r="B4438" i="15"/>
  <c r="B4437" i="15"/>
  <c r="B4436" i="15"/>
  <c r="B4435" i="15"/>
  <c r="B4434" i="15"/>
  <c r="B4433" i="15"/>
  <c r="B4432" i="15"/>
  <c r="B4431" i="15"/>
  <c r="B4430" i="15"/>
  <c r="B4429" i="15"/>
  <c r="B4428" i="15"/>
  <c r="B4427" i="15"/>
  <c r="B4426" i="15"/>
  <c r="B4425" i="15"/>
  <c r="B4424" i="15"/>
  <c r="B4423" i="15"/>
  <c r="B4422" i="15"/>
  <c r="B4421" i="15"/>
  <c r="B4420" i="15"/>
  <c r="B4419" i="15"/>
  <c r="B4418" i="15"/>
  <c r="B4417" i="15"/>
  <c r="B4416" i="15"/>
  <c r="B4415" i="15"/>
  <c r="B4414" i="15"/>
  <c r="B4413" i="15"/>
  <c r="B4412" i="15"/>
  <c r="B4411" i="15"/>
  <c r="B4410" i="15"/>
  <c r="B4409" i="15"/>
  <c r="B4408" i="15"/>
  <c r="B4407" i="15"/>
  <c r="B4406" i="15"/>
  <c r="B4405" i="15"/>
  <c r="B4404" i="15"/>
  <c r="B4403" i="15"/>
  <c r="B4402" i="15"/>
  <c r="B4401" i="15"/>
  <c r="B4400" i="15"/>
  <c r="B4399" i="15"/>
  <c r="B4398" i="15"/>
  <c r="B4397" i="15"/>
  <c r="B4396" i="15"/>
  <c r="B4395" i="15"/>
  <c r="B4394" i="15"/>
  <c r="B4393" i="15"/>
  <c r="B4392" i="15"/>
  <c r="B4391" i="15"/>
  <c r="B4390" i="15"/>
  <c r="B4389" i="15"/>
  <c r="B4388" i="15"/>
  <c r="B4387" i="15"/>
  <c r="B4386" i="15"/>
  <c r="B4385" i="15"/>
  <c r="B4384" i="15"/>
  <c r="B4383" i="15"/>
  <c r="B4382" i="15"/>
  <c r="B4381" i="15"/>
  <c r="B4380" i="15"/>
  <c r="B4379" i="15"/>
  <c r="B4378" i="15"/>
  <c r="B4377" i="15"/>
  <c r="B4376" i="15"/>
  <c r="B4375" i="15"/>
  <c r="B4374" i="15"/>
  <c r="B4373" i="15"/>
  <c r="B4372" i="15"/>
  <c r="B4371" i="15"/>
  <c r="B4370" i="15"/>
  <c r="B4369" i="15"/>
  <c r="B4368" i="15"/>
  <c r="B4367" i="15"/>
  <c r="B4366" i="15"/>
  <c r="B4365" i="15"/>
  <c r="B4364" i="15"/>
  <c r="B4363" i="15"/>
  <c r="B4362" i="15"/>
  <c r="B4361" i="15"/>
  <c r="B4360" i="15"/>
  <c r="B4359" i="15"/>
  <c r="B4358" i="15"/>
  <c r="B4357" i="15"/>
  <c r="B4356" i="15"/>
  <c r="B4355" i="15"/>
  <c r="B4354" i="15"/>
  <c r="B4353" i="15"/>
  <c r="B4352" i="15"/>
  <c r="B4351" i="15"/>
  <c r="B4350" i="15"/>
  <c r="B4349" i="15"/>
  <c r="B4348" i="15"/>
  <c r="B4347" i="15"/>
  <c r="B4346" i="15"/>
  <c r="B4345" i="15"/>
  <c r="B4344" i="15"/>
  <c r="B4343" i="15"/>
  <c r="B4342" i="15"/>
  <c r="B4341" i="15"/>
  <c r="B4340" i="15"/>
  <c r="B4339" i="15"/>
  <c r="B4338" i="15"/>
  <c r="B4337" i="15"/>
  <c r="B4336" i="15"/>
  <c r="B4335" i="15"/>
  <c r="B4334" i="15"/>
  <c r="B4333" i="15"/>
  <c r="B4332" i="15"/>
  <c r="B4331" i="15"/>
  <c r="B4330" i="15"/>
  <c r="B4329" i="15"/>
  <c r="B4328" i="15"/>
  <c r="B4327" i="15"/>
  <c r="B4326" i="15"/>
  <c r="B4325" i="15"/>
  <c r="B4324" i="15"/>
  <c r="B4323" i="15"/>
  <c r="B4322" i="15"/>
  <c r="B4321" i="15"/>
  <c r="B4320" i="15"/>
  <c r="B4319" i="15"/>
  <c r="B4318" i="15"/>
  <c r="B4317" i="15"/>
  <c r="B4316" i="15"/>
  <c r="B4315" i="15"/>
  <c r="B4314" i="15"/>
  <c r="B4313" i="15"/>
  <c r="B4312" i="15"/>
  <c r="B4311" i="15"/>
  <c r="B4310" i="15"/>
  <c r="B4309" i="15"/>
  <c r="B4308" i="15"/>
  <c r="B4307" i="15"/>
  <c r="B4306" i="15"/>
  <c r="B4305" i="15"/>
  <c r="B4304" i="15"/>
  <c r="B4303" i="15"/>
  <c r="B4302" i="15"/>
  <c r="B4301" i="15"/>
  <c r="B4300" i="15"/>
  <c r="B4299" i="15"/>
  <c r="B4298" i="15"/>
  <c r="B4297" i="15"/>
  <c r="B4296" i="15"/>
  <c r="B4295" i="15"/>
  <c r="B4294" i="15"/>
  <c r="B4293" i="15"/>
  <c r="B4292" i="15"/>
  <c r="B4291" i="15"/>
  <c r="B4290" i="15"/>
  <c r="B4289" i="15"/>
  <c r="B4288" i="15"/>
  <c r="B4287" i="15"/>
  <c r="B4286" i="15"/>
  <c r="B4285" i="15"/>
  <c r="B4284" i="15"/>
  <c r="B4283" i="15"/>
  <c r="B4282" i="15"/>
  <c r="B4281" i="15"/>
  <c r="B4280" i="15"/>
  <c r="B4279" i="15"/>
  <c r="B4278" i="15"/>
  <c r="B4277" i="15"/>
  <c r="B4276" i="15"/>
  <c r="B4275" i="15"/>
  <c r="B4274" i="15"/>
  <c r="B4273" i="15"/>
  <c r="B4272" i="15"/>
  <c r="B4271" i="15"/>
  <c r="B4270" i="15"/>
  <c r="B4269" i="15"/>
  <c r="B4268" i="15"/>
  <c r="B4267" i="15"/>
  <c r="B4266" i="15"/>
  <c r="B4265" i="15"/>
  <c r="B4264" i="15"/>
  <c r="B4263" i="15"/>
  <c r="B4262" i="15"/>
  <c r="B4261" i="15"/>
  <c r="B4260" i="15"/>
  <c r="B4259" i="15"/>
  <c r="B4258" i="15"/>
  <c r="B4257" i="15"/>
  <c r="B4256" i="15"/>
  <c r="B4255" i="15"/>
  <c r="B4254" i="15"/>
  <c r="B4253" i="15"/>
  <c r="B4252" i="15"/>
  <c r="B4251" i="15"/>
  <c r="B4250" i="15"/>
  <c r="B4249" i="15"/>
  <c r="B4248" i="15"/>
  <c r="B4247" i="15"/>
  <c r="B4246" i="15"/>
  <c r="B4245" i="15"/>
  <c r="B4244" i="15"/>
  <c r="B4243" i="15"/>
  <c r="B4242" i="15"/>
  <c r="B4241" i="15"/>
  <c r="B4240" i="15"/>
  <c r="B4239" i="15"/>
  <c r="B4238" i="15"/>
  <c r="B4237" i="15"/>
  <c r="B4236" i="15"/>
  <c r="B4235" i="15"/>
  <c r="B4234" i="15"/>
  <c r="B4233" i="15"/>
  <c r="B4232" i="15"/>
  <c r="B4231" i="15"/>
  <c r="B4230" i="15"/>
  <c r="B4229" i="15"/>
  <c r="B4228" i="15"/>
  <c r="B4227" i="15"/>
  <c r="B4226" i="15"/>
  <c r="B4225" i="15"/>
  <c r="B4224" i="15"/>
  <c r="B4223" i="15"/>
  <c r="B4222" i="15"/>
  <c r="B4221" i="15"/>
  <c r="B4220" i="15"/>
  <c r="B4219" i="15"/>
  <c r="B4218" i="15"/>
  <c r="B4217" i="15"/>
  <c r="B4216" i="15"/>
  <c r="B4215" i="15"/>
  <c r="B4214" i="15"/>
  <c r="B4213" i="15"/>
  <c r="B4212" i="15"/>
  <c r="B4211" i="15"/>
  <c r="B4210" i="15"/>
  <c r="B4209" i="15"/>
  <c r="B4208" i="15"/>
  <c r="B4207" i="15"/>
  <c r="B4206" i="15"/>
  <c r="B4205" i="15"/>
  <c r="B4204" i="15"/>
  <c r="B4203" i="15"/>
  <c r="B4202" i="15"/>
  <c r="B4201" i="15"/>
  <c r="B4200" i="15"/>
  <c r="B4199" i="15"/>
  <c r="B4198" i="15"/>
  <c r="B4197" i="15"/>
  <c r="B4196" i="15"/>
  <c r="B4195" i="15"/>
  <c r="B4194" i="15"/>
  <c r="B4193" i="15"/>
  <c r="B4192" i="15"/>
  <c r="B4191" i="15"/>
  <c r="B4190" i="15"/>
  <c r="B4189" i="15"/>
  <c r="B4188" i="15"/>
  <c r="B4187" i="15"/>
  <c r="B4186" i="15"/>
  <c r="B4185" i="15"/>
  <c r="B4184" i="15"/>
  <c r="B4183" i="15"/>
  <c r="B4182" i="15"/>
  <c r="B4181" i="15"/>
  <c r="B4180" i="15"/>
  <c r="B4179" i="15"/>
  <c r="B4178" i="15"/>
  <c r="B4177" i="15"/>
  <c r="B4176" i="15"/>
  <c r="B4175" i="15"/>
  <c r="B4174" i="15"/>
  <c r="B4173" i="15"/>
  <c r="B4172" i="15"/>
  <c r="B4171" i="15"/>
  <c r="B4170" i="15"/>
  <c r="B4169" i="15"/>
  <c r="B4168" i="15"/>
  <c r="B4167" i="15"/>
  <c r="B4166" i="15"/>
  <c r="B4165" i="15"/>
  <c r="B4164" i="15"/>
  <c r="B4163" i="15"/>
  <c r="B4162" i="15"/>
  <c r="B4161" i="15"/>
  <c r="B4160" i="15"/>
  <c r="B4159" i="15"/>
  <c r="B4158" i="15"/>
  <c r="B4157" i="15"/>
  <c r="B4156" i="15"/>
  <c r="B4155" i="15"/>
  <c r="B4154" i="15"/>
  <c r="B4153" i="15"/>
  <c r="B4152" i="15"/>
  <c r="B4151" i="15"/>
  <c r="B4150" i="15"/>
  <c r="B4149" i="15"/>
  <c r="B4148" i="15"/>
  <c r="B4147" i="15"/>
  <c r="B4146" i="15"/>
  <c r="B4145" i="15"/>
  <c r="B4144" i="15"/>
  <c r="B4143" i="15"/>
  <c r="B4142" i="15"/>
  <c r="B4141" i="15"/>
  <c r="B4140" i="15"/>
  <c r="B4139" i="15"/>
  <c r="B4138" i="15"/>
  <c r="B4137" i="15"/>
  <c r="B4136" i="15"/>
  <c r="B4135" i="15"/>
  <c r="B4134" i="15"/>
  <c r="B4133" i="15"/>
  <c r="B4132" i="15"/>
  <c r="B4131" i="15"/>
  <c r="B4130" i="15"/>
  <c r="B4129" i="15"/>
  <c r="B4128" i="15"/>
  <c r="B4127" i="15"/>
  <c r="B4126" i="15"/>
  <c r="B4125" i="15"/>
  <c r="B4124" i="15"/>
  <c r="B4123" i="15"/>
  <c r="B4122" i="15"/>
  <c r="B4121" i="15"/>
  <c r="B4120" i="15"/>
  <c r="B4119" i="15"/>
  <c r="B4118" i="15"/>
  <c r="B4117" i="15"/>
  <c r="B4116" i="15"/>
  <c r="B4115" i="15"/>
  <c r="B4114" i="15"/>
  <c r="B4113" i="15"/>
  <c r="B4112" i="15"/>
  <c r="B4111" i="15"/>
  <c r="B4110" i="15"/>
  <c r="B4109" i="15"/>
  <c r="B4108" i="15"/>
  <c r="B4107" i="15"/>
  <c r="B4106" i="15"/>
  <c r="B4105" i="15"/>
  <c r="B4104" i="15"/>
  <c r="B4103" i="15"/>
  <c r="B4102" i="15"/>
  <c r="B4101" i="15"/>
  <c r="B4100" i="15"/>
  <c r="B4099" i="15"/>
  <c r="B4098" i="15"/>
  <c r="B4097" i="15"/>
  <c r="B4096" i="15"/>
  <c r="B4095" i="15"/>
  <c r="B4094" i="15"/>
  <c r="B4093" i="15"/>
  <c r="B4092" i="15"/>
  <c r="B4091" i="15"/>
  <c r="B4090" i="15"/>
  <c r="B4089" i="15"/>
  <c r="B4088" i="15"/>
  <c r="B4087" i="15"/>
  <c r="B4086" i="15"/>
  <c r="B4085" i="15"/>
  <c r="B4084" i="15"/>
  <c r="B4083" i="15"/>
  <c r="B4082" i="15"/>
  <c r="B4081" i="15"/>
  <c r="B4080" i="15"/>
  <c r="B4079" i="15"/>
  <c r="B4078" i="15"/>
  <c r="B4077" i="15"/>
  <c r="B4076" i="15"/>
  <c r="B4075" i="15"/>
  <c r="B4074" i="15"/>
  <c r="B4073" i="15"/>
  <c r="B4072" i="15"/>
  <c r="B4071" i="15"/>
  <c r="B4070" i="15"/>
  <c r="B4069" i="15"/>
  <c r="B4068" i="15"/>
  <c r="B4067" i="15"/>
  <c r="B4066" i="15"/>
  <c r="B4065" i="15"/>
  <c r="B4064" i="15"/>
  <c r="B4063" i="15"/>
  <c r="B4062" i="15"/>
  <c r="B4061" i="15"/>
  <c r="B4060" i="15"/>
  <c r="B4059" i="15"/>
  <c r="B4058" i="15"/>
  <c r="B4057" i="15"/>
  <c r="B4056" i="15"/>
  <c r="B4055" i="15"/>
  <c r="B4054" i="15"/>
  <c r="B4053" i="15"/>
  <c r="B4052" i="15"/>
  <c r="B4051" i="15"/>
  <c r="B4050" i="15"/>
  <c r="B4049" i="15"/>
  <c r="B4048" i="15"/>
  <c r="B4047" i="15"/>
  <c r="B4046" i="15"/>
  <c r="B4045" i="15"/>
  <c r="B4044" i="15"/>
  <c r="B4043" i="15"/>
  <c r="B4042" i="15"/>
  <c r="B4041" i="15"/>
  <c r="B4040" i="15"/>
  <c r="B4039" i="15"/>
  <c r="B4038" i="15"/>
  <c r="B4037" i="15"/>
  <c r="B4036" i="15"/>
  <c r="B4035" i="15"/>
  <c r="B4034" i="15"/>
  <c r="B4033" i="15"/>
  <c r="B4032" i="15"/>
  <c r="B4031" i="15"/>
  <c r="B4030" i="15"/>
  <c r="B4029" i="15"/>
  <c r="B4028" i="15"/>
  <c r="B4027" i="15"/>
  <c r="B4026" i="15"/>
  <c r="B4025" i="15"/>
  <c r="B4024" i="15"/>
  <c r="B4023" i="15"/>
  <c r="B4022" i="15"/>
  <c r="B4021" i="15"/>
  <c r="B4020" i="15"/>
  <c r="B4019" i="15"/>
  <c r="B4018" i="15"/>
  <c r="B4017" i="15"/>
  <c r="B4016" i="15"/>
  <c r="B4015" i="15"/>
  <c r="B4014" i="15"/>
  <c r="B4013" i="15"/>
  <c r="B4012" i="15"/>
  <c r="B4011" i="15"/>
  <c r="B4010" i="15"/>
  <c r="B4009" i="15"/>
  <c r="B4008" i="15"/>
  <c r="B4007" i="15"/>
  <c r="B4006" i="15"/>
  <c r="B4005" i="15"/>
  <c r="B4004" i="15"/>
  <c r="B4003" i="15"/>
  <c r="B4002" i="15"/>
  <c r="B4001" i="15"/>
  <c r="B4000" i="15"/>
  <c r="B3999" i="15"/>
  <c r="B3998" i="15"/>
  <c r="B3997" i="15"/>
  <c r="B3996" i="15"/>
  <c r="B3995" i="15"/>
  <c r="B3994" i="15"/>
  <c r="B3993" i="15"/>
  <c r="B3992" i="15"/>
  <c r="B3991" i="15"/>
  <c r="B3990" i="15"/>
  <c r="B3989" i="15"/>
  <c r="B3988" i="15"/>
  <c r="B3987" i="15"/>
  <c r="B3986" i="15"/>
  <c r="B3985" i="15"/>
  <c r="B3984" i="15"/>
  <c r="B3983" i="15"/>
  <c r="B3982" i="15"/>
  <c r="B3981" i="15"/>
  <c r="B3980" i="15"/>
  <c r="B3979" i="15"/>
  <c r="B3978" i="15"/>
  <c r="B3977" i="15"/>
  <c r="B3976" i="15"/>
  <c r="B3975" i="15"/>
  <c r="B3974" i="15"/>
  <c r="B3973" i="15"/>
  <c r="B3972" i="15"/>
  <c r="B3971" i="15"/>
  <c r="B3970" i="15"/>
  <c r="B3969" i="15"/>
  <c r="B3968" i="15"/>
  <c r="B3967" i="15"/>
  <c r="B3966" i="15"/>
  <c r="B3965" i="15"/>
  <c r="B3964" i="15"/>
  <c r="B3963" i="15"/>
  <c r="B3962" i="15"/>
  <c r="B3961" i="15"/>
  <c r="B3960" i="15"/>
  <c r="B3959" i="15"/>
  <c r="B3958" i="15"/>
  <c r="B3957" i="15"/>
  <c r="B3956" i="15"/>
  <c r="B3955" i="15"/>
  <c r="B3954" i="15"/>
  <c r="B3953" i="15"/>
  <c r="B3952" i="15"/>
  <c r="B3951" i="15"/>
  <c r="B3950" i="15"/>
  <c r="B3949" i="15"/>
  <c r="B3948" i="15"/>
  <c r="B3947" i="15"/>
  <c r="B3946" i="15"/>
  <c r="B3945" i="15"/>
  <c r="B3944" i="15"/>
  <c r="B3943" i="15"/>
  <c r="B3942" i="15"/>
  <c r="B3941" i="15"/>
  <c r="B3940" i="15"/>
  <c r="B3939" i="15"/>
  <c r="B3938" i="15"/>
  <c r="B3937" i="15"/>
  <c r="B3936" i="15"/>
  <c r="B3935" i="15"/>
  <c r="B3934" i="15"/>
  <c r="B3933" i="15"/>
  <c r="B3932" i="15"/>
  <c r="B3931" i="15"/>
  <c r="B3930" i="15"/>
  <c r="B3929" i="15"/>
  <c r="B3928" i="15"/>
  <c r="B3927" i="15"/>
  <c r="B3926" i="15"/>
  <c r="B3925" i="15"/>
  <c r="B3924" i="15"/>
  <c r="B3923" i="15"/>
  <c r="B3922" i="15"/>
  <c r="B3921" i="15"/>
  <c r="B3920" i="15"/>
  <c r="B3919" i="15"/>
  <c r="B3918" i="15"/>
  <c r="B3917" i="15"/>
  <c r="B3916" i="15"/>
  <c r="B3915" i="15"/>
  <c r="B3914" i="15"/>
  <c r="B3913" i="15"/>
  <c r="B3912" i="15"/>
  <c r="B3911" i="15"/>
  <c r="B3910" i="15"/>
  <c r="B3909" i="15"/>
  <c r="B3908" i="15"/>
  <c r="B3907" i="15"/>
  <c r="B3906" i="15"/>
  <c r="B3905" i="15"/>
  <c r="B3904" i="15"/>
  <c r="B3903" i="15"/>
  <c r="B3902" i="15"/>
  <c r="B3901" i="15"/>
  <c r="B3900" i="15"/>
  <c r="B3899" i="15"/>
  <c r="B3898" i="15"/>
  <c r="B3897" i="15"/>
  <c r="B3896" i="15"/>
  <c r="B3895" i="15"/>
  <c r="B3894" i="15"/>
  <c r="B3893" i="15"/>
  <c r="B3892" i="15"/>
  <c r="B3891" i="15"/>
  <c r="B3890" i="15"/>
  <c r="B3889" i="15"/>
  <c r="B3888" i="15"/>
  <c r="B3887" i="15"/>
  <c r="B3886" i="15"/>
  <c r="B3885" i="15"/>
  <c r="B3884" i="15"/>
  <c r="B3883" i="15"/>
  <c r="B3882" i="15"/>
  <c r="B3881" i="15"/>
  <c r="B3880" i="15"/>
  <c r="B3879" i="15"/>
  <c r="B3878" i="15"/>
  <c r="B3877" i="15"/>
  <c r="B3876" i="15"/>
  <c r="B3875" i="15"/>
  <c r="B3874" i="15"/>
  <c r="B3873" i="15"/>
  <c r="B3872" i="15"/>
  <c r="B3871" i="15"/>
  <c r="B3870" i="15"/>
  <c r="B3869" i="15"/>
  <c r="B3868" i="15"/>
  <c r="B3867" i="15"/>
  <c r="B3866" i="15"/>
  <c r="B3865" i="15"/>
  <c r="B3864" i="15"/>
  <c r="B3863" i="15"/>
  <c r="B3862" i="15"/>
  <c r="B3861" i="15"/>
  <c r="B3860" i="15"/>
  <c r="B3859" i="15"/>
  <c r="B3858" i="15"/>
  <c r="B3857" i="15"/>
  <c r="B3856" i="15"/>
  <c r="B3855" i="15"/>
  <c r="B3854" i="15"/>
  <c r="B3853" i="15"/>
  <c r="B3852" i="15"/>
  <c r="B3851" i="15"/>
  <c r="B3850" i="15"/>
  <c r="B3849" i="15"/>
  <c r="B3848" i="15"/>
  <c r="B3847" i="15"/>
  <c r="B3846" i="15"/>
  <c r="B3845" i="15"/>
  <c r="B3844" i="15"/>
  <c r="B3843" i="15"/>
  <c r="B3842" i="15"/>
  <c r="B3841" i="15"/>
  <c r="B3840" i="15"/>
  <c r="B3839" i="15"/>
  <c r="B3838" i="15"/>
  <c r="B3837" i="15"/>
  <c r="B3836" i="15"/>
  <c r="B3835" i="15"/>
  <c r="B3834" i="15"/>
  <c r="B3833" i="15"/>
  <c r="B3832" i="15"/>
  <c r="B3831" i="15"/>
  <c r="B3830" i="15"/>
  <c r="B3829" i="15"/>
  <c r="B3828" i="15"/>
  <c r="B3827" i="15"/>
  <c r="B3826" i="15"/>
  <c r="B3825" i="15"/>
  <c r="B3824" i="15"/>
  <c r="B3823" i="15"/>
  <c r="B3822" i="15"/>
  <c r="B3821" i="15"/>
  <c r="B3820" i="15"/>
  <c r="B3819" i="15"/>
  <c r="B3818" i="15"/>
  <c r="B3817" i="15"/>
  <c r="B3816" i="15"/>
  <c r="B3815" i="15"/>
  <c r="B3814" i="15"/>
  <c r="B3813" i="15"/>
  <c r="B3812" i="15"/>
  <c r="B3811" i="15"/>
  <c r="B3810" i="15"/>
  <c r="B3809" i="15"/>
  <c r="B3808" i="15"/>
  <c r="B3807" i="15"/>
  <c r="B3806" i="15"/>
  <c r="B3805" i="15"/>
  <c r="B3804" i="15"/>
  <c r="B3803" i="15"/>
  <c r="B3802" i="15"/>
  <c r="B3801" i="15"/>
  <c r="B3800" i="15"/>
  <c r="B3799" i="15"/>
  <c r="B3798" i="15"/>
  <c r="B3797" i="15"/>
  <c r="B3796" i="15"/>
  <c r="B3795" i="15"/>
  <c r="B3794" i="15"/>
  <c r="B3793" i="15"/>
  <c r="B3792" i="15"/>
  <c r="B3791" i="15"/>
  <c r="B3790" i="15"/>
  <c r="B3789" i="15"/>
  <c r="B3788" i="15"/>
  <c r="B3787" i="15"/>
  <c r="B3786" i="15"/>
  <c r="B3785" i="15"/>
  <c r="B3784" i="15"/>
  <c r="B3783" i="15"/>
  <c r="B3782" i="15"/>
  <c r="B3781" i="15"/>
  <c r="B3780" i="15"/>
  <c r="B3779" i="15"/>
  <c r="B3778" i="15"/>
  <c r="B3777" i="15"/>
  <c r="B3776" i="15"/>
  <c r="B3775" i="15"/>
  <c r="B3774" i="15"/>
  <c r="B3773" i="15"/>
  <c r="B3772" i="15"/>
  <c r="B3771" i="15"/>
  <c r="B3770" i="15"/>
  <c r="B3769" i="15"/>
  <c r="B3768" i="15"/>
  <c r="B3767" i="15"/>
  <c r="B3766" i="15"/>
  <c r="B3765" i="15"/>
  <c r="B3764" i="15"/>
  <c r="B3763" i="15"/>
  <c r="B3762" i="15"/>
  <c r="B3761" i="15"/>
  <c r="B3760" i="15"/>
  <c r="B3759" i="15"/>
  <c r="B3758" i="15"/>
  <c r="B3757" i="15"/>
  <c r="B3756" i="15"/>
  <c r="B3755" i="15"/>
  <c r="B3754" i="15"/>
  <c r="B3753" i="15"/>
  <c r="B3752" i="15"/>
  <c r="B3751" i="15"/>
  <c r="B3750" i="15"/>
  <c r="B3749" i="15"/>
  <c r="B3748" i="15"/>
  <c r="B3747" i="15"/>
  <c r="B3746" i="15"/>
  <c r="B3745" i="15"/>
  <c r="B3744" i="15"/>
  <c r="B3743" i="15"/>
  <c r="B3742" i="15"/>
  <c r="B3741" i="15"/>
  <c r="B3740" i="15"/>
  <c r="B3739" i="15"/>
  <c r="B3738" i="15"/>
  <c r="B3737" i="15"/>
  <c r="B3736" i="15"/>
  <c r="B3735" i="15"/>
  <c r="B3734" i="15"/>
  <c r="B3733" i="15"/>
  <c r="B3732" i="15"/>
  <c r="B3731" i="15"/>
  <c r="B3730" i="15"/>
  <c r="B3729" i="15"/>
  <c r="B3728" i="15"/>
  <c r="B3727" i="15"/>
  <c r="B3726" i="15"/>
  <c r="B3725" i="15"/>
  <c r="B3724" i="15"/>
  <c r="B3723" i="15"/>
  <c r="B3722" i="15"/>
  <c r="B3721" i="15"/>
  <c r="B3720" i="15"/>
  <c r="B3719" i="15"/>
  <c r="B3718" i="15"/>
  <c r="B3717" i="15"/>
  <c r="B3716" i="15"/>
  <c r="B3715" i="15"/>
  <c r="B3714" i="15"/>
  <c r="B3713" i="15"/>
  <c r="B3712" i="15"/>
  <c r="B3711" i="15"/>
  <c r="B3710" i="15"/>
  <c r="B3709" i="15"/>
  <c r="B3708" i="15"/>
  <c r="B3707" i="15"/>
  <c r="B3706" i="15"/>
  <c r="B3705" i="15"/>
  <c r="B3704" i="15"/>
  <c r="B3703" i="15"/>
  <c r="B3702" i="15"/>
  <c r="B3701" i="15"/>
  <c r="B3700" i="15"/>
  <c r="B3699" i="15"/>
  <c r="B3698" i="15"/>
  <c r="B3697" i="15"/>
  <c r="B3696" i="15"/>
  <c r="B3695" i="15"/>
  <c r="B3694" i="15"/>
  <c r="B3693" i="15"/>
  <c r="B3692" i="15"/>
  <c r="B3691" i="15"/>
  <c r="B3690" i="15"/>
  <c r="B3689" i="15"/>
  <c r="B3688" i="15"/>
  <c r="B3687" i="15"/>
  <c r="B3686" i="15"/>
  <c r="B3685" i="15"/>
  <c r="B3684" i="15"/>
  <c r="B3683" i="15"/>
  <c r="B3682" i="15"/>
  <c r="B3681" i="15"/>
  <c r="B3680" i="15"/>
  <c r="B3679" i="15"/>
  <c r="B3678" i="15"/>
  <c r="B3677" i="15"/>
  <c r="B3676" i="15"/>
  <c r="B3675" i="15"/>
  <c r="B3674" i="15"/>
  <c r="B3673" i="15"/>
  <c r="B3672" i="15"/>
  <c r="B3671" i="15"/>
  <c r="B3670" i="15"/>
  <c r="B3669" i="15"/>
  <c r="B3668" i="15"/>
  <c r="B3667" i="15"/>
  <c r="B3666" i="15"/>
  <c r="B3665" i="15"/>
  <c r="B3664" i="15"/>
  <c r="B3663" i="15"/>
  <c r="B3662" i="15"/>
  <c r="B3661" i="15"/>
  <c r="B3660" i="15"/>
  <c r="B3659" i="15"/>
  <c r="B3658" i="15"/>
  <c r="B3657" i="15"/>
  <c r="B3656" i="15"/>
  <c r="B3655" i="15"/>
  <c r="B3654" i="15"/>
  <c r="B3653" i="15"/>
  <c r="B3652" i="15"/>
  <c r="B3651" i="15"/>
  <c r="B3650" i="15"/>
  <c r="B3649" i="15"/>
  <c r="B3648" i="15"/>
  <c r="B3647" i="15"/>
  <c r="B3646" i="15"/>
  <c r="B3645" i="15"/>
  <c r="B3644" i="15"/>
  <c r="B3643" i="15"/>
  <c r="B3642" i="15"/>
  <c r="B3641" i="15"/>
  <c r="B3640" i="15"/>
  <c r="B3639" i="15"/>
  <c r="B3638" i="15"/>
  <c r="B3637" i="15"/>
  <c r="B3636" i="15"/>
  <c r="B3635" i="15"/>
  <c r="B3634" i="15"/>
  <c r="B3633" i="15"/>
  <c r="B3632" i="15"/>
  <c r="B3631" i="15"/>
  <c r="B3630" i="15"/>
  <c r="B3629" i="15"/>
  <c r="B3628" i="15"/>
  <c r="B3627" i="15"/>
  <c r="B3626" i="15"/>
  <c r="B3625" i="15"/>
  <c r="B3624" i="15"/>
  <c r="B3623" i="15"/>
  <c r="B3622" i="15"/>
  <c r="B3621" i="15"/>
  <c r="B3620" i="15"/>
  <c r="B3619" i="15"/>
  <c r="B3618" i="15"/>
  <c r="B3617" i="15"/>
  <c r="B3616" i="15"/>
  <c r="B3615" i="15"/>
  <c r="B3614" i="15"/>
  <c r="B3613" i="15"/>
  <c r="B3612" i="15"/>
  <c r="B3611" i="15"/>
  <c r="B3610" i="15"/>
  <c r="B3609" i="15"/>
  <c r="B3608" i="15"/>
  <c r="B3607" i="15"/>
  <c r="B3606" i="15"/>
  <c r="B3605" i="15"/>
  <c r="B3604" i="15"/>
  <c r="B3603" i="15"/>
  <c r="B3602" i="15"/>
  <c r="B3601" i="15"/>
  <c r="B3600" i="15"/>
  <c r="B3599" i="15"/>
  <c r="B3598" i="15"/>
  <c r="B3597" i="15"/>
  <c r="B3596" i="15"/>
  <c r="B3595" i="15"/>
  <c r="B3594" i="15"/>
  <c r="B3593" i="15"/>
  <c r="B3592" i="15"/>
  <c r="B3591" i="15"/>
  <c r="B3590" i="15"/>
  <c r="B3589" i="15"/>
  <c r="B3588" i="15"/>
  <c r="B3587" i="15"/>
  <c r="B3586" i="15"/>
  <c r="B3585" i="15"/>
  <c r="B3584" i="15"/>
  <c r="B3583" i="15"/>
  <c r="B3582" i="15"/>
  <c r="B3581" i="15"/>
  <c r="B3580" i="15"/>
  <c r="B3579" i="15"/>
  <c r="B3578" i="15"/>
  <c r="B3577" i="15"/>
  <c r="B3576" i="15"/>
  <c r="B3575" i="15"/>
  <c r="B3574" i="15"/>
  <c r="B3573" i="15"/>
  <c r="B3572" i="15"/>
  <c r="B3571" i="15"/>
  <c r="B3570" i="15"/>
  <c r="B3569" i="15"/>
  <c r="B3568" i="15"/>
  <c r="B3567" i="15"/>
  <c r="B3566" i="15"/>
  <c r="B3565" i="15"/>
  <c r="B3564" i="15"/>
  <c r="B3563" i="15"/>
  <c r="B3562" i="15"/>
  <c r="B3561" i="15"/>
  <c r="B3560" i="15"/>
  <c r="B3559" i="15"/>
  <c r="B3558" i="15"/>
  <c r="B3557" i="15"/>
  <c r="B3556" i="15"/>
  <c r="B3555" i="15"/>
  <c r="B3554" i="15"/>
  <c r="B3553" i="15"/>
  <c r="B3552" i="15"/>
  <c r="B3551" i="15"/>
  <c r="B3550" i="15"/>
  <c r="B3549" i="15"/>
  <c r="B3548" i="15"/>
  <c r="B3547" i="15"/>
  <c r="B3546" i="15"/>
  <c r="B3545" i="15"/>
  <c r="B3544" i="15"/>
  <c r="B3543" i="15"/>
  <c r="B3542" i="15"/>
  <c r="B3541" i="15"/>
  <c r="B3540" i="15"/>
  <c r="B3539" i="15"/>
  <c r="B3538" i="15"/>
  <c r="B3537" i="15"/>
  <c r="B3536" i="15"/>
  <c r="B3535" i="15"/>
  <c r="B3534" i="15"/>
  <c r="B3533" i="15"/>
  <c r="B3532" i="15"/>
  <c r="B3531" i="15"/>
  <c r="B3530" i="15"/>
  <c r="B3529" i="15"/>
  <c r="B3528" i="15"/>
  <c r="B3527" i="15"/>
  <c r="B3526" i="15"/>
  <c r="B3525" i="15"/>
  <c r="B3524" i="15"/>
  <c r="B3523" i="15"/>
  <c r="B3522" i="15"/>
  <c r="B3521" i="15"/>
  <c r="B3520" i="15"/>
  <c r="B3519" i="15"/>
  <c r="B3518" i="15"/>
  <c r="B3517" i="15"/>
  <c r="B3516" i="15"/>
  <c r="B3515" i="15"/>
  <c r="B3514" i="15"/>
  <c r="B3513" i="15"/>
  <c r="B3512" i="15"/>
  <c r="B3511" i="15"/>
  <c r="B3510" i="15"/>
  <c r="B3509" i="15"/>
  <c r="B3508" i="15"/>
  <c r="B3507" i="15"/>
  <c r="B3506" i="15"/>
  <c r="B3505" i="15"/>
  <c r="B3504" i="15"/>
  <c r="B3503" i="15"/>
  <c r="B3502" i="15"/>
  <c r="B3501" i="15"/>
  <c r="B3500" i="15"/>
  <c r="B3499" i="15"/>
  <c r="B3498" i="15"/>
  <c r="B3497" i="15"/>
  <c r="B3496" i="15"/>
  <c r="B3495" i="15"/>
  <c r="B3494" i="15"/>
  <c r="B3493" i="15"/>
  <c r="B3492" i="15"/>
  <c r="B3491" i="15"/>
  <c r="B3490" i="15"/>
  <c r="B3489" i="15"/>
  <c r="B3488" i="15"/>
  <c r="B3487" i="15"/>
  <c r="B3486" i="15"/>
  <c r="B3485" i="15"/>
  <c r="B3484" i="15"/>
  <c r="B3483" i="15"/>
  <c r="B3482" i="15"/>
  <c r="B3481" i="15"/>
  <c r="B3480" i="15"/>
  <c r="B3479" i="15"/>
  <c r="B3478" i="15"/>
  <c r="B3477" i="15"/>
  <c r="B3476" i="15"/>
  <c r="B3475" i="15"/>
  <c r="B3474" i="15"/>
  <c r="B3473" i="15"/>
  <c r="B3472" i="15"/>
  <c r="B3471" i="15"/>
  <c r="B3470" i="15"/>
  <c r="B3469" i="15"/>
  <c r="B3468" i="15"/>
  <c r="B3467" i="15"/>
  <c r="B3466" i="15"/>
  <c r="B3465" i="15"/>
  <c r="B3464" i="15"/>
  <c r="B3463" i="15"/>
  <c r="B3462" i="15"/>
  <c r="B3461" i="15"/>
  <c r="B3460" i="15"/>
  <c r="B3459" i="15"/>
  <c r="B3458" i="15"/>
  <c r="B3457" i="15"/>
  <c r="B3456" i="15"/>
  <c r="B3455" i="15"/>
  <c r="B3454" i="15"/>
  <c r="B3453" i="15"/>
  <c r="B3452" i="15"/>
  <c r="B3451" i="15"/>
  <c r="B3450" i="15"/>
  <c r="B3449" i="15"/>
  <c r="B3448" i="15"/>
  <c r="B3447" i="15"/>
  <c r="B3446" i="15"/>
  <c r="B3445" i="15"/>
  <c r="B3444" i="15"/>
  <c r="B3443" i="15"/>
  <c r="B3442" i="15"/>
  <c r="B3441" i="15"/>
  <c r="B3440" i="15"/>
  <c r="B3439" i="15"/>
  <c r="B3438" i="15"/>
  <c r="B3437" i="15"/>
  <c r="B3436" i="15"/>
  <c r="B3435" i="15"/>
  <c r="B3434" i="15"/>
  <c r="B3433" i="15"/>
  <c r="B3432" i="15"/>
  <c r="B3431" i="15"/>
  <c r="B3430" i="15"/>
  <c r="B3429" i="15"/>
  <c r="B3428" i="15"/>
  <c r="B3427" i="15"/>
  <c r="B3426" i="15"/>
  <c r="B3425" i="15"/>
  <c r="B3424" i="15"/>
  <c r="B3423" i="15"/>
  <c r="B3422" i="15"/>
  <c r="B3421" i="15"/>
  <c r="B3420" i="15"/>
  <c r="B3419" i="15"/>
  <c r="B3418" i="15"/>
  <c r="B3417" i="15"/>
  <c r="B3416" i="15"/>
  <c r="B3415" i="15"/>
  <c r="B3414" i="15"/>
  <c r="B3413" i="15"/>
  <c r="B3412" i="15"/>
  <c r="B3411" i="15"/>
  <c r="B3410" i="15"/>
  <c r="B3409" i="15"/>
  <c r="B3408" i="15"/>
  <c r="B3407" i="15"/>
  <c r="B3406" i="15"/>
  <c r="B3405" i="15"/>
  <c r="B3404" i="15"/>
  <c r="B3403" i="15"/>
  <c r="B3402" i="15"/>
  <c r="B3401" i="15"/>
  <c r="B3400" i="15"/>
  <c r="B3399" i="15"/>
  <c r="B3398" i="15"/>
  <c r="B3397" i="15"/>
  <c r="B3396" i="15"/>
  <c r="B3395" i="15"/>
  <c r="B3394" i="15"/>
  <c r="B3393" i="15"/>
  <c r="B3392" i="15"/>
  <c r="B3391" i="15"/>
  <c r="B3390" i="15"/>
  <c r="B3389" i="15"/>
  <c r="B3388" i="15"/>
  <c r="B3387" i="15"/>
  <c r="B3386" i="15"/>
  <c r="B3385" i="15"/>
  <c r="B3384" i="15"/>
  <c r="B3383" i="15"/>
  <c r="B3382" i="15"/>
  <c r="B3381" i="15"/>
  <c r="B3380" i="15"/>
  <c r="B3379" i="15"/>
  <c r="B3378" i="15"/>
  <c r="B3377" i="15"/>
  <c r="B3376" i="15"/>
  <c r="B3375" i="15"/>
  <c r="B3374" i="15"/>
  <c r="B3373" i="15"/>
  <c r="B3372" i="15"/>
  <c r="B3371" i="15"/>
  <c r="B3370" i="15"/>
  <c r="B3369" i="15"/>
  <c r="B3368" i="15"/>
  <c r="B3367" i="15"/>
  <c r="B3366" i="15"/>
  <c r="B3365" i="15"/>
  <c r="B3364" i="15"/>
  <c r="B3363" i="15"/>
  <c r="B3362" i="15"/>
  <c r="B3361" i="15"/>
  <c r="B3360" i="15"/>
  <c r="B3359" i="15"/>
  <c r="B3358" i="15"/>
  <c r="B3357" i="15"/>
  <c r="B3356" i="15"/>
  <c r="B3355" i="15"/>
  <c r="B3354" i="15"/>
  <c r="B3353" i="15"/>
  <c r="B3352" i="15"/>
  <c r="B3351" i="15"/>
  <c r="B3350" i="15"/>
  <c r="B3349" i="15"/>
  <c r="B3348" i="15"/>
  <c r="B3347" i="15"/>
  <c r="B3346" i="15"/>
  <c r="B3345" i="15"/>
  <c r="B3344" i="15"/>
  <c r="B3343" i="15"/>
  <c r="B3342" i="15"/>
  <c r="B3341" i="15"/>
  <c r="B3340" i="15"/>
  <c r="B3339" i="15"/>
  <c r="B3338" i="15"/>
  <c r="B3337" i="15"/>
  <c r="B3336" i="15"/>
  <c r="B3335" i="15"/>
  <c r="B3334" i="15"/>
  <c r="B3333" i="15"/>
  <c r="B3332" i="15"/>
  <c r="B3331" i="15"/>
  <c r="B3330" i="15"/>
  <c r="B3329" i="15"/>
  <c r="B3328" i="15"/>
  <c r="B3327" i="15"/>
  <c r="B3326" i="15"/>
  <c r="B3325" i="15"/>
  <c r="B3324" i="15"/>
  <c r="B3323" i="15"/>
  <c r="B3322" i="15"/>
  <c r="B3321" i="15"/>
  <c r="B3320" i="15"/>
  <c r="B3319" i="15"/>
  <c r="B3318" i="15"/>
  <c r="B3317" i="15"/>
  <c r="B3316" i="15"/>
  <c r="B3315" i="15"/>
  <c r="B3314" i="15"/>
  <c r="B3313" i="15"/>
  <c r="B3312" i="15"/>
  <c r="B3311" i="15"/>
  <c r="B3310" i="15"/>
  <c r="B3309" i="15"/>
  <c r="B3308" i="15"/>
  <c r="B3307" i="15"/>
  <c r="B3306" i="15"/>
  <c r="B3305" i="15"/>
  <c r="B3304" i="15"/>
  <c r="B3303" i="15"/>
  <c r="B3302" i="15"/>
  <c r="B3301" i="15"/>
  <c r="B3300" i="15"/>
  <c r="B3299" i="15"/>
  <c r="B3298" i="15"/>
  <c r="B3297" i="15"/>
  <c r="B3296" i="15"/>
  <c r="B3295" i="15"/>
  <c r="B3294" i="15"/>
  <c r="B3293" i="15"/>
  <c r="B3292" i="15"/>
  <c r="B3291" i="15"/>
  <c r="B3290" i="15"/>
  <c r="B3289" i="15"/>
  <c r="B3288" i="15"/>
  <c r="B3287" i="15"/>
  <c r="B3286" i="15"/>
  <c r="B3285" i="15"/>
  <c r="B3284" i="15"/>
  <c r="B3283" i="15"/>
  <c r="B3282" i="15"/>
  <c r="B3281" i="15"/>
  <c r="B3280" i="15"/>
  <c r="B3279" i="15"/>
  <c r="B3278" i="15"/>
  <c r="B3277" i="15"/>
  <c r="B3276" i="15"/>
  <c r="B3275" i="15"/>
  <c r="B3274" i="15"/>
  <c r="B3273" i="15"/>
  <c r="B3272" i="15"/>
  <c r="B3271" i="15"/>
  <c r="B3270" i="15"/>
  <c r="B3269" i="15"/>
  <c r="B3268" i="15"/>
  <c r="B3267" i="15"/>
  <c r="B3266" i="15"/>
  <c r="B3265" i="15"/>
  <c r="B3264" i="15"/>
  <c r="B3263" i="15"/>
  <c r="B3262" i="15"/>
  <c r="B3261" i="15"/>
  <c r="B3260" i="15"/>
  <c r="B3259" i="15"/>
  <c r="B3258" i="15"/>
  <c r="B3257" i="15"/>
  <c r="B3256" i="15"/>
  <c r="B3255" i="15"/>
  <c r="B3254" i="15"/>
  <c r="B3253" i="15"/>
  <c r="B3252" i="15"/>
  <c r="B3251" i="15"/>
  <c r="B3250" i="15"/>
  <c r="B3249" i="15"/>
  <c r="B3248" i="15"/>
  <c r="B3247" i="15"/>
  <c r="B3246" i="15"/>
  <c r="B3245" i="15"/>
  <c r="B3244" i="15"/>
  <c r="B3243" i="15"/>
  <c r="B3242" i="15"/>
  <c r="B3241" i="15"/>
  <c r="B3240" i="15"/>
  <c r="B3239" i="15"/>
  <c r="B3238" i="15"/>
  <c r="B3237" i="15"/>
  <c r="B3236" i="15"/>
  <c r="B3235" i="15"/>
  <c r="B3234" i="15"/>
  <c r="B3233" i="15"/>
  <c r="B3232" i="15"/>
  <c r="B3231" i="15"/>
  <c r="B3230" i="15"/>
  <c r="B3229" i="15"/>
  <c r="B3228" i="15"/>
  <c r="B3227" i="15"/>
  <c r="B3226" i="15"/>
  <c r="B3225" i="15"/>
  <c r="B3224" i="15"/>
  <c r="B3223" i="15"/>
  <c r="B3222" i="15"/>
  <c r="B3221" i="15"/>
  <c r="B3220" i="15"/>
  <c r="B3219" i="15"/>
  <c r="B3218" i="15"/>
  <c r="B3217" i="15"/>
  <c r="B3216" i="15"/>
  <c r="B3215" i="15"/>
  <c r="B3214" i="15"/>
  <c r="B3213" i="15"/>
  <c r="B3212" i="15"/>
  <c r="B3211" i="15"/>
  <c r="B3210" i="15"/>
  <c r="B3209" i="15"/>
  <c r="B3208" i="15"/>
  <c r="B3207" i="15"/>
  <c r="B3206" i="15"/>
  <c r="B3205" i="15"/>
  <c r="B3204" i="15"/>
  <c r="B3203" i="15"/>
  <c r="B3202" i="15"/>
  <c r="B3201" i="15"/>
  <c r="B3200" i="15"/>
  <c r="B3199" i="15"/>
  <c r="B3198" i="15"/>
  <c r="B3197" i="15"/>
  <c r="B3196" i="15"/>
  <c r="B3195" i="15"/>
  <c r="B3194" i="15"/>
  <c r="B3193" i="15"/>
  <c r="B3192" i="15"/>
  <c r="B3191" i="15"/>
  <c r="B3190" i="15"/>
  <c r="B3189" i="15"/>
  <c r="B3188" i="15"/>
  <c r="B3187" i="15"/>
  <c r="B3186" i="15"/>
  <c r="B3185" i="15"/>
  <c r="B3184" i="15"/>
  <c r="B3183" i="15"/>
  <c r="B3182" i="15"/>
  <c r="B3181" i="15"/>
  <c r="B3180" i="15"/>
  <c r="B3179" i="15"/>
  <c r="B3178" i="15"/>
  <c r="B3177" i="15"/>
  <c r="B3176" i="15"/>
  <c r="B3175" i="15"/>
  <c r="B3174" i="15"/>
  <c r="B3173" i="15"/>
  <c r="B3172" i="15"/>
  <c r="B3171" i="15"/>
  <c r="B3170" i="15"/>
  <c r="B3169" i="15"/>
  <c r="B3168" i="15"/>
  <c r="B3167" i="15"/>
  <c r="B3166" i="15"/>
  <c r="B3165" i="15"/>
  <c r="B3164" i="15"/>
  <c r="B3163" i="15"/>
  <c r="B3162" i="15"/>
  <c r="B3161" i="15"/>
  <c r="B3160" i="15"/>
  <c r="B3159" i="15"/>
  <c r="B3158" i="15"/>
  <c r="B3157" i="15"/>
  <c r="B3156" i="15"/>
  <c r="B3155" i="15"/>
  <c r="B3154" i="15"/>
  <c r="B3153" i="15"/>
  <c r="B3152" i="15"/>
  <c r="B3151" i="15"/>
  <c r="B3150" i="15"/>
  <c r="B3149" i="15"/>
  <c r="B3148" i="15"/>
  <c r="B3147" i="15"/>
  <c r="B3146" i="15"/>
  <c r="B3145" i="15"/>
  <c r="B3144" i="15"/>
  <c r="B3143" i="15"/>
  <c r="B3142" i="15"/>
  <c r="B3141" i="15"/>
  <c r="B3140" i="15"/>
  <c r="B3139" i="15"/>
  <c r="B3138" i="15"/>
  <c r="B3137" i="15"/>
  <c r="B3136" i="15"/>
  <c r="B3135" i="15"/>
  <c r="B3134" i="15"/>
  <c r="B3133" i="15"/>
  <c r="B3132" i="15"/>
  <c r="B3131" i="15"/>
  <c r="B3130" i="15"/>
  <c r="B3129" i="15"/>
  <c r="B3128" i="15"/>
  <c r="B3127" i="15"/>
  <c r="B3126" i="15"/>
  <c r="B3125" i="15"/>
  <c r="B3124" i="15"/>
  <c r="B3123" i="15"/>
  <c r="B3122" i="15"/>
  <c r="B3121" i="15"/>
  <c r="B3120" i="15"/>
  <c r="B3119" i="15"/>
  <c r="B3118" i="15"/>
  <c r="B3117" i="15"/>
  <c r="B3116" i="15"/>
  <c r="B3115" i="15"/>
  <c r="B3114" i="15"/>
  <c r="B3113" i="15"/>
  <c r="B3112" i="15"/>
  <c r="B3111" i="15"/>
  <c r="B3110" i="15"/>
  <c r="B3109" i="15"/>
  <c r="B3108" i="15"/>
  <c r="B3107" i="15"/>
  <c r="B3106" i="15"/>
  <c r="B3105" i="15"/>
  <c r="B3104" i="15"/>
  <c r="B3103" i="15"/>
  <c r="B3102" i="15"/>
  <c r="B3101" i="15"/>
  <c r="B3100" i="15"/>
  <c r="B3099" i="15"/>
  <c r="B3098" i="15"/>
  <c r="B3097" i="15"/>
  <c r="B3096" i="15"/>
  <c r="B3095" i="15"/>
  <c r="B3094" i="15"/>
  <c r="B3093" i="15"/>
  <c r="B3092" i="15"/>
  <c r="B3091" i="15"/>
  <c r="B3090" i="15"/>
  <c r="B3089" i="15"/>
  <c r="B3088" i="15"/>
  <c r="B3087" i="15"/>
  <c r="B3086" i="15"/>
  <c r="B3085" i="15"/>
  <c r="B3084" i="15"/>
  <c r="B3083" i="15"/>
  <c r="B3082" i="15"/>
  <c r="B3081" i="15"/>
  <c r="B3080" i="15"/>
  <c r="B3079" i="15"/>
  <c r="B3078" i="15"/>
  <c r="B3077" i="15"/>
  <c r="B3076" i="15"/>
  <c r="B3075" i="15"/>
  <c r="B3074" i="15"/>
  <c r="B3073" i="15"/>
  <c r="B3072" i="15"/>
  <c r="B3071" i="15"/>
  <c r="B3070" i="15"/>
  <c r="B3069" i="15"/>
  <c r="B3068" i="15"/>
  <c r="B3067" i="15"/>
  <c r="B3066" i="15"/>
  <c r="B3065" i="15"/>
  <c r="B3064" i="15"/>
  <c r="B3063" i="15"/>
  <c r="B3062" i="15"/>
  <c r="B3061" i="15"/>
  <c r="B3060" i="15"/>
  <c r="B3059" i="15"/>
  <c r="B3058" i="15"/>
  <c r="B3057" i="15"/>
  <c r="B3056" i="15"/>
  <c r="B3055" i="15"/>
  <c r="B3054" i="15"/>
  <c r="B3053" i="15"/>
  <c r="B3052" i="15"/>
  <c r="B3051" i="15"/>
  <c r="B3050" i="15"/>
  <c r="B3049" i="15"/>
  <c r="B3048" i="15"/>
  <c r="B3047" i="15"/>
  <c r="B3046" i="15"/>
  <c r="B3045" i="15"/>
  <c r="B3044" i="15"/>
  <c r="B3043" i="15"/>
  <c r="B3042" i="15"/>
  <c r="B3041" i="15"/>
  <c r="B3040" i="15"/>
  <c r="B3039" i="15"/>
  <c r="B3038" i="15"/>
  <c r="B3037" i="15"/>
  <c r="B3036" i="15"/>
  <c r="B3035" i="15"/>
  <c r="B3034" i="15"/>
  <c r="B3033" i="15"/>
  <c r="B3032" i="15"/>
  <c r="B3031" i="15"/>
  <c r="B3030" i="15"/>
  <c r="B3029" i="15"/>
  <c r="B3028" i="15"/>
  <c r="B3027" i="15"/>
  <c r="B3026" i="15"/>
  <c r="B3025" i="15"/>
  <c r="B3024" i="15"/>
  <c r="B3023" i="15"/>
  <c r="B3022" i="15"/>
  <c r="B3021" i="15"/>
  <c r="B3020" i="15"/>
  <c r="B3019" i="15"/>
  <c r="B3018" i="15"/>
  <c r="B3017" i="15"/>
  <c r="B3016" i="15"/>
  <c r="B3015" i="15"/>
  <c r="B3014" i="15"/>
  <c r="B3013" i="15"/>
  <c r="B3012" i="15"/>
  <c r="B3011" i="15"/>
  <c r="B3010" i="15"/>
  <c r="B3009" i="15"/>
  <c r="B3008" i="15"/>
  <c r="B3007" i="15"/>
  <c r="B3006" i="15"/>
  <c r="B3005" i="15"/>
  <c r="B3004" i="15"/>
  <c r="B3003" i="15"/>
  <c r="B3002" i="15"/>
  <c r="B3001" i="15"/>
  <c r="B3000" i="15"/>
  <c r="B2999" i="15"/>
  <c r="B2998" i="15"/>
  <c r="B2997" i="15"/>
  <c r="B2996" i="15"/>
  <c r="B2995" i="15"/>
  <c r="B2994" i="15"/>
  <c r="B2993" i="15"/>
  <c r="B2992" i="15"/>
  <c r="B2991" i="15"/>
  <c r="B2990" i="15"/>
  <c r="B2989" i="15"/>
  <c r="B2988" i="15"/>
  <c r="B2987" i="15"/>
  <c r="B2986" i="15"/>
  <c r="B2985" i="15"/>
  <c r="B2984" i="15"/>
  <c r="B2983" i="15"/>
  <c r="B2982" i="15"/>
  <c r="B2981" i="15"/>
  <c r="B2980" i="15"/>
  <c r="B2979" i="15"/>
  <c r="B2978" i="15"/>
  <c r="B2977" i="15"/>
  <c r="B2976" i="15"/>
  <c r="B2975" i="15"/>
  <c r="B2974" i="15"/>
  <c r="B2973" i="15"/>
  <c r="B2972" i="15"/>
  <c r="B2971" i="15"/>
  <c r="B2970" i="15"/>
  <c r="B2969" i="15"/>
  <c r="B2968" i="15"/>
  <c r="B2967" i="15"/>
  <c r="B2966" i="15"/>
  <c r="B2965" i="15"/>
  <c r="B2964" i="15"/>
  <c r="B2963" i="15"/>
  <c r="B2962" i="15"/>
  <c r="B2961" i="15"/>
  <c r="B2960" i="15"/>
  <c r="B2959" i="15"/>
  <c r="B2958" i="15"/>
  <c r="B2957" i="15"/>
  <c r="B2956" i="15"/>
  <c r="B2955" i="15"/>
  <c r="B2954" i="15"/>
  <c r="B2953" i="15"/>
  <c r="B2952" i="15"/>
  <c r="B2951" i="15"/>
  <c r="B2950" i="15"/>
  <c r="B2949" i="15"/>
  <c r="B2948" i="15"/>
  <c r="B2947" i="15"/>
  <c r="B2946" i="15"/>
  <c r="B2945" i="15"/>
  <c r="B2944" i="15"/>
  <c r="B2943" i="15"/>
  <c r="B2942" i="15"/>
  <c r="B2941" i="15"/>
  <c r="B2940" i="15"/>
  <c r="B2939" i="15"/>
  <c r="B2938" i="15"/>
  <c r="B2937" i="15"/>
  <c r="B2936" i="15"/>
  <c r="B2935" i="15"/>
  <c r="B2934" i="15"/>
  <c r="B2933" i="15"/>
  <c r="B2932" i="15"/>
  <c r="B2931" i="15"/>
  <c r="B2930" i="15"/>
  <c r="B2929" i="15"/>
  <c r="B2928" i="15"/>
  <c r="B2927" i="15"/>
  <c r="B2926" i="15"/>
  <c r="B2925" i="15"/>
  <c r="B2924" i="15"/>
  <c r="B2923" i="15"/>
  <c r="B2922" i="15"/>
  <c r="B2921" i="15"/>
  <c r="B2920" i="15"/>
  <c r="B2919" i="15"/>
  <c r="B2918" i="15"/>
  <c r="B2917" i="15"/>
  <c r="B2916" i="15"/>
  <c r="B2915" i="15"/>
  <c r="B2914" i="15"/>
  <c r="B2913" i="15"/>
  <c r="B2912" i="15"/>
  <c r="B2911" i="15"/>
  <c r="B2910" i="15"/>
  <c r="B2909" i="15"/>
  <c r="B2908" i="15"/>
  <c r="B2907" i="15"/>
  <c r="B2906" i="15"/>
  <c r="B2905" i="15"/>
  <c r="B2904" i="15"/>
  <c r="B2903" i="15"/>
  <c r="B2902" i="15"/>
  <c r="B2901" i="15"/>
  <c r="B2900" i="15"/>
  <c r="B2899" i="15"/>
  <c r="B2898" i="15"/>
  <c r="B2897" i="15"/>
  <c r="B2896" i="15"/>
  <c r="B2895" i="15"/>
  <c r="B2894" i="15"/>
  <c r="B2893" i="15"/>
  <c r="B2892" i="15"/>
  <c r="B2891" i="15"/>
  <c r="B2890" i="15"/>
  <c r="B2889" i="15"/>
  <c r="B2888" i="15"/>
  <c r="B2887" i="15"/>
  <c r="B2886" i="15"/>
  <c r="B2885" i="15"/>
  <c r="B2884" i="15"/>
  <c r="B2883" i="15"/>
  <c r="B2882" i="15"/>
  <c r="B2881" i="15"/>
  <c r="B2880" i="15"/>
  <c r="B2879" i="15"/>
  <c r="B2878" i="15"/>
  <c r="B2877" i="15"/>
  <c r="B2876" i="15"/>
  <c r="B2875" i="15"/>
  <c r="B2874" i="15"/>
  <c r="B2873" i="15"/>
  <c r="B2872" i="15"/>
  <c r="B2871" i="15"/>
  <c r="B2870" i="15"/>
  <c r="B2869" i="15"/>
  <c r="B2868" i="15"/>
  <c r="B2867" i="15"/>
  <c r="B2866" i="15"/>
  <c r="B2865" i="15"/>
  <c r="B2864" i="15"/>
  <c r="B2863" i="15"/>
  <c r="B2862" i="15"/>
  <c r="B2861" i="15"/>
  <c r="B2860" i="15"/>
  <c r="B2859" i="15"/>
  <c r="B2858" i="15"/>
  <c r="B2857" i="15"/>
  <c r="B2856" i="15"/>
  <c r="B2855" i="15"/>
  <c r="B2854" i="15"/>
  <c r="B2853" i="15"/>
  <c r="B2852" i="15"/>
  <c r="B2851" i="15"/>
  <c r="B2850" i="15"/>
  <c r="B2849" i="15"/>
  <c r="B2848" i="15"/>
  <c r="B2847" i="15"/>
  <c r="B2846" i="15"/>
  <c r="B2845" i="15"/>
  <c r="B2844" i="15"/>
  <c r="B2843" i="15"/>
  <c r="B2842" i="15"/>
  <c r="B2841" i="15"/>
  <c r="B2840" i="15"/>
  <c r="B2839" i="15"/>
  <c r="B2838" i="15"/>
  <c r="B2837" i="15"/>
  <c r="B2836" i="15"/>
  <c r="B2835" i="15"/>
  <c r="B2834" i="15"/>
  <c r="B2833" i="15"/>
  <c r="B2832" i="15"/>
  <c r="B2831" i="15"/>
  <c r="B2830" i="15"/>
  <c r="B2829" i="15"/>
  <c r="B2828" i="15"/>
  <c r="B2827" i="15"/>
  <c r="B2826" i="15"/>
  <c r="B2825" i="15"/>
  <c r="B2824" i="15"/>
  <c r="B2823" i="15"/>
  <c r="B2822" i="15"/>
  <c r="B2821" i="15"/>
  <c r="B2820" i="15"/>
  <c r="B2819" i="15"/>
  <c r="B2818" i="15"/>
  <c r="B2817" i="15"/>
  <c r="B2816" i="15"/>
  <c r="B2815" i="15"/>
  <c r="B2814" i="15"/>
  <c r="B2813" i="15"/>
  <c r="B2812" i="15"/>
  <c r="B2811" i="15"/>
  <c r="B2810" i="15"/>
  <c r="B2809" i="15"/>
  <c r="B2808" i="15"/>
  <c r="B2807" i="15"/>
  <c r="B2806" i="15"/>
  <c r="B2805" i="15"/>
  <c r="B2804" i="15"/>
  <c r="B2803" i="15"/>
  <c r="B2802" i="15"/>
  <c r="B2801" i="15"/>
  <c r="B2800" i="15"/>
  <c r="B2799" i="15"/>
  <c r="B2798" i="15"/>
  <c r="B2797" i="15"/>
  <c r="B2796" i="15"/>
  <c r="B2795" i="15"/>
  <c r="B2794" i="15"/>
  <c r="B2793" i="15"/>
  <c r="B2792" i="15"/>
  <c r="B2791" i="15"/>
  <c r="B2790" i="15"/>
  <c r="B2789" i="15"/>
  <c r="B2788" i="15"/>
  <c r="B2787" i="15"/>
  <c r="B2786" i="15"/>
  <c r="B2785" i="15"/>
  <c r="B2784" i="15"/>
  <c r="B2783" i="15"/>
  <c r="B2782" i="15"/>
  <c r="B2781" i="15"/>
  <c r="B2780" i="15"/>
  <c r="B2779" i="15"/>
  <c r="B2778" i="15"/>
  <c r="B2777" i="15"/>
  <c r="B2776" i="15"/>
  <c r="B2775" i="15"/>
  <c r="B2774" i="15"/>
  <c r="B2773" i="15"/>
  <c r="B2772" i="15"/>
  <c r="B2771" i="15"/>
  <c r="B2770" i="15"/>
  <c r="B2769" i="15"/>
  <c r="B2768" i="15"/>
  <c r="B2767" i="15"/>
  <c r="B2766" i="15"/>
  <c r="B2765" i="15"/>
  <c r="B2764" i="15"/>
  <c r="B2763" i="15"/>
  <c r="B2762" i="15"/>
  <c r="B2761" i="15"/>
  <c r="B2760" i="15"/>
  <c r="B2759" i="15"/>
  <c r="B2758" i="15"/>
  <c r="B2757" i="15"/>
  <c r="B2756" i="15"/>
  <c r="B2755" i="15"/>
  <c r="B2754" i="15"/>
  <c r="B2753" i="15"/>
  <c r="B2752" i="15"/>
  <c r="B2751" i="15"/>
  <c r="B2750" i="15"/>
  <c r="B2749" i="15"/>
  <c r="B2748" i="15"/>
  <c r="B2747" i="15"/>
  <c r="B2746" i="15"/>
  <c r="B2745" i="15"/>
  <c r="B2744" i="15"/>
  <c r="B2743" i="15"/>
  <c r="B2742" i="15"/>
  <c r="B2741" i="15"/>
  <c r="B2740" i="15"/>
  <c r="B2739" i="15"/>
  <c r="B2738" i="15"/>
  <c r="B2737" i="15"/>
  <c r="B2736" i="15"/>
  <c r="B2735" i="15"/>
  <c r="B2734" i="15"/>
  <c r="B2733" i="15"/>
  <c r="B2732" i="15"/>
  <c r="B2731" i="15"/>
  <c r="B2730" i="15"/>
  <c r="B2729" i="15"/>
  <c r="B2728" i="15"/>
  <c r="B2727" i="15"/>
  <c r="B2726" i="15"/>
  <c r="B2725" i="15"/>
  <c r="B2724" i="15"/>
  <c r="B2723" i="15"/>
  <c r="B2722" i="15"/>
  <c r="B2721" i="15"/>
  <c r="B2720" i="15"/>
  <c r="B2719" i="15"/>
  <c r="B2718" i="15"/>
  <c r="B2717" i="15"/>
  <c r="B2716" i="15"/>
  <c r="B2715" i="15"/>
  <c r="B2714" i="15"/>
  <c r="B2713" i="15"/>
  <c r="B2712" i="15"/>
  <c r="B2711" i="15"/>
  <c r="B2710" i="15"/>
  <c r="B2709" i="15"/>
  <c r="B2708" i="15"/>
  <c r="B2707" i="15"/>
  <c r="B2706" i="15"/>
  <c r="B2705" i="15"/>
  <c r="B2704" i="15"/>
  <c r="B2703" i="15"/>
  <c r="B2702" i="15"/>
  <c r="B2701" i="15"/>
  <c r="B2700" i="15"/>
  <c r="B2699" i="15"/>
  <c r="B2698" i="15"/>
  <c r="B2697" i="15"/>
  <c r="B2696" i="15"/>
  <c r="B2695" i="15"/>
  <c r="B2694" i="15"/>
  <c r="B2693" i="15"/>
  <c r="B2692" i="15"/>
  <c r="B2691" i="15"/>
  <c r="B2690" i="15"/>
  <c r="B2689" i="15"/>
  <c r="B2688" i="15"/>
  <c r="B2687" i="15"/>
  <c r="B2686" i="15"/>
  <c r="B2685" i="15"/>
  <c r="B2684" i="15"/>
  <c r="B2683" i="15"/>
  <c r="B2682" i="15"/>
  <c r="B2681" i="15"/>
  <c r="B2680" i="15"/>
  <c r="B2679" i="15"/>
  <c r="B2678" i="15"/>
  <c r="B2677" i="15"/>
  <c r="B2676" i="15"/>
  <c r="B2675" i="15"/>
  <c r="B2674" i="15"/>
  <c r="B2673" i="15"/>
  <c r="B2672" i="15"/>
  <c r="B2671" i="15"/>
  <c r="B2670" i="15"/>
  <c r="B2669" i="15"/>
  <c r="B2668" i="15"/>
  <c r="B2667" i="15"/>
  <c r="B2666" i="15"/>
  <c r="B2665" i="15"/>
  <c r="B2664" i="15"/>
  <c r="B2663" i="15"/>
  <c r="B2662" i="15"/>
  <c r="B2661" i="15"/>
  <c r="B2660" i="15"/>
  <c r="B2659" i="15"/>
  <c r="B2658" i="15"/>
  <c r="B2657" i="15"/>
  <c r="B2656" i="15"/>
  <c r="B2655" i="15"/>
  <c r="B2654" i="15"/>
  <c r="B2653" i="15"/>
  <c r="B2652" i="15"/>
  <c r="B2651" i="15"/>
  <c r="B2650" i="15"/>
  <c r="B2649" i="15"/>
  <c r="B2648" i="15"/>
  <c r="B2647" i="15"/>
  <c r="B2646" i="15"/>
  <c r="B2645" i="15"/>
  <c r="B2644" i="15"/>
  <c r="B2643" i="15"/>
  <c r="B2642" i="15"/>
  <c r="B2641" i="15"/>
  <c r="B2640" i="15"/>
  <c r="B2639" i="15"/>
  <c r="B2638" i="15"/>
  <c r="B2637" i="15"/>
  <c r="B2636" i="15"/>
  <c r="B2635" i="15"/>
  <c r="B2634" i="15"/>
  <c r="B2633" i="15"/>
  <c r="B2632" i="15"/>
  <c r="B2631" i="15"/>
  <c r="B2630" i="15"/>
  <c r="B2629" i="15"/>
  <c r="B2628" i="15"/>
  <c r="B2627" i="15"/>
  <c r="B2626" i="15"/>
  <c r="B2625" i="15"/>
  <c r="B2624" i="15"/>
  <c r="B2623" i="15"/>
  <c r="B2622" i="15"/>
  <c r="B2621" i="15"/>
  <c r="B2620" i="15"/>
  <c r="B2619" i="15"/>
  <c r="B2618" i="15"/>
  <c r="B2617" i="15"/>
  <c r="B2616" i="15"/>
  <c r="B2615" i="15"/>
  <c r="B2614" i="15"/>
  <c r="B2613" i="15"/>
  <c r="B2612" i="15"/>
  <c r="B2611" i="15"/>
  <c r="B2610" i="15"/>
  <c r="B2609" i="15"/>
  <c r="B2608" i="15"/>
  <c r="B2607" i="15"/>
  <c r="B2606" i="15"/>
  <c r="B2605" i="15"/>
  <c r="B2604" i="15"/>
  <c r="B2603" i="15"/>
  <c r="B2602" i="15"/>
  <c r="B2601" i="15"/>
  <c r="B2600" i="15"/>
  <c r="B2599" i="15"/>
  <c r="B2598" i="15"/>
  <c r="B2597" i="15"/>
  <c r="B2596" i="15"/>
  <c r="B2595" i="15"/>
  <c r="B2594" i="15"/>
  <c r="B2593" i="15"/>
  <c r="B2592" i="15"/>
  <c r="B2591" i="15"/>
  <c r="B2590" i="15"/>
  <c r="B2589" i="15"/>
  <c r="B2588" i="15"/>
  <c r="B2587" i="15"/>
  <c r="B2586" i="15"/>
  <c r="B2585" i="15"/>
  <c r="B2584" i="15"/>
  <c r="B2583" i="15"/>
  <c r="B2582" i="15"/>
  <c r="B2581" i="15"/>
  <c r="B2580" i="15"/>
  <c r="B2579" i="15"/>
  <c r="B2578" i="15"/>
  <c r="B2577" i="15"/>
  <c r="B2576" i="15"/>
  <c r="B2575" i="15"/>
  <c r="B2574" i="15"/>
  <c r="B2573" i="15"/>
  <c r="B2572" i="15"/>
  <c r="B2571" i="15"/>
  <c r="B2570" i="15"/>
  <c r="B2569" i="15"/>
  <c r="B2568" i="15"/>
  <c r="B2567" i="15"/>
  <c r="B2566" i="15"/>
  <c r="B2565" i="15"/>
  <c r="B2564" i="15"/>
  <c r="B2563" i="15"/>
  <c r="B2562" i="15"/>
  <c r="B2561" i="15"/>
  <c r="B2560" i="15"/>
  <c r="B2559" i="15"/>
  <c r="B2558" i="15"/>
  <c r="B2557" i="15"/>
  <c r="B2556" i="15"/>
  <c r="B2555" i="15"/>
  <c r="B2554" i="15"/>
  <c r="B2553" i="15"/>
  <c r="B2552" i="15"/>
  <c r="B2551" i="15"/>
  <c r="B2550" i="15"/>
  <c r="B2549" i="15"/>
  <c r="B2548" i="15"/>
  <c r="B2547" i="15"/>
  <c r="B2546" i="15"/>
  <c r="B2545" i="15"/>
  <c r="B2544" i="15"/>
  <c r="B2543" i="15"/>
  <c r="B2542" i="15"/>
  <c r="B2541" i="15"/>
  <c r="B2540" i="15"/>
  <c r="B2539" i="15"/>
  <c r="B2538" i="15"/>
  <c r="B2537" i="15"/>
  <c r="B2536" i="15"/>
  <c r="B2535" i="15"/>
  <c r="B2534" i="15"/>
  <c r="B2533" i="15"/>
  <c r="B2532" i="15"/>
  <c r="B2531" i="15"/>
  <c r="B2530" i="15"/>
  <c r="B2529" i="15"/>
  <c r="B2528" i="15"/>
  <c r="B2527" i="15"/>
  <c r="B2526" i="15"/>
  <c r="B2525" i="15"/>
  <c r="B2524" i="15"/>
  <c r="B2523" i="15"/>
  <c r="B2522" i="15"/>
  <c r="B2521" i="15"/>
  <c r="B2520" i="15"/>
  <c r="B2519" i="15"/>
  <c r="B2518" i="15"/>
  <c r="B2517" i="15"/>
  <c r="B2516" i="15"/>
  <c r="B2515" i="15"/>
  <c r="B2514" i="15"/>
  <c r="B2513" i="15"/>
  <c r="B2512" i="15"/>
  <c r="B2511" i="15"/>
  <c r="B2510" i="15"/>
  <c r="B2509" i="15"/>
  <c r="B2508" i="15"/>
  <c r="B2507" i="15"/>
  <c r="B2506" i="15"/>
  <c r="B2505" i="15"/>
  <c r="B2504" i="15"/>
  <c r="B2503" i="15"/>
  <c r="B2502" i="15"/>
  <c r="B2501" i="15"/>
  <c r="B2500" i="15"/>
  <c r="B2499" i="15"/>
  <c r="B2498" i="15"/>
  <c r="B2497" i="15"/>
  <c r="B2496" i="15"/>
  <c r="B2495" i="15"/>
  <c r="B2494" i="15"/>
  <c r="B2493" i="15"/>
  <c r="B2492" i="15"/>
  <c r="B2491" i="15"/>
  <c r="B2490" i="15"/>
  <c r="B2489" i="15"/>
  <c r="B2488" i="15"/>
  <c r="B2487" i="15"/>
  <c r="B2486" i="15"/>
  <c r="B2485" i="15"/>
  <c r="B2484" i="15"/>
  <c r="B2483" i="15"/>
  <c r="B2482" i="15"/>
  <c r="B2481" i="15"/>
  <c r="B2480" i="15"/>
  <c r="B2479" i="15"/>
  <c r="B2478" i="15"/>
  <c r="B2477" i="15"/>
  <c r="B2476" i="15"/>
  <c r="B2475" i="15"/>
  <c r="B2474" i="15"/>
  <c r="B2473" i="15"/>
  <c r="B2472" i="15"/>
  <c r="B2471" i="15"/>
  <c r="B2470" i="15"/>
  <c r="B2469" i="15"/>
  <c r="B2468" i="15"/>
  <c r="B2467" i="15"/>
  <c r="B2466" i="15"/>
  <c r="B2465" i="15"/>
  <c r="B2464" i="15"/>
  <c r="B2463" i="15"/>
  <c r="B2462" i="15"/>
  <c r="B2461" i="15"/>
  <c r="B2460" i="15"/>
  <c r="B2459" i="15"/>
  <c r="B2458" i="15"/>
  <c r="B2457" i="15"/>
  <c r="B2456" i="15"/>
  <c r="B2455" i="15"/>
  <c r="B2454" i="15"/>
  <c r="B2453" i="15"/>
  <c r="B2452" i="15"/>
  <c r="B2451" i="15"/>
  <c r="B2450" i="15"/>
  <c r="B2449" i="15"/>
  <c r="B2448" i="15"/>
  <c r="B2447" i="15"/>
  <c r="B2446" i="15"/>
  <c r="B2445" i="15"/>
  <c r="B2444" i="15"/>
  <c r="B2443" i="15"/>
  <c r="B2442" i="15"/>
  <c r="B2441" i="15"/>
  <c r="B2440" i="15"/>
  <c r="B2439" i="15"/>
  <c r="B2438" i="15"/>
  <c r="B2437" i="15"/>
  <c r="B2436" i="15"/>
  <c r="B2435" i="15"/>
  <c r="B2434" i="15"/>
  <c r="B2433" i="15"/>
  <c r="B2432" i="15"/>
  <c r="B2431" i="15"/>
  <c r="B2430" i="15"/>
  <c r="B2429" i="15"/>
  <c r="B2428" i="15"/>
  <c r="B2427" i="15"/>
  <c r="B2426" i="15"/>
  <c r="B2425" i="15"/>
  <c r="B2424" i="15"/>
  <c r="B2423" i="15"/>
  <c r="B2422" i="15"/>
  <c r="B2421" i="15"/>
  <c r="B2420" i="15"/>
  <c r="B2419" i="15"/>
  <c r="B2418" i="15"/>
  <c r="B2417" i="15"/>
  <c r="B2416" i="15"/>
  <c r="B2415" i="15"/>
  <c r="B2414" i="15"/>
  <c r="B2413" i="15"/>
  <c r="B2412" i="15"/>
  <c r="B2411" i="15"/>
  <c r="B2410" i="15"/>
  <c r="B2409" i="15"/>
  <c r="B2408" i="15"/>
  <c r="B2407" i="15"/>
  <c r="B2406" i="15"/>
  <c r="B2405" i="15"/>
  <c r="B2404" i="15"/>
  <c r="B2403" i="15"/>
  <c r="B2402" i="15"/>
  <c r="B2401" i="15"/>
  <c r="B2400" i="15"/>
  <c r="B2399" i="15"/>
  <c r="B2398" i="15"/>
  <c r="B2397" i="15"/>
  <c r="B2396" i="15"/>
  <c r="B2395" i="15"/>
  <c r="B2394" i="15"/>
  <c r="B2393" i="15"/>
  <c r="B2392" i="15"/>
  <c r="B2391" i="15"/>
  <c r="B2390" i="15"/>
  <c r="B2389" i="15"/>
  <c r="B2388" i="15"/>
  <c r="B2387" i="15"/>
  <c r="B2386" i="15"/>
  <c r="B2385" i="15"/>
  <c r="B2384" i="15"/>
  <c r="B2383" i="15"/>
  <c r="B2382" i="15"/>
  <c r="B2381" i="15"/>
  <c r="B2380" i="15"/>
  <c r="B2379" i="15"/>
  <c r="B2378" i="15"/>
  <c r="B2377" i="15"/>
  <c r="B2376" i="15"/>
  <c r="B2375" i="15"/>
  <c r="B2374" i="15"/>
  <c r="B2373" i="15"/>
  <c r="B2372" i="15"/>
  <c r="B2371" i="15"/>
  <c r="B2370" i="15"/>
  <c r="B2369" i="15"/>
  <c r="B2368" i="15"/>
  <c r="B2367" i="15"/>
  <c r="B2366" i="15"/>
  <c r="B2365" i="15"/>
  <c r="B2364" i="15"/>
  <c r="B2363" i="15"/>
  <c r="B2362" i="15"/>
  <c r="B2361" i="15"/>
  <c r="B2360" i="15"/>
  <c r="B2359" i="15"/>
  <c r="B2358" i="15"/>
  <c r="B2357" i="15"/>
  <c r="B2356" i="15"/>
  <c r="B2355" i="15"/>
  <c r="B2354" i="15"/>
  <c r="B2353" i="15"/>
  <c r="B2352" i="15"/>
  <c r="B2351" i="15"/>
  <c r="B2350" i="15"/>
  <c r="B2349" i="15"/>
  <c r="B2348" i="15"/>
  <c r="B2347" i="15"/>
  <c r="B2346" i="15"/>
  <c r="B2345" i="15"/>
  <c r="B2344" i="15"/>
  <c r="B2343" i="15"/>
  <c r="B2342" i="15"/>
  <c r="B2341" i="15"/>
  <c r="B2340" i="15"/>
  <c r="B2339" i="15"/>
  <c r="B2338" i="15"/>
  <c r="B2337" i="15"/>
  <c r="B2336" i="15"/>
  <c r="B2335" i="15"/>
  <c r="B2334" i="15"/>
  <c r="B2333" i="15"/>
  <c r="B2332" i="15"/>
  <c r="B2331" i="15"/>
  <c r="B2330" i="15"/>
  <c r="B2329" i="15"/>
  <c r="B2328" i="15"/>
  <c r="B2327" i="15"/>
  <c r="B2326" i="15"/>
  <c r="B2325" i="15"/>
  <c r="B2324" i="15"/>
  <c r="B2323" i="15"/>
  <c r="B2322" i="15"/>
  <c r="B2321" i="15"/>
  <c r="B2320" i="15"/>
  <c r="B2319" i="15"/>
  <c r="B2318" i="15"/>
  <c r="B2317" i="15"/>
  <c r="B2316" i="15"/>
  <c r="B2315" i="15"/>
  <c r="B2314" i="15"/>
  <c r="B2313" i="15"/>
  <c r="B2312" i="15"/>
  <c r="B2311" i="15"/>
  <c r="B2310" i="15"/>
  <c r="B2309" i="15"/>
  <c r="B2308" i="15"/>
  <c r="B2307" i="15"/>
  <c r="B2306" i="15"/>
  <c r="B2305" i="15"/>
  <c r="B2304" i="15"/>
  <c r="B2303" i="15"/>
  <c r="B2302" i="15"/>
  <c r="B2301" i="15"/>
  <c r="B2300" i="15"/>
  <c r="B2299" i="15"/>
  <c r="B2298" i="15"/>
  <c r="B2297" i="15"/>
  <c r="B2296" i="15"/>
  <c r="B2295" i="15"/>
  <c r="B2294" i="15"/>
  <c r="B2293" i="15"/>
  <c r="B2292" i="15"/>
  <c r="B2291" i="15"/>
  <c r="B2290" i="15"/>
  <c r="B2289" i="15"/>
  <c r="B2288" i="15"/>
  <c r="B2287" i="15"/>
  <c r="B2286" i="15"/>
  <c r="B2285" i="15"/>
  <c r="B2284" i="15"/>
  <c r="B2283" i="15"/>
  <c r="B2282" i="15"/>
  <c r="B2281" i="15"/>
  <c r="B2280" i="15"/>
  <c r="B2279" i="15"/>
  <c r="B2278" i="15"/>
  <c r="B2277" i="15"/>
  <c r="B2276" i="15"/>
  <c r="B2275" i="15"/>
  <c r="B2274" i="15"/>
  <c r="B2273" i="15"/>
  <c r="B2272" i="15"/>
  <c r="B2271" i="15"/>
  <c r="B2270" i="15"/>
  <c r="B2269" i="15"/>
  <c r="B2268" i="15"/>
  <c r="B2267" i="15"/>
  <c r="B2266" i="15"/>
  <c r="B2265" i="15"/>
  <c r="B2264" i="15"/>
  <c r="B2263" i="15"/>
  <c r="B2262" i="15"/>
  <c r="B2261" i="15"/>
  <c r="B2260" i="15"/>
  <c r="B2259" i="15"/>
  <c r="B2258" i="15"/>
  <c r="B2257" i="15"/>
  <c r="B2256" i="15"/>
  <c r="B2255" i="15"/>
  <c r="B2254" i="15"/>
  <c r="B2253" i="15"/>
  <c r="B2252" i="15"/>
  <c r="B2251" i="15"/>
  <c r="B2250" i="15"/>
  <c r="B2249" i="15"/>
  <c r="B2248" i="15"/>
  <c r="B2247" i="15"/>
  <c r="B2246" i="15"/>
  <c r="B2245" i="15"/>
  <c r="B2244" i="15"/>
  <c r="B2243" i="15"/>
  <c r="B2242" i="15"/>
  <c r="B2241" i="15"/>
  <c r="B2240" i="15"/>
  <c r="B2239" i="15"/>
  <c r="B2238" i="15"/>
  <c r="B2237" i="15"/>
  <c r="B2236" i="15"/>
  <c r="B2235" i="15"/>
  <c r="B2234" i="15"/>
  <c r="B2233" i="15"/>
  <c r="B2232" i="15"/>
  <c r="B2231" i="15"/>
  <c r="B2230" i="15"/>
  <c r="B2229" i="15"/>
  <c r="B2228" i="15"/>
  <c r="B2227" i="15"/>
  <c r="B2226" i="15"/>
  <c r="B2225" i="15"/>
  <c r="B2224" i="15"/>
  <c r="B2223" i="15"/>
  <c r="B2222" i="15"/>
  <c r="B2221" i="15"/>
  <c r="B2220" i="15"/>
  <c r="B2219" i="15"/>
  <c r="B2218" i="15"/>
  <c r="B2217" i="15"/>
  <c r="B2216" i="15"/>
  <c r="B2215" i="15"/>
  <c r="B2214" i="15"/>
  <c r="B2213" i="15"/>
  <c r="B2212" i="15"/>
  <c r="B2211" i="15"/>
  <c r="B2210" i="15"/>
  <c r="B2209" i="15"/>
  <c r="B2208" i="15"/>
  <c r="B2207" i="15"/>
  <c r="B2206" i="15"/>
  <c r="B2205" i="15"/>
  <c r="B2204" i="15"/>
  <c r="B2203" i="15"/>
  <c r="B2202" i="15"/>
  <c r="B2201" i="15"/>
  <c r="B2200" i="15"/>
  <c r="B2199" i="15"/>
  <c r="B2198" i="15"/>
  <c r="B2197" i="15"/>
  <c r="B2196" i="15"/>
  <c r="B2195" i="15"/>
  <c r="B2194" i="15"/>
  <c r="B2193" i="15"/>
  <c r="B2192" i="15"/>
  <c r="B2191" i="15"/>
  <c r="B2190" i="15"/>
  <c r="B2189" i="15"/>
  <c r="B2188" i="15"/>
  <c r="B2187" i="15"/>
  <c r="B2186" i="15"/>
  <c r="B2185" i="15"/>
  <c r="B2184" i="15"/>
  <c r="B2183" i="15"/>
  <c r="B2182" i="15"/>
  <c r="B2181" i="15"/>
  <c r="B2180" i="15"/>
  <c r="B2179" i="15"/>
  <c r="B2178" i="15"/>
  <c r="B2177" i="15"/>
  <c r="B2176" i="15"/>
  <c r="B2175" i="15"/>
  <c r="B2174" i="15"/>
  <c r="B2173" i="15"/>
  <c r="B2172" i="15"/>
  <c r="B2171" i="15"/>
  <c r="B2170" i="15"/>
  <c r="B2169" i="15"/>
  <c r="B2168" i="15"/>
  <c r="B2167" i="15"/>
  <c r="B2166" i="15"/>
  <c r="B2165" i="15"/>
  <c r="B2164" i="15"/>
  <c r="B2163" i="15"/>
  <c r="B2162" i="15"/>
  <c r="B2161" i="15"/>
  <c r="B2160" i="15"/>
  <c r="B2159" i="15"/>
  <c r="B2158" i="15"/>
  <c r="B2157" i="15"/>
  <c r="B2156" i="15"/>
  <c r="B2155" i="15"/>
  <c r="B2154" i="15"/>
  <c r="B2153" i="15"/>
  <c r="B2152" i="15"/>
  <c r="B2151" i="15"/>
  <c r="B2150" i="15"/>
  <c r="B2149" i="15"/>
  <c r="B2148" i="15"/>
  <c r="B2147" i="15"/>
  <c r="B2146" i="15"/>
  <c r="B2145" i="15"/>
  <c r="B2144" i="15"/>
  <c r="B2143" i="15"/>
  <c r="B2142" i="15"/>
  <c r="B2141" i="15"/>
  <c r="B2140" i="15"/>
  <c r="B2139" i="15"/>
  <c r="B2138" i="15"/>
  <c r="B2137" i="15"/>
  <c r="B2136" i="15"/>
  <c r="B2135" i="15"/>
  <c r="B2134" i="15"/>
  <c r="B2133" i="15"/>
  <c r="B2132" i="15"/>
  <c r="B2131" i="15"/>
  <c r="B2130" i="15"/>
  <c r="B2129" i="15"/>
  <c r="B2128" i="15"/>
  <c r="B2127" i="15"/>
  <c r="B2126" i="15"/>
  <c r="B2125" i="15"/>
  <c r="B2124" i="15"/>
  <c r="B2123" i="15"/>
  <c r="B2122" i="15"/>
  <c r="B2121" i="15"/>
  <c r="B2120" i="15"/>
  <c r="B2119" i="15"/>
  <c r="B2118" i="15"/>
  <c r="B2117" i="15"/>
  <c r="B2116" i="15"/>
  <c r="B2115" i="15"/>
  <c r="B2114" i="15"/>
  <c r="B2113" i="15"/>
  <c r="B2112" i="15"/>
  <c r="B2111" i="15"/>
  <c r="B2110" i="15"/>
  <c r="B2109" i="15"/>
  <c r="B2108" i="15"/>
  <c r="B2107" i="15"/>
  <c r="B2106" i="15"/>
  <c r="B2105" i="15"/>
  <c r="B2104" i="15"/>
  <c r="B2103" i="15"/>
  <c r="B2102" i="15"/>
  <c r="B2101" i="15"/>
  <c r="B2100" i="15"/>
  <c r="B2099" i="15"/>
  <c r="B2098" i="15"/>
  <c r="B2097" i="15"/>
  <c r="B2096" i="15"/>
  <c r="B2095" i="15"/>
  <c r="B2094" i="15"/>
  <c r="B2093" i="15"/>
  <c r="B2092" i="15"/>
  <c r="B2091" i="15"/>
  <c r="B2090" i="15"/>
  <c r="B2089" i="15"/>
  <c r="B2088" i="15"/>
  <c r="B2087" i="15"/>
  <c r="B2086" i="15"/>
  <c r="B2085" i="15"/>
  <c r="B2084" i="15"/>
  <c r="B2083" i="15"/>
  <c r="B2082" i="15"/>
  <c r="B2081" i="15"/>
  <c r="B2080" i="15"/>
  <c r="B2079" i="15"/>
  <c r="B2078" i="15"/>
  <c r="B2077" i="15"/>
  <c r="B2076" i="15"/>
  <c r="B2075" i="15"/>
  <c r="B2074" i="15"/>
  <c r="B2073" i="15"/>
  <c r="B2072" i="15"/>
  <c r="B2071" i="15"/>
  <c r="B2070" i="15"/>
  <c r="B2069" i="15"/>
  <c r="B2068" i="15"/>
  <c r="B2067" i="15"/>
  <c r="B2066" i="15"/>
  <c r="B2065" i="15"/>
  <c r="B2064" i="15"/>
  <c r="B2063" i="15"/>
  <c r="B2062" i="15"/>
  <c r="B2061" i="15"/>
  <c r="B2060" i="15"/>
  <c r="B2059" i="15"/>
  <c r="B2058" i="15"/>
  <c r="B2057" i="15"/>
  <c r="B2056" i="15"/>
  <c r="B2055" i="15"/>
  <c r="B2054" i="15"/>
  <c r="B2053" i="15"/>
  <c r="B2052" i="15"/>
  <c r="B2051" i="15"/>
  <c r="B2050" i="15"/>
  <c r="B2049" i="15"/>
  <c r="B2048" i="15"/>
  <c r="B2047" i="15"/>
  <c r="B2046" i="15"/>
  <c r="B2045" i="15"/>
  <c r="B2044" i="15"/>
  <c r="B2043" i="15"/>
  <c r="B2042" i="15"/>
  <c r="B2041" i="15"/>
  <c r="B2040" i="15"/>
  <c r="B2039" i="15"/>
  <c r="B2038" i="15"/>
  <c r="B2037" i="15"/>
  <c r="B2036" i="15"/>
  <c r="B2035" i="15"/>
  <c r="B2034" i="15"/>
  <c r="B2033" i="15"/>
  <c r="B2032" i="15"/>
  <c r="B2031" i="15"/>
  <c r="B2030" i="15"/>
  <c r="B2029" i="15"/>
  <c r="B2028" i="15"/>
  <c r="B2027" i="15"/>
  <c r="B2026" i="15"/>
  <c r="B2025" i="15"/>
  <c r="B2024" i="15"/>
  <c r="B2023" i="15"/>
  <c r="B2022" i="15"/>
  <c r="B2021" i="15"/>
  <c r="B2020" i="15"/>
  <c r="B2019" i="15"/>
  <c r="B2018" i="15"/>
  <c r="B2017" i="15"/>
  <c r="B2016" i="15"/>
  <c r="B2015" i="15"/>
  <c r="B2014" i="15"/>
  <c r="B2013" i="15"/>
  <c r="B2012" i="15"/>
  <c r="B2011" i="15"/>
  <c r="B2010" i="15"/>
  <c r="B2009" i="15"/>
  <c r="B2008" i="15"/>
  <c r="B2007" i="15"/>
  <c r="B2006" i="15"/>
  <c r="B2005" i="15"/>
  <c r="B2004" i="15"/>
  <c r="B2003" i="15"/>
  <c r="B2002" i="15"/>
  <c r="B2001" i="15"/>
  <c r="B2000" i="15"/>
  <c r="B1999" i="15"/>
  <c r="B1998" i="15"/>
  <c r="B1997" i="15"/>
  <c r="B1996" i="15"/>
  <c r="B1995" i="15"/>
  <c r="B1994" i="15"/>
  <c r="B1993" i="15"/>
  <c r="B1992" i="15"/>
  <c r="B1991" i="15"/>
  <c r="B1990" i="15"/>
  <c r="B1989" i="15"/>
  <c r="B1988" i="15"/>
  <c r="B1987" i="15"/>
  <c r="B1986" i="15"/>
  <c r="B1985" i="15"/>
  <c r="B1984" i="15"/>
  <c r="B1983" i="15"/>
  <c r="B1982" i="15"/>
  <c r="B1981" i="15"/>
  <c r="B1980" i="15"/>
  <c r="B1979" i="15"/>
  <c r="B1978" i="15"/>
  <c r="B1977" i="15"/>
  <c r="B1976" i="15"/>
  <c r="B1975" i="15"/>
  <c r="B1974" i="15"/>
  <c r="B1973" i="15"/>
  <c r="B1972" i="15"/>
  <c r="B1971" i="15"/>
  <c r="B1970" i="15"/>
  <c r="B1969" i="15"/>
  <c r="B1968" i="15"/>
  <c r="B1967" i="15"/>
  <c r="B1966" i="15"/>
  <c r="B1965" i="15"/>
  <c r="B1964" i="15"/>
  <c r="B1963" i="15"/>
  <c r="B1962" i="15"/>
  <c r="B1961" i="15"/>
  <c r="B1960" i="15"/>
  <c r="B1959" i="15"/>
  <c r="B1958" i="15"/>
  <c r="B1957" i="15"/>
  <c r="B1956" i="15"/>
  <c r="B1955" i="15"/>
  <c r="B1954" i="15"/>
  <c r="B1953" i="15"/>
  <c r="B1952" i="15"/>
  <c r="B1951" i="15"/>
  <c r="B1950" i="15"/>
  <c r="B1949" i="15"/>
  <c r="B1948" i="15"/>
  <c r="B1947" i="15"/>
  <c r="B1946" i="15"/>
  <c r="B1945" i="15"/>
  <c r="B1944" i="15"/>
  <c r="B1943" i="15"/>
  <c r="B1942" i="15"/>
  <c r="B1941" i="15"/>
  <c r="B1940" i="15"/>
  <c r="B1939" i="15"/>
  <c r="B1938" i="15"/>
  <c r="B1937" i="15"/>
  <c r="B1936" i="15"/>
  <c r="B1935" i="15"/>
  <c r="B1934" i="15"/>
  <c r="B1933" i="15"/>
  <c r="B1932" i="15"/>
  <c r="B1931" i="15"/>
  <c r="B1930" i="15"/>
  <c r="B1929" i="15"/>
  <c r="B1928" i="15"/>
  <c r="B1927" i="15"/>
  <c r="B1926" i="15"/>
  <c r="B1925" i="15"/>
  <c r="B1924" i="15"/>
  <c r="B1923" i="15"/>
  <c r="B1922" i="15"/>
  <c r="B1921" i="15"/>
  <c r="B1920" i="15"/>
  <c r="B1919" i="15"/>
  <c r="B1918" i="15"/>
  <c r="B1917" i="15"/>
  <c r="B1916" i="15"/>
  <c r="B1915" i="15"/>
  <c r="B1914" i="15"/>
  <c r="B1913" i="15"/>
  <c r="B1912" i="15"/>
  <c r="B1911" i="15"/>
  <c r="B1910" i="15"/>
  <c r="B1909" i="15"/>
  <c r="B1908" i="15"/>
  <c r="B1907" i="15"/>
  <c r="B1906" i="15"/>
  <c r="B1905" i="15"/>
  <c r="B1904" i="15"/>
  <c r="B1903" i="15"/>
  <c r="B1902" i="15"/>
  <c r="B1901" i="15"/>
  <c r="B1900" i="15"/>
  <c r="B1899" i="15"/>
  <c r="B1898" i="15"/>
  <c r="B1897" i="15"/>
  <c r="B1896" i="15"/>
  <c r="B1895" i="15"/>
  <c r="B1894" i="15"/>
  <c r="B1893" i="15"/>
  <c r="B1892" i="15"/>
  <c r="B1891" i="15"/>
  <c r="B1890" i="15"/>
  <c r="B1889" i="15"/>
  <c r="B1888" i="15"/>
  <c r="B1887" i="15"/>
  <c r="B1886" i="15"/>
  <c r="B1885" i="15"/>
  <c r="B1884" i="15"/>
  <c r="B1883" i="15"/>
  <c r="B1882" i="15"/>
  <c r="B1881" i="15"/>
  <c r="B1880" i="15"/>
  <c r="B1879" i="15"/>
  <c r="B1878" i="15"/>
  <c r="B1877" i="15"/>
  <c r="B1876" i="15"/>
  <c r="B1875" i="15"/>
  <c r="B1874" i="15"/>
  <c r="B1873" i="15"/>
  <c r="B1872" i="15"/>
  <c r="B1871" i="15"/>
  <c r="B1870" i="15"/>
  <c r="B1869" i="15"/>
  <c r="B1868" i="15"/>
  <c r="B1867" i="15"/>
  <c r="B1866" i="15"/>
  <c r="B1865" i="15"/>
  <c r="B1864" i="15"/>
  <c r="B1863" i="15"/>
  <c r="B1862" i="15"/>
  <c r="B1861" i="15"/>
  <c r="B1860" i="15"/>
  <c r="B1859" i="15"/>
  <c r="B1858" i="15"/>
  <c r="B1857" i="15"/>
  <c r="B1856" i="15"/>
  <c r="B1855" i="15"/>
  <c r="B1854" i="15"/>
  <c r="B1853" i="15"/>
  <c r="B1852" i="15"/>
  <c r="B1851" i="15"/>
  <c r="B1850" i="15"/>
  <c r="B1849" i="15"/>
  <c r="B1848" i="15"/>
  <c r="B1847" i="15"/>
  <c r="B1846" i="15"/>
  <c r="B1845" i="15"/>
  <c r="B1844" i="15"/>
  <c r="B1843" i="15"/>
  <c r="B1842" i="15"/>
  <c r="B1841" i="15"/>
  <c r="B1840" i="15"/>
  <c r="B1839" i="15"/>
  <c r="B1838" i="15"/>
  <c r="B1837" i="15"/>
  <c r="B1836" i="15"/>
  <c r="B1835" i="15"/>
  <c r="B1834" i="15"/>
  <c r="B1833" i="15"/>
  <c r="B1832" i="15"/>
  <c r="B1831" i="15"/>
  <c r="B1830" i="15"/>
  <c r="B1829" i="15"/>
  <c r="B1828" i="15"/>
  <c r="B1827" i="15"/>
  <c r="B1826" i="15"/>
  <c r="B1825" i="15"/>
  <c r="B1824" i="15"/>
  <c r="B1823" i="15"/>
  <c r="B1822" i="15"/>
  <c r="B1821" i="15"/>
  <c r="B1820" i="15"/>
  <c r="B1819" i="15"/>
  <c r="B1818" i="15"/>
  <c r="B1817" i="15"/>
  <c r="B1816" i="15"/>
  <c r="B1815" i="15"/>
  <c r="B1814" i="15"/>
  <c r="B1813" i="15"/>
  <c r="B1812" i="15"/>
  <c r="B1811" i="15"/>
  <c r="B1810" i="15"/>
  <c r="B1809" i="15"/>
  <c r="B1808" i="15"/>
  <c r="B1807" i="15"/>
  <c r="B1806" i="15"/>
  <c r="B1805" i="15"/>
  <c r="B1804" i="15"/>
  <c r="B1803" i="15"/>
  <c r="B1802" i="15"/>
  <c r="B1801" i="15"/>
  <c r="B1800" i="15"/>
  <c r="B1799" i="15"/>
  <c r="B1798" i="15"/>
  <c r="B1797" i="15"/>
  <c r="B1796" i="15"/>
  <c r="B1795" i="15"/>
  <c r="B1794" i="15"/>
  <c r="B1793" i="15"/>
  <c r="B1792" i="15"/>
  <c r="B1791" i="15"/>
  <c r="B1790" i="15"/>
  <c r="B1789" i="15"/>
  <c r="B1788" i="15"/>
  <c r="B1787" i="15"/>
  <c r="B1786" i="15"/>
  <c r="B1785" i="15"/>
  <c r="B1784" i="15"/>
  <c r="B1783" i="15"/>
  <c r="B1782" i="15"/>
  <c r="B1781" i="15"/>
  <c r="B1780" i="15"/>
  <c r="B1779" i="15"/>
  <c r="B1778" i="15"/>
  <c r="B1777" i="15"/>
  <c r="B1776" i="15"/>
  <c r="B1775" i="15"/>
  <c r="B1774" i="15"/>
  <c r="B1773" i="15"/>
  <c r="B1772" i="15"/>
  <c r="B1771" i="15"/>
  <c r="B1770" i="15"/>
  <c r="B1769" i="15"/>
  <c r="B1768" i="15"/>
  <c r="B1767" i="15"/>
  <c r="B1766" i="15"/>
  <c r="B1765" i="15"/>
  <c r="B1764" i="15"/>
  <c r="B1763" i="15"/>
  <c r="B1762" i="15"/>
  <c r="B1761" i="15"/>
  <c r="B1760" i="15"/>
  <c r="B1759" i="15"/>
  <c r="B1758" i="15"/>
  <c r="B1757" i="15"/>
  <c r="B1756" i="15"/>
  <c r="B1755" i="15"/>
  <c r="B1754" i="15"/>
  <c r="B1753" i="15"/>
  <c r="B1752" i="15"/>
  <c r="B1751" i="15"/>
  <c r="B1750" i="15"/>
  <c r="B1749" i="15"/>
  <c r="B1748" i="15"/>
  <c r="B1747" i="15"/>
  <c r="B1746" i="15"/>
  <c r="B1745" i="15"/>
  <c r="B1744" i="15"/>
  <c r="B1743" i="15"/>
  <c r="B1742" i="15"/>
  <c r="B1741" i="15"/>
  <c r="B1740" i="15"/>
  <c r="B1739" i="15"/>
  <c r="B1738" i="15"/>
  <c r="B1737" i="15"/>
  <c r="B1736" i="15"/>
  <c r="B1735" i="15"/>
  <c r="B1734" i="15"/>
  <c r="B1733" i="15"/>
  <c r="B1732" i="15"/>
  <c r="B1731" i="15"/>
  <c r="B1730" i="15"/>
  <c r="B1729" i="15"/>
  <c r="B1728" i="15"/>
  <c r="B1727" i="15"/>
  <c r="B1726" i="15"/>
  <c r="B1725" i="15"/>
  <c r="B1724" i="15"/>
  <c r="B1723" i="15"/>
  <c r="B1722" i="15"/>
  <c r="B1721" i="15"/>
  <c r="B1720" i="15"/>
  <c r="B1719" i="15"/>
  <c r="B1718" i="15"/>
  <c r="B1717" i="15"/>
  <c r="B1716" i="15"/>
  <c r="B1715" i="15"/>
  <c r="B1714" i="15"/>
  <c r="B1713" i="15"/>
  <c r="B1712" i="15"/>
  <c r="B1711" i="15"/>
  <c r="B1710" i="15"/>
  <c r="B1709" i="15"/>
  <c r="B1708" i="15"/>
  <c r="B1707" i="15"/>
  <c r="B1706" i="15"/>
  <c r="B1705" i="15"/>
  <c r="B1704" i="15"/>
  <c r="B1703" i="15"/>
  <c r="B1702" i="15"/>
  <c r="B1701" i="15"/>
  <c r="B1700" i="15"/>
  <c r="B1699" i="15"/>
  <c r="B1698" i="15"/>
  <c r="B1697" i="15"/>
  <c r="B1696" i="15"/>
  <c r="B1695" i="15"/>
  <c r="B1694" i="15"/>
  <c r="B1693" i="15"/>
  <c r="B1692" i="15"/>
  <c r="B1691" i="15"/>
  <c r="B1690" i="15"/>
  <c r="B1689" i="15"/>
  <c r="B1688" i="15"/>
  <c r="B1687" i="15"/>
  <c r="B1686" i="15"/>
  <c r="B1685" i="15"/>
  <c r="B1684" i="15"/>
  <c r="B1683" i="15"/>
  <c r="B1682" i="15"/>
  <c r="B1681" i="15"/>
  <c r="B1680" i="15"/>
  <c r="B1679" i="15"/>
  <c r="B1678" i="15"/>
  <c r="B1677" i="15"/>
  <c r="B1676" i="15"/>
  <c r="B1675" i="15"/>
  <c r="B1674" i="15"/>
  <c r="B1673" i="15"/>
  <c r="B1672" i="15"/>
  <c r="B1671" i="15"/>
  <c r="B1670" i="15"/>
  <c r="B1669" i="15"/>
  <c r="B1668" i="15"/>
  <c r="B1667" i="15"/>
  <c r="B1666" i="15"/>
  <c r="B1665" i="15"/>
  <c r="B1664" i="15"/>
  <c r="B1663" i="15"/>
  <c r="B1662" i="15"/>
  <c r="B1661" i="15"/>
  <c r="B1660" i="15"/>
  <c r="B1659" i="15"/>
  <c r="B1658" i="15"/>
  <c r="B1657" i="15"/>
  <c r="B1656" i="15"/>
  <c r="B1655" i="15"/>
  <c r="B1654" i="15"/>
  <c r="B1653" i="15"/>
  <c r="B1652" i="15"/>
  <c r="B1651" i="15"/>
  <c r="B1650" i="15"/>
  <c r="B1649" i="15"/>
  <c r="B1648" i="15"/>
  <c r="B1647" i="15"/>
  <c r="B1646" i="15"/>
  <c r="B1645" i="15"/>
  <c r="B1644" i="15"/>
  <c r="B1643" i="15"/>
  <c r="B1642" i="15"/>
  <c r="B1641" i="15"/>
  <c r="B1640" i="15"/>
  <c r="B1639" i="15"/>
  <c r="B1638" i="15"/>
  <c r="B1637" i="15"/>
  <c r="B1636" i="15"/>
  <c r="B1635" i="15"/>
  <c r="B1634" i="15"/>
  <c r="B1633" i="15"/>
  <c r="B1632" i="15"/>
  <c r="B1631" i="15"/>
  <c r="B1630" i="15"/>
  <c r="B1629" i="15"/>
  <c r="B1628" i="15"/>
  <c r="B1627" i="15"/>
  <c r="B1626" i="15"/>
  <c r="B1625" i="15"/>
  <c r="B1624" i="15"/>
  <c r="B1623" i="15"/>
  <c r="B1622" i="15"/>
  <c r="B1621" i="15"/>
  <c r="B1620" i="15"/>
  <c r="B1619" i="15"/>
  <c r="B1618" i="15"/>
  <c r="B1617" i="15"/>
  <c r="B1616" i="15"/>
  <c r="B1615" i="15"/>
  <c r="B1614" i="15"/>
  <c r="B1613" i="15"/>
  <c r="B1612" i="15"/>
  <c r="B1611" i="15"/>
  <c r="B1610" i="15"/>
  <c r="B1609" i="15"/>
  <c r="B1608" i="15"/>
  <c r="B1607" i="15"/>
  <c r="B1606" i="15"/>
  <c r="B1605" i="15"/>
  <c r="B1604" i="15"/>
  <c r="B1603" i="15"/>
  <c r="B1602" i="15"/>
  <c r="B1601" i="15"/>
  <c r="B1600" i="15"/>
  <c r="B1599" i="15"/>
  <c r="B1598" i="15"/>
  <c r="B1597" i="15"/>
  <c r="B1596" i="15"/>
  <c r="B1595" i="15"/>
  <c r="B1594" i="15"/>
  <c r="B1593" i="15"/>
  <c r="B1592" i="15"/>
  <c r="B1591" i="15"/>
  <c r="B1590" i="15"/>
  <c r="B1589" i="15"/>
  <c r="B1588" i="15"/>
  <c r="B1587" i="15"/>
  <c r="B1586" i="15"/>
  <c r="B1585" i="15"/>
  <c r="B1584" i="15"/>
  <c r="B1583" i="15"/>
  <c r="B1582" i="15"/>
  <c r="B1581" i="15"/>
  <c r="B1580" i="15"/>
  <c r="B1579" i="15"/>
  <c r="B1578" i="15"/>
  <c r="B1577" i="15"/>
  <c r="B1576" i="15"/>
  <c r="B1575" i="15"/>
  <c r="B1574" i="15"/>
  <c r="B1573" i="15"/>
  <c r="B1572" i="15"/>
  <c r="B1571" i="15"/>
  <c r="B1570" i="15"/>
  <c r="B1569" i="15"/>
  <c r="B1568" i="15"/>
  <c r="B1567" i="15"/>
  <c r="B1566" i="15"/>
  <c r="B1565" i="15"/>
  <c r="B1564" i="15"/>
  <c r="B1563" i="15"/>
  <c r="B1562" i="15"/>
  <c r="B1561" i="15"/>
  <c r="B1560" i="15"/>
  <c r="B1559" i="15"/>
  <c r="B1558" i="15"/>
  <c r="B1557" i="15"/>
  <c r="B1556" i="15"/>
  <c r="B1555" i="15"/>
  <c r="B1554" i="15"/>
  <c r="B1553" i="15"/>
  <c r="B1552" i="15"/>
  <c r="B1551" i="15"/>
  <c r="B1550" i="15"/>
  <c r="B1549" i="15"/>
  <c r="B1548" i="15"/>
  <c r="B1547" i="15"/>
  <c r="B1546" i="15"/>
  <c r="B1545" i="15"/>
  <c r="B1544" i="15"/>
  <c r="B1543" i="15"/>
  <c r="B1542" i="15"/>
  <c r="B1541" i="15"/>
  <c r="B1540" i="15"/>
  <c r="B1539" i="15"/>
  <c r="B1538" i="15"/>
  <c r="B1537" i="15"/>
  <c r="B1536" i="15"/>
  <c r="B1535" i="15"/>
  <c r="B1534" i="15"/>
  <c r="B1533" i="15"/>
  <c r="B1532" i="15"/>
  <c r="B1531" i="15"/>
  <c r="B1530" i="15"/>
  <c r="B1529" i="15"/>
  <c r="B1528" i="15"/>
  <c r="B1527" i="15"/>
  <c r="B1526" i="15"/>
  <c r="B1525" i="15"/>
  <c r="B1524" i="15"/>
  <c r="B1523" i="15"/>
  <c r="B1522" i="15"/>
  <c r="B1521" i="15"/>
  <c r="B1520" i="15"/>
  <c r="B1519" i="15"/>
  <c r="B1518" i="15"/>
  <c r="B1517" i="15"/>
  <c r="B1516" i="15"/>
  <c r="B1515" i="15"/>
  <c r="B1514" i="15"/>
  <c r="B1513" i="15"/>
  <c r="B1512" i="15"/>
  <c r="B1511" i="15"/>
  <c r="B1510" i="15"/>
  <c r="B1509" i="15"/>
  <c r="B1508" i="15"/>
  <c r="B1507" i="15"/>
  <c r="B1506" i="15"/>
  <c r="B1505" i="15"/>
  <c r="B1504" i="15"/>
  <c r="B1503" i="15"/>
  <c r="B1502" i="15"/>
  <c r="B1501" i="15"/>
  <c r="B1500" i="15"/>
  <c r="B1499" i="15"/>
  <c r="B1498" i="15"/>
  <c r="B1497" i="15"/>
  <c r="B1496" i="15"/>
  <c r="B1495" i="15"/>
  <c r="B1494" i="15"/>
  <c r="B1493" i="15"/>
  <c r="B1492" i="15"/>
  <c r="B1491" i="15"/>
  <c r="B1490" i="15"/>
  <c r="B1489" i="15"/>
  <c r="B1488" i="15"/>
  <c r="B1487" i="15"/>
  <c r="B1486" i="15"/>
  <c r="B1485" i="15"/>
  <c r="B1484" i="15"/>
  <c r="B1483" i="15"/>
  <c r="B1482" i="15"/>
  <c r="B1481" i="15"/>
  <c r="B1480" i="15"/>
  <c r="B1479" i="15"/>
  <c r="B1478" i="15"/>
  <c r="B1477" i="15"/>
  <c r="B1476" i="15"/>
  <c r="B1475" i="15"/>
  <c r="B1474" i="15"/>
  <c r="B1473" i="15"/>
  <c r="B1472" i="15"/>
  <c r="B1471" i="15"/>
  <c r="B1470" i="15"/>
  <c r="B1469" i="15"/>
  <c r="B1468" i="15"/>
  <c r="B1467" i="15"/>
  <c r="B1466" i="15"/>
  <c r="B1465" i="15"/>
  <c r="B1464" i="15"/>
  <c r="B1463" i="15"/>
  <c r="B1462" i="15"/>
  <c r="B1461" i="15"/>
  <c r="B1460" i="15"/>
  <c r="B1459" i="15"/>
  <c r="B1458" i="15"/>
  <c r="B1457" i="15"/>
  <c r="B1456" i="15"/>
  <c r="B1455" i="15"/>
  <c r="B1454" i="15"/>
  <c r="B1453" i="15"/>
  <c r="B1452" i="15"/>
  <c r="B1451" i="15"/>
  <c r="B1450" i="15"/>
  <c r="B1449" i="15"/>
  <c r="B1448" i="15"/>
  <c r="B1447" i="15"/>
  <c r="B1446" i="15"/>
  <c r="B1445" i="15"/>
  <c r="B1444" i="15"/>
  <c r="B1443" i="15"/>
  <c r="B1442" i="15"/>
  <c r="B1441" i="15"/>
  <c r="B1440" i="15"/>
  <c r="B1439" i="15"/>
  <c r="B1438" i="15"/>
  <c r="B1437" i="15"/>
  <c r="B1436" i="15"/>
  <c r="B1435" i="15"/>
  <c r="B1434" i="15"/>
  <c r="B1433" i="15"/>
  <c r="B1432" i="15"/>
  <c r="B1431" i="15"/>
  <c r="B1430" i="15"/>
  <c r="B1429" i="15"/>
  <c r="B1428" i="15"/>
  <c r="B1427" i="15"/>
  <c r="B1426" i="15"/>
  <c r="B1425" i="15"/>
  <c r="B1424" i="15"/>
  <c r="B1423" i="15"/>
  <c r="B1422" i="15"/>
  <c r="B1421" i="15"/>
  <c r="B1420" i="15"/>
  <c r="B1419" i="15"/>
  <c r="B1418" i="15"/>
  <c r="B1417" i="15"/>
  <c r="B1416" i="15"/>
  <c r="B1415" i="15"/>
  <c r="B1414" i="15"/>
  <c r="B1413" i="15"/>
  <c r="B1412" i="15"/>
  <c r="B1411" i="15"/>
  <c r="B1410" i="15"/>
  <c r="B1409" i="15"/>
  <c r="B1408" i="15"/>
  <c r="B1407" i="15"/>
  <c r="B1406" i="15"/>
  <c r="B1405" i="15"/>
  <c r="B1404" i="15"/>
  <c r="B1403" i="15"/>
  <c r="B1402" i="15"/>
  <c r="B1401" i="15"/>
  <c r="B1400" i="15"/>
  <c r="B1399" i="15"/>
  <c r="B1398" i="15"/>
  <c r="B1397" i="15"/>
  <c r="B1396" i="15"/>
  <c r="B1395" i="15"/>
  <c r="B1394" i="15"/>
  <c r="B1393" i="15"/>
  <c r="B1392" i="15"/>
  <c r="B1391" i="15"/>
  <c r="B1390" i="15"/>
  <c r="B1389" i="15"/>
  <c r="B1388" i="15"/>
  <c r="B1387" i="15"/>
  <c r="B1386" i="15"/>
  <c r="B1385" i="15"/>
  <c r="B1384" i="15"/>
  <c r="B1383" i="15"/>
  <c r="B1382" i="15"/>
  <c r="B1381" i="15"/>
  <c r="B1380" i="15"/>
  <c r="B1379" i="15"/>
  <c r="B1378" i="15"/>
  <c r="B1377" i="15"/>
  <c r="B1376" i="15"/>
  <c r="B1375" i="15"/>
  <c r="B1374" i="15"/>
  <c r="B1373" i="15"/>
  <c r="B1372" i="15"/>
  <c r="B1371" i="15"/>
  <c r="B1370" i="15"/>
  <c r="B1369" i="15"/>
  <c r="B1368" i="15"/>
  <c r="B1367" i="15"/>
  <c r="B1366" i="15"/>
  <c r="B1365" i="15"/>
  <c r="B1364" i="15"/>
  <c r="B1363" i="15"/>
  <c r="B1362" i="15"/>
  <c r="B1361" i="15"/>
  <c r="B1360" i="15"/>
  <c r="B1359" i="15"/>
  <c r="B1358" i="15"/>
  <c r="B1357" i="15"/>
  <c r="B1356" i="15"/>
  <c r="B1355" i="15"/>
  <c r="B1354" i="15"/>
  <c r="B1353" i="15"/>
  <c r="B1352" i="15"/>
  <c r="B1351" i="15"/>
  <c r="B1350" i="15"/>
  <c r="B1349" i="15"/>
  <c r="B1348" i="15"/>
  <c r="B1347" i="15"/>
  <c r="B1346" i="15"/>
  <c r="B1345" i="15"/>
  <c r="B1344" i="15"/>
  <c r="B1343" i="15"/>
  <c r="B1342" i="15"/>
  <c r="B1341" i="15"/>
  <c r="B1340" i="15"/>
  <c r="B1339" i="15"/>
  <c r="B1338" i="15"/>
  <c r="B1337" i="15"/>
  <c r="B1336" i="15"/>
  <c r="B1335" i="15"/>
  <c r="B1334" i="15"/>
  <c r="B1333" i="15"/>
  <c r="B1332" i="15"/>
  <c r="B1331" i="15"/>
  <c r="B1330" i="15"/>
  <c r="B1329" i="15"/>
  <c r="B1328" i="15"/>
  <c r="B1327" i="15"/>
  <c r="B1326" i="15"/>
  <c r="B1325" i="15"/>
  <c r="B1324" i="15"/>
  <c r="B1323" i="15"/>
  <c r="B1322" i="15"/>
  <c r="B1321" i="15"/>
  <c r="B1320" i="15"/>
  <c r="B1319" i="15"/>
  <c r="B1318" i="15"/>
  <c r="B1317" i="15"/>
  <c r="B1316" i="15"/>
  <c r="B1315" i="15"/>
  <c r="B1314" i="15"/>
  <c r="B1313" i="15"/>
  <c r="B1312" i="15"/>
  <c r="B1311" i="15"/>
  <c r="B1310" i="15"/>
  <c r="B1309" i="15"/>
  <c r="B1308" i="15"/>
  <c r="B1307" i="15"/>
  <c r="B1306" i="15"/>
  <c r="B1305" i="15"/>
  <c r="B1304" i="15"/>
  <c r="B1303" i="15"/>
  <c r="B1302" i="15"/>
  <c r="B1301" i="15"/>
  <c r="B1300" i="15"/>
  <c r="B1299" i="15"/>
  <c r="B1298" i="15"/>
  <c r="B1297" i="15"/>
  <c r="B1296" i="15"/>
  <c r="B1295" i="15"/>
  <c r="B1294" i="15"/>
  <c r="B1293" i="15"/>
  <c r="B1292" i="15"/>
  <c r="B1291" i="15"/>
  <c r="B1290" i="15"/>
  <c r="B1289" i="15"/>
  <c r="B1288" i="15"/>
  <c r="B1287" i="15"/>
  <c r="B1286" i="15"/>
  <c r="B1285" i="15"/>
  <c r="B1284" i="15"/>
  <c r="B1283" i="15"/>
  <c r="B1282" i="15"/>
  <c r="B1281" i="15"/>
  <c r="B1280" i="15"/>
  <c r="B1279" i="15"/>
  <c r="B1278" i="15"/>
  <c r="B1277" i="15"/>
  <c r="B1276" i="15"/>
  <c r="B1275" i="15"/>
  <c r="B1274" i="15"/>
  <c r="B1273" i="15"/>
  <c r="B1272" i="15"/>
  <c r="B1271" i="15"/>
  <c r="B1270" i="15"/>
  <c r="B1269" i="15"/>
  <c r="B1268" i="15"/>
  <c r="B1267" i="15"/>
  <c r="B1266" i="15"/>
  <c r="B1265" i="15"/>
  <c r="B1264" i="15"/>
  <c r="B1263" i="15"/>
  <c r="B1262" i="15"/>
  <c r="B1261" i="15"/>
  <c r="B1260" i="15"/>
  <c r="B1259" i="15"/>
  <c r="B1258" i="15"/>
  <c r="B1257" i="15"/>
  <c r="B1256" i="15"/>
  <c r="B1255" i="15"/>
  <c r="B1254" i="15"/>
  <c r="B1253" i="15"/>
  <c r="B1252" i="15"/>
  <c r="B1251" i="15"/>
  <c r="B1250" i="15"/>
  <c r="B1249" i="15"/>
  <c r="B1248" i="15"/>
  <c r="B1247" i="15"/>
  <c r="B1246" i="15"/>
  <c r="B1245" i="15"/>
  <c r="B1244" i="15"/>
  <c r="B1243" i="15"/>
  <c r="B1242" i="15"/>
  <c r="B1241" i="15"/>
  <c r="B1240" i="15"/>
  <c r="B1239" i="15"/>
  <c r="B1238" i="15"/>
  <c r="B1237" i="15"/>
  <c r="B1236" i="15"/>
  <c r="B1235" i="15"/>
  <c r="B1234" i="15"/>
  <c r="B1233" i="15"/>
  <c r="B1232" i="15"/>
  <c r="B1231" i="15"/>
  <c r="B1230" i="15"/>
  <c r="B1229" i="15"/>
  <c r="B1228" i="15"/>
  <c r="B1227" i="15"/>
  <c r="B1226" i="15"/>
  <c r="B1225" i="15"/>
  <c r="B1224" i="15"/>
  <c r="B1223" i="15"/>
  <c r="B1222" i="15"/>
  <c r="B1221" i="15"/>
  <c r="B1220" i="15"/>
  <c r="B1219" i="15"/>
  <c r="B1218" i="15"/>
  <c r="B1217" i="15"/>
  <c r="B1216" i="15"/>
  <c r="B1215" i="15"/>
  <c r="B1214" i="15"/>
  <c r="B1213" i="15"/>
  <c r="B1212" i="15"/>
  <c r="B1211" i="15"/>
  <c r="B1210" i="15"/>
  <c r="B1209" i="15"/>
  <c r="B1208" i="15"/>
  <c r="B1207" i="15"/>
  <c r="B1206" i="15"/>
  <c r="B1205" i="15"/>
  <c r="B1204" i="15"/>
  <c r="B1203" i="15"/>
  <c r="B1202" i="15"/>
  <c r="B1201" i="15"/>
  <c r="B1200" i="15"/>
  <c r="B1199" i="15"/>
  <c r="B1198" i="15"/>
  <c r="B1197" i="15"/>
  <c r="B1196" i="15"/>
  <c r="B1195" i="15"/>
  <c r="B1194" i="15"/>
  <c r="B1193" i="15"/>
  <c r="B1192" i="15"/>
  <c r="B1191" i="15"/>
  <c r="B1190" i="15"/>
  <c r="B1189" i="15"/>
  <c r="B1188" i="15"/>
  <c r="B1187" i="15"/>
  <c r="B1186" i="15"/>
  <c r="B1185" i="15"/>
  <c r="B1184" i="15"/>
  <c r="B1183" i="15"/>
  <c r="B1182" i="15"/>
  <c r="B1181" i="15"/>
  <c r="B1180" i="15"/>
  <c r="B1179" i="15"/>
  <c r="B1178" i="15"/>
  <c r="B1177" i="15"/>
  <c r="B1176" i="15"/>
  <c r="B1175" i="15"/>
  <c r="B1174" i="15"/>
  <c r="B1173" i="15"/>
  <c r="B1172" i="15"/>
  <c r="B1171" i="15"/>
  <c r="B1170" i="15"/>
  <c r="B1169" i="15"/>
  <c r="B1168" i="15"/>
  <c r="B1167" i="15"/>
  <c r="B1166" i="15"/>
  <c r="B1165" i="15"/>
  <c r="B1164" i="15"/>
  <c r="B1163" i="15"/>
  <c r="B1162" i="15"/>
  <c r="B1161" i="15"/>
  <c r="B1160" i="15"/>
  <c r="B1159" i="15"/>
  <c r="B1158" i="15"/>
  <c r="B1157" i="15"/>
  <c r="B1156" i="15"/>
  <c r="B1155" i="15"/>
  <c r="B1154" i="15"/>
  <c r="B1153" i="15"/>
  <c r="B1152" i="15"/>
  <c r="B1151" i="15"/>
  <c r="B1150" i="15"/>
  <c r="B1149" i="15"/>
  <c r="B1148" i="15"/>
  <c r="B1147" i="15"/>
  <c r="B1146" i="15"/>
  <c r="B1145" i="15"/>
  <c r="B1144" i="15"/>
  <c r="B1143" i="15"/>
  <c r="B1142" i="15"/>
  <c r="B1141" i="15"/>
  <c r="B1140" i="15"/>
  <c r="B1139" i="15"/>
  <c r="B1138" i="15"/>
  <c r="B1137" i="15"/>
  <c r="B1136" i="15"/>
  <c r="B1135" i="15"/>
  <c r="B1134" i="15"/>
  <c r="B1133" i="15"/>
  <c r="B1132" i="15"/>
  <c r="B1131" i="15"/>
  <c r="B1130" i="15"/>
  <c r="B1129" i="15"/>
  <c r="B1128" i="15"/>
  <c r="B1127" i="15"/>
  <c r="B1126" i="15"/>
  <c r="B1125" i="15"/>
  <c r="B1124" i="15"/>
  <c r="B1123" i="15"/>
  <c r="B1122" i="15"/>
  <c r="B1121" i="15"/>
  <c r="B1120" i="15"/>
  <c r="B1119" i="15"/>
  <c r="B1118" i="15"/>
  <c r="B1117" i="15"/>
  <c r="B1116" i="15"/>
  <c r="B1115" i="15"/>
  <c r="B1114" i="15"/>
  <c r="B1113" i="15"/>
  <c r="B1112" i="15"/>
  <c r="B1111" i="15"/>
  <c r="B1110" i="15"/>
  <c r="B1109" i="15"/>
  <c r="B1108" i="15"/>
  <c r="B1107" i="15"/>
  <c r="B1106" i="15"/>
  <c r="B1105" i="15"/>
  <c r="B1104" i="15"/>
  <c r="B1103" i="15"/>
  <c r="B1102" i="15"/>
  <c r="B1101" i="15"/>
  <c r="B1100" i="15"/>
  <c r="B1099" i="15"/>
  <c r="B1098" i="15"/>
  <c r="B1097" i="15"/>
  <c r="B1096" i="15"/>
  <c r="B1095" i="15"/>
  <c r="B1094" i="15"/>
  <c r="B1093" i="15"/>
  <c r="B1092" i="15"/>
  <c r="B1091" i="15"/>
  <c r="B1090" i="15"/>
  <c r="B1089" i="15"/>
  <c r="B1088" i="15"/>
  <c r="B1087" i="15"/>
  <c r="B1086" i="15"/>
  <c r="B1085" i="15"/>
  <c r="B1084" i="15"/>
  <c r="B1083" i="15"/>
  <c r="B1082" i="15"/>
  <c r="B1081" i="15"/>
  <c r="B1080" i="15"/>
  <c r="B1079" i="15"/>
  <c r="B1078" i="15"/>
  <c r="B1077" i="15"/>
  <c r="B1076" i="15"/>
  <c r="B1075" i="15"/>
  <c r="B1074" i="15"/>
  <c r="B1073" i="15"/>
  <c r="B1072" i="15"/>
  <c r="B1071" i="15"/>
  <c r="B1070" i="15"/>
  <c r="B1069" i="15"/>
  <c r="B1068" i="15"/>
  <c r="B1067" i="15"/>
  <c r="B1066" i="15"/>
  <c r="B1065" i="15"/>
  <c r="B1064" i="15"/>
  <c r="B1063" i="15"/>
  <c r="B1062" i="15"/>
  <c r="B1061" i="15"/>
  <c r="B1060" i="15"/>
  <c r="B1059" i="15"/>
  <c r="B1058" i="15"/>
  <c r="B1057" i="15"/>
  <c r="B1056" i="15"/>
  <c r="B1055" i="15"/>
  <c r="B1054" i="15"/>
  <c r="B1053" i="15"/>
  <c r="B1052" i="15"/>
  <c r="B1051" i="15"/>
  <c r="B1050" i="15"/>
  <c r="B1049" i="15"/>
  <c r="B1048" i="15"/>
  <c r="B1047" i="15"/>
  <c r="B1046" i="15"/>
  <c r="B1045" i="15"/>
  <c r="B1044" i="15"/>
  <c r="B1043" i="15"/>
  <c r="B1042" i="15"/>
  <c r="B1041" i="15"/>
  <c r="B1040" i="15"/>
  <c r="B1039" i="15"/>
  <c r="B1038" i="15"/>
  <c r="B1037" i="15"/>
  <c r="B1036" i="15"/>
  <c r="B1035" i="15"/>
  <c r="B1034" i="15"/>
  <c r="B1033" i="15"/>
  <c r="B1032" i="15"/>
  <c r="B1031" i="15"/>
  <c r="B1030" i="15"/>
  <c r="B1029" i="15"/>
  <c r="B1028" i="15"/>
  <c r="B1027" i="15"/>
  <c r="B1026" i="15"/>
  <c r="B1025" i="15"/>
  <c r="B1024" i="15"/>
  <c r="B1023" i="15"/>
  <c r="B1022" i="15"/>
  <c r="B1021" i="15"/>
  <c r="B1020" i="15"/>
  <c r="B1019" i="15"/>
  <c r="B1018" i="15"/>
  <c r="B1017" i="15"/>
  <c r="B1016" i="15"/>
  <c r="B1015" i="15"/>
  <c r="B1014" i="15"/>
  <c r="B1013" i="15"/>
  <c r="B1012" i="15"/>
  <c r="B1011" i="15"/>
  <c r="B1010" i="15"/>
  <c r="B1009" i="15"/>
  <c r="B1008" i="15"/>
  <c r="B1007" i="15"/>
  <c r="B1006" i="15"/>
  <c r="B1005" i="15"/>
  <c r="B1004" i="15"/>
  <c r="B1003" i="15"/>
  <c r="B1002" i="15"/>
  <c r="B1001" i="15"/>
  <c r="B1000" i="15"/>
  <c r="B999" i="15"/>
  <c r="B998" i="15"/>
  <c r="B997" i="15"/>
  <c r="B996" i="15"/>
  <c r="B995" i="15"/>
  <c r="B994" i="15"/>
  <c r="B993" i="15"/>
  <c r="B992" i="15"/>
  <c r="B991" i="15"/>
  <c r="B990" i="15"/>
  <c r="B989" i="15"/>
  <c r="B988" i="15"/>
  <c r="B987" i="15"/>
  <c r="B986" i="15"/>
  <c r="B985" i="15"/>
  <c r="B984" i="15"/>
  <c r="B983" i="15"/>
  <c r="B982" i="15"/>
  <c r="B981" i="15"/>
  <c r="B980" i="15"/>
  <c r="B979" i="15"/>
  <c r="B978" i="15"/>
  <c r="B977" i="15"/>
  <c r="B976" i="15"/>
  <c r="B975" i="15"/>
  <c r="B974" i="15"/>
  <c r="B973" i="15"/>
  <c r="B972" i="15"/>
  <c r="B971" i="15"/>
  <c r="B970" i="15"/>
  <c r="B969" i="15"/>
  <c r="B968" i="15"/>
  <c r="B967" i="15"/>
  <c r="B966" i="15"/>
  <c r="B965" i="15"/>
  <c r="B964" i="15"/>
  <c r="B963" i="15"/>
  <c r="B962" i="15"/>
  <c r="B961" i="15"/>
  <c r="B960" i="15"/>
  <c r="B959" i="15"/>
  <c r="B958" i="15"/>
  <c r="B957" i="15"/>
  <c r="B956" i="15"/>
  <c r="B955" i="15"/>
  <c r="B954" i="15"/>
  <c r="B953" i="15"/>
  <c r="B952" i="15"/>
  <c r="B951" i="15"/>
  <c r="B950" i="15"/>
  <c r="B949" i="15"/>
  <c r="B948" i="15"/>
  <c r="B947" i="15"/>
  <c r="B946" i="15"/>
  <c r="B945" i="15"/>
  <c r="B944" i="15"/>
  <c r="B943" i="15"/>
  <c r="B942" i="15"/>
  <c r="B941" i="15"/>
  <c r="B940" i="15"/>
  <c r="B939" i="15"/>
  <c r="B938" i="15"/>
  <c r="B937" i="15"/>
  <c r="B936" i="15"/>
  <c r="B935" i="15"/>
  <c r="B934" i="15"/>
  <c r="B933" i="15"/>
  <c r="B932" i="15"/>
  <c r="B931" i="15"/>
  <c r="B930" i="15"/>
  <c r="B929" i="15"/>
  <c r="B928" i="15"/>
  <c r="B927" i="15"/>
  <c r="B926" i="15"/>
  <c r="B925" i="15"/>
  <c r="B924" i="15"/>
  <c r="B923" i="15"/>
  <c r="B922" i="15"/>
  <c r="B921" i="15"/>
  <c r="B920" i="15"/>
  <c r="B919" i="15"/>
  <c r="B918" i="15"/>
  <c r="B917" i="15"/>
  <c r="B916" i="15"/>
  <c r="B915" i="15"/>
  <c r="B914" i="15"/>
  <c r="B913" i="15"/>
  <c r="B912" i="15"/>
  <c r="B911" i="15"/>
  <c r="B910" i="15"/>
  <c r="B909" i="15"/>
  <c r="B908" i="15"/>
  <c r="B907" i="15"/>
  <c r="B906" i="15"/>
  <c r="B905" i="15"/>
  <c r="B904" i="15"/>
  <c r="B903" i="15"/>
  <c r="B902" i="15"/>
  <c r="B901" i="15"/>
  <c r="B900" i="15"/>
  <c r="B899" i="15"/>
  <c r="B898" i="15"/>
  <c r="B897" i="15"/>
  <c r="B896" i="15"/>
  <c r="B895" i="15"/>
  <c r="B894" i="15"/>
  <c r="B893" i="15"/>
  <c r="B892" i="15"/>
  <c r="B891" i="15"/>
  <c r="B890" i="15"/>
  <c r="B889" i="15"/>
  <c r="B888" i="15"/>
  <c r="B887" i="15"/>
  <c r="B886" i="15"/>
  <c r="B885" i="15"/>
  <c r="B884" i="15"/>
  <c r="B883" i="15"/>
  <c r="B882" i="15"/>
  <c r="B881" i="15"/>
  <c r="B880" i="15"/>
  <c r="B879" i="15"/>
  <c r="B878" i="15"/>
  <c r="B877" i="15"/>
  <c r="B876" i="15"/>
  <c r="B875" i="15"/>
  <c r="B874" i="15"/>
  <c r="B873" i="15"/>
  <c r="B872" i="15"/>
  <c r="B871" i="15"/>
  <c r="B870" i="15"/>
  <c r="B869" i="15"/>
  <c r="B868" i="15"/>
  <c r="B867" i="15"/>
  <c r="B866" i="15"/>
  <c r="B865" i="15"/>
  <c r="B864" i="15"/>
  <c r="B863" i="15"/>
  <c r="B862" i="15"/>
  <c r="B861" i="15"/>
  <c r="B860" i="15"/>
  <c r="B859" i="15"/>
  <c r="B858" i="15"/>
  <c r="B857" i="15"/>
  <c r="B856" i="15"/>
  <c r="B855" i="15"/>
  <c r="B854" i="15"/>
  <c r="B853" i="15"/>
  <c r="B852" i="15"/>
  <c r="B851" i="15"/>
  <c r="B850" i="15"/>
  <c r="B849" i="15"/>
  <c r="B848" i="15"/>
  <c r="B847" i="15"/>
  <c r="B846" i="15"/>
  <c r="B845" i="15"/>
  <c r="B844" i="15"/>
  <c r="B843" i="15"/>
  <c r="B842" i="15"/>
  <c r="B841" i="15"/>
  <c r="B840" i="15"/>
  <c r="B839" i="15"/>
  <c r="B838" i="15"/>
  <c r="B837" i="15"/>
  <c r="B836" i="15"/>
  <c r="B835" i="15"/>
  <c r="B834" i="15"/>
  <c r="B833" i="15"/>
  <c r="B832" i="15"/>
  <c r="B831" i="15"/>
  <c r="B830" i="15"/>
  <c r="B829" i="15"/>
  <c r="B828" i="15"/>
  <c r="B827" i="15"/>
  <c r="B826" i="15"/>
  <c r="B825" i="15"/>
  <c r="B824" i="15"/>
  <c r="B823" i="15"/>
  <c r="B822" i="15"/>
  <c r="B821" i="15"/>
  <c r="B820" i="15"/>
  <c r="B819" i="15"/>
  <c r="B818" i="15"/>
  <c r="B817" i="15"/>
  <c r="B816" i="15"/>
  <c r="B815" i="15"/>
  <c r="B814" i="15"/>
  <c r="B813" i="15"/>
  <c r="B812" i="15"/>
  <c r="B811" i="15"/>
  <c r="B810" i="15"/>
  <c r="B809" i="15"/>
  <c r="B808" i="15"/>
  <c r="B807" i="15"/>
  <c r="B806" i="15"/>
  <c r="B805" i="15"/>
  <c r="B804" i="15"/>
  <c r="B803" i="15"/>
  <c r="B802" i="15"/>
  <c r="B801" i="15"/>
  <c r="B800" i="15"/>
  <c r="B799" i="15"/>
  <c r="B798" i="15"/>
  <c r="B797" i="15"/>
  <c r="B796" i="15"/>
  <c r="B795" i="15"/>
  <c r="B794" i="15"/>
  <c r="B793" i="15"/>
  <c r="B792" i="15"/>
  <c r="B791" i="15"/>
  <c r="B790" i="15"/>
  <c r="B789" i="15"/>
  <c r="B788" i="15"/>
  <c r="B787" i="15"/>
  <c r="B786" i="15"/>
  <c r="B785" i="15"/>
  <c r="B784" i="15"/>
  <c r="B783" i="15"/>
  <c r="B782" i="15"/>
  <c r="B781" i="15"/>
  <c r="B780" i="15"/>
  <c r="B779" i="15"/>
  <c r="B778" i="15"/>
  <c r="B777" i="15"/>
  <c r="B776" i="15"/>
  <c r="B775" i="15"/>
  <c r="B774" i="15"/>
  <c r="B773" i="15"/>
  <c r="B772" i="15"/>
  <c r="B771" i="15"/>
  <c r="B770" i="15"/>
  <c r="B769" i="15"/>
  <c r="B768" i="15"/>
  <c r="B767" i="15"/>
  <c r="B766" i="15"/>
  <c r="B765" i="15"/>
  <c r="B764" i="15"/>
  <c r="B763" i="15"/>
  <c r="B762" i="15"/>
  <c r="B761" i="15"/>
  <c r="B760" i="15"/>
  <c r="B759" i="15"/>
  <c r="B758" i="15"/>
  <c r="B757" i="15"/>
  <c r="B756" i="15"/>
  <c r="B755" i="15"/>
  <c r="B754" i="15"/>
  <c r="B753" i="15"/>
  <c r="B752" i="15"/>
  <c r="B751" i="15"/>
  <c r="B750" i="15"/>
  <c r="B749" i="15"/>
  <c r="B748" i="15"/>
  <c r="B747" i="15"/>
  <c r="B746" i="15"/>
  <c r="B745" i="15"/>
  <c r="B744" i="15"/>
  <c r="B743" i="15"/>
  <c r="B742" i="15"/>
  <c r="B741" i="15"/>
  <c r="B740" i="15"/>
  <c r="B739" i="15"/>
  <c r="B738" i="15"/>
  <c r="B737" i="15"/>
  <c r="B736" i="15"/>
  <c r="B735" i="15"/>
  <c r="B734" i="15"/>
  <c r="B733" i="15"/>
  <c r="B732" i="15"/>
  <c r="B731" i="15"/>
  <c r="B730" i="15"/>
  <c r="B729" i="15"/>
  <c r="B728" i="15"/>
  <c r="B727" i="15"/>
  <c r="B726" i="15"/>
  <c r="B725" i="15"/>
  <c r="B724" i="15"/>
  <c r="B723" i="15"/>
  <c r="B722" i="15"/>
  <c r="B721" i="15"/>
  <c r="B720" i="15"/>
  <c r="B719" i="15"/>
  <c r="B718" i="15"/>
  <c r="B717" i="15"/>
  <c r="B716" i="15"/>
  <c r="B715" i="15"/>
  <c r="B714" i="15"/>
  <c r="B713" i="15"/>
  <c r="B712" i="15"/>
  <c r="B711" i="15"/>
  <c r="B710" i="15"/>
  <c r="B709" i="15"/>
  <c r="B708" i="15"/>
  <c r="B707" i="15"/>
  <c r="B706" i="15"/>
  <c r="B705" i="15"/>
  <c r="B704" i="15"/>
  <c r="B703" i="15"/>
  <c r="B702" i="15"/>
  <c r="B701" i="15"/>
  <c r="B700" i="15"/>
  <c r="B699" i="15"/>
  <c r="B698" i="15"/>
  <c r="B697" i="15"/>
  <c r="B696" i="15"/>
  <c r="B695" i="15"/>
  <c r="B694" i="15"/>
  <c r="B693" i="15"/>
  <c r="B692" i="15"/>
  <c r="B691" i="15"/>
  <c r="B690" i="15"/>
  <c r="B689" i="15"/>
  <c r="B688" i="15"/>
  <c r="B687" i="15"/>
  <c r="B686" i="15"/>
  <c r="B685" i="15"/>
  <c r="B684" i="15"/>
  <c r="B683" i="15"/>
  <c r="B682" i="15"/>
  <c r="B681" i="15"/>
  <c r="B680" i="15"/>
  <c r="B679" i="15"/>
  <c r="B678" i="15"/>
  <c r="B677" i="15"/>
  <c r="B676" i="15"/>
  <c r="B675" i="15"/>
  <c r="B674" i="15"/>
  <c r="B673" i="15"/>
  <c r="B672" i="15"/>
  <c r="B671" i="15"/>
  <c r="B670" i="15"/>
  <c r="B669" i="15"/>
  <c r="B668" i="15"/>
  <c r="B667" i="15"/>
  <c r="B666" i="15"/>
  <c r="B665" i="15"/>
  <c r="B664" i="15"/>
  <c r="B663" i="15"/>
  <c r="B662" i="15"/>
  <c r="B661" i="15"/>
  <c r="B660" i="15"/>
  <c r="B659" i="15"/>
  <c r="B658" i="15"/>
  <c r="B657" i="15"/>
  <c r="B656" i="15"/>
  <c r="B655" i="15"/>
  <c r="B654" i="15"/>
  <c r="B653" i="15"/>
  <c r="B652" i="15"/>
  <c r="B651" i="15"/>
  <c r="B650" i="15"/>
  <c r="B649" i="15"/>
  <c r="B648" i="15"/>
  <c r="B647" i="15"/>
  <c r="B646" i="15"/>
  <c r="B645" i="15"/>
  <c r="B644" i="15"/>
  <c r="B643" i="15"/>
  <c r="B642" i="15"/>
  <c r="B641" i="15"/>
  <c r="B640" i="15"/>
  <c r="B639" i="15"/>
  <c r="B638" i="15"/>
  <c r="B637" i="15"/>
  <c r="B636" i="15"/>
  <c r="B635" i="15"/>
  <c r="B634" i="15"/>
  <c r="B633" i="15"/>
  <c r="B632" i="15"/>
  <c r="B631" i="15"/>
  <c r="B630" i="15"/>
  <c r="B629" i="15"/>
  <c r="B628" i="15"/>
  <c r="B627" i="15"/>
  <c r="B626" i="15"/>
  <c r="B625" i="15"/>
  <c r="B624" i="15"/>
  <c r="B623" i="15"/>
  <c r="B622" i="15"/>
  <c r="B621" i="15"/>
  <c r="B620" i="15"/>
  <c r="B619" i="15"/>
  <c r="B618" i="15"/>
  <c r="B617" i="15"/>
  <c r="B616" i="15"/>
  <c r="B615" i="15"/>
  <c r="B614" i="15"/>
  <c r="B613" i="15"/>
  <c r="B612" i="15"/>
  <c r="B611" i="15"/>
  <c r="B610" i="15"/>
  <c r="B609" i="15"/>
  <c r="B608" i="15"/>
  <c r="B607" i="15"/>
  <c r="B606" i="15"/>
  <c r="B605" i="15"/>
  <c r="B604" i="15"/>
  <c r="B603" i="15"/>
  <c r="B602" i="15"/>
  <c r="B601" i="15"/>
  <c r="B600" i="15"/>
  <c r="B599" i="15"/>
  <c r="B598" i="15"/>
  <c r="B597" i="15"/>
  <c r="B596" i="15"/>
  <c r="B595" i="15"/>
  <c r="B594" i="15"/>
  <c r="B593" i="15"/>
  <c r="B592" i="15"/>
  <c r="B591" i="15"/>
  <c r="B590" i="15"/>
  <c r="B589" i="15"/>
  <c r="B588" i="15"/>
  <c r="B587" i="15"/>
  <c r="B586" i="15"/>
  <c r="B585" i="15"/>
  <c r="B584" i="15"/>
  <c r="B583" i="15"/>
  <c r="B582" i="15"/>
  <c r="B581" i="15"/>
  <c r="B580" i="15"/>
  <c r="B579" i="15"/>
  <c r="B578" i="15"/>
  <c r="B577" i="15"/>
  <c r="B576" i="15"/>
  <c r="B575" i="15"/>
  <c r="B574" i="15"/>
  <c r="B573" i="15"/>
  <c r="B572" i="15"/>
  <c r="B571" i="15"/>
  <c r="B570" i="15"/>
  <c r="B569" i="15"/>
  <c r="B568" i="15"/>
  <c r="B567" i="15"/>
  <c r="B566" i="15"/>
  <c r="B565" i="15"/>
  <c r="B564" i="15"/>
  <c r="B563" i="15"/>
  <c r="B562" i="15"/>
  <c r="B561" i="15"/>
  <c r="B560" i="15"/>
  <c r="B559" i="15"/>
  <c r="B558" i="15"/>
  <c r="B557" i="15"/>
  <c r="B556" i="15"/>
  <c r="B555" i="15"/>
  <c r="B554" i="15"/>
  <c r="B553" i="15"/>
  <c r="B552" i="15"/>
  <c r="B551" i="15"/>
  <c r="B550" i="15"/>
  <c r="B549" i="15"/>
  <c r="B548" i="15"/>
  <c r="B547" i="15"/>
  <c r="B546" i="15"/>
  <c r="B545" i="15"/>
  <c r="B544" i="15"/>
  <c r="B543" i="15"/>
  <c r="B542" i="15"/>
  <c r="B541" i="15"/>
  <c r="B540" i="15"/>
  <c r="B539" i="15"/>
  <c r="B538" i="15"/>
  <c r="B537" i="15"/>
  <c r="B536" i="15"/>
  <c r="B535" i="15"/>
  <c r="B534" i="15"/>
  <c r="B533" i="15"/>
  <c r="B532" i="15"/>
  <c r="B531" i="15"/>
  <c r="B530" i="15"/>
  <c r="B529" i="15"/>
  <c r="B528" i="15"/>
  <c r="B527" i="15"/>
  <c r="B526" i="15"/>
  <c r="B525" i="15"/>
  <c r="B524" i="15"/>
  <c r="B523" i="15"/>
  <c r="B522" i="15"/>
  <c r="B521" i="15"/>
  <c r="B520" i="15"/>
  <c r="B519" i="15"/>
  <c r="B518" i="15"/>
  <c r="B517" i="15"/>
  <c r="B516" i="15"/>
  <c r="B515" i="15"/>
  <c r="B514" i="15"/>
  <c r="B513" i="15"/>
  <c r="B512" i="15"/>
  <c r="B511" i="15"/>
  <c r="B510" i="15"/>
  <c r="B509" i="15"/>
  <c r="B508" i="15"/>
  <c r="B507" i="15"/>
  <c r="B506" i="15"/>
  <c r="B505" i="15"/>
  <c r="B504" i="15"/>
  <c r="B503" i="15"/>
  <c r="B502" i="15"/>
  <c r="B501" i="15"/>
  <c r="H500" i="15"/>
  <c r="B500" i="15"/>
  <c r="H499" i="15"/>
  <c r="B499" i="15"/>
  <c r="H498" i="15"/>
  <c r="B498" i="15"/>
  <c r="H497" i="15"/>
  <c r="B497" i="15"/>
  <c r="H496" i="15"/>
  <c r="B496" i="15"/>
  <c r="H495" i="15"/>
  <c r="B495" i="15"/>
  <c r="H494" i="15"/>
  <c r="B494" i="15"/>
  <c r="H493" i="15"/>
  <c r="B493" i="15"/>
  <c r="H492" i="15"/>
  <c r="B492" i="15"/>
  <c r="H491" i="15"/>
  <c r="B491" i="15"/>
  <c r="H490" i="15"/>
  <c r="B490" i="15"/>
  <c r="H489" i="15"/>
  <c r="B489" i="15"/>
  <c r="H488" i="15"/>
  <c r="B488" i="15"/>
  <c r="H487" i="15"/>
  <c r="B487" i="15"/>
  <c r="H486" i="15"/>
  <c r="B486" i="15"/>
  <c r="H485" i="15"/>
  <c r="B485" i="15"/>
  <c r="H484" i="15"/>
  <c r="B484" i="15"/>
  <c r="H483" i="15"/>
  <c r="B483" i="15"/>
  <c r="H482" i="15"/>
  <c r="B482" i="15"/>
  <c r="H481" i="15"/>
  <c r="B481" i="15"/>
  <c r="H480" i="15"/>
  <c r="B480" i="15"/>
  <c r="H479" i="15"/>
  <c r="B479" i="15"/>
  <c r="H478" i="15"/>
  <c r="B478" i="15"/>
  <c r="H477" i="15"/>
  <c r="B477" i="15"/>
  <c r="H476" i="15"/>
  <c r="B476" i="15"/>
  <c r="H475" i="15"/>
  <c r="B475" i="15"/>
  <c r="H474" i="15"/>
  <c r="B474" i="15"/>
  <c r="H473" i="15"/>
  <c r="B473" i="15"/>
  <c r="H472" i="15"/>
  <c r="B472" i="15"/>
  <c r="H471" i="15"/>
  <c r="B471" i="15"/>
  <c r="H470" i="15"/>
  <c r="B470" i="15"/>
  <c r="H469" i="15"/>
  <c r="B469" i="15"/>
  <c r="H468" i="15"/>
  <c r="B468" i="15"/>
  <c r="H467" i="15"/>
  <c r="B467" i="15"/>
  <c r="H466" i="15"/>
  <c r="B466" i="15"/>
  <c r="H465" i="15"/>
  <c r="B465" i="15"/>
  <c r="H464" i="15"/>
  <c r="B464" i="15"/>
  <c r="H463" i="15"/>
  <c r="B463" i="15"/>
  <c r="H462" i="15"/>
  <c r="B462" i="15"/>
  <c r="H461" i="15"/>
  <c r="B461" i="15"/>
  <c r="H460" i="15"/>
  <c r="B460" i="15"/>
  <c r="H459" i="15"/>
  <c r="B459" i="15"/>
  <c r="H458" i="15"/>
  <c r="B458" i="15"/>
  <c r="H457" i="15"/>
  <c r="B457" i="15"/>
  <c r="H456" i="15"/>
  <c r="B456" i="15"/>
  <c r="H455" i="15"/>
  <c r="B455" i="15"/>
  <c r="H454" i="15"/>
  <c r="B454" i="15"/>
  <c r="H453" i="15"/>
  <c r="B453" i="15"/>
  <c r="H452" i="15"/>
  <c r="B452" i="15"/>
  <c r="H451" i="15"/>
  <c r="B451" i="15"/>
  <c r="H450" i="15"/>
  <c r="B450" i="15"/>
  <c r="H449" i="15"/>
  <c r="B449" i="15"/>
  <c r="H448" i="15"/>
  <c r="B448" i="15"/>
  <c r="H447" i="15"/>
  <c r="B447" i="15"/>
  <c r="H446" i="15"/>
  <c r="B446" i="15"/>
  <c r="H445" i="15"/>
  <c r="B445" i="15"/>
  <c r="H444" i="15"/>
  <c r="B444" i="15"/>
  <c r="H443" i="15"/>
  <c r="B443" i="15"/>
  <c r="H442" i="15"/>
  <c r="B442" i="15"/>
  <c r="H441" i="15"/>
  <c r="B441" i="15"/>
  <c r="H440" i="15"/>
  <c r="B440" i="15"/>
  <c r="H439" i="15"/>
  <c r="B439" i="15"/>
  <c r="H438" i="15"/>
  <c r="B438" i="15"/>
  <c r="H437" i="15"/>
  <c r="B437" i="15"/>
  <c r="H436" i="15"/>
  <c r="B436" i="15"/>
  <c r="H435" i="15"/>
  <c r="B435" i="15"/>
  <c r="H434" i="15"/>
  <c r="B434" i="15"/>
  <c r="H433" i="15"/>
  <c r="B433" i="15"/>
  <c r="H432" i="15"/>
  <c r="B432" i="15"/>
  <c r="H431" i="15"/>
  <c r="B431" i="15"/>
  <c r="H430" i="15"/>
  <c r="B430" i="15"/>
  <c r="H429" i="15"/>
  <c r="B429" i="15"/>
  <c r="H428" i="15"/>
  <c r="B428" i="15"/>
  <c r="H427" i="15"/>
  <c r="B427" i="15"/>
  <c r="H426" i="15"/>
  <c r="B426" i="15"/>
  <c r="H425" i="15"/>
  <c r="B425" i="15"/>
  <c r="H424" i="15"/>
  <c r="B424" i="15"/>
  <c r="H423" i="15"/>
  <c r="B423" i="15"/>
  <c r="H422" i="15"/>
  <c r="B422" i="15"/>
  <c r="H421" i="15"/>
  <c r="B421" i="15"/>
  <c r="H420" i="15"/>
  <c r="B420" i="15"/>
  <c r="H419" i="15"/>
  <c r="B419" i="15"/>
  <c r="H418" i="15"/>
  <c r="B418" i="15"/>
  <c r="H417" i="15"/>
  <c r="B417" i="15"/>
  <c r="H416" i="15"/>
  <c r="B416" i="15"/>
  <c r="H415" i="15"/>
  <c r="B415" i="15"/>
  <c r="H414" i="15"/>
  <c r="B414" i="15"/>
  <c r="H413" i="15"/>
  <c r="B413" i="15"/>
  <c r="H412" i="15"/>
  <c r="B412" i="15"/>
  <c r="H411" i="15"/>
  <c r="B411" i="15"/>
  <c r="H410" i="15"/>
  <c r="B410" i="15"/>
  <c r="H409" i="15"/>
  <c r="B409" i="15"/>
  <c r="H408" i="15"/>
  <c r="B408" i="15"/>
  <c r="H407" i="15"/>
  <c r="B407" i="15"/>
  <c r="H406" i="15"/>
  <c r="B406" i="15"/>
  <c r="H405" i="15"/>
  <c r="B405" i="15"/>
  <c r="H404" i="15"/>
  <c r="B404" i="15"/>
  <c r="H403" i="15"/>
  <c r="B403" i="15"/>
  <c r="H402" i="15"/>
  <c r="B402" i="15"/>
  <c r="H401" i="15"/>
  <c r="B401" i="15"/>
  <c r="H400" i="15"/>
  <c r="B400" i="15"/>
  <c r="H399" i="15"/>
  <c r="B399" i="15"/>
  <c r="H398" i="15"/>
  <c r="B398" i="15"/>
  <c r="H397" i="15"/>
  <c r="B397" i="15"/>
  <c r="H396" i="15"/>
  <c r="B396" i="15"/>
  <c r="H395" i="15"/>
  <c r="B395" i="15"/>
  <c r="H394" i="15"/>
  <c r="B394" i="15"/>
  <c r="H393" i="15"/>
  <c r="B393" i="15"/>
  <c r="H392" i="15"/>
  <c r="B392" i="15"/>
  <c r="H391" i="15"/>
  <c r="B391" i="15"/>
  <c r="H390" i="15"/>
  <c r="B390" i="15"/>
  <c r="H389" i="15"/>
  <c r="B389" i="15"/>
  <c r="H388" i="15"/>
  <c r="B388" i="15"/>
  <c r="H387" i="15"/>
  <c r="B387" i="15"/>
  <c r="H386" i="15"/>
  <c r="B386" i="15"/>
  <c r="H385" i="15"/>
  <c r="B385" i="15"/>
  <c r="H384" i="15"/>
  <c r="B384" i="15"/>
  <c r="H383" i="15"/>
  <c r="B383" i="15"/>
  <c r="H382" i="15"/>
  <c r="B382" i="15"/>
  <c r="H381" i="15"/>
  <c r="B381" i="15"/>
  <c r="H380" i="15"/>
  <c r="B380" i="15"/>
  <c r="H379" i="15"/>
  <c r="B379" i="15"/>
  <c r="H378" i="15"/>
  <c r="B378" i="15"/>
  <c r="H377" i="15"/>
  <c r="B377" i="15"/>
  <c r="H376" i="15"/>
  <c r="B376" i="15"/>
  <c r="H375" i="15"/>
  <c r="B375" i="15"/>
  <c r="H374" i="15"/>
  <c r="B374" i="15"/>
  <c r="H373" i="15"/>
  <c r="B373" i="15"/>
  <c r="H372" i="15"/>
  <c r="B372" i="15"/>
  <c r="H371" i="15"/>
  <c r="B371" i="15"/>
  <c r="H370" i="15"/>
  <c r="B370" i="15"/>
  <c r="H369" i="15"/>
  <c r="B369" i="15"/>
  <c r="H368" i="15"/>
  <c r="B368" i="15"/>
  <c r="H367" i="15"/>
  <c r="B367" i="15"/>
  <c r="H366" i="15"/>
  <c r="B366" i="15"/>
  <c r="H365" i="15"/>
  <c r="B365" i="15"/>
  <c r="H364" i="15"/>
  <c r="B364" i="15"/>
  <c r="H363" i="15"/>
  <c r="B363" i="15"/>
  <c r="H362" i="15"/>
  <c r="B362" i="15"/>
  <c r="H361" i="15"/>
  <c r="B361" i="15"/>
  <c r="H360" i="15"/>
  <c r="B360" i="15"/>
  <c r="H359" i="15"/>
  <c r="B359" i="15"/>
  <c r="H358" i="15"/>
  <c r="B358" i="15"/>
  <c r="H357" i="15"/>
  <c r="B357" i="15"/>
  <c r="H356" i="15"/>
  <c r="B356" i="15"/>
  <c r="H355" i="15"/>
  <c r="B355" i="15"/>
  <c r="H354" i="15"/>
  <c r="B354" i="15"/>
  <c r="H353" i="15"/>
  <c r="B353" i="15"/>
  <c r="H352" i="15"/>
  <c r="B352" i="15"/>
  <c r="H351" i="15"/>
  <c r="B351" i="15"/>
  <c r="H350" i="15"/>
  <c r="B350" i="15"/>
  <c r="H349" i="15"/>
  <c r="B349" i="15"/>
  <c r="H348" i="15"/>
  <c r="B348" i="15"/>
  <c r="H347" i="15"/>
  <c r="B347" i="15"/>
  <c r="H346" i="15"/>
  <c r="B346" i="15"/>
  <c r="H345" i="15"/>
  <c r="B345" i="15"/>
  <c r="H344" i="15"/>
  <c r="B344" i="15"/>
  <c r="H343" i="15"/>
  <c r="B343" i="15"/>
  <c r="H342" i="15"/>
  <c r="B342" i="15"/>
  <c r="H341" i="15"/>
  <c r="B341" i="15"/>
  <c r="H340" i="15"/>
  <c r="B340" i="15"/>
  <c r="H339" i="15"/>
  <c r="B339" i="15"/>
  <c r="H338" i="15"/>
  <c r="B338" i="15"/>
  <c r="H337" i="15"/>
  <c r="B337" i="15"/>
  <c r="H336" i="15"/>
  <c r="B336" i="15"/>
  <c r="H335" i="15"/>
  <c r="B335" i="15"/>
  <c r="H334" i="15"/>
  <c r="B334" i="15"/>
  <c r="H333" i="15"/>
  <c r="B333" i="15"/>
  <c r="H332" i="15"/>
  <c r="B332" i="15"/>
  <c r="H331" i="15"/>
  <c r="B331" i="15"/>
  <c r="H330" i="15"/>
  <c r="B330" i="15"/>
  <c r="H329" i="15"/>
  <c r="B329" i="15"/>
  <c r="H328" i="15"/>
  <c r="B328" i="15"/>
  <c r="H327" i="15"/>
  <c r="B327" i="15"/>
  <c r="H326" i="15"/>
  <c r="B326" i="15"/>
  <c r="H325" i="15"/>
  <c r="B325" i="15"/>
  <c r="H324" i="15"/>
  <c r="B324" i="15"/>
  <c r="H323" i="15"/>
  <c r="B323" i="15"/>
  <c r="H322" i="15"/>
  <c r="B322" i="15"/>
  <c r="H321" i="15"/>
  <c r="B321" i="15"/>
  <c r="H320" i="15"/>
  <c r="B320" i="15"/>
  <c r="H319" i="15"/>
  <c r="B319" i="15"/>
  <c r="H318" i="15"/>
  <c r="B318" i="15"/>
  <c r="H317" i="15"/>
  <c r="B317" i="15"/>
  <c r="H316" i="15"/>
  <c r="B316" i="15"/>
  <c r="H315" i="15"/>
  <c r="B315" i="15"/>
  <c r="H314" i="15"/>
  <c r="B314" i="15"/>
  <c r="H313" i="15"/>
  <c r="B313" i="15"/>
  <c r="H312" i="15"/>
  <c r="B312" i="15"/>
  <c r="H311" i="15"/>
  <c r="B311" i="15"/>
  <c r="H310" i="15"/>
  <c r="B310" i="15"/>
  <c r="H309" i="15"/>
  <c r="B309" i="15"/>
  <c r="H308" i="15"/>
  <c r="B308" i="15"/>
  <c r="H307" i="15"/>
  <c r="B307" i="15"/>
  <c r="H306" i="15"/>
  <c r="B306" i="15"/>
  <c r="H305" i="15"/>
  <c r="B305" i="15"/>
  <c r="H304" i="15"/>
  <c r="B304" i="15"/>
  <c r="H303" i="15"/>
  <c r="B303" i="15"/>
  <c r="H302" i="15"/>
  <c r="B302" i="15"/>
  <c r="H301" i="15"/>
  <c r="B301" i="15"/>
  <c r="H300" i="15"/>
  <c r="B300" i="15"/>
  <c r="H299" i="15"/>
  <c r="B299" i="15"/>
  <c r="H298" i="15"/>
  <c r="B298" i="15"/>
  <c r="H297" i="15"/>
  <c r="B297" i="15"/>
  <c r="H296" i="15"/>
  <c r="B296" i="15"/>
  <c r="H295" i="15"/>
  <c r="B295" i="15"/>
  <c r="H294" i="15"/>
  <c r="B294" i="15"/>
  <c r="H293" i="15"/>
  <c r="B293" i="15"/>
  <c r="H292" i="15"/>
  <c r="B292" i="15"/>
  <c r="H291" i="15"/>
  <c r="B291" i="15"/>
  <c r="H290" i="15"/>
  <c r="B290" i="15"/>
  <c r="H289" i="15"/>
  <c r="B289" i="15"/>
  <c r="H288" i="15"/>
  <c r="B288" i="15"/>
  <c r="H287" i="15"/>
  <c r="B287" i="15"/>
  <c r="H286" i="15"/>
  <c r="B286" i="15"/>
  <c r="H285" i="15"/>
  <c r="B285" i="15"/>
  <c r="H284" i="15"/>
  <c r="B284" i="15"/>
  <c r="H283" i="15"/>
  <c r="B283" i="15"/>
  <c r="H282" i="15"/>
  <c r="B282" i="15"/>
  <c r="H281" i="15"/>
  <c r="B281" i="15"/>
  <c r="H280" i="15"/>
  <c r="B280" i="15"/>
  <c r="H279" i="15"/>
  <c r="B279" i="15"/>
  <c r="H278" i="15"/>
  <c r="B278" i="15"/>
  <c r="H277" i="15"/>
  <c r="B277" i="15"/>
  <c r="H276" i="15"/>
  <c r="B276" i="15"/>
  <c r="H275" i="15"/>
  <c r="B275" i="15"/>
  <c r="H274" i="15"/>
  <c r="B274" i="15"/>
  <c r="H273" i="15"/>
  <c r="B273" i="15"/>
  <c r="H272" i="15"/>
  <c r="B272" i="15"/>
  <c r="H271" i="15"/>
  <c r="B271" i="15"/>
  <c r="H270" i="15"/>
  <c r="B270" i="15"/>
  <c r="H269" i="15"/>
  <c r="B269" i="15"/>
  <c r="H268" i="15"/>
  <c r="B268" i="15"/>
  <c r="H267" i="15"/>
  <c r="B267" i="15"/>
  <c r="H266" i="15"/>
  <c r="B266" i="15"/>
  <c r="H265" i="15"/>
  <c r="B265" i="15"/>
  <c r="H264" i="15"/>
  <c r="B264" i="15"/>
  <c r="H263" i="15"/>
  <c r="B263" i="15"/>
  <c r="H262" i="15"/>
  <c r="B262" i="15"/>
  <c r="H261" i="15"/>
  <c r="B261" i="15"/>
  <c r="H260" i="15"/>
  <c r="B260" i="15"/>
  <c r="H259" i="15"/>
  <c r="B259" i="15"/>
  <c r="H258" i="15"/>
  <c r="B258" i="15"/>
  <c r="H257" i="15"/>
  <c r="B257" i="15"/>
  <c r="H256" i="15"/>
  <c r="B256" i="15"/>
  <c r="H255" i="15"/>
  <c r="B255" i="15"/>
  <c r="H254" i="15"/>
  <c r="B254" i="15"/>
  <c r="H253" i="15"/>
  <c r="B253" i="15"/>
  <c r="H252" i="15"/>
  <c r="B252" i="15"/>
  <c r="H251" i="15"/>
  <c r="B251" i="15"/>
  <c r="H250" i="15"/>
  <c r="B250" i="15"/>
  <c r="H249" i="15"/>
  <c r="B249" i="15"/>
  <c r="H248" i="15"/>
  <c r="B248" i="15"/>
  <c r="H247" i="15"/>
  <c r="B247" i="15"/>
  <c r="H246" i="15"/>
  <c r="B246" i="15"/>
  <c r="H245" i="15"/>
  <c r="B245" i="15"/>
  <c r="H244" i="15"/>
  <c r="B244" i="15"/>
  <c r="H243" i="15"/>
  <c r="B243" i="15"/>
  <c r="H242" i="15"/>
  <c r="B242" i="15"/>
  <c r="H241" i="15"/>
  <c r="B241" i="15"/>
  <c r="H240" i="15"/>
  <c r="B240" i="15"/>
  <c r="H239" i="15"/>
  <c r="B239" i="15"/>
  <c r="H238" i="15"/>
  <c r="B238" i="15"/>
  <c r="H237" i="15"/>
  <c r="B237" i="15"/>
  <c r="H236" i="15"/>
  <c r="B236" i="15"/>
  <c r="H235" i="15"/>
  <c r="B235" i="15"/>
  <c r="H234" i="15"/>
  <c r="B234" i="15"/>
  <c r="H233" i="15"/>
  <c r="B233" i="15"/>
  <c r="H232" i="15"/>
  <c r="B232" i="15"/>
  <c r="H231" i="15"/>
  <c r="B231" i="15"/>
  <c r="H230" i="15"/>
  <c r="B230" i="15"/>
  <c r="H229" i="15"/>
  <c r="B229" i="15"/>
  <c r="H228" i="15"/>
  <c r="B228" i="15"/>
  <c r="H227" i="15"/>
  <c r="B227" i="15"/>
  <c r="H226" i="15"/>
  <c r="B226" i="15"/>
  <c r="H225" i="15"/>
  <c r="B225" i="15"/>
  <c r="H224" i="15"/>
  <c r="B224" i="15"/>
  <c r="H223" i="15"/>
  <c r="B223" i="15"/>
  <c r="H222" i="15"/>
  <c r="B222" i="15"/>
  <c r="H221" i="15"/>
  <c r="B221" i="15"/>
  <c r="H220" i="15"/>
  <c r="B220" i="15"/>
  <c r="H219" i="15"/>
  <c r="B219" i="15"/>
  <c r="H218" i="15"/>
  <c r="B218" i="15"/>
  <c r="H217" i="15"/>
  <c r="B217" i="15"/>
  <c r="H216" i="15"/>
  <c r="B216" i="15"/>
  <c r="H215" i="15"/>
  <c r="B215" i="15"/>
  <c r="H214" i="15"/>
  <c r="B214" i="15"/>
  <c r="H213" i="15"/>
  <c r="B213" i="15"/>
  <c r="H212" i="15"/>
  <c r="B212" i="15"/>
  <c r="H211" i="15"/>
  <c r="B211" i="15"/>
  <c r="H210" i="15"/>
  <c r="B210" i="15"/>
  <c r="H209" i="15"/>
  <c r="B209" i="15"/>
  <c r="H208" i="15"/>
  <c r="B208" i="15"/>
  <c r="H207" i="15"/>
  <c r="B207" i="15"/>
  <c r="H206" i="15"/>
  <c r="B206" i="15"/>
  <c r="H205" i="15"/>
  <c r="B205" i="15"/>
  <c r="H204" i="15"/>
  <c r="B204" i="15"/>
  <c r="H203" i="15"/>
  <c r="B203" i="15"/>
  <c r="H202" i="15"/>
  <c r="B202" i="15"/>
  <c r="H201" i="15"/>
  <c r="B201" i="15"/>
  <c r="H200" i="15"/>
  <c r="B200" i="15"/>
  <c r="H199" i="15"/>
  <c r="B199" i="15"/>
  <c r="H198" i="15"/>
  <c r="B198" i="15"/>
  <c r="H197" i="15"/>
  <c r="B197" i="15"/>
  <c r="H196" i="15"/>
  <c r="B196" i="15"/>
  <c r="H195" i="15"/>
  <c r="B195" i="15"/>
  <c r="H194" i="15"/>
  <c r="B194" i="15"/>
  <c r="H193" i="15"/>
  <c r="B193" i="15"/>
  <c r="H192" i="15"/>
  <c r="B192" i="15"/>
  <c r="H191" i="15"/>
  <c r="B191" i="15"/>
  <c r="H190" i="15"/>
  <c r="B190" i="15"/>
  <c r="H189" i="15"/>
  <c r="B189" i="15"/>
  <c r="H188" i="15"/>
  <c r="B188" i="15"/>
  <c r="H187" i="15"/>
  <c r="B187" i="15"/>
  <c r="H186" i="15"/>
  <c r="B186" i="15"/>
  <c r="H185" i="15"/>
  <c r="B185" i="15"/>
  <c r="H184" i="15"/>
  <c r="B184" i="15"/>
  <c r="H183" i="15"/>
  <c r="B183" i="15"/>
  <c r="H182" i="15"/>
  <c r="B182" i="15"/>
  <c r="H181" i="15"/>
  <c r="B181" i="15"/>
  <c r="H180" i="15"/>
  <c r="B180" i="15"/>
  <c r="H179" i="15"/>
  <c r="B179" i="15"/>
  <c r="H178" i="15"/>
  <c r="B178" i="15"/>
  <c r="H177" i="15"/>
  <c r="B177" i="15"/>
  <c r="H176" i="15"/>
  <c r="B176" i="15"/>
  <c r="H175" i="15"/>
  <c r="B175" i="15"/>
  <c r="H174" i="15"/>
  <c r="B174" i="15"/>
  <c r="H173" i="15"/>
  <c r="B173" i="15"/>
  <c r="H172" i="15"/>
  <c r="B172" i="15"/>
  <c r="H171" i="15"/>
  <c r="B171" i="15"/>
  <c r="H170" i="15"/>
  <c r="B170" i="15"/>
  <c r="H169" i="15"/>
  <c r="B169" i="15"/>
  <c r="H168" i="15"/>
  <c r="B168" i="15"/>
  <c r="H167" i="15"/>
  <c r="B167" i="15"/>
  <c r="H166" i="15"/>
  <c r="B166" i="15"/>
  <c r="H165" i="15"/>
  <c r="B165" i="15"/>
  <c r="H164" i="15"/>
  <c r="B164" i="15"/>
  <c r="H163" i="15"/>
  <c r="B163" i="15"/>
  <c r="H162" i="15"/>
  <c r="B162" i="15"/>
  <c r="H161" i="15"/>
  <c r="B161" i="15"/>
  <c r="H160" i="15"/>
  <c r="B160" i="15"/>
  <c r="H159" i="15"/>
  <c r="B159" i="15"/>
  <c r="H158" i="15"/>
  <c r="B158" i="15"/>
  <c r="H157" i="15"/>
  <c r="B157" i="15"/>
  <c r="H156" i="15"/>
  <c r="B156" i="15"/>
  <c r="H155" i="15"/>
  <c r="B155" i="15"/>
  <c r="H154" i="15"/>
  <c r="B154" i="15"/>
  <c r="H153" i="15"/>
  <c r="B153" i="15"/>
  <c r="H152" i="15"/>
  <c r="B152" i="15"/>
  <c r="H151" i="15"/>
  <c r="B151" i="15"/>
  <c r="H150" i="15"/>
  <c r="B150" i="15"/>
  <c r="H149" i="15"/>
  <c r="B149" i="15"/>
  <c r="H148" i="15"/>
  <c r="B148" i="15"/>
  <c r="H147" i="15"/>
  <c r="B147" i="15"/>
  <c r="H146" i="15"/>
  <c r="B146" i="15"/>
  <c r="H145" i="15"/>
  <c r="B145" i="15"/>
  <c r="H144" i="15"/>
  <c r="B144" i="15"/>
  <c r="H143" i="15"/>
  <c r="B143" i="15"/>
  <c r="H142" i="15"/>
  <c r="B142" i="15"/>
  <c r="H141" i="15"/>
  <c r="B141" i="15"/>
  <c r="H140" i="15"/>
  <c r="B140" i="15"/>
  <c r="H139" i="15"/>
  <c r="B139" i="15"/>
  <c r="H138" i="15"/>
  <c r="B138" i="15"/>
  <c r="H137" i="15"/>
  <c r="B137" i="15"/>
  <c r="H136" i="15"/>
  <c r="B136" i="15"/>
  <c r="H135" i="15"/>
  <c r="B135" i="15"/>
  <c r="H134" i="15"/>
  <c r="B134" i="15"/>
  <c r="H133" i="15"/>
  <c r="B133" i="15"/>
  <c r="H132" i="15"/>
  <c r="B132" i="15"/>
  <c r="H131" i="15"/>
  <c r="B131" i="15"/>
  <c r="H130" i="15"/>
  <c r="B130" i="15"/>
  <c r="H129" i="15"/>
  <c r="B129" i="15"/>
  <c r="H128" i="15"/>
  <c r="B128" i="15"/>
  <c r="H127" i="15"/>
  <c r="B127" i="15"/>
  <c r="H126" i="15"/>
  <c r="B126" i="15"/>
  <c r="H125" i="15"/>
  <c r="B125" i="15"/>
  <c r="H124" i="15"/>
  <c r="B124" i="15"/>
  <c r="H123" i="15"/>
  <c r="B123" i="15"/>
  <c r="H122" i="15"/>
  <c r="B122" i="15"/>
  <c r="H121" i="15"/>
  <c r="B121" i="15"/>
  <c r="H120" i="15"/>
  <c r="B120" i="15"/>
  <c r="H119" i="15"/>
  <c r="B119" i="15"/>
  <c r="H118" i="15"/>
  <c r="B118" i="15"/>
  <c r="H117" i="15"/>
  <c r="B117" i="15"/>
  <c r="H116" i="15"/>
  <c r="B116" i="15"/>
  <c r="H115" i="15"/>
  <c r="B115" i="15"/>
  <c r="H114" i="15"/>
  <c r="B114" i="15"/>
  <c r="H113" i="15"/>
  <c r="B113" i="15"/>
  <c r="H112" i="15"/>
  <c r="B112" i="15"/>
  <c r="H111" i="15"/>
  <c r="B111" i="15"/>
  <c r="H110" i="15"/>
  <c r="B110" i="15"/>
  <c r="H109" i="15"/>
  <c r="B109" i="15"/>
  <c r="H108" i="15"/>
  <c r="B108" i="15"/>
  <c r="H107" i="15"/>
  <c r="B107" i="15"/>
  <c r="H106" i="15"/>
  <c r="B106" i="15"/>
  <c r="H105" i="15"/>
  <c r="B105" i="15"/>
  <c r="H104" i="15"/>
  <c r="B104" i="15"/>
  <c r="H103" i="15"/>
  <c r="B103" i="15"/>
  <c r="H102" i="15"/>
  <c r="B102" i="15"/>
  <c r="H101" i="15"/>
  <c r="B101" i="15"/>
  <c r="H100" i="15"/>
  <c r="B100" i="15"/>
  <c r="H99" i="15"/>
  <c r="B99" i="15"/>
  <c r="H98" i="15"/>
  <c r="B98" i="15"/>
  <c r="H97" i="15"/>
  <c r="B97" i="15"/>
  <c r="H96" i="15"/>
  <c r="B96" i="15"/>
  <c r="H95" i="15"/>
  <c r="B95" i="15"/>
  <c r="H94" i="15"/>
  <c r="B94" i="15"/>
  <c r="H93" i="15"/>
  <c r="B93" i="15"/>
  <c r="H92" i="15"/>
  <c r="B92" i="15"/>
  <c r="H91" i="15"/>
  <c r="B91" i="15"/>
  <c r="H90" i="15"/>
  <c r="B90" i="15"/>
  <c r="H89" i="15"/>
  <c r="B89" i="15"/>
  <c r="H88" i="15"/>
  <c r="B88" i="15"/>
  <c r="H87" i="15"/>
  <c r="B87" i="15"/>
  <c r="H86" i="15"/>
  <c r="B86" i="15"/>
  <c r="H85" i="15"/>
  <c r="B85" i="15"/>
  <c r="H84" i="15"/>
  <c r="B84" i="15"/>
  <c r="H83" i="15"/>
  <c r="B83" i="15"/>
  <c r="H82" i="15"/>
  <c r="B82" i="15"/>
  <c r="H81" i="15"/>
  <c r="B81" i="15"/>
  <c r="H80" i="15"/>
  <c r="B80" i="15"/>
  <c r="H79" i="15"/>
  <c r="B79" i="15"/>
  <c r="H78" i="15"/>
  <c r="B78" i="15"/>
  <c r="H77" i="15"/>
  <c r="B77" i="15"/>
  <c r="H76" i="15"/>
  <c r="B76" i="15"/>
  <c r="H75" i="15"/>
  <c r="B75" i="15"/>
  <c r="H74" i="15"/>
  <c r="B74" i="15"/>
  <c r="H73" i="15"/>
  <c r="B73" i="15"/>
  <c r="H72" i="15"/>
  <c r="B72" i="15"/>
  <c r="H71" i="15"/>
  <c r="B71" i="15"/>
  <c r="H70" i="15"/>
  <c r="B70" i="15"/>
  <c r="H69" i="15"/>
  <c r="B69" i="15"/>
  <c r="H68" i="15"/>
  <c r="B68" i="15"/>
  <c r="H67" i="15"/>
  <c r="B67" i="15"/>
  <c r="H66" i="15"/>
  <c r="B66" i="15"/>
  <c r="H65" i="15"/>
  <c r="B65" i="15"/>
  <c r="H64" i="15"/>
  <c r="B64" i="15"/>
  <c r="H63" i="15"/>
  <c r="B63" i="15"/>
  <c r="H62" i="15"/>
  <c r="B62" i="15"/>
  <c r="H61" i="15"/>
  <c r="B61" i="15"/>
  <c r="H60" i="15"/>
  <c r="B60" i="15"/>
  <c r="H59" i="15"/>
  <c r="B59" i="15"/>
  <c r="H58" i="15"/>
  <c r="B58" i="15"/>
  <c r="H57" i="15"/>
  <c r="B57" i="15"/>
  <c r="H56" i="15"/>
  <c r="B56" i="15"/>
  <c r="H55" i="15"/>
  <c r="B55" i="15"/>
  <c r="H54" i="15"/>
  <c r="B54" i="15"/>
  <c r="H53" i="15"/>
  <c r="B53" i="15"/>
  <c r="H52" i="15"/>
  <c r="B52" i="15"/>
  <c r="H51" i="15"/>
  <c r="B51" i="15"/>
  <c r="H50" i="15"/>
  <c r="B50" i="15"/>
  <c r="H49" i="15"/>
  <c r="B49" i="15"/>
  <c r="H48" i="15"/>
  <c r="B48" i="15"/>
  <c r="H47" i="15"/>
  <c r="B47" i="15"/>
  <c r="H46" i="15"/>
  <c r="B46" i="15"/>
  <c r="H45" i="15"/>
  <c r="B45" i="15"/>
  <c r="H44" i="15"/>
  <c r="B44" i="15"/>
  <c r="H43" i="15"/>
  <c r="B43" i="15"/>
  <c r="H42" i="15"/>
  <c r="B42" i="15"/>
  <c r="H41" i="15"/>
  <c r="B41" i="15"/>
  <c r="H40" i="15"/>
  <c r="B40" i="15"/>
  <c r="H39" i="15"/>
  <c r="B39" i="15"/>
  <c r="H38" i="15"/>
  <c r="B38" i="15"/>
  <c r="H37" i="15"/>
  <c r="B37" i="15"/>
  <c r="H36" i="15"/>
  <c r="B36" i="15"/>
  <c r="H35" i="15"/>
  <c r="B35" i="15"/>
  <c r="H34" i="15"/>
  <c r="B34" i="15"/>
  <c r="H33" i="15"/>
  <c r="B33" i="15"/>
  <c r="H32" i="15"/>
  <c r="Q5" i="9" s="1"/>
  <c r="R5" i="9" s="1"/>
  <c r="B32" i="15"/>
  <c r="H31" i="15"/>
  <c r="H30" i="15"/>
  <c r="B30" i="15"/>
  <c r="H29" i="15"/>
  <c r="B29" i="15"/>
  <c r="H28" i="15"/>
  <c r="B28" i="15"/>
  <c r="H27" i="15"/>
  <c r="B27" i="15"/>
  <c r="H26" i="15"/>
  <c r="B26" i="15"/>
  <c r="H25" i="15"/>
  <c r="B25" i="15"/>
  <c r="H24" i="15"/>
  <c r="B24" i="15"/>
  <c r="H23" i="15"/>
  <c r="B23" i="15"/>
  <c r="H22" i="15"/>
  <c r="B22" i="15"/>
  <c r="H21" i="15"/>
  <c r="B21" i="15"/>
  <c r="H20" i="15"/>
  <c r="B20" i="15"/>
  <c r="H19" i="15"/>
  <c r="B19" i="15"/>
  <c r="H18" i="15"/>
  <c r="B18" i="15"/>
  <c r="H17" i="15"/>
  <c r="B17" i="15"/>
  <c r="H16" i="15"/>
  <c r="B16" i="15"/>
  <c r="H15" i="15"/>
  <c r="B15" i="15"/>
  <c r="H14" i="15"/>
  <c r="B14" i="15"/>
  <c r="H13" i="15"/>
  <c r="H12" i="15"/>
  <c r="H11" i="15"/>
  <c r="H10" i="15"/>
  <c r="H9" i="15"/>
  <c r="H8" i="15"/>
  <c r="H7" i="15"/>
  <c r="H6" i="15"/>
  <c r="H5" i="15"/>
  <c r="H4" i="15"/>
  <c r="H3" i="15"/>
  <c r="O23" i="9"/>
  <c r="O40" i="9" s="1"/>
  <c r="O48" i="9" s="1"/>
  <c r="O64" i="9" s="1"/>
  <c r="N23" i="9"/>
  <c r="N40" i="9" s="1"/>
  <c r="N48" i="9" s="1"/>
  <c r="N64" i="9" s="1"/>
  <c r="J23" i="9"/>
  <c r="J40" i="9" s="1"/>
  <c r="J48" i="9" s="1"/>
  <c r="J64" i="9" s="1"/>
  <c r="M7" i="9"/>
  <c r="U76" i="11"/>
  <c r="U75" i="11"/>
  <c r="Z88" i="23"/>
  <c r="Y88" i="23"/>
  <c r="X88" i="23"/>
  <c r="W88" i="23"/>
  <c r="V88" i="23"/>
  <c r="U88" i="23"/>
  <c r="T88" i="23"/>
  <c r="S88" i="23"/>
  <c r="R88" i="23"/>
  <c r="Q88" i="23"/>
  <c r="P88" i="23"/>
  <c r="O88" i="23"/>
  <c r="Z83" i="23"/>
  <c r="Y83" i="23"/>
  <c r="X83" i="23"/>
  <c r="W83" i="23"/>
  <c r="V83" i="23"/>
  <c r="U83" i="23"/>
  <c r="T83" i="23"/>
  <c r="S83" i="23"/>
  <c r="R83" i="23"/>
  <c r="Q83" i="23"/>
  <c r="P83" i="23"/>
  <c r="O83" i="23"/>
  <c r="Z82" i="23"/>
  <c r="Y82" i="23"/>
  <c r="X82" i="23"/>
  <c r="W82" i="23"/>
  <c r="V82" i="23"/>
  <c r="U82" i="23"/>
  <c r="T82" i="23"/>
  <c r="S82" i="23"/>
  <c r="R82" i="23"/>
  <c r="Q82" i="23"/>
  <c r="P82" i="23"/>
  <c r="O82" i="23"/>
  <c r="Z80" i="23"/>
  <c r="Y80" i="23"/>
  <c r="X80" i="23"/>
  <c r="W80" i="23"/>
  <c r="V80" i="23"/>
  <c r="U80" i="23"/>
  <c r="T80" i="23"/>
  <c r="S80" i="23"/>
  <c r="R80" i="23"/>
  <c r="Q80" i="23"/>
  <c r="P80" i="23"/>
  <c r="O80" i="23"/>
  <c r="Z79" i="23"/>
  <c r="Y79" i="23"/>
  <c r="X79" i="23"/>
  <c r="W79" i="23"/>
  <c r="V79" i="23"/>
  <c r="U79" i="23"/>
  <c r="T79" i="23"/>
  <c r="S79" i="23"/>
  <c r="R79" i="23"/>
  <c r="Q79" i="23"/>
  <c r="P79" i="23"/>
  <c r="O79" i="23"/>
  <c r="I61" i="11"/>
  <c r="H61" i="11"/>
  <c r="C5" i="11"/>
  <c r="C2" i="11"/>
  <c r="B61" i="11"/>
  <c r="Q7" i="9"/>
  <c r="Q23" i="9" s="1"/>
  <c r="Q88" i="9"/>
  <c r="V88" i="9" s="1"/>
  <c r="E63" i="16"/>
  <c r="D63" i="16"/>
  <c r="AV15" i="9"/>
  <c r="AV14" i="9"/>
  <c r="AV13" i="9"/>
  <c r="AV12" i="9"/>
  <c r="AV11" i="9"/>
  <c r="AV10" i="9"/>
  <c r="AV9" i="9"/>
  <c r="AV8" i="9"/>
  <c r="AQ64" i="16"/>
  <c r="AP64" i="16"/>
  <c r="AO64" i="16"/>
  <c r="AN64" i="16"/>
  <c r="AM64" i="16"/>
  <c r="AL64" i="16"/>
  <c r="AK64" i="16"/>
  <c r="AJ64" i="16"/>
  <c r="AI64" i="16"/>
  <c r="AH64" i="16"/>
  <c r="AG64" i="16"/>
  <c r="AF64" i="16"/>
  <c r="AE64" i="16"/>
  <c r="AD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D39" i="16"/>
  <c r="E39" i="16"/>
  <c r="D48" i="16"/>
  <c r="E48" i="16"/>
  <c r="AJ21" i="9"/>
  <c r="B34" i="25" s="1"/>
  <c r="B26" i="25"/>
  <c r="B30" i="25"/>
  <c r="BQ299" i="9"/>
  <c r="BR299" i="9" s="1"/>
  <c r="BQ290" i="9"/>
  <c r="BR290" i="9" s="1"/>
  <c r="BQ289" i="9"/>
  <c r="BR289" i="9" s="1"/>
  <c r="BQ288" i="9"/>
  <c r="BQ287" i="9"/>
  <c r="BR287" i="9" s="1"/>
  <c r="BQ286" i="9"/>
  <c r="BR286" i="9" s="1"/>
  <c r="BQ285" i="9"/>
  <c r="BQ284" i="9"/>
  <c r="BR284" i="9" s="1"/>
  <c r="BQ283" i="9"/>
  <c r="BR283" i="9" s="1"/>
  <c r="BQ282" i="9"/>
  <c r="BR282" i="9" s="1"/>
  <c r="BQ281" i="9"/>
  <c r="BR281" i="9" s="1"/>
  <c r="BQ279" i="9"/>
  <c r="BR279" i="9" s="1"/>
  <c r="BQ278" i="9"/>
  <c r="BR278" i="9" s="1"/>
  <c r="BQ269" i="9"/>
  <c r="BR269" i="9" s="1"/>
  <c r="BQ270" i="9"/>
  <c r="BQ259" i="9"/>
  <c r="BR259" i="9" s="1"/>
  <c r="BQ249" i="9"/>
  <c r="BQ239" i="9"/>
  <c r="BQ229" i="9"/>
  <c r="BR229" i="9" s="1"/>
  <c r="BQ219" i="9"/>
  <c r="BQ209" i="9"/>
  <c r="BQ199" i="9"/>
  <c r="BR199" i="9" s="1"/>
  <c r="BQ190" i="9"/>
  <c r="BR190" i="9" s="1"/>
  <c r="BQ189" i="9"/>
  <c r="BR189" i="9" s="1"/>
  <c r="BQ188" i="9"/>
  <c r="BQ187" i="9"/>
  <c r="BR187" i="9" s="1"/>
  <c r="BS187" i="9" s="1"/>
  <c r="BU187" i="9" s="1"/>
  <c r="BW187" i="9" s="1"/>
  <c r="BQ186" i="9"/>
  <c r="BR186" i="9" s="1"/>
  <c r="BQ185" i="9"/>
  <c r="BR185" i="9" s="1"/>
  <c r="BQ184" i="9"/>
  <c r="BR184" i="9" s="1"/>
  <c r="BQ183" i="9"/>
  <c r="BR183" i="9" s="1"/>
  <c r="BQ182" i="9"/>
  <c r="BR182" i="9" s="1"/>
  <c r="BQ181" i="9"/>
  <c r="BR181" i="9" s="1"/>
  <c r="BQ179" i="9"/>
  <c r="BR179" i="9" s="1"/>
  <c r="BQ169" i="9"/>
  <c r="BR169" i="9" s="1"/>
  <c r="BQ170" i="9"/>
  <c r="BR170" i="9" s="1"/>
  <c r="BQ159" i="9"/>
  <c r="BR159" i="9" s="1"/>
  <c r="BQ160" i="9"/>
  <c r="BR160" i="9" s="1"/>
  <c r="BQ149" i="9"/>
  <c r="BR149" i="9" s="1"/>
  <c r="BQ139" i="9"/>
  <c r="BQ129" i="9"/>
  <c r="BR129" i="9" s="1"/>
  <c r="BQ119" i="9"/>
  <c r="BR119" i="9" s="1"/>
  <c r="BQ120" i="9"/>
  <c r="BR120" i="9" s="1"/>
  <c r="F119" i="9"/>
  <c r="F153" i="9" s="1"/>
  <c r="BQ109" i="9"/>
  <c r="BQ99" i="9"/>
  <c r="BR99" i="9" s="1"/>
  <c r="BQ90" i="9"/>
  <c r="BR90" i="9" s="1"/>
  <c r="BQ89" i="9"/>
  <c r="BR89" i="9" s="1"/>
  <c r="BQ88" i="9"/>
  <c r="BR88" i="9" s="1"/>
  <c r="R88" i="9"/>
  <c r="AP88" i="9" s="1"/>
  <c r="BQ87" i="9"/>
  <c r="BR87" i="9" s="1"/>
  <c r="BQ86" i="9"/>
  <c r="BR86" i="9" s="1"/>
  <c r="BQ85" i="9"/>
  <c r="BQ84" i="9"/>
  <c r="BR84" i="9" s="1"/>
  <c r="BQ83" i="9"/>
  <c r="BR83" i="9" s="1"/>
  <c r="BQ82" i="9"/>
  <c r="BR82" i="9" s="1"/>
  <c r="BQ81" i="9"/>
  <c r="BR81" i="9" s="1"/>
  <c r="BQ79" i="9"/>
  <c r="BR79" i="9" s="1"/>
  <c r="BQ69" i="9"/>
  <c r="U68" i="9"/>
  <c r="BQ59" i="9"/>
  <c r="BR59" i="9" s="1"/>
  <c r="BQ49" i="9"/>
  <c r="BR49" i="9" s="1"/>
  <c r="BN40" i="9"/>
  <c r="BM40" i="9"/>
  <c r="BL40" i="9"/>
  <c r="BK40" i="9"/>
  <c r="BJ40" i="9"/>
  <c r="BI40" i="9"/>
  <c r="BH40" i="9"/>
  <c r="BG40" i="9"/>
  <c r="BQ39" i="9"/>
  <c r="BR39" i="9" s="1"/>
  <c r="BQ29" i="9"/>
  <c r="BQ28" i="9"/>
  <c r="BR28" i="9" s="1"/>
  <c r="BQ19" i="9"/>
  <c r="BR19" i="9" s="1"/>
  <c r="AU14" i="9"/>
  <c r="AT14" i="9"/>
  <c r="AS14" i="9"/>
  <c r="BQ9" i="9"/>
  <c r="BR9" i="9" s="1"/>
  <c r="BQ8" i="9"/>
  <c r="BR8" i="9" s="1"/>
  <c r="AJ50" i="9"/>
  <c r="D50" i="9"/>
  <c r="AJ49" i="9"/>
  <c r="D49" i="9"/>
  <c r="AJ45" i="9"/>
  <c r="D45" i="9"/>
  <c r="AJ44" i="9"/>
  <c r="D44" i="9"/>
  <c r="D42" i="9"/>
  <c r="D9" i="9"/>
  <c r="D8" i="9"/>
  <c r="AJ42" i="9"/>
  <c r="AJ9" i="9"/>
  <c r="AJ8" i="9"/>
  <c r="B24" i="25" s="1"/>
  <c r="A14" i="9"/>
  <c r="AU15" i="9"/>
  <c r="AT15" i="9"/>
  <c r="AS15" i="9"/>
  <c r="AU13" i="9"/>
  <c r="AT13" i="9"/>
  <c r="AS13" i="9"/>
  <c r="AU12" i="9"/>
  <c r="AT12" i="9"/>
  <c r="AS12" i="9"/>
  <c r="AU11" i="9"/>
  <c r="AT11" i="9"/>
  <c r="AS11" i="9"/>
  <c r="AU10" i="9"/>
  <c r="AT10" i="9"/>
  <c r="AS10" i="9"/>
  <c r="AU9" i="9"/>
  <c r="AT9" i="9"/>
  <c r="AS9" i="9"/>
  <c r="AS8" i="9"/>
  <c r="AU8" i="9"/>
  <c r="AT8" i="9"/>
  <c r="A13" i="9"/>
  <c r="R7" i="9"/>
  <c r="R118" i="9" s="1"/>
  <c r="AP118" i="9" s="1"/>
  <c r="R172" i="9"/>
  <c r="AP135" i="9"/>
  <c r="AO135" i="9"/>
  <c r="V124" i="9"/>
  <c r="U124" i="9"/>
  <c r="R119" i="9"/>
  <c r="AP119" i="9" s="1"/>
  <c r="D118" i="9"/>
  <c r="AO114" i="9"/>
  <c r="R114" i="9"/>
  <c r="AP114" i="9" s="1"/>
  <c r="R103" i="9"/>
  <c r="R102" i="9"/>
  <c r="R99" i="9"/>
  <c r="R94" i="9"/>
  <c r="O88" i="9"/>
  <c r="O119" i="9" s="1"/>
  <c r="O153" i="9" s="1"/>
  <c r="N88" i="9"/>
  <c r="N119" i="9" s="1"/>
  <c r="N153" i="9" s="1"/>
  <c r="M88" i="9"/>
  <c r="M119" i="9" s="1"/>
  <c r="M153" i="9" s="1"/>
  <c r="L88" i="9"/>
  <c r="L119" i="9" s="1"/>
  <c r="L153" i="9" s="1"/>
  <c r="J88" i="9"/>
  <c r="J119" i="9" s="1"/>
  <c r="J153" i="9" s="1"/>
  <c r="I88" i="9"/>
  <c r="I119" i="9" s="1"/>
  <c r="I153" i="9" s="1"/>
  <c r="H88" i="9"/>
  <c r="H119" i="9" s="1"/>
  <c r="H153" i="9" s="1"/>
  <c r="G88" i="9"/>
  <c r="G119" i="9" s="1"/>
  <c r="G153" i="9" s="1"/>
  <c r="F88" i="9"/>
  <c r="D87" i="9"/>
  <c r="U65" i="9"/>
  <c r="AP63" i="9"/>
  <c r="AO63" i="9"/>
  <c r="AP47" i="9"/>
  <c r="AO47" i="9"/>
  <c r="AP39" i="9"/>
  <c r="AO39" i="9"/>
  <c r="AP22" i="9"/>
  <c r="AO22" i="9"/>
  <c r="C7" i="9"/>
  <c r="C8" i="9" s="1"/>
  <c r="C9" i="9" s="1"/>
  <c r="AP6" i="9"/>
  <c r="AO6" i="9"/>
  <c r="B3" i="25"/>
  <c r="F11" i="25"/>
  <c r="F12" i="25"/>
  <c r="F13" i="25"/>
  <c r="F14" i="25"/>
  <c r="F15" i="25"/>
  <c r="F16" i="25"/>
  <c r="F17" i="25"/>
  <c r="F10" i="25"/>
  <c r="B27" i="25"/>
  <c r="B29" i="25"/>
  <c r="B28" i="25"/>
  <c r="B31" i="25"/>
  <c r="B32" i="25"/>
  <c r="B33" i="25"/>
  <c r="E22" i="25"/>
  <c r="B20" i="25"/>
  <c r="C17" i="25"/>
  <c r="B17" i="25"/>
  <c r="C16" i="25"/>
  <c r="B16" i="25"/>
  <c r="C15" i="25"/>
  <c r="M40" i="25"/>
  <c r="B15" i="25"/>
  <c r="C14" i="25"/>
  <c r="B14" i="25"/>
  <c r="C13" i="25"/>
  <c r="M38" i="25"/>
  <c r="B13" i="25"/>
  <c r="C12" i="25"/>
  <c r="B12" i="25"/>
  <c r="C11" i="25"/>
  <c r="M36" i="25"/>
  <c r="B11" i="25"/>
  <c r="C10" i="25"/>
  <c r="M35" i="25"/>
  <c r="B10" i="25"/>
  <c r="B8" i="25"/>
  <c r="AV38" i="23"/>
  <c r="AU38" i="23"/>
  <c r="AR38" i="23" s="1"/>
  <c r="AS38" i="23" s="1"/>
  <c r="AV37" i="23"/>
  <c r="BI37" i="23" s="1"/>
  <c r="BJ37" i="23" s="1"/>
  <c r="AU37" i="23"/>
  <c r="AR37" i="23" s="1"/>
  <c r="AS37" i="23" s="1"/>
  <c r="AV36" i="23"/>
  <c r="AU36" i="23"/>
  <c r="AR36" i="23" s="1"/>
  <c r="AS36" i="23" s="1"/>
  <c r="AV35" i="23"/>
  <c r="AU35" i="23"/>
  <c r="AR35" i="23" s="1"/>
  <c r="AS35" i="23" s="1"/>
  <c r="AV34" i="23"/>
  <c r="AU34" i="23"/>
  <c r="AR34" i="23" s="1"/>
  <c r="AS34" i="23" s="1"/>
  <c r="AV33" i="23"/>
  <c r="AU33" i="23"/>
  <c r="AR33" i="23" s="1"/>
  <c r="AS33" i="23" s="1"/>
  <c r="AV32" i="23"/>
  <c r="AU32" i="23"/>
  <c r="AR32" i="23" s="1"/>
  <c r="AS32" i="23" s="1"/>
  <c r="AV31" i="23"/>
  <c r="AU31" i="23"/>
  <c r="AR31" i="23" s="1"/>
  <c r="AS31" i="23" s="1"/>
  <c r="AV30" i="23"/>
  <c r="AU30" i="23"/>
  <c r="AR30" i="23" s="1"/>
  <c r="AS30" i="23" s="1"/>
  <c r="AV29" i="23"/>
  <c r="AU29" i="23"/>
  <c r="AR29" i="23" s="1"/>
  <c r="AS29" i="23" s="1"/>
  <c r="AV28" i="23"/>
  <c r="AU28" i="23"/>
  <c r="AR28" i="23" s="1"/>
  <c r="AS28" i="23" s="1"/>
  <c r="AV27" i="23"/>
  <c r="AU27" i="23"/>
  <c r="AR27" i="23" s="1"/>
  <c r="AS27" i="23" s="1"/>
  <c r="AV26" i="23"/>
  <c r="AU26" i="23"/>
  <c r="AR26" i="23" s="1"/>
  <c r="AS26" i="23" s="1"/>
  <c r="AV25" i="23"/>
  <c r="AU25" i="23"/>
  <c r="P16" i="23"/>
  <c r="Q16" i="23" s="1"/>
  <c r="R16" i="23" s="1"/>
  <c r="S16" i="23" s="1"/>
  <c r="T16" i="23" s="1"/>
  <c r="U16" i="23" s="1"/>
  <c r="V16" i="23" s="1"/>
  <c r="W16" i="23" s="1"/>
  <c r="X16" i="23" s="1"/>
  <c r="Y16" i="23" s="1"/>
  <c r="Z16" i="23" s="1"/>
  <c r="AH17" i="23"/>
  <c r="AG17" i="23"/>
  <c r="BF140" i="9"/>
  <c r="BQ300" i="9"/>
  <c r="BR300" i="9" s="1"/>
  <c r="BQ298" i="9"/>
  <c r="BR298" i="9" s="1"/>
  <c r="BQ297" i="9"/>
  <c r="BQ296" i="9"/>
  <c r="BR296" i="9" s="1"/>
  <c r="BQ295" i="9"/>
  <c r="BR295" i="9" s="1"/>
  <c r="BQ294" i="9"/>
  <c r="BR294" i="9" s="1"/>
  <c r="BQ293" i="9"/>
  <c r="BR293" i="9" s="1"/>
  <c r="BQ292" i="9"/>
  <c r="BR292" i="9" s="1"/>
  <c r="BQ291" i="9"/>
  <c r="BR291" i="9" s="1"/>
  <c r="BQ280" i="9"/>
  <c r="BR280" i="9" s="1"/>
  <c r="BQ277" i="9"/>
  <c r="BR277" i="9" s="1"/>
  <c r="BQ276" i="9"/>
  <c r="BR276" i="9" s="1"/>
  <c r="BQ275" i="9"/>
  <c r="BR275" i="9" s="1"/>
  <c r="BQ274" i="9"/>
  <c r="BQ273" i="9"/>
  <c r="BR273" i="9" s="1"/>
  <c r="BQ272" i="9"/>
  <c r="BR272" i="9" s="1"/>
  <c r="BQ271" i="9"/>
  <c r="BR271" i="9" s="1"/>
  <c r="BQ268" i="9"/>
  <c r="BR268" i="9" s="1"/>
  <c r="BQ267" i="9"/>
  <c r="BR267" i="9" s="1"/>
  <c r="BQ266" i="9"/>
  <c r="BR266" i="9" s="1"/>
  <c r="BQ265" i="9"/>
  <c r="BQ264" i="9"/>
  <c r="BR264" i="9" s="1"/>
  <c r="BQ263" i="9"/>
  <c r="BR263" i="9" s="1"/>
  <c r="BQ262" i="9"/>
  <c r="BR262" i="9" s="1"/>
  <c r="BQ261" i="9"/>
  <c r="BQ260" i="9"/>
  <c r="BR260" i="9" s="1"/>
  <c r="BQ258" i="9"/>
  <c r="BR258" i="9" s="1"/>
  <c r="BQ257" i="9"/>
  <c r="BR257" i="9" s="1"/>
  <c r="BQ256" i="9"/>
  <c r="BR256" i="9" s="1"/>
  <c r="BQ255" i="9"/>
  <c r="BR255" i="9" s="1"/>
  <c r="BQ254" i="9"/>
  <c r="BR254" i="9" s="1"/>
  <c r="BQ253" i="9"/>
  <c r="BQ252" i="9"/>
  <c r="BR252" i="9" s="1"/>
  <c r="BQ251" i="9"/>
  <c r="BR251" i="9" s="1"/>
  <c r="BQ250" i="9"/>
  <c r="BR250" i="9" s="1"/>
  <c r="BQ248" i="9"/>
  <c r="BQ247" i="9"/>
  <c r="BR247" i="9" s="1"/>
  <c r="BQ246" i="9"/>
  <c r="BR246" i="9" s="1"/>
  <c r="BQ245" i="9"/>
  <c r="BR245" i="9" s="1"/>
  <c r="BQ244" i="9"/>
  <c r="BR244" i="9" s="1"/>
  <c r="BQ243" i="9"/>
  <c r="BR243" i="9" s="1"/>
  <c r="BQ242" i="9"/>
  <c r="BR242" i="9" s="1"/>
  <c r="BQ241" i="9"/>
  <c r="BR241" i="9" s="1"/>
  <c r="BQ240" i="9"/>
  <c r="BR240" i="9" s="1"/>
  <c r="BQ238" i="9"/>
  <c r="BR238" i="9" s="1"/>
  <c r="BQ237" i="9"/>
  <c r="BQ236" i="9"/>
  <c r="BR236" i="9" s="1"/>
  <c r="BQ235" i="9"/>
  <c r="BR235" i="9" s="1"/>
  <c r="BQ234" i="9"/>
  <c r="BR234" i="9" s="1"/>
  <c r="BQ233" i="9"/>
  <c r="BR233" i="9" s="1"/>
  <c r="BQ232" i="9"/>
  <c r="BR232" i="9" s="1"/>
  <c r="BQ231" i="9"/>
  <c r="BR231" i="9" s="1"/>
  <c r="BQ230" i="9"/>
  <c r="BR230" i="9" s="1"/>
  <c r="BS230" i="9" s="1"/>
  <c r="BU230" i="9" s="1"/>
  <c r="BW230" i="9" s="1"/>
  <c r="BQ228" i="9"/>
  <c r="BR228" i="9" s="1"/>
  <c r="BQ227" i="9"/>
  <c r="BQ226" i="9"/>
  <c r="BR226" i="9" s="1"/>
  <c r="BQ225" i="9"/>
  <c r="BR225" i="9" s="1"/>
  <c r="BQ224" i="9"/>
  <c r="BR224" i="9" s="1"/>
  <c r="BQ223" i="9"/>
  <c r="BR223" i="9" s="1"/>
  <c r="BQ222" i="9"/>
  <c r="BR222" i="9" s="1"/>
  <c r="BQ221" i="9"/>
  <c r="BR221" i="9" s="1"/>
  <c r="BQ220" i="9"/>
  <c r="BR220" i="9" s="1"/>
  <c r="BQ218" i="9"/>
  <c r="BR218" i="9" s="1"/>
  <c r="BQ217" i="9"/>
  <c r="BQ216" i="9"/>
  <c r="BR216" i="9" s="1"/>
  <c r="BQ215" i="9"/>
  <c r="BQ214" i="9"/>
  <c r="BR214" i="9" s="1"/>
  <c r="BQ213" i="9"/>
  <c r="BQ212" i="9"/>
  <c r="BR212" i="9" s="1"/>
  <c r="BQ211" i="9"/>
  <c r="BR211" i="9" s="1"/>
  <c r="BQ210" i="9"/>
  <c r="BR210" i="9" s="1"/>
  <c r="BQ208" i="9"/>
  <c r="BR208" i="9" s="1"/>
  <c r="BQ207" i="9"/>
  <c r="BR207" i="9" s="1"/>
  <c r="BQ206" i="9"/>
  <c r="BR206" i="9" s="1"/>
  <c r="BQ205" i="9"/>
  <c r="BR205" i="9" s="1"/>
  <c r="BQ204" i="9"/>
  <c r="BR204" i="9" s="1"/>
  <c r="BQ203" i="9"/>
  <c r="BR203" i="9" s="1"/>
  <c r="BQ202" i="9"/>
  <c r="BQ201" i="9"/>
  <c r="BR201" i="9" s="1"/>
  <c r="BQ200" i="9"/>
  <c r="BR200" i="9" s="1"/>
  <c r="BQ198" i="9"/>
  <c r="BR198" i="9" s="1"/>
  <c r="BQ197" i="9"/>
  <c r="BR197" i="9" s="1"/>
  <c r="BQ196" i="9"/>
  <c r="BR196" i="9" s="1"/>
  <c r="BQ195" i="9"/>
  <c r="BR195" i="9" s="1"/>
  <c r="BQ194" i="9"/>
  <c r="BR194" i="9" s="1"/>
  <c r="BQ193" i="9"/>
  <c r="BR193" i="9" s="1"/>
  <c r="BQ192" i="9"/>
  <c r="BQ191" i="9"/>
  <c r="BR191" i="9" s="1"/>
  <c r="BQ180" i="9"/>
  <c r="BQ178" i="9"/>
  <c r="BR178" i="9" s="1"/>
  <c r="BQ177" i="9"/>
  <c r="BR177" i="9" s="1"/>
  <c r="BQ176" i="9"/>
  <c r="BR176" i="9" s="1"/>
  <c r="BQ175" i="9"/>
  <c r="BR175" i="9" s="1"/>
  <c r="BQ174" i="9"/>
  <c r="BR174" i="9" s="1"/>
  <c r="BQ173" i="9"/>
  <c r="BR173" i="9" s="1"/>
  <c r="BQ172" i="9"/>
  <c r="BR172" i="9" s="1"/>
  <c r="BQ171" i="9"/>
  <c r="BR171" i="9" s="1"/>
  <c r="BQ168" i="9"/>
  <c r="BQ167" i="9"/>
  <c r="BR167" i="9" s="1"/>
  <c r="BQ166" i="9"/>
  <c r="BR166" i="9" s="1"/>
  <c r="BQ165" i="9"/>
  <c r="BR165" i="9" s="1"/>
  <c r="BQ164" i="9"/>
  <c r="BR164" i="9" s="1"/>
  <c r="BQ163" i="9"/>
  <c r="BR163" i="9" s="1"/>
  <c r="BQ162" i="9"/>
  <c r="BR162" i="9" s="1"/>
  <c r="BQ161" i="9"/>
  <c r="BR161" i="9" s="1"/>
  <c r="BQ158" i="9"/>
  <c r="BQ157" i="9"/>
  <c r="BR157" i="9" s="1"/>
  <c r="BQ156" i="9"/>
  <c r="BR156" i="9" s="1"/>
  <c r="BQ155" i="9"/>
  <c r="BR155" i="9" s="1"/>
  <c r="BQ154" i="9"/>
  <c r="BR154" i="9" s="1"/>
  <c r="BQ153" i="9"/>
  <c r="BR153" i="9"/>
  <c r="BQ152" i="9"/>
  <c r="BR152" i="9" s="1"/>
  <c r="BQ151" i="9"/>
  <c r="BR151" i="9" s="1"/>
  <c r="BQ150" i="9"/>
  <c r="BR150" i="9" s="1"/>
  <c r="BQ148" i="9"/>
  <c r="BR148" i="9" s="1"/>
  <c r="BQ147" i="9"/>
  <c r="BR147" i="9" s="1"/>
  <c r="BQ146" i="9"/>
  <c r="BQ145" i="9"/>
  <c r="BR145" i="9" s="1"/>
  <c r="BQ144" i="9"/>
  <c r="BR144" i="9" s="1"/>
  <c r="BQ143" i="9"/>
  <c r="BQ142" i="9"/>
  <c r="BR142" i="9" s="1"/>
  <c r="BQ141" i="9"/>
  <c r="BQ140" i="9"/>
  <c r="BR140" i="9" s="1"/>
  <c r="BQ138" i="9"/>
  <c r="BR138" i="9" s="1"/>
  <c r="BQ137" i="9"/>
  <c r="BQ136" i="9"/>
  <c r="BR136" i="9" s="1"/>
  <c r="BQ135" i="9"/>
  <c r="BR135" i="9" s="1"/>
  <c r="BQ134" i="9"/>
  <c r="BQ133" i="9"/>
  <c r="BQ132" i="9"/>
  <c r="BR132" i="9" s="1"/>
  <c r="BQ131" i="9"/>
  <c r="BR131" i="9" s="1"/>
  <c r="BQ130" i="9"/>
  <c r="BR130" i="9" s="1"/>
  <c r="BQ128" i="9"/>
  <c r="BR128" i="9" s="1"/>
  <c r="BQ127" i="9"/>
  <c r="BQ126" i="9"/>
  <c r="BR126" i="9" s="1"/>
  <c r="BQ125" i="9"/>
  <c r="BR125" i="9" s="1"/>
  <c r="BQ124" i="9"/>
  <c r="BR124" i="9" s="1"/>
  <c r="BQ123" i="9"/>
  <c r="BR123" i="9" s="1"/>
  <c r="BQ122" i="9"/>
  <c r="BR122" i="9" s="1"/>
  <c r="BQ121" i="9"/>
  <c r="BR121" i="9" s="1"/>
  <c r="BQ118" i="9"/>
  <c r="BR118" i="9" s="1"/>
  <c r="BQ117" i="9"/>
  <c r="BR117" i="9" s="1"/>
  <c r="BQ116" i="9"/>
  <c r="BR116" i="9" s="1"/>
  <c r="BQ115" i="9"/>
  <c r="BR115" i="9" s="1"/>
  <c r="BQ114" i="9"/>
  <c r="BR114" i="9" s="1"/>
  <c r="BQ113" i="9"/>
  <c r="BQ112" i="9"/>
  <c r="BR112" i="9" s="1"/>
  <c r="BQ111" i="9"/>
  <c r="BR111" i="9" s="1"/>
  <c r="BQ110" i="9"/>
  <c r="BR110" i="9" s="1"/>
  <c r="BQ108" i="9"/>
  <c r="BR108" i="9" s="1"/>
  <c r="BQ107" i="9"/>
  <c r="BR107" i="9" s="1"/>
  <c r="BQ106" i="9"/>
  <c r="BQ105" i="9"/>
  <c r="BR105" i="9" s="1"/>
  <c r="BQ104" i="9"/>
  <c r="BR104" i="9" s="1"/>
  <c r="BQ103" i="9"/>
  <c r="BR103" i="9" s="1"/>
  <c r="BS103" i="9" s="1"/>
  <c r="BU103" i="9" s="1"/>
  <c r="BW103" i="9" s="1"/>
  <c r="BQ102" i="9"/>
  <c r="BR102" i="9" s="1"/>
  <c r="BQ101" i="9"/>
  <c r="BR101" i="9" s="1"/>
  <c r="BQ100" i="9"/>
  <c r="BR100" i="9" s="1"/>
  <c r="BQ98" i="9"/>
  <c r="BR98" i="9" s="1"/>
  <c r="BQ97" i="9"/>
  <c r="BR97" i="9" s="1"/>
  <c r="BQ96" i="9"/>
  <c r="BR96" i="9" s="1"/>
  <c r="BQ95" i="9"/>
  <c r="BR95" i="9" s="1"/>
  <c r="BQ94" i="9"/>
  <c r="BR94" i="9" s="1"/>
  <c r="BQ93" i="9"/>
  <c r="BR93" i="9" s="1"/>
  <c r="BQ92" i="9"/>
  <c r="BR92" i="9" s="1"/>
  <c r="BQ91" i="9"/>
  <c r="BQ80" i="9"/>
  <c r="BR80" i="9" s="1"/>
  <c r="BQ78" i="9"/>
  <c r="BQ77" i="9"/>
  <c r="BR77" i="9" s="1"/>
  <c r="BQ76" i="9"/>
  <c r="BR76" i="9" s="1"/>
  <c r="BQ75" i="9"/>
  <c r="BR75" i="9" s="1"/>
  <c r="BQ74" i="9"/>
  <c r="BR74" i="9" s="1"/>
  <c r="BQ73" i="9"/>
  <c r="BR73" i="9" s="1"/>
  <c r="BS74" i="9" s="1"/>
  <c r="BU74" i="9" s="1"/>
  <c r="BW74" i="9" s="1"/>
  <c r="BQ72" i="9"/>
  <c r="BR72" i="9" s="1"/>
  <c r="BS72" i="9" s="1"/>
  <c r="BU72" i="9" s="1"/>
  <c r="BW72" i="9" s="1"/>
  <c r="BQ71" i="9"/>
  <c r="BR71" i="9" s="1"/>
  <c r="BQ70" i="9"/>
  <c r="BQ68" i="9"/>
  <c r="BR68" i="9" s="1"/>
  <c r="BQ67" i="9"/>
  <c r="BQ66" i="9"/>
  <c r="BR66" i="9" s="1"/>
  <c r="BQ65" i="9"/>
  <c r="BR65" i="9" s="1"/>
  <c r="BQ64" i="9"/>
  <c r="BR64" i="9" s="1"/>
  <c r="BQ63" i="9"/>
  <c r="BR63" i="9" s="1"/>
  <c r="BQ62" i="9"/>
  <c r="BR62" i="9" s="1"/>
  <c r="BQ61" i="9"/>
  <c r="BR61" i="9" s="1"/>
  <c r="BQ60" i="9"/>
  <c r="BR60" i="9" s="1"/>
  <c r="BQ58" i="9"/>
  <c r="BQ57" i="9"/>
  <c r="BR57" i="9" s="1"/>
  <c r="BQ56" i="9"/>
  <c r="BQ55" i="9"/>
  <c r="BR55" i="9" s="1"/>
  <c r="BQ54" i="9"/>
  <c r="BR54" i="9" s="1"/>
  <c r="BQ53" i="9"/>
  <c r="BR53" i="9"/>
  <c r="BQ52" i="9"/>
  <c r="BR52" i="9" s="1"/>
  <c r="BQ51" i="9"/>
  <c r="BR51" i="9" s="1"/>
  <c r="BQ50" i="9"/>
  <c r="BR50" i="9" s="1"/>
  <c r="BQ48" i="9"/>
  <c r="BR48" i="9" s="1"/>
  <c r="BQ47" i="9"/>
  <c r="BR47" i="9" s="1"/>
  <c r="BQ46" i="9"/>
  <c r="BR46" i="9" s="1"/>
  <c r="BQ45" i="9"/>
  <c r="BQ44" i="9"/>
  <c r="BR44" i="9" s="1"/>
  <c r="BQ43" i="9"/>
  <c r="BQ42" i="9"/>
  <c r="BR42" i="9" s="1"/>
  <c r="BQ41" i="9"/>
  <c r="BR41" i="9" s="1"/>
  <c r="BQ40" i="9"/>
  <c r="BQ38" i="9"/>
  <c r="BR38" i="9" s="1"/>
  <c r="BQ37" i="9"/>
  <c r="BR37" i="9" s="1"/>
  <c r="BQ36" i="9"/>
  <c r="BR36" i="9" s="1"/>
  <c r="BQ35" i="9"/>
  <c r="BR35" i="9" s="1"/>
  <c r="BQ34" i="9"/>
  <c r="BR34" i="9" s="1"/>
  <c r="BQ33" i="9"/>
  <c r="BR33" i="9" s="1"/>
  <c r="BQ32" i="9"/>
  <c r="BR32" i="9" s="1"/>
  <c r="BQ31" i="9"/>
  <c r="BQ30" i="9"/>
  <c r="BR30" i="9" s="1"/>
  <c r="BQ27" i="9"/>
  <c r="BR27" i="9" s="1"/>
  <c r="BQ26" i="9"/>
  <c r="BR26" i="9" s="1"/>
  <c r="BQ25" i="9"/>
  <c r="BR25" i="9" s="1"/>
  <c r="BQ24" i="9"/>
  <c r="BQ23" i="9"/>
  <c r="BR23" i="9" s="1"/>
  <c r="BQ22" i="9"/>
  <c r="BQ21" i="9"/>
  <c r="BQ20" i="9"/>
  <c r="BR20" i="9" s="1"/>
  <c r="BQ18" i="9"/>
  <c r="BR18" i="9" s="1"/>
  <c r="BQ17" i="9"/>
  <c r="BR17" i="9" s="1"/>
  <c r="BQ16" i="9"/>
  <c r="BR16" i="9" s="1"/>
  <c r="BQ15" i="9"/>
  <c r="BR15" i="9" s="1"/>
  <c r="BQ14" i="9"/>
  <c r="BQ13" i="9"/>
  <c r="BR13" i="9" s="1"/>
  <c r="BQ12" i="9"/>
  <c r="BQ11" i="9"/>
  <c r="BR11" i="9" s="1"/>
  <c r="BQ10" i="9"/>
  <c r="BQ7" i="9"/>
  <c r="BR7" i="9" s="1"/>
  <c r="BQ6" i="9"/>
  <c r="BR6" i="9" s="1"/>
  <c r="BQ5" i="9"/>
  <c r="BR5" i="9" s="1"/>
  <c r="BQ4" i="9"/>
  <c r="BQ3" i="9"/>
  <c r="BR3" i="9" s="1"/>
  <c r="BR69" i="9"/>
  <c r="CE4" i="9"/>
  <c r="CE5" i="9" s="1"/>
  <c r="CE6" i="9" s="1"/>
  <c r="CE7" i="9" s="1"/>
  <c r="CE8" i="9" s="1"/>
  <c r="CE9" i="9" s="1"/>
  <c r="CE10" i="9" s="1"/>
  <c r="CE11" i="9" s="1"/>
  <c r="CE12" i="9" s="1"/>
  <c r="CE13" i="9" s="1"/>
  <c r="CE14" i="9" s="1"/>
  <c r="CE15" i="9" s="1"/>
  <c r="CE16" i="9" s="1"/>
  <c r="CE17" i="9" s="1"/>
  <c r="CE18" i="9" s="1"/>
  <c r="CE19" i="9" s="1"/>
  <c r="CE20" i="9" s="1"/>
  <c r="CE21" i="9" s="1"/>
  <c r="CE22" i="9" s="1"/>
  <c r="CE23" i="9" s="1"/>
  <c r="CE24" i="9" s="1"/>
  <c r="CE25" i="9" s="1"/>
  <c r="CE26" i="9" s="1"/>
  <c r="CE27" i="9" s="1"/>
  <c r="CE28" i="9" s="1"/>
  <c r="CE29" i="9" s="1"/>
  <c r="CE30" i="9" s="1"/>
  <c r="CE31" i="9" s="1"/>
  <c r="CE32" i="9" s="1"/>
  <c r="CE33" i="9" s="1"/>
  <c r="BP59" i="9"/>
  <c r="D21" i="9"/>
  <c r="BR285" i="9"/>
  <c r="D18" i="25"/>
  <c r="M34" i="25" s="1"/>
  <c r="N34" i="25" s="1"/>
  <c r="A98" i="25"/>
  <c r="A96" i="25"/>
  <c r="A92" i="25"/>
  <c r="A88" i="25"/>
  <c r="A84" i="25"/>
  <c r="A82" i="25"/>
  <c r="A78" i="25"/>
  <c r="A76" i="25"/>
  <c r="A74" i="25"/>
  <c r="A70" i="25"/>
  <c r="A68" i="25"/>
  <c r="A66" i="25"/>
  <c r="A62" i="25"/>
  <c r="A60" i="25"/>
  <c r="A58" i="25"/>
  <c r="A54" i="25"/>
  <c r="A52" i="25"/>
  <c r="A101" i="25"/>
  <c r="A97" i="25"/>
  <c r="A95" i="25"/>
  <c r="A93" i="25"/>
  <c r="A89" i="25"/>
  <c r="A87" i="25"/>
  <c r="A85" i="25"/>
  <c r="A81" i="25"/>
  <c r="A79" i="25"/>
  <c r="A77" i="25"/>
  <c r="A73" i="25"/>
  <c r="A71" i="25"/>
  <c r="A69" i="25"/>
  <c r="A65" i="25"/>
  <c r="A63" i="25"/>
  <c r="A61" i="25"/>
  <c r="A57" i="25"/>
  <c r="A55" i="25"/>
  <c r="A53" i="25"/>
  <c r="BP300" i="9"/>
  <c r="BP34" i="9"/>
  <c r="J87" i="9"/>
  <c r="J118" i="9" s="1"/>
  <c r="J152" i="9" s="1"/>
  <c r="C15" i="23"/>
  <c r="H15" i="23" s="1"/>
  <c r="C16" i="23"/>
  <c r="F16" i="23"/>
  <c r="D16" i="23"/>
  <c r="F15" i="23"/>
  <c r="D15" i="23"/>
  <c r="C10" i="23"/>
  <c r="H10" i="23" s="1"/>
  <c r="C11" i="23"/>
  <c r="C12" i="23"/>
  <c r="H12" i="23" s="1"/>
  <c r="C13" i="23"/>
  <c r="C14" i="23"/>
  <c r="H14" i="23" s="1"/>
  <c r="C9" i="23"/>
  <c r="U86" i="9"/>
  <c r="U164" i="9" s="1"/>
  <c r="U117" i="9"/>
  <c r="B33" i="24"/>
  <c r="B29" i="24"/>
  <c r="B26" i="24"/>
  <c r="B21" i="24"/>
  <c r="B20" i="24"/>
  <c r="B16" i="24"/>
  <c r="B15" i="24"/>
  <c r="B11" i="24"/>
  <c r="B10" i="24"/>
  <c r="B9" i="24"/>
  <c r="B8" i="24"/>
  <c r="C4" i="24"/>
  <c r="C2" i="24"/>
  <c r="F14" i="23"/>
  <c r="D14" i="23"/>
  <c r="F13" i="23"/>
  <c r="D13" i="23"/>
  <c r="F12" i="23"/>
  <c r="D12" i="23"/>
  <c r="F11" i="23"/>
  <c r="D11" i="23"/>
  <c r="F10" i="23"/>
  <c r="D10" i="23"/>
  <c r="F9" i="23"/>
  <c r="D9" i="23"/>
  <c r="A9" i="23"/>
  <c r="D3" i="23" s="1"/>
  <c r="A3" i="23"/>
  <c r="D20" i="23" s="1"/>
  <c r="A1" i="23"/>
  <c r="G2" i="23" s="1"/>
  <c r="L17" i="23"/>
  <c r="F5" i="16"/>
  <c r="B25" i="25"/>
  <c r="AQ6" i="24"/>
  <c r="C3" i="24" s="1"/>
  <c r="B13" i="19"/>
  <c r="B12" i="19"/>
  <c r="C2" i="19"/>
  <c r="B17" i="18"/>
  <c r="B16" i="18"/>
  <c r="B15" i="18"/>
  <c r="B14" i="18"/>
  <c r="B13" i="18"/>
  <c r="B12" i="18"/>
  <c r="B11" i="18"/>
  <c r="B9" i="18"/>
  <c r="B8" i="18"/>
  <c r="C4" i="18"/>
  <c r="C2" i="18"/>
  <c r="C37" i="16"/>
  <c r="C5" i="16"/>
  <c r="C3" i="16"/>
  <c r="O87" i="9"/>
  <c r="O118" i="9" s="1"/>
  <c r="O152" i="9" s="1"/>
  <c r="AT2" i="9"/>
  <c r="N87" i="9"/>
  <c r="N118" i="9" s="1"/>
  <c r="N152" i="9" s="1"/>
  <c r="M87" i="9"/>
  <c r="M118" i="9" s="1"/>
  <c r="M152" i="9" s="1"/>
  <c r="L7" i="9"/>
  <c r="BS258" i="9"/>
  <c r="BU258" i="9" s="1"/>
  <c r="BW258" i="9" s="1"/>
  <c r="BS163" i="9"/>
  <c r="BU163" i="9" s="1"/>
  <c r="BW163" i="9" s="1"/>
  <c r="I7" i="9"/>
  <c r="H7" i="9" s="1"/>
  <c r="BR10" i="9"/>
  <c r="BR12" i="9"/>
  <c r="BR21" i="9"/>
  <c r="BR45" i="9"/>
  <c r="BS46" i="9" s="1"/>
  <c r="BU46" i="9" s="1"/>
  <c r="BW46" i="9" s="1"/>
  <c r="BR56" i="9"/>
  <c r="BR58" i="9"/>
  <c r="BR70" i="9"/>
  <c r="BS39" i="9"/>
  <c r="BU39" i="9" s="1"/>
  <c r="BW39" i="9" s="1"/>
  <c r="BR227" i="9"/>
  <c r="BR78" i="9"/>
  <c r="BR109" i="9"/>
  <c r="BR139" i="9"/>
  <c r="BR209" i="9"/>
  <c r="BS190" i="9"/>
  <c r="BU190" i="9" s="1"/>
  <c r="BW190" i="9" s="1"/>
  <c r="BP211" i="9" l="1"/>
  <c r="BS7" i="9"/>
  <c r="BU7" i="9" s="1"/>
  <c r="BW7" i="9" s="1"/>
  <c r="AW8" i="9"/>
  <c r="C10" i="9"/>
  <c r="AX9" i="9" s="1"/>
  <c r="BS161" i="9"/>
  <c r="BU161" i="9" s="1"/>
  <c r="BW161" i="9" s="1"/>
  <c r="BS70" i="9"/>
  <c r="BU70" i="9" s="1"/>
  <c r="BW70" i="9" s="1"/>
  <c r="I14" i="23"/>
  <c r="BS28" i="9"/>
  <c r="BU28" i="9" s="1"/>
  <c r="BW28" i="9" s="1"/>
  <c r="BS38" i="9"/>
  <c r="BU38" i="9" s="1"/>
  <c r="BW38" i="9" s="1"/>
  <c r="BS111" i="9"/>
  <c r="BU111" i="9" s="1"/>
  <c r="BW111" i="9" s="1"/>
  <c r="BS156" i="9"/>
  <c r="BU156" i="9" s="1"/>
  <c r="BW156" i="9" s="1"/>
  <c r="BS83" i="9"/>
  <c r="BU83" i="9" s="1"/>
  <c r="BW83" i="9" s="1"/>
  <c r="U88" i="9"/>
  <c r="BS155" i="9"/>
  <c r="BU155" i="9" s="1"/>
  <c r="BW155" i="9" s="1"/>
  <c r="BS167" i="9"/>
  <c r="BU167" i="9" s="1"/>
  <c r="BW167" i="9" s="1"/>
  <c r="BS195" i="9"/>
  <c r="BU195" i="9" s="1"/>
  <c r="BW195" i="9" s="1"/>
  <c r="BS223" i="9"/>
  <c r="BU223" i="9" s="1"/>
  <c r="BW223" i="9" s="1"/>
  <c r="AO88" i="9"/>
  <c r="BS120" i="9"/>
  <c r="BU120" i="9" s="1"/>
  <c r="BW120" i="9" s="1"/>
  <c r="BS149" i="9"/>
  <c r="BU149" i="9" s="1"/>
  <c r="BW149" i="9" s="1"/>
  <c r="BS199" i="9"/>
  <c r="BU199" i="9" s="1"/>
  <c r="BW199" i="9" s="1"/>
  <c r="Q119" i="9"/>
  <c r="BS151" i="9"/>
  <c r="BU151" i="9" s="1"/>
  <c r="BW151" i="9" s="1"/>
  <c r="BS110" i="9"/>
  <c r="BU110" i="9" s="1"/>
  <c r="BW110" i="9" s="1"/>
  <c r="BS252" i="9"/>
  <c r="BU252" i="9" s="1"/>
  <c r="BW252" i="9" s="1"/>
  <c r="Q87" i="9"/>
  <c r="AO87" i="9" s="1"/>
  <c r="BS235" i="9"/>
  <c r="BU235" i="9" s="1"/>
  <c r="BW235" i="9" s="1"/>
  <c r="BS102" i="9"/>
  <c r="BU102" i="9" s="1"/>
  <c r="BW102" i="9" s="1"/>
  <c r="BS105" i="9"/>
  <c r="BU105" i="9" s="1"/>
  <c r="BW105" i="9" s="1"/>
  <c r="BS152" i="9"/>
  <c r="BU152" i="9" s="1"/>
  <c r="BW152" i="9" s="1"/>
  <c r="BS176" i="9"/>
  <c r="BU176" i="9" s="1"/>
  <c r="BW176" i="9" s="1"/>
  <c r="BS247" i="9"/>
  <c r="BU247" i="9" s="1"/>
  <c r="BW247" i="9" s="1"/>
  <c r="BP68" i="9"/>
  <c r="BP168" i="9"/>
  <c r="BP292" i="9"/>
  <c r="BP61" i="9"/>
  <c r="BP146" i="9"/>
  <c r="BP254" i="9"/>
  <c r="BP119" i="9"/>
  <c r="BP31" i="9"/>
  <c r="BP134" i="9"/>
  <c r="BP218" i="9"/>
  <c r="BP283" i="9"/>
  <c r="BS177" i="9"/>
  <c r="BU177" i="9" s="1"/>
  <c r="BW177" i="9" s="1"/>
  <c r="BS162" i="9"/>
  <c r="BU162" i="9" s="1"/>
  <c r="BW162" i="9" s="1"/>
  <c r="BS3" i="9"/>
  <c r="BU3" i="9" s="1"/>
  <c r="BW3" i="9" s="1"/>
  <c r="BS269" i="9"/>
  <c r="BU269" i="9" s="1"/>
  <c r="BW269" i="9" s="1"/>
  <c r="BS286" i="9"/>
  <c r="BU286" i="9" s="1"/>
  <c r="BW286" i="9" s="1"/>
  <c r="BS51" i="9"/>
  <c r="BU51" i="9" s="1"/>
  <c r="BW51" i="9" s="1"/>
  <c r="BS63" i="9"/>
  <c r="BU63" i="9" s="1"/>
  <c r="BW63" i="9" s="1"/>
  <c r="BS131" i="9"/>
  <c r="BU131" i="9" s="1"/>
  <c r="BW131" i="9" s="1"/>
  <c r="AR25" i="23"/>
  <c r="AS25" i="23" s="1"/>
  <c r="N40" i="25"/>
  <c r="L40" i="25" s="1"/>
  <c r="O40" i="25" s="1"/>
  <c r="BS94" i="9"/>
  <c r="BU94" i="9" s="1"/>
  <c r="BW94" i="9" s="1"/>
  <c r="BS196" i="9"/>
  <c r="BU196" i="9" s="1"/>
  <c r="BW196" i="9" s="1"/>
  <c r="BS212" i="9"/>
  <c r="BU212" i="9" s="1"/>
  <c r="BW212" i="9" s="1"/>
  <c r="BS99" i="9"/>
  <c r="BU99" i="9" s="1"/>
  <c r="BW99" i="9" s="1"/>
  <c r="BS108" i="9"/>
  <c r="BU108" i="9" s="1"/>
  <c r="BW108" i="9" s="1"/>
  <c r="BS173" i="9"/>
  <c r="BU173" i="9" s="1"/>
  <c r="BW173" i="9" s="1"/>
  <c r="AX8" i="9"/>
  <c r="BR192" i="9"/>
  <c r="BS192" i="9" s="1"/>
  <c r="BU192" i="9" s="1"/>
  <c r="BW192" i="9" s="1"/>
  <c r="BS17" i="9"/>
  <c r="BU17" i="9" s="1"/>
  <c r="BW17" i="9" s="1"/>
  <c r="BS61" i="9"/>
  <c r="BU61" i="9" s="1"/>
  <c r="BW61" i="9" s="1"/>
  <c r="BS222" i="9"/>
  <c r="BU222" i="9" s="1"/>
  <c r="BW222" i="9" s="1"/>
  <c r="BS225" i="9"/>
  <c r="BU225" i="9" s="1"/>
  <c r="BW225" i="9" s="1"/>
  <c r="BS282" i="9"/>
  <c r="BU282" i="9" s="1"/>
  <c r="BW282" i="9" s="1"/>
  <c r="G17" i="23"/>
  <c r="BP3" i="9"/>
  <c r="BZ7" i="9" s="1"/>
  <c r="BP20" i="9"/>
  <c r="BP152" i="9"/>
  <c r="BP246" i="9"/>
  <c r="BP289" i="9"/>
  <c r="BP51" i="9"/>
  <c r="BP102" i="9"/>
  <c r="BP121" i="9"/>
  <c r="BP127" i="9"/>
  <c r="BP201" i="9"/>
  <c r="BP236" i="9"/>
  <c r="BP272" i="9"/>
  <c r="BP288" i="9"/>
  <c r="BP49" i="9"/>
  <c r="BP149" i="9"/>
  <c r="BP43" i="9"/>
  <c r="BP78" i="9"/>
  <c r="BP110" i="9"/>
  <c r="BP167" i="9"/>
  <c r="BP193" i="9"/>
  <c r="BP228" i="9"/>
  <c r="BP264" i="9"/>
  <c r="BP89" i="9"/>
  <c r="BP229" i="9"/>
  <c r="BS109" i="9"/>
  <c r="BU109" i="9" s="1"/>
  <c r="BW109" i="9" s="1"/>
  <c r="BS300" i="9"/>
  <c r="BU300" i="9" s="1"/>
  <c r="BW300" i="9" s="1"/>
  <c r="BS97" i="9"/>
  <c r="BU97" i="9" s="1"/>
  <c r="BW97" i="9" s="1"/>
  <c r="BS291" i="9"/>
  <c r="BU291" i="9" s="1"/>
  <c r="BW291" i="9" s="1"/>
  <c r="BR14" i="9"/>
  <c r="BS14" i="9" s="1"/>
  <c r="BU14" i="9" s="1"/>
  <c r="BW14" i="9" s="1"/>
  <c r="BS154" i="9"/>
  <c r="BU154" i="9" s="1"/>
  <c r="BW154" i="9" s="1"/>
  <c r="BS157" i="9"/>
  <c r="BU157" i="9" s="1"/>
  <c r="BW157" i="9" s="1"/>
  <c r="BS48" i="9"/>
  <c r="BU48" i="9" s="1"/>
  <c r="BW48" i="9" s="1"/>
  <c r="BS283" i="9"/>
  <c r="BU283" i="9" s="1"/>
  <c r="BW283" i="9" s="1"/>
  <c r="BS54" i="9"/>
  <c r="BU54" i="9" s="1"/>
  <c r="BW54" i="9" s="1"/>
  <c r="BS58" i="9"/>
  <c r="BU58" i="9" s="1"/>
  <c r="BW58" i="9" s="1"/>
  <c r="BS208" i="9"/>
  <c r="BU208" i="9" s="1"/>
  <c r="BW208" i="9" s="1"/>
  <c r="BS277" i="9"/>
  <c r="BU277" i="9" s="1"/>
  <c r="BW277" i="9" s="1"/>
  <c r="BS206" i="9"/>
  <c r="BU206" i="9" s="1"/>
  <c r="BW206" i="9" s="1"/>
  <c r="BS227" i="9"/>
  <c r="BU227" i="9" s="1"/>
  <c r="BW227" i="9" s="1"/>
  <c r="BS153" i="9"/>
  <c r="BU153" i="9" s="1"/>
  <c r="BW153" i="9" s="1"/>
  <c r="BS145" i="9"/>
  <c r="BU145" i="9" s="1"/>
  <c r="BW145" i="9" s="1"/>
  <c r="BS136" i="9"/>
  <c r="BU136" i="9" s="1"/>
  <c r="BW136" i="9" s="1"/>
  <c r="BS49" i="9"/>
  <c r="BU49" i="9" s="1"/>
  <c r="BW49" i="9" s="1"/>
  <c r="BS292" i="9"/>
  <c r="BU292" i="9" s="1"/>
  <c r="BW292" i="9" s="1"/>
  <c r="BS98" i="9"/>
  <c r="BU98" i="9" s="1"/>
  <c r="BW98" i="9" s="1"/>
  <c r="BS166" i="9"/>
  <c r="BU166" i="9" s="1"/>
  <c r="BW166" i="9" s="1"/>
  <c r="BS50" i="9"/>
  <c r="BU50" i="9" s="1"/>
  <c r="BW50" i="9" s="1"/>
  <c r="BS257" i="9"/>
  <c r="BU257" i="9" s="1"/>
  <c r="BW257" i="9" s="1"/>
  <c r="BS295" i="9"/>
  <c r="BU295" i="9" s="1"/>
  <c r="BW295" i="9" s="1"/>
  <c r="BS205" i="9"/>
  <c r="BU205" i="9" s="1"/>
  <c r="BW205" i="9" s="1"/>
  <c r="BS256" i="9"/>
  <c r="BU256" i="9" s="1"/>
  <c r="BW256" i="9" s="1"/>
  <c r="BS284" i="9"/>
  <c r="BU284" i="9" s="1"/>
  <c r="BW284" i="9" s="1"/>
  <c r="BS268" i="9"/>
  <c r="BU268" i="9" s="1"/>
  <c r="BW268" i="9" s="1"/>
  <c r="BS229" i="9"/>
  <c r="BU229" i="9" s="1"/>
  <c r="BW229" i="9" s="1"/>
  <c r="BS6" i="9"/>
  <c r="BU6" i="9" s="1"/>
  <c r="BW6" i="9" s="1"/>
  <c r="BS126" i="9"/>
  <c r="BU126" i="9" s="1"/>
  <c r="BW126" i="9" s="1"/>
  <c r="BS211" i="9"/>
  <c r="BU211" i="9" s="1"/>
  <c r="BW211" i="9" s="1"/>
  <c r="BS221" i="9"/>
  <c r="BU221" i="9" s="1"/>
  <c r="BW221" i="9" s="1"/>
  <c r="BS281" i="9"/>
  <c r="BU281" i="9" s="1"/>
  <c r="BW281" i="9" s="1"/>
  <c r="BS293" i="9"/>
  <c r="BU293" i="9" s="1"/>
  <c r="BW293" i="9" s="1"/>
  <c r="BS81" i="9"/>
  <c r="BU81" i="9" s="1"/>
  <c r="BW81" i="9" s="1"/>
  <c r="BS179" i="9"/>
  <c r="BU179" i="9" s="1"/>
  <c r="BW179" i="9" s="1"/>
  <c r="BS278" i="9"/>
  <c r="BU278" i="9" s="1"/>
  <c r="BW278" i="9" s="1"/>
  <c r="I10" i="23"/>
  <c r="BS64" i="9"/>
  <c r="BU64" i="9" s="1"/>
  <c r="BW64" i="9" s="1"/>
  <c r="BS96" i="9"/>
  <c r="BU96" i="9" s="1"/>
  <c r="BW96" i="9" s="1"/>
  <c r="N36" i="25"/>
  <c r="L36" i="25" s="1"/>
  <c r="O36" i="25" s="1"/>
  <c r="N38" i="25"/>
  <c r="L38" i="25" s="1"/>
  <c r="O38" i="25" s="1"/>
  <c r="BS10" i="9"/>
  <c r="BU10" i="9" s="1"/>
  <c r="BW10" i="9" s="1"/>
  <c r="BS87" i="9"/>
  <c r="BU87" i="9" s="1"/>
  <c r="BW87" i="9" s="1"/>
  <c r="AL1" i="27"/>
  <c r="AQ9" i="16"/>
  <c r="AQ48" i="16" s="1"/>
  <c r="AO7" i="9"/>
  <c r="E23" i="25" s="1"/>
  <c r="BS129" i="9"/>
  <c r="BU129" i="9" s="1"/>
  <c r="BW129" i="9" s="1"/>
  <c r="BS130" i="9"/>
  <c r="BU130" i="9" s="1"/>
  <c r="BW130" i="9" s="1"/>
  <c r="BS119" i="9"/>
  <c r="BU119" i="9" s="1"/>
  <c r="BW119" i="9" s="1"/>
  <c r="BS123" i="9"/>
  <c r="BU123" i="9" s="1"/>
  <c r="BW123" i="9" s="1"/>
  <c r="BS122" i="9"/>
  <c r="BU122" i="9" s="1"/>
  <c r="BW122" i="9" s="1"/>
  <c r="BS12" i="9"/>
  <c r="BU12" i="9" s="1"/>
  <c r="BW12" i="9" s="1"/>
  <c r="BS59" i="9"/>
  <c r="BU59" i="9" s="1"/>
  <c r="BW59" i="9" s="1"/>
  <c r="BS71" i="9"/>
  <c r="BU71" i="9" s="1"/>
  <c r="BW71" i="9" s="1"/>
  <c r="BR217" i="9"/>
  <c r="BS218" i="9" s="1"/>
  <c r="BU218" i="9" s="1"/>
  <c r="BW218" i="9" s="1"/>
  <c r="BS118" i="9"/>
  <c r="BU118" i="9" s="1"/>
  <c r="BW118" i="9" s="1"/>
  <c r="N41" i="25"/>
  <c r="L41" i="25" s="1"/>
  <c r="O41" i="25" s="1"/>
  <c r="BS259" i="9"/>
  <c r="BU259" i="9" s="1"/>
  <c r="BW259" i="9" s="1"/>
  <c r="BS272" i="9"/>
  <c r="BU272" i="9" s="1"/>
  <c r="BW272" i="9" s="1"/>
  <c r="BS164" i="9"/>
  <c r="BU164" i="9" s="1"/>
  <c r="BW164" i="9" s="1"/>
  <c r="BS100" i="9"/>
  <c r="BU100" i="9" s="1"/>
  <c r="BW100" i="9" s="1"/>
  <c r="BS37" i="9"/>
  <c r="BU37" i="9" s="1"/>
  <c r="BW37" i="9" s="1"/>
  <c r="BS65" i="9"/>
  <c r="BU65" i="9" s="1"/>
  <c r="BW65" i="9" s="1"/>
  <c r="BS101" i="9"/>
  <c r="BU101" i="9" s="1"/>
  <c r="BW101" i="9" s="1"/>
  <c r="BS95" i="9"/>
  <c r="BU95" i="9" s="1"/>
  <c r="BW95" i="9" s="1"/>
  <c r="BS8" i="9"/>
  <c r="BU8" i="9" s="1"/>
  <c r="BW8" i="9" s="1"/>
  <c r="BS165" i="9"/>
  <c r="BU165" i="9" s="1"/>
  <c r="BW165" i="9" s="1"/>
  <c r="BS255" i="9"/>
  <c r="BU255" i="9" s="1"/>
  <c r="BW255" i="9" s="1"/>
  <c r="BS201" i="9"/>
  <c r="BU201" i="9" s="1"/>
  <c r="BW201" i="9" s="1"/>
  <c r="BS267" i="9"/>
  <c r="BU267" i="9" s="1"/>
  <c r="BW267" i="9" s="1"/>
  <c r="BS115" i="9"/>
  <c r="BU115" i="9" s="1"/>
  <c r="BW115" i="9" s="1"/>
  <c r="BS125" i="9"/>
  <c r="BU125" i="9" s="1"/>
  <c r="BW125" i="9" s="1"/>
  <c r="BS47" i="9"/>
  <c r="BU47" i="9" s="1"/>
  <c r="BW47" i="9" s="1"/>
  <c r="BS90" i="9"/>
  <c r="BU90" i="9" s="1"/>
  <c r="BW90" i="9" s="1"/>
  <c r="BS36" i="9"/>
  <c r="BU36" i="9" s="1"/>
  <c r="BW36" i="9" s="1"/>
  <c r="BS150" i="9"/>
  <c r="BU150" i="9" s="1"/>
  <c r="BW150" i="9" s="1"/>
  <c r="BS210" i="9"/>
  <c r="BU210" i="9" s="1"/>
  <c r="BW210" i="9" s="1"/>
  <c r="BS80" i="9"/>
  <c r="BU80" i="9" s="1"/>
  <c r="BW80" i="9" s="1"/>
  <c r="BS11" i="9"/>
  <c r="BU11" i="9" s="1"/>
  <c r="BW11" i="9" s="1"/>
  <c r="BS294" i="9"/>
  <c r="BU294" i="9" s="1"/>
  <c r="BW294" i="9" s="1"/>
  <c r="R87" i="9"/>
  <c r="AP87" i="9" s="1"/>
  <c r="BS228" i="9"/>
  <c r="BU228" i="9" s="1"/>
  <c r="BW228" i="9" s="1"/>
  <c r="BS139" i="9"/>
  <c r="BU139" i="9" s="1"/>
  <c r="BW139" i="9" s="1"/>
  <c r="BR158" i="9"/>
  <c r="BS159" i="9" s="1"/>
  <c r="BU159" i="9" s="1"/>
  <c r="BW159" i="9" s="1"/>
  <c r="BS78" i="9"/>
  <c r="BU78" i="9" s="1"/>
  <c r="BW78" i="9" s="1"/>
  <c r="BS148" i="9"/>
  <c r="BU148" i="9" s="1"/>
  <c r="BW148" i="9" s="1"/>
  <c r="BS84" i="9"/>
  <c r="BU84" i="9" s="1"/>
  <c r="BW84" i="9" s="1"/>
  <c r="BS273" i="9"/>
  <c r="BU273" i="9" s="1"/>
  <c r="BW273" i="9" s="1"/>
  <c r="BS234" i="9"/>
  <c r="BU234" i="9" s="1"/>
  <c r="BW234" i="9" s="1"/>
  <c r="I23" i="9"/>
  <c r="I40" i="9" s="1"/>
  <c r="I48" i="9" s="1"/>
  <c r="I64" i="9" s="1"/>
  <c r="BS264" i="9"/>
  <c r="BU264" i="9" s="1"/>
  <c r="BW264" i="9" s="1"/>
  <c r="BS77" i="9"/>
  <c r="BU77" i="9" s="1"/>
  <c r="BW77" i="9" s="1"/>
  <c r="BS69" i="9"/>
  <c r="BU69" i="9" s="1"/>
  <c r="BW69" i="9" s="1"/>
  <c r="BS56" i="9"/>
  <c r="BU56" i="9" s="1"/>
  <c r="BW56" i="9" s="1"/>
  <c r="BS42" i="9"/>
  <c r="BU42" i="9" s="1"/>
  <c r="BW42" i="9" s="1"/>
  <c r="BS16" i="9"/>
  <c r="BU16" i="9" s="1"/>
  <c r="BW16" i="9" s="1"/>
  <c r="BS93" i="9"/>
  <c r="BU93" i="9" s="1"/>
  <c r="BW93" i="9" s="1"/>
  <c r="BS276" i="9"/>
  <c r="BU276" i="9" s="1"/>
  <c r="BW276" i="9" s="1"/>
  <c r="N35" i="25"/>
  <c r="L35" i="25" s="1"/>
  <c r="O35" i="25" s="1"/>
  <c r="I12" i="23"/>
  <c r="BS124" i="9"/>
  <c r="BU124" i="9" s="1"/>
  <c r="BW124" i="9" s="1"/>
  <c r="B19" i="25"/>
  <c r="AV16" i="9"/>
  <c r="BS299" i="9"/>
  <c r="BU299" i="9" s="1"/>
  <c r="BW299" i="9" s="1"/>
  <c r="BS224" i="9"/>
  <c r="BU224" i="9" s="1"/>
  <c r="BW224" i="9" s="1"/>
  <c r="I15" i="23"/>
  <c r="BS226" i="9"/>
  <c r="BU226" i="9" s="1"/>
  <c r="BW226" i="9" s="1"/>
  <c r="BS132" i="9"/>
  <c r="BU132" i="9" s="1"/>
  <c r="BW132" i="9" s="1"/>
  <c r="BS251" i="9"/>
  <c r="BU251" i="9" s="1"/>
  <c r="BW251" i="9" s="1"/>
  <c r="BS186" i="9"/>
  <c r="BU186" i="9" s="1"/>
  <c r="BW186" i="9" s="1"/>
  <c r="BF105" i="9"/>
  <c r="BF7" i="9"/>
  <c r="BP4" i="9"/>
  <c r="BP42" i="9"/>
  <c r="BP60" i="9"/>
  <c r="BP77" i="9"/>
  <c r="BP18" i="9"/>
  <c r="BP108" i="9"/>
  <c r="BP133" i="9"/>
  <c r="BP165" i="9"/>
  <c r="BP151" i="9"/>
  <c r="BP192" i="9"/>
  <c r="BP210" i="9"/>
  <c r="BP227" i="9"/>
  <c r="BP245" i="9"/>
  <c r="BP263" i="9"/>
  <c r="BP291" i="9"/>
  <c r="BP185" i="9"/>
  <c r="BP82" i="9"/>
  <c r="BP290" i="9"/>
  <c r="BP169" i="9"/>
  <c r="BP33" i="9"/>
  <c r="BP52" i="9"/>
  <c r="BP70" i="9"/>
  <c r="BP103" i="9"/>
  <c r="BP91" i="9"/>
  <c r="BP123" i="9"/>
  <c r="BP147" i="9"/>
  <c r="BP132" i="9"/>
  <c r="BP170" i="9"/>
  <c r="BP202" i="9"/>
  <c r="BP220" i="9"/>
  <c r="BP237" i="9"/>
  <c r="BP255" i="9"/>
  <c r="BP273" i="9"/>
  <c r="BP12" i="9"/>
  <c r="BP199" i="9"/>
  <c r="BP219" i="9"/>
  <c r="BP39" i="9"/>
  <c r="BP7" i="9"/>
  <c r="BP23" i="9"/>
  <c r="BP38" i="9"/>
  <c r="BP47" i="9"/>
  <c r="BP56" i="9"/>
  <c r="BP65" i="9"/>
  <c r="BP74" i="9"/>
  <c r="BP96" i="9"/>
  <c r="BP116" i="9"/>
  <c r="BP28" i="9"/>
  <c r="BP98" i="9"/>
  <c r="BP112" i="9"/>
  <c r="BP128" i="9"/>
  <c r="BP138" i="9"/>
  <c r="BP160" i="9"/>
  <c r="BP176" i="9"/>
  <c r="BP143" i="9"/>
  <c r="BP161" i="9"/>
  <c r="BP178" i="9"/>
  <c r="BP197" i="9"/>
  <c r="BP206" i="9"/>
  <c r="BP215" i="9"/>
  <c r="BP224" i="9"/>
  <c r="BP233" i="9"/>
  <c r="BP242" i="9"/>
  <c r="BP251" i="9"/>
  <c r="BP260" i="9"/>
  <c r="BP268" i="9"/>
  <c r="BP277" i="9"/>
  <c r="BP296" i="9"/>
  <c r="BP209" i="9"/>
  <c r="BP139" i="9"/>
  <c r="BP281" i="9"/>
  <c r="BP183" i="9"/>
  <c r="BP85" i="9"/>
  <c r="BP8" i="9"/>
  <c r="BP21" i="9"/>
  <c r="BP37" i="9"/>
  <c r="BP46" i="9"/>
  <c r="BP55" i="9"/>
  <c r="BP64" i="9"/>
  <c r="BP73" i="9"/>
  <c r="BP95" i="9"/>
  <c r="BP115" i="9"/>
  <c r="BP26" i="9"/>
  <c r="BP97" i="9"/>
  <c r="BP111" i="9"/>
  <c r="BP126" i="9"/>
  <c r="BP137" i="9"/>
  <c r="BP158" i="9"/>
  <c r="BP174" i="9"/>
  <c r="BP142" i="9"/>
  <c r="BP157" i="9"/>
  <c r="BP177" i="9"/>
  <c r="BP196" i="9"/>
  <c r="BP205" i="9"/>
  <c r="BP214" i="9"/>
  <c r="BP223" i="9"/>
  <c r="BP232" i="9"/>
  <c r="BP241" i="9"/>
  <c r="BP250" i="9"/>
  <c r="BP258" i="9"/>
  <c r="BP267" i="9"/>
  <c r="BP276" i="9"/>
  <c r="BP295" i="9"/>
  <c r="BF40" i="9"/>
  <c r="BP279" i="9"/>
  <c r="BP184" i="9"/>
  <c r="BP88" i="9"/>
  <c r="BP282" i="9"/>
  <c r="BP186" i="9"/>
  <c r="BP87" i="9"/>
  <c r="BP9" i="9"/>
  <c r="BP10" i="9"/>
  <c r="BP5" i="9"/>
  <c r="BP17" i="9"/>
  <c r="BP27" i="9"/>
  <c r="BP36" i="9"/>
  <c r="BP41" i="9"/>
  <c r="BP45" i="9"/>
  <c r="BP50" i="9"/>
  <c r="BP54" i="9"/>
  <c r="BP58" i="9"/>
  <c r="BP63" i="9"/>
  <c r="BP67" i="9"/>
  <c r="BP72" i="9"/>
  <c r="BP76" i="9"/>
  <c r="BP92" i="9"/>
  <c r="BP101" i="9"/>
  <c r="BP114" i="9"/>
  <c r="BP16" i="9"/>
  <c r="BP24" i="9"/>
  <c r="BP32" i="9"/>
  <c r="BP94" i="9"/>
  <c r="BP106" i="9"/>
  <c r="BP107" i="9"/>
  <c r="BP118" i="9"/>
  <c r="BP125" i="9"/>
  <c r="BP131" i="9"/>
  <c r="BP136" i="9"/>
  <c r="BP145" i="9"/>
  <c r="BP156" i="9"/>
  <c r="BP164" i="9"/>
  <c r="BP172" i="9"/>
  <c r="BP122" i="9"/>
  <c r="BP141" i="9"/>
  <c r="BP150" i="9"/>
  <c r="BP155" i="9"/>
  <c r="BP166" i="9"/>
  <c r="BP175" i="9"/>
  <c r="BP191" i="9"/>
  <c r="BP195" i="9"/>
  <c r="BP200" i="9"/>
  <c r="BP204" i="9"/>
  <c r="BP208" i="9"/>
  <c r="BP213" i="9"/>
  <c r="BP217" i="9"/>
  <c r="BP222" i="9"/>
  <c r="BP226" i="9"/>
  <c r="BP231" i="9"/>
  <c r="BP235" i="9"/>
  <c r="BP240" i="9"/>
  <c r="BP244" i="9"/>
  <c r="BP248" i="9"/>
  <c r="BP253" i="9"/>
  <c r="BP257" i="9"/>
  <c r="BP262" i="9"/>
  <c r="BP266" i="9"/>
  <c r="BP271" i="9"/>
  <c r="BP275" i="9"/>
  <c r="BP280" i="9"/>
  <c r="BP294" i="9"/>
  <c r="BP298" i="9"/>
  <c r="BF71" i="9"/>
  <c r="DK1" i="9"/>
  <c r="AJ87" i="9"/>
  <c r="BP284" i="9"/>
  <c r="BP239" i="9"/>
  <c r="BP188" i="9"/>
  <c r="BP159" i="9"/>
  <c r="BP90" i="9"/>
  <c r="BP84" i="9"/>
  <c r="BP69" i="9"/>
  <c r="BP285" i="9"/>
  <c r="BP259" i="9"/>
  <c r="BP187" i="9"/>
  <c r="BP179" i="9"/>
  <c r="BP109" i="9"/>
  <c r="BP81" i="9"/>
  <c r="BP19" i="9"/>
  <c r="AJ118" i="9"/>
  <c r="BP6" i="9"/>
  <c r="BP15" i="9"/>
  <c r="BP25" i="9"/>
  <c r="BP35" i="9"/>
  <c r="BP40" i="9"/>
  <c r="BP44" i="9"/>
  <c r="BP48" i="9"/>
  <c r="BP53" i="9"/>
  <c r="BP57" i="9"/>
  <c r="BP62" i="9"/>
  <c r="BP66" i="9"/>
  <c r="BP71" i="9"/>
  <c r="BP75" i="9"/>
  <c r="BP80" i="9"/>
  <c r="BP100" i="9"/>
  <c r="BP113" i="9"/>
  <c r="BP14" i="9"/>
  <c r="BP22" i="9"/>
  <c r="BP30" i="9"/>
  <c r="BP93" i="9"/>
  <c r="BP104" i="9"/>
  <c r="BP105" i="9"/>
  <c r="BP117" i="9"/>
  <c r="BP124" i="9"/>
  <c r="BP130" i="9"/>
  <c r="BP135" i="9"/>
  <c r="BP144" i="9"/>
  <c r="BP154" i="9"/>
  <c r="BP162" i="9"/>
  <c r="BP171" i="9"/>
  <c r="BP120" i="9"/>
  <c r="BP140" i="9"/>
  <c r="BP148" i="9"/>
  <c r="BP153" i="9"/>
  <c r="BP163" i="9"/>
  <c r="BP173" i="9"/>
  <c r="BP180" i="9"/>
  <c r="BP194" i="9"/>
  <c r="BP198" i="9"/>
  <c r="BP203" i="9"/>
  <c r="BP207" i="9"/>
  <c r="BP212" i="9"/>
  <c r="BP216" i="9"/>
  <c r="BP221" i="9"/>
  <c r="BP225" i="9"/>
  <c r="BP230" i="9"/>
  <c r="BP234" i="9"/>
  <c r="BP238" i="9"/>
  <c r="BP243" i="9"/>
  <c r="BP247" i="9"/>
  <c r="BP252" i="9"/>
  <c r="BP256" i="9"/>
  <c r="BP261" i="9"/>
  <c r="BP265" i="9"/>
  <c r="BP270" i="9"/>
  <c r="BP274" i="9"/>
  <c r="BP278" i="9"/>
  <c r="BP293" i="9"/>
  <c r="BP297" i="9"/>
  <c r="BP11" i="9"/>
  <c r="CJ1" i="9"/>
  <c r="CS1" i="9" s="1"/>
  <c r="BP287" i="9"/>
  <c r="BP249" i="9"/>
  <c r="BP189" i="9"/>
  <c r="BP181" i="9"/>
  <c r="BP99" i="9"/>
  <c r="BP86" i="9"/>
  <c r="BP79" i="9"/>
  <c r="BP299" i="9"/>
  <c r="BP286" i="9"/>
  <c r="BP269" i="9"/>
  <c r="BP190" i="9"/>
  <c r="BP182" i="9"/>
  <c r="BP129" i="9"/>
  <c r="BP83" i="9"/>
  <c r="BP29" i="9"/>
  <c r="D2" i="23"/>
  <c r="D4" i="23"/>
  <c r="Q40" i="9"/>
  <c r="AO23" i="9"/>
  <c r="V87" i="9"/>
  <c r="AP7" i="9"/>
  <c r="T13" i="11"/>
  <c r="AY6" i="18"/>
  <c r="C3" i="18" s="1"/>
  <c r="AM6" i="19"/>
  <c r="C3" i="19" s="1"/>
  <c r="BR113" i="9"/>
  <c r="BS113" i="9" s="1"/>
  <c r="BU113" i="9" s="1"/>
  <c r="BW113" i="9" s="1"/>
  <c r="BR133" i="9"/>
  <c r="BS133" i="9" s="1"/>
  <c r="BU133" i="9" s="1"/>
  <c r="BW133" i="9" s="1"/>
  <c r="BR213" i="9"/>
  <c r="BS213" i="9"/>
  <c r="BU213" i="9" s="1"/>
  <c r="BW213" i="9" s="1"/>
  <c r="BS244" i="9"/>
  <c r="BU244" i="9" s="1"/>
  <c r="BW244" i="9" s="1"/>
  <c r="BS243" i="9"/>
  <c r="BU243" i="9" s="1"/>
  <c r="BW243" i="9" s="1"/>
  <c r="BS178" i="9"/>
  <c r="BU178" i="9" s="1"/>
  <c r="BW178" i="9" s="1"/>
  <c r="BS140" i="9"/>
  <c r="BU140" i="9" s="1"/>
  <c r="BW140" i="9" s="1"/>
  <c r="BS207" i="9"/>
  <c r="BU207" i="9" s="1"/>
  <c r="BW207" i="9" s="1"/>
  <c r="BR180" i="9"/>
  <c r="BS181" i="9" s="1"/>
  <c r="BU181" i="9" s="1"/>
  <c r="BW181" i="9" s="1"/>
  <c r="BR127" i="9"/>
  <c r="BS128" i="9" s="1"/>
  <c r="BU128" i="9" s="1"/>
  <c r="BW128" i="9" s="1"/>
  <c r="BR143" i="9"/>
  <c r="BS144" i="9" s="1"/>
  <c r="BU144" i="9" s="1"/>
  <c r="BW144" i="9" s="1"/>
  <c r="BS57" i="9"/>
  <c r="BU57" i="9" s="1"/>
  <c r="BW57" i="9" s="1"/>
  <c r="H13" i="23"/>
  <c r="I13" i="23"/>
  <c r="BR43" i="9"/>
  <c r="BS43" i="9" s="1"/>
  <c r="BU43" i="9" s="1"/>
  <c r="BW43" i="9" s="1"/>
  <c r="BR67" i="9"/>
  <c r="BS76" i="9"/>
  <c r="BU76" i="9" s="1"/>
  <c r="BW76" i="9" s="1"/>
  <c r="BS75" i="9"/>
  <c r="BU75" i="9" s="1"/>
  <c r="BW75" i="9" s="1"/>
  <c r="BR85" i="9"/>
  <c r="BS85" i="9" s="1"/>
  <c r="BU85" i="9" s="1"/>
  <c r="BW85" i="9" s="1"/>
  <c r="BS62" i="9"/>
  <c r="BU62" i="9" s="1"/>
  <c r="BW62" i="9" s="1"/>
  <c r="BS73" i="9"/>
  <c r="BU73" i="9" s="1"/>
  <c r="BW73" i="9" s="1"/>
  <c r="BS236" i="9"/>
  <c r="BU236" i="9" s="1"/>
  <c r="BW236" i="9" s="1"/>
  <c r="BR106" i="9"/>
  <c r="BS107" i="9" s="1"/>
  <c r="BU107" i="9" s="1"/>
  <c r="BW107" i="9" s="1"/>
  <c r="BR168" i="9"/>
  <c r="BS168" i="9" s="1"/>
  <c r="BU168" i="9" s="1"/>
  <c r="BW168" i="9" s="1"/>
  <c r="Q4" i="9"/>
  <c r="Q117" i="9" s="1"/>
  <c r="R117" i="9" s="1"/>
  <c r="J4" i="9"/>
  <c r="J117" i="9" s="1"/>
  <c r="O117" i="9" s="1"/>
  <c r="O5" i="9"/>
  <c r="O86" i="9" s="1"/>
  <c r="N5" i="9"/>
  <c r="N86" i="9" s="1"/>
  <c r="M5" i="9"/>
  <c r="M86" i="9" s="1"/>
  <c r="AQ7" i="16"/>
  <c r="AQ5" i="24"/>
  <c r="J5" i="9"/>
  <c r="J86" i="9" s="1"/>
  <c r="AQ8" i="16"/>
  <c r="T8" i="11" s="1"/>
  <c r="AQ4" i="24"/>
  <c r="O4" i="9"/>
  <c r="N4" i="9"/>
  <c r="AY5" i="18"/>
  <c r="Q118" i="9"/>
  <c r="BS66" i="9"/>
  <c r="BU66" i="9" s="1"/>
  <c r="BW66" i="9" s="1"/>
  <c r="BS169" i="9"/>
  <c r="BU169" i="9" s="1"/>
  <c r="BW169" i="9" s="1"/>
  <c r="L5" i="9"/>
  <c r="L86" i="9" s="1"/>
  <c r="L4" i="9"/>
  <c r="L87" i="9"/>
  <c r="L118" i="9" s="1"/>
  <c r="L152" i="9" s="1"/>
  <c r="AL6" i="27"/>
  <c r="AL3" i="27"/>
  <c r="T12" i="11" s="1"/>
  <c r="T9" i="11"/>
  <c r="BS45" i="9"/>
  <c r="BU45" i="9" s="1"/>
  <c r="BW45" i="9" s="1"/>
  <c r="BS209" i="9"/>
  <c r="BU209" i="9" s="1"/>
  <c r="BW209" i="9" s="1"/>
  <c r="BS88" i="9"/>
  <c r="BU88" i="9" s="1"/>
  <c r="BW88" i="9" s="1"/>
  <c r="BS79" i="9"/>
  <c r="BU79" i="9" s="1"/>
  <c r="BW79" i="9" s="1"/>
  <c r="BS194" i="9"/>
  <c r="BU194" i="9" s="1"/>
  <c r="BW194" i="9" s="1"/>
  <c r="BS143" i="9"/>
  <c r="BU143" i="9" s="1"/>
  <c r="BW143" i="9" s="1"/>
  <c r="BR22" i="9"/>
  <c r="BS23" i="9" s="1"/>
  <c r="BU23" i="9" s="1"/>
  <c r="BW23" i="9" s="1"/>
  <c r="BR248" i="9"/>
  <c r="BS248" i="9"/>
  <c r="BU248" i="9" s="1"/>
  <c r="BW248" i="9" s="1"/>
  <c r="BR261" i="9"/>
  <c r="BS261" i="9" s="1"/>
  <c r="BU261" i="9" s="1"/>
  <c r="BW261" i="9" s="1"/>
  <c r="BR274" i="9"/>
  <c r="BS274" i="9" s="1"/>
  <c r="BU274" i="9" s="1"/>
  <c r="BW274" i="9" s="1"/>
  <c r="AY4" i="18"/>
  <c r="H11" i="23"/>
  <c r="I11" i="23"/>
  <c r="BS116" i="9"/>
  <c r="BU116" i="9" s="1"/>
  <c r="BW116" i="9" s="1"/>
  <c r="BR4" i="9"/>
  <c r="BS4" i="9" s="1"/>
  <c r="BR24" i="9"/>
  <c r="BS25" i="9" s="1"/>
  <c r="BU25" i="9" s="1"/>
  <c r="BW25" i="9" s="1"/>
  <c r="BS55" i="9"/>
  <c r="BU55" i="9" s="1"/>
  <c r="BW55" i="9" s="1"/>
  <c r="BR146" i="9"/>
  <c r="BS147" i="9" s="1"/>
  <c r="BU147" i="9" s="1"/>
  <c r="BW147" i="9" s="1"/>
  <c r="BR202" i="9"/>
  <c r="BS202" i="9" s="1"/>
  <c r="BU202" i="9" s="1"/>
  <c r="BW202" i="9" s="1"/>
  <c r="BR215" i="9"/>
  <c r="BS215" i="9" s="1"/>
  <c r="BU215" i="9" s="1"/>
  <c r="BW215" i="9" s="1"/>
  <c r="BS231" i="9"/>
  <c r="BU231" i="9" s="1"/>
  <c r="BW231" i="9" s="1"/>
  <c r="BR297" i="9"/>
  <c r="BS297" i="9" s="1"/>
  <c r="BU297" i="9" s="1"/>
  <c r="BW297" i="9" s="1"/>
  <c r="N37" i="25"/>
  <c r="L37" i="25" s="1"/>
  <c r="O37" i="25" s="1"/>
  <c r="N39" i="25"/>
  <c r="L39" i="25" s="1"/>
  <c r="O39" i="25" s="1"/>
  <c r="BR29" i="9"/>
  <c r="BS30" i="9" s="1"/>
  <c r="BU30" i="9" s="1"/>
  <c r="BW30" i="9" s="1"/>
  <c r="BR188" i="9"/>
  <c r="BS188" i="9" s="1"/>
  <c r="BU188" i="9" s="1"/>
  <c r="BW188" i="9" s="1"/>
  <c r="BR249" i="9"/>
  <c r="BS250" i="9" s="1"/>
  <c r="BU250" i="9" s="1"/>
  <c r="BW250" i="9" s="1"/>
  <c r="BS285" i="9"/>
  <c r="BU285" i="9" s="1"/>
  <c r="BW285" i="9" s="1"/>
  <c r="T63" i="11"/>
  <c r="AV24" i="23"/>
  <c r="J13" i="23" s="1"/>
  <c r="H9" i="23"/>
  <c r="I9" i="23"/>
  <c r="BR40" i="9"/>
  <c r="BS41" i="9" s="1"/>
  <c r="BU41" i="9" s="1"/>
  <c r="BW41" i="9" s="1"/>
  <c r="BS53" i="9"/>
  <c r="BU53" i="9" s="1"/>
  <c r="BW53" i="9" s="1"/>
  <c r="BS52" i="9"/>
  <c r="BU52" i="9" s="1"/>
  <c r="BW52" i="9" s="1"/>
  <c r="BR134" i="9"/>
  <c r="BS134" i="9" s="1"/>
  <c r="BU134" i="9" s="1"/>
  <c r="BW134" i="9" s="1"/>
  <c r="BR237" i="9"/>
  <c r="BS238" i="9" s="1"/>
  <c r="BU238" i="9" s="1"/>
  <c r="BW238" i="9" s="1"/>
  <c r="BR253" i="9"/>
  <c r="BS254" i="9" s="1"/>
  <c r="BU254" i="9" s="1"/>
  <c r="BW254" i="9" s="1"/>
  <c r="AW9" i="9"/>
  <c r="C11" i="9"/>
  <c r="H16" i="23"/>
  <c r="I16" i="23"/>
  <c r="BS60" i="9"/>
  <c r="BU60" i="9" s="1"/>
  <c r="BW60" i="9" s="1"/>
  <c r="BS15" i="9"/>
  <c r="BU15" i="9" s="1"/>
  <c r="BW15" i="9" s="1"/>
  <c r="BS21" i="9"/>
  <c r="BU21" i="9" s="1"/>
  <c r="BW21" i="9" s="1"/>
  <c r="BR31" i="9"/>
  <c r="BS31" i="9" s="1"/>
  <c r="BU31" i="9" s="1"/>
  <c r="BW31" i="9" s="1"/>
  <c r="BR91" i="9"/>
  <c r="BR288" i="9"/>
  <c r="BS288" i="9" s="1"/>
  <c r="BU288" i="9" s="1"/>
  <c r="BW288" i="9" s="1"/>
  <c r="Q153" i="9"/>
  <c r="AO119" i="9"/>
  <c r="AU24" i="23"/>
  <c r="BS117" i="9"/>
  <c r="BU117" i="9" s="1"/>
  <c r="BW117" i="9" s="1"/>
  <c r="A59" i="25"/>
  <c r="A67" i="25"/>
  <c r="A75" i="25"/>
  <c r="A83" i="25"/>
  <c r="A91" i="25"/>
  <c r="A99" i="25"/>
  <c r="A56" i="25"/>
  <c r="A64" i="25"/>
  <c r="A72" i="25"/>
  <c r="A80" i="25"/>
  <c r="A90" i="25"/>
  <c r="A100" i="25"/>
  <c r="BS89" i="9"/>
  <c r="BU89" i="9" s="1"/>
  <c r="BW89" i="9" s="1"/>
  <c r="BS104" i="9"/>
  <c r="BU104" i="9" s="1"/>
  <c r="BW104" i="9" s="1"/>
  <c r="BR137" i="9"/>
  <c r="BS138" i="9" s="1"/>
  <c r="BU138" i="9" s="1"/>
  <c r="BW138" i="9" s="1"/>
  <c r="BS260" i="9"/>
  <c r="BU260" i="9" s="1"/>
  <c r="BW260" i="9" s="1"/>
  <c r="BS82" i="9"/>
  <c r="BU82" i="9" s="1"/>
  <c r="BW82" i="9" s="1"/>
  <c r="BS33" i="9"/>
  <c r="BU33" i="9" s="1"/>
  <c r="BW33" i="9" s="1"/>
  <c r="BS200" i="9"/>
  <c r="BU200" i="9" s="1"/>
  <c r="BW200" i="9" s="1"/>
  <c r="B1" i="25"/>
  <c r="A94" i="25"/>
  <c r="A86" i="25"/>
  <c r="BS170" i="9"/>
  <c r="BU170" i="9" s="1"/>
  <c r="BW170" i="9" s="1"/>
  <c r="BR270" i="9"/>
  <c r="BS271" i="9" s="1"/>
  <c r="BU271" i="9" s="1"/>
  <c r="BW271" i="9" s="1"/>
  <c r="BS287" i="9"/>
  <c r="BU287" i="9" s="1"/>
  <c r="BW287" i="9" s="1"/>
  <c r="M4" i="9"/>
  <c r="I59" i="30"/>
  <c r="I5" i="30"/>
  <c r="I12" i="30" s="1"/>
  <c r="BS13" i="9"/>
  <c r="BU13" i="9" s="1"/>
  <c r="BW13" i="9" s="1"/>
  <c r="F43" i="25"/>
  <c r="F44" i="25" s="1"/>
  <c r="E47" i="25"/>
  <c r="E46" i="25"/>
  <c r="E48" i="25"/>
  <c r="E45" i="25"/>
  <c r="I4" i="9"/>
  <c r="I117" i="9" s="1"/>
  <c r="N117" i="9" s="1"/>
  <c r="I5" i="9"/>
  <c r="I86" i="9" s="1"/>
  <c r="L23" i="9"/>
  <c r="L40" i="9" s="1"/>
  <c r="L48" i="9" s="1"/>
  <c r="L64" i="9" s="1"/>
  <c r="M23" i="9"/>
  <c r="M40" i="9" s="1"/>
  <c r="M48" i="9" s="1"/>
  <c r="M64" i="9" s="1"/>
  <c r="T32" i="11"/>
  <c r="T10" i="11"/>
  <c r="D49" i="25"/>
  <c r="H87" i="9"/>
  <c r="H118" i="9" s="1"/>
  <c r="H152" i="9" s="1"/>
  <c r="H4" i="9"/>
  <c r="H117" i="9" s="1"/>
  <c r="M117" i="9" s="1"/>
  <c r="H23" i="9"/>
  <c r="H40" i="9" s="1"/>
  <c r="H48" i="9" s="1"/>
  <c r="H64" i="9" s="1"/>
  <c r="H5" i="9"/>
  <c r="H86" i="9" s="1"/>
  <c r="G7" i="9"/>
  <c r="I87" i="9"/>
  <c r="I118" i="9" s="1"/>
  <c r="I152" i="9" s="1"/>
  <c r="Q86" i="9"/>
  <c r="BS19" i="9"/>
  <c r="BU19" i="9" s="1"/>
  <c r="BW19" i="9" s="1"/>
  <c r="BS18" i="9"/>
  <c r="BU18" i="9" s="1"/>
  <c r="BW18" i="9" s="1"/>
  <c r="BS27" i="9"/>
  <c r="BU27" i="9" s="1"/>
  <c r="BW27" i="9" s="1"/>
  <c r="BS26" i="9"/>
  <c r="BU26" i="9" s="1"/>
  <c r="BW26" i="9" s="1"/>
  <c r="BS35" i="9"/>
  <c r="BU35" i="9" s="1"/>
  <c r="BW35" i="9" s="1"/>
  <c r="BS34" i="9"/>
  <c r="BU34" i="9" s="1"/>
  <c r="BW34" i="9" s="1"/>
  <c r="BS182" i="9"/>
  <c r="BU182" i="9" s="1"/>
  <c r="BW182" i="9" s="1"/>
  <c r="BS183" i="9"/>
  <c r="BU183" i="9" s="1"/>
  <c r="BW183" i="9" s="1"/>
  <c r="BS185" i="9"/>
  <c r="BU185" i="9" s="1"/>
  <c r="BW185" i="9" s="1"/>
  <c r="BS184" i="9"/>
  <c r="BU184" i="9" s="1"/>
  <c r="BW184" i="9" s="1"/>
  <c r="J14" i="23"/>
  <c r="J15" i="23"/>
  <c r="J12" i="23"/>
  <c r="N3" i="23"/>
  <c r="Z8" i="23"/>
  <c r="BS232" i="9"/>
  <c r="BU232" i="9" s="1"/>
  <c r="BW232" i="9" s="1"/>
  <c r="BS233" i="9"/>
  <c r="BU233" i="9" s="1"/>
  <c r="BW233" i="9" s="1"/>
  <c r="BR141" i="9"/>
  <c r="BS141" i="9" s="1"/>
  <c r="BU141" i="9" s="1"/>
  <c r="BW141" i="9" s="1"/>
  <c r="BR265" i="9"/>
  <c r="BS266" i="9" s="1"/>
  <c r="BU266" i="9" s="1"/>
  <c r="BW266" i="9" s="1"/>
  <c r="I4" i="30"/>
  <c r="I11" i="30" s="1"/>
  <c r="B4" i="30"/>
  <c r="I6" i="30"/>
  <c r="BS146" i="9"/>
  <c r="BU146" i="9" s="1"/>
  <c r="BW146" i="9" s="1"/>
  <c r="BS175" i="9"/>
  <c r="BU175" i="9" s="1"/>
  <c r="BW175" i="9" s="1"/>
  <c r="BS198" i="9"/>
  <c r="BU198" i="9" s="1"/>
  <c r="BW198" i="9" s="1"/>
  <c r="BS204" i="9"/>
  <c r="BU204" i="9" s="1"/>
  <c r="BW204" i="9" s="1"/>
  <c r="BS242" i="9"/>
  <c r="BU242" i="9" s="1"/>
  <c r="BW242" i="9" s="1"/>
  <c r="BS246" i="9"/>
  <c r="BU246" i="9" s="1"/>
  <c r="BW246" i="9" s="1"/>
  <c r="BS275" i="9"/>
  <c r="BU275" i="9" s="1"/>
  <c r="BW275" i="9" s="1"/>
  <c r="BS86" i="9"/>
  <c r="BU86" i="9" s="1"/>
  <c r="BW86" i="9" s="1"/>
  <c r="BR219" i="9"/>
  <c r="BS219" i="9" s="1"/>
  <c r="BU219" i="9" s="1"/>
  <c r="BW219" i="9" s="1"/>
  <c r="BR239" i="9"/>
  <c r="BS240" i="9" s="1"/>
  <c r="BU240" i="9" s="1"/>
  <c r="BW240" i="9" s="1"/>
  <c r="BS280" i="9"/>
  <c r="BU280" i="9" s="1"/>
  <c r="BW280" i="9" s="1"/>
  <c r="AY22" i="18"/>
  <c r="AQ39" i="16"/>
  <c r="AQ3" i="24"/>
  <c r="N7" i="23"/>
  <c r="BS241" i="9"/>
  <c r="BU241" i="9" s="1"/>
  <c r="BW241" i="9" s="1"/>
  <c r="BS20" i="9"/>
  <c r="BU20" i="9" s="1"/>
  <c r="BW20" i="9" s="1"/>
  <c r="BS214" i="9"/>
  <c r="BU214" i="9" s="1"/>
  <c r="BW214" i="9" s="1"/>
  <c r="BS174" i="9"/>
  <c r="BU174" i="9" s="1"/>
  <c r="BW174" i="9" s="1"/>
  <c r="BS171" i="9"/>
  <c r="BU171" i="9" s="1"/>
  <c r="BW171" i="9" s="1"/>
  <c r="R23" i="9"/>
  <c r="BS112" i="9"/>
  <c r="BU112" i="9" s="1"/>
  <c r="BW112" i="9" s="1"/>
  <c r="BS121" i="9"/>
  <c r="BU121" i="9" s="1"/>
  <c r="BW121" i="9" s="1"/>
  <c r="BS142" i="9"/>
  <c r="BU142" i="9" s="1"/>
  <c r="BW142" i="9" s="1"/>
  <c r="BS172" i="9"/>
  <c r="BU172" i="9" s="1"/>
  <c r="BW172" i="9" s="1"/>
  <c r="BS191" i="9"/>
  <c r="BU191" i="9" s="1"/>
  <c r="BW191" i="9" s="1"/>
  <c r="BS197" i="9"/>
  <c r="BU197" i="9" s="1"/>
  <c r="BW197" i="9" s="1"/>
  <c r="BS245" i="9"/>
  <c r="BU245" i="9" s="1"/>
  <c r="BW245" i="9" s="1"/>
  <c r="BS263" i="9"/>
  <c r="BU263" i="9" s="1"/>
  <c r="BW263" i="9" s="1"/>
  <c r="BS296" i="9"/>
  <c r="BU296" i="9" s="1"/>
  <c r="BW296" i="9" s="1"/>
  <c r="BS9" i="9"/>
  <c r="BU9" i="9" s="1"/>
  <c r="BS160" i="9"/>
  <c r="BU160" i="9" s="1"/>
  <c r="BW160" i="9" s="1"/>
  <c r="BS279" i="9"/>
  <c r="BU279" i="9" s="1"/>
  <c r="BW279" i="9" s="1"/>
  <c r="BS290" i="9"/>
  <c r="BU290" i="9" s="1"/>
  <c r="BW290" i="9" s="1"/>
  <c r="J9" i="30"/>
  <c r="H8" i="30"/>
  <c r="A15" i="9"/>
  <c r="F9" i="30"/>
  <c r="BS135" i="9" l="1"/>
  <c r="BU135" i="9" s="1"/>
  <c r="BW135" i="9" s="1"/>
  <c r="U119" i="9"/>
  <c r="U153" i="9"/>
  <c r="BS237" i="9"/>
  <c r="BU237" i="9" s="1"/>
  <c r="BW237" i="9" s="1"/>
  <c r="BS189" i="9"/>
  <c r="BU189" i="9" s="1"/>
  <c r="BW189" i="9" s="1"/>
  <c r="BS44" i="9"/>
  <c r="BU44" i="9" s="1"/>
  <c r="BW44" i="9" s="1"/>
  <c r="BS193" i="9"/>
  <c r="BU193" i="9" s="1"/>
  <c r="BW193" i="9" s="1"/>
  <c r="BS239" i="9"/>
  <c r="BU239" i="9" s="1"/>
  <c r="BW239" i="9" s="1"/>
  <c r="BS127" i="9"/>
  <c r="BU127" i="9" s="1"/>
  <c r="BW127" i="9" s="1"/>
  <c r="J11" i="23"/>
  <c r="J9" i="23"/>
  <c r="BS29" i="9"/>
  <c r="BU29" i="9" s="1"/>
  <c r="BW29" i="9" s="1"/>
  <c r="BS298" i="9"/>
  <c r="BU298" i="9" s="1"/>
  <c r="BW298" i="9" s="1"/>
  <c r="BS203" i="9"/>
  <c r="BU203" i="9" s="1"/>
  <c r="BW203" i="9" s="1"/>
  <c r="BS24" i="9"/>
  <c r="BU24" i="9" s="1"/>
  <c r="BW24" i="9" s="1"/>
  <c r="BS180" i="9"/>
  <c r="BU180" i="9" s="1"/>
  <c r="BW180" i="9" s="1"/>
  <c r="BS220" i="9"/>
  <c r="BU220" i="9" s="1"/>
  <c r="BW220" i="9" s="1"/>
  <c r="BS32" i="9"/>
  <c r="BU32" i="9" s="1"/>
  <c r="BW32" i="9" s="1"/>
  <c r="AL5" i="27"/>
  <c r="AL8" i="27"/>
  <c r="Q3" i="9" s="1"/>
  <c r="AL9" i="27"/>
  <c r="AQ63" i="16"/>
  <c r="C4" i="16"/>
  <c r="AL2" i="27"/>
  <c r="AL4" i="27"/>
  <c r="BS262" i="9"/>
  <c r="BU262" i="9" s="1"/>
  <c r="BW262" i="9" s="1"/>
  <c r="BS265" i="9"/>
  <c r="BU265" i="9" s="1"/>
  <c r="BW265" i="9" s="1"/>
  <c r="BS106" i="9"/>
  <c r="BU106" i="9" s="1"/>
  <c r="BW106" i="9" s="1"/>
  <c r="BS158" i="9"/>
  <c r="BU158" i="9" s="1"/>
  <c r="BW158" i="9" s="1"/>
  <c r="BS217" i="9"/>
  <c r="BU217" i="9" s="1"/>
  <c r="BW217" i="9" s="1"/>
  <c r="BS137" i="9"/>
  <c r="BU137" i="9" s="1"/>
  <c r="BW137" i="9" s="1"/>
  <c r="BS289" i="9"/>
  <c r="BU289" i="9" s="1"/>
  <c r="BW289" i="9" s="1"/>
  <c r="BS253" i="9"/>
  <c r="BU253" i="9" s="1"/>
  <c r="BW253" i="9" s="1"/>
  <c r="BS40" i="9"/>
  <c r="BU40" i="9" s="1"/>
  <c r="BW40" i="9" s="1"/>
  <c r="N9" i="23"/>
  <c r="BS249" i="9"/>
  <c r="BU249" i="9" s="1"/>
  <c r="BW249" i="9" s="1"/>
  <c r="BS22" i="9"/>
  <c r="BU22" i="9" s="1"/>
  <c r="BW22" i="9" s="1"/>
  <c r="G8" i="11"/>
  <c r="T92" i="11"/>
  <c r="T53" i="11" s="1"/>
  <c r="C4" i="11"/>
  <c r="U7" i="9" s="1"/>
  <c r="U87" i="9" s="1"/>
  <c r="AO40" i="9"/>
  <c r="Q48" i="9"/>
  <c r="AP6" i="24"/>
  <c r="AP9" i="16"/>
  <c r="AX6" i="18"/>
  <c r="AL6" i="19"/>
  <c r="S13" i="11"/>
  <c r="F8" i="11"/>
  <c r="T6" i="11"/>
  <c r="R4" i="9"/>
  <c r="M9" i="23"/>
  <c r="Y9" i="23" s="1"/>
  <c r="AZ8" i="9"/>
  <c r="AY8" i="9" s="1"/>
  <c r="L9" i="23"/>
  <c r="K9" i="23" s="1"/>
  <c r="H10" i="25"/>
  <c r="G10" i="25" s="1"/>
  <c r="AK6" i="19"/>
  <c r="R13" i="11"/>
  <c r="AW6" i="18"/>
  <c r="AO6" i="24"/>
  <c r="AO9" i="16"/>
  <c r="Q152" i="9"/>
  <c r="AO118" i="9"/>
  <c r="BS67" i="9"/>
  <c r="BU67" i="9" s="1"/>
  <c r="BW67" i="9" s="1"/>
  <c r="BS68" i="9"/>
  <c r="BU68" i="9" s="1"/>
  <c r="BW68" i="9" s="1"/>
  <c r="BU4" i="9"/>
  <c r="BT4" i="9"/>
  <c r="BS92" i="9"/>
  <c r="BU92" i="9" s="1"/>
  <c r="BW92" i="9" s="1"/>
  <c r="BS91" i="9"/>
  <c r="BU91" i="9" s="1"/>
  <c r="BW91" i="9" s="1"/>
  <c r="Q1" i="9"/>
  <c r="BS216" i="9"/>
  <c r="BU216" i="9" s="1"/>
  <c r="BW216" i="9" s="1"/>
  <c r="J10" i="23"/>
  <c r="N12" i="23" s="1"/>
  <c r="E8" i="11"/>
  <c r="G43" i="25"/>
  <c r="G44" i="25" s="1"/>
  <c r="F46" i="25"/>
  <c r="F45" i="25"/>
  <c r="F48" i="25"/>
  <c r="F47" i="25"/>
  <c r="BS270" i="9"/>
  <c r="BU270" i="9" s="1"/>
  <c r="BW270" i="9" s="1"/>
  <c r="AH9" i="23"/>
  <c r="AG9" i="23" s="1"/>
  <c r="AI9" i="23" s="1"/>
  <c r="AO153" i="9"/>
  <c r="R153" i="9"/>
  <c r="AP153" i="9" s="1"/>
  <c r="AW10" i="9"/>
  <c r="C12" i="9"/>
  <c r="AX10" i="9"/>
  <c r="BS5" i="9"/>
  <c r="BU5" i="9" s="1"/>
  <c r="BW5" i="9" s="1"/>
  <c r="BS114" i="9"/>
  <c r="BU114" i="9" s="1"/>
  <c r="BW114" i="9" s="1"/>
  <c r="N10" i="23"/>
  <c r="E49" i="25"/>
  <c r="G23" i="9"/>
  <c r="G40" i="9" s="1"/>
  <c r="G48" i="9" s="1"/>
  <c r="G64" i="9" s="1"/>
  <c r="G5" i="9"/>
  <c r="G86" i="9" s="1"/>
  <c r="G4" i="9"/>
  <c r="G117" i="9" s="1"/>
  <c r="L117" i="9" s="1"/>
  <c r="G87" i="9"/>
  <c r="G118" i="9" s="1"/>
  <c r="G152" i="9" s="1"/>
  <c r="F7" i="9"/>
  <c r="BW9" i="9"/>
  <c r="BZ3" i="9"/>
  <c r="CB4" i="9" s="1"/>
  <c r="U113" i="9"/>
  <c r="U107" i="9"/>
  <c r="V107" i="9" s="1"/>
  <c r="U93" i="9"/>
  <c r="V93" i="9" s="1"/>
  <c r="U104" i="9"/>
  <c r="U111" i="9"/>
  <c r="V111" i="9" s="1"/>
  <c r="U97" i="9"/>
  <c r="U110" i="9"/>
  <c r="V110" i="9" s="1"/>
  <c r="U92" i="9"/>
  <c r="V92" i="9" s="1"/>
  <c r="U100" i="9"/>
  <c r="U108" i="9"/>
  <c r="V108" i="9" s="1"/>
  <c r="U90" i="9"/>
  <c r="V90" i="9" s="1"/>
  <c r="U105" i="9"/>
  <c r="V105" i="9" s="1"/>
  <c r="U91" i="9"/>
  <c r="V91" i="9" s="1"/>
  <c r="U109" i="9"/>
  <c r="V109" i="9" s="1"/>
  <c r="U106" i="9"/>
  <c r="V106" i="9" s="1"/>
  <c r="AH10" i="23"/>
  <c r="AG10" i="23" s="1"/>
  <c r="AI10" i="23" s="1"/>
  <c r="AH11" i="23"/>
  <c r="AG11" i="23" s="1"/>
  <c r="AI11" i="23" s="1"/>
  <c r="H4" i="30"/>
  <c r="H5" i="30"/>
  <c r="H6" i="30"/>
  <c r="R40" i="9"/>
  <c r="AP23" i="9"/>
  <c r="AT5" i="9" s="1"/>
  <c r="Z60" i="23"/>
  <c r="Z25" i="23"/>
  <c r="Z24" i="23" s="1"/>
  <c r="BG3" i="23"/>
  <c r="Z38" i="23"/>
  <c r="Z98" i="23"/>
  <c r="Y8" i="23"/>
  <c r="Z6" i="23"/>
  <c r="Z51" i="23"/>
  <c r="Z78" i="23"/>
  <c r="Z66" i="23"/>
  <c r="F4" i="30"/>
  <c r="F11" i="30" s="1"/>
  <c r="F8" i="30"/>
  <c r="F5" i="30"/>
  <c r="F12" i="30" s="1"/>
  <c r="G9" i="30"/>
  <c r="E9" i="30"/>
  <c r="AH13" i="23" l="1"/>
  <c r="AG13" i="23" s="1"/>
  <c r="AI13" i="23" s="1"/>
  <c r="AH14" i="23"/>
  <c r="AG14" i="23" s="1"/>
  <c r="AI14" i="23" s="1"/>
  <c r="AH12" i="23"/>
  <c r="AG12" i="23" s="1"/>
  <c r="AI12" i="23" s="1"/>
  <c r="AH15" i="23"/>
  <c r="AG15" i="23" s="1"/>
  <c r="AI15" i="23" s="1"/>
  <c r="N15" i="23"/>
  <c r="U9" i="23"/>
  <c r="N13" i="23"/>
  <c r="N14" i="23"/>
  <c r="N11" i="23"/>
  <c r="AL7" i="27"/>
  <c r="AL30" i="27"/>
  <c r="F49" i="25"/>
  <c r="Q9" i="23"/>
  <c r="S9" i="23"/>
  <c r="AK1" i="27"/>
  <c r="AX5" i="18"/>
  <c r="AX22" i="18"/>
  <c r="AX4" i="18"/>
  <c r="AP48" i="16"/>
  <c r="AP7" i="16"/>
  <c r="AP63" i="16"/>
  <c r="AP39" i="16"/>
  <c r="AP5" i="24"/>
  <c r="AP8" i="16"/>
  <c r="AP3" i="24"/>
  <c r="AP4" i="24"/>
  <c r="U118" i="9"/>
  <c r="U152" i="9"/>
  <c r="S63" i="11"/>
  <c r="S9" i="11"/>
  <c r="S10" i="11"/>
  <c r="S32" i="11"/>
  <c r="S92" i="11"/>
  <c r="S53" i="11" s="1"/>
  <c r="Q64" i="9"/>
  <c r="AO64" i="9" s="1"/>
  <c r="AO48" i="9"/>
  <c r="S12" i="11"/>
  <c r="Z9" i="23"/>
  <c r="X9" i="23"/>
  <c r="V9" i="23"/>
  <c r="BT5" i="9"/>
  <c r="BT6" i="9" s="1"/>
  <c r="BT7" i="9" s="1"/>
  <c r="BT8" i="9" s="1"/>
  <c r="BT9" i="9" s="1"/>
  <c r="BT10" i="9" s="1"/>
  <c r="BT11" i="9" s="1"/>
  <c r="BT12" i="9" s="1"/>
  <c r="BT13" i="9" s="1"/>
  <c r="BT14" i="9" s="1"/>
  <c r="BT15" i="9" s="1"/>
  <c r="BT16" i="9" s="1"/>
  <c r="BT17" i="9" s="1"/>
  <c r="BT18" i="9" s="1"/>
  <c r="BT19" i="9" s="1"/>
  <c r="BT20" i="9" s="1"/>
  <c r="BT21" i="9" s="1"/>
  <c r="BT22" i="9" s="1"/>
  <c r="BT23" i="9" s="1"/>
  <c r="BT24" i="9" s="1"/>
  <c r="BT25" i="9" s="1"/>
  <c r="BT26" i="9" s="1"/>
  <c r="BT27" i="9" s="1"/>
  <c r="BT28" i="9" s="1"/>
  <c r="BT29" i="9" s="1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Z4" i="9" s="1"/>
  <c r="AV6" i="18"/>
  <c r="AN6" i="24"/>
  <c r="AN9" i="16"/>
  <c r="Q13" i="11"/>
  <c r="AJ6" i="19"/>
  <c r="R9" i="11"/>
  <c r="R12" i="11"/>
  <c r="R32" i="11"/>
  <c r="R10" i="11"/>
  <c r="R63" i="11"/>
  <c r="R92" i="11"/>
  <c r="R53" i="11" s="1"/>
  <c r="AW11" i="9"/>
  <c r="AX11" i="9"/>
  <c r="C13" i="9"/>
  <c r="R9" i="23"/>
  <c r="P9" i="23"/>
  <c r="BV4" i="9"/>
  <c r="BV5" i="9" s="1"/>
  <c r="BV6" i="9" s="1"/>
  <c r="BV7" i="9" s="1"/>
  <c r="BV8" i="9" s="1"/>
  <c r="BV9" i="9" s="1"/>
  <c r="BV10" i="9" s="1"/>
  <c r="BV11" i="9" s="1"/>
  <c r="BV12" i="9" s="1"/>
  <c r="BV13" i="9" s="1"/>
  <c r="BV14" i="9" s="1"/>
  <c r="BV15" i="9" s="1"/>
  <c r="BV16" i="9" s="1"/>
  <c r="BV17" i="9" s="1"/>
  <c r="BV18" i="9" s="1"/>
  <c r="BV19" i="9" s="1"/>
  <c r="BV20" i="9" s="1"/>
  <c r="BV21" i="9" s="1"/>
  <c r="BV22" i="9" s="1"/>
  <c r="BV23" i="9" s="1"/>
  <c r="BV24" i="9" s="1"/>
  <c r="BV25" i="9" s="1"/>
  <c r="BV26" i="9" s="1"/>
  <c r="BV27" i="9" s="1"/>
  <c r="BV28" i="9" s="1"/>
  <c r="BV29" i="9" s="1"/>
  <c r="BV30" i="9" s="1"/>
  <c r="BV31" i="9" s="1"/>
  <c r="BV32" i="9" s="1"/>
  <c r="BV33" i="9" s="1"/>
  <c r="BV34" i="9" s="1"/>
  <c r="BV35" i="9" s="1"/>
  <c r="BV36" i="9" s="1"/>
  <c r="BV37" i="9" s="1"/>
  <c r="BV38" i="9" s="1"/>
  <c r="BV39" i="9" s="1"/>
  <c r="BV40" i="9" s="1"/>
  <c r="BV41" i="9" s="1"/>
  <c r="BV42" i="9" s="1"/>
  <c r="BV43" i="9" s="1"/>
  <c r="BV44" i="9" s="1"/>
  <c r="BV45" i="9" s="1"/>
  <c r="BV46" i="9" s="1"/>
  <c r="BV47" i="9" s="1"/>
  <c r="BV48" i="9" s="1"/>
  <c r="BV49" i="9" s="1"/>
  <c r="BV50" i="9" s="1"/>
  <c r="BV51" i="9" s="1"/>
  <c r="BV52" i="9" s="1"/>
  <c r="BV53" i="9" s="1"/>
  <c r="BV54" i="9" s="1"/>
  <c r="BV55" i="9" s="1"/>
  <c r="BV56" i="9" s="1"/>
  <c r="BV57" i="9" s="1"/>
  <c r="BV58" i="9" s="1"/>
  <c r="BV59" i="9" s="1"/>
  <c r="BV60" i="9" s="1"/>
  <c r="BV61" i="9" s="1"/>
  <c r="BV62" i="9" s="1"/>
  <c r="BV63" i="9" s="1"/>
  <c r="BV64" i="9" s="1"/>
  <c r="BV65" i="9" s="1"/>
  <c r="BV66" i="9" s="1"/>
  <c r="BV67" i="9" s="1"/>
  <c r="BV68" i="9" s="1"/>
  <c r="BV69" i="9" s="1"/>
  <c r="BV70" i="9" s="1"/>
  <c r="BV71" i="9" s="1"/>
  <c r="BV72" i="9" s="1"/>
  <c r="BV73" i="9" s="1"/>
  <c r="BV74" i="9" s="1"/>
  <c r="BV75" i="9" s="1"/>
  <c r="BV76" i="9" s="1"/>
  <c r="BV77" i="9" s="1"/>
  <c r="BV78" i="9" s="1"/>
  <c r="BV79" i="9" s="1"/>
  <c r="BV80" i="9" s="1"/>
  <c r="BV81" i="9" s="1"/>
  <c r="BV82" i="9" s="1"/>
  <c r="BV83" i="9" s="1"/>
  <c r="BV84" i="9" s="1"/>
  <c r="BV85" i="9" s="1"/>
  <c r="BV86" i="9" s="1"/>
  <c r="BV87" i="9" s="1"/>
  <c r="BV88" i="9" s="1"/>
  <c r="BV89" i="9" s="1"/>
  <c r="BV90" i="9" s="1"/>
  <c r="BV91" i="9" s="1"/>
  <c r="BV92" i="9" s="1"/>
  <c r="BV93" i="9" s="1"/>
  <c r="BV94" i="9" s="1"/>
  <c r="BV95" i="9" s="1"/>
  <c r="BV96" i="9" s="1"/>
  <c r="BV97" i="9" s="1"/>
  <c r="BV98" i="9" s="1"/>
  <c r="BV99" i="9" s="1"/>
  <c r="BV100" i="9" s="1"/>
  <c r="BV101" i="9" s="1"/>
  <c r="BV102" i="9" s="1"/>
  <c r="BV103" i="9" s="1"/>
  <c r="BV104" i="9" s="1"/>
  <c r="BV105" i="9" s="1"/>
  <c r="BV106" i="9" s="1"/>
  <c r="BV107" i="9" s="1"/>
  <c r="BV108" i="9" s="1"/>
  <c r="BV109" i="9" s="1"/>
  <c r="BV110" i="9" s="1"/>
  <c r="BV111" i="9" s="1"/>
  <c r="BV112" i="9" s="1"/>
  <c r="BV113" i="9" s="1"/>
  <c r="BV114" i="9" s="1"/>
  <c r="BV115" i="9" s="1"/>
  <c r="BV116" i="9" s="1"/>
  <c r="BV117" i="9" s="1"/>
  <c r="BV118" i="9" s="1"/>
  <c r="BV119" i="9" s="1"/>
  <c r="BV120" i="9" s="1"/>
  <c r="BV121" i="9" s="1"/>
  <c r="BV122" i="9" s="1"/>
  <c r="BV123" i="9" s="1"/>
  <c r="BV124" i="9" s="1"/>
  <c r="BV125" i="9" s="1"/>
  <c r="BV126" i="9" s="1"/>
  <c r="BV127" i="9" s="1"/>
  <c r="BV128" i="9" s="1"/>
  <c r="BV129" i="9" s="1"/>
  <c r="BV130" i="9" s="1"/>
  <c r="BV131" i="9" s="1"/>
  <c r="BV132" i="9" s="1"/>
  <c r="BV133" i="9" s="1"/>
  <c r="BV134" i="9" s="1"/>
  <c r="BV135" i="9" s="1"/>
  <c r="BV136" i="9" s="1"/>
  <c r="BV137" i="9" s="1"/>
  <c r="BV138" i="9" s="1"/>
  <c r="BV139" i="9" s="1"/>
  <c r="BV140" i="9" s="1"/>
  <c r="BV141" i="9" s="1"/>
  <c r="BV142" i="9" s="1"/>
  <c r="BV143" i="9" s="1"/>
  <c r="BV144" i="9" s="1"/>
  <c r="BV145" i="9" s="1"/>
  <c r="BV146" i="9" s="1"/>
  <c r="BV147" i="9" s="1"/>
  <c r="BV148" i="9" s="1"/>
  <c r="BV149" i="9" s="1"/>
  <c r="BV150" i="9" s="1"/>
  <c r="BV151" i="9" s="1"/>
  <c r="BV152" i="9" s="1"/>
  <c r="BV153" i="9" s="1"/>
  <c r="BV154" i="9" s="1"/>
  <c r="BV155" i="9" s="1"/>
  <c r="BV156" i="9" s="1"/>
  <c r="BV157" i="9" s="1"/>
  <c r="BV158" i="9" s="1"/>
  <c r="BV159" i="9" s="1"/>
  <c r="BV160" i="9" s="1"/>
  <c r="BV161" i="9" s="1"/>
  <c r="BV162" i="9" s="1"/>
  <c r="BV163" i="9" s="1"/>
  <c r="BV164" i="9" s="1"/>
  <c r="BV165" i="9" s="1"/>
  <c r="BV166" i="9" s="1"/>
  <c r="BV167" i="9" s="1"/>
  <c r="BV168" i="9" s="1"/>
  <c r="BV169" i="9" s="1"/>
  <c r="BV170" i="9" s="1"/>
  <c r="BV171" i="9" s="1"/>
  <c r="BV172" i="9" s="1"/>
  <c r="BV173" i="9" s="1"/>
  <c r="BV174" i="9" s="1"/>
  <c r="BV175" i="9" s="1"/>
  <c r="BV176" i="9" s="1"/>
  <c r="BV177" i="9" s="1"/>
  <c r="BV178" i="9" s="1"/>
  <c r="BV179" i="9" s="1"/>
  <c r="BV180" i="9" s="1"/>
  <c r="BV181" i="9" s="1"/>
  <c r="BV182" i="9" s="1"/>
  <c r="BV183" i="9" s="1"/>
  <c r="BV184" i="9" s="1"/>
  <c r="BV185" i="9" s="1"/>
  <c r="BV186" i="9" s="1"/>
  <c r="BV187" i="9" s="1"/>
  <c r="BV188" i="9" s="1"/>
  <c r="BV189" i="9" s="1"/>
  <c r="BV190" i="9" s="1"/>
  <c r="BV191" i="9" s="1"/>
  <c r="BV192" i="9" s="1"/>
  <c r="BV193" i="9" s="1"/>
  <c r="BV194" i="9" s="1"/>
  <c r="BV195" i="9" s="1"/>
  <c r="BV196" i="9" s="1"/>
  <c r="BV197" i="9" s="1"/>
  <c r="BV198" i="9" s="1"/>
  <c r="BV199" i="9" s="1"/>
  <c r="BV200" i="9" s="1"/>
  <c r="BV201" i="9" s="1"/>
  <c r="BV202" i="9" s="1"/>
  <c r="BV203" i="9" s="1"/>
  <c r="BV204" i="9" s="1"/>
  <c r="BV205" i="9" s="1"/>
  <c r="BV206" i="9" s="1"/>
  <c r="BV207" i="9" s="1"/>
  <c r="BV208" i="9" s="1"/>
  <c r="BV209" i="9" s="1"/>
  <c r="BV210" i="9" s="1"/>
  <c r="BV211" i="9" s="1"/>
  <c r="BV212" i="9" s="1"/>
  <c r="BV213" i="9" s="1"/>
  <c r="BV214" i="9" s="1"/>
  <c r="BV215" i="9" s="1"/>
  <c r="BV216" i="9" s="1"/>
  <c r="BV217" i="9" s="1"/>
  <c r="BV218" i="9" s="1"/>
  <c r="BV219" i="9" s="1"/>
  <c r="BV220" i="9" s="1"/>
  <c r="BV221" i="9" s="1"/>
  <c r="BV222" i="9" s="1"/>
  <c r="BV223" i="9" s="1"/>
  <c r="BV224" i="9" s="1"/>
  <c r="BV225" i="9" s="1"/>
  <c r="BV226" i="9" s="1"/>
  <c r="BV227" i="9" s="1"/>
  <c r="BV228" i="9" s="1"/>
  <c r="BV229" i="9" s="1"/>
  <c r="BV230" i="9" s="1"/>
  <c r="BV231" i="9" s="1"/>
  <c r="BV232" i="9" s="1"/>
  <c r="BV233" i="9" s="1"/>
  <c r="BV234" i="9" s="1"/>
  <c r="BV235" i="9" s="1"/>
  <c r="BV236" i="9" s="1"/>
  <c r="BV237" i="9" s="1"/>
  <c r="BV238" i="9" s="1"/>
  <c r="BV239" i="9" s="1"/>
  <c r="BV240" i="9" s="1"/>
  <c r="BV241" i="9" s="1"/>
  <c r="BV242" i="9" s="1"/>
  <c r="BV243" i="9" s="1"/>
  <c r="BV244" i="9" s="1"/>
  <c r="BV245" i="9" s="1"/>
  <c r="BV246" i="9" s="1"/>
  <c r="BV247" i="9" s="1"/>
  <c r="BV248" i="9" s="1"/>
  <c r="BV249" i="9" s="1"/>
  <c r="BV250" i="9" s="1"/>
  <c r="BV251" i="9" s="1"/>
  <c r="BV252" i="9" s="1"/>
  <c r="BV253" i="9" s="1"/>
  <c r="BV254" i="9" s="1"/>
  <c r="BV255" i="9" s="1"/>
  <c r="BV256" i="9" s="1"/>
  <c r="BV257" i="9" s="1"/>
  <c r="BV258" i="9" s="1"/>
  <c r="BV259" i="9" s="1"/>
  <c r="BV260" i="9" s="1"/>
  <c r="BV261" i="9" s="1"/>
  <c r="BV262" i="9" s="1"/>
  <c r="BV263" i="9" s="1"/>
  <c r="BV264" i="9" s="1"/>
  <c r="BV265" i="9" s="1"/>
  <c r="BV266" i="9" s="1"/>
  <c r="BV267" i="9" s="1"/>
  <c r="BV268" i="9" s="1"/>
  <c r="BV269" i="9" s="1"/>
  <c r="BV270" i="9" s="1"/>
  <c r="BV271" i="9" s="1"/>
  <c r="BV272" i="9" s="1"/>
  <c r="BV273" i="9" s="1"/>
  <c r="BV274" i="9" s="1"/>
  <c r="BV275" i="9" s="1"/>
  <c r="BV276" i="9" s="1"/>
  <c r="BV277" i="9" s="1"/>
  <c r="BV278" i="9" s="1"/>
  <c r="BV279" i="9" s="1"/>
  <c r="BV280" i="9" s="1"/>
  <c r="BV281" i="9" s="1"/>
  <c r="BV282" i="9" s="1"/>
  <c r="BV283" i="9" s="1"/>
  <c r="BV284" i="9" s="1"/>
  <c r="BV285" i="9" s="1"/>
  <c r="BV286" i="9" s="1"/>
  <c r="BV287" i="9" s="1"/>
  <c r="BV288" i="9" s="1"/>
  <c r="BV289" i="9" s="1"/>
  <c r="BV290" i="9" s="1"/>
  <c r="BV291" i="9" s="1"/>
  <c r="BV292" i="9" s="1"/>
  <c r="BV293" i="9" s="1"/>
  <c r="BV294" i="9" s="1"/>
  <c r="BV295" i="9" s="1"/>
  <c r="BV296" i="9" s="1"/>
  <c r="BV297" i="9" s="1"/>
  <c r="BV298" i="9" s="1"/>
  <c r="BV299" i="9" s="1"/>
  <c r="BV300" i="9" s="1"/>
  <c r="BZ5" i="9" s="1"/>
  <c r="BW4" i="9"/>
  <c r="BX4" i="9" s="1"/>
  <c r="BX5" i="9" s="1"/>
  <c r="BX6" i="9" s="1"/>
  <c r="BX7" i="9" s="1"/>
  <c r="BX8" i="9" s="1"/>
  <c r="R152" i="9"/>
  <c r="AP152" i="9" s="1"/>
  <c r="AO152" i="9"/>
  <c r="AW4" i="18"/>
  <c r="AW5" i="18"/>
  <c r="AW22" i="18"/>
  <c r="AJ1" i="27"/>
  <c r="BX9" i="9"/>
  <c r="BX10" i="9" s="1"/>
  <c r="BX11" i="9" s="1"/>
  <c r="BX12" i="9" s="1"/>
  <c r="BX13" i="9" s="1"/>
  <c r="BX14" i="9" s="1"/>
  <c r="BX15" i="9" s="1"/>
  <c r="BX16" i="9" s="1"/>
  <c r="BX17" i="9" s="1"/>
  <c r="BX18" i="9" s="1"/>
  <c r="BX19" i="9" s="1"/>
  <c r="BX20" i="9" s="1"/>
  <c r="BX21" i="9" s="1"/>
  <c r="BX22" i="9" s="1"/>
  <c r="BX23" i="9" s="1"/>
  <c r="BX24" i="9" s="1"/>
  <c r="BX25" i="9" s="1"/>
  <c r="BX26" i="9" s="1"/>
  <c r="BX27" i="9" s="1"/>
  <c r="BX28" i="9" s="1"/>
  <c r="BX29" i="9" s="1"/>
  <c r="BX30" i="9" s="1"/>
  <c r="BX31" i="9" s="1"/>
  <c r="BX32" i="9" s="1"/>
  <c r="BX33" i="9" s="1"/>
  <c r="BX34" i="9" s="1"/>
  <c r="BX35" i="9" s="1"/>
  <c r="BX36" i="9" s="1"/>
  <c r="BX37" i="9" s="1"/>
  <c r="BX38" i="9" s="1"/>
  <c r="BX39" i="9" s="1"/>
  <c r="BX40" i="9" s="1"/>
  <c r="BX41" i="9" s="1"/>
  <c r="BX42" i="9" s="1"/>
  <c r="BX43" i="9" s="1"/>
  <c r="BX44" i="9" s="1"/>
  <c r="BX45" i="9" s="1"/>
  <c r="BX46" i="9" s="1"/>
  <c r="BX47" i="9" s="1"/>
  <c r="BX48" i="9" s="1"/>
  <c r="BX49" i="9" s="1"/>
  <c r="BX50" i="9" s="1"/>
  <c r="BX51" i="9" s="1"/>
  <c r="BX52" i="9" s="1"/>
  <c r="BX53" i="9" s="1"/>
  <c r="BX54" i="9" s="1"/>
  <c r="BX55" i="9" s="1"/>
  <c r="BX56" i="9" s="1"/>
  <c r="BX57" i="9" s="1"/>
  <c r="BX58" i="9" s="1"/>
  <c r="BX59" i="9" s="1"/>
  <c r="BX60" i="9" s="1"/>
  <c r="BX61" i="9" s="1"/>
  <c r="BX62" i="9" s="1"/>
  <c r="BX63" i="9" s="1"/>
  <c r="BX64" i="9" s="1"/>
  <c r="BX65" i="9" s="1"/>
  <c r="BX66" i="9" s="1"/>
  <c r="BX67" i="9" s="1"/>
  <c r="BX68" i="9" s="1"/>
  <c r="BX69" i="9" s="1"/>
  <c r="BX70" i="9" s="1"/>
  <c r="BX71" i="9" s="1"/>
  <c r="BX72" i="9" s="1"/>
  <c r="BX73" i="9" s="1"/>
  <c r="BX74" i="9" s="1"/>
  <c r="BX75" i="9" s="1"/>
  <c r="BX76" i="9" s="1"/>
  <c r="BX77" i="9" s="1"/>
  <c r="BX78" i="9" s="1"/>
  <c r="BX79" i="9" s="1"/>
  <c r="BX80" i="9" s="1"/>
  <c r="BX81" i="9" s="1"/>
  <c r="BX82" i="9" s="1"/>
  <c r="BX83" i="9" s="1"/>
  <c r="BX84" i="9" s="1"/>
  <c r="BX85" i="9" s="1"/>
  <c r="BX86" i="9" s="1"/>
  <c r="BX87" i="9" s="1"/>
  <c r="BX88" i="9" s="1"/>
  <c r="BX89" i="9" s="1"/>
  <c r="BX90" i="9" s="1"/>
  <c r="BX91" i="9" s="1"/>
  <c r="BX92" i="9" s="1"/>
  <c r="BX93" i="9" s="1"/>
  <c r="BX94" i="9" s="1"/>
  <c r="BX95" i="9" s="1"/>
  <c r="BX96" i="9" s="1"/>
  <c r="BX97" i="9" s="1"/>
  <c r="BX98" i="9" s="1"/>
  <c r="BX99" i="9" s="1"/>
  <c r="BX100" i="9" s="1"/>
  <c r="BX101" i="9" s="1"/>
  <c r="BX102" i="9" s="1"/>
  <c r="BX103" i="9" s="1"/>
  <c r="BX104" i="9" s="1"/>
  <c r="BX105" i="9" s="1"/>
  <c r="BX106" i="9" s="1"/>
  <c r="BX107" i="9" s="1"/>
  <c r="BX108" i="9" s="1"/>
  <c r="BX109" i="9" s="1"/>
  <c r="BX110" i="9" s="1"/>
  <c r="BX111" i="9" s="1"/>
  <c r="BX112" i="9" s="1"/>
  <c r="BX113" i="9" s="1"/>
  <c r="BX114" i="9" s="1"/>
  <c r="BX115" i="9" s="1"/>
  <c r="BX116" i="9" s="1"/>
  <c r="BX117" i="9" s="1"/>
  <c r="BX118" i="9" s="1"/>
  <c r="BX119" i="9" s="1"/>
  <c r="BX120" i="9" s="1"/>
  <c r="BX121" i="9" s="1"/>
  <c r="BX122" i="9" s="1"/>
  <c r="BX123" i="9" s="1"/>
  <c r="BX124" i="9" s="1"/>
  <c r="BX125" i="9" s="1"/>
  <c r="BX126" i="9" s="1"/>
  <c r="BX127" i="9" s="1"/>
  <c r="BX128" i="9" s="1"/>
  <c r="BX129" i="9" s="1"/>
  <c r="BX130" i="9" s="1"/>
  <c r="BX131" i="9" s="1"/>
  <c r="BX132" i="9" s="1"/>
  <c r="BX133" i="9" s="1"/>
  <c r="BX134" i="9" s="1"/>
  <c r="BX135" i="9" s="1"/>
  <c r="BX136" i="9" s="1"/>
  <c r="BX137" i="9" s="1"/>
  <c r="BX138" i="9" s="1"/>
  <c r="BX139" i="9" s="1"/>
  <c r="BX140" i="9" s="1"/>
  <c r="BX141" i="9" s="1"/>
  <c r="BX142" i="9" s="1"/>
  <c r="BX143" i="9" s="1"/>
  <c r="BX144" i="9" s="1"/>
  <c r="BX145" i="9" s="1"/>
  <c r="BX146" i="9" s="1"/>
  <c r="BX147" i="9" s="1"/>
  <c r="BX148" i="9" s="1"/>
  <c r="BX149" i="9" s="1"/>
  <c r="BX150" i="9" s="1"/>
  <c r="BX151" i="9" s="1"/>
  <c r="BX152" i="9" s="1"/>
  <c r="BX153" i="9" s="1"/>
  <c r="BX154" i="9" s="1"/>
  <c r="BX155" i="9" s="1"/>
  <c r="BX156" i="9" s="1"/>
  <c r="BX157" i="9" s="1"/>
  <c r="BX158" i="9" s="1"/>
  <c r="BX159" i="9" s="1"/>
  <c r="BX160" i="9" s="1"/>
  <c r="BX161" i="9" s="1"/>
  <c r="BX162" i="9" s="1"/>
  <c r="BX163" i="9" s="1"/>
  <c r="BX164" i="9" s="1"/>
  <c r="BX165" i="9" s="1"/>
  <c r="BX166" i="9" s="1"/>
  <c r="BX167" i="9" s="1"/>
  <c r="BX168" i="9" s="1"/>
  <c r="BX169" i="9" s="1"/>
  <c r="BX170" i="9" s="1"/>
  <c r="BX171" i="9" s="1"/>
  <c r="BX172" i="9" s="1"/>
  <c r="BX173" i="9" s="1"/>
  <c r="BX174" i="9" s="1"/>
  <c r="BX175" i="9" s="1"/>
  <c r="BX176" i="9" s="1"/>
  <c r="BX177" i="9" s="1"/>
  <c r="BX178" i="9" s="1"/>
  <c r="BX179" i="9" s="1"/>
  <c r="BX180" i="9" s="1"/>
  <c r="BX181" i="9" s="1"/>
  <c r="BX182" i="9" s="1"/>
  <c r="BX183" i="9" s="1"/>
  <c r="BX184" i="9" s="1"/>
  <c r="BX185" i="9" s="1"/>
  <c r="BX186" i="9" s="1"/>
  <c r="BX187" i="9" s="1"/>
  <c r="BX188" i="9" s="1"/>
  <c r="BX189" i="9" s="1"/>
  <c r="BX190" i="9" s="1"/>
  <c r="BX191" i="9" s="1"/>
  <c r="BX192" i="9" s="1"/>
  <c r="BX193" i="9" s="1"/>
  <c r="BX194" i="9" s="1"/>
  <c r="BX195" i="9" s="1"/>
  <c r="BX196" i="9" s="1"/>
  <c r="BX197" i="9" s="1"/>
  <c r="BX198" i="9" s="1"/>
  <c r="BX199" i="9" s="1"/>
  <c r="BX200" i="9" s="1"/>
  <c r="BX201" i="9" s="1"/>
  <c r="BX202" i="9" s="1"/>
  <c r="BX203" i="9" s="1"/>
  <c r="BX204" i="9" s="1"/>
  <c r="BX205" i="9" s="1"/>
  <c r="BX206" i="9" s="1"/>
  <c r="BX207" i="9" s="1"/>
  <c r="BX208" i="9" s="1"/>
  <c r="BX209" i="9" s="1"/>
  <c r="BX210" i="9" s="1"/>
  <c r="BX211" i="9" s="1"/>
  <c r="BX212" i="9" s="1"/>
  <c r="BX213" i="9" s="1"/>
  <c r="BX214" i="9" s="1"/>
  <c r="BX215" i="9" s="1"/>
  <c r="BX216" i="9" s="1"/>
  <c r="BX217" i="9" s="1"/>
  <c r="BX218" i="9" s="1"/>
  <c r="BX219" i="9" s="1"/>
  <c r="BX220" i="9" s="1"/>
  <c r="BX221" i="9" s="1"/>
  <c r="BX222" i="9" s="1"/>
  <c r="BX223" i="9" s="1"/>
  <c r="BX224" i="9" s="1"/>
  <c r="BX225" i="9" s="1"/>
  <c r="BX226" i="9" s="1"/>
  <c r="BX227" i="9" s="1"/>
  <c r="BX228" i="9" s="1"/>
  <c r="BX229" i="9" s="1"/>
  <c r="BX230" i="9" s="1"/>
  <c r="BX231" i="9" s="1"/>
  <c r="BX232" i="9" s="1"/>
  <c r="BX233" i="9" s="1"/>
  <c r="BX234" i="9" s="1"/>
  <c r="BX235" i="9" s="1"/>
  <c r="BX236" i="9" s="1"/>
  <c r="BX237" i="9" s="1"/>
  <c r="BX238" i="9" s="1"/>
  <c r="BX239" i="9" s="1"/>
  <c r="BX240" i="9" s="1"/>
  <c r="BX241" i="9" s="1"/>
  <c r="BX242" i="9" s="1"/>
  <c r="BX243" i="9" s="1"/>
  <c r="BX244" i="9" s="1"/>
  <c r="BX245" i="9" s="1"/>
  <c r="BX246" i="9" s="1"/>
  <c r="BX247" i="9" s="1"/>
  <c r="BX248" i="9" s="1"/>
  <c r="BX249" i="9" s="1"/>
  <c r="BX250" i="9" s="1"/>
  <c r="BX251" i="9" s="1"/>
  <c r="BX252" i="9" s="1"/>
  <c r="BX253" i="9" s="1"/>
  <c r="BX254" i="9" s="1"/>
  <c r="BX255" i="9" s="1"/>
  <c r="BX256" i="9" s="1"/>
  <c r="BX257" i="9" s="1"/>
  <c r="BX258" i="9" s="1"/>
  <c r="BX259" i="9" s="1"/>
  <c r="BX260" i="9" s="1"/>
  <c r="BX261" i="9" s="1"/>
  <c r="BX262" i="9" s="1"/>
  <c r="BX263" i="9" s="1"/>
  <c r="BX264" i="9" s="1"/>
  <c r="BX265" i="9" s="1"/>
  <c r="BX266" i="9" s="1"/>
  <c r="BX267" i="9" s="1"/>
  <c r="BX268" i="9" s="1"/>
  <c r="BX269" i="9" s="1"/>
  <c r="BX270" i="9" s="1"/>
  <c r="BX271" i="9" s="1"/>
  <c r="BX272" i="9" s="1"/>
  <c r="BX273" i="9" s="1"/>
  <c r="BX274" i="9" s="1"/>
  <c r="BX275" i="9" s="1"/>
  <c r="BX276" i="9" s="1"/>
  <c r="BX277" i="9" s="1"/>
  <c r="BX278" i="9" s="1"/>
  <c r="BX279" i="9" s="1"/>
  <c r="BX280" i="9" s="1"/>
  <c r="BX281" i="9" s="1"/>
  <c r="BX282" i="9" s="1"/>
  <c r="BX283" i="9" s="1"/>
  <c r="BX284" i="9" s="1"/>
  <c r="BX285" i="9" s="1"/>
  <c r="BX286" i="9" s="1"/>
  <c r="BX287" i="9" s="1"/>
  <c r="BX288" i="9" s="1"/>
  <c r="BX289" i="9" s="1"/>
  <c r="BX290" i="9" s="1"/>
  <c r="BX291" i="9" s="1"/>
  <c r="BX292" i="9" s="1"/>
  <c r="BX293" i="9" s="1"/>
  <c r="BX294" i="9" s="1"/>
  <c r="BX295" i="9" s="1"/>
  <c r="BX296" i="9" s="1"/>
  <c r="BX297" i="9" s="1"/>
  <c r="BX298" i="9" s="1"/>
  <c r="BX299" i="9" s="1"/>
  <c r="BX300" i="9" s="1"/>
  <c r="BZ6" i="9" s="1"/>
  <c r="CC3" i="9" s="1"/>
  <c r="CD3" i="9" s="1"/>
  <c r="CF3" i="9" s="1"/>
  <c r="BF41" i="9" s="1"/>
  <c r="W9" i="23"/>
  <c r="O9" i="23"/>
  <c r="T9" i="23"/>
  <c r="H43" i="25"/>
  <c r="H44" i="25" s="1"/>
  <c r="G45" i="25"/>
  <c r="G46" i="25"/>
  <c r="G48" i="25"/>
  <c r="G47" i="25"/>
  <c r="AO39" i="16"/>
  <c r="AO63" i="16"/>
  <c r="AO4" i="24"/>
  <c r="AO8" i="16"/>
  <c r="AO48" i="16"/>
  <c r="AO3" i="24"/>
  <c r="AO7" i="16"/>
  <c r="AO5" i="24"/>
  <c r="AB9" i="23"/>
  <c r="H12" i="30"/>
  <c r="J12" i="30" s="1"/>
  <c r="H11" i="30"/>
  <c r="J11" i="30" s="1"/>
  <c r="M13" i="23"/>
  <c r="M10" i="23"/>
  <c r="AB10" i="23" s="1"/>
  <c r="M14" i="23"/>
  <c r="AB14" i="23" s="1"/>
  <c r="M11" i="23"/>
  <c r="AB11" i="23" s="1"/>
  <c r="M15" i="23"/>
  <c r="AB15" i="23" s="1"/>
  <c r="M12" i="23"/>
  <c r="AB12" i="23" s="1"/>
  <c r="F23" i="9"/>
  <c r="F40" i="9" s="1"/>
  <c r="F48" i="9" s="1"/>
  <c r="F64" i="9" s="1"/>
  <c r="F87" i="9"/>
  <c r="F118" i="9" s="1"/>
  <c r="F152" i="9" s="1"/>
  <c r="F4" i="9"/>
  <c r="F117" i="9" s="1"/>
  <c r="F5" i="9"/>
  <c r="F86" i="9" s="1"/>
  <c r="L13" i="23"/>
  <c r="AZ12" i="9"/>
  <c r="AY12" i="9" s="1"/>
  <c r="H14" i="25"/>
  <c r="G14" i="25" s="1"/>
  <c r="L12" i="23"/>
  <c r="H13" i="25"/>
  <c r="G13" i="25" s="1"/>
  <c r="AZ11" i="9"/>
  <c r="AY11" i="9" s="1"/>
  <c r="H12" i="25"/>
  <c r="G12" i="25" s="1"/>
  <c r="AZ10" i="9"/>
  <c r="AY10" i="9" s="1"/>
  <c r="L11" i="23"/>
  <c r="H15" i="25"/>
  <c r="G15" i="25" s="1"/>
  <c r="AZ13" i="9"/>
  <c r="AY13" i="9" s="1"/>
  <c r="L14" i="23"/>
  <c r="K17" i="23" s="1"/>
  <c r="AL24" i="27"/>
  <c r="U95" i="9"/>
  <c r="U73" i="9" s="1"/>
  <c r="V100" i="9"/>
  <c r="V101" i="9" s="1"/>
  <c r="U101" i="9"/>
  <c r="U112" i="9"/>
  <c r="V104" i="9"/>
  <c r="V112" i="9" s="1"/>
  <c r="BF9" i="9"/>
  <c r="Y98" i="23"/>
  <c r="Y51" i="23"/>
  <c r="X8" i="23"/>
  <c r="Y6" i="23"/>
  <c r="Y38" i="23"/>
  <c r="Y66" i="23"/>
  <c r="Y25" i="23"/>
  <c r="Y24" i="23" s="1"/>
  <c r="BF3" i="23"/>
  <c r="Y60" i="23"/>
  <c r="Y78" i="23"/>
  <c r="AP40" i="9"/>
  <c r="R48" i="9"/>
  <c r="AZ9" i="9"/>
  <c r="AY9" i="9" s="1"/>
  <c r="L10" i="23"/>
  <c r="H11" i="25"/>
  <c r="G11" i="25" s="1"/>
  <c r="H16" i="25"/>
  <c r="G16" i="25" s="1"/>
  <c r="AZ14" i="9"/>
  <c r="AY14" i="9" s="1"/>
  <c r="V97" i="9"/>
  <c r="V98" i="9" s="1"/>
  <c r="U98" i="9"/>
  <c r="U115" i="9"/>
  <c r="V113" i="9"/>
  <c r="V115" i="9" s="1"/>
  <c r="CB5" i="9"/>
  <c r="E4" i="30"/>
  <c r="E5" i="30"/>
  <c r="E8" i="30"/>
  <c r="D9" i="30"/>
  <c r="BF74" i="9" l="1"/>
  <c r="CC4" i="9"/>
  <c r="CD4" i="9" s="1"/>
  <c r="CF4" i="9" s="1"/>
  <c r="BF110" i="9"/>
  <c r="G49" i="25"/>
  <c r="S8" i="11"/>
  <c r="S6" i="11"/>
  <c r="AP5" i="16"/>
  <c r="AP10" i="16" s="1"/>
  <c r="AP40" i="16" s="1"/>
  <c r="AP49" i="16" s="1"/>
  <c r="AX3" i="18"/>
  <c r="AX7" i="18" s="1"/>
  <c r="AL4" i="19"/>
  <c r="AL7" i="19" s="1"/>
  <c r="AK24" i="27"/>
  <c r="AK3" i="27"/>
  <c r="AK4" i="27"/>
  <c r="AK8" i="27"/>
  <c r="AK9" i="27"/>
  <c r="AK5" i="27"/>
  <c r="AK6" i="27"/>
  <c r="AK2" i="27"/>
  <c r="AJ2" i="27"/>
  <c r="AJ3" i="27"/>
  <c r="AJ4" i="27"/>
  <c r="AJ6" i="27"/>
  <c r="AJ9" i="27"/>
  <c r="AJ5" i="27"/>
  <c r="AJ8" i="27"/>
  <c r="AK4" i="19"/>
  <c r="AK7" i="19" s="1"/>
  <c r="AO5" i="16"/>
  <c r="AO10" i="16" s="1"/>
  <c r="AO40" i="16" s="1"/>
  <c r="AO49" i="16" s="1"/>
  <c r="AW3" i="18"/>
  <c r="AW7" i="18" s="1"/>
  <c r="AJ24" i="27"/>
  <c r="DX4" i="9"/>
  <c r="DT4" i="9"/>
  <c r="DW4" i="9"/>
  <c r="DS4" i="9"/>
  <c r="DV4" i="9"/>
  <c r="DU4" i="9"/>
  <c r="DD4" i="9"/>
  <c r="DG4" i="9"/>
  <c r="DC4" i="9"/>
  <c r="DF4" i="9"/>
  <c r="DB4" i="9"/>
  <c r="DY4" i="9"/>
  <c r="DE4" i="9"/>
  <c r="DA4" i="9"/>
  <c r="DH4" i="9" s="1"/>
  <c r="CM4" i="9"/>
  <c r="BK42" i="9" s="1"/>
  <c r="DM4" i="9"/>
  <c r="CX4" i="9"/>
  <c r="CJ4" i="9"/>
  <c r="BH42" i="9" s="1"/>
  <c r="DK4" i="9"/>
  <c r="DN4" i="9"/>
  <c r="CI4" i="9"/>
  <c r="CP4" i="9" s="1"/>
  <c r="DO4" i="9"/>
  <c r="CT4" i="9"/>
  <c r="CO4" i="9"/>
  <c r="BM42" i="9" s="1"/>
  <c r="DP4" i="9"/>
  <c r="DJ4" i="9"/>
  <c r="CS4" i="9"/>
  <c r="BH10" i="9" s="1"/>
  <c r="CL4" i="9"/>
  <c r="BJ42" i="9" s="1"/>
  <c r="CN4" i="9"/>
  <c r="BL42" i="9" s="1"/>
  <c r="CU4" i="9"/>
  <c r="CW4" i="9"/>
  <c r="CR4" i="9"/>
  <c r="CV4" i="9"/>
  <c r="CK4" i="9"/>
  <c r="BI42" i="9" s="1"/>
  <c r="DL4" i="9"/>
  <c r="K14" i="25"/>
  <c r="AW12" i="9"/>
  <c r="C14" i="9"/>
  <c r="AX12" i="9"/>
  <c r="Q12" i="11"/>
  <c r="Q32" i="11"/>
  <c r="Q63" i="11"/>
  <c r="Q92" i="11"/>
  <c r="Q53" i="11" s="1"/>
  <c r="Q9" i="11"/>
  <c r="Q10" i="11"/>
  <c r="AI6" i="19"/>
  <c r="AU6" i="18"/>
  <c r="AM9" i="16"/>
  <c r="AM6" i="24"/>
  <c r="P13" i="11"/>
  <c r="K13" i="23"/>
  <c r="BA8" i="9"/>
  <c r="I10" i="25"/>
  <c r="R6" i="11"/>
  <c r="R8" i="11"/>
  <c r="I43" i="25"/>
  <c r="I44" i="25" s="1"/>
  <c r="H48" i="25"/>
  <c r="H47" i="25"/>
  <c r="H46" i="25"/>
  <c r="H45" i="25"/>
  <c r="DW3" i="9"/>
  <c r="DS3" i="9"/>
  <c r="DV3" i="9"/>
  <c r="DY3" i="9"/>
  <c r="DU3" i="9"/>
  <c r="DX3" i="9"/>
  <c r="DT3" i="9"/>
  <c r="DG3" i="9"/>
  <c r="DC3" i="9"/>
  <c r="DF3" i="9"/>
  <c r="DB3" i="9"/>
  <c r="DE3" i="9"/>
  <c r="DA3" i="9"/>
  <c r="DH3" i="9" s="1"/>
  <c r="DD3" i="9"/>
  <c r="DO3" i="9"/>
  <c r="DJ3" i="9"/>
  <c r="CS3" i="9"/>
  <c r="CU3" i="9"/>
  <c r="BJ9" i="9" s="1"/>
  <c r="BJ39" i="9" s="1"/>
  <c r="CO3" i="9"/>
  <c r="BM41" i="9" s="1"/>
  <c r="BM71" i="9" s="1"/>
  <c r="CN3" i="9"/>
  <c r="BL41" i="9" s="1"/>
  <c r="BL71" i="9" s="1"/>
  <c r="DP3" i="9"/>
  <c r="DK3" i="9"/>
  <c r="CT3" i="9"/>
  <c r="CJ3" i="9"/>
  <c r="BH41" i="9" s="1"/>
  <c r="BH71" i="9" s="1"/>
  <c r="CL3" i="9"/>
  <c r="BJ41" i="9" s="1"/>
  <c r="BJ71" i="9" s="1"/>
  <c r="DL3" i="9"/>
  <c r="DN3" i="9"/>
  <c r="CW3" i="9"/>
  <c r="CI3" i="9"/>
  <c r="CP3" i="9" s="1"/>
  <c r="CM3" i="9"/>
  <c r="BK41" i="9" s="1"/>
  <c r="BK71" i="9" s="1"/>
  <c r="CR3" i="9"/>
  <c r="CV3" i="9"/>
  <c r="BK9" i="9" s="1"/>
  <c r="CX3" i="9"/>
  <c r="DM3" i="9"/>
  <c r="CK3" i="9"/>
  <c r="BI41" i="9" s="1"/>
  <c r="BI71" i="9" s="1"/>
  <c r="AI1" i="27"/>
  <c r="AN63" i="16"/>
  <c r="AN3" i="24"/>
  <c r="AN48" i="16"/>
  <c r="AN39" i="16"/>
  <c r="AN5" i="24"/>
  <c r="AN8" i="16"/>
  <c r="AN7" i="16"/>
  <c r="AN4" i="24"/>
  <c r="AV22" i="18"/>
  <c r="AV5" i="18"/>
  <c r="AV4" i="18"/>
  <c r="J10" i="25"/>
  <c r="AE9" i="23"/>
  <c r="BB8" i="9"/>
  <c r="E12" i="30"/>
  <c r="G12" i="30" s="1"/>
  <c r="E11" i="30"/>
  <c r="G11" i="30" s="1"/>
  <c r="J109" i="9"/>
  <c r="Z12" i="23"/>
  <c r="S12" i="23"/>
  <c r="V12" i="23"/>
  <c r="U12" i="23"/>
  <c r="P12" i="23"/>
  <c r="X12" i="23"/>
  <c r="O12" i="23"/>
  <c r="W12" i="23"/>
  <c r="R12" i="23"/>
  <c r="Q12" i="23"/>
  <c r="Y12" i="23"/>
  <c r="T12" i="23"/>
  <c r="Y15" i="23"/>
  <c r="R15" i="23"/>
  <c r="Z15" i="23"/>
  <c r="S15" i="23"/>
  <c r="T15" i="23"/>
  <c r="U15" i="23"/>
  <c r="V15" i="23"/>
  <c r="W15" i="23"/>
  <c r="P15" i="23"/>
  <c r="X15" i="23"/>
  <c r="O15" i="23"/>
  <c r="Q15" i="23"/>
  <c r="Y11" i="23"/>
  <c r="V11" i="23"/>
  <c r="W11" i="23"/>
  <c r="P11" i="23"/>
  <c r="X11" i="23"/>
  <c r="O11" i="23"/>
  <c r="Q11" i="23"/>
  <c r="R11" i="23"/>
  <c r="Z11" i="23"/>
  <c r="S11" i="23"/>
  <c r="T11" i="23"/>
  <c r="U11" i="23"/>
  <c r="Z14" i="23"/>
  <c r="U14" i="23"/>
  <c r="T14" i="23"/>
  <c r="W14" i="23"/>
  <c r="V14" i="23"/>
  <c r="Q14" i="23"/>
  <c r="Y14" i="23"/>
  <c r="P14" i="23"/>
  <c r="X14" i="23"/>
  <c r="O14" i="23"/>
  <c r="S14" i="23"/>
  <c r="R14" i="23"/>
  <c r="Z10" i="23"/>
  <c r="Q10" i="23"/>
  <c r="Y10" i="23"/>
  <c r="P10" i="23"/>
  <c r="X10" i="23"/>
  <c r="O10" i="23"/>
  <c r="S10" i="23"/>
  <c r="R10" i="23"/>
  <c r="U10" i="23"/>
  <c r="T10" i="23"/>
  <c r="W10" i="23"/>
  <c r="V10" i="23"/>
  <c r="Y13" i="23"/>
  <c r="P13" i="23"/>
  <c r="X13" i="23"/>
  <c r="U13" i="23"/>
  <c r="R13" i="23"/>
  <c r="Z13" i="23"/>
  <c r="W13" i="23"/>
  <c r="T13" i="23"/>
  <c r="O13" i="23"/>
  <c r="Q13" i="23"/>
  <c r="V13" i="23"/>
  <c r="S13" i="23"/>
  <c r="AB13" i="23"/>
  <c r="BA12" i="9" s="1"/>
  <c r="K12" i="23"/>
  <c r="BC12" i="9"/>
  <c r="K13" i="25"/>
  <c r="BA14" i="9"/>
  <c r="I16" i="25"/>
  <c r="I11" i="25"/>
  <c r="BA9" i="9"/>
  <c r="BF111" i="9"/>
  <c r="BF42" i="9"/>
  <c r="BF10" i="9"/>
  <c r="BF75" i="9"/>
  <c r="K12" i="25"/>
  <c r="K11" i="25"/>
  <c r="BC10" i="9"/>
  <c r="BC9" i="9"/>
  <c r="X98" i="23"/>
  <c r="X51" i="23"/>
  <c r="W8" i="23"/>
  <c r="X60" i="23"/>
  <c r="X78" i="23"/>
  <c r="X66" i="23"/>
  <c r="X25" i="23"/>
  <c r="X24" i="23" s="1"/>
  <c r="X6" i="23"/>
  <c r="BE3" i="23"/>
  <c r="X38" i="23"/>
  <c r="I12" i="25"/>
  <c r="BA10" i="9"/>
  <c r="U71" i="9"/>
  <c r="K16" i="25"/>
  <c r="BC11" i="9"/>
  <c r="K15" i="25"/>
  <c r="K14" i="23"/>
  <c r="CC5" i="9"/>
  <c r="CD5" i="9" s="1"/>
  <c r="CF5" i="9" s="1"/>
  <c r="CB6" i="9"/>
  <c r="K11" i="23"/>
  <c r="K10" i="23"/>
  <c r="R64" i="9"/>
  <c r="AP64" i="9" s="1"/>
  <c r="AP48" i="9"/>
  <c r="U69" i="9"/>
  <c r="U8" i="9"/>
  <c r="U49" i="9" s="1"/>
  <c r="U67" i="9"/>
  <c r="U66" i="9"/>
  <c r="U9" i="9"/>
  <c r="V95" i="9"/>
  <c r="U70" i="9"/>
  <c r="BA13" i="9"/>
  <c r="I15" i="25"/>
  <c r="BA11" i="9"/>
  <c r="I13" i="25"/>
  <c r="BC14" i="9"/>
  <c r="BC13" i="9"/>
  <c r="R43" i="11"/>
  <c r="AO28" i="16"/>
  <c r="AO14" i="16"/>
  <c r="AJ14" i="27"/>
  <c r="AO24" i="16"/>
  <c r="AO33" i="16"/>
  <c r="R45" i="11"/>
  <c r="AO32" i="16"/>
  <c r="AO34" i="16" s="1"/>
  <c r="AO23" i="16"/>
  <c r="AO17" i="16"/>
  <c r="AO26" i="16"/>
  <c r="AO27" i="16"/>
  <c r="AO13" i="16"/>
  <c r="AO12" i="16"/>
  <c r="AO11" i="16" s="1"/>
  <c r="AJ13" i="27"/>
  <c r="AO25" i="16"/>
  <c r="AP33" i="16"/>
  <c r="S43" i="11"/>
  <c r="AK13" i="27"/>
  <c r="AP27" i="16"/>
  <c r="AP23" i="16"/>
  <c r="AP17" i="16"/>
  <c r="AP12" i="16"/>
  <c r="AP11" i="16" s="1"/>
  <c r="AP24" i="16"/>
  <c r="AP25" i="16"/>
  <c r="AP14" i="16"/>
  <c r="AP28" i="16"/>
  <c r="AP26" i="16"/>
  <c r="AP32" i="16"/>
  <c r="AP34" i="16" s="1"/>
  <c r="AP13" i="16"/>
  <c r="S45" i="11"/>
  <c r="AK14" i="27"/>
  <c r="D8" i="30"/>
  <c r="D5" i="30"/>
  <c r="D4" i="30"/>
  <c r="C9" i="30"/>
  <c r="AK36" i="27"/>
  <c r="AK37" i="27"/>
  <c r="AK38" i="27"/>
  <c r="AK39" i="27"/>
  <c r="H49" i="25" l="1"/>
  <c r="AN12" i="16"/>
  <c r="AN11" i="16" s="1"/>
  <c r="Q41" i="11" s="1"/>
  <c r="Q43" i="11"/>
  <c r="J107" i="9"/>
  <c r="J174" i="9"/>
  <c r="AN23" i="16"/>
  <c r="AI13" i="27"/>
  <c r="AN27" i="16"/>
  <c r="AN32" i="16"/>
  <c r="AN34" i="16" s="1"/>
  <c r="Q47" i="11" s="1"/>
  <c r="AK20" i="27"/>
  <c r="AK19" i="27"/>
  <c r="I14" i="25"/>
  <c r="AK7" i="27"/>
  <c r="AK30" i="27"/>
  <c r="BI10" i="9"/>
  <c r="BI74" i="9"/>
  <c r="BL74" i="9"/>
  <c r="AN13" i="16"/>
  <c r="AN26" i="16"/>
  <c r="BJ74" i="9"/>
  <c r="BJ110" i="9" s="1"/>
  <c r="BJ140" i="9" s="1"/>
  <c r="BH74" i="9"/>
  <c r="BL9" i="9"/>
  <c r="BL39" i="9" s="1"/>
  <c r="BL72" i="9" s="1"/>
  <c r="BL105" i="9" s="1"/>
  <c r="BG74" i="9"/>
  <c r="AN14" i="16"/>
  <c r="AN25" i="16"/>
  <c r="AN33" i="16"/>
  <c r="Q45" i="11"/>
  <c r="AI14" i="27"/>
  <c r="AN22" i="16"/>
  <c r="Q46" i="11" s="1"/>
  <c r="AN28" i="16"/>
  <c r="AN17" i="16"/>
  <c r="AN16" i="16"/>
  <c r="J106" i="9"/>
  <c r="DQ3" i="9"/>
  <c r="DZ3" i="9"/>
  <c r="BM9" i="9"/>
  <c r="BM39" i="9" s="1"/>
  <c r="BM72" i="9" s="1"/>
  <c r="BM105" i="9" s="1"/>
  <c r="AN24" i="16"/>
  <c r="J92" i="9"/>
  <c r="J95" i="9"/>
  <c r="BM74" i="9"/>
  <c r="BH9" i="9"/>
  <c r="BH39" i="9" s="1"/>
  <c r="BH72" i="9" s="1"/>
  <c r="BH105" i="9" s="1"/>
  <c r="BI9" i="9"/>
  <c r="BI39" i="9" s="1"/>
  <c r="BI72" i="9" s="1"/>
  <c r="BI105" i="9" s="1"/>
  <c r="BK74" i="9"/>
  <c r="BK110" i="9" s="1"/>
  <c r="BK140" i="9" s="1"/>
  <c r="CY3" i="9"/>
  <c r="BG41" i="9"/>
  <c r="Q6" i="11"/>
  <c r="Q8" i="11"/>
  <c r="AM8" i="16"/>
  <c r="AM3" i="24"/>
  <c r="AM63" i="16"/>
  <c r="AM4" i="24"/>
  <c r="AM39" i="16"/>
  <c r="AM48" i="16"/>
  <c r="AM7" i="16"/>
  <c r="AM5" i="24"/>
  <c r="AN5" i="16"/>
  <c r="AN10" i="16" s="1"/>
  <c r="AN40" i="16" s="1"/>
  <c r="AN49" i="16" s="1"/>
  <c r="AV3" i="18"/>
  <c r="AV7" i="18" s="1"/>
  <c r="AJ4" i="19"/>
  <c r="AJ7" i="19" s="1"/>
  <c r="P12" i="11"/>
  <c r="P92" i="11"/>
  <c r="P53" i="11" s="1"/>
  <c r="P32" i="11"/>
  <c r="P9" i="11"/>
  <c r="P63" i="11"/>
  <c r="P10" i="11"/>
  <c r="AW13" i="9"/>
  <c r="AX13" i="9"/>
  <c r="C15" i="9"/>
  <c r="AI8" i="27"/>
  <c r="AI5" i="27"/>
  <c r="AI2" i="27"/>
  <c r="AI6" i="27"/>
  <c r="AI9" i="27"/>
  <c r="AI4" i="27"/>
  <c r="AI3" i="27"/>
  <c r="AH1" i="27"/>
  <c r="AJ19" i="27"/>
  <c r="AJ20" i="27"/>
  <c r="BG9" i="9"/>
  <c r="BG39" i="9" s="1"/>
  <c r="DY5" i="9"/>
  <c r="DU5" i="9"/>
  <c r="DX5" i="9"/>
  <c r="DT5" i="9"/>
  <c r="DW5" i="9"/>
  <c r="DS5" i="9"/>
  <c r="DV5" i="9"/>
  <c r="DE5" i="9"/>
  <c r="DA5" i="9"/>
  <c r="DH5" i="9" s="1"/>
  <c r="DD5" i="9"/>
  <c r="DG5" i="9"/>
  <c r="DC5" i="9"/>
  <c r="DB5" i="9"/>
  <c r="DF5" i="9"/>
  <c r="CS5" i="9"/>
  <c r="CV5" i="9"/>
  <c r="CU5" i="9"/>
  <c r="CJ5" i="9"/>
  <c r="BH43" i="9" s="1"/>
  <c r="CM5" i="9"/>
  <c r="BK43" i="9" s="1"/>
  <c r="CL5" i="9"/>
  <c r="BJ43" i="9" s="1"/>
  <c r="DL5" i="9"/>
  <c r="CX5" i="9"/>
  <c r="DM5" i="9"/>
  <c r="CK5" i="9"/>
  <c r="BI43" i="9" s="1"/>
  <c r="CW5" i="9"/>
  <c r="CT5" i="9"/>
  <c r="DO5" i="9"/>
  <c r="CI5" i="9"/>
  <c r="CP5" i="9" s="1"/>
  <c r="DJ5" i="9"/>
  <c r="CO5" i="9"/>
  <c r="BM43" i="9" s="1"/>
  <c r="CR5" i="9"/>
  <c r="CN5" i="9"/>
  <c r="BL43" i="9" s="1"/>
  <c r="DN5" i="9"/>
  <c r="DP5" i="9"/>
  <c r="DK5" i="9"/>
  <c r="BJ72" i="9"/>
  <c r="BJ105" i="9" s="1"/>
  <c r="AI24" i="27"/>
  <c r="J43" i="25"/>
  <c r="J44" i="25" s="1"/>
  <c r="I47" i="25"/>
  <c r="I48" i="25"/>
  <c r="I46" i="25"/>
  <c r="I45" i="25"/>
  <c r="AL9" i="16"/>
  <c r="O13" i="11"/>
  <c r="AL6" i="24"/>
  <c r="AH6" i="19"/>
  <c r="AT6" i="18"/>
  <c r="AU5" i="18"/>
  <c r="AU22" i="18"/>
  <c r="AU4" i="18"/>
  <c r="AJ7" i="27"/>
  <c r="AJ30" i="27"/>
  <c r="J104" i="9"/>
  <c r="J91" i="9"/>
  <c r="J105" i="9"/>
  <c r="J111" i="9"/>
  <c r="J100" i="9"/>
  <c r="J101" i="9" s="1"/>
  <c r="F17" i="30"/>
  <c r="F16" i="30"/>
  <c r="J93" i="9"/>
  <c r="F19" i="30"/>
  <c r="F20" i="30"/>
  <c r="J108" i="9"/>
  <c r="J110" i="9"/>
  <c r="BH75" i="9"/>
  <c r="BH111" i="9" s="1"/>
  <c r="BK75" i="9"/>
  <c r="BL75" i="9"/>
  <c r="BL10" i="9"/>
  <c r="BM10" i="9"/>
  <c r="BM75" i="9"/>
  <c r="BI75" i="9"/>
  <c r="BI111" i="9" s="1"/>
  <c r="J14" i="25"/>
  <c r="AE13" i="23"/>
  <c r="BB12" i="9"/>
  <c r="J15" i="25"/>
  <c r="BB13" i="9"/>
  <c r="AE14" i="23"/>
  <c r="U50" i="9"/>
  <c r="U19" i="9"/>
  <c r="BF11" i="9"/>
  <c r="BF43" i="9"/>
  <c r="BF112" i="9"/>
  <c r="BF76" i="9"/>
  <c r="BK39" i="9"/>
  <c r="BK72" i="9" s="1"/>
  <c r="BK105" i="9" s="1"/>
  <c r="BB11" i="9"/>
  <c r="J13" i="25"/>
  <c r="AE12" i="23"/>
  <c r="BJ10" i="9"/>
  <c r="J11" i="25"/>
  <c r="BB9" i="9"/>
  <c r="AE10" i="23"/>
  <c r="J16" i="25"/>
  <c r="BB14" i="9"/>
  <c r="CC6" i="9"/>
  <c r="CD6" i="9" s="1"/>
  <c r="CF6" i="9" s="1"/>
  <c r="CB7" i="9"/>
  <c r="J12" i="25"/>
  <c r="BB10" i="9"/>
  <c r="AE11" i="23"/>
  <c r="W98" i="23"/>
  <c r="W78" i="23"/>
  <c r="W60" i="23"/>
  <c r="W38" i="23"/>
  <c r="W25" i="23"/>
  <c r="W24" i="23" s="1"/>
  <c r="W66" i="23"/>
  <c r="W51" i="23"/>
  <c r="BD3" i="23"/>
  <c r="V8" i="23"/>
  <c r="W6" i="23"/>
  <c r="DQ4" i="9"/>
  <c r="BG75" i="9"/>
  <c r="BG42" i="9"/>
  <c r="BN42" i="9" s="1"/>
  <c r="BE42" i="9" s="1"/>
  <c r="BG10" i="9"/>
  <c r="CY4" i="9"/>
  <c r="DZ4" i="9"/>
  <c r="BJ75" i="9"/>
  <c r="BK10" i="9"/>
  <c r="AK12" i="27"/>
  <c r="AP16" i="16"/>
  <c r="Y39" i="23"/>
  <c r="AP35" i="16"/>
  <c r="S47" i="11"/>
  <c r="AK10" i="27"/>
  <c r="AP15" i="16"/>
  <c r="AK11" i="27"/>
  <c r="AP21" i="16"/>
  <c r="AK47" i="27"/>
  <c r="AK46" i="27"/>
  <c r="AJ12" i="27"/>
  <c r="AO16" i="16"/>
  <c r="AJ11" i="27"/>
  <c r="AJ10" i="27"/>
  <c r="AO15" i="16"/>
  <c r="AI47" i="27"/>
  <c r="AN21" i="16"/>
  <c r="Y52" i="23"/>
  <c r="S41" i="11"/>
  <c r="AP6" i="16"/>
  <c r="AP18" i="16"/>
  <c r="AK45" i="27"/>
  <c r="AP22" i="16"/>
  <c r="S46" i="11" s="1"/>
  <c r="Y56" i="23"/>
  <c r="S34" i="11"/>
  <c r="Y55" i="23" s="1"/>
  <c r="R41" i="11"/>
  <c r="X52" i="23"/>
  <c r="AO18" i="16"/>
  <c r="AO6" i="16"/>
  <c r="AJ46" i="27"/>
  <c r="AJ47" i="27"/>
  <c r="AO21" i="16"/>
  <c r="X39" i="23"/>
  <c r="AO35" i="16"/>
  <c r="R47" i="11"/>
  <c r="AJ45" i="27"/>
  <c r="AO22" i="16"/>
  <c r="R46" i="11" s="1"/>
  <c r="R34" i="11"/>
  <c r="X55" i="23" s="1"/>
  <c r="X56" i="23"/>
  <c r="W56" i="23"/>
  <c r="AI10" i="27"/>
  <c r="AN15" i="16"/>
  <c r="AI11" i="27"/>
  <c r="F29" i="30"/>
  <c r="J155" i="9"/>
  <c r="F30" i="30"/>
  <c r="J158" i="9"/>
  <c r="J159" i="9"/>
  <c r="J160" i="9"/>
  <c r="J157" i="9"/>
  <c r="C5" i="30"/>
  <c r="C4" i="30"/>
  <c r="C8" i="30"/>
  <c r="J177" i="9"/>
  <c r="AJ39" i="27"/>
  <c r="AJ37" i="27"/>
  <c r="AJ38" i="27"/>
  <c r="AJ36" i="27"/>
  <c r="BL76" i="9" l="1"/>
  <c r="BJ76" i="9"/>
  <c r="Q34" i="11"/>
  <c r="W55" i="23" s="1"/>
  <c r="AI46" i="27"/>
  <c r="J175" i="9"/>
  <c r="BL110" i="9"/>
  <c r="BL140" i="9" s="1"/>
  <c r="AI45" i="27"/>
  <c r="I177" i="9"/>
  <c r="I174" i="9"/>
  <c r="AN6" i="16"/>
  <c r="W52" i="23"/>
  <c r="I49" i="25"/>
  <c r="BM110" i="9"/>
  <c r="BM140" i="9" s="1"/>
  <c r="BN9" i="9"/>
  <c r="BE9" i="9" s="1"/>
  <c r="AI12" i="27"/>
  <c r="I91" i="9"/>
  <c r="I108" i="9"/>
  <c r="I100" i="9"/>
  <c r="I101" i="9" s="1"/>
  <c r="I107" i="9"/>
  <c r="AN18" i="16"/>
  <c r="Q35" i="11" s="1"/>
  <c r="BG110" i="9"/>
  <c r="BN110" i="9" s="1"/>
  <c r="I109" i="9"/>
  <c r="BN41" i="9"/>
  <c r="BE41" i="9" s="1"/>
  <c r="I110" i="9"/>
  <c r="I106" i="9"/>
  <c r="BH110" i="9"/>
  <c r="BH140" i="9" s="1"/>
  <c r="I93" i="9"/>
  <c r="I105" i="9"/>
  <c r="BG71" i="9"/>
  <c r="BN71" i="9" s="1"/>
  <c r="BN74" i="9"/>
  <c r="BE74" i="9" s="1"/>
  <c r="W39" i="23"/>
  <c r="W42" i="23" s="1"/>
  <c r="BE27" i="23" s="1"/>
  <c r="AN35" i="16"/>
  <c r="F15" i="30"/>
  <c r="BI110" i="9"/>
  <c r="BI140" i="9" s="1"/>
  <c r="AT4" i="18"/>
  <c r="AT22" i="18"/>
  <c r="AT5" i="18"/>
  <c r="AL39" i="16"/>
  <c r="AL7" i="16"/>
  <c r="AL5" i="24"/>
  <c r="AL63" i="16"/>
  <c r="AL8" i="16"/>
  <c r="AL4" i="24"/>
  <c r="AL48" i="16"/>
  <c r="AL3" i="24"/>
  <c r="AI20" i="27"/>
  <c r="AI19" i="27"/>
  <c r="AI7" i="27"/>
  <c r="AI30" i="27"/>
  <c r="AG1" i="27"/>
  <c r="K43" i="25"/>
  <c r="J46" i="25"/>
  <c r="J47" i="25"/>
  <c r="J45" i="25"/>
  <c r="J48" i="25"/>
  <c r="AH24" i="27"/>
  <c r="AU3" i="18"/>
  <c r="AU7" i="18" s="1"/>
  <c r="AM5" i="16"/>
  <c r="AM10" i="16" s="1"/>
  <c r="AM40" i="16" s="1"/>
  <c r="AM49" i="16" s="1"/>
  <c r="AI4" i="19"/>
  <c r="AI7" i="19" s="1"/>
  <c r="DV6" i="9"/>
  <c r="DY6" i="9"/>
  <c r="DU6" i="9"/>
  <c r="DX6" i="9"/>
  <c r="DT6" i="9"/>
  <c r="DW6" i="9"/>
  <c r="DS6" i="9"/>
  <c r="DF6" i="9"/>
  <c r="DB6" i="9"/>
  <c r="DE6" i="9"/>
  <c r="DA6" i="9"/>
  <c r="DD6" i="9"/>
  <c r="DG6" i="9"/>
  <c r="DC6" i="9"/>
  <c r="CV6" i="9"/>
  <c r="CM6" i="9"/>
  <c r="BK44" i="9" s="1"/>
  <c r="DO6" i="9"/>
  <c r="DJ6" i="9"/>
  <c r="DP6" i="9"/>
  <c r="CW6" i="9"/>
  <c r="CU6" i="9"/>
  <c r="CR6" i="9"/>
  <c r="CX6" i="9"/>
  <c r="CK6" i="9"/>
  <c r="BI44" i="9" s="1"/>
  <c r="DL6" i="9"/>
  <c r="CS6" i="9"/>
  <c r="CL6" i="9"/>
  <c r="BJ44" i="9" s="1"/>
  <c r="CI6" i="9"/>
  <c r="CP6" i="9" s="1"/>
  <c r="CN6" i="9"/>
  <c r="BL44" i="9" s="1"/>
  <c r="DK6" i="9"/>
  <c r="DM6" i="9"/>
  <c r="CT6" i="9"/>
  <c r="CO6" i="9"/>
  <c r="BM44" i="9" s="1"/>
  <c r="DN6" i="9"/>
  <c r="CJ6" i="9"/>
  <c r="BH44" i="9" s="1"/>
  <c r="AG6" i="19"/>
  <c r="N13" i="11"/>
  <c r="AK6" i="24"/>
  <c r="AS6" i="18"/>
  <c r="AK9" i="16"/>
  <c r="O12" i="11"/>
  <c r="O9" i="11"/>
  <c r="O10" i="11"/>
  <c r="O32" i="11"/>
  <c r="O92" i="11"/>
  <c r="O53" i="11" s="1"/>
  <c r="O63" i="11"/>
  <c r="AH3" i="27"/>
  <c r="AH5" i="27"/>
  <c r="AH4" i="27"/>
  <c r="AH2" i="27"/>
  <c r="AH6" i="27"/>
  <c r="AH8" i="27"/>
  <c r="AH9" i="27"/>
  <c r="AW14" i="9"/>
  <c r="C16" i="9"/>
  <c r="AX14" i="9"/>
  <c r="AM17" i="16"/>
  <c r="AM14" i="16"/>
  <c r="AM12" i="16"/>
  <c r="AM11" i="16" s="1"/>
  <c r="AM28" i="16"/>
  <c r="AM33" i="16"/>
  <c r="AM27" i="16"/>
  <c r="AM32" i="16"/>
  <c r="AM34" i="16" s="1"/>
  <c r="AM13" i="16"/>
  <c r="AM26" i="16"/>
  <c r="AH14" i="27"/>
  <c r="AM23" i="16"/>
  <c r="AM24" i="16"/>
  <c r="AH13" i="27"/>
  <c r="AM25" i="16"/>
  <c r="P8" i="11"/>
  <c r="P6" i="11"/>
  <c r="P43" i="11"/>
  <c r="P45" i="11"/>
  <c r="J90" i="9"/>
  <c r="J3" i="9" s="1"/>
  <c r="J9" i="9" s="1"/>
  <c r="J97" i="9"/>
  <c r="J58" i="9" s="1"/>
  <c r="F39" i="30"/>
  <c r="J70" i="9"/>
  <c r="F13" i="30"/>
  <c r="F35" i="30" s="1"/>
  <c r="J66" i="9"/>
  <c r="J113" i="9"/>
  <c r="J115" i="9" s="1"/>
  <c r="J67" i="9"/>
  <c r="BL111" i="9"/>
  <c r="I92" i="9"/>
  <c r="E17" i="30"/>
  <c r="E15" i="30"/>
  <c r="E19" i="30"/>
  <c r="G19" i="30" s="1"/>
  <c r="E18" i="30"/>
  <c r="E20" i="30"/>
  <c r="I111" i="9"/>
  <c r="E16" i="30"/>
  <c r="J73" i="9"/>
  <c r="J112" i="9"/>
  <c r="BF36" i="23"/>
  <c r="Q37" i="11"/>
  <c r="R37" i="11"/>
  <c r="S37" i="11"/>
  <c r="AN29" i="16"/>
  <c r="Q44" i="11" s="1"/>
  <c r="AO29" i="16"/>
  <c r="R44" i="11" s="1"/>
  <c r="X42" i="23"/>
  <c r="BF27" i="23" s="1"/>
  <c r="AP29" i="16"/>
  <c r="S44" i="11" s="1"/>
  <c r="Y42" i="23"/>
  <c r="BG27" i="23" s="1"/>
  <c r="BM111" i="9"/>
  <c r="BK111" i="9"/>
  <c r="BM11" i="9"/>
  <c r="BN75" i="9"/>
  <c r="BE75" i="9" s="1"/>
  <c r="BL11" i="9"/>
  <c r="BJ11" i="9"/>
  <c r="BH11" i="9"/>
  <c r="BN10" i="9"/>
  <c r="BE10" i="9" s="1"/>
  <c r="BG111" i="9"/>
  <c r="BN111" i="9" s="1"/>
  <c r="BE111" i="9" s="1"/>
  <c r="CB8" i="9"/>
  <c r="CC7" i="9"/>
  <c r="CD7" i="9" s="1"/>
  <c r="CF7" i="9" s="1"/>
  <c r="BN39" i="9"/>
  <c r="DQ5" i="9"/>
  <c r="BG76" i="9"/>
  <c r="CY5" i="9"/>
  <c r="BG11" i="9"/>
  <c r="DZ5" i="9"/>
  <c r="BM76" i="9"/>
  <c r="BI76" i="9"/>
  <c r="V98" i="23"/>
  <c r="U8" i="23"/>
  <c r="V38" i="23"/>
  <c r="V25" i="23"/>
  <c r="V24" i="23" s="1"/>
  <c r="V6" i="23"/>
  <c r="V78" i="23"/>
  <c r="V51" i="23"/>
  <c r="BC3" i="23"/>
  <c r="V66" i="23"/>
  <c r="V60" i="23"/>
  <c r="DH6" i="9"/>
  <c r="BF77" i="9"/>
  <c r="BF113" i="9"/>
  <c r="BF44" i="9"/>
  <c r="BF12" i="9"/>
  <c r="BG43" i="9"/>
  <c r="BN43" i="9" s="1"/>
  <c r="BE43" i="9" s="1"/>
  <c r="BJ111" i="9"/>
  <c r="BH76" i="9"/>
  <c r="BK11" i="9"/>
  <c r="BK76" i="9"/>
  <c r="BI11" i="9"/>
  <c r="Y53" i="23"/>
  <c r="BG31" i="23" s="1"/>
  <c r="AP36" i="16"/>
  <c r="S42" i="11"/>
  <c r="Y30" i="23"/>
  <c r="S23" i="11"/>
  <c r="R20" i="11"/>
  <c r="X32" i="23" s="1"/>
  <c r="S20" i="11"/>
  <c r="Y32" i="23" s="1"/>
  <c r="W30" i="23"/>
  <c r="Q23" i="11"/>
  <c r="R33" i="11"/>
  <c r="R42" i="11"/>
  <c r="R35" i="11"/>
  <c r="X53" i="23"/>
  <c r="AO36" i="16"/>
  <c r="X30" i="23"/>
  <c r="R23" i="11"/>
  <c r="BG36" i="23"/>
  <c r="Q20" i="11"/>
  <c r="W32" i="23" s="1"/>
  <c r="S33" i="11"/>
  <c r="S35" i="11"/>
  <c r="J176" i="9"/>
  <c r="E29" i="30"/>
  <c r="I160" i="9"/>
  <c r="I155" i="9"/>
  <c r="E30" i="30"/>
  <c r="I159" i="9"/>
  <c r="I158" i="9"/>
  <c r="I157" i="9"/>
  <c r="J163" i="9"/>
  <c r="J161" i="9"/>
  <c r="F31" i="30"/>
  <c r="J162" i="9"/>
  <c r="J173" i="9"/>
  <c r="J154" i="9"/>
  <c r="J156" i="9"/>
  <c r="AI39" i="27"/>
  <c r="AI38" i="27"/>
  <c r="AI36" i="27"/>
  <c r="AI37" i="27"/>
  <c r="I67" i="9" l="1"/>
  <c r="BL112" i="9"/>
  <c r="BJ112" i="9"/>
  <c r="E28" i="30"/>
  <c r="E26" i="30"/>
  <c r="I113" i="9"/>
  <c r="I104" i="9"/>
  <c r="I112" i="9" s="1"/>
  <c r="H177" i="9"/>
  <c r="I90" i="9"/>
  <c r="I3" i="9" s="1"/>
  <c r="I175" i="9"/>
  <c r="I95" i="9"/>
  <c r="I70" i="9" s="1"/>
  <c r="Q42" i="11"/>
  <c r="BG140" i="9"/>
  <c r="E25" i="30"/>
  <c r="I139" i="9"/>
  <c r="I133" i="9"/>
  <c r="E24" i="30"/>
  <c r="I122" i="9"/>
  <c r="I132" i="9"/>
  <c r="I134" i="9" s="1"/>
  <c r="I136" i="9" s="1"/>
  <c r="E27" i="30"/>
  <c r="J122" i="9"/>
  <c r="AN36" i="16"/>
  <c r="Q33" i="11"/>
  <c r="W53" i="23"/>
  <c r="W44" i="23" s="1"/>
  <c r="J49" i="25"/>
  <c r="BK12" i="9"/>
  <c r="BG72" i="9"/>
  <c r="BG105" i="9" s="1"/>
  <c r="BN72" i="9"/>
  <c r="BN105" i="9" s="1"/>
  <c r="BE36" i="23"/>
  <c r="J133" i="9"/>
  <c r="F27" i="30"/>
  <c r="J144" i="9"/>
  <c r="J145" i="9" s="1"/>
  <c r="I97" i="9"/>
  <c r="F24" i="30"/>
  <c r="F36" i="30" s="1"/>
  <c r="J139" i="9"/>
  <c r="F26" i="30"/>
  <c r="F28" i="30"/>
  <c r="F25" i="30"/>
  <c r="E13" i="30"/>
  <c r="E35" i="30" s="1"/>
  <c r="F32" i="30"/>
  <c r="AM18" i="16"/>
  <c r="P33" i="11" s="1"/>
  <c r="AM6" i="16"/>
  <c r="V52" i="23"/>
  <c r="P41" i="11"/>
  <c r="AM16" i="16"/>
  <c r="AH12" i="27"/>
  <c r="N12" i="11"/>
  <c r="N92" i="11"/>
  <c r="N53" i="11" s="1"/>
  <c r="N9" i="11"/>
  <c r="N63" i="11"/>
  <c r="N10" i="11"/>
  <c r="N32" i="11"/>
  <c r="AF1" i="27"/>
  <c r="K44" i="25"/>
  <c r="AG9" i="27"/>
  <c r="AG4" i="27"/>
  <c r="AG8" i="27"/>
  <c r="AG5" i="27"/>
  <c r="AG2" i="27"/>
  <c r="AG3" i="27"/>
  <c r="AG6" i="27"/>
  <c r="AT3" i="18"/>
  <c r="AT7" i="18" s="1"/>
  <c r="AL5" i="16"/>
  <c r="AL10" i="16" s="1"/>
  <c r="AL40" i="16" s="1"/>
  <c r="AL49" i="16" s="1"/>
  <c r="AH4" i="19"/>
  <c r="AH7" i="19" s="1"/>
  <c r="DW7" i="9"/>
  <c r="DS7" i="9"/>
  <c r="DV7" i="9"/>
  <c r="DY7" i="9"/>
  <c r="DU7" i="9"/>
  <c r="DX7" i="9"/>
  <c r="DG7" i="9"/>
  <c r="DC7" i="9"/>
  <c r="DF7" i="9"/>
  <c r="DB7" i="9"/>
  <c r="DT7" i="9"/>
  <c r="DE7" i="9"/>
  <c r="DA7" i="9"/>
  <c r="DH7" i="9" s="1"/>
  <c r="DD7" i="9"/>
  <c r="CT7" i="9"/>
  <c r="CN7" i="9"/>
  <c r="BL45" i="9" s="1"/>
  <c r="DN7" i="9"/>
  <c r="BK78" i="9" s="1"/>
  <c r="CJ7" i="9"/>
  <c r="BH45" i="9" s="1"/>
  <c r="CL7" i="9"/>
  <c r="BJ45" i="9" s="1"/>
  <c r="CK7" i="9"/>
  <c r="BI45" i="9" s="1"/>
  <c r="DL7" i="9"/>
  <c r="DJ7" i="9"/>
  <c r="DM7" i="9"/>
  <c r="CR7" i="9"/>
  <c r="DO7" i="9"/>
  <c r="CO7" i="9"/>
  <c r="BM45" i="9" s="1"/>
  <c r="CU7" i="9"/>
  <c r="CX7" i="9"/>
  <c r="CS7" i="9"/>
  <c r="DP7" i="9"/>
  <c r="CW7" i="9"/>
  <c r="CV7" i="9"/>
  <c r="CI7" i="9"/>
  <c r="CP7" i="9" s="1"/>
  <c r="CM7" i="9"/>
  <c r="BK45" i="9" s="1"/>
  <c r="DK7" i="9"/>
  <c r="BH78" i="9" s="1"/>
  <c r="AM22" i="16"/>
  <c r="P46" i="11" s="1"/>
  <c r="AH45" i="27"/>
  <c r="AK63" i="16"/>
  <c r="AK48" i="16"/>
  <c r="AK8" i="16"/>
  <c r="AK4" i="24"/>
  <c r="AK3" i="24"/>
  <c r="AK7" i="16"/>
  <c r="AK5" i="24"/>
  <c r="AK39" i="16"/>
  <c r="AG24" i="27"/>
  <c r="O8" i="11"/>
  <c r="O45" i="11"/>
  <c r="O6" i="11"/>
  <c r="O43" i="11"/>
  <c r="V56" i="23"/>
  <c r="P34" i="11"/>
  <c r="V55" i="23" s="1"/>
  <c r="AM21" i="16"/>
  <c r="AH46" i="27"/>
  <c r="AH47" i="27"/>
  <c r="AH11" i="27"/>
  <c r="AH10" i="27"/>
  <c r="AM15" i="16"/>
  <c r="AW15" i="9"/>
  <c r="AX15" i="9"/>
  <c r="C17" i="9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C160" i="9" s="1"/>
  <c r="C161" i="9" s="1"/>
  <c r="C162" i="9" s="1"/>
  <c r="C163" i="9" s="1"/>
  <c r="C164" i="9" s="1"/>
  <c r="C165" i="9" s="1"/>
  <c r="C166" i="9" s="1"/>
  <c r="C167" i="9" s="1"/>
  <c r="C168" i="9" s="1"/>
  <c r="C169" i="9" s="1"/>
  <c r="C170" i="9" s="1"/>
  <c r="C171" i="9" s="1"/>
  <c r="C172" i="9" s="1"/>
  <c r="C173" i="9" s="1"/>
  <c r="C174" i="9" s="1"/>
  <c r="C175" i="9" s="1"/>
  <c r="C176" i="9" s="1"/>
  <c r="C177" i="9" s="1"/>
  <c r="AH20" i="27"/>
  <c r="AH19" i="27"/>
  <c r="AS5" i="18"/>
  <c r="AS4" i="18"/>
  <c r="AS22" i="18"/>
  <c r="AJ6" i="24"/>
  <c r="AR6" i="18"/>
  <c r="M13" i="11"/>
  <c r="AF6" i="19"/>
  <c r="AJ9" i="16"/>
  <c r="AL25" i="16"/>
  <c r="AL12" i="16"/>
  <c r="AL11" i="16" s="1"/>
  <c r="AL24" i="16"/>
  <c r="AL13" i="16"/>
  <c r="AL28" i="16"/>
  <c r="AL33" i="16"/>
  <c r="AL27" i="16"/>
  <c r="AL26" i="16"/>
  <c r="AG13" i="27"/>
  <c r="AL32" i="16"/>
  <c r="AL34" i="16" s="1"/>
  <c r="AL23" i="16"/>
  <c r="AL17" i="16"/>
  <c r="AL14" i="16"/>
  <c r="AG14" i="27"/>
  <c r="AM35" i="16"/>
  <c r="V39" i="23"/>
  <c r="P47" i="11"/>
  <c r="AH7" i="27"/>
  <c r="AH30" i="27"/>
  <c r="F33" i="30"/>
  <c r="F7" i="30"/>
  <c r="J98" i="9"/>
  <c r="J8" i="9"/>
  <c r="J49" i="9" s="1"/>
  <c r="J10" i="9"/>
  <c r="J11" i="9"/>
  <c r="J42" i="9" s="1"/>
  <c r="J69" i="9"/>
  <c r="J71" i="9"/>
  <c r="BM112" i="9"/>
  <c r="BN76" i="9"/>
  <c r="BL12" i="9"/>
  <c r="BI112" i="9"/>
  <c r="BH112" i="9"/>
  <c r="BL77" i="9"/>
  <c r="BH77" i="9"/>
  <c r="Y54" i="23"/>
  <c r="DQ6" i="9"/>
  <c r="BG77" i="9"/>
  <c r="BN11" i="9"/>
  <c r="BE11" i="9" s="1"/>
  <c r="BG112" i="9"/>
  <c r="BN112" i="9" s="1"/>
  <c r="BE112" i="9" s="1"/>
  <c r="BF114" i="9"/>
  <c r="BF78" i="9"/>
  <c r="BF13" i="9"/>
  <c r="BF45" i="9"/>
  <c r="BJ12" i="9"/>
  <c r="BJ77" i="9"/>
  <c r="BH12" i="9"/>
  <c r="BM12" i="9"/>
  <c r="BN140" i="9"/>
  <c r="BE110" i="9"/>
  <c r="BG44" i="9"/>
  <c r="BN44" i="9" s="1"/>
  <c r="BE44" i="9" s="1"/>
  <c r="BG12" i="9"/>
  <c r="CY6" i="9"/>
  <c r="U38" i="23"/>
  <c r="U25" i="23"/>
  <c r="U24" i="23" s="1"/>
  <c r="U6" i="23"/>
  <c r="U60" i="23"/>
  <c r="U66" i="23"/>
  <c r="U78" i="23"/>
  <c r="U51" i="23"/>
  <c r="T8" i="23"/>
  <c r="U98" i="23"/>
  <c r="BB3" i="23"/>
  <c r="CC8" i="9"/>
  <c r="CD8" i="9" s="1"/>
  <c r="CF8" i="9" s="1"/>
  <c r="CB9" i="9"/>
  <c r="BK112" i="9"/>
  <c r="BK77" i="9"/>
  <c r="DZ6" i="9"/>
  <c r="BI77" i="9"/>
  <c r="BM77" i="9"/>
  <c r="BI12" i="9"/>
  <c r="J72" i="9"/>
  <c r="Y44" i="23"/>
  <c r="BF8" i="23" s="1"/>
  <c r="J50" i="9"/>
  <c r="BF31" i="23"/>
  <c r="X44" i="23"/>
  <c r="X54" i="23"/>
  <c r="H111" i="9"/>
  <c r="D16" i="30"/>
  <c r="H110" i="9"/>
  <c r="D18" i="30"/>
  <c r="H100" i="9"/>
  <c r="H101" i="9" s="1"/>
  <c r="H106" i="9"/>
  <c r="H93" i="9"/>
  <c r="H109" i="9"/>
  <c r="D15" i="30"/>
  <c r="D19" i="30"/>
  <c r="H91" i="9"/>
  <c r="D20" i="30"/>
  <c r="H108" i="9"/>
  <c r="H92" i="9"/>
  <c r="D17" i="30"/>
  <c r="H105" i="9"/>
  <c r="H107" i="9"/>
  <c r="F42" i="30"/>
  <c r="F44" i="30"/>
  <c r="I115" i="9"/>
  <c r="I66" i="9"/>
  <c r="G13" i="30"/>
  <c r="J52" i="9"/>
  <c r="J12" i="9"/>
  <c r="J59" i="9"/>
  <c r="AY3" i="18"/>
  <c r="AY7" i="18" s="1"/>
  <c r="AM4" i="19"/>
  <c r="AM7" i="19" s="1"/>
  <c r="AQ5" i="16"/>
  <c r="AQ10" i="16" s="1"/>
  <c r="AQ40" i="16" s="1"/>
  <c r="AQ49" i="16" s="1"/>
  <c r="I98" i="9"/>
  <c r="G20" i="30"/>
  <c r="G15" i="30"/>
  <c r="I148" i="9"/>
  <c r="J148" i="9"/>
  <c r="I161" i="9"/>
  <c r="E31" i="30"/>
  <c r="I162" i="9"/>
  <c r="I163" i="9"/>
  <c r="I173" i="9"/>
  <c r="E39" i="30"/>
  <c r="F43" i="30"/>
  <c r="J57" i="9"/>
  <c r="H155" i="9"/>
  <c r="H160" i="9"/>
  <c r="H158" i="9"/>
  <c r="D30" i="30"/>
  <c r="D29" i="30"/>
  <c r="H159" i="9"/>
  <c r="H157" i="9"/>
  <c r="I144" i="9"/>
  <c r="I145" i="9" s="1"/>
  <c r="E36" i="30"/>
  <c r="I120" i="9"/>
  <c r="J164" i="9"/>
  <c r="J56" i="9"/>
  <c r="J53" i="9"/>
  <c r="J55" i="9"/>
  <c r="I154" i="9"/>
  <c r="I156" i="9"/>
  <c r="E42" i="30"/>
  <c r="I176" i="9"/>
  <c r="F21" i="30"/>
  <c r="F22" i="30"/>
  <c r="H174" i="9"/>
  <c r="AH39" i="27"/>
  <c r="AH38" i="27"/>
  <c r="AH37" i="27"/>
  <c r="AH36" i="27"/>
  <c r="I123" i="9" l="1"/>
  <c r="BE31" i="23"/>
  <c r="I71" i="9"/>
  <c r="I69" i="9"/>
  <c r="I128" i="9"/>
  <c r="I121" i="9"/>
  <c r="J128" i="9"/>
  <c r="J45" i="9" s="1"/>
  <c r="I58" i="9"/>
  <c r="I59" i="9"/>
  <c r="I127" i="9"/>
  <c r="I129" i="9" s="1"/>
  <c r="I130" i="9" s="1"/>
  <c r="I73" i="9"/>
  <c r="BJ13" i="9"/>
  <c r="H175" i="9"/>
  <c r="G177" i="9"/>
  <c r="G174" i="9"/>
  <c r="J127" i="9"/>
  <c r="J129" i="9" s="1"/>
  <c r="E33" i="30"/>
  <c r="W54" i="23"/>
  <c r="BK113" i="9"/>
  <c r="J132" i="9"/>
  <c r="J134" i="9" s="1"/>
  <c r="J136" i="9" s="1"/>
  <c r="J34" i="9" s="1"/>
  <c r="J121" i="9"/>
  <c r="J123" i="9"/>
  <c r="J61" i="9" s="1"/>
  <c r="E32" i="30"/>
  <c r="BM78" i="9"/>
  <c r="E7" i="30"/>
  <c r="J120" i="9"/>
  <c r="J124" i="9" s="1"/>
  <c r="J13" i="9"/>
  <c r="J65" i="9" s="1"/>
  <c r="AT3" i="9"/>
  <c r="AK96" i="9" s="1"/>
  <c r="J2" i="9"/>
  <c r="J1" i="9" s="1"/>
  <c r="AG11" i="27"/>
  <c r="AL15" i="16"/>
  <c r="AG10" i="27"/>
  <c r="M12" i="11"/>
  <c r="M10" i="11"/>
  <c r="M32" i="11"/>
  <c r="M63" i="11"/>
  <c r="M92" i="11"/>
  <c r="M53" i="11" s="1"/>
  <c r="M9" i="11"/>
  <c r="K45" i="25"/>
  <c r="K48" i="25"/>
  <c r="K46" i="25"/>
  <c r="K47" i="25"/>
  <c r="AL22" i="16"/>
  <c r="O46" i="11" s="1"/>
  <c r="AG45" i="27"/>
  <c r="F18" i="30"/>
  <c r="AL21" i="16"/>
  <c r="AL29" i="16" s="1"/>
  <c r="O44" i="11" s="1"/>
  <c r="AG46" i="27"/>
  <c r="AG47" i="27"/>
  <c r="AJ39" i="16"/>
  <c r="AJ48" i="16"/>
  <c r="AJ4" i="24"/>
  <c r="AJ7" i="16"/>
  <c r="AJ5" i="24"/>
  <c r="AJ63" i="16"/>
  <c r="AJ3" i="24"/>
  <c r="AJ8" i="16"/>
  <c r="AQ6" i="18"/>
  <c r="AI9" i="16"/>
  <c r="AI6" i="24"/>
  <c r="L13" i="11"/>
  <c r="AE6" i="19"/>
  <c r="AE1" i="27"/>
  <c r="AS3" i="18"/>
  <c r="AS7" i="18" s="1"/>
  <c r="AK5" i="16"/>
  <c r="AK10" i="16" s="1"/>
  <c r="AK40" i="16" s="1"/>
  <c r="AK49" i="16" s="1"/>
  <c r="AG4" i="19"/>
  <c r="AG7" i="19" s="1"/>
  <c r="N43" i="11"/>
  <c r="N45" i="11"/>
  <c r="N8" i="11"/>
  <c r="N6" i="11"/>
  <c r="AG20" i="27"/>
  <c r="AG19" i="27"/>
  <c r="AF24" i="27"/>
  <c r="BD36" i="23"/>
  <c r="V42" i="23"/>
  <c r="BD27" i="23" s="1"/>
  <c r="U39" i="23"/>
  <c r="O47" i="11"/>
  <c r="AL35" i="16"/>
  <c r="AL6" i="16"/>
  <c r="U52" i="23"/>
  <c r="O41" i="11"/>
  <c r="AL18" i="16"/>
  <c r="O33" i="11" s="1"/>
  <c r="AR4" i="18"/>
  <c r="AR22" i="18"/>
  <c r="AR5" i="18"/>
  <c r="V30" i="23"/>
  <c r="P23" i="11"/>
  <c r="U56" i="23"/>
  <c r="O34" i="11"/>
  <c r="U55" i="23" s="1"/>
  <c r="AK24" i="16"/>
  <c r="AK33" i="16"/>
  <c r="AK17" i="16"/>
  <c r="AF14" i="27"/>
  <c r="AK26" i="16"/>
  <c r="AK13" i="16"/>
  <c r="AK25" i="16"/>
  <c r="AK23" i="16"/>
  <c r="AK32" i="16"/>
  <c r="AK34" i="16" s="1"/>
  <c r="AK28" i="16"/>
  <c r="AF13" i="27"/>
  <c r="AK27" i="16"/>
  <c r="AK12" i="16"/>
  <c r="AK11" i="16" s="1"/>
  <c r="AK14" i="16"/>
  <c r="AG7" i="27"/>
  <c r="AG30" i="27"/>
  <c r="AF4" i="27"/>
  <c r="AF5" i="27"/>
  <c r="AF3" i="27"/>
  <c r="AF6" i="27"/>
  <c r="AF9" i="27"/>
  <c r="AF8" i="27"/>
  <c r="AF2" i="27"/>
  <c r="P20" i="11"/>
  <c r="V32" i="23" s="1"/>
  <c r="DX8" i="9"/>
  <c r="DT8" i="9"/>
  <c r="DW8" i="9"/>
  <c r="DS8" i="9"/>
  <c r="DV8" i="9"/>
  <c r="DY8" i="9"/>
  <c r="DU8" i="9"/>
  <c r="DD8" i="9"/>
  <c r="DG8" i="9"/>
  <c r="DC8" i="9"/>
  <c r="DF8" i="9"/>
  <c r="DB8" i="9"/>
  <c r="DE8" i="9"/>
  <c r="DA8" i="9"/>
  <c r="DH8" i="9" s="1"/>
  <c r="CS8" i="9"/>
  <c r="CU8" i="9"/>
  <c r="CK8" i="9"/>
  <c r="BI46" i="9" s="1"/>
  <c r="CJ8" i="9"/>
  <c r="BH46" i="9" s="1"/>
  <c r="DL8" i="9"/>
  <c r="CR8" i="9"/>
  <c r="DP8" i="9"/>
  <c r="DJ8" i="9"/>
  <c r="CM8" i="9"/>
  <c r="BK46" i="9" s="1"/>
  <c r="DN8" i="9"/>
  <c r="CX8" i="9"/>
  <c r="BM14" i="9" s="1"/>
  <c r="CO8" i="9"/>
  <c r="BM46" i="9" s="1"/>
  <c r="CT8" i="9"/>
  <c r="CL8" i="9"/>
  <c r="BJ46" i="9" s="1"/>
  <c r="CN8" i="9"/>
  <c r="BL46" i="9" s="1"/>
  <c r="DK8" i="9"/>
  <c r="CW8" i="9"/>
  <c r="CV8" i="9"/>
  <c r="CI8" i="9"/>
  <c r="CP8" i="9" s="1"/>
  <c r="DM8" i="9"/>
  <c r="DO8" i="9"/>
  <c r="AG12" i="27"/>
  <c r="AL16" i="16"/>
  <c r="P37" i="11"/>
  <c r="AM29" i="16"/>
  <c r="P44" i="11" s="1"/>
  <c r="Q43" i="25"/>
  <c r="P35" i="11"/>
  <c r="V53" i="23"/>
  <c r="AM36" i="16"/>
  <c r="P42" i="11"/>
  <c r="J41" i="9"/>
  <c r="BG28" i="23"/>
  <c r="BI13" i="9"/>
  <c r="BI113" i="9"/>
  <c r="BH113" i="9"/>
  <c r="BJ113" i="9"/>
  <c r="BM13" i="9"/>
  <c r="BH13" i="9"/>
  <c r="BH114" i="9" s="1"/>
  <c r="BL113" i="9"/>
  <c r="BN77" i="9"/>
  <c r="BE77" i="9" s="1"/>
  <c r="BM113" i="9"/>
  <c r="BE76" i="9"/>
  <c r="CB10" i="9"/>
  <c r="CC9" i="9"/>
  <c r="CD9" i="9" s="1"/>
  <c r="CF9" i="9" s="1"/>
  <c r="BN12" i="9"/>
  <c r="BE12" i="9" s="1"/>
  <c r="BG113" i="9"/>
  <c r="BN113" i="9" s="1"/>
  <c r="BE113" i="9" s="1"/>
  <c r="BG45" i="9"/>
  <c r="BN45" i="9" s="1"/>
  <c r="BE45" i="9" s="1"/>
  <c r="BG13" i="9"/>
  <c r="CY7" i="9"/>
  <c r="BJ78" i="9"/>
  <c r="BL78" i="9"/>
  <c r="BL13" i="9"/>
  <c r="BF14" i="9"/>
  <c r="BF46" i="9"/>
  <c r="BF79" i="9"/>
  <c r="BF115" i="9"/>
  <c r="T98" i="23"/>
  <c r="T78" i="23"/>
  <c r="T60" i="23"/>
  <c r="T25" i="23"/>
  <c r="T24" i="23" s="1"/>
  <c r="T6" i="23"/>
  <c r="S8" i="23"/>
  <c r="T51" i="23"/>
  <c r="BA3" i="23"/>
  <c r="T66" i="23"/>
  <c r="T38" i="23"/>
  <c r="DQ7" i="9"/>
  <c r="BG78" i="9"/>
  <c r="BK13" i="9"/>
  <c r="BK114" i="9" s="1"/>
  <c r="BI78" i="9"/>
  <c r="DZ7" i="9"/>
  <c r="BE8" i="23"/>
  <c r="BF28" i="23"/>
  <c r="BD8" i="23"/>
  <c r="BE28" i="23"/>
  <c r="I57" i="9"/>
  <c r="H176" i="9"/>
  <c r="J142" i="9"/>
  <c r="H162" i="9"/>
  <c r="D31" i="30"/>
  <c r="H156" i="9"/>
  <c r="H154" i="9"/>
  <c r="I61" i="9" s="1"/>
  <c r="G158" i="9"/>
  <c r="G159" i="9"/>
  <c r="G160" i="9"/>
  <c r="G155" i="9"/>
  <c r="G157" i="9"/>
  <c r="I55" i="9"/>
  <c r="J68" i="9"/>
  <c r="J149" i="9"/>
  <c r="F37" i="30"/>
  <c r="F38" i="30"/>
  <c r="I142" i="9"/>
  <c r="I34" i="9"/>
  <c r="I140" i="9"/>
  <c r="E38" i="30"/>
  <c r="E37" i="30"/>
  <c r="I149" i="9"/>
  <c r="I68" i="9"/>
  <c r="J171" i="9"/>
  <c r="J170" i="9"/>
  <c r="J168" i="9"/>
  <c r="D28" i="30"/>
  <c r="H122" i="9"/>
  <c r="H133" i="9"/>
  <c r="D24" i="30"/>
  <c r="D25" i="30"/>
  <c r="D26" i="30"/>
  <c r="D27" i="30"/>
  <c r="H90" i="9"/>
  <c r="D39" i="30"/>
  <c r="H113" i="9"/>
  <c r="E44" i="30"/>
  <c r="I72" i="9"/>
  <c r="H173" i="9"/>
  <c r="I124" i="9"/>
  <c r="I146" i="9"/>
  <c r="I35" i="9"/>
  <c r="H163" i="9"/>
  <c r="H161" i="9"/>
  <c r="G110" i="9"/>
  <c r="G109" i="9"/>
  <c r="G100" i="9"/>
  <c r="G101" i="9" s="1"/>
  <c r="G106" i="9"/>
  <c r="G105" i="9"/>
  <c r="G93" i="9"/>
  <c r="C19" i="30"/>
  <c r="G111" i="9"/>
  <c r="G107" i="9"/>
  <c r="G91" i="9"/>
  <c r="G108" i="9"/>
  <c r="G92" i="9"/>
  <c r="E21" i="30"/>
  <c r="E22" i="30"/>
  <c r="I56" i="9"/>
  <c r="I164" i="9"/>
  <c r="J167" i="9"/>
  <c r="J166" i="9"/>
  <c r="J169" i="9"/>
  <c r="J21" i="9" s="1"/>
  <c r="I9" i="9"/>
  <c r="I11" i="9"/>
  <c r="I10" i="9"/>
  <c r="I8" i="9"/>
  <c r="D13" i="30"/>
  <c r="H95" i="9"/>
  <c r="H70" i="9" s="1"/>
  <c r="H104" i="9"/>
  <c r="H97" i="9"/>
  <c r="D44" i="30"/>
  <c r="F45" i="30"/>
  <c r="I137" i="9"/>
  <c r="H67" i="9"/>
  <c r="AG37" i="27"/>
  <c r="AG36" i="27"/>
  <c r="AG39" i="27"/>
  <c r="AG38" i="27"/>
  <c r="O37" i="11" l="1"/>
  <c r="I33" i="9"/>
  <c r="I26" i="9"/>
  <c r="I15" i="9"/>
  <c r="G175" i="9"/>
  <c r="BJ114" i="9"/>
  <c r="J140" i="9"/>
  <c r="F177" i="9"/>
  <c r="H170" i="9"/>
  <c r="J26" i="9"/>
  <c r="J35" i="9"/>
  <c r="J33" i="9"/>
  <c r="J15" i="9"/>
  <c r="J137" i="9"/>
  <c r="BM114" i="9"/>
  <c r="J146" i="9"/>
  <c r="J130" i="9"/>
  <c r="H168" i="9"/>
  <c r="BK14" i="9"/>
  <c r="H171" i="9"/>
  <c r="BK79" i="9"/>
  <c r="O35" i="11"/>
  <c r="O20" i="11"/>
  <c r="U32" i="23" s="1"/>
  <c r="AF30" i="27"/>
  <c r="AF7" i="27"/>
  <c r="AF19" i="27"/>
  <c r="AF20" i="27"/>
  <c r="AK16" i="16"/>
  <c r="AF12" i="27"/>
  <c r="AK35" i="16"/>
  <c r="N47" i="11"/>
  <c r="T39" i="23"/>
  <c r="AH6" i="24"/>
  <c r="AD6" i="19"/>
  <c r="AH9" i="16"/>
  <c r="AP6" i="18"/>
  <c r="K13" i="11"/>
  <c r="BD31" i="23"/>
  <c r="V54" i="23"/>
  <c r="AJ5" i="16"/>
  <c r="AJ10" i="16" s="1"/>
  <c r="AJ40" i="16" s="1"/>
  <c r="AJ49" i="16" s="1"/>
  <c r="AF4" i="19"/>
  <c r="AF7" i="19" s="1"/>
  <c r="AR3" i="18"/>
  <c r="AR7" i="18" s="1"/>
  <c r="AF11" i="27"/>
  <c r="AK15" i="16"/>
  <c r="AF10" i="27"/>
  <c r="U53" i="23"/>
  <c r="U54" i="23" s="1"/>
  <c r="O42" i="11"/>
  <c r="AL36" i="16"/>
  <c r="U42" i="23"/>
  <c r="BC27" i="23" s="1"/>
  <c r="BC36" i="23"/>
  <c r="AD1" i="27"/>
  <c r="M8" i="11"/>
  <c r="M45" i="11"/>
  <c r="M43" i="11"/>
  <c r="M6" i="11"/>
  <c r="O23" i="11"/>
  <c r="U30" i="23"/>
  <c r="DY9" i="9"/>
  <c r="DU9" i="9"/>
  <c r="DX9" i="9"/>
  <c r="DT9" i="9"/>
  <c r="DW9" i="9"/>
  <c r="DS9" i="9"/>
  <c r="DE9" i="9"/>
  <c r="DA9" i="9"/>
  <c r="DH9" i="9" s="1"/>
  <c r="DV9" i="9"/>
  <c r="DD9" i="9"/>
  <c r="DG9" i="9"/>
  <c r="DC9" i="9"/>
  <c r="DF9" i="9"/>
  <c r="DB9" i="9"/>
  <c r="CX9" i="9"/>
  <c r="DJ9" i="9"/>
  <c r="DP9" i="9"/>
  <c r="CW9" i="9"/>
  <c r="CM9" i="9"/>
  <c r="DM9" i="9"/>
  <c r="DK9" i="9"/>
  <c r="CU9" i="9"/>
  <c r="CT9" i="9"/>
  <c r="CS9" i="9"/>
  <c r="CR9" i="9"/>
  <c r="CK9" i="9"/>
  <c r="BI47" i="9" s="1"/>
  <c r="CN9" i="9"/>
  <c r="BL47" i="9" s="1"/>
  <c r="CO9" i="9"/>
  <c r="BM47" i="9" s="1"/>
  <c r="DN9" i="9"/>
  <c r="DL9" i="9"/>
  <c r="BI80" i="9" s="1"/>
  <c r="CV9" i="9"/>
  <c r="CJ9" i="9"/>
  <c r="BH47" i="9" s="1"/>
  <c r="CL9" i="9"/>
  <c r="BJ47" i="9" s="1"/>
  <c r="CI9" i="9"/>
  <c r="CP9" i="9" s="1"/>
  <c r="DO9" i="9"/>
  <c r="N41" i="11"/>
  <c r="T52" i="23"/>
  <c r="AK6" i="16"/>
  <c r="AK18" i="16"/>
  <c r="N33" i="11" s="1"/>
  <c r="AF45" i="27"/>
  <c r="AK22" i="16"/>
  <c r="N46" i="11" s="1"/>
  <c r="AE2" i="27"/>
  <c r="AE6" i="27"/>
  <c r="AE8" i="27"/>
  <c r="AE3" i="27"/>
  <c r="AE5" i="27"/>
  <c r="AE9" i="27"/>
  <c r="AE4" i="27"/>
  <c r="AI5" i="24"/>
  <c r="AI48" i="16"/>
  <c r="AI8" i="16"/>
  <c r="AI63" i="16"/>
  <c r="AI39" i="16"/>
  <c r="AI4" i="24"/>
  <c r="AI3" i="24"/>
  <c r="AI7" i="16"/>
  <c r="Q44" i="25"/>
  <c r="R43" i="25" s="1"/>
  <c r="R44" i="25" s="1"/>
  <c r="AE13" i="27"/>
  <c r="AJ25" i="16"/>
  <c r="AJ23" i="16"/>
  <c r="AJ24" i="16"/>
  <c r="AJ17" i="16"/>
  <c r="AJ32" i="16"/>
  <c r="AJ34" i="16" s="1"/>
  <c r="AJ28" i="16"/>
  <c r="AJ33" i="16"/>
  <c r="AJ27" i="16"/>
  <c r="AJ12" i="16"/>
  <c r="AJ11" i="16" s="1"/>
  <c r="AJ14" i="16"/>
  <c r="AJ26" i="16"/>
  <c r="AJ13" i="16"/>
  <c r="AE14" i="27"/>
  <c r="AF47" i="27"/>
  <c r="AK21" i="16"/>
  <c r="AK29" i="16" s="1"/>
  <c r="N44" i="11" s="1"/>
  <c r="AF46" i="27"/>
  <c r="T56" i="23"/>
  <c r="N34" i="11"/>
  <c r="T55" i="23" s="1"/>
  <c r="AE24" i="27"/>
  <c r="L12" i="11"/>
  <c r="L63" i="11"/>
  <c r="L92" i="11"/>
  <c r="L53" i="11" s="1"/>
  <c r="L9" i="11"/>
  <c r="L10" i="11"/>
  <c r="L32" i="11"/>
  <c r="AQ22" i="18"/>
  <c r="AQ5" i="18"/>
  <c r="AQ4" i="18"/>
  <c r="V44" i="23"/>
  <c r="G67" i="9"/>
  <c r="K49" i="25"/>
  <c r="BI114" i="9"/>
  <c r="H57" i="9"/>
  <c r="H167" i="9"/>
  <c r="H169" i="9"/>
  <c r="BN78" i="9"/>
  <c r="BE78" i="9" s="1"/>
  <c r="BJ79" i="9"/>
  <c r="DQ8" i="9"/>
  <c r="BG79" i="9"/>
  <c r="CB11" i="9"/>
  <c r="CC10" i="9"/>
  <c r="CD10" i="9" s="1"/>
  <c r="CF10" i="9" s="1"/>
  <c r="BJ14" i="9"/>
  <c r="S66" i="23"/>
  <c r="S60" i="23"/>
  <c r="S98" i="23"/>
  <c r="S51" i="23"/>
  <c r="AZ3" i="23"/>
  <c r="S25" i="23"/>
  <c r="S24" i="23" s="1"/>
  <c r="S6" i="23"/>
  <c r="S38" i="23"/>
  <c r="S78" i="23"/>
  <c r="R8" i="23"/>
  <c r="BG46" i="9"/>
  <c r="BN46" i="9" s="1"/>
  <c r="BE46" i="9" s="1"/>
  <c r="CY8" i="9"/>
  <c r="BG14" i="9"/>
  <c r="BN13" i="9"/>
  <c r="BE13" i="9" s="1"/>
  <c r="BG114" i="9"/>
  <c r="BN114" i="9" s="1"/>
  <c r="BE114" i="9" s="1"/>
  <c r="BF15" i="9"/>
  <c r="BK47" i="9"/>
  <c r="BF116" i="9"/>
  <c r="BF80" i="9"/>
  <c r="BF47" i="9"/>
  <c r="BH14" i="9"/>
  <c r="BL14" i="9"/>
  <c r="DZ8" i="9"/>
  <c r="BI14" i="9"/>
  <c r="BI79" i="9"/>
  <c r="BM79" i="9"/>
  <c r="BL79" i="9"/>
  <c r="BH79" i="9"/>
  <c r="BL114" i="9"/>
  <c r="F107" i="9"/>
  <c r="F97" i="9"/>
  <c r="F98" i="9" s="1"/>
  <c r="F113" i="9"/>
  <c r="F115" i="9" s="1"/>
  <c r="F93" i="9"/>
  <c r="F92" i="9"/>
  <c r="F110" i="9"/>
  <c r="F109" i="9"/>
  <c r="F105" i="9"/>
  <c r="H72" i="9"/>
  <c r="G139" i="9"/>
  <c r="G142" i="9" s="1"/>
  <c r="G148" i="9"/>
  <c r="G144" i="9"/>
  <c r="G145" i="9" s="1"/>
  <c r="G133" i="9"/>
  <c r="G122" i="9"/>
  <c r="F95" i="9"/>
  <c r="F108" i="9"/>
  <c r="F106" i="9"/>
  <c r="F90" i="9"/>
  <c r="F3" i="9" s="1"/>
  <c r="F111" i="9"/>
  <c r="F91" i="9"/>
  <c r="F100" i="9"/>
  <c r="F101" i="9" s="1"/>
  <c r="F104" i="9"/>
  <c r="F112" i="9" s="1"/>
  <c r="F23" i="30"/>
  <c r="H73" i="9"/>
  <c r="H112" i="9"/>
  <c r="H71" i="9" s="1"/>
  <c r="H66" i="9"/>
  <c r="D42" i="30"/>
  <c r="D33" i="30"/>
  <c r="D7" i="30"/>
  <c r="I41" i="9"/>
  <c r="I50" i="9"/>
  <c r="I42" i="9"/>
  <c r="J44" i="9"/>
  <c r="J43" i="9"/>
  <c r="H98" i="9"/>
  <c r="H58" i="9"/>
  <c r="H59" i="9"/>
  <c r="I2" i="9"/>
  <c r="I1" i="9" s="1"/>
  <c r="I49" i="9"/>
  <c r="AR3" i="9"/>
  <c r="I13" i="9"/>
  <c r="I65" i="9" s="1"/>
  <c r="C18" i="30"/>
  <c r="G104" i="9"/>
  <c r="I171" i="9"/>
  <c r="I170" i="9"/>
  <c r="I166" i="9"/>
  <c r="J125" i="9"/>
  <c r="J32" i="9"/>
  <c r="E23" i="30"/>
  <c r="H115" i="9"/>
  <c r="H127" i="9"/>
  <c r="H129" i="9" s="1"/>
  <c r="H121" i="9"/>
  <c r="H144" i="9"/>
  <c r="H145" i="9" s="1"/>
  <c r="H148" i="9"/>
  <c r="H128" i="9"/>
  <c r="G154" i="9"/>
  <c r="C29" i="30"/>
  <c r="G156" i="9"/>
  <c r="H56" i="9"/>
  <c r="H164" i="9"/>
  <c r="D22" i="30"/>
  <c r="I45" i="9"/>
  <c r="I52" i="9"/>
  <c r="D35" i="30"/>
  <c r="G173" i="9"/>
  <c r="G176" i="9"/>
  <c r="C16" i="30"/>
  <c r="G97" i="9"/>
  <c r="G90" i="9"/>
  <c r="C17" i="30"/>
  <c r="C13" i="30"/>
  <c r="G95" i="9"/>
  <c r="G70" i="9" s="1"/>
  <c r="C15" i="30"/>
  <c r="D43" i="30" s="1"/>
  <c r="G113" i="9"/>
  <c r="C20" i="30"/>
  <c r="I169" i="9"/>
  <c r="I21" i="9" s="1"/>
  <c r="I167" i="9"/>
  <c r="I43" i="9" s="1"/>
  <c r="I168" i="9"/>
  <c r="F174" i="9"/>
  <c r="H55" i="9"/>
  <c r="I125" i="9"/>
  <c r="I32" i="9"/>
  <c r="H166" i="9"/>
  <c r="H69" i="9"/>
  <c r="H3" i="9"/>
  <c r="H123" i="9"/>
  <c r="D36" i="30"/>
  <c r="H120" i="9"/>
  <c r="H132" i="9"/>
  <c r="H134" i="9" s="1"/>
  <c r="H136" i="9" s="1"/>
  <c r="H139" i="9"/>
  <c r="G161" i="9"/>
  <c r="C30" i="30"/>
  <c r="G163" i="9"/>
  <c r="G162" i="9"/>
  <c r="C31" i="30"/>
  <c r="F155" i="9"/>
  <c r="F158" i="9"/>
  <c r="F160" i="9"/>
  <c r="F157" i="9"/>
  <c r="F159" i="9"/>
  <c r="F156" i="9"/>
  <c r="F161" i="9"/>
  <c r="E45" i="30"/>
  <c r="I12" i="9"/>
  <c r="E43" i="30"/>
  <c r="D32" i="30"/>
  <c r="I53" i="9"/>
  <c r="AF36" i="27"/>
  <c r="AF37" i="27"/>
  <c r="AF39" i="27"/>
  <c r="AF38" i="27"/>
  <c r="C32" i="30" l="1"/>
  <c r="F175" i="9"/>
  <c r="AR11" i="18"/>
  <c r="C51" i="30"/>
  <c r="C46" i="30" s="1"/>
  <c r="C53" i="30"/>
  <c r="F66" i="9"/>
  <c r="F69" i="9"/>
  <c r="BK115" i="9"/>
  <c r="F120" i="9"/>
  <c r="H61" i="9"/>
  <c r="F121" i="9"/>
  <c r="F70" i="9"/>
  <c r="BH15" i="9"/>
  <c r="BJ80" i="9"/>
  <c r="F127" i="9"/>
  <c r="F129" i="9" s="1"/>
  <c r="F128" i="9"/>
  <c r="F133" i="9"/>
  <c r="G170" i="9"/>
  <c r="F123" i="9"/>
  <c r="F144" i="9"/>
  <c r="F145" i="9" s="1"/>
  <c r="F139" i="9"/>
  <c r="C49" i="30"/>
  <c r="F71" i="9"/>
  <c r="F132" i="9"/>
  <c r="F134" i="9" s="1"/>
  <c r="F136" i="9" s="1"/>
  <c r="F122" i="9"/>
  <c r="G168" i="9"/>
  <c r="BH80" i="9"/>
  <c r="S43" i="25"/>
  <c r="R48" i="25"/>
  <c r="R47" i="25"/>
  <c r="R46" i="25"/>
  <c r="R45" i="25"/>
  <c r="DV10" i="9"/>
  <c r="DY10" i="9"/>
  <c r="DU10" i="9"/>
  <c r="DX10" i="9"/>
  <c r="DT10" i="9"/>
  <c r="DW10" i="9"/>
  <c r="DS10" i="9"/>
  <c r="DF10" i="9"/>
  <c r="DB10" i="9"/>
  <c r="DE10" i="9"/>
  <c r="DA10" i="9"/>
  <c r="DH10" i="9" s="1"/>
  <c r="DD10" i="9"/>
  <c r="DG10" i="9"/>
  <c r="DC10" i="9"/>
  <c r="CW10" i="9"/>
  <c r="CX10" i="9"/>
  <c r="CL10" i="9"/>
  <c r="BJ48" i="9" s="1"/>
  <c r="CO10" i="9"/>
  <c r="BM48" i="9" s="1"/>
  <c r="CN10" i="9"/>
  <c r="BL48" i="9" s="1"/>
  <c r="DN10" i="9"/>
  <c r="CS10" i="9"/>
  <c r="CV10" i="9"/>
  <c r="CI10" i="9"/>
  <c r="CP10" i="9" s="1"/>
  <c r="DK10" i="9"/>
  <c r="DM10" i="9"/>
  <c r="BJ81" i="9" s="1"/>
  <c r="DL10" i="9"/>
  <c r="CT10" i="9"/>
  <c r="CJ10" i="9"/>
  <c r="BH48" i="9" s="1"/>
  <c r="CU10" i="9"/>
  <c r="CR10" i="9"/>
  <c r="CK10" i="9"/>
  <c r="BI48" i="9" s="1"/>
  <c r="DO10" i="9"/>
  <c r="BL81" i="9" s="1"/>
  <c r="DJ10" i="9"/>
  <c r="DP10" i="9"/>
  <c r="BM81" i="9" s="1"/>
  <c r="CM10" i="9"/>
  <c r="BK48" i="9" s="1"/>
  <c r="S52" i="23"/>
  <c r="AJ18" i="16"/>
  <c r="M35" i="11" s="1"/>
  <c r="M41" i="11"/>
  <c r="AJ6" i="16"/>
  <c r="AJ22" i="16"/>
  <c r="M46" i="11" s="1"/>
  <c r="AE45" i="27"/>
  <c r="AE7" i="27"/>
  <c r="AE30" i="27"/>
  <c r="N35" i="11"/>
  <c r="T53" i="23"/>
  <c r="BB31" i="23" s="1"/>
  <c r="N42" i="11"/>
  <c r="M34" i="11"/>
  <c r="S55" i="23" s="1"/>
  <c r="S56" i="23"/>
  <c r="AD24" i="27"/>
  <c r="K12" i="11"/>
  <c r="K10" i="11"/>
  <c r="K32" i="11"/>
  <c r="K9" i="11"/>
  <c r="K63" i="11"/>
  <c r="K92" i="11"/>
  <c r="K53" i="11" s="1"/>
  <c r="BB36" i="23"/>
  <c r="T42" i="23"/>
  <c r="BB27" i="23" s="1"/>
  <c r="N20" i="11"/>
  <c r="T32" i="23" s="1"/>
  <c r="BD28" i="23"/>
  <c r="BC8" i="23"/>
  <c r="AE12" i="27"/>
  <c r="AJ16" i="16"/>
  <c r="AE11" i="27"/>
  <c r="AJ15" i="16"/>
  <c r="AE10" i="27"/>
  <c r="AE19" i="27"/>
  <c r="AE20" i="27"/>
  <c r="N23" i="11"/>
  <c r="T30" i="23"/>
  <c r="AJ21" i="16"/>
  <c r="AJ29" i="16" s="1"/>
  <c r="M44" i="11" s="1"/>
  <c r="AE47" i="27"/>
  <c r="AE46" i="27"/>
  <c r="AI27" i="16"/>
  <c r="AI26" i="16"/>
  <c r="AD14" i="27"/>
  <c r="AI32" i="16"/>
  <c r="AI34" i="16" s="1"/>
  <c r="AI23" i="16"/>
  <c r="AI14" i="16"/>
  <c r="AI24" i="16"/>
  <c r="AI17" i="16"/>
  <c r="AI13" i="16"/>
  <c r="AD13" i="27"/>
  <c r="AI12" i="16"/>
  <c r="AI11" i="16" s="1"/>
  <c r="AI33" i="16"/>
  <c r="AI28" i="16"/>
  <c r="AI25" i="16"/>
  <c r="AP5" i="18"/>
  <c r="AP22" i="18"/>
  <c r="AP4" i="18"/>
  <c r="AC6" i="19"/>
  <c r="AG9" i="16"/>
  <c r="AG6" i="24"/>
  <c r="J13" i="11"/>
  <c r="AO6" i="18"/>
  <c r="AK36" i="16"/>
  <c r="M47" i="11"/>
  <c r="AJ35" i="16"/>
  <c r="S39" i="23"/>
  <c r="Q45" i="25"/>
  <c r="Q46" i="25"/>
  <c r="Q48" i="25"/>
  <c r="Q47" i="25"/>
  <c r="L8" i="11"/>
  <c r="L45" i="11"/>
  <c r="L43" i="11"/>
  <c r="L6" i="11"/>
  <c r="AD9" i="27"/>
  <c r="AD2" i="27"/>
  <c r="AD3" i="27"/>
  <c r="AD4" i="27"/>
  <c r="AD6" i="27"/>
  <c r="AD8" i="27"/>
  <c r="AD5" i="27"/>
  <c r="U44" i="23"/>
  <c r="BC31" i="23"/>
  <c r="AH39" i="16"/>
  <c r="AH63" i="16"/>
  <c r="AH8" i="16"/>
  <c r="AH48" i="16"/>
  <c r="AH7" i="16"/>
  <c r="AH5" i="24"/>
  <c r="AH3" i="24"/>
  <c r="AH4" i="24"/>
  <c r="AC1" i="27"/>
  <c r="AE4" i="19"/>
  <c r="AE7" i="19" s="1"/>
  <c r="AQ3" i="18"/>
  <c r="AQ7" i="18" s="1"/>
  <c r="AI5" i="16"/>
  <c r="AI10" i="16" s="1"/>
  <c r="AI40" i="16" s="1"/>
  <c r="AI49" i="16" s="1"/>
  <c r="N37" i="11"/>
  <c r="C39" i="30"/>
  <c r="F58" i="9"/>
  <c r="C43" i="30"/>
  <c r="H15" i="9"/>
  <c r="F73" i="9"/>
  <c r="H137" i="9"/>
  <c r="BJ115" i="9"/>
  <c r="D21" i="30"/>
  <c r="D45" i="30" s="1"/>
  <c r="BJ15" i="9"/>
  <c r="BN79" i="9"/>
  <c r="BE79" i="9" s="1"/>
  <c r="BM115" i="9"/>
  <c r="BI115" i="9"/>
  <c r="BL115" i="9"/>
  <c r="BK15" i="9"/>
  <c r="C44" i="30"/>
  <c r="BM15" i="9"/>
  <c r="BG47" i="9"/>
  <c r="BN47" i="9" s="1"/>
  <c r="BE47" i="9" s="1"/>
  <c r="BN14" i="9"/>
  <c r="BE14" i="9" s="1"/>
  <c r="BG115" i="9"/>
  <c r="BN115" i="9" s="1"/>
  <c r="BE115" i="9" s="1"/>
  <c r="BF16" i="9"/>
  <c r="BF81" i="9"/>
  <c r="BF117" i="9"/>
  <c r="BF48" i="9"/>
  <c r="BK80" i="9"/>
  <c r="DZ9" i="9"/>
  <c r="DQ9" i="9"/>
  <c r="BG80" i="9"/>
  <c r="BG15" i="9"/>
  <c r="CY9" i="9"/>
  <c r="R66" i="23"/>
  <c r="R38" i="23"/>
  <c r="R51" i="23"/>
  <c r="R60" i="23"/>
  <c r="R6" i="23"/>
  <c r="R25" i="23"/>
  <c r="R24" i="23" s="1"/>
  <c r="AY3" i="23"/>
  <c r="Q8" i="23"/>
  <c r="R78" i="23"/>
  <c r="R98" i="23"/>
  <c r="CB12" i="9"/>
  <c r="CC11" i="9"/>
  <c r="CD11" i="9" s="1"/>
  <c r="CF11" i="9" s="1"/>
  <c r="BH115" i="9"/>
  <c r="BL15" i="9"/>
  <c r="BI15" i="9"/>
  <c r="BI116" i="9" s="1"/>
  <c r="BM80" i="9"/>
  <c r="BL80" i="9"/>
  <c r="G68" i="9"/>
  <c r="F67" i="9"/>
  <c r="G149" i="9"/>
  <c r="AO2" i="24"/>
  <c r="AO7" i="24" s="1"/>
  <c r="AN2" i="24"/>
  <c r="AN7" i="24" s="1"/>
  <c r="AL2" i="24"/>
  <c r="AL7" i="24" s="1"/>
  <c r="G123" i="9"/>
  <c r="G61" i="9" s="1"/>
  <c r="C26" i="30"/>
  <c r="G132" i="9"/>
  <c r="G134" i="9" s="1"/>
  <c r="G136" i="9" s="1"/>
  <c r="G127" i="9"/>
  <c r="G129" i="9" s="1"/>
  <c r="C27" i="30"/>
  <c r="AK2" i="24"/>
  <c r="AK7" i="24" s="1"/>
  <c r="AJ2" i="24"/>
  <c r="AJ7" i="24" s="1"/>
  <c r="AQ2" i="24"/>
  <c r="AQ7" i="24" s="1"/>
  <c r="C35" i="30"/>
  <c r="AM2" i="24"/>
  <c r="AM7" i="24" s="1"/>
  <c r="G121" i="9"/>
  <c r="C25" i="30"/>
  <c r="AI2" i="24"/>
  <c r="AI7" i="24" s="1"/>
  <c r="AP2" i="24"/>
  <c r="AP7" i="24" s="1"/>
  <c r="G120" i="9"/>
  <c r="C24" i="30"/>
  <c r="C36" i="30" s="1"/>
  <c r="G128" i="9"/>
  <c r="C28" i="30"/>
  <c r="AT8" i="18"/>
  <c r="AT19" i="18" s="1"/>
  <c r="AT14" i="18"/>
  <c r="AT28" i="18" s="1"/>
  <c r="AT9" i="18"/>
  <c r="AT23" i="18" s="1"/>
  <c r="AT11" i="18"/>
  <c r="AT25" i="18" s="1"/>
  <c r="AU9" i="18"/>
  <c r="AU23" i="18" s="1"/>
  <c r="AU11" i="18"/>
  <c r="AU25" i="18" s="1"/>
  <c r="AU14" i="18"/>
  <c r="AU28" i="18" s="1"/>
  <c r="AU8" i="18"/>
  <c r="AU19" i="18" s="1"/>
  <c r="H34" i="9"/>
  <c r="H140" i="9"/>
  <c r="H142" i="9"/>
  <c r="H26" i="9"/>
  <c r="H124" i="9"/>
  <c r="H9" i="9"/>
  <c r="H11" i="9"/>
  <c r="H8" i="9"/>
  <c r="H10" i="9"/>
  <c r="H45" i="9" s="1"/>
  <c r="F173" i="9"/>
  <c r="G115" i="9"/>
  <c r="F9" i="9"/>
  <c r="F52" i="9" s="1"/>
  <c r="F10" i="9"/>
  <c r="F8" i="9"/>
  <c r="F11" i="9"/>
  <c r="AW11" i="18"/>
  <c r="AW25" i="18" s="1"/>
  <c r="AW9" i="18"/>
  <c r="AW23" i="18" s="1"/>
  <c r="AW8" i="18"/>
  <c r="AW19" i="18" s="1"/>
  <c r="AW14" i="18"/>
  <c r="AW28" i="18" s="1"/>
  <c r="D37" i="30"/>
  <c r="D38" i="30"/>
  <c r="H68" i="9"/>
  <c r="H149" i="9"/>
  <c r="H35" i="9"/>
  <c r="H146" i="9"/>
  <c r="H130" i="9"/>
  <c r="H33" i="9"/>
  <c r="G112" i="9"/>
  <c r="G71" i="9" s="1"/>
  <c r="G73" i="9"/>
  <c r="G66" i="9"/>
  <c r="C21" i="30"/>
  <c r="C22" i="30"/>
  <c r="G72" i="9"/>
  <c r="I44" i="9"/>
  <c r="F163" i="9"/>
  <c r="F154" i="9"/>
  <c r="G55" i="9"/>
  <c r="AX11" i="18"/>
  <c r="AX25" i="18" s="1"/>
  <c r="AX14" i="18"/>
  <c r="AX28" i="18" s="1"/>
  <c r="AX8" i="18"/>
  <c r="AX19" i="18" s="1"/>
  <c r="AX9" i="18"/>
  <c r="AX23" i="18" s="1"/>
  <c r="F55" i="9"/>
  <c r="F162" i="9"/>
  <c r="G164" i="9"/>
  <c r="G56" i="9"/>
  <c r="AV11" i="18"/>
  <c r="AV25" i="18" s="1"/>
  <c r="AV8" i="18"/>
  <c r="AV19" i="18" s="1"/>
  <c r="AV9" i="18"/>
  <c r="AV23" i="18" s="1"/>
  <c r="AV14" i="18"/>
  <c r="AV28" i="18" s="1"/>
  <c r="F148" i="9"/>
  <c r="F176" i="9"/>
  <c r="C33" i="30"/>
  <c r="C42" i="30"/>
  <c r="G69" i="9"/>
  <c r="G3" i="9"/>
  <c r="G98" i="9"/>
  <c r="G58" i="9"/>
  <c r="G59" i="9"/>
  <c r="C47" i="30"/>
  <c r="G166" i="9"/>
  <c r="AS8" i="18"/>
  <c r="AS19" i="18" s="1"/>
  <c r="AS9" i="18"/>
  <c r="AS23" i="18" s="1"/>
  <c r="AS14" i="18"/>
  <c r="AS28" i="18" s="1"/>
  <c r="AS11" i="18"/>
  <c r="AS25" i="18" s="1"/>
  <c r="F59" i="9"/>
  <c r="G57" i="9"/>
  <c r="AE37" i="27"/>
  <c r="AE36" i="27"/>
  <c r="AE38" i="27"/>
  <c r="AE39" i="27"/>
  <c r="BH116" i="9" l="1"/>
  <c r="AR8" i="18"/>
  <c r="AR19" i="18" s="1"/>
  <c r="G169" i="9"/>
  <c r="G171" i="9"/>
  <c r="AR16" i="18"/>
  <c r="C50" i="30"/>
  <c r="AR13" i="18"/>
  <c r="AR27" i="18" s="1"/>
  <c r="BA39" i="23" s="1"/>
  <c r="AR14" i="18"/>
  <c r="AR28" i="18" s="1"/>
  <c r="AR12" i="18"/>
  <c r="AR26" i="18" s="1"/>
  <c r="BA33" i="23" s="1"/>
  <c r="AR17" i="18"/>
  <c r="F45" i="9"/>
  <c r="G167" i="9"/>
  <c r="AE21" i="27"/>
  <c r="AR9" i="18"/>
  <c r="AR23" i="18" s="1"/>
  <c r="AK8" i="19"/>
  <c r="R111" i="11" s="1"/>
  <c r="AH2" i="24"/>
  <c r="AH7" i="24" s="1"/>
  <c r="AG10" i="19"/>
  <c r="N109" i="11" s="1"/>
  <c r="AJ9" i="19"/>
  <c r="Q110" i="11" s="1"/>
  <c r="AD8" i="19"/>
  <c r="K111" i="11" s="1"/>
  <c r="AH10" i="19"/>
  <c r="O109" i="11" s="1"/>
  <c r="C23" i="30"/>
  <c r="C52" i="30"/>
  <c r="AR25" i="18"/>
  <c r="BK81" i="9"/>
  <c r="BJ116" i="9"/>
  <c r="T54" i="23"/>
  <c r="T44" i="23"/>
  <c r="BB28" i="23" s="1"/>
  <c r="M37" i="11"/>
  <c r="M20" i="11"/>
  <c r="S32" i="23" s="1"/>
  <c r="BB8" i="23"/>
  <c r="BC28" i="23"/>
  <c r="AO5" i="18"/>
  <c r="AO4" i="18"/>
  <c r="AO22" i="18"/>
  <c r="AD11" i="27"/>
  <c r="AI15" i="16"/>
  <c r="AD10" i="27"/>
  <c r="AD12" i="27"/>
  <c r="AI16" i="16"/>
  <c r="AI22" i="16"/>
  <c r="L46" i="11" s="1"/>
  <c r="AD45" i="27"/>
  <c r="K43" i="11"/>
  <c r="K45" i="11"/>
  <c r="K6" i="11"/>
  <c r="K8" i="11"/>
  <c r="AD19" i="27"/>
  <c r="AD20" i="27"/>
  <c r="R56" i="23"/>
  <c r="L34" i="11"/>
  <c r="R55" i="23" s="1"/>
  <c r="AB1" i="27"/>
  <c r="AG48" i="16"/>
  <c r="AG5" i="24"/>
  <c r="AG7" i="16"/>
  <c r="AG3" i="24"/>
  <c r="AG8" i="16"/>
  <c r="AG4" i="24"/>
  <c r="AG63" i="16"/>
  <c r="AG39" i="16"/>
  <c r="R39" i="23"/>
  <c r="L47" i="11"/>
  <c r="AI35" i="16"/>
  <c r="AJ36" i="16"/>
  <c r="M42" i="11"/>
  <c r="S53" i="23"/>
  <c r="BA31" i="23" s="1"/>
  <c r="DW11" i="9"/>
  <c r="DS11" i="9"/>
  <c r="DV11" i="9"/>
  <c r="DY11" i="9"/>
  <c r="DU11" i="9"/>
  <c r="DT11" i="9"/>
  <c r="DX11" i="9"/>
  <c r="DG11" i="9"/>
  <c r="DC11" i="9"/>
  <c r="DF11" i="9"/>
  <c r="DB11" i="9"/>
  <c r="DE11" i="9"/>
  <c r="DA11" i="9"/>
  <c r="DH11" i="9" s="1"/>
  <c r="DD11" i="9"/>
  <c r="CS11" i="9"/>
  <c r="CV11" i="9"/>
  <c r="DL11" i="9"/>
  <c r="CR11" i="9"/>
  <c r="CJ11" i="9"/>
  <c r="BH49" i="9" s="1"/>
  <c r="CL11" i="9"/>
  <c r="BJ49" i="9" s="1"/>
  <c r="DO11" i="9"/>
  <c r="DJ11" i="9"/>
  <c r="CI11" i="9"/>
  <c r="CP11" i="9" s="1"/>
  <c r="DK11" i="9"/>
  <c r="CK11" i="9"/>
  <c r="BI49" i="9" s="1"/>
  <c r="CU11" i="9"/>
  <c r="CT11" i="9"/>
  <c r="CN11" i="9"/>
  <c r="BL49" i="9" s="1"/>
  <c r="CX11" i="9"/>
  <c r="CW11" i="9"/>
  <c r="CO11" i="9"/>
  <c r="BM49" i="9" s="1"/>
  <c r="CM11" i="9"/>
  <c r="BK49" i="9" s="1"/>
  <c r="DP11" i="9"/>
  <c r="DN11" i="9"/>
  <c r="DM11" i="9"/>
  <c r="BJ82" i="9" s="1"/>
  <c r="AC24" i="27"/>
  <c r="AD7" i="27"/>
  <c r="AD30" i="27"/>
  <c r="S42" i="23"/>
  <c r="BA27" i="23" s="1"/>
  <c r="BA36" i="23"/>
  <c r="R52" i="23"/>
  <c r="AI6" i="16"/>
  <c r="L41" i="11"/>
  <c r="AI18" i="16"/>
  <c r="L35" i="11" s="1"/>
  <c r="M23" i="11"/>
  <c r="S30" i="23"/>
  <c r="M33" i="11"/>
  <c r="AC5" i="27"/>
  <c r="AC9" i="27"/>
  <c r="AC3" i="27"/>
  <c r="AC8" i="27"/>
  <c r="AC6" i="27"/>
  <c r="AC4" i="27"/>
  <c r="AC2" i="27"/>
  <c r="AP3" i="18"/>
  <c r="AP7" i="18" s="1"/>
  <c r="AH5" i="16"/>
  <c r="AH10" i="16" s="1"/>
  <c r="AH40" i="16" s="1"/>
  <c r="AH49" i="16" s="1"/>
  <c r="AD4" i="19"/>
  <c r="AD7" i="19" s="1"/>
  <c r="I13" i="11"/>
  <c r="AF9" i="16"/>
  <c r="AN6" i="18"/>
  <c r="AB6" i="19"/>
  <c r="AF6" i="24"/>
  <c r="J12" i="11"/>
  <c r="J10" i="11"/>
  <c r="J92" i="11"/>
  <c r="J53" i="11" s="1"/>
  <c r="J9" i="11"/>
  <c r="J63" i="11"/>
  <c r="J32" i="11"/>
  <c r="AD46" i="27"/>
  <c r="AI21" i="16"/>
  <c r="AI29" i="16" s="1"/>
  <c r="L44" i="11" s="1"/>
  <c r="AD47" i="27"/>
  <c r="AH13" i="16"/>
  <c r="AH23" i="16"/>
  <c r="AH12" i="16"/>
  <c r="AH11" i="16" s="1"/>
  <c r="AH27" i="16"/>
  <c r="AH14" i="16"/>
  <c r="AC13" i="27"/>
  <c r="AH25" i="16"/>
  <c r="AH24" i="16"/>
  <c r="AH26" i="16"/>
  <c r="AH28" i="16"/>
  <c r="AC14" i="27"/>
  <c r="AH32" i="16"/>
  <c r="AH34" i="16" s="1"/>
  <c r="AH17" i="16"/>
  <c r="AH33" i="16"/>
  <c r="S44" i="25"/>
  <c r="C37" i="30"/>
  <c r="AL52" i="27"/>
  <c r="AS13" i="18"/>
  <c r="AS27" i="18" s="1"/>
  <c r="BB39" i="23" s="1"/>
  <c r="AF52" i="27"/>
  <c r="AV13" i="18"/>
  <c r="AV27" i="18" s="1"/>
  <c r="BE39" i="23" s="1"/>
  <c r="AI52" i="27"/>
  <c r="AX13" i="18"/>
  <c r="AX27" i="18" s="1"/>
  <c r="BG39" i="23" s="1"/>
  <c r="AK52" i="27"/>
  <c r="AW13" i="18"/>
  <c r="AW27" i="18" s="1"/>
  <c r="BF39" i="23" s="1"/>
  <c r="AJ52" i="27"/>
  <c r="AU13" i="18"/>
  <c r="AU27" i="18" s="1"/>
  <c r="BD39" i="23" s="1"/>
  <c r="AH52" i="27"/>
  <c r="AT13" i="18"/>
  <c r="AT27" i="18" s="1"/>
  <c r="BC39" i="23" s="1"/>
  <c r="AG52" i="27"/>
  <c r="G15" i="9"/>
  <c r="F15" i="9"/>
  <c r="R49" i="25"/>
  <c r="Q49" i="25"/>
  <c r="C38" i="30"/>
  <c r="BM116" i="9"/>
  <c r="BK116" i="9"/>
  <c r="BH16" i="9"/>
  <c r="BN80" i="9"/>
  <c r="BE80" i="9" s="1"/>
  <c r="BK16" i="9"/>
  <c r="DZ10" i="9"/>
  <c r="BF17" i="9"/>
  <c r="BF118" i="9"/>
  <c r="BF82" i="9"/>
  <c r="BF49" i="9"/>
  <c r="BN15" i="9"/>
  <c r="BE15" i="9" s="1"/>
  <c r="BG116" i="9"/>
  <c r="BN116" i="9" s="1"/>
  <c r="BE116" i="9" s="1"/>
  <c r="BG16" i="9"/>
  <c r="CY10" i="9"/>
  <c r="BL116" i="9"/>
  <c r="BM16" i="9"/>
  <c r="BM117" i="9" s="1"/>
  <c r="BJ16" i="9"/>
  <c r="BJ117" i="9" s="1"/>
  <c r="BI16" i="9"/>
  <c r="BH81" i="9"/>
  <c r="CC12" i="9"/>
  <c r="CD12" i="9" s="1"/>
  <c r="CF12" i="9" s="1"/>
  <c r="CB13" i="9"/>
  <c r="Q25" i="23"/>
  <c r="Q24" i="23" s="1"/>
  <c r="Q6" i="23"/>
  <c r="Q60" i="23"/>
  <c r="P8" i="23"/>
  <c r="Q51" i="23"/>
  <c r="Q66" i="23"/>
  <c r="Q38" i="23"/>
  <c r="Q98" i="23"/>
  <c r="Q78" i="23"/>
  <c r="AX3" i="23"/>
  <c r="DQ10" i="9"/>
  <c r="BG81" i="9"/>
  <c r="BG48" i="9"/>
  <c r="BN48" i="9" s="1"/>
  <c r="BE48" i="9" s="1"/>
  <c r="BL16" i="9"/>
  <c r="BL117" i="9" s="1"/>
  <c r="BI81" i="9"/>
  <c r="F164" i="9"/>
  <c r="G33" i="9"/>
  <c r="G130" i="9"/>
  <c r="G26" i="9"/>
  <c r="G35" i="9"/>
  <c r="G124" i="9"/>
  <c r="G146" i="9"/>
  <c r="G34" i="9"/>
  <c r="G140" i="9"/>
  <c r="G137" i="9"/>
  <c r="D23" i="30"/>
  <c r="F41" i="30"/>
  <c r="F40" i="30"/>
  <c r="G23" i="30"/>
  <c r="AS12" i="18"/>
  <c r="AS26" i="18" s="1"/>
  <c r="BB33" i="23" s="1"/>
  <c r="AF29" i="27"/>
  <c r="AW16" i="18"/>
  <c r="G8" i="9"/>
  <c r="G9" i="9"/>
  <c r="G10" i="9"/>
  <c r="G11" i="9"/>
  <c r="AV15" i="18"/>
  <c r="AI22" i="27"/>
  <c r="AI21" i="27"/>
  <c r="AV10" i="18"/>
  <c r="AV16" i="18"/>
  <c r="AX16" i="18"/>
  <c r="AT16" i="18"/>
  <c r="F168" i="9"/>
  <c r="F166" i="9"/>
  <c r="F167" i="9"/>
  <c r="F44" i="9" s="1"/>
  <c r="F169" i="9"/>
  <c r="F21" i="9" s="1"/>
  <c r="F170" i="9"/>
  <c r="F171" i="9"/>
  <c r="AS17" i="18"/>
  <c r="AY16" i="18"/>
  <c r="AL21" i="27"/>
  <c r="AY10" i="18"/>
  <c r="I29" i="30"/>
  <c r="Q156" i="9"/>
  <c r="AY8" i="18"/>
  <c r="AY19" i="18" s="1"/>
  <c r="Q154" i="9"/>
  <c r="Q159" i="9"/>
  <c r="AY13" i="18"/>
  <c r="AY11" i="18"/>
  <c r="Q157" i="9"/>
  <c r="AW10" i="18"/>
  <c r="AJ21" i="27"/>
  <c r="F49" i="9"/>
  <c r="F13" i="9"/>
  <c r="F65" i="9" s="1"/>
  <c r="F50" i="9"/>
  <c r="F42" i="9"/>
  <c r="AG8" i="19"/>
  <c r="N111" i="11" s="1"/>
  <c r="F142" i="9"/>
  <c r="F140" i="9"/>
  <c r="F34" i="9"/>
  <c r="H43" i="9"/>
  <c r="H41" i="9"/>
  <c r="H125" i="9"/>
  <c r="H32" i="9"/>
  <c r="AU12" i="18"/>
  <c r="AU26" i="18" s="1"/>
  <c r="BD33" i="23" s="1"/>
  <c r="AH29" i="27"/>
  <c r="AU15" i="18"/>
  <c r="AH22" i="27"/>
  <c r="AU16" i="18"/>
  <c r="AT10" i="18"/>
  <c r="AG21" i="27"/>
  <c r="AF21" i="27"/>
  <c r="AS10" i="18"/>
  <c r="AF22" i="27"/>
  <c r="AS15" i="18"/>
  <c r="AW17" i="18"/>
  <c r="AD9" i="19"/>
  <c r="K110" i="11" s="1"/>
  <c r="F149" i="9"/>
  <c r="F68" i="9"/>
  <c r="AI29" i="27"/>
  <c r="AV12" i="18"/>
  <c r="AV26" i="18" s="1"/>
  <c r="BE33" i="23" s="1"/>
  <c r="AV17" i="18"/>
  <c r="AX17" i="18"/>
  <c r="AT17" i="18"/>
  <c r="AK22" i="27"/>
  <c r="AX15" i="18"/>
  <c r="AX10" i="18"/>
  <c r="AK21" i="27"/>
  <c r="AX12" i="18"/>
  <c r="AX26" i="18" s="1"/>
  <c r="BG33" i="23" s="1"/>
  <c r="AK29" i="27"/>
  <c r="E40" i="30"/>
  <c r="E41" i="30"/>
  <c r="AS16" i="18"/>
  <c r="AY17" i="18"/>
  <c r="Q155" i="9"/>
  <c r="AY9" i="18"/>
  <c r="AY12" i="18"/>
  <c r="Q158" i="9"/>
  <c r="AL29" i="27"/>
  <c r="I30" i="30"/>
  <c r="AL22" i="27"/>
  <c r="AY15" i="18"/>
  <c r="Q161" i="9"/>
  <c r="AY14" i="18"/>
  <c r="Q160" i="9"/>
  <c r="AE22" i="27"/>
  <c r="AR15" i="18"/>
  <c r="AJ22" i="27"/>
  <c r="AW15" i="18"/>
  <c r="AW12" i="18"/>
  <c r="AW26" i="18" s="1"/>
  <c r="BF33" i="23" s="1"/>
  <c r="AJ29" i="27"/>
  <c r="F41" i="9"/>
  <c r="AK10" i="19"/>
  <c r="R109" i="11" s="1"/>
  <c r="AF9" i="19"/>
  <c r="M110" i="11" s="1"/>
  <c r="AJ13" i="19"/>
  <c r="Q114" i="11" s="1"/>
  <c r="F146" i="9"/>
  <c r="F35" i="9"/>
  <c r="F124" i="9"/>
  <c r="F26" i="9"/>
  <c r="F130" i="9"/>
  <c r="F33" i="9"/>
  <c r="H49" i="9"/>
  <c r="H2" i="9"/>
  <c r="H1" i="9" s="1"/>
  <c r="AQ3" i="9"/>
  <c r="H13" i="9"/>
  <c r="H65" i="9" s="1"/>
  <c r="H50" i="9"/>
  <c r="H42" i="9"/>
  <c r="H21" i="9"/>
  <c r="H44" i="9"/>
  <c r="H12" i="9"/>
  <c r="H53" i="9"/>
  <c r="H52" i="9"/>
  <c r="AU10" i="18"/>
  <c r="AH21" i="27"/>
  <c r="AU17" i="18"/>
  <c r="AT15" i="18"/>
  <c r="AG22" i="27"/>
  <c r="AG29" i="27"/>
  <c r="AT12" i="18"/>
  <c r="AT26" i="18" s="1"/>
  <c r="BC33" i="23" s="1"/>
  <c r="F53" i="9"/>
  <c r="F12" i="9"/>
  <c r="F57" i="9"/>
  <c r="C45" i="30"/>
  <c r="F72" i="9"/>
  <c r="F137" i="9"/>
  <c r="AD39" i="27"/>
  <c r="AD38" i="27"/>
  <c r="AD37" i="27"/>
  <c r="AD36" i="27"/>
  <c r="AE29" i="27" l="1"/>
  <c r="Q170" i="9"/>
  <c r="AF11" i="19"/>
  <c r="M113" i="11" s="1"/>
  <c r="M99" i="11" s="1"/>
  <c r="S94" i="23" s="1"/>
  <c r="AL10" i="19"/>
  <c r="S109" i="11" s="1"/>
  <c r="AD12" i="19"/>
  <c r="K112" i="11" s="1"/>
  <c r="AF17" i="27"/>
  <c r="AG9" i="19"/>
  <c r="N110" i="11" s="1"/>
  <c r="N95" i="11" s="1"/>
  <c r="AR10" i="18"/>
  <c r="S40" i="23" s="1"/>
  <c r="AD11" i="19"/>
  <c r="K113" i="11" s="1"/>
  <c r="AF18" i="27"/>
  <c r="AE52" i="27"/>
  <c r="AK9" i="19"/>
  <c r="R110" i="11" s="1"/>
  <c r="R95" i="11" s="1"/>
  <c r="AD13" i="19"/>
  <c r="K114" i="11" s="1"/>
  <c r="AG13" i="19"/>
  <c r="N114" i="11" s="1"/>
  <c r="AJ11" i="19"/>
  <c r="Q113" i="11" s="1"/>
  <c r="Q99" i="11" s="1"/>
  <c r="W94" i="23" s="1"/>
  <c r="AF8" i="19"/>
  <c r="M111" i="11" s="1"/>
  <c r="M95" i="11" s="1"/>
  <c r="AK13" i="19"/>
  <c r="R114" i="11" s="1"/>
  <c r="AD10" i="19"/>
  <c r="K109" i="11" s="1"/>
  <c r="AJ10" i="19"/>
  <c r="Q109" i="11" s="1"/>
  <c r="AJ8" i="19"/>
  <c r="Q111" i="11" s="1"/>
  <c r="Q95" i="11" s="1"/>
  <c r="AF13" i="19"/>
  <c r="M114" i="11" s="1"/>
  <c r="AF10" i="19"/>
  <c r="M109" i="11" s="1"/>
  <c r="BA8" i="23"/>
  <c r="Q177" i="9"/>
  <c r="Q174" i="9"/>
  <c r="Q176" i="9"/>
  <c r="AM8" i="19"/>
  <c r="T111" i="11" s="1"/>
  <c r="I51" i="30"/>
  <c r="AL9" i="19"/>
  <c r="S110" i="11" s="1"/>
  <c r="AL13" i="19"/>
  <c r="S114" i="11" s="1"/>
  <c r="AM10" i="19"/>
  <c r="T109" i="11" s="1"/>
  <c r="AL8" i="19"/>
  <c r="S111" i="11" s="1"/>
  <c r="AH12" i="19"/>
  <c r="O112" i="11" s="1"/>
  <c r="AH11" i="19"/>
  <c r="O113" i="11" s="1"/>
  <c r="O99" i="11" s="1"/>
  <c r="U94" i="23" s="1"/>
  <c r="AH9" i="19"/>
  <c r="O110" i="11" s="1"/>
  <c r="AH8" i="19"/>
  <c r="O111" i="11" s="1"/>
  <c r="AH13" i="19"/>
  <c r="O114" i="11" s="1"/>
  <c r="S44" i="23"/>
  <c r="AZ8" i="23" s="1"/>
  <c r="AI11" i="19"/>
  <c r="P113" i="11" s="1"/>
  <c r="P99" i="11" s="1"/>
  <c r="V94" i="23" s="1"/>
  <c r="AI9" i="19"/>
  <c r="P110" i="11" s="1"/>
  <c r="BK117" i="9"/>
  <c r="AQ14" i="18"/>
  <c r="AQ28" i="18" s="1"/>
  <c r="AQ8" i="18"/>
  <c r="AQ19" i="18" s="1"/>
  <c r="AQ9" i="18"/>
  <c r="AQ23" i="18" s="1"/>
  <c r="AQ11" i="18"/>
  <c r="AQ25" i="18" s="1"/>
  <c r="AE8" i="19"/>
  <c r="L111" i="11" s="1"/>
  <c r="AE12" i="19"/>
  <c r="L112" i="11" s="1"/>
  <c r="AI10" i="19"/>
  <c r="P109" i="11" s="1"/>
  <c r="BM82" i="9"/>
  <c r="AI12" i="19"/>
  <c r="P112" i="11" s="1"/>
  <c r="AI8" i="19"/>
  <c r="P111" i="11" s="1"/>
  <c r="AI13" i="19"/>
  <c r="P114" i="11" s="1"/>
  <c r="AE13" i="19"/>
  <c r="L114" i="11" s="1"/>
  <c r="AE9" i="19"/>
  <c r="L110" i="11" s="1"/>
  <c r="L95" i="11" s="1"/>
  <c r="AE10" i="19"/>
  <c r="L109" i="11" s="1"/>
  <c r="AE11" i="19"/>
  <c r="L113" i="11" s="1"/>
  <c r="S54" i="23"/>
  <c r="BM17" i="9"/>
  <c r="AO3" i="18"/>
  <c r="AO7" i="18" s="1"/>
  <c r="AG5" i="16"/>
  <c r="AG10" i="16" s="1"/>
  <c r="AG40" i="16" s="1"/>
  <c r="AG49" i="16" s="1"/>
  <c r="AC4" i="19"/>
  <c r="AC7" i="19" s="1"/>
  <c r="AG33" i="16"/>
  <c r="AG32" i="16"/>
  <c r="AG34" i="16" s="1"/>
  <c r="AG28" i="16"/>
  <c r="AG26" i="16"/>
  <c r="AG27" i="16"/>
  <c r="AB14" i="27"/>
  <c r="AG23" i="16"/>
  <c r="AB13" i="27"/>
  <c r="AG25" i="16"/>
  <c r="AG13" i="16"/>
  <c r="AG17" i="16"/>
  <c r="AG14" i="16"/>
  <c r="AG24" i="16"/>
  <c r="AG12" i="16"/>
  <c r="AG11" i="16" s="1"/>
  <c r="R42" i="23"/>
  <c r="AZ27" i="23" s="1"/>
  <c r="AZ36" i="23"/>
  <c r="AH21" i="16"/>
  <c r="AH29" i="16" s="1"/>
  <c r="K44" i="11" s="1"/>
  <c r="AC46" i="27"/>
  <c r="AC47" i="27"/>
  <c r="AN5" i="18"/>
  <c r="AN4" i="18"/>
  <c r="AN22" i="18"/>
  <c r="I12" i="11"/>
  <c r="I92" i="11"/>
  <c r="I53" i="11" s="1"/>
  <c r="I9" i="11"/>
  <c r="I32" i="11"/>
  <c r="I63" i="11"/>
  <c r="I10" i="11"/>
  <c r="L37" i="11"/>
  <c r="AB24" i="27"/>
  <c r="S47" i="25"/>
  <c r="S48" i="25"/>
  <c r="S46" i="25"/>
  <c r="S45" i="25"/>
  <c r="AC45" i="27"/>
  <c r="AH22" i="16"/>
  <c r="K46" i="11" s="1"/>
  <c r="AH6" i="16"/>
  <c r="Q52" i="23"/>
  <c r="AH18" i="16"/>
  <c r="K35" i="11" s="1"/>
  <c r="K41" i="11"/>
  <c r="AH16" i="16"/>
  <c r="AC12" i="27"/>
  <c r="AF7" i="16"/>
  <c r="AF5" i="24"/>
  <c r="AF4" i="24"/>
  <c r="AF48" i="16"/>
  <c r="AF8" i="16"/>
  <c r="AF39" i="16"/>
  <c r="AF63" i="16"/>
  <c r="AF3" i="24"/>
  <c r="J43" i="11"/>
  <c r="J6" i="11"/>
  <c r="J8" i="11"/>
  <c r="J45" i="11"/>
  <c r="AC10" i="27"/>
  <c r="AH15" i="16"/>
  <c r="AC11" i="27"/>
  <c r="AA1" i="27"/>
  <c r="AA6" i="19"/>
  <c r="AE6" i="24"/>
  <c r="AM6" i="18"/>
  <c r="AE9" i="16"/>
  <c r="H13" i="11"/>
  <c r="AC7" i="27"/>
  <c r="AC30" i="27"/>
  <c r="AC19" i="27"/>
  <c r="AC20" i="27"/>
  <c r="L33" i="11"/>
  <c r="AI36" i="16"/>
  <c r="R53" i="23"/>
  <c r="AZ31" i="23" s="1"/>
  <c r="L42" i="11"/>
  <c r="AB8" i="27"/>
  <c r="AB9" i="27"/>
  <c r="AB2" i="27"/>
  <c r="AB4" i="27"/>
  <c r="AB5" i="27"/>
  <c r="AB3" i="27"/>
  <c r="AB6" i="27"/>
  <c r="Q56" i="23"/>
  <c r="K34" i="11"/>
  <c r="Q55" i="23" s="1"/>
  <c r="L23" i="11"/>
  <c r="R30" i="23"/>
  <c r="DX12" i="9"/>
  <c r="DT12" i="9"/>
  <c r="DW12" i="9"/>
  <c r="DS12" i="9"/>
  <c r="DV12" i="9"/>
  <c r="DY12" i="9"/>
  <c r="DU12" i="9"/>
  <c r="DD12" i="9"/>
  <c r="DG12" i="9"/>
  <c r="DC12" i="9"/>
  <c r="DF12" i="9"/>
  <c r="DB12" i="9"/>
  <c r="DA12" i="9"/>
  <c r="DH12" i="9" s="1"/>
  <c r="DE12" i="9"/>
  <c r="CV12" i="9"/>
  <c r="CX12" i="9"/>
  <c r="CT12" i="9"/>
  <c r="DP12" i="9"/>
  <c r="DK12" i="9"/>
  <c r="CO12" i="9"/>
  <c r="BM50" i="9" s="1"/>
  <c r="DJ12" i="9"/>
  <c r="CW12" i="9"/>
  <c r="CU12" i="9"/>
  <c r="CK12" i="9"/>
  <c r="BI50" i="9" s="1"/>
  <c r="DM12" i="9"/>
  <c r="DO12" i="9"/>
  <c r="CR12" i="9"/>
  <c r="CJ12" i="9"/>
  <c r="BH50" i="9" s="1"/>
  <c r="DL12" i="9"/>
  <c r="CS12" i="9"/>
  <c r="CL12" i="9"/>
  <c r="BJ50" i="9" s="1"/>
  <c r="CN12" i="9"/>
  <c r="BL50" i="9" s="1"/>
  <c r="CI12" i="9"/>
  <c r="CP12" i="9" s="1"/>
  <c r="CM12" i="9"/>
  <c r="BK50" i="9" s="1"/>
  <c r="DN12" i="9"/>
  <c r="BK83" i="9" s="1"/>
  <c r="BH117" i="9"/>
  <c r="T43" i="25"/>
  <c r="Q39" i="23"/>
  <c r="AH35" i="16"/>
  <c r="K47" i="11"/>
  <c r="L20" i="11"/>
  <c r="R32" i="23" s="1"/>
  <c r="U40" i="23"/>
  <c r="X40" i="23"/>
  <c r="V40" i="23"/>
  <c r="Y40" i="23"/>
  <c r="T40" i="23"/>
  <c r="W40" i="23"/>
  <c r="F16" i="9"/>
  <c r="F17" i="9"/>
  <c r="BL17" i="9"/>
  <c r="BN81" i="9"/>
  <c r="BK17" i="9"/>
  <c r="BH82" i="9"/>
  <c r="AQ16" i="16"/>
  <c r="P60" i="23"/>
  <c r="P25" i="23"/>
  <c r="P24" i="23" s="1"/>
  <c r="P98" i="23"/>
  <c r="P38" i="23"/>
  <c r="P51" i="23"/>
  <c r="O8" i="23"/>
  <c r="AW3" i="23"/>
  <c r="P6" i="23"/>
  <c r="P78" i="23"/>
  <c r="P66" i="23"/>
  <c r="BF119" i="9"/>
  <c r="BF83" i="9"/>
  <c r="BF18" i="9"/>
  <c r="BF50" i="9"/>
  <c r="BG17" i="9"/>
  <c r="CY11" i="9"/>
  <c r="BG49" i="9"/>
  <c r="BN49" i="9" s="1"/>
  <c r="BE49" i="9" s="1"/>
  <c r="BI82" i="9"/>
  <c r="BL82" i="9"/>
  <c r="BK82" i="9"/>
  <c r="BJ17" i="9"/>
  <c r="BJ118" i="9" s="1"/>
  <c r="DZ11" i="9"/>
  <c r="CB14" i="9"/>
  <c r="CC13" i="9"/>
  <c r="CD13" i="9" s="1"/>
  <c r="CF13" i="9" s="1"/>
  <c r="BN16" i="9"/>
  <c r="BE16" i="9" s="1"/>
  <c r="BG117" i="9"/>
  <c r="BN117" i="9" s="1"/>
  <c r="BE117" i="9" s="1"/>
  <c r="AG2" i="24"/>
  <c r="AG7" i="24" s="1"/>
  <c r="DQ11" i="9"/>
  <c r="BG82" i="9"/>
  <c r="BI117" i="9"/>
  <c r="BI17" i="9"/>
  <c r="BH17" i="9"/>
  <c r="Q100" i="9"/>
  <c r="AQ15" i="16"/>
  <c r="AY29" i="18" s="1"/>
  <c r="T16" i="11" s="1"/>
  <c r="AQ32" i="16"/>
  <c r="AQ34" i="16" s="1"/>
  <c r="AQ13" i="16"/>
  <c r="Q93" i="9"/>
  <c r="Q106" i="9"/>
  <c r="Q107" i="9"/>
  <c r="T43" i="11"/>
  <c r="AQ28" i="16"/>
  <c r="T45" i="11"/>
  <c r="Q109" i="9"/>
  <c r="Q113" i="9"/>
  <c r="AQ33" i="16"/>
  <c r="AL45" i="27"/>
  <c r="AQ25" i="16"/>
  <c r="Q110" i="9"/>
  <c r="AL13" i="27"/>
  <c r="F43" i="9"/>
  <c r="G32" i="9"/>
  <c r="G125" i="9"/>
  <c r="AU24" i="18"/>
  <c r="P48" i="11"/>
  <c r="P49" i="11" s="1"/>
  <c r="P38" i="11" s="1"/>
  <c r="BD38" i="23"/>
  <c r="P25" i="11"/>
  <c r="P19" i="11"/>
  <c r="V33" i="23" s="1"/>
  <c r="BD30" i="23" s="1"/>
  <c r="AJ12" i="19"/>
  <c r="Q112" i="11" s="1"/>
  <c r="AI17" i="27"/>
  <c r="AF12" i="19"/>
  <c r="M112" i="11" s="1"/>
  <c r="AE17" i="27"/>
  <c r="AK11" i="19"/>
  <c r="R113" i="11" s="1"/>
  <c r="R99" i="11" s="1"/>
  <c r="X94" i="23" s="1"/>
  <c r="AJ18" i="27"/>
  <c r="R26" i="11"/>
  <c r="AW29" i="18"/>
  <c r="R16" i="11" s="1"/>
  <c r="X27" i="23" s="1"/>
  <c r="M27" i="11"/>
  <c r="AR18" i="18"/>
  <c r="M26" i="11"/>
  <c r="AR29" i="18"/>
  <c r="M16" i="11" s="1"/>
  <c r="S27" i="23" s="1"/>
  <c r="T26" i="11"/>
  <c r="R158" i="9"/>
  <c r="AP158" i="9" s="1"/>
  <c r="AO158" i="9"/>
  <c r="S26" i="11"/>
  <c r="AX29" i="18"/>
  <c r="S16" i="11" s="1"/>
  <c r="Y27" i="23" s="1"/>
  <c r="C40" i="30"/>
  <c r="C41" i="30"/>
  <c r="O26" i="11"/>
  <c r="AT29" i="18"/>
  <c r="O16" i="11" s="1"/>
  <c r="U27" i="23" s="1"/>
  <c r="F125" i="9"/>
  <c r="F32" i="9"/>
  <c r="AK12" i="19"/>
  <c r="R112" i="11" s="1"/>
  <c r="AJ17" i="27"/>
  <c r="R160" i="9"/>
  <c r="AP160" i="9" s="1"/>
  <c r="AO160" i="9"/>
  <c r="Q55" i="9"/>
  <c r="AO55" i="9" s="1"/>
  <c r="AO161" i="9"/>
  <c r="R161" i="9"/>
  <c r="R155" i="9"/>
  <c r="AP155" i="9" s="1"/>
  <c r="AO155" i="9"/>
  <c r="AS18" i="18"/>
  <c r="N27" i="11"/>
  <c r="O25" i="11"/>
  <c r="AT24" i="18"/>
  <c r="O19" i="11"/>
  <c r="U33" i="23" s="1"/>
  <c r="BC30" i="23" s="1"/>
  <c r="O48" i="11"/>
  <c r="O49" i="11" s="1"/>
  <c r="O38" i="11" s="1"/>
  <c r="BC38" i="23"/>
  <c r="P27" i="11"/>
  <c r="AU18" i="18"/>
  <c r="AU29" i="18"/>
  <c r="P16" i="11" s="1"/>
  <c r="V27" i="23" s="1"/>
  <c r="P26" i="11"/>
  <c r="AG11" i="19"/>
  <c r="N113" i="11" s="1"/>
  <c r="N99" i="11" s="1"/>
  <c r="T94" i="23" s="1"/>
  <c r="R25" i="11"/>
  <c r="R48" i="11"/>
  <c r="R49" i="11" s="1"/>
  <c r="R38" i="11" s="1"/>
  <c r="R19" i="11"/>
  <c r="X33" i="23" s="1"/>
  <c r="BF30" i="23" s="1"/>
  <c r="BF38" i="23"/>
  <c r="AW24" i="18"/>
  <c r="R157" i="9"/>
  <c r="AP157" i="9" s="1"/>
  <c r="AO157" i="9"/>
  <c r="R154" i="9"/>
  <c r="AP154" i="9" s="1"/>
  <c r="AO154" i="9"/>
  <c r="AO156" i="9"/>
  <c r="R156" i="9"/>
  <c r="B10" i="18"/>
  <c r="T25" i="11"/>
  <c r="T27" i="11"/>
  <c r="AY18" i="18"/>
  <c r="AX18" i="18"/>
  <c r="S27" i="11"/>
  <c r="AV18" i="18"/>
  <c r="Q27" i="11"/>
  <c r="Q25" i="11"/>
  <c r="Q19" i="11"/>
  <c r="W33" i="23" s="1"/>
  <c r="BE30" i="23" s="1"/>
  <c r="Q48" i="11"/>
  <c r="Q49" i="11" s="1"/>
  <c r="Q38" i="11" s="1"/>
  <c r="AV24" i="18"/>
  <c r="BE38" i="23"/>
  <c r="G50" i="9"/>
  <c r="G44" i="9"/>
  <c r="G21" i="9"/>
  <c r="G42" i="9"/>
  <c r="G19" i="9"/>
  <c r="G53" i="9"/>
  <c r="G52" i="9"/>
  <c r="G12" i="9"/>
  <c r="Q171" i="9"/>
  <c r="AM13" i="19"/>
  <c r="T114" i="11" s="1"/>
  <c r="I53" i="30"/>
  <c r="AB18" i="27"/>
  <c r="AC11" i="19"/>
  <c r="J113" i="11" s="1"/>
  <c r="AL11" i="19"/>
  <c r="S113" i="11" s="1"/>
  <c r="S99" i="11" s="1"/>
  <c r="Y94" i="23" s="1"/>
  <c r="AK18" i="27"/>
  <c r="AQ12" i="16"/>
  <c r="AQ11" i="16" s="1"/>
  <c r="Q91" i="9"/>
  <c r="AX24" i="18"/>
  <c r="BG38" i="23"/>
  <c r="S25" i="11"/>
  <c r="S19" i="11"/>
  <c r="Y33" i="23" s="1"/>
  <c r="BG30" i="23" s="1"/>
  <c r="S48" i="11"/>
  <c r="S49" i="11" s="1"/>
  <c r="S38" i="11" s="1"/>
  <c r="N26" i="11"/>
  <c r="AS29" i="18"/>
  <c r="N16" i="11" s="1"/>
  <c r="T27" i="23" s="1"/>
  <c r="N25" i="11"/>
  <c r="BB38" i="23"/>
  <c r="AS24" i="18"/>
  <c r="N48" i="11"/>
  <c r="N49" i="11" s="1"/>
  <c r="N38" i="11" s="1"/>
  <c r="N19" i="11"/>
  <c r="T33" i="23" s="1"/>
  <c r="BB30" i="23" s="1"/>
  <c r="R159" i="9"/>
  <c r="AP159" i="9" s="1"/>
  <c r="AO159" i="9"/>
  <c r="O27" i="11"/>
  <c r="AT18" i="18"/>
  <c r="Q26" i="11"/>
  <c r="AV29" i="18"/>
  <c r="Q16" i="11" s="1"/>
  <c r="W27" i="23" s="1"/>
  <c r="G43" i="9"/>
  <c r="G20" i="9"/>
  <c r="G41" i="9"/>
  <c r="G45" i="9"/>
  <c r="G49" i="9"/>
  <c r="G2" i="9"/>
  <c r="G13" i="9"/>
  <c r="G65" i="9" s="1"/>
  <c r="I50" i="30"/>
  <c r="I49" i="30"/>
  <c r="AM9" i="19"/>
  <c r="T110" i="11" s="1"/>
  <c r="Q167" i="9"/>
  <c r="AL12" i="19"/>
  <c r="S112" i="11" s="1"/>
  <c r="AK17" i="27"/>
  <c r="R27" i="11"/>
  <c r="AW18" i="18"/>
  <c r="K95" i="11"/>
  <c r="AC36" i="27"/>
  <c r="AC38" i="27"/>
  <c r="AL39" i="27"/>
  <c r="AC37" i="27"/>
  <c r="AC39" i="27"/>
  <c r="BM83" i="9" l="1"/>
  <c r="AC8" i="19"/>
  <c r="J111" i="11" s="1"/>
  <c r="AC9" i="19"/>
  <c r="J110" i="11" s="1"/>
  <c r="AC13" i="19"/>
  <c r="J114" i="11" s="1"/>
  <c r="AC10" i="19"/>
  <c r="J109" i="11" s="1"/>
  <c r="AM12" i="19"/>
  <c r="T112" i="11" s="1"/>
  <c r="T94" i="11" s="1"/>
  <c r="AG12" i="19"/>
  <c r="N112" i="11" s="1"/>
  <c r="N94" i="11" s="1"/>
  <c r="T81" i="23" s="1"/>
  <c r="AC18" i="27"/>
  <c r="I52" i="30"/>
  <c r="BA38" i="23"/>
  <c r="AL17" i="27"/>
  <c r="AE18" i="27"/>
  <c r="M19" i="11"/>
  <c r="S33" i="23" s="1"/>
  <c r="BA30" i="23" s="1"/>
  <c r="M25" i="11"/>
  <c r="M48" i="11"/>
  <c r="M49" i="11" s="1"/>
  <c r="M38" i="11" s="1"/>
  <c r="AC17" i="27"/>
  <c r="AR24" i="18"/>
  <c r="AL18" i="27"/>
  <c r="AI18" i="27"/>
  <c r="I47" i="30"/>
  <c r="AG17" i="27"/>
  <c r="Q169" i="9"/>
  <c r="AO169" i="9" s="1"/>
  <c r="Q166" i="9"/>
  <c r="R166" i="9" s="1"/>
  <c r="Q168" i="9"/>
  <c r="R168" i="9" s="1"/>
  <c r="AP168" i="9" s="1"/>
  <c r="AD18" i="27"/>
  <c r="S95" i="11"/>
  <c r="AM11" i="19"/>
  <c r="T113" i="11" s="1"/>
  <c r="W113" i="11" s="1"/>
  <c r="AO60" i="16"/>
  <c r="AO54" i="16"/>
  <c r="AO52" i="16"/>
  <c r="AO58" i="16"/>
  <c r="AK60" i="16"/>
  <c r="AK54" i="16"/>
  <c r="AK58" i="16"/>
  <c r="AK52" i="16"/>
  <c r="AQ58" i="16"/>
  <c r="AQ60" i="16"/>
  <c r="AQ54" i="16"/>
  <c r="AQ52" i="16"/>
  <c r="AH58" i="16"/>
  <c r="AH54" i="16"/>
  <c r="AH60" i="16"/>
  <c r="AH52" i="16"/>
  <c r="AP54" i="16"/>
  <c r="AP60" i="16"/>
  <c r="AP52" i="16"/>
  <c r="AP58" i="16"/>
  <c r="AI60" i="16"/>
  <c r="AI54" i="16"/>
  <c r="AI52" i="16"/>
  <c r="AJ60" i="16"/>
  <c r="AJ54" i="16"/>
  <c r="AJ52" i="16"/>
  <c r="AL60" i="16"/>
  <c r="AL54" i="16"/>
  <c r="AL58" i="16"/>
  <c r="AL52" i="16"/>
  <c r="AG60" i="16"/>
  <c r="AG58" i="16"/>
  <c r="AG52" i="16"/>
  <c r="AM58" i="16"/>
  <c r="AM60" i="16"/>
  <c r="AM54" i="16"/>
  <c r="AM52" i="16"/>
  <c r="AN60" i="16"/>
  <c r="AN58" i="16"/>
  <c r="AN54" i="16"/>
  <c r="AN52" i="16"/>
  <c r="P95" i="11"/>
  <c r="AD17" i="27"/>
  <c r="AG18" i="27"/>
  <c r="AH17" i="27"/>
  <c r="AH18" i="27"/>
  <c r="Q97" i="9"/>
  <c r="AO97" i="9" s="1"/>
  <c r="O95" i="11"/>
  <c r="I16" i="30"/>
  <c r="I44" i="30" s="1"/>
  <c r="BA28" i="23"/>
  <c r="AL12" i="27"/>
  <c r="AQ17" i="16"/>
  <c r="K37" i="11"/>
  <c r="BM118" i="9"/>
  <c r="BH118" i="9"/>
  <c r="AQ12" i="18"/>
  <c r="AQ26" i="18" s="1"/>
  <c r="AZ33" i="23" s="1"/>
  <c r="AD29" i="27"/>
  <c r="AD22" i="27"/>
  <c r="AQ15" i="18"/>
  <c r="AQ17" i="18"/>
  <c r="AQ13" i="18"/>
  <c r="AQ27" i="18" s="1"/>
  <c r="AZ39" i="23" s="1"/>
  <c r="AD52" i="27"/>
  <c r="AQ16" i="18"/>
  <c r="BH18" i="9"/>
  <c r="BI83" i="9"/>
  <c r="AQ26" i="16"/>
  <c r="BL118" i="9"/>
  <c r="BF40" i="23"/>
  <c r="AF25" i="16"/>
  <c r="AF13" i="16"/>
  <c r="AF14" i="16"/>
  <c r="AF27" i="16"/>
  <c r="AF33" i="16"/>
  <c r="AF32" i="16"/>
  <c r="AF34" i="16" s="1"/>
  <c r="AF17" i="16"/>
  <c r="AA13" i="27"/>
  <c r="AF23" i="16"/>
  <c r="AF28" i="16"/>
  <c r="AA14" i="27"/>
  <c r="AF26" i="16"/>
  <c r="AF24" i="16"/>
  <c r="AF12" i="16"/>
  <c r="AF11" i="16" s="1"/>
  <c r="T44" i="25"/>
  <c r="U43" i="25" s="1"/>
  <c r="U44" i="25" s="1"/>
  <c r="AB20" i="27"/>
  <c r="AB19" i="27"/>
  <c r="AB47" i="27"/>
  <c r="AG21" i="16"/>
  <c r="AG29" i="16" s="1"/>
  <c r="J44" i="11" s="1"/>
  <c r="AB46" i="27"/>
  <c r="AA24" i="27"/>
  <c r="K20" i="11"/>
  <c r="Q32" i="23" s="1"/>
  <c r="R54" i="23"/>
  <c r="R44" i="23"/>
  <c r="AG22" i="16"/>
  <c r="J46" i="11" s="1"/>
  <c r="AB45" i="27"/>
  <c r="DY13" i="9"/>
  <c r="DU13" i="9"/>
  <c r="DX13" i="9"/>
  <c r="DT13" i="9"/>
  <c r="DW13" i="9"/>
  <c r="DS13" i="9"/>
  <c r="DV13" i="9"/>
  <c r="DE13" i="9"/>
  <c r="DA13" i="9"/>
  <c r="DH13" i="9" s="1"/>
  <c r="DD13" i="9"/>
  <c r="DG13" i="9"/>
  <c r="DC13" i="9"/>
  <c r="DF13" i="9"/>
  <c r="DB13" i="9"/>
  <c r="CU13" i="9"/>
  <c r="CW13" i="9"/>
  <c r="CJ13" i="9"/>
  <c r="BH51" i="9" s="1"/>
  <c r="CM13" i="9"/>
  <c r="BK51" i="9" s="1"/>
  <c r="CL13" i="9"/>
  <c r="BJ51" i="9" s="1"/>
  <c r="DN13" i="9"/>
  <c r="CX13" i="9"/>
  <c r="CS13" i="9"/>
  <c r="CR13" i="9"/>
  <c r="DJ13" i="9"/>
  <c r="DL13" i="9"/>
  <c r="CT13" i="9"/>
  <c r="CN13" i="9"/>
  <c r="BL51" i="9" s="1"/>
  <c r="CI13" i="9"/>
  <c r="CP13" i="9" s="1"/>
  <c r="DO13" i="9"/>
  <c r="DK13" i="9"/>
  <c r="DP13" i="9"/>
  <c r="CK13" i="9"/>
  <c r="BI51" i="9" s="1"/>
  <c r="CV13" i="9"/>
  <c r="DM13" i="9"/>
  <c r="CO13" i="9"/>
  <c r="BM51" i="9" s="1"/>
  <c r="AG6" i="16"/>
  <c r="J41" i="11"/>
  <c r="AG18" i="16"/>
  <c r="J35" i="11" s="1"/>
  <c r="P52" i="23"/>
  <c r="P39" i="23"/>
  <c r="J47" i="11"/>
  <c r="AG35" i="16"/>
  <c r="L99" i="11"/>
  <c r="R94" i="23" s="1"/>
  <c r="BI118" i="9"/>
  <c r="BK118" i="9"/>
  <c r="AE48" i="16"/>
  <c r="AE63" i="16"/>
  <c r="AE5" i="24"/>
  <c r="AE3" i="24"/>
  <c r="AE8" i="16"/>
  <c r="AE39" i="16"/>
  <c r="AE7" i="16"/>
  <c r="AE4" i="24"/>
  <c r="AN3" i="18"/>
  <c r="AN7" i="18" s="1"/>
  <c r="AF5" i="16"/>
  <c r="AF10" i="16" s="1"/>
  <c r="AF40" i="16" s="1"/>
  <c r="AF49" i="16" s="1"/>
  <c r="AB4" i="19"/>
  <c r="AB7" i="19" s="1"/>
  <c r="K23" i="11"/>
  <c r="K99" i="11" s="1"/>
  <c r="Q94" i="23" s="1"/>
  <c r="Q30" i="23"/>
  <c r="AB11" i="27"/>
  <c r="AG15" i="16"/>
  <c r="AB10" i="27"/>
  <c r="AB12" i="27"/>
  <c r="AG16" i="16"/>
  <c r="H63" i="11"/>
  <c r="H10" i="11"/>
  <c r="H9" i="11"/>
  <c r="H92" i="11"/>
  <c r="H53" i="11" s="1"/>
  <c r="H32" i="11"/>
  <c r="Z1" i="27"/>
  <c r="AA9" i="27"/>
  <c r="AA4" i="27"/>
  <c r="AA6" i="27"/>
  <c r="AA8" i="27"/>
  <c r="AA3" i="27"/>
  <c r="AA2" i="27"/>
  <c r="AA5" i="27"/>
  <c r="U38" i="11"/>
  <c r="U92" i="11"/>
  <c r="U110" i="11"/>
  <c r="X110" i="11" s="1"/>
  <c r="U93" i="11"/>
  <c r="U47" i="11"/>
  <c r="U71" i="11"/>
  <c r="U87" i="11"/>
  <c r="U24" i="11"/>
  <c r="U109" i="11"/>
  <c r="X109" i="11" s="1"/>
  <c r="U37" i="11"/>
  <c r="U15" i="11"/>
  <c r="U101" i="11"/>
  <c r="U65" i="11"/>
  <c r="U13" i="11"/>
  <c r="U7" i="11" s="1"/>
  <c r="I11" i="11" s="1"/>
  <c r="U33" i="11"/>
  <c r="U58" i="11"/>
  <c r="U85" i="11"/>
  <c r="U80" i="11"/>
  <c r="U73" i="11"/>
  <c r="U25" i="11"/>
  <c r="X25" i="11" s="1"/>
  <c r="U95" i="11"/>
  <c r="U41" i="11"/>
  <c r="U94" i="11"/>
  <c r="U49" i="11"/>
  <c r="U17" i="11"/>
  <c r="U54" i="11"/>
  <c r="U114" i="11"/>
  <c r="X114" i="11" s="1"/>
  <c r="U16" i="11"/>
  <c r="X16" i="11" s="1"/>
  <c r="U14" i="11"/>
  <c r="U81" i="11"/>
  <c r="U96" i="11"/>
  <c r="U45" i="11"/>
  <c r="X45" i="11" s="1"/>
  <c r="U20" i="11"/>
  <c r="U74" i="11"/>
  <c r="U97" i="11"/>
  <c r="U68" i="11"/>
  <c r="U107" i="11"/>
  <c r="U26" i="11"/>
  <c r="X26" i="11" s="1"/>
  <c r="U46" i="11"/>
  <c r="U44" i="11"/>
  <c r="U35" i="11"/>
  <c r="U67" i="11"/>
  <c r="U103" i="11"/>
  <c r="U36" i="11"/>
  <c r="U43" i="11"/>
  <c r="X43" i="11" s="1"/>
  <c r="U19" i="11"/>
  <c r="U86" i="11"/>
  <c r="U84" i="11"/>
  <c r="U88" i="11"/>
  <c r="U111" i="11"/>
  <c r="X111" i="11" s="1"/>
  <c r="U23" i="11"/>
  <c r="U18" i="11"/>
  <c r="U108" i="11"/>
  <c r="U69" i="11"/>
  <c r="U32" i="11"/>
  <c r="U27" i="11"/>
  <c r="X27" i="11" s="1"/>
  <c r="U113" i="11"/>
  <c r="U48" i="11"/>
  <c r="U42" i="11"/>
  <c r="U28" i="11"/>
  <c r="U102" i="11"/>
  <c r="U53" i="11"/>
  <c r="U34" i="11"/>
  <c r="U57" i="11"/>
  <c r="U104" i="11"/>
  <c r="U66" i="11"/>
  <c r="U63" i="11"/>
  <c r="U112" i="11"/>
  <c r="X112" i="11" s="1"/>
  <c r="U99" i="11"/>
  <c r="U83" i="11"/>
  <c r="U98" i="11"/>
  <c r="AY36" i="23"/>
  <c r="Q42" i="23"/>
  <c r="AY27" i="23" s="1"/>
  <c r="AB7" i="27"/>
  <c r="AB30" i="27"/>
  <c r="AM22" i="18"/>
  <c r="AM5" i="18"/>
  <c r="AM4" i="18"/>
  <c r="AD9" i="16"/>
  <c r="Z6" i="19"/>
  <c r="AL6" i="18"/>
  <c r="AD6" i="24"/>
  <c r="P56" i="23"/>
  <c r="J34" i="11"/>
  <c r="P55" i="23" s="1"/>
  <c r="I8" i="11"/>
  <c r="I6" i="11"/>
  <c r="I43" i="11"/>
  <c r="I45" i="11"/>
  <c r="K33" i="11"/>
  <c r="K42" i="11"/>
  <c r="Q53" i="23"/>
  <c r="AY31" i="23" s="1"/>
  <c r="AH36" i="16"/>
  <c r="AL46" i="27"/>
  <c r="G18" i="30"/>
  <c r="Z56" i="23"/>
  <c r="BA40" i="23"/>
  <c r="Q111" i="9"/>
  <c r="AO111" i="9" s="1"/>
  <c r="BG40" i="23"/>
  <c r="BB40" i="23"/>
  <c r="BC40" i="23"/>
  <c r="AJ29" i="24"/>
  <c r="AJ33" i="24"/>
  <c r="AJ34" i="24" s="1"/>
  <c r="AN11" i="24"/>
  <c r="W43" i="23" s="1"/>
  <c r="Q121" i="9"/>
  <c r="BE40" i="23"/>
  <c r="BD40" i="23"/>
  <c r="W45" i="11"/>
  <c r="Q95" i="9"/>
  <c r="Q96" i="9" s="1"/>
  <c r="S49" i="25"/>
  <c r="AL10" i="27"/>
  <c r="BN82" i="9"/>
  <c r="BE82" i="9" s="1"/>
  <c r="I15" i="30"/>
  <c r="I42" i="30" s="1"/>
  <c r="Q92" i="9"/>
  <c r="R92" i="9" s="1"/>
  <c r="AP92" i="9" s="1"/>
  <c r="AQ23" i="16"/>
  <c r="T34" i="11"/>
  <c r="AL11" i="27"/>
  <c r="W43" i="11"/>
  <c r="Z39" i="23"/>
  <c r="BH36" i="23" s="1"/>
  <c r="BI36" i="23" s="1"/>
  <c r="BJ36" i="23" s="1"/>
  <c r="AQ14" i="16"/>
  <c r="AQ24" i="16"/>
  <c r="T47" i="11"/>
  <c r="W47" i="11" s="1"/>
  <c r="AY25" i="18"/>
  <c r="BL18" i="9"/>
  <c r="BE81" i="9"/>
  <c r="I19" i="30"/>
  <c r="AQ35" i="16"/>
  <c r="I17" i="30"/>
  <c r="BL83" i="9"/>
  <c r="CB15" i="9"/>
  <c r="CC14" i="9"/>
  <c r="CD14" i="9" s="1"/>
  <c r="CF14" i="9" s="1"/>
  <c r="BG118" i="9"/>
  <c r="BN118" i="9" s="1"/>
  <c r="BE118" i="9" s="1"/>
  <c r="BN17" i="9"/>
  <c r="BE17" i="9" s="1"/>
  <c r="BG18" i="9"/>
  <c r="CY12" i="9"/>
  <c r="BG50" i="9"/>
  <c r="BN50" i="9" s="1"/>
  <c r="BE50" i="9" s="1"/>
  <c r="DQ12" i="9"/>
  <c r="BG83" i="9"/>
  <c r="Q108" i="9"/>
  <c r="R108" i="9" s="1"/>
  <c r="AP108" i="9" s="1"/>
  <c r="Q90" i="9"/>
  <c r="AO90" i="9" s="1"/>
  <c r="BJ83" i="9"/>
  <c r="BI18" i="9"/>
  <c r="BF51" i="9"/>
  <c r="BF84" i="9"/>
  <c r="BF19" i="9"/>
  <c r="BF120" i="9"/>
  <c r="AF2" i="24"/>
  <c r="AF7" i="24" s="1"/>
  <c r="O60" i="23"/>
  <c r="O51" i="23"/>
  <c r="O78" i="23"/>
  <c r="O25" i="23"/>
  <c r="O24" i="23" s="1"/>
  <c r="O38" i="23"/>
  <c r="AV3" i="23"/>
  <c r="O66" i="23"/>
  <c r="O98" i="23"/>
  <c r="O6" i="23"/>
  <c r="DZ12" i="9"/>
  <c r="BJ18" i="9"/>
  <c r="BK18" i="9"/>
  <c r="BK119" i="9" s="1"/>
  <c r="BH83" i="9"/>
  <c r="BM18" i="9"/>
  <c r="AL47" i="27"/>
  <c r="AQ27" i="16"/>
  <c r="Q105" i="9"/>
  <c r="AO105" i="9" s="1"/>
  <c r="AL14" i="27"/>
  <c r="Q104" i="9"/>
  <c r="R104" i="9" s="1"/>
  <c r="AQ22" i="16"/>
  <c r="T46" i="11" s="1"/>
  <c r="W46" i="11" s="1"/>
  <c r="AQ21" i="16"/>
  <c r="I18" i="30"/>
  <c r="I20" i="30"/>
  <c r="AP21" i="24"/>
  <c r="AK15" i="27"/>
  <c r="AK48" i="27"/>
  <c r="AI48" i="27"/>
  <c r="AJ8" i="24"/>
  <c r="AJ12" i="24" s="1"/>
  <c r="AJ20" i="24"/>
  <c r="AJ22" i="24" s="1"/>
  <c r="AJ23" i="24" s="1"/>
  <c r="AE48" i="27"/>
  <c r="AQ20" i="24"/>
  <c r="AQ22" i="24" s="1"/>
  <c r="AQ23" i="24" s="1"/>
  <c r="AQ27" i="24" s="1"/>
  <c r="AQ30" i="24" s="1"/>
  <c r="Q122" i="9"/>
  <c r="AO122" i="9" s="1"/>
  <c r="AL15" i="24"/>
  <c r="AL9" i="24"/>
  <c r="AL26" i="24"/>
  <c r="AL11" i="24"/>
  <c r="AG48" i="27"/>
  <c r="AL29" i="24"/>
  <c r="AF48" i="27"/>
  <c r="AJ48" i="27"/>
  <c r="AC48" i="27"/>
  <c r="AL33" i="24"/>
  <c r="AL34" i="24" s="1"/>
  <c r="AD48" i="27"/>
  <c r="AH48" i="27"/>
  <c r="Q187" i="9"/>
  <c r="Z27" i="23"/>
  <c r="W16" i="11"/>
  <c r="D40" i="30"/>
  <c r="D41" i="30"/>
  <c r="Q173" i="9"/>
  <c r="R176" i="9"/>
  <c r="AP176" i="9" s="1"/>
  <c r="AO176" i="9"/>
  <c r="R93" i="9"/>
  <c r="AP93" i="9" s="1"/>
  <c r="AO93" i="9"/>
  <c r="R107" i="9"/>
  <c r="AP107" i="9" s="1"/>
  <c r="AO107" i="9"/>
  <c r="R100" i="9"/>
  <c r="AP100" i="9" s="1"/>
  <c r="Q101" i="9"/>
  <c r="AO100" i="9"/>
  <c r="R106" i="9"/>
  <c r="AP106" i="9" s="1"/>
  <c r="AO106" i="9"/>
  <c r="S93" i="11"/>
  <c r="S94" i="11"/>
  <c r="Y81" i="23" s="1"/>
  <c r="T95" i="11"/>
  <c r="W110" i="11"/>
  <c r="Q10" i="9"/>
  <c r="AO170" i="9"/>
  <c r="R170" i="9"/>
  <c r="AO168" i="9"/>
  <c r="AG54" i="16"/>
  <c r="AR30" i="18"/>
  <c r="M15" i="11"/>
  <c r="N36" i="11"/>
  <c r="S36" i="11"/>
  <c r="AX30" i="18"/>
  <c r="S15" i="11"/>
  <c r="AQ18" i="16"/>
  <c r="Z52" i="23"/>
  <c r="T41" i="11"/>
  <c r="AQ6" i="16"/>
  <c r="R110" i="9"/>
  <c r="AP110" i="9" s="1"/>
  <c r="AO110" i="9"/>
  <c r="R113" i="9"/>
  <c r="Q115" i="9"/>
  <c r="AO113" i="9"/>
  <c r="ED13" i="9" s="1"/>
  <c r="R109" i="9"/>
  <c r="AP109" i="9" s="1"/>
  <c r="AO109" i="9"/>
  <c r="W114" i="11"/>
  <c r="Q36" i="11"/>
  <c r="W27" i="11"/>
  <c r="W25" i="11"/>
  <c r="AW30" i="18"/>
  <c r="R15" i="11"/>
  <c r="L94" i="11"/>
  <c r="R81" i="23" s="1"/>
  <c r="L93" i="11"/>
  <c r="R55" i="9"/>
  <c r="AP55" i="9" s="1"/>
  <c r="AP161" i="9"/>
  <c r="R94" i="11"/>
  <c r="X81" i="23" s="1"/>
  <c r="R93" i="11"/>
  <c r="M93" i="11"/>
  <c r="M94" i="11"/>
  <c r="S81" i="23" s="1"/>
  <c r="Q94" i="11"/>
  <c r="W81" i="23" s="1"/>
  <c r="Q93" i="11"/>
  <c r="AU30" i="18"/>
  <c r="P15" i="11"/>
  <c r="Q175" i="9"/>
  <c r="AY27" i="18"/>
  <c r="BH39" i="23" s="1"/>
  <c r="BI39" i="23" s="1"/>
  <c r="BJ39" i="23" s="1"/>
  <c r="AY23" i="18"/>
  <c r="R174" i="9"/>
  <c r="AP174" i="9" s="1"/>
  <c r="AO174" i="9"/>
  <c r="R177" i="9"/>
  <c r="AP177" i="9" s="1"/>
  <c r="AO177" i="9"/>
  <c r="T20" i="11"/>
  <c r="BH38" i="23"/>
  <c r="BI38" i="23" s="1"/>
  <c r="BJ38" i="23" s="1"/>
  <c r="T19" i="11"/>
  <c r="Z30" i="23"/>
  <c r="T23" i="11"/>
  <c r="AO167" i="9"/>
  <c r="R167" i="9"/>
  <c r="AP167" i="9" s="1"/>
  <c r="T93" i="11"/>
  <c r="W112" i="11"/>
  <c r="W109" i="11"/>
  <c r="G1" i="9"/>
  <c r="AI58" i="16"/>
  <c r="AJ58" i="16"/>
  <c r="O93" i="11"/>
  <c r="O94" i="11"/>
  <c r="U81" i="23" s="1"/>
  <c r="N15" i="11"/>
  <c r="AS30" i="18"/>
  <c r="K93" i="11"/>
  <c r="K94" i="11"/>
  <c r="Q81" i="23" s="1"/>
  <c r="R91" i="9"/>
  <c r="AP91" i="9" s="1"/>
  <c r="AO91" i="9"/>
  <c r="R171" i="9"/>
  <c r="AP171" i="9" s="1"/>
  <c r="AO171" i="9"/>
  <c r="W111" i="11"/>
  <c r="W45" i="23"/>
  <c r="W41" i="23"/>
  <c r="Q15" i="11"/>
  <c r="AV30" i="18"/>
  <c r="AP156" i="9"/>
  <c r="R36" i="11"/>
  <c r="O36" i="11"/>
  <c r="O15" i="11"/>
  <c r="AT30" i="18"/>
  <c r="P94" i="11"/>
  <c r="V81" i="23" s="1"/>
  <c r="P93" i="11"/>
  <c r="W26" i="11"/>
  <c r="P36" i="11"/>
  <c r="AY24" i="18"/>
  <c r="T48" i="11"/>
  <c r="AY26" i="18"/>
  <c r="BH33" i="23" s="1"/>
  <c r="BI33" i="23" s="1"/>
  <c r="BJ33" i="23" s="1"/>
  <c r="AY28" i="18"/>
  <c r="AB38" i="27"/>
  <c r="AB37" i="27"/>
  <c r="AB36" i="27"/>
  <c r="AB39" i="27"/>
  <c r="AL37" i="27"/>
  <c r="AL36" i="27"/>
  <c r="AL38" i="27"/>
  <c r="BM119" i="9" l="1"/>
  <c r="N93" i="11"/>
  <c r="X113" i="11"/>
  <c r="Q11" i="9"/>
  <c r="AO11" i="9" s="1"/>
  <c r="J95" i="11"/>
  <c r="AB17" i="27"/>
  <c r="AC12" i="19"/>
  <c r="J112" i="11" s="1"/>
  <c r="AB8" i="19"/>
  <c r="I111" i="11" s="1"/>
  <c r="AB9" i="19"/>
  <c r="I110" i="11" s="1"/>
  <c r="AB10" i="19"/>
  <c r="I109" i="11" s="1"/>
  <c r="AB13" i="19"/>
  <c r="I114" i="11" s="1"/>
  <c r="U170" i="9"/>
  <c r="U10" i="9" s="1"/>
  <c r="Q20" i="9" s="1"/>
  <c r="AO20" i="9" s="1"/>
  <c r="U166" i="9"/>
  <c r="U11" i="9" s="1"/>
  <c r="U42" i="9" s="1"/>
  <c r="U167" i="9"/>
  <c r="U44" i="9" s="1"/>
  <c r="U168" i="9"/>
  <c r="U171" i="9"/>
  <c r="U169" i="9"/>
  <c r="U21" i="9" s="1"/>
  <c r="M36" i="11"/>
  <c r="AO166" i="9"/>
  <c r="R97" i="9"/>
  <c r="AP97" i="9" s="1"/>
  <c r="Q59" i="9"/>
  <c r="AO59" i="9" s="1"/>
  <c r="ED15" i="9" s="1"/>
  <c r="R169" i="9"/>
  <c r="AP169" i="9" s="1"/>
  <c r="BI84" i="9"/>
  <c r="Q58" i="9"/>
  <c r="AO58" i="9" s="1"/>
  <c r="AF60" i="16"/>
  <c r="AF59" i="16"/>
  <c r="AF57" i="16"/>
  <c r="AF56" i="16" s="1"/>
  <c r="I60" i="11" s="1"/>
  <c r="AF58" i="16"/>
  <c r="AF54" i="16"/>
  <c r="AF53" i="16"/>
  <c r="AF52" i="16"/>
  <c r="AF42" i="16"/>
  <c r="AO104" i="9"/>
  <c r="BH119" i="9"/>
  <c r="BI119" i="9"/>
  <c r="Q112" i="9"/>
  <c r="AO112" i="9" s="1"/>
  <c r="Q98" i="9"/>
  <c r="R98" i="9" s="1"/>
  <c r="AP98" i="9" s="1"/>
  <c r="R90" i="9"/>
  <c r="AP90" i="9" s="1"/>
  <c r="Q66" i="9"/>
  <c r="AO66" i="9" s="1"/>
  <c r="R95" i="9"/>
  <c r="I39" i="30"/>
  <c r="AO108" i="9"/>
  <c r="AQ9" i="24"/>
  <c r="I13" i="30"/>
  <c r="I32" i="30" s="1"/>
  <c r="R111" i="9"/>
  <c r="AP111" i="9" s="1"/>
  <c r="R105" i="9"/>
  <c r="AP105" i="9" s="1"/>
  <c r="X47" i="11"/>
  <c r="Q67" i="9"/>
  <c r="AO67" i="9" s="1"/>
  <c r="AO92" i="9"/>
  <c r="AP29" i="24"/>
  <c r="X34" i="11"/>
  <c r="Q69" i="9"/>
  <c r="AO69" i="9" s="1"/>
  <c r="Q73" i="9"/>
  <c r="AO73" i="9" s="1"/>
  <c r="Q70" i="9"/>
  <c r="AO70" i="9" s="1"/>
  <c r="I46" i="30"/>
  <c r="I48" i="30" s="1"/>
  <c r="Q9" i="9"/>
  <c r="AO9" i="9" s="1"/>
  <c r="E25" i="25" s="1"/>
  <c r="AP15" i="24"/>
  <c r="Z55" i="23"/>
  <c r="AO95" i="9"/>
  <c r="AQ18" i="18"/>
  <c r="L27" i="11"/>
  <c r="AD21" i="27"/>
  <c r="AQ10" i="18"/>
  <c r="AQ29" i="18"/>
  <c r="L16" i="11" s="1"/>
  <c r="R27" i="23" s="1"/>
  <c r="L26" i="11"/>
  <c r="AP14" i="18"/>
  <c r="AP28" i="18" s="1"/>
  <c r="AP8" i="18"/>
  <c r="AP19" i="18" s="1"/>
  <c r="AP11" i="18"/>
  <c r="AP25" i="18" s="1"/>
  <c r="AP9" i="18"/>
  <c r="AP23" i="18" s="1"/>
  <c r="BI19" i="9"/>
  <c r="BJ19" i="9"/>
  <c r="BL119" i="9"/>
  <c r="J37" i="11"/>
  <c r="DV14" i="9"/>
  <c r="DY14" i="9"/>
  <c r="DU14" i="9"/>
  <c r="DX14" i="9"/>
  <c r="DT14" i="9"/>
  <c r="DF14" i="9"/>
  <c r="DW14" i="9"/>
  <c r="DD14" i="9"/>
  <c r="DB14" i="9"/>
  <c r="DG14" i="9"/>
  <c r="DA14" i="9"/>
  <c r="DH14" i="9" s="1"/>
  <c r="DE14" i="9"/>
  <c r="DS14" i="9"/>
  <c r="DC14" i="9"/>
  <c r="DM14" i="9"/>
  <c r="CS14" i="9"/>
  <c r="CL14" i="9"/>
  <c r="BJ52" i="9" s="1"/>
  <c r="CN14" i="9"/>
  <c r="BL52" i="9" s="1"/>
  <c r="DN14" i="9"/>
  <c r="CJ14" i="9"/>
  <c r="BH52" i="9" s="1"/>
  <c r="DJ14" i="9"/>
  <c r="DP14" i="9"/>
  <c r="DL14" i="9"/>
  <c r="CW14" i="9"/>
  <c r="CV14" i="9"/>
  <c r="CU14" i="9"/>
  <c r="CT14" i="9"/>
  <c r="CM14" i="9"/>
  <c r="BK52" i="9" s="1"/>
  <c r="CK14" i="9"/>
  <c r="BI52" i="9" s="1"/>
  <c r="CI14" i="9"/>
  <c r="CP14" i="9" s="1"/>
  <c r="DK14" i="9"/>
  <c r="CR14" i="9"/>
  <c r="CX14" i="9"/>
  <c r="CO14" i="9"/>
  <c r="BM52" i="9" s="1"/>
  <c r="DO14" i="9"/>
  <c r="J20" i="11"/>
  <c r="P32" i="23" s="1"/>
  <c r="W34" i="11"/>
  <c r="AE28" i="16"/>
  <c r="AE27" i="16"/>
  <c r="AE12" i="16"/>
  <c r="AE11" i="16" s="1"/>
  <c r="AE23" i="16"/>
  <c r="AE26" i="16"/>
  <c r="AE24" i="16"/>
  <c r="AE13" i="16"/>
  <c r="AE14" i="16"/>
  <c r="AE32" i="16"/>
  <c r="AE34" i="16" s="1"/>
  <c r="AE33" i="16"/>
  <c r="AE25" i="16"/>
  <c r="AE17" i="16"/>
  <c r="AA20" i="27"/>
  <c r="AA19" i="27"/>
  <c r="AZ28" i="23"/>
  <c r="AY8" i="23"/>
  <c r="AE5" i="16"/>
  <c r="AE10" i="16" s="1"/>
  <c r="AE40" i="16" s="1"/>
  <c r="AE49" i="16" s="1"/>
  <c r="AA4" i="19"/>
  <c r="AA7" i="19" s="1"/>
  <c r="AM3" i="18"/>
  <c r="AM7" i="18" s="1"/>
  <c r="T46" i="25"/>
  <c r="T47" i="25"/>
  <c r="T45" i="25"/>
  <c r="T48" i="25"/>
  <c r="AA46" i="27"/>
  <c r="AA47" i="27"/>
  <c r="AF21" i="16"/>
  <c r="AF29" i="16" s="1"/>
  <c r="I44" i="11" s="1"/>
  <c r="AF35" i="16"/>
  <c r="I47" i="11"/>
  <c r="O39" i="23"/>
  <c r="I37" i="11"/>
  <c r="P11" i="11"/>
  <c r="M11" i="11"/>
  <c r="N11" i="11"/>
  <c r="S11" i="11"/>
  <c r="K11" i="11"/>
  <c r="R11" i="11"/>
  <c r="J11" i="11"/>
  <c r="O11" i="11"/>
  <c r="T11" i="11"/>
  <c r="L11" i="11"/>
  <c r="Q11" i="11"/>
  <c r="AA30" i="27"/>
  <c r="AA7" i="27"/>
  <c r="H11" i="11"/>
  <c r="AK6" i="18"/>
  <c r="AC6" i="24"/>
  <c r="AC9" i="16"/>
  <c r="Y6" i="19"/>
  <c r="AD39" i="16"/>
  <c r="AD7" i="16"/>
  <c r="AD5" i="24"/>
  <c r="AD48" i="16"/>
  <c r="AD4" i="24"/>
  <c r="AD8" i="16"/>
  <c r="AD63" i="16"/>
  <c r="AD3" i="24"/>
  <c r="BI40" i="23"/>
  <c r="BJ40" i="23" s="1"/>
  <c r="Q54" i="23"/>
  <c r="Z24" i="27"/>
  <c r="AX36" i="23"/>
  <c r="P42" i="23"/>
  <c r="AX27" i="23" s="1"/>
  <c r="AF6" i="16"/>
  <c r="O52" i="23"/>
  <c r="I41" i="11"/>
  <c r="AF18" i="16"/>
  <c r="I35" i="11" s="1"/>
  <c r="AF16" i="16"/>
  <c r="AA12" i="27"/>
  <c r="AA10" i="27"/>
  <c r="AA11" i="27"/>
  <c r="AF15" i="16"/>
  <c r="H43" i="11"/>
  <c r="H6" i="11"/>
  <c r="H45" i="11"/>
  <c r="Y45" i="11" s="1"/>
  <c r="H8" i="11"/>
  <c r="J33" i="11"/>
  <c r="J42" i="11"/>
  <c r="P53" i="23"/>
  <c r="AX31" i="23" s="1"/>
  <c r="AG36" i="16"/>
  <c r="V43" i="25"/>
  <c r="V44" i="25" s="1"/>
  <c r="U45" i="25"/>
  <c r="U48" i="25"/>
  <c r="U47" i="25"/>
  <c r="U46" i="25"/>
  <c r="I34" i="11"/>
  <c r="O55" i="23" s="1"/>
  <c r="O56" i="23"/>
  <c r="AL4" i="18"/>
  <c r="AL22" i="18"/>
  <c r="AL5" i="18"/>
  <c r="Y1" i="27"/>
  <c r="Q44" i="23"/>
  <c r="Z8" i="27"/>
  <c r="Z6" i="27"/>
  <c r="Z2" i="27"/>
  <c r="Z3" i="27"/>
  <c r="Z5" i="27"/>
  <c r="Z4" i="27"/>
  <c r="Z9" i="27"/>
  <c r="P30" i="23"/>
  <c r="J23" i="11"/>
  <c r="J99" i="11" s="1"/>
  <c r="P94" i="23" s="1"/>
  <c r="AF22" i="16"/>
  <c r="I46" i="11" s="1"/>
  <c r="AA45" i="27"/>
  <c r="X46" i="11"/>
  <c r="Z40" i="23"/>
  <c r="U43" i="23"/>
  <c r="U41" i="23"/>
  <c r="U45" i="23"/>
  <c r="AP33" i="24"/>
  <c r="AP34" i="24" s="1"/>
  <c r="BH40" i="23"/>
  <c r="AO121" i="9"/>
  <c r="AL48" i="27"/>
  <c r="AP9" i="24"/>
  <c r="L71" i="11"/>
  <c r="R67" i="23" s="1"/>
  <c r="O71" i="11"/>
  <c r="U67" i="23" s="1"/>
  <c r="K71" i="11"/>
  <c r="Q67" i="23" s="1"/>
  <c r="R71" i="11"/>
  <c r="X67" i="23" s="1"/>
  <c r="T71" i="11"/>
  <c r="Z67" i="23" s="1"/>
  <c r="Q71" i="11"/>
  <c r="W67" i="23" s="1"/>
  <c r="S71" i="11"/>
  <c r="Y67" i="23" s="1"/>
  <c r="P71" i="11"/>
  <c r="V67" i="23" s="1"/>
  <c r="N71" i="11"/>
  <c r="T67" i="23" s="1"/>
  <c r="M71" i="11"/>
  <c r="S67" i="23" s="1"/>
  <c r="Q185" i="9"/>
  <c r="Q28" i="9" s="1"/>
  <c r="AO28" i="9" s="1"/>
  <c r="BJ119" i="9"/>
  <c r="T37" i="11"/>
  <c r="AQ29" i="16"/>
  <c r="Z42" i="23"/>
  <c r="BH27" i="23" s="1"/>
  <c r="BI27" i="23" s="1"/>
  <c r="BJ27" i="23" s="1"/>
  <c r="AJ15" i="24"/>
  <c r="AJ26" i="24"/>
  <c r="AJ10" i="24"/>
  <c r="BN83" i="9"/>
  <c r="BM19" i="9"/>
  <c r="AJ11" i="24"/>
  <c r="AL21" i="24"/>
  <c r="AJ16" i="24"/>
  <c r="AE15" i="27"/>
  <c r="AG15" i="27"/>
  <c r="AJ21" i="24"/>
  <c r="AL10" i="24"/>
  <c r="AL16" i="24"/>
  <c r="O67" i="11" s="1"/>
  <c r="U69" i="23" s="1"/>
  <c r="M73" i="11"/>
  <c r="S68" i="23" s="1"/>
  <c r="AJ9" i="24"/>
  <c r="S73" i="11"/>
  <c r="Y68" i="23" s="1"/>
  <c r="AL8" i="24"/>
  <c r="AL12" i="24" s="1"/>
  <c r="AL17" i="24" s="1"/>
  <c r="AL18" i="24" s="1"/>
  <c r="BL19" i="9"/>
  <c r="BJ84" i="9"/>
  <c r="BJ120" i="9" s="1"/>
  <c r="DQ13" i="9"/>
  <c r="BG84" i="9"/>
  <c r="BG51" i="9"/>
  <c r="BN51" i="9" s="1"/>
  <c r="BE51" i="9" s="1"/>
  <c r="BG19" i="9"/>
  <c r="CY13" i="9"/>
  <c r="AP26" i="24"/>
  <c r="BF52" i="9"/>
  <c r="BF121" i="9"/>
  <c r="BF20" i="9"/>
  <c r="BF85" i="9"/>
  <c r="BM84" i="9"/>
  <c r="BH84" i="9"/>
  <c r="AD12" i="23"/>
  <c r="AC12" i="23" s="1"/>
  <c r="AF12" i="23" s="1"/>
  <c r="AD15" i="23"/>
  <c r="AC15" i="23" s="1"/>
  <c r="AF15" i="23" s="1"/>
  <c r="AD13" i="23"/>
  <c r="AC13" i="23" s="1"/>
  <c r="AF13" i="23" s="1"/>
  <c r="AD14" i="23"/>
  <c r="AC14" i="23" s="1"/>
  <c r="AF14" i="23" s="1"/>
  <c r="AD10" i="23"/>
  <c r="AC10" i="23" s="1"/>
  <c r="AF10" i="23" s="1"/>
  <c r="AD9" i="23"/>
  <c r="AC9" i="23" s="1"/>
  <c r="AF9" i="23" s="1"/>
  <c r="AD11" i="23"/>
  <c r="AC11" i="23" s="1"/>
  <c r="AF11" i="23" s="1"/>
  <c r="AE2" i="24"/>
  <c r="AE7" i="24" s="1"/>
  <c r="BG119" i="9"/>
  <c r="BN119" i="9" s="1"/>
  <c r="BE119" i="9" s="1"/>
  <c r="BN18" i="9"/>
  <c r="BE18" i="9" s="1"/>
  <c r="CB16" i="9"/>
  <c r="CC15" i="9"/>
  <c r="CD15" i="9" s="1"/>
  <c r="CF15" i="9" s="1"/>
  <c r="BK19" i="9"/>
  <c r="BH19" i="9"/>
  <c r="DZ13" i="9"/>
  <c r="BL84" i="9"/>
  <c r="BK84" i="9"/>
  <c r="Q186" i="9"/>
  <c r="AQ15" i="24"/>
  <c r="Q127" i="9"/>
  <c r="Q128" i="9"/>
  <c r="AQ16" i="24"/>
  <c r="AN20" i="24"/>
  <c r="AN22" i="24" s="1"/>
  <c r="AN23" i="24" s="1"/>
  <c r="AN27" i="24" s="1"/>
  <c r="AN30" i="24" s="1"/>
  <c r="AP20" i="24"/>
  <c r="AP22" i="24" s="1"/>
  <c r="AP23" i="24" s="1"/>
  <c r="AP11" i="24"/>
  <c r="AP10" i="24"/>
  <c r="AP8" i="24"/>
  <c r="AP12" i="24" s="1"/>
  <c r="AN8" i="24"/>
  <c r="AI15" i="27"/>
  <c r="AP16" i="24"/>
  <c r="AN26" i="24"/>
  <c r="AN15" i="24"/>
  <c r="Q120" i="9"/>
  <c r="AQ8" i="24"/>
  <c r="AQ31" i="24" s="1"/>
  <c r="AL15" i="27"/>
  <c r="Q133" i="9"/>
  <c r="AO133" i="9" s="1"/>
  <c r="AQ21" i="24"/>
  <c r="Q144" i="9"/>
  <c r="AQ29" i="24"/>
  <c r="AQ10" i="24"/>
  <c r="Q132" i="9"/>
  <c r="Q139" i="9"/>
  <c r="AQ26" i="24"/>
  <c r="AN10" i="24"/>
  <c r="AN9" i="24"/>
  <c r="AN29" i="24"/>
  <c r="Q123" i="9"/>
  <c r="AQ11" i="24"/>
  <c r="Q148" i="9"/>
  <c r="AO148" i="9" s="1"/>
  <c r="AQ33" i="24"/>
  <c r="AQ34" i="24" s="1"/>
  <c r="AN21" i="24"/>
  <c r="AN16" i="24"/>
  <c r="AN33" i="24"/>
  <c r="AN34" i="24" s="1"/>
  <c r="AL20" i="24"/>
  <c r="AL22" i="24" s="1"/>
  <c r="AL23" i="24" s="1"/>
  <c r="AL27" i="24" s="1"/>
  <c r="AL30" i="24" s="1"/>
  <c r="O73" i="11"/>
  <c r="U68" i="23" s="1"/>
  <c r="AK21" i="24"/>
  <c r="AK15" i="24"/>
  <c r="AK33" i="24"/>
  <c r="AK34" i="24" s="1"/>
  <c r="AK16" i="24"/>
  <c r="AK8" i="24"/>
  <c r="AK12" i="24" s="1"/>
  <c r="AF15" i="27"/>
  <c r="AK11" i="24"/>
  <c r="AK10" i="24"/>
  <c r="AK29" i="24"/>
  <c r="AK9" i="24"/>
  <c r="AK26" i="24"/>
  <c r="AK20" i="24"/>
  <c r="AK22" i="24" s="1"/>
  <c r="AK23" i="24" s="1"/>
  <c r="AM15" i="24"/>
  <c r="AM10" i="24"/>
  <c r="AM21" i="24"/>
  <c r="AM29" i="24"/>
  <c r="AM11" i="24"/>
  <c r="AH15" i="27"/>
  <c r="AM8" i="24"/>
  <c r="AM12" i="24" s="1"/>
  <c r="AM20" i="24"/>
  <c r="AM22" i="24" s="1"/>
  <c r="AM23" i="24" s="1"/>
  <c r="AM16" i="24"/>
  <c r="AM26" i="24"/>
  <c r="AM9" i="24"/>
  <c r="AM33" i="24"/>
  <c r="AM34" i="24" s="1"/>
  <c r="AD15" i="27"/>
  <c r="AI8" i="24"/>
  <c r="AI12" i="24" s="1"/>
  <c r="AI20" i="24"/>
  <c r="AI22" i="24" s="1"/>
  <c r="AI23" i="24" s="1"/>
  <c r="AI16" i="24"/>
  <c r="AI26" i="24"/>
  <c r="AI9" i="24"/>
  <c r="AI33" i="24"/>
  <c r="AI34" i="24" s="1"/>
  <c r="AI15" i="24"/>
  <c r="AI10" i="24"/>
  <c r="AI21" i="24"/>
  <c r="AI29" i="24"/>
  <c r="AI11" i="24"/>
  <c r="AJ24" i="24"/>
  <c r="AJ27" i="24"/>
  <c r="AJ30" i="24" s="1"/>
  <c r="AJ31" i="24" s="1"/>
  <c r="AJ13" i="24"/>
  <c r="AJ17" i="24"/>
  <c r="AJ18" i="24" s="1"/>
  <c r="AH9" i="24"/>
  <c r="AH8" i="24"/>
  <c r="AH12" i="24" s="1"/>
  <c r="AC15" i="27"/>
  <c r="AH15" i="24"/>
  <c r="AH20" i="24"/>
  <c r="AH22" i="24" s="1"/>
  <c r="AH23" i="24" s="1"/>
  <c r="AH26" i="24"/>
  <c r="AH33" i="24"/>
  <c r="AH34" i="24" s="1"/>
  <c r="AH11" i="24"/>
  <c r="AH10" i="24"/>
  <c r="AH16" i="24"/>
  <c r="AH21" i="24"/>
  <c r="AH29" i="24"/>
  <c r="AO10" i="24"/>
  <c r="AO21" i="24"/>
  <c r="AO29" i="24"/>
  <c r="AO15" i="24"/>
  <c r="AO9" i="24"/>
  <c r="AO33" i="24"/>
  <c r="AO34" i="24" s="1"/>
  <c r="AO16" i="24"/>
  <c r="AO26" i="24"/>
  <c r="AJ15" i="27"/>
  <c r="AO8" i="24"/>
  <c r="AO12" i="24" s="1"/>
  <c r="AO20" i="24"/>
  <c r="AO22" i="24" s="1"/>
  <c r="AO23" i="24" s="1"/>
  <c r="AO11" i="24"/>
  <c r="Q184" i="9"/>
  <c r="AL45" i="16"/>
  <c r="AL44" i="16"/>
  <c r="AL59" i="16"/>
  <c r="AG28" i="27"/>
  <c r="AC28" i="27"/>
  <c r="AH59" i="16"/>
  <c r="AH57" i="16"/>
  <c r="AH56" i="16" s="1"/>
  <c r="K60" i="11" s="1"/>
  <c r="AH42" i="16"/>
  <c r="AJ59" i="16"/>
  <c r="AE28" i="27"/>
  <c r="AJ57" i="16"/>
  <c r="AJ56" i="16" s="1"/>
  <c r="M60" i="11" s="1"/>
  <c r="AJ42" i="16"/>
  <c r="AJ51" i="16"/>
  <c r="AJ50" i="16" s="1"/>
  <c r="M59" i="11" s="1"/>
  <c r="AO53" i="16"/>
  <c r="AJ27" i="27"/>
  <c r="AO44" i="16"/>
  <c r="AO45" i="16"/>
  <c r="AI53" i="16"/>
  <c r="AD27" i="27"/>
  <c r="AI45" i="16"/>
  <c r="AI44" i="16"/>
  <c r="AQ42" i="16"/>
  <c r="AL27" i="27"/>
  <c r="AQ53" i="16"/>
  <c r="AQ59" i="16"/>
  <c r="AL28" i="27"/>
  <c r="AQ57" i="16"/>
  <c r="AQ56" i="16" s="1"/>
  <c r="T60" i="11" s="1"/>
  <c r="W93" i="11"/>
  <c r="X93" i="11"/>
  <c r="V26" i="23"/>
  <c r="P14" i="11"/>
  <c r="X26" i="23"/>
  <c r="R14" i="11"/>
  <c r="R11" i="9"/>
  <c r="AP11" i="9" s="1"/>
  <c r="AP166" i="9"/>
  <c r="AP113" i="9"/>
  <c r="AP104" i="9"/>
  <c r="F20" i="25"/>
  <c r="AQ36" i="16"/>
  <c r="Z53" i="23"/>
  <c r="Z54" i="23" s="1"/>
  <c r="T42" i="11"/>
  <c r="T35" i="11"/>
  <c r="S14" i="11"/>
  <c r="Y26" i="23"/>
  <c r="AP51" i="16"/>
  <c r="AP50" i="16" s="1"/>
  <c r="S59" i="11" s="1"/>
  <c r="AP59" i="16"/>
  <c r="AK28" i="27"/>
  <c r="AK27" i="27"/>
  <c r="AP53" i="16"/>
  <c r="AN57" i="16"/>
  <c r="AN56" i="16" s="1"/>
  <c r="Q60" i="11" s="1"/>
  <c r="AN45" i="16"/>
  <c r="AN44" i="16"/>
  <c r="AN42" i="16"/>
  <c r="AG51" i="16"/>
  <c r="AG50" i="16" s="1"/>
  <c r="J59" i="11" s="1"/>
  <c r="AG57" i="16"/>
  <c r="AG56" i="16" s="1"/>
  <c r="J60" i="11" s="1"/>
  <c r="AG44" i="16"/>
  <c r="AG45" i="16"/>
  <c r="AM51" i="16"/>
  <c r="AM50" i="16" s="1"/>
  <c r="P59" i="11" s="1"/>
  <c r="AM45" i="16"/>
  <c r="AM44" i="16"/>
  <c r="AH28" i="27"/>
  <c r="AM59" i="16"/>
  <c r="AK51" i="16"/>
  <c r="AK50" i="16" s="1"/>
  <c r="N59" i="11" s="1"/>
  <c r="AK42" i="16"/>
  <c r="R10" i="9"/>
  <c r="AP170" i="9"/>
  <c r="Q43" i="9"/>
  <c r="AO43" i="9" s="1"/>
  <c r="AO10" i="9"/>
  <c r="E27" i="25" s="1"/>
  <c r="X95" i="11"/>
  <c r="W95" i="11"/>
  <c r="ED7" i="9"/>
  <c r="Q72" i="9"/>
  <c r="AO72" i="9" s="1"/>
  <c r="ED6" i="9" s="1"/>
  <c r="AO173" i="9"/>
  <c r="R173" i="9"/>
  <c r="AY30" i="18"/>
  <c r="T15" i="11"/>
  <c r="O14" i="11"/>
  <c r="U26" i="23"/>
  <c r="T26" i="23"/>
  <c r="N14" i="11"/>
  <c r="W48" i="11"/>
  <c r="X48" i="11"/>
  <c r="Q14" i="11"/>
  <c r="W26" i="23"/>
  <c r="AL42" i="16"/>
  <c r="AG27" i="27"/>
  <c r="AL53" i="16"/>
  <c r="AL51" i="16"/>
  <c r="AL50" i="16" s="1"/>
  <c r="O59" i="11" s="1"/>
  <c r="AL57" i="16"/>
  <c r="AL56" i="16" s="1"/>
  <c r="O60" i="11" s="1"/>
  <c r="AH45" i="16"/>
  <c r="AH44" i="16"/>
  <c r="AH51" i="16"/>
  <c r="AH50" i="16" s="1"/>
  <c r="K59" i="11" s="1"/>
  <c r="AC27" i="27"/>
  <c r="AH53" i="16"/>
  <c r="AE27" i="27"/>
  <c r="AJ53" i="16"/>
  <c r="AJ45" i="16"/>
  <c r="AJ44" i="16"/>
  <c r="AO57" i="16"/>
  <c r="AO56" i="16" s="1"/>
  <c r="R60" i="11" s="1"/>
  <c r="AO59" i="16"/>
  <c r="AJ28" i="27"/>
  <c r="AO51" i="16"/>
  <c r="AO50" i="16" s="1"/>
  <c r="R59" i="11" s="1"/>
  <c r="AO42" i="16"/>
  <c r="AD28" i="27"/>
  <c r="AI59" i="16"/>
  <c r="AI42" i="16"/>
  <c r="AI57" i="16"/>
  <c r="AI56" i="16" s="1"/>
  <c r="L60" i="11" s="1"/>
  <c r="AI51" i="16"/>
  <c r="AI50" i="16" s="1"/>
  <c r="L59" i="11" s="1"/>
  <c r="AQ45" i="16"/>
  <c r="AQ44" i="16"/>
  <c r="AQ51" i="16"/>
  <c r="AQ50" i="16" s="1"/>
  <c r="T59" i="11" s="1"/>
  <c r="W94" i="11"/>
  <c r="X94" i="11"/>
  <c r="Z81" i="23"/>
  <c r="T99" i="11"/>
  <c r="W23" i="11"/>
  <c r="X23" i="11"/>
  <c r="W19" i="11"/>
  <c r="X19" i="11"/>
  <c r="Z33" i="23"/>
  <c r="BH30" i="23" s="1"/>
  <c r="BI30" i="23" s="1"/>
  <c r="BJ30" i="23" s="1"/>
  <c r="W20" i="11"/>
  <c r="Z32" i="23"/>
  <c r="X20" i="11"/>
  <c r="AO175" i="9"/>
  <c r="R175" i="9"/>
  <c r="AP175" i="9" s="1"/>
  <c r="R115" i="9"/>
  <c r="AP115" i="9" s="1"/>
  <c r="AO115" i="9"/>
  <c r="R112" i="9"/>
  <c r="W41" i="11"/>
  <c r="X41" i="11"/>
  <c r="M14" i="11"/>
  <c r="S26" i="23"/>
  <c r="AP57" i="16"/>
  <c r="AP56" i="16" s="1"/>
  <c r="S60" i="11" s="1"/>
  <c r="AP42" i="16"/>
  <c r="AP44" i="16"/>
  <c r="AP45" i="16"/>
  <c r="AN51" i="16"/>
  <c r="AN50" i="16" s="1"/>
  <c r="Q59" i="11" s="1"/>
  <c r="AI27" i="27"/>
  <c r="AN53" i="16"/>
  <c r="AI28" i="27"/>
  <c r="AN59" i="16"/>
  <c r="AG53" i="16"/>
  <c r="AB27" i="27"/>
  <c r="AB28" i="27"/>
  <c r="AG59" i="16"/>
  <c r="AG42" i="16"/>
  <c r="AM42" i="16"/>
  <c r="AM57" i="16"/>
  <c r="AM56" i="16" s="1"/>
  <c r="P60" i="11" s="1"/>
  <c r="AM53" i="16"/>
  <c r="AH27" i="27"/>
  <c r="AK57" i="16"/>
  <c r="AK56" i="16" s="1"/>
  <c r="N60" i="11" s="1"/>
  <c r="AK44" i="16"/>
  <c r="AK45" i="16"/>
  <c r="AF28" i="27"/>
  <c r="AK59" i="16"/>
  <c r="AK53" i="16"/>
  <c r="AF27" i="27"/>
  <c r="R101" i="9"/>
  <c r="AO101" i="9"/>
  <c r="Q8" i="9"/>
  <c r="AO96" i="9"/>
  <c r="R96" i="9"/>
  <c r="AP96" i="9" s="1"/>
  <c r="T49" i="11"/>
  <c r="T38" i="11" s="1"/>
  <c r="T33" i="11"/>
  <c r="AA38" i="27"/>
  <c r="AA37" i="27"/>
  <c r="AA39" i="27"/>
  <c r="AA36" i="27"/>
  <c r="Q41" i="9" l="1"/>
  <c r="AO41" i="9" s="1"/>
  <c r="BI120" i="9"/>
  <c r="Q21" i="9"/>
  <c r="AO21" i="9" s="1"/>
  <c r="E34" i="25" s="1"/>
  <c r="J93" i="11"/>
  <c r="J94" i="11"/>
  <c r="P81" i="23" s="1"/>
  <c r="U20" i="9"/>
  <c r="U41" i="9"/>
  <c r="U43" i="9"/>
  <c r="U45" i="9"/>
  <c r="AA18" i="27"/>
  <c r="AB11" i="19"/>
  <c r="I113" i="11" s="1"/>
  <c r="I95" i="11"/>
  <c r="AA17" i="27"/>
  <c r="AB12" i="19"/>
  <c r="I112" i="11" s="1"/>
  <c r="R70" i="9"/>
  <c r="AP70" i="9" s="1"/>
  <c r="Q52" i="9"/>
  <c r="AO52" i="9" s="1"/>
  <c r="Q44" i="9"/>
  <c r="AO44" i="9" s="1"/>
  <c r="Q50" i="9"/>
  <c r="AO50" i="9" s="1"/>
  <c r="Q53" i="9"/>
  <c r="AO53" i="9" s="1"/>
  <c r="R59" i="9"/>
  <c r="AP59" i="9" s="1"/>
  <c r="AF45" i="16"/>
  <c r="R58" i="9"/>
  <c r="AP58" i="9" s="1"/>
  <c r="AA28" i="27"/>
  <c r="AO98" i="9"/>
  <c r="AF51" i="16"/>
  <c r="AF50" i="16" s="1"/>
  <c r="I59" i="11" s="1"/>
  <c r="Q71" i="9"/>
  <c r="AO71" i="9" s="1"/>
  <c r="ED4" i="9" s="1"/>
  <c r="R9" i="9"/>
  <c r="R21" i="9" s="1"/>
  <c r="AP21" i="9" s="1"/>
  <c r="R73" i="9"/>
  <c r="AP73" i="9" s="1"/>
  <c r="AA27" i="27"/>
  <c r="AF41" i="16"/>
  <c r="I57" i="11" s="1"/>
  <c r="AF44" i="16"/>
  <c r="U163" i="9"/>
  <c r="U162" i="9"/>
  <c r="U160" i="9"/>
  <c r="U159" i="9"/>
  <c r="U161" i="9"/>
  <c r="U158" i="9"/>
  <c r="U155" i="9"/>
  <c r="U157" i="9"/>
  <c r="U177" i="9"/>
  <c r="U176" i="9"/>
  <c r="U175" i="9"/>
  <c r="U174" i="9"/>
  <c r="AE58" i="16"/>
  <c r="AE60" i="16"/>
  <c r="AE54" i="16"/>
  <c r="AE52" i="16"/>
  <c r="AP95" i="9"/>
  <c r="I33" i="30"/>
  <c r="I35" i="30"/>
  <c r="Q12" i="9"/>
  <c r="AO12" i="9" s="1"/>
  <c r="ED2" i="9" s="1"/>
  <c r="Q42" i="9"/>
  <c r="AO42" i="9" s="1"/>
  <c r="Q29" i="9"/>
  <c r="Q19" i="9"/>
  <c r="AO19" i="9" s="1"/>
  <c r="E26" i="25" s="1"/>
  <c r="BL120" i="9"/>
  <c r="AL13" i="24"/>
  <c r="AL31" i="24"/>
  <c r="AP16" i="18"/>
  <c r="R40" i="23"/>
  <c r="R43" i="23" s="1"/>
  <c r="AQ24" i="18"/>
  <c r="AZ38" i="23"/>
  <c r="L25" i="11"/>
  <c r="AZ40" i="23" s="1"/>
  <c r="L19" i="11"/>
  <c r="R33" i="23" s="1"/>
  <c r="AZ30" i="23" s="1"/>
  <c r="L48" i="11"/>
  <c r="L49" i="11" s="1"/>
  <c r="AC22" i="27"/>
  <c r="AP15" i="18"/>
  <c r="AC21" i="27"/>
  <c r="AP10" i="18"/>
  <c r="AP12" i="18"/>
  <c r="AP26" i="18" s="1"/>
  <c r="AY33" i="23" s="1"/>
  <c r="AC29" i="27"/>
  <c r="AP13" i="18"/>
  <c r="AP27" i="18" s="1"/>
  <c r="AY39" i="23" s="1"/>
  <c r="AC52" i="27"/>
  <c r="AP17" i="18"/>
  <c r="AO14" i="18"/>
  <c r="AO28" i="18" s="1"/>
  <c r="AO8" i="18"/>
  <c r="AO19" i="18" s="1"/>
  <c r="AO11" i="18"/>
  <c r="AO25" i="18" s="1"/>
  <c r="AO9" i="18"/>
  <c r="AO23" i="18" s="1"/>
  <c r="M67" i="11"/>
  <c r="S69" i="23" s="1"/>
  <c r="BH85" i="9"/>
  <c r="BJ85" i="9"/>
  <c r="BH120" i="9"/>
  <c r="P54" i="23"/>
  <c r="Z20" i="27"/>
  <c r="Z19" i="27"/>
  <c r="AY28" i="23"/>
  <c r="AX8" i="23"/>
  <c r="P44" i="23"/>
  <c r="H15" i="30"/>
  <c r="AE15" i="16"/>
  <c r="Z11" i="27"/>
  <c r="Z14" i="27"/>
  <c r="H20" i="30"/>
  <c r="AD14" i="16"/>
  <c r="Y14" i="27"/>
  <c r="AD32" i="16"/>
  <c r="AD34" i="16" s="1"/>
  <c r="AD35" i="16" s="1"/>
  <c r="Y13" i="27"/>
  <c r="AD26" i="16"/>
  <c r="AD17" i="16"/>
  <c r="AD25" i="16"/>
  <c r="AD33" i="16"/>
  <c r="AD24" i="16"/>
  <c r="AD28" i="16"/>
  <c r="AD13" i="16"/>
  <c r="AD27" i="16"/>
  <c r="AD12" i="16"/>
  <c r="AD11" i="16" s="1"/>
  <c r="AD23" i="16"/>
  <c r="Z7" i="27"/>
  <c r="Z30" i="27"/>
  <c r="Y24" i="27"/>
  <c r="H34" i="11"/>
  <c r="Y34" i="11" s="1"/>
  <c r="Y43" i="11"/>
  <c r="AD5" i="16"/>
  <c r="AD10" i="16" s="1"/>
  <c r="AD40" i="16" s="1"/>
  <c r="AD49" i="16" s="1"/>
  <c r="Z4" i="19"/>
  <c r="Z7" i="19" s="1"/>
  <c r="AL3" i="18"/>
  <c r="AL7" i="18" s="1"/>
  <c r="Z13" i="27"/>
  <c r="H19" i="30"/>
  <c r="AE35" i="16"/>
  <c r="H47" i="11"/>
  <c r="Y47" i="11" s="1"/>
  <c r="AE22" i="16"/>
  <c r="H46" i="11" s="1"/>
  <c r="Y46" i="11" s="1"/>
  <c r="Z45" i="27"/>
  <c r="Y3" i="27"/>
  <c r="Y2" i="27"/>
  <c r="Y9" i="27"/>
  <c r="Y4" i="27"/>
  <c r="Y8" i="27"/>
  <c r="Y5" i="27"/>
  <c r="Y6" i="27"/>
  <c r="I23" i="11"/>
  <c r="O30" i="23"/>
  <c r="I20" i="11"/>
  <c r="O32" i="23" s="1"/>
  <c r="X1" i="27"/>
  <c r="AB9" i="16"/>
  <c r="AJ6" i="18"/>
  <c r="X6" i="19"/>
  <c r="AB6" i="24"/>
  <c r="AW36" i="23"/>
  <c r="O42" i="23"/>
  <c r="AW27" i="23" s="1"/>
  <c r="H17" i="30"/>
  <c r="AE18" i="16"/>
  <c r="H33" i="11" s="1"/>
  <c r="Y33" i="11" s="1"/>
  <c r="AE6" i="16"/>
  <c r="H41" i="11"/>
  <c r="Y41" i="11" s="1"/>
  <c r="DW15" i="9"/>
  <c r="DS15" i="9"/>
  <c r="DV15" i="9"/>
  <c r="DY15" i="9"/>
  <c r="DU15" i="9"/>
  <c r="DX15" i="9"/>
  <c r="DG15" i="9"/>
  <c r="DC15" i="9"/>
  <c r="DT15" i="9"/>
  <c r="DE15" i="9"/>
  <c r="DA15" i="9"/>
  <c r="DH15" i="9" s="1"/>
  <c r="DB15" i="9"/>
  <c r="DF15" i="9"/>
  <c r="DD15" i="9"/>
  <c r="CT15" i="9"/>
  <c r="CR15" i="9"/>
  <c r="CN15" i="9"/>
  <c r="BL53" i="9" s="1"/>
  <c r="CI15" i="9"/>
  <c r="CP15" i="9" s="1"/>
  <c r="CK15" i="9"/>
  <c r="BI53" i="9" s="1"/>
  <c r="DP15" i="9"/>
  <c r="DK15" i="9"/>
  <c r="CV15" i="9"/>
  <c r="DM15" i="9"/>
  <c r="CO15" i="9"/>
  <c r="BM53" i="9" s="1"/>
  <c r="CW15" i="9"/>
  <c r="CM15" i="9"/>
  <c r="BK53" i="9" s="1"/>
  <c r="DL15" i="9"/>
  <c r="DN15" i="9"/>
  <c r="CJ15" i="9"/>
  <c r="BH53" i="9" s="1"/>
  <c r="CL15" i="9"/>
  <c r="BJ53" i="9" s="1"/>
  <c r="DO15" i="9"/>
  <c r="CU15" i="9"/>
  <c r="CX15" i="9"/>
  <c r="CS15" i="9"/>
  <c r="DJ15" i="9"/>
  <c r="W43" i="25"/>
  <c r="W44" i="25" s="1"/>
  <c r="V48" i="25"/>
  <c r="V47" i="25"/>
  <c r="V45" i="25"/>
  <c r="V46" i="25"/>
  <c r="I33" i="11"/>
  <c r="I42" i="11"/>
  <c r="O53" i="23"/>
  <c r="AW31" i="23" s="1"/>
  <c r="AF36" i="16"/>
  <c r="AC7" i="16"/>
  <c r="AC63" i="16"/>
  <c r="AC4" i="24"/>
  <c r="AC3" i="24"/>
  <c r="AC8" i="16"/>
  <c r="AC48" i="16"/>
  <c r="AC39" i="16"/>
  <c r="AC5" i="24"/>
  <c r="AK22" i="18"/>
  <c r="AK4" i="18"/>
  <c r="AK5" i="18"/>
  <c r="Z46" i="27"/>
  <c r="Z47" i="27"/>
  <c r="H18" i="30"/>
  <c r="J18" i="30" s="1"/>
  <c r="AE21" i="16"/>
  <c r="AE29" i="16" s="1"/>
  <c r="H44" i="11" s="1"/>
  <c r="AE16" i="16"/>
  <c r="H16" i="30"/>
  <c r="Z12" i="27"/>
  <c r="AG10" i="24"/>
  <c r="Q15" i="9"/>
  <c r="AO15" i="9" s="1"/>
  <c r="E31" i="25" s="1"/>
  <c r="Q27" i="9"/>
  <c r="Q37" i="9" s="1"/>
  <c r="AO37" i="9" s="1"/>
  <c r="Q26" i="9"/>
  <c r="AO26" i="9" s="1"/>
  <c r="AO128" i="9"/>
  <c r="Q14" i="9"/>
  <c r="T49" i="25"/>
  <c r="X43" i="23"/>
  <c r="X41" i="23"/>
  <c r="X45" i="23"/>
  <c r="V43" i="23"/>
  <c r="V45" i="23"/>
  <c r="V41" i="23"/>
  <c r="T43" i="23"/>
  <c r="T45" i="23"/>
  <c r="T41" i="23"/>
  <c r="Y43" i="23"/>
  <c r="Y45" i="23"/>
  <c r="Y41" i="23"/>
  <c r="R45" i="23"/>
  <c r="S43" i="23"/>
  <c r="S45" i="23"/>
  <c r="S41" i="23"/>
  <c r="Z41" i="23"/>
  <c r="Z43" i="23"/>
  <c r="BM120" i="9"/>
  <c r="T44" i="11"/>
  <c r="BK20" i="9"/>
  <c r="BE83" i="9"/>
  <c r="BN84" i="9"/>
  <c r="BE84" i="9" s="1"/>
  <c r="AB48" i="27"/>
  <c r="Q45" i="9"/>
  <c r="AO45" i="9" s="1"/>
  <c r="AL24" i="24"/>
  <c r="T67" i="11"/>
  <c r="X67" i="11" s="1"/>
  <c r="BI85" i="9"/>
  <c r="BJ20" i="9"/>
  <c r="BM20" i="9"/>
  <c r="CC16" i="9"/>
  <c r="CD16" i="9" s="1"/>
  <c r="CF16" i="9" s="1"/>
  <c r="CB17" i="9"/>
  <c r="DQ14" i="9"/>
  <c r="BG85" i="9"/>
  <c r="BG52" i="9"/>
  <c r="BN52" i="9" s="1"/>
  <c r="BE52" i="9" s="1"/>
  <c r="AD2" i="24"/>
  <c r="AD7" i="24" s="1"/>
  <c r="BL85" i="9"/>
  <c r="BK85" i="9"/>
  <c r="BH20" i="9"/>
  <c r="BF21" i="9"/>
  <c r="BF86" i="9"/>
  <c r="BF53" i="9"/>
  <c r="BF122" i="9"/>
  <c r="BG20" i="9"/>
  <c r="CY14" i="9"/>
  <c r="BN19" i="9"/>
  <c r="BE19" i="9" s="1"/>
  <c r="BG120" i="9"/>
  <c r="BN120" i="9" s="1"/>
  <c r="BE120" i="9" s="1"/>
  <c r="BK120" i="9"/>
  <c r="BI20" i="9"/>
  <c r="BM85" i="9"/>
  <c r="BL20" i="9"/>
  <c r="DZ14" i="9"/>
  <c r="Q129" i="9"/>
  <c r="AO127" i="9"/>
  <c r="X71" i="11"/>
  <c r="S67" i="11"/>
  <c r="AN31" i="24"/>
  <c r="AP17" i="24"/>
  <c r="AP18" i="24" s="1"/>
  <c r="AP13" i="24"/>
  <c r="AP24" i="24"/>
  <c r="AP27" i="24"/>
  <c r="AP30" i="24" s="1"/>
  <c r="AP31" i="24" s="1"/>
  <c r="W71" i="11"/>
  <c r="AN12" i="24"/>
  <c r="AN24" i="24"/>
  <c r="AQ12" i="24"/>
  <c r="AQ24" i="24"/>
  <c r="Q67" i="11"/>
  <c r="W69" i="23" s="1"/>
  <c r="Q124" i="9"/>
  <c r="AO120" i="9"/>
  <c r="Q145" i="9"/>
  <c r="AO144" i="9"/>
  <c r="AO139" i="9"/>
  <c r="Q142" i="9"/>
  <c r="Q17" i="9" s="1"/>
  <c r="Q61" i="9"/>
  <c r="AO61" i="9" s="1"/>
  <c r="AO123" i="9"/>
  <c r="AO132" i="9"/>
  <c r="Q134" i="9"/>
  <c r="L73" i="11"/>
  <c r="R68" i="23" s="1"/>
  <c r="AO27" i="24"/>
  <c r="AO30" i="24" s="1"/>
  <c r="AO31" i="24" s="1"/>
  <c r="AO24" i="24"/>
  <c r="AO17" i="24"/>
  <c r="AO18" i="24" s="1"/>
  <c r="AO13" i="24"/>
  <c r="AM27" i="24"/>
  <c r="AM30" i="24" s="1"/>
  <c r="AM31" i="24" s="1"/>
  <c r="AM24" i="24"/>
  <c r="L67" i="11"/>
  <c r="R69" i="23" s="1"/>
  <c r="P67" i="11"/>
  <c r="V69" i="23" s="1"/>
  <c r="N67" i="11"/>
  <c r="T69" i="23" s="1"/>
  <c r="AI27" i="24"/>
  <c r="AI30" i="24" s="1"/>
  <c r="AI31" i="24" s="1"/>
  <c r="AI24" i="24"/>
  <c r="AI13" i="24"/>
  <c r="AI17" i="24"/>
  <c r="AI18" i="24" s="1"/>
  <c r="AM13" i="24"/>
  <c r="AM17" i="24"/>
  <c r="AM18" i="24" s="1"/>
  <c r="AK24" i="24"/>
  <c r="AK27" i="24"/>
  <c r="AK30" i="24" s="1"/>
  <c r="AK31" i="24" s="1"/>
  <c r="AK13" i="24"/>
  <c r="AK17" i="24"/>
  <c r="AK18" i="24" s="1"/>
  <c r="R67" i="11"/>
  <c r="X69" i="23" s="1"/>
  <c r="K67" i="11"/>
  <c r="Q69" i="23" s="1"/>
  <c r="AH27" i="24"/>
  <c r="AH30" i="24" s="1"/>
  <c r="AH31" i="24" s="1"/>
  <c r="AH24" i="24"/>
  <c r="AH13" i="24"/>
  <c r="AH17" i="24"/>
  <c r="AH18" i="24" s="1"/>
  <c r="W33" i="11"/>
  <c r="X33" i="11"/>
  <c r="AA26" i="27"/>
  <c r="AF43" i="16"/>
  <c r="I58" i="11" s="1"/>
  <c r="O85" i="23" s="1"/>
  <c r="AZ7" i="23"/>
  <c r="BA25" i="23"/>
  <c r="AE26" i="27"/>
  <c r="AJ43" i="16"/>
  <c r="M58" i="11" s="1"/>
  <c r="S85" i="23" s="1"/>
  <c r="AH43" i="16"/>
  <c r="K58" i="11" s="1"/>
  <c r="Q85" i="23" s="1"/>
  <c r="AC26" i="27"/>
  <c r="BD7" i="23"/>
  <c r="BE25" i="23"/>
  <c r="BA7" i="23"/>
  <c r="BB25" i="23"/>
  <c r="AM43" i="16"/>
  <c r="P58" i="11" s="1"/>
  <c r="V85" i="23" s="1"/>
  <c r="AH26" i="27"/>
  <c r="AG41" i="16"/>
  <c r="J57" i="11" s="1"/>
  <c r="AB25" i="27"/>
  <c r="AN43" i="16"/>
  <c r="Q58" i="11" s="1"/>
  <c r="W85" i="23" s="1"/>
  <c r="AI26" i="27"/>
  <c r="AN41" i="16"/>
  <c r="Q57" i="11" s="1"/>
  <c r="AI25" i="27"/>
  <c r="AP41" i="16"/>
  <c r="S57" i="11" s="1"/>
  <c r="AK25" i="27"/>
  <c r="X42" i="11"/>
  <c r="W42" i="11"/>
  <c r="AO43" i="16"/>
  <c r="R58" i="11" s="1"/>
  <c r="X85" i="23" s="1"/>
  <c r="AJ26" i="27"/>
  <c r="AL41" i="16"/>
  <c r="O57" i="11" s="1"/>
  <c r="AG25" i="27"/>
  <c r="AG26" i="27"/>
  <c r="AL43" i="16"/>
  <c r="O58" i="11" s="1"/>
  <c r="U85" i="23" s="1"/>
  <c r="T36" i="11"/>
  <c r="X49" i="11"/>
  <c r="W49" i="11"/>
  <c r="AO8" i="9"/>
  <c r="E24" i="25" s="1"/>
  <c r="Q49" i="9"/>
  <c r="AO49" i="9" s="1"/>
  <c r="Q13" i="9"/>
  <c r="AP101" i="9"/>
  <c r="R8" i="9"/>
  <c r="AK41" i="16"/>
  <c r="N57" i="11" s="1"/>
  <c r="AF25" i="27"/>
  <c r="AF26" i="27"/>
  <c r="AK43" i="16"/>
  <c r="N58" i="11" s="1"/>
  <c r="T85" i="23" s="1"/>
  <c r="AM41" i="16"/>
  <c r="P57" i="11" s="1"/>
  <c r="AH25" i="27"/>
  <c r="AK26" i="27"/>
  <c r="AP43" i="16"/>
  <c r="S58" i="11" s="1"/>
  <c r="Y85" i="23" s="1"/>
  <c r="R71" i="9"/>
  <c r="AP71" i="9" s="1"/>
  <c r="AP112" i="9"/>
  <c r="W99" i="11"/>
  <c r="X99" i="11"/>
  <c r="Z94" i="23"/>
  <c r="AQ41" i="16"/>
  <c r="T57" i="11" s="1"/>
  <c r="AL25" i="27"/>
  <c r="I21" i="30"/>
  <c r="AQ43" i="16"/>
  <c r="T58" i="11" s="1"/>
  <c r="AL26" i="27"/>
  <c r="I22" i="30"/>
  <c r="AO41" i="16"/>
  <c r="R57" i="11" s="1"/>
  <c r="AJ25" i="27"/>
  <c r="AH41" i="16"/>
  <c r="K57" i="11" s="1"/>
  <c r="AC25" i="27"/>
  <c r="BC25" i="23"/>
  <c r="BB7" i="23"/>
  <c r="T14" i="11"/>
  <c r="Z26" i="23"/>
  <c r="X15" i="11"/>
  <c r="W15" i="11"/>
  <c r="R72" i="9"/>
  <c r="AP72" i="9" s="1"/>
  <c r="AP173" i="9"/>
  <c r="R42" i="9"/>
  <c r="AP42" i="9" s="1"/>
  <c r="R50" i="9"/>
  <c r="AP50" i="9" s="1"/>
  <c r="R44" i="9"/>
  <c r="AP44" i="9" s="1"/>
  <c r="AP9" i="9"/>
  <c r="R52" i="9"/>
  <c r="AP52" i="9" s="1"/>
  <c r="R12" i="9"/>
  <c r="AP12" i="9" s="1"/>
  <c r="R53" i="9"/>
  <c r="AP53" i="9" s="1"/>
  <c r="R43" i="9"/>
  <c r="AP43" i="9" s="1"/>
  <c r="R41" i="9"/>
  <c r="AP41" i="9" s="1"/>
  <c r="AP10" i="9"/>
  <c r="R20" i="9"/>
  <c r="AP20" i="9" s="1"/>
  <c r="AB26" i="27"/>
  <c r="AG43" i="16"/>
  <c r="J58" i="11" s="1"/>
  <c r="P85" i="23" s="1"/>
  <c r="BF7" i="23"/>
  <c r="BG25" i="23"/>
  <c r="X35" i="11"/>
  <c r="W35" i="11"/>
  <c r="BH31" i="23"/>
  <c r="BI31" i="23" s="1"/>
  <c r="BJ31" i="23" s="1"/>
  <c r="I20" i="23"/>
  <c r="Z44" i="23"/>
  <c r="BF25" i="23"/>
  <c r="BE7" i="23"/>
  <c r="BC7" i="23"/>
  <c r="BD25" i="23"/>
  <c r="AI43" i="16"/>
  <c r="L58" i="11" s="1"/>
  <c r="R85" i="23" s="1"/>
  <c r="AD26" i="27"/>
  <c r="AI41" i="16"/>
  <c r="L57" i="11" s="1"/>
  <c r="AD25" i="27"/>
  <c r="AJ41" i="16"/>
  <c r="M57" i="11" s="1"/>
  <c r="AE25" i="27"/>
  <c r="R69" i="9"/>
  <c r="AP69" i="9" s="1"/>
  <c r="R66" i="9"/>
  <c r="AP66" i="9" s="1"/>
  <c r="R67" i="9"/>
  <c r="AP67" i="9" s="1"/>
  <c r="Z45" i="23"/>
  <c r="Z36" i="27"/>
  <c r="Z37" i="27"/>
  <c r="Z38" i="27"/>
  <c r="Z39" i="27"/>
  <c r="R19" i="9" l="1"/>
  <c r="AP19" i="9" s="1"/>
  <c r="AA10" i="19"/>
  <c r="H109" i="11" s="1"/>
  <c r="Y109" i="11" s="1"/>
  <c r="H50" i="30"/>
  <c r="J50" i="30" s="1"/>
  <c r="Z17" i="27"/>
  <c r="H52" i="30"/>
  <c r="J52" i="30" s="1"/>
  <c r="AA12" i="19"/>
  <c r="H112" i="11" s="1"/>
  <c r="Z9" i="19"/>
  <c r="Z13" i="19"/>
  <c r="Z10" i="19"/>
  <c r="Z8" i="19"/>
  <c r="H53" i="30"/>
  <c r="J53" i="30" s="1"/>
  <c r="AA13" i="19"/>
  <c r="H114" i="11" s="1"/>
  <c r="Y114" i="11" s="1"/>
  <c r="H49" i="30"/>
  <c r="AA9" i="19"/>
  <c r="H110" i="11" s="1"/>
  <c r="H51" i="30"/>
  <c r="Z18" i="27"/>
  <c r="AA11" i="19"/>
  <c r="H113" i="11" s="1"/>
  <c r="Y113" i="11" s="1"/>
  <c r="I99" i="11"/>
  <c r="O94" i="23" s="1"/>
  <c r="I93" i="11"/>
  <c r="I94" i="11"/>
  <c r="O81" i="23" s="1"/>
  <c r="H47" i="30"/>
  <c r="J47" i="30" s="1"/>
  <c r="AA8" i="19"/>
  <c r="H111" i="11" s="1"/>
  <c r="Y111" i="11" s="1"/>
  <c r="AA25" i="27"/>
  <c r="E29" i="25"/>
  <c r="BL86" i="9"/>
  <c r="AD54" i="16"/>
  <c r="AD52" i="16"/>
  <c r="AD58" i="16"/>
  <c r="P54" i="11"/>
  <c r="V61" i="23" s="1"/>
  <c r="BD29" i="23" s="1"/>
  <c r="R41" i="23"/>
  <c r="BM121" i="9"/>
  <c r="BK121" i="9"/>
  <c r="BH121" i="9"/>
  <c r="Z69" i="23"/>
  <c r="AN10" i="18"/>
  <c r="AA21" i="27"/>
  <c r="AE51" i="16"/>
  <c r="AE50" i="16" s="1"/>
  <c r="H59" i="11" s="1"/>
  <c r="AE45" i="16"/>
  <c r="AE44" i="16"/>
  <c r="AB22" i="27"/>
  <c r="AO15" i="18"/>
  <c r="AD60" i="16"/>
  <c r="AO10" i="18"/>
  <c r="AB21" i="27"/>
  <c r="AO16" i="18"/>
  <c r="AE59" i="16"/>
  <c r="Z28" i="27"/>
  <c r="AE57" i="16"/>
  <c r="AE56" i="16" s="1"/>
  <c r="H60" i="11" s="1"/>
  <c r="K25" i="11"/>
  <c r="AY38" i="23"/>
  <c r="Q40" i="23"/>
  <c r="K48" i="11"/>
  <c r="K49" i="11" s="1"/>
  <c r="AP24" i="18"/>
  <c r="K19" i="11"/>
  <c r="Q33" i="23" s="1"/>
  <c r="AY30" i="23" s="1"/>
  <c r="U156" i="9"/>
  <c r="AP18" i="18"/>
  <c r="K27" i="11"/>
  <c r="AO13" i="18"/>
  <c r="AO27" i="18" s="1"/>
  <c r="AX39" i="23" s="1"/>
  <c r="AB52" i="27"/>
  <c r="AM9" i="18"/>
  <c r="AM23" i="18" s="1"/>
  <c r="AM8" i="18"/>
  <c r="AM19" i="18" s="1"/>
  <c r="AM11" i="18"/>
  <c r="AM25" i="18" s="1"/>
  <c r="AM14" i="18"/>
  <c r="AM28" i="18" s="1"/>
  <c r="AE42" i="16"/>
  <c r="U154" i="9"/>
  <c r="U173" i="9"/>
  <c r="U72" i="9" s="1"/>
  <c r="AN14" i="18"/>
  <c r="AN28" i="18" s="1"/>
  <c r="AN11" i="18"/>
  <c r="AN25" i="18" s="1"/>
  <c r="AN8" i="18"/>
  <c r="AN19" i="18" s="1"/>
  <c r="AN9" i="18"/>
  <c r="AN23" i="18" s="1"/>
  <c r="L38" i="11"/>
  <c r="L36" i="11"/>
  <c r="AQ30" i="18"/>
  <c r="L15" i="11"/>
  <c r="AO12" i="18"/>
  <c r="AO26" i="18" s="1"/>
  <c r="AX33" i="23" s="1"/>
  <c r="AB29" i="27"/>
  <c r="AO17" i="18"/>
  <c r="Z27" i="27"/>
  <c r="AE53" i="16"/>
  <c r="K26" i="11"/>
  <c r="AP29" i="18"/>
  <c r="K16" i="11" s="1"/>
  <c r="Q27" i="23" s="1"/>
  <c r="BJ121" i="9"/>
  <c r="M54" i="11"/>
  <c r="S61" i="23" s="1"/>
  <c r="BA29" i="23" s="1"/>
  <c r="H20" i="11"/>
  <c r="Y20" i="11" s="1"/>
  <c r="BM21" i="9"/>
  <c r="BI121" i="9"/>
  <c r="O44" i="23"/>
  <c r="X6" i="27"/>
  <c r="X5" i="27"/>
  <c r="X3" i="27"/>
  <c r="X2" i="27"/>
  <c r="X4" i="27"/>
  <c r="X9" i="27"/>
  <c r="X8" i="27"/>
  <c r="Y30" i="27"/>
  <c r="Y7" i="27"/>
  <c r="H37" i="11"/>
  <c r="Y37" i="11" s="1"/>
  <c r="AD18" i="16"/>
  <c r="AD36" i="16" s="1"/>
  <c r="AD6" i="16"/>
  <c r="AK31" i="27"/>
  <c r="AK34" i="27"/>
  <c r="AK32" i="27"/>
  <c r="AK51" i="27"/>
  <c r="AK33" i="27"/>
  <c r="AD16" i="16"/>
  <c r="Y12" i="27"/>
  <c r="J15" i="30"/>
  <c r="DX16" i="9"/>
  <c r="DT16" i="9"/>
  <c r="DW16" i="9"/>
  <c r="DS16" i="9"/>
  <c r="DV16" i="9"/>
  <c r="DD16" i="9"/>
  <c r="DG16" i="9"/>
  <c r="DY16" i="9"/>
  <c r="DF16" i="9"/>
  <c r="DB16" i="9"/>
  <c r="DC16" i="9"/>
  <c r="DA16" i="9"/>
  <c r="DH16" i="9" s="1"/>
  <c r="DU16" i="9"/>
  <c r="DE16" i="9"/>
  <c r="CS16" i="9"/>
  <c r="CU16" i="9"/>
  <c r="CK16" i="9"/>
  <c r="BI54" i="9" s="1"/>
  <c r="CJ16" i="9"/>
  <c r="BH54" i="9" s="1"/>
  <c r="DO16" i="9"/>
  <c r="DJ16" i="9"/>
  <c r="CO16" i="9"/>
  <c r="BM54" i="9" s="1"/>
  <c r="DM16" i="9"/>
  <c r="DK16" i="9"/>
  <c r="CW16" i="9"/>
  <c r="CV16" i="9"/>
  <c r="CT16" i="9"/>
  <c r="CX16" i="9"/>
  <c r="DP16" i="9"/>
  <c r="CR16" i="9"/>
  <c r="DN16" i="9"/>
  <c r="CM16" i="9"/>
  <c r="BK54" i="9" s="1"/>
  <c r="CL16" i="9"/>
  <c r="BJ54" i="9" s="1"/>
  <c r="CN16" i="9"/>
  <c r="BL54" i="9" s="1"/>
  <c r="DL16" i="9"/>
  <c r="CI16" i="9"/>
  <c r="CP16" i="9" s="1"/>
  <c r="AL34" i="27"/>
  <c r="AL32" i="27"/>
  <c r="Q181" i="9" s="1"/>
  <c r="AL51" i="27"/>
  <c r="Q188" i="9" s="1"/>
  <c r="AL31" i="27"/>
  <c r="AL33" i="27"/>
  <c r="Q182" i="9" s="1"/>
  <c r="AJ5" i="18"/>
  <c r="AJ4" i="18"/>
  <c r="AJ22" i="18"/>
  <c r="X24" i="27"/>
  <c r="Y19" i="27"/>
  <c r="Y20" i="27"/>
  <c r="H46" i="30"/>
  <c r="J46" i="30" s="1"/>
  <c r="AW8" i="23"/>
  <c r="AX28" i="23"/>
  <c r="W6" i="19"/>
  <c r="AA9" i="16"/>
  <c r="AI6" i="18"/>
  <c r="AA6" i="24"/>
  <c r="W1" i="27"/>
  <c r="O54" i="23"/>
  <c r="Y10" i="27"/>
  <c r="AD15" i="16"/>
  <c r="S24" i="11" s="1"/>
  <c r="Y31" i="23" s="1"/>
  <c r="Y11" i="27"/>
  <c r="AD21" i="16"/>
  <c r="AD29" i="16" s="1"/>
  <c r="Y46" i="27"/>
  <c r="Y47" i="27"/>
  <c r="AD22" i="16"/>
  <c r="Y45" i="27"/>
  <c r="Z10" i="27"/>
  <c r="H13" i="30"/>
  <c r="AK3" i="18"/>
  <c r="AK7" i="18" s="1"/>
  <c r="AC5" i="16"/>
  <c r="AC10" i="16" s="1"/>
  <c r="AC40" i="16" s="1"/>
  <c r="AC49" i="16" s="1"/>
  <c r="Y4" i="19"/>
  <c r="Y7" i="19" s="1"/>
  <c r="AC24" i="16"/>
  <c r="AC28" i="16"/>
  <c r="AC23" i="16"/>
  <c r="X13" i="27"/>
  <c r="AC25" i="16"/>
  <c r="AC26" i="16"/>
  <c r="AC12" i="16"/>
  <c r="AC11" i="16" s="1"/>
  <c r="AC17" i="16"/>
  <c r="AC27" i="16"/>
  <c r="AC32" i="16"/>
  <c r="AC34" i="16" s="1"/>
  <c r="AC35" i="16" s="1"/>
  <c r="AC33" i="16"/>
  <c r="AC14" i="16"/>
  <c r="AC13" i="16"/>
  <c r="X14" i="27"/>
  <c r="X43" i="25"/>
  <c r="X44" i="25" s="1"/>
  <c r="W47" i="25"/>
  <c r="W46" i="25"/>
  <c r="W48" i="25"/>
  <c r="W45" i="25"/>
  <c r="H35" i="11"/>
  <c r="Y35" i="11" s="1"/>
  <c r="H42" i="11"/>
  <c r="Y42" i="11" s="1"/>
  <c r="AE36" i="16"/>
  <c r="AB5" i="24"/>
  <c r="AB3" i="24"/>
  <c r="AB4" i="24"/>
  <c r="AB7" i="16"/>
  <c r="AB8" i="16"/>
  <c r="AB63" i="16"/>
  <c r="AB48" i="16"/>
  <c r="AB39" i="16"/>
  <c r="H39" i="30"/>
  <c r="J19" i="30"/>
  <c r="J20" i="30"/>
  <c r="T24" i="11"/>
  <c r="H23" i="11"/>
  <c r="K54" i="11"/>
  <c r="Q61" i="23" s="1"/>
  <c r="AY29" i="23" s="1"/>
  <c r="Q16" i="9"/>
  <c r="Q24" i="9" s="1"/>
  <c r="AO24" i="9" s="1"/>
  <c r="J71" i="11"/>
  <c r="P67" i="23" s="1"/>
  <c r="AO142" i="9"/>
  <c r="M87" i="11"/>
  <c r="S70" i="23" s="1"/>
  <c r="BA34" i="23" s="1"/>
  <c r="AE50" i="27"/>
  <c r="S74" i="11"/>
  <c r="Y71" i="23" s="1"/>
  <c r="BG35" i="23" s="1"/>
  <c r="AK50" i="27"/>
  <c r="AG50" i="27"/>
  <c r="N54" i="11"/>
  <c r="T61" i="23" s="1"/>
  <c r="BB29" i="23" s="1"/>
  <c r="O54" i="11"/>
  <c r="U61" i="23" s="1"/>
  <c r="BC29" i="23" s="1"/>
  <c r="S54" i="11"/>
  <c r="Y61" i="23" s="1"/>
  <c r="BG29" i="23" s="1"/>
  <c r="I54" i="11"/>
  <c r="O61" i="23" s="1"/>
  <c r="AW29" i="23" s="1"/>
  <c r="J54" i="11"/>
  <c r="P61" i="23" s="1"/>
  <c r="AX29" i="23" s="1"/>
  <c r="L54" i="11"/>
  <c r="R61" i="23" s="1"/>
  <c r="AZ29" i="23" s="1"/>
  <c r="R54" i="11"/>
  <c r="X61" i="23" s="1"/>
  <c r="BF29" i="23" s="1"/>
  <c r="Q54" i="11"/>
  <c r="W61" i="23" s="1"/>
  <c r="BE29" i="23" s="1"/>
  <c r="T54" i="11"/>
  <c r="W44" i="11"/>
  <c r="Y44" i="11"/>
  <c r="X44" i="11"/>
  <c r="X37" i="11"/>
  <c r="W37" i="11"/>
  <c r="AG29" i="24"/>
  <c r="AG26" i="24"/>
  <c r="AG9" i="24"/>
  <c r="BN85" i="9"/>
  <c r="BE85" i="9" s="1"/>
  <c r="AG15" i="24"/>
  <c r="AG11" i="24"/>
  <c r="AG33" i="24"/>
  <c r="AG34" i="24" s="1"/>
  <c r="AG20" i="24"/>
  <c r="AG22" i="24" s="1"/>
  <c r="AG23" i="24" s="1"/>
  <c r="AG16" i="24"/>
  <c r="AG21" i="24"/>
  <c r="AG8" i="24"/>
  <c r="AG12" i="24" s="1"/>
  <c r="J73" i="11"/>
  <c r="P68" i="23" s="1"/>
  <c r="AB15" i="27"/>
  <c r="I45" i="30"/>
  <c r="BK21" i="9"/>
  <c r="BK86" i="9"/>
  <c r="BN20" i="9"/>
  <c r="BE20" i="9" s="1"/>
  <c r="BG121" i="9"/>
  <c r="BN121" i="9" s="1"/>
  <c r="BE121" i="9" s="1"/>
  <c r="DQ15" i="9"/>
  <c r="BG86" i="9"/>
  <c r="BG53" i="9"/>
  <c r="BN53" i="9" s="1"/>
  <c r="BE53" i="9" s="1"/>
  <c r="CC17" i="9"/>
  <c r="CD17" i="9" s="1"/>
  <c r="CF17" i="9" s="1"/>
  <c r="CB18" i="9"/>
  <c r="BL21" i="9"/>
  <c r="BI21" i="9"/>
  <c r="BG21" i="9"/>
  <c r="CY15" i="9"/>
  <c r="AA48" i="27"/>
  <c r="AC2" i="24"/>
  <c r="AC7" i="24" s="1"/>
  <c r="BF54" i="9"/>
  <c r="BF22" i="9"/>
  <c r="BF123" i="9"/>
  <c r="BF87" i="9"/>
  <c r="BH21" i="9"/>
  <c r="BH86" i="9"/>
  <c r="BJ86" i="9"/>
  <c r="BJ21" i="9"/>
  <c r="DZ15" i="9"/>
  <c r="BM86" i="9"/>
  <c r="BI86" i="9"/>
  <c r="BL121" i="9"/>
  <c r="Q30" i="9"/>
  <c r="AO30" i="9" s="1"/>
  <c r="AO14" i="9"/>
  <c r="AO129" i="9"/>
  <c r="AO130" i="9" s="1"/>
  <c r="Q130" i="9"/>
  <c r="Q33" i="9"/>
  <c r="AO33" i="9" s="1"/>
  <c r="Y69" i="23"/>
  <c r="W67" i="11"/>
  <c r="AN13" i="24"/>
  <c r="AN17" i="24"/>
  <c r="AN18" i="24" s="1"/>
  <c r="K73" i="11"/>
  <c r="Q68" i="23" s="1"/>
  <c r="Q149" i="9"/>
  <c r="AO27" i="9"/>
  <c r="Q51" i="9"/>
  <c r="AO51" i="9" s="1"/>
  <c r="AQ13" i="24"/>
  <c r="AQ17" i="24"/>
  <c r="AQ18" i="24" s="1"/>
  <c r="Q32" i="9"/>
  <c r="AO32" i="9" s="1"/>
  <c r="AO124" i="9"/>
  <c r="AO125" i="9" s="1"/>
  <c r="Q125" i="9"/>
  <c r="Q146" i="9"/>
  <c r="Q35" i="9"/>
  <c r="AO35" i="9" s="1"/>
  <c r="ED12" i="9" s="1"/>
  <c r="Q68" i="9"/>
  <c r="AO68" i="9" s="1"/>
  <c r="AO145" i="9"/>
  <c r="AO134" i="9"/>
  <c r="Q136" i="9"/>
  <c r="T73" i="11"/>
  <c r="AO29" i="9"/>
  <c r="Q60" i="9"/>
  <c r="AO60" i="9" s="1"/>
  <c r="Q73" i="11"/>
  <c r="W68" i="23" s="1"/>
  <c r="R73" i="11"/>
  <c r="X68" i="23" s="1"/>
  <c r="P73" i="11"/>
  <c r="V68" i="23" s="1"/>
  <c r="N73" i="11"/>
  <c r="T68" i="23" s="1"/>
  <c r="BH25" i="23"/>
  <c r="BI25" i="23" s="1"/>
  <c r="BJ25" i="23" s="1"/>
  <c r="BG7" i="23"/>
  <c r="X57" i="11"/>
  <c r="W57" i="11"/>
  <c r="BG8" i="23"/>
  <c r="BH28" i="23"/>
  <c r="BI28" i="23" s="1"/>
  <c r="BJ28" i="23" s="1"/>
  <c r="X14" i="11"/>
  <c r="W14" i="11"/>
  <c r="W58" i="11"/>
  <c r="X58" i="11"/>
  <c r="Z85" i="23"/>
  <c r="R49" i="9"/>
  <c r="AP49" i="9" s="1"/>
  <c r="AP8" i="9"/>
  <c r="R13" i="9"/>
  <c r="AO13" i="9"/>
  <c r="E28" i="25" s="1"/>
  <c r="Q65" i="9"/>
  <c r="AO65" i="9" s="1"/>
  <c r="ED5" i="9" s="1"/>
  <c r="W36" i="11"/>
  <c r="X36" i="11"/>
  <c r="Y39" i="27"/>
  <c r="Y37" i="27"/>
  <c r="Y38" i="27"/>
  <c r="Y36" i="27"/>
  <c r="Y8" i="19" l="1"/>
  <c r="Y9" i="19"/>
  <c r="Y10" i="19"/>
  <c r="Y13" i="19"/>
  <c r="H95" i="11"/>
  <c r="Y95" i="11" s="1"/>
  <c r="Y110" i="11"/>
  <c r="Y18" i="27"/>
  <c r="Z11" i="19"/>
  <c r="Y17" i="27"/>
  <c r="Z12" i="19"/>
  <c r="Y112" i="11"/>
  <c r="H93" i="11"/>
  <c r="Y93" i="11" s="1"/>
  <c r="H94" i="11"/>
  <c r="Y94" i="11" s="1"/>
  <c r="BL122" i="9"/>
  <c r="AE9" i="24"/>
  <c r="AE26" i="24"/>
  <c r="AE10" i="24"/>
  <c r="AE15" i="24"/>
  <c r="H71" i="11"/>
  <c r="Y71" i="11" s="1"/>
  <c r="AE29" i="24"/>
  <c r="AE21" i="24"/>
  <c r="Z48" i="27"/>
  <c r="AE20" i="24"/>
  <c r="AE22" i="24" s="1"/>
  <c r="AE23" i="24" s="1"/>
  <c r="AE11" i="24"/>
  <c r="AC60" i="16"/>
  <c r="AC58" i="16"/>
  <c r="AC54" i="16"/>
  <c r="AC52" i="16"/>
  <c r="BI87" i="9"/>
  <c r="O74" i="11"/>
  <c r="U71" i="23" s="1"/>
  <c r="BC35" i="23" s="1"/>
  <c r="BH87" i="9"/>
  <c r="S87" i="11"/>
  <c r="Y70" i="23" s="1"/>
  <c r="BG34" i="23" s="1"/>
  <c r="Z25" i="27"/>
  <c r="AE41" i="16"/>
  <c r="H57" i="11" s="1"/>
  <c r="H21" i="30"/>
  <c r="AN13" i="18"/>
  <c r="AN27" i="18" s="1"/>
  <c r="AW39" i="23" s="1"/>
  <c r="AA52" i="27"/>
  <c r="AL14" i="18"/>
  <c r="AL28" i="18" s="1"/>
  <c r="AL11" i="18"/>
  <c r="AL25" i="18" s="1"/>
  <c r="AL9" i="18"/>
  <c r="AL23" i="18" s="1"/>
  <c r="AL8" i="18"/>
  <c r="AL19" i="18" s="1"/>
  <c r="AP30" i="18"/>
  <c r="K15" i="11"/>
  <c r="AY40" i="23"/>
  <c r="J25" i="11"/>
  <c r="J19" i="11"/>
  <c r="P33" i="23" s="1"/>
  <c r="AX30" i="23" s="1"/>
  <c r="J48" i="11"/>
  <c r="J49" i="11" s="1"/>
  <c r="P40" i="23"/>
  <c r="P43" i="23" s="1"/>
  <c r="AX38" i="23"/>
  <c r="AO24" i="18"/>
  <c r="AD45" i="16"/>
  <c r="AD44" i="16"/>
  <c r="AD59" i="16"/>
  <c r="Y28" i="27"/>
  <c r="J26" i="11"/>
  <c r="AO29" i="18"/>
  <c r="J16" i="11" s="1"/>
  <c r="P27" i="23" s="1"/>
  <c r="AA22" i="27"/>
  <c r="AN15" i="18"/>
  <c r="AW38" i="23" s="1"/>
  <c r="AM13" i="18"/>
  <c r="AM27" i="18" s="1"/>
  <c r="Z52" i="27"/>
  <c r="K38" i="11"/>
  <c r="K36" i="11"/>
  <c r="AO18" i="18"/>
  <c r="J27" i="11"/>
  <c r="AD57" i="16"/>
  <c r="AD56" i="16" s="1"/>
  <c r="Q163" i="9"/>
  <c r="AN17" i="18"/>
  <c r="AY32" i="18" s="1"/>
  <c r="Z29" i="27"/>
  <c r="AM12" i="18"/>
  <c r="AM26" i="18" s="1"/>
  <c r="Z22" i="27"/>
  <c r="AM15" i="18"/>
  <c r="H30" i="30"/>
  <c r="Q43" i="23"/>
  <c r="Q45" i="23"/>
  <c r="Q41" i="23"/>
  <c r="AD51" i="16"/>
  <c r="AD50" i="16" s="1"/>
  <c r="AD42" i="16"/>
  <c r="Y27" i="27"/>
  <c r="AD53" i="16"/>
  <c r="H22" i="30"/>
  <c r="AE43" i="16"/>
  <c r="H58" i="11" s="1"/>
  <c r="Y58" i="11" s="1"/>
  <c r="Z26" i="27"/>
  <c r="AN24" i="18"/>
  <c r="I25" i="11"/>
  <c r="AN16" i="18"/>
  <c r="AM16" i="18"/>
  <c r="AX31" i="18" s="1"/>
  <c r="S17" i="11" s="1"/>
  <c r="L14" i="11"/>
  <c r="R26" i="23"/>
  <c r="AN12" i="18"/>
  <c r="AN26" i="18" s="1"/>
  <c r="AW33" i="23" s="1"/>
  <c r="AA29" i="27"/>
  <c r="AM17" i="18"/>
  <c r="AX32" i="18" s="1"/>
  <c r="AM10" i="18"/>
  <c r="Z21" i="27"/>
  <c r="H29" i="30"/>
  <c r="BM122" i="9"/>
  <c r="AO16" i="9"/>
  <c r="E32" i="25" s="1"/>
  <c r="AE16" i="27"/>
  <c r="AK16" i="27"/>
  <c r="S72" i="11"/>
  <c r="Y46" i="23" s="1"/>
  <c r="H99" i="11"/>
  <c r="Y99" i="11" s="1"/>
  <c r="Y23" i="11"/>
  <c r="AC22" i="16"/>
  <c r="X45" i="27"/>
  <c r="AC21" i="16"/>
  <c r="AC29" i="16" s="1"/>
  <c r="X46" i="27"/>
  <c r="X47" i="27"/>
  <c r="H35" i="30"/>
  <c r="J13" i="30"/>
  <c r="W3" i="27"/>
  <c r="W5" i="27"/>
  <c r="W9" i="27"/>
  <c r="W4" i="27"/>
  <c r="W2" i="27"/>
  <c r="W6" i="27"/>
  <c r="W8" i="27"/>
  <c r="AH6" i="18"/>
  <c r="V6" i="19"/>
  <c r="Z6" i="24"/>
  <c r="Z9" i="16"/>
  <c r="H33" i="30"/>
  <c r="S101" i="11"/>
  <c r="Y89" i="23" s="1"/>
  <c r="BF13" i="23" s="1"/>
  <c r="S102" i="11"/>
  <c r="Y91" i="23" s="1"/>
  <c r="BF10" i="23" s="1"/>
  <c r="S104" i="11"/>
  <c r="Y90" i="23" s="1"/>
  <c r="BF9" i="23" s="1"/>
  <c r="S103" i="11"/>
  <c r="Y92" i="23" s="1"/>
  <c r="BF11" i="23" s="1"/>
  <c r="X30" i="27"/>
  <c r="X7" i="27"/>
  <c r="AB28" i="16"/>
  <c r="AB27" i="16"/>
  <c r="AB23" i="16"/>
  <c r="AB26" i="16"/>
  <c r="AB14" i="16"/>
  <c r="AB32" i="16"/>
  <c r="AB34" i="16" s="1"/>
  <c r="AB35" i="16" s="1"/>
  <c r="W14" i="27"/>
  <c r="AB13" i="16"/>
  <c r="W13" i="27"/>
  <c r="AB24" i="16"/>
  <c r="AB25" i="16"/>
  <c r="AB17" i="16"/>
  <c r="AB12" i="16"/>
  <c r="AB11" i="16" s="1"/>
  <c r="AB33" i="16"/>
  <c r="AG16" i="27"/>
  <c r="M74" i="11"/>
  <c r="S71" i="23" s="1"/>
  <c r="BA35" i="23" s="1"/>
  <c r="W24" i="11"/>
  <c r="X24" i="11"/>
  <c r="Z31" i="23"/>
  <c r="Y43" i="25"/>
  <c r="Y44" i="25" s="1"/>
  <c r="X46" i="25"/>
  <c r="X45" i="25"/>
  <c r="X48" i="25"/>
  <c r="X47" i="25"/>
  <c r="V1" i="27"/>
  <c r="Q183" i="9"/>
  <c r="Q31" i="9" s="1"/>
  <c r="AO31" i="9" s="1"/>
  <c r="T72" i="11"/>
  <c r="Z46" i="23" s="1"/>
  <c r="X20" i="27"/>
  <c r="X19" i="27"/>
  <c r="O87" i="11"/>
  <c r="U70" i="23" s="1"/>
  <c r="BC34" i="23" s="1"/>
  <c r="H32" i="30"/>
  <c r="X12" i="27"/>
  <c r="AC16" i="16"/>
  <c r="AC6" i="16"/>
  <c r="AC18" i="16"/>
  <c r="AC36" i="16" s="1"/>
  <c r="AI4" i="18"/>
  <c r="AI22" i="18"/>
  <c r="AI5" i="18"/>
  <c r="T104" i="11"/>
  <c r="Q180" i="9"/>
  <c r="T102" i="11"/>
  <c r="T101" i="11"/>
  <c r="T103" i="11"/>
  <c r="DY17" i="9"/>
  <c r="DU17" i="9"/>
  <c r="DX17" i="9"/>
  <c r="DT17" i="9"/>
  <c r="DW17" i="9"/>
  <c r="DS17" i="9"/>
  <c r="DE17" i="9"/>
  <c r="DA17" i="9"/>
  <c r="DH17" i="9" s="1"/>
  <c r="DV17" i="9"/>
  <c r="DD17" i="9"/>
  <c r="DG17" i="9"/>
  <c r="DC17" i="9"/>
  <c r="DF17" i="9"/>
  <c r="DB17" i="9"/>
  <c r="CX17" i="9"/>
  <c r="CR17" i="9"/>
  <c r="CK17" i="9"/>
  <c r="BI55" i="9" s="1"/>
  <c r="CI17" i="9"/>
  <c r="CP17" i="9" s="1"/>
  <c r="DM17" i="9"/>
  <c r="CU17" i="9"/>
  <c r="CT17" i="9"/>
  <c r="CS17" i="9"/>
  <c r="BH23" i="9" s="1"/>
  <c r="CN17" i="9"/>
  <c r="BL55" i="9" s="1"/>
  <c r="DK17" i="9"/>
  <c r="DL17" i="9"/>
  <c r="CV17" i="9"/>
  <c r="CJ17" i="9"/>
  <c r="BH55" i="9" s="1"/>
  <c r="CL17" i="9"/>
  <c r="BJ55" i="9" s="1"/>
  <c r="CW17" i="9"/>
  <c r="CM17" i="9"/>
  <c r="BK55" i="9" s="1"/>
  <c r="CO17" i="9"/>
  <c r="BM55" i="9" s="1"/>
  <c r="DJ17" i="9"/>
  <c r="DO17" i="9"/>
  <c r="DN17" i="9"/>
  <c r="DP17" i="9"/>
  <c r="X11" i="27"/>
  <c r="AC15" i="16"/>
  <c r="R24" i="11" s="1"/>
  <c r="X31" i="23" s="1"/>
  <c r="X10" i="27"/>
  <c r="AJ51" i="27"/>
  <c r="AJ31" i="27"/>
  <c r="AJ34" i="27"/>
  <c r="AJ33" i="27"/>
  <c r="AJ32" i="27"/>
  <c r="W24" i="27"/>
  <c r="AA39" i="16"/>
  <c r="AA5" i="24"/>
  <c r="AA4" i="24"/>
  <c r="AA63" i="16"/>
  <c r="AA3" i="24"/>
  <c r="AA7" i="16"/>
  <c r="AA48" i="16"/>
  <c r="AA8" i="16"/>
  <c r="X4" i="19"/>
  <c r="X7" i="19" s="1"/>
  <c r="AJ3" i="18"/>
  <c r="AJ7" i="18" s="1"/>
  <c r="AB5" i="16"/>
  <c r="AB10" i="16" s="1"/>
  <c r="AB40" i="16" s="1"/>
  <c r="AB49" i="16" s="1"/>
  <c r="AW28" i="23"/>
  <c r="AV8" i="23"/>
  <c r="O76" i="11"/>
  <c r="U73" i="23" s="1"/>
  <c r="O75" i="11"/>
  <c r="U72" i="23" s="1"/>
  <c r="S76" i="11"/>
  <c r="Y73" i="23" s="1"/>
  <c r="S75" i="11"/>
  <c r="Y72" i="23" s="1"/>
  <c r="M76" i="11"/>
  <c r="S73" i="23" s="1"/>
  <c r="M75" i="11"/>
  <c r="S72" i="23" s="1"/>
  <c r="I71" i="11"/>
  <c r="O67" i="23" s="1"/>
  <c r="AH16" i="27"/>
  <c r="AH50" i="27"/>
  <c r="K74" i="11"/>
  <c r="Q71" i="23" s="1"/>
  <c r="AY35" i="23" s="1"/>
  <c r="AC50" i="27"/>
  <c r="AD16" i="27"/>
  <c r="AD50" i="27"/>
  <c r="U49" i="25"/>
  <c r="X38" i="11"/>
  <c r="W38" i="11"/>
  <c r="J67" i="11"/>
  <c r="P69" i="23" s="1"/>
  <c r="BN86" i="9"/>
  <c r="BE86" i="9" s="1"/>
  <c r="AG17" i="24"/>
  <c r="AG18" i="24" s="1"/>
  <c r="AG13" i="24"/>
  <c r="AG27" i="24"/>
  <c r="AG30" i="24" s="1"/>
  <c r="AG31" i="24" s="1"/>
  <c r="AG24" i="24"/>
  <c r="BJ122" i="9"/>
  <c r="BH122" i="9"/>
  <c r="DZ16" i="9"/>
  <c r="BM87" i="9"/>
  <c r="BK122" i="9"/>
  <c r="BJ87" i="9"/>
  <c r="BJ22" i="9"/>
  <c r="BG54" i="9"/>
  <c r="BN54" i="9" s="1"/>
  <c r="BE54" i="9" s="1"/>
  <c r="AA15" i="27"/>
  <c r="AF8" i="24"/>
  <c r="AF12" i="24" s="1"/>
  <c r="AF15" i="24"/>
  <c r="AF21" i="24"/>
  <c r="AF16" i="24"/>
  <c r="AF11" i="24"/>
  <c r="AF10" i="24"/>
  <c r="BN21" i="9"/>
  <c r="BE21" i="9" s="1"/>
  <c r="BG122" i="9"/>
  <c r="BN122" i="9" s="1"/>
  <c r="BE122" i="9" s="1"/>
  <c r="CB19" i="9"/>
  <c r="CC18" i="9"/>
  <c r="CD18" i="9" s="1"/>
  <c r="CF18" i="9" s="1"/>
  <c r="AE33" i="24"/>
  <c r="AE34" i="24" s="1"/>
  <c r="BK87" i="9"/>
  <c r="BL22" i="9"/>
  <c r="BH22" i="9"/>
  <c r="BI22" i="9"/>
  <c r="BM22" i="9"/>
  <c r="BI122" i="9"/>
  <c r="DQ16" i="9"/>
  <c r="BG87" i="9"/>
  <c r="CY16" i="9"/>
  <c r="BG22" i="9"/>
  <c r="AF9" i="24"/>
  <c r="AF33" i="24"/>
  <c r="AF34" i="24" s="1"/>
  <c r="AF29" i="24"/>
  <c r="AF20" i="24"/>
  <c r="AF22" i="24" s="1"/>
  <c r="AF23" i="24" s="1"/>
  <c r="AF26" i="24"/>
  <c r="BF23" i="9"/>
  <c r="BF55" i="9"/>
  <c r="BF88" i="9"/>
  <c r="BF124" i="9"/>
  <c r="AB2" i="24"/>
  <c r="AB7" i="24" s="1"/>
  <c r="S86" i="11"/>
  <c r="BL87" i="9"/>
  <c r="BK22" i="9"/>
  <c r="ED11" i="9"/>
  <c r="AO149" i="9"/>
  <c r="AO146" i="9"/>
  <c r="AO17" i="9"/>
  <c r="E33" i="25" s="1"/>
  <c r="Q25" i="9"/>
  <c r="AO25" i="9" s="1"/>
  <c r="AO136" i="9"/>
  <c r="Q34" i="9"/>
  <c r="AO34" i="9" s="1"/>
  <c r="Q137" i="9"/>
  <c r="Q140" i="9"/>
  <c r="X73" i="11"/>
  <c r="W73" i="11"/>
  <c r="Z68" i="23"/>
  <c r="BB12" i="23"/>
  <c r="O86" i="11"/>
  <c r="R65" i="9"/>
  <c r="AP65" i="9" s="1"/>
  <c r="AP13" i="9"/>
  <c r="Z61" i="23"/>
  <c r="BH29" i="23" s="1"/>
  <c r="BI29" i="23" s="1"/>
  <c r="BJ29" i="23" s="1"/>
  <c r="W54" i="11"/>
  <c r="X54" i="11"/>
  <c r="X39" i="27"/>
  <c r="X37" i="27"/>
  <c r="X38" i="27"/>
  <c r="X36" i="27"/>
  <c r="Y11" i="19" l="1"/>
  <c r="X18" i="27"/>
  <c r="X10" i="19"/>
  <c r="X13" i="19"/>
  <c r="X8" i="19"/>
  <c r="X9" i="19"/>
  <c r="X17" i="27"/>
  <c r="Y12" i="19"/>
  <c r="AE8" i="24"/>
  <c r="AE12" i="24" s="1"/>
  <c r="AE13" i="24" s="1"/>
  <c r="BI123" i="9"/>
  <c r="Z15" i="27"/>
  <c r="P45" i="23"/>
  <c r="AE16" i="24"/>
  <c r="H67" i="11" s="1"/>
  <c r="Y67" i="11" s="1"/>
  <c r="P41" i="23"/>
  <c r="I48" i="11"/>
  <c r="I49" i="11" s="1"/>
  <c r="I38" i="11" s="1"/>
  <c r="I19" i="11"/>
  <c r="O33" i="23" s="1"/>
  <c r="AW30" i="23" s="1"/>
  <c r="AB60" i="16"/>
  <c r="AB58" i="16"/>
  <c r="AB54" i="16"/>
  <c r="AB52" i="16"/>
  <c r="O40" i="23"/>
  <c r="O43" i="23" s="1"/>
  <c r="BH123" i="9"/>
  <c r="K87" i="11"/>
  <c r="Q70" i="23" s="1"/>
  <c r="AY34" i="23" s="1"/>
  <c r="AC16" i="27"/>
  <c r="AC45" i="16"/>
  <c r="AC44" i="16"/>
  <c r="AX40" i="23"/>
  <c r="AX33" i="18"/>
  <c r="S18" i="11" s="1"/>
  <c r="Y29" i="23" s="1"/>
  <c r="AK23" i="27"/>
  <c r="S28" i="11" s="1"/>
  <c r="I15" i="11"/>
  <c r="AC57" i="16"/>
  <c r="AC56" i="16" s="1"/>
  <c r="X28" i="27"/>
  <c r="AC59" i="16"/>
  <c r="AL16" i="18"/>
  <c r="AW31" i="18" s="1"/>
  <c r="R17" i="11" s="1"/>
  <c r="X28" i="23" s="1"/>
  <c r="I26" i="11"/>
  <c r="AW40" i="23" s="1"/>
  <c r="AN29" i="18"/>
  <c r="I16" i="11" s="1"/>
  <c r="O27" i="23" s="1"/>
  <c r="AK8" i="18"/>
  <c r="AK19" i="18" s="1"/>
  <c r="AK9" i="18"/>
  <c r="AK23" i="18" s="1"/>
  <c r="AK14" i="18"/>
  <c r="AK28" i="18" s="1"/>
  <c r="AK11" i="18"/>
  <c r="AK25" i="18" s="1"/>
  <c r="J36" i="11"/>
  <c r="J38" i="11"/>
  <c r="K14" i="11"/>
  <c r="Q26" i="23"/>
  <c r="AL13" i="18"/>
  <c r="AL27" i="18" s="1"/>
  <c r="Y52" i="27"/>
  <c r="Y57" i="11"/>
  <c r="H54" i="11"/>
  <c r="Y54" i="11" s="1"/>
  <c r="H48" i="11"/>
  <c r="H19" i="11"/>
  <c r="Y19" i="11" s="1"/>
  <c r="H25" i="11"/>
  <c r="Y25" i="11" s="1"/>
  <c r="AM24" i="18"/>
  <c r="I31" i="30"/>
  <c r="I43" i="30" s="1"/>
  <c r="Q162" i="9"/>
  <c r="Q57" i="9" s="1"/>
  <c r="AO57" i="9" s="1"/>
  <c r="AL23" i="27"/>
  <c r="T28" i="11" s="1"/>
  <c r="X28" i="11" s="1"/>
  <c r="AC51" i="16"/>
  <c r="AC50" i="16" s="1"/>
  <c r="AO30" i="18"/>
  <c r="J15" i="11"/>
  <c r="Y29" i="27"/>
  <c r="AL12" i="18"/>
  <c r="AL26" i="18" s="1"/>
  <c r="AY7" i="23"/>
  <c r="AZ25" i="23"/>
  <c r="AM18" i="18"/>
  <c r="H27" i="11"/>
  <c r="Y27" i="11" s="1"/>
  <c r="H26" i="11"/>
  <c r="Y26" i="11" s="1"/>
  <c r="AM29" i="18"/>
  <c r="H16" i="11" s="1"/>
  <c r="Y16" i="11" s="1"/>
  <c r="X27" i="27"/>
  <c r="AC53" i="16"/>
  <c r="Y25" i="27"/>
  <c r="AD41" i="16"/>
  <c r="AD43" i="16"/>
  <c r="Y26" i="27"/>
  <c r="Y21" i="27"/>
  <c r="AL10" i="18"/>
  <c r="AL24" i="18" s="1"/>
  <c r="Y22" i="27"/>
  <c r="AL15" i="18"/>
  <c r="AL29" i="18" s="1"/>
  <c r="H44" i="30"/>
  <c r="H42" i="30"/>
  <c r="AN18" i="18"/>
  <c r="I27" i="11"/>
  <c r="AY31" i="18"/>
  <c r="AO163" i="9"/>
  <c r="R163" i="9"/>
  <c r="AC42" i="16"/>
  <c r="AL17" i="18"/>
  <c r="AW32" i="18" s="1"/>
  <c r="H45" i="30"/>
  <c r="BK88" i="9"/>
  <c r="BM123" i="9"/>
  <c r="BK23" i="9"/>
  <c r="BI88" i="9"/>
  <c r="L74" i="11"/>
  <c r="R71" i="23" s="1"/>
  <c r="AZ35" i="23" s="1"/>
  <c r="P87" i="11"/>
  <c r="V70" i="23" s="1"/>
  <c r="BD34" i="23" s="1"/>
  <c r="L87" i="11"/>
  <c r="R70" i="23" s="1"/>
  <c r="AZ34" i="23" s="1"/>
  <c r="P74" i="11"/>
  <c r="V71" i="23" s="1"/>
  <c r="BD35" i="23" s="1"/>
  <c r="Z8" i="16"/>
  <c r="Z7" i="16"/>
  <c r="Z4" i="24"/>
  <c r="Z3" i="24"/>
  <c r="Z39" i="16"/>
  <c r="Z63" i="16"/>
  <c r="Z5" i="24"/>
  <c r="Z48" i="16"/>
  <c r="AA28" i="16"/>
  <c r="AA25" i="16"/>
  <c r="AA24" i="16"/>
  <c r="AA13" i="16"/>
  <c r="AA33" i="16"/>
  <c r="V14" i="27"/>
  <c r="V13" i="27"/>
  <c r="AA14" i="16"/>
  <c r="AA26" i="16"/>
  <c r="AA12" i="16"/>
  <c r="AA11" i="16" s="1"/>
  <c r="AA27" i="16"/>
  <c r="AA23" i="16"/>
  <c r="AA32" i="16"/>
  <c r="AA34" i="16" s="1"/>
  <c r="AA35" i="16" s="1"/>
  <c r="AA17" i="16"/>
  <c r="X103" i="11"/>
  <c r="Z92" i="23"/>
  <c r="BG11" i="23" s="1"/>
  <c r="W103" i="11"/>
  <c r="Z90" i="23"/>
  <c r="BG9" i="23" s="1"/>
  <c r="W104" i="11"/>
  <c r="X104" i="11"/>
  <c r="AI51" i="27"/>
  <c r="AI31" i="27"/>
  <c r="AI34" i="27"/>
  <c r="AI33" i="27"/>
  <c r="AI32" i="27"/>
  <c r="AB22" i="16"/>
  <c r="W45" i="27"/>
  <c r="AB16" i="16"/>
  <c r="W12" i="27"/>
  <c r="U1" i="27"/>
  <c r="R72" i="11"/>
  <c r="X46" i="23" s="1"/>
  <c r="W101" i="11"/>
  <c r="X101" i="11"/>
  <c r="Z89" i="23"/>
  <c r="BG13" i="23" s="1"/>
  <c r="V4" i="27"/>
  <c r="V3" i="27"/>
  <c r="V2" i="27"/>
  <c r="V6" i="27"/>
  <c r="V5" i="27"/>
  <c r="V8" i="27"/>
  <c r="V9" i="27"/>
  <c r="Y45" i="25"/>
  <c r="Y48" i="25"/>
  <c r="Y46" i="25"/>
  <c r="Y47" i="25"/>
  <c r="AB15" i="16"/>
  <c r="Q24" i="11" s="1"/>
  <c r="W31" i="23" s="1"/>
  <c r="W10" i="27"/>
  <c r="W11" i="27"/>
  <c r="AH4" i="18"/>
  <c r="AH22" i="18"/>
  <c r="AH5" i="18"/>
  <c r="W7" i="27"/>
  <c r="W30" i="27"/>
  <c r="W20" i="27"/>
  <c r="W19" i="27"/>
  <c r="DV18" i="9"/>
  <c r="DY18" i="9"/>
  <c r="DU18" i="9"/>
  <c r="DX18" i="9"/>
  <c r="DT18" i="9"/>
  <c r="DS18" i="9"/>
  <c r="DF18" i="9"/>
  <c r="DB18" i="9"/>
  <c r="DE18" i="9"/>
  <c r="DA18" i="9"/>
  <c r="DH18" i="9" s="1"/>
  <c r="DD18" i="9"/>
  <c r="DC18" i="9"/>
  <c r="DW18" i="9"/>
  <c r="DG18" i="9"/>
  <c r="CW18" i="9"/>
  <c r="CR18" i="9"/>
  <c r="CL18" i="9"/>
  <c r="BJ56" i="9" s="1"/>
  <c r="CO18" i="9"/>
  <c r="BM56" i="9" s="1"/>
  <c r="CI18" i="9"/>
  <c r="CP18" i="9" s="1"/>
  <c r="CN18" i="9"/>
  <c r="BL56" i="9" s="1"/>
  <c r="DK18" i="9"/>
  <c r="CX18" i="9"/>
  <c r="CJ18" i="9"/>
  <c r="BH56" i="9" s="1"/>
  <c r="DJ18" i="9"/>
  <c r="DL18" i="9"/>
  <c r="DO18" i="9"/>
  <c r="DM18" i="9"/>
  <c r="CM18" i="9"/>
  <c r="BK56" i="9" s="1"/>
  <c r="CS18" i="9"/>
  <c r="CV18" i="9"/>
  <c r="CT18" i="9"/>
  <c r="DN18" i="9"/>
  <c r="CU18" i="9"/>
  <c r="DP18" i="9"/>
  <c r="CK18" i="9"/>
  <c r="BI56" i="9" s="1"/>
  <c r="R101" i="11"/>
  <c r="X89" i="23" s="1"/>
  <c r="BE13" i="23" s="1"/>
  <c r="R104" i="11"/>
  <c r="X90" i="23" s="1"/>
  <c r="BE9" i="23" s="1"/>
  <c r="R103" i="11"/>
  <c r="X92" i="23" s="1"/>
  <c r="BE11" i="23" s="1"/>
  <c r="R102" i="11"/>
  <c r="X91" i="23" s="1"/>
  <c r="BE10" i="23" s="1"/>
  <c r="Z91" i="23"/>
  <c r="BG10" i="23" s="1"/>
  <c r="X102" i="11"/>
  <c r="W102" i="11"/>
  <c r="W4" i="19"/>
  <c r="W7" i="19" s="1"/>
  <c r="AA5" i="16"/>
  <c r="AA10" i="16" s="1"/>
  <c r="AA40" i="16" s="1"/>
  <c r="AA49" i="16" s="1"/>
  <c r="AI3" i="18"/>
  <c r="AI7" i="18" s="1"/>
  <c r="V24" i="27"/>
  <c r="AB6" i="16"/>
  <c r="AB18" i="16"/>
  <c r="AB36" i="16" s="1"/>
  <c r="W46" i="27"/>
  <c r="AB21" i="16"/>
  <c r="AB29" i="16" s="1"/>
  <c r="W47" i="27"/>
  <c r="Y6" i="24"/>
  <c r="AG6" i="18"/>
  <c r="Y9" i="16"/>
  <c r="U6" i="19"/>
  <c r="L76" i="11"/>
  <c r="R73" i="23" s="1"/>
  <c r="L75" i="11"/>
  <c r="R72" i="23" s="1"/>
  <c r="K76" i="11"/>
  <c r="Q73" i="23" s="1"/>
  <c r="K75" i="11"/>
  <c r="Q72" i="23" s="1"/>
  <c r="P76" i="11"/>
  <c r="V73" i="23" s="1"/>
  <c r="P75" i="11"/>
  <c r="V72" i="23" s="1"/>
  <c r="N74" i="11"/>
  <c r="T71" i="23" s="1"/>
  <c r="BB35" i="23" s="1"/>
  <c r="AF50" i="27"/>
  <c r="AB50" i="27"/>
  <c r="R74" i="11"/>
  <c r="X71" i="23" s="1"/>
  <c r="BF35" i="23" s="1"/>
  <c r="AJ50" i="27"/>
  <c r="AI16" i="27"/>
  <c r="AI50" i="27"/>
  <c r="AL16" i="27"/>
  <c r="AL50" i="27"/>
  <c r="BK123" i="9"/>
  <c r="V49" i="25"/>
  <c r="W49" i="25"/>
  <c r="BJ123" i="9"/>
  <c r="BN87" i="9"/>
  <c r="BE87" i="9" s="1"/>
  <c r="BM23" i="9"/>
  <c r="BJ88" i="9"/>
  <c r="BH88" i="9"/>
  <c r="BH124" i="9" s="1"/>
  <c r="BG55" i="9"/>
  <c r="BN55" i="9" s="1"/>
  <c r="BE55" i="9" s="1"/>
  <c r="DQ17" i="9"/>
  <c r="BG88" i="9"/>
  <c r="AF24" i="24"/>
  <c r="AF27" i="24"/>
  <c r="AF30" i="24" s="1"/>
  <c r="AF31" i="24" s="1"/>
  <c r="AE27" i="24"/>
  <c r="AE30" i="24" s="1"/>
  <c r="AE31" i="24" s="1"/>
  <c r="CC19" i="9"/>
  <c r="CD19" i="9" s="1"/>
  <c r="CF19" i="9" s="1"/>
  <c r="CB20" i="9"/>
  <c r="AF17" i="24"/>
  <c r="AF18" i="24" s="1"/>
  <c r="AF13" i="24"/>
  <c r="BL23" i="9"/>
  <c r="BL123" i="9"/>
  <c r="Y48" i="27"/>
  <c r="AE17" i="24"/>
  <c r="AE18" i="24" s="1"/>
  <c r="AA2" i="24"/>
  <c r="AA7" i="24" s="1"/>
  <c r="Y28" i="23"/>
  <c r="BG23" i="9"/>
  <c r="CY17" i="9"/>
  <c r="BN22" i="9"/>
  <c r="BE22" i="9" s="1"/>
  <c r="BG123" i="9"/>
  <c r="BN123" i="9" s="1"/>
  <c r="BE123" i="9" s="1"/>
  <c r="BF89" i="9"/>
  <c r="BF56" i="9"/>
  <c r="BF24" i="9"/>
  <c r="BF125" i="9"/>
  <c r="BF12" i="23"/>
  <c r="BL88" i="9"/>
  <c r="BI23" i="9"/>
  <c r="DZ17" i="9"/>
  <c r="BJ23" i="9"/>
  <c r="BM88" i="9"/>
  <c r="I67" i="11"/>
  <c r="O69" i="23" s="1"/>
  <c r="AO140" i="9"/>
  <c r="AO137" i="9"/>
  <c r="AX12" i="23"/>
  <c r="K86" i="11"/>
  <c r="R86" i="11"/>
  <c r="BE12" i="23"/>
  <c r="N86" i="11"/>
  <c r="BA12" i="23"/>
  <c r="P86" i="11"/>
  <c r="BC12" i="23"/>
  <c r="AZ12" i="23"/>
  <c r="M86" i="11"/>
  <c r="W36" i="27"/>
  <c r="W38" i="27"/>
  <c r="W39" i="27"/>
  <c r="W37" i="27"/>
  <c r="AE24" i="24" l="1"/>
  <c r="O41" i="23"/>
  <c r="W17" i="27"/>
  <c r="X12" i="19"/>
  <c r="W10" i="19"/>
  <c r="W13" i="19"/>
  <c r="W9" i="19"/>
  <c r="W8" i="19"/>
  <c r="W18" i="27"/>
  <c r="X11" i="19"/>
  <c r="BL124" i="9"/>
  <c r="O45" i="23"/>
  <c r="I36" i="11"/>
  <c r="AA58" i="16"/>
  <c r="AA60" i="16"/>
  <c r="AA54" i="16"/>
  <c r="AA52" i="16"/>
  <c r="AL30" i="18"/>
  <c r="AB16" i="27"/>
  <c r="Q74" i="11"/>
  <c r="W71" i="23" s="1"/>
  <c r="BE35" i="23" s="1"/>
  <c r="T87" i="11"/>
  <c r="Z70" i="23" s="1"/>
  <c r="BH34" i="23" s="1"/>
  <c r="BI34" i="23" s="1"/>
  <c r="BJ34" i="23" s="1"/>
  <c r="AF16" i="27"/>
  <c r="T74" i="11"/>
  <c r="W74" i="11" s="1"/>
  <c r="AJ16" i="27"/>
  <c r="R87" i="11"/>
  <c r="X70" i="23" s="1"/>
  <c r="BF34" i="23" s="1"/>
  <c r="N87" i="11"/>
  <c r="T70" i="23" s="1"/>
  <c r="BB34" i="23" s="1"/>
  <c r="W26" i="27"/>
  <c r="Q54" i="9"/>
  <c r="AO54" i="9" s="1"/>
  <c r="E30" i="25" s="1"/>
  <c r="BK124" i="9"/>
  <c r="BK89" i="9"/>
  <c r="AW33" i="18"/>
  <c r="R18" i="11" s="1"/>
  <c r="X29" i="23" s="1"/>
  <c r="AN30" i="18"/>
  <c r="AY33" i="18"/>
  <c r="T18" i="11" s="1"/>
  <c r="T17" i="11"/>
  <c r="H15" i="11"/>
  <c r="AM30" i="18"/>
  <c r="AL18" i="18"/>
  <c r="AC41" i="16"/>
  <c r="X25" i="27"/>
  <c r="AP163" i="9"/>
  <c r="P26" i="23"/>
  <c r="J14" i="11"/>
  <c r="AX7" i="23"/>
  <c r="AY25" i="23"/>
  <c r="AB42" i="16"/>
  <c r="AK13" i="18"/>
  <c r="AK27" i="18" s="1"/>
  <c r="X52" i="27"/>
  <c r="X22" i="27"/>
  <c r="AK15" i="18"/>
  <c r="AK29" i="18" s="1"/>
  <c r="AJ23" i="27"/>
  <c r="R28" i="11" s="1"/>
  <c r="AO162" i="9"/>
  <c r="R162" i="9"/>
  <c r="R57" i="9" s="1"/>
  <c r="AP57" i="9" s="1"/>
  <c r="Q164" i="9"/>
  <c r="Q56" i="9"/>
  <c r="AO56" i="9" s="1"/>
  <c r="ED3" i="9" s="1"/>
  <c r="ED9" i="9" s="1"/>
  <c r="AB44" i="16"/>
  <c r="AB45" i="16"/>
  <c r="AB51" i="16"/>
  <c r="AB50" i="16" s="1"/>
  <c r="AB57" i="16"/>
  <c r="AB56" i="16" s="1"/>
  <c r="AK10" i="18"/>
  <c r="AK24" i="18" s="1"/>
  <c r="X21" i="27"/>
  <c r="I14" i="11"/>
  <c r="O26" i="23"/>
  <c r="W28" i="11"/>
  <c r="AJ11" i="18"/>
  <c r="AJ25" i="18" s="1"/>
  <c r="AJ14" i="18"/>
  <c r="AJ28" i="18" s="1"/>
  <c r="AJ8" i="18"/>
  <c r="AJ19" i="18" s="1"/>
  <c r="AJ9" i="18"/>
  <c r="AJ23" i="18" s="1"/>
  <c r="AK16" i="18"/>
  <c r="AC43" i="16"/>
  <c r="X26" i="27"/>
  <c r="H49" i="11"/>
  <c r="Y48" i="11"/>
  <c r="W28" i="27"/>
  <c r="AB59" i="16"/>
  <c r="W27" i="27"/>
  <c r="AB53" i="16"/>
  <c r="AK17" i="18"/>
  <c r="AV32" i="18" s="1"/>
  <c r="AK12" i="18"/>
  <c r="AK26" i="18" s="1"/>
  <c r="X29" i="27"/>
  <c r="BI124" i="9"/>
  <c r="Q72" i="11"/>
  <c r="W46" i="23" s="1"/>
  <c r="J87" i="11"/>
  <c r="P70" i="23" s="1"/>
  <c r="AX34" i="23" s="1"/>
  <c r="Q87" i="11"/>
  <c r="W70" i="23" s="1"/>
  <c r="BE34" i="23" s="1"/>
  <c r="BJ124" i="9"/>
  <c r="J74" i="11"/>
  <c r="P71" i="23" s="1"/>
  <c r="AX35" i="23" s="1"/>
  <c r="V4" i="19"/>
  <c r="V7" i="19" s="1"/>
  <c r="AH3" i="18"/>
  <c r="AH7" i="18" s="1"/>
  <c r="Z5" i="16"/>
  <c r="Z10" i="16" s="1"/>
  <c r="Z40" i="16" s="1"/>
  <c r="Z49" i="16" s="1"/>
  <c r="V45" i="27"/>
  <c r="AA22" i="16"/>
  <c r="Y8" i="16"/>
  <c r="Y7" i="16"/>
  <c r="Y48" i="16"/>
  <c r="Y63" i="16"/>
  <c r="Y39" i="16"/>
  <c r="Y3" i="24"/>
  <c r="Y4" i="24"/>
  <c r="Y5" i="24"/>
  <c r="AG4" i="18"/>
  <c r="AG22" i="18"/>
  <c r="AG5" i="18"/>
  <c r="U6" i="27"/>
  <c r="U3" i="27"/>
  <c r="U4" i="27"/>
  <c r="U8" i="27"/>
  <c r="U2" i="27"/>
  <c r="U9" i="27"/>
  <c r="U5" i="27"/>
  <c r="Q102" i="11"/>
  <c r="W91" i="23" s="1"/>
  <c r="BD10" i="23" s="1"/>
  <c r="Q103" i="11"/>
  <c r="W92" i="23" s="1"/>
  <c r="BD11" i="23" s="1"/>
  <c r="Q104" i="11"/>
  <c r="W90" i="23" s="1"/>
  <c r="BD9" i="23" s="1"/>
  <c r="Q101" i="11"/>
  <c r="W89" i="23" s="1"/>
  <c r="BD13" i="23" s="1"/>
  <c r="V10" i="27"/>
  <c r="AA15" i="16"/>
  <c r="P24" i="11" s="1"/>
  <c r="V31" i="23" s="1"/>
  <c r="V11" i="27"/>
  <c r="V47" i="27"/>
  <c r="AA21" i="16"/>
  <c r="AA29" i="16" s="1"/>
  <c r="V46" i="27"/>
  <c r="DW19" i="9"/>
  <c r="DS19" i="9"/>
  <c r="DV19" i="9"/>
  <c r="DY19" i="9"/>
  <c r="DU19" i="9"/>
  <c r="DG19" i="9"/>
  <c r="DC19" i="9"/>
  <c r="DX19" i="9"/>
  <c r="DF19" i="9"/>
  <c r="DB19" i="9"/>
  <c r="DT19" i="9"/>
  <c r="DE19" i="9"/>
  <c r="DA19" i="9"/>
  <c r="DH19" i="9" s="1"/>
  <c r="DD19" i="9"/>
  <c r="CS19" i="9"/>
  <c r="DK19" i="9"/>
  <c r="CV19" i="9"/>
  <c r="CO19" i="9"/>
  <c r="BM57" i="9" s="1"/>
  <c r="CI19" i="9"/>
  <c r="CP19" i="9" s="1"/>
  <c r="DN19" i="9"/>
  <c r="CK19" i="9"/>
  <c r="BI57" i="9" s="1"/>
  <c r="CX19" i="9"/>
  <c r="CW19" i="9"/>
  <c r="CM19" i="9"/>
  <c r="BK57" i="9" s="1"/>
  <c r="DJ19" i="9"/>
  <c r="CR19" i="9"/>
  <c r="CJ19" i="9"/>
  <c r="BH57" i="9" s="1"/>
  <c r="CL19" i="9"/>
  <c r="BJ57" i="9" s="1"/>
  <c r="DL19" i="9"/>
  <c r="CU19" i="9"/>
  <c r="CT19" i="9"/>
  <c r="CN19" i="9"/>
  <c r="BL57" i="9" s="1"/>
  <c r="DM19" i="9"/>
  <c r="DP19" i="9"/>
  <c r="DO19" i="9"/>
  <c r="T1" i="27"/>
  <c r="V7" i="27"/>
  <c r="V30" i="27"/>
  <c r="U24" i="27"/>
  <c r="AA6" i="16"/>
  <c r="AA18" i="16"/>
  <c r="AA36" i="16" s="1"/>
  <c r="AH51" i="27"/>
  <c r="AH31" i="27"/>
  <c r="AH32" i="27"/>
  <c r="AH34" i="27"/>
  <c r="AH33" i="27"/>
  <c r="AA16" i="16"/>
  <c r="V12" i="27"/>
  <c r="AV31" i="18"/>
  <c r="Q17" i="11" s="1"/>
  <c r="W28" i="23" s="1"/>
  <c r="X6" i="24"/>
  <c r="T6" i="19"/>
  <c r="X9" i="16"/>
  <c r="AF6" i="18"/>
  <c r="Z28" i="16"/>
  <c r="U13" i="27"/>
  <c r="Z26" i="16"/>
  <c r="Z27" i="16"/>
  <c r="Z33" i="16"/>
  <c r="Z32" i="16"/>
  <c r="Z34" i="16" s="1"/>
  <c r="Z35" i="16" s="1"/>
  <c r="Z14" i="16"/>
  <c r="Z24" i="16"/>
  <c r="Z23" i="16"/>
  <c r="Z17" i="16"/>
  <c r="Z13" i="16"/>
  <c r="Z25" i="16"/>
  <c r="Z12" i="16"/>
  <c r="Z11" i="16" s="1"/>
  <c r="U14" i="27"/>
  <c r="V20" i="27"/>
  <c r="V19" i="27"/>
  <c r="T76" i="11"/>
  <c r="T75" i="11"/>
  <c r="Q76" i="11"/>
  <c r="W73" i="23" s="1"/>
  <c r="Q75" i="11"/>
  <c r="W72" i="23" s="1"/>
  <c r="R76" i="11"/>
  <c r="X73" i="23" s="1"/>
  <c r="R75" i="11"/>
  <c r="X72" i="23" s="1"/>
  <c r="J76" i="11"/>
  <c r="P73" i="23" s="1"/>
  <c r="J75" i="11"/>
  <c r="P72" i="23" s="1"/>
  <c r="N76" i="11"/>
  <c r="T73" i="23" s="1"/>
  <c r="N75" i="11"/>
  <c r="T72" i="23" s="1"/>
  <c r="BM24" i="9"/>
  <c r="BL24" i="9"/>
  <c r="BM124" i="9"/>
  <c r="BI24" i="9"/>
  <c r="BN88" i="9"/>
  <c r="BE88" i="9" s="1"/>
  <c r="BJ24" i="9"/>
  <c r="BH89" i="9"/>
  <c r="BH24" i="9"/>
  <c r="BL89" i="9"/>
  <c r="AD9" i="24"/>
  <c r="AD26" i="24"/>
  <c r="AD21" i="24"/>
  <c r="AD20" i="24"/>
  <c r="AD22" i="24" s="1"/>
  <c r="AD23" i="24" s="1"/>
  <c r="AD11" i="24"/>
  <c r="AD29" i="24"/>
  <c r="I73" i="11"/>
  <c r="O68" i="23" s="1"/>
  <c r="CB21" i="9"/>
  <c r="CC20" i="9"/>
  <c r="CD20" i="9" s="1"/>
  <c r="CF20" i="9" s="1"/>
  <c r="Z2" i="24"/>
  <c r="Z7" i="24" s="1"/>
  <c r="BG56" i="9"/>
  <c r="BN56" i="9" s="1"/>
  <c r="BE56" i="9" s="1"/>
  <c r="X48" i="27"/>
  <c r="H73" i="11"/>
  <c r="Y73" i="11" s="1"/>
  <c r="BG24" i="9"/>
  <c r="CY18" i="9"/>
  <c r="DQ18" i="9"/>
  <c r="BG89" i="9"/>
  <c r="BE6" i="23"/>
  <c r="BF26" i="23"/>
  <c r="BF32" i="23"/>
  <c r="BN23" i="9"/>
  <c r="BE23" i="9" s="1"/>
  <c r="BG124" i="9"/>
  <c r="BN124" i="9" s="1"/>
  <c r="BE124" i="9" s="1"/>
  <c r="BF6" i="23"/>
  <c r="BG26" i="23"/>
  <c r="BG32" i="23"/>
  <c r="AD15" i="24"/>
  <c r="AD10" i="24"/>
  <c r="AD8" i="24"/>
  <c r="AD12" i="24" s="1"/>
  <c r="Y15" i="27"/>
  <c r="AD33" i="24"/>
  <c r="AD34" i="24" s="1"/>
  <c r="AD16" i="24"/>
  <c r="BF25" i="9"/>
  <c r="BF126" i="9"/>
  <c r="BF57" i="9"/>
  <c r="BF90" i="9"/>
  <c r="BI89" i="9"/>
  <c r="DZ18" i="9"/>
  <c r="BJ89" i="9"/>
  <c r="BK24" i="9"/>
  <c r="BM89" i="9"/>
  <c r="BD12" i="23"/>
  <c r="Q86" i="11"/>
  <c r="BG12" i="23"/>
  <c r="T86" i="11"/>
  <c r="AY12" i="23"/>
  <c r="L86" i="11"/>
  <c r="AW12" i="23"/>
  <c r="J86" i="11"/>
  <c r="V39" i="27"/>
  <c r="V37" i="27"/>
  <c r="V38" i="27"/>
  <c r="V36" i="27"/>
  <c r="V17" i="27" l="1"/>
  <c r="W12" i="19"/>
  <c r="V18" i="27"/>
  <c r="W11" i="19"/>
  <c r="V10" i="19"/>
  <c r="V9" i="19"/>
  <c r="V13" i="19"/>
  <c r="V8" i="19"/>
  <c r="X74" i="11"/>
  <c r="AB43" i="16"/>
  <c r="Z54" i="16"/>
  <c r="Z58" i="16"/>
  <c r="Z52" i="16"/>
  <c r="Z60" i="16"/>
  <c r="X87" i="11"/>
  <c r="Z71" i="23"/>
  <c r="BH35" i="23" s="1"/>
  <c r="BI35" i="23" s="1"/>
  <c r="BJ35" i="23" s="1"/>
  <c r="W87" i="11"/>
  <c r="BK125" i="9"/>
  <c r="BK25" i="9"/>
  <c r="BJ125" i="9"/>
  <c r="AK30" i="18"/>
  <c r="AK18" i="18"/>
  <c r="Z28" i="23"/>
  <c r="W17" i="11"/>
  <c r="X17" i="11"/>
  <c r="AI23" i="27"/>
  <c r="Q28" i="11" s="1"/>
  <c r="AA44" i="16"/>
  <c r="AA45" i="16"/>
  <c r="AA42" i="16"/>
  <c r="W29" i="27"/>
  <c r="AJ12" i="18"/>
  <c r="AJ26" i="18" s="1"/>
  <c r="AV7" i="23"/>
  <c r="AW25" i="23"/>
  <c r="AI11" i="18"/>
  <c r="AI25" i="18" s="1"/>
  <c r="AI9" i="18"/>
  <c r="AI23" i="18" s="1"/>
  <c r="AI8" i="18"/>
  <c r="AI19" i="18" s="1"/>
  <c r="AI14" i="18"/>
  <c r="AI28" i="18" s="1"/>
  <c r="Y15" i="11"/>
  <c r="H14" i="11"/>
  <c r="Y14" i="11" s="1"/>
  <c r="Z29" i="23"/>
  <c r="X18" i="11"/>
  <c r="W18" i="11"/>
  <c r="AV33" i="18"/>
  <c r="Q18" i="11" s="1"/>
  <c r="W29" i="23" s="1"/>
  <c r="H38" i="11"/>
  <c r="Y38" i="11" s="1"/>
  <c r="Y49" i="11"/>
  <c r="H36" i="11"/>
  <c r="Y36" i="11" s="1"/>
  <c r="AA57" i="16"/>
  <c r="AA56" i="16" s="1"/>
  <c r="AJ16" i="18"/>
  <c r="AJ10" i="18"/>
  <c r="AJ24" i="18" s="1"/>
  <c r="W21" i="27"/>
  <c r="AO164" i="9"/>
  <c r="R164" i="9"/>
  <c r="AP164" i="9" s="1"/>
  <c r="AW7" i="23"/>
  <c r="AX25" i="23"/>
  <c r="AB41" i="16"/>
  <c r="W25" i="27"/>
  <c r="V27" i="27"/>
  <c r="AA53" i="16"/>
  <c r="AA51" i="16"/>
  <c r="AA50" i="16" s="1"/>
  <c r="V28" i="27"/>
  <c r="AA59" i="16"/>
  <c r="W52" i="27"/>
  <c r="AJ13" i="18"/>
  <c r="AJ27" i="18" s="1"/>
  <c r="W22" i="27"/>
  <c r="AJ15" i="18"/>
  <c r="AJ29" i="18" s="1"/>
  <c r="AJ17" i="18"/>
  <c r="AU32" i="18" s="1"/>
  <c r="R56" i="9"/>
  <c r="AP56" i="9" s="1"/>
  <c r="AP162" i="9"/>
  <c r="R54" i="9"/>
  <c r="AP54" i="9" s="1"/>
  <c r="BH125" i="9"/>
  <c r="BH90" i="9"/>
  <c r="BL90" i="9"/>
  <c r="BM125" i="9"/>
  <c r="P72" i="11"/>
  <c r="V46" i="23" s="1"/>
  <c r="BI125" i="9"/>
  <c r="P104" i="11"/>
  <c r="V90" i="23" s="1"/>
  <c r="BC9" i="23" s="1"/>
  <c r="P103" i="11"/>
  <c r="V92" i="23" s="1"/>
  <c r="BC11" i="23" s="1"/>
  <c r="P101" i="11"/>
  <c r="V89" i="23" s="1"/>
  <c r="BC13" i="23" s="1"/>
  <c r="P102" i="11"/>
  <c r="V91" i="23" s="1"/>
  <c r="BC10" i="23" s="1"/>
  <c r="U11" i="27"/>
  <c r="Z15" i="16"/>
  <c r="O24" i="11" s="1"/>
  <c r="U31" i="23" s="1"/>
  <c r="U10" i="27"/>
  <c r="AE6" i="18"/>
  <c r="W6" i="24"/>
  <c r="W9" i="16"/>
  <c r="S6" i="19"/>
  <c r="T5" i="27"/>
  <c r="T8" i="27"/>
  <c r="T2" i="27"/>
  <c r="T9" i="27"/>
  <c r="T4" i="27"/>
  <c r="T3" i="27"/>
  <c r="T6" i="27"/>
  <c r="U7" i="27"/>
  <c r="U30" i="27"/>
  <c r="U19" i="27"/>
  <c r="U20" i="27"/>
  <c r="AG51" i="27"/>
  <c r="AG32" i="27"/>
  <c r="AG31" i="27"/>
  <c r="AG34" i="27"/>
  <c r="AG33" i="27"/>
  <c r="Y32" i="16"/>
  <c r="Y34" i="16" s="1"/>
  <c r="Y35" i="16" s="1"/>
  <c r="Y33" i="16"/>
  <c r="Y13" i="16"/>
  <c r="Y23" i="16"/>
  <c r="Y17" i="16"/>
  <c r="Y14" i="16"/>
  <c r="Y24" i="16"/>
  <c r="T14" i="27"/>
  <c r="Y28" i="16"/>
  <c r="Y27" i="16"/>
  <c r="T13" i="27"/>
  <c r="Y26" i="16"/>
  <c r="Y12" i="16"/>
  <c r="Y11" i="16" s="1"/>
  <c r="Y25" i="16"/>
  <c r="AF5" i="18"/>
  <c r="AF22" i="18"/>
  <c r="AF4" i="18"/>
  <c r="Y5" i="16"/>
  <c r="Y10" i="16" s="1"/>
  <c r="Y40" i="16" s="1"/>
  <c r="Y49" i="16" s="1"/>
  <c r="U4" i="19"/>
  <c r="U7" i="19" s="1"/>
  <c r="AG3" i="18"/>
  <c r="AG7" i="18" s="1"/>
  <c r="U12" i="27"/>
  <c r="Z16" i="16"/>
  <c r="T24" i="27"/>
  <c r="DX20" i="9"/>
  <c r="DT20" i="9"/>
  <c r="DW20" i="9"/>
  <c r="DS20" i="9"/>
  <c r="DV20" i="9"/>
  <c r="DU20" i="9"/>
  <c r="DD20" i="9"/>
  <c r="DG20" i="9"/>
  <c r="DC20" i="9"/>
  <c r="DF20" i="9"/>
  <c r="DB20" i="9"/>
  <c r="DY20" i="9"/>
  <c r="DE20" i="9"/>
  <c r="DA20" i="9"/>
  <c r="DH20" i="9" s="1"/>
  <c r="CV20" i="9"/>
  <c r="CR20" i="9"/>
  <c r="DO20" i="9"/>
  <c r="BL91" i="9" s="1"/>
  <c r="CW20" i="9"/>
  <c r="CU20" i="9"/>
  <c r="CT20" i="9"/>
  <c r="CK20" i="9"/>
  <c r="BI58" i="9" s="1"/>
  <c r="CM20" i="9"/>
  <c r="BK58" i="9" s="1"/>
  <c r="DN20" i="9"/>
  <c r="DL20" i="9"/>
  <c r="CS20" i="9"/>
  <c r="CL20" i="9"/>
  <c r="BJ58" i="9" s="1"/>
  <c r="CN20" i="9"/>
  <c r="BL58" i="9" s="1"/>
  <c r="DJ20" i="9"/>
  <c r="DM20" i="9"/>
  <c r="CI20" i="9"/>
  <c r="CP20" i="9" s="1"/>
  <c r="CO20" i="9"/>
  <c r="BM58" i="9" s="1"/>
  <c r="DK20" i="9"/>
  <c r="DP20" i="9"/>
  <c r="CX20" i="9"/>
  <c r="CJ20" i="9"/>
  <c r="BH58" i="9" s="1"/>
  <c r="Z6" i="16"/>
  <c r="Z18" i="16"/>
  <c r="Z36" i="16" s="1"/>
  <c r="U47" i="27"/>
  <c r="U46" i="27"/>
  <c r="Z21" i="16"/>
  <c r="Z29" i="16" s="1"/>
  <c r="Z22" i="16"/>
  <c r="U45" i="27"/>
  <c r="X48" i="16"/>
  <c r="X4" i="24"/>
  <c r="X63" i="16"/>
  <c r="X7" i="16"/>
  <c r="X39" i="16"/>
  <c r="X5" i="24"/>
  <c r="X3" i="24"/>
  <c r="X8" i="16"/>
  <c r="S1" i="27"/>
  <c r="BL125" i="9"/>
  <c r="H74" i="11"/>
  <c r="Y74" i="11" s="1"/>
  <c r="Z50" i="27"/>
  <c r="I87" i="11"/>
  <c r="O70" i="23" s="1"/>
  <c r="AW34" i="23" s="1"/>
  <c r="AA50" i="27"/>
  <c r="X49" i="25"/>
  <c r="Y49" i="25"/>
  <c r="BL25" i="9"/>
  <c r="BN89" i="9"/>
  <c r="BE89" i="9" s="1"/>
  <c r="BJ90" i="9"/>
  <c r="BJ25" i="9"/>
  <c r="BI90" i="9"/>
  <c r="BM25" i="9"/>
  <c r="CY19" i="9"/>
  <c r="BG25" i="9"/>
  <c r="AD13" i="24"/>
  <c r="AD17" i="24"/>
  <c r="AD18" i="24" s="1"/>
  <c r="BG125" i="9"/>
  <c r="BN125" i="9" s="1"/>
  <c r="BE125" i="9" s="1"/>
  <c r="BN24" i="9"/>
  <c r="BE24" i="9" s="1"/>
  <c r="AC26" i="24"/>
  <c r="AC11" i="24"/>
  <c r="AC10" i="24"/>
  <c r="AC8" i="24"/>
  <c r="AC12" i="24" s="1"/>
  <c r="X15" i="27"/>
  <c r="AC15" i="24"/>
  <c r="AC21" i="24"/>
  <c r="BF58" i="9"/>
  <c r="BF91" i="9"/>
  <c r="BF127" i="9"/>
  <c r="BF26" i="9"/>
  <c r="AD24" i="24"/>
  <c r="AD27" i="24"/>
  <c r="AD30" i="24" s="1"/>
  <c r="AD31" i="24" s="1"/>
  <c r="BM90" i="9"/>
  <c r="BK90" i="9"/>
  <c r="DZ19" i="9"/>
  <c r="DQ19" i="9"/>
  <c r="BG90" i="9"/>
  <c r="BG57" i="9"/>
  <c r="BN57" i="9" s="1"/>
  <c r="BE57" i="9" s="1"/>
  <c r="AC16" i="24"/>
  <c r="AC29" i="24"/>
  <c r="AC20" i="24"/>
  <c r="AC22" i="24" s="1"/>
  <c r="AC23" i="24" s="1"/>
  <c r="AC33" i="24"/>
  <c r="AC34" i="24" s="1"/>
  <c r="AC9" i="24"/>
  <c r="BD6" i="23"/>
  <c r="BE26" i="23"/>
  <c r="BE32" i="23"/>
  <c r="W48" i="27"/>
  <c r="Y2" i="24"/>
  <c r="Y7" i="24" s="1"/>
  <c r="CC21" i="9"/>
  <c r="CD21" i="9" s="1"/>
  <c r="CF21" i="9" s="1"/>
  <c r="CB22" i="9"/>
  <c r="BH25" i="9"/>
  <c r="BI25" i="9"/>
  <c r="X86" i="11"/>
  <c r="W86" i="11"/>
  <c r="X76" i="11"/>
  <c r="Z73" i="23"/>
  <c r="W76" i="11"/>
  <c r="X75" i="11"/>
  <c r="Z72" i="23"/>
  <c r="W75" i="11"/>
  <c r="U39" i="27"/>
  <c r="U36" i="27"/>
  <c r="U37" i="27"/>
  <c r="U38" i="27"/>
  <c r="U10" i="19" l="1"/>
  <c r="U9" i="19"/>
  <c r="U8" i="19"/>
  <c r="U13" i="19"/>
  <c r="U18" i="27"/>
  <c r="V11" i="19"/>
  <c r="U17" i="27"/>
  <c r="V12" i="19"/>
  <c r="BK126" i="9"/>
  <c r="Y60" i="16"/>
  <c r="Y54" i="16"/>
  <c r="Y58" i="16"/>
  <c r="Y52" i="16"/>
  <c r="AA16" i="27"/>
  <c r="I74" i="11"/>
  <c r="O71" i="23" s="1"/>
  <c r="AW35" i="23" s="1"/>
  <c r="BH126" i="9"/>
  <c r="BH26" i="9"/>
  <c r="BL126" i="9"/>
  <c r="Z16" i="27"/>
  <c r="BM126" i="9"/>
  <c r="AA21" i="24"/>
  <c r="Z44" i="16"/>
  <c r="Z45" i="16"/>
  <c r="Z42" i="16"/>
  <c r="AH23" i="27"/>
  <c r="P28" i="11" s="1"/>
  <c r="V21" i="27"/>
  <c r="AI10" i="18"/>
  <c r="AI24" i="18" s="1"/>
  <c r="BH32" i="23"/>
  <c r="BI32" i="23" s="1"/>
  <c r="BJ32" i="23" s="1"/>
  <c r="BG6" i="23"/>
  <c r="BH26" i="23"/>
  <c r="BI26" i="23" s="1"/>
  <c r="BJ26" i="23" s="1"/>
  <c r="V15" i="27"/>
  <c r="H87" i="11"/>
  <c r="Y87" i="11" s="1"/>
  <c r="U28" i="27"/>
  <c r="Z59" i="16"/>
  <c r="AI13" i="18"/>
  <c r="AI27" i="18" s="1"/>
  <c r="V52" i="27"/>
  <c r="AA29" i="24"/>
  <c r="Z57" i="16"/>
  <c r="Z56" i="16" s="1"/>
  <c r="AU31" i="18"/>
  <c r="AJ18" i="18"/>
  <c r="V25" i="27"/>
  <c r="AA41" i="16"/>
  <c r="AI17" i="18"/>
  <c r="AT32" i="18" s="1"/>
  <c r="V26" i="27"/>
  <c r="AA43" i="16"/>
  <c r="AH8" i="18"/>
  <c r="AH19" i="18" s="1"/>
  <c r="AH11" i="18"/>
  <c r="AH25" i="18" s="1"/>
  <c r="AH14" i="18"/>
  <c r="AH28" i="18" s="1"/>
  <c r="AH9" i="18"/>
  <c r="AH23" i="18" s="1"/>
  <c r="Z53" i="16"/>
  <c r="U27" i="27"/>
  <c r="Z51" i="16"/>
  <c r="Z50" i="16" s="1"/>
  <c r="AJ30" i="18"/>
  <c r="AI12" i="18"/>
  <c r="AI26" i="18" s="1"/>
  <c r="V29" i="27"/>
  <c r="V22" i="27"/>
  <c r="AI15" i="18"/>
  <c r="AI29" i="18" s="1"/>
  <c r="AI16" i="18"/>
  <c r="V48" i="27"/>
  <c r="AA26" i="24"/>
  <c r="BJ126" i="9"/>
  <c r="BI126" i="9"/>
  <c r="AA10" i="24"/>
  <c r="O72" i="11"/>
  <c r="U46" i="23" s="1"/>
  <c r="T10" i="27"/>
  <c r="T11" i="27"/>
  <c r="Y15" i="16"/>
  <c r="N24" i="11" s="1"/>
  <c r="T31" i="23" s="1"/>
  <c r="AF51" i="27"/>
  <c r="AF34" i="27"/>
  <c r="AF31" i="27"/>
  <c r="AF33" i="27"/>
  <c r="AF32" i="27"/>
  <c r="T45" i="27"/>
  <c r="Y22" i="16"/>
  <c r="R1" i="27"/>
  <c r="AE5" i="18"/>
  <c r="AE4" i="18"/>
  <c r="AE22" i="18"/>
  <c r="DY21" i="9"/>
  <c r="DU21" i="9"/>
  <c r="DX21" i="9"/>
  <c r="DT21" i="9"/>
  <c r="DW21" i="9"/>
  <c r="DS21" i="9"/>
  <c r="DE21" i="9"/>
  <c r="DA21" i="9"/>
  <c r="DH21" i="9" s="1"/>
  <c r="DD21" i="9"/>
  <c r="DV21" i="9"/>
  <c r="DG21" i="9"/>
  <c r="DC21" i="9"/>
  <c r="DF21" i="9"/>
  <c r="DB21" i="9"/>
  <c r="CU21" i="9"/>
  <c r="CW21" i="9"/>
  <c r="CV21" i="9"/>
  <c r="CJ21" i="9"/>
  <c r="BH59" i="9" s="1"/>
  <c r="CM21" i="9"/>
  <c r="BK59" i="9" s="1"/>
  <c r="CL21" i="9"/>
  <c r="BJ59" i="9" s="1"/>
  <c r="DK21" i="9"/>
  <c r="DJ21" i="9"/>
  <c r="CT21" i="9"/>
  <c r="CN21" i="9"/>
  <c r="BL59" i="9" s="1"/>
  <c r="CI21" i="9"/>
  <c r="CP21" i="9" s="1"/>
  <c r="DN21" i="9"/>
  <c r="DM21" i="9"/>
  <c r="DP21" i="9"/>
  <c r="CO21" i="9"/>
  <c r="BM59" i="9" s="1"/>
  <c r="CX21" i="9"/>
  <c r="CS21" i="9"/>
  <c r="CR21" i="9"/>
  <c r="DO21" i="9"/>
  <c r="DL21" i="9"/>
  <c r="CK21" i="9"/>
  <c r="BI59" i="9" s="1"/>
  <c r="S8" i="27"/>
  <c r="S9" i="27"/>
  <c r="S3" i="27"/>
  <c r="S5" i="27"/>
  <c r="S2" i="27"/>
  <c r="S4" i="27"/>
  <c r="S6" i="27"/>
  <c r="AD6" i="18"/>
  <c r="R6" i="19"/>
  <c r="V6" i="24"/>
  <c r="V9" i="16"/>
  <c r="W7" i="16"/>
  <c r="W48" i="16"/>
  <c r="W3" i="24"/>
  <c r="W4" i="24"/>
  <c r="W8" i="16"/>
  <c r="W39" i="16"/>
  <c r="W63" i="16"/>
  <c r="W5" i="24"/>
  <c r="X5" i="16"/>
  <c r="X10" i="16" s="1"/>
  <c r="X40" i="16" s="1"/>
  <c r="X49" i="16" s="1"/>
  <c r="T4" i="19"/>
  <c r="T7" i="19" s="1"/>
  <c r="AF3" i="18"/>
  <c r="AF7" i="18" s="1"/>
  <c r="S24" i="27"/>
  <c r="Y6" i="16"/>
  <c r="Y18" i="16"/>
  <c r="Y36" i="16" s="1"/>
  <c r="T7" i="27"/>
  <c r="T30" i="27"/>
  <c r="Y16" i="16"/>
  <c r="T12" i="27"/>
  <c r="Y21" i="16"/>
  <c r="Y29" i="16" s="1"/>
  <c r="T46" i="27"/>
  <c r="T47" i="27"/>
  <c r="O101" i="11"/>
  <c r="U89" i="23" s="1"/>
  <c r="BB13" i="23" s="1"/>
  <c r="O104" i="11"/>
  <c r="U90" i="23" s="1"/>
  <c r="BB9" i="23" s="1"/>
  <c r="O102" i="11"/>
  <c r="U91" i="23" s="1"/>
  <c r="BB10" i="23" s="1"/>
  <c r="O103" i="11"/>
  <c r="U92" i="23" s="1"/>
  <c r="BB11" i="23" s="1"/>
  <c r="T20" i="27"/>
  <c r="T19" i="27"/>
  <c r="S14" i="27"/>
  <c r="X13" i="16"/>
  <c r="X14" i="16"/>
  <c r="X28" i="16"/>
  <c r="X32" i="16"/>
  <c r="X34" i="16" s="1"/>
  <c r="X35" i="16" s="1"/>
  <c r="X17" i="16"/>
  <c r="X12" i="16"/>
  <c r="X11" i="16" s="1"/>
  <c r="X25" i="16"/>
  <c r="S13" i="27"/>
  <c r="X33" i="16"/>
  <c r="X24" i="16"/>
  <c r="X27" i="16"/>
  <c r="X23" i="16"/>
  <c r="X26" i="16"/>
  <c r="AA33" i="24"/>
  <c r="AA34" i="24" s="1"/>
  <c r="I76" i="11"/>
  <c r="O73" i="23" s="1"/>
  <c r="I75" i="11"/>
  <c r="O72" i="23" s="1"/>
  <c r="H75" i="11"/>
  <c r="Y75" i="11" s="1"/>
  <c r="H76" i="11"/>
  <c r="Y76" i="11" s="1"/>
  <c r="BJ26" i="9"/>
  <c r="BN90" i="9"/>
  <c r="BE90" i="9" s="1"/>
  <c r="BI26" i="9"/>
  <c r="BH91" i="9"/>
  <c r="BM26" i="9"/>
  <c r="BL26" i="9"/>
  <c r="BL127" i="9" s="1"/>
  <c r="AV12" i="23"/>
  <c r="I86" i="11"/>
  <c r="BF128" i="9"/>
  <c r="BF27" i="9"/>
  <c r="BF92" i="9"/>
  <c r="BF59" i="9"/>
  <c r="CB23" i="9"/>
  <c r="CC22" i="9"/>
  <c r="CD22" i="9" s="1"/>
  <c r="CF22" i="9" s="1"/>
  <c r="AB9" i="24"/>
  <c r="AB21" i="24"/>
  <c r="AB20" i="24"/>
  <c r="AB22" i="24" s="1"/>
  <c r="AB23" i="24" s="1"/>
  <c r="AB26" i="24"/>
  <c r="AB10" i="24"/>
  <c r="CY20" i="9"/>
  <c r="BG26" i="9"/>
  <c r="BK26" i="9"/>
  <c r="DZ20" i="9"/>
  <c r="BI91" i="9"/>
  <c r="BJ91" i="9"/>
  <c r="BM91" i="9"/>
  <c r="AB15" i="24"/>
  <c r="AB8" i="24"/>
  <c r="AB12" i="24" s="1"/>
  <c r="W15" i="27"/>
  <c r="AB29" i="24"/>
  <c r="AB16" i="24"/>
  <c r="AB33" i="24"/>
  <c r="AB34" i="24" s="1"/>
  <c r="AB11" i="24"/>
  <c r="AC27" i="24"/>
  <c r="AC30" i="24" s="1"/>
  <c r="AC31" i="24" s="1"/>
  <c r="AC24" i="24"/>
  <c r="AA15" i="24"/>
  <c r="BG91" i="9"/>
  <c r="DQ20" i="9"/>
  <c r="BG58" i="9"/>
  <c r="BN58" i="9" s="1"/>
  <c r="BE58" i="9" s="1"/>
  <c r="X2" i="24"/>
  <c r="X7" i="24" s="1"/>
  <c r="AC13" i="24"/>
  <c r="AC17" i="24"/>
  <c r="AC18" i="24" s="1"/>
  <c r="BN25" i="9"/>
  <c r="BE25" i="9" s="1"/>
  <c r="BG126" i="9"/>
  <c r="BN126" i="9" s="1"/>
  <c r="BE126" i="9" s="1"/>
  <c r="BK91" i="9"/>
  <c r="T39" i="27"/>
  <c r="T36" i="27"/>
  <c r="T37" i="27"/>
  <c r="T38" i="27"/>
  <c r="BK92" i="9" l="1"/>
  <c r="U12" i="19"/>
  <c r="T17" i="27"/>
  <c r="T8" i="19"/>
  <c r="T13" i="19"/>
  <c r="T10" i="19"/>
  <c r="T9" i="19"/>
  <c r="U11" i="19"/>
  <c r="T18" i="27"/>
  <c r="BH127" i="9"/>
  <c r="AA20" i="24"/>
  <c r="AA22" i="24" s="1"/>
  <c r="AA23" i="24" s="1"/>
  <c r="AA9" i="24"/>
  <c r="X60" i="16"/>
  <c r="X58" i="16"/>
  <c r="X54" i="16"/>
  <c r="X52" i="16"/>
  <c r="AA8" i="24"/>
  <c r="AA12" i="24" s="1"/>
  <c r="AA13" i="24" s="1"/>
  <c r="Z26" i="24"/>
  <c r="Z11" i="24"/>
  <c r="Z33" i="24"/>
  <c r="Z34" i="24" s="1"/>
  <c r="Z29" i="24"/>
  <c r="AI18" i="18"/>
  <c r="AG23" i="27"/>
  <c r="O28" i="11" s="1"/>
  <c r="AH13" i="18"/>
  <c r="AH27" i="18" s="1"/>
  <c r="U52" i="27"/>
  <c r="Z41" i="16"/>
  <c r="U25" i="27"/>
  <c r="Y57" i="16"/>
  <c r="Y56" i="16" s="1"/>
  <c r="Y51" i="16"/>
  <c r="Y50" i="16" s="1"/>
  <c r="AH17" i="18"/>
  <c r="AS32" i="18" s="1"/>
  <c r="AU33" i="18"/>
  <c r="P18" i="11" s="1"/>
  <c r="V29" i="23" s="1"/>
  <c r="P17" i="11"/>
  <c r="V28" i="23" s="1"/>
  <c r="Z43" i="16"/>
  <c r="U26" i="27"/>
  <c r="T27" i="27"/>
  <c r="Y53" i="16"/>
  <c r="Y42" i="16"/>
  <c r="AH12" i="18"/>
  <c r="AH26" i="18" s="1"/>
  <c r="U29" i="27"/>
  <c r="AH15" i="18"/>
  <c r="AH29" i="18" s="1"/>
  <c r="U22" i="27"/>
  <c r="AT31" i="18"/>
  <c r="O17" i="11" s="1"/>
  <c r="U28" i="23" s="1"/>
  <c r="BC32" i="23" s="1"/>
  <c r="AI30" i="18"/>
  <c r="T28" i="27"/>
  <c r="Y59" i="16"/>
  <c r="Y45" i="16"/>
  <c r="Y44" i="16"/>
  <c r="AH16" i="18"/>
  <c r="AS31" i="18" s="1"/>
  <c r="U21" i="27"/>
  <c r="AH10" i="18"/>
  <c r="AH24" i="18" s="1"/>
  <c r="AG9" i="18"/>
  <c r="AG23" i="18" s="1"/>
  <c r="AG8" i="18"/>
  <c r="AG19" i="18" s="1"/>
  <c r="AG14" i="18"/>
  <c r="AG28" i="18" s="1"/>
  <c r="AG11" i="18"/>
  <c r="AG25" i="18" s="1"/>
  <c r="BJ127" i="9"/>
  <c r="AA11" i="24"/>
  <c r="BL92" i="9"/>
  <c r="BM92" i="9"/>
  <c r="Z9" i="24"/>
  <c r="Z15" i="24"/>
  <c r="Z10" i="24"/>
  <c r="AA16" i="24"/>
  <c r="U48" i="27"/>
  <c r="Z20" i="24"/>
  <c r="Z22" i="24" s="1"/>
  <c r="Z23" i="24" s="1"/>
  <c r="N72" i="11"/>
  <c r="T46" i="23" s="1"/>
  <c r="X16" i="16"/>
  <c r="S12" i="27"/>
  <c r="AE3" i="18"/>
  <c r="AE7" i="18" s="1"/>
  <c r="W5" i="16"/>
  <c r="W10" i="16" s="1"/>
  <c r="W40" i="16" s="1"/>
  <c r="W49" i="16" s="1"/>
  <c r="S4" i="19"/>
  <c r="S7" i="19" s="1"/>
  <c r="AD22" i="18"/>
  <c r="AD4" i="18"/>
  <c r="AD5" i="18"/>
  <c r="V5" i="24"/>
  <c r="V8" i="16"/>
  <c r="V4" i="24"/>
  <c r="V3" i="24"/>
  <c r="V48" i="16"/>
  <c r="V39" i="16"/>
  <c r="V63" i="16"/>
  <c r="V7" i="16"/>
  <c r="Q1" i="27"/>
  <c r="S20" i="27"/>
  <c r="S19" i="27"/>
  <c r="R24" i="27"/>
  <c r="DV22" i="9"/>
  <c r="DY22" i="9"/>
  <c r="DU22" i="9"/>
  <c r="DX22" i="9"/>
  <c r="DT22" i="9"/>
  <c r="DW22" i="9"/>
  <c r="DF22" i="9"/>
  <c r="DB22" i="9"/>
  <c r="DS22" i="9"/>
  <c r="DE22" i="9"/>
  <c r="DA22" i="9"/>
  <c r="DH22" i="9" s="1"/>
  <c r="DD22" i="9"/>
  <c r="DG22" i="9"/>
  <c r="DC22" i="9"/>
  <c r="CX22" i="9"/>
  <c r="DJ22" i="9"/>
  <c r="CT22" i="9"/>
  <c r="CJ22" i="9"/>
  <c r="BH60" i="9" s="1"/>
  <c r="DM22" i="9"/>
  <c r="CR22" i="9"/>
  <c r="CM22" i="9"/>
  <c r="BK60" i="9" s="1"/>
  <c r="CO22" i="9"/>
  <c r="BM60" i="9" s="1"/>
  <c r="DP22" i="9"/>
  <c r="CS22" i="9"/>
  <c r="CL22" i="9"/>
  <c r="BJ60" i="9" s="1"/>
  <c r="CN22" i="9"/>
  <c r="BL60" i="9" s="1"/>
  <c r="DK22" i="9"/>
  <c r="DN22" i="9"/>
  <c r="CW22" i="9"/>
  <c r="CV22" i="9"/>
  <c r="CU22" i="9"/>
  <c r="CK22" i="9"/>
  <c r="BI60" i="9" s="1"/>
  <c r="CI22" i="9"/>
  <c r="CP22" i="9" s="1"/>
  <c r="DL22" i="9"/>
  <c r="DO22" i="9"/>
  <c r="X21" i="16"/>
  <c r="X29" i="16" s="1"/>
  <c r="S46" i="27"/>
  <c r="S47" i="27"/>
  <c r="AE51" i="27"/>
  <c r="AE32" i="27"/>
  <c r="AE33" i="27"/>
  <c r="AE31" i="27"/>
  <c r="AE34" i="27"/>
  <c r="M72" i="11" s="1"/>
  <c r="S46" i="23" s="1"/>
  <c r="S10" i="27"/>
  <c r="S11" i="27"/>
  <c r="X15" i="16"/>
  <c r="M24" i="11" s="1"/>
  <c r="S31" i="23" s="1"/>
  <c r="W17" i="16"/>
  <c r="W33" i="16"/>
  <c r="W13" i="16"/>
  <c r="W24" i="16"/>
  <c r="W23" i="16"/>
  <c r="R13" i="27"/>
  <c r="W12" i="16"/>
  <c r="W11" i="16" s="1"/>
  <c r="W26" i="16"/>
  <c r="W28" i="16"/>
  <c r="W14" i="16"/>
  <c r="W32" i="16"/>
  <c r="W34" i="16" s="1"/>
  <c r="W35" i="16" s="1"/>
  <c r="W27" i="16"/>
  <c r="R14" i="27"/>
  <c r="W25" i="16"/>
  <c r="R8" i="27"/>
  <c r="R9" i="27"/>
  <c r="R4" i="27"/>
  <c r="R2" i="27"/>
  <c r="R6" i="27"/>
  <c r="R3" i="27"/>
  <c r="R5" i="27"/>
  <c r="X22" i="16"/>
  <c r="S45" i="27"/>
  <c r="X6" i="16"/>
  <c r="X18" i="16"/>
  <c r="X36" i="16" s="1"/>
  <c r="U6" i="24"/>
  <c r="Q6" i="19"/>
  <c r="U9" i="16"/>
  <c r="AC6" i="18"/>
  <c r="S7" i="27"/>
  <c r="S30" i="27"/>
  <c r="N101" i="11"/>
  <c r="T89" i="23" s="1"/>
  <c r="BA13" i="23" s="1"/>
  <c r="N103" i="11"/>
  <c r="T92" i="23" s="1"/>
  <c r="BA11" i="23" s="1"/>
  <c r="N102" i="11"/>
  <c r="T91" i="23" s="1"/>
  <c r="BA10" i="23" s="1"/>
  <c r="N104" i="11"/>
  <c r="T90" i="23" s="1"/>
  <c r="BA9" i="23" s="1"/>
  <c r="Y16" i="27"/>
  <c r="Y50" i="27"/>
  <c r="BM127" i="9"/>
  <c r="BI127" i="9"/>
  <c r="BN91" i="9"/>
  <c r="BE91" i="9" s="1"/>
  <c r="BL27" i="9"/>
  <c r="BK27" i="9"/>
  <c r="BJ27" i="9"/>
  <c r="W2" i="24"/>
  <c r="W7" i="24" s="1"/>
  <c r="AA27" i="24"/>
  <c r="AA30" i="24" s="1"/>
  <c r="AA24" i="24"/>
  <c r="BF129" i="9"/>
  <c r="BF28" i="9"/>
  <c r="BF93" i="9"/>
  <c r="BF60" i="9"/>
  <c r="BK127" i="9"/>
  <c r="BH92" i="9"/>
  <c r="BI27" i="9"/>
  <c r="BI92" i="9"/>
  <c r="BM27" i="9"/>
  <c r="AB13" i="24"/>
  <c r="AB17" i="24"/>
  <c r="AB18" i="24" s="1"/>
  <c r="BN26" i="9"/>
  <c r="BE26" i="9" s="1"/>
  <c r="BG127" i="9"/>
  <c r="BN127" i="9" s="1"/>
  <c r="BE127" i="9" s="1"/>
  <c r="AB24" i="24"/>
  <c r="AB27" i="24"/>
  <c r="AB30" i="24" s="1"/>
  <c r="AB31" i="24" s="1"/>
  <c r="CC23" i="9"/>
  <c r="CD23" i="9" s="1"/>
  <c r="CF23" i="9" s="1"/>
  <c r="CB24" i="9"/>
  <c r="H86" i="11"/>
  <c r="Y86" i="11" s="1"/>
  <c r="CY21" i="9"/>
  <c r="BG27" i="9"/>
  <c r="DQ21" i="9"/>
  <c r="BG92" i="9"/>
  <c r="BG59" i="9"/>
  <c r="BN59" i="9" s="1"/>
  <c r="BE59" i="9" s="1"/>
  <c r="BJ92" i="9"/>
  <c r="BH27" i="9"/>
  <c r="DZ21" i="9"/>
  <c r="S38" i="27"/>
  <c r="S36" i="27"/>
  <c r="S39" i="27"/>
  <c r="S37" i="27"/>
  <c r="BK128" i="9" l="1"/>
  <c r="S13" i="19"/>
  <c r="S10" i="19"/>
  <c r="S8" i="19"/>
  <c r="S9" i="19"/>
  <c r="T12" i="19"/>
  <c r="S17" i="27"/>
  <c r="T11" i="19"/>
  <c r="S18" i="27"/>
  <c r="AA17" i="24"/>
  <c r="AA18" i="24" s="1"/>
  <c r="Y26" i="24"/>
  <c r="Y29" i="24"/>
  <c r="BC26" i="23"/>
  <c r="Y33" i="24"/>
  <c r="Y34" i="24" s="1"/>
  <c r="Y10" i="24"/>
  <c r="Y11" i="24"/>
  <c r="Y9" i="24"/>
  <c r="T48" i="27"/>
  <c r="Y15" i="24"/>
  <c r="AA31" i="24"/>
  <c r="W58" i="16"/>
  <c r="W60" i="16"/>
  <c r="W54" i="16"/>
  <c r="W52" i="16"/>
  <c r="Z16" i="24"/>
  <c r="BM128" i="9"/>
  <c r="BL128" i="9"/>
  <c r="AH30" i="18"/>
  <c r="BJ128" i="9"/>
  <c r="BI28" i="9"/>
  <c r="AT33" i="18"/>
  <c r="O18" i="11" s="1"/>
  <c r="U29" i="23" s="1"/>
  <c r="AH18" i="18"/>
  <c r="Z8" i="24"/>
  <c r="Z12" i="24" s="1"/>
  <c r="Z13" i="24" s="1"/>
  <c r="BB6" i="23"/>
  <c r="U15" i="27"/>
  <c r="AS33" i="18"/>
  <c r="N18" i="11" s="1"/>
  <c r="T29" i="23" s="1"/>
  <c r="N17" i="11"/>
  <c r="T28" i="23" s="1"/>
  <c r="BB32" i="23" s="1"/>
  <c r="Z21" i="24"/>
  <c r="BI93" i="9"/>
  <c r="T29" i="27"/>
  <c r="AG12" i="18"/>
  <c r="AG26" i="18" s="1"/>
  <c r="S27" i="27"/>
  <c r="X53" i="16"/>
  <c r="AG15" i="18"/>
  <c r="AG29" i="18" s="1"/>
  <c r="T22" i="27"/>
  <c r="X57" i="16"/>
  <c r="X56" i="16" s="1"/>
  <c r="X42" i="16"/>
  <c r="AG17" i="18"/>
  <c r="AR32" i="18" s="1"/>
  <c r="AG13" i="18"/>
  <c r="AG27" i="18" s="1"/>
  <c r="T52" i="27"/>
  <c r="AF23" i="27"/>
  <c r="N28" i="11" s="1"/>
  <c r="T26" i="27"/>
  <c r="Y43" i="16"/>
  <c r="X45" i="16"/>
  <c r="X44" i="16"/>
  <c r="S28" i="27"/>
  <c r="X59" i="16"/>
  <c r="Y41" i="16"/>
  <c r="T25" i="27"/>
  <c r="BC6" i="23"/>
  <c r="BD26" i="23"/>
  <c r="BD32" i="23"/>
  <c r="T21" i="27"/>
  <c r="AG10" i="18"/>
  <c r="AG24" i="18" s="1"/>
  <c r="AG16" i="18"/>
  <c r="AR31" i="18" s="1"/>
  <c r="M17" i="11" s="1"/>
  <c r="S28" i="23" s="1"/>
  <c r="X51" i="16"/>
  <c r="X50" i="16" s="1"/>
  <c r="AF8" i="18"/>
  <c r="AF19" i="18" s="1"/>
  <c r="AF14" i="18"/>
  <c r="AF28" i="18" s="1"/>
  <c r="AF9" i="18"/>
  <c r="AF23" i="18" s="1"/>
  <c r="AF11" i="18"/>
  <c r="AF25" i="18" s="1"/>
  <c r="BH128" i="9"/>
  <c r="P1" i="27"/>
  <c r="R7" i="27"/>
  <c r="R30" i="27"/>
  <c r="W16" i="16"/>
  <c r="R12" i="27"/>
  <c r="Q24" i="27"/>
  <c r="AC22" i="18"/>
  <c r="AC5" i="18"/>
  <c r="AC4" i="18"/>
  <c r="R4" i="19"/>
  <c r="R7" i="19" s="1"/>
  <c r="AD3" i="18"/>
  <c r="AD7" i="18" s="1"/>
  <c r="V5" i="16"/>
  <c r="V10" i="16" s="1"/>
  <c r="V40" i="16" s="1"/>
  <c r="V49" i="16" s="1"/>
  <c r="AD51" i="27"/>
  <c r="AD34" i="27"/>
  <c r="AD33" i="27"/>
  <c r="AD32" i="27"/>
  <c r="AD31" i="27"/>
  <c r="W18" i="16"/>
  <c r="W36" i="16" s="1"/>
  <c r="W6" i="16"/>
  <c r="V14" i="16"/>
  <c r="V12" i="16"/>
  <c r="V11" i="16" s="1"/>
  <c r="V27" i="16"/>
  <c r="V26" i="16"/>
  <c r="V23" i="16"/>
  <c r="V13" i="16"/>
  <c r="V24" i="16"/>
  <c r="V17" i="16"/>
  <c r="Q13" i="27"/>
  <c r="V33" i="16"/>
  <c r="V28" i="16"/>
  <c r="V32" i="16"/>
  <c r="V34" i="16" s="1"/>
  <c r="V35" i="16" s="1"/>
  <c r="Q14" i="27"/>
  <c r="V25" i="16"/>
  <c r="DW23" i="9"/>
  <c r="DS23" i="9"/>
  <c r="DV23" i="9"/>
  <c r="DY23" i="9"/>
  <c r="DU23" i="9"/>
  <c r="DG23" i="9"/>
  <c r="DC23" i="9"/>
  <c r="DF23" i="9"/>
  <c r="DB23" i="9"/>
  <c r="DX23" i="9"/>
  <c r="DE23" i="9"/>
  <c r="DA23" i="9"/>
  <c r="DH23" i="9" s="1"/>
  <c r="DT23" i="9"/>
  <c r="DD23" i="9"/>
  <c r="CT23" i="9"/>
  <c r="CV23" i="9"/>
  <c r="CN23" i="9"/>
  <c r="BL61" i="9" s="1"/>
  <c r="DJ23" i="9"/>
  <c r="DM23" i="9"/>
  <c r="DL23" i="9"/>
  <c r="CW23" i="9"/>
  <c r="CM23" i="9"/>
  <c r="BK61" i="9" s="1"/>
  <c r="CU23" i="9"/>
  <c r="CX23" i="9"/>
  <c r="CS23" i="9"/>
  <c r="CK23" i="9"/>
  <c r="BI61" i="9" s="1"/>
  <c r="DP23" i="9"/>
  <c r="CI23" i="9"/>
  <c r="CP23" i="9" s="1"/>
  <c r="DN23" i="9"/>
  <c r="DO23" i="9"/>
  <c r="CO23" i="9"/>
  <c r="BM61" i="9" s="1"/>
  <c r="CR23" i="9"/>
  <c r="CJ23" i="9"/>
  <c r="BH61" i="9" s="1"/>
  <c r="CL23" i="9"/>
  <c r="BJ61" i="9" s="1"/>
  <c r="DK23" i="9"/>
  <c r="AB6" i="18"/>
  <c r="T6" i="24"/>
  <c r="T9" i="16"/>
  <c r="P6" i="19"/>
  <c r="U63" i="16"/>
  <c r="U8" i="16"/>
  <c r="U5" i="24"/>
  <c r="U4" i="24"/>
  <c r="U48" i="16"/>
  <c r="U3" i="24"/>
  <c r="U7" i="16"/>
  <c r="U39" i="16"/>
  <c r="R19" i="27"/>
  <c r="R20" i="27"/>
  <c r="W22" i="16"/>
  <c r="R45" i="27"/>
  <c r="R11" i="27"/>
  <c r="R10" i="27"/>
  <c r="W15" i="16"/>
  <c r="L24" i="11" s="1"/>
  <c r="R31" i="23" s="1"/>
  <c r="M103" i="11"/>
  <c r="S92" i="23" s="1"/>
  <c r="AZ11" i="23" s="1"/>
  <c r="M102" i="11"/>
  <c r="S91" i="23" s="1"/>
  <c r="AZ10" i="23" s="1"/>
  <c r="M104" i="11"/>
  <c r="S90" i="23" s="1"/>
  <c r="AZ9" i="23" s="1"/>
  <c r="M101" i="11"/>
  <c r="S89" i="23" s="1"/>
  <c r="AZ13" i="23" s="1"/>
  <c r="W21" i="16"/>
  <c r="W29" i="16" s="1"/>
  <c r="R46" i="27"/>
  <c r="R47" i="27"/>
  <c r="Q5" i="27"/>
  <c r="Q2" i="27"/>
  <c r="Q6" i="27"/>
  <c r="Q9" i="27"/>
  <c r="Q3" i="27"/>
  <c r="Q4" i="27"/>
  <c r="Q8" i="27"/>
  <c r="X50" i="27"/>
  <c r="BN92" i="9"/>
  <c r="BE92" i="9" s="1"/>
  <c r="BK28" i="9"/>
  <c r="BJ28" i="9"/>
  <c r="BH93" i="9"/>
  <c r="BM93" i="9"/>
  <c r="BI128" i="9"/>
  <c r="BH28" i="9"/>
  <c r="Y21" i="24"/>
  <c r="V2" i="24"/>
  <c r="V7" i="24" s="1"/>
  <c r="BG28" i="9"/>
  <c r="CY22" i="9"/>
  <c r="DQ22" i="9"/>
  <c r="BG93" i="9"/>
  <c r="BG60" i="9"/>
  <c r="BN60" i="9" s="1"/>
  <c r="BE60" i="9" s="1"/>
  <c r="DZ22" i="9"/>
  <c r="Z27" i="24"/>
  <c r="Z30" i="24" s="1"/>
  <c r="CC24" i="9"/>
  <c r="CD24" i="9" s="1"/>
  <c r="CF24" i="9" s="1"/>
  <c r="CB25" i="9"/>
  <c r="BG128" i="9"/>
  <c r="BN128" i="9" s="1"/>
  <c r="BE128" i="9" s="1"/>
  <c r="BN27" i="9"/>
  <c r="BE27" i="9" s="1"/>
  <c r="BF94" i="9"/>
  <c r="BF130" i="9"/>
  <c r="BF29" i="9"/>
  <c r="BF61" i="9"/>
  <c r="T15" i="27"/>
  <c r="Y8" i="24"/>
  <c r="Y12" i="24" s="1"/>
  <c r="BJ93" i="9"/>
  <c r="BM28" i="9"/>
  <c r="BK93" i="9"/>
  <c r="BL28" i="9"/>
  <c r="BL93" i="9"/>
  <c r="R38" i="27"/>
  <c r="R39" i="27"/>
  <c r="R36" i="27"/>
  <c r="R37" i="27"/>
  <c r="R8" i="19" l="1"/>
  <c r="R9" i="19"/>
  <c r="R13" i="19"/>
  <c r="R10" i="19"/>
  <c r="S12" i="19"/>
  <c r="R17" i="27"/>
  <c r="S11" i="19"/>
  <c r="R18" i="27"/>
  <c r="Y20" i="24"/>
  <c r="Y22" i="24" s="1"/>
  <c r="Y23" i="24" s="1"/>
  <c r="Y27" i="24" s="1"/>
  <c r="Y30" i="24" s="1"/>
  <c r="Y31" i="24" s="1"/>
  <c r="Y16" i="24"/>
  <c r="BI129" i="9"/>
  <c r="V60" i="16"/>
  <c r="V54" i="16"/>
  <c r="V58" i="16"/>
  <c r="V52" i="16"/>
  <c r="Z17" i="24"/>
  <c r="Z18" i="24" s="1"/>
  <c r="Z31" i="24"/>
  <c r="BB26" i="23"/>
  <c r="Z24" i="24"/>
  <c r="BA6" i="23"/>
  <c r="BJ129" i="9"/>
  <c r="AR33" i="18"/>
  <c r="M18" i="11" s="1"/>
  <c r="S29" i="23" s="1"/>
  <c r="X16" i="27"/>
  <c r="AG18" i="18"/>
  <c r="BI94" i="9"/>
  <c r="AF12" i="18"/>
  <c r="AF26" i="18" s="1"/>
  <c r="S29" i="27"/>
  <c r="S52" i="27"/>
  <c r="AF13" i="18"/>
  <c r="AF27" i="18" s="1"/>
  <c r="R27" i="27"/>
  <c r="W53" i="16"/>
  <c r="W45" i="16"/>
  <c r="W44" i="16"/>
  <c r="AF16" i="18"/>
  <c r="AQ31" i="18" s="1"/>
  <c r="L17" i="11" s="1"/>
  <c r="R28" i="23" s="1"/>
  <c r="AF10" i="18"/>
  <c r="AF24" i="18" s="1"/>
  <c r="S21" i="27"/>
  <c r="W51" i="16"/>
  <c r="W50" i="16" s="1"/>
  <c r="W57" i="16"/>
  <c r="W56" i="16" s="1"/>
  <c r="AE9" i="18"/>
  <c r="AE23" i="18" s="1"/>
  <c r="AE14" i="18"/>
  <c r="AE28" i="18" s="1"/>
  <c r="AE11" i="18"/>
  <c r="AE25" i="18" s="1"/>
  <c r="AE8" i="18"/>
  <c r="AE19" i="18" s="1"/>
  <c r="X41" i="16"/>
  <c r="S25" i="27"/>
  <c r="AG30" i="18"/>
  <c r="AF17" i="18"/>
  <c r="AQ32" i="18" s="1"/>
  <c r="R28" i="27"/>
  <c r="W59" i="16"/>
  <c r="W42" i="16"/>
  <c r="AE23" i="27"/>
  <c r="M28" i="11" s="1"/>
  <c r="AF15" i="18"/>
  <c r="AF29" i="18" s="1"/>
  <c r="S22" i="27"/>
  <c r="X43" i="16"/>
  <c r="S26" i="27"/>
  <c r="BM29" i="9"/>
  <c r="BK129" i="9"/>
  <c r="L72" i="11"/>
  <c r="R46" i="23" s="1"/>
  <c r="BM129" i="9"/>
  <c r="DX24" i="9"/>
  <c r="DT24" i="9"/>
  <c r="DW24" i="9"/>
  <c r="DS24" i="9"/>
  <c r="DV24" i="9"/>
  <c r="DY24" i="9"/>
  <c r="DD24" i="9"/>
  <c r="DU24" i="9"/>
  <c r="DG24" i="9"/>
  <c r="DC24" i="9"/>
  <c r="DF24" i="9"/>
  <c r="DB24" i="9"/>
  <c r="DE24" i="9"/>
  <c r="DA24" i="9"/>
  <c r="DH24" i="9" s="1"/>
  <c r="CS24" i="9"/>
  <c r="CU24" i="9"/>
  <c r="CX24" i="9"/>
  <c r="CK24" i="9"/>
  <c r="BI62" i="9" s="1"/>
  <c r="CJ24" i="9"/>
  <c r="BH62" i="9" s="1"/>
  <c r="DP24" i="9"/>
  <c r="CW24" i="9"/>
  <c r="CV24" i="9"/>
  <c r="DJ24" i="9"/>
  <c r="DM24" i="9"/>
  <c r="CL24" i="9"/>
  <c r="BJ62" i="9" s="1"/>
  <c r="CN24" i="9"/>
  <c r="BL62" i="9" s="1"/>
  <c r="DO24" i="9"/>
  <c r="DL24" i="9"/>
  <c r="CT24" i="9"/>
  <c r="CR24" i="9"/>
  <c r="CI24" i="9"/>
  <c r="CP24" i="9" s="1"/>
  <c r="CO24" i="9"/>
  <c r="BM62" i="9" s="1"/>
  <c r="DN24" i="9"/>
  <c r="DK24" i="9"/>
  <c r="CM24" i="9"/>
  <c r="BK62" i="9" s="1"/>
  <c r="Q4" i="19"/>
  <c r="Q7" i="19" s="1"/>
  <c r="U5" i="16"/>
  <c r="U10" i="16" s="1"/>
  <c r="U40" i="16" s="1"/>
  <c r="U49" i="16" s="1"/>
  <c r="AC3" i="18"/>
  <c r="AC7" i="18" s="1"/>
  <c r="AB4" i="18"/>
  <c r="AB5" i="18"/>
  <c r="AB22" i="18"/>
  <c r="O1" i="27"/>
  <c r="V21" i="16"/>
  <c r="V29" i="16" s="1"/>
  <c r="Q47" i="27"/>
  <c r="Q46" i="27"/>
  <c r="Q10" i="27"/>
  <c r="Q11" i="27"/>
  <c r="V15" i="16"/>
  <c r="K24" i="11" s="1"/>
  <c r="Q31" i="23" s="1"/>
  <c r="V6" i="16"/>
  <c r="V18" i="16"/>
  <c r="V36" i="16" s="1"/>
  <c r="P24" i="27"/>
  <c r="Q30" i="27"/>
  <c r="Q7" i="27"/>
  <c r="U26" i="16"/>
  <c r="U25" i="16"/>
  <c r="U13" i="16"/>
  <c r="U33" i="16"/>
  <c r="P13" i="27"/>
  <c r="U32" i="16"/>
  <c r="U34" i="16" s="1"/>
  <c r="U35" i="16" s="1"/>
  <c r="U28" i="16"/>
  <c r="U27" i="16"/>
  <c r="U17" i="16"/>
  <c r="P14" i="27"/>
  <c r="U24" i="16"/>
  <c r="U14" i="16"/>
  <c r="U12" i="16"/>
  <c r="U11" i="16" s="1"/>
  <c r="U23" i="16"/>
  <c r="T39" i="16"/>
  <c r="T7" i="16"/>
  <c r="T3" i="24"/>
  <c r="T48" i="16"/>
  <c r="T4" i="24"/>
  <c r="T63" i="16"/>
  <c r="T5" i="24"/>
  <c r="T8" i="16"/>
  <c r="S9" i="16"/>
  <c r="AA6" i="18"/>
  <c r="O6" i="19"/>
  <c r="S6" i="24"/>
  <c r="AC51" i="27"/>
  <c r="AC31" i="27"/>
  <c r="AC34" i="27"/>
  <c r="AC33" i="27"/>
  <c r="AC32" i="27"/>
  <c r="Q45" i="27"/>
  <c r="V22" i="16"/>
  <c r="L104" i="11"/>
  <c r="R90" i="23" s="1"/>
  <c r="AY9" i="23" s="1"/>
  <c r="L103" i="11"/>
  <c r="R92" i="23" s="1"/>
  <c r="AY11" i="23" s="1"/>
  <c r="L101" i="11"/>
  <c r="R89" i="23" s="1"/>
  <c r="AY13" i="23" s="1"/>
  <c r="L102" i="11"/>
  <c r="R91" i="23" s="1"/>
  <c r="AY10" i="23" s="1"/>
  <c r="P5" i="27"/>
  <c r="P8" i="27"/>
  <c r="P4" i="27"/>
  <c r="P9" i="27"/>
  <c r="P6" i="27"/>
  <c r="P2" i="27"/>
  <c r="P3" i="27"/>
  <c r="Q20" i="27"/>
  <c r="Q19" i="27"/>
  <c r="V16" i="16"/>
  <c r="Q12" i="27"/>
  <c r="BH129" i="9"/>
  <c r="W50" i="27"/>
  <c r="V50" i="27"/>
  <c r="BH29" i="9"/>
  <c r="BN93" i="9"/>
  <c r="BE93" i="9" s="1"/>
  <c r="BL129" i="9"/>
  <c r="BJ29" i="9"/>
  <c r="BH94" i="9"/>
  <c r="BL29" i="9"/>
  <c r="BJ94" i="9"/>
  <c r="S48" i="27"/>
  <c r="CY23" i="9"/>
  <c r="BG29" i="9"/>
  <c r="DQ23" i="9"/>
  <c r="BG94" i="9"/>
  <c r="BF131" i="9"/>
  <c r="BF95" i="9"/>
  <c r="BF62" i="9"/>
  <c r="BF30" i="9"/>
  <c r="U2" i="24"/>
  <c r="U7" i="24" s="1"/>
  <c r="BL94" i="9"/>
  <c r="DZ23" i="9"/>
  <c r="BA26" i="23"/>
  <c r="AZ6" i="23"/>
  <c r="BA32" i="23"/>
  <c r="Y13" i="24"/>
  <c r="Y17" i="24"/>
  <c r="Y18" i="24" s="1"/>
  <c r="BG61" i="9"/>
  <c r="BN61" i="9" s="1"/>
  <c r="BE61" i="9" s="1"/>
  <c r="CC25" i="9"/>
  <c r="CD25" i="9" s="1"/>
  <c r="CF25" i="9" s="1"/>
  <c r="CB26" i="9"/>
  <c r="BN28" i="9"/>
  <c r="BE28" i="9" s="1"/>
  <c r="BG129" i="9"/>
  <c r="BN129" i="9" s="1"/>
  <c r="BE129" i="9" s="1"/>
  <c r="BK94" i="9"/>
  <c r="BK29" i="9"/>
  <c r="BM94" i="9"/>
  <c r="BI29" i="9"/>
  <c r="Q38" i="27"/>
  <c r="Q36" i="27"/>
  <c r="Q37" i="27"/>
  <c r="Q39" i="27"/>
  <c r="Y24" i="24" l="1"/>
  <c r="Q8" i="19"/>
  <c r="Q13" i="19"/>
  <c r="Q10" i="19"/>
  <c r="Q9" i="19"/>
  <c r="R11" i="19"/>
  <c r="Q18" i="27"/>
  <c r="R12" i="19"/>
  <c r="Q17" i="27"/>
  <c r="BM130" i="9"/>
  <c r="BK95" i="9"/>
  <c r="U60" i="16"/>
  <c r="U52" i="16"/>
  <c r="U58" i="16"/>
  <c r="V16" i="27"/>
  <c r="BI130" i="9"/>
  <c r="AQ33" i="18"/>
  <c r="L18" i="11" s="1"/>
  <c r="R29" i="23" s="1"/>
  <c r="V44" i="16"/>
  <c r="V45" i="16"/>
  <c r="AE12" i="18"/>
  <c r="AE26" i="18" s="1"/>
  <c r="R29" i="27"/>
  <c r="AE17" i="18"/>
  <c r="AP32" i="18" s="1"/>
  <c r="AF30" i="18"/>
  <c r="U54" i="16"/>
  <c r="AD23" i="27"/>
  <c r="L28" i="11" s="1"/>
  <c r="AD14" i="18"/>
  <c r="AD28" i="18" s="1"/>
  <c r="AD11" i="18"/>
  <c r="AD25" i="18" s="1"/>
  <c r="AD8" i="18"/>
  <c r="AD19" i="18" s="1"/>
  <c r="AD9" i="18"/>
  <c r="AD23" i="18" s="1"/>
  <c r="V51" i="16"/>
  <c r="V50" i="16" s="1"/>
  <c r="AE16" i="18"/>
  <c r="R22" i="27"/>
  <c r="AE15" i="18"/>
  <c r="AE29" i="18" s="1"/>
  <c r="AF18" i="18"/>
  <c r="V57" i="16"/>
  <c r="V56" i="16" s="1"/>
  <c r="V42" i="16"/>
  <c r="R21" i="27"/>
  <c r="AE10" i="18"/>
  <c r="AE24" i="18" s="1"/>
  <c r="V53" i="16"/>
  <c r="Q27" i="27"/>
  <c r="Q28" i="27"/>
  <c r="V59" i="16"/>
  <c r="AE13" i="18"/>
  <c r="AE27" i="18" s="1"/>
  <c r="R52" i="27"/>
  <c r="R26" i="27"/>
  <c r="W43" i="16"/>
  <c r="W41" i="16"/>
  <c r="R25" i="27"/>
  <c r="BJ95" i="9"/>
  <c r="W16" i="27"/>
  <c r="K72" i="11"/>
  <c r="Q46" i="23" s="1"/>
  <c r="P20" i="27"/>
  <c r="P19" i="27"/>
  <c r="K102" i="11"/>
  <c r="Q91" i="23" s="1"/>
  <c r="AX10" i="23" s="1"/>
  <c r="K103" i="11"/>
  <c r="Q92" i="23" s="1"/>
  <c r="AX11" i="23" s="1"/>
  <c r="K101" i="11"/>
  <c r="Q89" i="23" s="1"/>
  <c r="AX13" i="23" s="1"/>
  <c r="K104" i="11"/>
  <c r="Q90" i="23" s="1"/>
  <c r="AX9" i="23" s="1"/>
  <c r="S39" i="16"/>
  <c r="S7" i="16"/>
  <c r="S4" i="24"/>
  <c r="S48" i="16"/>
  <c r="S63" i="16"/>
  <c r="S3" i="24"/>
  <c r="S5" i="24"/>
  <c r="S8" i="16"/>
  <c r="U18" i="16"/>
  <c r="U36" i="16" s="1"/>
  <c r="U6" i="16"/>
  <c r="U21" i="16"/>
  <c r="U29" i="16" s="1"/>
  <c r="P47" i="27"/>
  <c r="P46" i="27"/>
  <c r="P30" i="27"/>
  <c r="P7" i="27"/>
  <c r="O24" i="27"/>
  <c r="O13" i="27"/>
  <c r="T27" i="16"/>
  <c r="T14" i="16"/>
  <c r="T32" i="16"/>
  <c r="T34" i="16" s="1"/>
  <c r="T35" i="16" s="1"/>
  <c r="T17" i="16"/>
  <c r="T13" i="16"/>
  <c r="T24" i="16"/>
  <c r="T25" i="16"/>
  <c r="T28" i="16"/>
  <c r="T26" i="16"/>
  <c r="T33" i="16"/>
  <c r="T12" i="16"/>
  <c r="T11" i="16" s="1"/>
  <c r="T23" i="16"/>
  <c r="O14" i="27"/>
  <c r="R9" i="16"/>
  <c r="Z6" i="18"/>
  <c r="N6" i="19"/>
  <c r="R6" i="24"/>
  <c r="U15" i="16"/>
  <c r="J24" i="11" s="1"/>
  <c r="P31" i="23" s="1"/>
  <c r="P11" i="27"/>
  <c r="P10" i="27"/>
  <c r="AB51" i="27"/>
  <c r="AB31" i="27"/>
  <c r="AB34" i="27"/>
  <c r="AB33" i="27"/>
  <c r="AB32" i="27"/>
  <c r="O4" i="27"/>
  <c r="O3" i="27"/>
  <c r="O2" i="27"/>
  <c r="O5" i="27"/>
  <c r="O6" i="27"/>
  <c r="O8" i="27"/>
  <c r="O9" i="27"/>
  <c r="P4" i="19"/>
  <c r="P7" i="19" s="1"/>
  <c r="AB3" i="18"/>
  <c r="AB7" i="18" s="1"/>
  <c r="T5" i="16"/>
  <c r="T10" i="16" s="1"/>
  <c r="T40" i="16" s="1"/>
  <c r="T49" i="16" s="1"/>
  <c r="DY25" i="9"/>
  <c r="DU25" i="9"/>
  <c r="DX25" i="9"/>
  <c r="DT25" i="9"/>
  <c r="DW25" i="9"/>
  <c r="DS25" i="9"/>
  <c r="DE25" i="9"/>
  <c r="DA25" i="9"/>
  <c r="DH25" i="9" s="1"/>
  <c r="DD25" i="9"/>
  <c r="DG25" i="9"/>
  <c r="DC25" i="9"/>
  <c r="DB25" i="9"/>
  <c r="DV25" i="9"/>
  <c r="DF25" i="9"/>
  <c r="CX25" i="9"/>
  <c r="CO25" i="9"/>
  <c r="BM63" i="9" s="1"/>
  <c r="DL25" i="9"/>
  <c r="DO25" i="9"/>
  <c r="DN25" i="9"/>
  <c r="CJ25" i="9"/>
  <c r="BH63" i="9" s="1"/>
  <c r="CL25" i="9"/>
  <c r="BJ63" i="9" s="1"/>
  <c r="DP25" i="9"/>
  <c r="CU25" i="9"/>
  <c r="CT25" i="9"/>
  <c r="CS25" i="9"/>
  <c r="CV25" i="9"/>
  <c r="CN25" i="9"/>
  <c r="BL63" i="9" s="1"/>
  <c r="CI25" i="9"/>
  <c r="CP25" i="9" s="1"/>
  <c r="DJ25" i="9"/>
  <c r="DM25" i="9"/>
  <c r="CW25" i="9"/>
  <c r="CR25" i="9"/>
  <c r="CK25" i="9"/>
  <c r="BI63" i="9" s="1"/>
  <c r="CM25" i="9"/>
  <c r="BK63" i="9" s="1"/>
  <c r="DK25" i="9"/>
  <c r="N1" i="27"/>
  <c r="AA22" i="18"/>
  <c r="AA5" i="18"/>
  <c r="AA4" i="18"/>
  <c r="U22" i="16"/>
  <c r="P45" i="27"/>
  <c r="P12" i="27"/>
  <c r="U16" i="16"/>
  <c r="BL130" i="9"/>
  <c r="U50" i="27"/>
  <c r="R48" i="27"/>
  <c r="W11" i="24"/>
  <c r="W15" i="24"/>
  <c r="W8" i="24"/>
  <c r="W12" i="24" s="1"/>
  <c r="W9" i="24"/>
  <c r="W20" i="24"/>
  <c r="W22" i="24" s="1"/>
  <c r="W23" i="24" s="1"/>
  <c r="BH130" i="9"/>
  <c r="BN94" i="9"/>
  <c r="BE94" i="9" s="1"/>
  <c r="BJ130" i="9"/>
  <c r="BK30" i="9"/>
  <c r="BJ30" i="9"/>
  <c r="BJ131" i="9" s="1"/>
  <c r="BI95" i="9"/>
  <c r="BM30" i="9"/>
  <c r="BL30" i="9"/>
  <c r="T2" i="24"/>
  <c r="T7" i="24" s="1"/>
  <c r="BF31" i="9"/>
  <c r="BF63" i="9"/>
  <c r="BF96" i="9"/>
  <c r="BF132" i="9"/>
  <c r="AZ26" i="23"/>
  <c r="AY6" i="23"/>
  <c r="AZ32" i="23"/>
  <c r="BG30" i="9"/>
  <c r="CY24" i="9"/>
  <c r="BN29" i="9"/>
  <c r="BE29" i="9" s="1"/>
  <c r="BG130" i="9"/>
  <c r="BN130" i="9" s="1"/>
  <c r="BE130" i="9" s="1"/>
  <c r="S15" i="27"/>
  <c r="X8" i="24"/>
  <c r="X12" i="24" s="1"/>
  <c r="X10" i="24"/>
  <c r="X15" i="24"/>
  <c r="X29" i="24"/>
  <c r="X21" i="24"/>
  <c r="R15" i="27"/>
  <c r="W33" i="24"/>
  <c r="W34" i="24" s="1"/>
  <c r="BK130" i="9"/>
  <c r="BI30" i="9"/>
  <c r="BH95" i="9"/>
  <c r="BM95" i="9"/>
  <c r="CB27" i="9"/>
  <c r="CC26" i="9"/>
  <c r="CD26" i="9" s="1"/>
  <c r="CF26" i="9" s="1"/>
  <c r="BG62" i="9"/>
  <c r="BN62" i="9" s="1"/>
  <c r="BE62" i="9" s="1"/>
  <c r="DQ24" i="9"/>
  <c r="BG95" i="9"/>
  <c r="X20" i="24"/>
  <c r="X22" i="24" s="1"/>
  <c r="X23" i="24" s="1"/>
  <c r="X16" i="24"/>
  <c r="X26" i="24"/>
  <c r="X11" i="24"/>
  <c r="X9" i="24"/>
  <c r="X33" i="24"/>
  <c r="X34" i="24" s="1"/>
  <c r="BH30" i="9"/>
  <c r="BL95" i="9"/>
  <c r="DZ24" i="9"/>
  <c r="P38" i="27"/>
  <c r="P37" i="27"/>
  <c r="P39" i="27"/>
  <c r="P36" i="27"/>
  <c r="P13" i="19" l="1"/>
  <c r="P10" i="19"/>
  <c r="P9" i="19"/>
  <c r="P8" i="19"/>
  <c r="Q11" i="19"/>
  <c r="P18" i="27"/>
  <c r="Q12" i="19"/>
  <c r="P17" i="27"/>
  <c r="BK131" i="9"/>
  <c r="T60" i="16"/>
  <c r="T54" i="16"/>
  <c r="T52" i="16"/>
  <c r="T58" i="16"/>
  <c r="W29" i="24"/>
  <c r="BI131" i="9"/>
  <c r="W10" i="24"/>
  <c r="BL131" i="9"/>
  <c r="BH96" i="9"/>
  <c r="W26" i="24"/>
  <c r="AE30" i="18"/>
  <c r="W21" i="24"/>
  <c r="U53" i="16"/>
  <c r="P27" i="27"/>
  <c r="U59" i="16"/>
  <c r="P28" i="27"/>
  <c r="V41" i="16"/>
  <c r="Q25" i="27"/>
  <c r="AD15" i="18"/>
  <c r="AD29" i="18" s="1"/>
  <c r="Q22" i="27"/>
  <c r="AD17" i="18"/>
  <c r="AO32" i="18" s="1"/>
  <c r="AC23" i="27"/>
  <c r="K28" i="11" s="1"/>
  <c r="U44" i="16"/>
  <c r="U45" i="16"/>
  <c r="AC11" i="18"/>
  <c r="AC25" i="18" s="1"/>
  <c r="AC9" i="18"/>
  <c r="AC23" i="18" s="1"/>
  <c r="AC8" i="18"/>
  <c r="AC19" i="18" s="1"/>
  <c r="AC14" i="18"/>
  <c r="AC28" i="18" s="1"/>
  <c r="AD10" i="18"/>
  <c r="AD24" i="18" s="1"/>
  <c r="Q21" i="27"/>
  <c r="AD13" i="18"/>
  <c r="AD27" i="18" s="1"/>
  <c r="Q52" i="27"/>
  <c r="U57" i="16"/>
  <c r="U56" i="16" s="1"/>
  <c r="Q26" i="27"/>
  <c r="V43" i="16"/>
  <c r="AD16" i="18"/>
  <c r="W16" i="24"/>
  <c r="AP31" i="18"/>
  <c r="AE18" i="18"/>
  <c r="Q29" i="27"/>
  <c r="AD12" i="18"/>
  <c r="AD26" i="18" s="1"/>
  <c r="U42" i="16"/>
  <c r="U51" i="16"/>
  <c r="U50" i="16" s="1"/>
  <c r="U16" i="27"/>
  <c r="BM96" i="9"/>
  <c r="BM131" i="9"/>
  <c r="O47" i="27"/>
  <c r="O46" i="27"/>
  <c r="T21" i="16"/>
  <c r="T29" i="16" s="1"/>
  <c r="AA51" i="27"/>
  <c r="AA32" i="27"/>
  <c r="AA31" i="27"/>
  <c r="AA34" i="27"/>
  <c r="AA33" i="27"/>
  <c r="O7" i="27"/>
  <c r="O30" i="27"/>
  <c r="Y6" i="18"/>
  <c r="M6" i="19"/>
  <c r="Q9" i="16"/>
  <c r="Q6" i="24"/>
  <c r="Z4" i="18"/>
  <c r="Z5" i="18"/>
  <c r="Z22" i="18"/>
  <c r="T6" i="16"/>
  <c r="T18" i="16"/>
  <c r="T36" i="16" s="1"/>
  <c r="O12" i="27"/>
  <c r="T16" i="16"/>
  <c r="O45" i="27"/>
  <c r="T22" i="16"/>
  <c r="DV26" i="9"/>
  <c r="DY26" i="9"/>
  <c r="DU26" i="9"/>
  <c r="DX26" i="9"/>
  <c r="DT26" i="9"/>
  <c r="DF26" i="9"/>
  <c r="DB26" i="9"/>
  <c r="DW26" i="9"/>
  <c r="DE26" i="9"/>
  <c r="DA26" i="9"/>
  <c r="DH26" i="9" s="1"/>
  <c r="DS26" i="9"/>
  <c r="DD26" i="9"/>
  <c r="DG26" i="9"/>
  <c r="DC26" i="9"/>
  <c r="CW26" i="9"/>
  <c r="CL26" i="9"/>
  <c r="BJ64" i="9" s="1"/>
  <c r="CO26" i="9"/>
  <c r="BM64" i="9" s="1"/>
  <c r="CN26" i="9"/>
  <c r="BL64" i="9" s="1"/>
  <c r="CR26" i="9"/>
  <c r="DP26" i="9"/>
  <c r="DN26" i="9"/>
  <c r="CM26" i="9"/>
  <c r="BK64" i="9" s="1"/>
  <c r="CU26" i="9"/>
  <c r="CT26" i="9"/>
  <c r="CK26" i="9"/>
  <c r="BI64" i="9" s="1"/>
  <c r="CI26" i="9"/>
  <c r="CP26" i="9" s="1"/>
  <c r="DL26" i="9"/>
  <c r="BI97" i="9" s="1"/>
  <c r="DO26" i="9"/>
  <c r="CJ26" i="9"/>
  <c r="BH64" i="9" s="1"/>
  <c r="DM26" i="9"/>
  <c r="CS26" i="9"/>
  <c r="CV26" i="9"/>
  <c r="CX26" i="9"/>
  <c r="DK26" i="9"/>
  <c r="DJ26" i="9"/>
  <c r="N24" i="27"/>
  <c r="O19" i="27"/>
  <c r="O20" i="27"/>
  <c r="J72" i="11"/>
  <c r="P46" i="23" s="1"/>
  <c r="R7" i="16"/>
  <c r="R63" i="16"/>
  <c r="R3" i="24"/>
  <c r="R48" i="16"/>
  <c r="R8" i="16"/>
  <c r="R5" i="24"/>
  <c r="R39" i="16"/>
  <c r="R4" i="24"/>
  <c r="S32" i="16"/>
  <c r="S34" i="16" s="1"/>
  <c r="S35" i="16" s="1"/>
  <c r="S13" i="16"/>
  <c r="S27" i="16"/>
  <c r="S33" i="16"/>
  <c r="S14" i="16"/>
  <c r="S28" i="16"/>
  <c r="S25" i="16"/>
  <c r="N13" i="27"/>
  <c r="S24" i="16"/>
  <c r="S12" i="16"/>
  <c r="S11" i="16" s="1"/>
  <c r="S17" i="16"/>
  <c r="S23" i="16"/>
  <c r="S26" i="16"/>
  <c r="N14" i="27"/>
  <c r="N6" i="27"/>
  <c r="N9" i="27"/>
  <c r="N5" i="27"/>
  <c r="N2" i="27"/>
  <c r="N8" i="27"/>
  <c r="N3" i="27"/>
  <c r="N4" i="27"/>
  <c r="J104" i="11"/>
  <c r="P90" i="23" s="1"/>
  <c r="AW9" i="23" s="1"/>
  <c r="J102" i="11"/>
  <c r="P91" i="23" s="1"/>
  <c r="AW10" i="23" s="1"/>
  <c r="J103" i="11"/>
  <c r="P92" i="23" s="1"/>
  <c r="AW11" i="23" s="1"/>
  <c r="J101" i="11"/>
  <c r="P89" i="23" s="1"/>
  <c r="AW13" i="23" s="1"/>
  <c r="M1" i="27"/>
  <c r="O11" i="27"/>
  <c r="O10" i="27"/>
  <c r="T15" i="16"/>
  <c r="I24" i="11" s="1"/>
  <c r="O31" i="23" s="1"/>
  <c r="S5" i="16"/>
  <c r="S10" i="16" s="1"/>
  <c r="S40" i="16" s="1"/>
  <c r="S49" i="16" s="1"/>
  <c r="O4" i="19"/>
  <c r="O7" i="19" s="1"/>
  <c r="AA3" i="18"/>
  <c r="AA7" i="18" s="1"/>
  <c r="T50" i="27"/>
  <c r="BN95" i="9"/>
  <c r="BE95" i="9" s="1"/>
  <c r="BI31" i="9"/>
  <c r="BL96" i="9"/>
  <c r="BH131" i="9"/>
  <c r="X24" i="24"/>
  <c r="X27" i="24"/>
  <c r="X30" i="24" s="1"/>
  <c r="X31" i="24" s="1"/>
  <c r="CB28" i="9"/>
  <c r="CC27" i="9"/>
  <c r="CD27" i="9" s="1"/>
  <c r="CF27" i="9" s="1"/>
  <c r="Q48" i="27"/>
  <c r="W27" i="24"/>
  <c r="W30" i="24" s="1"/>
  <c r="W31" i="24" s="1"/>
  <c r="W24" i="24"/>
  <c r="W13" i="24"/>
  <c r="W17" i="24"/>
  <c r="W18" i="24" s="1"/>
  <c r="X13" i="24"/>
  <c r="X17" i="24"/>
  <c r="X18" i="24" s="1"/>
  <c r="BN30" i="9"/>
  <c r="BE30" i="9" s="1"/>
  <c r="BG131" i="9"/>
  <c r="BN131" i="9" s="1"/>
  <c r="BE131" i="9" s="1"/>
  <c r="BG31" i="9"/>
  <c r="CY25" i="9"/>
  <c r="BG63" i="9"/>
  <c r="BN63" i="9" s="1"/>
  <c r="BE63" i="9" s="1"/>
  <c r="DQ25" i="9"/>
  <c r="BG96" i="9"/>
  <c r="S2" i="24"/>
  <c r="S7" i="24" s="1"/>
  <c r="BJ96" i="9"/>
  <c r="BH31" i="9"/>
  <c r="BK31" i="9"/>
  <c r="BK96" i="9"/>
  <c r="BL31" i="9"/>
  <c r="BM31" i="9"/>
  <c r="BF133" i="9"/>
  <c r="BF32" i="9"/>
  <c r="BF64" i="9"/>
  <c r="BF97" i="9"/>
  <c r="DZ25" i="9"/>
  <c r="BI96" i="9"/>
  <c r="BJ31" i="9"/>
  <c r="O36" i="27"/>
  <c r="O39" i="27"/>
  <c r="O38" i="27"/>
  <c r="O37" i="27"/>
  <c r="O18" i="27" l="1"/>
  <c r="P11" i="19"/>
  <c r="O13" i="19"/>
  <c r="O8" i="19"/>
  <c r="O9" i="19"/>
  <c r="O10" i="19"/>
  <c r="O17" i="27"/>
  <c r="P12" i="19"/>
  <c r="BK97" i="9"/>
  <c r="AD18" i="18"/>
  <c r="S58" i="16"/>
  <c r="S60" i="16"/>
  <c r="S54" i="16"/>
  <c r="S52" i="16"/>
  <c r="BH132" i="9"/>
  <c r="BH97" i="9"/>
  <c r="BL132" i="9"/>
  <c r="U26" i="24"/>
  <c r="BI132" i="9"/>
  <c r="T16" i="27"/>
  <c r="T57" i="16"/>
  <c r="T56" i="16" s="1"/>
  <c r="T45" i="16"/>
  <c r="T44" i="16"/>
  <c r="AD30" i="18"/>
  <c r="AC12" i="18"/>
  <c r="AC26" i="18" s="1"/>
  <c r="P29" i="27"/>
  <c r="AC17" i="18"/>
  <c r="AN32" i="18" s="1"/>
  <c r="AO31" i="18"/>
  <c r="T59" i="16"/>
  <c r="O28" i="27"/>
  <c r="T51" i="16"/>
  <c r="T50" i="16" s="1"/>
  <c r="AP33" i="18"/>
  <c r="K18" i="11" s="1"/>
  <c r="Q29" i="23" s="1"/>
  <c r="K17" i="11"/>
  <c r="Q28" i="23" s="1"/>
  <c r="AC16" i="18"/>
  <c r="AB23" i="27"/>
  <c r="J28" i="11" s="1"/>
  <c r="P21" i="27"/>
  <c r="AC10" i="18"/>
  <c r="AC24" i="18" s="1"/>
  <c r="BM132" i="9"/>
  <c r="P52" i="27"/>
  <c r="AC13" i="18"/>
  <c r="AC27" i="18" s="1"/>
  <c r="AC15" i="18"/>
  <c r="AC29" i="18" s="1"/>
  <c r="P22" i="27"/>
  <c r="U43" i="16"/>
  <c r="P26" i="27"/>
  <c r="AB11" i="18"/>
  <c r="AB25" i="18" s="1"/>
  <c r="AB14" i="18"/>
  <c r="AB28" i="18" s="1"/>
  <c r="AB9" i="18"/>
  <c r="AB23" i="18" s="1"/>
  <c r="AB8" i="18"/>
  <c r="AB19" i="18" s="1"/>
  <c r="T42" i="16"/>
  <c r="O27" i="27"/>
  <c r="T53" i="16"/>
  <c r="I72" i="11"/>
  <c r="O46" i="23" s="1"/>
  <c r="P25" i="27"/>
  <c r="U41" i="16"/>
  <c r="M24" i="27"/>
  <c r="N4" i="19"/>
  <c r="N7" i="19" s="1"/>
  <c r="Z3" i="18"/>
  <c r="Z7" i="18" s="1"/>
  <c r="R5" i="16"/>
  <c r="R10" i="16" s="1"/>
  <c r="R40" i="16" s="1"/>
  <c r="R49" i="16" s="1"/>
  <c r="N12" i="27"/>
  <c r="S16" i="16"/>
  <c r="Y22" i="18"/>
  <c r="Y4" i="18"/>
  <c r="Y5" i="18"/>
  <c r="I102" i="11"/>
  <c r="O91" i="23" s="1"/>
  <c r="AV10" i="23" s="1"/>
  <c r="I104" i="11"/>
  <c r="O90" i="23" s="1"/>
  <c r="AV9" i="23" s="1"/>
  <c r="I101" i="11"/>
  <c r="O89" i="23" s="1"/>
  <c r="AV13" i="23" s="1"/>
  <c r="I103" i="11"/>
  <c r="O92" i="23" s="1"/>
  <c r="AV11" i="23" s="1"/>
  <c r="N20" i="27"/>
  <c r="N19" i="27"/>
  <c r="N46" i="27"/>
  <c r="S21" i="16"/>
  <c r="S29" i="16" s="1"/>
  <c r="N47" i="27"/>
  <c r="Z51" i="27"/>
  <c r="Z31" i="27"/>
  <c r="Z34" i="27"/>
  <c r="Z33" i="27"/>
  <c r="Z32" i="27"/>
  <c r="S18" i="16"/>
  <c r="S36" i="16" s="1"/>
  <c r="S6" i="16"/>
  <c r="Q39" i="16"/>
  <c r="Q3" i="24"/>
  <c r="Q5" i="24"/>
  <c r="Q48" i="16"/>
  <c r="Q4" i="24"/>
  <c r="Q8" i="16"/>
  <c r="Q63" i="16"/>
  <c r="Q7" i="16"/>
  <c r="P6" i="24"/>
  <c r="P9" i="16"/>
  <c r="X6" i="18"/>
  <c r="L6" i="19"/>
  <c r="DW27" i="9"/>
  <c r="DS27" i="9"/>
  <c r="DV27" i="9"/>
  <c r="DY27" i="9"/>
  <c r="DU27" i="9"/>
  <c r="DT27" i="9"/>
  <c r="DG27" i="9"/>
  <c r="DC27" i="9"/>
  <c r="DF27" i="9"/>
  <c r="DB27" i="9"/>
  <c r="DE27" i="9"/>
  <c r="DA27" i="9"/>
  <c r="DH27" i="9" s="1"/>
  <c r="DD27" i="9"/>
  <c r="DX27" i="9"/>
  <c r="CS27" i="9"/>
  <c r="CO27" i="9"/>
  <c r="BM65" i="9" s="1"/>
  <c r="DN27" i="9"/>
  <c r="DP27" i="9"/>
  <c r="CX27" i="9"/>
  <c r="CW27" i="9"/>
  <c r="CV27" i="9"/>
  <c r="CM27" i="9"/>
  <c r="BK65" i="9" s="1"/>
  <c r="DL27" i="9"/>
  <c r="DO27" i="9"/>
  <c r="CU27" i="9"/>
  <c r="CT27" i="9"/>
  <c r="CR27" i="9"/>
  <c r="CN27" i="9"/>
  <c r="BL65" i="9" s="1"/>
  <c r="DM27" i="9"/>
  <c r="CK27" i="9"/>
  <c r="BI65" i="9" s="1"/>
  <c r="CJ27" i="9"/>
  <c r="BH65" i="9" s="1"/>
  <c r="CI27" i="9"/>
  <c r="CP27" i="9" s="1"/>
  <c r="CL27" i="9"/>
  <c r="BJ65" i="9" s="1"/>
  <c r="DJ27" i="9"/>
  <c r="DK27" i="9"/>
  <c r="M6" i="27"/>
  <c r="M8" i="27"/>
  <c r="M4" i="27"/>
  <c r="M3" i="27"/>
  <c r="M2" i="27"/>
  <c r="M9" i="27"/>
  <c r="M5" i="27"/>
  <c r="N30" i="27"/>
  <c r="N7" i="27"/>
  <c r="N45" i="27"/>
  <c r="S22" i="16"/>
  <c r="N10" i="27"/>
  <c r="N11" i="27"/>
  <c r="S15" i="16"/>
  <c r="H24" i="11" s="1"/>
  <c r="Y24" i="11" s="1"/>
  <c r="L1" i="27"/>
  <c r="R25" i="16"/>
  <c r="R33" i="16"/>
  <c r="R32" i="16"/>
  <c r="R34" i="16" s="1"/>
  <c r="R35" i="16" s="1"/>
  <c r="M14" i="27"/>
  <c r="R24" i="16"/>
  <c r="R27" i="16"/>
  <c r="R12" i="16"/>
  <c r="R11" i="16" s="1"/>
  <c r="M13" i="27"/>
  <c r="R13" i="16"/>
  <c r="R17" i="16"/>
  <c r="R14" i="16"/>
  <c r="R26" i="16"/>
  <c r="R28" i="16"/>
  <c r="R23" i="16"/>
  <c r="U11" i="24"/>
  <c r="U33" i="24"/>
  <c r="U34" i="24" s="1"/>
  <c r="U29" i="24"/>
  <c r="U21" i="24"/>
  <c r="U8" i="24"/>
  <c r="U12" i="24" s="1"/>
  <c r="P48" i="27"/>
  <c r="U15" i="24"/>
  <c r="U10" i="24"/>
  <c r="BL32" i="9"/>
  <c r="BH32" i="9"/>
  <c r="BN96" i="9"/>
  <c r="BE96" i="9" s="1"/>
  <c r="BJ132" i="9"/>
  <c r="BM32" i="9"/>
  <c r="BK32" i="9"/>
  <c r="BG64" i="9"/>
  <c r="BN64" i="9" s="1"/>
  <c r="BE64" i="9" s="1"/>
  <c r="DQ26" i="9"/>
  <c r="BG97" i="9"/>
  <c r="BN31" i="9"/>
  <c r="BE31" i="9" s="1"/>
  <c r="BG132" i="9"/>
  <c r="BN132" i="9" s="1"/>
  <c r="BE132" i="9" s="1"/>
  <c r="V21" i="24"/>
  <c r="V15" i="24"/>
  <c r="V11" i="24"/>
  <c r="V29" i="24"/>
  <c r="V20" i="24"/>
  <c r="V22" i="24" s="1"/>
  <c r="V23" i="24" s="1"/>
  <c r="CC28" i="9"/>
  <c r="CD28" i="9" s="1"/>
  <c r="CF28" i="9" s="1"/>
  <c r="CB29" i="9"/>
  <c r="BJ32" i="9"/>
  <c r="BJ97" i="9"/>
  <c r="R2" i="24"/>
  <c r="R7" i="24" s="1"/>
  <c r="BG32" i="9"/>
  <c r="CY26" i="9"/>
  <c r="V10" i="24"/>
  <c r="V9" i="24"/>
  <c r="V26" i="24"/>
  <c r="V16" i="24"/>
  <c r="Q15" i="27"/>
  <c r="V8" i="24"/>
  <c r="V12" i="24" s="1"/>
  <c r="V33" i="24"/>
  <c r="V34" i="24" s="1"/>
  <c r="BF33" i="9"/>
  <c r="BF98" i="9"/>
  <c r="BF134" i="9"/>
  <c r="BF65" i="9"/>
  <c r="DZ26" i="9"/>
  <c r="BM97" i="9"/>
  <c r="BI32" i="9"/>
  <c r="BI133" i="9" s="1"/>
  <c r="BL97" i="9"/>
  <c r="BK132" i="9"/>
  <c r="N38" i="27"/>
  <c r="N37" i="27"/>
  <c r="N39" i="27"/>
  <c r="N36" i="27"/>
  <c r="BK133" i="9" l="1"/>
  <c r="N18" i="27"/>
  <c r="O11" i="19"/>
  <c r="N17" i="27"/>
  <c r="O12" i="19"/>
  <c r="N9" i="19"/>
  <c r="N10" i="19"/>
  <c r="N13" i="19"/>
  <c r="N8" i="19"/>
  <c r="R58" i="16"/>
  <c r="R54" i="16"/>
  <c r="R60" i="16"/>
  <c r="R52" i="16"/>
  <c r="BH133" i="9"/>
  <c r="AC18" i="18"/>
  <c r="BL133" i="9"/>
  <c r="U16" i="24"/>
  <c r="BI98" i="9"/>
  <c r="AN31" i="18"/>
  <c r="AN33" i="18" s="1"/>
  <c r="I18" i="11" s="1"/>
  <c r="O29" i="23" s="1"/>
  <c r="AB16" i="18"/>
  <c r="AM31" i="18" s="1"/>
  <c r="H17" i="11" s="1"/>
  <c r="Y17" i="11" s="1"/>
  <c r="S53" i="16"/>
  <c r="N27" i="27"/>
  <c r="S57" i="16"/>
  <c r="S56" i="16" s="1"/>
  <c r="U20" i="24"/>
  <c r="U22" i="24" s="1"/>
  <c r="U23" i="24" s="1"/>
  <c r="U27" i="24" s="1"/>
  <c r="U30" i="24" s="1"/>
  <c r="U31" i="24" s="1"/>
  <c r="P15" i="27"/>
  <c r="AA11" i="18"/>
  <c r="AA8" i="18"/>
  <c r="AA19" i="18" s="1"/>
  <c r="AA9" i="18"/>
  <c r="AA23" i="18" s="1"/>
  <c r="AA14" i="18"/>
  <c r="AA28" i="18" s="1"/>
  <c r="AB10" i="18"/>
  <c r="AB24" i="18" s="1"/>
  <c r="O21" i="27"/>
  <c r="O29" i="27"/>
  <c r="AB12" i="18"/>
  <c r="AB26" i="18" s="1"/>
  <c r="AC30" i="18"/>
  <c r="S42" i="16"/>
  <c r="S51" i="16"/>
  <c r="S50" i="16" s="1"/>
  <c r="O25" i="27"/>
  <c r="T41" i="16"/>
  <c r="AB17" i="18"/>
  <c r="AM32" i="18" s="1"/>
  <c r="O52" i="27"/>
  <c r="AB13" i="18"/>
  <c r="AB27" i="18" s="1"/>
  <c r="AA23" i="27"/>
  <c r="I28" i="11" s="1"/>
  <c r="N28" i="27"/>
  <c r="S59" i="16"/>
  <c r="AX6" i="23"/>
  <c r="AY26" i="23"/>
  <c r="AY32" i="23"/>
  <c r="O22" i="27"/>
  <c r="AB15" i="18"/>
  <c r="AB29" i="18" s="1"/>
  <c r="S45" i="16"/>
  <c r="S44" i="16"/>
  <c r="AO33" i="18"/>
  <c r="J18" i="11" s="1"/>
  <c r="P29" i="23" s="1"/>
  <c r="J17" i="11"/>
  <c r="P28" i="23" s="1"/>
  <c r="O26" i="27"/>
  <c r="T43" i="16"/>
  <c r="BM133" i="9"/>
  <c r="DX28" i="9"/>
  <c r="DT28" i="9"/>
  <c r="DW28" i="9"/>
  <c r="DS28" i="9"/>
  <c r="DV28" i="9"/>
  <c r="DD28" i="9"/>
  <c r="DY28" i="9"/>
  <c r="DG28" i="9"/>
  <c r="DC28" i="9"/>
  <c r="DU28" i="9"/>
  <c r="DF28" i="9"/>
  <c r="DB28" i="9"/>
  <c r="DE28" i="9"/>
  <c r="DA28" i="9"/>
  <c r="DH28" i="9" s="1"/>
  <c r="CV28" i="9"/>
  <c r="CR28" i="9"/>
  <c r="DJ28" i="9"/>
  <c r="DL28" i="9"/>
  <c r="BI99" i="9" s="1"/>
  <c r="CS28" i="9"/>
  <c r="CX28" i="9"/>
  <c r="CL28" i="9"/>
  <c r="BJ66" i="9" s="1"/>
  <c r="CN28" i="9"/>
  <c r="BL66" i="9" s="1"/>
  <c r="DO28" i="9"/>
  <c r="DM28" i="9"/>
  <c r="CJ28" i="9"/>
  <c r="BH66" i="9" s="1"/>
  <c r="DK28" i="9"/>
  <c r="CW28" i="9"/>
  <c r="CU28" i="9"/>
  <c r="CK28" i="9"/>
  <c r="BI66" i="9" s="1"/>
  <c r="CI28" i="9"/>
  <c r="CP28" i="9" s="1"/>
  <c r="DP28" i="9"/>
  <c r="CT28" i="9"/>
  <c r="CO28" i="9"/>
  <c r="BM66" i="9" s="1"/>
  <c r="CM28" i="9"/>
  <c r="BK66" i="9" s="1"/>
  <c r="DN28" i="9"/>
  <c r="R6" i="16"/>
  <c r="R18" i="16"/>
  <c r="R36" i="16" s="1"/>
  <c r="P39" i="16"/>
  <c r="P48" i="16"/>
  <c r="P3" i="24"/>
  <c r="P7" i="16"/>
  <c r="P5" i="24"/>
  <c r="P63" i="16"/>
  <c r="P4" i="24"/>
  <c r="P8" i="16"/>
  <c r="M4" i="19"/>
  <c r="M7" i="19" s="1"/>
  <c r="Q5" i="16"/>
  <c r="Q10" i="16" s="1"/>
  <c r="Q40" i="16" s="1"/>
  <c r="Q49" i="16" s="1"/>
  <c r="Y3" i="18"/>
  <c r="Y7" i="18" s="1"/>
  <c r="R22" i="16"/>
  <c r="M45" i="27"/>
  <c r="Y51" i="27"/>
  <c r="Y32" i="27"/>
  <c r="Y31" i="27"/>
  <c r="Y34" i="27"/>
  <c r="Y33" i="27"/>
  <c r="M47" i="27"/>
  <c r="R21" i="16"/>
  <c r="R29" i="16" s="1"/>
  <c r="M46" i="27"/>
  <c r="L6" i="27"/>
  <c r="L4" i="27"/>
  <c r="L5" i="27"/>
  <c r="L2" i="27"/>
  <c r="L3" i="27"/>
  <c r="L9" i="27"/>
  <c r="L8" i="27"/>
  <c r="M7" i="27"/>
  <c r="M30" i="27"/>
  <c r="X5" i="18"/>
  <c r="X22" i="18"/>
  <c r="X4" i="18"/>
  <c r="H72" i="11"/>
  <c r="Q14" i="16"/>
  <c r="Q12" i="16"/>
  <c r="Q11" i="16" s="1"/>
  <c r="Q28" i="16"/>
  <c r="Q27" i="16"/>
  <c r="L14" i="27"/>
  <c r="Q32" i="16"/>
  <c r="Q34" i="16" s="1"/>
  <c r="Q35" i="16" s="1"/>
  <c r="Q24" i="16"/>
  <c r="Q33" i="16"/>
  <c r="Q13" i="16"/>
  <c r="Q17" i="16"/>
  <c r="Q25" i="16"/>
  <c r="Q26" i="16"/>
  <c r="Q23" i="16"/>
  <c r="L13" i="27"/>
  <c r="R16" i="16"/>
  <c r="M12" i="27"/>
  <c r="L24" i="27"/>
  <c r="M20" i="27"/>
  <c r="M19" i="27"/>
  <c r="AA25" i="18"/>
  <c r="K1" i="27"/>
  <c r="E43" i="16"/>
  <c r="E41" i="16"/>
  <c r="E45" i="16"/>
  <c r="E42" i="16"/>
  <c r="E44" i="16"/>
  <c r="H103" i="11"/>
  <c r="Y103" i="11" s="1"/>
  <c r="H102" i="11"/>
  <c r="Y102" i="11" s="1"/>
  <c r="H104" i="11"/>
  <c r="Y104" i="11" s="1"/>
  <c r="H101" i="11"/>
  <c r="Y101" i="11" s="1"/>
  <c r="R15" i="16"/>
  <c r="M11" i="27"/>
  <c r="M10" i="27"/>
  <c r="O9" i="16"/>
  <c r="W6" i="18"/>
  <c r="O6" i="24"/>
  <c r="K6" i="19"/>
  <c r="U9" i="24"/>
  <c r="S16" i="27"/>
  <c r="S50" i="27"/>
  <c r="R16" i="27"/>
  <c r="R50" i="27"/>
  <c r="BJ33" i="9"/>
  <c r="BK33" i="9"/>
  <c r="BN97" i="9"/>
  <c r="BE97" i="9" s="1"/>
  <c r="BK98" i="9"/>
  <c r="DZ27" i="9"/>
  <c r="BI33" i="9"/>
  <c r="BL33" i="9"/>
  <c r="O48" i="27"/>
  <c r="Q2" i="24"/>
  <c r="Q7" i="24" s="1"/>
  <c r="CC29" i="9"/>
  <c r="CD29" i="9" s="1"/>
  <c r="CF29" i="9" s="1"/>
  <c r="CB30" i="9"/>
  <c r="DQ27" i="9"/>
  <c r="BG98" i="9"/>
  <c r="BG65" i="9"/>
  <c r="BN65" i="9" s="1"/>
  <c r="BE65" i="9" s="1"/>
  <c r="CY27" i="9"/>
  <c r="BG33" i="9"/>
  <c r="V13" i="24"/>
  <c r="V17" i="24"/>
  <c r="V18" i="24" s="1"/>
  <c r="BN32" i="9"/>
  <c r="BE32" i="9" s="1"/>
  <c r="BG133" i="9"/>
  <c r="BN133" i="9" s="1"/>
  <c r="BE133" i="9" s="1"/>
  <c r="U13" i="24"/>
  <c r="U17" i="24"/>
  <c r="U18" i="24" s="1"/>
  <c r="BF135" i="9"/>
  <c r="BF66" i="9"/>
  <c r="BF34" i="9"/>
  <c r="BF99" i="9"/>
  <c r="V24" i="24"/>
  <c r="V27" i="24"/>
  <c r="V30" i="24" s="1"/>
  <c r="V31" i="24" s="1"/>
  <c r="BJ98" i="9"/>
  <c r="BM33" i="9"/>
  <c r="BL98" i="9"/>
  <c r="BM98" i="9"/>
  <c r="BH33" i="9"/>
  <c r="BH98" i="9"/>
  <c r="BJ133" i="9"/>
  <c r="M39" i="27"/>
  <c r="M37" i="27"/>
  <c r="M36" i="27"/>
  <c r="M38" i="27"/>
  <c r="M17" i="27" l="1"/>
  <c r="N12" i="19"/>
  <c r="M9" i="19"/>
  <c r="M8" i="19"/>
  <c r="M13" i="19"/>
  <c r="M10" i="19"/>
  <c r="M18" i="27"/>
  <c r="N11" i="19"/>
  <c r="BJ99" i="9"/>
  <c r="Q60" i="16"/>
  <c r="Q58" i="16"/>
  <c r="Q54" i="16"/>
  <c r="Q52" i="16"/>
  <c r="P50" i="27"/>
  <c r="BI134" i="9"/>
  <c r="BI34" i="9"/>
  <c r="BI135" i="9" s="1"/>
  <c r="U24" i="24"/>
  <c r="BJ134" i="9"/>
  <c r="DQ28" i="9"/>
  <c r="M26" i="27"/>
  <c r="I17" i="11"/>
  <c r="O28" i="23" s="1"/>
  <c r="BL134" i="9"/>
  <c r="AM33" i="18"/>
  <c r="H18" i="11" s="1"/>
  <c r="Y18" i="11" s="1"/>
  <c r="AA16" i="18"/>
  <c r="AA17" i="18"/>
  <c r="AL32" i="18" s="1"/>
  <c r="R59" i="16"/>
  <c r="M28" i="27"/>
  <c r="H31" i="30"/>
  <c r="H43" i="30" s="1"/>
  <c r="Z23" i="27"/>
  <c r="H28" i="11" s="1"/>
  <c r="Y28" i="11" s="1"/>
  <c r="AB30" i="18"/>
  <c r="AA10" i="18"/>
  <c r="AA24" i="18" s="1"/>
  <c r="N21" i="27"/>
  <c r="Z14" i="18"/>
  <c r="Z28" i="18" s="1"/>
  <c r="Z8" i="18"/>
  <c r="Z19" i="18" s="1"/>
  <c r="Z9" i="18"/>
  <c r="Z11" i="18"/>
  <c r="Z25" i="18" s="1"/>
  <c r="R53" i="16"/>
  <c r="M27" i="27"/>
  <c r="R57" i="16"/>
  <c r="R56" i="16" s="1"/>
  <c r="N22" i="27"/>
  <c r="AA15" i="18"/>
  <c r="AA29" i="18" s="1"/>
  <c r="AA12" i="18"/>
  <c r="AA26" i="18" s="1"/>
  <c r="N29" i="27"/>
  <c r="R44" i="16"/>
  <c r="R45" i="16"/>
  <c r="R42" i="16"/>
  <c r="AW6" i="23"/>
  <c r="AX32" i="23"/>
  <c r="AX26" i="23"/>
  <c r="N25" i="27"/>
  <c r="S41" i="16"/>
  <c r="S43" i="16"/>
  <c r="N26" i="27"/>
  <c r="AA13" i="18"/>
  <c r="AA27" i="18" s="1"/>
  <c r="N52" i="27"/>
  <c r="R51" i="16"/>
  <c r="R50" i="16" s="1"/>
  <c r="AB18" i="18"/>
  <c r="J1" i="27"/>
  <c r="L46" i="27"/>
  <c r="Q21" i="16"/>
  <c r="Q29" i="16" s="1"/>
  <c r="L47" i="27"/>
  <c r="X51" i="27"/>
  <c r="X32" i="27"/>
  <c r="X31" i="27"/>
  <c r="X34" i="27"/>
  <c r="X33" i="27"/>
  <c r="Z23" i="18"/>
  <c r="DY29" i="9"/>
  <c r="DU29" i="9"/>
  <c r="DX29" i="9"/>
  <c r="DT29" i="9"/>
  <c r="DW29" i="9"/>
  <c r="DS29" i="9"/>
  <c r="DV29" i="9"/>
  <c r="DE29" i="9"/>
  <c r="DA29" i="9"/>
  <c r="DH29" i="9" s="1"/>
  <c r="DD29" i="9"/>
  <c r="DG29" i="9"/>
  <c r="DC29" i="9"/>
  <c r="DF29" i="9"/>
  <c r="DB29" i="9"/>
  <c r="CU29" i="9"/>
  <c r="CW29" i="9"/>
  <c r="CJ29" i="9"/>
  <c r="BH67" i="9" s="1"/>
  <c r="CM29" i="9"/>
  <c r="BK67" i="9" s="1"/>
  <c r="CL29" i="9"/>
  <c r="BJ67" i="9" s="1"/>
  <c r="DP29" i="9"/>
  <c r="DO29" i="9"/>
  <c r="CO29" i="9"/>
  <c r="BM67" i="9" s="1"/>
  <c r="CV29" i="9"/>
  <c r="CR29" i="9"/>
  <c r="DK29" i="9"/>
  <c r="DN29" i="9"/>
  <c r="DM29" i="9"/>
  <c r="BJ100" i="9" s="1"/>
  <c r="CK29" i="9"/>
  <c r="BI67" i="9" s="1"/>
  <c r="CT29" i="9"/>
  <c r="CN29" i="9"/>
  <c r="BL67" i="9" s="1"/>
  <c r="DL29" i="9"/>
  <c r="CX29" i="9"/>
  <c r="CS29" i="9"/>
  <c r="CI29" i="9"/>
  <c r="CP29" i="9" s="1"/>
  <c r="DJ29" i="9"/>
  <c r="K24" i="27"/>
  <c r="L4" i="19"/>
  <c r="L7" i="19" s="1"/>
  <c r="X3" i="18"/>
  <c r="X7" i="18" s="1"/>
  <c r="P5" i="16"/>
  <c r="P10" i="16" s="1"/>
  <c r="P40" i="16" s="1"/>
  <c r="P49" i="16" s="1"/>
  <c r="L19" i="27"/>
  <c r="L20" i="27"/>
  <c r="P12" i="16"/>
  <c r="P11" i="16" s="1"/>
  <c r="P33" i="16"/>
  <c r="P17" i="16"/>
  <c r="K13" i="27"/>
  <c r="P26" i="16"/>
  <c r="P27" i="16"/>
  <c r="P28" i="16"/>
  <c r="K14" i="27"/>
  <c r="P32" i="16"/>
  <c r="P34" i="16" s="1"/>
  <c r="P35" i="16" s="1"/>
  <c r="P14" i="16"/>
  <c r="P23" i="16"/>
  <c r="P13" i="16"/>
  <c r="P25" i="16"/>
  <c r="P24" i="16"/>
  <c r="N9" i="16"/>
  <c r="J6" i="19"/>
  <c r="V6" i="18"/>
  <c r="N6" i="24"/>
  <c r="W4" i="18"/>
  <c r="W5" i="18"/>
  <c r="W22" i="18"/>
  <c r="K8" i="27"/>
  <c r="K4" i="27"/>
  <c r="K6" i="27"/>
  <c r="K5" i="27"/>
  <c r="K9" i="27"/>
  <c r="K2" i="27"/>
  <c r="K3" i="27"/>
  <c r="Q16" i="16"/>
  <c r="L12" i="27"/>
  <c r="Q18" i="16"/>
  <c r="Q36" i="16" s="1"/>
  <c r="Q6" i="16"/>
  <c r="L7" i="27"/>
  <c r="L30" i="27"/>
  <c r="O63" i="16"/>
  <c r="O8" i="16"/>
  <c r="O3" i="24"/>
  <c r="O5" i="24"/>
  <c r="O48" i="16"/>
  <c r="O7" i="16"/>
  <c r="O4" i="24"/>
  <c r="O39" i="16"/>
  <c r="L10" i="27"/>
  <c r="Q15" i="16"/>
  <c r="L11" i="27"/>
  <c r="L45" i="27"/>
  <c r="Q22" i="16"/>
  <c r="D42" i="16"/>
  <c r="G42" i="16" s="1"/>
  <c r="D45" i="16"/>
  <c r="G45" i="16" s="1"/>
  <c r="D43" i="16"/>
  <c r="G43" i="16" s="1"/>
  <c r="D41" i="16"/>
  <c r="F41" i="16" s="1"/>
  <c r="D44" i="16"/>
  <c r="F44" i="16" s="1"/>
  <c r="BK134" i="9"/>
  <c r="BN98" i="9"/>
  <c r="BE98" i="9" s="1"/>
  <c r="BH134" i="9"/>
  <c r="BM134" i="9"/>
  <c r="BK99" i="9"/>
  <c r="BJ34" i="9"/>
  <c r="BL99" i="9"/>
  <c r="BM34" i="9"/>
  <c r="BH34" i="9"/>
  <c r="BG66" i="9"/>
  <c r="BN66" i="9" s="1"/>
  <c r="BE66" i="9" s="1"/>
  <c r="BF100" i="9"/>
  <c r="BF35" i="9"/>
  <c r="BF136" i="9"/>
  <c r="BF67" i="9"/>
  <c r="T21" i="24"/>
  <c r="T15" i="24"/>
  <c r="T9" i="24"/>
  <c r="T29" i="24"/>
  <c r="T20" i="24"/>
  <c r="T22" i="24" s="1"/>
  <c r="T23" i="24" s="1"/>
  <c r="BL34" i="9"/>
  <c r="BM99" i="9"/>
  <c r="BK34" i="9"/>
  <c r="BH99" i="9"/>
  <c r="N48" i="27"/>
  <c r="BG34" i="9"/>
  <c r="CY28" i="9"/>
  <c r="BG99" i="9"/>
  <c r="DZ28" i="9"/>
  <c r="P2" i="24"/>
  <c r="P7" i="24" s="1"/>
  <c r="BN33" i="9"/>
  <c r="BE33" i="9" s="1"/>
  <c r="BG134" i="9"/>
  <c r="BN134" i="9" s="1"/>
  <c r="BE134" i="9" s="1"/>
  <c r="CC30" i="9"/>
  <c r="CD30" i="9" s="1"/>
  <c r="CF30" i="9" s="1"/>
  <c r="CB31" i="9"/>
  <c r="T10" i="24"/>
  <c r="T11" i="24"/>
  <c r="T26" i="24"/>
  <c r="T16" i="24"/>
  <c r="T8" i="24"/>
  <c r="T12" i="24" s="1"/>
  <c r="O15" i="27"/>
  <c r="T33" i="24"/>
  <c r="T34" i="24" s="1"/>
  <c r="L39" i="27"/>
  <c r="L38" i="27"/>
  <c r="L37" i="27"/>
  <c r="L36" i="27"/>
  <c r="L17" i="27" l="1"/>
  <c r="M12" i="19"/>
  <c r="L8" i="19"/>
  <c r="L13" i="19"/>
  <c r="L9" i="19"/>
  <c r="L10" i="19"/>
  <c r="L18" i="27"/>
  <c r="M11" i="19"/>
  <c r="BJ135" i="9"/>
  <c r="P60" i="16"/>
  <c r="P58" i="16"/>
  <c r="P54" i="16"/>
  <c r="P52" i="16"/>
  <c r="R43" i="16"/>
  <c r="BL135" i="9"/>
  <c r="AA30" i="18"/>
  <c r="BM135" i="9"/>
  <c r="AW32" i="23"/>
  <c r="AW26" i="23"/>
  <c r="AV6" i="23"/>
  <c r="Z13" i="18"/>
  <c r="Z27" i="18" s="1"/>
  <c r="M52" i="27"/>
  <c r="Z15" i="18"/>
  <c r="Z29" i="18" s="1"/>
  <c r="M22" i="27"/>
  <c r="Z16" i="18"/>
  <c r="AK31" i="18" s="1"/>
  <c r="Z10" i="18"/>
  <c r="Z24" i="18" s="1"/>
  <c r="M21" i="27"/>
  <c r="Y23" i="27"/>
  <c r="Q51" i="16"/>
  <c r="Q50" i="16" s="1"/>
  <c r="Q45" i="16"/>
  <c r="Q44" i="16"/>
  <c r="Q42" i="16"/>
  <c r="Y11" i="18"/>
  <c r="Y25" i="18" s="1"/>
  <c r="Y9" i="18"/>
  <c r="Y23" i="18" s="1"/>
  <c r="Y14" i="18"/>
  <c r="Y28" i="18" s="1"/>
  <c r="Y8" i="18"/>
  <c r="Y19" i="18" s="1"/>
  <c r="AL31" i="18"/>
  <c r="AL33" i="18" s="1"/>
  <c r="AA18" i="18"/>
  <c r="Z17" i="18"/>
  <c r="AK32" i="18" s="1"/>
  <c r="Z12" i="18"/>
  <c r="Z26" i="18" s="1"/>
  <c r="M29" i="27"/>
  <c r="L27" i="27"/>
  <c r="Q53" i="16"/>
  <c r="Q57" i="16"/>
  <c r="Q56" i="16" s="1"/>
  <c r="L28" i="27"/>
  <c r="Q59" i="16"/>
  <c r="M25" i="27"/>
  <c r="R41" i="16"/>
  <c r="BH135" i="9"/>
  <c r="G41" i="16"/>
  <c r="O13" i="16"/>
  <c r="O27" i="16"/>
  <c r="O24" i="16"/>
  <c r="O28" i="16"/>
  <c r="O33" i="16"/>
  <c r="O25" i="16"/>
  <c r="J14" i="27"/>
  <c r="O32" i="16"/>
  <c r="O34" i="16" s="1"/>
  <c r="O35" i="16" s="1"/>
  <c r="O23" i="16"/>
  <c r="O17" i="16"/>
  <c r="O14" i="16"/>
  <c r="O26" i="16"/>
  <c r="J13" i="27"/>
  <c r="O12" i="16"/>
  <c r="O11" i="16" s="1"/>
  <c r="K20" i="27"/>
  <c r="K19" i="27"/>
  <c r="V22" i="18"/>
  <c r="V5" i="18"/>
  <c r="V4" i="18"/>
  <c r="J4" i="27"/>
  <c r="J8" i="27"/>
  <c r="J9" i="27"/>
  <c r="J6" i="27"/>
  <c r="J2" i="27"/>
  <c r="J5" i="27"/>
  <c r="J3" i="27"/>
  <c r="K30" i="27"/>
  <c r="K7" i="27"/>
  <c r="I1" i="27"/>
  <c r="M9" i="16"/>
  <c r="I6" i="19"/>
  <c r="M6" i="24"/>
  <c r="U6" i="18"/>
  <c r="P15" i="16"/>
  <c r="K11" i="27"/>
  <c r="K10" i="27"/>
  <c r="K47" i="27"/>
  <c r="P21" i="16"/>
  <c r="P29" i="16" s="1"/>
  <c r="K46" i="27"/>
  <c r="P6" i="16"/>
  <c r="P18" i="16"/>
  <c r="P36" i="16" s="1"/>
  <c r="F43" i="16"/>
  <c r="J24" i="27"/>
  <c r="F42" i="16"/>
  <c r="O5" i="16"/>
  <c r="O10" i="16" s="1"/>
  <c r="O40" i="16" s="1"/>
  <c r="O49" i="16" s="1"/>
  <c r="W3" i="18"/>
  <c r="W7" i="18" s="1"/>
  <c r="K4" i="19"/>
  <c r="K7" i="19" s="1"/>
  <c r="DV30" i="9"/>
  <c r="DY30" i="9"/>
  <c r="DU30" i="9"/>
  <c r="DX30" i="9"/>
  <c r="DT30" i="9"/>
  <c r="DF30" i="9"/>
  <c r="DB30" i="9"/>
  <c r="DE30" i="9"/>
  <c r="DA30" i="9"/>
  <c r="DH30" i="9" s="1"/>
  <c r="DW30" i="9"/>
  <c r="DD30" i="9"/>
  <c r="DS30" i="9"/>
  <c r="DG30" i="9"/>
  <c r="DC30" i="9"/>
  <c r="CT30" i="9"/>
  <c r="DL30" i="9"/>
  <c r="DK30" i="9"/>
  <c r="CO30" i="9"/>
  <c r="BM68" i="9" s="1"/>
  <c r="CI30" i="9"/>
  <c r="CP30" i="9" s="1"/>
  <c r="DO30" i="9"/>
  <c r="BL101" i="9" s="1"/>
  <c r="CW30" i="9"/>
  <c r="CV30" i="9"/>
  <c r="CU30" i="9"/>
  <c r="CX30" i="9"/>
  <c r="CK30" i="9"/>
  <c r="BI68" i="9" s="1"/>
  <c r="DN30" i="9"/>
  <c r="CR30" i="9"/>
  <c r="CM30" i="9"/>
  <c r="BK68" i="9" s="1"/>
  <c r="CJ30" i="9"/>
  <c r="BH68" i="9" s="1"/>
  <c r="DP30" i="9"/>
  <c r="CS30" i="9"/>
  <c r="CL30" i="9"/>
  <c r="BJ68" i="9" s="1"/>
  <c r="CN30" i="9"/>
  <c r="BL68" i="9" s="1"/>
  <c r="DM30" i="9"/>
  <c r="DJ30" i="9"/>
  <c r="F45" i="16"/>
  <c r="N63" i="16"/>
  <c r="N4" i="24"/>
  <c r="N8" i="16"/>
  <c r="N3" i="24"/>
  <c r="N7" i="16"/>
  <c r="N39" i="16"/>
  <c r="N48" i="16"/>
  <c r="N5" i="24"/>
  <c r="P16" i="16"/>
  <c r="K12" i="27"/>
  <c r="K45" i="27"/>
  <c r="P22" i="16"/>
  <c r="W51" i="27"/>
  <c r="W33" i="27"/>
  <c r="W32" i="27"/>
  <c r="W31" i="27"/>
  <c r="W34" i="27"/>
  <c r="G44" i="16"/>
  <c r="BK135" i="9"/>
  <c r="P16" i="27"/>
  <c r="BH35" i="9"/>
  <c r="BN99" i="9"/>
  <c r="BE99" i="9" s="1"/>
  <c r="DZ29" i="9"/>
  <c r="BH100" i="9"/>
  <c r="BI35" i="9"/>
  <c r="BL100" i="9"/>
  <c r="BL35" i="9"/>
  <c r="BM35" i="9"/>
  <c r="BK100" i="9"/>
  <c r="CC31" i="9"/>
  <c r="CD31" i="9" s="1"/>
  <c r="CF31" i="9" s="1"/>
  <c r="CB32" i="9"/>
  <c r="T13" i="24"/>
  <c r="T17" i="24"/>
  <c r="T18" i="24" s="1"/>
  <c r="BF137" i="9"/>
  <c r="BF101" i="9"/>
  <c r="BF68" i="9"/>
  <c r="BF36" i="9"/>
  <c r="O2" i="24"/>
  <c r="O7" i="24" s="1"/>
  <c r="S29" i="24"/>
  <c r="S16" i="24"/>
  <c r="S15" i="24"/>
  <c r="S11" i="24"/>
  <c r="S26" i="24"/>
  <c r="M48" i="27"/>
  <c r="CY29" i="9"/>
  <c r="BG35" i="9"/>
  <c r="BG100" i="9"/>
  <c r="DQ29" i="9"/>
  <c r="BK35" i="9"/>
  <c r="BM100" i="9"/>
  <c r="BN34" i="9"/>
  <c r="BE34" i="9" s="1"/>
  <c r="BG135" i="9"/>
  <c r="BN135" i="9" s="1"/>
  <c r="BE135" i="9" s="1"/>
  <c r="S10" i="24"/>
  <c r="S8" i="24"/>
  <c r="S12" i="24" s="1"/>
  <c r="N15" i="27"/>
  <c r="S9" i="24"/>
  <c r="S21" i="24"/>
  <c r="S20" i="24"/>
  <c r="S22" i="24" s="1"/>
  <c r="S23" i="24" s="1"/>
  <c r="S33" i="24"/>
  <c r="S34" i="24" s="1"/>
  <c r="T24" i="24"/>
  <c r="T27" i="24"/>
  <c r="T30" i="24" s="1"/>
  <c r="T31" i="24" s="1"/>
  <c r="BG67" i="9"/>
  <c r="BN67" i="9" s="1"/>
  <c r="BE67" i="9" s="1"/>
  <c r="BJ35" i="9"/>
  <c r="BJ136" i="9" s="1"/>
  <c r="BI100" i="9"/>
  <c r="K36" i="27"/>
  <c r="K37" i="27"/>
  <c r="K38" i="27"/>
  <c r="K39" i="27"/>
  <c r="L12" i="19" l="1"/>
  <c r="K17" i="27"/>
  <c r="L11" i="19"/>
  <c r="K18" i="27"/>
  <c r="K9" i="19"/>
  <c r="K10" i="19"/>
  <c r="K8" i="19"/>
  <c r="K13" i="19"/>
  <c r="O58" i="16"/>
  <c r="O60" i="16"/>
  <c r="O54" i="16"/>
  <c r="O52" i="16"/>
  <c r="BJ101" i="9"/>
  <c r="BI136" i="9"/>
  <c r="Q29" i="24"/>
  <c r="BM136" i="9"/>
  <c r="Q11" i="24"/>
  <c r="BK136" i="9"/>
  <c r="BI101" i="9"/>
  <c r="Q20" i="24"/>
  <c r="Q22" i="24" s="1"/>
  <c r="Q23" i="24" s="1"/>
  <c r="L48" i="27"/>
  <c r="Q10" i="24"/>
  <c r="BL136" i="9"/>
  <c r="Q9" i="24"/>
  <c r="AK33" i="18"/>
  <c r="P51" i="16"/>
  <c r="P50" i="16" s="1"/>
  <c r="P44" i="16"/>
  <c r="P45" i="16"/>
  <c r="Y10" i="18"/>
  <c r="Y24" i="18" s="1"/>
  <c r="L21" i="27"/>
  <c r="X23" i="27"/>
  <c r="Y16" i="18"/>
  <c r="K28" i="27"/>
  <c r="P59" i="16"/>
  <c r="Y17" i="18"/>
  <c r="AJ32" i="18" s="1"/>
  <c r="Z30" i="18"/>
  <c r="L25" i="27"/>
  <c r="Q41" i="16"/>
  <c r="P57" i="16"/>
  <c r="P56" i="16" s="1"/>
  <c r="L52" i="27"/>
  <c r="Y13" i="18"/>
  <c r="Y27" i="18" s="1"/>
  <c r="P42" i="16"/>
  <c r="K27" i="27"/>
  <c r="P53" i="16"/>
  <c r="L22" i="27"/>
  <c r="Y15" i="18"/>
  <c r="Y29" i="18" s="1"/>
  <c r="L29" i="27"/>
  <c r="Y12" i="18"/>
  <c r="Y26" i="18" s="1"/>
  <c r="L26" i="27"/>
  <c r="Q43" i="16"/>
  <c r="X11" i="18"/>
  <c r="X25" i="18" s="1"/>
  <c r="X8" i="18"/>
  <c r="X19" i="18" s="1"/>
  <c r="X9" i="18"/>
  <c r="X23" i="18" s="1"/>
  <c r="X14" i="18"/>
  <c r="X28" i="18" s="1"/>
  <c r="Z18" i="18"/>
  <c r="BM36" i="9"/>
  <c r="BH136" i="9"/>
  <c r="H1" i="27"/>
  <c r="L9" i="16"/>
  <c r="L6" i="24"/>
  <c r="T6" i="18"/>
  <c r="H6" i="19"/>
  <c r="I4" i="27"/>
  <c r="I5" i="27"/>
  <c r="I2" i="27"/>
  <c r="I3" i="27"/>
  <c r="I8" i="27"/>
  <c r="I9" i="27"/>
  <c r="I6" i="27"/>
  <c r="J7" i="27"/>
  <c r="J30" i="27"/>
  <c r="J46" i="27"/>
  <c r="O21" i="16"/>
  <c r="O29" i="16" s="1"/>
  <c r="J47" i="27"/>
  <c r="O16" i="16"/>
  <c r="J12" i="27"/>
  <c r="M48" i="16"/>
  <c r="M39" i="16"/>
  <c r="M8" i="16"/>
  <c r="M4" i="24"/>
  <c r="M3" i="24"/>
  <c r="M5" i="24"/>
  <c r="M7" i="16"/>
  <c r="M63" i="16"/>
  <c r="O6" i="16"/>
  <c r="O18" i="16"/>
  <c r="O36" i="16" s="1"/>
  <c r="J45" i="27"/>
  <c r="O22" i="16"/>
  <c r="J20" i="27"/>
  <c r="J19" i="27"/>
  <c r="N5" i="16"/>
  <c r="N10" i="16" s="1"/>
  <c r="N40" i="16" s="1"/>
  <c r="N49" i="16" s="1"/>
  <c r="V3" i="18"/>
  <c r="V7" i="18" s="1"/>
  <c r="J4" i="19"/>
  <c r="J7" i="19" s="1"/>
  <c r="DW31" i="9"/>
  <c r="DS31" i="9"/>
  <c r="DV31" i="9"/>
  <c r="DY31" i="9"/>
  <c r="DU31" i="9"/>
  <c r="DX31" i="9"/>
  <c r="DG31" i="9"/>
  <c r="DC31" i="9"/>
  <c r="DT31" i="9"/>
  <c r="DF31" i="9"/>
  <c r="DB31" i="9"/>
  <c r="DE31" i="9"/>
  <c r="DA31" i="9"/>
  <c r="DH31" i="9" s="1"/>
  <c r="DD31" i="9"/>
  <c r="CT31" i="9"/>
  <c r="CR31" i="9"/>
  <c r="CN31" i="9"/>
  <c r="BL69" i="9" s="1"/>
  <c r="CI31" i="9"/>
  <c r="CP31" i="9" s="1"/>
  <c r="DK31" i="9"/>
  <c r="CU31" i="9"/>
  <c r="CX31" i="9"/>
  <c r="CS31" i="9"/>
  <c r="DN31" i="9"/>
  <c r="DO31" i="9"/>
  <c r="CJ31" i="9"/>
  <c r="BH69" i="9" s="1"/>
  <c r="CL31" i="9"/>
  <c r="BJ69" i="9" s="1"/>
  <c r="DJ31" i="9"/>
  <c r="CW31" i="9"/>
  <c r="CV31" i="9"/>
  <c r="CM31" i="9"/>
  <c r="BK69" i="9" s="1"/>
  <c r="CK31" i="9"/>
  <c r="BI69" i="9" s="1"/>
  <c r="DL31" i="9"/>
  <c r="DM31" i="9"/>
  <c r="DP31" i="9"/>
  <c r="CO31" i="9"/>
  <c r="BM69" i="9" s="1"/>
  <c r="N12" i="16"/>
  <c r="N11" i="16" s="1"/>
  <c r="I14" i="27"/>
  <c r="N13" i="16"/>
  <c r="N26" i="16"/>
  <c r="N24" i="16"/>
  <c r="N17" i="16"/>
  <c r="N28" i="16"/>
  <c r="N23" i="16"/>
  <c r="I13" i="27"/>
  <c r="N14" i="16"/>
  <c r="N33" i="16"/>
  <c r="N32" i="16"/>
  <c r="N34" i="16" s="1"/>
  <c r="N35" i="16" s="1"/>
  <c r="N25" i="16"/>
  <c r="N27" i="16"/>
  <c r="U5" i="18"/>
  <c r="U22" i="18"/>
  <c r="U4" i="18"/>
  <c r="I24" i="27"/>
  <c r="J11" i="27"/>
  <c r="J10" i="27"/>
  <c r="O15" i="16"/>
  <c r="V51" i="27"/>
  <c r="V32" i="27"/>
  <c r="V31" i="27"/>
  <c r="V34" i="27"/>
  <c r="V33" i="27"/>
  <c r="Q33" i="24"/>
  <c r="Q34" i="24" s="1"/>
  <c r="Q16" i="27"/>
  <c r="Q50" i="27"/>
  <c r="BH36" i="9"/>
  <c r="BN100" i="9"/>
  <c r="BE100" i="9" s="1"/>
  <c r="BJ36" i="9"/>
  <c r="BL36" i="9"/>
  <c r="BL137" i="9" s="1"/>
  <c r="BK101" i="9"/>
  <c r="N2" i="24"/>
  <c r="N7" i="24" s="1"/>
  <c r="BG136" i="9"/>
  <c r="BN136" i="9" s="1"/>
  <c r="BE136" i="9" s="1"/>
  <c r="BN35" i="9"/>
  <c r="BE35" i="9" s="1"/>
  <c r="R21" i="24"/>
  <c r="R15" i="24"/>
  <c r="R11" i="24"/>
  <c r="R29" i="24"/>
  <c r="R20" i="24"/>
  <c r="R22" i="24" s="1"/>
  <c r="R23" i="24" s="1"/>
  <c r="Q26" i="24"/>
  <c r="Q21" i="24"/>
  <c r="BG68" i="9"/>
  <c r="BN68" i="9" s="1"/>
  <c r="BE68" i="9" s="1"/>
  <c r="CY30" i="9"/>
  <c r="BG36" i="9"/>
  <c r="BF69" i="9"/>
  <c r="BF102" i="9"/>
  <c r="BF138" i="9"/>
  <c r="BF37" i="9"/>
  <c r="S17" i="24"/>
  <c r="S18" i="24" s="1"/>
  <c r="S13" i="24"/>
  <c r="S27" i="24"/>
  <c r="S30" i="24" s="1"/>
  <c r="S31" i="24" s="1"/>
  <c r="S24" i="24"/>
  <c r="R10" i="24"/>
  <c r="R9" i="24"/>
  <c r="R26" i="24"/>
  <c r="R16" i="24"/>
  <c r="R8" i="24"/>
  <c r="R12" i="24" s="1"/>
  <c r="M15" i="27"/>
  <c r="R33" i="24"/>
  <c r="R34" i="24" s="1"/>
  <c r="Q15" i="24"/>
  <c r="DQ30" i="9"/>
  <c r="BG101" i="9"/>
  <c r="CB33" i="9"/>
  <c r="CC32" i="9"/>
  <c r="CD32" i="9" s="1"/>
  <c r="CF32" i="9" s="1"/>
  <c r="DZ30" i="9"/>
  <c r="BK36" i="9"/>
  <c r="BM101" i="9"/>
  <c r="BH101" i="9"/>
  <c r="BI36" i="9"/>
  <c r="J39" i="27"/>
  <c r="J38" i="27"/>
  <c r="J37" i="27"/>
  <c r="J36" i="27"/>
  <c r="K12" i="19" l="1"/>
  <c r="J17" i="27"/>
  <c r="J8" i="19"/>
  <c r="J9" i="19"/>
  <c r="J13" i="19"/>
  <c r="J10" i="19"/>
  <c r="J18" i="27"/>
  <c r="K11" i="19"/>
  <c r="N54" i="16"/>
  <c r="N58" i="16"/>
  <c r="N60" i="16"/>
  <c r="BH37" i="9"/>
  <c r="BJ137" i="9"/>
  <c r="BI137" i="9"/>
  <c r="BJ102" i="9"/>
  <c r="BH137" i="9"/>
  <c r="L15" i="27"/>
  <c r="BH102" i="9"/>
  <c r="Q16" i="24"/>
  <c r="BK137" i="9"/>
  <c r="Q8" i="24"/>
  <c r="Q12" i="24" s="1"/>
  <c r="Q17" i="24" s="1"/>
  <c r="Q18" i="24" s="1"/>
  <c r="BM137" i="9"/>
  <c r="P29" i="24"/>
  <c r="BI37" i="9"/>
  <c r="Y18" i="18"/>
  <c r="K21" i="27"/>
  <c r="X10" i="18"/>
  <c r="X24" i="18" s="1"/>
  <c r="X17" i="18"/>
  <c r="AI32" i="18" s="1"/>
  <c r="X16" i="18"/>
  <c r="AI31" i="18" s="1"/>
  <c r="O45" i="16"/>
  <c r="O44" i="16"/>
  <c r="K52" i="27"/>
  <c r="X13" i="18"/>
  <c r="X27" i="18" s="1"/>
  <c r="K29" i="27"/>
  <c r="X12" i="18"/>
  <c r="X26" i="18" s="1"/>
  <c r="K26" i="27"/>
  <c r="P43" i="16"/>
  <c r="W23" i="27"/>
  <c r="J27" i="27"/>
  <c r="O53" i="16"/>
  <c r="O51" i="16"/>
  <c r="O50" i="16" s="1"/>
  <c r="W11" i="18"/>
  <c r="W25" i="18" s="1"/>
  <c r="W9" i="18"/>
  <c r="W23" i="18" s="1"/>
  <c r="W14" i="18"/>
  <c r="W28" i="18" s="1"/>
  <c r="W8" i="18"/>
  <c r="W19" i="18" s="1"/>
  <c r="O57" i="16"/>
  <c r="O56" i="16" s="1"/>
  <c r="X15" i="18"/>
  <c r="X29" i="18" s="1"/>
  <c r="K22" i="27"/>
  <c r="N52" i="16"/>
  <c r="AJ31" i="18"/>
  <c r="AJ33" i="18" s="1"/>
  <c r="Y30" i="18"/>
  <c r="K25" i="27"/>
  <c r="P41" i="16"/>
  <c r="J28" i="27"/>
  <c r="O59" i="16"/>
  <c r="O42" i="16"/>
  <c r="DX32" i="9"/>
  <c r="DT32" i="9"/>
  <c r="DW32" i="9"/>
  <c r="DS32" i="9"/>
  <c r="DV32" i="9"/>
  <c r="DD32" i="9"/>
  <c r="DG32" i="9"/>
  <c r="DC32" i="9"/>
  <c r="DY32" i="9"/>
  <c r="DF32" i="9"/>
  <c r="DB32" i="9"/>
  <c r="DA32" i="9"/>
  <c r="DH32" i="9" s="1"/>
  <c r="DU32" i="9"/>
  <c r="DE32" i="9"/>
  <c r="CS32" i="9"/>
  <c r="CU32" i="9"/>
  <c r="CT32" i="9"/>
  <c r="CK32" i="9"/>
  <c r="CJ32" i="9"/>
  <c r="BH70" i="9" s="1"/>
  <c r="DK32" i="9"/>
  <c r="DN32" i="9"/>
  <c r="DM32" i="9"/>
  <c r="CL32" i="9"/>
  <c r="BJ70" i="9" s="1"/>
  <c r="CN32" i="9"/>
  <c r="BL70" i="9" s="1"/>
  <c r="DP32" i="9"/>
  <c r="DJ32" i="9"/>
  <c r="DL32" i="9"/>
  <c r="CM32" i="9"/>
  <c r="BK70" i="9" s="1"/>
  <c r="CW32" i="9"/>
  <c r="CV32" i="9"/>
  <c r="CX32" i="9"/>
  <c r="DO32" i="9"/>
  <c r="CI32" i="9"/>
  <c r="CP32" i="9" s="1"/>
  <c r="CR32" i="9"/>
  <c r="CO32" i="9"/>
  <c r="BM70" i="9" s="1"/>
  <c r="N22" i="16"/>
  <c r="I45" i="27"/>
  <c r="I12" i="27"/>
  <c r="N16" i="16"/>
  <c r="N6" i="16"/>
  <c r="N18" i="16"/>
  <c r="N36" i="16" s="1"/>
  <c r="I4" i="19"/>
  <c r="I7" i="19" s="1"/>
  <c r="M5" i="16"/>
  <c r="M10" i="16" s="1"/>
  <c r="M40" i="16" s="1"/>
  <c r="M49" i="16" s="1"/>
  <c r="U3" i="18"/>
  <c r="U7" i="18" s="1"/>
  <c r="M26" i="16"/>
  <c r="M24" i="16"/>
  <c r="M27" i="16"/>
  <c r="H13" i="27"/>
  <c r="H14" i="27"/>
  <c r="M17" i="16"/>
  <c r="M14" i="16"/>
  <c r="M25" i="16"/>
  <c r="M28" i="16"/>
  <c r="M12" i="16"/>
  <c r="M11" i="16" s="1"/>
  <c r="M13" i="16"/>
  <c r="M33" i="16"/>
  <c r="M23" i="16"/>
  <c r="M32" i="16"/>
  <c r="M34" i="16" s="1"/>
  <c r="M35" i="16" s="1"/>
  <c r="L3" i="24"/>
  <c r="L48" i="16"/>
  <c r="L39" i="16"/>
  <c r="L7" i="16"/>
  <c r="L4" i="24"/>
  <c r="L63" i="16"/>
  <c r="L8" i="16"/>
  <c r="L5" i="24"/>
  <c r="I10" i="27"/>
  <c r="N15" i="16"/>
  <c r="I11" i="27"/>
  <c r="I47" i="27"/>
  <c r="I46" i="27"/>
  <c r="N21" i="16"/>
  <c r="N29" i="16" s="1"/>
  <c r="I19" i="27"/>
  <c r="I20" i="27"/>
  <c r="K9" i="16"/>
  <c r="S6" i="18"/>
  <c r="G6" i="19"/>
  <c r="K6" i="24"/>
  <c r="T5" i="18"/>
  <c r="T22" i="18"/>
  <c r="T4" i="18"/>
  <c r="H24" i="27"/>
  <c r="U51" i="27"/>
  <c r="U34" i="27"/>
  <c r="U33" i="27"/>
  <c r="U32" i="27"/>
  <c r="U31" i="27"/>
  <c r="I30" i="27"/>
  <c r="I7" i="27"/>
  <c r="G1" i="27"/>
  <c r="H9" i="27"/>
  <c r="H6" i="27"/>
  <c r="H5" i="27"/>
  <c r="H8" i="27"/>
  <c r="H2" i="27"/>
  <c r="H4" i="27"/>
  <c r="H3" i="27"/>
  <c r="P33" i="24"/>
  <c r="P34" i="24" s="1"/>
  <c r="P9" i="24"/>
  <c r="N16" i="27"/>
  <c r="N50" i="27"/>
  <c r="P15" i="24"/>
  <c r="BL37" i="9"/>
  <c r="BM37" i="9"/>
  <c r="BN101" i="9"/>
  <c r="BE101" i="9" s="1"/>
  <c r="BJ37" i="9"/>
  <c r="BL102" i="9"/>
  <c r="BK102" i="9"/>
  <c r="CB34" i="9"/>
  <c r="CC33" i="9"/>
  <c r="CD33" i="9" s="1"/>
  <c r="CF33" i="9" s="1"/>
  <c r="BF38" i="9"/>
  <c r="BF70" i="9"/>
  <c r="BI70" i="9"/>
  <c r="BF139" i="9"/>
  <c r="BF103" i="9"/>
  <c r="BG69" i="9"/>
  <c r="BN69" i="9" s="1"/>
  <c r="BE69" i="9" s="1"/>
  <c r="DQ31" i="9"/>
  <c r="BG102" i="9"/>
  <c r="Q13" i="24"/>
  <c r="R27" i="24"/>
  <c r="R30" i="24" s="1"/>
  <c r="R31" i="24" s="1"/>
  <c r="R24" i="24"/>
  <c r="P26" i="24"/>
  <c r="DZ31" i="9"/>
  <c r="BM102" i="9"/>
  <c r="BI102" i="9"/>
  <c r="BK37" i="9"/>
  <c r="Q27" i="24"/>
  <c r="Q30" i="24" s="1"/>
  <c r="R17" i="24"/>
  <c r="R18" i="24" s="1"/>
  <c r="R13" i="24"/>
  <c r="CY31" i="9"/>
  <c r="BG37" i="9"/>
  <c r="BN36" i="9"/>
  <c r="BE36" i="9" s="1"/>
  <c r="BG137" i="9"/>
  <c r="BN137" i="9" s="1"/>
  <c r="BE137" i="9" s="1"/>
  <c r="M2" i="24"/>
  <c r="M7" i="24" s="1"/>
  <c r="BJ138" i="9" l="1"/>
  <c r="O8" i="24"/>
  <c r="O12" i="24" s="1"/>
  <c r="I17" i="27"/>
  <c r="J12" i="19"/>
  <c r="I18" i="27"/>
  <c r="J11" i="19"/>
  <c r="I13" i="19"/>
  <c r="I10" i="19"/>
  <c r="I9" i="19"/>
  <c r="I8" i="19"/>
  <c r="BH138" i="9"/>
  <c r="Q24" i="24"/>
  <c r="J48" i="27"/>
  <c r="O11" i="24"/>
  <c r="M60" i="16"/>
  <c r="M58" i="16"/>
  <c r="M54" i="16"/>
  <c r="M52" i="16"/>
  <c r="O9" i="24"/>
  <c r="O26" i="24"/>
  <c r="O10" i="24"/>
  <c r="BH103" i="9"/>
  <c r="BH104" i="9" s="1"/>
  <c r="BI138" i="9"/>
  <c r="Q31" i="24"/>
  <c r="P10" i="24"/>
  <c r="BM138" i="9"/>
  <c r="BL138" i="9"/>
  <c r="BJ103" i="9"/>
  <c r="BJ104" i="9" s="1"/>
  <c r="P8" i="24"/>
  <c r="P12" i="24" s="1"/>
  <c r="P13" i="24" s="1"/>
  <c r="BK138" i="9"/>
  <c r="P20" i="24"/>
  <c r="P22" i="24" s="1"/>
  <c r="P23" i="24" s="1"/>
  <c r="P27" i="24" s="1"/>
  <c r="P30" i="24" s="1"/>
  <c r="P21" i="24"/>
  <c r="X30" i="18"/>
  <c r="W12" i="18"/>
  <c r="W26" i="18" s="1"/>
  <c r="J29" i="27"/>
  <c r="N59" i="16"/>
  <c r="I28" i="27"/>
  <c r="N42" i="16"/>
  <c r="W13" i="18"/>
  <c r="W27" i="18" s="1"/>
  <c r="J52" i="27"/>
  <c r="J25" i="27"/>
  <c r="O41" i="16"/>
  <c r="W16" i="18"/>
  <c r="V11" i="18"/>
  <c r="V25" i="18" s="1"/>
  <c r="V9" i="18"/>
  <c r="V23" i="18" s="1"/>
  <c r="V14" i="18"/>
  <c r="V28" i="18" s="1"/>
  <c r="V8" i="18"/>
  <c r="V19" i="18" s="1"/>
  <c r="V23" i="27"/>
  <c r="N57" i="16"/>
  <c r="N56" i="16" s="1"/>
  <c r="N51" i="16"/>
  <c r="N50" i="16" s="1"/>
  <c r="I27" i="27"/>
  <c r="N53" i="16"/>
  <c r="J21" i="27"/>
  <c r="W10" i="18"/>
  <c r="W24" i="18" s="1"/>
  <c r="J26" i="27"/>
  <c r="O43" i="16"/>
  <c r="X18" i="18"/>
  <c r="AI33" i="18"/>
  <c r="N45" i="16"/>
  <c r="N44" i="16"/>
  <c r="W17" i="18"/>
  <c r="AH32" i="18" s="1"/>
  <c r="J22" i="27"/>
  <c r="W15" i="18"/>
  <c r="W29" i="18" s="1"/>
  <c r="S4" i="18"/>
  <c r="S5" i="18"/>
  <c r="S22" i="18"/>
  <c r="J6" i="24"/>
  <c r="J9" i="16"/>
  <c r="R6" i="18"/>
  <c r="F6" i="19"/>
  <c r="H12" i="27"/>
  <c r="M16" i="16"/>
  <c r="DY33" i="9"/>
  <c r="DU33" i="9"/>
  <c r="DX33" i="9"/>
  <c r="DT33" i="9"/>
  <c r="DW33" i="9"/>
  <c r="DS33" i="9"/>
  <c r="DE33" i="9"/>
  <c r="DA33" i="9"/>
  <c r="DH33" i="9" s="1"/>
  <c r="DV33" i="9"/>
  <c r="DD33" i="9"/>
  <c r="DG33" i="9"/>
  <c r="DC33" i="9"/>
  <c r="DF33" i="9"/>
  <c r="DB33" i="9"/>
  <c r="CX33" i="9"/>
  <c r="CV33" i="9"/>
  <c r="CR33" i="9"/>
  <c r="CK33" i="9"/>
  <c r="CI33" i="9"/>
  <c r="CP33" i="9" s="1"/>
  <c r="CO33" i="9"/>
  <c r="DK33" i="9"/>
  <c r="DN33" i="9"/>
  <c r="CW33" i="9"/>
  <c r="CM33" i="9"/>
  <c r="DP33" i="9"/>
  <c r="DJ33" i="9"/>
  <c r="CJ33" i="9"/>
  <c r="CL33" i="9"/>
  <c r="DO33" i="9"/>
  <c r="CU33" i="9"/>
  <c r="CT33" i="9"/>
  <c r="CS33" i="9"/>
  <c r="CN33" i="9"/>
  <c r="DL33" i="9"/>
  <c r="DM33" i="9"/>
  <c r="H30" i="27"/>
  <c r="H7" i="27"/>
  <c r="F1" i="27"/>
  <c r="G24" i="27"/>
  <c r="K7" i="16"/>
  <c r="K63" i="16"/>
  <c r="K39" i="16"/>
  <c r="K8" i="16"/>
  <c r="K3" i="24"/>
  <c r="K5" i="24"/>
  <c r="K4" i="24"/>
  <c r="K48" i="16"/>
  <c r="H10" i="27"/>
  <c r="M15" i="16"/>
  <c r="H11" i="27"/>
  <c r="H20" i="27"/>
  <c r="H19" i="27"/>
  <c r="G2" i="27"/>
  <c r="G4" i="27"/>
  <c r="G8" i="27"/>
  <c r="G6" i="27"/>
  <c r="G9" i="27"/>
  <c r="G3" i="27"/>
  <c r="G5" i="27"/>
  <c r="H4" i="19"/>
  <c r="H7" i="19" s="1"/>
  <c r="T3" i="18"/>
  <c r="T7" i="18" s="1"/>
  <c r="L5" i="16"/>
  <c r="L10" i="16" s="1"/>
  <c r="L40" i="16" s="1"/>
  <c r="L49" i="16" s="1"/>
  <c r="H46" i="27"/>
  <c r="H47" i="27"/>
  <c r="M21" i="16"/>
  <c r="M29" i="16" s="1"/>
  <c r="T51" i="27"/>
  <c r="T32" i="27"/>
  <c r="T31" i="27"/>
  <c r="T34" i="27"/>
  <c r="T33" i="27"/>
  <c r="M6" i="16"/>
  <c r="M18" i="16"/>
  <c r="M36" i="16" s="1"/>
  <c r="H45" i="27"/>
  <c r="M22" i="16"/>
  <c r="L14" i="16"/>
  <c r="L33" i="16"/>
  <c r="L25" i="16"/>
  <c r="L32" i="16"/>
  <c r="L34" i="16" s="1"/>
  <c r="L35" i="16" s="1"/>
  <c r="L27" i="16"/>
  <c r="L23" i="16"/>
  <c r="L28" i="16"/>
  <c r="G14" i="27"/>
  <c r="G13" i="27"/>
  <c r="L26" i="16"/>
  <c r="L12" i="16"/>
  <c r="L11" i="16" s="1"/>
  <c r="L24" i="16"/>
  <c r="L17" i="16"/>
  <c r="L13" i="16"/>
  <c r="P11" i="24"/>
  <c r="P16" i="24"/>
  <c r="K48" i="27"/>
  <c r="O16" i="27"/>
  <c r="O50" i="27"/>
  <c r="K15" i="27"/>
  <c r="BH38" i="9"/>
  <c r="BL38" i="9"/>
  <c r="BN102" i="9"/>
  <c r="BE102" i="9" s="1"/>
  <c r="BI38" i="9"/>
  <c r="BJ38" i="9"/>
  <c r="L2" i="24"/>
  <c r="L7" i="24" s="1"/>
  <c r="DQ32" i="9"/>
  <c r="BG103" i="9"/>
  <c r="O29" i="24"/>
  <c r="O15" i="24"/>
  <c r="BL103" i="9"/>
  <c r="BI103" i="9"/>
  <c r="BI104" i="9" s="1"/>
  <c r="BM103" i="9"/>
  <c r="BM104" i="9" s="1"/>
  <c r="DZ32" i="9"/>
  <c r="BM38" i="9"/>
  <c r="BN37" i="9"/>
  <c r="BE37" i="9" s="1"/>
  <c r="BG138" i="9"/>
  <c r="BN138" i="9" s="1"/>
  <c r="BE138" i="9" s="1"/>
  <c r="BG70" i="9"/>
  <c r="BN70" i="9" s="1"/>
  <c r="BE70" i="9" s="1"/>
  <c r="BG38" i="9"/>
  <c r="CY32" i="9"/>
  <c r="O20" i="24"/>
  <c r="O22" i="24" s="1"/>
  <c r="O23" i="24" s="1"/>
  <c r="O33" i="24"/>
  <c r="O34" i="24" s="1"/>
  <c r="O21" i="24"/>
  <c r="CC34" i="9"/>
  <c r="CD34" i="9" s="1"/>
  <c r="CF34" i="9" s="1"/>
  <c r="CB35" i="9"/>
  <c r="BK103" i="9"/>
  <c r="BK104" i="9" s="1"/>
  <c r="BK38" i="9"/>
  <c r="J15" i="27" l="1"/>
  <c r="I11" i="19"/>
  <c r="H18" i="27"/>
  <c r="H13" i="19"/>
  <c r="H8" i="19"/>
  <c r="H9" i="19"/>
  <c r="H10" i="19"/>
  <c r="H17" i="27"/>
  <c r="I12" i="19"/>
  <c r="BH139" i="9"/>
  <c r="O16" i="24"/>
  <c r="BJ139" i="9"/>
  <c r="L60" i="16"/>
  <c r="L58" i="16"/>
  <c r="L54" i="16"/>
  <c r="L52" i="16"/>
  <c r="P17" i="24"/>
  <c r="P18" i="24" s="1"/>
  <c r="P24" i="24"/>
  <c r="P31" i="24"/>
  <c r="N10" i="24"/>
  <c r="DQ33" i="9"/>
  <c r="N11" i="24"/>
  <c r="M43" i="16"/>
  <c r="U8" i="18"/>
  <c r="U19" i="18" s="1"/>
  <c r="U9" i="18"/>
  <c r="U23" i="18" s="1"/>
  <c r="U14" i="18"/>
  <c r="U28" i="18" s="1"/>
  <c r="U11" i="18"/>
  <c r="U25" i="18" s="1"/>
  <c r="V17" i="18"/>
  <c r="AG32" i="18" s="1"/>
  <c r="I22" i="27"/>
  <c r="V15" i="18"/>
  <c r="V29" i="18" s="1"/>
  <c r="N21" i="24"/>
  <c r="I48" i="27"/>
  <c r="I26" i="27"/>
  <c r="N43" i="16"/>
  <c r="I25" i="27"/>
  <c r="N41" i="16"/>
  <c r="W30" i="18"/>
  <c r="M51" i="16"/>
  <c r="M50" i="16" s="1"/>
  <c r="M42" i="16"/>
  <c r="N29" i="24"/>
  <c r="M45" i="16"/>
  <c r="M44" i="16"/>
  <c r="M57" i="16"/>
  <c r="M56" i="16" s="1"/>
  <c r="V12" i="18"/>
  <c r="V26" i="18" s="1"/>
  <c r="I29" i="27"/>
  <c r="U23" i="27"/>
  <c r="N20" i="24"/>
  <c r="N22" i="24" s="1"/>
  <c r="N23" i="24" s="1"/>
  <c r="N8" i="24"/>
  <c r="N12" i="24" s="1"/>
  <c r="M53" i="16"/>
  <c r="H27" i="27"/>
  <c r="H28" i="27"/>
  <c r="M59" i="16"/>
  <c r="V16" i="18"/>
  <c r="I21" i="27"/>
  <c r="V10" i="18"/>
  <c r="V24" i="18" s="1"/>
  <c r="V13" i="18"/>
  <c r="V27" i="18" s="1"/>
  <c r="I52" i="27"/>
  <c r="AH31" i="18"/>
  <c r="AH33" i="18" s="1"/>
  <c r="W18" i="18"/>
  <c r="L22" i="16"/>
  <c r="G45" i="27"/>
  <c r="J3" i="24"/>
  <c r="J5" i="24"/>
  <c r="J7" i="16"/>
  <c r="J4" i="24"/>
  <c r="J39" i="16"/>
  <c r="J63" i="16"/>
  <c r="J8" i="16"/>
  <c r="J48" i="16"/>
  <c r="G47" i="27"/>
  <c r="G46" i="27"/>
  <c r="L21" i="16"/>
  <c r="L29" i="16" s="1"/>
  <c r="S51" i="27"/>
  <c r="S31" i="27"/>
  <c r="S34" i="27"/>
  <c r="S33" i="27"/>
  <c r="S32" i="27"/>
  <c r="K33" i="16"/>
  <c r="F13" i="27"/>
  <c r="K14" i="16"/>
  <c r="K17" i="16"/>
  <c r="K13" i="16"/>
  <c r="K25" i="16"/>
  <c r="K28" i="16"/>
  <c r="K27" i="16"/>
  <c r="F14" i="27"/>
  <c r="K24" i="16"/>
  <c r="K23" i="16"/>
  <c r="K12" i="16"/>
  <c r="K11" i="16" s="1"/>
  <c r="K32" i="16"/>
  <c r="K34" i="16" s="1"/>
  <c r="K35" i="16" s="1"/>
  <c r="K26" i="16"/>
  <c r="S3" i="18"/>
  <c r="S7" i="18" s="1"/>
  <c r="K5" i="16"/>
  <c r="K10" i="16" s="1"/>
  <c r="K40" i="16" s="1"/>
  <c r="K49" i="16" s="1"/>
  <c r="G4" i="19"/>
  <c r="G7" i="19" s="1"/>
  <c r="DV34" i="9"/>
  <c r="DY34" i="9"/>
  <c r="DU34" i="9"/>
  <c r="DX34" i="9"/>
  <c r="DT34" i="9"/>
  <c r="DS34" i="9"/>
  <c r="DF34" i="9"/>
  <c r="DB34" i="9"/>
  <c r="DE34" i="9"/>
  <c r="DA34" i="9"/>
  <c r="DH34" i="9" s="1"/>
  <c r="DD34" i="9"/>
  <c r="DC34" i="9"/>
  <c r="DW34" i="9"/>
  <c r="DG34" i="9"/>
  <c r="CW34" i="9"/>
  <c r="CT34" i="9"/>
  <c r="CR34" i="9"/>
  <c r="CL34" i="9"/>
  <c r="CO34" i="9"/>
  <c r="CI34" i="9"/>
  <c r="CP34" i="9" s="1"/>
  <c r="CN34" i="9"/>
  <c r="DM34" i="9"/>
  <c r="DP34" i="9"/>
  <c r="DO34" i="9"/>
  <c r="DJ34" i="9"/>
  <c r="CU34" i="9"/>
  <c r="CX34" i="9"/>
  <c r="CK34" i="9"/>
  <c r="CS34" i="9"/>
  <c r="CV34" i="9"/>
  <c r="DK34" i="9"/>
  <c r="CM34" i="9"/>
  <c r="CJ34" i="9"/>
  <c r="DL34" i="9"/>
  <c r="DN34" i="9"/>
  <c r="L18" i="16"/>
  <c r="L36" i="16" s="1"/>
  <c r="L6" i="16"/>
  <c r="G20" i="27"/>
  <c r="G19" i="27"/>
  <c r="F24" i="27"/>
  <c r="R5" i="18"/>
  <c r="R22" i="18"/>
  <c r="R4" i="18"/>
  <c r="E1" i="27"/>
  <c r="G11" i="27"/>
  <c r="L15" i="16"/>
  <c r="G10" i="27"/>
  <c r="L16" i="16"/>
  <c r="G12" i="27"/>
  <c r="G30" i="27"/>
  <c r="G7" i="27"/>
  <c r="F5" i="27"/>
  <c r="F2" i="27"/>
  <c r="F3" i="27"/>
  <c r="F8" i="27"/>
  <c r="F6" i="27"/>
  <c r="F9" i="27"/>
  <c r="F4" i="27"/>
  <c r="E6" i="19"/>
  <c r="I9" i="16"/>
  <c r="I6" i="24"/>
  <c r="Q6" i="18"/>
  <c r="BI139" i="9"/>
  <c r="BM139" i="9"/>
  <c r="L16" i="27"/>
  <c r="L50" i="27"/>
  <c r="BN103" i="9"/>
  <c r="BG104" i="9"/>
  <c r="BL139" i="9"/>
  <c r="BL104" i="9"/>
  <c r="N33" i="24"/>
  <c r="N34" i="24" s="1"/>
  <c r="BK139" i="9"/>
  <c r="DZ33" i="9"/>
  <c r="CB36" i="9"/>
  <c r="CC35" i="9"/>
  <c r="CD35" i="9" s="1"/>
  <c r="CF35" i="9" s="1"/>
  <c r="O27" i="24"/>
  <c r="O30" i="24" s="1"/>
  <c r="O31" i="24" s="1"/>
  <c r="O24" i="24"/>
  <c r="BN38" i="9"/>
  <c r="BE38" i="9" s="1"/>
  <c r="BG139" i="9"/>
  <c r="BN139" i="9" s="1"/>
  <c r="BE139" i="9" s="1"/>
  <c r="O17" i="24"/>
  <c r="O18" i="24" s="1"/>
  <c r="O13" i="24"/>
  <c r="K2" i="24"/>
  <c r="K7" i="24" s="1"/>
  <c r="CY33" i="9"/>
  <c r="H12" i="19" l="1"/>
  <c r="G17" i="27"/>
  <c r="G9" i="19"/>
  <c r="G13" i="19"/>
  <c r="G10" i="19"/>
  <c r="G8" i="19"/>
  <c r="G18" i="27"/>
  <c r="H11" i="19"/>
  <c r="K58" i="16"/>
  <c r="K60" i="16"/>
  <c r="K52" i="16"/>
  <c r="N9" i="24"/>
  <c r="I15" i="27"/>
  <c r="V30" i="18"/>
  <c r="N16" i="24"/>
  <c r="H26" i="27"/>
  <c r="DQ34" i="9"/>
  <c r="N26" i="24"/>
  <c r="N15" i="24"/>
  <c r="V18" i="18"/>
  <c r="G26" i="27"/>
  <c r="L51" i="16"/>
  <c r="L50" i="16" s="1"/>
  <c r="K54" i="16"/>
  <c r="AG31" i="18"/>
  <c r="AG33" i="18" s="1"/>
  <c r="H29" i="27"/>
  <c r="U12" i="18"/>
  <c r="U26" i="18" s="1"/>
  <c r="H22" i="27"/>
  <c r="U15" i="18"/>
  <c r="U29" i="18" s="1"/>
  <c r="M41" i="16"/>
  <c r="H25" i="27"/>
  <c r="G28" i="27"/>
  <c r="L59" i="16"/>
  <c r="L53" i="16"/>
  <c r="G27" i="27"/>
  <c r="T14" i="18"/>
  <c r="T28" i="18" s="1"/>
  <c r="T9" i="18"/>
  <c r="T23" i="18" s="1"/>
  <c r="T11" i="18"/>
  <c r="T25" i="18" s="1"/>
  <c r="T8" i="18"/>
  <c r="T19" i="18" s="1"/>
  <c r="U17" i="18"/>
  <c r="AF32" i="18" s="1"/>
  <c r="U16" i="18"/>
  <c r="AF31" i="18" s="1"/>
  <c r="T23" i="27"/>
  <c r="L44" i="16"/>
  <c r="L45" i="16"/>
  <c r="L57" i="16"/>
  <c r="L56" i="16" s="1"/>
  <c r="L42" i="16"/>
  <c r="H52" i="27"/>
  <c r="U13" i="18"/>
  <c r="U27" i="18" s="1"/>
  <c r="U10" i="18"/>
  <c r="U24" i="18" s="1"/>
  <c r="H21" i="27"/>
  <c r="I48" i="16"/>
  <c r="I7" i="16"/>
  <c r="I63" i="16"/>
  <c r="I5" i="24"/>
  <c r="I3" i="24"/>
  <c r="I4" i="24"/>
  <c r="I39" i="16"/>
  <c r="I8" i="16"/>
  <c r="F7" i="27"/>
  <c r="F30" i="27"/>
  <c r="J28" i="16"/>
  <c r="J12" i="16"/>
  <c r="J11" i="16" s="1"/>
  <c r="E13" i="27"/>
  <c r="J33" i="16"/>
  <c r="J27" i="16"/>
  <c r="J17" i="16"/>
  <c r="J23" i="16"/>
  <c r="J14" i="16"/>
  <c r="J26" i="16"/>
  <c r="E14" i="27"/>
  <c r="J24" i="16"/>
  <c r="J25" i="16"/>
  <c r="J32" i="16"/>
  <c r="J34" i="16" s="1"/>
  <c r="J35" i="16" s="1"/>
  <c r="J13" i="16"/>
  <c r="K18" i="16"/>
  <c r="K36" i="16" s="1"/>
  <c r="K6" i="16"/>
  <c r="R51" i="27"/>
  <c r="R32" i="27"/>
  <c r="R31" i="27"/>
  <c r="R34" i="27"/>
  <c r="R33" i="27"/>
  <c r="F46" i="27"/>
  <c r="K21" i="16"/>
  <c r="K29" i="16" s="1"/>
  <c r="F47" i="27"/>
  <c r="D1" i="27"/>
  <c r="L171" i="9"/>
  <c r="L168" i="9"/>
  <c r="L170" i="9"/>
  <c r="L10" i="9" s="1"/>
  <c r="L167" i="9"/>
  <c r="L169" i="9"/>
  <c r="L166" i="9"/>
  <c r="L11" i="9" s="1"/>
  <c r="F10" i="27"/>
  <c r="K15" i="16"/>
  <c r="F11" i="27"/>
  <c r="K16" i="16"/>
  <c r="F12" i="27"/>
  <c r="Q22" i="18"/>
  <c r="Q5" i="18"/>
  <c r="Q4" i="18"/>
  <c r="H9" i="16"/>
  <c r="P6" i="18"/>
  <c r="D6" i="19"/>
  <c r="H6" i="24"/>
  <c r="E5" i="27"/>
  <c r="E8" i="27"/>
  <c r="E3" i="27"/>
  <c r="E9" i="27"/>
  <c r="E6" i="27"/>
  <c r="E2" i="27"/>
  <c r="E4" i="27"/>
  <c r="F20" i="27"/>
  <c r="F19" i="27"/>
  <c r="E24" i="27"/>
  <c r="R3" i="18"/>
  <c r="R7" i="18" s="1"/>
  <c r="J5" i="16"/>
  <c r="J10" i="16" s="1"/>
  <c r="J40" i="16" s="1"/>
  <c r="J49" i="16" s="1"/>
  <c r="F4" i="19"/>
  <c r="F7" i="19" s="1"/>
  <c r="K22" i="16"/>
  <c r="F45" i="27"/>
  <c r="M50" i="27"/>
  <c r="BE103" i="9"/>
  <c r="BN104" i="9"/>
  <c r="N13" i="24"/>
  <c r="N17" i="24"/>
  <c r="N18" i="24" s="1"/>
  <c r="H48" i="27"/>
  <c r="J2" i="24"/>
  <c r="J7" i="24" s="1"/>
  <c r="DZ34" i="9"/>
  <c r="CY34" i="9"/>
  <c r="N24" i="24"/>
  <c r="N27" i="24"/>
  <c r="N30" i="24" s="1"/>
  <c r="N31" i="24" s="1"/>
  <c r="CB37" i="9"/>
  <c r="CC36" i="9"/>
  <c r="CD36" i="9" s="1"/>
  <c r="CF36" i="9" s="1"/>
  <c r="F17" i="27" l="1"/>
  <c r="G12" i="19"/>
  <c r="F10" i="19"/>
  <c r="F8" i="19"/>
  <c r="F13" i="19"/>
  <c r="F9" i="19"/>
  <c r="F18" i="27"/>
  <c r="G11" i="19"/>
  <c r="J54" i="16"/>
  <c r="J60" i="16"/>
  <c r="J52" i="16"/>
  <c r="J58" i="16"/>
  <c r="U30" i="18"/>
  <c r="M16" i="27"/>
  <c r="AF33" i="18"/>
  <c r="U18" i="18"/>
  <c r="L43" i="16"/>
  <c r="K43" i="16"/>
  <c r="F26" i="27"/>
  <c r="S23" i="27"/>
  <c r="T13" i="18"/>
  <c r="T27" i="18" s="1"/>
  <c r="G52" i="27"/>
  <c r="F27" i="27"/>
  <c r="K53" i="16"/>
  <c r="S14" i="18"/>
  <c r="S28" i="18" s="1"/>
  <c r="S11" i="18"/>
  <c r="S25" i="18" s="1"/>
  <c r="S9" i="18"/>
  <c r="S23" i="18" s="1"/>
  <c r="S8" i="18"/>
  <c r="S19" i="18" s="1"/>
  <c r="G29" i="27"/>
  <c r="T12" i="18"/>
  <c r="T26" i="18" s="1"/>
  <c r="T15" i="18"/>
  <c r="T29" i="18" s="1"/>
  <c r="G22" i="27"/>
  <c r="K59" i="16"/>
  <c r="F28" i="27"/>
  <c r="K57" i="16"/>
  <c r="K56" i="16" s="1"/>
  <c r="K42" i="16"/>
  <c r="G25" i="27"/>
  <c r="L41" i="16"/>
  <c r="K51" i="16"/>
  <c r="K50" i="16" s="1"/>
  <c r="T16" i="18"/>
  <c r="AE31" i="18" s="1"/>
  <c r="T17" i="18"/>
  <c r="AE32" i="18" s="1"/>
  <c r="T10" i="18"/>
  <c r="T24" i="18" s="1"/>
  <c r="G21" i="27"/>
  <c r="K45" i="16"/>
  <c r="K44" i="16"/>
  <c r="I23" i="16"/>
  <c r="I26" i="16"/>
  <c r="I25" i="16"/>
  <c r="I32" i="16"/>
  <c r="I34" i="16" s="1"/>
  <c r="I35" i="16" s="1"/>
  <c r="D14" i="27"/>
  <c r="D13" i="27"/>
  <c r="I33" i="16"/>
  <c r="I12" i="16"/>
  <c r="I11" i="16" s="1"/>
  <c r="I17" i="16"/>
  <c r="I28" i="16"/>
  <c r="I24" i="16"/>
  <c r="I27" i="16"/>
  <c r="I14" i="16"/>
  <c r="I13" i="16"/>
  <c r="E20" i="27"/>
  <c r="E19" i="27"/>
  <c r="L109" i="9"/>
  <c r="L95" i="9"/>
  <c r="O110" i="9"/>
  <c r="M111" i="9"/>
  <c r="M113" i="9"/>
  <c r="L93" i="9"/>
  <c r="N104" i="9"/>
  <c r="M107" i="9"/>
  <c r="L90" i="9"/>
  <c r="M108" i="9"/>
  <c r="M100" i="9"/>
  <c r="M101" i="9" s="1"/>
  <c r="M8" i="9" s="1"/>
  <c r="N90" i="9"/>
  <c r="N91" i="9"/>
  <c r="M95" i="9"/>
  <c r="O92" i="9"/>
  <c r="O91" i="9"/>
  <c r="M97" i="9"/>
  <c r="M105" i="9"/>
  <c r="L97" i="9"/>
  <c r="L111" i="9"/>
  <c r="N107" i="9"/>
  <c r="AL20" i="27"/>
  <c r="M106" i="9"/>
  <c r="L110" i="9"/>
  <c r="L106" i="9"/>
  <c r="N108" i="9"/>
  <c r="O100" i="9"/>
  <c r="O101" i="9" s="1"/>
  <c r="O8" i="9" s="1"/>
  <c r="M91" i="9"/>
  <c r="O104" i="9"/>
  <c r="O90" i="9"/>
  <c r="L100" i="9"/>
  <c r="L101" i="9" s="1"/>
  <c r="L8" i="9" s="1"/>
  <c r="N111" i="9"/>
  <c r="M92" i="9"/>
  <c r="O108" i="9"/>
  <c r="L92" i="9"/>
  <c r="N95" i="9"/>
  <c r="O111" i="9"/>
  <c r="L113" i="9"/>
  <c r="N110" i="9"/>
  <c r="L91" i="9"/>
  <c r="L104" i="9"/>
  <c r="N109" i="9"/>
  <c r="N113" i="9"/>
  <c r="N106" i="9"/>
  <c r="M93" i="9"/>
  <c r="O105" i="9"/>
  <c r="O97" i="9"/>
  <c r="M109" i="9"/>
  <c r="M90" i="9"/>
  <c r="C1" i="27"/>
  <c r="L108" i="9"/>
  <c r="O93" i="9"/>
  <c r="L107" i="9"/>
  <c r="L105" i="9"/>
  <c r="N105" i="9"/>
  <c r="M104" i="9"/>
  <c r="N97" i="9"/>
  <c r="N92" i="9"/>
  <c r="O109" i="9"/>
  <c r="M110" i="9"/>
  <c r="N93" i="9"/>
  <c r="O113" i="9"/>
  <c r="O107" i="9"/>
  <c r="N100" i="9"/>
  <c r="N101" i="9" s="1"/>
  <c r="N8" i="9" s="1"/>
  <c r="O106" i="9"/>
  <c r="AL19" i="27"/>
  <c r="O95" i="9"/>
  <c r="O168" i="9"/>
  <c r="F50" i="30"/>
  <c r="O167" i="9"/>
  <c r="F49" i="30"/>
  <c r="O169" i="9"/>
  <c r="F51" i="30"/>
  <c r="F46" i="30" s="1"/>
  <c r="E49" i="30"/>
  <c r="N167" i="9"/>
  <c r="Q3" i="18"/>
  <c r="Q7" i="18" s="1"/>
  <c r="E4" i="19"/>
  <c r="E7" i="19" s="1"/>
  <c r="I5" i="16"/>
  <c r="I10" i="16" s="1"/>
  <c r="I40" i="16" s="1"/>
  <c r="I49" i="16" s="1"/>
  <c r="D4" i="27"/>
  <c r="D2" i="27"/>
  <c r="D3" i="27"/>
  <c r="D8" i="27"/>
  <c r="D6" i="27"/>
  <c r="D9" i="27"/>
  <c r="D5" i="27"/>
  <c r="E47" i="27"/>
  <c r="J21" i="16"/>
  <c r="J29" i="16" s="1"/>
  <c r="E46" i="27"/>
  <c r="E30" i="27"/>
  <c r="E7" i="27"/>
  <c r="D49" i="30"/>
  <c r="M167" i="9"/>
  <c r="O166" i="9"/>
  <c r="O11" i="9" s="1"/>
  <c r="F47" i="30"/>
  <c r="D47" i="30"/>
  <c r="M166" i="9"/>
  <c r="M11" i="9" s="1"/>
  <c r="D53" i="30"/>
  <c r="M171" i="9"/>
  <c r="J16" i="16"/>
  <c r="E12" i="27"/>
  <c r="Q51" i="27"/>
  <c r="Q32" i="27"/>
  <c r="Q31" i="27"/>
  <c r="Q34" i="27"/>
  <c r="Q33" i="27"/>
  <c r="E9" i="24"/>
  <c r="E33" i="24"/>
  <c r="E30" i="24"/>
  <c r="D16" i="24"/>
  <c r="D17" i="24"/>
  <c r="E15" i="24"/>
  <c r="D29" i="24"/>
  <c r="E16" i="24"/>
  <c r="D33" i="24"/>
  <c r="E29" i="24"/>
  <c r="E34" i="24"/>
  <c r="D21" i="24"/>
  <c r="D10" i="24"/>
  <c r="D30" i="24"/>
  <c r="E12" i="24"/>
  <c r="D11" i="24"/>
  <c r="E20" i="24"/>
  <c r="D15" i="24"/>
  <c r="E23" i="24"/>
  <c r="D12" i="24"/>
  <c r="D26" i="24"/>
  <c r="D9" i="24"/>
  <c r="E26" i="24"/>
  <c r="E22" i="24"/>
  <c r="D20" i="24"/>
  <c r="D22" i="24"/>
  <c r="E10" i="24"/>
  <c r="E27" i="24"/>
  <c r="D27" i="24"/>
  <c r="E17" i="24"/>
  <c r="D34" i="24"/>
  <c r="E21" i="24"/>
  <c r="D8" i="24"/>
  <c r="E8" i="24"/>
  <c r="E11" i="24"/>
  <c r="D23" i="24"/>
  <c r="P22" i="18"/>
  <c r="P4" i="18"/>
  <c r="P5" i="18"/>
  <c r="D12" i="16"/>
  <c r="D18" i="16"/>
  <c r="E26" i="16"/>
  <c r="E25" i="16"/>
  <c r="D27" i="16"/>
  <c r="D29" i="16"/>
  <c r="H39" i="16"/>
  <c r="E34" i="16"/>
  <c r="D35" i="16"/>
  <c r="H8" i="16"/>
  <c r="E15" i="16"/>
  <c r="D28" i="16"/>
  <c r="H63" i="16"/>
  <c r="D32" i="16"/>
  <c r="E21" i="16"/>
  <c r="E28" i="16"/>
  <c r="E35" i="16"/>
  <c r="D24" i="16"/>
  <c r="H4" i="24"/>
  <c r="D21" i="16"/>
  <c r="E13" i="16"/>
  <c r="D26" i="16"/>
  <c r="H7" i="16"/>
  <c r="E18" i="16"/>
  <c r="D14" i="16"/>
  <c r="H3" i="24"/>
  <c r="D11" i="16"/>
  <c r="E29" i="16"/>
  <c r="E24" i="16"/>
  <c r="D25" i="16"/>
  <c r="D23" i="16"/>
  <c r="H5" i="24"/>
  <c r="E12" i="16"/>
  <c r="E33" i="16"/>
  <c r="D13" i="16"/>
  <c r="D34" i="16"/>
  <c r="E17" i="16"/>
  <c r="D17" i="16"/>
  <c r="E32" i="16"/>
  <c r="E11" i="16"/>
  <c r="E27" i="16"/>
  <c r="D33" i="16"/>
  <c r="D16" i="16"/>
  <c r="H48" i="16"/>
  <c r="E22" i="16"/>
  <c r="E23" i="16"/>
  <c r="D22" i="16"/>
  <c r="E16" i="16"/>
  <c r="E14" i="16"/>
  <c r="D15" i="16"/>
  <c r="D50" i="30"/>
  <c r="M168" i="9"/>
  <c r="D51" i="30"/>
  <c r="D46" i="30" s="1"/>
  <c r="M169" i="9"/>
  <c r="E53" i="30"/>
  <c r="N171" i="9"/>
  <c r="E52" i="30"/>
  <c r="N170" i="9"/>
  <c r="N10" i="9" s="1"/>
  <c r="E51" i="30"/>
  <c r="E46" i="30" s="1"/>
  <c r="E48" i="30" s="1"/>
  <c r="N169" i="9"/>
  <c r="F52" i="30"/>
  <c r="G52" i="30" s="1"/>
  <c r="O170" i="9"/>
  <c r="O10" i="9" s="1"/>
  <c r="J6" i="16"/>
  <c r="J18" i="16"/>
  <c r="J36" i="16" s="1"/>
  <c r="E47" i="30"/>
  <c r="N166" i="9"/>
  <c r="N11" i="9" s="1"/>
  <c r="E50" i="30"/>
  <c r="N168" i="9"/>
  <c r="O171" i="9"/>
  <c r="F53" i="30"/>
  <c r="D52" i="30"/>
  <c r="M170" i="9"/>
  <c r="M10" i="9" s="1"/>
  <c r="L41" i="9"/>
  <c r="L43" i="9"/>
  <c r="H20" i="9"/>
  <c r="L20" i="9"/>
  <c r="D24" i="27"/>
  <c r="J22" i="16"/>
  <c r="E45" i="27"/>
  <c r="J15" i="16"/>
  <c r="E10" i="27"/>
  <c r="E11" i="27"/>
  <c r="K16" i="27"/>
  <c r="K50" i="27"/>
  <c r="J16" i="27"/>
  <c r="J50" i="27"/>
  <c r="L11" i="24"/>
  <c r="G48" i="27"/>
  <c r="G15" i="27"/>
  <c r="L10" i="24"/>
  <c r="CC37" i="9"/>
  <c r="CD37" i="9" s="1"/>
  <c r="CF37" i="9" s="1"/>
  <c r="CB38" i="9"/>
  <c r="M20" i="24"/>
  <c r="M22" i="24" s="1"/>
  <c r="M23" i="24" s="1"/>
  <c r="M29" i="24"/>
  <c r="M16" i="24"/>
  <c r="M11" i="24"/>
  <c r="M15" i="24"/>
  <c r="I2" i="24"/>
  <c r="I7" i="24" s="1"/>
  <c r="M26" i="24"/>
  <c r="M10" i="24"/>
  <c r="M9" i="24"/>
  <c r="M8" i="24"/>
  <c r="M12" i="24" s="1"/>
  <c r="H15" i="27"/>
  <c r="M21" i="24"/>
  <c r="M33" i="24"/>
  <c r="M34" i="24" s="1"/>
  <c r="L33" i="24"/>
  <c r="L34" i="24" s="1"/>
  <c r="T30" i="18" l="1"/>
  <c r="E9" i="19"/>
  <c r="E8" i="19"/>
  <c r="E13" i="19"/>
  <c r="E10" i="19"/>
  <c r="E18" i="27"/>
  <c r="F11" i="19"/>
  <c r="F12" i="19"/>
  <c r="E17" i="27"/>
  <c r="B11" i="19"/>
  <c r="B8" i="19"/>
  <c r="B9" i="19"/>
  <c r="B10" i="19"/>
  <c r="I60" i="16"/>
  <c r="I52" i="16"/>
  <c r="I58" i="16"/>
  <c r="L15" i="24"/>
  <c r="L16" i="24"/>
  <c r="L21" i="24"/>
  <c r="L8" i="24"/>
  <c r="L12" i="24" s="1"/>
  <c r="L13" i="24" s="1"/>
  <c r="AE33" i="18"/>
  <c r="L29" i="24"/>
  <c r="L26" i="24"/>
  <c r="S16" i="18"/>
  <c r="AD31" i="18" s="1"/>
  <c r="S12" i="18"/>
  <c r="S26" i="18" s="1"/>
  <c r="F29" i="27"/>
  <c r="F22" i="27"/>
  <c r="S15" i="18"/>
  <c r="S29" i="18" s="1"/>
  <c r="E28" i="27"/>
  <c r="J59" i="16"/>
  <c r="J51" i="16"/>
  <c r="J50" i="16" s="1"/>
  <c r="D24" i="24"/>
  <c r="D13" i="24"/>
  <c r="T18" i="18"/>
  <c r="I54" i="16"/>
  <c r="J42" i="16"/>
  <c r="J44" i="16"/>
  <c r="J45" i="16"/>
  <c r="S17" i="18"/>
  <c r="AD32" i="18" s="1"/>
  <c r="S10" i="18"/>
  <c r="S24" i="18" s="1"/>
  <c r="F21" i="27"/>
  <c r="J53" i="16"/>
  <c r="E27" i="27"/>
  <c r="D31" i="24"/>
  <c r="R9" i="18"/>
  <c r="R23" i="18" s="1"/>
  <c r="R11" i="18"/>
  <c r="R25" i="18" s="1"/>
  <c r="R14" i="18"/>
  <c r="R28" i="18" s="1"/>
  <c r="R8" i="18"/>
  <c r="R19" i="18" s="1"/>
  <c r="R23" i="27"/>
  <c r="F52" i="27"/>
  <c r="S13" i="18"/>
  <c r="S27" i="18" s="1"/>
  <c r="F25" i="27"/>
  <c r="K41" i="16"/>
  <c r="J57" i="16"/>
  <c r="J56" i="16" s="1"/>
  <c r="O67" i="9"/>
  <c r="O69" i="9"/>
  <c r="G53" i="30"/>
  <c r="L67" i="9"/>
  <c r="M69" i="9"/>
  <c r="M67" i="9"/>
  <c r="F32" i="16"/>
  <c r="G32" i="16"/>
  <c r="F21" i="16"/>
  <c r="G21" i="16"/>
  <c r="F15" i="16"/>
  <c r="G15" i="16"/>
  <c r="F26" i="16"/>
  <c r="G26" i="16"/>
  <c r="G8" i="24"/>
  <c r="F8" i="24"/>
  <c r="F17" i="24"/>
  <c r="G17" i="24"/>
  <c r="E18" i="24"/>
  <c r="G29" i="24"/>
  <c r="F29" i="24"/>
  <c r="F15" i="24"/>
  <c r="G15" i="24"/>
  <c r="F33" i="24"/>
  <c r="G33" i="24"/>
  <c r="N49" i="9"/>
  <c r="N2" i="9"/>
  <c r="N1" i="9" s="1"/>
  <c r="N98" i="9"/>
  <c r="N58" i="9"/>
  <c r="C5" i="27"/>
  <c r="C2" i="27"/>
  <c r="C4" i="27"/>
  <c r="C3" i="27"/>
  <c r="C9" i="27"/>
  <c r="C8" i="27"/>
  <c r="C6" i="27"/>
  <c r="N9" i="9"/>
  <c r="N70" i="9"/>
  <c r="O112" i="9"/>
  <c r="O71" i="9" s="1"/>
  <c r="O66" i="9"/>
  <c r="O73" i="9"/>
  <c r="N112" i="9"/>
  <c r="N71" i="9" s="1"/>
  <c r="N73" i="9"/>
  <c r="N66" i="9"/>
  <c r="I15" i="16"/>
  <c r="D11" i="27"/>
  <c r="D10" i="27"/>
  <c r="I6" i="16"/>
  <c r="I18" i="16"/>
  <c r="I36" i="16" s="1"/>
  <c r="O41" i="9"/>
  <c r="O43" i="9"/>
  <c r="O20" i="9"/>
  <c r="N41" i="9"/>
  <c r="N43" i="9"/>
  <c r="N20" i="9"/>
  <c r="J20" i="9"/>
  <c r="G23" i="16"/>
  <c r="F23" i="16"/>
  <c r="F33" i="16"/>
  <c r="G33" i="16"/>
  <c r="F20" i="24"/>
  <c r="G20" i="24"/>
  <c r="D18" i="24"/>
  <c r="F9" i="24"/>
  <c r="G9" i="24"/>
  <c r="D20" i="27"/>
  <c r="D19" i="27"/>
  <c r="F48" i="30"/>
  <c r="G46" i="30"/>
  <c r="G50" i="30"/>
  <c r="L66" i="9"/>
  <c r="L112" i="9"/>
  <c r="L71" i="9" s="1"/>
  <c r="L73" i="9"/>
  <c r="L115" i="9"/>
  <c r="L13" i="9"/>
  <c r="L65" i="9" s="1"/>
  <c r="O2" i="9"/>
  <c r="O1" i="9" s="1"/>
  <c r="O49" i="9"/>
  <c r="M9" i="9"/>
  <c r="M70" i="9"/>
  <c r="D47" i="27"/>
  <c r="D46" i="27"/>
  <c r="I21" i="16"/>
  <c r="I29" i="16" s="1"/>
  <c r="I16" i="16"/>
  <c r="D12" i="27"/>
  <c r="M20" i="9"/>
  <c r="M41" i="9"/>
  <c r="M43" i="9"/>
  <c r="I20" i="9"/>
  <c r="P3" i="18"/>
  <c r="P7" i="18" s="1"/>
  <c r="H5" i="16"/>
  <c r="H10" i="16" s="1"/>
  <c r="H40" i="16" s="1"/>
  <c r="H49" i="16" s="1"/>
  <c r="D4" i="19"/>
  <c r="D7" i="19" s="1"/>
  <c r="F14" i="16"/>
  <c r="G14" i="16"/>
  <c r="F22" i="16"/>
  <c r="G22" i="16"/>
  <c r="G27" i="16"/>
  <c r="F27" i="16"/>
  <c r="F17" i="16"/>
  <c r="G17" i="16"/>
  <c r="G12" i="16"/>
  <c r="F12" i="16"/>
  <c r="F24" i="16"/>
  <c r="G24" i="16"/>
  <c r="G13" i="16"/>
  <c r="F13" i="16"/>
  <c r="F35" i="16"/>
  <c r="G35" i="16"/>
  <c r="G21" i="24"/>
  <c r="F21" i="24"/>
  <c r="G27" i="24"/>
  <c r="F27" i="24"/>
  <c r="G22" i="24"/>
  <c r="F22" i="24"/>
  <c r="G16" i="24"/>
  <c r="F16" i="24"/>
  <c r="G47" i="30"/>
  <c r="D30" i="27"/>
  <c r="D7" i="27"/>
  <c r="M112" i="9"/>
  <c r="M71" i="9" s="1"/>
  <c r="M73" i="9"/>
  <c r="M66" i="9"/>
  <c r="C24" i="27"/>
  <c r="L2" i="9"/>
  <c r="L49" i="9"/>
  <c r="M58" i="9"/>
  <c r="M98" i="9"/>
  <c r="L69" i="9"/>
  <c r="L9" i="9"/>
  <c r="L70" i="9"/>
  <c r="G16" i="16"/>
  <c r="F16" i="16"/>
  <c r="F11" i="16"/>
  <c r="G11" i="16"/>
  <c r="F29" i="16"/>
  <c r="G29" i="16"/>
  <c r="G18" i="16"/>
  <c r="F18" i="16"/>
  <c r="G28" i="16"/>
  <c r="F28" i="16"/>
  <c r="G34" i="16"/>
  <c r="F34" i="16"/>
  <c r="G25" i="16"/>
  <c r="F25" i="16"/>
  <c r="G11" i="24"/>
  <c r="F11" i="24"/>
  <c r="F10" i="24"/>
  <c r="G10" i="24"/>
  <c r="G26" i="24"/>
  <c r="F26" i="24"/>
  <c r="E24" i="24"/>
  <c r="F23" i="24"/>
  <c r="G23" i="24"/>
  <c r="G12" i="24"/>
  <c r="F12" i="24"/>
  <c r="E13" i="24"/>
  <c r="G34" i="24"/>
  <c r="F34" i="24"/>
  <c r="G30" i="24"/>
  <c r="E31" i="24"/>
  <c r="F30" i="24"/>
  <c r="O9" i="9"/>
  <c r="O70" i="9"/>
  <c r="O115" i="9"/>
  <c r="O13" i="9"/>
  <c r="O65" i="9" s="1"/>
  <c r="N67" i="9"/>
  <c r="O98" i="9"/>
  <c r="O58" i="9"/>
  <c r="N115" i="9"/>
  <c r="N13" i="9"/>
  <c r="N65" i="9" s="1"/>
  <c r="L98" i="9"/>
  <c r="L58" i="9"/>
  <c r="N69" i="9"/>
  <c r="M2" i="9"/>
  <c r="M1" i="9" s="1"/>
  <c r="M49" i="9"/>
  <c r="M115" i="9"/>
  <c r="M13" i="9"/>
  <c r="M65" i="9" s="1"/>
  <c r="D45" i="27"/>
  <c r="I22" i="16"/>
  <c r="P51" i="27"/>
  <c r="P33" i="27"/>
  <c r="P32" i="27"/>
  <c r="P31" i="27"/>
  <c r="P34" i="27"/>
  <c r="L9" i="24"/>
  <c r="L20" i="24"/>
  <c r="L22" i="24" s="1"/>
  <c r="L23" i="24" s="1"/>
  <c r="I50" i="27"/>
  <c r="K10" i="24"/>
  <c r="K8" i="24"/>
  <c r="K12" i="24" s="1"/>
  <c r="K26" i="24"/>
  <c r="K9" i="24"/>
  <c r="K29" i="24"/>
  <c r="F48" i="27"/>
  <c r="K11" i="24"/>
  <c r="K20" i="24"/>
  <c r="K22" i="24" s="1"/>
  <c r="K23" i="24" s="1"/>
  <c r="M24" i="24"/>
  <c r="M27" i="24"/>
  <c r="M30" i="24" s="1"/>
  <c r="M31" i="24" s="1"/>
  <c r="H2" i="24"/>
  <c r="H7" i="24" s="1"/>
  <c r="L121" i="9"/>
  <c r="L144" i="9"/>
  <c r="L145" i="9" s="1"/>
  <c r="L139" i="9"/>
  <c r="L133" i="9"/>
  <c r="O120" i="9"/>
  <c r="O132" i="9"/>
  <c r="O134" i="9" s="1"/>
  <c r="O136" i="9" s="1"/>
  <c r="O128" i="9"/>
  <c r="O127" i="9"/>
  <c r="O129" i="9" s="1"/>
  <c r="O133" i="9"/>
  <c r="N133" i="9"/>
  <c r="N120" i="9"/>
  <c r="N123" i="9"/>
  <c r="L127" i="9"/>
  <c r="L129" i="9" s="1"/>
  <c r="L132" i="9"/>
  <c r="L134" i="9" s="1"/>
  <c r="L136" i="9" s="1"/>
  <c r="L148" i="9"/>
  <c r="L122" i="9"/>
  <c r="L123" i="9"/>
  <c r="O148" i="9"/>
  <c r="O123" i="9"/>
  <c r="N128" i="9"/>
  <c r="N122" i="9"/>
  <c r="N139" i="9"/>
  <c r="N144" i="9"/>
  <c r="N145" i="9" s="1"/>
  <c r="N132" i="9"/>
  <c r="N134" i="9" s="1"/>
  <c r="N136" i="9" s="1"/>
  <c r="M139" i="9"/>
  <c r="L128" i="9"/>
  <c r="L120" i="9"/>
  <c r="O139" i="9"/>
  <c r="O121" i="9"/>
  <c r="O31" i="9" s="1"/>
  <c r="O122" i="9"/>
  <c r="O144" i="9"/>
  <c r="O145" i="9" s="1"/>
  <c r="N127" i="9"/>
  <c r="N129" i="9" s="1"/>
  <c r="N148" i="9"/>
  <c r="M122" i="9"/>
  <c r="N121" i="9"/>
  <c r="M127" i="9"/>
  <c r="M129" i="9" s="1"/>
  <c r="M148" i="9"/>
  <c r="M121" i="9"/>
  <c r="M123" i="9"/>
  <c r="M120" i="9"/>
  <c r="M132" i="9"/>
  <c r="M134" i="9" s="1"/>
  <c r="M136" i="9" s="1"/>
  <c r="M133" i="9"/>
  <c r="M128" i="9"/>
  <c r="M144" i="9"/>
  <c r="M145" i="9" s="1"/>
  <c r="M13" i="24"/>
  <c r="M17" i="24"/>
  <c r="M18" i="24" s="1"/>
  <c r="CB39" i="9"/>
  <c r="CC38" i="9"/>
  <c r="CD38" i="9" s="1"/>
  <c r="CF38" i="9" s="1"/>
  <c r="E11" i="19" l="1"/>
  <c r="D18" i="27"/>
  <c r="D9" i="19"/>
  <c r="D8" i="19"/>
  <c r="D10" i="19"/>
  <c r="D13" i="19"/>
  <c r="D17" i="27"/>
  <c r="E12" i="19"/>
  <c r="S30" i="18"/>
  <c r="H60" i="16"/>
  <c r="H58" i="16"/>
  <c r="H52" i="16"/>
  <c r="L17" i="24"/>
  <c r="L18" i="24" s="1"/>
  <c r="L24" i="24"/>
  <c r="J8" i="24"/>
  <c r="J12" i="24" s="1"/>
  <c r="E48" i="27"/>
  <c r="K15" i="24"/>
  <c r="K21" i="24"/>
  <c r="J20" i="24"/>
  <c r="J22" i="24" s="1"/>
  <c r="J23" i="24" s="1"/>
  <c r="F15" i="27"/>
  <c r="J26" i="24"/>
  <c r="E29" i="27"/>
  <c r="R12" i="18"/>
  <c r="R26" i="18" s="1"/>
  <c r="E22" i="27"/>
  <c r="R15" i="18"/>
  <c r="R29" i="18" s="1"/>
  <c r="E52" i="27"/>
  <c r="R13" i="18"/>
  <c r="R27" i="18" s="1"/>
  <c r="H54" i="16"/>
  <c r="L159" i="9"/>
  <c r="N160" i="9"/>
  <c r="N154" i="9"/>
  <c r="M159" i="9"/>
  <c r="O159" i="9"/>
  <c r="M156" i="9"/>
  <c r="N155" i="9"/>
  <c r="L155" i="9"/>
  <c r="L161" i="9"/>
  <c r="L53" i="9" s="1"/>
  <c r="M157" i="9"/>
  <c r="M154" i="9"/>
  <c r="O160" i="9"/>
  <c r="N157" i="9"/>
  <c r="M160" i="9"/>
  <c r="O158" i="9"/>
  <c r="L154" i="9"/>
  <c r="L158" i="9"/>
  <c r="O154" i="9"/>
  <c r="N159" i="9"/>
  <c r="N158" i="9"/>
  <c r="O155" i="9"/>
  <c r="M158" i="9"/>
  <c r="O156" i="9"/>
  <c r="O157" i="9"/>
  <c r="L156" i="9"/>
  <c r="L52" i="9" s="1"/>
  <c r="L160" i="9"/>
  <c r="O161" i="9"/>
  <c r="O53" i="9" s="1"/>
  <c r="M155" i="9"/>
  <c r="N161" i="9"/>
  <c r="L157" i="9"/>
  <c r="M161" i="9"/>
  <c r="M53" i="9" s="1"/>
  <c r="N156" i="9"/>
  <c r="N52" i="9" s="1"/>
  <c r="I51" i="16"/>
  <c r="I50" i="16" s="1"/>
  <c r="I42" i="16"/>
  <c r="AD33" i="18"/>
  <c r="L176" i="9"/>
  <c r="L174" i="9"/>
  <c r="O177" i="9"/>
  <c r="M177" i="9"/>
  <c r="O173" i="9"/>
  <c r="L173" i="9"/>
  <c r="M173" i="9"/>
  <c r="O174" i="9"/>
  <c r="M174" i="9"/>
  <c r="N175" i="9"/>
  <c r="L175" i="9"/>
  <c r="M176" i="9"/>
  <c r="N173" i="9"/>
  <c r="M175" i="9"/>
  <c r="N176" i="9"/>
  <c r="L177" i="9"/>
  <c r="O176" i="9"/>
  <c r="N177" i="9"/>
  <c r="O175" i="9"/>
  <c r="N174" i="9"/>
  <c r="Q23" i="27"/>
  <c r="R16" i="18"/>
  <c r="J41" i="16"/>
  <c r="E25" i="27"/>
  <c r="R17" i="18"/>
  <c r="AC32" i="18" s="1"/>
  <c r="R10" i="18"/>
  <c r="R24" i="18" s="1"/>
  <c r="E21" i="27"/>
  <c r="E26" i="27"/>
  <c r="J43" i="16"/>
  <c r="I57" i="16"/>
  <c r="I56" i="16" s="1"/>
  <c r="I53" i="16"/>
  <c r="D27" i="27"/>
  <c r="S18" i="18"/>
  <c r="I44" i="16"/>
  <c r="I45" i="16"/>
  <c r="D28" i="27"/>
  <c r="I59" i="16"/>
  <c r="Q9" i="18"/>
  <c r="Q23" i="18" s="1"/>
  <c r="Q14" i="18"/>
  <c r="Q28" i="18" s="1"/>
  <c r="Q11" i="18"/>
  <c r="Q25" i="18" s="1"/>
  <c r="Q8" i="18"/>
  <c r="Q19" i="18" s="1"/>
  <c r="H28" i="16"/>
  <c r="H12" i="16"/>
  <c r="H11" i="16" s="1"/>
  <c r="H25" i="16"/>
  <c r="C13" i="27"/>
  <c r="H13" i="16"/>
  <c r="H33" i="16"/>
  <c r="H14" i="16"/>
  <c r="H17" i="16"/>
  <c r="C14" i="27"/>
  <c r="H23" i="16"/>
  <c r="H24" i="16"/>
  <c r="H27" i="16"/>
  <c r="H32" i="16"/>
  <c r="H34" i="16" s="1"/>
  <c r="H35" i="16" s="1"/>
  <c r="H26" i="16"/>
  <c r="O21" i="9"/>
  <c r="O44" i="9"/>
  <c r="AT4" i="9"/>
  <c r="O50" i="9"/>
  <c r="O19" i="9"/>
  <c r="O42" i="9"/>
  <c r="N44" i="9"/>
  <c r="N19" i="9"/>
  <c r="N50" i="9"/>
  <c r="J19" i="9"/>
  <c r="N42" i="9"/>
  <c r="N21" i="9"/>
  <c r="C20" i="27"/>
  <c r="C19" i="27"/>
  <c r="L21" i="9"/>
  <c r="L44" i="9"/>
  <c r="H19" i="9"/>
  <c r="L50" i="9"/>
  <c r="L19" i="9"/>
  <c r="L42" i="9"/>
  <c r="M44" i="9"/>
  <c r="M42" i="9"/>
  <c r="M50" i="9"/>
  <c r="I19" i="9"/>
  <c r="M21" i="9"/>
  <c r="M19" i="9"/>
  <c r="X7" i="9"/>
  <c r="L1" i="9"/>
  <c r="C30" i="27"/>
  <c r="C7" i="27"/>
  <c r="L27" i="24"/>
  <c r="L30" i="24" s="1"/>
  <c r="L31" i="24" s="1"/>
  <c r="K16" i="24"/>
  <c r="I16" i="27"/>
  <c r="N137" i="9"/>
  <c r="J33" i="24"/>
  <c r="J34" i="24" s="1"/>
  <c r="J15" i="24"/>
  <c r="K33" i="24"/>
  <c r="K34" i="24" s="1"/>
  <c r="M137" i="9"/>
  <c r="J11" i="24"/>
  <c r="J10" i="24"/>
  <c r="M146" i="9"/>
  <c r="M35" i="9"/>
  <c r="M124" i="9"/>
  <c r="M15" i="9"/>
  <c r="M26" i="9"/>
  <c r="M130" i="9"/>
  <c r="M33" i="9"/>
  <c r="N130" i="9"/>
  <c r="N33" i="9"/>
  <c r="L45" i="9"/>
  <c r="N35" i="9"/>
  <c r="N146" i="9"/>
  <c r="O149" i="9"/>
  <c r="O68" i="9"/>
  <c r="L149" i="9"/>
  <c r="AK149" i="9" s="1"/>
  <c r="L68" i="9"/>
  <c r="L33" i="9"/>
  <c r="L130" i="9"/>
  <c r="AK130" i="9" s="1"/>
  <c r="D73" i="11" s="1"/>
  <c r="L142" i="9"/>
  <c r="L140" i="9"/>
  <c r="AK140" i="9" s="1"/>
  <c r="L34" i="9"/>
  <c r="O137" i="9"/>
  <c r="K17" i="24"/>
  <c r="K18" i="24" s="1"/>
  <c r="K13" i="24"/>
  <c r="CB40" i="9"/>
  <c r="CC39" i="9"/>
  <c r="CD39" i="9" s="1"/>
  <c r="CF39" i="9" s="1"/>
  <c r="K24" i="24"/>
  <c r="K27" i="24"/>
  <c r="K30" i="24" s="1"/>
  <c r="K31" i="24" s="1"/>
  <c r="M45" i="9"/>
  <c r="M68" i="9"/>
  <c r="M149" i="9"/>
  <c r="N149" i="9"/>
  <c r="N68" i="9"/>
  <c r="O35" i="9"/>
  <c r="O146" i="9"/>
  <c r="O28" i="9"/>
  <c r="O142" i="9"/>
  <c r="O140" i="9"/>
  <c r="O34" i="9"/>
  <c r="L26" i="9"/>
  <c r="L124" i="9"/>
  <c r="L15" i="9"/>
  <c r="M142" i="9"/>
  <c r="M34" i="9"/>
  <c r="M140" i="9"/>
  <c r="N142" i="9"/>
  <c r="N34" i="9"/>
  <c r="N140" i="9"/>
  <c r="N45" i="9"/>
  <c r="O29" i="9"/>
  <c r="O60" i="9" s="1"/>
  <c r="N124" i="9"/>
  <c r="N26" i="9"/>
  <c r="N15" i="9"/>
  <c r="O33" i="9"/>
  <c r="O130" i="9"/>
  <c r="O45" i="9"/>
  <c r="O14" i="9"/>
  <c r="O30" i="9" s="1"/>
  <c r="O124" i="9"/>
  <c r="O15" i="9"/>
  <c r="O26" i="9"/>
  <c r="O27" i="9"/>
  <c r="L35" i="9"/>
  <c r="L146" i="9"/>
  <c r="AK146" i="9" s="1"/>
  <c r="L137" i="9"/>
  <c r="AK137" i="9" s="1"/>
  <c r="D11" i="19" l="1"/>
  <c r="C18" i="27"/>
  <c r="D12" i="19"/>
  <c r="C17" i="27"/>
  <c r="E15" i="27"/>
  <c r="J16" i="24"/>
  <c r="L61" i="9"/>
  <c r="C26" i="27"/>
  <c r="M59" i="9"/>
  <c r="L55" i="9"/>
  <c r="R30" i="18"/>
  <c r="L12" i="9"/>
  <c r="R18" i="18"/>
  <c r="O59" i="9"/>
  <c r="M72" i="9"/>
  <c r="N55" i="9"/>
  <c r="N72" i="9"/>
  <c r="M12" i="9"/>
  <c r="N12" i="9"/>
  <c r="N61" i="9"/>
  <c r="M61" i="9"/>
  <c r="L72" i="9"/>
  <c r="N59" i="9"/>
  <c r="H59" i="16"/>
  <c r="C28" i="27"/>
  <c r="H57" i="16"/>
  <c r="H56" i="16" s="1"/>
  <c r="M52" i="9"/>
  <c r="N53" i="9"/>
  <c r="O52" i="9"/>
  <c r="D52" i="27"/>
  <c r="Q13" i="18"/>
  <c r="Q27" i="18" s="1"/>
  <c r="Q17" i="18"/>
  <c r="O72" i="9"/>
  <c r="Q16" i="18"/>
  <c r="M55" i="9"/>
  <c r="L59" i="9"/>
  <c r="H51" i="16"/>
  <c r="H50" i="16" s="1"/>
  <c r="H44" i="16"/>
  <c r="H45" i="16"/>
  <c r="D22" i="27"/>
  <c r="Q15" i="18"/>
  <c r="Q29" i="18" s="1"/>
  <c r="O12" i="9"/>
  <c r="D21" i="27"/>
  <c r="Q10" i="18"/>
  <c r="Q24" i="18" s="1"/>
  <c r="D29" i="27"/>
  <c r="Q12" i="18"/>
  <c r="Q26" i="18" s="1"/>
  <c r="D26" i="27"/>
  <c r="I43" i="16"/>
  <c r="O61" i="9"/>
  <c r="P23" i="27"/>
  <c r="P8" i="18"/>
  <c r="P19" i="18" s="1"/>
  <c r="P11" i="18"/>
  <c r="P9" i="18"/>
  <c r="P14" i="18"/>
  <c r="O55" i="9"/>
  <c r="H42" i="16"/>
  <c r="AC31" i="18"/>
  <c r="AC33" i="18" s="1"/>
  <c r="I41" i="16"/>
  <c r="D25" i="27"/>
  <c r="O163" i="9"/>
  <c r="L163" i="9"/>
  <c r="M163" i="9"/>
  <c r="N163" i="9"/>
  <c r="H53" i="16"/>
  <c r="C27" i="27"/>
  <c r="Y7" i="9"/>
  <c r="AN7" i="9"/>
  <c r="X8" i="9"/>
  <c r="Z7" i="9"/>
  <c r="H18" i="16"/>
  <c r="H36" i="16" s="1"/>
  <c r="H6" i="16"/>
  <c r="C12" i="27"/>
  <c r="H16" i="16"/>
  <c r="H22" i="16"/>
  <c r="C45" i="27"/>
  <c r="M51" i="27"/>
  <c r="M34" i="27"/>
  <c r="K33" i="27"/>
  <c r="O31" i="27"/>
  <c r="L34" i="27"/>
  <c r="L32" i="27"/>
  <c r="N51" i="27"/>
  <c r="K34" i="27"/>
  <c r="O32" i="27"/>
  <c r="M31" i="27"/>
  <c r="N33" i="27"/>
  <c r="N31" i="27"/>
  <c r="K51" i="27"/>
  <c r="L51" i="27"/>
  <c r="O33" i="27"/>
  <c r="M32" i="27"/>
  <c r="K31" i="27"/>
  <c r="L33" i="27"/>
  <c r="L31" i="27"/>
  <c r="O51" i="27"/>
  <c r="O34" i="27"/>
  <c r="M33" i="27"/>
  <c r="K32" i="27"/>
  <c r="N34" i="27"/>
  <c r="N32" i="27"/>
  <c r="C46" i="27"/>
  <c r="H21" i="16"/>
  <c r="H29" i="16" s="1"/>
  <c r="C47" i="27"/>
  <c r="C11" i="27"/>
  <c r="C10" i="27"/>
  <c r="H15" i="16"/>
  <c r="J29" i="24"/>
  <c r="O16" i="9"/>
  <c r="O25" i="9" s="1"/>
  <c r="O17" i="9"/>
  <c r="O24" i="9" s="1"/>
  <c r="J21" i="24"/>
  <c r="J9" i="24"/>
  <c r="S33" i="18"/>
  <c r="T33" i="18"/>
  <c r="P33" i="18"/>
  <c r="Q33" i="18"/>
  <c r="R33" i="18"/>
  <c r="O32" i="9"/>
  <c r="O125" i="9"/>
  <c r="N125" i="9"/>
  <c r="N32" i="9"/>
  <c r="D48" i="27"/>
  <c r="O37" i="9"/>
  <c r="O51" i="9"/>
  <c r="L125" i="9"/>
  <c r="AK125" i="9" s="1"/>
  <c r="L32" i="9"/>
  <c r="CB41" i="9"/>
  <c r="CC40" i="9"/>
  <c r="CD40" i="9" s="1"/>
  <c r="CF40" i="9" s="1"/>
  <c r="M32" i="9"/>
  <c r="M125" i="9"/>
  <c r="J17" i="24"/>
  <c r="J18" i="24" s="1"/>
  <c r="J13" i="24"/>
  <c r="J24" i="24"/>
  <c r="J27" i="24"/>
  <c r="J30" i="24" s="1"/>
  <c r="J31" i="24" s="1"/>
  <c r="H43" i="16" l="1"/>
  <c r="Q30" i="18"/>
  <c r="Q18" i="18"/>
  <c r="O162" i="9"/>
  <c r="L162" i="9"/>
  <c r="L57" i="9" s="1"/>
  <c r="C29" i="27"/>
  <c r="P12" i="18"/>
  <c r="P26" i="18" s="1"/>
  <c r="O23" i="27"/>
  <c r="N162" i="9"/>
  <c r="N57" i="9" s="1"/>
  <c r="M162" i="9"/>
  <c r="P16" i="18"/>
  <c r="P17" i="18"/>
  <c r="P13" i="18"/>
  <c r="P27" i="18" s="1"/>
  <c r="C52" i="27"/>
  <c r="C21" i="27"/>
  <c r="P10" i="18"/>
  <c r="P24" i="18" s="1"/>
  <c r="C22" i="27"/>
  <c r="P15" i="18"/>
  <c r="P29" i="18" s="1"/>
  <c r="C25" i="27"/>
  <c r="H41" i="16"/>
  <c r="C48" i="27"/>
  <c r="I41" i="27"/>
  <c r="AA7" i="9"/>
  <c r="AN6" i="9" s="1"/>
  <c r="G10" i="11" s="1"/>
  <c r="AB31" i="18"/>
  <c r="AB32" i="18"/>
  <c r="AN179" i="9"/>
  <c r="AN118" i="9"/>
  <c r="AN64" i="9"/>
  <c r="G13" i="11"/>
  <c r="G32" i="11" s="1"/>
  <c r="G53" i="11" s="1"/>
  <c r="G63" i="11" s="1"/>
  <c r="G92" i="11" s="1"/>
  <c r="D23" i="25"/>
  <c r="AN87" i="9"/>
  <c r="AN48" i="9"/>
  <c r="AN40" i="9"/>
  <c r="AN23" i="9"/>
  <c r="AS5" i="9" s="1"/>
  <c r="AM7" i="9"/>
  <c r="AN152" i="9"/>
  <c r="AN1" i="9"/>
  <c r="P25" i="18"/>
  <c r="P28" i="18"/>
  <c r="P23" i="18"/>
  <c r="Z8" i="9"/>
  <c r="X9" i="9"/>
  <c r="Y8" i="9"/>
  <c r="F50" i="27"/>
  <c r="H50" i="27"/>
  <c r="G16" i="27"/>
  <c r="G50" i="27"/>
  <c r="C49" i="27"/>
  <c r="C44" i="27"/>
  <c r="I15" i="24"/>
  <c r="I33" i="24"/>
  <c r="I34" i="24" s="1"/>
  <c r="I9" i="24"/>
  <c r="CC41" i="9"/>
  <c r="CD41" i="9" s="1"/>
  <c r="CF41" i="9" s="1"/>
  <c r="CB42" i="9"/>
  <c r="I20" i="24"/>
  <c r="I22" i="24" s="1"/>
  <c r="I23" i="24" s="1"/>
  <c r="I16" i="24"/>
  <c r="D15" i="27"/>
  <c r="I8" i="24"/>
  <c r="I12" i="24" s="1"/>
  <c r="I29" i="24"/>
  <c r="I11" i="24"/>
  <c r="I21" i="24"/>
  <c r="I26" i="24"/>
  <c r="I10" i="24"/>
  <c r="I40" i="27" l="1"/>
  <c r="V40" i="27"/>
  <c r="AE40" i="27"/>
  <c r="M80" i="11" s="1"/>
  <c r="Z44" i="27"/>
  <c r="H84" i="11" s="1"/>
  <c r="Y40" i="27"/>
  <c r="R44" i="27"/>
  <c r="AH44" i="27"/>
  <c r="P84" i="11" s="1"/>
  <c r="Q40" i="27"/>
  <c r="H10" i="24"/>
  <c r="AJ43" i="27"/>
  <c r="R85" i="11" s="1"/>
  <c r="L43" i="27"/>
  <c r="AI43" i="27"/>
  <c r="Q85" i="11" s="1"/>
  <c r="AE42" i="27"/>
  <c r="M83" i="11" s="1"/>
  <c r="H43" i="27"/>
  <c r="AK42" i="27"/>
  <c r="S83" i="11" s="1"/>
  <c r="C42" i="27"/>
  <c r="S44" i="27"/>
  <c r="C43" i="27"/>
  <c r="R43" i="27"/>
  <c r="S43" i="27"/>
  <c r="AK41" i="27"/>
  <c r="S81" i="11" s="1"/>
  <c r="S66" i="11" s="1"/>
  <c r="AG42" i="27"/>
  <c r="O82" i="11" s="1"/>
  <c r="R128" i="9"/>
  <c r="AF43" i="27"/>
  <c r="N85" i="11" s="1"/>
  <c r="AC42" i="27"/>
  <c r="K83" i="11" s="1"/>
  <c r="U43" i="27"/>
  <c r="AE43" i="27"/>
  <c r="M85" i="11" s="1"/>
  <c r="T43" i="27"/>
  <c r="AK43" i="27"/>
  <c r="S85" i="11" s="1"/>
  <c r="G42" i="27"/>
  <c r="R42" i="27"/>
  <c r="K43" i="27"/>
  <c r="Z43" i="27"/>
  <c r="H85" i="11" s="1"/>
  <c r="G43" i="27"/>
  <c r="AH43" i="27"/>
  <c r="P85" i="11" s="1"/>
  <c r="J42" i="27"/>
  <c r="U42" i="27"/>
  <c r="W40" i="27"/>
  <c r="AK40" i="27"/>
  <c r="S80" i="11" s="1"/>
  <c r="L40" i="27"/>
  <c r="Z40" i="27"/>
  <c r="H80" i="11" s="1"/>
  <c r="I43" i="27"/>
  <c r="Q43" i="27"/>
  <c r="W43" i="27"/>
  <c r="AA43" i="27"/>
  <c r="I85" i="11" s="1"/>
  <c r="E43" i="27"/>
  <c r="M43" i="27"/>
  <c r="AB43" i="27"/>
  <c r="J85" i="11" s="1"/>
  <c r="AC43" i="27"/>
  <c r="K85" i="11" s="1"/>
  <c r="H16" i="24"/>
  <c r="F42" i="27"/>
  <c r="AF42" i="27"/>
  <c r="N83" i="11" s="1"/>
  <c r="Q42" i="27"/>
  <c r="AA42" i="27"/>
  <c r="I82" i="11" s="1"/>
  <c r="H11" i="24"/>
  <c r="H40" i="27"/>
  <c r="U40" i="27"/>
  <c r="AB40" i="27"/>
  <c r="J80" i="11" s="1"/>
  <c r="F40" i="27"/>
  <c r="X40" i="27"/>
  <c r="AH40" i="27"/>
  <c r="P80" i="11" s="1"/>
  <c r="S40" i="27"/>
  <c r="AG40" i="27"/>
  <c r="O80" i="11" s="1"/>
  <c r="AN63" i="9"/>
  <c r="R133" i="9"/>
  <c r="AP133" i="9" s="1"/>
  <c r="F43" i="27"/>
  <c r="P43" i="27"/>
  <c r="V43" i="27"/>
  <c r="AD43" i="27"/>
  <c r="L85" i="11" s="1"/>
  <c r="D43" i="27"/>
  <c r="J43" i="27"/>
  <c r="X43" i="27"/>
  <c r="AG43" i="27"/>
  <c r="O85" i="11" s="1"/>
  <c r="Y43" i="27"/>
  <c r="P42" i="27"/>
  <c r="K42" i="27"/>
  <c r="V42" i="27"/>
  <c r="AJ42" i="27"/>
  <c r="R83" i="11" s="1"/>
  <c r="N40" i="27"/>
  <c r="G40" i="27"/>
  <c r="M40" i="27"/>
  <c r="T40" i="27"/>
  <c r="AA40" i="27"/>
  <c r="I80" i="11" s="1"/>
  <c r="AI40" i="27"/>
  <c r="Q80" i="11" s="1"/>
  <c r="D40" i="27"/>
  <c r="AC40" i="27"/>
  <c r="K80" i="11" s="1"/>
  <c r="H33" i="24"/>
  <c r="H34" i="24" s="1"/>
  <c r="E42" i="27"/>
  <c r="I42" i="27"/>
  <c r="AI42" i="27"/>
  <c r="Q82" i="11" s="1"/>
  <c r="AL42" i="27"/>
  <c r="M42" i="27"/>
  <c r="T42" i="27"/>
  <c r="AH42" i="27"/>
  <c r="P83" i="11" s="1"/>
  <c r="Y42" i="27"/>
  <c r="D42" i="27"/>
  <c r="P30" i="18"/>
  <c r="H42" i="27"/>
  <c r="X42" i="27"/>
  <c r="AB42" i="27"/>
  <c r="J83" i="11" s="1"/>
  <c r="L42" i="27"/>
  <c r="S42" i="27"/>
  <c r="W42" i="27"/>
  <c r="AD42" i="27"/>
  <c r="L83" i="11" s="1"/>
  <c r="O56" i="9"/>
  <c r="O164" i="9"/>
  <c r="O54" i="9"/>
  <c r="O57" i="9"/>
  <c r="AN39" i="9"/>
  <c r="AN47" i="9"/>
  <c r="AN4" i="9"/>
  <c r="AN14" i="9" s="1"/>
  <c r="AN88" i="9"/>
  <c r="AN22" i="9"/>
  <c r="D22" i="25"/>
  <c r="AN119" i="9"/>
  <c r="AN153" i="9"/>
  <c r="C15" i="27"/>
  <c r="H8" i="24"/>
  <c r="H12" i="24" s="1"/>
  <c r="H17" i="24" s="1"/>
  <c r="H18" i="24" s="1"/>
  <c r="M56" i="9"/>
  <c r="M164" i="9"/>
  <c r="M57" i="9"/>
  <c r="Z32" i="18"/>
  <c r="Y32" i="18"/>
  <c r="V32" i="18"/>
  <c r="U32" i="18"/>
  <c r="AA32" i="18"/>
  <c r="X32" i="18"/>
  <c r="W32" i="18"/>
  <c r="M23" i="27"/>
  <c r="X31" i="18"/>
  <c r="W31" i="18"/>
  <c r="U31" i="18"/>
  <c r="AA31" i="18"/>
  <c r="P18" i="18"/>
  <c r="Z31" i="18"/>
  <c r="Z33" i="18" s="1"/>
  <c r="Y31" i="18"/>
  <c r="Y33" i="18" s="1"/>
  <c r="V31" i="18"/>
  <c r="N164" i="9"/>
  <c r="N56" i="9"/>
  <c r="N23" i="27"/>
  <c r="L23" i="27"/>
  <c r="L164" i="9"/>
  <c r="L56" i="9"/>
  <c r="AA41" i="27"/>
  <c r="I81" i="11" s="1"/>
  <c r="I66" i="11" s="1"/>
  <c r="V41" i="27"/>
  <c r="AC41" i="27"/>
  <c r="K81" i="11" s="1"/>
  <c r="K66" i="11" s="1"/>
  <c r="AG41" i="27"/>
  <c r="O81" i="11" s="1"/>
  <c r="O66" i="11" s="1"/>
  <c r="R41" i="27"/>
  <c r="M41" i="27"/>
  <c r="C41" i="27"/>
  <c r="F41" i="27"/>
  <c r="T41" i="27"/>
  <c r="AF41" i="27"/>
  <c r="N81" i="11" s="1"/>
  <c r="N66" i="11" s="1"/>
  <c r="E41" i="27"/>
  <c r="K41" i="27"/>
  <c r="Q41" i="27"/>
  <c r="Z41" i="27"/>
  <c r="H81" i="11" s="1"/>
  <c r="AJ41" i="27"/>
  <c r="R81" i="11" s="1"/>
  <c r="R66" i="11" s="1"/>
  <c r="D41" i="27"/>
  <c r="AA8" i="9"/>
  <c r="AM6" i="9" s="1"/>
  <c r="C22" i="25" s="1"/>
  <c r="G41" i="27"/>
  <c r="X41" i="27"/>
  <c r="AI41" i="27"/>
  <c r="Q81" i="11" s="1"/>
  <c r="H41" i="27"/>
  <c r="L41" i="27"/>
  <c r="U41" i="27"/>
  <c r="R121" i="9"/>
  <c r="AB41" i="27"/>
  <c r="J81" i="11" s="1"/>
  <c r="J66" i="11" s="1"/>
  <c r="H9" i="24"/>
  <c r="R148" i="9"/>
  <c r="S41" i="27"/>
  <c r="AD41" i="27"/>
  <c r="L81" i="11" s="1"/>
  <c r="L66" i="11" s="1"/>
  <c r="Y41" i="27"/>
  <c r="J41" i="27"/>
  <c r="P41" i="27"/>
  <c r="W41" i="27"/>
  <c r="AH41" i="27"/>
  <c r="P81" i="11" s="1"/>
  <c r="P66" i="11" s="1"/>
  <c r="AE41" i="27"/>
  <c r="M81" i="11" s="1"/>
  <c r="M66" i="11" s="1"/>
  <c r="I49" i="27"/>
  <c r="R122" i="9"/>
  <c r="AP122" i="9" s="1"/>
  <c r="K35" i="27"/>
  <c r="O41" i="27"/>
  <c r="AN184" i="9"/>
  <c r="G86" i="11" s="1"/>
  <c r="Y9" i="9"/>
  <c r="Z9" i="9"/>
  <c r="X10" i="9"/>
  <c r="AM179" i="9"/>
  <c r="AM48" i="9"/>
  <c r="AM118" i="9"/>
  <c r="AM152" i="9"/>
  <c r="AM40" i="9"/>
  <c r="AM64" i="9"/>
  <c r="AM1" i="9"/>
  <c r="AM87" i="9"/>
  <c r="F13" i="11"/>
  <c r="F32" i="11" s="1"/>
  <c r="F53" i="11" s="1"/>
  <c r="F63" i="11" s="1"/>
  <c r="F92" i="11" s="1"/>
  <c r="C23" i="25"/>
  <c r="AL7" i="9"/>
  <c r="AM23" i="9"/>
  <c r="AR5" i="9" s="1"/>
  <c r="AB33" i="18"/>
  <c r="E35" i="27"/>
  <c r="D35" i="27"/>
  <c r="G44" i="27"/>
  <c r="AL44" i="27"/>
  <c r="T84" i="11" s="1"/>
  <c r="AK44" i="27"/>
  <c r="S84" i="11" s="1"/>
  <c r="H15" i="24"/>
  <c r="F49" i="27"/>
  <c r="H20" i="24"/>
  <c r="H22" i="24" s="1"/>
  <c r="H23" i="24" s="1"/>
  <c r="H21" i="24"/>
  <c r="H16" i="27"/>
  <c r="F16" i="27"/>
  <c r="Q66" i="11"/>
  <c r="E16" i="27"/>
  <c r="E50" i="27"/>
  <c r="C35" i="27"/>
  <c r="J35" i="27"/>
  <c r="G35" i="27"/>
  <c r="R144" i="9"/>
  <c r="AP144" i="9" s="1"/>
  <c r="W44" i="27"/>
  <c r="AF44" i="27"/>
  <c r="N84" i="11" s="1"/>
  <c r="E44" i="27"/>
  <c r="P44" i="27"/>
  <c r="V44" i="27"/>
  <c r="AB44" i="27"/>
  <c r="J84" i="11" s="1"/>
  <c r="AJ44" i="27"/>
  <c r="R84" i="11" s="1"/>
  <c r="E49" i="27"/>
  <c r="M49" i="27"/>
  <c r="J49" i="27"/>
  <c r="R139" i="9"/>
  <c r="D49" i="27"/>
  <c r="H35" i="27"/>
  <c r="H29" i="24"/>
  <c r="J44" i="27"/>
  <c r="U44" i="27"/>
  <c r="AE44" i="27"/>
  <c r="M84" i="11" s="1"/>
  <c r="AI44" i="27"/>
  <c r="Q84" i="11" s="1"/>
  <c r="AA44" i="27"/>
  <c r="I84" i="11" s="1"/>
  <c r="D44" i="27"/>
  <c r="Q44" i="27"/>
  <c r="T44" i="27"/>
  <c r="X44" i="27"/>
  <c r="AD44" i="27"/>
  <c r="L84" i="11" s="1"/>
  <c r="AC44" i="27"/>
  <c r="K84" i="11" s="1"/>
  <c r="AG44" i="27"/>
  <c r="O84" i="11" s="1"/>
  <c r="Y44" i="27"/>
  <c r="H49" i="27"/>
  <c r="L49" i="27"/>
  <c r="G49" i="27"/>
  <c r="K49" i="27"/>
  <c r="H26" i="24"/>
  <c r="O44" i="27"/>
  <c r="R132" i="9"/>
  <c r="I27" i="24"/>
  <c r="I30" i="24" s="1"/>
  <c r="I31" i="24" s="1"/>
  <c r="I24" i="24"/>
  <c r="CB43" i="9"/>
  <c r="CC42" i="9"/>
  <c r="CD42" i="9" s="1"/>
  <c r="CF42" i="9" s="1"/>
  <c r="H26" i="30"/>
  <c r="Z42" i="27"/>
  <c r="H82" i="11" s="1"/>
  <c r="N43" i="27"/>
  <c r="O42" i="27"/>
  <c r="I13" i="24"/>
  <c r="I17" i="24"/>
  <c r="I18" i="24" s="1"/>
  <c r="O43" i="27"/>
  <c r="AM47" i="9" l="1"/>
  <c r="V33" i="18"/>
  <c r="O83" i="11"/>
  <c r="O108" i="11" s="1"/>
  <c r="O98" i="11" s="1"/>
  <c r="U93" i="23" s="1"/>
  <c r="I24" i="30"/>
  <c r="I36" i="30" s="1"/>
  <c r="H28" i="30"/>
  <c r="H38" i="30" s="1"/>
  <c r="K82" i="11"/>
  <c r="N42" i="27"/>
  <c r="H24" i="24"/>
  <c r="Q83" i="11"/>
  <c r="Q108" i="11" s="1"/>
  <c r="Q98" i="11" s="1"/>
  <c r="W93" i="23" s="1"/>
  <c r="I25" i="30"/>
  <c r="I83" i="11"/>
  <c r="I108" i="11" s="1"/>
  <c r="I98" i="11" s="1"/>
  <c r="O93" i="23" s="1"/>
  <c r="R82" i="11"/>
  <c r="O97" i="11"/>
  <c r="O96" i="11" s="1"/>
  <c r="U84" i="23" s="1"/>
  <c r="AN15" i="9"/>
  <c r="D31" i="25" s="1"/>
  <c r="AN161" i="9"/>
  <c r="G26" i="11" s="1"/>
  <c r="G27" i="11" s="1"/>
  <c r="AN30" i="9"/>
  <c r="AN13" i="9"/>
  <c r="D28" i="25" s="1"/>
  <c r="AN95" i="9"/>
  <c r="AN180" i="9" s="1"/>
  <c r="AN71" i="9"/>
  <c r="AN57" i="9"/>
  <c r="AF40" i="27"/>
  <c r="N80" i="11" s="1"/>
  <c r="N65" i="11" s="1"/>
  <c r="AL43" i="27"/>
  <c r="T85" i="11" s="1"/>
  <c r="X85" i="11" s="1"/>
  <c r="AN105" i="9"/>
  <c r="G46" i="11" s="1"/>
  <c r="AN21" i="9"/>
  <c r="D34" i="25" s="1"/>
  <c r="AN177" i="9"/>
  <c r="AN70" i="9"/>
  <c r="AN160" i="9"/>
  <c r="AN115" i="9"/>
  <c r="AN158" i="9"/>
  <c r="H27" i="30"/>
  <c r="AN33" i="9"/>
  <c r="AN29" i="9"/>
  <c r="AN121" i="9"/>
  <c r="G81" i="11" s="1"/>
  <c r="AN90" i="9"/>
  <c r="G41" i="11" s="1"/>
  <c r="AN173" i="9"/>
  <c r="G57" i="11" s="1"/>
  <c r="AN73" i="9"/>
  <c r="AN50" i="9"/>
  <c r="N82" i="11"/>
  <c r="AN34" i="9"/>
  <c r="AN139" i="9"/>
  <c r="AN107" i="9"/>
  <c r="AN127" i="9"/>
  <c r="G84" i="11" s="1"/>
  <c r="AN148" i="9"/>
  <c r="AN155" i="9"/>
  <c r="AN8" i="9"/>
  <c r="D24" i="25" s="1"/>
  <c r="AN9" i="9"/>
  <c r="D25" i="25" s="1"/>
  <c r="AN171" i="9"/>
  <c r="G114" i="11" s="1"/>
  <c r="AN10" i="9"/>
  <c r="D27" i="25" s="1"/>
  <c r="AN128" i="9"/>
  <c r="G85" i="11" s="1"/>
  <c r="AN17" i="9"/>
  <c r="D33" i="25" s="1"/>
  <c r="AN52" i="9"/>
  <c r="AN41" i="9"/>
  <c r="AN133" i="9"/>
  <c r="AN136" i="9"/>
  <c r="AN164" i="9"/>
  <c r="AN174" i="9"/>
  <c r="AN58" i="9"/>
  <c r="G20" i="11" s="1"/>
  <c r="AL41" i="27"/>
  <c r="T81" i="11" s="1"/>
  <c r="T66" i="11" s="1"/>
  <c r="C40" i="27"/>
  <c r="H25" i="30"/>
  <c r="AN156" i="9"/>
  <c r="G25" i="11" s="1"/>
  <c r="AN44" i="9"/>
  <c r="AN98" i="9"/>
  <c r="AN31" i="9"/>
  <c r="AN122" i="9"/>
  <c r="G82" i="11" s="1"/>
  <c r="AN175" i="9"/>
  <c r="G58" i="11" s="1"/>
  <c r="AN28" i="9"/>
  <c r="AN111" i="9"/>
  <c r="AN97" i="9"/>
  <c r="AN124" i="9"/>
  <c r="AN109" i="9"/>
  <c r="AN154" i="9"/>
  <c r="AN11" i="9"/>
  <c r="AN104" i="9"/>
  <c r="AN188" i="9" s="1"/>
  <c r="AN37" i="9"/>
  <c r="AN67" i="9"/>
  <c r="AN92" i="9"/>
  <c r="AN91" i="9"/>
  <c r="AN170" i="9"/>
  <c r="G112" i="11" s="1"/>
  <c r="AN69" i="9"/>
  <c r="G33" i="11" s="1"/>
  <c r="AN12" i="9"/>
  <c r="D29" i="25" s="1"/>
  <c r="AN72" i="9"/>
  <c r="AN110" i="9"/>
  <c r="AN56" i="9"/>
  <c r="AN132" i="9"/>
  <c r="AN93" i="9"/>
  <c r="AN25" i="9"/>
  <c r="AN55" i="9"/>
  <c r="I28" i="30"/>
  <c r="I38" i="30" s="1"/>
  <c r="P40" i="27"/>
  <c r="AN123" i="9"/>
  <c r="G83" i="11" s="1"/>
  <c r="AN120" i="9"/>
  <c r="G80" i="11" s="1"/>
  <c r="AN168" i="9"/>
  <c r="G109" i="11" s="1"/>
  <c r="AN159" i="9"/>
  <c r="AN60" i="9"/>
  <c r="AN68" i="9"/>
  <c r="AN51" i="9"/>
  <c r="AN49" i="9"/>
  <c r="AN108" i="9"/>
  <c r="AN112" i="9"/>
  <c r="G44" i="11" s="1"/>
  <c r="AN176" i="9"/>
  <c r="AN101" i="9"/>
  <c r="G42" i="11" s="1"/>
  <c r="AN43" i="9"/>
  <c r="AN32" i="9"/>
  <c r="AN144" i="9"/>
  <c r="M82" i="11"/>
  <c r="AN163" i="9"/>
  <c r="AN145" i="9"/>
  <c r="G87" i="11" s="1"/>
  <c r="AN113" i="9"/>
  <c r="G47" i="11" s="1"/>
  <c r="AN157" i="9"/>
  <c r="AN66" i="9"/>
  <c r="AN106" i="9"/>
  <c r="AN142" i="9"/>
  <c r="AN100" i="9"/>
  <c r="AN35" i="9"/>
  <c r="AN169" i="9"/>
  <c r="G113" i="11" s="1"/>
  <c r="AN42" i="9"/>
  <c r="AN61" i="9"/>
  <c r="AN24" i="9"/>
  <c r="AN54" i="9"/>
  <c r="D30" i="25" s="1"/>
  <c r="AN167" i="9"/>
  <c r="G110" i="11" s="1"/>
  <c r="AN45" i="9"/>
  <c r="AN53" i="9"/>
  <c r="G16" i="11" s="1"/>
  <c r="AN162" i="9"/>
  <c r="G28" i="11" s="1"/>
  <c r="AN134" i="9"/>
  <c r="AN26" i="9"/>
  <c r="AN59" i="9"/>
  <c r="G19" i="11" s="1"/>
  <c r="AN27" i="9"/>
  <c r="AN129" i="9"/>
  <c r="AN16" i="9"/>
  <c r="D32" i="25" s="1"/>
  <c r="AN166" i="9"/>
  <c r="G111" i="11" s="1"/>
  <c r="AN65" i="9"/>
  <c r="AL40" i="27"/>
  <c r="T80" i="11" s="1"/>
  <c r="T65" i="11" s="1"/>
  <c r="R120" i="9"/>
  <c r="R124" i="9" s="1"/>
  <c r="S82" i="11"/>
  <c r="R40" i="27"/>
  <c r="R123" i="9"/>
  <c r="R29" i="9" s="1"/>
  <c r="E40" i="27"/>
  <c r="I26" i="30"/>
  <c r="AJ40" i="27"/>
  <c r="R80" i="11" s="1"/>
  <c r="R97" i="11" s="1"/>
  <c r="R96" i="11" s="1"/>
  <c r="X84" i="23" s="1"/>
  <c r="X33" i="18"/>
  <c r="K40" i="27"/>
  <c r="L82" i="11"/>
  <c r="J40" i="27"/>
  <c r="J82" i="11"/>
  <c r="I97" i="11"/>
  <c r="O87" i="23" s="1"/>
  <c r="W33" i="18"/>
  <c r="H13" i="24"/>
  <c r="H24" i="30"/>
  <c r="H36" i="30" s="1"/>
  <c r="AD40" i="27"/>
  <c r="L80" i="11" s="1"/>
  <c r="L97" i="11" s="1"/>
  <c r="L96" i="11" s="1"/>
  <c r="R84" i="23" s="1"/>
  <c r="P82" i="11"/>
  <c r="L108" i="11"/>
  <c r="L98" i="11" s="1"/>
  <c r="R93" i="23" s="1"/>
  <c r="I27" i="30"/>
  <c r="AM119" i="9"/>
  <c r="U33" i="18"/>
  <c r="AM4" i="9"/>
  <c r="AM123" i="9" s="1"/>
  <c r="AM88" i="9"/>
  <c r="AA33" i="18"/>
  <c r="K23" i="27"/>
  <c r="N41" i="27"/>
  <c r="I44" i="27"/>
  <c r="AM22" i="9"/>
  <c r="AM63" i="9"/>
  <c r="AM39" i="9"/>
  <c r="F10" i="11"/>
  <c r="AM153" i="9"/>
  <c r="R127" i="9"/>
  <c r="AL179" i="9"/>
  <c r="AL1" i="9"/>
  <c r="AK7" i="9"/>
  <c r="AL87" i="9"/>
  <c r="AL152" i="9"/>
  <c r="AL48" i="9"/>
  <c r="AL40" i="9"/>
  <c r="AL64" i="9"/>
  <c r="AL23" i="9"/>
  <c r="AQ5" i="9" s="1"/>
  <c r="E13" i="11"/>
  <c r="E32" i="11" s="1"/>
  <c r="E53" i="11" s="1"/>
  <c r="E63" i="11" s="1"/>
  <c r="E92" i="11" s="1"/>
  <c r="AL118" i="9"/>
  <c r="AM184" i="9"/>
  <c r="F86" i="11" s="1"/>
  <c r="Z10" i="9"/>
  <c r="Y10" i="9"/>
  <c r="AA9" i="9"/>
  <c r="AL6" i="9" s="1"/>
  <c r="H27" i="24"/>
  <c r="H30" i="24" s="1"/>
  <c r="H31" i="24" s="1"/>
  <c r="J108" i="11"/>
  <c r="J98" i="11" s="1"/>
  <c r="P93" i="23" s="1"/>
  <c r="N108" i="11"/>
  <c r="N98" i="11" s="1"/>
  <c r="T93" i="23" s="1"/>
  <c r="H66" i="11"/>
  <c r="P108" i="11"/>
  <c r="P98" i="11" s="1"/>
  <c r="V93" i="23" s="1"/>
  <c r="R145" i="9"/>
  <c r="S108" i="11"/>
  <c r="S98" i="11" s="1"/>
  <c r="Y93" i="23" s="1"/>
  <c r="L44" i="27"/>
  <c r="K44" i="27"/>
  <c r="F35" i="27"/>
  <c r="K108" i="11"/>
  <c r="K98" i="11" s="1"/>
  <c r="Q93" i="23" s="1"/>
  <c r="M108" i="11"/>
  <c r="M98" i="11" s="1"/>
  <c r="S93" i="23" s="1"/>
  <c r="R108" i="11"/>
  <c r="R98" i="11" s="1"/>
  <c r="X93" i="23" s="1"/>
  <c r="T83" i="11"/>
  <c r="X83" i="11" s="1"/>
  <c r="T82" i="11"/>
  <c r="H83" i="11"/>
  <c r="H108" i="11" s="1"/>
  <c r="H98" i="11" s="1"/>
  <c r="L35" i="27"/>
  <c r="M35" i="27"/>
  <c r="F44" i="27"/>
  <c r="M44" i="27"/>
  <c r="H44" i="27"/>
  <c r="I35" i="27"/>
  <c r="O40" i="27"/>
  <c r="I65" i="11"/>
  <c r="I107" i="11"/>
  <c r="R28" i="9"/>
  <c r="AP28" i="9" s="1"/>
  <c r="R31" i="9"/>
  <c r="AP31" i="9" s="1"/>
  <c r="AP121" i="9"/>
  <c r="AP139" i="9"/>
  <c r="R142" i="9"/>
  <c r="R17" i="9" s="1"/>
  <c r="H107" i="11"/>
  <c r="H65" i="11"/>
  <c r="P97" i="11"/>
  <c r="P107" i="11"/>
  <c r="P65" i="11"/>
  <c r="AP148" i="9"/>
  <c r="H97" i="11"/>
  <c r="H96" i="11" s="1"/>
  <c r="CB44" i="9"/>
  <c r="CC43" i="9"/>
  <c r="CD43" i="9" s="1"/>
  <c r="CF43" i="9" s="1"/>
  <c r="M97" i="11"/>
  <c r="M107" i="11"/>
  <c r="M65" i="11"/>
  <c r="K97" i="11"/>
  <c r="K65" i="11"/>
  <c r="K107" i="11"/>
  <c r="Q97" i="11"/>
  <c r="Q107" i="11"/>
  <c r="Q65" i="11"/>
  <c r="R45" i="9"/>
  <c r="AP45" i="9" s="1"/>
  <c r="AP128" i="9"/>
  <c r="R14" i="9"/>
  <c r="W84" i="11"/>
  <c r="X84" i="11"/>
  <c r="Y84" i="11"/>
  <c r="N44" i="27"/>
  <c r="O65" i="11"/>
  <c r="O107" i="11"/>
  <c r="S97" i="11"/>
  <c r="S65" i="11"/>
  <c r="S107" i="11"/>
  <c r="J65" i="11"/>
  <c r="J107" i="11"/>
  <c r="AP132" i="9"/>
  <c r="R134" i="9"/>
  <c r="J97" i="11"/>
  <c r="I96" i="11" l="1"/>
  <c r="O84" i="23" s="1"/>
  <c r="AN181" i="9"/>
  <c r="J16" i="9" s="1"/>
  <c r="J25" i="9" s="1"/>
  <c r="W85" i="11"/>
  <c r="AM176" i="9"/>
  <c r="U87" i="23"/>
  <c r="G23" i="11"/>
  <c r="G99" i="11" s="1"/>
  <c r="T107" i="11"/>
  <c r="W107" i="11" s="1"/>
  <c r="G35" i="11"/>
  <c r="AP120" i="9"/>
  <c r="AN137" i="9"/>
  <c r="AN183" i="9"/>
  <c r="G72" i="11" s="1"/>
  <c r="R27" i="9"/>
  <c r="R37" i="9" s="1"/>
  <c r="AP37" i="9" s="1"/>
  <c r="R35" i="9"/>
  <c r="AP35" i="9" s="1"/>
  <c r="AN182" i="9"/>
  <c r="J17" i="9" s="1"/>
  <c r="J24" i="9" s="1"/>
  <c r="AN140" i="9"/>
  <c r="N97" i="11"/>
  <c r="T87" i="23" s="1"/>
  <c r="N107" i="11"/>
  <c r="I37" i="30"/>
  <c r="G94" i="11"/>
  <c r="Y85" i="11"/>
  <c r="AM59" i="9"/>
  <c r="F19" i="11" s="1"/>
  <c r="AN146" i="9"/>
  <c r="AN149" i="9"/>
  <c r="G93" i="11"/>
  <c r="G17" i="11"/>
  <c r="G88" i="11"/>
  <c r="X80" i="11"/>
  <c r="AM54" i="9"/>
  <c r="C30" i="25" s="1"/>
  <c r="AM136" i="9"/>
  <c r="R61" i="9"/>
  <c r="AP61" i="9" s="1"/>
  <c r="X87" i="23"/>
  <c r="AM31" i="9"/>
  <c r="AM177" i="9"/>
  <c r="AN125" i="9"/>
  <c r="G14" i="11"/>
  <c r="AM42" i="9"/>
  <c r="AM61" i="9"/>
  <c r="AN130" i="9"/>
  <c r="G73" i="11" s="1"/>
  <c r="G48" i="11"/>
  <c r="G49" i="11" s="1"/>
  <c r="H37" i="30"/>
  <c r="G37" i="11"/>
  <c r="R107" i="11"/>
  <c r="W81" i="11"/>
  <c r="AM29" i="9"/>
  <c r="AM111" i="9"/>
  <c r="AM133" i="9"/>
  <c r="Y81" i="11"/>
  <c r="G15" i="11"/>
  <c r="X81" i="11"/>
  <c r="G65" i="11"/>
  <c r="AM13" i="9"/>
  <c r="F35" i="11" s="1"/>
  <c r="AM44" i="9"/>
  <c r="AM17" i="9"/>
  <c r="C33" i="25" s="1"/>
  <c r="G95" i="11"/>
  <c r="Y80" i="11"/>
  <c r="T97" i="11"/>
  <c r="Y97" i="11" s="1"/>
  <c r="W80" i="11"/>
  <c r="AP123" i="9"/>
  <c r="AM164" i="9"/>
  <c r="AM127" i="9"/>
  <c r="F84" i="11" s="1"/>
  <c r="AM67" i="9"/>
  <c r="AM50" i="9"/>
  <c r="AM132" i="9"/>
  <c r="AM68" i="9"/>
  <c r="AM35" i="9"/>
  <c r="AM158" i="9"/>
  <c r="AM10" i="9"/>
  <c r="AN20" i="9" s="1"/>
  <c r="AM56" i="9"/>
  <c r="AM155" i="9"/>
  <c r="AM174" i="9"/>
  <c r="AM57" i="9"/>
  <c r="AM51" i="9"/>
  <c r="R87" i="23"/>
  <c r="AM71" i="9"/>
  <c r="AM169" i="9"/>
  <c r="F113" i="11" s="1"/>
  <c r="AM161" i="9"/>
  <c r="F26" i="11" s="1"/>
  <c r="F27" i="11" s="1"/>
  <c r="AM100" i="9"/>
  <c r="AM167" i="9"/>
  <c r="F110" i="11" s="1"/>
  <c r="AM105" i="9"/>
  <c r="F46" i="11" s="1"/>
  <c r="AM49" i="9"/>
  <c r="AM106" i="9"/>
  <c r="AM107" i="9"/>
  <c r="AM128" i="9"/>
  <c r="F85" i="11" s="1"/>
  <c r="AM45" i="9"/>
  <c r="AM121" i="9"/>
  <c r="F81" i="11" s="1"/>
  <c r="AM25" i="9"/>
  <c r="AM144" i="9"/>
  <c r="R15" i="9"/>
  <c r="AP15" i="9" s="1"/>
  <c r="L65" i="11"/>
  <c r="R65" i="11"/>
  <c r="AM120" i="9"/>
  <c r="AM66" i="9"/>
  <c r="AM55" i="9"/>
  <c r="AM33" i="9"/>
  <c r="AM112" i="9"/>
  <c r="F44" i="11" s="1"/>
  <c r="AM24" i="9"/>
  <c r="AM173" i="9"/>
  <c r="F57" i="11" s="1"/>
  <c r="AM73" i="9"/>
  <c r="AM91" i="9"/>
  <c r="AM14" i="9"/>
  <c r="AM70" i="9"/>
  <c r="AM60" i="9"/>
  <c r="AM41" i="9"/>
  <c r="AM171" i="9"/>
  <c r="F114" i="11" s="1"/>
  <c r="L107" i="11"/>
  <c r="AM142" i="9"/>
  <c r="AM16" i="9"/>
  <c r="C32" i="25" s="1"/>
  <c r="AM113" i="9"/>
  <c r="AM182" i="9" s="1"/>
  <c r="I17" i="9" s="1"/>
  <c r="I24" i="9" s="1"/>
  <c r="AM109" i="9"/>
  <c r="AM101" i="9"/>
  <c r="F42" i="11" s="1"/>
  <c r="AM98" i="9"/>
  <c r="AM139" i="9"/>
  <c r="AM95" i="9"/>
  <c r="AN96" i="9" s="1"/>
  <c r="AM15" i="9"/>
  <c r="C31" i="25" s="1"/>
  <c r="AM115" i="9"/>
  <c r="AM163" i="9"/>
  <c r="AM34" i="9"/>
  <c r="AM166" i="9"/>
  <c r="F111" i="11" s="1"/>
  <c r="AM32" i="9"/>
  <c r="AM65" i="9"/>
  <c r="AM72" i="9"/>
  <c r="AM156" i="9"/>
  <c r="F25" i="11" s="1"/>
  <c r="AM97" i="9"/>
  <c r="AM93" i="9"/>
  <c r="AM104" i="9"/>
  <c r="AM188" i="9" s="1"/>
  <c r="AM160" i="9"/>
  <c r="AM170" i="9"/>
  <c r="F112" i="11" s="1"/>
  <c r="AM27" i="9"/>
  <c r="AM12" i="9"/>
  <c r="C29" i="25" s="1"/>
  <c r="AM28" i="9"/>
  <c r="AM53" i="9"/>
  <c r="F16" i="11" s="1"/>
  <c r="AM58" i="9"/>
  <c r="F20" i="11" s="1"/>
  <c r="AM162" i="9"/>
  <c r="F28" i="11" s="1"/>
  <c r="AM37" i="9"/>
  <c r="AM110" i="9"/>
  <c r="AM21" i="9"/>
  <c r="C34" i="25" s="1"/>
  <c r="AM148" i="9"/>
  <c r="AM157" i="9"/>
  <c r="AM122" i="9"/>
  <c r="F82" i="11" s="1"/>
  <c r="AM69" i="9"/>
  <c r="F33" i="11" s="1"/>
  <c r="AM145" i="9"/>
  <c r="F88" i="11" s="1"/>
  <c r="AM8" i="9"/>
  <c r="C24" i="25" s="1"/>
  <c r="AM30" i="9"/>
  <c r="AM52" i="9"/>
  <c r="F15" i="11" s="1"/>
  <c r="AM9" i="9"/>
  <c r="C25" i="25" s="1"/>
  <c r="AM134" i="9"/>
  <c r="AM154" i="9"/>
  <c r="AM43" i="9"/>
  <c r="AM129" i="9"/>
  <c r="AM108" i="9"/>
  <c r="AM159" i="9"/>
  <c r="AM11" i="9"/>
  <c r="AM168" i="9"/>
  <c r="F109" i="11" s="1"/>
  <c r="AM124" i="9"/>
  <c r="AM175" i="9"/>
  <c r="F58" i="11" s="1"/>
  <c r="AM26" i="9"/>
  <c r="AM92" i="9"/>
  <c r="AM90" i="9"/>
  <c r="F41" i="11" s="1"/>
  <c r="R129" i="9"/>
  <c r="AP129" i="9" s="1"/>
  <c r="R26" i="9"/>
  <c r="AP26" i="9" s="1"/>
  <c r="AP127" i="9"/>
  <c r="J23" i="27"/>
  <c r="AA10" i="9"/>
  <c r="AK6" i="9" s="1"/>
  <c r="AK39" i="9" s="1"/>
  <c r="G74" i="11"/>
  <c r="F83" i="11"/>
  <c r="AK179" i="9"/>
  <c r="AK1" i="9"/>
  <c r="AK184" i="9" s="1"/>
  <c r="D86" i="11" s="1"/>
  <c r="D13" i="11"/>
  <c r="AK118" i="9"/>
  <c r="AK87" i="9"/>
  <c r="AK40" i="9"/>
  <c r="AK48" i="9"/>
  <c r="AK64" i="9"/>
  <c r="AK152" i="9"/>
  <c r="AK23" i="9"/>
  <c r="J27" i="9"/>
  <c r="J29" i="9"/>
  <c r="J60" i="9" s="1"/>
  <c r="J28" i="9"/>
  <c r="J54" i="9"/>
  <c r="J14" i="9"/>
  <c r="J30" i="9" s="1"/>
  <c r="AL184" i="9"/>
  <c r="E86" i="11" s="1"/>
  <c r="G18" i="11"/>
  <c r="G104" i="11"/>
  <c r="G71" i="11"/>
  <c r="G107" i="11"/>
  <c r="G102" i="11"/>
  <c r="G108" i="11"/>
  <c r="G98" i="11" s="1"/>
  <c r="G97" i="11"/>
  <c r="G103" i="11"/>
  <c r="E10" i="11"/>
  <c r="AL88" i="9"/>
  <c r="AL153" i="9"/>
  <c r="AL22" i="9"/>
  <c r="AL47" i="9"/>
  <c r="AL63" i="9"/>
  <c r="AL119" i="9"/>
  <c r="AL39" i="9"/>
  <c r="AL4" i="9"/>
  <c r="G54" i="11"/>
  <c r="G101" i="11"/>
  <c r="AP145" i="9"/>
  <c r="AP149" i="9" s="1"/>
  <c r="R146" i="9"/>
  <c r="R149" i="9"/>
  <c r="W83" i="11"/>
  <c r="T108" i="11"/>
  <c r="W108" i="11" s="1"/>
  <c r="Y83" i="11"/>
  <c r="R68" i="9"/>
  <c r="AP68" i="9" s="1"/>
  <c r="X82" i="11"/>
  <c r="Y82" i="11"/>
  <c r="W82" i="11"/>
  <c r="AP142" i="9"/>
  <c r="R16" i="9"/>
  <c r="R24" i="9" s="1"/>
  <c r="AP24" i="9" s="1"/>
  <c r="C16" i="27"/>
  <c r="C50" i="27"/>
  <c r="AP134" i="9"/>
  <c r="R136" i="9"/>
  <c r="Y87" i="23"/>
  <c r="S96" i="11"/>
  <c r="Y84" i="23" s="1"/>
  <c r="R25" i="9"/>
  <c r="AP25" i="9" s="1"/>
  <c r="AP17" i="9"/>
  <c r="Q96" i="11"/>
  <c r="W84" i="23" s="1"/>
  <c r="W87" i="23"/>
  <c r="W65" i="11"/>
  <c r="Y65" i="11"/>
  <c r="X65" i="11"/>
  <c r="K96" i="11"/>
  <c r="Q84" i="23" s="1"/>
  <c r="Q87" i="23"/>
  <c r="CB45" i="9"/>
  <c r="CC44" i="9"/>
  <c r="CD44" i="9" s="1"/>
  <c r="CF44" i="9" s="1"/>
  <c r="P96" i="11"/>
  <c r="V84" i="23" s="1"/>
  <c r="V87" i="23"/>
  <c r="Y66" i="11"/>
  <c r="W66" i="11"/>
  <c r="X66" i="11"/>
  <c r="R60" i="9"/>
  <c r="AP60" i="9" s="1"/>
  <c r="AP29" i="9"/>
  <c r="AP124" i="9"/>
  <c r="R125" i="9"/>
  <c r="R32" i="9"/>
  <c r="AP32" i="9" s="1"/>
  <c r="P87" i="23"/>
  <c r="J96" i="11"/>
  <c r="P84" i="23" s="1"/>
  <c r="AP14" i="9"/>
  <c r="R30" i="9"/>
  <c r="AP30" i="9" s="1"/>
  <c r="X107" i="11"/>
  <c r="S87" i="23"/>
  <c r="M96" i="11"/>
  <c r="S84" i="23" s="1"/>
  <c r="G68" i="11" l="1"/>
  <c r="Y107" i="11"/>
  <c r="G75" i="11"/>
  <c r="AP27" i="9"/>
  <c r="F17" i="11"/>
  <c r="N96" i="11"/>
  <c r="T84" i="23" s="1"/>
  <c r="R51" i="9"/>
  <c r="AP51" i="9" s="1"/>
  <c r="G96" i="11"/>
  <c r="AP125" i="9"/>
  <c r="AM140" i="9"/>
  <c r="AP130" i="9"/>
  <c r="G69" i="11"/>
  <c r="G76" i="11"/>
  <c r="C28" i="25"/>
  <c r="J31" i="9"/>
  <c r="G66" i="11"/>
  <c r="AN19" i="9"/>
  <c r="D26" i="25" s="1"/>
  <c r="AM137" i="9"/>
  <c r="AM180" i="9"/>
  <c r="F103" i="11" s="1"/>
  <c r="F87" i="11"/>
  <c r="F94" i="11"/>
  <c r="AM181" i="9"/>
  <c r="F68" i="11" s="1"/>
  <c r="AK4" i="9"/>
  <c r="AK20" i="9" s="1"/>
  <c r="F95" i="11"/>
  <c r="F93" i="11"/>
  <c r="W97" i="11"/>
  <c r="X97" i="11"/>
  <c r="Z87" i="23"/>
  <c r="T96" i="11"/>
  <c r="W96" i="11" s="1"/>
  <c r="F48" i="11"/>
  <c r="F23" i="11"/>
  <c r="F99" i="11" s="1"/>
  <c r="R33" i="9"/>
  <c r="AP33" i="9" s="1"/>
  <c r="C27" i="25"/>
  <c r="AM125" i="9"/>
  <c r="AM146" i="9"/>
  <c r="R130" i="9"/>
  <c r="AM183" i="9"/>
  <c r="N31" i="9" s="1"/>
  <c r="F80" i="11"/>
  <c r="F107" i="11" s="1"/>
  <c r="AM130" i="9"/>
  <c r="F73" i="11" s="1"/>
  <c r="F69" i="11"/>
  <c r="F14" i="11"/>
  <c r="F37" i="11"/>
  <c r="N17" i="9"/>
  <c r="N24" i="9" s="1"/>
  <c r="F47" i="11"/>
  <c r="F54" i="11" s="1"/>
  <c r="F76" i="11"/>
  <c r="AM149" i="9"/>
  <c r="Q49" i="27"/>
  <c r="I23" i="27"/>
  <c r="AP146" i="9"/>
  <c r="AF49" i="27"/>
  <c r="AK47" i="9"/>
  <c r="AK22" i="9"/>
  <c r="AK119" i="9"/>
  <c r="AK63" i="9"/>
  <c r="AP16" i="9"/>
  <c r="AK88" i="9"/>
  <c r="D10" i="11"/>
  <c r="AK153" i="9"/>
  <c r="X108" i="11"/>
  <c r="T98" i="11"/>
  <c r="Z93" i="23" s="1"/>
  <c r="F75" i="11"/>
  <c r="G67" i="11"/>
  <c r="G36" i="11"/>
  <c r="G38" i="11"/>
  <c r="D32" i="11"/>
  <c r="D53" i="11" s="1"/>
  <c r="D63" i="11" s="1"/>
  <c r="D92" i="11" s="1"/>
  <c r="D7" i="11"/>
  <c r="AL104" i="9"/>
  <c r="AL188" i="9" s="1"/>
  <c r="AL121" i="9"/>
  <c r="AL9" i="9"/>
  <c r="AM19" i="9" s="1"/>
  <c r="C26" i="25" s="1"/>
  <c r="AL158" i="9"/>
  <c r="AL120" i="9"/>
  <c r="AL113" i="9"/>
  <c r="AL54" i="9"/>
  <c r="E17" i="11" s="1"/>
  <c r="AL161" i="9"/>
  <c r="E26" i="11" s="1"/>
  <c r="E27" i="11" s="1"/>
  <c r="AL111" i="9"/>
  <c r="AL29" i="9"/>
  <c r="AL68" i="9"/>
  <c r="AL166" i="9"/>
  <c r="E111" i="11" s="1"/>
  <c r="AL105" i="9"/>
  <c r="AL26" i="9"/>
  <c r="AL66" i="9"/>
  <c r="AL164" i="9"/>
  <c r="AL144" i="9"/>
  <c r="AL176" i="9"/>
  <c r="AL12" i="9"/>
  <c r="AL17" i="9"/>
  <c r="AL71" i="9"/>
  <c r="AL177" i="9"/>
  <c r="AL100" i="9"/>
  <c r="AL128" i="9"/>
  <c r="AL16" i="9"/>
  <c r="AL136" i="9"/>
  <c r="AL42" i="9"/>
  <c r="AL91" i="9"/>
  <c r="AL35" i="9"/>
  <c r="AL92" i="9"/>
  <c r="AL56" i="9"/>
  <c r="AL132" i="9"/>
  <c r="AL167" i="9"/>
  <c r="E110" i="11" s="1"/>
  <c r="AL34" i="9"/>
  <c r="AL72" i="9"/>
  <c r="AL51" i="9"/>
  <c r="AL142" i="9"/>
  <c r="AL163" i="9"/>
  <c r="AL14" i="9"/>
  <c r="AL95" i="9"/>
  <c r="AL159" i="9"/>
  <c r="AL93" i="9"/>
  <c r="AL21" i="9"/>
  <c r="AL124" i="9"/>
  <c r="AL107" i="9"/>
  <c r="AL175" i="9"/>
  <c r="E58" i="11" s="1"/>
  <c r="AL133" i="9"/>
  <c r="AL127" i="9"/>
  <c r="E84" i="11" s="1"/>
  <c r="AL70" i="9"/>
  <c r="AL108" i="9"/>
  <c r="AL97" i="9"/>
  <c r="AL139" i="9"/>
  <c r="AL98" i="9"/>
  <c r="AL101" i="9"/>
  <c r="AL90" i="9"/>
  <c r="E41" i="11" s="1"/>
  <c r="AL33" i="9"/>
  <c r="AL160" i="9"/>
  <c r="AL110" i="9"/>
  <c r="AL37" i="9"/>
  <c r="AL154" i="9"/>
  <c r="AL129" i="9"/>
  <c r="AL130" i="9" s="1"/>
  <c r="E73" i="11" s="1"/>
  <c r="AL10" i="9"/>
  <c r="AM20" i="9" s="1"/>
  <c r="AL162" i="9"/>
  <c r="E28" i="11" s="1"/>
  <c r="AL25" i="9"/>
  <c r="AL134" i="9"/>
  <c r="AL57" i="9"/>
  <c r="AL65" i="9"/>
  <c r="AL32" i="9"/>
  <c r="AL60" i="9"/>
  <c r="AL41" i="9"/>
  <c r="AL123" i="9"/>
  <c r="AL45" i="9"/>
  <c r="AL43" i="9"/>
  <c r="AL44" i="9"/>
  <c r="AL155" i="9"/>
  <c r="AL58" i="9"/>
  <c r="E20" i="11" s="1"/>
  <c r="AL30" i="9"/>
  <c r="AL106" i="9"/>
  <c r="AL174" i="9"/>
  <c r="AL59" i="9"/>
  <c r="E19" i="11" s="1"/>
  <c r="AL169" i="9"/>
  <c r="E113" i="11" s="1"/>
  <c r="AL109" i="9"/>
  <c r="AL115" i="9"/>
  <c r="AL145" i="9"/>
  <c r="AL11" i="9"/>
  <c r="AL31" i="9"/>
  <c r="AL148" i="9"/>
  <c r="AL168" i="9"/>
  <c r="E109" i="11" s="1"/>
  <c r="AL55" i="9"/>
  <c r="AL61" i="9"/>
  <c r="AL156" i="9"/>
  <c r="AL52" i="9"/>
  <c r="AL8" i="9"/>
  <c r="AL171" i="9"/>
  <c r="E114" i="11" s="1"/>
  <c r="AL28" i="9"/>
  <c r="AL24" i="9"/>
  <c r="AL173" i="9"/>
  <c r="E57" i="11" s="1"/>
  <c r="AL15" i="9"/>
  <c r="AL122" i="9"/>
  <c r="E82" i="11" s="1"/>
  <c r="AL53" i="9"/>
  <c r="E16" i="11" s="1"/>
  <c r="AL67" i="9"/>
  <c r="AL27" i="9"/>
  <c r="AL69" i="9"/>
  <c r="E33" i="11" s="1"/>
  <c r="AL73" i="9"/>
  <c r="AL157" i="9"/>
  <c r="AL170" i="9"/>
  <c r="E112" i="11" s="1"/>
  <c r="AL112" i="9"/>
  <c r="E44" i="11" s="1"/>
  <c r="AL50" i="9"/>
  <c r="AL13" i="9"/>
  <c r="E35" i="11" s="1"/>
  <c r="AL49" i="9"/>
  <c r="F108" i="11"/>
  <c r="F98" i="11" s="1"/>
  <c r="J37" i="9"/>
  <c r="J51" i="9"/>
  <c r="Y108" i="11"/>
  <c r="D50" i="27"/>
  <c r="BA14" i="23"/>
  <c r="Q35" i="27"/>
  <c r="BG14" i="23"/>
  <c r="AL49" i="27"/>
  <c r="X49" i="27"/>
  <c r="CC45" i="9"/>
  <c r="CD45" i="9" s="1"/>
  <c r="CF45" i="9" s="1"/>
  <c r="CB46" i="9"/>
  <c r="R137" i="9"/>
  <c r="AP136" i="9"/>
  <c r="R140" i="9"/>
  <c r="R34" i="9"/>
  <c r="AP34" i="9" s="1"/>
  <c r="AK56" i="9" l="1"/>
  <c r="F97" i="11"/>
  <c r="AK142" i="9"/>
  <c r="AK71" i="9"/>
  <c r="AK132" i="9"/>
  <c r="AK51" i="9"/>
  <c r="AK9" i="9"/>
  <c r="AL19" i="9" s="1"/>
  <c r="F101" i="11"/>
  <c r="AK166" i="9"/>
  <c r="D111" i="11" s="1"/>
  <c r="AK101" i="9"/>
  <c r="D42" i="11" s="1"/>
  <c r="N28" i="9"/>
  <c r="AK24" i="9"/>
  <c r="AK144" i="9"/>
  <c r="AK110" i="9"/>
  <c r="AK72" i="9"/>
  <c r="AK156" i="9"/>
  <c r="I14" i="9"/>
  <c r="I30" i="9" s="1"/>
  <c r="AK167" i="9"/>
  <c r="D110" i="11" s="1"/>
  <c r="AK127" i="9"/>
  <c r="D84" i="11" s="1"/>
  <c r="AK49" i="9"/>
  <c r="AK145" i="9"/>
  <c r="D87" i="11" s="1"/>
  <c r="I28" i="9"/>
  <c r="AK93" i="9"/>
  <c r="AK124" i="9"/>
  <c r="AK55" i="9"/>
  <c r="AK107" i="9"/>
  <c r="AK30" i="9"/>
  <c r="AK162" i="9"/>
  <c r="D28" i="11" s="1"/>
  <c r="AK60" i="9"/>
  <c r="AK32" i="9"/>
  <c r="AK31" i="9"/>
  <c r="AK154" i="9"/>
  <c r="N16" i="9"/>
  <c r="N25" i="9" s="1"/>
  <c r="F102" i="11"/>
  <c r="F104" i="11"/>
  <c r="I27" i="9"/>
  <c r="I51" i="9" s="1"/>
  <c r="N54" i="9"/>
  <c r="AK54" i="9"/>
  <c r="AK158" i="9"/>
  <c r="AK50" i="9"/>
  <c r="AK148" i="9"/>
  <c r="AK29" i="9"/>
  <c r="AK26" i="9"/>
  <c r="AK19" i="9"/>
  <c r="AK108" i="9"/>
  <c r="AK121" i="9"/>
  <c r="D81" i="11" s="1"/>
  <c r="AK169" i="9"/>
  <c r="D113" i="11" s="1"/>
  <c r="AK37" i="9"/>
  <c r="AK133" i="9"/>
  <c r="AK44" i="9"/>
  <c r="AK12" i="9"/>
  <c r="AK33" i="9"/>
  <c r="AK98" i="9"/>
  <c r="AK41" i="9"/>
  <c r="AK139" i="9"/>
  <c r="AK28" i="9"/>
  <c r="AK159" i="9"/>
  <c r="AK52" i="9"/>
  <c r="D15" i="11" s="1"/>
  <c r="AK68" i="9"/>
  <c r="AK57" i="9"/>
  <c r="AK111" i="9"/>
  <c r="AK10" i="9"/>
  <c r="AL20" i="9" s="1"/>
  <c r="AK67" i="9"/>
  <c r="AK161" i="9"/>
  <c r="AK115" i="9"/>
  <c r="I29" i="9"/>
  <c r="I60" i="9" s="1"/>
  <c r="I54" i="9"/>
  <c r="N14" i="9"/>
  <c r="N30" i="9" s="1"/>
  <c r="AK171" i="9"/>
  <c r="D114" i="11" s="1"/>
  <c r="AK42" i="9"/>
  <c r="AK106" i="9"/>
  <c r="AK91" i="9"/>
  <c r="AK45" i="9"/>
  <c r="AK136" i="9"/>
  <c r="AK176" i="9"/>
  <c r="AK122" i="9"/>
  <c r="AK69" i="9"/>
  <c r="D33" i="11" s="1"/>
  <c r="AK175" i="9"/>
  <c r="D58" i="11" s="1"/>
  <c r="AK104" i="9"/>
  <c r="AK188" i="9" s="1"/>
  <c r="AK16" i="9"/>
  <c r="AK112" i="9"/>
  <c r="D44" i="11" s="1"/>
  <c r="AK177" i="9"/>
  <c r="AK25" i="9"/>
  <c r="AK109" i="9"/>
  <c r="AK15" i="9"/>
  <c r="AK53" i="9"/>
  <c r="D16" i="11" s="1"/>
  <c r="AK43" i="9"/>
  <c r="AK163" i="9"/>
  <c r="AK164" i="9"/>
  <c r="AK95" i="9"/>
  <c r="D23" i="11" s="1"/>
  <c r="AK128" i="9"/>
  <c r="D85" i="11" s="1"/>
  <c r="AK134" i="9"/>
  <c r="AK100" i="9"/>
  <c r="AK27" i="9"/>
  <c r="AK92" i="9"/>
  <c r="AK65" i="9"/>
  <c r="F18" i="11"/>
  <c r="F65" i="11"/>
  <c r="N29" i="9"/>
  <c r="N60" i="9" s="1"/>
  <c r="N27" i="9"/>
  <c r="G24" i="11"/>
  <c r="AK14" i="9"/>
  <c r="AK17" i="9"/>
  <c r="AK73" i="9"/>
  <c r="AK97" i="9"/>
  <c r="AK129" i="9"/>
  <c r="AK168" i="9"/>
  <c r="D109" i="11" s="1"/>
  <c r="AK90" i="9"/>
  <c r="D41" i="11" s="1"/>
  <c r="AK123" i="9"/>
  <c r="D83" i="11" s="1"/>
  <c r="AK155" i="9"/>
  <c r="AK174" i="9"/>
  <c r="AK11" i="9"/>
  <c r="AK35" i="9"/>
  <c r="AK8" i="9"/>
  <c r="AK170" i="9"/>
  <c r="D112" i="11" s="1"/>
  <c r="AK61" i="9"/>
  <c r="AK113" i="9"/>
  <c r="AK182" i="9" s="1"/>
  <c r="AK173" i="9"/>
  <c r="D57" i="11" s="1"/>
  <c r="AK120" i="9"/>
  <c r="D80" i="11" s="1"/>
  <c r="D107" i="11" s="1"/>
  <c r="AK58" i="9"/>
  <c r="D20" i="11" s="1"/>
  <c r="AK160" i="9"/>
  <c r="D26" i="11" s="1"/>
  <c r="AK70" i="9"/>
  <c r="AK66" i="9"/>
  <c r="AK13" i="9"/>
  <c r="D35" i="11" s="1"/>
  <c r="AK157" i="9"/>
  <c r="AK34" i="9"/>
  <c r="AK59" i="9"/>
  <c r="D19" i="11" s="1"/>
  <c r="AK105" i="9"/>
  <c r="D46" i="11" s="1"/>
  <c r="I31" i="9"/>
  <c r="I16" i="9"/>
  <c r="I25" i="9" s="1"/>
  <c r="Y96" i="11"/>
  <c r="F66" i="11"/>
  <c r="X96" i="11"/>
  <c r="F96" i="11"/>
  <c r="F74" i="11"/>
  <c r="Z84" i="23"/>
  <c r="X98" i="11"/>
  <c r="F72" i="11"/>
  <c r="F71" i="11"/>
  <c r="F49" i="11"/>
  <c r="F36" i="11" s="1"/>
  <c r="D16" i="27"/>
  <c r="W98" i="11"/>
  <c r="Y98" i="11"/>
  <c r="H23" i="27"/>
  <c r="E95" i="11"/>
  <c r="AL140" i="9"/>
  <c r="AF35" i="27"/>
  <c r="N88" i="11" s="1"/>
  <c r="I23" i="30"/>
  <c r="I40" i="30" s="1"/>
  <c r="AL125" i="9"/>
  <c r="AL137" i="9"/>
  <c r="E94" i="11"/>
  <c r="E93" i="11"/>
  <c r="E42" i="11"/>
  <c r="AL181" i="9"/>
  <c r="E75" i="11" s="1"/>
  <c r="E47" i="11"/>
  <c r="E54" i="11" s="1"/>
  <c r="E37" i="11"/>
  <c r="AL182" i="9"/>
  <c r="E76" i="11" s="1"/>
  <c r="E81" i="11"/>
  <c r="D25" i="11"/>
  <c r="E46" i="11"/>
  <c r="AL183" i="9"/>
  <c r="E80" i="11"/>
  <c r="E15" i="11"/>
  <c r="E14" i="11"/>
  <c r="AL146" i="9"/>
  <c r="E87" i="11"/>
  <c r="E88" i="11"/>
  <c r="AM96" i="9"/>
  <c r="E23" i="11"/>
  <c r="AL180" i="9"/>
  <c r="E101" i="11" s="1"/>
  <c r="E85" i="11"/>
  <c r="F67" i="11"/>
  <c r="E25" i="11"/>
  <c r="E48" i="11"/>
  <c r="AL149" i="9"/>
  <c r="E83" i="11"/>
  <c r="AL35" i="27"/>
  <c r="T88" i="11" s="1"/>
  <c r="X35" i="27"/>
  <c r="T69" i="11"/>
  <c r="T68" i="11"/>
  <c r="N69" i="11"/>
  <c r="N68" i="11"/>
  <c r="R35" i="27"/>
  <c r="R49" i="27"/>
  <c r="AI49" i="27"/>
  <c r="V49" i="27"/>
  <c r="AH49" i="27"/>
  <c r="O49" i="27"/>
  <c r="T49" i="27"/>
  <c r="AX14" i="23"/>
  <c r="AC49" i="27"/>
  <c r="AE49" i="27"/>
  <c r="U35" i="27"/>
  <c r="U49" i="27"/>
  <c r="BF14" i="23"/>
  <c r="AK49" i="27"/>
  <c r="AB49" i="27"/>
  <c r="AJ35" i="27"/>
  <c r="AJ49" i="27"/>
  <c r="AV14" i="23"/>
  <c r="AA49" i="27"/>
  <c r="P49" i="27"/>
  <c r="AD49" i="27"/>
  <c r="W35" i="27"/>
  <c r="W49" i="27"/>
  <c r="S49" i="27"/>
  <c r="Y49" i="27"/>
  <c r="AG49" i="27"/>
  <c r="H23" i="30"/>
  <c r="Z49" i="27"/>
  <c r="AP137" i="9"/>
  <c r="AP140" i="9"/>
  <c r="AK35" i="27"/>
  <c r="CB47" i="9"/>
  <c r="CC46" i="9"/>
  <c r="CD46" i="9" s="1"/>
  <c r="CF46" i="9" s="1"/>
  <c r="D88" i="11" l="1"/>
  <c r="AK180" i="9"/>
  <c r="G27" i="9" s="1"/>
  <c r="D47" i="11"/>
  <c r="D54" i="11" s="1"/>
  <c r="AK181" i="9"/>
  <c r="D68" i="11" s="1"/>
  <c r="D14" i="11"/>
  <c r="AL96" i="9"/>
  <c r="D93" i="11"/>
  <c r="D95" i="11"/>
  <c r="D97" i="11"/>
  <c r="I37" i="9"/>
  <c r="D94" i="11"/>
  <c r="D74" i="11"/>
  <c r="D108" i="11"/>
  <c r="D67" i="11" s="1"/>
  <c r="D71" i="11"/>
  <c r="D37" i="11"/>
  <c r="N37" i="9"/>
  <c r="D48" i="11"/>
  <c r="AK183" i="9"/>
  <c r="D66" i="11" s="1"/>
  <c r="N51" i="9"/>
  <c r="E103" i="11"/>
  <c r="F38" i="11"/>
  <c r="BD14" i="23"/>
  <c r="AE35" i="27"/>
  <c r="M88" i="11" s="1"/>
  <c r="AH35" i="27"/>
  <c r="P88" i="11" s="1"/>
  <c r="O35" i="27"/>
  <c r="P35" i="27"/>
  <c r="AZ14" i="23"/>
  <c r="T35" i="27"/>
  <c r="E74" i="11"/>
  <c r="J23" i="30"/>
  <c r="G23" i="27"/>
  <c r="BE14" i="23"/>
  <c r="E49" i="11"/>
  <c r="E38" i="11" s="1"/>
  <c r="BC14" i="23"/>
  <c r="AI35" i="27"/>
  <c r="Q88" i="11" s="1"/>
  <c r="I41" i="30"/>
  <c r="E69" i="11"/>
  <c r="AA35" i="27"/>
  <c r="I88" i="11" s="1"/>
  <c r="E68" i="11"/>
  <c r="E104" i="11"/>
  <c r="F24" i="11"/>
  <c r="E99" i="11"/>
  <c r="E24" i="11"/>
  <c r="E66" i="11"/>
  <c r="H31" i="9"/>
  <c r="M31" i="9"/>
  <c r="M16" i="9"/>
  <c r="M25" i="9" s="1"/>
  <c r="H16" i="9"/>
  <c r="H25" i="9" s="1"/>
  <c r="E108" i="11"/>
  <c r="E98" i="11" s="1"/>
  <c r="E97" i="11"/>
  <c r="E96" i="11" s="1"/>
  <c r="D99" i="11"/>
  <c r="D24" i="11"/>
  <c r="E65" i="11"/>
  <c r="L16" i="9"/>
  <c r="L25" i="9" s="1"/>
  <c r="M17" i="9"/>
  <c r="M24" i="9" s="1"/>
  <c r="H17" i="9"/>
  <c r="H24" i="9" s="1"/>
  <c r="D69" i="11"/>
  <c r="G17" i="9"/>
  <c r="G24" i="9" s="1"/>
  <c r="D76" i="11"/>
  <c r="L17" i="9"/>
  <c r="L24" i="9" s="1"/>
  <c r="E72" i="11"/>
  <c r="E18" i="11"/>
  <c r="H54" i="9"/>
  <c r="M28" i="9"/>
  <c r="H28" i="9"/>
  <c r="M29" i="9"/>
  <c r="M60" i="9" s="1"/>
  <c r="H14" i="9"/>
  <c r="H30" i="9" s="1"/>
  <c r="M27" i="9"/>
  <c r="H29" i="9"/>
  <c r="H60" i="9" s="1"/>
  <c r="M54" i="9"/>
  <c r="M14" i="9"/>
  <c r="M30" i="9" s="1"/>
  <c r="H27" i="9"/>
  <c r="E107" i="11"/>
  <c r="E71" i="11"/>
  <c r="E102" i="11"/>
  <c r="AW14" i="23"/>
  <c r="V35" i="27"/>
  <c r="AB35" i="27"/>
  <c r="AC35" i="27"/>
  <c r="K88" i="11" s="1"/>
  <c r="AG35" i="27"/>
  <c r="O88" i="11" s="1"/>
  <c r="AY14" i="23"/>
  <c r="S35" i="27"/>
  <c r="AD35" i="27"/>
  <c r="L88" i="11" s="1"/>
  <c r="BB14" i="23"/>
  <c r="Z35" i="27"/>
  <c r="H88" i="11" s="1"/>
  <c r="Y88" i="11" s="1"/>
  <c r="O69" i="11"/>
  <c r="O68" i="11"/>
  <c r="L69" i="11"/>
  <c r="L68" i="11"/>
  <c r="I69" i="11"/>
  <c r="I68" i="11"/>
  <c r="R69" i="11"/>
  <c r="R68" i="11"/>
  <c r="J69" i="11"/>
  <c r="J68" i="11"/>
  <c r="S69" i="11"/>
  <c r="W69" i="11" s="1"/>
  <c r="S68" i="11"/>
  <c r="W68" i="11" s="1"/>
  <c r="M69" i="11"/>
  <c r="M68" i="11"/>
  <c r="K69" i="11"/>
  <c r="K68" i="11"/>
  <c r="P69" i="11"/>
  <c r="P68" i="11"/>
  <c r="Q69" i="11"/>
  <c r="Q68" i="11"/>
  <c r="H68" i="11"/>
  <c r="Y68" i="11" s="1"/>
  <c r="H69" i="11"/>
  <c r="Y69" i="11" s="1"/>
  <c r="Y35" i="27"/>
  <c r="N35" i="27"/>
  <c r="N49" i="27"/>
  <c r="H40" i="30"/>
  <c r="H41" i="30"/>
  <c r="J88" i="11"/>
  <c r="CC47" i="9"/>
  <c r="CD47" i="9" s="1"/>
  <c r="CF47" i="9" s="1"/>
  <c r="CB48" i="9"/>
  <c r="R88" i="11"/>
  <c r="S88" i="11"/>
  <c r="W88" i="11" s="1"/>
  <c r="X69" i="11"/>
  <c r="X88" i="11"/>
  <c r="X68" i="11"/>
  <c r="D65" i="11" l="1"/>
  <c r="D101" i="11"/>
  <c r="G29" i="9"/>
  <c r="G60" i="9" s="1"/>
  <c r="G14" i="9"/>
  <c r="G30" i="9" s="1"/>
  <c r="G16" i="9"/>
  <c r="G25" i="9" s="1"/>
  <c r="D75" i="11"/>
  <c r="D96" i="11"/>
  <c r="D98" i="11"/>
  <c r="D103" i="11"/>
  <c r="D104" i="11"/>
  <c r="D102" i="11"/>
  <c r="L28" i="9"/>
  <c r="G54" i="9"/>
  <c r="L54" i="9"/>
  <c r="L29" i="9"/>
  <c r="L60" i="9" s="1"/>
  <c r="G28" i="9"/>
  <c r="L27" i="9"/>
  <c r="L51" i="9" s="1"/>
  <c r="L14" i="9"/>
  <c r="L30" i="9" s="1"/>
  <c r="D49" i="11"/>
  <c r="D38" i="11" s="1"/>
  <c r="L31" i="9"/>
  <c r="G31" i="9"/>
  <c r="E36" i="11"/>
  <c r="F23" i="27"/>
  <c r="H51" i="9"/>
  <c r="H37" i="9"/>
  <c r="M51" i="9"/>
  <c r="M37" i="9"/>
  <c r="E67" i="11"/>
  <c r="G51" i="9"/>
  <c r="CB49" i="9"/>
  <c r="CC48" i="9"/>
  <c r="CD48" i="9" s="1"/>
  <c r="CF48" i="9" s="1"/>
  <c r="D36" i="11" l="1"/>
  <c r="G37" i="9"/>
  <c r="L37" i="9"/>
  <c r="E23" i="27"/>
  <c r="CC49" i="9"/>
  <c r="CD49" i="9" s="1"/>
  <c r="CF49" i="9" s="1"/>
  <c r="CB50" i="9"/>
  <c r="D23" i="27" l="1"/>
  <c r="CC50" i="9"/>
  <c r="CD50" i="9" s="1"/>
  <c r="CF50" i="9" s="1"/>
  <c r="CB51" i="9"/>
  <c r="C23" i="27" l="1"/>
  <c r="CC51" i="9"/>
  <c r="CD51" i="9" s="1"/>
  <c r="CF51" i="9" s="1"/>
  <c r="CB52" i="9"/>
  <c r="CC52" i="9" l="1"/>
  <c r="CD52" i="9" s="1"/>
  <c r="CF52" i="9" s="1"/>
  <c r="CB53" i="9"/>
  <c r="CC53" i="9" l="1"/>
  <c r="CD53" i="9" s="1"/>
  <c r="CF53" i="9" s="1"/>
  <c r="CB54" i="9"/>
  <c r="CC54" i="9" l="1"/>
  <c r="CD54" i="9" s="1"/>
  <c r="CF54" i="9" s="1"/>
  <c r="CB55" i="9"/>
  <c r="CB56" i="9" l="1"/>
  <c r="CC55" i="9"/>
  <c r="CD55" i="9" s="1"/>
  <c r="CF55" i="9" s="1"/>
  <c r="CB57" i="9" l="1"/>
  <c r="CC56" i="9"/>
  <c r="CD56" i="9" s="1"/>
  <c r="CF56" i="9" s="1"/>
  <c r="CC57" i="9" l="1"/>
  <c r="CD57" i="9" s="1"/>
  <c r="CF57" i="9" s="1"/>
  <c r="CB58" i="9"/>
  <c r="CC58" i="9" l="1"/>
  <c r="CD58" i="9" s="1"/>
  <c r="CF58" i="9" s="1"/>
  <c r="CB59" i="9"/>
  <c r="CC59" i="9" l="1"/>
  <c r="CD59" i="9" s="1"/>
  <c r="CF59" i="9" s="1"/>
  <c r="CB60" i="9"/>
  <c r="CC60" i="9" l="1"/>
  <c r="CD60" i="9" s="1"/>
  <c r="CF60" i="9" s="1"/>
  <c r="CB61" i="9"/>
  <c r="CC61" i="9" l="1"/>
  <c r="CD61" i="9" s="1"/>
  <c r="CF61" i="9" s="1"/>
  <c r="CB62" i="9"/>
  <c r="CC62" i="9" l="1"/>
  <c r="CD62" i="9" s="1"/>
  <c r="CF62" i="9" s="1"/>
  <c r="CB63" i="9"/>
  <c r="CC63" i="9" l="1"/>
  <c r="CD63" i="9" s="1"/>
  <c r="CF63" i="9" s="1"/>
  <c r="CB64" i="9"/>
  <c r="CC64" i="9" l="1"/>
  <c r="CD64" i="9" s="1"/>
  <c r="CF64" i="9" s="1"/>
  <c r="CB65" i="9"/>
  <c r="CB66" i="9" l="1"/>
  <c r="CC65" i="9"/>
  <c r="CD65" i="9" s="1"/>
  <c r="CF65" i="9" s="1"/>
  <c r="CB67" i="9" l="1"/>
  <c r="CC66" i="9"/>
  <c r="CD66" i="9" s="1"/>
  <c r="CF66" i="9" s="1"/>
  <c r="CC67" i="9" l="1"/>
  <c r="CD67" i="9" s="1"/>
  <c r="CF67" i="9" s="1"/>
  <c r="CB68" i="9"/>
  <c r="CB69" i="9" l="1"/>
  <c r="CC68" i="9"/>
  <c r="CD68" i="9" s="1"/>
  <c r="CF68" i="9" s="1"/>
  <c r="CC69" i="9" l="1"/>
  <c r="CD69" i="9" s="1"/>
  <c r="CF69" i="9" s="1"/>
  <c r="CB70" i="9"/>
  <c r="CC70" i="9" l="1"/>
  <c r="CD70" i="9" s="1"/>
  <c r="CF70" i="9" s="1"/>
  <c r="CB71" i="9"/>
  <c r="CC71" i="9" l="1"/>
  <c r="CD71" i="9" s="1"/>
  <c r="CF71" i="9" s="1"/>
  <c r="CB72" i="9"/>
  <c r="CC72" i="9" l="1"/>
  <c r="CD72" i="9" s="1"/>
  <c r="CF72" i="9" s="1"/>
  <c r="CB73" i="9"/>
  <c r="CC73" i="9" l="1"/>
  <c r="CD73" i="9" s="1"/>
  <c r="CF73" i="9" s="1"/>
  <c r="CB74" i="9"/>
  <c r="CC74" i="9" l="1"/>
  <c r="CD74" i="9" s="1"/>
  <c r="CF74" i="9" s="1"/>
  <c r="CB75" i="9"/>
  <c r="CC75" i="9" l="1"/>
  <c r="CD75" i="9" s="1"/>
  <c r="CF75" i="9" s="1"/>
  <c r="CB76" i="9"/>
  <c r="CB77" i="9" l="1"/>
  <c r="CC76" i="9"/>
  <c r="CD76" i="9" s="1"/>
  <c r="CF76" i="9" s="1"/>
  <c r="CB78" i="9" l="1"/>
  <c r="CC77" i="9"/>
  <c r="CD77" i="9" s="1"/>
  <c r="CF77" i="9" s="1"/>
  <c r="CB79" i="9" l="1"/>
  <c r="CC78" i="9"/>
  <c r="CD78" i="9" s="1"/>
  <c r="CF78" i="9" s="1"/>
  <c r="CC79" i="9" l="1"/>
  <c r="CD79" i="9" s="1"/>
  <c r="CF79" i="9" s="1"/>
  <c r="CB80" i="9"/>
  <c r="CB81" i="9" l="1"/>
  <c r="CC80" i="9"/>
  <c r="CD80" i="9" s="1"/>
  <c r="CF80" i="9" s="1"/>
  <c r="CB82" i="9" l="1"/>
  <c r="CC81" i="9"/>
  <c r="CD81" i="9" s="1"/>
  <c r="CF81" i="9" s="1"/>
  <c r="CB83" i="9" l="1"/>
  <c r="CC82" i="9"/>
  <c r="CD82" i="9" s="1"/>
  <c r="CF82" i="9" s="1"/>
  <c r="CB84" i="9" l="1"/>
  <c r="CC83" i="9"/>
  <c r="CD83" i="9" s="1"/>
  <c r="CF83" i="9" s="1"/>
  <c r="CB85" i="9" l="1"/>
  <c r="CC84" i="9"/>
  <c r="CD84" i="9" s="1"/>
  <c r="CF84" i="9" s="1"/>
  <c r="CB86" i="9" l="1"/>
  <c r="CC85" i="9"/>
  <c r="CD85" i="9" s="1"/>
  <c r="CF85" i="9" s="1"/>
  <c r="CB87" i="9" l="1"/>
  <c r="CC86" i="9"/>
  <c r="CD86" i="9" s="1"/>
  <c r="CF86" i="9" s="1"/>
  <c r="CC87" i="9" l="1"/>
  <c r="CD87" i="9" s="1"/>
  <c r="CF87" i="9" s="1"/>
  <c r="CB88" i="9"/>
  <c r="CC88" i="9" l="1"/>
  <c r="CD88" i="9" s="1"/>
  <c r="CF88" i="9" s="1"/>
  <c r="CB89" i="9"/>
  <c r="CB90" i="9" l="1"/>
  <c r="CC89" i="9"/>
  <c r="CD89" i="9" s="1"/>
  <c r="CF89" i="9" s="1"/>
  <c r="CB91" i="9" l="1"/>
  <c r="CC90" i="9"/>
  <c r="CD90" i="9" s="1"/>
  <c r="CF90" i="9" s="1"/>
  <c r="CC91" i="9" l="1"/>
  <c r="CD91" i="9" s="1"/>
  <c r="CF91" i="9" s="1"/>
  <c r="CB92" i="9"/>
  <c r="CC92" i="9" l="1"/>
  <c r="CD92" i="9" s="1"/>
  <c r="CF92" i="9" s="1"/>
  <c r="CB93" i="9"/>
  <c r="CC93" i="9" l="1"/>
  <c r="CD93" i="9" s="1"/>
  <c r="CF93" i="9" s="1"/>
  <c r="CB94" i="9"/>
  <c r="CC94" i="9" l="1"/>
  <c r="CD94" i="9" s="1"/>
  <c r="CF94" i="9" s="1"/>
  <c r="CB95" i="9"/>
  <c r="CC95" i="9" l="1"/>
  <c r="CD95" i="9" s="1"/>
  <c r="CF95" i="9" s="1"/>
  <c r="CB96" i="9"/>
  <c r="CB97" i="9" l="1"/>
  <c r="CC96" i="9"/>
  <c r="CD96" i="9" s="1"/>
  <c r="CF96" i="9" s="1"/>
  <c r="CC97" i="9" l="1"/>
  <c r="CD97" i="9" s="1"/>
  <c r="CF97" i="9" s="1"/>
  <c r="CB98" i="9"/>
  <c r="CB99" i="9" l="1"/>
  <c r="CC98" i="9"/>
  <c r="CD98" i="9" s="1"/>
  <c r="CF98" i="9" s="1"/>
  <c r="CB100" i="9" l="1"/>
  <c r="CC99" i="9"/>
  <c r="CD99" i="9" s="1"/>
  <c r="CF99" i="9" s="1"/>
  <c r="CB101" i="9" l="1"/>
  <c r="CC100" i="9"/>
  <c r="CD100" i="9" s="1"/>
  <c r="CF100" i="9" s="1"/>
  <c r="CB102" i="9" l="1"/>
  <c r="CC101" i="9"/>
  <c r="CD101" i="9" s="1"/>
  <c r="CF101" i="9" s="1"/>
  <c r="CB103" i="9" l="1"/>
  <c r="CC102" i="9"/>
  <c r="CD102" i="9" s="1"/>
  <c r="CF102" i="9" s="1"/>
  <c r="CC103" i="9" l="1"/>
  <c r="CD103" i="9" s="1"/>
  <c r="CF103" i="9" s="1"/>
  <c r="CB104" i="9"/>
  <c r="CC104" i="9" l="1"/>
  <c r="CD104" i="9" s="1"/>
  <c r="CF104" i="9" s="1"/>
  <c r="CB105" i="9"/>
  <c r="CC105" i="9" l="1"/>
  <c r="CD105" i="9" s="1"/>
  <c r="CF105" i="9" s="1"/>
  <c r="CB106" i="9"/>
  <c r="CB107" i="9" l="1"/>
  <c r="CC106" i="9"/>
  <c r="CD106" i="9" s="1"/>
  <c r="CF106" i="9" s="1"/>
  <c r="CB108" i="9" l="1"/>
  <c r="CC107" i="9"/>
  <c r="CD107" i="9" s="1"/>
  <c r="CF107" i="9" s="1"/>
  <c r="CC108" i="9" l="1"/>
  <c r="CD108" i="9" s="1"/>
  <c r="CF108" i="9" s="1"/>
  <c r="CB109" i="9"/>
  <c r="CC109" i="9" l="1"/>
  <c r="CD109" i="9" s="1"/>
  <c r="CF109" i="9" s="1"/>
  <c r="CB110" i="9"/>
  <c r="CC110" i="9" l="1"/>
  <c r="CD110" i="9" s="1"/>
  <c r="CF110" i="9" s="1"/>
  <c r="CB111" i="9"/>
  <c r="CC111" i="9" l="1"/>
  <c r="CD111" i="9" s="1"/>
  <c r="CF111" i="9" s="1"/>
  <c r="CB112" i="9"/>
  <c r="CC112" i="9" l="1"/>
  <c r="CD112" i="9" s="1"/>
  <c r="CF112" i="9" s="1"/>
  <c r="CB113" i="9"/>
  <c r="CB114" i="9" l="1"/>
  <c r="CC113" i="9"/>
  <c r="CD113" i="9" s="1"/>
  <c r="CF113" i="9" s="1"/>
  <c r="CB115" i="9" l="1"/>
  <c r="CC114" i="9"/>
  <c r="CD114" i="9" s="1"/>
  <c r="CF114" i="9" s="1"/>
  <c r="CC115" i="9" l="1"/>
  <c r="CD115" i="9" s="1"/>
  <c r="CF115" i="9" s="1"/>
  <c r="CB116" i="9"/>
  <c r="CB117" i="9" l="1"/>
  <c r="CC116" i="9"/>
  <c r="CD116" i="9" s="1"/>
  <c r="CF116" i="9" s="1"/>
  <c r="CC117" i="9" l="1"/>
  <c r="CD117" i="9" s="1"/>
  <c r="CF117" i="9" s="1"/>
  <c r="CB118" i="9"/>
  <c r="CB119" i="9" l="1"/>
  <c r="CC118" i="9"/>
  <c r="CD118" i="9" s="1"/>
  <c r="CF118" i="9" s="1"/>
  <c r="CC119" i="9" l="1"/>
  <c r="CD119" i="9" s="1"/>
  <c r="CF119" i="9" s="1"/>
  <c r="CB120" i="9"/>
  <c r="CC120" i="9" l="1"/>
  <c r="CD120" i="9" s="1"/>
  <c r="CF120" i="9" s="1"/>
  <c r="CB121" i="9"/>
  <c r="CC121" i="9" l="1"/>
  <c r="CD121" i="9" s="1"/>
  <c r="CF121" i="9" s="1"/>
  <c r="CB122" i="9"/>
  <c r="CC122" i="9" l="1"/>
  <c r="CD122" i="9" s="1"/>
  <c r="CF122" i="9" s="1"/>
  <c r="CB123" i="9"/>
  <c r="CB124" i="9" l="1"/>
  <c r="CC123" i="9"/>
  <c r="CD123" i="9" s="1"/>
  <c r="CF123" i="9" s="1"/>
  <c r="CC124" i="9" l="1"/>
  <c r="CD124" i="9" s="1"/>
  <c r="CF124" i="9" s="1"/>
  <c r="CB125" i="9"/>
  <c r="CC125" i="9" l="1"/>
  <c r="CD125" i="9" s="1"/>
  <c r="CF125" i="9" s="1"/>
  <c r="CB126" i="9"/>
  <c r="CC126" i="9" l="1"/>
  <c r="CD126" i="9" s="1"/>
  <c r="CF126" i="9" s="1"/>
  <c r="CB127" i="9"/>
  <c r="CB128" i="9" l="1"/>
  <c r="CC127" i="9"/>
  <c r="CD127" i="9" s="1"/>
  <c r="CF127" i="9" s="1"/>
  <c r="CB129" i="9" l="1"/>
  <c r="CC128" i="9"/>
  <c r="CD128" i="9" s="1"/>
  <c r="CF128" i="9" s="1"/>
  <c r="CC129" i="9" l="1"/>
  <c r="CD129" i="9" s="1"/>
  <c r="CF129" i="9" s="1"/>
  <c r="CB130" i="9"/>
  <c r="CC130" i="9" l="1"/>
  <c r="CD130" i="9" s="1"/>
  <c r="CF130" i="9" s="1"/>
  <c r="CB131" i="9"/>
  <c r="CC131" i="9" l="1"/>
  <c r="CD131" i="9" s="1"/>
  <c r="CF131" i="9" s="1"/>
  <c r="CB132" i="9"/>
  <c r="CC132" i="9" l="1"/>
  <c r="CD132" i="9" s="1"/>
  <c r="CF132" i="9" s="1"/>
  <c r="CB133" i="9"/>
  <c r="CC133" i="9" l="1"/>
  <c r="CD133" i="9" s="1"/>
  <c r="CF133" i="9" s="1"/>
  <c r="CB134" i="9"/>
  <c r="CC134" i="9" l="1"/>
  <c r="CD134" i="9" s="1"/>
  <c r="CF134" i="9" s="1"/>
  <c r="CB135" i="9"/>
  <c r="CC135" i="9" l="1"/>
  <c r="CD135" i="9" s="1"/>
  <c r="CF135" i="9" s="1"/>
  <c r="CB136" i="9"/>
  <c r="CB137" i="9" l="1"/>
  <c r="CC136" i="9"/>
  <c r="CD136" i="9" s="1"/>
  <c r="CF136" i="9" s="1"/>
  <c r="CB138" i="9" l="1"/>
  <c r="CC137" i="9"/>
  <c r="CD137" i="9" s="1"/>
  <c r="CF137" i="9" s="1"/>
  <c r="CC138" i="9" l="1"/>
  <c r="CD138" i="9" s="1"/>
  <c r="CF138" i="9" s="1"/>
  <c r="CB139" i="9"/>
  <c r="CC139" i="9" l="1"/>
  <c r="CD139" i="9" s="1"/>
  <c r="CF139" i="9" s="1"/>
  <c r="CB140" i="9"/>
  <c r="CC140" i="9" l="1"/>
  <c r="CD140" i="9" s="1"/>
  <c r="CF140" i="9" s="1"/>
  <c r="CB141" i="9"/>
  <c r="CC141" i="9" l="1"/>
  <c r="CD141" i="9" s="1"/>
  <c r="CF141" i="9" s="1"/>
  <c r="CB142" i="9"/>
  <c r="CC142" i="9" l="1"/>
  <c r="CD142" i="9" s="1"/>
  <c r="CF142" i="9" s="1"/>
  <c r="CB143" i="9"/>
  <c r="CC143" i="9" l="1"/>
  <c r="CD143" i="9" s="1"/>
  <c r="CF143" i="9" s="1"/>
  <c r="CB144" i="9"/>
  <c r="CB145" i="9" l="1"/>
  <c r="CC144" i="9"/>
  <c r="CD144" i="9" s="1"/>
  <c r="CF144" i="9" s="1"/>
  <c r="CC145" i="9" l="1"/>
  <c r="CD145" i="9" s="1"/>
  <c r="CF145" i="9" s="1"/>
  <c r="CB146" i="9"/>
  <c r="CC146" i="9" l="1"/>
  <c r="CD146" i="9" s="1"/>
  <c r="CF146" i="9" s="1"/>
  <c r="CB147" i="9"/>
  <c r="CB148" i="9" l="1"/>
  <c r="CC147" i="9"/>
  <c r="CD147" i="9" s="1"/>
  <c r="CF147" i="9" s="1"/>
  <c r="CB149" i="9" l="1"/>
  <c r="CC148" i="9"/>
  <c r="CD148" i="9" s="1"/>
  <c r="CF148" i="9" s="1"/>
  <c r="CC149" i="9" l="1"/>
  <c r="CD149" i="9" s="1"/>
  <c r="CF149" i="9" s="1"/>
  <c r="CB150" i="9"/>
  <c r="CC150" i="9" l="1"/>
  <c r="CD150" i="9" s="1"/>
  <c r="CF150" i="9" s="1"/>
  <c r="CB151" i="9"/>
  <c r="CC151" i="9" l="1"/>
  <c r="CD151" i="9" s="1"/>
  <c r="CF151" i="9" s="1"/>
  <c r="CB152" i="9"/>
  <c r="CC152" i="9" l="1"/>
  <c r="CD152" i="9" s="1"/>
  <c r="CF152" i="9" s="1"/>
  <c r="CB153" i="9"/>
  <c r="CC153" i="9" l="1"/>
  <c r="CD153" i="9" s="1"/>
  <c r="CF153" i="9" s="1"/>
  <c r="CB154" i="9"/>
  <c r="CC154" i="9" l="1"/>
  <c r="CD154" i="9" s="1"/>
  <c r="CF154" i="9" s="1"/>
  <c r="CB155" i="9"/>
  <c r="CB156" i="9" l="1"/>
  <c r="CC155" i="9"/>
  <c r="CD155" i="9" s="1"/>
  <c r="CF155" i="9" s="1"/>
  <c r="CC156" i="9" l="1"/>
  <c r="CD156" i="9" s="1"/>
  <c r="CF156" i="9" s="1"/>
  <c r="CB157" i="9"/>
  <c r="CB158" i="9" l="1"/>
  <c r="CC157" i="9"/>
  <c r="CD157" i="9" s="1"/>
  <c r="CF157" i="9" s="1"/>
  <c r="CB159" i="9" l="1"/>
  <c r="CC158" i="9"/>
  <c r="CD158" i="9" s="1"/>
  <c r="CF158" i="9" s="1"/>
  <c r="CC159" i="9" l="1"/>
  <c r="CD159" i="9" s="1"/>
  <c r="CF159" i="9" s="1"/>
  <c r="CB160" i="9"/>
  <c r="CC160" i="9" l="1"/>
  <c r="CD160" i="9" s="1"/>
  <c r="CF160" i="9" s="1"/>
  <c r="CB161" i="9"/>
  <c r="CC161" i="9" l="1"/>
  <c r="CD161" i="9" s="1"/>
  <c r="CF161" i="9" s="1"/>
  <c r="CB162" i="9"/>
  <c r="CC162" i="9" l="1"/>
  <c r="CD162" i="9" s="1"/>
  <c r="CF162" i="9" s="1"/>
  <c r="CB163" i="9"/>
  <c r="CC163" i="9" l="1"/>
  <c r="CD163" i="9" s="1"/>
  <c r="CF163" i="9" s="1"/>
  <c r="CB164" i="9"/>
  <c r="CC164" i="9" l="1"/>
  <c r="CD164" i="9" s="1"/>
  <c r="CF164" i="9" s="1"/>
  <c r="CB165" i="9"/>
  <c r="CC165" i="9" l="1"/>
  <c r="CD165" i="9" s="1"/>
  <c r="CF165" i="9" s="1"/>
  <c r="CB166" i="9"/>
  <c r="CC166" i="9" l="1"/>
  <c r="CD166" i="9" s="1"/>
  <c r="CF166" i="9" s="1"/>
  <c r="CB167" i="9"/>
  <c r="CC167" i="9" l="1"/>
  <c r="CD167" i="9" s="1"/>
  <c r="CF167" i="9" s="1"/>
  <c r="CB168" i="9"/>
  <c r="CB169" i="9" l="1"/>
  <c r="CC168" i="9"/>
  <c r="CD168" i="9" s="1"/>
  <c r="CF168" i="9" s="1"/>
  <c r="CC169" i="9" l="1"/>
  <c r="CD169" i="9" s="1"/>
  <c r="CF169" i="9" s="1"/>
  <c r="CB170" i="9"/>
  <c r="CC170" i="9" l="1"/>
  <c r="CD170" i="9" s="1"/>
  <c r="CF170" i="9" s="1"/>
  <c r="CB171" i="9"/>
  <c r="CC171" i="9" l="1"/>
  <c r="CD171" i="9" s="1"/>
  <c r="CF171" i="9" s="1"/>
  <c r="CB172" i="9"/>
  <c r="CC172" i="9" l="1"/>
  <c r="CD172" i="9" s="1"/>
  <c r="CF172" i="9" s="1"/>
  <c r="CB173" i="9"/>
  <c r="CC173" i="9" l="1"/>
  <c r="CD173" i="9" s="1"/>
  <c r="CF173" i="9" s="1"/>
  <c r="CB174" i="9"/>
  <c r="CC174" i="9" l="1"/>
  <c r="CD174" i="9" s="1"/>
  <c r="CF174" i="9" s="1"/>
  <c r="CB175" i="9"/>
  <c r="CC175" i="9" l="1"/>
  <c r="CD175" i="9" s="1"/>
  <c r="CF175" i="9" s="1"/>
  <c r="CB176" i="9"/>
  <c r="CB177" i="9" l="1"/>
  <c r="CC176" i="9"/>
  <c r="CD176" i="9" s="1"/>
  <c r="CF176" i="9" s="1"/>
  <c r="CB178" i="9" l="1"/>
  <c r="CC177" i="9"/>
  <c r="CD177" i="9" s="1"/>
  <c r="CF177" i="9" s="1"/>
  <c r="CC178" i="9" l="1"/>
  <c r="CD178" i="9" s="1"/>
  <c r="CF178" i="9" s="1"/>
  <c r="CB179" i="9"/>
  <c r="CB180" i="9" l="1"/>
  <c r="CC179" i="9"/>
  <c r="CD179" i="9" s="1"/>
  <c r="CF179" i="9" s="1"/>
  <c r="CB181" i="9" l="1"/>
  <c r="CC180" i="9"/>
  <c r="CD180" i="9" s="1"/>
  <c r="CF180" i="9" s="1"/>
  <c r="CB182" i="9" l="1"/>
  <c r="CC181" i="9"/>
  <c r="CD181" i="9" s="1"/>
  <c r="CF181" i="9" s="1"/>
  <c r="CB183" i="9" l="1"/>
  <c r="CC182" i="9"/>
  <c r="CD182" i="9" s="1"/>
  <c r="CF182" i="9" s="1"/>
  <c r="CB184" i="9" l="1"/>
  <c r="CC183" i="9"/>
  <c r="CD183" i="9" s="1"/>
  <c r="CF183" i="9" s="1"/>
  <c r="CB185" i="9" l="1"/>
  <c r="CC184" i="9"/>
  <c r="CD184" i="9" s="1"/>
  <c r="CF184" i="9" s="1"/>
  <c r="CB186" i="9" l="1"/>
  <c r="CC185" i="9"/>
  <c r="CD185" i="9" s="1"/>
  <c r="CF185" i="9" s="1"/>
  <c r="CB187" i="9" l="1"/>
  <c r="CC186" i="9"/>
  <c r="CD186" i="9" s="1"/>
  <c r="CF186" i="9" s="1"/>
  <c r="CB188" i="9" l="1"/>
  <c r="CC187" i="9"/>
  <c r="CD187" i="9" s="1"/>
  <c r="CF187" i="9" s="1"/>
  <c r="CB189" i="9" l="1"/>
  <c r="CC188" i="9"/>
  <c r="CD188" i="9" s="1"/>
  <c r="CF188" i="9" s="1"/>
  <c r="CC189" i="9" l="1"/>
  <c r="CD189" i="9" s="1"/>
  <c r="CF189" i="9" s="1"/>
  <c r="CB190" i="9"/>
  <c r="CC190" i="9" l="1"/>
  <c r="CD190" i="9" s="1"/>
  <c r="CF190" i="9" s="1"/>
  <c r="CB191" i="9"/>
  <c r="CC191" i="9" l="1"/>
  <c r="CD191" i="9" s="1"/>
  <c r="CF191" i="9" s="1"/>
  <c r="CB192" i="9"/>
  <c r="CC192" i="9" l="1"/>
  <c r="CD192" i="9" s="1"/>
  <c r="CF192" i="9" s="1"/>
  <c r="CB193" i="9"/>
  <c r="CB194" i="9" l="1"/>
  <c r="CC193" i="9"/>
  <c r="CD193" i="9" s="1"/>
  <c r="CF193" i="9" s="1"/>
  <c r="CC194" i="9" l="1"/>
  <c r="CD194" i="9" s="1"/>
  <c r="CF194" i="9" s="1"/>
  <c r="CB195" i="9"/>
  <c r="CB196" i="9" l="1"/>
  <c r="CC195" i="9"/>
  <c r="CD195" i="9" s="1"/>
  <c r="CF195" i="9" s="1"/>
  <c r="CB197" i="9" l="1"/>
  <c r="CC196" i="9"/>
  <c r="CD196" i="9" s="1"/>
  <c r="CF196" i="9" s="1"/>
  <c r="CB198" i="9" l="1"/>
  <c r="CC197" i="9"/>
  <c r="CD197" i="9" s="1"/>
  <c r="CF197" i="9" s="1"/>
  <c r="CB199" i="9" l="1"/>
  <c r="CC198" i="9"/>
  <c r="CD198" i="9" s="1"/>
  <c r="CF198" i="9" s="1"/>
  <c r="CC199" i="9" l="1"/>
  <c r="CD199" i="9" s="1"/>
  <c r="CF199" i="9" s="1"/>
  <c r="CB200" i="9"/>
  <c r="CC200" i="9" l="1"/>
  <c r="CD200" i="9" s="1"/>
  <c r="CF200" i="9" s="1"/>
  <c r="CB201" i="9"/>
  <c r="CC201" i="9" l="1"/>
  <c r="CD201" i="9" s="1"/>
  <c r="CF201" i="9" s="1"/>
  <c r="CB202" i="9"/>
  <c r="CC202" i="9" l="1"/>
  <c r="CD202" i="9" s="1"/>
  <c r="CF202" i="9" s="1"/>
  <c r="CB203" i="9"/>
  <c r="CC203" i="9" l="1"/>
  <c r="CD203" i="9" s="1"/>
  <c r="CF203" i="9" s="1"/>
  <c r="CB204" i="9"/>
  <c r="CC204" i="9" l="1"/>
  <c r="CD204" i="9" s="1"/>
  <c r="CF204" i="9" s="1"/>
  <c r="CB205" i="9"/>
  <c r="CC205" i="9" l="1"/>
  <c r="CD205" i="9" s="1"/>
  <c r="CF205" i="9" s="1"/>
  <c r="CB206" i="9"/>
  <c r="CC206" i="9" l="1"/>
  <c r="CD206" i="9" s="1"/>
  <c r="CF206" i="9" s="1"/>
  <c r="CB207" i="9"/>
  <c r="CC207" i="9" l="1"/>
  <c r="CD207" i="9" s="1"/>
  <c r="CF207" i="9" s="1"/>
  <c r="CB208" i="9"/>
  <c r="CC208" i="9" l="1"/>
  <c r="CD208" i="9" s="1"/>
  <c r="CF208" i="9" s="1"/>
  <c r="CB209" i="9"/>
  <c r="CC209" i="9" l="1"/>
  <c r="CD209" i="9" s="1"/>
  <c r="CF209" i="9" s="1"/>
  <c r="CB210" i="9"/>
  <c r="CC210" i="9" l="1"/>
  <c r="CD210" i="9" s="1"/>
  <c r="CF210" i="9" s="1"/>
  <c r="CB211" i="9"/>
  <c r="CC211" i="9" l="1"/>
  <c r="CD211" i="9" s="1"/>
  <c r="CF211" i="9" s="1"/>
  <c r="CB212" i="9"/>
  <c r="CC212" i="9" l="1"/>
  <c r="CD212" i="9" s="1"/>
  <c r="CF212" i="9" s="1"/>
  <c r="CB213" i="9"/>
  <c r="CC213" i="9" l="1"/>
  <c r="CD213" i="9" s="1"/>
  <c r="CF213" i="9" s="1"/>
  <c r="CB214" i="9"/>
  <c r="CC214" i="9" l="1"/>
  <c r="CD214" i="9" s="1"/>
  <c r="CF214" i="9" s="1"/>
  <c r="CB215" i="9"/>
  <c r="CC215" i="9" l="1"/>
  <c r="CD215" i="9" s="1"/>
  <c r="CF215" i="9" s="1"/>
  <c r="CB216" i="9"/>
  <c r="CB217" i="9" l="1"/>
  <c r="CC216" i="9"/>
  <c r="CD216" i="9" s="1"/>
  <c r="CF216" i="9" s="1"/>
  <c r="CB218" i="9" l="1"/>
  <c r="CC217" i="9"/>
  <c r="CD217" i="9" s="1"/>
  <c r="CF217" i="9" s="1"/>
  <c r="CB219" i="9" l="1"/>
  <c r="CC218" i="9"/>
  <c r="CD218" i="9" s="1"/>
  <c r="CF218" i="9" s="1"/>
  <c r="CC219" i="9" l="1"/>
  <c r="CD219" i="9" s="1"/>
  <c r="CF219" i="9" s="1"/>
  <c r="CB220" i="9"/>
  <c r="CC220" i="9" l="1"/>
  <c r="CD220" i="9" s="1"/>
  <c r="CF220" i="9" s="1"/>
  <c r="CB221" i="9"/>
  <c r="CC221" i="9" l="1"/>
  <c r="CD221" i="9" s="1"/>
  <c r="CF221" i="9" s="1"/>
  <c r="CB222" i="9"/>
  <c r="CC222" i="9" l="1"/>
  <c r="CD222" i="9" s="1"/>
  <c r="CF222" i="9" s="1"/>
  <c r="CB223" i="9"/>
  <c r="CC223" i="9" l="1"/>
  <c r="CD223" i="9" s="1"/>
  <c r="CF223" i="9" s="1"/>
  <c r="CB224" i="9"/>
  <c r="CC224" i="9" l="1"/>
  <c r="CD224" i="9" s="1"/>
  <c r="CF224" i="9" s="1"/>
  <c r="CB225" i="9"/>
  <c r="CB226" i="9" l="1"/>
  <c r="CC225" i="9"/>
  <c r="CD225" i="9" s="1"/>
  <c r="CF225" i="9" s="1"/>
  <c r="CC226" i="9" l="1"/>
  <c r="CD226" i="9" s="1"/>
  <c r="CF226" i="9" s="1"/>
  <c r="CB227" i="9"/>
  <c r="CC227" i="9" l="1"/>
  <c r="CD227" i="9" s="1"/>
  <c r="CF227" i="9" s="1"/>
  <c r="CB228" i="9"/>
  <c r="CC228" i="9" l="1"/>
  <c r="CD228" i="9" s="1"/>
  <c r="CF228" i="9" s="1"/>
  <c r="CB229" i="9"/>
  <c r="CC229" i="9" l="1"/>
  <c r="CD229" i="9" s="1"/>
  <c r="CF229" i="9" s="1"/>
  <c r="CB230" i="9"/>
  <c r="CC230" i="9" l="1"/>
  <c r="CD230" i="9" s="1"/>
  <c r="CF230" i="9" s="1"/>
  <c r="CB231" i="9"/>
  <c r="CC231" i="9" l="1"/>
  <c r="CD231" i="9" s="1"/>
  <c r="CF231" i="9" s="1"/>
  <c r="CB232" i="9"/>
  <c r="CC232" i="9" l="1"/>
  <c r="CD232" i="9" s="1"/>
  <c r="CF232" i="9" s="1"/>
  <c r="CB233" i="9"/>
  <c r="CC233" i="9" l="1"/>
  <c r="CD233" i="9" s="1"/>
  <c r="CF233" i="9" s="1"/>
  <c r="CB234" i="9"/>
  <c r="CC234" i="9" l="1"/>
  <c r="CD234" i="9" s="1"/>
  <c r="CF234" i="9" s="1"/>
  <c r="CB235" i="9"/>
  <c r="CC235" i="9" l="1"/>
  <c r="CD235" i="9" s="1"/>
  <c r="CF235" i="9" s="1"/>
  <c r="CB236" i="9"/>
  <c r="CB237" i="9" l="1"/>
  <c r="CC236" i="9"/>
  <c r="CD236" i="9" s="1"/>
  <c r="CF236" i="9" s="1"/>
  <c r="CB238" i="9" l="1"/>
  <c r="CC237" i="9"/>
  <c r="CD237" i="9" s="1"/>
  <c r="CF237" i="9" s="1"/>
  <c r="CB239" i="9" l="1"/>
  <c r="CC238" i="9"/>
  <c r="CD238" i="9" s="1"/>
  <c r="CF238" i="9" s="1"/>
  <c r="CC239" i="9" l="1"/>
  <c r="CD239" i="9" s="1"/>
  <c r="CF239" i="9" s="1"/>
  <c r="CB240" i="9"/>
  <c r="CC240" i="9" l="1"/>
  <c r="CD240" i="9" s="1"/>
  <c r="CF240" i="9" s="1"/>
  <c r="CB241" i="9"/>
  <c r="CB242" i="9" l="1"/>
  <c r="CC241" i="9"/>
  <c r="CD241" i="9" s="1"/>
  <c r="CF241" i="9" s="1"/>
  <c r="CC242" i="9" l="1"/>
  <c r="CD242" i="9" s="1"/>
  <c r="CF242" i="9" s="1"/>
  <c r="CB243" i="9"/>
  <c r="CC243" i="9" l="1"/>
  <c r="CD243" i="9" s="1"/>
  <c r="CF243" i="9" s="1"/>
  <c r="CB244" i="9"/>
  <c r="CC244" i="9" l="1"/>
  <c r="CD244" i="9" s="1"/>
  <c r="CF244" i="9" s="1"/>
  <c r="CB245" i="9"/>
  <c r="CC245" i="9" l="1"/>
  <c r="CD245" i="9" s="1"/>
  <c r="CF245" i="9" s="1"/>
  <c r="CB246" i="9"/>
  <c r="CC246" i="9" l="1"/>
  <c r="CD246" i="9" s="1"/>
  <c r="CF246" i="9" s="1"/>
  <c r="CB247" i="9"/>
  <c r="CC247" i="9" l="1"/>
  <c r="CD247" i="9" s="1"/>
  <c r="CF247" i="9" s="1"/>
  <c r="CB248" i="9"/>
  <c r="CC248" i="9" l="1"/>
  <c r="CD248" i="9" s="1"/>
  <c r="CF248" i="9" s="1"/>
  <c r="CB249" i="9"/>
  <c r="CC249" i="9" l="1"/>
  <c r="CD249" i="9" s="1"/>
  <c r="CF249" i="9" s="1"/>
  <c r="CB250" i="9"/>
  <c r="CB251" i="9" l="1"/>
  <c r="CC250" i="9"/>
  <c r="CD250" i="9" s="1"/>
  <c r="CF250" i="9" s="1"/>
  <c r="CC251" i="9" l="1"/>
  <c r="CD251" i="9" s="1"/>
  <c r="CF251" i="9" s="1"/>
  <c r="CB252" i="9"/>
  <c r="CC252" i="9" l="1"/>
  <c r="CD252" i="9" s="1"/>
  <c r="CF252" i="9" s="1"/>
  <c r="CB253" i="9"/>
  <c r="CC253" i="9" l="1"/>
  <c r="CD253" i="9" s="1"/>
  <c r="CF253" i="9" s="1"/>
  <c r="CB254" i="9"/>
  <c r="CB255" i="9" l="1"/>
  <c r="CC254" i="9"/>
  <c r="CD254" i="9" s="1"/>
  <c r="CF254" i="9" s="1"/>
  <c r="CC255" i="9" l="1"/>
  <c r="CD255" i="9" s="1"/>
  <c r="CF255" i="9" s="1"/>
  <c r="CB256" i="9"/>
  <c r="CC256" i="9" l="1"/>
  <c r="CD256" i="9" s="1"/>
  <c r="CF256" i="9" s="1"/>
  <c r="CB257" i="9"/>
  <c r="CB258" i="9" l="1"/>
  <c r="CC257" i="9"/>
  <c r="CD257" i="9" s="1"/>
  <c r="CF257" i="9" s="1"/>
  <c r="CB259" i="9" l="1"/>
  <c r="CC258" i="9"/>
  <c r="CD258" i="9" s="1"/>
  <c r="CF258" i="9" s="1"/>
  <c r="CC259" i="9" l="1"/>
  <c r="CD259" i="9" s="1"/>
  <c r="CF259" i="9" s="1"/>
  <c r="CB260" i="9"/>
  <c r="CC260" i="9" l="1"/>
  <c r="CD260" i="9" s="1"/>
  <c r="CF260" i="9" s="1"/>
  <c r="CB261" i="9"/>
  <c r="CC261" i="9" l="1"/>
  <c r="CD261" i="9" s="1"/>
  <c r="CF261" i="9" s="1"/>
  <c r="CB262" i="9"/>
  <c r="CB263" i="9" l="1"/>
  <c r="CC262" i="9"/>
  <c r="CD262" i="9" s="1"/>
  <c r="CF262" i="9" s="1"/>
  <c r="CC263" i="9" l="1"/>
  <c r="CD263" i="9" s="1"/>
  <c r="CF263" i="9" s="1"/>
  <c r="CB264" i="9"/>
  <c r="CB265" i="9" l="1"/>
  <c r="CC264" i="9"/>
  <c r="CD264" i="9" s="1"/>
  <c r="CF264" i="9" s="1"/>
  <c r="CC265" i="9" l="1"/>
  <c r="CD265" i="9" s="1"/>
  <c r="CF265" i="9" s="1"/>
  <c r="CB266" i="9"/>
  <c r="CB267" i="9" l="1"/>
  <c r="CC266" i="9"/>
  <c r="CD266" i="9" s="1"/>
  <c r="CF266" i="9" s="1"/>
  <c r="CB268" i="9" l="1"/>
  <c r="CC267" i="9"/>
  <c r="CD267" i="9" s="1"/>
  <c r="CF267" i="9" s="1"/>
  <c r="CC268" i="9" l="1"/>
  <c r="CD268" i="9" s="1"/>
  <c r="CF268" i="9" s="1"/>
  <c r="CB269" i="9"/>
  <c r="CC269" i="9" l="1"/>
  <c r="CD269" i="9" s="1"/>
  <c r="CF269" i="9" s="1"/>
  <c r="CB270" i="9"/>
  <c r="CC270" i="9" l="1"/>
  <c r="CD270" i="9" s="1"/>
  <c r="CF270" i="9" s="1"/>
  <c r="CB271" i="9"/>
  <c r="CC271" i="9" l="1"/>
  <c r="CD271" i="9" s="1"/>
  <c r="CF271" i="9" s="1"/>
  <c r="CB272" i="9"/>
  <c r="CC272" i="9" l="1"/>
  <c r="CD272" i="9" s="1"/>
  <c r="CF272" i="9" s="1"/>
  <c r="CB273" i="9"/>
  <c r="CC273" i="9" l="1"/>
  <c r="CD273" i="9" s="1"/>
  <c r="CF273" i="9" s="1"/>
  <c r="CB274" i="9"/>
  <c r="CC274" i="9" l="1"/>
  <c r="CD274" i="9" s="1"/>
  <c r="CF274" i="9" s="1"/>
  <c r="CB275" i="9"/>
  <c r="CB276" i="9" l="1"/>
  <c r="CC275" i="9"/>
  <c r="CD275" i="9" s="1"/>
  <c r="CF275" i="9" s="1"/>
  <c r="CB277" i="9" l="1"/>
  <c r="CC276" i="9"/>
  <c r="CD276" i="9" s="1"/>
  <c r="CF276" i="9" s="1"/>
  <c r="CB278" i="9" l="1"/>
  <c r="CC277" i="9"/>
  <c r="CD277" i="9" s="1"/>
  <c r="CF277" i="9" s="1"/>
  <c r="CB279" i="9" l="1"/>
  <c r="CC278" i="9"/>
  <c r="CD278" i="9" s="1"/>
  <c r="CF278" i="9" s="1"/>
  <c r="CC279" i="9" l="1"/>
  <c r="CD279" i="9" s="1"/>
  <c r="CF279" i="9" s="1"/>
  <c r="CB280" i="9"/>
  <c r="CB281" i="9" l="1"/>
  <c r="CC280" i="9"/>
  <c r="CD280" i="9" s="1"/>
  <c r="CF280" i="9" s="1"/>
  <c r="CB282" i="9" l="1"/>
  <c r="CC281" i="9"/>
  <c r="CD281" i="9" s="1"/>
  <c r="CF281" i="9" s="1"/>
  <c r="CB283" i="9" l="1"/>
  <c r="CC282" i="9"/>
  <c r="CD282" i="9" s="1"/>
  <c r="CF282" i="9" s="1"/>
  <c r="CB284" i="9" l="1"/>
  <c r="CC283" i="9"/>
  <c r="CD283" i="9" s="1"/>
  <c r="CF283" i="9" s="1"/>
  <c r="CB285" i="9" l="1"/>
  <c r="CC284" i="9"/>
  <c r="CD284" i="9" s="1"/>
  <c r="CF284" i="9" s="1"/>
  <c r="CB286" i="9" l="1"/>
  <c r="CC285" i="9"/>
  <c r="CD285" i="9" s="1"/>
  <c r="CF285" i="9" s="1"/>
  <c r="CB287" i="9" l="1"/>
  <c r="CC286" i="9"/>
  <c r="CD286" i="9" s="1"/>
  <c r="CF286" i="9" s="1"/>
  <c r="CB288" i="9" l="1"/>
  <c r="CC287" i="9"/>
  <c r="CD287" i="9" s="1"/>
  <c r="CF287" i="9" s="1"/>
  <c r="CB289" i="9" l="1"/>
  <c r="CC288" i="9"/>
  <c r="CD288" i="9" s="1"/>
  <c r="CF288" i="9" s="1"/>
  <c r="CB290" i="9" l="1"/>
  <c r="CC289" i="9"/>
  <c r="CD289" i="9" s="1"/>
  <c r="CF289" i="9" s="1"/>
  <c r="CC290" i="9" l="1"/>
  <c r="CD290" i="9" s="1"/>
  <c r="CF290" i="9" s="1"/>
  <c r="CB291" i="9"/>
  <c r="CB292" i="9" l="1"/>
  <c r="CC291" i="9"/>
  <c r="CD291" i="9" s="1"/>
  <c r="CF291" i="9" s="1"/>
  <c r="CC292" i="9" l="1"/>
  <c r="CD292" i="9" s="1"/>
  <c r="CF292" i="9" s="1"/>
  <c r="CB293" i="9"/>
  <c r="CC293" i="9" l="1"/>
  <c r="CD293" i="9" s="1"/>
  <c r="CF293" i="9" s="1"/>
  <c r="CB294" i="9"/>
  <c r="CC294" i="9" l="1"/>
  <c r="CD294" i="9" s="1"/>
  <c r="CF294" i="9" s="1"/>
  <c r="CB295" i="9"/>
  <c r="CB296" i="9" l="1"/>
  <c r="CC295" i="9"/>
  <c r="CD295" i="9" s="1"/>
  <c r="CF295" i="9" s="1"/>
  <c r="CB297" i="9" l="1"/>
  <c r="CC296" i="9"/>
  <c r="CD296" i="9" s="1"/>
  <c r="CF296" i="9" s="1"/>
  <c r="CB298" i="9" l="1"/>
  <c r="CC297" i="9"/>
  <c r="CD297" i="9" s="1"/>
  <c r="CF297" i="9" s="1"/>
  <c r="CC298" i="9" l="1"/>
  <c r="CD298" i="9" s="1"/>
  <c r="CF298" i="9" s="1"/>
  <c r="CB299" i="9"/>
  <c r="CB300" i="9" l="1"/>
  <c r="CC300" i="9" s="1"/>
  <c r="CD300" i="9" s="1"/>
  <c r="CF300" i="9" s="1"/>
  <c r="CC299" i="9"/>
  <c r="CD299" i="9" s="1"/>
  <c r="CF299" i="9" s="1"/>
  <c r="S86" i="23" l="1"/>
  <c r="Y86" i="23"/>
  <c r="O86" i="23"/>
  <c r="W86" i="23"/>
  <c r="Q86" i="23"/>
  <c r="V86" i="23"/>
  <c r="R86" i="23"/>
  <c r="T86" i="23"/>
  <c r="Z86" i="23"/>
  <c r="P86" i="23"/>
  <c r="U86" i="23"/>
  <c r="X86" i="23"/>
</calcChain>
</file>

<file path=xl/comments1.xml><?xml version="1.0" encoding="utf-8"?>
<comments xmlns="http://schemas.openxmlformats.org/spreadsheetml/2006/main">
  <authors>
    <author>Nick Noel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this be a part of the data sheet?
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M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N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O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P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Q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R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S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T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U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V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W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X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Y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Z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A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B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C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D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E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F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G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H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I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J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K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L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What is the proper amount of monthly/yearly historical data -- will MIX suffice?</t>
        </r>
      </text>
    </comment>
    <comment ref="A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1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1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B24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more precise (use OFFSET)</t>
        </r>
      </text>
    </comment>
    <comment ref="A25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6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7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8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29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30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  <comment ref="A52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Should the calculations already be done?</t>
        </r>
      </text>
    </comment>
  </commentList>
</comments>
</file>

<file path=xl/comments2.xml><?xml version="1.0" encoding="utf-8"?>
<comments xmlns="http://schemas.openxmlformats.org/spreadsheetml/2006/main">
  <authors>
    <author>Nick Noel</author>
  </authors>
  <commentList>
    <comment ref="EC133" authorId="0">
      <text>
        <r>
          <rPr>
            <b/>
            <sz val="9"/>
            <color indexed="81"/>
            <rFont val="Tahoma"/>
            <family val="2"/>
          </rPr>
          <t>Nick Noel:</t>
        </r>
        <r>
          <rPr>
            <sz val="9"/>
            <color indexed="81"/>
            <rFont val="Tahoma"/>
            <family val="2"/>
          </rPr>
          <t xml:space="preserve">
better tag than 0, can have zeroes
</t>
        </r>
      </text>
    </comment>
  </commentList>
</comments>
</file>

<file path=xl/sharedStrings.xml><?xml version="1.0" encoding="utf-8"?>
<sst xmlns="http://schemas.openxmlformats.org/spreadsheetml/2006/main" count="92861" uniqueCount="12033">
  <si>
    <t xml:space="preserve">ROA </t>
  </si>
  <si>
    <t xml:space="preserve">ROE </t>
  </si>
  <si>
    <t>Portfolio Yield</t>
  </si>
  <si>
    <t>Op. Profit Margin</t>
  </si>
  <si>
    <t>Net Income Margin</t>
  </si>
  <si>
    <t>Income Tax Rate</t>
  </si>
  <si>
    <t>Dividend Payout Ratio</t>
  </si>
  <si>
    <t>TABLES</t>
  </si>
  <si>
    <t>UA</t>
  </si>
  <si>
    <t>Main Indicators</t>
  </si>
  <si>
    <t>Gross Loan Portfolio</t>
  </si>
  <si>
    <t>Active Borrowers</t>
  </si>
  <si>
    <t>Loan Officers</t>
  </si>
  <si>
    <t>PAR &gt;30 (R+R)</t>
  </si>
  <si>
    <t>Solvency Ratio (E/TA)</t>
  </si>
  <si>
    <t>Opp. Self-Sufficiency</t>
  </si>
  <si>
    <t>ROA</t>
  </si>
  <si>
    <t>ROE</t>
  </si>
  <si>
    <t>Profitability Ratios</t>
  </si>
  <si>
    <t>Portfolio Yield (as % of GLP)</t>
  </si>
  <si>
    <t>Financial Exp. Ratio (as % of GLP)</t>
  </si>
  <si>
    <t>Provision Exp. Ratio (as % of GLP)</t>
  </si>
  <si>
    <t>OpEx Ratio (as % of GLP)</t>
  </si>
  <si>
    <t>Average Cost of Borrowing</t>
  </si>
  <si>
    <t>Financial Margin</t>
  </si>
  <si>
    <t>Net Operating Income Margin</t>
  </si>
  <si>
    <t>Productivity</t>
  </si>
  <si>
    <t>Asset Quality Ratios</t>
  </si>
  <si>
    <t>Gross Loan Portfolio Growth (YoY)</t>
  </si>
  <si>
    <t>PAR &gt;30</t>
  </si>
  <si>
    <t>Restructured and/or Refinanced</t>
  </si>
  <si>
    <t>Write-Off Ratio</t>
  </si>
  <si>
    <t>R&amp;R / PAR &gt;30 Days</t>
  </si>
  <si>
    <t>Recovered Loans/Write-Offs</t>
  </si>
  <si>
    <t>Loan Loss Reserves / Gross Loan Portfolio</t>
  </si>
  <si>
    <t>Risk Coverage Ratio ( LLR / PAR&gt;30 (R+R)</t>
  </si>
  <si>
    <t>Provision Expense / PAR&gt;30 (R+R)</t>
  </si>
  <si>
    <t>Asset/Liability Ratios</t>
  </si>
  <si>
    <t>Savings (as a % of Total Assets)</t>
  </si>
  <si>
    <t>Borrowings (as a % of Total Assets)</t>
  </si>
  <si>
    <t>Liquidity Ratio (Cash/TA)</t>
  </si>
  <si>
    <t>Total Lending Activity (GLP/TA)</t>
  </si>
  <si>
    <t>Debt to Equity</t>
  </si>
  <si>
    <t>Unhedged FX Ratio</t>
  </si>
  <si>
    <t>Deposit Ratio (as % of GLP)</t>
  </si>
  <si>
    <t>Funding GAP Analysis</t>
  </si>
  <si>
    <t>PAR Breakdown</t>
  </si>
  <si>
    <t>Write-Offs</t>
  </si>
  <si>
    <t>Sovereign Debt Ratings</t>
  </si>
  <si>
    <t>Fund Country Exposure</t>
  </si>
  <si>
    <t>Sheet Name</t>
  </si>
  <si>
    <t>DB_LOAD</t>
  </si>
  <si>
    <t>Last Reported Month</t>
  </si>
  <si>
    <t>Unaudited</t>
  </si>
  <si>
    <t>Audited</t>
  </si>
  <si>
    <t>Balance Sheet v1</t>
  </si>
  <si>
    <t>Income Statement v1</t>
  </si>
  <si>
    <t>Portfolio Quality v1</t>
  </si>
  <si>
    <t>Organizational Data v1</t>
  </si>
  <si>
    <t>Currency Exposure v1</t>
  </si>
  <si>
    <t>Has Auditeds:</t>
  </si>
  <si>
    <t>FX Rate:</t>
  </si>
  <si>
    <t>UN-HEDGED FOREIGN CURRENCY EXPOSURE</t>
  </si>
  <si>
    <t>YTD</t>
  </si>
  <si>
    <t>ASSETS</t>
  </si>
  <si>
    <t>Financial Revenue</t>
  </si>
  <si>
    <t>Total Cash &amp; ST Investments</t>
  </si>
  <si>
    <t>Financial Expenses</t>
  </si>
  <si>
    <t>Current Portfolio</t>
  </si>
  <si>
    <t>Number of loan Officers</t>
  </si>
  <si>
    <t>Assets</t>
  </si>
  <si>
    <t>Restricted Cash</t>
  </si>
  <si>
    <t>Net Monetary/Inflation Adjustments</t>
  </si>
  <si>
    <t>PAR (1-30 days)</t>
  </si>
  <si>
    <t>Number of Employees</t>
  </si>
  <si>
    <t>Loan Portfolio</t>
  </si>
  <si>
    <t>Unrestricted Cash</t>
  </si>
  <si>
    <t>Loan Loss Provision Expense</t>
  </si>
  <si>
    <t>PAR (&gt;30 days)</t>
  </si>
  <si>
    <t>Number of Branches</t>
  </si>
  <si>
    <t>Liabilities</t>
  </si>
  <si>
    <t>Short Term Investments</t>
  </si>
  <si>
    <t>Net Financial Income</t>
  </si>
  <si>
    <t>PAR (31-60 days)</t>
  </si>
  <si>
    <t>Number of Loans Outstanding</t>
  </si>
  <si>
    <t>Savings</t>
  </si>
  <si>
    <t>-</t>
  </si>
  <si>
    <t>Net Financial Margin (%)</t>
  </si>
  <si>
    <t>PAR (61-90 days)</t>
  </si>
  <si>
    <t>Number of Active Borrowers</t>
  </si>
  <si>
    <t>Borrowings</t>
  </si>
  <si>
    <t>(Loan Loss Reserves)</t>
  </si>
  <si>
    <t>PAR (91-180 days)</t>
  </si>
  <si>
    <t>Number of Voluntary Savers/Depositors</t>
  </si>
  <si>
    <t>Other Assets</t>
  </si>
  <si>
    <t>Other Financial Service Income (Expense)</t>
  </si>
  <si>
    <t>PAR (&gt;180 days)</t>
  </si>
  <si>
    <t>TOTAL ASSETS</t>
  </si>
  <si>
    <t>Operating Expense</t>
  </si>
  <si>
    <t>Net Operating Income</t>
  </si>
  <si>
    <t>LIABILITIES</t>
  </si>
  <si>
    <t>Net Operating Income Margin (%)</t>
  </si>
  <si>
    <t>Recovered loans</t>
  </si>
  <si>
    <t>Savings Accounts</t>
  </si>
  <si>
    <t>Net Write-Offs</t>
  </si>
  <si>
    <t>Total Borrowings</t>
  </si>
  <si>
    <t>Non-Operating Revenue</t>
  </si>
  <si>
    <t>Total Outstanding Portfolio</t>
  </si>
  <si>
    <t>Total Borrowings at Concessional Interest Rates</t>
  </si>
  <si>
    <t>Non-Operating Expense</t>
  </si>
  <si>
    <t>Total Borrowings at Commercial Interest Rates</t>
  </si>
  <si>
    <t>Net Non-Operating Income</t>
  </si>
  <si>
    <t>Senior Secured Debt</t>
  </si>
  <si>
    <t>Net Income (Before Taxes &amp; Donations)</t>
  </si>
  <si>
    <t>Senior Unsecured Debt</t>
  </si>
  <si>
    <t>Net Income (Before Taxes &amp; Donations) Margin (%)</t>
  </si>
  <si>
    <t>Subordinated Debt</t>
  </si>
  <si>
    <t>Other Liabilities</t>
  </si>
  <si>
    <t>Taxes</t>
  </si>
  <si>
    <t>Total Liabilities</t>
  </si>
  <si>
    <t>Net Income (After Taxes &amp; Before Donations)</t>
  </si>
  <si>
    <t>EQUITY</t>
  </si>
  <si>
    <t>Donations</t>
  </si>
  <si>
    <t>Donated Equity and paid-in-capital</t>
  </si>
  <si>
    <t>Net Income to Retained Earnings</t>
  </si>
  <si>
    <t>Retained Earnings, Reserves &amp; Other</t>
  </si>
  <si>
    <t>Total Equity</t>
  </si>
  <si>
    <t>TOTAL LIABILITIES &amp; EQUITY</t>
  </si>
  <si>
    <t>Dividends</t>
  </si>
  <si>
    <t>Net Income After Dividends</t>
  </si>
  <si>
    <t>Balance Sheet v2</t>
  </si>
  <si>
    <t>Income Statement v2</t>
  </si>
  <si>
    <t>Portfolio Quality v2</t>
  </si>
  <si>
    <t>Organizational Data v2</t>
  </si>
  <si>
    <t>INTEREST INCOME</t>
  </si>
  <si>
    <t>GROSS LOAN PORTFOLIO*</t>
  </si>
  <si>
    <t>Organizational Data</t>
  </si>
  <si>
    <t>Current Assets</t>
  </si>
  <si>
    <t>Interest Income from Loans</t>
  </si>
  <si>
    <t>Voluntary Savers/Depositors</t>
  </si>
  <si>
    <t/>
  </si>
  <si>
    <t>Income from Fees and Commissions on Loans</t>
  </si>
  <si>
    <t>Cash &amp; cash equivalents</t>
  </si>
  <si>
    <t>INTEREST EXPENSE</t>
  </si>
  <si>
    <t>Loans Outstanding</t>
  </si>
  <si>
    <t>Unrestricted</t>
  </si>
  <si>
    <t>Interest Expense on Borrowings (&amp; Bonds)</t>
  </si>
  <si>
    <t>PAR (30-60 days)</t>
  </si>
  <si>
    <t>Branches, Sub-Branches &amp; All Offices</t>
  </si>
  <si>
    <t>Restricted</t>
  </si>
  <si>
    <t>Interest Expense on Deposits</t>
  </si>
  <si>
    <t>PAR (60-90 days)</t>
  </si>
  <si>
    <t>All Employees</t>
  </si>
  <si>
    <t>Short Term Investment Securities</t>
  </si>
  <si>
    <t>NET INTEREST INCOME</t>
  </si>
  <si>
    <t>PAR (90-120 days)</t>
  </si>
  <si>
    <t>Less: reserve for probable loss on securities</t>
  </si>
  <si>
    <t>%</t>
  </si>
  <si>
    <t>PAR (120-180 days)</t>
  </si>
  <si>
    <t>Net Securities</t>
  </si>
  <si>
    <t>PAR (180 - 360 days)</t>
  </si>
  <si>
    <t>PAR (&gt;360 days)</t>
  </si>
  <si>
    <t>Gross loan portfolio (Please include entire GLP)</t>
  </si>
  <si>
    <t>NII AFTER PROVISIONING EXPENSE</t>
  </si>
  <si>
    <t>*not including Restructured &amp; Refinanced Loans</t>
  </si>
  <si>
    <t>Less: loan loss reserves</t>
  </si>
  <si>
    <t>Net Loan Portfolio</t>
  </si>
  <si>
    <t>Fees from Penalties</t>
  </si>
  <si>
    <t>Restructured and/or Refinanced Loans</t>
  </si>
  <si>
    <t>Fees and Commissions from Non-Lending Operations</t>
  </si>
  <si>
    <t>Current R+R Loans</t>
  </si>
  <si>
    <t>Accrued interest receivable</t>
  </si>
  <si>
    <t>Realized Net Foreign Exchange/Inflation Income (Expense)</t>
  </si>
  <si>
    <t>PAR (1-30 days) (R+R)</t>
  </si>
  <si>
    <t>Other current assets</t>
  </si>
  <si>
    <t>Other Financial Income (Expense)</t>
  </si>
  <si>
    <t>Total current assets</t>
  </si>
  <si>
    <t>NET FINANCIAL INCOME</t>
  </si>
  <si>
    <t>Beginning Balance</t>
  </si>
  <si>
    <t>Long-Term Assets</t>
  </si>
  <si>
    <t>+ Loan Loss Provision Expense</t>
  </si>
  <si>
    <t>Gross Fixed Assets</t>
  </si>
  <si>
    <t>Operating Expenses</t>
  </si>
  <si>
    <t>-Gross Write-Offs**</t>
  </si>
  <si>
    <t>Less: Depreciation</t>
  </si>
  <si>
    <t>Salaries &amp; Benefits</t>
  </si>
  <si>
    <t>-Recoveries**</t>
  </si>
  <si>
    <t>Less: Asset Sales and Write-Offs</t>
  </si>
  <si>
    <t>General &amp; Administrative</t>
  </si>
  <si>
    <t>+/-Other</t>
  </si>
  <si>
    <t>End Fixed Assets</t>
  </si>
  <si>
    <t>Depreciation &amp; Amortization</t>
  </si>
  <si>
    <t>Loan Loss Reserves</t>
  </si>
  <si>
    <t>NET OPERATING INCOME</t>
  </si>
  <si>
    <t>**Please make sure these are the monthly amounts</t>
  </si>
  <si>
    <t>Other assets</t>
  </si>
  <si>
    <t>Net intangible assets</t>
  </si>
  <si>
    <t>Investments in Unconslidated Affiliates</t>
  </si>
  <si>
    <t>Non-operating income</t>
  </si>
  <si>
    <t>Securitized Assets &amp; Off-Balance Sheet Items</t>
  </si>
  <si>
    <t>Non-operating expenses</t>
  </si>
  <si>
    <t>Other Types</t>
  </si>
  <si>
    <t>NET NON-OPERATING INCOME (EXPENSE)</t>
  </si>
  <si>
    <t>Total Long-Term Assets</t>
  </si>
  <si>
    <t>NET INCOME BEFORE TAXES AND DONATIONS</t>
  </si>
  <si>
    <t>Income Tax Expense</t>
  </si>
  <si>
    <t>NET INCOME BEFORE DONATIONS</t>
  </si>
  <si>
    <t>Current liabilities</t>
  </si>
  <si>
    <t>Savings &amp; Deposit Accounts</t>
  </si>
  <si>
    <t>Demand Deposits</t>
  </si>
  <si>
    <t>NET INCOME AFTER DONATIONS</t>
  </si>
  <si>
    <t>Time Deposits</t>
  </si>
  <si>
    <t>Accrued interest payable</t>
  </si>
  <si>
    <t>Income (Expense) from Unconsolidated Affiliates</t>
  </si>
  <si>
    <t>Short-Term Debt</t>
  </si>
  <si>
    <t>Dividends Received</t>
  </si>
  <si>
    <t>Senior Secured Debt (ST)</t>
  </si>
  <si>
    <t>Minority Interest Expense</t>
  </si>
  <si>
    <t>Senior Unsecured Debt (ST)</t>
  </si>
  <si>
    <t>NET INCOME</t>
  </si>
  <si>
    <t>Current Portion of Long-Term Debt</t>
  </si>
  <si>
    <t>Other current liabilities</t>
  </si>
  <si>
    <t>Total current liabilities</t>
  </si>
  <si>
    <t>Ordinary Shares Outstanding</t>
  </si>
  <si>
    <t>Fully Diluted Shares Outstanding</t>
  </si>
  <si>
    <t>Long-term liabilities</t>
  </si>
  <si>
    <t>EARNINGS PER FULLY DILUTED SHARE</t>
  </si>
  <si>
    <t>Long-Term Debt Obligations</t>
  </si>
  <si>
    <t>Senior Secured Debt (LT)</t>
  </si>
  <si>
    <t>Senior Unsecured Debt (LT)</t>
  </si>
  <si>
    <t>-Revolving Credit Facility</t>
  </si>
  <si>
    <t>-Bonds Issued</t>
  </si>
  <si>
    <t>-Other</t>
  </si>
  <si>
    <t>Other long-term liabilities</t>
  </si>
  <si>
    <t>Securitized loans &amp; off-balance sheet items</t>
  </si>
  <si>
    <t>Others</t>
  </si>
  <si>
    <t>Total long term liabilities</t>
  </si>
  <si>
    <t>TOTAL LIABILITIES</t>
  </si>
  <si>
    <t>Preferred Shares</t>
  </si>
  <si>
    <t>Paid-in capital</t>
  </si>
  <si>
    <t>Common Shares</t>
  </si>
  <si>
    <t>Share Premium</t>
  </si>
  <si>
    <t>Reserves, Donations &amp; Other</t>
  </si>
  <si>
    <t>Retained earnings</t>
  </si>
  <si>
    <t>prior years</t>
  </si>
  <si>
    <t>current years</t>
  </si>
  <si>
    <t>TOTAL EQUITY</t>
  </si>
  <si>
    <t>MONTHLY</t>
  </si>
  <si>
    <t>Portfolio Quality</t>
  </si>
  <si>
    <t xml:space="preserve"> </t>
  </si>
  <si>
    <t>PAR&gt;30</t>
  </si>
  <si>
    <t>R&amp;R</t>
  </si>
  <si>
    <t>Write-offs</t>
  </si>
  <si>
    <t>Net Write-offs</t>
  </si>
  <si>
    <t>Risk Coverage Ratio</t>
  </si>
  <si>
    <t>Loan Loss Reserve Ratio</t>
  </si>
  <si>
    <t>Op. Self-Sufficiency</t>
  </si>
  <si>
    <t>Capital Structure &amp; Liquidity</t>
  </si>
  <si>
    <t>Total Equity (100% provisioning)</t>
  </si>
  <si>
    <t>Equity Erosion</t>
  </si>
  <si>
    <t>Debt to Equity (100% provisioning)</t>
  </si>
  <si>
    <t>Solvency Ratio</t>
  </si>
  <si>
    <t>Solvency Ratio (100% provisioning)</t>
  </si>
  <si>
    <t>Cash / Total Assets</t>
  </si>
  <si>
    <t>Current Ratio</t>
  </si>
  <si>
    <t>Cost of Borrowed Funds</t>
  </si>
  <si>
    <t>FX</t>
  </si>
  <si>
    <t>OpEx / Total Expense</t>
  </si>
  <si>
    <t>Net Income</t>
  </si>
  <si>
    <t>Total Staff</t>
  </si>
  <si>
    <t>Total # Active Clients</t>
  </si>
  <si>
    <t>Total Loan Officers</t>
  </si>
  <si>
    <t>Staff Leverage</t>
  </si>
  <si>
    <t>Operational Expense</t>
  </si>
  <si>
    <t>Efficiency</t>
  </si>
  <si>
    <t>Productivity (Adjusted for Staff Leverage &amp; Efficiency)</t>
  </si>
  <si>
    <t>OpEx Ratio</t>
  </si>
  <si>
    <t>Financial Exp. Ratio</t>
  </si>
  <si>
    <t>Provision Exp. Ratio</t>
  </si>
  <si>
    <t>Cost Per Borrower</t>
  </si>
  <si>
    <t>Average Loan Size</t>
  </si>
  <si>
    <t>PAR (90-180 days)</t>
  </si>
  <si>
    <t>Ratio to Total Outstanding Portfolio:</t>
  </si>
  <si>
    <t>Provision Expense (as % of GLP)</t>
  </si>
  <si>
    <t>Crear Arequipa</t>
  </si>
  <si>
    <t>Deal Currency</t>
  </si>
  <si>
    <t>Unhedged FX</t>
  </si>
  <si>
    <t>Stable</t>
  </si>
  <si>
    <t>Solvency</t>
  </si>
  <si>
    <t>Risk Coverage</t>
  </si>
  <si>
    <t>PAR&gt;30 (R+R) and Write-Offs</t>
  </si>
  <si>
    <t>Cash</t>
  </si>
  <si>
    <t>Alternativa</t>
  </si>
  <si>
    <t>Proempresa</t>
  </si>
  <si>
    <t>MOM</t>
  </si>
  <si>
    <t>Currency</t>
  </si>
  <si>
    <t>YOY</t>
  </si>
  <si>
    <t>USD</t>
  </si>
  <si>
    <t xml:space="preserve"> $ Δ</t>
  </si>
  <si>
    <t>% Δ</t>
  </si>
  <si>
    <t xml:space="preserve">Financial Revenue </t>
  </si>
  <si>
    <t>PQ Index</t>
  </si>
  <si>
    <t>DB Index</t>
  </si>
  <si>
    <t>PAR (&gt;30 days) + Restructured &amp; Refinanced</t>
  </si>
  <si>
    <t>Org Data Index</t>
  </si>
  <si>
    <t>PAR (&gt;30 days) R+R</t>
  </si>
  <si>
    <t>Risk_Rating_ID</t>
  </si>
  <si>
    <t>Risk_Rating</t>
  </si>
  <si>
    <t>Long_Name</t>
  </si>
  <si>
    <t>Fund</t>
  </si>
  <si>
    <t>Remaining Principal ($)</t>
  </si>
  <si>
    <t>Interest Rate</t>
  </si>
  <si>
    <t>Maturity</t>
  </si>
  <si>
    <t>Check</t>
  </si>
  <si>
    <t>January Amount</t>
  </si>
  <si>
    <t>PAR&gt;30 (R+R)</t>
  </si>
  <si>
    <t>Op. Exp</t>
  </si>
  <si>
    <t>SM (L)</t>
  </si>
  <si>
    <t>Special Monitoring (Low)</t>
  </si>
  <si>
    <t>Fin. Exp</t>
  </si>
  <si>
    <t>SM (M)</t>
  </si>
  <si>
    <t>Special Monitoring (Medium)</t>
  </si>
  <si>
    <t>Prov. Exp</t>
  </si>
  <si>
    <t>SM (H)</t>
  </si>
  <si>
    <t>Special Monitoring (High)</t>
  </si>
  <si>
    <t>Net Income (Monthly)</t>
  </si>
  <si>
    <t>Value Impaired</t>
  </si>
  <si>
    <t>Not Reporting</t>
  </si>
  <si>
    <t>Total</t>
  </si>
  <si>
    <t>--</t>
  </si>
  <si>
    <t>Covenant Type ID</t>
  </si>
  <si>
    <t>Covenant Type</t>
  </si>
  <si>
    <t>MFI Name ID</t>
  </si>
  <si>
    <t>VFC</t>
  </si>
  <si>
    <t>Write off</t>
  </si>
  <si>
    <t>Fundeser</t>
  </si>
  <si>
    <t>Risk Rating</t>
  </si>
  <si>
    <t>Trend Analysis &amp; Commentary</t>
  </si>
  <si>
    <t>Grupo ACP (Consolidated)</t>
  </si>
  <si>
    <t>ProCredit Ecuador</t>
  </si>
  <si>
    <t>m8 +m9</t>
  </si>
  <si>
    <t>m29</t>
  </si>
  <si>
    <t>DMIRO</t>
  </si>
  <si>
    <t>Loan Size to Total Assets</t>
  </si>
  <si>
    <t>h17</t>
  </si>
  <si>
    <t>Agrocapital</t>
  </si>
  <si>
    <t>PAR&gt;60 (R+R) to T1</t>
  </si>
  <si>
    <t>???</t>
  </si>
  <si>
    <t>m66</t>
  </si>
  <si>
    <t>m67</t>
  </si>
  <si>
    <t>m35</t>
  </si>
  <si>
    <t>D/E limit for Dividends</t>
  </si>
  <si>
    <t>m10</t>
  </si>
  <si>
    <t>Loan Loss Reserves as % of PAR</t>
  </si>
  <si>
    <t>Capital Structure</t>
  </si>
  <si>
    <t>Top 5 Shareholders</t>
  </si>
  <si>
    <t>Liquidity</t>
  </si>
  <si>
    <t>Liabilites Due in Next 12 Months</t>
  </si>
  <si>
    <t>Asset Quality &amp; Productivity</t>
  </si>
  <si>
    <t>Staff Productivity</t>
  </si>
  <si>
    <t xml:space="preserve">Productivity (Adjusted for Staff Leverage) </t>
  </si>
  <si>
    <t>Cost per Borrower</t>
  </si>
  <si>
    <t>Timely Reporting</t>
  </si>
  <si>
    <t>Timely Reporitng?</t>
  </si>
  <si>
    <t>Category
(In USD Thousands, Except Loan Size)</t>
  </si>
  <si>
    <t>Historical</t>
  </si>
  <si>
    <t>DWM Projections
(As of Q1 2009)</t>
  </si>
  <si>
    <t>Unaudited &amp; Adjusted</t>
  </si>
  <si>
    <t>Actual</t>
  </si>
  <si>
    <t>Var%</t>
  </si>
  <si>
    <t>Total Assets</t>
  </si>
  <si>
    <t>Total Savings</t>
  </si>
  <si>
    <t xml:space="preserve">Total Liabilities </t>
  </si>
  <si>
    <t>Assets in a Foreign Currency</t>
  </si>
  <si>
    <t>Liabilities in a Foreign Currency</t>
  </si>
  <si>
    <t xml:space="preserve">Net Income </t>
  </si>
  <si>
    <t>Financial Revenues</t>
  </si>
  <si>
    <t>Provisioning Expense</t>
  </si>
  <si>
    <t>Other Revenue &amp; Expenses</t>
  </si>
  <si>
    <t>Operational Expenses</t>
  </si>
  <si>
    <t xml:space="preserve">PAR &gt;30 Days </t>
  </si>
  <si>
    <t>Refinanced and Restructured Loans</t>
  </si>
  <si>
    <t>Net Write Offs</t>
  </si>
  <si>
    <t xml:space="preserve">Equity/ Total Assets </t>
  </si>
  <si>
    <t>GLP / Total Assets</t>
  </si>
  <si>
    <t>Liquid Assets / Total Assets</t>
  </si>
  <si>
    <t>Cost-Income Ratio</t>
  </si>
  <si>
    <t>OpEx/Ave GLP</t>
  </si>
  <si>
    <t xml:space="preserve">Net Write Offs / GLP </t>
  </si>
  <si>
    <t xml:space="preserve">Net Open FX Ratio </t>
  </si>
  <si>
    <t>Loan Officer Productivity (Clients / LO)</t>
  </si>
  <si>
    <t>Write-Offs / PAR &gt;30 Days (R+R)</t>
  </si>
  <si>
    <t>Unaudited EOY</t>
  </si>
  <si>
    <t>Staff Productivity (Clients / Employees)</t>
  </si>
  <si>
    <t>Spread</t>
  </si>
  <si>
    <t>Cash &amp; ST Investments</t>
  </si>
  <si>
    <t xml:space="preserve">       Restricted Cash</t>
  </si>
  <si>
    <t xml:space="preserve">       Unrestricted Cash</t>
  </si>
  <si>
    <t xml:space="preserve">       Short Term Investments</t>
  </si>
  <si>
    <t xml:space="preserve">       Total Borrowings at Concessional Interest Rates</t>
  </si>
  <si>
    <t xml:space="preserve">       Total Borrowings at Commercial Interest Rates</t>
  </si>
  <si>
    <t xml:space="preserve">       Senior Secured Debt</t>
  </si>
  <si>
    <t xml:space="preserve">       Senior Unsecured Debt</t>
  </si>
  <si>
    <t xml:space="preserve">       Subordinated Debt</t>
  </si>
  <si>
    <t>LIABILITIES + EQUITY</t>
  </si>
  <si>
    <t>Income Tax Rate (%)</t>
  </si>
  <si>
    <t>Net Income (After Taxes Before Donations)</t>
  </si>
  <si>
    <t>Net Income Margin (%)</t>
  </si>
  <si>
    <t>Divident Payout Rate (%)</t>
  </si>
  <si>
    <t>SociaSocial Scorecard </t>
  </si>
  <si>
    <t>Subtotal</t>
  </si>
  <si>
    <t>Weighting</t>
  </si>
  <si>
    <t>Remaining Graphs</t>
  </si>
  <si>
    <t>APPENDIX</t>
  </si>
  <si>
    <t>GLP (YoY Growth) - LHS</t>
  </si>
  <si>
    <t>Borrowers (YoY Growth) - RHS</t>
  </si>
  <si>
    <t>Outreach and Targeting ()</t>
  </si>
  <si>
    <t>Client Benefit and Welfare ()</t>
  </si>
  <si>
    <t>Governance ()</t>
  </si>
  <si>
    <t>Responsibility to Staff, Community and Environment ()</t>
  </si>
  <si>
    <t>Total ()</t>
  </si>
  <si>
    <t>1.1.  Social Performance</t>
  </si>
  <si>
    <t>PORTFOLIO QUALITY, ORGANIZATIONAL DATA &amp; FX</t>
  </si>
  <si>
    <t>No Current Year Audit</t>
  </si>
  <si>
    <t>Most Recent Audit Not Available</t>
  </si>
  <si>
    <t>Not  December Current Year</t>
  </si>
  <si>
    <t>MFI ID</t>
  </si>
  <si>
    <t>Covenant Agreements</t>
  </si>
  <si>
    <t>Values</t>
  </si>
  <si>
    <t>#rating_label_long</t>
  </si>
  <si>
    <t xml:space="preserve">rating_label_short </t>
  </si>
  <si>
    <t>rating_label_id</t>
  </si>
  <si>
    <t xml:space="preserve">Stable </t>
  </si>
  <si>
    <t xml:space="preserve">SM (L) </t>
  </si>
  <si>
    <t xml:space="preserve">SM (M) </t>
  </si>
  <si>
    <t xml:space="preserve">SM (H) </t>
  </si>
  <si>
    <t xml:space="preserve">Value Impaired </t>
  </si>
  <si>
    <t xml:space="preserve">Not Reporting </t>
  </si>
  <si>
    <t>Period Start</t>
  </si>
  <si>
    <t>Period End</t>
  </si>
  <si>
    <t>QUARTERLY</t>
  </si>
  <si>
    <t>LTM</t>
  </si>
  <si>
    <t>GLP Growth Rate (LTM)</t>
  </si>
  <si>
    <t>Net Income (LTM)</t>
  </si>
  <si>
    <t>FX RATE</t>
  </si>
  <si>
    <t>LTM FX RATE</t>
  </si>
  <si>
    <t>Index</t>
  </si>
  <si>
    <t>QUARTERLY FX RATE</t>
  </si>
  <si>
    <t>Covenant</t>
  </si>
  <si>
    <t>Loan Agreement Value</t>
  </si>
  <si>
    <t>Current Value</t>
  </si>
  <si>
    <t>Δ</t>
  </si>
  <si>
    <t>D/E</t>
  </si>
  <si>
    <t>Equity</t>
  </si>
  <si>
    <t>Result Period</t>
  </si>
  <si>
    <t>DWMF</t>
  </si>
  <si>
    <t>SIMF I</t>
  </si>
  <si>
    <t>SIMF II</t>
  </si>
  <si>
    <t>Debt (HC)</t>
  </si>
  <si>
    <t>DWMF-Q</t>
  </si>
  <si>
    <t>DWMF-J</t>
  </si>
  <si>
    <t>XXEB</t>
  </si>
  <si>
    <t>OTHER</t>
  </si>
  <si>
    <t>Total Debt Exposure</t>
  </si>
  <si>
    <t>Total Equity  Exposure</t>
  </si>
  <si>
    <t>Number of Unique IDs</t>
  </si>
  <si>
    <t>MFI # in List</t>
  </si>
  <si>
    <t>Length of Digit Length of MFI Name</t>
  </si>
  <si>
    <t>Length of MFI Name</t>
  </si>
  <si>
    <t>MFI Name</t>
  </si>
  <si>
    <t>Text String</t>
  </si>
  <si>
    <t>Length String</t>
  </si>
  <si>
    <t>Digit Length String</t>
  </si>
  <si>
    <t>DEBT LOCAL CURRENCY</t>
  </si>
  <si>
    <t>DEBT HARD CURRENCY</t>
  </si>
  <si>
    <t>?</t>
  </si>
  <si>
    <t>Unique Currency?</t>
  </si>
  <si>
    <t>Total HC Exposure</t>
  </si>
  <si>
    <t>DWMFQ</t>
  </si>
  <si>
    <t>All Investments</t>
  </si>
  <si>
    <t>DWM Rating</t>
  </si>
  <si>
    <t>Deal Terms</t>
  </si>
  <si>
    <t>Type of Investment</t>
  </si>
  <si>
    <t>Amount in USD</t>
  </si>
  <si>
    <t>Disbursements</t>
  </si>
  <si>
    <t>Repayment Schedule</t>
  </si>
  <si>
    <t>Commitment Fee</t>
  </si>
  <si>
    <t>Security</t>
  </si>
  <si>
    <t>Equity Ownership</t>
  </si>
  <si>
    <t>Market Share</t>
  </si>
  <si>
    <t>Benchmarking Analysis</t>
  </si>
  <si>
    <t>Funding</t>
  </si>
  <si>
    <t>PAR by Loan Size and Economic Sector</t>
  </si>
  <si>
    <t>PAR Evolution</t>
  </si>
  <si>
    <t>0.0%</t>
  </si>
  <si>
    <t>0.0x</t>
  </si>
  <si>
    <t>#,##0.00 "MM"</t>
  </si>
  <si>
    <t>#deleteLabel</t>
  </si>
  <si>
    <t>#deleteLabelEnd</t>
  </si>
  <si>
    <t>Social Scorecard Rating</t>
  </si>
  <si>
    <t>DWM Country Outlook</t>
  </si>
  <si>
    <t>Contact :</t>
  </si>
  <si>
    <t>Relationship Manager:</t>
  </si>
  <si>
    <t>Moody's</t>
  </si>
  <si>
    <t>S&amp;P</t>
  </si>
  <si>
    <t>Fitch</t>
  </si>
  <si>
    <t>Outlook</t>
  </si>
  <si>
    <t>FC LT Debt</t>
  </si>
  <si>
    <t>LC LT Debt</t>
  </si>
  <si>
    <t>Total  Exposure</t>
  </si>
  <si>
    <t>MFI</t>
  </si>
  <si>
    <t>USD Amount</t>
  </si>
  <si>
    <t>#countryleft</t>
  </si>
  <si>
    <t>#countryright</t>
  </si>
  <si>
    <t>Year End FX</t>
  </si>
  <si>
    <t>Average FX</t>
  </si>
  <si>
    <t>PAR &gt;30 Days (R+R)/GLP</t>
  </si>
  <si>
    <t>FOREIGN CURRENCY EXPOSURE</t>
  </si>
  <si>
    <t>Total Assets  in a Foreign Currency</t>
  </si>
  <si>
    <t>Portfolio</t>
  </si>
  <si>
    <t>Currency Exposure v2</t>
  </si>
  <si>
    <t>Back-to-back Loans</t>
  </si>
  <si>
    <t>Options</t>
  </si>
  <si>
    <t>Forwards</t>
  </si>
  <si>
    <t>Swaps</t>
  </si>
  <si>
    <t>Deposits for Back-to-Back Loans</t>
  </si>
  <si>
    <t>FOREIGN CURRENCY HEDGES</t>
  </si>
  <si>
    <t>Net</t>
  </si>
  <si>
    <t>Investments in Affiliates</t>
  </si>
  <si>
    <t>Inv in Aff. / Total Assets</t>
  </si>
  <si>
    <t>Number of Loan Officers</t>
  </si>
  <si>
    <t>Holding Company Results</t>
  </si>
  <si>
    <t>Audited?</t>
  </si>
  <si>
    <t>Unaudited?</t>
  </si>
  <si>
    <t>Most Recent Year of Completed Financials</t>
  </si>
  <si>
    <t>S</t>
  </si>
  <si>
    <t>#detailLeft</t>
  </si>
  <si>
    <t>#detailRight</t>
  </si>
  <si>
    <t>OpEx Ratio (as % of GLP)*</t>
  </si>
  <si>
    <t>EUR</t>
  </si>
  <si>
    <t>Borrowings Sub Amounts</t>
  </si>
  <si>
    <t>Debt Sub Amounts</t>
  </si>
  <si>
    <t>B/S Balance</t>
  </si>
  <si>
    <t>TTM</t>
  </si>
  <si>
    <t>NET OPEN EXPOSURE</t>
  </si>
  <si>
    <t>Data Sheet:</t>
  </si>
  <si>
    <t>GLP</t>
  </si>
  <si>
    <t>January Assets</t>
  </si>
  <si>
    <t>January Equity</t>
  </si>
  <si>
    <t>LTM GLP</t>
  </si>
  <si>
    <t>Previous Month Equity</t>
  </si>
  <si>
    <t>PAR &gt;60</t>
  </si>
  <si>
    <t>Liability Hedges</t>
  </si>
  <si>
    <t>Asset Hedges</t>
  </si>
  <si>
    <t>Foreign Currency Liabilities</t>
  </si>
  <si>
    <t>Foreign Currency Exposure Asset</t>
  </si>
  <si>
    <t>LTM Write-Offs</t>
  </si>
  <si>
    <t>Number of Active Loans</t>
  </si>
  <si>
    <t>Total Debt</t>
  </si>
  <si>
    <t>LTM FX</t>
  </si>
  <si>
    <t>YTD FX</t>
  </si>
  <si>
    <t>LAST MONTH</t>
  </si>
  <si>
    <t>MONTH FX</t>
  </si>
  <si>
    <t>LTM Date</t>
  </si>
  <si>
    <t>First Month of Fiscal Year</t>
  </si>
  <si>
    <t>Previous Month</t>
  </si>
  <si>
    <t>Current Month</t>
  </si>
  <si>
    <t>R +R</t>
  </si>
  <si>
    <t>LTM Average GLP</t>
  </si>
  <si>
    <t>LTM Average Assets</t>
  </si>
  <si>
    <t>LTM Average Equity</t>
  </si>
  <si>
    <t>LTM Average Borrowings</t>
  </si>
  <si>
    <t>LTM Net Income</t>
  </si>
  <si>
    <t>YTD Average Assets</t>
  </si>
  <si>
    <t>YTD Average GLP</t>
  </si>
  <si>
    <t>YTD Average Equity</t>
  </si>
  <si>
    <t>YTD Average Borrowings</t>
  </si>
  <si>
    <t>LTM Financial Revenue</t>
  </si>
  <si>
    <t>LTM Financial Expense</t>
  </si>
  <si>
    <t>LTM Provisioning Expense</t>
  </si>
  <si>
    <t>LTM Operating Expense</t>
  </si>
  <si>
    <t>LTM Other Financial Income (Expense)</t>
  </si>
  <si>
    <t>PAR&gt;30 + Restructured &amp; Refinanced</t>
  </si>
  <si>
    <t>PAR&gt;30 (%)</t>
  </si>
  <si>
    <t>R&amp;R (%)</t>
  </si>
  <si>
    <t>Write-offs (LTM %)</t>
  </si>
  <si>
    <t>#s</t>
  </si>
  <si>
    <t>Current Liabilities</t>
  </si>
  <si>
    <t>Total Equity (100% Provisioning)</t>
  </si>
  <si>
    <t>Unhedged FX Covenant Ratio</t>
  </si>
  <si>
    <t>Total Foreign Currency Assets</t>
  </si>
  <si>
    <t>Total Foreign Currency Liabilities</t>
  </si>
  <si>
    <t>Cost Income Ratio (Efficiency)</t>
  </si>
  <si>
    <t>Net Income (YTD)</t>
  </si>
  <si>
    <t>Productivity &amp; Operations</t>
  </si>
  <si>
    <t>Loan Officer Productivity</t>
  </si>
  <si>
    <t>GLP Ratios</t>
  </si>
  <si>
    <t>Portfolio Yield (YTD Annualized)</t>
  </si>
  <si>
    <t>Financial Exp. Ratio (YTD Annualized)</t>
  </si>
  <si>
    <t>Provision Exp. Ratio (YTD Annualized)</t>
  </si>
  <si>
    <t>OpEx Ratio (YTD Annualized)</t>
  </si>
  <si>
    <t>Total Revenues (LTM)</t>
  </si>
  <si>
    <t>Total Expenses (LTM)</t>
  </si>
  <si>
    <t>Total Number of Branches</t>
  </si>
  <si>
    <t>Total # Active Loans</t>
  </si>
  <si>
    <t>Total # of Voluntary Savers</t>
  </si>
  <si>
    <t>Total Cash</t>
  </si>
  <si>
    <t>MoM Δ (%)</t>
  </si>
  <si>
    <t>YTD Δ (%)</t>
  </si>
  <si>
    <t>YoY Δ (%)</t>
  </si>
  <si>
    <t>Adjusted Productivity</t>
  </si>
  <si>
    <t>Write-offs (LTM)</t>
  </si>
  <si>
    <t>Write-offs (Monthly)</t>
  </si>
  <si>
    <t xml:space="preserve">Portfolio Yield </t>
  </si>
  <si>
    <t>OpEx / Total Expenses</t>
  </si>
  <si>
    <t>ROA (Annualized)</t>
  </si>
  <si>
    <t>ROE (Annualized)</t>
  </si>
  <si>
    <t>Provisioning Expenses</t>
  </si>
  <si>
    <t>Other Financial Income &amp; Expenses</t>
  </si>
  <si>
    <t>Profitability</t>
  </si>
  <si>
    <t>Remaining Principal (USD)</t>
  </si>
  <si>
    <t>Total Interest Bearing Debt</t>
  </si>
  <si>
    <t>Template Properties</t>
  </si>
  <si>
    <t>Template Name</t>
  </si>
  <si>
    <t>Analysis Template</t>
  </si>
  <si>
    <t>Template Version</t>
  </si>
  <si>
    <t>Last Edited</t>
  </si>
  <si>
    <t>Other Details</t>
  </si>
  <si>
    <t>Country</t>
  </si>
  <si>
    <t>Region</t>
  </si>
  <si>
    <t>Region ID</t>
  </si>
  <si>
    <t>Network</t>
  </si>
  <si>
    <t>Date Established</t>
  </si>
  <si>
    <t>Legal Status</t>
  </si>
  <si>
    <t>USD to EUR FX</t>
  </si>
  <si>
    <t>Reporting Currency Code</t>
  </si>
  <si>
    <t>USD to Local FX</t>
  </si>
  <si>
    <t>Notes</t>
  </si>
  <si>
    <t>Ave. Loan Size (ALS)</t>
  </si>
  <si>
    <t>ALS as % of GDP per Capita</t>
  </si>
  <si>
    <t>GDP (USD m)</t>
  </si>
  <si>
    <t>Source: Latest EIU Report</t>
  </si>
  <si>
    <t>Population (m)</t>
  </si>
  <si>
    <t>GDP per Capita</t>
  </si>
  <si>
    <t>Debt</t>
  </si>
  <si>
    <t>Foreign Currency Asset Hedges</t>
  </si>
  <si>
    <t>Foreign Currency Liability Hedges</t>
  </si>
  <si>
    <t>Amortization Schedule (in USD)</t>
  </si>
  <si>
    <t>LTM Net Income (Before Donations)</t>
  </si>
  <si>
    <t>Net Income (Before Donations)</t>
  </si>
  <si>
    <t>LTM Savings Accounts</t>
  </si>
  <si>
    <t>LTM Average Savings</t>
  </si>
  <si>
    <t>Cost of Borrowed Funds (Annualized)</t>
  </si>
  <si>
    <t>PAR&gt;90 (R+R)</t>
  </si>
  <si>
    <t>Open Loan Exposure Ratio</t>
  </si>
  <si>
    <t>PAR &gt;90</t>
  </si>
  <si>
    <t>Implied Global Rating</t>
  </si>
  <si>
    <t>FX Rate (Average of Period)*</t>
  </si>
  <si>
    <t>FX Rate (End of Period)*</t>
  </si>
  <si>
    <t>* Growth column shows (depreciation) / appreciation.</t>
  </si>
  <si>
    <t>Options-L</t>
  </si>
  <si>
    <t>Forwards-L</t>
  </si>
  <si>
    <t>Swaps-L</t>
  </si>
  <si>
    <t>AIMF I</t>
  </si>
  <si>
    <t>AIMF II</t>
  </si>
  <si>
    <t>name ranges can be found in DB_LOAD tab</t>
  </si>
  <si>
    <t>data</t>
  </si>
  <si>
    <t>{"importTemplate":[{"sheet":"AGGREGATED_DATA","id":17,"field":{"nr":"input.17.fieldRange"},"date":{"nr":"input.17.dateRange","value":null},"customDim":{"name":"isAudited","value":"UA","nr":null,"convert":{"UA":"0","Audited":"1"},"store":"value_only"}}]}</t>
  </si>
  <si>
    <t>2010-06-10-AIMF I</t>
  </si>
  <si>
    <t>2012-03-15-AIMF II</t>
  </si>
  <si>
    <t>2012-08-29-AIMF I</t>
  </si>
  <si>
    <t>2012-11-30-DWMF</t>
  </si>
  <si>
    <t>AZN</t>
  </si>
  <si>
    <t>2013-12-06-AIMF I</t>
  </si>
  <si>
    <t>2013-12-28-DWMF-J</t>
  </si>
  <si>
    <t>2014-03-06-AIMF I</t>
  </si>
  <si>
    <t>2014-03-28-DWMF-J</t>
  </si>
  <si>
    <t>2014-04-15-AIMF I</t>
  </si>
  <si>
    <t>2015-07-31-AIMF II</t>
  </si>
  <si>
    <t>2015-08-31-AIMF II</t>
  </si>
  <si>
    <t>2015-10-15-AIMF II</t>
  </si>
  <si>
    <t>July 2015_x000D_
_x000D_
Test</t>
  </si>
  <si>
    <t>aa</t>
  </si>
  <si>
    <t>Access Bank</t>
  </si>
  <si>
    <t>Azerbaijan</t>
  </si>
  <si>
    <t>AzerCredit</t>
  </si>
  <si>
    <t>CredAgro</t>
  </si>
  <si>
    <t>FINCA Azerbaijan</t>
  </si>
  <si>
    <t>Balance Sheet v1|Total Cash &amp; ST Investments|0|39478</t>
  </si>
  <si>
    <t>Balance Sheet v1|Restricted Cash|0|39478</t>
  </si>
  <si>
    <t>Balance Sheet v1|Unrestricted Cash|0|39478</t>
  </si>
  <si>
    <t>Balance Sheet v1|Short Term Investments|0|39478</t>
  </si>
  <si>
    <t>Balance Sheet v1|Gross Loan Portfolio|0|39478</t>
  </si>
  <si>
    <t>Balance Sheet v1|(Loan Loss Reserves)|0|39478</t>
  </si>
  <si>
    <t>Balance Sheet v1|Other Assets|0|39478</t>
  </si>
  <si>
    <t>Balance Sheet v1|Savings Accounts|0|39478</t>
  </si>
  <si>
    <t>Balance Sheet v1|Total Borrowings at Concessional Interest Rates|0|39478</t>
  </si>
  <si>
    <t>Balance Sheet v1|Total Borrowings at Commercial Interest Rates|0|39478</t>
  </si>
  <si>
    <t>Balance Sheet v1|Senior Secured Debt|0|39478</t>
  </si>
  <si>
    <t>Balance Sheet v1|Senior Unsecured Debt|0|39478</t>
  </si>
  <si>
    <t>Balance Sheet v1|Subordinated Debt|0|39478</t>
  </si>
  <si>
    <t>Balance Sheet v1|Other Liabilities|0|39478</t>
  </si>
  <si>
    <t>Balance Sheet v1|Donated Equity and paid-in-capital|0|39478</t>
  </si>
  <si>
    <t>Balance Sheet v1|Retained Earnings, Reserves &amp; Other|0|39478</t>
  </si>
  <si>
    <t>Balance Sheet v1|Total Cash &amp; ST Investments|0|39507</t>
  </si>
  <si>
    <t>Balance Sheet v1|Restricted Cash|0|39507</t>
  </si>
  <si>
    <t>Balance Sheet v1|Unrestricted Cash|0|39507</t>
  </si>
  <si>
    <t>Balance Sheet v1|Short Term Investments|0|39507</t>
  </si>
  <si>
    <t>Balance Sheet v1|Gross Loan Portfolio|0|39507</t>
  </si>
  <si>
    <t>Balance Sheet v1|(Loan Loss Reserves)|0|39507</t>
  </si>
  <si>
    <t>Balance Sheet v1|Other Assets|0|39507</t>
  </si>
  <si>
    <t>Balance Sheet v1|Savings Accounts|0|39507</t>
  </si>
  <si>
    <t>Balance Sheet v1|Total Borrowings at Concessional Interest Rates|0|39507</t>
  </si>
  <si>
    <t>Balance Sheet v1|Total Borrowings at Commercial Interest Rates|0|39507</t>
  </si>
  <si>
    <t>Balance Sheet v1|Senior Secured Debt|0|39507</t>
  </si>
  <si>
    <t>Balance Sheet v1|Senior Unsecured Debt|0|39507</t>
  </si>
  <si>
    <t>Balance Sheet v1|Subordinated Debt|0|39507</t>
  </si>
  <si>
    <t>Balance Sheet v1|Other Liabilities|0|39507</t>
  </si>
  <si>
    <t>Balance Sheet v1|Donated Equity and paid-in-capital|0|39507</t>
  </si>
  <si>
    <t>Balance Sheet v1|Retained Earnings, Reserves &amp; Other|0|39507</t>
  </si>
  <si>
    <t>Balance Sheet v1|Total Cash &amp; ST Investments|0|39538</t>
  </si>
  <si>
    <t>Balance Sheet v1|Restricted Cash|0|39538</t>
  </si>
  <si>
    <t>Balance Sheet v1|Unrestricted Cash|0|39538</t>
  </si>
  <si>
    <t>Balance Sheet v1|Short Term Investments|0|39538</t>
  </si>
  <si>
    <t>Balance Sheet v1|Gross Loan Portfolio|0|39538</t>
  </si>
  <si>
    <t>Balance Sheet v1|(Loan Loss Reserves)|0|39538</t>
  </si>
  <si>
    <t>Balance Sheet v1|Other Assets|0|39538</t>
  </si>
  <si>
    <t>Balance Sheet v1|Savings Accounts|0|39538</t>
  </si>
  <si>
    <t>Balance Sheet v1|Total Borrowings at Concessional Interest Rates|0|39538</t>
  </si>
  <si>
    <t>Balance Sheet v1|Total Borrowings at Commercial Interest Rates|0|39538</t>
  </si>
  <si>
    <t>Balance Sheet v1|Senior Secured Debt|0|39538</t>
  </si>
  <si>
    <t>Balance Sheet v1|Senior Unsecured Debt|0|39538</t>
  </si>
  <si>
    <t>Balance Sheet v1|Subordinated Debt|0|39538</t>
  </si>
  <si>
    <t>Balance Sheet v1|Other Liabilities|0|39538</t>
  </si>
  <si>
    <t>Balance Sheet v1|Donated Equity and paid-in-capital|0|39538</t>
  </si>
  <si>
    <t>Balance Sheet v1|Retained Earnings, Reserves &amp; Other|0|39538</t>
  </si>
  <si>
    <t>Balance Sheet v1|Total Cash &amp; ST Investments|0|39568</t>
  </si>
  <si>
    <t>Balance Sheet v1|Restricted Cash|0|39568</t>
  </si>
  <si>
    <t>Balance Sheet v1|Unrestricted Cash|0|39568</t>
  </si>
  <si>
    <t>Balance Sheet v1|Short Term Investments|0|39568</t>
  </si>
  <si>
    <t>Balance Sheet v1|Gross Loan Portfolio|0|39568</t>
  </si>
  <si>
    <t>Balance Sheet v1|(Loan Loss Reserves)|0|39568</t>
  </si>
  <si>
    <t>Balance Sheet v1|Other Assets|0|39568</t>
  </si>
  <si>
    <t>Balance Sheet v1|Savings Accounts|0|39568</t>
  </si>
  <si>
    <t>Balance Sheet v1|Total Borrowings at Concessional Interest Rates|0|39568</t>
  </si>
  <si>
    <t>Balance Sheet v1|Total Borrowings at Commercial Interest Rates|0|39568</t>
  </si>
  <si>
    <t>Balance Sheet v1|Senior Secured Debt|0|39568</t>
  </si>
  <si>
    <t>Balance Sheet v1|Senior Unsecured Debt|0|39568</t>
  </si>
  <si>
    <t>Balance Sheet v1|Subordinated Debt|0|39568</t>
  </si>
  <si>
    <t>Balance Sheet v1|Other Liabilities|0|39568</t>
  </si>
  <si>
    <t>Balance Sheet v1|Donated Equity and paid-in-capital|0|39568</t>
  </si>
  <si>
    <t>Balance Sheet v1|Retained Earnings, Reserves &amp; Other|0|39568</t>
  </si>
  <si>
    <t>Balance Sheet v1|Total Cash &amp; ST Investments|0|39599</t>
  </si>
  <si>
    <t>Balance Sheet v1|Restricted Cash|0|39599</t>
  </si>
  <si>
    <t>Balance Sheet v1|Unrestricted Cash|0|39599</t>
  </si>
  <si>
    <t>Balance Sheet v1|Short Term Investments|0|39599</t>
  </si>
  <si>
    <t>Balance Sheet v1|Gross Loan Portfolio|0|39599</t>
  </si>
  <si>
    <t>Balance Sheet v1|(Loan Loss Reserves)|0|39599</t>
  </si>
  <si>
    <t>Balance Sheet v1|Other Assets|0|39599</t>
  </si>
  <si>
    <t>Balance Sheet v1|Savings Accounts|0|39599</t>
  </si>
  <si>
    <t>Balance Sheet v1|Total Borrowings at Concessional Interest Rates|0|39599</t>
  </si>
  <si>
    <t>Balance Sheet v1|Total Borrowings at Commercial Interest Rates|0|39599</t>
  </si>
  <si>
    <t>Balance Sheet v1|Senior Secured Debt|0|39599</t>
  </si>
  <si>
    <t>Balance Sheet v1|Senior Unsecured Debt|0|39599</t>
  </si>
  <si>
    <t>Balance Sheet v1|Subordinated Debt|0|39599</t>
  </si>
  <si>
    <t>Balance Sheet v1|Other Liabilities|0|39599</t>
  </si>
  <si>
    <t>Balance Sheet v1|Donated Equity and paid-in-capital|0|39599</t>
  </si>
  <si>
    <t>Balance Sheet v1|Retained Earnings, Reserves &amp; Other|0|39599</t>
  </si>
  <si>
    <t>Balance Sheet v1|Total Cash &amp; ST Investments|0|39629</t>
  </si>
  <si>
    <t>Balance Sheet v1|Restricted Cash|0|39629</t>
  </si>
  <si>
    <t>Balance Sheet v1|Unrestricted Cash|0|39629</t>
  </si>
  <si>
    <t>Balance Sheet v1|Short Term Investments|0|39629</t>
  </si>
  <si>
    <t>Balance Sheet v1|Gross Loan Portfolio|0|39629</t>
  </si>
  <si>
    <t>Balance Sheet v1|(Loan Loss Reserves)|0|39629</t>
  </si>
  <si>
    <t>Balance Sheet v1|Other Assets|0|39629</t>
  </si>
  <si>
    <t>Balance Sheet v1|Savings Accounts|0|39629</t>
  </si>
  <si>
    <t>Balance Sheet v1|Total Borrowings at Concessional Interest Rates|0|39629</t>
  </si>
  <si>
    <t>Balance Sheet v1|Total Borrowings at Commercial Interest Rates|0|39629</t>
  </si>
  <si>
    <t>Balance Sheet v1|Senior Secured Debt|0|39629</t>
  </si>
  <si>
    <t>Balance Sheet v1|Senior Unsecured Debt|0|39629</t>
  </si>
  <si>
    <t>Balance Sheet v1|Subordinated Debt|0|39629</t>
  </si>
  <si>
    <t>Balance Sheet v1|Other Liabilities|0|39629</t>
  </si>
  <si>
    <t>Balance Sheet v1|Donated Equity and paid-in-capital|0|39629</t>
  </si>
  <si>
    <t>Balance Sheet v1|Retained Earnings, Reserves &amp; Other|0|39629</t>
  </si>
  <si>
    <t>Balance Sheet v1|Total Cash &amp; ST Investments|0|39660</t>
  </si>
  <si>
    <t>Balance Sheet v1|Restricted Cash|0|39660</t>
  </si>
  <si>
    <t>Balance Sheet v1|Unrestricted Cash|0|39660</t>
  </si>
  <si>
    <t>Balance Sheet v1|Short Term Investments|0|39660</t>
  </si>
  <si>
    <t>Balance Sheet v1|Gross Loan Portfolio|0|39660</t>
  </si>
  <si>
    <t>Balance Sheet v1|(Loan Loss Reserves)|0|39660</t>
  </si>
  <si>
    <t>Balance Sheet v1|Other Assets|0|39660</t>
  </si>
  <si>
    <t>Balance Sheet v1|Savings Accounts|0|39660</t>
  </si>
  <si>
    <t>Balance Sheet v1|Total Borrowings at Concessional Interest Rates|0|39660</t>
  </si>
  <si>
    <t>Balance Sheet v1|Total Borrowings at Commercial Interest Rates|0|39660</t>
  </si>
  <si>
    <t>Balance Sheet v1|Senior Secured Debt|0|39660</t>
  </si>
  <si>
    <t>Balance Sheet v1|Senior Unsecured Debt|0|39660</t>
  </si>
  <si>
    <t>Balance Sheet v1|Subordinated Debt|0|39660</t>
  </si>
  <si>
    <t>Balance Sheet v1|Other Liabilities|0|39660</t>
  </si>
  <si>
    <t>Balance Sheet v1|Donated Equity and paid-in-capital|0|39660</t>
  </si>
  <si>
    <t>Balance Sheet v1|Retained Earnings, Reserves &amp; Other|0|39660</t>
  </si>
  <si>
    <t>Balance Sheet v1|Total Cash &amp; ST Investments|0|39691</t>
  </si>
  <si>
    <t>Balance Sheet v1|Restricted Cash|0|39691</t>
  </si>
  <si>
    <t>Balance Sheet v1|Unrestricted Cash|0|39691</t>
  </si>
  <si>
    <t>Balance Sheet v1|Short Term Investments|0|39691</t>
  </si>
  <si>
    <t>Balance Sheet v1|Gross Loan Portfolio|0|39691</t>
  </si>
  <si>
    <t>Balance Sheet v1|(Loan Loss Reserves)|0|39691</t>
  </si>
  <si>
    <t>Balance Sheet v1|Other Assets|0|39691</t>
  </si>
  <si>
    <t>Balance Sheet v1|Savings Accounts|0|39691</t>
  </si>
  <si>
    <t>Balance Sheet v1|Total Borrowings at Concessional Interest Rates|0|39691</t>
  </si>
  <si>
    <t>Balance Sheet v1|Total Borrowings at Commercial Interest Rates|0|39691</t>
  </si>
  <si>
    <t>Balance Sheet v1|Senior Secured Debt|0|39691</t>
  </si>
  <si>
    <t>Balance Sheet v1|Senior Unsecured Debt|0|39691</t>
  </si>
  <si>
    <t>Balance Sheet v1|Subordinated Debt|0|39691</t>
  </si>
  <si>
    <t>Balance Sheet v1|Other Liabilities|0|39691</t>
  </si>
  <si>
    <t>Balance Sheet v1|Donated Equity and paid-in-capital|0|39691</t>
  </si>
  <si>
    <t>Balance Sheet v1|Retained Earnings, Reserves &amp; Other|0|39691</t>
  </si>
  <si>
    <t>Balance Sheet v1|Total Cash &amp; ST Investments|0|39721</t>
  </si>
  <si>
    <t>Balance Sheet v1|Restricted Cash|0|39721</t>
  </si>
  <si>
    <t>Balance Sheet v1|Unrestricted Cash|0|39721</t>
  </si>
  <si>
    <t>Balance Sheet v1|Short Term Investments|0|39721</t>
  </si>
  <si>
    <t>Balance Sheet v1|Gross Loan Portfolio|0|39721</t>
  </si>
  <si>
    <t>Balance Sheet v1|(Loan Loss Reserves)|0|39721</t>
  </si>
  <si>
    <t>Balance Sheet v1|Other Assets|0|39721</t>
  </si>
  <si>
    <t>Balance Sheet v1|Savings Accounts|0|39721</t>
  </si>
  <si>
    <t>Balance Sheet v1|Total Borrowings at Concessional Interest Rates|0|39721</t>
  </si>
  <si>
    <t>Balance Sheet v1|Total Borrowings at Commercial Interest Rates|0|39721</t>
  </si>
  <si>
    <t>Balance Sheet v1|Senior Secured Debt|0|39721</t>
  </si>
  <si>
    <t>Balance Sheet v1|Senior Unsecured Debt|0|39721</t>
  </si>
  <si>
    <t>Balance Sheet v1|Subordinated Debt|0|39721</t>
  </si>
  <si>
    <t>Balance Sheet v1|Other Liabilities|0|39721</t>
  </si>
  <si>
    <t>Balance Sheet v1|Donated Equity and paid-in-capital|0|39721</t>
  </si>
  <si>
    <t>Balance Sheet v1|Retained Earnings, Reserves &amp; Other|0|39721</t>
  </si>
  <si>
    <t>Balance Sheet v1|Total Cash &amp; ST Investments|0|39752</t>
  </si>
  <si>
    <t>Balance Sheet v1|Restricted Cash|0|39752</t>
  </si>
  <si>
    <t>Balance Sheet v1|Unrestricted Cash|0|39752</t>
  </si>
  <si>
    <t>Balance Sheet v1|Short Term Investments|0|39752</t>
  </si>
  <si>
    <t>Balance Sheet v1|Gross Loan Portfolio|0|39752</t>
  </si>
  <si>
    <t>Balance Sheet v1|(Loan Loss Reserves)|0|39752</t>
  </si>
  <si>
    <t>Balance Sheet v1|Other Assets|0|39752</t>
  </si>
  <si>
    <t>Balance Sheet v1|Savings Accounts|0|39752</t>
  </si>
  <si>
    <t>Balance Sheet v1|Total Borrowings at Concessional Interest Rates|0|39752</t>
  </si>
  <si>
    <t>Balance Sheet v1|Total Borrowings at Commercial Interest Rates|0|39752</t>
  </si>
  <si>
    <t>Balance Sheet v1|Senior Secured Debt|0|39752</t>
  </si>
  <si>
    <t>Balance Sheet v1|Senior Unsecured Debt|0|39752</t>
  </si>
  <si>
    <t>Balance Sheet v1|Subordinated Debt|0|39752</t>
  </si>
  <si>
    <t>Balance Sheet v1|Other Liabilities|0|39752</t>
  </si>
  <si>
    <t>Balance Sheet v1|Donated Equity and paid-in-capital|0|39752</t>
  </si>
  <si>
    <t>Balance Sheet v1|Retained Earnings, Reserves &amp; Other|0|39752</t>
  </si>
  <si>
    <t>Balance Sheet v1|Total Cash &amp; ST Investments|0|39782</t>
  </si>
  <si>
    <t>Balance Sheet v1|Restricted Cash|0|39782</t>
  </si>
  <si>
    <t>Balance Sheet v1|Unrestricted Cash|0|39782</t>
  </si>
  <si>
    <t>Balance Sheet v1|Short Term Investments|0|39782</t>
  </si>
  <si>
    <t>Balance Sheet v1|Gross Loan Portfolio|0|39782</t>
  </si>
  <si>
    <t>Balance Sheet v1|(Loan Loss Reserves)|0|39782</t>
  </si>
  <si>
    <t>Balance Sheet v1|Other Assets|0|39782</t>
  </si>
  <si>
    <t>Balance Sheet v1|Savings Accounts|0|39782</t>
  </si>
  <si>
    <t>Balance Sheet v1|Total Borrowings at Concessional Interest Rates|0|39782</t>
  </si>
  <si>
    <t>Balance Sheet v1|Total Borrowings at Commercial Interest Rates|0|39782</t>
  </si>
  <si>
    <t>Balance Sheet v1|Senior Secured Debt|0|39782</t>
  </si>
  <si>
    <t>Balance Sheet v1|Senior Unsecured Debt|0|39782</t>
  </si>
  <si>
    <t>Balance Sheet v1|Subordinated Debt|0|39782</t>
  </si>
  <si>
    <t>Balance Sheet v1|Other Liabilities|0|39782</t>
  </si>
  <si>
    <t>Balance Sheet v1|Donated Equity and paid-in-capital|0|39782</t>
  </si>
  <si>
    <t>Balance Sheet v1|Retained Earnings, Reserves &amp; Other|0|39782</t>
  </si>
  <si>
    <t>Balance Sheet v1|Total Cash &amp; ST Investments|0|39813</t>
  </si>
  <si>
    <t>Balance Sheet v1|Restricted Cash|0|39813</t>
  </si>
  <si>
    <t>Balance Sheet v1|Unrestricted Cash|0|39813</t>
  </si>
  <si>
    <t>Balance Sheet v1|Short Term Investments|0|39813</t>
  </si>
  <si>
    <t>Balance Sheet v1|Gross Loan Portfolio|0|39813</t>
  </si>
  <si>
    <t>Balance Sheet v1|(Loan Loss Reserves)|0|39813</t>
  </si>
  <si>
    <t>Balance Sheet v1|Other Assets|0|39813</t>
  </si>
  <si>
    <t>Balance Sheet v1|Savings Accounts|0|39813</t>
  </si>
  <si>
    <t>Balance Sheet v1|Total Borrowings at Concessional Interest Rates|0|39813</t>
  </si>
  <si>
    <t>Balance Sheet v1|Total Borrowings at Commercial Interest Rates|0|39813</t>
  </si>
  <si>
    <t>Balance Sheet v1|Senior Secured Debt|0|39813</t>
  </si>
  <si>
    <t>Balance Sheet v1|Senior Unsecured Debt|0|39813</t>
  </si>
  <si>
    <t>Balance Sheet v1|Subordinated Debt|0|39813</t>
  </si>
  <si>
    <t>Balance Sheet v1|Other Liabilities|0|39813</t>
  </si>
  <si>
    <t>Balance Sheet v1|Donated Equity and paid-in-capital|0|39813</t>
  </si>
  <si>
    <t>Balance Sheet v1|Retained Earnings, Reserves &amp; Other|0|39813</t>
  </si>
  <si>
    <t>Balance Sheet v1|Total Cash &amp; ST Investments|0|39844</t>
  </si>
  <si>
    <t>Balance Sheet v1|Restricted Cash|0|39844</t>
  </si>
  <si>
    <t>Balance Sheet v1|Unrestricted Cash|0|39844</t>
  </si>
  <si>
    <t>Balance Sheet v1|Short Term Investments|0|39844</t>
  </si>
  <si>
    <t>Balance Sheet v1|Gross Loan Portfolio|0|39844</t>
  </si>
  <si>
    <t>Balance Sheet v1|(Loan Loss Reserves)|0|39844</t>
  </si>
  <si>
    <t>Balance Sheet v1|Other Assets|0|39844</t>
  </si>
  <si>
    <t>Balance Sheet v1|Savings Accounts|0|39844</t>
  </si>
  <si>
    <t>Balance Sheet v1|Total Borrowings at Concessional Interest Rates|0|39844</t>
  </si>
  <si>
    <t>Balance Sheet v1|Total Borrowings at Commercial Interest Rates|0|39844</t>
  </si>
  <si>
    <t>Balance Sheet v1|Senior Secured Debt|0|39844</t>
  </si>
  <si>
    <t>Balance Sheet v1|Senior Unsecured Debt|0|39844</t>
  </si>
  <si>
    <t>Balance Sheet v1|Subordinated Debt|0|39844</t>
  </si>
  <si>
    <t>Balance Sheet v1|Other Liabilities|0|39844</t>
  </si>
  <si>
    <t>Balance Sheet v1|Donated Equity and paid-in-capital|0|39844</t>
  </si>
  <si>
    <t>Balance Sheet v1|Retained Earnings, Reserves &amp; Other|0|39844</t>
  </si>
  <si>
    <t>Balance Sheet v1|Total Cash &amp; ST Investments|0|39872</t>
  </si>
  <si>
    <t>Balance Sheet v1|Restricted Cash|0|39872</t>
  </si>
  <si>
    <t>Balance Sheet v1|Unrestricted Cash|0|39872</t>
  </si>
  <si>
    <t>Balance Sheet v1|Short Term Investments|0|39872</t>
  </si>
  <si>
    <t>Balance Sheet v1|Gross Loan Portfolio|0|39872</t>
  </si>
  <si>
    <t>Balance Sheet v1|(Loan Loss Reserves)|0|39872</t>
  </si>
  <si>
    <t>Balance Sheet v1|Other Assets|0|39872</t>
  </si>
  <si>
    <t>Balance Sheet v1|Savings Accounts|0|39872</t>
  </si>
  <si>
    <t>Balance Sheet v1|Total Borrowings at Concessional Interest Rates|0|39872</t>
  </si>
  <si>
    <t>Balance Sheet v1|Total Borrowings at Commercial Interest Rates|0|39872</t>
  </si>
  <si>
    <t>Balance Sheet v1|Senior Secured Debt|0|39872</t>
  </si>
  <si>
    <t>Balance Sheet v1|Senior Unsecured Debt|0|39872</t>
  </si>
  <si>
    <t>Balance Sheet v1|Subordinated Debt|0|39872</t>
  </si>
  <si>
    <t>Balance Sheet v1|Other Liabilities|0|39872</t>
  </si>
  <si>
    <t>Balance Sheet v1|Donated Equity and paid-in-capital|0|39872</t>
  </si>
  <si>
    <t>Balance Sheet v1|Retained Earnings, Reserves &amp; Other|0|39872</t>
  </si>
  <si>
    <t>Balance Sheet v1|Total Cash &amp; ST Investments|0|39903</t>
  </si>
  <si>
    <t>Balance Sheet v1|Restricted Cash|0|39903</t>
  </si>
  <si>
    <t>Balance Sheet v1|Unrestricted Cash|0|39903</t>
  </si>
  <si>
    <t>Balance Sheet v1|Short Term Investments|0|39903</t>
  </si>
  <si>
    <t>Balance Sheet v1|Gross Loan Portfolio|0|39903</t>
  </si>
  <si>
    <t>Balance Sheet v1|(Loan Loss Reserves)|0|39903</t>
  </si>
  <si>
    <t>Balance Sheet v1|Other Assets|0|39903</t>
  </si>
  <si>
    <t>Balance Sheet v1|Savings Accounts|0|39903</t>
  </si>
  <si>
    <t>Balance Sheet v1|Total Borrowings at Concessional Interest Rates|0|39903</t>
  </si>
  <si>
    <t>Balance Sheet v1|Total Borrowings at Commercial Interest Rates|0|39903</t>
  </si>
  <si>
    <t>Balance Sheet v1|Senior Secured Debt|0|39903</t>
  </si>
  <si>
    <t>Balance Sheet v1|Senior Unsecured Debt|0|39903</t>
  </si>
  <si>
    <t>Balance Sheet v1|Subordinated Debt|0|39903</t>
  </si>
  <si>
    <t>Balance Sheet v1|Other Liabilities|0|39903</t>
  </si>
  <si>
    <t>Balance Sheet v1|Donated Equity and paid-in-capital|0|39903</t>
  </si>
  <si>
    <t>Balance Sheet v1|Retained Earnings, Reserves &amp; Other|0|39903</t>
  </si>
  <si>
    <t>Balance Sheet v1|Total Cash &amp; ST Investments|0|39933</t>
  </si>
  <si>
    <t>Balance Sheet v1|Restricted Cash|0|39933</t>
  </si>
  <si>
    <t>Balance Sheet v1|Unrestricted Cash|0|39933</t>
  </si>
  <si>
    <t>Balance Sheet v1|Short Term Investments|0|39933</t>
  </si>
  <si>
    <t>Balance Sheet v1|Gross Loan Portfolio|0|39933</t>
  </si>
  <si>
    <t>Balance Sheet v1|(Loan Loss Reserves)|0|39933</t>
  </si>
  <si>
    <t>Balance Sheet v1|Other Assets|0|39933</t>
  </si>
  <si>
    <t>Balance Sheet v1|Savings Accounts|0|39933</t>
  </si>
  <si>
    <t>Balance Sheet v1|Total Borrowings at Concessional Interest Rates|0|39933</t>
  </si>
  <si>
    <t>Balance Sheet v1|Total Borrowings at Commercial Interest Rates|0|39933</t>
  </si>
  <si>
    <t>Balance Sheet v1|Senior Secured Debt|0|39933</t>
  </si>
  <si>
    <t>Balance Sheet v1|Senior Unsecured Debt|0|39933</t>
  </si>
  <si>
    <t>Balance Sheet v1|Subordinated Debt|0|39933</t>
  </si>
  <si>
    <t>Balance Sheet v1|Other Liabilities|0|39933</t>
  </si>
  <si>
    <t>Balance Sheet v1|Donated Equity and paid-in-capital|0|39933</t>
  </si>
  <si>
    <t>Balance Sheet v1|Retained Earnings, Reserves &amp; Other|0|39933</t>
  </si>
  <si>
    <t>Balance Sheet v1|Total Cash &amp; ST Investments|0|39964</t>
  </si>
  <si>
    <t>Balance Sheet v1|Restricted Cash|0|39964</t>
  </si>
  <si>
    <t>Balance Sheet v1|Unrestricted Cash|0|39964</t>
  </si>
  <si>
    <t>Balance Sheet v1|Short Term Investments|0|39964</t>
  </si>
  <si>
    <t>Balance Sheet v1|Gross Loan Portfolio|0|39964</t>
  </si>
  <si>
    <t>Balance Sheet v1|(Loan Loss Reserves)|0|39964</t>
  </si>
  <si>
    <t>Balance Sheet v1|Other Assets|0|39964</t>
  </si>
  <si>
    <t>Balance Sheet v1|Savings Accounts|0|39964</t>
  </si>
  <si>
    <t>Balance Sheet v1|Total Borrowings at Concessional Interest Rates|0|39964</t>
  </si>
  <si>
    <t>Balance Sheet v1|Total Borrowings at Commercial Interest Rates|0|39964</t>
  </si>
  <si>
    <t>Balance Sheet v1|Senior Secured Debt|0|39964</t>
  </si>
  <si>
    <t>Balance Sheet v1|Senior Unsecured Debt|0|39964</t>
  </si>
  <si>
    <t>Balance Sheet v1|Subordinated Debt|0|39964</t>
  </si>
  <si>
    <t>Balance Sheet v1|Other Liabilities|0|39964</t>
  </si>
  <si>
    <t>Balance Sheet v1|Donated Equity and paid-in-capital|0|39964</t>
  </si>
  <si>
    <t>Balance Sheet v1|Retained Earnings, Reserves &amp; Other|0|39964</t>
  </si>
  <si>
    <t>Balance Sheet v1|Total Cash &amp; ST Investments|0|39994</t>
  </si>
  <si>
    <t>Balance Sheet v1|Restricted Cash|0|39994</t>
  </si>
  <si>
    <t>Balance Sheet v1|Unrestricted Cash|0|39994</t>
  </si>
  <si>
    <t>Balance Sheet v1|Short Term Investments|0|39994</t>
  </si>
  <si>
    <t>Balance Sheet v1|Gross Loan Portfolio|0|39994</t>
  </si>
  <si>
    <t>Balance Sheet v1|(Loan Loss Reserves)|0|39994</t>
  </si>
  <si>
    <t>Balance Sheet v1|Other Assets|0|39994</t>
  </si>
  <si>
    <t>Balance Sheet v1|Savings Accounts|0|39994</t>
  </si>
  <si>
    <t>Balance Sheet v1|Total Borrowings at Concessional Interest Rates|0|39994</t>
  </si>
  <si>
    <t>Balance Sheet v1|Total Borrowings at Commercial Interest Rates|0|39994</t>
  </si>
  <si>
    <t>Balance Sheet v1|Senior Secured Debt|0|39994</t>
  </si>
  <si>
    <t>Balance Sheet v1|Senior Unsecured Debt|0|39994</t>
  </si>
  <si>
    <t>Balance Sheet v1|Subordinated Debt|0|39994</t>
  </si>
  <si>
    <t>Balance Sheet v1|Other Liabilities|0|39994</t>
  </si>
  <si>
    <t>Balance Sheet v1|Donated Equity and paid-in-capital|0|39994</t>
  </si>
  <si>
    <t>Balance Sheet v1|Retained Earnings, Reserves &amp; Other|0|39994</t>
  </si>
  <si>
    <t>Balance Sheet v1|Total Cash &amp; ST Investments|0|40025</t>
  </si>
  <si>
    <t>Balance Sheet v1|Restricted Cash|0|40025</t>
  </si>
  <si>
    <t>Balance Sheet v1|Unrestricted Cash|0|40025</t>
  </si>
  <si>
    <t>Balance Sheet v1|Short Term Investments|0|40025</t>
  </si>
  <si>
    <t>Balance Sheet v1|Gross Loan Portfolio|0|40025</t>
  </si>
  <si>
    <t>Balance Sheet v1|(Loan Loss Reserves)|0|40025</t>
  </si>
  <si>
    <t>Balance Sheet v1|Other Assets|0|40025</t>
  </si>
  <si>
    <t>Balance Sheet v1|Savings Accounts|0|40025</t>
  </si>
  <si>
    <t>Balance Sheet v1|Total Borrowings at Concessional Interest Rates|0|40025</t>
  </si>
  <si>
    <t>Balance Sheet v1|Total Borrowings at Commercial Interest Rates|0|40025</t>
  </si>
  <si>
    <t>Balance Sheet v1|Senior Secured Debt|0|40025</t>
  </si>
  <si>
    <t>Balance Sheet v1|Senior Unsecured Debt|0|40025</t>
  </si>
  <si>
    <t>Balance Sheet v1|Subordinated Debt|0|40025</t>
  </si>
  <si>
    <t>Balance Sheet v1|Other Liabilities|0|40025</t>
  </si>
  <si>
    <t>Balance Sheet v1|Donated Equity and paid-in-capital|0|40025</t>
  </si>
  <si>
    <t>Balance Sheet v1|Retained Earnings, Reserves &amp; Other|0|40025</t>
  </si>
  <si>
    <t>Balance Sheet v1|Total Cash &amp; ST Investments|0|40056</t>
  </si>
  <si>
    <t>Balance Sheet v1|Restricted Cash|0|40056</t>
  </si>
  <si>
    <t>Balance Sheet v1|Unrestricted Cash|0|40056</t>
  </si>
  <si>
    <t>Balance Sheet v1|Short Term Investments|0|40056</t>
  </si>
  <si>
    <t>Balance Sheet v1|Gross Loan Portfolio|0|40056</t>
  </si>
  <si>
    <t>Balance Sheet v1|(Loan Loss Reserves)|0|40056</t>
  </si>
  <si>
    <t>Balance Sheet v1|Other Assets|0|40056</t>
  </si>
  <si>
    <t>Balance Sheet v1|Savings Accounts|0|40056</t>
  </si>
  <si>
    <t>Balance Sheet v1|Total Borrowings at Concessional Interest Rates|0|40056</t>
  </si>
  <si>
    <t>Balance Sheet v1|Total Borrowings at Commercial Interest Rates|0|40056</t>
  </si>
  <si>
    <t>Balance Sheet v1|Senior Secured Debt|0|40056</t>
  </si>
  <si>
    <t>Balance Sheet v1|Senior Unsecured Debt|0|40056</t>
  </si>
  <si>
    <t>Balance Sheet v1|Subordinated Debt|0|40056</t>
  </si>
  <si>
    <t>Balance Sheet v1|Other Liabilities|0|40056</t>
  </si>
  <si>
    <t>Balance Sheet v1|Donated Equity and paid-in-capital|0|40056</t>
  </si>
  <si>
    <t>Balance Sheet v1|Retained Earnings, Reserves &amp; Other|0|40056</t>
  </si>
  <si>
    <t>Balance Sheet v1|Total Cash &amp; ST Investments|0|40086</t>
  </si>
  <si>
    <t>Balance Sheet v1|Restricted Cash|0|40086</t>
  </si>
  <si>
    <t>Balance Sheet v1|Unrestricted Cash|0|40086</t>
  </si>
  <si>
    <t>Balance Sheet v1|Short Term Investments|0|40086</t>
  </si>
  <si>
    <t>Balance Sheet v1|Gross Loan Portfolio|0|40086</t>
  </si>
  <si>
    <t>Balance Sheet v1|(Loan Loss Reserves)|0|40086</t>
  </si>
  <si>
    <t>Balance Sheet v1|Other Assets|0|40086</t>
  </si>
  <si>
    <t>Balance Sheet v1|Savings Accounts|0|40086</t>
  </si>
  <si>
    <t>Balance Sheet v1|Total Borrowings at Concessional Interest Rates|0|40086</t>
  </si>
  <si>
    <t>Balance Sheet v1|Total Borrowings at Commercial Interest Rates|0|40086</t>
  </si>
  <si>
    <t>Balance Sheet v1|Senior Secured Debt|0|40086</t>
  </si>
  <si>
    <t>Balance Sheet v1|Senior Unsecured Debt|0|40086</t>
  </si>
  <si>
    <t>Balance Sheet v1|Subordinated Debt|0|40086</t>
  </si>
  <si>
    <t>Balance Sheet v1|Other Liabilities|0|40086</t>
  </si>
  <si>
    <t>Balance Sheet v1|Donated Equity and paid-in-capital|0|40086</t>
  </si>
  <si>
    <t>Balance Sheet v1|Retained Earnings, Reserves &amp; Other|0|40086</t>
  </si>
  <si>
    <t>Balance Sheet v1|Total Cash &amp; ST Investments|0|40117</t>
  </si>
  <si>
    <t>Balance Sheet v1|Restricted Cash|0|40117</t>
  </si>
  <si>
    <t>Balance Sheet v1|Unrestricted Cash|0|40117</t>
  </si>
  <si>
    <t>Balance Sheet v1|Short Term Investments|0|40117</t>
  </si>
  <si>
    <t>Balance Sheet v1|Gross Loan Portfolio|0|40117</t>
  </si>
  <si>
    <t>Balance Sheet v1|(Loan Loss Reserves)|0|40117</t>
  </si>
  <si>
    <t>Balance Sheet v1|Other Assets|0|40117</t>
  </si>
  <si>
    <t>Balance Sheet v1|Savings Accounts|0|40117</t>
  </si>
  <si>
    <t>Balance Sheet v1|Total Borrowings at Concessional Interest Rates|0|40117</t>
  </si>
  <si>
    <t>Balance Sheet v1|Total Borrowings at Commercial Interest Rates|0|40117</t>
  </si>
  <si>
    <t>Balance Sheet v1|Senior Secured Debt|0|40117</t>
  </si>
  <si>
    <t>Balance Sheet v1|Senior Unsecured Debt|0|40117</t>
  </si>
  <si>
    <t>Balance Sheet v1|Subordinated Debt|0|40117</t>
  </si>
  <si>
    <t>Balance Sheet v1|Other Liabilities|0|40117</t>
  </si>
  <si>
    <t>Balance Sheet v1|Donated Equity and paid-in-capital|0|40117</t>
  </si>
  <si>
    <t>Balance Sheet v1|Retained Earnings, Reserves &amp; Other|0|40117</t>
  </si>
  <si>
    <t>Balance Sheet v1|Total Cash &amp; ST Investments|0|40147</t>
  </si>
  <si>
    <t>Balance Sheet v1|Restricted Cash|0|40147</t>
  </si>
  <si>
    <t>Balance Sheet v1|Unrestricted Cash|0|40147</t>
  </si>
  <si>
    <t>Balance Sheet v1|Short Term Investments|0|40147</t>
  </si>
  <si>
    <t>Balance Sheet v1|Gross Loan Portfolio|0|40147</t>
  </si>
  <si>
    <t>Balance Sheet v1|(Loan Loss Reserves)|0|40147</t>
  </si>
  <si>
    <t>Balance Sheet v1|Other Assets|0|40147</t>
  </si>
  <si>
    <t>Balance Sheet v1|Savings Accounts|0|40147</t>
  </si>
  <si>
    <t>Balance Sheet v1|Total Borrowings at Concessional Interest Rates|0|40147</t>
  </si>
  <si>
    <t>Balance Sheet v1|Total Borrowings at Commercial Interest Rates|0|40147</t>
  </si>
  <si>
    <t>Balance Sheet v1|Senior Secured Debt|0|40147</t>
  </si>
  <si>
    <t>Balance Sheet v1|Senior Unsecured Debt|0|40147</t>
  </si>
  <si>
    <t>Balance Sheet v1|Subordinated Debt|0|40147</t>
  </si>
  <si>
    <t>Balance Sheet v1|Other Liabilities|0|40147</t>
  </si>
  <si>
    <t>Balance Sheet v1|Donated Equity and paid-in-capital|0|40147</t>
  </si>
  <si>
    <t>Balance Sheet v1|Retained Earnings, Reserves &amp; Other|0|40147</t>
  </si>
  <si>
    <t>Balance Sheet v1|Total Cash &amp; ST Investments|0|40178</t>
  </si>
  <si>
    <t>Balance Sheet v1|Restricted Cash|0|40178</t>
  </si>
  <si>
    <t>Balance Sheet v1|Unrestricted Cash|0|40178</t>
  </si>
  <si>
    <t>Balance Sheet v1|Short Term Investments|0|40178</t>
  </si>
  <si>
    <t>Balance Sheet v1|Gross Loan Portfolio|0|40178</t>
  </si>
  <si>
    <t>Balance Sheet v1|(Loan Loss Reserves)|0|40178</t>
  </si>
  <si>
    <t>Balance Sheet v1|Other Assets|0|40178</t>
  </si>
  <si>
    <t>Balance Sheet v1|Savings Accounts|0|40178</t>
  </si>
  <si>
    <t>Balance Sheet v1|Total Borrowings at Concessional Interest Rates|0|40178</t>
  </si>
  <si>
    <t>Balance Sheet v1|Total Borrowings at Commercial Interest Rates|0|40178</t>
  </si>
  <si>
    <t>Balance Sheet v1|Senior Secured Debt|0|40178</t>
  </si>
  <si>
    <t>Balance Sheet v1|Senior Unsecured Debt|0|40178</t>
  </si>
  <si>
    <t>Balance Sheet v1|Subordinated Debt|0|40178</t>
  </si>
  <si>
    <t>Balance Sheet v1|Other Liabilities|0|40178</t>
  </si>
  <si>
    <t>Balance Sheet v1|Donated Equity and paid-in-capital|0|40178</t>
  </si>
  <si>
    <t>Balance Sheet v1|Retained Earnings, Reserves &amp; Other|0|40178</t>
  </si>
  <si>
    <t>Income Statement v1|Financial Revenue|0|39478</t>
  </si>
  <si>
    <t>Income Statement v1|Financial Expenses|0|39478</t>
  </si>
  <si>
    <t>Income Statement v1|Net Monetary/Inflation Adjustments|0|39478</t>
  </si>
  <si>
    <t>Income Statement v1|Loan Loss Provision Expense|0|39478</t>
  </si>
  <si>
    <t>Income Statement v1|Other Financial Service Income (Expense)|0|39478</t>
  </si>
  <si>
    <t>Income Statement v1|Operating Expense|0|39478</t>
  </si>
  <si>
    <t>Income Statement v1|Non-Operating Revenue|0|39478</t>
  </si>
  <si>
    <t>Income Statement v1|Non-Operating Expense|0|39478</t>
  </si>
  <si>
    <t>Income Statement v1|Taxes|0|39478</t>
  </si>
  <si>
    <t>Income Statement v1|Donations|0|39478</t>
  </si>
  <si>
    <t>Income Statement v1|Dividends|0|39478</t>
  </si>
  <si>
    <t>Income Statement v1|Financial Revenue|0|39507</t>
  </si>
  <si>
    <t>Income Statement v1|Financial Expenses|0|39507</t>
  </si>
  <si>
    <t>Income Statement v1|Net Monetary/Inflation Adjustments|0|39507</t>
  </si>
  <si>
    <t>Income Statement v1|Loan Loss Provision Expense|0|39507</t>
  </si>
  <si>
    <t>Income Statement v1|Other Financial Service Income (Expense)|0|39507</t>
  </si>
  <si>
    <t>Income Statement v1|Operating Expense|0|39507</t>
  </si>
  <si>
    <t>Income Statement v1|Non-Operating Revenue|0|39507</t>
  </si>
  <si>
    <t>Income Statement v1|Non-Operating Expense|0|39507</t>
  </si>
  <si>
    <t>Income Statement v1|Taxes|0|39507</t>
  </si>
  <si>
    <t>Income Statement v1|Donations|0|39507</t>
  </si>
  <si>
    <t>Income Statement v1|Dividends|0|39507</t>
  </si>
  <si>
    <t>Income Statement v1|Financial Revenue|0|39538</t>
  </si>
  <si>
    <t>Income Statement v1|Financial Expenses|0|39538</t>
  </si>
  <si>
    <t>Income Statement v1|Net Monetary/Inflation Adjustments|0|39538</t>
  </si>
  <si>
    <t>Income Statement v1|Loan Loss Provision Expense|0|39538</t>
  </si>
  <si>
    <t>Income Statement v1|Other Financial Service Income (Expense)|0|39538</t>
  </si>
  <si>
    <t>Income Statement v1|Operating Expense|0|39538</t>
  </si>
  <si>
    <t>Income Statement v1|Non-Operating Revenue|0|39538</t>
  </si>
  <si>
    <t>Income Statement v1|Non-Operating Expense|0|39538</t>
  </si>
  <si>
    <t>Income Statement v1|Taxes|0|39538</t>
  </si>
  <si>
    <t>Income Statement v1|Donations|0|39538</t>
  </si>
  <si>
    <t>Income Statement v1|Dividends|0|39538</t>
  </si>
  <si>
    <t>Income Statement v1|Financial Revenue|0|39568</t>
  </si>
  <si>
    <t>Income Statement v1|Financial Expenses|0|39568</t>
  </si>
  <si>
    <t>Income Statement v1|Net Monetary/Inflation Adjustments|0|39568</t>
  </si>
  <si>
    <t>Income Statement v1|Loan Loss Provision Expense|0|39568</t>
  </si>
  <si>
    <t>Income Statement v1|Other Financial Service Income (Expense)|0|39568</t>
  </si>
  <si>
    <t>Income Statement v1|Operating Expense|0|39568</t>
  </si>
  <si>
    <t>Income Statement v1|Non-Operating Revenue|0|39568</t>
  </si>
  <si>
    <t>Income Statement v1|Non-Operating Expense|0|39568</t>
  </si>
  <si>
    <t>Income Statement v1|Taxes|0|39568</t>
  </si>
  <si>
    <t>Income Statement v1|Donations|0|39568</t>
  </si>
  <si>
    <t>Income Statement v1|Dividends|0|39568</t>
  </si>
  <si>
    <t>Income Statement v1|Financial Revenue|0|39599</t>
  </si>
  <si>
    <t>Income Statement v1|Financial Expenses|0|39599</t>
  </si>
  <si>
    <t>Income Statement v1|Net Monetary/Inflation Adjustments|0|39599</t>
  </si>
  <si>
    <t>Income Statement v1|Loan Loss Provision Expense|0|39599</t>
  </si>
  <si>
    <t>Income Statement v1|Other Financial Service Income (Expense)|0|39599</t>
  </si>
  <si>
    <t>Income Statement v1|Operating Expense|0|39599</t>
  </si>
  <si>
    <t>Income Statement v1|Non-Operating Revenue|0|39599</t>
  </si>
  <si>
    <t>Income Statement v1|Non-Operating Expense|0|39599</t>
  </si>
  <si>
    <t>Income Statement v1|Taxes|0|39599</t>
  </si>
  <si>
    <t>Income Statement v1|Donations|0|39599</t>
  </si>
  <si>
    <t>Income Statement v1|Dividends|0|39599</t>
  </si>
  <si>
    <t>Income Statement v1|Financial Revenue|0|39629</t>
  </si>
  <si>
    <t>Income Statement v1|Financial Expenses|0|39629</t>
  </si>
  <si>
    <t>Income Statement v1|Net Monetary/Inflation Adjustments|0|39629</t>
  </si>
  <si>
    <t>Income Statement v1|Loan Loss Provision Expense|0|39629</t>
  </si>
  <si>
    <t>Income Statement v1|Other Financial Service Income (Expense)|0|39629</t>
  </si>
  <si>
    <t>Income Statement v1|Operating Expense|0|39629</t>
  </si>
  <si>
    <t>Income Statement v1|Non-Operating Revenue|0|39629</t>
  </si>
  <si>
    <t>Income Statement v1|Non-Operating Expense|0|39629</t>
  </si>
  <si>
    <t>Income Statement v1|Taxes|0|39629</t>
  </si>
  <si>
    <t>Income Statement v1|Donations|0|39629</t>
  </si>
  <si>
    <t>Income Statement v1|Dividends|0|39629</t>
  </si>
  <si>
    <t>Income Statement v1|Financial Revenue|0|39660</t>
  </si>
  <si>
    <t>Income Statement v1|Financial Expenses|0|39660</t>
  </si>
  <si>
    <t>Income Statement v1|Net Monetary/Inflation Adjustments|0|39660</t>
  </si>
  <si>
    <t>Income Statement v1|Loan Loss Provision Expense|0|39660</t>
  </si>
  <si>
    <t>Income Statement v1|Other Financial Service Income (Expense)|0|39660</t>
  </si>
  <si>
    <t>Income Statement v1|Operating Expense|0|39660</t>
  </si>
  <si>
    <t>Income Statement v1|Non-Operating Revenue|0|39660</t>
  </si>
  <si>
    <t>Income Statement v1|Non-Operating Expense|0|39660</t>
  </si>
  <si>
    <t>Income Statement v1|Taxes|0|39660</t>
  </si>
  <si>
    <t>Income Statement v1|Donations|0|39660</t>
  </si>
  <si>
    <t>Income Statement v1|Dividends|0|39660</t>
  </si>
  <si>
    <t>Income Statement v1|Financial Revenue|0|39691</t>
  </si>
  <si>
    <t>Income Statement v1|Financial Expenses|0|39691</t>
  </si>
  <si>
    <t>Income Statement v1|Net Monetary/Inflation Adjustments|0|39691</t>
  </si>
  <si>
    <t>Income Statement v1|Loan Loss Provision Expense|0|39691</t>
  </si>
  <si>
    <t>Income Statement v1|Other Financial Service Income (Expense)|0|39691</t>
  </si>
  <si>
    <t>Income Statement v1|Operating Expense|0|39691</t>
  </si>
  <si>
    <t>Income Statement v1|Non-Operating Revenue|0|39691</t>
  </si>
  <si>
    <t>Income Statement v1|Non-Operating Expense|0|39691</t>
  </si>
  <si>
    <t>Income Statement v1|Taxes|0|39691</t>
  </si>
  <si>
    <t>Income Statement v1|Donations|0|39691</t>
  </si>
  <si>
    <t>Income Statement v1|Dividends|0|39691</t>
  </si>
  <si>
    <t>Income Statement v1|Financial Revenue|0|39721</t>
  </si>
  <si>
    <t>Income Statement v1|Financial Expenses|0|39721</t>
  </si>
  <si>
    <t>Income Statement v1|Net Monetary/Inflation Adjustments|0|39721</t>
  </si>
  <si>
    <t>Income Statement v1|Loan Loss Provision Expense|0|39721</t>
  </si>
  <si>
    <t>Income Statement v1|Other Financial Service Income (Expense)|0|39721</t>
  </si>
  <si>
    <t>Income Statement v1|Operating Expense|0|39721</t>
  </si>
  <si>
    <t>Income Statement v1|Non-Operating Revenue|0|39721</t>
  </si>
  <si>
    <t>Income Statement v1|Non-Operating Expense|0|39721</t>
  </si>
  <si>
    <t>Income Statement v1|Taxes|0|39721</t>
  </si>
  <si>
    <t>Income Statement v1|Donations|0|39721</t>
  </si>
  <si>
    <t>Income Statement v1|Dividends|0|39721</t>
  </si>
  <si>
    <t>Income Statement v1|Financial Revenue|0|39752</t>
  </si>
  <si>
    <t>Income Statement v1|Financial Expenses|0|39752</t>
  </si>
  <si>
    <t>Income Statement v1|Net Monetary/Inflation Adjustments|0|39752</t>
  </si>
  <si>
    <t>Income Statement v1|Loan Loss Provision Expense|0|39752</t>
  </si>
  <si>
    <t>Income Statement v1|Other Financial Service Income (Expense)|0|39752</t>
  </si>
  <si>
    <t>Income Statement v1|Operating Expense|0|39752</t>
  </si>
  <si>
    <t>Income Statement v1|Non-Operating Revenue|0|39752</t>
  </si>
  <si>
    <t>Income Statement v1|Non-Operating Expense|0|39752</t>
  </si>
  <si>
    <t>Income Statement v1|Taxes|0|39752</t>
  </si>
  <si>
    <t>Income Statement v1|Donations|0|39752</t>
  </si>
  <si>
    <t>Income Statement v1|Dividends|0|39752</t>
  </si>
  <si>
    <t>Income Statement v1|Financial Revenue|0|39782</t>
  </si>
  <si>
    <t>Income Statement v1|Financial Expenses|0|39782</t>
  </si>
  <si>
    <t>Income Statement v1|Net Monetary/Inflation Adjustments|0|39782</t>
  </si>
  <si>
    <t>Income Statement v1|Loan Loss Provision Expense|0|39782</t>
  </si>
  <si>
    <t>Income Statement v1|Other Financial Service Income (Expense)|0|39782</t>
  </si>
  <si>
    <t>Income Statement v1|Operating Expense|0|39782</t>
  </si>
  <si>
    <t>Income Statement v1|Non-Operating Revenue|0|39782</t>
  </si>
  <si>
    <t>Income Statement v1|Non-Operating Expense|0|39782</t>
  </si>
  <si>
    <t>Income Statement v1|Taxes|0|39782</t>
  </si>
  <si>
    <t>Income Statement v1|Donations|0|39782</t>
  </si>
  <si>
    <t>Income Statement v1|Dividends|0|39782</t>
  </si>
  <si>
    <t>Income Statement v1|Financial Revenue|0|39813</t>
  </si>
  <si>
    <t>Income Statement v1|Financial Expenses|0|39813</t>
  </si>
  <si>
    <t>Income Statement v1|Net Monetary/Inflation Adjustments|0|39813</t>
  </si>
  <si>
    <t>Income Statement v1|Loan Loss Provision Expense|0|39813</t>
  </si>
  <si>
    <t>Income Statement v1|Other Financial Service Income (Expense)|0|39813</t>
  </si>
  <si>
    <t>Income Statement v1|Operating Expense|0|39813</t>
  </si>
  <si>
    <t>Income Statement v1|Non-Operating Revenue|0|39813</t>
  </si>
  <si>
    <t>Income Statement v1|Non-Operating Expense|0|39813</t>
  </si>
  <si>
    <t>Income Statement v1|Taxes|0|39813</t>
  </si>
  <si>
    <t>Income Statement v1|Donations|0|39813</t>
  </si>
  <si>
    <t>Income Statement v1|Dividends|0|39813</t>
  </si>
  <si>
    <t>Income Statement v1|Financial Revenue|0|39844</t>
  </si>
  <si>
    <t>Income Statement v1|Financial Expenses|0|39844</t>
  </si>
  <si>
    <t>Income Statement v1|Net Monetary/Inflation Adjustments|0|39844</t>
  </si>
  <si>
    <t>Income Statement v1|Loan Loss Provision Expense|0|39844</t>
  </si>
  <si>
    <t>Income Statement v1|Other Financial Service Income (Expense)|0|39844</t>
  </si>
  <si>
    <t>Income Statement v1|Operating Expense|0|39844</t>
  </si>
  <si>
    <t>Income Statement v1|Non-Operating Revenue|0|39844</t>
  </si>
  <si>
    <t>Income Statement v1|Non-Operating Expense|0|39844</t>
  </si>
  <si>
    <t>Income Statement v1|Taxes|0|39844</t>
  </si>
  <si>
    <t>Income Statement v1|Donations|0|39844</t>
  </si>
  <si>
    <t>Income Statement v1|Dividends|0|39844</t>
  </si>
  <si>
    <t>Income Statement v1|Financial Revenue|0|39872</t>
  </si>
  <si>
    <t>Income Statement v1|Financial Expenses|0|39872</t>
  </si>
  <si>
    <t>Income Statement v1|Net Monetary/Inflation Adjustments|0|39872</t>
  </si>
  <si>
    <t>Income Statement v1|Loan Loss Provision Expense|0|39872</t>
  </si>
  <si>
    <t>Income Statement v1|Other Financial Service Income (Expense)|0|39872</t>
  </si>
  <si>
    <t>Income Statement v1|Operating Expense|0|39872</t>
  </si>
  <si>
    <t>Income Statement v1|Non-Operating Revenue|0|39872</t>
  </si>
  <si>
    <t>Income Statement v1|Non-Operating Expense|0|39872</t>
  </si>
  <si>
    <t>Income Statement v1|Taxes|0|39872</t>
  </si>
  <si>
    <t>Income Statement v1|Donations|0|39872</t>
  </si>
  <si>
    <t>Income Statement v1|Dividends|0|39872</t>
  </si>
  <si>
    <t>Income Statement v1|Financial Revenue|0|39903</t>
  </si>
  <si>
    <t>Income Statement v1|Financial Expenses|0|39903</t>
  </si>
  <si>
    <t>Income Statement v1|Net Monetary/Inflation Adjustments|0|39903</t>
  </si>
  <si>
    <t>Income Statement v1|Loan Loss Provision Expense|0|39903</t>
  </si>
  <si>
    <t>Income Statement v1|Other Financial Service Income (Expense)|0|39903</t>
  </si>
  <si>
    <t>Income Statement v1|Operating Expense|0|39903</t>
  </si>
  <si>
    <t>Income Statement v1|Non-Operating Revenue|0|39903</t>
  </si>
  <si>
    <t>Income Statement v1|Non-Operating Expense|0|39903</t>
  </si>
  <si>
    <t>Income Statement v1|Taxes|0|39903</t>
  </si>
  <si>
    <t>Income Statement v1|Donations|0|39903</t>
  </si>
  <si>
    <t>Income Statement v1|Dividends|0|39903</t>
  </si>
  <si>
    <t>Income Statement v1|Financial Revenue|0|39933</t>
  </si>
  <si>
    <t>Income Statement v1|Financial Expenses|0|39933</t>
  </si>
  <si>
    <t>Income Statement v1|Net Monetary/Inflation Adjustments|0|39933</t>
  </si>
  <si>
    <t>Income Statement v1|Loan Loss Provision Expense|0|39933</t>
  </si>
  <si>
    <t>Income Statement v1|Other Financial Service Income (Expense)|0|39933</t>
  </si>
  <si>
    <t>Income Statement v1|Operating Expense|0|39933</t>
  </si>
  <si>
    <t>Income Statement v1|Non-Operating Revenue|0|39933</t>
  </si>
  <si>
    <t>Income Statement v1|Non-Operating Expense|0|39933</t>
  </si>
  <si>
    <t>Income Statement v1|Taxes|0|39933</t>
  </si>
  <si>
    <t>Income Statement v1|Donations|0|39933</t>
  </si>
  <si>
    <t>Income Statement v1|Dividends|0|39933</t>
  </si>
  <si>
    <t>Income Statement v1|Financial Revenue|0|39964</t>
  </si>
  <si>
    <t>Income Statement v1|Financial Expenses|0|39964</t>
  </si>
  <si>
    <t>Income Statement v1|Net Monetary/Inflation Adjustments|0|39964</t>
  </si>
  <si>
    <t>Income Statement v1|Loan Loss Provision Expense|0|39964</t>
  </si>
  <si>
    <t>Income Statement v1|Other Financial Service Income (Expense)|0|39964</t>
  </si>
  <si>
    <t>Income Statement v1|Operating Expense|0|39964</t>
  </si>
  <si>
    <t>Income Statement v1|Non-Operating Revenue|0|39964</t>
  </si>
  <si>
    <t>Income Statement v1|Non-Operating Expense|0|39964</t>
  </si>
  <si>
    <t>Income Statement v1|Taxes|0|39964</t>
  </si>
  <si>
    <t>Income Statement v1|Donations|0|39964</t>
  </si>
  <si>
    <t>Income Statement v1|Dividends|0|39964</t>
  </si>
  <si>
    <t>Income Statement v1|Financial Revenue|0|39994</t>
  </si>
  <si>
    <t>Income Statement v1|Financial Expenses|0|39994</t>
  </si>
  <si>
    <t>Income Statement v1|Net Monetary/Inflation Adjustments|0|39994</t>
  </si>
  <si>
    <t>Income Statement v1|Loan Loss Provision Expense|0|39994</t>
  </si>
  <si>
    <t>Income Statement v1|Other Financial Service Income (Expense)|0|39994</t>
  </si>
  <si>
    <t>Income Statement v1|Operating Expense|0|39994</t>
  </si>
  <si>
    <t>Income Statement v1|Non-Operating Revenue|0|39994</t>
  </si>
  <si>
    <t>Income Statement v1|Non-Operating Expense|0|39994</t>
  </si>
  <si>
    <t>Income Statement v1|Taxes|0|39994</t>
  </si>
  <si>
    <t>Income Statement v1|Donations|0|39994</t>
  </si>
  <si>
    <t>Income Statement v1|Dividends|0|39994</t>
  </si>
  <si>
    <t>Income Statement v1|Financial Revenue|0|40025</t>
  </si>
  <si>
    <t>Income Statement v1|Financial Expenses|0|40025</t>
  </si>
  <si>
    <t>Income Statement v1|Net Monetary/Inflation Adjustments|0|40025</t>
  </si>
  <si>
    <t>Income Statement v1|Loan Loss Provision Expense|0|40025</t>
  </si>
  <si>
    <t>Income Statement v1|Other Financial Service Income (Expense)|0|40025</t>
  </si>
  <si>
    <t>Income Statement v1|Operating Expense|0|40025</t>
  </si>
  <si>
    <t>Income Statement v1|Non-Operating Revenue|0|40025</t>
  </si>
  <si>
    <t>Income Statement v1|Non-Operating Expense|0|40025</t>
  </si>
  <si>
    <t>Income Statement v1|Taxes|0|40025</t>
  </si>
  <si>
    <t>Income Statement v1|Donations|0|40025</t>
  </si>
  <si>
    <t>Income Statement v1|Dividends|0|40025</t>
  </si>
  <si>
    <t>Income Statement v1|Financial Revenue|0|40056</t>
  </si>
  <si>
    <t>Income Statement v1|Financial Expenses|0|40056</t>
  </si>
  <si>
    <t>Income Statement v1|Net Monetary/Inflation Adjustments|0|40056</t>
  </si>
  <si>
    <t>Income Statement v1|Loan Loss Provision Expense|0|40056</t>
  </si>
  <si>
    <t>Income Statement v1|Other Financial Service Income (Expense)|0|40056</t>
  </si>
  <si>
    <t>Income Statement v1|Operating Expense|0|40056</t>
  </si>
  <si>
    <t>Income Statement v1|Non-Operating Revenue|0|40056</t>
  </si>
  <si>
    <t>Income Statement v1|Non-Operating Expense|0|40056</t>
  </si>
  <si>
    <t>Income Statement v1|Taxes|0|40056</t>
  </si>
  <si>
    <t>Income Statement v1|Donations|0|40056</t>
  </si>
  <si>
    <t>Income Statement v1|Dividends|0|40056</t>
  </si>
  <si>
    <t>Income Statement v1|Financial Revenue|0|40086</t>
  </si>
  <si>
    <t>Income Statement v1|Financial Expenses|0|40086</t>
  </si>
  <si>
    <t>Income Statement v1|Net Monetary/Inflation Adjustments|0|40086</t>
  </si>
  <si>
    <t>Income Statement v1|Loan Loss Provision Expense|0|40086</t>
  </si>
  <si>
    <t>Income Statement v1|Other Financial Service Income (Expense)|0|40086</t>
  </si>
  <si>
    <t>Income Statement v1|Operating Expense|0|40086</t>
  </si>
  <si>
    <t>Income Statement v1|Non-Operating Revenue|0|40086</t>
  </si>
  <si>
    <t>Income Statement v1|Non-Operating Expense|0|40086</t>
  </si>
  <si>
    <t>Income Statement v1|Taxes|0|40086</t>
  </si>
  <si>
    <t>Income Statement v1|Donations|0|40086</t>
  </si>
  <si>
    <t>Income Statement v1|Dividends|0|40086</t>
  </si>
  <si>
    <t>Income Statement v1|Financial Revenue|0|40117</t>
  </si>
  <si>
    <t>Income Statement v1|Financial Expenses|0|40117</t>
  </si>
  <si>
    <t>Income Statement v1|Net Monetary/Inflation Adjustments|0|40117</t>
  </si>
  <si>
    <t>Income Statement v1|Loan Loss Provision Expense|0|40117</t>
  </si>
  <si>
    <t>Income Statement v1|Other Financial Service Income (Expense)|0|40117</t>
  </si>
  <si>
    <t>Income Statement v1|Operating Expense|0|40117</t>
  </si>
  <si>
    <t>Income Statement v1|Non-Operating Revenue|0|40117</t>
  </si>
  <si>
    <t>Income Statement v1|Non-Operating Expense|0|40117</t>
  </si>
  <si>
    <t>Income Statement v1|Taxes|0|40117</t>
  </si>
  <si>
    <t>Income Statement v1|Donations|0|40117</t>
  </si>
  <si>
    <t>Income Statement v1|Dividends|0|40117</t>
  </si>
  <si>
    <t>Income Statement v1|Financial Revenue|0|40147</t>
  </si>
  <si>
    <t>Income Statement v1|Financial Expenses|0|40147</t>
  </si>
  <si>
    <t>Income Statement v1|Net Monetary/Inflation Adjustments|0|40147</t>
  </si>
  <si>
    <t>Income Statement v1|Loan Loss Provision Expense|0|40147</t>
  </si>
  <si>
    <t>Income Statement v1|Other Financial Service Income (Expense)|0|40147</t>
  </si>
  <si>
    <t>Income Statement v1|Operating Expense|0|40147</t>
  </si>
  <si>
    <t>Income Statement v1|Non-Operating Revenue|0|40147</t>
  </si>
  <si>
    <t>Income Statement v1|Non-Operating Expense|0|40147</t>
  </si>
  <si>
    <t>Income Statement v1|Taxes|0|40147</t>
  </si>
  <si>
    <t>Income Statement v1|Donations|0|40147</t>
  </si>
  <si>
    <t>Income Statement v1|Dividends|0|40147</t>
  </si>
  <si>
    <t>Income Statement v1|Financial Revenue|0|40178</t>
  </si>
  <si>
    <t>Income Statement v1|Financial Expenses|0|40178</t>
  </si>
  <si>
    <t>Income Statement v1|Net Monetary/Inflation Adjustments|0|40178</t>
  </si>
  <si>
    <t>Income Statement v1|Loan Loss Provision Expense|0|40178</t>
  </si>
  <si>
    <t>Income Statement v1|Other Financial Service Income (Expense)|0|40178</t>
  </si>
  <si>
    <t>Income Statement v1|Operating Expense|0|40178</t>
  </si>
  <si>
    <t>Income Statement v1|Non-Operating Revenue|0|40178</t>
  </si>
  <si>
    <t>Income Statement v1|Non-Operating Expense|0|40178</t>
  </si>
  <si>
    <t>Income Statement v1|Taxes|0|40178</t>
  </si>
  <si>
    <t>Income Statement v1|Donations|0|40178</t>
  </si>
  <si>
    <t>Income Statement v1|Dividends|0|40178</t>
  </si>
  <si>
    <t>Portfolio Quality v1|Current Portfolio|0|39478</t>
  </si>
  <si>
    <t>Portfolio Quality v1|PAR (1-30 days)|0|39478</t>
  </si>
  <si>
    <t>Portfolio Quality v1|PAR (&gt;30 days)|0|39478</t>
  </si>
  <si>
    <t>Portfolio Quality v1|PAR (31-60 days)|0|39478</t>
  </si>
  <si>
    <t>Portfolio Quality v1|PAR (61-90 days)|0|39478</t>
  </si>
  <si>
    <t>Portfolio Quality v1|PAR (91-180 days)|0|39478</t>
  </si>
  <si>
    <t>Portfolio Quality v1|PAR (&gt;180 days)|0|39478</t>
  </si>
  <si>
    <t>Portfolio Quality v1|Restructured and/or Refinanced|0|39478</t>
  </si>
  <si>
    <t>Portfolio Quality v1|Write-Offs|0|39478</t>
  </si>
  <si>
    <t>Portfolio Quality v1|Recovered loans|0|39478</t>
  </si>
  <si>
    <t>Portfolio Quality v1|Current Portfolio|0|39507</t>
  </si>
  <si>
    <t>Portfolio Quality v1|PAR (1-30 days)|0|39507</t>
  </si>
  <si>
    <t>Portfolio Quality v1|PAR (&gt;30 days)|0|39507</t>
  </si>
  <si>
    <t>Portfolio Quality v1|PAR (31-60 days)|0|39507</t>
  </si>
  <si>
    <t>Portfolio Quality v1|PAR (61-90 days)|0|39507</t>
  </si>
  <si>
    <t>Portfolio Quality v1|PAR (91-180 days)|0|39507</t>
  </si>
  <si>
    <t>Portfolio Quality v1|PAR (&gt;180 days)|0|39507</t>
  </si>
  <si>
    <t>Portfolio Quality v1|Restructured and/or Refinanced|0|39507</t>
  </si>
  <si>
    <t>Portfolio Quality v1|Write-Offs|0|39507</t>
  </si>
  <si>
    <t>Portfolio Quality v1|Recovered loans|0|39507</t>
  </si>
  <si>
    <t>Portfolio Quality v1|Current Portfolio|0|39538</t>
  </si>
  <si>
    <t>Portfolio Quality v1|PAR (1-30 days)|0|39538</t>
  </si>
  <si>
    <t>Portfolio Quality v1|PAR (&gt;30 days)|0|39538</t>
  </si>
  <si>
    <t>Portfolio Quality v1|PAR (31-60 days)|0|39538</t>
  </si>
  <si>
    <t>Portfolio Quality v1|PAR (61-90 days)|0|39538</t>
  </si>
  <si>
    <t>Portfolio Quality v1|PAR (91-180 days)|0|39538</t>
  </si>
  <si>
    <t>Portfolio Quality v1|PAR (&gt;180 days)|0|39538</t>
  </si>
  <si>
    <t>Portfolio Quality v1|Restructured and/or Refinanced|0|39538</t>
  </si>
  <si>
    <t>Portfolio Quality v1|Write-Offs|0|39538</t>
  </si>
  <si>
    <t>Portfolio Quality v1|Recovered loans|0|39538</t>
  </si>
  <si>
    <t>Portfolio Quality v1|Current Portfolio|0|39568</t>
  </si>
  <si>
    <t>Portfolio Quality v1|PAR (1-30 days)|0|39568</t>
  </si>
  <si>
    <t>Portfolio Quality v1|PAR (&gt;30 days)|0|39568</t>
  </si>
  <si>
    <t>Portfolio Quality v1|PAR (31-60 days)|0|39568</t>
  </si>
  <si>
    <t>Portfolio Quality v1|PAR (61-90 days)|0|39568</t>
  </si>
  <si>
    <t>Portfolio Quality v1|PAR (91-180 days)|0|39568</t>
  </si>
  <si>
    <t>Portfolio Quality v1|PAR (&gt;180 days)|0|39568</t>
  </si>
  <si>
    <t>Portfolio Quality v1|Restructured and/or Refinanced|0|39568</t>
  </si>
  <si>
    <t>Portfolio Quality v1|Write-Offs|0|39568</t>
  </si>
  <si>
    <t>Portfolio Quality v1|Recovered loans|0|39568</t>
  </si>
  <si>
    <t>Portfolio Quality v1|Current Portfolio|0|39599</t>
  </si>
  <si>
    <t>Portfolio Quality v1|PAR (1-30 days)|0|39599</t>
  </si>
  <si>
    <t>Portfolio Quality v1|PAR (&gt;30 days)|0|39599</t>
  </si>
  <si>
    <t>Portfolio Quality v1|PAR (31-60 days)|0|39599</t>
  </si>
  <si>
    <t>Portfolio Quality v1|PAR (61-90 days)|0|39599</t>
  </si>
  <si>
    <t>Portfolio Quality v1|PAR (91-180 days)|0|39599</t>
  </si>
  <si>
    <t>Portfolio Quality v1|PAR (&gt;180 days)|0|39599</t>
  </si>
  <si>
    <t>Portfolio Quality v1|Restructured and/or Refinanced|0|39599</t>
  </si>
  <si>
    <t>Portfolio Quality v1|Write-Offs|0|39599</t>
  </si>
  <si>
    <t>Portfolio Quality v1|Recovered loans|0|39599</t>
  </si>
  <si>
    <t>Portfolio Quality v1|Current Portfolio|0|39629</t>
  </si>
  <si>
    <t>Portfolio Quality v1|PAR (1-30 days)|0|39629</t>
  </si>
  <si>
    <t>Portfolio Quality v1|PAR (&gt;30 days)|0|39629</t>
  </si>
  <si>
    <t>Portfolio Quality v1|PAR (31-60 days)|0|39629</t>
  </si>
  <si>
    <t>Portfolio Quality v1|PAR (61-90 days)|0|39629</t>
  </si>
  <si>
    <t>Portfolio Quality v1|PAR (91-180 days)|0|39629</t>
  </si>
  <si>
    <t>Portfolio Quality v1|PAR (&gt;180 days)|0|39629</t>
  </si>
  <si>
    <t>Portfolio Quality v1|Restructured and/or Refinanced|0|39629</t>
  </si>
  <si>
    <t>Portfolio Quality v1|Write-Offs|0|39629</t>
  </si>
  <si>
    <t>Portfolio Quality v1|Recovered loans|0|39629</t>
  </si>
  <si>
    <t>Portfolio Quality v1|Current Portfolio|0|39660</t>
  </si>
  <si>
    <t>Portfolio Quality v1|PAR (1-30 days)|0|39660</t>
  </si>
  <si>
    <t>Portfolio Quality v1|PAR (&gt;30 days)|0|39660</t>
  </si>
  <si>
    <t>Portfolio Quality v1|PAR (31-60 days)|0|39660</t>
  </si>
  <si>
    <t>Portfolio Quality v1|PAR (61-90 days)|0|39660</t>
  </si>
  <si>
    <t>Portfolio Quality v1|PAR (91-180 days)|0|39660</t>
  </si>
  <si>
    <t>Portfolio Quality v1|PAR (&gt;180 days)|0|39660</t>
  </si>
  <si>
    <t>Portfolio Quality v1|Restructured and/or Refinanced|0|39660</t>
  </si>
  <si>
    <t>Portfolio Quality v1|Write-Offs|0|39660</t>
  </si>
  <si>
    <t>Portfolio Quality v1|Recovered loans|0|39660</t>
  </si>
  <si>
    <t>Portfolio Quality v1|Current Portfolio|0|39691</t>
  </si>
  <si>
    <t>Portfolio Quality v1|PAR (1-30 days)|0|39691</t>
  </si>
  <si>
    <t>Portfolio Quality v1|PAR (&gt;30 days)|0|39691</t>
  </si>
  <si>
    <t>Portfolio Quality v1|PAR (31-60 days)|0|39691</t>
  </si>
  <si>
    <t>Portfolio Quality v1|PAR (61-90 days)|0|39691</t>
  </si>
  <si>
    <t>Portfolio Quality v1|PAR (91-180 days)|0|39691</t>
  </si>
  <si>
    <t>Portfolio Quality v1|PAR (&gt;180 days)|0|39691</t>
  </si>
  <si>
    <t>Portfolio Quality v1|Restructured and/or Refinanced|0|39691</t>
  </si>
  <si>
    <t>Portfolio Quality v1|Write-Offs|0|39691</t>
  </si>
  <si>
    <t>Portfolio Quality v1|Recovered loans|0|39691</t>
  </si>
  <si>
    <t>Portfolio Quality v1|Current Portfolio|0|39721</t>
  </si>
  <si>
    <t>Portfolio Quality v1|PAR (1-30 days)|0|39721</t>
  </si>
  <si>
    <t>Portfolio Quality v1|PAR (&gt;30 days)|0|39721</t>
  </si>
  <si>
    <t>Portfolio Quality v1|PAR (31-60 days)|0|39721</t>
  </si>
  <si>
    <t>Portfolio Quality v1|PAR (61-90 days)|0|39721</t>
  </si>
  <si>
    <t>Portfolio Quality v1|PAR (91-180 days)|0|39721</t>
  </si>
  <si>
    <t>Portfolio Quality v1|PAR (&gt;180 days)|0|39721</t>
  </si>
  <si>
    <t>Portfolio Quality v1|Restructured and/or Refinanced|0|39721</t>
  </si>
  <si>
    <t>Portfolio Quality v1|Write-Offs|0|39721</t>
  </si>
  <si>
    <t>Portfolio Quality v1|Recovered loans|0|39721</t>
  </si>
  <si>
    <t>Portfolio Quality v1|Current Portfolio|0|39752</t>
  </si>
  <si>
    <t>Portfolio Quality v1|PAR (1-30 days)|0|39752</t>
  </si>
  <si>
    <t>Portfolio Quality v1|PAR (&gt;30 days)|0|39752</t>
  </si>
  <si>
    <t>Portfolio Quality v1|PAR (31-60 days)|0|39752</t>
  </si>
  <si>
    <t>Portfolio Quality v1|PAR (61-90 days)|0|39752</t>
  </si>
  <si>
    <t>Portfolio Quality v1|PAR (91-180 days)|0|39752</t>
  </si>
  <si>
    <t>Portfolio Quality v1|PAR (&gt;180 days)|0|39752</t>
  </si>
  <si>
    <t>Portfolio Quality v1|Restructured and/or Refinanced|0|39752</t>
  </si>
  <si>
    <t>Portfolio Quality v1|Write-Offs|0|39752</t>
  </si>
  <si>
    <t>Portfolio Quality v1|Recovered loans|0|39752</t>
  </si>
  <si>
    <t>Portfolio Quality v1|Current Portfolio|0|39782</t>
  </si>
  <si>
    <t>Portfolio Quality v1|PAR (1-30 days)|0|39782</t>
  </si>
  <si>
    <t>Portfolio Quality v1|PAR (&gt;30 days)|0|39782</t>
  </si>
  <si>
    <t>Portfolio Quality v1|PAR (31-60 days)|0|39782</t>
  </si>
  <si>
    <t>Portfolio Quality v1|PAR (61-90 days)|0|39782</t>
  </si>
  <si>
    <t>Portfolio Quality v1|PAR (91-180 days)|0|39782</t>
  </si>
  <si>
    <t>Portfolio Quality v1|PAR (&gt;180 days)|0|39782</t>
  </si>
  <si>
    <t>Portfolio Quality v1|Restructured and/or Refinanced|0|39782</t>
  </si>
  <si>
    <t>Portfolio Quality v1|Write-Offs|0|39782</t>
  </si>
  <si>
    <t>Portfolio Quality v1|Recovered loans|0|39782</t>
  </si>
  <si>
    <t>Portfolio Quality v1|Current Portfolio|0|39813</t>
  </si>
  <si>
    <t>Portfolio Quality v1|PAR (1-30 days)|0|39813</t>
  </si>
  <si>
    <t>Portfolio Quality v1|PAR (&gt;30 days)|0|39813</t>
  </si>
  <si>
    <t>Portfolio Quality v1|PAR (31-60 days)|0|39813</t>
  </si>
  <si>
    <t>Portfolio Quality v1|PAR (61-90 days)|0|39813</t>
  </si>
  <si>
    <t>Portfolio Quality v1|PAR (91-180 days)|0|39813</t>
  </si>
  <si>
    <t>Portfolio Quality v1|PAR (&gt;180 days)|0|39813</t>
  </si>
  <si>
    <t>Portfolio Quality v1|Restructured and/or Refinanced|0|39813</t>
  </si>
  <si>
    <t>Portfolio Quality v1|Write-Offs|0|39813</t>
  </si>
  <si>
    <t>Portfolio Quality v1|Recovered loans|0|39813</t>
  </si>
  <si>
    <t>Portfolio Quality v1|Current Portfolio|0|39844</t>
  </si>
  <si>
    <t>Portfolio Quality v1|PAR (1-30 days)|0|39844</t>
  </si>
  <si>
    <t>Portfolio Quality v1|PAR (&gt;30 days)|0|39844</t>
  </si>
  <si>
    <t>Portfolio Quality v1|PAR (31-60 days)|0|39844</t>
  </si>
  <si>
    <t>Portfolio Quality v1|PAR (61-90 days)|0|39844</t>
  </si>
  <si>
    <t>Portfolio Quality v1|PAR (91-180 days)|0|39844</t>
  </si>
  <si>
    <t>Portfolio Quality v1|PAR (&gt;180 days)|0|39844</t>
  </si>
  <si>
    <t>Portfolio Quality v1|Restructured and/or Refinanced|0|39844</t>
  </si>
  <si>
    <t>Portfolio Quality v1|Write-Offs|0|39844</t>
  </si>
  <si>
    <t>Portfolio Quality v1|Recovered loans|0|39844</t>
  </si>
  <si>
    <t>Portfolio Quality v1|Current Portfolio|0|39872</t>
  </si>
  <si>
    <t>Portfolio Quality v1|PAR (1-30 days)|0|39872</t>
  </si>
  <si>
    <t>Portfolio Quality v1|PAR (&gt;30 days)|0|39872</t>
  </si>
  <si>
    <t>Portfolio Quality v1|PAR (31-60 days)|0|39872</t>
  </si>
  <si>
    <t>Portfolio Quality v1|PAR (61-90 days)|0|39872</t>
  </si>
  <si>
    <t>Portfolio Quality v1|PAR (91-180 days)|0|39872</t>
  </si>
  <si>
    <t>Portfolio Quality v1|PAR (&gt;180 days)|0|39872</t>
  </si>
  <si>
    <t>Portfolio Quality v1|Restructured and/or Refinanced|0|39872</t>
  </si>
  <si>
    <t>Portfolio Quality v1|Write-Offs|0|39872</t>
  </si>
  <si>
    <t>Portfolio Quality v1|Recovered loans|0|39872</t>
  </si>
  <si>
    <t>Portfolio Quality v1|Current Portfolio|0|39903</t>
  </si>
  <si>
    <t>Portfolio Quality v1|PAR (1-30 days)|0|39903</t>
  </si>
  <si>
    <t>Portfolio Quality v1|PAR (&gt;30 days)|0|39903</t>
  </si>
  <si>
    <t>Portfolio Quality v1|PAR (31-60 days)|0|39903</t>
  </si>
  <si>
    <t>Portfolio Quality v1|PAR (61-90 days)|0|39903</t>
  </si>
  <si>
    <t>Portfolio Quality v1|PAR (91-180 days)|0|39903</t>
  </si>
  <si>
    <t>Portfolio Quality v1|PAR (&gt;180 days)|0|39903</t>
  </si>
  <si>
    <t>Portfolio Quality v1|Restructured and/or Refinanced|0|39903</t>
  </si>
  <si>
    <t>Portfolio Quality v1|Write-Offs|0|39903</t>
  </si>
  <si>
    <t>Portfolio Quality v1|Recovered loans|0|39903</t>
  </si>
  <si>
    <t>Portfolio Quality v1|Current Portfolio|0|39933</t>
  </si>
  <si>
    <t>Portfolio Quality v1|PAR (1-30 days)|0|39933</t>
  </si>
  <si>
    <t>Portfolio Quality v1|PAR (&gt;30 days)|0|39933</t>
  </si>
  <si>
    <t>Portfolio Quality v1|PAR (31-60 days)|0|39933</t>
  </si>
  <si>
    <t>Portfolio Quality v1|PAR (61-90 days)|0|39933</t>
  </si>
  <si>
    <t>Portfolio Quality v1|PAR (91-180 days)|0|39933</t>
  </si>
  <si>
    <t>Portfolio Quality v1|PAR (&gt;180 days)|0|39933</t>
  </si>
  <si>
    <t>Portfolio Quality v1|Restructured and/or Refinanced|0|39933</t>
  </si>
  <si>
    <t>Portfolio Quality v1|Write-Offs|0|39933</t>
  </si>
  <si>
    <t>Portfolio Quality v1|Recovered loans|0|39933</t>
  </si>
  <si>
    <t>Portfolio Quality v1|Current Portfolio|0|39964</t>
  </si>
  <si>
    <t>Portfolio Quality v1|PAR (1-30 days)|0|39964</t>
  </si>
  <si>
    <t>Portfolio Quality v1|PAR (&gt;30 days)|0|39964</t>
  </si>
  <si>
    <t>Portfolio Quality v1|PAR (31-60 days)|0|39964</t>
  </si>
  <si>
    <t>Portfolio Quality v1|PAR (61-90 days)|0|39964</t>
  </si>
  <si>
    <t>Portfolio Quality v1|PAR (91-180 days)|0|39964</t>
  </si>
  <si>
    <t>Portfolio Quality v1|PAR (&gt;180 days)|0|39964</t>
  </si>
  <si>
    <t>Portfolio Quality v1|Restructured and/or Refinanced|0|39964</t>
  </si>
  <si>
    <t>Portfolio Quality v1|Write-Offs|0|39964</t>
  </si>
  <si>
    <t>Portfolio Quality v1|Recovered loans|0|39964</t>
  </si>
  <si>
    <t>Portfolio Quality v1|Current Portfolio|0|39994</t>
  </si>
  <si>
    <t>Portfolio Quality v1|PAR (1-30 days)|0|39994</t>
  </si>
  <si>
    <t>Portfolio Quality v1|PAR (&gt;30 days)|0|39994</t>
  </si>
  <si>
    <t>Portfolio Quality v1|PAR (31-60 days)|0|39994</t>
  </si>
  <si>
    <t>Portfolio Quality v1|PAR (61-90 days)|0|39994</t>
  </si>
  <si>
    <t>Portfolio Quality v1|PAR (91-180 days)|0|39994</t>
  </si>
  <si>
    <t>Portfolio Quality v1|PAR (&gt;180 days)|0|39994</t>
  </si>
  <si>
    <t>Portfolio Quality v1|Restructured and/or Refinanced|0|39994</t>
  </si>
  <si>
    <t>Portfolio Quality v1|Write-Offs|0|39994</t>
  </si>
  <si>
    <t>Portfolio Quality v1|Recovered loans|0|39994</t>
  </si>
  <si>
    <t>Portfolio Quality v1|Current Portfolio|0|40025</t>
  </si>
  <si>
    <t>Portfolio Quality v1|PAR (1-30 days)|0|40025</t>
  </si>
  <si>
    <t>Portfolio Quality v1|PAR (&gt;30 days)|0|40025</t>
  </si>
  <si>
    <t>Portfolio Quality v1|PAR (31-60 days)|0|40025</t>
  </si>
  <si>
    <t>Portfolio Quality v1|PAR (61-90 days)|0|40025</t>
  </si>
  <si>
    <t>Portfolio Quality v1|PAR (91-180 days)|0|40025</t>
  </si>
  <si>
    <t>Portfolio Quality v1|PAR (&gt;180 days)|0|40025</t>
  </si>
  <si>
    <t>Portfolio Quality v1|Restructured and/or Refinanced|0|40025</t>
  </si>
  <si>
    <t>Portfolio Quality v1|Write-Offs|0|40025</t>
  </si>
  <si>
    <t>Portfolio Quality v1|Recovered loans|0|40025</t>
  </si>
  <si>
    <t>Portfolio Quality v1|Current Portfolio|0|40056</t>
  </si>
  <si>
    <t>Portfolio Quality v1|PAR (1-30 days)|0|40056</t>
  </si>
  <si>
    <t>Portfolio Quality v1|PAR (&gt;30 days)|0|40056</t>
  </si>
  <si>
    <t>Portfolio Quality v1|PAR (31-60 days)|0|40056</t>
  </si>
  <si>
    <t>Portfolio Quality v1|PAR (61-90 days)|0|40056</t>
  </si>
  <si>
    <t>Portfolio Quality v1|PAR (91-180 days)|0|40056</t>
  </si>
  <si>
    <t>Portfolio Quality v1|PAR (&gt;180 days)|0|40056</t>
  </si>
  <si>
    <t>Portfolio Quality v1|Restructured and/or Refinanced|0|40056</t>
  </si>
  <si>
    <t>Portfolio Quality v1|Write-Offs|0|40056</t>
  </si>
  <si>
    <t>Portfolio Quality v1|Recovered loans|0|40056</t>
  </si>
  <si>
    <t>Portfolio Quality v1|Current Portfolio|0|40086</t>
  </si>
  <si>
    <t>Portfolio Quality v1|PAR (1-30 days)|0|40086</t>
  </si>
  <si>
    <t>Portfolio Quality v1|PAR (&gt;30 days)|0|40086</t>
  </si>
  <si>
    <t>Portfolio Quality v1|PAR (31-60 days)|0|40086</t>
  </si>
  <si>
    <t>Portfolio Quality v1|PAR (61-90 days)|0|40086</t>
  </si>
  <si>
    <t>Portfolio Quality v1|PAR (91-180 days)|0|40086</t>
  </si>
  <si>
    <t>Portfolio Quality v1|PAR (&gt;180 days)|0|40086</t>
  </si>
  <si>
    <t>Portfolio Quality v1|Restructured and/or Refinanced|0|40086</t>
  </si>
  <si>
    <t>Portfolio Quality v1|Write-Offs|0|40086</t>
  </si>
  <si>
    <t>Portfolio Quality v1|Recovered loans|0|40086</t>
  </si>
  <si>
    <t>Portfolio Quality v1|Current Portfolio|0|40117</t>
  </si>
  <si>
    <t>Portfolio Quality v1|PAR (1-30 days)|0|40117</t>
  </si>
  <si>
    <t>Portfolio Quality v1|PAR (&gt;30 days)|0|40117</t>
  </si>
  <si>
    <t>Portfolio Quality v1|PAR (31-60 days)|0|40117</t>
  </si>
  <si>
    <t>Portfolio Quality v1|PAR (61-90 days)|0|40117</t>
  </si>
  <si>
    <t>Portfolio Quality v1|PAR (91-180 days)|0|40117</t>
  </si>
  <si>
    <t>Portfolio Quality v1|PAR (&gt;180 days)|0|40117</t>
  </si>
  <si>
    <t>Portfolio Quality v1|Restructured and/or Refinanced|0|40117</t>
  </si>
  <si>
    <t>Portfolio Quality v1|Write-Offs|0|40117</t>
  </si>
  <si>
    <t>Portfolio Quality v1|Recovered loans|0|40117</t>
  </si>
  <si>
    <t>Portfolio Quality v1|Current Portfolio|0|40147</t>
  </si>
  <si>
    <t>Portfolio Quality v1|PAR (1-30 days)|0|40147</t>
  </si>
  <si>
    <t>Portfolio Quality v1|PAR (&gt;30 days)|0|40147</t>
  </si>
  <si>
    <t>Portfolio Quality v1|PAR (31-60 days)|0|40147</t>
  </si>
  <si>
    <t>Portfolio Quality v1|PAR (61-90 days)|0|40147</t>
  </si>
  <si>
    <t>Portfolio Quality v1|PAR (91-180 days)|0|40147</t>
  </si>
  <si>
    <t>Portfolio Quality v1|PAR (&gt;180 days)|0|40147</t>
  </si>
  <si>
    <t>Portfolio Quality v1|Restructured and/or Refinanced|0|40147</t>
  </si>
  <si>
    <t>Portfolio Quality v1|Write-Offs|0|40147</t>
  </si>
  <si>
    <t>Portfolio Quality v1|Recovered loans|0|40147</t>
  </si>
  <si>
    <t>Portfolio Quality v1|Current Portfolio|0|40178</t>
  </si>
  <si>
    <t>Portfolio Quality v1|PAR (1-30 days)|0|40178</t>
  </si>
  <si>
    <t>Portfolio Quality v1|PAR (&gt;30 days)|0|40178</t>
  </si>
  <si>
    <t>Portfolio Quality v1|PAR (31-60 days)|0|40178</t>
  </si>
  <si>
    <t>Portfolio Quality v1|PAR (61-90 days)|0|40178</t>
  </si>
  <si>
    <t>Portfolio Quality v1|PAR (91-180 days)|0|40178</t>
  </si>
  <si>
    <t>Portfolio Quality v1|PAR (&gt;180 days)|0|40178</t>
  </si>
  <si>
    <t>Portfolio Quality v1|Restructured and/or Refinanced|0|40178</t>
  </si>
  <si>
    <t>Portfolio Quality v1|Write-Offs|0|40178</t>
  </si>
  <si>
    <t>Portfolio Quality v1|Recovered loans|0|40178</t>
  </si>
  <si>
    <t>Organizational Data v1|Number of loan Officers|0|39478</t>
  </si>
  <si>
    <t>Organizational Data v1|Number of Employees|0|39478</t>
  </si>
  <si>
    <t>Organizational Data v1|Number of Branches|0|39478</t>
  </si>
  <si>
    <t>Organizational Data v1|Number of Loans Outstanding|0|39478</t>
  </si>
  <si>
    <t>Organizational Data v1|Number of Active Borrowers|0|39478</t>
  </si>
  <si>
    <t>Organizational Data v1|Number of Voluntary Savers/Depositors|0|39478</t>
  </si>
  <si>
    <t>Organizational Data v1|Number of loan Officers|0|39507</t>
  </si>
  <si>
    <t>Organizational Data v1|Number of Employees|0|39507</t>
  </si>
  <si>
    <t>Organizational Data v1|Number of Branches|0|39507</t>
  </si>
  <si>
    <t>Organizational Data v1|Number of Loans Outstanding|0|39507</t>
  </si>
  <si>
    <t>Organizational Data v1|Number of Active Borrowers|0|39507</t>
  </si>
  <si>
    <t>Organizational Data v1|Number of Voluntary Savers/Depositors|0|39507</t>
  </si>
  <si>
    <t>Organizational Data v1|Number of loan Officers|0|39538</t>
  </si>
  <si>
    <t>Organizational Data v1|Number of Employees|0|39538</t>
  </si>
  <si>
    <t>Organizational Data v1|Number of Branches|0|39538</t>
  </si>
  <si>
    <t>Organizational Data v1|Number of Loans Outstanding|0|39538</t>
  </si>
  <si>
    <t>Organizational Data v1|Number of Active Borrowers|0|39538</t>
  </si>
  <si>
    <t>Organizational Data v1|Number of Voluntary Savers/Depositors|0|39538</t>
  </si>
  <si>
    <t>Organizational Data v1|Number of loan Officers|0|39568</t>
  </si>
  <si>
    <t>Organizational Data v1|Number of Employees|0|39568</t>
  </si>
  <si>
    <t>Organizational Data v1|Number of Branches|0|39568</t>
  </si>
  <si>
    <t>Organizational Data v1|Number of Loans Outstanding|0|39568</t>
  </si>
  <si>
    <t>Organizational Data v1|Number of Active Borrowers|0|39568</t>
  </si>
  <si>
    <t>Organizational Data v1|Number of Voluntary Savers/Depositors|0|39568</t>
  </si>
  <si>
    <t>Organizational Data v1|Number of loan Officers|0|39599</t>
  </si>
  <si>
    <t>Organizational Data v1|Number of Employees|0|39599</t>
  </si>
  <si>
    <t>Organizational Data v1|Number of Branches|0|39599</t>
  </si>
  <si>
    <t>Organizational Data v1|Number of Loans Outstanding|0|39599</t>
  </si>
  <si>
    <t>Organizational Data v1|Number of Active Borrowers|0|39599</t>
  </si>
  <si>
    <t>Organizational Data v1|Number of Voluntary Savers/Depositors|0|39599</t>
  </si>
  <si>
    <t>Organizational Data v1|Number of loan Officers|0|39629</t>
  </si>
  <si>
    <t>Organizational Data v1|Number of Employees|0|39629</t>
  </si>
  <si>
    <t>Organizational Data v1|Number of Branches|0|39629</t>
  </si>
  <si>
    <t>Organizational Data v1|Number of Loans Outstanding|0|39629</t>
  </si>
  <si>
    <t>Organizational Data v1|Number of Active Borrowers|0|39629</t>
  </si>
  <si>
    <t>Organizational Data v1|Number of Voluntary Savers/Depositors|0|39629</t>
  </si>
  <si>
    <t>Organizational Data v1|Number of loan Officers|0|39660</t>
  </si>
  <si>
    <t>Organizational Data v1|Number of Employees|0|39660</t>
  </si>
  <si>
    <t>Organizational Data v1|Number of Branches|0|39660</t>
  </si>
  <si>
    <t>Organizational Data v1|Number of Loans Outstanding|0|39660</t>
  </si>
  <si>
    <t>Organizational Data v1|Number of Active Borrowers|0|39660</t>
  </si>
  <si>
    <t>Organizational Data v1|Number of Voluntary Savers/Depositors|0|39660</t>
  </si>
  <si>
    <t>Organizational Data v1|Number of loan Officers|0|39691</t>
  </si>
  <si>
    <t>Organizational Data v1|Number of Employees|0|39691</t>
  </si>
  <si>
    <t>Organizational Data v1|Number of Branches|0|39691</t>
  </si>
  <si>
    <t>Organizational Data v1|Number of Loans Outstanding|0|39691</t>
  </si>
  <si>
    <t>Organizational Data v1|Number of Active Borrowers|0|39691</t>
  </si>
  <si>
    <t>Organizational Data v1|Number of Voluntary Savers/Depositors|0|39691</t>
  </si>
  <si>
    <t>Organizational Data v1|Number of loan Officers|0|39721</t>
  </si>
  <si>
    <t>Organizational Data v1|Number of Employees|0|39721</t>
  </si>
  <si>
    <t>Organizational Data v1|Number of Branches|0|39721</t>
  </si>
  <si>
    <t>Organizational Data v1|Number of Loans Outstanding|0|39721</t>
  </si>
  <si>
    <t>Organizational Data v1|Number of Active Borrowers|0|39721</t>
  </si>
  <si>
    <t>Organizational Data v1|Number of Voluntary Savers/Depositors|0|39721</t>
  </si>
  <si>
    <t>Organizational Data v1|Number of loan Officers|0|39752</t>
  </si>
  <si>
    <t>Organizational Data v1|Number of Employees|0|39752</t>
  </si>
  <si>
    <t>Organizational Data v1|Number of Branches|0|39752</t>
  </si>
  <si>
    <t>Organizational Data v1|Number of Loans Outstanding|0|39752</t>
  </si>
  <si>
    <t>Organizational Data v1|Number of Active Borrowers|0|39752</t>
  </si>
  <si>
    <t>Organizational Data v1|Number of Voluntary Savers/Depositors|0|39752</t>
  </si>
  <si>
    <t>Organizational Data v1|Number of loan Officers|0|39782</t>
  </si>
  <si>
    <t>Organizational Data v1|Number of Employees|0|39782</t>
  </si>
  <si>
    <t>Organizational Data v1|Number of Branches|0|39782</t>
  </si>
  <si>
    <t>Organizational Data v1|Number of Loans Outstanding|0|39782</t>
  </si>
  <si>
    <t>Organizational Data v1|Number of Active Borrowers|0|39782</t>
  </si>
  <si>
    <t>Organizational Data v1|Number of Voluntary Savers/Depositors|0|39782</t>
  </si>
  <si>
    <t>Organizational Data v1|Number of loan Officers|0|39813</t>
  </si>
  <si>
    <t>Organizational Data v1|Number of Employees|0|39813</t>
  </si>
  <si>
    <t>Organizational Data v1|Number of Branches|0|39813</t>
  </si>
  <si>
    <t>Organizational Data v1|Number of Loans Outstanding|0|39813</t>
  </si>
  <si>
    <t>Organizational Data v1|Number of Active Borrowers|0|39813</t>
  </si>
  <si>
    <t>Organizational Data v1|Number of Voluntary Savers/Depositors|0|39813</t>
  </si>
  <si>
    <t>Organizational Data v1|Number of loan Officers|0|39844</t>
  </si>
  <si>
    <t>Organizational Data v1|Number of Employees|0|39844</t>
  </si>
  <si>
    <t>Organizational Data v1|Number of Branches|0|39844</t>
  </si>
  <si>
    <t>Organizational Data v1|Number of Loans Outstanding|0|39844</t>
  </si>
  <si>
    <t>Organizational Data v1|Number of Active Borrowers|0|39844</t>
  </si>
  <si>
    <t>Organizational Data v1|Number of Voluntary Savers/Depositors|0|39844</t>
  </si>
  <si>
    <t>Organizational Data v1|Number of loan Officers|0|39872</t>
  </si>
  <si>
    <t>Organizational Data v1|Number of Employees|0|39872</t>
  </si>
  <si>
    <t>Organizational Data v1|Number of Branches|0|39872</t>
  </si>
  <si>
    <t>Organizational Data v1|Number of Loans Outstanding|0|39872</t>
  </si>
  <si>
    <t>Organizational Data v1|Number of Active Borrowers|0|39872</t>
  </si>
  <si>
    <t>Organizational Data v1|Number of Voluntary Savers/Depositors|0|39872</t>
  </si>
  <si>
    <t>Organizational Data v1|Number of loan Officers|0|39903</t>
  </si>
  <si>
    <t>Organizational Data v1|Number of Employees|0|39903</t>
  </si>
  <si>
    <t>Organizational Data v1|Number of Branches|0|39903</t>
  </si>
  <si>
    <t>Organizational Data v1|Number of Loans Outstanding|0|39903</t>
  </si>
  <si>
    <t>Organizational Data v1|Number of Active Borrowers|0|39903</t>
  </si>
  <si>
    <t>Organizational Data v1|Number of Voluntary Savers/Depositors|0|39903</t>
  </si>
  <si>
    <t>Organizational Data v1|Number of loan Officers|0|39933</t>
  </si>
  <si>
    <t>Organizational Data v1|Number of Employees|0|39933</t>
  </si>
  <si>
    <t>Organizational Data v1|Number of Branches|0|39933</t>
  </si>
  <si>
    <t>Organizational Data v1|Number of Loans Outstanding|0|39933</t>
  </si>
  <si>
    <t>Organizational Data v1|Number of Active Borrowers|0|39933</t>
  </si>
  <si>
    <t>Organizational Data v1|Number of Voluntary Savers/Depositors|0|39933</t>
  </si>
  <si>
    <t>Organizational Data v1|Number of loan Officers|0|39964</t>
  </si>
  <si>
    <t>Organizational Data v1|Number of Employees|0|39964</t>
  </si>
  <si>
    <t>Organizational Data v1|Number of Branches|0|39964</t>
  </si>
  <si>
    <t>Organizational Data v1|Number of Loans Outstanding|0|39964</t>
  </si>
  <si>
    <t>Organizational Data v1|Number of Active Borrowers|0|39964</t>
  </si>
  <si>
    <t>Organizational Data v1|Number of Voluntary Savers/Depositors|0|39964</t>
  </si>
  <si>
    <t>Organizational Data v1|Number of loan Officers|0|39994</t>
  </si>
  <si>
    <t>Organizational Data v1|Number of Employees|0|39994</t>
  </si>
  <si>
    <t>Organizational Data v1|Number of Branches|0|39994</t>
  </si>
  <si>
    <t>Organizational Data v1|Number of Loans Outstanding|0|39994</t>
  </si>
  <si>
    <t>Organizational Data v1|Number of Active Borrowers|0|39994</t>
  </si>
  <si>
    <t>Organizational Data v1|Number of Voluntary Savers/Depositors|0|39994</t>
  </si>
  <si>
    <t>Organizational Data v1|Number of loan Officers|0|40025</t>
  </si>
  <si>
    <t>Organizational Data v1|Number of Employees|0|40025</t>
  </si>
  <si>
    <t>Organizational Data v1|Number of Branches|0|40025</t>
  </si>
  <si>
    <t>Organizational Data v1|Number of Loans Outstanding|0|40025</t>
  </si>
  <si>
    <t>Organizational Data v1|Number of Active Borrowers|0|40025</t>
  </si>
  <si>
    <t>Organizational Data v1|Number of Voluntary Savers/Depositors|0|40025</t>
  </si>
  <si>
    <t>Organizational Data v1|Number of loan Officers|0|40056</t>
  </si>
  <si>
    <t>Organizational Data v1|Number of Employees|0|40056</t>
  </si>
  <si>
    <t>Organizational Data v1|Number of Branches|0|40056</t>
  </si>
  <si>
    <t>Organizational Data v1|Number of Loans Outstanding|0|40056</t>
  </si>
  <si>
    <t>Organizational Data v1|Number of Active Borrowers|0|40056</t>
  </si>
  <si>
    <t>Organizational Data v1|Number of Voluntary Savers/Depositors|0|40056</t>
  </si>
  <si>
    <t>Organizational Data v1|Number of loan Officers|0|40086</t>
  </si>
  <si>
    <t>Organizational Data v1|Number of Employees|0|40086</t>
  </si>
  <si>
    <t>Organizational Data v1|Number of Branches|0|40086</t>
  </si>
  <si>
    <t>Organizational Data v1|Number of Loans Outstanding|0|40086</t>
  </si>
  <si>
    <t>Organizational Data v1|Number of Active Borrowers|0|40086</t>
  </si>
  <si>
    <t>Organizational Data v1|Number of Voluntary Savers/Depositors|0|40086</t>
  </si>
  <si>
    <t>Organizational Data v1|Number of loan Officers|0|40117</t>
  </si>
  <si>
    <t>Organizational Data v1|Number of Employees|0|40117</t>
  </si>
  <si>
    <t>Organizational Data v1|Number of Branches|0|40117</t>
  </si>
  <si>
    <t>Organizational Data v1|Number of Loans Outstanding|0|40117</t>
  </si>
  <si>
    <t>Organizational Data v1|Number of Active Borrowers|0|40117</t>
  </si>
  <si>
    <t>Organizational Data v1|Number of Voluntary Savers/Depositors|0|40117</t>
  </si>
  <si>
    <t>Organizational Data v1|Number of loan Officers|0|40147</t>
  </si>
  <si>
    <t>Organizational Data v1|Number of Employees|0|40147</t>
  </si>
  <si>
    <t>Organizational Data v1|Number of Branches|0|40147</t>
  </si>
  <si>
    <t>Organizational Data v1|Number of Loans Outstanding|0|40147</t>
  </si>
  <si>
    <t>Organizational Data v1|Number of Active Borrowers|0|40147</t>
  </si>
  <si>
    <t>Organizational Data v1|Number of Voluntary Savers/Depositors|0|40147</t>
  </si>
  <si>
    <t>Organizational Data v1|Number of loan Officers|0|40178</t>
  </si>
  <si>
    <t>Organizational Data v1|Number of Employees|0|40178</t>
  </si>
  <si>
    <t>Organizational Data v1|Number of Branches|0|40178</t>
  </si>
  <si>
    <t>Organizational Data v1|Number of Loans Outstanding|0|40178</t>
  </si>
  <si>
    <t>Organizational Data v1|Number of Active Borrowers|0|40178</t>
  </si>
  <si>
    <t>Organizational Data v1|Number of Voluntary Savers/Depositors|0|40178</t>
  </si>
  <si>
    <t>Cash Flow v1|Net Cash Flow from Operations|0|39478</t>
  </si>
  <si>
    <t>Cash Flow v1</t>
  </si>
  <si>
    <t>Net Cash Flow from Operations</t>
  </si>
  <si>
    <t>Cash Flow v1|Net Cash Flow from Investment Activities|0|39478</t>
  </si>
  <si>
    <t>Net Cash Flow from Investment Activities</t>
  </si>
  <si>
    <t>Cash Flow v1|Net Cash Flow from Financing Activities|0|39478</t>
  </si>
  <si>
    <t>Net Cash Flow from Financing Activities</t>
  </si>
  <si>
    <t>Cash Flow v1|Net Cash Flow from Operations|0|39507</t>
  </si>
  <si>
    <t>Cash Flow v1|Net Cash Flow from Investment Activities|0|39507</t>
  </si>
  <si>
    <t>Cash Flow v1|Net Cash Flow from Financing Activities|0|39507</t>
  </si>
  <si>
    <t>Cash Flow v1|Net Cash Flow from Operations|0|39538</t>
  </si>
  <si>
    <t>Cash Flow v1|Net Cash Flow from Investment Activities|0|39538</t>
  </si>
  <si>
    <t>Cash Flow v1|Net Cash Flow from Financing Activities|0|39538</t>
  </si>
  <si>
    <t>Cash Flow v1|Net Cash Flow from Operations|0|39568</t>
  </si>
  <si>
    <t>Cash Flow v1|Net Cash Flow from Investment Activities|0|39568</t>
  </si>
  <si>
    <t>Cash Flow v1|Net Cash Flow from Financing Activities|0|39568</t>
  </si>
  <si>
    <t>Cash Flow v1|Net Cash Flow from Operations|0|39599</t>
  </si>
  <si>
    <t>Cash Flow v1|Net Cash Flow from Investment Activities|0|39599</t>
  </si>
  <si>
    <t>Cash Flow v1|Net Cash Flow from Financing Activities|0|39599</t>
  </si>
  <si>
    <t>Cash Flow v1|Net Cash Flow from Operations|0|39629</t>
  </si>
  <si>
    <t>Cash Flow v1|Net Cash Flow from Investment Activities|0|39629</t>
  </si>
  <si>
    <t>Cash Flow v1|Net Cash Flow from Financing Activities|0|39629</t>
  </si>
  <si>
    <t>Cash Flow v1|Net Cash Flow from Operations|0|39660</t>
  </si>
  <si>
    <t>Cash Flow v1|Net Cash Flow from Investment Activities|0|39660</t>
  </si>
  <si>
    <t>Cash Flow v1|Net Cash Flow from Financing Activities|0|39660</t>
  </si>
  <si>
    <t>Cash Flow v1|Net Cash Flow from Operations|0|39691</t>
  </si>
  <si>
    <t>Cash Flow v1|Net Cash Flow from Investment Activities|0|39691</t>
  </si>
  <si>
    <t>Cash Flow v1|Net Cash Flow from Financing Activities|0|39691</t>
  </si>
  <si>
    <t>Cash Flow v1|Net Cash Flow from Operations|0|39721</t>
  </si>
  <si>
    <t>Cash Flow v1|Net Cash Flow from Investment Activities|0|39721</t>
  </si>
  <si>
    <t>Cash Flow v1|Net Cash Flow from Financing Activities|0|39721</t>
  </si>
  <si>
    <t>Cash Flow v1|Net Cash Flow from Operations|0|39752</t>
  </si>
  <si>
    <t>Cash Flow v1|Net Cash Flow from Investment Activities|0|39752</t>
  </si>
  <si>
    <t>Cash Flow v1|Net Cash Flow from Financing Activities|0|39752</t>
  </si>
  <si>
    <t>Cash Flow v1|Net Cash Flow from Operations|0|39782</t>
  </si>
  <si>
    <t>Cash Flow v1|Net Cash Flow from Investment Activities|0|39782</t>
  </si>
  <si>
    <t>Cash Flow v1|Net Cash Flow from Financing Activities|0|39782</t>
  </si>
  <si>
    <t>Cash Flow v1|Net Cash Flow from Operations|0|39813</t>
  </si>
  <si>
    <t>Cash Flow v1|Net Cash Flow from Investment Activities|0|39813</t>
  </si>
  <si>
    <t>Cash Flow v1|Net Cash Flow from Financing Activities|0|39813</t>
  </si>
  <si>
    <t>Cash Flow v1|Net Cash Flow from Operations|0|39844</t>
  </si>
  <si>
    <t>Cash Flow v1|Net Cash Flow from Investment Activities|0|39844</t>
  </si>
  <si>
    <t>Cash Flow v1|Net Cash Flow from Financing Activities|0|39844</t>
  </si>
  <si>
    <t>Cash Flow v1|Net Cash Flow from Operations|0|39872</t>
  </si>
  <si>
    <t>Cash Flow v1|Net Cash Flow from Investment Activities|0|39872</t>
  </si>
  <si>
    <t>Cash Flow v1|Net Cash Flow from Financing Activities|0|39872</t>
  </si>
  <si>
    <t>Cash Flow v1|Net Cash Flow from Operations|0|39903</t>
  </si>
  <si>
    <t>Cash Flow v1|Net Cash Flow from Investment Activities|0|39903</t>
  </si>
  <si>
    <t>Cash Flow v1|Net Cash Flow from Financing Activities|0|39903</t>
  </si>
  <si>
    <t>Cash Flow v1|Net Cash Flow from Operations|0|39933</t>
  </si>
  <si>
    <t>Cash Flow v1|Net Cash Flow from Investment Activities|0|39933</t>
  </si>
  <si>
    <t>Cash Flow v1|Net Cash Flow from Financing Activities|0|39933</t>
  </si>
  <si>
    <t>Cash Flow v1|Net Cash Flow from Operations|0|39964</t>
  </si>
  <si>
    <t>Cash Flow v1|Net Cash Flow from Investment Activities|0|39964</t>
  </si>
  <si>
    <t>Cash Flow v1|Net Cash Flow from Financing Activities|0|39964</t>
  </si>
  <si>
    <t>Cash Flow v1|Net Cash Flow from Operations|0|39994</t>
  </si>
  <si>
    <t>Cash Flow v1|Net Cash Flow from Investment Activities|0|39994</t>
  </si>
  <si>
    <t>Cash Flow v1|Net Cash Flow from Financing Activities|0|39994</t>
  </si>
  <si>
    <t>Cash Flow v1|Net Cash Flow from Operations|0|40025</t>
  </si>
  <si>
    <t>Cash Flow v1|Net Cash Flow from Investment Activities|0|40025</t>
  </si>
  <si>
    <t>Cash Flow v1|Net Cash Flow from Financing Activities|0|40025</t>
  </si>
  <si>
    <t>Cash Flow v1|Net Cash Flow from Operations|0|40056</t>
  </si>
  <si>
    <t>Cash Flow v1|Net Cash Flow from Investment Activities|0|40056</t>
  </si>
  <si>
    <t>Cash Flow v1|Net Cash Flow from Financing Activities|0|40056</t>
  </si>
  <si>
    <t>Cash Flow v1|Net Cash Flow from Operations|0|40086</t>
  </si>
  <si>
    <t>Cash Flow v1|Net Cash Flow from Investment Activities|0|40086</t>
  </si>
  <si>
    <t>Cash Flow v1|Net Cash Flow from Financing Activities|0|40086</t>
  </si>
  <si>
    <t>Cash Flow v1|Net Cash Flow from Operations|0|40117</t>
  </si>
  <si>
    <t>Cash Flow v1|Net Cash Flow from Investment Activities|0|40117</t>
  </si>
  <si>
    <t>Cash Flow v1|Net Cash Flow from Financing Activities|0|40117</t>
  </si>
  <si>
    <t>Cash Flow v1|Net Cash Flow from Operations|0|40147</t>
  </si>
  <si>
    <t>Cash Flow v1|Net Cash Flow from Investment Activities|0|40147</t>
  </si>
  <si>
    <t>Cash Flow v1|Net Cash Flow from Financing Activities|0|40147</t>
  </si>
  <si>
    <t>Cash Flow v1|Net Cash Flow from Operations|0|40178</t>
  </si>
  <si>
    <t>Cash Flow v1|Net Cash Flow from Investment Activities|0|40178</t>
  </si>
  <si>
    <t>Cash Flow v1|Net Cash Flow from Financing Activities|0|40178</t>
  </si>
  <si>
    <t>Currency Exposure v1|Assets|0|39478</t>
  </si>
  <si>
    <t>Currency Exposure v1|Loan Portfolio|0|39478</t>
  </si>
  <si>
    <t>Currency Exposure v1|Savings|0|39478</t>
  </si>
  <si>
    <t>Currency Exposure v1|Borrowings|0|39478</t>
  </si>
  <si>
    <t>Currency Exposure v1|Back-to-back Loans|0|39478</t>
  </si>
  <si>
    <t>Currency Exposure v1|Options|0|39478</t>
  </si>
  <si>
    <t>Currency Exposure v1|Forwards|0|39478</t>
  </si>
  <si>
    <t>Currency Exposure v1|Swaps|0|39478</t>
  </si>
  <si>
    <t>Currency Exposure v1|Input Exchange Rate (Local Currency / USD)|0|39478</t>
  </si>
  <si>
    <t>Input Exchange Rate (Local Currency / USD)</t>
  </si>
  <si>
    <t>Currency Exposure v1|Assets|0|39507</t>
  </si>
  <si>
    <t>Currency Exposure v1|Loan Portfolio|0|39507</t>
  </si>
  <si>
    <t>Currency Exposure v1|Savings|0|39507</t>
  </si>
  <si>
    <t>Currency Exposure v1|Borrowings|0|39507</t>
  </si>
  <si>
    <t>Currency Exposure v1|Back-to-back Loans|0|39507</t>
  </si>
  <si>
    <t>Currency Exposure v1|Options|0|39507</t>
  </si>
  <si>
    <t>Currency Exposure v1|Forwards|0|39507</t>
  </si>
  <si>
    <t>Currency Exposure v1|Swaps|0|39507</t>
  </si>
  <si>
    <t>Currency Exposure v1|Input Exchange Rate (Local Currency / USD)|0|39507</t>
  </si>
  <si>
    <t>Currency Exposure v1|Assets|0|39538</t>
  </si>
  <si>
    <t>Currency Exposure v1|Loan Portfolio|0|39538</t>
  </si>
  <si>
    <t>Currency Exposure v1|Savings|0|39538</t>
  </si>
  <si>
    <t>Currency Exposure v1|Borrowings|0|39538</t>
  </si>
  <si>
    <t>Currency Exposure v1|Back-to-back Loans|0|39538</t>
  </si>
  <si>
    <t>Currency Exposure v1|Options|0|39538</t>
  </si>
  <si>
    <t>Currency Exposure v1|Forwards|0|39538</t>
  </si>
  <si>
    <t>Currency Exposure v1|Swaps|0|39538</t>
  </si>
  <si>
    <t>Currency Exposure v1|Input Exchange Rate (Local Currency / USD)|0|39538</t>
  </si>
  <si>
    <t>Currency Exposure v1|Assets|0|39568</t>
  </si>
  <si>
    <t>Currency Exposure v1|Loan Portfolio|0|39568</t>
  </si>
  <si>
    <t>Currency Exposure v1|Savings|0|39568</t>
  </si>
  <si>
    <t>Currency Exposure v1|Borrowings|0|39568</t>
  </si>
  <si>
    <t>Currency Exposure v1|Back-to-back Loans|0|39568</t>
  </si>
  <si>
    <t>Currency Exposure v1|Options|0|39568</t>
  </si>
  <si>
    <t>Currency Exposure v1|Forwards|0|39568</t>
  </si>
  <si>
    <t>Currency Exposure v1|Swaps|0|39568</t>
  </si>
  <si>
    <t>Currency Exposure v1|Input Exchange Rate (Local Currency / USD)|0|39568</t>
  </si>
  <si>
    <t>Currency Exposure v1|Assets|0|39599</t>
  </si>
  <si>
    <t>Currency Exposure v1|Loan Portfolio|0|39599</t>
  </si>
  <si>
    <t>Currency Exposure v1|Savings|0|39599</t>
  </si>
  <si>
    <t>Currency Exposure v1|Borrowings|0|39599</t>
  </si>
  <si>
    <t>Currency Exposure v1|Back-to-back Loans|0|39599</t>
  </si>
  <si>
    <t>Currency Exposure v1|Options|0|39599</t>
  </si>
  <si>
    <t>Currency Exposure v1|Forwards|0|39599</t>
  </si>
  <si>
    <t>Currency Exposure v1|Swaps|0|39599</t>
  </si>
  <si>
    <t>Currency Exposure v1|Input Exchange Rate (Local Currency / USD)|0|39599</t>
  </si>
  <si>
    <t>Currency Exposure v1|Assets|0|39629</t>
  </si>
  <si>
    <t>Currency Exposure v1|Loan Portfolio|0|39629</t>
  </si>
  <si>
    <t>Currency Exposure v1|Savings|0|39629</t>
  </si>
  <si>
    <t>Currency Exposure v1|Borrowings|0|39629</t>
  </si>
  <si>
    <t>Currency Exposure v1|Back-to-back Loans|0|39629</t>
  </si>
  <si>
    <t>Currency Exposure v1|Options|0|39629</t>
  </si>
  <si>
    <t>Currency Exposure v1|Forwards|0|39629</t>
  </si>
  <si>
    <t>Currency Exposure v1|Swaps|0|39629</t>
  </si>
  <si>
    <t>Currency Exposure v1|Input Exchange Rate (Local Currency / USD)|0|39629</t>
  </si>
  <si>
    <t>Currency Exposure v1|Assets|0|39660</t>
  </si>
  <si>
    <t>Currency Exposure v1|Loan Portfolio|0|39660</t>
  </si>
  <si>
    <t>Currency Exposure v1|Savings|0|39660</t>
  </si>
  <si>
    <t>Currency Exposure v1|Borrowings|0|39660</t>
  </si>
  <si>
    <t>Currency Exposure v1|Back-to-back Loans|0|39660</t>
  </si>
  <si>
    <t>Currency Exposure v1|Options|0|39660</t>
  </si>
  <si>
    <t>Currency Exposure v1|Forwards|0|39660</t>
  </si>
  <si>
    <t>Currency Exposure v1|Swaps|0|39660</t>
  </si>
  <si>
    <t>Currency Exposure v1|Input Exchange Rate (Local Currency / USD)|0|39660</t>
  </si>
  <si>
    <t>Currency Exposure v1|Assets|0|39691</t>
  </si>
  <si>
    <t>Currency Exposure v1|Loan Portfolio|0|39691</t>
  </si>
  <si>
    <t>Currency Exposure v1|Savings|0|39691</t>
  </si>
  <si>
    <t>Currency Exposure v1|Borrowings|0|39691</t>
  </si>
  <si>
    <t>Currency Exposure v1|Back-to-back Loans|0|39691</t>
  </si>
  <si>
    <t>Currency Exposure v1|Options|0|39691</t>
  </si>
  <si>
    <t>Currency Exposure v1|Forwards|0|39691</t>
  </si>
  <si>
    <t>Currency Exposure v1|Swaps|0|39691</t>
  </si>
  <si>
    <t>Currency Exposure v1|Input Exchange Rate (Local Currency / USD)|0|39691</t>
  </si>
  <si>
    <t>Currency Exposure v1|Assets|0|39721</t>
  </si>
  <si>
    <t>Currency Exposure v1|Loan Portfolio|0|39721</t>
  </si>
  <si>
    <t>Currency Exposure v1|Savings|0|39721</t>
  </si>
  <si>
    <t>Currency Exposure v1|Borrowings|0|39721</t>
  </si>
  <si>
    <t>Currency Exposure v1|Back-to-back Loans|0|39721</t>
  </si>
  <si>
    <t>Currency Exposure v1|Options|0|39721</t>
  </si>
  <si>
    <t>Currency Exposure v1|Forwards|0|39721</t>
  </si>
  <si>
    <t>Currency Exposure v1|Swaps|0|39721</t>
  </si>
  <si>
    <t>Currency Exposure v1|Input Exchange Rate (Local Currency / USD)|0|39721</t>
  </si>
  <si>
    <t>Currency Exposure v1|Assets|0|39752</t>
  </si>
  <si>
    <t>Currency Exposure v1|Loan Portfolio|0|39752</t>
  </si>
  <si>
    <t>Currency Exposure v1|Savings|0|39752</t>
  </si>
  <si>
    <t>Currency Exposure v1|Borrowings|0|39752</t>
  </si>
  <si>
    <t>Currency Exposure v1|Back-to-back Loans|0|39752</t>
  </si>
  <si>
    <t>Currency Exposure v1|Options|0|39752</t>
  </si>
  <si>
    <t>Currency Exposure v1|Forwards|0|39752</t>
  </si>
  <si>
    <t>Currency Exposure v1|Swaps|0|39752</t>
  </si>
  <si>
    <t>Currency Exposure v1|Input Exchange Rate (Local Currency / USD)|0|39752</t>
  </si>
  <si>
    <t>Currency Exposure v1|Assets|0|39782</t>
  </si>
  <si>
    <t>Currency Exposure v1|Loan Portfolio|0|39782</t>
  </si>
  <si>
    <t>Currency Exposure v1|Savings|0|39782</t>
  </si>
  <si>
    <t>Currency Exposure v1|Borrowings|0|39782</t>
  </si>
  <si>
    <t>Currency Exposure v1|Back-to-back Loans|0|39782</t>
  </si>
  <si>
    <t>Currency Exposure v1|Options|0|39782</t>
  </si>
  <si>
    <t>Currency Exposure v1|Forwards|0|39782</t>
  </si>
  <si>
    <t>Currency Exposure v1|Swaps|0|39782</t>
  </si>
  <si>
    <t>Currency Exposure v1|Input Exchange Rate (Local Currency / USD)|0|39782</t>
  </si>
  <si>
    <t>Currency Exposure v1|Assets|0|39813</t>
  </si>
  <si>
    <t>Currency Exposure v1|Loan Portfolio|0|39813</t>
  </si>
  <si>
    <t>Currency Exposure v1|Savings|0|39813</t>
  </si>
  <si>
    <t>Currency Exposure v1|Borrowings|0|39813</t>
  </si>
  <si>
    <t>Currency Exposure v1|Back-to-back Loans|0|39813</t>
  </si>
  <si>
    <t>Currency Exposure v1|Options|0|39813</t>
  </si>
  <si>
    <t>Currency Exposure v1|Forwards|0|39813</t>
  </si>
  <si>
    <t>Currency Exposure v1|Swaps|0|39813</t>
  </si>
  <si>
    <t>Currency Exposure v1|Input Exchange Rate (Local Currency / USD)|0|39813</t>
  </si>
  <si>
    <t>Currency Exposure v1|Assets|0|39844</t>
  </si>
  <si>
    <t>Currency Exposure v1|Loan Portfolio|0|39844</t>
  </si>
  <si>
    <t>Currency Exposure v1|Savings|0|39844</t>
  </si>
  <si>
    <t>Currency Exposure v1|Borrowings|0|39844</t>
  </si>
  <si>
    <t>Currency Exposure v1|Back-to-back Loans|0|39844</t>
  </si>
  <si>
    <t>Currency Exposure v1|Options|0|39844</t>
  </si>
  <si>
    <t>Currency Exposure v1|Forwards|0|39844</t>
  </si>
  <si>
    <t>Currency Exposure v1|Swaps|0|39844</t>
  </si>
  <si>
    <t>Currency Exposure v1|Input Exchange Rate (Local Currency / USD)|0|39844</t>
  </si>
  <si>
    <t>Currency Exposure v1|Assets|0|39872</t>
  </si>
  <si>
    <t>Currency Exposure v1|Loan Portfolio|0|39872</t>
  </si>
  <si>
    <t>Currency Exposure v1|Savings|0|39872</t>
  </si>
  <si>
    <t>Currency Exposure v1|Borrowings|0|39872</t>
  </si>
  <si>
    <t>Currency Exposure v1|Back-to-back Loans|0|39872</t>
  </si>
  <si>
    <t>Currency Exposure v1|Options|0|39872</t>
  </si>
  <si>
    <t>Currency Exposure v1|Forwards|0|39872</t>
  </si>
  <si>
    <t>Currency Exposure v1|Swaps|0|39872</t>
  </si>
  <si>
    <t>Currency Exposure v1|Input Exchange Rate (Local Currency / USD)|0|39872</t>
  </si>
  <si>
    <t>Currency Exposure v1|Assets|0|39903</t>
  </si>
  <si>
    <t>Currency Exposure v1|Loan Portfolio|0|39903</t>
  </si>
  <si>
    <t>Currency Exposure v1|Savings|0|39903</t>
  </si>
  <si>
    <t>Currency Exposure v1|Borrowings|0|39903</t>
  </si>
  <si>
    <t>Currency Exposure v1|Back-to-back Loans|0|39903</t>
  </si>
  <si>
    <t>Currency Exposure v1|Options|0|39903</t>
  </si>
  <si>
    <t>Currency Exposure v1|Forwards|0|39903</t>
  </si>
  <si>
    <t>Currency Exposure v1|Swaps|0|39903</t>
  </si>
  <si>
    <t>Currency Exposure v1|Input Exchange Rate (Local Currency / USD)|0|39903</t>
  </si>
  <si>
    <t>Currency Exposure v1|Assets|0|39933</t>
  </si>
  <si>
    <t>Currency Exposure v1|Loan Portfolio|0|39933</t>
  </si>
  <si>
    <t>Currency Exposure v1|Savings|0|39933</t>
  </si>
  <si>
    <t>Currency Exposure v1|Borrowings|0|39933</t>
  </si>
  <si>
    <t>Currency Exposure v1|Back-to-back Loans|0|39933</t>
  </si>
  <si>
    <t>Currency Exposure v1|Options|0|39933</t>
  </si>
  <si>
    <t>Currency Exposure v1|Forwards|0|39933</t>
  </si>
  <si>
    <t>Currency Exposure v1|Swaps|0|39933</t>
  </si>
  <si>
    <t>Currency Exposure v1|Input Exchange Rate (Local Currency / USD)|0|39933</t>
  </si>
  <si>
    <t>Currency Exposure v1|Assets|0|39964</t>
  </si>
  <si>
    <t>Currency Exposure v1|Loan Portfolio|0|39964</t>
  </si>
  <si>
    <t>Currency Exposure v1|Savings|0|39964</t>
  </si>
  <si>
    <t>Currency Exposure v1|Borrowings|0|39964</t>
  </si>
  <si>
    <t>Currency Exposure v1|Back-to-back Loans|0|39964</t>
  </si>
  <si>
    <t>Currency Exposure v1|Options|0|39964</t>
  </si>
  <si>
    <t>Currency Exposure v1|Forwards|0|39964</t>
  </si>
  <si>
    <t>Currency Exposure v1|Swaps|0|39964</t>
  </si>
  <si>
    <t>Currency Exposure v1|Input Exchange Rate (Local Currency / USD)|0|39964</t>
  </si>
  <si>
    <t>Currency Exposure v1|Assets|0|39994</t>
  </si>
  <si>
    <t>Currency Exposure v1|Loan Portfolio|0|39994</t>
  </si>
  <si>
    <t>Currency Exposure v1|Savings|0|39994</t>
  </si>
  <si>
    <t>Currency Exposure v1|Borrowings|0|39994</t>
  </si>
  <si>
    <t>Currency Exposure v1|Back-to-back Loans|0|39994</t>
  </si>
  <si>
    <t>Currency Exposure v1|Options|0|39994</t>
  </si>
  <si>
    <t>Currency Exposure v1|Forwards|0|39994</t>
  </si>
  <si>
    <t>Currency Exposure v1|Swaps|0|39994</t>
  </si>
  <si>
    <t>Currency Exposure v1|Input Exchange Rate (Local Currency / USD)|0|39994</t>
  </si>
  <si>
    <t>Currency Exposure v1|Assets|0|40025</t>
  </si>
  <si>
    <t>Currency Exposure v1|Loan Portfolio|0|40025</t>
  </si>
  <si>
    <t>Currency Exposure v1|Savings|0|40025</t>
  </si>
  <si>
    <t>Currency Exposure v1|Borrowings|0|40025</t>
  </si>
  <si>
    <t>Currency Exposure v1|Back-to-back Loans|0|40025</t>
  </si>
  <si>
    <t>Currency Exposure v1|Options|0|40025</t>
  </si>
  <si>
    <t>Currency Exposure v1|Forwards|0|40025</t>
  </si>
  <si>
    <t>Currency Exposure v1|Swaps|0|40025</t>
  </si>
  <si>
    <t>Currency Exposure v1|Input Exchange Rate (Local Currency / USD)|0|40025</t>
  </si>
  <si>
    <t>Currency Exposure v1|Assets|0|40056</t>
  </si>
  <si>
    <t>Currency Exposure v1|Loan Portfolio|0|40056</t>
  </si>
  <si>
    <t>Currency Exposure v1|Savings|0|40056</t>
  </si>
  <si>
    <t>Currency Exposure v1|Borrowings|0|40056</t>
  </si>
  <si>
    <t>Currency Exposure v1|Back-to-back Loans|0|40056</t>
  </si>
  <si>
    <t>Currency Exposure v1|Options|0|40056</t>
  </si>
  <si>
    <t>Currency Exposure v1|Forwards|0|40056</t>
  </si>
  <si>
    <t>Currency Exposure v1|Swaps|0|40056</t>
  </si>
  <si>
    <t>Currency Exposure v1|Input Exchange Rate (Local Currency / USD)|0|40056</t>
  </si>
  <si>
    <t>Currency Exposure v1|Assets|0|40086</t>
  </si>
  <si>
    <t>Currency Exposure v1|Loan Portfolio|0|40086</t>
  </si>
  <si>
    <t>Currency Exposure v1|Savings|0|40086</t>
  </si>
  <si>
    <t>Currency Exposure v1|Borrowings|0|40086</t>
  </si>
  <si>
    <t>Currency Exposure v1|Back-to-back Loans|0|40086</t>
  </si>
  <si>
    <t>Currency Exposure v1|Options|0|40086</t>
  </si>
  <si>
    <t>Currency Exposure v1|Forwards|0|40086</t>
  </si>
  <si>
    <t>Currency Exposure v1|Swaps|0|40086</t>
  </si>
  <si>
    <t>Currency Exposure v1|Input Exchange Rate (Local Currency / USD)|0|40086</t>
  </si>
  <si>
    <t>Currency Exposure v1|Assets|0|40117</t>
  </si>
  <si>
    <t>Currency Exposure v1|Loan Portfolio|0|40117</t>
  </si>
  <si>
    <t>Currency Exposure v1|Savings|0|40117</t>
  </si>
  <si>
    <t>Currency Exposure v1|Borrowings|0|40117</t>
  </si>
  <si>
    <t>Currency Exposure v1|Back-to-back Loans|0|40117</t>
  </si>
  <si>
    <t>Currency Exposure v1|Options|0|40117</t>
  </si>
  <si>
    <t>Currency Exposure v1|Forwards|0|40117</t>
  </si>
  <si>
    <t>Currency Exposure v1|Swaps|0|40117</t>
  </si>
  <si>
    <t>Currency Exposure v1|Input Exchange Rate (Local Currency / USD)|0|40117</t>
  </si>
  <si>
    <t>Currency Exposure v1|Assets|0|40147</t>
  </si>
  <si>
    <t>Currency Exposure v1|Loan Portfolio|0|40147</t>
  </si>
  <si>
    <t>Currency Exposure v1|Savings|0|40147</t>
  </si>
  <si>
    <t>Currency Exposure v1|Borrowings|0|40147</t>
  </si>
  <si>
    <t>Currency Exposure v1|Back-to-back Loans|0|40147</t>
  </si>
  <si>
    <t>Currency Exposure v1|Options|0|40147</t>
  </si>
  <si>
    <t>Currency Exposure v1|Forwards|0|40147</t>
  </si>
  <si>
    <t>Currency Exposure v1|Swaps|0|40147</t>
  </si>
  <si>
    <t>Currency Exposure v1|Input Exchange Rate (Local Currency / USD)|0|40147</t>
  </si>
  <si>
    <t>Currency Exposure v1|Assets|0|40178</t>
  </si>
  <si>
    <t>Currency Exposure v1|Loan Portfolio|0|40178</t>
  </si>
  <si>
    <t>Currency Exposure v1|Savings|0|40178</t>
  </si>
  <si>
    <t>Currency Exposure v1|Borrowings|0|40178</t>
  </si>
  <si>
    <t>Currency Exposure v1|Back-to-back Loans|0|40178</t>
  </si>
  <si>
    <t>Currency Exposure v1|Options|0|40178</t>
  </si>
  <si>
    <t>Currency Exposure v1|Forwards|0|40178</t>
  </si>
  <si>
    <t>Currency Exposure v1|Swaps|0|40178</t>
  </si>
  <si>
    <t>Currency Exposure v1|Input Exchange Rate (Local Currency / USD)|0|40178</t>
  </si>
  <si>
    <t>Balance Sheet v1|Total Cash &amp; ST Investments|0|40209</t>
  </si>
  <si>
    <t>Balance Sheet v1|Restricted Cash|0|40209</t>
  </si>
  <si>
    <t>Balance Sheet v1|Unrestricted Cash|0|40209</t>
  </si>
  <si>
    <t>Balance Sheet v1|Short Term Investments|0|40209</t>
  </si>
  <si>
    <t>Balance Sheet v1|Gross Loan Portfolio|0|40209</t>
  </si>
  <si>
    <t>Balance Sheet v1|(Loan Loss Reserves)|0|40209</t>
  </si>
  <si>
    <t>Balance Sheet v1|Other Assets|0|40209</t>
  </si>
  <si>
    <t>Balance Sheet v1|Savings Accounts|0|40209</t>
  </si>
  <si>
    <t>Balance Sheet v1|Total Borrowings at Concessional Interest Rates|0|40209</t>
  </si>
  <si>
    <t>Balance Sheet v1|Total Borrowings at Commercial Interest Rates|0|40209</t>
  </si>
  <si>
    <t>Balance Sheet v1|Senior Secured Debt|0|40209</t>
  </si>
  <si>
    <t>Balance Sheet v1|Senior Unsecured Debt|0|40209</t>
  </si>
  <si>
    <t>Balance Sheet v1|Subordinated Debt|0|40209</t>
  </si>
  <si>
    <t>Balance Sheet v1|Other Liabilities|0|40209</t>
  </si>
  <si>
    <t>Balance Sheet v1|Donated Equity and paid-in-capital|0|40209</t>
  </si>
  <si>
    <t>Balance Sheet v1|Retained Earnings, Reserves &amp; Other|0|40209</t>
  </si>
  <si>
    <t>Balance Sheet v1|Total Cash &amp; ST Investments|0|40237</t>
  </si>
  <si>
    <t>Balance Sheet v1|Restricted Cash|0|40237</t>
  </si>
  <si>
    <t>Balance Sheet v1|Unrestricted Cash|0|40237</t>
  </si>
  <si>
    <t>Balance Sheet v1|Short Term Investments|0|40237</t>
  </si>
  <si>
    <t>Balance Sheet v1|Gross Loan Portfolio|0|40237</t>
  </si>
  <si>
    <t>Balance Sheet v1|(Loan Loss Reserves)|0|40237</t>
  </si>
  <si>
    <t>Balance Sheet v1|Other Assets|0|40237</t>
  </si>
  <si>
    <t>Balance Sheet v1|Savings Accounts|0|40237</t>
  </si>
  <si>
    <t>Balance Sheet v1|Total Borrowings at Concessional Interest Rates|0|40237</t>
  </si>
  <si>
    <t>Balance Sheet v1|Total Borrowings at Commercial Interest Rates|0|40237</t>
  </si>
  <si>
    <t>Balance Sheet v1|Senior Secured Debt|0|40237</t>
  </si>
  <si>
    <t>Balance Sheet v1|Senior Unsecured Debt|0|40237</t>
  </si>
  <si>
    <t>Balance Sheet v1|Subordinated Debt|0|40237</t>
  </si>
  <si>
    <t>Balance Sheet v1|Other Liabilities|0|40237</t>
  </si>
  <si>
    <t>Balance Sheet v1|Donated Equity and paid-in-capital|0|40237</t>
  </si>
  <si>
    <t>Balance Sheet v1|Retained Earnings, Reserves &amp; Other|0|40237</t>
  </si>
  <si>
    <t>Balance Sheet v1|Total Cash &amp; ST Investments|0|40268</t>
  </si>
  <si>
    <t>Balance Sheet v1|Restricted Cash|0|40268</t>
  </si>
  <si>
    <t>Balance Sheet v1|Unrestricted Cash|0|40268</t>
  </si>
  <si>
    <t>Balance Sheet v1|Short Term Investments|0|40268</t>
  </si>
  <si>
    <t>Balance Sheet v1|Gross Loan Portfolio|0|40268</t>
  </si>
  <si>
    <t>Balance Sheet v1|(Loan Loss Reserves)|0|40268</t>
  </si>
  <si>
    <t>Balance Sheet v1|Other Assets|0|40268</t>
  </si>
  <si>
    <t>Balance Sheet v1|Savings Accounts|0|40268</t>
  </si>
  <si>
    <t>Balance Sheet v1|Total Borrowings at Concessional Interest Rates|0|40268</t>
  </si>
  <si>
    <t>Balance Sheet v1|Total Borrowings at Commercial Interest Rates|0|40268</t>
  </si>
  <si>
    <t>Balance Sheet v1|Senior Secured Debt|0|40268</t>
  </si>
  <si>
    <t>Balance Sheet v1|Senior Unsecured Debt|0|40268</t>
  </si>
  <si>
    <t>Balance Sheet v1|Subordinated Debt|0|40268</t>
  </si>
  <si>
    <t>Balance Sheet v1|Other Liabilities|0|40268</t>
  </si>
  <si>
    <t>Balance Sheet v1|Donated Equity and paid-in-capital|0|40268</t>
  </si>
  <si>
    <t>Balance Sheet v1|Retained Earnings, Reserves &amp; Other|0|40268</t>
  </si>
  <si>
    <t>Balance Sheet v1|Total Cash &amp; ST Investments|0|40298</t>
  </si>
  <si>
    <t>Balance Sheet v1|Restricted Cash|0|40298</t>
  </si>
  <si>
    <t>Balance Sheet v1|Unrestricted Cash|0|40298</t>
  </si>
  <si>
    <t>Balance Sheet v1|Short Term Investments|0|40298</t>
  </si>
  <si>
    <t>Balance Sheet v1|Gross Loan Portfolio|0|40298</t>
  </si>
  <si>
    <t>Balance Sheet v1|(Loan Loss Reserves)|0|40298</t>
  </si>
  <si>
    <t>Balance Sheet v1|Other Assets|0|40298</t>
  </si>
  <si>
    <t>Balance Sheet v1|Savings Accounts|0|40298</t>
  </si>
  <si>
    <t>Balance Sheet v1|Total Borrowings at Concessional Interest Rates|0|40298</t>
  </si>
  <si>
    <t>Balance Sheet v1|Total Borrowings at Commercial Interest Rates|0|40298</t>
  </si>
  <si>
    <t>Balance Sheet v1|Senior Secured Debt|0|40298</t>
  </si>
  <si>
    <t>Balance Sheet v1|Senior Unsecured Debt|0|40298</t>
  </si>
  <si>
    <t>Balance Sheet v1|Subordinated Debt|0|40298</t>
  </si>
  <si>
    <t>Balance Sheet v1|Other Liabilities|0|40298</t>
  </si>
  <si>
    <t>Balance Sheet v1|Donated Equity and paid-in-capital|0|40298</t>
  </si>
  <si>
    <t>Balance Sheet v1|Retained Earnings, Reserves &amp; Other|0|40298</t>
  </si>
  <si>
    <t>Balance Sheet v1|Total Cash &amp; ST Investments|0|40329</t>
  </si>
  <si>
    <t>Balance Sheet v1|Restricted Cash|0|40329</t>
  </si>
  <si>
    <t>Balance Sheet v1|Unrestricted Cash|0|40329</t>
  </si>
  <si>
    <t>Balance Sheet v1|Short Term Investments|0|40329</t>
  </si>
  <si>
    <t>Balance Sheet v1|Gross Loan Portfolio|0|40329</t>
  </si>
  <si>
    <t>Balance Sheet v1|(Loan Loss Reserves)|0|40329</t>
  </si>
  <si>
    <t>Balance Sheet v1|Other Assets|0|40329</t>
  </si>
  <si>
    <t>Balance Sheet v1|Savings Accounts|0|40329</t>
  </si>
  <si>
    <t>Balance Sheet v1|Total Borrowings at Concessional Interest Rates|0|40329</t>
  </si>
  <si>
    <t>Balance Sheet v1|Total Borrowings at Commercial Interest Rates|0|40329</t>
  </si>
  <si>
    <t>Balance Sheet v1|Senior Secured Debt|0|40329</t>
  </si>
  <si>
    <t>Balance Sheet v1|Senior Unsecured Debt|0|40329</t>
  </si>
  <si>
    <t>Balance Sheet v1|Subordinated Debt|0|40329</t>
  </si>
  <si>
    <t>Balance Sheet v1|Other Liabilities|0|40329</t>
  </si>
  <si>
    <t>Balance Sheet v1|Donated Equity and paid-in-capital|0|40329</t>
  </si>
  <si>
    <t>Balance Sheet v1|Retained Earnings, Reserves &amp; Other|0|40329</t>
  </si>
  <si>
    <t>Balance Sheet v1|Total Cash &amp; ST Investments|0|40359</t>
  </si>
  <si>
    <t>Balance Sheet v1|Restricted Cash|0|40359</t>
  </si>
  <si>
    <t>Balance Sheet v1|Unrestricted Cash|0|40359</t>
  </si>
  <si>
    <t>Balance Sheet v1|Short Term Investments|0|40359</t>
  </si>
  <si>
    <t>Balance Sheet v1|Gross Loan Portfolio|0|40359</t>
  </si>
  <si>
    <t>Balance Sheet v1|(Loan Loss Reserves)|0|40359</t>
  </si>
  <si>
    <t>Balance Sheet v1|Other Assets|0|40359</t>
  </si>
  <si>
    <t>Balance Sheet v1|Savings Accounts|0|40359</t>
  </si>
  <si>
    <t>Balance Sheet v1|Total Borrowings at Concessional Interest Rates|0|40359</t>
  </si>
  <si>
    <t>Balance Sheet v1|Total Borrowings at Commercial Interest Rates|0|40359</t>
  </si>
  <si>
    <t>Balance Sheet v1|Senior Secured Debt|0|40359</t>
  </si>
  <si>
    <t>Balance Sheet v1|Senior Unsecured Debt|0|40359</t>
  </si>
  <si>
    <t>Balance Sheet v1|Subordinated Debt|0|40359</t>
  </si>
  <si>
    <t>Balance Sheet v1|Other Liabilities|0|40359</t>
  </si>
  <si>
    <t>Balance Sheet v1|Donated Equity and paid-in-capital|0|40359</t>
  </si>
  <si>
    <t>Balance Sheet v1|Retained Earnings, Reserves &amp; Other|0|40359</t>
  </si>
  <si>
    <t>Balance Sheet v1|Total Cash &amp; ST Investments|0|40390</t>
  </si>
  <si>
    <t>Balance Sheet v1|Restricted Cash|0|40390</t>
  </si>
  <si>
    <t>Balance Sheet v1|Unrestricted Cash|0|40390</t>
  </si>
  <si>
    <t>Balance Sheet v1|Short Term Investments|0|40390</t>
  </si>
  <si>
    <t>Balance Sheet v1|Gross Loan Portfolio|0|40390</t>
  </si>
  <si>
    <t>Balance Sheet v1|(Loan Loss Reserves)|0|40390</t>
  </si>
  <si>
    <t>Balance Sheet v1|Other Assets|0|40390</t>
  </si>
  <si>
    <t>Balance Sheet v1|Savings Accounts|0|40390</t>
  </si>
  <si>
    <t>Balance Sheet v1|Total Borrowings at Concessional Interest Rates|0|40390</t>
  </si>
  <si>
    <t>Balance Sheet v1|Total Borrowings at Commercial Interest Rates|0|40390</t>
  </si>
  <si>
    <t>Balance Sheet v1|Senior Secured Debt|0|40390</t>
  </si>
  <si>
    <t>Balance Sheet v1|Senior Unsecured Debt|0|40390</t>
  </si>
  <si>
    <t>Balance Sheet v1|Subordinated Debt|0|40390</t>
  </si>
  <si>
    <t>Balance Sheet v1|Other Liabilities|0|40390</t>
  </si>
  <si>
    <t>Balance Sheet v1|Donated Equity and paid-in-capital|0|40390</t>
  </si>
  <si>
    <t>Balance Sheet v1|Retained Earnings, Reserves &amp; Other|0|40390</t>
  </si>
  <si>
    <t>Balance Sheet v1|Total Cash &amp; ST Investments|0|40421</t>
  </si>
  <si>
    <t>Balance Sheet v1|Restricted Cash|0|40421</t>
  </si>
  <si>
    <t>Balance Sheet v1|Unrestricted Cash|0|40421</t>
  </si>
  <si>
    <t>Balance Sheet v1|Short Term Investments|0|40421</t>
  </si>
  <si>
    <t>Balance Sheet v1|Gross Loan Portfolio|0|40421</t>
  </si>
  <si>
    <t>Balance Sheet v1|(Loan Loss Reserves)|0|40421</t>
  </si>
  <si>
    <t>Balance Sheet v1|Other Assets|0|40421</t>
  </si>
  <si>
    <t>Balance Sheet v1|Savings Accounts|0|40421</t>
  </si>
  <si>
    <t>Balance Sheet v1|Total Borrowings at Concessional Interest Rates|0|40421</t>
  </si>
  <si>
    <t>Balance Sheet v1|Total Borrowings at Commercial Interest Rates|0|40421</t>
  </si>
  <si>
    <t>Balance Sheet v1|Senior Secured Debt|0|40421</t>
  </si>
  <si>
    <t>Balance Sheet v1|Senior Unsecured Debt|0|40421</t>
  </si>
  <si>
    <t>Balance Sheet v1|Subordinated Debt|0|40421</t>
  </si>
  <si>
    <t>Balance Sheet v1|Other Liabilities|0|40421</t>
  </si>
  <si>
    <t>Balance Sheet v1|Donated Equity and paid-in-capital|0|40421</t>
  </si>
  <si>
    <t>Balance Sheet v1|Retained Earnings, Reserves &amp; Other|0|40421</t>
  </si>
  <si>
    <t>Balance Sheet v1|Total Cash &amp; ST Investments|0|40451</t>
  </si>
  <si>
    <t>Balance Sheet v1|Restricted Cash|0|40451</t>
  </si>
  <si>
    <t>Balance Sheet v1|Unrestricted Cash|0|40451</t>
  </si>
  <si>
    <t>Balance Sheet v1|Short Term Investments|0|40451</t>
  </si>
  <si>
    <t>Balance Sheet v1|Gross Loan Portfolio|0|40451</t>
  </si>
  <si>
    <t>Balance Sheet v1|(Loan Loss Reserves)|0|40451</t>
  </si>
  <si>
    <t>Balance Sheet v1|Other Assets|0|40451</t>
  </si>
  <si>
    <t>Balance Sheet v1|Savings Accounts|0|40451</t>
  </si>
  <si>
    <t>Balance Sheet v1|Total Borrowings at Concessional Interest Rates|0|40451</t>
  </si>
  <si>
    <t>Balance Sheet v1|Total Borrowings at Commercial Interest Rates|0|40451</t>
  </si>
  <si>
    <t>Balance Sheet v1|Senior Secured Debt|0|40451</t>
  </si>
  <si>
    <t>Balance Sheet v1|Senior Unsecured Debt|0|40451</t>
  </si>
  <si>
    <t>Balance Sheet v1|Subordinated Debt|0|40451</t>
  </si>
  <si>
    <t>Balance Sheet v1|Other Liabilities|0|40451</t>
  </si>
  <si>
    <t>Balance Sheet v1|Donated Equity and paid-in-capital|0|40451</t>
  </si>
  <si>
    <t>Balance Sheet v1|Retained Earnings, Reserves &amp; Other|0|40451</t>
  </si>
  <si>
    <t>Balance Sheet v1|Total Cash &amp; ST Investments|0|40482</t>
  </si>
  <si>
    <t>Balance Sheet v1|Restricted Cash|0|40482</t>
  </si>
  <si>
    <t>Balance Sheet v1|Unrestricted Cash|0|40482</t>
  </si>
  <si>
    <t>Balance Sheet v1|Short Term Investments|0|40482</t>
  </si>
  <si>
    <t>Balance Sheet v1|Gross Loan Portfolio|0|40482</t>
  </si>
  <si>
    <t>Balance Sheet v1|(Loan Loss Reserves)|0|40482</t>
  </si>
  <si>
    <t>Balance Sheet v1|Other Assets|0|40482</t>
  </si>
  <si>
    <t>Balance Sheet v1|Savings Accounts|0|40482</t>
  </si>
  <si>
    <t>Balance Sheet v1|Total Borrowings at Concessional Interest Rates|0|40482</t>
  </si>
  <si>
    <t>Balance Sheet v1|Total Borrowings at Commercial Interest Rates|0|40482</t>
  </si>
  <si>
    <t>Balance Sheet v1|Senior Secured Debt|0|40482</t>
  </si>
  <si>
    <t>Balance Sheet v1|Senior Unsecured Debt|0|40482</t>
  </si>
  <si>
    <t>Balance Sheet v1|Subordinated Debt|0|40482</t>
  </si>
  <si>
    <t>Balance Sheet v1|Other Liabilities|0|40482</t>
  </si>
  <si>
    <t>Balance Sheet v1|Donated Equity and paid-in-capital|0|40482</t>
  </si>
  <si>
    <t>Balance Sheet v1|Retained Earnings, Reserves &amp; Other|0|40482</t>
  </si>
  <si>
    <t>Balance Sheet v1|Total Cash &amp; ST Investments|0|40512</t>
  </si>
  <si>
    <t>Balance Sheet v1|Restricted Cash|0|40512</t>
  </si>
  <si>
    <t>Balance Sheet v1|Unrestricted Cash|0|40512</t>
  </si>
  <si>
    <t>Balance Sheet v1|Short Term Investments|0|40512</t>
  </si>
  <si>
    <t>Balance Sheet v1|Gross Loan Portfolio|0|40512</t>
  </si>
  <si>
    <t>Balance Sheet v1|(Loan Loss Reserves)|0|40512</t>
  </si>
  <si>
    <t>Balance Sheet v1|Other Assets|0|40512</t>
  </si>
  <si>
    <t>Balance Sheet v1|Savings Accounts|0|40512</t>
  </si>
  <si>
    <t>Balance Sheet v1|Total Borrowings at Concessional Interest Rates|0|40512</t>
  </si>
  <si>
    <t>Balance Sheet v1|Total Borrowings at Commercial Interest Rates|0|40512</t>
  </si>
  <si>
    <t>Balance Sheet v1|Senior Secured Debt|0|40512</t>
  </si>
  <si>
    <t>Balance Sheet v1|Senior Unsecured Debt|0|40512</t>
  </si>
  <si>
    <t>Balance Sheet v1|Subordinated Debt|0|40512</t>
  </si>
  <si>
    <t>Balance Sheet v1|Other Liabilities|0|40512</t>
  </si>
  <si>
    <t>Balance Sheet v1|Donated Equity and paid-in-capital|0|40512</t>
  </si>
  <si>
    <t>Balance Sheet v1|Retained Earnings, Reserves &amp; Other|0|40512</t>
  </si>
  <si>
    <t>Balance Sheet v1|Total Cash &amp; ST Investments|0|40543</t>
  </si>
  <si>
    <t>Balance Sheet v1|Restricted Cash|0|40543</t>
  </si>
  <si>
    <t>Balance Sheet v1|Unrestricted Cash|0|40543</t>
  </si>
  <si>
    <t>Balance Sheet v1|Short Term Investments|0|40543</t>
  </si>
  <si>
    <t>Balance Sheet v1|Gross Loan Portfolio|0|40543</t>
  </si>
  <si>
    <t>Balance Sheet v1|(Loan Loss Reserves)|0|40543</t>
  </si>
  <si>
    <t>Balance Sheet v1|Other Assets|0|40543</t>
  </si>
  <si>
    <t>Balance Sheet v1|Savings Accounts|0|40543</t>
  </si>
  <si>
    <t>Balance Sheet v1|Total Borrowings at Concessional Interest Rates|0|40543</t>
  </si>
  <si>
    <t>Balance Sheet v1|Total Borrowings at Commercial Interest Rates|0|40543</t>
  </si>
  <si>
    <t>Balance Sheet v1|Senior Secured Debt|0|40543</t>
  </si>
  <si>
    <t>Balance Sheet v1|Senior Unsecured Debt|0|40543</t>
  </si>
  <si>
    <t>Balance Sheet v1|Subordinated Debt|0|40543</t>
  </si>
  <si>
    <t>Balance Sheet v1|Other Liabilities|0|40543</t>
  </si>
  <si>
    <t>Balance Sheet v1|Donated Equity and paid-in-capital|0|40543</t>
  </si>
  <si>
    <t>Balance Sheet v1|Retained Earnings, Reserves &amp; Other|0|40543</t>
  </si>
  <si>
    <t>Income Statement v1|Financial Revenue|0|40209</t>
  </si>
  <si>
    <t>Income Statement v1|Financial Expenses|0|40209</t>
  </si>
  <si>
    <t>Income Statement v1|Net Monetary/Inflation Adjustments|0|40209</t>
  </si>
  <si>
    <t>Income Statement v1|Loan Loss Provision Expense|0|40209</t>
  </si>
  <si>
    <t>Income Statement v1|Other Financial Service Income (Expense)|0|40209</t>
  </si>
  <si>
    <t>Income Statement v1|Operating Expense|0|40209</t>
  </si>
  <si>
    <t>Income Statement v1|Non-Operating Revenue|0|40209</t>
  </si>
  <si>
    <t>Income Statement v1|Non-Operating Expense|0|40209</t>
  </si>
  <si>
    <t>Income Statement v1|Taxes|0|40209</t>
  </si>
  <si>
    <t>Income Statement v1|Donations|0|40209</t>
  </si>
  <si>
    <t>Income Statement v1|Dividends|0|40209</t>
  </si>
  <si>
    <t>Income Statement v1|Financial Revenue|0|40237</t>
  </si>
  <si>
    <t>Income Statement v1|Financial Expenses|0|40237</t>
  </si>
  <si>
    <t>Income Statement v1|Net Monetary/Inflation Adjustments|0|40237</t>
  </si>
  <si>
    <t>Income Statement v1|Loan Loss Provision Expense|0|40237</t>
  </si>
  <si>
    <t>Income Statement v1|Other Financial Service Income (Expense)|0|40237</t>
  </si>
  <si>
    <t>Income Statement v1|Operating Expense|0|40237</t>
  </si>
  <si>
    <t>Income Statement v1|Non-Operating Revenue|0|40237</t>
  </si>
  <si>
    <t>Income Statement v1|Non-Operating Expense|0|40237</t>
  </si>
  <si>
    <t>Income Statement v1|Taxes|0|40237</t>
  </si>
  <si>
    <t>Income Statement v1|Donations|0|40237</t>
  </si>
  <si>
    <t>Income Statement v1|Dividends|0|40237</t>
  </si>
  <si>
    <t>Income Statement v1|Financial Revenue|0|40268</t>
  </si>
  <si>
    <t>Income Statement v1|Financial Expenses|0|40268</t>
  </si>
  <si>
    <t>Income Statement v1|Net Monetary/Inflation Adjustments|0|40268</t>
  </si>
  <si>
    <t>Income Statement v1|Loan Loss Provision Expense|0|40268</t>
  </si>
  <si>
    <t>Income Statement v1|Other Financial Service Income (Expense)|0|40268</t>
  </si>
  <si>
    <t>Income Statement v1|Operating Expense|0|40268</t>
  </si>
  <si>
    <t>Income Statement v1|Non-Operating Revenue|0|40268</t>
  </si>
  <si>
    <t>Income Statement v1|Non-Operating Expense|0|40268</t>
  </si>
  <si>
    <t>Income Statement v1|Taxes|0|40268</t>
  </si>
  <si>
    <t>Income Statement v1|Donations|0|40268</t>
  </si>
  <si>
    <t>Income Statement v1|Dividends|0|40268</t>
  </si>
  <si>
    <t>Income Statement v1|Financial Revenue|0|40298</t>
  </si>
  <si>
    <t>Income Statement v1|Financial Expenses|0|40298</t>
  </si>
  <si>
    <t>Income Statement v1|Net Monetary/Inflation Adjustments|0|40298</t>
  </si>
  <si>
    <t>Income Statement v1|Loan Loss Provision Expense|0|40298</t>
  </si>
  <si>
    <t>Income Statement v1|Other Financial Service Income (Expense)|0|40298</t>
  </si>
  <si>
    <t>Income Statement v1|Operating Expense|0|40298</t>
  </si>
  <si>
    <t>Income Statement v1|Non-Operating Revenue|0|40298</t>
  </si>
  <si>
    <t>Income Statement v1|Non-Operating Expense|0|40298</t>
  </si>
  <si>
    <t>Income Statement v1|Taxes|0|40298</t>
  </si>
  <si>
    <t>Income Statement v1|Donations|0|40298</t>
  </si>
  <si>
    <t>Income Statement v1|Dividends|0|40298</t>
  </si>
  <si>
    <t>Income Statement v1|Financial Revenue|0|40329</t>
  </si>
  <si>
    <t>Income Statement v1|Financial Expenses|0|40329</t>
  </si>
  <si>
    <t>Income Statement v1|Net Monetary/Inflation Adjustments|0|40329</t>
  </si>
  <si>
    <t>Income Statement v1|Loan Loss Provision Expense|0|40329</t>
  </si>
  <si>
    <t>Income Statement v1|Other Financial Service Income (Expense)|0|40329</t>
  </si>
  <si>
    <t>Income Statement v1|Operating Expense|0|40329</t>
  </si>
  <si>
    <t>Income Statement v1|Non-Operating Revenue|0|40329</t>
  </si>
  <si>
    <t>Income Statement v1|Non-Operating Expense|0|40329</t>
  </si>
  <si>
    <t>Income Statement v1|Taxes|0|40329</t>
  </si>
  <si>
    <t>Income Statement v1|Donations|0|40329</t>
  </si>
  <si>
    <t>Income Statement v1|Dividends|0|40329</t>
  </si>
  <si>
    <t>Income Statement v1|Financial Revenue|0|40359</t>
  </si>
  <si>
    <t>Income Statement v1|Financial Expenses|0|40359</t>
  </si>
  <si>
    <t>Income Statement v1|Net Monetary/Inflation Adjustments|0|40359</t>
  </si>
  <si>
    <t>Income Statement v1|Loan Loss Provision Expense|0|40359</t>
  </si>
  <si>
    <t>Income Statement v1|Other Financial Service Income (Expense)|0|40359</t>
  </si>
  <si>
    <t>Income Statement v1|Operating Expense|0|40359</t>
  </si>
  <si>
    <t>Income Statement v1|Non-Operating Revenue|0|40359</t>
  </si>
  <si>
    <t>Income Statement v1|Non-Operating Expense|0|40359</t>
  </si>
  <si>
    <t>Income Statement v1|Taxes|0|40359</t>
  </si>
  <si>
    <t>Income Statement v1|Donations|0|40359</t>
  </si>
  <si>
    <t>Income Statement v1|Dividends|0|40359</t>
  </si>
  <si>
    <t>Income Statement v1|Financial Revenue|0|40390</t>
  </si>
  <si>
    <t>Income Statement v1|Financial Expenses|0|40390</t>
  </si>
  <si>
    <t>Income Statement v1|Net Monetary/Inflation Adjustments|0|40390</t>
  </si>
  <si>
    <t>Income Statement v1|Loan Loss Provision Expense|0|40390</t>
  </si>
  <si>
    <t>Income Statement v1|Other Financial Service Income (Expense)|0|40390</t>
  </si>
  <si>
    <t>Income Statement v1|Operating Expense|0|40390</t>
  </si>
  <si>
    <t>Income Statement v1|Non-Operating Revenue|0|40390</t>
  </si>
  <si>
    <t>Income Statement v1|Non-Operating Expense|0|40390</t>
  </si>
  <si>
    <t>Income Statement v1|Taxes|0|40390</t>
  </si>
  <si>
    <t>Income Statement v1|Donations|0|40390</t>
  </si>
  <si>
    <t>Income Statement v1|Dividends|0|40390</t>
  </si>
  <si>
    <t>Income Statement v1|Financial Revenue|0|40421</t>
  </si>
  <si>
    <t>Income Statement v1|Financial Expenses|0|40421</t>
  </si>
  <si>
    <t>Income Statement v1|Net Monetary/Inflation Adjustments|0|40421</t>
  </si>
  <si>
    <t>Income Statement v1|Loan Loss Provision Expense|0|40421</t>
  </si>
  <si>
    <t>Income Statement v1|Other Financial Service Income (Expense)|0|40421</t>
  </si>
  <si>
    <t>Income Statement v1|Operating Expense|0|40421</t>
  </si>
  <si>
    <t>Income Statement v1|Non-Operating Revenue|0|40421</t>
  </si>
  <si>
    <t>Income Statement v1|Non-Operating Expense|0|40421</t>
  </si>
  <si>
    <t>Income Statement v1|Taxes|0|40421</t>
  </si>
  <si>
    <t>Income Statement v1|Donations|0|40421</t>
  </si>
  <si>
    <t>Income Statement v1|Dividends|0|40421</t>
  </si>
  <si>
    <t>Income Statement v1|Financial Revenue|0|40451</t>
  </si>
  <si>
    <t>Income Statement v1|Financial Expenses|0|40451</t>
  </si>
  <si>
    <t>Income Statement v1|Net Monetary/Inflation Adjustments|0|40451</t>
  </si>
  <si>
    <t>Income Statement v1|Loan Loss Provision Expense|0|40451</t>
  </si>
  <si>
    <t>Income Statement v1|Other Financial Service Income (Expense)|0|40451</t>
  </si>
  <si>
    <t>Income Statement v1|Operating Expense|0|40451</t>
  </si>
  <si>
    <t>Income Statement v1|Non-Operating Revenue|0|40451</t>
  </si>
  <si>
    <t>Income Statement v1|Non-Operating Expense|0|40451</t>
  </si>
  <si>
    <t>Income Statement v1|Taxes|0|40451</t>
  </si>
  <si>
    <t>Income Statement v1|Donations|0|40451</t>
  </si>
  <si>
    <t>Income Statement v1|Dividends|0|40451</t>
  </si>
  <si>
    <t>Income Statement v1|Financial Revenue|0|40482</t>
  </si>
  <si>
    <t>Income Statement v1|Financial Expenses|0|40482</t>
  </si>
  <si>
    <t>Income Statement v1|Net Monetary/Inflation Adjustments|0|40482</t>
  </si>
  <si>
    <t>Income Statement v1|Loan Loss Provision Expense|0|40482</t>
  </si>
  <si>
    <t>Income Statement v1|Other Financial Service Income (Expense)|0|40482</t>
  </si>
  <si>
    <t>Income Statement v1|Operating Expense|0|40482</t>
  </si>
  <si>
    <t>Income Statement v1|Non-Operating Revenue|0|40482</t>
  </si>
  <si>
    <t>Income Statement v1|Non-Operating Expense|0|40482</t>
  </si>
  <si>
    <t>Income Statement v1|Taxes|0|40482</t>
  </si>
  <si>
    <t>Income Statement v1|Donations|0|40482</t>
  </si>
  <si>
    <t>Income Statement v1|Dividends|0|40482</t>
  </si>
  <si>
    <t>Income Statement v1|Financial Revenue|0|40512</t>
  </si>
  <si>
    <t>Income Statement v1|Financial Expenses|0|40512</t>
  </si>
  <si>
    <t>Income Statement v1|Net Monetary/Inflation Adjustments|0|40512</t>
  </si>
  <si>
    <t>Income Statement v1|Loan Loss Provision Expense|0|40512</t>
  </si>
  <si>
    <t>Income Statement v1|Other Financial Service Income (Expense)|0|40512</t>
  </si>
  <si>
    <t>Income Statement v1|Operating Expense|0|40512</t>
  </si>
  <si>
    <t>Income Statement v1|Non-Operating Revenue|0|40512</t>
  </si>
  <si>
    <t>Income Statement v1|Non-Operating Expense|0|40512</t>
  </si>
  <si>
    <t>Income Statement v1|Taxes|0|40512</t>
  </si>
  <si>
    <t>Income Statement v1|Donations|0|40512</t>
  </si>
  <si>
    <t>Income Statement v1|Dividends|0|40512</t>
  </si>
  <si>
    <t>Income Statement v1|Financial Revenue|0|40543</t>
  </si>
  <si>
    <t>Income Statement v1|Financial Expenses|0|40543</t>
  </si>
  <si>
    <t>Income Statement v1|Net Monetary/Inflation Adjustments|0|40543</t>
  </si>
  <si>
    <t>Income Statement v1|Loan Loss Provision Expense|0|40543</t>
  </si>
  <si>
    <t>Income Statement v1|Other Financial Service Income (Expense)|0|40543</t>
  </si>
  <si>
    <t>Income Statement v1|Operating Expense|0|40543</t>
  </si>
  <si>
    <t>Income Statement v1|Non-Operating Revenue|0|40543</t>
  </si>
  <si>
    <t>Income Statement v1|Non-Operating Expense|0|40543</t>
  </si>
  <si>
    <t>Income Statement v1|Taxes|0|40543</t>
  </si>
  <si>
    <t>Income Statement v1|Donations|0|40543</t>
  </si>
  <si>
    <t>Income Statement v1|Dividends|0|40543</t>
  </si>
  <si>
    <t>Cash Flow v1|Net Cash Flow from Operations|0|40209</t>
  </si>
  <si>
    <t>Cash Flow v1|Net Cash Flow from Investment Activities|0|40209</t>
  </si>
  <si>
    <t>Cash Flow v1|Net Cash Flow from Financing Activities|0|40209</t>
  </si>
  <si>
    <t>Cash Flow v1|Net Cash Flow from Operations|0|40237</t>
  </si>
  <si>
    <t>Cash Flow v1|Net Cash Flow from Investment Activities|0|40237</t>
  </si>
  <si>
    <t>Cash Flow v1|Net Cash Flow from Financing Activities|0|40237</t>
  </si>
  <si>
    <t>Cash Flow v1|Net Cash Flow from Operations|0|40268</t>
  </si>
  <si>
    <t>Cash Flow v1|Net Cash Flow from Investment Activities|0|40268</t>
  </si>
  <si>
    <t>Cash Flow v1|Net Cash Flow from Financing Activities|0|40268</t>
  </si>
  <si>
    <t>Cash Flow v1|Net Cash Flow from Operations|0|40298</t>
  </si>
  <si>
    <t>Cash Flow v1|Net Cash Flow from Investment Activities|0|40298</t>
  </si>
  <si>
    <t>Cash Flow v1|Net Cash Flow from Financing Activities|0|40298</t>
  </si>
  <si>
    <t>Cash Flow v1|Net Cash Flow from Operations|0|40329</t>
  </si>
  <si>
    <t>Cash Flow v1|Net Cash Flow from Investment Activities|0|40329</t>
  </si>
  <si>
    <t>Cash Flow v1|Net Cash Flow from Financing Activities|0|40329</t>
  </si>
  <si>
    <t>Cash Flow v1|Net Cash Flow from Operations|0|40359</t>
  </si>
  <si>
    <t>Cash Flow v1|Net Cash Flow from Investment Activities|0|40359</t>
  </si>
  <si>
    <t>Cash Flow v1|Net Cash Flow from Financing Activities|0|40359</t>
  </si>
  <si>
    <t>Cash Flow v1|Net Cash Flow from Operations|0|40390</t>
  </si>
  <si>
    <t>Cash Flow v1|Net Cash Flow from Investment Activities|0|40390</t>
  </si>
  <si>
    <t>Cash Flow v1|Net Cash Flow from Financing Activities|0|40390</t>
  </si>
  <si>
    <t>Cash Flow v1|Net Cash Flow from Operations|0|40421</t>
  </si>
  <si>
    <t>Cash Flow v1|Net Cash Flow from Investment Activities|0|40421</t>
  </si>
  <si>
    <t>Cash Flow v1|Net Cash Flow from Financing Activities|0|40421</t>
  </si>
  <si>
    <t>Cash Flow v1|Net Cash Flow from Operations|0|40451</t>
  </si>
  <si>
    <t>Cash Flow v1|Net Cash Flow from Investment Activities|0|40451</t>
  </si>
  <si>
    <t>Cash Flow v1|Net Cash Flow from Financing Activities|0|40451</t>
  </si>
  <si>
    <t>Cash Flow v1|Net Cash Flow from Operations|0|40482</t>
  </si>
  <si>
    <t>Cash Flow v1|Net Cash Flow from Investment Activities|0|40482</t>
  </si>
  <si>
    <t>Cash Flow v1|Net Cash Flow from Financing Activities|0|40482</t>
  </si>
  <si>
    <t>Cash Flow v1|Net Cash Flow from Operations|0|40512</t>
  </si>
  <si>
    <t>Cash Flow v1|Net Cash Flow from Investment Activities|0|40512</t>
  </si>
  <si>
    <t>Cash Flow v1|Net Cash Flow from Financing Activities|0|40512</t>
  </si>
  <si>
    <t>Cash Flow v1|Net Cash Flow from Operations|0|40543</t>
  </si>
  <si>
    <t>Cash Flow v1|Net Cash Flow from Investment Activities|0|40543</t>
  </si>
  <si>
    <t>Cash Flow v1|Net Cash Flow from Financing Activities|0|40543</t>
  </si>
  <si>
    <t>Currency Exposure v1|Assets|0|40209</t>
  </si>
  <si>
    <t>Currency Exposure v1|Loan Portfolio|0|40209</t>
  </si>
  <si>
    <t>Currency Exposure v1|Savings|0|40209</t>
  </si>
  <si>
    <t>Currency Exposure v1|Borrowings|0|40209</t>
  </si>
  <si>
    <t>Currency Exposure v1|Back-to-back Loans|0|40209</t>
  </si>
  <si>
    <t>Currency Exposure v1|Options|0|40209</t>
  </si>
  <si>
    <t>Currency Exposure v1|Forwards|0|40209</t>
  </si>
  <si>
    <t>Currency Exposure v1|Swaps|0|40209</t>
  </si>
  <si>
    <t>Currency Exposure v1|Input Exchange Rate (Local Currency / USD)|0|40209</t>
  </si>
  <si>
    <t>Currency Exposure v1|Assets|0|40237</t>
  </si>
  <si>
    <t>Currency Exposure v1|Loan Portfolio|0|40237</t>
  </si>
  <si>
    <t>Currency Exposure v1|Savings|0|40237</t>
  </si>
  <si>
    <t>Currency Exposure v1|Borrowings|0|40237</t>
  </si>
  <si>
    <t>Currency Exposure v1|Back-to-back Loans|0|40237</t>
  </si>
  <si>
    <t>Currency Exposure v1|Options|0|40237</t>
  </si>
  <si>
    <t>Currency Exposure v1|Forwards|0|40237</t>
  </si>
  <si>
    <t>Currency Exposure v1|Swaps|0|40237</t>
  </si>
  <si>
    <t>Currency Exposure v1|Input Exchange Rate (Local Currency / USD)|0|40237</t>
  </si>
  <si>
    <t>Currency Exposure v1|Assets|0|40268</t>
  </si>
  <si>
    <t>Currency Exposure v1|Loan Portfolio|0|40268</t>
  </si>
  <si>
    <t>Currency Exposure v1|Savings|0|40268</t>
  </si>
  <si>
    <t>Currency Exposure v1|Borrowings|0|40268</t>
  </si>
  <si>
    <t>Currency Exposure v1|Back-to-back Loans|0|40268</t>
  </si>
  <si>
    <t>Currency Exposure v1|Options|0|40268</t>
  </si>
  <si>
    <t>Currency Exposure v1|Forwards|0|40268</t>
  </si>
  <si>
    <t>Currency Exposure v1|Swaps|0|40268</t>
  </si>
  <si>
    <t>Currency Exposure v1|Input Exchange Rate (Local Currency / USD)|0|40268</t>
  </si>
  <si>
    <t>Currency Exposure v1|Assets|0|40298</t>
  </si>
  <si>
    <t>Currency Exposure v1|Loan Portfolio|0|40298</t>
  </si>
  <si>
    <t>Currency Exposure v1|Savings|0|40298</t>
  </si>
  <si>
    <t>Currency Exposure v1|Borrowings|0|40298</t>
  </si>
  <si>
    <t>Currency Exposure v1|Back-to-back Loans|0|40298</t>
  </si>
  <si>
    <t>Currency Exposure v1|Options|0|40298</t>
  </si>
  <si>
    <t>Currency Exposure v1|Forwards|0|40298</t>
  </si>
  <si>
    <t>Currency Exposure v1|Swaps|0|40298</t>
  </si>
  <si>
    <t>Currency Exposure v1|Input Exchange Rate (Local Currency / USD)|0|40298</t>
  </si>
  <si>
    <t>Currency Exposure v1|Assets|0|40329</t>
  </si>
  <si>
    <t>Currency Exposure v1|Loan Portfolio|0|40329</t>
  </si>
  <si>
    <t>Currency Exposure v1|Savings|0|40329</t>
  </si>
  <si>
    <t>Currency Exposure v1|Borrowings|0|40329</t>
  </si>
  <si>
    <t>Currency Exposure v1|Back-to-back Loans|0|40329</t>
  </si>
  <si>
    <t>Currency Exposure v1|Options|0|40329</t>
  </si>
  <si>
    <t>Currency Exposure v1|Forwards|0|40329</t>
  </si>
  <si>
    <t>Currency Exposure v1|Swaps|0|40329</t>
  </si>
  <si>
    <t>Currency Exposure v1|Input Exchange Rate (Local Currency / USD)|0|40329</t>
  </si>
  <si>
    <t>Currency Exposure v1|Assets|0|40359</t>
  </si>
  <si>
    <t>Currency Exposure v1|Loan Portfolio|0|40359</t>
  </si>
  <si>
    <t>Currency Exposure v1|Savings|0|40359</t>
  </si>
  <si>
    <t>Currency Exposure v1|Borrowings|0|40359</t>
  </si>
  <si>
    <t>Currency Exposure v1|Back-to-back Loans|0|40359</t>
  </si>
  <si>
    <t>Currency Exposure v1|Options|0|40359</t>
  </si>
  <si>
    <t>Currency Exposure v1|Forwards|0|40359</t>
  </si>
  <si>
    <t>Currency Exposure v1|Swaps|0|40359</t>
  </si>
  <si>
    <t>Currency Exposure v1|Input Exchange Rate (Local Currency / USD)|0|40359</t>
  </si>
  <si>
    <t>Currency Exposure v1|Assets|0|40390</t>
  </si>
  <si>
    <t>Currency Exposure v1|Loan Portfolio|0|40390</t>
  </si>
  <si>
    <t>Currency Exposure v1|Savings|0|40390</t>
  </si>
  <si>
    <t>Currency Exposure v1|Borrowings|0|40390</t>
  </si>
  <si>
    <t>Currency Exposure v1|Back-to-back Loans|0|40390</t>
  </si>
  <si>
    <t>Currency Exposure v1|Options|0|40390</t>
  </si>
  <si>
    <t>Currency Exposure v1|Forwards|0|40390</t>
  </si>
  <si>
    <t>Currency Exposure v1|Swaps|0|40390</t>
  </si>
  <si>
    <t>Currency Exposure v1|Input Exchange Rate (Local Currency / USD)|0|40390</t>
  </si>
  <si>
    <t>Currency Exposure v1|Assets|0|40421</t>
  </si>
  <si>
    <t>Currency Exposure v1|Loan Portfolio|0|40421</t>
  </si>
  <si>
    <t>Currency Exposure v1|Savings|0|40421</t>
  </si>
  <si>
    <t>Currency Exposure v1|Borrowings|0|40421</t>
  </si>
  <si>
    <t>Currency Exposure v1|Back-to-back Loans|0|40421</t>
  </si>
  <si>
    <t>Currency Exposure v1|Options|0|40421</t>
  </si>
  <si>
    <t>Currency Exposure v1|Forwards|0|40421</t>
  </si>
  <si>
    <t>Currency Exposure v1|Swaps|0|40421</t>
  </si>
  <si>
    <t>Currency Exposure v1|Input Exchange Rate (Local Currency / USD)|0|40421</t>
  </si>
  <si>
    <t>Currency Exposure v1|Assets|0|40451</t>
  </si>
  <si>
    <t>Currency Exposure v1|Loan Portfolio|0|40451</t>
  </si>
  <si>
    <t>Currency Exposure v1|Savings|0|40451</t>
  </si>
  <si>
    <t>Currency Exposure v1|Borrowings|0|40451</t>
  </si>
  <si>
    <t>Currency Exposure v1|Back-to-back Loans|0|40451</t>
  </si>
  <si>
    <t>Currency Exposure v1|Options|0|40451</t>
  </si>
  <si>
    <t>Currency Exposure v1|Forwards|0|40451</t>
  </si>
  <si>
    <t>Currency Exposure v1|Swaps|0|40451</t>
  </si>
  <si>
    <t>Currency Exposure v1|Input Exchange Rate (Local Currency / USD)|0|40451</t>
  </si>
  <si>
    <t>Currency Exposure v1|Assets|0|40482</t>
  </si>
  <si>
    <t>Currency Exposure v1|Loan Portfolio|0|40482</t>
  </si>
  <si>
    <t>Currency Exposure v1|Savings|0|40482</t>
  </si>
  <si>
    <t>Currency Exposure v1|Borrowings|0|40482</t>
  </si>
  <si>
    <t>Currency Exposure v1|Back-to-back Loans|0|40482</t>
  </si>
  <si>
    <t>Currency Exposure v1|Options|0|40482</t>
  </si>
  <si>
    <t>Currency Exposure v1|Forwards|0|40482</t>
  </si>
  <si>
    <t>Currency Exposure v1|Swaps|0|40482</t>
  </si>
  <si>
    <t>Currency Exposure v1|Input Exchange Rate (Local Currency / USD)|0|40482</t>
  </si>
  <si>
    <t>Currency Exposure v1|Assets|0|40512</t>
  </si>
  <si>
    <t>Currency Exposure v1|Loan Portfolio|0|40512</t>
  </si>
  <si>
    <t>Currency Exposure v1|Savings|0|40512</t>
  </si>
  <si>
    <t>Currency Exposure v1|Borrowings|0|40512</t>
  </si>
  <si>
    <t>Currency Exposure v1|Back-to-back Loans|0|40512</t>
  </si>
  <si>
    <t>Currency Exposure v1|Options|0|40512</t>
  </si>
  <si>
    <t>Currency Exposure v1|Forwards|0|40512</t>
  </si>
  <si>
    <t>Currency Exposure v1|Swaps|0|40512</t>
  </si>
  <si>
    <t>Currency Exposure v1|Input Exchange Rate (Local Currency / USD)|0|40512</t>
  </si>
  <si>
    <t>Currency Exposure v1|Assets|0|40543</t>
  </si>
  <si>
    <t>Currency Exposure v1|Loan Portfolio|0|40543</t>
  </si>
  <si>
    <t>Currency Exposure v1|Savings|0|40543</t>
  </si>
  <si>
    <t>Currency Exposure v1|Borrowings|0|40543</t>
  </si>
  <si>
    <t>Currency Exposure v1|Back-to-back Loans|0|40543</t>
  </si>
  <si>
    <t>Currency Exposure v1|Options|0|40543</t>
  </si>
  <si>
    <t>Currency Exposure v1|Forwards|0|40543</t>
  </si>
  <si>
    <t>Currency Exposure v1|Swaps|0|40543</t>
  </si>
  <si>
    <t>Currency Exposure v1|Input Exchange Rate (Local Currency / USD)|0|40543</t>
  </si>
  <si>
    <t>Portfolio Quality v1|Current Portfolio|0|40209</t>
  </si>
  <si>
    <t>Portfolio Quality v1|PAR (1-30 days)|0|40209</t>
  </si>
  <si>
    <t>Portfolio Quality v1|PAR (&gt;30 days)|0|40209</t>
  </si>
  <si>
    <t>Portfolio Quality v1|PAR (31-60 days)|0|40209</t>
  </si>
  <si>
    <t>Portfolio Quality v1|PAR (61-90 days)|0|40209</t>
  </si>
  <si>
    <t>Portfolio Quality v1|PAR (91-180 days)|0|40209</t>
  </si>
  <si>
    <t>Portfolio Quality v1|PAR (&gt;180 days)|0|40209</t>
  </si>
  <si>
    <t>Portfolio Quality v1|Restructured and/or Refinanced|0|40209</t>
  </si>
  <si>
    <t>Portfolio Quality v1|Write-Offs|0|40209</t>
  </si>
  <si>
    <t>Portfolio Quality v1|Recovered loans|0|40209</t>
  </si>
  <si>
    <t>Portfolio Quality v1|Current Portfolio|0|40237</t>
  </si>
  <si>
    <t>Portfolio Quality v1|PAR (1-30 days)|0|40237</t>
  </si>
  <si>
    <t>Portfolio Quality v1|PAR (&gt;30 days)|0|40237</t>
  </si>
  <si>
    <t>Portfolio Quality v1|PAR (31-60 days)|0|40237</t>
  </si>
  <si>
    <t>Portfolio Quality v1|PAR (61-90 days)|0|40237</t>
  </si>
  <si>
    <t>Portfolio Quality v1|PAR (91-180 days)|0|40237</t>
  </si>
  <si>
    <t>Portfolio Quality v1|PAR (&gt;180 days)|0|40237</t>
  </si>
  <si>
    <t>Portfolio Quality v1|Restructured and/or Refinanced|0|40237</t>
  </si>
  <si>
    <t>Portfolio Quality v1|Write-Offs|0|40237</t>
  </si>
  <si>
    <t>Portfolio Quality v1|Recovered loans|0|40237</t>
  </si>
  <si>
    <t>Portfolio Quality v1|Current Portfolio|0|40268</t>
  </si>
  <si>
    <t>Portfolio Quality v1|PAR (1-30 days)|0|40268</t>
  </si>
  <si>
    <t>Portfolio Quality v1|PAR (&gt;30 days)|0|40268</t>
  </si>
  <si>
    <t>Portfolio Quality v1|PAR (31-60 days)|0|40268</t>
  </si>
  <si>
    <t>Portfolio Quality v1|PAR (61-90 days)|0|40268</t>
  </si>
  <si>
    <t>Portfolio Quality v1|PAR (91-180 days)|0|40268</t>
  </si>
  <si>
    <t>Portfolio Quality v1|PAR (&gt;180 days)|0|40268</t>
  </si>
  <si>
    <t>Portfolio Quality v1|Restructured and/or Refinanced|0|40268</t>
  </si>
  <si>
    <t>Portfolio Quality v1|Write-Offs|0|40268</t>
  </si>
  <si>
    <t>Portfolio Quality v1|Recovered loans|0|40268</t>
  </si>
  <si>
    <t>Portfolio Quality v1|Current Portfolio|0|40298</t>
  </si>
  <si>
    <t>Portfolio Quality v1|PAR (1-30 days)|0|40298</t>
  </si>
  <si>
    <t>Portfolio Quality v1|PAR (&gt;30 days)|0|40298</t>
  </si>
  <si>
    <t>Portfolio Quality v1|PAR (31-60 days)|0|40298</t>
  </si>
  <si>
    <t>Portfolio Quality v1|PAR (61-90 days)|0|40298</t>
  </si>
  <si>
    <t>Portfolio Quality v1|PAR (91-180 days)|0|40298</t>
  </si>
  <si>
    <t>Portfolio Quality v1|PAR (&gt;180 days)|0|40298</t>
  </si>
  <si>
    <t>Portfolio Quality v1|Restructured and/or Refinanced|0|40298</t>
  </si>
  <si>
    <t>Portfolio Quality v1|Write-Offs|0|40298</t>
  </si>
  <si>
    <t>Portfolio Quality v1|Recovered loans|0|40298</t>
  </si>
  <si>
    <t>Portfolio Quality v1|Current Portfolio|0|40329</t>
  </si>
  <si>
    <t>Portfolio Quality v1|PAR (1-30 days)|0|40329</t>
  </si>
  <si>
    <t>Portfolio Quality v1|PAR (&gt;30 days)|0|40329</t>
  </si>
  <si>
    <t>Portfolio Quality v1|PAR (31-60 days)|0|40329</t>
  </si>
  <si>
    <t>Portfolio Quality v1|PAR (61-90 days)|0|40329</t>
  </si>
  <si>
    <t>Portfolio Quality v1|PAR (91-180 days)|0|40329</t>
  </si>
  <si>
    <t>Portfolio Quality v1|PAR (&gt;180 days)|0|40329</t>
  </si>
  <si>
    <t>Portfolio Quality v1|Restructured and/or Refinanced|0|40329</t>
  </si>
  <si>
    <t>Portfolio Quality v1|Write-Offs|0|40329</t>
  </si>
  <si>
    <t>Portfolio Quality v1|Recovered loans|0|40329</t>
  </si>
  <si>
    <t>Portfolio Quality v1|Current Portfolio|0|40359</t>
  </si>
  <si>
    <t>Portfolio Quality v1|PAR (1-30 days)|0|40359</t>
  </si>
  <si>
    <t>Portfolio Quality v1|PAR (&gt;30 days)|0|40359</t>
  </si>
  <si>
    <t>Portfolio Quality v1|PAR (31-60 days)|0|40359</t>
  </si>
  <si>
    <t>Portfolio Quality v1|PAR (61-90 days)|0|40359</t>
  </si>
  <si>
    <t>Portfolio Quality v1|PAR (91-180 days)|0|40359</t>
  </si>
  <si>
    <t>Portfolio Quality v1|PAR (&gt;180 days)|0|40359</t>
  </si>
  <si>
    <t>Portfolio Quality v1|Restructured and/or Refinanced|0|40359</t>
  </si>
  <si>
    <t>Portfolio Quality v1|Write-Offs|0|40359</t>
  </si>
  <si>
    <t>Portfolio Quality v1|Recovered loans|0|40359</t>
  </si>
  <si>
    <t>Portfolio Quality v1|Current Portfolio|0|40390</t>
  </si>
  <si>
    <t>Portfolio Quality v1|PAR (1-30 days)|0|40390</t>
  </si>
  <si>
    <t>Portfolio Quality v1|PAR (&gt;30 days)|0|40390</t>
  </si>
  <si>
    <t>Portfolio Quality v1|PAR (31-60 days)|0|40390</t>
  </si>
  <si>
    <t>Portfolio Quality v1|PAR (61-90 days)|0|40390</t>
  </si>
  <si>
    <t>Portfolio Quality v1|PAR (91-180 days)|0|40390</t>
  </si>
  <si>
    <t>Portfolio Quality v1|PAR (&gt;180 days)|0|40390</t>
  </si>
  <si>
    <t>Portfolio Quality v1|Restructured and/or Refinanced|0|40390</t>
  </si>
  <si>
    <t>Portfolio Quality v1|Write-Offs|0|40390</t>
  </si>
  <si>
    <t>Portfolio Quality v1|Recovered loans|0|40390</t>
  </si>
  <si>
    <t>Portfolio Quality v1|Current Portfolio|0|40421</t>
  </si>
  <si>
    <t>Portfolio Quality v1|PAR (1-30 days)|0|40421</t>
  </si>
  <si>
    <t>Portfolio Quality v1|PAR (&gt;30 days)|0|40421</t>
  </si>
  <si>
    <t>Portfolio Quality v1|PAR (31-60 days)|0|40421</t>
  </si>
  <si>
    <t>Portfolio Quality v1|PAR (61-90 days)|0|40421</t>
  </si>
  <si>
    <t>Portfolio Quality v1|PAR (91-180 days)|0|40421</t>
  </si>
  <si>
    <t>Portfolio Quality v1|PAR (&gt;180 days)|0|40421</t>
  </si>
  <si>
    <t>Portfolio Quality v1|Restructured and/or Refinanced|0|40421</t>
  </si>
  <si>
    <t>Portfolio Quality v1|Write-Offs|0|40421</t>
  </si>
  <si>
    <t>Portfolio Quality v1|Recovered loans|0|40421</t>
  </si>
  <si>
    <t>Portfolio Quality v1|Current Portfolio|0|40451</t>
  </si>
  <si>
    <t>Portfolio Quality v1|PAR (1-30 days)|0|40451</t>
  </si>
  <si>
    <t>Portfolio Quality v1|PAR (&gt;30 days)|0|40451</t>
  </si>
  <si>
    <t>Portfolio Quality v1|PAR (31-60 days)|0|40451</t>
  </si>
  <si>
    <t>Portfolio Quality v1|PAR (61-90 days)|0|40451</t>
  </si>
  <si>
    <t>Portfolio Quality v1|PAR (91-180 days)|0|40451</t>
  </si>
  <si>
    <t>Portfolio Quality v1|PAR (&gt;180 days)|0|40451</t>
  </si>
  <si>
    <t>Portfolio Quality v1|Restructured and/or Refinanced|0|40451</t>
  </si>
  <si>
    <t>Portfolio Quality v1|Write-Offs|0|40451</t>
  </si>
  <si>
    <t>Portfolio Quality v1|Recovered loans|0|40451</t>
  </si>
  <si>
    <t>Portfolio Quality v1|Current Portfolio|0|40482</t>
  </si>
  <si>
    <t>Portfolio Quality v1|PAR (1-30 days)|0|40482</t>
  </si>
  <si>
    <t>Portfolio Quality v1|PAR (&gt;30 days)|0|40482</t>
  </si>
  <si>
    <t>Portfolio Quality v1|PAR (31-60 days)|0|40482</t>
  </si>
  <si>
    <t>Portfolio Quality v1|PAR (61-90 days)|0|40482</t>
  </si>
  <si>
    <t>Portfolio Quality v1|PAR (91-180 days)|0|40482</t>
  </si>
  <si>
    <t>Portfolio Quality v1|PAR (&gt;180 days)|0|40482</t>
  </si>
  <si>
    <t>Portfolio Quality v1|Restructured and/or Refinanced|0|40482</t>
  </si>
  <si>
    <t>Portfolio Quality v1|Write-Offs|0|40482</t>
  </si>
  <si>
    <t>Portfolio Quality v1|Recovered loans|0|40482</t>
  </si>
  <si>
    <t>Portfolio Quality v1|Current Portfolio|0|40512</t>
  </si>
  <si>
    <t>Portfolio Quality v1|PAR (1-30 days)|0|40512</t>
  </si>
  <si>
    <t>Portfolio Quality v1|PAR (&gt;30 days)|0|40512</t>
  </si>
  <si>
    <t>Portfolio Quality v1|PAR (31-60 days)|0|40512</t>
  </si>
  <si>
    <t>Portfolio Quality v1|PAR (61-90 days)|0|40512</t>
  </si>
  <si>
    <t>Portfolio Quality v1|PAR (91-180 days)|0|40512</t>
  </si>
  <si>
    <t>Portfolio Quality v1|PAR (&gt;180 days)|0|40512</t>
  </si>
  <si>
    <t>Portfolio Quality v1|Restructured and/or Refinanced|0|40512</t>
  </si>
  <si>
    <t>Portfolio Quality v1|Write-Offs|0|40512</t>
  </si>
  <si>
    <t>Portfolio Quality v1|Recovered loans|0|40512</t>
  </si>
  <si>
    <t>Portfolio Quality v1|Current Portfolio|0|40543</t>
  </si>
  <si>
    <t>Portfolio Quality v1|PAR (1-30 days)|0|40543</t>
  </si>
  <si>
    <t>Portfolio Quality v1|PAR (&gt;30 days)|0|40543</t>
  </si>
  <si>
    <t>Portfolio Quality v1|PAR (31-60 days)|0|40543</t>
  </si>
  <si>
    <t>Portfolio Quality v1|PAR (61-90 days)|0|40543</t>
  </si>
  <si>
    <t>Portfolio Quality v1|PAR (91-180 days)|0|40543</t>
  </si>
  <si>
    <t>Portfolio Quality v1|PAR (&gt;180 days)|0|40543</t>
  </si>
  <si>
    <t>Portfolio Quality v1|Restructured and/or Refinanced|0|40543</t>
  </si>
  <si>
    <t>Portfolio Quality v1|Write-Offs|0|40543</t>
  </si>
  <si>
    <t>Portfolio Quality v1|Recovered loans|0|40543</t>
  </si>
  <si>
    <t>Organizational Data v1|Number of loan Officers|0|40209</t>
  </si>
  <si>
    <t>Organizational Data v1|Number of Employees|0|40209</t>
  </si>
  <si>
    <t>Organizational Data v1|Number of Branches|0|40209</t>
  </si>
  <si>
    <t>Organizational Data v1|Number of Loans Outstanding|0|40209</t>
  </si>
  <si>
    <t>Organizational Data v1|Number of Active Borrowers|0|40209</t>
  </si>
  <si>
    <t>Organizational Data v1|Number of Voluntary Savers/Depositors|0|40209</t>
  </si>
  <si>
    <t>Organizational Data v1|Number of loan Officers|0|40237</t>
  </si>
  <si>
    <t>Organizational Data v1|Number of Employees|0|40237</t>
  </si>
  <si>
    <t>Organizational Data v1|Number of Branches|0|40237</t>
  </si>
  <si>
    <t>Organizational Data v1|Number of Loans Outstanding|0|40237</t>
  </si>
  <si>
    <t>Organizational Data v1|Number of Active Borrowers|0|40237</t>
  </si>
  <si>
    <t>Organizational Data v1|Number of Voluntary Savers/Depositors|0|40237</t>
  </si>
  <si>
    <t>Organizational Data v1|Number of loan Officers|0|40268</t>
  </si>
  <si>
    <t>Organizational Data v1|Number of Employees|0|40268</t>
  </si>
  <si>
    <t>Organizational Data v1|Number of Branches|0|40268</t>
  </si>
  <si>
    <t>Organizational Data v1|Number of Loans Outstanding|0|40268</t>
  </si>
  <si>
    <t>Organizational Data v1|Number of Active Borrowers|0|40268</t>
  </si>
  <si>
    <t>Organizational Data v1|Number of Voluntary Savers/Depositors|0|40268</t>
  </si>
  <si>
    <t>Organizational Data v1|Number of loan Officers|0|40298</t>
  </si>
  <si>
    <t>Organizational Data v1|Number of Employees|0|40298</t>
  </si>
  <si>
    <t>Organizational Data v1|Number of Branches|0|40298</t>
  </si>
  <si>
    <t>Organizational Data v1|Number of Loans Outstanding|0|40298</t>
  </si>
  <si>
    <t>Organizational Data v1|Number of Active Borrowers|0|40298</t>
  </si>
  <si>
    <t>Organizational Data v1|Number of Voluntary Savers/Depositors|0|40298</t>
  </si>
  <si>
    <t>Organizational Data v1|Number of loan Officers|0|40329</t>
  </si>
  <si>
    <t>Organizational Data v1|Number of Employees|0|40329</t>
  </si>
  <si>
    <t>Organizational Data v1|Number of Branches|0|40329</t>
  </si>
  <si>
    <t>Organizational Data v1|Number of Loans Outstanding|0|40329</t>
  </si>
  <si>
    <t>Organizational Data v1|Number of Active Borrowers|0|40329</t>
  </si>
  <si>
    <t>Organizational Data v1|Number of Voluntary Savers/Depositors|0|40329</t>
  </si>
  <si>
    <t>Organizational Data v1|Number of loan Officers|0|40359</t>
  </si>
  <si>
    <t>Organizational Data v1|Number of Employees|0|40359</t>
  </si>
  <si>
    <t>Organizational Data v1|Number of Branches|0|40359</t>
  </si>
  <si>
    <t>Organizational Data v1|Number of Loans Outstanding|0|40359</t>
  </si>
  <si>
    <t>Organizational Data v1|Number of Active Borrowers|0|40359</t>
  </si>
  <si>
    <t>Organizational Data v1|Number of Voluntary Savers/Depositors|0|40359</t>
  </si>
  <si>
    <t>Organizational Data v1|Number of loan Officers|0|40390</t>
  </si>
  <si>
    <t>Organizational Data v1|Number of Employees|0|40390</t>
  </si>
  <si>
    <t>Organizational Data v1|Number of Branches|0|40390</t>
  </si>
  <si>
    <t>Organizational Data v1|Number of Loans Outstanding|0|40390</t>
  </si>
  <si>
    <t>Organizational Data v1|Number of Active Borrowers|0|40390</t>
  </si>
  <si>
    <t>Organizational Data v1|Number of Voluntary Savers/Depositors|0|40390</t>
  </si>
  <si>
    <t>Organizational Data v1|Number of loan Officers|0|40421</t>
  </si>
  <si>
    <t>Organizational Data v1|Number of Employees|0|40421</t>
  </si>
  <si>
    <t>Organizational Data v1|Number of Branches|0|40421</t>
  </si>
  <si>
    <t>Organizational Data v1|Number of Loans Outstanding|0|40421</t>
  </si>
  <si>
    <t>Organizational Data v1|Number of Active Borrowers|0|40421</t>
  </si>
  <si>
    <t>Organizational Data v1|Number of Voluntary Savers/Depositors|0|40421</t>
  </si>
  <si>
    <t>Organizational Data v1|Number of loan Officers|0|40451</t>
  </si>
  <si>
    <t>Organizational Data v1|Number of Employees|0|40451</t>
  </si>
  <si>
    <t>Organizational Data v1|Number of Branches|0|40451</t>
  </si>
  <si>
    <t>Organizational Data v1|Number of Loans Outstanding|0|40451</t>
  </si>
  <si>
    <t>Organizational Data v1|Number of Active Borrowers|0|40451</t>
  </si>
  <si>
    <t>Organizational Data v1|Number of Voluntary Savers/Depositors|0|40451</t>
  </si>
  <si>
    <t>Organizational Data v1|Number of loan Officers|0|40482</t>
  </si>
  <si>
    <t>Organizational Data v1|Number of Employees|0|40482</t>
  </si>
  <si>
    <t>Organizational Data v1|Number of Branches|0|40482</t>
  </si>
  <si>
    <t>Organizational Data v1|Number of Loans Outstanding|0|40482</t>
  </si>
  <si>
    <t>Organizational Data v1|Number of Active Borrowers|0|40482</t>
  </si>
  <si>
    <t>Organizational Data v1|Number of Voluntary Savers/Depositors|0|40482</t>
  </si>
  <si>
    <t>Organizational Data v1|Number of loan Officers|0|40512</t>
  </si>
  <si>
    <t>Organizational Data v1|Number of Employees|0|40512</t>
  </si>
  <si>
    <t>Organizational Data v1|Number of Branches|0|40512</t>
  </si>
  <si>
    <t>Organizational Data v1|Number of Loans Outstanding|0|40512</t>
  </si>
  <si>
    <t>Organizational Data v1|Number of Active Borrowers|0|40512</t>
  </si>
  <si>
    <t>Organizational Data v1|Number of Voluntary Savers/Depositors|0|40512</t>
  </si>
  <si>
    <t>Organizational Data v1|Number of loan Officers|0|40543</t>
  </si>
  <si>
    <t>Organizational Data v1|Number of Employees|0|40543</t>
  </si>
  <si>
    <t>Organizational Data v1|Number of Branches|0|40543</t>
  </si>
  <si>
    <t>Organizational Data v1|Number of Loans Outstanding|0|40543</t>
  </si>
  <si>
    <t>Organizational Data v1|Number of Active Borrowers|0|40543</t>
  </si>
  <si>
    <t>Organizational Data v1|Number of Voluntary Savers/Depositors|0|40543</t>
  </si>
  <si>
    <t>Aggregated Financials|GLP|0|39599</t>
  </si>
  <si>
    <t>Aggregated Financials</t>
  </si>
  <si>
    <t>Aggregated Financials|Total Assets|0|39599</t>
  </si>
  <si>
    <t>Aggregated Financials|Total Equity|0|39599</t>
  </si>
  <si>
    <t>Aggregated Financials|Net Income|0|39599</t>
  </si>
  <si>
    <t>Aggregated Financials|January Assets|0|39599</t>
  </si>
  <si>
    <t>Aggregated Financials|January Equity|0|39599</t>
  </si>
  <si>
    <t>Aggregated Financials|LTM GLP|0|39599</t>
  </si>
  <si>
    <t>Aggregated Financials|Loan Loss Reserves|0|39599</t>
  </si>
  <si>
    <t>Aggregated Financials|Total Debt|0|39599</t>
  </si>
  <si>
    <t>Aggregated Financials|Financial Revenue|0|39599</t>
  </si>
  <si>
    <t>Aggregated Financials|Number of Active Borrowers|0|39599</t>
  </si>
  <si>
    <t>Aggregated Financials|Number of Active Loans|0|39599</t>
  </si>
  <si>
    <t>Aggregated Financials|PAR &gt;30|0|39599</t>
  </si>
  <si>
    <t>Aggregated Financials|R +R |0|39599</t>
  </si>
  <si>
    <t xml:space="preserve">R +R </t>
  </si>
  <si>
    <t>Aggregated Financials|LTM Write-Offs|0|39599</t>
  </si>
  <si>
    <t>Aggregated Financials|Foreign Currency Exposure Asset|0|39599</t>
  </si>
  <si>
    <t>Aggregated Financials|Foreign Currency Liabilities|0|39599</t>
  </si>
  <si>
    <t>Aggregated Financials|Asset Hedges|0|39599</t>
  </si>
  <si>
    <t>Aggregated Financials|Liability Hedges|0|39599</t>
  </si>
  <si>
    <t>Aggregated Financials|PAR &gt;60|0|39599</t>
  </si>
  <si>
    <t>Aggregated Financials|Previous Month Equity|0|39599</t>
  </si>
  <si>
    <t>Aggregated Financials|MONTH FX|0|39599</t>
  </si>
  <si>
    <t>Aggregated Financials|LAST MONTH FX|0|39599</t>
  </si>
  <si>
    <t>LAST MONTH FX</t>
  </si>
  <si>
    <t>Aggregated Financials|YTD FX|0|39599</t>
  </si>
  <si>
    <t>Aggregated Financials|LTM FX|0|39599</t>
  </si>
  <si>
    <t>Aggregated Financials|GLP|0|39629</t>
  </si>
  <si>
    <t>Aggregated Financials|Total Assets|0|39629</t>
  </si>
  <si>
    <t>Aggregated Financials|Total Equity|0|39629</t>
  </si>
  <si>
    <t>Aggregated Financials|Net Income|0|39629</t>
  </si>
  <si>
    <t>Aggregated Financials|January Assets|0|39629</t>
  </si>
  <si>
    <t>Aggregated Financials|January Equity|0|39629</t>
  </si>
  <si>
    <t>Aggregated Financials|LTM GLP|0|39629</t>
  </si>
  <si>
    <t>Aggregated Financials|Loan Loss Reserves|0|39629</t>
  </si>
  <si>
    <t>Aggregated Financials|Total Debt|0|39629</t>
  </si>
  <si>
    <t>Aggregated Financials|Financial Revenue|0|39629</t>
  </si>
  <si>
    <t>Aggregated Financials|Number of Active Borrowers|0|39629</t>
  </si>
  <si>
    <t>Aggregated Financials|Number of Active Loans|0|39629</t>
  </si>
  <si>
    <t>Aggregated Financials|PAR &gt;30|0|39629</t>
  </si>
  <si>
    <t>Aggregated Financials|R +R |0|39629</t>
  </si>
  <si>
    <t>Aggregated Financials|LTM Write-Offs|0|39629</t>
  </si>
  <si>
    <t>Aggregated Financials|Foreign Currency Exposure Asset|0|39629</t>
  </si>
  <si>
    <t>Aggregated Financials|Foreign Currency Liabilities|0|39629</t>
  </si>
  <si>
    <t>Aggregated Financials|Asset Hedges|0|39629</t>
  </si>
  <si>
    <t>Aggregated Financials|Liability Hedges|0|39629</t>
  </si>
  <si>
    <t>Aggregated Financials|PAR &gt;60|0|39629</t>
  </si>
  <si>
    <t>Aggregated Financials|Previous Month Equity|0|39629</t>
  </si>
  <si>
    <t>Aggregated Financials|MONTH FX|0|39629</t>
  </si>
  <si>
    <t>Aggregated Financials|LAST MONTH FX|0|39629</t>
  </si>
  <si>
    <t>Aggregated Financials|YTD FX|0|39629</t>
  </si>
  <si>
    <t>Aggregated Financials|LTM FX|0|39629</t>
  </si>
  <si>
    <t>Balance Sheet v1|Total Cash &amp; ST Investments|1|38717</t>
  </si>
  <si>
    <t>Balance Sheet v1|Restricted Cash|1|38717</t>
  </si>
  <si>
    <t>Balance Sheet v1|Unrestricted Cash|1|38717</t>
  </si>
  <si>
    <t>Balance Sheet v1|Short Term Investments|1|38717</t>
  </si>
  <si>
    <t>Balance Sheet v1|Gross Loan Portfolio|1|38717</t>
  </si>
  <si>
    <t>Balance Sheet v1|(Loan Loss Reserves)|1|38717</t>
  </si>
  <si>
    <t>Balance Sheet v1|Other Assets|1|38717</t>
  </si>
  <si>
    <t>Balance Sheet v1|Savings Accounts|1|38717</t>
  </si>
  <si>
    <t>Balance Sheet v1|Total Borrowings at Concessional Interest Rates|1|38717</t>
  </si>
  <si>
    <t>Balance Sheet v1|Total Borrowings at Commercial Interest Rates|1|38717</t>
  </si>
  <si>
    <t>Balance Sheet v1|Senior Secured Debt|1|38717</t>
  </si>
  <si>
    <t>Balance Sheet v1|Senior Unsecured Debt|1|38717</t>
  </si>
  <si>
    <t>Balance Sheet v1|Subordinated Debt|1|38717</t>
  </si>
  <si>
    <t>Balance Sheet v1|Other Liabilities|1|38717</t>
  </si>
  <si>
    <t>Balance Sheet v1|Donated Equity and paid-in-capital|1|38717</t>
  </si>
  <si>
    <t>Balance Sheet v1|Retained Earnings, Reserves &amp; Other|1|38717</t>
  </si>
  <si>
    <t>Balance Sheet v1|Total Cash &amp; ST Investments|1|39082</t>
  </si>
  <si>
    <t>Balance Sheet v1|Restricted Cash|1|39082</t>
  </si>
  <si>
    <t>Balance Sheet v1|Unrestricted Cash|1|39082</t>
  </si>
  <si>
    <t>Balance Sheet v1|Short Term Investments|1|39082</t>
  </si>
  <si>
    <t>Balance Sheet v1|Gross Loan Portfolio|1|39082</t>
  </si>
  <si>
    <t>Balance Sheet v1|(Loan Loss Reserves)|1|39082</t>
  </si>
  <si>
    <t>Balance Sheet v1|Other Assets|1|39082</t>
  </si>
  <si>
    <t>Balance Sheet v1|Savings Accounts|1|39082</t>
  </si>
  <si>
    <t>Balance Sheet v1|Total Borrowings at Concessional Interest Rates|1|39082</t>
  </si>
  <si>
    <t>Balance Sheet v1|Total Borrowings at Commercial Interest Rates|1|39082</t>
  </si>
  <si>
    <t>Balance Sheet v1|Senior Secured Debt|1|39082</t>
  </si>
  <si>
    <t>Balance Sheet v1|Senior Unsecured Debt|1|39082</t>
  </si>
  <si>
    <t>Balance Sheet v1|Subordinated Debt|1|39082</t>
  </si>
  <si>
    <t>Balance Sheet v1|Other Liabilities|1|39082</t>
  </si>
  <si>
    <t>Balance Sheet v1|Donated Equity and paid-in-capital|1|39082</t>
  </si>
  <si>
    <t>Balance Sheet v1|Retained Earnings, Reserves &amp; Other|1|39082</t>
  </si>
  <si>
    <t>Balance Sheet v1|Total Cash &amp; ST Investments|1|39447</t>
  </si>
  <si>
    <t>Balance Sheet v1|Restricted Cash|1|39447</t>
  </si>
  <si>
    <t>Balance Sheet v1|Unrestricted Cash|1|39447</t>
  </si>
  <si>
    <t>Balance Sheet v1|Short Term Investments|1|39447</t>
  </si>
  <si>
    <t>Balance Sheet v1|Gross Loan Portfolio|1|39447</t>
  </si>
  <si>
    <t>Balance Sheet v1|(Loan Loss Reserves)|1|39447</t>
  </si>
  <si>
    <t>Balance Sheet v1|Other Assets|1|39447</t>
  </si>
  <si>
    <t>Balance Sheet v1|Savings Accounts|1|39447</t>
  </si>
  <si>
    <t>Balance Sheet v1|Total Borrowings at Concessional Interest Rates|1|39447</t>
  </si>
  <si>
    <t>Balance Sheet v1|Total Borrowings at Commercial Interest Rates|1|39447</t>
  </si>
  <si>
    <t>Balance Sheet v1|Senior Secured Debt|1|39447</t>
  </si>
  <si>
    <t>Balance Sheet v1|Senior Unsecured Debt|1|39447</t>
  </si>
  <si>
    <t>Balance Sheet v1|Subordinated Debt|1|39447</t>
  </si>
  <si>
    <t>Balance Sheet v1|Other Liabilities|1|39447</t>
  </si>
  <si>
    <t>Balance Sheet v1|Donated Equity and paid-in-capital|1|39447</t>
  </si>
  <si>
    <t>Balance Sheet v1|Retained Earnings, Reserves &amp; Other|1|39447</t>
  </si>
  <si>
    <t>Balance Sheet v1|Total Cash &amp; ST Investments|1|39813</t>
  </si>
  <si>
    <t>Balance Sheet v1|Restricted Cash|1|39813</t>
  </si>
  <si>
    <t>Balance Sheet v1|Unrestricted Cash|1|39813</t>
  </si>
  <si>
    <t>Balance Sheet v1|Short Term Investments|1|39813</t>
  </si>
  <si>
    <t>Balance Sheet v1|Gross Loan Portfolio|1|39813</t>
  </si>
  <si>
    <t>Balance Sheet v1|(Loan Loss Reserves)|1|39813</t>
  </si>
  <si>
    <t>Balance Sheet v1|Other Assets|1|39813</t>
  </si>
  <si>
    <t>Balance Sheet v1|Savings Accounts|1|39813</t>
  </si>
  <si>
    <t>Balance Sheet v1|Total Borrowings at Concessional Interest Rates|1|39813</t>
  </si>
  <si>
    <t>Balance Sheet v1|Total Borrowings at Commercial Interest Rates|1|39813</t>
  </si>
  <si>
    <t>Balance Sheet v1|Senior Secured Debt|1|39813</t>
  </si>
  <si>
    <t>Balance Sheet v1|Senior Unsecured Debt|1|39813</t>
  </si>
  <si>
    <t>Balance Sheet v1|Subordinated Debt|1|39813</t>
  </si>
  <si>
    <t>Balance Sheet v1|Other Liabilities|1|39813</t>
  </si>
  <si>
    <t>Balance Sheet v1|Donated Equity and paid-in-capital|1|39813</t>
  </si>
  <si>
    <t>Balance Sheet v1|Retained Earnings, Reserves &amp; Other|1|39813</t>
  </si>
  <si>
    <t>Balance Sheet v1|Total Cash &amp; ST Investments|1|40178</t>
  </si>
  <si>
    <t>Balance Sheet v1|Restricted Cash|1|40178</t>
  </si>
  <si>
    <t>Balance Sheet v1|Unrestricted Cash|1|40178</t>
  </si>
  <si>
    <t>Balance Sheet v1|Short Term Investments|1|40178</t>
  </si>
  <si>
    <t>Balance Sheet v1|Gross Loan Portfolio|1|40178</t>
  </si>
  <si>
    <t>Balance Sheet v1|(Loan Loss Reserves)|1|40178</t>
  </si>
  <si>
    <t>Balance Sheet v1|Other Assets|1|40178</t>
  </si>
  <si>
    <t>Balance Sheet v1|Savings Accounts|1|40178</t>
  </si>
  <si>
    <t>Balance Sheet v1|Total Borrowings at Concessional Interest Rates|1|40178</t>
  </si>
  <si>
    <t>Balance Sheet v1|Total Borrowings at Commercial Interest Rates|1|40178</t>
  </si>
  <si>
    <t>Balance Sheet v1|Senior Secured Debt|1|40178</t>
  </si>
  <si>
    <t>Balance Sheet v1|Senior Unsecured Debt|1|40178</t>
  </si>
  <si>
    <t>Balance Sheet v1|Subordinated Debt|1|40178</t>
  </si>
  <si>
    <t>Balance Sheet v1|Other Liabilities|1|40178</t>
  </si>
  <si>
    <t>Balance Sheet v1|Donated Equity and paid-in-capital|1|40178</t>
  </si>
  <si>
    <t>Balance Sheet v1|Retained Earnings, Reserves &amp; Other|1|40178</t>
  </si>
  <si>
    <t>Income Statement v1|Financial Revenue|1|38717</t>
  </si>
  <si>
    <t>Income Statement v1|Financial Expenses|1|38717</t>
  </si>
  <si>
    <t>Income Statement v1|Net Monetary/Inflation Adjustments|1|38717</t>
  </si>
  <si>
    <t>Income Statement v1|Loan Loss Provision Expense|1|38717</t>
  </si>
  <si>
    <t>Income Statement v1|Other Financial Service Income (Expense)|1|38717</t>
  </si>
  <si>
    <t>Income Statement v1|Operating Expense|1|38717</t>
  </si>
  <si>
    <t>Income Statement v1|Non-Operating Revenue|1|38717</t>
  </si>
  <si>
    <t>Income Statement v1|Non-Operating Expense|1|38717</t>
  </si>
  <si>
    <t>Income Statement v1|Taxes|1|38717</t>
  </si>
  <si>
    <t>Income Statement v1|Donations|1|38717</t>
  </si>
  <si>
    <t>Income Statement v1|Dividends|1|38717</t>
  </si>
  <si>
    <t>Income Statement v1|Financial Revenue|1|39082</t>
  </si>
  <si>
    <t>Income Statement v1|Financial Expenses|1|39082</t>
  </si>
  <si>
    <t>Income Statement v1|Net Monetary/Inflation Adjustments|1|39082</t>
  </si>
  <si>
    <t>Income Statement v1|Loan Loss Provision Expense|1|39082</t>
  </si>
  <si>
    <t>Income Statement v1|Other Financial Service Income (Expense)|1|39082</t>
  </si>
  <si>
    <t>Income Statement v1|Operating Expense|1|39082</t>
  </si>
  <si>
    <t>Income Statement v1|Non-Operating Revenue|1|39082</t>
  </si>
  <si>
    <t>Income Statement v1|Non-Operating Expense|1|39082</t>
  </si>
  <si>
    <t>Income Statement v1|Taxes|1|39082</t>
  </si>
  <si>
    <t>Income Statement v1|Donations|1|39082</t>
  </si>
  <si>
    <t>Income Statement v1|Dividends|1|39082</t>
  </si>
  <si>
    <t>Income Statement v1|Financial Revenue|1|39447</t>
  </si>
  <si>
    <t>Income Statement v1|Financial Expenses|1|39447</t>
  </si>
  <si>
    <t>Income Statement v1|Net Monetary/Inflation Adjustments|1|39447</t>
  </si>
  <si>
    <t>Income Statement v1|Loan Loss Provision Expense|1|39447</t>
  </si>
  <si>
    <t>Income Statement v1|Other Financial Service Income (Expense)|1|39447</t>
  </si>
  <si>
    <t>Income Statement v1|Operating Expense|1|39447</t>
  </si>
  <si>
    <t>Income Statement v1|Non-Operating Revenue|1|39447</t>
  </si>
  <si>
    <t>Income Statement v1|Non-Operating Expense|1|39447</t>
  </si>
  <si>
    <t>Income Statement v1|Taxes|1|39447</t>
  </si>
  <si>
    <t>Income Statement v1|Donations|1|39447</t>
  </si>
  <si>
    <t>Income Statement v1|Dividends|1|39447</t>
  </si>
  <si>
    <t>Income Statement v1|Financial Revenue|1|39813</t>
  </si>
  <si>
    <t>Income Statement v1|Financial Expenses|1|39813</t>
  </si>
  <si>
    <t>Income Statement v1|Net Monetary/Inflation Adjustments|1|39813</t>
  </si>
  <si>
    <t>Income Statement v1|Loan Loss Provision Expense|1|39813</t>
  </si>
  <si>
    <t>Income Statement v1|Other Financial Service Income (Expense)|1|39813</t>
  </si>
  <si>
    <t>Income Statement v1|Operating Expense|1|39813</t>
  </si>
  <si>
    <t>Income Statement v1|Non-Operating Revenue|1|39813</t>
  </si>
  <si>
    <t>Income Statement v1|Non-Operating Expense|1|39813</t>
  </si>
  <si>
    <t>Income Statement v1|Taxes|1|39813</t>
  </si>
  <si>
    <t>Income Statement v1|Donations|1|39813</t>
  </si>
  <si>
    <t>Income Statement v1|Dividends|1|39813</t>
  </si>
  <si>
    <t>Income Statement v1|Financial Revenue|1|40178</t>
  </si>
  <si>
    <t>Income Statement v1|Financial Expenses|1|40178</t>
  </si>
  <si>
    <t>Income Statement v1|Net Monetary/Inflation Adjustments|1|40178</t>
  </si>
  <si>
    <t>Income Statement v1|Loan Loss Provision Expense|1|40178</t>
  </si>
  <si>
    <t>Income Statement v1|Other Financial Service Income (Expense)|1|40178</t>
  </si>
  <si>
    <t>Income Statement v1|Operating Expense|1|40178</t>
  </si>
  <si>
    <t>Income Statement v1|Non-Operating Revenue|1|40178</t>
  </si>
  <si>
    <t>Income Statement v1|Non-Operating Expense|1|40178</t>
  </si>
  <si>
    <t>Income Statement v1|Taxes|1|40178</t>
  </si>
  <si>
    <t>Income Statement v1|Donations|1|40178</t>
  </si>
  <si>
    <t>Income Statement v1|Dividends|1|40178</t>
  </si>
  <si>
    <t>Cash Flow v1|Net Cash Flow from Operations|1|38717</t>
  </si>
  <si>
    <t>Cash Flow v1|Net Cash Flow from Investment Activities|1|38717</t>
  </si>
  <si>
    <t>Cash Flow v1|Net Cash Flow from Financing Activities|1|38717</t>
  </si>
  <si>
    <t>Cash Flow v1|Net Cash Flow from Operations|1|39082</t>
  </si>
  <si>
    <t>Cash Flow v1|Net Cash Flow from Investment Activities|1|39082</t>
  </si>
  <si>
    <t>Cash Flow v1|Net Cash Flow from Financing Activities|1|39082</t>
  </si>
  <si>
    <t>Cash Flow v1|Net Cash Flow from Operations|1|39447</t>
  </si>
  <si>
    <t>Cash Flow v1|Net Cash Flow from Investment Activities|1|39447</t>
  </si>
  <si>
    <t>Cash Flow v1|Net Cash Flow from Financing Activities|1|39447</t>
  </si>
  <si>
    <t>Cash Flow v1|Net Cash Flow from Operations|1|39813</t>
  </si>
  <si>
    <t>Cash Flow v1|Net Cash Flow from Investment Activities|1|39813</t>
  </si>
  <si>
    <t>Cash Flow v1|Net Cash Flow from Financing Activities|1|39813</t>
  </si>
  <si>
    <t>Cash Flow v1|Net Cash Flow from Operations|1|40178</t>
  </si>
  <si>
    <t>Cash Flow v1|Net Cash Flow from Investment Activities|1|40178</t>
  </si>
  <si>
    <t>Cash Flow v1|Net Cash Flow from Financing Activities|1|40178</t>
  </si>
  <si>
    <t>Currency Exposure v1|Assets|1|38717</t>
  </si>
  <si>
    <t>Currency Exposure v1|Loan Portfolio|1|38717</t>
  </si>
  <si>
    <t>Currency Exposure v1|Savings|1|38717</t>
  </si>
  <si>
    <t>Currency Exposure v1|Borrowings|1|38717</t>
  </si>
  <si>
    <t>Currency Exposure v1|Back-to-back Loans|1|38717</t>
  </si>
  <si>
    <t>Currency Exposure v1|Options|1|38717</t>
  </si>
  <si>
    <t>Currency Exposure v1|Forwards|1|38717</t>
  </si>
  <si>
    <t>Currency Exposure v1|Swaps|1|38717</t>
  </si>
  <si>
    <t>Currency Exposure v1|Input Exchange Rate (Local Currency / USD)|1|38717</t>
  </si>
  <si>
    <t>Currency Exposure v1|Liabilities|1|38717</t>
  </si>
  <si>
    <t>Currency Exposure v1|Assets|1|39082</t>
  </si>
  <si>
    <t>Currency Exposure v1|Loan Portfolio|1|39082</t>
  </si>
  <si>
    <t>Currency Exposure v1|Savings|1|39082</t>
  </si>
  <si>
    <t>Currency Exposure v1|Borrowings|1|39082</t>
  </si>
  <si>
    <t>Currency Exposure v1|Back-to-back Loans|1|39082</t>
  </si>
  <si>
    <t>Currency Exposure v1|Options|1|39082</t>
  </si>
  <si>
    <t>Currency Exposure v1|Forwards|1|39082</t>
  </si>
  <si>
    <t>Currency Exposure v1|Swaps|1|39082</t>
  </si>
  <si>
    <t>Currency Exposure v1|Input Exchange Rate (Local Currency / USD)|1|39082</t>
  </si>
  <si>
    <t>Currency Exposure v1|Liabilities|1|39082</t>
  </si>
  <si>
    <t>Currency Exposure v1|Assets|1|39447</t>
  </si>
  <si>
    <t>Currency Exposure v1|Loan Portfolio|1|39447</t>
  </si>
  <si>
    <t>Currency Exposure v1|Savings|1|39447</t>
  </si>
  <si>
    <t>Currency Exposure v1|Borrowings|1|39447</t>
  </si>
  <si>
    <t>Currency Exposure v1|Back-to-back Loans|1|39447</t>
  </si>
  <si>
    <t>Currency Exposure v1|Options|1|39447</t>
  </si>
  <si>
    <t>Currency Exposure v1|Forwards|1|39447</t>
  </si>
  <si>
    <t>Currency Exposure v1|Swaps|1|39447</t>
  </si>
  <si>
    <t>Currency Exposure v1|Input Exchange Rate (Local Currency / USD)|1|39447</t>
  </si>
  <si>
    <t>Currency Exposure v1|Liabilities|1|39447</t>
  </si>
  <si>
    <t>Currency Exposure v1|Assets|1|39813</t>
  </si>
  <si>
    <t>Currency Exposure v1|Loan Portfolio|1|39813</t>
  </si>
  <si>
    <t>Currency Exposure v1|Savings|1|39813</t>
  </si>
  <si>
    <t>Currency Exposure v1|Borrowings|1|39813</t>
  </si>
  <si>
    <t>Currency Exposure v1|Back-to-back Loans|1|39813</t>
  </si>
  <si>
    <t>Currency Exposure v1|Options|1|39813</t>
  </si>
  <si>
    <t>Currency Exposure v1|Forwards|1|39813</t>
  </si>
  <si>
    <t>Currency Exposure v1|Swaps|1|39813</t>
  </si>
  <si>
    <t>Currency Exposure v1|Input Exchange Rate (Local Currency / USD)|1|39813</t>
  </si>
  <si>
    <t>Currency Exposure v1|Liabilities|1|39813</t>
  </si>
  <si>
    <t>Currency Exposure v1|Assets|1|40178</t>
  </si>
  <si>
    <t>Currency Exposure v1|Loan Portfolio|1|40178</t>
  </si>
  <si>
    <t>Currency Exposure v1|Savings|1|40178</t>
  </si>
  <si>
    <t>Currency Exposure v1|Borrowings|1|40178</t>
  </si>
  <si>
    <t>Currency Exposure v1|Back-to-back Loans|1|40178</t>
  </si>
  <si>
    <t>Currency Exposure v1|Options|1|40178</t>
  </si>
  <si>
    <t>Currency Exposure v1|Forwards|1|40178</t>
  </si>
  <si>
    <t>Currency Exposure v1|Swaps|1|40178</t>
  </si>
  <si>
    <t>Currency Exposure v1|Input Exchange Rate (Local Currency / USD)|1|40178</t>
  </si>
  <si>
    <t>Currency Exposure v1|Liabilities|1|40178</t>
  </si>
  <si>
    <t>Portfolio Quality v1|Current Portfolio|1|38717</t>
  </si>
  <si>
    <t>Portfolio Quality v1|PAR (1-30 days)|1|38717</t>
  </si>
  <si>
    <t>Portfolio Quality v1|PAR (&gt;30 days)|1|38717</t>
  </si>
  <si>
    <t>Portfolio Quality v1|PAR (31-60 days)|1|38717</t>
  </si>
  <si>
    <t>Portfolio Quality v1|PAR (61-90 days)|1|38717</t>
  </si>
  <si>
    <t>Portfolio Quality v1|PAR (91-180 days)|1|38717</t>
  </si>
  <si>
    <t>Portfolio Quality v1|PAR (&gt;180 days)|1|38717</t>
  </si>
  <si>
    <t>Portfolio Quality v1|Restructured and/or Refinanced|1|38717</t>
  </si>
  <si>
    <t>Portfolio Quality v1|Write-Offs|1|38717</t>
  </si>
  <si>
    <t>Portfolio Quality v1|Recovered loans|1|38717</t>
  </si>
  <si>
    <t>Portfolio Quality v1|Current Portfolio|1|39082</t>
  </si>
  <si>
    <t>Portfolio Quality v1|PAR (1-30 days)|1|39082</t>
  </si>
  <si>
    <t>Portfolio Quality v1|PAR (&gt;30 days)|1|39082</t>
  </si>
  <si>
    <t>Portfolio Quality v1|PAR (31-60 days)|1|39082</t>
  </si>
  <si>
    <t>Portfolio Quality v1|PAR (61-90 days)|1|39082</t>
  </si>
  <si>
    <t>Portfolio Quality v1|PAR (91-180 days)|1|39082</t>
  </si>
  <si>
    <t>Portfolio Quality v1|PAR (&gt;180 days)|1|39082</t>
  </si>
  <si>
    <t>Portfolio Quality v1|Restructured and/or Refinanced|1|39082</t>
  </si>
  <si>
    <t>Portfolio Quality v1|Write-Offs|1|39082</t>
  </si>
  <si>
    <t>Portfolio Quality v1|Recovered loans|1|39082</t>
  </si>
  <si>
    <t>Portfolio Quality v1|Current Portfolio|1|39447</t>
  </si>
  <si>
    <t>Portfolio Quality v1|PAR (1-30 days)|1|39447</t>
  </si>
  <si>
    <t>Portfolio Quality v1|PAR (&gt;30 days)|1|39447</t>
  </si>
  <si>
    <t>Portfolio Quality v1|PAR (31-60 days)|1|39447</t>
  </si>
  <si>
    <t>Portfolio Quality v1|PAR (61-90 days)|1|39447</t>
  </si>
  <si>
    <t>Portfolio Quality v1|PAR (91-180 days)|1|39447</t>
  </si>
  <si>
    <t>Portfolio Quality v1|PAR (&gt;180 days)|1|39447</t>
  </si>
  <si>
    <t>Portfolio Quality v1|Restructured and/or Refinanced|1|39447</t>
  </si>
  <si>
    <t>Portfolio Quality v1|Write-Offs|1|39447</t>
  </si>
  <si>
    <t>Portfolio Quality v1|Recovered loans|1|39447</t>
  </si>
  <si>
    <t>Portfolio Quality v1|Current Portfolio|1|39813</t>
  </si>
  <si>
    <t>Portfolio Quality v1|PAR (1-30 days)|1|39813</t>
  </si>
  <si>
    <t>Portfolio Quality v1|PAR (&gt;30 days)|1|39813</t>
  </si>
  <si>
    <t>Portfolio Quality v1|PAR (31-60 days)|1|39813</t>
  </si>
  <si>
    <t>Portfolio Quality v1|PAR (61-90 days)|1|39813</t>
  </si>
  <si>
    <t>Portfolio Quality v1|PAR (91-180 days)|1|39813</t>
  </si>
  <si>
    <t>Portfolio Quality v1|PAR (&gt;180 days)|1|39813</t>
  </si>
  <si>
    <t>Portfolio Quality v1|Restructured and/or Refinanced|1|39813</t>
  </si>
  <si>
    <t>Portfolio Quality v1|Write-Offs|1|39813</t>
  </si>
  <si>
    <t>Portfolio Quality v1|Recovered loans|1|39813</t>
  </si>
  <si>
    <t>Portfolio Quality v1|Current Portfolio|1|40178</t>
  </si>
  <si>
    <t>Portfolio Quality v1|PAR (1-30 days)|1|40178</t>
  </si>
  <si>
    <t>Portfolio Quality v1|PAR (&gt;30 days)|1|40178</t>
  </si>
  <si>
    <t>Portfolio Quality v1|PAR (31-60 days)|1|40178</t>
  </si>
  <si>
    <t>Portfolio Quality v1|PAR (61-90 days)|1|40178</t>
  </si>
  <si>
    <t>Portfolio Quality v1|PAR (91-180 days)|1|40178</t>
  </si>
  <si>
    <t>Portfolio Quality v1|PAR (&gt;180 days)|1|40178</t>
  </si>
  <si>
    <t>Portfolio Quality v1|Restructured and/or Refinanced|1|40178</t>
  </si>
  <si>
    <t>Portfolio Quality v1|Write-Offs|1|40178</t>
  </si>
  <si>
    <t>Portfolio Quality v1|Recovered loans|1|40178</t>
  </si>
  <si>
    <t>Organizational Data v1|Number of loan Officers|1|38717</t>
  </si>
  <si>
    <t>Organizational Data v1|Number of Employees|1|38717</t>
  </si>
  <si>
    <t>Organizational Data v1|Number of Branches|1|38717</t>
  </si>
  <si>
    <t>Organizational Data v1|Number of Loans Outstanding|1|38717</t>
  </si>
  <si>
    <t>Organizational Data v1|Number of Active Borrowers|1|38717</t>
  </si>
  <si>
    <t>Organizational Data v1|Number of Voluntary Savers/Depositors|1|38717</t>
  </si>
  <si>
    <t>Organizational Data v1|Number of loan Officers|1|39082</t>
  </si>
  <si>
    <t>Organizational Data v1|Number of Employees|1|39082</t>
  </si>
  <si>
    <t>Organizational Data v1|Number of Branches|1|39082</t>
  </si>
  <si>
    <t>Organizational Data v1|Number of Loans Outstanding|1|39082</t>
  </si>
  <si>
    <t>Organizational Data v1|Number of Active Borrowers|1|39082</t>
  </si>
  <si>
    <t>Organizational Data v1|Number of Voluntary Savers/Depositors|1|39082</t>
  </si>
  <si>
    <t>Organizational Data v1|Number of loan Officers|1|39447</t>
  </si>
  <si>
    <t>Organizational Data v1|Number of Employees|1|39447</t>
  </si>
  <si>
    <t>Organizational Data v1|Number of Branches|1|39447</t>
  </si>
  <si>
    <t>Organizational Data v1|Number of Loans Outstanding|1|39447</t>
  </si>
  <si>
    <t>Organizational Data v1|Number of Active Borrowers|1|39447</t>
  </si>
  <si>
    <t>Organizational Data v1|Number of Voluntary Savers/Depositors|1|39447</t>
  </si>
  <si>
    <t>Organizational Data v1|Number of loan Officers|1|39813</t>
  </si>
  <si>
    <t>Organizational Data v1|Number of Employees|1|39813</t>
  </si>
  <si>
    <t>Organizational Data v1|Number of Branches|1|39813</t>
  </si>
  <si>
    <t>Organizational Data v1|Number of Loans Outstanding|1|39813</t>
  </si>
  <si>
    <t>Organizational Data v1|Number of Active Borrowers|1|39813</t>
  </si>
  <si>
    <t>Organizational Data v1|Number of Voluntary Savers/Depositors|1|39813</t>
  </si>
  <si>
    <t>Organizational Data v1|Number of loan Officers|1|40178</t>
  </si>
  <si>
    <t>Organizational Data v1|Number of Employees|1|40178</t>
  </si>
  <si>
    <t>Organizational Data v1|Number of Branches|1|40178</t>
  </si>
  <si>
    <t>Organizational Data v1|Number of Loans Outstanding|1|40178</t>
  </si>
  <si>
    <t>Organizational Data v1|Number of Active Borrowers|1|40178</t>
  </si>
  <si>
    <t>Organizational Data v1|Number of Voluntary Savers/Depositors|1|40178</t>
  </si>
  <si>
    <t>Aggregated Financials|GLP|0|39660</t>
  </si>
  <si>
    <t>Aggregated Financials|Total Assets|0|39660</t>
  </si>
  <si>
    <t>Aggregated Financials|Total Equity|0|39660</t>
  </si>
  <si>
    <t>Aggregated Financials|Net Income|0|39660</t>
  </si>
  <si>
    <t>Aggregated Financials|January Assets|0|39660</t>
  </si>
  <si>
    <t>Aggregated Financials|January Equity|0|39660</t>
  </si>
  <si>
    <t>Aggregated Financials|LTM GLP|0|39660</t>
  </si>
  <si>
    <t>Aggregated Financials|Loan Loss Reserves|0|39660</t>
  </si>
  <si>
    <t>Aggregated Financials|Total Debt|0|39660</t>
  </si>
  <si>
    <t>Aggregated Financials|Financial Revenue|0|39660</t>
  </si>
  <si>
    <t>Aggregated Financials|Number of Active Borrowers|0|39660</t>
  </si>
  <si>
    <t>Aggregated Financials|Number of Active Loans|0|39660</t>
  </si>
  <si>
    <t>Aggregated Financials|PAR &gt;30|0|39660</t>
  </si>
  <si>
    <t>Aggregated Financials|R +R |0|39660</t>
  </si>
  <si>
    <t>Aggregated Financials|LTM Write-Offs|0|39660</t>
  </si>
  <si>
    <t>Aggregated Financials|Foreign Currency Exposure Asset|0|39660</t>
  </si>
  <si>
    <t>Aggregated Financials|Foreign Currency Liabilities|0|39660</t>
  </si>
  <si>
    <t>Aggregated Financials|Asset Hedges|0|39660</t>
  </si>
  <si>
    <t>Aggregated Financials|Liability Hedges|0|39660</t>
  </si>
  <si>
    <t>Aggregated Financials|PAR &gt;60|0|39660</t>
  </si>
  <si>
    <t>Aggregated Financials|Previous Month Equity|0|39660</t>
  </si>
  <si>
    <t>Aggregated Financials|MONTH FX|0|39660</t>
  </si>
  <si>
    <t>Aggregated Financials|LAST MONTH FX|0|39660</t>
  </si>
  <si>
    <t>Aggregated Financials|YTD FX|0|39660</t>
  </si>
  <si>
    <t>Aggregated Financials|LTM FX|0|39660</t>
  </si>
  <si>
    <t>Aggregated Financials|LTM Average GLP|0|39660</t>
  </si>
  <si>
    <t>Aggregated Financials|LTM Average Assets|0|39660</t>
  </si>
  <si>
    <t>Aggregated Financials|LTM Average Equity|0|39660</t>
  </si>
  <si>
    <t>Aggregated Financials|LTM Average Borrowings|0|39660</t>
  </si>
  <si>
    <t>Aggregated Financials|YTD Average Assets|0|39660</t>
  </si>
  <si>
    <t>Aggregated Financials|YTD Average GLP|0|39660</t>
  </si>
  <si>
    <t>Aggregated Financials|YTD Average Equity|0|39660</t>
  </si>
  <si>
    <t>Aggregated Financials|YTD Average Borrowings|0|39660</t>
  </si>
  <si>
    <t>Aggregated Financials|LTM Net Income|0|39660</t>
  </si>
  <si>
    <t>Aggregated Financials|LTM Financial Revenue|0|39660</t>
  </si>
  <si>
    <t>Aggregated Financials|LTM Financial Expense |0|39660</t>
  </si>
  <si>
    <t xml:space="preserve">LTM Financial Expense </t>
  </si>
  <si>
    <t>Aggregated Financials|LTM Provisioning Expense |0|39660</t>
  </si>
  <si>
    <t xml:space="preserve">LTM Provisioning Expense </t>
  </si>
  <si>
    <t>Aggregated Financials|LTM Operating Expense|0|39660</t>
  </si>
  <si>
    <t>Aggregated Financials|LTM Other Financial Income (Expense)|0|39660</t>
  </si>
  <si>
    <t>Aggregated Financials|Total Borrowings|0|39660</t>
  </si>
  <si>
    <t>Aggregated Financials|Total Interest Bearing Debt |0|39660</t>
  </si>
  <si>
    <t xml:space="preserve">Total Interest Bearing Debt </t>
  </si>
  <si>
    <t>Aggregated Financials|GLP|0|39691</t>
  </si>
  <si>
    <t>Aggregated Financials|Total Assets|0|39691</t>
  </si>
  <si>
    <t>Aggregated Financials|Total Equity|0|39691</t>
  </si>
  <si>
    <t>Aggregated Financials|Net Income|0|39691</t>
  </si>
  <si>
    <t>Aggregated Financials|January Assets|0|39691</t>
  </si>
  <si>
    <t>Aggregated Financials|January Equity|0|39691</t>
  </si>
  <si>
    <t>Aggregated Financials|LTM GLP|0|39691</t>
  </si>
  <si>
    <t>Aggregated Financials|Loan Loss Reserves|0|39691</t>
  </si>
  <si>
    <t>Aggregated Financials|Total Debt|0|39691</t>
  </si>
  <si>
    <t>Aggregated Financials|Financial Revenue|0|39691</t>
  </si>
  <si>
    <t>Aggregated Financials|Number of Active Borrowers|0|39691</t>
  </si>
  <si>
    <t>Aggregated Financials|Number of Active Loans|0|39691</t>
  </si>
  <si>
    <t>Aggregated Financials|PAR &gt;30|0|39691</t>
  </si>
  <si>
    <t>Aggregated Financials|R +R |0|39691</t>
  </si>
  <si>
    <t>Aggregated Financials|LTM Write-Offs|0|39691</t>
  </si>
  <si>
    <t>Aggregated Financials|Foreign Currency Exposure Asset|0|39691</t>
  </si>
  <si>
    <t>Aggregated Financials|Foreign Currency Liabilities|0|39691</t>
  </si>
  <si>
    <t>Aggregated Financials|Asset Hedges|0|39691</t>
  </si>
  <si>
    <t>Aggregated Financials|Liability Hedges|0|39691</t>
  </si>
  <si>
    <t>Aggregated Financials|PAR &gt;60|0|39691</t>
  </si>
  <si>
    <t>Aggregated Financials|Previous Month Equity|0|39691</t>
  </si>
  <si>
    <t>Aggregated Financials|MONTH FX|0|39691</t>
  </si>
  <si>
    <t>Aggregated Financials|LAST MONTH FX|0|39691</t>
  </si>
  <si>
    <t>Aggregated Financials|YTD FX|0|39691</t>
  </si>
  <si>
    <t>Aggregated Financials|LTM FX|0|39691</t>
  </si>
  <si>
    <t>Aggregated Financials|LTM Average GLP|0|39691</t>
  </si>
  <si>
    <t>Aggregated Financials|LTM Average Assets|0|39691</t>
  </si>
  <si>
    <t>Aggregated Financials|LTM Average Equity|0|39691</t>
  </si>
  <si>
    <t>Aggregated Financials|LTM Average Borrowings|0|39691</t>
  </si>
  <si>
    <t>Aggregated Financials|YTD Average Assets|0|39691</t>
  </si>
  <si>
    <t>Aggregated Financials|YTD Average GLP|0|39691</t>
  </si>
  <si>
    <t>Aggregated Financials|YTD Average Equity|0|39691</t>
  </si>
  <si>
    <t>Aggregated Financials|YTD Average Borrowings|0|39691</t>
  </si>
  <si>
    <t>Aggregated Financials|LTM Net Income|0|39691</t>
  </si>
  <si>
    <t>Aggregated Financials|LTM Financial Revenue|0|39691</t>
  </si>
  <si>
    <t>Aggregated Financials|LTM Financial Expense |0|39691</t>
  </si>
  <si>
    <t>Aggregated Financials|LTM Provisioning Expense |0|39691</t>
  </si>
  <si>
    <t>Aggregated Financials|LTM Operating Expense|0|39691</t>
  </si>
  <si>
    <t>Aggregated Financials|LTM Other Financial Income (Expense)|0|39691</t>
  </si>
  <si>
    <t>Aggregated Financials|Total Borrowings|0|39691</t>
  </si>
  <si>
    <t>Aggregated Financials|Total Interest Bearing Debt |0|39691</t>
  </si>
  <si>
    <t>Aggregated Financials|GLP|0|39721</t>
  </si>
  <si>
    <t>Aggregated Financials|Total Assets|0|39721</t>
  </si>
  <si>
    <t>Aggregated Financials|Total Equity|0|39721</t>
  </si>
  <si>
    <t>Aggregated Financials|Net Income|0|39721</t>
  </si>
  <si>
    <t>Aggregated Financials|January Assets|0|39721</t>
  </si>
  <si>
    <t>Aggregated Financials|January Equity|0|39721</t>
  </si>
  <si>
    <t>Aggregated Financials|LTM GLP|0|39721</t>
  </si>
  <si>
    <t>Aggregated Financials|Loan Loss Reserves|0|39721</t>
  </si>
  <si>
    <t>Aggregated Financials|Total Debt|0|39721</t>
  </si>
  <si>
    <t>Aggregated Financials|Financial Revenue|0|39721</t>
  </si>
  <si>
    <t>Aggregated Financials|Number of Active Borrowers|0|39721</t>
  </si>
  <si>
    <t>Aggregated Financials|Number of Active Loans|0|39721</t>
  </si>
  <si>
    <t>Aggregated Financials|PAR &gt;30|0|39721</t>
  </si>
  <si>
    <t>Aggregated Financials|R +R |0|39721</t>
  </si>
  <si>
    <t>Aggregated Financials|LTM Write-Offs|0|39721</t>
  </si>
  <si>
    <t>Aggregated Financials|Foreign Currency Exposure Asset|0|39721</t>
  </si>
  <si>
    <t>Aggregated Financials|Foreign Currency Liabilities|0|39721</t>
  </si>
  <si>
    <t>Aggregated Financials|Asset Hedges|0|39721</t>
  </si>
  <si>
    <t>Aggregated Financials|Liability Hedges|0|39721</t>
  </si>
  <si>
    <t>Aggregated Financials|PAR &gt;60|0|39721</t>
  </si>
  <si>
    <t>Aggregated Financials|Previous Month Equity|0|39721</t>
  </si>
  <si>
    <t>Aggregated Financials|MONTH FX|0|39721</t>
  </si>
  <si>
    <t>Aggregated Financials|LAST MONTH FX|0|39721</t>
  </si>
  <si>
    <t>Aggregated Financials|YTD FX|0|39721</t>
  </si>
  <si>
    <t>Aggregated Financials|LTM FX|0|39721</t>
  </si>
  <si>
    <t>Aggregated Financials|LTM Average GLP|0|39721</t>
  </si>
  <si>
    <t>Aggregated Financials|LTM Average Assets|0|39721</t>
  </si>
  <si>
    <t>Aggregated Financials|LTM Average Equity|0|39721</t>
  </si>
  <si>
    <t>Aggregated Financials|LTM Average Borrowings|0|39721</t>
  </si>
  <si>
    <t>Aggregated Financials|YTD Average Assets|0|39721</t>
  </si>
  <si>
    <t>Aggregated Financials|YTD Average GLP|0|39721</t>
  </si>
  <si>
    <t>Aggregated Financials|YTD Average Equity|0|39721</t>
  </si>
  <si>
    <t>Aggregated Financials|YTD Average Borrowings|0|39721</t>
  </si>
  <si>
    <t>Aggregated Financials|LTM Net Income|0|39721</t>
  </si>
  <si>
    <t>Aggregated Financials|LTM Financial Revenue|0|39721</t>
  </si>
  <si>
    <t>Aggregated Financials|LTM Financial Expense |0|39721</t>
  </si>
  <si>
    <t>Aggregated Financials|LTM Provisioning Expense |0|39721</t>
  </si>
  <si>
    <t>Aggregated Financials|LTM Operating Expense|0|39721</t>
  </si>
  <si>
    <t>Aggregated Financials|LTM Other Financial Income (Expense)|0|39721</t>
  </si>
  <si>
    <t>Aggregated Financials|Total Borrowings|0|39721</t>
  </si>
  <si>
    <t>Aggregated Financials|Total Interest Bearing Debt |0|39721</t>
  </si>
  <si>
    <t>Aggregated Financials|GLP|0|39752</t>
  </si>
  <si>
    <t>Aggregated Financials|Total Assets|0|39752</t>
  </si>
  <si>
    <t>Aggregated Financials|Total Equity|0|39752</t>
  </si>
  <si>
    <t>Aggregated Financials|Net Income|0|39752</t>
  </si>
  <si>
    <t>Aggregated Financials|January Assets|0|39752</t>
  </si>
  <si>
    <t>Aggregated Financials|January Equity|0|39752</t>
  </si>
  <si>
    <t>Aggregated Financials|LTM GLP|0|39752</t>
  </si>
  <si>
    <t>Aggregated Financials|Loan Loss Reserves|0|39752</t>
  </si>
  <si>
    <t>Aggregated Financials|Total Debt|0|39752</t>
  </si>
  <si>
    <t>Aggregated Financials|Financial Revenue|0|39752</t>
  </si>
  <si>
    <t>Aggregated Financials|Number of Active Borrowers|0|39752</t>
  </si>
  <si>
    <t>Aggregated Financials|Number of Active Loans|0|39752</t>
  </si>
  <si>
    <t>Aggregated Financials|PAR &gt;30|0|39752</t>
  </si>
  <si>
    <t>Aggregated Financials|R +R |0|39752</t>
  </si>
  <si>
    <t>Aggregated Financials|LTM Write-Offs|0|39752</t>
  </si>
  <si>
    <t>Aggregated Financials|Foreign Currency Exposure Asset|0|39752</t>
  </si>
  <si>
    <t>Aggregated Financials|Foreign Currency Liabilities|0|39752</t>
  </si>
  <si>
    <t>Aggregated Financials|Asset Hedges|0|39752</t>
  </si>
  <si>
    <t>Aggregated Financials|Liability Hedges|0|39752</t>
  </si>
  <si>
    <t>Aggregated Financials|PAR &gt;60|0|39752</t>
  </si>
  <si>
    <t>Aggregated Financials|Previous Month Equity|0|39752</t>
  </si>
  <si>
    <t>Aggregated Financials|MONTH FX|0|39752</t>
  </si>
  <si>
    <t>Aggregated Financials|LAST MONTH FX|0|39752</t>
  </si>
  <si>
    <t>Aggregated Financials|YTD FX|0|39752</t>
  </si>
  <si>
    <t>Aggregated Financials|LTM FX|0|39752</t>
  </si>
  <si>
    <t>Aggregated Financials|LTM Average GLP|0|39752</t>
  </si>
  <si>
    <t>Aggregated Financials|LTM Average Assets|0|39752</t>
  </si>
  <si>
    <t>Aggregated Financials|LTM Average Equity|0|39752</t>
  </si>
  <si>
    <t>Aggregated Financials|LTM Average Borrowings|0|39752</t>
  </si>
  <si>
    <t>Aggregated Financials|YTD Average Assets|0|39752</t>
  </si>
  <si>
    <t>Aggregated Financials|YTD Average GLP|0|39752</t>
  </si>
  <si>
    <t>Aggregated Financials|YTD Average Equity|0|39752</t>
  </si>
  <si>
    <t>Aggregated Financials|YTD Average Borrowings|0|39752</t>
  </si>
  <si>
    <t>Aggregated Financials|LTM Net Income|0|39752</t>
  </si>
  <si>
    <t>Aggregated Financials|LTM Financial Revenue|0|39752</t>
  </si>
  <si>
    <t>Aggregated Financials|LTM Financial Expense |0|39752</t>
  </si>
  <si>
    <t>Aggregated Financials|LTM Provisioning Expense |0|39752</t>
  </si>
  <si>
    <t>Aggregated Financials|LTM Operating Expense|0|39752</t>
  </si>
  <si>
    <t>Aggregated Financials|LTM Other Financial Income (Expense)|0|39752</t>
  </si>
  <si>
    <t>Aggregated Financials|Total Borrowings|0|39752</t>
  </si>
  <si>
    <t>Aggregated Financials|Total Interest Bearing Debt |0|39752</t>
  </si>
  <si>
    <t>Aggregated Financials|GLP|0|39782</t>
  </si>
  <si>
    <t>Aggregated Financials|Total Assets|0|39782</t>
  </si>
  <si>
    <t>Aggregated Financials|Total Equity|0|39782</t>
  </si>
  <si>
    <t>Aggregated Financials|Net Income|0|39782</t>
  </si>
  <si>
    <t>Aggregated Financials|January Assets|0|39782</t>
  </si>
  <si>
    <t>Aggregated Financials|January Equity|0|39782</t>
  </si>
  <si>
    <t>Aggregated Financials|LTM GLP|0|39782</t>
  </si>
  <si>
    <t>Aggregated Financials|Loan Loss Reserves|0|39782</t>
  </si>
  <si>
    <t>Aggregated Financials|Total Debt|0|39782</t>
  </si>
  <si>
    <t>Aggregated Financials|Financial Revenue|0|39782</t>
  </si>
  <si>
    <t>Aggregated Financials|Number of Active Borrowers|0|39782</t>
  </si>
  <si>
    <t>Aggregated Financials|Number of Active Loans|0|39782</t>
  </si>
  <si>
    <t>Aggregated Financials|PAR &gt;30|0|39782</t>
  </si>
  <si>
    <t>Aggregated Financials|R +R |0|39782</t>
  </si>
  <si>
    <t>Aggregated Financials|LTM Write-Offs|0|39782</t>
  </si>
  <si>
    <t>Aggregated Financials|Foreign Currency Exposure Asset|0|39782</t>
  </si>
  <si>
    <t>Aggregated Financials|Foreign Currency Liabilities|0|39782</t>
  </si>
  <si>
    <t>Aggregated Financials|Asset Hedges|0|39782</t>
  </si>
  <si>
    <t>Aggregated Financials|Liability Hedges|0|39782</t>
  </si>
  <si>
    <t>Aggregated Financials|PAR &gt;60|0|39782</t>
  </si>
  <si>
    <t>Aggregated Financials|Previous Month Equity|0|39782</t>
  </si>
  <si>
    <t>Aggregated Financials|MONTH FX|0|39782</t>
  </si>
  <si>
    <t>Aggregated Financials|LAST MONTH FX|0|39782</t>
  </si>
  <si>
    <t>Aggregated Financials|YTD FX|0|39782</t>
  </si>
  <si>
    <t>Aggregated Financials|LTM FX|0|39782</t>
  </si>
  <si>
    <t>Aggregated Financials|LTM Average GLP|0|39782</t>
  </si>
  <si>
    <t>Aggregated Financials|LTM Average Assets|0|39782</t>
  </si>
  <si>
    <t>Aggregated Financials|LTM Average Equity|0|39782</t>
  </si>
  <si>
    <t>Aggregated Financials|LTM Average Borrowings|0|39782</t>
  </si>
  <si>
    <t>Aggregated Financials|YTD Average Assets|0|39782</t>
  </si>
  <si>
    <t>Aggregated Financials|YTD Average GLP|0|39782</t>
  </si>
  <si>
    <t>Aggregated Financials|YTD Average Equity|0|39782</t>
  </si>
  <si>
    <t>Aggregated Financials|YTD Average Borrowings|0|39782</t>
  </si>
  <si>
    <t>Aggregated Financials|LTM Net Income|0|39782</t>
  </si>
  <si>
    <t>Aggregated Financials|LTM Financial Revenue|0|39782</t>
  </si>
  <si>
    <t>Aggregated Financials|LTM Financial Expense |0|39782</t>
  </si>
  <si>
    <t>Aggregated Financials|LTM Provisioning Expense |0|39782</t>
  </si>
  <si>
    <t>Aggregated Financials|LTM Operating Expense|0|39782</t>
  </si>
  <si>
    <t>Aggregated Financials|LTM Other Financial Income (Expense)|0|39782</t>
  </si>
  <si>
    <t>Aggregated Financials|Total Borrowings|0|39782</t>
  </si>
  <si>
    <t>Aggregated Financials|Total Interest Bearing Debt |0|39782</t>
  </si>
  <si>
    <t>Income Statement v2|Interest Income from Loans|1|40543</t>
  </si>
  <si>
    <t>Income Statement v2|Income from Fees and Commissions on Loans|1|40543</t>
  </si>
  <si>
    <t>Income Statement v2|Interest Expense on Borrowings (&amp; Bonds)|1|40543</t>
  </si>
  <si>
    <t>Income Statement v2|Interest Expense on Deposits|1|40543</t>
  </si>
  <si>
    <t>Income Statement v2|Loan Loss Provision Expense|1|40543</t>
  </si>
  <si>
    <t>Income Statement v2|Fees from Penalties|1|40543</t>
  </si>
  <si>
    <t>Income Statement v2|Fees and Commissions from Non-Lending Operations|1|40543</t>
  </si>
  <si>
    <t>Income Statement v2|Realized Net Foreign Exchange/Inflation Income (Expense)|1|40543</t>
  </si>
  <si>
    <t>Income Statement v2|Other Financial Income (Expense)|1|40543</t>
  </si>
  <si>
    <t>Income Statement v2|Salaries &amp; Benefits|1|40543</t>
  </si>
  <si>
    <t>Income Statement v2|General &amp; Administrative|1|40543</t>
  </si>
  <si>
    <t>Income Statement v2|Depreciation &amp; Amortization|1|40543</t>
  </si>
  <si>
    <t>Income Statement v2|Non-operating income|1|40543</t>
  </si>
  <si>
    <t>Income Statement v2|Non-operating expenses|1|40543</t>
  </si>
  <si>
    <t>Income Statement v2|Income Tax Expense|1|40543</t>
  </si>
  <si>
    <t>Income Statement v2|Donations|1|40543</t>
  </si>
  <si>
    <t>Income Statement v2|Income (Expense) from Unconsolidated Affiliates|1|40543</t>
  </si>
  <si>
    <t>Income Statement v2|Dividends Received|1|40543</t>
  </si>
  <si>
    <t>Income Statement v2|Minority Interest Expense|1|40543</t>
  </si>
  <si>
    <t>Income Statement v2|Ordinary Shares Outstanding|1|40543</t>
  </si>
  <si>
    <t>Income Statement v2|Fully Diluted Shares Outstanding|1|40543</t>
  </si>
  <si>
    <t>Income Statement v2|Dividends|1|40543</t>
  </si>
  <si>
    <t>Income Statement v2|Unrealized FX Gains/(Losses)|1|40543</t>
  </si>
  <si>
    <t>Unrealized FX Gains/(Losses)</t>
  </si>
  <si>
    <t>Income Statement v2|Other|1|40543</t>
  </si>
  <si>
    <t>Other</t>
  </si>
  <si>
    <t>Portfolio Quality v2|Current Portfolio|1|40543</t>
  </si>
  <si>
    <t>Portfolio Quality v2|PAR (1-30 days)|1|40543</t>
  </si>
  <si>
    <t>Portfolio Quality v2|PAR (30-60 days)|1|40543</t>
  </si>
  <si>
    <t>Portfolio Quality v2|PAR (60-90 days)|1|40543</t>
  </si>
  <si>
    <t>Portfolio Quality v2|PAR (90-120 days)|1|40543</t>
  </si>
  <si>
    <t>Portfolio Quality v2|PAR (120-180 days)|1|40543</t>
  </si>
  <si>
    <t>Portfolio Quality v2|PAR (180 - 360 days)|1|40543</t>
  </si>
  <si>
    <t>Portfolio Quality v2|PAR (&gt;360 days)|1|40543</t>
  </si>
  <si>
    <t>Portfolio Quality v2|Current R+R Loans|1|40543</t>
  </si>
  <si>
    <t>Portfolio Quality v2|PAR (1-30 days) (R+R)|1|40543</t>
  </si>
  <si>
    <t>Portfolio Quality v2|PAR (&gt;30 days)|1|40543</t>
  </si>
  <si>
    <t>Portfolio Quality v2|-Gross Write-Offs**|1|40543</t>
  </si>
  <si>
    <t>Portfolio Quality v2|-Recoveries**|1|40543</t>
  </si>
  <si>
    <t>Portfolio Quality v2|+/-Other|1|40543</t>
  </si>
  <si>
    <t>Organizational Data v2|Voluntary Savers/Depositors|1|40543</t>
  </si>
  <si>
    <t>Organizational Data v2|Active Borrowers|1|40543</t>
  </si>
  <si>
    <t>Organizational Data v2|Loans Outstanding|1|40543</t>
  </si>
  <si>
    <t>Organizational Data v2|Branches, Sub-Branches &amp; All Offices|1|40543</t>
  </si>
  <si>
    <t>Organizational Data v2|All Employees|1|40543</t>
  </si>
  <si>
    <t>Organizational Data v2|Loan Officers|1|40543</t>
  </si>
  <si>
    <t>Aggregated Financials|GLP|0|39813</t>
  </si>
  <si>
    <t>Aggregated Financials|Total Assets|0|39813</t>
  </si>
  <si>
    <t>Aggregated Financials|Total Equity|0|39813</t>
  </si>
  <si>
    <t>Aggregated Financials|Net Income|0|39813</t>
  </si>
  <si>
    <t>Aggregated Financials|January Assets|0|39813</t>
  </si>
  <si>
    <t>Aggregated Financials|January Equity|0|39813</t>
  </si>
  <si>
    <t>Aggregated Financials|LTM GLP|0|39813</t>
  </si>
  <si>
    <t>Aggregated Financials|Loan Loss Reserves|0|39813</t>
  </si>
  <si>
    <t>Aggregated Financials|Total Debt|0|39813</t>
  </si>
  <si>
    <t>Aggregated Financials|Financial Revenue|0|39813</t>
  </si>
  <si>
    <t>Aggregated Financials|Number of Active Borrowers|0|39813</t>
  </si>
  <si>
    <t>Aggregated Financials|Number of Active Loans|0|39813</t>
  </si>
  <si>
    <t>Aggregated Financials|PAR &gt;30|0|39813</t>
  </si>
  <si>
    <t>Aggregated Financials|R +R |0|39813</t>
  </si>
  <si>
    <t>Aggregated Financials|LTM Write-Offs|0|39813</t>
  </si>
  <si>
    <t>Aggregated Financials|Foreign Currency Exposure Asset|0|39813</t>
  </si>
  <si>
    <t>Aggregated Financials|Foreign Currency Liabilities|0|39813</t>
  </si>
  <si>
    <t>Aggregated Financials|Asset Hedges|0|39813</t>
  </si>
  <si>
    <t>Aggregated Financials|Liability Hedges|0|39813</t>
  </si>
  <si>
    <t>Aggregated Financials|PAR &gt;60|0|39813</t>
  </si>
  <si>
    <t>Aggregated Financials|Previous Month Equity|0|39813</t>
  </si>
  <si>
    <t>Aggregated Financials|MONTH FX|0|39813</t>
  </si>
  <si>
    <t>Aggregated Financials|LAST MONTH FX|0|39813</t>
  </si>
  <si>
    <t>Aggregated Financials|YTD FX|0|39813</t>
  </si>
  <si>
    <t>Aggregated Financials|LTM FX|0|39813</t>
  </si>
  <si>
    <t>Aggregated Financials|LTM Average GLP|0|39813</t>
  </si>
  <si>
    <t>Aggregated Financials|LTM Average Assets|0|39813</t>
  </si>
  <si>
    <t>Aggregated Financials|LTM Average Equity|0|39813</t>
  </si>
  <si>
    <t>Aggregated Financials|LTM Average Borrowings|0|39813</t>
  </si>
  <si>
    <t>Aggregated Financials|YTD Average Assets|0|39813</t>
  </si>
  <si>
    <t>Aggregated Financials|YTD Average GLP|0|39813</t>
  </si>
  <si>
    <t>Aggregated Financials|YTD Average Equity|0|39813</t>
  </si>
  <si>
    <t>Aggregated Financials|YTD Average Borrowings|0|39813</t>
  </si>
  <si>
    <t>Aggregated Financials|LTM Net Income|0|39813</t>
  </si>
  <si>
    <t>Aggregated Financials|LTM Financial Revenue|0|39813</t>
  </si>
  <si>
    <t>Aggregated Financials|LTM Financial Expense |0|39813</t>
  </si>
  <si>
    <t>Aggregated Financials|LTM Provisioning Expense |0|39813</t>
  </si>
  <si>
    <t>Aggregated Financials|LTM Operating Expense|0|39813</t>
  </si>
  <si>
    <t>Aggregated Financials|LTM Other Financial Income (Expense)|0|39813</t>
  </si>
  <si>
    <t>Aggregated Financials|Total Borrowings|0|39813</t>
  </si>
  <si>
    <t>Aggregated Financials|Total Interest Bearing Debt |0|39813</t>
  </si>
  <si>
    <t>Aggregated Financials|Savings Accounts|0|39813</t>
  </si>
  <si>
    <t>Aggregated Financials|Operating Expenses|0|39813</t>
  </si>
  <si>
    <t>Aggregated Financials|GLP|0|39844</t>
  </si>
  <si>
    <t>Aggregated Financials|Total Assets|0|39844</t>
  </si>
  <si>
    <t>Aggregated Financials|Total Equity|0|39844</t>
  </si>
  <si>
    <t>Aggregated Financials|Net Income|0|39844</t>
  </si>
  <si>
    <t>Aggregated Financials|January Assets|0|39844</t>
  </si>
  <si>
    <t>Aggregated Financials|January Equity|0|39844</t>
  </si>
  <si>
    <t>Aggregated Financials|LTM GLP|0|39844</t>
  </si>
  <si>
    <t>Aggregated Financials|Loan Loss Reserves|0|39844</t>
  </si>
  <si>
    <t>Aggregated Financials|Total Debt|0|39844</t>
  </si>
  <si>
    <t>Aggregated Financials|Financial Revenue|0|39844</t>
  </si>
  <si>
    <t>Aggregated Financials|Number of Active Borrowers|0|39844</t>
  </si>
  <si>
    <t>Aggregated Financials|Number of Active Loans|0|39844</t>
  </si>
  <si>
    <t>Aggregated Financials|PAR &gt;30|0|39844</t>
  </si>
  <si>
    <t>Aggregated Financials|R +R |0|39844</t>
  </si>
  <si>
    <t>Aggregated Financials|LTM Write-Offs|0|39844</t>
  </si>
  <si>
    <t>Aggregated Financials|Foreign Currency Exposure Asset|0|39844</t>
  </si>
  <si>
    <t>Aggregated Financials|Foreign Currency Liabilities|0|39844</t>
  </si>
  <si>
    <t>Aggregated Financials|Asset Hedges|0|39844</t>
  </si>
  <si>
    <t>Aggregated Financials|Liability Hedges|0|39844</t>
  </si>
  <si>
    <t>Aggregated Financials|PAR &gt;60|0|39844</t>
  </si>
  <si>
    <t>Aggregated Financials|Previous Month Equity|0|39844</t>
  </si>
  <si>
    <t>Aggregated Financials|MONTH FX|0|39844</t>
  </si>
  <si>
    <t>Aggregated Financials|LAST MONTH FX|0|39844</t>
  </si>
  <si>
    <t>Aggregated Financials|YTD FX|0|39844</t>
  </si>
  <si>
    <t>Aggregated Financials|LTM FX|0|39844</t>
  </si>
  <si>
    <t>Aggregated Financials|LTM Average GLP|0|39844</t>
  </si>
  <si>
    <t>Aggregated Financials|LTM Average Assets|0|39844</t>
  </si>
  <si>
    <t>Aggregated Financials|LTM Average Equity|0|39844</t>
  </si>
  <si>
    <t>Aggregated Financials|LTM Average Borrowings|0|39844</t>
  </si>
  <si>
    <t>Aggregated Financials|YTD Average Assets|0|39844</t>
  </si>
  <si>
    <t>Aggregated Financials|YTD Average GLP|0|39844</t>
  </si>
  <si>
    <t>Aggregated Financials|YTD Average Equity|0|39844</t>
  </si>
  <si>
    <t>Aggregated Financials|YTD Average Borrowings|0|39844</t>
  </si>
  <si>
    <t>Aggregated Financials|LTM Net Income|0|39844</t>
  </si>
  <si>
    <t>Aggregated Financials|LTM Financial Revenue|0|39844</t>
  </si>
  <si>
    <t>Aggregated Financials|LTM Financial Expense |0|39844</t>
  </si>
  <si>
    <t>Aggregated Financials|LTM Provisioning Expense |0|39844</t>
  </si>
  <si>
    <t>Aggregated Financials|LTM Operating Expense|0|39844</t>
  </si>
  <si>
    <t>Aggregated Financials|LTM Other Financial Income (Expense)|0|39844</t>
  </si>
  <si>
    <t>Aggregated Financials|Total Borrowings|0|39844</t>
  </si>
  <si>
    <t>Aggregated Financials|Total Interest Bearing Debt |0|39844</t>
  </si>
  <si>
    <t>Aggregated Financials|Savings Accounts|0|39844</t>
  </si>
  <si>
    <t>Aggregated Financials|Operating Expenses|0|39844</t>
  </si>
  <si>
    <t>1900-01-00</t>
  </si>
  <si>
    <t>Balance Sheet v2|Unrestricted|0|40574</t>
  </si>
  <si>
    <t>Balance Sheet v2|Restricted|0|40574</t>
  </si>
  <si>
    <t>Balance Sheet v2|Short Term Investment Securities|0|40574</t>
  </si>
  <si>
    <t>Balance Sheet v2|Less: reserve for probable loss on securities|0|40574</t>
  </si>
  <si>
    <t>Balance Sheet v2|Gross loan portfolio (Please include entire GLP)|0|40574</t>
  </si>
  <si>
    <t>Balance Sheet v2|Less: loan loss reserves|0|40574</t>
  </si>
  <si>
    <t>Balance Sheet v2|Accrued interest receivable|0|40574</t>
  </si>
  <si>
    <t>Balance Sheet v2|Other current assets|0|40574</t>
  </si>
  <si>
    <t>Balance Sheet v2|Gross Fixed Assets|0|40574</t>
  </si>
  <si>
    <t>Balance Sheet v2|Less: Depreciation|0|40574</t>
  </si>
  <si>
    <t>Balance Sheet v2|Less: Asset Sales and Write-Offs|0|40574</t>
  </si>
  <si>
    <t>Balance Sheet v2|Net intangible assets|0|40574</t>
  </si>
  <si>
    <t>Balance Sheet v2|Investments in Unconslidated Affiliates|0|40574</t>
  </si>
  <si>
    <t>Balance Sheet v2|Securitized Assets &amp; Off-Balance Sheet Items|0|40574</t>
  </si>
  <si>
    <t>Balance Sheet v2|Other Types|0|40574</t>
  </si>
  <si>
    <t>Balance Sheet v2|Demand Deposits|0|40574</t>
  </si>
  <si>
    <t>Balance Sheet v2|Time Deposits|0|40574</t>
  </si>
  <si>
    <t>Balance Sheet v2|Accrued interest payable|0|40574</t>
  </si>
  <si>
    <t>Balance Sheet v2|Senior Secured Debt (ST)|0|40574</t>
  </si>
  <si>
    <t>Balance Sheet v2|Senior Unsecured Debt (ST)|0|40574</t>
  </si>
  <si>
    <t>Balance Sheet v2|Current Portion of Long-Term Debt|0|40574</t>
  </si>
  <si>
    <t>Balance Sheet v2|Other current liabilities|0|40574</t>
  </si>
  <si>
    <t>Balance Sheet v2|Senior Secured Debt (LT)|0|40574</t>
  </si>
  <si>
    <t>Balance Sheet v2|-Revolving Credit Facility|0|40574</t>
  </si>
  <si>
    <t>Balance Sheet v2|-Bonds Issued|0|40574</t>
  </si>
  <si>
    <t>Balance Sheet v2|-Other|0|40574</t>
  </si>
  <si>
    <t>Balance Sheet v2|Subordinated Debt|0|40574</t>
  </si>
  <si>
    <t>Balance Sheet v2|Securitized loans &amp; off-balance sheet items|0|40574</t>
  </si>
  <si>
    <t>Balance Sheet v2|Others|0|40574</t>
  </si>
  <si>
    <t>Balance Sheet v2|Preferred Shares|0|40574</t>
  </si>
  <si>
    <t>Balance Sheet v2|Common Shares|0|40574</t>
  </si>
  <si>
    <t>Balance Sheet v2|Share Premium|0|40574</t>
  </si>
  <si>
    <t>Balance Sheet v2|Reserves, Donations &amp; Other|0|40574</t>
  </si>
  <si>
    <t>Balance Sheet v2|prior years|0|40574</t>
  </si>
  <si>
    <t>Balance Sheet v2|current years|0|40574</t>
  </si>
  <si>
    <t>Balance Sheet v2|Unrestricted|0|40602</t>
  </si>
  <si>
    <t>Balance Sheet v2|Restricted|0|40602</t>
  </si>
  <si>
    <t>Balance Sheet v2|Short Term Investment Securities|0|40602</t>
  </si>
  <si>
    <t>Balance Sheet v2|Less: reserve for probable loss on securities|0|40602</t>
  </si>
  <si>
    <t>Balance Sheet v2|Gross loan portfolio (Please include entire GLP)|0|40602</t>
  </si>
  <si>
    <t>Balance Sheet v2|Less: loan loss reserves|0|40602</t>
  </si>
  <si>
    <t>Balance Sheet v2|Accrued interest receivable|0|40602</t>
  </si>
  <si>
    <t>Balance Sheet v2|Other current assets|0|40602</t>
  </si>
  <si>
    <t>Balance Sheet v2|Gross Fixed Assets|0|40602</t>
  </si>
  <si>
    <t>Balance Sheet v2|Less: Depreciation|0|40602</t>
  </si>
  <si>
    <t>Balance Sheet v2|Less: Asset Sales and Write-Offs|0|40602</t>
  </si>
  <si>
    <t>Balance Sheet v2|Net intangible assets|0|40602</t>
  </si>
  <si>
    <t>Balance Sheet v2|Investments in Unconslidated Affiliates|0|40602</t>
  </si>
  <si>
    <t>Balance Sheet v2|Securitized Assets &amp; Off-Balance Sheet Items|0|40602</t>
  </si>
  <si>
    <t>Balance Sheet v2|Other Types|0|40602</t>
  </si>
  <si>
    <t>Balance Sheet v2|Demand Deposits|0|40602</t>
  </si>
  <si>
    <t>Balance Sheet v2|Time Deposits|0|40602</t>
  </si>
  <si>
    <t>Balance Sheet v2|Accrued interest payable|0|40602</t>
  </si>
  <si>
    <t>Balance Sheet v2|Senior Secured Debt (ST)|0|40602</t>
  </si>
  <si>
    <t>Balance Sheet v2|Senior Unsecured Debt (ST)|0|40602</t>
  </si>
  <si>
    <t>Balance Sheet v2|Current Portion of Long-Term Debt|0|40602</t>
  </si>
  <si>
    <t>Balance Sheet v2|Other current liabilities|0|40602</t>
  </si>
  <si>
    <t>Balance Sheet v2|Senior Secured Debt (LT)|0|40602</t>
  </si>
  <si>
    <t>Balance Sheet v2|-Revolving Credit Facility|0|40602</t>
  </si>
  <si>
    <t>Balance Sheet v2|-Bonds Issued|0|40602</t>
  </si>
  <si>
    <t>Balance Sheet v2|-Other|0|40602</t>
  </si>
  <si>
    <t>Balance Sheet v2|Subordinated Debt|0|40602</t>
  </si>
  <si>
    <t>Balance Sheet v2|Securitized loans &amp; off-balance sheet items|0|40602</t>
  </si>
  <si>
    <t>Balance Sheet v2|Others|0|40602</t>
  </si>
  <si>
    <t>Balance Sheet v2|Preferred Shares|0|40602</t>
  </si>
  <si>
    <t>Balance Sheet v2|Common Shares|0|40602</t>
  </si>
  <si>
    <t>Balance Sheet v2|Share Premium|0|40602</t>
  </si>
  <si>
    <t>Balance Sheet v2|Reserves, Donations &amp; Other|0|40602</t>
  </si>
  <si>
    <t>Balance Sheet v2|prior years|0|40602</t>
  </si>
  <si>
    <t>Balance Sheet v2|current years|0|40602</t>
  </si>
  <si>
    <t>Balance Sheet v2|Unrestricted|0|40633</t>
  </si>
  <si>
    <t>Balance Sheet v2|Restricted|0|40633</t>
  </si>
  <si>
    <t>Balance Sheet v2|Short Term Investment Securities|0|40633</t>
  </si>
  <si>
    <t>Balance Sheet v2|Less: reserve for probable loss on securities|0|40633</t>
  </si>
  <si>
    <t>Balance Sheet v2|Gross loan portfolio (Please include entire GLP)|0|40633</t>
  </si>
  <si>
    <t>Balance Sheet v2|Less: loan loss reserves|0|40633</t>
  </si>
  <si>
    <t>Balance Sheet v2|Accrued interest receivable|0|40633</t>
  </si>
  <si>
    <t>Balance Sheet v2|Other current assets|0|40633</t>
  </si>
  <si>
    <t>Balance Sheet v2|Gross Fixed Assets|0|40633</t>
  </si>
  <si>
    <t>Balance Sheet v2|Less: Depreciation|0|40633</t>
  </si>
  <si>
    <t>Balance Sheet v2|Less: Asset Sales and Write-Offs|0|40633</t>
  </si>
  <si>
    <t>Balance Sheet v2|Net intangible assets|0|40633</t>
  </si>
  <si>
    <t>Balance Sheet v2|Investments in Unconslidated Affiliates|0|40633</t>
  </si>
  <si>
    <t>Balance Sheet v2|Securitized Assets &amp; Off-Balance Sheet Items|0|40633</t>
  </si>
  <si>
    <t>Balance Sheet v2|Other Types|0|40633</t>
  </si>
  <si>
    <t>Balance Sheet v2|Demand Deposits|0|40633</t>
  </si>
  <si>
    <t>Balance Sheet v2|Time Deposits|0|40633</t>
  </si>
  <si>
    <t>Balance Sheet v2|Accrued interest payable|0|40633</t>
  </si>
  <si>
    <t>Balance Sheet v2|Senior Secured Debt (ST)|0|40633</t>
  </si>
  <si>
    <t>Balance Sheet v2|Senior Unsecured Debt (ST)|0|40633</t>
  </si>
  <si>
    <t>Balance Sheet v2|Current Portion of Long-Term Debt|0|40633</t>
  </si>
  <si>
    <t>Balance Sheet v2|Other current liabilities|0|40633</t>
  </si>
  <si>
    <t>Balance Sheet v2|Senior Secured Debt (LT)|0|40633</t>
  </si>
  <si>
    <t>Balance Sheet v2|-Revolving Credit Facility|0|40633</t>
  </si>
  <si>
    <t>Balance Sheet v2|-Bonds Issued|0|40633</t>
  </si>
  <si>
    <t>Balance Sheet v2|-Other|0|40633</t>
  </si>
  <si>
    <t>Balance Sheet v2|Subordinated Debt|0|40633</t>
  </si>
  <si>
    <t>Balance Sheet v2|Securitized loans &amp; off-balance sheet items|0|40633</t>
  </si>
  <si>
    <t>Balance Sheet v2|Others|0|40633</t>
  </si>
  <si>
    <t>Balance Sheet v2|Preferred Shares|0|40633</t>
  </si>
  <si>
    <t>Balance Sheet v2|Common Shares|0|40633</t>
  </si>
  <si>
    <t>Balance Sheet v2|Share Premium|0|40633</t>
  </si>
  <si>
    <t>Balance Sheet v2|Reserves, Donations &amp; Other|0|40633</t>
  </si>
  <si>
    <t>Balance Sheet v2|prior years|0|40633</t>
  </si>
  <si>
    <t>Balance Sheet v2|current years|0|40633</t>
  </si>
  <si>
    <t>Balance Sheet v2|Unrestricted|0|40663</t>
  </si>
  <si>
    <t>Balance Sheet v2|Restricted|0|40663</t>
  </si>
  <si>
    <t>Balance Sheet v2|Short Term Investment Securities|0|40663</t>
  </si>
  <si>
    <t>Balance Sheet v2|Less: reserve for probable loss on securities|0|40663</t>
  </si>
  <si>
    <t>Balance Sheet v2|Gross loan portfolio (Please include entire GLP)|0|40663</t>
  </si>
  <si>
    <t>Balance Sheet v2|Less: loan loss reserves|0|40663</t>
  </si>
  <si>
    <t>Balance Sheet v2|Accrued interest receivable|0|40663</t>
  </si>
  <si>
    <t>Balance Sheet v2|Other current assets|0|40663</t>
  </si>
  <si>
    <t>Balance Sheet v2|Gross Fixed Assets|0|40663</t>
  </si>
  <si>
    <t>Balance Sheet v2|Less: Depreciation|0|40663</t>
  </si>
  <si>
    <t>Balance Sheet v2|Less: Asset Sales and Write-Offs|0|40663</t>
  </si>
  <si>
    <t>Balance Sheet v2|Net intangible assets|0|40663</t>
  </si>
  <si>
    <t>Balance Sheet v2|Investments in Unconslidated Affiliates|0|40663</t>
  </si>
  <si>
    <t>Balance Sheet v2|Securitized Assets &amp; Off-Balance Sheet Items|0|40663</t>
  </si>
  <si>
    <t>Balance Sheet v2|Other Types|0|40663</t>
  </si>
  <si>
    <t>Balance Sheet v2|Demand Deposits|0|40663</t>
  </si>
  <si>
    <t>Balance Sheet v2|Time Deposits|0|40663</t>
  </si>
  <si>
    <t>Balance Sheet v2|Accrued interest payable|0|40663</t>
  </si>
  <si>
    <t>Balance Sheet v2|Senior Secured Debt (ST)|0|40663</t>
  </si>
  <si>
    <t>Balance Sheet v2|Senior Unsecured Debt (ST)|0|40663</t>
  </si>
  <si>
    <t>Balance Sheet v2|Current Portion of Long-Term Debt|0|40663</t>
  </si>
  <si>
    <t>Balance Sheet v2|Other current liabilities|0|40663</t>
  </si>
  <si>
    <t>Balance Sheet v2|Senior Secured Debt (LT)|0|40663</t>
  </si>
  <si>
    <t>Balance Sheet v2|-Revolving Credit Facility|0|40663</t>
  </si>
  <si>
    <t>Balance Sheet v2|-Bonds Issued|0|40663</t>
  </si>
  <si>
    <t>Balance Sheet v2|-Other|0|40663</t>
  </si>
  <si>
    <t>Balance Sheet v2|Subordinated Debt|0|40663</t>
  </si>
  <si>
    <t>Balance Sheet v2|Securitized loans &amp; off-balance sheet items|0|40663</t>
  </si>
  <si>
    <t>Balance Sheet v2|Others|0|40663</t>
  </si>
  <si>
    <t>Balance Sheet v2|Preferred Shares|0|40663</t>
  </si>
  <si>
    <t>Balance Sheet v2|Common Shares|0|40663</t>
  </si>
  <si>
    <t>Balance Sheet v2|Share Premium|0|40663</t>
  </si>
  <si>
    <t>Balance Sheet v2|Reserves, Donations &amp; Other|0|40663</t>
  </si>
  <si>
    <t>Balance Sheet v2|prior years|0|40663</t>
  </si>
  <si>
    <t>Balance Sheet v2|current years|0|40663</t>
  </si>
  <si>
    <t>Balance Sheet v2|Unrestricted|0|40694</t>
  </si>
  <si>
    <t>Balance Sheet v2|Restricted|0|40694</t>
  </si>
  <si>
    <t>Balance Sheet v2|Short Term Investment Securities|0|40694</t>
  </si>
  <si>
    <t>Balance Sheet v2|Less: reserve for probable loss on securities|0|40694</t>
  </si>
  <si>
    <t>Balance Sheet v2|Gross loan portfolio (Please include entire GLP)|0|40694</t>
  </si>
  <si>
    <t>Balance Sheet v2|Less: loan loss reserves|0|40694</t>
  </si>
  <si>
    <t>Balance Sheet v2|Accrued interest receivable|0|40694</t>
  </si>
  <si>
    <t>Balance Sheet v2|Other current assets|0|40694</t>
  </si>
  <si>
    <t>Balance Sheet v2|Gross Fixed Assets|0|40694</t>
  </si>
  <si>
    <t>Balance Sheet v2|Less: Depreciation|0|40694</t>
  </si>
  <si>
    <t>Balance Sheet v2|Less: Asset Sales and Write-Offs|0|40694</t>
  </si>
  <si>
    <t>Balance Sheet v2|Net intangible assets|0|40694</t>
  </si>
  <si>
    <t>Balance Sheet v2|Investments in Unconslidated Affiliates|0|40694</t>
  </si>
  <si>
    <t>Balance Sheet v2|Securitized Assets &amp; Off-Balance Sheet Items|0|40694</t>
  </si>
  <si>
    <t>Balance Sheet v2|Other Types|0|40694</t>
  </si>
  <si>
    <t>Balance Sheet v2|Demand Deposits|0|40694</t>
  </si>
  <si>
    <t>Balance Sheet v2|Time Deposits|0|40694</t>
  </si>
  <si>
    <t>Balance Sheet v2|Accrued interest payable|0|40694</t>
  </si>
  <si>
    <t>Balance Sheet v2|Senior Secured Debt (ST)|0|40694</t>
  </si>
  <si>
    <t>Balance Sheet v2|Senior Unsecured Debt (ST)|0|40694</t>
  </si>
  <si>
    <t>Balance Sheet v2|Current Portion of Long-Term Debt|0|40694</t>
  </si>
  <si>
    <t>Balance Sheet v2|Other current liabilities|0|40694</t>
  </si>
  <si>
    <t>Balance Sheet v2|Senior Secured Debt (LT)|0|40694</t>
  </si>
  <si>
    <t>Balance Sheet v2|-Revolving Credit Facility|0|40694</t>
  </si>
  <si>
    <t>Balance Sheet v2|-Bonds Issued|0|40694</t>
  </si>
  <si>
    <t>Balance Sheet v2|-Other|0|40694</t>
  </si>
  <si>
    <t>Balance Sheet v2|Subordinated Debt|0|40694</t>
  </si>
  <si>
    <t>Balance Sheet v2|Securitized loans &amp; off-balance sheet items|0|40694</t>
  </si>
  <si>
    <t>Balance Sheet v2|Others|0|40694</t>
  </si>
  <si>
    <t>Balance Sheet v2|Preferred Shares|0|40694</t>
  </si>
  <si>
    <t>Balance Sheet v2|Common Shares|0|40694</t>
  </si>
  <si>
    <t>Balance Sheet v2|Share Premium|0|40694</t>
  </si>
  <si>
    <t>Balance Sheet v2|Reserves, Donations &amp; Other|0|40694</t>
  </si>
  <si>
    <t>Balance Sheet v2|prior years|0|40694</t>
  </si>
  <si>
    <t>Balance Sheet v2|current years|0|40694</t>
  </si>
  <si>
    <t>Balance Sheet v2|Unrestricted|0|40724</t>
  </si>
  <si>
    <t>Balance Sheet v2|Restricted|0|40724</t>
  </si>
  <si>
    <t>Balance Sheet v2|Short Term Investment Securities|0|40724</t>
  </si>
  <si>
    <t>Balance Sheet v2|Less: reserve for probable loss on securities|0|40724</t>
  </si>
  <si>
    <t>Balance Sheet v2|Gross loan portfolio (Please include entire GLP)|0|40724</t>
  </si>
  <si>
    <t>Balance Sheet v2|Less: loan loss reserves|0|40724</t>
  </si>
  <si>
    <t>Balance Sheet v2|Accrued interest receivable|0|40724</t>
  </si>
  <si>
    <t>Balance Sheet v2|Other current assets|0|40724</t>
  </si>
  <si>
    <t>Balance Sheet v2|Gross Fixed Assets|0|40724</t>
  </si>
  <si>
    <t>Balance Sheet v2|Less: Depreciation|0|40724</t>
  </si>
  <si>
    <t>Balance Sheet v2|Less: Asset Sales and Write-Offs|0|40724</t>
  </si>
  <si>
    <t>Balance Sheet v2|Net intangible assets|0|40724</t>
  </si>
  <si>
    <t>Balance Sheet v2|Investments in Unconslidated Affiliates|0|40724</t>
  </si>
  <si>
    <t>Balance Sheet v2|Securitized Assets &amp; Off-Balance Sheet Items|0|40724</t>
  </si>
  <si>
    <t>Balance Sheet v2|Other Types|0|40724</t>
  </si>
  <si>
    <t>Balance Sheet v2|Demand Deposits|0|40724</t>
  </si>
  <si>
    <t>Balance Sheet v2|Time Deposits|0|40724</t>
  </si>
  <si>
    <t>Balance Sheet v2|Accrued interest payable|0|40724</t>
  </si>
  <si>
    <t>Balance Sheet v2|Senior Secured Debt (ST)|0|40724</t>
  </si>
  <si>
    <t>Balance Sheet v2|Senior Unsecured Debt (ST)|0|40724</t>
  </si>
  <si>
    <t>Balance Sheet v2|Current Portion of Long-Term Debt|0|40724</t>
  </si>
  <si>
    <t>Balance Sheet v2|Other current liabilities|0|40724</t>
  </si>
  <si>
    <t>Balance Sheet v2|Senior Secured Debt (LT)|0|40724</t>
  </si>
  <si>
    <t>Balance Sheet v2|-Revolving Credit Facility|0|40724</t>
  </si>
  <si>
    <t>Balance Sheet v2|-Bonds Issued|0|40724</t>
  </si>
  <si>
    <t>Balance Sheet v2|-Other|0|40724</t>
  </si>
  <si>
    <t>Balance Sheet v2|Subordinated Debt|0|40724</t>
  </si>
  <si>
    <t>Balance Sheet v2|Securitized loans &amp; off-balance sheet items|0|40724</t>
  </si>
  <si>
    <t>Balance Sheet v2|Others|0|40724</t>
  </si>
  <si>
    <t>Balance Sheet v2|Preferred Shares|0|40724</t>
  </si>
  <si>
    <t>Balance Sheet v2|Common Shares|0|40724</t>
  </si>
  <si>
    <t>Balance Sheet v2|Share Premium|0|40724</t>
  </si>
  <si>
    <t>Balance Sheet v2|Reserves, Donations &amp; Other|0|40724</t>
  </si>
  <si>
    <t>Balance Sheet v2|prior years|0|40724</t>
  </si>
  <si>
    <t>Balance Sheet v2|current years|0|40724</t>
  </si>
  <si>
    <t>Balance Sheet v2|Unrestricted|0|40755</t>
  </si>
  <si>
    <t>Balance Sheet v2|Restricted|0|40755</t>
  </si>
  <si>
    <t>Balance Sheet v2|Short Term Investment Securities|0|40755</t>
  </si>
  <si>
    <t>Balance Sheet v2|Less: reserve for probable loss on securities|0|40755</t>
  </si>
  <si>
    <t>Balance Sheet v2|Gross loan portfolio (Please include entire GLP)|0|40755</t>
  </si>
  <si>
    <t>Balance Sheet v2|Less: loan loss reserves|0|40755</t>
  </si>
  <si>
    <t>Balance Sheet v2|Accrued interest receivable|0|40755</t>
  </si>
  <si>
    <t>Balance Sheet v2|Other current assets|0|40755</t>
  </si>
  <si>
    <t>Balance Sheet v2|Gross Fixed Assets|0|40755</t>
  </si>
  <si>
    <t>Balance Sheet v2|Less: Depreciation|0|40755</t>
  </si>
  <si>
    <t>Balance Sheet v2|Less: Asset Sales and Write-Offs|0|40755</t>
  </si>
  <si>
    <t>Balance Sheet v2|Net intangible assets|0|40755</t>
  </si>
  <si>
    <t>Balance Sheet v2|Investments in Unconslidated Affiliates|0|40755</t>
  </si>
  <si>
    <t>Balance Sheet v2|Securitized Assets &amp; Off-Balance Sheet Items|0|40755</t>
  </si>
  <si>
    <t>Balance Sheet v2|Other Types|0|40755</t>
  </si>
  <si>
    <t>Balance Sheet v2|Demand Deposits|0|40755</t>
  </si>
  <si>
    <t>Balance Sheet v2|Time Deposits|0|40755</t>
  </si>
  <si>
    <t>Balance Sheet v2|Accrued interest payable|0|40755</t>
  </si>
  <si>
    <t>Balance Sheet v2|Senior Secured Debt (ST)|0|40755</t>
  </si>
  <si>
    <t>Balance Sheet v2|Senior Unsecured Debt (ST)|0|40755</t>
  </si>
  <si>
    <t>Balance Sheet v2|Current Portion of Long-Term Debt|0|40755</t>
  </si>
  <si>
    <t>Balance Sheet v2|Other current liabilities|0|40755</t>
  </si>
  <si>
    <t>Balance Sheet v2|Senior Secured Debt (LT)|0|40755</t>
  </si>
  <si>
    <t>Balance Sheet v2|-Revolving Credit Facility|0|40755</t>
  </si>
  <si>
    <t>Balance Sheet v2|-Bonds Issued|0|40755</t>
  </si>
  <si>
    <t>Balance Sheet v2|-Other|0|40755</t>
  </si>
  <si>
    <t>Balance Sheet v2|Subordinated Debt|0|40755</t>
  </si>
  <si>
    <t>Balance Sheet v2|Securitized loans &amp; off-balance sheet items|0|40755</t>
  </si>
  <si>
    <t>Balance Sheet v2|Others|0|40755</t>
  </si>
  <si>
    <t>Balance Sheet v2|Preferred Shares|0|40755</t>
  </si>
  <si>
    <t>Balance Sheet v2|Common Shares|0|40755</t>
  </si>
  <si>
    <t>Balance Sheet v2|Share Premium|0|40755</t>
  </si>
  <si>
    <t>Balance Sheet v2|Reserves, Donations &amp; Other|0|40755</t>
  </si>
  <si>
    <t>Balance Sheet v2|prior years|0|40755</t>
  </si>
  <si>
    <t>Balance Sheet v2|current years|0|40755</t>
  </si>
  <si>
    <t>Balance Sheet v2|Unrestricted|0|40786</t>
  </si>
  <si>
    <t>Balance Sheet v2|Restricted|0|40786</t>
  </si>
  <si>
    <t>Balance Sheet v2|Short Term Investment Securities|0|40786</t>
  </si>
  <si>
    <t>Balance Sheet v2|Less: reserve for probable loss on securities|0|40786</t>
  </si>
  <si>
    <t>Balance Sheet v2|Gross loan portfolio (Please include entire GLP)|0|40786</t>
  </si>
  <si>
    <t>Balance Sheet v2|Less: loan loss reserves|0|40786</t>
  </si>
  <si>
    <t>Balance Sheet v2|Accrued interest receivable|0|40786</t>
  </si>
  <si>
    <t>Balance Sheet v2|Other current assets|0|40786</t>
  </si>
  <si>
    <t>Balance Sheet v2|Gross Fixed Assets|0|40786</t>
  </si>
  <si>
    <t>Balance Sheet v2|Less: Depreciation|0|40786</t>
  </si>
  <si>
    <t>Balance Sheet v2|Less: Asset Sales and Write-Offs|0|40786</t>
  </si>
  <si>
    <t>Balance Sheet v2|Net intangible assets|0|40786</t>
  </si>
  <si>
    <t>Balance Sheet v2|Investments in Unconslidated Affiliates|0|40786</t>
  </si>
  <si>
    <t>Balance Sheet v2|Securitized Assets &amp; Off-Balance Sheet Items|0|40786</t>
  </si>
  <si>
    <t>Balance Sheet v2|Other Types|0|40786</t>
  </si>
  <si>
    <t>Balance Sheet v2|Demand Deposits|0|40786</t>
  </si>
  <si>
    <t>Balance Sheet v2|Time Deposits|0|40786</t>
  </si>
  <si>
    <t>Balance Sheet v2|Accrued interest payable|0|40786</t>
  </si>
  <si>
    <t>Balance Sheet v2|Senior Secured Debt (ST)|0|40786</t>
  </si>
  <si>
    <t>Balance Sheet v2|Senior Unsecured Debt (ST)|0|40786</t>
  </si>
  <si>
    <t>Balance Sheet v2|Current Portion of Long-Term Debt|0|40786</t>
  </si>
  <si>
    <t>Balance Sheet v2|Other current liabilities|0|40786</t>
  </si>
  <si>
    <t>Balance Sheet v2|Senior Secured Debt (LT)|0|40786</t>
  </si>
  <si>
    <t>Balance Sheet v2|-Revolving Credit Facility|0|40786</t>
  </si>
  <si>
    <t>Balance Sheet v2|-Bonds Issued|0|40786</t>
  </si>
  <si>
    <t>Balance Sheet v2|-Other|0|40786</t>
  </si>
  <si>
    <t>Balance Sheet v2|Subordinated Debt|0|40786</t>
  </si>
  <si>
    <t>Balance Sheet v2|Securitized loans &amp; off-balance sheet items|0|40786</t>
  </si>
  <si>
    <t>Balance Sheet v2|Others|0|40786</t>
  </si>
  <si>
    <t>Balance Sheet v2|Preferred Shares|0|40786</t>
  </si>
  <si>
    <t>Balance Sheet v2|Common Shares|0|40786</t>
  </si>
  <si>
    <t>Balance Sheet v2|Share Premium|0|40786</t>
  </si>
  <si>
    <t>Balance Sheet v2|Reserves, Donations &amp; Other|0|40786</t>
  </si>
  <si>
    <t>Balance Sheet v2|prior years|0|40786</t>
  </si>
  <si>
    <t>Balance Sheet v2|current years|0|40786</t>
  </si>
  <si>
    <t>Balance Sheet v2|Unrestricted|0|40816</t>
  </si>
  <si>
    <t>Balance Sheet v2|Restricted|0|40816</t>
  </si>
  <si>
    <t>Balance Sheet v2|Short Term Investment Securities|0|40816</t>
  </si>
  <si>
    <t>Balance Sheet v2|Less: reserve for probable loss on securities|0|40816</t>
  </si>
  <si>
    <t>Balance Sheet v2|Gross loan portfolio (Please include entire GLP)|0|40816</t>
  </si>
  <si>
    <t>Balance Sheet v2|Less: loan loss reserves|0|40816</t>
  </si>
  <si>
    <t>Balance Sheet v2|Accrued interest receivable|0|40816</t>
  </si>
  <si>
    <t>Balance Sheet v2|Other current assets|0|40816</t>
  </si>
  <si>
    <t>Balance Sheet v2|Gross Fixed Assets|0|40816</t>
  </si>
  <si>
    <t>Balance Sheet v2|Less: Depreciation|0|40816</t>
  </si>
  <si>
    <t>Balance Sheet v2|Less: Asset Sales and Write-Offs|0|40816</t>
  </si>
  <si>
    <t>Balance Sheet v2|Net intangible assets|0|40816</t>
  </si>
  <si>
    <t>Balance Sheet v2|Investments in Unconslidated Affiliates|0|40816</t>
  </si>
  <si>
    <t>Balance Sheet v2|Securitized Assets &amp; Off-Balance Sheet Items|0|40816</t>
  </si>
  <si>
    <t>Balance Sheet v2|Other Types|0|40816</t>
  </si>
  <si>
    <t>Balance Sheet v2|Demand Deposits|0|40816</t>
  </si>
  <si>
    <t>Balance Sheet v2|Time Deposits|0|40816</t>
  </si>
  <si>
    <t>Balance Sheet v2|Accrued interest payable|0|40816</t>
  </si>
  <si>
    <t>Balance Sheet v2|Senior Secured Debt (ST)|0|40816</t>
  </si>
  <si>
    <t>Balance Sheet v2|Senior Unsecured Debt (ST)|0|40816</t>
  </si>
  <si>
    <t>Balance Sheet v2|Current Portion of Long-Term Debt|0|40816</t>
  </si>
  <si>
    <t>Balance Sheet v2|Other current liabilities|0|40816</t>
  </si>
  <si>
    <t>Balance Sheet v2|Senior Secured Debt (LT)|0|40816</t>
  </si>
  <si>
    <t>Balance Sheet v2|-Revolving Credit Facility|0|40816</t>
  </si>
  <si>
    <t>Balance Sheet v2|-Bonds Issued|0|40816</t>
  </si>
  <si>
    <t>Balance Sheet v2|-Other|0|40816</t>
  </si>
  <si>
    <t>Balance Sheet v2|Subordinated Debt|0|40816</t>
  </si>
  <si>
    <t>Balance Sheet v2|Securitized loans &amp; off-balance sheet items|0|40816</t>
  </si>
  <si>
    <t>Balance Sheet v2|Others|0|40816</t>
  </si>
  <si>
    <t>Balance Sheet v2|Preferred Shares|0|40816</t>
  </si>
  <si>
    <t>Balance Sheet v2|Common Shares|0|40816</t>
  </si>
  <si>
    <t>Balance Sheet v2|Share Premium|0|40816</t>
  </si>
  <si>
    <t>Balance Sheet v2|Reserves, Donations &amp; Other|0|40816</t>
  </si>
  <si>
    <t>Balance Sheet v2|prior years|0|40816</t>
  </si>
  <si>
    <t>Balance Sheet v2|current years|0|40816</t>
  </si>
  <si>
    <t>Balance Sheet v2|Unrestricted|0|40847</t>
  </si>
  <si>
    <t>Balance Sheet v2|Restricted|0|40847</t>
  </si>
  <si>
    <t>Balance Sheet v2|Short Term Investment Securities|0|40847</t>
  </si>
  <si>
    <t>Balance Sheet v2|Less: reserve for probable loss on securities|0|40847</t>
  </si>
  <si>
    <t>Balance Sheet v2|Gross loan portfolio (Please include entire GLP)|0|40847</t>
  </si>
  <si>
    <t>Balance Sheet v2|Less: loan loss reserves|0|40847</t>
  </si>
  <si>
    <t>Balance Sheet v2|Accrued interest receivable|0|40847</t>
  </si>
  <si>
    <t>Balance Sheet v2|Other current assets|0|40847</t>
  </si>
  <si>
    <t>Balance Sheet v2|Gross Fixed Assets|0|40847</t>
  </si>
  <si>
    <t>Balance Sheet v2|Less: Depreciation|0|40847</t>
  </si>
  <si>
    <t>Balance Sheet v2|Less: Asset Sales and Write-Offs|0|40847</t>
  </si>
  <si>
    <t>Balance Sheet v2|Net intangible assets|0|40847</t>
  </si>
  <si>
    <t>Balance Sheet v2|Investments in Unconslidated Affiliates|0|40847</t>
  </si>
  <si>
    <t>Balance Sheet v2|Securitized Assets &amp; Off-Balance Sheet Items|0|40847</t>
  </si>
  <si>
    <t>Balance Sheet v2|Other Types|0|40847</t>
  </si>
  <si>
    <t>Balance Sheet v2|Demand Deposits|0|40847</t>
  </si>
  <si>
    <t>Balance Sheet v2|Time Deposits|0|40847</t>
  </si>
  <si>
    <t>Balance Sheet v2|Accrued interest payable|0|40847</t>
  </si>
  <si>
    <t>Balance Sheet v2|Senior Secured Debt (ST)|0|40847</t>
  </si>
  <si>
    <t>Balance Sheet v2|Senior Unsecured Debt (ST)|0|40847</t>
  </si>
  <si>
    <t>Balance Sheet v2|Current Portion of Long-Term Debt|0|40847</t>
  </si>
  <si>
    <t>Balance Sheet v2|Other current liabilities|0|40847</t>
  </si>
  <si>
    <t>Balance Sheet v2|Senior Secured Debt (LT)|0|40847</t>
  </si>
  <si>
    <t>Balance Sheet v2|-Revolving Credit Facility|0|40847</t>
  </si>
  <si>
    <t>Balance Sheet v2|-Bonds Issued|0|40847</t>
  </si>
  <si>
    <t>Balance Sheet v2|-Other|0|40847</t>
  </si>
  <si>
    <t>Balance Sheet v2|Subordinated Debt|0|40847</t>
  </si>
  <si>
    <t>Balance Sheet v2|Securitized loans &amp; off-balance sheet items|0|40847</t>
  </si>
  <si>
    <t>Balance Sheet v2|Others|0|40847</t>
  </si>
  <si>
    <t>Balance Sheet v2|Preferred Shares|0|40847</t>
  </si>
  <si>
    <t>Balance Sheet v2|Common Shares|0|40847</t>
  </si>
  <si>
    <t>Balance Sheet v2|Share Premium|0|40847</t>
  </si>
  <si>
    <t>Balance Sheet v2|Reserves, Donations &amp; Other|0|40847</t>
  </si>
  <si>
    <t>Balance Sheet v2|prior years|0|40847</t>
  </si>
  <si>
    <t>Balance Sheet v2|current years|0|40847</t>
  </si>
  <si>
    <t>Balance Sheet v2|Unrestricted|0|40877</t>
  </si>
  <si>
    <t>Balance Sheet v2|Restricted|0|40877</t>
  </si>
  <si>
    <t>Balance Sheet v2|Short Term Investment Securities|0|40877</t>
  </si>
  <si>
    <t>Balance Sheet v2|Less: reserve for probable loss on securities|0|40877</t>
  </si>
  <si>
    <t>Balance Sheet v2|Gross loan portfolio (Please include entire GLP)|0|40877</t>
  </si>
  <si>
    <t>Balance Sheet v2|Less: loan loss reserves|0|40877</t>
  </si>
  <si>
    <t>Balance Sheet v2|Accrued interest receivable|0|40877</t>
  </si>
  <si>
    <t>Balance Sheet v2|Other current assets|0|40877</t>
  </si>
  <si>
    <t>Balance Sheet v2|Gross Fixed Assets|0|40877</t>
  </si>
  <si>
    <t>Balance Sheet v2|Less: Depreciation|0|40877</t>
  </si>
  <si>
    <t>Balance Sheet v2|Less: Asset Sales and Write-Offs|0|40877</t>
  </si>
  <si>
    <t>Balance Sheet v2|Net intangible assets|0|40877</t>
  </si>
  <si>
    <t>Balance Sheet v2|Investments in Unconslidated Affiliates|0|40877</t>
  </si>
  <si>
    <t>Balance Sheet v2|Securitized Assets &amp; Off-Balance Sheet Items|0|40877</t>
  </si>
  <si>
    <t>Balance Sheet v2|Other Types|0|40877</t>
  </si>
  <si>
    <t>Balance Sheet v2|Demand Deposits|0|40877</t>
  </si>
  <si>
    <t>Balance Sheet v2|Time Deposits|0|40877</t>
  </si>
  <si>
    <t>Balance Sheet v2|Accrued interest payable|0|40877</t>
  </si>
  <si>
    <t>Balance Sheet v2|Senior Secured Debt (ST)|0|40877</t>
  </si>
  <si>
    <t>Balance Sheet v2|Senior Unsecured Debt (ST)|0|40877</t>
  </si>
  <si>
    <t>Balance Sheet v2|Current Portion of Long-Term Debt|0|40877</t>
  </si>
  <si>
    <t>Balance Sheet v2|Other current liabilities|0|40877</t>
  </si>
  <si>
    <t>Balance Sheet v2|Senior Secured Debt (LT)|0|40877</t>
  </si>
  <si>
    <t>Balance Sheet v2|-Revolving Credit Facility|0|40877</t>
  </si>
  <si>
    <t>Balance Sheet v2|-Bonds Issued|0|40877</t>
  </si>
  <si>
    <t>Balance Sheet v2|-Other|0|40877</t>
  </si>
  <si>
    <t>Balance Sheet v2|Subordinated Debt|0|40877</t>
  </si>
  <si>
    <t>Balance Sheet v2|Securitized loans &amp; off-balance sheet items|0|40877</t>
  </si>
  <si>
    <t>Balance Sheet v2|Others|0|40877</t>
  </si>
  <si>
    <t>Balance Sheet v2|Preferred Shares|0|40877</t>
  </si>
  <si>
    <t>Balance Sheet v2|Common Shares|0|40877</t>
  </si>
  <si>
    <t>Balance Sheet v2|Share Premium|0|40877</t>
  </si>
  <si>
    <t>Balance Sheet v2|Reserves, Donations &amp; Other|0|40877</t>
  </si>
  <si>
    <t>Balance Sheet v2|prior years|0|40877</t>
  </si>
  <si>
    <t>Balance Sheet v2|current years|0|40877</t>
  </si>
  <si>
    <t>Balance Sheet v2|Unrestricted|0|40908</t>
  </si>
  <si>
    <t>Balance Sheet v2|Restricted|0|40908</t>
  </si>
  <si>
    <t>Balance Sheet v2|Short Term Investment Securities|0|40908</t>
  </si>
  <si>
    <t>Balance Sheet v2|Less: reserve for probable loss on securities|0|40908</t>
  </si>
  <si>
    <t>Balance Sheet v2|Gross loan portfolio (Please include entire GLP)|0|40908</t>
  </si>
  <si>
    <t>Balance Sheet v2|Less: loan loss reserves|0|40908</t>
  </si>
  <si>
    <t>Balance Sheet v2|Accrued interest receivable|0|40908</t>
  </si>
  <si>
    <t>Balance Sheet v2|Other current assets|0|40908</t>
  </si>
  <si>
    <t>Balance Sheet v2|Gross Fixed Assets|0|40908</t>
  </si>
  <si>
    <t>Balance Sheet v2|Less: Depreciation|0|40908</t>
  </si>
  <si>
    <t>Balance Sheet v2|Less: Asset Sales and Write-Offs|0|40908</t>
  </si>
  <si>
    <t>Balance Sheet v2|Net intangible assets|0|40908</t>
  </si>
  <si>
    <t>Balance Sheet v2|Investments in Unconslidated Affiliates|0|40908</t>
  </si>
  <si>
    <t>Balance Sheet v2|Securitized Assets &amp; Off-Balance Sheet Items|0|40908</t>
  </si>
  <si>
    <t>Balance Sheet v2|Other Types|0|40908</t>
  </si>
  <si>
    <t>Balance Sheet v2|Demand Deposits|0|40908</t>
  </si>
  <si>
    <t>Balance Sheet v2|Time Deposits|0|40908</t>
  </si>
  <si>
    <t>Balance Sheet v2|Accrued interest payable|0|40908</t>
  </si>
  <si>
    <t>Balance Sheet v2|Senior Secured Debt (ST)|0|40908</t>
  </si>
  <si>
    <t>Balance Sheet v2|Senior Unsecured Debt (ST)|0|40908</t>
  </si>
  <si>
    <t>Balance Sheet v2|Current Portion of Long-Term Debt|0|40908</t>
  </si>
  <si>
    <t>Balance Sheet v2|Other current liabilities|0|40908</t>
  </si>
  <si>
    <t>Balance Sheet v2|Senior Secured Debt (LT)|0|40908</t>
  </si>
  <si>
    <t>Balance Sheet v2|-Revolving Credit Facility|0|40908</t>
  </si>
  <si>
    <t>Balance Sheet v2|-Bonds Issued|0|40908</t>
  </si>
  <si>
    <t>Balance Sheet v2|-Other|0|40908</t>
  </si>
  <si>
    <t>Balance Sheet v2|Subordinated Debt|0|40908</t>
  </si>
  <si>
    <t>Balance Sheet v2|Securitized loans &amp; off-balance sheet items|0|40908</t>
  </si>
  <si>
    <t>Balance Sheet v2|Others|0|40908</t>
  </si>
  <si>
    <t>Balance Sheet v2|Preferred Shares|0|40908</t>
  </si>
  <si>
    <t>Balance Sheet v2|Common Shares|0|40908</t>
  </si>
  <si>
    <t>Balance Sheet v2|Share Premium|0|40908</t>
  </si>
  <si>
    <t>Balance Sheet v2|Reserves, Donations &amp; Other|0|40908</t>
  </si>
  <si>
    <t>Balance Sheet v2|prior years|0|40908</t>
  </si>
  <si>
    <t>Balance Sheet v2|current years|0|40908</t>
  </si>
  <si>
    <t>Currency Exposure v2|Cash|0|40574</t>
  </si>
  <si>
    <t>Currency Exposure v2|Portfolio|0|40574</t>
  </si>
  <si>
    <t>Currency Exposure v2|Other Assets|0|40574</t>
  </si>
  <si>
    <t>Currency Exposure v2|Savings|0|40574</t>
  </si>
  <si>
    <t>Currency Exposure v2|Borrowings|0|40574</t>
  </si>
  <si>
    <t>Currency Exposure v2|Other Liabilities|0|40574</t>
  </si>
  <si>
    <t>Currency Exposure v2|Deposits for Back-to-Back Loans|0|40574</t>
  </si>
  <si>
    <t>Currency Exposure v2|Options|0|40574</t>
  </si>
  <si>
    <t>Currency Exposure v2|Forwards|0|40574</t>
  </si>
  <si>
    <t>Currency Exposure v2|Swaps|0|40574</t>
  </si>
  <si>
    <t>Currency Exposure v2|Back-to-back Loans|0|40574</t>
  </si>
  <si>
    <t>Currency Exposure v2|Options-L|0|40574</t>
  </si>
  <si>
    <t>Currency Exposure v2|Forwards-L|0|40574</t>
  </si>
  <si>
    <t>Currency Exposure v2|Swaps-L|0|40574</t>
  </si>
  <si>
    <t>Currency Exposure v2|Cash|0|40602</t>
  </si>
  <si>
    <t>Currency Exposure v2|Portfolio|0|40602</t>
  </si>
  <si>
    <t>Currency Exposure v2|Other Assets|0|40602</t>
  </si>
  <si>
    <t>Currency Exposure v2|Savings|0|40602</t>
  </si>
  <si>
    <t>Currency Exposure v2|Borrowings|0|40602</t>
  </si>
  <si>
    <t>Currency Exposure v2|Other Liabilities|0|40602</t>
  </si>
  <si>
    <t>Currency Exposure v2|Deposits for Back-to-Back Loans|0|40602</t>
  </si>
  <si>
    <t>Currency Exposure v2|Options|0|40602</t>
  </si>
  <si>
    <t>Currency Exposure v2|Forwards|0|40602</t>
  </si>
  <si>
    <t>Currency Exposure v2|Swaps|0|40602</t>
  </si>
  <si>
    <t>Currency Exposure v2|Back-to-back Loans|0|40602</t>
  </si>
  <si>
    <t>Currency Exposure v2|Options-L|0|40602</t>
  </si>
  <si>
    <t>Currency Exposure v2|Forwards-L|0|40602</t>
  </si>
  <si>
    <t>Currency Exposure v2|Swaps-L|0|40602</t>
  </si>
  <si>
    <t>Currency Exposure v2|Cash|0|40633</t>
  </si>
  <si>
    <t>Currency Exposure v2|Portfolio|0|40633</t>
  </si>
  <si>
    <t>Currency Exposure v2|Other Assets|0|40633</t>
  </si>
  <si>
    <t>Currency Exposure v2|Savings|0|40633</t>
  </si>
  <si>
    <t>Currency Exposure v2|Borrowings|0|40633</t>
  </si>
  <si>
    <t>Currency Exposure v2|Other Liabilities|0|40633</t>
  </si>
  <si>
    <t>Currency Exposure v2|Deposits for Back-to-Back Loans|0|40633</t>
  </si>
  <si>
    <t>Currency Exposure v2|Options|0|40633</t>
  </si>
  <si>
    <t>Currency Exposure v2|Forwards|0|40633</t>
  </si>
  <si>
    <t>Currency Exposure v2|Swaps|0|40633</t>
  </si>
  <si>
    <t>Currency Exposure v2|Back-to-back Loans|0|40633</t>
  </si>
  <si>
    <t>Currency Exposure v2|Options-L|0|40633</t>
  </si>
  <si>
    <t>Currency Exposure v2|Forwards-L|0|40633</t>
  </si>
  <si>
    <t>Currency Exposure v2|Swaps-L|0|40633</t>
  </si>
  <si>
    <t>Currency Exposure v2|Cash|0|40663</t>
  </si>
  <si>
    <t>Currency Exposure v2|Portfolio|0|40663</t>
  </si>
  <si>
    <t>Currency Exposure v2|Other Assets|0|40663</t>
  </si>
  <si>
    <t>Currency Exposure v2|Savings|0|40663</t>
  </si>
  <si>
    <t>Currency Exposure v2|Borrowings|0|40663</t>
  </si>
  <si>
    <t>Currency Exposure v2|Other Liabilities|0|40663</t>
  </si>
  <si>
    <t>Currency Exposure v2|Deposits for Back-to-Back Loans|0|40663</t>
  </si>
  <si>
    <t>Currency Exposure v2|Options|0|40663</t>
  </si>
  <si>
    <t>Currency Exposure v2|Forwards|0|40663</t>
  </si>
  <si>
    <t>Currency Exposure v2|Swaps|0|40663</t>
  </si>
  <si>
    <t>Currency Exposure v2|Back-to-back Loans|0|40663</t>
  </si>
  <si>
    <t>Currency Exposure v2|Options-L|0|40663</t>
  </si>
  <si>
    <t>Currency Exposure v2|Forwards-L|0|40663</t>
  </si>
  <si>
    <t>Currency Exposure v2|Swaps-L|0|40663</t>
  </si>
  <si>
    <t>Currency Exposure v2|Cash|0|40694</t>
  </si>
  <si>
    <t>Currency Exposure v2|Portfolio|0|40694</t>
  </si>
  <si>
    <t>Currency Exposure v2|Other Assets|0|40694</t>
  </si>
  <si>
    <t>Currency Exposure v2|Savings|0|40694</t>
  </si>
  <si>
    <t>Currency Exposure v2|Borrowings|0|40694</t>
  </si>
  <si>
    <t>Currency Exposure v2|Other Liabilities|0|40694</t>
  </si>
  <si>
    <t>Currency Exposure v2|Deposits for Back-to-Back Loans|0|40694</t>
  </si>
  <si>
    <t>Currency Exposure v2|Options|0|40694</t>
  </si>
  <si>
    <t>Currency Exposure v2|Forwards|0|40694</t>
  </si>
  <si>
    <t>Currency Exposure v2|Swaps|0|40694</t>
  </si>
  <si>
    <t>Currency Exposure v2|Back-to-back Loans|0|40694</t>
  </si>
  <si>
    <t>Currency Exposure v2|Options-L|0|40694</t>
  </si>
  <si>
    <t>Currency Exposure v2|Forwards-L|0|40694</t>
  </si>
  <si>
    <t>Currency Exposure v2|Swaps-L|0|40694</t>
  </si>
  <si>
    <t>Currency Exposure v2|Cash|0|40724</t>
  </si>
  <si>
    <t>Currency Exposure v2|Portfolio|0|40724</t>
  </si>
  <si>
    <t>Currency Exposure v2|Other Assets|0|40724</t>
  </si>
  <si>
    <t>Currency Exposure v2|Savings|0|40724</t>
  </si>
  <si>
    <t>Currency Exposure v2|Borrowings|0|40724</t>
  </si>
  <si>
    <t>Currency Exposure v2|Other Liabilities|0|40724</t>
  </si>
  <si>
    <t>Currency Exposure v2|Deposits for Back-to-Back Loans|0|40724</t>
  </si>
  <si>
    <t>Currency Exposure v2|Options|0|40724</t>
  </si>
  <si>
    <t>Currency Exposure v2|Forwards|0|40724</t>
  </si>
  <si>
    <t>Currency Exposure v2|Swaps|0|40724</t>
  </si>
  <si>
    <t>Currency Exposure v2|Back-to-back Loans|0|40724</t>
  </si>
  <si>
    <t>Currency Exposure v2|Options-L|0|40724</t>
  </si>
  <si>
    <t>Currency Exposure v2|Forwards-L|0|40724</t>
  </si>
  <si>
    <t>Currency Exposure v2|Swaps-L|0|40724</t>
  </si>
  <si>
    <t>Currency Exposure v2|Cash|0|40755</t>
  </si>
  <si>
    <t>Currency Exposure v2|Portfolio|0|40755</t>
  </si>
  <si>
    <t>Currency Exposure v2|Other Assets|0|40755</t>
  </si>
  <si>
    <t>Currency Exposure v2|Savings|0|40755</t>
  </si>
  <si>
    <t>Currency Exposure v2|Borrowings|0|40755</t>
  </si>
  <si>
    <t>Currency Exposure v2|Other Liabilities|0|40755</t>
  </si>
  <si>
    <t>Currency Exposure v2|Deposits for Back-to-Back Loans|0|40755</t>
  </si>
  <si>
    <t>Currency Exposure v2|Options|0|40755</t>
  </si>
  <si>
    <t>Currency Exposure v2|Forwards|0|40755</t>
  </si>
  <si>
    <t>Currency Exposure v2|Swaps|0|40755</t>
  </si>
  <si>
    <t>Currency Exposure v2|Back-to-back Loans|0|40755</t>
  </si>
  <si>
    <t>Currency Exposure v2|Options-L|0|40755</t>
  </si>
  <si>
    <t>Currency Exposure v2|Forwards-L|0|40755</t>
  </si>
  <si>
    <t>Currency Exposure v2|Swaps-L|0|40755</t>
  </si>
  <si>
    <t>Currency Exposure v2|Cash|0|40786</t>
  </si>
  <si>
    <t>Currency Exposure v2|Portfolio|0|40786</t>
  </si>
  <si>
    <t>Currency Exposure v2|Other Assets|0|40786</t>
  </si>
  <si>
    <t>Currency Exposure v2|Savings|0|40786</t>
  </si>
  <si>
    <t>Currency Exposure v2|Borrowings|0|40786</t>
  </si>
  <si>
    <t>Currency Exposure v2|Other Liabilities|0|40786</t>
  </si>
  <si>
    <t>Currency Exposure v2|Deposits for Back-to-Back Loans|0|40786</t>
  </si>
  <si>
    <t>Currency Exposure v2|Options|0|40786</t>
  </si>
  <si>
    <t>Currency Exposure v2|Forwards|0|40786</t>
  </si>
  <si>
    <t>Currency Exposure v2|Swaps|0|40786</t>
  </si>
  <si>
    <t>Currency Exposure v2|Back-to-back Loans|0|40786</t>
  </si>
  <si>
    <t>Currency Exposure v2|Options-L|0|40786</t>
  </si>
  <si>
    <t>Currency Exposure v2|Forwards-L|0|40786</t>
  </si>
  <si>
    <t>Currency Exposure v2|Swaps-L|0|40786</t>
  </si>
  <si>
    <t>Currency Exposure v2|Cash|0|40816</t>
  </si>
  <si>
    <t>Currency Exposure v2|Portfolio|0|40816</t>
  </si>
  <si>
    <t>Currency Exposure v2|Other Assets|0|40816</t>
  </si>
  <si>
    <t>Currency Exposure v2|Savings|0|40816</t>
  </si>
  <si>
    <t>Currency Exposure v2|Borrowings|0|40816</t>
  </si>
  <si>
    <t>Currency Exposure v2|Other Liabilities|0|40816</t>
  </si>
  <si>
    <t>Currency Exposure v2|Deposits for Back-to-Back Loans|0|40816</t>
  </si>
  <si>
    <t>Currency Exposure v2|Options|0|40816</t>
  </si>
  <si>
    <t>Currency Exposure v2|Forwards|0|40816</t>
  </si>
  <si>
    <t>Currency Exposure v2|Swaps|0|40816</t>
  </si>
  <si>
    <t>Currency Exposure v2|Back-to-back Loans|0|40816</t>
  </si>
  <si>
    <t>Currency Exposure v2|Options-L|0|40816</t>
  </si>
  <si>
    <t>Currency Exposure v2|Forwards-L|0|40816</t>
  </si>
  <si>
    <t>Currency Exposure v2|Swaps-L|0|40816</t>
  </si>
  <si>
    <t>Currency Exposure v2|Cash|0|40847</t>
  </si>
  <si>
    <t>Currency Exposure v2|Portfolio|0|40847</t>
  </si>
  <si>
    <t>Currency Exposure v2|Other Assets|0|40847</t>
  </si>
  <si>
    <t>Currency Exposure v2|Savings|0|40847</t>
  </si>
  <si>
    <t>Currency Exposure v2|Borrowings|0|40847</t>
  </si>
  <si>
    <t>Currency Exposure v2|Other Liabilities|0|40847</t>
  </si>
  <si>
    <t>Currency Exposure v2|Deposits for Back-to-Back Loans|0|40847</t>
  </si>
  <si>
    <t>Currency Exposure v2|Options|0|40847</t>
  </si>
  <si>
    <t>Currency Exposure v2|Forwards|0|40847</t>
  </si>
  <si>
    <t>Currency Exposure v2|Swaps|0|40847</t>
  </si>
  <si>
    <t>Currency Exposure v2|Back-to-back Loans|0|40847</t>
  </si>
  <si>
    <t>Currency Exposure v2|Options-L|0|40847</t>
  </si>
  <si>
    <t>Currency Exposure v2|Forwards-L|0|40847</t>
  </si>
  <si>
    <t>Currency Exposure v2|Swaps-L|0|40847</t>
  </si>
  <si>
    <t>Currency Exposure v2|Cash|0|40877</t>
  </si>
  <si>
    <t>Currency Exposure v2|Portfolio|0|40877</t>
  </si>
  <si>
    <t>Currency Exposure v2|Other Assets|0|40877</t>
  </si>
  <si>
    <t>Currency Exposure v2|Savings|0|40877</t>
  </si>
  <si>
    <t>Currency Exposure v2|Borrowings|0|40877</t>
  </si>
  <si>
    <t>Currency Exposure v2|Other Liabilities|0|40877</t>
  </si>
  <si>
    <t>Currency Exposure v2|Deposits for Back-to-Back Loans|0|40877</t>
  </si>
  <si>
    <t>Currency Exposure v2|Options|0|40877</t>
  </si>
  <si>
    <t>Currency Exposure v2|Forwards|0|40877</t>
  </si>
  <si>
    <t>Currency Exposure v2|Swaps|0|40877</t>
  </si>
  <si>
    <t>Currency Exposure v2|Back-to-back Loans|0|40877</t>
  </si>
  <si>
    <t>Currency Exposure v2|Options-L|0|40877</t>
  </si>
  <si>
    <t>Currency Exposure v2|Forwards-L|0|40877</t>
  </si>
  <si>
    <t>Currency Exposure v2|Swaps-L|0|40877</t>
  </si>
  <si>
    <t>Currency Exposure v2|Cash|0|40908</t>
  </si>
  <si>
    <t>Currency Exposure v2|Portfolio|0|40908</t>
  </si>
  <si>
    <t>Currency Exposure v2|Other Assets|0|40908</t>
  </si>
  <si>
    <t>Currency Exposure v2|Savings|0|40908</t>
  </si>
  <si>
    <t>Currency Exposure v2|Borrowings|0|40908</t>
  </si>
  <si>
    <t>Currency Exposure v2|Other Liabilities|0|40908</t>
  </si>
  <si>
    <t>Currency Exposure v2|Deposits for Back-to-Back Loans|0|40908</t>
  </si>
  <si>
    <t>Currency Exposure v2|Options|0|40908</t>
  </si>
  <si>
    <t>Currency Exposure v2|Forwards|0|40908</t>
  </si>
  <si>
    <t>Currency Exposure v2|Swaps|0|40908</t>
  </si>
  <si>
    <t>Currency Exposure v2|Back-to-back Loans|0|40908</t>
  </si>
  <si>
    <t>Currency Exposure v2|Options-L|0|40908</t>
  </si>
  <si>
    <t>Currency Exposure v2|Forwards-L|0|40908</t>
  </si>
  <si>
    <t>Currency Exposure v2|Swaps-L|0|40908</t>
  </si>
  <si>
    <t>Income Statement v2|Interest Income from Loans|0|40574</t>
  </si>
  <si>
    <t>Income Statement v2|Income from Fees and Commissions on Loans|0|40574</t>
  </si>
  <si>
    <t>Income Statement v2|Interest Expense on Borrowings (&amp; Bonds)|0|40574</t>
  </si>
  <si>
    <t>Income Statement v2|Interest Expense on Deposits|0|40574</t>
  </si>
  <si>
    <t>Income Statement v2|Loan Loss Provision Expense|0|40574</t>
  </si>
  <si>
    <t>Income Statement v2|Fees from Penalties|0|40574</t>
  </si>
  <si>
    <t>Income Statement v2|Fees and Commissions from Non-Lending Operations|0|40574</t>
  </si>
  <si>
    <t>Income Statement v2|Realized Net Foreign Exchange/Inflation Income (Expense)|0|40574</t>
  </si>
  <si>
    <t>Income Statement v2|Other Financial Income (Expense)|0|40574</t>
  </si>
  <si>
    <t>Income Statement v2|Salaries &amp; Benefits|0|40574</t>
  </si>
  <si>
    <t>Income Statement v2|General &amp; Administrative|0|40574</t>
  </si>
  <si>
    <t>Income Statement v2|Depreciation &amp; Amortization|0|40574</t>
  </si>
  <si>
    <t>Income Statement v2|Non-operating income|0|40574</t>
  </si>
  <si>
    <t>Income Statement v2|Non-operating expenses|0|40574</t>
  </si>
  <si>
    <t>Income Statement v2|Income Tax Expense|0|40574</t>
  </si>
  <si>
    <t>Income Statement v2|Donations|0|40574</t>
  </si>
  <si>
    <t>Income Statement v2|Income (Expense) from Unconsolidated Affiliates|0|40574</t>
  </si>
  <si>
    <t>Income Statement v2|Dividends Received|0|40574</t>
  </si>
  <si>
    <t>Income Statement v2|Minority Interest Expense|0|40574</t>
  </si>
  <si>
    <t>Income Statement v2|Ordinary Shares Outstanding|0|40574</t>
  </si>
  <si>
    <t>Income Statement v2|Fully Diluted Shares Outstanding|0|40574</t>
  </si>
  <si>
    <t>Income Statement v2|Dividends|0|40574</t>
  </si>
  <si>
    <t>Income Statement v2|Unrealized FX Gains/(Losses)|0|40574</t>
  </si>
  <si>
    <t>Income Statement v2|Other|0|40574</t>
  </si>
  <si>
    <t>Income Statement v2|Interest Income from Loans|0|40602</t>
  </si>
  <si>
    <t>Income Statement v2|Income from Fees and Commissions on Loans|0|40602</t>
  </si>
  <si>
    <t>Income Statement v2|Interest Expense on Borrowings (&amp; Bonds)|0|40602</t>
  </si>
  <si>
    <t>Income Statement v2|Interest Expense on Deposits|0|40602</t>
  </si>
  <si>
    <t>Income Statement v2|Loan Loss Provision Expense|0|40602</t>
  </si>
  <si>
    <t>Income Statement v2|Fees from Penalties|0|40602</t>
  </si>
  <si>
    <t>Income Statement v2|Fees and Commissions from Non-Lending Operations|0|40602</t>
  </si>
  <si>
    <t>Income Statement v2|Realized Net Foreign Exchange/Inflation Income (Expense)|0|40602</t>
  </si>
  <si>
    <t>Income Statement v2|Other Financial Income (Expense)|0|40602</t>
  </si>
  <si>
    <t>Income Statement v2|Salaries &amp; Benefits|0|40602</t>
  </si>
  <si>
    <t>Income Statement v2|General &amp; Administrative|0|40602</t>
  </si>
  <si>
    <t>Income Statement v2|Depreciation &amp; Amortization|0|40602</t>
  </si>
  <si>
    <t>Income Statement v2|Non-operating income|0|40602</t>
  </si>
  <si>
    <t>Income Statement v2|Non-operating expenses|0|40602</t>
  </si>
  <si>
    <t>Income Statement v2|Income Tax Expense|0|40602</t>
  </si>
  <si>
    <t>Income Statement v2|Donations|0|40602</t>
  </si>
  <si>
    <t>Income Statement v2|Income (Expense) from Unconsolidated Affiliates|0|40602</t>
  </si>
  <si>
    <t>Income Statement v2|Dividends Received|0|40602</t>
  </si>
  <si>
    <t>Income Statement v2|Minority Interest Expense|0|40602</t>
  </si>
  <si>
    <t>Income Statement v2|Ordinary Shares Outstanding|0|40602</t>
  </si>
  <si>
    <t>Income Statement v2|Fully Diluted Shares Outstanding|0|40602</t>
  </si>
  <si>
    <t>Income Statement v2|Dividends|0|40602</t>
  </si>
  <si>
    <t>Income Statement v2|Unrealized FX Gains/(Losses)|0|40602</t>
  </si>
  <si>
    <t>Income Statement v2|Other|0|40602</t>
  </si>
  <si>
    <t>Income Statement v2|Interest Income from Loans|0|40633</t>
  </si>
  <si>
    <t>Income Statement v2|Income from Fees and Commissions on Loans|0|40633</t>
  </si>
  <si>
    <t>Income Statement v2|Interest Expense on Borrowings (&amp; Bonds)|0|40633</t>
  </si>
  <si>
    <t>Income Statement v2|Interest Expense on Deposits|0|40633</t>
  </si>
  <si>
    <t>Income Statement v2|Loan Loss Provision Expense|0|40633</t>
  </si>
  <si>
    <t>Income Statement v2|Fees from Penalties|0|40633</t>
  </si>
  <si>
    <t>Income Statement v2|Fees and Commissions from Non-Lending Operations|0|40633</t>
  </si>
  <si>
    <t>Income Statement v2|Realized Net Foreign Exchange/Inflation Income (Expense)|0|40633</t>
  </si>
  <si>
    <t>Income Statement v2|Other Financial Income (Expense)|0|40633</t>
  </si>
  <si>
    <t>Income Statement v2|Salaries &amp; Benefits|0|40633</t>
  </si>
  <si>
    <t>Income Statement v2|General &amp; Administrative|0|40633</t>
  </si>
  <si>
    <t>Income Statement v2|Depreciation &amp; Amortization|0|40633</t>
  </si>
  <si>
    <t>Income Statement v2|Non-operating income|0|40633</t>
  </si>
  <si>
    <t>Income Statement v2|Non-operating expenses|0|40633</t>
  </si>
  <si>
    <t>Income Statement v2|Income Tax Expense|0|40633</t>
  </si>
  <si>
    <t>Income Statement v2|Donations|0|40633</t>
  </si>
  <si>
    <t>Income Statement v2|Income (Expense) from Unconsolidated Affiliates|0|40633</t>
  </si>
  <si>
    <t>Income Statement v2|Dividends Received|0|40633</t>
  </si>
  <si>
    <t>Income Statement v2|Minority Interest Expense|0|40633</t>
  </si>
  <si>
    <t>Income Statement v2|Ordinary Shares Outstanding|0|40633</t>
  </si>
  <si>
    <t>Income Statement v2|Fully Diluted Shares Outstanding|0|40633</t>
  </si>
  <si>
    <t>Income Statement v2|Dividends|0|40633</t>
  </si>
  <si>
    <t>Income Statement v2|Unrealized FX Gains/(Losses)|0|40633</t>
  </si>
  <si>
    <t>Income Statement v2|Other|0|40633</t>
  </si>
  <si>
    <t>Income Statement v2|Interest Income from Loans|0|40663</t>
  </si>
  <si>
    <t>Income Statement v2|Income from Fees and Commissions on Loans|0|40663</t>
  </si>
  <si>
    <t>Income Statement v2|Interest Expense on Borrowings (&amp; Bonds)|0|40663</t>
  </si>
  <si>
    <t>Income Statement v2|Interest Expense on Deposits|0|40663</t>
  </si>
  <si>
    <t>Income Statement v2|Loan Loss Provision Expense|0|40663</t>
  </si>
  <si>
    <t>Income Statement v2|Fees from Penalties|0|40663</t>
  </si>
  <si>
    <t>Income Statement v2|Fees and Commissions from Non-Lending Operations|0|40663</t>
  </si>
  <si>
    <t>Income Statement v2|Realized Net Foreign Exchange/Inflation Income (Expense)|0|40663</t>
  </si>
  <si>
    <t>Income Statement v2|Other Financial Income (Expense)|0|40663</t>
  </si>
  <si>
    <t>Income Statement v2|Salaries &amp; Benefits|0|40663</t>
  </si>
  <si>
    <t>Income Statement v2|General &amp; Administrative|0|40663</t>
  </si>
  <si>
    <t>Income Statement v2|Depreciation &amp; Amortization|0|40663</t>
  </si>
  <si>
    <t>Income Statement v2|Non-operating income|0|40663</t>
  </si>
  <si>
    <t>Income Statement v2|Non-operating expenses|0|40663</t>
  </si>
  <si>
    <t>Income Statement v2|Income Tax Expense|0|40663</t>
  </si>
  <si>
    <t>Income Statement v2|Donations|0|40663</t>
  </si>
  <si>
    <t>Income Statement v2|Income (Expense) from Unconsolidated Affiliates|0|40663</t>
  </si>
  <si>
    <t>Income Statement v2|Dividends Received|0|40663</t>
  </si>
  <si>
    <t>Income Statement v2|Minority Interest Expense|0|40663</t>
  </si>
  <si>
    <t>Income Statement v2|Ordinary Shares Outstanding|0|40663</t>
  </si>
  <si>
    <t>Income Statement v2|Fully Diluted Shares Outstanding|0|40663</t>
  </si>
  <si>
    <t>Income Statement v2|Dividends|0|40663</t>
  </si>
  <si>
    <t>Income Statement v2|Unrealized FX Gains/(Losses)|0|40663</t>
  </si>
  <si>
    <t>Income Statement v2|Other|0|40663</t>
  </si>
  <si>
    <t>Income Statement v2|Interest Income from Loans|0|40694</t>
  </si>
  <si>
    <t>Income Statement v2|Income from Fees and Commissions on Loans|0|40694</t>
  </si>
  <si>
    <t>Income Statement v2|Interest Expense on Borrowings (&amp; Bonds)|0|40694</t>
  </si>
  <si>
    <t>Income Statement v2|Interest Expense on Deposits|0|40694</t>
  </si>
  <si>
    <t>Income Statement v2|Loan Loss Provision Expense|0|40694</t>
  </si>
  <si>
    <t>Income Statement v2|Fees from Penalties|0|40694</t>
  </si>
  <si>
    <t>Income Statement v2|Fees and Commissions from Non-Lending Operations|0|40694</t>
  </si>
  <si>
    <t>Income Statement v2|Realized Net Foreign Exchange/Inflation Income (Expense)|0|40694</t>
  </si>
  <si>
    <t>Income Statement v2|Other Financial Income (Expense)|0|40694</t>
  </si>
  <si>
    <t>Income Statement v2|Salaries &amp; Benefits|0|40694</t>
  </si>
  <si>
    <t>Income Statement v2|General &amp; Administrative|0|40694</t>
  </si>
  <si>
    <t>Income Statement v2|Depreciation &amp; Amortization|0|40694</t>
  </si>
  <si>
    <t>Income Statement v2|Non-operating income|0|40694</t>
  </si>
  <si>
    <t>Income Statement v2|Non-operating expenses|0|40694</t>
  </si>
  <si>
    <t>Income Statement v2|Income Tax Expense|0|40694</t>
  </si>
  <si>
    <t>Income Statement v2|Donations|0|40694</t>
  </si>
  <si>
    <t>Income Statement v2|Income (Expense) from Unconsolidated Affiliates|0|40694</t>
  </si>
  <si>
    <t>Income Statement v2|Dividends Received|0|40694</t>
  </si>
  <si>
    <t>Income Statement v2|Minority Interest Expense|0|40694</t>
  </si>
  <si>
    <t>Income Statement v2|Ordinary Shares Outstanding|0|40694</t>
  </si>
  <si>
    <t>Income Statement v2|Fully Diluted Shares Outstanding|0|40694</t>
  </si>
  <si>
    <t>Income Statement v2|Dividends|0|40694</t>
  </si>
  <si>
    <t>Income Statement v2|Unrealized FX Gains/(Losses)|0|40694</t>
  </si>
  <si>
    <t>Income Statement v2|Other|0|40694</t>
  </si>
  <si>
    <t>Income Statement v2|Interest Income from Loans|0|40724</t>
  </si>
  <si>
    <t>Income Statement v2|Income from Fees and Commissions on Loans|0|40724</t>
  </si>
  <si>
    <t>Income Statement v2|Interest Expense on Borrowings (&amp; Bonds)|0|40724</t>
  </si>
  <si>
    <t>Income Statement v2|Interest Expense on Deposits|0|40724</t>
  </si>
  <si>
    <t>Income Statement v2|Loan Loss Provision Expense|0|40724</t>
  </si>
  <si>
    <t>Income Statement v2|Fees from Penalties|0|40724</t>
  </si>
  <si>
    <t>Income Statement v2|Fees and Commissions from Non-Lending Operations|0|40724</t>
  </si>
  <si>
    <t>Income Statement v2|Realized Net Foreign Exchange/Inflation Income (Expense)|0|40724</t>
  </si>
  <si>
    <t>Income Statement v2|Other Financial Income (Expense)|0|40724</t>
  </si>
  <si>
    <t>Income Statement v2|Salaries &amp; Benefits|0|40724</t>
  </si>
  <si>
    <t>Income Statement v2|General &amp; Administrative|0|40724</t>
  </si>
  <si>
    <t>Income Statement v2|Depreciation &amp; Amortization|0|40724</t>
  </si>
  <si>
    <t>Income Statement v2|Non-operating income|0|40724</t>
  </si>
  <si>
    <t>Income Statement v2|Non-operating expenses|0|40724</t>
  </si>
  <si>
    <t>Income Statement v2|Income Tax Expense|0|40724</t>
  </si>
  <si>
    <t>Income Statement v2|Donations|0|40724</t>
  </si>
  <si>
    <t>Income Statement v2|Income (Expense) from Unconsolidated Affiliates|0|40724</t>
  </si>
  <si>
    <t>Income Statement v2|Dividends Received|0|40724</t>
  </si>
  <si>
    <t>Income Statement v2|Minority Interest Expense|0|40724</t>
  </si>
  <si>
    <t>Income Statement v2|Ordinary Shares Outstanding|0|40724</t>
  </si>
  <si>
    <t>Income Statement v2|Fully Diluted Shares Outstanding|0|40724</t>
  </si>
  <si>
    <t>Income Statement v2|Dividends|0|40724</t>
  </si>
  <si>
    <t>Income Statement v2|Unrealized FX Gains/(Losses)|0|40724</t>
  </si>
  <si>
    <t>Income Statement v2|Other|0|40724</t>
  </si>
  <si>
    <t>Income Statement v2|Interest Income from Loans|0|40755</t>
  </si>
  <si>
    <t>Income Statement v2|Income from Fees and Commissions on Loans|0|40755</t>
  </si>
  <si>
    <t>Income Statement v2|Interest Expense on Borrowings (&amp; Bonds)|0|40755</t>
  </si>
  <si>
    <t>Income Statement v2|Interest Expense on Deposits|0|40755</t>
  </si>
  <si>
    <t>Income Statement v2|Loan Loss Provision Expense|0|40755</t>
  </si>
  <si>
    <t>Income Statement v2|Fees from Penalties|0|40755</t>
  </si>
  <si>
    <t>Income Statement v2|Fees and Commissions from Non-Lending Operations|0|40755</t>
  </si>
  <si>
    <t>Income Statement v2|Realized Net Foreign Exchange/Inflation Income (Expense)|0|40755</t>
  </si>
  <si>
    <t>Income Statement v2|Other Financial Income (Expense)|0|40755</t>
  </si>
  <si>
    <t>Income Statement v2|Salaries &amp; Benefits|0|40755</t>
  </si>
  <si>
    <t>Income Statement v2|General &amp; Administrative|0|40755</t>
  </si>
  <si>
    <t>Income Statement v2|Depreciation &amp; Amortization|0|40755</t>
  </si>
  <si>
    <t>Income Statement v2|Non-operating income|0|40755</t>
  </si>
  <si>
    <t>Income Statement v2|Non-operating expenses|0|40755</t>
  </si>
  <si>
    <t>Income Statement v2|Income Tax Expense|0|40755</t>
  </si>
  <si>
    <t>Income Statement v2|Donations|0|40755</t>
  </si>
  <si>
    <t>Income Statement v2|Income (Expense) from Unconsolidated Affiliates|0|40755</t>
  </si>
  <si>
    <t>Income Statement v2|Dividends Received|0|40755</t>
  </si>
  <si>
    <t>Income Statement v2|Minority Interest Expense|0|40755</t>
  </si>
  <si>
    <t>Income Statement v2|Ordinary Shares Outstanding|0|40755</t>
  </si>
  <si>
    <t>Income Statement v2|Fully Diluted Shares Outstanding|0|40755</t>
  </si>
  <si>
    <t>Income Statement v2|Dividends|0|40755</t>
  </si>
  <si>
    <t>Income Statement v2|Unrealized FX Gains/(Losses)|0|40755</t>
  </si>
  <si>
    <t>Income Statement v2|Other|0|40755</t>
  </si>
  <si>
    <t>Income Statement v2|Interest Income from Loans|0|40786</t>
  </si>
  <si>
    <t>Income Statement v2|Income from Fees and Commissions on Loans|0|40786</t>
  </si>
  <si>
    <t>Income Statement v2|Interest Expense on Borrowings (&amp; Bonds)|0|40786</t>
  </si>
  <si>
    <t>Income Statement v2|Interest Expense on Deposits|0|40786</t>
  </si>
  <si>
    <t>Income Statement v2|Loan Loss Provision Expense|0|40786</t>
  </si>
  <si>
    <t>Income Statement v2|Fees from Penalties|0|40786</t>
  </si>
  <si>
    <t>Income Statement v2|Fees and Commissions from Non-Lending Operations|0|40786</t>
  </si>
  <si>
    <t>Income Statement v2|Realized Net Foreign Exchange/Inflation Income (Expense)|0|40786</t>
  </si>
  <si>
    <t>Income Statement v2|Other Financial Income (Expense)|0|40786</t>
  </si>
  <si>
    <t>Income Statement v2|Salaries &amp; Benefits|0|40786</t>
  </si>
  <si>
    <t>Income Statement v2|General &amp; Administrative|0|40786</t>
  </si>
  <si>
    <t>Income Statement v2|Depreciation &amp; Amortization|0|40786</t>
  </si>
  <si>
    <t>Income Statement v2|Non-operating income|0|40786</t>
  </si>
  <si>
    <t>Income Statement v2|Non-operating expenses|0|40786</t>
  </si>
  <si>
    <t>Income Statement v2|Income Tax Expense|0|40786</t>
  </si>
  <si>
    <t>Income Statement v2|Donations|0|40786</t>
  </si>
  <si>
    <t>Income Statement v2|Income (Expense) from Unconsolidated Affiliates|0|40786</t>
  </si>
  <si>
    <t>Income Statement v2|Dividends Received|0|40786</t>
  </si>
  <si>
    <t>Income Statement v2|Minority Interest Expense|0|40786</t>
  </si>
  <si>
    <t>Income Statement v2|Ordinary Shares Outstanding|0|40786</t>
  </si>
  <si>
    <t>Income Statement v2|Fully Diluted Shares Outstanding|0|40786</t>
  </si>
  <si>
    <t>Income Statement v2|Dividends|0|40786</t>
  </si>
  <si>
    <t>Income Statement v2|Unrealized FX Gains/(Losses)|0|40786</t>
  </si>
  <si>
    <t>Income Statement v2|Other|0|40786</t>
  </si>
  <si>
    <t>Income Statement v2|Interest Income from Loans|0|40816</t>
  </si>
  <si>
    <t>Income Statement v2|Income from Fees and Commissions on Loans|0|40816</t>
  </si>
  <si>
    <t>Income Statement v2|Interest Expense on Borrowings (&amp; Bonds)|0|40816</t>
  </si>
  <si>
    <t>Income Statement v2|Interest Expense on Deposits|0|40816</t>
  </si>
  <si>
    <t>Income Statement v2|Loan Loss Provision Expense|0|40816</t>
  </si>
  <si>
    <t>Income Statement v2|Fees from Penalties|0|40816</t>
  </si>
  <si>
    <t>Income Statement v2|Fees and Commissions from Non-Lending Operations|0|40816</t>
  </si>
  <si>
    <t>Income Statement v2|Realized Net Foreign Exchange/Inflation Income (Expense)|0|40816</t>
  </si>
  <si>
    <t>Income Statement v2|Other Financial Income (Expense)|0|40816</t>
  </si>
  <si>
    <t>Income Statement v2|Salaries &amp; Benefits|0|40816</t>
  </si>
  <si>
    <t>Income Statement v2|General &amp; Administrative|0|40816</t>
  </si>
  <si>
    <t>Income Statement v2|Depreciation &amp; Amortization|0|40816</t>
  </si>
  <si>
    <t>Income Statement v2|Non-operating income|0|40816</t>
  </si>
  <si>
    <t>Income Statement v2|Non-operating expenses|0|40816</t>
  </si>
  <si>
    <t>Income Statement v2|Income Tax Expense|0|40816</t>
  </si>
  <si>
    <t>Income Statement v2|Donations|0|40816</t>
  </si>
  <si>
    <t>Income Statement v2|Income (Expense) from Unconsolidated Affiliates|0|40816</t>
  </si>
  <si>
    <t>Income Statement v2|Dividends Received|0|40816</t>
  </si>
  <si>
    <t>Income Statement v2|Minority Interest Expense|0|40816</t>
  </si>
  <si>
    <t>Income Statement v2|Ordinary Shares Outstanding|0|40816</t>
  </si>
  <si>
    <t>Income Statement v2|Fully Diluted Shares Outstanding|0|40816</t>
  </si>
  <si>
    <t>Income Statement v2|Dividends|0|40816</t>
  </si>
  <si>
    <t>Income Statement v2|Unrealized FX Gains/(Losses)|0|40816</t>
  </si>
  <si>
    <t>Income Statement v2|Other|0|40816</t>
  </si>
  <si>
    <t>Income Statement v2|Interest Income from Loans|0|40847</t>
  </si>
  <si>
    <t>Income Statement v2|Income from Fees and Commissions on Loans|0|40847</t>
  </si>
  <si>
    <t>Income Statement v2|Interest Expense on Borrowings (&amp; Bonds)|0|40847</t>
  </si>
  <si>
    <t>Income Statement v2|Interest Expense on Deposits|0|40847</t>
  </si>
  <si>
    <t>Income Statement v2|Loan Loss Provision Expense|0|40847</t>
  </si>
  <si>
    <t>Income Statement v2|Fees from Penalties|0|40847</t>
  </si>
  <si>
    <t>Income Statement v2|Fees and Commissions from Non-Lending Operations|0|40847</t>
  </si>
  <si>
    <t>Income Statement v2|Realized Net Foreign Exchange/Inflation Income (Expense)|0|40847</t>
  </si>
  <si>
    <t>Income Statement v2|Other Financial Income (Expense)|0|40847</t>
  </si>
  <si>
    <t>Income Statement v2|Salaries &amp; Benefits|0|40847</t>
  </si>
  <si>
    <t>Income Statement v2|General &amp; Administrative|0|40847</t>
  </si>
  <si>
    <t>Income Statement v2|Depreciation &amp; Amortization|0|40847</t>
  </si>
  <si>
    <t>Income Statement v2|Non-operating income|0|40847</t>
  </si>
  <si>
    <t>Income Statement v2|Non-operating expenses|0|40847</t>
  </si>
  <si>
    <t>Income Statement v2|Income Tax Expense|0|40847</t>
  </si>
  <si>
    <t>Income Statement v2|Donations|0|40847</t>
  </si>
  <si>
    <t>Income Statement v2|Income (Expense) from Unconsolidated Affiliates|0|40847</t>
  </si>
  <si>
    <t>Income Statement v2|Dividends Received|0|40847</t>
  </si>
  <si>
    <t>Income Statement v2|Minority Interest Expense|0|40847</t>
  </si>
  <si>
    <t>Income Statement v2|Ordinary Shares Outstanding|0|40847</t>
  </si>
  <si>
    <t>Income Statement v2|Fully Diluted Shares Outstanding|0|40847</t>
  </si>
  <si>
    <t>Income Statement v2|Dividends|0|40847</t>
  </si>
  <si>
    <t>Income Statement v2|Unrealized FX Gains/(Losses)|0|40847</t>
  </si>
  <si>
    <t>Income Statement v2|Other|0|40847</t>
  </si>
  <si>
    <t>Income Statement v2|Interest Income from Loans|0|40877</t>
  </si>
  <si>
    <t>Income Statement v2|Income from Fees and Commissions on Loans|0|40877</t>
  </si>
  <si>
    <t>Income Statement v2|Interest Expense on Borrowings (&amp; Bonds)|0|40877</t>
  </si>
  <si>
    <t>Income Statement v2|Interest Expense on Deposits|0|40877</t>
  </si>
  <si>
    <t>Income Statement v2|Loan Loss Provision Expense|0|40877</t>
  </si>
  <si>
    <t>Income Statement v2|Fees from Penalties|0|40877</t>
  </si>
  <si>
    <t>Income Statement v2|Fees and Commissions from Non-Lending Operations|0|40877</t>
  </si>
  <si>
    <t>Income Statement v2|Realized Net Foreign Exchange/Inflation Income (Expense)|0|40877</t>
  </si>
  <si>
    <t>Income Statement v2|Other Financial Income (Expense)|0|40877</t>
  </si>
  <si>
    <t>Income Statement v2|Salaries &amp; Benefits|0|40877</t>
  </si>
  <si>
    <t>Income Statement v2|General &amp; Administrative|0|40877</t>
  </si>
  <si>
    <t>Income Statement v2|Depreciation &amp; Amortization|0|40877</t>
  </si>
  <si>
    <t>Income Statement v2|Non-operating income|0|40877</t>
  </si>
  <si>
    <t>Income Statement v2|Non-operating expenses|0|40877</t>
  </si>
  <si>
    <t>Income Statement v2|Income Tax Expense|0|40877</t>
  </si>
  <si>
    <t>Income Statement v2|Donations|0|40877</t>
  </si>
  <si>
    <t>Income Statement v2|Income (Expense) from Unconsolidated Affiliates|0|40877</t>
  </si>
  <si>
    <t>Income Statement v2|Dividends Received|0|40877</t>
  </si>
  <si>
    <t>Income Statement v2|Minority Interest Expense|0|40877</t>
  </si>
  <si>
    <t>Income Statement v2|Ordinary Shares Outstanding|0|40877</t>
  </si>
  <si>
    <t>Income Statement v2|Fully Diluted Shares Outstanding|0|40877</t>
  </si>
  <si>
    <t>Income Statement v2|Dividends|0|40877</t>
  </si>
  <si>
    <t>Income Statement v2|Unrealized FX Gains/(Losses)|0|40877</t>
  </si>
  <si>
    <t>Income Statement v2|Other|0|40877</t>
  </si>
  <si>
    <t>Income Statement v2|Interest Income from Loans|0|40908</t>
  </si>
  <si>
    <t>Income Statement v2|Income from Fees and Commissions on Loans|0|40908</t>
  </si>
  <si>
    <t>Income Statement v2|Interest Expense on Borrowings (&amp; Bonds)|0|40908</t>
  </si>
  <si>
    <t>Income Statement v2|Interest Expense on Deposits|0|40908</t>
  </si>
  <si>
    <t>Income Statement v2|Loan Loss Provision Expense|0|40908</t>
  </si>
  <si>
    <t>Income Statement v2|Fees from Penalties|0|40908</t>
  </si>
  <si>
    <t>Income Statement v2|Fees and Commissions from Non-Lending Operations|0|40908</t>
  </si>
  <si>
    <t>Income Statement v2|Realized Net Foreign Exchange/Inflation Income (Expense)|0|40908</t>
  </si>
  <si>
    <t>Income Statement v2|Other Financial Income (Expense)|0|40908</t>
  </si>
  <si>
    <t>Income Statement v2|Salaries &amp; Benefits|0|40908</t>
  </si>
  <si>
    <t>Income Statement v2|General &amp; Administrative|0|40908</t>
  </si>
  <si>
    <t>Income Statement v2|Depreciation &amp; Amortization|0|40908</t>
  </si>
  <si>
    <t>Income Statement v2|Non-operating income|0|40908</t>
  </si>
  <si>
    <t>Income Statement v2|Non-operating expenses|0|40908</t>
  </si>
  <si>
    <t>Income Statement v2|Income Tax Expense|0|40908</t>
  </si>
  <si>
    <t>Income Statement v2|Donations|0|40908</t>
  </si>
  <si>
    <t>Income Statement v2|Income (Expense) from Unconsolidated Affiliates|0|40908</t>
  </si>
  <si>
    <t>Income Statement v2|Dividends Received|0|40908</t>
  </si>
  <si>
    <t>Income Statement v2|Minority Interest Expense|0|40908</t>
  </si>
  <si>
    <t>Income Statement v2|Ordinary Shares Outstanding|0|40908</t>
  </si>
  <si>
    <t>Income Statement v2|Fully Diluted Shares Outstanding|0|40908</t>
  </si>
  <si>
    <t>Income Statement v2|Dividends|0|40908</t>
  </si>
  <si>
    <t>Income Statement v2|Unrealized FX Gains/(Losses)|0|40908</t>
  </si>
  <si>
    <t>Income Statement v2|Other|0|40908</t>
  </si>
  <si>
    <t>Portfolio Quality v2|Current Portfolio|0|40209</t>
  </si>
  <si>
    <t>Portfolio Quality v2|PAR (1-30 days)|0|40209</t>
  </si>
  <si>
    <t>Portfolio Quality v2|PAR (30-60 days)|0|40209</t>
  </si>
  <si>
    <t>Portfolio Quality v2|PAR (60-90 days)|0|40209</t>
  </si>
  <si>
    <t>Portfolio Quality v2|PAR (90-120 days)|0|40209</t>
  </si>
  <si>
    <t>Portfolio Quality v2|PAR (120-180 days)|0|40209</t>
  </si>
  <si>
    <t>Portfolio Quality v2|PAR (180 - 360 days)|0|40209</t>
  </si>
  <si>
    <t>Portfolio Quality v2|PAR (&gt;360 days)|0|40209</t>
  </si>
  <si>
    <t>Portfolio Quality v2|Current R+R Loans|0|40209</t>
  </si>
  <si>
    <t>Portfolio Quality v2|PAR (1-30 days) (R+R)|0|40209</t>
  </si>
  <si>
    <t>Portfolio Quality v2|PAR (&gt;30 days)|0|40209</t>
  </si>
  <si>
    <t>Portfolio Quality v2|-Gross Write-Offs**|0|40209</t>
  </si>
  <si>
    <t>Portfolio Quality v2|-Recoveries**|0|40209</t>
  </si>
  <si>
    <t>Portfolio Quality v2|+/-Other|0|40209</t>
  </si>
  <si>
    <t>Portfolio Quality v2|Current Portfolio|0|40237</t>
  </si>
  <si>
    <t>Portfolio Quality v2|PAR (1-30 days)|0|40237</t>
  </si>
  <si>
    <t>Portfolio Quality v2|PAR (30-60 days)|0|40237</t>
  </si>
  <si>
    <t>Portfolio Quality v2|PAR (60-90 days)|0|40237</t>
  </si>
  <si>
    <t>Portfolio Quality v2|PAR (90-120 days)|0|40237</t>
  </si>
  <si>
    <t>Portfolio Quality v2|PAR (120-180 days)|0|40237</t>
  </si>
  <si>
    <t>Portfolio Quality v2|PAR (180 - 360 days)|0|40237</t>
  </si>
  <si>
    <t>Portfolio Quality v2|PAR (&gt;360 days)|0|40237</t>
  </si>
  <si>
    <t>Portfolio Quality v2|Current R+R Loans|0|40237</t>
  </si>
  <si>
    <t>Portfolio Quality v2|PAR (1-30 days) (R+R)|0|40237</t>
  </si>
  <si>
    <t>Portfolio Quality v2|PAR (&gt;30 days)|0|40237</t>
  </si>
  <si>
    <t>Portfolio Quality v2|-Gross Write-Offs**|0|40237</t>
  </si>
  <si>
    <t>Portfolio Quality v2|-Recoveries**|0|40237</t>
  </si>
  <si>
    <t>Portfolio Quality v2|+/-Other|0|40237</t>
  </si>
  <si>
    <t>Portfolio Quality v2|Current Portfolio|0|40268</t>
  </si>
  <si>
    <t>Portfolio Quality v2|PAR (1-30 days)|0|40268</t>
  </si>
  <si>
    <t>Portfolio Quality v2|PAR (30-60 days)|0|40268</t>
  </si>
  <si>
    <t>Portfolio Quality v2|PAR (60-90 days)|0|40268</t>
  </si>
  <si>
    <t>Portfolio Quality v2|PAR (90-120 days)|0|40268</t>
  </si>
  <si>
    <t>Portfolio Quality v2|PAR (120-180 days)|0|40268</t>
  </si>
  <si>
    <t>Portfolio Quality v2|PAR (180 - 360 days)|0|40268</t>
  </si>
  <si>
    <t>Portfolio Quality v2|PAR (&gt;360 days)|0|40268</t>
  </si>
  <si>
    <t>Portfolio Quality v2|Current R+R Loans|0|40268</t>
  </si>
  <si>
    <t>Portfolio Quality v2|PAR (1-30 days) (R+R)|0|40268</t>
  </si>
  <si>
    <t>Portfolio Quality v2|PAR (&gt;30 days)|0|40268</t>
  </si>
  <si>
    <t>Portfolio Quality v2|-Gross Write-Offs**|0|40268</t>
  </si>
  <si>
    <t>Portfolio Quality v2|-Recoveries**|0|40268</t>
  </si>
  <si>
    <t>Portfolio Quality v2|+/-Other|0|40268</t>
  </si>
  <si>
    <t>Portfolio Quality v2|Current Portfolio|0|40298</t>
  </si>
  <si>
    <t>Portfolio Quality v2|PAR (1-30 days)|0|40298</t>
  </si>
  <si>
    <t>Portfolio Quality v2|PAR (30-60 days)|0|40298</t>
  </si>
  <si>
    <t>Portfolio Quality v2|PAR (60-90 days)|0|40298</t>
  </si>
  <si>
    <t>Portfolio Quality v2|PAR (90-120 days)|0|40298</t>
  </si>
  <si>
    <t>Portfolio Quality v2|PAR (120-180 days)|0|40298</t>
  </si>
  <si>
    <t>Portfolio Quality v2|PAR (180 - 360 days)|0|40298</t>
  </si>
  <si>
    <t>Portfolio Quality v2|PAR (&gt;360 days)|0|40298</t>
  </si>
  <si>
    <t>Portfolio Quality v2|Current R+R Loans|0|40298</t>
  </si>
  <si>
    <t>Portfolio Quality v2|PAR (1-30 days) (R+R)|0|40298</t>
  </si>
  <si>
    <t>Portfolio Quality v2|PAR (&gt;30 days)|0|40298</t>
  </si>
  <si>
    <t>Portfolio Quality v2|-Gross Write-Offs**|0|40298</t>
  </si>
  <si>
    <t>Portfolio Quality v2|-Recoveries**|0|40298</t>
  </si>
  <si>
    <t>Portfolio Quality v2|+/-Other|0|40298</t>
  </si>
  <si>
    <t>Portfolio Quality v2|Current Portfolio|0|40329</t>
  </si>
  <si>
    <t>Portfolio Quality v2|PAR (1-30 days)|0|40329</t>
  </si>
  <si>
    <t>Portfolio Quality v2|PAR (30-60 days)|0|40329</t>
  </si>
  <si>
    <t>Portfolio Quality v2|PAR (60-90 days)|0|40329</t>
  </si>
  <si>
    <t>Portfolio Quality v2|PAR (90-120 days)|0|40329</t>
  </si>
  <si>
    <t>Portfolio Quality v2|PAR (120-180 days)|0|40329</t>
  </si>
  <si>
    <t>Portfolio Quality v2|PAR (180 - 360 days)|0|40329</t>
  </si>
  <si>
    <t>Portfolio Quality v2|PAR (&gt;360 days)|0|40329</t>
  </si>
  <si>
    <t>Portfolio Quality v2|Current R+R Loans|0|40329</t>
  </si>
  <si>
    <t>Portfolio Quality v2|PAR (1-30 days) (R+R)|0|40329</t>
  </si>
  <si>
    <t>Portfolio Quality v2|PAR (&gt;30 days)|0|40329</t>
  </si>
  <si>
    <t>Portfolio Quality v2|-Gross Write-Offs**|0|40329</t>
  </si>
  <si>
    <t>Portfolio Quality v2|-Recoveries**|0|40329</t>
  </si>
  <si>
    <t>Portfolio Quality v2|+/-Other|0|40329</t>
  </si>
  <si>
    <t>Portfolio Quality v2|Current Portfolio|0|40359</t>
  </si>
  <si>
    <t>Portfolio Quality v2|PAR (1-30 days)|0|40359</t>
  </si>
  <si>
    <t>Portfolio Quality v2|PAR (30-60 days)|0|40359</t>
  </si>
  <si>
    <t>Portfolio Quality v2|PAR (60-90 days)|0|40359</t>
  </si>
  <si>
    <t>Portfolio Quality v2|PAR (90-120 days)|0|40359</t>
  </si>
  <si>
    <t>Portfolio Quality v2|PAR (120-180 days)|0|40359</t>
  </si>
  <si>
    <t>Portfolio Quality v2|PAR (180 - 360 days)|0|40359</t>
  </si>
  <si>
    <t>Portfolio Quality v2|PAR (&gt;360 days)|0|40359</t>
  </si>
  <si>
    <t>Portfolio Quality v2|Current R+R Loans|0|40359</t>
  </si>
  <si>
    <t>Portfolio Quality v2|PAR (1-30 days) (R+R)|0|40359</t>
  </si>
  <si>
    <t>Portfolio Quality v2|PAR (&gt;30 days)|0|40359</t>
  </si>
  <si>
    <t>Portfolio Quality v2|-Gross Write-Offs**|0|40359</t>
  </si>
  <si>
    <t>Portfolio Quality v2|-Recoveries**|0|40359</t>
  </si>
  <si>
    <t>Portfolio Quality v2|+/-Other|0|40359</t>
  </si>
  <si>
    <t>Portfolio Quality v2|Current Portfolio|0|40390</t>
  </si>
  <si>
    <t>Portfolio Quality v2|PAR (1-30 days)|0|40390</t>
  </si>
  <si>
    <t>Portfolio Quality v2|PAR (30-60 days)|0|40390</t>
  </si>
  <si>
    <t>Portfolio Quality v2|PAR (60-90 days)|0|40390</t>
  </si>
  <si>
    <t>Portfolio Quality v2|PAR (90-120 days)|0|40390</t>
  </si>
  <si>
    <t>Portfolio Quality v2|PAR (120-180 days)|0|40390</t>
  </si>
  <si>
    <t>Portfolio Quality v2|PAR (180 - 360 days)|0|40390</t>
  </si>
  <si>
    <t>Portfolio Quality v2|PAR (&gt;360 days)|0|40390</t>
  </si>
  <si>
    <t>Portfolio Quality v2|Current R+R Loans|0|40390</t>
  </si>
  <si>
    <t>Portfolio Quality v2|PAR (1-30 days) (R+R)|0|40390</t>
  </si>
  <si>
    <t>Portfolio Quality v2|PAR (&gt;30 days)|0|40390</t>
  </si>
  <si>
    <t>Portfolio Quality v2|-Gross Write-Offs**|0|40390</t>
  </si>
  <si>
    <t>Portfolio Quality v2|-Recoveries**|0|40390</t>
  </si>
  <si>
    <t>Portfolio Quality v2|+/-Other|0|40390</t>
  </si>
  <si>
    <t>Portfolio Quality v2|Current Portfolio|0|40421</t>
  </si>
  <si>
    <t>Portfolio Quality v2|PAR (1-30 days)|0|40421</t>
  </si>
  <si>
    <t>Portfolio Quality v2|PAR (30-60 days)|0|40421</t>
  </si>
  <si>
    <t>Portfolio Quality v2|PAR (60-90 days)|0|40421</t>
  </si>
  <si>
    <t>Portfolio Quality v2|PAR (90-120 days)|0|40421</t>
  </si>
  <si>
    <t>Portfolio Quality v2|PAR (120-180 days)|0|40421</t>
  </si>
  <si>
    <t>Portfolio Quality v2|PAR (180 - 360 days)|0|40421</t>
  </si>
  <si>
    <t>Portfolio Quality v2|PAR (&gt;360 days)|0|40421</t>
  </si>
  <si>
    <t>Portfolio Quality v2|Current R+R Loans|0|40421</t>
  </si>
  <si>
    <t>Portfolio Quality v2|PAR (1-30 days) (R+R)|0|40421</t>
  </si>
  <si>
    <t>Portfolio Quality v2|PAR (&gt;30 days)|0|40421</t>
  </si>
  <si>
    <t>Portfolio Quality v2|-Gross Write-Offs**|0|40421</t>
  </si>
  <si>
    <t>Portfolio Quality v2|-Recoveries**|0|40421</t>
  </si>
  <si>
    <t>Portfolio Quality v2|+/-Other|0|40421</t>
  </si>
  <si>
    <t>Portfolio Quality v2|Current Portfolio|0|40451</t>
  </si>
  <si>
    <t>Portfolio Quality v2|PAR (1-30 days)|0|40451</t>
  </si>
  <si>
    <t>Portfolio Quality v2|PAR (30-60 days)|0|40451</t>
  </si>
  <si>
    <t>Portfolio Quality v2|PAR (60-90 days)|0|40451</t>
  </si>
  <si>
    <t>Portfolio Quality v2|PAR (90-120 days)|0|40451</t>
  </si>
  <si>
    <t>Portfolio Quality v2|PAR (120-180 days)|0|40451</t>
  </si>
  <si>
    <t>Portfolio Quality v2|PAR (180 - 360 days)|0|40451</t>
  </si>
  <si>
    <t>Portfolio Quality v2|PAR (&gt;360 days)|0|40451</t>
  </si>
  <si>
    <t>Portfolio Quality v2|Current R+R Loans|0|40451</t>
  </si>
  <si>
    <t>Portfolio Quality v2|PAR (1-30 days) (R+R)|0|40451</t>
  </si>
  <si>
    <t>Portfolio Quality v2|PAR (&gt;30 days)|0|40451</t>
  </si>
  <si>
    <t>Portfolio Quality v2|-Gross Write-Offs**|0|40451</t>
  </si>
  <si>
    <t>Portfolio Quality v2|-Recoveries**|0|40451</t>
  </si>
  <si>
    <t>Portfolio Quality v2|+/-Other|0|40451</t>
  </si>
  <si>
    <t>Portfolio Quality v2|Current Portfolio|0|40482</t>
  </si>
  <si>
    <t>Portfolio Quality v2|PAR (1-30 days)|0|40482</t>
  </si>
  <si>
    <t>Portfolio Quality v2|PAR (30-60 days)|0|40482</t>
  </si>
  <si>
    <t>Portfolio Quality v2|PAR (60-90 days)|0|40482</t>
  </si>
  <si>
    <t>Portfolio Quality v2|PAR (90-120 days)|0|40482</t>
  </si>
  <si>
    <t>Portfolio Quality v2|PAR (120-180 days)|0|40482</t>
  </si>
  <si>
    <t>Portfolio Quality v2|PAR (180 - 360 days)|0|40482</t>
  </si>
  <si>
    <t>Portfolio Quality v2|PAR (&gt;360 days)|0|40482</t>
  </si>
  <si>
    <t>Portfolio Quality v2|Current R+R Loans|0|40482</t>
  </si>
  <si>
    <t>Portfolio Quality v2|PAR (1-30 days) (R+R)|0|40482</t>
  </si>
  <si>
    <t>Portfolio Quality v2|PAR (&gt;30 days)|0|40482</t>
  </si>
  <si>
    <t>Portfolio Quality v2|-Gross Write-Offs**|0|40482</t>
  </si>
  <si>
    <t>Portfolio Quality v2|-Recoveries**|0|40482</t>
  </si>
  <si>
    <t>Portfolio Quality v2|+/-Other|0|40482</t>
  </si>
  <si>
    <t>Portfolio Quality v2|Current Portfolio|0|40512</t>
  </si>
  <si>
    <t>Portfolio Quality v2|PAR (1-30 days)|0|40512</t>
  </si>
  <si>
    <t>Portfolio Quality v2|PAR (30-60 days)|0|40512</t>
  </si>
  <si>
    <t>Portfolio Quality v2|PAR (60-90 days)|0|40512</t>
  </si>
  <si>
    <t>Portfolio Quality v2|PAR (90-120 days)|0|40512</t>
  </si>
  <si>
    <t>Portfolio Quality v2|PAR (120-180 days)|0|40512</t>
  </si>
  <si>
    <t>Portfolio Quality v2|PAR (180 - 360 days)|0|40512</t>
  </si>
  <si>
    <t>Portfolio Quality v2|PAR (&gt;360 days)|0|40512</t>
  </si>
  <si>
    <t>Portfolio Quality v2|Current R+R Loans|0|40512</t>
  </si>
  <si>
    <t>Portfolio Quality v2|PAR (1-30 days) (R+R)|0|40512</t>
  </si>
  <si>
    <t>Portfolio Quality v2|PAR (&gt;30 days)|0|40512</t>
  </si>
  <si>
    <t>Portfolio Quality v2|-Gross Write-Offs**|0|40512</t>
  </si>
  <si>
    <t>Portfolio Quality v2|-Recoveries**|0|40512</t>
  </si>
  <si>
    <t>Portfolio Quality v2|+/-Other|0|40512</t>
  </si>
  <si>
    <t>Portfolio Quality v2|Current Portfolio|0|40543</t>
  </si>
  <si>
    <t>Portfolio Quality v2|PAR (1-30 days)|0|40543</t>
  </si>
  <si>
    <t>Portfolio Quality v2|PAR (30-60 days)|0|40543</t>
  </si>
  <si>
    <t>Portfolio Quality v2|PAR (60-90 days)|0|40543</t>
  </si>
  <si>
    <t>Portfolio Quality v2|PAR (90-120 days)|0|40543</t>
  </si>
  <si>
    <t>Portfolio Quality v2|PAR (120-180 days)|0|40543</t>
  </si>
  <si>
    <t>Portfolio Quality v2|PAR (180 - 360 days)|0|40543</t>
  </si>
  <si>
    <t>Portfolio Quality v2|PAR (&gt;360 days)|0|40543</t>
  </si>
  <si>
    <t>Portfolio Quality v2|Current R+R Loans|0|40543</t>
  </si>
  <si>
    <t>Portfolio Quality v2|PAR (1-30 days) (R+R)|0|40543</t>
  </si>
  <si>
    <t>Portfolio Quality v2|PAR (&gt;30 days)|0|40543</t>
  </si>
  <si>
    <t>Portfolio Quality v2|-Gross Write-Offs**|0|40543</t>
  </si>
  <si>
    <t>Portfolio Quality v2|-Recoveries**|0|40543</t>
  </si>
  <si>
    <t>Portfolio Quality v2|+/-Other|0|40543</t>
  </si>
  <si>
    <t>Organizational Data v2|Voluntary Savers/Depositors|0|40209</t>
  </si>
  <si>
    <t>Organizational Data v2|Active Borrowers|0|40209</t>
  </si>
  <si>
    <t>Organizational Data v2|Loans Outstanding|0|40209</t>
  </si>
  <si>
    <t>Organizational Data v2|Branches, Sub-Branches &amp; All Offices|0|40209</t>
  </si>
  <si>
    <t>Organizational Data v2|All Employees|0|40209</t>
  </si>
  <si>
    <t>Organizational Data v2|Loan Officers|0|40209</t>
  </si>
  <si>
    <t>Organizational Data v2|Voluntary Savers/Depositors|0|40237</t>
  </si>
  <si>
    <t>Organizational Data v2|Active Borrowers|0|40237</t>
  </si>
  <si>
    <t>Organizational Data v2|Loans Outstanding|0|40237</t>
  </si>
  <si>
    <t>Organizational Data v2|Branches, Sub-Branches &amp; All Offices|0|40237</t>
  </si>
  <si>
    <t>Organizational Data v2|All Employees|0|40237</t>
  </si>
  <si>
    <t>Organizational Data v2|Loan Officers|0|40237</t>
  </si>
  <si>
    <t>Organizational Data v2|Voluntary Savers/Depositors|0|40268</t>
  </si>
  <si>
    <t>Organizational Data v2|Active Borrowers|0|40268</t>
  </si>
  <si>
    <t>Organizational Data v2|Loans Outstanding|0|40268</t>
  </si>
  <si>
    <t>Organizational Data v2|Branches, Sub-Branches &amp; All Offices|0|40268</t>
  </si>
  <si>
    <t>Organizational Data v2|All Employees|0|40268</t>
  </si>
  <si>
    <t>Organizational Data v2|Loan Officers|0|40268</t>
  </si>
  <si>
    <t>Organizational Data v2|Voluntary Savers/Depositors|0|40298</t>
  </si>
  <si>
    <t>Organizational Data v2|Active Borrowers|0|40298</t>
  </si>
  <si>
    <t>Organizational Data v2|Loans Outstanding|0|40298</t>
  </si>
  <si>
    <t>Organizational Data v2|Branches, Sub-Branches &amp; All Offices|0|40298</t>
  </si>
  <si>
    <t>Organizational Data v2|All Employees|0|40298</t>
  </si>
  <si>
    <t>Organizational Data v2|Loan Officers|0|40298</t>
  </si>
  <si>
    <t>Organizational Data v2|Voluntary Savers/Depositors|0|40329</t>
  </si>
  <si>
    <t>Organizational Data v2|Active Borrowers|0|40329</t>
  </si>
  <si>
    <t>Organizational Data v2|Loans Outstanding|0|40329</t>
  </si>
  <si>
    <t>Organizational Data v2|Branches, Sub-Branches &amp; All Offices|0|40329</t>
  </si>
  <si>
    <t>Organizational Data v2|All Employees|0|40329</t>
  </si>
  <si>
    <t>Organizational Data v2|Loan Officers|0|40329</t>
  </si>
  <si>
    <t>Organizational Data v2|Voluntary Savers/Depositors|0|40359</t>
  </si>
  <si>
    <t>Organizational Data v2|Active Borrowers|0|40359</t>
  </si>
  <si>
    <t>Organizational Data v2|Loans Outstanding|0|40359</t>
  </si>
  <si>
    <t>Organizational Data v2|Branches, Sub-Branches &amp; All Offices|0|40359</t>
  </si>
  <si>
    <t>Organizational Data v2|All Employees|0|40359</t>
  </si>
  <si>
    <t>Organizational Data v2|Loan Officers|0|40359</t>
  </si>
  <si>
    <t>Organizational Data v2|Voluntary Savers/Depositors|0|40390</t>
  </si>
  <si>
    <t>Organizational Data v2|Active Borrowers|0|40390</t>
  </si>
  <si>
    <t>Organizational Data v2|Loans Outstanding|0|40390</t>
  </si>
  <si>
    <t>Organizational Data v2|Branches, Sub-Branches &amp; All Offices|0|40390</t>
  </si>
  <si>
    <t>Organizational Data v2|All Employees|0|40390</t>
  </si>
  <si>
    <t>Organizational Data v2|Loan Officers|0|40390</t>
  </si>
  <si>
    <t>Organizational Data v2|Voluntary Savers/Depositors|0|40421</t>
  </si>
  <si>
    <t>Organizational Data v2|Active Borrowers|0|40421</t>
  </si>
  <si>
    <t>Organizational Data v2|Loans Outstanding|0|40421</t>
  </si>
  <si>
    <t>Organizational Data v2|Branches, Sub-Branches &amp; All Offices|0|40421</t>
  </si>
  <si>
    <t>Organizational Data v2|All Employees|0|40421</t>
  </si>
  <si>
    <t>Organizational Data v2|Loan Officers|0|40421</t>
  </si>
  <si>
    <t>Organizational Data v2|Voluntary Savers/Depositors|0|40451</t>
  </si>
  <si>
    <t>Organizational Data v2|Active Borrowers|0|40451</t>
  </si>
  <si>
    <t>Organizational Data v2|Loans Outstanding|0|40451</t>
  </si>
  <si>
    <t>Organizational Data v2|Branches, Sub-Branches &amp; All Offices|0|40451</t>
  </si>
  <si>
    <t>Organizational Data v2|All Employees|0|40451</t>
  </si>
  <si>
    <t>Organizational Data v2|Loan Officers|0|40451</t>
  </si>
  <si>
    <t>Organizational Data v2|Voluntary Savers/Depositors|0|40482</t>
  </si>
  <si>
    <t>Organizational Data v2|Active Borrowers|0|40482</t>
  </si>
  <si>
    <t>Organizational Data v2|Loans Outstanding|0|40482</t>
  </si>
  <si>
    <t>Organizational Data v2|Branches, Sub-Branches &amp; All Offices|0|40482</t>
  </si>
  <si>
    <t>Organizational Data v2|All Employees|0|40482</t>
  </si>
  <si>
    <t>Organizational Data v2|Loan Officers|0|40482</t>
  </si>
  <si>
    <t>Organizational Data v2|Voluntary Savers/Depositors|0|40512</t>
  </si>
  <si>
    <t>Organizational Data v2|Active Borrowers|0|40512</t>
  </si>
  <si>
    <t>Organizational Data v2|Loans Outstanding|0|40512</t>
  </si>
  <si>
    <t>Organizational Data v2|Branches, Sub-Branches &amp; All Offices|0|40512</t>
  </si>
  <si>
    <t>Organizational Data v2|All Employees|0|40512</t>
  </si>
  <si>
    <t>Organizational Data v2|Loan Officers|0|40512</t>
  </si>
  <si>
    <t>Organizational Data v2|Voluntary Savers/Depositors|0|40543</t>
  </si>
  <si>
    <t>Organizational Data v2|Active Borrowers|0|40543</t>
  </si>
  <si>
    <t>Organizational Data v2|Loans Outstanding|0|40543</t>
  </si>
  <si>
    <t>Organizational Data v2|Branches, Sub-Branches &amp; All Offices|0|40543</t>
  </si>
  <si>
    <t>Organizational Data v2|All Employees|0|40543</t>
  </si>
  <si>
    <t>Organizational Data v2|Loan Officers|0|40543</t>
  </si>
  <si>
    <t>Aggregated Financials|GLP|0|39872</t>
  </si>
  <si>
    <t>Aggregated Financials|Total Assets|0|39872</t>
  </si>
  <si>
    <t>Aggregated Financials|Total Equity|0|39872</t>
  </si>
  <si>
    <t>Aggregated Financials|Net Income|0|39872</t>
  </si>
  <si>
    <t>Aggregated Financials|January Assets|0|39872</t>
  </si>
  <si>
    <t>Aggregated Financials|January Equity|0|39872</t>
  </si>
  <si>
    <t>Aggregated Financials|LTM GLP|0|39872</t>
  </si>
  <si>
    <t>Aggregated Financials|Loan Loss Reserves|0|39872</t>
  </si>
  <si>
    <t>Aggregated Financials|Total Debt|0|39872</t>
  </si>
  <si>
    <t>Aggregated Financials|Financial Revenue|0|39872</t>
  </si>
  <si>
    <t>Aggregated Financials|Number of Active Borrowers|0|39872</t>
  </si>
  <si>
    <t>Aggregated Financials|Number of Active Loans|0|39872</t>
  </si>
  <si>
    <t>Aggregated Financials|PAR &gt;30|0|39872</t>
  </si>
  <si>
    <t>Aggregated Financials|R +R |0|39872</t>
  </si>
  <si>
    <t>Aggregated Financials|LTM Write-Offs|0|39872</t>
  </si>
  <si>
    <t>Aggregated Financials|Foreign Currency Exposure Asset|0|39872</t>
  </si>
  <si>
    <t>Aggregated Financials|Foreign Currency Liabilities|0|39872</t>
  </si>
  <si>
    <t>Aggregated Financials|Asset Hedges|0|39872</t>
  </si>
  <si>
    <t>Aggregated Financials|Liability Hedges|0|39872</t>
  </si>
  <si>
    <t>Aggregated Financials|PAR &gt;60|0|39872</t>
  </si>
  <si>
    <t>Aggregated Financials|Previous Month Equity|0|39872</t>
  </si>
  <si>
    <t>Aggregated Financials|MONTH FX|0|39872</t>
  </si>
  <si>
    <t>Aggregated Financials|LAST MONTH FX|0|39872</t>
  </si>
  <si>
    <t>Aggregated Financials|YTD FX|0|39872</t>
  </si>
  <si>
    <t>Aggregated Financials|LTM FX|0|39872</t>
  </si>
  <si>
    <t>Aggregated Financials|LTM Average GLP|0|39872</t>
  </si>
  <si>
    <t>Aggregated Financials|LTM Average Assets|0|39872</t>
  </si>
  <si>
    <t>Aggregated Financials|LTM Average Equity|0|39872</t>
  </si>
  <si>
    <t>Aggregated Financials|LTM Average Borrowings|0|39872</t>
  </si>
  <si>
    <t>Aggregated Financials|YTD Average Assets|0|39872</t>
  </si>
  <si>
    <t>Aggregated Financials|YTD Average GLP|0|39872</t>
  </si>
  <si>
    <t>Aggregated Financials|YTD Average Equity|0|39872</t>
  </si>
  <si>
    <t>Aggregated Financials|YTD Average Borrowings|0|39872</t>
  </si>
  <si>
    <t>Aggregated Financials|LTM Net Income|0|39872</t>
  </si>
  <si>
    <t>Aggregated Financials|LTM Financial Revenue|0|39872</t>
  </si>
  <si>
    <t>Aggregated Financials|LTM Financial Expense |0|39872</t>
  </si>
  <si>
    <t>Aggregated Financials|LTM Provisioning Expense |0|39872</t>
  </si>
  <si>
    <t>Aggregated Financials|LTM Operating Expense|0|39872</t>
  </si>
  <si>
    <t>Aggregated Financials|LTM Other Financial Income (Expense)|0|39872</t>
  </si>
  <si>
    <t>Aggregated Financials|Total Borrowings|0|39872</t>
  </si>
  <si>
    <t>Aggregated Financials|Total Interest Bearing Debt |0|39872</t>
  </si>
  <si>
    <t>Aggregated Financials|Savings Accounts|0|39872</t>
  </si>
  <si>
    <t>Aggregated Financials|Operating Expenses|0|39872</t>
  </si>
  <si>
    <t>Aggregated Financials|GLP|0|39903</t>
  </si>
  <si>
    <t>Aggregated Financials|Total Assets|0|39903</t>
  </si>
  <si>
    <t>Aggregated Financials|Total Equity|0|39903</t>
  </si>
  <si>
    <t>Aggregated Financials|Net Income|0|39903</t>
  </si>
  <si>
    <t>Aggregated Financials|January Assets|0|39903</t>
  </si>
  <si>
    <t>Aggregated Financials|January Equity|0|39903</t>
  </si>
  <si>
    <t>Aggregated Financials|LTM GLP|0|39903</t>
  </si>
  <si>
    <t>Aggregated Financials|Loan Loss Reserves|0|39903</t>
  </si>
  <si>
    <t>Aggregated Financials|Total Debt|0|39903</t>
  </si>
  <si>
    <t>Aggregated Financials|Financial Revenue|0|39903</t>
  </si>
  <si>
    <t>Aggregated Financials|Number of Active Borrowers|0|39903</t>
  </si>
  <si>
    <t>Aggregated Financials|Number of Active Loans|0|39903</t>
  </si>
  <si>
    <t>Aggregated Financials|PAR &gt;30|0|39903</t>
  </si>
  <si>
    <t>Aggregated Financials|R +R |0|39903</t>
  </si>
  <si>
    <t>Aggregated Financials|LTM Write-Offs|0|39903</t>
  </si>
  <si>
    <t>Aggregated Financials|Foreign Currency Exposure Asset|0|39903</t>
  </si>
  <si>
    <t>Aggregated Financials|Foreign Currency Liabilities|0|39903</t>
  </si>
  <si>
    <t>Aggregated Financials|Asset Hedges|0|39903</t>
  </si>
  <si>
    <t>Aggregated Financials|Liability Hedges|0|39903</t>
  </si>
  <si>
    <t>Aggregated Financials|PAR &gt;60|0|39903</t>
  </si>
  <si>
    <t>Aggregated Financials|Previous Month Equity|0|39903</t>
  </si>
  <si>
    <t>Aggregated Financials|MONTH FX|0|39903</t>
  </si>
  <si>
    <t>Aggregated Financials|LAST MONTH FX|0|39903</t>
  </si>
  <si>
    <t>Aggregated Financials|YTD FX|0|39903</t>
  </si>
  <si>
    <t>Aggregated Financials|LTM FX|0|39903</t>
  </si>
  <si>
    <t>Aggregated Financials|LTM Average GLP|0|39903</t>
  </si>
  <si>
    <t>Aggregated Financials|LTM Average Assets|0|39903</t>
  </si>
  <si>
    <t>Aggregated Financials|LTM Average Equity|0|39903</t>
  </si>
  <si>
    <t>Aggregated Financials|LTM Average Borrowings|0|39903</t>
  </si>
  <si>
    <t>Aggregated Financials|YTD Average Assets|0|39903</t>
  </si>
  <si>
    <t>Aggregated Financials|YTD Average GLP|0|39903</t>
  </si>
  <si>
    <t>Aggregated Financials|YTD Average Equity|0|39903</t>
  </si>
  <si>
    <t>Aggregated Financials|YTD Average Borrowings|0|39903</t>
  </si>
  <si>
    <t>Aggregated Financials|LTM Net Income|0|39903</t>
  </si>
  <si>
    <t>Aggregated Financials|LTM Financial Revenue|0|39903</t>
  </si>
  <si>
    <t>Aggregated Financials|LTM Financial Expense |0|39903</t>
  </si>
  <si>
    <t>Aggregated Financials|LTM Provisioning Expense |0|39903</t>
  </si>
  <si>
    <t>Aggregated Financials|LTM Operating Expense|0|39903</t>
  </si>
  <si>
    <t>Aggregated Financials|LTM Other Financial Income (Expense)|0|39903</t>
  </si>
  <si>
    <t>Aggregated Financials|Total Borrowings|0|39903</t>
  </si>
  <si>
    <t>Aggregated Financials|Total Interest Bearing Debt |0|39903</t>
  </si>
  <si>
    <t>Aggregated Financials|Savings Accounts|0|39903</t>
  </si>
  <si>
    <t>Aggregated Financials|Operating Expenses|0|39903</t>
  </si>
  <si>
    <t>Aggregated Financials|GLP|0|39933</t>
  </si>
  <si>
    <t>Aggregated Financials|Total Assets|0|39933</t>
  </si>
  <si>
    <t>Aggregated Financials|Total Equity|0|39933</t>
  </si>
  <si>
    <t>Aggregated Financials|Net Income|0|39933</t>
  </si>
  <si>
    <t>Aggregated Financials|January Assets|0|39933</t>
  </si>
  <si>
    <t>Aggregated Financials|January Equity|0|39933</t>
  </si>
  <si>
    <t>Aggregated Financials|LTM GLP|0|39933</t>
  </si>
  <si>
    <t>Aggregated Financials|Loan Loss Reserves|0|39933</t>
  </si>
  <si>
    <t>Aggregated Financials|Total Debt|0|39933</t>
  </si>
  <si>
    <t>Aggregated Financials|Financial Revenue|0|39933</t>
  </si>
  <si>
    <t>Aggregated Financials|Number of Active Borrowers|0|39933</t>
  </si>
  <si>
    <t>Aggregated Financials|Number of Active Loans|0|39933</t>
  </si>
  <si>
    <t>Aggregated Financials|PAR &gt;30|0|39933</t>
  </si>
  <si>
    <t>Aggregated Financials|R +R |0|39933</t>
  </si>
  <si>
    <t>Aggregated Financials|LTM Write-Offs|0|39933</t>
  </si>
  <si>
    <t>Aggregated Financials|Foreign Currency Exposure Asset|0|39933</t>
  </si>
  <si>
    <t>Aggregated Financials|Foreign Currency Liabilities|0|39933</t>
  </si>
  <si>
    <t>Aggregated Financials|Asset Hedges|0|39933</t>
  </si>
  <si>
    <t>Aggregated Financials|Liability Hedges|0|39933</t>
  </si>
  <si>
    <t>Aggregated Financials|PAR &gt;60|0|39933</t>
  </si>
  <si>
    <t>Aggregated Financials|Previous Month Equity|0|39933</t>
  </si>
  <si>
    <t>Aggregated Financials|MONTH FX|0|39933</t>
  </si>
  <si>
    <t>Aggregated Financials|LAST MONTH FX|0|39933</t>
  </si>
  <si>
    <t>Aggregated Financials|YTD FX|0|39933</t>
  </si>
  <si>
    <t>Aggregated Financials|LTM FX|0|39933</t>
  </si>
  <si>
    <t>Aggregated Financials|LTM Average GLP|0|39933</t>
  </si>
  <si>
    <t>Aggregated Financials|LTM Average Assets|0|39933</t>
  </si>
  <si>
    <t>Aggregated Financials|LTM Average Equity|0|39933</t>
  </si>
  <si>
    <t>Aggregated Financials|LTM Average Borrowings|0|39933</t>
  </si>
  <si>
    <t>Aggregated Financials|YTD Average Assets|0|39933</t>
  </si>
  <si>
    <t>Aggregated Financials|YTD Average GLP|0|39933</t>
  </si>
  <si>
    <t>Aggregated Financials|YTD Average Equity|0|39933</t>
  </si>
  <si>
    <t>Aggregated Financials|YTD Average Borrowings|0|39933</t>
  </si>
  <si>
    <t>Aggregated Financials|LTM Net Income|0|39933</t>
  </si>
  <si>
    <t>Aggregated Financials|LTM Financial Revenue|0|39933</t>
  </si>
  <si>
    <t>Aggregated Financials|LTM Financial Expense |0|39933</t>
  </si>
  <si>
    <t>Aggregated Financials|LTM Provisioning Expense |0|39933</t>
  </si>
  <si>
    <t>Aggregated Financials|LTM Operating Expense|0|39933</t>
  </si>
  <si>
    <t>Aggregated Financials|LTM Other Financial Income (Expense)|0|39933</t>
  </si>
  <si>
    <t>Aggregated Financials|Total Borrowings|0|39933</t>
  </si>
  <si>
    <t>Aggregated Financials|Total Interest Bearing Debt |0|39933</t>
  </si>
  <si>
    <t>Aggregated Financials|Savings Accounts|0|39933</t>
  </si>
  <si>
    <t>Aggregated Financials|Operating Expenses|0|39933</t>
  </si>
  <si>
    <t>Aggregated Financials|GLP|0|39964</t>
  </si>
  <si>
    <t>Aggregated Financials|Total Assets|0|39964</t>
  </si>
  <si>
    <t>Aggregated Financials|Total Equity|0|39964</t>
  </si>
  <si>
    <t>Aggregated Financials|Net Income|0|39964</t>
  </si>
  <si>
    <t>Aggregated Financials|January Assets|0|39964</t>
  </si>
  <si>
    <t>Aggregated Financials|January Equity|0|39964</t>
  </si>
  <si>
    <t>Aggregated Financials|LTM GLP|0|39964</t>
  </si>
  <si>
    <t>Aggregated Financials|Loan Loss Reserves|0|39964</t>
  </si>
  <si>
    <t>Aggregated Financials|Total Debt|0|39964</t>
  </si>
  <si>
    <t>Aggregated Financials|Financial Revenue|0|39964</t>
  </si>
  <si>
    <t>Aggregated Financials|Number of Active Borrowers|0|39964</t>
  </si>
  <si>
    <t>Aggregated Financials|Number of Active Loans|0|39964</t>
  </si>
  <si>
    <t>Aggregated Financials|PAR &gt;30|0|39964</t>
  </si>
  <si>
    <t>Aggregated Financials|R +R |0|39964</t>
  </si>
  <si>
    <t>Aggregated Financials|LTM Write-Offs|0|39964</t>
  </si>
  <si>
    <t>Aggregated Financials|Foreign Currency Exposure Asset|0|39964</t>
  </si>
  <si>
    <t>Aggregated Financials|Foreign Currency Liabilities|0|39964</t>
  </si>
  <si>
    <t>Aggregated Financials|Asset Hedges|0|39964</t>
  </si>
  <si>
    <t>Aggregated Financials|Liability Hedges|0|39964</t>
  </si>
  <si>
    <t>Aggregated Financials|PAR &gt;60|0|39964</t>
  </si>
  <si>
    <t>Aggregated Financials|Previous Month Equity|0|39964</t>
  </si>
  <si>
    <t>Aggregated Financials|MONTH FX|0|39964</t>
  </si>
  <si>
    <t>Aggregated Financials|LAST MONTH FX|0|39964</t>
  </si>
  <si>
    <t>Aggregated Financials|YTD FX|0|39964</t>
  </si>
  <si>
    <t>Aggregated Financials|LTM FX|0|39964</t>
  </si>
  <si>
    <t>Aggregated Financials|LTM Average GLP|0|39964</t>
  </si>
  <si>
    <t>Aggregated Financials|LTM Average Assets|0|39964</t>
  </si>
  <si>
    <t>Aggregated Financials|LTM Average Equity|0|39964</t>
  </si>
  <si>
    <t>Aggregated Financials|LTM Average Borrowings|0|39964</t>
  </si>
  <si>
    <t>Aggregated Financials|YTD Average Assets|0|39964</t>
  </si>
  <si>
    <t>Aggregated Financials|YTD Average GLP|0|39964</t>
  </si>
  <si>
    <t>Aggregated Financials|YTD Average Equity|0|39964</t>
  </si>
  <si>
    <t>Aggregated Financials|YTD Average Borrowings|0|39964</t>
  </si>
  <si>
    <t>Aggregated Financials|LTM Net Income|0|39964</t>
  </si>
  <si>
    <t>Aggregated Financials|LTM Financial Revenue|0|39964</t>
  </si>
  <si>
    <t>Aggregated Financials|LTM Financial Expense |0|39964</t>
  </si>
  <si>
    <t>Aggregated Financials|LTM Provisioning Expense |0|39964</t>
  </si>
  <si>
    <t>Aggregated Financials|LTM Operating Expense|0|39964</t>
  </si>
  <si>
    <t>Aggregated Financials|LTM Other Financial Income (Expense)|0|39964</t>
  </si>
  <si>
    <t>Aggregated Financials|Total Borrowings|0|39964</t>
  </si>
  <si>
    <t>Aggregated Financials|Total Interest Bearing Debt |0|39964</t>
  </si>
  <si>
    <t>Aggregated Financials|Savings Accounts|0|39964</t>
  </si>
  <si>
    <t>Aggregated Financials|Operating Expenses|0|39964</t>
  </si>
  <si>
    <t>Aggregated Financials|GLP|0|39994</t>
  </si>
  <si>
    <t>Aggregated Financials|Total Assets|0|39994</t>
  </si>
  <si>
    <t>Aggregated Financials|Total Equity|0|39994</t>
  </si>
  <si>
    <t>Aggregated Financials|Net Income|0|39994</t>
  </si>
  <si>
    <t>Aggregated Financials|January Assets|0|39994</t>
  </si>
  <si>
    <t>Aggregated Financials|January Equity|0|39994</t>
  </si>
  <si>
    <t>Aggregated Financials|LTM GLP|0|39994</t>
  </si>
  <si>
    <t>Aggregated Financials|Loan Loss Reserves|0|39994</t>
  </si>
  <si>
    <t>Aggregated Financials|Total Debt|0|39994</t>
  </si>
  <si>
    <t>Aggregated Financials|Financial Revenue|0|39994</t>
  </si>
  <si>
    <t>Aggregated Financials|Number of Active Borrowers|0|39994</t>
  </si>
  <si>
    <t>Aggregated Financials|Number of Active Loans|0|39994</t>
  </si>
  <si>
    <t>Aggregated Financials|PAR &gt;30|0|39994</t>
  </si>
  <si>
    <t>Aggregated Financials|R +R |0|39994</t>
  </si>
  <si>
    <t>Aggregated Financials|LTM Write-Offs|0|39994</t>
  </si>
  <si>
    <t>Aggregated Financials|Foreign Currency Exposure Asset|0|39994</t>
  </si>
  <si>
    <t>Aggregated Financials|Foreign Currency Liabilities|0|39994</t>
  </si>
  <si>
    <t>Aggregated Financials|Asset Hedges|0|39994</t>
  </si>
  <si>
    <t>Aggregated Financials|Liability Hedges|0|39994</t>
  </si>
  <si>
    <t>Aggregated Financials|PAR &gt;60|0|39994</t>
  </si>
  <si>
    <t>Aggregated Financials|Previous Month Equity|0|39994</t>
  </si>
  <si>
    <t>Aggregated Financials|MONTH FX|0|39994</t>
  </si>
  <si>
    <t>Aggregated Financials|LAST MONTH FX|0|39994</t>
  </si>
  <si>
    <t>Aggregated Financials|YTD FX|0|39994</t>
  </si>
  <si>
    <t>Aggregated Financials|LTM FX|0|39994</t>
  </si>
  <si>
    <t>Aggregated Financials|LTM Average GLP|0|39994</t>
  </si>
  <si>
    <t>Aggregated Financials|LTM Average Assets|0|39994</t>
  </si>
  <si>
    <t>Aggregated Financials|LTM Average Equity|0|39994</t>
  </si>
  <si>
    <t>Aggregated Financials|LTM Average Borrowings|0|39994</t>
  </si>
  <si>
    <t>Aggregated Financials|YTD Average Assets|0|39994</t>
  </si>
  <si>
    <t>Aggregated Financials|YTD Average GLP|0|39994</t>
  </si>
  <si>
    <t>Aggregated Financials|YTD Average Equity|0|39994</t>
  </si>
  <si>
    <t>Aggregated Financials|YTD Average Borrowings|0|39994</t>
  </si>
  <si>
    <t>Aggregated Financials|LTM Net Income|0|39994</t>
  </si>
  <si>
    <t>Aggregated Financials|LTM Financial Revenue|0|39994</t>
  </si>
  <si>
    <t>Aggregated Financials|LTM Financial Expense |0|39994</t>
  </si>
  <si>
    <t>Aggregated Financials|LTM Provisioning Expense |0|39994</t>
  </si>
  <si>
    <t>Aggregated Financials|LTM Operating Expense|0|39994</t>
  </si>
  <si>
    <t>Aggregated Financials|LTM Other Financial Income (Expense)|0|39994</t>
  </si>
  <si>
    <t>Aggregated Financials|Total Borrowings|0|39994</t>
  </si>
  <si>
    <t>Aggregated Financials|Total Interest Bearing Debt |0|39994</t>
  </si>
  <si>
    <t>Aggregated Financials|Savings Accounts|0|39994</t>
  </si>
  <si>
    <t>Aggregated Financials|Operating Expenses|0|39994</t>
  </si>
  <si>
    <t>Aggregated Financials|GLP|0|40025</t>
  </si>
  <si>
    <t>Aggregated Financials|Total Assets|0|40025</t>
  </si>
  <si>
    <t>Aggregated Financials|Total Equity|0|40025</t>
  </si>
  <si>
    <t>Aggregated Financials|Net Income|0|40025</t>
  </si>
  <si>
    <t>Aggregated Financials|January Assets|0|40025</t>
  </si>
  <si>
    <t>Aggregated Financials|January Equity|0|40025</t>
  </si>
  <si>
    <t>Aggregated Financials|LTM GLP|0|40025</t>
  </si>
  <si>
    <t>Aggregated Financials|Loan Loss Reserves|0|40025</t>
  </si>
  <si>
    <t>Aggregated Financials|Total Debt|0|40025</t>
  </si>
  <si>
    <t>Aggregated Financials|Financial Revenue|0|40025</t>
  </si>
  <si>
    <t>Aggregated Financials|Number of Active Borrowers|0|40025</t>
  </si>
  <si>
    <t>Aggregated Financials|Number of Active Loans|0|40025</t>
  </si>
  <si>
    <t>Aggregated Financials|PAR &gt;30|0|40025</t>
  </si>
  <si>
    <t>Aggregated Financials|R +R |0|40025</t>
  </si>
  <si>
    <t>Aggregated Financials|LTM Write-Offs|0|40025</t>
  </si>
  <si>
    <t>Aggregated Financials|Foreign Currency Exposure Asset|0|40025</t>
  </si>
  <si>
    <t>Aggregated Financials|Foreign Currency Liabilities|0|40025</t>
  </si>
  <si>
    <t>Aggregated Financials|Asset Hedges|0|40025</t>
  </si>
  <si>
    <t>Aggregated Financials|Liability Hedges|0|40025</t>
  </si>
  <si>
    <t>Aggregated Financials|PAR &gt;60|0|40025</t>
  </si>
  <si>
    <t>Aggregated Financials|Previous Month Equity|0|40025</t>
  </si>
  <si>
    <t>Aggregated Financials|MONTH FX|0|40025</t>
  </si>
  <si>
    <t>Aggregated Financials|LAST MONTH FX|0|40025</t>
  </si>
  <si>
    <t>Aggregated Financials|YTD FX|0|40025</t>
  </si>
  <si>
    <t>Aggregated Financials|LTM FX|0|40025</t>
  </si>
  <si>
    <t>Aggregated Financials|LTM Average GLP|0|40025</t>
  </si>
  <si>
    <t>Aggregated Financials|LTM Average Assets|0|40025</t>
  </si>
  <si>
    <t>Aggregated Financials|LTM Average Equity|0|40025</t>
  </si>
  <si>
    <t>Aggregated Financials|LTM Average Borrowings|0|40025</t>
  </si>
  <si>
    <t>Aggregated Financials|YTD Average Assets|0|40025</t>
  </si>
  <si>
    <t>Aggregated Financials|YTD Average GLP|0|40025</t>
  </si>
  <si>
    <t>Aggregated Financials|YTD Average Equity|0|40025</t>
  </si>
  <si>
    <t>Aggregated Financials|YTD Average Borrowings|0|40025</t>
  </si>
  <si>
    <t>Aggregated Financials|LTM Net Income|0|40025</t>
  </si>
  <si>
    <t>Aggregated Financials|LTM Financial Revenue|0|40025</t>
  </si>
  <si>
    <t>Aggregated Financials|LTM Financial Expense |0|40025</t>
  </si>
  <si>
    <t>Aggregated Financials|LTM Provisioning Expense |0|40025</t>
  </si>
  <si>
    <t>Aggregated Financials|LTM Operating Expense|0|40025</t>
  </si>
  <si>
    <t>Aggregated Financials|LTM Other Financial Income (Expense)|0|40025</t>
  </si>
  <si>
    <t>Aggregated Financials|Total Borrowings|0|40025</t>
  </si>
  <si>
    <t>Aggregated Financials|Total Interest Bearing Debt |0|40025</t>
  </si>
  <si>
    <t>Aggregated Financials|Savings Accounts|0|40025</t>
  </si>
  <si>
    <t>Aggregated Financials|Operating Expenses|0|40025</t>
  </si>
  <si>
    <t>Aggregated Financials|GLP|0|40056</t>
  </si>
  <si>
    <t>Aggregated Financials|Total Assets|0|40056</t>
  </si>
  <si>
    <t>Aggregated Financials|Total Equity|0|40056</t>
  </si>
  <si>
    <t>Aggregated Financials|Net Income|0|40056</t>
  </si>
  <si>
    <t>Aggregated Financials|January Assets|0|40056</t>
  </si>
  <si>
    <t>Aggregated Financials|January Equity|0|40056</t>
  </si>
  <si>
    <t>Aggregated Financials|LTM GLP|0|40056</t>
  </si>
  <si>
    <t>Aggregated Financials|Loan Loss Reserves|0|40056</t>
  </si>
  <si>
    <t>Aggregated Financials|Total Debt|0|40056</t>
  </si>
  <si>
    <t>Aggregated Financials|Financial Revenue|0|40056</t>
  </si>
  <si>
    <t>Aggregated Financials|Number of Active Borrowers|0|40056</t>
  </si>
  <si>
    <t>Aggregated Financials|Number of Active Loans|0|40056</t>
  </si>
  <si>
    <t>Aggregated Financials|PAR &gt;30|0|40056</t>
  </si>
  <si>
    <t>Aggregated Financials|R +R |0|40056</t>
  </si>
  <si>
    <t>Aggregated Financials|LTM Write-Offs|0|40056</t>
  </si>
  <si>
    <t>Aggregated Financials|Foreign Currency Exposure Asset|0|40056</t>
  </si>
  <si>
    <t>Aggregated Financials|Foreign Currency Liabilities|0|40056</t>
  </si>
  <si>
    <t>Aggregated Financials|Asset Hedges|0|40056</t>
  </si>
  <si>
    <t>Aggregated Financials|Liability Hedges|0|40056</t>
  </si>
  <si>
    <t>Aggregated Financials|PAR &gt;60|0|40056</t>
  </si>
  <si>
    <t>Aggregated Financials|Previous Month Equity|0|40056</t>
  </si>
  <si>
    <t>Aggregated Financials|MONTH FX|0|40056</t>
  </si>
  <si>
    <t>Aggregated Financials|LAST MONTH FX|0|40056</t>
  </si>
  <si>
    <t>Aggregated Financials|YTD FX|0|40056</t>
  </si>
  <si>
    <t>Aggregated Financials|LTM FX|0|40056</t>
  </si>
  <si>
    <t>Aggregated Financials|LTM Average GLP|0|40056</t>
  </si>
  <si>
    <t>Aggregated Financials|LTM Average Assets|0|40056</t>
  </si>
  <si>
    <t>Aggregated Financials|LTM Average Equity|0|40056</t>
  </si>
  <si>
    <t>Aggregated Financials|LTM Average Borrowings|0|40056</t>
  </si>
  <si>
    <t>Aggregated Financials|YTD Average Assets|0|40056</t>
  </si>
  <si>
    <t>Aggregated Financials|YTD Average GLP|0|40056</t>
  </si>
  <si>
    <t>Aggregated Financials|YTD Average Equity|0|40056</t>
  </si>
  <si>
    <t>Aggregated Financials|YTD Average Borrowings|0|40056</t>
  </si>
  <si>
    <t>Aggregated Financials|LTM Net Income|0|40056</t>
  </si>
  <si>
    <t>Aggregated Financials|LTM Financial Revenue|0|40056</t>
  </si>
  <si>
    <t>Aggregated Financials|LTM Financial Expense |0|40056</t>
  </si>
  <si>
    <t>Aggregated Financials|LTM Provisioning Expense |0|40056</t>
  </si>
  <si>
    <t>Aggregated Financials|LTM Operating Expense|0|40056</t>
  </si>
  <si>
    <t>Aggregated Financials|LTM Other Financial Income (Expense)|0|40056</t>
  </si>
  <si>
    <t>Aggregated Financials|Total Borrowings|0|40056</t>
  </si>
  <si>
    <t>Aggregated Financials|Total Interest Bearing Debt |0|40056</t>
  </si>
  <si>
    <t>Aggregated Financials|Savings Accounts|0|40056</t>
  </si>
  <si>
    <t>Aggregated Financials|Operating Expenses|0|40056</t>
  </si>
  <si>
    <t>Aggregated Financials|GLP|0|40086</t>
  </si>
  <si>
    <t>Aggregated Financials|Total Assets|0|40086</t>
  </si>
  <si>
    <t>Aggregated Financials|Total Equity|0|40086</t>
  </si>
  <si>
    <t>Aggregated Financials|Net Income|0|40086</t>
  </si>
  <si>
    <t>Aggregated Financials|January Assets|0|40086</t>
  </si>
  <si>
    <t>Aggregated Financials|January Equity|0|40086</t>
  </si>
  <si>
    <t>Aggregated Financials|LTM GLP|0|40086</t>
  </si>
  <si>
    <t>Aggregated Financials|Loan Loss Reserves|0|40086</t>
  </si>
  <si>
    <t>Aggregated Financials|Total Debt|0|40086</t>
  </si>
  <si>
    <t>Aggregated Financials|Financial Revenue|0|40086</t>
  </si>
  <si>
    <t>Aggregated Financials|Number of Active Borrowers|0|40086</t>
  </si>
  <si>
    <t>Aggregated Financials|Number of Active Loans|0|40086</t>
  </si>
  <si>
    <t>Aggregated Financials|PAR &gt;30|0|40086</t>
  </si>
  <si>
    <t>Aggregated Financials|R +R |0|40086</t>
  </si>
  <si>
    <t>Aggregated Financials|LTM Write-Offs|0|40086</t>
  </si>
  <si>
    <t>Aggregated Financials|Foreign Currency Exposure Asset|0|40086</t>
  </si>
  <si>
    <t>Aggregated Financials|Foreign Currency Liabilities|0|40086</t>
  </si>
  <si>
    <t>Aggregated Financials|Asset Hedges|0|40086</t>
  </si>
  <si>
    <t>Aggregated Financials|Liability Hedges|0|40086</t>
  </si>
  <si>
    <t>Aggregated Financials|PAR &gt;60|0|40086</t>
  </si>
  <si>
    <t>Aggregated Financials|Previous Month Equity|0|40086</t>
  </si>
  <si>
    <t>Aggregated Financials|MONTH FX|0|40086</t>
  </si>
  <si>
    <t>Aggregated Financials|LAST MONTH FX|0|40086</t>
  </si>
  <si>
    <t>Aggregated Financials|YTD FX|0|40086</t>
  </si>
  <si>
    <t>Aggregated Financials|LTM FX|0|40086</t>
  </si>
  <si>
    <t>Aggregated Financials|LTM Average GLP|0|40086</t>
  </si>
  <si>
    <t>Aggregated Financials|LTM Average Assets|0|40086</t>
  </si>
  <si>
    <t>Aggregated Financials|LTM Average Equity|0|40086</t>
  </si>
  <si>
    <t>Aggregated Financials|LTM Average Borrowings|0|40086</t>
  </si>
  <si>
    <t>Aggregated Financials|YTD Average Assets|0|40086</t>
  </si>
  <si>
    <t>Aggregated Financials|YTD Average GLP|0|40086</t>
  </si>
  <si>
    <t>Aggregated Financials|YTD Average Equity|0|40086</t>
  </si>
  <si>
    <t>Aggregated Financials|YTD Average Borrowings|0|40086</t>
  </si>
  <si>
    <t>Aggregated Financials|LTM Net Income|0|40086</t>
  </si>
  <si>
    <t>Aggregated Financials|LTM Financial Revenue|0|40086</t>
  </si>
  <si>
    <t>Aggregated Financials|LTM Financial Expense |0|40086</t>
  </si>
  <si>
    <t>Aggregated Financials|LTM Provisioning Expense |0|40086</t>
  </si>
  <si>
    <t>Aggregated Financials|LTM Operating Expense|0|40086</t>
  </si>
  <si>
    <t>Aggregated Financials|LTM Other Financial Income (Expense)|0|40086</t>
  </si>
  <si>
    <t>Aggregated Financials|Total Borrowings|0|40086</t>
  </si>
  <si>
    <t>Aggregated Financials|Total Interest Bearing Debt |0|40086</t>
  </si>
  <si>
    <t>Aggregated Financials|Savings Accounts|0|40086</t>
  </si>
  <si>
    <t>Aggregated Financials|Operating Expenses|0|40086</t>
  </si>
  <si>
    <t>Aggregated Financials|GLP|0|40117</t>
  </si>
  <si>
    <t>Aggregated Financials|Total Assets|0|40117</t>
  </si>
  <si>
    <t>Aggregated Financials|Total Equity|0|40117</t>
  </si>
  <si>
    <t>Aggregated Financials|Net Income|0|40117</t>
  </si>
  <si>
    <t>Aggregated Financials|January Assets|0|40117</t>
  </si>
  <si>
    <t>Aggregated Financials|January Equity|0|40117</t>
  </si>
  <si>
    <t>Aggregated Financials|LTM GLP|0|40117</t>
  </si>
  <si>
    <t>Aggregated Financials|Loan Loss Reserves|0|40117</t>
  </si>
  <si>
    <t>Aggregated Financials|Total Debt|0|40117</t>
  </si>
  <si>
    <t>Aggregated Financials|Financial Revenue|0|40117</t>
  </si>
  <si>
    <t>Aggregated Financials|Number of Active Borrowers|0|40117</t>
  </si>
  <si>
    <t>Aggregated Financials|Number of Active Loans|0|40117</t>
  </si>
  <si>
    <t>Aggregated Financials|PAR &gt;30|0|40117</t>
  </si>
  <si>
    <t>Aggregated Financials|R +R |0|40117</t>
  </si>
  <si>
    <t>Aggregated Financials|LTM Write-Offs|0|40117</t>
  </si>
  <si>
    <t>Aggregated Financials|Foreign Currency Exposure Asset|0|40117</t>
  </si>
  <si>
    <t>Aggregated Financials|Foreign Currency Liabilities|0|40117</t>
  </si>
  <si>
    <t>Aggregated Financials|Asset Hedges|0|40117</t>
  </si>
  <si>
    <t>Aggregated Financials|Liability Hedges|0|40117</t>
  </si>
  <si>
    <t>Aggregated Financials|PAR &gt;60|0|40117</t>
  </si>
  <si>
    <t>Aggregated Financials|Previous Month Equity|0|40117</t>
  </si>
  <si>
    <t>Aggregated Financials|MONTH FX|0|40117</t>
  </si>
  <si>
    <t>Aggregated Financials|LAST MONTH FX|0|40117</t>
  </si>
  <si>
    <t>Aggregated Financials|YTD FX|0|40117</t>
  </si>
  <si>
    <t>Aggregated Financials|LTM FX|0|40117</t>
  </si>
  <si>
    <t>Aggregated Financials|LTM Average GLP|0|40117</t>
  </si>
  <si>
    <t>Aggregated Financials|LTM Average Assets|0|40117</t>
  </si>
  <si>
    <t>Aggregated Financials|LTM Average Equity|0|40117</t>
  </si>
  <si>
    <t>Aggregated Financials|LTM Average Borrowings|0|40117</t>
  </si>
  <si>
    <t>Aggregated Financials|YTD Average Assets|0|40117</t>
  </si>
  <si>
    <t>Aggregated Financials|YTD Average GLP|0|40117</t>
  </si>
  <si>
    <t>Aggregated Financials|YTD Average Equity|0|40117</t>
  </si>
  <si>
    <t>Aggregated Financials|YTD Average Borrowings|0|40117</t>
  </si>
  <si>
    <t>Aggregated Financials|LTM Net Income|0|40117</t>
  </si>
  <si>
    <t>Aggregated Financials|LTM Financial Revenue|0|40117</t>
  </si>
  <si>
    <t>Aggregated Financials|LTM Financial Expense |0|40117</t>
  </si>
  <si>
    <t>Aggregated Financials|LTM Provisioning Expense |0|40117</t>
  </si>
  <si>
    <t>Aggregated Financials|LTM Operating Expense|0|40117</t>
  </si>
  <si>
    <t>Aggregated Financials|LTM Other Financial Income (Expense)|0|40117</t>
  </si>
  <si>
    <t>Aggregated Financials|Total Borrowings|0|40117</t>
  </si>
  <si>
    <t>Aggregated Financials|Total Interest Bearing Debt |0|40117</t>
  </si>
  <si>
    <t>Aggregated Financials|Savings Accounts|0|40117</t>
  </si>
  <si>
    <t>Aggregated Financials|Operating Expenses|0|40117</t>
  </si>
  <si>
    <t>Aggregated Financials|GLP|0|40147</t>
  </si>
  <si>
    <t>Aggregated Financials|Total Assets|0|40147</t>
  </si>
  <si>
    <t>Aggregated Financials|Total Equity|0|40147</t>
  </si>
  <si>
    <t>Aggregated Financials|Net Income|0|40147</t>
  </si>
  <si>
    <t>Aggregated Financials|January Assets|0|40147</t>
  </si>
  <si>
    <t>Aggregated Financials|January Equity|0|40147</t>
  </si>
  <si>
    <t>Aggregated Financials|LTM GLP|0|40147</t>
  </si>
  <si>
    <t>Aggregated Financials|Loan Loss Reserves|0|40147</t>
  </si>
  <si>
    <t>Aggregated Financials|Total Debt|0|40147</t>
  </si>
  <si>
    <t>Aggregated Financials|Financial Revenue|0|40147</t>
  </si>
  <si>
    <t>Aggregated Financials|Number of Active Borrowers|0|40147</t>
  </si>
  <si>
    <t>Aggregated Financials|Number of Active Loans|0|40147</t>
  </si>
  <si>
    <t>Aggregated Financials|PAR &gt;30|0|40147</t>
  </si>
  <si>
    <t>Aggregated Financials|R +R |0|40147</t>
  </si>
  <si>
    <t>Aggregated Financials|LTM Write-Offs|0|40147</t>
  </si>
  <si>
    <t>Aggregated Financials|Foreign Currency Exposure Asset|0|40147</t>
  </si>
  <si>
    <t>Aggregated Financials|Foreign Currency Liabilities|0|40147</t>
  </si>
  <si>
    <t>Aggregated Financials|Asset Hedges|0|40147</t>
  </si>
  <si>
    <t>Aggregated Financials|Liability Hedges|0|40147</t>
  </si>
  <si>
    <t>Aggregated Financials|PAR &gt;60|0|40147</t>
  </si>
  <si>
    <t>Aggregated Financials|Previous Month Equity|0|40147</t>
  </si>
  <si>
    <t>Aggregated Financials|MONTH FX|0|40147</t>
  </si>
  <si>
    <t>Aggregated Financials|LAST MONTH FX|0|40147</t>
  </si>
  <si>
    <t>Aggregated Financials|YTD FX|0|40147</t>
  </si>
  <si>
    <t>Aggregated Financials|LTM FX|0|40147</t>
  </si>
  <si>
    <t>Aggregated Financials|LTM Average GLP|0|40147</t>
  </si>
  <si>
    <t>Aggregated Financials|LTM Average Assets|0|40147</t>
  </si>
  <si>
    <t>Aggregated Financials|LTM Average Equity|0|40147</t>
  </si>
  <si>
    <t>Aggregated Financials|LTM Average Borrowings|0|40147</t>
  </si>
  <si>
    <t>Aggregated Financials|YTD Average Assets|0|40147</t>
  </si>
  <si>
    <t>Aggregated Financials|YTD Average GLP|0|40147</t>
  </si>
  <si>
    <t>Aggregated Financials|YTD Average Equity|0|40147</t>
  </si>
  <si>
    <t>Aggregated Financials|YTD Average Borrowings|0|40147</t>
  </si>
  <si>
    <t>Aggregated Financials|LTM Net Income|0|40147</t>
  </si>
  <si>
    <t>Aggregated Financials|LTM Financial Revenue|0|40147</t>
  </si>
  <si>
    <t>Aggregated Financials|LTM Financial Expense |0|40147</t>
  </si>
  <si>
    <t>Aggregated Financials|LTM Provisioning Expense |0|40147</t>
  </si>
  <si>
    <t>Aggregated Financials|LTM Operating Expense|0|40147</t>
  </si>
  <si>
    <t>Aggregated Financials|LTM Other Financial Income (Expense)|0|40147</t>
  </si>
  <si>
    <t>Aggregated Financials|Total Borrowings|0|40147</t>
  </si>
  <si>
    <t>Aggregated Financials|Total Interest Bearing Debt |0|40147</t>
  </si>
  <si>
    <t>Aggregated Financials|Savings Accounts|0|40147</t>
  </si>
  <si>
    <t>Aggregated Financials|Operating Expenses|0|40147</t>
  </si>
  <si>
    <t>Aggregated Financials|GLP|0|40178</t>
  </si>
  <si>
    <t>Aggregated Financials|Total Assets|0|40178</t>
  </si>
  <si>
    <t>Aggregated Financials|Total Equity|0|40178</t>
  </si>
  <si>
    <t>Aggregated Financials|Net Income|0|40178</t>
  </si>
  <si>
    <t>Aggregated Financials|January Assets|0|40178</t>
  </si>
  <si>
    <t>Aggregated Financials|January Equity|0|40178</t>
  </si>
  <si>
    <t>Aggregated Financials|LTM GLP|0|40178</t>
  </si>
  <si>
    <t>Aggregated Financials|Loan Loss Reserves|0|40178</t>
  </si>
  <si>
    <t>Aggregated Financials|Total Debt|0|40178</t>
  </si>
  <si>
    <t>Aggregated Financials|Financial Revenue|0|40178</t>
  </si>
  <si>
    <t>Aggregated Financials|Number of Active Borrowers|0|40178</t>
  </si>
  <si>
    <t>Aggregated Financials|Number of Active Loans|0|40178</t>
  </si>
  <si>
    <t>Aggregated Financials|PAR &gt;30|0|40178</t>
  </si>
  <si>
    <t>Aggregated Financials|R +R |0|40178</t>
  </si>
  <si>
    <t>Aggregated Financials|LTM Write-Offs|0|40178</t>
  </si>
  <si>
    <t>Aggregated Financials|Foreign Currency Exposure Asset|0|40178</t>
  </si>
  <si>
    <t>Aggregated Financials|Foreign Currency Liabilities|0|40178</t>
  </si>
  <si>
    <t>Aggregated Financials|Asset Hedges|0|40178</t>
  </si>
  <si>
    <t>Aggregated Financials|Liability Hedges|0|40178</t>
  </si>
  <si>
    <t>Aggregated Financials|PAR &gt;60|0|40178</t>
  </si>
  <si>
    <t>Aggregated Financials|Previous Month Equity|0|40178</t>
  </si>
  <si>
    <t>Aggregated Financials|MONTH FX|0|40178</t>
  </si>
  <si>
    <t>Aggregated Financials|LAST MONTH FX|0|40178</t>
  </si>
  <si>
    <t>Aggregated Financials|YTD FX|0|40178</t>
  </si>
  <si>
    <t>Aggregated Financials|LTM FX|0|40178</t>
  </si>
  <si>
    <t>Aggregated Financials|LTM Average GLP|0|40178</t>
  </si>
  <si>
    <t>Aggregated Financials|LTM Average Assets|0|40178</t>
  </si>
  <si>
    <t>Aggregated Financials|LTM Average Equity|0|40178</t>
  </si>
  <si>
    <t>Aggregated Financials|LTM Average Borrowings|0|40178</t>
  </si>
  <si>
    <t>Aggregated Financials|YTD Average Assets|0|40178</t>
  </si>
  <si>
    <t>Aggregated Financials|YTD Average GLP|0|40178</t>
  </si>
  <si>
    <t>Aggregated Financials|YTD Average Equity|0|40178</t>
  </si>
  <si>
    <t>Aggregated Financials|YTD Average Borrowings|0|40178</t>
  </si>
  <si>
    <t>Aggregated Financials|LTM Net Income|0|40178</t>
  </si>
  <si>
    <t>Aggregated Financials|LTM Financial Revenue|0|40178</t>
  </si>
  <si>
    <t>Aggregated Financials|LTM Financial Expense |0|40178</t>
  </si>
  <si>
    <t>Aggregated Financials|LTM Provisioning Expense |0|40178</t>
  </si>
  <si>
    <t>Aggregated Financials|LTM Operating Expense|0|40178</t>
  </si>
  <si>
    <t>Aggregated Financials|LTM Other Financial Income (Expense)|0|40178</t>
  </si>
  <si>
    <t>Aggregated Financials|Total Borrowings|0|40178</t>
  </si>
  <si>
    <t>Aggregated Financials|Total Interest Bearing Debt |0|40178</t>
  </si>
  <si>
    <t>Aggregated Financials|Savings Accounts|0|40178</t>
  </si>
  <si>
    <t>Aggregated Financials|Operating Expenses|0|40178</t>
  </si>
  <si>
    <t>Balance Sheet v2|Unrestricted|1|40543</t>
  </si>
  <si>
    <t>Balance Sheet v2|Restricted|1|40543</t>
  </si>
  <si>
    <t>Balance Sheet v2|Short Term Investment Securities|1|40543</t>
  </si>
  <si>
    <t>Balance Sheet v2|Less: reserve for probable loss on securities|1|40543</t>
  </si>
  <si>
    <t>Balance Sheet v2|Gross loan portfolio (Please include entire GLP)|1|40543</t>
  </si>
  <si>
    <t>Balance Sheet v2|Less: loan loss reserves|1|40543</t>
  </si>
  <si>
    <t>Balance Sheet v2|Accrued interest receivable|1|40543</t>
  </si>
  <si>
    <t>Balance Sheet v2|Other current assets|1|40543</t>
  </si>
  <si>
    <t>Balance Sheet v2|Gross Fixed Assets|1|40543</t>
  </si>
  <si>
    <t>Balance Sheet v2|Less: Depreciation|1|40543</t>
  </si>
  <si>
    <t>Balance Sheet v2|Less: Asset Sales and Write-Offs|1|40543</t>
  </si>
  <si>
    <t>Balance Sheet v2|Net intangible assets|1|40543</t>
  </si>
  <si>
    <t>Balance Sheet v2|Investments in Unconslidated Affiliates|1|40543</t>
  </si>
  <si>
    <t>Balance Sheet v2|Securitized Assets &amp; Off-Balance Sheet Items|1|40543</t>
  </si>
  <si>
    <t>Balance Sheet v2|Other Types|1|40543</t>
  </si>
  <si>
    <t>Balance Sheet v2|Demand Deposits|1|40543</t>
  </si>
  <si>
    <t>Balance Sheet v2|Time Deposits|1|40543</t>
  </si>
  <si>
    <t>Balance Sheet v2|Accrued interest payable|1|40543</t>
  </si>
  <si>
    <t>Balance Sheet v2|Senior Secured Debt (ST)|1|40543</t>
  </si>
  <si>
    <t>Balance Sheet v2|Senior Unsecured Debt (ST)|1|40543</t>
  </si>
  <si>
    <t>Balance Sheet v2|Current Portion of Long-Term Debt|1|40543</t>
  </si>
  <si>
    <t>Balance Sheet v2|Other current liabilities|1|40543</t>
  </si>
  <si>
    <t>Balance Sheet v2|Senior Secured Debt (LT)|1|40543</t>
  </si>
  <si>
    <t>Balance Sheet v2|-Revolving Credit Facility|1|40543</t>
  </si>
  <si>
    <t>Balance Sheet v2|-Bonds Issued|1|40543</t>
  </si>
  <si>
    <t>Balance Sheet v2|-Other|1|40543</t>
  </si>
  <si>
    <t>Balance Sheet v2|Subordinated Debt|1|40543</t>
  </si>
  <si>
    <t>Balance Sheet v2|Securitized loans &amp; off-balance sheet items|1|40543</t>
  </si>
  <si>
    <t>Balance Sheet v2|Others|1|40543</t>
  </si>
  <si>
    <t>Balance Sheet v2|Preferred Shares|1|40543</t>
  </si>
  <si>
    <t>Balance Sheet v2|Common Shares|1|40543</t>
  </si>
  <si>
    <t>Balance Sheet v2|Share Premium|1|40543</t>
  </si>
  <si>
    <t>Balance Sheet v2|Reserves, Donations &amp; Other|1|40543</t>
  </si>
  <si>
    <t>Balance Sheet v2|prior years|1|40543</t>
  </si>
  <si>
    <t>Balance Sheet v2|current years|1|40543</t>
  </si>
  <si>
    <t>Balance Sheet v2|Unrestricted|0|40939</t>
  </si>
  <si>
    <t>Balance Sheet v2|Restricted|0|40939</t>
  </si>
  <si>
    <t>Balance Sheet v2|Short Term Investment Securities|0|40939</t>
  </si>
  <si>
    <t>Balance Sheet v2|Less: reserve for probable loss on securities|0|40939</t>
  </si>
  <si>
    <t>Balance Sheet v2|Gross loan portfolio (Please include entire GLP)|0|40939</t>
  </si>
  <si>
    <t>Balance Sheet v2|Less: loan loss reserves|0|40939</t>
  </si>
  <si>
    <t>Balance Sheet v2|Accrued interest receivable|0|40939</t>
  </si>
  <si>
    <t>Balance Sheet v2|Other current assets|0|40939</t>
  </si>
  <si>
    <t>Balance Sheet v2|Gross Fixed Assets|0|40939</t>
  </si>
  <si>
    <t>Balance Sheet v2|Less: Depreciation|0|40939</t>
  </si>
  <si>
    <t>Balance Sheet v2|Less: Asset Sales and Write-Offs|0|40939</t>
  </si>
  <si>
    <t>Balance Sheet v2|Net intangible assets|0|40939</t>
  </si>
  <si>
    <t>Balance Sheet v2|Investments in Unconslidated Affiliates|0|40939</t>
  </si>
  <si>
    <t>Balance Sheet v2|Securitized Assets &amp; Off-Balance Sheet Items|0|40939</t>
  </si>
  <si>
    <t>Balance Sheet v2|Other Types|0|40939</t>
  </si>
  <si>
    <t>Balance Sheet v2|Demand Deposits|0|40939</t>
  </si>
  <si>
    <t>Balance Sheet v2|Time Deposits|0|40939</t>
  </si>
  <si>
    <t>Balance Sheet v2|Accrued interest payable|0|40939</t>
  </si>
  <si>
    <t>Balance Sheet v2|Senior Secured Debt (ST)|0|40939</t>
  </si>
  <si>
    <t>Balance Sheet v2|Senior Unsecured Debt (ST)|0|40939</t>
  </si>
  <si>
    <t>Balance Sheet v2|Current Portion of Long-Term Debt|0|40939</t>
  </si>
  <si>
    <t>Balance Sheet v2|Other current liabilities|0|40939</t>
  </si>
  <si>
    <t>Balance Sheet v2|Senior Secured Debt (LT)|0|40939</t>
  </si>
  <si>
    <t>Balance Sheet v2|-Revolving Credit Facility|0|40939</t>
  </si>
  <si>
    <t>Balance Sheet v2|-Bonds Issued|0|40939</t>
  </si>
  <si>
    <t>Balance Sheet v2|-Other|0|40939</t>
  </si>
  <si>
    <t>Balance Sheet v2|Subordinated Debt|0|40939</t>
  </si>
  <si>
    <t>Balance Sheet v2|Securitized loans &amp; off-balance sheet items|0|40939</t>
  </si>
  <si>
    <t>Balance Sheet v2|Others|0|40939</t>
  </si>
  <si>
    <t>Balance Sheet v2|Preferred Shares|0|40939</t>
  </si>
  <si>
    <t>Balance Sheet v2|Common Shares|0|40939</t>
  </si>
  <si>
    <t>Balance Sheet v2|Share Premium|0|40939</t>
  </si>
  <si>
    <t>Balance Sheet v2|Reserves, Donations &amp; Other|0|40939</t>
  </si>
  <si>
    <t>Balance Sheet v2|prior years|0|40939</t>
  </si>
  <si>
    <t>Balance Sheet v2|current years|0|40939</t>
  </si>
  <si>
    <t>Balance Sheet v2|Unrestricted|0|40968</t>
  </si>
  <si>
    <t>Balance Sheet v2|Restricted|0|40968</t>
  </si>
  <si>
    <t>Balance Sheet v2|Short Term Investment Securities|0|40968</t>
  </si>
  <si>
    <t>Balance Sheet v2|Less: reserve for probable loss on securities|0|40968</t>
  </si>
  <si>
    <t>Balance Sheet v2|Gross loan portfolio (Please include entire GLP)|0|40968</t>
  </si>
  <si>
    <t>Balance Sheet v2|Less: loan loss reserves|0|40968</t>
  </si>
  <si>
    <t>Balance Sheet v2|Accrued interest receivable|0|40968</t>
  </si>
  <si>
    <t>Balance Sheet v2|Other current assets|0|40968</t>
  </si>
  <si>
    <t>Balance Sheet v2|Gross Fixed Assets|0|40968</t>
  </si>
  <si>
    <t>Balance Sheet v2|Less: Depreciation|0|40968</t>
  </si>
  <si>
    <t>Balance Sheet v2|Less: Asset Sales and Write-Offs|0|40968</t>
  </si>
  <si>
    <t>Balance Sheet v2|Net intangible assets|0|40968</t>
  </si>
  <si>
    <t>Balance Sheet v2|Investments in Unconslidated Affiliates|0|40968</t>
  </si>
  <si>
    <t>Balance Sheet v2|Securitized Assets &amp; Off-Balance Sheet Items|0|40968</t>
  </si>
  <si>
    <t>Balance Sheet v2|Other Types|0|40968</t>
  </si>
  <si>
    <t>Balance Sheet v2|Demand Deposits|0|40968</t>
  </si>
  <si>
    <t>Balance Sheet v2|Time Deposits|0|40968</t>
  </si>
  <si>
    <t>Balance Sheet v2|Accrued interest payable|0|40968</t>
  </si>
  <si>
    <t>Balance Sheet v2|Senior Secured Debt (ST)|0|40968</t>
  </si>
  <si>
    <t>Balance Sheet v2|Senior Unsecured Debt (ST)|0|40968</t>
  </si>
  <si>
    <t>Balance Sheet v2|Current Portion of Long-Term Debt|0|40968</t>
  </si>
  <si>
    <t>Balance Sheet v2|Other current liabilities|0|40968</t>
  </si>
  <si>
    <t>Balance Sheet v2|Senior Secured Debt (LT)|0|40968</t>
  </si>
  <si>
    <t>Balance Sheet v2|-Revolving Credit Facility|0|40968</t>
  </si>
  <si>
    <t>Balance Sheet v2|-Bonds Issued|0|40968</t>
  </si>
  <si>
    <t>Balance Sheet v2|-Other|0|40968</t>
  </si>
  <si>
    <t>Balance Sheet v2|Subordinated Debt|0|40968</t>
  </si>
  <si>
    <t>Balance Sheet v2|Securitized loans &amp; off-balance sheet items|0|40968</t>
  </si>
  <si>
    <t>Balance Sheet v2|Others|0|40968</t>
  </si>
  <si>
    <t>Balance Sheet v2|Preferred Shares|0|40968</t>
  </si>
  <si>
    <t>Balance Sheet v2|Common Shares|0|40968</t>
  </si>
  <si>
    <t>Balance Sheet v2|Share Premium|0|40968</t>
  </si>
  <si>
    <t>Balance Sheet v2|Reserves, Donations &amp; Other|0|40968</t>
  </si>
  <si>
    <t>Balance Sheet v2|prior years|0|40968</t>
  </si>
  <si>
    <t>Balance Sheet v2|current years|0|40968</t>
  </si>
  <si>
    <t>Balance Sheet v2|Unrestricted|0|40999</t>
  </si>
  <si>
    <t>Balance Sheet v2|Restricted|0|40999</t>
  </si>
  <si>
    <t>Balance Sheet v2|Short Term Investment Securities|0|40999</t>
  </si>
  <si>
    <t>Balance Sheet v2|Less: reserve for probable loss on securities|0|40999</t>
  </si>
  <si>
    <t>Balance Sheet v2|Gross loan portfolio (Please include entire GLP)|0|40999</t>
  </si>
  <si>
    <t>Balance Sheet v2|Less: loan loss reserves|0|40999</t>
  </si>
  <si>
    <t>Balance Sheet v2|Accrued interest receivable|0|40999</t>
  </si>
  <si>
    <t>Balance Sheet v2|Other current assets|0|40999</t>
  </si>
  <si>
    <t>Balance Sheet v2|Gross Fixed Assets|0|40999</t>
  </si>
  <si>
    <t>Balance Sheet v2|Less: Depreciation|0|40999</t>
  </si>
  <si>
    <t>Balance Sheet v2|Less: Asset Sales and Write-Offs|0|40999</t>
  </si>
  <si>
    <t>Balance Sheet v2|Net intangible assets|0|40999</t>
  </si>
  <si>
    <t>Balance Sheet v2|Investments in Unconslidated Affiliates|0|40999</t>
  </si>
  <si>
    <t>Balance Sheet v2|Securitized Assets &amp; Off-Balance Sheet Items|0|40999</t>
  </si>
  <si>
    <t>Balance Sheet v2|Other Types|0|40999</t>
  </si>
  <si>
    <t>Balance Sheet v2|Demand Deposits|0|40999</t>
  </si>
  <si>
    <t>Balance Sheet v2|Time Deposits|0|40999</t>
  </si>
  <si>
    <t>Balance Sheet v2|Accrued interest payable|0|40999</t>
  </si>
  <si>
    <t>Balance Sheet v2|Senior Secured Debt (ST)|0|40999</t>
  </si>
  <si>
    <t>Balance Sheet v2|Senior Unsecured Debt (ST)|0|40999</t>
  </si>
  <si>
    <t>Balance Sheet v2|Current Portion of Long-Term Debt|0|40999</t>
  </si>
  <si>
    <t>Balance Sheet v2|Other current liabilities|0|40999</t>
  </si>
  <si>
    <t>Balance Sheet v2|Senior Secured Debt (LT)|0|40999</t>
  </si>
  <si>
    <t>Balance Sheet v2|-Revolving Credit Facility|0|40999</t>
  </si>
  <si>
    <t>Balance Sheet v2|-Bonds Issued|0|40999</t>
  </si>
  <si>
    <t>Balance Sheet v2|-Other|0|40999</t>
  </si>
  <si>
    <t>Balance Sheet v2|Subordinated Debt|0|40999</t>
  </si>
  <si>
    <t>Balance Sheet v2|Securitized loans &amp; off-balance sheet items|0|40999</t>
  </si>
  <si>
    <t>Balance Sheet v2|Others|0|40999</t>
  </si>
  <si>
    <t>Balance Sheet v2|Preferred Shares|0|40999</t>
  </si>
  <si>
    <t>Balance Sheet v2|Common Shares|0|40999</t>
  </si>
  <si>
    <t>Balance Sheet v2|Share Premium|0|40999</t>
  </si>
  <si>
    <t>Balance Sheet v2|Reserves, Donations &amp; Other|0|40999</t>
  </si>
  <si>
    <t>Balance Sheet v2|prior years|0|40999</t>
  </si>
  <si>
    <t>Balance Sheet v2|current years|0|40999</t>
  </si>
  <si>
    <t>Balance Sheet v2|Unrestricted|0|41029</t>
  </si>
  <si>
    <t>Balance Sheet v2|Restricted|0|41029</t>
  </si>
  <si>
    <t>Balance Sheet v2|Short Term Investment Securities|0|41029</t>
  </si>
  <si>
    <t>Balance Sheet v2|Less: reserve for probable loss on securities|0|41029</t>
  </si>
  <si>
    <t>Balance Sheet v2|Gross loan portfolio (Please include entire GLP)|0|41029</t>
  </si>
  <si>
    <t>Balance Sheet v2|Less: loan loss reserves|0|41029</t>
  </si>
  <si>
    <t>Balance Sheet v2|Accrued interest receivable|0|41029</t>
  </si>
  <si>
    <t>Balance Sheet v2|Other current assets|0|41029</t>
  </si>
  <si>
    <t>Balance Sheet v2|Gross Fixed Assets|0|41029</t>
  </si>
  <si>
    <t>Balance Sheet v2|Less: Depreciation|0|41029</t>
  </si>
  <si>
    <t>Balance Sheet v2|Less: Asset Sales and Write-Offs|0|41029</t>
  </si>
  <si>
    <t>Balance Sheet v2|Net intangible assets|0|41029</t>
  </si>
  <si>
    <t>Balance Sheet v2|Investments in Unconslidated Affiliates|0|41029</t>
  </si>
  <si>
    <t>Balance Sheet v2|Securitized Assets &amp; Off-Balance Sheet Items|0|41029</t>
  </si>
  <si>
    <t>Balance Sheet v2|Other Types|0|41029</t>
  </si>
  <si>
    <t>Balance Sheet v2|Demand Deposits|0|41029</t>
  </si>
  <si>
    <t>Balance Sheet v2|Time Deposits|0|41029</t>
  </si>
  <si>
    <t>Balance Sheet v2|Accrued interest payable|0|41029</t>
  </si>
  <si>
    <t>Balance Sheet v2|Senior Secured Debt (ST)|0|41029</t>
  </si>
  <si>
    <t>Balance Sheet v2|Senior Unsecured Debt (ST)|0|41029</t>
  </si>
  <si>
    <t>Balance Sheet v2|Current Portion of Long-Term Debt|0|41029</t>
  </si>
  <si>
    <t>Balance Sheet v2|Other current liabilities|0|41029</t>
  </si>
  <si>
    <t>Balance Sheet v2|Senior Secured Debt (LT)|0|41029</t>
  </si>
  <si>
    <t>Balance Sheet v2|-Revolving Credit Facility|0|41029</t>
  </si>
  <si>
    <t>Balance Sheet v2|-Bonds Issued|0|41029</t>
  </si>
  <si>
    <t>Balance Sheet v2|-Other|0|41029</t>
  </si>
  <si>
    <t>Balance Sheet v2|Subordinated Debt|0|41029</t>
  </si>
  <si>
    <t>Balance Sheet v2|Securitized loans &amp; off-balance sheet items|0|41029</t>
  </si>
  <si>
    <t>Balance Sheet v2|Others|0|41029</t>
  </si>
  <si>
    <t>Balance Sheet v2|Preferred Shares|0|41029</t>
  </si>
  <si>
    <t>Balance Sheet v2|Common Shares|0|41029</t>
  </si>
  <si>
    <t>Balance Sheet v2|Share Premium|0|41029</t>
  </si>
  <si>
    <t>Balance Sheet v2|Reserves, Donations &amp; Other|0|41029</t>
  </si>
  <si>
    <t>Balance Sheet v2|prior years|0|41029</t>
  </si>
  <si>
    <t>Balance Sheet v2|current years|0|41029</t>
  </si>
  <si>
    <t>Balance Sheet v2|Unrestricted|0|41060</t>
  </si>
  <si>
    <t>Balance Sheet v2|Restricted|0|41060</t>
  </si>
  <si>
    <t>Balance Sheet v2|Short Term Investment Securities|0|41060</t>
  </si>
  <si>
    <t>Balance Sheet v2|Less: reserve for probable loss on securities|0|41060</t>
  </si>
  <si>
    <t>Balance Sheet v2|Gross loan portfolio (Please include entire GLP)|0|41060</t>
  </si>
  <si>
    <t>Balance Sheet v2|Less: loan loss reserves|0|41060</t>
  </si>
  <si>
    <t>Balance Sheet v2|Accrued interest receivable|0|41060</t>
  </si>
  <si>
    <t>Balance Sheet v2|Other current assets|0|41060</t>
  </si>
  <si>
    <t>Balance Sheet v2|Gross Fixed Assets|0|41060</t>
  </si>
  <si>
    <t>Balance Sheet v2|Less: Depreciation|0|41060</t>
  </si>
  <si>
    <t>Balance Sheet v2|Less: Asset Sales and Write-Offs|0|41060</t>
  </si>
  <si>
    <t>Balance Sheet v2|Net intangible assets|0|41060</t>
  </si>
  <si>
    <t>Balance Sheet v2|Investments in Unconslidated Affiliates|0|41060</t>
  </si>
  <si>
    <t>Balance Sheet v2|Securitized Assets &amp; Off-Balance Sheet Items|0|41060</t>
  </si>
  <si>
    <t>Balance Sheet v2|Other Types|0|41060</t>
  </si>
  <si>
    <t>Balance Sheet v2|Demand Deposits|0|41060</t>
  </si>
  <si>
    <t>Balance Sheet v2|Time Deposits|0|41060</t>
  </si>
  <si>
    <t>Balance Sheet v2|Accrued interest payable|0|41060</t>
  </si>
  <si>
    <t>Balance Sheet v2|Senior Secured Debt (ST)|0|41060</t>
  </si>
  <si>
    <t>Balance Sheet v2|Senior Unsecured Debt (ST)|0|41060</t>
  </si>
  <si>
    <t>Balance Sheet v2|Current Portion of Long-Term Debt|0|41060</t>
  </si>
  <si>
    <t>Balance Sheet v2|Other current liabilities|0|41060</t>
  </si>
  <si>
    <t>Balance Sheet v2|Senior Secured Debt (LT)|0|41060</t>
  </si>
  <si>
    <t>Balance Sheet v2|-Revolving Credit Facility|0|41060</t>
  </si>
  <si>
    <t>Balance Sheet v2|-Bonds Issued|0|41060</t>
  </si>
  <si>
    <t>Balance Sheet v2|-Other|0|41060</t>
  </si>
  <si>
    <t>Balance Sheet v2|Subordinated Debt|0|41060</t>
  </si>
  <si>
    <t>Balance Sheet v2|Securitized loans &amp; off-balance sheet items|0|41060</t>
  </si>
  <si>
    <t>Balance Sheet v2|Others|0|41060</t>
  </si>
  <si>
    <t>Balance Sheet v2|Preferred Shares|0|41060</t>
  </si>
  <si>
    <t>Balance Sheet v2|Common Shares|0|41060</t>
  </si>
  <si>
    <t>Balance Sheet v2|Share Premium|0|41060</t>
  </si>
  <si>
    <t>Balance Sheet v2|Reserves, Donations &amp; Other|0|41060</t>
  </si>
  <si>
    <t>Balance Sheet v2|prior years|0|41060</t>
  </si>
  <si>
    <t>Balance Sheet v2|current years|0|41060</t>
  </si>
  <si>
    <t>Balance Sheet v2|Unrestricted|0|41090</t>
  </si>
  <si>
    <t>Balance Sheet v2|Restricted|0|41090</t>
  </si>
  <si>
    <t>Balance Sheet v2|Short Term Investment Securities|0|41090</t>
  </si>
  <si>
    <t>Balance Sheet v2|Less: reserve for probable loss on securities|0|41090</t>
  </si>
  <si>
    <t>Balance Sheet v2|Gross loan portfolio (Please include entire GLP)|0|41090</t>
  </si>
  <si>
    <t>Balance Sheet v2|Less: loan loss reserves|0|41090</t>
  </si>
  <si>
    <t>Balance Sheet v2|Accrued interest receivable|0|41090</t>
  </si>
  <si>
    <t>Balance Sheet v2|Other current assets|0|41090</t>
  </si>
  <si>
    <t>Balance Sheet v2|Gross Fixed Assets|0|41090</t>
  </si>
  <si>
    <t>Balance Sheet v2|Less: Depreciation|0|41090</t>
  </si>
  <si>
    <t>Balance Sheet v2|Less: Asset Sales and Write-Offs|0|41090</t>
  </si>
  <si>
    <t>Balance Sheet v2|Net intangible assets|0|41090</t>
  </si>
  <si>
    <t>Balance Sheet v2|Investments in Unconslidated Affiliates|0|41090</t>
  </si>
  <si>
    <t>Balance Sheet v2|Securitized Assets &amp; Off-Balance Sheet Items|0|41090</t>
  </si>
  <si>
    <t>Balance Sheet v2|Other Types|0|41090</t>
  </si>
  <si>
    <t>Balance Sheet v2|Demand Deposits|0|41090</t>
  </si>
  <si>
    <t>Balance Sheet v2|Time Deposits|0|41090</t>
  </si>
  <si>
    <t>Balance Sheet v2|Accrued interest payable|0|41090</t>
  </si>
  <si>
    <t>Balance Sheet v2|Senior Secured Debt (ST)|0|41090</t>
  </si>
  <si>
    <t>Balance Sheet v2|Senior Unsecured Debt (ST)|0|41090</t>
  </si>
  <si>
    <t>Balance Sheet v2|Current Portion of Long-Term Debt|0|41090</t>
  </si>
  <si>
    <t>Balance Sheet v2|Other current liabilities|0|41090</t>
  </si>
  <si>
    <t>Balance Sheet v2|Senior Secured Debt (LT)|0|41090</t>
  </si>
  <si>
    <t>Balance Sheet v2|-Revolving Credit Facility|0|41090</t>
  </si>
  <si>
    <t>Balance Sheet v2|-Bonds Issued|0|41090</t>
  </si>
  <si>
    <t>Balance Sheet v2|-Other|0|41090</t>
  </si>
  <si>
    <t>Balance Sheet v2|Subordinated Debt|0|41090</t>
  </si>
  <si>
    <t>Balance Sheet v2|Securitized loans &amp; off-balance sheet items|0|41090</t>
  </si>
  <si>
    <t>Balance Sheet v2|Others|0|41090</t>
  </si>
  <si>
    <t>Balance Sheet v2|Preferred Shares|0|41090</t>
  </si>
  <si>
    <t>Balance Sheet v2|Common Shares|0|41090</t>
  </si>
  <si>
    <t>Balance Sheet v2|Share Premium|0|41090</t>
  </si>
  <si>
    <t>Balance Sheet v2|Reserves, Donations &amp; Other|0|41090</t>
  </si>
  <si>
    <t>Balance Sheet v2|prior years|0|41090</t>
  </si>
  <si>
    <t>Balance Sheet v2|current years|0|41090</t>
  </si>
  <si>
    <t>Balance Sheet v2|Unrestricted|0|41121</t>
  </si>
  <si>
    <t>Balance Sheet v2|Restricted|0|41121</t>
  </si>
  <si>
    <t>Balance Sheet v2|Short Term Investment Securities|0|41121</t>
  </si>
  <si>
    <t>Balance Sheet v2|Less: reserve for probable loss on securities|0|41121</t>
  </si>
  <si>
    <t>Balance Sheet v2|Gross loan portfolio (Please include entire GLP)|0|41121</t>
  </si>
  <si>
    <t>Balance Sheet v2|Less: loan loss reserves|0|41121</t>
  </si>
  <si>
    <t>Balance Sheet v2|Accrued interest receivable|0|41121</t>
  </si>
  <si>
    <t>Balance Sheet v2|Other current assets|0|41121</t>
  </si>
  <si>
    <t>Balance Sheet v2|Gross Fixed Assets|0|41121</t>
  </si>
  <si>
    <t>Balance Sheet v2|Less: Depreciation|0|41121</t>
  </si>
  <si>
    <t>Balance Sheet v2|Less: Asset Sales and Write-Offs|0|41121</t>
  </si>
  <si>
    <t>Balance Sheet v2|Net intangible assets|0|41121</t>
  </si>
  <si>
    <t>Balance Sheet v2|Investments in Unconslidated Affiliates|0|41121</t>
  </si>
  <si>
    <t>Balance Sheet v2|Securitized Assets &amp; Off-Balance Sheet Items|0|41121</t>
  </si>
  <si>
    <t>Balance Sheet v2|Other Types|0|41121</t>
  </si>
  <si>
    <t>Balance Sheet v2|Demand Deposits|0|41121</t>
  </si>
  <si>
    <t>Balance Sheet v2|Time Deposits|0|41121</t>
  </si>
  <si>
    <t>Balance Sheet v2|Accrued interest payable|0|41121</t>
  </si>
  <si>
    <t>Balance Sheet v2|Senior Secured Debt (ST)|0|41121</t>
  </si>
  <si>
    <t>Balance Sheet v2|Senior Unsecured Debt (ST)|0|41121</t>
  </si>
  <si>
    <t>Balance Sheet v2|Current Portion of Long-Term Debt|0|41121</t>
  </si>
  <si>
    <t>Balance Sheet v2|Other current liabilities|0|41121</t>
  </si>
  <si>
    <t>Balance Sheet v2|Senior Secured Debt (LT)|0|41121</t>
  </si>
  <si>
    <t>Balance Sheet v2|-Revolving Credit Facility|0|41121</t>
  </si>
  <si>
    <t>Balance Sheet v2|-Bonds Issued|0|41121</t>
  </si>
  <si>
    <t>Balance Sheet v2|-Other|0|41121</t>
  </si>
  <si>
    <t>Balance Sheet v2|Subordinated Debt|0|41121</t>
  </si>
  <si>
    <t>Balance Sheet v2|Securitized loans &amp; off-balance sheet items|0|41121</t>
  </si>
  <si>
    <t>Balance Sheet v2|Others|0|41121</t>
  </si>
  <si>
    <t>Balance Sheet v2|Preferred Shares|0|41121</t>
  </si>
  <si>
    <t>Balance Sheet v2|Common Shares|0|41121</t>
  </si>
  <si>
    <t>Balance Sheet v2|Share Premium|0|41121</t>
  </si>
  <si>
    <t>Balance Sheet v2|Reserves, Donations &amp; Other|0|41121</t>
  </si>
  <si>
    <t>Balance Sheet v2|prior years|0|41121</t>
  </si>
  <si>
    <t>Balance Sheet v2|current years|0|41121</t>
  </si>
  <si>
    <t>Balance Sheet v2|Unrestricted|0|41152</t>
  </si>
  <si>
    <t>Balance Sheet v2|Restricted|0|41152</t>
  </si>
  <si>
    <t>Balance Sheet v2|Short Term Investment Securities|0|41152</t>
  </si>
  <si>
    <t>Balance Sheet v2|Less: reserve for probable loss on securities|0|41152</t>
  </si>
  <si>
    <t>Balance Sheet v2|Gross loan portfolio (Please include entire GLP)|0|41152</t>
  </si>
  <si>
    <t>Balance Sheet v2|Less: loan loss reserves|0|41152</t>
  </si>
  <si>
    <t>Balance Sheet v2|Accrued interest receivable|0|41152</t>
  </si>
  <si>
    <t>Balance Sheet v2|Other current assets|0|41152</t>
  </si>
  <si>
    <t>Balance Sheet v2|Gross Fixed Assets|0|41152</t>
  </si>
  <si>
    <t>Balance Sheet v2|Less: Depreciation|0|41152</t>
  </si>
  <si>
    <t>Balance Sheet v2|Less: Asset Sales and Write-Offs|0|41152</t>
  </si>
  <si>
    <t>Balance Sheet v2|Net intangible assets|0|41152</t>
  </si>
  <si>
    <t>Balance Sheet v2|Investments in Unconslidated Affiliates|0|41152</t>
  </si>
  <si>
    <t>Balance Sheet v2|Securitized Assets &amp; Off-Balance Sheet Items|0|41152</t>
  </si>
  <si>
    <t>Balance Sheet v2|Other Types|0|41152</t>
  </si>
  <si>
    <t>Balance Sheet v2|Demand Deposits|0|41152</t>
  </si>
  <si>
    <t>Balance Sheet v2|Time Deposits|0|41152</t>
  </si>
  <si>
    <t>Balance Sheet v2|Accrued interest payable|0|41152</t>
  </si>
  <si>
    <t>Balance Sheet v2|Senior Secured Debt (ST)|0|41152</t>
  </si>
  <si>
    <t>Balance Sheet v2|Senior Unsecured Debt (ST)|0|41152</t>
  </si>
  <si>
    <t>Balance Sheet v2|Current Portion of Long-Term Debt|0|41152</t>
  </si>
  <si>
    <t>Balance Sheet v2|Other current liabilities|0|41152</t>
  </si>
  <si>
    <t>Balance Sheet v2|Senior Secured Debt (LT)|0|41152</t>
  </si>
  <si>
    <t>Balance Sheet v2|-Revolving Credit Facility|0|41152</t>
  </si>
  <si>
    <t>Balance Sheet v2|-Bonds Issued|0|41152</t>
  </si>
  <si>
    <t>Balance Sheet v2|-Other|0|41152</t>
  </si>
  <si>
    <t>Balance Sheet v2|Subordinated Debt|0|41152</t>
  </si>
  <si>
    <t>Balance Sheet v2|Securitized loans &amp; off-balance sheet items|0|41152</t>
  </si>
  <si>
    <t>Balance Sheet v2|Others|0|41152</t>
  </si>
  <si>
    <t>Balance Sheet v2|Preferred Shares|0|41152</t>
  </si>
  <si>
    <t>Balance Sheet v2|Common Shares|0|41152</t>
  </si>
  <si>
    <t>Balance Sheet v2|Share Premium|0|41152</t>
  </si>
  <si>
    <t>Balance Sheet v2|Reserves, Donations &amp; Other|0|41152</t>
  </si>
  <si>
    <t>Balance Sheet v2|prior years|0|41152</t>
  </si>
  <si>
    <t>Balance Sheet v2|current years|0|41152</t>
  </si>
  <si>
    <t>Balance Sheet v2|Unrestricted|0|41182</t>
  </si>
  <si>
    <t>Balance Sheet v2|Restricted|0|41182</t>
  </si>
  <si>
    <t>Balance Sheet v2|Short Term Investment Securities|0|41182</t>
  </si>
  <si>
    <t>Balance Sheet v2|Less: reserve for probable loss on securities|0|41182</t>
  </si>
  <si>
    <t>Balance Sheet v2|Gross loan portfolio (Please include entire GLP)|0|41182</t>
  </si>
  <si>
    <t>Balance Sheet v2|Less: loan loss reserves|0|41182</t>
  </si>
  <si>
    <t>Balance Sheet v2|Accrued interest receivable|0|41182</t>
  </si>
  <si>
    <t>Balance Sheet v2|Other current assets|0|41182</t>
  </si>
  <si>
    <t>Balance Sheet v2|Gross Fixed Assets|0|41182</t>
  </si>
  <si>
    <t>Balance Sheet v2|Less: Depreciation|0|41182</t>
  </si>
  <si>
    <t>Balance Sheet v2|Less: Asset Sales and Write-Offs|0|41182</t>
  </si>
  <si>
    <t>Balance Sheet v2|Net intangible assets|0|41182</t>
  </si>
  <si>
    <t>Balance Sheet v2|Investments in Unconslidated Affiliates|0|41182</t>
  </si>
  <si>
    <t>Balance Sheet v2|Securitized Assets &amp; Off-Balance Sheet Items|0|41182</t>
  </si>
  <si>
    <t>Balance Sheet v2|Other Types|0|41182</t>
  </si>
  <si>
    <t>Balance Sheet v2|Demand Deposits|0|41182</t>
  </si>
  <si>
    <t>Balance Sheet v2|Time Deposits|0|41182</t>
  </si>
  <si>
    <t>Balance Sheet v2|Accrued interest payable|0|41182</t>
  </si>
  <si>
    <t>Balance Sheet v2|Senior Secured Debt (ST)|0|41182</t>
  </si>
  <si>
    <t>Balance Sheet v2|Senior Unsecured Debt (ST)|0|41182</t>
  </si>
  <si>
    <t>Balance Sheet v2|Current Portion of Long-Term Debt|0|41182</t>
  </si>
  <si>
    <t>Balance Sheet v2|Other current liabilities|0|41182</t>
  </si>
  <si>
    <t>Balance Sheet v2|Senior Secured Debt (LT)|0|41182</t>
  </si>
  <si>
    <t>Balance Sheet v2|-Revolving Credit Facility|0|41182</t>
  </si>
  <si>
    <t>Balance Sheet v2|-Bonds Issued|0|41182</t>
  </si>
  <si>
    <t>Balance Sheet v2|-Other|0|41182</t>
  </si>
  <si>
    <t>Balance Sheet v2|Subordinated Debt|0|41182</t>
  </si>
  <si>
    <t>Balance Sheet v2|Securitized loans &amp; off-balance sheet items|0|41182</t>
  </si>
  <si>
    <t>Balance Sheet v2|Others|0|41182</t>
  </si>
  <si>
    <t>Balance Sheet v2|Preferred Shares|0|41182</t>
  </si>
  <si>
    <t>Balance Sheet v2|Common Shares|0|41182</t>
  </si>
  <si>
    <t>Balance Sheet v2|Share Premium|0|41182</t>
  </si>
  <si>
    <t>Balance Sheet v2|Reserves, Donations &amp; Other|0|41182</t>
  </si>
  <si>
    <t>Balance Sheet v2|prior years|0|41182</t>
  </si>
  <si>
    <t>Balance Sheet v2|current years|0|41182</t>
  </si>
  <si>
    <t>Balance Sheet v2|Unrestricted|0|41213</t>
  </si>
  <si>
    <t>Balance Sheet v2|Restricted|0|41213</t>
  </si>
  <si>
    <t>Balance Sheet v2|Short Term Investment Securities|0|41213</t>
  </si>
  <si>
    <t>Balance Sheet v2|Less: reserve for probable loss on securities|0|41213</t>
  </si>
  <si>
    <t>Balance Sheet v2|Gross loan portfolio (Please include entire GLP)|0|41213</t>
  </si>
  <si>
    <t>Balance Sheet v2|Less: loan loss reserves|0|41213</t>
  </si>
  <si>
    <t>Balance Sheet v2|Accrued interest receivable|0|41213</t>
  </si>
  <si>
    <t>Balance Sheet v2|Other current assets|0|41213</t>
  </si>
  <si>
    <t>Balance Sheet v2|Gross Fixed Assets|0|41213</t>
  </si>
  <si>
    <t>Balance Sheet v2|Less: Depreciation|0|41213</t>
  </si>
  <si>
    <t>Balance Sheet v2|Less: Asset Sales and Write-Offs|0|41213</t>
  </si>
  <si>
    <t>Balance Sheet v2|Net intangible assets|0|41213</t>
  </si>
  <si>
    <t>Balance Sheet v2|Investments in Unconslidated Affiliates|0|41213</t>
  </si>
  <si>
    <t>Balance Sheet v2|Securitized Assets &amp; Off-Balance Sheet Items|0|41213</t>
  </si>
  <si>
    <t>Balance Sheet v2|Other Types|0|41213</t>
  </si>
  <si>
    <t>Balance Sheet v2|Demand Deposits|0|41213</t>
  </si>
  <si>
    <t>Balance Sheet v2|Time Deposits|0|41213</t>
  </si>
  <si>
    <t>Balance Sheet v2|Accrued interest payable|0|41213</t>
  </si>
  <si>
    <t>Balance Sheet v2|Senior Secured Debt (ST)|0|41213</t>
  </si>
  <si>
    <t>Balance Sheet v2|Senior Unsecured Debt (ST)|0|41213</t>
  </si>
  <si>
    <t>Balance Sheet v2|Current Portion of Long-Term Debt|0|41213</t>
  </si>
  <si>
    <t>Balance Sheet v2|Other current liabilities|0|41213</t>
  </si>
  <si>
    <t>Balance Sheet v2|Senior Secured Debt (LT)|0|41213</t>
  </si>
  <si>
    <t>Balance Sheet v2|-Revolving Credit Facility|0|41213</t>
  </si>
  <si>
    <t>Balance Sheet v2|-Bonds Issued|0|41213</t>
  </si>
  <si>
    <t>Balance Sheet v2|-Other|0|41213</t>
  </si>
  <si>
    <t>Balance Sheet v2|Subordinated Debt|0|41213</t>
  </si>
  <si>
    <t>Balance Sheet v2|Securitized loans &amp; off-balance sheet items|0|41213</t>
  </si>
  <si>
    <t>Balance Sheet v2|Others|0|41213</t>
  </si>
  <si>
    <t>Balance Sheet v2|Preferred Shares|0|41213</t>
  </si>
  <si>
    <t>Balance Sheet v2|Common Shares|0|41213</t>
  </si>
  <si>
    <t>Balance Sheet v2|Share Premium|0|41213</t>
  </si>
  <si>
    <t>Balance Sheet v2|Reserves, Donations &amp; Other|0|41213</t>
  </si>
  <si>
    <t>Balance Sheet v2|prior years|0|41213</t>
  </si>
  <si>
    <t>Balance Sheet v2|current years|0|41213</t>
  </si>
  <si>
    <t>Balance Sheet v2|Unrestricted|0|41243</t>
  </si>
  <si>
    <t>Balance Sheet v2|Restricted|0|41243</t>
  </si>
  <si>
    <t>Balance Sheet v2|Short Term Investment Securities|0|41243</t>
  </si>
  <si>
    <t>Balance Sheet v2|Less: reserve for probable loss on securities|0|41243</t>
  </si>
  <si>
    <t>Balance Sheet v2|Gross loan portfolio (Please include entire GLP)|0|41243</t>
  </si>
  <si>
    <t>Balance Sheet v2|Less: loan loss reserves|0|41243</t>
  </si>
  <si>
    <t>Balance Sheet v2|Accrued interest receivable|0|41243</t>
  </si>
  <si>
    <t>Balance Sheet v2|Other current assets|0|41243</t>
  </si>
  <si>
    <t>Balance Sheet v2|Gross Fixed Assets|0|41243</t>
  </si>
  <si>
    <t>Balance Sheet v2|Less: Depreciation|0|41243</t>
  </si>
  <si>
    <t>Balance Sheet v2|Less: Asset Sales and Write-Offs|0|41243</t>
  </si>
  <si>
    <t>Balance Sheet v2|Net intangible assets|0|41243</t>
  </si>
  <si>
    <t>Balance Sheet v2|Investments in Unconslidated Affiliates|0|41243</t>
  </si>
  <si>
    <t>Balance Sheet v2|Securitized Assets &amp; Off-Balance Sheet Items|0|41243</t>
  </si>
  <si>
    <t>Balance Sheet v2|Other Types|0|41243</t>
  </si>
  <si>
    <t>Balance Sheet v2|Demand Deposits|0|41243</t>
  </si>
  <si>
    <t>Balance Sheet v2|Time Deposits|0|41243</t>
  </si>
  <si>
    <t>Balance Sheet v2|Accrued interest payable|0|41243</t>
  </si>
  <si>
    <t>Balance Sheet v2|Senior Secured Debt (ST)|0|41243</t>
  </si>
  <si>
    <t>Balance Sheet v2|Senior Unsecured Debt (ST)|0|41243</t>
  </si>
  <si>
    <t>Balance Sheet v2|Current Portion of Long-Term Debt|0|41243</t>
  </si>
  <si>
    <t>Balance Sheet v2|Other current liabilities|0|41243</t>
  </si>
  <si>
    <t>Balance Sheet v2|Senior Secured Debt (LT)|0|41243</t>
  </si>
  <si>
    <t>Balance Sheet v2|-Revolving Credit Facility|0|41243</t>
  </si>
  <si>
    <t>Balance Sheet v2|-Bonds Issued|0|41243</t>
  </si>
  <si>
    <t>Balance Sheet v2|-Other|0|41243</t>
  </si>
  <si>
    <t>Balance Sheet v2|Subordinated Debt|0|41243</t>
  </si>
  <si>
    <t>Balance Sheet v2|Securitized loans &amp; off-balance sheet items|0|41243</t>
  </si>
  <si>
    <t>Balance Sheet v2|Others|0|41243</t>
  </si>
  <si>
    <t>Balance Sheet v2|Preferred Shares|0|41243</t>
  </si>
  <si>
    <t>Balance Sheet v2|Common Shares|0|41243</t>
  </si>
  <si>
    <t>Balance Sheet v2|Share Premium|0|41243</t>
  </si>
  <si>
    <t>Balance Sheet v2|Reserves, Donations &amp; Other|0|41243</t>
  </si>
  <si>
    <t>Balance Sheet v2|prior years|0|41243</t>
  </si>
  <si>
    <t>Balance Sheet v2|current years|0|41243</t>
  </si>
  <si>
    <t>Balance Sheet v2|Unrestricted|0|41274</t>
  </si>
  <si>
    <t>Balance Sheet v2|Restricted|0|41274</t>
  </si>
  <si>
    <t>Balance Sheet v2|Short Term Investment Securities|0|41274</t>
  </si>
  <si>
    <t>Balance Sheet v2|Less: reserve for probable loss on securities|0|41274</t>
  </si>
  <si>
    <t>Balance Sheet v2|Gross loan portfolio (Please include entire GLP)|0|41274</t>
  </si>
  <si>
    <t>Balance Sheet v2|Less: loan loss reserves|0|41274</t>
  </si>
  <si>
    <t>Balance Sheet v2|Accrued interest receivable|0|41274</t>
  </si>
  <si>
    <t>Balance Sheet v2|Other current assets|0|41274</t>
  </si>
  <si>
    <t>Balance Sheet v2|Gross Fixed Assets|0|41274</t>
  </si>
  <si>
    <t>Balance Sheet v2|Less: Depreciation|0|41274</t>
  </si>
  <si>
    <t>Balance Sheet v2|Less: Asset Sales and Write-Offs|0|41274</t>
  </si>
  <si>
    <t>Balance Sheet v2|Net intangible assets|0|41274</t>
  </si>
  <si>
    <t>Balance Sheet v2|Investments in Unconslidated Affiliates|0|41274</t>
  </si>
  <si>
    <t>Balance Sheet v2|Securitized Assets &amp; Off-Balance Sheet Items|0|41274</t>
  </si>
  <si>
    <t>Balance Sheet v2|Other Types|0|41274</t>
  </si>
  <si>
    <t>Balance Sheet v2|Demand Deposits|0|41274</t>
  </si>
  <si>
    <t>Balance Sheet v2|Time Deposits|0|41274</t>
  </si>
  <si>
    <t>Balance Sheet v2|Accrued interest payable|0|41274</t>
  </si>
  <si>
    <t>Balance Sheet v2|Senior Secured Debt (ST)|0|41274</t>
  </si>
  <si>
    <t>Balance Sheet v2|Senior Unsecured Debt (ST)|0|41274</t>
  </si>
  <si>
    <t>Balance Sheet v2|Current Portion of Long-Term Debt|0|41274</t>
  </si>
  <si>
    <t>Balance Sheet v2|Other current liabilities|0|41274</t>
  </si>
  <si>
    <t>Balance Sheet v2|Senior Secured Debt (LT)|0|41274</t>
  </si>
  <si>
    <t>Balance Sheet v2|-Revolving Credit Facility|0|41274</t>
  </si>
  <si>
    <t>Balance Sheet v2|-Bonds Issued|0|41274</t>
  </si>
  <si>
    <t>Balance Sheet v2|-Other|0|41274</t>
  </si>
  <si>
    <t>Balance Sheet v2|Subordinated Debt|0|41274</t>
  </si>
  <si>
    <t>Balance Sheet v2|Securitized loans &amp; off-balance sheet items|0|41274</t>
  </si>
  <si>
    <t>Balance Sheet v2|Others|0|41274</t>
  </si>
  <si>
    <t>Balance Sheet v2|Preferred Shares|0|41274</t>
  </si>
  <si>
    <t>Balance Sheet v2|Common Shares|0|41274</t>
  </si>
  <si>
    <t>Balance Sheet v2|Share Premium|0|41274</t>
  </si>
  <si>
    <t>Balance Sheet v2|Reserves, Donations &amp; Other|0|41274</t>
  </si>
  <si>
    <t>Balance Sheet v2|prior years|0|41274</t>
  </si>
  <si>
    <t>Balance Sheet v2|current years|0|41274</t>
  </si>
  <si>
    <t>Currency Exposure v2|Cash|1|40543</t>
  </si>
  <si>
    <t>Currency Exposure v2|Portfolio|1|40543</t>
  </si>
  <si>
    <t>Currency Exposure v2|Other Assets|1|40543</t>
  </si>
  <si>
    <t>Currency Exposure v2|Savings|1|40543</t>
  </si>
  <si>
    <t>Currency Exposure v2|Borrowings|1|40543</t>
  </si>
  <si>
    <t>Currency Exposure v2|Other Liabilities|1|40543</t>
  </si>
  <si>
    <t>Currency Exposure v2|Deposits for Back-to-Back Loans|1|40543</t>
  </si>
  <si>
    <t>Currency Exposure v2|Options|1|40543</t>
  </si>
  <si>
    <t>Currency Exposure v2|Forwards|1|40543</t>
  </si>
  <si>
    <t>Currency Exposure v2|Swaps|1|40543</t>
  </si>
  <si>
    <t>Currency Exposure v2|Back-to-back Loans|1|40543</t>
  </si>
  <si>
    <t>Currency Exposure v2|Options-L|1|40543</t>
  </si>
  <si>
    <t>Currency Exposure v2|Forwards-L|1|40543</t>
  </si>
  <si>
    <t>Currency Exposure v2|Swaps-L|1|40543</t>
  </si>
  <si>
    <t>Currency Exposure v2|Cash|0|40939</t>
  </si>
  <si>
    <t>Currency Exposure v2|Portfolio|0|40939</t>
  </si>
  <si>
    <t>Currency Exposure v2|Other Assets|0|40939</t>
  </si>
  <si>
    <t>Currency Exposure v2|Savings|0|40939</t>
  </si>
  <si>
    <t>Currency Exposure v2|Borrowings|0|40939</t>
  </si>
  <si>
    <t>Currency Exposure v2|Other Liabilities|0|40939</t>
  </si>
  <si>
    <t>Currency Exposure v2|Deposits for Back-to-Back Loans|0|40939</t>
  </si>
  <si>
    <t>Currency Exposure v2|Options|0|40939</t>
  </si>
  <si>
    <t>Currency Exposure v2|Forwards|0|40939</t>
  </si>
  <si>
    <t>Currency Exposure v2|Swaps|0|40939</t>
  </si>
  <si>
    <t>Currency Exposure v2|Back-to-back Loans|0|40939</t>
  </si>
  <si>
    <t>Currency Exposure v2|Options-L|0|40939</t>
  </si>
  <si>
    <t>Currency Exposure v2|Forwards-L|0|40939</t>
  </si>
  <si>
    <t>Currency Exposure v2|Swaps-L|0|40939</t>
  </si>
  <si>
    <t>Currency Exposure v2|Cash|0|40968</t>
  </si>
  <si>
    <t>Currency Exposure v2|Portfolio|0|40968</t>
  </si>
  <si>
    <t>Currency Exposure v2|Other Assets|0|40968</t>
  </si>
  <si>
    <t>Currency Exposure v2|Savings|0|40968</t>
  </si>
  <si>
    <t>Currency Exposure v2|Borrowings|0|40968</t>
  </si>
  <si>
    <t>Currency Exposure v2|Other Liabilities|0|40968</t>
  </si>
  <si>
    <t>Currency Exposure v2|Deposits for Back-to-Back Loans|0|40968</t>
  </si>
  <si>
    <t>Currency Exposure v2|Options|0|40968</t>
  </si>
  <si>
    <t>Currency Exposure v2|Forwards|0|40968</t>
  </si>
  <si>
    <t>Currency Exposure v2|Swaps|0|40968</t>
  </si>
  <si>
    <t>Currency Exposure v2|Back-to-back Loans|0|40968</t>
  </si>
  <si>
    <t>Currency Exposure v2|Options-L|0|40968</t>
  </si>
  <si>
    <t>Currency Exposure v2|Forwards-L|0|40968</t>
  </si>
  <si>
    <t>Currency Exposure v2|Swaps-L|0|40968</t>
  </si>
  <si>
    <t>Currency Exposure v2|Cash|0|40999</t>
  </si>
  <si>
    <t>Currency Exposure v2|Portfolio|0|40999</t>
  </si>
  <si>
    <t>Currency Exposure v2|Other Assets|0|40999</t>
  </si>
  <si>
    <t>Currency Exposure v2|Savings|0|40999</t>
  </si>
  <si>
    <t>Currency Exposure v2|Borrowings|0|40999</t>
  </si>
  <si>
    <t>Currency Exposure v2|Other Liabilities|0|40999</t>
  </si>
  <si>
    <t>Currency Exposure v2|Deposits for Back-to-Back Loans|0|40999</t>
  </si>
  <si>
    <t>Currency Exposure v2|Options|0|40999</t>
  </si>
  <si>
    <t>Currency Exposure v2|Forwards|0|40999</t>
  </si>
  <si>
    <t>Currency Exposure v2|Swaps|0|40999</t>
  </si>
  <si>
    <t>Currency Exposure v2|Back-to-back Loans|0|40999</t>
  </si>
  <si>
    <t>Currency Exposure v2|Options-L|0|40999</t>
  </si>
  <si>
    <t>Currency Exposure v2|Forwards-L|0|40999</t>
  </si>
  <si>
    <t>Currency Exposure v2|Swaps-L|0|40999</t>
  </si>
  <si>
    <t>Currency Exposure v2|Cash|0|41029</t>
  </si>
  <si>
    <t>Currency Exposure v2|Portfolio|0|41029</t>
  </si>
  <si>
    <t>Currency Exposure v2|Other Assets|0|41029</t>
  </si>
  <si>
    <t>Currency Exposure v2|Savings|0|41029</t>
  </si>
  <si>
    <t>Currency Exposure v2|Borrowings|0|41029</t>
  </si>
  <si>
    <t>Currency Exposure v2|Other Liabilities|0|41029</t>
  </si>
  <si>
    <t>Currency Exposure v2|Deposits for Back-to-Back Loans|0|41029</t>
  </si>
  <si>
    <t>Currency Exposure v2|Options|0|41029</t>
  </si>
  <si>
    <t>Currency Exposure v2|Forwards|0|41029</t>
  </si>
  <si>
    <t>Currency Exposure v2|Swaps|0|41029</t>
  </si>
  <si>
    <t>Currency Exposure v2|Back-to-back Loans|0|41029</t>
  </si>
  <si>
    <t>Currency Exposure v2|Options-L|0|41029</t>
  </si>
  <si>
    <t>Currency Exposure v2|Forwards-L|0|41029</t>
  </si>
  <si>
    <t>Currency Exposure v2|Swaps-L|0|41029</t>
  </si>
  <si>
    <t>Currency Exposure v2|Cash|0|41060</t>
  </si>
  <si>
    <t>Currency Exposure v2|Portfolio|0|41060</t>
  </si>
  <si>
    <t>Currency Exposure v2|Other Assets|0|41060</t>
  </si>
  <si>
    <t>Currency Exposure v2|Savings|0|41060</t>
  </si>
  <si>
    <t>Currency Exposure v2|Borrowings|0|41060</t>
  </si>
  <si>
    <t>Currency Exposure v2|Other Liabilities|0|41060</t>
  </si>
  <si>
    <t>Currency Exposure v2|Deposits for Back-to-Back Loans|0|41060</t>
  </si>
  <si>
    <t>Currency Exposure v2|Options|0|41060</t>
  </si>
  <si>
    <t>Currency Exposure v2|Forwards|0|41060</t>
  </si>
  <si>
    <t>Currency Exposure v2|Swaps|0|41060</t>
  </si>
  <si>
    <t>Currency Exposure v2|Back-to-back Loans|0|41060</t>
  </si>
  <si>
    <t>Currency Exposure v2|Options-L|0|41060</t>
  </si>
  <si>
    <t>Currency Exposure v2|Forwards-L|0|41060</t>
  </si>
  <si>
    <t>Currency Exposure v2|Swaps-L|0|41060</t>
  </si>
  <si>
    <t>Currency Exposure v2|Cash|0|41090</t>
  </si>
  <si>
    <t>Currency Exposure v2|Portfolio|0|41090</t>
  </si>
  <si>
    <t>Currency Exposure v2|Other Assets|0|41090</t>
  </si>
  <si>
    <t>Currency Exposure v2|Savings|0|41090</t>
  </si>
  <si>
    <t>Currency Exposure v2|Borrowings|0|41090</t>
  </si>
  <si>
    <t>Currency Exposure v2|Other Liabilities|0|41090</t>
  </si>
  <si>
    <t>Currency Exposure v2|Deposits for Back-to-Back Loans|0|41090</t>
  </si>
  <si>
    <t>Currency Exposure v2|Options|0|41090</t>
  </si>
  <si>
    <t>Currency Exposure v2|Forwards|0|41090</t>
  </si>
  <si>
    <t>Currency Exposure v2|Swaps|0|41090</t>
  </si>
  <si>
    <t>Currency Exposure v2|Back-to-back Loans|0|41090</t>
  </si>
  <si>
    <t>Currency Exposure v2|Options-L|0|41090</t>
  </si>
  <si>
    <t>Currency Exposure v2|Forwards-L|0|41090</t>
  </si>
  <si>
    <t>Currency Exposure v2|Swaps-L|0|41090</t>
  </si>
  <si>
    <t>Currency Exposure v2|Cash|0|41121</t>
  </si>
  <si>
    <t>Currency Exposure v2|Portfolio|0|41121</t>
  </si>
  <si>
    <t>Currency Exposure v2|Other Assets|0|41121</t>
  </si>
  <si>
    <t>Currency Exposure v2|Savings|0|41121</t>
  </si>
  <si>
    <t>Currency Exposure v2|Borrowings|0|41121</t>
  </si>
  <si>
    <t>Currency Exposure v2|Other Liabilities|0|41121</t>
  </si>
  <si>
    <t>Currency Exposure v2|Deposits for Back-to-Back Loans|0|41121</t>
  </si>
  <si>
    <t>Currency Exposure v2|Options|0|41121</t>
  </si>
  <si>
    <t>Currency Exposure v2|Forwards|0|41121</t>
  </si>
  <si>
    <t>Currency Exposure v2|Swaps|0|41121</t>
  </si>
  <si>
    <t>Currency Exposure v2|Back-to-back Loans|0|41121</t>
  </si>
  <si>
    <t>Currency Exposure v2|Options-L|0|41121</t>
  </si>
  <si>
    <t>Currency Exposure v2|Forwards-L|0|41121</t>
  </si>
  <si>
    <t>Currency Exposure v2|Swaps-L|0|41121</t>
  </si>
  <si>
    <t>Currency Exposure v2|Cash|0|41152</t>
  </si>
  <si>
    <t>Currency Exposure v2|Portfolio|0|41152</t>
  </si>
  <si>
    <t>Currency Exposure v2|Other Assets|0|41152</t>
  </si>
  <si>
    <t>Currency Exposure v2|Savings|0|41152</t>
  </si>
  <si>
    <t>Currency Exposure v2|Borrowings|0|41152</t>
  </si>
  <si>
    <t>Currency Exposure v2|Other Liabilities|0|41152</t>
  </si>
  <si>
    <t>Currency Exposure v2|Deposits for Back-to-Back Loans|0|41152</t>
  </si>
  <si>
    <t>Currency Exposure v2|Options|0|41152</t>
  </si>
  <si>
    <t>Currency Exposure v2|Forwards|0|41152</t>
  </si>
  <si>
    <t>Currency Exposure v2|Swaps|0|41152</t>
  </si>
  <si>
    <t>Currency Exposure v2|Back-to-back Loans|0|41152</t>
  </si>
  <si>
    <t>Currency Exposure v2|Options-L|0|41152</t>
  </si>
  <si>
    <t>Currency Exposure v2|Forwards-L|0|41152</t>
  </si>
  <si>
    <t>Currency Exposure v2|Swaps-L|0|41152</t>
  </si>
  <si>
    <t>Currency Exposure v2|Cash|0|41182</t>
  </si>
  <si>
    <t>Currency Exposure v2|Portfolio|0|41182</t>
  </si>
  <si>
    <t>Currency Exposure v2|Other Assets|0|41182</t>
  </si>
  <si>
    <t>Currency Exposure v2|Savings|0|41182</t>
  </si>
  <si>
    <t>Currency Exposure v2|Borrowings|0|41182</t>
  </si>
  <si>
    <t>Currency Exposure v2|Other Liabilities|0|41182</t>
  </si>
  <si>
    <t>Currency Exposure v2|Deposits for Back-to-Back Loans|0|41182</t>
  </si>
  <si>
    <t>Currency Exposure v2|Options|0|41182</t>
  </si>
  <si>
    <t>Currency Exposure v2|Forwards|0|41182</t>
  </si>
  <si>
    <t>Currency Exposure v2|Swaps|0|41182</t>
  </si>
  <si>
    <t>Currency Exposure v2|Back-to-back Loans|0|41182</t>
  </si>
  <si>
    <t>Currency Exposure v2|Options-L|0|41182</t>
  </si>
  <si>
    <t>Currency Exposure v2|Forwards-L|0|41182</t>
  </si>
  <si>
    <t>Currency Exposure v2|Swaps-L|0|41182</t>
  </si>
  <si>
    <t>Currency Exposure v2|Cash|0|41213</t>
  </si>
  <si>
    <t>Currency Exposure v2|Portfolio|0|41213</t>
  </si>
  <si>
    <t>Currency Exposure v2|Other Assets|0|41213</t>
  </si>
  <si>
    <t>Currency Exposure v2|Savings|0|41213</t>
  </si>
  <si>
    <t>Currency Exposure v2|Borrowings|0|41213</t>
  </si>
  <si>
    <t>Currency Exposure v2|Other Liabilities|0|41213</t>
  </si>
  <si>
    <t>Currency Exposure v2|Deposits for Back-to-Back Loans|0|41213</t>
  </si>
  <si>
    <t>Currency Exposure v2|Options|0|41213</t>
  </si>
  <si>
    <t>Currency Exposure v2|Forwards|0|41213</t>
  </si>
  <si>
    <t>Currency Exposure v2|Swaps|0|41213</t>
  </si>
  <si>
    <t>Currency Exposure v2|Back-to-back Loans|0|41213</t>
  </si>
  <si>
    <t>Currency Exposure v2|Options-L|0|41213</t>
  </si>
  <si>
    <t>Currency Exposure v2|Forwards-L|0|41213</t>
  </si>
  <si>
    <t>Currency Exposure v2|Swaps-L|0|41213</t>
  </si>
  <si>
    <t>Currency Exposure v2|Cash|0|41243</t>
  </si>
  <si>
    <t>Currency Exposure v2|Portfolio|0|41243</t>
  </si>
  <si>
    <t>Currency Exposure v2|Other Assets|0|41243</t>
  </si>
  <si>
    <t>Currency Exposure v2|Savings|0|41243</t>
  </si>
  <si>
    <t>Currency Exposure v2|Borrowings|0|41243</t>
  </si>
  <si>
    <t>Currency Exposure v2|Other Liabilities|0|41243</t>
  </si>
  <si>
    <t>Currency Exposure v2|Deposits for Back-to-Back Loans|0|41243</t>
  </si>
  <si>
    <t>Currency Exposure v2|Options|0|41243</t>
  </si>
  <si>
    <t>Currency Exposure v2|Forwards|0|41243</t>
  </si>
  <si>
    <t>Currency Exposure v2|Swaps|0|41243</t>
  </si>
  <si>
    <t>Currency Exposure v2|Back-to-back Loans|0|41243</t>
  </si>
  <si>
    <t>Currency Exposure v2|Options-L|0|41243</t>
  </si>
  <si>
    <t>Currency Exposure v2|Forwards-L|0|41243</t>
  </si>
  <si>
    <t>Currency Exposure v2|Swaps-L|0|41243</t>
  </si>
  <si>
    <t>Currency Exposure v2|Cash|0|41274</t>
  </si>
  <si>
    <t>Currency Exposure v2|Portfolio|0|41274</t>
  </si>
  <si>
    <t>Currency Exposure v2|Other Assets|0|41274</t>
  </si>
  <si>
    <t>Currency Exposure v2|Savings|0|41274</t>
  </si>
  <si>
    <t>Currency Exposure v2|Borrowings|0|41274</t>
  </si>
  <si>
    <t>Currency Exposure v2|Other Liabilities|0|41274</t>
  </si>
  <si>
    <t>Currency Exposure v2|Deposits for Back-to-Back Loans|0|41274</t>
  </si>
  <si>
    <t>Currency Exposure v2|Options|0|41274</t>
  </si>
  <si>
    <t>Currency Exposure v2|Forwards|0|41274</t>
  </si>
  <si>
    <t>Currency Exposure v2|Swaps|0|41274</t>
  </si>
  <si>
    <t>Currency Exposure v2|Back-to-back Loans|0|41274</t>
  </si>
  <si>
    <t>Currency Exposure v2|Options-L|0|41274</t>
  </si>
  <si>
    <t>Currency Exposure v2|Forwards-L|0|41274</t>
  </si>
  <si>
    <t>Currency Exposure v2|Swaps-L|0|41274</t>
  </si>
  <si>
    <t>Income Statement v2|Interest Income from Loans|0|40939</t>
  </si>
  <si>
    <t>Income Statement v2|Income from Fees and Commissions on Loans|0|40939</t>
  </si>
  <si>
    <t>Income Statement v2|Interest Expense on Borrowings (&amp; Bonds)|0|40939</t>
  </si>
  <si>
    <t>Income Statement v2|Interest Expense on Deposits|0|40939</t>
  </si>
  <si>
    <t>Income Statement v2|Loan Loss Provision Expense|0|40939</t>
  </si>
  <si>
    <t>Income Statement v2|Fees from Penalties|0|40939</t>
  </si>
  <si>
    <t>Income Statement v2|Fees and Commissions from Non-Lending Operations|0|40939</t>
  </si>
  <si>
    <t>Income Statement v2|Realized Net Foreign Exchange/Inflation Income (Expense)|0|40939</t>
  </si>
  <si>
    <t>Income Statement v2|Other Financial Income (Expense)|0|40939</t>
  </si>
  <si>
    <t>Income Statement v2|Salaries &amp; Benefits|0|40939</t>
  </si>
  <si>
    <t>Income Statement v2|General &amp; Administrative|0|40939</t>
  </si>
  <si>
    <t>Income Statement v2|Depreciation &amp; Amortization|0|40939</t>
  </si>
  <si>
    <t>Income Statement v2|Non-operating income|0|40939</t>
  </si>
  <si>
    <t>Income Statement v2|Non-operating expenses|0|40939</t>
  </si>
  <si>
    <t>Income Statement v2|Income Tax Expense|0|40939</t>
  </si>
  <si>
    <t>Income Statement v2|Donations|0|40939</t>
  </si>
  <si>
    <t>Income Statement v2|Income (Expense) from Unconsolidated Affiliates|0|40939</t>
  </si>
  <si>
    <t>Income Statement v2|Dividends Received|0|40939</t>
  </si>
  <si>
    <t>Income Statement v2|Minority Interest Expense|0|40939</t>
  </si>
  <si>
    <t>Income Statement v2|Ordinary Shares Outstanding|0|40939</t>
  </si>
  <si>
    <t>Income Statement v2|Fully Diluted Shares Outstanding|0|40939</t>
  </si>
  <si>
    <t>Income Statement v2|Dividends|0|40939</t>
  </si>
  <si>
    <t>Income Statement v2|Unrealized FX Gains/(Losses)|0|40939</t>
  </si>
  <si>
    <t>Income Statement v2|Other|0|40939</t>
  </si>
  <si>
    <t>Income Statement v2|Interest Income from Loans|0|40968</t>
  </si>
  <si>
    <t>Income Statement v2|Income from Fees and Commissions on Loans|0|40968</t>
  </si>
  <si>
    <t>Income Statement v2|Interest Expense on Borrowings (&amp; Bonds)|0|40968</t>
  </si>
  <si>
    <t>Income Statement v2|Interest Expense on Deposits|0|40968</t>
  </si>
  <si>
    <t>Income Statement v2|Loan Loss Provision Expense|0|40968</t>
  </si>
  <si>
    <t>Income Statement v2|Fees from Penalties|0|40968</t>
  </si>
  <si>
    <t>Income Statement v2|Fees and Commissions from Non-Lending Operations|0|40968</t>
  </si>
  <si>
    <t>Income Statement v2|Realized Net Foreign Exchange/Inflation Income (Expense)|0|40968</t>
  </si>
  <si>
    <t>Income Statement v2|Other Financial Income (Expense)|0|40968</t>
  </si>
  <si>
    <t>Income Statement v2|Salaries &amp; Benefits|0|40968</t>
  </si>
  <si>
    <t>Income Statement v2|General &amp; Administrative|0|40968</t>
  </si>
  <si>
    <t>Income Statement v2|Depreciation &amp; Amortization|0|40968</t>
  </si>
  <si>
    <t>Income Statement v2|Non-operating income|0|40968</t>
  </si>
  <si>
    <t>Income Statement v2|Non-operating expenses|0|40968</t>
  </si>
  <si>
    <t>Income Statement v2|Income Tax Expense|0|40968</t>
  </si>
  <si>
    <t>Income Statement v2|Donations|0|40968</t>
  </si>
  <si>
    <t>Income Statement v2|Income (Expense) from Unconsolidated Affiliates|0|40968</t>
  </si>
  <si>
    <t>Income Statement v2|Dividends Received|0|40968</t>
  </si>
  <si>
    <t>Income Statement v2|Minority Interest Expense|0|40968</t>
  </si>
  <si>
    <t>Income Statement v2|Ordinary Shares Outstanding|0|40968</t>
  </si>
  <si>
    <t>Income Statement v2|Fully Diluted Shares Outstanding|0|40968</t>
  </si>
  <si>
    <t>Income Statement v2|Dividends|0|40968</t>
  </si>
  <si>
    <t>Income Statement v2|Unrealized FX Gains/(Losses)|0|40968</t>
  </si>
  <si>
    <t>Income Statement v2|Other|0|40968</t>
  </si>
  <si>
    <t>Income Statement v2|Interest Income from Loans|0|40999</t>
  </si>
  <si>
    <t>Income Statement v2|Income from Fees and Commissions on Loans|0|40999</t>
  </si>
  <si>
    <t>Income Statement v2|Interest Expense on Borrowings (&amp; Bonds)|0|40999</t>
  </si>
  <si>
    <t>Income Statement v2|Interest Expense on Deposits|0|40999</t>
  </si>
  <si>
    <t>Income Statement v2|Loan Loss Provision Expense|0|40999</t>
  </si>
  <si>
    <t>Income Statement v2|Fees from Penalties|0|40999</t>
  </si>
  <si>
    <t>Income Statement v2|Fees and Commissions from Non-Lending Operations|0|40999</t>
  </si>
  <si>
    <t>Income Statement v2|Realized Net Foreign Exchange/Inflation Income (Expense)|0|40999</t>
  </si>
  <si>
    <t>Income Statement v2|Other Financial Income (Expense)|0|40999</t>
  </si>
  <si>
    <t>Income Statement v2|Salaries &amp; Benefits|0|40999</t>
  </si>
  <si>
    <t>Income Statement v2|General &amp; Administrative|0|40999</t>
  </si>
  <si>
    <t>Income Statement v2|Depreciation &amp; Amortization|0|40999</t>
  </si>
  <si>
    <t>Income Statement v2|Non-operating income|0|40999</t>
  </si>
  <si>
    <t>Income Statement v2|Non-operating expenses|0|40999</t>
  </si>
  <si>
    <t>Income Statement v2|Income Tax Expense|0|40999</t>
  </si>
  <si>
    <t>Income Statement v2|Donations|0|40999</t>
  </si>
  <si>
    <t>Income Statement v2|Income (Expense) from Unconsolidated Affiliates|0|40999</t>
  </si>
  <si>
    <t>Income Statement v2|Dividends Received|0|40999</t>
  </si>
  <si>
    <t>Income Statement v2|Minority Interest Expense|0|40999</t>
  </si>
  <si>
    <t>Income Statement v2|Ordinary Shares Outstanding|0|40999</t>
  </si>
  <si>
    <t>Income Statement v2|Fully Diluted Shares Outstanding|0|40999</t>
  </si>
  <si>
    <t>Income Statement v2|Dividends|0|40999</t>
  </si>
  <si>
    <t>Income Statement v2|Unrealized FX Gains/(Losses)|0|40999</t>
  </si>
  <si>
    <t>Income Statement v2|Other|0|40999</t>
  </si>
  <si>
    <t>Income Statement v2|Interest Income from Loans|0|41029</t>
  </si>
  <si>
    <t>Income Statement v2|Income from Fees and Commissions on Loans|0|41029</t>
  </si>
  <si>
    <t>Income Statement v2|Interest Expense on Borrowings (&amp; Bonds)|0|41029</t>
  </si>
  <si>
    <t>Income Statement v2|Interest Expense on Deposits|0|41029</t>
  </si>
  <si>
    <t>Income Statement v2|Loan Loss Provision Expense|0|41029</t>
  </si>
  <si>
    <t>Income Statement v2|Fees from Penalties|0|41029</t>
  </si>
  <si>
    <t>Income Statement v2|Fees and Commissions from Non-Lending Operations|0|41029</t>
  </si>
  <si>
    <t>Income Statement v2|Realized Net Foreign Exchange/Inflation Income (Expense)|0|41029</t>
  </si>
  <si>
    <t>Income Statement v2|Other Financial Income (Expense)|0|41029</t>
  </si>
  <si>
    <t>Income Statement v2|Salaries &amp; Benefits|0|41029</t>
  </si>
  <si>
    <t>Income Statement v2|General &amp; Administrative|0|41029</t>
  </si>
  <si>
    <t>Income Statement v2|Depreciation &amp; Amortization|0|41029</t>
  </si>
  <si>
    <t>Income Statement v2|Non-operating income|0|41029</t>
  </si>
  <si>
    <t>Income Statement v2|Non-operating expenses|0|41029</t>
  </si>
  <si>
    <t>Income Statement v2|Income Tax Expense|0|41029</t>
  </si>
  <si>
    <t>Income Statement v2|Donations|0|41029</t>
  </si>
  <si>
    <t>Income Statement v2|Income (Expense) from Unconsolidated Affiliates|0|41029</t>
  </si>
  <si>
    <t>Income Statement v2|Dividends Received|0|41029</t>
  </si>
  <si>
    <t>Income Statement v2|Minority Interest Expense|0|41029</t>
  </si>
  <si>
    <t>Income Statement v2|Ordinary Shares Outstanding|0|41029</t>
  </si>
  <si>
    <t>Income Statement v2|Fully Diluted Shares Outstanding|0|41029</t>
  </si>
  <si>
    <t>Income Statement v2|Dividends|0|41029</t>
  </si>
  <si>
    <t>Income Statement v2|Unrealized FX Gains/(Losses)|0|41029</t>
  </si>
  <si>
    <t>Income Statement v2|Other|0|41029</t>
  </si>
  <si>
    <t>Income Statement v2|Interest Income from Loans|0|41060</t>
  </si>
  <si>
    <t>Income Statement v2|Income from Fees and Commissions on Loans|0|41060</t>
  </si>
  <si>
    <t>Income Statement v2|Interest Expense on Borrowings (&amp; Bonds)|0|41060</t>
  </si>
  <si>
    <t>Income Statement v2|Interest Expense on Deposits|0|41060</t>
  </si>
  <si>
    <t>Income Statement v2|Loan Loss Provision Expense|0|41060</t>
  </si>
  <si>
    <t>Income Statement v2|Fees from Penalties|0|41060</t>
  </si>
  <si>
    <t>Income Statement v2|Fees and Commissions from Non-Lending Operations|0|41060</t>
  </si>
  <si>
    <t>Income Statement v2|Realized Net Foreign Exchange/Inflation Income (Expense)|0|41060</t>
  </si>
  <si>
    <t>Income Statement v2|Other Financial Income (Expense)|0|41060</t>
  </si>
  <si>
    <t>Income Statement v2|Salaries &amp; Benefits|0|41060</t>
  </si>
  <si>
    <t>Income Statement v2|General &amp; Administrative|0|41060</t>
  </si>
  <si>
    <t>Income Statement v2|Depreciation &amp; Amortization|0|41060</t>
  </si>
  <si>
    <t>Income Statement v2|Non-operating income|0|41060</t>
  </si>
  <si>
    <t>Income Statement v2|Non-operating expenses|0|41060</t>
  </si>
  <si>
    <t>Income Statement v2|Income Tax Expense|0|41060</t>
  </si>
  <si>
    <t>Income Statement v2|Donations|0|41060</t>
  </si>
  <si>
    <t>Income Statement v2|Income (Expense) from Unconsolidated Affiliates|0|41060</t>
  </si>
  <si>
    <t>Income Statement v2|Dividends Received|0|41060</t>
  </si>
  <si>
    <t>Income Statement v2|Minority Interest Expense|0|41060</t>
  </si>
  <si>
    <t>Income Statement v2|Ordinary Shares Outstanding|0|41060</t>
  </si>
  <si>
    <t>Income Statement v2|Fully Diluted Shares Outstanding|0|41060</t>
  </si>
  <si>
    <t>Income Statement v2|Dividends|0|41060</t>
  </si>
  <si>
    <t>Income Statement v2|Unrealized FX Gains/(Losses)|0|41060</t>
  </si>
  <si>
    <t>Income Statement v2|Other|0|41060</t>
  </si>
  <si>
    <t>Income Statement v2|Interest Income from Loans|0|41090</t>
  </si>
  <si>
    <t>Income Statement v2|Income from Fees and Commissions on Loans|0|41090</t>
  </si>
  <si>
    <t>Income Statement v2|Interest Expense on Borrowings (&amp; Bonds)|0|41090</t>
  </si>
  <si>
    <t>Income Statement v2|Interest Expense on Deposits|0|41090</t>
  </si>
  <si>
    <t>Income Statement v2|Loan Loss Provision Expense|0|41090</t>
  </si>
  <si>
    <t>Income Statement v2|Fees from Penalties|0|41090</t>
  </si>
  <si>
    <t>Income Statement v2|Fees and Commissions from Non-Lending Operations|0|41090</t>
  </si>
  <si>
    <t>Income Statement v2|Realized Net Foreign Exchange/Inflation Income (Expense)|0|41090</t>
  </si>
  <si>
    <t>Income Statement v2|Other Financial Income (Expense)|0|41090</t>
  </si>
  <si>
    <t>Income Statement v2|Salaries &amp; Benefits|0|41090</t>
  </si>
  <si>
    <t>Income Statement v2|General &amp; Administrative|0|41090</t>
  </si>
  <si>
    <t>Income Statement v2|Depreciation &amp; Amortization|0|41090</t>
  </si>
  <si>
    <t>Income Statement v2|Non-operating income|0|41090</t>
  </si>
  <si>
    <t>Income Statement v2|Non-operating expenses|0|41090</t>
  </si>
  <si>
    <t>Income Statement v2|Income Tax Expense|0|41090</t>
  </si>
  <si>
    <t>Income Statement v2|Donations|0|41090</t>
  </si>
  <si>
    <t>Income Statement v2|Income (Expense) from Unconsolidated Affiliates|0|41090</t>
  </si>
  <si>
    <t>Income Statement v2|Dividends Received|0|41090</t>
  </si>
  <si>
    <t>Income Statement v2|Minority Interest Expense|0|41090</t>
  </si>
  <si>
    <t>Income Statement v2|Ordinary Shares Outstanding|0|41090</t>
  </si>
  <si>
    <t>Income Statement v2|Fully Diluted Shares Outstanding|0|41090</t>
  </si>
  <si>
    <t>Income Statement v2|Dividends|0|41090</t>
  </si>
  <si>
    <t>Income Statement v2|Unrealized FX Gains/(Losses)|0|41090</t>
  </si>
  <si>
    <t>Income Statement v2|Other|0|41090</t>
  </si>
  <si>
    <t>Income Statement v2|Interest Income from Loans|0|41121</t>
  </si>
  <si>
    <t>Income Statement v2|Income from Fees and Commissions on Loans|0|41121</t>
  </si>
  <si>
    <t>Income Statement v2|Interest Expense on Borrowings (&amp; Bonds)|0|41121</t>
  </si>
  <si>
    <t>Income Statement v2|Interest Expense on Deposits|0|41121</t>
  </si>
  <si>
    <t>Income Statement v2|Loan Loss Provision Expense|0|41121</t>
  </si>
  <si>
    <t>Income Statement v2|Fees from Penalties|0|41121</t>
  </si>
  <si>
    <t>Income Statement v2|Fees and Commissions from Non-Lending Operations|0|41121</t>
  </si>
  <si>
    <t>Income Statement v2|Realized Net Foreign Exchange/Inflation Income (Expense)|0|41121</t>
  </si>
  <si>
    <t>Income Statement v2|Other Financial Income (Expense)|0|41121</t>
  </si>
  <si>
    <t>Income Statement v2|Salaries &amp; Benefits|0|41121</t>
  </si>
  <si>
    <t>Income Statement v2|General &amp; Administrative|0|41121</t>
  </si>
  <si>
    <t>Income Statement v2|Depreciation &amp; Amortization|0|41121</t>
  </si>
  <si>
    <t>Income Statement v2|Non-operating income|0|41121</t>
  </si>
  <si>
    <t>Income Statement v2|Non-operating expenses|0|41121</t>
  </si>
  <si>
    <t>Income Statement v2|Income Tax Expense|0|41121</t>
  </si>
  <si>
    <t>Income Statement v2|Donations|0|41121</t>
  </si>
  <si>
    <t>Income Statement v2|Income (Expense) from Unconsolidated Affiliates|0|41121</t>
  </si>
  <si>
    <t>Income Statement v2|Dividends Received|0|41121</t>
  </si>
  <si>
    <t>Income Statement v2|Minority Interest Expense|0|41121</t>
  </si>
  <si>
    <t>Income Statement v2|Ordinary Shares Outstanding|0|41121</t>
  </si>
  <si>
    <t>Income Statement v2|Fully Diluted Shares Outstanding|0|41121</t>
  </si>
  <si>
    <t>Income Statement v2|Dividends|0|41121</t>
  </si>
  <si>
    <t>Income Statement v2|Unrealized FX Gains/(Losses)|0|41121</t>
  </si>
  <si>
    <t>Income Statement v2|Other|0|41121</t>
  </si>
  <si>
    <t>Income Statement v2|Interest Income from Loans|0|41152</t>
  </si>
  <si>
    <t>Income Statement v2|Income from Fees and Commissions on Loans|0|41152</t>
  </si>
  <si>
    <t>Income Statement v2|Interest Expense on Borrowings (&amp; Bonds)|0|41152</t>
  </si>
  <si>
    <t>Income Statement v2|Interest Expense on Deposits|0|41152</t>
  </si>
  <si>
    <t>Income Statement v2|Loan Loss Provision Expense|0|41152</t>
  </si>
  <si>
    <t>Income Statement v2|Fees from Penalties|0|41152</t>
  </si>
  <si>
    <t>Income Statement v2|Fees and Commissions from Non-Lending Operations|0|41152</t>
  </si>
  <si>
    <t>Income Statement v2|Realized Net Foreign Exchange/Inflation Income (Expense)|0|41152</t>
  </si>
  <si>
    <t>Income Statement v2|Other Financial Income (Expense)|0|41152</t>
  </si>
  <si>
    <t>Income Statement v2|Salaries &amp; Benefits|0|41152</t>
  </si>
  <si>
    <t>Income Statement v2|General &amp; Administrative|0|41152</t>
  </si>
  <si>
    <t>Income Statement v2|Depreciation &amp; Amortization|0|41152</t>
  </si>
  <si>
    <t>Income Statement v2|Non-operating income|0|41152</t>
  </si>
  <si>
    <t>Income Statement v2|Non-operating expenses|0|41152</t>
  </si>
  <si>
    <t>Income Statement v2|Income Tax Expense|0|41152</t>
  </si>
  <si>
    <t>Income Statement v2|Donations|0|41152</t>
  </si>
  <si>
    <t>Income Statement v2|Income (Expense) from Unconsolidated Affiliates|0|41152</t>
  </si>
  <si>
    <t>Income Statement v2|Dividends Received|0|41152</t>
  </si>
  <si>
    <t>Income Statement v2|Minority Interest Expense|0|41152</t>
  </si>
  <si>
    <t>Income Statement v2|Ordinary Shares Outstanding|0|41152</t>
  </si>
  <si>
    <t>Income Statement v2|Fully Diluted Shares Outstanding|0|41152</t>
  </si>
  <si>
    <t>Income Statement v2|Dividends|0|41152</t>
  </si>
  <si>
    <t>Income Statement v2|Unrealized FX Gains/(Losses)|0|41152</t>
  </si>
  <si>
    <t>Income Statement v2|Other|0|41152</t>
  </si>
  <si>
    <t>Income Statement v2|Interest Income from Loans|0|41182</t>
  </si>
  <si>
    <t>Income Statement v2|Income from Fees and Commissions on Loans|0|41182</t>
  </si>
  <si>
    <t>Income Statement v2|Interest Expense on Borrowings (&amp; Bonds)|0|41182</t>
  </si>
  <si>
    <t>Income Statement v2|Interest Expense on Deposits|0|41182</t>
  </si>
  <si>
    <t>Income Statement v2|Loan Loss Provision Expense|0|41182</t>
  </si>
  <si>
    <t>Income Statement v2|Fees from Penalties|0|41182</t>
  </si>
  <si>
    <t>Income Statement v2|Fees and Commissions from Non-Lending Operations|0|41182</t>
  </si>
  <si>
    <t>Income Statement v2|Realized Net Foreign Exchange/Inflation Income (Expense)|0|41182</t>
  </si>
  <si>
    <t>Income Statement v2|Other Financial Income (Expense)|0|41182</t>
  </si>
  <si>
    <t>Income Statement v2|Salaries &amp; Benefits|0|41182</t>
  </si>
  <si>
    <t>Income Statement v2|General &amp; Administrative|0|41182</t>
  </si>
  <si>
    <t>Income Statement v2|Depreciation &amp; Amortization|0|41182</t>
  </si>
  <si>
    <t>Income Statement v2|Non-operating income|0|41182</t>
  </si>
  <si>
    <t>Income Statement v2|Non-operating expenses|0|41182</t>
  </si>
  <si>
    <t>Income Statement v2|Income Tax Expense|0|41182</t>
  </si>
  <si>
    <t>Income Statement v2|Donations|0|41182</t>
  </si>
  <si>
    <t>Income Statement v2|Income (Expense) from Unconsolidated Affiliates|0|41182</t>
  </si>
  <si>
    <t>Income Statement v2|Dividends Received|0|41182</t>
  </si>
  <si>
    <t>Income Statement v2|Minority Interest Expense|0|41182</t>
  </si>
  <si>
    <t>Income Statement v2|Ordinary Shares Outstanding|0|41182</t>
  </si>
  <si>
    <t>Income Statement v2|Fully Diluted Shares Outstanding|0|41182</t>
  </si>
  <si>
    <t>Income Statement v2|Dividends|0|41182</t>
  </si>
  <si>
    <t>Income Statement v2|Unrealized FX Gains/(Losses)|0|41182</t>
  </si>
  <si>
    <t>Income Statement v2|Other|0|41182</t>
  </si>
  <si>
    <t>Income Statement v2|Interest Income from Loans|0|41213</t>
  </si>
  <si>
    <t>Income Statement v2|Income from Fees and Commissions on Loans|0|41213</t>
  </si>
  <si>
    <t>Income Statement v2|Interest Expense on Borrowings (&amp; Bonds)|0|41213</t>
  </si>
  <si>
    <t>Income Statement v2|Interest Expense on Deposits|0|41213</t>
  </si>
  <si>
    <t>Income Statement v2|Loan Loss Provision Expense|0|41213</t>
  </si>
  <si>
    <t>Income Statement v2|Fees from Penalties|0|41213</t>
  </si>
  <si>
    <t>Income Statement v2|Fees and Commissions from Non-Lending Operations|0|41213</t>
  </si>
  <si>
    <t>Income Statement v2|Realized Net Foreign Exchange/Inflation Income (Expense)|0|41213</t>
  </si>
  <si>
    <t>Income Statement v2|Other Financial Income (Expense)|0|41213</t>
  </si>
  <si>
    <t>Income Statement v2|Salaries &amp; Benefits|0|41213</t>
  </si>
  <si>
    <t>Income Statement v2|General &amp; Administrative|0|41213</t>
  </si>
  <si>
    <t>Income Statement v2|Depreciation &amp; Amortization|0|41213</t>
  </si>
  <si>
    <t>Income Statement v2|Non-operating income|0|41213</t>
  </si>
  <si>
    <t>Income Statement v2|Non-operating expenses|0|41213</t>
  </si>
  <si>
    <t>Income Statement v2|Income Tax Expense|0|41213</t>
  </si>
  <si>
    <t>Income Statement v2|Donations|0|41213</t>
  </si>
  <si>
    <t>Income Statement v2|Income (Expense) from Unconsolidated Affiliates|0|41213</t>
  </si>
  <si>
    <t>Income Statement v2|Dividends Received|0|41213</t>
  </si>
  <si>
    <t>Income Statement v2|Minority Interest Expense|0|41213</t>
  </si>
  <si>
    <t>Income Statement v2|Ordinary Shares Outstanding|0|41213</t>
  </si>
  <si>
    <t>Income Statement v2|Fully Diluted Shares Outstanding|0|41213</t>
  </si>
  <si>
    <t>Income Statement v2|Dividends|0|41213</t>
  </si>
  <si>
    <t>Income Statement v2|Unrealized FX Gains/(Losses)|0|41213</t>
  </si>
  <si>
    <t>Income Statement v2|Other|0|41213</t>
  </si>
  <si>
    <t>Income Statement v2|Interest Income from Loans|0|41243</t>
  </si>
  <si>
    <t>Income Statement v2|Income from Fees and Commissions on Loans|0|41243</t>
  </si>
  <si>
    <t>Income Statement v2|Interest Expense on Borrowings (&amp; Bonds)|0|41243</t>
  </si>
  <si>
    <t>Income Statement v2|Interest Expense on Deposits|0|41243</t>
  </si>
  <si>
    <t>Income Statement v2|Loan Loss Provision Expense|0|41243</t>
  </si>
  <si>
    <t>Income Statement v2|Fees from Penalties|0|41243</t>
  </si>
  <si>
    <t>Income Statement v2|Fees and Commissions from Non-Lending Operations|0|41243</t>
  </si>
  <si>
    <t>Income Statement v2|Realized Net Foreign Exchange/Inflation Income (Expense)|0|41243</t>
  </si>
  <si>
    <t>Income Statement v2|Other Financial Income (Expense)|0|41243</t>
  </si>
  <si>
    <t>Income Statement v2|Salaries &amp; Benefits|0|41243</t>
  </si>
  <si>
    <t>Income Statement v2|General &amp; Administrative|0|41243</t>
  </si>
  <si>
    <t>Income Statement v2|Depreciation &amp; Amortization|0|41243</t>
  </si>
  <si>
    <t>Income Statement v2|Non-operating income|0|41243</t>
  </si>
  <si>
    <t>Income Statement v2|Non-operating expenses|0|41243</t>
  </si>
  <si>
    <t>Income Statement v2|Income Tax Expense|0|41243</t>
  </si>
  <si>
    <t>Income Statement v2|Donations|0|41243</t>
  </si>
  <si>
    <t>Income Statement v2|Income (Expense) from Unconsolidated Affiliates|0|41243</t>
  </si>
  <si>
    <t>Income Statement v2|Dividends Received|0|41243</t>
  </si>
  <si>
    <t>Income Statement v2|Minority Interest Expense|0|41243</t>
  </si>
  <si>
    <t>Income Statement v2|Ordinary Shares Outstanding|0|41243</t>
  </si>
  <si>
    <t>Income Statement v2|Fully Diluted Shares Outstanding|0|41243</t>
  </si>
  <si>
    <t>Income Statement v2|Dividends|0|41243</t>
  </si>
  <si>
    <t>Income Statement v2|Unrealized FX Gains/(Losses)|0|41243</t>
  </si>
  <si>
    <t>Income Statement v2|Other|0|41243</t>
  </si>
  <si>
    <t>Income Statement v2|Interest Income from Loans|0|41274</t>
  </si>
  <si>
    <t>Income Statement v2|Income from Fees and Commissions on Loans|0|41274</t>
  </si>
  <si>
    <t>Income Statement v2|Interest Expense on Borrowings (&amp; Bonds)|0|41274</t>
  </si>
  <si>
    <t>Income Statement v2|Interest Expense on Deposits|0|41274</t>
  </si>
  <si>
    <t>Income Statement v2|Loan Loss Provision Expense|0|41274</t>
  </si>
  <si>
    <t>Income Statement v2|Fees from Penalties|0|41274</t>
  </si>
  <si>
    <t>Income Statement v2|Fees and Commissions from Non-Lending Operations|0|41274</t>
  </si>
  <si>
    <t>Income Statement v2|Realized Net Foreign Exchange/Inflation Income (Expense)|0|41274</t>
  </si>
  <si>
    <t>Income Statement v2|Other Financial Income (Expense)|0|41274</t>
  </si>
  <si>
    <t>Income Statement v2|Salaries &amp; Benefits|0|41274</t>
  </si>
  <si>
    <t>Income Statement v2|General &amp; Administrative|0|41274</t>
  </si>
  <si>
    <t>Income Statement v2|Depreciation &amp; Amortization|0|41274</t>
  </si>
  <si>
    <t>Income Statement v2|Non-operating income|0|41274</t>
  </si>
  <si>
    <t>Income Statement v2|Non-operating expenses|0|41274</t>
  </si>
  <si>
    <t>Income Statement v2|Income Tax Expense|0|41274</t>
  </si>
  <si>
    <t>Income Statement v2|Donations|0|41274</t>
  </si>
  <si>
    <t>Income Statement v2|Income (Expense) from Unconsolidated Affiliates|0|41274</t>
  </si>
  <si>
    <t>Income Statement v2|Dividends Received|0|41274</t>
  </si>
  <si>
    <t>Income Statement v2|Minority Interest Expense|0|41274</t>
  </si>
  <si>
    <t>Income Statement v2|Ordinary Shares Outstanding|0|41274</t>
  </si>
  <si>
    <t>Income Statement v2|Fully Diluted Shares Outstanding|0|41274</t>
  </si>
  <si>
    <t>Income Statement v2|Dividends|0|41274</t>
  </si>
  <si>
    <t>Income Statement v2|Unrealized FX Gains/(Losses)|0|41274</t>
  </si>
  <si>
    <t>Income Statement v2|Other|0|41274</t>
  </si>
  <si>
    <t>Portfolio Quality v2|Current Portfolio|0|40574</t>
  </si>
  <si>
    <t>Portfolio Quality v2|PAR (1-30 days)|0|40574</t>
  </si>
  <si>
    <t>Portfolio Quality v2|PAR (30-60 days)|0|40574</t>
  </si>
  <si>
    <t>Portfolio Quality v2|PAR (60-90 days)|0|40574</t>
  </si>
  <si>
    <t>Portfolio Quality v2|PAR (90-120 days)|0|40574</t>
  </si>
  <si>
    <t>Portfolio Quality v2|PAR (120-180 days)|0|40574</t>
  </si>
  <si>
    <t>Portfolio Quality v2|PAR (180 - 360 days)|0|40574</t>
  </si>
  <si>
    <t>Portfolio Quality v2|PAR (&gt;360 days)|0|40574</t>
  </si>
  <si>
    <t>Portfolio Quality v2|Current R+R Loans|0|40574</t>
  </si>
  <si>
    <t>Portfolio Quality v2|PAR (1-30 days) (R+R)|0|40574</t>
  </si>
  <si>
    <t>Portfolio Quality v2|PAR (&gt;30 days)|0|40574</t>
  </si>
  <si>
    <t>Portfolio Quality v2|-Gross Write-Offs**|0|40574</t>
  </si>
  <si>
    <t>Portfolio Quality v2|-Recoveries**|0|40574</t>
  </si>
  <si>
    <t>Portfolio Quality v2|+/-Other|0|40574</t>
  </si>
  <si>
    <t>Portfolio Quality v2|Current Portfolio|0|40602</t>
  </si>
  <si>
    <t>Portfolio Quality v2|PAR (1-30 days)|0|40602</t>
  </si>
  <si>
    <t>Portfolio Quality v2|PAR (30-60 days)|0|40602</t>
  </si>
  <si>
    <t>Portfolio Quality v2|PAR (60-90 days)|0|40602</t>
  </si>
  <si>
    <t>Portfolio Quality v2|PAR (90-120 days)|0|40602</t>
  </si>
  <si>
    <t>Portfolio Quality v2|PAR (120-180 days)|0|40602</t>
  </si>
  <si>
    <t>Portfolio Quality v2|PAR (180 - 360 days)|0|40602</t>
  </si>
  <si>
    <t>Portfolio Quality v2|PAR (&gt;360 days)|0|40602</t>
  </si>
  <si>
    <t>Portfolio Quality v2|Current R+R Loans|0|40602</t>
  </si>
  <si>
    <t>Portfolio Quality v2|PAR (1-30 days) (R+R)|0|40602</t>
  </si>
  <si>
    <t>Portfolio Quality v2|PAR (&gt;30 days)|0|40602</t>
  </si>
  <si>
    <t>Portfolio Quality v2|-Gross Write-Offs**|0|40602</t>
  </si>
  <si>
    <t>Portfolio Quality v2|-Recoveries**|0|40602</t>
  </si>
  <si>
    <t>Portfolio Quality v2|+/-Other|0|40602</t>
  </si>
  <si>
    <t>Portfolio Quality v2|Current Portfolio|0|40633</t>
  </si>
  <si>
    <t>Portfolio Quality v2|PAR (1-30 days)|0|40633</t>
  </si>
  <si>
    <t>Portfolio Quality v2|PAR (30-60 days)|0|40633</t>
  </si>
  <si>
    <t>Portfolio Quality v2|PAR (60-90 days)|0|40633</t>
  </si>
  <si>
    <t>Portfolio Quality v2|PAR (90-120 days)|0|40633</t>
  </si>
  <si>
    <t>Portfolio Quality v2|PAR (120-180 days)|0|40633</t>
  </si>
  <si>
    <t>Portfolio Quality v2|PAR (180 - 360 days)|0|40633</t>
  </si>
  <si>
    <t>Portfolio Quality v2|PAR (&gt;360 days)|0|40633</t>
  </si>
  <si>
    <t>Portfolio Quality v2|Current R+R Loans|0|40633</t>
  </si>
  <si>
    <t>Portfolio Quality v2|PAR (1-30 days) (R+R)|0|40633</t>
  </si>
  <si>
    <t>Portfolio Quality v2|PAR (&gt;30 days)|0|40633</t>
  </si>
  <si>
    <t>Portfolio Quality v2|-Gross Write-Offs**|0|40633</t>
  </si>
  <si>
    <t>Portfolio Quality v2|-Recoveries**|0|40633</t>
  </si>
  <si>
    <t>Portfolio Quality v2|+/-Other|0|40633</t>
  </si>
  <si>
    <t>Portfolio Quality v2|Current Portfolio|0|40663</t>
  </si>
  <si>
    <t>Portfolio Quality v2|PAR (1-30 days)|0|40663</t>
  </si>
  <si>
    <t>Portfolio Quality v2|PAR (30-60 days)|0|40663</t>
  </si>
  <si>
    <t>Portfolio Quality v2|PAR (60-90 days)|0|40663</t>
  </si>
  <si>
    <t>Portfolio Quality v2|PAR (90-120 days)|0|40663</t>
  </si>
  <si>
    <t>Portfolio Quality v2|PAR (120-180 days)|0|40663</t>
  </si>
  <si>
    <t>Portfolio Quality v2|PAR (180 - 360 days)|0|40663</t>
  </si>
  <si>
    <t>Portfolio Quality v2|PAR (&gt;360 days)|0|40663</t>
  </si>
  <si>
    <t>Portfolio Quality v2|Current R+R Loans|0|40663</t>
  </si>
  <si>
    <t>Portfolio Quality v2|PAR (1-30 days) (R+R)|0|40663</t>
  </si>
  <si>
    <t>Portfolio Quality v2|PAR (&gt;30 days)|0|40663</t>
  </si>
  <si>
    <t>Portfolio Quality v2|-Gross Write-Offs**|0|40663</t>
  </si>
  <si>
    <t>Portfolio Quality v2|-Recoveries**|0|40663</t>
  </si>
  <si>
    <t>Portfolio Quality v2|+/-Other|0|40663</t>
  </si>
  <si>
    <t>Portfolio Quality v2|Current Portfolio|0|40694</t>
  </si>
  <si>
    <t>Portfolio Quality v2|PAR (1-30 days)|0|40694</t>
  </si>
  <si>
    <t>Portfolio Quality v2|PAR (30-60 days)|0|40694</t>
  </si>
  <si>
    <t>Portfolio Quality v2|PAR (60-90 days)|0|40694</t>
  </si>
  <si>
    <t>Portfolio Quality v2|PAR (90-120 days)|0|40694</t>
  </si>
  <si>
    <t>Portfolio Quality v2|PAR (120-180 days)|0|40694</t>
  </si>
  <si>
    <t>Portfolio Quality v2|PAR (180 - 360 days)|0|40694</t>
  </si>
  <si>
    <t>Portfolio Quality v2|PAR (&gt;360 days)|0|40694</t>
  </si>
  <si>
    <t>Portfolio Quality v2|Current R+R Loans|0|40694</t>
  </si>
  <si>
    <t>Portfolio Quality v2|PAR (1-30 days) (R+R)|0|40694</t>
  </si>
  <si>
    <t>Portfolio Quality v2|PAR (&gt;30 days)|0|40694</t>
  </si>
  <si>
    <t>Portfolio Quality v2|-Gross Write-Offs**|0|40694</t>
  </si>
  <si>
    <t>Portfolio Quality v2|-Recoveries**|0|40694</t>
  </si>
  <si>
    <t>Portfolio Quality v2|+/-Other|0|40694</t>
  </si>
  <si>
    <t>Portfolio Quality v2|Current Portfolio|0|40724</t>
  </si>
  <si>
    <t>Portfolio Quality v2|PAR (1-30 days)|0|40724</t>
  </si>
  <si>
    <t>Portfolio Quality v2|PAR (30-60 days)|0|40724</t>
  </si>
  <si>
    <t>Portfolio Quality v2|PAR (60-90 days)|0|40724</t>
  </si>
  <si>
    <t>Portfolio Quality v2|PAR (90-120 days)|0|40724</t>
  </si>
  <si>
    <t>Portfolio Quality v2|PAR (120-180 days)|0|40724</t>
  </si>
  <si>
    <t>Portfolio Quality v2|PAR (180 - 360 days)|0|40724</t>
  </si>
  <si>
    <t>Portfolio Quality v2|PAR (&gt;360 days)|0|40724</t>
  </si>
  <si>
    <t>Portfolio Quality v2|Current R+R Loans|0|40724</t>
  </si>
  <si>
    <t>Portfolio Quality v2|PAR (1-30 days) (R+R)|0|40724</t>
  </si>
  <si>
    <t>Portfolio Quality v2|PAR (&gt;30 days)|0|40724</t>
  </si>
  <si>
    <t>Portfolio Quality v2|-Gross Write-Offs**|0|40724</t>
  </si>
  <si>
    <t>Portfolio Quality v2|-Recoveries**|0|40724</t>
  </si>
  <si>
    <t>Portfolio Quality v2|+/-Other|0|40724</t>
  </si>
  <si>
    <t>Portfolio Quality v2|Current Portfolio|0|40755</t>
  </si>
  <si>
    <t>Portfolio Quality v2|PAR (1-30 days)|0|40755</t>
  </si>
  <si>
    <t>Portfolio Quality v2|PAR (30-60 days)|0|40755</t>
  </si>
  <si>
    <t>Portfolio Quality v2|PAR (60-90 days)|0|40755</t>
  </si>
  <si>
    <t>Portfolio Quality v2|PAR (90-120 days)|0|40755</t>
  </si>
  <si>
    <t>Portfolio Quality v2|PAR (120-180 days)|0|40755</t>
  </si>
  <si>
    <t>Portfolio Quality v2|PAR (180 - 360 days)|0|40755</t>
  </si>
  <si>
    <t>Portfolio Quality v2|PAR (&gt;360 days)|0|40755</t>
  </si>
  <si>
    <t>Portfolio Quality v2|Current R+R Loans|0|40755</t>
  </si>
  <si>
    <t>Portfolio Quality v2|PAR (1-30 days) (R+R)|0|40755</t>
  </si>
  <si>
    <t>Portfolio Quality v2|PAR (&gt;30 days)|0|40755</t>
  </si>
  <si>
    <t>Portfolio Quality v2|-Gross Write-Offs**|0|40755</t>
  </si>
  <si>
    <t>Portfolio Quality v2|-Recoveries**|0|40755</t>
  </si>
  <si>
    <t>Portfolio Quality v2|+/-Other|0|40755</t>
  </si>
  <si>
    <t>Portfolio Quality v2|Current Portfolio|0|40786</t>
  </si>
  <si>
    <t>Portfolio Quality v2|PAR (1-30 days)|0|40786</t>
  </si>
  <si>
    <t>Portfolio Quality v2|PAR (30-60 days)|0|40786</t>
  </si>
  <si>
    <t>Portfolio Quality v2|PAR (60-90 days)|0|40786</t>
  </si>
  <si>
    <t>Portfolio Quality v2|PAR (90-120 days)|0|40786</t>
  </si>
  <si>
    <t>Portfolio Quality v2|PAR (120-180 days)|0|40786</t>
  </si>
  <si>
    <t>Portfolio Quality v2|PAR (180 - 360 days)|0|40786</t>
  </si>
  <si>
    <t>Portfolio Quality v2|PAR (&gt;360 days)|0|40786</t>
  </si>
  <si>
    <t>Portfolio Quality v2|Current R+R Loans|0|40786</t>
  </si>
  <si>
    <t>Portfolio Quality v2|PAR (1-30 days) (R+R)|0|40786</t>
  </si>
  <si>
    <t>Portfolio Quality v2|PAR (&gt;30 days)|0|40786</t>
  </si>
  <si>
    <t>Portfolio Quality v2|-Gross Write-Offs**|0|40786</t>
  </si>
  <si>
    <t>Portfolio Quality v2|-Recoveries**|0|40786</t>
  </si>
  <si>
    <t>Portfolio Quality v2|+/-Other|0|40786</t>
  </si>
  <si>
    <t>Portfolio Quality v2|Current Portfolio|0|40816</t>
  </si>
  <si>
    <t>Portfolio Quality v2|PAR (1-30 days)|0|40816</t>
  </si>
  <si>
    <t>Portfolio Quality v2|PAR (30-60 days)|0|40816</t>
  </si>
  <si>
    <t>Portfolio Quality v2|PAR (60-90 days)|0|40816</t>
  </si>
  <si>
    <t>Portfolio Quality v2|PAR (90-120 days)|0|40816</t>
  </si>
  <si>
    <t>Portfolio Quality v2|PAR (120-180 days)|0|40816</t>
  </si>
  <si>
    <t>Portfolio Quality v2|PAR (180 - 360 days)|0|40816</t>
  </si>
  <si>
    <t>Portfolio Quality v2|PAR (&gt;360 days)|0|40816</t>
  </si>
  <si>
    <t>Portfolio Quality v2|Current R+R Loans|0|40816</t>
  </si>
  <si>
    <t>Portfolio Quality v2|PAR (1-30 days) (R+R)|0|40816</t>
  </si>
  <si>
    <t>Portfolio Quality v2|PAR (&gt;30 days)|0|40816</t>
  </si>
  <si>
    <t>Portfolio Quality v2|-Gross Write-Offs**|0|40816</t>
  </si>
  <si>
    <t>Portfolio Quality v2|-Recoveries**|0|40816</t>
  </si>
  <si>
    <t>Portfolio Quality v2|+/-Other|0|40816</t>
  </si>
  <si>
    <t>Portfolio Quality v2|Current Portfolio|0|40847</t>
  </si>
  <si>
    <t>Portfolio Quality v2|PAR (1-30 days)|0|40847</t>
  </si>
  <si>
    <t>Portfolio Quality v2|PAR (30-60 days)|0|40847</t>
  </si>
  <si>
    <t>Portfolio Quality v2|PAR (60-90 days)|0|40847</t>
  </si>
  <si>
    <t>Portfolio Quality v2|PAR (90-120 days)|0|40847</t>
  </si>
  <si>
    <t>Portfolio Quality v2|PAR (120-180 days)|0|40847</t>
  </si>
  <si>
    <t>Portfolio Quality v2|PAR (180 - 360 days)|0|40847</t>
  </si>
  <si>
    <t>Portfolio Quality v2|PAR (&gt;360 days)|0|40847</t>
  </si>
  <si>
    <t>Portfolio Quality v2|Current R+R Loans|0|40847</t>
  </si>
  <si>
    <t>Portfolio Quality v2|PAR (1-30 days) (R+R)|0|40847</t>
  </si>
  <si>
    <t>Portfolio Quality v2|PAR (&gt;30 days)|0|40847</t>
  </si>
  <si>
    <t>Portfolio Quality v2|-Gross Write-Offs**|0|40847</t>
  </si>
  <si>
    <t>Portfolio Quality v2|-Recoveries**|0|40847</t>
  </si>
  <si>
    <t>Portfolio Quality v2|+/-Other|0|40847</t>
  </si>
  <si>
    <t>Portfolio Quality v2|Current Portfolio|0|40877</t>
  </si>
  <si>
    <t>Portfolio Quality v2|PAR (1-30 days)|0|40877</t>
  </si>
  <si>
    <t>Portfolio Quality v2|PAR (30-60 days)|0|40877</t>
  </si>
  <si>
    <t>Portfolio Quality v2|PAR (60-90 days)|0|40877</t>
  </si>
  <si>
    <t>Portfolio Quality v2|PAR (90-120 days)|0|40877</t>
  </si>
  <si>
    <t>Portfolio Quality v2|PAR (120-180 days)|0|40877</t>
  </si>
  <si>
    <t>Portfolio Quality v2|PAR (180 - 360 days)|0|40877</t>
  </si>
  <si>
    <t>Portfolio Quality v2|PAR (&gt;360 days)|0|40877</t>
  </si>
  <si>
    <t>Portfolio Quality v2|Current R+R Loans|0|40877</t>
  </si>
  <si>
    <t>Portfolio Quality v2|PAR (1-30 days) (R+R)|0|40877</t>
  </si>
  <si>
    <t>Portfolio Quality v2|PAR (&gt;30 days)|0|40877</t>
  </si>
  <si>
    <t>Portfolio Quality v2|-Gross Write-Offs**|0|40877</t>
  </si>
  <si>
    <t>Portfolio Quality v2|-Recoveries**|0|40877</t>
  </si>
  <si>
    <t>Portfolio Quality v2|+/-Other|0|40877</t>
  </si>
  <si>
    <t>Portfolio Quality v2|Current Portfolio|0|40908</t>
  </si>
  <si>
    <t>Portfolio Quality v2|PAR (1-30 days)|0|40908</t>
  </si>
  <si>
    <t>Portfolio Quality v2|PAR (30-60 days)|0|40908</t>
  </si>
  <si>
    <t>Portfolio Quality v2|PAR (60-90 days)|0|40908</t>
  </si>
  <si>
    <t>Portfolio Quality v2|PAR (90-120 days)|0|40908</t>
  </si>
  <si>
    <t>Portfolio Quality v2|PAR (120-180 days)|0|40908</t>
  </si>
  <si>
    <t>Portfolio Quality v2|PAR (180 - 360 days)|0|40908</t>
  </si>
  <si>
    <t>Portfolio Quality v2|PAR (&gt;360 days)|0|40908</t>
  </si>
  <si>
    <t>Portfolio Quality v2|Current R+R Loans|0|40908</t>
  </si>
  <si>
    <t>Portfolio Quality v2|PAR (1-30 days) (R+R)|0|40908</t>
  </si>
  <si>
    <t>Portfolio Quality v2|PAR (&gt;30 days)|0|40908</t>
  </si>
  <si>
    <t>Portfolio Quality v2|-Gross Write-Offs**|0|40908</t>
  </si>
  <si>
    <t>Portfolio Quality v2|-Recoveries**|0|40908</t>
  </si>
  <si>
    <t>Portfolio Quality v2|+/-Other|0|40908</t>
  </si>
  <si>
    <t>Portfolio Quality v2|Current Portfolio|0|40939</t>
  </si>
  <si>
    <t>Portfolio Quality v2|PAR (1-30 days)|0|40939</t>
  </si>
  <si>
    <t>Portfolio Quality v2|PAR (30-60 days)|0|40939</t>
  </si>
  <si>
    <t>Portfolio Quality v2|PAR (60-90 days)|0|40939</t>
  </si>
  <si>
    <t>Portfolio Quality v2|PAR (90-120 days)|0|40939</t>
  </si>
  <si>
    <t>Portfolio Quality v2|PAR (120-180 days)|0|40939</t>
  </si>
  <si>
    <t>Portfolio Quality v2|PAR (180 - 360 days)|0|40939</t>
  </si>
  <si>
    <t>Portfolio Quality v2|PAR (&gt;360 days)|0|40939</t>
  </si>
  <si>
    <t>Portfolio Quality v2|Current R+R Loans|0|40939</t>
  </si>
  <si>
    <t>Portfolio Quality v2|PAR (1-30 days) (R+R)|0|40939</t>
  </si>
  <si>
    <t>Portfolio Quality v2|PAR (&gt;30 days)|0|40939</t>
  </si>
  <si>
    <t>Portfolio Quality v2|-Gross Write-Offs**|0|40939</t>
  </si>
  <si>
    <t>Portfolio Quality v2|-Recoveries**|0|40939</t>
  </si>
  <si>
    <t>Portfolio Quality v2|+/-Other|0|40939</t>
  </si>
  <si>
    <t>Portfolio Quality v2|Current Portfolio|0|40968</t>
  </si>
  <si>
    <t>Portfolio Quality v2|PAR (1-30 days)|0|40968</t>
  </si>
  <si>
    <t>Portfolio Quality v2|PAR (30-60 days)|0|40968</t>
  </si>
  <si>
    <t>Portfolio Quality v2|PAR (60-90 days)|0|40968</t>
  </si>
  <si>
    <t>Portfolio Quality v2|PAR (90-120 days)|0|40968</t>
  </si>
  <si>
    <t>Portfolio Quality v2|PAR (120-180 days)|0|40968</t>
  </si>
  <si>
    <t>Portfolio Quality v2|PAR (180 - 360 days)|0|40968</t>
  </si>
  <si>
    <t>Portfolio Quality v2|PAR (&gt;360 days)|0|40968</t>
  </si>
  <si>
    <t>Portfolio Quality v2|Current R+R Loans|0|40968</t>
  </si>
  <si>
    <t>Portfolio Quality v2|PAR (1-30 days) (R+R)|0|40968</t>
  </si>
  <si>
    <t>Portfolio Quality v2|PAR (&gt;30 days)|0|40968</t>
  </si>
  <si>
    <t>Portfolio Quality v2|-Gross Write-Offs**|0|40968</t>
  </si>
  <si>
    <t>Portfolio Quality v2|-Recoveries**|0|40968</t>
  </si>
  <si>
    <t>Portfolio Quality v2|+/-Other|0|40968</t>
  </si>
  <si>
    <t>Portfolio Quality v2|Current Portfolio|0|40999</t>
  </si>
  <si>
    <t>Portfolio Quality v2|PAR (1-30 days)|0|40999</t>
  </si>
  <si>
    <t>Portfolio Quality v2|PAR (30-60 days)|0|40999</t>
  </si>
  <si>
    <t>Portfolio Quality v2|PAR (60-90 days)|0|40999</t>
  </si>
  <si>
    <t>Portfolio Quality v2|PAR (90-120 days)|0|40999</t>
  </si>
  <si>
    <t>Portfolio Quality v2|PAR (120-180 days)|0|40999</t>
  </si>
  <si>
    <t>Portfolio Quality v2|PAR (180 - 360 days)|0|40999</t>
  </si>
  <si>
    <t>Portfolio Quality v2|PAR (&gt;360 days)|0|40999</t>
  </si>
  <si>
    <t>Portfolio Quality v2|Current R+R Loans|0|40999</t>
  </si>
  <si>
    <t>Portfolio Quality v2|PAR (1-30 days) (R+R)|0|40999</t>
  </si>
  <si>
    <t>Portfolio Quality v2|PAR (&gt;30 days)|0|40999</t>
  </si>
  <si>
    <t>Portfolio Quality v2|-Gross Write-Offs**|0|40999</t>
  </si>
  <si>
    <t>Portfolio Quality v2|-Recoveries**|0|40999</t>
  </si>
  <si>
    <t>Portfolio Quality v2|+/-Other|0|40999</t>
  </si>
  <si>
    <t>Portfolio Quality v2|Current Portfolio|0|41029</t>
  </si>
  <si>
    <t>Portfolio Quality v2|PAR (1-30 days)|0|41029</t>
  </si>
  <si>
    <t>Portfolio Quality v2|PAR (30-60 days)|0|41029</t>
  </si>
  <si>
    <t>Portfolio Quality v2|PAR (60-90 days)|0|41029</t>
  </si>
  <si>
    <t>Portfolio Quality v2|PAR (90-120 days)|0|41029</t>
  </si>
  <si>
    <t>Portfolio Quality v2|PAR (120-180 days)|0|41029</t>
  </si>
  <si>
    <t>Portfolio Quality v2|PAR (180 - 360 days)|0|41029</t>
  </si>
  <si>
    <t>Portfolio Quality v2|PAR (&gt;360 days)|0|41029</t>
  </si>
  <si>
    <t>Portfolio Quality v2|Current R+R Loans|0|41029</t>
  </si>
  <si>
    <t>Portfolio Quality v2|PAR (1-30 days) (R+R)|0|41029</t>
  </si>
  <si>
    <t>Portfolio Quality v2|PAR (&gt;30 days)|0|41029</t>
  </si>
  <si>
    <t>Portfolio Quality v2|-Gross Write-Offs**|0|41029</t>
  </si>
  <si>
    <t>Portfolio Quality v2|-Recoveries**|0|41029</t>
  </si>
  <si>
    <t>Portfolio Quality v2|+/-Other|0|41029</t>
  </si>
  <si>
    <t>Portfolio Quality v2|Current Portfolio|0|41060</t>
  </si>
  <si>
    <t>Portfolio Quality v2|PAR (1-30 days)|0|41060</t>
  </si>
  <si>
    <t>Portfolio Quality v2|PAR (30-60 days)|0|41060</t>
  </si>
  <si>
    <t>Portfolio Quality v2|PAR (60-90 days)|0|41060</t>
  </si>
  <si>
    <t>Portfolio Quality v2|PAR (90-120 days)|0|41060</t>
  </si>
  <si>
    <t>Portfolio Quality v2|PAR (120-180 days)|0|41060</t>
  </si>
  <si>
    <t>Portfolio Quality v2|PAR (180 - 360 days)|0|41060</t>
  </si>
  <si>
    <t>Portfolio Quality v2|PAR (&gt;360 days)|0|41060</t>
  </si>
  <si>
    <t>Portfolio Quality v2|Current R+R Loans|0|41060</t>
  </si>
  <si>
    <t>Portfolio Quality v2|PAR (1-30 days) (R+R)|0|41060</t>
  </si>
  <si>
    <t>Portfolio Quality v2|PAR (&gt;30 days)|0|41060</t>
  </si>
  <si>
    <t>Portfolio Quality v2|-Gross Write-Offs**|0|41060</t>
  </si>
  <si>
    <t>Portfolio Quality v2|-Recoveries**|0|41060</t>
  </si>
  <si>
    <t>Portfolio Quality v2|+/-Other|0|41060</t>
  </si>
  <si>
    <t>Portfolio Quality v2|Current Portfolio|0|41090</t>
  </si>
  <si>
    <t>Portfolio Quality v2|PAR (1-30 days)|0|41090</t>
  </si>
  <si>
    <t>Portfolio Quality v2|PAR (30-60 days)|0|41090</t>
  </si>
  <si>
    <t>Portfolio Quality v2|PAR (60-90 days)|0|41090</t>
  </si>
  <si>
    <t>Portfolio Quality v2|PAR (90-120 days)|0|41090</t>
  </si>
  <si>
    <t>Portfolio Quality v2|PAR (120-180 days)|0|41090</t>
  </si>
  <si>
    <t>Portfolio Quality v2|PAR (180 - 360 days)|0|41090</t>
  </si>
  <si>
    <t>Portfolio Quality v2|PAR (&gt;360 days)|0|41090</t>
  </si>
  <si>
    <t>Portfolio Quality v2|Current R+R Loans|0|41090</t>
  </si>
  <si>
    <t>Portfolio Quality v2|PAR (1-30 days) (R+R)|0|41090</t>
  </si>
  <si>
    <t>Portfolio Quality v2|PAR (&gt;30 days)|0|41090</t>
  </si>
  <si>
    <t>Portfolio Quality v2|-Gross Write-Offs**|0|41090</t>
  </si>
  <si>
    <t>Portfolio Quality v2|-Recoveries**|0|41090</t>
  </si>
  <si>
    <t>Portfolio Quality v2|+/-Other|0|41090</t>
  </si>
  <si>
    <t>Portfolio Quality v2|Current Portfolio|0|41121</t>
  </si>
  <si>
    <t>Portfolio Quality v2|PAR (1-30 days)|0|41121</t>
  </si>
  <si>
    <t>Portfolio Quality v2|PAR (30-60 days)|0|41121</t>
  </si>
  <si>
    <t>Portfolio Quality v2|PAR (60-90 days)|0|41121</t>
  </si>
  <si>
    <t>Portfolio Quality v2|PAR (90-120 days)|0|41121</t>
  </si>
  <si>
    <t>Portfolio Quality v2|PAR (120-180 days)|0|41121</t>
  </si>
  <si>
    <t>Portfolio Quality v2|PAR (180 - 360 days)|0|41121</t>
  </si>
  <si>
    <t>Portfolio Quality v2|PAR (&gt;360 days)|0|41121</t>
  </si>
  <si>
    <t>Portfolio Quality v2|Current R+R Loans|0|41121</t>
  </si>
  <si>
    <t>Portfolio Quality v2|PAR (1-30 days) (R+R)|0|41121</t>
  </si>
  <si>
    <t>Portfolio Quality v2|PAR (&gt;30 days)|0|41121</t>
  </si>
  <si>
    <t>Portfolio Quality v2|-Gross Write-Offs**|0|41121</t>
  </si>
  <si>
    <t>Portfolio Quality v2|-Recoveries**|0|41121</t>
  </si>
  <si>
    <t>Portfolio Quality v2|+/-Other|0|41121</t>
  </si>
  <si>
    <t>Portfolio Quality v2|Current Portfolio|0|41152</t>
  </si>
  <si>
    <t>Portfolio Quality v2|PAR (1-30 days)|0|41152</t>
  </si>
  <si>
    <t>Portfolio Quality v2|PAR (30-60 days)|0|41152</t>
  </si>
  <si>
    <t>Portfolio Quality v2|PAR (60-90 days)|0|41152</t>
  </si>
  <si>
    <t>Portfolio Quality v2|PAR (90-120 days)|0|41152</t>
  </si>
  <si>
    <t>Portfolio Quality v2|PAR (120-180 days)|0|41152</t>
  </si>
  <si>
    <t>Portfolio Quality v2|PAR (180 - 360 days)|0|41152</t>
  </si>
  <si>
    <t>Portfolio Quality v2|PAR (&gt;360 days)|0|41152</t>
  </si>
  <si>
    <t>Portfolio Quality v2|Current R+R Loans|0|41152</t>
  </si>
  <si>
    <t>Portfolio Quality v2|PAR (1-30 days) (R+R)|0|41152</t>
  </si>
  <si>
    <t>Portfolio Quality v2|PAR (&gt;30 days)|0|41152</t>
  </si>
  <si>
    <t>Portfolio Quality v2|-Gross Write-Offs**|0|41152</t>
  </si>
  <si>
    <t>Portfolio Quality v2|-Recoveries**|0|41152</t>
  </si>
  <si>
    <t>Portfolio Quality v2|+/-Other|0|41152</t>
  </si>
  <si>
    <t>Portfolio Quality v2|Current Portfolio|0|41182</t>
  </si>
  <si>
    <t>Portfolio Quality v2|PAR (1-30 days)|0|41182</t>
  </si>
  <si>
    <t>Portfolio Quality v2|PAR (30-60 days)|0|41182</t>
  </si>
  <si>
    <t>Portfolio Quality v2|PAR (60-90 days)|0|41182</t>
  </si>
  <si>
    <t>Portfolio Quality v2|PAR (90-120 days)|0|41182</t>
  </si>
  <si>
    <t>Portfolio Quality v2|PAR (120-180 days)|0|41182</t>
  </si>
  <si>
    <t>Portfolio Quality v2|PAR (180 - 360 days)|0|41182</t>
  </si>
  <si>
    <t>Portfolio Quality v2|PAR (&gt;360 days)|0|41182</t>
  </si>
  <si>
    <t>Portfolio Quality v2|Current R+R Loans|0|41182</t>
  </si>
  <si>
    <t>Portfolio Quality v2|PAR (1-30 days) (R+R)|0|41182</t>
  </si>
  <si>
    <t>Portfolio Quality v2|PAR (&gt;30 days)|0|41182</t>
  </si>
  <si>
    <t>Portfolio Quality v2|-Gross Write-Offs**|0|41182</t>
  </si>
  <si>
    <t>Portfolio Quality v2|-Recoveries**|0|41182</t>
  </si>
  <si>
    <t>Portfolio Quality v2|+/-Other|0|41182</t>
  </si>
  <si>
    <t>Portfolio Quality v2|Current Portfolio|0|41213</t>
  </si>
  <si>
    <t>Portfolio Quality v2|PAR (1-30 days)|0|41213</t>
  </si>
  <si>
    <t>Portfolio Quality v2|PAR (30-60 days)|0|41213</t>
  </si>
  <si>
    <t>Portfolio Quality v2|PAR (60-90 days)|0|41213</t>
  </si>
  <si>
    <t>Portfolio Quality v2|PAR (90-120 days)|0|41213</t>
  </si>
  <si>
    <t>Portfolio Quality v2|PAR (120-180 days)|0|41213</t>
  </si>
  <si>
    <t>Portfolio Quality v2|PAR (180 - 360 days)|0|41213</t>
  </si>
  <si>
    <t>Portfolio Quality v2|PAR (&gt;360 days)|0|41213</t>
  </si>
  <si>
    <t>Portfolio Quality v2|Current R+R Loans|0|41213</t>
  </si>
  <si>
    <t>Portfolio Quality v2|PAR (1-30 days) (R+R)|0|41213</t>
  </si>
  <si>
    <t>Portfolio Quality v2|PAR (&gt;30 days)|0|41213</t>
  </si>
  <si>
    <t>Portfolio Quality v2|-Gross Write-Offs**|0|41213</t>
  </si>
  <si>
    <t>Portfolio Quality v2|-Recoveries**|0|41213</t>
  </si>
  <si>
    <t>Portfolio Quality v2|+/-Other|0|41213</t>
  </si>
  <si>
    <t>Portfolio Quality v2|Current Portfolio|0|41243</t>
  </si>
  <si>
    <t>Portfolio Quality v2|PAR (1-30 days)|0|41243</t>
  </si>
  <si>
    <t>Portfolio Quality v2|PAR (30-60 days)|0|41243</t>
  </si>
  <si>
    <t>Portfolio Quality v2|PAR (60-90 days)|0|41243</t>
  </si>
  <si>
    <t>Portfolio Quality v2|PAR (90-120 days)|0|41243</t>
  </si>
  <si>
    <t>Portfolio Quality v2|PAR (120-180 days)|0|41243</t>
  </si>
  <si>
    <t>Portfolio Quality v2|PAR (180 - 360 days)|0|41243</t>
  </si>
  <si>
    <t>Portfolio Quality v2|PAR (&gt;360 days)|0|41243</t>
  </si>
  <si>
    <t>Portfolio Quality v2|Current R+R Loans|0|41243</t>
  </si>
  <si>
    <t>Portfolio Quality v2|PAR (1-30 days) (R+R)|0|41243</t>
  </si>
  <si>
    <t>Portfolio Quality v2|PAR (&gt;30 days)|0|41243</t>
  </si>
  <si>
    <t>Portfolio Quality v2|-Gross Write-Offs**|0|41243</t>
  </si>
  <si>
    <t>Portfolio Quality v2|-Recoveries**|0|41243</t>
  </si>
  <si>
    <t>Portfolio Quality v2|+/-Other|0|41243</t>
  </si>
  <si>
    <t>Portfolio Quality v2|Current Portfolio|0|41274</t>
  </si>
  <si>
    <t>Portfolio Quality v2|PAR (1-30 days)|0|41274</t>
  </si>
  <si>
    <t>Portfolio Quality v2|PAR (30-60 days)|0|41274</t>
  </si>
  <si>
    <t>Portfolio Quality v2|PAR (60-90 days)|0|41274</t>
  </si>
  <si>
    <t>Portfolio Quality v2|PAR (90-120 days)|0|41274</t>
  </si>
  <si>
    <t>Portfolio Quality v2|PAR (120-180 days)|0|41274</t>
  </si>
  <si>
    <t>Portfolio Quality v2|PAR (180 - 360 days)|0|41274</t>
  </si>
  <si>
    <t>Portfolio Quality v2|PAR (&gt;360 days)|0|41274</t>
  </si>
  <si>
    <t>Portfolio Quality v2|Current R+R Loans|0|41274</t>
  </si>
  <si>
    <t>Portfolio Quality v2|PAR (1-30 days) (R+R)|0|41274</t>
  </si>
  <si>
    <t>Portfolio Quality v2|PAR (&gt;30 days)|0|41274</t>
  </si>
  <si>
    <t>Portfolio Quality v2|-Gross Write-Offs**|0|41274</t>
  </si>
  <si>
    <t>Portfolio Quality v2|-Recoveries**|0|41274</t>
  </si>
  <si>
    <t>Portfolio Quality v2|+/-Other|0|41274</t>
  </si>
  <si>
    <t>Organizational Data v2|Voluntary Savers/Depositors|0|40574</t>
  </si>
  <si>
    <t>Organizational Data v2|Active Borrowers|0|40574</t>
  </si>
  <si>
    <t>Organizational Data v2|Loans Outstanding|0|40574</t>
  </si>
  <si>
    <t>Organizational Data v2|Branches, Sub-Branches &amp; All Offices|0|40574</t>
  </si>
  <si>
    <t>Organizational Data v2|All Employees|0|40574</t>
  </si>
  <si>
    <t>Organizational Data v2|Loan Officers|0|40574</t>
  </si>
  <si>
    <t>Organizational Data v2|Voluntary Savers/Depositors|0|40602</t>
  </si>
  <si>
    <t>Organizational Data v2|Active Borrowers|0|40602</t>
  </si>
  <si>
    <t>Organizational Data v2|Loans Outstanding|0|40602</t>
  </si>
  <si>
    <t>Organizational Data v2|Branches, Sub-Branches &amp; All Offices|0|40602</t>
  </si>
  <si>
    <t>Organizational Data v2|All Employees|0|40602</t>
  </si>
  <si>
    <t>Organizational Data v2|Loan Officers|0|40602</t>
  </si>
  <si>
    <t>Organizational Data v2|Voluntary Savers/Depositors|0|40633</t>
  </si>
  <si>
    <t>Organizational Data v2|Active Borrowers|0|40633</t>
  </si>
  <si>
    <t>Organizational Data v2|Loans Outstanding|0|40633</t>
  </si>
  <si>
    <t>Organizational Data v2|Branches, Sub-Branches &amp; All Offices|0|40633</t>
  </si>
  <si>
    <t>Organizational Data v2|All Employees|0|40633</t>
  </si>
  <si>
    <t>Organizational Data v2|Loan Officers|0|40633</t>
  </si>
  <si>
    <t>Organizational Data v2|Voluntary Savers/Depositors|0|40663</t>
  </si>
  <si>
    <t>Organizational Data v2|Active Borrowers|0|40663</t>
  </si>
  <si>
    <t>Organizational Data v2|Loans Outstanding|0|40663</t>
  </si>
  <si>
    <t>Organizational Data v2|Branches, Sub-Branches &amp; All Offices|0|40663</t>
  </si>
  <si>
    <t>Organizational Data v2|All Employees|0|40663</t>
  </si>
  <si>
    <t>Organizational Data v2|Loan Officers|0|40663</t>
  </si>
  <si>
    <t>Organizational Data v2|Voluntary Savers/Depositors|0|40694</t>
  </si>
  <si>
    <t>Organizational Data v2|Active Borrowers|0|40694</t>
  </si>
  <si>
    <t>Organizational Data v2|Loans Outstanding|0|40694</t>
  </si>
  <si>
    <t>Organizational Data v2|Branches, Sub-Branches &amp; All Offices|0|40694</t>
  </si>
  <si>
    <t>Organizational Data v2|All Employees|0|40694</t>
  </si>
  <si>
    <t>Organizational Data v2|Loan Officers|0|40694</t>
  </si>
  <si>
    <t>Organizational Data v2|Voluntary Savers/Depositors|0|40724</t>
  </si>
  <si>
    <t>Organizational Data v2|Active Borrowers|0|40724</t>
  </si>
  <si>
    <t>Organizational Data v2|Loans Outstanding|0|40724</t>
  </si>
  <si>
    <t>Organizational Data v2|Branches, Sub-Branches &amp; All Offices|0|40724</t>
  </si>
  <si>
    <t>Organizational Data v2|All Employees|0|40724</t>
  </si>
  <si>
    <t>Organizational Data v2|Loan Officers|0|40724</t>
  </si>
  <si>
    <t>Organizational Data v2|Voluntary Savers/Depositors|0|40755</t>
  </si>
  <si>
    <t>Organizational Data v2|Active Borrowers|0|40755</t>
  </si>
  <si>
    <t>Organizational Data v2|Loans Outstanding|0|40755</t>
  </si>
  <si>
    <t>Organizational Data v2|Branches, Sub-Branches &amp; All Offices|0|40755</t>
  </si>
  <si>
    <t>Organizational Data v2|All Employees|0|40755</t>
  </si>
  <si>
    <t>Organizational Data v2|Loan Officers|0|40755</t>
  </si>
  <si>
    <t>Organizational Data v2|Voluntary Savers/Depositors|0|40786</t>
  </si>
  <si>
    <t>Organizational Data v2|Active Borrowers|0|40786</t>
  </si>
  <si>
    <t>Organizational Data v2|Loans Outstanding|0|40786</t>
  </si>
  <si>
    <t>Organizational Data v2|Branches, Sub-Branches &amp; All Offices|0|40786</t>
  </si>
  <si>
    <t>Organizational Data v2|All Employees|0|40786</t>
  </si>
  <si>
    <t>Organizational Data v2|Loan Officers|0|40786</t>
  </si>
  <si>
    <t>Organizational Data v2|Voluntary Savers/Depositors|0|40816</t>
  </si>
  <si>
    <t>Organizational Data v2|Active Borrowers|0|40816</t>
  </si>
  <si>
    <t>Organizational Data v2|Loans Outstanding|0|40816</t>
  </si>
  <si>
    <t>Organizational Data v2|Branches, Sub-Branches &amp; All Offices|0|40816</t>
  </si>
  <si>
    <t>Organizational Data v2|All Employees|0|40816</t>
  </si>
  <si>
    <t>Organizational Data v2|Loan Officers|0|40816</t>
  </si>
  <si>
    <t>Organizational Data v2|Voluntary Savers/Depositors|0|40847</t>
  </si>
  <si>
    <t>Organizational Data v2|Active Borrowers|0|40847</t>
  </si>
  <si>
    <t>Organizational Data v2|Loans Outstanding|0|40847</t>
  </si>
  <si>
    <t>Organizational Data v2|Branches, Sub-Branches &amp; All Offices|0|40847</t>
  </si>
  <si>
    <t>Organizational Data v2|All Employees|0|40847</t>
  </si>
  <si>
    <t>Organizational Data v2|Loan Officers|0|40847</t>
  </si>
  <si>
    <t>Organizational Data v2|Voluntary Savers/Depositors|0|40877</t>
  </si>
  <si>
    <t>Organizational Data v2|Active Borrowers|0|40877</t>
  </si>
  <si>
    <t>Organizational Data v2|Loans Outstanding|0|40877</t>
  </si>
  <si>
    <t>Organizational Data v2|Branches, Sub-Branches &amp; All Offices|0|40877</t>
  </si>
  <si>
    <t>Organizational Data v2|All Employees|0|40877</t>
  </si>
  <si>
    <t>Organizational Data v2|Loan Officers|0|40877</t>
  </si>
  <si>
    <t>Organizational Data v2|Voluntary Savers/Depositors|0|40908</t>
  </si>
  <si>
    <t>Organizational Data v2|Active Borrowers|0|40908</t>
  </si>
  <si>
    <t>Organizational Data v2|Loans Outstanding|0|40908</t>
  </si>
  <si>
    <t>Organizational Data v2|Branches, Sub-Branches &amp; All Offices|0|40908</t>
  </si>
  <si>
    <t>Organizational Data v2|All Employees|0|40908</t>
  </si>
  <si>
    <t>Organizational Data v2|Loan Officers|0|40908</t>
  </si>
  <si>
    <t>Organizational Data v2|Voluntary Savers/Depositors|0|40939</t>
  </si>
  <si>
    <t>Organizational Data v2|Active Borrowers|0|40939</t>
  </si>
  <si>
    <t>Organizational Data v2|Loans Outstanding|0|40939</t>
  </si>
  <si>
    <t>Organizational Data v2|Branches, Sub-Branches &amp; All Offices|0|40939</t>
  </si>
  <si>
    <t>Organizational Data v2|All Employees|0|40939</t>
  </si>
  <si>
    <t>Organizational Data v2|Loan Officers|0|40939</t>
  </si>
  <si>
    <t>Organizational Data v2|Voluntary Savers/Depositors|0|40968</t>
  </si>
  <si>
    <t>Organizational Data v2|Active Borrowers|0|40968</t>
  </si>
  <si>
    <t>Organizational Data v2|Loans Outstanding|0|40968</t>
  </si>
  <si>
    <t>Organizational Data v2|Branches, Sub-Branches &amp; All Offices|0|40968</t>
  </si>
  <si>
    <t>Organizational Data v2|All Employees|0|40968</t>
  </si>
  <si>
    <t>Organizational Data v2|Loan Officers|0|40968</t>
  </si>
  <si>
    <t>Organizational Data v2|Voluntary Savers/Depositors|0|40999</t>
  </si>
  <si>
    <t>Organizational Data v2|Active Borrowers|0|40999</t>
  </si>
  <si>
    <t>Organizational Data v2|Loans Outstanding|0|40999</t>
  </si>
  <si>
    <t>Organizational Data v2|Branches, Sub-Branches &amp; All Offices|0|40999</t>
  </si>
  <si>
    <t>Organizational Data v2|All Employees|0|40999</t>
  </si>
  <si>
    <t>Organizational Data v2|Loan Officers|0|40999</t>
  </si>
  <si>
    <t>Organizational Data v2|Voluntary Savers/Depositors|0|41029</t>
  </si>
  <si>
    <t>Organizational Data v2|Active Borrowers|0|41029</t>
  </si>
  <si>
    <t>Organizational Data v2|Loans Outstanding|0|41029</t>
  </si>
  <si>
    <t>Organizational Data v2|Branches, Sub-Branches &amp; All Offices|0|41029</t>
  </si>
  <si>
    <t>Organizational Data v2|All Employees|0|41029</t>
  </si>
  <si>
    <t>Organizational Data v2|Loan Officers|0|41029</t>
  </si>
  <si>
    <t>Organizational Data v2|Voluntary Savers/Depositors|0|41060</t>
  </si>
  <si>
    <t>Organizational Data v2|Active Borrowers|0|41060</t>
  </si>
  <si>
    <t>Organizational Data v2|Loans Outstanding|0|41060</t>
  </si>
  <si>
    <t>Organizational Data v2|Branches, Sub-Branches &amp; All Offices|0|41060</t>
  </si>
  <si>
    <t>Organizational Data v2|All Employees|0|41060</t>
  </si>
  <si>
    <t>Organizational Data v2|Loan Officers|0|41060</t>
  </si>
  <si>
    <t>Organizational Data v2|Voluntary Savers/Depositors|0|41090</t>
  </si>
  <si>
    <t>Organizational Data v2|Active Borrowers|0|41090</t>
  </si>
  <si>
    <t>Organizational Data v2|Loans Outstanding|0|41090</t>
  </si>
  <si>
    <t>Organizational Data v2|Branches, Sub-Branches &amp; All Offices|0|41090</t>
  </si>
  <si>
    <t>Organizational Data v2|All Employees|0|41090</t>
  </si>
  <si>
    <t>Organizational Data v2|Loan Officers|0|41090</t>
  </si>
  <si>
    <t>Organizational Data v2|Voluntary Savers/Depositors|0|41121</t>
  </si>
  <si>
    <t>Organizational Data v2|Active Borrowers|0|41121</t>
  </si>
  <si>
    <t>Organizational Data v2|Loans Outstanding|0|41121</t>
  </si>
  <si>
    <t>Organizational Data v2|Branches, Sub-Branches &amp; All Offices|0|41121</t>
  </si>
  <si>
    <t>Organizational Data v2|All Employees|0|41121</t>
  </si>
  <si>
    <t>Organizational Data v2|Loan Officers|0|41121</t>
  </si>
  <si>
    <t>Organizational Data v2|Voluntary Savers/Depositors|0|41152</t>
  </si>
  <si>
    <t>Organizational Data v2|Active Borrowers|0|41152</t>
  </si>
  <si>
    <t>Organizational Data v2|Loans Outstanding|0|41152</t>
  </si>
  <si>
    <t>Organizational Data v2|Branches, Sub-Branches &amp; All Offices|0|41152</t>
  </si>
  <si>
    <t>Organizational Data v2|All Employees|0|41152</t>
  </si>
  <si>
    <t>Organizational Data v2|Loan Officers|0|41152</t>
  </si>
  <si>
    <t>Organizational Data v2|Voluntary Savers/Depositors|0|41182</t>
  </si>
  <si>
    <t>Organizational Data v2|Active Borrowers|0|41182</t>
  </si>
  <si>
    <t>Organizational Data v2|Loans Outstanding|0|41182</t>
  </si>
  <si>
    <t>Organizational Data v2|Branches, Sub-Branches &amp; All Offices|0|41182</t>
  </si>
  <si>
    <t>Organizational Data v2|All Employees|0|41182</t>
  </si>
  <si>
    <t>Organizational Data v2|Loan Officers|0|41182</t>
  </si>
  <si>
    <t>Organizational Data v2|Voluntary Savers/Depositors|0|41213</t>
  </si>
  <si>
    <t>Organizational Data v2|Active Borrowers|0|41213</t>
  </si>
  <si>
    <t>Organizational Data v2|Loans Outstanding|0|41213</t>
  </si>
  <si>
    <t>Organizational Data v2|Branches, Sub-Branches &amp; All Offices|0|41213</t>
  </si>
  <si>
    <t>Organizational Data v2|All Employees|0|41213</t>
  </si>
  <si>
    <t>Organizational Data v2|Loan Officers|0|41213</t>
  </si>
  <si>
    <t>Organizational Data v2|Voluntary Savers/Depositors|0|41243</t>
  </si>
  <si>
    <t>Organizational Data v2|Active Borrowers|0|41243</t>
  </si>
  <si>
    <t>Organizational Data v2|Loans Outstanding|0|41243</t>
  </si>
  <si>
    <t>Organizational Data v2|Branches, Sub-Branches &amp; All Offices|0|41243</t>
  </si>
  <si>
    <t>Organizational Data v2|All Employees|0|41243</t>
  </si>
  <si>
    <t>Organizational Data v2|Loan Officers|0|41243</t>
  </si>
  <si>
    <t>Organizational Data v2|Voluntary Savers/Depositors|0|41274</t>
  </si>
  <si>
    <t>Organizational Data v2|Active Borrowers|0|41274</t>
  </si>
  <si>
    <t>Organizational Data v2|Loans Outstanding|0|41274</t>
  </si>
  <si>
    <t>Organizational Data v2|Branches, Sub-Branches &amp; All Offices|0|41274</t>
  </si>
  <si>
    <t>Organizational Data v2|All Employees|0|41274</t>
  </si>
  <si>
    <t>Organizational Data v2|Loan Officers|0|41274</t>
  </si>
  <si>
    <t>Aggregated Financials|GLP|0|40209</t>
  </si>
  <si>
    <t>Aggregated Financials|Total Assets|0|40209</t>
  </si>
  <si>
    <t>Aggregated Financials|Total Equity|0|40209</t>
  </si>
  <si>
    <t>Aggregated Financials|Net Income|0|40209</t>
  </si>
  <si>
    <t>Aggregated Financials|January Assets|0|40209</t>
  </si>
  <si>
    <t>Aggregated Financials|January Equity|0|40209</t>
  </si>
  <si>
    <t>Aggregated Financials|LTM GLP|0|40209</t>
  </si>
  <si>
    <t>Aggregated Financials|Loan Loss Reserves|0|40209</t>
  </si>
  <si>
    <t>Aggregated Financials|Total Debt|0|40209</t>
  </si>
  <si>
    <t>Aggregated Financials|Financial Revenue|0|40209</t>
  </si>
  <si>
    <t>Aggregated Financials|Number of Active Borrowers|0|40209</t>
  </si>
  <si>
    <t>Aggregated Financials|Number of Active Loans|0|40209</t>
  </si>
  <si>
    <t>Aggregated Financials|PAR &gt;30|0|40209</t>
  </si>
  <si>
    <t>Aggregated Financials|R +R |0|40209</t>
  </si>
  <si>
    <t>Aggregated Financials|LTM Write-Offs|0|40209</t>
  </si>
  <si>
    <t>Aggregated Financials|Foreign Currency Exposure Asset|0|40209</t>
  </si>
  <si>
    <t>Aggregated Financials|Foreign Currency Liabilities|0|40209</t>
  </si>
  <si>
    <t>Aggregated Financials|Asset Hedges|0|40209</t>
  </si>
  <si>
    <t>Aggregated Financials|Liability Hedges|0|40209</t>
  </si>
  <si>
    <t>Aggregated Financials|PAR &gt;60|0|40209</t>
  </si>
  <si>
    <t>Aggregated Financials|Previous Month Equity|0|40209</t>
  </si>
  <si>
    <t>Aggregated Financials|MONTH FX|0|40209</t>
  </si>
  <si>
    <t>Aggregated Financials|LAST MONTH FX|0|40209</t>
  </si>
  <si>
    <t>Aggregated Financials|YTD FX|0|40209</t>
  </si>
  <si>
    <t>Aggregated Financials|LTM FX|0|40209</t>
  </si>
  <si>
    <t>Aggregated Financials|LTM Average GLP|0|40209</t>
  </si>
  <si>
    <t>Aggregated Financials|LTM Average Assets|0|40209</t>
  </si>
  <si>
    <t>Aggregated Financials|LTM Average Equity|0|40209</t>
  </si>
  <si>
    <t>Aggregated Financials|LTM Average Borrowings|0|40209</t>
  </si>
  <si>
    <t>Aggregated Financials|YTD Average Assets|0|40209</t>
  </si>
  <si>
    <t>Aggregated Financials|YTD Average GLP|0|40209</t>
  </si>
  <si>
    <t>Aggregated Financials|YTD Average Equity|0|40209</t>
  </si>
  <si>
    <t>Aggregated Financials|YTD Average Borrowings|0|40209</t>
  </si>
  <si>
    <t>Aggregated Financials|LTM Net Income|0|40209</t>
  </si>
  <si>
    <t>Aggregated Financials|LTM Financial Revenue|0|40209</t>
  </si>
  <si>
    <t>Aggregated Financials|LTM Financial Expense |0|40209</t>
  </si>
  <si>
    <t>Aggregated Financials|LTM Provisioning Expense |0|40209</t>
  </si>
  <si>
    <t>Aggregated Financials|LTM Operating Expense|0|40209</t>
  </si>
  <si>
    <t>Aggregated Financials|LTM Other Financial Income (Expense)|0|40209</t>
  </si>
  <si>
    <t>Aggregated Financials|Total Borrowings|0|40209</t>
  </si>
  <si>
    <t>Aggregated Financials|Total Interest Bearing Debt |0|40209</t>
  </si>
  <si>
    <t>Aggregated Financials|Savings Accounts|0|40209</t>
  </si>
  <si>
    <t>Aggregated Financials|Operating Expenses|0|40209</t>
  </si>
  <si>
    <t>Aggregated Financials|GLP|0|40237</t>
  </si>
  <si>
    <t>Aggregated Financials|Total Assets|0|40237</t>
  </si>
  <si>
    <t>Aggregated Financials|Total Equity|0|40237</t>
  </si>
  <si>
    <t>Aggregated Financials|Net Income|0|40237</t>
  </si>
  <si>
    <t>Aggregated Financials|January Assets|0|40237</t>
  </si>
  <si>
    <t>Aggregated Financials|January Equity|0|40237</t>
  </si>
  <si>
    <t>Aggregated Financials|LTM GLP|0|40237</t>
  </si>
  <si>
    <t>Aggregated Financials|Loan Loss Reserves|0|40237</t>
  </si>
  <si>
    <t>Aggregated Financials|Total Debt|0|40237</t>
  </si>
  <si>
    <t>Aggregated Financials|Financial Revenue|0|40237</t>
  </si>
  <si>
    <t>Aggregated Financials|Number of Active Borrowers|0|40237</t>
  </si>
  <si>
    <t>Aggregated Financials|Number of Active Loans|0|40237</t>
  </si>
  <si>
    <t>Aggregated Financials|PAR &gt;30|0|40237</t>
  </si>
  <si>
    <t>Aggregated Financials|R +R |0|40237</t>
  </si>
  <si>
    <t>Aggregated Financials|LTM Write-Offs|0|40237</t>
  </si>
  <si>
    <t>Aggregated Financials|Foreign Currency Exposure Asset|0|40237</t>
  </si>
  <si>
    <t>Aggregated Financials|Foreign Currency Liabilities|0|40237</t>
  </si>
  <si>
    <t>Aggregated Financials|Asset Hedges|0|40237</t>
  </si>
  <si>
    <t>Aggregated Financials|Liability Hedges|0|40237</t>
  </si>
  <si>
    <t>Aggregated Financials|PAR &gt;60|0|40237</t>
  </si>
  <si>
    <t>Aggregated Financials|Previous Month Equity|0|40237</t>
  </si>
  <si>
    <t>Aggregated Financials|MONTH FX|0|40237</t>
  </si>
  <si>
    <t>Aggregated Financials|LAST MONTH FX|0|40237</t>
  </si>
  <si>
    <t>Aggregated Financials|YTD FX|0|40237</t>
  </si>
  <si>
    <t>Aggregated Financials|LTM FX|0|40237</t>
  </si>
  <si>
    <t>Aggregated Financials|LTM Average GLP|0|40237</t>
  </si>
  <si>
    <t>Aggregated Financials|LTM Average Assets|0|40237</t>
  </si>
  <si>
    <t>Aggregated Financials|LTM Average Equity|0|40237</t>
  </si>
  <si>
    <t>Aggregated Financials|LTM Average Borrowings|0|40237</t>
  </si>
  <si>
    <t>Aggregated Financials|YTD Average Assets|0|40237</t>
  </si>
  <si>
    <t>Aggregated Financials|YTD Average GLP|0|40237</t>
  </si>
  <si>
    <t>Aggregated Financials|YTD Average Equity|0|40237</t>
  </si>
  <si>
    <t>Aggregated Financials|YTD Average Borrowings|0|40237</t>
  </si>
  <si>
    <t>Aggregated Financials|LTM Net Income|0|40237</t>
  </si>
  <si>
    <t>Aggregated Financials|LTM Financial Revenue|0|40237</t>
  </si>
  <si>
    <t>Aggregated Financials|LTM Financial Expense |0|40237</t>
  </si>
  <si>
    <t>Aggregated Financials|LTM Provisioning Expense |0|40237</t>
  </si>
  <si>
    <t>Aggregated Financials|LTM Operating Expense|0|40237</t>
  </si>
  <si>
    <t>Aggregated Financials|LTM Other Financial Income (Expense)|0|40237</t>
  </si>
  <si>
    <t>Aggregated Financials|Total Borrowings|0|40237</t>
  </si>
  <si>
    <t>Aggregated Financials|Total Interest Bearing Debt |0|40237</t>
  </si>
  <si>
    <t>Aggregated Financials|Savings Accounts|0|40237</t>
  </si>
  <si>
    <t>Aggregated Financials|Operating Expenses|0|40237</t>
  </si>
  <si>
    <t>Aggregated Financials|GLP|0|40268</t>
  </si>
  <si>
    <t>Aggregated Financials|Total Assets|0|40268</t>
  </si>
  <si>
    <t>Aggregated Financials|Total Equity|0|40268</t>
  </si>
  <si>
    <t>Aggregated Financials|Net Income|0|40268</t>
  </si>
  <si>
    <t>Aggregated Financials|January Assets|0|40268</t>
  </si>
  <si>
    <t>Aggregated Financials|January Equity|0|40268</t>
  </si>
  <si>
    <t>Aggregated Financials|LTM GLP|0|40268</t>
  </si>
  <si>
    <t>Aggregated Financials|Loan Loss Reserves|0|40268</t>
  </si>
  <si>
    <t>Aggregated Financials|Total Debt|0|40268</t>
  </si>
  <si>
    <t>Aggregated Financials|Financial Revenue|0|40268</t>
  </si>
  <si>
    <t>Aggregated Financials|Number of Active Borrowers|0|40268</t>
  </si>
  <si>
    <t>Aggregated Financials|Number of Active Loans|0|40268</t>
  </si>
  <si>
    <t>Aggregated Financials|PAR &gt;30|0|40268</t>
  </si>
  <si>
    <t>Aggregated Financials|R +R |0|40268</t>
  </si>
  <si>
    <t>Aggregated Financials|LTM Write-Offs|0|40268</t>
  </si>
  <si>
    <t>Aggregated Financials|Foreign Currency Exposure Asset|0|40268</t>
  </si>
  <si>
    <t>Aggregated Financials|Foreign Currency Liabilities|0|40268</t>
  </si>
  <si>
    <t>Aggregated Financials|Asset Hedges|0|40268</t>
  </si>
  <si>
    <t>Aggregated Financials|Liability Hedges|0|40268</t>
  </si>
  <si>
    <t>Aggregated Financials|PAR &gt;60|0|40268</t>
  </si>
  <si>
    <t>Aggregated Financials|Previous Month Equity|0|40268</t>
  </si>
  <si>
    <t>Aggregated Financials|MONTH FX|0|40268</t>
  </si>
  <si>
    <t>Aggregated Financials|LAST MONTH FX|0|40268</t>
  </si>
  <si>
    <t>Aggregated Financials|YTD FX|0|40268</t>
  </si>
  <si>
    <t>Aggregated Financials|LTM FX|0|40268</t>
  </si>
  <si>
    <t>Aggregated Financials|LTM Average GLP|0|40268</t>
  </si>
  <si>
    <t>Aggregated Financials|LTM Average Assets|0|40268</t>
  </si>
  <si>
    <t>Aggregated Financials|LTM Average Equity|0|40268</t>
  </si>
  <si>
    <t>Aggregated Financials|LTM Average Borrowings|0|40268</t>
  </si>
  <si>
    <t>Aggregated Financials|YTD Average Assets|0|40268</t>
  </si>
  <si>
    <t>Aggregated Financials|YTD Average GLP|0|40268</t>
  </si>
  <si>
    <t>Aggregated Financials|YTD Average Equity|0|40268</t>
  </si>
  <si>
    <t>Aggregated Financials|YTD Average Borrowings|0|40268</t>
  </si>
  <si>
    <t>Aggregated Financials|LTM Net Income|0|40268</t>
  </si>
  <si>
    <t>Aggregated Financials|LTM Financial Revenue|0|40268</t>
  </si>
  <si>
    <t>Aggregated Financials|LTM Financial Expense |0|40268</t>
  </si>
  <si>
    <t>Aggregated Financials|LTM Provisioning Expense |0|40268</t>
  </si>
  <si>
    <t>Aggregated Financials|LTM Operating Expense|0|40268</t>
  </si>
  <si>
    <t>Aggregated Financials|LTM Other Financial Income (Expense)|0|40268</t>
  </si>
  <si>
    <t>Aggregated Financials|Total Borrowings|0|40268</t>
  </si>
  <si>
    <t>Aggregated Financials|Total Interest Bearing Debt |0|40268</t>
  </si>
  <si>
    <t>Aggregated Financials|Savings Accounts|0|40268</t>
  </si>
  <si>
    <t>Aggregated Financials|Operating Expenses|0|40268</t>
  </si>
  <si>
    <t>Aggregated Financials|GLP|0|40298</t>
  </si>
  <si>
    <t>Aggregated Financials|Total Assets|0|40298</t>
  </si>
  <si>
    <t>Aggregated Financials|Total Equity|0|40298</t>
  </si>
  <si>
    <t>Aggregated Financials|Net Income|0|40298</t>
  </si>
  <si>
    <t>Aggregated Financials|January Assets|0|40298</t>
  </si>
  <si>
    <t>Aggregated Financials|January Equity|0|40298</t>
  </si>
  <si>
    <t>Aggregated Financials|LTM GLP|0|40298</t>
  </si>
  <si>
    <t>Aggregated Financials|Loan Loss Reserves|0|40298</t>
  </si>
  <si>
    <t>Aggregated Financials|Total Debt|0|40298</t>
  </si>
  <si>
    <t>Aggregated Financials|Financial Revenue|0|40298</t>
  </si>
  <si>
    <t>Aggregated Financials|Number of Active Borrowers|0|40298</t>
  </si>
  <si>
    <t>Aggregated Financials|Number of Active Loans|0|40298</t>
  </si>
  <si>
    <t>Aggregated Financials|PAR &gt;30|0|40298</t>
  </si>
  <si>
    <t>Aggregated Financials|R +R |0|40298</t>
  </si>
  <si>
    <t>Aggregated Financials|LTM Write-Offs|0|40298</t>
  </si>
  <si>
    <t>Aggregated Financials|Foreign Currency Exposure Asset|0|40298</t>
  </si>
  <si>
    <t>Aggregated Financials|Foreign Currency Liabilities|0|40298</t>
  </si>
  <si>
    <t>Aggregated Financials|Asset Hedges|0|40298</t>
  </si>
  <si>
    <t>Aggregated Financials|Liability Hedges|0|40298</t>
  </si>
  <si>
    <t>Aggregated Financials|PAR &gt;60|0|40298</t>
  </si>
  <si>
    <t>Aggregated Financials|Previous Month Equity|0|40298</t>
  </si>
  <si>
    <t>Aggregated Financials|MONTH FX|0|40298</t>
  </si>
  <si>
    <t>Aggregated Financials|LAST MONTH FX|0|40298</t>
  </si>
  <si>
    <t>Aggregated Financials|YTD FX|0|40298</t>
  </si>
  <si>
    <t>Aggregated Financials|LTM FX|0|40298</t>
  </si>
  <si>
    <t>Aggregated Financials|LTM Average GLP|0|40298</t>
  </si>
  <si>
    <t>Aggregated Financials|LTM Average Assets|0|40298</t>
  </si>
  <si>
    <t>Aggregated Financials|LTM Average Equity|0|40298</t>
  </si>
  <si>
    <t>Aggregated Financials|LTM Average Borrowings|0|40298</t>
  </si>
  <si>
    <t>Aggregated Financials|YTD Average Assets|0|40298</t>
  </si>
  <si>
    <t>Aggregated Financials|YTD Average GLP|0|40298</t>
  </si>
  <si>
    <t>Aggregated Financials|YTD Average Equity|0|40298</t>
  </si>
  <si>
    <t>Aggregated Financials|YTD Average Borrowings|0|40298</t>
  </si>
  <si>
    <t>Aggregated Financials|LTM Net Income|0|40298</t>
  </si>
  <si>
    <t>Aggregated Financials|LTM Financial Revenue|0|40298</t>
  </si>
  <si>
    <t>Aggregated Financials|LTM Financial Expense |0|40298</t>
  </si>
  <si>
    <t>Aggregated Financials|LTM Provisioning Expense |0|40298</t>
  </si>
  <si>
    <t>Aggregated Financials|LTM Operating Expense|0|40298</t>
  </si>
  <si>
    <t>Aggregated Financials|LTM Other Financial Income (Expense)|0|40298</t>
  </si>
  <si>
    <t>Aggregated Financials|Total Borrowings|0|40298</t>
  </si>
  <si>
    <t>Aggregated Financials|Total Interest Bearing Debt |0|40298</t>
  </si>
  <si>
    <t>Aggregated Financials|Savings Accounts|0|40298</t>
  </si>
  <si>
    <t>Aggregated Financials|Operating Expenses|0|40298</t>
  </si>
  <si>
    <t>Aggregated Financials|GLP|0|40329</t>
  </si>
  <si>
    <t>Aggregated Financials|Total Assets|0|40329</t>
  </si>
  <si>
    <t>Aggregated Financials|Total Equity|0|40329</t>
  </si>
  <si>
    <t>Aggregated Financials|Net Income|0|40329</t>
  </si>
  <si>
    <t>Aggregated Financials|January Assets|0|40329</t>
  </si>
  <si>
    <t>Aggregated Financials|January Equity|0|40329</t>
  </si>
  <si>
    <t>Aggregated Financials|LTM GLP|0|40329</t>
  </si>
  <si>
    <t>Aggregated Financials|Loan Loss Reserves|0|40329</t>
  </si>
  <si>
    <t>Aggregated Financials|Total Debt|0|40329</t>
  </si>
  <si>
    <t>Aggregated Financials|Financial Revenue|0|40329</t>
  </si>
  <si>
    <t>Aggregated Financials|Number of Active Borrowers|0|40329</t>
  </si>
  <si>
    <t>Aggregated Financials|Number of Active Loans|0|40329</t>
  </si>
  <si>
    <t>Aggregated Financials|PAR &gt;30|0|40329</t>
  </si>
  <si>
    <t>Aggregated Financials|R +R |0|40329</t>
  </si>
  <si>
    <t>Aggregated Financials|LTM Write-Offs|0|40329</t>
  </si>
  <si>
    <t>Aggregated Financials|Foreign Currency Exposure Asset|0|40329</t>
  </si>
  <si>
    <t>Aggregated Financials|Foreign Currency Liabilities|0|40329</t>
  </si>
  <si>
    <t>Aggregated Financials|Asset Hedges|0|40329</t>
  </si>
  <si>
    <t>Aggregated Financials|Liability Hedges|0|40329</t>
  </si>
  <si>
    <t>Aggregated Financials|PAR &gt;60|0|40329</t>
  </si>
  <si>
    <t>Aggregated Financials|Previous Month Equity|0|40329</t>
  </si>
  <si>
    <t>Aggregated Financials|MONTH FX|0|40329</t>
  </si>
  <si>
    <t>Aggregated Financials|LAST MONTH FX|0|40329</t>
  </si>
  <si>
    <t>Aggregated Financials|YTD FX|0|40329</t>
  </si>
  <si>
    <t>Aggregated Financials|LTM FX|0|40329</t>
  </si>
  <si>
    <t>Aggregated Financials|LTM Average GLP|0|40329</t>
  </si>
  <si>
    <t>Aggregated Financials|LTM Average Assets|0|40329</t>
  </si>
  <si>
    <t>Aggregated Financials|LTM Average Equity|0|40329</t>
  </si>
  <si>
    <t>Aggregated Financials|LTM Average Borrowings|0|40329</t>
  </si>
  <si>
    <t>Aggregated Financials|YTD Average Assets|0|40329</t>
  </si>
  <si>
    <t>Aggregated Financials|YTD Average GLP|0|40329</t>
  </si>
  <si>
    <t>Aggregated Financials|YTD Average Equity|0|40329</t>
  </si>
  <si>
    <t>Aggregated Financials|YTD Average Borrowings|0|40329</t>
  </si>
  <si>
    <t>Aggregated Financials|LTM Net Income|0|40329</t>
  </si>
  <si>
    <t>Aggregated Financials|LTM Financial Revenue|0|40329</t>
  </si>
  <si>
    <t>Aggregated Financials|LTM Financial Expense |0|40329</t>
  </si>
  <si>
    <t>Aggregated Financials|LTM Provisioning Expense |0|40329</t>
  </si>
  <si>
    <t>Aggregated Financials|LTM Operating Expense|0|40329</t>
  </si>
  <si>
    <t>Aggregated Financials|LTM Other Financial Income (Expense)|0|40329</t>
  </si>
  <si>
    <t>Aggregated Financials|Total Borrowings|0|40329</t>
  </si>
  <si>
    <t>Aggregated Financials|Total Interest Bearing Debt |0|40329</t>
  </si>
  <si>
    <t>Aggregated Financials|Savings Accounts|0|40329</t>
  </si>
  <si>
    <t>Aggregated Financials|Operating Expenses|0|40329</t>
  </si>
  <si>
    <t>Aggregated Financials|GLP|0|40359</t>
  </si>
  <si>
    <t>Aggregated Financials|Total Assets|0|40359</t>
  </si>
  <si>
    <t>Aggregated Financials|Total Equity|0|40359</t>
  </si>
  <si>
    <t>Aggregated Financials|Net Income|0|40359</t>
  </si>
  <si>
    <t>Aggregated Financials|January Assets|0|40359</t>
  </si>
  <si>
    <t>Aggregated Financials|January Equity|0|40359</t>
  </si>
  <si>
    <t>Aggregated Financials|LTM GLP|0|40359</t>
  </si>
  <si>
    <t>Aggregated Financials|Loan Loss Reserves|0|40359</t>
  </si>
  <si>
    <t>Aggregated Financials|Total Debt|0|40359</t>
  </si>
  <si>
    <t>Aggregated Financials|Financial Revenue|0|40359</t>
  </si>
  <si>
    <t>Aggregated Financials|Number of Active Borrowers|0|40359</t>
  </si>
  <si>
    <t>Aggregated Financials|Number of Active Loans|0|40359</t>
  </si>
  <si>
    <t>Aggregated Financials|PAR &gt;30|0|40359</t>
  </si>
  <si>
    <t>Aggregated Financials|R +R |0|40359</t>
  </si>
  <si>
    <t>Aggregated Financials|LTM Write-Offs|0|40359</t>
  </si>
  <si>
    <t>Aggregated Financials|Foreign Currency Exposure Asset|0|40359</t>
  </si>
  <si>
    <t>Aggregated Financials|Foreign Currency Liabilities|0|40359</t>
  </si>
  <si>
    <t>Aggregated Financials|Asset Hedges|0|40359</t>
  </si>
  <si>
    <t>Aggregated Financials|Liability Hedges|0|40359</t>
  </si>
  <si>
    <t>Aggregated Financials|PAR &gt;60|0|40359</t>
  </si>
  <si>
    <t>Aggregated Financials|Previous Month Equity|0|40359</t>
  </si>
  <si>
    <t>Aggregated Financials|MONTH FX|0|40359</t>
  </si>
  <si>
    <t>Aggregated Financials|LAST MONTH FX|0|40359</t>
  </si>
  <si>
    <t>Aggregated Financials|YTD FX|0|40359</t>
  </si>
  <si>
    <t>Aggregated Financials|LTM FX|0|40359</t>
  </si>
  <si>
    <t>Aggregated Financials|LTM Average GLP|0|40359</t>
  </si>
  <si>
    <t>Aggregated Financials|LTM Average Assets|0|40359</t>
  </si>
  <si>
    <t>Aggregated Financials|LTM Average Equity|0|40359</t>
  </si>
  <si>
    <t>Aggregated Financials|LTM Average Borrowings|0|40359</t>
  </si>
  <si>
    <t>Aggregated Financials|YTD Average Assets|0|40359</t>
  </si>
  <si>
    <t>Aggregated Financials|YTD Average GLP|0|40359</t>
  </si>
  <si>
    <t>Aggregated Financials|YTD Average Equity|0|40359</t>
  </si>
  <si>
    <t>Aggregated Financials|YTD Average Borrowings|0|40359</t>
  </si>
  <si>
    <t>Aggregated Financials|LTM Net Income|0|40359</t>
  </si>
  <si>
    <t>Aggregated Financials|LTM Financial Revenue|0|40359</t>
  </si>
  <si>
    <t>Aggregated Financials|LTM Financial Expense |0|40359</t>
  </si>
  <si>
    <t>Aggregated Financials|LTM Provisioning Expense |0|40359</t>
  </si>
  <si>
    <t>Aggregated Financials|LTM Operating Expense|0|40359</t>
  </si>
  <si>
    <t>Aggregated Financials|LTM Other Financial Income (Expense)|0|40359</t>
  </si>
  <si>
    <t>Aggregated Financials|Total Borrowings|0|40359</t>
  </si>
  <si>
    <t>Aggregated Financials|Total Interest Bearing Debt |0|40359</t>
  </si>
  <si>
    <t>Aggregated Financials|Savings Accounts|0|40359</t>
  </si>
  <si>
    <t>Aggregated Financials|Operating Expenses|0|40359</t>
  </si>
  <si>
    <t>Aggregated Financials|LTM Net Income (After Taxes &amp; Before Donations) |0|40359</t>
  </si>
  <si>
    <t xml:space="preserve">LTM Net Income (After Taxes &amp; Before Donations) </t>
  </si>
  <si>
    <t>Aggregated Financials|Net Income (After Taxes &amp; Before Donations) |0|40359</t>
  </si>
  <si>
    <t xml:space="preserve">Net Income (After Taxes &amp; Before Donations) </t>
  </si>
  <si>
    <t>Aggregated Financials|LTM Savings Accounts|0|40359</t>
  </si>
  <si>
    <t>Aggregated Financials|GLP|0|40390</t>
  </si>
  <si>
    <t>Aggregated Financials|Total Assets|0|40390</t>
  </si>
  <si>
    <t>Aggregated Financials|Total Equity|0|40390</t>
  </si>
  <si>
    <t>Aggregated Financials|Net Income|0|40390</t>
  </si>
  <si>
    <t>Aggregated Financials|January Assets|0|40390</t>
  </si>
  <si>
    <t>Aggregated Financials|January Equity|0|40390</t>
  </si>
  <si>
    <t>Aggregated Financials|LTM GLP|0|40390</t>
  </si>
  <si>
    <t>Aggregated Financials|Loan Loss Reserves|0|40390</t>
  </si>
  <si>
    <t>Aggregated Financials|Total Debt|0|40390</t>
  </si>
  <si>
    <t>Aggregated Financials|Financial Revenue|0|40390</t>
  </si>
  <si>
    <t>Aggregated Financials|Number of Active Borrowers|0|40390</t>
  </si>
  <si>
    <t>Aggregated Financials|Number of Active Loans|0|40390</t>
  </si>
  <si>
    <t>Aggregated Financials|PAR &gt;30|0|40390</t>
  </si>
  <si>
    <t>Aggregated Financials|R +R |0|40390</t>
  </si>
  <si>
    <t>Aggregated Financials|LTM Write-Offs|0|40390</t>
  </si>
  <si>
    <t>Aggregated Financials|Foreign Currency Exposure Asset|0|40390</t>
  </si>
  <si>
    <t>Aggregated Financials|Foreign Currency Liabilities|0|40390</t>
  </si>
  <si>
    <t>Aggregated Financials|Asset Hedges|0|40390</t>
  </si>
  <si>
    <t>Aggregated Financials|Liability Hedges|0|40390</t>
  </si>
  <si>
    <t>Aggregated Financials|PAR &gt;60|0|40390</t>
  </si>
  <si>
    <t>Aggregated Financials|Previous Month Equity|0|40390</t>
  </si>
  <si>
    <t>Aggregated Financials|MONTH FX|0|40390</t>
  </si>
  <si>
    <t>Aggregated Financials|LAST MONTH FX|0|40390</t>
  </si>
  <si>
    <t>Aggregated Financials|YTD FX|0|40390</t>
  </si>
  <si>
    <t>Aggregated Financials|LTM FX|0|40390</t>
  </si>
  <si>
    <t>Aggregated Financials|LTM Average GLP|0|40390</t>
  </si>
  <si>
    <t>Aggregated Financials|LTM Average Assets|0|40390</t>
  </si>
  <si>
    <t>Aggregated Financials|LTM Average Equity|0|40390</t>
  </si>
  <si>
    <t>Aggregated Financials|LTM Average Borrowings|0|40390</t>
  </si>
  <si>
    <t>Aggregated Financials|YTD Average Assets|0|40390</t>
  </si>
  <si>
    <t>Aggregated Financials|YTD Average GLP|0|40390</t>
  </si>
  <si>
    <t>Aggregated Financials|YTD Average Equity|0|40390</t>
  </si>
  <si>
    <t>Aggregated Financials|YTD Average Borrowings|0|40390</t>
  </si>
  <si>
    <t>Aggregated Financials|LTM Net Income|0|40390</t>
  </si>
  <si>
    <t>Aggregated Financials|LTM Financial Revenue|0|40390</t>
  </si>
  <si>
    <t>Aggregated Financials|LTM Financial Expense |0|40390</t>
  </si>
  <si>
    <t>Aggregated Financials|LTM Provisioning Expense |0|40390</t>
  </si>
  <si>
    <t>Aggregated Financials|LTM Operating Expense|0|40390</t>
  </si>
  <si>
    <t>Aggregated Financials|LTM Other Financial Income (Expense)|0|40390</t>
  </si>
  <si>
    <t>Aggregated Financials|Total Borrowings|0|40390</t>
  </si>
  <si>
    <t>Aggregated Financials|Total Interest Bearing Debt |0|40390</t>
  </si>
  <si>
    <t>Aggregated Financials|Savings Accounts|0|40390</t>
  </si>
  <si>
    <t>Aggregated Financials|Operating Expenses|0|40390</t>
  </si>
  <si>
    <t>Aggregated Financials|LTM Net Income (After Taxes &amp; Before Donations) |0|40390</t>
  </si>
  <si>
    <t>Aggregated Financials|Net Income (After Taxes &amp; Before Donations) |0|40390</t>
  </si>
  <si>
    <t>Aggregated Financials|LTM Savings Accounts|0|40390</t>
  </si>
  <si>
    <t>Aggregated Financials|PAR &gt;90|0|40390</t>
  </si>
  <si>
    <t>Aggregated Financials|GLP|0|40421</t>
  </si>
  <si>
    <t>Aggregated Financials|Total Assets|0|40421</t>
  </si>
  <si>
    <t>Aggregated Financials|Total Equity|0|40421</t>
  </si>
  <si>
    <t>Aggregated Financials|Net Income|0|40421</t>
  </si>
  <si>
    <t>Aggregated Financials|January Assets|0|40421</t>
  </si>
  <si>
    <t>Aggregated Financials|January Equity|0|40421</t>
  </si>
  <si>
    <t>Aggregated Financials|LTM GLP|0|40421</t>
  </si>
  <si>
    <t>Aggregated Financials|Loan Loss Reserves|0|40421</t>
  </si>
  <si>
    <t>Aggregated Financials|Total Debt|0|40421</t>
  </si>
  <si>
    <t>Aggregated Financials|Financial Revenue|0|40421</t>
  </si>
  <si>
    <t>Aggregated Financials|Number of Active Borrowers|0|40421</t>
  </si>
  <si>
    <t>Aggregated Financials|Number of Active Loans|0|40421</t>
  </si>
  <si>
    <t>Aggregated Financials|PAR &gt;30|0|40421</t>
  </si>
  <si>
    <t>Aggregated Financials|R +R |0|40421</t>
  </si>
  <si>
    <t>Aggregated Financials|LTM Write-Offs|0|40421</t>
  </si>
  <si>
    <t>Aggregated Financials|Foreign Currency Exposure Asset|0|40421</t>
  </si>
  <si>
    <t>Aggregated Financials|Foreign Currency Liabilities|0|40421</t>
  </si>
  <si>
    <t>Aggregated Financials|Asset Hedges|0|40421</t>
  </si>
  <si>
    <t>Aggregated Financials|Liability Hedges|0|40421</t>
  </si>
  <si>
    <t>Aggregated Financials|PAR &gt;60|0|40421</t>
  </si>
  <si>
    <t>Aggregated Financials|Previous Month Equity|0|40421</t>
  </si>
  <si>
    <t>Aggregated Financials|MONTH FX|0|40421</t>
  </si>
  <si>
    <t>Aggregated Financials|LAST MONTH FX|0|40421</t>
  </si>
  <si>
    <t>Aggregated Financials|YTD FX|0|40421</t>
  </si>
  <si>
    <t>Aggregated Financials|LTM FX|0|40421</t>
  </si>
  <si>
    <t>Aggregated Financials|LTM Average GLP|0|40421</t>
  </si>
  <si>
    <t>Aggregated Financials|LTM Average Assets|0|40421</t>
  </si>
  <si>
    <t>Aggregated Financials|LTM Average Equity|0|40421</t>
  </si>
  <si>
    <t>Aggregated Financials|LTM Average Borrowings|0|40421</t>
  </si>
  <si>
    <t>Aggregated Financials|YTD Average Assets|0|40421</t>
  </si>
  <si>
    <t>Aggregated Financials|YTD Average GLP|0|40421</t>
  </si>
  <si>
    <t>Aggregated Financials|YTD Average Equity|0|40421</t>
  </si>
  <si>
    <t>Aggregated Financials|YTD Average Borrowings|0|40421</t>
  </si>
  <si>
    <t>Aggregated Financials|LTM Net Income|0|40421</t>
  </si>
  <si>
    <t>Aggregated Financials|LTM Financial Revenue|0|40421</t>
  </si>
  <si>
    <t>Aggregated Financials|LTM Financial Expense |0|40421</t>
  </si>
  <si>
    <t>Aggregated Financials|LTM Provisioning Expense |0|40421</t>
  </si>
  <si>
    <t>Aggregated Financials|LTM Operating Expense|0|40421</t>
  </si>
  <si>
    <t>Aggregated Financials|LTM Other Financial Income (Expense)|0|40421</t>
  </si>
  <si>
    <t>Aggregated Financials|Total Borrowings|0|40421</t>
  </si>
  <si>
    <t>Aggregated Financials|Total Interest Bearing Debt |0|40421</t>
  </si>
  <si>
    <t>Aggregated Financials|Savings Accounts|0|40421</t>
  </si>
  <si>
    <t>Aggregated Financials|Operating Expenses|0|40421</t>
  </si>
  <si>
    <t>Aggregated Financials|LTM Net Income (After Taxes &amp; Before Donations) |0|40421</t>
  </si>
  <si>
    <t>Aggregated Financials|Net Income (After Taxes &amp; Before Donations) |0|40421</t>
  </si>
  <si>
    <t>Aggregated Financials|LTM Savings Accounts|0|40421</t>
  </si>
  <si>
    <t>Aggregated Financials|PAR &gt;90|0|40421</t>
  </si>
  <si>
    <t>Aggregated Financials|GLP|0|40451</t>
  </si>
  <si>
    <t>Aggregated Financials|Total Assets|0|40451</t>
  </si>
  <si>
    <t>Aggregated Financials|Total Equity|0|40451</t>
  </si>
  <si>
    <t>Aggregated Financials|Net Income|0|40451</t>
  </si>
  <si>
    <t>Aggregated Financials|January Assets|0|40451</t>
  </si>
  <si>
    <t>Aggregated Financials|January Equity|0|40451</t>
  </si>
  <si>
    <t>Aggregated Financials|LTM GLP|0|40451</t>
  </si>
  <si>
    <t>Aggregated Financials|Loan Loss Reserves|0|40451</t>
  </si>
  <si>
    <t>Aggregated Financials|Total Debt|0|40451</t>
  </si>
  <si>
    <t>Aggregated Financials|Financial Revenue|0|40451</t>
  </si>
  <si>
    <t>Aggregated Financials|Number of Active Borrowers|0|40451</t>
  </si>
  <si>
    <t>Aggregated Financials|Number of Active Loans|0|40451</t>
  </si>
  <si>
    <t>Aggregated Financials|PAR &gt;30|0|40451</t>
  </si>
  <si>
    <t>Aggregated Financials|R +R |0|40451</t>
  </si>
  <si>
    <t>Aggregated Financials|LTM Write-Offs|0|40451</t>
  </si>
  <si>
    <t>Aggregated Financials|Foreign Currency Exposure Asset|0|40451</t>
  </si>
  <si>
    <t>Aggregated Financials|Foreign Currency Liabilities|0|40451</t>
  </si>
  <si>
    <t>Aggregated Financials|Asset Hedges|0|40451</t>
  </si>
  <si>
    <t>Aggregated Financials|Liability Hedges|0|40451</t>
  </si>
  <si>
    <t>Aggregated Financials|PAR &gt;60|0|40451</t>
  </si>
  <si>
    <t>Aggregated Financials|Previous Month Equity|0|40451</t>
  </si>
  <si>
    <t>Aggregated Financials|MONTH FX|0|40451</t>
  </si>
  <si>
    <t>Aggregated Financials|LAST MONTH FX|0|40451</t>
  </si>
  <si>
    <t>Aggregated Financials|YTD FX|0|40451</t>
  </si>
  <si>
    <t>Aggregated Financials|LTM FX|0|40451</t>
  </si>
  <si>
    <t>Aggregated Financials|LTM Average GLP|0|40451</t>
  </si>
  <si>
    <t>Aggregated Financials|LTM Average Assets|0|40451</t>
  </si>
  <si>
    <t>Aggregated Financials|LTM Average Equity|0|40451</t>
  </si>
  <si>
    <t>Aggregated Financials|LTM Average Borrowings|0|40451</t>
  </si>
  <si>
    <t>Aggregated Financials|YTD Average Assets|0|40451</t>
  </si>
  <si>
    <t>Aggregated Financials|YTD Average GLP|0|40451</t>
  </si>
  <si>
    <t>Aggregated Financials|YTD Average Equity|0|40451</t>
  </si>
  <si>
    <t>Aggregated Financials|YTD Average Borrowings|0|40451</t>
  </si>
  <si>
    <t>Aggregated Financials|LTM Net Income|0|40451</t>
  </si>
  <si>
    <t>Aggregated Financials|LTM Financial Revenue|0|40451</t>
  </si>
  <si>
    <t>Aggregated Financials|LTM Financial Expense |0|40451</t>
  </si>
  <si>
    <t>Aggregated Financials|LTM Provisioning Expense |0|40451</t>
  </si>
  <si>
    <t>Aggregated Financials|LTM Operating Expense|0|40451</t>
  </si>
  <si>
    <t>Aggregated Financials|LTM Other Financial Income (Expense)|0|40451</t>
  </si>
  <si>
    <t>Aggregated Financials|Total Borrowings|0|40451</t>
  </si>
  <si>
    <t>Aggregated Financials|Total Interest Bearing Debt |0|40451</t>
  </si>
  <si>
    <t>Aggregated Financials|Savings Accounts|0|40451</t>
  </si>
  <si>
    <t>Aggregated Financials|Operating Expenses|0|40451</t>
  </si>
  <si>
    <t>Aggregated Financials|LTM Net Income (After Taxes &amp; Before Donations) |0|40451</t>
  </si>
  <si>
    <t>Aggregated Financials|Net Income (After Taxes &amp; Before Donations) |0|40451</t>
  </si>
  <si>
    <t>Aggregated Financials|LTM Savings Accounts|0|40451</t>
  </si>
  <si>
    <t>Aggregated Financials|PAR &gt;90|0|40451</t>
  </si>
  <si>
    <t>Aggregated Financials|GLP|0|40482</t>
  </si>
  <si>
    <t>Aggregated Financials|Total Assets|0|40482</t>
  </si>
  <si>
    <t>Aggregated Financials|Total Equity|0|40482</t>
  </si>
  <si>
    <t>Aggregated Financials|Net Income|0|40482</t>
  </si>
  <si>
    <t>Aggregated Financials|January Assets|0|40482</t>
  </si>
  <si>
    <t>Aggregated Financials|January Equity|0|40482</t>
  </si>
  <si>
    <t>Aggregated Financials|LTM GLP|0|40482</t>
  </si>
  <si>
    <t>Aggregated Financials|Loan Loss Reserves|0|40482</t>
  </si>
  <si>
    <t>Aggregated Financials|Total Debt|0|40482</t>
  </si>
  <si>
    <t>Aggregated Financials|Financial Revenue|0|40482</t>
  </si>
  <si>
    <t>Aggregated Financials|Number of Active Borrowers|0|40482</t>
  </si>
  <si>
    <t>Aggregated Financials|Number of Active Loans|0|40482</t>
  </si>
  <si>
    <t>Aggregated Financials|PAR &gt;30|0|40482</t>
  </si>
  <si>
    <t>Aggregated Financials|R +R |0|40482</t>
  </si>
  <si>
    <t>Aggregated Financials|LTM Write-Offs|0|40482</t>
  </si>
  <si>
    <t>Aggregated Financials|Foreign Currency Exposure Asset|0|40482</t>
  </si>
  <si>
    <t>Aggregated Financials|Foreign Currency Liabilities|0|40482</t>
  </si>
  <si>
    <t>Aggregated Financials|Asset Hedges|0|40482</t>
  </si>
  <si>
    <t>Aggregated Financials|Liability Hedges|0|40482</t>
  </si>
  <si>
    <t>Aggregated Financials|PAR &gt;60|0|40482</t>
  </si>
  <si>
    <t>Aggregated Financials|Previous Month Equity|0|40482</t>
  </si>
  <si>
    <t>Aggregated Financials|MONTH FX|0|40482</t>
  </si>
  <si>
    <t>Aggregated Financials|LAST MONTH FX|0|40482</t>
  </si>
  <si>
    <t>Aggregated Financials|YTD FX|0|40482</t>
  </si>
  <si>
    <t>Aggregated Financials|LTM FX|0|40482</t>
  </si>
  <si>
    <t>Aggregated Financials|LTM Average GLP|0|40482</t>
  </si>
  <si>
    <t>Aggregated Financials|LTM Average Assets|0|40482</t>
  </si>
  <si>
    <t>Aggregated Financials|LTM Average Equity|0|40482</t>
  </si>
  <si>
    <t>Aggregated Financials|LTM Average Borrowings|0|40482</t>
  </si>
  <si>
    <t>Aggregated Financials|YTD Average Assets|0|40482</t>
  </si>
  <si>
    <t>Aggregated Financials|YTD Average GLP|0|40482</t>
  </si>
  <si>
    <t>Aggregated Financials|YTD Average Equity|0|40482</t>
  </si>
  <si>
    <t>Aggregated Financials|YTD Average Borrowings|0|40482</t>
  </si>
  <si>
    <t>Aggregated Financials|LTM Net Income|0|40482</t>
  </si>
  <si>
    <t>Aggregated Financials|LTM Financial Revenue|0|40482</t>
  </si>
  <si>
    <t>Aggregated Financials|LTM Financial Expense |0|40482</t>
  </si>
  <si>
    <t>Aggregated Financials|LTM Provisioning Expense |0|40482</t>
  </si>
  <si>
    <t>Aggregated Financials|LTM Operating Expense|0|40482</t>
  </si>
  <si>
    <t>Aggregated Financials|LTM Other Financial Income (Expense)|0|40482</t>
  </si>
  <si>
    <t>Aggregated Financials|Total Borrowings|0|40482</t>
  </si>
  <si>
    <t>Aggregated Financials|Total Interest Bearing Debt |0|40482</t>
  </si>
  <si>
    <t>Aggregated Financials|Savings Accounts|0|40482</t>
  </si>
  <si>
    <t>Aggregated Financials|Operating Expenses|0|40482</t>
  </si>
  <si>
    <t>Aggregated Financials|LTM Net Income (After Taxes &amp; Before Donations) |0|40482</t>
  </si>
  <si>
    <t>Aggregated Financials|Net Income (After Taxes &amp; Before Donations) |0|40482</t>
  </si>
  <si>
    <t>Aggregated Financials|LTM Savings Accounts|0|40482</t>
  </si>
  <si>
    <t>Aggregated Financials|PAR &gt;90|0|40482</t>
  </si>
  <si>
    <t>Aggregated Financials|GLP|0|40512</t>
  </si>
  <si>
    <t>Aggregated Financials|Total Assets|0|40512</t>
  </si>
  <si>
    <t>Aggregated Financials|Total Equity|0|40512</t>
  </si>
  <si>
    <t>Aggregated Financials|Net Income|0|40512</t>
  </si>
  <si>
    <t>Aggregated Financials|January Assets|0|40512</t>
  </si>
  <si>
    <t>Aggregated Financials|January Equity|0|40512</t>
  </si>
  <si>
    <t>Aggregated Financials|LTM GLP|0|40512</t>
  </si>
  <si>
    <t>Aggregated Financials|Loan Loss Reserves|0|40512</t>
  </si>
  <si>
    <t>Aggregated Financials|Total Debt|0|40512</t>
  </si>
  <si>
    <t>Aggregated Financials|Financial Revenue|0|40512</t>
  </si>
  <si>
    <t>Aggregated Financials|Number of Active Borrowers|0|40512</t>
  </si>
  <si>
    <t>Aggregated Financials|Number of Active Loans|0|40512</t>
  </si>
  <si>
    <t>Aggregated Financials|PAR &gt;30|0|40512</t>
  </si>
  <si>
    <t>Aggregated Financials|R +R |0|40512</t>
  </si>
  <si>
    <t>Aggregated Financials|LTM Write-Offs|0|40512</t>
  </si>
  <si>
    <t>Aggregated Financials|Foreign Currency Exposure Asset|0|40512</t>
  </si>
  <si>
    <t>Aggregated Financials|Foreign Currency Liabilities|0|40512</t>
  </si>
  <si>
    <t>Aggregated Financials|Asset Hedges|0|40512</t>
  </si>
  <si>
    <t>Aggregated Financials|Liability Hedges|0|40512</t>
  </si>
  <si>
    <t>Aggregated Financials|PAR &gt;60|0|40512</t>
  </si>
  <si>
    <t>Aggregated Financials|Previous Month Equity|0|40512</t>
  </si>
  <si>
    <t>Aggregated Financials|MONTH FX|0|40512</t>
  </si>
  <si>
    <t>Aggregated Financials|LAST MONTH FX|0|40512</t>
  </si>
  <si>
    <t>Aggregated Financials|YTD FX|0|40512</t>
  </si>
  <si>
    <t>Aggregated Financials|LTM FX|0|40512</t>
  </si>
  <si>
    <t>Aggregated Financials|LTM Average GLP|0|40512</t>
  </si>
  <si>
    <t>Aggregated Financials|LTM Average Assets|0|40512</t>
  </si>
  <si>
    <t>Aggregated Financials|LTM Average Equity|0|40512</t>
  </si>
  <si>
    <t>Aggregated Financials|LTM Average Borrowings|0|40512</t>
  </si>
  <si>
    <t>Aggregated Financials|YTD Average Assets|0|40512</t>
  </si>
  <si>
    <t>Aggregated Financials|YTD Average GLP|0|40512</t>
  </si>
  <si>
    <t>Aggregated Financials|YTD Average Equity|0|40512</t>
  </si>
  <si>
    <t>Aggregated Financials|YTD Average Borrowings|0|40512</t>
  </si>
  <si>
    <t>Aggregated Financials|LTM Net Income|0|40512</t>
  </si>
  <si>
    <t>Aggregated Financials|LTM Financial Revenue|0|40512</t>
  </si>
  <si>
    <t>Aggregated Financials|LTM Financial Expense |0|40512</t>
  </si>
  <si>
    <t>Aggregated Financials|LTM Provisioning Expense |0|40512</t>
  </si>
  <si>
    <t>Aggregated Financials|LTM Operating Expense|0|40512</t>
  </si>
  <si>
    <t>Aggregated Financials|LTM Other Financial Income (Expense)|0|40512</t>
  </si>
  <si>
    <t>Aggregated Financials|Total Borrowings|0|40512</t>
  </si>
  <si>
    <t>Aggregated Financials|Total Interest Bearing Debt |0|40512</t>
  </si>
  <si>
    <t>Aggregated Financials|Savings Accounts|0|40512</t>
  </si>
  <si>
    <t>Aggregated Financials|Operating Expenses|0|40512</t>
  </si>
  <si>
    <t>Aggregated Financials|LTM Net Income (After Taxes &amp; Before Donations) |0|40512</t>
  </si>
  <si>
    <t>Aggregated Financials|Net Income (After Taxes &amp; Before Donations) |0|40512</t>
  </si>
  <si>
    <t>Aggregated Financials|LTM Savings Accounts|0|40512</t>
  </si>
  <si>
    <t>Aggregated Financials|PAR &gt;90|0|40512</t>
  </si>
  <si>
    <t>Aggregated Financials|GLP|0|40543</t>
  </si>
  <si>
    <t>Aggregated Financials|Total Assets|0|40543</t>
  </si>
  <si>
    <t>Aggregated Financials|Total Equity|0|40543</t>
  </si>
  <si>
    <t>Aggregated Financials|Net Income|0|40543</t>
  </si>
  <si>
    <t>Aggregated Financials|January Assets|0|40543</t>
  </si>
  <si>
    <t>Aggregated Financials|January Equity|0|40543</t>
  </si>
  <si>
    <t>Aggregated Financials|LTM GLP|0|40543</t>
  </si>
  <si>
    <t>Aggregated Financials|Loan Loss Reserves|0|40543</t>
  </si>
  <si>
    <t>Aggregated Financials|Total Debt|0|40543</t>
  </si>
  <si>
    <t>Aggregated Financials|Financial Revenue|0|40543</t>
  </si>
  <si>
    <t>Aggregated Financials|Number of Active Borrowers|0|40543</t>
  </si>
  <si>
    <t>Aggregated Financials|Number of Active Loans|0|40543</t>
  </si>
  <si>
    <t>Aggregated Financials|PAR &gt;30|0|40543</t>
  </si>
  <si>
    <t>Aggregated Financials|R +R |0|40543</t>
  </si>
  <si>
    <t>Aggregated Financials|LTM Write-Offs|0|40543</t>
  </si>
  <si>
    <t>Aggregated Financials|Foreign Currency Exposure Asset|0|40543</t>
  </si>
  <si>
    <t>Aggregated Financials|Foreign Currency Liabilities|0|40543</t>
  </si>
  <si>
    <t>Aggregated Financials|Asset Hedges|0|40543</t>
  </si>
  <si>
    <t>Aggregated Financials|Liability Hedges|0|40543</t>
  </si>
  <si>
    <t>Aggregated Financials|PAR &gt;60|0|40543</t>
  </si>
  <si>
    <t>Aggregated Financials|Previous Month Equity|0|40543</t>
  </si>
  <si>
    <t>Aggregated Financials|MONTH FX|0|40543</t>
  </si>
  <si>
    <t>Aggregated Financials|LAST MONTH FX|0|40543</t>
  </si>
  <si>
    <t>Aggregated Financials|YTD FX|0|40543</t>
  </si>
  <si>
    <t>Aggregated Financials|LTM FX|0|40543</t>
  </si>
  <si>
    <t>Aggregated Financials|LTM Average GLP|0|40543</t>
  </si>
  <si>
    <t>Aggregated Financials|LTM Average Assets|0|40543</t>
  </si>
  <si>
    <t>Aggregated Financials|LTM Average Equity|0|40543</t>
  </si>
  <si>
    <t>Aggregated Financials|LTM Average Borrowings|0|40543</t>
  </si>
  <si>
    <t>Aggregated Financials|YTD Average Assets|0|40543</t>
  </si>
  <si>
    <t>Aggregated Financials|YTD Average GLP|0|40543</t>
  </si>
  <si>
    <t>Aggregated Financials|YTD Average Equity|0|40543</t>
  </si>
  <si>
    <t>Aggregated Financials|YTD Average Borrowings|0|40543</t>
  </si>
  <si>
    <t>Aggregated Financials|LTM Net Income|0|40543</t>
  </si>
  <si>
    <t>Aggregated Financials|LTM Financial Revenue|0|40543</t>
  </si>
  <si>
    <t>Aggregated Financials|LTM Financial Expense |0|40543</t>
  </si>
  <si>
    <t>Aggregated Financials|LTM Provisioning Expense |0|40543</t>
  </si>
  <si>
    <t>Aggregated Financials|LTM Operating Expense|0|40543</t>
  </si>
  <si>
    <t>Aggregated Financials|LTM Other Financial Income (Expense)|0|40543</t>
  </si>
  <si>
    <t>Aggregated Financials|Total Borrowings|0|40543</t>
  </si>
  <si>
    <t>Aggregated Financials|Total Interest Bearing Debt |0|40543</t>
  </si>
  <si>
    <t>Aggregated Financials|Savings Accounts|0|40543</t>
  </si>
  <si>
    <t>Aggregated Financials|Operating Expenses|0|40543</t>
  </si>
  <si>
    <t>Aggregated Financials|LTM Net Income (After Taxes &amp; Before Donations) |0|40543</t>
  </si>
  <si>
    <t>Aggregated Financials|Net Income (After Taxes &amp; Before Donations) |0|40543</t>
  </si>
  <si>
    <t>Aggregated Financials|LTM Savings Accounts|0|40543</t>
  </si>
  <si>
    <t>Aggregated Financials|PAR &gt;90|0|40543</t>
  </si>
  <si>
    <t>Balance Sheet v2|Unrestricted|0|41305</t>
  </si>
  <si>
    <t>Balance Sheet v2|Restricted|0|41305</t>
  </si>
  <si>
    <t>Balance Sheet v2|Short Term Investment Securities|0|41305</t>
  </si>
  <si>
    <t>Balance Sheet v2|Less: reserve for probable loss on securities|0|41305</t>
  </si>
  <si>
    <t>Balance Sheet v2|Gross loan portfolio (Please include entire GLP)|0|41305</t>
  </si>
  <si>
    <t>Balance Sheet v2|Less: loan loss reserves|0|41305</t>
  </si>
  <si>
    <t>Balance Sheet v2|Accrued interest receivable|0|41305</t>
  </si>
  <si>
    <t>Balance Sheet v2|Other current assets|0|41305</t>
  </si>
  <si>
    <t>Balance Sheet v2|Gross Fixed Assets|0|41305</t>
  </si>
  <si>
    <t>Balance Sheet v2|Less: Depreciation|0|41305</t>
  </si>
  <si>
    <t>Balance Sheet v2|Less: Asset Sales and Write-Offs|0|41305</t>
  </si>
  <si>
    <t>Balance Sheet v2|Net intangible assets|0|41305</t>
  </si>
  <si>
    <t>Balance Sheet v2|Investments in Unconslidated Affiliates|0|41305</t>
  </si>
  <si>
    <t>Balance Sheet v2|Securitized Assets &amp; Off-Balance Sheet Items|0|41305</t>
  </si>
  <si>
    <t>Balance Sheet v2|Other Types|0|41305</t>
  </si>
  <si>
    <t>Balance Sheet v2|Demand Deposits|0|41305</t>
  </si>
  <si>
    <t>Balance Sheet v2|Time Deposits|0|41305</t>
  </si>
  <si>
    <t>Balance Sheet v2|Accrued interest payable|0|41305</t>
  </si>
  <si>
    <t>Balance Sheet v2|Senior Secured Debt (ST)|0|41305</t>
  </si>
  <si>
    <t>Balance Sheet v2|Senior Unsecured Debt (ST)|0|41305</t>
  </si>
  <si>
    <t>Balance Sheet v2|Current Portion of Long-Term Debt|0|41305</t>
  </si>
  <si>
    <t>Balance Sheet v2|Other current liabilities|0|41305</t>
  </si>
  <si>
    <t>Balance Sheet v2|Senior Secured Debt (LT)|0|41305</t>
  </si>
  <si>
    <t>Balance Sheet v2|-Revolving Credit Facility|0|41305</t>
  </si>
  <si>
    <t>Balance Sheet v2|-Bonds Issued|0|41305</t>
  </si>
  <si>
    <t>Balance Sheet v2|-Other|0|41305</t>
  </si>
  <si>
    <t>Balance Sheet v2|Subordinated Debt|0|41305</t>
  </si>
  <si>
    <t>Balance Sheet v2|Securitized loans &amp; off-balance sheet items|0|41305</t>
  </si>
  <si>
    <t>Balance Sheet v2|Others|0|41305</t>
  </si>
  <si>
    <t>Balance Sheet v2|Preferred Shares|0|41305</t>
  </si>
  <si>
    <t>Balance Sheet v2|Common Shares|0|41305</t>
  </si>
  <si>
    <t>Balance Sheet v2|Share Premium|0|41305</t>
  </si>
  <si>
    <t>Balance Sheet v2|Reserves, Donations &amp; Other|0|41305</t>
  </si>
  <si>
    <t>Balance Sheet v2|prior years|0|41305</t>
  </si>
  <si>
    <t>Balance Sheet v2|current years|0|41305</t>
  </si>
  <si>
    <t>Balance Sheet v2|Unrestricted|0|41333</t>
  </si>
  <si>
    <t>Balance Sheet v2|Restricted|0|41333</t>
  </si>
  <si>
    <t>Balance Sheet v2|Short Term Investment Securities|0|41333</t>
  </si>
  <si>
    <t>Balance Sheet v2|Less: reserve for probable loss on securities|0|41333</t>
  </si>
  <si>
    <t>Balance Sheet v2|Gross loan portfolio (Please include entire GLP)|0|41333</t>
  </si>
  <si>
    <t>Balance Sheet v2|Less: loan loss reserves|0|41333</t>
  </si>
  <si>
    <t>Balance Sheet v2|Accrued interest receivable|0|41333</t>
  </si>
  <si>
    <t>Balance Sheet v2|Other current assets|0|41333</t>
  </si>
  <si>
    <t>Balance Sheet v2|Gross Fixed Assets|0|41333</t>
  </si>
  <si>
    <t>Balance Sheet v2|Less: Depreciation|0|41333</t>
  </si>
  <si>
    <t>Balance Sheet v2|Less: Asset Sales and Write-Offs|0|41333</t>
  </si>
  <si>
    <t>Balance Sheet v2|Net intangible assets|0|41333</t>
  </si>
  <si>
    <t>Balance Sheet v2|Investments in Unconslidated Affiliates|0|41333</t>
  </si>
  <si>
    <t>Balance Sheet v2|Securitized Assets &amp; Off-Balance Sheet Items|0|41333</t>
  </si>
  <si>
    <t>Balance Sheet v2|Other Types|0|41333</t>
  </si>
  <si>
    <t>Balance Sheet v2|Demand Deposits|0|41333</t>
  </si>
  <si>
    <t>Balance Sheet v2|Time Deposits|0|41333</t>
  </si>
  <si>
    <t>Balance Sheet v2|Accrued interest payable|0|41333</t>
  </si>
  <si>
    <t>Balance Sheet v2|Senior Secured Debt (ST)|0|41333</t>
  </si>
  <si>
    <t>Balance Sheet v2|Senior Unsecured Debt (ST)|0|41333</t>
  </si>
  <si>
    <t>Balance Sheet v2|Current Portion of Long-Term Debt|0|41333</t>
  </si>
  <si>
    <t>Balance Sheet v2|Other current liabilities|0|41333</t>
  </si>
  <si>
    <t>Balance Sheet v2|Senior Secured Debt (LT)|0|41333</t>
  </si>
  <si>
    <t>Balance Sheet v2|-Revolving Credit Facility|0|41333</t>
  </si>
  <si>
    <t>Balance Sheet v2|-Bonds Issued|0|41333</t>
  </si>
  <si>
    <t>Balance Sheet v2|-Other|0|41333</t>
  </si>
  <si>
    <t>Balance Sheet v2|Subordinated Debt|0|41333</t>
  </si>
  <si>
    <t>Balance Sheet v2|Securitized loans &amp; off-balance sheet items|0|41333</t>
  </si>
  <si>
    <t>Balance Sheet v2|Others|0|41333</t>
  </si>
  <si>
    <t>Balance Sheet v2|Preferred Shares|0|41333</t>
  </si>
  <si>
    <t>Balance Sheet v2|Common Shares|0|41333</t>
  </si>
  <si>
    <t>Balance Sheet v2|Share Premium|0|41333</t>
  </si>
  <si>
    <t>Balance Sheet v2|Reserves, Donations &amp; Other|0|41333</t>
  </si>
  <si>
    <t>Balance Sheet v2|prior years|0|41333</t>
  </si>
  <si>
    <t>Balance Sheet v2|current years|0|41333</t>
  </si>
  <si>
    <t>Balance Sheet v2|Unrestricted|0|41364</t>
  </si>
  <si>
    <t>Balance Sheet v2|Restricted|0|41364</t>
  </si>
  <si>
    <t>Balance Sheet v2|Short Term Investment Securities|0|41364</t>
  </si>
  <si>
    <t>Balance Sheet v2|Less: reserve for probable loss on securities|0|41364</t>
  </si>
  <si>
    <t>Balance Sheet v2|Gross loan portfolio (Please include entire GLP)|0|41364</t>
  </si>
  <si>
    <t>Balance Sheet v2|Less: loan loss reserves|0|41364</t>
  </si>
  <si>
    <t>Balance Sheet v2|Accrued interest receivable|0|41364</t>
  </si>
  <si>
    <t>Balance Sheet v2|Other current assets|0|41364</t>
  </si>
  <si>
    <t>Balance Sheet v2|Gross Fixed Assets|0|41364</t>
  </si>
  <si>
    <t>Balance Sheet v2|Less: Depreciation|0|41364</t>
  </si>
  <si>
    <t>Balance Sheet v2|Less: Asset Sales and Write-Offs|0|41364</t>
  </si>
  <si>
    <t>Balance Sheet v2|Net intangible assets|0|41364</t>
  </si>
  <si>
    <t>Balance Sheet v2|Investments in Unconslidated Affiliates|0|41364</t>
  </si>
  <si>
    <t>Balance Sheet v2|Securitized Assets &amp; Off-Balance Sheet Items|0|41364</t>
  </si>
  <si>
    <t>Balance Sheet v2|Other Types|0|41364</t>
  </si>
  <si>
    <t>Balance Sheet v2|Demand Deposits|0|41364</t>
  </si>
  <si>
    <t>Balance Sheet v2|Time Deposits|0|41364</t>
  </si>
  <si>
    <t>Balance Sheet v2|Accrued interest payable|0|41364</t>
  </si>
  <si>
    <t>Balance Sheet v2|Senior Secured Debt (ST)|0|41364</t>
  </si>
  <si>
    <t>Balance Sheet v2|Senior Unsecured Debt (ST)|0|41364</t>
  </si>
  <si>
    <t>Balance Sheet v2|Current Portion of Long-Term Debt|0|41364</t>
  </si>
  <si>
    <t>Balance Sheet v2|Other current liabilities|0|41364</t>
  </si>
  <si>
    <t>Balance Sheet v2|Senior Secured Debt (LT)|0|41364</t>
  </si>
  <si>
    <t>Balance Sheet v2|-Revolving Credit Facility|0|41364</t>
  </si>
  <si>
    <t>Balance Sheet v2|-Bonds Issued|0|41364</t>
  </si>
  <si>
    <t>Balance Sheet v2|-Other|0|41364</t>
  </si>
  <si>
    <t>Balance Sheet v2|Subordinated Debt|0|41364</t>
  </si>
  <si>
    <t>Balance Sheet v2|Securitized loans &amp; off-balance sheet items|0|41364</t>
  </si>
  <si>
    <t>Balance Sheet v2|Others|0|41364</t>
  </si>
  <si>
    <t>Balance Sheet v2|Preferred Shares|0|41364</t>
  </si>
  <si>
    <t>Balance Sheet v2|Common Shares|0|41364</t>
  </si>
  <si>
    <t>Balance Sheet v2|Share Premium|0|41364</t>
  </si>
  <si>
    <t>Balance Sheet v2|Reserves, Donations &amp; Other|0|41364</t>
  </si>
  <si>
    <t>Balance Sheet v2|prior years|0|41364</t>
  </si>
  <si>
    <t>Balance Sheet v2|current years|0|41364</t>
  </si>
  <si>
    <t>Balance Sheet v2|Unrestricted|0|41394</t>
  </si>
  <si>
    <t>Balance Sheet v2|Restricted|0|41394</t>
  </si>
  <si>
    <t>Balance Sheet v2|Short Term Investment Securities|0|41394</t>
  </si>
  <si>
    <t>Balance Sheet v2|Less: reserve for probable loss on securities|0|41394</t>
  </si>
  <si>
    <t>Balance Sheet v2|Gross loan portfolio (Please include entire GLP)|0|41394</t>
  </si>
  <si>
    <t>Balance Sheet v2|Less: loan loss reserves|0|41394</t>
  </si>
  <si>
    <t>Balance Sheet v2|Accrued interest receivable|0|41394</t>
  </si>
  <si>
    <t>Balance Sheet v2|Other current assets|0|41394</t>
  </si>
  <si>
    <t>Balance Sheet v2|Gross Fixed Assets|0|41394</t>
  </si>
  <si>
    <t>Balance Sheet v2|Less: Depreciation|0|41394</t>
  </si>
  <si>
    <t>Balance Sheet v2|Less: Asset Sales and Write-Offs|0|41394</t>
  </si>
  <si>
    <t>Balance Sheet v2|Net intangible assets|0|41394</t>
  </si>
  <si>
    <t>Balance Sheet v2|Investments in Unconslidated Affiliates|0|41394</t>
  </si>
  <si>
    <t>Balance Sheet v2|Securitized Assets &amp; Off-Balance Sheet Items|0|41394</t>
  </si>
  <si>
    <t>Balance Sheet v2|Other Types|0|41394</t>
  </si>
  <si>
    <t>Balance Sheet v2|Demand Deposits|0|41394</t>
  </si>
  <si>
    <t>Balance Sheet v2|Time Deposits|0|41394</t>
  </si>
  <si>
    <t>Balance Sheet v2|Accrued interest payable|0|41394</t>
  </si>
  <si>
    <t>Balance Sheet v2|Senior Secured Debt (ST)|0|41394</t>
  </si>
  <si>
    <t>Balance Sheet v2|Senior Unsecured Debt (ST)|0|41394</t>
  </si>
  <si>
    <t>Balance Sheet v2|Current Portion of Long-Term Debt|0|41394</t>
  </si>
  <si>
    <t>Balance Sheet v2|Other current liabilities|0|41394</t>
  </si>
  <si>
    <t>Balance Sheet v2|Senior Secured Debt (LT)|0|41394</t>
  </si>
  <si>
    <t>Balance Sheet v2|-Revolving Credit Facility|0|41394</t>
  </si>
  <si>
    <t>Balance Sheet v2|-Bonds Issued|0|41394</t>
  </si>
  <si>
    <t>Balance Sheet v2|-Other|0|41394</t>
  </si>
  <si>
    <t>Balance Sheet v2|Subordinated Debt|0|41394</t>
  </si>
  <si>
    <t>Balance Sheet v2|Securitized loans &amp; off-balance sheet items|0|41394</t>
  </si>
  <si>
    <t>Balance Sheet v2|Others|0|41394</t>
  </si>
  <si>
    <t>Balance Sheet v2|Preferred Shares|0|41394</t>
  </si>
  <si>
    <t>Balance Sheet v2|Common Shares|0|41394</t>
  </si>
  <si>
    <t>Balance Sheet v2|Share Premium|0|41394</t>
  </si>
  <si>
    <t>Balance Sheet v2|Reserves, Donations &amp; Other|0|41394</t>
  </si>
  <si>
    <t>Balance Sheet v2|prior years|0|41394</t>
  </si>
  <si>
    <t>Balance Sheet v2|current years|0|41394</t>
  </si>
  <si>
    <t>Balance Sheet v2|Unrestricted|0|41425</t>
  </si>
  <si>
    <t>Balance Sheet v2|Restricted|0|41425</t>
  </si>
  <si>
    <t>Balance Sheet v2|Short Term Investment Securities|0|41425</t>
  </si>
  <si>
    <t>Balance Sheet v2|Less: reserve for probable loss on securities|0|41425</t>
  </si>
  <si>
    <t>Balance Sheet v2|Gross loan portfolio (Please include entire GLP)|0|41425</t>
  </si>
  <si>
    <t>Balance Sheet v2|Less: loan loss reserves|0|41425</t>
  </si>
  <si>
    <t>Balance Sheet v2|Accrued interest receivable|0|41425</t>
  </si>
  <si>
    <t>Balance Sheet v2|Other current assets|0|41425</t>
  </si>
  <si>
    <t>Balance Sheet v2|Gross Fixed Assets|0|41425</t>
  </si>
  <si>
    <t>Balance Sheet v2|Less: Depreciation|0|41425</t>
  </si>
  <si>
    <t>Balance Sheet v2|Less: Asset Sales and Write-Offs|0|41425</t>
  </si>
  <si>
    <t>Balance Sheet v2|Net intangible assets|0|41425</t>
  </si>
  <si>
    <t>Balance Sheet v2|Investments in Unconslidated Affiliates|0|41425</t>
  </si>
  <si>
    <t>Balance Sheet v2|Securitized Assets &amp; Off-Balance Sheet Items|0|41425</t>
  </si>
  <si>
    <t>Balance Sheet v2|Other Types|0|41425</t>
  </si>
  <si>
    <t>Balance Sheet v2|Demand Deposits|0|41425</t>
  </si>
  <si>
    <t>Balance Sheet v2|Time Deposits|0|41425</t>
  </si>
  <si>
    <t>Balance Sheet v2|Accrued interest payable|0|41425</t>
  </si>
  <si>
    <t>Balance Sheet v2|Senior Secured Debt (ST)|0|41425</t>
  </si>
  <si>
    <t>Balance Sheet v2|Senior Unsecured Debt (ST)|0|41425</t>
  </si>
  <si>
    <t>Balance Sheet v2|Current Portion of Long-Term Debt|0|41425</t>
  </si>
  <si>
    <t>Balance Sheet v2|Other current liabilities|0|41425</t>
  </si>
  <si>
    <t>Balance Sheet v2|Senior Secured Debt (LT)|0|41425</t>
  </si>
  <si>
    <t>Balance Sheet v2|-Revolving Credit Facility|0|41425</t>
  </si>
  <si>
    <t>Balance Sheet v2|-Bonds Issued|0|41425</t>
  </si>
  <si>
    <t>Balance Sheet v2|-Other|0|41425</t>
  </si>
  <si>
    <t>Balance Sheet v2|Subordinated Debt|0|41425</t>
  </si>
  <si>
    <t>Balance Sheet v2|Securitized loans &amp; off-balance sheet items|0|41425</t>
  </si>
  <si>
    <t>Balance Sheet v2|Others|0|41425</t>
  </si>
  <si>
    <t>Balance Sheet v2|Preferred Shares|0|41425</t>
  </si>
  <si>
    <t>Balance Sheet v2|Common Shares|0|41425</t>
  </si>
  <si>
    <t>Balance Sheet v2|Share Premium|0|41425</t>
  </si>
  <si>
    <t>Balance Sheet v2|Reserves, Donations &amp; Other|0|41425</t>
  </si>
  <si>
    <t>Balance Sheet v2|prior years|0|41425</t>
  </si>
  <si>
    <t>Balance Sheet v2|current years|0|41425</t>
  </si>
  <si>
    <t>Balance Sheet v2|Unrestricted|0|41455</t>
  </si>
  <si>
    <t>Balance Sheet v2|Restricted|0|41455</t>
  </si>
  <si>
    <t>Balance Sheet v2|Short Term Investment Securities|0|41455</t>
  </si>
  <si>
    <t>Balance Sheet v2|Less: reserve for probable loss on securities|0|41455</t>
  </si>
  <si>
    <t>Balance Sheet v2|Gross loan portfolio (Please include entire GLP)|0|41455</t>
  </si>
  <si>
    <t>Balance Sheet v2|Less: loan loss reserves|0|41455</t>
  </si>
  <si>
    <t>Balance Sheet v2|Accrued interest receivable|0|41455</t>
  </si>
  <si>
    <t>Balance Sheet v2|Other current assets|0|41455</t>
  </si>
  <si>
    <t>Balance Sheet v2|Gross Fixed Assets|0|41455</t>
  </si>
  <si>
    <t>Balance Sheet v2|Less: Depreciation|0|41455</t>
  </si>
  <si>
    <t>Balance Sheet v2|Less: Asset Sales and Write-Offs|0|41455</t>
  </si>
  <si>
    <t>Balance Sheet v2|Net intangible assets|0|41455</t>
  </si>
  <si>
    <t>Balance Sheet v2|Investments in Unconslidated Affiliates|0|41455</t>
  </si>
  <si>
    <t>Balance Sheet v2|Securitized Assets &amp; Off-Balance Sheet Items|0|41455</t>
  </si>
  <si>
    <t>Balance Sheet v2|Other Types|0|41455</t>
  </si>
  <si>
    <t>Balance Sheet v2|Demand Deposits|0|41455</t>
  </si>
  <si>
    <t>Balance Sheet v2|Time Deposits|0|41455</t>
  </si>
  <si>
    <t>Balance Sheet v2|Accrued interest payable|0|41455</t>
  </si>
  <si>
    <t>Balance Sheet v2|Senior Secured Debt (ST)|0|41455</t>
  </si>
  <si>
    <t>Balance Sheet v2|Senior Unsecured Debt (ST)|0|41455</t>
  </si>
  <si>
    <t>Balance Sheet v2|Current Portion of Long-Term Debt|0|41455</t>
  </si>
  <si>
    <t>Balance Sheet v2|Other current liabilities|0|41455</t>
  </si>
  <si>
    <t>Balance Sheet v2|Senior Secured Debt (LT)|0|41455</t>
  </si>
  <si>
    <t>Balance Sheet v2|-Revolving Credit Facility|0|41455</t>
  </si>
  <si>
    <t>Balance Sheet v2|-Bonds Issued|0|41455</t>
  </si>
  <si>
    <t>Balance Sheet v2|-Other|0|41455</t>
  </si>
  <si>
    <t>Balance Sheet v2|Subordinated Debt|0|41455</t>
  </si>
  <si>
    <t>Balance Sheet v2|Securitized loans &amp; off-balance sheet items|0|41455</t>
  </si>
  <si>
    <t>Balance Sheet v2|Others|0|41455</t>
  </si>
  <si>
    <t>Balance Sheet v2|Preferred Shares|0|41455</t>
  </si>
  <si>
    <t>Balance Sheet v2|Common Shares|0|41455</t>
  </si>
  <si>
    <t>Balance Sheet v2|Share Premium|0|41455</t>
  </si>
  <si>
    <t>Balance Sheet v2|Reserves, Donations &amp; Other|0|41455</t>
  </si>
  <si>
    <t>Balance Sheet v2|prior years|0|41455</t>
  </si>
  <si>
    <t>Balance Sheet v2|current years|0|41455</t>
  </si>
  <si>
    <t>Balance Sheet v2|Unrestricted|0|41486</t>
  </si>
  <si>
    <t>Balance Sheet v2|Restricted|0|41486</t>
  </si>
  <si>
    <t>Balance Sheet v2|Short Term Investment Securities|0|41486</t>
  </si>
  <si>
    <t>Balance Sheet v2|Less: reserve for probable loss on securities|0|41486</t>
  </si>
  <si>
    <t>Balance Sheet v2|Gross loan portfolio (Please include entire GLP)|0|41486</t>
  </si>
  <si>
    <t>Balance Sheet v2|Less: loan loss reserves|0|41486</t>
  </si>
  <si>
    <t>Balance Sheet v2|Accrued interest receivable|0|41486</t>
  </si>
  <si>
    <t>Balance Sheet v2|Other current assets|0|41486</t>
  </si>
  <si>
    <t>Balance Sheet v2|Gross Fixed Assets|0|41486</t>
  </si>
  <si>
    <t>Balance Sheet v2|Less: Depreciation|0|41486</t>
  </si>
  <si>
    <t>Balance Sheet v2|Less: Asset Sales and Write-Offs|0|41486</t>
  </si>
  <si>
    <t>Balance Sheet v2|Net intangible assets|0|41486</t>
  </si>
  <si>
    <t>Balance Sheet v2|Investments in Unconslidated Affiliates|0|41486</t>
  </si>
  <si>
    <t>Balance Sheet v2|Securitized Assets &amp; Off-Balance Sheet Items|0|41486</t>
  </si>
  <si>
    <t>Balance Sheet v2|Other Types|0|41486</t>
  </si>
  <si>
    <t>Balance Sheet v2|Demand Deposits|0|41486</t>
  </si>
  <si>
    <t>Balance Sheet v2|Time Deposits|0|41486</t>
  </si>
  <si>
    <t>Balance Sheet v2|Accrued interest payable|0|41486</t>
  </si>
  <si>
    <t>Balance Sheet v2|Senior Secured Debt (ST)|0|41486</t>
  </si>
  <si>
    <t>Balance Sheet v2|Senior Unsecured Debt (ST)|0|41486</t>
  </si>
  <si>
    <t>Balance Sheet v2|Current Portion of Long-Term Debt|0|41486</t>
  </si>
  <si>
    <t>Balance Sheet v2|Other current liabilities|0|41486</t>
  </si>
  <si>
    <t>Balance Sheet v2|Senior Secured Debt (LT)|0|41486</t>
  </si>
  <si>
    <t>Balance Sheet v2|-Revolving Credit Facility|0|41486</t>
  </si>
  <si>
    <t>Balance Sheet v2|-Bonds Issued|0|41486</t>
  </si>
  <si>
    <t>Balance Sheet v2|-Other|0|41486</t>
  </si>
  <si>
    <t>Balance Sheet v2|Subordinated Debt|0|41486</t>
  </si>
  <si>
    <t>Balance Sheet v2|Securitized loans &amp; off-balance sheet items|0|41486</t>
  </si>
  <si>
    <t>Balance Sheet v2|Others|0|41486</t>
  </si>
  <si>
    <t>Balance Sheet v2|Preferred Shares|0|41486</t>
  </si>
  <si>
    <t>Balance Sheet v2|Common Shares|0|41486</t>
  </si>
  <si>
    <t>Balance Sheet v2|Share Premium|0|41486</t>
  </si>
  <si>
    <t>Balance Sheet v2|Reserves, Donations &amp; Other|0|41486</t>
  </si>
  <si>
    <t>Balance Sheet v2|prior years|0|41486</t>
  </si>
  <si>
    <t>Balance Sheet v2|current years|0|41486</t>
  </si>
  <si>
    <t>Balance Sheet v2|Unrestricted|0|41517</t>
  </si>
  <si>
    <t>Balance Sheet v2|Restricted|0|41517</t>
  </si>
  <si>
    <t>Balance Sheet v2|Short Term Investment Securities|0|41517</t>
  </si>
  <si>
    <t>Balance Sheet v2|Less: reserve for probable loss on securities|0|41517</t>
  </si>
  <si>
    <t>Balance Sheet v2|Gross loan portfolio (Please include entire GLP)|0|41517</t>
  </si>
  <si>
    <t>Balance Sheet v2|Less: loan loss reserves|0|41517</t>
  </si>
  <si>
    <t>Balance Sheet v2|Accrued interest receivable|0|41517</t>
  </si>
  <si>
    <t>Balance Sheet v2|Other current assets|0|41517</t>
  </si>
  <si>
    <t>Balance Sheet v2|Gross Fixed Assets|0|41517</t>
  </si>
  <si>
    <t>Balance Sheet v2|Less: Depreciation|0|41517</t>
  </si>
  <si>
    <t>Balance Sheet v2|Less: Asset Sales and Write-Offs|0|41517</t>
  </si>
  <si>
    <t>Balance Sheet v2|Net intangible assets|0|41517</t>
  </si>
  <si>
    <t>Balance Sheet v2|Investments in Unconslidated Affiliates|0|41517</t>
  </si>
  <si>
    <t>Balance Sheet v2|Securitized Assets &amp; Off-Balance Sheet Items|0|41517</t>
  </si>
  <si>
    <t>Balance Sheet v2|Other Types|0|41517</t>
  </si>
  <si>
    <t>Balance Sheet v2|Demand Deposits|0|41517</t>
  </si>
  <si>
    <t>Balance Sheet v2|Time Deposits|0|41517</t>
  </si>
  <si>
    <t>Balance Sheet v2|Accrued interest payable|0|41517</t>
  </si>
  <si>
    <t>Balance Sheet v2|Senior Secured Debt (ST)|0|41517</t>
  </si>
  <si>
    <t>Balance Sheet v2|Senior Unsecured Debt (ST)|0|41517</t>
  </si>
  <si>
    <t>Balance Sheet v2|Current Portion of Long-Term Debt|0|41517</t>
  </si>
  <si>
    <t>Balance Sheet v2|Other current liabilities|0|41517</t>
  </si>
  <si>
    <t>Balance Sheet v2|Senior Secured Debt (LT)|0|41517</t>
  </si>
  <si>
    <t>Balance Sheet v2|-Revolving Credit Facility|0|41517</t>
  </si>
  <si>
    <t>Balance Sheet v2|-Bonds Issued|0|41517</t>
  </si>
  <si>
    <t>Balance Sheet v2|-Other|0|41517</t>
  </si>
  <si>
    <t>Balance Sheet v2|Subordinated Debt|0|41517</t>
  </si>
  <si>
    <t>Balance Sheet v2|Securitized loans &amp; off-balance sheet items|0|41517</t>
  </si>
  <si>
    <t>Balance Sheet v2|Others|0|41517</t>
  </si>
  <si>
    <t>Balance Sheet v2|Preferred Shares|0|41517</t>
  </si>
  <si>
    <t>Balance Sheet v2|Common Shares|0|41517</t>
  </si>
  <si>
    <t>Balance Sheet v2|Share Premium|0|41517</t>
  </si>
  <si>
    <t>Balance Sheet v2|Reserves, Donations &amp; Other|0|41517</t>
  </si>
  <si>
    <t>Balance Sheet v2|prior years|0|41517</t>
  </si>
  <si>
    <t>Balance Sheet v2|current years|0|41517</t>
  </si>
  <si>
    <t>Balance Sheet v2|Unrestricted|0|41547</t>
  </si>
  <si>
    <t>Balance Sheet v2|Restricted|0|41547</t>
  </si>
  <si>
    <t>Balance Sheet v2|Short Term Investment Securities|0|41547</t>
  </si>
  <si>
    <t>Balance Sheet v2|Less: reserve for probable loss on securities|0|41547</t>
  </si>
  <si>
    <t>Balance Sheet v2|Gross loan portfolio (Please include entire GLP)|0|41547</t>
  </si>
  <si>
    <t>Balance Sheet v2|Less: loan loss reserves|0|41547</t>
  </si>
  <si>
    <t>Balance Sheet v2|Accrued interest receivable|0|41547</t>
  </si>
  <si>
    <t>Balance Sheet v2|Other current assets|0|41547</t>
  </si>
  <si>
    <t>Balance Sheet v2|Gross Fixed Assets|0|41547</t>
  </si>
  <si>
    <t>Balance Sheet v2|Less: Depreciation|0|41547</t>
  </si>
  <si>
    <t>Balance Sheet v2|Less: Asset Sales and Write-Offs|0|41547</t>
  </si>
  <si>
    <t>Balance Sheet v2|Net intangible assets|0|41547</t>
  </si>
  <si>
    <t>Balance Sheet v2|Investments in Unconslidated Affiliates|0|41547</t>
  </si>
  <si>
    <t>Balance Sheet v2|Securitized Assets &amp; Off-Balance Sheet Items|0|41547</t>
  </si>
  <si>
    <t>Balance Sheet v2|Other Types|0|41547</t>
  </si>
  <si>
    <t>Balance Sheet v2|Demand Deposits|0|41547</t>
  </si>
  <si>
    <t>Balance Sheet v2|Time Deposits|0|41547</t>
  </si>
  <si>
    <t>Balance Sheet v2|Accrued interest payable|0|41547</t>
  </si>
  <si>
    <t>Balance Sheet v2|Senior Secured Debt (ST)|0|41547</t>
  </si>
  <si>
    <t>Balance Sheet v2|Senior Unsecured Debt (ST)|0|41547</t>
  </si>
  <si>
    <t>Balance Sheet v2|Current Portion of Long-Term Debt|0|41547</t>
  </si>
  <si>
    <t>Balance Sheet v2|Other current liabilities|0|41547</t>
  </si>
  <si>
    <t>Balance Sheet v2|Senior Secured Debt (LT)|0|41547</t>
  </si>
  <si>
    <t>Balance Sheet v2|-Revolving Credit Facility|0|41547</t>
  </si>
  <si>
    <t>Balance Sheet v2|-Bonds Issued|0|41547</t>
  </si>
  <si>
    <t>Balance Sheet v2|-Other|0|41547</t>
  </si>
  <si>
    <t>Balance Sheet v2|Subordinated Debt|0|41547</t>
  </si>
  <si>
    <t>Balance Sheet v2|Securitized loans &amp; off-balance sheet items|0|41547</t>
  </si>
  <si>
    <t>Balance Sheet v2|Others|0|41547</t>
  </si>
  <si>
    <t>Balance Sheet v2|Preferred Shares|0|41547</t>
  </si>
  <si>
    <t>Balance Sheet v2|Common Shares|0|41547</t>
  </si>
  <si>
    <t>Balance Sheet v2|Share Premium|0|41547</t>
  </si>
  <si>
    <t>Balance Sheet v2|Reserves, Donations &amp; Other|0|41547</t>
  </si>
  <si>
    <t>Balance Sheet v2|prior years|0|41547</t>
  </si>
  <si>
    <t>Balance Sheet v2|current years|0|41547</t>
  </si>
  <si>
    <t>Balance Sheet v2|Unrestricted|0|41578</t>
  </si>
  <si>
    <t>Balance Sheet v2|Restricted|0|41578</t>
  </si>
  <si>
    <t>Balance Sheet v2|Short Term Investment Securities|0|41578</t>
  </si>
  <si>
    <t>Balance Sheet v2|Less: reserve for probable loss on securities|0|41578</t>
  </si>
  <si>
    <t>Balance Sheet v2|Gross loan portfolio (Please include entire GLP)|0|41578</t>
  </si>
  <si>
    <t>Balance Sheet v2|Less: loan loss reserves|0|41578</t>
  </si>
  <si>
    <t>Balance Sheet v2|Accrued interest receivable|0|41578</t>
  </si>
  <si>
    <t>Balance Sheet v2|Other current assets|0|41578</t>
  </si>
  <si>
    <t>Balance Sheet v2|Gross Fixed Assets|0|41578</t>
  </si>
  <si>
    <t>Balance Sheet v2|Less: Depreciation|0|41578</t>
  </si>
  <si>
    <t>Balance Sheet v2|Less: Asset Sales and Write-Offs|0|41578</t>
  </si>
  <si>
    <t>Balance Sheet v2|Net intangible assets|0|41578</t>
  </si>
  <si>
    <t>Balance Sheet v2|Investments in Unconslidated Affiliates|0|41578</t>
  </si>
  <si>
    <t>Balance Sheet v2|Securitized Assets &amp; Off-Balance Sheet Items|0|41578</t>
  </si>
  <si>
    <t>Balance Sheet v2|Other Types|0|41578</t>
  </si>
  <si>
    <t>Balance Sheet v2|Demand Deposits|0|41578</t>
  </si>
  <si>
    <t>Balance Sheet v2|Time Deposits|0|41578</t>
  </si>
  <si>
    <t>Balance Sheet v2|Accrued interest payable|0|41578</t>
  </si>
  <si>
    <t>Balance Sheet v2|Senior Secured Debt (ST)|0|41578</t>
  </si>
  <si>
    <t>Balance Sheet v2|Senior Unsecured Debt (ST)|0|41578</t>
  </si>
  <si>
    <t>Balance Sheet v2|Current Portion of Long-Term Debt|0|41578</t>
  </si>
  <si>
    <t>Balance Sheet v2|Other current liabilities|0|41578</t>
  </si>
  <si>
    <t>Balance Sheet v2|Senior Secured Debt (LT)|0|41578</t>
  </si>
  <si>
    <t>Balance Sheet v2|-Revolving Credit Facility|0|41578</t>
  </si>
  <si>
    <t>Balance Sheet v2|-Bonds Issued|0|41578</t>
  </si>
  <si>
    <t>Balance Sheet v2|-Other|0|41578</t>
  </si>
  <si>
    <t>Balance Sheet v2|Subordinated Debt|0|41578</t>
  </si>
  <si>
    <t>Balance Sheet v2|Securitized loans &amp; off-balance sheet items|0|41578</t>
  </si>
  <si>
    <t>Balance Sheet v2|Others|0|41578</t>
  </si>
  <si>
    <t>Balance Sheet v2|Preferred Shares|0|41578</t>
  </si>
  <si>
    <t>Balance Sheet v2|Common Shares|0|41578</t>
  </si>
  <si>
    <t>Balance Sheet v2|Share Premium|0|41578</t>
  </si>
  <si>
    <t>Balance Sheet v2|Reserves, Donations &amp; Other|0|41578</t>
  </si>
  <si>
    <t>Balance Sheet v2|prior years|0|41578</t>
  </si>
  <si>
    <t>Balance Sheet v2|current years|0|41578</t>
  </si>
  <si>
    <t>Balance Sheet v2|Unrestricted|0|41608</t>
  </si>
  <si>
    <t>Balance Sheet v2|Restricted|0|41608</t>
  </si>
  <si>
    <t>Balance Sheet v2|Short Term Investment Securities|0|41608</t>
  </si>
  <si>
    <t>Balance Sheet v2|Less: reserve for probable loss on securities|0|41608</t>
  </si>
  <si>
    <t>Balance Sheet v2|Gross loan portfolio (Please include entire GLP)|0|41608</t>
  </si>
  <si>
    <t>Balance Sheet v2|Less: loan loss reserves|0|41608</t>
  </si>
  <si>
    <t>Balance Sheet v2|Accrued interest receivable|0|41608</t>
  </si>
  <si>
    <t>Balance Sheet v2|Other current assets|0|41608</t>
  </si>
  <si>
    <t>Balance Sheet v2|Gross Fixed Assets|0|41608</t>
  </si>
  <si>
    <t>Balance Sheet v2|Less: Depreciation|0|41608</t>
  </si>
  <si>
    <t>Balance Sheet v2|Less: Asset Sales and Write-Offs|0|41608</t>
  </si>
  <si>
    <t>Balance Sheet v2|Net intangible assets|0|41608</t>
  </si>
  <si>
    <t>Balance Sheet v2|Investments in Unconslidated Affiliates|0|41608</t>
  </si>
  <si>
    <t>Balance Sheet v2|Securitized Assets &amp; Off-Balance Sheet Items|0|41608</t>
  </si>
  <si>
    <t>Balance Sheet v2|Other Types|0|41608</t>
  </si>
  <si>
    <t>Balance Sheet v2|Demand Deposits|0|41608</t>
  </si>
  <si>
    <t>Balance Sheet v2|Time Deposits|0|41608</t>
  </si>
  <si>
    <t>Balance Sheet v2|Accrued interest payable|0|41608</t>
  </si>
  <si>
    <t>Balance Sheet v2|Senior Secured Debt (ST)|0|41608</t>
  </si>
  <si>
    <t>Balance Sheet v2|Senior Unsecured Debt (ST)|0|41608</t>
  </si>
  <si>
    <t>Balance Sheet v2|Current Portion of Long-Term Debt|0|41608</t>
  </si>
  <si>
    <t>Balance Sheet v2|Other current liabilities|0|41608</t>
  </si>
  <si>
    <t>Balance Sheet v2|Senior Secured Debt (LT)|0|41608</t>
  </si>
  <si>
    <t>Balance Sheet v2|-Revolving Credit Facility|0|41608</t>
  </si>
  <si>
    <t>Balance Sheet v2|-Bonds Issued|0|41608</t>
  </si>
  <si>
    <t>Balance Sheet v2|-Other|0|41608</t>
  </si>
  <si>
    <t>Balance Sheet v2|Subordinated Debt|0|41608</t>
  </si>
  <si>
    <t>Balance Sheet v2|Securitized loans &amp; off-balance sheet items|0|41608</t>
  </si>
  <si>
    <t>Balance Sheet v2|Others|0|41608</t>
  </si>
  <si>
    <t>Balance Sheet v2|Preferred Shares|0|41608</t>
  </si>
  <si>
    <t>Balance Sheet v2|Common Shares|0|41608</t>
  </si>
  <si>
    <t>Balance Sheet v2|Share Premium|0|41608</t>
  </si>
  <si>
    <t>Balance Sheet v2|Reserves, Donations &amp; Other|0|41608</t>
  </si>
  <si>
    <t>Balance Sheet v2|prior years|0|41608</t>
  </si>
  <si>
    <t>Balance Sheet v2|current years|0|41608</t>
  </si>
  <si>
    <t>Balance Sheet v2|Unrestricted|0|41639</t>
  </si>
  <si>
    <t>Balance Sheet v2|Restricted|0|41639</t>
  </si>
  <si>
    <t>Balance Sheet v2|Short Term Investment Securities|0|41639</t>
  </si>
  <si>
    <t>Balance Sheet v2|Less: reserve for probable loss on securities|0|41639</t>
  </si>
  <si>
    <t>Balance Sheet v2|Gross loan portfolio (Please include entire GLP)|0|41639</t>
  </si>
  <si>
    <t>Balance Sheet v2|Less: loan loss reserves|0|41639</t>
  </si>
  <si>
    <t>Balance Sheet v2|Accrued interest receivable|0|41639</t>
  </si>
  <si>
    <t>Balance Sheet v2|Other current assets|0|41639</t>
  </si>
  <si>
    <t>Balance Sheet v2|Gross Fixed Assets|0|41639</t>
  </si>
  <si>
    <t>Balance Sheet v2|Less: Depreciation|0|41639</t>
  </si>
  <si>
    <t>Balance Sheet v2|Less: Asset Sales and Write-Offs|0|41639</t>
  </si>
  <si>
    <t>Balance Sheet v2|Net intangible assets|0|41639</t>
  </si>
  <si>
    <t>Balance Sheet v2|Investments in Unconslidated Affiliates|0|41639</t>
  </si>
  <si>
    <t>Balance Sheet v2|Securitized Assets &amp; Off-Balance Sheet Items|0|41639</t>
  </si>
  <si>
    <t>Balance Sheet v2|Other Types|0|41639</t>
  </si>
  <si>
    <t>Balance Sheet v2|Demand Deposits|0|41639</t>
  </si>
  <si>
    <t>Balance Sheet v2|Time Deposits|0|41639</t>
  </si>
  <si>
    <t>Balance Sheet v2|Accrued interest payable|0|41639</t>
  </si>
  <si>
    <t>Balance Sheet v2|Senior Secured Debt (ST)|0|41639</t>
  </si>
  <si>
    <t>Balance Sheet v2|Senior Unsecured Debt (ST)|0|41639</t>
  </si>
  <si>
    <t>Balance Sheet v2|Current Portion of Long-Term Debt|0|41639</t>
  </si>
  <si>
    <t>Balance Sheet v2|Other current liabilities|0|41639</t>
  </si>
  <si>
    <t>Balance Sheet v2|Senior Secured Debt (LT)|0|41639</t>
  </si>
  <si>
    <t>Balance Sheet v2|-Revolving Credit Facility|0|41639</t>
  </si>
  <si>
    <t>Balance Sheet v2|-Bonds Issued|0|41639</t>
  </si>
  <si>
    <t>Balance Sheet v2|-Other|0|41639</t>
  </si>
  <si>
    <t>Balance Sheet v2|Subordinated Debt|0|41639</t>
  </si>
  <si>
    <t>Balance Sheet v2|Securitized loans &amp; off-balance sheet items|0|41639</t>
  </si>
  <si>
    <t>Balance Sheet v2|Others|0|41639</t>
  </si>
  <si>
    <t>Balance Sheet v2|Preferred Shares|0|41639</t>
  </si>
  <si>
    <t>Balance Sheet v2|Common Shares|0|41639</t>
  </si>
  <si>
    <t>Balance Sheet v2|Share Premium|0|41639</t>
  </si>
  <si>
    <t>Balance Sheet v2|Reserves, Donations &amp; Other|0|41639</t>
  </si>
  <si>
    <t>Balance Sheet v2|prior years|0|41639</t>
  </si>
  <si>
    <t>Balance Sheet v2|current years|0|41639</t>
  </si>
  <si>
    <t>Currency Exposure v2|Cash|0|41305</t>
  </si>
  <si>
    <t>Currency Exposure v2|Portfolio|0|41305</t>
  </si>
  <si>
    <t>Currency Exposure v2|Other Assets|0|41305</t>
  </si>
  <si>
    <t>Currency Exposure v2|Savings|0|41305</t>
  </si>
  <si>
    <t>Currency Exposure v2|Borrowings|0|41305</t>
  </si>
  <si>
    <t>Currency Exposure v2|Other Liabilities|0|41305</t>
  </si>
  <si>
    <t>Currency Exposure v2|Deposits for Back-to-Back Loans|0|41305</t>
  </si>
  <si>
    <t>Currency Exposure v2|Options|0|41305</t>
  </si>
  <si>
    <t>Currency Exposure v2|Forwards|0|41305</t>
  </si>
  <si>
    <t>Currency Exposure v2|Swaps|0|41305</t>
  </si>
  <si>
    <t>Currency Exposure v2|Back-to-back Loans|0|41305</t>
  </si>
  <si>
    <t>Currency Exposure v2|Options-L|0|41305</t>
  </si>
  <si>
    <t>Currency Exposure v2|Forwards-L|0|41305</t>
  </si>
  <si>
    <t>Currency Exposure v2|Swaps-L|0|41305</t>
  </si>
  <si>
    <t>Currency Exposure v2|Cash|0|41333</t>
  </si>
  <si>
    <t>Currency Exposure v2|Portfolio|0|41333</t>
  </si>
  <si>
    <t>Currency Exposure v2|Other Assets|0|41333</t>
  </si>
  <si>
    <t>Currency Exposure v2|Savings|0|41333</t>
  </si>
  <si>
    <t>Currency Exposure v2|Borrowings|0|41333</t>
  </si>
  <si>
    <t>Currency Exposure v2|Other Liabilities|0|41333</t>
  </si>
  <si>
    <t>Currency Exposure v2|Deposits for Back-to-Back Loans|0|41333</t>
  </si>
  <si>
    <t>Currency Exposure v2|Options|0|41333</t>
  </si>
  <si>
    <t>Currency Exposure v2|Forwards|0|41333</t>
  </si>
  <si>
    <t>Currency Exposure v2|Swaps|0|41333</t>
  </si>
  <si>
    <t>Currency Exposure v2|Back-to-back Loans|0|41333</t>
  </si>
  <si>
    <t>Currency Exposure v2|Options-L|0|41333</t>
  </si>
  <si>
    <t>Currency Exposure v2|Forwards-L|0|41333</t>
  </si>
  <si>
    <t>Currency Exposure v2|Swaps-L|0|41333</t>
  </si>
  <si>
    <t>Currency Exposure v2|Cash|0|41364</t>
  </si>
  <si>
    <t>Currency Exposure v2|Portfolio|0|41364</t>
  </si>
  <si>
    <t>Currency Exposure v2|Other Assets|0|41364</t>
  </si>
  <si>
    <t>Currency Exposure v2|Savings|0|41364</t>
  </si>
  <si>
    <t>Currency Exposure v2|Borrowings|0|41364</t>
  </si>
  <si>
    <t>Currency Exposure v2|Other Liabilities|0|41364</t>
  </si>
  <si>
    <t>Currency Exposure v2|Deposits for Back-to-Back Loans|0|41364</t>
  </si>
  <si>
    <t>Currency Exposure v2|Options|0|41364</t>
  </si>
  <si>
    <t>Currency Exposure v2|Forwards|0|41364</t>
  </si>
  <si>
    <t>Currency Exposure v2|Swaps|0|41364</t>
  </si>
  <si>
    <t>Currency Exposure v2|Back-to-back Loans|0|41364</t>
  </si>
  <si>
    <t>Currency Exposure v2|Options-L|0|41364</t>
  </si>
  <si>
    <t>Currency Exposure v2|Forwards-L|0|41364</t>
  </si>
  <si>
    <t>Currency Exposure v2|Swaps-L|0|41364</t>
  </si>
  <si>
    <t>Currency Exposure v2|Cash|0|41394</t>
  </si>
  <si>
    <t>Currency Exposure v2|Portfolio|0|41394</t>
  </si>
  <si>
    <t>Currency Exposure v2|Other Assets|0|41394</t>
  </si>
  <si>
    <t>Currency Exposure v2|Savings|0|41394</t>
  </si>
  <si>
    <t>Currency Exposure v2|Borrowings|0|41394</t>
  </si>
  <si>
    <t>Currency Exposure v2|Other Liabilities|0|41394</t>
  </si>
  <si>
    <t>Currency Exposure v2|Deposits for Back-to-Back Loans|0|41394</t>
  </si>
  <si>
    <t>Currency Exposure v2|Options|0|41394</t>
  </si>
  <si>
    <t>Currency Exposure v2|Forwards|0|41394</t>
  </si>
  <si>
    <t>Currency Exposure v2|Swaps|0|41394</t>
  </si>
  <si>
    <t>Currency Exposure v2|Back-to-back Loans|0|41394</t>
  </si>
  <si>
    <t>Currency Exposure v2|Options-L|0|41394</t>
  </si>
  <si>
    <t>Currency Exposure v2|Forwards-L|0|41394</t>
  </si>
  <si>
    <t>Currency Exposure v2|Swaps-L|0|41394</t>
  </si>
  <si>
    <t>Currency Exposure v2|Cash|0|41425</t>
  </si>
  <si>
    <t>Currency Exposure v2|Portfolio|0|41425</t>
  </si>
  <si>
    <t>Currency Exposure v2|Other Assets|0|41425</t>
  </si>
  <si>
    <t>Currency Exposure v2|Savings|0|41425</t>
  </si>
  <si>
    <t>Currency Exposure v2|Borrowings|0|41425</t>
  </si>
  <si>
    <t>Currency Exposure v2|Other Liabilities|0|41425</t>
  </si>
  <si>
    <t>Currency Exposure v2|Deposits for Back-to-Back Loans|0|41425</t>
  </si>
  <si>
    <t>Currency Exposure v2|Options|0|41425</t>
  </si>
  <si>
    <t>Currency Exposure v2|Forwards|0|41425</t>
  </si>
  <si>
    <t>Currency Exposure v2|Swaps|0|41425</t>
  </si>
  <si>
    <t>Currency Exposure v2|Back-to-back Loans|0|41425</t>
  </si>
  <si>
    <t>Currency Exposure v2|Options-L|0|41425</t>
  </si>
  <si>
    <t>Currency Exposure v2|Forwards-L|0|41425</t>
  </si>
  <si>
    <t>Currency Exposure v2|Swaps-L|0|41425</t>
  </si>
  <si>
    <t>Currency Exposure v2|Cash|0|41455</t>
  </si>
  <si>
    <t>Currency Exposure v2|Portfolio|0|41455</t>
  </si>
  <si>
    <t>Currency Exposure v2|Other Assets|0|41455</t>
  </si>
  <si>
    <t>Currency Exposure v2|Savings|0|41455</t>
  </si>
  <si>
    <t>Currency Exposure v2|Borrowings|0|41455</t>
  </si>
  <si>
    <t>Currency Exposure v2|Other Liabilities|0|41455</t>
  </si>
  <si>
    <t>Currency Exposure v2|Deposits for Back-to-Back Loans|0|41455</t>
  </si>
  <si>
    <t>Currency Exposure v2|Options|0|41455</t>
  </si>
  <si>
    <t>Currency Exposure v2|Forwards|0|41455</t>
  </si>
  <si>
    <t>Currency Exposure v2|Swaps|0|41455</t>
  </si>
  <si>
    <t>Currency Exposure v2|Back-to-back Loans|0|41455</t>
  </si>
  <si>
    <t>Currency Exposure v2|Options-L|0|41455</t>
  </si>
  <si>
    <t>Currency Exposure v2|Forwards-L|0|41455</t>
  </si>
  <si>
    <t>Currency Exposure v2|Swaps-L|0|41455</t>
  </si>
  <si>
    <t>Currency Exposure v2|Cash|0|41486</t>
  </si>
  <si>
    <t>Currency Exposure v2|Portfolio|0|41486</t>
  </si>
  <si>
    <t>Currency Exposure v2|Other Assets|0|41486</t>
  </si>
  <si>
    <t>Currency Exposure v2|Savings|0|41486</t>
  </si>
  <si>
    <t>Currency Exposure v2|Borrowings|0|41486</t>
  </si>
  <si>
    <t>Currency Exposure v2|Other Liabilities|0|41486</t>
  </si>
  <si>
    <t>Currency Exposure v2|Deposits for Back-to-Back Loans|0|41486</t>
  </si>
  <si>
    <t>Currency Exposure v2|Options|0|41486</t>
  </si>
  <si>
    <t>Currency Exposure v2|Forwards|0|41486</t>
  </si>
  <si>
    <t>Currency Exposure v2|Swaps|0|41486</t>
  </si>
  <si>
    <t>Currency Exposure v2|Back-to-back Loans|0|41486</t>
  </si>
  <si>
    <t>Currency Exposure v2|Options-L|0|41486</t>
  </si>
  <si>
    <t>Currency Exposure v2|Forwards-L|0|41486</t>
  </si>
  <si>
    <t>Currency Exposure v2|Swaps-L|0|41486</t>
  </si>
  <si>
    <t>Currency Exposure v2|Cash|0|41517</t>
  </si>
  <si>
    <t>Currency Exposure v2|Portfolio|0|41517</t>
  </si>
  <si>
    <t>Currency Exposure v2|Other Assets|0|41517</t>
  </si>
  <si>
    <t>Currency Exposure v2|Savings|0|41517</t>
  </si>
  <si>
    <t>Currency Exposure v2|Borrowings|0|41517</t>
  </si>
  <si>
    <t>Currency Exposure v2|Other Liabilities|0|41517</t>
  </si>
  <si>
    <t>Currency Exposure v2|Deposits for Back-to-Back Loans|0|41517</t>
  </si>
  <si>
    <t>Currency Exposure v2|Options|0|41517</t>
  </si>
  <si>
    <t>Currency Exposure v2|Forwards|0|41517</t>
  </si>
  <si>
    <t>Currency Exposure v2|Swaps|0|41517</t>
  </si>
  <si>
    <t>Currency Exposure v2|Back-to-back Loans|0|41517</t>
  </si>
  <si>
    <t>Currency Exposure v2|Options-L|0|41517</t>
  </si>
  <si>
    <t>Currency Exposure v2|Forwards-L|0|41517</t>
  </si>
  <si>
    <t>Currency Exposure v2|Swaps-L|0|41517</t>
  </si>
  <si>
    <t>Currency Exposure v2|Cash|0|41547</t>
  </si>
  <si>
    <t>Currency Exposure v2|Portfolio|0|41547</t>
  </si>
  <si>
    <t>Currency Exposure v2|Other Assets|0|41547</t>
  </si>
  <si>
    <t>Currency Exposure v2|Savings|0|41547</t>
  </si>
  <si>
    <t>Currency Exposure v2|Borrowings|0|41547</t>
  </si>
  <si>
    <t>Currency Exposure v2|Other Liabilities|0|41547</t>
  </si>
  <si>
    <t>Currency Exposure v2|Deposits for Back-to-Back Loans|0|41547</t>
  </si>
  <si>
    <t>Currency Exposure v2|Options|0|41547</t>
  </si>
  <si>
    <t>Currency Exposure v2|Forwards|0|41547</t>
  </si>
  <si>
    <t>Currency Exposure v2|Swaps|0|41547</t>
  </si>
  <si>
    <t>Currency Exposure v2|Back-to-back Loans|0|41547</t>
  </si>
  <si>
    <t>Currency Exposure v2|Options-L|0|41547</t>
  </si>
  <si>
    <t>Currency Exposure v2|Forwards-L|0|41547</t>
  </si>
  <si>
    <t>Currency Exposure v2|Swaps-L|0|41547</t>
  </si>
  <si>
    <t>Currency Exposure v2|Cash|0|41578</t>
  </si>
  <si>
    <t>Currency Exposure v2|Portfolio|0|41578</t>
  </si>
  <si>
    <t>Currency Exposure v2|Other Assets|0|41578</t>
  </si>
  <si>
    <t>Currency Exposure v2|Savings|0|41578</t>
  </si>
  <si>
    <t>Currency Exposure v2|Borrowings|0|41578</t>
  </si>
  <si>
    <t>Currency Exposure v2|Other Liabilities|0|41578</t>
  </si>
  <si>
    <t>Currency Exposure v2|Deposits for Back-to-Back Loans|0|41578</t>
  </si>
  <si>
    <t>Currency Exposure v2|Options|0|41578</t>
  </si>
  <si>
    <t>Currency Exposure v2|Forwards|0|41578</t>
  </si>
  <si>
    <t>Currency Exposure v2|Swaps|0|41578</t>
  </si>
  <si>
    <t>Currency Exposure v2|Back-to-back Loans|0|41578</t>
  </si>
  <si>
    <t>Currency Exposure v2|Options-L|0|41578</t>
  </si>
  <si>
    <t>Currency Exposure v2|Forwards-L|0|41578</t>
  </si>
  <si>
    <t>Currency Exposure v2|Swaps-L|0|41578</t>
  </si>
  <si>
    <t>Currency Exposure v2|Cash|0|41608</t>
  </si>
  <si>
    <t>Currency Exposure v2|Portfolio|0|41608</t>
  </si>
  <si>
    <t>Currency Exposure v2|Other Assets|0|41608</t>
  </si>
  <si>
    <t>Currency Exposure v2|Savings|0|41608</t>
  </si>
  <si>
    <t>Currency Exposure v2|Borrowings|0|41608</t>
  </si>
  <si>
    <t>Currency Exposure v2|Other Liabilities|0|41608</t>
  </si>
  <si>
    <t>Currency Exposure v2|Deposits for Back-to-Back Loans|0|41608</t>
  </si>
  <si>
    <t>Currency Exposure v2|Options|0|41608</t>
  </si>
  <si>
    <t>Currency Exposure v2|Forwards|0|41608</t>
  </si>
  <si>
    <t>Currency Exposure v2|Swaps|0|41608</t>
  </si>
  <si>
    <t>Currency Exposure v2|Back-to-back Loans|0|41608</t>
  </si>
  <si>
    <t>Currency Exposure v2|Options-L|0|41608</t>
  </si>
  <si>
    <t>Currency Exposure v2|Forwards-L|0|41608</t>
  </si>
  <si>
    <t>Currency Exposure v2|Swaps-L|0|41608</t>
  </si>
  <si>
    <t>Currency Exposure v2|Cash|0|41639</t>
  </si>
  <si>
    <t>Currency Exposure v2|Portfolio|0|41639</t>
  </si>
  <si>
    <t>Currency Exposure v2|Other Assets|0|41639</t>
  </si>
  <si>
    <t>Currency Exposure v2|Savings|0|41639</t>
  </si>
  <si>
    <t>Currency Exposure v2|Borrowings|0|41639</t>
  </si>
  <si>
    <t>Currency Exposure v2|Other Liabilities|0|41639</t>
  </si>
  <si>
    <t>Currency Exposure v2|Deposits for Back-to-Back Loans|0|41639</t>
  </si>
  <si>
    <t>Currency Exposure v2|Options|0|41639</t>
  </si>
  <si>
    <t>Currency Exposure v2|Forwards|0|41639</t>
  </si>
  <si>
    <t>Currency Exposure v2|Swaps|0|41639</t>
  </si>
  <si>
    <t>Currency Exposure v2|Back-to-back Loans|0|41639</t>
  </si>
  <si>
    <t>Currency Exposure v2|Options-L|0|41639</t>
  </si>
  <si>
    <t>Currency Exposure v2|Forwards-L|0|41639</t>
  </si>
  <si>
    <t>Currency Exposure v2|Swaps-L|0|41639</t>
  </si>
  <si>
    <t>Income Statement v2|Interest Income from Loans|0|41305</t>
  </si>
  <si>
    <t>Income Statement v2|Income from Fees and Commissions on Loans|0|41305</t>
  </si>
  <si>
    <t>Income Statement v2|Interest Expense on Borrowings (&amp; Bonds)|0|41305</t>
  </si>
  <si>
    <t>Income Statement v2|Interest Expense on Deposits|0|41305</t>
  </si>
  <si>
    <t>Income Statement v2|Loan Loss Provision Expense|0|41305</t>
  </si>
  <si>
    <t>Income Statement v2|Fees from Penalties|0|41305</t>
  </si>
  <si>
    <t>Income Statement v2|Fees and Commissions from Non-Lending Operations|0|41305</t>
  </si>
  <si>
    <t>Income Statement v2|Realized Net Foreign Exchange/Inflation Income (Expense)|0|41305</t>
  </si>
  <si>
    <t>Income Statement v2|Other Financial Income (Expense)|0|41305</t>
  </si>
  <si>
    <t>Income Statement v2|Salaries &amp; Benefits|0|41305</t>
  </si>
  <si>
    <t>Income Statement v2|General &amp; Administrative|0|41305</t>
  </si>
  <si>
    <t>Income Statement v2|Depreciation &amp; Amortization|0|41305</t>
  </si>
  <si>
    <t>Income Statement v2|Non-operating income|0|41305</t>
  </si>
  <si>
    <t>Income Statement v2|Non-operating expenses|0|41305</t>
  </si>
  <si>
    <t>Income Statement v2|Income Tax Expense|0|41305</t>
  </si>
  <si>
    <t>Income Statement v2|Donations|0|41305</t>
  </si>
  <si>
    <t>Income Statement v2|Income (Expense) from Unconsolidated Affiliates|0|41305</t>
  </si>
  <si>
    <t>Income Statement v2|Dividends Received|0|41305</t>
  </si>
  <si>
    <t>Income Statement v2|Minority Interest Expense|0|41305</t>
  </si>
  <si>
    <t>Income Statement v2|Ordinary Shares Outstanding|0|41305</t>
  </si>
  <si>
    <t>Income Statement v2|Fully Diluted Shares Outstanding|0|41305</t>
  </si>
  <si>
    <t>Income Statement v2|Dividends|0|41305</t>
  </si>
  <si>
    <t>Income Statement v2|Unrealized FX Gains/(Losses)|0|41305</t>
  </si>
  <si>
    <t>Income Statement v2|Other|0|41305</t>
  </si>
  <si>
    <t>Income Statement v2|Interest Income from Loans|0|41333</t>
  </si>
  <si>
    <t>Income Statement v2|Income from Fees and Commissions on Loans|0|41333</t>
  </si>
  <si>
    <t>Income Statement v2|Interest Expense on Borrowings (&amp; Bonds)|0|41333</t>
  </si>
  <si>
    <t>Income Statement v2|Interest Expense on Deposits|0|41333</t>
  </si>
  <si>
    <t>Income Statement v2|Loan Loss Provision Expense|0|41333</t>
  </si>
  <si>
    <t>Income Statement v2|Fees from Penalties|0|41333</t>
  </si>
  <si>
    <t>Income Statement v2|Fees and Commissions from Non-Lending Operations|0|41333</t>
  </si>
  <si>
    <t>Income Statement v2|Realized Net Foreign Exchange/Inflation Income (Expense)|0|41333</t>
  </si>
  <si>
    <t>Income Statement v2|Other Financial Income (Expense)|0|41333</t>
  </si>
  <si>
    <t>Income Statement v2|Salaries &amp; Benefits|0|41333</t>
  </si>
  <si>
    <t>Income Statement v2|General &amp; Administrative|0|41333</t>
  </si>
  <si>
    <t>Income Statement v2|Depreciation &amp; Amortization|0|41333</t>
  </si>
  <si>
    <t>Income Statement v2|Non-operating income|0|41333</t>
  </si>
  <si>
    <t>Income Statement v2|Non-operating expenses|0|41333</t>
  </si>
  <si>
    <t>Income Statement v2|Income Tax Expense|0|41333</t>
  </si>
  <si>
    <t>Income Statement v2|Donations|0|41333</t>
  </si>
  <si>
    <t>Income Statement v2|Income (Expense) from Unconsolidated Affiliates|0|41333</t>
  </si>
  <si>
    <t>Income Statement v2|Dividends Received|0|41333</t>
  </si>
  <si>
    <t>Income Statement v2|Minority Interest Expense|0|41333</t>
  </si>
  <si>
    <t>Income Statement v2|Ordinary Shares Outstanding|0|41333</t>
  </si>
  <si>
    <t>Income Statement v2|Fully Diluted Shares Outstanding|0|41333</t>
  </si>
  <si>
    <t>Income Statement v2|Dividends|0|41333</t>
  </si>
  <si>
    <t>Income Statement v2|Unrealized FX Gains/(Losses)|0|41333</t>
  </si>
  <si>
    <t>Income Statement v2|Other|0|41333</t>
  </si>
  <si>
    <t>Income Statement v2|Interest Income from Loans|0|41364</t>
  </si>
  <si>
    <t>Income Statement v2|Income from Fees and Commissions on Loans|0|41364</t>
  </si>
  <si>
    <t>Income Statement v2|Interest Expense on Borrowings (&amp; Bonds)|0|41364</t>
  </si>
  <si>
    <t>Income Statement v2|Interest Expense on Deposits|0|41364</t>
  </si>
  <si>
    <t>Income Statement v2|Loan Loss Provision Expense|0|41364</t>
  </si>
  <si>
    <t>Income Statement v2|Fees from Penalties|0|41364</t>
  </si>
  <si>
    <t>Income Statement v2|Fees and Commissions from Non-Lending Operations|0|41364</t>
  </si>
  <si>
    <t>Income Statement v2|Realized Net Foreign Exchange/Inflation Income (Expense)|0|41364</t>
  </si>
  <si>
    <t>Income Statement v2|Other Financial Income (Expense)|0|41364</t>
  </si>
  <si>
    <t>Income Statement v2|Salaries &amp; Benefits|0|41364</t>
  </si>
  <si>
    <t>Income Statement v2|General &amp; Administrative|0|41364</t>
  </si>
  <si>
    <t>Income Statement v2|Depreciation &amp; Amortization|0|41364</t>
  </si>
  <si>
    <t>Income Statement v2|Non-operating income|0|41364</t>
  </si>
  <si>
    <t>Income Statement v2|Non-operating expenses|0|41364</t>
  </si>
  <si>
    <t>Income Statement v2|Income Tax Expense|0|41364</t>
  </si>
  <si>
    <t>Income Statement v2|Donations|0|41364</t>
  </si>
  <si>
    <t>Income Statement v2|Income (Expense) from Unconsolidated Affiliates|0|41364</t>
  </si>
  <si>
    <t>Income Statement v2|Dividends Received|0|41364</t>
  </si>
  <si>
    <t>Income Statement v2|Minority Interest Expense|0|41364</t>
  </si>
  <si>
    <t>Income Statement v2|Ordinary Shares Outstanding|0|41364</t>
  </si>
  <si>
    <t>Income Statement v2|Fully Diluted Shares Outstanding|0|41364</t>
  </si>
  <si>
    <t>Income Statement v2|Dividends|0|41364</t>
  </si>
  <si>
    <t>Income Statement v2|Unrealized FX Gains/(Losses)|0|41364</t>
  </si>
  <si>
    <t>Income Statement v2|Other|0|41364</t>
  </si>
  <si>
    <t>Income Statement v2|Interest Income from Loans|0|41394</t>
  </si>
  <si>
    <t>Income Statement v2|Income from Fees and Commissions on Loans|0|41394</t>
  </si>
  <si>
    <t>Income Statement v2|Interest Expense on Borrowings (&amp; Bonds)|0|41394</t>
  </si>
  <si>
    <t>Income Statement v2|Interest Expense on Deposits|0|41394</t>
  </si>
  <si>
    <t>Income Statement v2|Loan Loss Provision Expense|0|41394</t>
  </si>
  <si>
    <t>Income Statement v2|Fees from Penalties|0|41394</t>
  </si>
  <si>
    <t>Income Statement v2|Fees and Commissions from Non-Lending Operations|0|41394</t>
  </si>
  <si>
    <t>Income Statement v2|Realized Net Foreign Exchange/Inflation Income (Expense)|0|41394</t>
  </si>
  <si>
    <t>Income Statement v2|Other Financial Income (Expense)|0|41394</t>
  </si>
  <si>
    <t>Income Statement v2|Salaries &amp; Benefits|0|41394</t>
  </si>
  <si>
    <t>Income Statement v2|General &amp; Administrative|0|41394</t>
  </si>
  <si>
    <t>Income Statement v2|Depreciation &amp; Amortization|0|41394</t>
  </si>
  <si>
    <t>Income Statement v2|Non-operating income|0|41394</t>
  </si>
  <si>
    <t>Income Statement v2|Non-operating expenses|0|41394</t>
  </si>
  <si>
    <t>Income Statement v2|Income Tax Expense|0|41394</t>
  </si>
  <si>
    <t>Income Statement v2|Donations|0|41394</t>
  </si>
  <si>
    <t>Income Statement v2|Income (Expense) from Unconsolidated Affiliates|0|41394</t>
  </si>
  <si>
    <t>Income Statement v2|Dividends Received|0|41394</t>
  </si>
  <si>
    <t>Income Statement v2|Minority Interest Expense|0|41394</t>
  </si>
  <si>
    <t>Income Statement v2|Ordinary Shares Outstanding|0|41394</t>
  </si>
  <si>
    <t>Income Statement v2|Fully Diluted Shares Outstanding|0|41394</t>
  </si>
  <si>
    <t>Income Statement v2|Dividends|0|41394</t>
  </si>
  <si>
    <t>Income Statement v2|Unrealized FX Gains/(Losses)|0|41394</t>
  </si>
  <si>
    <t>Income Statement v2|Other|0|41394</t>
  </si>
  <si>
    <t>Income Statement v2|Interest Income from Loans|0|41425</t>
  </si>
  <si>
    <t>Income Statement v2|Income from Fees and Commissions on Loans|0|41425</t>
  </si>
  <si>
    <t>Income Statement v2|Interest Expense on Borrowings (&amp; Bonds)|0|41425</t>
  </si>
  <si>
    <t>Income Statement v2|Interest Expense on Deposits|0|41425</t>
  </si>
  <si>
    <t>Income Statement v2|Loan Loss Provision Expense|0|41425</t>
  </si>
  <si>
    <t>Income Statement v2|Fees from Penalties|0|41425</t>
  </si>
  <si>
    <t>Income Statement v2|Fees and Commissions from Non-Lending Operations|0|41425</t>
  </si>
  <si>
    <t>Income Statement v2|Realized Net Foreign Exchange/Inflation Income (Expense)|0|41425</t>
  </si>
  <si>
    <t>Income Statement v2|Other Financial Income (Expense)|0|41425</t>
  </si>
  <si>
    <t>Income Statement v2|Salaries &amp; Benefits|0|41425</t>
  </si>
  <si>
    <t>Income Statement v2|General &amp; Administrative|0|41425</t>
  </si>
  <si>
    <t>Income Statement v2|Depreciation &amp; Amortization|0|41425</t>
  </si>
  <si>
    <t>Income Statement v2|Non-operating income|0|41425</t>
  </si>
  <si>
    <t>Income Statement v2|Non-operating expenses|0|41425</t>
  </si>
  <si>
    <t>Income Statement v2|Income Tax Expense|0|41425</t>
  </si>
  <si>
    <t>Income Statement v2|Donations|0|41425</t>
  </si>
  <si>
    <t>Income Statement v2|Income (Expense) from Unconsolidated Affiliates|0|41425</t>
  </si>
  <si>
    <t>Income Statement v2|Dividends Received|0|41425</t>
  </si>
  <si>
    <t>Income Statement v2|Minority Interest Expense|0|41425</t>
  </si>
  <si>
    <t>Income Statement v2|Ordinary Shares Outstanding|0|41425</t>
  </si>
  <si>
    <t>Income Statement v2|Fully Diluted Shares Outstanding|0|41425</t>
  </si>
  <si>
    <t>Income Statement v2|Dividends|0|41425</t>
  </si>
  <si>
    <t>Income Statement v2|Unrealized FX Gains/(Losses)|0|41425</t>
  </si>
  <si>
    <t>Income Statement v2|Other|0|41425</t>
  </si>
  <si>
    <t>Income Statement v2|Interest Income from Loans|0|41455</t>
  </si>
  <si>
    <t>Income Statement v2|Income from Fees and Commissions on Loans|0|41455</t>
  </si>
  <si>
    <t>Income Statement v2|Interest Expense on Borrowings (&amp; Bonds)|0|41455</t>
  </si>
  <si>
    <t>Income Statement v2|Interest Expense on Deposits|0|41455</t>
  </si>
  <si>
    <t>Income Statement v2|Loan Loss Provision Expense|0|41455</t>
  </si>
  <si>
    <t>Income Statement v2|Fees from Penalties|0|41455</t>
  </si>
  <si>
    <t>Income Statement v2|Fees and Commissions from Non-Lending Operations|0|41455</t>
  </si>
  <si>
    <t>Income Statement v2|Realized Net Foreign Exchange/Inflation Income (Expense)|0|41455</t>
  </si>
  <si>
    <t>Income Statement v2|Other Financial Income (Expense)|0|41455</t>
  </si>
  <si>
    <t>Income Statement v2|Salaries &amp; Benefits|0|41455</t>
  </si>
  <si>
    <t>Income Statement v2|General &amp; Administrative|0|41455</t>
  </si>
  <si>
    <t>Income Statement v2|Depreciation &amp; Amortization|0|41455</t>
  </si>
  <si>
    <t>Income Statement v2|Non-operating income|0|41455</t>
  </si>
  <si>
    <t>Income Statement v2|Non-operating expenses|0|41455</t>
  </si>
  <si>
    <t>Income Statement v2|Income Tax Expense|0|41455</t>
  </si>
  <si>
    <t>Income Statement v2|Donations|0|41455</t>
  </si>
  <si>
    <t>Income Statement v2|Income (Expense) from Unconsolidated Affiliates|0|41455</t>
  </si>
  <si>
    <t>Income Statement v2|Dividends Received|0|41455</t>
  </si>
  <si>
    <t>Income Statement v2|Minority Interest Expense|0|41455</t>
  </si>
  <si>
    <t>Income Statement v2|Ordinary Shares Outstanding|0|41455</t>
  </si>
  <si>
    <t>Income Statement v2|Fully Diluted Shares Outstanding|0|41455</t>
  </si>
  <si>
    <t>Income Statement v2|Dividends|0|41455</t>
  </si>
  <si>
    <t>Income Statement v2|Unrealized FX Gains/(Losses)|0|41455</t>
  </si>
  <si>
    <t>Income Statement v2|Other|0|41455</t>
  </si>
  <si>
    <t>Income Statement v2|Interest Income from Loans|0|41486</t>
  </si>
  <si>
    <t>Income Statement v2|Income from Fees and Commissions on Loans|0|41486</t>
  </si>
  <si>
    <t>Income Statement v2|Interest Expense on Borrowings (&amp; Bonds)|0|41486</t>
  </si>
  <si>
    <t>Income Statement v2|Interest Expense on Deposits|0|41486</t>
  </si>
  <si>
    <t>Income Statement v2|Loan Loss Provision Expense|0|41486</t>
  </si>
  <si>
    <t>Income Statement v2|Fees from Penalties|0|41486</t>
  </si>
  <si>
    <t>Income Statement v2|Fees and Commissions from Non-Lending Operations|0|41486</t>
  </si>
  <si>
    <t>Income Statement v2|Realized Net Foreign Exchange/Inflation Income (Expense)|0|41486</t>
  </si>
  <si>
    <t>Income Statement v2|Other Financial Income (Expense)|0|41486</t>
  </si>
  <si>
    <t>Income Statement v2|Salaries &amp; Benefits|0|41486</t>
  </si>
  <si>
    <t>Income Statement v2|General &amp; Administrative|0|41486</t>
  </si>
  <si>
    <t>Income Statement v2|Depreciation &amp; Amortization|0|41486</t>
  </si>
  <si>
    <t>Income Statement v2|Non-operating income|0|41486</t>
  </si>
  <si>
    <t>Income Statement v2|Non-operating expenses|0|41486</t>
  </si>
  <si>
    <t>Income Statement v2|Income Tax Expense|0|41486</t>
  </si>
  <si>
    <t>Income Statement v2|Donations|0|41486</t>
  </si>
  <si>
    <t>Income Statement v2|Income (Expense) from Unconsolidated Affiliates|0|41486</t>
  </si>
  <si>
    <t>Income Statement v2|Dividends Received|0|41486</t>
  </si>
  <si>
    <t>Income Statement v2|Minority Interest Expense|0|41486</t>
  </si>
  <si>
    <t>Income Statement v2|Ordinary Shares Outstanding|0|41486</t>
  </si>
  <si>
    <t>Income Statement v2|Fully Diluted Shares Outstanding|0|41486</t>
  </si>
  <si>
    <t>Income Statement v2|Dividends|0|41486</t>
  </si>
  <si>
    <t>Income Statement v2|Unrealized FX Gains/(Losses)|0|41486</t>
  </si>
  <si>
    <t>Income Statement v2|Other|0|41486</t>
  </si>
  <si>
    <t>Income Statement v2|Interest Income from Loans|0|41517</t>
  </si>
  <si>
    <t>Income Statement v2|Income from Fees and Commissions on Loans|0|41517</t>
  </si>
  <si>
    <t>Income Statement v2|Interest Expense on Borrowings (&amp; Bonds)|0|41517</t>
  </si>
  <si>
    <t>Income Statement v2|Interest Expense on Deposits|0|41517</t>
  </si>
  <si>
    <t>Income Statement v2|Loan Loss Provision Expense|0|41517</t>
  </si>
  <si>
    <t>Income Statement v2|Fees from Penalties|0|41517</t>
  </si>
  <si>
    <t>Income Statement v2|Fees and Commissions from Non-Lending Operations|0|41517</t>
  </si>
  <si>
    <t>Income Statement v2|Realized Net Foreign Exchange/Inflation Income (Expense)|0|41517</t>
  </si>
  <si>
    <t>Income Statement v2|Other Financial Income (Expense)|0|41517</t>
  </si>
  <si>
    <t>Income Statement v2|Salaries &amp; Benefits|0|41517</t>
  </si>
  <si>
    <t>Income Statement v2|General &amp; Administrative|0|41517</t>
  </si>
  <si>
    <t>Income Statement v2|Depreciation &amp; Amortization|0|41517</t>
  </si>
  <si>
    <t>Income Statement v2|Non-operating income|0|41517</t>
  </si>
  <si>
    <t>Income Statement v2|Non-operating expenses|0|41517</t>
  </si>
  <si>
    <t>Income Statement v2|Income Tax Expense|0|41517</t>
  </si>
  <si>
    <t>Income Statement v2|Donations|0|41517</t>
  </si>
  <si>
    <t>Income Statement v2|Income (Expense) from Unconsolidated Affiliates|0|41517</t>
  </si>
  <si>
    <t>Income Statement v2|Dividends Received|0|41517</t>
  </si>
  <si>
    <t>Income Statement v2|Minority Interest Expense|0|41517</t>
  </si>
  <si>
    <t>Income Statement v2|Ordinary Shares Outstanding|0|41517</t>
  </si>
  <si>
    <t>Income Statement v2|Fully Diluted Shares Outstanding|0|41517</t>
  </si>
  <si>
    <t>Income Statement v2|Dividends|0|41517</t>
  </si>
  <si>
    <t>Income Statement v2|Unrealized FX Gains/(Losses)|0|41517</t>
  </si>
  <si>
    <t>Income Statement v2|Other|0|41517</t>
  </si>
  <si>
    <t>Income Statement v2|Interest Income from Loans|0|41547</t>
  </si>
  <si>
    <t>Income Statement v2|Income from Fees and Commissions on Loans|0|41547</t>
  </si>
  <si>
    <t>Income Statement v2|Interest Expense on Borrowings (&amp; Bonds)|0|41547</t>
  </si>
  <si>
    <t>Income Statement v2|Interest Expense on Deposits|0|41547</t>
  </si>
  <si>
    <t>Income Statement v2|Loan Loss Provision Expense|0|41547</t>
  </si>
  <si>
    <t>Income Statement v2|Fees from Penalties|0|41547</t>
  </si>
  <si>
    <t>Income Statement v2|Fees and Commissions from Non-Lending Operations|0|41547</t>
  </si>
  <si>
    <t>Income Statement v2|Realized Net Foreign Exchange/Inflation Income (Expense)|0|41547</t>
  </si>
  <si>
    <t>Income Statement v2|Other Financial Income (Expense)|0|41547</t>
  </si>
  <si>
    <t>Income Statement v2|Salaries &amp; Benefits|0|41547</t>
  </si>
  <si>
    <t>Income Statement v2|General &amp; Administrative|0|41547</t>
  </si>
  <si>
    <t>Income Statement v2|Depreciation &amp; Amortization|0|41547</t>
  </si>
  <si>
    <t>Income Statement v2|Non-operating income|0|41547</t>
  </si>
  <si>
    <t>Income Statement v2|Non-operating expenses|0|41547</t>
  </si>
  <si>
    <t>Income Statement v2|Income Tax Expense|0|41547</t>
  </si>
  <si>
    <t>Income Statement v2|Donations|0|41547</t>
  </si>
  <si>
    <t>Income Statement v2|Income (Expense) from Unconsolidated Affiliates|0|41547</t>
  </si>
  <si>
    <t>Income Statement v2|Dividends Received|0|41547</t>
  </si>
  <si>
    <t>Income Statement v2|Minority Interest Expense|0|41547</t>
  </si>
  <si>
    <t>Income Statement v2|Ordinary Shares Outstanding|0|41547</t>
  </si>
  <si>
    <t>Income Statement v2|Fully Diluted Shares Outstanding|0|41547</t>
  </si>
  <si>
    <t>Income Statement v2|Dividends|0|41547</t>
  </si>
  <si>
    <t>Income Statement v2|Unrealized FX Gains/(Losses)|0|41547</t>
  </si>
  <si>
    <t>Income Statement v2|Other|0|41547</t>
  </si>
  <si>
    <t>Income Statement v2|Interest Income from Loans|0|41578</t>
  </si>
  <si>
    <t>Income Statement v2|Income from Fees and Commissions on Loans|0|41578</t>
  </si>
  <si>
    <t>Income Statement v2|Interest Expense on Borrowings (&amp; Bonds)|0|41578</t>
  </si>
  <si>
    <t>Income Statement v2|Interest Expense on Deposits|0|41578</t>
  </si>
  <si>
    <t>Income Statement v2|Loan Loss Provision Expense|0|41578</t>
  </si>
  <si>
    <t>Income Statement v2|Fees from Penalties|0|41578</t>
  </si>
  <si>
    <t>Income Statement v2|Fees and Commissions from Non-Lending Operations|0|41578</t>
  </si>
  <si>
    <t>Income Statement v2|Realized Net Foreign Exchange/Inflation Income (Expense)|0|41578</t>
  </si>
  <si>
    <t>Income Statement v2|Other Financial Income (Expense)|0|41578</t>
  </si>
  <si>
    <t>Income Statement v2|Salaries &amp; Benefits|0|41578</t>
  </si>
  <si>
    <t>Income Statement v2|General &amp; Administrative|0|41578</t>
  </si>
  <si>
    <t>Income Statement v2|Depreciation &amp; Amortization|0|41578</t>
  </si>
  <si>
    <t>Income Statement v2|Non-operating income|0|41578</t>
  </si>
  <si>
    <t>Income Statement v2|Non-operating expenses|0|41578</t>
  </si>
  <si>
    <t>Income Statement v2|Income Tax Expense|0|41578</t>
  </si>
  <si>
    <t>Income Statement v2|Donations|0|41578</t>
  </si>
  <si>
    <t>Income Statement v2|Income (Expense) from Unconsolidated Affiliates|0|41578</t>
  </si>
  <si>
    <t>Income Statement v2|Dividends Received|0|41578</t>
  </si>
  <si>
    <t>Income Statement v2|Minority Interest Expense|0|41578</t>
  </si>
  <si>
    <t>Income Statement v2|Ordinary Shares Outstanding|0|41578</t>
  </si>
  <si>
    <t>Income Statement v2|Fully Diluted Shares Outstanding|0|41578</t>
  </si>
  <si>
    <t>Income Statement v2|Dividends|0|41578</t>
  </si>
  <si>
    <t>Income Statement v2|Unrealized FX Gains/(Losses)|0|41578</t>
  </si>
  <si>
    <t>Income Statement v2|Other|0|41578</t>
  </si>
  <si>
    <t>Income Statement v2|Interest Income from Loans|0|41608</t>
  </si>
  <si>
    <t>Income Statement v2|Income from Fees and Commissions on Loans|0|41608</t>
  </si>
  <si>
    <t>Income Statement v2|Interest Expense on Borrowings (&amp; Bonds)|0|41608</t>
  </si>
  <si>
    <t>Income Statement v2|Interest Expense on Deposits|0|41608</t>
  </si>
  <si>
    <t>Income Statement v2|Loan Loss Provision Expense|0|41608</t>
  </si>
  <si>
    <t>Income Statement v2|Fees from Penalties|0|41608</t>
  </si>
  <si>
    <t>Income Statement v2|Fees and Commissions from Non-Lending Operations|0|41608</t>
  </si>
  <si>
    <t>Income Statement v2|Realized Net Foreign Exchange/Inflation Income (Expense)|0|41608</t>
  </si>
  <si>
    <t>Income Statement v2|Other Financial Income (Expense)|0|41608</t>
  </si>
  <si>
    <t>Income Statement v2|Salaries &amp; Benefits|0|41608</t>
  </si>
  <si>
    <t>Income Statement v2|General &amp; Administrative|0|41608</t>
  </si>
  <si>
    <t>Income Statement v2|Depreciation &amp; Amortization|0|41608</t>
  </si>
  <si>
    <t>Income Statement v2|Non-operating income|0|41608</t>
  </si>
  <si>
    <t>Income Statement v2|Non-operating expenses|0|41608</t>
  </si>
  <si>
    <t>Income Statement v2|Income Tax Expense|0|41608</t>
  </si>
  <si>
    <t>Income Statement v2|Donations|0|41608</t>
  </si>
  <si>
    <t>Income Statement v2|Income (Expense) from Unconsolidated Affiliates|0|41608</t>
  </si>
  <si>
    <t>Income Statement v2|Dividends Received|0|41608</t>
  </si>
  <si>
    <t>Income Statement v2|Minority Interest Expense|0|41608</t>
  </si>
  <si>
    <t>Income Statement v2|Ordinary Shares Outstanding|0|41608</t>
  </si>
  <si>
    <t>Income Statement v2|Fully Diluted Shares Outstanding|0|41608</t>
  </si>
  <si>
    <t>Income Statement v2|Dividends|0|41608</t>
  </si>
  <si>
    <t>Income Statement v2|Unrealized FX Gains/(Losses)|0|41608</t>
  </si>
  <si>
    <t>Income Statement v2|Other|0|41608</t>
  </si>
  <si>
    <t>Income Statement v2|Interest Income from Loans|0|41639</t>
  </si>
  <si>
    <t>Income Statement v2|Income from Fees and Commissions on Loans|0|41639</t>
  </si>
  <si>
    <t>Income Statement v2|Interest Expense on Borrowings (&amp; Bonds)|0|41639</t>
  </si>
  <si>
    <t>Income Statement v2|Interest Expense on Deposits|0|41639</t>
  </si>
  <si>
    <t>Income Statement v2|Loan Loss Provision Expense|0|41639</t>
  </si>
  <si>
    <t>Income Statement v2|Fees from Penalties|0|41639</t>
  </si>
  <si>
    <t>Income Statement v2|Fees and Commissions from Non-Lending Operations|0|41639</t>
  </si>
  <si>
    <t>Income Statement v2|Realized Net Foreign Exchange/Inflation Income (Expense)|0|41639</t>
  </si>
  <si>
    <t>Income Statement v2|Other Financial Income (Expense)|0|41639</t>
  </si>
  <si>
    <t>Income Statement v2|Salaries &amp; Benefits|0|41639</t>
  </si>
  <si>
    <t>Income Statement v2|General &amp; Administrative|0|41639</t>
  </si>
  <si>
    <t>Income Statement v2|Depreciation &amp; Amortization|0|41639</t>
  </si>
  <si>
    <t>Income Statement v2|Non-operating income|0|41639</t>
  </si>
  <si>
    <t>Income Statement v2|Non-operating expenses|0|41639</t>
  </si>
  <si>
    <t>Income Statement v2|Income Tax Expense|0|41639</t>
  </si>
  <si>
    <t>Income Statement v2|Donations|0|41639</t>
  </si>
  <si>
    <t>Income Statement v2|Income (Expense) from Unconsolidated Affiliates|0|41639</t>
  </si>
  <si>
    <t>Income Statement v2|Dividends Received|0|41639</t>
  </si>
  <si>
    <t>Income Statement v2|Minority Interest Expense|0|41639</t>
  </si>
  <si>
    <t>Income Statement v2|Ordinary Shares Outstanding|0|41639</t>
  </si>
  <si>
    <t>Income Statement v2|Fully Diluted Shares Outstanding|0|41639</t>
  </si>
  <si>
    <t>Income Statement v2|Dividends|0|41639</t>
  </si>
  <si>
    <t>Income Statement v2|Unrealized FX Gains/(Losses)|0|41639</t>
  </si>
  <si>
    <t>Income Statement v2|Other|0|41639</t>
  </si>
  <si>
    <t>Portfolio Quality v2|Current Portfolio|0|41305</t>
  </si>
  <si>
    <t>Portfolio Quality v2|PAR (1-30 days)|0|41305</t>
  </si>
  <si>
    <t>Portfolio Quality v2|PAR (30-60 days)|0|41305</t>
  </si>
  <si>
    <t>Portfolio Quality v2|PAR (60-90 days)|0|41305</t>
  </si>
  <si>
    <t>Portfolio Quality v2|PAR (90-120 days)|0|41305</t>
  </si>
  <si>
    <t>Portfolio Quality v2|PAR (120-180 days)|0|41305</t>
  </si>
  <si>
    <t>Portfolio Quality v2|PAR (180 - 360 days)|0|41305</t>
  </si>
  <si>
    <t>Portfolio Quality v2|PAR (&gt;360 days)|0|41305</t>
  </si>
  <si>
    <t>Portfolio Quality v2|Current R+R Loans|0|41305</t>
  </si>
  <si>
    <t>Portfolio Quality v2|PAR (1-30 days) (R+R)|0|41305</t>
  </si>
  <si>
    <t>Portfolio Quality v2|PAR (&gt;30 days)|0|41305</t>
  </si>
  <si>
    <t>Portfolio Quality v2|-Gross Write-Offs**|0|41305</t>
  </si>
  <si>
    <t>Portfolio Quality v2|-Recoveries**|0|41305</t>
  </si>
  <si>
    <t>Portfolio Quality v2|+/-Other|0|41305</t>
  </si>
  <si>
    <t>Portfolio Quality v2|Current Portfolio|0|41333</t>
  </si>
  <si>
    <t>Portfolio Quality v2|PAR (1-30 days)|0|41333</t>
  </si>
  <si>
    <t>Portfolio Quality v2|PAR (30-60 days)|0|41333</t>
  </si>
  <si>
    <t>Portfolio Quality v2|PAR (60-90 days)|0|41333</t>
  </si>
  <si>
    <t>Portfolio Quality v2|PAR (90-120 days)|0|41333</t>
  </si>
  <si>
    <t>Portfolio Quality v2|PAR (120-180 days)|0|41333</t>
  </si>
  <si>
    <t>Portfolio Quality v2|PAR (180 - 360 days)|0|41333</t>
  </si>
  <si>
    <t>Portfolio Quality v2|PAR (&gt;360 days)|0|41333</t>
  </si>
  <si>
    <t>Portfolio Quality v2|Current R+R Loans|0|41333</t>
  </si>
  <si>
    <t>Portfolio Quality v2|PAR (1-30 days) (R+R)|0|41333</t>
  </si>
  <si>
    <t>Portfolio Quality v2|PAR (&gt;30 days)|0|41333</t>
  </si>
  <si>
    <t>Portfolio Quality v2|-Gross Write-Offs**|0|41333</t>
  </si>
  <si>
    <t>Portfolio Quality v2|-Recoveries**|0|41333</t>
  </si>
  <si>
    <t>Portfolio Quality v2|+/-Other|0|41333</t>
  </si>
  <si>
    <t>Portfolio Quality v2|Current Portfolio|0|41364</t>
  </si>
  <si>
    <t>Portfolio Quality v2|PAR (1-30 days)|0|41364</t>
  </si>
  <si>
    <t>Portfolio Quality v2|PAR (30-60 days)|0|41364</t>
  </si>
  <si>
    <t>Portfolio Quality v2|PAR (60-90 days)|0|41364</t>
  </si>
  <si>
    <t>Portfolio Quality v2|PAR (90-120 days)|0|41364</t>
  </si>
  <si>
    <t>Portfolio Quality v2|PAR (120-180 days)|0|41364</t>
  </si>
  <si>
    <t>Portfolio Quality v2|PAR (180 - 360 days)|0|41364</t>
  </si>
  <si>
    <t>Portfolio Quality v2|PAR (&gt;360 days)|0|41364</t>
  </si>
  <si>
    <t>Portfolio Quality v2|Current R+R Loans|0|41364</t>
  </si>
  <si>
    <t>Portfolio Quality v2|PAR (1-30 days) (R+R)|0|41364</t>
  </si>
  <si>
    <t>Portfolio Quality v2|PAR (&gt;30 days)|0|41364</t>
  </si>
  <si>
    <t>Portfolio Quality v2|-Gross Write-Offs**|0|41364</t>
  </si>
  <si>
    <t>Portfolio Quality v2|-Recoveries**|0|41364</t>
  </si>
  <si>
    <t>Portfolio Quality v2|+/-Other|0|41364</t>
  </si>
  <si>
    <t>Portfolio Quality v2|Current Portfolio|0|41394</t>
  </si>
  <si>
    <t>Portfolio Quality v2|PAR (1-30 days)|0|41394</t>
  </si>
  <si>
    <t>Portfolio Quality v2|PAR (30-60 days)|0|41394</t>
  </si>
  <si>
    <t>Portfolio Quality v2|PAR (60-90 days)|0|41394</t>
  </si>
  <si>
    <t>Portfolio Quality v2|PAR (90-120 days)|0|41394</t>
  </si>
  <si>
    <t>Portfolio Quality v2|PAR (120-180 days)|0|41394</t>
  </si>
  <si>
    <t>Portfolio Quality v2|PAR (180 - 360 days)|0|41394</t>
  </si>
  <si>
    <t>Portfolio Quality v2|PAR (&gt;360 days)|0|41394</t>
  </si>
  <si>
    <t>Portfolio Quality v2|Current R+R Loans|0|41394</t>
  </si>
  <si>
    <t>Portfolio Quality v2|PAR (1-30 days) (R+R)|0|41394</t>
  </si>
  <si>
    <t>Portfolio Quality v2|PAR (&gt;30 days)|0|41394</t>
  </si>
  <si>
    <t>Portfolio Quality v2|-Gross Write-Offs**|0|41394</t>
  </si>
  <si>
    <t>Portfolio Quality v2|-Recoveries**|0|41394</t>
  </si>
  <si>
    <t>Portfolio Quality v2|+/-Other|0|41394</t>
  </si>
  <si>
    <t>Portfolio Quality v2|Current Portfolio|0|41425</t>
  </si>
  <si>
    <t>Portfolio Quality v2|PAR (1-30 days)|0|41425</t>
  </si>
  <si>
    <t>Portfolio Quality v2|PAR (30-60 days)|0|41425</t>
  </si>
  <si>
    <t>Portfolio Quality v2|PAR (60-90 days)|0|41425</t>
  </si>
  <si>
    <t>Portfolio Quality v2|PAR (90-120 days)|0|41425</t>
  </si>
  <si>
    <t>Portfolio Quality v2|PAR (120-180 days)|0|41425</t>
  </si>
  <si>
    <t>Portfolio Quality v2|PAR (180 - 360 days)|0|41425</t>
  </si>
  <si>
    <t>Portfolio Quality v2|PAR (&gt;360 days)|0|41425</t>
  </si>
  <si>
    <t>Portfolio Quality v2|Current R+R Loans|0|41425</t>
  </si>
  <si>
    <t>Portfolio Quality v2|PAR (1-30 days) (R+R)|0|41425</t>
  </si>
  <si>
    <t>Portfolio Quality v2|PAR (&gt;30 days)|0|41425</t>
  </si>
  <si>
    <t>Portfolio Quality v2|-Gross Write-Offs**|0|41425</t>
  </si>
  <si>
    <t>Portfolio Quality v2|-Recoveries**|0|41425</t>
  </si>
  <si>
    <t>Portfolio Quality v2|+/-Other|0|41425</t>
  </si>
  <si>
    <t>Portfolio Quality v2|Current Portfolio|0|41455</t>
  </si>
  <si>
    <t>Portfolio Quality v2|PAR (1-30 days)|0|41455</t>
  </si>
  <si>
    <t>Portfolio Quality v2|PAR (30-60 days)|0|41455</t>
  </si>
  <si>
    <t>Portfolio Quality v2|PAR (60-90 days)|0|41455</t>
  </si>
  <si>
    <t>Portfolio Quality v2|PAR (90-120 days)|0|41455</t>
  </si>
  <si>
    <t>Portfolio Quality v2|PAR (120-180 days)|0|41455</t>
  </si>
  <si>
    <t>Portfolio Quality v2|PAR (180 - 360 days)|0|41455</t>
  </si>
  <si>
    <t>Portfolio Quality v2|PAR (&gt;360 days)|0|41455</t>
  </si>
  <si>
    <t>Portfolio Quality v2|Current R+R Loans|0|41455</t>
  </si>
  <si>
    <t>Portfolio Quality v2|PAR (1-30 days) (R+R)|0|41455</t>
  </si>
  <si>
    <t>Portfolio Quality v2|PAR (&gt;30 days)|0|41455</t>
  </si>
  <si>
    <t>Portfolio Quality v2|-Gross Write-Offs**|0|41455</t>
  </si>
  <si>
    <t>Portfolio Quality v2|-Recoveries**|0|41455</t>
  </si>
  <si>
    <t>Portfolio Quality v2|+/-Other|0|41455</t>
  </si>
  <si>
    <t>Portfolio Quality v2|Current Portfolio|0|41486</t>
  </si>
  <si>
    <t>Portfolio Quality v2|PAR (1-30 days)|0|41486</t>
  </si>
  <si>
    <t>Portfolio Quality v2|PAR (30-60 days)|0|41486</t>
  </si>
  <si>
    <t>Portfolio Quality v2|PAR (60-90 days)|0|41486</t>
  </si>
  <si>
    <t>Portfolio Quality v2|PAR (90-120 days)|0|41486</t>
  </si>
  <si>
    <t>Portfolio Quality v2|PAR (120-180 days)|0|41486</t>
  </si>
  <si>
    <t>Portfolio Quality v2|PAR (180 - 360 days)|0|41486</t>
  </si>
  <si>
    <t>Portfolio Quality v2|PAR (&gt;360 days)|0|41486</t>
  </si>
  <si>
    <t>Portfolio Quality v2|Current R+R Loans|0|41486</t>
  </si>
  <si>
    <t>Portfolio Quality v2|PAR (1-30 days) (R+R)|0|41486</t>
  </si>
  <si>
    <t>Portfolio Quality v2|PAR (&gt;30 days)|0|41486</t>
  </si>
  <si>
    <t>Portfolio Quality v2|-Gross Write-Offs**|0|41486</t>
  </si>
  <si>
    <t>Portfolio Quality v2|-Recoveries**|0|41486</t>
  </si>
  <si>
    <t>Portfolio Quality v2|+/-Other|0|41486</t>
  </si>
  <si>
    <t>Portfolio Quality v2|Current Portfolio|0|41517</t>
  </si>
  <si>
    <t>Portfolio Quality v2|PAR (1-30 days)|0|41517</t>
  </si>
  <si>
    <t>Portfolio Quality v2|PAR (30-60 days)|0|41517</t>
  </si>
  <si>
    <t>Portfolio Quality v2|PAR (60-90 days)|0|41517</t>
  </si>
  <si>
    <t>Portfolio Quality v2|PAR (90-120 days)|0|41517</t>
  </si>
  <si>
    <t>Portfolio Quality v2|PAR (120-180 days)|0|41517</t>
  </si>
  <si>
    <t>Portfolio Quality v2|PAR (180 - 360 days)|0|41517</t>
  </si>
  <si>
    <t>Portfolio Quality v2|PAR (&gt;360 days)|0|41517</t>
  </si>
  <si>
    <t>Portfolio Quality v2|Current R+R Loans|0|41517</t>
  </si>
  <si>
    <t>Portfolio Quality v2|PAR (1-30 days) (R+R)|0|41517</t>
  </si>
  <si>
    <t>Portfolio Quality v2|PAR (&gt;30 days)|0|41517</t>
  </si>
  <si>
    <t>Portfolio Quality v2|-Gross Write-Offs**|0|41517</t>
  </si>
  <si>
    <t>Portfolio Quality v2|-Recoveries**|0|41517</t>
  </si>
  <si>
    <t>Portfolio Quality v2|+/-Other|0|41517</t>
  </si>
  <si>
    <t>Portfolio Quality v2|Current Portfolio|0|41547</t>
  </si>
  <si>
    <t>Portfolio Quality v2|PAR (1-30 days)|0|41547</t>
  </si>
  <si>
    <t>Portfolio Quality v2|PAR (30-60 days)|0|41547</t>
  </si>
  <si>
    <t>Portfolio Quality v2|PAR (60-90 days)|0|41547</t>
  </si>
  <si>
    <t>Portfolio Quality v2|PAR (90-120 days)|0|41547</t>
  </si>
  <si>
    <t>Portfolio Quality v2|PAR (120-180 days)|0|41547</t>
  </si>
  <si>
    <t>Portfolio Quality v2|PAR (180 - 360 days)|0|41547</t>
  </si>
  <si>
    <t>Portfolio Quality v2|PAR (&gt;360 days)|0|41547</t>
  </si>
  <si>
    <t>Portfolio Quality v2|Current R+R Loans|0|41547</t>
  </si>
  <si>
    <t>Portfolio Quality v2|PAR (1-30 days) (R+R)|0|41547</t>
  </si>
  <si>
    <t>Portfolio Quality v2|PAR (&gt;30 days)|0|41547</t>
  </si>
  <si>
    <t>Portfolio Quality v2|-Gross Write-Offs**|0|41547</t>
  </si>
  <si>
    <t>Portfolio Quality v2|-Recoveries**|0|41547</t>
  </si>
  <si>
    <t>Portfolio Quality v2|+/-Other|0|41547</t>
  </si>
  <si>
    <t>Portfolio Quality v2|Current Portfolio|0|41578</t>
  </si>
  <si>
    <t>Portfolio Quality v2|PAR (1-30 days)|0|41578</t>
  </si>
  <si>
    <t>Portfolio Quality v2|PAR (30-60 days)|0|41578</t>
  </si>
  <si>
    <t>Portfolio Quality v2|PAR (60-90 days)|0|41578</t>
  </si>
  <si>
    <t>Portfolio Quality v2|PAR (90-120 days)|0|41578</t>
  </si>
  <si>
    <t>Portfolio Quality v2|PAR (120-180 days)|0|41578</t>
  </si>
  <si>
    <t>Portfolio Quality v2|PAR (180 - 360 days)|0|41578</t>
  </si>
  <si>
    <t>Portfolio Quality v2|PAR (&gt;360 days)|0|41578</t>
  </si>
  <si>
    <t>Portfolio Quality v2|Current R+R Loans|0|41578</t>
  </si>
  <si>
    <t>Portfolio Quality v2|PAR (1-30 days) (R+R)|0|41578</t>
  </si>
  <si>
    <t>Portfolio Quality v2|PAR (&gt;30 days)|0|41578</t>
  </si>
  <si>
    <t>Portfolio Quality v2|-Gross Write-Offs**|0|41578</t>
  </si>
  <si>
    <t>Portfolio Quality v2|-Recoveries**|0|41578</t>
  </si>
  <si>
    <t>Portfolio Quality v2|+/-Other|0|41578</t>
  </si>
  <si>
    <t>Portfolio Quality v2|Current Portfolio|0|41608</t>
  </si>
  <si>
    <t>Portfolio Quality v2|PAR (1-30 days)|0|41608</t>
  </si>
  <si>
    <t>Portfolio Quality v2|PAR (30-60 days)|0|41608</t>
  </si>
  <si>
    <t>Portfolio Quality v2|PAR (60-90 days)|0|41608</t>
  </si>
  <si>
    <t>Portfolio Quality v2|PAR (90-120 days)|0|41608</t>
  </si>
  <si>
    <t>Portfolio Quality v2|PAR (120-180 days)|0|41608</t>
  </si>
  <si>
    <t>Portfolio Quality v2|PAR (180 - 360 days)|0|41608</t>
  </si>
  <si>
    <t>Portfolio Quality v2|PAR (&gt;360 days)|0|41608</t>
  </si>
  <si>
    <t>Portfolio Quality v2|Current R+R Loans|0|41608</t>
  </si>
  <si>
    <t>Portfolio Quality v2|PAR (1-30 days) (R+R)|0|41608</t>
  </si>
  <si>
    <t>Portfolio Quality v2|PAR (&gt;30 days)|0|41608</t>
  </si>
  <si>
    <t>Portfolio Quality v2|-Gross Write-Offs**|0|41608</t>
  </si>
  <si>
    <t>Portfolio Quality v2|-Recoveries**|0|41608</t>
  </si>
  <si>
    <t>Portfolio Quality v2|+/-Other|0|41608</t>
  </si>
  <si>
    <t>Portfolio Quality v2|Current Portfolio|0|41639</t>
  </si>
  <si>
    <t>Portfolio Quality v2|PAR (1-30 days)|0|41639</t>
  </si>
  <si>
    <t>Portfolio Quality v2|PAR (30-60 days)|0|41639</t>
  </si>
  <si>
    <t>Portfolio Quality v2|PAR (60-90 days)|0|41639</t>
  </si>
  <si>
    <t>Portfolio Quality v2|PAR (90-120 days)|0|41639</t>
  </si>
  <si>
    <t>Portfolio Quality v2|PAR (120-180 days)|0|41639</t>
  </si>
  <si>
    <t>Portfolio Quality v2|PAR (180 - 360 days)|0|41639</t>
  </si>
  <si>
    <t>Portfolio Quality v2|PAR (&gt;360 days)|0|41639</t>
  </si>
  <si>
    <t>Portfolio Quality v2|Current R+R Loans|0|41639</t>
  </si>
  <si>
    <t>Portfolio Quality v2|PAR (1-30 days) (R+R)|0|41639</t>
  </si>
  <si>
    <t>Portfolio Quality v2|PAR (&gt;30 days)|0|41639</t>
  </si>
  <si>
    <t>Portfolio Quality v2|-Gross Write-Offs**|0|41639</t>
  </si>
  <si>
    <t>Portfolio Quality v2|-Recoveries**|0|41639</t>
  </si>
  <si>
    <t>Portfolio Quality v2|+/-Other|0|41639</t>
  </si>
  <si>
    <t>Organizational Data v2|Voluntary Savers/Depositors|0|41305</t>
  </si>
  <si>
    <t>Organizational Data v2|Active Borrowers|0|41305</t>
  </si>
  <si>
    <t>Organizational Data v2|Loans Outstanding|0|41305</t>
  </si>
  <si>
    <t>Organizational Data v2|Branches, Sub-Branches &amp; All Offices|0|41305</t>
  </si>
  <si>
    <t>Organizational Data v2|All Employees|0|41305</t>
  </si>
  <si>
    <t>Organizational Data v2|Loan Officers|0|41305</t>
  </si>
  <si>
    <t>Organizational Data v2|Voluntary Savers/Depositors|0|41333</t>
  </si>
  <si>
    <t>Organizational Data v2|Active Borrowers|0|41333</t>
  </si>
  <si>
    <t>Organizational Data v2|Loans Outstanding|0|41333</t>
  </si>
  <si>
    <t>Organizational Data v2|Branches, Sub-Branches &amp; All Offices|0|41333</t>
  </si>
  <si>
    <t>Organizational Data v2|All Employees|0|41333</t>
  </si>
  <si>
    <t>Organizational Data v2|Loan Officers|0|41333</t>
  </si>
  <si>
    <t>Organizational Data v2|Voluntary Savers/Depositors|0|41364</t>
  </si>
  <si>
    <t>Organizational Data v2|Active Borrowers|0|41364</t>
  </si>
  <si>
    <t>Organizational Data v2|Loans Outstanding|0|41364</t>
  </si>
  <si>
    <t>Organizational Data v2|Branches, Sub-Branches &amp; All Offices|0|41364</t>
  </si>
  <si>
    <t>Organizational Data v2|All Employees|0|41364</t>
  </si>
  <si>
    <t>Organizational Data v2|Loan Officers|0|41364</t>
  </si>
  <si>
    <t>Organizational Data v2|Voluntary Savers/Depositors|0|41394</t>
  </si>
  <si>
    <t>Organizational Data v2|Active Borrowers|0|41394</t>
  </si>
  <si>
    <t>Organizational Data v2|Loans Outstanding|0|41394</t>
  </si>
  <si>
    <t>Organizational Data v2|Branches, Sub-Branches &amp; All Offices|0|41394</t>
  </si>
  <si>
    <t>Organizational Data v2|All Employees|0|41394</t>
  </si>
  <si>
    <t>Organizational Data v2|Loan Officers|0|41394</t>
  </si>
  <si>
    <t>Organizational Data v2|Voluntary Savers/Depositors|0|41425</t>
  </si>
  <si>
    <t>Organizational Data v2|Active Borrowers|0|41425</t>
  </si>
  <si>
    <t>Organizational Data v2|Loans Outstanding|0|41425</t>
  </si>
  <si>
    <t>Organizational Data v2|Branches, Sub-Branches &amp; All Offices|0|41425</t>
  </si>
  <si>
    <t>Organizational Data v2|All Employees|0|41425</t>
  </si>
  <si>
    <t>Organizational Data v2|Loan Officers|0|41425</t>
  </si>
  <si>
    <t>Organizational Data v2|Voluntary Savers/Depositors|0|41455</t>
  </si>
  <si>
    <t>Organizational Data v2|Active Borrowers|0|41455</t>
  </si>
  <si>
    <t>Organizational Data v2|Loans Outstanding|0|41455</t>
  </si>
  <si>
    <t>Organizational Data v2|Branches, Sub-Branches &amp; All Offices|0|41455</t>
  </si>
  <si>
    <t>Organizational Data v2|All Employees|0|41455</t>
  </si>
  <si>
    <t>Organizational Data v2|Loan Officers|0|41455</t>
  </si>
  <si>
    <t>Organizational Data v2|Voluntary Savers/Depositors|0|41486</t>
  </si>
  <si>
    <t>Organizational Data v2|Active Borrowers|0|41486</t>
  </si>
  <si>
    <t>Organizational Data v2|Loans Outstanding|0|41486</t>
  </si>
  <si>
    <t>Organizational Data v2|Branches, Sub-Branches &amp; All Offices|0|41486</t>
  </si>
  <si>
    <t>Organizational Data v2|All Employees|0|41486</t>
  </si>
  <si>
    <t>Organizational Data v2|Loan Officers|0|41486</t>
  </si>
  <si>
    <t>Organizational Data v2|Voluntary Savers/Depositors|0|41517</t>
  </si>
  <si>
    <t>Organizational Data v2|Active Borrowers|0|41517</t>
  </si>
  <si>
    <t>Organizational Data v2|Loans Outstanding|0|41517</t>
  </si>
  <si>
    <t>Organizational Data v2|Branches, Sub-Branches &amp; All Offices|0|41517</t>
  </si>
  <si>
    <t>Organizational Data v2|All Employees|0|41517</t>
  </si>
  <si>
    <t>Organizational Data v2|Loan Officers|0|41517</t>
  </si>
  <si>
    <t>Organizational Data v2|Voluntary Savers/Depositors|0|41547</t>
  </si>
  <si>
    <t>Organizational Data v2|Active Borrowers|0|41547</t>
  </si>
  <si>
    <t>Organizational Data v2|Loans Outstanding|0|41547</t>
  </si>
  <si>
    <t>Organizational Data v2|Branches, Sub-Branches &amp; All Offices|0|41547</t>
  </si>
  <si>
    <t>Organizational Data v2|All Employees|0|41547</t>
  </si>
  <si>
    <t>Organizational Data v2|Loan Officers|0|41547</t>
  </si>
  <si>
    <t>Organizational Data v2|Voluntary Savers/Depositors|0|41578</t>
  </si>
  <si>
    <t>Organizational Data v2|Active Borrowers|0|41578</t>
  </si>
  <si>
    <t>Organizational Data v2|Loans Outstanding|0|41578</t>
  </si>
  <si>
    <t>Organizational Data v2|Branches, Sub-Branches &amp; All Offices|0|41578</t>
  </si>
  <si>
    <t>Organizational Data v2|All Employees|0|41578</t>
  </si>
  <si>
    <t>Organizational Data v2|Loan Officers|0|41578</t>
  </si>
  <si>
    <t>Organizational Data v2|Voluntary Savers/Depositors|0|41608</t>
  </si>
  <si>
    <t>Organizational Data v2|Active Borrowers|0|41608</t>
  </si>
  <si>
    <t>Organizational Data v2|Loans Outstanding|0|41608</t>
  </si>
  <si>
    <t>Organizational Data v2|Branches, Sub-Branches &amp; All Offices|0|41608</t>
  </si>
  <si>
    <t>Organizational Data v2|All Employees|0|41608</t>
  </si>
  <si>
    <t>Organizational Data v2|Loan Officers|0|41608</t>
  </si>
  <si>
    <t>Organizational Data v2|Voluntary Savers/Depositors|0|41639</t>
  </si>
  <si>
    <t>Organizational Data v2|Active Borrowers|0|41639</t>
  </si>
  <si>
    <t>Organizational Data v2|Loans Outstanding|0|41639</t>
  </si>
  <si>
    <t>Organizational Data v2|Branches, Sub-Branches &amp; All Offices|0|41639</t>
  </si>
  <si>
    <t>Organizational Data v2|All Employees|0|41639</t>
  </si>
  <si>
    <t>Organizational Data v2|Loan Officers|0|41639</t>
  </si>
  <si>
    <t>Aggregated Financials|GLP|0|40574</t>
  </si>
  <si>
    <t>Aggregated Financials|Total Assets|0|40574</t>
  </si>
  <si>
    <t>Aggregated Financials|Total Equity|0|40574</t>
  </si>
  <si>
    <t>Aggregated Financials|Net Income|0|40574</t>
  </si>
  <si>
    <t>Aggregated Financials|January Assets|0|40574</t>
  </si>
  <si>
    <t>Aggregated Financials|January Equity|0|40574</t>
  </si>
  <si>
    <t>Aggregated Financials|LTM GLP|0|40574</t>
  </si>
  <si>
    <t>Aggregated Financials|Loan Loss Reserves|0|40574</t>
  </si>
  <si>
    <t>Aggregated Financials|Total Debt|0|40574</t>
  </si>
  <si>
    <t>Aggregated Financials|Financial Revenue|0|40574</t>
  </si>
  <si>
    <t>Aggregated Financials|Number of Active Borrowers|0|40574</t>
  </si>
  <si>
    <t>Aggregated Financials|Number of Active Loans|0|40574</t>
  </si>
  <si>
    <t>Aggregated Financials|PAR &gt;30|0|40574</t>
  </si>
  <si>
    <t>Aggregated Financials|R +R |0|40574</t>
  </si>
  <si>
    <t>Aggregated Financials|LTM Write-Offs|0|40574</t>
  </si>
  <si>
    <t>Aggregated Financials|Foreign Currency Exposure Asset|0|40574</t>
  </si>
  <si>
    <t>Aggregated Financials|Foreign Currency Liabilities|0|40574</t>
  </si>
  <si>
    <t>Aggregated Financials|Asset Hedges|0|40574</t>
  </si>
  <si>
    <t>Aggregated Financials|Liability Hedges|0|40574</t>
  </si>
  <si>
    <t>Aggregated Financials|PAR &gt;60|0|40574</t>
  </si>
  <si>
    <t>Aggregated Financials|Previous Month Equity|0|40574</t>
  </si>
  <si>
    <t>Aggregated Financials|MONTH FX|0|40574</t>
  </si>
  <si>
    <t>Aggregated Financials|LAST MONTH FX|0|40574</t>
  </si>
  <si>
    <t>Aggregated Financials|YTD FX|0|40574</t>
  </si>
  <si>
    <t>Aggregated Financials|LTM FX|0|40574</t>
  </si>
  <si>
    <t>Aggregated Financials|LTM Average GLP|0|40574</t>
  </si>
  <si>
    <t>Aggregated Financials|LTM Average Assets|0|40574</t>
  </si>
  <si>
    <t>Aggregated Financials|LTM Average Equity|0|40574</t>
  </si>
  <si>
    <t>Aggregated Financials|LTM Average Borrowings|0|40574</t>
  </si>
  <si>
    <t>Aggregated Financials|YTD Average Assets|0|40574</t>
  </si>
  <si>
    <t>Aggregated Financials|YTD Average GLP|0|40574</t>
  </si>
  <si>
    <t>Aggregated Financials|YTD Average Equity|0|40574</t>
  </si>
  <si>
    <t>Aggregated Financials|YTD Average Borrowings|0|40574</t>
  </si>
  <si>
    <t>Aggregated Financials|LTM Net Income|0|40574</t>
  </si>
  <si>
    <t>Aggregated Financials|LTM Financial Revenue|0|40574</t>
  </si>
  <si>
    <t>Aggregated Financials|LTM Financial Expense |0|40574</t>
  </si>
  <si>
    <t>Aggregated Financials|LTM Provisioning Expense |0|40574</t>
  </si>
  <si>
    <t>Aggregated Financials|LTM Operating Expense|0|40574</t>
  </si>
  <si>
    <t>Aggregated Financials|LTM Other Financial Income (Expense)|0|40574</t>
  </si>
  <si>
    <t>Aggregated Financials|Total Borrowings|0|40574</t>
  </si>
  <si>
    <t>Aggregated Financials|Total Interest Bearing Debt |0|40574</t>
  </si>
  <si>
    <t>Aggregated Financials|Savings Accounts|0|40574</t>
  </si>
  <si>
    <t>Aggregated Financials|Operating Expenses|0|40574</t>
  </si>
  <si>
    <t>Aggregated Financials|LTM Net Income (After Taxes &amp; Before Donations) |0|40574</t>
  </si>
  <si>
    <t>Aggregated Financials|Net Income (After Taxes &amp; Before Donations) |0|40574</t>
  </si>
  <si>
    <t>Aggregated Financials|LTM Savings Accounts|0|40574</t>
  </si>
  <si>
    <t>Aggregated Financials|PAR &gt;90|0|40574</t>
  </si>
  <si>
    <t>Aggregated Financials|GLP|0|40602</t>
  </si>
  <si>
    <t>Aggregated Financials|Total Assets|0|40602</t>
  </si>
  <si>
    <t>Aggregated Financials|Total Equity|0|40602</t>
  </si>
  <si>
    <t>Aggregated Financials|Net Income|0|40602</t>
  </si>
  <si>
    <t>Aggregated Financials|January Assets|0|40602</t>
  </si>
  <si>
    <t>Aggregated Financials|January Equity|0|40602</t>
  </si>
  <si>
    <t>Aggregated Financials|LTM GLP|0|40602</t>
  </si>
  <si>
    <t>Aggregated Financials|Loan Loss Reserves|0|40602</t>
  </si>
  <si>
    <t>Aggregated Financials|Total Debt|0|40602</t>
  </si>
  <si>
    <t>Aggregated Financials|Financial Revenue|0|40602</t>
  </si>
  <si>
    <t>Aggregated Financials|Number of Active Borrowers|0|40602</t>
  </si>
  <si>
    <t>Aggregated Financials|Number of Active Loans|0|40602</t>
  </si>
  <si>
    <t>Aggregated Financials|PAR &gt;30|0|40602</t>
  </si>
  <si>
    <t>Aggregated Financials|R +R |0|40602</t>
  </si>
  <si>
    <t>Aggregated Financials|LTM Write-Offs|0|40602</t>
  </si>
  <si>
    <t>Aggregated Financials|Foreign Currency Exposure Asset|0|40602</t>
  </si>
  <si>
    <t>Aggregated Financials|Foreign Currency Liabilities|0|40602</t>
  </si>
  <si>
    <t>Aggregated Financials|Asset Hedges|0|40602</t>
  </si>
  <si>
    <t>Aggregated Financials|Liability Hedges|0|40602</t>
  </si>
  <si>
    <t>Aggregated Financials|PAR &gt;60|0|40602</t>
  </si>
  <si>
    <t>Aggregated Financials|Previous Month Equity|0|40602</t>
  </si>
  <si>
    <t>Aggregated Financials|MONTH FX|0|40602</t>
  </si>
  <si>
    <t>Aggregated Financials|LAST MONTH FX|0|40602</t>
  </si>
  <si>
    <t>Aggregated Financials|YTD FX|0|40602</t>
  </si>
  <si>
    <t>Aggregated Financials|LTM FX|0|40602</t>
  </si>
  <si>
    <t>Aggregated Financials|LTM Average GLP|0|40602</t>
  </si>
  <si>
    <t>Aggregated Financials|LTM Average Assets|0|40602</t>
  </si>
  <si>
    <t>Aggregated Financials|LTM Average Equity|0|40602</t>
  </si>
  <si>
    <t>Aggregated Financials|LTM Average Borrowings|0|40602</t>
  </si>
  <si>
    <t>Aggregated Financials|YTD Average Assets|0|40602</t>
  </si>
  <si>
    <t>Aggregated Financials|YTD Average GLP|0|40602</t>
  </si>
  <si>
    <t>Aggregated Financials|YTD Average Equity|0|40602</t>
  </si>
  <si>
    <t>Aggregated Financials|YTD Average Borrowings|0|40602</t>
  </si>
  <si>
    <t>Aggregated Financials|LTM Net Income|0|40602</t>
  </si>
  <si>
    <t>Aggregated Financials|LTM Financial Revenue|0|40602</t>
  </si>
  <si>
    <t>Aggregated Financials|LTM Financial Expense |0|40602</t>
  </si>
  <si>
    <t>Aggregated Financials|LTM Provisioning Expense |0|40602</t>
  </si>
  <si>
    <t>Aggregated Financials|LTM Operating Expense|0|40602</t>
  </si>
  <si>
    <t>Aggregated Financials|LTM Other Financial Income (Expense)|0|40602</t>
  </si>
  <si>
    <t>Aggregated Financials|Total Borrowings|0|40602</t>
  </si>
  <si>
    <t>Aggregated Financials|Total Interest Bearing Debt |0|40602</t>
  </si>
  <si>
    <t>Aggregated Financials|Savings Accounts|0|40602</t>
  </si>
  <si>
    <t>Aggregated Financials|Operating Expenses|0|40602</t>
  </si>
  <si>
    <t>Aggregated Financials|LTM Net Income (After Taxes &amp; Before Donations) |0|40602</t>
  </si>
  <si>
    <t>Aggregated Financials|Net Income (After Taxes &amp; Before Donations) |0|40602</t>
  </si>
  <si>
    <t>Aggregated Financials|LTM Savings Accounts|0|40602</t>
  </si>
  <si>
    <t>Aggregated Financials|PAR &gt;90|0|40602</t>
  </si>
  <si>
    <t>Aggregated Financials|GLP|0|40633</t>
  </si>
  <si>
    <t>Aggregated Financials|Total Assets|0|40633</t>
  </si>
  <si>
    <t>Aggregated Financials|Total Equity|0|40633</t>
  </si>
  <si>
    <t>Aggregated Financials|Net Income|0|40633</t>
  </si>
  <si>
    <t>Aggregated Financials|January Assets|0|40633</t>
  </si>
  <si>
    <t>Aggregated Financials|January Equity|0|40633</t>
  </si>
  <si>
    <t>Aggregated Financials|LTM GLP|0|40633</t>
  </si>
  <si>
    <t>Aggregated Financials|Loan Loss Reserves|0|40633</t>
  </si>
  <si>
    <t>Aggregated Financials|Total Debt|0|40633</t>
  </si>
  <si>
    <t>Aggregated Financials|Financial Revenue|0|40633</t>
  </si>
  <si>
    <t>Aggregated Financials|Number of Active Borrowers|0|40633</t>
  </si>
  <si>
    <t>Aggregated Financials|Number of Active Loans|0|40633</t>
  </si>
  <si>
    <t>Aggregated Financials|PAR &gt;30|0|40633</t>
  </si>
  <si>
    <t>Aggregated Financials|R +R |0|40633</t>
  </si>
  <si>
    <t>Aggregated Financials|LTM Write-Offs|0|40633</t>
  </si>
  <si>
    <t>Aggregated Financials|Foreign Currency Exposure Asset|0|40633</t>
  </si>
  <si>
    <t>Aggregated Financials|Foreign Currency Liabilities|0|40633</t>
  </si>
  <si>
    <t>Aggregated Financials|Asset Hedges|0|40633</t>
  </si>
  <si>
    <t>Aggregated Financials|Liability Hedges|0|40633</t>
  </si>
  <si>
    <t>Aggregated Financials|PAR &gt;60|0|40633</t>
  </si>
  <si>
    <t>Aggregated Financials|Previous Month Equity|0|40633</t>
  </si>
  <si>
    <t>Aggregated Financials|MONTH FX|0|40633</t>
  </si>
  <si>
    <t>Aggregated Financials|LAST MONTH FX|0|40633</t>
  </si>
  <si>
    <t>Aggregated Financials|YTD FX|0|40633</t>
  </si>
  <si>
    <t>Aggregated Financials|LTM FX|0|40633</t>
  </si>
  <si>
    <t>Aggregated Financials|LTM Average GLP|0|40633</t>
  </si>
  <si>
    <t>Aggregated Financials|LTM Average Assets|0|40633</t>
  </si>
  <si>
    <t>Aggregated Financials|LTM Average Equity|0|40633</t>
  </si>
  <si>
    <t>Aggregated Financials|LTM Average Borrowings|0|40633</t>
  </si>
  <si>
    <t>Aggregated Financials|YTD Average Assets|0|40633</t>
  </si>
  <si>
    <t>Aggregated Financials|YTD Average GLP|0|40633</t>
  </si>
  <si>
    <t>Aggregated Financials|YTD Average Equity|0|40633</t>
  </si>
  <si>
    <t>Aggregated Financials|YTD Average Borrowings|0|40633</t>
  </si>
  <si>
    <t>Aggregated Financials|LTM Net Income|0|40633</t>
  </si>
  <si>
    <t>Aggregated Financials|LTM Financial Revenue|0|40633</t>
  </si>
  <si>
    <t>Aggregated Financials|LTM Financial Expense |0|40633</t>
  </si>
  <si>
    <t>Aggregated Financials|LTM Provisioning Expense |0|40633</t>
  </si>
  <si>
    <t>Aggregated Financials|LTM Operating Expense|0|40633</t>
  </si>
  <si>
    <t>Aggregated Financials|LTM Other Financial Income (Expense)|0|40633</t>
  </si>
  <si>
    <t>Aggregated Financials|Total Borrowings|0|40633</t>
  </si>
  <si>
    <t>Aggregated Financials|Total Interest Bearing Debt |0|40633</t>
  </si>
  <si>
    <t>Aggregated Financials|Savings Accounts|0|40633</t>
  </si>
  <si>
    <t>Aggregated Financials|Operating Expenses|0|40633</t>
  </si>
  <si>
    <t>Aggregated Financials|LTM Net Income (After Taxes &amp; Before Donations) |0|40633</t>
  </si>
  <si>
    <t>Aggregated Financials|Net Income (After Taxes &amp; Before Donations) |0|40633</t>
  </si>
  <si>
    <t>Aggregated Financials|LTM Savings Accounts|0|40633</t>
  </si>
  <si>
    <t>Aggregated Financials|PAR &gt;90|0|40633</t>
  </si>
  <si>
    <t>Aggregated Financials|GLP|0|40663</t>
  </si>
  <si>
    <t>Aggregated Financials|Total Assets|0|40663</t>
  </si>
  <si>
    <t>Aggregated Financials|Total Equity|0|40663</t>
  </si>
  <si>
    <t>Aggregated Financials|Net Income|0|40663</t>
  </si>
  <si>
    <t>Aggregated Financials|January Assets|0|40663</t>
  </si>
  <si>
    <t>Aggregated Financials|January Equity|0|40663</t>
  </si>
  <si>
    <t>Aggregated Financials|LTM GLP|0|40663</t>
  </si>
  <si>
    <t>Aggregated Financials|Loan Loss Reserves|0|40663</t>
  </si>
  <si>
    <t>Aggregated Financials|Total Debt|0|40663</t>
  </si>
  <si>
    <t>Aggregated Financials|Financial Revenue|0|40663</t>
  </si>
  <si>
    <t>Aggregated Financials|Number of Active Borrowers|0|40663</t>
  </si>
  <si>
    <t>Aggregated Financials|Number of Active Loans|0|40663</t>
  </si>
  <si>
    <t>Aggregated Financials|PAR &gt;30|0|40663</t>
  </si>
  <si>
    <t>Aggregated Financials|R +R |0|40663</t>
  </si>
  <si>
    <t>Aggregated Financials|LTM Write-Offs|0|40663</t>
  </si>
  <si>
    <t>Aggregated Financials|Foreign Currency Exposure Asset|0|40663</t>
  </si>
  <si>
    <t>Aggregated Financials|Foreign Currency Liabilities|0|40663</t>
  </si>
  <si>
    <t>Aggregated Financials|Asset Hedges|0|40663</t>
  </si>
  <si>
    <t>Aggregated Financials|Liability Hedges|0|40663</t>
  </si>
  <si>
    <t>Aggregated Financials|PAR &gt;60|0|40663</t>
  </si>
  <si>
    <t>Aggregated Financials|Previous Month Equity|0|40663</t>
  </si>
  <si>
    <t>Aggregated Financials|MONTH FX|0|40663</t>
  </si>
  <si>
    <t>Aggregated Financials|LAST MONTH FX|0|40663</t>
  </si>
  <si>
    <t>Aggregated Financials|YTD FX|0|40663</t>
  </si>
  <si>
    <t>Aggregated Financials|LTM FX|0|40663</t>
  </si>
  <si>
    <t>Aggregated Financials|LTM Average GLP|0|40663</t>
  </si>
  <si>
    <t>Aggregated Financials|LTM Average Assets|0|40663</t>
  </si>
  <si>
    <t>Aggregated Financials|LTM Average Equity|0|40663</t>
  </si>
  <si>
    <t>Aggregated Financials|LTM Average Borrowings|0|40663</t>
  </si>
  <si>
    <t>Aggregated Financials|YTD Average Assets|0|40663</t>
  </si>
  <si>
    <t>Aggregated Financials|YTD Average GLP|0|40663</t>
  </si>
  <si>
    <t>Aggregated Financials|YTD Average Equity|0|40663</t>
  </si>
  <si>
    <t>Aggregated Financials|YTD Average Borrowings|0|40663</t>
  </si>
  <si>
    <t>Aggregated Financials|LTM Net Income|0|40663</t>
  </si>
  <si>
    <t>Aggregated Financials|LTM Financial Revenue|0|40663</t>
  </si>
  <si>
    <t>Aggregated Financials|LTM Financial Expense |0|40663</t>
  </si>
  <si>
    <t>Aggregated Financials|LTM Provisioning Expense |0|40663</t>
  </si>
  <si>
    <t>Aggregated Financials|LTM Operating Expense|0|40663</t>
  </si>
  <si>
    <t>Aggregated Financials|LTM Other Financial Income (Expense)|0|40663</t>
  </si>
  <si>
    <t>Aggregated Financials|Total Borrowings|0|40663</t>
  </si>
  <si>
    <t>Aggregated Financials|Total Interest Bearing Debt |0|40663</t>
  </si>
  <si>
    <t>Aggregated Financials|Savings Accounts|0|40663</t>
  </si>
  <si>
    <t>Aggregated Financials|Operating Expenses|0|40663</t>
  </si>
  <si>
    <t>Aggregated Financials|LTM Net Income (After Taxes &amp; Before Donations) |0|40663</t>
  </si>
  <si>
    <t>Aggregated Financials|Net Income (After Taxes &amp; Before Donations) |0|40663</t>
  </si>
  <si>
    <t>Aggregated Financials|LTM Savings Accounts|0|40663</t>
  </si>
  <si>
    <t>Aggregated Financials|PAR &gt;90|0|40663</t>
  </si>
  <si>
    <t>Aggregated Financials|GLP|0|40694</t>
  </si>
  <si>
    <t>Aggregated Financials|Total Assets|0|40694</t>
  </si>
  <si>
    <t>Aggregated Financials|Total Equity|0|40694</t>
  </si>
  <si>
    <t>Aggregated Financials|Net Income|0|40694</t>
  </si>
  <si>
    <t>Aggregated Financials|January Assets|0|40694</t>
  </si>
  <si>
    <t>Aggregated Financials|January Equity|0|40694</t>
  </si>
  <si>
    <t>Aggregated Financials|LTM GLP|0|40694</t>
  </si>
  <si>
    <t>Aggregated Financials|Loan Loss Reserves|0|40694</t>
  </si>
  <si>
    <t>Aggregated Financials|Total Debt|0|40694</t>
  </si>
  <si>
    <t>Aggregated Financials|Financial Revenue|0|40694</t>
  </si>
  <si>
    <t>Aggregated Financials|Number of Active Borrowers|0|40694</t>
  </si>
  <si>
    <t>Aggregated Financials|Number of Active Loans|0|40694</t>
  </si>
  <si>
    <t>Aggregated Financials|PAR &gt;30|0|40694</t>
  </si>
  <si>
    <t>Aggregated Financials|R +R |0|40694</t>
  </si>
  <si>
    <t>Aggregated Financials|LTM Write-Offs|0|40694</t>
  </si>
  <si>
    <t>Aggregated Financials|Foreign Currency Exposure Asset|0|40694</t>
  </si>
  <si>
    <t>Aggregated Financials|Foreign Currency Liabilities|0|40694</t>
  </si>
  <si>
    <t>Aggregated Financials|Asset Hedges|0|40694</t>
  </si>
  <si>
    <t>Aggregated Financials|Liability Hedges|0|40694</t>
  </si>
  <si>
    <t>Aggregated Financials|PAR &gt;60|0|40694</t>
  </si>
  <si>
    <t>Aggregated Financials|Previous Month Equity|0|40694</t>
  </si>
  <si>
    <t>Aggregated Financials|MONTH FX|0|40694</t>
  </si>
  <si>
    <t>Aggregated Financials|LAST MONTH FX|0|40694</t>
  </si>
  <si>
    <t>Aggregated Financials|YTD FX|0|40694</t>
  </si>
  <si>
    <t>Aggregated Financials|LTM FX|0|40694</t>
  </si>
  <si>
    <t>Aggregated Financials|LTM Average GLP|0|40694</t>
  </si>
  <si>
    <t>Aggregated Financials|LTM Average Assets|0|40694</t>
  </si>
  <si>
    <t>Aggregated Financials|LTM Average Equity|0|40694</t>
  </si>
  <si>
    <t>Aggregated Financials|LTM Average Borrowings|0|40694</t>
  </si>
  <si>
    <t>Aggregated Financials|YTD Average Assets|0|40694</t>
  </si>
  <si>
    <t>Aggregated Financials|YTD Average GLP|0|40694</t>
  </si>
  <si>
    <t>Aggregated Financials|YTD Average Equity|0|40694</t>
  </si>
  <si>
    <t>Aggregated Financials|YTD Average Borrowings|0|40694</t>
  </si>
  <si>
    <t>Aggregated Financials|LTM Net Income|0|40694</t>
  </si>
  <si>
    <t>Aggregated Financials|LTM Financial Revenue|0|40694</t>
  </si>
  <si>
    <t>Aggregated Financials|LTM Financial Expense |0|40694</t>
  </si>
  <si>
    <t>Aggregated Financials|LTM Provisioning Expense |0|40694</t>
  </si>
  <si>
    <t>Aggregated Financials|LTM Operating Expense|0|40694</t>
  </si>
  <si>
    <t>Aggregated Financials|LTM Other Financial Income (Expense)|0|40694</t>
  </si>
  <si>
    <t>Aggregated Financials|Total Borrowings|0|40694</t>
  </si>
  <si>
    <t>Aggregated Financials|Total Interest Bearing Debt |0|40694</t>
  </si>
  <si>
    <t>Aggregated Financials|Savings Accounts|0|40694</t>
  </si>
  <si>
    <t>Aggregated Financials|Operating Expenses|0|40694</t>
  </si>
  <si>
    <t>Aggregated Financials|LTM Net Income (After Taxes &amp; Before Donations) |0|40694</t>
  </si>
  <si>
    <t>Aggregated Financials|Net Income (After Taxes &amp; Before Donations) |0|40694</t>
  </si>
  <si>
    <t>Aggregated Financials|LTM Savings Accounts|0|40694</t>
  </si>
  <si>
    <t>Aggregated Financials|PAR &gt;90|0|40694</t>
  </si>
  <si>
    <t>Aggregated Financials|GLP|0|40724</t>
  </si>
  <si>
    <t>Aggregated Financials|Total Assets|0|40724</t>
  </si>
  <si>
    <t>Aggregated Financials|Total Equity|0|40724</t>
  </si>
  <si>
    <t>Aggregated Financials|Net Income|0|40724</t>
  </si>
  <si>
    <t>Aggregated Financials|January Assets|0|40724</t>
  </si>
  <si>
    <t>Aggregated Financials|January Equity|0|40724</t>
  </si>
  <si>
    <t>Aggregated Financials|LTM GLP|0|40724</t>
  </si>
  <si>
    <t>Aggregated Financials|Loan Loss Reserves|0|40724</t>
  </si>
  <si>
    <t>Aggregated Financials|Total Debt|0|40724</t>
  </si>
  <si>
    <t>Aggregated Financials|Financial Revenue|0|40724</t>
  </si>
  <si>
    <t>Aggregated Financials|Number of Active Borrowers|0|40724</t>
  </si>
  <si>
    <t>Aggregated Financials|Number of Active Loans|0|40724</t>
  </si>
  <si>
    <t>Aggregated Financials|PAR &gt;30|0|40724</t>
  </si>
  <si>
    <t>Aggregated Financials|R +R |0|40724</t>
  </si>
  <si>
    <t>Aggregated Financials|LTM Write-Offs|0|40724</t>
  </si>
  <si>
    <t>Aggregated Financials|Foreign Currency Exposure Asset|0|40724</t>
  </si>
  <si>
    <t>Aggregated Financials|Foreign Currency Liabilities|0|40724</t>
  </si>
  <si>
    <t>Aggregated Financials|Asset Hedges|0|40724</t>
  </si>
  <si>
    <t>Aggregated Financials|Liability Hedges|0|40724</t>
  </si>
  <si>
    <t>Aggregated Financials|PAR &gt;60|0|40724</t>
  </si>
  <si>
    <t>Aggregated Financials|Previous Month Equity|0|40724</t>
  </si>
  <si>
    <t>Aggregated Financials|MONTH FX|0|40724</t>
  </si>
  <si>
    <t>Aggregated Financials|LAST MONTH FX|0|40724</t>
  </si>
  <si>
    <t>Aggregated Financials|YTD FX|0|40724</t>
  </si>
  <si>
    <t>Aggregated Financials|LTM FX|0|40724</t>
  </si>
  <si>
    <t>Aggregated Financials|LTM Average GLP|0|40724</t>
  </si>
  <si>
    <t>Aggregated Financials|LTM Average Assets|0|40724</t>
  </si>
  <si>
    <t>Aggregated Financials|LTM Average Equity|0|40724</t>
  </si>
  <si>
    <t>Aggregated Financials|LTM Average Borrowings|0|40724</t>
  </si>
  <si>
    <t>Aggregated Financials|YTD Average Assets|0|40724</t>
  </si>
  <si>
    <t>Aggregated Financials|YTD Average GLP|0|40724</t>
  </si>
  <si>
    <t>Aggregated Financials|YTD Average Equity|0|40724</t>
  </si>
  <si>
    <t>Aggregated Financials|YTD Average Borrowings|0|40724</t>
  </si>
  <si>
    <t>Aggregated Financials|LTM Net Income|0|40724</t>
  </si>
  <si>
    <t>Aggregated Financials|LTM Financial Revenue|0|40724</t>
  </si>
  <si>
    <t>Aggregated Financials|LTM Financial Expense |0|40724</t>
  </si>
  <si>
    <t>Aggregated Financials|LTM Provisioning Expense |0|40724</t>
  </si>
  <si>
    <t>Aggregated Financials|LTM Operating Expense|0|40724</t>
  </si>
  <si>
    <t>Aggregated Financials|LTM Other Financial Income (Expense)|0|40724</t>
  </si>
  <si>
    <t>Aggregated Financials|Total Borrowings|0|40724</t>
  </si>
  <si>
    <t>Aggregated Financials|Total Interest Bearing Debt |0|40724</t>
  </si>
  <si>
    <t>Aggregated Financials|Savings Accounts|0|40724</t>
  </si>
  <si>
    <t>Aggregated Financials|Operating Expenses|0|40724</t>
  </si>
  <si>
    <t>Aggregated Financials|LTM Net Income (After Taxes &amp; Before Donations) |0|40724</t>
  </si>
  <si>
    <t>Aggregated Financials|Net Income (After Taxes &amp; Before Donations) |0|40724</t>
  </si>
  <si>
    <t>Aggregated Financials|LTM Savings Accounts|0|40724</t>
  </si>
  <si>
    <t>Aggregated Financials|PAR &gt;90|0|40724</t>
  </si>
  <si>
    <t>Aggregated Financials|GLP|0|40755</t>
  </si>
  <si>
    <t>Aggregated Financials|Total Assets|0|40755</t>
  </si>
  <si>
    <t>Aggregated Financials|Total Equity|0|40755</t>
  </si>
  <si>
    <t>Aggregated Financials|Net Income|0|40755</t>
  </si>
  <si>
    <t>Aggregated Financials|January Assets|0|40755</t>
  </si>
  <si>
    <t>Aggregated Financials|January Equity|0|40755</t>
  </si>
  <si>
    <t>Aggregated Financials|LTM GLP|0|40755</t>
  </si>
  <si>
    <t>Aggregated Financials|Loan Loss Reserves|0|40755</t>
  </si>
  <si>
    <t>Aggregated Financials|Total Debt|0|40755</t>
  </si>
  <si>
    <t>Aggregated Financials|Financial Revenue|0|40755</t>
  </si>
  <si>
    <t>Aggregated Financials|Number of Active Borrowers|0|40755</t>
  </si>
  <si>
    <t>Aggregated Financials|Number of Active Loans|0|40755</t>
  </si>
  <si>
    <t>Aggregated Financials|PAR &gt;30|0|40755</t>
  </si>
  <si>
    <t>Aggregated Financials|R +R |0|40755</t>
  </si>
  <si>
    <t>Aggregated Financials|LTM Write-Offs|0|40755</t>
  </si>
  <si>
    <t>Aggregated Financials|Foreign Currency Exposure Asset|0|40755</t>
  </si>
  <si>
    <t>Aggregated Financials|Foreign Currency Liabilities|0|40755</t>
  </si>
  <si>
    <t>Aggregated Financials|Asset Hedges|0|40755</t>
  </si>
  <si>
    <t>Aggregated Financials|Liability Hedges|0|40755</t>
  </si>
  <si>
    <t>Aggregated Financials|PAR &gt;60|0|40755</t>
  </si>
  <si>
    <t>Aggregated Financials|Previous Month Equity|0|40755</t>
  </si>
  <si>
    <t>Aggregated Financials|MONTH FX|0|40755</t>
  </si>
  <si>
    <t>Aggregated Financials|LAST MONTH FX|0|40755</t>
  </si>
  <si>
    <t>Aggregated Financials|YTD FX|0|40755</t>
  </si>
  <si>
    <t>Aggregated Financials|LTM FX|0|40755</t>
  </si>
  <si>
    <t>Aggregated Financials|LTM Average GLP|0|40755</t>
  </si>
  <si>
    <t>Aggregated Financials|LTM Average Assets|0|40755</t>
  </si>
  <si>
    <t>Aggregated Financials|LTM Average Equity|0|40755</t>
  </si>
  <si>
    <t>Aggregated Financials|LTM Average Borrowings|0|40755</t>
  </si>
  <si>
    <t>Aggregated Financials|YTD Average Assets|0|40755</t>
  </si>
  <si>
    <t>Aggregated Financials|YTD Average GLP|0|40755</t>
  </si>
  <si>
    <t>Aggregated Financials|YTD Average Equity|0|40755</t>
  </si>
  <si>
    <t>Aggregated Financials|YTD Average Borrowings|0|40755</t>
  </si>
  <si>
    <t>Aggregated Financials|LTM Net Income|0|40755</t>
  </si>
  <si>
    <t>Aggregated Financials|LTM Financial Revenue|0|40755</t>
  </si>
  <si>
    <t>Aggregated Financials|LTM Financial Expense |0|40755</t>
  </si>
  <si>
    <t>Aggregated Financials|LTM Provisioning Expense |0|40755</t>
  </si>
  <si>
    <t>Aggregated Financials|LTM Operating Expense|0|40755</t>
  </si>
  <si>
    <t>Aggregated Financials|LTM Other Financial Income (Expense)|0|40755</t>
  </si>
  <si>
    <t>Aggregated Financials|Total Borrowings|0|40755</t>
  </si>
  <si>
    <t>Aggregated Financials|Total Interest Bearing Debt |0|40755</t>
  </si>
  <si>
    <t>Aggregated Financials|Savings Accounts|0|40755</t>
  </si>
  <si>
    <t>Aggregated Financials|Operating Expenses|0|40755</t>
  </si>
  <si>
    <t>Aggregated Financials|LTM Net Income (After Taxes &amp; Before Donations) |0|40755</t>
  </si>
  <si>
    <t>Aggregated Financials|Net Income (After Taxes &amp; Before Donations) |0|40755</t>
  </si>
  <si>
    <t>Aggregated Financials|LTM Savings Accounts|0|40755</t>
  </si>
  <si>
    <t>Aggregated Financials|PAR &gt;90|0|40755</t>
  </si>
  <si>
    <t>Aggregated Financials|GLP|0|40786</t>
  </si>
  <si>
    <t>Aggregated Financials|Total Assets|0|40786</t>
  </si>
  <si>
    <t>Aggregated Financials|Total Equity|0|40786</t>
  </si>
  <si>
    <t>Aggregated Financials|Net Income|0|40786</t>
  </si>
  <si>
    <t>Aggregated Financials|January Assets|0|40786</t>
  </si>
  <si>
    <t>Aggregated Financials|January Equity|0|40786</t>
  </si>
  <si>
    <t>Aggregated Financials|LTM GLP|0|40786</t>
  </si>
  <si>
    <t>Aggregated Financials|Loan Loss Reserves|0|40786</t>
  </si>
  <si>
    <t>Aggregated Financials|Total Debt|0|40786</t>
  </si>
  <si>
    <t>Aggregated Financials|Financial Revenue|0|40786</t>
  </si>
  <si>
    <t>Aggregated Financials|Number of Active Borrowers|0|40786</t>
  </si>
  <si>
    <t>Aggregated Financials|Number of Active Loans|0|40786</t>
  </si>
  <si>
    <t>Aggregated Financials|PAR &gt;30|0|40786</t>
  </si>
  <si>
    <t>Aggregated Financials|R +R |0|40786</t>
  </si>
  <si>
    <t>Aggregated Financials|LTM Write-Offs|0|40786</t>
  </si>
  <si>
    <t>Aggregated Financials|Foreign Currency Exposure Asset|0|40786</t>
  </si>
  <si>
    <t>Aggregated Financials|Foreign Currency Liabilities|0|40786</t>
  </si>
  <si>
    <t>Aggregated Financials|Asset Hedges|0|40786</t>
  </si>
  <si>
    <t>Aggregated Financials|Liability Hedges|0|40786</t>
  </si>
  <si>
    <t>Aggregated Financials|PAR &gt;60|0|40786</t>
  </si>
  <si>
    <t>Aggregated Financials|Previous Month Equity|0|40786</t>
  </si>
  <si>
    <t>Aggregated Financials|MONTH FX|0|40786</t>
  </si>
  <si>
    <t>Aggregated Financials|LAST MONTH FX|0|40786</t>
  </si>
  <si>
    <t>Aggregated Financials|YTD FX|0|40786</t>
  </si>
  <si>
    <t>Aggregated Financials|LTM FX|0|40786</t>
  </si>
  <si>
    <t>Aggregated Financials|LTM Average GLP|0|40786</t>
  </si>
  <si>
    <t>Aggregated Financials|LTM Average Assets|0|40786</t>
  </si>
  <si>
    <t>Aggregated Financials|LTM Average Equity|0|40786</t>
  </si>
  <si>
    <t>Aggregated Financials|LTM Average Borrowings|0|40786</t>
  </si>
  <si>
    <t>Aggregated Financials|YTD Average Assets|0|40786</t>
  </si>
  <si>
    <t>Aggregated Financials|YTD Average GLP|0|40786</t>
  </si>
  <si>
    <t>Aggregated Financials|YTD Average Equity|0|40786</t>
  </si>
  <si>
    <t>Aggregated Financials|YTD Average Borrowings|0|40786</t>
  </si>
  <si>
    <t>Aggregated Financials|LTM Net Income|0|40786</t>
  </si>
  <si>
    <t>Aggregated Financials|LTM Financial Revenue|0|40786</t>
  </si>
  <si>
    <t>Aggregated Financials|LTM Financial Expense |0|40786</t>
  </si>
  <si>
    <t>Aggregated Financials|LTM Provisioning Expense |0|40786</t>
  </si>
  <si>
    <t>Aggregated Financials|LTM Operating Expense|0|40786</t>
  </si>
  <si>
    <t>Aggregated Financials|LTM Other Financial Income (Expense)|0|40786</t>
  </si>
  <si>
    <t>Aggregated Financials|Total Borrowings|0|40786</t>
  </si>
  <si>
    <t>Aggregated Financials|Total Interest Bearing Debt |0|40786</t>
  </si>
  <si>
    <t>Aggregated Financials|Savings Accounts|0|40786</t>
  </si>
  <si>
    <t>Aggregated Financials|Operating Expenses|0|40786</t>
  </si>
  <si>
    <t>Aggregated Financials|LTM Net Income (After Taxes &amp; Before Donations) |0|40786</t>
  </si>
  <si>
    <t>Aggregated Financials|Net Income (After Taxes &amp; Before Donations) |0|40786</t>
  </si>
  <si>
    <t>Aggregated Financials|LTM Savings Accounts|0|40786</t>
  </si>
  <si>
    <t>Aggregated Financials|PAR &gt;90|0|40786</t>
  </si>
  <si>
    <t>Aggregated Financials|GLP|0|40816</t>
  </si>
  <si>
    <t>Aggregated Financials|Total Assets|0|40816</t>
  </si>
  <si>
    <t>Aggregated Financials|Total Equity|0|40816</t>
  </si>
  <si>
    <t>Aggregated Financials|Net Income|0|40816</t>
  </si>
  <si>
    <t>Aggregated Financials|January Assets|0|40816</t>
  </si>
  <si>
    <t>Aggregated Financials|January Equity|0|40816</t>
  </si>
  <si>
    <t>Aggregated Financials|LTM GLP|0|40816</t>
  </si>
  <si>
    <t>Aggregated Financials|Loan Loss Reserves|0|40816</t>
  </si>
  <si>
    <t>Aggregated Financials|Total Debt|0|40816</t>
  </si>
  <si>
    <t>Aggregated Financials|Financial Revenue|0|40816</t>
  </si>
  <si>
    <t>Aggregated Financials|Number of Active Borrowers|0|40816</t>
  </si>
  <si>
    <t>Aggregated Financials|Number of Active Loans|0|40816</t>
  </si>
  <si>
    <t>Aggregated Financials|PAR &gt;30|0|40816</t>
  </si>
  <si>
    <t>Aggregated Financials|R +R |0|40816</t>
  </si>
  <si>
    <t>Aggregated Financials|LTM Write-Offs|0|40816</t>
  </si>
  <si>
    <t>Aggregated Financials|Foreign Currency Exposure Asset|0|40816</t>
  </si>
  <si>
    <t>Aggregated Financials|Foreign Currency Liabilities|0|40816</t>
  </si>
  <si>
    <t>Aggregated Financials|Asset Hedges|0|40816</t>
  </si>
  <si>
    <t>Aggregated Financials|Liability Hedges|0|40816</t>
  </si>
  <si>
    <t>Aggregated Financials|PAR &gt;60|0|40816</t>
  </si>
  <si>
    <t>Aggregated Financials|Previous Month Equity|0|40816</t>
  </si>
  <si>
    <t>Aggregated Financials|MONTH FX|0|40816</t>
  </si>
  <si>
    <t>Aggregated Financials|LAST MONTH FX|0|40816</t>
  </si>
  <si>
    <t>Aggregated Financials|YTD FX|0|40816</t>
  </si>
  <si>
    <t>Aggregated Financials|LTM FX|0|40816</t>
  </si>
  <si>
    <t>Aggregated Financials|LTM Average GLP|0|40816</t>
  </si>
  <si>
    <t>Aggregated Financials|LTM Average Assets|0|40816</t>
  </si>
  <si>
    <t>Aggregated Financials|LTM Average Equity|0|40816</t>
  </si>
  <si>
    <t>Aggregated Financials|LTM Average Borrowings|0|40816</t>
  </si>
  <si>
    <t>Aggregated Financials|YTD Average Assets|0|40816</t>
  </si>
  <si>
    <t>Aggregated Financials|YTD Average GLP|0|40816</t>
  </si>
  <si>
    <t>Aggregated Financials|YTD Average Equity|0|40816</t>
  </si>
  <si>
    <t>Aggregated Financials|YTD Average Borrowings|0|40816</t>
  </si>
  <si>
    <t>Aggregated Financials|LTM Net Income|0|40816</t>
  </si>
  <si>
    <t>Aggregated Financials|LTM Financial Revenue|0|40816</t>
  </si>
  <si>
    <t>Aggregated Financials|LTM Financial Expense |0|40816</t>
  </si>
  <si>
    <t>Aggregated Financials|LTM Provisioning Expense |0|40816</t>
  </si>
  <si>
    <t>Aggregated Financials|LTM Operating Expense|0|40816</t>
  </si>
  <si>
    <t>Aggregated Financials|LTM Other Financial Income (Expense)|0|40816</t>
  </si>
  <si>
    <t>Aggregated Financials|Total Borrowings|0|40816</t>
  </si>
  <si>
    <t>Aggregated Financials|Total Interest Bearing Debt |0|40816</t>
  </si>
  <si>
    <t>Aggregated Financials|Savings Accounts|0|40816</t>
  </si>
  <si>
    <t>Aggregated Financials|Operating Expenses|0|40816</t>
  </si>
  <si>
    <t>Aggregated Financials|LTM Net Income (After Taxes &amp; Before Donations) |0|40816</t>
  </si>
  <si>
    <t>Aggregated Financials|Net Income (After Taxes &amp; Before Donations) |0|40816</t>
  </si>
  <si>
    <t>Aggregated Financials|LTM Savings Accounts|0|40816</t>
  </si>
  <si>
    <t>Aggregated Financials|PAR &gt;90|0|40816</t>
  </si>
  <si>
    <t>Aggregated Financials|GLP|0|40847</t>
  </si>
  <si>
    <t>Aggregated Financials|Total Assets|0|40847</t>
  </si>
  <si>
    <t>Aggregated Financials|Total Equity|0|40847</t>
  </si>
  <si>
    <t>Aggregated Financials|Net Income|0|40847</t>
  </si>
  <si>
    <t>Aggregated Financials|January Assets|0|40847</t>
  </si>
  <si>
    <t>Aggregated Financials|January Equity|0|40847</t>
  </si>
  <si>
    <t>Aggregated Financials|LTM GLP|0|40847</t>
  </si>
  <si>
    <t>Aggregated Financials|Loan Loss Reserves|0|40847</t>
  </si>
  <si>
    <t>Aggregated Financials|Total Debt|0|40847</t>
  </si>
  <si>
    <t>Aggregated Financials|Financial Revenue|0|40847</t>
  </si>
  <si>
    <t>Aggregated Financials|Number of Active Borrowers|0|40847</t>
  </si>
  <si>
    <t>Aggregated Financials|Number of Active Loans|0|40847</t>
  </si>
  <si>
    <t>Aggregated Financials|PAR &gt;30|0|40847</t>
  </si>
  <si>
    <t>Aggregated Financials|R +R |0|40847</t>
  </si>
  <si>
    <t>Aggregated Financials|LTM Write-Offs|0|40847</t>
  </si>
  <si>
    <t>Aggregated Financials|Foreign Currency Exposure Asset|0|40847</t>
  </si>
  <si>
    <t>Aggregated Financials|Foreign Currency Liabilities|0|40847</t>
  </si>
  <si>
    <t>Aggregated Financials|Asset Hedges|0|40847</t>
  </si>
  <si>
    <t>Aggregated Financials|Liability Hedges|0|40847</t>
  </si>
  <si>
    <t>Aggregated Financials|PAR &gt;60|0|40847</t>
  </si>
  <si>
    <t>Aggregated Financials|Previous Month Equity|0|40847</t>
  </si>
  <si>
    <t>Aggregated Financials|MONTH FX|0|40847</t>
  </si>
  <si>
    <t>Aggregated Financials|LAST MONTH FX|0|40847</t>
  </si>
  <si>
    <t>Aggregated Financials|YTD FX|0|40847</t>
  </si>
  <si>
    <t>Aggregated Financials|LTM FX|0|40847</t>
  </si>
  <si>
    <t>Aggregated Financials|LTM Average GLP|0|40847</t>
  </si>
  <si>
    <t>Aggregated Financials|LTM Average Assets|0|40847</t>
  </si>
  <si>
    <t>Aggregated Financials|LTM Average Equity|0|40847</t>
  </si>
  <si>
    <t>Aggregated Financials|LTM Average Borrowings|0|40847</t>
  </si>
  <si>
    <t>Aggregated Financials|YTD Average Assets|0|40847</t>
  </si>
  <si>
    <t>Aggregated Financials|YTD Average GLP|0|40847</t>
  </si>
  <si>
    <t>Aggregated Financials|YTD Average Equity|0|40847</t>
  </si>
  <si>
    <t>Aggregated Financials|YTD Average Borrowings|0|40847</t>
  </si>
  <si>
    <t>Aggregated Financials|LTM Net Income|0|40847</t>
  </si>
  <si>
    <t>Aggregated Financials|LTM Financial Revenue|0|40847</t>
  </si>
  <si>
    <t>Aggregated Financials|LTM Financial Expense |0|40847</t>
  </si>
  <si>
    <t>Aggregated Financials|LTM Provisioning Expense |0|40847</t>
  </si>
  <si>
    <t>Aggregated Financials|LTM Operating Expense|0|40847</t>
  </si>
  <si>
    <t>Aggregated Financials|LTM Other Financial Income (Expense)|0|40847</t>
  </si>
  <si>
    <t>Aggregated Financials|Total Borrowings|0|40847</t>
  </si>
  <si>
    <t>Aggregated Financials|Total Interest Bearing Debt |0|40847</t>
  </si>
  <si>
    <t>Aggregated Financials|Savings Accounts|0|40847</t>
  </si>
  <si>
    <t>Aggregated Financials|Operating Expenses|0|40847</t>
  </si>
  <si>
    <t>Aggregated Financials|LTM Net Income (After Taxes &amp; Before Donations) |0|40847</t>
  </si>
  <si>
    <t>Aggregated Financials|Net Income (After Taxes &amp; Before Donations) |0|40847</t>
  </si>
  <si>
    <t>Aggregated Financials|LTM Savings Accounts|0|40847</t>
  </si>
  <si>
    <t>Aggregated Financials|PAR &gt;90|0|40847</t>
  </si>
  <si>
    <t>Aggregated Financials|GLP|0|40877</t>
  </si>
  <si>
    <t>Aggregated Financials|Total Assets|0|40877</t>
  </si>
  <si>
    <t>Aggregated Financials|Total Equity|0|40877</t>
  </si>
  <si>
    <t>Aggregated Financials|Net Income|0|40877</t>
  </si>
  <si>
    <t>Aggregated Financials|January Assets|0|40877</t>
  </si>
  <si>
    <t>Aggregated Financials|January Equity|0|40877</t>
  </si>
  <si>
    <t>Aggregated Financials|LTM GLP|0|40877</t>
  </si>
  <si>
    <t>Aggregated Financials|Loan Loss Reserves|0|40877</t>
  </si>
  <si>
    <t>Aggregated Financials|Total Debt|0|40877</t>
  </si>
  <si>
    <t>Aggregated Financials|Financial Revenue|0|40877</t>
  </si>
  <si>
    <t>Aggregated Financials|Number of Active Borrowers|0|40877</t>
  </si>
  <si>
    <t>Aggregated Financials|Number of Active Loans|0|40877</t>
  </si>
  <si>
    <t>Aggregated Financials|PAR &gt;30|0|40877</t>
  </si>
  <si>
    <t>Aggregated Financials|R +R |0|40877</t>
  </si>
  <si>
    <t>Aggregated Financials|LTM Write-Offs|0|40877</t>
  </si>
  <si>
    <t>Aggregated Financials|Foreign Currency Exposure Asset|0|40877</t>
  </si>
  <si>
    <t>Aggregated Financials|Foreign Currency Liabilities|0|40877</t>
  </si>
  <si>
    <t>Aggregated Financials|Asset Hedges|0|40877</t>
  </si>
  <si>
    <t>Aggregated Financials|Liability Hedges|0|40877</t>
  </si>
  <si>
    <t>Aggregated Financials|PAR &gt;60|0|40877</t>
  </si>
  <si>
    <t>Aggregated Financials|Previous Month Equity|0|40877</t>
  </si>
  <si>
    <t>Aggregated Financials|MONTH FX|0|40877</t>
  </si>
  <si>
    <t>Aggregated Financials|LAST MONTH FX|0|40877</t>
  </si>
  <si>
    <t>Aggregated Financials|YTD FX|0|40877</t>
  </si>
  <si>
    <t>Aggregated Financials|LTM FX|0|40877</t>
  </si>
  <si>
    <t>Aggregated Financials|LTM Average GLP|0|40877</t>
  </si>
  <si>
    <t>Aggregated Financials|LTM Average Assets|0|40877</t>
  </si>
  <si>
    <t>Aggregated Financials|LTM Average Equity|0|40877</t>
  </si>
  <si>
    <t>Aggregated Financials|LTM Average Borrowings|0|40877</t>
  </si>
  <si>
    <t>Aggregated Financials|YTD Average Assets|0|40877</t>
  </si>
  <si>
    <t>Aggregated Financials|YTD Average GLP|0|40877</t>
  </si>
  <si>
    <t>Aggregated Financials|YTD Average Equity|0|40877</t>
  </si>
  <si>
    <t>Aggregated Financials|YTD Average Borrowings|0|40877</t>
  </si>
  <si>
    <t>Aggregated Financials|LTM Net Income|0|40877</t>
  </si>
  <si>
    <t>Aggregated Financials|LTM Financial Revenue|0|40877</t>
  </si>
  <si>
    <t>Aggregated Financials|LTM Financial Expense |0|40877</t>
  </si>
  <si>
    <t>Aggregated Financials|LTM Provisioning Expense |0|40877</t>
  </si>
  <si>
    <t>Aggregated Financials|LTM Operating Expense|0|40877</t>
  </si>
  <si>
    <t>Aggregated Financials|LTM Other Financial Income (Expense)|0|40877</t>
  </si>
  <si>
    <t>Aggregated Financials|Total Borrowings|0|40877</t>
  </si>
  <si>
    <t>Aggregated Financials|Total Interest Bearing Debt |0|40877</t>
  </si>
  <si>
    <t>Aggregated Financials|Savings Accounts|0|40877</t>
  </si>
  <si>
    <t>Aggregated Financials|Operating Expenses|0|40877</t>
  </si>
  <si>
    <t>Aggregated Financials|LTM Net Income (After Taxes &amp; Before Donations) |0|40877</t>
  </si>
  <si>
    <t>Aggregated Financials|Net Income (After Taxes &amp; Before Donations) |0|40877</t>
  </si>
  <si>
    <t>Aggregated Financials|LTM Savings Accounts|0|40877</t>
  </si>
  <si>
    <t>Aggregated Financials|PAR &gt;90|0|40877</t>
  </si>
  <si>
    <t>Aggregated Financials|GLP|0|40908</t>
  </si>
  <si>
    <t>Aggregated Financials|Total Assets|0|40908</t>
  </si>
  <si>
    <t>Aggregated Financials|Total Equity|0|40908</t>
  </si>
  <si>
    <t>Aggregated Financials|Net Income|0|40908</t>
  </si>
  <si>
    <t>Aggregated Financials|January Assets|0|40908</t>
  </si>
  <si>
    <t>Aggregated Financials|January Equity|0|40908</t>
  </si>
  <si>
    <t>Aggregated Financials|LTM GLP|0|40908</t>
  </si>
  <si>
    <t>Aggregated Financials|Loan Loss Reserves|0|40908</t>
  </si>
  <si>
    <t>Aggregated Financials|Total Debt|0|40908</t>
  </si>
  <si>
    <t>Aggregated Financials|Financial Revenue|0|40908</t>
  </si>
  <si>
    <t>Aggregated Financials|Number of Active Borrowers|0|40908</t>
  </si>
  <si>
    <t>Aggregated Financials|Number of Active Loans|0|40908</t>
  </si>
  <si>
    <t>Aggregated Financials|PAR &gt;30|0|40908</t>
  </si>
  <si>
    <t>Aggregated Financials|R +R |0|40908</t>
  </si>
  <si>
    <t>Aggregated Financials|LTM Write-Offs|0|40908</t>
  </si>
  <si>
    <t>Aggregated Financials|Foreign Currency Exposure Asset|0|40908</t>
  </si>
  <si>
    <t>Aggregated Financials|Foreign Currency Liabilities|0|40908</t>
  </si>
  <si>
    <t>Aggregated Financials|Asset Hedges|0|40908</t>
  </si>
  <si>
    <t>Aggregated Financials|Liability Hedges|0|40908</t>
  </si>
  <si>
    <t>Aggregated Financials|PAR &gt;60|0|40908</t>
  </si>
  <si>
    <t>Aggregated Financials|Previous Month Equity|0|40908</t>
  </si>
  <si>
    <t>Aggregated Financials|MONTH FX|0|40908</t>
  </si>
  <si>
    <t>Aggregated Financials|LAST MONTH FX|0|40908</t>
  </si>
  <si>
    <t>Aggregated Financials|YTD FX|0|40908</t>
  </si>
  <si>
    <t>Aggregated Financials|LTM FX|0|40908</t>
  </si>
  <si>
    <t>Aggregated Financials|LTM Average GLP|0|40908</t>
  </si>
  <si>
    <t>Aggregated Financials|LTM Average Assets|0|40908</t>
  </si>
  <si>
    <t>Aggregated Financials|LTM Average Equity|0|40908</t>
  </si>
  <si>
    <t>Aggregated Financials|LTM Average Borrowings|0|40908</t>
  </si>
  <si>
    <t>Aggregated Financials|YTD Average Assets|0|40908</t>
  </si>
  <si>
    <t>Aggregated Financials|YTD Average GLP|0|40908</t>
  </si>
  <si>
    <t>Aggregated Financials|YTD Average Equity|0|40908</t>
  </si>
  <si>
    <t>Aggregated Financials|YTD Average Borrowings|0|40908</t>
  </si>
  <si>
    <t>Aggregated Financials|LTM Net Income|0|40908</t>
  </si>
  <si>
    <t>Aggregated Financials|LTM Financial Revenue|0|40908</t>
  </si>
  <si>
    <t>Aggregated Financials|LTM Financial Expense |0|40908</t>
  </si>
  <si>
    <t>Aggregated Financials|LTM Provisioning Expense |0|40908</t>
  </si>
  <si>
    <t>Aggregated Financials|LTM Operating Expense|0|40908</t>
  </si>
  <si>
    <t>Aggregated Financials|LTM Other Financial Income (Expense)|0|40908</t>
  </si>
  <si>
    <t>Aggregated Financials|Total Borrowings|0|40908</t>
  </si>
  <si>
    <t>Aggregated Financials|Total Interest Bearing Debt |0|40908</t>
  </si>
  <si>
    <t>Aggregated Financials|Savings Accounts|0|40908</t>
  </si>
  <si>
    <t>Aggregated Financials|Operating Expenses|0|40908</t>
  </si>
  <si>
    <t>Aggregated Financials|LTM Net Income (After Taxes &amp; Before Donations) |0|40908</t>
  </si>
  <si>
    <t>Aggregated Financials|Net Income (After Taxes &amp; Before Donations) |0|40908</t>
  </si>
  <si>
    <t>Aggregated Financials|LTM Savings Accounts|0|40908</t>
  </si>
  <si>
    <t>Aggregated Financials|PAR &gt;90|0|40908</t>
  </si>
  <si>
    <t>Balance Sheet v2|Unrestricted|0|41670</t>
  </si>
  <si>
    <t>Balance Sheet v2|Restricted|0|41670</t>
  </si>
  <si>
    <t>Balance Sheet v2|Short Term Investment Securities|0|41670</t>
  </si>
  <si>
    <t>Balance Sheet v2|Less: reserve for probable loss on securities|0|41670</t>
  </si>
  <si>
    <t>Balance Sheet v2|Gross loan portfolio (Please include entire GLP)|0|41670</t>
  </si>
  <si>
    <t>Balance Sheet v2|Less: loan loss reserves|0|41670</t>
  </si>
  <si>
    <t>Balance Sheet v2|Accrued interest receivable|0|41670</t>
  </si>
  <si>
    <t>Balance Sheet v2|Other current assets|0|41670</t>
  </si>
  <si>
    <t>Balance Sheet v2|Gross Fixed Assets|0|41670</t>
  </si>
  <si>
    <t>Balance Sheet v2|Less: Depreciation|0|41670</t>
  </si>
  <si>
    <t>Balance Sheet v2|Less: Asset Sales and Write-Offs|0|41670</t>
  </si>
  <si>
    <t>Balance Sheet v2|Net intangible assets|0|41670</t>
  </si>
  <si>
    <t>Balance Sheet v2|Investments in Unconslidated Affiliates|0|41670</t>
  </si>
  <si>
    <t>Balance Sheet v2|Securitized Assets &amp; Off-Balance Sheet Items|0|41670</t>
  </si>
  <si>
    <t>Balance Sheet v2|Other Types|0|41670</t>
  </si>
  <si>
    <t>Balance Sheet v2|Demand Deposits|0|41670</t>
  </si>
  <si>
    <t>Balance Sheet v2|Time Deposits|0|41670</t>
  </si>
  <si>
    <t>Balance Sheet v2|Accrued interest payable|0|41670</t>
  </si>
  <si>
    <t>Balance Sheet v2|Senior Secured Debt (ST)|0|41670</t>
  </si>
  <si>
    <t>Balance Sheet v2|Senior Unsecured Debt (ST)|0|41670</t>
  </si>
  <si>
    <t>Balance Sheet v2|Current Portion of Long-Term Debt|0|41670</t>
  </si>
  <si>
    <t>Balance Sheet v2|Other current liabilities|0|41670</t>
  </si>
  <si>
    <t>Balance Sheet v2|Senior Secured Debt (LT)|0|41670</t>
  </si>
  <si>
    <t>Balance Sheet v2|-Revolving Credit Facility|0|41670</t>
  </si>
  <si>
    <t>Balance Sheet v2|-Bonds Issued|0|41670</t>
  </si>
  <si>
    <t>Balance Sheet v2|-Other|0|41670</t>
  </si>
  <si>
    <t>Balance Sheet v2|Subordinated Debt|0|41670</t>
  </si>
  <si>
    <t>Balance Sheet v2|Securitized loans &amp; off-balance sheet items|0|41670</t>
  </si>
  <si>
    <t>Balance Sheet v2|Others|0|41670</t>
  </si>
  <si>
    <t>Balance Sheet v2|Preferred Shares|0|41670</t>
  </si>
  <si>
    <t>Balance Sheet v2|Common Shares|0|41670</t>
  </si>
  <si>
    <t>Balance Sheet v2|Share Premium|0|41670</t>
  </si>
  <si>
    <t>Balance Sheet v2|Reserves, Donations &amp; Other|0|41670</t>
  </si>
  <si>
    <t>Balance Sheet v2|prior years|0|41670</t>
  </si>
  <si>
    <t>Balance Sheet v2|current years|0|41670</t>
  </si>
  <si>
    <t>Balance Sheet v2|Unrestricted|0|41698</t>
  </si>
  <si>
    <t>Balance Sheet v2|Restricted|0|41698</t>
  </si>
  <si>
    <t>Balance Sheet v2|Short Term Investment Securities|0|41698</t>
  </si>
  <si>
    <t>Balance Sheet v2|Less: reserve for probable loss on securities|0|41698</t>
  </si>
  <si>
    <t>Balance Sheet v2|Gross loan portfolio (Please include entire GLP)|0|41698</t>
  </si>
  <si>
    <t>Balance Sheet v2|Less: loan loss reserves|0|41698</t>
  </si>
  <si>
    <t>Balance Sheet v2|Accrued interest receivable|0|41698</t>
  </si>
  <si>
    <t>Balance Sheet v2|Other current assets|0|41698</t>
  </si>
  <si>
    <t>Balance Sheet v2|Gross Fixed Assets|0|41698</t>
  </si>
  <si>
    <t>Balance Sheet v2|Less: Depreciation|0|41698</t>
  </si>
  <si>
    <t>Balance Sheet v2|Less: Asset Sales and Write-Offs|0|41698</t>
  </si>
  <si>
    <t>Balance Sheet v2|Net intangible assets|0|41698</t>
  </si>
  <si>
    <t>Balance Sheet v2|Investments in Unconslidated Affiliates|0|41698</t>
  </si>
  <si>
    <t>Balance Sheet v2|Securitized Assets &amp; Off-Balance Sheet Items|0|41698</t>
  </si>
  <si>
    <t>Balance Sheet v2|Other Types|0|41698</t>
  </si>
  <si>
    <t>Balance Sheet v2|Demand Deposits|0|41698</t>
  </si>
  <si>
    <t>Balance Sheet v2|Time Deposits|0|41698</t>
  </si>
  <si>
    <t>Balance Sheet v2|Accrued interest payable|0|41698</t>
  </si>
  <si>
    <t>Balance Sheet v2|Senior Secured Debt (ST)|0|41698</t>
  </si>
  <si>
    <t>Balance Sheet v2|Senior Unsecured Debt (ST)|0|41698</t>
  </si>
  <si>
    <t>Balance Sheet v2|Current Portion of Long-Term Debt|0|41698</t>
  </si>
  <si>
    <t>Balance Sheet v2|Other current liabilities|0|41698</t>
  </si>
  <si>
    <t>Balance Sheet v2|Senior Secured Debt (LT)|0|41698</t>
  </si>
  <si>
    <t>Balance Sheet v2|-Revolving Credit Facility|0|41698</t>
  </si>
  <si>
    <t>Balance Sheet v2|-Bonds Issued|0|41698</t>
  </si>
  <si>
    <t>Balance Sheet v2|-Other|0|41698</t>
  </si>
  <si>
    <t>Balance Sheet v2|Subordinated Debt|0|41698</t>
  </si>
  <si>
    <t>Balance Sheet v2|Securitized loans &amp; off-balance sheet items|0|41698</t>
  </si>
  <si>
    <t>Balance Sheet v2|Others|0|41698</t>
  </si>
  <si>
    <t>Balance Sheet v2|Preferred Shares|0|41698</t>
  </si>
  <si>
    <t>Balance Sheet v2|Common Shares|0|41698</t>
  </si>
  <si>
    <t>Balance Sheet v2|Share Premium|0|41698</t>
  </si>
  <si>
    <t>Balance Sheet v2|Reserves, Donations &amp; Other|0|41698</t>
  </si>
  <si>
    <t>Balance Sheet v2|prior years|0|41698</t>
  </si>
  <si>
    <t>Balance Sheet v2|current years|0|41698</t>
  </si>
  <si>
    <t>Balance Sheet v2|Unrestricted|0|41729</t>
  </si>
  <si>
    <t>Balance Sheet v2|Restricted|0|41729</t>
  </si>
  <si>
    <t>Balance Sheet v2|Short Term Investment Securities|0|41729</t>
  </si>
  <si>
    <t>Balance Sheet v2|Less: reserve for probable loss on securities|0|41729</t>
  </si>
  <si>
    <t>Balance Sheet v2|Gross loan portfolio (Please include entire GLP)|0|41729</t>
  </si>
  <si>
    <t>Balance Sheet v2|Less: loan loss reserves|0|41729</t>
  </si>
  <si>
    <t>Balance Sheet v2|Accrued interest receivable|0|41729</t>
  </si>
  <si>
    <t>Balance Sheet v2|Other current assets|0|41729</t>
  </si>
  <si>
    <t>Balance Sheet v2|Gross Fixed Assets|0|41729</t>
  </si>
  <si>
    <t>Balance Sheet v2|Less: Depreciation|0|41729</t>
  </si>
  <si>
    <t>Balance Sheet v2|Less: Asset Sales and Write-Offs|0|41729</t>
  </si>
  <si>
    <t>Balance Sheet v2|Net intangible assets|0|41729</t>
  </si>
  <si>
    <t>Balance Sheet v2|Investments in Unconslidated Affiliates|0|41729</t>
  </si>
  <si>
    <t>Balance Sheet v2|Securitized Assets &amp; Off-Balance Sheet Items|0|41729</t>
  </si>
  <si>
    <t>Balance Sheet v2|Other Types|0|41729</t>
  </si>
  <si>
    <t>Balance Sheet v2|Demand Deposits|0|41729</t>
  </si>
  <si>
    <t>Balance Sheet v2|Time Deposits|0|41729</t>
  </si>
  <si>
    <t>Balance Sheet v2|Accrued interest payable|0|41729</t>
  </si>
  <si>
    <t>Balance Sheet v2|Senior Secured Debt (ST)|0|41729</t>
  </si>
  <si>
    <t>Balance Sheet v2|Senior Unsecured Debt (ST)|0|41729</t>
  </si>
  <si>
    <t>Balance Sheet v2|Current Portion of Long-Term Debt|0|41729</t>
  </si>
  <si>
    <t>Balance Sheet v2|Other current liabilities|0|41729</t>
  </si>
  <si>
    <t>Balance Sheet v2|Senior Secured Debt (LT)|0|41729</t>
  </si>
  <si>
    <t>Balance Sheet v2|-Revolving Credit Facility|0|41729</t>
  </si>
  <si>
    <t>Balance Sheet v2|-Bonds Issued|0|41729</t>
  </si>
  <si>
    <t>Balance Sheet v2|-Other|0|41729</t>
  </si>
  <si>
    <t>Balance Sheet v2|Subordinated Debt|0|41729</t>
  </si>
  <si>
    <t>Balance Sheet v2|Securitized loans &amp; off-balance sheet items|0|41729</t>
  </si>
  <si>
    <t>Balance Sheet v2|Others|0|41729</t>
  </si>
  <si>
    <t>Balance Sheet v2|Preferred Shares|0|41729</t>
  </si>
  <si>
    <t>Balance Sheet v2|Common Shares|0|41729</t>
  </si>
  <si>
    <t>Balance Sheet v2|Share Premium|0|41729</t>
  </si>
  <si>
    <t>Balance Sheet v2|Reserves, Donations &amp; Other|0|41729</t>
  </si>
  <si>
    <t>Balance Sheet v2|prior years|0|41729</t>
  </si>
  <si>
    <t>Balance Sheet v2|current years|0|41729</t>
  </si>
  <si>
    <t>Balance Sheet v2|Unrestricted|0|41759</t>
  </si>
  <si>
    <t>Balance Sheet v2|Restricted|0|41759</t>
  </si>
  <si>
    <t>Balance Sheet v2|Short Term Investment Securities|0|41759</t>
  </si>
  <si>
    <t>Balance Sheet v2|Less: reserve for probable loss on securities|0|41759</t>
  </si>
  <si>
    <t>Balance Sheet v2|Gross loan portfolio (Please include entire GLP)|0|41759</t>
  </si>
  <si>
    <t>Balance Sheet v2|Less: loan loss reserves|0|41759</t>
  </si>
  <si>
    <t>Balance Sheet v2|Accrued interest receivable|0|41759</t>
  </si>
  <si>
    <t>Balance Sheet v2|Other current assets|0|41759</t>
  </si>
  <si>
    <t>Balance Sheet v2|Gross Fixed Assets|0|41759</t>
  </si>
  <si>
    <t>Balance Sheet v2|Less: Depreciation|0|41759</t>
  </si>
  <si>
    <t>Balance Sheet v2|Less: Asset Sales and Write-Offs|0|41759</t>
  </si>
  <si>
    <t>Balance Sheet v2|Net intangible assets|0|41759</t>
  </si>
  <si>
    <t>Balance Sheet v2|Investments in Unconslidated Affiliates|0|41759</t>
  </si>
  <si>
    <t>Balance Sheet v2|Securitized Assets &amp; Off-Balance Sheet Items|0|41759</t>
  </si>
  <si>
    <t>Balance Sheet v2|Other Types|0|41759</t>
  </si>
  <si>
    <t>Balance Sheet v2|Demand Deposits|0|41759</t>
  </si>
  <si>
    <t>Balance Sheet v2|Time Deposits|0|41759</t>
  </si>
  <si>
    <t>Balance Sheet v2|Accrued interest payable|0|41759</t>
  </si>
  <si>
    <t>Balance Sheet v2|Senior Secured Debt (ST)|0|41759</t>
  </si>
  <si>
    <t>Balance Sheet v2|Senior Unsecured Debt (ST)|0|41759</t>
  </si>
  <si>
    <t>Balance Sheet v2|Current Portion of Long-Term Debt|0|41759</t>
  </si>
  <si>
    <t>Balance Sheet v2|Other current liabilities|0|41759</t>
  </si>
  <si>
    <t>Balance Sheet v2|Senior Secured Debt (LT)|0|41759</t>
  </si>
  <si>
    <t>Balance Sheet v2|-Revolving Credit Facility|0|41759</t>
  </si>
  <si>
    <t>Balance Sheet v2|-Bonds Issued|0|41759</t>
  </si>
  <si>
    <t>Balance Sheet v2|-Other|0|41759</t>
  </si>
  <si>
    <t>Balance Sheet v2|Subordinated Debt|0|41759</t>
  </si>
  <si>
    <t>Balance Sheet v2|Securitized loans &amp; off-balance sheet items|0|41759</t>
  </si>
  <si>
    <t>Balance Sheet v2|Others|0|41759</t>
  </si>
  <si>
    <t>Balance Sheet v2|Preferred Shares|0|41759</t>
  </si>
  <si>
    <t>Balance Sheet v2|Common Shares|0|41759</t>
  </si>
  <si>
    <t>Balance Sheet v2|Share Premium|0|41759</t>
  </si>
  <si>
    <t>Balance Sheet v2|Reserves, Donations &amp; Other|0|41759</t>
  </si>
  <si>
    <t>Balance Sheet v2|prior years|0|41759</t>
  </si>
  <si>
    <t>Balance Sheet v2|current years|0|41759</t>
  </si>
  <si>
    <t>Balance Sheet v2|Unrestricted|0|41790</t>
  </si>
  <si>
    <t>Balance Sheet v2|Restricted|0|41790</t>
  </si>
  <si>
    <t>Balance Sheet v2|Short Term Investment Securities|0|41790</t>
  </si>
  <si>
    <t>Balance Sheet v2|Less: reserve for probable loss on securities|0|41790</t>
  </si>
  <si>
    <t>Balance Sheet v2|Gross loan portfolio (Please include entire GLP)|0|41790</t>
  </si>
  <si>
    <t>Balance Sheet v2|Less: loan loss reserves|0|41790</t>
  </si>
  <si>
    <t>Balance Sheet v2|Accrued interest receivable|0|41790</t>
  </si>
  <si>
    <t>Balance Sheet v2|Other current assets|0|41790</t>
  </si>
  <si>
    <t>Balance Sheet v2|Gross Fixed Assets|0|41790</t>
  </si>
  <si>
    <t>Balance Sheet v2|Less: Depreciation|0|41790</t>
  </si>
  <si>
    <t>Balance Sheet v2|Less: Asset Sales and Write-Offs|0|41790</t>
  </si>
  <si>
    <t>Balance Sheet v2|Net intangible assets|0|41790</t>
  </si>
  <si>
    <t>Balance Sheet v2|Investments in Unconslidated Affiliates|0|41790</t>
  </si>
  <si>
    <t>Balance Sheet v2|Securitized Assets &amp; Off-Balance Sheet Items|0|41790</t>
  </si>
  <si>
    <t>Balance Sheet v2|Other Types|0|41790</t>
  </si>
  <si>
    <t>Balance Sheet v2|Demand Deposits|0|41790</t>
  </si>
  <si>
    <t>Balance Sheet v2|Time Deposits|0|41790</t>
  </si>
  <si>
    <t>Balance Sheet v2|Accrued interest payable|0|41790</t>
  </si>
  <si>
    <t>Balance Sheet v2|Senior Secured Debt (ST)|0|41790</t>
  </si>
  <si>
    <t>Balance Sheet v2|Senior Unsecured Debt (ST)|0|41790</t>
  </si>
  <si>
    <t>Balance Sheet v2|Current Portion of Long-Term Debt|0|41790</t>
  </si>
  <si>
    <t>Balance Sheet v2|Other current liabilities|0|41790</t>
  </si>
  <si>
    <t>Balance Sheet v2|Senior Secured Debt (LT)|0|41790</t>
  </si>
  <si>
    <t>Balance Sheet v2|-Revolving Credit Facility|0|41790</t>
  </si>
  <si>
    <t>Balance Sheet v2|-Bonds Issued|0|41790</t>
  </si>
  <si>
    <t>Balance Sheet v2|-Other|0|41790</t>
  </si>
  <si>
    <t>Balance Sheet v2|Subordinated Debt|0|41790</t>
  </si>
  <si>
    <t>Balance Sheet v2|Securitized loans &amp; off-balance sheet items|0|41790</t>
  </si>
  <si>
    <t>Balance Sheet v2|Others|0|41790</t>
  </si>
  <si>
    <t>Balance Sheet v2|Preferred Shares|0|41790</t>
  </si>
  <si>
    <t>Balance Sheet v2|Common Shares|0|41790</t>
  </si>
  <si>
    <t>Balance Sheet v2|Share Premium|0|41790</t>
  </si>
  <si>
    <t>Balance Sheet v2|Reserves, Donations &amp; Other|0|41790</t>
  </si>
  <si>
    <t>Balance Sheet v2|prior years|0|41790</t>
  </si>
  <si>
    <t>Balance Sheet v2|current years|0|41790</t>
  </si>
  <si>
    <t>Balance Sheet v2|Unrestricted|0|41820</t>
  </si>
  <si>
    <t>Balance Sheet v2|Restricted|0|41820</t>
  </si>
  <si>
    <t>Balance Sheet v2|Short Term Investment Securities|0|41820</t>
  </si>
  <si>
    <t>Balance Sheet v2|Less: reserve for probable loss on securities|0|41820</t>
  </si>
  <si>
    <t>Balance Sheet v2|Gross loan portfolio (Please include entire GLP)|0|41820</t>
  </si>
  <si>
    <t>Balance Sheet v2|Less: loan loss reserves|0|41820</t>
  </si>
  <si>
    <t>Balance Sheet v2|Accrued interest receivable|0|41820</t>
  </si>
  <si>
    <t>Balance Sheet v2|Other current assets|0|41820</t>
  </si>
  <si>
    <t>Balance Sheet v2|Gross Fixed Assets|0|41820</t>
  </si>
  <si>
    <t>Balance Sheet v2|Less: Depreciation|0|41820</t>
  </si>
  <si>
    <t>Balance Sheet v2|Less: Asset Sales and Write-Offs|0|41820</t>
  </si>
  <si>
    <t>Balance Sheet v2|Net intangible assets|0|41820</t>
  </si>
  <si>
    <t>Balance Sheet v2|Investments in Unconslidated Affiliates|0|41820</t>
  </si>
  <si>
    <t>Balance Sheet v2|Securitized Assets &amp; Off-Balance Sheet Items|0|41820</t>
  </si>
  <si>
    <t>Balance Sheet v2|Other Types|0|41820</t>
  </si>
  <si>
    <t>Balance Sheet v2|Demand Deposits|0|41820</t>
  </si>
  <si>
    <t>Balance Sheet v2|Time Deposits|0|41820</t>
  </si>
  <si>
    <t>Balance Sheet v2|Accrued interest payable|0|41820</t>
  </si>
  <si>
    <t>Balance Sheet v2|Senior Secured Debt (ST)|0|41820</t>
  </si>
  <si>
    <t>Balance Sheet v2|Senior Unsecured Debt (ST)|0|41820</t>
  </si>
  <si>
    <t>Balance Sheet v2|Current Portion of Long-Term Debt|0|41820</t>
  </si>
  <si>
    <t>Balance Sheet v2|Other current liabilities|0|41820</t>
  </si>
  <si>
    <t>Balance Sheet v2|Senior Secured Debt (LT)|0|41820</t>
  </si>
  <si>
    <t>Balance Sheet v2|-Revolving Credit Facility|0|41820</t>
  </si>
  <si>
    <t>Balance Sheet v2|-Bonds Issued|0|41820</t>
  </si>
  <si>
    <t>Balance Sheet v2|-Other|0|41820</t>
  </si>
  <si>
    <t>Balance Sheet v2|Subordinated Debt|0|41820</t>
  </si>
  <si>
    <t>Balance Sheet v2|Securitized loans &amp; off-balance sheet items|0|41820</t>
  </si>
  <si>
    <t>Balance Sheet v2|Others|0|41820</t>
  </si>
  <si>
    <t>Balance Sheet v2|Preferred Shares|0|41820</t>
  </si>
  <si>
    <t>Balance Sheet v2|Common Shares|0|41820</t>
  </si>
  <si>
    <t>Balance Sheet v2|Share Premium|0|41820</t>
  </si>
  <si>
    <t>Balance Sheet v2|Reserves, Donations &amp; Other|0|41820</t>
  </si>
  <si>
    <t>Balance Sheet v2|prior years|0|41820</t>
  </si>
  <si>
    <t>Balance Sheet v2|current years|0|41820</t>
  </si>
  <si>
    <t>Balance Sheet v2|Unrestricted|0|41851</t>
  </si>
  <si>
    <t>Balance Sheet v2|Restricted|0|41851</t>
  </si>
  <si>
    <t>Balance Sheet v2|Short Term Investment Securities|0|41851</t>
  </si>
  <si>
    <t>Balance Sheet v2|Less: reserve for probable loss on securities|0|41851</t>
  </si>
  <si>
    <t>Balance Sheet v2|Gross loan portfolio (Please include entire GLP)|0|41851</t>
  </si>
  <si>
    <t>Balance Sheet v2|Less: loan loss reserves|0|41851</t>
  </si>
  <si>
    <t>Balance Sheet v2|Accrued interest receivable|0|41851</t>
  </si>
  <si>
    <t>Balance Sheet v2|Other current assets|0|41851</t>
  </si>
  <si>
    <t>Balance Sheet v2|Gross Fixed Assets|0|41851</t>
  </si>
  <si>
    <t>Balance Sheet v2|Less: Depreciation|0|41851</t>
  </si>
  <si>
    <t>Balance Sheet v2|Less: Asset Sales and Write-Offs|0|41851</t>
  </si>
  <si>
    <t>Balance Sheet v2|Net intangible assets|0|41851</t>
  </si>
  <si>
    <t>Balance Sheet v2|Investments in Unconslidated Affiliates|0|41851</t>
  </si>
  <si>
    <t>Balance Sheet v2|Securitized Assets &amp; Off-Balance Sheet Items|0|41851</t>
  </si>
  <si>
    <t>Balance Sheet v2|Other Types|0|41851</t>
  </si>
  <si>
    <t>Balance Sheet v2|Demand Deposits|0|41851</t>
  </si>
  <si>
    <t>Balance Sheet v2|Time Deposits|0|41851</t>
  </si>
  <si>
    <t>Balance Sheet v2|Accrued interest payable|0|41851</t>
  </si>
  <si>
    <t>Balance Sheet v2|Senior Secured Debt (ST)|0|41851</t>
  </si>
  <si>
    <t>Balance Sheet v2|Senior Unsecured Debt (ST)|0|41851</t>
  </si>
  <si>
    <t>Balance Sheet v2|Current Portion of Long-Term Debt|0|41851</t>
  </si>
  <si>
    <t>Balance Sheet v2|Other current liabilities|0|41851</t>
  </si>
  <si>
    <t>Balance Sheet v2|Senior Secured Debt (LT)|0|41851</t>
  </si>
  <si>
    <t>Balance Sheet v2|-Revolving Credit Facility|0|41851</t>
  </si>
  <si>
    <t>Balance Sheet v2|-Bonds Issued|0|41851</t>
  </si>
  <si>
    <t>Balance Sheet v2|-Other|0|41851</t>
  </si>
  <si>
    <t>Balance Sheet v2|Subordinated Debt|0|41851</t>
  </si>
  <si>
    <t>Balance Sheet v2|Securitized loans &amp; off-balance sheet items|0|41851</t>
  </si>
  <si>
    <t>Balance Sheet v2|Others|0|41851</t>
  </si>
  <si>
    <t>Balance Sheet v2|Preferred Shares|0|41851</t>
  </si>
  <si>
    <t>Balance Sheet v2|Common Shares|0|41851</t>
  </si>
  <si>
    <t>Balance Sheet v2|Share Premium|0|41851</t>
  </si>
  <si>
    <t>Balance Sheet v2|Reserves, Donations &amp; Other|0|41851</t>
  </si>
  <si>
    <t>Balance Sheet v2|prior years|0|41851</t>
  </si>
  <si>
    <t>Balance Sheet v2|current years|0|41851</t>
  </si>
  <si>
    <t>Balance Sheet v2|Unrestricted|0|41882</t>
  </si>
  <si>
    <t>Balance Sheet v2|Restricted|0|41882</t>
  </si>
  <si>
    <t>Balance Sheet v2|Short Term Investment Securities|0|41882</t>
  </si>
  <si>
    <t>Balance Sheet v2|Less: reserve for probable loss on securities|0|41882</t>
  </si>
  <si>
    <t>Balance Sheet v2|Gross loan portfolio (Please include entire GLP)|0|41882</t>
  </si>
  <si>
    <t>Balance Sheet v2|Less: loan loss reserves|0|41882</t>
  </si>
  <si>
    <t>Balance Sheet v2|Accrued interest receivable|0|41882</t>
  </si>
  <si>
    <t>Balance Sheet v2|Other current assets|0|41882</t>
  </si>
  <si>
    <t>Balance Sheet v2|Gross Fixed Assets|0|41882</t>
  </si>
  <si>
    <t>Balance Sheet v2|Less: Depreciation|0|41882</t>
  </si>
  <si>
    <t>Balance Sheet v2|Less: Asset Sales and Write-Offs|0|41882</t>
  </si>
  <si>
    <t>Balance Sheet v2|Net intangible assets|0|41882</t>
  </si>
  <si>
    <t>Balance Sheet v2|Investments in Unconslidated Affiliates|0|41882</t>
  </si>
  <si>
    <t>Balance Sheet v2|Securitized Assets &amp; Off-Balance Sheet Items|0|41882</t>
  </si>
  <si>
    <t>Balance Sheet v2|Other Types|0|41882</t>
  </si>
  <si>
    <t>Balance Sheet v2|Demand Deposits|0|41882</t>
  </si>
  <si>
    <t>Balance Sheet v2|Time Deposits|0|41882</t>
  </si>
  <si>
    <t>Balance Sheet v2|Accrued interest payable|0|41882</t>
  </si>
  <si>
    <t>Balance Sheet v2|Senior Secured Debt (ST)|0|41882</t>
  </si>
  <si>
    <t>Balance Sheet v2|Senior Unsecured Debt (ST)|0|41882</t>
  </si>
  <si>
    <t>Balance Sheet v2|Current Portion of Long-Term Debt|0|41882</t>
  </si>
  <si>
    <t>Balance Sheet v2|Other current liabilities|0|41882</t>
  </si>
  <si>
    <t>Balance Sheet v2|Senior Secured Debt (LT)|0|41882</t>
  </si>
  <si>
    <t>Balance Sheet v2|-Revolving Credit Facility|0|41882</t>
  </si>
  <si>
    <t>Balance Sheet v2|-Bonds Issued|0|41882</t>
  </si>
  <si>
    <t>Balance Sheet v2|-Other|0|41882</t>
  </si>
  <si>
    <t>Balance Sheet v2|Subordinated Debt|0|41882</t>
  </si>
  <si>
    <t>Balance Sheet v2|Securitized loans &amp; off-balance sheet items|0|41882</t>
  </si>
  <si>
    <t>Balance Sheet v2|Others|0|41882</t>
  </si>
  <si>
    <t>Balance Sheet v2|Preferred Shares|0|41882</t>
  </si>
  <si>
    <t>Balance Sheet v2|Common Shares|0|41882</t>
  </si>
  <si>
    <t>Balance Sheet v2|Share Premium|0|41882</t>
  </si>
  <si>
    <t>Balance Sheet v2|Reserves, Donations &amp; Other|0|41882</t>
  </si>
  <si>
    <t>Balance Sheet v2|prior years|0|41882</t>
  </si>
  <si>
    <t>Balance Sheet v2|current years|0|41882</t>
  </si>
  <si>
    <t>Balance Sheet v2|Unrestricted|0|41912</t>
  </si>
  <si>
    <t>Balance Sheet v2|Restricted|0|41912</t>
  </si>
  <si>
    <t>Balance Sheet v2|Short Term Investment Securities|0|41912</t>
  </si>
  <si>
    <t>Balance Sheet v2|Less: reserve for probable loss on securities|0|41912</t>
  </si>
  <si>
    <t>Balance Sheet v2|Gross loan portfolio (Please include entire GLP)|0|41912</t>
  </si>
  <si>
    <t>Balance Sheet v2|Less: loan loss reserves|0|41912</t>
  </si>
  <si>
    <t>Balance Sheet v2|Accrued interest receivable|0|41912</t>
  </si>
  <si>
    <t>Balance Sheet v2|Other current assets|0|41912</t>
  </si>
  <si>
    <t>Balance Sheet v2|Gross Fixed Assets|0|41912</t>
  </si>
  <si>
    <t>Balance Sheet v2|Less: Depreciation|0|41912</t>
  </si>
  <si>
    <t>Balance Sheet v2|Less: Asset Sales and Write-Offs|0|41912</t>
  </si>
  <si>
    <t>Balance Sheet v2|Net intangible assets|0|41912</t>
  </si>
  <si>
    <t>Balance Sheet v2|Investments in Unconslidated Affiliates|0|41912</t>
  </si>
  <si>
    <t>Balance Sheet v2|Securitized Assets &amp; Off-Balance Sheet Items|0|41912</t>
  </si>
  <si>
    <t>Balance Sheet v2|Other Types|0|41912</t>
  </si>
  <si>
    <t>Balance Sheet v2|Demand Deposits|0|41912</t>
  </si>
  <si>
    <t>Balance Sheet v2|Time Deposits|0|41912</t>
  </si>
  <si>
    <t>Balance Sheet v2|Accrued interest payable|0|41912</t>
  </si>
  <si>
    <t>Balance Sheet v2|Senior Secured Debt (ST)|0|41912</t>
  </si>
  <si>
    <t>Balance Sheet v2|Senior Unsecured Debt (ST)|0|41912</t>
  </si>
  <si>
    <t>Balance Sheet v2|Current Portion of Long-Term Debt|0|41912</t>
  </si>
  <si>
    <t>Balance Sheet v2|Other current liabilities|0|41912</t>
  </si>
  <si>
    <t>Balance Sheet v2|Senior Secured Debt (LT)|0|41912</t>
  </si>
  <si>
    <t>Balance Sheet v2|-Revolving Credit Facility|0|41912</t>
  </si>
  <si>
    <t>Balance Sheet v2|-Bonds Issued|0|41912</t>
  </si>
  <si>
    <t>Balance Sheet v2|-Other|0|41912</t>
  </si>
  <si>
    <t>Balance Sheet v2|Subordinated Debt|0|41912</t>
  </si>
  <si>
    <t>Balance Sheet v2|Securitized loans &amp; off-balance sheet items|0|41912</t>
  </si>
  <si>
    <t>Balance Sheet v2|Others|0|41912</t>
  </si>
  <si>
    <t>Balance Sheet v2|Preferred Shares|0|41912</t>
  </si>
  <si>
    <t>Balance Sheet v2|Common Shares|0|41912</t>
  </si>
  <si>
    <t>Balance Sheet v2|Share Premium|0|41912</t>
  </si>
  <si>
    <t>Balance Sheet v2|Reserves, Donations &amp; Other|0|41912</t>
  </si>
  <si>
    <t>Balance Sheet v2|prior years|0|41912</t>
  </si>
  <si>
    <t>Balance Sheet v2|current years|0|41912</t>
  </si>
  <si>
    <t>Balance Sheet v2|Unrestricted|0|41943</t>
  </si>
  <si>
    <t>Balance Sheet v2|Restricted|0|41943</t>
  </si>
  <si>
    <t>Balance Sheet v2|Short Term Investment Securities|0|41943</t>
  </si>
  <si>
    <t>Balance Sheet v2|Less: reserve for probable loss on securities|0|41943</t>
  </si>
  <si>
    <t>Balance Sheet v2|Gross loan portfolio (Please include entire GLP)|0|41943</t>
  </si>
  <si>
    <t>Balance Sheet v2|Less: loan loss reserves|0|41943</t>
  </si>
  <si>
    <t>Balance Sheet v2|Accrued interest receivable|0|41943</t>
  </si>
  <si>
    <t>Balance Sheet v2|Other current assets|0|41943</t>
  </si>
  <si>
    <t>Balance Sheet v2|Gross Fixed Assets|0|41943</t>
  </si>
  <si>
    <t>Balance Sheet v2|Less: Depreciation|0|41943</t>
  </si>
  <si>
    <t>Balance Sheet v2|Less: Asset Sales and Write-Offs|0|41943</t>
  </si>
  <si>
    <t>Balance Sheet v2|Net intangible assets|0|41943</t>
  </si>
  <si>
    <t>Balance Sheet v2|Investments in Unconslidated Affiliates|0|41943</t>
  </si>
  <si>
    <t>Balance Sheet v2|Securitized Assets &amp; Off-Balance Sheet Items|0|41943</t>
  </si>
  <si>
    <t>Balance Sheet v2|Other Types|0|41943</t>
  </si>
  <si>
    <t>Balance Sheet v2|Demand Deposits|0|41943</t>
  </si>
  <si>
    <t>Balance Sheet v2|Time Deposits|0|41943</t>
  </si>
  <si>
    <t>Balance Sheet v2|Accrued interest payable|0|41943</t>
  </si>
  <si>
    <t>Balance Sheet v2|Senior Secured Debt (ST)|0|41943</t>
  </si>
  <si>
    <t>Balance Sheet v2|Senior Unsecured Debt (ST)|0|41943</t>
  </si>
  <si>
    <t>Balance Sheet v2|Current Portion of Long-Term Debt|0|41943</t>
  </si>
  <si>
    <t>Balance Sheet v2|Other current liabilities|0|41943</t>
  </si>
  <si>
    <t>Balance Sheet v2|Senior Secured Debt (LT)|0|41943</t>
  </si>
  <si>
    <t>Balance Sheet v2|-Revolving Credit Facility|0|41943</t>
  </si>
  <si>
    <t>Balance Sheet v2|-Bonds Issued|0|41943</t>
  </si>
  <si>
    <t>Balance Sheet v2|-Other|0|41943</t>
  </si>
  <si>
    <t>Balance Sheet v2|Subordinated Debt|0|41943</t>
  </si>
  <si>
    <t>Balance Sheet v2|Securitized loans &amp; off-balance sheet items|0|41943</t>
  </si>
  <si>
    <t>Balance Sheet v2|Others|0|41943</t>
  </si>
  <si>
    <t>Balance Sheet v2|Preferred Shares|0|41943</t>
  </si>
  <si>
    <t>Balance Sheet v2|Common Shares|0|41943</t>
  </si>
  <si>
    <t>Balance Sheet v2|Share Premium|0|41943</t>
  </si>
  <si>
    <t>Balance Sheet v2|Reserves, Donations &amp; Other|0|41943</t>
  </si>
  <si>
    <t>Balance Sheet v2|prior years|0|41943</t>
  </si>
  <si>
    <t>Balance Sheet v2|current years|0|41943</t>
  </si>
  <si>
    <t>Balance Sheet v2|Unrestricted|0|41973</t>
  </si>
  <si>
    <t>Balance Sheet v2|Restricted|0|41973</t>
  </si>
  <si>
    <t>Balance Sheet v2|Short Term Investment Securities|0|41973</t>
  </si>
  <si>
    <t>Balance Sheet v2|Less: reserve for probable loss on securities|0|41973</t>
  </si>
  <si>
    <t>Balance Sheet v2|Gross loan portfolio (Please include entire GLP)|0|41973</t>
  </si>
  <si>
    <t>Balance Sheet v2|Less: loan loss reserves|0|41973</t>
  </si>
  <si>
    <t>Balance Sheet v2|Accrued interest receivable|0|41973</t>
  </si>
  <si>
    <t>Balance Sheet v2|Other current assets|0|41973</t>
  </si>
  <si>
    <t>Balance Sheet v2|Gross Fixed Assets|0|41973</t>
  </si>
  <si>
    <t>Balance Sheet v2|Less: Depreciation|0|41973</t>
  </si>
  <si>
    <t>Balance Sheet v2|Less: Asset Sales and Write-Offs|0|41973</t>
  </si>
  <si>
    <t>Balance Sheet v2|Net intangible assets|0|41973</t>
  </si>
  <si>
    <t>Balance Sheet v2|Investments in Unconslidated Affiliates|0|41973</t>
  </si>
  <si>
    <t>Balance Sheet v2|Securitized Assets &amp; Off-Balance Sheet Items|0|41973</t>
  </si>
  <si>
    <t>Balance Sheet v2|Other Types|0|41973</t>
  </si>
  <si>
    <t>Balance Sheet v2|Demand Deposits|0|41973</t>
  </si>
  <si>
    <t>Balance Sheet v2|Time Deposits|0|41973</t>
  </si>
  <si>
    <t>Balance Sheet v2|Accrued interest payable|0|41973</t>
  </si>
  <si>
    <t>Balance Sheet v2|Senior Secured Debt (ST)|0|41973</t>
  </si>
  <si>
    <t>Balance Sheet v2|Senior Unsecured Debt (ST)|0|41973</t>
  </si>
  <si>
    <t>Balance Sheet v2|Current Portion of Long-Term Debt|0|41973</t>
  </si>
  <si>
    <t>Balance Sheet v2|Other current liabilities|0|41973</t>
  </si>
  <si>
    <t>Balance Sheet v2|Senior Secured Debt (LT)|0|41973</t>
  </si>
  <si>
    <t>Balance Sheet v2|-Revolving Credit Facility|0|41973</t>
  </si>
  <si>
    <t>Balance Sheet v2|-Bonds Issued|0|41973</t>
  </si>
  <si>
    <t>Balance Sheet v2|-Other|0|41973</t>
  </si>
  <si>
    <t>Balance Sheet v2|Subordinated Debt|0|41973</t>
  </si>
  <si>
    <t>Balance Sheet v2|Securitized loans &amp; off-balance sheet items|0|41973</t>
  </si>
  <si>
    <t>Balance Sheet v2|Others|0|41973</t>
  </si>
  <si>
    <t>Balance Sheet v2|Preferred Shares|0|41973</t>
  </si>
  <si>
    <t>Balance Sheet v2|Common Shares|0|41973</t>
  </si>
  <si>
    <t>Balance Sheet v2|Share Premium|0|41973</t>
  </si>
  <si>
    <t>Balance Sheet v2|Reserves, Donations &amp; Other|0|41973</t>
  </si>
  <si>
    <t>Balance Sheet v2|prior years|0|41973</t>
  </si>
  <si>
    <t>Balance Sheet v2|current years|0|41973</t>
  </si>
  <si>
    <t>Balance Sheet v2|Unrestricted|0|42004</t>
  </si>
  <si>
    <t>Balance Sheet v2|Restricted|0|42004</t>
  </si>
  <si>
    <t>Balance Sheet v2|Short Term Investment Securities|0|42004</t>
  </si>
  <si>
    <t>Balance Sheet v2|Less: reserve for probable loss on securities|0|42004</t>
  </si>
  <si>
    <t>Balance Sheet v2|Gross loan portfolio (Please include entire GLP)|0|42004</t>
  </si>
  <si>
    <t>Balance Sheet v2|Less: loan loss reserves|0|42004</t>
  </si>
  <si>
    <t>Balance Sheet v2|Accrued interest receivable|0|42004</t>
  </si>
  <si>
    <t>Balance Sheet v2|Other current assets|0|42004</t>
  </si>
  <si>
    <t>Balance Sheet v2|Gross Fixed Assets|0|42004</t>
  </si>
  <si>
    <t>Balance Sheet v2|Less: Depreciation|0|42004</t>
  </si>
  <si>
    <t>Balance Sheet v2|Less: Asset Sales and Write-Offs|0|42004</t>
  </si>
  <si>
    <t>Balance Sheet v2|Net intangible assets|0|42004</t>
  </si>
  <si>
    <t>Balance Sheet v2|Investments in Unconslidated Affiliates|0|42004</t>
  </si>
  <si>
    <t>Balance Sheet v2|Securitized Assets &amp; Off-Balance Sheet Items|0|42004</t>
  </si>
  <si>
    <t>Balance Sheet v2|Other Types|0|42004</t>
  </si>
  <si>
    <t>Balance Sheet v2|Demand Deposits|0|42004</t>
  </si>
  <si>
    <t>Balance Sheet v2|Time Deposits|0|42004</t>
  </si>
  <si>
    <t>Balance Sheet v2|Accrued interest payable|0|42004</t>
  </si>
  <si>
    <t>Balance Sheet v2|Senior Secured Debt (ST)|0|42004</t>
  </si>
  <si>
    <t>Balance Sheet v2|Senior Unsecured Debt (ST)|0|42004</t>
  </si>
  <si>
    <t>Balance Sheet v2|Current Portion of Long-Term Debt|0|42004</t>
  </si>
  <si>
    <t>Balance Sheet v2|Other current liabilities|0|42004</t>
  </si>
  <si>
    <t>Balance Sheet v2|Senior Secured Debt (LT)|0|42004</t>
  </si>
  <si>
    <t>Balance Sheet v2|-Revolving Credit Facility|0|42004</t>
  </si>
  <si>
    <t>Balance Sheet v2|-Bonds Issued|0|42004</t>
  </si>
  <si>
    <t>Balance Sheet v2|-Other|0|42004</t>
  </si>
  <si>
    <t>Balance Sheet v2|Subordinated Debt|0|42004</t>
  </si>
  <si>
    <t>Balance Sheet v2|Securitized loans &amp; off-balance sheet items|0|42004</t>
  </si>
  <si>
    <t>Balance Sheet v2|Others|0|42004</t>
  </si>
  <si>
    <t>Balance Sheet v2|Preferred Shares|0|42004</t>
  </si>
  <si>
    <t>Balance Sheet v2|Common Shares|0|42004</t>
  </si>
  <si>
    <t>Balance Sheet v2|Share Premium|0|42004</t>
  </si>
  <si>
    <t>Balance Sheet v2|Reserves, Donations &amp; Other|0|42004</t>
  </si>
  <si>
    <t>Balance Sheet v2|prior years|0|42004</t>
  </si>
  <si>
    <t>Balance Sheet v2|current years|0|42004</t>
  </si>
  <si>
    <t>Currency Exposure v2|Cash|0|41670</t>
  </si>
  <si>
    <t>Currency Exposure v2|Portfolio|0|41670</t>
  </si>
  <si>
    <t>Currency Exposure v2|Other Assets|0|41670</t>
  </si>
  <si>
    <t>Currency Exposure v2|Savings|0|41670</t>
  </si>
  <si>
    <t>Currency Exposure v2|Borrowings|0|41670</t>
  </si>
  <si>
    <t>Currency Exposure v2|Other Liabilities|0|41670</t>
  </si>
  <si>
    <t>Currency Exposure v2|Deposits for Back-to-Back Loans|0|41670</t>
  </si>
  <si>
    <t>Currency Exposure v2|Options|0|41670</t>
  </si>
  <si>
    <t>Currency Exposure v2|Forwards|0|41670</t>
  </si>
  <si>
    <t>Currency Exposure v2|Swaps|0|41670</t>
  </si>
  <si>
    <t>Currency Exposure v2|Back-to-back Loans|0|41670</t>
  </si>
  <si>
    <t>Currency Exposure v2|Options-L|0|41670</t>
  </si>
  <si>
    <t>Currency Exposure v2|Forwards-L|0|41670</t>
  </si>
  <si>
    <t>Currency Exposure v2|Swaps-L|0|41670</t>
  </si>
  <si>
    <t>Currency Exposure v2|Cash|0|41698</t>
  </si>
  <si>
    <t>Currency Exposure v2|Portfolio|0|41698</t>
  </si>
  <si>
    <t>Currency Exposure v2|Other Assets|0|41698</t>
  </si>
  <si>
    <t>Currency Exposure v2|Savings|0|41698</t>
  </si>
  <si>
    <t>Currency Exposure v2|Borrowings|0|41698</t>
  </si>
  <si>
    <t>Currency Exposure v2|Other Liabilities|0|41698</t>
  </si>
  <si>
    <t>Currency Exposure v2|Deposits for Back-to-Back Loans|0|41698</t>
  </si>
  <si>
    <t>Currency Exposure v2|Options|0|41698</t>
  </si>
  <si>
    <t>Currency Exposure v2|Forwards|0|41698</t>
  </si>
  <si>
    <t>Currency Exposure v2|Swaps|0|41698</t>
  </si>
  <si>
    <t>Currency Exposure v2|Back-to-back Loans|0|41698</t>
  </si>
  <si>
    <t>Currency Exposure v2|Options-L|0|41698</t>
  </si>
  <si>
    <t>Currency Exposure v2|Forwards-L|0|41698</t>
  </si>
  <si>
    <t>Currency Exposure v2|Swaps-L|0|41698</t>
  </si>
  <si>
    <t>Currency Exposure v2|Cash|0|41729</t>
  </si>
  <si>
    <t>Currency Exposure v2|Portfolio|0|41729</t>
  </si>
  <si>
    <t>Currency Exposure v2|Other Assets|0|41729</t>
  </si>
  <si>
    <t>Currency Exposure v2|Savings|0|41729</t>
  </si>
  <si>
    <t>Currency Exposure v2|Borrowings|0|41729</t>
  </si>
  <si>
    <t>Currency Exposure v2|Other Liabilities|0|41729</t>
  </si>
  <si>
    <t>Currency Exposure v2|Deposits for Back-to-Back Loans|0|41729</t>
  </si>
  <si>
    <t>Currency Exposure v2|Options|0|41729</t>
  </si>
  <si>
    <t>Currency Exposure v2|Forwards|0|41729</t>
  </si>
  <si>
    <t>Currency Exposure v2|Swaps|0|41729</t>
  </si>
  <si>
    <t>Currency Exposure v2|Back-to-back Loans|0|41729</t>
  </si>
  <si>
    <t>Currency Exposure v2|Options-L|0|41729</t>
  </si>
  <si>
    <t>Currency Exposure v2|Forwards-L|0|41729</t>
  </si>
  <si>
    <t>Currency Exposure v2|Swaps-L|0|41729</t>
  </si>
  <si>
    <t>Currency Exposure v2|Cash|0|41759</t>
  </si>
  <si>
    <t>Currency Exposure v2|Portfolio|0|41759</t>
  </si>
  <si>
    <t>Currency Exposure v2|Other Assets|0|41759</t>
  </si>
  <si>
    <t>Currency Exposure v2|Savings|0|41759</t>
  </si>
  <si>
    <t>Currency Exposure v2|Borrowings|0|41759</t>
  </si>
  <si>
    <t>Currency Exposure v2|Other Liabilities|0|41759</t>
  </si>
  <si>
    <t>Currency Exposure v2|Deposits for Back-to-Back Loans|0|41759</t>
  </si>
  <si>
    <t>Currency Exposure v2|Options|0|41759</t>
  </si>
  <si>
    <t>Currency Exposure v2|Forwards|0|41759</t>
  </si>
  <si>
    <t>Currency Exposure v2|Swaps|0|41759</t>
  </si>
  <si>
    <t>Currency Exposure v2|Back-to-back Loans|0|41759</t>
  </si>
  <si>
    <t>Currency Exposure v2|Options-L|0|41759</t>
  </si>
  <si>
    <t>Currency Exposure v2|Forwards-L|0|41759</t>
  </si>
  <si>
    <t>Currency Exposure v2|Swaps-L|0|41759</t>
  </si>
  <si>
    <t>Currency Exposure v2|Cash|0|41790</t>
  </si>
  <si>
    <t>Currency Exposure v2|Portfolio|0|41790</t>
  </si>
  <si>
    <t>Currency Exposure v2|Other Assets|0|41790</t>
  </si>
  <si>
    <t>Currency Exposure v2|Savings|0|41790</t>
  </si>
  <si>
    <t>Currency Exposure v2|Borrowings|0|41790</t>
  </si>
  <si>
    <t>Currency Exposure v2|Other Liabilities|0|41790</t>
  </si>
  <si>
    <t>Currency Exposure v2|Deposits for Back-to-Back Loans|0|41790</t>
  </si>
  <si>
    <t>Currency Exposure v2|Options|0|41790</t>
  </si>
  <si>
    <t>Currency Exposure v2|Forwards|0|41790</t>
  </si>
  <si>
    <t>Currency Exposure v2|Swaps|0|41790</t>
  </si>
  <si>
    <t>Currency Exposure v2|Back-to-back Loans|0|41790</t>
  </si>
  <si>
    <t>Currency Exposure v2|Options-L|0|41790</t>
  </si>
  <si>
    <t>Currency Exposure v2|Forwards-L|0|41790</t>
  </si>
  <si>
    <t>Currency Exposure v2|Swaps-L|0|41790</t>
  </si>
  <si>
    <t>Currency Exposure v2|Cash|0|41820</t>
  </si>
  <si>
    <t>Currency Exposure v2|Portfolio|0|41820</t>
  </si>
  <si>
    <t>Currency Exposure v2|Other Assets|0|41820</t>
  </si>
  <si>
    <t>Currency Exposure v2|Savings|0|41820</t>
  </si>
  <si>
    <t>Currency Exposure v2|Borrowings|0|41820</t>
  </si>
  <si>
    <t>Currency Exposure v2|Other Liabilities|0|41820</t>
  </si>
  <si>
    <t>Currency Exposure v2|Deposits for Back-to-Back Loans|0|41820</t>
  </si>
  <si>
    <t>Currency Exposure v2|Options|0|41820</t>
  </si>
  <si>
    <t>Currency Exposure v2|Forwards|0|41820</t>
  </si>
  <si>
    <t>Currency Exposure v2|Swaps|0|41820</t>
  </si>
  <si>
    <t>Currency Exposure v2|Back-to-back Loans|0|41820</t>
  </si>
  <si>
    <t>Currency Exposure v2|Options-L|0|41820</t>
  </si>
  <si>
    <t>Currency Exposure v2|Forwards-L|0|41820</t>
  </si>
  <si>
    <t>Currency Exposure v2|Swaps-L|0|41820</t>
  </si>
  <si>
    <t>Currency Exposure v2|Cash|0|41851</t>
  </si>
  <si>
    <t>Currency Exposure v2|Portfolio|0|41851</t>
  </si>
  <si>
    <t>Currency Exposure v2|Other Assets|0|41851</t>
  </si>
  <si>
    <t>Currency Exposure v2|Savings|0|41851</t>
  </si>
  <si>
    <t>Currency Exposure v2|Borrowings|0|41851</t>
  </si>
  <si>
    <t>Currency Exposure v2|Other Liabilities|0|41851</t>
  </si>
  <si>
    <t>Currency Exposure v2|Deposits for Back-to-Back Loans|0|41851</t>
  </si>
  <si>
    <t>Currency Exposure v2|Options|0|41851</t>
  </si>
  <si>
    <t>Currency Exposure v2|Forwards|0|41851</t>
  </si>
  <si>
    <t>Currency Exposure v2|Swaps|0|41851</t>
  </si>
  <si>
    <t>Currency Exposure v2|Back-to-back Loans|0|41851</t>
  </si>
  <si>
    <t>Currency Exposure v2|Options-L|0|41851</t>
  </si>
  <si>
    <t>Currency Exposure v2|Forwards-L|0|41851</t>
  </si>
  <si>
    <t>Currency Exposure v2|Swaps-L|0|41851</t>
  </si>
  <si>
    <t>Currency Exposure v2|Cash|0|41882</t>
  </si>
  <si>
    <t>Currency Exposure v2|Portfolio|0|41882</t>
  </si>
  <si>
    <t>Currency Exposure v2|Other Assets|0|41882</t>
  </si>
  <si>
    <t>Currency Exposure v2|Savings|0|41882</t>
  </si>
  <si>
    <t>Currency Exposure v2|Borrowings|0|41882</t>
  </si>
  <si>
    <t>Currency Exposure v2|Other Liabilities|0|41882</t>
  </si>
  <si>
    <t>Currency Exposure v2|Deposits for Back-to-Back Loans|0|41882</t>
  </si>
  <si>
    <t>Currency Exposure v2|Options|0|41882</t>
  </si>
  <si>
    <t>Currency Exposure v2|Forwards|0|41882</t>
  </si>
  <si>
    <t>Currency Exposure v2|Swaps|0|41882</t>
  </si>
  <si>
    <t>Currency Exposure v2|Back-to-back Loans|0|41882</t>
  </si>
  <si>
    <t>Currency Exposure v2|Options-L|0|41882</t>
  </si>
  <si>
    <t>Currency Exposure v2|Forwards-L|0|41882</t>
  </si>
  <si>
    <t>Currency Exposure v2|Swaps-L|0|41882</t>
  </si>
  <si>
    <t>Currency Exposure v2|Cash|0|41912</t>
  </si>
  <si>
    <t>Currency Exposure v2|Portfolio|0|41912</t>
  </si>
  <si>
    <t>Currency Exposure v2|Other Assets|0|41912</t>
  </si>
  <si>
    <t>Currency Exposure v2|Savings|0|41912</t>
  </si>
  <si>
    <t>Currency Exposure v2|Borrowings|0|41912</t>
  </si>
  <si>
    <t>Currency Exposure v2|Other Liabilities|0|41912</t>
  </si>
  <si>
    <t>Currency Exposure v2|Deposits for Back-to-Back Loans|0|41912</t>
  </si>
  <si>
    <t>Currency Exposure v2|Options|0|41912</t>
  </si>
  <si>
    <t>Currency Exposure v2|Forwards|0|41912</t>
  </si>
  <si>
    <t>Currency Exposure v2|Swaps|0|41912</t>
  </si>
  <si>
    <t>Currency Exposure v2|Back-to-back Loans|0|41912</t>
  </si>
  <si>
    <t>Currency Exposure v2|Options-L|0|41912</t>
  </si>
  <si>
    <t>Currency Exposure v2|Forwards-L|0|41912</t>
  </si>
  <si>
    <t>Currency Exposure v2|Swaps-L|0|41912</t>
  </si>
  <si>
    <t>Currency Exposure v2|Cash|0|41943</t>
  </si>
  <si>
    <t>Currency Exposure v2|Portfolio|0|41943</t>
  </si>
  <si>
    <t>Currency Exposure v2|Other Assets|0|41943</t>
  </si>
  <si>
    <t>Currency Exposure v2|Savings|0|41943</t>
  </si>
  <si>
    <t>Currency Exposure v2|Borrowings|0|41943</t>
  </si>
  <si>
    <t>Currency Exposure v2|Other Liabilities|0|41943</t>
  </si>
  <si>
    <t>Currency Exposure v2|Deposits for Back-to-Back Loans|0|41943</t>
  </si>
  <si>
    <t>Currency Exposure v2|Options|0|41943</t>
  </si>
  <si>
    <t>Currency Exposure v2|Forwards|0|41943</t>
  </si>
  <si>
    <t>Currency Exposure v2|Swaps|0|41943</t>
  </si>
  <si>
    <t>Currency Exposure v2|Back-to-back Loans|0|41943</t>
  </si>
  <si>
    <t>Currency Exposure v2|Options-L|0|41943</t>
  </si>
  <si>
    <t>Currency Exposure v2|Forwards-L|0|41943</t>
  </si>
  <si>
    <t>Currency Exposure v2|Swaps-L|0|41943</t>
  </si>
  <si>
    <t>Currency Exposure v2|Cash|0|41973</t>
  </si>
  <si>
    <t>Currency Exposure v2|Portfolio|0|41973</t>
  </si>
  <si>
    <t>Currency Exposure v2|Other Assets|0|41973</t>
  </si>
  <si>
    <t>Currency Exposure v2|Savings|0|41973</t>
  </si>
  <si>
    <t>Currency Exposure v2|Borrowings|0|41973</t>
  </si>
  <si>
    <t>Currency Exposure v2|Other Liabilities|0|41973</t>
  </si>
  <si>
    <t>Currency Exposure v2|Deposits for Back-to-Back Loans|0|41973</t>
  </si>
  <si>
    <t>Currency Exposure v2|Options|0|41973</t>
  </si>
  <si>
    <t>Currency Exposure v2|Forwards|0|41973</t>
  </si>
  <si>
    <t>Currency Exposure v2|Swaps|0|41973</t>
  </si>
  <si>
    <t>Currency Exposure v2|Back-to-back Loans|0|41973</t>
  </si>
  <si>
    <t>Currency Exposure v2|Options-L|0|41973</t>
  </si>
  <si>
    <t>Currency Exposure v2|Forwards-L|0|41973</t>
  </si>
  <si>
    <t>Currency Exposure v2|Swaps-L|0|41973</t>
  </si>
  <si>
    <t>Currency Exposure v2|Cash|0|42004</t>
  </si>
  <si>
    <t>Currency Exposure v2|Portfolio|0|42004</t>
  </si>
  <si>
    <t>Currency Exposure v2|Other Assets|0|42004</t>
  </si>
  <si>
    <t>Currency Exposure v2|Savings|0|42004</t>
  </si>
  <si>
    <t>Currency Exposure v2|Borrowings|0|42004</t>
  </si>
  <si>
    <t>Currency Exposure v2|Other Liabilities|0|42004</t>
  </si>
  <si>
    <t>Currency Exposure v2|Deposits for Back-to-Back Loans|0|42004</t>
  </si>
  <si>
    <t>Currency Exposure v2|Options|0|42004</t>
  </si>
  <si>
    <t>Currency Exposure v2|Forwards|0|42004</t>
  </si>
  <si>
    <t>Currency Exposure v2|Swaps|0|42004</t>
  </si>
  <si>
    <t>Currency Exposure v2|Back-to-back Loans|0|42004</t>
  </si>
  <si>
    <t>Currency Exposure v2|Options-L|0|42004</t>
  </si>
  <si>
    <t>Currency Exposure v2|Forwards-L|0|42004</t>
  </si>
  <si>
    <t>Currency Exposure v2|Swaps-L|0|42004</t>
  </si>
  <si>
    <t>Income Statement v2|Interest Income from Loans|0|41670</t>
  </si>
  <si>
    <t>Income Statement v2|Income from Fees and Commissions on Loans|0|41670</t>
  </si>
  <si>
    <t>Income Statement v2|Interest Expense on Borrowings (&amp; Bonds)|0|41670</t>
  </si>
  <si>
    <t>Income Statement v2|Interest Expense on Deposits|0|41670</t>
  </si>
  <si>
    <t>Income Statement v2|Loan Loss Provision Expense|0|41670</t>
  </si>
  <si>
    <t>Income Statement v2|Fees from Penalties|0|41670</t>
  </si>
  <si>
    <t>Income Statement v2|Fees and Commissions from Non-Lending Operations|0|41670</t>
  </si>
  <si>
    <t>Income Statement v2|Realized Net Foreign Exchange/Inflation Income (Expense)|0|41670</t>
  </si>
  <si>
    <t>Income Statement v2|Other Financial Income (Expense)|0|41670</t>
  </si>
  <si>
    <t>Income Statement v2|Salaries &amp; Benefits|0|41670</t>
  </si>
  <si>
    <t>Income Statement v2|General &amp; Administrative|0|41670</t>
  </si>
  <si>
    <t>Income Statement v2|Depreciation &amp; Amortization|0|41670</t>
  </si>
  <si>
    <t>Income Statement v2|Non-operating income|0|41670</t>
  </si>
  <si>
    <t>Income Statement v2|Non-operating expenses|0|41670</t>
  </si>
  <si>
    <t>Income Statement v2|Income Tax Expense|0|41670</t>
  </si>
  <si>
    <t>Income Statement v2|Donations|0|41670</t>
  </si>
  <si>
    <t>Income Statement v2|Income (Expense) from Unconsolidated Affiliates|0|41670</t>
  </si>
  <si>
    <t>Income Statement v2|Dividends Received|0|41670</t>
  </si>
  <si>
    <t>Income Statement v2|Minority Interest Expense|0|41670</t>
  </si>
  <si>
    <t>Income Statement v2|Ordinary Shares Outstanding|0|41670</t>
  </si>
  <si>
    <t>Income Statement v2|Fully Diluted Shares Outstanding|0|41670</t>
  </si>
  <si>
    <t>Income Statement v2|Dividends|0|41670</t>
  </si>
  <si>
    <t>Income Statement v2|Unrealized FX Gains/(Losses)|0|41670</t>
  </si>
  <si>
    <t>Income Statement v2|Other|0|41670</t>
  </si>
  <si>
    <t>Income Statement v2|Interest Income from Loans|0|41698</t>
  </si>
  <si>
    <t>Income Statement v2|Income from Fees and Commissions on Loans|0|41698</t>
  </si>
  <si>
    <t>Income Statement v2|Interest Expense on Borrowings (&amp; Bonds)|0|41698</t>
  </si>
  <si>
    <t>Income Statement v2|Interest Expense on Deposits|0|41698</t>
  </si>
  <si>
    <t>Income Statement v2|Loan Loss Provision Expense|0|41698</t>
  </si>
  <si>
    <t>Income Statement v2|Fees from Penalties|0|41698</t>
  </si>
  <si>
    <t>Income Statement v2|Fees and Commissions from Non-Lending Operations|0|41698</t>
  </si>
  <si>
    <t>Income Statement v2|Realized Net Foreign Exchange/Inflation Income (Expense)|0|41698</t>
  </si>
  <si>
    <t>Income Statement v2|Other Financial Income (Expense)|0|41698</t>
  </si>
  <si>
    <t>Income Statement v2|Salaries &amp; Benefits|0|41698</t>
  </si>
  <si>
    <t>Income Statement v2|General &amp; Administrative|0|41698</t>
  </si>
  <si>
    <t>Income Statement v2|Depreciation &amp; Amortization|0|41698</t>
  </si>
  <si>
    <t>Income Statement v2|Non-operating income|0|41698</t>
  </si>
  <si>
    <t>Income Statement v2|Non-operating expenses|0|41698</t>
  </si>
  <si>
    <t>Income Statement v2|Income Tax Expense|0|41698</t>
  </si>
  <si>
    <t>Income Statement v2|Donations|0|41698</t>
  </si>
  <si>
    <t>Income Statement v2|Income (Expense) from Unconsolidated Affiliates|0|41698</t>
  </si>
  <si>
    <t>Income Statement v2|Dividends Received|0|41698</t>
  </si>
  <si>
    <t>Income Statement v2|Minority Interest Expense|0|41698</t>
  </si>
  <si>
    <t>Income Statement v2|Ordinary Shares Outstanding|0|41698</t>
  </si>
  <si>
    <t>Income Statement v2|Fully Diluted Shares Outstanding|0|41698</t>
  </si>
  <si>
    <t>Income Statement v2|Dividends|0|41698</t>
  </si>
  <si>
    <t>Income Statement v2|Unrealized FX Gains/(Losses)|0|41698</t>
  </si>
  <si>
    <t>Income Statement v2|Other|0|41698</t>
  </si>
  <si>
    <t>Income Statement v2|Interest Income from Loans|0|41729</t>
  </si>
  <si>
    <t>Income Statement v2|Income from Fees and Commissions on Loans|0|41729</t>
  </si>
  <si>
    <t>Income Statement v2|Interest Expense on Borrowings (&amp; Bonds)|0|41729</t>
  </si>
  <si>
    <t>Income Statement v2|Interest Expense on Deposits|0|41729</t>
  </si>
  <si>
    <t>Income Statement v2|Loan Loss Provision Expense|0|41729</t>
  </si>
  <si>
    <t>Income Statement v2|Fees from Penalties|0|41729</t>
  </si>
  <si>
    <t>Income Statement v2|Fees and Commissions from Non-Lending Operations|0|41729</t>
  </si>
  <si>
    <t>Income Statement v2|Realized Net Foreign Exchange/Inflation Income (Expense)|0|41729</t>
  </si>
  <si>
    <t>Income Statement v2|Other Financial Income (Expense)|0|41729</t>
  </si>
  <si>
    <t>Income Statement v2|Salaries &amp; Benefits|0|41729</t>
  </si>
  <si>
    <t>Income Statement v2|General &amp; Administrative|0|41729</t>
  </si>
  <si>
    <t>Income Statement v2|Depreciation &amp; Amortization|0|41729</t>
  </si>
  <si>
    <t>Income Statement v2|Non-operating income|0|41729</t>
  </si>
  <si>
    <t>Income Statement v2|Non-operating expenses|0|41729</t>
  </si>
  <si>
    <t>Income Statement v2|Income Tax Expense|0|41729</t>
  </si>
  <si>
    <t>Income Statement v2|Donations|0|41729</t>
  </si>
  <si>
    <t>Income Statement v2|Income (Expense) from Unconsolidated Affiliates|0|41729</t>
  </si>
  <si>
    <t>Income Statement v2|Dividends Received|0|41729</t>
  </si>
  <si>
    <t>Income Statement v2|Minority Interest Expense|0|41729</t>
  </si>
  <si>
    <t>Income Statement v2|Ordinary Shares Outstanding|0|41729</t>
  </si>
  <si>
    <t>Income Statement v2|Fully Diluted Shares Outstanding|0|41729</t>
  </si>
  <si>
    <t>Income Statement v2|Dividends|0|41729</t>
  </si>
  <si>
    <t>Income Statement v2|Unrealized FX Gains/(Losses)|0|41729</t>
  </si>
  <si>
    <t>Income Statement v2|Other|0|41729</t>
  </si>
  <si>
    <t>Income Statement v2|Interest Income from Loans|0|41759</t>
  </si>
  <si>
    <t>Income Statement v2|Income from Fees and Commissions on Loans|0|41759</t>
  </si>
  <si>
    <t>Income Statement v2|Interest Expense on Borrowings (&amp; Bonds)|0|41759</t>
  </si>
  <si>
    <t>Income Statement v2|Interest Expense on Deposits|0|41759</t>
  </si>
  <si>
    <t>Income Statement v2|Loan Loss Provision Expense|0|41759</t>
  </si>
  <si>
    <t>Income Statement v2|Fees from Penalties|0|41759</t>
  </si>
  <si>
    <t>Income Statement v2|Fees and Commissions from Non-Lending Operations|0|41759</t>
  </si>
  <si>
    <t>Income Statement v2|Realized Net Foreign Exchange/Inflation Income (Expense)|0|41759</t>
  </si>
  <si>
    <t>Income Statement v2|Other Financial Income (Expense)|0|41759</t>
  </si>
  <si>
    <t>Income Statement v2|Salaries &amp; Benefits|0|41759</t>
  </si>
  <si>
    <t>Income Statement v2|General &amp; Administrative|0|41759</t>
  </si>
  <si>
    <t>Income Statement v2|Depreciation &amp; Amortization|0|41759</t>
  </si>
  <si>
    <t>Income Statement v2|Non-operating income|0|41759</t>
  </si>
  <si>
    <t>Income Statement v2|Non-operating expenses|0|41759</t>
  </si>
  <si>
    <t>Income Statement v2|Income Tax Expense|0|41759</t>
  </si>
  <si>
    <t>Income Statement v2|Donations|0|41759</t>
  </si>
  <si>
    <t>Income Statement v2|Income (Expense) from Unconsolidated Affiliates|0|41759</t>
  </si>
  <si>
    <t>Income Statement v2|Dividends Received|0|41759</t>
  </si>
  <si>
    <t>Income Statement v2|Minority Interest Expense|0|41759</t>
  </si>
  <si>
    <t>Income Statement v2|Ordinary Shares Outstanding|0|41759</t>
  </si>
  <si>
    <t>Income Statement v2|Fully Diluted Shares Outstanding|0|41759</t>
  </si>
  <si>
    <t>Income Statement v2|Dividends|0|41759</t>
  </si>
  <si>
    <t>Income Statement v2|Unrealized FX Gains/(Losses)|0|41759</t>
  </si>
  <si>
    <t>Income Statement v2|Other|0|41759</t>
  </si>
  <si>
    <t>Income Statement v2|Interest Income from Loans|0|41790</t>
  </si>
  <si>
    <t>Income Statement v2|Income from Fees and Commissions on Loans|0|41790</t>
  </si>
  <si>
    <t>Income Statement v2|Interest Expense on Borrowings (&amp; Bonds)|0|41790</t>
  </si>
  <si>
    <t>Income Statement v2|Interest Expense on Deposits|0|41790</t>
  </si>
  <si>
    <t>Income Statement v2|Loan Loss Provision Expense|0|41790</t>
  </si>
  <si>
    <t>Income Statement v2|Fees from Penalties|0|41790</t>
  </si>
  <si>
    <t>Income Statement v2|Fees and Commissions from Non-Lending Operations|0|41790</t>
  </si>
  <si>
    <t>Income Statement v2|Realized Net Foreign Exchange/Inflation Income (Expense)|0|41790</t>
  </si>
  <si>
    <t>Income Statement v2|Other Financial Income (Expense)|0|41790</t>
  </si>
  <si>
    <t>Income Statement v2|Salaries &amp; Benefits|0|41790</t>
  </si>
  <si>
    <t>Income Statement v2|General &amp; Administrative|0|41790</t>
  </si>
  <si>
    <t>Income Statement v2|Depreciation &amp; Amortization|0|41790</t>
  </si>
  <si>
    <t>Income Statement v2|Non-operating income|0|41790</t>
  </si>
  <si>
    <t>Income Statement v2|Non-operating expenses|0|41790</t>
  </si>
  <si>
    <t>Income Statement v2|Income Tax Expense|0|41790</t>
  </si>
  <si>
    <t>Income Statement v2|Donations|0|41790</t>
  </si>
  <si>
    <t>Income Statement v2|Income (Expense) from Unconsolidated Affiliates|0|41790</t>
  </si>
  <si>
    <t>Income Statement v2|Dividends Received|0|41790</t>
  </si>
  <si>
    <t>Income Statement v2|Minority Interest Expense|0|41790</t>
  </si>
  <si>
    <t>Income Statement v2|Ordinary Shares Outstanding|0|41790</t>
  </si>
  <si>
    <t>Income Statement v2|Fully Diluted Shares Outstanding|0|41790</t>
  </si>
  <si>
    <t>Income Statement v2|Dividends|0|41790</t>
  </si>
  <si>
    <t>Income Statement v2|Unrealized FX Gains/(Losses)|0|41790</t>
  </si>
  <si>
    <t>Income Statement v2|Other|0|41790</t>
  </si>
  <si>
    <t>Income Statement v2|Interest Income from Loans|0|41820</t>
  </si>
  <si>
    <t>Income Statement v2|Income from Fees and Commissions on Loans|0|41820</t>
  </si>
  <si>
    <t>Income Statement v2|Interest Expense on Borrowings (&amp; Bonds)|0|41820</t>
  </si>
  <si>
    <t>Income Statement v2|Interest Expense on Deposits|0|41820</t>
  </si>
  <si>
    <t>Income Statement v2|Loan Loss Provision Expense|0|41820</t>
  </si>
  <si>
    <t>Income Statement v2|Fees from Penalties|0|41820</t>
  </si>
  <si>
    <t>Income Statement v2|Fees and Commissions from Non-Lending Operations|0|41820</t>
  </si>
  <si>
    <t>Income Statement v2|Realized Net Foreign Exchange/Inflation Income (Expense)|0|41820</t>
  </si>
  <si>
    <t>Income Statement v2|Other Financial Income (Expense)|0|41820</t>
  </si>
  <si>
    <t>Income Statement v2|Salaries &amp; Benefits|0|41820</t>
  </si>
  <si>
    <t>Income Statement v2|General &amp; Administrative|0|41820</t>
  </si>
  <si>
    <t>Income Statement v2|Depreciation &amp; Amortization|0|41820</t>
  </si>
  <si>
    <t>Income Statement v2|Non-operating income|0|41820</t>
  </si>
  <si>
    <t>Income Statement v2|Non-operating expenses|0|41820</t>
  </si>
  <si>
    <t>Income Statement v2|Income Tax Expense|0|41820</t>
  </si>
  <si>
    <t>Income Statement v2|Donations|0|41820</t>
  </si>
  <si>
    <t>Income Statement v2|Income (Expense) from Unconsolidated Affiliates|0|41820</t>
  </si>
  <si>
    <t>Income Statement v2|Dividends Received|0|41820</t>
  </si>
  <si>
    <t>Income Statement v2|Minority Interest Expense|0|41820</t>
  </si>
  <si>
    <t>Income Statement v2|Ordinary Shares Outstanding|0|41820</t>
  </si>
  <si>
    <t>Income Statement v2|Fully Diluted Shares Outstanding|0|41820</t>
  </si>
  <si>
    <t>Income Statement v2|Dividends|0|41820</t>
  </si>
  <si>
    <t>Income Statement v2|Unrealized FX Gains/(Losses)|0|41820</t>
  </si>
  <si>
    <t>Income Statement v2|Other|0|41820</t>
  </si>
  <si>
    <t>Income Statement v2|Interest Income from Loans|0|41851</t>
  </si>
  <si>
    <t>Income Statement v2|Income from Fees and Commissions on Loans|0|41851</t>
  </si>
  <si>
    <t>Income Statement v2|Interest Expense on Borrowings (&amp; Bonds)|0|41851</t>
  </si>
  <si>
    <t>Income Statement v2|Interest Expense on Deposits|0|41851</t>
  </si>
  <si>
    <t>Income Statement v2|Loan Loss Provision Expense|0|41851</t>
  </si>
  <si>
    <t>Income Statement v2|Fees from Penalties|0|41851</t>
  </si>
  <si>
    <t>Income Statement v2|Fees and Commissions from Non-Lending Operations|0|41851</t>
  </si>
  <si>
    <t>Income Statement v2|Realized Net Foreign Exchange/Inflation Income (Expense)|0|41851</t>
  </si>
  <si>
    <t>Income Statement v2|Other Financial Income (Expense)|0|41851</t>
  </si>
  <si>
    <t>Income Statement v2|Salaries &amp; Benefits|0|41851</t>
  </si>
  <si>
    <t>Income Statement v2|General &amp; Administrative|0|41851</t>
  </si>
  <si>
    <t>Income Statement v2|Depreciation &amp; Amortization|0|41851</t>
  </si>
  <si>
    <t>Income Statement v2|Non-operating income|0|41851</t>
  </si>
  <si>
    <t>Income Statement v2|Non-operating expenses|0|41851</t>
  </si>
  <si>
    <t>Income Statement v2|Income Tax Expense|0|41851</t>
  </si>
  <si>
    <t>Income Statement v2|Donations|0|41851</t>
  </si>
  <si>
    <t>Income Statement v2|Income (Expense) from Unconsolidated Affiliates|0|41851</t>
  </si>
  <si>
    <t>Income Statement v2|Dividends Received|0|41851</t>
  </si>
  <si>
    <t>Income Statement v2|Minority Interest Expense|0|41851</t>
  </si>
  <si>
    <t>Income Statement v2|Ordinary Shares Outstanding|0|41851</t>
  </si>
  <si>
    <t>Income Statement v2|Fully Diluted Shares Outstanding|0|41851</t>
  </si>
  <si>
    <t>Income Statement v2|Dividends|0|41851</t>
  </si>
  <si>
    <t>Income Statement v2|Unrealized FX Gains/(Losses)|0|41851</t>
  </si>
  <si>
    <t>Income Statement v2|Other|0|41851</t>
  </si>
  <si>
    <t>Income Statement v2|Interest Income from Loans|0|41882</t>
  </si>
  <si>
    <t>Income Statement v2|Income from Fees and Commissions on Loans|0|41882</t>
  </si>
  <si>
    <t>Income Statement v2|Interest Expense on Borrowings (&amp; Bonds)|0|41882</t>
  </si>
  <si>
    <t>Income Statement v2|Interest Expense on Deposits|0|41882</t>
  </si>
  <si>
    <t>Income Statement v2|Loan Loss Provision Expense|0|41882</t>
  </si>
  <si>
    <t>Income Statement v2|Fees from Penalties|0|41882</t>
  </si>
  <si>
    <t>Income Statement v2|Fees and Commissions from Non-Lending Operations|0|41882</t>
  </si>
  <si>
    <t>Income Statement v2|Realized Net Foreign Exchange/Inflation Income (Expense)|0|41882</t>
  </si>
  <si>
    <t>Income Statement v2|Other Financial Income (Expense)|0|41882</t>
  </si>
  <si>
    <t>Income Statement v2|Salaries &amp; Benefits|0|41882</t>
  </si>
  <si>
    <t>Income Statement v2|General &amp; Administrative|0|41882</t>
  </si>
  <si>
    <t>Income Statement v2|Depreciation &amp; Amortization|0|41882</t>
  </si>
  <si>
    <t>Income Statement v2|Non-operating income|0|41882</t>
  </si>
  <si>
    <t>Income Statement v2|Non-operating expenses|0|41882</t>
  </si>
  <si>
    <t>Income Statement v2|Income Tax Expense|0|41882</t>
  </si>
  <si>
    <t>Income Statement v2|Donations|0|41882</t>
  </si>
  <si>
    <t>Income Statement v2|Income (Expense) from Unconsolidated Affiliates|0|41882</t>
  </si>
  <si>
    <t>Income Statement v2|Dividends Received|0|41882</t>
  </si>
  <si>
    <t>Income Statement v2|Minority Interest Expense|0|41882</t>
  </si>
  <si>
    <t>Income Statement v2|Ordinary Shares Outstanding|0|41882</t>
  </si>
  <si>
    <t>Income Statement v2|Fully Diluted Shares Outstanding|0|41882</t>
  </si>
  <si>
    <t>Income Statement v2|Dividends|0|41882</t>
  </si>
  <si>
    <t>Income Statement v2|Unrealized FX Gains/(Losses)|0|41882</t>
  </si>
  <si>
    <t>Income Statement v2|Other|0|41882</t>
  </si>
  <si>
    <t>Income Statement v2|Interest Income from Loans|0|41912</t>
  </si>
  <si>
    <t>Income Statement v2|Income from Fees and Commissions on Loans|0|41912</t>
  </si>
  <si>
    <t>Income Statement v2|Interest Expense on Borrowings (&amp; Bonds)|0|41912</t>
  </si>
  <si>
    <t>Income Statement v2|Interest Expense on Deposits|0|41912</t>
  </si>
  <si>
    <t>Income Statement v2|Loan Loss Provision Expense|0|41912</t>
  </si>
  <si>
    <t>Income Statement v2|Fees from Penalties|0|41912</t>
  </si>
  <si>
    <t>Income Statement v2|Fees and Commissions from Non-Lending Operations|0|41912</t>
  </si>
  <si>
    <t>Income Statement v2|Realized Net Foreign Exchange/Inflation Income (Expense)|0|41912</t>
  </si>
  <si>
    <t>Income Statement v2|Other Financial Income (Expense)|0|41912</t>
  </si>
  <si>
    <t>Income Statement v2|Salaries &amp; Benefits|0|41912</t>
  </si>
  <si>
    <t>Income Statement v2|General &amp; Administrative|0|41912</t>
  </si>
  <si>
    <t>Income Statement v2|Depreciation &amp; Amortization|0|41912</t>
  </si>
  <si>
    <t>Income Statement v2|Non-operating income|0|41912</t>
  </si>
  <si>
    <t>Income Statement v2|Non-operating expenses|0|41912</t>
  </si>
  <si>
    <t>Income Statement v2|Income Tax Expense|0|41912</t>
  </si>
  <si>
    <t>Income Statement v2|Donations|0|41912</t>
  </si>
  <si>
    <t>Income Statement v2|Income (Expense) from Unconsolidated Affiliates|0|41912</t>
  </si>
  <si>
    <t>Income Statement v2|Dividends Received|0|41912</t>
  </si>
  <si>
    <t>Income Statement v2|Minority Interest Expense|0|41912</t>
  </si>
  <si>
    <t>Income Statement v2|Ordinary Shares Outstanding|0|41912</t>
  </si>
  <si>
    <t>Income Statement v2|Fully Diluted Shares Outstanding|0|41912</t>
  </si>
  <si>
    <t>Income Statement v2|Dividends|0|41912</t>
  </si>
  <si>
    <t>Income Statement v2|Unrealized FX Gains/(Losses)|0|41912</t>
  </si>
  <si>
    <t>Income Statement v2|Other|0|41912</t>
  </si>
  <si>
    <t>Income Statement v2|Interest Income from Loans|0|41943</t>
  </si>
  <si>
    <t>Income Statement v2|Income from Fees and Commissions on Loans|0|41943</t>
  </si>
  <si>
    <t>Income Statement v2|Interest Expense on Borrowings (&amp; Bonds)|0|41943</t>
  </si>
  <si>
    <t>Income Statement v2|Interest Expense on Deposits|0|41943</t>
  </si>
  <si>
    <t>Income Statement v2|Loan Loss Provision Expense|0|41943</t>
  </si>
  <si>
    <t>Income Statement v2|Fees from Penalties|0|41943</t>
  </si>
  <si>
    <t>Income Statement v2|Fees and Commissions from Non-Lending Operations|0|41943</t>
  </si>
  <si>
    <t>Income Statement v2|Realized Net Foreign Exchange/Inflation Income (Expense)|0|41943</t>
  </si>
  <si>
    <t>Income Statement v2|Other Financial Income (Expense)|0|41943</t>
  </si>
  <si>
    <t>Income Statement v2|Salaries &amp; Benefits|0|41943</t>
  </si>
  <si>
    <t>Income Statement v2|General &amp; Administrative|0|41943</t>
  </si>
  <si>
    <t>Income Statement v2|Depreciation &amp; Amortization|0|41943</t>
  </si>
  <si>
    <t>Income Statement v2|Non-operating income|0|41943</t>
  </si>
  <si>
    <t>Income Statement v2|Non-operating expenses|0|41943</t>
  </si>
  <si>
    <t>Income Statement v2|Income Tax Expense|0|41943</t>
  </si>
  <si>
    <t>Income Statement v2|Donations|0|41943</t>
  </si>
  <si>
    <t>Income Statement v2|Income (Expense) from Unconsolidated Affiliates|0|41943</t>
  </si>
  <si>
    <t>Income Statement v2|Dividends Received|0|41943</t>
  </si>
  <si>
    <t>Income Statement v2|Minority Interest Expense|0|41943</t>
  </si>
  <si>
    <t>Income Statement v2|Ordinary Shares Outstanding|0|41943</t>
  </si>
  <si>
    <t>Income Statement v2|Fully Diluted Shares Outstanding|0|41943</t>
  </si>
  <si>
    <t>Income Statement v2|Dividends|0|41943</t>
  </si>
  <si>
    <t>Income Statement v2|Unrealized FX Gains/(Losses)|0|41943</t>
  </si>
  <si>
    <t>Income Statement v2|Other|0|41943</t>
  </si>
  <si>
    <t>Income Statement v2|Interest Income from Loans|0|41973</t>
  </si>
  <si>
    <t>Income Statement v2|Income from Fees and Commissions on Loans|0|41973</t>
  </si>
  <si>
    <t>Income Statement v2|Interest Expense on Borrowings (&amp; Bonds)|0|41973</t>
  </si>
  <si>
    <t>Income Statement v2|Interest Expense on Deposits|0|41973</t>
  </si>
  <si>
    <t>Income Statement v2|Loan Loss Provision Expense|0|41973</t>
  </si>
  <si>
    <t>Income Statement v2|Fees from Penalties|0|41973</t>
  </si>
  <si>
    <t>Income Statement v2|Fees and Commissions from Non-Lending Operations|0|41973</t>
  </si>
  <si>
    <t>Income Statement v2|Realized Net Foreign Exchange/Inflation Income (Expense)|0|41973</t>
  </si>
  <si>
    <t>Income Statement v2|Other Financial Income (Expense)|0|41973</t>
  </si>
  <si>
    <t>Income Statement v2|Salaries &amp; Benefits|0|41973</t>
  </si>
  <si>
    <t>Income Statement v2|General &amp; Administrative|0|41973</t>
  </si>
  <si>
    <t>Income Statement v2|Depreciation &amp; Amortization|0|41973</t>
  </si>
  <si>
    <t>Income Statement v2|Non-operating income|0|41973</t>
  </si>
  <si>
    <t>Income Statement v2|Non-operating expenses|0|41973</t>
  </si>
  <si>
    <t>Income Statement v2|Income Tax Expense|0|41973</t>
  </si>
  <si>
    <t>Income Statement v2|Donations|0|41973</t>
  </si>
  <si>
    <t>Income Statement v2|Income (Expense) from Unconsolidated Affiliates|0|41973</t>
  </si>
  <si>
    <t>Income Statement v2|Dividends Received|0|41973</t>
  </si>
  <si>
    <t>Income Statement v2|Minority Interest Expense|0|41973</t>
  </si>
  <si>
    <t>Income Statement v2|Ordinary Shares Outstanding|0|41973</t>
  </si>
  <si>
    <t>Income Statement v2|Fully Diluted Shares Outstanding|0|41973</t>
  </si>
  <si>
    <t>Income Statement v2|Dividends|0|41973</t>
  </si>
  <si>
    <t>Income Statement v2|Unrealized FX Gains/(Losses)|0|41973</t>
  </si>
  <si>
    <t>Income Statement v2|Other|0|41973</t>
  </si>
  <si>
    <t>Income Statement v2|Interest Income from Loans|0|42004</t>
  </si>
  <si>
    <t>Income Statement v2|Income from Fees and Commissions on Loans|0|42004</t>
  </si>
  <si>
    <t>Income Statement v2|Interest Expense on Borrowings (&amp; Bonds)|0|42004</t>
  </si>
  <si>
    <t>Income Statement v2|Interest Expense on Deposits|0|42004</t>
  </si>
  <si>
    <t>Income Statement v2|Loan Loss Provision Expense|0|42004</t>
  </si>
  <si>
    <t>Income Statement v2|Fees from Penalties|0|42004</t>
  </si>
  <si>
    <t>Income Statement v2|Fees and Commissions from Non-Lending Operations|0|42004</t>
  </si>
  <si>
    <t>Income Statement v2|Realized Net Foreign Exchange/Inflation Income (Expense)|0|42004</t>
  </si>
  <si>
    <t>Income Statement v2|Other Financial Income (Expense)|0|42004</t>
  </si>
  <si>
    <t>Income Statement v2|Salaries &amp; Benefits|0|42004</t>
  </si>
  <si>
    <t>Income Statement v2|General &amp; Administrative|0|42004</t>
  </si>
  <si>
    <t>Income Statement v2|Depreciation &amp; Amortization|0|42004</t>
  </si>
  <si>
    <t>Income Statement v2|Non-operating income|0|42004</t>
  </si>
  <si>
    <t>Income Statement v2|Non-operating expenses|0|42004</t>
  </si>
  <si>
    <t>Income Statement v2|Income Tax Expense|0|42004</t>
  </si>
  <si>
    <t>Income Statement v2|Donations|0|42004</t>
  </si>
  <si>
    <t>Income Statement v2|Income (Expense) from Unconsolidated Affiliates|0|42004</t>
  </si>
  <si>
    <t>Income Statement v2|Dividends Received|0|42004</t>
  </si>
  <si>
    <t>Income Statement v2|Minority Interest Expense|0|42004</t>
  </si>
  <si>
    <t>Income Statement v2|Ordinary Shares Outstanding|0|42004</t>
  </si>
  <si>
    <t>Income Statement v2|Fully Diluted Shares Outstanding|0|42004</t>
  </si>
  <si>
    <t>Income Statement v2|Dividends|0|42004</t>
  </si>
  <si>
    <t>Income Statement v2|Unrealized FX Gains/(Losses)|0|42004</t>
  </si>
  <si>
    <t>Income Statement v2|Other|0|42004</t>
  </si>
  <si>
    <t>Portfolio Quality v2|Current Portfolio|0|41670</t>
  </si>
  <si>
    <t>Portfolio Quality v2|PAR (1-30 days)|0|41670</t>
  </si>
  <si>
    <t>Portfolio Quality v2|PAR (30-60 days)|0|41670</t>
  </si>
  <si>
    <t>Portfolio Quality v2|PAR (60-90 days)|0|41670</t>
  </si>
  <si>
    <t>Portfolio Quality v2|PAR (90-120 days)|0|41670</t>
  </si>
  <si>
    <t>Portfolio Quality v2|PAR (120-180 days)|0|41670</t>
  </si>
  <si>
    <t>Portfolio Quality v2|PAR (180 - 360 days)|0|41670</t>
  </si>
  <si>
    <t>Portfolio Quality v2|PAR (&gt;360 days)|0|41670</t>
  </si>
  <si>
    <t>Portfolio Quality v2|Current R+R Loans|0|41670</t>
  </si>
  <si>
    <t>Portfolio Quality v2|PAR (1-30 days) (R+R)|0|41670</t>
  </si>
  <si>
    <t>Portfolio Quality v2|PAR (&gt;30 days)|0|41670</t>
  </si>
  <si>
    <t>Portfolio Quality v2|-Gross Write-Offs**|0|41670</t>
  </si>
  <si>
    <t>Portfolio Quality v2|-Recoveries**|0|41670</t>
  </si>
  <si>
    <t>Portfolio Quality v2|+/-Other|0|41670</t>
  </si>
  <si>
    <t>Portfolio Quality v2|Current Portfolio|0|41698</t>
  </si>
  <si>
    <t>Portfolio Quality v2|PAR (1-30 days)|0|41698</t>
  </si>
  <si>
    <t>Portfolio Quality v2|PAR (30-60 days)|0|41698</t>
  </si>
  <si>
    <t>Portfolio Quality v2|PAR (60-90 days)|0|41698</t>
  </si>
  <si>
    <t>Portfolio Quality v2|PAR (90-120 days)|0|41698</t>
  </si>
  <si>
    <t>Portfolio Quality v2|PAR (120-180 days)|0|41698</t>
  </si>
  <si>
    <t>Portfolio Quality v2|PAR (180 - 360 days)|0|41698</t>
  </si>
  <si>
    <t>Portfolio Quality v2|PAR (&gt;360 days)|0|41698</t>
  </si>
  <si>
    <t>Portfolio Quality v2|Current R+R Loans|0|41698</t>
  </si>
  <si>
    <t>Portfolio Quality v2|PAR (1-30 days) (R+R)|0|41698</t>
  </si>
  <si>
    <t>Portfolio Quality v2|PAR (&gt;30 days)|0|41698</t>
  </si>
  <si>
    <t>Portfolio Quality v2|-Gross Write-Offs**|0|41698</t>
  </si>
  <si>
    <t>Portfolio Quality v2|-Recoveries**|0|41698</t>
  </si>
  <si>
    <t>Portfolio Quality v2|+/-Other|0|41698</t>
  </si>
  <si>
    <t>Portfolio Quality v2|Current Portfolio|0|41729</t>
  </si>
  <si>
    <t>Portfolio Quality v2|PAR (1-30 days)|0|41729</t>
  </si>
  <si>
    <t>Portfolio Quality v2|PAR (30-60 days)|0|41729</t>
  </si>
  <si>
    <t>Portfolio Quality v2|PAR (60-90 days)|0|41729</t>
  </si>
  <si>
    <t>Portfolio Quality v2|PAR (90-120 days)|0|41729</t>
  </si>
  <si>
    <t>Portfolio Quality v2|PAR (120-180 days)|0|41729</t>
  </si>
  <si>
    <t>Portfolio Quality v2|PAR (180 - 360 days)|0|41729</t>
  </si>
  <si>
    <t>Portfolio Quality v2|PAR (&gt;360 days)|0|41729</t>
  </si>
  <si>
    <t>Portfolio Quality v2|Current R+R Loans|0|41729</t>
  </si>
  <si>
    <t>Portfolio Quality v2|PAR (1-30 days) (R+R)|0|41729</t>
  </si>
  <si>
    <t>Portfolio Quality v2|PAR (&gt;30 days)|0|41729</t>
  </si>
  <si>
    <t>Portfolio Quality v2|-Gross Write-Offs**|0|41729</t>
  </si>
  <si>
    <t>Portfolio Quality v2|-Recoveries**|0|41729</t>
  </si>
  <si>
    <t>Portfolio Quality v2|+/-Other|0|41729</t>
  </si>
  <si>
    <t>Portfolio Quality v2|Current Portfolio|0|41759</t>
  </si>
  <si>
    <t>Portfolio Quality v2|PAR (1-30 days)|0|41759</t>
  </si>
  <si>
    <t>Portfolio Quality v2|PAR (30-60 days)|0|41759</t>
  </si>
  <si>
    <t>Portfolio Quality v2|PAR (60-90 days)|0|41759</t>
  </si>
  <si>
    <t>Portfolio Quality v2|PAR (90-120 days)|0|41759</t>
  </si>
  <si>
    <t>Portfolio Quality v2|PAR (120-180 days)|0|41759</t>
  </si>
  <si>
    <t>Portfolio Quality v2|PAR (180 - 360 days)|0|41759</t>
  </si>
  <si>
    <t>Portfolio Quality v2|PAR (&gt;360 days)|0|41759</t>
  </si>
  <si>
    <t>Portfolio Quality v2|Current R+R Loans|0|41759</t>
  </si>
  <si>
    <t>Portfolio Quality v2|PAR (1-30 days) (R+R)|0|41759</t>
  </si>
  <si>
    <t>Portfolio Quality v2|PAR (&gt;30 days)|0|41759</t>
  </si>
  <si>
    <t>Portfolio Quality v2|-Gross Write-Offs**|0|41759</t>
  </si>
  <si>
    <t>Portfolio Quality v2|-Recoveries**|0|41759</t>
  </si>
  <si>
    <t>Portfolio Quality v2|+/-Other|0|41759</t>
  </si>
  <si>
    <t>Portfolio Quality v2|Current Portfolio|0|41790</t>
  </si>
  <si>
    <t>Portfolio Quality v2|PAR (1-30 days)|0|41790</t>
  </si>
  <si>
    <t>Portfolio Quality v2|PAR (30-60 days)|0|41790</t>
  </si>
  <si>
    <t>Portfolio Quality v2|PAR (60-90 days)|0|41790</t>
  </si>
  <si>
    <t>Portfolio Quality v2|PAR (90-120 days)|0|41790</t>
  </si>
  <si>
    <t>Portfolio Quality v2|PAR (120-180 days)|0|41790</t>
  </si>
  <si>
    <t>Portfolio Quality v2|PAR (180 - 360 days)|0|41790</t>
  </si>
  <si>
    <t>Portfolio Quality v2|PAR (&gt;360 days)|0|41790</t>
  </si>
  <si>
    <t>Portfolio Quality v2|Current R+R Loans|0|41790</t>
  </si>
  <si>
    <t>Portfolio Quality v2|PAR (1-30 days) (R+R)|0|41790</t>
  </si>
  <si>
    <t>Portfolio Quality v2|PAR (&gt;30 days)|0|41790</t>
  </si>
  <si>
    <t>Portfolio Quality v2|-Gross Write-Offs**|0|41790</t>
  </si>
  <si>
    <t>Portfolio Quality v2|-Recoveries**|0|41790</t>
  </si>
  <si>
    <t>Portfolio Quality v2|+/-Other|0|41790</t>
  </si>
  <si>
    <t>Portfolio Quality v2|Current Portfolio|0|41820</t>
  </si>
  <si>
    <t>Portfolio Quality v2|PAR (1-30 days)|0|41820</t>
  </si>
  <si>
    <t>Portfolio Quality v2|PAR (30-60 days)|0|41820</t>
  </si>
  <si>
    <t>Portfolio Quality v2|PAR (60-90 days)|0|41820</t>
  </si>
  <si>
    <t>Portfolio Quality v2|PAR (90-120 days)|0|41820</t>
  </si>
  <si>
    <t>Portfolio Quality v2|PAR (120-180 days)|0|41820</t>
  </si>
  <si>
    <t>Portfolio Quality v2|PAR (180 - 360 days)|0|41820</t>
  </si>
  <si>
    <t>Portfolio Quality v2|PAR (&gt;360 days)|0|41820</t>
  </si>
  <si>
    <t>Portfolio Quality v2|Current R+R Loans|0|41820</t>
  </si>
  <si>
    <t>Portfolio Quality v2|PAR (1-30 days) (R+R)|0|41820</t>
  </si>
  <si>
    <t>Portfolio Quality v2|PAR (&gt;30 days)|0|41820</t>
  </si>
  <si>
    <t>Portfolio Quality v2|-Gross Write-Offs**|0|41820</t>
  </si>
  <si>
    <t>Portfolio Quality v2|-Recoveries**|0|41820</t>
  </si>
  <si>
    <t>Portfolio Quality v2|+/-Other|0|41820</t>
  </si>
  <si>
    <t>Portfolio Quality v2|Current Portfolio|0|41851</t>
  </si>
  <si>
    <t>Portfolio Quality v2|PAR (1-30 days)|0|41851</t>
  </si>
  <si>
    <t>Portfolio Quality v2|PAR (30-60 days)|0|41851</t>
  </si>
  <si>
    <t>Portfolio Quality v2|PAR (60-90 days)|0|41851</t>
  </si>
  <si>
    <t>Portfolio Quality v2|PAR (90-120 days)|0|41851</t>
  </si>
  <si>
    <t>Portfolio Quality v2|PAR (120-180 days)|0|41851</t>
  </si>
  <si>
    <t>Portfolio Quality v2|PAR (180 - 360 days)|0|41851</t>
  </si>
  <si>
    <t>Portfolio Quality v2|PAR (&gt;360 days)|0|41851</t>
  </si>
  <si>
    <t>Portfolio Quality v2|Current R+R Loans|0|41851</t>
  </si>
  <si>
    <t>Portfolio Quality v2|PAR (1-30 days) (R+R)|0|41851</t>
  </si>
  <si>
    <t>Portfolio Quality v2|PAR (&gt;30 days)|0|41851</t>
  </si>
  <si>
    <t>Portfolio Quality v2|-Gross Write-Offs**|0|41851</t>
  </si>
  <si>
    <t>Portfolio Quality v2|-Recoveries**|0|41851</t>
  </si>
  <si>
    <t>Portfolio Quality v2|+/-Other|0|41851</t>
  </si>
  <si>
    <t>Portfolio Quality v2|Current Portfolio|0|41882</t>
  </si>
  <si>
    <t>Portfolio Quality v2|PAR (1-30 days)|0|41882</t>
  </si>
  <si>
    <t>Portfolio Quality v2|PAR (30-60 days)|0|41882</t>
  </si>
  <si>
    <t>Portfolio Quality v2|PAR (60-90 days)|0|41882</t>
  </si>
  <si>
    <t>Portfolio Quality v2|PAR (90-120 days)|0|41882</t>
  </si>
  <si>
    <t>Portfolio Quality v2|PAR (120-180 days)|0|41882</t>
  </si>
  <si>
    <t>Portfolio Quality v2|PAR (180 - 360 days)|0|41882</t>
  </si>
  <si>
    <t>Portfolio Quality v2|PAR (&gt;360 days)|0|41882</t>
  </si>
  <si>
    <t>Portfolio Quality v2|Current R+R Loans|0|41882</t>
  </si>
  <si>
    <t>Portfolio Quality v2|PAR (1-30 days) (R+R)|0|41882</t>
  </si>
  <si>
    <t>Portfolio Quality v2|PAR (&gt;30 days)|0|41882</t>
  </si>
  <si>
    <t>Portfolio Quality v2|-Gross Write-Offs**|0|41882</t>
  </si>
  <si>
    <t>Portfolio Quality v2|-Recoveries**|0|41882</t>
  </si>
  <si>
    <t>Portfolio Quality v2|+/-Other|0|41882</t>
  </si>
  <si>
    <t>Portfolio Quality v2|Current Portfolio|0|41912</t>
  </si>
  <si>
    <t>Portfolio Quality v2|PAR (1-30 days)|0|41912</t>
  </si>
  <si>
    <t>Portfolio Quality v2|PAR (30-60 days)|0|41912</t>
  </si>
  <si>
    <t>Portfolio Quality v2|PAR (60-90 days)|0|41912</t>
  </si>
  <si>
    <t>Portfolio Quality v2|PAR (90-120 days)|0|41912</t>
  </si>
  <si>
    <t>Portfolio Quality v2|PAR (120-180 days)|0|41912</t>
  </si>
  <si>
    <t>Portfolio Quality v2|PAR (180 - 360 days)|0|41912</t>
  </si>
  <si>
    <t>Portfolio Quality v2|PAR (&gt;360 days)|0|41912</t>
  </si>
  <si>
    <t>Portfolio Quality v2|Current R+R Loans|0|41912</t>
  </si>
  <si>
    <t>Portfolio Quality v2|PAR (1-30 days) (R+R)|0|41912</t>
  </si>
  <si>
    <t>Portfolio Quality v2|PAR (&gt;30 days)|0|41912</t>
  </si>
  <si>
    <t>Portfolio Quality v2|-Gross Write-Offs**|0|41912</t>
  </si>
  <si>
    <t>Portfolio Quality v2|-Recoveries**|0|41912</t>
  </si>
  <si>
    <t>Portfolio Quality v2|+/-Other|0|41912</t>
  </si>
  <si>
    <t>Portfolio Quality v2|Current Portfolio|0|41943</t>
  </si>
  <si>
    <t>Portfolio Quality v2|PAR (1-30 days)|0|41943</t>
  </si>
  <si>
    <t>Portfolio Quality v2|PAR (30-60 days)|0|41943</t>
  </si>
  <si>
    <t>Portfolio Quality v2|PAR (60-90 days)|0|41943</t>
  </si>
  <si>
    <t>Portfolio Quality v2|PAR (90-120 days)|0|41943</t>
  </si>
  <si>
    <t>Portfolio Quality v2|PAR (120-180 days)|0|41943</t>
  </si>
  <si>
    <t>Portfolio Quality v2|PAR (180 - 360 days)|0|41943</t>
  </si>
  <si>
    <t>Portfolio Quality v2|PAR (&gt;360 days)|0|41943</t>
  </si>
  <si>
    <t>Portfolio Quality v2|Current R+R Loans|0|41943</t>
  </si>
  <si>
    <t>Portfolio Quality v2|PAR (1-30 days) (R+R)|0|41943</t>
  </si>
  <si>
    <t>Portfolio Quality v2|PAR (&gt;30 days)|0|41943</t>
  </si>
  <si>
    <t>Portfolio Quality v2|-Gross Write-Offs**|0|41943</t>
  </si>
  <si>
    <t>Portfolio Quality v2|-Recoveries**|0|41943</t>
  </si>
  <si>
    <t>Portfolio Quality v2|+/-Other|0|41943</t>
  </si>
  <si>
    <t>Portfolio Quality v2|Current Portfolio|0|41973</t>
  </si>
  <si>
    <t>Portfolio Quality v2|PAR (1-30 days)|0|41973</t>
  </si>
  <si>
    <t>Portfolio Quality v2|PAR (30-60 days)|0|41973</t>
  </si>
  <si>
    <t>Portfolio Quality v2|PAR (60-90 days)|0|41973</t>
  </si>
  <si>
    <t>Portfolio Quality v2|PAR (90-120 days)|0|41973</t>
  </si>
  <si>
    <t>Portfolio Quality v2|PAR (120-180 days)|0|41973</t>
  </si>
  <si>
    <t>Portfolio Quality v2|PAR (180 - 360 days)|0|41973</t>
  </si>
  <si>
    <t>Portfolio Quality v2|PAR (&gt;360 days)|0|41973</t>
  </si>
  <si>
    <t>Portfolio Quality v2|Current R+R Loans|0|41973</t>
  </si>
  <si>
    <t>Portfolio Quality v2|PAR (1-30 days) (R+R)|0|41973</t>
  </si>
  <si>
    <t>Portfolio Quality v2|PAR (&gt;30 days)|0|41973</t>
  </si>
  <si>
    <t>Portfolio Quality v2|-Gross Write-Offs**|0|41973</t>
  </si>
  <si>
    <t>Portfolio Quality v2|-Recoveries**|0|41973</t>
  </si>
  <si>
    <t>Portfolio Quality v2|+/-Other|0|41973</t>
  </si>
  <si>
    <t>Portfolio Quality v2|Current Portfolio|0|42004</t>
  </si>
  <si>
    <t>Portfolio Quality v2|PAR (1-30 days)|0|42004</t>
  </si>
  <si>
    <t>Portfolio Quality v2|PAR (30-60 days)|0|42004</t>
  </si>
  <si>
    <t>Portfolio Quality v2|PAR (60-90 days)|0|42004</t>
  </si>
  <si>
    <t>Portfolio Quality v2|PAR (90-120 days)|0|42004</t>
  </si>
  <si>
    <t>Portfolio Quality v2|PAR (120-180 days)|0|42004</t>
  </si>
  <si>
    <t>Portfolio Quality v2|PAR (180 - 360 days)|0|42004</t>
  </si>
  <si>
    <t>Portfolio Quality v2|PAR (&gt;360 days)|0|42004</t>
  </si>
  <si>
    <t>Portfolio Quality v2|Current R+R Loans|0|42004</t>
  </si>
  <si>
    <t>Portfolio Quality v2|PAR (1-30 days) (R+R)|0|42004</t>
  </si>
  <si>
    <t>Portfolio Quality v2|PAR (&gt;30 days)|0|42004</t>
  </si>
  <si>
    <t>Portfolio Quality v2|-Gross Write-Offs**|0|42004</t>
  </si>
  <si>
    <t>Portfolio Quality v2|-Recoveries**|0|42004</t>
  </si>
  <si>
    <t>Portfolio Quality v2|+/-Other|0|42004</t>
  </si>
  <si>
    <t>Organizational Data v2|Voluntary Savers/Depositors|0|41670</t>
  </si>
  <si>
    <t>Organizational Data v2|Active Borrowers|0|41670</t>
  </si>
  <si>
    <t>Organizational Data v2|Loans Outstanding|0|41670</t>
  </si>
  <si>
    <t>Organizational Data v2|Branches, Sub-Branches &amp; All Offices|0|41670</t>
  </si>
  <si>
    <t>Organizational Data v2|All Employees|0|41670</t>
  </si>
  <si>
    <t>Organizational Data v2|Loan Officers|0|41670</t>
  </si>
  <si>
    <t>Organizational Data v2|Voluntary Savers/Depositors|0|41698</t>
  </si>
  <si>
    <t>Organizational Data v2|Active Borrowers|0|41698</t>
  </si>
  <si>
    <t>Organizational Data v2|Loans Outstanding|0|41698</t>
  </si>
  <si>
    <t>Organizational Data v2|Branches, Sub-Branches &amp; All Offices|0|41698</t>
  </si>
  <si>
    <t>Organizational Data v2|All Employees|0|41698</t>
  </si>
  <si>
    <t>Organizational Data v2|Loan Officers|0|41698</t>
  </si>
  <si>
    <t>Organizational Data v2|Voluntary Savers/Depositors|0|41729</t>
  </si>
  <si>
    <t>Organizational Data v2|Active Borrowers|0|41729</t>
  </si>
  <si>
    <t>Organizational Data v2|Loans Outstanding|0|41729</t>
  </si>
  <si>
    <t>Organizational Data v2|Branches, Sub-Branches &amp; All Offices|0|41729</t>
  </si>
  <si>
    <t>Organizational Data v2|All Employees|0|41729</t>
  </si>
  <si>
    <t>Organizational Data v2|Loan Officers|0|41729</t>
  </si>
  <si>
    <t>Organizational Data v2|Voluntary Savers/Depositors|0|41759</t>
  </si>
  <si>
    <t>Organizational Data v2|Active Borrowers|0|41759</t>
  </si>
  <si>
    <t>Organizational Data v2|Loans Outstanding|0|41759</t>
  </si>
  <si>
    <t>Organizational Data v2|Branches, Sub-Branches &amp; All Offices|0|41759</t>
  </si>
  <si>
    <t>Organizational Data v2|All Employees|0|41759</t>
  </si>
  <si>
    <t>Organizational Data v2|Loan Officers|0|41759</t>
  </si>
  <si>
    <t>Organizational Data v2|Voluntary Savers/Depositors|0|41790</t>
  </si>
  <si>
    <t>Organizational Data v2|Active Borrowers|0|41790</t>
  </si>
  <si>
    <t>Organizational Data v2|Loans Outstanding|0|41790</t>
  </si>
  <si>
    <t>Organizational Data v2|Branches, Sub-Branches &amp; All Offices|0|41790</t>
  </si>
  <si>
    <t>Organizational Data v2|All Employees|0|41790</t>
  </si>
  <si>
    <t>Organizational Data v2|Loan Officers|0|41790</t>
  </si>
  <si>
    <t>Organizational Data v2|Voluntary Savers/Depositors|0|41820</t>
  </si>
  <si>
    <t>Organizational Data v2|Active Borrowers|0|41820</t>
  </si>
  <si>
    <t>Organizational Data v2|Loans Outstanding|0|41820</t>
  </si>
  <si>
    <t>Organizational Data v2|Branches, Sub-Branches &amp; All Offices|0|41820</t>
  </si>
  <si>
    <t>Organizational Data v2|All Employees|0|41820</t>
  </si>
  <si>
    <t>Organizational Data v2|Loan Officers|0|41820</t>
  </si>
  <si>
    <t>Organizational Data v2|Voluntary Savers/Depositors|0|41851</t>
  </si>
  <si>
    <t>Organizational Data v2|Active Borrowers|0|41851</t>
  </si>
  <si>
    <t>Organizational Data v2|Loans Outstanding|0|41851</t>
  </si>
  <si>
    <t>Organizational Data v2|Branches, Sub-Branches &amp; All Offices|0|41851</t>
  </si>
  <si>
    <t>Organizational Data v2|All Employees|0|41851</t>
  </si>
  <si>
    <t>Organizational Data v2|Loan Officers|0|41851</t>
  </si>
  <si>
    <t>Organizational Data v2|Voluntary Savers/Depositors|0|41882</t>
  </si>
  <si>
    <t>Organizational Data v2|Active Borrowers|0|41882</t>
  </si>
  <si>
    <t>Organizational Data v2|Loans Outstanding|0|41882</t>
  </si>
  <si>
    <t>Organizational Data v2|Branches, Sub-Branches &amp; All Offices|0|41882</t>
  </si>
  <si>
    <t>Organizational Data v2|All Employees|0|41882</t>
  </si>
  <si>
    <t>Organizational Data v2|Loan Officers|0|41882</t>
  </si>
  <si>
    <t>Organizational Data v2|Voluntary Savers/Depositors|0|41912</t>
  </si>
  <si>
    <t>Organizational Data v2|Active Borrowers|0|41912</t>
  </si>
  <si>
    <t>Organizational Data v2|Loans Outstanding|0|41912</t>
  </si>
  <si>
    <t>Organizational Data v2|Branches, Sub-Branches &amp; All Offices|0|41912</t>
  </si>
  <si>
    <t>Organizational Data v2|All Employees|0|41912</t>
  </si>
  <si>
    <t>Organizational Data v2|Loan Officers|0|41912</t>
  </si>
  <si>
    <t>Organizational Data v2|Voluntary Savers/Depositors|0|41943</t>
  </si>
  <si>
    <t>Organizational Data v2|Active Borrowers|0|41943</t>
  </si>
  <si>
    <t>Organizational Data v2|Loans Outstanding|0|41943</t>
  </si>
  <si>
    <t>Organizational Data v2|Branches, Sub-Branches &amp; All Offices|0|41943</t>
  </si>
  <si>
    <t>Organizational Data v2|All Employees|0|41943</t>
  </si>
  <si>
    <t>Organizational Data v2|Loan Officers|0|41943</t>
  </si>
  <si>
    <t>Organizational Data v2|Voluntary Savers/Depositors|0|41973</t>
  </si>
  <si>
    <t>Organizational Data v2|Active Borrowers|0|41973</t>
  </si>
  <si>
    <t>Organizational Data v2|Loans Outstanding|0|41973</t>
  </si>
  <si>
    <t>Organizational Data v2|Branches, Sub-Branches &amp; All Offices|0|41973</t>
  </si>
  <si>
    <t>Organizational Data v2|All Employees|0|41973</t>
  </si>
  <si>
    <t>Organizational Data v2|Loan Officers|0|41973</t>
  </si>
  <si>
    <t>Organizational Data v2|Voluntary Savers/Depositors|0|42004</t>
  </si>
  <si>
    <t>Organizational Data v2|Active Borrowers|0|42004</t>
  </si>
  <si>
    <t>Organizational Data v2|Loans Outstanding|0|42004</t>
  </si>
  <si>
    <t>Organizational Data v2|Branches, Sub-Branches &amp; All Offices|0|42004</t>
  </si>
  <si>
    <t>Organizational Data v2|All Employees|0|42004</t>
  </si>
  <si>
    <t>Organizational Data v2|Loan Officers|0|42004</t>
  </si>
  <si>
    <t>Aggregated Financials|GLP|0|40939</t>
  </si>
  <si>
    <t>Aggregated Financials|Total Assets|0|40939</t>
  </si>
  <si>
    <t>Aggregated Financials|Total Equity|0|40939</t>
  </si>
  <si>
    <t>Aggregated Financials|Net Income|0|40939</t>
  </si>
  <si>
    <t>Aggregated Financials|January Assets|0|40939</t>
  </si>
  <si>
    <t>Aggregated Financials|January Equity|0|40939</t>
  </si>
  <si>
    <t>Aggregated Financials|LTM GLP|0|40939</t>
  </si>
  <si>
    <t>Aggregated Financials|Loan Loss Reserves|0|40939</t>
  </si>
  <si>
    <t>Aggregated Financials|Total Debt|0|40939</t>
  </si>
  <si>
    <t>Aggregated Financials|Financial Revenue|0|40939</t>
  </si>
  <si>
    <t>Aggregated Financials|Number of Active Borrowers|0|40939</t>
  </si>
  <si>
    <t>Aggregated Financials|Number of Active Loans|0|40939</t>
  </si>
  <si>
    <t>Aggregated Financials|PAR &gt;30|0|40939</t>
  </si>
  <si>
    <t>Aggregated Financials|R +R |0|40939</t>
  </si>
  <si>
    <t>Aggregated Financials|LTM Write-Offs|0|40939</t>
  </si>
  <si>
    <t>Aggregated Financials|Foreign Currency Exposure Asset|0|40939</t>
  </si>
  <si>
    <t>Aggregated Financials|Foreign Currency Liabilities|0|40939</t>
  </si>
  <si>
    <t>Aggregated Financials|Asset Hedges|0|40939</t>
  </si>
  <si>
    <t>Aggregated Financials|Liability Hedges|0|40939</t>
  </si>
  <si>
    <t>Aggregated Financials|PAR &gt;60|0|40939</t>
  </si>
  <si>
    <t>Aggregated Financials|Previous Month Equity|0|40939</t>
  </si>
  <si>
    <t>Aggregated Financials|MONTH FX|0|40939</t>
  </si>
  <si>
    <t>Aggregated Financials|LAST MONTH FX|0|40939</t>
  </si>
  <si>
    <t>Aggregated Financials|YTD FX|0|40939</t>
  </si>
  <si>
    <t>Aggregated Financials|LTM FX|0|40939</t>
  </si>
  <si>
    <t>Aggregated Financials|LTM Average GLP|0|40939</t>
  </si>
  <si>
    <t>Aggregated Financials|LTM Average Assets|0|40939</t>
  </si>
  <si>
    <t>Aggregated Financials|LTM Average Equity|0|40939</t>
  </si>
  <si>
    <t>Aggregated Financials|LTM Average Borrowings|0|40939</t>
  </si>
  <si>
    <t>Aggregated Financials|YTD Average Assets|0|40939</t>
  </si>
  <si>
    <t>Aggregated Financials|YTD Average GLP|0|40939</t>
  </si>
  <si>
    <t>Aggregated Financials|YTD Average Equity|0|40939</t>
  </si>
  <si>
    <t>Aggregated Financials|YTD Average Borrowings|0|40939</t>
  </si>
  <si>
    <t>Aggregated Financials|LTM Net Income|0|40939</t>
  </si>
  <si>
    <t>Aggregated Financials|LTM Financial Revenue|0|40939</t>
  </si>
  <si>
    <t>Aggregated Financials|LTM Financial Expense |0|40939</t>
  </si>
  <si>
    <t>Aggregated Financials|LTM Provisioning Expense |0|40939</t>
  </si>
  <si>
    <t>Aggregated Financials|LTM Operating Expense|0|40939</t>
  </si>
  <si>
    <t>Aggregated Financials|LTM Other Financial Income (Expense)|0|40939</t>
  </si>
  <si>
    <t>Aggregated Financials|Total Borrowings|0|40939</t>
  </si>
  <si>
    <t>Aggregated Financials|Total Interest Bearing Debt |0|40939</t>
  </si>
  <si>
    <t>Aggregated Financials|Savings Accounts|0|40939</t>
  </si>
  <si>
    <t>Aggregated Financials|Operating Expenses|0|40939</t>
  </si>
  <si>
    <t>Aggregated Financials|LTM Net Income (After Taxes &amp; Before Donations) |0|40939</t>
  </si>
  <si>
    <t>Aggregated Financials|Net Income (After Taxes &amp; Before Donations) |0|40939</t>
  </si>
  <si>
    <t>Aggregated Financials|LTM Savings Accounts|0|40939</t>
  </si>
  <si>
    <t>Aggregated Financials|PAR &gt;90|0|40939</t>
  </si>
  <si>
    <t>Aggregated Financials|GLP|0|40968</t>
  </si>
  <si>
    <t>Aggregated Financials|Total Assets|0|40968</t>
  </si>
  <si>
    <t>Aggregated Financials|Total Equity|0|40968</t>
  </si>
  <si>
    <t>Aggregated Financials|Net Income|0|40968</t>
  </si>
  <si>
    <t>Aggregated Financials|January Assets|0|40968</t>
  </si>
  <si>
    <t>Aggregated Financials|January Equity|0|40968</t>
  </si>
  <si>
    <t>Aggregated Financials|LTM GLP|0|40968</t>
  </si>
  <si>
    <t>Aggregated Financials|Loan Loss Reserves|0|40968</t>
  </si>
  <si>
    <t>Aggregated Financials|Total Debt|0|40968</t>
  </si>
  <si>
    <t>Aggregated Financials|Financial Revenue|0|40968</t>
  </si>
  <si>
    <t>Aggregated Financials|Number of Active Borrowers|0|40968</t>
  </si>
  <si>
    <t>Aggregated Financials|Number of Active Loans|0|40968</t>
  </si>
  <si>
    <t>Aggregated Financials|PAR &gt;30|0|40968</t>
  </si>
  <si>
    <t>Aggregated Financials|R +R |0|40968</t>
  </si>
  <si>
    <t>Aggregated Financials|LTM Write-Offs|0|40968</t>
  </si>
  <si>
    <t>Aggregated Financials|Foreign Currency Exposure Asset|0|40968</t>
  </si>
  <si>
    <t>Aggregated Financials|Foreign Currency Liabilities|0|40968</t>
  </si>
  <si>
    <t>Aggregated Financials|Asset Hedges|0|40968</t>
  </si>
  <si>
    <t>Aggregated Financials|Liability Hedges|0|40968</t>
  </si>
  <si>
    <t>Aggregated Financials|PAR &gt;60|0|40968</t>
  </si>
  <si>
    <t>Aggregated Financials|Previous Month Equity|0|40968</t>
  </si>
  <si>
    <t>Aggregated Financials|MONTH FX|0|40968</t>
  </si>
  <si>
    <t>Aggregated Financials|LAST MONTH FX|0|40968</t>
  </si>
  <si>
    <t>Aggregated Financials|YTD FX|0|40968</t>
  </si>
  <si>
    <t>Aggregated Financials|LTM FX|0|40968</t>
  </si>
  <si>
    <t>Aggregated Financials|LTM Average GLP|0|40968</t>
  </si>
  <si>
    <t>Aggregated Financials|LTM Average Assets|0|40968</t>
  </si>
  <si>
    <t>Aggregated Financials|LTM Average Equity|0|40968</t>
  </si>
  <si>
    <t>Aggregated Financials|LTM Average Borrowings|0|40968</t>
  </si>
  <si>
    <t>Aggregated Financials|YTD Average Assets|0|40968</t>
  </si>
  <si>
    <t>Aggregated Financials|YTD Average GLP|0|40968</t>
  </si>
  <si>
    <t>Aggregated Financials|YTD Average Equity|0|40968</t>
  </si>
  <si>
    <t>Aggregated Financials|YTD Average Borrowings|0|40968</t>
  </si>
  <si>
    <t>Aggregated Financials|LTM Net Income|0|40968</t>
  </si>
  <si>
    <t>Aggregated Financials|LTM Financial Revenue|0|40968</t>
  </si>
  <si>
    <t>Aggregated Financials|LTM Financial Expense |0|40968</t>
  </si>
  <si>
    <t>Aggregated Financials|LTM Provisioning Expense |0|40968</t>
  </si>
  <si>
    <t>Aggregated Financials|LTM Operating Expense|0|40968</t>
  </si>
  <si>
    <t>Aggregated Financials|LTM Other Financial Income (Expense)|0|40968</t>
  </si>
  <si>
    <t>Aggregated Financials|Total Borrowings|0|40968</t>
  </si>
  <si>
    <t>Aggregated Financials|Total Interest Bearing Debt |0|40968</t>
  </si>
  <si>
    <t>Aggregated Financials|Savings Accounts|0|40968</t>
  </si>
  <si>
    <t>Aggregated Financials|Operating Expenses|0|40968</t>
  </si>
  <si>
    <t>Aggregated Financials|LTM Net Income (After Taxes &amp; Before Donations) |0|40968</t>
  </si>
  <si>
    <t>Aggregated Financials|Net Income (After Taxes &amp; Before Donations) |0|40968</t>
  </si>
  <si>
    <t>Aggregated Financials|LTM Savings Accounts|0|40968</t>
  </si>
  <si>
    <t>Aggregated Financials|PAR &gt;90|0|40968</t>
  </si>
  <si>
    <t>Aggregated Financials|GLP|0|40999</t>
  </si>
  <si>
    <t>Aggregated Financials|Total Assets|0|40999</t>
  </si>
  <si>
    <t>Aggregated Financials|Total Equity|0|40999</t>
  </si>
  <si>
    <t>Aggregated Financials|Net Income|0|40999</t>
  </si>
  <si>
    <t>Aggregated Financials|January Assets|0|40999</t>
  </si>
  <si>
    <t>Aggregated Financials|January Equity|0|40999</t>
  </si>
  <si>
    <t>Aggregated Financials|LTM GLP|0|40999</t>
  </si>
  <si>
    <t>Aggregated Financials|Loan Loss Reserves|0|40999</t>
  </si>
  <si>
    <t>Aggregated Financials|Total Debt|0|40999</t>
  </si>
  <si>
    <t>Aggregated Financials|Financial Revenue|0|40999</t>
  </si>
  <si>
    <t>Aggregated Financials|Number of Active Borrowers|0|40999</t>
  </si>
  <si>
    <t>Aggregated Financials|Number of Active Loans|0|40999</t>
  </si>
  <si>
    <t>Aggregated Financials|PAR &gt;30|0|40999</t>
  </si>
  <si>
    <t>Aggregated Financials|R +R |0|40999</t>
  </si>
  <si>
    <t>Aggregated Financials|LTM Write-Offs|0|40999</t>
  </si>
  <si>
    <t>Aggregated Financials|Foreign Currency Exposure Asset|0|40999</t>
  </si>
  <si>
    <t>Aggregated Financials|Foreign Currency Liabilities|0|40999</t>
  </si>
  <si>
    <t>Aggregated Financials|Asset Hedges|0|40999</t>
  </si>
  <si>
    <t>Aggregated Financials|Liability Hedges|0|40999</t>
  </si>
  <si>
    <t>Aggregated Financials|PAR &gt;60|0|40999</t>
  </si>
  <si>
    <t>Aggregated Financials|Previous Month Equity|0|40999</t>
  </si>
  <si>
    <t>Aggregated Financials|MONTH FX|0|40999</t>
  </si>
  <si>
    <t>Aggregated Financials|LAST MONTH FX|0|40999</t>
  </si>
  <si>
    <t>Aggregated Financials|YTD FX|0|40999</t>
  </si>
  <si>
    <t>Aggregated Financials|LTM FX|0|40999</t>
  </si>
  <si>
    <t>Aggregated Financials|LTM Average GLP|0|40999</t>
  </si>
  <si>
    <t>Aggregated Financials|LTM Average Assets|0|40999</t>
  </si>
  <si>
    <t>Aggregated Financials|LTM Average Equity|0|40999</t>
  </si>
  <si>
    <t>Aggregated Financials|LTM Average Borrowings|0|40999</t>
  </si>
  <si>
    <t>Aggregated Financials|YTD Average Assets|0|40999</t>
  </si>
  <si>
    <t>Aggregated Financials|YTD Average GLP|0|40999</t>
  </si>
  <si>
    <t>Aggregated Financials|YTD Average Equity|0|40999</t>
  </si>
  <si>
    <t>Aggregated Financials|YTD Average Borrowings|0|40999</t>
  </si>
  <si>
    <t>Aggregated Financials|LTM Net Income|0|40999</t>
  </si>
  <si>
    <t>Aggregated Financials|LTM Financial Revenue|0|40999</t>
  </si>
  <si>
    <t>Aggregated Financials|LTM Financial Expense |0|40999</t>
  </si>
  <si>
    <t>Aggregated Financials|LTM Provisioning Expense |0|40999</t>
  </si>
  <si>
    <t>Aggregated Financials|LTM Operating Expense|0|40999</t>
  </si>
  <si>
    <t>Aggregated Financials|LTM Other Financial Income (Expense)|0|40999</t>
  </si>
  <si>
    <t>Aggregated Financials|Total Borrowings|0|40999</t>
  </si>
  <si>
    <t>Aggregated Financials|Total Interest Bearing Debt |0|40999</t>
  </si>
  <si>
    <t>Aggregated Financials|Savings Accounts|0|40999</t>
  </si>
  <si>
    <t>Aggregated Financials|Operating Expenses|0|40999</t>
  </si>
  <si>
    <t>Aggregated Financials|LTM Net Income (After Taxes &amp; Before Donations) |0|40999</t>
  </si>
  <si>
    <t>Aggregated Financials|Net Income (After Taxes &amp; Before Donations) |0|40999</t>
  </si>
  <si>
    <t>Aggregated Financials|LTM Savings Accounts|0|40999</t>
  </si>
  <si>
    <t>Aggregated Financials|PAR &gt;90|0|40999</t>
  </si>
  <si>
    <t>Balance Sheet v2|Unrestricted|1|42004</t>
  </si>
  <si>
    <t>Balance Sheet v2|Restricted|1|42004</t>
  </si>
  <si>
    <t>Balance Sheet v2|Short Term Investment Securities|1|42004</t>
  </si>
  <si>
    <t>Balance Sheet v2|Less: reserve for probable loss on securities|1|42004</t>
  </si>
  <si>
    <t>Balance Sheet v2|Gross loan portfolio (Please include entire GLP)|1|42004</t>
  </si>
  <si>
    <t>Balance Sheet v2|Less: loan loss reserves|1|42004</t>
  </si>
  <si>
    <t>Balance Sheet v2|Accrued interest receivable|1|42004</t>
  </si>
  <si>
    <t>Balance Sheet v2|Other current assets|1|42004</t>
  </si>
  <si>
    <t>Balance Sheet v2|Gross Fixed Assets|1|42004</t>
  </si>
  <si>
    <t>Balance Sheet v2|Less: Depreciation|1|42004</t>
  </si>
  <si>
    <t>Balance Sheet v2|Less: Asset Sales and Write-Offs|1|42004</t>
  </si>
  <si>
    <t>Balance Sheet v2|Net intangible assets|1|42004</t>
  </si>
  <si>
    <t>Balance Sheet v2|Investments in Unconslidated Affiliates|1|42004</t>
  </si>
  <si>
    <t>Balance Sheet v2|Securitized Assets &amp; Off-Balance Sheet Items|1|42004</t>
  </si>
  <si>
    <t>Balance Sheet v2|Other Types|1|42004</t>
  </si>
  <si>
    <t>Balance Sheet v2|Demand Deposits|1|42004</t>
  </si>
  <si>
    <t>Balance Sheet v2|Time Deposits|1|42004</t>
  </si>
  <si>
    <t>Balance Sheet v2|Accrued interest payable|1|42004</t>
  </si>
  <si>
    <t>Balance Sheet v2|Senior Secured Debt (ST)|1|42004</t>
  </si>
  <si>
    <t>Balance Sheet v2|Senior Unsecured Debt (ST)|1|42004</t>
  </si>
  <si>
    <t>Balance Sheet v2|Current Portion of Long-Term Debt|1|42004</t>
  </si>
  <si>
    <t>Balance Sheet v2|Other current liabilities|1|42004</t>
  </si>
  <si>
    <t>Balance Sheet v2|Senior Secured Debt (LT)|1|42004</t>
  </si>
  <si>
    <t>Balance Sheet v2|-Revolving Credit Facility|1|42004</t>
  </si>
  <si>
    <t>Balance Sheet v2|-Bonds Issued|1|42004</t>
  </si>
  <si>
    <t>Balance Sheet v2|-Other|1|42004</t>
  </si>
  <si>
    <t>Balance Sheet v2|Subordinated Debt|1|42004</t>
  </si>
  <si>
    <t>Balance Sheet v2|Securitized loans &amp; off-balance sheet items|1|42004</t>
  </si>
  <si>
    <t>Balance Sheet v2|Others|1|42004</t>
  </si>
  <si>
    <t>Balance Sheet v2|Preferred Shares|1|42004</t>
  </si>
  <si>
    <t>Balance Sheet v2|Common Shares|1|42004</t>
  </si>
  <si>
    <t>Balance Sheet v2|Share Premium|1|42004</t>
  </si>
  <si>
    <t>Balance Sheet v2|Reserves, Donations &amp; Other|1|42004</t>
  </si>
  <si>
    <t>Balance Sheet v2|prior years|1|42004</t>
  </si>
  <si>
    <t>Balance Sheet v2|current years|1|42004</t>
  </si>
  <si>
    <t>Currency Exposure v2|Cash|1|42004</t>
  </si>
  <si>
    <t>Currency Exposure v2|Portfolio|1|42004</t>
  </si>
  <si>
    <t>Currency Exposure v2|Other Assets|1|42004</t>
  </si>
  <si>
    <t>Currency Exposure v2|Savings|1|42004</t>
  </si>
  <si>
    <t>Currency Exposure v2|Borrowings|1|42004</t>
  </si>
  <si>
    <t>Currency Exposure v2|Other Liabilities|1|42004</t>
  </si>
  <si>
    <t>Currency Exposure v2|Deposits for Back-to-Back Loans|1|42004</t>
  </si>
  <si>
    <t>Currency Exposure v2|Options|1|42004</t>
  </si>
  <si>
    <t>Currency Exposure v2|Forwards|1|42004</t>
  </si>
  <si>
    <t>Currency Exposure v2|Swaps|1|42004</t>
  </si>
  <si>
    <t>Currency Exposure v2|Back-to-back Loans|1|42004</t>
  </si>
  <si>
    <t>Currency Exposure v2|Options-L|1|42004</t>
  </si>
  <si>
    <t>Currency Exposure v2|Forwards-L|1|42004</t>
  </si>
  <si>
    <t>Currency Exposure v2|Swaps-L|1|42004</t>
  </si>
  <si>
    <t>Income Statement v2|Interest Income from Loans|1|42004</t>
  </si>
  <si>
    <t>Income Statement v2|Income from Fees and Commissions on Loans|1|42004</t>
  </si>
  <si>
    <t>Income Statement v2|Interest Expense on Borrowings (&amp; Bonds)|1|42004</t>
  </si>
  <si>
    <t>Income Statement v2|Interest Expense on Deposits|1|42004</t>
  </si>
  <si>
    <t>Income Statement v2|Loan Loss Provision Expense|1|42004</t>
  </si>
  <si>
    <t>Income Statement v2|Fees from Penalties|1|42004</t>
  </si>
  <si>
    <t>Income Statement v2|Fees and Commissions from Non-Lending Operations|1|42004</t>
  </si>
  <si>
    <t>Income Statement v2|Realized Net Foreign Exchange/Inflation Income (Expense)|1|42004</t>
  </si>
  <si>
    <t>Income Statement v2|Other Financial Income (Expense)|1|42004</t>
  </si>
  <si>
    <t>Income Statement v2|Salaries &amp; Benefits|1|42004</t>
  </si>
  <si>
    <t>Income Statement v2|General &amp; Administrative|1|42004</t>
  </si>
  <si>
    <t>Income Statement v2|Depreciation &amp; Amortization|1|42004</t>
  </si>
  <si>
    <t>Income Statement v2|Non-operating income|1|42004</t>
  </si>
  <si>
    <t>Income Statement v2|Non-operating expenses|1|42004</t>
  </si>
  <si>
    <t>Income Statement v2|Income Tax Expense|1|42004</t>
  </si>
  <si>
    <t>Income Statement v2|Donations|1|42004</t>
  </si>
  <si>
    <t>Income Statement v2|Income (Expense) from Unconsolidated Affiliates|1|42004</t>
  </si>
  <si>
    <t>Income Statement v2|Dividends Received|1|42004</t>
  </si>
  <si>
    <t>Income Statement v2|Minority Interest Expense|1|42004</t>
  </si>
  <si>
    <t>Income Statement v2|Ordinary Shares Outstanding|1|42004</t>
  </si>
  <si>
    <t>Income Statement v2|Fully Diluted Shares Outstanding|1|42004</t>
  </si>
  <si>
    <t>Income Statement v2|Dividends|1|42004</t>
  </si>
  <si>
    <t>Income Statement v2|Unrealized FX Gains/(Losses)|1|42004</t>
  </si>
  <si>
    <t>Income Statement v2|Other|1|42004</t>
  </si>
  <si>
    <t>Portfolio Quality v2|Current Portfolio|1|42004</t>
  </si>
  <si>
    <t>Portfolio Quality v2|PAR (1-30 days)|1|42004</t>
  </si>
  <si>
    <t>Portfolio Quality v2|PAR (30-60 days)|1|42004</t>
  </si>
  <si>
    <t>Portfolio Quality v2|PAR (60-90 days)|1|42004</t>
  </si>
  <si>
    <t>Portfolio Quality v2|PAR (90-120 days)|1|42004</t>
  </si>
  <si>
    <t>Portfolio Quality v2|PAR (120-180 days)|1|42004</t>
  </si>
  <si>
    <t>Portfolio Quality v2|PAR (180 - 360 days)|1|42004</t>
  </si>
  <si>
    <t>Portfolio Quality v2|PAR (&gt;360 days)|1|42004</t>
  </si>
  <si>
    <t>Portfolio Quality v2|Current R+R Loans|1|42004</t>
  </si>
  <si>
    <t>Portfolio Quality v2|PAR (1-30 days) (R+R)|1|42004</t>
  </si>
  <si>
    <t>Portfolio Quality v2|PAR (&gt;30 days)|1|42004</t>
  </si>
  <si>
    <t>Portfolio Quality v2|-Gross Write-Offs**|1|42004</t>
  </si>
  <si>
    <t>Portfolio Quality v2|-Recoveries**|1|42004</t>
  </si>
  <si>
    <t>Portfolio Quality v2|+/-Other|1|42004</t>
  </si>
  <si>
    <t>Organizational Data v2|Voluntary Savers/Depositors|1|42004</t>
  </si>
  <si>
    <t>Organizational Data v2|Active Borrowers|1|42004</t>
  </si>
  <si>
    <t>Organizational Data v2|Loans Outstanding|1|42004</t>
  </si>
  <si>
    <t>Organizational Data v2|Branches, Sub-Branches &amp; All Offices|1|42004</t>
  </si>
  <si>
    <t>Organizational Data v2|All Employees|1|42004</t>
  </si>
  <si>
    <t>Organizational Data v2|Loan Officers|1|42004</t>
  </si>
  <si>
    <t>Aggregated Financials|GLP|0|41029</t>
  </si>
  <si>
    <t>Aggregated Financials|Total Assets|0|41029</t>
  </si>
  <si>
    <t>Aggregated Financials|Total Equity|0|41029</t>
  </si>
  <si>
    <t>Aggregated Financials|Net Income|0|41029</t>
  </si>
  <si>
    <t>Aggregated Financials|January Assets|0|41029</t>
  </si>
  <si>
    <t>Aggregated Financials|January Equity|0|41029</t>
  </si>
  <si>
    <t>Aggregated Financials|LTM GLP|0|41029</t>
  </si>
  <si>
    <t>Aggregated Financials|Loan Loss Reserves|0|41029</t>
  </si>
  <si>
    <t>Aggregated Financials|Total Debt|0|41029</t>
  </si>
  <si>
    <t>Aggregated Financials|Financial Revenue|0|41029</t>
  </si>
  <si>
    <t>Aggregated Financials|Number of Active Borrowers|0|41029</t>
  </si>
  <si>
    <t>Aggregated Financials|Number of Active Loans|0|41029</t>
  </si>
  <si>
    <t>Aggregated Financials|PAR &gt;30|0|41029</t>
  </si>
  <si>
    <t>Aggregated Financials|R +R |0|41029</t>
  </si>
  <si>
    <t>Aggregated Financials|LTM Write-Offs|0|41029</t>
  </si>
  <si>
    <t>Aggregated Financials|Foreign Currency Exposure Asset|0|41029</t>
  </si>
  <si>
    <t>Aggregated Financials|Foreign Currency Liabilities|0|41029</t>
  </si>
  <si>
    <t>Aggregated Financials|Asset Hedges|0|41029</t>
  </si>
  <si>
    <t>Aggregated Financials|Liability Hedges|0|41029</t>
  </si>
  <si>
    <t>Aggregated Financials|PAR &gt;60|0|41029</t>
  </si>
  <si>
    <t>Aggregated Financials|Previous Month Equity|0|41029</t>
  </si>
  <si>
    <t>Aggregated Financials|MONTH FX|0|41029</t>
  </si>
  <si>
    <t>Aggregated Financials|LAST MONTH FX|0|41029</t>
  </si>
  <si>
    <t>Aggregated Financials|YTD FX|0|41029</t>
  </si>
  <si>
    <t>Aggregated Financials|LTM FX|0|41029</t>
  </si>
  <si>
    <t>Aggregated Financials|LTM Average GLP|0|41029</t>
  </si>
  <si>
    <t>Aggregated Financials|LTM Average Assets|0|41029</t>
  </si>
  <si>
    <t>Aggregated Financials|LTM Average Equity|0|41029</t>
  </si>
  <si>
    <t>Aggregated Financials|LTM Average Borrowings|0|41029</t>
  </si>
  <si>
    <t>Aggregated Financials|YTD Average Assets|0|41029</t>
  </si>
  <si>
    <t>Aggregated Financials|YTD Average GLP|0|41029</t>
  </si>
  <si>
    <t>Aggregated Financials|YTD Average Equity|0|41029</t>
  </si>
  <si>
    <t>Aggregated Financials|YTD Average Borrowings|0|41029</t>
  </si>
  <si>
    <t>Aggregated Financials|LTM Net Income|0|41029</t>
  </si>
  <si>
    <t>Aggregated Financials|LTM Financial Revenue|0|41029</t>
  </si>
  <si>
    <t>Aggregated Financials|LTM Financial Expense |0|41029</t>
  </si>
  <si>
    <t>Aggregated Financials|LTM Provisioning Expense |0|41029</t>
  </si>
  <si>
    <t>Aggregated Financials|LTM Operating Expense|0|41029</t>
  </si>
  <si>
    <t>Aggregated Financials|LTM Other Financial Income (Expense)|0|41029</t>
  </si>
  <si>
    <t>Aggregated Financials|Total Borrowings|0|41029</t>
  </si>
  <si>
    <t>Aggregated Financials|Total Interest Bearing Debt |0|41029</t>
  </si>
  <si>
    <t>Aggregated Financials|Savings Accounts|0|41029</t>
  </si>
  <si>
    <t>Aggregated Financials|Operating Expenses|0|41029</t>
  </si>
  <si>
    <t>Aggregated Financials|LTM Net Income (After Taxes &amp; Before Donations) |0|41029</t>
  </si>
  <si>
    <t>Aggregated Financials|Net Income (After Taxes &amp; Before Donations) |0|41029</t>
  </si>
  <si>
    <t>Aggregated Financials|LTM Savings Accounts|0|41029</t>
  </si>
  <si>
    <t>Aggregated Financials|PAR &gt;90|0|41029</t>
  </si>
  <si>
    <t>Balance Sheet v2|Unrestricted|0|42035</t>
  </si>
  <si>
    <t>Balance Sheet v2|Restricted|0|42035</t>
  </si>
  <si>
    <t>Balance Sheet v2|Short Term Investment Securities|0|42035</t>
  </si>
  <si>
    <t>Balance Sheet v2|Less: reserve for probable loss on securities|0|42035</t>
  </si>
  <si>
    <t>Balance Sheet v2|Gross loan portfolio (Please include entire GLP)|0|42035</t>
  </si>
  <si>
    <t>Balance Sheet v2|Less: loan loss reserves|0|42035</t>
  </si>
  <si>
    <t>Balance Sheet v2|Accrued interest receivable|0|42035</t>
  </si>
  <si>
    <t>Balance Sheet v2|Other current assets|0|42035</t>
  </si>
  <si>
    <t>Balance Sheet v2|Gross Fixed Assets|0|42035</t>
  </si>
  <si>
    <t>Balance Sheet v2|Less: Depreciation|0|42035</t>
  </si>
  <si>
    <t>Balance Sheet v2|Less: Asset Sales and Write-Offs|0|42035</t>
  </si>
  <si>
    <t>Balance Sheet v2|Net intangible assets|0|42035</t>
  </si>
  <si>
    <t>Balance Sheet v2|Investments in Unconslidated Affiliates|0|42035</t>
  </si>
  <si>
    <t>Balance Sheet v2|Securitized Assets &amp; Off-Balance Sheet Items|0|42035</t>
  </si>
  <si>
    <t>Balance Sheet v2|Other Types|0|42035</t>
  </si>
  <si>
    <t>Balance Sheet v2|Demand Deposits|0|42035</t>
  </si>
  <si>
    <t>Balance Sheet v2|Time Deposits|0|42035</t>
  </si>
  <si>
    <t>Balance Sheet v2|Accrued interest payable|0|42035</t>
  </si>
  <si>
    <t>Balance Sheet v2|Senior Secured Debt (ST)|0|42035</t>
  </si>
  <si>
    <t>Balance Sheet v2|Senior Unsecured Debt (ST)|0|42035</t>
  </si>
  <si>
    <t>Balance Sheet v2|Current Portion of Long-Term Debt|0|42035</t>
  </si>
  <si>
    <t>Balance Sheet v2|Other current liabilities|0|42035</t>
  </si>
  <si>
    <t>Balance Sheet v2|Senior Secured Debt (LT)|0|42035</t>
  </si>
  <si>
    <t>Balance Sheet v2|-Revolving Credit Facility|0|42035</t>
  </si>
  <si>
    <t>Balance Sheet v2|-Bonds Issued|0|42035</t>
  </si>
  <si>
    <t>Balance Sheet v2|-Other|0|42035</t>
  </si>
  <si>
    <t>Balance Sheet v2|Subordinated Debt|0|42035</t>
  </si>
  <si>
    <t>Balance Sheet v2|Securitized loans &amp; off-balance sheet items|0|42035</t>
  </si>
  <si>
    <t>Balance Sheet v2|Others|0|42035</t>
  </si>
  <si>
    <t>Balance Sheet v2|Preferred Shares|0|42035</t>
  </si>
  <si>
    <t>Balance Sheet v2|Common Shares|0|42035</t>
  </si>
  <si>
    <t>Balance Sheet v2|Share Premium|0|42035</t>
  </si>
  <si>
    <t>Balance Sheet v2|Reserves, Donations &amp; Other|0|42035</t>
  </si>
  <si>
    <t>Balance Sheet v2|prior years|0|42035</t>
  </si>
  <si>
    <t>Balance Sheet v2|current years|0|42035</t>
  </si>
  <si>
    <t>Balance Sheet v2|Unrestricted|0|42063</t>
  </si>
  <si>
    <t>Balance Sheet v2|Restricted|0|42063</t>
  </si>
  <si>
    <t>Balance Sheet v2|Short Term Investment Securities|0|42063</t>
  </si>
  <si>
    <t>Balance Sheet v2|Less: reserve for probable loss on securities|0|42063</t>
  </si>
  <si>
    <t>Balance Sheet v2|Gross loan portfolio (Please include entire GLP)|0|42063</t>
  </si>
  <si>
    <t>Balance Sheet v2|Less: loan loss reserves|0|42063</t>
  </si>
  <si>
    <t>Balance Sheet v2|Accrued interest receivable|0|42063</t>
  </si>
  <si>
    <t>Balance Sheet v2|Other current assets|0|42063</t>
  </si>
  <si>
    <t>Balance Sheet v2|Gross Fixed Assets|0|42063</t>
  </si>
  <si>
    <t>Balance Sheet v2|Less: Depreciation|0|42063</t>
  </si>
  <si>
    <t>Balance Sheet v2|Less: Asset Sales and Write-Offs|0|42063</t>
  </si>
  <si>
    <t>Balance Sheet v2|Net intangible assets|0|42063</t>
  </si>
  <si>
    <t>Balance Sheet v2|Investments in Unconslidated Affiliates|0|42063</t>
  </si>
  <si>
    <t>Balance Sheet v2|Securitized Assets &amp; Off-Balance Sheet Items|0|42063</t>
  </si>
  <si>
    <t>Balance Sheet v2|Other Types|0|42063</t>
  </si>
  <si>
    <t>Balance Sheet v2|Demand Deposits|0|42063</t>
  </si>
  <si>
    <t>Balance Sheet v2|Time Deposits|0|42063</t>
  </si>
  <si>
    <t>Balance Sheet v2|Accrued interest payable|0|42063</t>
  </si>
  <si>
    <t>Balance Sheet v2|Senior Secured Debt (ST)|0|42063</t>
  </si>
  <si>
    <t>Balance Sheet v2|Senior Unsecured Debt (ST)|0|42063</t>
  </si>
  <si>
    <t>Balance Sheet v2|Current Portion of Long-Term Debt|0|42063</t>
  </si>
  <si>
    <t>Balance Sheet v2|Other current liabilities|0|42063</t>
  </si>
  <si>
    <t>Balance Sheet v2|Senior Secured Debt (LT)|0|42063</t>
  </si>
  <si>
    <t>Balance Sheet v2|-Revolving Credit Facility|0|42063</t>
  </si>
  <si>
    <t>Balance Sheet v2|-Bonds Issued|0|42063</t>
  </si>
  <si>
    <t>Balance Sheet v2|-Other|0|42063</t>
  </si>
  <si>
    <t>Balance Sheet v2|Subordinated Debt|0|42063</t>
  </si>
  <si>
    <t>Balance Sheet v2|Securitized loans &amp; off-balance sheet items|0|42063</t>
  </si>
  <si>
    <t>Balance Sheet v2|Others|0|42063</t>
  </si>
  <si>
    <t>Balance Sheet v2|Preferred Shares|0|42063</t>
  </si>
  <si>
    <t>Balance Sheet v2|Common Shares|0|42063</t>
  </si>
  <si>
    <t>Balance Sheet v2|Share Premium|0|42063</t>
  </si>
  <si>
    <t>Balance Sheet v2|Reserves, Donations &amp; Other|0|42063</t>
  </si>
  <si>
    <t>Balance Sheet v2|prior years|0|42063</t>
  </si>
  <si>
    <t>Balance Sheet v2|current years|0|42063</t>
  </si>
  <si>
    <t>Balance Sheet v2|Unrestricted|0|42094</t>
  </si>
  <si>
    <t>Balance Sheet v2|Restricted|0|42094</t>
  </si>
  <si>
    <t>Balance Sheet v2|Short Term Investment Securities|0|42094</t>
  </si>
  <si>
    <t>Balance Sheet v2|Less: reserve for probable loss on securities|0|42094</t>
  </si>
  <si>
    <t>Balance Sheet v2|Gross loan portfolio (Please include entire GLP)|0|42094</t>
  </si>
  <si>
    <t>Balance Sheet v2|Less: loan loss reserves|0|42094</t>
  </si>
  <si>
    <t>Balance Sheet v2|Accrued interest receivable|0|42094</t>
  </si>
  <si>
    <t>Balance Sheet v2|Other current assets|0|42094</t>
  </si>
  <si>
    <t>Balance Sheet v2|Gross Fixed Assets|0|42094</t>
  </si>
  <si>
    <t>Balance Sheet v2|Less: Depreciation|0|42094</t>
  </si>
  <si>
    <t>Balance Sheet v2|Less: Asset Sales and Write-Offs|0|42094</t>
  </si>
  <si>
    <t>Balance Sheet v2|Net intangible assets|0|42094</t>
  </si>
  <si>
    <t>Balance Sheet v2|Investments in Unconslidated Affiliates|0|42094</t>
  </si>
  <si>
    <t>Balance Sheet v2|Securitized Assets &amp; Off-Balance Sheet Items|0|42094</t>
  </si>
  <si>
    <t>Balance Sheet v2|Other Types|0|42094</t>
  </si>
  <si>
    <t>Balance Sheet v2|Demand Deposits|0|42094</t>
  </si>
  <si>
    <t>Balance Sheet v2|Time Deposits|0|42094</t>
  </si>
  <si>
    <t>Balance Sheet v2|Accrued interest payable|0|42094</t>
  </si>
  <si>
    <t>Balance Sheet v2|Senior Secured Debt (ST)|0|42094</t>
  </si>
  <si>
    <t>Balance Sheet v2|Senior Unsecured Debt (ST)|0|42094</t>
  </si>
  <si>
    <t>Balance Sheet v2|Current Portion of Long-Term Debt|0|42094</t>
  </si>
  <si>
    <t>Balance Sheet v2|Other current liabilities|0|42094</t>
  </si>
  <si>
    <t>Balance Sheet v2|Senior Secured Debt (LT)|0|42094</t>
  </si>
  <si>
    <t>Balance Sheet v2|-Revolving Credit Facility|0|42094</t>
  </si>
  <si>
    <t>Balance Sheet v2|-Bonds Issued|0|42094</t>
  </si>
  <si>
    <t>Balance Sheet v2|-Other|0|42094</t>
  </si>
  <si>
    <t>Balance Sheet v2|Subordinated Debt|0|42094</t>
  </si>
  <si>
    <t>Balance Sheet v2|Securitized loans &amp; off-balance sheet items|0|42094</t>
  </si>
  <si>
    <t>Balance Sheet v2|Others|0|42094</t>
  </si>
  <si>
    <t>Balance Sheet v2|Preferred Shares|0|42094</t>
  </si>
  <si>
    <t>Balance Sheet v2|Common Shares|0|42094</t>
  </si>
  <si>
    <t>Balance Sheet v2|Share Premium|0|42094</t>
  </si>
  <si>
    <t>Balance Sheet v2|Reserves, Donations &amp; Other|0|42094</t>
  </si>
  <si>
    <t>Balance Sheet v2|prior years|0|42094</t>
  </si>
  <si>
    <t>Balance Sheet v2|current years|0|42094</t>
  </si>
  <si>
    <t>Balance Sheet v2|Unrestricted|0|42124</t>
  </si>
  <si>
    <t>Balance Sheet v2|Restricted|0|42124</t>
  </si>
  <si>
    <t>Balance Sheet v2|Short Term Investment Securities|0|42124</t>
  </si>
  <si>
    <t>Balance Sheet v2|Less: reserve for probable loss on securities|0|42124</t>
  </si>
  <si>
    <t>Balance Sheet v2|Gross loan portfolio (Please include entire GLP)|0|42124</t>
  </si>
  <si>
    <t>Balance Sheet v2|Less: loan loss reserves|0|42124</t>
  </si>
  <si>
    <t>Balance Sheet v2|Accrued interest receivable|0|42124</t>
  </si>
  <si>
    <t>Balance Sheet v2|Other current assets|0|42124</t>
  </si>
  <si>
    <t>Balance Sheet v2|Gross Fixed Assets|0|42124</t>
  </si>
  <si>
    <t>Balance Sheet v2|Less: Depreciation|0|42124</t>
  </si>
  <si>
    <t>Balance Sheet v2|Less: Asset Sales and Write-Offs|0|42124</t>
  </si>
  <si>
    <t>Balance Sheet v2|Net intangible assets|0|42124</t>
  </si>
  <si>
    <t>Balance Sheet v2|Investments in Unconslidated Affiliates|0|42124</t>
  </si>
  <si>
    <t>Balance Sheet v2|Securitized Assets &amp; Off-Balance Sheet Items|0|42124</t>
  </si>
  <si>
    <t>Balance Sheet v2|Other Types|0|42124</t>
  </si>
  <si>
    <t>Balance Sheet v2|Demand Deposits|0|42124</t>
  </si>
  <si>
    <t>Balance Sheet v2|Time Deposits|0|42124</t>
  </si>
  <si>
    <t>Balance Sheet v2|Accrued interest payable|0|42124</t>
  </si>
  <si>
    <t>Balance Sheet v2|Senior Secured Debt (ST)|0|42124</t>
  </si>
  <si>
    <t>Balance Sheet v2|Senior Unsecured Debt (ST)|0|42124</t>
  </si>
  <si>
    <t>Balance Sheet v2|Current Portion of Long-Term Debt|0|42124</t>
  </si>
  <si>
    <t>Balance Sheet v2|Other current liabilities|0|42124</t>
  </si>
  <si>
    <t>Balance Sheet v2|Senior Secured Debt (LT)|0|42124</t>
  </si>
  <si>
    <t>Balance Sheet v2|-Revolving Credit Facility|0|42124</t>
  </si>
  <si>
    <t>Balance Sheet v2|-Bonds Issued|0|42124</t>
  </si>
  <si>
    <t>Balance Sheet v2|-Other|0|42124</t>
  </si>
  <si>
    <t>Balance Sheet v2|Subordinated Debt|0|42124</t>
  </si>
  <si>
    <t>Balance Sheet v2|Securitized loans &amp; off-balance sheet items|0|42124</t>
  </si>
  <si>
    <t>Balance Sheet v2|Others|0|42124</t>
  </si>
  <si>
    <t>Balance Sheet v2|Preferred Shares|0|42124</t>
  </si>
  <si>
    <t>Balance Sheet v2|Common Shares|0|42124</t>
  </si>
  <si>
    <t>Balance Sheet v2|Share Premium|0|42124</t>
  </si>
  <si>
    <t>Balance Sheet v2|Reserves, Donations &amp; Other|0|42124</t>
  </si>
  <si>
    <t>Balance Sheet v2|prior years|0|42124</t>
  </si>
  <si>
    <t>Balance Sheet v2|current years|0|42124</t>
  </si>
  <si>
    <t>Currency Exposure v2|Cash|0|42035</t>
  </si>
  <si>
    <t>Currency Exposure v2|Portfolio|0|42035</t>
  </si>
  <si>
    <t>Currency Exposure v2|Other Assets|0|42035</t>
  </si>
  <si>
    <t>Currency Exposure v2|Savings|0|42035</t>
  </si>
  <si>
    <t>Currency Exposure v2|Borrowings|0|42035</t>
  </si>
  <si>
    <t>Currency Exposure v2|Other Liabilities|0|42035</t>
  </si>
  <si>
    <t>Currency Exposure v2|Deposits for Back-to-Back Loans|0|42035</t>
  </si>
  <si>
    <t>Currency Exposure v2|Options|0|42035</t>
  </si>
  <si>
    <t>Currency Exposure v2|Forwards|0|42035</t>
  </si>
  <si>
    <t>Currency Exposure v2|Swaps|0|42035</t>
  </si>
  <si>
    <t>Currency Exposure v2|Back-to-back Loans|0|42035</t>
  </si>
  <si>
    <t>Currency Exposure v2|Options-L|0|42035</t>
  </si>
  <si>
    <t>Currency Exposure v2|Forwards-L|0|42035</t>
  </si>
  <si>
    <t>Currency Exposure v2|Swaps-L|0|42035</t>
  </si>
  <si>
    <t>Currency Exposure v2|Cash|0|42063</t>
  </si>
  <si>
    <t>Currency Exposure v2|Portfolio|0|42063</t>
  </si>
  <si>
    <t>Currency Exposure v2|Other Assets|0|42063</t>
  </si>
  <si>
    <t>Currency Exposure v2|Savings|0|42063</t>
  </si>
  <si>
    <t>Currency Exposure v2|Borrowings|0|42063</t>
  </si>
  <si>
    <t>Currency Exposure v2|Other Liabilities|0|42063</t>
  </si>
  <si>
    <t>Currency Exposure v2|Deposits for Back-to-Back Loans|0|42063</t>
  </si>
  <si>
    <t>Currency Exposure v2|Options|0|42063</t>
  </si>
  <si>
    <t>Currency Exposure v2|Forwards|0|42063</t>
  </si>
  <si>
    <t>Currency Exposure v2|Swaps|0|42063</t>
  </si>
  <si>
    <t>Currency Exposure v2|Back-to-back Loans|0|42063</t>
  </si>
  <si>
    <t>Currency Exposure v2|Options-L|0|42063</t>
  </si>
  <si>
    <t>Currency Exposure v2|Forwards-L|0|42063</t>
  </si>
  <si>
    <t>Currency Exposure v2|Swaps-L|0|42063</t>
  </si>
  <si>
    <t>Currency Exposure v2|Cash|0|42094</t>
  </si>
  <si>
    <t>Currency Exposure v2|Portfolio|0|42094</t>
  </si>
  <si>
    <t>Currency Exposure v2|Other Assets|0|42094</t>
  </si>
  <si>
    <t>Currency Exposure v2|Savings|0|42094</t>
  </si>
  <si>
    <t>Currency Exposure v2|Borrowings|0|42094</t>
  </si>
  <si>
    <t>Currency Exposure v2|Other Liabilities|0|42094</t>
  </si>
  <si>
    <t>Currency Exposure v2|Deposits for Back-to-Back Loans|0|42094</t>
  </si>
  <si>
    <t>Currency Exposure v2|Options|0|42094</t>
  </si>
  <si>
    <t>Currency Exposure v2|Forwards|0|42094</t>
  </si>
  <si>
    <t>Currency Exposure v2|Swaps|0|42094</t>
  </si>
  <si>
    <t>Currency Exposure v2|Back-to-back Loans|0|42094</t>
  </si>
  <si>
    <t>Currency Exposure v2|Options-L|0|42094</t>
  </si>
  <si>
    <t>Currency Exposure v2|Forwards-L|0|42094</t>
  </si>
  <si>
    <t>Currency Exposure v2|Swaps-L|0|42094</t>
  </si>
  <si>
    <t>Currency Exposure v2|Cash|0|42124</t>
  </si>
  <si>
    <t>Currency Exposure v2|Portfolio|0|42124</t>
  </si>
  <si>
    <t>Currency Exposure v2|Other Assets|0|42124</t>
  </si>
  <si>
    <t>Currency Exposure v2|Savings|0|42124</t>
  </si>
  <si>
    <t>Currency Exposure v2|Borrowings|0|42124</t>
  </si>
  <si>
    <t>Currency Exposure v2|Other Liabilities|0|42124</t>
  </si>
  <si>
    <t>Currency Exposure v2|Deposits for Back-to-Back Loans|0|42124</t>
  </si>
  <si>
    <t>Currency Exposure v2|Options|0|42124</t>
  </si>
  <si>
    <t>Currency Exposure v2|Forwards|0|42124</t>
  </si>
  <si>
    <t>Currency Exposure v2|Swaps|0|42124</t>
  </si>
  <si>
    <t>Currency Exposure v2|Back-to-back Loans|0|42124</t>
  </si>
  <si>
    <t>Currency Exposure v2|Options-L|0|42124</t>
  </si>
  <si>
    <t>Currency Exposure v2|Forwards-L|0|42124</t>
  </si>
  <si>
    <t>Currency Exposure v2|Swaps-L|0|42124</t>
  </si>
  <si>
    <t>Income Statement v2|Interest Income from Loans|0|42035</t>
  </si>
  <si>
    <t>Income Statement v2|Income from Fees and Commissions on Loans|0|42035</t>
  </si>
  <si>
    <t>Income Statement v2|Interest Expense on Borrowings (&amp; Bonds)|0|42035</t>
  </si>
  <si>
    <t>Income Statement v2|Interest Expense on Deposits|0|42035</t>
  </si>
  <si>
    <t>Income Statement v2|Loan Loss Provision Expense|0|42035</t>
  </si>
  <si>
    <t>Income Statement v2|Fees from Penalties|0|42035</t>
  </si>
  <si>
    <t>Income Statement v2|Fees and Commissions from Non-Lending Operations|0|42035</t>
  </si>
  <si>
    <t>Income Statement v2|Realized Net Foreign Exchange/Inflation Income (Expense)|0|42035</t>
  </si>
  <si>
    <t>Income Statement v2|Other Financial Income (Expense)|0|42035</t>
  </si>
  <si>
    <t>Income Statement v2|Salaries &amp; Benefits|0|42035</t>
  </si>
  <si>
    <t>Income Statement v2|General &amp; Administrative|0|42035</t>
  </si>
  <si>
    <t>Income Statement v2|Depreciation &amp; Amortization|0|42035</t>
  </si>
  <si>
    <t>Income Statement v2|Non-operating income|0|42035</t>
  </si>
  <si>
    <t>Income Statement v2|Non-operating expenses|0|42035</t>
  </si>
  <si>
    <t>Income Statement v2|Income Tax Expense|0|42035</t>
  </si>
  <si>
    <t>Income Statement v2|Donations|0|42035</t>
  </si>
  <si>
    <t>Income Statement v2|Income (Expense) from Unconsolidated Affiliates|0|42035</t>
  </si>
  <si>
    <t>Income Statement v2|Dividends Received|0|42035</t>
  </si>
  <si>
    <t>Income Statement v2|Minority Interest Expense|0|42035</t>
  </si>
  <si>
    <t>Income Statement v2|Ordinary Shares Outstanding|0|42035</t>
  </si>
  <si>
    <t>Income Statement v2|Fully Diluted Shares Outstanding|0|42035</t>
  </si>
  <si>
    <t>Income Statement v2|Dividends|0|42035</t>
  </si>
  <si>
    <t>Income Statement v2|Unrealized FX Gains/(Losses)|0|42035</t>
  </si>
  <si>
    <t>Income Statement v2|Other|0|42035</t>
  </si>
  <si>
    <t>Income Statement v2|Interest Income from Loans|0|42063</t>
  </si>
  <si>
    <t>Income Statement v2|Income from Fees and Commissions on Loans|0|42063</t>
  </si>
  <si>
    <t>Income Statement v2|Interest Expense on Borrowings (&amp; Bonds)|0|42063</t>
  </si>
  <si>
    <t>Income Statement v2|Interest Expense on Deposits|0|42063</t>
  </si>
  <si>
    <t>Income Statement v2|Loan Loss Provision Expense|0|42063</t>
  </si>
  <si>
    <t>Income Statement v2|Fees from Penalties|0|42063</t>
  </si>
  <si>
    <t>Income Statement v2|Fees and Commissions from Non-Lending Operations|0|42063</t>
  </si>
  <si>
    <t>Income Statement v2|Realized Net Foreign Exchange/Inflation Income (Expense)|0|42063</t>
  </si>
  <si>
    <t>Income Statement v2|Other Financial Income (Expense)|0|42063</t>
  </si>
  <si>
    <t>Income Statement v2|Salaries &amp; Benefits|0|42063</t>
  </si>
  <si>
    <t>Income Statement v2|General &amp; Administrative|0|42063</t>
  </si>
  <si>
    <t>Income Statement v2|Depreciation &amp; Amortization|0|42063</t>
  </si>
  <si>
    <t>Income Statement v2|Non-operating income|0|42063</t>
  </si>
  <si>
    <t>Income Statement v2|Non-operating expenses|0|42063</t>
  </si>
  <si>
    <t>Income Statement v2|Income Tax Expense|0|42063</t>
  </si>
  <si>
    <t>Income Statement v2|Donations|0|42063</t>
  </si>
  <si>
    <t>Income Statement v2|Income (Expense) from Unconsolidated Affiliates|0|42063</t>
  </si>
  <si>
    <t>Income Statement v2|Dividends Received|0|42063</t>
  </si>
  <si>
    <t>Income Statement v2|Minority Interest Expense|0|42063</t>
  </si>
  <si>
    <t>Income Statement v2|Ordinary Shares Outstanding|0|42063</t>
  </si>
  <si>
    <t>Income Statement v2|Fully Diluted Shares Outstanding|0|42063</t>
  </si>
  <si>
    <t>Income Statement v2|Dividends|0|42063</t>
  </si>
  <si>
    <t>Income Statement v2|Unrealized FX Gains/(Losses)|0|42063</t>
  </si>
  <si>
    <t>Income Statement v2|Other|0|42063</t>
  </si>
  <si>
    <t>Income Statement v2|Interest Income from Loans|0|42094</t>
  </si>
  <si>
    <t>Income Statement v2|Income from Fees and Commissions on Loans|0|42094</t>
  </si>
  <si>
    <t>Income Statement v2|Interest Expense on Borrowings (&amp; Bonds)|0|42094</t>
  </si>
  <si>
    <t>Income Statement v2|Interest Expense on Deposits|0|42094</t>
  </si>
  <si>
    <t>Income Statement v2|Loan Loss Provision Expense|0|42094</t>
  </si>
  <si>
    <t>Income Statement v2|Fees from Penalties|0|42094</t>
  </si>
  <si>
    <t>Income Statement v2|Fees and Commissions from Non-Lending Operations|0|42094</t>
  </si>
  <si>
    <t>Income Statement v2|Realized Net Foreign Exchange/Inflation Income (Expense)|0|42094</t>
  </si>
  <si>
    <t>Income Statement v2|Other Financial Income (Expense)|0|42094</t>
  </si>
  <si>
    <t>Income Statement v2|Salaries &amp; Benefits|0|42094</t>
  </si>
  <si>
    <t>Income Statement v2|General &amp; Administrative|0|42094</t>
  </si>
  <si>
    <t>Income Statement v2|Depreciation &amp; Amortization|0|42094</t>
  </si>
  <si>
    <t>Income Statement v2|Non-operating income|0|42094</t>
  </si>
  <si>
    <t>Income Statement v2|Non-operating expenses|0|42094</t>
  </si>
  <si>
    <t>Income Statement v2|Income Tax Expense|0|42094</t>
  </si>
  <si>
    <t>Income Statement v2|Donations|0|42094</t>
  </si>
  <si>
    <t>Income Statement v2|Income (Expense) from Unconsolidated Affiliates|0|42094</t>
  </si>
  <si>
    <t>Income Statement v2|Dividends Received|0|42094</t>
  </si>
  <si>
    <t>Income Statement v2|Minority Interest Expense|0|42094</t>
  </si>
  <si>
    <t>Income Statement v2|Ordinary Shares Outstanding|0|42094</t>
  </si>
  <si>
    <t>Income Statement v2|Fully Diluted Shares Outstanding|0|42094</t>
  </si>
  <si>
    <t>Income Statement v2|Dividends|0|42094</t>
  </si>
  <si>
    <t>Income Statement v2|Unrealized FX Gains/(Losses)|0|42094</t>
  </si>
  <si>
    <t>Income Statement v2|Other|0|42094</t>
  </si>
  <si>
    <t>Income Statement v2|Interest Income from Loans|0|42124</t>
  </si>
  <si>
    <t>Income Statement v2|Income from Fees and Commissions on Loans|0|42124</t>
  </si>
  <si>
    <t>Income Statement v2|Interest Expense on Borrowings (&amp; Bonds)|0|42124</t>
  </si>
  <si>
    <t>Income Statement v2|Interest Expense on Deposits|0|42124</t>
  </si>
  <si>
    <t>Income Statement v2|Loan Loss Provision Expense|0|42124</t>
  </si>
  <si>
    <t>Income Statement v2|Fees from Penalties|0|42124</t>
  </si>
  <si>
    <t>Income Statement v2|Fees and Commissions from Non-Lending Operations|0|42124</t>
  </si>
  <si>
    <t>Income Statement v2|Realized Net Foreign Exchange/Inflation Income (Expense)|0|42124</t>
  </si>
  <si>
    <t>Income Statement v2|Other Financial Income (Expense)|0|42124</t>
  </si>
  <si>
    <t>Income Statement v2|Salaries &amp; Benefits|0|42124</t>
  </si>
  <si>
    <t>Income Statement v2|General &amp; Administrative|0|42124</t>
  </si>
  <si>
    <t>Income Statement v2|Depreciation &amp; Amortization|0|42124</t>
  </si>
  <si>
    <t>Income Statement v2|Non-operating income|0|42124</t>
  </si>
  <si>
    <t>Income Statement v2|Non-operating expenses|0|42124</t>
  </si>
  <si>
    <t>Income Statement v2|Income Tax Expense|0|42124</t>
  </si>
  <si>
    <t>Income Statement v2|Donations|0|42124</t>
  </si>
  <si>
    <t>Income Statement v2|Income (Expense) from Unconsolidated Affiliates|0|42124</t>
  </si>
  <si>
    <t>Income Statement v2|Dividends Received|0|42124</t>
  </si>
  <si>
    <t>Income Statement v2|Minority Interest Expense|0|42124</t>
  </si>
  <si>
    <t>Income Statement v2|Ordinary Shares Outstanding|0|42124</t>
  </si>
  <si>
    <t>Income Statement v2|Fully Diluted Shares Outstanding|0|42124</t>
  </si>
  <si>
    <t>Income Statement v2|Dividends|0|42124</t>
  </si>
  <si>
    <t>Income Statement v2|Unrealized FX Gains/(Losses)|0|42124</t>
  </si>
  <si>
    <t>Income Statement v2|Other|0|42124</t>
  </si>
  <si>
    <t>Portfolio Quality v2|Current Portfolio|0|42035</t>
  </si>
  <si>
    <t>Portfolio Quality v2|PAR (1-30 days)|0|42035</t>
  </si>
  <si>
    <t>Portfolio Quality v2|PAR (30-60 days)|0|42035</t>
  </si>
  <si>
    <t>Portfolio Quality v2|PAR (60-90 days)|0|42035</t>
  </si>
  <si>
    <t>Portfolio Quality v2|PAR (90-120 days)|0|42035</t>
  </si>
  <si>
    <t>Portfolio Quality v2|PAR (120-180 days)|0|42035</t>
  </si>
  <si>
    <t>Portfolio Quality v2|PAR (180 - 360 days)|0|42035</t>
  </si>
  <si>
    <t>Portfolio Quality v2|PAR (&gt;360 days)|0|42035</t>
  </si>
  <si>
    <t>Portfolio Quality v2|Current R+R Loans|0|42035</t>
  </si>
  <si>
    <t>Portfolio Quality v2|PAR (1-30 days) (R+R)|0|42035</t>
  </si>
  <si>
    <t>Portfolio Quality v2|PAR (&gt;30 days)|0|42035</t>
  </si>
  <si>
    <t>Portfolio Quality v2|-Gross Write-Offs**|0|42035</t>
  </si>
  <si>
    <t>Portfolio Quality v2|-Recoveries**|0|42035</t>
  </si>
  <si>
    <t>Portfolio Quality v2|+/-Other|0|42035</t>
  </si>
  <si>
    <t>Portfolio Quality v2|Current Portfolio|0|42063</t>
  </si>
  <si>
    <t>Portfolio Quality v2|PAR (1-30 days)|0|42063</t>
  </si>
  <si>
    <t>Portfolio Quality v2|PAR (30-60 days)|0|42063</t>
  </si>
  <si>
    <t>Portfolio Quality v2|PAR (60-90 days)|0|42063</t>
  </si>
  <si>
    <t>Portfolio Quality v2|PAR (90-120 days)|0|42063</t>
  </si>
  <si>
    <t>Portfolio Quality v2|PAR (120-180 days)|0|42063</t>
  </si>
  <si>
    <t>Portfolio Quality v2|PAR (180 - 360 days)|0|42063</t>
  </si>
  <si>
    <t>Portfolio Quality v2|PAR (&gt;360 days)|0|42063</t>
  </si>
  <si>
    <t>Portfolio Quality v2|Current R+R Loans|0|42063</t>
  </si>
  <si>
    <t>Portfolio Quality v2|PAR (1-30 days) (R+R)|0|42063</t>
  </si>
  <si>
    <t>Portfolio Quality v2|PAR (&gt;30 days)|0|42063</t>
  </si>
  <si>
    <t>Portfolio Quality v2|-Gross Write-Offs**|0|42063</t>
  </si>
  <si>
    <t>Portfolio Quality v2|-Recoveries**|0|42063</t>
  </si>
  <si>
    <t>Portfolio Quality v2|+/-Other|0|42063</t>
  </si>
  <si>
    <t>Portfolio Quality v2|Current Portfolio|0|42094</t>
  </si>
  <si>
    <t>Portfolio Quality v2|PAR (1-30 days)|0|42094</t>
  </si>
  <si>
    <t>Portfolio Quality v2|PAR (30-60 days)|0|42094</t>
  </si>
  <si>
    <t>Portfolio Quality v2|PAR (60-90 days)|0|42094</t>
  </si>
  <si>
    <t>Portfolio Quality v2|PAR (90-120 days)|0|42094</t>
  </si>
  <si>
    <t>Portfolio Quality v2|PAR (120-180 days)|0|42094</t>
  </si>
  <si>
    <t>Portfolio Quality v2|PAR (180 - 360 days)|0|42094</t>
  </si>
  <si>
    <t>Portfolio Quality v2|PAR (&gt;360 days)|0|42094</t>
  </si>
  <si>
    <t>Portfolio Quality v2|Current R+R Loans|0|42094</t>
  </si>
  <si>
    <t>Portfolio Quality v2|PAR (1-30 days) (R+R)|0|42094</t>
  </si>
  <si>
    <t>Portfolio Quality v2|PAR (&gt;30 days)|0|42094</t>
  </si>
  <si>
    <t>Portfolio Quality v2|-Gross Write-Offs**|0|42094</t>
  </si>
  <si>
    <t>Portfolio Quality v2|-Recoveries**|0|42094</t>
  </si>
  <si>
    <t>Portfolio Quality v2|+/-Other|0|42094</t>
  </si>
  <si>
    <t>Portfolio Quality v2|Current Portfolio|0|42124</t>
  </si>
  <si>
    <t>Portfolio Quality v2|PAR (1-30 days)|0|42124</t>
  </si>
  <si>
    <t>Portfolio Quality v2|PAR (30-60 days)|0|42124</t>
  </si>
  <si>
    <t>Portfolio Quality v2|PAR (60-90 days)|0|42124</t>
  </si>
  <si>
    <t>Portfolio Quality v2|PAR (90-120 days)|0|42124</t>
  </si>
  <si>
    <t>Portfolio Quality v2|PAR (120-180 days)|0|42124</t>
  </si>
  <si>
    <t>Portfolio Quality v2|PAR (180 - 360 days)|0|42124</t>
  </si>
  <si>
    <t>Portfolio Quality v2|PAR (&gt;360 days)|0|42124</t>
  </si>
  <si>
    <t>Portfolio Quality v2|Current R+R Loans|0|42124</t>
  </si>
  <si>
    <t>Portfolio Quality v2|PAR (1-30 days) (R+R)|0|42124</t>
  </si>
  <si>
    <t>Portfolio Quality v2|PAR (&gt;30 days)|0|42124</t>
  </si>
  <si>
    <t>Portfolio Quality v2|-Gross Write-Offs**|0|42124</t>
  </si>
  <si>
    <t>Portfolio Quality v2|-Recoveries**|0|42124</t>
  </si>
  <si>
    <t>Portfolio Quality v2|+/-Other|0|42124</t>
  </si>
  <si>
    <t>Organizational Data v2|Voluntary Savers/Depositors|0|42035</t>
  </si>
  <si>
    <t>Organizational Data v2|Active Borrowers|0|42035</t>
  </si>
  <si>
    <t>Organizational Data v2|Loans Outstanding|0|42035</t>
  </si>
  <si>
    <t>Organizational Data v2|Branches, Sub-Branches &amp; All Offices|0|42035</t>
  </si>
  <si>
    <t>Organizational Data v2|All Employees|0|42035</t>
  </si>
  <si>
    <t>Organizational Data v2|Loan Officers|0|42035</t>
  </si>
  <si>
    <t>Organizational Data v2|Voluntary Savers/Depositors|0|42063</t>
  </si>
  <si>
    <t>Organizational Data v2|Active Borrowers|0|42063</t>
  </si>
  <si>
    <t>Organizational Data v2|Loans Outstanding|0|42063</t>
  </si>
  <si>
    <t>Organizational Data v2|Branches, Sub-Branches &amp; All Offices|0|42063</t>
  </si>
  <si>
    <t>Organizational Data v2|All Employees|0|42063</t>
  </si>
  <si>
    <t>Organizational Data v2|Loan Officers|0|42063</t>
  </si>
  <si>
    <t>Organizational Data v2|Voluntary Savers/Depositors|0|42094</t>
  </si>
  <si>
    <t>Organizational Data v2|Active Borrowers|0|42094</t>
  </si>
  <si>
    <t>Organizational Data v2|Loans Outstanding|0|42094</t>
  </si>
  <si>
    <t>Organizational Data v2|Branches, Sub-Branches &amp; All Offices|0|42094</t>
  </si>
  <si>
    <t>Organizational Data v2|All Employees|0|42094</t>
  </si>
  <si>
    <t>Organizational Data v2|Loan Officers|0|42094</t>
  </si>
  <si>
    <t>Organizational Data v2|Voluntary Savers/Depositors|0|42124</t>
  </si>
  <si>
    <t>Organizational Data v2|Active Borrowers|0|42124</t>
  </si>
  <si>
    <t>Organizational Data v2|Loans Outstanding|0|42124</t>
  </si>
  <si>
    <t>Organizational Data v2|Branches, Sub-Branches &amp; All Offices|0|42124</t>
  </si>
  <si>
    <t>Organizational Data v2|All Employees|0|42124</t>
  </si>
  <si>
    <t>Organizational Data v2|Loan Officers|0|42124</t>
  </si>
  <si>
    <t>Aggregated Financials|GLP|0|41060</t>
  </si>
  <si>
    <t>Aggregated Financials|Total Assets|0|41060</t>
  </si>
  <si>
    <t>Aggregated Financials|Total Equity|0|41060</t>
  </si>
  <si>
    <t>Aggregated Financials|Net Income|0|41060</t>
  </si>
  <si>
    <t>Aggregated Financials|January Assets|0|41060</t>
  </si>
  <si>
    <t>Aggregated Financials|January Equity|0|41060</t>
  </si>
  <si>
    <t>Aggregated Financials|LTM GLP|0|41060</t>
  </si>
  <si>
    <t>Aggregated Financials|Loan Loss Reserves|0|41060</t>
  </si>
  <si>
    <t>Aggregated Financials|Total Debt|0|41060</t>
  </si>
  <si>
    <t>Aggregated Financials|Financial Revenue|0|41060</t>
  </si>
  <si>
    <t>Aggregated Financials|Number of Active Borrowers|0|41060</t>
  </si>
  <si>
    <t>Aggregated Financials|Number of Active Loans|0|41060</t>
  </si>
  <si>
    <t>Aggregated Financials|PAR &gt;30|0|41060</t>
  </si>
  <si>
    <t>Aggregated Financials|R +R |0|41060</t>
  </si>
  <si>
    <t>Aggregated Financials|LTM Write-Offs|0|41060</t>
  </si>
  <si>
    <t>Aggregated Financials|Foreign Currency Exposure Asset|0|41060</t>
  </si>
  <si>
    <t>Aggregated Financials|Foreign Currency Liabilities|0|41060</t>
  </si>
  <si>
    <t>Aggregated Financials|Asset Hedges|0|41060</t>
  </si>
  <si>
    <t>Aggregated Financials|Liability Hedges|0|41060</t>
  </si>
  <si>
    <t>Aggregated Financials|PAR &gt;60|0|41060</t>
  </si>
  <si>
    <t>Aggregated Financials|Previous Month Equity|0|41060</t>
  </si>
  <si>
    <t>Aggregated Financials|MONTH FX|0|41060</t>
  </si>
  <si>
    <t>Aggregated Financials|LAST MONTH FX|0|41060</t>
  </si>
  <si>
    <t>Aggregated Financials|YTD FX|0|41060</t>
  </si>
  <si>
    <t>Aggregated Financials|LTM FX|0|41060</t>
  </si>
  <si>
    <t>Aggregated Financials|LTM Average GLP|0|41060</t>
  </si>
  <si>
    <t>Aggregated Financials|LTM Average Assets|0|41060</t>
  </si>
  <si>
    <t>Aggregated Financials|LTM Average Equity|0|41060</t>
  </si>
  <si>
    <t>Aggregated Financials|LTM Average Borrowings|0|41060</t>
  </si>
  <si>
    <t>Aggregated Financials|YTD Average Assets|0|41060</t>
  </si>
  <si>
    <t>Aggregated Financials|YTD Average GLP|0|41060</t>
  </si>
  <si>
    <t>Aggregated Financials|YTD Average Equity|0|41060</t>
  </si>
  <si>
    <t>Aggregated Financials|YTD Average Borrowings|0|41060</t>
  </si>
  <si>
    <t>Aggregated Financials|LTM Net Income|0|41060</t>
  </si>
  <si>
    <t>Aggregated Financials|LTM Financial Revenue|0|41060</t>
  </si>
  <si>
    <t>Aggregated Financials|LTM Financial Expense |0|41060</t>
  </si>
  <si>
    <t>Aggregated Financials|LTM Provisioning Expense |0|41060</t>
  </si>
  <si>
    <t>Aggregated Financials|LTM Operating Expense|0|41060</t>
  </si>
  <si>
    <t>Aggregated Financials|LTM Other Financial Income (Expense)|0|41060</t>
  </si>
  <si>
    <t>Aggregated Financials|Total Borrowings|0|41060</t>
  </si>
  <si>
    <t>Aggregated Financials|Total Interest Bearing Debt |0|41060</t>
  </si>
  <si>
    <t>Aggregated Financials|Savings Accounts|0|41060</t>
  </si>
  <si>
    <t>Aggregated Financials|Operating Expenses|0|41060</t>
  </si>
  <si>
    <t>Aggregated Financials|LTM Net Income (After Taxes &amp; Before Donations) |0|41060</t>
  </si>
  <si>
    <t>Aggregated Financials|Net Income (After Taxes &amp; Before Donations) |0|41060</t>
  </si>
  <si>
    <t>Aggregated Financials|LTM Savings Accounts|0|41060</t>
  </si>
  <si>
    <t>Aggregated Financials|PAR &gt;90|0|41060</t>
  </si>
  <si>
    <t>Aggregated Financials|GLP|0|41090</t>
  </si>
  <si>
    <t>Aggregated Financials|Total Assets|0|41090</t>
  </si>
  <si>
    <t>Aggregated Financials|Total Equity|0|41090</t>
  </si>
  <si>
    <t>Aggregated Financials|Net Income|0|41090</t>
  </si>
  <si>
    <t>Aggregated Financials|January Assets|0|41090</t>
  </si>
  <si>
    <t>Aggregated Financials|January Equity|0|41090</t>
  </si>
  <si>
    <t>Aggregated Financials|LTM GLP|0|41090</t>
  </si>
  <si>
    <t>Aggregated Financials|Loan Loss Reserves|0|41090</t>
  </si>
  <si>
    <t>Aggregated Financials|Total Debt|0|41090</t>
  </si>
  <si>
    <t>Aggregated Financials|Financial Revenue|0|41090</t>
  </si>
  <si>
    <t>Aggregated Financials|Number of Active Borrowers|0|41090</t>
  </si>
  <si>
    <t>Aggregated Financials|Number of Active Loans|0|41090</t>
  </si>
  <si>
    <t>Aggregated Financials|PAR &gt;30|0|41090</t>
  </si>
  <si>
    <t>Aggregated Financials|R +R |0|41090</t>
  </si>
  <si>
    <t>Aggregated Financials|LTM Write-Offs|0|41090</t>
  </si>
  <si>
    <t>Aggregated Financials|Foreign Currency Exposure Asset|0|41090</t>
  </si>
  <si>
    <t>Aggregated Financials|Foreign Currency Liabilities|0|41090</t>
  </si>
  <si>
    <t>Aggregated Financials|Asset Hedges|0|41090</t>
  </si>
  <si>
    <t>Aggregated Financials|Liability Hedges|0|41090</t>
  </si>
  <si>
    <t>Aggregated Financials|PAR &gt;60|0|41090</t>
  </si>
  <si>
    <t>Aggregated Financials|Previous Month Equity|0|41090</t>
  </si>
  <si>
    <t>Aggregated Financials|MONTH FX|0|41090</t>
  </si>
  <si>
    <t>Aggregated Financials|LAST MONTH FX|0|41090</t>
  </si>
  <si>
    <t>Aggregated Financials|YTD FX|0|41090</t>
  </si>
  <si>
    <t>Aggregated Financials|LTM FX|0|41090</t>
  </si>
  <si>
    <t>Aggregated Financials|LTM Average GLP|0|41090</t>
  </si>
  <si>
    <t>Aggregated Financials|LTM Average Assets|0|41090</t>
  </si>
  <si>
    <t>Aggregated Financials|LTM Average Equity|0|41090</t>
  </si>
  <si>
    <t>Aggregated Financials|LTM Average Borrowings|0|41090</t>
  </si>
  <si>
    <t>Aggregated Financials|YTD Average Assets|0|41090</t>
  </si>
  <si>
    <t>Aggregated Financials|YTD Average GLP|0|41090</t>
  </si>
  <si>
    <t>Aggregated Financials|YTD Average Equity|0|41090</t>
  </si>
  <si>
    <t>Aggregated Financials|YTD Average Borrowings|0|41090</t>
  </si>
  <si>
    <t>Aggregated Financials|LTM Net Income|0|41090</t>
  </si>
  <si>
    <t>Aggregated Financials|LTM Financial Revenue|0|41090</t>
  </si>
  <si>
    <t>Aggregated Financials|LTM Financial Expense |0|41090</t>
  </si>
  <si>
    <t>Aggregated Financials|LTM Provisioning Expense |0|41090</t>
  </si>
  <si>
    <t>Aggregated Financials|LTM Operating Expense|0|41090</t>
  </si>
  <si>
    <t>Aggregated Financials|LTM Other Financial Income (Expense)|0|41090</t>
  </si>
  <si>
    <t>Aggregated Financials|Total Borrowings|0|41090</t>
  </si>
  <si>
    <t>Aggregated Financials|Total Interest Bearing Debt |0|41090</t>
  </si>
  <si>
    <t>Aggregated Financials|Savings Accounts|0|41090</t>
  </si>
  <si>
    <t>Aggregated Financials|Operating Expenses|0|41090</t>
  </si>
  <si>
    <t>Aggregated Financials|LTM Net Income (After Taxes &amp; Before Donations) |0|41090</t>
  </si>
  <si>
    <t>Aggregated Financials|Net Income (After Taxes &amp; Before Donations) |0|41090</t>
  </si>
  <si>
    <t>Aggregated Financials|LTM Savings Accounts|0|41090</t>
  </si>
  <si>
    <t>Aggregated Financials|PAR &gt;90|0|41090</t>
  </si>
  <si>
    <t>Aggregated Financials|GLP|0|41121</t>
  </si>
  <si>
    <t>Aggregated Financials|Total Assets|0|41121</t>
  </si>
  <si>
    <t>Aggregated Financials|Total Equity|0|41121</t>
  </si>
  <si>
    <t>Aggregated Financials|Net Income|0|41121</t>
  </si>
  <si>
    <t>Aggregated Financials|January Assets|0|41121</t>
  </si>
  <si>
    <t>Aggregated Financials|January Equity|0|41121</t>
  </si>
  <si>
    <t>Aggregated Financials|LTM GLP|0|41121</t>
  </si>
  <si>
    <t>Aggregated Financials|Loan Loss Reserves|0|41121</t>
  </si>
  <si>
    <t>Aggregated Financials|Total Debt|0|41121</t>
  </si>
  <si>
    <t>Aggregated Financials|Financial Revenue|0|41121</t>
  </si>
  <si>
    <t>Aggregated Financials|Number of Active Borrowers|0|41121</t>
  </si>
  <si>
    <t>Aggregated Financials|Number of Active Loans|0|41121</t>
  </si>
  <si>
    <t>Aggregated Financials|PAR &gt;30|0|41121</t>
  </si>
  <si>
    <t>Aggregated Financials|R +R |0|41121</t>
  </si>
  <si>
    <t>Aggregated Financials|LTM Write-Offs|0|41121</t>
  </si>
  <si>
    <t>Aggregated Financials|Foreign Currency Exposure Asset|0|41121</t>
  </si>
  <si>
    <t>Aggregated Financials|Foreign Currency Liabilities|0|41121</t>
  </si>
  <si>
    <t>Aggregated Financials|Asset Hedges|0|41121</t>
  </si>
  <si>
    <t>Aggregated Financials|Liability Hedges|0|41121</t>
  </si>
  <si>
    <t>Aggregated Financials|PAR &gt;60|0|41121</t>
  </si>
  <si>
    <t>Aggregated Financials|Previous Month Equity|0|41121</t>
  </si>
  <si>
    <t>Aggregated Financials|MONTH FX|0|41121</t>
  </si>
  <si>
    <t>Aggregated Financials|LAST MONTH FX|0|41121</t>
  </si>
  <si>
    <t>Aggregated Financials|YTD FX|0|41121</t>
  </si>
  <si>
    <t>Aggregated Financials|LTM FX|0|41121</t>
  </si>
  <si>
    <t>Aggregated Financials|LTM Average GLP|0|41121</t>
  </si>
  <si>
    <t>Aggregated Financials|LTM Average Assets|0|41121</t>
  </si>
  <si>
    <t>Aggregated Financials|LTM Average Equity|0|41121</t>
  </si>
  <si>
    <t>Aggregated Financials|LTM Average Borrowings|0|41121</t>
  </si>
  <si>
    <t>Aggregated Financials|YTD Average Assets|0|41121</t>
  </si>
  <si>
    <t>Aggregated Financials|YTD Average GLP|0|41121</t>
  </si>
  <si>
    <t>Aggregated Financials|YTD Average Equity|0|41121</t>
  </si>
  <si>
    <t>Aggregated Financials|YTD Average Borrowings|0|41121</t>
  </si>
  <si>
    <t>Aggregated Financials|LTM Net Income|0|41121</t>
  </si>
  <si>
    <t>Aggregated Financials|LTM Financial Revenue|0|41121</t>
  </si>
  <si>
    <t>Aggregated Financials|LTM Financial Expense |0|41121</t>
  </si>
  <si>
    <t>Aggregated Financials|LTM Provisioning Expense |0|41121</t>
  </si>
  <si>
    <t>Aggregated Financials|LTM Operating Expense|0|41121</t>
  </si>
  <si>
    <t>Aggregated Financials|LTM Other Financial Income (Expense)|0|41121</t>
  </si>
  <si>
    <t>Aggregated Financials|Total Borrowings|0|41121</t>
  </si>
  <si>
    <t>Aggregated Financials|Total Interest Bearing Debt |0|41121</t>
  </si>
  <si>
    <t>Aggregated Financials|Savings Accounts|0|41121</t>
  </si>
  <si>
    <t>Aggregated Financials|Operating Expenses|0|41121</t>
  </si>
  <si>
    <t>Aggregated Financials|LTM Net Income (After Taxes &amp; Before Donations) |0|41121</t>
  </si>
  <si>
    <t>Aggregated Financials|Net Income (After Taxes &amp; Before Donations) |0|41121</t>
  </si>
  <si>
    <t>Aggregated Financials|LTM Savings Accounts|0|41121</t>
  </si>
  <si>
    <t>Aggregated Financials|PAR &gt;90|0|41121</t>
  </si>
  <si>
    <t>Aggregated Financials|GLP|0|41152</t>
  </si>
  <si>
    <t>Aggregated Financials|Total Assets|0|41152</t>
  </si>
  <si>
    <t>Aggregated Financials|Total Equity|0|41152</t>
  </si>
  <si>
    <t>Aggregated Financials|Net Income|0|41152</t>
  </si>
  <si>
    <t>Aggregated Financials|January Assets|0|41152</t>
  </si>
  <si>
    <t>Aggregated Financials|January Equity|0|41152</t>
  </si>
  <si>
    <t>Aggregated Financials|LTM GLP|0|41152</t>
  </si>
  <si>
    <t>Aggregated Financials|Loan Loss Reserves|0|41152</t>
  </si>
  <si>
    <t>Aggregated Financials|Total Debt|0|41152</t>
  </si>
  <si>
    <t>Aggregated Financials|Financial Revenue|0|41152</t>
  </si>
  <si>
    <t>Aggregated Financials|Number of Active Borrowers|0|41152</t>
  </si>
  <si>
    <t>Aggregated Financials|Number of Active Loans|0|41152</t>
  </si>
  <si>
    <t>Aggregated Financials|PAR &gt;30|0|41152</t>
  </si>
  <si>
    <t>Aggregated Financials|R +R |0|41152</t>
  </si>
  <si>
    <t>Aggregated Financials|LTM Write-Offs|0|41152</t>
  </si>
  <si>
    <t>Aggregated Financials|Foreign Currency Exposure Asset|0|41152</t>
  </si>
  <si>
    <t>Aggregated Financials|Foreign Currency Liabilities|0|41152</t>
  </si>
  <si>
    <t>Aggregated Financials|Asset Hedges|0|41152</t>
  </si>
  <si>
    <t>Aggregated Financials|Liability Hedges|0|41152</t>
  </si>
  <si>
    <t>Aggregated Financials|PAR &gt;60|0|41152</t>
  </si>
  <si>
    <t>Aggregated Financials|Previous Month Equity|0|41152</t>
  </si>
  <si>
    <t>Aggregated Financials|MONTH FX|0|41152</t>
  </si>
  <si>
    <t>Aggregated Financials|LAST MONTH FX|0|41152</t>
  </si>
  <si>
    <t>Aggregated Financials|YTD FX|0|41152</t>
  </si>
  <si>
    <t>Aggregated Financials|LTM FX|0|41152</t>
  </si>
  <si>
    <t>Aggregated Financials|LTM Average GLP|0|41152</t>
  </si>
  <si>
    <t>Aggregated Financials|LTM Average Assets|0|41152</t>
  </si>
  <si>
    <t>Aggregated Financials|LTM Average Equity|0|41152</t>
  </si>
  <si>
    <t>Aggregated Financials|LTM Average Borrowings|0|41152</t>
  </si>
  <si>
    <t>Aggregated Financials|YTD Average Assets|0|41152</t>
  </si>
  <si>
    <t>Aggregated Financials|YTD Average GLP|0|41152</t>
  </si>
  <si>
    <t>Aggregated Financials|YTD Average Equity|0|41152</t>
  </si>
  <si>
    <t>Aggregated Financials|YTD Average Borrowings|0|41152</t>
  </si>
  <si>
    <t>Aggregated Financials|LTM Net Income|0|41152</t>
  </si>
  <si>
    <t>Aggregated Financials|LTM Financial Revenue|0|41152</t>
  </si>
  <si>
    <t>Aggregated Financials|LTM Financial Expense |0|41152</t>
  </si>
  <si>
    <t>Aggregated Financials|LTM Provisioning Expense |0|41152</t>
  </si>
  <si>
    <t>Aggregated Financials|LTM Operating Expense|0|41152</t>
  </si>
  <si>
    <t>Aggregated Financials|LTM Other Financial Income (Expense)|0|41152</t>
  </si>
  <si>
    <t>Aggregated Financials|Total Borrowings|0|41152</t>
  </si>
  <si>
    <t>Aggregated Financials|Total Interest Bearing Debt |0|41152</t>
  </si>
  <si>
    <t>Aggregated Financials|Savings Accounts|0|41152</t>
  </si>
  <si>
    <t>Aggregated Financials|Operating Expenses|0|41152</t>
  </si>
  <si>
    <t>Aggregated Financials|LTM Net Income (After Taxes &amp; Before Donations) |0|41152</t>
  </si>
  <si>
    <t>Aggregated Financials|Net Income (After Taxes &amp; Before Donations) |0|41152</t>
  </si>
  <si>
    <t>Aggregated Financials|LTM Savings Accounts|0|41152</t>
  </si>
  <si>
    <t>Aggregated Financials|PAR &gt;90|0|41152</t>
  </si>
  <si>
    <t>Aggregated Financials|GLP|0|41182</t>
  </si>
  <si>
    <t>Aggregated Financials|Total Assets|0|41182</t>
  </si>
  <si>
    <t>Aggregated Financials|Total Equity|0|41182</t>
  </si>
  <si>
    <t>Aggregated Financials|Net Income|0|41182</t>
  </si>
  <si>
    <t>Aggregated Financials|January Assets|0|41182</t>
  </si>
  <si>
    <t>Aggregated Financials|January Equity|0|41182</t>
  </si>
  <si>
    <t>Aggregated Financials|LTM GLP|0|41182</t>
  </si>
  <si>
    <t>Aggregated Financials|Loan Loss Reserves|0|41182</t>
  </si>
  <si>
    <t>Aggregated Financials|Total Debt|0|41182</t>
  </si>
  <si>
    <t>Aggregated Financials|Financial Revenue|0|41182</t>
  </si>
  <si>
    <t>Aggregated Financials|Number of Active Borrowers|0|41182</t>
  </si>
  <si>
    <t>Aggregated Financials|Number of Active Loans|0|41182</t>
  </si>
  <si>
    <t>Aggregated Financials|PAR &gt;30|0|41182</t>
  </si>
  <si>
    <t>Aggregated Financials|R +R |0|41182</t>
  </si>
  <si>
    <t>Aggregated Financials|LTM Write-Offs|0|41182</t>
  </si>
  <si>
    <t>Aggregated Financials|Foreign Currency Exposure Asset|0|41182</t>
  </si>
  <si>
    <t>Aggregated Financials|Foreign Currency Liabilities|0|41182</t>
  </si>
  <si>
    <t>Aggregated Financials|Asset Hedges|0|41182</t>
  </si>
  <si>
    <t>Aggregated Financials|Liability Hedges|0|41182</t>
  </si>
  <si>
    <t>Aggregated Financials|PAR &gt;60|0|41182</t>
  </si>
  <si>
    <t>Aggregated Financials|Previous Month Equity|0|41182</t>
  </si>
  <si>
    <t>Aggregated Financials|MONTH FX|0|41182</t>
  </si>
  <si>
    <t>Aggregated Financials|LAST MONTH FX|0|41182</t>
  </si>
  <si>
    <t>Aggregated Financials|YTD FX|0|41182</t>
  </si>
  <si>
    <t>Aggregated Financials|LTM FX|0|41182</t>
  </si>
  <si>
    <t>Aggregated Financials|LTM Average GLP|0|41182</t>
  </si>
  <si>
    <t>Aggregated Financials|LTM Average Assets|0|41182</t>
  </si>
  <si>
    <t>Aggregated Financials|LTM Average Equity|0|41182</t>
  </si>
  <si>
    <t>Aggregated Financials|LTM Average Borrowings|0|41182</t>
  </si>
  <si>
    <t>Aggregated Financials|YTD Average Assets|0|41182</t>
  </si>
  <si>
    <t>Aggregated Financials|YTD Average GLP|0|41182</t>
  </si>
  <si>
    <t>Aggregated Financials|YTD Average Equity|0|41182</t>
  </si>
  <si>
    <t>Aggregated Financials|YTD Average Borrowings|0|41182</t>
  </si>
  <si>
    <t>Aggregated Financials|LTM Net Income|0|41182</t>
  </si>
  <si>
    <t>Aggregated Financials|LTM Financial Revenue|0|41182</t>
  </si>
  <si>
    <t>Aggregated Financials|LTM Financial Expense |0|41182</t>
  </si>
  <si>
    <t>Aggregated Financials|LTM Provisioning Expense |0|41182</t>
  </si>
  <si>
    <t>Aggregated Financials|LTM Operating Expense|0|41182</t>
  </si>
  <si>
    <t>Aggregated Financials|LTM Other Financial Income (Expense)|0|41182</t>
  </si>
  <si>
    <t>Aggregated Financials|Total Borrowings|0|41182</t>
  </si>
  <si>
    <t>Aggregated Financials|Total Interest Bearing Debt |0|41182</t>
  </si>
  <si>
    <t>Aggregated Financials|Savings Accounts|0|41182</t>
  </si>
  <si>
    <t>Aggregated Financials|Operating Expenses|0|41182</t>
  </si>
  <si>
    <t>Aggregated Financials|LTM Net Income (After Taxes &amp; Before Donations) |0|41182</t>
  </si>
  <si>
    <t>Aggregated Financials|Net Income (After Taxes &amp; Before Donations) |0|41182</t>
  </si>
  <si>
    <t>Aggregated Financials|LTM Savings Accounts|0|41182</t>
  </si>
  <si>
    <t>Aggregated Financials|PAR &gt;90|0|41182</t>
  </si>
  <si>
    <t>Aggregated Financials|GLP|0|41213</t>
  </si>
  <si>
    <t>Aggregated Financials|Total Assets|0|41213</t>
  </si>
  <si>
    <t>Aggregated Financials|Total Equity|0|41213</t>
  </si>
  <si>
    <t>Aggregated Financials|Net Income|0|41213</t>
  </si>
  <si>
    <t>Aggregated Financials|January Assets|0|41213</t>
  </si>
  <si>
    <t>Aggregated Financials|January Equity|0|41213</t>
  </si>
  <si>
    <t>Aggregated Financials|LTM GLP|0|41213</t>
  </si>
  <si>
    <t>Aggregated Financials|Loan Loss Reserves|0|41213</t>
  </si>
  <si>
    <t>Aggregated Financials|Total Debt|0|41213</t>
  </si>
  <si>
    <t>Aggregated Financials|Financial Revenue|0|41213</t>
  </si>
  <si>
    <t>Aggregated Financials|Number of Active Borrowers|0|41213</t>
  </si>
  <si>
    <t>Aggregated Financials|Number of Active Loans|0|41213</t>
  </si>
  <si>
    <t>Aggregated Financials|PAR &gt;30|0|41213</t>
  </si>
  <si>
    <t>Aggregated Financials|R +R |0|41213</t>
  </si>
  <si>
    <t>Aggregated Financials|LTM Write-Offs|0|41213</t>
  </si>
  <si>
    <t>Aggregated Financials|Foreign Currency Exposure Asset|0|41213</t>
  </si>
  <si>
    <t>Aggregated Financials|Foreign Currency Liabilities|0|41213</t>
  </si>
  <si>
    <t>Aggregated Financials|Asset Hedges|0|41213</t>
  </si>
  <si>
    <t>Aggregated Financials|Liability Hedges|0|41213</t>
  </si>
  <si>
    <t>Aggregated Financials|PAR &gt;60|0|41213</t>
  </si>
  <si>
    <t>Aggregated Financials|Previous Month Equity|0|41213</t>
  </si>
  <si>
    <t>Aggregated Financials|MONTH FX|0|41213</t>
  </si>
  <si>
    <t>Aggregated Financials|LAST MONTH FX|0|41213</t>
  </si>
  <si>
    <t>Aggregated Financials|YTD FX|0|41213</t>
  </si>
  <si>
    <t>Aggregated Financials|LTM FX|0|41213</t>
  </si>
  <si>
    <t>Aggregated Financials|LTM Average GLP|0|41213</t>
  </si>
  <si>
    <t>Aggregated Financials|LTM Average Assets|0|41213</t>
  </si>
  <si>
    <t>Aggregated Financials|LTM Average Equity|0|41213</t>
  </si>
  <si>
    <t>Aggregated Financials|LTM Average Borrowings|0|41213</t>
  </si>
  <si>
    <t>Aggregated Financials|YTD Average Assets|0|41213</t>
  </si>
  <si>
    <t>Aggregated Financials|YTD Average GLP|0|41213</t>
  </si>
  <si>
    <t>Aggregated Financials|YTD Average Equity|0|41213</t>
  </si>
  <si>
    <t>Aggregated Financials|YTD Average Borrowings|0|41213</t>
  </si>
  <si>
    <t>Aggregated Financials|LTM Net Income|0|41213</t>
  </si>
  <si>
    <t>Aggregated Financials|LTM Financial Revenue|0|41213</t>
  </si>
  <si>
    <t>Aggregated Financials|LTM Financial Expense |0|41213</t>
  </si>
  <si>
    <t>Aggregated Financials|LTM Provisioning Expense |0|41213</t>
  </si>
  <si>
    <t>Aggregated Financials|LTM Operating Expense|0|41213</t>
  </si>
  <si>
    <t>Aggregated Financials|LTM Other Financial Income (Expense)|0|41213</t>
  </si>
  <si>
    <t>Aggregated Financials|Total Borrowings|0|41213</t>
  </si>
  <si>
    <t>Aggregated Financials|Total Interest Bearing Debt |0|41213</t>
  </si>
  <si>
    <t>Aggregated Financials|Savings Accounts|0|41213</t>
  </si>
  <si>
    <t>Aggregated Financials|Operating Expenses|0|41213</t>
  </si>
  <si>
    <t>Aggregated Financials|LTM Net Income (After Taxes &amp; Before Donations) |0|41213</t>
  </si>
  <si>
    <t>Aggregated Financials|Net Income (After Taxes &amp; Before Donations) |0|41213</t>
  </si>
  <si>
    <t>Aggregated Financials|LTM Savings Accounts|0|41213</t>
  </si>
  <si>
    <t>Aggregated Financials|PAR &gt;90|0|41213</t>
  </si>
  <si>
    <t>Aggregated Financials|GLP|0|41243</t>
  </si>
  <si>
    <t>Aggregated Financials|Total Assets|0|41243</t>
  </si>
  <si>
    <t>Aggregated Financials|Total Equity|0|41243</t>
  </si>
  <si>
    <t>Aggregated Financials|Net Income|0|41243</t>
  </si>
  <si>
    <t>Aggregated Financials|January Assets|0|41243</t>
  </si>
  <si>
    <t>Aggregated Financials|January Equity|0|41243</t>
  </si>
  <si>
    <t>Aggregated Financials|LTM GLP|0|41243</t>
  </si>
  <si>
    <t>Aggregated Financials|Loan Loss Reserves|0|41243</t>
  </si>
  <si>
    <t>Aggregated Financials|Total Debt|0|41243</t>
  </si>
  <si>
    <t>Aggregated Financials|Financial Revenue|0|41243</t>
  </si>
  <si>
    <t>Aggregated Financials|Number of Active Borrowers|0|41243</t>
  </si>
  <si>
    <t>Aggregated Financials|Number of Active Loans|0|41243</t>
  </si>
  <si>
    <t>Aggregated Financials|PAR &gt;30|0|41243</t>
  </si>
  <si>
    <t>Aggregated Financials|R +R |0|41243</t>
  </si>
  <si>
    <t>Aggregated Financials|LTM Write-Offs|0|41243</t>
  </si>
  <si>
    <t>Aggregated Financials|Foreign Currency Exposure Asset|0|41243</t>
  </si>
  <si>
    <t>Aggregated Financials|Foreign Currency Liabilities|0|41243</t>
  </si>
  <si>
    <t>Aggregated Financials|Asset Hedges|0|41243</t>
  </si>
  <si>
    <t>Aggregated Financials|Liability Hedges|0|41243</t>
  </si>
  <si>
    <t>Aggregated Financials|PAR &gt;60|0|41243</t>
  </si>
  <si>
    <t>Aggregated Financials|Previous Month Equity|0|41243</t>
  </si>
  <si>
    <t>Aggregated Financials|MONTH FX|0|41243</t>
  </si>
  <si>
    <t>Aggregated Financials|LAST MONTH FX|0|41243</t>
  </si>
  <si>
    <t>Aggregated Financials|YTD FX|0|41243</t>
  </si>
  <si>
    <t>Aggregated Financials|LTM FX|0|41243</t>
  </si>
  <si>
    <t>Aggregated Financials|LTM Average GLP|0|41243</t>
  </si>
  <si>
    <t>Aggregated Financials|LTM Average Assets|0|41243</t>
  </si>
  <si>
    <t>Aggregated Financials|LTM Average Equity|0|41243</t>
  </si>
  <si>
    <t>Aggregated Financials|LTM Average Borrowings|0|41243</t>
  </si>
  <si>
    <t>Aggregated Financials|YTD Average Assets|0|41243</t>
  </si>
  <si>
    <t>Aggregated Financials|YTD Average GLP|0|41243</t>
  </si>
  <si>
    <t>Aggregated Financials|YTD Average Equity|0|41243</t>
  </si>
  <si>
    <t>Aggregated Financials|YTD Average Borrowings|0|41243</t>
  </si>
  <si>
    <t>Aggregated Financials|LTM Net Income|0|41243</t>
  </si>
  <si>
    <t>Aggregated Financials|LTM Financial Revenue|0|41243</t>
  </si>
  <si>
    <t>Aggregated Financials|LTM Financial Expense |0|41243</t>
  </si>
  <si>
    <t>Aggregated Financials|LTM Provisioning Expense |0|41243</t>
  </si>
  <si>
    <t>Aggregated Financials|LTM Operating Expense|0|41243</t>
  </si>
  <si>
    <t>Aggregated Financials|LTM Other Financial Income (Expense)|0|41243</t>
  </si>
  <si>
    <t>Aggregated Financials|Total Borrowings|0|41243</t>
  </si>
  <si>
    <t>Aggregated Financials|Total Interest Bearing Debt |0|41243</t>
  </si>
  <si>
    <t>Aggregated Financials|Savings Accounts|0|41243</t>
  </si>
  <si>
    <t>Aggregated Financials|Operating Expenses|0|41243</t>
  </si>
  <si>
    <t>Aggregated Financials|LTM Net Income (After Taxes &amp; Before Donations) |0|41243</t>
  </si>
  <si>
    <t>Aggregated Financials|Net Income (After Taxes &amp; Before Donations) |0|41243</t>
  </si>
  <si>
    <t>Aggregated Financials|LTM Savings Accounts|0|41243</t>
  </si>
  <si>
    <t>Aggregated Financials|PAR &gt;90|0|41243</t>
  </si>
  <si>
    <t>Aggregated Financials|GLP|0|41274</t>
  </si>
  <si>
    <t>Aggregated Financials|Total Assets|0|41274</t>
  </si>
  <si>
    <t>Aggregated Financials|Total Equity|0|41274</t>
  </si>
  <si>
    <t>Aggregated Financials|Net Income|0|41274</t>
  </si>
  <si>
    <t>Aggregated Financials|January Assets|0|41274</t>
  </si>
  <si>
    <t>Aggregated Financials|January Equity|0|41274</t>
  </si>
  <si>
    <t>Aggregated Financials|LTM GLP|0|41274</t>
  </si>
  <si>
    <t>Aggregated Financials|Loan Loss Reserves|0|41274</t>
  </si>
  <si>
    <t>Aggregated Financials|Total Debt|0|41274</t>
  </si>
  <si>
    <t>Aggregated Financials|Financial Revenue|0|41274</t>
  </si>
  <si>
    <t>Aggregated Financials|Number of Active Borrowers|0|41274</t>
  </si>
  <si>
    <t>Aggregated Financials|Number of Active Loans|0|41274</t>
  </si>
  <si>
    <t>Aggregated Financials|PAR &gt;30|0|41274</t>
  </si>
  <si>
    <t>Aggregated Financials|R +R |0|41274</t>
  </si>
  <si>
    <t>Aggregated Financials|LTM Write-Offs|0|41274</t>
  </si>
  <si>
    <t>Aggregated Financials|Foreign Currency Exposure Asset|0|41274</t>
  </si>
  <si>
    <t>Aggregated Financials|Foreign Currency Liabilities|0|41274</t>
  </si>
  <si>
    <t>Aggregated Financials|Asset Hedges|0|41274</t>
  </si>
  <si>
    <t>Aggregated Financials|Liability Hedges|0|41274</t>
  </si>
  <si>
    <t>Aggregated Financials|PAR &gt;60|0|41274</t>
  </si>
  <si>
    <t>Aggregated Financials|Previous Month Equity|0|41274</t>
  </si>
  <si>
    <t>Aggregated Financials|MONTH FX|0|41274</t>
  </si>
  <si>
    <t>Aggregated Financials|LAST MONTH FX|0|41274</t>
  </si>
  <si>
    <t>Aggregated Financials|YTD FX|0|41274</t>
  </si>
  <si>
    <t>Aggregated Financials|LTM FX|0|41274</t>
  </si>
  <si>
    <t>Aggregated Financials|LTM Average GLP|0|41274</t>
  </si>
  <si>
    <t>Aggregated Financials|LTM Average Assets|0|41274</t>
  </si>
  <si>
    <t>Aggregated Financials|LTM Average Equity|0|41274</t>
  </si>
  <si>
    <t>Aggregated Financials|LTM Average Borrowings|0|41274</t>
  </si>
  <si>
    <t>Aggregated Financials|YTD Average Assets|0|41274</t>
  </si>
  <si>
    <t>Aggregated Financials|YTD Average GLP|0|41274</t>
  </si>
  <si>
    <t>Aggregated Financials|YTD Average Equity|0|41274</t>
  </si>
  <si>
    <t>Aggregated Financials|YTD Average Borrowings|0|41274</t>
  </si>
  <si>
    <t>Aggregated Financials|LTM Net Income|0|41274</t>
  </si>
  <si>
    <t>Aggregated Financials|LTM Financial Revenue|0|41274</t>
  </si>
  <si>
    <t>Aggregated Financials|LTM Financial Expense |0|41274</t>
  </si>
  <si>
    <t>Aggregated Financials|LTM Provisioning Expense |0|41274</t>
  </si>
  <si>
    <t>Aggregated Financials|LTM Operating Expense|0|41274</t>
  </si>
  <si>
    <t>Aggregated Financials|LTM Other Financial Income (Expense)|0|41274</t>
  </si>
  <si>
    <t>Aggregated Financials|Total Borrowings|0|41274</t>
  </si>
  <si>
    <t>Aggregated Financials|Total Interest Bearing Debt |0|41274</t>
  </si>
  <si>
    <t>Aggregated Financials|Savings Accounts|0|41274</t>
  </si>
  <si>
    <t>Aggregated Financials|Operating Expenses|0|41274</t>
  </si>
  <si>
    <t>Aggregated Financials|LTM Net Income (After Taxes &amp; Before Donations) |0|41274</t>
  </si>
  <si>
    <t>Aggregated Financials|Net Income (After Taxes &amp; Before Donations) |0|41274</t>
  </si>
  <si>
    <t>Aggregated Financials|LTM Savings Accounts|0|41274</t>
  </si>
  <si>
    <t>Aggregated Financials|PAR &gt;90|0|41274</t>
  </si>
  <si>
    <t>Aggregated Financials|GLP|0|41305</t>
  </si>
  <si>
    <t>Aggregated Financials|Total Assets|0|41305</t>
  </si>
  <si>
    <t>Aggregated Financials|Total Equity|0|41305</t>
  </si>
  <si>
    <t>Aggregated Financials|Net Income|0|41305</t>
  </si>
  <si>
    <t>Aggregated Financials|January Assets|0|41305</t>
  </si>
  <si>
    <t>Aggregated Financials|January Equity|0|41305</t>
  </si>
  <si>
    <t>Aggregated Financials|LTM GLP|0|41305</t>
  </si>
  <si>
    <t>Aggregated Financials|Loan Loss Reserves|0|41305</t>
  </si>
  <si>
    <t>Aggregated Financials|Total Debt|0|41305</t>
  </si>
  <si>
    <t>Aggregated Financials|Financial Revenue|0|41305</t>
  </si>
  <si>
    <t>Aggregated Financials|Number of Active Borrowers|0|41305</t>
  </si>
  <si>
    <t>Aggregated Financials|Number of Active Loans|0|41305</t>
  </si>
  <si>
    <t>Aggregated Financials|PAR &gt;30|0|41305</t>
  </si>
  <si>
    <t>Aggregated Financials|R +R |0|41305</t>
  </si>
  <si>
    <t>Aggregated Financials|LTM Write-Offs|0|41305</t>
  </si>
  <si>
    <t>Aggregated Financials|Foreign Currency Exposure Asset|0|41305</t>
  </si>
  <si>
    <t>Aggregated Financials|Foreign Currency Liabilities|0|41305</t>
  </si>
  <si>
    <t>Aggregated Financials|Asset Hedges|0|41305</t>
  </si>
  <si>
    <t>Aggregated Financials|Liability Hedges|0|41305</t>
  </si>
  <si>
    <t>Aggregated Financials|PAR &gt;60|0|41305</t>
  </si>
  <si>
    <t>Aggregated Financials|Previous Month Equity|0|41305</t>
  </si>
  <si>
    <t>Aggregated Financials|MONTH FX|0|41305</t>
  </si>
  <si>
    <t>Aggregated Financials|LAST MONTH FX|0|41305</t>
  </si>
  <si>
    <t>Aggregated Financials|YTD FX|0|41305</t>
  </si>
  <si>
    <t>Aggregated Financials|LTM FX|0|41305</t>
  </si>
  <si>
    <t>Aggregated Financials|LTM Average GLP|0|41305</t>
  </si>
  <si>
    <t>Aggregated Financials|LTM Average Assets|0|41305</t>
  </si>
  <si>
    <t>Aggregated Financials|LTM Average Equity|0|41305</t>
  </si>
  <si>
    <t>Aggregated Financials|LTM Average Borrowings|0|41305</t>
  </si>
  <si>
    <t>Aggregated Financials|YTD Average Assets|0|41305</t>
  </si>
  <si>
    <t>Aggregated Financials|YTD Average GLP|0|41305</t>
  </si>
  <si>
    <t>Aggregated Financials|YTD Average Equity|0|41305</t>
  </si>
  <si>
    <t>Aggregated Financials|YTD Average Borrowings|0|41305</t>
  </si>
  <si>
    <t>Aggregated Financials|LTM Net Income|0|41305</t>
  </si>
  <si>
    <t>Aggregated Financials|LTM Financial Revenue|0|41305</t>
  </si>
  <si>
    <t>Aggregated Financials|LTM Financial Expense |0|41305</t>
  </si>
  <si>
    <t>Aggregated Financials|LTM Provisioning Expense |0|41305</t>
  </si>
  <si>
    <t>Aggregated Financials|LTM Operating Expense|0|41305</t>
  </si>
  <si>
    <t>Aggregated Financials|LTM Other Financial Income (Expense)|0|41305</t>
  </si>
  <si>
    <t>Aggregated Financials|Total Borrowings|0|41305</t>
  </si>
  <si>
    <t>Aggregated Financials|Total Interest Bearing Debt |0|41305</t>
  </si>
  <si>
    <t>Aggregated Financials|Savings Accounts|0|41305</t>
  </si>
  <si>
    <t>Aggregated Financials|Operating Expenses|0|41305</t>
  </si>
  <si>
    <t>Aggregated Financials|LTM Net Income (After Taxes &amp; Before Donations) |0|41305</t>
  </si>
  <si>
    <t>Aggregated Financials|Net Income (After Taxes &amp; Before Donations) |0|41305</t>
  </si>
  <si>
    <t>Aggregated Financials|LTM Savings Accounts|0|41305</t>
  </si>
  <si>
    <t>Aggregated Financials|PAR &gt;90|0|41305</t>
  </si>
  <si>
    <t>Aggregated Financials|GLP|0|41333</t>
  </si>
  <si>
    <t>Aggregated Financials|Total Assets|0|41333</t>
  </si>
  <si>
    <t>Aggregated Financials|Total Equity|0|41333</t>
  </si>
  <si>
    <t>Aggregated Financials|Net Income|0|41333</t>
  </si>
  <si>
    <t>Aggregated Financials|January Assets|0|41333</t>
  </si>
  <si>
    <t>Aggregated Financials|January Equity|0|41333</t>
  </si>
  <si>
    <t>Aggregated Financials|LTM GLP|0|41333</t>
  </si>
  <si>
    <t>Aggregated Financials|Loan Loss Reserves|0|41333</t>
  </si>
  <si>
    <t>Aggregated Financials|Total Debt|0|41333</t>
  </si>
  <si>
    <t>Aggregated Financials|Financial Revenue|0|41333</t>
  </si>
  <si>
    <t>Aggregated Financials|Number of Active Borrowers|0|41333</t>
  </si>
  <si>
    <t>Aggregated Financials|Number of Active Loans|0|41333</t>
  </si>
  <si>
    <t>Aggregated Financials|PAR &gt;30|0|41333</t>
  </si>
  <si>
    <t>Aggregated Financials|R +R |0|41333</t>
  </si>
  <si>
    <t>Aggregated Financials|LTM Write-Offs|0|41333</t>
  </si>
  <si>
    <t>Aggregated Financials|Foreign Currency Exposure Asset|0|41333</t>
  </si>
  <si>
    <t>Aggregated Financials|Foreign Currency Liabilities|0|41333</t>
  </si>
  <si>
    <t>Aggregated Financials|Asset Hedges|0|41333</t>
  </si>
  <si>
    <t>Aggregated Financials|Liability Hedges|0|41333</t>
  </si>
  <si>
    <t>Aggregated Financials|PAR &gt;60|0|41333</t>
  </si>
  <si>
    <t>Aggregated Financials|Previous Month Equity|0|41333</t>
  </si>
  <si>
    <t>Aggregated Financials|MONTH FX|0|41333</t>
  </si>
  <si>
    <t>Aggregated Financials|LAST MONTH FX|0|41333</t>
  </si>
  <si>
    <t>Aggregated Financials|YTD FX|0|41333</t>
  </si>
  <si>
    <t>Aggregated Financials|LTM FX|0|41333</t>
  </si>
  <si>
    <t>Aggregated Financials|LTM Average GLP|0|41333</t>
  </si>
  <si>
    <t>Aggregated Financials|LTM Average Assets|0|41333</t>
  </si>
  <si>
    <t>Aggregated Financials|LTM Average Equity|0|41333</t>
  </si>
  <si>
    <t>Aggregated Financials|LTM Average Borrowings|0|41333</t>
  </si>
  <si>
    <t>Aggregated Financials|YTD Average Assets|0|41333</t>
  </si>
  <si>
    <t>Aggregated Financials|YTD Average GLP|0|41333</t>
  </si>
  <si>
    <t>Aggregated Financials|YTD Average Equity|0|41333</t>
  </si>
  <si>
    <t>Aggregated Financials|YTD Average Borrowings|0|41333</t>
  </si>
  <si>
    <t>Aggregated Financials|LTM Net Income|0|41333</t>
  </si>
  <si>
    <t>Aggregated Financials|LTM Financial Revenue|0|41333</t>
  </si>
  <si>
    <t>Aggregated Financials|LTM Financial Expense |0|41333</t>
  </si>
  <si>
    <t>Aggregated Financials|LTM Provisioning Expense |0|41333</t>
  </si>
  <si>
    <t>Aggregated Financials|LTM Operating Expense|0|41333</t>
  </si>
  <si>
    <t>Aggregated Financials|LTM Other Financial Income (Expense)|0|41333</t>
  </si>
  <si>
    <t>Aggregated Financials|Total Borrowings|0|41333</t>
  </si>
  <si>
    <t>Aggregated Financials|Total Interest Bearing Debt |0|41333</t>
  </si>
  <si>
    <t>Aggregated Financials|Savings Accounts|0|41333</t>
  </si>
  <si>
    <t>Aggregated Financials|Operating Expenses|0|41333</t>
  </si>
  <si>
    <t>Aggregated Financials|LTM Net Income (After Taxes &amp; Before Donations) |0|41333</t>
  </si>
  <si>
    <t>Aggregated Financials|Net Income (After Taxes &amp; Before Donations) |0|41333</t>
  </si>
  <si>
    <t>Aggregated Financials|LTM Savings Accounts|0|41333</t>
  </si>
  <si>
    <t>Aggregated Financials|PAR &gt;90|0|41333</t>
  </si>
  <si>
    <t>Aggregated Financials|GLP|0|41364</t>
  </si>
  <si>
    <t>Aggregated Financials|Total Assets|0|41364</t>
  </si>
  <si>
    <t>Aggregated Financials|Total Equity|0|41364</t>
  </si>
  <si>
    <t>Aggregated Financials|Net Income|0|41364</t>
  </si>
  <si>
    <t>Aggregated Financials|January Assets|0|41364</t>
  </si>
  <si>
    <t>Aggregated Financials|January Equity|0|41364</t>
  </si>
  <si>
    <t>Aggregated Financials|LTM GLP|0|41364</t>
  </si>
  <si>
    <t>Aggregated Financials|Loan Loss Reserves|0|41364</t>
  </si>
  <si>
    <t>Aggregated Financials|Total Debt|0|41364</t>
  </si>
  <si>
    <t>Aggregated Financials|Financial Revenue|0|41364</t>
  </si>
  <si>
    <t>Aggregated Financials|Number of Active Borrowers|0|41364</t>
  </si>
  <si>
    <t>Aggregated Financials|Number of Active Loans|0|41364</t>
  </si>
  <si>
    <t>Aggregated Financials|PAR &gt;30|0|41364</t>
  </si>
  <si>
    <t>Aggregated Financials|R +R |0|41364</t>
  </si>
  <si>
    <t>Aggregated Financials|LTM Write-Offs|0|41364</t>
  </si>
  <si>
    <t>Aggregated Financials|Foreign Currency Exposure Asset|0|41364</t>
  </si>
  <si>
    <t>Aggregated Financials|Foreign Currency Liabilities|0|41364</t>
  </si>
  <si>
    <t>Aggregated Financials|Asset Hedges|0|41364</t>
  </si>
  <si>
    <t>Aggregated Financials|Liability Hedges|0|41364</t>
  </si>
  <si>
    <t>Aggregated Financials|PAR &gt;60|0|41364</t>
  </si>
  <si>
    <t>Aggregated Financials|Previous Month Equity|0|41364</t>
  </si>
  <si>
    <t>Aggregated Financials|MONTH FX|0|41364</t>
  </si>
  <si>
    <t>Aggregated Financials|LAST MONTH FX|0|41364</t>
  </si>
  <si>
    <t>Aggregated Financials|YTD FX|0|41364</t>
  </si>
  <si>
    <t>Aggregated Financials|LTM FX|0|41364</t>
  </si>
  <si>
    <t>Aggregated Financials|LTM Average GLP|0|41364</t>
  </si>
  <si>
    <t>Aggregated Financials|LTM Average Assets|0|41364</t>
  </si>
  <si>
    <t>Aggregated Financials|LTM Average Equity|0|41364</t>
  </si>
  <si>
    <t>Aggregated Financials|LTM Average Borrowings|0|41364</t>
  </si>
  <si>
    <t>Aggregated Financials|YTD Average Assets|0|41364</t>
  </si>
  <si>
    <t>Aggregated Financials|YTD Average GLP|0|41364</t>
  </si>
  <si>
    <t>Aggregated Financials|YTD Average Equity|0|41364</t>
  </si>
  <si>
    <t>Aggregated Financials|YTD Average Borrowings|0|41364</t>
  </si>
  <si>
    <t>Aggregated Financials|LTM Net Income|0|41364</t>
  </si>
  <si>
    <t>Aggregated Financials|LTM Financial Revenue|0|41364</t>
  </si>
  <si>
    <t>Aggregated Financials|LTM Financial Expense |0|41364</t>
  </si>
  <si>
    <t>Aggregated Financials|LTM Provisioning Expense |0|41364</t>
  </si>
  <si>
    <t>Aggregated Financials|LTM Operating Expense|0|41364</t>
  </si>
  <si>
    <t>Aggregated Financials|LTM Other Financial Income (Expense)|0|41364</t>
  </si>
  <si>
    <t>Aggregated Financials|Total Borrowings|0|41364</t>
  </si>
  <si>
    <t>Aggregated Financials|Total Interest Bearing Debt |0|41364</t>
  </si>
  <si>
    <t>Aggregated Financials|Savings Accounts|0|41364</t>
  </si>
  <si>
    <t>Aggregated Financials|Operating Expenses|0|41364</t>
  </si>
  <si>
    <t>Aggregated Financials|LTM Net Income (After Taxes &amp; Before Donations) |0|41364</t>
  </si>
  <si>
    <t>Aggregated Financials|Net Income (After Taxes &amp; Before Donations) |0|41364</t>
  </si>
  <si>
    <t>Aggregated Financials|LTM Savings Accounts|0|41364</t>
  </si>
  <si>
    <t>Aggregated Financials|PAR &gt;90|0|41364</t>
  </si>
  <si>
    <t>Aggregated Financials|GLP|0|41394</t>
  </si>
  <si>
    <t>Aggregated Financials|Total Assets|0|41394</t>
  </si>
  <si>
    <t>Aggregated Financials|Total Equity|0|41394</t>
  </si>
  <si>
    <t>Aggregated Financials|Net Income|0|41394</t>
  </si>
  <si>
    <t>Aggregated Financials|January Assets|0|41394</t>
  </si>
  <si>
    <t>Aggregated Financials|January Equity|0|41394</t>
  </si>
  <si>
    <t>Aggregated Financials|LTM GLP|0|41394</t>
  </si>
  <si>
    <t>Aggregated Financials|Loan Loss Reserves|0|41394</t>
  </si>
  <si>
    <t>Aggregated Financials|Total Debt|0|41394</t>
  </si>
  <si>
    <t>Aggregated Financials|Financial Revenue|0|41394</t>
  </si>
  <si>
    <t>Aggregated Financials|Number of Active Borrowers|0|41394</t>
  </si>
  <si>
    <t>Aggregated Financials|Number of Active Loans|0|41394</t>
  </si>
  <si>
    <t>Aggregated Financials|PAR &gt;30|0|41394</t>
  </si>
  <si>
    <t>Aggregated Financials|R +R |0|41394</t>
  </si>
  <si>
    <t>Aggregated Financials|LTM Write-Offs|0|41394</t>
  </si>
  <si>
    <t>Aggregated Financials|Foreign Currency Exposure Asset|0|41394</t>
  </si>
  <si>
    <t>Aggregated Financials|Foreign Currency Liabilities|0|41394</t>
  </si>
  <si>
    <t>Aggregated Financials|Asset Hedges|0|41394</t>
  </si>
  <si>
    <t>Aggregated Financials|Liability Hedges|0|41394</t>
  </si>
  <si>
    <t>Aggregated Financials|PAR &gt;60|0|41394</t>
  </si>
  <si>
    <t>Aggregated Financials|Previous Month Equity|0|41394</t>
  </si>
  <si>
    <t>Aggregated Financials|MONTH FX|0|41394</t>
  </si>
  <si>
    <t>Aggregated Financials|LAST MONTH FX|0|41394</t>
  </si>
  <si>
    <t>Aggregated Financials|YTD FX|0|41394</t>
  </si>
  <si>
    <t>Aggregated Financials|LTM FX|0|41394</t>
  </si>
  <si>
    <t>Aggregated Financials|LTM Average GLP|0|41394</t>
  </si>
  <si>
    <t>Aggregated Financials|LTM Average Assets|0|41394</t>
  </si>
  <si>
    <t>Aggregated Financials|LTM Average Equity|0|41394</t>
  </si>
  <si>
    <t>Aggregated Financials|LTM Average Borrowings|0|41394</t>
  </si>
  <si>
    <t>Aggregated Financials|YTD Average Assets|0|41394</t>
  </si>
  <si>
    <t>Aggregated Financials|YTD Average GLP|0|41394</t>
  </si>
  <si>
    <t>Aggregated Financials|YTD Average Equity|0|41394</t>
  </si>
  <si>
    <t>Aggregated Financials|YTD Average Borrowings|0|41394</t>
  </si>
  <si>
    <t>Aggregated Financials|LTM Net Income|0|41394</t>
  </si>
  <si>
    <t>Aggregated Financials|LTM Financial Revenue|0|41394</t>
  </si>
  <si>
    <t>Aggregated Financials|LTM Financial Expense |0|41394</t>
  </si>
  <si>
    <t>Aggregated Financials|LTM Provisioning Expense |0|41394</t>
  </si>
  <si>
    <t>Aggregated Financials|LTM Operating Expense|0|41394</t>
  </si>
  <si>
    <t>Aggregated Financials|LTM Other Financial Income (Expense)|0|41394</t>
  </si>
  <si>
    <t>Aggregated Financials|Total Borrowings|0|41394</t>
  </si>
  <si>
    <t>Aggregated Financials|Total Interest Bearing Debt |0|41394</t>
  </si>
  <si>
    <t>Aggregated Financials|Savings Accounts|0|41394</t>
  </si>
  <si>
    <t>Aggregated Financials|Operating Expenses|0|41394</t>
  </si>
  <si>
    <t>Aggregated Financials|LTM Net Income (After Taxes &amp; Before Donations) |0|41394</t>
  </si>
  <si>
    <t>Aggregated Financials|Net Income (After Taxes &amp; Before Donations) |0|41394</t>
  </si>
  <si>
    <t>Aggregated Financials|LTM Savings Accounts|0|41394</t>
  </si>
  <si>
    <t>Aggregated Financials|PAR &gt;90|0|41394</t>
  </si>
  <si>
    <t>Aggregated Financials|GLP|0|41425</t>
  </si>
  <si>
    <t>Aggregated Financials|Total Assets|0|41425</t>
  </si>
  <si>
    <t>Aggregated Financials|Total Equity|0|41425</t>
  </si>
  <si>
    <t>Aggregated Financials|Net Income|0|41425</t>
  </si>
  <si>
    <t>Aggregated Financials|January Assets|0|41425</t>
  </si>
  <si>
    <t>Aggregated Financials|January Equity|0|41425</t>
  </si>
  <si>
    <t>Aggregated Financials|LTM GLP|0|41425</t>
  </si>
  <si>
    <t>Aggregated Financials|Loan Loss Reserves|0|41425</t>
  </si>
  <si>
    <t>Aggregated Financials|Total Debt|0|41425</t>
  </si>
  <si>
    <t>Aggregated Financials|Financial Revenue|0|41425</t>
  </si>
  <si>
    <t>Aggregated Financials|Number of Active Borrowers|0|41425</t>
  </si>
  <si>
    <t>Aggregated Financials|Number of Active Loans|0|41425</t>
  </si>
  <si>
    <t>Aggregated Financials|PAR &gt;30|0|41425</t>
  </si>
  <si>
    <t>Aggregated Financials|R +R |0|41425</t>
  </si>
  <si>
    <t>Aggregated Financials|LTM Write-Offs|0|41425</t>
  </si>
  <si>
    <t>Aggregated Financials|Foreign Currency Exposure Asset|0|41425</t>
  </si>
  <si>
    <t>Aggregated Financials|Foreign Currency Liabilities|0|41425</t>
  </si>
  <si>
    <t>Aggregated Financials|Asset Hedges|0|41425</t>
  </si>
  <si>
    <t>Aggregated Financials|Liability Hedges|0|41425</t>
  </si>
  <si>
    <t>Aggregated Financials|PAR &gt;60|0|41425</t>
  </si>
  <si>
    <t>Aggregated Financials|Previous Month Equity|0|41425</t>
  </si>
  <si>
    <t>Aggregated Financials|MONTH FX|0|41425</t>
  </si>
  <si>
    <t>Aggregated Financials|LAST MONTH FX|0|41425</t>
  </si>
  <si>
    <t>Aggregated Financials|YTD FX|0|41425</t>
  </si>
  <si>
    <t>Aggregated Financials|LTM FX|0|41425</t>
  </si>
  <si>
    <t>Aggregated Financials|LTM Average GLP|0|41425</t>
  </si>
  <si>
    <t>Aggregated Financials|LTM Average Assets|0|41425</t>
  </si>
  <si>
    <t>Aggregated Financials|LTM Average Equity|0|41425</t>
  </si>
  <si>
    <t>Aggregated Financials|LTM Average Borrowings|0|41425</t>
  </si>
  <si>
    <t>Aggregated Financials|YTD Average Assets|0|41425</t>
  </si>
  <si>
    <t>Aggregated Financials|YTD Average GLP|0|41425</t>
  </si>
  <si>
    <t>Aggregated Financials|YTD Average Equity|0|41425</t>
  </si>
  <si>
    <t>Aggregated Financials|YTD Average Borrowings|0|41425</t>
  </si>
  <si>
    <t>Aggregated Financials|LTM Net Income|0|41425</t>
  </si>
  <si>
    <t>Aggregated Financials|LTM Financial Revenue|0|41425</t>
  </si>
  <si>
    <t>Aggregated Financials|LTM Financial Expense |0|41425</t>
  </si>
  <si>
    <t>Aggregated Financials|LTM Provisioning Expense |0|41425</t>
  </si>
  <si>
    <t>Aggregated Financials|LTM Operating Expense|0|41425</t>
  </si>
  <si>
    <t>Aggregated Financials|LTM Other Financial Income (Expense)|0|41425</t>
  </si>
  <si>
    <t>Aggregated Financials|Total Borrowings|0|41425</t>
  </si>
  <si>
    <t>Aggregated Financials|Total Interest Bearing Debt |0|41425</t>
  </si>
  <si>
    <t>Aggregated Financials|Savings Accounts|0|41425</t>
  </si>
  <si>
    <t>Aggregated Financials|Operating Expenses|0|41425</t>
  </si>
  <si>
    <t>Aggregated Financials|LTM Net Income (After Taxes &amp; Before Donations) |0|41425</t>
  </si>
  <si>
    <t>Aggregated Financials|Net Income (After Taxes &amp; Before Donations) |0|41425</t>
  </si>
  <si>
    <t>Aggregated Financials|LTM Savings Accounts|0|41425</t>
  </si>
  <si>
    <t>Aggregated Financials|PAR &gt;90|0|41425</t>
  </si>
  <si>
    <t>Aggregated Financials|GLP|0|41455</t>
  </si>
  <si>
    <t>Aggregated Financials|Total Assets|0|41455</t>
  </si>
  <si>
    <t>Aggregated Financials|Total Equity|0|41455</t>
  </si>
  <si>
    <t>Aggregated Financials|Net Income|0|41455</t>
  </si>
  <si>
    <t>Aggregated Financials|January Assets|0|41455</t>
  </si>
  <si>
    <t>Aggregated Financials|January Equity|0|41455</t>
  </si>
  <si>
    <t>Aggregated Financials|LTM GLP|0|41455</t>
  </si>
  <si>
    <t>Aggregated Financials|Loan Loss Reserves|0|41455</t>
  </si>
  <si>
    <t>Aggregated Financials|Total Debt|0|41455</t>
  </si>
  <si>
    <t>Aggregated Financials|Financial Revenue|0|41455</t>
  </si>
  <si>
    <t>Aggregated Financials|Number of Active Borrowers|0|41455</t>
  </si>
  <si>
    <t>Aggregated Financials|Number of Active Loans|0|41455</t>
  </si>
  <si>
    <t>Aggregated Financials|PAR &gt;30|0|41455</t>
  </si>
  <si>
    <t>Aggregated Financials|R +R |0|41455</t>
  </si>
  <si>
    <t>Aggregated Financials|LTM Write-Offs|0|41455</t>
  </si>
  <si>
    <t>Aggregated Financials|Foreign Currency Exposure Asset|0|41455</t>
  </si>
  <si>
    <t>Aggregated Financials|Foreign Currency Liabilities|0|41455</t>
  </si>
  <si>
    <t>Aggregated Financials|Asset Hedges|0|41455</t>
  </si>
  <si>
    <t>Aggregated Financials|Liability Hedges|0|41455</t>
  </si>
  <si>
    <t>Aggregated Financials|PAR &gt;60|0|41455</t>
  </si>
  <si>
    <t>Aggregated Financials|Previous Month Equity|0|41455</t>
  </si>
  <si>
    <t>Aggregated Financials|MONTH FX|0|41455</t>
  </si>
  <si>
    <t>Aggregated Financials|LAST MONTH FX|0|41455</t>
  </si>
  <si>
    <t>Aggregated Financials|YTD FX|0|41455</t>
  </si>
  <si>
    <t>Aggregated Financials|LTM FX|0|41455</t>
  </si>
  <si>
    <t>Aggregated Financials|LTM Average GLP|0|41455</t>
  </si>
  <si>
    <t>Aggregated Financials|LTM Average Assets|0|41455</t>
  </si>
  <si>
    <t>Aggregated Financials|LTM Average Equity|0|41455</t>
  </si>
  <si>
    <t>Aggregated Financials|LTM Average Borrowings|0|41455</t>
  </si>
  <si>
    <t>Aggregated Financials|YTD Average Assets|0|41455</t>
  </si>
  <si>
    <t>Aggregated Financials|YTD Average GLP|0|41455</t>
  </si>
  <si>
    <t>Aggregated Financials|YTD Average Equity|0|41455</t>
  </si>
  <si>
    <t>Aggregated Financials|YTD Average Borrowings|0|41455</t>
  </si>
  <si>
    <t>Aggregated Financials|LTM Net Income|0|41455</t>
  </si>
  <si>
    <t>Aggregated Financials|LTM Financial Revenue|0|41455</t>
  </si>
  <si>
    <t>Aggregated Financials|LTM Financial Expense |0|41455</t>
  </si>
  <si>
    <t>Aggregated Financials|LTM Provisioning Expense |0|41455</t>
  </si>
  <si>
    <t>Aggregated Financials|LTM Operating Expense|0|41455</t>
  </si>
  <si>
    <t>Aggregated Financials|LTM Other Financial Income (Expense)|0|41455</t>
  </si>
  <si>
    <t>Aggregated Financials|Total Borrowings|0|41455</t>
  </si>
  <si>
    <t>Aggregated Financials|Total Interest Bearing Debt |0|41455</t>
  </si>
  <si>
    <t>Aggregated Financials|Savings Accounts|0|41455</t>
  </si>
  <si>
    <t>Aggregated Financials|Operating Expenses|0|41455</t>
  </si>
  <si>
    <t>Aggregated Financials|LTM Net Income (After Taxes &amp; Before Donations) |0|41455</t>
  </si>
  <si>
    <t>Aggregated Financials|Net Income (After Taxes &amp; Before Donations) |0|41455</t>
  </si>
  <si>
    <t>Aggregated Financials|LTM Savings Accounts|0|41455</t>
  </si>
  <si>
    <t>Aggregated Financials|PAR &gt;90|0|41455</t>
  </si>
  <si>
    <t>Aggregated Financials|GLP|0|41486</t>
  </si>
  <si>
    <t>Aggregated Financials|Total Assets|0|41486</t>
  </si>
  <si>
    <t>Aggregated Financials|Total Equity|0|41486</t>
  </si>
  <si>
    <t>Aggregated Financials|Net Income|0|41486</t>
  </si>
  <si>
    <t>Aggregated Financials|January Assets|0|41486</t>
  </si>
  <si>
    <t>Aggregated Financials|January Equity|0|41486</t>
  </si>
  <si>
    <t>Aggregated Financials|LTM GLP|0|41486</t>
  </si>
  <si>
    <t>Aggregated Financials|Loan Loss Reserves|0|41486</t>
  </si>
  <si>
    <t>Aggregated Financials|Total Debt|0|41486</t>
  </si>
  <si>
    <t>Aggregated Financials|Financial Revenue|0|41486</t>
  </si>
  <si>
    <t>Aggregated Financials|Number of Active Borrowers|0|41486</t>
  </si>
  <si>
    <t>Aggregated Financials|Number of Active Loans|0|41486</t>
  </si>
  <si>
    <t>Aggregated Financials|PAR &gt;30|0|41486</t>
  </si>
  <si>
    <t>Aggregated Financials|R +R |0|41486</t>
  </si>
  <si>
    <t>Aggregated Financials|LTM Write-Offs|0|41486</t>
  </si>
  <si>
    <t>Aggregated Financials|Foreign Currency Exposure Asset|0|41486</t>
  </si>
  <si>
    <t>Aggregated Financials|Foreign Currency Liabilities|0|41486</t>
  </si>
  <si>
    <t>Aggregated Financials|Asset Hedges|0|41486</t>
  </si>
  <si>
    <t>Aggregated Financials|Liability Hedges|0|41486</t>
  </si>
  <si>
    <t>Aggregated Financials|PAR &gt;60|0|41486</t>
  </si>
  <si>
    <t>Aggregated Financials|Previous Month Equity|0|41486</t>
  </si>
  <si>
    <t>Aggregated Financials|MONTH FX|0|41486</t>
  </si>
  <si>
    <t>Aggregated Financials|LAST MONTH FX|0|41486</t>
  </si>
  <si>
    <t>Aggregated Financials|YTD FX|0|41486</t>
  </si>
  <si>
    <t>Aggregated Financials|LTM FX|0|41486</t>
  </si>
  <si>
    <t>Aggregated Financials|LTM Average GLP|0|41486</t>
  </si>
  <si>
    <t>Aggregated Financials|LTM Average Assets|0|41486</t>
  </si>
  <si>
    <t>Aggregated Financials|LTM Average Equity|0|41486</t>
  </si>
  <si>
    <t>Aggregated Financials|LTM Average Borrowings|0|41486</t>
  </si>
  <si>
    <t>Aggregated Financials|YTD Average Assets|0|41486</t>
  </si>
  <si>
    <t>Aggregated Financials|YTD Average GLP|0|41486</t>
  </si>
  <si>
    <t>Aggregated Financials|YTD Average Equity|0|41486</t>
  </si>
  <si>
    <t>Aggregated Financials|YTD Average Borrowings|0|41486</t>
  </si>
  <si>
    <t>Aggregated Financials|LTM Net Income|0|41486</t>
  </si>
  <si>
    <t>Aggregated Financials|LTM Financial Revenue|0|41486</t>
  </si>
  <si>
    <t>Aggregated Financials|LTM Financial Expense |0|41486</t>
  </si>
  <si>
    <t>Aggregated Financials|LTM Provisioning Expense |0|41486</t>
  </si>
  <si>
    <t>Aggregated Financials|LTM Operating Expense|0|41486</t>
  </si>
  <si>
    <t>Aggregated Financials|LTM Other Financial Income (Expense)|0|41486</t>
  </si>
  <si>
    <t>Aggregated Financials|Total Borrowings|0|41486</t>
  </si>
  <si>
    <t>Aggregated Financials|Total Interest Bearing Debt |0|41486</t>
  </si>
  <si>
    <t>Aggregated Financials|Savings Accounts|0|41486</t>
  </si>
  <si>
    <t>Aggregated Financials|Operating Expenses|0|41486</t>
  </si>
  <si>
    <t>Aggregated Financials|LTM Net Income (After Taxes &amp; Before Donations) |0|41486</t>
  </si>
  <si>
    <t>Aggregated Financials|Net Income (After Taxes &amp; Before Donations) |0|41486</t>
  </si>
  <si>
    <t>Aggregated Financials|LTM Savings Accounts|0|41486</t>
  </si>
  <si>
    <t>Aggregated Financials|PAR &gt;90|0|41486</t>
  </si>
  <si>
    <t>Aggregated Financials|GLP|0|41517</t>
  </si>
  <si>
    <t>Aggregated Financials|Total Assets|0|41517</t>
  </si>
  <si>
    <t>Aggregated Financials|Total Equity|0|41517</t>
  </si>
  <si>
    <t>Aggregated Financials|Net Income|0|41517</t>
  </si>
  <si>
    <t>Aggregated Financials|January Assets|0|41517</t>
  </si>
  <si>
    <t>Aggregated Financials|January Equity|0|41517</t>
  </si>
  <si>
    <t>Aggregated Financials|LTM GLP|0|41517</t>
  </si>
  <si>
    <t>Aggregated Financials|Loan Loss Reserves|0|41517</t>
  </si>
  <si>
    <t>Aggregated Financials|Total Debt|0|41517</t>
  </si>
  <si>
    <t>Aggregated Financials|Financial Revenue|0|41517</t>
  </si>
  <si>
    <t>Aggregated Financials|Number of Active Borrowers|0|41517</t>
  </si>
  <si>
    <t>Aggregated Financials|Number of Active Loans|0|41517</t>
  </si>
  <si>
    <t>Aggregated Financials|PAR &gt;30|0|41517</t>
  </si>
  <si>
    <t>Aggregated Financials|R +R |0|41517</t>
  </si>
  <si>
    <t>Aggregated Financials|LTM Write-Offs|0|41517</t>
  </si>
  <si>
    <t>Aggregated Financials|Foreign Currency Exposure Asset|0|41517</t>
  </si>
  <si>
    <t>Aggregated Financials|Foreign Currency Liabilities|0|41517</t>
  </si>
  <si>
    <t>Aggregated Financials|Asset Hedges|0|41517</t>
  </si>
  <si>
    <t>Aggregated Financials|Liability Hedges|0|41517</t>
  </si>
  <si>
    <t>Aggregated Financials|PAR &gt;60|0|41517</t>
  </si>
  <si>
    <t>Aggregated Financials|Previous Month Equity|0|41517</t>
  </si>
  <si>
    <t>Aggregated Financials|MONTH FX|0|41517</t>
  </si>
  <si>
    <t>Aggregated Financials|LAST MONTH FX|0|41517</t>
  </si>
  <si>
    <t>Aggregated Financials|YTD FX|0|41517</t>
  </si>
  <si>
    <t>Aggregated Financials|LTM FX|0|41517</t>
  </si>
  <si>
    <t>Aggregated Financials|LTM Average GLP|0|41517</t>
  </si>
  <si>
    <t>Aggregated Financials|LTM Average Assets|0|41517</t>
  </si>
  <si>
    <t>Aggregated Financials|LTM Average Equity|0|41517</t>
  </si>
  <si>
    <t>Aggregated Financials|LTM Average Borrowings|0|41517</t>
  </si>
  <si>
    <t>Aggregated Financials|YTD Average Assets|0|41517</t>
  </si>
  <si>
    <t>Aggregated Financials|YTD Average GLP|0|41517</t>
  </si>
  <si>
    <t>Aggregated Financials|YTD Average Equity|0|41517</t>
  </si>
  <si>
    <t>Aggregated Financials|YTD Average Borrowings|0|41517</t>
  </si>
  <si>
    <t>Aggregated Financials|LTM Net Income|0|41517</t>
  </si>
  <si>
    <t>Aggregated Financials|LTM Financial Revenue|0|41517</t>
  </si>
  <si>
    <t>Aggregated Financials|LTM Financial Expense |0|41517</t>
  </si>
  <si>
    <t>Aggregated Financials|LTM Provisioning Expense |0|41517</t>
  </si>
  <si>
    <t>Aggregated Financials|LTM Operating Expense|0|41517</t>
  </si>
  <si>
    <t>Aggregated Financials|LTM Other Financial Income (Expense)|0|41517</t>
  </si>
  <si>
    <t>Aggregated Financials|Total Borrowings|0|41517</t>
  </si>
  <si>
    <t>Aggregated Financials|Total Interest Bearing Debt |0|41517</t>
  </si>
  <si>
    <t>Aggregated Financials|Savings Accounts|0|41517</t>
  </si>
  <si>
    <t>Aggregated Financials|Operating Expenses|0|41517</t>
  </si>
  <si>
    <t>Aggregated Financials|LTM Net Income (After Taxes &amp; Before Donations) |0|41517</t>
  </si>
  <si>
    <t>Aggregated Financials|Net Income (After Taxes &amp; Before Donations) |0|41517</t>
  </si>
  <si>
    <t>Aggregated Financials|LTM Savings Accounts|0|41517</t>
  </si>
  <si>
    <t>Aggregated Financials|PAR &gt;90|0|41517</t>
  </si>
  <si>
    <t>Aggregated Financials|GLP|0|41547</t>
  </si>
  <si>
    <t>Aggregated Financials|Total Assets|0|41547</t>
  </si>
  <si>
    <t>Aggregated Financials|Total Equity|0|41547</t>
  </si>
  <si>
    <t>Aggregated Financials|Net Income|0|41547</t>
  </si>
  <si>
    <t>Aggregated Financials|January Assets|0|41547</t>
  </si>
  <si>
    <t>Aggregated Financials|January Equity|0|41547</t>
  </si>
  <si>
    <t>Aggregated Financials|LTM GLP|0|41547</t>
  </si>
  <si>
    <t>Aggregated Financials|Loan Loss Reserves|0|41547</t>
  </si>
  <si>
    <t>Aggregated Financials|Total Debt|0|41547</t>
  </si>
  <si>
    <t>Aggregated Financials|Financial Revenue|0|41547</t>
  </si>
  <si>
    <t>Aggregated Financials|Number of Active Borrowers|0|41547</t>
  </si>
  <si>
    <t>Aggregated Financials|Number of Active Loans|0|41547</t>
  </si>
  <si>
    <t>Aggregated Financials|PAR &gt;30|0|41547</t>
  </si>
  <si>
    <t>Aggregated Financials|R +R |0|41547</t>
  </si>
  <si>
    <t>Aggregated Financials|LTM Write-Offs|0|41547</t>
  </si>
  <si>
    <t>Aggregated Financials|Foreign Currency Exposure Asset|0|41547</t>
  </si>
  <si>
    <t>Aggregated Financials|Foreign Currency Liabilities|0|41547</t>
  </si>
  <si>
    <t>Aggregated Financials|Asset Hedges|0|41547</t>
  </si>
  <si>
    <t>Aggregated Financials|Liability Hedges|0|41547</t>
  </si>
  <si>
    <t>Aggregated Financials|PAR &gt;60|0|41547</t>
  </si>
  <si>
    <t>Aggregated Financials|Previous Month Equity|0|41547</t>
  </si>
  <si>
    <t>Aggregated Financials|MONTH FX|0|41547</t>
  </si>
  <si>
    <t>Aggregated Financials|LAST MONTH FX|0|41547</t>
  </si>
  <si>
    <t>Aggregated Financials|YTD FX|0|41547</t>
  </si>
  <si>
    <t>Aggregated Financials|LTM FX|0|41547</t>
  </si>
  <si>
    <t>Aggregated Financials|LTM Average GLP|0|41547</t>
  </si>
  <si>
    <t>Aggregated Financials|LTM Average Assets|0|41547</t>
  </si>
  <si>
    <t>Aggregated Financials|LTM Average Equity|0|41547</t>
  </si>
  <si>
    <t>Aggregated Financials|LTM Average Borrowings|0|41547</t>
  </si>
  <si>
    <t>Aggregated Financials|YTD Average Assets|0|41547</t>
  </si>
  <si>
    <t>Aggregated Financials|YTD Average GLP|0|41547</t>
  </si>
  <si>
    <t>Aggregated Financials|YTD Average Equity|0|41547</t>
  </si>
  <si>
    <t>Aggregated Financials|YTD Average Borrowings|0|41547</t>
  </si>
  <si>
    <t>Aggregated Financials|LTM Net Income|0|41547</t>
  </si>
  <si>
    <t>Aggregated Financials|LTM Financial Revenue|0|41547</t>
  </si>
  <si>
    <t>Aggregated Financials|LTM Financial Expense |0|41547</t>
  </si>
  <si>
    <t>Aggregated Financials|LTM Provisioning Expense |0|41547</t>
  </si>
  <si>
    <t>Aggregated Financials|LTM Operating Expense|0|41547</t>
  </si>
  <si>
    <t>Aggregated Financials|LTM Other Financial Income (Expense)|0|41547</t>
  </si>
  <si>
    <t>Aggregated Financials|Total Borrowings|0|41547</t>
  </si>
  <si>
    <t>Aggregated Financials|Total Interest Bearing Debt |0|41547</t>
  </si>
  <si>
    <t>Aggregated Financials|Savings Accounts|0|41547</t>
  </si>
  <si>
    <t>Aggregated Financials|Operating Expenses|0|41547</t>
  </si>
  <si>
    <t>Aggregated Financials|LTM Net Income (After Taxes &amp; Before Donations) |0|41547</t>
  </si>
  <si>
    <t>Aggregated Financials|Net Income (After Taxes &amp; Before Donations) |0|41547</t>
  </si>
  <si>
    <t>Aggregated Financials|LTM Savings Accounts|0|41547</t>
  </si>
  <si>
    <t>Aggregated Financials|PAR &gt;90|0|41547</t>
  </si>
  <si>
    <t>Aggregated Financials|GLP|0|41578</t>
  </si>
  <si>
    <t>Aggregated Financials|Total Assets|0|41578</t>
  </si>
  <si>
    <t>Aggregated Financials|Total Equity|0|41578</t>
  </si>
  <si>
    <t>Aggregated Financials|Net Income|0|41578</t>
  </si>
  <si>
    <t>Aggregated Financials|January Assets|0|41578</t>
  </si>
  <si>
    <t>Aggregated Financials|January Equity|0|41578</t>
  </si>
  <si>
    <t>Aggregated Financials|LTM GLP|0|41578</t>
  </si>
  <si>
    <t>Aggregated Financials|Loan Loss Reserves|0|41578</t>
  </si>
  <si>
    <t>Aggregated Financials|Total Debt|0|41578</t>
  </si>
  <si>
    <t>Aggregated Financials|Financial Revenue|0|41578</t>
  </si>
  <si>
    <t>Aggregated Financials|Number of Active Borrowers|0|41578</t>
  </si>
  <si>
    <t>Aggregated Financials|Number of Active Loans|0|41578</t>
  </si>
  <si>
    <t>Aggregated Financials|PAR &gt;30|0|41578</t>
  </si>
  <si>
    <t>Aggregated Financials|R +R |0|41578</t>
  </si>
  <si>
    <t>Aggregated Financials|LTM Write-Offs|0|41578</t>
  </si>
  <si>
    <t>Aggregated Financials|Foreign Currency Exposure Asset|0|41578</t>
  </si>
  <si>
    <t>Aggregated Financials|Foreign Currency Liabilities|0|41578</t>
  </si>
  <si>
    <t>Aggregated Financials|Asset Hedges|0|41578</t>
  </si>
  <si>
    <t>Aggregated Financials|Liability Hedges|0|41578</t>
  </si>
  <si>
    <t>Aggregated Financials|PAR &gt;60|0|41578</t>
  </si>
  <si>
    <t>Aggregated Financials|Previous Month Equity|0|41578</t>
  </si>
  <si>
    <t>Aggregated Financials|MONTH FX|0|41578</t>
  </si>
  <si>
    <t>Aggregated Financials|LAST MONTH FX|0|41578</t>
  </si>
  <si>
    <t>Aggregated Financials|YTD FX|0|41578</t>
  </si>
  <si>
    <t>Aggregated Financials|LTM FX|0|41578</t>
  </si>
  <si>
    <t>Aggregated Financials|LTM Average GLP|0|41578</t>
  </si>
  <si>
    <t>Aggregated Financials|LTM Average Assets|0|41578</t>
  </si>
  <si>
    <t>Aggregated Financials|LTM Average Equity|0|41578</t>
  </si>
  <si>
    <t>Aggregated Financials|LTM Average Borrowings|0|41578</t>
  </si>
  <si>
    <t>Aggregated Financials|YTD Average Assets|0|41578</t>
  </si>
  <si>
    <t>Aggregated Financials|YTD Average GLP|0|41578</t>
  </si>
  <si>
    <t>Aggregated Financials|YTD Average Equity|0|41578</t>
  </si>
  <si>
    <t>Aggregated Financials|YTD Average Borrowings|0|41578</t>
  </si>
  <si>
    <t>Aggregated Financials|LTM Net Income|0|41578</t>
  </si>
  <si>
    <t>Aggregated Financials|LTM Financial Revenue|0|41578</t>
  </si>
  <si>
    <t>Aggregated Financials|LTM Financial Expense |0|41578</t>
  </si>
  <si>
    <t>Aggregated Financials|LTM Provisioning Expense |0|41578</t>
  </si>
  <si>
    <t>Aggregated Financials|LTM Operating Expense|0|41578</t>
  </si>
  <si>
    <t>Aggregated Financials|LTM Other Financial Income (Expense)|0|41578</t>
  </si>
  <si>
    <t>Aggregated Financials|Total Borrowings|0|41578</t>
  </si>
  <si>
    <t>Aggregated Financials|Total Interest Bearing Debt |0|41578</t>
  </si>
  <si>
    <t>Aggregated Financials|Savings Accounts|0|41578</t>
  </si>
  <si>
    <t>Aggregated Financials|Operating Expenses|0|41578</t>
  </si>
  <si>
    <t>Aggregated Financials|LTM Net Income (After Taxes &amp; Before Donations) |0|41578</t>
  </si>
  <si>
    <t>Aggregated Financials|Net Income (After Taxes &amp; Before Donations) |0|41578</t>
  </si>
  <si>
    <t>Aggregated Financials|LTM Savings Accounts|0|41578</t>
  </si>
  <si>
    <t>Aggregated Financials|PAR &gt;90|0|41578</t>
  </si>
  <si>
    <t>Aggregated Financials|GLP|0|41608</t>
  </si>
  <si>
    <t>Aggregated Financials|Total Assets|0|41608</t>
  </si>
  <si>
    <t>Aggregated Financials|Total Equity|0|41608</t>
  </si>
  <si>
    <t>Aggregated Financials|Net Income|0|41608</t>
  </si>
  <si>
    <t>Aggregated Financials|January Assets|0|41608</t>
  </si>
  <si>
    <t>Aggregated Financials|January Equity|0|41608</t>
  </si>
  <si>
    <t>Aggregated Financials|LTM GLP|0|41608</t>
  </si>
  <si>
    <t>Aggregated Financials|Loan Loss Reserves|0|41608</t>
  </si>
  <si>
    <t>Aggregated Financials|Total Debt|0|41608</t>
  </si>
  <si>
    <t>Aggregated Financials|Financial Revenue|0|41608</t>
  </si>
  <si>
    <t>Aggregated Financials|Number of Active Borrowers|0|41608</t>
  </si>
  <si>
    <t>Aggregated Financials|Number of Active Loans|0|41608</t>
  </si>
  <si>
    <t>Aggregated Financials|PAR &gt;30|0|41608</t>
  </si>
  <si>
    <t>Aggregated Financials|R +R |0|41608</t>
  </si>
  <si>
    <t>Aggregated Financials|LTM Write-Offs|0|41608</t>
  </si>
  <si>
    <t>Aggregated Financials|Foreign Currency Exposure Asset|0|41608</t>
  </si>
  <si>
    <t>Aggregated Financials|Foreign Currency Liabilities|0|41608</t>
  </si>
  <si>
    <t>Aggregated Financials|Asset Hedges|0|41608</t>
  </si>
  <si>
    <t>Aggregated Financials|Liability Hedges|0|41608</t>
  </si>
  <si>
    <t>Aggregated Financials|PAR &gt;60|0|41608</t>
  </si>
  <si>
    <t>Aggregated Financials|Previous Month Equity|0|41608</t>
  </si>
  <si>
    <t>Aggregated Financials|MONTH FX|0|41608</t>
  </si>
  <si>
    <t>Aggregated Financials|LAST MONTH FX|0|41608</t>
  </si>
  <si>
    <t>Aggregated Financials|YTD FX|0|41608</t>
  </si>
  <si>
    <t>Aggregated Financials|LTM FX|0|41608</t>
  </si>
  <si>
    <t>Aggregated Financials|LTM Average GLP|0|41608</t>
  </si>
  <si>
    <t>Aggregated Financials|LTM Average Assets|0|41608</t>
  </si>
  <si>
    <t>Aggregated Financials|LTM Average Equity|0|41608</t>
  </si>
  <si>
    <t>Aggregated Financials|LTM Average Borrowings|0|41608</t>
  </si>
  <si>
    <t>Aggregated Financials|YTD Average Assets|0|41608</t>
  </si>
  <si>
    <t>Aggregated Financials|YTD Average GLP|0|41608</t>
  </si>
  <si>
    <t>Aggregated Financials|YTD Average Equity|0|41608</t>
  </si>
  <si>
    <t>Aggregated Financials|YTD Average Borrowings|0|41608</t>
  </si>
  <si>
    <t>Aggregated Financials|LTM Net Income|0|41608</t>
  </si>
  <si>
    <t>Aggregated Financials|LTM Financial Revenue|0|41608</t>
  </si>
  <si>
    <t>Aggregated Financials|LTM Financial Expense |0|41608</t>
  </si>
  <si>
    <t>Aggregated Financials|LTM Provisioning Expense |0|41608</t>
  </si>
  <si>
    <t>Aggregated Financials|LTM Operating Expense|0|41608</t>
  </si>
  <si>
    <t>Aggregated Financials|LTM Other Financial Income (Expense)|0|41608</t>
  </si>
  <si>
    <t>Aggregated Financials|Total Borrowings|0|41608</t>
  </si>
  <si>
    <t>Aggregated Financials|Total Interest Bearing Debt |0|41608</t>
  </si>
  <si>
    <t>Aggregated Financials|Savings Accounts|0|41608</t>
  </si>
  <si>
    <t>Aggregated Financials|Operating Expenses|0|41608</t>
  </si>
  <si>
    <t>Aggregated Financials|LTM Net Income (After Taxes &amp; Before Donations) |0|41608</t>
  </si>
  <si>
    <t>Aggregated Financials|Net Income (After Taxes &amp; Before Donations) |0|41608</t>
  </si>
  <si>
    <t>Aggregated Financials|LTM Savings Accounts|0|41608</t>
  </si>
  <si>
    <t>Aggregated Financials|PAR &gt;90|0|41608</t>
  </si>
  <si>
    <t>Aggregated Financials|GLP|0|41639</t>
  </si>
  <si>
    <t>Aggregated Financials|Total Assets|0|41639</t>
  </si>
  <si>
    <t>Aggregated Financials|Total Equity|0|41639</t>
  </si>
  <si>
    <t>Aggregated Financials|Net Income|0|41639</t>
  </si>
  <si>
    <t>Aggregated Financials|January Assets|0|41639</t>
  </si>
  <si>
    <t>Aggregated Financials|January Equity|0|41639</t>
  </si>
  <si>
    <t>Aggregated Financials|LTM GLP|0|41639</t>
  </si>
  <si>
    <t>Aggregated Financials|Loan Loss Reserves|0|41639</t>
  </si>
  <si>
    <t>Aggregated Financials|Total Debt|0|41639</t>
  </si>
  <si>
    <t>Aggregated Financials|Financial Revenue|0|41639</t>
  </si>
  <si>
    <t>Aggregated Financials|Number of Active Borrowers|0|41639</t>
  </si>
  <si>
    <t>Aggregated Financials|Number of Active Loans|0|41639</t>
  </si>
  <si>
    <t>Aggregated Financials|PAR &gt;30|0|41639</t>
  </si>
  <si>
    <t>Aggregated Financials|R +R |0|41639</t>
  </si>
  <si>
    <t>Aggregated Financials|LTM Write-Offs|0|41639</t>
  </si>
  <si>
    <t>Aggregated Financials|Foreign Currency Exposure Asset|0|41639</t>
  </si>
  <si>
    <t>Aggregated Financials|Foreign Currency Liabilities|0|41639</t>
  </si>
  <si>
    <t>Aggregated Financials|Asset Hedges|0|41639</t>
  </si>
  <si>
    <t>Aggregated Financials|Liability Hedges|0|41639</t>
  </si>
  <si>
    <t>Aggregated Financials|PAR &gt;60|0|41639</t>
  </si>
  <si>
    <t>Aggregated Financials|Previous Month Equity|0|41639</t>
  </si>
  <si>
    <t>Aggregated Financials|MONTH FX|0|41639</t>
  </si>
  <si>
    <t>Aggregated Financials|LAST MONTH FX|0|41639</t>
  </si>
  <si>
    <t>Aggregated Financials|YTD FX|0|41639</t>
  </si>
  <si>
    <t>Aggregated Financials|LTM FX|0|41639</t>
  </si>
  <si>
    <t>Aggregated Financials|LTM Average GLP|0|41639</t>
  </si>
  <si>
    <t>Aggregated Financials|LTM Average Assets|0|41639</t>
  </si>
  <si>
    <t>Aggregated Financials|LTM Average Equity|0|41639</t>
  </si>
  <si>
    <t>Aggregated Financials|LTM Average Borrowings|0|41639</t>
  </si>
  <si>
    <t>Aggregated Financials|YTD Average Assets|0|41639</t>
  </si>
  <si>
    <t>Aggregated Financials|YTD Average GLP|0|41639</t>
  </si>
  <si>
    <t>Aggregated Financials|YTD Average Equity|0|41639</t>
  </si>
  <si>
    <t>Aggregated Financials|YTD Average Borrowings|0|41639</t>
  </si>
  <si>
    <t>Aggregated Financials|LTM Net Income|0|41639</t>
  </si>
  <si>
    <t>Aggregated Financials|LTM Financial Revenue|0|41639</t>
  </si>
  <si>
    <t>Aggregated Financials|LTM Financial Expense |0|41639</t>
  </si>
  <si>
    <t>Aggregated Financials|LTM Provisioning Expense |0|41639</t>
  </si>
  <si>
    <t>Aggregated Financials|LTM Operating Expense|0|41639</t>
  </si>
  <si>
    <t>Aggregated Financials|LTM Other Financial Income (Expense)|0|41639</t>
  </si>
  <si>
    <t>Aggregated Financials|Total Borrowings|0|41639</t>
  </si>
  <si>
    <t>Aggregated Financials|Total Interest Bearing Debt |0|41639</t>
  </si>
  <si>
    <t>Aggregated Financials|Savings Accounts|0|41639</t>
  </si>
  <si>
    <t>Aggregated Financials|Operating Expenses|0|41639</t>
  </si>
  <si>
    <t>Aggregated Financials|LTM Net Income (After Taxes &amp; Before Donations) |0|41639</t>
  </si>
  <si>
    <t>Aggregated Financials|Net Income (After Taxes &amp; Before Donations) |0|41639</t>
  </si>
  <si>
    <t>Aggregated Financials|LTM Savings Accounts|0|41639</t>
  </si>
  <si>
    <t>Aggregated Financials|PAR &gt;90|0|41639</t>
  </si>
  <si>
    <t>Aggregated Financials|GLP|0|41670</t>
  </si>
  <si>
    <t>Aggregated Financials|Total Assets|0|41670</t>
  </si>
  <si>
    <t>Aggregated Financials|Total Equity|0|41670</t>
  </si>
  <si>
    <t>Aggregated Financials|Net Income|0|41670</t>
  </si>
  <si>
    <t>Aggregated Financials|January Assets|0|41670</t>
  </si>
  <si>
    <t>Aggregated Financials|January Equity|0|41670</t>
  </si>
  <si>
    <t>Aggregated Financials|LTM GLP|0|41670</t>
  </si>
  <si>
    <t>Aggregated Financials|Loan Loss Reserves|0|41670</t>
  </si>
  <si>
    <t>Aggregated Financials|Total Debt|0|41670</t>
  </si>
  <si>
    <t>Aggregated Financials|Financial Revenue|0|41670</t>
  </si>
  <si>
    <t>Aggregated Financials|Number of Active Borrowers|0|41670</t>
  </si>
  <si>
    <t>Aggregated Financials|Number of Active Loans|0|41670</t>
  </si>
  <si>
    <t>Aggregated Financials|PAR &gt;30|0|41670</t>
  </si>
  <si>
    <t>Aggregated Financials|R +R |0|41670</t>
  </si>
  <si>
    <t>Aggregated Financials|LTM Write-Offs|0|41670</t>
  </si>
  <si>
    <t>Aggregated Financials|Foreign Currency Exposure Asset|0|41670</t>
  </si>
  <si>
    <t>Aggregated Financials|Foreign Currency Liabilities|0|41670</t>
  </si>
  <si>
    <t>Aggregated Financials|Asset Hedges|0|41670</t>
  </si>
  <si>
    <t>Aggregated Financials|Liability Hedges|0|41670</t>
  </si>
  <si>
    <t>Aggregated Financials|PAR &gt;60|0|41670</t>
  </si>
  <si>
    <t>Aggregated Financials|Previous Month Equity|0|41670</t>
  </si>
  <si>
    <t>Aggregated Financials|MONTH FX|0|41670</t>
  </si>
  <si>
    <t>Aggregated Financials|LAST MONTH FX|0|41670</t>
  </si>
  <si>
    <t>Aggregated Financials|YTD FX|0|41670</t>
  </si>
  <si>
    <t>Aggregated Financials|LTM FX|0|41670</t>
  </si>
  <si>
    <t>Aggregated Financials|LTM Average GLP|0|41670</t>
  </si>
  <si>
    <t>Aggregated Financials|LTM Average Assets|0|41670</t>
  </si>
  <si>
    <t>Aggregated Financials|LTM Average Equity|0|41670</t>
  </si>
  <si>
    <t>Aggregated Financials|LTM Average Borrowings|0|41670</t>
  </si>
  <si>
    <t>Aggregated Financials|YTD Average Assets|0|41670</t>
  </si>
  <si>
    <t>Aggregated Financials|YTD Average GLP|0|41670</t>
  </si>
  <si>
    <t>Aggregated Financials|YTD Average Equity|0|41670</t>
  </si>
  <si>
    <t>Aggregated Financials|YTD Average Borrowings|0|41670</t>
  </si>
  <si>
    <t>Aggregated Financials|LTM Net Income|0|41670</t>
  </si>
  <si>
    <t>Aggregated Financials|LTM Financial Revenue|0|41670</t>
  </si>
  <si>
    <t>Aggregated Financials|LTM Financial Expense |0|41670</t>
  </si>
  <si>
    <t>Aggregated Financials|LTM Provisioning Expense |0|41670</t>
  </si>
  <si>
    <t>Aggregated Financials|LTM Operating Expense|0|41670</t>
  </si>
  <si>
    <t>Aggregated Financials|LTM Other Financial Income (Expense)|0|41670</t>
  </si>
  <si>
    <t>Aggregated Financials|Total Borrowings|0|41670</t>
  </si>
  <si>
    <t>Aggregated Financials|Total Interest Bearing Debt |0|41670</t>
  </si>
  <si>
    <t>Aggregated Financials|Savings Accounts|0|41670</t>
  </si>
  <si>
    <t>Aggregated Financials|Operating Expenses|0|41670</t>
  </si>
  <si>
    <t>Aggregated Financials|LTM Net Income (After Taxes &amp; Before Donations) |0|41670</t>
  </si>
  <si>
    <t>Aggregated Financials|Net Income (After Taxes &amp; Before Donations) |0|41670</t>
  </si>
  <si>
    <t>Aggregated Financials|LTM Savings Accounts|0|41670</t>
  </si>
  <si>
    <t>Aggregated Financials|PAR &gt;90|0|41670</t>
  </si>
  <si>
    <t>Aggregated Financials|GLP|0|41698</t>
  </si>
  <si>
    <t>Aggregated Financials|Total Assets|0|41698</t>
  </si>
  <si>
    <t>Aggregated Financials|Total Equity|0|41698</t>
  </si>
  <si>
    <t>Aggregated Financials|Net Income|0|41698</t>
  </si>
  <si>
    <t>Aggregated Financials|January Assets|0|41698</t>
  </si>
  <si>
    <t>Aggregated Financials|January Equity|0|41698</t>
  </si>
  <si>
    <t>Aggregated Financials|LTM GLP|0|41698</t>
  </si>
  <si>
    <t>Aggregated Financials|Loan Loss Reserves|0|41698</t>
  </si>
  <si>
    <t>Aggregated Financials|Total Debt|0|41698</t>
  </si>
  <si>
    <t>Aggregated Financials|Financial Revenue|0|41698</t>
  </si>
  <si>
    <t>Aggregated Financials|Number of Active Borrowers|0|41698</t>
  </si>
  <si>
    <t>Aggregated Financials|Number of Active Loans|0|41698</t>
  </si>
  <si>
    <t>Aggregated Financials|PAR &gt;30|0|41698</t>
  </si>
  <si>
    <t>Aggregated Financials|R +R |0|41698</t>
  </si>
  <si>
    <t>Aggregated Financials|LTM Write-Offs|0|41698</t>
  </si>
  <si>
    <t>Aggregated Financials|Foreign Currency Exposure Asset|0|41698</t>
  </si>
  <si>
    <t>Aggregated Financials|Foreign Currency Liabilities|0|41698</t>
  </si>
  <si>
    <t>Aggregated Financials|Asset Hedges|0|41698</t>
  </si>
  <si>
    <t>Aggregated Financials|Liability Hedges|0|41698</t>
  </si>
  <si>
    <t>Aggregated Financials|PAR &gt;60|0|41698</t>
  </si>
  <si>
    <t>Aggregated Financials|Previous Month Equity|0|41698</t>
  </si>
  <si>
    <t>Aggregated Financials|MONTH FX|0|41698</t>
  </si>
  <si>
    <t>Aggregated Financials|LAST MONTH FX|0|41698</t>
  </si>
  <si>
    <t>Aggregated Financials|YTD FX|0|41698</t>
  </si>
  <si>
    <t>Aggregated Financials|LTM FX|0|41698</t>
  </si>
  <si>
    <t>Aggregated Financials|LTM Average GLP|0|41698</t>
  </si>
  <si>
    <t>Aggregated Financials|LTM Average Assets|0|41698</t>
  </si>
  <si>
    <t>Aggregated Financials|LTM Average Equity|0|41698</t>
  </si>
  <si>
    <t>Aggregated Financials|LTM Average Borrowings|0|41698</t>
  </si>
  <si>
    <t>Aggregated Financials|YTD Average Assets|0|41698</t>
  </si>
  <si>
    <t>Aggregated Financials|YTD Average GLP|0|41698</t>
  </si>
  <si>
    <t>Aggregated Financials|YTD Average Equity|0|41698</t>
  </si>
  <si>
    <t>Aggregated Financials|YTD Average Borrowings|0|41698</t>
  </si>
  <si>
    <t>Aggregated Financials|LTM Net Income|0|41698</t>
  </si>
  <si>
    <t>Aggregated Financials|LTM Financial Revenue|0|41698</t>
  </si>
  <si>
    <t>Aggregated Financials|LTM Financial Expense |0|41698</t>
  </si>
  <si>
    <t>Aggregated Financials|LTM Provisioning Expense |0|41698</t>
  </si>
  <si>
    <t>Aggregated Financials|LTM Operating Expense|0|41698</t>
  </si>
  <si>
    <t>Aggregated Financials|LTM Other Financial Income (Expense)|0|41698</t>
  </si>
  <si>
    <t>Aggregated Financials|Total Borrowings|0|41698</t>
  </si>
  <si>
    <t>Aggregated Financials|Total Interest Bearing Debt |0|41698</t>
  </si>
  <si>
    <t>Aggregated Financials|Savings Accounts|0|41698</t>
  </si>
  <si>
    <t>Aggregated Financials|Operating Expenses|0|41698</t>
  </si>
  <si>
    <t>Aggregated Financials|LTM Net Income (After Taxes &amp; Before Donations) |0|41698</t>
  </si>
  <si>
    <t>Aggregated Financials|Net Income (After Taxes &amp; Before Donations) |0|41698</t>
  </si>
  <si>
    <t>Aggregated Financials|LTM Savings Accounts|0|41698</t>
  </si>
  <si>
    <t>Aggregated Financials|PAR &gt;90|0|41698</t>
  </si>
  <si>
    <t>Aggregated Financials|GLP|0|41729</t>
  </si>
  <si>
    <t>Aggregated Financials|Total Assets|0|41729</t>
  </si>
  <si>
    <t>Aggregated Financials|Total Equity|0|41729</t>
  </si>
  <si>
    <t>Aggregated Financials|Net Income|0|41729</t>
  </si>
  <si>
    <t>Aggregated Financials|January Assets|0|41729</t>
  </si>
  <si>
    <t>Aggregated Financials|January Equity|0|41729</t>
  </si>
  <si>
    <t>Aggregated Financials|LTM GLP|0|41729</t>
  </si>
  <si>
    <t>Aggregated Financials|Loan Loss Reserves|0|41729</t>
  </si>
  <si>
    <t>Aggregated Financials|Total Debt|0|41729</t>
  </si>
  <si>
    <t>Aggregated Financials|Financial Revenue|0|41729</t>
  </si>
  <si>
    <t>Aggregated Financials|Number of Active Borrowers|0|41729</t>
  </si>
  <si>
    <t>Aggregated Financials|Number of Active Loans|0|41729</t>
  </si>
  <si>
    <t>Aggregated Financials|PAR &gt;30|0|41729</t>
  </si>
  <si>
    <t>Aggregated Financials|R +R |0|41729</t>
  </si>
  <si>
    <t>Aggregated Financials|LTM Write-Offs|0|41729</t>
  </si>
  <si>
    <t>Aggregated Financials|Foreign Currency Exposure Asset|0|41729</t>
  </si>
  <si>
    <t>Aggregated Financials|Foreign Currency Liabilities|0|41729</t>
  </si>
  <si>
    <t>Aggregated Financials|Asset Hedges|0|41729</t>
  </si>
  <si>
    <t>Aggregated Financials|Liability Hedges|0|41729</t>
  </si>
  <si>
    <t>Aggregated Financials|PAR &gt;60|0|41729</t>
  </si>
  <si>
    <t>Aggregated Financials|Previous Month Equity|0|41729</t>
  </si>
  <si>
    <t>Aggregated Financials|MONTH FX|0|41729</t>
  </si>
  <si>
    <t>Aggregated Financials|LAST MONTH FX|0|41729</t>
  </si>
  <si>
    <t>Aggregated Financials|YTD FX|0|41729</t>
  </si>
  <si>
    <t>Aggregated Financials|LTM FX|0|41729</t>
  </si>
  <si>
    <t>Aggregated Financials|LTM Average GLP|0|41729</t>
  </si>
  <si>
    <t>Aggregated Financials|LTM Average Assets|0|41729</t>
  </si>
  <si>
    <t>Aggregated Financials|LTM Average Equity|0|41729</t>
  </si>
  <si>
    <t>Aggregated Financials|LTM Average Borrowings|0|41729</t>
  </si>
  <si>
    <t>Aggregated Financials|YTD Average Assets|0|41729</t>
  </si>
  <si>
    <t>Aggregated Financials|YTD Average GLP|0|41729</t>
  </si>
  <si>
    <t>Aggregated Financials|YTD Average Equity|0|41729</t>
  </si>
  <si>
    <t>Aggregated Financials|YTD Average Borrowings|0|41729</t>
  </si>
  <si>
    <t>Aggregated Financials|LTM Net Income|0|41729</t>
  </si>
  <si>
    <t>Aggregated Financials|LTM Financial Revenue|0|41729</t>
  </si>
  <si>
    <t>Aggregated Financials|LTM Financial Expense |0|41729</t>
  </si>
  <si>
    <t>Aggregated Financials|LTM Provisioning Expense |0|41729</t>
  </si>
  <si>
    <t>Aggregated Financials|LTM Operating Expense|0|41729</t>
  </si>
  <si>
    <t>Aggregated Financials|LTM Other Financial Income (Expense)|0|41729</t>
  </si>
  <si>
    <t>Aggregated Financials|Total Borrowings|0|41729</t>
  </si>
  <si>
    <t>Aggregated Financials|Total Interest Bearing Debt |0|41729</t>
  </si>
  <si>
    <t>Aggregated Financials|Savings Accounts|0|41729</t>
  </si>
  <si>
    <t>Aggregated Financials|Operating Expenses|0|41729</t>
  </si>
  <si>
    <t>Aggregated Financials|LTM Net Income (After Taxes &amp; Before Donations) |0|41729</t>
  </si>
  <si>
    <t>Aggregated Financials|Net Income (After Taxes &amp; Before Donations) |0|41729</t>
  </si>
  <si>
    <t>Aggregated Financials|LTM Savings Accounts|0|41729</t>
  </si>
  <si>
    <t>Aggregated Financials|PAR &gt;90|0|41729</t>
  </si>
  <si>
    <t>Aggregated Financials|GLP|0|41759</t>
  </si>
  <si>
    <t>Aggregated Financials|Total Assets|0|41759</t>
  </si>
  <si>
    <t>Aggregated Financials|Total Equity|0|41759</t>
  </si>
  <si>
    <t>Aggregated Financials|Net Income|0|41759</t>
  </si>
  <si>
    <t>Aggregated Financials|January Assets|0|41759</t>
  </si>
  <si>
    <t>Aggregated Financials|January Equity|0|41759</t>
  </si>
  <si>
    <t>Aggregated Financials|LTM GLP|0|41759</t>
  </si>
  <si>
    <t>Aggregated Financials|Loan Loss Reserves|0|41759</t>
  </si>
  <si>
    <t>Aggregated Financials|Total Debt|0|41759</t>
  </si>
  <si>
    <t>Aggregated Financials|Financial Revenue|0|41759</t>
  </si>
  <si>
    <t>Aggregated Financials|Number of Active Borrowers|0|41759</t>
  </si>
  <si>
    <t>Aggregated Financials|Number of Active Loans|0|41759</t>
  </si>
  <si>
    <t>Aggregated Financials|PAR &gt;30|0|41759</t>
  </si>
  <si>
    <t>Aggregated Financials|R +R |0|41759</t>
  </si>
  <si>
    <t>Aggregated Financials|LTM Write-Offs|0|41759</t>
  </si>
  <si>
    <t>Aggregated Financials|Foreign Currency Exposure Asset|0|41759</t>
  </si>
  <si>
    <t>Aggregated Financials|Foreign Currency Liabilities|0|41759</t>
  </si>
  <si>
    <t>Aggregated Financials|Asset Hedges|0|41759</t>
  </si>
  <si>
    <t>Aggregated Financials|Liability Hedges|0|41759</t>
  </si>
  <si>
    <t>Aggregated Financials|PAR &gt;60|0|41759</t>
  </si>
  <si>
    <t>Aggregated Financials|Previous Month Equity|0|41759</t>
  </si>
  <si>
    <t>Aggregated Financials|MONTH FX|0|41759</t>
  </si>
  <si>
    <t>Aggregated Financials|LAST MONTH FX|0|41759</t>
  </si>
  <si>
    <t>Aggregated Financials|YTD FX|0|41759</t>
  </si>
  <si>
    <t>Aggregated Financials|LTM FX|0|41759</t>
  </si>
  <si>
    <t>Aggregated Financials|LTM Average GLP|0|41759</t>
  </si>
  <si>
    <t>Aggregated Financials|LTM Average Assets|0|41759</t>
  </si>
  <si>
    <t>Aggregated Financials|LTM Average Equity|0|41759</t>
  </si>
  <si>
    <t>Aggregated Financials|LTM Average Borrowings|0|41759</t>
  </si>
  <si>
    <t>Aggregated Financials|YTD Average Assets|0|41759</t>
  </si>
  <si>
    <t>Aggregated Financials|YTD Average GLP|0|41759</t>
  </si>
  <si>
    <t>Aggregated Financials|YTD Average Equity|0|41759</t>
  </si>
  <si>
    <t>Aggregated Financials|YTD Average Borrowings|0|41759</t>
  </si>
  <si>
    <t>Aggregated Financials|LTM Net Income|0|41759</t>
  </si>
  <si>
    <t>Aggregated Financials|LTM Financial Revenue|0|41759</t>
  </si>
  <si>
    <t>Aggregated Financials|LTM Financial Expense |0|41759</t>
  </si>
  <si>
    <t>Aggregated Financials|LTM Provisioning Expense |0|41759</t>
  </si>
  <si>
    <t>Aggregated Financials|LTM Operating Expense|0|41759</t>
  </si>
  <si>
    <t>Aggregated Financials|LTM Other Financial Income (Expense)|0|41759</t>
  </si>
  <si>
    <t>Aggregated Financials|Total Borrowings|0|41759</t>
  </si>
  <si>
    <t>Aggregated Financials|Total Interest Bearing Debt |0|41759</t>
  </si>
  <si>
    <t>Aggregated Financials|Savings Accounts|0|41759</t>
  </si>
  <si>
    <t>Aggregated Financials|Operating Expenses|0|41759</t>
  </si>
  <si>
    <t>Aggregated Financials|LTM Net Income (After Taxes &amp; Before Donations) |0|41759</t>
  </si>
  <si>
    <t>Aggregated Financials|Net Income (After Taxes &amp; Before Donations) |0|41759</t>
  </si>
  <si>
    <t>Aggregated Financials|LTM Savings Accounts|0|41759</t>
  </si>
  <si>
    <t>Aggregated Financials|PAR &gt;90|0|41759</t>
  </si>
  <si>
    <t>Aggregated Financials|GLP|0|41790</t>
  </si>
  <si>
    <t>Aggregated Financials|Total Assets|0|41790</t>
  </si>
  <si>
    <t>Aggregated Financials|Total Equity|0|41790</t>
  </si>
  <si>
    <t>Aggregated Financials|Net Income|0|41790</t>
  </si>
  <si>
    <t>Aggregated Financials|January Assets|0|41790</t>
  </si>
  <si>
    <t>Aggregated Financials|January Equity|0|41790</t>
  </si>
  <si>
    <t>Aggregated Financials|LTM GLP|0|41790</t>
  </si>
  <si>
    <t>Aggregated Financials|Loan Loss Reserves|0|41790</t>
  </si>
  <si>
    <t>Aggregated Financials|Total Debt|0|41790</t>
  </si>
  <si>
    <t>Aggregated Financials|Financial Revenue|0|41790</t>
  </si>
  <si>
    <t>Aggregated Financials|Number of Active Borrowers|0|41790</t>
  </si>
  <si>
    <t>Aggregated Financials|Number of Active Loans|0|41790</t>
  </si>
  <si>
    <t>Aggregated Financials|PAR &gt;30|0|41790</t>
  </si>
  <si>
    <t>Aggregated Financials|R +R |0|41790</t>
  </si>
  <si>
    <t>Aggregated Financials|LTM Write-Offs|0|41790</t>
  </si>
  <si>
    <t>Aggregated Financials|Foreign Currency Exposure Asset|0|41790</t>
  </si>
  <si>
    <t>Aggregated Financials|Foreign Currency Liabilities|0|41790</t>
  </si>
  <si>
    <t>Aggregated Financials|Asset Hedges|0|41790</t>
  </si>
  <si>
    <t>Aggregated Financials|Liability Hedges|0|41790</t>
  </si>
  <si>
    <t>Aggregated Financials|PAR &gt;60|0|41790</t>
  </si>
  <si>
    <t>Aggregated Financials|Previous Month Equity|0|41790</t>
  </si>
  <si>
    <t>Aggregated Financials|MONTH FX|0|41790</t>
  </si>
  <si>
    <t>Aggregated Financials|LAST MONTH FX|0|41790</t>
  </si>
  <si>
    <t>Aggregated Financials|YTD FX|0|41790</t>
  </si>
  <si>
    <t>Aggregated Financials|LTM FX|0|41790</t>
  </si>
  <si>
    <t>Aggregated Financials|LTM Average GLP|0|41790</t>
  </si>
  <si>
    <t>Aggregated Financials|LTM Average Assets|0|41790</t>
  </si>
  <si>
    <t>Aggregated Financials|LTM Average Equity|0|41790</t>
  </si>
  <si>
    <t>Aggregated Financials|LTM Average Borrowings|0|41790</t>
  </si>
  <si>
    <t>Aggregated Financials|YTD Average Assets|0|41790</t>
  </si>
  <si>
    <t>Aggregated Financials|YTD Average GLP|0|41790</t>
  </si>
  <si>
    <t>Aggregated Financials|YTD Average Equity|0|41790</t>
  </si>
  <si>
    <t>Aggregated Financials|YTD Average Borrowings|0|41790</t>
  </si>
  <si>
    <t>Aggregated Financials|LTM Net Income|0|41790</t>
  </si>
  <si>
    <t>Aggregated Financials|LTM Financial Revenue|0|41790</t>
  </si>
  <si>
    <t>Aggregated Financials|LTM Financial Expense |0|41790</t>
  </si>
  <si>
    <t>Aggregated Financials|LTM Provisioning Expense |0|41790</t>
  </si>
  <si>
    <t>Aggregated Financials|LTM Operating Expense|0|41790</t>
  </si>
  <si>
    <t>Aggregated Financials|LTM Other Financial Income (Expense)|0|41790</t>
  </si>
  <si>
    <t>Aggregated Financials|Total Borrowings|0|41790</t>
  </si>
  <si>
    <t>Aggregated Financials|Total Interest Bearing Debt |0|41790</t>
  </si>
  <si>
    <t>Aggregated Financials|Savings Accounts|0|41790</t>
  </si>
  <si>
    <t>Aggregated Financials|Operating Expenses|0|41790</t>
  </si>
  <si>
    <t>Aggregated Financials|LTM Net Income (After Taxes &amp; Before Donations) |0|41790</t>
  </si>
  <si>
    <t>Aggregated Financials|Net Income (After Taxes &amp; Before Donations) |0|41790</t>
  </si>
  <si>
    <t>Aggregated Financials|LTM Savings Accounts|0|41790</t>
  </si>
  <si>
    <t>Aggregated Financials|PAR &gt;90|0|41790</t>
  </si>
  <si>
    <t>Aggregated Financials|GLP|0|41820</t>
  </si>
  <si>
    <t>Aggregated Financials|Total Assets|0|41820</t>
  </si>
  <si>
    <t>Aggregated Financials|Total Equity|0|41820</t>
  </si>
  <si>
    <t>Aggregated Financials|Net Income|0|41820</t>
  </si>
  <si>
    <t>Aggregated Financials|January Assets|0|41820</t>
  </si>
  <si>
    <t>Aggregated Financials|January Equity|0|41820</t>
  </si>
  <si>
    <t>Aggregated Financials|LTM GLP|0|41820</t>
  </si>
  <si>
    <t>Aggregated Financials|Loan Loss Reserves|0|41820</t>
  </si>
  <si>
    <t>Aggregated Financials|Total Debt|0|41820</t>
  </si>
  <si>
    <t>Aggregated Financials|Financial Revenue|0|41820</t>
  </si>
  <si>
    <t>Aggregated Financials|Number of Active Borrowers|0|41820</t>
  </si>
  <si>
    <t>Aggregated Financials|Number of Active Loans|0|41820</t>
  </si>
  <si>
    <t>Aggregated Financials|PAR &gt;30|0|41820</t>
  </si>
  <si>
    <t>Aggregated Financials|R +R |0|41820</t>
  </si>
  <si>
    <t>Aggregated Financials|LTM Write-Offs|0|41820</t>
  </si>
  <si>
    <t>Aggregated Financials|Foreign Currency Exposure Asset|0|41820</t>
  </si>
  <si>
    <t>Aggregated Financials|Foreign Currency Liabilities|0|41820</t>
  </si>
  <si>
    <t>Aggregated Financials|Asset Hedges|0|41820</t>
  </si>
  <si>
    <t>Aggregated Financials|Liability Hedges|0|41820</t>
  </si>
  <si>
    <t>Aggregated Financials|PAR &gt;60|0|41820</t>
  </si>
  <si>
    <t>Aggregated Financials|Previous Month Equity|0|41820</t>
  </si>
  <si>
    <t>Aggregated Financials|MONTH FX|0|41820</t>
  </si>
  <si>
    <t>Aggregated Financials|LAST MONTH FX|0|41820</t>
  </si>
  <si>
    <t>Aggregated Financials|YTD FX|0|41820</t>
  </si>
  <si>
    <t>Aggregated Financials|LTM FX|0|41820</t>
  </si>
  <si>
    <t>Aggregated Financials|LTM Average GLP|0|41820</t>
  </si>
  <si>
    <t>Aggregated Financials|LTM Average Assets|0|41820</t>
  </si>
  <si>
    <t>Aggregated Financials|LTM Average Equity|0|41820</t>
  </si>
  <si>
    <t>Aggregated Financials|LTM Average Borrowings|0|41820</t>
  </si>
  <si>
    <t>Aggregated Financials|YTD Average Assets|0|41820</t>
  </si>
  <si>
    <t>Aggregated Financials|YTD Average GLP|0|41820</t>
  </si>
  <si>
    <t>Aggregated Financials|YTD Average Equity|0|41820</t>
  </si>
  <si>
    <t>Aggregated Financials|YTD Average Borrowings|0|41820</t>
  </si>
  <si>
    <t>Aggregated Financials|LTM Net Income|0|41820</t>
  </si>
  <si>
    <t>Aggregated Financials|LTM Financial Revenue|0|41820</t>
  </si>
  <si>
    <t>Aggregated Financials|LTM Financial Expense |0|41820</t>
  </si>
  <si>
    <t>Aggregated Financials|LTM Provisioning Expense |0|41820</t>
  </si>
  <si>
    <t>Aggregated Financials|LTM Operating Expense|0|41820</t>
  </si>
  <si>
    <t>Aggregated Financials|LTM Other Financial Income (Expense)|0|41820</t>
  </si>
  <si>
    <t>Aggregated Financials|Total Borrowings|0|41820</t>
  </si>
  <si>
    <t>Aggregated Financials|Total Interest Bearing Debt |0|41820</t>
  </si>
  <si>
    <t>Aggregated Financials|Savings Accounts|0|41820</t>
  </si>
  <si>
    <t>Aggregated Financials|Operating Expenses|0|41820</t>
  </si>
  <si>
    <t>Aggregated Financials|LTM Net Income (After Taxes &amp; Before Donations) |0|41820</t>
  </si>
  <si>
    <t>Aggregated Financials|Net Income (After Taxes &amp; Before Donations) |0|41820</t>
  </si>
  <si>
    <t>Aggregated Financials|LTM Savings Accounts|0|41820</t>
  </si>
  <si>
    <t>Aggregated Financials|PAR &gt;90|0|41820</t>
  </si>
  <si>
    <t>Aggregated Financials|GLP|0|41851</t>
  </si>
  <si>
    <t>Aggregated Financials|Total Assets|0|41851</t>
  </si>
  <si>
    <t>Aggregated Financials|Total Equity|0|41851</t>
  </si>
  <si>
    <t>Aggregated Financials|Net Income|0|41851</t>
  </si>
  <si>
    <t>Aggregated Financials|January Assets|0|41851</t>
  </si>
  <si>
    <t>Aggregated Financials|January Equity|0|41851</t>
  </si>
  <si>
    <t>Aggregated Financials|LTM GLP|0|41851</t>
  </si>
  <si>
    <t>Aggregated Financials|Loan Loss Reserves|0|41851</t>
  </si>
  <si>
    <t>Aggregated Financials|Total Debt|0|41851</t>
  </si>
  <si>
    <t>Aggregated Financials|Financial Revenue|0|41851</t>
  </si>
  <si>
    <t>Aggregated Financials|Number of Active Borrowers|0|41851</t>
  </si>
  <si>
    <t>Aggregated Financials|Number of Active Loans|0|41851</t>
  </si>
  <si>
    <t>Aggregated Financials|PAR &gt;30|0|41851</t>
  </si>
  <si>
    <t>Aggregated Financials|R +R |0|41851</t>
  </si>
  <si>
    <t>Aggregated Financials|LTM Write-Offs|0|41851</t>
  </si>
  <si>
    <t>Aggregated Financials|Foreign Currency Exposure Asset|0|41851</t>
  </si>
  <si>
    <t>Aggregated Financials|Foreign Currency Liabilities|0|41851</t>
  </si>
  <si>
    <t>Aggregated Financials|Asset Hedges|0|41851</t>
  </si>
  <si>
    <t>Aggregated Financials|Liability Hedges|0|41851</t>
  </si>
  <si>
    <t>Aggregated Financials|PAR &gt;60|0|41851</t>
  </si>
  <si>
    <t>Aggregated Financials|Previous Month Equity|0|41851</t>
  </si>
  <si>
    <t>Aggregated Financials|MONTH FX|0|41851</t>
  </si>
  <si>
    <t>Aggregated Financials|LAST MONTH FX|0|41851</t>
  </si>
  <si>
    <t>Aggregated Financials|YTD FX|0|41851</t>
  </si>
  <si>
    <t>Aggregated Financials|LTM FX|0|41851</t>
  </si>
  <si>
    <t>Aggregated Financials|LTM Average GLP|0|41851</t>
  </si>
  <si>
    <t>Aggregated Financials|LTM Average Assets|0|41851</t>
  </si>
  <si>
    <t>Aggregated Financials|LTM Average Equity|0|41851</t>
  </si>
  <si>
    <t>Aggregated Financials|LTM Average Borrowings|0|41851</t>
  </si>
  <si>
    <t>Aggregated Financials|YTD Average Assets|0|41851</t>
  </si>
  <si>
    <t>Aggregated Financials|YTD Average GLP|0|41851</t>
  </si>
  <si>
    <t>Aggregated Financials|YTD Average Equity|0|41851</t>
  </si>
  <si>
    <t>Aggregated Financials|YTD Average Borrowings|0|41851</t>
  </si>
  <si>
    <t>Aggregated Financials|LTM Net Income|0|41851</t>
  </si>
  <si>
    <t>Aggregated Financials|LTM Financial Revenue|0|41851</t>
  </si>
  <si>
    <t>Aggregated Financials|LTM Financial Expense |0|41851</t>
  </si>
  <si>
    <t>Aggregated Financials|LTM Provisioning Expense |0|41851</t>
  </si>
  <si>
    <t>Aggregated Financials|LTM Operating Expense|0|41851</t>
  </si>
  <si>
    <t>Aggregated Financials|LTM Other Financial Income (Expense)|0|41851</t>
  </si>
  <si>
    <t>Aggregated Financials|Total Borrowings|0|41851</t>
  </si>
  <si>
    <t>Aggregated Financials|Total Interest Bearing Debt |0|41851</t>
  </si>
  <si>
    <t>Aggregated Financials|Savings Accounts|0|41851</t>
  </si>
  <si>
    <t>Aggregated Financials|Operating Expenses|0|41851</t>
  </si>
  <si>
    <t>Aggregated Financials|LTM Net Income (After Taxes &amp; Before Donations) |0|41851</t>
  </si>
  <si>
    <t>Aggregated Financials|Net Income (After Taxes &amp; Before Donations) |0|41851</t>
  </si>
  <si>
    <t>Aggregated Financials|LTM Savings Accounts|0|41851</t>
  </si>
  <si>
    <t>Aggregated Financials|PAR &gt;90|0|41851</t>
  </si>
  <si>
    <t>Aggregated Financials|GLP|0|41882</t>
  </si>
  <si>
    <t>Aggregated Financials|Total Assets|0|41882</t>
  </si>
  <si>
    <t>Aggregated Financials|Total Equity|0|41882</t>
  </si>
  <si>
    <t>Aggregated Financials|Net Income|0|41882</t>
  </si>
  <si>
    <t>Aggregated Financials|January Assets|0|41882</t>
  </si>
  <si>
    <t>Aggregated Financials|January Equity|0|41882</t>
  </si>
  <si>
    <t>Aggregated Financials|LTM GLP|0|41882</t>
  </si>
  <si>
    <t>Aggregated Financials|Loan Loss Reserves|0|41882</t>
  </si>
  <si>
    <t>Aggregated Financials|Total Debt|0|41882</t>
  </si>
  <si>
    <t>Aggregated Financials|Financial Revenue|0|41882</t>
  </si>
  <si>
    <t>Aggregated Financials|Number of Active Borrowers|0|41882</t>
  </si>
  <si>
    <t>Aggregated Financials|Number of Active Loans|0|41882</t>
  </si>
  <si>
    <t>Aggregated Financials|PAR &gt;30|0|41882</t>
  </si>
  <si>
    <t>Aggregated Financials|R +R |0|41882</t>
  </si>
  <si>
    <t>Aggregated Financials|LTM Write-Offs|0|41882</t>
  </si>
  <si>
    <t>Aggregated Financials|Foreign Currency Exposure Asset|0|41882</t>
  </si>
  <si>
    <t>Aggregated Financials|Foreign Currency Liabilities|0|41882</t>
  </si>
  <si>
    <t>Aggregated Financials|Asset Hedges|0|41882</t>
  </si>
  <si>
    <t>Aggregated Financials|Liability Hedges|0|41882</t>
  </si>
  <si>
    <t>Aggregated Financials|PAR &gt;60|0|41882</t>
  </si>
  <si>
    <t>Aggregated Financials|Previous Month Equity|0|41882</t>
  </si>
  <si>
    <t>Aggregated Financials|MONTH FX|0|41882</t>
  </si>
  <si>
    <t>Aggregated Financials|LAST MONTH FX|0|41882</t>
  </si>
  <si>
    <t>Aggregated Financials|YTD FX|0|41882</t>
  </si>
  <si>
    <t>Aggregated Financials|LTM FX|0|41882</t>
  </si>
  <si>
    <t>Aggregated Financials|LTM Average GLP|0|41882</t>
  </si>
  <si>
    <t>Aggregated Financials|LTM Average Assets|0|41882</t>
  </si>
  <si>
    <t>Aggregated Financials|LTM Average Equity|0|41882</t>
  </si>
  <si>
    <t>Aggregated Financials|LTM Average Borrowings|0|41882</t>
  </si>
  <si>
    <t>Aggregated Financials|YTD Average Assets|0|41882</t>
  </si>
  <si>
    <t>Aggregated Financials|YTD Average GLP|0|41882</t>
  </si>
  <si>
    <t>Aggregated Financials|YTD Average Equity|0|41882</t>
  </si>
  <si>
    <t>Aggregated Financials|YTD Average Borrowings|0|41882</t>
  </si>
  <si>
    <t>Aggregated Financials|LTM Net Income|0|41882</t>
  </si>
  <si>
    <t>Aggregated Financials|LTM Financial Revenue|0|41882</t>
  </si>
  <si>
    <t>Aggregated Financials|LTM Financial Expense |0|41882</t>
  </si>
  <si>
    <t>Aggregated Financials|LTM Provisioning Expense |0|41882</t>
  </si>
  <si>
    <t>Aggregated Financials|LTM Operating Expense|0|41882</t>
  </si>
  <si>
    <t>Aggregated Financials|LTM Other Financial Income (Expense)|0|41882</t>
  </si>
  <si>
    <t>Aggregated Financials|Total Borrowings|0|41882</t>
  </si>
  <si>
    <t>Aggregated Financials|Total Interest Bearing Debt |0|41882</t>
  </si>
  <si>
    <t>Aggregated Financials|Savings Accounts|0|41882</t>
  </si>
  <si>
    <t>Aggregated Financials|Operating Expenses|0|41882</t>
  </si>
  <si>
    <t>Aggregated Financials|LTM Net Income (After Taxes &amp; Before Donations) |0|41882</t>
  </si>
  <si>
    <t>Aggregated Financials|Net Income (After Taxes &amp; Before Donations) |0|41882</t>
  </si>
  <si>
    <t>Aggregated Financials|LTM Savings Accounts|0|41882</t>
  </si>
  <si>
    <t>Aggregated Financials|PAR &gt;90|0|41882</t>
  </si>
  <si>
    <t>Aggregated Financials|GLP|0|41912</t>
  </si>
  <si>
    <t>Aggregated Financials|Total Assets|0|41912</t>
  </si>
  <si>
    <t>Aggregated Financials|Total Equity|0|41912</t>
  </si>
  <si>
    <t>Aggregated Financials|Net Income|0|41912</t>
  </si>
  <si>
    <t>Aggregated Financials|January Assets|0|41912</t>
  </si>
  <si>
    <t>Aggregated Financials|January Equity|0|41912</t>
  </si>
  <si>
    <t>Aggregated Financials|LTM GLP|0|41912</t>
  </si>
  <si>
    <t>Aggregated Financials|Loan Loss Reserves|0|41912</t>
  </si>
  <si>
    <t>Aggregated Financials|Total Debt|0|41912</t>
  </si>
  <si>
    <t>Aggregated Financials|Financial Revenue|0|41912</t>
  </si>
  <si>
    <t>Aggregated Financials|Number of Active Borrowers|0|41912</t>
  </si>
  <si>
    <t>Aggregated Financials|Number of Active Loans|0|41912</t>
  </si>
  <si>
    <t>Aggregated Financials|PAR &gt;30|0|41912</t>
  </si>
  <si>
    <t>Aggregated Financials|R +R |0|41912</t>
  </si>
  <si>
    <t>Aggregated Financials|LTM Write-Offs|0|41912</t>
  </si>
  <si>
    <t>Aggregated Financials|Foreign Currency Exposure Asset|0|41912</t>
  </si>
  <si>
    <t>Aggregated Financials|Foreign Currency Liabilities|0|41912</t>
  </si>
  <si>
    <t>Aggregated Financials|Asset Hedges|0|41912</t>
  </si>
  <si>
    <t>Aggregated Financials|Liability Hedges|0|41912</t>
  </si>
  <si>
    <t>Aggregated Financials|PAR &gt;60|0|41912</t>
  </si>
  <si>
    <t>Aggregated Financials|Previous Month Equity|0|41912</t>
  </si>
  <si>
    <t>Aggregated Financials|MONTH FX|0|41912</t>
  </si>
  <si>
    <t>Aggregated Financials|LAST MONTH FX|0|41912</t>
  </si>
  <si>
    <t>Aggregated Financials|YTD FX|0|41912</t>
  </si>
  <si>
    <t>Aggregated Financials|LTM FX|0|41912</t>
  </si>
  <si>
    <t>Aggregated Financials|LTM Average GLP|0|41912</t>
  </si>
  <si>
    <t>Aggregated Financials|LTM Average Assets|0|41912</t>
  </si>
  <si>
    <t>Aggregated Financials|LTM Average Equity|0|41912</t>
  </si>
  <si>
    <t>Aggregated Financials|LTM Average Borrowings|0|41912</t>
  </si>
  <si>
    <t>Aggregated Financials|YTD Average Assets|0|41912</t>
  </si>
  <si>
    <t>Aggregated Financials|YTD Average GLP|0|41912</t>
  </si>
  <si>
    <t>Aggregated Financials|YTD Average Equity|0|41912</t>
  </si>
  <si>
    <t>Aggregated Financials|YTD Average Borrowings|0|41912</t>
  </si>
  <si>
    <t>Aggregated Financials|LTM Net Income|0|41912</t>
  </si>
  <si>
    <t>Aggregated Financials|LTM Financial Revenue|0|41912</t>
  </si>
  <si>
    <t>Aggregated Financials|LTM Financial Expense |0|41912</t>
  </si>
  <si>
    <t>Aggregated Financials|LTM Provisioning Expense |0|41912</t>
  </si>
  <si>
    <t>Aggregated Financials|LTM Operating Expense|0|41912</t>
  </si>
  <si>
    <t>Aggregated Financials|LTM Other Financial Income (Expense)|0|41912</t>
  </si>
  <si>
    <t>Aggregated Financials|Total Borrowings|0|41912</t>
  </si>
  <si>
    <t>Aggregated Financials|Total Interest Bearing Debt |0|41912</t>
  </si>
  <si>
    <t>Aggregated Financials|Savings Accounts|0|41912</t>
  </si>
  <si>
    <t>Aggregated Financials|Operating Expenses|0|41912</t>
  </si>
  <si>
    <t>Aggregated Financials|LTM Net Income (After Taxes &amp; Before Donations) |0|41912</t>
  </si>
  <si>
    <t>Aggregated Financials|Net Income (After Taxes &amp; Before Donations) |0|41912</t>
  </si>
  <si>
    <t>Aggregated Financials|LTM Savings Accounts|0|41912</t>
  </si>
  <si>
    <t>Aggregated Financials|PAR &gt;90|0|41912</t>
  </si>
  <si>
    <t>Aggregated Financials|GLP|0|41943</t>
  </si>
  <si>
    <t>Aggregated Financials|Total Assets|0|41943</t>
  </si>
  <si>
    <t>Aggregated Financials|Total Equity|0|41943</t>
  </si>
  <si>
    <t>Aggregated Financials|Net Income|0|41943</t>
  </si>
  <si>
    <t>Aggregated Financials|January Assets|0|41943</t>
  </si>
  <si>
    <t>Aggregated Financials|January Equity|0|41943</t>
  </si>
  <si>
    <t>Aggregated Financials|LTM GLP|0|41943</t>
  </si>
  <si>
    <t>Aggregated Financials|Loan Loss Reserves|0|41943</t>
  </si>
  <si>
    <t>Aggregated Financials|Total Debt|0|41943</t>
  </si>
  <si>
    <t>Aggregated Financials|Financial Revenue|0|41943</t>
  </si>
  <si>
    <t>Aggregated Financials|Number of Active Borrowers|0|41943</t>
  </si>
  <si>
    <t>Aggregated Financials|Number of Active Loans|0|41943</t>
  </si>
  <si>
    <t>Aggregated Financials|PAR &gt;30|0|41943</t>
  </si>
  <si>
    <t>Aggregated Financials|R +R |0|41943</t>
  </si>
  <si>
    <t>Aggregated Financials|LTM Write-Offs|0|41943</t>
  </si>
  <si>
    <t>Aggregated Financials|Foreign Currency Exposure Asset|0|41943</t>
  </si>
  <si>
    <t>Aggregated Financials|Foreign Currency Liabilities|0|41943</t>
  </si>
  <si>
    <t>Aggregated Financials|Asset Hedges|0|41943</t>
  </si>
  <si>
    <t>Aggregated Financials|Liability Hedges|0|41943</t>
  </si>
  <si>
    <t>Aggregated Financials|PAR &gt;60|0|41943</t>
  </si>
  <si>
    <t>Aggregated Financials|Previous Month Equity|0|41943</t>
  </si>
  <si>
    <t>Aggregated Financials|MONTH FX|0|41943</t>
  </si>
  <si>
    <t>Aggregated Financials|LAST MONTH FX|0|41943</t>
  </si>
  <si>
    <t>Aggregated Financials|YTD FX|0|41943</t>
  </si>
  <si>
    <t>Aggregated Financials|LTM FX|0|41943</t>
  </si>
  <si>
    <t>Aggregated Financials|LTM Average GLP|0|41943</t>
  </si>
  <si>
    <t>Aggregated Financials|LTM Average Assets|0|41943</t>
  </si>
  <si>
    <t>Aggregated Financials|LTM Average Equity|0|41943</t>
  </si>
  <si>
    <t>Aggregated Financials|LTM Average Borrowings|0|41943</t>
  </si>
  <si>
    <t>Aggregated Financials|YTD Average Assets|0|41943</t>
  </si>
  <si>
    <t>Aggregated Financials|YTD Average GLP|0|41943</t>
  </si>
  <si>
    <t>Aggregated Financials|YTD Average Equity|0|41943</t>
  </si>
  <si>
    <t>Aggregated Financials|YTD Average Borrowings|0|41943</t>
  </si>
  <si>
    <t>Aggregated Financials|LTM Net Income|0|41943</t>
  </si>
  <si>
    <t>Aggregated Financials|LTM Financial Revenue|0|41943</t>
  </si>
  <si>
    <t>Aggregated Financials|LTM Financial Expense |0|41943</t>
  </si>
  <si>
    <t>Aggregated Financials|LTM Provisioning Expense |0|41943</t>
  </si>
  <si>
    <t>Aggregated Financials|LTM Operating Expense|0|41943</t>
  </si>
  <si>
    <t>Aggregated Financials|LTM Other Financial Income (Expense)|0|41943</t>
  </si>
  <si>
    <t>Aggregated Financials|Total Borrowings|0|41943</t>
  </si>
  <si>
    <t>Aggregated Financials|Total Interest Bearing Debt |0|41943</t>
  </si>
  <si>
    <t>Aggregated Financials|Savings Accounts|0|41943</t>
  </si>
  <si>
    <t>Aggregated Financials|Operating Expenses|0|41943</t>
  </si>
  <si>
    <t>Aggregated Financials|LTM Net Income (After Taxes &amp; Before Donations) |0|41943</t>
  </si>
  <si>
    <t>Aggregated Financials|Net Income (After Taxes &amp; Before Donations) |0|41943</t>
  </si>
  <si>
    <t>Aggregated Financials|LTM Savings Accounts|0|41943</t>
  </si>
  <si>
    <t>Aggregated Financials|PAR &gt;90|0|41943</t>
  </si>
  <si>
    <t>Aggregated Financials|GLP|0|41973</t>
  </si>
  <si>
    <t>Aggregated Financials|Total Assets|0|41973</t>
  </si>
  <si>
    <t>Aggregated Financials|Total Equity|0|41973</t>
  </si>
  <si>
    <t>Aggregated Financials|Net Income|0|41973</t>
  </si>
  <si>
    <t>Aggregated Financials|January Assets|0|41973</t>
  </si>
  <si>
    <t>Aggregated Financials|January Equity|0|41973</t>
  </si>
  <si>
    <t>Aggregated Financials|LTM GLP|0|41973</t>
  </si>
  <si>
    <t>Aggregated Financials|Loan Loss Reserves|0|41973</t>
  </si>
  <si>
    <t>Aggregated Financials|Total Debt|0|41973</t>
  </si>
  <si>
    <t>Aggregated Financials|Financial Revenue|0|41973</t>
  </si>
  <si>
    <t>Aggregated Financials|Number of Active Borrowers|0|41973</t>
  </si>
  <si>
    <t>Aggregated Financials|Number of Active Loans|0|41973</t>
  </si>
  <si>
    <t>Aggregated Financials|PAR &gt;30|0|41973</t>
  </si>
  <si>
    <t>Aggregated Financials|R +R |0|41973</t>
  </si>
  <si>
    <t>Aggregated Financials|LTM Write-Offs|0|41973</t>
  </si>
  <si>
    <t>Aggregated Financials|Foreign Currency Exposure Asset|0|41973</t>
  </si>
  <si>
    <t>Aggregated Financials|Foreign Currency Liabilities|0|41973</t>
  </si>
  <si>
    <t>Aggregated Financials|Asset Hedges|0|41973</t>
  </si>
  <si>
    <t>Aggregated Financials|Liability Hedges|0|41973</t>
  </si>
  <si>
    <t>Aggregated Financials|PAR &gt;60|0|41973</t>
  </si>
  <si>
    <t>Aggregated Financials|Previous Month Equity|0|41973</t>
  </si>
  <si>
    <t>Aggregated Financials|MONTH FX|0|41973</t>
  </si>
  <si>
    <t>Aggregated Financials|LAST MONTH FX|0|41973</t>
  </si>
  <si>
    <t>Aggregated Financials|YTD FX|0|41973</t>
  </si>
  <si>
    <t>Aggregated Financials|LTM FX|0|41973</t>
  </si>
  <si>
    <t>Aggregated Financials|LTM Average GLP|0|41973</t>
  </si>
  <si>
    <t>Aggregated Financials|LTM Average Assets|0|41973</t>
  </si>
  <si>
    <t>Aggregated Financials|LTM Average Equity|0|41973</t>
  </si>
  <si>
    <t>Aggregated Financials|LTM Average Borrowings|0|41973</t>
  </si>
  <si>
    <t>Aggregated Financials|YTD Average Assets|0|41973</t>
  </si>
  <si>
    <t>Aggregated Financials|YTD Average GLP|0|41973</t>
  </si>
  <si>
    <t>Aggregated Financials|YTD Average Equity|0|41973</t>
  </si>
  <si>
    <t>Aggregated Financials|YTD Average Borrowings|0|41973</t>
  </si>
  <si>
    <t>Aggregated Financials|LTM Net Income|0|41973</t>
  </si>
  <si>
    <t>Aggregated Financials|LTM Financial Revenue|0|41973</t>
  </si>
  <si>
    <t>Aggregated Financials|LTM Financial Expense |0|41973</t>
  </si>
  <si>
    <t>Aggregated Financials|LTM Provisioning Expense |0|41973</t>
  </si>
  <si>
    <t>Aggregated Financials|LTM Operating Expense|0|41973</t>
  </si>
  <si>
    <t>Aggregated Financials|LTM Other Financial Income (Expense)|0|41973</t>
  </si>
  <si>
    <t>Aggregated Financials|Total Borrowings|0|41973</t>
  </si>
  <si>
    <t>Aggregated Financials|Total Interest Bearing Debt |0|41973</t>
  </si>
  <si>
    <t>Aggregated Financials|Savings Accounts|0|41973</t>
  </si>
  <si>
    <t>Aggregated Financials|Operating Expenses|0|41973</t>
  </si>
  <si>
    <t>Aggregated Financials|LTM Net Income (After Taxes &amp; Before Donations) |0|41973</t>
  </si>
  <si>
    <t>Aggregated Financials|Net Income (After Taxes &amp; Before Donations) |0|41973</t>
  </si>
  <si>
    <t>Aggregated Financials|LTM Savings Accounts|0|41973</t>
  </si>
  <si>
    <t>Aggregated Financials|PAR &gt;90|0|41973</t>
  </si>
  <si>
    <t>Aggregated Financials|GLP|0|42004</t>
  </si>
  <si>
    <t>Aggregated Financials|Total Assets|0|42004</t>
  </si>
  <si>
    <t>Aggregated Financials|Total Equity|0|42004</t>
  </si>
  <si>
    <t>Aggregated Financials|Net Income|0|42004</t>
  </si>
  <si>
    <t>Aggregated Financials|January Assets|0|42004</t>
  </si>
  <si>
    <t>Aggregated Financials|January Equity|0|42004</t>
  </si>
  <si>
    <t>Aggregated Financials|LTM GLP|0|42004</t>
  </si>
  <si>
    <t>Aggregated Financials|Loan Loss Reserves|0|42004</t>
  </si>
  <si>
    <t>Aggregated Financials|Total Debt|0|42004</t>
  </si>
  <si>
    <t>Aggregated Financials|Financial Revenue|0|42004</t>
  </si>
  <si>
    <t>Aggregated Financials|Number of Active Borrowers|0|42004</t>
  </si>
  <si>
    <t>Aggregated Financials|Number of Active Loans|0|42004</t>
  </si>
  <si>
    <t>Aggregated Financials|PAR &gt;30|0|42004</t>
  </si>
  <si>
    <t>Aggregated Financials|R +R |0|42004</t>
  </si>
  <si>
    <t>Aggregated Financials|LTM Write-Offs|0|42004</t>
  </si>
  <si>
    <t>Aggregated Financials|Foreign Currency Exposure Asset|0|42004</t>
  </si>
  <si>
    <t>Aggregated Financials|Foreign Currency Liabilities|0|42004</t>
  </si>
  <si>
    <t>Aggregated Financials|Asset Hedges|0|42004</t>
  </si>
  <si>
    <t>Aggregated Financials|Liability Hedges|0|42004</t>
  </si>
  <si>
    <t>Aggregated Financials|PAR &gt;60|0|42004</t>
  </si>
  <si>
    <t>Aggregated Financials|Previous Month Equity|0|42004</t>
  </si>
  <si>
    <t>Aggregated Financials|MONTH FX|0|42004</t>
  </si>
  <si>
    <t>Aggregated Financials|LAST MONTH FX|0|42004</t>
  </si>
  <si>
    <t>Aggregated Financials|YTD FX|0|42004</t>
  </si>
  <si>
    <t>Aggregated Financials|LTM FX|0|42004</t>
  </si>
  <si>
    <t>Aggregated Financials|LTM Average GLP|0|42004</t>
  </si>
  <si>
    <t>Aggregated Financials|LTM Average Assets|0|42004</t>
  </si>
  <si>
    <t>Aggregated Financials|LTM Average Equity|0|42004</t>
  </si>
  <si>
    <t>Aggregated Financials|LTM Average Borrowings|0|42004</t>
  </si>
  <si>
    <t>Aggregated Financials|YTD Average Assets|0|42004</t>
  </si>
  <si>
    <t>Aggregated Financials|YTD Average GLP|0|42004</t>
  </si>
  <si>
    <t>Aggregated Financials|YTD Average Equity|0|42004</t>
  </si>
  <si>
    <t>Aggregated Financials|YTD Average Borrowings|0|42004</t>
  </si>
  <si>
    <t>Aggregated Financials|LTM Net Income|0|42004</t>
  </si>
  <si>
    <t>Aggregated Financials|LTM Financial Revenue|0|42004</t>
  </si>
  <si>
    <t>Aggregated Financials|LTM Financial Expense |0|42004</t>
  </si>
  <si>
    <t>Aggregated Financials|LTM Provisioning Expense |0|42004</t>
  </si>
  <si>
    <t>Aggregated Financials|LTM Operating Expense|0|42004</t>
  </si>
  <si>
    <t>Aggregated Financials|LTM Other Financial Income (Expense)|0|42004</t>
  </si>
  <si>
    <t>Aggregated Financials|Total Borrowings|0|42004</t>
  </si>
  <si>
    <t>Aggregated Financials|Total Interest Bearing Debt |0|42004</t>
  </si>
  <si>
    <t>Aggregated Financials|Savings Accounts|0|42004</t>
  </si>
  <si>
    <t>Aggregated Financials|Operating Expenses|0|42004</t>
  </si>
  <si>
    <t>Aggregated Financials|LTM Net Income (After Taxes &amp; Before Donations) |0|42004</t>
  </si>
  <si>
    <t>Aggregated Financials|Net Income (After Taxes &amp; Before Donations) |0|42004</t>
  </si>
  <si>
    <t>Aggregated Financials|LTM Savings Accounts|0|42004</t>
  </si>
  <si>
    <t>Aggregated Financials|PAR &gt;90|0|42004</t>
  </si>
  <si>
    <t>Aggregated Financials|GLP|0|42035</t>
  </si>
  <si>
    <t>Aggregated Financials|Total Assets|0|42035</t>
  </si>
  <si>
    <t>Aggregated Financials|Total Equity|0|42035</t>
  </si>
  <si>
    <t>Aggregated Financials|Net Income|0|42035</t>
  </si>
  <si>
    <t>Aggregated Financials|January Assets|0|42035</t>
  </si>
  <si>
    <t>Aggregated Financials|January Equity|0|42035</t>
  </si>
  <si>
    <t>Aggregated Financials|LTM GLP|0|42035</t>
  </si>
  <si>
    <t>Aggregated Financials|Loan Loss Reserves|0|42035</t>
  </si>
  <si>
    <t>Aggregated Financials|Total Debt|0|42035</t>
  </si>
  <si>
    <t>Aggregated Financials|Financial Revenue|0|42035</t>
  </si>
  <si>
    <t>Aggregated Financials|Number of Active Borrowers|0|42035</t>
  </si>
  <si>
    <t>Aggregated Financials|Number of Active Loans|0|42035</t>
  </si>
  <si>
    <t>Aggregated Financials|PAR &gt;30|0|42035</t>
  </si>
  <si>
    <t>Aggregated Financials|R +R |0|42035</t>
  </si>
  <si>
    <t>Aggregated Financials|LTM Write-Offs|0|42035</t>
  </si>
  <si>
    <t>Aggregated Financials|Foreign Currency Exposure Asset|0|42035</t>
  </si>
  <si>
    <t>Aggregated Financials|Foreign Currency Liabilities|0|42035</t>
  </si>
  <si>
    <t>Aggregated Financials|Asset Hedges|0|42035</t>
  </si>
  <si>
    <t>Aggregated Financials|Liability Hedges|0|42035</t>
  </si>
  <si>
    <t>Aggregated Financials|PAR &gt;60|0|42035</t>
  </si>
  <si>
    <t>Aggregated Financials|Previous Month Equity|0|42035</t>
  </si>
  <si>
    <t>Aggregated Financials|MONTH FX|0|42035</t>
  </si>
  <si>
    <t>Aggregated Financials|LAST MONTH FX|0|42035</t>
  </si>
  <si>
    <t>Aggregated Financials|YTD FX|0|42035</t>
  </si>
  <si>
    <t>Aggregated Financials|LTM FX|0|42035</t>
  </si>
  <si>
    <t>Aggregated Financials|LTM Average GLP|0|42035</t>
  </si>
  <si>
    <t>Aggregated Financials|LTM Average Assets|0|42035</t>
  </si>
  <si>
    <t>Aggregated Financials|LTM Average Equity|0|42035</t>
  </si>
  <si>
    <t>Aggregated Financials|LTM Average Borrowings|0|42035</t>
  </si>
  <si>
    <t>Aggregated Financials|YTD Average Assets|0|42035</t>
  </si>
  <si>
    <t>Aggregated Financials|YTD Average GLP|0|42035</t>
  </si>
  <si>
    <t>Aggregated Financials|YTD Average Equity|0|42035</t>
  </si>
  <si>
    <t>Aggregated Financials|YTD Average Borrowings|0|42035</t>
  </si>
  <si>
    <t>Aggregated Financials|LTM Net Income|0|42035</t>
  </si>
  <si>
    <t>Aggregated Financials|LTM Financial Revenue|0|42035</t>
  </si>
  <si>
    <t>Aggregated Financials|LTM Financial Expense |0|42035</t>
  </si>
  <si>
    <t>Aggregated Financials|LTM Provisioning Expense |0|42035</t>
  </si>
  <si>
    <t>Aggregated Financials|LTM Operating Expense|0|42035</t>
  </si>
  <si>
    <t>Aggregated Financials|LTM Other Financial Income (Expense)|0|42035</t>
  </si>
  <si>
    <t>Aggregated Financials|Total Borrowings|0|42035</t>
  </si>
  <si>
    <t>Aggregated Financials|Total Interest Bearing Debt |0|42035</t>
  </si>
  <si>
    <t>Aggregated Financials|Savings Accounts|0|42035</t>
  </si>
  <si>
    <t>Aggregated Financials|Operating Expenses|0|42035</t>
  </si>
  <si>
    <t>Aggregated Financials|LTM Net Income (After Taxes &amp; Before Donations) |0|42035</t>
  </si>
  <si>
    <t>Aggregated Financials|Net Income (After Taxes &amp; Before Donations) |0|42035</t>
  </si>
  <si>
    <t>Aggregated Financials|LTM Savings Accounts|0|42035</t>
  </si>
  <si>
    <t>Aggregated Financials|PAR &gt;90|0|42035</t>
  </si>
  <si>
    <t>Aggregated Financials|GLP|0|42063</t>
  </si>
  <si>
    <t>Aggregated Financials|Total Assets|0|42063</t>
  </si>
  <si>
    <t>Aggregated Financials|Total Equity|0|42063</t>
  </si>
  <si>
    <t>Aggregated Financials|Net Income|0|42063</t>
  </si>
  <si>
    <t>Aggregated Financials|January Assets|0|42063</t>
  </si>
  <si>
    <t>Aggregated Financials|January Equity|0|42063</t>
  </si>
  <si>
    <t>Aggregated Financials|LTM GLP|0|42063</t>
  </si>
  <si>
    <t>Aggregated Financials|Loan Loss Reserves|0|42063</t>
  </si>
  <si>
    <t>Aggregated Financials|Total Debt|0|42063</t>
  </si>
  <si>
    <t>Aggregated Financials|Financial Revenue|0|42063</t>
  </si>
  <si>
    <t>Aggregated Financials|Number of Active Borrowers|0|42063</t>
  </si>
  <si>
    <t>Aggregated Financials|Number of Active Loans|0|42063</t>
  </si>
  <si>
    <t>Aggregated Financials|PAR &gt;30|0|42063</t>
  </si>
  <si>
    <t>Aggregated Financials|R +R |0|42063</t>
  </si>
  <si>
    <t>Aggregated Financials|LTM Write-Offs|0|42063</t>
  </si>
  <si>
    <t>Aggregated Financials|Foreign Currency Exposure Asset|0|42063</t>
  </si>
  <si>
    <t>Aggregated Financials|Foreign Currency Liabilities|0|42063</t>
  </si>
  <si>
    <t>Aggregated Financials|Asset Hedges|0|42063</t>
  </si>
  <si>
    <t>Aggregated Financials|Liability Hedges|0|42063</t>
  </si>
  <si>
    <t>Aggregated Financials|PAR &gt;60|0|42063</t>
  </si>
  <si>
    <t>Aggregated Financials|Previous Month Equity|0|42063</t>
  </si>
  <si>
    <t>Aggregated Financials|MONTH FX|0|42063</t>
  </si>
  <si>
    <t>Aggregated Financials|LAST MONTH FX|0|42063</t>
  </si>
  <si>
    <t>Aggregated Financials|YTD FX|0|42063</t>
  </si>
  <si>
    <t>Aggregated Financials|LTM FX|0|42063</t>
  </si>
  <si>
    <t>Aggregated Financials|LTM Average GLP|0|42063</t>
  </si>
  <si>
    <t>Aggregated Financials|LTM Average Assets|0|42063</t>
  </si>
  <si>
    <t>Aggregated Financials|LTM Average Equity|0|42063</t>
  </si>
  <si>
    <t>Aggregated Financials|LTM Average Borrowings|0|42063</t>
  </si>
  <si>
    <t>Aggregated Financials|YTD Average Assets|0|42063</t>
  </si>
  <si>
    <t>Aggregated Financials|YTD Average GLP|0|42063</t>
  </si>
  <si>
    <t>Aggregated Financials|YTD Average Equity|0|42063</t>
  </si>
  <si>
    <t>Aggregated Financials|YTD Average Borrowings|0|42063</t>
  </si>
  <si>
    <t>Aggregated Financials|LTM Net Income|0|42063</t>
  </si>
  <si>
    <t>Aggregated Financials|LTM Financial Revenue|0|42063</t>
  </si>
  <si>
    <t>Aggregated Financials|LTM Financial Expense |0|42063</t>
  </si>
  <si>
    <t>Aggregated Financials|LTM Provisioning Expense |0|42063</t>
  </si>
  <si>
    <t>Aggregated Financials|LTM Operating Expense|0|42063</t>
  </si>
  <si>
    <t>Aggregated Financials|LTM Other Financial Income (Expense)|0|42063</t>
  </si>
  <si>
    <t>Aggregated Financials|Total Borrowings|0|42063</t>
  </si>
  <si>
    <t>Aggregated Financials|Total Interest Bearing Debt |0|42063</t>
  </si>
  <si>
    <t>Aggregated Financials|Savings Accounts|0|42063</t>
  </si>
  <si>
    <t>Aggregated Financials|Operating Expenses|0|42063</t>
  </si>
  <si>
    <t>Aggregated Financials|LTM Net Income (After Taxes &amp; Before Donations) |0|42063</t>
  </si>
  <si>
    <t>Aggregated Financials|Net Income (After Taxes &amp; Before Donations) |0|42063</t>
  </si>
  <si>
    <t>Aggregated Financials|LTM Savings Accounts|0|42063</t>
  </si>
  <si>
    <t>Aggregated Financials|PAR &gt;90|0|42063</t>
  </si>
  <si>
    <t>Aggregated Financials|GLP|0|42094</t>
  </si>
  <si>
    <t>Aggregated Financials|Total Assets|0|42094</t>
  </si>
  <si>
    <t>Aggregated Financials|Total Equity|0|42094</t>
  </si>
  <si>
    <t>Aggregated Financials|Net Income|0|42094</t>
  </si>
  <si>
    <t>Aggregated Financials|January Assets|0|42094</t>
  </si>
  <si>
    <t>Aggregated Financials|January Equity|0|42094</t>
  </si>
  <si>
    <t>Aggregated Financials|LTM GLP|0|42094</t>
  </si>
  <si>
    <t>Aggregated Financials|Loan Loss Reserves|0|42094</t>
  </si>
  <si>
    <t>Aggregated Financials|Total Debt|0|42094</t>
  </si>
  <si>
    <t>Aggregated Financials|Financial Revenue|0|42094</t>
  </si>
  <si>
    <t>Aggregated Financials|Number of Active Borrowers|0|42094</t>
  </si>
  <si>
    <t>Aggregated Financials|Number of Active Loans|0|42094</t>
  </si>
  <si>
    <t>Aggregated Financials|PAR &gt;30|0|42094</t>
  </si>
  <si>
    <t>Aggregated Financials|R +R |0|42094</t>
  </si>
  <si>
    <t>Aggregated Financials|LTM Write-Offs|0|42094</t>
  </si>
  <si>
    <t>Aggregated Financials|Foreign Currency Exposure Asset|0|42094</t>
  </si>
  <si>
    <t>Aggregated Financials|Foreign Currency Liabilities|0|42094</t>
  </si>
  <si>
    <t>Aggregated Financials|Asset Hedges|0|42094</t>
  </si>
  <si>
    <t>Aggregated Financials|Liability Hedges|0|42094</t>
  </si>
  <si>
    <t>Aggregated Financials|PAR &gt;60|0|42094</t>
  </si>
  <si>
    <t>Aggregated Financials|Previous Month Equity|0|42094</t>
  </si>
  <si>
    <t>Aggregated Financials|MONTH FX|0|42094</t>
  </si>
  <si>
    <t>Aggregated Financials|LAST MONTH FX|0|42094</t>
  </si>
  <si>
    <t>Aggregated Financials|YTD FX|0|42094</t>
  </si>
  <si>
    <t>Aggregated Financials|LTM FX|0|42094</t>
  </si>
  <si>
    <t>Aggregated Financials|LTM Average GLP|0|42094</t>
  </si>
  <si>
    <t>Aggregated Financials|LTM Average Assets|0|42094</t>
  </si>
  <si>
    <t>Aggregated Financials|LTM Average Equity|0|42094</t>
  </si>
  <si>
    <t>Aggregated Financials|LTM Average Borrowings|0|42094</t>
  </si>
  <si>
    <t>Aggregated Financials|YTD Average Assets|0|42094</t>
  </si>
  <si>
    <t>Aggregated Financials|YTD Average GLP|0|42094</t>
  </si>
  <si>
    <t>Aggregated Financials|YTD Average Equity|0|42094</t>
  </si>
  <si>
    <t>Aggregated Financials|YTD Average Borrowings|0|42094</t>
  </si>
  <si>
    <t>Aggregated Financials|LTM Net Income|0|42094</t>
  </si>
  <si>
    <t>Aggregated Financials|LTM Financial Revenue|0|42094</t>
  </si>
  <si>
    <t>Aggregated Financials|LTM Financial Expense |0|42094</t>
  </si>
  <si>
    <t>Aggregated Financials|LTM Provisioning Expense |0|42094</t>
  </si>
  <si>
    <t>Aggregated Financials|LTM Operating Expense|0|42094</t>
  </si>
  <si>
    <t>Aggregated Financials|LTM Other Financial Income (Expense)|0|42094</t>
  </si>
  <si>
    <t>Aggregated Financials|Total Borrowings|0|42094</t>
  </si>
  <si>
    <t>Aggregated Financials|Total Interest Bearing Debt |0|42094</t>
  </si>
  <si>
    <t>Aggregated Financials|Savings Accounts|0|42094</t>
  </si>
  <si>
    <t>Aggregated Financials|Operating Expenses|0|42094</t>
  </si>
  <si>
    <t>Aggregated Financials|LTM Net Income (After Taxes &amp; Before Donations) |0|42094</t>
  </si>
  <si>
    <t>Aggregated Financials|Net Income (After Taxes &amp; Before Donations) |0|42094</t>
  </si>
  <si>
    <t>Aggregated Financials|LTM Savings Accounts|0|42094</t>
  </si>
  <si>
    <t>Aggregated Financials|PAR &gt;90|0|42094</t>
  </si>
  <si>
    <t>Aggregated Financials|GLP|0|42124</t>
  </si>
  <si>
    <t>Aggregated Financials|Total Assets|0|42124</t>
  </si>
  <si>
    <t>Aggregated Financials|Total Equity|0|42124</t>
  </si>
  <si>
    <t>Aggregated Financials|Net Income|0|42124</t>
  </si>
  <si>
    <t>Aggregated Financials|January Assets|0|42124</t>
  </si>
  <si>
    <t>Aggregated Financials|January Equity|0|42124</t>
  </si>
  <si>
    <t>Aggregated Financials|LTM GLP|0|42124</t>
  </si>
  <si>
    <t>Aggregated Financials|Loan Loss Reserves|0|42124</t>
  </si>
  <si>
    <t>Aggregated Financials|Total Debt|0|42124</t>
  </si>
  <si>
    <t>Aggregated Financials|Financial Revenue|0|42124</t>
  </si>
  <si>
    <t>Aggregated Financials|Number of Active Borrowers|0|42124</t>
  </si>
  <si>
    <t>Aggregated Financials|Number of Active Loans|0|42124</t>
  </si>
  <si>
    <t>Aggregated Financials|PAR &gt;30|0|42124</t>
  </si>
  <si>
    <t>Aggregated Financials|R +R |0|42124</t>
  </si>
  <si>
    <t>Aggregated Financials|LTM Write-Offs|0|42124</t>
  </si>
  <si>
    <t>Aggregated Financials|Foreign Currency Exposure Asset|0|42124</t>
  </si>
  <si>
    <t>Aggregated Financials|Foreign Currency Liabilities|0|42124</t>
  </si>
  <si>
    <t>Aggregated Financials|Asset Hedges|0|42124</t>
  </si>
  <si>
    <t>Aggregated Financials|Liability Hedges|0|42124</t>
  </si>
  <si>
    <t>Aggregated Financials|PAR &gt;60|0|42124</t>
  </si>
  <si>
    <t>Aggregated Financials|Previous Month Equity|0|42124</t>
  </si>
  <si>
    <t>Aggregated Financials|MONTH FX|0|42124</t>
  </si>
  <si>
    <t>Aggregated Financials|LAST MONTH FX|0|42124</t>
  </si>
  <si>
    <t>Aggregated Financials|YTD FX|0|42124</t>
  </si>
  <si>
    <t>Aggregated Financials|LTM FX|0|42124</t>
  </si>
  <si>
    <t>Aggregated Financials|LTM Average GLP|0|42124</t>
  </si>
  <si>
    <t>Aggregated Financials|LTM Average Assets|0|42124</t>
  </si>
  <si>
    <t>Aggregated Financials|LTM Average Equity|0|42124</t>
  </si>
  <si>
    <t>Aggregated Financials|LTM Average Borrowings|0|42124</t>
  </si>
  <si>
    <t>Aggregated Financials|YTD Average Assets|0|42124</t>
  </si>
  <si>
    <t>Aggregated Financials|YTD Average GLP|0|42124</t>
  </si>
  <si>
    <t>Aggregated Financials|YTD Average Equity|0|42124</t>
  </si>
  <si>
    <t>Aggregated Financials|YTD Average Borrowings|0|42124</t>
  </si>
  <si>
    <t>Aggregated Financials|LTM Net Income|0|42124</t>
  </si>
  <si>
    <t>Aggregated Financials|LTM Financial Revenue|0|42124</t>
  </si>
  <si>
    <t>Aggregated Financials|LTM Financial Expense |0|42124</t>
  </si>
  <si>
    <t>Aggregated Financials|LTM Provisioning Expense |0|42124</t>
  </si>
  <si>
    <t>Aggregated Financials|LTM Operating Expense|0|42124</t>
  </si>
  <si>
    <t>Aggregated Financials|LTM Other Financial Income (Expense)|0|42124</t>
  </si>
  <si>
    <t>Aggregated Financials|Total Borrowings|0|42124</t>
  </si>
  <si>
    <t>Aggregated Financials|Total Interest Bearing Debt |0|42124</t>
  </si>
  <si>
    <t>Aggregated Financials|Savings Accounts|0|42124</t>
  </si>
  <si>
    <t>Aggregated Financials|Operating Expenses|0|42124</t>
  </si>
  <si>
    <t>Aggregated Financials|LTM Net Income (After Taxes &amp; Before Donations) |0|42124</t>
  </si>
  <si>
    <t>Aggregated Financials|Net Income (After Taxes &amp; Before Donations) |0|42124</t>
  </si>
  <si>
    <t>Aggregated Financials|LTM Savings Accounts|0|42124</t>
  </si>
  <si>
    <t>Aggregated Financials|PAR &gt;90|0|42124</t>
  </si>
  <si>
    <t>TOTAL RESPONSIBILITY &amp; IMPACT SCORE</t>
  </si>
  <si>
    <t>2198</t>
  </si>
  <si>
    <t>0847</t>
  </si>
  <si>
    <t>0843</t>
  </si>
  <si>
    <t>0752</t>
  </si>
  <si>
    <t>0640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</si>
</sst>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7">
    <numFmt numFmtId="6" formatCode="&quot;$&quot;#,##0_);[Red]\(&quot;$&quot;#,##0\)"/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-&quot;$&quot;* #,##0.00_-;\-&quot;$&quot;* #,##0.00_-;_-&quot;$&quot;* &quot;-&quot;??_-;_-@_-"/>
    <numFmt numFmtId="166" formatCode="#,##0.00;[Red]#,##0.00"/>
    <numFmt numFmtId="167" formatCode="_-* #,##0.00\ _€_-;\-* #,##0.00\ _€_-;_-* &quot;-&quot;??\ _€_-;_-@_-"/>
    <numFmt numFmtId="168" formatCode="_(* #,##0_);_(* \(#,##0\);_(* &quot;-&quot;??_);_(@_)"/>
    <numFmt numFmtId="169" formatCode="0.0%"/>
    <numFmt numFmtId="170" formatCode="_(* #,##0.0000_);_(* \(#,##0.0000\);_(* &quot;-&quot;??_);_(@_)"/>
    <numFmt numFmtId="171" formatCode="[$-409]mmm\-yy;@"/>
    <numFmt numFmtId="172" formatCode="_(* #,##0.000000000_);_(* \(#,##0.000000000\);_(* &quot;-&quot;??_);_(@_)"/>
    <numFmt numFmtId="173" formatCode="_(\ #,##0_);_(\ \(#,##0\);_(\ &quot;-&quot;??_);_(@_)"/>
    <numFmt numFmtId="174" formatCode="mmmm\ yyyy"/>
    <numFmt numFmtId="175" formatCode="_(* #,##0.0%;[Red]_(* \(#,##0.0%\);_(* &quot;-&quot;;_(@_)"/>
    <numFmt numFmtId="176" formatCode="#,##0.00_)&quot;MM&quot;;[Red]\(#,##0.00&quot; MM&quot;\)"/>
    <numFmt numFmtId="177" formatCode="0.0&quot;x&quot;"/>
    <numFmt numFmtId="178" formatCode="0.00\x"/>
    <numFmt numFmtId="179" formatCode="_(* #,##0.00%;[Red]_(* \(#,##0.00%\);_(* &quot;-&quot;;_(@_)"/>
    <numFmt numFmtId="180" formatCode="mmm\ yyyy"/>
    <numFmt numFmtId="181" formatCode="#,##0_)&quot;MM&quot;;[Red]\(#,##0&quot; MM&quot;\)"/>
    <numFmt numFmtId="182" formatCode="0.00&quot;x&quot;"/>
    <numFmt numFmtId="183" formatCode="0.000"/>
    <numFmt numFmtId="184" formatCode="mm/yy"/>
    <numFmt numFmtId="185" formatCode="#,##0.0%_);\(#,##0.0%\)"/>
    <numFmt numFmtId="186" formatCode="#,##0%_);\(#,##0%\)"/>
    <numFmt numFmtId="187" formatCode="#,##0.0\x"/>
    <numFmt numFmtId="188" formatCode="mmmm\ d\,\ yyyy"/>
    <numFmt numFmtId="189" formatCode="0.00000"/>
    <numFmt numFmtId="190" formatCode="0.0000"/>
    <numFmt numFmtId="191" formatCode="0&quot;x&quot;"/>
    <numFmt numFmtId="192" formatCode="\ #,##0_);\ \(#,##0\);\ &quot;-&quot;_);@_)"/>
    <numFmt numFmtId="193" formatCode="0.0_);[Red]\(0.0\)"/>
    <numFmt numFmtId="194" formatCode="#,##0.0_);\(#,##0.0\)"/>
    <numFmt numFmtId="195" formatCode="#,##0_);[Red]\(#,##0\);&quot;&quot;"/>
    <numFmt numFmtId="196" formatCode="&quot;$&quot;#,##0_);[Red]\(&quot;$&quot;#,##0\);"/>
  </numFmts>
  <fonts count="11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Trebuchet MS"/>
      <family val="2"/>
    </font>
    <font>
      <sz val="10"/>
      <color theme="1"/>
      <name val="Trebuchet MS"/>
      <family val="2"/>
    </font>
    <font>
      <b/>
      <sz val="10"/>
      <color theme="0"/>
      <name val="Trebuchet MS"/>
      <family val="2"/>
    </font>
    <font>
      <sz val="10"/>
      <color theme="0"/>
      <name val="Trebuchet MS"/>
      <family val="2"/>
    </font>
    <font>
      <i/>
      <sz val="10"/>
      <color theme="1"/>
      <name val="Trebuchet MS"/>
      <family val="2"/>
    </font>
    <font>
      <sz val="10"/>
      <name val="Arial"/>
      <family val="2"/>
    </font>
    <font>
      <sz val="10"/>
      <name val="Trebuchet MS"/>
      <family val="2"/>
    </font>
    <font>
      <sz val="9"/>
      <color indexed="10"/>
      <name val="Geneva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14"/>
      <color indexed="10"/>
      <name val="Arial"/>
      <family val="2"/>
    </font>
    <font>
      <b/>
      <sz val="11"/>
      <color indexed="10"/>
      <name val="Arial"/>
      <family val="2"/>
    </font>
    <font>
      <b/>
      <sz val="14"/>
      <name val="Arial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sz val="10"/>
      <color indexed="62"/>
      <name val="Calibri"/>
      <family val="2"/>
      <scheme val="minor"/>
    </font>
    <font>
      <b/>
      <sz val="10"/>
      <name val="Trebuchet MS"/>
      <family val="2"/>
    </font>
    <font>
      <i/>
      <sz val="10"/>
      <name val="Trebuchet MS"/>
      <family val="2"/>
    </font>
    <font>
      <strike/>
      <sz val="10"/>
      <color theme="1"/>
      <name val="Trebuchet MS"/>
      <family val="2"/>
    </font>
    <font>
      <b/>
      <i/>
      <sz val="10"/>
      <name val="Trebuchet MS"/>
      <family val="2"/>
    </font>
    <font>
      <sz val="11"/>
      <color theme="1"/>
      <name val="Trebuchet MS"/>
      <family val="2"/>
    </font>
    <font>
      <b/>
      <sz val="14"/>
      <color theme="8" tint="-0.499984740745262"/>
      <name val="Trebuchet MS"/>
      <family val="2"/>
    </font>
    <font>
      <i/>
      <sz val="12"/>
      <color theme="8" tint="-0.249977111117893"/>
      <name val="Trebuchet MS"/>
      <family val="2"/>
    </font>
    <font>
      <sz val="11"/>
      <color theme="0" tint="-0.34998626667073579"/>
      <name val="Trebuchet MS"/>
      <family val="2"/>
    </font>
    <font>
      <sz val="10"/>
      <color theme="0" tint="-0.34998626667073579"/>
      <name val="Trebuchet MS"/>
      <family val="2"/>
    </font>
    <font>
      <b/>
      <sz val="10"/>
      <color theme="0"/>
      <name val="Calibri"/>
      <family val="2"/>
      <scheme val="minor"/>
    </font>
    <font>
      <b/>
      <sz val="10"/>
      <color theme="0" tint="-0.34998626667073579"/>
      <name val="Trebuchet MS"/>
      <family val="2"/>
    </font>
    <font>
      <b/>
      <sz val="11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1"/>
      <color theme="0"/>
      <name val="Trebuchet MS"/>
      <family val="2"/>
    </font>
    <font>
      <sz val="11"/>
      <color theme="0"/>
      <name val="Trebuchet MS"/>
      <family val="2"/>
    </font>
    <font>
      <b/>
      <sz val="10"/>
      <color theme="8" tint="-0.499984740745262"/>
      <name val="Trebuchet MS"/>
      <family val="2"/>
    </font>
    <font>
      <sz val="10"/>
      <color theme="8" tint="-0.499984740745262"/>
      <name val="Trebuchet MS"/>
      <family val="2"/>
    </font>
    <font>
      <b/>
      <sz val="10"/>
      <color theme="3"/>
      <name val="Trebuchet MS"/>
      <family val="2"/>
    </font>
    <font>
      <b/>
      <sz val="17"/>
      <color theme="3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theme="0" tint="-0.14999847407452621"/>
      <name val="Calibri"/>
      <family val="2"/>
      <scheme val="minor"/>
    </font>
    <font>
      <b/>
      <sz val="17"/>
      <color theme="1"/>
      <name val="Calibri"/>
      <family val="2"/>
      <scheme val="minor"/>
    </font>
    <font>
      <b/>
      <sz val="17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4"/>
      <name val="Calibri"/>
      <family val="2"/>
      <scheme val="minor"/>
    </font>
    <font>
      <i/>
      <sz val="15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5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theme="4"/>
      <name val="Calibri"/>
      <family val="2"/>
      <scheme val="minor"/>
    </font>
    <font>
      <i/>
      <sz val="15"/>
      <color theme="8" tint="-0.499984740745262"/>
      <name val="Calibri"/>
      <family val="2"/>
      <scheme val="minor"/>
    </font>
    <font>
      <sz val="14"/>
      <color theme="3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</font>
    <font>
      <sz val="10"/>
      <color theme="0" tint="-0.34998626667073579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i/>
      <sz val="18"/>
      <color theme="8" tint="-0.499984740745262"/>
      <name val="Calibri"/>
      <family val="2"/>
      <scheme val="minor"/>
    </font>
    <font>
      <sz val="15"/>
      <color theme="1"/>
      <name val="Calibri"/>
      <family val="2"/>
      <scheme val="minor"/>
    </font>
    <font>
      <b/>
      <sz val="10"/>
      <color theme="3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000000"/>
      <name val="Calibri (HOme)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0"/>
      <name val="Times New Roman"/>
      <family val="1"/>
    </font>
    <font>
      <i/>
      <sz val="10"/>
      <color theme="8" tint="-0.249977111117893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i/>
      <sz val="8"/>
      <name val="Calibri"/>
      <family val="2"/>
      <scheme val="minor"/>
    </font>
    <font>
      <i/>
      <sz val="8"/>
      <color theme="8" tint="-0.249977111117893"/>
      <name val="Calibri"/>
      <family val="2"/>
      <scheme val="minor"/>
    </font>
    <font>
      <b/>
      <sz val="8"/>
      <color indexed="62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i/>
      <sz val="11"/>
      <color theme="8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Trebuchet MS"/>
      <family val="2"/>
    </font>
    <font>
      <b/>
      <u/>
      <sz val="10"/>
      <name val="Calibri"/>
      <family val="2"/>
      <scheme val="minor"/>
    </font>
    <font>
      <i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7.7"/>
      <color theme="10"/>
      <name val="Calibri"/>
      <family val="2"/>
    </font>
    <font>
      <i/>
      <u/>
      <sz val="10"/>
      <color theme="10"/>
      <name val="Calibri"/>
      <family val="2"/>
    </font>
    <font>
      <b/>
      <i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Times New Roman"/>
      <family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  <font>
      <b/>
      <sz val="12"/>
      <name val="Times New Roman"/>
      <family val="1"/>
    </font>
    <font>
      <i/>
      <sz val="12"/>
      <color theme="1"/>
      <name val="Times New Roman"/>
      <family val="1"/>
    </font>
    <font>
      <b/>
      <sz val="10"/>
      <color theme="0" tint="-0.1499984740745262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0"/>
      <color theme="8" tint="-0.499984740745262"/>
      <name val="Trebuchet MS"/>
      <family val="2"/>
    </font>
    <font>
      <i/>
      <u/>
      <sz val="10"/>
      <name val="Trebuchet MS"/>
      <family val="2"/>
    </font>
    <font>
      <i/>
      <sz val="15"/>
      <name val="Calibri"/>
      <family val="2"/>
      <scheme val="minor"/>
    </font>
    <font>
      <i/>
      <sz val="11"/>
      <color theme="0" tint="-0.34998626667073579"/>
      <name val="Trebuchet MS"/>
      <family val="2"/>
    </font>
    <font>
      <b/>
      <i/>
      <u/>
      <sz val="10"/>
      <color theme="1"/>
      <name val="Trebuchet MS"/>
      <family val="2"/>
    </font>
    <font>
      <b/>
      <i/>
      <u/>
      <sz val="10"/>
      <name val="Trebuchet MS"/>
      <family val="2"/>
    </font>
    <font>
      <sz val="8"/>
      <color theme="4" tint="0.39997558519241921"/>
      <name val="Trebuchet MS"/>
      <family val="2"/>
    </font>
    <font>
      <i/>
      <sz val="12"/>
      <name val="Times New Roman"/>
      <family val="1"/>
    </font>
    <font>
      <sz val="11"/>
      <color rgb="FF000000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8" tint="-0.499984740745262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103">
    <border>
      <left/>
      <right/>
      <top/>
      <bottom/>
      <diagonal/>
    </border>
    <border>
      <left/>
      <right style="medium">
        <color indexed="0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 style="medium">
        <color theme="0"/>
      </left>
      <right/>
      <top style="medium">
        <color indexed="64"/>
      </top>
      <bottom/>
      <diagonal/>
    </border>
    <border>
      <left/>
      <right style="thin">
        <color theme="0"/>
      </right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/>
      <right style="medium">
        <color theme="0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/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Dot">
        <color indexed="64"/>
      </right>
      <top style="thin">
        <color auto="1"/>
      </top>
      <bottom/>
      <diagonal/>
    </border>
    <border>
      <left/>
      <right style="dashDot">
        <color indexed="64"/>
      </right>
      <top/>
      <bottom/>
      <diagonal/>
    </border>
    <border>
      <left/>
      <right style="dashDot">
        <color indexed="64"/>
      </right>
      <top/>
      <bottom style="dotted">
        <color indexed="64"/>
      </bottom>
      <diagonal/>
    </border>
    <border>
      <left/>
      <right style="dashDot">
        <color indexed="64"/>
      </right>
      <top/>
      <bottom style="thin">
        <color indexed="64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theme="0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theme="0"/>
      </right>
      <top style="medium">
        <color indexed="64"/>
      </top>
      <bottom style="medium">
        <color indexed="64"/>
      </bottom>
      <diagonal/>
    </border>
  </borders>
  <cellStyleXfs count="104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1" fillId="0" borderId="0"/>
    <xf numFmtId="0" fontId="11" fillId="0" borderId="1"/>
    <xf numFmtId="0" fontId="13" fillId="0" borderId="0"/>
    <xf numFmtId="164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65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6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4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1" fillId="0" borderId="0"/>
    <xf numFmtId="0" fontId="15" fillId="0" borderId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0" fontId="14" fillId="3" borderId="2" applyNumberFormat="0" applyFont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38" fontId="16" fillId="4" borderId="3" applyNumberFormat="0" applyBorder="0"/>
    <xf numFmtId="38" fontId="17" fillId="4" borderId="0" applyNumberFormat="0" applyFill="0" applyBorder="0"/>
    <xf numFmtId="9" fontId="11" fillId="0" borderId="0" applyFont="0" applyFill="0" applyBorder="0" applyAlignment="0" applyProtection="0"/>
    <xf numFmtId="0" fontId="93" fillId="0" borderId="0" applyNumberFormat="0" applyFill="0" applyBorder="0" applyAlignment="0" applyProtection="0">
      <alignment vertical="top"/>
      <protection locked="0"/>
    </xf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  <xf numFmtId="0" fontId="14" fillId="3" borderId="100" applyNumberFormat="0" applyFont="0" applyAlignment="0" applyProtection="0"/>
  </cellStyleXfs>
  <cellXfs count="1134">
    <xf numFmtId="0" fontId="0" fillId="0" borderId="0" xfId="0"/>
    <xf numFmtId="0" fontId="6" fillId="0" borderId="0" xfId="0" applyFont="1"/>
    <xf numFmtId="0" fontId="7" fillId="0" borderId="0" xfId="0" applyFont="1"/>
    <xf numFmtId="43" fontId="7" fillId="0" borderId="0" xfId="1" applyFont="1"/>
    <xf numFmtId="0" fontId="4" fillId="0" borderId="0" xfId="0" applyFont="1"/>
    <xf numFmtId="17" fontId="0" fillId="0" borderId="0" xfId="0" applyNumberFormat="1"/>
    <xf numFmtId="14" fontId="0" fillId="0" borderId="0" xfId="0" applyNumberFormat="1"/>
    <xf numFmtId="0" fontId="0" fillId="0" borderId="0" xfId="0" applyNumberFormat="1"/>
    <xf numFmtId="0" fontId="0" fillId="5" borderId="0" xfId="0" applyNumberFormat="1" applyFill="1"/>
    <xf numFmtId="0" fontId="0" fillId="0" borderId="0" xfId="0" applyAlignment="1">
      <alignment horizontal="right"/>
    </xf>
    <xf numFmtId="0" fontId="0" fillId="5" borderId="0" xfId="0" applyFill="1"/>
    <xf numFmtId="0" fontId="0" fillId="0" borderId="0" xfId="0" applyFill="1"/>
    <xf numFmtId="0" fontId="0" fillId="6" borderId="0" xfId="0" applyFill="1"/>
    <xf numFmtId="170" fontId="0" fillId="6" borderId="0" xfId="1" applyNumberFormat="1" applyFont="1" applyFill="1"/>
    <xf numFmtId="170" fontId="0" fillId="0" borderId="0" xfId="1" applyNumberFormat="1" applyFont="1" applyAlignment="1">
      <alignment horizontal="right"/>
    </xf>
    <xf numFmtId="170" fontId="0" fillId="6" borderId="0" xfId="0" applyNumberFormat="1" applyFill="1"/>
    <xf numFmtId="14" fontId="4" fillId="0" borderId="0" xfId="0" applyNumberFormat="1" applyFont="1"/>
    <xf numFmtId="171" fontId="18" fillId="0" borderId="0" xfId="0" applyNumberFormat="1" applyFont="1" applyFill="1" applyBorder="1" applyAlignment="1" applyProtection="1"/>
    <xf numFmtId="17" fontId="3" fillId="7" borderId="4" xfId="0" applyNumberFormat="1" applyFont="1" applyFill="1" applyBorder="1" applyAlignment="1">
      <alignment horizontal="center"/>
    </xf>
    <xf numFmtId="17" fontId="3" fillId="7" borderId="5" xfId="0" applyNumberFormat="1" applyFont="1" applyFill="1" applyBorder="1" applyAlignment="1">
      <alignment horizontal="center"/>
    </xf>
    <xf numFmtId="17" fontId="3" fillId="7" borderId="6" xfId="0" applyNumberFormat="1" applyFont="1" applyFill="1" applyBorder="1" applyAlignment="1">
      <alignment horizontal="center"/>
    </xf>
    <xf numFmtId="1" fontId="0" fillId="0" borderId="0" xfId="0" applyNumberFormat="1"/>
    <xf numFmtId="0" fontId="2" fillId="0" borderId="7" xfId="0" applyFont="1" applyBorder="1"/>
    <xf numFmtId="0" fontId="0" fillId="0" borderId="8" xfId="0" applyBorder="1"/>
    <xf numFmtId="0" fontId="19" fillId="8" borderId="9" xfId="0" applyFont="1" applyFill="1" applyBorder="1" applyProtection="1">
      <protection locked="0"/>
    </xf>
    <xf numFmtId="168" fontId="0" fillId="0" borderId="10" xfId="1" applyNumberFormat="1" applyFont="1" applyBorder="1" applyAlignment="1">
      <alignment horizontal="center"/>
    </xf>
    <xf numFmtId="0" fontId="19" fillId="0" borderId="9" xfId="0" applyFont="1" applyFill="1" applyBorder="1" applyProtection="1">
      <protection locked="0"/>
    </xf>
    <xf numFmtId="168" fontId="20" fillId="0" borderId="11" xfId="1" applyNumberFormat="1" applyFont="1" applyBorder="1" applyAlignment="1">
      <alignment horizontal="right"/>
    </xf>
    <xf numFmtId="168" fontId="20" fillId="0" borderId="12" xfId="1" applyNumberFormat="1" applyFont="1" applyBorder="1" applyAlignment="1">
      <alignment horizontal="right"/>
    </xf>
    <xf numFmtId="168" fontId="20" fillId="0" borderId="13" xfId="1" applyNumberFormat="1" applyFont="1" applyBorder="1" applyAlignment="1">
      <alignment horizontal="right"/>
    </xf>
    <xf numFmtId="0" fontId="19" fillId="0" borderId="6" xfId="0" applyFont="1" applyFill="1" applyBorder="1" applyAlignment="1" applyProtection="1">
      <alignment horizontal="left"/>
      <protection locked="0"/>
    </xf>
    <xf numFmtId="168" fontId="20" fillId="0" borderId="14" xfId="1" applyNumberFormat="1" applyFont="1" applyBorder="1" applyAlignment="1">
      <alignment horizontal="right"/>
    </xf>
    <xf numFmtId="168" fontId="20" fillId="0" borderId="15" xfId="1" applyNumberFormat="1" applyFont="1" applyBorder="1" applyAlignment="1">
      <alignment horizontal="right"/>
    </xf>
    <xf numFmtId="168" fontId="20" fillId="0" borderId="16" xfId="1" applyNumberFormat="1" applyFont="1" applyBorder="1" applyAlignment="1">
      <alignment horizontal="right"/>
    </xf>
    <xf numFmtId="2" fontId="0" fillId="0" borderId="0" xfId="0" applyNumberFormat="1"/>
    <xf numFmtId="0" fontId="0" fillId="8" borderId="17" xfId="0" applyFill="1" applyBorder="1"/>
    <xf numFmtId="0" fontId="19" fillId="8" borderId="18" xfId="0" applyFont="1" applyFill="1" applyBorder="1" applyAlignment="1" applyProtection="1">
      <alignment horizontal="left"/>
      <protection locked="0"/>
    </xf>
    <xf numFmtId="0" fontId="0" fillId="0" borderId="0" xfId="0" applyFont="1"/>
    <xf numFmtId="0" fontId="19" fillId="8" borderId="9" xfId="0" applyFont="1" applyFill="1" applyBorder="1" applyAlignment="1" applyProtection="1">
      <alignment horizontal="left"/>
      <protection locked="0"/>
    </xf>
    <xf numFmtId="0" fontId="21" fillId="9" borderId="9" xfId="0" applyFont="1" applyFill="1" applyBorder="1" applyProtection="1"/>
    <xf numFmtId="0" fontId="22" fillId="8" borderId="17" xfId="0" applyFont="1" applyFill="1" applyBorder="1" applyAlignment="1">
      <alignment horizontal="left" indent="3"/>
    </xf>
    <xf numFmtId="0" fontId="11" fillId="9" borderId="18" xfId="0" applyFont="1" applyFill="1" applyBorder="1" applyProtection="1"/>
    <xf numFmtId="168" fontId="19" fillId="8" borderId="18" xfId="7" applyNumberFormat="1" applyFont="1" applyFill="1" applyBorder="1" applyAlignment="1" applyProtection="1">
      <alignment horizontal="left"/>
      <protection locked="0"/>
    </xf>
    <xf numFmtId="168" fontId="23" fillId="0" borderId="18" xfId="7" applyNumberFormat="1" applyFont="1" applyFill="1" applyBorder="1" applyAlignment="1" applyProtection="1">
      <alignment horizontal="left"/>
      <protection locked="0"/>
    </xf>
    <xf numFmtId="0" fontId="21" fillId="9" borderId="18" xfId="0" applyFont="1" applyFill="1" applyBorder="1" applyProtection="1"/>
    <xf numFmtId="168" fontId="23" fillId="10" borderId="18" xfId="7" applyNumberFormat="1" applyFont="1" applyFill="1" applyBorder="1" applyProtection="1">
      <protection locked="0"/>
    </xf>
    <xf numFmtId="168" fontId="23" fillId="10" borderId="10" xfId="7" applyNumberFormat="1" applyFont="1" applyFill="1" applyBorder="1" applyAlignment="1" applyProtection="1">
      <alignment horizontal="right"/>
      <protection locked="0"/>
    </xf>
    <xf numFmtId="168" fontId="24" fillId="0" borderId="18" xfId="7" applyNumberFormat="1" applyFont="1" applyFill="1" applyBorder="1" applyAlignment="1" applyProtection="1">
      <alignment horizontal="left"/>
      <protection locked="0"/>
    </xf>
    <xf numFmtId="9" fontId="25" fillId="0" borderId="10" xfId="1" applyNumberFormat="1" applyFont="1" applyBorder="1" applyAlignment="1">
      <alignment horizontal="right"/>
    </xf>
    <xf numFmtId="0" fontId="11" fillId="9" borderId="19" xfId="0" applyFont="1" applyFill="1" applyBorder="1" applyProtection="1"/>
    <xf numFmtId="168" fontId="23" fillId="0" borderId="18" xfId="7" applyNumberFormat="1" applyFont="1" applyFill="1" applyBorder="1" applyProtection="1">
      <protection locked="0"/>
    </xf>
    <xf numFmtId="168" fontId="20" fillId="0" borderId="10" xfId="1" applyNumberFormat="1" applyFont="1" applyBorder="1" applyAlignment="1">
      <alignment horizontal="right"/>
    </xf>
    <xf numFmtId="168" fontId="19" fillId="8" borderId="19" xfId="7" applyNumberFormat="1" applyFont="1" applyFill="1" applyBorder="1" applyAlignment="1" applyProtection="1">
      <alignment horizontal="left"/>
      <protection locked="0"/>
    </xf>
    <xf numFmtId="0" fontId="19" fillId="8" borderId="18" xfId="0" applyFont="1" applyFill="1" applyBorder="1" applyProtection="1">
      <protection locked="0"/>
    </xf>
    <xf numFmtId="0" fontId="2" fillId="11" borderId="17" xfId="0" applyFont="1" applyFill="1" applyBorder="1"/>
    <xf numFmtId="168" fontId="2" fillId="11" borderId="8" xfId="1" applyNumberFormat="1" applyFont="1" applyFill="1" applyBorder="1" applyAlignment="1">
      <alignment horizontal="center"/>
    </xf>
    <xf numFmtId="0" fontId="0" fillId="0" borderId="17" xfId="0" applyBorder="1"/>
    <xf numFmtId="0" fontId="0" fillId="0" borderId="8" xfId="0" applyBorder="1" applyAlignment="1">
      <alignment horizontal="center"/>
    </xf>
    <xf numFmtId="0" fontId="2" fillId="0" borderId="17" xfId="0" applyFont="1" applyBorder="1"/>
    <xf numFmtId="168" fontId="26" fillId="0" borderId="18" xfId="7" applyNumberFormat="1" applyFont="1" applyFill="1" applyBorder="1" applyProtection="1">
      <protection locked="0"/>
    </xf>
    <xf numFmtId="168" fontId="19" fillId="0" borderId="18" xfId="7" applyNumberFormat="1" applyFont="1" applyFill="1" applyBorder="1" applyAlignment="1" applyProtection="1">
      <alignment horizontal="left"/>
      <protection locked="0"/>
    </xf>
    <xf numFmtId="168" fontId="19" fillId="8" borderId="18" xfId="7" applyNumberFormat="1" applyFont="1" applyFill="1" applyBorder="1" applyProtection="1">
      <protection locked="0"/>
    </xf>
    <xf numFmtId="168" fontId="23" fillId="10" borderId="19" xfId="7" applyNumberFormat="1" applyFont="1" applyFill="1" applyBorder="1" applyProtection="1">
      <protection locked="0"/>
    </xf>
    <xf numFmtId="168" fontId="23" fillId="10" borderId="20" xfId="7" applyNumberFormat="1" applyFont="1" applyFill="1" applyBorder="1" applyAlignment="1" applyProtection="1">
      <alignment horizontal="right"/>
      <protection locked="0"/>
    </xf>
    <xf numFmtId="0" fontId="23" fillId="0" borderId="18" xfId="0" applyFont="1" applyFill="1" applyBorder="1" applyProtection="1">
      <protection locked="0"/>
    </xf>
    <xf numFmtId="0" fontId="22" fillId="8" borderId="17" xfId="0" applyFont="1" applyFill="1" applyBorder="1" applyAlignment="1">
      <alignment horizontal="left" indent="5"/>
    </xf>
    <xf numFmtId="14" fontId="22" fillId="8" borderId="17" xfId="0" applyNumberFormat="1" applyFont="1" applyFill="1" applyBorder="1" applyAlignment="1">
      <alignment horizontal="left" indent="5"/>
    </xf>
    <xf numFmtId="168" fontId="24" fillId="0" borderId="18" xfId="7" applyNumberFormat="1" applyFont="1" applyFill="1" applyBorder="1" applyProtection="1">
      <protection locked="0"/>
    </xf>
    <xf numFmtId="0" fontId="4" fillId="11" borderId="17" xfId="0" applyFont="1" applyFill="1" applyBorder="1"/>
    <xf numFmtId="168" fontId="4" fillId="11" borderId="8" xfId="1" applyNumberFormat="1" applyFont="1" applyFill="1" applyBorder="1" applyAlignment="1">
      <alignment horizontal="center"/>
    </xf>
    <xf numFmtId="0" fontId="4" fillId="0" borderId="17" xfId="0" applyFont="1" applyBorder="1"/>
    <xf numFmtId="168" fontId="0" fillId="0" borderId="8" xfId="1" applyNumberFormat="1" applyFont="1" applyBorder="1" applyAlignment="1">
      <alignment horizontal="center"/>
    </xf>
    <xf numFmtId="9" fontId="24" fillId="0" borderId="8" xfId="7" applyNumberFormat="1" applyFont="1" applyFill="1" applyBorder="1" applyAlignment="1" applyProtection="1">
      <alignment horizontal="right"/>
      <protection locked="0"/>
    </xf>
    <xf numFmtId="168" fontId="4" fillId="0" borderId="0" xfId="1" applyNumberFormat="1" applyFont="1" applyFill="1" applyBorder="1" applyAlignment="1">
      <alignment horizontal="center"/>
    </xf>
    <xf numFmtId="9" fontId="24" fillId="0" borderId="10" xfId="7" applyNumberFormat="1" applyFont="1" applyFill="1" applyBorder="1" applyAlignment="1" applyProtection="1">
      <alignment horizontal="right"/>
      <protection locked="0"/>
    </xf>
    <xf numFmtId="0" fontId="2" fillId="11" borderId="21" xfId="0" applyFont="1" applyFill="1" applyBorder="1"/>
    <xf numFmtId="168" fontId="2" fillId="11" borderId="22" xfId="1" applyNumberFormat="1" applyFont="1" applyFill="1" applyBorder="1" applyAlignment="1">
      <alignment horizontal="center"/>
    </xf>
    <xf numFmtId="168" fontId="2" fillId="0" borderId="0" xfId="1" applyNumberFormat="1" applyFont="1" applyFill="1" applyBorder="1" applyAlignment="1">
      <alignment horizontal="center"/>
    </xf>
    <xf numFmtId="38" fontId="0" fillId="0" borderId="0" xfId="0" applyNumberFormat="1"/>
    <xf numFmtId="168" fontId="24" fillId="0" borderId="19" xfId="7" applyNumberFormat="1" applyFont="1" applyFill="1" applyBorder="1" applyProtection="1">
      <protection locked="0"/>
    </xf>
    <xf numFmtId="9" fontId="25" fillId="0" borderId="20" xfId="1" applyNumberFormat="1" applyFont="1" applyBorder="1" applyAlignment="1">
      <alignment horizontal="right"/>
    </xf>
    <xf numFmtId="168" fontId="24" fillId="0" borderId="0" xfId="7" applyNumberFormat="1" applyFont="1" applyFill="1" applyBorder="1" applyProtection="1">
      <protection locked="0"/>
    </xf>
    <xf numFmtId="9" fontId="25" fillId="0" borderId="0" xfId="1" applyNumberFormat="1" applyFont="1" applyBorder="1" applyAlignment="1">
      <alignment horizontal="right"/>
    </xf>
    <xf numFmtId="3" fontId="0" fillId="0" borderId="0" xfId="0" applyNumberFormat="1"/>
    <xf numFmtId="0" fontId="0" fillId="0" borderId="0" xfId="0" applyNumberFormat="1" applyFill="1"/>
    <xf numFmtId="43" fontId="1" fillId="0" borderId="0" xfId="1" applyFont="1"/>
    <xf numFmtId="170" fontId="0" fillId="0" borderId="0" xfId="1" applyNumberFormat="1" applyFont="1" applyFill="1"/>
    <xf numFmtId="172" fontId="1" fillId="0" borderId="0" xfId="1" applyNumberFormat="1" applyFont="1"/>
    <xf numFmtId="17" fontId="8" fillId="2" borderId="23" xfId="0" applyNumberFormat="1" applyFont="1" applyFill="1" applyBorder="1" applyAlignment="1" applyProtection="1">
      <alignment horizontal="center"/>
    </xf>
    <xf numFmtId="0" fontId="9" fillId="2" borderId="0" xfId="0" applyFont="1" applyFill="1" applyBorder="1" applyProtection="1"/>
    <xf numFmtId="14" fontId="0" fillId="0" borderId="0" xfId="0" applyNumberFormat="1" applyFont="1"/>
    <xf numFmtId="0" fontId="7" fillId="0" borderId="24" xfId="0" applyFont="1" applyBorder="1" applyProtection="1"/>
    <xf numFmtId="0" fontId="6" fillId="0" borderId="25" xfId="0" applyFont="1" applyBorder="1" applyAlignment="1" applyProtection="1">
      <alignment horizontal="center"/>
    </xf>
    <xf numFmtId="14" fontId="6" fillId="12" borderId="0" xfId="0" applyNumberFormat="1" applyFont="1" applyFill="1" applyBorder="1" applyProtection="1"/>
    <xf numFmtId="171" fontId="7" fillId="12" borderId="26" xfId="0" applyNumberFormat="1" applyFont="1" applyFill="1" applyBorder="1" applyProtection="1">
      <protection locked="0"/>
    </xf>
    <xf numFmtId="0" fontId="27" fillId="0" borderId="0" xfId="0" applyFont="1" applyProtection="1"/>
    <xf numFmtId="173" fontId="7" fillId="0" borderId="26" xfId="0" applyNumberFormat="1" applyFont="1" applyBorder="1" applyAlignment="1" applyProtection="1">
      <alignment horizontal="center"/>
    </xf>
    <xf numFmtId="0" fontId="8" fillId="2" borderId="0" xfId="0" applyFont="1" applyFill="1" applyProtection="1"/>
    <xf numFmtId="173" fontId="8" fillId="2" borderId="26" xfId="0" applyNumberFormat="1" applyFont="1" applyFill="1" applyBorder="1" applyAlignment="1" applyProtection="1">
      <alignment horizontal="center"/>
    </xf>
    <xf numFmtId="0" fontId="8" fillId="2" borderId="0" xfId="0" applyFont="1" applyFill="1" applyBorder="1" applyProtection="1"/>
    <xf numFmtId="173" fontId="8" fillId="2" borderId="23" xfId="0" applyNumberFormat="1" applyFont="1" applyFill="1" applyBorder="1" applyAlignment="1" applyProtection="1">
      <alignment horizontal="center"/>
    </xf>
    <xf numFmtId="0" fontId="6" fillId="0" borderId="24" xfId="0" applyFont="1" applyBorder="1" applyProtection="1"/>
    <xf numFmtId="0" fontId="7" fillId="0" borderId="25" xfId="0" applyFont="1" applyBorder="1" applyProtection="1">
      <protection locked="0"/>
    </xf>
    <xf numFmtId="0" fontId="12" fillId="0" borderId="0" xfId="0" applyFont="1" applyProtection="1"/>
    <xf numFmtId="173" fontId="7" fillId="13" borderId="26" xfId="0" applyNumberFormat="1" applyFont="1" applyFill="1" applyBorder="1" applyAlignment="1" applyProtection="1">
      <alignment horizontal="center"/>
      <protection locked="0"/>
    </xf>
    <xf numFmtId="0" fontId="12" fillId="0" borderId="0" xfId="0" applyFont="1" applyFill="1" applyProtection="1"/>
    <xf numFmtId="0" fontId="12" fillId="0" borderId="0" xfId="0" applyFont="1" applyFill="1" applyBorder="1" applyAlignment="1" applyProtection="1">
      <alignment horizontal="left"/>
    </xf>
    <xf numFmtId="173" fontId="7" fillId="13" borderId="23" xfId="0" applyNumberFormat="1" applyFont="1" applyFill="1" applyBorder="1" applyAlignment="1" applyProtection="1">
      <alignment horizontal="center"/>
      <protection locked="0"/>
    </xf>
    <xf numFmtId="0" fontId="6" fillId="0" borderId="0" xfId="0" applyFont="1" applyProtection="1"/>
    <xf numFmtId="0" fontId="7" fillId="0" borderId="26" xfId="0" applyFont="1" applyBorder="1" applyProtection="1">
      <protection locked="0"/>
    </xf>
    <xf numFmtId="0" fontId="12" fillId="0" borderId="0" xfId="0" applyFont="1" applyFill="1" applyBorder="1" applyAlignment="1" applyProtection="1"/>
    <xf numFmtId="173" fontId="7" fillId="14" borderId="26" xfId="0" applyNumberFormat="1" applyFont="1" applyFill="1" applyBorder="1" applyAlignment="1" applyProtection="1">
      <alignment horizontal="center"/>
    </xf>
    <xf numFmtId="173" fontId="7" fillId="0" borderId="26" xfId="0" applyNumberFormat="1" applyFont="1" applyFill="1" applyBorder="1" applyAlignment="1" applyProtection="1">
      <alignment horizontal="center"/>
    </xf>
    <xf numFmtId="0" fontId="28" fillId="0" borderId="0" xfId="0" applyFont="1" applyAlignment="1" applyProtection="1">
      <alignment horizontal="left" indent="1"/>
    </xf>
    <xf numFmtId="0" fontId="7" fillId="0" borderId="0" xfId="0" applyFont="1" applyFill="1" applyBorder="1" applyProtection="1"/>
    <xf numFmtId="0" fontId="27" fillId="12" borderId="0" xfId="0" applyFont="1" applyFill="1" applyProtection="1"/>
    <xf numFmtId="173" fontId="6" fillId="12" borderId="26" xfId="0" applyNumberFormat="1" applyFont="1" applyFill="1" applyBorder="1" applyAlignment="1" applyProtection="1">
      <alignment horizontal="center"/>
    </xf>
    <xf numFmtId="0" fontId="28" fillId="0" borderId="0" xfId="0" applyFont="1" applyFill="1" applyAlignment="1" applyProtection="1">
      <alignment horizontal="left" indent="1"/>
    </xf>
    <xf numFmtId="0" fontId="28" fillId="0" borderId="0" xfId="0" applyFont="1" applyProtection="1"/>
    <xf numFmtId="169" fontId="7" fillId="0" borderId="26" xfId="0" applyNumberFormat="1" applyFont="1" applyBorder="1" applyAlignment="1" applyProtection="1">
      <alignment horizontal="center"/>
    </xf>
    <xf numFmtId="0" fontId="7" fillId="0" borderId="0" xfId="0" applyFont="1" applyProtection="1"/>
    <xf numFmtId="173" fontId="7" fillId="0" borderId="26" xfId="0" applyNumberFormat="1" applyFont="1" applyBorder="1" applyAlignment="1" applyProtection="1">
      <alignment horizontal="center"/>
      <protection locked="0"/>
    </xf>
    <xf numFmtId="173" fontId="6" fillId="0" borderId="26" xfId="0" applyNumberFormat="1" applyFont="1" applyBorder="1" applyAlignment="1" applyProtection="1">
      <alignment horizontal="center"/>
    </xf>
    <xf numFmtId="0" fontId="10" fillId="0" borderId="0" xfId="0" applyFont="1" applyFill="1" applyProtection="1"/>
    <xf numFmtId="0" fontId="6" fillId="12" borderId="0" xfId="0" applyFont="1" applyFill="1" applyProtection="1"/>
    <xf numFmtId="0" fontId="7" fillId="0" borderId="0" xfId="0" applyFont="1" applyFill="1" applyProtection="1"/>
    <xf numFmtId="0" fontId="29" fillId="0" borderId="0" xfId="0" applyFont="1" applyFill="1" applyProtection="1"/>
    <xf numFmtId="0" fontId="10" fillId="0" borderId="0" xfId="0" applyFont="1" applyProtection="1"/>
    <xf numFmtId="0" fontId="27" fillId="0" borderId="24" xfId="0" applyFont="1" applyBorder="1" applyProtection="1"/>
    <xf numFmtId="173" fontId="7" fillId="0" borderId="25" xfId="0" applyNumberFormat="1" applyFont="1" applyBorder="1" applyAlignment="1" applyProtection="1">
      <alignment horizontal="center"/>
      <protection locked="0"/>
    </xf>
    <xf numFmtId="0" fontId="29" fillId="0" borderId="0" xfId="0" applyFont="1" applyProtection="1"/>
    <xf numFmtId="0" fontId="7" fillId="0" borderId="0" xfId="0" applyFont="1" applyAlignment="1" applyProtection="1">
      <alignment horizontal="left" indent="1"/>
    </xf>
    <xf numFmtId="0" fontId="28" fillId="0" borderId="0" xfId="0" applyFont="1" applyFill="1" applyProtection="1"/>
    <xf numFmtId="0" fontId="7" fillId="0" borderId="23" xfId="0" applyFont="1" applyBorder="1" applyProtection="1"/>
    <xf numFmtId="0" fontId="30" fillId="0" borderId="0" xfId="0" applyFont="1" applyFill="1" applyProtection="1"/>
    <xf numFmtId="173" fontId="6" fillId="0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</xf>
    <xf numFmtId="173" fontId="7" fillId="12" borderId="26" xfId="0" applyNumberFormat="1" applyFont="1" applyFill="1" applyBorder="1" applyAlignment="1" applyProtection="1">
      <alignment horizontal="center"/>
      <protection locked="0"/>
    </xf>
    <xf numFmtId="0" fontId="0" fillId="15" borderId="0" xfId="0" applyFill="1"/>
    <xf numFmtId="0" fontId="10" fillId="0" borderId="0" xfId="0" applyFont="1" applyBorder="1" applyProtection="1"/>
    <xf numFmtId="169" fontId="7" fillId="0" borderId="23" xfId="0" applyNumberFormat="1" applyFont="1" applyBorder="1" applyAlignment="1" applyProtection="1">
      <alignment horizontal="center"/>
    </xf>
    <xf numFmtId="0" fontId="7" fillId="0" borderId="0" xfId="0" applyFont="1" applyBorder="1" applyProtection="1"/>
    <xf numFmtId="173" fontId="7" fillId="0" borderId="23" xfId="0" applyNumberFormat="1" applyFont="1" applyBorder="1" applyAlignment="1" applyProtection="1">
      <alignment horizontal="center"/>
    </xf>
    <xf numFmtId="0" fontId="28" fillId="0" borderId="0" xfId="0" quotePrefix="1" applyFont="1" applyAlignment="1" applyProtection="1">
      <alignment horizontal="left" indent="3"/>
    </xf>
    <xf numFmtId="0" fontId="28" fillId="0" borderId="0" xfId="0" applyFont="1" applyAlignment="1" applyProtection="1">
      <alignment horizontal="left" indent="3"/>
    </xf>
    <xf numFmtId="0" fontId="28" fillId="0" borderId="0" xfId="0" quotePrefix="1" applyFont="1" applyFill="1" applyAlignment="1" applyProtection="1">
      <alignment horizontal="left" indent="3"/>
    </xf>
    <xf numFmtId="0" fontId="28" fillId="0" borderId="0" xfId="0" applyFont="1" applyFill="1" applyAlignment="1" applyProtection="1">
      <alignment horizontal="left" indent="3"/>
    </xf>
    <xf numFmtId="0" fontId="10" fillId="0" borderId="0" xfId="0" applyFont="1" applyAlignment="1" applyProtection="1">
      <alignment horizontal="left" indent="1"/>
    </xf>
    <xf numFmtId="173" fontId="6" fillId="0" borderId="26" xfId="0" applyNumberFormat="1" applyFont="1" applyBorder="1" applyAlignment="1" applyProtection="1">
      <alignment horizontal="center"/>
      <protection locked="0"/>
    </xf>
    <xf numFmtId="0" fontId="12" fillId="0" borderId="0" xfId="0" applyFont="1" applyAlignment="1" applyProtection="1">
      <alignment horizontal="left"/>
    </xf>
    <xf numFmtId="0" fontId="31" fillId="0" borderId="0" xfId="0" applyFont="1"/>
    <xf numFmtId="0" fontId="32" fillId="0" borderId="0" xfId="0" applyFont="1" applyAlignment="1">
      <alignment horizontal="left"/>
    </xf>
    <xf numFmtId="174" fontId="33" fillId="0" borderId="0" xfId="0" applyNumberFormat="1" applyFont="1" applyAlignment="1">
      <alignment horizontal="left"/>
    </xf>
    <xf numFmtId="17" fontId="7" fillId="0" borderId="0" xfId="0" applyNumberFormat="1" applyFont="1"/>
    <xf numFmtId="0" fontId="34" fillId="0" borderId="0" xfId="0" applyFont="1"/>
    <xf numFmtId="17" fontId="6" fillId="0" borderId="0" xfId="0" applyNumberFormat="1" applyFont="1"/>
    <xf numFmtId="0" fontId="35" fillId="0" borderId="0" xfId="0" applyFont="1"/>
    <xf numFmtId="0" fontId="37" fillId="0" borderId="0" xfId="3" applyFont="1" applyFill="1" applyBorder="1" applyAlignment="1">
      <alignment horizontal="left" vertical="top"/>
    </xf>
    <xf numFmtId="9" fontId="35" fillId="0" borderId="0" xfId="0" applyNumberFormat="1" applyFont="1"/>
    <xf numFmtId="0" fontId="9" fillId="0" borderId="0" xfId="0" applyFont="1"/>
    <xf numFmtId="39" fontId="6" fillId="0" borderId="0" xfId="0" applyNumberFormat="1" applyFont="1"/>
    <xf numFmtId="176" fontId="7" fillId="0" borderId="0" xfId="0" applyNumberFormat="1" applyFont="1" applyBorder="1"/>
    <xf numFmtId="169" fontId="7" fillId="0" borderId="0" xfId="0" applyNumberFormat="1" applyFont="1" applyBorder="1"/>
    <xf numFmtId="43" fontId="7" fillId="0" borderId="0" xfId="1" applyNumberFormat="1" applyFont="1" applyBorder="1"/>
    <xf numFmtId="169" fontId="7" fillId="0" borderId="0" xfId="1" applyNumberFormat="1" applyFont="1" applyBorder="1"/>
    <xf numFmtId="17" fontId="8" fillId="0" borderId="0" xfId="0" applyNumberFormat="1" applyFont="1"/>
    <xf numFmtId="168" fontId="7" fillId="0" borderId="0" xfId="0" applyNumberFormat="1" applyFont="1"/>
    <xf numFmtId="38" fontId="7" fillId="0" borderId="0" xfId="0" applyNumberFormat="1" applyFont="1" applyBorder="1"/>
    <xf numFmtId="0" fontId="40" fillId="0" borderId="0" xfId="0" applyFont="1"/>
    <xf numFmtId="0" fontId="41" fillId="0" borderId="0" xfId="0" applyFont="1"/>
    <xf numFmtId="0" fontId="31" fillId="0" borderId="0" xfId="0" applyFont="1" applyFill="1" applyBorder="1"/>
    <xf numFmtId="0" fontId="32" fillId="0" borderId="0" xfId="0" applyFont="1" applyAlignment="1">
      <alignment horizontal="left" vertical="center" wrapText="1"/>
    </xf>
    <xf numFmtId="17" fontId="8" fillId="2" borderId="3" xfId="0" applyNumberFormat="1" applyFont="1" applyFill="1" applyBorder="1" applyAlignment="1">
      <alignment horizontal="center"/>
    </xf>
    <xf numFmtId="17" fontId="8" fillId="2" borderId="28" xfId="0" applyNumberFormat="1" applyFont="1" applyFill="1" applyBorder="1" applyAlignment="1">
      <alignment horizontal="center"/>
    </xf>
    <xf numFmtId="17" fontId="8" fillId="2" borderId="29" xfId="0" applyNumberFormat="1" applyFont="1" applyFill="1" applyBorder="1" applyAlignment="1">
      <alignment horizontal="center"/>
    </xf>
    <xf numFmtId="17" fontId="8" fillId="2" borderId="30" xfId="0" applyNumberFormat="1" applyFont="1" applyFill="1" applyBorder="1" applyAlignment="1">
      <alignment horizontal="center"/>
    </xf>
    <xf numFmtId="17" fontId="8" fillId="2" borderId="31" xfId="0" applyNumberFormat="1" applyFont="1" applyFill="1" applyBorder="1" applyAlignment="1">
      <alignment horizontal="center"/>
    </xf>
    <xf numFmtId="0" fontId="42" fillId="0" borderId="32" xfId="0" applyFont="1" applyBorder="1"/>
    <xf numFmtId="0" fontId="42" fillId="0" borderId="33" xfId="0" applyFont="1" applyBorder="1"/>
    <xf numFmtId="0" fontId="27" fillId="0" borderId="25" xfId="0" applyFont="1" applyBorder="1" applyAlignment="1">
      <alignment horizontal="center"/>
    </xf>
    <xf numFmtId="0" fontId="27" fillId="0" borderId="25" xfId="0" applyFont="1" applyFill="1" applyBorder="1" applyAlignment="1">
      <alignment horizontal="center"/>
    </xf>
    <xf numFmtId="0" fontId="27" fillId="0" borderId="34" xfId="0" applyFont="1" applyBorder="1" applyAlignment="1">
      <alignment horizontal="center"/>
    </xf>
    <xf numFmtId="0" fontId="7" fillId="13" borderId="17" xfId="0" applyFont="1" applyFill="1" applyBorder="1"/>
    <xf numFmtId="168" fontId="7" fillId="13" borderId="10" xfId="1" applyNumberFormat="1" applyFont="1" applyFill="1" applyBorder="1" applyAlignment="1">
      <alignment horizontal="center"/>
    </xf>
    <xf numFmtId="179" fontId="7" fillId="13" borderId="10" xfId="1" applyNumberFormat="1" applyFont="1" applyFill="1" applyBorder="1" applyAlignment="1">
      <alignment horizontal="right"/>
    </xf>
    <xf numFmtId="168" fontId="7" fillId="0" borderId="10" xfId="1" applyNumberFormat="1" applyFont="1" applyBorder="1" applyAlignment="1">
      <alignment horizontal="center"/>
    </xf>
    <xf numFmtId="168" fontId="7" fillId="0" borderId="35" xfId="1" applyNumberFormat="1" applyFont="1" applyBorder="1" applyAlignment="1">
      <alignment horizontal="center"/>
    </xf>
    <xf numFmtId="43" fontId="12" fillId="0" borderId="0" xfId="0" applyNumberFormat="1" applyFont="1"/>
    <xf numFmtId="0" fontId="10" fillId="13" borderId="17" xfId="0" applyFont="1" applyFill="1" applyBorder="1" applyAlignment="1">
      <alignment horizontal="left" indent="1"/>
    </xf>
    <xf numFmtId="0" fontId="42" fillId="11" borderId="17" xfId="0" applyFont="1" applyFill="1" applyBorder="1"/>
    <xf numFmtId="38" fontId="42" fillId="11" borderId="10" xfId="0" applyNumberFormat="1" applyFont="1" applyFill="1" applyBorder="1"/>
    <xf numFmtId="179" fontId="42" fillId="11" borderId="10" xfId="1" applyNumberFormat="1" applyFont="1" applyFill="1" applyBorder="1" applyAlignment="1">
      <alignment horizontal="right"/>
    </xf>
    <xf numFmtId="168" fontId="42" fillId="11" borderId="10" xfId="1" applyNumberFormat="1" applyFont="1" applyFill="1" applyBorder="1" applyAlignment="1">
      <alignment horizontal="center"/>
    </xf>
    <xf numFmtId="168" fontId="42" fillId="11" borderId="8" xfId="1" applyNumberFormat="1" applyFont="1" applyFill="1" applyBorder="1" applyAlignment="1">
      <alignment horizontal="center"/>
    </xf>
    <xf numFmtId="168" fontId="42" fillId="11" borderId="36" xfId="1" applyNumberFormat="1" applyFont="1" applyFill="1" applyBorder="1" applyAlignment="1">
      <alignment horizontal="center"/>
    </xf>
    <xf numFmtId="0" fontId="7" fillId="0" borderId="0" xfId="0" applyFont="1" applyBorder="1"/>
    <xf numFmtId="0" fontId="7" fillId="0" borderId="17" xfId="0" applyFont="1" applyBorder="1"/>
    <xf numFmtId="0" fontId="7" fillId="0" borderId="10" xfId="0" applyFont="1" applyBorder="1"/>
    <xf numFmtId="179" fontId="7" fillId="0" borderId="10" xfId="1" applyNumberFormat="1" applyFont="1" applyFill="1" applyBorder="1" applyAlignment="1">
      <alignment horizontal="right"/>
    </xf>
    <xf numFmtId="0" fontId="7" fillId="0" borderId="10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42" fillId="0" borderId="17" xfId="0" applyFont="1" applyBorder="1"/>
    <xf numFmtId="0" fontId="42" fillId="0" borderId="10" xfId="0" applyFont="1" applyBorder="1"/>
    <xf numFmtId="0" fontId="7" fillId="0" borderId="17" xfId="0" applyFont="1" applyBorder="1" applyAlignment="1">
      <alignment horizontal="left"/>
    </xf>
    <xf numFmtId="3" fontId="7" fillId="0" borderId="10" xfId="0" applyNumberFormat="1" applyFont="1" applyBorder="1"/>
    <xf numFmtId="0" fontId="10" fillId="13" borderId="17" xfId="0" applyFont="1" applyFill="1" applyBorder="1" applyAlignment="1">
      <alignment horizontal="left" indent="2"/>
    </xf>
    <xf numFmtId="14" fontId="10" fillId="13" borderId="17" xfId="0" applyNumberFormat="1" applyFont="1" applyFill="1" applyBorder="1" applyAlignment="1">
      <alignment horizontal="left" indent="2"/>
    </xf>
    <xf numFmtId="0" fontId="27" fillId="11" borderId="17" xfId="0" applyFont="1" applyFill="1" applyBorder="1"/>
    <xf numFmtId="38" fontId="27" fillId="11" borderId="10" xfId="0" applyNumberFormat="1" applyFont="1" applyFill="1" applyBorder="1" applyAlignment="1"/>
    <xf numFmtId="179" fontId="27" fillId="11" borderId="10" xfId="1" applyNumberFormat="1" applyFont="1" applyFill="1" applyBorder="1" applyAlignment="1">
      <alignment horizontal="right"/>
    </xf>
    <xf numFmtId="168" fontId="27" fillId="11" borderId="10" xfId="1" applyNumberFormat="1" applyFont="1" applyFill="1" applyBorder="1" applyAlignment="1">
      <alignment horizontal="center"/>
    </xf>
    <xf numFmtId="168" fontId="27" fillId="11" borderId="8" xfId="1" applyNumberFormat="1" applyFont="1" applyFill="1" applyBorder="1" applyAlignment="1">
      <alignment horizontal="center"/>
    </xf>
    <xf numFmtId="168" fontId="27" fillId="11" borderId="36" xfId="1" applyNumberFormat="1" applyFont="1" applyFill="1" applyBorder="1" applyAlignment="1">
      <alignment horizontal="center"/>
    </xf>
    <xf numFmtId="0" fontId="6" fillId="0" borderId="17" xfId="0" applyFont="1" applyBorder="1"/>
    <xf numFmtId="0" fontId="6" fillId="0" borderId="10" xfId="0" applyFont="1" applyBorder="1"/>
    <xf numFmtId="168" fontId="7" fillId="0" borderId="8" xfId="1" applyNumberFormat="1" applyFont="1" applyBorder="1" applyAlignment="1">
      <alignment horizontal="center"/>
    </xf>
    <xf numFmtId="168" fontId="7" fillId="0" borderId="36" xfId="1" applyNumberFormat="1" applyFont="1" applyBorder="1" applyAlignment="1">
      <alignment horizontal="center"/>
    </xf>
    <xf numFmtId="0" fontId="6" fillId="11" borderId="17" xfId="0" applyFont="1" applyFill="1" applyBorder="1"/>
    <xf numFmtId="38" fontId="12" fillId="11" borderId="10" xfId="0" applyNumberFormat="1" applyFont="1" applyFill="1" applyBorder="1" applyAlignment="1"/>
    <xf numFmtId="179" fontId="43" fillId="11" borderId="10" xfId="1" applyNumberFormat="1" applyFont="1" applyFill="1" applyBorder="1" applyAlignment="1">
      <alignment horizontal="right"/>
    </xf>
    <xf numFmtId="168" fontId="6" fillId="11" borderId="10" xfId="1" applyNumberFormat="1" applyFont="1" applyFill="1" applyBorder="1" applyAlignment="1">
      <alignment horizontal="center"/>
    </xf>
    <xf numFmtId="168" fontId="6" fillId="11" borderId="8" xfId="1" applyNumberFormat="1" applyFont="1" applyFill="1" applyBorder="1" applyAlignment="1">
      <alignment horizontal="center"/>
    </xf>
    <xf numFmtId="168" fontId="6" fillId="11" borderId="36" xfId="1" applyNumberFormat="1" applyFont="1" applyFill="1" applyBorder="1" applyAlignment="1">
      <alignment horizontal="center"/>
    </xf>
    <xf numFmtId="0" fontId="42" fillId="11" borderId="21" xfId="0" applyFont="1" applyFill="1" applyBorder="1"/>
    <xf numFmtId="38" fontId="42" fillId="11" borderId="20" xfId="0" applyNumberFormat="1" applyFont="1" applyFill="1" applyBorder="1"/>
    <xf numFmtId="179" fontId="42" fillId="11" borderId="22" xfId="1" applyNumberFormat="1" applyFont="1" applyFill="1" applyBorder="1" applyAlignment="1">
      <alignment horizontal="right"/>
    </xf>
    <xf numFmtId="168" fontId="44" fillId="11" borderId="20" xfId="1" applyNumberFormat="1" applyFont="1" applyFill="1" applyBorder="1" applyAlignment="1">
      <alignment horizontal="center"/>
    </xf>
    <xf numFmtId="168" fontId="44" fillId="11" borderId="22" xfId="1" applyNumberFormat="1" applyFont="1" applyFill="1" applyBorder="1" applyAlignment="1">
      <alignment horizontal="center"/>
    </xf>
    <xf numFmtId="168" fontId="42" fillId="11" borderId="22" xfId="1" applyNumberFormat="1" applyFont="1" applyFill="1" applyBorder="1" applyAlignment="1">
      <alignment horizontal="center"/>
    </xf>
    <xf numFmtId="168" fontId="42" fillId="11" borderId="27" xfId="1" applyNumberFormat="1" applyFont="1" applyFill="1" applyBorder="1" applyAlignment="1">
      <alignment horizontal="center"/>
    </xf>
    <xf numFmtId="0" fontId="31" fillId="0" borderId="0" xfId="0" applyFont="1" applyFill="1"/>
    <xf numFmtId="17" fontId="8" fillId="2" borderId="37" xfId="0" applyNumberFormat="1" applyFont="1" applyFill="1" applyBorder="1" applyAlignment="1">
      <alignment horizontal="center"/>
    </xf>
    <xf numFmtId="0" fontId="19" fillId="0" borderId="38" xfId="0" applyFont="1" applyFill="1" applyBorder="1" applyAlignment="1" applyProtection="1">
      <alignment horizontal="left"/>
      <protection locked="0"/>
    </xf>
    <xf numFmtId="0" fontId="42" fillId="0" borderId="25" xfId="0" applyFont="1" applyBorder="1"/>
    <xf numFmtId="0" fontId="27" fillId="0" borderId="33" xfId="0" applyFont="1" applyBorder="1" applyAlignment="1">
      <alignment horizontal="center"/>
    </xf>
    <xf numFmtId="168" fontId="7" fillId="13" borderId="8" xfId="1" applyNumberFormat="1" applyFont="1" applyFill="1" applyBorder="1" applyAlignment="1">
      <alignment horizontal="center"/>
    </xf>
    <xf numFmtId="0" fontId="7" fillId="13" borderId="39" xfId="0" applyFont="1" applyFill="1" applyBorder="1"/>
    <xf numFmtId="0" fontId="7" fillId="13" borderId="40" xfId="0" applyFont="1" applyFill="1" applyBorder="1"/>
    <xf numFmtId="168" fontId="7" fillId="13" borderId="22" xfId="1" applyNumberFormat="1" applyFont="1" applyFill="1" applyBorder="1" applyAlignment="1">
      <alignment horizontal="center"/>
    </xf>
    <xf numFmtId="168" fontId="7" fillId="13" borderId="20" xfId="1" applyNumberFormat="1" applyFont="1" applyFill="1" applyBorder="1" applyAlignment="1">
      <alignment horizontal="center"/>
    </xf>
    <xf numFmtId="179" fontId="7" fillId="13" borderId="20" xfId="1" applyNumberFormat="1" applyFont="1" applyFill="1" applyBorder="1" applyAlignment="1">
      <alignment horizontal="right"/>
    </xf>
    <xf numFmtId="168" fontId="7" fillId="0" borderId="22" xfId="1" applyNumberFormat="1" applyFont="1" applyBorder="1" applyAlignment="1">
      <alignment horizontal="center"/>
    </xf>
    <xf numFmtId="168" fontId="7" fillId="0" borderId="20" xfId="1" applyNumberFormat="1" applyFont="1" applyBorder="1" applyAlignment="1">
      <alignment horizontal="center"/>
    </xf>
    <xf numFmtId="168" fontId="7" fillId="0" borderId="41" xfId="1" applyNumberFormat="1" applyFont="1" applyBorder="1" applyAlignment="1">
      <alignment horizontal="center"/>
    </xf>
    <xf numFmtId="0" fontId="5" fillId="0" borderId="0" xfId="0" applyFont="1"/>
    <xf numFmtId="0" fontId="45" fillId="0" borderId="0" xfId="0" applyFont="1" applyAlignment="1">
      <alignment horizontal="left"/>
    </xf>
    <xf numFmtId="0" fontId="32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17" fontId="3" fillId="2" borderId="29" xfId="0" applyNumberFormat="1" applyFont="1" applyFill="1" applyBorder="1" applyAlignment="1">
      <alignment horizontal="center"/>
    </xf>
    <xf numFmtId="17" fontId="3" fillId="2" borderId="31" xfId="0" applyNumberFormat="1" applyFont="1" applyFill="1" applyBorder="1" applyAlignment="1">
      <alignment horizontal="center"/>
    </xf>
    <xf numFmtId="0" fontId="38" fillId="0" borderId="33" xfId="0" applyFont="1" applyBorder="1" applyAlignment="1">
      <alignment horizontal="center"/>
    </xf>
    <xf numFmtId="0" fontId="38" fillId="0" borderId="25" xfId="0" applyFont="1" applyBorder="1" applyAlignment="1">
      <alignment horizontal="center"/>
    </xf>
    <xf numFmtId="0" fontId="38" fillId="0" borderId="25" xfId="0" applyFont="1" applyFill="1" applyBorder="1" applyAlignment="1">
      <alignment horizontal="center"/>
    </xf>
    <xf numFmtId="0" fontId="38" fillId="0" borderId="34" xfId="0" applyFont="1" applyBorder="1" applyAlignment="1">
      <alignment horizontal="center"/>
    </xf>
    <xf numFmtId="168" fontId="20" fillId="0" borderId="33" xfId="1" applyNumberFormat="1" applyFont="1" applyBorder="1" applyAlignment="1">
      <alignment horizontal="right"/>
    </xf>
    <xf numFmtId="168" fontId="20" fillId="0" borderId="45" xfId="1" applyNumberFormat="1" applyFont="1" applyBorder="1" applyAlignment="1">
      <alignment horizontal="right"/>
    </xf>
    <xf numFmtId="168" fontId="20" fillId="0" borderId="35" xfId="1" applyNumberFormat="1" applyFont="1" applyBorder="1" applyAlignment="1">
      <alignment horizontal="right"/>
    </xf>
    <xf numFmtId="0" fontId="0" fillId="0" borderId="0" xfId="0" applyBorder="1"/>
    <xf numFmtId="168" fontId="0" fillId="0" borderId="0" xfId="0" applyNumberFormat="1"/>
    <xf numFmtId="0" fontId="5" fillId="0" borderId="0" xfId="0" applyFont="1" applyAlignment="1">
      <alignment horizontal="right"/>
    </xf>
    <xf numFmtId="17" fontId="3" fillId="2" borderId="42" xfId="0" applyNumberFormat="1" applyFont="1" applyFill="1" applyBorder="1" applyAlignment="1">
      <alignment horizontal="center"/>
    </xf>
    <xf numFmtId="0" fontId="19" fillId="0" borderId="32" xfId="0" applyFont="1" applyFill="1" applyBorder="1" applyProtection="1">
      <protection locked="0"/>
    </xf>
    <xf numFmtId="0" fontId="19" fillId="13" borderId="17" xfId="0" applyFont="1" applyFill="1" applyBorder="1" applyAlignment="1" applyProtection="1">
      <alignment horizontal="left"/>
      <protection locked="0"/>
    </xf>
    <xf numFmtId="168" fontId="5" fillId="0" borderId="0" xfId="0" applyNumberFormat="1" applyFont="1" applyAlignment="1">
      <alignment horizontal="right"/>
    </xf>
    <xf numFmtId="168" fontId="19" fillId="13" borderId="17" xfId="7" applyNumberFormat="1" applyFont="1" applyFill="1" applyBorder="1" applyAlignment="1" applyProtection="1">
      <alignment horizontal="left"/>
      <protection locked="0"/>
    </xf>
    <xf numFmtId="168" fontId="19" fillId="0" borderId="17" xfId="7" applyNumberFormat="1" applyFont="1" applyFill="1" applyBorder="1" applyAlignment="1" applyProtection="1">
      <alignment horizontal="left"/>
      <protection locked="0"/>
    </xf>
    <xf numFmtId="168" fontId="23" fillId="10" borderId="21" xfId="7" applyNumberFormat="1" applyFont="1" applyFill="1" applyBorder="1" applyProtection="1">
      <protection locked="0"/>
    </xf>
    <xf numFmtId="17" fontId="3" fillId="2" borderId="47" xfId="0" applyNumberFormat="1" applyFont="1" applyFill="1" applyBorder="1" applyAlignment="1">
      <alignment horizontal="center"/>
    </xf>
    <xf numFmtId="17" fontId="3" fillId="2" borderId="5" xfId="0" applyNumberFormat="1" applyFont="1" applyFill="1" applyBorder="1" applyAlignment="1">
      <alignment horizontal="center"/>
    </xf>
    <xf numFmtId="17" fontId="3" fillId="2" borderId="46" xfId="0" applyNumberFormat="1" applyFont="1" applyFill="1" applyBorder="1" applyAlignment="1">
      <alignment horizontal="center"/>
    </xf>
    <xf numFmtId="0" fontId="19" fillId="0" borderId="7" xfId="0" applyFont="1" applyFill="1" applyBorder="1" applyProtection="1">
      <protection locked="0"/>
    </xf>
    <xf numFmtId="169" fontId="20" fillId="0" borderId="11" xfId="1" applyNumberFormat="1" applyFont="1" applyBorder="1" applyAlignment="1">
      <alignment horizontal="right"/>
    </xf>
    <xf numFmtId="0" fontId="19" fillId="0" borderId="17" xfId="0" applyFont="1" applyFill="1" applyBorder="1" applyAlignment="1" applyProtection="1">
      <alignment horizontal="left"/>
      <protection locked="0"/>
    </xf>
    <xf numFmtId="169" fontId="20" fillId="0" borderId="10" xfId="1" applyNumberFormat="1" applyFont="1" applyBorder="1" applyAlignment="1">
      <alignment horizontal="right"/>
    </xf>
    <xf numFmtId="169" fontId="20" fillId="0" borderId="35" xfId="1" applyNumberFormat="1" applyFont="1" applyBorder="1" applyAlignment="1">
      <alignment horizontal="right"/>
    </xf>
    <xf numFmtId="168" fontId="19" fillId="0" borderId="21" xfId="7" applyNumberFormat="1" applyFont="1" applyFill="1" applyBorder="1" applyAlignment="1" applyProtection="1">
      <alignment horizontal="left"/>
      <protection locked="0"/>
    </xf>
    <xf numFmtId="169" fontId="20" fillId="0" borderId="41" xfId="1" applyNumberFormat="1" applyFont="1" applyBorder="1" applyAlignment="1">
      <alignment horizontal="right"/>
    </xf>
    <xf numFmtId="0" fontId="14" fillId="0" borderId="0" xfId="356" applyFont="1" applyFill="1" applyBorder="1" applyAlignment="1">
      <alignment horizontal="center"/>
    </xf>
    <xf numFmtId="0" fontId="14" fillId="0" borderId="0" xfId="356" applyFont="1" applyFill="1" applyBorder="1" applyAlignment="1">
      <alignment horizontal="right" wrapText="1"/>
    </xf>
    <xf numFmtId="0" fontId="46" fillId="0" borderId="0" xfId="0" applyFont="1"/>
    <xf numFmtId="0" fontId="19" fillId="0" borderId="32" xfId="0" applyFont="1" applyFill="1" applyBorder="1" applyAlignment="1" applyProtection="1">
      <alignment horizontal="left"/>
      <protection locked="0"/>
    </xf>
    <xf numFmtId="0" fontId="19" fillId="13" borderId="32" xfId="0" applyFont="1" applyFill="1" applyBorder="1" applyAlignment="1" applyProtection="1">
      <alignment horizontal="left"/>
      <protection locked="0"/>
    </xf>
    <xf numFmtId="168" fontId="19" fillId="13" borderId="21" xfId="7" applyNumberFormat="1" applyFont="1" applyFill="1" applyBorder="1" applyAlignment="1" applyProtection="1">
      <alignment horizontal="left"/>
      <protection locked="0"/>
    </xf>
    <xf numFmtId="168" fontId="20" fillId="0" borderId="20" xfId="1" applyNumberFormat="1" applyFont="1" applyBorder="1" applyAlignment="1">
      <alignment horizontal="right"/>
    </xf>
    <xf numFmtId="168" fontId="20" fillId="0" borderId="41" xfId="1" applyNumberFormat="1" applyFont="1" applyBorder="1" applyAlignment="1">
      <alignment horizontal="right"/>
    </xf>
    <xf numFmtId="22" fontId="47" fillId="12" borderId="0" xfId="0" applyNumberFormat="1" applyFont="1" applyFill="1"/>
    <xf numFmtId="0" fontId="20" fillId="12" borderId="0" xfId="0" applyFont="1" applyFill="1"/>
    <xf numFmtId="0" fontId="19" fillId="12" borderId="0" xfId="0" applyFont="1" applyFill="1"/>
    <xf numFmtId="0" fontId="19" fillId="12" borderId="0" xfId="0" applyFont="1" applyFill="1" applyBorder="1"/>
    <xf numFmtId="0" fontId="47" fillId="12" borderId="0" xfId="0" applyFont="1" applyFill="1"/>
    <xf numFmtId="22" fontId="48" fillId="12" borderId="0" xfId="0" applyNumberFormat="1" applyFont="1" applyFill="1" applyAlignment="1">
      <alignment horizontal="left"/>
    </xf>
    <xf numFmtId="180" fontId="49" fillId="2" borderId="48" xfId="0" applyNumberFormat="1" applyFont="1" applyFill="1" applyBorder="1" applyAlignment="1">
      <alignment horizontal="center" vertical="center"/>
    </xf>
    <xf numFmtId="0" fontId="50" fillId="12" borderId="0" xfId="0" applyFont="1" applyFill="1"/>
    <xf numFmtId="0" fontId="19" fillId="12" borderId="0" xfId="0" applyFont="1" applyFill="1" applyBorder="1" applyAlignment="1"/>
    <xf numFmtId="0" fontId="0" fillId="12" borderId="0" xfId="0" applyFill="1" applyAlignment="1"/>
    <xf numFmtId="0" fontId="20" fillId="12" borderId="0" xfId="0" applyFont="1" applyFill="1" applyAlignment="1"/>
    <xf numFmtId="0" fontId="51" fillId="12" borderId="0" xfId="0" applyFont="1" applyFill="1"/>
    <xf numFmtId="0" fontId="51" fillId="12" borderId="0" xfId="0" applyFont="1" applyFill="1" applyBorder="1"/>
    <xf numFmtId="22" fontId="52" fillId="12" borderId="0" xfId="0" applyNumberFormat="1" applyFont="1" applyFill="1" applyAlignment="1">
      <alignment vertical="top"/>
    </xf>
    <xf numFmtId="0" fontId="53" fillId="12" borderId="0" xfId="0" applyFont="1" applyFill="1"/>
    <xf numFmtId="0" fontId="54" fillId="2" borderId="3" xfId="0" applyFont="1" applyFill="1" applyBorder="1" applyAlignment="1">
      <alignment horizontal="centerContinuous" vertical="center"/>
    </xf>
    <xf numFmtId="0" fontId="55" fillId="2" borderId="29" xfId="0" applyFont="1" applyFill="1" applyBorder="1" applyAlignment="1">
      <alignment horizontal="centerContinuous" vertical="center"/>
    </xf>
    <xf numFmtId="0" fontId="47" fillId="2" borderId="29" xfId="0" applyFont="1" applyFill="1" applyBorder="1" applyAlignment="1">
      <alignment horizontal="centerContinuous"/>
    </xf>
    <xf numFmtId="0" fontId="20" fillId="2" borderId="29" xfId="0" applyFont="1" applyFill="1" applyBorder="1" applyAlignment="1">
      <alignment horizontal="centerContinuous"/>
    </xf>
    <xf numFmtId="0" fontId="20" fillId="2" borderId="31" xfId="0" applyFont="1" applyFill="1" applyBorder="1" applyAlignment="1">
      <alignment horizontal="centerContinuous"/>
    </xf>
    <xf numFmtId="17" fontId="56" fillId="12" borderId="0" xfId="3" applyNumberFormat="1" applyFont="1" applyFill="1" applyBorder="1" applyAlignment="1">
      <alignment horizontal="center"/>
    </xf>
    <xf numFmtId="0" fontId="57" fillId="14" borderId="3" xfId="0" applyFont="1" applyFill="1" applyBorder="1"/>
    <xf numFmtId="0" fontId="58" fillId="14" borderId="29" xfId="0" applyFont="1" applyFill="1" applyBorder="1"/>
    <xf numFmtId="0" fontId="20" fillId="14" borderId="29" xfId="0" applyFont="1" applyFill="1" applyBorder="1"/>
    <xf numFmtId="0" fontId="20" fillId="14" borderId="31" xfId="0" applyFont="1" applyFill="1" applyBorder="1"/>
    <xf numFmtId="0" fontId="47" fillId="12" borderId="0" xfId="0" applyFont="1" applyFill="1" applyBorder="1"/>
    <xf numFmtId="169" fontId="56" fillId="12" borderId="0" xfId="0" applyNumberFormat="1" applyFont="1" applyFill="1" applyBorder="1" applyAlignment="1">
      <alignment horizontal="center"/>
    </xf>
    <xf numFmtId="0" fontId="59" fillId="2" borderId="4" xfId="0" applyFont="1" applyFill="1" applyBorder="1" applyAlignment="1">
      <alignment horizontal="centerContinuous"/>
    </xf>
    <xf numFmtId="0" fontId="59" fillId="2" borderId="5" xfId="0" applyFont="1" applyFill="1" applyBorder="1" applyAlignment="1">
      <alignment horizontal="centerContinuous"/>
    </xf>
    <xf numFmtId="0" fontId="55" fillId="2" borderId="5" xfId="0" applyFont="1" applyFill="1" applyBorder="1" applyAlignment="1">
      <alignment horizontal="centerContinuous"/>
    </xf>
    <xf numFmtId="0" fontId="55" fillId="2" borderId="46" xfId="0" applyFont="1" applyFill="1" applyBorder="1" applyAlignment="1">
      <alignment horizontal="centerContinuous"/>
    </xf>
    <xf numFmtId="0" fontId="36" fillId="2" borderId="8" xfId="0" applyFont="1" applyFill="1" applyBorder="1" applyAlignment="1">
      <alignment horizontal="center"/>
    </xf>
    <xf numFmtId="0" fontId="51" fillId="12" borderId="0" xfId="0" applyFont="1" applyFill="1" applyBorder="1" applyAlignment="1">
      <alignment horizontal="center"/>
    </xf>
    <xf numFmtId="0" fontId="56" fillId="12" borderId="0" xfId="3" applyFont="1" applyFill="1" applyBorder="1" applyAlignment="1">
      <alignment horizontal="right" vertical="top"/>
    </xf>
    <xf numFmtId="169" fontId="51" fillId="12" borderId="0" xfId="3" applyNumberFormat="1" applyFont="1" applyFill="1" applyBorder="1" applyAlignment="1">
      <alignment horizontal="right"/>
    </xf>
    <xf numFmtId="168" fontId="47" fillId="12" borderId="0" xfId="1" applyNumberFormat="1" applyFont="1" applyFill="1"/>
    <xf numFmtId="0" fontId="36" fillId="2" borderId="42" xfId="0" applyFont="1" applyFill="1" applyBorder="1" applyAlignment="1">
      <alignment horizontal="center"/>
    </xf>
    <xf numFmtId="0" fontId="36" fillId="2" borderId="37" xfId="0" applyFont="1" applyFill="1" applyBorder="1" applyAlignment="1">
      <alignment horizontal="center"/>
    </xf>
    <xf numFmtId="0" fontId="36" fillId="2" borderId="43" xfId="0" applyFont="1" applyFill="1" applyBorder="1" applyAlignment="1">
      <alignment horizontal="center"/>
    </xf>
    <xf numFmtId="0" fontId="23" fillId="14" borderId="17" xfId="3" applyFont="1" applyFill="1" applyBorder="1" applyAlignment="1">
      <alignment horizontal="center"/>
    </xf>
    <xf numFmtId="17" fontId="23" fillId="14" borderId="8" xfId="3" applyNumberFormat="1" applyFont="1" applyFill="1" applyBorder="1" applyAlignment="1">
      <alignment horizontal="center"/>
    </xf>
    <xf numFmtId="17" fontId="23" fillId="14" borderId="36" xfId="3" applyNumberFormat="1" applyFont="1" applyFill="1" applyBorder="1" applyAlignment="1">
      <alignment horizontal="center"/>
    </xf>
    <xf numFmtId="17" fontId="23" fillId="12" borderId="0" xfId="3" applyNumberFormat="1" applyFont="1" applyFill="1" applyBorder="1" applyAlignment="1">
      <alignment horizontal="center"/>
    </xf>
    <xf numFmtId="0" fontId="20" fillId="14" borderId="32" xfId="0" applyFont="1" applyFill="1" applyBorder="1" applyAlignment="1">
      <alignment horizontal="center"/>
    </xf>
    <xf numFmtId="37" fontId="20" fillId="14" borderId="25" xfId="0" applyNumberFormat="1" applyFont="1" applyFill="1" applyBorder="1" applyAlignment="1">
      <alignment horizontal="center"/>
    </xf>
    <xf numFmtId="6" fontId="20" fillId="14" borderId="25" xfId="0" applyNumberFormat="1" applyFont="1" applyFill="1" applyBorder="1" applyAlignment="1">
      <alignment horizontal="center"/>
    </xf>
    <xf numFmtId="14" fontId="20" fillId="14" borderId="34" xfId="0" applyNumberFormat="1" applyFont="1" applyFill="1" applyBorder="1" applyAlignment="1">
      <alignment horizontal="center"/>
    </xf>
    <xf numFmtId="0" fontId="19" fillId="14" borderId="17" xfId="3" applyFont="1" applyFill="1" applyBorder="1" applyAlignment="1">
      <alignment horizontal="left" vertical="top"/>
    </xf>
    <xf numFmtId="0" fontId="19" fillId="12" borderId="0" xfId="0" applyFont="1" applyFill="1" applyAlignment="1">
      <alignment horizontal="center"/>
    </xf>
    <xf numFmtId="8" fontId="51" fillId="12" borderId="0" xfId="3" applyNumberFormat="1" applyFont="1" applyFill="1" applyBorder="1" applyAlignment="1">
      <alignment horizontal="right"/>
    </xf>
    <xf numFmtId="0" fontId="61" fillId="12" borderId="0" xfId="0" applyFont="1" applyFill="1"/>
    <xf numFmtId="181" fontId="20" fillId="12" borderId="0" xfId="0" applyNumberFormat="1" applyFont="1" applyFill="1" applyAlignment="1">
      <alignment horizontal="center"/>
    </xf>
    <xf numFmtId="0" fontId="62" fillId="14" borderId="21" xfId="0" applyFont="1" applyFill="1" applyBorder="1" applyAlignment="1">
      <alignment horizontal="center"/>
    </xf>
    <xf numFmtId="37" fontId="62" fillId="14" borderId="22" xfId="0" quotePrefix="1" applyNumberFormat="1" applyFont="1" applyFill="1" applyBorder="1" applyAlignment="1">
      <alignment horizontal="center"/>
    </xf>
    <xf numFmtId="8" fontId="62" fillId="14" borderId="22" xfId="0" quotePrefix="1" applyNumberFormat="1" applyFont="1" applyFill="1" applyBorder="1" applyAlignment="1">
      <alignment horizontal="center"/>
    </xf>
    <xf numFmtId="6" fontId="62" fillId="14" borderId="22" xfId="0" applyNumberFormat="1" applyFont="1" applyFill="1" applyBorder="1" applyAlignment="1">
      <alignment horizontal="center"/>
    </xf>
    <xf numFmtId="0" fontId="20" fillId="14" borderId="27" xfId="0" quotePrefix="1" applyFont="1" applyFill="1" applyBorder="1" applyAlignment="1">
      <alignment horizontal="center"/>
    </xf>
    <xf numFmtId="0" fontId="62" fillId="12" borderId="0" xfId="0" applyFont="1" applyFill="1" applyBorder="1" applyAlignment="1">
      <alignment horizontal="center"/>
    </xf>
    <xf numFmtId="37" fontId="62" fillId="12" borderId="0" xfId="0" quotePrefix="1" applyNumberFormat="1" applyFont="1" applyFill="1" applyBorder="1" applyAlignment="1">
      <alignment horizontal="center"/>
    </xf>
    <xf numFmtId="8" fontId="62" fillId="12" borderId="0" xfId="0" quotePrefix="1" applyNumberFormat="1" applyFont="1" applyFill="1" applyBorder="1" applyAlignment="1">
      <alignment horizontal="center"/>
    </xf>
    <xf numFmtId="6" fontId="62" fillId="12" borderId="0" xfId="0" applyNumberFormat="1" applyFont="1" applyFill="1" applyBorder="1" applyAlignment="1">
      <alignment horizontal="center"/>
    </xf>
    <xf numFmtId="10" fontId="62" fillId="12" borderId="0" xfId="0" quotePrefix="1" applyNumberFormat="1" applyFont="1" applyFill="1" applyBorder="1" applyAlignment="1">
      <alignment horizontal="center"/>
    </xf>
    <xf numFmtId="0" fontId="20" fillId="12" borderId="0" xfId="0" quotePrefix="1" applyFont="1" applyFill="1" applyBorder="1" applyAlignment="1">
      <alignment horizontal="center"/>
    </xf>
    <xf numFmtId="0" fontId="46" fillId="14" borderId="3" xfId="0" applyFont="1" applyFill="1" applyBorder="1"/>
    <xf numFmtId="0" fontId="63" fillId="14" borderId="29" xfId="0" applyFont="1" applyFill="1" applyBorder="1"/>
    <xf numFmtId="10" fontId="63" fillId="14" borderId="31" xfId="0" applyNumberFormat="1" applyFont="1" applyFill="1" applyBorder="1"/>
    <xf numFmtId="17" fontId="51" fillId="12" borderId="0" xfId="0" applyNumberFormat="1" applyFont="1" applyFill="1"/>
    <xf numFmtId="8" fontId="20" fillId="12" borderId="0" xfId="0" applyNumberFormat="1" applyFont="1" applyFill="1"/>
    <xf numFmtId="0" fontId="64" fillId="12" borderId="0" xfId="0" applyFont="1" applyFill="1"/>
    <xf numFmtId="0" fontId="55" fillId="2" borderId="8" xfId="0" applyFont="1" applyFill="1" applyBorder="1"/>
    <xf numFmtId="0" fontId="65" fillId="12" borderId="0" xfId="0" applyFont="1" applyFill="1" applyBorder="1" applyAlignment="1">
      <alignment horizontal="centerContinuous"/>
    </xf>
    <xf numFmtId="0" fontId="20" fillId="12" borderId="0" xfId="0" applyFont="1" applyFill="1" applyBorder="1" applyAlignment="1">
      <alignment horizontal="centerContinuous"/>
    </xf>
    <xf numFmtId="0" fontId="66" fillId="12" borderId="0" xfId="0" applyFont="1" applyFill="1" applyBorder="1" applyAlignment="1">
      <alignment horizontal="centerContinuous"/>
    </xf>
    <xf numFmtId="14" fontId="47" fillId="12" borderId="0" xfId="0" applyNumberFormat="1" applyFont="1" applyFill="1"/>
    <xf numFmtId="14" fontId="19" fillId="12" borderId="0" xfId="0" applyNumberFormat="1" applyFont="1" applyFill="1" applyBorder="1"/>
    <xf numFmtId="0" fontId="20" fillId="12" borderId="0" xfId="0" applyFont="1" applyFill="1" applyBorder="1" applyAlignment="1">
      <alignment horizontal="center" vertical="top"/>
    </xf>
    <xf numFmtId="17" fontId="20" fillId="12" borderId="0" xfId="0" applyNumberFormat="1" applyFont="1" applyFill="1"/>
    <xf numFmtId="169" fontId="20" fillId="14" borderId="36" xfId="0" applyNumberFormat="1" applyFont="1" applyFill="1" applyBorder="1"/>
    <xf numFmtId="169" fontId="19" fillId="12" borderId="0" xfId="0" applyNumberFormat="1" applyFont="1" applyFill="1" applyBorder="1"/>
    <xf numFmtId="0" fontId="68" fillId="12" borderId="0" xfId="0" applyFont="1" applyFill="1"/>
    <xf numFmtId="176" fontId="20" fillId="14" borderId="36" xfId="0" applyNumberFormat="1" applyFont="1" applyFill="1" applyBorder="1"/>
    <xf numFmtId="0" fontId="69" fillId="12" borderId="0" xfId="0" applyFont="1" applyFill="1"/>
    <xf numFmtId="9" fontId="20" fillId="14" borderId="36" xfId="0" applyNumberFormat="1" applyFont="1" applyFill="1" applyBorder="1"/>
    <xf numFmtId="9" fontId="19" fillId="12" borderId="0" xfId="0" applyNumberFormat="1" applyFont="1" applyFill="1" applyBorder="1"/>
    <xf numFmtId="0" fontId="50" fillId="14" borderId="21" xfId="0" applyFont="1" applyFill="1" applyBorder="1"/>
    <xf numFmtId="9" fontId="20" fillId="14" borderId="27" xfId="0" applyNumberFormat="1" applyFont="1" applyFill="1" applyBorder="1"/>
    <xf numFmtId="9" fontId="20" fillId="12" borderId="0" xfId="0" applyNumberFormat="1" applyFont="1" applyFill="1"/>
    <xf numFmtId="0" fontId="36" fillId="12" borderId="0" xfId="0" applyFont="1" applyFill="1" applyBorder="1"/>
    <xf numFmtId="9" fontId="55" fillId="12" borderId="0" xfId="0" applyNumberFormat="1" applyFont="1" applyFill="1" applyBorder="1"/>
    <xf numFmtId="8" fontId="19" fillId="12" borderId="0" xfId="0" applyNumberFormat="1" applyFont="1" applyFill="1" applyBorder="1"/>
    <xf numFmtId="0" fontId="36" fillId="2" borderId="7" xfId="3" applyFont="1" applyFill="1" applyBorder="1" applyAlignment="1">
      <alignment horizontal="center"/>
    </xf>
    <xf numFmtId="17" fontId="36" fillId="2" borderId="12" xfId="3" applyNumberFormat="1" applyFont="1" applyFill="1" applyBorder="1" applyAlignment="1">
      <alignment horizontal="center"/>
    </xf>
    <xf numFmtId="17" fontId="36" fillId="2" borderId="13" xfId="3" applyNumberFormat="1" applyFont="1" applyFill="1" applyBorder="1" applyAlignment="1">
      <alignment horizontal="center"/>
    </xf>
    <xf numFmtId="6" fontId="19" fillId="12" borderId="0" xfId="0" applyNumberFormat="1" applyFont="1" applyFill="1" applyBorder="1"/>
    <xf numFmtId="182" fontId="19" fillId="12" borderId="0" xfId="0" applyNumberFormat="1" applyFont="1" applyFill="1" applyBorder="1"/>
    <xf numFmtId="177" fontId="19" fillId="12" borderId="0" xfId="0" applyNumberFormat="1" applyFont="1" applyFill="1" applyBorder="1" applyAlignment="1">
      <alignment horizontal="right"/>
    </xf>
    <xf numFmtId="169" fontId="20" fillId="14" borderId="27" xfId="0" applyNumberFormat="1" applyFont="1" applyFill="1" applyBorder="1"/>
    <xf numFmtId="0" fontId="36" fillId="7" borderId="17" xfId="0" applyFont="1" applyFill="1" applyBorder="1"/>
    <xf numFmtId="8" fontId="20" fillId="14" borderId="36" xfId="0" applyNumberFormat="1" applyFont="1" applyFill="1" applyBorder="1"/>
    <xf numFmtId="0" fontId="23" fillId="12" borderId="0" xfId="0" applyFont="1" applyFill="1" applyBorder="1"/>
    <xf numFmtId="8" fontId="47" fillId="12" borderId="0" xfId="0" applyNumberFormat="1" applyFont="1" applyFill="1" applyBorder="1"/>
    <xf numFmtId="10" fontId="20" fillId="14" borderId="36" xfId="0" applyNumberFormat="1" applyFont="1" applyFill="1" applyBorder="1"/>
    <xf numFmtId="0" fontId="36" fillId="7" borderId="21" xfId="0" applyFont="1" applyFill="1" applyBorder="1"/>
    <xf numFmtId="0" fontId="20" fillId="14" borderId="27" xfId="0" applyFont="1" applyFill="1" applyBorder="1" applyAlignment="1">
      <alignment horizontal="right"/>
    </xf>
    <xf numFmtId="0" fontId="70" fillId="12" borderId="0" xfId="0" applyFont="1" applyFill="1" applyAlignment="1">
      <alignment horizontal="left"/>
    </xf>
    <xf numFmtId="43" fontId="20" fillId="14" borderId="36" xfId="1" applyNumberFormat="1" applyFont="1" applyFill="1" applyBorder="1"/>
    <xf numFmtId="43" fontId="19" fillId="12" borderId="0" xfId="1" applyNumberFormat="1" applyFont="1" applyFill="1" applyBorder="1"/>
    <xf numFmtId="43" fontId="20" fillId="14" borderId="27" xfId="1" applyNumberFormat="1" applyFont="1" applyFill="1" applyBorder="1"/>
    <xf numFmtId="9" fontId="19" fillId="12" borderId="0" xfId="1" applyNumberFormat="1" applyFont="1" applyFill="1" applyBorder="1"/>
    <xf numFmtId="9" fontId="20" fillId="14" borderId="22" xfId="1" applyNumberFormat="1" applyFont="1" applyFill="1" applyBorder="1"/>
    <xf numFmtId="9" fontId="20" fillId="14" borderId="27" xfId="1" applyNumberFormat="1" applyFont="1" applyFill="1" applyBorder="1"/>
    <xf numFmtId="0" fontId="23" fillId="14" borderId="21" xfId="3" applyFont="1" applyFill="1" applyBorder="1" applyAlignment="1">
      <alignment horizontal="left" vertical="top"/>
    </xf>
    <xf numFmtId="183" fontId="20" fillId="12" borderId="0" xfId="0" applyNumberFormat="1" applyFont="1" applyFill="1"/>
    <xf numFmtId="183" fontId="19" fillId="12" borderId="0" xfId="0" applyNumberFormat="1" applyFont="1" applyFill="1" applyBorder="1"/>
    <xf numFmtId="0" fontId="23" fillId="12" borderId="0" xfId="3" applyFont="1" applyFill="1" applyBorder="1" applyAlignment="1">
      <alignment horizontal="left" vertical="top"/>
    </xf>
    <xf numFmtId="169" fontId="20" fillId="12" borderId="0" xfId="0" applyNumberFormat="1" applyFont="1" applyFill="1" applyBorder="1"/>
    <xf numFmtId="0" fontId="23" fillId="12" borderId="0" xfId="0" applyFont="1" applyFill="1"/>
    <xf numFmtId="168" fontId="20" fillId="12" borderId="36" xfId="1" applyNumberFormat="1" applyFont="1" applyFill="1" applyBorder="1"/>
    <xf numFmtId="168" fontId="19" fillId="12" borderId="0" xfId="1" applyNumberFormat="1" applyFont="1" applyFill="1" applyBorder="1"/>
    <xf numFmtId="168" fontId="19" fillId="12" borderId="0" xfId="0" applyNumberFormat="1" applyFont="1" applyFill="1" applyBorder="1"/>
    <xf numFmtId="168" fontId="20" fillId="14" borderId="36" xfId="1" applyNumberFormat="1" applyFont="1" applyFill="1" applyBorder="1"/>
    <xf numFmtId="178" fontId="20" fillId="14" borderId="36" xfId="0" applyNumberFormat="1" applyFont="1" applyFill="1" applyBorder="1" applyAlignment="1">
      <alignment horizontal="right"/>
    </xf>
    <xf numFmtId="178" fontId="19" fillId="12" borderId="0" xfId="0" applyNumberFormat="1" applyFont="1" applyFill="1" applyBorder="1" applyAlignment="1">
      <alignment horizontal="right"/>
    </xf>
    <xf numFmtId="1" fontId="20" fillId="14" borderId="36" xfId="0" applyNumberFormat="1" applyFont="1" applyFill="1" applyBorder="1" applyAlignment="1">
      <alignment horizontal="right"/>
    </xf>
    <xf numFmtId="1" fontId="19" fillId="12" borderId="0" xfId="0" applyNumberFormat="1" applyFont="1" applyFill="1" applyBorder="1" applyAlignment="1">
      <alignment horizontal="right"/>
    </xf>
    <xf numFmtId="38" fontId="20" fillId="14" borderId="36" xfId="0" applyNumberFormat="1" applyFont="1" applyFill="1" applyBorder="1"/>
    <xf numFmtId="38" fontId="20" fillId="14" borderId="27" xfId="0" applyNumberFormat="1" applyFont="1" applyFill="1" applyBorder="1"/>
    <xf numFmtId="0" fontId="71" fillId="0" borderId="0" xfId="0" applyFont="1" applyBorder="1" applyAlignment="1">
      <alignment horizontal="right"/>
    </xf>
    <xf numFmtId="0" fontId="71" fillId="0" borderId="0" xfId="0" applyFont="1" applyBorder="1" applyAlignment="1"/>
    <xf numFmtId="0" fontId="71" fillId="0" borderId="23" xfId="0" applyFont="1" applyBorder="1" applyAlignment="1"/>
    <xf numFmtId="0" fontId="72" fillId="0" borderId="0" xfId="0" applyFont="1" applyAlignment="1"/>
    <xf numFmtId="168" fontId="72" fillId="0" borderId="0" xfId="1" applyNumberFormat="1" applyFont="1" applyAlignment="1"/>
    <xf numFmtId="0" fontId="72" fillId="0" borderId="23" xfId="0" applyFont="1" applyBorder="1" applyAlignment="1"/>
    <xf numFmtId="0" fontId="71" fillId="0" borderId="0" xfId="0" applyFont="1" applyAlignment="1"/>
    <xf numFmtId="0" fontId="73" fillId="17" borderId="0" xfId="0" applyFont="1" applyFill="1" applyBorder="1" applyAlignment="1">
      <alignment horizontal="center" vertical="top"/>
    </xf>
    <xf numFmtId="0" fontId="73" fillId="17" borderId="59" xfId="0" applyFont="1" applyFill="1" applyBorder="1" applyAlignment="1">
      <alignment horizontal="center" vertical="top"/>
    </xf>
    <xf numFmtId="37" fontId="72" fillId="14" borderId="0" xfId="0" applyNumberFormat="1" applyFont="1" applyFill="1" applyBorder="1" applyAlignment="1">
      <alignment horizontal="right"/>
    </xf>
    <xf numFmtId="186" fontId="72" fillId="14" borderId="0" xfId="0" applyNumberFormat="1" applyFont="1" applyFill="1" applyBorder="1" applyAlignment="1">
      <alignment horizontal="right"/>
    </xf>
    <xf numFmtId="168" fontId="72" fillId="14" borderId="59" xfId="1" applyNumberFormat="1" applyFont="1" applyFill="1" applyBorder="1" applyAlignment="1">
      <alignment horizontal="right" vertical="top"/>
    </xf>
    <xf numFmtId="168" fontId="72" fillId="14" borderId="0" xfId="1" applyNumberFormat="1" applyFont="1" applyFill="1" applyBorder="1" applyAlignment="1">
      <alignment horizontal="right" vertical="top"/>
    </xf>
    <xf numFmtId="185" fontId="72" fillId="14" borderId="0" xfId="2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/>
    </xf>
    <xf numFmtId="185" fontId="72" fillId="14" borderId="59" xfId="0" applyNumberFormat="1" applyFont="1" applyFill="1" applyBorder="1" applyAlignment="1">
      <alignment horizontal="right" vertical="top"/>
    </xf>
    <xf numFmtId="185" fontId="72" fillId="14" borderId="0" xfId="0" applyNumberFormat="1" applyFont="1" applyFill="1" applyBorder="1" applyAlignment="1">
      <alignment horizontal="right" vertical="top"/>
    </xf>
    <xf numFmtId="185" fontId="72" fillId="14" borderId="24" xfId="2" applyNumberFormat="1" applyFont="1" applyFill="1" applyBorder="1" applyAlignment="1">
      <alignment horizontal="right" vertical="top"/>
    </xf>
    <xf numFmtId="185" fontId="72" fillId="14" borderId="24" xfId="0" applyNumberFormat="1" applyFont="1" applyFill="1" applyBorder="1" applyAlignment="1">
      <alignment horizontal="right"/>
    </xf>
    <xf numFmtId="185" fontId="72" fillId="14" borderId="45" xfId="2" applyNumberFormat="1" applyFont="1" applyFill="1" applyBorder="1" applyAlignment="1">
      <alignment horizontal="right" vertical="top"/>
    </xf>
    <xf numFmtId="187" fontId="72" fillId="14" borderId="0" xfId="0" applyNumberFormat="1" applyFont="1" applyFill="1" applyBorder="1" applyAlignment="1">
      <alignment horizontal="right"/>
    </xf>
    <xf numFmtId="187" fontId="72" fillId="14" borderId="59" xfId="0" applyNumberFormat="1" applyFont="1" applyFill="1" applyBorder="1" applyAlignment="1">
      <alignment horizontal="right"/>
    </xf>
    <xf numFmtId="0" fontId="72" fillId="14" borderId="0" xfId="0" applyFont="1" applyFill="1" applyBorder="1" applyAlignment="1">
      <alignment horizontal="right" vertical="top"/>
    </xf>
    <xf numFmtId="0" fontId="72" fillId="14" borderId="59" xfId="0" applyFont="1" applyFill="1" applyBorder="1" applyAlignment="1">
      <alignment horizontal="right" vertical="top"/>
    </xf>
    <xf numFmtId="0" fontId="71" fillId="14" borderId="24" xfId="0" applyFont="1" applyFill="1" applyBorder="1" applyAlignment="1"/>
    <xf numFmtId="0" fontId="71" fillId="14" borderId="45" xfId="0" applyFont="1" applyFill="1" applyBorder="1" applyAlignment="1"/>
    <xf numFmtId="0" fontId="71" fillId="14" borderId="0" xfId="0" applyFont="1" applyFill="1" applyBorder="1" applyAlignment="1"/>
    <xf numFmtId="37" fontId="72" fillId="14" borderId="0" xfId="0" applyNumberFormat="1" applyFont="1" applyFill="1" applyBorder="1" applyAlignment="1">
      <alignment horizontal="right" vertical="top"/>
    </xf>
    <xf numFmtId="37" fontId="72" fillId="14" borderId="59" xfId="0" applyNumberFormat="1" applyFont="1" applyFill="1" applyBorder="1" applyAlignment="1">
      <alignment horizontal="right" vertical="top"/>
    </xf>
    <xf numFmtId="0" fontId="71" fillId="14" borderId="59" xfId="0" applyFont="1" applyFill="1" applyBorder="1" applyAlignment="1"/>
    <xf numFmtId="0" fontId="71" fillId="14" borderId="65" xfId="0" applyFont="1" applyFill="1" applyBorder="1" applyAlignment="1"/>
    <xf numFmtId="0" fontId="71" fillId="14" borderId="68" xfId="0" applyFont="1" applyFill="1" applyBorder="1" applyAlignment="1"/>
    <xf numFmtId="38" fontId="71" fillId="0" borderId="0" xfId="0" applyNumberFormat="1" applyFont="1" applyAlignment="1">
      <alignment horizontal="right"/>
    </xf>
    <xf numFmtId="0" fontId="71" fillId="0" borderId="0" xfId="0" applyFont="1" applyAlignment="1">
      <alignment horizontal="right"/>
    </xf>
    <xf numFmtId="170" fontId="0" fillId="0" borderId="0" xfId="0" applyNumberFormat="1"/>
    <xf numFmtId="170" fontId="0" fillId="0" borderId="0" xfId="0" applyNumberFormat="1" applyFill="1"/>
    <xf numFmtId="0" fontId="23" fillId="0" borderId="0" xfId="0" applyFont="1" applyFill="1" applyBorder="1" applyProtection="1"/>
    <xf numFmtId="168" fontId="19" fillId="0" borderId="0" xfId="8" applyNumberFormat="1" applyFont="1" applyFill="1" applyBorder="1" applyProtection="1"/>
    <xf numFmtId="168" fontId="23" fillId="0" borderId="0" xfId="8" applyNumberFormat="1" applyFont="1" applyFill="1" applyBorder="1" applyProtection="1"/>
    <xf numFmtId="17" fontId="36" fillId="2" borderId="0" xfId="0" applyNumberFormat="1" applyFont="1" applyFill="1" applyBorder="1" applyAlignment="1" applyProtection="1">
      <alignment horizontal="center"/>
    </xf>
    <xf numFmtId="17" fontId="36" fillId="2" borderId="0" xfId="0" applyNumberFormat="1" applyFont="1" applyFill="1" applyBorder="1" applyAlignment="1" applyProtection="1">
      <alignment horizontal="center"/>
      <protection locked="0"/>
    </xf>
    <xf numFmtId="0" fontId="4" fillId="20" borderId="65" xfId="0" applyFont="1" applyFill="1" applyBorder="1" applyAlignment="1">
      <alignment horizontal="center"/>
    </xf>
    <xf numFmtId="0" fontId="4" fillId="20" borderId="65" xfId="0" applyFont="1" applyFill="1" applyBorder="1" applyAlignment="1"/>
    <xf numFmtId="0" fontId="76" fillId="0" borderId="0" xfId="0" applyFont="1" applyAlignment="1"/>
    <xf numFmtId="0" fontId="75" fillId="2" borderId="0" xfId="0" applyFont="1" applyFill="1" applyAlignment="1"/>
    <xf numFmtId="0" fontId="75" fillId="2" borderId="0" xfId="0" applyFont="1" applyFill="1" applyAlignment="1">
      <alignment horizontal="center"/>
    </xf>
    <xf numFmtId="0" fontId="77" fillId="2" borderId="0" xfId="0" applyFont="1" applyFill="1" applyBorder="1" applyAlignment="1" applyProtection="1">
      <alignment horizontal="left"/>
    </xf>
    <xf numFmtId="1" fontId="77" fillId="2" borderId="0" xfId="0" applyNumberFormat="1" applyFont="1" applyFill="1" applyBorder="1" applyAlignment="1" applyProtection="1">
      <alignment horizontal="center"/>
      <protection locked="0"/>
    </xf>
    <xf numFmtId="17" fontId="77" fillId="2" borderId="0" xfId="0" applyNumberFormat="1" applyFont="1" applyFill="1" applyBorder="1" applyAlignment="1" applyProtection="1">
      <alignment horizontal="center"/>
    </xf>
    <xf numFmtId="0" fontId="78" fillId="0" borderId="0" xfId="0" applyFont="1" applyFill="1" applyBorder="1" applyProtection="1"/>
    <xf numFmtId="0" fontId="79" fillId="0" borderId="0" xfId="0" applyFont="1" applyFill="1" applyBorder="1" applyProtection="1"/>
    <xf numFmtId="168" fontId="79" fillId="0" borderId="0" xfId="8" applyNumberFormat="1" applyFont="1" applyFill="1" applyBorder="1" applyProtection="1"/>
    <xf numFmtId="0" fontId="80" fillId="0" borderId="0" xfId="0" applyFont="1" applyFill="1" applyBorder="1" applyProtection="1"/>
    <xf numFmtId="168" fontId="78" fillId="0" borderId="0" xfId="8" applyNumberFormat="1" applyFont="1" applyFill="1" applyBorder="1" applyProtection="1"/>
    <xf numFmtId="0" fontId="79" fillId="0" borderId="0" xfId="0" applyFont="1" applyFill="1" applyBorder="1" applyAlignment="1" applyProtection="1">
      <alignment horizontal="left"/>
    </xf>
    <xf numFmtId="168" fontId="81" fillId="0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Alignment="1" applyProtection="1">
      <alignment horizontal="right"/>
    </xf>
    <xf numFmtId="10" fontId="81" fillId="0" borderId="0" xfId="700" applyNumberFormat="1" applyFont="1" applyFill="1" applyBorder="1" applyProtection="1"/>
    <xf numFmtId="0" fontId="78" fillId="0" borderId="0" xfId="0" applyFont="1" applyFill="1" applyBorder="1" applyAlignment="1" applyProtection="1">
      <alignment horizontal="left"/>
    </xf>
    <xf numFmtId="0" fontId="78" fillId="11" borderId="0" xfId="0" applyFont="1" applyFill="1" applyBorder="1" applyProtection="1"/>
    <xf numFmtId="0" fontId="80" fillId="0" borderId="0" xfId="0" applyFont="1" applyFill="1" applyBorder="1" applyAlignment="1" applyProtection="1">
      <alignment horizontal="left" indent="1"/>
    </xf>
    <xf numFmtId="1" fontId="77" fillId="2" borderId="0" xfId="0" applyNumberFormat="1" applyFont="1" applyFill="1" applyBorder="1" applyAlignment="1" applyProtection="1">
      <alignment horizontal="left"/>
      <protection locked="0"/>
    </xf>
    <xf numFmtId="168" fontId="79" fillId="0" borderId="0" xfId="8" applyNumberFormat="1" applyFont="1" applyFill="1" applyBorder="1" applyAlignment="1" applyProtection="1">
      <alignment horizontal="left"/>
    </xf>
    <xf numFmtId="168" fontId="78" fillId="14" borderId="0" xfId="8" applyNumberFormat="1" applyFont="1" applyFill="1" applyBorder="1" applyAlignment="1" applyProtection="1">
      <alignment horizontal="left"/>
    </xf>
    <xf numFmtId="9" fontId="81" fillId="0" borderId="0" xfId="700" applyFont="1" applyFill="1" applyBorder="1" applyProtection="1"/>
    <xf numFmtId="168" fontId="78" fillId="14" borderId="0" xfId="8" applyNumberFormat="1" applyFont="1" applyFill="1" applyBorder="1" applyProtection="1"/>
    <xf numFmtId="168" fontId="82" fillId="0" borderId="0" xfId="8" applyNumberFormat="1" applyFont="1" applyFill="1" applyBorder="1" applyProtection="1"/>
    <xf numFmtId="168" fontId="79" fillId="0" borderId="0" xfId="7" applyNumberFormat="1" applyFont="1" applyFill="1" applyBorder="1" applyAlignment="1" applyProtection="1">
      <alignment horizontal="left" indent="1"/>
    </xf>
    <xf numFmtId="168" fontId="80" fillId="0" borderId="0" xfId="8" applyNumberFormat="1" applyFont="1" applyFill="1" applyBorder="1" applyAlignment="1" applyProtection="1">
      <alignment horizontal="left"/>
    </xf>
    <xf numFmtId="9" fontId="80" fillId="0" borderId="0" xfId="700" applyFont="1" applyFill="1" applyBorder="1" applyProtection="1"/>
    <xf numFmtId="168" fontId="78" fillId="10" borderId="0" xfId="8" applyNumberFormat="1" applyFont="1" applyFill="1" applyBorder="1" applyProtection="1"/>
    <xf numFmtId="0" fontId="20" fillId="0" borderId="0" xfId="0" applyFont="1" applyAlignment="1">
      <alignment horizontal="left"/>
    </xf>
    <xf numFmtId="0" fontId="20" fillId="0" borderId="0" xfId="0" applyFont="1"/>
    <xf numFmtId="0" fontId="20" fillId="0" borderId="0" xfId="0" applyFont="1" applyAlignment="1">
      <alignment horizontal="center"/>
    </xf>
    <xf numFmtId="0" fontId="23" fillId="0" borderId="0" xfId="0" applyFont="1"/>
    <xf numFmtId="0" fontId="83" fillId="0" borderId="0" xfId="0" applyFont="1"/>
    <xf numFmtId="0" fontId="50" fillId="0" borderId="0" xfId="0" applyFont="1" applyAlignment="1">
      <alignment horizontal="center"/>
    </xf>
    <xf numFmtId="0" fontId="36" fillId="2" borderId="0" xfId="0" applyFont="1" applyFill="1"/>
    <xf numFmtId="0" fontId="36" fillId="2" borderId="0" xfId="0" applyFont="1" applyFill="1" applyAlignment="1">
      <alignment horizontal="center"/>
    </xf>
    <xf numFmtId="17" fontId="36" fillId="2" borderId="0" xfId="0" applyNumberFormat="1" applyFont="1" applyFill="1" applyAlignment="1">
      <alignment horizontal="center"/>
    </xf>
    <xf numFmtId="0" fontId="50" fillId="0" borderId="0" xfId="0" applyFont="1"/>
    <xf numFmtId="38" fontId="20" fillId="0" borderId="0" xfId="0" applyNumberFormat="1" applyFont="1" applyAlignment="1">
      <alignment horizontal="center"/>
    </xf>
    <xf numFmtId="188" fontId="20" fillId="0" borderId="0" xfId="0" applyNumberFormat="1" applyFont="1" applyAlignment="1">
      <alignment horizontal="left"/>
    </xf>
    <xf numFmtId="169" fontId="20" fillId="0" borderId="0" xfId="0" applyNumberFormat="1" applyFont="1" applyAlignment="1">
      <alignment horizontal="center"/>
    </xf>
    <xf numFmtId="0" fontId="20" fillId="0" borderId="0" xfId="0" applyFont="1" applyAlignment="1"/>
    <xf numFmtId="182" fontId="20" fillId="0" borderId="0" xfId="0" applyNumberFormat="1" applyFont="1" applyAlignment="1">
      <alignment horizontal="center"/>
    </xf>
    <xf numFmtId="0" fontId="84" fillId="0" borderId="0" xfId="0" applyFont="1" applyAlignment="1">
      <alignment horizontal="left"/>
    </xf>
    <xf numFmtId="0" fontId="0" fillId="0" borderId="5" xfId="0" applyFont="1" applyBorder="1" applyAlignment="1">
      <alignment horizontal="center"/>
    </xf>
    <xf numFmtId="9" fontId="0" fillId="0" borderId="5" xfId="0" applyNumberFormat="1" applyFont="1" applyBorder="1" applyAlignment="1">
      <alignment horizontal="center"/>
    </xf>
    <xf numFmtId="0" fontId="0" fillId="0" borderId="0" xfId="0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0" fillId="18" borderId="0" xfId="0" applyFont="1" applyFill="1" applyAlignment="1">
      <alignment horizontal="center"/>
    </xf>
    <xf numFmtId="9" fontId="0" fillId="18" borderId="0" xfId="0" applyNumberFormat="1" applyFont="1" applyFill="1" applyAlignment="1">
      <alignment horizontal="center"/>
    </xf>
    <xf numFmtId="0" fontId="85" fillId="0" borderId="0" xfId="0" applyFont="1"/>
    <xf numFmtId="0" fontId="85" fillId="0" borderId="0" xfId="0" applyFont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86" fillId="0" borderId="0" xfId="0" applyFont="1"/>
    <xf numFmtId="0" fontId="5" fillId="0" borderId="8" xfId="0" applyFont="1" applyBorder="1"/>
    <xf numFmtId="0" fontId="0" fillId="19" borderId="5" xfId="0" applyFill="1" applyBorder="1" applyAlignment="1"/>
    <xf numFmtId="0" fontId="0" fillId="19" borderId="0" xfId="0" applyFill="1" applyAlignment="1"/>
    <xf numFmtId="0" fontId="0" fillId="18" borderId="0" xfId="0" applyFill="1" applyAlignment="1"/>
    <xf numFmtId="169" fontId="20" fillId="0" borderId="0" xfId="0" applyNumberFormat="1" applyFont="1" applyFill="1" applyAlignment="1">
      <alignment horizontal="center"/>
    </xf>
    <xf numFmtId="0" fontId="12" fillId="0" borderId="0" xfId="0" applyFont="1"/>
    <xf numFmtId="17" fontId="86" fillId="0" borderId="0" xfId="0" applyNumberFormat="1" applyFont="1"/>
    <xf numFmtId="17" fontId="5" fillId="0" borderId="0" xfId="0" applyNumberFormat="1" applyFont="1"/>
    <xf numFmtId="0" fontId="20" fillId="0" borderId="0" xfId="0" applyFont="1" applyFill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0" borderId="0" xfId="0" applyFont="1" applyAlignment="1">
      <alignment horizontal="center"/>
    </xf>
    <xf numFmtId="0" fontId="19" fillId="0" borderId="0" xfId="0" applyFont="1" applyFill="1" applyBorder="1" applyAlignment="1">
      <alignment horizontal="center"/>
    </xf>
    <xf numFmtId="14" fontId="19" fillId="0" borderId="0" xfId="0" applyNumberFormat="1" applyFont="1" applyAlignment="1">
      <alignment horizontal="center"/>
    </xf>
    <xf numFmtId="14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168" fontId="19" fillId="0" borderId="0" xfId="1" applyNumberFormat="1" applyFont="1"/>
    <xf numFmtId="0" fontId="87" fillId="0" borderId="0" xfId="0" applyFont="1"/>
    <xf numFmtId="0" fontId="23" fillId="0" borderId="0" xfId="0" applyFont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36" fillId="0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Fill="1" applyAlignment="1">
      <alignment horizontal="center"/>
    </xf>
    <xf numFmtId="0" fontId="50" fillId="0" borderId="0" xfId="0" applyFont="1" applyAlignment="1">
      <alignment horizontal="right"/>
    </xf>
    <xf numFmtId="0" fontId="50" fillId="0" borderId="0" xfId="0" applyFont="1" applyFill="1" applyBorder="1" applyAlignment="1">
      <alignment horizontal="right"/>
    </xf>
    <xf numFmtId="0" fontId="50" fillId="0" borderId="0" xfId="0" applyFont="1" applyFill="1" applyAlignment="1">
      <alignment horizontal="right"/>
    </xf>
    <xf numFmtId="0" fontId="36" fillId="2" borderId="0" xfId="0" applyFont="1" applyFill="1" applyAlignment="1">
      <alignment horizontal="right"/>
    </xf>
    <xf numFmtId="0" fontId="36" fillId="0" borderId="0" xfId="0" applyFont="1" applyFill="1" applyBorder="1" applyAlignment="1">
      <alignment horizontal="right"/>
    </xf>
    <xf numFmtId="0" fontId="36" fillId="0" borderId="0" xfId="0" applyFont="1" applyFill="1" applyAlignment="1">
      <alignment horizontal="right"/>
    </xf>
    <xf numFmtId="38" fontId="20" fillId="0" borderId="0" xfId="0" applyNumberFormat="1" applyFont="1" applyAlignment="1">
      <alignment horizontal="right"/>
    </xf>
    <xf numFmtId="9" fontId="20" fillId="0" borderId="0" xfId="0" applyNumberFormat="1" applyFont="1" applyAlignment="1">
      <alignment horizontal="center"/>
    </xf>
    <xf numFmtId="0" fontId="20" fillId="0" borderId="0" xfId="0" applyFont="1" applyFill="1" applyBorder="1"/>
    <xf numFmtId="0" fontId="20" fillId="0" borderId="0" xfId="0" applyFont="1" applyFill="1"/>
    <xf numFmtId="1" fontId="77" fillId="0" borderId="0" xfId="0" applyNumberFormat="1" applyFont="1" applyFill="1" applyBorder="1" applyAlignment="1" applyProtection="1">
      <alignment horizontal="center"/>
      <protection locked="0"/>
    </xf>
    <xf numFmtId="17" fontId="77" fillId="0" borderId="0" xfId="0" applyNumberFormat="1" applyFont="1" applyFill="1" applyBorder="1" applyAlignment="1" applyProtection="1">
      <alignment horizontal="center"/>
    </xf>
    <xf numFmtId="0" fontId="85" fillId="0" borderId="0" xfId="0" applyFont="1" applyFill="1" applyBorder="1"/>
    <xf numFmtId="0" fontId="23" fillId="0" borderId="0" xfId="0" applyFont="1" applyFill="1" applyBorder="1" applyAlignment="1" applyProtection="1">
      <alignment horizontal="center"/>
    </xf>
    <xf numFmtId="168" fontId="19" fillId="0" borderId="0" xfId="8" applyNumberFormat="1" applyFont="1" applyFill="1" applyBorder="1" applyAlignment="1" applyProtection="1">
      <alignment horizontal="center"/>
    </xf>
    <xf numFmtId="168" fontId="23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Protection="1"/>
    <xf numFmtId="9" fontId="74" fillId="0" borderId="0" xfId="700" applyFont="1" applyFill="1" applyBorder="1" applyAlignment="1" applyProtection="1">
      <alignment horizontal="center"/>
    </xf>
    <xf numFmtId="9" fontId="24" fillId="0" borderId="0" xfId="700" applyFont="1" applyFill="1" applyBorder="1" applyAlignment="1" applyProtection="1">
      <alignment horizontal="center"/>
    </xf>
    <xf numFmtId="168" fontId="23" fillId="10" borderId="0" xfId="8" applyNumberFormat="1" applyFont="1" applyFill="1" applyBorder="1" applyAlignment="1" applyProtection="1">
      <alignment horizontal="center"/>
    </xf>
    <xf numFmtId="0" fontId="85" fillId="0" borderId="0" xfId="0" applyFont="1" applyFill="1" applyBorder="1" applyAlignment="1">
      <alignment horizontal="center"/>
    </xf>
    <xf numFmtId="0" fontId="85" fillId="0" borderId="0" xfId="0" applyFont="1" applyFill="1" applyAlignment="1">
      <alignment horizontal="center"/>
    </xf>
    <xf numFmtId="168" fontId="23" fillId="11" borderId="0" xfId="8" applyNumberFormat="1" applyFont="1" applyFill="1" applyBorder="1" applyAlignment="1" applyProtection="1">
      <alignment horizontal="center"/>
    </xf>
    <xf numFmtId="168" fontId="20" fillId="0" borderId="0" xfId="1" applyNumberFormat="1" applyFont="1" applyAlignment="1">
      <alignment horizontal="center"/>
    </xf>
    <xf numFmtId="0" fontId="20" fillId="0" borderId="0" xfId="0" applyFont="1" applyBorder="1"/>
    <xf numFmtId="17" fontId="9" fillId="0" borderId="0" xfId="0" applyNumberFormat="1" applyFont="1"/>
    <xf numFmtId="169" fontId="20" fillId="0" borderId="0" xfId="2" applyNumberFormat="1" applyFont="1" applyAlignment="1">
      <alignment horizontal="center"/>
    </xf>
    <xf numFmtId="0" fontId="20" fillId="0" borderId="0" xfId="1" applyNumberFormat="1" applyFont="1"/>
    <xf numFmtId="38" fontId="20" fillId="0" borderId="0" xfId="0" applyNumberFormat="1" applyFont="1"/>
    <xf numFmtId="169" fontId="81" fillId="0" borderId="0" xfId="700" applyNumberFormat="1" applyFont="1" applyFill="1" applyBorder="1" applyAlignment="1" applyProtection="1">
      <alignment horizontal="right"/>
    </xf>
    <xf numFmtId="0" fontId="19" fillId="0" borderId="0" xfId="0" applyFont="1" applyFill="1" applyBorder="1"/>
    <xf numFmtId="0" fontId="87" fillId="0" borderId="0" xfId="0" applyFont="1" applyFill="1" applyBorder="1"/>
    <xf numFmtId="0" fontId="23" fillId="0" borderId="0" xfId="0" applyFont="1" applyFill="1" applyBorder="1"/>
    <xf numFmtId="0" fontId="88" fillId="0" borderId="0" xfId="0" applyFont="1" applyFill="1" applyBorder="1" applyAlignment="1">
      <alignment horizontal="left"/>
    </xf>
    <xf numFmtId="0" fontId="38" fillId="0" borderId="0" xfId="0" applyFont="1" applyFill="1" applyBorder="1" applyAlignment="1"/>
    <xf numFmtId="0" fontId="89" fillId="0" borderId="0" xfId="0" applyFont="1" applyFill="1" applyBorder="1" applyAlignment="1"/>
    <xf numFmtId="189" fontId="20" fillId="0" borderId="0" xfId="0" applyNumberFormat="1" applyFont="1" applyAlignment="1">
      <alignment horizontal="center"/>
    </xf>
    <xf numFmtId="1" fontId="78" fillId="0" borderId="0" xfId="0" applyNumberFormat="1" applyFont="1" applyFill="1" applyBorder="1" applyAlignment="1" applyProtection="1">
      <alignment horizontal="left"/>
      <protection locked="0"/>
    </xf>
    <xf numFmtId="17" fontId="78" fillId="0" borderId="0" xfId="0" applyNumberFormat="1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left"/>
    </xf>
    <xf numFmtId="0" fontId="79" fillId="0" borderId="0" xfId="0" applyFont="1" applyFill="1" applyBorder="1"/>
    <xf numFmtId="168" fontId="77" fillId="2" borderId="0" xfId="0" applyNumberFormat="1" applyFont="1" applyFill="1" applyBorder="1" applyAlignment="1" applyProtection="1">
      <alignment horizontal="center"/>
    </xf>
    <xf numFmtId="22" fontId="19" fillId="12" borderId="0" xfId="0" applyNumberFormat="1" applyFont="1" applyFill="1"/>
    <xf numFmtId="0" fontId="12" fillId="0" borderId="25" xfId="0" applyFont="1" applyBorder="1" applyAlignment="1">
      <alignment horizontal="center"/>
    </xf>
    <xf numFmtId="17" fontId="27" fillId="0" borderId="43" xfId="0" applyNumberFormat="1" applyFont="1" applyFill="1" applyBorder="1" applyAlignment="1">
      <alignment horizontal="center"/>
    </xf>
    <xf numFmtId="0" fontId="86" fillId="0" borderId="0" xfId="0" applyFont="1" applyFill="1" applyBorder="1"/>
    <xf numFmtId="2" fontId="20" fillId="0" borderId="0" xfId="0" applyNumberFormat="1" applyFont="1" applyAlignment="1">
      <alignment horizontal="center"/>
    </xf>
    <xf numFmtId="169" fontId="20" fillId="0" borderId="69" xfId="1" applyNumberFormat="1" applyFont="1" applyBorder="1" applyAlignment="1">
      <alignment horizontal="right"/>
    </xf>
    <xf numFmtId="168" fontId="9" fillId="0" borderId="0" xfId="1" applyNumberFormat="1" applyFont="1"/>
    <xf numFmtId="190" fontId="9" fillId="0" borderId="0" xfId="0" applyNumberFormat="1" applyFont="1" applyAlignment="1">
      <alignment horizontal="right"/>
    </xf>
    <xf numFmtId="0" fontId="90" fillId="0" borderId="0" xfId="0" applyFont="1" applyFill="1"/>
    <xf numFmtId="17" fontId="38" fillId="0" borderId="43" xfId="0" applyNumberFormat="1" applyFont="1" applyFill="1" applyBorder="1" applyAlignment="1">
      <alignment horizontal="center"/>
    </xf>
    <xf numFmtId="17" fontId="3" fillId="2" borderId="3" xfId="0" applyNumberFormat="1" applyFont="1" applyFill="1" applyBorder="1" applyAlignment="1">
      <alignment horizontal="center"/>
    </xf>
    <xf numFmtId="17" fontId="3" fillId="2" borderId="28" xfId="0" applyNumberFormat="1" applyFont="1" applyFill="1" applyBorder="1" applyAlignment="1">
      <alignment horizontal="center"/>
    </xf>
    <xf numFmtId="17" fontId="3" fillId="14" borderId="44" xfId="0" applyNumberFormat="1" applyFont="1" applyFill="1" applyBorder="1" applyAlignment="1">
      <alignment horizontal="center"/>
    </xf>
    <xf numFmtId="17" fontId="3" fillId="14" borderId="25" xfId="0" applyNumberFormat="1" applyFont="1" applyFill="1" applyBorder="1" applyAlignment="1">
      <alignment horizontal="center"/>
    </xf>
    <xf numFmtId="0" fontId="19" fillId="13" borderId="44" xfId="0" applyFont="1" applyFill="1" applyBorder="1" applyProtection="1">
      <protection locked="0"/>
    </xf>
    <xf numFmtId="0" fontId="19" fillId="13" borderId="39" xfId="0" applyFont="1" applyFill="1" applyBorder="1" applyAlignment="1" applyProtection="1">
      <alignment horizontal="left"/>
      <protection locked="0"/>
    </xf>
    <xf numFmtId="168" fontId="19" fillId="13" borderId="39" xfId="7" applyNumberFormat="1" applyFont="1" applyFill="1" applyBorder="1" applyAlignment="1" applyProtection="1">
      <alignment horizontal="left"/>
      <protection locked="0"/>
    </xf>
    <xf numFmtId="168" fontId="23" fillId="10" borderId="39" xfId="7" applyNumberFormat="1" applyFont="1" applyFill="1" applyBorder="1" applyProtection="1">
      <protection locked="0"/>
    </xf>
    <xf numFmtId="168" fontId="23" fillId="10" borderId="35" xfId="7" applyNumberFormat="1" applyFont="1" applyFill="1" applyBorder="1" applyAlignment="1" applyProtection="1">
      <alignment horizontal="right"/>
      <protection locked="0"/>
    </xf>
    <xf numFmtId="168" fontId="24" fillId="0" borderId="39" xfId="7" applyNumberFormat="1" applyFont="1" applyFill="1" applyBorder="1" applyAlignment="1" applyProtection="1">
      <alignment horizontal="left"/>
      <protection locked="0"/>
    </xf>
    <xf numFmtId="9" fontId="25" fillId="0" borderId="8" xfId="1" applyNumberFormat="1" applyFont="1" applyBorder="1" applyAlignment="1">
      <alignment horizontal="right"/>
    </xf>
    <xf numFmtId="168" fontId="24" fillId="0" borderId="8" xfId="7" applyNumberFormat="1" applyFont="1" applyFill="1" applyBorder="1" applyAlignment="1" applyProtection="1">
      <alignment horizontal="left"/>
      <protection locked="0"/>
    </xf>
    <xf numFmtId="179" fontId="24" fillId="0" borderId="8" xfId="7" applyNumberFormat="1" applyFont="1" applyFill="1" applyBorder="1" applyAlignment="1" applyProtection="1">
      <alignment horizontal="left"/>
      <protection locked="0"/>
    </xf>
    <xf numFmtId="9" fontId="25" fillId="0" borderId="35" xfId="1" applyNumberFormat="1" applyFont="1" applyBorder="1" applyAlignment="1">
      <alignment horizontal="right"/>
    </xf>
    <xf numFmtId="168" fontId="23" fillId="0" borderId="39" xfId="7" applyNumberFormat="1" applyFont="1" applyFill="1" applyBorder="1" applyProtection="1">
      <protection locked="0"/>
    </xf>
    <xf numFmtId="168" fontId="23" fillId="0" borderId="8" xfId="7" applyNumberFormat="1" applyFont="1" applyFill="1" applyBorder="1" applyProtection="1">
      <protection locked="0"/>
    </xf>
    <xf numFmtId="179" fontId="23" fillId="0" borderId="8" xfId="7" applyNumberFormat="1" applyFont="1" applyFill="1" applyBorder="1" applyProtection="1">
      <protection locked="0"/>
    </xf>
    <xf numFmtId="0" fontId="19" fillId="13" borderId="39" xfId="0" applyFont="1" applyFill="1" applyBorder="1" applyProtection="1">
      <protection locked="0"/>
    </xf>
    <xf numFmtId="168" fontId="26" fillId="0" borderId="39" xfId="7" applyNumberFormat="1" applyFont="1" applyFill="1" applyBorder="1" applyProtection="1">
      <protection locked="0"/>
    </xf>
    <xf numFmtId="168" fontId="26" fillId="0" borderId="8" xfId="7" applyNumberFormat="1" applyFont="1" applyFill="1" applyBorder="1" applyProtection="1">
      <protection locked="0"/>
    </xf>
    <xf numFmtId="179" fontId="26" fillId="0" borderId="8" xfId="7" applyNumberFormat="1" applyFont="1" applyFill="1" applyBorder="1" applyProtection="1">
      <protection locked="0"/>
    </xf>
    <xf numFmtId="168" fontId="19" fillId="13" borderId="39" xfId="7" applyNumberFormat="1" applyFont="1" applyFill="1" applyBorder="1" applyProtection="1">
      <protection locked="0"/>
    </xf>
    <xf numFmtId="0" fontId="23" fillId="0" borderId="39" xfId="0" applyFont="1" applyFill="1" applyBorder="1" applyProtection="1">
      <protection locked="0"/>
    </xf>
    <xf numFmtId="168" fontId="24" fillId="0" borderId="39" xfId="7" applyNumberFormat="1" applyFont="1" applyFill="1" applyBorder="1" applyProtection="1">
      <protection locked="0"/>
    </xf>
    <xf numFmtId="168" fontId="24" fillId="0" borderId="8" xfId="7" applyNumberFormat="1" applyFont="1" applyFill="1" applyBorder="1" applyProtection="1">
      <protection locked="0"/>
    </xf>
    <xf numFmtId="179" fontId="24" fillId="0" borderId="8" xfId="7" applyNumberFormat="1" applyFont="1" applyFill="1" applyBorder="1" applyProtection="1">
      <protection locked="0"/>
    </xf>
    <xf numFmtId="9" fontId="24" fillId="0" borderId="35" xfId="7" applyNumberFormat="1" applyFont="1" applyFill="1" applyBorder="1" applyAlignment="1" applyProtection="1">
      <alignment horizontal="right"/>
      <protection locked="0"/>
    </xf>
    <xf numFmtId="168" fontId="24" fillId="0" borderId="40" xfId="7" applyNumberFormat="1" applyFont="1" applyFill="1" applyBorder="1" applyProtection="1">
      <protection locked="0"/>
    </xf>
    <xf numFmtId="168" fontId="24" fillId="0" borderId="22" xfId="7" applyNumberFormat="1" applyFont="1" applyFill="1" applyBorder="1" applyProtection="1">
      <protection locked="0"/>
    </xf>
    <xf numFmtId="9" fontId="25" fillId="0" borderId="41" xfId="1" applyNumberFormat="1" applyFont="1" applyBorder="1" applyAlignment="1">
      <alignment horizontal="right"/>
    </xf>
    <xf numFmtId="168" fontId="24" fillId="0" borderId="0" xfId="7" applyNumberFormat="1" applyFont="1" applyFill="1" applyBorder="1" applyAlignment="1" applyProtection="1">
      <alignment horizontal="left"/>
      <protection locked="0"/>
    </xf>
    <xf numFmtId="190" fontId="5" fillId="0" borderId="0" xfId="0" applyNumberFormat="1" applyFont="1" applyAlignment="1">
      <alignment horizontal="right"/>
    </xf>
    <xf numFmtId="17" fontId="4" fillId="0" borderId="0" xfId="0" applyNumberFormat="1" applyFont="1" applyAlignment="1">
      <alignment horizontal="center"/>
    </xf>
    <xf numFmtId="190" fontId="3" fillId="0" borderId="0" xfId="0" applyNumberFormat="1" applyFont="1" applyAlignment="1">
      <alignment horizontal="right"/>
    </xf>
    <xf numFmtId="14" fontId="9" fillId="0" borderId="0" xfId="0" applyNumberFormat="1" applyFont="1" applyFill="1"/>
    <xf numFmtId="17" fontId="6" fillId="0" borderId="0" xfId="0" applyNumberFormat="1" applyFont="1" applyAlignment="1">
      <alignment horizontal="right"/>
    </xf>
    <xf numFmtId="168" fontId="6" fillId="0" borderId="0" xfId="1" applyNumberFormat="1" applyFont="1" applyAlignment="1">
      <alignment horizontal="right"/>
    </xf>
    <xf numFmtId="0" fontId="41" fillId="2" borderId="42" xfId="0" applyFont="1" applyFill="1" applyBorder="1" applyAlignment="1">
      <alignment horizontal="center"/>
    </xf>
    <xf numFmtId="0" fontId="20" fillId="0" borderId="8" xfId="0" applyFont="1" applyBorder="1" applyAlignment="1">
      <alignment horizontal="center"/>
    </xf>
    <xf numFmtId="37" fontId="20" fillId="0" borderId="8" xfId="0" applyNumberFormat="1" applyFont="1" applyBorder="1" applyAlignment="1">
      <alignment horizontal="center"/>
    </xf>
    <xf numFmtId="6" fontId="20" fillId="0" borderId="8" xfId="0" applyNumberFormat="1" applyFont="1" applyBorder="1" applyAlignment="1">
      <alignment horizontal="center"/>
    </xf>
    <xf numFmtId="10" fontId="20" fillId="0" borderId="8" xfId="0" applyNumberFormat="1" applyFont="1" applyBorder="1" applyAlignment="1">
      <alignment horizontal="center"/>
    </xf>
    <xf numFmtId="14" fontId="20" fillId="0" borderId="8" xfId="0" applyNumberFormat="1" applyFont="1" applyBorder="1" applyAlignment="1">
      <alignment horizontal="center"/>
    </xf>
    <xf numFmtId="0" fontId="20" fillId="0" borderId="70" xfId="0" applyFont="1" applyBorder="1" applyAlignment="1">
      <alignment horizontal="center"/>
    </xf>
    <xf numFmtId="0" fontId="36" fillId="2" borderId="73" xfId="0" applyFont="1" applyFill="1" applyBorder="1" applyAlignment="1">
      <alignment horizontal="center"/>
    </xf>
    <xf numFmtId="0" fontId="36" fillId="2" borderId="10" xfId="0" applyFont="1" applyFill="1" applyBorder="1" applyAlignment="1">
      <alignment horizontal="center"/>
    </xf>
    <xf numFmtId="0" fontId="36" fillId="2" borderId="7" xfId="0" applyFont="1" applyFill="1" applyBorder="1" applyAlignment="1">
      <alignment horizontal="center" wrapText="1"/>
    </xf>
    <xf numFmtId="0" fontId="36" fillId="2" borderId="12" xfId="0" applyFont="1" applyFill="1" applyBorder="1" applyAlignment="1">
      <alignment horizontal="center"/>
    </xf>
    <xf numFmtId="17" fontId="23" fillId="14" borderId="17" xfId="3" applyNumberFormat="1" applyFont="1" applyFill="1" applyBorder="1" applyAlignment="1">
      <alignment horizontal="center"/>
    </xf>
    <xf numFmtId="10" fontId="51" fillId="12" borderId="0" xfId="3" applyNumberFormat="1" applyFont="1" applyFill="1" applyBorder="1" applyAlignment="1">
      <alignment horizontal="right"/>
    </xf>
    <xf numFmtId="10" fontId="51" fillId="12" borderId="0" xfId="0" applyNumberFormat="1" applyFont="1" applyFill="1"/>
    <xf numFmtId="17" fontId="50" fillId="12" borderId="0" xfId="0" applyNumberFormat="1" applyFont="1" applyFill="1"/>
    <xf numFmtId="0" fontId="60" fillId="2" borderId="13" xfId="0" applyFont="1" applyFill="1" applyBorder="1" applyAlignment="1">
      <alignment horizontal="center"/>
    </xf>
    <xf numFmtId="6" fontId="36" fillId="2" borderId="8" xfId="0" applyNumberFormat="1" applyFont="1" applyFill="1" applyBorder="1" applyAlignment="1">
      <alignment horizontal="center"/>
    </xf>
    <xf numFmtId="0" fontId="55" fillId="0" borderId="0" xfId="0" applyFont="1"/>
    <xf numFmtId="0" fontId="20" fillId="12" borderId="71" xfId="0" applyFont="1" applyFill="1" applyBorder="1" applyAlignment="1">
      <alignment horizontal="center"/>
    </xf>
    <xf numFmtId="0" fontId="20" fillId="12" borderId="72" xfId="0" applyFont="1" applyFill="1" applyBorder="1" applyAlignment="1">
      <alignment horizontal="center"/>
    </xf>
    <xf numFmtId="0" fontId="36" fillId="2" borderId="75" xfId="0" applyFont="1" applyFill="1" applyBorder="1" applyAlignment="1">
      <alignment horizontal="left" vertical="center"/>
    </xf>
    <xf numFmtId="0" fontId="36" fillId="2" borderId="74" xfId="0" applyFont="1" applyFill="1" applyBorder="1" applyAlignment="1">
      <alignment horizontal="center" vertical="center"/>
    </xf>
    <xf numFmtId="0" fontId="36" fillId="2" borderId="76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left" vertical="center"/>
    </xf>
    <xf numFmtId="0" fontId="36" fillId="2" borderId="0" xfId="0" applyFont="1" applyFill="1" applyBorder="1" applyAlignment="1">
      <alignment horizontal="center" vertical="center"/>
    </xf>
    <xf numFmtId="0" fontId="36" fillId="2" borderId="62" xfId="0" applyFont="1" applyFill="1" applyBorder="1" applyAlignment="1">
      <alignment horizontal="center" vertical="center"/>
    </xf>
    <xf numFmtId="0" fontId="20" fillId="0" borderId="23" xfId="0" applyFont="1" applyBorder="1" applyAlignment="1">
      <alignment horizontal="left"/>
    </xf>
    <xf numFmtId="0" fontId="50" fillId="13" borderId="23" xfId="0" applyFont="1" applyFill="1" applyBorder="1" applyAlignment="1">
      <alignment horizontal="left"/>
    </xf>
    <xf numFmtId="0" fontId="36" fillId="2" borderId="23" xfId="0" applyFont="1" applyFill="1" applyBorder="1" applyAlignment="1">
      <alignment horizontal="left"/>
    </xf>
    <xf numFmtId="0" fontId="20" fillId="0" borderId="23" xfId="0" applyFont="1" applyBorder="1"/>
    <xf numFmtId="0" fontId="23" fillId="21" borderId="23" xfId="0" applyFont="1" applyFill="1" applyBorder="1" applyAlignment="1">
      <alignment horizontal="left"/>
    </xf>
    <xf numFmtId="0" fontId="36" fillId="2" borderId="63" xfId="0" applyFont="1" applyFill="1" applyBorder="1" applyAlignment="1">
      <alignment horizontal="left"/>
    </xf>
    <xf numFmtId="0" fontId="50" fillId="0" borderId="0" xfId="0" applyFont="1" applyAlignment="1">
      <alignment horizontal="left"/>
    </xf>
    <xf numFmtId="168" fontId="23" fillId="0" borderId="74" xfId="8" applyNumberFormat="1" applyFont="1" applyFill="1" applyBorder="1" applyProtection="1"/>
    <xf numFmtId="168" fontId="23" fillId="11" borderId="74" xfId="8" applyNumberFormat="1" applyFont="1" applyFill="1" applyBorder="1" applyProtection="1"/>
    <xf numFmtId="168" fontId="78" fillId="0" borderId="74" xfId="8" applyNumberFormat="1" applyFont="1" applyFill="1" applyBorder="1" applyProtection="1"/>
    <xf numFmtId="168" fontId="23" fillId="0" borderId="74" xfId="8" applyNumberFormat="1" applyFont="1" applyFill="1" applyBorder="1" applyAlignment="1" applyProtection="1">
      <alignment horizontal="center"/>
    </xf>
    <xf numFmtId="168" fontId="78" fillId="11" borderId="74" xfId="8" applyNumberFormat="1" applyFont="1" applyFill="1" applyBorder="1" applyProtection="1"/>
    <xf numFmtId="168" fontId="23" fillId="11" borderId="74" xfId="8" applyNumberFormat="1" applyFont="1" applyFill="1" applyBorder="1" applyAlignment="1" applyProtection="1">
      <alignment horizontal="center"/>
    </xf>
    <xf numFmtId="168" fontId="78" fillId="0" borderId="74" xfId="8" applyNumberFormat="1" applyFont="1" applyFill="1" applyBorder="1" applyAlignment="1" applyProtection="1">
      <alignment horizontal="center"/>
    </xf>
    <xf numFmtId="168" fontId="78" fillId="14" borderId="74" xfId="8" applyNumberFormat="1" applyFont="1" applyFill="1" applyBorder="1" applyProtection="1"/>
    <xf numFmtId="168" fontId="78" fillId="14" borderId="74" xfId="8" applyNumberFormat="1" applyFont="1" applyFill="1" applyBorder="1" applyAlignment="1" applyProtection="1">
      <alignment horizontal="center"/>
    </xf>
    <xf numFmtId="168" fontId="23" fillId="14" borderId="74" xfId="8" applyNumberFormat="1" applyFont="1" applyFill="1" applyBorder="1" applyAlignment="1" applyProtection="1">
      <alignment horizontal="center"/>
    </xf>
    <xf numFmtId="38" fontId="20" fillId="0" borderId="0" xfId="0" applyNumberFormat="1" applyFont="1" applyBorder="1" applyAlignment="1">
      <alignment horizontal="center"/>
    </xf>
    <xf numFmtId="38" fontId="20" fillId="0" borderId="0" xfId="1" applyNumberFormat="1" applyFont="1" applyBorder="1" applyAlignment="1">
      <alignment horizontal="center"/>
    </xf>
    <xf numFmtId="38" fontId="20" fillId="0" borderId="62" xfId="1" applyNumberFormat="1" applyFont="1" applyBorder="1" applyAlignment="1">
      <alignment horizontal="center"/>
    </xf>
    <xf numFmtId="38" fontId="50" fillId="13" borderId="0" xfId="1" applyNumberFormat="1" applyFont="1" applyFill="1" applyBorder="1" applyAlignment="1">
      <alignment horizontal="center"/>
    </xf>
    <xf numFmtId="38" fontId="50" fillId="13" borderId="62" xfId="1" applyNumberFormat="1" applyFont="1" applyFill="1" applyBorder="1" applyAlignment="1">
      <alignment horizontal="center"/>
    </xf>
    <xf numFmtId="38" fontId="36" fillId="2" borderId="0" xfId="0" applyNumberFormat="1" applyFont="1" applyFill="1" applyBorder="1" applyAlignment="1">
      <alignment horizontal="center"/>
    </xf>
    <xf numFmtId="38" fontId="36" fillId="2" borderId="62" xfId="0" applyNumberFormat="1" applyFont="1" applyFill="1" applyBorder="1" applyAlignment="1">
      <alignment horizontal="center"/>
    </xf>
    <xf numFmtId="38" fontId="20" fillId="0" borderId="0" xfId="0" applyNumberFormat="1" applyFont="1" applyBorder="1"/>
    <xf numFmtId="38" fontId="20" fillId="0" borderId="62" xfId="0" applyNumberFormat="1" applyFont="1" applyBorder="1"/>
    <xf numFmtId="38" fontId="23" fillId="21" borderId="0" xfId="1" applyNumberFormat="1" applyFont="1" applyFill="1" applyBorder="1" applyAlignment="1">
      <alignment horizontal="center"/>
    </xf>
    <xf numFmtId="38" fontId="23" fillId="21" borderId="62" xfId="1" applyNumberFormat="1" applyFont="1" applyFill="1" applyBorder="1" applyAlignment="1">
      <alignment horizontal="center"/>
    </xf>
    <xf numFmtId="38" fontId="36" fillId="2" borderId="24" xfId="1" applyNumberFormat="1" applyFont="1" applyFill="1" applyBorder="1" applyAlignment="1">
      <alignment horizontal="center"/>
    </xf>
    <xf numFmtId="38" fontId="36" fillId="2" borderId="33" xfId="1" applyNumberFormat="1" applyFont="1" applyFill="1" applyBorder="1" applyAlignment="1">
      <alignment horizontal="center"/>
    </xf>
    <xf numFmtId="0" fontId="20" fillId="15" borderId="0" xfId="0" applyFont="1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0" fontId="74" fillId="0" borderId="0" xfId="700" applyNumberFormat="1" applyFont="1" applyFill="1" applyBorder="1" applyAlignment="1" applyProtection="1">
      <alignment horizontal="center"/>
    </xf>
    <xf numFmtId="191" fontId="19" fillId="14" borderId="8" xfId="3" applyNumberFormat="1" applyFont="1" applyFill="1" applyBorder="1" applyAlignment="1">
      <alignment horizontal="center"/>
    </xf>
    <xf numFmtId="177" fontId="19" fillId="12" borderId="0" xfId="3" applyNumberFormat="1" applyFont="1" applyFill="1" applyBorder="1" applyAlignment="1">
      <alignment horizontal="center"/>
    </xf>
    <xf numFmtId="177" fontId="19" fillId="14" borderId="17" xfId="3" applyNumberFormat="1" applyFont="1" applyFill="1" applyBorder="1" applyAlignment="1">
      <alignment horizontal="center"/>
    </xf>
    <xf numFmtId="43" fontId="19" fillId="14" borderId="8" xfId="1" applyNumberFormat="1" applyFont="1" applyFill="1" applyBorder="1" applyAlignment="1">
      <alignment horizontal="center"/>
    </xf>
    <xf numFmtId="177" fontId="19" fillId="14" borderId="8" xfId="3" applyNumberFormat="1" applyFont="1" applyFill="1" applyBorder="1" applyAlignment="1">
      <alignment horizontal="center"/>
    </xf>
    <xf numFmtId="177" fontId="19" fillId="14" borderId="36" xfId="3" applyNumberFormat="1" applyFont="1" applyFill="1" applyBorder="1" applyAlignment="1">
      <alignment horizontal="center"/>
    </xf>
    <xf numFmtId="177" fontId="19" fillId="12" borderId="0" xfId="0" applyNumberFormat="1" applyFont="1" applyFill="1" applyBorder="1" applyAlignment="1">
      <alignment horizontal="center"/>
    </xf>
    <xf numFmtId="177" fontId="20" fillId="12" borderId="0" xfId="0" applyNumberFormat="1" applyFont="1" applyFill="1" applyAlignment="1">
      <alignment horizontal="center"/>
    </xf>
    <xf numFmtId="177" fontId="19" fillId="14" borderId="22" xfId="3" applyNumberFormat="1" applyFont="1" applyFill="1" applyBorder="1" applyAlignment="1">
      <alignment horizontal="center"/>
    </xf>
    <xf numFmtId="0" fontId="39" fillId="12" borderId="0" xfId="0" applyFont="1" applyFill="1"/>
    <xf numFmtId="0" fontId="91" fillId="12" borderId="0" xfId="0" applyFont="1" applyFill="1"/>
    <xf numFmtId="10" fontId="51" fillId="12" borderId="0" xfId="0" quotePrefix="1" applyNumberFormat="1" applyFont="1" applyFill="1"/>
    <xf numFmtId="6" fontId="51" fillId="12" borderId="0" xfId="3" applyNumberFormat="1" applyFont="1" applyFill="1" applyBorder="1" applyAlignment="1">
      <alignment horizontal="right"/>
    </xf>
    <xf numFmtId="6" fontId="51" fillId="12" borderId="0" xfId="0" applyNumberFormat="1" applyFont="1" applyFill="1"/>
    <xf numFmtId="38" fontId="51" fillId="12" borderId="0" xfId="0" quotePrefix="1" applyNumberFormat="1" applyFont="1" applyFill="1"/>
    <xf numFmtId="0" fontId="89" fillId="0" borderId="0" xfId="0" applyFont="1"/>
    <xf numFmtId="22" fontId="48" fillId="0" borderId="0" xfId="0" applyNumberFormat="1" applyFont="1" applyFill="1" applyAlignment="1">
      <alignment horizontal="left"/>
    </xf>
    <xf numFmtId="0" fontId="92" fillId="0" borderId="0" xfId="0" applyFont="1" applyFill="1" applyBorder="1" applyAlignment="1">
      <alignment horizontal="right"/>
    </xf>
    <xf numFmtId="9" fontId="22" fillId="0" borderId="0" xfId="0" applyNumberFormat="1" applyFont="1" applyAlignment="1">
      <alignment horizontal="left"/>
    </xf>
    <xf numFmtId="22" fontId="52" fillId="0" borderId="0" xfId="0" applyNumberFormat="1" applyFont="1" applyFill="1" applyAlignment="1">
      <alignment vertical="top"/>
    </xf>
    <xf numFmtId="0" fontId="57" fillId="0" borderId="0" xfId="0" applyFont="1" applyFill="1" applyBorder="1"/>
    <xf numFmtId="0" fontId="92" fillId="0" borderId="0" xfId="0" applyFont="1" applyAlignment="1">
      <alignment horizontal="left" vertical="center"/>
    </xf>
    <xf numFmtId="0" fontId="94" fillId="0" borderId="0" xfId="701" applyFont="1" applyAlignment="1" applyProtection="1">
      <alignment horizontal="left" vertical="center"/>
    </xf>
    <xf numFmtId="0" fontId="95" fillId="0" borderId="0" xfId="0" applyFont="1" applyFill="1" applyBorder="1" applyAlignment="1">
      <alignment horizontal="left"/>
    </xf>
    <xf numFmtId="0" fontId="0" fillId="0" borderId="0" xfId="0" applyAlignment="1">
      <alignment horizontal="centerContinuous"/>
    </xf>
    <xf numFmtId="0" fontId="36" fillId="2" borderId="77" xfId="0" applyFont="1" applyFill="1" applyBorder="1" applyAlignment="1">
      <alignment horizontal="center"/>
    </xf>
    <xf numFmtId="0" fontId="36" fillId="2" borderId="77" xfId="0" applyFont="1" applyFill="1" applyBorder="1" applyAlignment="1">
      <alignment horizontal="center" wrapText="1"/>
    </xf>
    <xf numFmtId="0" fontId="36" fillId="2" borderId="78" xfId="0" applyFont="1" applyFill="1" applyBorder="1" applyAlignment="1">
      <alignment horizontal="center" vertical="center"/>
    </xf>
    <xf numFmtId="0" fontId="36" fillId="2" borderId="79" xfId="0" applyFont="1" applyFill="1" applyBorder="1" applyAlignment="1">
      <alignment horizontal="center" vertical="center"/>
    </xf>
    <xf numFmtId="0" fontId="36" fillId="2" borderId="80" xfId="0" applyFont="1" applyFill="1" applyBorder="1" applyAlignment="1">
      <alignment horizontal="center" vertical="center"/>
    </xf>
    <xf numFmtId="0" fontId="20" fillId="0" borderId="77" xfId="0" applyFont="1" applyBorder="1" applyAlignment="1">
      <alignment horizontal="center"/>
    </xf>
    <xf numFmtId="37" fontId="20" fillId="0" borderId="77" xfId="0" applyNumberFormat="1" applyFont="1" applyBorder="1" applyAlignment="1">
      <alignment horizontal="center"/>
    </xf>
    <xf numFmtId="6" fontId="20" fillId="0" borderId="77" xfId="0" applyNumberFormat="1" applyFont="1" applyBorder="1" applyAlignment="1">
      <alignment horizontal="center"/>
    </xf>
    <xf numFmtId="14" fontId="20" fillId="0" borderId="77" xfId="0" applyNumberFormat="1" applyFont="1" applyBorder="1" applyAlignment="1">
      <alignment horizontal="center"/>
    </xf>
    <xf numFmtId="0" fontId="20" fillId="0" borderId="81" xfId="0" applyFont="1" applyBorder="1" applyAlignment="1">
      <alignment horizontal="center"/>
    </xf>
    <xf numFmtId="9" fontId="20" fillId="12" borderId="77" xfId="0" applyNumberFormat="1" applyFont="1" applyFill="1" applyBorder="1" applyAlignment="1">
      <alignment horizontal="center"/>
    </xf>
    <xf numFmtId="9" fontId="20" fillId="12" borderId="82" xfId="0" applyNumberFormat="1" applyFont="1" applyFill="1" applyBorder="1" applyAlignment="1">
      <alignment horizontal="center"/>
    </xf>
    <xf numFmtId="6" fontId="36" fillId="2" borderId="77" xfId="0" applyNumberFormat="1" applyFont="1" applyFill="1" applyBorder="1" applyAlignment="1">
      <alignment horizontal="center"/>
    </xf>
    <xf numFmtId="0" fontId="46" fillId="12" borderId="83" xfId="0" applyFont="1" applyFill="1" applyBorder="1"/>
    <xf numFmtId="0" fontId="63" fillId="12" borderId="84" xfId="0" applyFont="1" applyFill="1" applyBorder="1"/>
    <xf numFmtId="10" fontId="63" fillId="12" borderId="85" xfId="0" applyNumberFormat="1" applyFont="1" applyFill="1" applyBorder="1"/>
    <xf numFmtId="0" fontId="4" fillId="0" borderId="0" xfId="0" applyFont="1" applyBorder="1"/>
    <xf numFmtId="0" fontId="36" fillId="2" borderId="0" xfId="0" applyFont="1" applyFill="1" applyBorder="1"/>
    <xf numFmtId="0" fontId="36" fillId="2" borderId="0" xfId="0" applyFont="1" applyFill="1" applyBorder="1" applyAlignment="1">
      <alignment horizontal="center"/>
    </xf>
    <xf numFmtId="0" fontId="0" fillId="0" borderId="0" xfId="0" applyFill="1" applyBorder="1"/>
    <xf numFmtId="0" fontId="5" fillId="0" borderId="0" xfId="0" applyFont="1" applyBorder="1"/>
    <xf numFmtId="0" fontId="36" fillId="2" borderId="81" xfId="0" applyFont="1" applyFill="1" applyBorder="1" applyAlignment="1">
      <alignment horizontal="left" vertical="center"/>
    </xf>
    <xf numFmtId="0" fontId="36" fillId="2" borderId="86" xfId="0" applyFont="1" applyFill="1" applyBorder="1" applyAlignment="1">
      <alignment horizontal="center" vertical="center"/>
    </xf>
    <xf numFmtId="0" fontId="36" fillId="2" borderId="82" xfId="0" applyFont="1" applyFill="1" applyBorder="1" applyAlignment="1">
      <alignment horizontal="center" vertical="center"/>
    </xf>
    <xf numFmtId="0" fontId="20" fillId="0" borderId="87" xfId="0" applyFont="1" applyBorder="1" applyAlignment="1"/>
    <xf numFmtId="38" fontId="20" fillId="0" borderId="88" xfId="0" applyNumberFormat="1" applyFont="1" applyBorder="1" applyAlignment="1">
      <alignment horizontal="center"/>
    </xf>
    <xf numFmtId="0" fontId="5" fillId="0" borderId="0" xfId="0" quotePrefix="1" applyFont="1"/>
    <xf numFmtId="0" fontId="36" fillId="2" borderId="81" xfId="0" applyFont="1" applyFill="1" applyBorder="1" applyAlignment="1">
      <alignment horizontal="left"/>
    </xf>
    <xf numFmtId="38" fontId="36" fillId="2" borderId="86" xfId="1" applyNumberFormat="1" applyFont="1" applyFill="1" applyBorder="1" applyAlignment="1">
      <alignment horizontal="center"/>
    </xf>
    <xf numFmtId="38" fontId="36" fillId="2" borderId="82" xfId="1" applyNumberFormat="1" applyFont="1" applyFill="1" applyBorder="1" applyAlignment="1">
      <alignment horizontal="center"/>
    </xf>
    <xf numFmtId="0" fontId="89" fillId="0" borderId="0" xfId="0" applyFont="1" applyBorder="1"/>
    <xf numFmtId="0" fontId="23" fillId="14" borderId="0" xfId="0" applyFont="1" applyFill="1" applyBorder="1" applyAlignment="1">
      <alignment horizontal="center" vertical="center"/>
    </xf>
    <xf numFmtId="0" fontId="89" fillId="14" borderId="0" xfId="0" applyFont="1" applyFill="1"/>
    <xf numFmtId="38" fontId="89" fillId="14" borderId="0" xfId="0" applyNumberFormat="1" applyFont="1" applyFill="1"/>
    <xf numFmtId="169" fontId="89" fillId="14" borderId="0" xfId="0" applyNumberFormat="1" applyFont="1" applyFill="1"/>
    <xf numFmtId="0" fontId="96" fillId="0" borderId="0" xfId="0" applyFont="1"/>
    <xf numFmtId="0" fontId="92" fillId="0" borderId="0" xfId="0" applyFont="1" applyAlignment="1">
      <alignment horizontal="left"/>
    </xf>
    <xf numFmtId="169" fontId="5" fillId="0" borderId="0" xfId="0" applyNumberFormat="1" applyFont="1"/>
    <xf numFmtId="0" fontId="50" fillId="0" borderId="0" xfId="0" applyFont="1" applyFill="1" applyBorder="1" applyAlignment="1"/>
    <xf numFmtId="0" fontId="20" fillId="0" borderId="0" xfId="0" applyFont="1" applyFill="1" applyBorder="1" applyAlignment="1"/>
    <xf numFmtId="38" fontId="20" fillId="0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left"/>
    </xf>
    <xf numFmtId="38" fontId="36" fillId="0" borderId="0" xfId="1" applyNumberFormat="1" applyFont="1" applyFill="1" applyBorder="1" applyAlignment="1">
      <alignment horizontal="center"/>
    </xf>
    <xf numFmtId="0" fontId="97" fillId="0" borderId="0" xfId="0" applyFont="1" applyAlignment="1"/>
    <xf numFmtId="0" fontId="98" fillId="0" borderId="0" xfId="0" applyFont="1" applyProtection="1"/>
    <xf numFmtId="0" fontId="99" fillId="0" borderId="0" xfId="0" applyFont="1" applyAlignment="1" applyProtection="1">
      <alignment horizontal="left" indent="1"/>
    </xf>
    <xf numFmtId="0" fontId="99" fillId="0" borderId="0" xfId="0" applyFont="1" applyProtection="1"/>
    <xf numFmtId="173" fontId="7" fillId="14" borderId="23" xfId="0" applyNumberFormat="1" applyFont="1" applyFill="1" applyBorder="1" applyAlignment="1" applyProtection="1">
      <alignment horizontal="center"/>
      <protection locked="0"/>
    </xf>
    <xf numFmtId="0" fontId="0" fillId="13" borderId="0" xfId="0" applyFill="1"/>
    <xf numFmtId="22" fontId="100" fillId="0" borderId="0" xfId="0" applyNumberFormat="1" applyFont="1" applyBorder="1" applyAlignment="1">
      <alignment horizontal="left"/>
    </xf>
    <xf numFmtId="0" fontId="101" fillId="0" borderId="0" xfId="0" applyFont="1" applyBorder="1" applyAlignment="1">
      <alignment horizontal="left"/>
    </xf>
    <xf numFmtId="2" fontId="72" fillId="0" borderId="0" xfId="0" applyNumberFormat="1" applyFont="1" applyBorder="1" applyAlignment="1">
      <alignment horizontal="right"/>
    </xf>
    <xf numFmtId="0" fontId="72" fillId="0" borderId="0" xfId="0" applyFont="1" applyBorder="1" applyAlignment="1"/>
    <xf numFmtId="2" fontId="72" fillId="0" borderId="0" xfId="0" applyNumberFormat="1" applyFont="1" applyBorder="1" applyAlignment="1"/>
    <xf numFmtId="2" fontId="72" fillId="0" borderId="0" xfId="0" applyNumberFormat="1" applyFont="1" applyAlignment="1">
      <alignment horizontal="right"/>
    </xf>
    <xf numFmtId="2" fontId="72" fillId="0" borderId="0" xfId="0" applyNumberFormat="1" applyFont="1" applyAlignment="1"/>
    <xf numFmtId="0" fontId="73" fillId="17" borderId="49" xfId="0" applyFont="1" applyFill="1" applyBorder="1" applyAlignment="1">
      <alignment horizontal="center" vertical="center" wrapText="1"/>
    </xf>
    <xf numFmtId="0" fontId="73" fillId="17" borderId="50" xfId="0" applyFont="1" applyFill="1" applyBorder="1" applyAlignment="1">
      <alignment horizontal="right" vertical="top"/>
    </xf>
    <xf numFmtId="0" fontId="73" fillId="17" borderId="50" xfId="0" applyFont="1" applyFill="1" applyBorder="1" applyAlignment="1">
      <alignment horizontal="right" vertical="center"/>
    </xf>
    <xf numFmtId="0" fontId="73" fillId="17" borderId="5" xfId="0" applyNumberFormat="1" applyFont="1" applyFill="1" applyBorder="1" applyAlignment="1">
      <alignment horizontal="centerContinuous" vertical="center"/>
    </xf>
    <xf numFmtId="14" fontId="73" fillId="17" borderId="51" xfId="0" applyNumberFormat="1" applyFont="1" applyFill="1" applyBorder="1" applyAlignment="1">
      <alignment horizontal="center" vertical="center"/>
    </xf>
    <xf numFmtId="14" fontId="73" fillId="17" borderId="51" xfId="0" applyNumberFormat="1" applyFont="1" applyFill="1" applyBorder="1" applyAlignment="1">
      <alignment horizontal="centerContinuous" vertical="center"/>
    </xf>
    <xf numFmtId="0" fontId="73" fillId="17" borderId="52" xfId="0" applyFont="1" applyFill="1" applyBorder="1" applyAlignment="1">
      <alignment horizontal="centerContinuous" vertical="center"/>
    </xf>
    <xf numFmtId="0" fontId="73" fillId="17" borderId="54" xfId="0" applyFont="1" applyFill="1" applyBorder="1" applyAlignment="1">
      <alignment vertical="center"/>
    </xf>
    <xf numFmtId="0" fontId="73" fillId="17" borderId="55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right" vertical="center"/>
    </xf>
    <xf numFmtId="0" fontId="73" fillId="17" borderId="56" xfId="0" applyFont="1" applyFill="1" applyBorder="1" applyAlignment="1">
      <alignment horizontal="center" vertical="center"/>
    </xf>
    <xf numFmtId="0" fontId="73" fillId="17" borderId="57" xfId="0" applyFont="1" applyFill="1" applyBorder="1" applyAlignment="1">
      <alignment horizontal="center" vertical="center"/>
    </xf>
    <xf numFmtId="0" fontId="73" fillId="17" borderId="58" xfId="0" applyFont="1" applyFill="1" applyBorder="1" applyAlignment="1">
      <alignment horizontal="center" vertical="center"/>
    </xf>
    <xf numFmtId="0" fontId="73" fillId="17" borderId="60" xfId="0" applyFont="1" applyFill="1" applyBorder="1" applyAlignment="1">
      <alignment horizontal="right" vertical="center"/>
    </xf>
    <xf numFmtId="0" fontId="73" fillId="17" borderId="0" xfId="0" applyFont="1" applyFill="1" applyBorder="1" applyAlignment="1">
      <alignment horizontal="center" vertical="center"/>
    </xf>
    <xf numFmtId="14" fontId="73" fillId="17" borderId="0" xfId="0" applyNumberFormat="1" applyFont="1" applyFill="1" applyBorder="1" applyAlignment="1">
      <alignment horizontal="center" vertical="center"/>
    </xf>
    <xf numFmtId="0" fontId="73" fillId="17" borderId="61" xfId="0" applyFont="1" applyFill="1" applyBorder="1" applyAlignment="1">
      <alignment horizontal="center" vertical="center"/>
    </xf>
    <xf numFmtId="0" fontId="72" fillId="14" borderId="38" xfId="0" applyFont="1" applyFill="1" applyBorder="1" applyAlignment="1">
      <alignment vertical="top"/>
    </xf>
    <xf numFmtId="38" fontId="72" fillId="14" borderId="0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/>
    </xf>
    <xf numFmtId="38" fontId="72" fillId="14" borderId="23" xfId="0" applyNumberFormat="1" applyFont="1" applyFill="1" applyBorder="1" applyAlignment="1">
      <alignment horizontal="right"/>
    </xf>
    <xf numFmtId="0" fontId="72" fillId="14" borderId="38" xfId="0" applyFont="1" applyFill="1" applyBorder="1" applyAlignment="1"/>
    <xf numFmtId="0" fontId="72" fillId="14" borderId="44" xfId="0" applyFont="1" applyFill="1" applyBorder="1" applyAlignment="1">
      <alignment vertical="top"/>
    </xf>
    <xf numFmtId="38" fontId="72" fillId="14" borderId="24" xfId="0" applyNumberFormat="1" applyFont="1" applyFill="1" applyBorder="1" applyAlignment="1">
      <alignment horizontal="right"/>
    </xf>
    <xf numFmtId="185" fontId="72" fillId="14" borderId="33" xfId="0" applyNumberFormat="1" applyFont="1" applyFill="1" applyBorder="1" applyAlignment="1">
      <alignment horizontal="right"/>
    </xf>
    <xf numFmtId="38" fontId="72" fillId="14" borderId="63" xfId="0" applyNumberFormat="1" applyFont="1" applyFill="1" applyBorder="1" applyAlignment="1">
      <alignment horizontal="right"/>
    </xf>
    <xf numFmtId="38" fontId="72" fillId="14" borderId="0" xfId="2" applyNumberFormat="1" applyFont="1" applyFill="1" applyBorder="1" applyAlignment="1">
      <alignment horizontal="right" vertical="top"/>
    </xf>
    <xf numFmtId="38" fontId="72" fillId="14" borderId="0" xfId="0" applyNumberFormat="1" applyFont="1" applyFill="1" applyBorder="1" applyAlignment="1">
      <alignment horizontal="right" vertical="top"/>
    </xf>
    <xf numFmtId="38" fontId="71" fillId="14" borderId="24" xfId="0" applyNumberFormat="1" applyFont="1" applyFill="1" applyBorder="1" applyAlignment="1">
      <alignment horizontal="right"/>
    </xf>
    <xf numFmtId="185" fontId="71" fillId="14" borderId="33" xfId="0" applyNumberFormat="1" applyFont="1" applyFill="1" applyBorder="1" applyAlignment="1"/>
    <xf numFmtId="38" fontId="71" fillId="14" borderId="63" xfId="0" applyNumberFormat="1" applyFont="1" applyFill="1" applyBorder="1" applyAlignment="1"/>
    <xf numFmtId="38" fontId="71" fillId="14" borderId="24" xfId="0" applyNumberFormat="1" applyFont="1" applyFill="1" applyBorder="1" applyAlignment="1"/>
    <xf numFmtId="185" fontId="72" fillId="14" borderId="23" xfId="0" applyNumberFormat="1" applyFont="1" applyFill="1" applyBorder="1" applyAlignment="1">
      <alignment horizontal="right"/>
    </xf>
    <xf numFmtId="185" fontId="72" fillId="14" borderId="62" xfId="0" applyNumberFormat="1" applyFont="1" applyFill="1" applyBorder="1" applyAlignment="1">
      <alignment horizontal="right" vertical="top"/>
    </xf>
    <xf numFmtId="185" fontId="72" fillId="14" borderId="23" xfId="0" applyNumberFormat="1" applyFont="1" applyFill="1" applyBorder="1" applyAlignment="1">
      <alignment horizontal="right" vertical="top"/>
    </xf>
    <xf numFmtId="185" fontId="72" fillId="14" borderId="0" xfId="1" applyNumberFormat="1" applyFont="1" applyFill="1" applyBorder="1" applyAlignment="1">
      <alignment horizontal="right" vertical="top"/>
    </xf>
    <xf numFmtId="177" fontId="72" fillId="14" borderId="0" xfId="0" applyNumberFormat="1" applyFont="1" applyFill="1" applyBorder="1" applyAlignment="1">
      <alignment horizontal="right" vertical="top"/>
    </xf>
    <xf numFmtId="177" fontId="72" fillId="14" borderId="23" xfId="0" applyNumberFormat="1" applyFont="1" applyFill="1" applyBorder="1" applyAlignment="1">
      <alignment horizontal="right"/>
    </xf>
    <xf numFmtId="177" fontId="72" fillId="14" borderId="0" xfId="0" applyNumberFormat="1" applyFont="1" applyFill="1" applyBorder="1" applyAlignment="1">
      <alignment horizontal="right"/>
    </xf>
    <xf numFmtId="185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/>
    <xf numFmtId="185" fontId="71" fillId="14" borderId="23" xfId="0" applyNumberFormat="1" applyFont="1" applyFill="1" applyBorder="1" applyAlignment="1">
      <alignment horizontal="right"/>
    </xf>
    <xf numFmtId="185" fontId="71" fillId="14" borderId="24" xfId="0" applyNumberFormat="1" applyFont="1" applyFill="1" applyBorder="1" applyAlignment="1">
      <alignment horizontal="right"/>
    </xf>
    <xf numFmtId="185" fontId="71" fillId="14" borderId="63" xfId="0" applyNumberFormat="1" applyFont="1" applyFill="1" applyBorder="1" applyAlignment="1">
      <alignment horizontal="right"/>
    </xf>
    <xf numFmtId="37" fontId="71" fillId="14" borderId="0" xfId="0" applyNumberFormat="1" applyFont="1" applyFill="1" applyBorder="1" applyAlignment="1">
      <alignment horizontal="right"/>
    </xf>
    <xf numFmtId="185" fontId="71" fillId="14" borderId="62" xfId="0" applyNumberFormat="1" applyFont="1" applyFill="1" applyBorder="1" applyAlignment="1">
      <alignment horizontal="right"/>
    </xf>
    <xf numFmtId="37" fontId="71" fillId="14" borderId="23" xfId="0" applyNumberFormat="1" applyFont="1" applyFill="1" applyBorder="1" applyAlignment="1">
      <alignment horizontal="right"/>
    </xf>
    <xf numFmtId="38" fontId="71" fillId="14" borderId="0" xfId="0" applyNumberFormat="1" applyFont="1" applyFill="1" applyBorder="1" applyAlignment="1">
      <alignment horizontal="right"/>
    </xf>
    <xf numFmtId="38" fontId="71" fillId="14" borderId="23" xfId="0" applyNumberFormat="1" applyFont="1" applyFill="1" applyBorder="1" applyAlignment="1"/>
    <xf numFmtId="38" fontId="71" fillId="14" borderId="0" xfId="0" applyNumberFormat="1" applyFont="1" applyFill="1" applyBorder="1" applyAlignment="1"/>
    <xf numFmtId="0" fontId="72" fillId="14" borderId="64" xfId="0" applyFont="1" applyFill="1" applyBorder="1" applyAlignment="1">
      <alignment vertical="top"/>
    </xf>
    <xf numFmtId="38" fontId="71" fillId="14" borderId="65" xfId="0" applyNumberFormat="1" applyFont="1" applyFill="1" applyBorder="1" applyAlignment="1">
      <alignment horizontal="right"/>
    </xf>
    <xf numFmtId="185" fontId="71" fillId="14" borderId="66" xfId="0" applyNumberFormat="1" applyFont="1" applyFill="1" applyBorder="1" applyAlignment="1"/>
    <xf numFmtId="38" fontId="71" fillId="14" borderId="67" xfId="0" applyNumberFormat="1" applyFont="1" applyFill="1" applyBorder="1" applyAlignment="1"/>
    <xf numFmtId="0" fontId="73" fillId="17" borderId="53" xfId="0" applyFont="1" applyFill="1" applyBorder="1" applyAlignment="1">
      <alignment horizontal="centerContinuous" vertical="center" wrapText="1"/>
    </xf>
    <xf numFmtId="0" fontId="73" fillId="17" borderId="5" xfId="0" applyFont="1" applyFill="1" applyBorder="1" applyAlignment="1">
      <alignment horizontal="centerContinuous" vertical="center" wrapText="1"/>
    </xf>
    <xf numFmtId="0" fontId="73" fillId="17" borderId="46" xfId="0" applyFont="1" applyFill="1" applyBorder="1" applyAlignment="1">
      <alignment horizontal="centerContinuous" vertical="center" wrapText="1"/>
    </xf>
    <xf numFmtId="0" fontId="102" fillId="12" borderId="0" xfId="0" applyFont="1" applyFill="1"/>
    <xf numFmtId="169" fontId="20" fillId="0" borderId="0" xfId="0" applyNumberFormat="1" applyFont="1"/>
    <xf numFmtId="182" fontId="20" fillId="0" borderId="0" xfId="0" applyNumberFormat="1" applyFont="1"/>
    <xf numFmtId="168" fontId="20" fillId="0" borderId="0" xfId="0" applyNumberFormat="1" applyFont="1"/>
    <xf numFmtId="14" fontId="20" fillId="0" borderId="0" xfId="0" applyNumberFormat="1" applyFont="1" applyAlignment="1">
      <alignment horizontal="left"/>
    </xf>
    <xf numFmtId="0" fontId="25" fillId="0" borderId="0" xfId="0" applyFont="1"/>
    <xf numFmtId="0" fontId="11" fillId="9" borderId="9" xfId="0" applyFont="1" applyFill="1" applyBorder="1" applyProtection="1"/>
    <xf numFmtId="168" fontId="31" fillId="0" borderId="0" xfId="0" applyNumberFormat="1" applyFont="1"/>
    <xf numFmtId="0" fontId="0" fillId="0" borderId="0" xfId="0" applyAlignment="1"/>
    <xf numFmtId="0" fontId="4" fillId="0" borderId="0" xfId="0" applyFont="1" applyAlignment="1"/>
    <xf numFmtId="14" fontId="4" fillId="0" borderId="0" xfId="0" applyNumberFormat="1" applyFont="1" applyAlignment="1"/>
    <xf numFmtId="0" fontId="0" fillId="0" borderId="0" xfId="0" applyFont="1" applyAlignment="1"/>
    <xf numFmtId="14" fontId="0" fillId="0" borderId="0" xfId="0" applyNumberFormat="1" applyAlignment="1"/>
    <xf numFmtId="190" fontId="0" fillId="0" borderId="0" xfId="0" applyNumberFormat="1" applyAlignment="1"/>
    <xf numFmtId="192" fontId="50" fillId="13" borderId="62" xfId="1" applyNumberFormat="1" applyFont="1" applyFill="1" applyBorder="1" applyAlignment="1">
      <alignment horizontal="center"/>
    </xf>
    <xf numFmtId="1" fontId="20" fillId="0" borderId="0" xfId="0" applyNumberFormat="1" applyFont="1" applyAlignment="1">
      <alignment horizontal="center"/>
    </xf>
    <xf numFmtId="17" fontId="20" fillId="0" borderId="0" xfId="0" applyNumberFormat="1" applyFont="1" applyAlignment="1">
      <alignment horizontal="center"/>
    </xf>
    <xf numFmtId="168" fontId="20" fillId="0" borderId="0" xfId="0" applyNumberFormat="1" applyFont="1" applyAlignment="1">
      <alignment horizontal="center"/>
    </xf>
    <xf numFmtId="10" fontId="20" fillId="0" borderId="0" xfId="0" applyNumberFormat="1" applyFont="1" applyAlignment="1">
      <alignment horizontal="center"/>
    </xf>
    <xf numFmtId="168" fontId="79" fillId="0" borderId="0" xfId="8" applyNumberFormat="1" applyFont="1" applyFill="1" applyBorder="1" applyAlignment="1" applyProtection="1">
      <alignment horizontal="center"/>
    </xf>
    <xf numFmtId="169" fontId="81" fillId="0" borderId="0" xfId="700" applyNumberFormat="1" applyFont="1" applyFill="1" applyBorder="1" applyAlignment="1" applyProtection="1">
      <alignment horizontal="center"/>
    </xf>
    <xf numFmtId="9" fontId="81" fillId="0" borderId="0" xfId="700" applyFont="1" applyFill="1" applyBorder="1" applyAlignment="1" applyProtection="1">
      <alignment horizontal="center"/>
    </xf>
    <xf numFmtId="168" fontId="78" fillId="0" borderId="0" xfId="8" applyNumberFormat="1" applyFont="1" applyFill="1" applyBorder="1" applyAlignment="1" applyProtection="1">
      <alignment horizontal="center"/>
    </xf>
    <xf numFmtId="9" fontId="80" fillId="0" borderId="0" xfId="700" applyFont="1" applyFill="1" applyBorder="1" applyAlignment="1" applyProtection="1">
      <alignment horizontal="center"/>
    </xf>
    <xf numFmtId="168" fontId="78" fillId="10" borderId="0" xfId="8" applyNumberFormat="1" applyFont="1" applyFill="1" applyBorder="1" applyAlignment="1" applyProtection="1">
      <alignment horizontal="center"/>
    </xf>
    <xf numFmtId="0" fontId="19" fillId="0" borderId="33" xfId="0" applyFont="1" applyFill="1" applyBorder="1" applyProtection="1">
      <protection locked="0"/>
    </xf>
    <xf numFmtId="0" fontId="19" fillId="13" borderId="10" xfId="0" applyFont="1" applyFill="1" applyBorder="1" applyAlignment="1" applyProtection="1">
      <alignment horizontal="left"/>
      <protection locked="0"/>
    </xf>
    <xf numFmtId="168" fontId="19" fillId="13" borderId="10" xfId="7" applyNumberFormat="1" applyFont="1" applyFill="1" applyBorder="1" applyAlignment="1" applyProtection="1">
      <alignment horizontal="left"/>
      <protection locked="0"/>
    </xf>
    <xf numFmtId="168" fontId="19" fillId="0" borderId="10" xfId="7" applyNumberFormat="1" applyFont="1" applyFill="1" applyBorder="1" applyAlignment="1" applyProtection="1">
      <alignment horizontal="left"/>
      <protection locked="0"/>
    </xf>
    <xf numFmtId="168" fontId="23" fillId="10" borderId="20" xfId="7" applyNumberFormat="1" applyFont="1" applyFill="1" applyBorder="1" applyProtection="1">
      <protection locked="0"/>
    </xf>
    <xf numFmtId="0" fontId="19" fillId="0" borderId="11" xfId="0" applyFont="1" applyFill="1" applyBorder="1" applyProtection="1">
      <protection locked="0"/>
    </xf>
    <xf numFmtId="0" fontId="19" fillId="0" borderId="10" xfId="0" applyFont="1" applyFill="1" applyBorder="1" applyAlignment="1" applyProtection="1">
      <alignment horizontal="left"/>
      <protection locked="0"/>
    </xf>
    <xf numFmtId="168" fontId="19" fillId="0" borderId="20" xfId="7" applyNumberFormat="1" applyFont="1" applyFill="1" applyBorder="1" applyAlignment="1" applyProtection="1">
      <alignment horizontal="left"/>
      <protection locked="0"/>
    </xf>
    <xf numFmtId="0" fontId="103" fillId="0" borderId="0" xfId="0" applyFont="1"/>
    <xf numFmtId="0" fontId="6" fillId="0" borderId="39" xfId="0" applyFont="1" applyFill="1" applyBorder="1"/>
    <xf numFmtId="168" fontId="7" fillId="0" borderId="8" xfId="1" applyNumberFormat="1" applyFont="1" applyFill="1" applyBorder="1" applyAlignment="1">
      <alignment horizontal="center"/>
    </xf>
    <xf numFmtId="168" fontId="7" fillId="0" borderId="10" xfId="1" applyNumberFormat="1" applyFont="1" applyFill="1" applyBorder="1" applyAlignment="1">
      <alignment horizontal="center"/>
    </xf>
    <xf numFmtId="0" fontId="42" fillId="0" borderId="8" xfId="0" applyFont="1" applyBorder="1"/>
    <xf numFmtId="0" fontId="27" fillId="0" borderId="8" xfId="0" applyFont="1" applyBorder="1" applyAlignment="1">
      <alignment horizontal="center"/>
    </xf>
    <xf numFmtId="179" fontId="7" fillId="13" borderId="8" xfId="1" applyNumberFormat="1" applyFont="1" applyFill="1" applyBorder="1" applyAlignment="1">
      <alignment horizontal="right"/>
    </xf>
    <xf numFmtId="17" fontId="8" fillId="2" borderId="7" xfId="0" applyNumberFormat="1" applyFont="1" applyFill="1" applyBorder="1" applyAlignment="1">
      <alignment horizontal="center"/>
    </xf>
    <xf numFmtId="17" fontId="8" fillId="2" borderId="12" xfId="0" applyNumberFormat="1" applyFont="1" applyFill="1" applyBorder="1" applyAlignment="1">
      <alignment horizontal="center"/>
    </xf>
    <xf numFmtId="17" fontId="8" fillId="2" borderId="13" xfId="0" applyNumberFormat="1" applyFont="1" applyFill="1" applyBorder="1" applyAlignment="1">
      <alignment horizontal="center"/>
    </xf>
    <xf numFmtId="0" fontId="27" fillId="0" borderId="36" xfId="0" applyFont="1" applyBorder="1" applyAlignment="1">
      <alignment horizontal="center"/>
    </xf>
    <xf numFmtId="0" fontId="6" fillId="0" borderId="17" xfId="0" applyFont="1" applyFill="1" applyBorder="1"/>
    <xf numFmtId="0" fontId="6" fillId="13" borderId="17" xfId="0" applyFont="1" applyFill="1" applyBorder="1"/>
    <xf numFmtId="168" fontId="6" fillId="13" borderId="17" xfId="1" applyNumberFormat="1" applyFont="1" applyFill="1" applyBorder="1" applyAlignment="1">
      <alignment horizontal="left"/>
    </xf>
    <xf numFmtId="168" fontId="6" fillId="13" borderId="21" xfId="1" applyNumberFormat="1" applyFont="1" applyFill="1" applyBorder="1" applyAlignment="1">
      <alignment horizontal="left"/>
    </xf>
    <xf numFmtId="179" fontId="7" fillId="13" borderId="22" xfId="1" applyNumberFormat="1" applyFont="1" applyFill="1" applyBorder="1" applyAlignment="1">
      <alignment horizontal="right"/>
    </xf>
    <xf numFmtId="168" fontId="7" fillId="0" borderId="27" xfId="1" applyNumberFormat="1" applyFont="1" applyBorder="1" applyAlignment="1">
      <alignment horizontal="center"/>
    </xf>
    <xf numFmtId="0" fontId="19" fillId="16" borderId="17" xfId="0" applyFont="1" applyFill="1" applyBorder="1" applyAlignment="1" applyProtection="1">
      <alignment horizontal="left"/>
      <protection locked="0"/>
    </xf>
    <xf numFmtId="0" fontId="42" fillId="16" borderId="8" xfId="0" applyFont="1" applyFill="1" applyBorder="1"/>
    <xf numFmtId="0" fontId="27" fillId="16" borderId="8" xfId="0" applyFont="1" applyFill="1" applyBorder="1" applyAlignment="1">
      <alignment horizontal="center"/>
    </xf>
    <xf numFmtId="0" fontId="27" fillId="16" borderId="36" xfId="0" applyFont="1" applyFill="1" applyBorder="1" applyAlignment="1">
      <alignment horizontal="center"/>
    </xf>
    <xf numFmtId="168" fontId="6" fillId="0" borderId="8" xfId="1" applyNumberFormat="1" applyFont="1" applyFill="1" applyBorder="1" applyAlignment="1">
      <alignment horizontal="center"/>
    </xf>
    <xf numFmtId="0" fontId="6" fillId="0" borderId="21" xfId="0" applyFont="1" applyFill="1" applyBorder="1"/>
    <xf numFmtId="0" fontId="4" fillId="8" borderId="0" xfId="0" applyFont="1" applyFill="1"/>
    <xf numFmtId="38" fontId="0" fillId="0" borderId="0" xfId="0" applyNumberFormat="1" applyAlignment="1"/>
    <xf numFmtId="0" fontId="3" fillId="22" borderId="73" xfId="0" applyFont="1" applyFill="1" applyBorder="1" applyAlignment="1">
      <alignment horizontal="center" vertical="center"/>
    </xf>
    <xf numFmtId="168" fontId="3" fillId="2" borderId="73" xfId="0" applyNumberFormat="1" applyFont="1" applyFill="1" applyBorder="1" applyAlignment="1">
      <alignment horizontal="center" vertical="center"/>
    </xf>
    <xf numFmtId="168" fontId="3" fillId="2" borderId="63" xfId="0" applyNumberFormat="1" applyFont="1" applyFill="1" applyBorder="1" applyAlignment="1">
      <alignment horizontal="center" vertical="center"/>
    </xf>
    <xf numFmtId="168" fontId="3" fillId="0" borderId="0" xfId="0" applyNumberFormat="1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  <xf numFmtId="0" fontId="3" fillId="2" borderId="73" xfId="0" applyFont="1" applyFill="1" applyBorder="1" applyAlignment="1">
      <alignment horizontal="center" vertical="center"/>
    </xf>
    <xf numFmtId="17" fontId="0" fillId="0" borderId="0" xfId="0" applyNumberFormat="1" applyAlignment="1"/>
    <xf numFmtId="168" fontId="38" fillId="0" borderId="0" xfId="0" applyNumberFormat="1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4" fillId="8" borderId="0" xfId="0" applyFont="1" applyFill="1" applyAlignment="1"/>
    <xf numFmtId="168" fontId="38" fillId="23" borderId="0" xfId="0" applyNumberFormat="1" applyFont="1" applyFill="1" applyBorder="1" applyAlignment="1">
      <alignment horizontal="center" vertical="center"/>
    </xf>
    <xf numFmtId="17" fontId="0" fillId="23" borderId="0" xfId="0" applyNumberFormat="1" applyFill="1" applyAlignment="1"/>
    <xf numFmtId="0" fontId="41" fillId="0" borderId="0" xfId="0" applyFont="1" applyFill="1"/>
    <xf numFmtId="0" fontId="4" fillId="8" borderId="0" xfId="0" applyFont="1" applyFill="1" applyBorder="1" applyAlignment="1"/>
    <xf numFmtId="0" fontId="3" fillId="22" borderId="23" xfId="0" applyFont="1" applyFill="1" applyBorder="1" applyAlignment="1">
      <alignment horizontal="center" vertical="center"/>
    </xf>
    <xf numFmtId="169" fontId="20" fillId="15" borderId="0" xfId="0" applyNumberFormat="1" applyFont="1" applyFill="1" applyAlignment="1">
      <alignment horizontal="center"/>
    </xf>
    <xf numFmtId="17" fontId="10" fillId="0" borderId="0" xfId="0" applyNumberFormat="1" applyFont="1"/>
    <xf numFmtId="17" fontId="8" fillId="2" borderId="74" xfId="3" applyNumberFormat="1" applyFont="1" applyFill="1" applyBorder="1" applyAlignment="1">
      <alignment horizontal="center"/>
    </xf>
    <xf numFmtId="169" fontId="6" fillId="13" borderId="0" xfId="0" applyNumberFormat="1" applyFont="1" applyFill="1" applyAlignment="1">
      <alignment horizontal="right"/>
    </xf>
    <xf numFmtId="169" fontId="10" fillId="0" borderId="0" xfId="0" applyNumberFormat="1" applyFont="1" applyAlignment="1">
      <alignment horizontal="right"/>
    </xf>
    <xf numFmtId="169" fontId="6" fillId="13" borderId="0" xfId="0" applyNumberFormat="1" applyFont="1" applyFill="1"/>
    <xf numFmtId="169" fontId="10" fillId="0" borderId="0" xfId="0" applyNumberFormat="1" applyFont="1"/>
    <xf numFmtId="175" fontId="6" fillId="13" borderId="0" xfId="0" applyNumberFormat="1" applyFont="1" applyFill="1" applyBorder="1"/>
    <xf numFmtId="175" fontId="7" fillId="0" borderId="0" xfId="0" applyNumberFormat="1" applyFont="1" applyBorder="1"/>
    <xf numFmtId="0" fontId="7" fillId="0" borderId="89" xfId="0" applyFont="1" applyBorder="1"/>
    <xf numFmtId="175" fontId="106" fillId="0" borderId="0" xfId="1" applyNumberFormat="1" applyFont="1" applyFill="1" applyBorder="1" applyAlignment="1">
      <alignment horizontal="right"/>
    </xf>
    <xf numFmtId="176" fontId="7" fillId="0" borderId="24" xfId="0" applyNumberFormat="1" applyFont="1" applyBorder="1"/>
    <xf numFmtId="193" fontId="7" fillId="0" borderId="0" xfId="0" applyNumberFormat="1" applyFont="1" applyBorder="1"/>
    <xf numFmtId="177" fontId="6" fillId="13" borderId="0" xfId="0" applyNumberFormat="1" applyFont="1" applyFill="1"/>
    <xf numFmtId="177" fontId="10" fillId="0" borderId="0" xfId="0" applyNumberFormat="1" applyFont="1" applyAlignment="1">
      <alignment horizontal="right"/>
    </xf>
    <xf numFmtId="176" fontId="10" fillId="0" borderId="0" xfId="0" applyNumberFormat="1" applyFont="1" applyBorder="1"/>
    <xf numFmtId="176" fontId="28" fillId="0" borderId="24" xfId="0" applyNumberFormat="1" applyFont="1" applyBorder="1"/>
    <xf numFmtId="175" fontId="27" fillId="13" borderId="0" xfId="0" applyNumberFormat="1" applyFont="1" applyFill="1" applyBorder="1"/>
    <xf numFmtId="9" fontId="6" fillId="13" borderId="0" xfId="0" applyNumberFormat="1" applyFont="1" applyFill="1" applyBorder="1"/>
    <xf numFmtId="1" fontId="6" fillId="13" borderId="0" xfId="0" applyNumberFormat="1" applyFont="1" applyFill="1"/>
    <xf numFmtId="178" fontId="10" fillId="0" borderId="0" xfId="0" applyNumberFormat="1" applyFont="1" applyAlignment="1">
      <alignment horizontal="right"/>
    </xf>
    <xf numFmtId="168" fontId="10" fillId="0" borderId="0" xfId="1" applyNumberFormat="1" applyFont="1"/>
    <xf numFmtId="38" fontId="6" fillId="13" borderId="0" xfId="0" applyNumberFormat="1" applyFont="1" applyFill="1" applyBorder="1"/>
    <xf numFmtId="0" fontId="7" fillId="0" borderId="0" xfId="0" applyFont="1" applyFill="1"/>
    <xf numFmtId="169" fontId="7" fillId="0" borderId="0" xfId="0" applyNumberFormat="1" applyFont="1" applyFill="1"/>
    <xf numFmtId="41" fontId="7" fillId="0" borderId="0" xfId="0" applyNumberFormat="1" applyFont="1" applyAlignment="1">
      <alignment horizontal="right"/>
    </xf>
    <xf numFmtId="41" fontId="7" fillId="0" borderId="0" xfId="1" applyNumberFormat="1" applyFont="1" applyBorder="1" applyAlignment="1">
      <alignment horizontal="right"/>
    </xf>
    <xf numFmtId="41" fontId="7" fillId="0" borderId="24" xfId="1" applyNumberFormat="1" applyFont="1" applyBorder="1" applyAlignment="1">
      <alignment horizontal="right"/>
    </xf>
    <xf numFmtId="169" fontId="6" fillId="13" borderId="0" xfId="1" applyNumberFormat="1" applyFont="1" applyFill="1" applyBorder="1"/>
    <xf numFmtId="168" fontId="23" fillId="13" borderId="17" xfId="7" applyNumberFormat="1" applyFont="1" applyFill="1" applyBorder="1" applyAlignment="1" applyProtection="1">
      <alignment horizontal="left"/>
      <protection locked="0"/>
    </xf>
    <xf numFmtId="168" fontId="23" fillId="13" borderId="10" xfId="7" applyNumberFormat="1" applyFont="1" applyFill="1" applyBorder="1" applyAlignment="1" applyProtection="1">
      <alignment horizontal="left"/>
      <protection locked="0"/>
    </xf>
    <xf numFmtId="168" fontId="50" fillId="13" borderId="10" xfId="1" applyNumberFormat="1" applyFont="1" applyFill="1" applyBorder="1" applyAlignment="1">
      <alignment horizontal="right"/>
    </xf>
    <xf numFmtId="168" fontId="50" fillId="13" borderId="35" xfId="1" applyNumberFormat="1" applyFont="1" applyFill="1" applyBorder="1" applyAlignment="1">
      <alignment horizontal="right"/>
    </xf>
    <xf numFmtId="169" fontId="50" fillId="13" borderId="10" xfId="1" applyNumberFormat="1" applyFont="1" applyFill="1" applyBorder="1" applyAlignment="1">
      <alignment horizontal="right"/>
    </xf>
    <xf numFmtId="169" fontId="50" fillId="13" borderId="35" xfId="1" applyNumberFormat="1" applyFont="1" applyFill="1" applyBorder="1" applyAlignment="1">
      <alignment horizontal="right"/>
    </xf>
    <xf numFmtId="169" fontId="20" fillId="14" borderId="90" xfId="0" applyNumberFormat="1" applyFont="1" applyFill="1" applyBorder="1"/>
    <xf numFmtId="176" fontId="20" fillId="14" borderId="90" xfId="0" applyNumberFormat="1" applyFont="1" applyFill="1" applyBorder="1"/>
    <xf numFmtId="9" fontId="20" fillId="14" borderId="90" xfId="0" applyNumberFormat="1" applyFont="1" applyFill="1" applyBorder="1"/>
    <xf numFmtId="17" fontId="67" fillId="2" borderId="7" xfId="3" applyNumberFormat="1" applyFont="1" applyFill="1" applyBorder="1" applyAlignment="1">
      <alignment horizontal="center"/>
    </xf>
    <xf numFmtId="0" fontId="50" fillId="14" borderId="91" xfId="0" applyFont="1" applyFill="1" applyBorder="1"/>
    <xf numFmtId="9" fontId="20" fillId="14" borderId="92" xfId="0" applyNumberFormat="1" applyFont="1" applyFill="1" applyBorder="1"/>
    <xf numFmtId="177" fontId="20" fillId="14" borderId="90" xfId="0" applyNumberFormat="1" applyFont="1" applyFill="1" applyBorder="1"/>
    <xf numFmtId="177" fontId="20" fillId="14" borderId="90" xfId="0" applyNumberFormat="1" applyFont="1" applyFill="1" applyBorder="1" applyAlignment="1">
      <alignment horizontal="right"/>
    </xf>
    <xf numFmtId="169" fontId="20" fillId="14" borderId="92" xfId="0" applyNumberFormat="1" applyFont="1" applyFill="1" applyBorder="1"/>
    <xf numFmtId="43" fontId="20" fillId="14" borderId="90" xfId="1" applyNumberFormat="1" applyFont="1" applyFill="1" applyBorder="1"/>
    <xf numFmtId="43" fontId="20" fillId="14" borderId="92" xfId="1" applyNumberFormat="1" applyFont="1" applyFill="1" applyBorder="1"/>
    <xf numFmtId="9" fontId="20" fillId="14" borderId="92" xfId="1" applyNumberFormat="1" applyFont="1" applyFill="1" applyBorder="1"/>
    <xf numFmtId="0" fontId="23" fillId="14" borderId="91" xfId="3" applyFont="1" applyFill="1" applyBorder="1" applyAlignment="1">
      <alignment horizontal="left" vertical="top"/>
    </xf>
    <xf numFmtId="168" fontId="20" fillId="12" borderId="90" xfId="1" applyNumberFormat="1" applyFont="1" applyFill="1" applyBorder="1"/>
    <xf numFmtId="168" fontId="20" fillId="14" borderId="90" xfId="0" applyNumberFormat="1" applyFont="1" applyFill="1" applyBorder="1"/>
    <xf numFmtId="168" fontId="20" fillId="14" borderId="90" xfId="1" applyNumberFormat="1" applyFont="1" applyFill="1" applyBorder="1"/>
    <xf numFmtId="178" fontId="20" fillId="14" borderId="90" xfId="0" applyNumberFormat="1" applyFont="1" applyFill="1" applyBorder="1" applyAlignment="1">
      <alignment horizontal="right"/>
    </xf>
    <xf numFmtId="1" fontId="20" fillId="14" borderId="90" xfId="0" applyNumberFormat="1" applyFont="1" applyFill="1" applyBorder="1" applyAlignment="1">
      <alignment horizontal="right"/>
    </xf>
    <xf numFmtId="38" fontId="20" fillId="14" borderId="90" xfId="0" applyNumberFormat="1" applyFont="1" applyFill="1" applyBorder="1"/>
    <xf numFmtId="0" fontId="50" fillId="12" borderId="91" xfId="0" applyFont="1" applyFill="1" applyBorder="1"/>
    <xf numFmtId="168" fontId="20" fillId="14" borderId="36" xfId="0" applyNumberFormat="1" applyFont="1" applyFill="1" applyBorder="1"/>
    <xf numFmtId="38" fontId="20" fillId="14" borderId="92" xfId="0" applyNumberFormat="1" applyFont="1" applyFill="1" applyBorder="1"/>
    <xf numFmtId="0" fontId="31" fillId="0" borderId="0" xfId="0" applyFont="1" applyAlignment="1">
      <alignment horizontal="right"/>
    </xf>
    <xf numFmtId="0" fontId="31" fillId="0" borderId="0" xfId="0" applyFont="1" applyAlignment="1">
      <alignment horizontal="center"/>
    </xf>
    <xf numFmtId="0" fontId="32" fillId="0" borderId="0" xfId="0" applyFont="1" applyAlignment="1">
      <alignment horizontal="right"/>
    </xf>
    <xf numFmtId="0" fontId="108" fillId="0" borderId="0" xfId="0" applyFont="1" applyFill="1" applyBorder="1"/>
    <xf numFmtId="174" fontId="33" fillId="0" borderId="0" xfId="0" applyNumberFormat="1" applyFont="1" applyAlignment="1">
      <alignment horizontal="right"/>
    </xf>
    <xf numFmtId="17" fontId="10" fillId="0" borderId="0" xfId="0" applyNumberFormat="1" applyFont="1" applyAlignment="1">
      <alignment horizontal="right"/>
    </xf>
    <xf numFmtId="17" fontId="86" fillId="0" borderId="0" xfId="0" applyNumberFormat="1" applyFont="1" applyAlignment="1">
      <alignment horizontal="right"/>
    </xf>
    <xf numFmtId="0" fontId="41" fillId="0" borderId="0" xfId="0" applyFont="1" applyFill="1" applyBorder="1"/>
    <xf numFmtId="0" fontId="12" fillId="0" borderId="0" xfId="0" applyFont="1" applyAlignment="1">
      <alignment horizontal="right"/>
    </xf>
    <xf numFmtId="0" fontId="9" fillId="0" borderId="0" xfId="0" applyFont="1" applyFill="1" applyBorder="1"/>
    <xf numFmtId="0" fontId="1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7" fontId="12" fillId="0" borderId="0" xfId="0" applyNumberFormat="1" applyFont="1" applyAlignment="1">
      <alignment horizontal="right"/>
    </xf>
    <xf numFmtId="14" fontId="9" fillId="0" borderId="0" xfId="0" applyNumberFormat="1" applyFont="1" applyFill="1" applyBorder="1"/>
    <xf numFmtId="0" fontId="8" fillId="2" borderId="74" xfId="3" applyNumberFormat="1" applyFont="1" applyFill="1" applyBorder="1" applyAlignment="1">
      <alignment horizontal="right"/>
    </xf>
    <xf numFmtId="169" fontId="10" fillId="13" borderId="0" xfId="0" applyNumberFormat="1" applyFont="1" applyFill="1" applyAlignment="1">
      <alignment horizontal="center"/>
    </xf>
    <xf numFmtId="0" fontId="7" fillId="0" borderId="0" xfId="0" applyFont="1" applyAlignment="1"/>
    <xf numFmtId="0" fontId="8" fillId="2" borderId="0" xfId="0" applyFont="1" applyFill="1" applyBorder="1" applyAlignment="1">
      <alignment horizontal="center"/>
    </xf>
    <xf numFmtId="17" fontId="12" fillId="0" borderId="0" xfId="0" applyNumberFormat="1" applyFont="1" applyAlignment="1">
      <alignment horizontal="center"/>
    </xf>
    <xf numFmtId="0" fontId="8" fillId="2" borderId="74" xfId="3" applyNumberFormat="1" applyFont="1" applyFill="1" applyBorder="1" applyAlignment="1">
      <alignment horizontal="center"/>
    </xf>
    <xf numFmtId="0" fontId="32" fillId="0" borderId="0" xfId="0" applyFont="1" applyAlignment="1">
      <alignment horizontal="center"/>
    </xf>
    <xf numFmtId="174" fontId="33" fillId="0" borderId="0" xfId="0" applyNumberFormat="1" applyFont="1" applyAlignment="1">
      <alignment horizontal="center"/>
    </xf>
    <xf numFmtId="17" fontId="10" fillId="0" borderId="0" xfId="0" applyNumberFormat="1" applyFont="1" applyAlignment="1">
      <alignment horizontal="center"/>
    </xf>
    <xf numFmtId="17" fontId="86" fillId="0" borderId="0" xfId="0" applyNumberFormat="1" applyFont="1" applyAlignment="1">
      <alignment horizontal="center"/>
    </xf>
    <xf numFmtId="0" fontId="41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4" fontId="9" fillId="0" borderId="0" xfId="0" applyNumberFormat="1" applyFont="1" applyFill="1" applyAlignment="1">
      <alignment horizontal="center"/>
    </xf>
    <xf numFmtId="169" fontId="6" fillId="13" borderId="0" xfId="0" applyNumberFormat="1" applyFont="1" applyFill="1" applyAlignment="1">
      <alignment horizontal="center"/>
    </xf>
    <xf numFmtId="169" fontId="10" fillId="0" borderId="0" xfId="0" applyNumberFormat="1" applyFont="1" applyAlignment="1">
      <alignment horizontal="center"/>
    </xf>
    <xf numFmtId="169" fontId="6" fillId="13" borderId="0" xfId="0" applyNumberFormat="1" applyFont="1" applyFill="1" applyBorder="1" applyAlignment="1">
      <alignment horizontal="center"/>
    </xf>
    <xf numFmtId="175" fontId="7" fillId="0" borderId="0" xfId="0" applyNumberFormat="1" applyFont="1" applyBorder="1" applyAlignment="1">
      <alignment horizontal="center"/>
    </xf>
    <xf numFmtId="169" fontId="7" fillId="0" borderId="0" xfId="0" applyNumberFormat="1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176" fontId="7" fillId="0" borderId="0" xfId="0" applyNumberFormat="1" applyFont="1" applyBorder="1" applyAlignment="1">
      <alignment horizontal="center"/>
    </xf>
    <xf numFmtId="175" fontId="106" fillId="0" borderId="0" xfId="1" applyNumberFormat="1" applyFont="1" applyFill="1" applyBorder="1" applyAlignment="1">
      <alignment horizontal="center"/>
    </xf>
    <xf numFmtId="169" fontId="106" fillId="0" borderId="0" xfId="1" applyNumberFormat="1" applyFont="1" applyFill="1" applyBorder="1" applyAlignment="1">
      <alignment horizontal="center"/>
    </xf>
    <xf numFmtId="176" fontId="7" fillId="0" borderId="24" xfId="0" applyNumberFormat="1" applyFont="1" applyBorder="1" applyAlignment="1">
      <alignment horizontal="center"/>
    </xf>
    <xf numFmtId="39" fontId="6" fillId="0" borderId="0" xfId="0" applyNumberFormat="1" applyFont="1" applyAlignment="1">
      <alignment horizontal="center"/>
    </xf>
    <xf numFmtId="193" fontId="7" fillId="0" borderId="0" xfId="0" applyNumberFormat="1" applyFont="1" applyBorder="1" applyAlignment="1">
      <alignment horizontal="center"/>
    </xf>
    <xf numFmtId="177" fontId="6" fillId="13" borderId="0" xfId="0" applyNumberFormat="1" applyFont="1" applyFill="1" applyAlignment="1">
      <alignment horizontal="center"/>
    </xf>
    <xf numFmtId="177" fontId="10" fillId="0" borderId="0" xfId="0" applyNumberFormat="1" applyFont="1" applyAlignment="1">
      <alignment horizontal="center"/>
    </xf>
    <xf numFmtId="43" fontId="7" fillId="0" borderId="0" xfId="1" applyNumberFormat="1" applyFont="1" applyBorder="1" applyAlignment="1">
      <alignment horizontal="center"/>
    </xf>
    <xf numFmtId="169" fontId="6" fillId="13" borderId="0" xfId="1" applyNumberFormat="1" applyFont="1" applyFill="1" applyBorder="1" applyAlignment="1">
      <alignment horizontal="center"/>
    </xf>
    <xf numFmtId="169" fontId="7" fillId="0" borderId="0" xfId="1" applyNumberFormat="1" applyFont="1" applyBorder="1" applyAlignment="1">
      <alignment horizontal="center"/>
    </xf>
    <xf numFmtId="17" fontId="8" fillId="0" borderId="0" xfId="0" applyNumberFormat="1" applyFont="1" applyAlignment="1">
      <alignment horizontal="center"/>
    </xf>
    <xf numFmtId="169" fontId="27" fillId="13" borderId="0" xfId="0" applyNumberFormat="1" applyFont="1" applyFill="1" applyBorder="1" applyAlignment="1">
      <alignment horizontal="center"/>
    </xf>
    <xf numFmtId="1" fontId="6" fillId="13" borderId="0" xfId="0" applyNumberFormat="1" applyFont="1" applyFill="1" applyAlignment="1">
      <alignment horizontal="center"/>
    </xf>
    <xf numFmtId="38" fontId="6" fillId="13" borderId="0" xfId="0" applyNumberFormat="1" applyFont="1" applyFill="1" applyAlignment="1">
      <alignment horizontal="center"/>
    </xf>
    <xf numFmtId="38" fontId="7" fillId="0" borderId="0" xfId="0" applyNumberFormat="1" applyFont="1" applyAlignment="1">
      <alignment horizontal="center"/>
    </xf>
    <xf numFmtId="178" fontId="10" fillId="0" borderId="0" xfId="0" applyNumberFormat="1" applyFont="1" applyAlignment="1">
      <alignment horizontal="center"/>
    </xf>
    <xf numFmtId="38" fontId="7" fillId="0" borderId="0" xfId="0" applyNumberFormat="1" applyFont="1" applyBorder="1" applyAlignment="1">
      <alignment horizontal="center"/>
    </xf>
    <xf numFmtId="38" fontId="6" fillId="13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Alignment="1">
      <alignment horizontal="center"/>
    </xf>
    <xf numFmtId="14" fontId="20" fillId="0" borderId="0" xfId="0" applyNumberFormat="1" applyFont="1"/>
    <xf numFmtId="37" fontId="7" fillId="0" borderId="0" xfId="1" applyNumberFormat="1" applyFont="1" applyBorder="1" applyAlignment="1">
      <alignment horizontal="center"/>
    </xf>
    <xf numFmtId="37" fontId="7" fillId="0" borderId="24" xfId="1" applyNumberFormat="1" applyFont="1" applyBorder="1" applyAlignment="1">
      <alignment horizontal="center"/>
    </xf>
    <xf numFmtId="0" fontId="109" fillId="0" borderId="0" xfId="0" applyNumberFormat="1" applyFont="1" applyAlignment="1">
      <alignment horizontal="right"/>
    </xf>
    <xf numFmtId="0" fontId="109" fillId="0" borderId="0" xfId="0" applyNumberFormat="1" applyFont="1" applyAlignment="1">
      <alignment horizontal="center"/>
    </xf>
    <xf numFmtId="17" fontId="109" fillId="0" borderId="0" xfId="0" applyNumberFormat="1" applyFont="1" applyAlignment="1">
      <alignment horizontal="center"/>
    </xf>
    <xf numFmtId="17" fontId="8" fillId="2" borderId="93" xfId="3" applyNumberFormat="1" applyFont="1" applyFill="1" applyBorder="1" applyAlignment="1">
      <alignment horizontal="center"/>
    </xf>
    <xf numFmtId="0" fontId="8" fillId="2" borderId="93" xfId="3" applyNumberFormat="1" applyFont="1" applyFill="1" applyBorder="1" applyAlignment="1">
      <alignment horizontal="center"/>
    </xf>
    <xf numFmtId="0" fontId="6" fillId="13" borderId="94" xfId="0" applyFont="1" applyFill="1" applyBorder="1"/>
    <xf numFmtId="169" fontId="6" fillId="13" borderId="94" xfId="0" applyNumberFormat="1" applyFont="1" applyFill="1" applyBorder="1" applyAlignment="1">
      <alignment horizontal="center"/>
    </xf>
    <xf numFmtId="0" fontId="10" fillId="0" borderId="94" xfId="0" applyFont="1" applyBorder="1" applyAlignment="1">
      <alignment horizontal="left" indent="1"/>
    </xf>
    <xf numFmtId="169" fontId="10" fillId="0" borderId="94" xfId="0" applyNumberFormat="1" applyFont="1" applyBorder="1" applyAlignment="1">
      <alignment horizontal="center"/>
    </xf>
    <xf numFmtId="0" fontId="7" fillId="0" borderId="94" xfId="0" applyFont="1" applyBorder="1"/>
    <xf numFmtId="169" fontId="7" fillId="0" borderId="94" xfId="0" applyNumberFormat="1" applyFont="1" applyBorder="1" applyAlignment="1">
      <alignment horizontal="center"/>
    </xf>
    <xf numFmtId="175" fontId="7" fillId="0" borderId="94" xfId="0" applyNumberFormat="1" applyFont="1" applyBorder="1" applyAlignment="1">
      <alignment horizontal="center"/>
    </xf>
    <xf numFmtId="0" fontId="28" fillId="0" borderId="95" xfId="0" applyFont="1" applyBorder="1"/>
    <xf numFmtId="0" fontId="7" fillId="0" borderId="95" xfId="0" applyFont="1" applyBorder="1" applyAlignment="1">
      <alignment horizontal="center"/>
    </xf>
    <xf numFmtId="176" fontId="7" fillId="0" borderId="94" xfId="0" applyNumberFormat="1" applyFont="1" applyBorder="1" applyAlignment="1">
      <alignment horizontal="center"/>
    </xf>
    <xf numFmtId="0" fontId="106" fillId="0" borderId="94" xfId="0" applyFont="1" applyBorder="1" applyAlignment="1">
      <alignment horizontal="left" indent="1"/>
    </xf>
    <xf numFmtId="169" fontId="106" fillId="0" borderId="94" xfId="1" applyNumberFormat="1" applyFont="1" applyFill="1" applyBorder="1" applyAlignment="1">
      <alignment horizontal="center"/>
    </xf>
    <xf numFmtId="0" fontId="7" fillId="0" borderId="94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176" fontId="7" fillId="0" borderId="96" xfId="0" applyNumberFormat="1" applyFont="1" applyBorder="1" applyAlignment="1">
      <alignment horizontal="center"/>
    </xf>
    <xf numFmtId="0" fontId="7" fillId="0" borderId="94" xfId="0" applyFont="1" applyBorder="1" applyAlignment="1">
      <alignment horizontal="center"/>
    </xf>
    <xf numFmtId="0" fontId="8" fillId="2" borderId="93" xfId="3" applyFont="1" applyFill="1" applyBorder="1" applyAlignment="1">
      <alignment horizontal="center"/>
    </xf>
    <xf numFmtId="193" fontId="7" fillId="0" borderId="94" xfId="0" applyNumberFormat="1" applyFont="1" applyBorder="1" applyAlignment="1">
      <alignment horizontal="center"/>
    </xf>
    <xf numFmtId="0" fontId="12" fillId="0" borderId="94" xfId="0" applyFont="1" applyBorder="1"/>
    <xf numFmtId="0" fontId="6" fillId="0" borderId="94" xfId="0" applyFont="1" applyBorder="1"/>
    <xf numFmtId="43" fontId="7" fillId="0" borderId="94" xfId="1" applyNumberFormat="1" applyFont="1" applyBorder="1" applyAlignment="1">
      <alignment horizontal="center"/>
    </xf>
    <xf numFmtId="169" fontId="6" fillId="13" borderId="94" xfId="1" applyNumberFormat="1" applyFont="1" applyFill="1" applyBorder="1" applyAlignment="1">
      <alignment horizontal="center"/>
    </xf>
    <xf numFmtId="169" fontId="7" fillId="0" borderId="94" xfId="1" applyNumberFormat="1" applyFont="1" applyBorder="1" applyAlignment="1">
      <alignment horizontal="center"/>
    </xf>
    <xf numFmtId="0" fontId="28" fillId="0" borderId="94" xfId="0" applyFont="1" applyBorder="1"/>
    <xf numFmtId="17" fontId="8" fillId="0" borderId="94" xfId="0" applyNumberFormat="1" applyFont="1" applyBorder="1" applyAlignment="1">
      <alignment horizontal="center"/>
    </xf>
    <xf numFmtId="0" fontId="110" fillId="0" borderId="94" xfId="0" applyFont="1" applyBorder="1"/>
    <xf numFmtId="0" fontId="7" fillId="13" borderId="0" xfId="0" applyFont="1" applyFill="1"/>
    <xf numFmtId="0" fontId="27" fillId="13" borderId="94" xfId="0" applyFont="1" applyFill="1" applyBorder="1" applyAlignment="1"/>
    <xf numFmtId="169" fontId="27" fillId="13" borderId="94" xfId="0" applyNumberFormat="1" applyFont="1" applyFill="1" applyBorder="1" applyAlignment="1">
      <alignment horizontal="center"/>
    </xf>
    <xf numFmtId="175" fontId="27" fillId="0" borderId="0" xfId="0" applyNumberFormat="1" applyFont="1" applyFill="1" applyBorder="1"/>
    <xf numFmtId="0" fontId="12" fillId="0" borderId="94" xfId="0" applyFont="1" applyFill="1" applyBorder="1" applyAlignment="1"/>
    <xf numFmtId="175" fontId="12" fillId="0" borderId="0" xfId="0" applyNumberFormat="1" applyFont="1" applyFill="1" applyBorder="1"/>
    <xf numFmtId="169" fontId="12" fillId="0" borderId="0" xfId="0" applyNumberFormat="1" applyFont="1" applyFill="1" applyBorder="1" applyAlignment="1">
      <alignment horizontal="center"/>
    </xf>
    <xf numFmtId="169" fontId="12" fillId="0" borderId="94" xfId="0" applyNumberFormat="1" applyFont="1" applyFill="1" applyBorder="1" applyAlignment="1">
      <alignment horizontal="center"/>
    </xf>
    <xf numFmtId="0" fontId="7" fillId="0" borderId="94" xfId="0" applyFont="1" applyFill="1" applyBorder="1"/>
    <xf numFmtId="169" fontId="7" fillId="0" borderId="0" xfId="0" applyNumberFormat="1" applyFont="1" applyFill="1" applyBorder="1"/>
    <xf numFmtId="169" fontId="7" fillId="0" borderId="0" xfId="0" applyNumberFormat="1" applyFont="1" applyFill="1" applyBorder="1" applyAlignment="1">
      <alignment horizontal="center"/>
    </xf>
    <xf numFmtId="169" fontId="7" fillId="0" borderId="94" xfId="0" applyNumberFormat="1" applyFont="1" applyFill="1" applyBorder="1" applyAlignment="1">
      <alignment horizontal="center"/>
    </xf>
    <xf numFmtId="0" fontId="12" fillId="0" borderId="94" xfId="3" applyFont="1" applyFill="1" applyBorder="1" applyAlignment="1">
      <alignment horizontal="left" vertical="top"/>
    </xf>
    <xf numFmtId="169" fontId="7" fillId="13" borderId="0" xfId="0" applyNumberFormat="1" applyFont="1" applyFill="1" applyAlignment="1">
      <alignment horizontal="center"/>
    </xf>
    <xf numFmtId="0" fontId="27" fillId="13" borderId="94" xfId="3" applyFont="1" applyFill="1" applyBorder="1" applyAlignment="1">
      <alignment horizontal="left" vertical="top"/>
    </xf>
    <xf numFmtId="169" fontId="6" fillId="0" borderId="0" xfId="0" applyNumberFormat="1" applyFont="1" applyFill="1"/>
    <xf numFmtId="0" fontId="111" fillId="0" borderId="94" xfId="0" applyFont="1" applyBorder="1"/>
    <xf numFmtId="0" fontId="7" fillId="0" borderId="0" xfId="0" applyFont="1" applyBorder="1" applyAlignment="1">
      <alignment horizontal="center"/>
    </xf>
    <xf numFmtId="0" fontId="7" fillId="0" borderId="96" xfId="0" applyFont="1" applyBorder="1"/>
    <xf numFmtId="38" fontId="6" fillId="13" borderId="94" xfId="0" applyNumberFormat="1" applyFont="1" applyFill="1" applyBorder="1" applyAlignment="1">
      <alignment horizontal="center"/>
    </xf>
    <xf numFmtId="0" fontId="7" fillId="0" borderId="94" xfId="0" applyFont="1" applyFill="1" applyBorder="1" applyAlignment="1">
      <alignment horizontal="left" indent="1"/>
    </xf>
    <xf numFmtId="38" fontId="7" fillId="0" borderId="94" xfId="0" applyNumberFormat="1" applyFont="1" applyBorder="1" applyAlignment="1">
      <alignment horizontal="center"/>
    </xf>
    <xf numFmtId="0" fontId="10" fillId="0" borderId="94" xfId="0" applyFont="1" applyFill="1" applyBorder="1" applyAlignment="1">
      <alignment horizontal="left" indent="1"/>
    </xf>
    <xf numFmtId="178" fontId="10" fillId="0" borderId="94" xfId="0" applyNumberFormat="1" applyFont="1" applyBorder="1" applyAlignment="1">
      <alignment horizontal="center"/>
    </xf>
    <xf numFmtId="37" fontId="10" fillId="0" borderId="0" xfId="1" applyNumberFormat="1" applyFont="1" applyAlignment="1">
      <alignment horizontal="center"/>
    </xf>
    <xf numFmtId="37" fontId="7" fillId="0" borderId="0" xfId="0" applyNumberFormat="1" applyFont="1" applyAlignment="1">
      <alignment horizontal="center"/>
    </xf>
    <xf numFmtId="37" fontId="7" fillId="0" borderId="94" xfId="0" applyNumberFormat="1" applyFont="1" applyBorder="1" applyAlignment="1">
      <alignment horizontal="center"/>
    </xf>
    <xf numFmtId="0" fontId="107" fillId="0" borderId="94" xfId="0" applyFont="1" applyBorder="1"/>
    <xf numFmtId="37" fontId="7" fillId="0" borderId="94" xfId="1" applyNumberFormat="1" applyFont="1" applyBorder="1" applyAlignment="1">
      <alignment horizontal="center"/>
    </xf>
    <xf numFmtId="37" fontId="7" fillId="0" borderId="96" xfId="1" applyNumberFormat="1" applyFont="1" applyBorder="1" applyAlignment="1">
      <alignment horizontal="center"/>
    </xf>
    <xf numFmtId="0" fontId="12" fillId="0" borderId="96" xfId="0" applyFont="1" applyBorder="1" applyAlignment="1">
      <alignment horizontal="left"/>
    </xf>
    <xf numFmtId="17" fontId="12" fillId="0" borderId="0" xfId="0" applyNumberFormat="1" applyFont="1"/>
    <xf numFmtId="190" fontId="112" fillId="0" borderId="0" xfId="0" applyNumberFormat="1" applyFont="1" applyAlignment="1">
      <alignment horizontal="center"/>
    </xf>
    <xf numFmtId="169" fontId="6" fillId="13" borderId="0" xfId="0" applyNumberFormat="1" applyFont="1" applyFill="1" applyBorder="1"/>
    <xf numFmtId="169" fontId="7" fillId="0" borderId="0" xfId="0" applyNumberFormat="1" applyFont="1"/>
    <xf numFmtId="38" fontId="0" fillId="0" borderId="0" xfId="0" applyNumberFormat="1" applyAlignment="1">
      <alignment wrapText="1"/>
    </xf>
    <xf numFmtId="38" fontId="0" fillId="0" borderId="0" xfId="0" applyNumberFormat="1" applyAlignment="1">
      <alignment horizontal="right"/>
    </xf>
    <xf numFmtId="169" fontId="10" fillId="0" borderId="0" xfId="0" applyNumberFormat="1" applyFont="1" applyFill="1" applyAlignment="1">
      <alignment horizontal="center"/>
    </xf>
    <xf numFmtId="176" fontId="7" fillId="0" borderId="0" xfId="0" applyNumberFormat="1" applyFont="1"/>
    <xf numFmtId="176" fontId="6" fillId="0" borderId="0" xfId="0" applyNumberFormat="1" applyFont="1" applyBorder="1"/>
    <xf numFmtId="176" fontId="10" fillId="0" borderId="0" xfId="0" applyNumberFormat="1" applyFont="1" applyBorder="1" applyAlignment="1">
      <alignment horizontal="center"/>
    </xf>
    <xf numFmtId="176" fontId="10" fillId="0" borderId="94" xfId="0" applyNumberFormat="1" applyFont="1" applyBorder="1" applyAlignment="1">
      <alignment horizontal="center"/>
    </xf>
    <xf numFmtId="176" fontId="12" fillId="0" borderId="24" xfId="0" applyNumberFormat="1" applyFont="1" applyBorder="1" applyAlignment="1">
      <alignment horizontal="center"/>
    </xf>
    <xf numFmtId="176" fontId="12" fillId="0" borderId="96" xfId="0" applyNumberFormat="1" applyFont="1" applyBorder="1" applyAlignment="1">
      <alignment horizontal="center"/>
    </xf>
    <xf numFmtId="0" fontId="0" fillId="11" borderId="97" xfId="0" applyFill="1" applyBorder="1" applyAlignment="1">
      <alignment horizontal="centerContinuous"/>
    </xf>
    <xf numFmtId="0" fontId="0" fillId="0" borderId="97" xfId="0" applyBorder="1"/>
    <xf numFmtId="0" fontId="0" fillId="0" borderId="97" xfId="0" applyBorder="1" applyAlignment="1">
      <alignment horizontal="right"/>
    </xf>
    <xf numFmtId="185" fontId="71" fillId="14" borderId="0" xfId="0" applyNumberFormat="1" applyFont="1" applyFill="1" applyBorder="1" applyAlignment="1"/>
    <xf numFmtId="0" fontId="72" fillId="14" borderId="0" xfId="0" applyFont="1" applyFill="1" applyBorder="1" applyAlignment="1">
      <alignment vertical="top"/>
    </xf>
    <xf numFmtId="194" fontId="71" fillId="15" borderId="0" xfId="0" applyNumberFormat="1" applyFont="1" applyFill="1" applyAlignment="1">
      <alignment horizontal="right"/>
    </xf>
    <xf numFmtId="0" fontId="71" fillId="15" borderId="0" xfId="0" applyFont="1" applyFill="1" applyAlignment="1"/>
    <xf numFmtId="194" fontId="71" fillId="15" borderId="0" xfId="0" applyNumberFormat="1" applyFont="1" applyFill="1" applyAlignment="1"/>
    <xf numFmtId="0" fontId="101" fillId="0" borderId="0" xfId="0" applyFont="1" applyAlignment="1"/>
    <xf numFmtId="37" fontId="71" fillId="0" borderId="0" xfId="0" applyNumberFormat="1" applyFont="1" applyAlignment="1">
      <alignment horizontal="right"/>
    </xf>
    <xf numFmtId="168" fontId="0" fillId="0" borderId="10" xfId="1" applyNumberFormat="1" applyFont="1" applyFill="1" applyBorder="1" applyAlignment="1">
      <alignment horizontal="center"/>
    </xf>
    <xf numFmtId="10" fontId="20" fillId="14" borderId="25" xfId="0" applyNumberFormat="1" applyFont="1" applyFill="1" applyBorder="1" applyAlignment="1">
      <alignment horizontal="left"/>
    </xf>
    <xf numFmtId="10" fontId="62" fillId="14" borderId="22" xfId="0" quotePrefix="1" applyNumberFormat="1" applyFont="1" applyFill="1" applyBorder="1" applyAlignment="1">
      <alignment horizontal="left"/>
    </xf>
    <xf numFmtId="0" fontId="36" fillId="2" borderId="98" xfId="0" applyFont="1" applyFill="1" applyBorder="1" applyAlignment="1">
      <alignment horizontal="center"/>
    </xf>
    <xf numFmtId="14" fontId="36" fillId="2" borderId="98" xfId="0" applyNumberFormat="1" applyFont="1" applyFill="1" applyBorder="1" applyAlignment="1">
      <alignment horizontal="center"/>
    </xf>
    <xf numFmtId="0" fontId="36" fillId="2" borderId="99" xfId="0" applyFont="1" applyFill="1" applyBorder="1" applyAlignment="1">
      <alignment horizontal="center"/>
    </xf>
    <xf numFmtId="195" fontId="36" fillId="2" borderId="86" xfId="1" applyNumberFormat="1" applyFont="1" applyFill="1" applyBorder="1" applyAlignment="1">
      <alignment horizontal="center"/>
    </xf>
    <xf numFmtId="0" fontId="23" fillId="14" borderId="0" xfId="0" applyFont="1" applyFill="1" applyBorder="1" applyAlignment="1">
      <alignment horizontal="left" vertical="center"/>
    </xf>
    <xf numFmtId="196" fontId="20" fillId="0" borderId="77" xfId="0" applyNumberFormat="1" applyFont="1" applyBorder="1" applyAlignment="1">
      <alignment horizontal="center"/>
    </xf>
    <xf numFmtId="195" fontId="36" fillId="2" borderId="0" xfId="1" applyNumberFormat="1" applyFont="1" applyFill="1" applyBorder="1" applyAlignment="1">
      <alignment horizontal="center"/>
    </xf>
    <xf numFmtId="43" fontId="51" fillId="12" borderId="0" xfId="1" applyFont="1" applyFill="1" applyBorder="1" applyAlignment="1">
      <alignment horizontal="right"/>
    </xf>
    <xf numFmtId="43" fontId="51" fillId="12" borderId="0" xfId="1" applyFont="1" applyFill="1"/>
    <xf numFmtId="169" fontId="1" fillId="14" borderId="0" xfId="2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13" fillId="14" borderId="44" xfId="0" applyFont="1" applyFill="1" applyBorder="1" applyAlignment="1">
      <alignment vertical="top"/>
    </xf>
    <xf numFmtId="184" fontId="100" fillId="0" borderId="24" xfId="0" applyNumberFormat="1" applyFont="1" applyFill="1" applyBorder="1" applyAlignment="1">
      <alignment horizontal="right" vertical="top"/>
    </xf>
    <xf numFmtId="0" fontId="73" fillId="0" borderId="24" xfId="0" applyFont="1" applyFill="1" applyBorder="1" applyAlignment="1">
      <alignment horizontal="center" vertical="top"/>
    </xf>
    <xf numFmtId="0" fontId="73" fillId="0" borderId="45" xfId="0" applyFont="1" applyFill="1" applyBorder="1" applyAlignment="1">
      <alignment horizontal="center" vertical="top"/>
    </xf>
    <xf numFmtId="43" fontId="113" fillId="0" borderId="24" xfId="1" applyFont="1" applyFill="1" applyBorder="1" applyAlignment="1">
      <alignment horizontal="right" vertical="top"/>
    </xf>
    <xf numFmtId="185" fontId="113" fillId="14" borderId="33" xfId="0" applyNumberFormat="1" applyFont="1" applyFill="1" applyBorder="1" applyAlignment="1">
      <alignment horizontal="right"/>
    </xf>
    <xf numFmtId="0" fontId="73" fillId="17" borderId="3" xfId="0" applyFont="1" applyFill="1" applyBorder="1" applyAlignment="1">
      <alignment vertical="center"/>
    </xf>
    <xf numFmtId="184" fontId="73" fillId="17" borderId="29" xfId="0" applyNumberFormat="1" applyFont="1" applyFill="1" applyBorder="1" applyAlignment="1">
      <alignment horizontal="right" vertical="top"/>
    </xf>
    <xf numFmtId="0" fontId="73" fillId="17" borderId="29" xfId="0" applyFont="1" applyFill="1" applyBorder="1" applyAlignment="1">
      <alignment horizontal="center" vertical="top"/>
    </xf>
    <xf numFmtId="0" fontId="73" fillId="17" borderId="101" xfId="0" applyFont="1" applyFill="1" applyBorder="1" applyAlignment="1">
      <alignment horizontal="center" vertical="top"/>
    </xf>
    <xf numFmtId="0" fontId="73" fillId="17" borderId="102" xfId="0" applyFont="1" applyFill="1" applyBorder="1" applyAlignment="1">
      <alignment horizontal="center" vertical="top"/>
    </xf>
    <xf numFmtId="0" fontId="73" fillId="17" borderId="31" xfId="0" applyFont="1" applyFill="1" applyBorder="1" applyAlignment="1">
      <alignment horizontal="center" vertical="top"/>
    </xf>
    <xf numFmtId="0" fontId="72" fillId="12" borderId="3" xfId="0" applyFont="1" applyFill="1" applyBorder="1" applyAlignment="1">
      <alignment vertical="center"/>
    </xf>
    <xf numFmtId="184" fontId="73" fillId="12" borderId="29" xfId="0" applyNumberFormat="1" applyFont="1" applyFill="1" applyBorder="1" applyAlignment="1">
      <alignment horizontal="right" vertical="top"/>
    </xf>
    <xf numFmtId="0" fontId="73" fillId="12" borderId="29" xfId="0" applyFont="1" applyFill="1" applyBorder="1" applyAlignment="1">
      <alignment horizontal="center" vertical="top"/>
    </xf>
    <xf numFmtId="0" fontId="73" fillId="12" borderId="30" xfId="0" applyFont="1" applyFill="1" applyBorder="1" applyAlignment="1">
      <alignment horizontal="center" vertical="top"/>
    </xf>
    <xf numFmtId="0" fontId="73" fillId="12" borderId="31" xfId="0" applyFont="1" applyFill="1" applyBorder="1" applyAlignment="1">
      <alignment horizontal="center" vertical="top"/>
    </xf>
    <xf numFmtId="0" fontId="113" fillId="14" borderId="4" xfId="0" applyFont="1" applyFill="1" applyBorder="1" applyAlignment="1">
      <alignment vertical="top"/>
    </xf>
    <xf numFmtId="184" fontId="100" fillId="0" borderId="5" xfId="0" applyNumberFormat="1" applyFont="1" applyFill="1" applyBorder="1" applyAlignment="1">
      <alignment horizontal="right" vertical="top"/>
    </xf>
    <xf numFmtId="43" fontId="113" fillId="0" borderId="5" xfId="1" applyFont="1" applyFill="1" applyBorder="1" applyAlignment="1">
      <alignment horizontal="right" vertical="top"/>
    </xf>
    <xf numFmtId="185" fontId="113" fillId="14" borderId="14" xfId="0" applyNumberFormat="1" applyFont="1" applyFill="1" applyBorder="1" applyAlignment="1">
      <alignment horizontal="right"/>
    </xf>
    <xf numFmtId="0" fontId="73" fillId="0" borderId="5" xfId="0" applyFont="1" applyFill="1" applyBorder="1" applyAlignment="1">
      <alignment horizontal="center" vertical="top"/>
    </xf>
    <xf numFmtId="0" fontId="73" fillId="0" borderId="46" xfId="0" applyFont="1" applyFill="1" applyBorder="1" applyAlignment="1">
      <alignment horizontal="center" vertical="top"/>
    </xf>
    <xf numFmtId="0" fontId="101" fillId="0" borderId="0" xfId="0" applyFont="1"/>
    <xf numFmtId="2" fontId="20" fillId="0" borderId="77" xfId="0" applyNumberFormat="1" applyFont="1" applyBorder="1" applyAlignment="1">
      <alignment horizontal="left"/>
    </xf>
    <xf numFmtId="9" fontId="0" fillId="0" borderId="0" xfId="0" applyNumberFormat="1" applyAlignment="1"/>
  </cellXfs>
  <cellStyles count="1040">
    <cellStyle name="1" xfId="4"/>
    <cellStyle name="Cancel" xfId="5"/>
    <cellStyle name="Comma" xfId="1" builtinId="3"/>
    <cellStyle name="Comma 2" xfId="6"/>
    <cellStyle name="Comma 3" xfId="7"/>
    <cellStyle name="Comma 4" xfId="8"/>
    <cellStyle name="Currency 2" xfId="9"/>
    <cellStyle name="Hyperlink" xfId="701" builtinId="8"/>
    <cellStyle name="Millares 10" xfId="10"/>
    <cellStyle name="Millares 10 4" xfId="11"/>
    <cellStyle name="Millares 11" xfId="12"/>
    <cellStyle name="Millares 12" xfId="13"/>
    <cellStyle name="Millares 13" xfId="14"/>
    <cellStyle name="Millares 14" xfId="15"/>
    <cellStyle name="Millares 15" xfId="16"/>
    <cellStyle name="Millares 16" xfId="17"/>
    <cellStyle name="Millares 17" xfId="18"/>
    <cellStyle name="Millares 18" xfId="19"/>
    <cellStyle name="Millares 19" xfId="20"/>
    <cellStyle name="Millares 2" xfId="21"/>
    <cellStyle name="Millares 2 10" xfId="22"/>
    <cellStyle name="Millares 2 11" xfId="23"/>
    <cellStyle name="Millares 2 12" xfId="24"/>
    <cellStyle name="Millares 2 13" xfId="25"/>
    <cellStyle name="Millares 2 14" xfId="26"/>
    <cellStyle name="Millares 2 15" xfId="27"/>
    <cellStyle name="Millares 2 16" xfId="28"/>
    <cellStyle name="Millares 2 17" xfId="29"/>
    <cellStyle name="Millares 2 18" xfId="30"/>
    <cellStyle name="Millares 2 19" xfId="31"/>
    <cellStyle name="Millares 2 2" xfId="32"/>
    <cellStyle name="Millares 2 2 2" xfId="33"/>
    <cellStyle name="Millares 2 20" xfId="34"/>
    <cellStyle name="Millares 2 21" xfId="35"/>
    <cellStyle name="Millares 2 22" xfId="36"/>
    <cellStyle name="Millares 2 23" xfId="37"/>
    <cellStyle name="Millares 2 24" xfId="38"/>
    <cellStyle name="Millares 2 25" xfId="39"/>
    <cellStyle name="Millares 2 26" xfId="40"/>
    <cellStyle name="Millares 2 27" xfId="41"/>
    <cellStyle name="Millares 2 28" xfId="42"/>
    <cellStyle name="Millares 2 29" xfId="43"/>
    <cellStyle name="Millares 2 3" xfId="44"/>
    <cellStyle name="Millares 2 3 2" xfId="45"/>
    <cellStyle name="Millares 2 30" xfId="46"/>
    <cellStyle name="Millares 2 31" xfId="47"/>
    <cellStyle name="Millares 2 32" xfId="48"/>
    <cellStyle name="Millares 2 33" xfId="49"/>
    <cellStyle name="Millares 2 34" xfId="50"/>
    <cellStyle name="Millares 2 4" xfId="51"/>
    <cellStyle name="Millares 2 5" xfId="52"/>
    <cellStyle name="Millares 2 6" xfId="53"/>
    <cellStyle name="Millares 2 7" xfId="54"/>
    <cellStyle name="Millares 2 8" xfId="55"/>
    <cellStyle name="Millares 2 9" xfId="56"/>
    <cellStyle name="Millares 20" xfId="57"/>
    <cellStyle name="Millares 21" xfId="58"/>
    <cellStyle name="Millares 22" xfId="59"/>
    <cellStyle name="Millares 23" xfId="60"/>
    <cellStyle name="Millares 24" xfId="61"/>
    <cellStyle name="Millares 25" xfId="62"/>
    <cellStyle name="Millares 26" xfId="63"/>
    <cellStyle name="Millares 27" xfId="64"/>
    <cellStyle name="Millares 28" xfId="65"/>
    <cellStyle name="Millares 29" xfId="66"/>
    <cellStyle name="Millares 3" xfId="67"/>
    <cellStyle name="Millares 3 2" xfId="68"/>
    <cellStyle name="Millares 3 2 2" xfId="69"/>
    <cellStyle name="Millares 3 3" xfId="70"/>
    <cellStyle name="Millares 3 3 2" xfId="71"/>
    <cellStyle name="Millares 3 3 3" xfId="72"/>
    <cellStyle name="Millares 3 3 4" xfId="73"/>
    <cellStyle name="Millares 3 3 5" xfId="74"/>
    <cellStyle name="Millares 3 3 6" xfId="75"/>
    <cellStyle name="Millares 3 4" xfId="76"/>
    <cellStyle name="Millares 3 5" xfId="77"/>
    <cellStyle name="Millares 31" xfId="78"/>
    <cellStyle name="Millares 4" xfId="79"/>
    <cellStyle name="Millares 4 2" xfId="80"/>
    <cellStyle name="Millares 4 3" xfId="81"/>
    <cellStyle name="Millares 5" xfId="82"/>
    <cellStyle name="Millares 5 2" xfId="83"/>
    <cellStyle name="Millares 6" xfId="84"/>
    <cellStyle name="Millares 6 2" xfId="85"/>
    <cellStyle name="Millares 7" xfId="86"/>
    <cellStyle name="Millares 7 2" xfId="87"/>
    <cellStyle name="Millares 8" xfId="88"/>
    <cellStyle name="Millares 8 2" xfId="89"/>
    <cellStyle name="Millares 9" xfId="90"/>
    <cellStyle name="Moneda 2" xfId="91"/>
    <cellStyle name="Moneda 2 2" xfId="92"/>
    <cellStyle name="Moneda 3" xfId="93"/>
    <cellStyle name="Moneda 3 2" xfId="94"/>
    <cellStyle name="Normal" xfId="0" builtinId="0"/>
    <cellStyle name="Normal 10" xfId="95"/>
    <cellStyle name="Normal 10 10" xfId="3"/>
    <cellStyle name="Normal 10 2" xfId="96"/>
    <cellStyle name="Normal 10 3" xfId="97"/>
    <cellStyle name="Normal 10 4" xfId="98"/>
    <cellStyle name="Normal 10 5" xfId="99"/>
    <cellStyle name="Normal 10 6" xfId="100"/>
    <cellStyle name="Normal 10 7" xfId="101"/>
    <cellStyle name="Normal 10 8" xfId="102"/>
    <cellStyle name="Normal 11" xfId="103"/>
    <cellStyle name="Normal 11 2" xfId="104"/>
    <cellStyle name="Normal 11 3" xfId="105"/>
    <cellStyle name="Normal 11 4" xfId="106"/>
    <cellStyle name="Normal 11 5" xfId="107"/>
    <cellStyle name="Normal 11 6" xfId="108"/>
    <cellStyle name="Normal 11 7" xfId="109"/>
    <cellStyle name="Normal 11 8" xfId="110"/>
    <cellStyle name="Normal 12" xfId="111"/>
    <cellStyle name="Normal 12 2" xfId="112"/>
    <cellStyle name="Normal 12 3" xfId="113"/>
    <cellStyle name="Normal 12 4" xfId="114"/>
    <cellStyle name="Normal 12 5" xfId="115"/>
    <cellStyle name="Normal 12 6" xfId="116"/>
    <cellStyle name="Normal 12 7" xfId="117"/>
    <cellStyle name="Normal 12 8" xfId="118"/>
    <cellStyle name="Normal 12_julio_26 proyecciones_doctor-correc" xfId="119"/>
    <cellStyle name="Normal 13" xfId="120"/>
    <cellStyle name="Normal 14" xfId="121"/>
    <cellStyle name="Normal 15" xfId="122"/>
    <cellStyle name="Normal 16" xfId="123"/>
    <cellStyle name="Normal 17" xfId="124"/>
    <cellStyle name="Normal 17 2" xfId="125"/>
    <cellStyle name="Normal 17 3" xfId="126"/>
    <cellStyle name="Normal 18" xfId="127"/>
    <cellStyle name="Normal 19" xfId="128"/>
    <cellStyle name="Normal 19 2" xfId="129"/>
    <cellStyle name="Normal 19 3" xfId="130"/>
    <cellStyle name="Normal 2" xfId="131"/>
    <cellStyle name="Normal 2 2" xfId="132"/>
    <cellStyle name="Normal 2 3" xfId="133"/>
    <cellStyle name="Normal 2 4" xfId="134"/>
    <cellStyle name="Normal 2 5" xfId="135"/>
    <cellStyle name="Normal 2 6" xfId="136"/>
    <cellStyle name="Normal 2 7" xfId="137"/>
    <cellStyle name="Normal 2 8" xfId="138"/>
    <cellStyle name="Normal 2_EDO.RESULTADOS" xfId="139"/>
    <cellStyle name="Normal 20" xfId="140"/>
    <cellStyle name="Normal 20 2" xfId="141"/>
    <cellStyle name="Normal 20 3" xfId="142"/>
    <cellStyle name="Normal 21" xfId="143"/>
    <cellStyle name="Normal 22" xfId="144"/>
    <cellStyle name="Normal 22 2" xfId="145"/>
    <cellStyle name="Normal 22 3" xfId="146"/>
    <cellStyle name="Normal 23" xfId="147"/>
    <cellStyle name="Normal 23 2" xfId="148"/>
    <cellStyle name="Normal 23 3" xfId="149"/>
    <cellStyle name="Normal 23 4" xfId="150"/>
    <cellStyle name="Normal 23 5" xfId="151"/>
    <cellStyle name="Normal 23 6" xfId="152"/>
    <cellStyle name="Normal 23 7" xfId="153"/>
    <cellStyle name="Normal 23 8" xfId="154"/>
    <cellStyle name="Normal 23 9" xfId="155"/>
    <cellStyle name="Normal 24" xfId="156"/>
    <cellStyle name="Normal 24 2" xfId="157"/>
    <cellStyle name="Normal 25" xfId="158"/>
    <cellStyle name="Normal 25 2" xfId="159"/>
    <cellStyle name="Normal 26" xfId="160"/>
    <cellStyle name="Normal 26 2" xfId="161"/>
    <cellStyle name="Normal 27" xfId="162"/>
    <cellStyle name="Normal 27 2" xfId="163"/>
    <cellStyle name="Normal 27 3" xfId="164"/>
    <cellStyle name="Normal 28" xfId="165"/>
    <cellStyle name="Normal 28 2" xfId="166"/>
    <cellStyle name="Normal 28 3" xfId="167"/>
    <cellStyle name="Normal 29" xfId="168"/>
    <cellStyle name="Normal 29 2" xfId="169"/>
    <cellStyle name="Normal 29 3" xfId="170"/>
    <cellStyle name="Normal 3" xfId="171"/>
    <cellStyle name="Normal 3 2" xfId="172"/>
    <cellStyle name="Normal 3 3" xfId="173"/>
    <cellStyle name="Normal 3 4" xfId="174"/>
    <cellStyle name="Normal 3_ PROY FIN  2009 CONSERV." xfId="175"/>
    <cellStyle name="Normal 30" xfId="176"/>
    <cellStyle name="Normal 30 2" xfId="177"/>
    <cellStyle name="Normal 30 3" xfId="178"/>
    <cellStyle name="Normal 31" xfId="179"/>
    <cellStyle name="Normal 31 2" xfId="180"/>
    <cellStyle name="Normal 31 3" xfId="181"/>
    <cellStyle name="Normal 32" xfId="182"/>
    <cellStyle name="Normal 32 2" xfId="183"/>
    <cellStyle name="Normal 32 3" xfId="184"/>
    <cellStyle name="Normal 33" xfId="185"/>
    <cellStyle name="Normal 33 2" xfId="186"/>
    <cellStyle name="Normal 33 3" xfId="187"/>
    <cellStyle name="Normal 33 4" xfId="188"/>
    <cellStyle name="Normal 33_julio_26 proyecciones_doctor-correc" xfId="189"/>
    <cellStyle name="Normal 34" xfId="190"/>
    <cellStyle name="Normal 34 2" xfId="191"/>
    <cellStyle name="Normal 35" xfId="192"/>
    <cellStyle name="Normal 35 2" xfId="193"/>
    <cellStyle name="Normal 36" xfId="194"/>
    <cellStyle name="Normal 36 2" xfId="195"/>
    <cellStyle name="Normal 37" xfId="196"/>
    <cellStyle name="Normal 37 2" xfId="197"/>
    <cellStyle name="Normal 38" xfId="198"/>
    <cellStyle name="Normal 38 2" xfId="199"/>
    <cellStyle name="Normal 39" xfId="200"/>
    <cellStyle name="Normal 39 2" xfId="201"/>
    <cellStyle name="Normal 39 3" xfId="202"/>
    <cellStyle name="Normal 39 4" xfId="203"/>
    <cellStyle name="Normal 4" xfId="204"/>
    <cellStyle name="Normal 4 2" xfId="205"/>
    <cellStyle name="Normal 4 3" xfId="206"/>
    <cellStyle name="Normal 40" xfId="207"/>
    <cellStyle name="Normal 40 2" xfId="208"/>
    <cellStyle name="Normal 40 3" xfId="209"/>
    <cellStyle name="Normal 40 4" xfId="210"/>
    <cellStyle name="Normal 41" xfId="211"/>
    <cellStyle name="Normal 41 2" xfId="212"/>
    <cellStyle name="Normal 41 3" xfId="213"/>
    <cellStyle name="Normal 41 4" xfId="214"/>
    <cellStyle name="Normal 42" xfId="215"/>
    <cellStyle name="Normal 42 2" xfId="216"/>
    <cellStyle name="Normal 43" xfId="217"/>
    <cellStyle name="Normal 43 2" xfId="218"/>
    <cellStyle name="Normal 43 3" xfId="219"/>
    <cellStyle name="Normal 43 4" xfId="220"/>
    <cellStyle name="Normal 44" xfId="221"/>
    <cellStyle name="Normal 44 2" xfId="222"/>
    <cellStyle name="Normal 44 3" xfId="223"/>
    <cellStyle name="Normal 44 4" xfId="224"/>
    <cellStyle name="Normal 45" xfId="225"/>
    <cellStyle name="Normal 45 2" xfId="226"/>
    <cellStyle name="Normal 45 3" xfId="227"/>
    <cellStyle name="Normal 46" xfId="228"/>
    <cellStyle name="Normal 46 2" xfId="229"/>
    <cellStyle name="Normal 46 3" xfId="230"/>
    <cellStyle name="Normal 47" xfId="231"/>
    <cellStyle name="Normal 47 2" xfId="232"/>
    <cellStyle name="Normal 47_julio_26 proyecciones_doctor-correc" xfId="233"/>
    <cellStyle name="Normal 48" xfId="234"/>
    <cellStyle name="Normal 48 2" xfId="235"/>
    <cellStyle name="Normal 48 3" xfId="236"/>
    <cellStyle name="Normal 49" xfId="237"/>
    <cellStyle name="Normal 49 2" xfId="238"/>
    <cellStyle name="Normal 49 3" xfId="239"/>
    <cellStyle name="Normal 5" xfId="240"/>
    <cellStyle name="Normal 5 2" xfId="241"/>
    <cellStyle name="Normal 5 3" xfId="242"/>
    <cellStyle name="Normal 50" xfId="243"/>
    <cellStyle name="Normal 50 2" xfId="244"/>
    <cellStyle name="Normal 50 3" xfId="245"/>
    <cellStyle name="Normal 51" xfId="246"/>
    <cellStyle name="Normal 51 2" xfId="247"/>
    <cellStyle name="Normal 51 3" xfId="248"/>
    <cellStyle name="Normal 51 4" xfId="249"/>
    <cellStyle name="Normal 52" xfId="250"/>
    <cellStyle name="Normal 52 2" xfId="251"/>
    <cellStyle name="Normal 52 3" xfId="252"/>
    <cellStyle name="Normal 52 4" xfId="253"/>
    <cellStyle name="Normal 53" xfId="254"/>
    <cellStyle name="Normal 53 2" xfId="255"/>
    <cellStyle name="Normal 53 3" xfId="256"/>
    <cellStyle name="Normal 53 4" xfId="257"/>
    <cellStyle name="Normal 54" xfId="258"/>
    <cellStyle name="Normal 54 2" xfId="259"/>
    <cellStyle name="Normal 54 3" xfId="260"/>
    <cellStyle name="Normal 54 4" xfId="261"/>
    <cellStyle name="Normal 55" xfId="262"/>
    <cellStyle name="Normal 55 2" xfId="263"/>
    <cellStyle name="Normal 55 3" xfId="264"/>
    <cellStyle name="Normal 55 4" xfId="265"/>
    <cellStyle name="Normal 56" xfId="266"/>
    <cellStyle name="Normal 56 2" xfId="267"/>
    <cellStyle name="Normal 56 3" xfId="268"/>
    <cellStyle name="Normal 57" xfId="269"/>
    <cellStyle name="Normal 57 2" xfId="270"/>
    <cellStyle name="Normal 57 3" xfId="271"/>
    <cellStyle name="Normal 58" xfId="272"/>
    <cellStyle name="Normal 58 2" xfId="273"/>
    <cellStyle name="Normal 58 3" xfId="274"/>
    <cellStyle name="Normal 59" xfId="275"/>
    <cellStyle name="Normal 59 2" xfId="276"/>
    <cellStyle name="Normal 59 3" xfId="277"/>
    <cellStyle name="Normal 6" xfId="278"/>
    <cellStyle name="Normal 6 2" xfId="279"/>
    <cellStyle name="Normal 6 3" xfId="280"/>
    <cellStyle name="Normal 6 4" xfId="281"/>
    <cellStyle name="Normal 6 5" xfId="282"/>
    <cellStyle name="Normal 6 6" xfId="283"/>
    <cellStyle name="Normal 6 7" xfId="284"/>
    <cellStyle name="Normal 6 8" xfId="285"/>
    <cellStyle name="Normal 60" xfId="286"/>
    <cellStyle name="Normal 60 2" xfId="287"/>
    <cellStyle name="Normal 60 3" xfId="288"/>
    <cellStyle name="Normal 61" xfId="289"/>
    <cellStyle name="Normal 61 2" xfId="290"/>
    <cellStyle name="Normal 62" xfId="291"/>
    <cellStyle name="Normal 62 2" xfId="292"/>
    <cellStyle name="Normal 62 3" xfId="293"/>
    <cellStyle name="Normal 63" xfId="294"/>
    <cellStyle name="Normal 63 2" xfId="295"/>
    <cellStyle name="Normal 63 3" xfId="296"/>
    <cellStyle name="Normal 64" xfId="297"/>
    <cellStyle name="Normal 64 2" xfId="298"/>
    <cellStyle name="Normal 64 3" xfId="299"/>
    <cellStyle name="Normal 65" xfId="300"/>
    <cellStyle name="Normal 65 2" xfId="301"/>
    <cellStyle name="Normal 65 3" xfId="302"/>
    <cellStyle name="Normal 66" xfId="303"/>
    <cellStyle name="Normal 66 2" xfId="304"/>
    <cellStyle name="Normal 66 3" xfId="305"/>
    <cellStyle name="Normal 67" xfId="306"/>
    <cellStyle name="Normal 67 2" xfId="307"/>
    <cellStyle name="Normal 68" xfId="308"/>
    <cellStyle name="Normal 68 2" xfId="309"/>
    <cellStyle name="Normal 69" xfId="310"/>
    <cellStyle name="Normal 69 2" xfId="311"/>
    <cellStyle name="Normal 7" xfId="312"/>
    <cellStyle name="Normal 7 2" xfId="313"/>
    <cellStyle name="Normal 7 3" xfId="314"/>
    <cellStyle name="Normal 70" xfId="315"/>
    <cellStyle name="Normal 70 2" xfId="316"/>
    <cellStyle name="Normal 71" xfId="317"/>
    <cellStyle name="Normal 72" xfId="318"/>
    <cellStyle name="Normal 73" xfId="319"/>
    <cellStyle name="Normal 74" xfId="320"/>
    <cellStyle name="Normal 75" xfId="321"/>
    <cellStyle name="Normal 76" xfId="322"/>
    <cellStyle name="Normal 77" xfId="323"/>
    <cellStyle name="Normal 78" xfId="324"/>
    <cellStyle name="Normal 79" xfId="325"/>
    <cellStyle name="Normal 79 2" xfId="326"/>
    <cellStyle name="Normal 8" xfId="327"/>
    <cellStyle name="Normal 8 2" xfId="328"/>
    <cellStyle name="Normal 8 3" xfId="329"/>
    <cellStyle name="Normal 8 4" xfId="330"/>
    <cellStyle name="Normal 80" xfId="331"/>
    <cellStyle name="Normal 80 2" xfId="332"/>
    <cellStyle name="Normal 81" xfId="333"/>
    <cellStyle name="Normal 81 2" xfId="334"/>
    <cellStyle name="Normal 82" xfId="335"/>
    <cellStyle name="Normal 83" xfId="336"/>
    <cellStyle name="Normal 84" xfId="337"/>
    <cellStyle name="Normal 85" xfId="338"/>
    <cellStyle name="Normal 86" xfId="339"/>
    <cellStyle name="Normal 87" xfId="340"/>
    <cellStyle name="Normal 88" xfId="341"/>
    <cellStyle name="Normal 89" xfId="342"/>
    <cellStyle name="Normal 9" xfId="343"/>
    <cellStyle name="Normal 9 2" xfId="344"/>
    <cellStyle name="Normal 9 3" xfId="345"/>
    <cellStyle name="Normal 9 4" xfId="346"/>
    <cellStyle name="Normal 9 5" xfId="347"/>
    <cellStyle name="Normal 9 6" xfId="348"/>
    <cellStyle name="Normal 9 7" xfId="349"/>
    <cellStyle name="Normal 9 8" xfId="350"/>
    <cellStyle name="Normal 90" xfId="351"/>
    <cellStyle name="Normal 91" xfId="352"/>
    <cellStyle name="Normal 92" xfId="353"/>
    <cellStyle name="Normal 93" xfId="354"/>
    <cellStyle name="Normal 94" xfId="355"/>
    <cellStyle name="Normal_Organizational Data" xfId="356"/>
    <cellStyle name="Notas 10" xfId="357"/>
    <cellStyle name="Notas 10 2" xfId="358"/>
    <cellStyle name="Notas 10 2 2" xfId="703"/>
    <cellStyle name="Notas 10 3" xfId="359"/>
    <cellStyle name="Notas 10 3 2" xfId="704"/>
    <cellStyle name="Notas 10 4" xfId="360"/>
    <cellStyle name="Notas 10 4 2" xfId="705"/>
    <cellStyle name="Notas 10 5" xfId="361"/>
    <cellStyle name="Notas 10 5 2" xfId="706"/>
    <cellStyle name="Notas 10 6" xfId="362"/>
    <cellStyle name="Notas 10 6 2" xfId="707"/>
    <cellStyle name="Notas 10 7" xfId="363"/>
    <cellStyle name="Notas 10 7 2" xfId="708"/>
    <cellStyle name="Notas 10 8" xfId="364"/>
    <cellStyle name="Notas 10 8 2" xfId="709"/>
    <cellStyle name="Notas 10 9" xfId="702"/>
    <cellStyle name="Notas 11" xfId="365"/>
    <cellStyle name="Notas 11 2" xfId="366"/>
    <cellStyle name="Notas 11 2 2" xfId="711"/>
    <cellStyle name="Notas 11 3" xfId="367"/>
    <cellStyle name="Notas 11 3 2" xfId="712"/>
    <cellStyle name="Notas 11 4" xfId="368"/>
    <cellStyle name="Notas 11 4 2" xfId="713"/>
    <cellStyle name="Notas 11 5" xfId="369"/>
    <cellStyle name="Notas 11 5 2" xfId="714"/>
    <cellStyle name="Notas 11 6" xfId="370"/>
    <cellStyle name="Notas 11 6 2" xfId="715"/>
    <cellStyle name="Notas 11 7" xfId="371"/>
    <cellStyle name="Notas 11 7 2" xfId="716"/>
    <cellStyle name="Notas 11 8" xfId="372"/>
    <cellStyle name="Notas 11 8 2" xfId="717"/>
    <cellStyle name="Notas 11 9" xfId="710"/>
    <cellStyle name="Notas 12" xfId="373"/>
    <cellStyle name="Notas 12 2" xfId="718"/>
    <cellStyle name="Notas 13" xfId="374"/>
    <cellStyle name="Notas 13 2" xfId="719"/>
    <cellStyle name="Notas 14" xfId="375"/>
    <cellStyle name="Notas 14 2" xfId="720"/>
    <cellStyle name="Notas 15" xfId="376"/>
    <cellStyle name="Notas 15 2" xfId="721"/>
    <cellStyle name="Notas 16" xfId="377"/>
    <cellStyle name="Notas 16 2" xfId="722"/>
    <cellStyle name="Notas 17" xfId="378"/>
    <cellStyle name="Notas 17 2" xfId="723"/>
    <cellStyle name="Notas 18" xfId="379"/>
    <cellStyle name="Notas 18 2" xfId="724"/>
    <cellStyle name="Notas 19" xfId="380"/>
    <cellStyle name="Notas 19 2" xfId="725"/>
    <cellStyle name="Notas 2" xfId="381"/>
    <cellStyle name="Notas 2 2" xfId="382"/>
    <cellStyle name="Notas 2 2 2" xfId="727"/>
    <cellStyle name="Notas 2 3" xfId="383"/>
    <cellStyle name="Notas 2 3 2" xfId="728"/>
    <cellStyle name="Notas 2 4" xfId="384"/>
    <cellStyle name="Notas 2 4 2" xfId="729"/>
    <cellStyle name="Notas 2 5" xfId="385"/>
    <cellStyle name="Notas 2 5 2" xfId="730"/>
    <cellStyle name="Notas 2 6" xfId="386"/>
    <cellStyle name="Notas 2 6 2" xfId="731"/>
    <cellStyle name="Notas 2 7" xfId="387"/>
    <cellStyle name="Notas 2 7 2" xfId="732"/>
    <cellStyle name="Notas 2 8" xfId="388"/>
    <cellStyle name="Notas 2 8 2" xfId="733"/>
    <cellStyle name="Notas 2 9" xfId="726"/>
    <cellStyle name="Notas 20" xfId="389"/>
    <cellStyle name="Notas 20 2" xfId="734"/>
    <cellStyle name="Notas 21" xfId="390"/>
    <cellStyle name="Notas 21 2" xfId="735"/>
    <cellStyle name="Notas 22" xfId="391"/>
    <cellStyle name="Notas 22 2" xfId="392"/>
    <cellStyle name="Notas 22 2 2" xfId="737"/>
    <cellStyle name="Notas 22 3" xfId="393"/>
    <cellStyle name="Notas 22 3 2" xfId="738"/>
    <cellStyle name="Notas 22 4" xfId="394"/>
    <cellStyle name="Notas 22 4 2" xfId="739"/>
    <cellStyle name="Notas 22 5" xfId="395"/>
    <cellStyle name="Notas 22 5 2" xfId="740"/>
    <cellStyle name="Notas 22 6" xfId="396"/>
    <cellStyle name="Notas 22 6 2" xfId="741"/>
    <cellStyle name="Notas 22 7" xfId="736"/>
    <cellStyle name="Notas 23" xfId="397"/>
    <cellStyle name="Notas 23 2" xfId="398"/>
    <cellStyle name="Notas 23 2 2" xfId="743"/>
    <cellStyle name="Notas 23 3" xfId="399"/>
    <cellStyle name="Notas 23 3 2" xfId="744"/>
    <cellStyle name="Notas 23 4" xfId="400"/>
    <cellStyle name="Notas 23 4 2" xfId="745"/>
    <cellStyle name="Notas 23 5" xfId="401"/>
    <cellStyle name="Notas 23 5 2" xfId="746"/>
    <cellStyle name="Notas 23 6" xfId="402"/>
    <cellStyle name="Notas 23 6 2" xfId="747"/>
    <cellStyle name="Notas 23 7" xfId="742"/>
    <cellStyle name="Notas 24" xfId="403"/>
    <cellStyle name="Notas 24 2" xfId="404"/>
    <cellStyle name="Notas 24 2 2" xfId="749"/>
    <cellStyle name="Notas 24 3" xfId="405"/>
    <cellStyle name="Notas 24 3 2" xfId="750"/>
    <cellStyle name="Notas 24 4" xfId="406"/>
    <cellStyle name="Notas 24 4 2" xfId="751"/>
    <cellStyle name="Notas 24 5" xfId="407"/>
    <cellStyle name="Notas 24 5 2" xfId="752"/>
    <cellStyle name="Notas 24 6" xfId="408"/>
    <cellStyle name="Notas 24 6 2" xfId="753"/>
    <cellStyle name="Notas 24 7" xfId="748"/>
    <cellStyle name="Notas 25" xfId="409"/>
    <cellStyle name="Notas 25 2" xfId="410"/>
    <cellStyle name="Notas 25 2 2" xfId="755"/>
    <cellStyle name="Notas 25 3" xfId="411"/>
    <cellStyle name="Notas 25 3 2" xfId="756"/>
    <cellStyle name="Notas 25 4" xfId="412"/>
    <cellStyle name="Notas 25 4 2" xfId="757"/>
    <cellStyle name="Notas 25 5" xfId="413"/>
    <cellStyle name="Notas 25 5 2" xfId="758"/>
    <cellStyle name="Notas 25 6" xfId="414"/>
    <cellStyle name="Notas 25 6 2" xfId="759"/>
    <cellStyle name="Notas 25 7" xfId="754"/>
    <cellStyle name="Notas 26" xfId="415"/>
    <cellStyle name="Notas 26 2" xfId="416"/>
    <cellStyle name="Notas 26 2 2" xfId="761"/>
    <cellStyle name="Notas 26 3" xfId="417"/>
    <cellStyle name="Notas 26 3 2" xfId="762"/>
    <cellStyle name="Notas 26 4" xfId="418"/>
    <cellStyle name="Notas 26 4 2" xfId="763"/>
    <cellStyle name="Notas 26 5" xfId="419"/>
    <cellStyle name="Notas 26 5 2" xfId="764"/>
    <cellStyle name="Notas 26 6" xfId="420"/>
    <cellStyle name="Notas 26 6 2" xfId="765"/>
    <cellStyle name="Notas 26 7" xfId="760"/>
    <cellStyle name="Notas 27" xfId="421"/>
    <cellStyle name="Notas 27 2" xfId="422"/>
    <cellStyle name="Notas 27 2 2" xfId="767"/>
    <cellStyle name="Notas 27 3" xfId="423"/>
    <cellStyle name="Notas 27 3 2" xfId="768"/>
    <cellStyle name="Notas 27 4" xfId="424"/>
    <cellStyle name="Notas 27 4 2" xfId="769"/>
    <cellStyle name="Notas 27 5" xfId="425"/>
    <cellStyle name="Notas 27 5 2" xfId="770"/>
    <cellStyle name="Notas 27 6" xfId="426"/>
    <cellStyle name="Notas 27 6 2" xfId="771"/>
    <cellStyle name="Notas 27 7" xfId="766"/>
    <cellStyle name="Notas 28" xfId="427"/>
    <cellStyle name="Notas 28 2" xfId="428"/>
    <cellStyle name="Notas 28 2 2" xfId="773"/>
    <cellStyle name="Notas 28 3" xfId="429"/>
    <cellStyle name="Notas 28 3 2" xfId="774"/>
    <cellStyle name="Notas 28 4" xfId="430"/>
    <cellStyle name="Notas 28 4 2" xfId="775"/>
    <cellStyle name="Notas 28 5" xfId="431"/>
    <cellStyle name="Notas 28 5 2" xfId="776"/>
    <cellStyle name="Notas 28 6" xfId="432"/>
    <cellStyle name="Notas 28 6 2" xfId="777"/>
    <cellStyle name="Notas 28 7" xfId="772"/>
    <cellStyle name="Notas 29" xfId="433"/>
    <cellStyle name="Notas 29 2" xfId="434"/>
    <cellStyle name="Notas 29 2 2" xfId="779"/>
    <cellStyle name="Notas 29 3" xfId="435"/>
    <cellStyle name="Notas 29 3 2" xfId="780"/>
    <cellStyle name="Notas 29 4" xfId="436"/>
    <cellStyle name="Notas 29 4 2" xfId="781"/>
    <cellStyle name="Notas 29 5" xfId="437"/>
    <cellStyle name="Notas 29 5 2" xfId="782"/>
    <cellStyle name="Notas 29 6" xfId="438"/>
    <cellStyle name="Notas 29 6 2" xfId="783"/>
    <cellStyle name="Notas 29 7" xfId="778"/>
    <cellStyle name="Notas 3" xfId="439"/>
    <cellStyle name="Notas 3 2" xfId="440"/>
    <cellStyle name="Notas 3 2 2" xfId="785"/>
    <cellStyle name="Notas 3 3" xfId="441"/>
    <cellStyle name="Notas 3 3 2" xfId="786"/>
    <cellStyle name="Notas 3 4" xfId="442"/>
    <cellStyle name="Notas 3 4 2" xfId="787"/>
    <cellStyle name="Notas 3 5" xfId="443"/>
    <cellStyle name="Notas 3 5 2" xfId="788"/>
    <cellStyle name="Notas 3 6" xfId="444"/>
    <cellStyle name="Notas 3 6 2" xfId="789"/>
    <cellStyle name="Notas 3 7" xfId="445"/>
    <cellStyle name="Notas 3 7 2" xfId="790"/>
    <cellStyle name="Notas 3 8" xfId="446"/>
    <cellStyle name="Notas 3 8 2" xfId="791"/>
    <cellStyle name="Notas 3 9" xfId="784"/>
    <cellStyle name="Notas 30" xfId="447"/>
    <cellStyle name="Notas 30 2" xfId="448"/>
    <cellStyle name="Notas 30 2 2" xfId="793"/>
    <cellStyle name="Notas 30 3" xfId="449"/>
    <cellStyle name="Notas 30 3 2" xfId="794"/>
    <cellStyle name="Notas 30 4" xfId="450"/>
    <cellStyle name="Notas 30 4 2" xfId="795"/>
    <cellStyle name="Notas 30 5" xfId="451"/>
    <cellStyle name="Notas 30 5 2" xfId="796"/>
    <cellStyle name="Notas 30 6" xfId="792"/>
    <cellStyle name="Notas 31" xfId="452"/>
    <cellStyle name="Notas 31 2" xfId="453"/>
    <cellStyle name="Notas 31 2 2" xfId="798"/>
    <cellStyle name="Notas 31 3" xfId="454"/>
    <cellStyle name="Notas 31 3 2" xfId="799"/>
    <cellStyle name="Notas 31 4" xfId="455"/>
    <cellStyle name="Notas 31 4 2" xfId="800"/>
    <cellStyle name="Notas 31 5" xfId="456"/>
    <cellStyle name="Notas 31 5 2" xfId="801"/>
    <cellStyle name="Notas 31 6" xfId="797"/>
    <cellStyle name="Notas 32" xfId="457"/>
    <cellStyle name="Notas 32 2" xfId="458"/>
    <cellStyle name="Notas 32 2 2" xfId="803"/>
    <cellStyle name="Notas 32 3" xfId="459"/>
    <cellStyle name="Notas 32 3 2" xfId="804"/>
    <cellStyle name="Notas 32 4" xfId="460"/>
    <cellStyle name="Notas 32 4 2" xfId="805"/>
    <cellStyle name="Notas 32 5" xfId="461"/>
    <cellStyle name="Notas 32 5 2" xfId="806"/>
    <cellStyle name="Notas 32 6" xfId="802"/>
    <cellStyle name="Notas 33" xfId="462"/>
    <cellStyle name="Notas 33 2" xfId="463"/>
    <cellStyle name="Notas 33 2 2" xfId="808"/>
    <cellStyle name="Notas 33 3" xfId="464"/>
    <cellStyle name="Notas 33 3 2" xfId="809"/>
    <cellStyle name="Notas 33 4" xfId="465"/>
    <cellStyle name="Notas 33 4 2" xfId="810"/>
    <cellStyle name="Notas 33 5" xfId="466"/>
    <cellStyle name="Notas 33 5 2" xfId="811"/>
    <cellStyle name="Notas 33 6" xfId="807"/>
    <cellStyle name="Notas 34" xfId="467"/>
    <cellStyle name="Notas 34 2" xfId="468"/>
    <cellStyle name="Notas 34 2 2" xfId="813"/>
    <cellStyle name="Notas 34 3" xfId="469"/>
    <cellStyle name="Notas 34 3 2" xfId="814"/>
    <cellStyle name="Notas 34 4" xfId="470"/>
    <cellStyle name="Notas 34 4 2" xfId="815"/>
    <cellStyle name="Notas 34 5" xfId="471"/>
    <cellStyle name="Notas 34 5 2" xfId="816"/>
    <cellStyle name="Notas 34 6" xfId="812"/>
    <cellStyle name="Notas 35" xfId="472"/>
    <cellStyle name="Notas 35 2" xfId="473"/>
    <cellStyle name="Notas 35 2 2" xfId="818"/>
    <cellStyle name="Notas 35 3" xfId="474"/>
    <cellStyle name="Notas 35 3 2" xfId="819"/>
    <cellStyle name="Notas 35 4" xfId="475"/>
    <cellStyle name="Notas 35 4 2" xfId="820"/>
    <cellStyle name="Notas 35 5" xfId="476"/>
    <cellStyle name="Notas 35 5 2" xfId="821"/>
    <cellStyle name="Notas 35 6" xfId="817"/>
    <cellStyle name="Notas 36" xfId="477"/>
    <cellStyle name="Notas 36 2" xfId="478"/>
    <cellStyle name="Notas 36 2 2" xfId="823"/>
    <cellStyle name="Notas 36 3" xfId="479"/>
    <cellStyle name="Notas 36 3 2" xfId="824"/>
    <cellStyle name="Notas 36 4" xfId="480"/>
    <cellStyle name="Notas 36 4 2" xfId="825"/>
    <cellStyle name="Notas 36 5" xfId="481"/>
    <cellStyle name="Notas 36 5 2" xfId="826"/>
    <cellStyle name="Notas 36 6" xfId="822"/>
    <cellStyle name="Notas 37" xfId="482"/>
    <cellStyle name="Notas 37 2" xfId="483"/>
    <cellStyle name="Notas 37 2 2" xfId="828"/>
    <cellStyle name="Notas 37 3" xfId="484"/>
    <cellStyle name="Notas 37 3 2" xfId="829"/>
    <cellStyle name="Notas 37 4" xfId="485"/>
    <cellStyle name="Notas 37 4 2" xfId="830"/>
    <cellStyle name="Notas 37 5" xfId="486"/>
    <cellStyle name="Notas 37 5 2" xfId="831"/>
    <cellStyle name="Notas 37 6" xfId="827"/>
    <cellStyle name="Notas 38" xfId="487"/>
    <cellStyle name="Notas 38 2" xfId="488"/>
    <cellStyle name="Notas 38 2 2" xfId="833"/>
    <cellStyle name="Notas 38 3" xfId="489"/>
    <cellStyle name="Notas 38 3 2" xfId="834"/>
    <cellStyle name="Notas 38 4" xfId="490"/>
    <cellStyle name="Notas 38 4 2" xfId="835"/>
    <cellStyle name="Notas 38 5" xfId="491"/>
    <cellStyle name="Notas 38 5 2" xfId="836"/>
    <cellStyle name="Notas 38 6" xfId="832"/>
    <cellStyle name="Notas 39" xfId="492"/>
    <cellStyle name="Notas 39 2" xfId="493"/>
    <cellStyle name="Notas 39 2 2" xfId="838"/>
    <cellStyle name="Notas 39 3" xfId="494"/>
    <cellStyle name="Notas 39 3 2" xfId="839"/>
    <cellStyle name="Notas 39 4" xfId="495"/>
    <cellStyle name="Notas 39 4 2" xfId="840"/>
    <cellStyle name="Notas 39 5" xfId="496"/>
    <cellStyle name="Notas 39 5 2" xfId="841"/>
    <cellStyle name="Notas 39 6" xfId="837"/>
    <cellStyle name="Notas 4" xfId="497"/>
    <cellStyle name="Notas 4 2" xfId="498"/>
    <cellStyle name="Notas 4 2 2" xfId="843"/>
    <cellStyle name="Notas 4 3" xfId="499"/>
    <cellStyle name="Notas 4 3 2" xfId="844"/>
    <cellStyle name="Notas 4 4" xfId="500"/>
    <cellStyle name="Notas 4 4 2" xfId="845"/>
    <cellStyle name="Notas 4 5" xfId="501"/>
    <cellStyle name="Notas 4 5 2" xfId="846"/>
    <cellStyle name="Notas 4 6" xfId="502"/>
    <cellStyle name="Notas 4 6 2" xfId="847"/>
    <cellStyle name="Notas 4 7" xfId="503"/>
    <cellStyle name="Notas 4 7 2" xfId="848"/>
    <cellStyle name="Notas 4 8" xfId="504"/>
    <cellStyle name="Notas 4 8 2" xfId="849"/>
    <cellStyle name="Notas 4 9" xfId="842"/>
    <cellStyle name="Notas 40" xfId="505"/>
    <cellStyle name="Notas 40 2" xfId="506"/>
    <cellStyle name="Notas 40 2 2" xfId="851"/>
    <cellStyle name="Notas 40 3" xfId="507"/>
    <cellStyle name="Notas 40 3 2" xfId="852"/>
    <cellStyle name="Notas 40 4" xfId="508"/>
    <cellStyle name="Notas 40 4 2" xfId="853"/>
    <cellStyle name="Notas 40 5" xfId="509"/>
    <cellStyle name="Notas 40 5 2" xfId="854"/>
    <cellStyle name="Notas 40 6" xfId="850"/>
    <cellStyle name="Notas 41" xfId="510"/>
    <cellStyle name="Notas 41 2" xfId="511"/>
    <cellStyle name="Notas 41 2 2" xfId="856"/>
    <cellStyle name="Notas 41 3" xfId="512"/>
    <cellStyle name="Notas 41 3 2" xfId="857"/>
    <cellStyle name="Notas 41 4" xfId="513"/>
    <cellStyle name="Notas 41 4 2" xfId="858"/>
    <cellStyle name="Notas 41 5" xfId="514"/>
    <cellStyle name="Notas 41 5 2" xfId="859"/>
    <cellStyle name="Notas 41 6" xfId="855"/>
    <cellStyle name="Notas 42" xfId="515"/>
    <cellStyle name="Notas 42 2" xfId="516"/>
    <cellStyle name="Notas 42 2 2" xfId="861"/>
    <cellStyle name="Notas 42 3" xfId="517"/>
    <cellStyle name="Notas 42 3 2" xfId="862"/>
    <cellStyle name="Notas 42 4" xfId="518"/>
    <cellStyle name="Notas 42 4 2" xfId="863"/>
    <cellStyle name="Notas 42 5" xfId="519"/>
    <cellStyle name="Notas 42 5 2" xfId="864"/>
    <cellStyle name="Notas 42 6" xfId="860"/>
    <cellStyle name="Notas 43" xfId="520"/>
    <cellStyle name="Notas 43 2" xfId="521"/>
    <cellStyle name="Notas 43 2 2" xfId="866"/>
    <cellStyle name="Notas 43 3" xfId="522"/>
    <cellStyle name="Notas 43 3 2" xfId="867"/>
    <cellStyle name="Notas 43 4" xfId="523"/>
    <cellStyle name="Notas 43 4 2" xfId="868"/>
    <cellStyle name="Notas 43 5" xfId="524"/>
    <cellStyle name="Notas 43 5 2" xfId="869"/>
    <cellStyle name="Notas 43 6" xfId="865"/>
    <cellStyle name="Notas 44" xfId="525"/>
    <cellStyle name="Notas 44 2" xfId="526"/>
    <cellStyle name="Notas 44 2 2" xfId="871"/>
    <cellStyle name="Notas 44 3" xfId="527"/>
    <cellStyle name="Notas 44 3 2" xfId="872"/>
    <cellStyle name="Notas 44 4" xfId="528"/>
    <cellStyle name="Notas 44 4 2" xfId="873"/>
    <cellStyle name="Notas 44 5" xfId="529"/>
    <cellStyle name="Notas 44 5 2" xfId="874"/>
    <cellStyle name="Notas 44 6" xfId="870"/>
    <cellStyle name="Notas 45" xfId="530"/>
    <cellStyle name="Notas 45 2" xfId="531"/>
    <cellStyle name="Notas 45 2 2" xfId="876"/>
    <cellStyle name="Notas 45 3" xfId="532"/>
    <cellStyle name="Notas 45 3 2" xfId="877"/>
    <cellStyle name="Notas 45 4" xfId="533"/>
    <cellStyle name="Notas 45 4 2" xfId="878"/>
    <cellStyle name="Notas 45 5" xfId="534"/>
    <cellStyle name="Notas 45 5 2" xfId="879"/>
    <cellStyle name="Notas 45 6" xfId="875"/>
    <cellStyle name="Notas 46" xfId="535"/>
    <cellStyle name="Notas 46 2" xfId="536"/>
    <cellStyle name="Notas 46 2 2" xfId="881"/>
    <cellStyle name="Notas 46 3" xfId="537"/>
    <cellStyle name="Notas 46 3 2" xfId="882"/>
    <cellStyle name="Notas 46 4" xfId="538"/>
    <cellStyle name="Notas 46 4 2" xfId="883"/>
    <cellStyle name="Notas 46 5" xfId="539"/>
    <cellStyle name="Notas 46 5 2" xfId="884"/>
    <cellStyle name="Notas 46 6" xfId="880"/>
    <cellStyle name="Notas 47" xfId="540"/>
    <cellStyle name="Notas 47 2" xfId="541"/>
    <cellStyle name="Notas 47 2 2" xfId="886"/>
    <cellStyle name="Notas 47 3" xfId="542"/>
    <cellStyle name="Notas 47 3 2" xfId="887"/>
    <cellStyle name="Notas 47 4" xfId="543"/>
    <cellStyle name="Notas 47 4 2" xfId="888"/>
    <cellStyle name="Notas 47 5" xfId="885"/>
    <cellStyle name="Notas 48" xfId="544"/>
    <cellStyle name="Notas 48 2" xfId="545"/>
    <cellStyle name="Notas 48 2 2" xfId="890"/>
    <cellStyle name="Notas 48 3" xfId="546"/>
    <cellStyle name="Notas 48 3 2" xfId="891"/>
    <cellStyle name="Notas 48 4" xfId="547"/>
    <cellStyle name="Notas 48 4 2" xfId="892"/>
    <cellStyle name="Notas 48 5" xfId="889"/>
    <cellStyle name="Notas 49" xfId="548"/>
    <cellStyle name="Notas 49 2" xfId="549"/>
    <cellStyle name="Notas 49 2 2" xfId="894"/>
    <cellStyle name="Notas 49 3" xfId="550"/>
    <cellStyle name="Notas 49 3 2" xfId="895"/>
    <cellStyle name="Notas 49 4" xfId="551"/>
    <cellStyle name="Notas 49 4 2" xfId="896"/>
    <cellStyle name="Notas 49 5" xfId="893"/>
    <cellStyle name="Notas 5" xfId="552"/>
    <cellStyle name="Notas 5 2" xfId="553"/>
    <cellStyle name="Notas 5 2 2" xfId="898"/>
    <cellStyle name="Notas 5 3" xfId="554"/>
    <cellStyle name="Notas 5 3 2" xfId="899"/>
    <cellStyle name="Notas 5 4" xfId="555"/>
    <cellStyle name="Notas 5 4 2" xfId="900"/>
    <cellStyle name="Notas 5 5" xfId="556"/>
    <cellStyle name="Notas 5 5 2" xfId="901"/>
    <cellStyle name="Notas 5 6" xfId="557"/>
    <cellStyle name="Notas 5 6 2" xfId="902"/>
    <cellStyle name="Notas 5 7" xfId="558"/>
    <cellStyle name="Notas 5 7 2" xfId="903"/>
    <cellStyle name="Notas 5 8" xfId="559"/>
    <cellStyle name="Notas 5 8 2" xfId="904"/>
    <cellStyle name="Notas 5 9" xfId="897"/>
    <cellStyle name="Notas 50" xfId="560"/>
    <cellStyle name="Notas 50 2" xfId="561"/>
    <cellStyle name="Notas 50 2 2" xfId="906"/>
    <cellStyle name="Notas 50 3" xfId="562"/>
    <cellStyle name="Notas 50 3 2" xfId="907"/>
    <cellStyle name="Notas 50 4" xfId="563"/>
    <cellStyle name="Notas 50 4 2" xfId="908"/>
    <cellStyle name="Notas 50 5" xfId="905"/>
    <cellStyle name="Notas 51" xfId="564"/>
    <cellStyle name="Notas 51 2" xfId="565"/>
    <cellStyle name="Notas 51 2 2" xfId="910"/>
    <cellStyle name="Notas 51 3" xfId="566"/>
    <cellStyle name="Notas 51 3 2" xfId="911"/>
    <cellStyle name="Notas 51 4" xfId="567"/>
    <cellStyle name="Notas 51 4 2" xfId="912"/>
    <cellStyle name="Notas 51 5" xfId="909"/>
    <cellStyle name="Notas 52" xfId="568"/>
    <cellStyle name="Notas 52 2" xfId="569"/>
    <cellStyle name="Notas 52 2 2" xfId="914"/>
    <cellStyle name="Notas 52 3" xfId="570"/>
    <cellStyle name="Notas 52 3 2" xfId="915"/>
    <cellStyle name="Notas 52 4" xfId="571"/>
    <cellStyle name="Notas 52 4 2" xfId="916"/>
    <cellStyle name="Notas 52 5" xfId="913"/>
    <cellStyle name="Notas 53" xfId="572"/>
    <cellStyle name="Notas 53 2" xfId="573"/>
    <cellStyle name="Notas 53 2 2" xfId="918"/>
    <cellStyle name="Notas 53 3" xfId="574"/>
    <cellStyle name="Notas 53 3 2" xfId="919"/>
    <cellStyle name="Notas 53 4" xfId="575"/>
    <cellStyle name="Notas 53 4 2" xfId="920"/>
    <cellStyle name="Notas 53 5" xfId="917"/>
    <cellStyle name="Notas 54" xfId="576"/>
    <cellStyle name="Notas 54 2" xfId="577"/>
    <cellStyle name="Notas 54 2 2" xfId="922"/>
    <cellStyle name="Notas 54 3" xfId="578"/>
    <cellStyle name="Notas 54 3 2" xfId="923"/>
    <cellStyle name="Notas 54 4" xfId="579"/>
    <cellStyle name="Notas 54 4 2" xfId="924"/>
    <cellStyle name="Notas 54 5" xfId="921"/>
    <cellStyle name="Notas 55" xfId="580"/>
    <cellStyle name="Notas 55 2" xfId="581"/>
    <cellStyle name="Notas 55 2 2" xfId="926"/>
    <cellStyle name="Notas 55 3" xfId="582"/>
    <cellStyle name="Notas 55 3 2" xfId="927"/>
    <cellStyle name="Notas 55 4" xfId="583"/>
    <cellStyle name="Notas 55 4 2" xfId="928"/>
    <cellStyle name="Notas 55 5" xfId="925"/>
    <cellStyle name="Notas 56" xfId="584"/>
    <cellStyle name="Notas 56 2" xfId="585"/>
    <cellStyle name="Notas 56 2 2" xfId="930"/>
    <cellStyle name="Notas 56 3" xfId="586"/>
    <cellStyle name="Notas 56 3 2" xfId="931"/>
    <cellStyle name="Notas 56 4" xfId="587"/>
    <cellStyle name="Notas 56 4 2" xfId="932"/>
    <cellStyle name="Notas 56 5" xfId="929"/>
    <cellStyle name="Notas 57" xfId="588"/>
    <cellStyle name="Notas 57 2" xfId="589"/>
    <cellStyle name="Notas 57 2 2" xfId="934"/>
    <cellStyle name="Notas 57 3" xfId="590"/>
    <cellStyle name="Notas 57 3 2" xfId="935"/>
    <cellStyle name="Notas 57 4" xfId="933"/>
    <cellStyle name="Notas 58" xfId="591"/>
    <cellStyle name="Notas 58 2" xfId="592"/>
    <cellStyle name="Notas 58 2 2" xfId="937"/>
    <cellStyle name="Notas 58 3" xfId="593"/>
    <cellStyle name="Notas 58 3 2" xfId="938"/>
    <cellStyle name="Notas 58 4" xfId="936"/>
    <cellStyle name="Notas 59" xfId="594"/>
    <cellStyle name="Notas 59 2" xfId="595"/>
    <cellStyle name="Notas 59 2 2" xfId="940"/>
    <cellStyle name="Notas 59 3" xfId="596"/>
    <cellStyle name="Notas 59 3 2" xfId="941"/>
    <cellStyle name="Notas 59 4" xfId="939"/>
    <cellStyle name="Notas 6" xfId="597"/>
    <cellStyle name="Notas 6 2" xfId="598"/>
    <cellStyle name="Notas 6 2 2" xfId="943"/>
    <cellStyle name="Notas 6 3" xfId="599"/>
    <cellStyle name="Notas 6 3 2" xfId="944"/>
    <cellStyle name="Notas 6 4" xfId="600"/>
    <cellStyle name="Notas 6 4 2" xfId="945"/>
    <cellStyle name="Notas 6 5" xfId="601"/>
    <cellStyle name="Notas 6 5 2" xfId="946"/>
    <cellStyle name="Notas 6 6" xfId="602"/>
    <cellStyle name="Notas 6 6 2" xfId="947"/>
    <cellStyle name="Notas 6 7" xfId="603"/>
    <cellStyle name="Notas 6 7 2" xfId="948"/>
    <cellStyle name="Notas 6 8" xfId="604"/>
    <cellStyle name="Notas 6 8 2" xfId="949"/>
    <cellStyle name="Notas 6 9" xfId="942"/>
    <cellStyle name="Notas 60" xfId="605"/>
    <cellStyle name="Notas 60 2" xfId="606"/>
    <cellStyle name="Notas 60 2 2" xfId="951"/>
    <cellStyle name="Notas 60 3" xfId="607"/>
    <cellStyle name="Notas 60 3 2" xfId="952"/>
    <cellStyle name="Notas 60 4" xfId="950"/>
    <cellStyle name="Notas 61" xfId="608"/>
    <cellStyle name="Notas 61 2" xfId="609"/>
    <cellStyle name="Notas 61 2 2" xfId="954"/>
    <cellStyle name="Notas 61 3" xfId="610"/>
    <cellStyle name="Notas 61 3 2" xfId="955"/>
    <cellStyle name="Notas 61 4" xfId="953"/>
    <cellStyle name="Notas 62" xfId="611"/>
    <cellStyle name="Notas 62 2" xfId="612"/>
    <cellStyle name="Notas 62 2 2" xfId="957"/>
    <cellStyle name="Notas 62 3" xfId="613"/>
    <cellStyle name="Notas 62 3 2" xfId="958"/>
    <cellStyle name="Notas 62 4" xfId="956"/>
    <cellStyle name="Notas 63" xfId="614"/>
    <cellStyle name="Notas 63 2" xfId="615"/>
    <cellStyle name="Notas 63 2 2" xfId="960"/>
    <cellStyle name="Notas 63 3" xfId="616"/>
    <cellStyle name="Notas 63 3 2" xfId="961"/>
    <cellStyle name="Notas 63 4" xfId="959"/>
    <cellStyle name="Notas 64" xfId="617"/>
    <cellStyle name="Notas 64 2" xfId="618"/>
    <cellStyle name="Notas 64 2 2" xfId="963"/>
    <cellStyle name="Notas 64 3" xfId="619"/>
    <cellStyle name="Notas 64 3 2" xfId="964"/>
    <cellStyle name="Notas 64 4" xfId="962"/>
    <cellStyle name="Notas 65" xfId="620"/>
    <cellStyle name="Notas 65 2" xfId="621"/>
    <cellStyle name="Notas 65 2 2" xfId="966"/>
    <cellStyle name="Notas 65 3" xfId="622"/>
    <cellStyle name="Notas 65 3 2" xfId="967"/>
    <cellStyle name="Notas 65 4" xfId="965"/>
    <cellStyle name="Notas 66" xfId="623"/>
    <cellStyle name="Notas 66 2" xfId="624"/>
    <cellStyle name="Notas 66 2 2" xfId="969"/>
    <cellStyle name="Notas 66 3" xfId="625"/>
    <cellStyle name="Notas 66 3 2" xfId="970"/>
    <cellStyle name="Notas 66 4" xfId="968"/>
    <cellStyle name="Notas 67" xfId="626"/>
    <cellStyle name="Notas 67 2" xfId="627"/>
    <cellStyle name="Notas 67 2 2" xfId="972"/>
    <cellStyle name="Notas 67 3" xfId="628"/>
    <cellStyle name="Notas 67 3 2" xfId="973"/>
    <cellStyle name="Notas 67 4" xfId="971"/>
    <cellStyle name="Notas 68" xfId="629"/>
    <cellStyle name="Notas 68 2" xfId="630"/>
    <cellStyle name="Notas 68 2 2" xfId="975"/>
    <cellStyle name="Notas 68 3" xfId="974"/>
    <cellStyle name="Notas 69" xfId="631"/>
    <cellStyle name="Notas 69 2" xfId="632"/>
    <cellStyle name="Notas 69 2 2" xfId="977"/>
    <cellStyle name="Notas 69 3" xfId="976"/>
    <cellStyle name="Notas 7" xfId="633"/>
    <cellStyle name="Notas 7 2" xfId="634"/>
    <cellStyle name="Notas 7 2 2" xfId="979"/>
    <cellStyle name="Notas 7 3" xfId="635"/>
    <cellStyle name="Notas 7 3 2" xfId="980"/>
    <cellStyle name="Notas 7 4" xfId="636"/>
    <cellStyle name="Notas 7 4 2" xfId="981"/>
    <cellStyle name="Notas 7 5" xfId="637"/>
    <cellStyle name="Notas 7 5 2" xfId="982"/>
    <cellStyle name="Notas 7 6" xfId="638"/>
    <cellStyle name="Notas 7 6 2" xfId="983"/>
    <cellStyle name="Notas 7 7" xfId="639"/>
    <cellStyle name="Notas 7 7 2" xfId="984"/>
    <cellStyle name="Notas 7 8" xfId="640"/>
    <cellStyle name="Notas 7 8 2" xfId="985"/>
    <cellStyle name="Notas 7 9" xfId="978"/>
    <cellStyle name="Notas 70" xfId="641"/>
    <cellStyle name="Notas 70 2" xfId="642"/>
    <cellStyle name="Notas 70 2 2" xfId="987"/>
    <cellStyle name="Notas 70 3" xfId="986"/>
    <cellStyle name="Notas 71" xfId="643"/>
    <cellStyle name="Notas 71 2" xfId="644"/>
    <cellStyle name="Notas 71 2 2" xfId="989"/>
    <cellStyle name="Notas 71 3" xfId="988"/>
    <cellStyle name="Notas 72" xfId="645"/>
    <cellStyle name="Notas 72 2" xfId="646"/>
    <cellStyle name="Notas 72 2 2" xfId="991"/>
    <cellStyle name="Notas 72 3" xfId="990"/>
    <cellStyle name="Notas 73" xfId="647"/>
    <cellStyle name="Notas 73 2" xfId="648"/>
    <cellStyle name="Notas 73 2 2" xfId="993"/>
    <cellStyle name="Notas 73 3" xfId="992"/>
    <cellStyle name="Notas 74" xfId="649"/>
    <cellStyle name="Notas 74 2" xfId="650"/>
    <cellStyle name="Notas 74 2 2" xfId="995"/>
    <cellStyle name="Notas 74 3" xfId="994"/>
    <cellStyle name="Notas 75" xfId="651"/>
    <cellStyle name="Notas 75 2" xfId="652"/>
    <cellStyle name="Notas 75 2 2" xfId="997"/>
    <cellStyle name="Notas 75 3" xfId="996"/>
    <cellStyle name="Notas 76" xfId="653"/>
    <cellStyle name="Notas 76 2" xfId="654"/>
    <cellStyle name="Notas 76 2 2" xfId="999"/>
    <cellStyle name="Notas 76 3" xfId="998"/>
    <cellStyle name="Notas 77" xfId="655"/>
    <cellStyle name="Notas 77 2" xfId="656"/>
    <cellStyle name="Notas 77 2 2" xfId="1001"/>
    <cellStyle name="Notas 77 3" xfId="1000"/>
    <cellStyle name="Notas 78" xfId="657"/>
    <cellStyle name="Notas 78 2" xfId="658"/>
    <cellStyle name="Notas 78 2 2" xfId="1003"/>
    <cellStyle name="Notas 78 3" xfId="1002"/>
    <cellStyle name="Notas 79" xfId="659"/>
    <cellStyle name="Notas 79 2" xfId="660"/>
    <cellStyle name="Notas 79 2 2" xfId="1005"/>
    <cellStyle name="Notas 79 3" xfId="1004"/>
    <cellStyle name="Notas 8" xfId="661"/>
    <cellStyle name="Notas 8 2" xfId="662"/>
    <cellStyle name="Notas 8 2 2" xfId="1007"/>
    <cellStyle name="Notas 8 3" xfId="663"/>
    <cellStyle name="Notas 8 3 2" xfId="1008"/>
    <cellStyle name="Notas 8 4" xfId="664"/>
    <cellStyle name="Notas 8 4 2" xfId="1009"/>
    <cellStyle name="Notas 8 5" xfId="665"/>
    <cellStyle name="Notas 8 5 2" xfId="1010"/>
    <cellStyle name="Notas 8 6" xfId="666"/>
    <cellStyle name="Notas 8 6 2" xfId="1011"/>
    <cellStyle name="Notas 8 7" xfId="667"/>
    <cellStyle name="Notas 8 7 2" xfId="1012"/>
    <cellStyle name="Notas 8 8" xfId="668"/>
    <cellStyle name="Notas 8 8 2" xfId="1013"/>
    <cellStyle name="Notas 8 9" xfId="1006"/>
    <cellStyle name="Notas 80" xfId="669"/>
    <cellStyle name="Notas 80 2" xfId="670"/>
    <cellStyle name="Notas 80 2 2" xfId="1015"/>
    <cellStyle name="Notas 80 3" xfId="1014"/>
    <cellStyle name="Notas 81" xfId="671"/>
    <cellStyle name="Notas 81 2" xfId="672"/>
    <cellStyle name="Notas 81 2 2" xfId="1017"/>
    <cellStyle name="Notas 81 3" xfId="1016"/>
    <cellStyle name="Notas 82" xfId="673"/>
    <cellStyle name="Notas 82 2" xfId="674"/>
    <cellStyle name="Notas 82 2 2" xfId="1019"/>
    <cellStyle name="Notas 82 3" xfId="1018"/>
    <cellStyle name="Notas 83" xfId="675"/>
    <cellStyle name="Notas 83 2" xfId="676"/>
    <cellStyle name="Notas 83 2 2" xfId="1021"/>
    <cellStyle name="Notas 83 3" xfId="1020"/>
    <cellStyle name="Notas 84" xfId="677"/>
    <cellStyle name="Notas 84 2" xfId="678"/>
    <cellStyle name="Notas 84 2 2" xfId="1023"/>
    <cellStyle name="Notas 84 3" xfId="1022"/>
    <cellStyle name="Notas 85" xfId="679"/>
    <cellStyle name="Notas 85 2" xfId="1024"/>
    <cellStyle name="Notas 86" xfId="680"/>
    <cellStyle name="Notas 86 2" xfId="1025"/>
    <cellStyle name="Notas 87" xfId="681"/>
    <cellStyle name="Notas 87 2" xfId="1026"/>
    <cellStyle name="Notas 88" xfId="682"/>
    <cellStyle name="Notas 88 2" xfId="1027"/>
    <cellStyle name="Notas 89" xfId="683"/>
    <cellStyle name="Notas 89 2" xfId="1028"/>
    <cellStyle name="Notas 9" xfId="684"/>
    <cellStyle name="Notas 9 2" xfId="685"/>
    <cellStyle name="Notas 9 2 2" xfId="1030"/>
    <cellStyle name="Notas 9 3" xfId="686"/>
    <cellStyle name="Notas 9 3 2" xfId="1031"/>
    <cellStyle name="Notas 9 4" xfId="687"/>
    <cellStyle name="Notas 9 4 2" xfId="1032"/>
    <cellStyle name="Notas 9 5" xfId="688"/>
    <cellStyle name="Notas 9 5 2" xfId="1033"/>
    <cellStyle name="Notas 9 6" xfId="689"/>
    <cellStyle name="Notas 9 6 2" xfId="1034"/>
    <cellStyle name="Notas 9 7" xfId="690"/>
    <cellStyle name="Notas 9 7 2" xfId="1035"/>
    <cellStyle name="Notas 9 8" xfId="691"/>
    <cellStyle name="Notas 9 8 2" xfId="1036"/>
    <cellStyle name="Notas 9 9" xfId="1029"/>
    <cellStyle name="Notas 90" xfId="692"/>
    <cellStyle name="Notas 90 2" xfId="1037"/>
    <cellStyle name="Notas 91" xfId="693"/>
    <cellStyle name="Notas 91 2" xfId="1038"/>
    <cellStyle name="Notas 92" xfId="694"/>
    <cellStyle name="Notas 92 2" xfId="1039"/>
    <cellStyle name="Percent" xfId="2" builtinId="5"/>
    <cellStyle name="Percent 2" xfId="695"/>
    <cellStyle name="Percent 3" xfId="700"/>
    <cellStyle name="Porcentual 2" xfId="696"/>
    <cellStyle name="Porcentual 3" xfId="697"/>
    <cellStyle name="Product_name" xfId="698"/>
    <cellStyle name="Step" xfId="699"/>
  </cellStyles>
  <dxfs count="250"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left/>
        <right/>
        <top style="thin">
          <color auto="1"/>
        </top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77" formatCode="0.0&quot;x&quot;"/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color rgb="FFFF0000"/>
      </font>
      <fill>
        <patternFill patternType="none">
          <bgColor auto="1"/>
        </patternFill>
      </fill>
    </dxf>
    <dxf>
      <font>
        <b val="0"/>
        <i val="0"/>
        <color rgb="FF00B050"/>
      </font>
      <fill>
        <patternFill patternType="none">
          <bgColor auto="1"/>
        </patternFill>
      </fill>
    </dxf>
    <dxf>
      <font>
        <color rgb="FFFF0000"/>
      </font>
    </dxf>
    <dxf>
      <font>
        <color rgb="FF00B050"/>
      </font>
      <fill>
        <patternFill patternType="solid">
          <bgColor theme="0"/>
        </patternFill>
      </fill>
    </dxf>
    <dxf>
      <font>
        <color theme="0" tint="-0.14996795556505021"/>
      </font>
      <fill>
        <patternFill>
          <bgColor theme="0" tint="-0.14996795556505021"/>
        </patternFill>
      </fill>
      <border>
        <left/>
        <right/>
        <top/>
        <bottom/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</font>
    </dxf>
    <dxf>
      <font>
        <b val="0"/>
        <i val="0"/>
      </font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numFmt numFmtId="197" formatCode="yyyy"/>
    </dxf>
    <dxf>
      <font>
        <b val="0"/>
        <i/>
        <color theme="8" tint="-0.499984740745262"/>
      </font>
      <fill>
        <patternFill>
          <bgColor theme="8" tint="0.79998168889431442"/>
        </patternFill>
      </fill>
    </dxf>
    <dxf>
      <numFmt numFmtId="197" formatCode="yyyy"/>
    </dxf>
    <dxf>
      <numFmt numFmtId="197" formatCode="yyyy"/>
    </dxf>
    <dxf>
      <font>
        <color rgb="FF00B050"/>
      </font>
    </dxf>
    <dxf>
      <font>
        <color auto="1"/>
      </font>
    </dxf>
    <dxf>
      <font>
        <color rgb="FFFF0000"/>
      </font>
    </dxf>
    <dxf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font>
        <b/>
        <i val="0"/>
      </font>
      <fill>
        <patternFill>
          <fgColor indexed="64"/>
          <bgColor theme="8" tint="0.39991454817346722"/>
        </patternFill>
      </fill>
    </dxf>
    <dxf>
      <border>
        <left/>
        <right/>
        <top style="thin">
          <color theme="0" tint="-0.499984740745262"/>
        </top>
        <bottom/>
        <vertical/>
        <horizontal/>
      </border>
    </dxf>
    <dxf>
      <font>
        <b/>
        <i val="0"/>
        <color theme="1"/>
      </font>
      <fill>
        <patternFill>
          <bgColor theme="8" tint="0.59996337778862885"/>
        </patternFill>
      </fill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font>
        <b val="0"/>
        <i/>
        <strike val="0"/>
        <color theme="8" tint="-0.499984740745262"/>
      </font>
      <fill>
        <patternFill>
          <bgColor theme="8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Expenses (as % of GLP) </a:t>
            </a:r>
          </a:p>
        </c:rich>
      </c:tx>
      <c:layout>
        <c:manualLayout>
          <c:xMode val="edge"/>
          <c:yMode val="edge"/>
          <c:x val="0.29467683276605788"/>
          <c:y val="4.5933128732989485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999755248595471"/>
          <c:y val="0.15566013627583591"/>
          <c:w val="0.79162866058490189"/>
          <c:h val="0.514192812989989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Assessment'!$AU$9</c:f>
              <c:strCache>
                <c:ptCount val="1"/>
                <c:pt idx="0">
                  <c:v>Op. Exp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Assessment'!$AV$9:$BG$9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Assessment'!$AU$10</c:f>
              <c:strCache>
                <c:ptCount val="1"/>
                <c:pt idx="0">
                  <c:v>Fin. Exp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Assessment'!$AV$10:$BG$10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2"/>
          <c:order val="2"/>
          <c:tx>
            <c:strRef>
              <c:f>'Risk Assessment'!$AU$11</c:f>
              <c:strCache>
                <c:ptCount val="1"/>
                <c:pt idx="0">
                  <c:v>Prov. Exp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Assessment'!$AV$11:$BG$11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65472"/>
        <c:axId val="183467008"/>
      </c:barChart>
      <c:lineChart>
        <c:grouping val="standard"/>
        <c:varyColors val="0"/>
        <c:ser>
          <c:idx val="3"/>
          <c:order val="3"/>
          <c:tx>
            <c:strRef>
              <c:f>'Risk Assessment'!$AU$13</c:f>
              <c:strCache>
                <c:ptCount val="1"/>
                <c:pt idx="0">
                  <c:v>Portfolio Yield</c:v>
                </c:pt>
              </c:strCache>
            </c:strRef>
          </c:tx>
          <c:spPr>
            <a:ln w="3810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'Risk Assessment'!$AY$6:$BH$6</c:f>
              <c:numCache>
                <c:formatCode>0.0%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cat>
          <c:val>
            <c:numRef>
              <c:f>'Risk Assessment'!$AV$13:$BG$13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465472"/>
        <c:axId val="183467008"/>
      </c:lineChart>
      <c:dateAx>
        <c:axId val="183465472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crossAx val="183467008"/>
        <c:crosses val="autoZero"/>
        <c:auto val="1"/>
        <c:lblOffset val="100"/>
        <c:baseTimeUnit val="days"/>
      </c:dateAx>
      <c:valAx>
        <c:axId val="183467008"/>
        <c:scaling>
          <c:orientation val="minMax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Margin %</a:t>
                </a:r>
              </a:p>
            </c:rich>
          </c:tx>
          <c:layout>
            <c:manualLayout>
              <c:xMode val="edge"/>
              <c:yMode val="edge"/>
              <c:x val="1.7073401231690041E-2"/>
              <c:y val="0.29874903056230973"/>
            </c:manualLayout>
          </c:layout>
          <c:overlay val="0"/>
        </c:title>
        <c:numFmt formatCode="0.0%" sourceLinked="1"/>
        <c:majorTickMark val="none"/>
        <c:minorTickMark val="none"/>
        <c:tickLblPos val="nextTo"/>
        <c:crossAx val="1834654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3.2508534326959555E-2"/>
          <c:y val="0.77807758425567164"/>
          <c:w val="0.93731142214413365"/>
          <c:h val="0.16402776920227216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Portfolio </a:t>
            </a:r>
            <a:r>
              <a:rPr lang="en-US" sz="1600"/>
              <a:t>Quality</a:t>
            </a:r>
          </a:p>
        </c:rich>
      </c:tx>
      <c:layout>
        <c:manualLayout>
          <c:xMode val="edge"/>
          <c:yMode val="edge"/>
          <c:x val="0.39115725250370575"/>
          <c:y val="2.266666787259707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1994201309826098"/>
          <c:y val="0.14258951244535251"/>
          <c:w val="0.85234073493110363"/>
          <c:h val="0.575623443407645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'Risk Assessment'!$AU$7</c:f>
              <c:strCache>
                <c:ptCount val="1"/>
                <c:pt idx="0">
                  <c:v>PAR (&gt;30 days) R+R</c:v>
                </c:pt>
              </c:strCache>
            </c:strRef>
          </c:tx>
          <c:spPr>
            <a:ln w="38100"/>
          </c:spPr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Assessment'!$AV$7:$BG$7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v>Write-Offs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Assessment'!$AV$6:$BG$6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19936"/>
        <c:axId val="183318016"/>
      </c:barChart>
      <c:valAx>
        <c:axId val="183318016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85000"/>
                </a:schemeClr>
              </a:solidFill>
              <a:prstDash val="sysDot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%</a:t>
                </a:r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txPr>
          <a:bodyPr/>
          <a:lstStyle/>
          <a:p>
            <a:pPr>
              <a:defRPr sz="750"/>
            </a:pPr>
            <a:endParaRPr lang="en-US"/>
          </a:p>
        </c:txPr>
        <c:crossAx val="183319936"/>
        <c:crosses val="autoZero"/>
        <c:crossBetween val="between"/>
      </c:valAx>
      <c:dateAx>
        <c:axId val="183319936"/>
        <c:scaling>
          <c:orientation val="minMax"/>
        </c:scaling>
        <c:delete val="1"/>
        <c:axPos val="b"/>
        <c:numFmt formatCode="mmm\-yy" sourceLinked="1"/>
        <c:majorTickMark val="none"/>
        <c:minorTickMark val="none"/>
        <c:tickLblPos val="none"/>
        <c:crossAx val="183318016"/>
        <c:crosses val="autoZero"/>
        <c:auto val="1"/>
        <c:lblOffset val="100"/>
        <c:baseTimeUnit val="days"/>
        <c:majorUnit val="1"/>
        <c:minorUnit val="1"/>
      </c:dateAx>
      <c:dTable>
        <c:showHorzBorder val="1"/>
        <c:showVertBorder val="1"/>
        <c:showOutline val="1"/>
        <c:showKeys val="0"/>
        <c:spPr>
          <a:ln>
            <a:prstDash val="sysDot"/>
          </a:ln>
        </c:spPr>
        <c:txPr>
          <a:bodyPr/>
          <a:lstStyle/>
          <a:p>
            <a:pPr rtl="0">
              <a:defRPr sz="750"/>
            </a:pPr>
            <a:endParaRPr lang="en-US"/>
          </a:p>
        </c:txPr>
      </c:dTable>
    </c:plotArea>
    <c:plotVisOnly val="0"/>
    <c:dispBlanksAs val="zero"/>
    <c:showDLblsOverMax val="0"/>
  </c:chart>
  <c:spPr>
    <a:solidFill>
      <a:sysClr val="window" lastClr="FFFFFF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Solvency</a:t>
            </a:r>
          </a:p>
        </c:rich>
      </c:tx>
      <c:layout>
        <c:manualLayout>
          <c:xMode val="edge"/>
          <c:yMode val="edge"/>
          <c:x val="0.41726634210569441"/>
          <c:y val="2.232741218558520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0417715249019653"/>
          <c:y val="0.1238636294535272"/>
          <c:w val="0.85053971074838763"/>
          <c:h val="0.66039227967343184"/>
        </c:manualLayout>
      </c:layout>
      <c:areaChart>
        <c:grouping val="standard"/>
        <c:varyColors val="0"/>
        <c:ser>
          <c:idx val="0"/>
          <c:order val="0"/>
          <c:tx>
            <c:strRef>
              <c:f>'Risk Assessment'!$AU$8</c:f>
              <c:strCache>
                <c:ptCount val="1"/>
                <c:pt idx="0">
                  <c:v>Solvency</c:v>
                </c:pt>
              </c:strCache>
            </c:strRef>
          </c:tx>
          <c:spPr>
            <a:solidFill>
              <a:srgbClr val="4BACC6">
                <a:lumMod val="50000"/>
                <a:alpha val="83000"/>
              </a:srgbClr>
            </a:solidFill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Assessment'!$AV$8:$BG$8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1"/>
          <c:order val="1"/>
          <c:tx>
            <c:strRef>
              <c:f>'Risk Assessment'!$N$45</c:f>
              <c:strCache>
                <c:ptCount val="1"/>
                <c:pt idx="0">
                  <c:v>Solvency Ratio (100% provisioning)</c:v>
                </c:pt>
              </c:strCache>
            </c:strRef>
          </c:tx>
          <c:spPr>
            <a:ln w="25400">
              <a:solidFill>
                <a:srgbClr val="4BACC6">
                  <a:lumMod val="20000"/>
                  <a:lumOff val="80000"/>
                  <a:alpha val="50000"/>
                </a:srgbClr>
              </a:solidFill>
            </a:ln>
          </c:spPr>
          <c:cat>
            <c:numRef>
              <c:f>'Risk Assessment'!$O$38:$Z$38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Assessment'!$O$45:$Z$45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568640"/>
        <c:axId val="183570432"/>
      </c:areaChart>
      <c:dateAx>
        <c:axId val="183568640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crossAx val="183570432"/>
        <c:crosses val="autoZero"/>
        <c:auto val="1"/>
        <c:lblOffset val="100"/>
        <c:baseTimeUnit val="days"/>
      </c:dateAx>
      <c:valAx>
        <c:axId val="183570432"/>
        <c:scaling>
          <c:orientation val="minMax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83568640"/>
        <c:crosses val="autoZero"/>
        <c:crossBetween val="midCat"/>
      </c:valAx>
    </c:plotArea>
    <c:legend>
      <c:legendPos val="b"/>
      <c:overlay val="0"/>
    </c:legend>
    <c:plotVisOnly val="0"/>
    <c:dispBlanksAs val="zero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Income</a:t>
            </a:r>
          </a:p>
        </c:rich>
      </c:tx>
      <c:layout>
        <c:manualLayout>
          <c:xMode val="edge"/>
          <c:yMode val="edge"/>
          <c:x val="0.38966588791494766"/>
          <c:y val="0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702509739204397"/>
          <c:y val="0.15417621692646191"/>
          <c:w val="0.70068692286571754"/>
          <c:h val="0.58898230000743468"/>
        </c:manualLayout>
      </c:layout>
      <c:barChart>
        <c:barDir val="col"/>
        <c:grouping val="clustered"/>
        <c:varyColors val="0"/>
        <c:ser>
          <c:idx val="1"/>
          <c:order val="1"/>
          <c:tx>
            <c:v>Monthly</c:v>
          </c:tx>
          <c:invertIfNegative val="0"/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Assessment'!$AV$12:$BG$12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83584640"/>
        <c:axId val="183586176"/>
      </c:barChart>
      <c:lineChart>
        <c:grouping val="standard"/>
        <c:varyColors val="0"/>
        <c:ser>
          <c:idx val="0"/>
          <c:order val="0"/>
          <c:tx>
            <c:v>LTM</c:v>
          </c:tx>
          <c:spPr>
            <a:ln w="38100"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'Risk Assessment'!$AV$3:$BG$3</c:f>
              <c:numCache>
                <c:formatCode>mmm\-yy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cat>
          <c:val>
            <c:numRef>
              <c:f>'Risk Assessment'!$AV$14:$BG$14</c:f>
              <c:numCache>
                <c:formatCode>"$"#,##0.00_);[Red]\("$"#,##0.00\)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584640"/>
        <c:axId val="183586176"/>
      </c:lineChart>
      <c:dateAx>
        <c:axId val="183584640"/>
        <c:scaling>
          <c:orientation val="minMax"/>
        </c:scaling>
        <c:delete val="0"/>
        <c:axPos val="b"/>
        <c:numFmt formatCode="mmm\-yy" sourceLinked="1"/>
        <c:majorTickMark val="none"/>
        <c:minorTickMark val="none"/>
        <c:tickLblPos val="low"/>
        <c:txPr>
          <a:bodyPr rot="-2700000"/>
          <a:lstStyle/>
          <a:p>
            <a:pPr>
              <a:defRPr/>
            </a:pPr>
            <a:endParaRPr lang="en-US"/>
          </a:p>
        </c:txPr>
        <c:crossAx val="183586176"/>
        <c:crosses val="autoZero"/>
        <c:auto val="1"/>
        <c:lblOffset val="100"/>
        <c:baseTimeUnit val="days"/>
      </c:dateAx>
      <c:valAx>
        <c:axId val="183586176"/>
        <c:scaling>
          <c:orientation val="minMax"/>
        </c:scaling>
        <c:delete val="0"/>
        <c:axPos val="l"/>
        <c:majorGridlines/>
        <c:numFmt formatCode="&quot;$&quot;#,##0.00_);[Red]\(&quot;$&quot;#,##0.00\)" sourceLinked="1"/>
        <c:majorTickMark val="none"/>
        <c:minorTickMark val="none"/>
        <c:tickLblPos val="nextTo"/>
        <c:crossAx val="183584640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2.7101510959778682E-2"/>
                <c:y val="0.35963218780973188"/>
              </c:manualLayout>
            </c:layout>
          </c:dispUnitsLbl>
        </c:dispUnits>
      </c:valAx>
    </c:plotArea>
    <c:legend>
      <c:legendPos val="b"/>
      <c:layout>
        <c:manualLayout>
          <c:xMode val="edge"/>
          <c:yMode val="edge"/>
          <c:x val="0.27955090680201738"/>
          <c:y val="0.88075550418015114"/>
          <c:w val="0.40298032319410854"/>
          <c:h val="0.10299610144134271"/>
        </c:manualLayout>
      </c:layout>
      <c:overlay val="0"/>
    </c:legend>
    <c:plotVisOnly val="0"/>
    <c:dispBlanksAs val="gap"/>
    <c:showDLblsOverMax val="0"/>
  </c:chart>
  <c:spPr>
    <a:solidFill>
      <a:schemeClr val="lt1"/>
    </a:solidFill>
    <a:ln w="25400" cap="flat" cmpd="sng" algn="ctr">
      <a:solidFill>
        <a:schemeClr val="dk1"/>
      </a:solidFill>
      <a:prstDash val="solid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Loan Portfolio Performance: </a:t>
            </a:r>
            <a:br>
              <a:rPr lang="en-US"/>
            </a:br>
            <a:r>
              <a:rPr lang="en-US" b="0"/>
              <a:t>Asset Productivity &amp; Expense Management</a:t>
            </a:r>
          </a:p>
        </c:rich>
      </c:tx>
      <c:layout>
        <c:manualLayout>
          <c:xMode val="edge"/>
          <c:yMode val="edge"/>
          <c:x val="0.2681071576222438"/>
          <c:y val="2.0822338966552782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5919261128373932"/>
          <c:y val="0.16225264213613141"/>
          <c:w val="0.7842181744800335"/>
          <c:h val="0.62573424587603521"/>
        </c:manualLayout>
      </c:layout>
      <c:barChart>
        <c:barDir val="col"/>
        <c:grouping val="stacked"/>
        <c:varyColors val="0"/>
        <c:ser>
          <c:idx val="0"/>
          <c:order val="0"/>
          <c:tx>
            <c:v>Op Exp. Ratio</c:v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Review'!$AL$30:$AO$30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v>Fin Exp. Ratio</c:v>
          </c:tx>
          <c:spPr>
            <a:solidFill>
              <a:schemeClr val="accent5">
                <a:lumMod val="60000"/>
                <a:lumOff val="40000"/>
              </a:schemeClr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Review'!$AL$28:$AO$28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2"/>
          <c:order val="2"/>
          <c:tx>
            <c:v>Provision Exp. Ratio</c:v>
          </c:tx>
          <c:spPr>
            <a:solidFill>
              <a:schemeClr val="accent5">
                <a:lumMod val="20000"/>
                <a:lumOff val="80000"/>
              </a:schemeClr>
            </a:solidFill>
          </c:spPr>
          <c:invertIfNegative val="0"/>
          <c:errBars>
            <c:errBarType val="plus"/>
            <c:errValType val="cust"/>
            <c:noEndCap val="0"/>
            <c:plus>
              <c:numRef>
                <c:f>'Refi-Annual Review'!$AL$37:$AO$37</c:f>
                <c:numCache>
                  <c:formatCode>General</c:formatCode>
                  <c:ptCount val="4"/>
                  <c:pt idx="0">
                    <c:v>#N/A</c:v>
                  </c:pt>
                  <c:pt idx="1">
                    <c:v>#N/A</c:v>
                  </c:pt>
                  <c:pt idx="2">
                    <c:v>#N/A</c:v>
                  </c:pt>
                  <c:pt idx="3">
                    <c:v>0</c:v>
                  </c:pt>
                </c:numCache>
              </c:numRef>
            </c:plus>
            <c:minus>
              <c:numRef>
                <c:f>'Refi-Annual Review'!$AK$38:$AM$38</c:f>
                <c:numCache>
                  <c:formatCode>General</c:formatCode>
                  <c:ptCount val="3"/>
                </c:numCache>
              </c:numRef>
            </c:minus>
          </c:errBars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Review'!$AL$29:$AO$29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ser>
          <c:idx val="3"/>
          <c:order val="3"/>
          <c:tx>
            <c:v>Portfolio Yield</c:v>
          </c:tx>
          <c:spPr>
            <a:solidFill>
              <a:schemeClr val="tx1"/>
            </a:solidFill>
          </c:spPr>
          <c:invertIfNegative val="0"/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Lit>
              <c:formatCode>General</c:formatCode>
              <c:ptCount val="1"/>
              <c:pt idx="0">
                <c:v>0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703616"/>
        <c:axId val="184730368"/>
      </c:barChart>
      <c:catAx>
        <c:axId val="184703616"/>
        <c:scaling>
          <c:orientation val="minMax"/>
        </c:scaling>
        <c:delete val="0"/>
        <c:axPos val="b"/>
        <c:title>
          <c:overlay val="0"/>
        </c:title>
        <c:numFmt formatCode="General" sourceLinked="1"/>
        <c:majorTickMark val="out"/>
        <c:minorTickMark val="none"/>
        <c:tickLblPos val="low"/>
        <c:crossAx val="184730368"/>
        <c:crosses val="autoZero"/>
        <c:auto val="1"/>
        <c:lblAlgn val="ctr"/>
        <c:lblOffset val="100"/>
        <c:noMultiLvlLbl val="0"/>
      </c:catAx>
      <c:valAx>
        <c:axId val="18473036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as % of GLP</a:t>
                </a:r>
              </a:p>
            </c:rich>
          </c:tx>
          <c:overlay val="0"/>
        </c:title>
        <c:numFmt formatCode="0.0%" sourceLinked="1"/>
        <c:majorTickMark val="out"/>
        <c:minorTickMark val="none"/>
        <c:tickLblPos val="nextTo"/>
        <c:crossAx val="18470361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0885094045847279"/>
          <c:y val="0.89943591204068862"/>
          <c:w val="0.83538461698101762"/>
          <c:h val="7.910911811971570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 sz="1000"/>
            </a:pPr>
            <a:r>
              <a:rPr lang="en-US" sz="1000" b="1" baseline="0"/>
              <a:t>GLP &amp;  PAR&gt;30 (R+R)</a:t>
            </a:r>
            <a:endParaRPr lang="en-US" sz="1000" b="0"/>
          </a:p>
        </c:rich>
      </c:tx>
      <c:layout>
        <c:manualLayout>
          <c:xMode val="edge"/>
          <c:yMode val="edge"/>
          <c:x val="0.34572733464418326"/>
          <c:y val="3.7922446608416781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3722666343571868"/>
          <c:y val="0.15072913543699101"/>
          <c:w val="0.75595137197501983"/>
          <c:h val="0.63689102083645865"/>
        </c:manualLayout>
      </c:layout>
      <c:barChart>
        <c:barDir val="col"/>
        <c:grouping val="clustered"/>
        <c:varyColors val="0"/>
        <c:ser>
          <c:idx val="3"/>
          <c:order val="0"/>
          <c:tx>
            <c:strRef>
              <c:f>'Refi-Annual Review'!$D$9</c:f>
              <c:strCache>
                <c:ptCount val="1"/>
                <c:pt idx="0">
                  <c:v>Gross Loan Portfolio (USD)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</c:spPr>
          <c:invertIfNegative val="0"/>
          <c:cat>
            <c:strRef>
              <c:f>'Refi-Annual Review'!$AL$23:$AO$23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Review'!$AL$9:$AO$9</c:f>
              <c:numCache>
                <c:formatCode>#,##0_);[Red]\(#,##0\)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778752"/>
        <c:axId val="184780288"/>
      </c:barChart>
      <c:lineChart>
        <c:grouping val="standard"/>
        <c:varyColors val="0"/>
        <c:ser>
          <c:idx val="0"/>
          <c:order val="1"/>
          <c:tx>
            <c:strRef>
              <c:f>'Refi-Annual Review'!$D$12</c:f>
              <c:strCache>
                <c:ptCount val="1"/>
                <c:pt idx="0">
                  <c:v>PAR &gt;30 (R+R)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none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Review'!$AL$12:$AO$12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791808"/>
        <c:axId val="184781824"/>
      </c:lineChart>
      <c:catAx>
        <c:axId val="18477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4780288"/>
        <c:crosses val="autoZero"/>
        <c:auto val="1"/>
        <c:lblAlgn val="ctr"/>
        <c:lblOffset val="100"/>
        <c:noMultiLvlLbl val="0"/>
      </c:catAx>
      <c:valAx>
        <c:axId val="184780288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#,##0_);[Red]\(#,##0\)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4778752"/>
        <c:crosses val="autoZero"/>
        <c:crossBetween val="between"/>
      </c:valAx>
      <c:valAx>
        <c:axId val="18478182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txPr>
          <a:bodyPr/>
          <a:lstStyle/>
          <a:p>
            <a:pPr>
              <a:defRPr sz="800"/>
            </a:pPr>
            <a:endParaRPr lang="en-US"/>
          </a:p>
        </c:txPr>
        <c:crossAx val="184791808"/>
        <c:crosses val="max"/>
        <c:crossBetween val="between"/>
      </c:valAx>
      <c:catAx>
        <c:axId val="18479180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crossAx val="184781824"/>
        <c:crosses val="autoZero"/>
        <c:auto val="1"/>
        <c:lblAlgn val="ctr"/>
        <c:lblOffset val="100"/>
        <c:noMultiLvlLbl val="0"/>
      </c:catAx>
    </c:plotArea>
    <c:legend>
      <c:legendPos val="b"/>
      <c:layout>
        <c:manualLayout>
          <c:xMode val="edge"/>
          <c:yMode val="edge"/>
          <c:x val="0.14686637962096441"/>
          <c:y val="0.90349825185709454"/>
          <c:w val="0.71215808332039165"/>
          <c:h val="7.4597124329499123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  <c:txPr>
        <a:bodyPr/>
        <a:lstStyle/>
        <a:p>
          <a:pPr>
            <a:defRPr sz="75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Client &amp; Portfolio Growth</a:t>
            </a:r>
          </a:p>
        </c:rich>
      </c:tx>
      <c:layout>
        <c:manualLayout>
          <c:xMode val="edge"/>
          <c:yMode val="edge"/>
          <c:x val="0.35396945071375452"/>
          <c:y val="3.783175779819821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2432529585606852"/>
          <c:y val="0.10984156112794631"/>
          <c:w val="0.75595146415366143"/>
          <c:h val="0.65733458893219998"/>
        </c:manualLayout>
      </c:layout>
      <c:lineChart>
        <c:grouping val="standard"/>
        <c:varyColors val="0"/>
        <c:ser>
          <c:idx val="3"/>
          <c:order val="0"/>
          <c:tx>
            <c:strRef>
              <c:f>'Refi-Annual Review'!$D$19</c:f>
              <c:strCache>
                <c:ptCount val="1"/>
                <c:pt idx="0">
                  <c:v>GLP (YoY Growth) - LHS</c:v>
                </c:pt>
              </c:strCache>
            </c:strRef>
          </c:tx>
          <c:marker>
            <c:symbol val="square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Review'!$AL$19:$AO$19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ser>
          <c:idx val="0"/>
          <c:order val="1"/>
          <c:tx>
            <c:strRef>
              <c:f>'Refi-Annual Review'!$D$20</c:f>
              <c:strCache>
                <c:ptCount val="1"/>
                <c:pt idx="0">
                  <c:v>Borrowers (YoY Growth) - RHS</c:v>
                </c:pt>
              </c:strCache>
            </c:strRef>
          </c:tx>
          <c:spPr>
            <a:ln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7"/>
          </c:marker>
          <c:cat>
            <c:strRef>
              <c:f>'Refi-Annual Review'!$AL$7:$AO$7</c:f>
              <c:strCache>
                <c:ptCount val="4"/>
                <c:pt idx="0">
                  <c:v>-2</c:v>
                </c:pt>
                <c:pt idx="1">
                  <c:v>-1</c:v>
                </c:pt>
                <c:pt idx="2">
                  <c:v>0</c:v>
                </c:pt>
                <c:pt idx="3">
                  <c:v>YTD Jan-00</c:v>
                </c:pt>
              </c:strCache>
            </c:strRef>
          </c:cat>
          <c:val>
            <c:numRef>
              <c:f>'Refi-Annual Review'!$AL$20:$AO$20</c:f>
              <c:numCache>
                <c:formatCode>0.0%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415936"/>
        <c:axId val="185421824"/>
      </c:lineChart>
      <c:catAx>
        <c:axId val="185415936"/>
        <c:scaling>
          <c:orientation val="minMax"/>
        </c:scaling>
        <c:delete val="0"/>
        <c:axPos val="b"/>
        <c:numFmt formatCode="#,##0_);[Red]\(#,##0\)" sourceLinked="1"/>
        <c:majorTickMark val="out"/>
        <c:minorTickMark val="none"/>
        <c:tickLblPos val="nextTo"/>
        <c:crossAx val="185421824"/>
        <c:crosses val="autoZero"/>
        <c:auto val="1"/>
        <c:lblAlgn val="ctr"/>
        <c:lblOffset val="100"/>
        <c:noMultiLvlLbl val="0"/>
      </c:catAx>
      <c:valAx>
        <c:axId val="18542182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sysDot"/>
            </a:ln>
          </c:spPr>
        </c:majorGridlines>
        <c:numFmt formatCode="0.0%" sourceLinked="1"/>
        <c:majorTickMark val="out"/>
        <c:minorTickMark val="none"/>
        <c:tickLblPos val="nextTo"/>
        <c:crossAx val="185415936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.12151981191372298"/>
          <c:y val="0.88260018429805454"/>
          <c:w val="0.87848025003020191"/>
          <c:h val="7.3116311064844022E-2"/>
        </c:manualLayout>
      </c:layout>
      <c:overlay val="0"/>
      <c:spPr>
        <a:solidFill>
          <a:schemeClr val="lt1"/>
        </a:solidFill>
        <a:ln w="3175" cap="flat" cmpd="sng" algn="ctr">
          <a:solidFill>
            <a:schemeClr val="bg1">
              <a:lumMod val="50000"/>
            </a:schemeClr>
          </a:solidFill>
          <a:prstDash val="solid"/>
        </a:ln>
        <a:effectLst/>
      </c:spPr>
    </c:legend>
    <c:plotVisOnly val="1"/>
    <c:dispBlanksAs val="gap"/>
    <c:showDLblsOverMax val="0"/>
  </c:chart>
  <c:spPr>
    <a:gradFill rotWithShape="1">
      <a:gsLst>
        <a:gs pos="0">
          <a:schemeClr val="dk1">
            <a:tint val="50000"/>
            <a:satMod val="300000"/>
          </a:schemeClr>
        </a:gs>
        <a:gs pos="35000">
          <a:schemeClr val="dk1">
            <a:tint val="37000"/>
            <a:satMod val="300000"/>
          </a:schemeClr>
        </a:gs>
        <a:gs pos="100000">
          <a:schemeClr val="dk1">
            <a:tint val="15000"/>
            <a:satMod val="350000"/>
          </a:schemeClr>
        </a:gs>
      </a:gsLst>
      <a:lin ang="16200000" scaled="1"/>
    </a:gradFill>
    <a:ln w="9525" cap="flat" cmpd="sng" algn="ctr">
      <a:solidFill>
        <a:schemeClr val="dk1">
          <a:shade val="95000"/>
          <a:satMod val="105000"/>
        </a:schemeClr>
      </a:solidFill>
      <a:prstDash val="solid"/>
    </a:ln>
    <a:effectLst>
      <a:outerShdw blurRad="40000" dist="20000" dir="5400000" rotWithShape="0">
        <a:srgbClr val="000000">
          <a:alpha val="38000"/>
        </a:srgbClr>
      </a:outerShdw>
    </a:effectLst>
  </c:spPr>
  <c:txPr>
    <a:bodyPr/>
    <a:lstStyle/>
    <a:p>
      <a:pPr>
        <a:defRPr sz="800"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3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414618</xdr:colOff>
      <xdr:row>1</xdr:row>
      <xdr:rowOff>86845</xdr:rowOff>
    </xdr:from>
    <xdr:to>
      <xdr:col>9</xdr:col>
      <xdr:colOff>237007</xdr:colOff>
      <xdr:row>7</xdr:row>
      <xdr:rowOff>22411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404412" y="210110"/>
          <a:ext cx="2724713" cy="129147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0</xdr:row>
      <xdr:rowOff>0</xdr:rowOff>
    </xdr:from>
    <xdr:to>
      <xdr:col>9</xdr:col>
      <xdr:colOff>761314</xdr:colOff>
      <xdr:row>6</xdr:row>
      <xdr:rowOff>145053</xdr:rowOff>
    </xdr:to>
    <xdr:pic>
      <xdr:nvPicPr>
        <xdr:cNvPr id="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264088" y="0"/>
          <a:ext cx="2554255" cy="1276847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11768</xdr:colOff>
      <xdr:row>75</xdr:row>
      <xdr:rowOff>22412</xdr:rowOff>
    </xdr:from>
    <xdr:to>
      <xdr:col>10</xdr:col>
      <xdr:colOff>11206</xdr:colOff>
      <xdr:row>96</xdr:row>
      <xdr:rowOff>78441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35</xdr:col>
      <xdr:colOff>549089</xdr:colOff>
      <xdr:row>1</xdr:row>
      <xdr:rowOff>257734</xdr:rowOff>
    </xdr:from>
    <xdr:to>
      <xdr:col>38</xdr:col>
      <xdr:colOff>885823</xdr:colOff>
      <xdr:row>6</xdr:row>
      <xdr:rowOff>197783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4175442" y="358587"/>
          <a:ext cx="2735519" cy="1150284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</xdr:spPr>
    </xdr:pic>
    <xdr:clientData/>
  </xdr:twoCellAnchor>
  <xdr:twoCellAnchor>
    <xdr:from>
      <xdr:col>2</xdr:col>
      <xdr:colOff>22412</xdr:colOff>
      <xdr:row>21</xdr:row>
      <xdr:rowOff>11205</xdr:rowOff>
    </xdr:from>
    <xdr:to>
      <xdr:col>9</xdr:col>
      <xdr:colOff>67234</xdr:colOff>
      <xdr:row>39</xdr:row>
      <xdr:rowOff>44823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33617</xdr:colOff>
      <xdr:row>40</xdr:row>
      <xdr:rowOff>11206</xdr:rowOff>
    </xdr:from>
    <xdr:to>
      <xdr:col>10</xdr:col>
      <xdr:colOff>33618</xdr:colOff>
      <xdr:row>55</xdr:row>
      <xdr:rowOff>164087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33618</xdr:colOff>
      <xdr:row>57</xdr:row>
      <xdr:rowOff>33618</xdr:rowOff>
    </xdr:from>
    <xdr:to>
      <xdr:col>9</xdr:col>
      <xdr:colOff>44823</xdr:colOff>
      <xdr:row>73</xdr:row>
      <xdr:rowOff>22413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23</xdr:row>
          <xdr:rowOff>104775</xdr:rowOff>
        </xdr:from>
        <xdr:to>
          <xdr:col>39</xdr:col>
          <xdr:colOff>609600</xdr:colOff>
          <xdr:row>55</xdr:row>
          <xdr:rowOff>142875</xdr:rowOff>
        </xdr:to>
        <xdr:sp macro="" textlink="">
          <xdr:nvSpPr>
            <xdr:cNvPr id="6145" name="commentary_input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23</xdr:row>
          <xdr:rowOff>85725</xdr:rowOff>
        </xdr:from>
        <xdr:to>
          <xdr:col>42</xdr:col>
          <xdr:colOff>0</xdr:colOff>
          <xdr:row>25</xdr:row>
          <xdr:rowOff>104775</xdr:rowOff>
        </xdr:to>
        <xdr:sp macro="" textlink="">
          <xdr:nvSpPr>
            <xdr:cNvPr id="6146" name="CommentarySaveButton" hidden="1">
              <a:extLst>
                <a:ext uri="{63B3BB69-23CF-44E3-9099-C40C66FF867C}">
                  <a14:compatExt spid="_x0000_s61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Commentary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40</xdr:col>
          <xdr:colOff>247650</xdr:colOff>
          <xdr:row>27</xdr:row>
          <xdr:rowOff>9525</xdr:rowOff>
        </xdr:from>
        <xdr:to>
          <xdr:col>42</xdr:col>
          <xdr:colOff>0</xdr:colOff>
          <xdr:row>29</xdr:row>
          <xdr:rowOff>9525</xdr:rowOff>
        </xdr:to>
        <xdr:sp macro="" textlink="">
          <xdr:nvSpPr>
            <xdr:cNvPr id="6147" name="CommentaryHideButton" hidden="1">
              <a:extLst>
                <a:ext uri="{63B3BB69-23CF-44E3-9099-C40C66FF867C}">
                  <a14:compatExt spid="_x0000_s61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58</xdr:row>
          <xdr:rowOff>85725</xdr:rowOff>
        </xdr:from>
        <xdr:to>
          <xdr:col>33</xdr:col>
          <xdr:colOff>295275</xdr:colOff>
          <xdr:row>60</xdr:row>
          <xdr:rowOff>85725</xdr:rowOff>
        </xdr:to>
        <xdr:sp macro="" textlink="">
          <xdr:nvSpPr>
            <xdr:cNvPr id="6148" name="riskRatingDrop" hidden="1">
              <a:extLst>
                <a:ext uri="{63B3BB69-23CF-44E3-9099-C40C66FF867C}">
                  <a14:compatExt spid="_x0000_s614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35</xdr:col>
          <xdr:colOff>180975</xdr:colOff>
          <xdr:row>58</xdr:row>
          <xdr:rowOff>85725</xdr:rowOff>
        </xdr:from>
        <xdr:to>
          <xdr:col>37</xdr:col>
          <xdr:colOff>1114425</xdr:colOff>
          <xdr:row>60</xdr:row>
          <xdr:rowOff>47625</xdr:rowOff>
        </xdr:to>
        <xdr:sp macro="" textlink="">
          <xdr:nvSpPr>
            <xdr:cNvPr id="6149" name="riskRatingSaveButton" hidden="1">
              <a:extLst>
                <a:ext uri="{63B3BB69-23CF-44E3-9099-C40C66FF867C}">
                  <a14:compatExt spid="_x0000_s61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Save Risk Rating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37</xdr:col>
          <xdr:colOff>1285875</xdr:colOff>
          <xdr:row>58</xdr:row>
          <xdr:rowOff>76200</xdr:rowOff>
        </xdr:from>
        <xdr:to>
          <xdr:col>39</xdr:col>
          <xdr:colOff>228600</xdr:colOff>
          <xdr:row>60</xdr:row>
          <xdr:rowOff>38100</xdr:rowOff>
        </xdr:to>
        <xdr:sp macro="" textlink="">
          <xdr:nvSpPr>
            <xdr:cNvPr id="6150" name="CommentaryHideButton2" hidden="1">
              <a:extLst>
                <a:ext uri="{63B3BB69-23CF-44E3-9099-C40C66FF867C}">
                  <a14:compatExt spid="_x0000_s61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</a:rPr>
                <a:t>Hide All Buttons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644899</xdr:colOff>
      <xdr:row>10</xdr:row>
      <xdr:rowOff>42685</xdr:rowOff>
    </xdr:from>
    <xdr:to>
      <xdr:col>33</xdr:col>
      <xdr:colOff>481853</xdr:colOff>
      <xdr:row>23</xdr:row>
      <xdr:rowOff>112059</xdr:rowOff>
    </xdr:to>
    <xdr:graphicFrame macro="">
      <xdr:nvGraphicFramePr>
        <xdr:cNvPr id="12" name="GLP_Expense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635373</xdr:colOff>
      <xdr:row>25</xdr:row>
      <xdr:rowOff>77911</xdr:rowOff>
    </xdr:from>
    <xdr:to>
      <xdr:col>33</xdr:col>
      <xdr:colOff>515470</xdr:colOff>
      <xdr:row>38</xdr:row>
      <xdr:rowOff>156881</xdr:rowOff>
    </xdr:to>
    <xdr:graphicFrame macro="">
      <xdr:nvGraphicFramePr>
        <xdr:cNvPr id="13" name="GLP_PAR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691965</xdr:colOff>
      <xdr:row>41</xdr:row>
      <xdr:rowOff>68917</xdr:rowOff>
    </xdr:from>
    <xdr:to>
      <xdr:col>33</xdr:col>
      <xdr:colOff>627531</xdr:colOff>
      <xdr:row>55</xdr:row>
      <xdr:rowOff>123266</xdr:rowOff>
    </xdr:to>
    <xdr:graphicFrame macro="">
      <xdr:nvGraphicFramePr>
        <xdr:cNvPr id="14" name="GLP_Growth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1.xml"/><Relationship Id="rId3" Type="http://schemas.openxmlformats.org/officeDocument/2006/relationships/vmlDrawing" Target="../drawings/vmlDrawing3.vml"/><Relationship Id="rId7" Type="http://schemas.openxmlformats.org/officeDocument/2006/relationships/image" Target="../media/image3.emf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2.xml"/><Relationship Id="rId11" Type="http://schemas.openxmlformats.org/officeDocument/2006/relationships/ctrlProp" Target="../ctrlProps/ctrlProp4.xml"/><Relationship Id="rId5" Type="http://schemas.openxmlformats.org/officeDocument/2006/relationships/image" Target="../media/image2.emf"/><Relationship Id="rId10" Type="http://schemas.openxmlformats.org/officeDocument/2006/relationships/ctrlProp" Target="../ctrlProps/ctrlProp3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BJ29979"/>
  <sheetViews>
    <sheetView zoomScale="70" zoomScaleNormal="70" workbookViewId="0"/>
  </sheetViews>
  <sheetFormatPr defaultRowHeight="15"/>
  <cols>
    <col min="1" max="1" width="23.7109375" style="831" bestFit="1" customWidth="1"/>
    <col min="2" max="2" width="83" style="831" bestFit="1" customWidth="1"/>
    <col min="3" max="3" width="21" style="831" bestFit="1" customWidth="1"/>
    <col min="4" max="5" width="9.140625" style="831"/>
    <col min="6" max="6" width="10.7109375" style="835" bestFit="1" customWidth="1"/>
    <col min="7" max="7" width="9.140625" style="831"/>
    <col min="8" max="8" width="10.7109375" style="831" bestFit="1" customWidth="1"/>
    <col min="9" max="9" width="7.7109375" style="831" customWidth="1"/>
    <col min="10" max="10" width="4.7109375" style="831" customWidth="1"/>
    <col min="11" max="11" width="9.5703125" style="831" bestFit="1" customWidth="1"/>
    <col min="12" max="13" width="10.7109375" style="831" bestFit="1" customWidth="1"/>
    <col min="14" max="16384" width="9.140625" style="831"/>
  </cols>
  <sheetData>
    <row r="1" spans="1:62">
      <c r="A1" s="831" t="s">
        <v>666</v>
      </c>
      <c r="B1" s="832">
        <v>0</v>
      </c>
      <c r="C1" s="832">
        <v>1</v>
      </c>
      <c r="D1" s="832">
        <v>2</v>
      </c>
      <c r="E1" s="832">
        <v>3</v>
      </c>
      <c r="F1" s="833">
        <v>4</v>
      </c>
      <c r="G1" s="832">
        <v>5</v>
      </c>
      <c r="I1" s="831">
        <v>0</v>
      </c>
      <c r="J1" s="831">
        <v>1</v>
      </c>
      <c r="L1" s="831">
        <v>0</v>
      </c>
      <c r="M1" s="832">
        <v>1</v>
      </c>
      <c r="N1" s="832">
        <v>2</v>
      </c>
      <c r="O1" s="832">
        <v>3</v>
      </c>
      <c r="P1" s="832">
        <v>4</v>
      </c>
      <c r="Q1" s="832">
        <v>5</v>
      </c>
      <c r="R1" s="832">
        <v>6</v>
      </c>
      <c r="S1" s="832">
        <v>7</v>
      </c>
      <c r="T1" s="832">
        <v>8</v>
      </c>
      <c r="V1" s="831">
        <v>0</v>
      </c>
      <c r="W1" s="832">
        <v>1</v>
      </c>
      <c r="X1" s="832">
        <v>2</v>
      </c>
      <c r="Y1" s="832">
        <v>3</v>
      </c>
      <c r="Z1" s="832"/>
      <c r="AA1" s="832">
        <v>0</v>
      </c>
      <c r="AB1" s="832">
        <v>1</v>
      </c>
      <c r="AC1" s="831">
        <v>2</v>
      </c>
      <c r="AD1" s="832">
        <v>3</v>
      </c>
      <c r="AE1" s="832"/>
      <c r="AF1" s="832">
        <v>0</v>
      </c>
      <c r="AG1" s="832">
        <v>1</v>
      </c>
      <c r="AH1" s="831">
        <v>2</v>
      </c>
      <c r="AI1" s="831">
        <v>3</v>
      </c>
      <c r="AJ1" s="831">
        <v>4</v>
      </c>
      <c r="AK1" s="831">
        <v>5</v>
      </c>
      <c r="AL1" s="832"/>
      <c r="AM1" s="832">
        <v>0</v>
      </c>
      <c r="AN1" s="832">
        <v>1</v>
      </c>
      <c r="AO1" s="831">
        <v>2</v>
      </c>
      <c r="AQ1" s="831">
        <v>0</v>
      </c>
      <c r="AR1" s="831">
        <v>1</v>
      </c>
      <c r="AS1" s="831">
        <v>2</v>
      </c>
      <c r="AT1" s="831">
        <v>3</v>
      </c>
      <c r="AU1" s="831">
        <v>4</v>
      </c>
      <c r="AV1" s="831">
        <v>5</v>
      </c>
      <c r="AW1" s="831">
        <v>6</v>
      </c>
      <c r="AX1" s="831">
        <v>7</v>
      </c>
      <c r="AY1" s="831">
        <v>8</v>
      </c>
      <c r="BA1" s="831">
        <v>0</v>
      </c>
      <c r="BB1" s="831">
        <v>1</v>
      </c>
      <c r="BC1" s="831">
        <v>2</v>
      </c>
      <c r="BE1" s="831">
        <v>0</v>
      </c>
      <c r="BF1" s="831">
        <v>1</v>
      </c>
      <c r="BG1" s="831">
        <v>2</v>
      </c>
      <c r="BH1" s="831">
        <v>3</v>
      </c>
      <c r="BI1" s="831">
        <v>4</v>
      </c>
      <c r="BJ1" s="831">
        <v>5</v>
      </c>
    </row>
    <row r="2" spans="1:62" ht="75">
      <c r="B2" s="834" t="s">
        <v>668</v>
      </c>
      <c r="C2" s="831" t="s">
        <v>663</v>
      </c>
      <c r="D2" s="831">
        <v>2000000</v>
      </c>
      <c r="E2" s="831">
        <v>2000000</v>
      </c>
      <c r="F2" s="835" t="s">
        <v>297</v>
      </c>
      <c r="G2" s="835">
        <v>40339</v>
      </c>
      <c r="H2" s="835"/>
      <c r="I2" s="835">
        <v>42198</v>
      </c>
      <c r="J2" s="889" t="s">
        <v>681</v>
      </c>
      <c r="K2" s="836"/>
      <c r="L2" s="835" t="s">
        <v>664</v>
      </c>
      <c r="M2" s="831" t="s">
        <v>683</v>
      </c>
      <c r="N2" s="831">
        <v>2</v>
      </c>
      <c r="O2" s="831" t="s">
        <v>684</v>
      </c>
      <c r="P2" s="831">
        <v>2500000</v>
      </c>
      <c r="Q2" s="831">
        <v>2500000</v>
      </c>
      <c r="R2" s="835" t="s">
        <v>297</v>
      </c>
      <c r="S2" s="835">
        <v>1</v>
      </c>
      <c r="T2" s="831">
        <v>2500000</v>
      </c>
      <c r="V2" s="831" t="s">
        <v>315</v>
      </c>
      <c r="W2" s="831">
        <v>0.05</v>
      </c>
      <c r="X2" s="835"/>
      <c r="AA2" s="887">
        <v>42186</v>
      </c>
      <c r="AB2" s="831" t="s">
        <v>672</v>
      </c>
      <c r="AC2" s="831">
        <v>1.04975</v>
      </c>
      <c r="AD2" s="835">
        <v>42209</v>
      </c>
      <c r="AF2" s="835" t="s">
        <v>688</v>
      </c>
      <c r="AG2" s="835" t="s">
        <v>55</v>
      </c>
      <c r="AH2" s="831" t="s">
        <v>66</v>
      </c>
      <c r="AI2" s="835">
        <v>0</v>
      </c>
      <c r="AJ2" s="835">
        <v>39478</v>
      </c>
      <c r="AK2" s="831">
        <v>11538909</v>
      </c>
      <c r="AL2" s="835"/>
      <c r="AM2" s="831" t="s">
        <v>480</v>
      </c>
      <c r="AN2" s="835">
        <v>42198</v>
      </c>
      <c r="AO2" s="1133">
        <v>0.85</v>
      </c>
      <c r="AP2" s="831" t="str">
        <f>IF(AX2&lt;&gt;"",IF(OR(AX2=3,AX2=4),"Equity","Debt"),"")</f>
        <v>Debt</v>
      </c>
      <c r="AQ2" s="831" t="s">
        <v>664</v>
      </c>
      <c r="AR2" s="831">
        <v>2500000</v>
      </c>
      <c r="AS2" s="831">
        <v>2500000</v>
      </c>
      <c r="AT2" s="831">
        <v>2500000</v>
      </c>
      <c r="AU2" s="831" t="s">
        <v>297</v>
      </c>
      <c r="AV2" s="835">
        <v>40071</v>
      </c>
      <c r="AW2" s="835">
        <v>42216</v>
      </c>
      <c r="AX2" s="831">
        <v>9</v>
      </c>
      <c r="AY2" s="831">
        <v>1</v>
      </c>
      <c r="BA2" s="835">
        <v>42198</v>
      </c>
      <c r="BB2" s="831" t="s">
        <v>317</v>
      </c>
      <c r="BC2" s="831" t="s">
        <v>318</v>
      </c>
      <c r="BE2" s="831" t="s">
        <v>683</v>
      </c>
      <c r="BF2" s="831">
        <v>2</v>
      </c>
      <c r="BG2" s="831" t="s">
        <v>12027</v>
      </c>
      <c r="BH2" s="831">
        <v>353</v>
      </c>
      <c r="BI2" s="831">
        <v>0.67742857142857105</v>
      </c>
      <c r="BJ2" s="831">
        <v>2013</v>
      </c>
    </row>
    <row r="3" spans="1:62">
      <c r="B3" s="834" t="s">
        <v>669</v>
      </c>
      <c r="C3" s="831" t="s">
        <v>664</v>
      </c>
      <c r="D3" s="831">
        <v>2500000</v>
      </c>
      <c r="E3" s="831">
        <v>2500000</v>
      </c>
      <c r="F3" s="835" t="s">
        <v>297</v>
      </c>
      <c r="G3" s="835">
        <v>40983</v>
      </c>
      <c r="H3" s="835" t="e">
        <f>EOMONTH(L3,0)</f>
        <v>#VALUE!</v>
      </c>
      <c r="I3" s="835">
        <v>40847</v>
      </c>
      <c r="J3" s="831" t="s">
        <v>682</v>
      </c>
      <c r="K3" s="836"/>
      <c r="L3" s="835" t="s">
        <v>664</v>
      </c>
      <c r="M3" s="831" t="s">
        <v>683</v>
      </c>
      <c r="N3" s="831">
        <v>2</v>
      </c>
      <c r="O3" s="831" t="s">
        <v>684</v>
      </c>
      <c r="P3" s="831">
        <v>1606400</v>
      </c>
      <c r="Q3" s="831">
        <v>1998009.950249</v>
      </c>
      <c r="R3" s="835" t="s">
        <v>672</v>
      </c>
      <c r="S3" s="835">
        <v>1</v>
      </c>
      <c r="T3" s="831">
        <v>1530269.111693</v>
      </c>
      <c r="V3" s="831" t="s">
        <v>334</v>
      </c>
      <c r="W3" s="831">
        <v>0.02</v>
      </c>
      <c r="X3" s="835"/>
      <c r="AA3" s="887">
        <v>42156</v>
      </c>
      <c r="AB3" s="831" t="s">
        <v>672</v>
      </c>
      <c r="AC3" s="831">
        <v>1.0483</v>
      </c>
      <c r="AD3" s="835">
        <v>42185</v>
      </c>
      <c r="AF3" s="835" t="s">
        <v>689</v>
      </c>
      <c r="AG3" s="835" t="s">
        <v>55</v>
      </c>
      <c r="AH3" s="831" t="s">
        <v>71</v>
      </c>
      <c r="AI3" s="831">
        <v>0</v>
      </c>
      <c r="AJ3" s="835">
        <v>39478</v>
      </c>
      <c r="AK3" s="831">
        <v>0</v>
      </c>
      <c r="AL3" s="835"/>
      <c r="AP3" s="831" t="str">
        <f t="shared" ref="AP3:AP66" si="0">IF(AX3&lt;&gt;"",IF(OR(AX3=3,AX3=4),"Equity","Debt"),"")</f>
        <v>Debt</v>
      </c>
      <c r="AQ3" s="831" t="s">
        <v>664</v>
      </c>
      <c r="AR3" s="831">
        <v>5500000</v>
      </c>
      <c r="AT3" s="831">
        <v>5500000</v>
      </c>
      <c r="AU3" s="831" t="s">
        <v>297</v>
      </c>
      <c r="AV3" s="835">
        <v>41150</v>
      </c>
      <c r="AW3" s="835">
        <v>42247</v>
      </c>
      <c r="AX3" s="831">
        <v>6</v>
      </c>
      <c r="AY3" s="831">
        <v>1</v>
      </c>
      <c r="BA3" s="835">
        <v>41495</v>
      </c>
      <c r="BB3" s="831" t="s">
        <v>287</v>
      </c>
      <c r="BC3" s="831" t="s">
        <v>287</v>
      </c>
    </row>
    <row r="4" spans="1:62">
      <c r="B4" s="834" t="s">
        <v>670</v>
      </c>
      <c r="C4" s="831" t="s">
        <v>663</v>
      </c>
      <c r="D4" s="831">
        <v>4000000</v>
      </c>
      <c r="E4" s="831">
        <v>4000000</v>
      </c>
      <c r="F4" s="835" t="s">
        <v>297</v>
      </c>
      <c r="G4" s="835">
        <v>41150</v>
      </c>
      <c r="H4" s="835" t="e">
        <f t="shared" ref="H4:H67" si="1">EOMONTH(L4,0)</f>
        <v>#VALUE!</v>
      </c>
      <c r="I4" s="835">
        <v>40843</v>
      </c>
      <c r="K4" s="836"/>
      <c r="L4" s="835" t="s">
        <v>664</v>
      </c>
      <c r="M4" s="831" t="s">
        <v>683</v>
      </c>
      <c r="N4" s="831">
        <v>2</v>
      </c>
      <c r="O4" s="831" t="s">
        <v>684</v>
      </c>
      <c r="P4" s="831">
        <v>1572600</v>
      </c>
      <c r="Q4" s="831">
        <v>2006507.1770329999</v>
      </c>
      <c r="R4" s="835" t="s">
        <v>672</v>
      </c>
      <c r="S4" s="835">
        <v>1</v>
      </c>
      <c r="T4" s="831">
        <v>1498070.9692780001</v>
      </c>
      <c r="V4" s="831" t="s">
        <v>288</v>
      </c>
      <c r="W4" s="831">
        <v>0.1</v>
      </c>
      <c r="X4" s="835"/>
      <c r="AA4" s="887">
        <v>42125</v>
      </c>
      <c r="AB4" s="831" t="s">
        <v>672</v>
      </c>
      <c r="AC4" s="831">
        <v>1.0509999999999999</v>
      </c>
      <c r="AD4" s="835">
        <v>42153</v>
      </c>
      <c r="AF4" s="835" t="s">
        <v>690</v>
      </c>
      <c r="AG4" s="835" t="s">
        <v>55</v>
      </c>
      <c r="AH4" s="831" t="s">
        <v>76</v>
      </c>
      <c r="AI4" s="831">
        <v>0</v>
      </c>
      <c r="AJ4" s="835">
        <v>39478</v>
      </c>
      <c r="AK4" s="831">
        <v>0</v>
      </c>
      <c r="AP4" s="831" t="str">
        <f t="shared" si="0"/>
        <v>Debt</v>
      </c>
      <c r="AQ4" s="831" t="s">
        <v>664</v>
      </c>
      <c r="AR4" s="831">
        <v>1606400</v>
      </c>
      <c r="AS4" s="831">
        <v>1998009.950249</v>
      </c>
      <c r="AT4" s="831">
        <v>1530269.111693</v>
      </c>
      <c r="AU4" s="831" t="s">
        <v>672</v>
      </c>
      <c r="AV4" s="835">
        <v>40165</v>
      </c>
      <c r="AW4" s="835">
        <v>42292</v>
      </c>
      <c r="AX4" s="831">
        <v>10.75</v>
      </c>
      <c r="AY4" s="831">
        <v>1</v>
      </c>
      <c r="BA4" s="835">
        <v>40674</v>
      </c>
      <c r="BB4" s="831" t="s">
        <v>287</v>
      </c>
      <c r="BC4" s="831" t="s">
        <v>287</v>
      </c>
    </row>
    <row r="5" spans="1:62">
      <c r="B5" s="834" t="s">
        <v>671</v>
      </c>
      <c r="C5" s="831" t="s">
        <v>455</v>
      </c>
      <c r="D5" s="831">
        <v>2399700</v>
      </c>
      <c r="E5" s="831">
        <v>2285972.8506789999</v>
      </c>
      <c r="F5" s="835" t="s">
        <v>672</v>
      </c>
      <c r="G5" s="835">
        <v>41243</v>
      </c>
      <c r="H5" s="835" t="e">
        <f t="shared" si="1"/>
        <v>#VALUE!</v>
      </c>
      <c r="I5" s="835">
        <v>40752</v>
      </c>
      <c r="K5" s="836"/>
      <c r="L5" s="835" t="s">
        <v>664</v>
      </c>
      <c r="M5" s="831" t="s">
        <v>683</v>
      </c>
      <c r="N5" s="831">
        <v>2</v>
      </c>
      <c r="O5" s="831" t="s">
        <v>684</v>
      </c>
      <c r="P5" s="831">
        <v>5500000</v>
      </c>
      <c r="R5" s="835" t="s">
        <v>297</v>
      </c>
      <c r="S5" s="835">
        <v>1</v>
      </c>
      <c r="T5" s="831">
        <v>5500000</v>
      </c>
      <c r="V5" s="831" t="s">
        <v>286</v>
      </c>
      <c r="W5" s="831">
        <v>0.25</v>
      </c>
      <c r="X5" s="835"/>
      <c r="AA5" s="887">
        <v>42095</v>
      </c>
      <c r="AB5" s="831" t="s">
        <v>672</v>
      </c>
      <c r="AC5" s="831">
        <v>1.0471999999999999</v>
      </c>
      <c r="AD5" s="835">
        <v>42124</v>
      </c>
      <c r="AF5" s="835" t="s">
        <v>691</v>
      </c>
      <c r="AG5" s="835" t="s">
        <v>55</v>
      </c>
      <c r="AH5" s="831" t="s">
        <v>81</v>
      </c>
      <c r="AI5" s="831">
        <v>0</v>
      </c>
      <c r="AJ5" s="835">
        <v>39478</v>
      </c>
      <c r="AK5" s="831">
        <v>0</v>
      </c>
      <c r="AP5" s="831" t="str">
        <f t="shared" si="0"/>
        <v>Debt</v>
      </c>
      <c r="AQ5" s="831" t="s">
        <v>664</v>
      </c>
      <c r="AR5" s="831">
        <v>1572600</v>
      </c>
      <c r="AS5" s="831">
        <v>2006507.1770329999</v>
      </c>
      <c r="AT5" s="831">
        <v>1498070.9692780001</v>
      </c>
      <c r="AU5" s="831" t="s">
        <v>672</v>
      </c>
      <c r="AV5" s="835">
        <v>40905</v>
      </c>
      <c r="AW5" s="835">
        <v>42292</v>
      </c>
      <c r="AX5" s="831">
        <v>8.5</v>
      </c>
      <c r="AY5" s="831">
        <v>1</v>
      </c>
      <c r="BA5" s="835">
        <v>40644</v>
      </c>
      <c r="BB5" s="831" t="s">
        <v>287</v>
      </c>
      <c r="BC5" s="831" t="s">
        <v>287</v>
      </c>
    </row>
    <row r="6" spans="1:62">
      <c r="B6" s="834" t="s">
        <v>673</v>
      </c>
      <c r="C6" s="831" t="s">
        <v>663</v>
      </c>
      <c r="D6" s="831">
        <v>2116250</v>
      </c>
      <c r="E6" s="831">
        <v>2015956.180043</v>
      </c>
      <c r="F6" s="835" t="s">
        <v>672</v>
      </c>
      <c r="G6" s="835">
        <v>41614</v>
      </c>
      <c r="H6" s="835" t="e">
        <f t="shared" si="1"/>
        <v>#VALUE!</v>
      </c>
      <c r="I6" s="835">
        <v>40640</v>
      </c>
      <c r="K6" s="836"/>
      <c r="L6" s="835" t="s">
        <v>664</v>
      </c>
      <c r="M6" s="831" t="s">
        <v>685</v>
      </c>
      <c r="N6" s="831">
        <v>15</v>
      </c>
      <c r="O6" s="831" t="s">
        <v>684</v>
      </c>
      <c r="P6" s="831">
        <v>1285949</v>
      </c>
      <c r="Q6" s="831">
        <v>1638364.141573</v>
      </c>
      <c r="R6" s="835" t="s">
        <v>672</v>
      </c>
      <c r="S6" s="835">
        <v>1</v>
      </c>
      <c r="T6" s="831">
        <v>1225005.001191</v>
      </c>
      <c r="X6" s="835"/>
      <c r="AA6" s="887">
        <v>42064</v>
      </c>
      <c r="AB6" s="831" t="s">
        <v>672</v>
      </c>
      <c r="AC6" s="831">
        <v>1.0495000000000001</v>
      </c>
      <c r="AD6" s="835">
        <v>42094</v>
      </c>
      <c r="AF6" s="831" t="s">
        <v>692</v>
      </c>
      <c r="AG6" s="831" t="s">
        <v>55</v>
      </c>
      <c r="AH6" s="831" t="s">
        <v>10</v>
      </c>
      <c r="AI6" s="831">
        <v>0</v>
      </c>
      <c r="AJ6" s="835">
        <v>39478</v>
      </c>
      <c r="AK6" s="831">
        <v>100607843</v>
      </c>
      <c r="AP6" s="831" t="str">
        <f t="shared" si="0"/>
        <v/>
      </c>
      <c r="BA6" s="835">
        <v>40451</v>
      </c>
      <c r="BB6" s="831" t="s">
        <v>287</v>
      </c>
      <c r="BC6" s="831" t="s">
        <v>287</v>
      </c>
    </row>
    <row r="7" spans="1:62">
      <c r="B7" s="834" t="s">
        <v>674</v>
      </c>
      <c r="C7" s="831" t="s">
        <v>460</v>
      </c>
      <c r="D7" s="831">
        <v>1572600</v>
      </c>
      <c r="E7" s="831">
        <v>1498070.9692780001</v>
      </c>
      <c r="F7" s="835" t="s">
        <v>672</v>
      </c>
      <c r="G7" s="835">
        <v>41636</v>
      </c>
      <c r="H7" s="835" t="e">
        <f t="shared" si="1"/>
        <v>#VALUE!</v>
      </c>
      <c r="K7" s="836"/>
      <c r="L7" s="835" t="s">
        <v>664</v>
      </c>
      <c r="M7" s="831" t="s">
        <v>685</v>
      </c>
      <c r="N7" s="831">
        <v>15</v>
      </c>
      <c r="O7" s="831" t="s">
        <v>684</v>
      </c>
      <c r="P7" s="831">
        <v>1098160</v>
      </c>
      <c r="Q7" s="831">
        <v>1400982.3308029999</v>
      </c>
      <c r="R7" s="835" t="s">
        <v>672</v>
      </c>
      <c r="S7" s="835">
        <v>1</v>
      </c>
      <c r="T7" s="831">
        <v>1046115.7418430001</v>
      </c>
      <c r="X7" s="835"/>
      <c r="AA7" s="887">
        <v>42036</v>
      </c>
      <c r="AB7" s="831" t="s">
        <v>672</v>
      </c>
      <c r="AC7" s="831">
        <v>1.04575</v>
      </c>
      <c r="AD7" s="835">
        <v>42062</v>
      </c>
      <c r="AF7" s="831" t="s">
        <v>693</v>
      </c>
      <c r="AG7" s="831" t="s">
        <v>55</v>
      </c>
      <c r="AH7" s="831" t="s">
        <v>91</v>
      </c>
      <c r="AI7" s="831">
        <v>0</v>
      </c>
      <c r="AJ7" s="835">
        <v>39478</v>
      </c>
      <c r="AK7" s="831">
        <v>-2083631</v>
      </c>
      <c r="AP7" s="831" t="str">
        <f t="shared" si="0"/>
        <v/>
      </c>
      <c r="BA7" s="835">
        <v>40451</v>
      </c>
      <c r="BB7" s="831" t="s">
        <v>287</v>
      </c>
      <c r="BC7" s="831" t="s">
        <v>287</v>
      </c>
    </row>
    <row r="8" spans="1:62">
      <c r="B8" s="834" t="s">
        <v>675</v>
      </c>
      <c r="C8" s="831" t="s">
        <v>663</v>
      </c>
      <c r="D8" s="831">
        <v>2116250</v>
      </c>
      <c r="E8" s="831">
        <v>2015956.180043</v>
      </c>
      <c r="F8" s="835" t="s">
        <v>672</v>
      </c>
      <c r="G8" s="835">
        <v>41704</v>
      </c>
      <c r="H8" s="835" t="e">
        <f t="shared" si="1"/>
        <v>#VALUE!</v>
      </c>
      <c r="K8" s="836"/>
      <c r="L8" s="835" t="s">
        <v>664</v>
      </c>
      <c r="M8" s="831" t="s">
        <v>685</v>
      </c>
      <c r="N8" s="831">
        <v>15</v>
      </c>
      <c r="O8" s="831" t="s">
        <v>684</v>
      </c>
      <c r="P8" s="831">
        <v>784300</v>
      </c>
      <c r="Q8" s="831">
        <v>1000701.754386</v>
      </c>
      <c r="R8" s="831" t="s">
        <v>672</v>
      </c>
      <c r="S8" s="831">
        <v>1</v>
      </c>
      <c r="T8" s="831">
        <v>747130.26911200001</v>
      </c>
      <c r="AA8" s="887">
        <v>42005</v>
      </c>
      <c r="AB8" s="831" t="s">
        <v>672</v>
      </c>
      <c r="AC8" s="831">
        <v>0.78439999999999999</v>
      </c>
      <c r="AD8" s="835">
        <v>42034</v>
      </c>
      <c r="AF8" s="831" t="s">
        <v>694</v>
      </c>
      <c r="AG8" s="831" t="s">
        <v>55</v>
      </c>
      <c r="AH8" s="831" t="s">
        <v>94</v>
      </c>
      <c r="AI8" s="831">
        <v>0</v>
      </c>
      <c r="AJ8" s="835">
        <v>39478</v>
      </c>
      <c r="AK8" s="831">
        <v>3753893</v>
      </c>
      <c r="AP8" s="831" t="str">
        <f t="shared" si="0"/>
        <v/>
      </c>
    </row>
    <row r="9" spans="1:62">
      <c r="B9" s="834" t="s">
        <v>676</v>
      </c>
      <c r="C9" s="831" t="s">
        <v>460</v>
      </c>
      <c r="D9" s="831">
        <v>1572600</v>
      </c>
      <c r="E9" s="831">
        <v>1498070.9692780001</v>
      </c>
      <c r="F9" s="835" t="s">
        <v>672</v>
      </c>
      <c r="G9" s="835">
        <v>41726</v>
      </c>
      <c r="H9" s="835" t="e">
        <f t="shared" si="1"/>
        <v>#VALUE!</v>
      </c>
      <c r="K9" s="836"/>
      <c r="L9" s="835" t="s">
        <v>664</v>
      </c>
      <c r="M9" s="831" t="s">
        <v>686</v>
      </c>
      <c r="N9" s="831">
        <v>33</v>
      </c>
      <c r="O9" s="831" t="s">
        <v>684</v>
      </c>
      <c r="P9" s="831">
        <v>1568600</v>
      </c>
      <c r="Q9" s="831">
        <v>2001403.508772</v>
      </c>
      <c r="R9" s="831" t="s">
        <v>672</v>
      </c>
      <c r="S9" s="831">
        <v>1</v>
      </c>
      <c r="T9" s="831">
        <v>1494260.538223</v>
      </c>
      <c r="AA9" s="887">
        <v>41974</v>
      </c>
      <c r="AB9" s="831" t="s">
        <v>672</v>
      </c>
      <c r="AC9" s="831">
        <v>0.78310000000000002</v>
      </c>
      <c r="AD9" s="835">
        <v>42004</v>
      </c>
      <c r="AF9" s="831" t="s">
        <v>695</v>
      </c>
      <c r="AG9" s="831" t="s">
        <v>55</v>
      </c>
      <c r="AH9" s="831" t="s">
        <v>103</v>
      </c>
      <c r="AI9" s="831">
        <v>0</v>
      </c>
      <c r="AJ9" s="835">
        <v>39478</v>
      </c>
      <c r="AK9" s="831">
        <v>11364170</v>
      </c>
      <c r="AP9" s="831" t="str">
        <f t="shared" si="0"/>
        <v/>
      </c>
    </row>
    <row r="10" spans="1:62">
      <c r="A10" s="835"/>
      <c r="B10" s="834" t="s">
        <v>677</v>
      </c>
      <c r="C10" s="831" t="s">
        <v>663</v>
      </c>
      <c r="D10" s="831">
        <v>5000000</v>
      </c>
      <c r="E10" s="831">
        <v>5000000</v>
      </c>
      <c r="F10" s="835" t="s">
        <v>297</v>
      </c>
      <c r="G10" s="835">
        <v>41744</v>
      </c>
      <c r="H10" s="835" t="e">
        <f t="shared" si="1"/>
        <v>#VALUE!</v>
      </c>
      <c r="K10" s="836"/>
      <c r="L10" s="835" t="s">
        <v>664</v>
      </c>
      <c r="M10" s="831" t="s">
        <v>687</v>
      </c>
      <c r="N10" s="831">
        <v>53</v>
      </c>
      <c r="O10" s="831" t="s">
        <v>684</v>
      </c>
      <c r="P10" s="831">
        <v>4589333.25</v>
      </c>
      <c r="Q10" s="831">
        <v>5845448.4392860001</v>
      </c>
      <c r="R10" s="831" t="s">
        <v>672</v>
      </c>
      <c r="S10" s="831">
        <v>1</v>
      </c>
      <c r="T10" s="831">
        <v>4371834.4844009997</v>
      </c>
      <c r="AA10" s="887">
        <v>41944</v>
      </c>
      <c r="AB10" s="831" t="s">
        <v>672</v>
      </c>
      <c r="AC10" s="831">
        <v>0.78390000000000004</v>
      </c>
      <c r="AD10" s="835">
        <v>41971</v>
      </c>
      <c r="AF10" s="831" t="s">
        <v>696</v>
      </c>
      <c r="AG10" s="831" t="s">
        <v>55</v>
      </c>
      <c r="AH10" s="831" t="s">
        <v>108</v>
      </c>
      <c r="AI10" s="831">
        <v>0</v>
      </c>
      <c r="AJ10" s="835">
        <v>39478</v>
      </c>
      <c r="AK10" s="831">
        <v>0</v>
      </c>
      <c r="AP10" s="831" t="str">
        <f t="shared" si="0"/>
        <v/>
      </c>
    </row>
    <row r="11" spans="1:62">
      <c r="B11" s="834" t="s">
        <v>678</v>
      </c>
      <c r="C11" s="831" t="s">
        <v>664</v>
      </c>
      <c r="D11" s="831">
        <v>5000000</v>
      </c>
      <c r="E11" s="831">
        <v>5000000</v>
      </c>
      <c r="F11" s="835" t="s">
        <v>297</v>
      </c>
      <c r="G11" s="835">
        <v>42216</v>
      </c>
      <c r="H11" s="835" t="e">
        <f t="shared" si="1"/>
        <v>#VALUE!</v>
      </c>
      <c r="K11" s="836"/>
      <c r="L11" s="835" t="s">
        <v>460</v>
      </c>
      <c r="M11" s="831" t="s">
        <v>687</v>
      </c>
      <c r="N11" s="831">
        <v>53</v>
      </c>
      <c r="O11" s="831" t="s">
        <v>684</v>
      </c>
      <c r="P11" s="831">
        <v>0.65</v>
      </c>
      <c r="Q11" s="831">
        <v>-28708.452541999999</v>
      </c>
      <c r="R11" s="831" t="s">
        <v>672</v>
      </c>
      <c r="S11" s="831">
        <v>1</v>
      </c>
      <c r="T11" s="831">
        <v>0.61919500000000005</v>
      </c>
      <c r="AA11" s="887">
        <v>41913</v>
      </c>
      <c r="AB11" s="831" t="s">
        <v>672</v>
      </c>
      <c r="AC11" s="831">
        <v>0.78380000000000005</v>
      </c>
      <c r="AD11" s="835">
        <v>41943</v>
      </c>
      <c r="AF11" s="831" t="s">
        <v>697</v>
      </c>
      <c r="AG11" s="831" t="s">
        <v>55</v>
      </c>
      <c r="AH11" s="831" t="s">
        <v>110</v>
      </c>
      <c r="AI11" s="831">
        <v>0</v>
      </c>
      <c r="AJ11" s="835">
        <v>39478</v>
      </c>
      <c r="AK11" s="831">
        <v>86821265</v>
      </c>
      <c r="AP11" s="831" t="str">
        <f t="shared" si="0"/>
        <v/>
      </c>
    </row>
    <row r="12" spans="1:62">
      <c r="B12" s="834" t="s">
        <v>679</v>
      </c>
      <c r="C12" s="831" t="s">
        <v>664</v>
      </c>
      <c r="D12" s="831">
        <v>3000000</v>
      </c>
      <c r="E12" s="831">
        <v>3000000</v>
      </c>
      <c r="F12" s="835" t="s">
        <v>297</v>
      </c>
      <c r="G12" s="835">
        <v>42247</v>
      </c>
      <c r="H12" s="835" t="e">
        <f t="shared" si="1"/>
        <v>#VALUE!</v>
      </c>
      <c r="K12" s="836"/>
      <c r="L12" s="835" t="s">
        <v>664</v>
      </c>
      <c r="M12" s="831" t="s">
        <v>687</v>
      </c>
      <c r="N12" s="831">
        <v>53</v>
      </c>
      <c r="O12" s="831" t="s">
        <v>684</v>
      </c>
      <c r="P12" s="831">
        <v>1411920</v>
      </c>
      <c r="Q12" s="831">
        <v>1801262.9967469999</v>
      </c>
      <c r="R12" s="831" t="s">
        <v>672</v>
      </c>
      <c r="S12" s="831">
        <v>1</v>
      </c>
      <c r="T12" s="831">
        <v>1345005.953799</v>
      </c>
      <c r="AA12" s="887">
        <v>41883</v>
      </c>
      <c r="AB12" s="831" t="s">
        <v>672</v>
      </c>
      <c r="AC12" s="831">
        <v>0.78325</v>
      </c>
      <c r="AD12" s="835">
        <v>41912</v>
      </c>
      <c r="AF12" s="831" t="s">
        <v>698</v>
      </c>
      <c r="AG12" s="831" t="s">
        <v>55</v>
      </c>
      <c r="AH12" s="831" t="s">
        <v>112</v>
      </c>
      <c r="AI12" s="831">
        <v>0</v>
      </c>
      <c r="AJ12" s="835">
        <v>39478</v>
      </c>
      <c r="AK12" s="831">
        <v>0</v>
      </c>
      <c r="AP12" s="831" t="str">
        <f t="shared" si="0"/>
        <v/>
      </c>
    </row>
    <row r="13" spans="1:62">
      <c r="B13" s="834" t="s">
        <v>680</v>
      </c>
      <c r="C13" s="831" t="s">
        <v>664</v>
      </c>
      <c r="D13" s="831">
        <v>3179000</v>
      </c>
      <c r="E13" s="831">
        <v>3028340.080972</v>
      </c>
      <c r="F13" s="835" t="s">
        <v>672</v>
      </c>
      <c r="G13" s="835">
        <v>42292</v>
      </c>
      <c r="H13" s="835">
        <f t="shared" si="1"/>
        <v>31</v>
      </c>
      <c r="K13" s="836"/>
      <c r="L13" s="835"/>
      <c r="AA13" s="887">
        <v>41852</v>
      </c>
      <c r="AB13" s="831" t="s">
        <v>672</v>
      </c>
      <c r="AC13" s="831">
        <v>0.7833</v>
      </c>
      <c r="AD13" s="835">
        <v>41880</v>
      </c>
      <c r="AF13" s="831" t="s">
        <v>699</v>
      </c>
      <c r="AG13" s="831" t="s">
        <v>55</v>
      </c>
      <c r="AH13" s="831" t="s">
        <v>114</v>
      </c>
      <c r="AI13" s="831">
        <v>0</v>
      </c>
      <c r="AJ13" s="835">
        <v>39478</v>
      </c>
      <c r="AK13" s="831">
        <v>0</v>
      </c>
      <c r="AP13" s="831" t="str">
        <f t="shared" si="0"/>
        <v/>
      </c>
    </row>
    <row r="14" spans="1:62">
      <c r="B14" s="834" t="str">
        <f t="shared" ref="B3:B66" si="2">C14&amp;"|"&amp;D14&amp;"|"&amp;E14&amp;"|"&amp;F14</f>
        <v>|||</v>
      </c>
      <c r="H14" s="835">
        <f t="shared" si="1"/>
        <v>31</v>
      </c>
      <c r="K14" s="836"/>
      <c r="L14" s="835"/>
      <c r="AA14" s="887">
        <v>41821</v>
      </c>
      <c r="AB14" s="831" t="s">
        <v>672</v>
      </c>
      <c r="AC14" s="831">
        <v>0.78364999999999996</v>
      </c>
      <c r="AD14" s="835">
        <v>41851</v>
      </c>
      <c r="AF14" s="831" t="s">
        <v>700</v>
      </c>
      <c r="AG14" s="831" t="s">
        <v>55</v>
      </c>
      <c r="AH14" s="831" t="s">
        <v>116</v>
      </c>
      <c r="AI14" s="831">
        <v>0</v>
      </c>
      <c r="AJ14" s="835">
        <v>39478</v>
      </c>
      <c r="AK14" s="831">
        <v>0</v>
      </c>
      <c r="AP14" s="831" t="str">
        <f t="shared" si="0"/>
        <v/>
      </c>
    </row>
    <row r="15" spans="1:62">
      <c r="B15" s="834" t="str">
        <f t="shared" si="2"/>
        <v>|||</v>
      </c>
      <c r="H15" s="835">
        <f t="shared" si="1"/>
        <v>31</v>
      </c>
      <c r="K15" s="836"/>
      <c r="L15" s="835"/>
      <c r="AA15" s="887">
        <v>41791</v>
      </c>
      <c r="AB15" s="831" t="s">
        <v>672</v>
      </c>
      <c r="AC15" s="831">
        <v>0.78374999999999995</v>
      </c>
      <c r="AD15" s="835">
        <v>41820</v>
      </c>
      <c r="AF15" s="831" t="s">
        <v>701</v>
      </c>
      <c r="AG15" s="831" t="s">
        <v>55</v>
      </c>
      <c r="AH15" s="831" t="s">
        <v>117</v>
      </c>
      <c r="AI15" s="831">
        <v>0</v>
      </c>
      <c r="AJ15" s="835">
        <v>39478</v>
      </c>
      <c r="AK15" s="831">
        <v>1180221</v>
      </c>
      <c r="AP15" s="831" t="str">
        <f t="shared" si="0"/>
        <v/>
      </c>
    </row>
    <row r="16" spans="1:62">
      <c r="B16" s="834" t="str">
        <f t="shared" si="2"/>
        <v>|||</v>
      </c>
      <c r="H16" s="835">
        <f t="shared" si="1"/>
        <v>31</v>
      </c>
      <c r="K16" s="836"/>
      <c r="L16" s="835"/>
      <c r="AA16" s="887">
        <v>41760</v>
      </c>
      <c r="AB16" s="831" t="s">
        <v>672</v>
      </c>
      <c r="AC16" s="831">
        <v>0.78385000000000005</v>
      </c>
      <c r="AD16" s="835">
        <v>41789</v>
      </c>
      <c r="AF16" s="831" t="s">
        <v>702</v>
      </c>
      <c r="AG16" s="831" t="s">
        <v>55</v>
      </c>
      <c r="AH16" s="831" t="s">
        <v>123</v>
      </c>
      <c r="AI16" s="831">
        <v>0</v>
      </c>
      <c r="AJ16" s="835">
        <v>39478</v>
      </c>
      <c r="AK16" s="831">
        <v>11000000</v>
      </c>
      <c r="AP16" s="831" t="str">
        <f t="shared" si="0"/>
        <v/>
      </c>
    </row>
    <row r="17" spans="2:42">
      <c r="B17" s="834" t="str">
        <f t="shared" si="2"/>
        <v>|||</v>
      </c>
      <c r="H17" s="835">
        <f t="shared" si="1"/>
        <v>31</v>
      </c>
      <c r="K17" s="836"/>
      <c r="L17" s="835"/>
      <c r="AA17" s="887">
        <v>41730</v>
      </c>
      <c r="AB17" s="831" t="s">
        <v>672</v>
      </c>
      <c r="AC17" s="831">
        <v>0.78374999999999995</v>
      </c>
      <c r="AD17" s="835">
        <v>41759</v>
      </c>
      <c r="AF17" s="831" t="s">
        <v>703</v>
      </c>
      <c r="AG17" s="831" t="s">
        <v>55</v>
      </c>
      <c r="AH17" s="831" t="s">
        <v>125</v>
      </c>
      <c r="AI17" s="831">
        <v>0</v>
      </c>
      <c r="AJ17" s="835">
        <v>39478</v>
      </c>
      <c r="AK17" s="831">
        <v>3451358</v>
      </c>
      <c r="AP17" s="831" t="str">
        <f t="shared" si="0"/>
        <v/>
      </c>
    </row>
    <row r="18" spans="2:42">
      <c r="B18" s="834" t="str">
        <f t="shared" si="2"/>
        <v>|||</v>
      </c>
      <c r="H18" s="835">
        <f t="shared" si="1"/>
        <v>31</v>
      </c>
      <c r="K18" s="836"/>
      <c r="L18" s="835"/>
      <c r="AA18" s="887">
        <v>41699</v>
      </c>
      <c r="AB18" s="831" t="s">
        <v>672</v>
      </c>
      <c r="AC18" s="831">
        <v>0.78374999999999995</v>
      </c>
      <c r="AD18" s="835">
        <v>41729</v>
      </c>
      <c r="AF18" s="831" t="s">
        <v>704</v>
      </c>
      <c r="AG18" s="831" t="s">
        <v>55</v>
      </c>
      <c r="AH18" s="831" t="s">
        <v>66</v>
      </c>
      <c r="AI18" s="831">
        <v>0</v>
      </c>
      <c r="AJ18" s="835">
        <v>39507</v>
      </c>
      <c r="AK18" s="831">
        <v>21718722</v>
      </c>
      <c r="AP18" s="831" t="str">
        <f t="shared" si="0"/>
        <v/>
      </c>
    </row>
    <row r="19" spans="2:42">
      <c r="B19" s="834" t="str">
        <f t="shared" si="2"/>
        <v>|||</v>
      </c>
      <c r="H19" s="835">
        <f t="shared" si="1"/>
        <v>31</v>
      </c>
      <c r="K19" s="836"/>
      <c r="L19" s="835"/>
      <c r="AA19" s="887">
        <v>41671</v>
      </c>
      <c r="AB19" s="831" t="s">
        <v>672</v>
      </c>
      <c r="AC19" s="831">
        <v>0.78385000000000005</v>
      </c>
      <c r="AD19" s="835">
        <v>41698</v>
      </c>
      <c r="AF19" s="831" t="s">
        <v>705</v>
      </c>
      <c r="AG19" s="831" t="s">
        <v>55</v>
      </c>
      <c r="AH19" s="831" t="s">
        <v>71</v>
      </c>
      <c r="AI19" s="831">
        <v>0</v>
      </c>
      <c r="AJ19" s="835">
        <v>39507</v>
      </c>
      <c r="AK19" s="831">
        <v>0</v>
      </c>
      <c r="AP19" s="831" t="str">
        <f t="shared" si="0"/>
        <v/>
      </c>
    </row>
    <row r="20" spans="2:42">
      <c r="B20" s="834" t="str">
        <f t="shared" si="2"/>
        <v>|||</v>
      </c>
      <c r="H20" s="835">
        <f t="shared" si="1"/>
        <v>31</v>
      </c>
      <c r="K20" s="836"/>
      <c r="L20" s="835"/>
      <c r="AA20" s="887">
        <v>41640</v>
      </c>
      <c r="AB20" s="831" t="s">
        <v>672</v>
      </c>
      <c r="AC20" s="831">
        <v>0.78364999999999996</v>
      </c>
      <c r="AD20" s="835">
        <v>41670</v>
      </c>
      <c r="AF20" s="831" t="s">
        <v>706</v>
      </c>
      <c r="AG20" s="831" t="s">
        <v>55</v>
      </c>
      <c r="AH20" s="831" t="s">
        <v>76</v>
      </c>
      <c r="AI20" s="831">
        <v>0</v>
      </c>
      <c r="AJ20" s="835">
        <v>39507</v>
      </c>
      <c r="AK20" s="831">
        <v>0</v>
      </c>
      <c r="AP20" s="831" t="str">
        <f t="shared" si="0"/>
        <v/>
      </c>
    </row>
    <row r="21" spans="2:42">
      <c r="B21" s="834" t="str">
        <f t="shared" si="2"/>
        <v>|||</v>
      </c>
      <c r="H21" s="835">
        <f t="shared" si="1"/>
        <v>31</v>
      </c>
      <c r="K21" s="836"/>
      <c r="L21" s="835"/>
      <c r="AA21" s="887">
        <v>41609</v>
      </c>
      <c r="AB21" s="831" t="s">
        <v>672</v>
      </c>
      <c r="AC21" s="831">
        <v>0.78334999999999999</v>
      </c>
      <c r="AD21" s="835">
        <v>41639</v>
      </c>
      <c r="AF21" s="831" t="s">
        <v>707</v>
      </c>
      <c r="AG21" s="831" t="s">
        <v>55</v>
      </c>
      <c r="AH21" s="831" t="s">
        <v>81</v>
      </c>
      <c r="AI21" s="831">
        <v>0</v>
      </c>
      <c r="AJ21" s="835">
        <v>39507</v>
      </c>
      <c r="AK21" s="831">
        <v>0</v>
      </c>
      <c r="AP21" s="831" t="str">
        <f t="shared" si="0"/>
        <v/>
      </c>
    </row>
    <row r="22" spans="2:42">
      <c r="B22" s="834" t="str">
        <f t="shared" si="2"/>
        <v>|||</v>
      </c>
      <c r="H22" s="835">
        <f t="shared" si="1"/>
        <v>31</v>
      </c>
      <c r="K22" s="836"/>
      <c r="L22" s="835"/>
      <c r="AA22" s="887">
        <v>41579</v>
      </c>
      <c r="AB22" s="831" t="s">
        <v>672</v>
      </c>
      <c r="AC22" s="831">
        <v>0.78385000000000005</v>
      </c>
      <c r="AD22" s="835">
        <v>41607</v>
      </c>
      <c r="AF22" s="831" t="s">
        <v>708</v>
      </c>
      <c r="AG22" s="831" t="s">
        <v>55</v>
      </c>
      <c r="AH22" s="831" t="s">
        <v>10</v>
      </c>
      <c r="AI22" s="831">
        <v>0</v>
      </c>
      <c r="AJ22" s="835">
        <v>39507</v>
      </c>
      <c r="AK22" s="831">
        <v>109408876</v>
      </c>
      <c r="AP22" s="831" t="str">
        <f t="shared" si="0"/>
        <v/>
      </c>
    </row>
    <row r="23" spans="2:42">
      <c r="B23" s="834" t="str">
        <f t="shared" si="2"/>
        <v>|||</v>
      </c>
      <c r="H23" s="835">
        <f t="shared" si="1"/>
        <v>31</v>
      </c>
      <c r="K23" s="836"/>
      <c r="L23" s="835"/>
      <c r="AA23" s="887">
        <v>41548</v>
      </c>
      <c r="AB23" s="831" t="s">
        <v>672</v>
      </c>
      <c r="AC23" s="831">
        <v>0.78395000000000004</v>
      </c>
      <c r="AD23" s="835">
        <v>41578</v>
      </c>
      <c r="AF23" s="831" t="s">
        <v>709</v>
      </c>
      <c r="AG23" s="831" t="s">
        <v>55</v>
      </c>
      <c r="AH23" s="831" t="s">
        <v>91</v>
      </c>
      <c r="AI23" s="831">
        <v>0</v>
      </c>
      <c r="AJ23" s="835">
        <v>39507</v>
      </c>
      <c r="AK23" s="831">
        <v>-2269495</v>
      </c>
      <c r="AP23" s="831" t="str">
        <f t="shared" si="0"/>
        <v/>
      </c>
    </row>
    <row r="24" spans="2:42">
      <c r="B24" s="834" t="str">
        <f t="shared" si="2"/>
        <v>|||</v>
      </c>
      <c r="H24" s="835">
        <f t="shared" si="1"/>
        <v>31</v>
      </c>
      <c r="K24" s="836"/>
      <c r="L24" s="835"/>
      <c r="AA24" s="887">
        <v>41518</v>
      </c>
      <c r="AB24" s="831" t="s">
        <v>672</v>
      </c>
      <c r="AC24" s="831">
        <v>0.78395000000000004</v>
      </c>
      <c r="AD24" s="835">
        <v>41547</v>
      </c>
      <c r="AF24" s="831" t="s">
        <v>710</v>
      </c>
      <c r="AG24" s="831" t="s">
        <v>55</v>
      </c>
      <c r="AH24" s="831" t="s">
        <v>94</v>
      </c>
      <c r="AI24" s="831">
        <v>0</v>
      </c>
      <c r="AJ24" s="835">
        <v>39507</v>
      </c>
      <c r="AK24" s="831">
        <v>4033064</v>
      </c>
      <c r="AP24" s="831" t="str">
        <f t="shared" si="0"/>
        <v/>
      </c>
    </row>
    <row r="25" spans="2:42">
      <c r="B25" s="834" t="str">
        <f t="shared" si="2"/>
        <v>|||</v>
      </c>
      <c r="H25" s="835">
        <f t="shared" si="1"/>
        <v>31</v>
      </c>
      <c r="K25" s="836"/>
      <c r="L25" s="835"/>
      <c r="AA25" s="887">
        <v>41487</v>
      </c>
      <c r="AB25" s="831" t="s">
        <v>672</v>
      </c>
      <c r="AC25" s="831">
        <v>0.78385000000000005</v>
      </c>
      <c r="AD25" s="835">
        <v>41516</v>
      </c>
      <c r="AF25" s="831" t="s">
        <v>711</v>
      </c>
      <c r="AG25" s="831" t="s">
        <v>55</v>
      </c>
      <c r="AH25" s="831" t="s">
        <v>103</v>
      </c>
      <c r="AI25" s="831">
        <v>0</v>
      </c>
      <c r="AJ25" s="835">
        <v>39507</v>
      </c>
      <c r="AK25" s="831">
        <v>13505358</v>
      </c>
      <c r="AP25" s="831" t="str">
        <f t="shared" si="0"/>
        <v/>
      </c>
    </row>
    <row r="26" spans="2:42">
      <c r="B26" s="834" t="str">
        <f t="shared" si="2"/>
        <v>|||</v>
      </c>
      <c r="H26" s="835">
        <f t="shared" si="1"/>
        <v>31</v>
      </c>
      <c r="K26" s="836"/>
      <c r="L26" s="835"/>
      <c r="AA26" s="887">
        <v>41456</v>
      </c>
      <c r="AB26" s="831" t="s">
        <v>672</v>
      </c>
      <c r="AC26" s="831">
        <v>0.78374999999999995</v>
      </c>
      <c r="AD26" s="835">
        <v>41486</v>
      </c>
      <c r="AF26" s="831" t="s">
        <v>712</v>
      </c>
      <c r="AG26" s="831" t="s">
        <v>55</v>
      </c>
      <c r="AH26" s="831" t="s">
        <v>108</v>
      </c>
      <c r="AI26" s="831">
        <v>0</v>
      </c>
      <c r="AJ26" s="835">
        <v>39507</v>
      </c>
      <c r="AK26" s="831">
        <v>0</v>
      </c>
      <c r="AP26" s="831" t="str">
        <f t="shared" si="0"/>
        <v/>
      </c>
    </row>
    <row r="27" spans="2:42">
      <c r="B27" s="834" t="str">
        <f t="shared" si="2"/>
        <v>|||</v>
      </c>
      <c r="H27" s="835">
        <f t="shared" si="1"/>
        <v>31</v>
      </c>
      <c r="K27" s="836"/>
      <c r="L27" s="835"/>
      <c r="AA27" s="887">
        <v>41426</v>
      </c>
      <c r="AB27" s="831" t="s">
        <v>672</v>
      </c>
      <c r="AC27" s="831">
        <v>0.78395000000000004</v>
      </c>
      <c r="AD27" s="835">
        <v>41455</v>
      </c>
      <c r="AF27" s="831" t="s">
        <v>713</v>
      </c>
      <c r="AG27" s="831" t="s">
        <v>55</v>
      </c>
      <c r="AH27" s="831" t="s">
        <v>110</v>
      </c>
      <c r="AI27" s="831">
        <v>0</v>
      </c>
      <c r="AJ27" s="835">
        <v>39507</v>
      </c>
      <c r="AK27" s="831">
        <v>103040459</v>
      </c>
      <c r="AP27" s="831" t="str">
        <f t="shared" si="0"/>
        <v/>
      </c>
    </row>
    <row r="28" spans="2:42">
      <c r="B28" s="834" t="str">
        <f t="shared" si="2"/>
        <v>|||</v>
      </c>
      <c r="H28" s="835">
        <f t="shared" si="1"/>
        <v>31</v>
      </c>
      <c r="K28" s="836"/>
      <c r="L28" s="835"/>
      <c r="AA28" s="887">
        <v>41395</v>
      </c>
      <c r="AB28" s="831" t="s">
        <v>672</v>
      </c>
      <c r="AC28" s="831">
        <v>0.78405000000000002</v>
      </c>
      <c r="AD28" s="835">
        <v>41425</v>
      </c>
      <c r="AF28" s="831" t="s">
        <v>714</v>
      </c>
      <c r="AG28" s="831" t="s">
        <v>55</v>
      </c>
      <c r="AH28" s="831" t="s">
        <v>112</v>
      </c>
      <c r="AI28" s="831">
        <v>0</v>
      </c>
      <c r="AJ28" s="835">
        <v>39507</v>
      </c>
      <c r="AK28" s="831">
        <v>0</v>
      </c>
      <c r="AP28" s="831" t="str">
        <f t="shared" si="0"/>
        <v/>
      </c>
    </row>
    <row r="29" spans="2:42">
      <c r="B29" s="834" t="str">
        <f t="shared" si="2"/>
        <v>|||</v>
      </c>
      <c r="H29" s="835">
        <f t="shared" si="1"/>
        <v>31</v>
      </c>
      <c r="K29" s="836"/>
      <c r="L29" s="835"/>
      <c r="AA29" s="887">
        <v>41365</v>
      </c>
      <c r="AB29" s="831" t="s">
        <v>672</v>
      </c>
      <c r="AC29" s="831">
        <v>0.78405000000000002</v>
      </c>
      <c r="AD29" s="835">
        <v>41394</v>
      </c>
      <c r="AF29" s="831" t="s">
        <v>715</v>
      </c>
      <c r="AG29" s="831" t="s">
        <v>55</v>
      </c>
      <c r="AH29" s="831" t="s">
        <v>114</v>
      </c>
      <c r="AI29" s="831">
        <v>0</v>
      </c>
      <c r="AJ29" s="835">
        <v>39507</v>
      </c>
      <c r="AK29" s="831">
        <v>0</v>
      </c>
      <c r="AP29" s="831" t="str">
        <f t="shared" si="0"/>
        <v/>
      </c>
    </row>
    <row r="30" spans="2:42">
      <c r="B30" s="834" t="str">
        <f t="shared" si="2"/>
        <v>|||</v>
      </c>
      <c r="H30" s="835">
        <f t="shared" si="1"/>
        <v>31</v>
      </c>
      <c r="K30" s="836"/>
      <c r="L30" s="835"/>
      <c r="AA30" s="887">
        <v>41334</v>
      </c>
      <c r="AB30" s="831" t="s">
        <v>672</v>
      </c>
      <c r="AC30" s="831">
        <v>0.78425</v>
      </c>
      <c r="AD30" s="835">
        <v>41362</v>
      </c>
      <c r="AF30" s="831" t="s">
        <v>716</v>
      </c>
      <c r="AG30" s="831" t="s">
        <v>55</v>
      </c>
      <c r="AH30" s="831" t="s">
        <v>116</v>
      </c>
      <c r="AI30" s="831">
        <v>0</v>
      </c>
      <c r="AJ30" s="835">
        <v>39507</v>
      </c>
      <c r="AK30" s="831">
        <v>0</v>
      </c>
      <c r="AP30" s="831" t="str">
        <f t="shared" si="0"/>
        <v/>
      </c>
    </row>
    <row r="31" spans="2:42">
      <c r="B31" s="834" t="str">
        <f>C31&amp;"|"&amp;D31&amp;"|"&amp;E31&amp;"|"&amp;F31</f>
        <v>|||</v>
      </c>
      <c r="H31" s="835">
        <f t="shared" si="1"/>
        <v>31</v>
      </c>
      <c r="K31" s="836"/>
      <c r="L31" s="835"/>
      <c r="AA31" s="887">
        <v>41306</v>
      </c>
      <c r="AB31" s="831" t="s">
        <v>672</v>
      </c>
      <c r="AC31" s="831">
        <v>0.78434999999999999</v>
      </c>
      <c r="AD31" s="835">
        <v>41333</v>
      </c>
      <c r="AF31" s="831" t="s">
        <v>717</v>
      </c>
      <c r="AG31" s="831" t="s">
        <v>55</v>
      </c>
      <c r="AH31" s="831" t="s">
        <v>117</v>
      </c>
      <c r="AI31" s="831">
        <v>0</v>
      </c>
      <c r="AJ31" s="835">
        <v>39507</v>
      </c>
      <c r="AK31" s="831">
        <v>1467277</v>
      </c>
      <c r="AP31" s="831" t="str">
        <f t="shared" si="0"/>
        <v/>
      </c>
    </row>
    <row r="32" spans="2:42">
      <c r="B32" s="834" t="str">
        <f t="shared" si="2"/>
        <v>|||</v>
      </c>
      <c r="H32" s="835">
        <f t="shared" si="1"/>
        <v>31</v>
      </c>
      <c r="K32" s="836"/>
      <c r="L32" s="835"/>
      <c r="AA32" s="887">
        <v>41275</v>
      </c>
      <c r="AB32" s="831" t="s">
        <v>672</v>
      </c>
      <c r="AC32" s="831">
        <v>0.78385000000000005</v>
      </c>
      <c r="AD32" s="835">
        <v>41305</v>
      </c>
      <c r="AF32" s="831" t="s">
        <v>718</v>
      </c>
      <c r="AG32" s="831" t="s">
        <v>55</v>
      </c>
      <c r="AH32" s="831" t="s">
        <v>123</v>
      </c>
      <c r="AI32" s="831">
        <v>0</v>
      </c>
      <c r="AJ32" s="835">
        <v>39507</v>
      </c>
      <c r="AK32" s="831">
        <v>11000000</v>
      </c>
      <c r="AP32" s="831" t="str">
        <f t="shared" si="0"/>
        <v/>
      </c>
    </row>
    <row r="33" spans="2:42">
      <c r="B33" s="834" t="str">
        <f t="shared" si="2"/>
        <v>|||</v>
      </c>
      <c r="H33" s="835">
        <f t="shared" si="1"/>
        <v>31</v>
      </c>
      <c r="K33" s="836"/>
      <c r="L33" s="835"/>
      <c r="AA33" s="887">
        <v>41244</v>
      </c>
      <c r="AB33" s="831" t="s">
        <v>672</v>
      </c>
      <c r="AC33" s="831">
        <v>0.78400000000000003</v>
      </c>
      <c r="AD33" s="835">
        <v>41274</v>
      </c>
      <c r="AF33" s="831" t="s">
        <v>719</v>
      </c>
      <c r="AG33" s="831" t="s">
        <v>55</v>
      </c>
      <c r="AH33" s="831" t="s">
        <v>125</v>
      </c>
      <c r="AI33" s="831">
        <v>0</v>
      </c>
      <c r="AJ33" s="835">
        <v>39507</v>
      </c>
      <c r="AK33" s="831">
        <v>3878073</v>
      </c>
      <c r="AP33" s="831" t="str">
        <f t="shared" si="0"/>
        <v/>
      </c>
    </row>
    <row r="34" spans="2:42">
      <c r="B34" s="834" t="str">
        <f t="shared" si="2"/>
        <v>|||</v>
      </c>
      <c r="H34" s="835">
        <f t="shared" si="1"/>
        <v>31</v>
      </c>
      <c r="K34" s="836"/>
      <c r="L34" s="835"/>
      <c r="AA34" s="887">
        <v>41214</v>
      </c>
      <c r="AB34" s="831" t="s">
        <v>672</v>
      </c>
      <c r="AC34" s="831">
        <v>0.78415000000000001</v>
      </c>
      <c r="AD34" s="835">
        <v>41243</v>
      </c>
      <c r="AF34" s="831" t="s">
        <v>720</v>
      </c>
      <c r="AG34" s="831" t="s">
        <v>55</v>
      </c>
      <c r="AH34" s="831" t="s">
        <v>66</v>
      </c>
      <c r="AI34" s="831">
        <v>0</v>
      </c>
      <c r="AJ34" s="835">
        <v>39538</v>
      </c>
      <c r="AK34" s="831">
        <v>17857405</v>
      </c>
      <c r="AP34" s="831" t="str">
        <f t="shared" si="0"/>
        <v/>
      </c>
    </row>
    <row r="35" spans="2:42">
      <c r="B35" s="834" t="str">
        <f t="shared" si="2"/>
        <v>|||</v>
      </c>
      <c r="H35" s="835">
        <f t="shared" si="1"/>
        <v>31</v>
      </c>
      <c r="K35" s="836"/>
      <c r="L35" s="835"/>
      <c r="AA35" s="887">
        <v>41183</v>
      </c>
      <c r="AB35" s="831" t="s">
        <v>672</v>
      </c>
      <c r="AC35" s="831">
        <v>0.78434999999999999</v>
      </c>
      <c r="AD35" s="835">
        <v>41213</v>
      </c>
      <c r="AF35" s="831" t="s">
        <v>721</v>
      </c>
      <c r="AG35" s="831" t="s">
        <v>55</v>
      </c>
      <c r="AH35" s="831" t="s">
        <v>71</v>
      </c>
      <c r="AI35" s="831">
        <v>0</v>
      </c>
      <c r="AJ35" s="835">
        <v>39538</v>
      </c>
      <c r="AK35" s="831">
        <v>0</v>
      </c>
      <c r="AP35" s="831" t="str">
        <f t="shared" si="0"/>
        <v/>
      </c>
    </row>
    <row r="36" spans="2:42">
      <c r="B36" s="834" t="str">
        <f t="shared" si="2"/>
        <v>|||</v>
      </c>
      <c r="H36" s="835">
        <f t="shared" si="1"/>
        <v>31</v>
      </c>
      <c r="K36" s="836"/>
      <c r="L36" s="835"/>
      <c r="AA36" s="887">
        <v>41153</v>
      </c>
      <c r="AB36" s="831" t="s">
        <v>672</v>
      </c>
      <c r="AC36" s="831">
        <v>0.78464999999999996</v>
      </c>
      <c r="AD36" s="835">
        <v>41180</v>
      </c>
      <c r="AF36" s="831" t="s">
        <v>722</v>
      </c>
      <c r="AG36" s="831" t="s">
        <v>55</v>
      </c>
      <c r="AH36" s="831" t="s">
        <v>76</v>
      </c>
      <c r="AI36" s="831">
        <v>0</v>
      </c>
      <c r="AJ36" s="835">
        <v>39538</v>
      </c>
      <c r="AK36" s="831">
        <v>0</v>
      </c>
      <c r="AP36" s="831" t="str">
        <f t="shared" si="0"/>
        <v/>
      </c>
    </row>
    <row r="37" spans="2:42">
      <c r="B37" s="834" t="str">
        <f t="shared" si="2"/>
        <v>|||</v>
      </c>
      <c r="H37" s="835">
        <f t="shared" si="1"/>
        <v>31</v>
      </c>
      <c r="K37" s="836"/>
      <c r="L37" s="835"/>
      <c r="AA37" s="887">
        <v>41122</v>
      </c>
      <c r="AB37" s="831" t="s">
        <v>672</v>
      </c>
      <c r="AC37" s="831">
        <v>0.78449999999999998</v>
      </c>
      <c r="AD37" s="835">
        <v>41152</v>
      </c>
      <c r="AF37" s="831" t="s">
        <v>723</v>
      </c>
      <c r="AG37" s="831" t="s">
        <v>55</v>
      </c>
      <c r="AH37" s="831" t="s">
        <v>81</v>
      </c>
      <c r="AI37" s="831">
        <v>0</v>
      </c>
      <c r="AJ37" s="835">
        <v>39538</v>
      </c>
      <c r="AK37" s="831">
        <v>0</v>
      </c>
      <c r="AP37" s="831" t="str">
        <f t="shared" si="0"/>
        <v/>
      </c>
    </row>
    <row r="38" spans="2:42">
      <c r="B38" s="834" t="str">
        <f t="shared" si="2"/>
        <v>|||</v>
      </c>
      <c r="H38" s="835">
        <f t="shared" si="1"/>
        <v>31</v>
      </c>
      <c r="K38" s="836"/>
      <c r="L38" s="835"/>
      <c r="AA38" s="887">
        <v>41091</v>
      </c>
      <c r="AB38" s="831" t="s">
        <v>672</v>
      </c>
      <c r="AC38" s="831">
        <v>0.78495000000000004</v>
      </c>
      <c r="AD38" s="835">
        <v>41121</v>
      </c>
      <c r="AF38" s="831" t="s">
        <v>724</v>
      </c>
      <c r="AG38" s="831" t="s">
        <v>55</v>
      </c>
      <c r="AH38" s="831" t="s">
        <v>10</v>
      </c>
      <c r="AI38" s="831">
        <v>0</v>
      </c>
      <c r="AJ38" s="835">
        <v>39538</v>
      </c>
      <c r="AK38" s="831">
        <v>116447666</v>
      </c>
      <c r="AP38" s="831" t="str">
        <f t="shared" si="0"/>
        <v/>
      </c>
    </row>
    <row r="39" spans="2:42">
      <c r="B39" s="834" t="str">
        <f t="shared" si="2"/>
        <v>|||</v>
      </c>
      <c r="H39" s="835">
        <f t="shared" si="1"/>
        <v>31</v>
      </c>
      <c r="K39" s="836"/>
      <c r="L39" s="835"/>
      <c r="AA39" s="887">
        <v>41061</v>
      </c>
      <c r="AB39" s="831" t="s">
        <v>672</v>
      </c>
      <c r="AC39" s="831">
        <v>0.78505000000000003</v>
      </c>
      <c r="AD39" s="835">
        <v>41089</v>
      </c>
      <c r="AF39" s="831" t="s">
        <v>725</v>
      </c>
      <c r="AG39" s="831" t="s">
        <v>55</v>
      </c>
      <c r="AH39" s="831" t="s">
        <v>91</v>
      </c>
      <c r="AI39" s="831">
        <v>0</v>
      </c>
      <c r="AJ39" s="835">
        <v>39538</v>
      </c>
      <c r="AK39" s="831">
        <v>-2461791</v>
      </c>
      <c r="AP39" s="831" t="str">
        <f t="shared" si="0"/>
        <v/>
      </c>
    </row>
    <row r="40" spans="2:42">
      <c r="B40" s="834" t="str">
        <f t="shared" si="2"/>
        <v>|||</v>
      </c>
      <c r="H40" s="835">
        <f t="shared" si="1"/>
        <v>31</v>
      </c>
      <c r="K40" s="836"/>
      <c r="L40" s="835"/>
      <c r="AA40" s="887">
        <v>41030</v>
      </c>
      <c r="AB40" s="831" t="s">
        <v>672</v>
      </c>
      <c r="AC40" s="831">
        <v>0.78515000000000001</v>
      </c>
      <c r="AD40" s="835">
        <v>41060</v>
      </c>
      <c r="AF40" s="831" t="s">
        <v>726</v>
      </c>
      <c r="AG40" s="831" t="s">
        <v>55</v>
      </c>
      <c r="AH40" s="831" t="s">
        <v>94</v>
      </c>
      <c r="AI40" s="831">
        <v>0</v>
      </c>
      <c r="AJ40" s="835">
        <v>39538</v>
      </c>
      <c r="AK40" s="831">
        <v>4463757</v>
      </c>
      <c r="AP40" s="831" t="str">
        <f t="shared" si="0"/>
        <v/>
      </c>
    </row>
    <row r="41" spans="2:42">
      <c r="B41" s="834" t="str">
        <f t="shared" si="2"/>
        <v>|||</v>
      </c>
      <c r="H41" s="835">
        <f t="shared" si="1"/>
        <v>31</v>
      </c>
      <c r="K41" s="836"/>
      <c r="L41" s="835"/>
      <c r="AA41" s="887">
        <v>41000</v>
      </c>
      <c r="AB41" s="831" t="s">
        <v>672</v>
      </c>
      <c r="AC41" s="831">
        <v>0.78585000000000005</v>
      </c>
      <c r="AD41" s="835">
        <v>41029</v>
      </c>
      <c r="AF41" s="831" t="s">
        <v>727</v>
      </c>
      <c r="AG41" s="831" t="s">
        <v>55</v>
      </c>
      <c r="AH41" s="831" t="s">
        <v>103</v>
      </c>
      <c r="AI41" s="831">
        <v>0</v>
      </c>
      <c r="AJ41" s="835">
        <v>39538</v>
      </c>
      <c r="AK41" s="831">
        <v>13624054</v>
      </c>
      <c r="AP41" s="831" t="str">
        <f t="shared" si="0"/>
        <v/>
      </c>
    </row>
    <row r="42" spans="2:42">
      <c r="B42" s="834" t="str">
        <f t="shared" si="2"/>
        <v>|||</v>
      </c>
      <c r="H42" s="835">
        <f t="shared" si="1"/>
        <v>31</v>
      </c>
      <c r="K42" s="836"/>
      <c r="L42" s="835"/>
      <c r="AA42" s="887">
        <v>40969</v>
      </c>
      <c r="AB42" s="831" t="s">
        <v>672</v>
      </c>
      <c r="AC42" s="831">
        <v>0.78610000000000002</v>
      </c>
      <c r="AD42" s="835">
        <v>40998</v>
      </c>
      <c r="AF42" s="831" t="s">
        <v>728</v>
      </c>
      <c r="AG42" s="831" t="s">
        <v>55</v>
      </c>
      <c r="AH42" s="831" t="s">
        <v>108</v>
      </c>
      <c r="AI42" s="831">
        <v>0</v>
      </c>
      <c r="AJ42" s="835">
        <v>39538</v>
      </c>
      <c r="AK42" s="831">
        <v>0</v>
      </c>
      <c r="AP42" s="831" t="str">
        <f t="shared" si="0"/>
        <v/>
      </c>
    </row>
    <row r="43" spans="2:42">
      <c r="B43" s="834" t="str">
        <f t="shared" si="2"/>
        <v>|||</v>
      </c>
      <c r="H43" s="835">
        <f t="shared" si="1"/>
        <v>31</v>
      </c>
      <c r="K43" s="836"/>
      <c r="L43" s="835"/>
      <c r="AA43" s="887">
        <v>40940</v>
      </c>
      <c r="AB43" s="831" t="s">
        <v>672</v>
      </c>
      <c r="AC43" s="831">
        <v>0.78574999999999995</v>
      </c>
      <c r="AD43" s="835">
        <v>40968</v>
      </c>
      <c r="AF43" s="831" t="s">
        <v>729</v>
      </c>
      <c r="AG43" s="831" t="s">
        <v>55</v>
      </c>
      <c r="AH43" s="831" t="s">
        <v>110</v>
      </c>
      <c r="AI43" s="831">
        <v>0</v>
      </c>
      <c r="AJ43" s="835">
        <v>39538</v>
      </c>
      <c r="AK43" s="831">
        <v>105592325</v>
      </c>
      <c r="AP43" s="831" t="str">
        <f t="shared" si="0"/>
        <v/>
      </c>
    </row>
    <row r="44" spans="2:42">
      <c r="B44" s="834" t="str">
        <f t="shared" si="2"/>
        <v>|||</v>
      </c>
      <c r="H44" s="835">
        <f t="shared" si="1"/>
        <v>31</v>
      </c>
      <c r="K44" s="836"/>
      <c r="L44" s="835"/>
      <c r="AA44" s="887">
        <v>40909</v>
      </c>
      <c r="AB44" s="831" t="s">
        <v>672</v>
      </c>
      <c r="AC44" s="831">
        <v>0.78615000000000002</v>
      </c>
      <c r="AD44" s="835">
        <v>40939</v>
      </c>
      <c r="AF44" s="831" t="s">
        <v>730</v>
      </c>
      <c r="AG44" s="831" t="s">
        <v>55</v>
      </c>
      <c r="AH44" s="831" t="s">
        <v>112</v>
      </c>
      <c r="AI44" s="831">
        <v>0</v>
      </c>
      <c r="AJ44" s="835">
        <v>39538</v>
      </c>
      <c r="AK44" s="831">
        <v>0</v>
      </c>
      <c r="AP44" s="831" t="str">
        <f t="shared" si="0"/>
        <v/>
      </c>
    </row>
    <row r="45" spans="2:42">
      <c r="B45" s="834" t="str">
        <f t="shared" si="2"/>
        <v>|||</v>
      </c>
      <c r="H45" s="835">
        <f t="shared" si="1"/>
        <v>31</v>
      </c>
      <c r="K45" s="836"/>
      <c r="L45" s="835"/>
      <c r="AA45" s="887">
        <v>40878</v>
      </c>
      <c r="AB45" s="831" t="s">
        <v>672</v>
      </c>
      <c r="AC45" s="831">
        <v>0.78625</v>
      </c>
      <c r="AD45" s="835">
        <v>40908</v>
      </c>
      <c r="AF45" s="831" t="s">
        <v>731</v>
      </c>
      <c r="AG45" s="831" t="s">
        <v>55</v>
      </c>
      <c r="AH45" s="831" t="s">
        <v>114</v>
      </c>
      <c r="AI45" s="831">
        <v>0</v>
      </c>
      <c r="AJ45" s="835">
        <v>39538</v>
      </c>
      <c r="AK45" s="831">
        <v>0</v>
      </c>
      <c r="AP45" s="831" t="str">
        <f t="shared" si="0"/>
        <v/>
      </c>
    </row>
    <row r="46" spans="2:42">
      <c r="B46" s="834" t="str">
        <f t="shared" si="2"/>
        <v>|||</v>
      </c>
      <c r="H46" s="835">
        <f t="shared" si="1"/>
        <v>31</v>
      </c>
      <c r="K46" s="836"/>
      <c r="L46" s="835"/>
      <c r="AA46" s="887">
        <v>40848</v>
      </c>
      <c r="AB46" s="831" t="s">
        <v>672</v>
      </c>
      <c r="AC46" s="831">
        <v>0.78564999999999996</v>
      </c>
      <c r="AD46" s="835">
        <v>40877</v>
      </c>
      <c r="AF46" s="831" t="s">
        <v>732</v>
      </c>
      <c r="AG46" s="831" t="s">
        <v>55</v>
      </c>
      <c r="AH46" s="831" t="s">
        <v>116</v>
      </c>
      <c r="AI46" s="831">
        <v>0</v>
      </c>
      <c r="AJ46" s="835">
        <v>39538</v>
      </c>
      <c r="AK46" s="831">
        <v>0</v>
      </c>
      <c r="AP46" s="831" t="str">
        <f t="shared" si="0"/>
        <v/>
      </c>
    </row>
    <row r="47" spans="2:42">
      <c r="B47" s="834" t="str">
        <f t="shared" si="2"/>
        <v>|||</v>
      </c>
      <c r="H47" s="835">
        <f t="shared" si="1"/>
        <v>31</v>
      </c>
      <c r="K47" s="836"/>
      <c r="L47" s="835"/>
      <c r="AA47" s="887">
        <v>40817</v>
      </c>
      <c r="AB47" s="831" t="s">
        <v>672</v>
      </c>
      <c r="AC47" s="831">
        <v>0.78680000000000005</v>
      </c>
      <c r="AD47" s="835">
        <v>40847</v>
      </c>
      <c r="AF47" s="831" t="s">
        <v>733</v>
      </c>
      <c r="AG47" s="831" t="s">
        <v>55</v>
      </c>
      <c r="AH47" s="831" t="s">
        <v>117</v>
      </c>
      <c r="AI47" s="831">
        <v>0</v>
      </c>
      <c r="AJ47" s="835">
        <v>39538</v>
      </c>
      <c r="AK47" s="831">
        <v>1666054</v>
      </c>
      <c r="AP47" s="831" t="str">
        <f t="shared" si="0"/>
        <v/>
      </c>
    </row>
    <row r="48" spans="2:42">
      <c r="B48" s="834" t="str">
        <f t="shared" si="2"/>
        <v>|||</v>
      </c>
      <c r="H48" s="835">
        <f t="shared" si="1"/>
        <v>31</v>
      </c>
      <c r="K48" s="836"/>
      <c r="L48" s="835"/>
      <c r="AA48" s="887">
        <v>40787</v>
      </c>
      <c r="AB48" s="831" t="s">
        <v>672</v>
      </c>
      <c r="AC48" s="831">
        <v>0.78320000000000001</v>
      </c>
      <c r="AD48" s="835">
        <v>40816</v>
      </c>
      <c r="AF48" s="831" t="s">
        <v>734</v>
      </c>
      <c r="AG48" s="831" t="s">
        <v>55</v>
      </c>
      <c r="AH48" s="831" t="s">
        <v>123</v>
      </c>
      <c r="AI48" s="831">
        <v>0</v>
      </c>
      <c r="AJ48" s="835">
        <v>39538</v>
      </c>
      <c r="AK48" s="831">
        <v>11000000</v>
      </c>
      <c r="AP48" s="831" t="str">
        <f t="shared" si="0"/>
        <v/>
      </c>
    </row>
    <row r="49" spans="2:42">
      <c r="B49" s="834" t="str">
        <f t="shared" si="2"/>
        <v>|||</v>
      </c>
      <c r="H49" s="835">
        <f t="shared" si="1"/>
        <v>31</v>
      </c>
      <c r="K49" s="836"/>
      <c r="L49" s="835"/>
      <c r="AA49" s="887">
        <v>40756</v>
      </c>
      <c r="AB49" s="831" t="s">
        <v>672</v>
      </c>
      <c r="AC49" s="831">
        <v>0.78500000000000003</v>
      </c>
      <c r="AD49" s="835">
        <v>40786</v>
      </c>
      <c r="AF49" s="831" t="s">
        <v>735</v>
      </c>
      <c r="AG49" s="831" t="s">
        <v>55</v>
      </c>
      <c r="AH49" s="831" t="s">
        <v>125</v>
      </c>
      <c r="AI49" s="831">
        <v>0</v>
      </c>
      <c r="AJ49" s="835">
        <v>39538</v>
      </c>
      <c r="AK49" s="831">
        <v>4424604</v>
      </c>
      <c r="AP49" s="831" t="str">
        <f t="shared" si="0"/>
        <v/>
      </c>
    </row>
    <row r="50" spans="2:42">
      <c r="B50" s="834" t="str">
        <f t="shared" si="2"/>
        <v>|||</v>
      </c>
      <c r="H50" s="835">
        <f t="shared" si="1"/>
        <v>31</v>
      </c>
      <c r="K50" s="836"/>
      <c r="L50" s="835"/>
      <c r="AA50" s="887">
        <v>40725</v>
      </c>
      <c r="AB50" s="831" t="s">
        <v>672</v>
      </c>
      <c r="AC50" s="831">
        <v>0.78644999999999998</v>
      </c>
      <c r="AD50" s="835">
        <v>40753</v>
      </c>
      <c r="AF50" s="831" t="s">
        <v>736</v>
      </c>
      <c r="AG50" s="831" t="s">
        <v>55</v>
      </c>
      <c r="AH50" s="831" t="s">
        <v>66</v>
      </c>
      <c r="AI50" s="831">
        <v>0</v>
      </c>
      <c r="AJ50" s="835">
        <v>39568</v>
      </c>
      <c r="AK50" s="831">
        <v>8559769</v>
      </c>
      <c r="AP50" s="831" t="str">
        <f t="shared" si="0"/>
        <v/>
      </c>
    </row>
    <row r="51" spans="2:42">
      <c r="B51" s="834" t="str">
        <f t="shared" si="2"/>
        <v>|||</v>
      </c>
      <c r="H51" s="835">
        <f t="shared" si="1"/>
        <v>31</v>
      </c>
      <c r="K51" s="836"/>
      <c r="L51" s="835"/>
      <c r="AA51" s="887">
        <v>40695</v>
      </c>
      <c r="AB51" s="831" t="s">
        <v>672</v>
      </c>
      <c r="AC51" s="831">
        <v>0.78605000000000003</v>
      </c>
      <c r="AD51" s="835">
        <v>40724</v>
      </c>
      <c r="AF51" s="831" t="s">
        <v>737</v>
      </c>
      <c r="AG51" s="831" t="s">
        <v>55</v>
      </c>
      <c r="AH51" s="831" t="s">
        <v>71</v>
      </c>
      <c r="AI51" s="831">
        <v>0</v>
      </c>
      <c r="AJ51" s="835">
        <v>39568</v>
      </c>
      <c r="AK51" s="831">
        <v>0</v>
      </c>
      <c r="AP51" s="831" t="str">
        <f t="shared" si="0"/>
        <v/>
      </c>
    </row>
    <row r="52" spans="2:42">
      <c r="B52" s="834" t="str">
        <f t="shared" si="2"/>
        <v>|||</v>
      </c>
      <c r="H52" s="835">
        <f t="shared" si="1"/>
        <v>31</v>
      </c>
      <c r="K52" s="836"/>
      <c r="L52" s="835"/>
      <c r="AA52" s="887">
        <v>40664</v>
      </c>
      <c r="AB52" s="831" t="s">
        <v>672</v>
      </c>
      <c r="AC52" s="831">
        <v>0.78885000000000005</v>
      </c>
      <c r="AD52" s="835">
        <v>40694</v>
      </c>
      <c r="AF52" s="831" t="s">
        <v>738</v>
      </c>
      <c r="AG52" s="831" t="s">
        <v>55</v>
      </c>
      <c r="AH52" s="831" t="s">
        <v>76</v>
      </c>
      <c r="AI52" s="831">
        <v>0</v>
      </c>
      <c r="AJ52" s="835">
        <v>39568</v>
      </c>
      <c r="AK52" s="831">
        <v>0</v>
      </c>
      <c r="AP52" s="831" t="str">
        <f t="shared" si="0"/>
        <v/>
      </c>
    </row>
    <row r="53" spans="2:42">
      <c r="B53" s="834" t="str">
        <f t="shared" si="2"/>
        <v>|||</v>
      </c>
      <c r="H53" s="835">
        <f t="shared" si="1"/>
        <v>31</v>
      </c>
      <c r="K53" s="836"/>
      <c r="L53" s="835"/>
      <c r="AA53" s="887">
        <v>40634</v>
      </c>
      <c r="AB53" s="831" t="s">
        <v>672</v>
      </c>
      <c r="AC53" s="831">
        <v>0.79054999999999997</v>
      </c>
      <c r="AD53" s="835">
        <v>40663</v>
      </c>
      <c r="AF53" s="831" t="s">
        <v>739</v>
      </c>
      <c r="AG53" s="831" t="s">
        <v>55</v>
      </c>
      <c r="AH53" s="831" t="s">
        <v>81</v>
      </c>
      <c r="AI53" s="831">
        <v>0</v>
      </c>
      <c r="AJ53" s="835">
        <v>39568</v>
      </c>
      <c r="AK53" s="831">
        <v>0</v>
      </c>
      <c r="AP53" s="831" t="str">
        <f t="shared" si="0"/>
        <v/>
      </c>
    </row>
    <row r="54" spans="2:42">
      <c r="B54" s="834" t="str">
        <f t="shared" si="2"/>
        <v>|||</v>
      </c>
      <c r="H54" s="835">
        <f t="shared" si="1"/>
        <v>31</v>
      </c>
      <c r="L54" s="835"/>
      <c r="AA54" s="887">
        <v>40603</v>
      </c>
      <c r="AB54" s="831" t="s">
        <v>672</v>
      </c>
      <c r="AC54" s="831">
        <v>0.79500000000000004</v>
      </c>
      <c r="AD54" s="835">
        <v>40633</v>
      </c>
      <c r="AF54" s="831" t="s">
        <v>740</v>
      </c>
      <c r="AG54" s="831" t="s">
        <v>55</v>
      </c>
      <c r="AH54" s="831" t="s">
        <v>10</v>
      </c>
      <c r="AI54" s="831">
        <v>0</v>
      </c>
      <c r="AJ54" s="835">
        <v>39568</v>
      </c>
      <c r="AK54" s="831">
        <v>130217137</v>
      </c>
      <c r="AP54" s="831" t="str">
        <f t="shared" si="0"/>
        <v/>
      </c>
    </row>
    <row r="55" spans="2:42">
      <c r="B55" s="834" t="str">
        <f t="shared" si="2"/>
        <v>|||</v>
      </c>
      <c r="H55" s="835">
        <f t="shared" si="1"/>
        <v>31</v>
      </c>
      <c r="L55" s="835"/>
      <c r="AA55" s="887">
        <v>40575</v>
      </c>
      <c r="AB55" s="831" t="s">
        <v>672</v>
      </c>
      <c r="AC55" s="831">
        <v>0.79500000000000004</v>
      </c>
      <c r="AD55" s="835">
        <v>40602</v>
      </c>
      <c r="AF55" s="831" t="s">
        <v>741</v>
      </c>
      <c r="AG55" s="831" t="s">
        <v>55</v>
      </c>
      <c r="AH55" s="831" t="s">
        <v>91</v>
      </c>
      <c r="AI55" s="831">
        <v>0</v>
      </c>
      <c r="AJ55" s="835">
        <v>39568</v>
      </c>
      <c r="AK55" s="831">
        <v>-2750180</v>
      </c>
      <c r="AP55" s="831" t="str">
        <f t="shared" si="0"/>
        <v/>
      </c>
    </row>
    <row r="56" spans="2:42">
      <c r="B56" s="834" t="str">
        <f t="shared" si="2"/>
        <v>|||</v>
      </c>
      <c r="H56" s="835">
        <f t="shared" si="1"/>
        <v>31</v>
      </c>
      <c r="L56" s="835"/>
      <c r="AA56" s="887">
        <v>40544</v>
      </c>
      <c r="AB56" s="831" t="s">
        <v>672</v>
      </c>
      <c r="AC56" s="831">
        <v>0.80300000000000005</v>
      </c>
      <c r="AD56" s="835">
        <v>40574</v>
      </c>
      <c r="AF56" s="831" t="s">
        <v>742</v>
      </c>
      <c r="AG56" s="831" t="s">
        <v>55</v>
      </c>
      <c r="AH56" s="831" t="s">
        <v>94</v>
      </c>
      <c r="AI56" s="831">
        <v>0</v>
      </c>
      <c r="AJ56" s="835">
        <v>39568</v>
      </c>
      <c r="AK56" s="831">
        <v>5333898</v>
      </c>
      <c r="AP56" s="831" t="str">
        <f t="shared" si="0"/>
        <v/>
      </c>
    </row>
    <row r="57" spans="2:42">
      <c r="B57" s="834" t="str">
        <f t="shared" si="2"/>
        <v>|||</v>
      </c>
      <c r="H57" s="835">
        <f t="shared" si="1"/>
        <v>31</v>
      </c>
      <c r="L57" s="835"/>
      <c r="AA57" s="887">
        <v>40513</v>
      </c>
      <c r="AB57" s="831" t="s">
        <v>672</v>
      </c>
      <c r="AC57" s="831">
        <v>0.79700000000000004</v>
      </c>
      <c r="AD57" s="835">
        <v>40543</v>
      </c>
      <c r="AF57" s="831" t="s">
        <v>743</v>
      </c>
      <c r="AG57" s="831" t="s">
        <v>55</v>
      </c>
      <c r="AH57" s="831" t="s">
        <v>103</v>
      </c>
      <c r="AI57" s="831">
        <v>0</v>
      </c>
      <c r="AJ57" s="835">
        <v>39568</v>
      </c>
      <c r="AK57" s="831">
        <v>17493562</v>
      </c>
      <c r="AP57" s="831" t="str">
        <f t="shared" si="0"/>
        <v/>
      </c>
    </row>
    <row r="58" spans="2:42">
      <c r="B58" s="834" t="str">
        <f t="shared" si="2"/>
        <v>|||</v>
      </c>
      <c r="H58" s="835">
        <f t="shared" si="1"/>
        <v>31</v>
      </c>
      <c r="L58" s="835"/>
      <c r="AA58" s="887">
        <v>40483</v>
      </c>
      <c r="AB58" s="831" t="s">
        <v>672</v>
      </c>
      <c r="AC58" s="831">
        <v>0.8</v>
      </c>
      <c r="AD58" s="835">
        <v>40512</v>
      </c>
      <c r="AF58" s="831" t="s">
        <v>744</v>
      </c>
      <c r="AG58" s="831" t="s">
        <v>55</v>
      </c>
      <c r="AH58" s="831" t="s">
        <v>108</v>
      </c>
      <c r="AI58" s="831">
        <v>0</v>
      </c>
      <c r="AJ58" s="835">
        <v>39568</v>
      </c>
      <c r="AK58" s="831">
        <v>0</v>
      </c>
      <c r="AP58" s="831" t="str">
        <f t="shared" si="0"/>
        <v/>
      </c>
    </row>
    <row r="59" spans="2:42">
      <c r="B59" s="834" t="str">
        <f t="shared" si="2"/>
        <v>|||</v>
      </c>
      <c r="H59" s="835">
        <f t="shared" si="1"/>
        <v>31</v>
      </c>
      <c r="L59" s="835"/>
      <c r="AA59" s="887">
        <v>40452</v>
      </c>
      <c r="AB59" s="831" t="s">
        <v>672</v>
      </c>
      <c r="AC59" s="831">
        <v>0.80100000000000005</v>
      </c>
      <c r="AD59" s="835">
        <v>40482</v>
      </c>
      <c r="AF59" s="831" t="s">
        <v>745</v>
      </c>
      <c r="AG59" s="831" t="s">
        <v>55</v>
      </c>
      <c r="AH59" s="831" t="s">
        <v>110</v>
      </c>
      <c r="AI59" s="831">
        <v>0</v>
      </c>
      <c r="AJ59" s="835">
        <v>39568</v>
      </c>
      <c r="AK59" s="831">
        <v>105802473</v>
      </c>
      <c r="AP59" s="831" t="str">
        <f t="shared" si="0"/>
        <v/>
      </c>
    </row>
    <row r="60" spans="2:42">
      <c r="B60" s="834" t="str">
        <f t="shared" si="2"/>
        <v>|||</v>
      </c>
      <c r="H60" s="835">
        <f t="shared" si="1"/>
        <v>31</v>
      </c>
      <c r="L60" s="835"/>
      <c r="AA60" s="887">
        <v>40422</v>
      </c>
      <c r="AB60" s="831" t="s">
        <v>672</v>
      </c>
      <c r="AC60" s="831">
        <v>0.80300000000000005</v>
      </c>
      <c r="AD60" s="835">
        <v>40451</v>
      </c>
      <c r="AF60" s="831" t="s">
        <v>746</v>
      </c>
      <c r="AG60" s="831" t="s">
        <v>55</v>
      </c>
      <c r="AH60" s="831" t="s">
        <v>112</v>
      </c>
      <c r="AI60" s="831">
        <v>0</v>
      </c>
      <c r="AJ60" s="835">
        <v>39568</v>
      </c>
      <c r="AK60" s="831">
        <v>0</v>
      </c>
      <c r="AP60" s="831" t="str">
        <f t="shared" si="0"/>
        <v/>
      </c>
    </row>
    <row r="61" spans="2:42">
      <c r="B61" s="834" t="str">
        <f t="shared" si="2"/>
        <v>|||</v>
      </c>
      <c r="H61" s="835">
        <f t="shared" si="1"/>
        <v>31</v>
      </c>
      <c r="L61" s="835"/>
      <c r="AA61" s="887">
        <v>40391</v>
      </c>
      <c r="AB61" s="831" t="s">
        <v>672</v>
      </c>
      <c r="AC61" s="831">
        <v>0.8</v>
      </c>
      <c r="AD61" s="835">
        <v>40421</v>
      </c>
      <c r="AF61" s="831" t="s">
        <v>747</v>
      </c>
      <c r="AG61" s="831" t="s">
        <v>55</v>
      </c>
      <c r="AH61" s="831" t="s">
        <v>114</v>
      </c>
      <c r="AI61" s="831">
        <v>0</v>
      </c>
      <c r="AJ61" s="835">
        <v>39568</v>
      </c>
      <c r="AK61" s="831">
        <v>0</v>
      </c>
      <c r="AP61" s="831" t="str">
        <f t="shared" si="0"/>
        <v/>
      </c>
    </row>
    <row r="62" spans="2:42">
      <c r="B62" s="834" t="str">
        <f t="shared" si="2"/>
        <v>|||</v>
      </c>
      <c r="H62" s="835">
        <f t="shared" si="1"/>
        <v>31</v>
      </c>
      <c r="L62" s="835"/>
      <c r="AA62" s="887">
        <v>40360</v>
      </c>
      <c r="AB62" s="831" t="s">
        <v>672</v>
      </c>
      <c r="AC62" s="831">
        <v>0.8</v>
      </c>
      <c r="AD62" s="835">
        <v>40390</v>
      </c>
      <c r="AF62" s="831" t="s">
        <v>748</v>
      </c>
      <c r="AG62" s="831" t="s">
        <v>55</v>
      </c>
      <c r="AH62" s="831" t="s">
        <v>116</v>
      </c>
      <c r="AI62" s="831">
        <v>0</v>
      </c>
      <c r="AJ62" s="835">
        <v>39568</v>
      </c>
      <c r="AK62" s="831">
        <v>0</v>
      </c>
      <c r="AP62" s="831" t="str">
        <f t="shared" si="0"/>
        <v/>
      </c>
    </row>
    <row r="63" spans="2:42">
      <c r="B63" s="834" t="str">
        <f t="shared" si="2"/>
        <v>|||</v>
      </c>
      <c r="H63" s="835">
        <f t="shared" si="1"/>
        <v>31</v>
      </c>
      <c r="L63" s="835"/>
      <c r="AA63" s="887">
        <v>40330</v>
      </c>
      <c r="AB63" s="831" t="s">
        <v>672</v>
      </c>
      <c r="AC63" s="831">
        <v>0.8</v>
      </c>
      <c r="AD63" s="835">
        <v>40359</v>
      </c>
      <c r="AF63" s="831" t="s">
        <v>749</v>
      </c>
      <c r="AG63" s="831" t="s">
        <v>55</v>
      </c>
      <c r="AH63" s="831" t="s">
        <v>117</v>
      </c>
      <c r="AI63" s="831">
        <v>0</v>
      </c>
      <c r="AJ63" s="835">
        <v>39568</v>
      </c>
      <c r="AK63" s="831">
        <v>1759823</v>
      </c>
      <c r="AP63" s="831" t="str">
        <f t="shared" si="0"/>
        <v/>
      </c>
    </row>
    <row r="64" spans="2:42">
      <c r="B64" s="834" t="str">
        <f t="shared" si="2"/>
        <v>|||</v>
      </c>
      <c r="H64" s="835">
        <f t="shared" si="1"/>
        <v>31</v>
      </c>
      <c r="L64" s="835"/>
      <c r="AA64" s="887">
        <v>40299</v>
      </c>
      <c r="AB64" s="831" t="s">
        <v>672</v>
      </c>
      <c r="AC64" s="831">
        <v>0.8</v>
      </c>
      <c r="AD64" s="835">
        <v>40329</v>
      </c>
      <c r="AF64" s="831" t="s">
        <v>750</v>
      </c>
      <c r="AG64" s="831" t="s">
        <v>55</v>
      </c>
      <c r="AH64" s="831" t="s">
        <v>123</v>
      </c>
      <c r="AI64" s="831">
        <v>0</v>
      </c>
      <c r="AJ64" s="835">
        <v>39568</v>
      </c>
      <c r="AK64" s="831">
        <v>11000000</v>
      </c>
      <c r="AP64" s="831" t="str">
        <f t="shared" si="0"/>
        <v/>
      </c>
    </row>
    <row r="65" spans="2:42">
      <c r="B65" s="834" t="str">
        <f t="shared" si="2"/>
        <v>|||</v>
      </c>
      <c r="H65" s="835">
        <f t="shared" si="1"/>
        <v>31</v>
      </c>
      <c r="L65" s="835"/>
      <c r="AA65" s="887">
        <v>40269</v>
      </c>
      <c r="AB65" s="831" t="s">
        <v>672</v>
      </c>
      <c r="AC65" s="831">
        <v>0.8</v>
      </c>
      <c r="AD65" s="835">
        <v>40298</v>
      </c>
      <c r="AF65" s="831" t="s">
        <v>751</v>
      </c>
      <c r="AG65" s="831" t="s">
        <v>55</v>
      </c>
      <c r="AH65" s="831" t="s">
        <v>125</v>
      </c>
      <c r="AI65" s="831">
        <v>0</v>
      </c>
      <c r="AJ65" s="835">
        <v>39568</v>
      </c>
      <c r="AK65" s="831">
        <v>5304766</v>
      </c>
      <c r="AP65" s="831" t="str">
        <f t="shared" si="0"/>
        <v/>
      </c>
    </row>
    <row r="66" spans="2:42">
      <c r="B66" s="834" t="str">
        <f t="shared" si="2"/>
        <v>|||</v>
      </c>
      <c r="H66" s="835">
        <f t="shared" si="1"/>
        <v>31</v>
      </c>
      <c r="AA66" s="887">
        <v>40238</v>
      </c>
      <c r="AB66" s="831" t="s">
        <v>672</v>
      </c>
      <c r="AC66" s="831">
        <v>0.81</v>
      </c>
      <c r="AD66" s="835">
        <v>40268</v>
      </c>
      <c r="AF66" s="831" t="s">
        <v>752</v>
      </c>
      <c r="AG66" s="831" t="s">
        <v>55</v>
      </c>
      <c r="AH66" s="831" t="s">
        <v>66</v>
      </c>
      <c r="AI66" s="831">
        <v>0</v>
      </c>
      <c r="AJ66" s="835">
        <v>39599</v>
      </c>
      <c r="AK66" s="831">
        <v>8795419</v>
      </c>
      <c r="AP66" s="831" t="str">
        <f t="shared" si="0"/>
        <v/>
      </c>
    </row>
    <row r="67" spans="2:42">
      <c r="B67" s="834" t="str">
        <f t="shared" ref="B67:B130" si="3">C67&amp;"|"&amp;D67&amp;"|"&amp;E67&amp;"|"&amp;F67</f>
        <v>|||</v>
      </c>
      <c r="H67" s="835">
        <f t="shared" si="1"/>
        <v>31</v>
      </c>
      <c r="AA67" s="887">
        <v>40210</v>
      </c>
      <c r="AB67" s="831" t="s">
        <v>672</v>
      </c>
      <c r="AC67" s="831">
        <v>0.81</v>
      </c>
      <c r="AD67" s="835">
        <v>40237</v>
      </c>
      <c r="AF67" s="831" t="s">
        <v>753</v>
      </c>
      <c r="AG67" s="831" t="s">
        <v>55</v>
      </c>
      <c r="AH67" s="831" t="s">
        <v>71</v>
      </c>
      <c r="AI67" s="831">
        <v>0</v>
      </c>
      <c r="AJ67" s="835">
        <v>39599</v>
      </c>
      <c r="AK67" s="831">
        <v>0</v>
      </c>
      <c r="AP67" s="831" t="str">
        <f t="shared" ref="AP67:AP130" si="4">IF(AX67&lt;&gt;"",IF(OR(AX67=3,AX67=4),"Equity","Debt"),"")</f>
        <v/>
      </c>
    </row>
    <row r="68" spans="2:42">
      <c r="B68" s="834" t="str">
        <f t="shared" si="3"/>
        <v>|||</v>
      </c>
      <c r="H68" s="835">
        <f t="shared" ref="H68:H131" si="5">EOMONTH(L68,0)</f>
        <v>31</v>
      </c>
      <c r="AA68" s="887">
        <v>40179</v>
      </c>
      <c r="AB68" s="831" t="s">
        <v>672</v>
      </c>
      <c r="AC68" s="831">
        <v>0.81</v>
      </c>
      <c r="AD68" s="835">
        <v>40209</v>
      </c>
      <c r="AF68" s="831" t="s">
        <v>754</v>
      </c>
      <c r="AG68" s="831" t="s">
        <v>55</v>
      </c>
      <c r="AH68" s="831" t="s">
        <v>76</v>
      </c>
      <c r="AI68" s="831">
        <v>0</v>
      </c>
      <c r="AJ68" s="835">
        <v>39599</v>
      </c>
      <c r="AK68" s="831">
        <v>0</v>
      </c>
      <c r="AP68" s="831" t="str">
        <f t="shared" si="4"/>
        <v/>
      </c>
    </row>
    <row r="69" spans="2:42">
      <c r="B69" s="834" t="str">
        <f t="shared" si="3"/>
        <v>|||</v>
      </c>
      <c r="H69" s="835">
        <f t="shared" si="5"/>
        <v>31</v>
      </c>
      <c r="AA69" s="887">
        <v>40148</v>
      </c>
      <c r="AB69" s="831" t="s">
        <v>672</v>
      </c>
      <c r="AC69" s="831">
        <v>0.8</v>
      </c>
      <c r="AD69" s="835">
        <v>40178</v>
      </c>
      <c r="AF69" s="831" t="s">
        <v>755</v>
      </c>
      <c r="AG69" s="831" t="s">
        <v>55</v>
      </c>
      <c r="AH69" s="831" t="s">
        <v>81</v>
      </c>
      <c r="AI69" s="831">
        <v>0</v>
      </c>
      <c r="AJ69" s="835">
        <v>39599</v>
      </c>
      <c r="AK69" s="831">
        <v>0</v>
      </c>
      <c r="AP69" s="831" t="str">
        <f t="shared" si="4"/>
        <v/>
      </c>
    </row>
    <row r="70" spans="2:42">
      <c r="B70" s="834" t="str">
        <f t="shared" si="3"/>
        <v>|||</v>
      </c>
      <c r="H70" s="835">
        <f t="shared" si="5"/>
        <v>31</v>
      </c>
      <c r="AA70" s="887">
        <v>40118</v>
      </c>
      <c r="AB70" s="831" t="s">
        <v>672</v>
      </c>
      <c r="AC70" s="831">
        <v>0.8</v>
      </c>
      <c r="AD70" s="835">
        <v>40147</v>
      </c>
      <c r="AF70" s="831" t="s">
        <v>756</v>
      </c>
      <c r="AG70" s="831" t="s">
        <v>55</v>
      </c>
      <c r="AH70" s="831" t="s">
        <v>10</v>
      </c>
      <c r="AI70" s="831">
        <v>0</v>
      </c>
      <c r="AJ70" s="835">
        <v>39599</v>
      </c>
      <c r="AK70" s="831">
        <v>139803736</v>
      </c>
      <c r="AP70" s="831" t="str">
        <f t="shared" si="4"/>
        <v/>
      </c>
    </row>
    <row r="71" spans="2:42">
      <c r="B71" s="834" t="str">
        <f t="shared" si="3"/>
        <v>|||</v>
      </c>
      <c r="H71" s="835">
        <f t="shared" si="5"/>
        <v>31</v>
      </c>
      <c r="AA71" s="887">
        <v>40087</v>
      </c>
      <c r="AB71" s="831" t="s">
        <v>672</v>
      </c>
      <c r="AC71" s="831">
        <v>0.8</v>
      </c>
      <c r="AD71" s="835">
        <v>40116</v>
      </c>
      <c r="AF71" s="831" t="s">
        <v>757</v>
      </c>
      <c r="AG71" s="831" t="s">
        <v>55</v>
      </c>
      <c r="AH71" s="831" t="s">
        <v>91</v>
      </c>
      <c r="AI71" s="831">
        <v>0</v>
      </c>
      <c r="AJ71" s="835">
        <v>39599</v>
      </c>
      <c r="AK71" s="831">
        <v>-3000764</v>
      </c>
      <c r="AP71" s="831" t="str">
        <f t="shared" si="4"/>
        <v/>
      </c>
    </row>
    <row r="72" spans="2:42">
      <c r="B72" s="834" t="str">
        <f t="shared" si="3"/>
        <v>|||</v>
      </c>
      <c r="H72" s="835">
        <f t="shared" si="5"/>
        <v>31</v>
      </c>
      <c r="AA72" s="887">
        <v>40057</v>
      </c>
      <c r="AB72" s="831" t="s">
        <v>672</v>
      </c>
      <c r="AC72" s="831">
        <v>0.8</v>
      </c>
      <c r="AD72" s="835">
        <v>40086</v>
      </c>
      <c r="AF72" s="831" t="s">
        <v>758</v>
      </c>
      <c r="AG72" s="831" t="s">
        <v>55</v>
      </c>
      <c r="AH72" s="831" t="s">
        <v>94</v>
      </c>
      <c r="AI72" s="831">
        <v>0</v>
      </c>
      <c r="AJ72" s="835">
        <v>39599</v>
      </c>
      <c r="AK72" s="831">
        <v>5403195</v>
      </c>
      <c r="AP72" s="831" t="str">
        <f t="shared" si="4"/>
        <v/>
      </c>
    </row>
    <row r="73" spans="2:42">
      <c r="B73" s="834" t="str">
        <f t="shared" si="3"/>
        <v>|||</v>
      </c>
      <c r="H73" s="835">
        <f t="shared" si="5"/>
        <v>31</v>
      </c>
      <c r="AA73" s="887">
        <v>40026</v>
      </c>
      <c r="AB73" s="831" t="s">
        <v>672</v>
      </c>
      <c r="AC73" s="831">
        <v>0.8</v>
      </c>
      <c r="AD73" s="835">
        <v>40056</v>
      </c>
      <c r="AF73" s="831" t="s">
        <v>759</v>
      </c>
      <c r="AG73" s="831" t="s">
        <v>55</v>
      </c>
      <c r="AH73" s="831" t="s">
        <v>103</v>
      </c>
      <c r="AI73" s="831">
        <v>0</v>
      </c>
      <c r="AJ73" s="835">
        <v>39599</v>
      </c>
      <c r="AK73" s="831">
        <v>19140268</v>
      </c>
      <c r="AP73" s="831" t="str">
        <f t="shared" si="4"/>
        <v/>
      </c>
    </row>
    <row r="74" spans="2:42">
      <c r="B74" s="834" t="str">
        <f t="shared" si="3"/>
        <v>|||</v>
      </c>
      <c r="H74" s="835">
        <f t="shared" si="5"/>
        <v>31</v>
      </c>
      <c r="AA74" s="887">
        <v>39995</v>
      </c>
      <c r="AB74" s="831" t="s">
        <v>672</v>
      </c>
      <c r="AC74" s="831">
        <v>0.8</v>
      </c>
      <c r="AD74" s="835">
        <v>40025</v>
      </c>
      <c r="AF74" s="831" t="s">
        <v>760</v>
      </c>
      <c r="AG74" s="831" t="s">
        <v>55</v>
      </c>
      <c r="AH74" s="831" t="s">
        <v>108</v>
      </c>
      <c r="AI74" s="831">
        <v>0</v>
      </c>
      <c r="AJ74" s="835">
        <v>39599</v>
      </c>
      <c r="AK74" s="831">
        <v>0</v>
      </c>
      <c r="AP74" s="831" t="str">
        <f t="shared" si="4"/>
        <v/>
      </c>
    </row>
    <row r="75" spans="2:42">
      <c r="B75" s="834" t="str">
        <f t="shared" si="3"/>
        <v>|||</v>
      </c>
      <c r="H75" s="835">
        <f t="shared" si="5"/>
        <v>31</v>
      </c>
      <c r="AA75" s="887">
        <v>39965</v>
      </c>
      <c r="AB75" s="831" t="s">
        <v>672</v>
      </c>
      <c r="AC75" s="831">
        <v>0.8</v>
      </c>
      <c r="AD75" s="835">
        <v>39994</v>
      </c>
      <c r="AF75" s="831" t="s">
        <v>761</v>
      </c>
      <c r="AG75" s="831" t="s">
        <v>55</v>
      </c>
      <c r="AH75" s="831" t="s">
        <v>110</v>
      </c>
      <c r="AI75" s="831">
        <v>0</v>
      </c>
      <c r="AJ75" s="835">
        <v>39599</v>
      </c>
      <c r="AK75" s="831">
        <v>112899874</v>
      </c>
      <c r="AP75" s="831" t="str">
        <f t="shared" si="4"/>
        <v/>
      </c>
    </row>
    <row r="76" spans="2:42">
      <c r="B76" s="834" t="str">
        <f t="shared" si="3"/>
        <v>|||</v>
      </c>
      <c r="H76" s="835">
        <f t="shared" si="5"/>
        <v>31</v>
      </c>
      <c r="AA76" s="887">
        <v>39934</v>
      </c>
      <c r="AB76" s="831" t="s">
        <v>672</v>
      </c>
      <c r="AC76" s="831">
        <v>0.8</v>
      </c>
      <c r="AD76" s="835">
        <v>39964</v>
      </c>
      <c r="AF76" s="831" t="s">
        <v>762</v>
      </c>
      <c r="AG76" s="831" t="s">
        <v>55</v>
      </c>
      <c r="AH76" s="831" t="s">
        <v>112</v>
      </c>
      <c r="AI76" s="831">
        <v>0</v>
      </c>
      <c r="AJ76" s="835">
        <v>39599</v>
      </c>
      <c r="AK76" s="831">
        <v>0</v>
      </c>
      <c r="AP76" s="831" t="str">
        <f t="shared" si="4"/>
        <v/>
      </c>
    </row>
    <row r="77" spans="2:42">
      <c r="B77" s="834" t="str">
        <f t="shared" si="3"/>
        <v>|||</v>
      </c>
      <c r="H77" s="835">
        <f t="shared" si="5"/>
        <v>31</v>
      </c>
      <c r="AA77" s="887">
        <v>39904</v>
      </c>
      <c r="AB77" s="831" t="s">
        <v>672</v>
      </c>
      <c r="AC77" s="831">
        <v>0.8</v>
      </c>
      <c r="AD77" s="835">
        <v>39933</v>
      </c>
      <c r="AF77" s="831" t="s">
        <v>763</v>
      </c>
      <c r="AG77" s="831" t="s">
        <v>55</v>
      </c>
      <c r="AH77" s="831" t="s">
        <v>114</v>
      </c>
      <c r="AI77" s="831">
        <v>0</v>
      </c>
      <c r="AJ77" s="835">
        <v>39599</v>
      </c>
      <c r="AK77" s="831">
        <v>0</v>
      </c>
      <c r="AP77" s="831" t="str">
        <f t="shared" si="4"/>
        <v/>
      </c>
    </row>
    <row r="78" spans="2:42">
      <c r="B78" s="834" t="str">
        <f t="shared" si="3"/>
        <v>|||</v>
      </c>
      <c r="H78" s="835">
        <f t="shared" si="5"/>
        <v>31</v>
      </c>
      <c r="AA78" s="887">
        <v>39873</v>
      </c>
      <c r="AB78" s="831" t="s">
        <v>672</v>
      </c>
      <c r="AC78" s="831">
        <v>0.81</v>
      </c>
      <c r="AD78" s="835">
        <v>39903</v>
      </c>
      <c r="AF78" s="831" t="s">
        <v>764</v>
      </c>
      <c r="AG78" s="831" t="s">
        <v>55</v>
      </c>
      <c r="AH78" s="831" t="s">
        <v>116</v>
      </c>
      <c r="AI78" s="831">
        <v>0</v>
      </c>
      <c r="AJ78" s="835">
        <v>39599</v>
      </c>
      <c r="AK78" s="831">
        <v>0</v>
      </c>
      <c r="AP78" s="831" t="str">
        <f t="shared" si="4"/>
        <v/>
      </c>
    </row>
    <row r="79" spans="2:42">
      <c r="B79" s="834" t="str">
        <f t="shared" si="3"/>
        <v>|||</v>
      </c>
      <c r="H79" s="835">
        <f t="shared" si="5"/>
        <v>31</v>
      </c>
      <c r="AA79" s="887">
        <v>39845</v>
      </c>
      <c r="AB79" s="831" t="s">
        <v>672</v>
      </c>
      <c r="AC79" s="831">
        <v>0.81</v>
      </c>
      <c r="AD79" s="835">
        <v>39872</v>
      </c>
      <c r="AF79" s="831" t="s">
        <v>765</v>
      </c>
      <c r="AG79" s="831" t="s">
        <v>55</v>
      </c>
      <c r="AH79" s="831" t="s">
        <v>117</v>
      </c>
      <c r="AI79" s="831">
        <v>0</v>
      </c>
      <c r="AJ79" s="835">
        <v>39599</v>
      </c>
      <c r="AK79" s="831">
        <v>1905256</v>
      </c>
      <c r="AP79" s="831" t="str">
        <f t="shared" si="4"/>
        <v/>
      </c>
    </row>
    <row r="80" spans="2:42">
      <c r="B80" s="834" t="str">
        <f t="shared" si="3"/>
        <v>|||</v>
      </c>
      <c r="H80" s="835">
        <f t="shared" si="5"/>
        <v>31</v>
      </c>
      <c r="AA80" s="887">
        <v>39814</v>
      </c>
      <c r="AB80" s="831" t="s">
        <v>672</v>
      </c>
      <c r="AC80" s="831">
        <v>0.81</v>
      </c>
      <c r="AD80" s="835">
        <v>39843</v>
      </c>
      <c r="AF80" s="831" t="s">
        <v>766</v>
      </c>
      <c r="AG80" s="831" t="s">
        <v>55</v>
      </c>
      <c r="AH80" s="831" t="s">
        <v>123</v>
      </c>
      <c r="AI80" s="831">
        <v>0</v>
      </c>
      <c r="AJ80" s="835">
        <v>39599</v>
      </c>
      <c r="AK80" s="831">
        <v>11000000</v>
      </c>
      <c r="AP80" s="831" t="str">
        <f t="shared" si="4"/>
        <v/>
      </c>
    </row>
    <row r="81" spans="2:42">
      <c r="B81" s="834" t="str">
        <f t="shared" si="3"/>
        <v>|||</v>
      </c>
      <c r="H81" s="835">
        <f t="shared" si="5"/>
        <v>31</v>
      </c>
      <c r="AA81" s="887">
        <v>39783</v>
      </c>
      <c r="AB81" s="831" t="s">
        <v>672</v>
      </c>
      <c r="AC81" s="831">
        <v>0.8</v>
      </c>
      <c r="AD81" s="835">
        <v>39813</v>
      </c>
      <c r="AF81" s="831" t="s">
        <v>767</v>
      </c>
      <c r="AG81" s="831" t="s">
        <v>55</v>
      </c>
      <c r="AH81" s="831" t="s">
        <v>125</v>
      </c>
      <c r="AI81" s="831">
        <v>0</v>
      </c>
      <c r="AJ81" s="835">
        <v>39599</v>
      </c>
      <c r="AK81" s="831">
        <v>6056188</v>
      </c>
      <c r="AP81" s="831" t="str">
        <f t="shared" si="4"/>
        <v/>
      </c>
    </row>
    <row r="82" spans="2:42">
      <c r="B82" s="834" t="str">
        <f t="shared" si="3"/>
        <v>|||</v>
      </c>
      <c r="H82" s="835">
        <f t="shared" si="5"/>
        <v>31</v>
      </c>
      <c r="AA82" s="887">
        <v>39753</v>
      </c>
      <c r="AB82" s="831" t="s">
        <v>672</v>
      </c>
      <c r="AC82" s="831">
        <v>0.81</v>
      </c>
      <c r="AD82" s="835">
        <v>39782</v>
      </c>
      <c r="AF82" s="831" t="s">
        <v>768</v>
      </c>
      <c r="AG82" s="831" t="s">
        <v>55</v>
      </c>
      <c r="AH82" s="831" t="s">
        <v>66</v>
      </c>
      <c r="AI82" s="831">
        <v>0</v>
      </c>
      <c r="AJ82" s="835">
        <v>39629</v>
      </c>
      <c r="AK82" s="831">
        <v>18782290</v>
      </c>
      <c r="AP82" s="831" t="str">
        <f t="shared" si="4"/>
        <v/>
      </c>
    </row>
    <row r="83" spans="2:42">
      <c r="B83" s="834" t="str">
        <f t="shared" si="3"/>
        <v>|||</v>
      </c>
      <c r="H83" s="835">
        <f t="shared" si="5"/>
        <v>31</v>
      </c>
      <c r="AA83" s="887">
        <v>39722</v>
      </c>
      <c r="AB83" s="831" t="s">
        <v>672</v>
      </c>
      <c r="AC83" s="831">
        <v>0.81</v>
      </c>
      <c r="AD83" s="835">
        <v>39752</v>
      </c>
      <c r="AF83" s="831" t="s">
        <v>769</v>
      </c>
      <c r="AG83" s="831" t="s">
        <v>55</v>
      </c>
      <c r="AH83" s="831" t="s">
        <v>71</v>
      </c>
      <c r="AI83" s="831">
        <v>0</v>
      </c>
      <c r="AJ83" s="835">
        <v>39629</v>
      </c>
      <c r="AK83" s="831">
        <v>0</v>
      </c>
      <c r="AP83" s="831" t="str">
        <f t="shared" si="4"/>
        <v/>
      </c>
    </row>
    <row r="84" spans="2:42">
      <c r="B84" s="834" t="str">
        <f t="shared" si="3"/>
        <v>|||</v>
      </c>
      <c r="H84" s="835">
        <f t="shared" si="5"/>
        <v>31</v>
      </c>
      <c r="AA84" s="887">
        <v>39692</v>
      </c>
      <c r="AB84" s="831" t="s">
        <v>672</v>
      </c>
      <c r="AC84" s="831">
        <v>0.81</v>
      </c>
      <c r="AD84" s="835">
        <v>39721</v>
      </c>
      <c r="AF84" s="831" t="s">
        <v>770</v>
      </c>
      <c r="AG84" s="831" t="s">
        <v>55</v>
      </c>
      <c r="AH84" s="831" t="s">
        <v>76</v>
      </c>
      <c r="AI84" s="831">
        <v>0</v>
      </c>
      <c r="AJ84" s="835">
        <v>39629</v>
      </c>
      <c r="AK84" s="831">
        <v>0</v>
      </c>
      <c r="AP84" s="831" t="str">
        <f t="shared" si="4"/>
        <v/>
      </c>
    </row>
    <row r="85" spans="2:42">
      <c r="B85" s="834" t="str">
        <f t="shared" si="3"/>
        <v>|||</v>
      </c>
      <c r="H85" s="835">
        <f t="shared" si="5"/>
        <v>31</v>
      </c>
      <c r="AA85" s="887">
        <v>39661</v>
      </c>
      <c r="AB85" s="831" t="s">
        <v>672</v>
      </c>
      <c r="AC85" s="831">
        <v>0.81</v>
      </c>
      <c r="AD85" s="835">
        <v>39691</v>
      </c>
      <c r="AF85" s="831" t="s">
        <v>771</v>
      </c>
      <c r="AG85" s="831" t="s">
        <v>55</v>
      </c>
      <c r="AH85" s="831" t="s">
        <v>81</v>
      </c>
      <c r="AI85" s="831">
        <v>0</v>
      </c>
      <c r="AJ85" s="835">
        <v>39629</v>
      </c>
      <c r="AK85" s="831">
        <v>0</v>
      </c>
      <c r="AP85" s="831" t="str">
        <f t="shared" si="4"/>
        <v/>
      </c>
    </row>
    <row r="86" spans="2:42">
      <c r="B86" s="834" t="str">
        <f t="shared" si="3"/>
        <v>|||</v>
      </c>
      <c r="H86" s="835">
        <f t="shared" si="5"/>
        <v>31</v>
      </c>
      <c r="AA86" s="887">
        <v>39630</v>
      </c>
      <c r="AB86" s="831" t="s">
        <v>672</v>
      </c>
      <c r="AC86" s="831">
        <v>0.81</v>
      </c>
      <c r="AD86" s="835">
        <v>39660</v>
      </c>
      <c r="AF86" s="831" t="s">
        <v>772</v>
      </c>
      <c r="AG86" s="831" t="s">
        <v>55</v>
      </c>
      <c r="AH86" s="831" t="s">
        <v>10</v>
      </c>
      <c r="AI86" s="831">
        <v>0</v>
      </c>
      <c r="AJ86" s="835">
        <v>39629</v>
      </c>
      <c r="AK86" s="831">
        <v>143956608</v>
      </c>
      <c r="AP86" s="831" t="str">
        <f t="shared" si="4"/>
        <v/>
      </c>
    </row>
    <row r="87" spans="2:42">
      <c r="B87" s="834" t="str">
        <f t="shared" si="3"/>
        <v>|||</v>
      </c>
      <c r="H87" s="835">
        <f t="shared" si="5"/>
        <v>31</v>
      </c>
      <c r="AA87" s="887">
        <v>39600</v>
      </c>
      <c r="AB87" s="831" t="s">
        <v>672</v>
      </c>
      <c r="AC87" s="831">
        <v>0.81</v>
      </c>
      <c r="AD87" s="835">
        <v>39629</v>
      </c>
      <c r="AF87" s="831" t="s">
        <v>773</v>
      </c>
      <c r="AG87" s="831" t="s">
        <v>55</v>
      </c>
      <c r="AH87" s="831" t="s">
        <v>91</v>
      </c>
      <c r="AI87" s="831">
        <v>0</v>
      </c>
      <c r="AJ87" s="835">
        <v>39629</v>
      </c>
      <c r="AK87" s="831">
        <v>-3072986</v>
      </c>
      <c r="AP87" s="831" t="str">
        <f t="shared" si="4"/>
        <v/>
      </c>
    </row>
    <row r="88" spans="2:42">
      <c r="B88" s="834" t="str">
        <f t="shared" si="3"/>
        <v>|||</v>
      </c>
      <c r="H88" s="835">
        <f t="shared" si="5"/>
        <v>31</v>
      </c>
      <c r="AA88" s="887">
        <v>39569</v>
      </c>
      <c r="AB88" s="831" t="s">
        <v>672</v>
      </c>
      <c r="AC88" s="831">
        <v>0.83</v>
      </c>
      <c r="AD88" s="835">
        <v>39599</v>
      </c>
      <c r="AF88" s="831" t="s">
        <v>774</v>
      </c>
      <c r="AG88" s="831" t="s">
        <v>55</v>
      </c>
      <c r="AH88" s="831" t="s">
        <v>94</v>
      </c>
      <c r="AI88" s="831">
        <v>0</v>
      </c>
      <c r="AJ88" s="835">
        <v>39629</v>
      </c>
      <c r="AK88" s="831">
        <v>6093563</v>
      </c>
      <c r="AP88" s="831" t="str">
        <f t="shared" si="4"/>
        <v/>
      </c>
    </row>
    <row r="89" spans="2:42">
      <c r="B89" s="834" t="str">
        <f t="shared" si="3"/>
        <v>|||</v>
      </c>
      <c r="H89" s="835">
        <f t="shared" si="5"/>
        <v>31</v>
      </c>
      <c r="AA89" s="887">
        <v>39539</v>
      </c>
      <c r="AB89" s="831" t="s">
        <v>672</v>
      </c>
      <c r="AC89" s="831">
        <v>0.83</v>
      </c>
      <c r="AD89" s="835">
        <v>39568</v>
      </c>
      <c r="AF89" s="831" t="s">
        <v>775</v>
      </c>
      <c r="AG89" s="831" t="s">
        <v>55</v>
      </c>
      <c r="AH89" s="831" t="s">
        <v>103</v>
      </c>
      <c r="AI89" s="831">
        <v>0</v>
      </c>
      <c r="AJ89" s="835">
        <v>39629</v>
      </c>
      <c r="AK89" s="831">
        <v>19243085</v>
      </c>
      <c r="AP89" s="831" t="str">
        <f t="shared" si="4"/>
        <v/>
      </c>
    </row>
    <row r="90" spans="2:42">
      <c r="B90" s="834" t="str">
        <f t="shared" si="3"/>
        <v>|||</v>
      </c>
      <c r="H90" s="835">
        <f t="shared" si="5"/>
        <v>31</v>
      </c>
      <c r="AA90" s="887">
        <v>39508</v>
      </c>
      <c r="AB90" s="831" t="s">
        <v>672</v>
      </c>
      <c r="AC90" s="831">
        <v>0.83</v>
      </c>
      <c r="AD90" s="835">
        <v>39538</v>
      </c>
      <c r="AF90" s="831" t="s">
        <v>776</v>
      </c>
      <c r="AG90" s="831" t="s">
        <v>55</v>
      </c>
      <c r="AH90" s="831" t="s">
        <v>108</v>
      </c>
      <c r="AI90" s="831">
        <v>0</v>
      </c>
      <c r="AJ90" s="835">
        <v>39629</v>
      </c>
      <c r="AK90" s="831">
        <v>0</v>
      </c>
      <c r="AP90" s="831" t="str">
        <f t="shared" si="4"/>
        <v/>
      </c>
    </row>
    <row r="91" spans="2:42">
      <c r="B91" s="834" t="str">
        <f t="shared" si="3"/>
        <v>|||</v>
      </c>
      <c r="H91" s="835">
        <f t="shared" si="5"/>
        <v>31</v>
      </c>
      <c r="AA91" s="887">
        <v>39479</v>
      </c>
      <c r="AB91" s="831" t="s">
        <v>672</v>
      </c>
      <c r="AC91" s="831">
        <v>0.85</v>
      </c>
      <c r="AD91" s="835">
        <v>39507</v>
      </c>
      <c r="AF91" s="831" t="s">
        <v>777</v>
      </c>
      <c r="AG91" s="831" t="s">
        <v>55</v>
      </c>
      <c r="AH91" s="831" t="s">
        <v>110</v>
      </c>
      <c r="AI91" s="831">
        <v>0</v>
      </c>
      <c r="AJ91" s="835">
        <v>39629</v>
      </c>
      <c r="AK91" s="831">
        <v>117086904</v>
      </c>
      <c r="AP91" s="831" t="str">
        <f t="shared" si="4"/>
        <v/>
      </c>
    </row>
    <row r="92" spans="2:42">
      <c r="B92" s="834" t="str">
        <f t="shared" si="3"/>
        <v>|||</v>
      </c>
      <c r="H92" s="835">
        <f t="shared" si="5"/>
        <v>31</v>
      </c>
      <c r="AA92" s="887">
        <v>39448</v>
      </c>
      <c r="AB92" s="831" t="s">
        <v>672</v>
      </c>
      <c r="AC92" s="831">
        <v>0.85</v>
      </c>
      <c r="AD92" s="835">
        <v>39478</v>
      </c>
      <c r="AF92" s="831" t="s">
        <v>778</v>
      </c>
      <c r="AG92" s="831" t="s">
        <v>55</v>
      </c>
      <c r="AH92" s="831" t="s">
        <v>112</v>
      </c>
      <c r="AI92" s="831">
        <v>0</v>
      </c>
      <c r="AJ92" s="835">
        <v>39629</v>
      </c>
      <c r="AK92" s="831">
        <v>0</v>
      </c>
      <c r="AP92" s="831" t="str">
        <f t="shared" si="4"/>
        <v/>
      </c>
    </row>
    <row r="93" spans="2:42">
      <c r="B93" s="834" t="str">
        <f t="shared" si="3"/>
        <v>|||</v>
      </c>
      <c r="H93" s="835">
        <f t="shared" si="5"/>
        <v>31</v>
      </c>
      <c r="AA93" s="887">
        <v>39417</v>
      </c>
      <c r="AB93" s="831" t="s">
        <v>672</v>
      </c>
      <c r="AC93" s="831">
        <v>0.85</v>
      </c>
      <c r="AD93" s="835">
        <v>39447</v>
      </c>
      <c r="AF93" s="831" t="s">
        <v>779</v>
      </c>
      <c r="AG93" s="831" t="s">
        <v>55</v>
      </c>
      <c r="AH93" s="831" t="s">
        <v>114</v>
      </c>
      <c r="AI93" s="831">
        <v>0</v>
      </c>
      <c r="AJ93" s="835">
        <v>39629</v>
      </c>
      <c r="AK93" s="831">
        <v>0</v>
      </c>
      <c r="AP93" s="831" t="str">
        <f t="shared" si="4"/>
        <v/>
      </c>
    </row>
    <row r="94" spans="2:42">
      <c r="B94" s="834" t="str">
        <f t="shared" si="3"/>
        <v>|||</v>
      </c>
      <c r="H94" s="835">
        <f t="shared" si="5"/>
        <v>31</v>
      </c>
      <c r="AA94" s="887">
        <v>39387</v>
      </c>
      <c r="AB94" s="831" t="s">
        <v>672</v>
      </c>
      <c r="AC94" s="831">
        <v>0.85</v>
      </c>
      <c r="AD94" s="835">
        <v>39416</v>
      </c>
      <c r="AF94" s="831" t="s">
        <v>780</v>
      </c>
      <c r="AG94" s="831" t="s">
        <v>55</v>
      </c>
      <c r="AH94" s="831" t="s">
        <v>116</v>
      </c>
      <c r="AI94" s="831">
        <v>0</v>
      </c>
      <c r="AJ94" s="835">
        <v>39629</v>
      </c>
      <c r="AK94" s="831">
        <v>0</v>
      </c>
      <c r="AP94" s="831" t="str">
        <f t="shared" si="4"/>
        <v/>
      </c>
    </row>
    <row r="95" spans="2:42">
      <c r="B95" s="834" t="str">
        <f t="shared" si="3"/>
        <v>|||</v>
      </c>
      <c r="H95" s="835">
        <f t="shared" si="5"/>
        <v>31</v>
      </c>
      <c r="AA95" s="887">
        <v>39356</v>
      </c>
      <c r="AB95" s="831" t="s">
        <v>672</v>
      </c>
      <c r="AC95" s="831">
        <v>0.85</v>
      </c>
      <c r="AD95" s="835">
        <v>39386</v>
      </c>
      <c r="AF95" s="831" t="s">
        <v>781</v>
      </c>
      <c r="AG95" s="831" t="s">
        <v>55</v>
      </c>
      <c r="AH95" s="831" t="s">
        <v>117</v>
      </c>
      <c r="AI95" s="831">
        <v>0</v>
      </c>
      <c r="AJ95" s="835">
        <v>39629</v>
      </c>
      <c r="AK95" s="831">
        <v>2470829</v>
      </c>
      <c r="AP95" s="831" t="str">
        <f t="shared" si="4"/>
        <v/>
      </c>
    </row>
    <row r="96" spans="2:42">
      <c r="B96" s="834" t="str">
        <f t="shared" si="3"/>
        <v>|||</v>
      </c>
      <c r="H96" s="835">
        <f t="shared" si="5"/>
        <v>31</v>
      </c>
      <c r="AA96" s="887">
        <v>39326</v>
      </c>
      <c r="AB96" s="831" t="s">
        <v>672</v>
      </c>
      <c r="AC96" s="831">
        <v>0.85</v>
      </c>
      <c r="AD96" s="835">
        <v>39353</v>
      </c>
      <c r="AF96" s="831" t="s">
        <v>782</v>
      </c>
      <c r="AG96" s="831" t="s">
        <v>55</v>
      </c>
      <c r="AH96" s="831" t="s">
        <v>123</v>
      </c>
      <c r="AI96" s="831">
        <v>0</v>
      </c>
      <c r="AJ96" s="835">
        <v>39629</v>
      </c>
      <c r="AK96" s="831">
        <v>20000000</v>
      </c>
      <c r="AP96" s="831" t="str">
        <f t="shared" si="4"/>
        <v/>
      </c>
    </row>
    <row r="97" spans="2:42">
      <c r="B97" s="834" t="str">
        <f t="shared" si="3"/>
        <v>|||</v>
      </c>
      <c r="H97" s="835">
        <f t="shared" si="5"/>
        <v>31</v>
      </c>
      <c r="AA97" s="887">
        <v>39295</v>
      </c>
      <c r="AB97" s="831" t="s">
        <v>672</v>
      </c>
      <c r="AC97" s="831">
        <v>0.85</v>
      </c>
      <c r="AD97" s="835">
        <v>39325</v>
      </c>
      <c r="AF97" s="831" t="s">
        <v>783</v>
      </c>
      <c r="AG97" s="831" t="s">
        <v>55</v>
      </c>
      <c r="AH97" s="831" t="s">
        <v>125</v>
      </c>
      <c r="AI97" s="831">
        <v>0</v>
      </c>
      <c r="AJ97" s="835">
        <v>39629</v>
      </c>
      <c r="AK97" s="831">
        <v>6958657</v>
      </c>
      <c r="AP97" s="831" t="str">
        <f t="shared" si="4"/>
        <v/>
      </c>
    </row>
    <row r="98" spans="2:42">
      <c r="B98" s="834" t="str">
        <f t="shared" si="3"/>
        <v>|||</v>
      </c>
      <c r="H98" s="835">
        <f t="shared" si="5"/>
        <v>31</v>
      </c>
      <c r="AA98" s="887">
        <v>39264</v>
      </c>
      <c r="AB98" s="831" t="s">
        <v>672</v>
      </c>
      <c r="AC98" s="831">
        <v>0.85</v>
      </c>
      <c r="AD98" s="835">
        <v>39294</v>
      </c>
      <c r="AF98" s="831" t="s">
        <v>784</v>
      </c>
      <c r="AG98" s="831" t="s">
        <v>55</v>
      </c>
      <c r="AH98" s="831" t="s">
        <v>66</v>
      </c>
      <c r="AI98" s="831">
        <v>0</v>
      </c>
      <c r="AJ98" s="835">
        <v>39660</v>
      </c>
      <c r="AK98" s="831">
        <v>19466464</v>
      </c>
      <c r="AP98" s="831" t="str">
        <f t="shared" si="4"/>
        <v/>
      </c>
    </row>
    <row r="99" spans="2:42">
      <c r="B99" s="834" t="str">
        <f t="shared" si="3"/>
        <v>|||</v>
      </c>
      <c r="H99" s="835">
        <f t="shared" si="5"/>
        <v>31</v>
      </c>
      <c r="AA99" s="887">
        <v>39234</v>
      </c>
      <c r="AB99" s="831" t="s">
        <v>672</v>
      </c>
      <c r="AC99" s="831">
        <v>0.86</v>
      </c>
      <c r="AD99" s="835">
        <v>39262</v>
      </c>
      <c r="AF99" s="831" t="s">
        <v>785</v>
      </c>
      <c r="AG99" s="831" t="s">
        <v>55</v>
      </c>
      <c r="AH99" s="831" t="s">
        <v>71</v>
      </c>
      <c r="AI99" s="831">
        <v>0</v>
      </c>
      <c r="AJ99" s="835">
        <v>39660</v>
      </c>
      <c r="AK99" s="831">
        <v>0</v>
      </c>
      <c r="AP99" s="831" t="str">
        <f t="shared" si="4"/>
        <v/>
      </c>
    </row>
    <row r="100" spans="2:42">
      <c r="B100" s="834" t="str">
        <f t="shared" si="3"/>
        <v>|||</v>
      </c>
      <c r="H100" s="835">
        <f t="shared" si="5"/>
        <v>31</v>
      </c>
      <c r="AA100" s="887">
        <v>39203</v>
      </c>
      <c r="AB100" s="831" t="s">
        <v>672</v>
      </c>
      <c r="AC100" s="831">
        <v>0.86</v>
      </c>
      <c r="AD100" s="835">
        <v>39233</v>
      </c>
      <c r="AF100" s="831" t="s">
        <v>786</v>
      </c>
      <c r="AG100" s="831" t="s">
        <v>55</v>
      </c>
      <c r="AH100" s="831" t="s">
        <v>76</v>
      </c>
      <c r="AI100" s="831">
        <v>0</v>
      </c>
      <c r="AJ100" s="835">
        <v>39660</v>
      </c>
      <c r="AK100" s="831">
        <v>0</v>
      </c>
      <c r="AP100" s="831" t="str">
        <f t="shared" si="4"/>
        <v/>
      </c>
    </row>
    <row r="101" spans="2:42">
      <c r="B101" s="834" t="str">
        <f t="shared" si="3"/>
        <v>|||</v>
      </c>
      <c r="H101" s="835">
        <f t="shared" si="5"/>
        <v>31</v>
      </c>
      <c r="AA101" s="887">
        <v>39173</v>
      </c>
      <c r="AB101" s="831" t="s">
        <v>672</v>
      </c>
      <c r="AC101" s="831">
        <v>0.87</v>
      </c>
      <c r="AD101" s="835">
        <v>39202</v>
      </c>
      <c r="AF101" s="831" t="s">
        <v>787</v>
      </c>
      <c r="AG101" s="831" t="s">
        <v>55</v>
      </c>
      <c r="AH101" s="831" t="s">
        <v>81</v>
      </c>
      <c r="AI101" s="831">
        <v>0</v>
      </c>
      <c r="AJ101" s="835">
        <v>39660</v>
      </c>
      <c r="AK101" s="831">
        <v>0</v>
      </c>
      <c r="AP101" s="831" t="str">
        <f t="shared" si="4"/>
        <v/>
      </c>
    </row>
    <row r="102" spans="2:42">
      <c r="B102" s="834" t="str">
        <f t="shared" si="3"/>
        <v>|||</v>
      </c>
      <c r="H102" s="835">
        <f t="shared" si="5"/>
        <v>31</v>
      </c>
      <c r="AA102" s="887">
        <v>39142</v>
      </c>
      <c r="AB102" s="831" t="s">
        <v>672</v>
      </c>
      <c r="AC102" s="831">
        <v>0.87</v>
      </c>
      <c r="AD102" s="835">
        <v>39171</v>
      </c>
      <c r="AF102" s="831" t="s">
        <v>788</v>
      </c>
      <c r="AG102" s="831" t="s">
        <v>55</v>
      </c>
      <c r="AH102" s="831" t="s">
        <v>10</v>
      </c>
      <c r="AI102" s="831">
        <v>0</v>
      </c>
      <c r="AJ102" s="835">
        <v>39660</v>
      </c>
      <c r="AK102" s="831">
        <v>147781259</v>
      </c>
      <c r="AP102" s="831" t="str">
        <f t="shared" si="4"/>
        <v/>
      </c>
    </row>
    <row r="103" spans="2:42">
      <c r="B103" s="834" t="str">
        <f t="shared" si="3"/>
        <v>|||</v>
      </c>
      <c r="H103" s="835">
        <f t="shared" si="5"/>
        <v>31</v>
      </c>
      <c r="AA103" s="887">
        <v>39114</v>
      </c>
      <c r="AB103" s="831" t="s">
        <v>672</v>
      </c>
      <c r="AC103" s="831">
        <v>0.87</v>
      </c>
      <c r="AD103" s="835">
        <v>39141</v>
      </c>
      <c r="AF103" s="831" t="s">
        <v>789</v>
      </c>
      <c r="AG103" s="831" t="s">
        <v>55</v>
      </c>
      <c r="AH103" s="831" t="s">
        <v>91</v>
      </c>
      <c r="AI103" s="831">
        <v>0</v>
      </c>
      <c r="AJ103" s="835">
        <v>39660</v>
      </c>
      <c r="AK103" s="831">
        <v>-3178871</v>
      </c>
      <c r="AP103" s="831" t="str">
        <f t="shared" si="4"/>
        <v/>
      </c>
    </row>
    <row r="104" spans="2:42">
      <c r="B104" s="834" t="str">
        <f t="shared" si="3"/>
        <v>|||</v>
      </c>
      <c r="H104" s="835">
        <f t="shared" si="5"/>
        <v>31</v>
      </c>
      <c r="AA104" s="887">
        <v>39083</v>
      </c>
      <c r="AB104" s="831" t="s">
        <v>672</v>
      </c>
      <c r="AC104" s="831">
        <v>0.87</v>
      </c>
      <c r="AD104" s="835">
        <v>39113</v>
      </c>
      <c r="AF104" s="831" t="s">
        <v>790</v>
      </c>
      <c r="AG104" s="831" t="s">
        <v>55</v>
      </c>
      <c r="AH104" s="831" t="s">
        <v>94</v>
      </c>
      <c r="AI104" s="831">
        <v>0</v>
      </c>
      <c r="AJ104" s="835">
        <v>39660</v>
      </c>
      <c r="AK104" s="831">
        <v>6864691</v>
      </c>
      <c r="AP104" s="831" t="str">
        <f t="shared" si="4"/>
        <v/>
      </c>
    </row>
    <row r="105" spans="2:42">
      <c r="B105" s="834" t="str">
        <f t="shared" si="3"/>
        <v>|||</v>
      </c>
      <c r="H105" s="835">
        <f t="shared" si="5"/>
        <v>31</v>
      </c>
      <c r="AA105" s="887">
        <v>39052</v>
      </c>
      <c r="AB105" s="831" t="s">
        <v>672</v>
      </c>
      <c r="AC105" s="831">
        <v>0.87490000000000001</v>
      </c>
      <c r="AD105" s="835">
        <v>39080</v>
      </c>
      <c r="AF105" s="831" t="s">
        <v>791</v>
      </c>
      <c r="AG105" s="831" t="s">
        <v>55</v>
      </c>
      <c r="AH105" s="831" t="s">
        <v>103</v>
      </c>
      <c r="AI105" s="831">
        <v>0</v>
      </c>
      <c r="AJ105" s="835">
        <v>39660</v>
      </c>
      <c r="AK105" s="831">
        <v>20760193</v>
      </c>
      <c r="AP105" s="831" t="str">
        <f t="shared" si="4"/>
        <v/>
      </c>
    </row>
    <row r="106" spans="2:42">
      <c r="B106" s="834" t="str">
        <f t="shared" si="3"/>
        <v>|||</v>
      </c>
      <c r="H106" s="835">
        <f t="shared" si="5"/>
        <v>31</v>
      </c>
      <c r="AA106" s="887">
        <v>39022</v>
      </c>
      <c r="AB106" s="831" t="s">
        <v>672</v>
      </c>
      <c r="AC106" s="831">
        <v>0.87709999999999999</v>
      </c>
      <c r="AD106" s="835">
        <v>39051</v>
      </c>
      <c r="AF106" s="831" t="s">
        <v>792</v>
      </c>
      <c r="AG106" s="831" t="s">
        <v>55</v>
      </c>
      <c r="AH106" s="831" t="s">
        <v>108</v>
      </c>
      <c r="AI106" s="831">
        <v>0</v>
      </c>
      <c r="AJ106" s="835">
        <v>39660</v>
      </c>
      <c r="AK106" s="831">
        <v>0</v>
      </c>
      <c r="AP106" s="831" t="str">
        <f t="shared" si="4"/>
        <v/>
      </c>
    </row>
    <row r="107" spans="2:42">
      <c r="B107" s="834" t="str">
        <f t="shared" si="3"/>
        <v>|||</v>
      </c>
      <c r="H107" s="835">
        <f t="shared" si="5"/>
        <v>31</v>
      </c>
      <c r="AA107" s="887">
        <v>38991</v>
      </c>
      <c r="AB107" s="831" t="s">
        <v>672</v>
      </c>
      <c r="AC107" s="831">
        <v>0.87519999999999998</v>
      </c>
      <c r="AD107" s="835">
        <v>39021</v>
      </c>
      <c r="AF107" s="831" t="s">
        <v>793</v>
      </c>
      <c r="AG107" s="831" t="s">
        <v>55</v>
      </c>
      <c r="AH107" s="831" t="s">
        <v>110</v>
      </c>
      <c r="AI107" s="831">
        <v>0</v>
      </c>
      <c r="AJ107" s="835">
        <v>39660</v>
      </c>
      <c r="AK107" s="831">
        <v>116976059</v>
      </c>
      <c r="AP107" s="831" t="str">
        <f t="shared" si="4"/>
        <v/>
      </c>
    </row>
    <row r="108" spans="2:42">
      <c r="B108" s="834" t="str">
        <f t="shared" si="3"/>
        <v>|||</v>
      </c>
      <c r="H108" s="835">
        <f t="shared" si="5"/>
        <v>31</v>
      </c>
      <c r="AA108" s="887">
        <v>38961</v>
      </c>
      <c r="AB108" s="831" t="s">
        <v>672</v>
      </c>
      <c r="AC108" s="831">
        <v>0.87849999999999995</v>
      </c>
      <c r="AD108" s="835">
        <v>38989</v>
      </c>
      <c r="AF108" s="831" t="s">
        <v>794</v>
      </c>
      <c r="AG108" s="831" t="s">
        <v>55</v>
      </c>
      <c r="AH108" s="831" t="s">
        <v>112</v>
      </c>
      <c r="AI108" s="831">
        <v>0</v>
      </c>
      <c r="AJ108" s="835">
        <v>39660</v>
      </c>
      <c r="AK108" s="831">
        <v>0</v>
      </c>
      <c r="AP108" s="831" t="str">
        <f t="shared" si="4"/>
        <v/>
      </c>
    </row>
    <row r="109" spans="2:42">
      <c r="B109" s="834" t="str">
        <f t="shared" si="3"/>
        <v>|||</v>
      </c>
      <c r="H109" s="835">
        <f t="shared" si="5"/>
        <v>31</v>
      </c>
      <c r="AA109" s="887">
        <v>38930</v>
      </c>
      <c r="AB109" s="831" t="s">
        <v>672</v>
      </c>
      <c r="AC109" s="831">
        <v>0.8841</v>
      </c>
      <c r="AD109" s="835">
        <v>38960</v>
      </c>
      <c r="AF109" s="831" t="s">
        <v>795</v>
      </c>
      <c r="AG109" s="831" t="s">
        <v>55</v>
      </c>
      <c r="AH109" s="831" t="s">
        <v>114</v>
      </c>
      <c r="AI109" s="831">
        <v>0</v>
      </c>
      <c r="AJ109" s="835">
        <v>39660</v>
      </c>
      <c r="AK109" s="831">
        <v>0</v>
      </c>
      <c r="AP109" s="831" t="str">
        <f t="shared" si="4"/>
        <v/>
      </c>
    </row>
    <row r="110" spans="2:42">
      <c r="B110" s="834" t="str">
        <f t="shared" si="3"/>
        <v>|||</v>
      </c>
      <c r="H110" s="835">
        <f t="shared" si="5"/>
        <v>31</v>
      </c>
      <c r="AA110" s="887">
        <v>38899</v>
      </c>
      <c r="AB110" s="831" t="s">
        <v>672</v>
      </c>
      <c r="AC110" s="831">
        <v>0.88819999999999999</v>
      </c>
      <c r="AD110" s="835">
        <v>38929</v>
      </c>
      <c r="AF110" s="831" t="s">
        <v>796</v>
      </c>
      <c r="AG110" s="831" t="s">
        <v>55</v>
      </c>
      <c r="AH110" s="831" t="s">
        <v>116</v>
      </c>
      <c r="AI110" s="831">
        <v>0</v>
      </c>
      <c r="AJ110" s="835">
        <v>39660</v>
      </c>
      <c r="AK110" s="831">
        <v>0</v>
      </c>
      <c r="AP110" s="831" t="str">
        <f t="shared" si="4"/>
        <v/>
      </c>
    </row>
    <row r="111" spans="2:42">
      <c r="B111" s="834" t="str">
        <f t="shared" si="3"/>
        <v>|||</v>
      </c>
      <c r="H111" s="835">
        <f t="shared" si="5"/>
        <v>31</v>
      </c>
      <c r="AA111" s="887">
        <v>38869</v>
      </c>
      <c r="AB111" s="831" t="s">
        <v>672</v>
      </c>
      <c r="AC111" s="831">
        <v>0.89710000000000001</v>
      </c>
      <c r="AD111" s="835">
        <v>38898</v>
      </c>
      <c r="AF111" s="831" t="s">
        <v>797</v>
      </c>
      <c r="AG111" s="831" t="s">
        <v>55</v>
      </c>
      <c r="AH111" s="831" t="s">
        <v>117</v>
      </c>
      <c r="AI111" s="831">
        <v>0</v>
      </c>
      <c r="AJ111" s="835">
        <v>39660</v>
      </c>
      <c r="AK111" s="831">
        <v>5011037</v>
      </c>
      <c r="AP111" s="831" t="str">
        <f t="shared" si="4"/>
        <v/>
      </c>
    </row>
    <row r="112" spans="2:42">
      <c r="B112" s="834" t="str">
        <f t="shared" si="3"/>
        <v>|||</v>
      </c>
      <c r="H112" s="835">
        <f t="shared" si="5"/>
        <v>31</v>
      </c>
      <c r="AA112" s="887">
        <v>38838</v>
      </c>
      <c r="AB112" s="831" t="s">
        <v>672</v>
      </c>
      <c r="AC112" s="831">
        <v>0.90100000000000002</v>
      </c>
      <c r="AD112" s="835">
        <v>38868</v>
      </c>
      <c r="AF112" s="831" t="s">
        <v>798</v>
      </c>
      <c r="AG112" s="831" t="s">
        <v>55</v>
      </c>
      <c r="AH112" s="831" t="s">
        <v>123</v>
      </c>
      <c r="AI112" s="831">
        <v>0</v>
      </c>
      <c r="AJ112" s="835">
        <v>39660</v>
      </c>
      <c r="AK112" s="831">
        <v>20000000</v>
      </c>
      <c r="AP112" s="831" t="str">
        <f t="shared" si="4"/>
        <v/>
      </c>
    </row>
    <row r="113" spans="2:42">
      <c r="B113" s="834" t="str">
        <f t="shared" si="3"/>
        <v>|||</v>
      </c>
      <c r="H113" s="835">
        <f t="shared" si="5"/>
        <v>31</v>
      </c>
      <c r="AA113" s="887">
        <v>38808</v>
      </c>
      <c r="AB113" s="831" t="s">
        <v>672</v>
      </c>
      <c r="AC113" s="831">
        <v>0.90659999999999996</v>
      </c>
      <c r="AD113" s="835">
        <v>38835</v>
      </c>
      <c r="AF113" s="831" t="s">
        <v>799</v>
      </c>
      <c r="AG113" s="831" t="s">
        <v>55</v>
      </c>
      <c r="AH113" s="831" t="s">
        <v>125</v>
      </c>
      <c r="AI113" s="831">
        <v>0</v>
      </c>
      <c r="AJ113" s="835">
        <v>39660</v>
      </c>
      <c r="AK113" s="831">
        <v>8186254</v>
      </c>
      <c r="AP113" s="831" t="str">
        <f t="shared" si="4"/>
        <v/>
      </c>
    </row>
    <row r="114" spans="2:42">
      <c r="B114" s="834" t="str">
        <f t="shared" si="3"/>
        <v>|||</v>
      </c>
      <c r="H114" s="835">
        <f t="shared" si="5"/>
        <v>31</v>
      </c>
      <c r="AA114" s="887">
        <v>38777</v>
      </c>
      <c r="AB114" s="831" t="s">
        <v>672</v>
      </c>
      <c r="AC114" s="831">
        <v>0.91400000000000003</v>
      </c>
      <c r="AD114" s="835">
        <v>38807</v>
      </c>
      <c r="AF114" s="831" t="s">
        <v>800</v>
      </c>
      <c r="AG114" s="831" t="s">
        <v>55</v>
      </c>
      <c r="AH114" s="831" t="s">
        <v>66</v>
      </c>
      <c r="AI114" s="831">
        <v>0</v>
      </c>
      <c r="AJ114" s="835">
        <v>39691</v>
      </c>
      <c r="AK114" s="831">
        <v>24757512</v>
      </c>
      <c r="AP114" s="831" t="str">
        <f t="shared" si="4"/>
        <v/>
      </c>
    </row>
    <row r="115" spans="2:42">
      <c r="B115" s="834" t="str">
        <f t="shared" si="3"/>
        <v>|||</v>
      </c>
      <c r="H115" s="835">
        <f t="shared" si="5"/>
        <v>31</v>
      </c>
      <c r="AA115" s="887">
        <v>38749</v>
      </c>
      <c r="AB115" s="831" t="s">
        <v>672</v>
      </c>
      <c r="AC115" s="831">
        <v>0.91520000000000001</v>
      </c>
      <c r="AD115" s="835">
        <v>38776</v>
      </c>
      <c r="AF115" s="831" t="s">
        <v>801</v>
      </c>
      <c r="AG115" s="831" t="s">
        <v>55</v>
      </c>
      <c r="AH115" s="831" t="s">
        <v>71</v>
      </c>
      <c r="AI115" s="831">
        <v>0</v>
      </c>
      <c r="AJ115" s="835">
        <v>39691</v>
      </c>
      <c r="AK115" s="831">
        <v>0</v>
      </c>
      <c r="AP115" s="831" t="str">
        <f t="shared" si="4"/>
        <v/>
      </c>
    </row>
    <row r="116" spans="2:42">
      <c r="B116" s="834" t="str">
        <f t="shared" si="3"/>
        <v>|||</v>
      </c>
      <c r="H116" s="835">
        <f t="shared" si="5"/>
        <v>31</v>
      </c>
      <c r="AA116" s="887">
        <v>38718</v>
      </c>
      <c r="AB116" s="831" t="s">
        <v>672</v>
      </c>
      <c r="AC116" s="831">
        <v>0.9173</v>
      </c>
      <c r="AD116" s="835">
        <v>38748</v>
      </c>
      <c r="AF116" s="831" t="s">
        <v>802</v>
      </c>
      <c r="AG116" s="831" t="s">
        <v>55</v>
      </c>
      <c r="AH116" s="831" t="s">
        <v>76</v>
      </c>
      <c r="AI116" s="831">
        <v>0</v>
      </c>
      <c r="AJ116" s="835">
        <v>39691</v>
      </c>
      <c r="AK116" s="831">
        <v>0</v>
      </c>
      <c r="AP116" s="831" t="str">
        <f t="shared" si="4"/>
        <v/>
      </c>
    </row>
    <row r="117" spans="2:42">
      <c r="B117" s="834" t="str">
        <f t="shared" si="3"/>
        <v>|||</v>
      </c>
      <c r="H117" s="835">
        <f t="shared" si="5"/>
        <v>31</v>
      </c>
      <c r="AF117" s="831" t="s">
        <v>803</v>
      </c>
      <c r="AG117" s="831" t="s">
        <v>55</v>
      </c>
      <c r="AH117" s="831" t="s">
        <v>81</v>
      </c>
      <c r="AI117" s="831">
        <v>0</v>
      </c>
      <c r="AJ117" s="835">
        <v>39691</v>
      </c>
      <c r="AK117" s="831">
        <v>0</v>
      </c>
      <c r="AP117" s="831" t="str">
        <f t="shared" si="4"/>
        <v/>
      </c>
    </row>
    <row r="118" spans="2:42">
      <c r="B118" s="834" t="str">
        <f t="shared" si="3"/>
        <v>|||</v>
      </c>
      <c r="H118" s="835">
        <f t="shared" si="5"/>
        <v>31</v>
      </c>
      <c r="AF118" s="831" t="s">
        <v>804</v>
      </c>
      <c r="AG118" s="831" t="s">
        <v>55</v>
      </c>
      <c r="AH118" s="831" t="s">
        <v>10</v>
      </c>
      <c r="AI118" s="831">
        <v>0</v>
      </c>
      <c r="AJ118" s="835">
        <v>39691</v>
      </c>
      <c r="AK118" s="831">
        <v>155778997</v>
      </c>
      <c r="AP118" s="831" t="str">
        <f t="shared" si="4"/>
        <v/>
      </c>
    </row>
    <row r="119" spans="2:42">
      <c r="B119" s="834" t="str">
        <f t="shared" si="3"/>
        <v>|||</v>
      </c>
      <c r="H119" s="835">
        <f t="shared" si="5"/>
        <v>31</v>
      </c>
      <c r="AF119" s="831" t="s">
        <v>805</v>
      </c>
      <c r="AG119" s="831" t="s">
        <v>55</v>
      </c>
      <c r="AH119" s="831" t="s">
        <v>91</v>
      </c>
      <c r="AI119" s="831">
        <v>0</v>
      </c>
      <c r="AJ119" s="835">
        <v>39691</v>
      </c>
      <c r="AK119" s="831">
        <v>-3426372</v>
      </c>
      <c r="AP119" s="831" t="str">
        <f t="shared" si="4"/>
        <v/>
      </c>
    </row>
    <row r="120" spans="2:42">
      <c r="B120" s="834" t="str">
        <f t="shared" si="3"/>
        <v>|||</v>
      </c>
      <c r="H120" s="835">
        <f t="shared" si="5"/>
        <v>31</v>
      </c>
      <c r="AF120" s="831" t="s">
        <v>806</v>
      </c>
      <c r="AG120" s="831" t="s">
        <v>55</v>
      </c>
      <c r="AH120" s="831" t="s">
        <v>94</v>
      </c>
      <c r="AI120" s="831">
        <v>0</v>
      </c>
      <c r="AJ120" s="835">
        <v>39691</v>
      </c>
      <c r="AK120" s="831">
        <v>6649118</v>
      </c>
      <c r="AP120" s="831" t="str">
        <f t="shared" si="4"/>
        <v/>
      </c>
    </row>
    <row r="121" spans="2:42">
      <c r="B121" s="834" t="str">
        <f t="shared" si="3"/>
        <v>|||</v>
      </c>
      <c r="H121" s="835">
        <f t="shared" si="5"/>
        <v>31</v>
      </c>
      <c r="AF121" s="831" t="s">
        <v>807</v>
      </c>
      <c r="AG121" s="831" t="s">
        <v>55</v>
      </c>
      <c r="AH121" s="831" t="s">
        <v>103</v>
      </c>
      <c r="AI121" s="831">
        <v>0</v>
      </c>
      <c r="AJ121" s="835">
        <v>39691</v>
      </c>
      <c r="AK121" s="831">
        <v>25092331</v>
      </c>
      <c r="AP121" s="831" t="str">
        <f t="shared" si="4"/>
        <v/>
      </c>
    </row>
    <row r="122" spans="2:42">
      <c r="B122" s="834" t="str">
        <f t="shared" si="3"/>
        <v>|||</v>
      </c>
      <c r="H122" s="835">
        <f t="shared" si="5"/>
        <v>31</v>
      </c>
      <c r="AF122" s="831" t="s">
        <v>808</v>
      </c>
      <c r="AG122" s="831" t="s">
        <v>55</v>
      </c>
      <c r="AH122" s="831" t="s">
        <v>108</v>
      </c>
      <c r="AI122" s="831">
        <v>0</v>
      </c>
      <c r="AJ122" s="835">
        <v>39691</v>
      </c>
      <c r="AK122" s="831">
        <v>0</v>
      </c>
      <c r="AP122" s="831" t="str">
        <f t="shared" si="4"/>
        <v/>
      </c>
    </row>
    <row r="123" spans="2:42">
      <c r="B123" s="834" t="str">
        <f t="shared" si="3"/>
        <v>|||</v>
      </c>
      <c r="H123" s="835">
        <f t="shared" si="5"/>
        <v>31</v>
      </c>
      <c r="AF123" s="831" t="s">
        <v>809</v>
      </c>
      <c r="AG123" s="831" t="s">
        <v>55</v>
      </c>
      <c r="AH123" s="831" t="s">
        <v>110</v>
      </c>
      <c r="AI123" s="831">
        <v>0</v>
      </c>
      <c r="AJ123" s="835">
        <v>39691</v>
      </c>
      <c r="AK123" s="831">
        <v>124926118</v>
      </c>
      <c r="AP123" s="831" t="str">
        <f t="shared" si="4"/>
        <v/>
      </c>
    </row>
    <row r="124" spans="2:42">
      <c r="B124" s="834" t="str">
        <f t="shared" si="3"/>
        <v>|||</v>
      </c>
      <c r="H124" s="835">
        <f t="shared" si="5"/>
        <v>31</v>
      </c>
      <c r="AF124" s="831" t="s">
        <v>810</v>
      </c>
      <c r="AG124" s="831" t="s">
        <v>55</v>
      </c>
      <c r="AH124" s="831" t="s">
        <v>112</v>
      </c>
      <c r="AI124" s="831">
        <v>0</v>
      </c>
      <c r="AJ124" s="835">
        <v>39691</v>
      </c>
      <c r="AK124" s="831">
        <v>0</v>
      </c>
      <c r="AP124" s="831" t="str">
        <f t="shared" si="4"/>
        <v/>
      </c>
    </row>
    <row r="125" spans="2:42">
      <c r="B125" s="834" t="str">
        <f t="shared" si="3"/>
        <v>|||</v>
      </c>
      <c r="H125" s="835">
        <f t="shared" si="5"/>
        <v>31</v>
      </c>
      <c r="AF125" s="831" t="s">
        <v>811</v>
      </c>
      <c r="AG125" s="831" t="s">
        <v>55</v>
      </c>
      <c r="AH125" s="831" t="s">
        <v>114</v>
      </c>
      <c r="AI125" s="831">
        <v>0</v>
      </c>
      <c r="AJ125" s="835">
        <v>39691</v>
      </c>
      <c r="AK125" s="831">
        <v>0</v>
      </c>
      <c r="AP125" s="831" t="str">
        <f t="shared" si="4"/>
        <v/>
      </c>
    </row>
    <row r="126" spans="2:42">
      <c r="B126" s="834" t="str">
        <f t="shared" si="3"/>
        <v>|||</v>
      </c>
      <c r="H126" s="835">
        <f t="shared" si="5"/>
        <v>31</v>
      </c>
      <c r="AF126" s="831" t="s">
        <v>812</v>
      </c>
      <c r="AG126" s="831" t="s">
        <v>55</v>
      </c>
      <c r="AH126" s="831" t="s">
        <v>116</v>
      </c>
      <c r="AI126" s="831">
        <v>0</v>
      </c>
      <c r="AJ126" s="835">
        <v>39691</v>
      </c>
      <c r="AK126" s="831">
        <v>0</v>
      </c>
      <c r="AP126" s="831" t="str">
        <f t="shared" si="4"/>
        <v/>
      </c>
    </row>
    <row r="127" spans="2:42">
      <c r="B127" s="834" t="str">
        <f t="shared" si="3"/>
        <v>|||</v>
      </c>
      <c r="H127" s="835">
        <f t="shared" si="5"/>
        <v>31</v>
      </c>
      <c r="AF127" s="831" t="s">
        <v>813</v>
      </c>
      <c r="AG127" s="831" t="s">
        <v>55</v>
      </c>
      <c r="AH127" s="831" t="s">
        <v>117</v>
      </c>
      <c r="AI127" s="831">
        <v>0</v>
      </c>
      <c r="AJ127" s="835">
        <v>39691</v>
      </c>
      <c r="AK127" s="831">
        <v>4608802</v>
      </c>
      <c r="AP127" s="831" t="str">
        <f t="shared" si="4"/>
        <v/>
      </c>
    </row>
    <row r="128" spans="2:42">
      <c r="B128" s="834" t="str">
        <f t="shared" si="3"/>
        <v>|||</v>
      </c>
      <c r="H128" s="835">
        <f t="shared" si="5"/>
        <v>31</v>
      </c>
      <c r="AF128" s="831" t="s">
        <v>814</v>
      </c>
      <c r="AG128" s="831" t="s">
        <v>55</v>
      </c>
      <c r="AH128" s="831" t="s">
        <v>123</v>
      </c>
      <c r="AI128" s="831">
        <v>0</v>
      </c>
      <c r="AJ128" s="835">
        <v>39691</v>
      </c>
      <c r="AK128" s="831">
        <v>20000000</v>
      </c>
      <c r="AP128" s="831" t="str">
        <f t="shared" si="4"/>
        <v/>
      </c>
    </row>
    <row r="129" spans="2:42">
      <c r="B129" s="834" t="str">
        <f t="shared" si="3"/>
        <v>|||</v>
      </c>
      <c r="H129" s="835">
        <f t="shared" si="5"/>
        <v>31</v>
      </c>
      <c r="AF129" s="831" t="s">
        <v>815</v>
      </c>
      <c r="AG129" s="831" t="s">
        <v>55</v>
      </c>
      <c r="AH129" s="831" t="s">
        <v>125</v>
      </c>
      <c r="AI129" s="831">
        <v>0</v>
      </c>
      <c r="AJ129" s="835">
        <v>39691</v>
      </c>
      <c r="AK129" s="831">
        <v>9132004</v>
      </c>
      <c r="AP129" s="831" t="str">
        <f t="shared" si="4"/>
        <v/>
      </c>
    </row>
    <row r="130" spans="2:42">
      <c r="B130" s="834" t="str">
        <f t="shared" si="3"/>
        <v>|||</v>
      </c>
      <c r="H130" s="835">
        <f t="shared" si="5"/>
        <v>31</v>
      </c>
      <c r="AF130" s="831" t="s">
        <v>816</v>
      </c>
      <c r="AG130" s="831" t="s">
        <v>55</v>
      </c>
      <c r="AH130" s="831" t="s">
        <v>66</v>
      </c>
      <c r="AI130" s="831">
        <v>0</v>
      </c>
      <c r="AJ130" s="835">
        <v>39721</v>
      </c>
      <c r="AK130" s="831">
        <v>19696741</v>
      </c>
      <c r="AP130" s="831" t="str">
        <f t="shared" si="4"/>
        <v/>
      </c>
    </row>
    <row r="131" spans="2:42">
      <c r="B131" s="834" t="str">
        <f t="shared" ref="B131:B194" si="6">C131&amp;"|"&amp;D131&amp;"|"&amp;E131&amp;"|"&amp;F131</f>
        <v>|||</v>
      </c>
      <c r="H131" s="835">
        <f t="shared" si="5"/>
        <v>31</v>
      </c>
      <c r="AF131" s="831" t="s">
        <v>817</v>
      </c>
      <c r="AG131" s="831" t="s">
        <v>55</v>
      </c>
      <c r="AH131" s="831" t="s">
        <v>71</v>
      </c>
      <c r="AI131" s="831">
        <v>0</v>
      </c>
      <c r="AJ131" s="835">
        <v>39721</v>
      </c>
      <c r="AK131" s="831">
        <v>0</v>
      </c>
      <c r="AP131" s="831" t="str">
        <f t="shared" ref="AP131:AP194" si="7">IF(AX131&lt;&gt;"",IF(OR(AX131=3,AX131=4),"Equity","Debt"),"")</f>
        <v/>
      </c>
    </row>
    <row r="132" spans="2:42">
      <c r="B132" s="834" t="str">
        <f t="shared" si="6"/>
        <v>|||</v>
      </c>
      <c r="H132" s="835">
        <f t="shared" ref="H132:H195" si="8">EOMONTH(L132,0)</f>
        <v>31</v>
      </c>
      <c r="AF132" s="831" t="s">
        <v>818</v>
      </c>
      <c r="AG132" s="831" t="s">
        <v>55</v>
      </c>
      <c r="AH132" s="831" t="s">
        <v>76</v>
      </c>
      <c r="AI132" s="831">
        <v>0</v>
      </c>
      <c r="AJ132" s="835">
        <v>39721</v>
      </c>
      <c r="AK132" s="831">
        <v>0</v>
      </c>
      <c r="AP132" s="831" t="str">
        <f t="shared" si="7"/>
        <v/>
      </c>
    </row>
    <row r="133" spans="2:42">
      <c r="B133" s="834" t="str">
        <f t="shared" si="6"/>
        <v>|||</v>
      </c>
      <c r="H133" s="835">
        <f t="shared" si="8"/>
        <v>31</v>
      </c>
      <c r="AF133" s="831" t="s">
        <v>819</v>
      </c>
      <c r="AG133" s="831" t="s">
        <v>55</v>
      </c>
      <c r="AH133" s="831" t="s">
        <v>81</v>
      </c>
      <c r="AI133" s="831">
        <v>0</v>
      </c>
      <c r="AJ133" s="835">
        <v>39721</v>
      </c>
      <c r="AK133" s="831">
        <v>0</v>
      </c>
      <c r="AP133" s="831" t="str">
        <f t="shared" si="7"/>
        <v/>
      </c>
    </row>
    <row r="134" spans="2:42">
      <c r="B134" s="834" t="str">
        <f t="shared" si="6"/>
        <v>|||</v>
      </c>
      <c r="H134" s="835">
        <f t="shared" si="8"/>
        <v>31</v>
      </c>
      <c r="AF134" s="831" t="s">
        <v>820</v>
      </c>
      <c r="AG134" s="831" t="s">
        <v>55</v>
      </c>
      <c r="AH134" s="831" t="s">
        <v>10</v>
      </c>
      <c r="AI134" s="831">
        <v>0</v>
      </c>
      <c r="AJ134" s="835">
        <v>39721</v>
      </c>
      <c r="AK134" s="831">
        <v>159890794</v>
      </c>
      <c r="AP134" s="831" t="str">
        <f t="shared" si="7"/>
        <v/>
      </c>
    </row>
    <row r="135" spans="2:42">
      <c r="B135" s="834" t="str">
        <f t="shared" si="6"/>
        <v>|||</v>
      </c>
      <c r="H135" s="835">
        <f t="shared" si="8"/>
        <v>31</v>
      </c>
      <c r="AF135" s="831" t="s">
        <v>821</v>
      </c>
      <c r="AG135" s="831" t="s">
        <v>55</v>
      </c>
      <c r="AH135" s="831" t="s">
        <v>91</v>
      </c>
      <c r="AI135" s="831">
        <v>0</v>
      </c>
      <c r="AJ135" s="835">
        <v>39721</v>
      </c>
      <c r="AK135" s="831">
        <v>-3548852</v>
      </c>
      <c r="AP135" s="831" t="str">
        <f t="shared" si="7"/>
        <v/>
      </c>
    </row>
    <row r="136" spans="2:42">
      <c r="B136" s="834" t="str">
        <f t="shared" si="6"/>
        <v>|||</v>
      </c>
      <c r="H136" s="835">
        <f t="shared" si="8"/>
        <v>31</v>
      </c>
      <c r="AF136" s="831" t="s">
        <v>822</v>
      </c>
      <c r="AG136" s="831" t="s">
        <v>55</v>
      </c>
      <c r="AH136" s="831" t="s">
        <v>94</v>
      </c>
      <c r="AI136" s="831">
        <v>0</v>
      </c>
      <c r="AJ136" s="835">
        <v>39721</v>
      </c>
      <c r="AK136" s="831">
        <v>6697021</v>
      </c>
      <c r="AP136" s="831" t="str">
        <f t="shared" si="7"/>
        <v/>
      </c>
    </row>
    <row r="137" spans="2:42">
      <c r="B137" s="834" t="str">
        <f t="shared" si="6"/>
        <v>|||</v>
      </c>
      <c r="H137" s="835">
        <f t="shared" si="8"/>
        <v>31</v>
      </c>
      <c r="AF137" s="831" t="s">
        <v>823</v>
      </c>
      <c r="AG137" s="831" t="s">
        <v>55</v>
      </c>
      <c r="AH137" s="831" t="s">
        <v>103</v>
      </c>
      <c r="AI137" s="831">
        <v>0</v>
      </c>
      <c r="AJ137" s="835">
        <v>39721</v>
      </c>
      <c r="AK137" s="831">
        <v>24145400</v>
      </c>
      <c r="AP137" s="831" t="str">
        <f t="shared" si="7"/>
        <v/>
      </c>
    </row>
    <row r="138" spans="2:42">
      <c r="B138" s="834" t="str">
        <f t="shared" si="6"/>
        <v>|||</v>
      </c>
      <c r="H138" s="835">
        <f t="shared" si="8"/>
        <v>31</v>
      </c>
      <c r="AF138" s="831" t="s">
        <v>824</v>
      </c>
      <c r="AG138" s="831" t="s">
        <v>55</v>
      </c>
      <c r="AH138" s="831" t="s">
        <v>108</v>
      </c>
      <c r="AI138" s="831">
        <v>0</v>
      </c>
      <c r="AJ138" s="835">
        <v>39721</v>
      </c>
      <c r="AK138" s="831">
        <v>0</v>
      </c>
      <c r="AP138" s="831" t="str">
        <f t="shared" si="7"/>
        <v/>
      </c>
    </row>
    <row r="139" spans="2:42">
      <c r="B139" s="834" t="str">
        <f t="shared" si="6"/>
        <v>|||</v>
      </c>
      <c r="H139" s="835">
        <f t="shared" si="8"/>
        <v>31</v>
      </c>
      <c r="AF139" s="831" t="s">
        <v>825</v>
      </c>
      <c r="AG139" s="831" t="s">
        <v>55</v>
      </c>
      <c r="AH139" s="831" t="s">
        <v>110</v>
      </c>
      <c r="AI139" s="831">
        <v>0</v>
      </c>
      <c r="AJ139" s="835">
        <v>39721</v>
      </c>
      <c r="AK139" s="831">
        <v>123976475</v>
      </c>
      <c r="AP139" s="831" t="str">
        <f t="shared" si="7"/>
        <v/>
      </c>
    </row>
    <row r="140" spans="2:42">
      <c r="B140" s="834" t="str">
        <f t="shared" si="6"/>
        <v>|||</v>
      </c>
      <c r="H140" s="835">
        <f t="shared" si="8"/>
        <v>31</v>
      </c>
      <c r="AF140" s="831" t="s">
        <v>826</v>
      </c>
      <c r="AG140" s="831" t="s">
        <v>55</v>
      </c>
      <c r="AH140" s="831" t="s">
        <v>112</v>
      </c>
      <c r="AI140" s="831">
        <v>0</v>
      </c>
      <c r="AJ140" s="835">
        <v>39721</v>
      </c>
      <c r="AK140" s="831">
        <v>0</v>
      </c>
      <c r="AP140" s="831" t="str">
        <f t="shared" si="7"/>
        <v/>
      </c>
    </row>
    <row r="141" spans="2:42">
      <c r="B141" s="834" t="str">
        <f t="shared" si="6"/>
        <v>|||</v>
      </c>
      <c r="H141" s="835">
        <f t="shared" si="8"/>
        <v>31</v>
      </c>
      <c r="AF141" s="831" t="s">
        <v>827</v>
      </c>
      <c r="AG141" s="831" t="s">
        <v>55</v>
      </c>
      <c r="AH141" s="831" t="s">
        <v>114</v>
      </c>
      <c r="AI141" s="831">
        <v>0</v>
      </c>
      <c r="AJ141" s="835">
        <v>39721</v>
      </c>
      <c r="AK141" s="831">
        <v>0</v>
      </c>
      <c r="AP141" s="831" t="str">
        <f t="shared" si="7"/>
        <v/>
      </c>
    </row>
    <row r="142" spans="2:42">
      <c r="B142" s="834" t="str">
        <f t="shared" si="6"/>
        <v>|||</v>
      </c>
      <c r="H142" s="835">
        <f t="shared" si="8"/>
        <v>31</v>
      </c>
      <c r="AF142" s="831" t="s">
        <v>828</v>
      </c>
      <c r="AG142" s="831" t="s">
        <v>55</v>
      </c>
      <c r="AH142" s="831" t="s">
        <v>116</v>
      </c>
      <c r="AI142" s="831">
        <v>0</v>
      </c>
      <c r="AJ142" s="835">
        <v>39721</v>
      </c>
      <c r="AK142" s="831">
        <v>0</v>
      </c>
      <c r="AP142" s="831" t="str">
        <f t="shared" si="7"/>
        <v/>
      </c>
    </row>
    <row r="143" spans="2:42">
      <c r="B143" s="834" t="str">
        <f t="shared" si="6"/>
        <v>|||</v>
      </c>
      <c r="H143" s="835">
        <f t="shared" si="8"/>
        <v>31</v>
      </c>
      <c r="AF143" s="831" t="s">
        <v>829</v>
      </c>
      <c r="AG143" s="831" t="s">
        <v>55</v>
      </c>
      <c r="AH143" s="831" t="s">
        <v>117</v>
      </c>
      <c r="AI143" s="831">
        <v>0</v>
      </c>
      <c r="AJ143" s="835">
        <v>39721</v>
      </c>
      <c r="AK143" s="831">
        <v>4490362</v>
      </c>
      <c r="AP143" s="831" t="str">
        <f t="shared" si="7"/>
        <v/>
      </c>
    </row>
    <row r="144" spans="2:42">
      <c r="B144" s="834" t="str">
        <f t="shared" si="6"/>
        <v>|||</v>
      </c>
      <c r="H144" s="835">
        <f t="shared" si="8"/>
        <v>31</v>
      </c>
      <c r="AF144" s="831" t="s">
        <v>830</v>
      </c>
      <c r="AG144" s="831" t="s">
        <v>55</v>
      </c>
      <c r="AH144" s="831" t="s">
        <v>123</v>
      </c>
      <c r="AI144" s="831">
        <v>0</v>
      </c>
      <c r="AJ144" s="835">
        <v>39721</v>
      </c>
      <c r="AK144" s="831">
        <v>20000000</v>
      </c>
      <c r="AP144" s="831" t="str">
        <f t="shared" si="7"/>
        <v/>
      </c>
    </row>
    <row r="145" spans="2:42">
      <c r="B145" s="834" t="str">
        <f t="shared" si="6"/>
        <v>|||</v>
      </c>
      <c r="H145" s="835">
        <f t="shared" si="8"/>
        <v>31</v>
      </c>
      <c r="AF145" s="831" t="s">
        <v>831</v>
      </c>
      <c r="AG145" s="831" t="s">
        <v>55</v>
      </c>
      <c r="AH145" s="831" t="s">
        <v>125</v>
      </c>
      <c r="AI145" s="831">
        <v>0</v>
      </c>
      <c r="AJ145" s="835">
        <v>39721</v>
      </c>
      <c r="AK145" s="831">
        <v>10123467</v>
      </c>
      <c r="AP145" s="831" t="str">
        <f t="shared" si="7"/>
        <v/>
      </c>
    </row>
    <row r="146" spans="2:42">
      <c r="B146" s="834" t="str">
        <f t="shared" si="6"/>
        <v>|||</v>
      </c>
      <c r="H146" s="835">
        <f t="shared" si="8"/>
        <v>31</v>
      </c>
      <c r="AF146" s="831" t="s">
        <v>832</v>
      </c>
      <c r="AG146" s="831" t="s">
        <v>55</v>
      </c>
      <c r="AH146" s="831" t="s">
        <v>66</v>
      </c>
      <c r="AI146" s="831">
        <v>0</v>
      </c>
      <c r="AJ146" s="835">
        <v>39752</v>
      </c>
      <c r="AK146" s="831">
        <v>28018663</v>
      </c>
      <c r="AP146" s="831" t="str">
        <f t="shared" si="7"/>
        <v/>
      </c>
    </row>
    <row r="147" spans="2:42">
      <c r="B147" s="834" t="str">
        <f t="shared" si="6"/>
        <v>|||</v>
      </c>
      <c r="H147" s="835">
        <f t="shared" si="8"/>
        <v>31</v>
      </c>
      <c r="AF147" s="831" t="s">
        <v>833</v>
      </c>
      <c r="AG147" s="831" t="s">
        <v>55</v>
      </c>
      <c r="AH147" s="831" t="s">
        <v>71</v>
      </c>
      <c r="AI147" s="831">
        <v>0</v>
      </c>
      <c r="AJ147" s="835">
        <v>39752</v>
      </c>
      <c r="AK147" s="831">
        <v>0</v>
      </c>
      <c r="AP147" s="831" t="str">
        <f t="shared" si="7"/>
        <v/>
      </c>
    </row>
    <row r="148" spans="2:42">
      <c r="B148" s="834" t="str">
        <f t="shared" si="6"/>
        <v>|||</v>
      </c>
      <c r="H148" s="835">
        <f t="shared" si="8"/>
        <v>31</v>
      </c>
      <c r="AF148" s="831" t="s">
        <v>834</v>
      </c>
      <c r="AG148" s="831" t="s">
        <v>55</v>
      </c>
      <c r="AH148" s="831" t="s">
        <v>76</v>
      </c>
      <c r="AI148" s="831">
        <v>0</v>
      </c>
      <c r="AJ148" s="835">
        <v>39752</v>
      </c>
      <c r="AK148" s="831">
        <v>0</v>
      </c>
      <c r="AP148" s="831" t="str">
        <f t="shared" si="7"/>
        <v/>
      </c>
    </row>
    <row r="149" spans="2:42">
      <c r="B149" s="834" t="str">
        <f t="shared" si="6"/>
        <v>|||</v>
      </c>
      <c r="H149" s="835">
        <f t="shared" si="8"/>
        <v>31</v>
      </c>
      <c r="AF149" s="831" t="s">
        <v>835</v>
      </c>
      <c r="AG149" s="831" t="s">
        <v>55</v>
      </c>
      <c r="AH149" s="831" t="s">
        <v>81</v>
      </c>
      <c r="AI149" s="831">
        <v>0</v>
      </c>
      <c r="AJ149" s="835">
        <v>39752</v>
      </c>
      <c r="AK149" s="831">
        <v>0</v>
      </c>
      <c r="AP149" s="831" t="str">
        <f t="shared" si="7"/>
        <v/>
      </c>
    </row>
    <row r="150" spans="2:42">
      <c r="B150" s="834" t="str">
        <f t="shared" si="6"/>
        <v>|||</v>
      </c>
      <c r="H150" s="835">
        <f t="shared" si="8"/>
        <v>31</v>
      </c>
      <c r="AF150" s="831" t="s">
        <v>836</v>
      </c>
      <c r="AG150" s="831" t="s">
        <v>55</v>
      </c>
      <c r="AH150" s="831" t="s">
        <v>10</v>
      </c>
      <c r="AI150" s="831">
        <v>0</v>
      </c>
      <c r="AJ150" s="835">
        <v>39752</v>
      </c>
      <c r="AK150" s="831">
        <v>160546171</v>
      </c>
      <c r="AP150" s="831" t="str">
        <f t="shared" si="7"/>
        <v/>
      </c>
    </row>
    <row r="151" spans="2:42">
      <c r="B151" s="834" t="str">
        <f t="shared" si="6"/>
        <v>|||</v>
      </c>
      <c r="H151" s="835">
        <f t="shared" si="8"/>
        <v>31</v>
      </c>
      <c r="AF151" s="831" t="s">
        <v>837</v>
      </c>
      <c r="AG151" s="831" t="s">
        <v>55</v>
      </c>
      <c r="AH151" s="831" t="s">
        <v>91</v>
      </c>
      <c r="AI151" s="831">
        <v>0</v>
      </c>
      <c r="AJ151" s="835">
        <v>39752</v>
      </c>
      <c r="AK151" s="831">
        <v>-3593964</v>
      </c>
      <c r="AP151" s="831" t="str">
        <f t="shared" si="7"/>
        <v/>
      </c>
    </row>
    <row r="152" spans="2:42">
      <c r="B152" s="834" t="str">
        <f t="shared" si="6"/>
        <v>|||</v>
      </c>
      <c r="H152" s="835">
        <f t="shared" si="8"/>
        <v>31</v>
      </c>
      <c r="AF152" s="831" t="s">
        <v>838</v>
      </c>
      <c r="AG152" s="831" t="s">
        <v>55</v>
      </c>
      <c r="AH152" s="831" t="s">
        <v>94</v>
      </c>
      <c r="AI152" s="831">
        <v>0</v>
      </c>
      <c r="AJ152" s="835">
        <v>39752</v>
      </c>
      <c r="AK152" s="831">
        <v>7698176</v>
      </c>
      <c r="AP152" s="831" t="str">
        <f t="shared" si="7"/>
        <v/>
      </c>
    </row>
    <row r="153" spans="2:42">
      <c r="B153" s="834" t="str">
        <f t="shared" si="6"/>
        <v>|||</v>
      </c>
      <c r="H153" s="835">
        <f t="shared" si="8"/>
        <v>31</v>
      </c>
      <c r="AF153" s="831" t="s">
        <v>839</v>
      </c>
      <c r="AG153" s="831" t="s">
        <v>55</v>
      </c>
      <c r="AH153" s="831" t="s">
        <v>103</v>
      </c>
      <c r="AI153" s="831">
        <v>0</v>
      </c>
      <c r="AJ153" s="835">
        <v>39752</v>
      </c>
      <c r="AK153" s="831">
        <v>24129382</v>
      </c>
      <c r="AP153" s="831" t="str">
        <f t="shared" si="7"/>
        <v/>
      </c>
    </row>
    <row r="154" spans="2:42">
      <c r="B154" s="834" t="str">
        <f t="shared" si="6"/>
        <v>|||</v>
      </c>
      <c r="H154" s="835">
        <f t="shared" si="8"/>
        <v>31</v>
      </c>
      <c r="AF154" s="831" t="s">
        <v>840</v>
      </c>
      <c r="AG154" s="831" t="s">
        <v>55</v>
      </c>
      <c r="AH154" s="831" t="s">
        <v>108</v>
      </c>
      <c r="AI154" s="831">
        <v>0</v>
      </c>
      <c r="AJ154" s="835">
        <v>39752</v>
      </c>
      <c r="AK154" s="831">
        <v>0</v>
      </c>
      <c r="AP154" s="831" t="str">
        <f t="shared" si="7"/>
        <v/>
      </c>
    </row>
    <row r="155" spans="2:42">
      <c r="B155" s="834" t="str">
        <f t="shared" si="6"/>
        <v>|||</v>
      </c>
      <c r="H155" s="835">
        <f t="shared" si="8"/>
        <v>31</v>
      </c>
      <c r="AF155" s="831" t="s">
        <v>841</v>
      </c>
      <c r="AG155" s="831" t="s">
        <v>55</v>
      </c>
      <c r="AH155" s="831" t="s">
        <v>110</v>
      </c>
      <c r="AI155" s="831">
        <v>0</v>
      </c>
      <c r="AJ155" s="835">
        <v>39752</v>
      </c>
      <c r="AK155" s="831">
        <v>131048304</v>
      </c>
      <c r="AP155" s="831" t="str">
        <f t="shared" si="7"/>
        <v/>
      </c>
    </row>
    <row r="156" spans="2:42">
      <c r="B156" s="834" t="str">
        <f t="shared" si="6"/>
        <v>|||</v>
      </c>
      <c r="H156" s="835">
        <f t="shared" si="8"/>
        <v>31</v>
      </c>
      <c r="AF156" s="831" t="s">
        <v>842</v>
      </c>
      <c r="AG156" s="831" t="s">
        <v>55</v>
      </c>
      <c r="AH156" s="831" t="s">
        <v>112</v>
      </c>
      <c r="AI156" s="831">
        <v>0</v>
      </c>
      <c r="AJ156" s="835">
        <v>39752</v>
      </c>
      <c r="AK156" s="831">
        <v>0</v>
      </c>
      <c r="AP156" s="831" t="str">
        <f t="shared" si="7"/>
        <v/>
      </c>
    </row>
    <row r="157" spans="2:42">
      <c r="B157" s="834" t="str">
        <f t="shared" si="6"/>
        <v>|||</v>
      </c>
      <c r="H157" s="835">
        <f t="shared" si="8"/>
        <v>31</v>
      </c>
      <c r="AF157" s="831" t="s">
        <v>843</v>
      </c>
      <c r="AG157" s="831" t="s">
        <v>55</v>
      </c>
      <c r="AH157" s="831" t="s">
        <v>114</v>
      </c>
      <c r="AI157" s="831">
        <v>0</v>
      </c>
      <c r="AJ157" s="835">
        <v>39752</v>
      </c>
      <c r="AK157" s="831">
        <v>0</v>
      </c>
      <c r="AP157" s="831" t="str">
        <f t="shared" si="7"/>
        <v/>
      </c>
    </row>
    <row r="158" spans="2:42">
      <c r="B158" s="834" t="str">
        <f t="shared" si="6"/>
        <v>|||</v>
      </c>
      <c r="H158" s="835">
        <f t="shared" si="8"/>
        <v>31</v>
      </c>
      <c r="AF158" s="831" t="s">
        <v>844</v>
      </c>
      <c r="AG158" s="831" t="s">
        <v>55</v>
      </c>
      <c r="AH158" s="831" t="s">
        <v>116</v>
      </c>
      <c r="AI158" s="831">
        <v>0</v>
      </c>
      <c r="AJ158" s="835">
        <v>39752</v>
      </c>
      <c r="AK158" s="831">
        <v>0</v>
      </c>
      <c r="AP158" s="831" t="str">
        <f t="shared" si="7"/>
        <v/>
      </c>
    </row>
    <row r="159" spans="2:42">
      <c r="B159" s="834" t="str">
        <f t="shared" si="6"/>
        <v>|||</v>
      </c>
      <c r="H159" s="835">
        <f t="shared" si="8"/>
        <v>31</v>
      </c>
      <c r="AF159" s="831" t="s">
        <v>845</v>
      </c>
      <c r="AG159" s="831" t="s">
        <v>55</v>
      </c>
      <c r="AH159" s="831" t="s">
        <v>117</v>
      </c>
      <c r="AI159" s="831">
        <v>0</v>
      </c>
      <c r="AJ159" s="835">
        <v>39752</v>
      </c>
      <c r="AK159" s="831">
        <v>5824364</v>
      </c>
      <c r="AP159" s="831" t="str">
        <f t="shared" si="7"/>
        <v/>
      </c>
    </row>
    <row r="160" spans="2:42">
      <c r="B160" s="834" t="str">
        <f t="shared" si="6"/>
        <v>|||</v>
      </c>
      <c r="H160" s="835">
        <f t="shared" si="8"/>
        <v>31</v>
      </c>
      <c r="AF160" s="831" t="s">
        <v>846</v>
      </c>
      <c r="AG160" s="831" t="s">
        <v>55</v>
      </c>
      <c r="AH160" s="831" t="s">
        <v>123</v>
      </c>
      <c r="AI160" s="831">
        <v>0</v>
      </c>
      <c r="AJ160" s="835">
        <v>39752</v>
      </c>
      <c r="AK160" s="831">
        <v>20000000</v>
      </c>
      <c r="AP160" s="831" t="str">
        <f t="shared" si="7"/>
        <v/>
      </c>
    </row>
    <row r="161" spans="2:42">
      <c r="B161" s="834" t="str">
        <f t="shared" si="6"/>
        <v>|||</v>
      </c>
      <c r="H161" s="835">
        <f t="shared" si="8"/>
        <v>31</v>
      </c>
      <c r="AF161" s="831" t="s">
        <v>847</v>
      </c>
      <c r="AG161" s="831" t="s">
        <v>55</v>
      </c>
      <c r="AH161" s="831" t="s">
        <v>125</v>
      </c>
      <c r="AI161" s="831">
        <v>0</v>
      </c>
      <c r="AJ161" s="835">
        <v>39752</v>
      </c>
      <c r="AK161" s="831">
        <v>11666995</v>
      </c>
      <c r="AP161" s="831" t="str">
        <f t="shared" si="7"/>
        <v/>
      </c>
    </row>
    <row r="162" spans="2:42">
      <c r="B162" s="834" t="str">
        <f t="shared" si="6"/>
        <v>|||</v>
      </c>
      <c r="H162" s="835">
        <f t="shared" si="8"/>
        <v>31</v>
      </c>
      <c r="AF162" s="831" t="s">
        <v>848</v>
      </c>
      <c r="AG162" s="831" t="s">
        <v>55</v>
      </c>
      <c r="AH162" s="831" t="s">
        <v>66</v>
      </c>
      <c r="AI162" s="831">
        <v>0</v>
      </c>
      <c r="AJ162" s="835">
        <v>39782</v>
      </c>
      <c r="AK162" s="831">
        <v>19786212</v>
      </c>
      <c r="AP162" s="831" t="str">
        <f t="shared" si="7"/>
        <v/>
      </c>
    </row>
    <row r="163" spans="2:42">
      <c r="B163" s="834" t="str">
        <f t="shared" si="6"/>
        <v>|||</v>
      </c>
      <c r="H163" s="835">
        <f t="shared" si="8"/>
        <v>31</v>
      </c>
      <c r="AF163" s="831" t="s">
        <v>849</v>
      </c>
      <c r="AG163" s="831" t="s">
        <v>55</v>
      </c>
      <c r="AH163" s="831" t="s">
        <v>71</v>
      </c>
      <c r="AI163" s="831">
        <v>0</v>
      </c>
      <c r="AJ163" s="835">
        <v>39782</v>
      </c>
      <c r="AK163" s="831">
        <v>0</v>
      </c>
      <c r="AP163" s="831" t="str">
        <f t="shared" si="7"/>
        <v/>
      </c>
    </row>
    <row r="164" spans="2:42">
      <c r="B164" s="834" t="str">
        <f t="shared" si="6"/>
        <v>|||</v>
      </c>
      <c r="H164" s="835">
        <f t="shared" si="8"/>
        <v>31</v>
      </c>
      <c r="AF164" s="831" t="s">
        <v>850</v>
      </c>
      <c r="AG164" s="831" t="s">
        <v>55</v>
      </c>
      <c r="AH164" s="831" t="s">
        <v>76</v>
      </c>
      <c r="AI164" s="831">
        <v>0</v>
      </c>
      <c r="AJ164" s="835">
        <v>39782</v>
      </c>
      <c r="AK164" s="831">
        <v>0</v>
      </c>
      <c r="AP164" s="831" t="str">
        <f t="shared" si="7"/>
        <v/>
      </c>
    </row>
    <row r="165" spans="2:42">
      <c r="B165" s="834" t="str">
        <f t="shared" si="6"/>
        <v>|||</v>
      </c>
      <c r="H165" s="835">
        <f t="shared" si="8"/>
        <v>31</v>
      </c>
      <c r="AF165" s="831" t="s">
        <v>851</v>
      </c>
      <c r="AG165" s="831" t="s">
        <v>55</v>
      </c>
      <c r="AH165" s="831" t="s">
        <v>81</v>
      </c>
      <c r="AI165" s="831">
        <v>0</v>
      </c>
      <c r="AJ165" s="835">
        <v>39782</v>
      </c>
      <c r="AK165" s="831">
        <v>0</v>
      </c>
      <c r="AP165" s="831" t="str">
        <f t="shared" si="7"/>
        <v/>
      </c>
    </row>
    <row r="166" spans="2:42">
      <c r="B166" s="834" t="str">
        <f t="shared" si="6"/>
        <v>|||</v>
      </c>
      <c r="H166" s="835">
        <f t="shared" si="8"/>
        <v>31</v>
      </c>
      <c r="AF166" s="831" t="s">
        <v>852</v>
      </c>
      <c r="AG166" s="831" t="s">
        <v>55</v>
      </c>
      <c r="AH166" s="831" t="s">
        <v>10</v>
      </c>
      <c r="AI166" s="831">
        <v>0</v>
      </c>
      <c r="AJ166" s="835">
        <v>39782</v>
      </c>
      <c r="AK166" s="831">
        <v>163584514</v>
      </c>
      <c r="AP166" s="831" t="str">
        <f t="shared" si="7"/>
        <v/>
      </c>
    </row>
    <row r="167" spans="2:42">
      <c r="B167" s="834" t="str">
        <f t="shared" si="6"/>
        <v>|||</v>
      </c>
      <c r="H167" s="835">
        <f t="shared" si="8"/>
        <v>31</v>
      </c>
      <c r="AF167" s="831" t="s">
        <v>853</v>
      </c>
      <c r="AG167" s="831" t="s">
        <v>55</v>
      </c>
      <c r="AH167" s="831" t="s">
        <v>91</v>
      </c>
      <c r="AI167" s="831">
        <v>0</v>
      </c>
      <c r="AJ167" s="835">
        <v>39782</v>
      </c>
      <c r="AK167" s="831">
        <v>-3808829</v>
      </c>
      <c r="AP167" s="831" t="str">
        <f t="shared" si="7"/>
        <v/>
      </c>
    </row>
    <row r="168" spans="2:42">
      <c r="B168" s="834" t="str">
        <f t="shared" si="6"/>
        <v>|||</v>
      </c>
      <c r="H168" s="835">
        <f t="shared" si="8"/>
        <v>31</v>
      </c>
      <c r="AF168" s="831" t="s">
        <v>854</v>
      </c>
      <c r="AG168" s="831" t="s">
        <v>55</v>
      </c>
      <c r="AH168" s="831" t="s">
        <v>94</v>
      </c>
      <c r="AI168" s="831">
        <v>0</v>
      </c>
      <c r="AJ168" s="835">
        <v>39782</v>
      </c>
      <c r="AK168" s="831">
        <v>7726195</v>
      </c>
      <c r="AP168" s="831" t="str">
        <f t="shared" si="7"/>
        <v/>
      </c>
    </row>
    <row r="169" spans="2:42">
      <c r="B169" s="834" t="str">
        <f t="shared" si="6"/>
        <v>|||</v>
      </c>
      <c r="H169" s="835">
        <f t="shared" si="8"/>
        <v>31</v>
      </c>
      <c r="AF169" s="831" t="s">
        <v>855</v>
      </c>
      <c r="AG169" s="831" t="s">
        <v>55</v>
      </c>
      <c r="AH169" s="831" t="s">
        <v>103</v>
      </c>
      <c r="AI169" s="831">
        <v>0</v>
      </c>
      <c r="AJ169" s="835">
        <v>39782</v>
      </c>
      <c r="AK169" s="831">
        <v>22157887</v>
      </c>
      <c r="AP169" s="831" t="str">
        <f t="shared" si="7"/>
        <v/>
      </c>
    </row>
    <row r="170" spans="2:42">
      <c r="B170" s="834" t="str">
        <f t="shared" si="6"/>
        <v>|||</v>
      </c>
      <c r="H170" s="835">
        <f t="shared" si="8"/>
        <v>31</v>
      </c>
      <c r="AF170" s="831" t="s">
        <v>856</v>
      </c>
      <c r="AG170" s="831" t="s">
        <v>55</v>
      </c>
      <c r="AH170" s="831" t="s">
        <v>108</v>
      </c>
      <c r="AI170" s="831">
        <v>0</v>
      </c>
      <c r="AJ170" s="835">
        <v>39782</v>
      </c>
      <c r="AK170" s="831">
        <v>0</v>
      </c>
      <c r="AP170" s="831" t="str">
        <f t="shared" si="7"/>
        <v/>
      </c>
    </row>
    <row r="171" spans="2:42">
      <c r="B171" s="834" t="str">
        <f t="shared" si="6"/>
        <v>|||</v>
      </c>
      <c r="H171" s="835">
        <f t="shared" si="8"/>
        <v>31</v>
      </c>
      <c r="AF171" s="831" t="s">
        <v>857</v>
      </c>
      <c r="AG171" s="831" t="s">
        <v>55</v>
      </c>
      <c r="AH171" s="831" t="s">
        <v>110</v>
      </c>
      <c r="AI171" s="831">
        <v>0</v>
      </c>
      <c r="AJ171" s="835">
        <v>39782</v>
      </c>
      <c r="AK171" s="831">
        <v>126990610</v>
      </c>
      <c r="AP171" s="831" t="str">
        <f t="shared" si="7"/>
        <v/>
      </c>
    </row>
    <row r="172" spans="2:42">
      <c r="B172" s="834" t="str">
        <f t="shared" si="6"/>
        <v>|||</v>
      </c>
      <c r="H172" s="835">
        <f t="shared" si="8"/>
        <v>31</v>
      </c>
      <c r="AF172" s="831" t="s">
        <v>858</v>
      </c>
      <c r="AG172" s="831" t="s">
        <v>55</v>
      </c>
      <c r="AH172" s="831" t="s">
        <v>112</v>
      </c>
      <c r="AI172" s="831">
        <v>0</v>
      </c>
      <c r="AJ172" s="835">
        <v>39782</v>
      </c>
      <c r="AK172" s="831">
        <v>0</v>
      </c>
      <c r="AP172" s="831" t="str">
        <f t="shared" si="7"/>
        <v/>
      </c>
    </row>
    <row r="173" spans="2:42">
      <c r="B173" s="834" t="str">
        <f t="shared" si="6"/>
        <v>|||</v>
      </c>
      <c r="H173" s="835">
        <f t="shared" si="8"/>
        <v>31</v>
      </c>
      <c r="AF173" s="831" t="s">
        <v>859</v>
      </c>
      <c r="AG173" s="831" t="s">
        <v>55</v>
      </c>
      <c r="AH173" s="831" t="s">
        <v>114</v>
      </c>
      <c r="AI173" s="831">
        <v>0</v>
      </c>
      <c r="AJ173" s="835">
        <v>39782</v>
      </c>
      <c r="AK173" s="831">
        <v>0</v>
      </c>
      <c r="AP173" s="831" t="str">
        <f t="shared" si="7"/>
        <v/>
      </c>
    </row>
    <row r="174" spans="2:42">
      <c r="B174" s="834" t="str">
        <f t="shared" si="6"/>
        <v>|||</v>
      </c>
      <c r="H174" s="835">
        <f t="shared" si="8"/>
        <v>31</v>
      </c>
      <c r="AF174" s="831" t="s">
        <v>860</v>
      </c>
      <c r="AG174" s="831" t="s">
        <v>55</v>
      </c>
      <c r="AH174" s="831" t="s">
        <v>116</v>
      </c>
      <c r="AI174" s="831">
        <v>0</v>
      </c>
      <c r="AJ174" s="835">
        <v>39782</v>
      </c>
      <c r="AK174" s="831">
        <v>0</v>
      </c>
      <c r="AP174" s="831" t="str">
        <f t="shared" si="7"/>
        <v/>
      </c>
    </row>
    <row r="175" spans="2:42">
      <c r="B175" s="834" t="str">
        <f t="shared" si="6"/>
        <v>|||</v>
      </c>
      <c r="H175" s="835">
        <f t="shared" si="8"/>
        <v>31</v>
      </c>
      <c r="AF175" s="831" t="s">
        <v>861</v>
      </c>
      <c r="AG175" s="831" t="s">
        <v>55</v>
      </c>
      <c r="AH175" s="831" t="s">
        <v>117</v>
      </c>
      <c r="AI175" s="831">
        <v>0</v>
      </c>
      <c r="AJ175" s="835">
        <v>39782</v>
      </c>
      <c r="AK175" s="831">
        <v>5588425</v>
      </c>
      <c r="AP175" s="831" t="str">
        <f t="shared" si="7"/>
        <v/>
      </c>
    </row>
    <row r="176" spans="2:42">
      <c r="B176" s="834" t="str">
        <f t="shared" si="6"/>
        <v>|||</v>
      </c>
      <c r="H176" s="835">
        <f t="shared" si="8"/>
        <v>31</v>
      </c>
      <c r="AF176" s="831" t="s">
        <v>862</v>
      </c>
      <c r="AG176" s="831" t="s">
        <v>55</v>
      </c>
      <c r="AH176" s="831" t="s">
        <v>123</v>
      </c>
      <c r="AI176" s="831">
        <v>0</v>
      </c>
      <c r="AJ176" s="835">
        <v>39782</v>
      </c>
      <c r="AK176" s="831">
        <v>20000000</v>
      </c>
      <c r="AP176" s="831" t="str">
        <f t="shared" si="7"/>
        <v/>
      </c>
    </row>
    <row r="177" spans="2:42">
      <c r="B177" s="834" t="str">
        <f t="shared" si="6"/>
        <v>|||</v>
      </c>
      <c r="H177" s="835">
        <f t="shared" si="8"/>
        <v>31</v>
      </c>
      <c r="AF177" s="831" t="s">
        <v>863</v>
      </c>
      <c r="AG177" s="831" t="s">
        <v>55</v>
      </c>
      <c r="AH177" s="831" t="s">
        <v>125</v>
      </c>
      <c r="AI177" s="831">
        <v>0</v>
      </c>
      <c r="AJ177" s="835">
        <v>39782</v>
      </c>
      <c r="AK177" s="831">
        <v>12551170</v>
      </c>
      <c r="AP177" s="831" t="str">
        <f t="shared" si="7"/>
        <v/>
      </c>
    </row>
    <row r="178" spans="2:42">
      <c r="B178" s="834" t="str">
        <f t="shared" si="6"/>
        <v>|||</v>
      </c>
      <c r="H178" s="835">
        <f t="shared" si="8"/>
        <v>31</v>
      </c>
      <c r="AF178" s="831" t="s">
        <v>864</v>
      </c>
      <c r="AG178" s="831" t="s">
        <v>55</v>
      </c>
      <c r="AH178" s="831" t="s">
        <v>66</v>
      </c>
      <c r="AI178" s="831">
        <v>0</v>
      </c>
      <c r="AJ178" s="835">
        <v>39813</v>
      </c>
      <c r="AK178" s="831">
        <v>23324466</v>
      </c>
      <c r="AP178" s="831" t="str">
        <f t="shared" si="7"/>
        <v/>
      </c>
    </row>
    <row r="179" spans="2:42">
      <c r="B179" s="834" t="str">
        <f t="shared" si="6"/>
        <v>|||</v>
      </c>
      <c r="H179" s="835">
        <f t="shared" si="8"/>
        <v>31</v>
      </c>
      <c r="AF179" s="831" t="s">
        <v>865</v>
      </c>
      <c r="AG179" s="831" t="s">
        <v>55</v>
      </c>
      <c r="AH179" s="831" t="s">
        <v>71</v>
      </c>
      <c r="AI179" s="831">
        <v>0</v>
      </c>
      <c r="AJ179" s="835">
        <v>39813</v>
      </c>
      <c r="AK179" s="831">
        <v>0</v>
      </c>
      <c r="AP179" s="831" t="str">
        <f t="shared" si="7"/>
        <v/>
      </c>
    </row>
    <row r="180" spans="2:42">
      <c r="B180" s="834" t="str">
        <f t="shared" si="6"/>
        <v>|||</v>
      </c>
      <c r="H180" s="835">
        <f t="shared" si="8"/>
        <v>31</v>
      </c>
      <c r="AF180" s="831" t="s">
        <v>866</v>
      </c>
      <c r="AG180" s="831" t="s">
        <v>55</v>
      </c>
      <c r="AH180" s="831" t="s">
        <v>76</v>
      </c>
      <c r="AI180" s="831">
        <v>0</v>
      </c>
      <c r="AJ180" s="835">
        <v>39813</v>
      </c>
      <c r="AK180" s="831">
        <v>0</v>
      </c>
      <c r="AP180" s="831" t="str">
        <f t="shared" si="7"/>
        <v/>
      </c>
    </row>
    <row r="181" spans="2:42">
      <c r="B181" s="834" t="str">
        <f t="shared" si="6"/>
        <v>|||</v>
      </c>
      <c r="H181" s="835">
        <f t="shared" si="8"/>
        <v>31</v>
      </c>
      <c r="AF181" s="831" t="s">
        <v>867</v>
      </c>
      <c r="AG181" s="831" t="s">
        <v>55</v>
      </c>
      <c r="AH181" s="831" t="s">
        <v>81</v>
      </c>
      <c r="AI181" s="831">
        <v>0</v>
      </c>
      <c r="AJ181" s="835">
        <v>39813</v>
      </c>
      <c r="AK181" s="831">
        <v>0</v>
      </c>
      <c r="AP181" s="831" t="str">
        <f t="shared" si="7"/>
        <v/>
      </c>
    </row>
    <row r="182" spans="2:42">
      <c r="B182" s="834" t="str">
        <f t="shared" si="6"/>
        <v>|||</v>
      </c>
      <c r="H182" s="835">
        <f t="shared" si="8"/>
        <v>31</v>
      </c>
      <c r="AF182" s="831" t="s">
        <v>868</v>
      </c>
      <c r="AG182" s="831" t="s">
        <v>55</v>
      </c>
      <c r="AH182" s="831" t="s">
        <v>10</v>
      </c>
      <c r="AI182" s="831">
        <v>0</v>
      </c>
      <c r="AJ182" s="835">
        <v>39813</v>
      </c>
      <c r="AK182" s="831">
        <v>166731011</v>
      </c>
      <c r="AP182" s="831" t="str">
        <f t="shared" si="7"/>
        <v/>
      </c>
    </row>
    <row r="183" spans="2:42">
      <c r="B183" s="834" t="str">
        <f t="shared" si="6"/>
        <v>|||</v>
      </c>
      <c r="H183" s="835">
        <f t="shared" si="8"/>
        <v>31</v>
      </c>
      <c r="AF183" s="831" t="s">
        <v>869</v>
      </c>
      <c r="AG183" s="831" t="s">
        <v>55</v>
      </c>
      <c r="AH183" s="831" t="s">
        <v>91</v>
      </c>
      <c r="AI183" s="831">
        <v>0</v>
      </c>
      <c r="AJ183" s="835">
        <v>39813</v>
      </c>
      <c r="AK183" s="831">
        <v>-4115638</v>
      </c>
      <c r="AP183" s="831" t="str">
        <f t="shared" si="7"/>
        <v/>
      </c>
    </row>
    <row r="184" spans="2:42">
      <c r="B184" s="834" t="str">
        <f t="shared" si="6"/>
        <v>|||</v>
      </c>
      <c r="H184" s="835">
        <f t="shared" si="8"/>
        <v>31</v>
      </c>
      <c r="AF184" s="831" t="s">
        <v>870</v>
      </c>
      <c r="AG184" s="831" t="s">
        <v>55</v>
      </c>
      <c r="AH184" s="831" t="s">
        <v>94</v>
      </c>
      <c r="AI184" s="831">
        <v>0</v>
      </c>
      <c r="AJ184" s="835">
        <v>39813</v>
      </c>
      <c r="AK184" s="831">
        <v>7649610</v>
      </c>
      <c r="AP184" s="831" t="str">
        <f t="shared" si="7"/>
        <v/>
      </c>
    </row>
    <row r="185" spans="2:42">
      <c r="B185" s="834" t="str">
        <f t="shared" si="6"/>
        <v>|||</v>
      </c>
      <c r="H185" s="835">
        <f t="shared" si="8"/>
        <v>31</v>
      </c>
      <c r="AF185" s="831" t="s">
        <v>871</v>
      </c>
      <c r="AG185" s="831" t="s">
        <v>55</v>
      </c>
      <c r="AH185" s="831" t="s">
        <v>103</v>
      </c>
      <c r="AI185" s="831">
        <v>0</v>
      </c>
      <c r="AJ185" s="835">
        <v>39813</v>
      </c>
      <c r="AK185" s="831">
        <v>21275502</v>
      </c>
      <c r="AP185" s="831" t="str">
        <f t="shared" si="7"/>
        <v/>
      </c>
    </row>
    <row r="186" spans="2:42">
      <c r="B186" s="834" t="str">
        <f t="shared" si="6"/>
        <v>|||</v>
      </c>
      <c r="H186" s="835">
        <f t="shared" si="8"/>
        <v>31</v>
      </c>
      <c r="AF186" s="831" t="s">
        <v>872</v>
      </c>
      <c r="AG186" s="831" t="s">
        <v>55</v>
      </c>
      <c r="AH186" s="831" t="s">
        <v>108</v>
      </c>
      <c r="AI186" s="831">
        <v>0</v>
      </c>
      <c r="AJ186" s="835">
        <v>39813</v>
      </c>
      <c r="AK186" s="831">
        <v>0</v>
      </c>
      <c r="AP186" s="831" t="str">
        <f t="shared" si="7"/>
        <v/>
      </c>
    </row>
    <row r="187" spans="2:42">
      <c r="B187" s="834" t="str">
        <f t="shared" si="6"/>
        <v>|||</v>
      </c>
      <c r="H187" s="835">
        <f t="shared" si="8"/>
        <v>31</v>
      </c>
      <c r="AF187" s="831" t="s">
        <v>873</v>
      </c>
      <c r="AG187" s="831" t="s">
        <v>55</v>
      </c>
      <c r="AH187" s="831" t="s">
        <v>110</v>
      </c>
      <c r="AI187" s="831">
        <v>0</v>
      </c>
      <c r="AJ187" s="835">
        <v>39813</v>
      </c>
      <c r="AK187" s="831">
        <v>134787935</v>
      </c>
      <c r="AP187" s="831" t="str">
        <f t="shared" si="7"/>
        <v/>
      </c>
    </row>
    <row r="188" spans="2:42">
      <c r="B188" s="834" t="str">
        <f t="shared" si="6"/>
        <v>|||</v>
      </c>
      <c r="H188" s="835">
        <f t="shared" si="8"/>
        <v>31</v>
      </c>
      <c r="AF188" s="831" t="s">
        <v>874</v>
      </c>
      <c r="AG188" s="831" t="s">
        <v>55</v>
      </c>
      <c r="AH188" s="831" t="s">
        <v>112</v>
      </c>
      <c r="AI188" s="831">
        <v>0</v>
      </c>
      <c r="AJ188" s="835">
        <v>39813</v>
      </c>
      <c r="AK188" s="831">
        <v>0</v>
      </c>
      <c r="AP188" s="831" t="str">
        <f t="shared" si="7"/>
        <v/>
      </c>
    </row>
    <row r="189" spans="2:42">
      <c r="B189" s="834" t="str">
        <f t="shared" si="6"/>
        <v>|||</v>
      </c>
      <c r="H189" s="835">
        <f t="shared" si="8"/>
        <v>31</v>
      </c>
      <c r="AF189" s="831" t="s">
        <v>875</v>
      </c>
      <c r="AG189" s="831" t="s">
        <v>55</v>
      </c>
      <c r="AH189" s="831" t="s">
        <v>114</v>
      </c>
      <c r="AI189" s="831">
        <v>0</v>
      </c>
      <c r="AJ189" s="835">
        <v>39813</v>
      </c>
      <c r="AK189" s="831">
        <v>0</v>
      </c>
      <c r="AP189" s="831" t="str">
        <f t="shared" si="7"/>
        <v/>
      </c>
    </row>
    <row r="190" spans="2:42">
      <c r="B190" s="834" t="str">
        <f t="shared" si="6"/>
        <v>|||</v>
      </c>
      <c r="H190" s="835">
        <f t="shared" si="8"/>
        <v>31</v>
      </c>
      <c r="AF190" s="831" t="s">
        <v>876</v>
      </c>
      <c r="AG190" s="831" t="s">
        <v>55</v>
      </c>
      <c r="AH190" s="831" t="s">
        <v>116</v>
      </c>
      <c r="AI190" s="831">
        <v>0</v>
      </c>
      <c r="AJ190" s="835">
        <v>39813</v>
      </c>
      <c r="AK190" s="831">
        <v>0</v>
      </c>
      <c r="AP190" s="831" t="str">
        <f t="shared" si="7"/>
        <v/>
      </c>
    </row>
    <row r="191" spans="2:42">
      <c r="B191" s="834" t="str">
        <f t="shared" si="6"/>
        <v>|||</v>
      </c>
      <c r="H191" s="835">
        <f t="shared" si="8"/>
        <v>31</v>
      </c>
      <c r="AF191" s="831" t="s">
        <v>877</v>
      </c>
      <c r="AG191" s="831" t="s">
        <v>55</v>
      </c>
      <c r="AH191" s="831" t="s">
        <v>117</v>
      </c>
      <c r="AI191" s="831">
        <v>0</v>
      </c>
      <c r="AJ191" s="835">
        <v>39813</v>
      </c>
      <c r="AK191" s="831">
        <v>4150111</v>
      </c>
      <c r="AP191" s="831" t="str">
        <f t="shared" si="7"/>
        <v/>
      </c>
    </row>
    <row r="192" spans="2:42">
      <c r="B192" s="834" t="str">
        <f t="shared" si="6"/>
        <v>|||</v>
      </c>
      <c r="H192" s="835">
        <f t="shared" si="8"/>
        <v>31</v>
      </c>
      <c r="AF192" s="831" t="s">
        <v>878</v>
      </c>
      <c r="AG192" s="831" t="s">
        <v>55</v>
      </c>
      <c r="AH192" s="831" t="s">
        <v>123</v>
      </c>
      <c r="AI192" s="831">
        <v>0</v>
      </c>
      <c r="AJ192" s="835">
        <v>39813</v>
      </c>
      <c r="AK192" s="831">
        <v>20000000</v>
      </c>
      <c r="AP192" s="831" t="str">
        <f t="shared" si="7"/>
        <v/>
      </c>
    </row>
    <row r="193" spans="2:42">
      <c r="B193" s="834" t="str">
        <f t="shared" si="6"/>
        <v>|||</v>
      </c>
      <c r="H193" s="835">
        <f t="shared" si="8"/>
        <v>31</v>
      </c>
      <c r="AF193" s="831" t="s">
        <v>879</v>
      </c>
      <c r="AG193" s="831" t="s">
        <v>55</v>
      </c>
      <c r="AH193" s="831" t="s">
        <v>125</v>
      </c>
      <c r="AI193" s="831">
        <v>0</v>
      </c>
      <c r="AJ193" s="835">
        <v>39813</v>
      </c>
      <c r="AK193" s="831">
        <v>13375901</v>
      </c>
      <c r="AP193" s="831" t="str">
        <f t="shared" si="7"/>
        <v/>
      </c>
    </row>
    <row r="194" spans="2:42">
      <c r="B194" s="834" t="str">
        <f t="shared" si="6"/>
        <v>|||</v>
      </c>
      <c r="H194" s="835">
        <f t="shared" si="8"/>
        <v>31</v>
      </c>
      <c r="AF194" s="831" t="s">
        <v>880</v>
      </c>
      <c r="AG194" s="831" t="s">
        <v>55</v>
      </c>
      <c r="AH194" s="831" t="s">
        <v>66</v>
      </c>
      <c r="AI194" s="831">
        <v>0</v>
      </c>
      <c r="AJ194" s="835">
        <v>39844</v>
      </c>
      <c r="AK194" s="831">
        <v>33051704</v>
      </c>
      <c r="AP194" s="831" t="str">
        <f t="shared" si="7"/>
        <v/>
      </c>
    </row>
    <row r="195" spans="2:42">
      <c r="B195" s="834" t="str">
        <f t="shared" ref="B195:B258" si="9">C195&amp;"|"&amp;D195&amp;"|"&amp;E195&amp;"|"&amp;F195</f>
        <v>|||</v>
      </c>
      <c r="H195" s="835">
        <f t="shared" si="8"/>
        <v>31</v>
      </c>
      <c r="AF195" s="831" t="s">
        <v>881</v>
      </c>
      <c r="AG195" s="831" t="s">
        <v>55</v>
      </c>
      <c r="AH195" s="831" t="s">
        <v>71</v>
      </c>
      <c r="AI195" s="831">
        <v>0</v>
      </c>
      <c r="AJ195" s="835">
        <v>39844</v>
      </c>
      <c r="AK195" s="831">
        <v>0</v>
      </c>
      <c r="AP195" s="831" t="str">
        <f t="shared" ref="AP195:AP258" si="10">IF(AX195&lt;&gt;"",IF(OR(AX195=3,AX195=4),"Equity","Debt"),"")</f>
        <v/>
      </c>
    </row>
    <row r="196" spans="2:42">
      <c r="B196" s="834" t="str">
        <f t="shared" si="9"/>
        <v>|||</v>
      </c>
      <c r="H196" s="835">
        <f t="shared" ref="H196:H259" si="11">EOMONTH(L196,0)</f>
        <v>31</v>
      </c>
      <c r="AF196" s="831" t="s">
        <v>882</v>
      </c>
      <c r="AG196" s="831" t="s">
        <v>55</v>
      </c>
      <c r="AH196" s="831" t="s">
        <v>76</v>
      </c>
      <c r="AI196" s="831">
        <v>0</v>
      </c>
      <c r="AJ196" s="835">
        <v>39844</v>
      </c>
      <c r="AK196" s="831">
        <v>33051704</v>
      </c>
      <c r="AP196" s="831" t="str">
        <f t="shared" si="10"/>
        <v/>
      </c>
    </row>
    <row r="197" spans="2:42">
      <c r="B197" s="834" t="str">
        <f t="shared" si="9"/>
        <v>|||</v>
      </c>
      <c r="H197" s="835">
        <f t="shared" si="11"/>
        <v>31</v>
      </c>
      <c r="AF197" s="831" t="s">
        <v>883</v>
      </c>
      <c r="AG197" s="831" t="s">
        <v>55</v>
      </c>
      <c r="AH197" s="831" t="s">
        <v>81</v>
      </c>
      <c r="AI197" s="831">
        <v>0</v>
      </c>
      <c r="AJ197" s="835">
        <v>39844</v>
      </c>
      <c r="AK197" s="831">
        <v>0</v>
      </c>
      <c r="AP197" s="831" t="str">
        <f t="shared" si="10"/>
        <v/>
      </c>
    </row>
    <row r="198" spans="2:42">
      <c r="B198" s="834" t="str">
        <f t="shared" si="9"/>
        <v>|||</v>
      </c>
      <c r="H198" s="835">
        <f t="shared" si="11"/>
        <v>31</v>
      </c>
      <c r="AF198" s="831" t="s">
        <v>884</v>
      </c>
      <c r="AG198" s="831" t="s">
        <v>55</v>
      </c>
      <c r="AH198" s="831" t="s">
        <v>10</v>
      </c>
      <c r="AI198" s="831">
        <v>0</v>
      </c>
      <c r="AJ198" s="835">
        <v>39844</v>
      </c>
      <c r="AK198" s="831">
        <v>171123604</v>
      </c>
      <c r="AP198" s="831" t="str">
        <f t="shared" si="10"/>
        <v/>
      </c>
    </row>
    <row r="199" spans="2:42">
      <c r="B199" s="834" t="str">
        <f t="shared" si="9"/>
        <v>|||</v>
      </c>
      <c r="H199" s="835">
        <f t="shared" si="11"/>
        <v>31</v>
      </c>
      <c r="AF199" s="831" t="s">
        <v>885</v>
      </c>
      <c r="AG199" s="831" t="s">
        <v>55</v>
      </c>
      <c r="AH199" s="831" t="s">
        <v>91</v>
      </c>
      <c r="AI199" s="831">
        <v>0</v>
      </c>
      <c r="AJ199" s="835">
        <v>39844</v>
      </c>
      <c r="AK199" s="831">
        <v>-4323413</v>
      </c>
      <c r="AP199" s="831" t="str">
        <f t="shared" si="10"/>
        <v/>
      </c>
    </row>
    <row r="200" spans="2:42">
      <c r="B200" s="834" t="str">
        <f t="shared" si="9"/>
        <v>|||</v>
      </c>
      <c r="H200" s="835">
        <f t="shared" si="11"/>
        <v>31</v>
      </c>
      <c r="AF200" s="831" t="s">
        <v>886</v>
      </c>
      <c r="AG200" s="831" t="s">
        <v>55</v>
      </c>
      <c r="AH200" s="831" t="s">
        <v>94</v>
      </c>
      <c r="AI200" s="831">
        <v>0</v>
      </c>
      <c r="AJ200" s="835">
        <v>39844</v>
      </c>
      <c r="AK200" s="831">
        <v>8186989</v>
      </c>
      <c r="AP200" s="831" t="str">
        <f t="shared" si="10"/>
        <v/>
      </c>
    </row>
    <row r="201" spans="2:42">
      <c r="B201" s="834" t="str">
        <f t="shared" si="9"/>
        <v>|||</v>
      </c>
      <c r="H201" s="835">
        <f t="shared" si="11"/>
        <v>31</v>
      </c>
      <c r="AF201" s="831" t="s">
        <v>887</v>
      </c>
      <c r="AG201" s="831" t="s">
        <v>55</v>
      </c>
      <c r="AH201" s="831" t="s">
        <v>103</v>
      </c>
      <c r="AI201" s="831">
        <v>0</v>
      </c>
      <c r="AJ201" s="835">
        <v>39844</v>
      </c>
      <c r="AK201" s="831">
        <v>23700878</v>
      </c>
      <c r="AP201" s="831" t="str">
        <f t="shared" si="10"/>
        <v/>
      </c>
    </row>
    <row r="202" spans="2:42">
      <c r="B202" s="834" t="str">
        <f t="shared" si="9"/>
        <v>|||</v>
      </c>
      <c r="H202" s="835">
        <f t="shared" si="11"/>
        <v>31</v>
      </c>
      <c r="AF202" s="831" t="s">
        <v>888</v>
      </c>
      <c r="AG202" s="831" t="s">
        <v>55</v>
      </c>
      <c r="AH202" s="831" t="s">
        <v>108</v>
      </c>
      <c r="AI202" s="831">
        <v>0</v>
      </c>
      <c r="AJ202" s="835">
        <v>39844</v>
      </c>
      <c r="AK202" s="831">
        <v>0</v>
      </c>
      <c r="AP202" s="831" t="str">
        <f t="shared" si="10"/>
        <v/>
      </c>
    </row>
    <row r="203" spans="2:42">
      <c r="B203" s="834" t="str">
        <f t="shared" si="9"/>
        <v>|||</v>
      </c>
      <c r="H203" s="835">
        <f t="shared" si="11"/>
        <v>31</v>
      </c>
      <c r="AF203" s="831" t="s">
        <v>889</v>
      </c>
      <c r="AG203" s="831" t="s">
        <v>55</v>
      </c>
      <c r="AH203" s="831" t="s">
        <v>110</v>
      </c>
      <c r="AI203" s="831">
        <v>0</v>
      </c>
      <c r="AJ203" s="835">
        <v>39844</v>
      </c>
      <c r="AK203" s="831">
        <v>143755019</v>
      </c>
      <c r="AP203" s="831" t="str">
        <f t="shared" si="10"/>
        <v/>
      </c>
    </row>
    <row r="204" spans="2:42">
      <c r="B204" s="834" t="str">
        <f t="shared" si="9"/>
        <v>|||</v>
      </c>
      <c r="H204" s="835">
        <f t="shared" si="11"/>
        <v>31</v>
      </c>
      <c r="AF204" s="831" t="s">
        <v>890</v>
      </c>
      <c r="AG204" s="831" t="s">
        <v>55</v>
      </c>
      <c r="AH204" s="831" t="s">
        <v>112</v>
      </c>
      <c r="AI204" s="831">
        <v>0</v>
      </c>
      <c r="AJ204" s="835">
        <v>39844</v>
      </c>
      <c r="AK204" s="831">
        <v>0</v>
      </c>
      <c r="AP204" s="831" t="str">
        <f t="shared" si="10"/>
        <v/>
      </c>
    </row>
    <row r="205" spans="2:42">
      <c r="B205" s="834" t="str">
        <f t="shared" si="9"/>
        <v>|||</v>
      </c>
      <c r="H205" s="835">
        <f t="shared" si="11"/>
        <v>31</v>
      </c>
      <c r="AF205" s="831" t="s">
        <v>891</v>
      </c>
      <c r="AG205" s="831" t="s">
        <v>55</v>
      </c>
      <c r="AH205" s="831" t="s">
        <v>114</v>
      </c>
      <c r="AI205" s="831">
        <v>0</v>
      </c>
      <c r="AJ205" s="835">
        <v>39844</v>
      </c>
      <c r="AK205" s="831">
        <v>135518193</v>
      </c>
      <c r="AP205" s="831" t="str">
        <f t="shared" si="10"/>
        <v/>
      </c>
    </row>
    <row r="206" spans="2:42">
      <c r="B206" s="834" t="str">
        <f t="shared" si="9"/>
        <v>|||</v>
      </c>
      <c r="H206" s="835">
        <f t="shared" si="11"/>
        <v>31</v>
      </c>
      <c r="AF206" s="831" t="s">
        <v>892</v>
      </c>
      <c r="AG206" s="831" t="s">
        <v>55</v>
      </c>
      <c r="AH206" s="831" t="s">
        <v>116</v>
      </c>
      <c r="AI206" s="831">
        <v>0</v>
      </c>
      <c r="AJ206" s="835">
        <v>39844</v>
      </c>
      <c r="AK206" s="831">
        <v>8236826</v>
      </c>
      <c r="AP206" s="831" t="str">
        <f t="shared" si="10"/>
        <v/>
      </c>
    </row>
    <row r="207" spans="2:42">
      <c r="B207" s="834" t="str">
        <f t="shared" si="9"/>
        <v>|||</v>
      </c>
      <c r="H207" s="835">
        <f t="shared" si="11"/>
        <v>31</v>
      </c>
      <c r="AF207" s="831" t="s">
        <v>893</v>
      </c>
      <c r="AG207" s="831" t="s">
        <v>55</v>
      </c>
      <c r="AH207" s="831" t="s">
        <v>117</v>
      </c>
      <c r="AI207" s="831">
        <v>0</v>
      </c>
      <c r="AJ207" s="835">
        <v>39844</v>
      </c>
      <c r="AK207" s="831">
        <v>5716126</v>
      </c>
      <c r="AP207" s="831" t="str">
        <f t="shared" si="10"/>
        <v/>
      </c>
    </row>
    <row r="208" spans="2:42">
      <c r="B208" s="834" t="str">
        <f t="shared" si="9"/>
        <v>|||</v>
      </c>
      <c r="H208" s="835">
        <f t="shared" si="11"/>
        <v>31</v>
      </c>
      <c r="AF208" s="831" t="s">
        <v>894</v>
      </c>
      <c r="AG208" s="831" t="s">
        <v>55</v>
      </c>
      <c r="AH208" s="831" t="s">
        <v>123</v>
      </c>
      <c r="AI208" s="831">
        <v>0</v>
      </c>
      <c r="AJ208" s="835">
        <v>39844</v>
      </c>
      <c r="AK208" s="831">
        <v>20000000</v>
      </c>
      <c r="AP208" s="831" t="str">
        <f t="shared" si="10"/>
        <v/>
      </c>
    </row>
    <row r="209" spans="2:42">
      <c r="B209" s="834" t="str">
        <f t="shared" si="9"/>
        <v>|||</v>
      </c>
      <c r="H209" s="835">
        <f t="shared" si="11"/>
        <v>31</v>
      </c>
      <c r="AF209" s="831" t="s">
        <v>895</v>
      </c>
      <c r="AG209" s="831" t="s">
        <v>55</v>
      </c>
      <c r="AH209" s="831" t="s">
        <v>125</v>
      </c>
      <c r="AI209" s="831">
        <v>0</v>
      </c>
      <c r="AJ209" s="835">
        <v>39844</v>
      </c>
      <c r="AK209" s="831">
        <v>14866861</v>
      </c>
      <c r="AP209" s="831" t="str">
        <f t="shared" si="10"/>
        <v/>
      </c>
    </row>
    <row r="210" spans="2:42">
      <c r="B210" s="834" t="str">
        <f t="shared" si="9"/>
        <v>|||</v>
      </c>
      <c r="H210" s="835">
        <f t="shared" si="11"/>
        <v>31</v>
      </c>
      <c r="AF210" s="831" t="s">
        <v>896</v>
      </c>
      <c r="AG210" s="831" t="s">
        <v>55</v>
      </c>
      <c r="AH210" s="831" t="s">
        <v>66</v>
      </c>
      <c r="AI210" s="831">
        <v>0</v>
      </c>
      <c r="AJ210" s="835">
        <v>39872</v>
      </c>
      <c r="AK210" s="831">
        <v>24584534</v>
      </c>
      <c r="AP210" s="831" t="str">
        <f t="shared" si="10"/>
        <v/>
      </c>
    </row>
    <row r="211" spans="2:42">
      <c r="B211" s="834" t="str">
        <f t="shared" si="9"/>
        <v>|||</v>
      </c>
      <c r="H211" s="835">
        <f t="shared" si="11"/>
        <v>31</v>
      </c>
      <c r="AF211" s="831" t="s">
        <v>897</v>
      </c>
      <c r="AG211" s="831" t="s">
        <v>55</v>
      </c>
      <c r="AH211" s="831" t="s">
        <v>71</v>
      </c>
      <c r="AI211" s="831">
        <v>0</v>
      </c>
      <c r="AJ211" s="835">
        <v>39872</v>
      </c>
      <c r="AK211" s="831">
        <v>0</v>
      </c>
      <c r="AP211" s="831" t="str">
        <f t="shared" si="10"/>
        <v/>
      </c>
    </row>
    <row r="212" spans="2:42">
      <c r="B212" s="834" t="str">
        <f t="shared" si="9"/>
        <v>|||</v>
      </c>
      <c r="H212" s="835">
        <f t="shared" si="11"/>
        <v>31</v>
      </c>
      <c r="AF212" s="831" t="s">
        <v>898</v>
      </c>
      <c r="AG212" s="831" t="s">
        <v>55</v>
      </c>
      <c r="AH212" s="831" t="s">
        <v>76</v>
      </c>
      <c r="AI212" s="831">
        <v>0</v>
      </c>
      <c r="AJ212" s="835">
        <v>39872</v>
      </c>
      <c r="AK212" s="831">
        <v>24584534</v>
      </c>
      <c r="AP212" s="831" t="str">
        <f t="shared" si="10"/>
        <v/>
      </c>
    </row>
    <row r="213" spans="2:42">
      <c r="B213" s="834" t="str">
        <f t="shared" si="9"/>
        <v>|||</v>
      </c>
      <c r="H213" s="835">
        <f t="shared" si="11"/>
        <v>31</v>
      </c>
      <c r="AF213" s="831" t="s">
        <v>899</v>
      </c>
      <c r="AG213" s="831" t="s">
        <v>55</v>
      </c>
      <c r="AH213" s="831" t="s">
        <v>81</v>
      </c>
      <c r="AI213" s="831">
        <v>0</v>
      </c>
      <c r="AJ213" s="835">
        <v>39872</v>
      </c>
      <c r="AK213" s="831">
        <v>0</v>
      </c>
      <c r="AP213" s="831" t="str">
        <f t="shared" si="10"/>
        <v/>
      </c>
    </row>
    <row r="214" spans="2:42">
      <c r="B214" s="834" t="str">
        <f t="shared" si="9"/>
        <v>|||</v>
      </c>
      <c r="H214" s="835">
        <f t="shared" si="11"/>
        <v>31</v>
      </c>
      <c r="AF214" s="831" t="s">
        <v>900</v>
      </c>
      <c r="AG214" s="831" t="s">
        <v>55</v>
      </c>
      <c r="AH214" s="831" t="s">
        <v>10</v>
      </c>
      <c r="AI214" s="831">
        <v>0</v>
      </c>
      <c r="AJ214" s="835">
        <v>39872</v>
      </c>
      <c r="AK214" s="831">
        <v>179333859</v>
      </c>
      <c r="AP214" s="831" t="str">
        <f t="shared" si="10"/>
        <v/>
      </c>
    </row>
    <row r="215" spans="2:42">
      <c r="B215" s="834" t="str">
        <f t="shared" si="9"/>
        <v>|||</v>
      </c>
      <c r="H215" s="835">
        <f t="shared" si="11"/>
        <v>31</v>
      </c>
      <c r="AF215" s="831" t="s">
        <v>901</v>
      </c>
      <c r="AG215" s="831" t="s">
        <v>55</v>
      </c>
      <c r="AH215" s="831" t="s">
        <v>91</v>
      </c>
      <c r="AI215" s="831">
        <v>0</v>
      </c>
      <c r="AJ215" s="835">
        <v>39872</v>
      </c>
      <c r="AK215" s="831">
        <v>-4755010</v>
      </c>
      <c r="AP215" s="831" t="str">
        <f t="shared" si="10"/>
        <v/>
      </c>
    </row>
    <row r="216" spans="2:42">
      <c r="B216" s="834" t="str">
        <f t="shared" si="9"/>
        <v>|||</v>
      </c>
      <c r="H216" s="835">
        <f t="shared" si="11"/>
        <v>31</v>
      </c>
      <c r="AF216" s="831" t="s">
        <v>902</v>
      </c>
      <c r="AG216" s="831" t="s">
        <v>55</v>
      </c>
      <c r="AH216" s="831" t="s">
        <v>94</v>
      </c>
      <c r="AI216" s="831">
        <v>0</v>
      </c>
      <c r="AJ216" s="835">
        <v>39872</v>
      </c>
      <c r="AK216" s="831">
        <v>8608797</v>
      </c>
      <c r="AP216" s="831" t="str">
        <f t="shared" si="10"/>
        <v/>
      </c>
    </row>
    <row r="217" spans="2:42">
      <c r="B217" s="834" t="str">
        <f t="shared" si="9"/>
        <v>|||</v>
      </c>
      <c r="H217" s="835">
        <f t="shared" si="11"/>
        <v>31</v>
      </c>
      <c r="AF217" s="831" t="s">
        <v>903</v>
      </c>
      <c r="AG217" s="831" t="s">
        <v>55</v>
      </c>
      <c r="AH217" s="831" t="s">
        <v>103</v>
      </c>
      <c r="AI217" s="831">
        <v>0</v>
      </c>
      <c r="AJ217" s="835">
        <v>39872</v>
      </c>
      <c r="AK217" s="831">
        <v>25047633</v>
      </c>
      <c r="AP217" s="831" t="str">
        <f t="shared" si="10"/>
        <v/>
      </c>
    </row>
    <row r="218" spans="2:42">
      <c r="B218" s="834" t="str">
        <f t="shared" si="9"/>
        <v>|||</v>
      </c>
      <c r="H218" s="835">
        <f t="shared" si="11"/>
        <v>31</v>
      </c>
      <c r="AF218" s="831" t="s">
        <v>904</v>
      </c>
      <c r="AG218" s="831" t="s">
        <v>55</v>
      </c>
      <c r="AH218" s="831" t="s">
        <v>108</v>
      </c>
      <c r="AI218" s="831">
        <v>0</v>
      </c>
      <c r="AJ218" s="835">
        <v>39872</v>
      </c>
      <c r="AK218" s="831">
        <v>0</v>
      </c>
      <c r="AP218" s="831" t="str">
        <f t="shared" si="10"/>
        <v/>
      </c>
    </row>
    <row r="219" spans="2:42">
      <c r="B219" s="834" t="str">
        <f t="shared" si="9"/>
        <v>|||</v>
      </c>
      <c r="H219" s="835">
        <f t="shared" si="11"/>
        <v>31</v>
      </c>
      <c r="AF219" s="831" t="s">
        <v>905</v>
      </c>
      <c r="AG219" s="831" t="s">
        <v>55</v>
      </c>
      <c r="AH219" s="831" t="s">
        <v>110</v>
      </c>
      <c r="AI219" s="831">
        <v>0</v>
      </c>
      <c r="AJ219" s="835">
        <v>39872</v>
      </c>
      <c r="AK219" s="831">
        <v>142023887</v>
      </c>
      <c r="AP219" s="831" t="str">
        <f t="shared" si="10"/>
        <v/>
      </c>
    </row>
    <row r="220" spans="2:42">
      <c r="B220" s="834" t="str">
        <f t="shared" si="9"/>
        <v>|||</v>
      </c>
      <c r="H220" s="835">
        <f t="shared" si="11"/>
        <v>31</v>
      </c>
      <c r="AF220" s="831" t="s">
        <v>906</v>
      </c>
      <c r="AG220" s="831" t="s">
        <v>55</v>
      </c>
      <c r="AH220" s="831" t="s">
        <v>112</v>
      </c>
      <c r="AI220" s="831">
        <v>0</v>
      </c>
      <c r="AJ220" s="835">
        <v>39872</v>
      </c>
      <c r="AK220" s="831">
        <v>0</v>
      </c>
      <c r="AP220" s="831" t="str">
        <f t="shared" si="10"/>
        <v/>
      </c>
    </row>
    <row r="221" spans="2:42">
      <c r="B221" s="834" t="str">
        <f t="shared" si="9"/>
        <v>|||</v>
      </c>
      <c r="H221" s="835">
        <f t="shared" si="11"/>
        <v>31</v>
      </c>
      <c r="AF221" s="831" t="s">
        <v>907</v>
      </c>
      <c r="AG221" s="831" t="s">
        <v>55</v>
      </c>
      <c r="AH221" s="831" t="s">
        <v>114</v>
      </c>
      <c r="AI221" s="831">
        <v>0</v>
      </c>
      <c r="AJ221" s="835">
        <v>39872</v>
      </c>
      <c r="AK221" s="831">
        <v>133802376</v>
      </c>
      <c r="AP221" s="831" t="str">
        <f t="shared" si="10"/>
        <v/>
      </c>
    </row>
    <row r="222" spans="2:42">
      <c r="B222" s="834" t="str">
        <f t="shared" si="9"/>
        <v>|||</v>
      </c>
      <c r="H222" s="835">
        <f t="shared" si="11"/>
        <v>31</v>
      </c>
      <c r="AF222" s="831" t="s">
        <v>908</v>
      </c>
      <c r="AG222" s="831" t="s">
        <v>55</v>
      </c>
      <c r="AH222" s="831" t="s">
        <v>116</v>
      </c>
      <c r="AI222" s="831">
        <v>0</v>
      </c>
      <c r="AJ222" s="835">
        <v>39872</v>
      </c>
      <c r="AK222" s="831">
        <v>8221511</v>
      </c>
      <c r="AP222" s="831" t="str">
        <f t="shared" si="10"/>
        <v/>
      </c>
    </row>
    <row r="223" spans="2:42">
      <c r="B223" s="834" t="str">
        <f t="shared" si="9"/>
        <v>|||</v>
      </c>
      <c r="H223" s="835">
        <f t="shared" si="11"/>
        <v>31</v>
      </c>
      <c r="AF223" s="831" t="s">
        <v>909</v>
      </c>
      <c r="AG223" s="831" t="s">
        <v>55</v>
      </c>
      <c r="AH223" s="831" t="s">
        <v>117</v>
      </c>
      <c r="AI223" s="831">
        <v>0</v>
      </c>
      <c r="AJ223" s="835">
        <v>39872</v>
      </c>
      <c r="AK223" s="831">
        <v>4807160</v>
      </c>
      <c r="AP223" s="831" t="str">
        <f t="shared" si="10"/>
        <v/>
      </c>
    </row>
    <row r="224" spans="2:42">
      <c r="B224" s="834" t="str">
        <f t="shared" si="9"/>
        <v>|||</v>
      </c>
      <c r="H224" s="835">
        <f t="shared" si="11"/>
        <v>31</v>
      </c>
      <c r="AF224" s="831" t="s">
        <v>910</v>
      </c>
      <c r="AG224" s="831" t="s">
        <v>55</v>
      </c>
      <c r="AH224" s="831" t="s">
        <v>123</v>
      </c>
      <c r="AI224" s="831">
        <v>0</v>
      </c>
      <c r="AJ224" s="835">
        <v>39872</v>
      </c>
      <c r="AK224" s="831">
        <v>20000000</v>
      </c>
      <c r="AP224" s="831" t="str">
        <f t="shared" si="10"/>
        <v/>
      </c>
    </row>
    <row r="225" spans="2:42">
      <c r="B225" s="834" t="str">
        <f t="shared" si="9"/>
        <v>|||</v>
      </c>
      <c r="H225" s="835">
        <f t="shared" si="11"/>
        <v>31</v>
      </c>
      <c r="AF225" s="831" t="s">
        <v>911</v>
      </c>
      <c r="AG225" s="831" t="s">
        <v>55</v>
      </c>
      <c r="AH225" s="831" t="s">
        <v>125</v>
      </c>
      <c r="AI225" s="831">
        <v>0</v>
      </c>
      <c r="AJ225" s="835">
        <v>39872</v>
      </c>
      <c r="AK225" s="831">
        <v>15893500</v>
      </c>
      <c r="AP225" s="831" t="str">
        <f t="shared" si="10"/>
        <v/>
      </c>
    </row>
    <row r="226" spans="2:42">
      <c r="B226" s="834" t="str">
        <f t="shared" si="9"/>
        <v>|||</v>
      </c>
      <c r="H226" s="835">
        <f t="shared" si="11"/>
        <v>31</v>
      </c>
      <c r="AF226" s="831" t="s">
        <v>912</v>
      </c>
      <c r="AG226" s="831" t="s">
        <v>55</v>
      </c>
      <c r="AH226" s="831" t="s">
        <v>66</v>
      </c>
      <c r="AI226" s="831">
        <v>0</v>
      </c>
      <c r="AJ226" s="835">
        <v>39903</v>
      </c>
      <c r="AK226" s="831">
        <v>37222573</v>
      </c>
      <c r="AP226" s="831" t="str">
        <f t="shared" si="10"/>
        <v/>
      </c>
    </row>
    <row r="227" spans="2:42">
      <c r="B227" s="834" t="str">
        <f t="shared" si="9"/>
        <v>|||</v>
      </c>
      <c r="H227" s="835">
        <f t="shared" si="11"/>
        <v>31</v>
      </c>
      <c r="AF227" s="831" t="s">
        <v>913</v>
      </c>
      <c r="AG227" s="831" t="s">
        <v>55</v>
      </c>
      <c r="AH227" s="831" t="s">
        <v>71</v>
      </c>
      <c r="AI227" s="831">
        <v>0</v>
      </c>
      <c r="AJ227" s="835">
        <v>39903</v>
      </c>
      <c r="AK227" s="831">
        <v>0</v>
      </c>
      <c r="AP227" s="831" t="str">
        <f t="shared" si="10"/>
        <v/>
      </c>
    </row>
    <row r="228" spans="2:42">
      <c r="B228" s="834" t="str">
        <f t="shared" si="9"/>
        <v>|||</v>
      </c>
      <c r="H228" s="835">
        <f t="shared" si="11"/>
        <v>31</v>
      </c>
      <c r="AF228" s="831" t="s">
        <v>914</v>
      </c>
      <c r="AG228" s="831" t="s">
        <v>55</v>
      </c>
      <c r="AH228" s="831" t="s">
        <v>76</v>
      </c>
      <c r="AI228" s="831">
        <v>0</v>
      </c>
      <c r="AJ228" s="835">
        <v>39903</v>
      </c>
      <c r="AK228" s="831">
        <v>30616409</v>
      </c>
      <c r="AP228" s="831" t="str">
        <f t="shared" si="10"/>
        <v/>
      </c>
    </row>
    <row r="229" spans="2:42">
      <c r="B229" s="834" t="str">
        <f t="shared" si="9"/>
        <v>|||</v>
      </c>
      <c r="H229" s="835">
        <f t="shared" si="11"/>
        <v>31</v>
      </c>
      <c r="AF229" s="831" t="s">
        <v>915</v>
      </c>
      <c r="AG229" s="831" t="s">
        <v>55</v>
      </c>
      <c r="AH229" s="831" t="s">
        <v>81</v>
      </c>
      <c r="AI229" s="831">
        <v>0</v>
      </c>
      <c r="AJ229" s="835">
        <v>39903</v>
      </c>
      <c r="AK229" s="831">
        <v>6606164</v>
      </c>
      <c r="AP229" s="831" t="str">
        <f t="shared" si="10"/>
        <v/>
      </c>
    </row>
    <row r="230" spans="2:42">
      <c r="B230" s="834" t="str">
        <f t="shared" si="9"/>
        <v>|||</v>
      </c>
      <c r="H230" s="835">
        <f t="shared" si="11"/>
        <v>31</v>
      </c>
      <c r="AF230" s="831" t="s">
        <v>916</v>
      </c>
      <c r="AG230" s="831" t="s">
        <v>55</v>
      </c>
      <c r="AH230" s="831" t="s">
        <v>10</v>
      </c>
      <c r="AI230" s="831">
        <v>0</v>
      </c>
      <c r="AJ230" s="835">
        <v>39903</v>
      </c>
      <c r="AK230" s="831">
        <v>183178312</v>
      </c>
      <c r="AP230" s="831" t="str">
        <f t="shared" si="10"/>
        <v/>
      </c>
    </row>
    <row r="231" spans="2:42">
      <c r="B231" s="834" t="str">
        <f t="shared" si="9"/>
        <v>|||</v>
      </c>
      <c r="H231" s="835">
        <f t="shared" si="11"/>
        <v>31</v>
      </c>
      <c r="AF231" s="831" t="s">
        <v>917</v>
      </c>
      <c r="AG231" s="831" t="s">
        <v>55</v>
      </c>
      <c r="AH231" s="831" t="s">
        <v>91</v>
      </c>
      <c r="AI231" s="831">
        <v>0</v>
      </c>
      <c r="AJ231" s="835">
        <v>39903</v>
      </c>
      <c r="AK231" s="831">
        <v>-4886000</v>
      </c>
      <c r="AP231" s="831" t="str">
        <f t="shared" si="10"/>
        <v/>
      </c>
    </row>
    <row r="232" spans="2:42">
      <c r="B232" s="834" t="str">
        <f t="shared" si="9"/>
        <v>|||</v>
      </c>
      <c r="H232" s="835">
        <f t="shared" si="11"/>
        <v>31</v>
      </c>
      <c r="AF232" s="831" t="s">
        <v>918</v>
      </c>
      <c r="AG232" s="831" t="s">
        <v>55</v>
      </c>
      <c r="AH232" s="831" t="s">
        <v>94</v>
      </c>
      <c r="AI232" s="831">
        <v>0</v>
      </c>
      <c r="AJ232" s="835">
        <v>39903</v>
      </c>
      <c r="AK232" s="831">
        <v>8779317</v>
      </c>
      <c r="AP232" s="831" t="str">
        <f t="shared" si="10"/>
        <v/>
      </c>
    </row>
    <row r="233" spans="2:42">
      <c r="B233" s="834" t="str">
        <f t="shared" si="9"/>
        <v>|||</v>
      </c>
      <c r="H233" s="835">
        <f t="shared" si="11"/>
        <v>31</v>
      </c>
      <c r="AF233" s="831" t="s">
        <v>919</v>
      </c>
      <c r="AG233" s="831" t="s">
        <v>55</v>
      </c>
      <c r="AH233" s="831" t="s">
        <v>103</v>
      </c>
      <c r="AI233" s="831">
        <v>0</v>
      </c>
      <c r="AJ233" s="835">
        <v>39903</v>
      </c>
      <c r="AK233" s="831">
        <v>28586314</v>
      </c>
      <c r="AP233" s="831" t="str">
        <f t="shared" si="10"/>
        <v/>
      </c>
    </row>
    <row r="234" spans="2:42">
      <c r="B234" s="834" t="str">
        <f t="shared" si="9"/>
        <v>|||</v>
      </c>
      <c r="H234" s="835">
        <f t="shared" si="11"/>
        <v>31</v>
      </c>
      <c r="AF234" s="831" t="s">
        <v>920</v>
      </c>
      <c r="AG234" s="831" t="s">
        <v>55</v>
      </c>
      <c r="AH234" s="831" t="s">
        <v>108</v>
      </c>
      <c r="AI234" s="831">
        <v>0</v>
      </c>
      <c r="AJ234" s="835">
        <v>39903</v>
      </c>
      <c r="AK234" s="831">
        <v>0</v>
      </c>
      <c r="AP234" s="831" t="str">
        <f t="shared" si="10"/>
        <v/>
      </c>
    </row>
    <row r="235" spans="2:42">
      <c r="B235" s="834" t="str">
        <f t="shared" si="9"/>
        <v>|||</v>
      </c>
      <c r="H235" s="835">
        <f t="shared" si="11"/>
        <v>31</v>
      </c>
      <c r="AF235" s="831" t="s">
        <v>921</v>
      </c>
      <c r="AG235" s="831" t="s">
        <v>55</v>
      </c>
      <c r="AH235" s="831" t="s">
        <v>110</v>
      </c>
      <c r="AI235" s="831">
        <v>0</v>
      </c>
      <c r="AJ235" s="835">
        <v>39903</v>
      </c>
      <c r="AK235" s="831">
        <v>152507713</v>
      </c>
      <c r="AP235" s="831" t="str">
        <f t="shared" si="10"/>
        <v/>
      </c>
    </row>
    <row r="236" spans="2:42">
      <c r="B236" s="834" t="str">
        <f t="shared" si="9"/>
        <v>|||</v>
      </c>
      <c r="H236" s="835">
        <f t="shared" si="11"/>
        <v>31</v>
      </c>
      <c r="AF236" s="831" t="s">
        <v>922</v>
      </c>
      <c r="AG236" s="831" t="s">
        <v>55</v>
      </c>
      <c r="AH236" s="831" t="s">
        <v>112</v>
      </c>
      <c r="AI236" s="831">
        <v>0</v>
      </c>
      <c r="AJ236" s="835">
        <v>39903</v>
      </c>
      <c r="AK236" s="831">
        <v>0</v>
      </c>
      <c r="AP236" s="831" t="str">
        <f t="shared" si="10"/>
        <v/>
      </c>
    </row>
    <row r="237" spans="2:42">
      <c r="B237" s="834" t="str">
        <f t="shared" si="9"/>
        <v>|||</v>
      </c>
      <c r="H237" s="835">
        <f t="shared" si="11"/>
        <v>31</v>
      </c>
      <c r="AF237" s="831" t="s">
        <v>923</v>
      </c>
      <c r="AG237" s="831" t="s">
        <v>55</v>
      </c>
      <c r="AH237" s="831" t="s">
        <v>114</v>
      </c>
      <c r="AI237" s="831">
        <v>0</v>
      </c>
      <c r="AJ237" s="835">
        <v>39903</v>
      </c>
      <c r="AK237" s="831">
        <v>144310708</v>
      </c>
      <c r="AP237" s="831" t="str">
        <f t="shared" si="10"/>
        <v/>
      </c>
    </row>
    <row r="238" spans="2:42">
      <c r="B238" s="834" t="str">
        <f t="shared" si="9"/>
        <v>|||</v>
      </c>
      <c r="H238" s="835">
        <f t="shared" si="11"/>
        <v>31</v>
      </c>
      <c r="AF238" s="831" t="s">
        <v>924</v>
      </c>
      <c r="AG238" s="831" t="s">
        <v>55</v>
      </c>
      <c r="AH238" s="831" t="s">
        <v>116</v>
      </c>
      <c r="AI238" s="831">
        <v>0</v>
      </c>
      <c r="AJ238" s="835">
        <v>39903</v>
      </c>
      <c r="AK238" s="831">
        <v>8197005</v>
      </c>
      <c r="AP238" s="831" t="str">
        <f t="shared" si="10"/>
        <v/>
      </c>
    </row>
    <row r="239" spans="2:42">
      <c r="B239" s="834" t="str">
        <f t="shared" si="9"/>
        <v>|||</v>
      </c>
      <c r="H239" s="835">
        <f t="shared" si="11"/>
        <v>31</v>
      </c>
      <c r="AF239" s="831" t="s">
        <v>925</v>
      </c>
      <c r="AG239" s="831" t="s">
        <v>55</v>
      </c>
      <c r="AH239" s="831" t="s">
        <v>117</v>
      </c>
      <c r="AI239" s="831">
        <v>0</v>
      </c>
      <c r="AJ239" s="835">
        <v>39903</v>
      </c>
      <c r="AK239" s="831">
        <v>6390587</v>
      </c>
      <c r="AP239" s="831" t="str">
        <f t="shared" si="10"/>
        <v/>
      </c>
    </row>
    <row r="240" spans="2:42">
      <c r="B240" s="834" t="str">
        <f t="shared" si="9"/>
        <v>|||</v>
      </c>
      <c r="H240" s="835">
        <f t="shared" si="11"/>
        <v>31</v>
      </c>
      <c r="AF240" s="831" t="s">
        <v>926</v>
      </c>
      <c r="AG240" s="831" t="s">
        <v>55</v>
      </c>
      <c r="AH240" s="831" t="s">
        <v>123</v>
      </c>
      <c r="AI240" s="831">
        <v>0</v>
      </c>
      <c r="AJ240" s="835">
        <v>39903</v>
      </c>
      <c r="AK240" s="831">
        <v>20000000</v>
      </c>
      <c r="AP240" s="831" t="str">
        <f t="shared" si="10"/>
        <v/>
      </c>
    </row>
    <row r="241" spans="2:42">
      <c r="B241" s="834" t="str">
        <f t="shared" si="9"/>
        <v>|||</v>
      </c>
      <c r="H241" s="835">
        <f t="shared" si="11"/>
        <v>31</v>
      </c>
      <c r="AF241" s="831" t="s">
        <v>927</v>
      </c>
      <c r="AG241" s="831" t="s">
        <v>55</v>
      </c>
      <c r="AH241" s="831" t="s">
        <v>125</v>
      </c>
      <c r="AI241" s="831">
        <v>0</v>
      </c>
      <c r="AJ241" s="835">
        <v>39903</v>
      </c>
      <c r="AK241" s="831">
        <v>16809588</v>
      </c>
      <c r="AP241" s="831" t="str">
        <f t="shared" si="10"/>
        <v/>
      </c>
    </row>
    <row r="242" spans="2:42">
      <c r="B242" s="834" t="str">
        <f t="shared" si="9"/>
        <v>|||</v>
      </c>
      <c r="H242" s="835">
        <f t="shared" si="11"/>
        <v>31</v>
      </c>
      <c r="AF242" s="831" t="s">
        <v>928</v>
      </c>
      <c r="AG242" s="831" t="s">
        <v>55</v>
      </c>
      <c r="AH242" s="831" t="s">
        <v>66</v>
      </c>
      <c r="AI242" s="831">
        <v>0</v>
      </c>
      <c r="AJ242" s="835">
        <v>39933</v>
      </c>
      <c r="AK242" s="831">
        <v>35647336</v>
      </c>
      <c r="AP242" s="831" t="str">
        <f t="shared" si="10"/>
        <v/>
      </c>
    </row>
    <row r="243" spans="2:42">
      <c r="B243" s="834" t="str">
        <f t="shared" si="9"/>
        <v>|||</v>
      </c>
      <c r="H243" s="835">
        <f t="shared" si="11"/>
        <v>31</v>
      </c>
      <c r="AF243" s="831" t="s">
        <v>929</v>
      </c>
      <c r="AG243" s="831" t="s">
        <v>55</v>
      </c>
      <c r="AH243" s="831" t="s">
        <v>71</v>
      </c>
      <c r="AI243" s="831">
        <v>0</v>
      </c>
      <c r="AJ243" s="835">
        <v>39933</v>
      </c>
      <c r="AK243" s="831">
        <v>0</v>
      </c>
      <c r="AP243" s="831" t="str">
        <f t="shared" si="10"/>
        <v/>
      </c>
    </row>
    <row r="244" spans="2:42">
      <c r="B244" s="834" t="str">
        <f t="shared" si="9"/>
        <v>|||</v>
      </c>
      <c r="H244" s="835">
        <f t="shared" si="11"/>
        <v>31</v>
      </c>
      <c r="AF244" s="831" t="s">
        <v>930</v>
      </c>
      <c r="AG244" s="831" t="s">
        <v>55</v>
      </c>
      <c r="AH244" s="831" t="s">
        <v>76</v>
      </c>
      <c r="AI244" s="831">
        <v>0</v>
      </c>
      <c r="AJ244" s="835">
        <v>39933</v>
      </c>
      <c r="AK244" s="831">
        <v>17169136</v>
      </c>
      <c r="AP244" s="831" t="str">
        <f t="shared" si="10"/>
        <v/>
      </c>
    </row>
    <row r="245" spans="2:42">
      <c r="B245" s="834" t="str">
        <f t="shared" si="9"/>
        <v>|||</v>
      </c>
      <c r="H245" s="835">
        <f t="shared" si="11"/>
        <v>31</v>
      </c>
      <c r="AF245" s="831" t="s">
        <v>931</v>
      </c>
      <c r="AG245" s="831" t="s">
        <v>55</v>
      </c>
      <c r="AH245" s="831" t="s">
        <v>81</v>
      </c>
      <c r="AI245" s="831">
        <v>0</v>
      </c>
      <c r="AJ245" s="835">
        <v>39933</v>
      </c>
      <c r="AK245" s="831">
        <v>18478200</v>
      </c>
      <c r="AP245" s="831" t="str">
        <f t="shared" si="10"/>
        <v/>
      </c>
    </row>
    <row r="246" spans="2:42">
      <c r="B246" s="834" t="str">
        <f t="shared" si="9"/>
        <v>|||</v>
      </c>
      <c r="H246" s="835">
        <f t="shared" si="11"/>
        <v>31</v>
      </c>
      <c r="AF246" s="831" t="s">
        <v>932</v>
      </c>
      <c r="AG246" s="831" t="s">
        <v>55</v>
      </c>
      <c r="AH246" s="831" t="s">
        <v>10</v>
      </c>
      <c r="AI246" s="831">
        <v>0</v>
      </c>
      <c r="AJ246" s="835">
        <v>39933</v>
      </c>
      <c r="AK246" s="831">
        <v>189116548</v>
      </c>
      <c r="AP246" s="831" t="str">
        <f t="shared" si="10"/>
        <v/>
      </c>
    </row>
    <row r="247" spans="2:42">
      <c r="B247" s="834" t="str">
        <f t="shared" si="9"/>
        <v>|||</v>
      </c>
      <c r="H247" s="835">
        <f t="shared" si="11"/>
        <v>31</v>
      </c>
      <c r="AF247" s="831" t="s">
        <v>933</v>
      </c>
      <c r="AG247" s="831" t="s">
        <v>55</v>
      </c>
      <c r="AH247" s="831" t="s">
        <v>91</v>
      </c>
      <c r="AI247" s="831">
        <v>0</v>
      </c>
      <c r="AJ247" s="835">
        <v>39933</v>
      </c>
      <c r="AK247" s="831">
        <v>-5164493</v>
      </c>
      <c r="AP247" s="831" t="str">
        <f t="shared" si="10"/>
        <v/>
      </c>
    </row>
    <row r="248" spans="2:42">
      <c r="B248" s="834" t="str">
        <f t="shared" si="9"/>
        <v>|||</v>
      </c>
      <c r="H248" s="835">
        <f t="shared" si="11"/>
        <v>31</v>
      </c>
      <c r="AF248" s="831" t="s">
        <v>934</v>
      </c>
      <c r="AG248" s="831" t="s">
        <v>55</v>
      </c>
      <c r="AH248" s="831" t="s">
        <v>94</v>
      </c>
      <c r="AI248" s="831">
        <v>0</v>
      </c>
      <c r="AJ248" s="835">
        <v>39933</v>
      </c>
      <c r="AK248" s="831">
        <v>10271449</v>
      </c>
      <c r="AP248" s="831" t="str">
        <f t="shared" si="10"/>
        <v/>
      </c>
    </row>
    <row r="249" spans="2:42">
      <c r="B249" s="834" t="str">
        <f t="shared" si="9"/>
        <v>|||</v>
      </c>
      <c r="H249" s="835">
        <f t="shared" si="11"/>
        <v>31</v>
      </c>
      <c r="AF249" s="831" t="s">
        <v>935</v>
      </c>
      <c r="AG249" s="831" t="s">
        <v>55</v>
      </c>
      <c r="AH249" s="831" t="s">
        <v>103</v>
      </c>
      <c r="AI249" s="831">
        <v>0</v>
      </c>
      <c r="AJ249" s="835">
        <v>39933</v>
      </c>
      <c r="AK249" s="831">
        <v>34149860</v>
      </c>
      <c r="AP249" s="831" t="str">
        <f t="shared" si="10"/>
        <v/>
      </c>
    </row>
    <row r="250" spans="2:42">
      <c r="B250" s="834" t="str">
        <f t="shared" si="9"/>
        <v>|||</v>
      </c>
      <c r="H250" s="835">
        <f t="shared" si="11"/>
        <v>31</v>
      </c>
      <c r="AF250" s="831" t="s">
        <v>936</v>
      </c>
      <c r="AG250" s="831" t="s">
        <v>55</v>
      </c>
      <c r="AH250" s="831" t="s">
        <v>108</v>
      </c>
      <c r="AI250" s="831">
        <v>0</v>
      </c>
      <c r="AJ250" s="835">
        <v>39933</v>
      </c>
      <c r="AK250" s="831">
        <v>0</v>
      </c>
      <c r="AP250" s="831" t="str">
        <f t="shared" si="10"/>
        <v/>
      </c>
    </row>
    <row r="251" spans="2:42">
      <c r="B251" s="834" t="str">
        <f t="shared" si="9"/>
        <v>|||</v>
      </c>
      <c r="H251" s="835">
        <f t="shared" si="11"/>
        <v>31</v>
      </c>
      <c r="AF251" s="831" t="s">
        <v>937</v>
      </c>
      <c r="AG251" s="831" t="s">
        <v>55</v>
      </c>
      <c r="AH251" s="831" t="s">
        <v>110</v>
      </c>
      <c r="AI251" s="831">
        <v>0</v>
      </c>
      <c r="AJ251" s="835">
        <v>39933</v>
      </c>
      <c r="AK251" s="831">
        <v>152615490</v>
      </c>
      <c r="AP251" s="831" t="str">
        <f t="shared" si="10"/>
        <v/>
      </c>
    </row>
    <row r="252" spans="2:42">
      <c r="B252" s="834" t="str">
        <f t="shared" si="9"/>
        <v>|||</v>
      </c>
      <c r="H252" s="835">
        <f t="shared" si="11"/>
        <v>31</v>
      </c>
      <c r="AF252" s="831" t="s">
        <v>938</v>
      </c>
      <c r="AG252" s="831" t="s">
        <v>55</v>
      </c>
      <c r="AH252" s="831" t="s">
        <v>112</v>
      </c>
      <c r="AI252" s="831">
        <v>0</v>
      </c>
      <c r="AJ252" s="835">
        <v>39933</v>
      </c>
      <c r="AK252" s="831">
        <v>0</v>
      </c>
      <c r="AP252" s="831" t="str">
        <f t="shared" si="10"/>
        <v/>
      </c>
    </row>
    <row r="253" spans="2:42">
      <c r="B253" s="834" t="str">
        <f t="shared" si="9"/>
        <v>|||</v>
      </c>
      <c r="H253" s="835">
        <f t="shared" si="11"/>
        <v>31</v>
      </c>
      <c r="AF253" s="831" t="s">
        <v>939</v>
      </c>
      <c r="AG253" s="831" t="s">
        <v>55</v>
      </c>
      <c r="AH253" s="831" t="s">
        <v>114</v>
      </c>
      <c r="AI253" s="831">
        <v>0</v>
      </c>
      <c r="AJ253" s="835">
        <v>39933</v>
      </c>
      <c r="AK253" s="831">
        <v>144412358</v>
      </c>
      <c r="AP253" s="831" t="str">
        <f t="shared" si="10"/>
        <v/>
      </c>
    </row>
    <row r="254" spans="2:42">
      <c r="B254" s="834" t="str">
        <f t="shared" si="9"/>
        <v>|||</v>
      </c>
      <c r="H254" s="835">
        <f t="shared" si="11"/>
        <v>31</v>
      </c>
      <c r="AF254" s="831" t="s">
        <v>940</v>
      </c>
      <c r="AG254" s="831" t="s">
        <v>55</v>
      </c>
      <c r="AH254" s="831" t="s">
        <v>116</v>
      </c>
      <c r="AI254" s="831">
        <v>0</v>
      </c>
      <c r="AJ254" s="835">
        <v>39933</v>
      </c>
      <c r="AK254" s="831">
        <v>8203132</v>
      </c>
      <c r="AP254" s="831" t="str">
        <f t="shared" si="10"/>
        <v/>
      </c>
    </row>
    <row r="255" spans="2:42">
      <c r="B255" s="834" t="str">
        <f t="shared" si="9"/>
        <v>|||</v>
      </c>
      <c r="H255" s="835">
        <f t="shared" si="11"/>
        <v>31</v>
      </c>
      <c r="AF255" s="831" t="s">
        <v>941</v>
      </c>
      <c r="AG255" s="831" t="s">
        <v>55</v>
      </c>
      <c r="AH255" s="831" t="s">
        <v>117</v>
      </c>
      <c r="AI255" s="831">
        <v>0</v>
      </c>
      <c r="AJ255" s="835">
        <v>39933</v>
      </c>
      <c r="AK255" s="831">
        <v>4479802</v>
      </c>
      <c r="AP255" s="831" t="str">
        <f t="shared" si="10"/>
        <v/>
      </c>
    </row>
    <row r="256" spans="2:42">
      <c r="B256" s="834" t="str">
        <f t="shared" si="9"/>
        <v>|||</v>
      </c>
      <c r="H256" s="835">
        <f t="shared" si="11"/>
        <v>31</v>
      </c>
      <c r="AF256" s="831" t="s">
        <v>942</v>
      </c>
      <c r="AG256" s="831" t="s">
        <v>55</v>
      </c>
      <c r="AH256" s="831" t="s">
        <v>123</v>
      </c>
      <c r="AI256" s="831">
        <v>0</v>
      </c>
      <c r="AJ256" s="835">
        <v>39933</v>
      </c>
      <c r="AK256" s="831">
        <v>20000000</v>
      </c>
      <c r="AP256" s="831" t="str">
        <f t="shared" si="10"/>
        <v/>
      </c>
    </row>
    <row r="257" spans="2:42">
      <c r="B257" s="834" t="str">
        <f t="shared" si="9"/>
        <v>|||</v>
      </c>
      <c r="H257" s="835">
        <f t="shared" si="11"/>
        <v>31</v>
      </c>
      <c r="AF257" s="831" t="s">
        <v>943</v>
      </c>
      <c r="AG257" s="831" t="s">
        <v>55</v>
      </c>
      <c r="AH257" s="831" t="s">
        <v>125</v>
      </c>
      <c r="AI257" s="831">
        <v>0</v>
      </c>
      <c r="AJ257" s="835">
        <v>39933</v>
      </c>
      <c r="AK257" s="831">
        <v>18625687</v>
      </c>
      <c r="AP257" s="831" t="str">
        <f t="shared" si="10"/>
        <v/>
      </c>
    </row>
    <row r="258" spans="2:42">
      <c r="B258" s="834" t="str">
        <f t="shared" si="9"/>
        <v>|||</v>
      </c>
      <c r="H258" s="835">
        <f t="shared" si="11"/>
        <v>31</v>
      </c>
      <c r="AF258" s="831" t="s">
        <v>944</v>
      </c>
      <c r="AG258" s="831" t="s">
        <v>55</v>
      </c>
      <c r="AH258" s="831" t="s">
        <v>66</v>
      </c>
      <c r="AI258" s="831">
        <v>0</v>
      </c>
      <c r="AJ258" s="835">
        <v>39964</v>
      </c>
      <c r="AK258" s="831">
        <v>32229181</v>
      </c>
      <c r="AP258" s="831" t="str">
        <f t="shared" si="10"/>
        <v/>
      </c>
    </row>
    <row r="259" spans="2:42">
      <c r="B259" s="834" t="str">
        <f t="shared" ref="B259:B322" si="12">C259&amp;"|"&amp;D259&amp;"|"&amp;E259&amp;"|"&amp;F259</f>
        <v>|||</v>
      </c>
      <c r="H259" s="835">
        <f t="shared" si="11"/>
        <v>31</v>
      </c>
      <c r="AF259" s="831" t="s">
        <v>945</v>
      </c>
      <c r="AG259" s="831" t="s">
        <v>55</v>
      </c>
      <c r="AH259" s="831" t="s">
        <v>71</v>
      </c>
      <c r="AI259" s="831">
        <v>0</v>
      </c>
      <c r="AJ259" s="835">
        <v>39964</v>
      </c>
      <c r="AK259" s="831">
        <v>0</v>
      </c>
      <c r="AP259" s="831" t="str">
        <f t="shared" ref="AP259:AP322" si="13">IF(AX259&lt;&gt;"",IF(OR(AX259=3,AX259=4),"Equity","Debt"),"")</f>
        <v/>
      </c>
    </row>
    <row r="260" spans="2:42">
      <c r="B260" s="834" t="str">
        <f t="shared" si="12"/>
        <v>|||</v>
      </c>
      <c r="H260" s="835">
        <f t="shared" ref="H260:H323" si="14">EOMONTH(L260,0)</f>
        <v>31</v>
      </c>
      <c r="AF260" s="831" t="s">
        <v>946</v>
      </c>
      <c r="AG260" s="831" t="s">
        <v>55</v>
      </c>
      <c r="AH260" s="831" t="s">
        <v>76</v>
      </c>
      <c r="AI260" s="831">
        <v>0</v>
      </c>
      <c r="AJ260" s="835">
        <v>39964</v>
      </c>
      <c r="AK260" s="831">
        <v>13746381</v>
      </c>
      <c r="AP260" s="831" t="str">
        <f t="shared" si="13"/>
        <v/>
      </c>
    </row>
    <row r="261" spans="2:42">
      <c r="B261" s="834" t="str">
        <f t="shared" si="12"/>
        <v>|||</v>
      </c>
      <c r="H261" s="835">
        <f t="shared" si="14"/>
        <v>31</v>
      </c>
      <c r="AF261" s="831" t="s">
        <v>947</v>
      </c>
      <c r="AG261" s="831" t="s">
        <v>55</v>
      </c>
      <c r="AH261" s="831" t="s">
        <v>81</v>
      </c>
      <c r="AI261" s="831">
        <v>0</v>
      </c>
      <c r="AJ261" s="835">
        <v>39964</v>
      </c>
      <c r="AK261" s="831">
        <v>18482800</v>
      </c>
      <c r="AP261" s="831" t="str">
        <f t="shared" si="13"/>
        <v/>
      </c>
    </row>
    <row r="262" spans="2:42">
      <c r="B262" s="834" t="str">
        <f t="shared" si="12"/>
        <v>|||</v>
      </c>
      <c r="H262" s="835">
        <f t="shared" si="14"/>
        <v>31</v>
      </c>
      <c r="AF262" s="831" t="s">
        <v>948</v>
      </c>
      <c r="AG262" s="831" t="s">
        <v>55</v>
      </c>
      <c r="AH262" s="831" t="s">
        <v>10</v>
      </c>
      <c r="AI262" s="831">
        <v>0</v>
      </c>
      <c r="AJ262" s="835">
        <v>39964</v>
      </c>
      <c r="AK262" s="831">
        <v>195520142</v>
      </c>
      <c r="AP262" s="831" t="str">
        <f t="shared" si="13"/>
        <v/>
      </c>
    </row>
    <row r="263" spans="2:42">
      <c r="B263" s="834" t="str">
        <f t="shared" si="12"/>
        <v>|||</v>
      </c>
      <c r="H263" s="835">
        <f t="shared" si="14"/>
        <v>31</v>
      </c>
      <c r="AF263" s="831" t="s">
        <v>949</v>
      </c>
      <c r="AG263" s="831" t="s">
        <v>55</v>
      </c>
      <c r="AH263" s="831" t="s">
        <v>91</v>
      </c>
      <c r="AI263" s="831">
        <v>0</v>
      </c>
      <c r="AJ263" s="835">
        <v>39964</v>
      </c>
      <c r="AK263" s="831">
        <v>-5502800</v>
      </c>
      <c r="AP263" s="831" t="str">
        <f t="shared" si="13"/>
        <v/>
      </c>
    </row>
    <row r="264" spans="2:42">
      <c r="B264" s="834" t="str">
        <f t="shared" si="12"/>
        <v>|||</v>
      </c>
      <c r="H264" s="835">
        <f t="shared" si="14"/>
        <v>31</v>
      </c>
      <c r="AF264" s="831" t="s">
        <v>950</v>
      </c>
      <c r="AG264" s="831" t="s">
        <v>55</v>
      </c>
      <c r="AH264" s="831" t="s">
        <v>94</v>
      </c>
      <c r="AI264" s="831">
        <v>0</v>
      </c>
      <c r="AJ264" s="835">
        <v>39964</v>
      </c>
      <c r="AK264" s="831">
        <v>9156672</v>
      </c>
      <c r="AP264" s="831" t="str">
        <f t="shared" si="13"/>
        <v/>
      </c>
    </row>
    <row r="265" spans="2:42">
      <c r="B265" s="834" t="str">
        <f t="shared" si="12"/>
        <v>|||</v>
      </c>
      <c r="H265" s="835">
        <f t="shared" si="14"/>
        <v>31</v>
      </c>
      <c r="AF265" s="831" t="s">
        <v>951</v>
      </c>
      <c r="AG265" s="831" t="s">
        <v>55</v>
      </c>
      <c r="AH265" s="831" t="s">
        <v>103</v>
      </c>
      <c r="AI265" s="831">
        <v>0</v>
      </c>
      <c r="AJ265" s="835">
        <v>39964</v>
      </c>
      <c r="AK265" s="831">
        <v>35321429</v>
      </c>
      <c r="AP265" s="831" t="str">
        <f t="shared" si="13"/>
        <v/>
      </c>
    </row>
    <row r="266" spans="2:42">
      <c r="B266" s="834" t="str">
        <f t="shared" si="12"/>
        <v>|||</v>
      </c>
      <c r="H266" s="835">
        <f t="shared" si="14"/>
        <v>31</v>
      </c>
      <c r="AF266" s="831" t="s">
        <v>952</v>
      </c>
      <c r="AG266" s="831" t="s">
        <v>55</v>
      </c>
      <c r="AH266" s="831" t="s">
        <v>108</v>
      </c>
      <c r="AI266" s="831">
        <v>0</v>
      </c>
      <c r="AJ266" s="835">
        <v>39964</v>
      </c>
      <c r="AK266" s="831">
        <v>0</v>
      </c>
      <c r="AP266" s="831" t="str">
        <f t="shared" si="13"/>
        <v/>
      </c>
    </row>
    <row r="267" spans="2:42">
      <c r="B267" s="834" t="str">
        <f t="shared" si="12"/>
        <v>|||</v>
      </c>
      <c r="H267" s="835">
        <f t="shared" si="14"/>
        <v>31</v>
      </c>
      <c r="AF267" s="831" t="s">
        <v>953</v>
      </c>
      <c r="AG267" s="831" t="s">
        <v>55</v>
      </c>
      <c r="AH267" s="831" t="s">
        <v>110</v>
      </c>
      <c r="AI267" s="831">
        <v>0</v>
      </c>
      <c r="AJ267" s="835">
        <v>39964</v>
      </c>
      <c r="AK267" s="831">
        <v>151312082</v>
      </c>
      <c r="AP267" s="831" t="str">
        <f t="shared" si="13"/>
        <v/>
      </c>
    </row>
    <row r="268" spans="2:42">
      <c r="B268" s="834" t="str">
        <f t="shared" si="12"/>
        <v>|||</v>
      </c>
      <c r="H268" s="835">
        <f t="shared" si="14"/>
        <v>31</v>
      </c>
      <c r="AF268" s="831" t="s">
        <v>954</v>
      </c>
      <c r="AG268" s="831" t="s">
        <v>55</v>
      </c>
      <c r="AH268" s="831" t="s">
        <v>112</v>
      </c>
      <c r="AI268" s="831">
        <v>0</v>
      </c>
      <c r="AJ268" s="835">
        <v>39964</v>
      </c>
      <c r="AK268" s="831">
        <v>0</v>
      </c>
      <c r="AP268" s="831" t="str">
        <f t="shared" si="13"/>
        <v/>
      </c>
    </row>
    <row r="269" spans="2:42">
      <c r="B269" s="834" t="str">
        <f t="shared" si="12"/>
        <v>|||</v>
      </c>
      <c r="H269" s="835">
        <f t="shared" si="14"/>
        <v>31</v>
      </c>
      <c r="AF269" s="831" t="s">
        <v>955</v>
      </c>
      <c r="AG269" s="831" t="s">
        <v>55</v>
      </c>
      <c r="AH269" s="831" t="s">
        <v>114</v>
      </c>
      <c r="AI269" s="831">
        <v>0</v>
      </c>
      <c r="AJ269" s="835">
        <v>39964</v>
      </c>
      <c r="AK269" s="831">
        <v>143106908</v>
      </c>
      <c r="AP269" s="831" t="str">
        <f t="shared" si="13"/>
        <v/>
      </c>
    </row>
    <row r="270" spans="2:42">
      <c r="B270" s="834" t="str">
        <f t="shared" si="12"/>
        <v>|||</v>
      </c>
      <c r="H270" s="835">
        <f t="shared" si="14"/>
        <v>31</v>
      </c>
      <c r="AF270" s="831" t="s">
        <v>956</v>
      </c>
      <c r="AG270" s="831" t="s">
        <v>55</v>
      </c>
      <c r="AH270" s="831" t="s">
        <v>116</v>
      </c>
      <c r="AI270" s="831">
        <v>0</v>
      </c>
      <c r="AJ270" s="835">
        <v>39964</v>
      </c>
      <c r="AK270" s="831">
        <v>8205174</v>
      </c>
      <c r="AP270" s="831" t="str">
        <f t="shared" si="13"/>
        <v/>
      </c>
    </row>
    <row r="271" spans="2:42">
      <c r="B271" s="834" t="str">
        <f t="shared" si="12"/>
        <v>|||</v>
      </c>
      <c r="H271" s="835">
        <f t="shared" si="14"/>
        <v>31</v>
      </c>
      <c r="AF271" s="831" t="s">
        <v>957</v>
      </c>
      <c r="AG271" s="831" t="s">
        <v>55</v>
      </c>
      <c r="AH271" s="831" t="s">
        <v>117</v>
      </c>
      <c r="AI271" s="831">
        <v>0</v>
      </c>
      <c r="AJ271" s="835">
        <v>39964</v>
      </c>
      <c r="AK271" s="831">
        <v>4585645</v>
      </c>
      <c r="AP271" s="831" t="str">
        <f t="shared" si="13"/>
        <v/>
      </c>
    </row>
    <row r="272" spans="2:42">
      <c r="B272" s="834" t="str">
        <f t="shared" si="12"/>
        <v>|||</v>
      </c>
      <c r="H272" s="835">
        <f t="shared" si="14"/>
        <v>31</v>
      </c>
      <c r="AF272" s="831" t="s">
        <v>958</v>
      </c>
      <c r="AG272" s="831" t="s">
        <v>55</v>
      </c>
      <c r="AH272" s="831" t="s">
        <v>123</v>
      </c>
      <c r="AI272" s="831">
        <v>0</v>
      </c>
      <c r="AJ272" s="835">
        <v>39964</v>
      </c>
      <c r="AK272" s="831">
        <v>20000000</v>
      </c>
      <c r="AP272" s="831" t="str">
        <f t="shared" si="13"/>
        <v/>
      </c>
    </row>
    <row r="273" spans="2:42">
      <c r="B273" s="834" t="str">
        <f t="shared" si="12"/>
        <v>|||</v>
      </c>
      <c r="H273" s="835">
        <f t="shared" si="14"/>
        <v>31</v>
      </c>
      <c r="AF273" s="831" t="s">
        <v>959</v>
      </c>
      <c r="AG273" s="831" t="s">
        <v>55</v>
      </c>
      <c r="AH273" s="831" t="s">
        <v>125</v>
      </c>
      <c r="AI273" s="831">
        <v>0</v>
      </c>
      <c r="AJ273" s="835">
        <v>39964</v>
      </c>
      <c r="AK273" s="831">
        <v>20184039</v>
      </c>
      <c r="AP273" s="831" t="str">
        <f t="shared" si="13"/>
        <v/>
      </c>
    </row>
    <row r="274" spans="2:42">
      <c r="B274" s="834" t="str">
        <f t="shared" si="12"/>
        <v>|||</v>
      </c>
      <c r="H274" s="835">
        <f t="shared" si="14"/>
        <v>31</v>
      </c>
      <c r="AF274" s="831" t="s">
        <v>960</v>
      </c>
      <c r="AG274" s="831" t="s">
        <v>55</v>
      </c>
      <c r="AH274" s="831" t="s">
        <v>66</v>
      </c>
      <c r="AI274" s="831">
        <v>0</v>
      </c>
      <c r="AJ274" s="835">
        <v>39994</v>
      </c>
      <c r="AK274" s="831">
        <v>34359774</v>
      </c>
      <c r="AP274" s="831" t="str">
        <f t="shared" si="13"/>
        <v/>
      </c>
    </row>
    <row r="275" spans="2:42">
      <c r="B275" s="834" t="str">
        <f t="shared" si="12"/>
        <v>|||</v>
      </c>
      <c r="H275" s="835">
        <f t="shared" si="14"/>
        <v>31</v>
      </c>
      <c r="AF275" s="831" t="s">
        <v>961</v>
      </c>
      <c r="AG275" s="831" t="s">
        <v>55</v>
      </c>
      <c r="AH275" s="831" t="s">
        <v>71</v>
      </c>
      <c r="AI275" s="831">
        <v>0</v>
      </c>
      <c r="AJ275" s="835">
        <v>39994</v>
      </c>
      <c r="AK275" s="831">
        <v>0</v>
      </c>
      <c r="AP275" s="831" t="str">
        <f t="shared" si="13"/>
        <v/>
      </c>
    </row>
    <row r="276" spans="2:42">
      <c r="B276" s="834" t="str">
        <f t="shared" si="12"/>
        <v>|||</v>
      </c>
      <c r="H276" s="835">
        <f t="shared" si="14"/>
        <v>31</v>
      </c>
      <c r="AF276" s="831" t="s">
        <v>962</v>
      </c>
      <c r="AG276" s="831" t="s">
        <v>55</v>
      </c>
      <c r="AH276" s="831" t="s">
        <v>76</v>
      </c>
      <c r="AI276" s="831">
        <v>0</v>
      </c>
      <c r="AJ276" s="835">
        <v>39994</v>
      </c>
      <c r="AK276" s="831">
        <v>15463424</v>
      </c>
      <c r="AP276" s="831" t="str">
        <f t="shared" si="13"/>
        <v/>
      </c>
    </row>
    <row r="277" spans="2:42">
      <c r="B277" s="834" t="str">
        <f t="shared" si="12"/>
        <v>|||</v>
      </c>
      <c r="H277" s="835">
        <f t="shared" si="14"/>
        <v>31</v>
      </c>
      <c r="AF277" s="831" t="s">
        <v>963</v>
      </c>
      <c r="AG277" s="831" t="s">
        <v>55</v>
      </c>
      <c r="AH277" s="831" t="s">
        <v>81</v>
      </c>
      <c r="AI277" s="831">
        <v>0</v>
      </c>
      <c r="AJ277" s="835">
        <v>39994</v>
      </c>
      <c r="AK277" s="831">
        <v>18896350</v>
      </c>
      <c r="AP277" s="831" t="str">
        <f t="shared" si="13"/>
        <v/>
      </c>
    </row>
    <row r="278" spans="2:42">
      <c r="B278" s="834" t="str">
        <f t="shared" si="12"/>
        <v>|||</v>
      </c>
      <c r="H278" s="835">
        <f t="shared" si="14"/>
        <v>31</v>
      </c>
      <c r="AF278" s="831" t="s">
        <v>964</v>
      </c>
      <c r="AG278" s="831" t="s">
        <v>55</v>
      </c>
      <c r="AH278" s="831" t="s">
        <v>10</v>
      </c>
      <c r="AI278" s="831">
        <v>0</v>
      </c>
      <c r="AJ278" s="835">
        <v>39994</v>
      </c>
      <c r="AK278" s="831">
        <v>199598308</v>
      </c>
      <c r="AP278" s="831" t="str">
        <f t="shared" si="13"/>
        <v/>
      </c>
    </row>
    <row r="279" spans="2:42">
      <c r="B279" s="834" t="str">
        <f t="shared" si="12"/>
        <v>|||</v>
      </c>
      <c r="H279" s="835">
        <f t="shared" si="14"/>
        <v>31</v>
      </c>
      <c r="AF279" s="831" t="s">
        <v>965</v>
      </c>
      <c r="AG279" s="831" t="s">
        <v>55</v>
      </c>
      <c r="AH279" s="831" t="s">
        <v>91</v>
      </c>
      <c r="AI279" s="831">
        <v>0</v>
      </c>
      <c r="AJ279" s="835">
        <v>39994</v>
      </c>
      <c r="AK279" s="831">
        <v>-5648604</v>
      </c>
      <c r="AP279" s="831" t="str">
        <f t="shared" si="13"/>
        <v/>
      </c>
    </row>
    <row r="280" spans="2:42">
      <c r="B280" s="834" t="str">
        <f t="shared" si="12"/>
        <v>|||</v>
      </c>
      <c r="H280" s="835">
        <f t="shared" si="14"/>
        <v>31</v>
      </c>
      <c r="AF280" s="831" t="s">
        <v>966</v>
      </c>
      <c r="AG280" s="831" t="s">
        <v>55</v>
      </c>
      <c r="AH280" s="831" t="s">
        <v>94</v>
      </c>
      <c r="AI280" s="831">
        <v>0</v>
      </c>
      <c r="AJ280" s="835">
        <v>39994</v>
      </c>
      <c r="AK280" s="831">
        <v>9401701</v>
      </c>
      <c r="AP280" s="831" t="str">
        <f t="shared" si="13"/>
        <v/>
      </c>
    </row>
    <row r="281" spans="2:42">
      <c r="B281" s="834" t="str">
        <f t="shared" si="12"/>
        <v>|||</v>
      </c>
      <c r="H281" s="835">
        <f t="shared" si="14"/>
        <v>31</v>
      </c>
      <c r="AF281" s="831" t="s">
        <v>967</v>
      </c>
      <c r="AG281" s="831" t="s">
        <v>55</v>
      </c>
      <c r="AH281" s="831" t="s">
        <v>103</v>
      </c>
      <c r="AI281" s="831">
        <v>0</v>
      </c>
      <c r="AJ281" s="835">
        <v>39994</v>
      </c>
      <c r="AK281" s="831">
        <v>40519042</v>
      </c>
      <c r="AP281" s="831" t="str">
        <f t="shared" si="13"/>
        <v/>
      </c>
    </row>
    <row r="282" spans="2:42">
      <c r="B282" s="834" t="str">
        <f t="shared" si="12"/>
        <v>|||</v>
      </c>
      <c r="H282" s="835">
        <f t="shared" si="14"/>
        <v>31</v>
      </c>
      <c r="AF282" s="831" t="s">
        <v>968</v>
      </c>
      <c r="AG282" s="831" t="s">
        <v>55</v>
      </c>
      <c r="AH282" s="831" t="s">
        <v>108</v>
      </c>
      <c r="AI282" s="831">
        <v>0</v>
      </c>
      <c r="AJ282" s="835">
        <v>39994</v>
      </c>
      <c r="AK282" s="831">
        <v>0</v>
      </c>
      <c r="AP282" s="831" t="str">
        <f t="shared" si="13"/>
        <v/>
      </c>
    </row>
    <row r="283" spans="2:42">
      <c r="B283" s="834" t="str">
        <f t="shared" si="12"/>
        <v>|||</v>
      </c>
      <c r="H283" s="835">
        <f t="shared" si="14"/>
        <v>31</v>
      </c>
      <c r="AF283" s="831" t="s">
        <v>969</v>
      </c>
      <c r="AG283" s="831" t="s">
        <v>55</v>
      </c>
      <c r="AH283" s="831" t="s">
        <v>110</v>
      </c>
      <c r="AI283" s="831">
        <v>0</v>
      </c>
      <c r="AJ283" s="835">
        <v>39994</v>
      </c>
      <c r="AK283" s="831">
        <v>150150240</v>
      </c>
      <c r="AP283" s="831" t="str">
        <f t="shared" si="13"/>
        <v/>
      </c>
    </row>
    <row r="284" spans="2:42">
      <c r="B284" s="834" t="str">
        <f t="shared" si="12"/>
        <v>|||</v>
      </c>
      <c r="H284" s="835">
        <f t="shared" si="14"/>
        <v>31</v>
      </c>
      <c r="AF284" s="831" t="s">
        <v>970</v>
      </c>
      <c r="AG284" s="831" t="s">
        <v>55</v>
      </c>
      <c r="AH284" s="831" t="s">
        <v>112</v>
      </c>
      <c r="AI284" s="831">
        <v>0</v>
      </c>
      <c r="AJ284" s="835">
        <v>39994</v>
      </c>
      <c r="AK284" s="831">
        <v>0</v>
      </c>
      <c r="AP284" s="831" t="str">
        <f t="shared" si="13"/>
        <v/>
      </c>
    </row>
    <row r="285" spans="2:42">
      <c r="B285" s="834" t="str">
        <f t="shared" si="12"/>
        <v>|||</v>
      </c>
      <c r="H285" s="835">
        <f t="shared" si="14"/>
        <v>31</v>
      </c>
      <c r="AF285" s="831" t="s">
        <v>971</v>
      </c>
      <c r="AG285" s="831" t="s">
        <v>55</v>
      </c>
      <c r="AH285" s="831" t="s">
        <v>114</v>
      </c>
      <c r="AI285" s="831">
        <v>0</v>
      </c>
      <c r="AJ285" s="835">
        <v>39994</v>
      </c>
      <c r="AK285" s="831">
        <v>141939961</v>
      </c>
      <c r="AP285" s="831" t="str">
        <f t="shared" si="13"/>
        <v/>
      </c>
    </row>
    <row r="286" spans="2:42">
      <c r="B286" s="834" t="str">
        <f t="shared" si="12"/>
        <v>|||</v>
      </c>
      <c r="H286" s="835">
        <f t="shared" si="14"/>
        <v>31</v>
      </c>
      <c r="AF286" s="831" t="s">
        <v>972</v>
      </c>
      <c r="AG286" s="831" t="s">
        <v>55</v>
      </c>
      <c r="AH286" s="831" t="s">
        <v>116</v>
      </c>
      <c r="AI286" s="831">
        <v>0</v>
      </c>
      <c r="AJ286" s="835">
        <v>39994</v>
      </c>
      <c r="AK286" s="831">
        <v>8210279</v>
      </c>
      <c r="AP286" s="831" t="str">
        <f t="shared" si="13"/>
        <v/>
      </c>
    </row>
    <row r="287" spans="2:42">
      <c r="B287" s="834" t="str">
        <f t="shared" si="12"/>
        <v>|||</v>
      </c>
      <c r="H287" s="835">
        <f t="shared" si="14"/>
        <v>31</v>
      </c>
      <c r="AF287" s="831" t="s">
        <v>973</v>
      </c>
      <c r="AG287" s="831" t="s">
        <v>55</v>
      </c>
      <c r="AH287" s="831" t="s">
        <v>117</v>
      </c>
      <c r="AI287" s="831">
        <v>0</v>
      </c>
      <c r="AJ287" s="835">
        <v>39994</v>
      </c>
      <c r="AK287" s="831">
        <v>5256676</v>
      </c>
      <c r="AP287" s="831" t="str">
        <f t="shared" si="13"/>
        <v/>
      </c>
    </row>
    <row r="288" spans="2:42">
      <c r="B288" s="834" t="str">
        <f t="shared" si="12"/>
        <v>|||</v>
      </c>
      <c r="H288" s="835">
        <f t="shared" si="14"/>
        <v>31</v>
      </c>
      <c r="AF288" s="831" t="s">
        <v>974</v>
      </c>
      <c r="AG288" s="831" t="s">
        <v>55</v>
      </c>
      <c r="AH288" s="831" t="s">
        <v>123</v>
      </c>
      <c r="AI288" s="831">
        <v>0</v>
      </c>
      <c r="AJ288" s="835">
        <v>39994</v>
      </c>
      <c r="AK288" s="831">
        <v>20000000</v>
      </c>
      <c r="AP288" s="831" t="str">
        <f t="shared" si="13"/>
        <v/>
      </c>
    </row>
    <row r="289" spans="2:42">
      <c r="B289" s="834" t="str">
        <f t="shared" si="12"/>
        <v>|||</v>
      </c>
      <c r="H289" s="835">
        <f t="shared" si="14"/>
        <v>31</v>
      </c>
      <c r="AF289" s="831" t="s">
        <v>975</v>
      </c>
      <c r="AG289" s="831" t="s">
        <v>55</v>
      </c>
      <c r="AH289" s="831" t="s">
        <v>125</v>
      </c>
      <c r="AI289" s="831">
        <v>0</v>
      </c>
      <c r="AJ289" s="835">
        <v>39994</v>
      </c>
      <c r="AK289" s="831">
        <v>21785221</v>
      </c>
      <c r="AP289" s="831" t="str">
        <f t="shared" si="13"/>
        <v/>
      </c>
    </row>
    <row r="290" spans="2:42">
      <c r="B290" s="834" t="str">
        <f t="shared" si="12"/>
        <v>|||</v>
      </c>
      <c r="H290" s="835">
        <f t="shared" si="14"/>
        <v>31</v>
      </c>
      <c r="AF290" s="831" t="s">
        <v>976</v>
      </c>
      <c r="AG290" s="831" t="s">
        <v>55</v>
      </c>
      <c r="AH290" s="831" t="s">
        <v>66</v>
      </c>
      <c r="AI290" s="831">
        <v>0</v>
      </c>
      <c r="AJ290" s="835">
        <v>40025</v>
      </c>
      <c r="AK290" s="831">
        <v>33039127</v>
      </c>
      <c r="AP290" s="831" t="str">
        <f t="shared" si="13"/>
        <v/>
      </c>
    </row>
    <row r="291" spans="2:42">
      <c r="B291" s="834" t="str">
        <f t="shared" si="12"/>
        <v>|||</v>
      </c>
      <c r="H291" s="835">
        <f t="shared" si="14"/>
        <v>31</v>
      </c>
      <c r="AF291" s="831" t="s">
        <v>977</v>
      </c>
      <c r="AG291" s="831" t="s">
        <v>55</v>
      </c>
      <c r="AH291" s="831" t="s">
        <v>71</v>
      </c>
      <c r="AI291" s="831">
        <v>0</v>
      </c>
      <c r="AJ291" s="835">
        <v>40025</v>
      </c>
      <c r="AK291" s="831">
        <v>0</v>
      </c>
      <c r="AP291" s="831" t="str">
        <f t="shared" si="13"/>
        <v/>
      </c>
    </row>
    <row r="292" spans="2:42">
      <c r="B292" s="834" t="str">
        <f t="shared" si="12"/>
        <v>|||</v>
      </c>
      <c r="H292" s="835">
        <f t="shared" si="14"/>
        <v>31</v>
      </c>
      <c r="AF292" s="831" t="s">
        <v>978</v>
      </c>
      <c r="AG292" s="831" t="s">
        <v>55</v>
      </c>
      <c r="AH292" s="831" t="s">
        <v>76</v>
      </c>
      <c r="AI292" s="831">
        <v>0</v>
      </c>
      <c r="AJ292" s="835">
        <v>40025</v>
      </c>
      <c r="AK292" s="831">
        <v>15757807</v>
      </c>
      <c r="AP292" s="831" t="str">
        <f t="shared" si="13"/>
        <v/>
      </c>
    </row>
    <row r="293" spans="2:42">
      <c r="B293" s="834" t="str">
        <f t="shared" si="12"/>
        <v>|||</v>
      </c>
      <c r="H293" s="835">
        <f t="shared" si="14"/>
        <v>31</v>
      </c>
      <c r="AF293" s="831" t="s">
        <v>979</v>
      </c>
      <c r="AG293" s="831" t="s">
        <v>55</v>
      </c>
      <c r="AH293" s="831" t="s">
        <v>81</v>
      </c>
      <c r="AI293" s="831">
        <v>0</v>
      </c>
      <c r="AJ293" s="835">
        <v>40025</v>
      </c>
      <c r="AK293" s="831">
        <v>17281320</v>
      </c>
      <c r="AP293" s="831" t="str">
        <f t="shared" si="13"/>
        <v/>
      </c>
    </row>
    <row r="294" spans="2:42">
      <c r="B294" s="834" t="str">
        <f t="shared" si="12"/>
        <v>|||</v>
      </c>
      <c r="H294" s="835">
        <f t="shared" si="14"/>
        <v>31</v>
      </c>
      <c r="AF294" s="831" t="s">
        <v>980</v>
      </c>
      <c r="AG294" s="831" t="s">
        <v>55</v>
      </c>
      <c r="AH294" s="831" t="s">
        <v>10</v>
      </c>
      <c r="AI294" s="831">
        <v>0</v>
      </c>
      <c r="AJ294" s="835">
        <v>40025</v>
      </c>
      <c r="AK294" s="831">
        <v>205792498</v>
      </c>
      <c r="AP294" s="831" t="str">
        <f t="shared" si="13"/>
        <v/>
      </c>
    </row>
    <row r="295" spans="2:42">
      <c r="B295" s="834" t="str">
        <f t="shared" si="12"/>
        <v>|||</v>
      </c>
      <c r="H295" s="835">
        <f t="shared" si="14"/>
        <v>31</v>
      </c>
      <c r="AF295" s="831" t="s">
        <v>981</v>
      </c>
      <c r="AG295" s="831" t="s">
        <v>55</v>
      </c>
      <c r="AH295" s="831" t="s">
        <v>91</v>
      </c>
      <c r="AI295" s="831">
        <v>0</v>
      </c>
      <c r="AJ295" s="835">
        <v>40025</v>
      </c>
      <c r="AK295" s="831">
        <v>-5815279</v>
      </c>
      <c r="AP295" s="831" t="str">
        <f t="shared" si="13"/>
        <v/>
      </c>
    </row>
    <row r="296" spans="2:42">
      <c r="B296" s="834" t="str">
        <f t="shared" si="12"/>
        <v>|||</v>
      </c>
      <c r="H296" s="835">
        <f t="shared" si="14"/>
        <v>31</v>
      </c>
      <c r="AF296" s="831" t="s">
        <v>982</v>
      </c>
      <c r="AG296" s="831" t="s">
        <v>55</v>
      </c>
      <c r="AH296" s="831" t="s">
        <v>94</v>
      </c>
      <c r="AI296" s="831">
        <v>0</v>
      </c>
      <c r="AJ296" s="835">
        <v>40025</v>
      </c>
      <c r="AK296" s="831">
        <v>9604868</v>
      </c>
      <c r="AP296" s="831" t="str">
        <f t="shared" si="13"/>
        <v/>
      </c>
    </row>
    <row r="297" spans="2:42">
      <c r="B297" s="834" t="str">
        <f t="shared" si="12"/>
        <v>|||</v>
      </c>
      <c r="H297" s="835">
        <f t="shared" si="14"/>
        <v>31</v>
      </c>
      <c r="AF297" s="831" t="s">
        <v>983</v>
      </c>
      <c r="AG297" s="831" t="s">
        <v>55</v>
      </c>
      <c r="AH297" s="831" t="s">
        <v>103</v>
      </c>
      <c r="AI297" s="831">
        <v>0</v>
      </c>
      <c r="AJ297" s="835">
        <v>40025</v>
      </c>
      <c r="AK297" s="831">
        <v>42963562</v>
      </c>
      <c r="AP297" s="831" t="str">
        <f t="shared" si="13"/>
        <v/>
      </c>
    </row>
    <row r="298" spans="2:42">
      <c r="B298" s="834" t="str">
        <f t="shared" si="12"/>
        <v>|||</v>
      </c>
      <c r="H298" s="835">
        <f t="shared" si="14"/>
        <v>31</v>
      </c>
      <c r="AF298" s="831" t="s">
        <v>984</v>
      </c>
      <c r="AG298" s="831" t="s">
        <v>55</v>
      </c>
      <c r="AH298" s="831" t="s">
        <v>108</v>
      </c>
      <c r="AI298" s="831">
        <v>0</v>
      </c>
      <c r="AJ298" s="835">
        <v>40025</v>
      </c>
      <c r="AK298" s="831">
        <v>0</v>
      </c>
      <c r="AP298" s="831" t="str">
        <f t="shared" si="13"/>
        <v/>
      </c>
    </row>
    <row r="299" spans="2:42">
      <c r="B299" s="834" t="str">
        <f t="shared" si="12"/>
        <v>|||</v>
      </c>
      <c r="H299" s="835">
        <f t="shared" si="14"/>
        <v>31</v>
      </c>
      <c r="AF299" s="831" t="s">
        <v>985</v>
      </c>
      <c r="AG299" s="831" t="s">
        <v>55</v>
      </c>
      <c r="AH299" s="831" t="s">
        <v>110</v>
      </c>
      <c r="AI299" s="831">
        <v>0</v>
      </c>
      <c r="AJ299" s="835">
        <v>40025</v>
      </c>
      <c r="AK299" s="831">
        <v>150185521</v>
      </c>
      <c r="AP299" s="831" t="str">
        <f t="shared" si="13"/>
        <v/>
      </c>
    </row>
    <row r="300" spans="2:42">
      <c r="B300" s="834" t="str">
        <f t="shared" si="12"/>
        <v>|||</v>
      </c>
      <c r="H300" s="835">
        <f t="shared" si="14"/>
        <v>31</v>
      </c>
      <c r="AF300" s="831" t="s">
        <v>986</v>
      </c>
      <c r="AG300" s="831" t="s">
        <v>55</v>
      </c>
      <c r="AH300" s="831" t="s">
        <v>112</v>
      </c>
      <c r="AI300" s="831">
        <v>0</v>
      </c>
      <c r="AJ300" s="835">
        <v>40025</v>
      </c>
      <c r="AK300" s="831">
        <v>0</v>
      </c>
      <c r="AP300" s="831" t="str">
        <f t="shared" si="13"/>
        <v/>
      </c>
    </row>
    <row r="301" spans="2:42">
      <c r="B301" s="834" t="str">
        <f t="shared" si="12"/>
        <v>|||</v>
      </c>
      <c r="H301" s="835">
        <f t="shared" si="14"/>
        <v>31</v>
      </c>
      <c r="AF301" s="831" t="s">
        <v>987</v>
      </c>
      <c r="AG301" s="831" t="s">
        <v>55</v>
      </c>
      <c r="AH301" s="831" t="s">
        <v>114</v>
      </c>
      <c r="AI301" s="831">
        <v>0</v>
      </c>
      <c r="AJ301" s="835">
        <v>40025</v>
      </c>
      <c r="AK301" s="831">
        <v>141973200</v>
      </c>
      <c r="AP301" s="831" t="str">
        <f t="shared" si="13"/>
        <v/>
      </c>
    </row>
    <row r="302" spans="2:42">
      <c r="B302" s="834" t="str">
        <f t="shared" si="12"/>
        <v>|||</v>
      </c>
      <c r="H302" s="835">
        <f t="shared" si="14"/>
        <v>31</v>
      </c>
      <c r="AF302" s="831" t="s">
        <v>988</v>
      </c>
      <c r="AG302" s="831" t="s">
        <v>55</v>
      </c>
      <c r="AH302" s="831" t="s">
        <v>116</v>
      </c>
      <c r="AI302" s="831">
        <v>0</v>
      </c>
      <c r="AJ302" s="835">
        <v>40025</v>
      </c>
      <c r="AK302" s="831">
        <v>8212321</v>
      </c>
      <c r="AP302" s="831" t="str">
        <f t="shared" si="13"/>
        <v/>
      </c>
    </row>
    <row r="303" spans="2:42">
      <c r="B303" s="834" t="str">
        <f t="shared" si="12"/>
        <v>|||</v>
      </c>
      <c r="H303" s="835">
        <f t="shared" si="14"/>
        <v>31</v>
      </c>
      <c r="AF303" s="831" t="s">
        <v>989</v>
      </c>
      <c r="AG303" s="831" t="s">
        <v>55</v>
      </c>
      <c r="AH303" s="831" t="s">
        <v>117</v>
      </c>
      <c r="AI303" s="831">
        <v>0</v>
      </c>
      <c r="AJ303" s="835">
        <v>40025</v>
      </c>
      <c r="AK303" s="831">
        <v>5759596</v>
      </c>
      <c r="AP303" s="831" t="str">
        <f t="shared" si="13"/>
        <v/>
      </c>
    </row>
    <row r="304" spans="2:42">
      <c r="B304" s="834" t="str">
        <f t="shared" si="12"/>
        <v>|||</v>
      </c>
      <c r="H304" s="835">
        <f t="shared" si="14"/>
        <v>31</v>
      </c>
      <c r="AF304" s="831" t="s">
        <v>990</v>
      </c>
      <c r="AG304" s="831" t="s">
        <v>55</v>
      </c>
      <c r="AH304" s="831" t="s">
        <v>123</v>
      </c>
      <c r="AI304" s="831">
        <v>0</v>
      </c>
      <c r="AJ304" s="835">
        <v>40025</v>
      </c>
      <c r="AK304" s="831">
        <v>20000000</v>
      </c>
      <c r="AP304" s="831" t="str">
        <f t="shared" si="13"/>
        <v/>
      </c>
    </row>
    <row r="305" spans="2:42">
      <c r="B305" s="834" t="str">
        <f t="shared" si="12"/>
        <v>|||</v>
      </c>
      <c r="H305" s="835">
        <f t="shared" si="14"/>
        <v>31</v>
      </c>
      <c r="AF305" s="831" t="s">
        <v>991</v>
      </c>
      <c r="AG305" s="831" t="s">
        <v>55</v>
      </c>
      <c r="AH305" s="831" t="s">
        <v>125</v>
      </c>
      <c r="AI305" s="831">
        <v>0</v>
      </c>
      <c r="AJ305" s="835">
        <v>40025</v>
      </c>
      <c r="AK305" s="831">
        <v>23712535</v>
      </c>
      <c r="AP305" s="831" t="str">
        <f t="shared" si="13"/>
        <v/>
      </c>
    </row>
    <row r="306" spans="2:42">
      <c r="B306" s="834" t="str">
        <f t="shared" si="12"/>
        <v>|||</v>
      </c>
      <c r="H306" s="835">
        <f t="shared" si="14"/>
        <v>31</v>
      </c>
      <c r="AF306" s="831" t="s">
        <v>992</v>
      </c>
      <c r="AG306" s="831" t="s">
        <v>55</v>
      </c>
      <c r="AH306" s="831" t="s">
        <v>66</v>
      </c>
      <c r="AI306" s="831">
        <v>0</v>
      </c>
      <c r="AJ306" s="835">
        <v>40056</v>
      </c>
      <c r="AK306" s="831">
        <v>33566982</v>
      </c>
      <c r="AP306" s="831" t="str">
        <f t="shared" si="13"/>
        <v/>
      </c>
    </row>
    <row r="307" spans="2:42">
      <c r="B307" s="834" t="str">
        <f t="shared" si="12"/>
        <v>|||</v>
      </c>
      <c r="H307" s="835">
        <f t="shared" si="14"/>
        <v>31</v>
      </c>
      <c r="AF307" s="831" t="s">
        <v>993</v>
      </c>
      <c r="AG307" s="831" t="s">
        <v>55</v>
      </c>
      <c r="AH307" s="831" t="s">
        <v>71</v>
      </c>
      <c r="AI307" s="831">
        <v>0</v>
      </c>
      <c r="AJ307" s="835">
        <v>40056</v>
      </c>
      <c r="AK307" s="831">
        <v>0</v>
      </c>
      <c r="AP307" s="831" t="str">
        <f t="shared" si="13"/>
        <v/>
      </c>
    </row>
    <row r="308" spans="2:42">
      <c r="B308" s="834" t="str">
        <f t="shared" si="12"/>
        <v>|||</v>
      </c>
      <c r="H308" s="835">
        <f t="shared" si="14"/>
        <v>31</v>
      </c>
      <c r="AF308" s="831" t="s">
        <v>994</v>
      </c>
      <c r="AG308" s="831" t="s">
        <v>55</v>
      </c>
      <c r="AH308" s="831" t="s">
        <v>76</v>
      </c>
      <c r="AI308" s="831">
        <v>0</v>
      </c>
      <c r="AJ308" s="835">
        <v>40056</v>
      </c>
      <c r="AK308" s="831">
        <v>18697296</v>
      </c>
      <c r="AP308" s="831" t="str">
        <f t="shared" si="13"/>
        <v/>
      </c>
    </row>
    <row r="309" spans="2:42">
      <c r="B309" s="834" t="str">
        <f t="shared" si="12"/>
        <v>|||</v>
      </c>
      <c r="H309" s="835">
        <f t="shared" si="14"/>
        <v>31</v>
      </c>
      <c r="AF309" s="831" t="s">
        <v>995</v>
      </c>
      <c r="AG309" s="831" t="s">
        <v>55</v>
      </c>
      <c r="AH309" s="831" t="s">
        <v>81</v>
      </c>
      <c r="AI309" s="831">
        <v>0</v>
      </c>
      <c r="AJ309" s="835">
        <v>40056</v>
      </c>
      <c r="AK309" s="831">
        <v>14869686</v>
      </c>
      <c r="AP309" s="831" t="str">
        <f t="shared" si="13"/>
        <v/>
      </c>
    </row>
    <row r="310" spans="2:42">
      <c r="B310" s="834" t="str">
        <f t="shared" si="12"/>
        <v>|||</v>
      </c>
      <c r="H310" s="835">
        <f t="shared" si="14"/>
        <v>31</v>
      </c>
      <c r="AF310" s="831" t="s">
        <v>996</v>
      </c>
      <c r="AG310" s="831" t="s">
        <v>55</v>
      </c>
      <c r="AH310" s="831" t="s">
        <v>10</v>
      </c>
      <c r="AI310" s="831">
        <v>0</v>
      </c>
      <c r="AJ310" s="835">
        <v>40056</v>
      </c>
      <c r="AK310" s="831">
        <v>209615808</v>
      </c>
      <c r="AP310" s="831" t="str">
        <f t="shared" si="13"/>
        <v/>
      </c>
    </row>
    <row r="311" spans="2:42">
      <c r="B311" s="834" t="str">
        <f t="shared" si="12"/>
        <v>|||</v>
      </c>
      <c r="H311" s="835">
        <f t="shared" si="14"/>
        <v>31</v>
      </c>
      <c r="AF311" s="831" t="s">
        <v>997</v>
      </c>
      <c r="AG311" s="831" t="s">
        <v>55</v>
      </c>
      <c r="AH311" s="831" t="s">
        <v>91</v>
      </c>
      <c r="AI311" s="831">
        <v>0</v>
      </c>
      <c r="AJ311" s="835">
        <v>40056</v>
      </c>
      <c r="AK311" s="831">
        <v>-6055965</v>
      </c>
      <c r="AP311" s="831" t="str">
        <f t="shared" si="13"/>
        <v/>
      </c>
    </row>
    <row r="312" spans="2:42">
      <c r="B312" s="834" t="str">
        <f t="shared" si="12"/>
        <v>|||</v>
      </c>
      <c r="H312" s="835">
        <f t="shared" si="14"/>
        <v>31</v>
      </c>
      <c r="AF312" s="831" t="s">
        <v>998</v>
      </c>
      <c r="AG312" s="831" t="s">
        <v>55</v>
      </c>
      <c r="AH312" s="831" t="s">
        <v>94</v>
      </c>
      <c r="AI312" s="831">
        <v>0</v>
      </c>
      <c r="AJ312" s="835">
        <v>40056</v>
      </c>
      <c r="AK312" s="831">
        <v>11451188</v>
      </c>
      <c r="AP312" s="831" t="str">
        <f t="shared" si="13"/>
        <v/>
      </c>
    </row>
    <row r="313" spans="2:42">
      <c r="B313" s="834" t="str">
        <f t="shared" si="12"/>
        <v>|||</v>
      </c>
      <c r="H313" s="835">
        <f t="shared" si="14"/>
        <v>31</v>
      </c>
      <c r="AF313" s="831" t="s">
        <v>999</v>
      </c>
      <c r="AG313" s="831" t="s">
        <v>55</v>
      </c>
      <c r="AH313" s="831" t="s">
        <v>103</v>
      </c>
      <c r="AI313" s="831">
        <v>0</v>
      </c>
      <c r="AJ313" s="835">
        <v>40056</v>
      </c>
      <c r="AK313" s="831">
        <v>48289663</v>
      </c>
      <c r="AP313" s="831" t="str">
        <f t="shared" si="13"/>
        <v/>
      </c>
    </row>
    <row r="314" spans="2:42">
      <c r="B314" s="834" t="str">
        <f t="shared" si="12"/>
        <v>|||</v>
      </c>
      <c r="H314" s="835">
        <f t="shared" si="14"/>
        <v>31</v>
      </c>
      <c r="AF314" s="831" t="s">
        <v>1000</v>
      </c>
      <c r="AG314" s="831" t="s">
        <v>55</v>
      </c>
      <c r="AH314" s="831" t="s">
        <v>108</v>
      </c>
      <c r="AI314" s="831">
        <v>0</v>
      </c>
      <c r="AJ314" s="835">
        <v>40056</v>
      </c>
      <c r="AK314" s="831">
        <v>0</v>
      </c>
      <c r="AP314" s="831" t="str">
        <f t="shared" si="13"/>
        <v/>
      </c>
    </row>
    <row r="315" spans="2:42">
      <c r="B315" s="834" t="str">
        <f t="shared" si="12"/>
        <v>|||</v>
      </c>
      <c r="H315" s="835">
        <f t="shared" si="14"/>
        <v>31</v>
      </c>
      <c r="AF315" s="831" t="s">
        <v>1001</v>
      </c>
      <c r="AG315" s="831" t="s">
        <v>55</v>
      </c>
      <c r="AH315" s="831" t="s">
        <v>110</v>
      </c>
      <c r="AI315" s="831">
        <v>0</v>
      </c>
      <c r="AJ315" s="835">
        <v>40056</v>
      </c>
      <c r="AK315" s="831">
        <v>149441980</v>
      </c>
      <c r="AP315" s="831" t="str">
        <f t="shared" si="13"/>
        <v/>
      </c>
    </row>
    <row r="316" spans="2:42">
      <c r="B316" s="834" t="str">
        <f t="shared" si="12"/>
        <v>|||</v>
      </c>
      <c r="H316" s="835">
        <f t="shared" si="14"/>
        <v>31</v>
      </c>
      <c r="AF316" s="831" t="s">
        <v>1002</v>
      </c>
      <c r="AG316" s="831" t="s">
        <v>55</v>
      </c>
      <c r="AH316" s="831" t="s">
        <v>112</v>
      </c>
      <c r="AI316" s="831">
        <v>0</v>
      </c>
      <c r="AJ316" s="835">
        <v>40056</v>
      </c>
      <c r="AK316" s="831">
        <v>0</v>
      </c>
      <c r="AP316" s="831" t="str">
        <f t="shared" si="13"/>
        <v/>
      </c>
    </row>
    <row r="317" spans="2:42">
      <c r="B317" s="834" t="str">
        <f t="shared" si="12"/>
        <v>|||</v>
      </c>
      <c r="H317" s="835">
        <f t="shared" si="14"/>
        <v>31</v>
      </c>
      <c r="AF317" s="831" t="s">
        <v>1003</v>
      </c>
      <c r="AG317" s="831" t="s">
        <v>55</v>
      </c>
      <c r="AH317" s="831" t="s">
        <v>114</v>
      </c>
      <c r="AI317" s="831">
        <v>0</v>
      </c>
      <c r="AJ317" s="835">
        <v>40056</v>
      </c>
      <c r="AK317" s="831">
        <v>141233743</v>
      </c>
      <c r="AP317" s="831" t="str">
        <f t="shared" si="13"/>
        <v/>
      </c>
    </row>
    <row r="318" spans="2:42">
      <c r="B318" s="834" t="str">
        <f t="shared" si="12"/>
        <v>|||</v>
      </c>
      <c r="H318" s="835">
        <f t="shared" si="14"/>
        <v>31</v>
      </c>
      <c r="AF318" s="831" t="s">
        <v>1004</v>
      </c>
      <c r="AG318" s="831" t="s">
        <v>55</v>
      </c>
      <c r="AH318" s="831" t="s">
        <v>116</v>
      </c>
      <c r="AI318" s="831">
        <v>0</v>
      </c>
      <c r="AJ318" s="835">
        <v>40056</v>
      </c>
      <c r="AK318" s="831">
        <v>8208237</v>
      </c>
      <c r="AP318" s="831" t="str">
        <f t="shared" si="13"/>
        <v/>
      </c>
    </row>
    <row r="319" spans="2:42">
      <c r="B319" s="834" t="str">
        <f t="shared" si="12"/>
        <v>|||</v>
      </c>
      <c r="H319" s="835">
        <f t="shared" si="14"/>
        <v>31</v>
      </c>
      <c r="AF319" s="831" t="s">
        <v>1005</v>
      </c>
      <c r="AG319" s="831" t="s">
        <v>55</v>
      </c>
      <c r="AH319" s="831" t="s">
        <v>117</v>
      </c>
      <c r="AI319" s="831">
        <v>0</v>
      </c>
      <c r="AJ319" s="835">
        <v>40056</v>
      </c>
      <c r="AK319" s="831">
        <v>4949045</v>
      </c>
      <c r="AP319" s="831" t="str">
        <f t="shared" si="13"/>
        <v/>
      </c>
    </row>
    <row r="320" spans="2:42">
      <c r="B320" s="834" t="str">
        <f t="shared" si="12"/>
        <v>|||</v>
      </c>
      <c r="H320" s="835">
        <f t="shared" si="14"/>
        <v>31</v>
      </c>
      <c r="AF320" s="831" t="s">
        <v>1006</v>
      </c>
      <c r="AG320" s="831" t="s">
        <v>55</v>
      </c>
      <c r="AH320" s="831" t="s">
        <v>123</v>
      </c>
      <c r="AI320" s="831">
        <v>0</v>
      </c>
      <c r="AJ320" s="835">
        <v>40056</v>
      </c>
      <c r="AK320" s="831">
        <v>20000000</v>
      </c>
      <c r="AP320" s="831" t="str">
        <f t="shared" si="13"/>
        <v/>
      </c>
    </row>
    <row r="321" spans="2:42">
      <c r="B321" s="834" t="str">
        <f t="shared" si="12"/>
        <v>|||</v>
      </c>
      <c r="H321" s="835">
        <f t="shared" si="14"/>
        <v>31</v>
      </c>
      <c r="AF321" s="831" t="s">
        <v>1007</v>
      </c>
      <c r="AG321" s="831" t="s">
        <v>55</v>
      </c>
      <c r="AH321" s="831" t="s">
        <v>125</v>
      </c>
      <c r="AI321" s="831">
        <v>0</v>
      </c>
      <c r="AJ321" s="835">
        <v>40056</v>
      </c>
      <c r="AK321" s="831">
        <v>25897324</v>
      </c>
      <c r="AP321" s="831" t="str">
        <f t="shared" si="13"/>
        <v/>
      </c>
    </row>
    <row r="322" spans="2:42">
      <c r="B322" s="834" t="str">
        <f t="shared" si="12"/>
        <v>|||</v>
      </c>
      <c r="H322" s="835">
        <f t="shared" si="14"/>
        <v>31</v>
      </c>
      <c r="AF322" s="831" t="s">
        <v>1008</v>
      </c>
      <c r="AG322" s="831" t="s">
        <v>55</v>
      </c>
      <c r="AH322" s="831" t="s">
        <v>66</v>
      </c>
      <c r="AI322" s="831">
        <v>0</v>
      </c>
      <c r="AJ322" s="835">
        <v>40086</v>
      </c>
      <c r="AK322" s="831">
        <v>38804847</v>
      </c>
      <c r="AP322" s="831" t="str">
        <f t="shared" si="13"/>
        <v/>
      </c>
    </row>
    <row r="323" spans="2:42">
      <c r="B323" s="834" t="str">
        <f t="shared" ref="B323:B386" si="15">C323&amp;"|"&amp;D323&amp;"|"&amp;E323&amp;"|"&amp;F323</f>
        <v>|||</v>
      </c>
      <c r="H323" s="835">
        <f t="shared" si="14"/>
        <v>31</v>
      </c>
      <c r="AF323" s="831" t="s">
        <v>1009</v>
      </c>
      <c r="AG323" s="831" t="s">
        <v>55</v>
      </c>
      <c r="AH323" s="831" t="s">
        <v>71</v>
      </c>
      <c r="AI323" s="831">
        <v>0</v>
      </c>
      <c r="AJ323" s="835">
        <v>40086</v>
      </c>
      <c r="AK323" s="831">
        <v>0</v>
      </c>
      <c r="AP323" s="831" t="str">
        <f t="shared" ref="AP323:AP386" si="16">IF(AX323&lt;&gt;"",IF(OR(AX323=3,AX323=4),"Equity","Debt"),"")</f>
        <v/>
      </c>
    </row>
    <row r="324" spans="2:42">
      <c r="B324" s="834" t="str">
        <f t="shared" si="15"/>
        <v>|||</v>
      </c>
      <c r="H324" s="835">
        <f t="shared" ref="H324:H387" si="17">EOMONTH(L324,0)</f>
        <v>31</v>
      </c>
      <c r="AF324" s="831" t="s">
        <v>1010</v>
      </c>
      <c r="AG324" s="831" t="s">
        <v>55</v>
      </c>
      <c r="AH324" s="831" t="s">
        <v>76</v>
      </c>
      <c r="AI324" s="831">
        <v>0</v>
      </c>
      <c r="AJ324" s="835">
        <v>40086</v>
      </c>
      <c r="AK324" s="831">
        <v>21942766</v>
      </c>
      <c r="AP324" s="831" t="str">
        <f t="shared" si="16"/>
        <v/>
      </c>
    </row>
    <row r="325" spans="2:42">
      <c r="B325" s="834" t="str">
        <f t="shared" si="15"/>
        <v>|||</v>
      </c>
      <c r="H325" s="835">
        <f t="shared" si="17"/>
        <v>31</v>
      </c>
      <c r="AF325" s="831" t="s">
        <v>1011</v>
      </c>
      <c r="AG325" s="831" t="s">
        <v>55</v>
      </c>
      <c r="AH325" s="831" t="s">
        <v>81</v>
      </c>
      <c r="AI325" s="831">
        <v>0</v>
      </c>
      <c r="AJ325" s="835">
        <v>40086</v>
      </c>
      <c r="AK325" s="831">
        <v>16862081</v>
      </c>
      <c r="AP325" s="831" t="str">
        <f t="shared" si="16"/>
        <v/>
      </c>
    </row>
    <row r="326" spans="2:42">
      <c r="B326" s="834" t="str">
        <f t="shared" si="15"/>
        <v>|||</v>
      </c>
      <c r="H326" s="835">
        <f t="shared" si="17"/>
        <v>31</v>
      </c>
      <c r="AF326" s="831" t="s">
        <v>1012</v>
      </c>
      <c r="AG326" s="831" t="s">
        <v>55</v>
      </c>
      <c r="AH326" s="831" t="s">
        <v>10</v>
      </c>
      <c r="AI326" s="831">
        <v>0</v>
      </c>
      <c r="AJ326" s="835">
        <v>40086</v>
      </c>
      <c r="AK326" s="831">
        <v>219393881</v>
      </c>
      <c r="AP326" s="831" t="str">
        <f t="shared" si="16"/>
        <v/>
      </c>
    </row>
    <row r="327" spans="2:42">
      <c r="B327" s="834" t="str">
        <f t="shared" si="15"/>
        <v>|||</v>
      </c>
      <c r="H327" s="835">
        <f t="shared" si="17"/>
        <v>31</v>
      </c>
      <c r="AF327" s="831" t="s">
        <v>1013</v>
      </c>
      <c r="AG327" s="831" t="s">
        <v>55</v>
      </c>
      <c r="AH327" s="831" t="s">
        <v>91</v>
      </c>
      <c r="AI327" s="831">
        <v>0</v>
      </c>
      <c r="AJ327" s="835">
        <v>40086</v>
      </c>
      <c r="AK327" s="831">
        <v>-6284817</v>
      </c>
      <c r="AP327" s="831" t="str">
        <f t="shared" si="16"/>
        <v/>
      </c>
    </row>
    <row r="328" spans="2:42">
      <c r="B328" s="834" t="str">
        <f t="shared" si="15"/>
        <v>|||</v>
      </c>
      <c r="H328" s="835">
        <f t="shared" si="17"/>
        <v>31</v>
      </c>
      <c r="AF328" s="831" t="s">
        <v>1014</v>
      </c>
      <c r="AG328" s="831" t="s">
        <v>55</v>
      </c>
      <c r="AH328" s="831" t="s">
        <v>94</v>
      </c>
      <c r="AI328" s="831">
        <v>0</v>
      </c>
      <c r="AJ328" s="835">
        <v>40086</v>
      </c>
      <c r="AK328" s="831">
        <v>12197528</v>
      </c>
      <c r="AP328" s="831" t="str">
        <f t="shared" si="16"/>
        <v/>
      </c>
    </row>
    <row r="329" spans="2:42">
      <c r="B329" s="834" t="str">
        <f t="shared" si="15"/>
        <v>|||</v>
      </c>
      <c r="H329" s="835">
        <f t="shared" si="17"/>
        <v>31</v>
      </c>
      <c r="AF329" s="831" t="s">
        <v>1015</v>
      </c>
      <c r="AG329" s="831" t="s">
        <v>55</v>
      </c>
      <c r="AH329" s="831" t="s">
        <v>103</v>
      </c>
      <c r="AI329" s="831">
        <v>0</v>
      </c>
      <c r="AJ329" s="835">
        <v>40086</v>
      </c>
      <c r="AK329" s="831">
        <v>54671401</v>
      </c>
      <c r="AP329" s="831" t="str">
        <f t="shared" si="16"/>
        <v/>
      </c>
    </row>
    <row r="330" spans="2:42">
      <c r="B330" s="834" t="str">
        <f t="shared" si="15"/>
        <v>|||</v>
      </c>
      <c r="H330" s="835">
        <f t="shared" si="17"/>
        <v>31</v>
      </c>
      <c r="AF330" s="831" t="s">
        <v>1016</v>
      </c>
      <c r="AG330" s="831" t="s">
        <v>55</v>
      </c>
      <c r="AH330" s="831" t="s">
        <v>108</v>
      </c>
      <c r="AI330" s="831">
        <v>0</v>
      </c>
      <c r="AJ330" s="835">
        <v>40086</v>
      </c>
      <c r="AK330" s="831">
        <v>0</v>
      </c>
      <c r="AP330" s="831" t="str">
        <f t="shared" si="16"/>
        <v/>
      </c>
    </row>
    <row r="331" spans="2:42">
      <c r="B331" s="834" t="str">
        <f t="shared" si="15"/>
        <v>|||</v>
      </c>
      <c r="H331" s="835">
        <f t="shared" si="17"/>
        <v>31</v>
      </c>
      <c r="AF331" s="831" t="s">
        <v>1017</v>
      </c>
      <c r="AG331" s="831" t="s">
        <v>55</v>
      </c>
      <c r="AH331" s="831" t="s">
        <v>110</v>
      </c>
      <c r="AI331" s="831">
        <v>0</v>
      </c>
      <c r="AJ331" s="835">
        <v>40086</v>
      </c>
      <c r="AK331" s="831">
        <v>157049642</v>
      </c>
      <c r="AP331" s="831" t="str">
        <f t="shared" si="16"/>
        <v/>
      </c>
    </row>
    <row r="332" spans="2:42">
      <c r="B332" s="834" t="str">
        <f t="shared" si="15"/>
        <v>|||</v>
      </c>
      <c r="H332" s="835">
        <f t="shared" si="17"/>
        <v>31</v>
      </c>
      <c r="AF332" s="831" t="s">
        <v>1018</v>
      </c>
      <c r="AG332" s="831" t="s">
        <v>55</v>
      </c>
      <c r="AH332" s="831" t="s">
        <v>112</v>
      </c>
      <c r="AI332" s="831">
        <v>0</v>
      </c>
      <c r="AJ332" s="835">
        <v>40086</v>
      </c>
      <c r="AK332" s="831">
        <v>0</v>
      </c>
      <c r="AP332" s="831" t="str">
        <f t="shared" si="16"/>
        <v/>
      </c>
    </row>
    <row r="333" spans="2:42">
      <c r="B333" s="834" t="str">
        <f t="shared" si="15"/>
        <v>|||</v>
      </c>
      <c r="H333" s="835">
        <f t="shared" si="17"/>
        <v>31</v>
      </c>
      <c r="AF333" s="831" t="s">
        <v>1019</v>
      </c>
      <c r="AG333" s="831" t="s">
        <v>55</v>
      </c>
      <c r="AH333" s="831" t="s">
        <v>114</v>
      </c>
      <c r="AI333" s="831">
        <v>0</v>
      </c>
      <c r="AJ333" s="835">
        <v>40086</v>
      </c>
      <c r="AK333" s="831">
        <v>148845489</v>
      </c>
      <c r="AP333" s="831" t="str">
        <f t="shared" si="16"/>
        <v/>
      </c>
    </row>
    <row r="334" spans="2:42">
      <c r="B334" s="834" t="str">
        <f t="shared" si="15"/>
        <v>|||</v>
      </c>
      <c r="H334" s="835">
        <f t="shared" si="17"/>
        <v>31</v>
      </c>
      <c r="AF334" s="831" t="s">
        <v>1020</v>
      </c>
      <c r="AG334" s="831" t="s">
        <v>55</v>
      </c>
      <c r="AH334" s="831" t="s">
        <v>116</v>
      </c>
      <c r="AI334" s="831">
        <v>0</v>
      </c>
      <c r="AJ334" s="835">
        <v>40086</v>
      </c>
      <c r="AK334" s="831">
        <v>8204153</v>
      </c>
      <c r="AP334" s="831" t="str">
        <f t="shared" si="16"/>
        <v/>
      </c>
    </row>
    <row r="335" spans="2:42">
      <c r="B335" s="834" t="str">
        <f t="shared" si="15"/>
        <v>|||</v>
      </c>
      <c r="H335" s="835">
        <f t="shared" si="17"/>
        <v>31</v>
      </c>
      <c r="AF335" s="831" t="s">
        <v>1021</v>
      </c>
      <c r="AG335" s="831" t="s">
        <v>55</v>
      </c>
      <c r="AH335" s="831" t="s">
        <v>117</v>
      </c>
      <c r="AI335" s="831">
        <v>0</v>
      </c>
      <c r="AJ335" s="835">
        <v>40086</v>
      </c>
      <c r="AK335" s="831">
        <v>4878117</v>
      </c>
      <c r="AP335" s="831" t="str">
        <f t="shared" si="16"/>
        <v/>
      </c>
    </row>
    <row r="336" spans="2:42">
      <c r="B336" s="834" t="str">
        <f t="shared" si="15"/>
        <v>|||</v>
      </c>
      <c r="H336" s="835">
        <f t="shared" si="17"/>
        <v>31</v>
      </c>
      <c r="AF336" s="831" t="s">
        <v>1022</v>
      </c>
      <c r="AG336" s="831" t="s">
        <v>55</v>
      </c>
      <c r="AH336" s="831" t="s">
        <v>123</v>
      </c>
      <c r="AI336" s="831">
        <v>0</v>
      </c>
      <c r="AJ336" s="835">
        <v>40086</v>
      </c>
      <c r="AK336" s="831">
        <v>20000000</v>
      </c>
      <c r="AP336" s="831" t="str">
        <f t="shared" si="16"/>
        <v/>
      </c>
    </row>
    <row r="337" spans="2:42">
      <c r="B337" s="834" t="str">
        <f t="shared" si="15"/>
        <v>|||</v>
      </c>
      <c r="H337" s="835">
        <f t="shared" si="17"/>
        <v>31</v>
      </c>
      <c r="AF337" s="831" t="s">
        <v>1023</v>
      </c>
      <c r="AG337" s="831" t="s">
        <v>55</v>
      </c>
      <c r="AH337" s="831" t="s">
        <v>125</v>
      </c>
      <c r="AI337" s="831">
        <v>0</v>
      </c>
      <c r="AJ337" s="835">
        <v>40086</v>
      </c>
      <c r="AK337" s="831">
        <v>27512279</v>
      </c>
      <c r="AP337" s="831" t="str">
        <f t="shared" si="16"/>
        <v/>
      </c>
    </row>
    <row r="338" spans="2:42">
      <c r="B338" s="834" t="str">
        <f t="shared" si="15"/>
        <v>|||</v>
      </c>
      <c r="H338" s="835">
        <f t="shared" si="17"/>
        <v>31</v>
      </c>
      <c r="AF338" s="831" t="s">
        <v>1024</v>
      </c>
      <c r="AG338" s="831" t="s">
        <v>55</v>
      </c>
      <c r="AH338" s="831" t="s">
        <v>66</v>
      </c>
      <c r="AI338" s="831">
        <v>0</v>
      </c>
      <c r="AJ338" s="835">
        <v>40117</v>
      </c>
      <c r="AK338" s="831">
        <v>50181270</v>
      </c>
      <c r="AP338" s="831" t="str">
        <f t="shared" si="16"/>
        <v/>
      </c>
    </row>
    <row r="339" spans="2:42">
      <c r="B339" s="834" t="str">
        <f t="shared" si="15"/>
        <v>|||</v>
      </c>
      <c r="H339" s="835">
        <f t="shared" si="17"/>
        <v>31</v>
      </c>
      <c r="AF339" s="831" t="s">
        <v>1025</v>
      </c>
      <c r="AG339" s="831" t="s">
        <v>55</v>
      </c>
      <c r="AH339" s="831" t="s">
        <v>71</v>
      </c>
      <c r="AI339" s="831">
        <v>0</v>
      </c>
      <c r="AJ339" s="835">
        <v>40117</v>
      </c>
      <c r="AK339" s="831">
        <v>0</v>
      </c>
      <c r="AP339" s="831" t="str">
        <f t="shared" si="16"/>
        <v/>
      </c>
    </row>
    <row r="340" spans="2:42">
      <c r="B340" s="834" t="str">
        <f t="shared" si="15"/>
        <v>|||</v>
      </c>
      <c r="H340" s="835">
        <f t="shared" si="17"/>
        <v>31</v>
      </c>
      <c r="AF340" s="831" t="s">
        <v>1026</v>
      </c>
      <c r="AG340" s="831" t="s">
        <v>55</v>
      </c>
      <c r="AH340" s="831" t="s">
        <v>76</v>
      </c>
      <c r="AI340" s="831">
        <v>0</v>
      </c>
      <c r="AJ340" s="835">
        <v>40117</v>
      </c>
      <c r="AK340" s="831">
        <v>25955720</v>
      </c>
      <c r="AP340" s="831" t="str">
        <f t="shared" si="16"/>
        <v/>
      </c>
    </row>
    <row r="341" spans="2:42">
      <c r="B341" s="834" t="str">
        <f t="shared" si="15"/>
        <v>|||</v>
      </c>
      <c r="H341" s="835">
        <f t="shared" si="17"/>
        <v>31</v>
      </c>
      <c r="AF341" s="831" t="s">
        <v>1027</v>
      </c>
      <c r="AG341" s="831" t="s">
        <v>55</v>
      </c>
      <c r="AH341" s="831" t="s">
        <v>81</v>
      </c>
      <c r="AI341" s="831">
        <v>0</v>
      </c>
      <c r="AJ341" s="835">
        <v>40117</v>
      </c>
      <c r="AK341" s="831">
        <v>24225550</v>
      </c>
      <c r="AP341" s="831" t="str">
        <f t="shared" si="16"/>
        <v/>
      </c>
    </row>
    <row r="342" spans="2:42">
      <c r="B342" s="834" t="str">
        <f t="shared" si="15"/>
        <v>|||</v>
      </c>
      <c r="H342" s="835">
        <f t="shared" si="17"/>
        <v>31</v>
      </c>
      <c r="AF342" s="831" t="s">
        <v>1028</v>
      </c>
      <c r="AG342" s="831" t="s">
        <v>55</v>
      </c>
      <c r="AH342" s="831" t="s">
        <v>10</v>
      </c>
      <c r="AI342" s="831">
        <v>0</v>
      </c>
      <c r="AJ342" s="835">
        <v>40117</v>
      </c>
      <c r="AK342" s="831">
        <v>228139699</v>
      </c>
      <c r="AP342" s="831" t="str">
        <f t="shared" si="16"/>
        <v/>
      </c>
    </row>
    <row r="343" spans="2:42">
      <c r="B343" s="834" t="str">
        <f t="shared" si="15"/>
        <v>|||</v>
      </c>
      <c r="H343" s="835">
        <f t="shared" si="17"/>
        <v>31</v>
      </c>
      <c r="AF343" s="831" t="s">
        <v>1029</v>
      </c>
      <c r="AG343" s="831" t="s">
        <v>55</v>
      </c>
      <c r="AH343" s="831" t="s">
        <v>91</v>
      </c>
      <c r="AI343" s="831">
        <v>0</v>
      </c>
      <c r="AJ343" s="835">
        <v>40117</v>
      </c>
      <c r="AK343" s="831">
        <v>-6592588</v>
      </c>
      <c r="AP343" s="831" t="str">
        <f t="shared" si="16"/>
        <v/>
      </c>
    </row>
    <row r="344" spans="2:42">
      <c r="B344" s="834" t="str">
        <f t="shared" si="15"/>
        <v>|||</v>
      </c>
      <c r="H344" s="835">
        <f t="shared" si="17"/>
        <v>31</v>
      </c>
      <c r="AF344" s="831" t="s">
        <v>1030</v>
      </c>
      <c r="AG344" s="831" t="s">
        <v>55</v>
      </c>
      <c r="AH344" s="831" t="s">
        <v>94</v>
      </c>
      <c r="AI344" s="831">
        <v>0</v>
      </c>
      <c r="AJ344" s="835">
        <v>40117</v>
      </c>
      <c r="AK344" s="831">
        <v>12502737</v>
      </c>
      <c r="AP344" s="831" t="str">
        <f t="shared" si="16"/>
        <v/>
      </c>
    </row>
    <row r="345" spans="2:42">
      <c r="B345" s="834" t="str">
        <f t="shared" si="15"/>
        <v>|||</v>
      </c>
      <c r="H345" s="835">
        <f t="shared" si="17"/>
        <v>31</v>
      </c>
      <c r="AF345" s="831" t="s">
        <v>1031</v>
      </c>
      <c r="AG345" s="831" t="s">
        <v>55</v>
      </c>
      <c r="AH345" s="831" t="s">
        <v>103</v>
      </c>
      <c r="AI345" s="831">
        <v>0</v>
      </c>
      <c r="AJ345" s="835">
        <v>40117</v>
      </c>
      <c r="AK345" s="831">
        <v>60601549</v>
      </c>
      <c r="AP345" s="831" t="str">
        <f t="shared" si="16"/>
        <v/>
      </c>
    </row>
    <row r="346" spans="2:42">
      <c r="B346" s="834" t="str">
        <f t="shared" si="15"/>
        <v>|||</v>
      </c>
      <c r="H346" s="835">
        <f t="shared" si="17"/>
        <v>31</v>
      </c>
      <c r="AF346" s="831" t="s">
        <v>1032</v>
      </c>
      <c r="AG346" s="831" t="s">
        <v>55</v>
      </c>
      <c r="AH346" s="831" t="s">
        <v>108</v>
      </c>
      <c r="AI346" s="831">
        <v>0</v>
      </c>
      <c r="AJ346" s="835">
        <v>40117</v>
      </c>
      <c r="AK346" s="831">
        <v>0</v>
      </c>
      <c r="AP346" s="831" t="str">
        <f t="shared" si="16"/>
        <v/>
      </c>
    </row>
    <row r="347" spans="2:42">
      <c r="B347" s="834" t="str">
        <f t="shared" si="15"/>
        <v>|||</v>
      </c>
      <c r="H347" s="835">
        <f t="shared" si="17"/>
        <v>31</v>
      </c>
      <c r="AF347" s="831" t="s">
        <v>1033</v>
      </c>
      <c r="AG347" s="831" t="s">
        <v>55</v>
      </c>
      <c r="AH347" s="831" t="s">
        <v>110</v>
      </c>
      <c r="AI347" s="831">
        <v>0</v>
      </c>
      <c r="AJ347" s="835">
        <v>40117</v>
      </c>
      <c r="AK347" s="831">
        <v>168238904</v>
      </c>
      <c r="AP347" s="831" t="str">
        <f t="shared" si="16"/>
        <v/>
      </c>
    </row>
    <row r="348" spans="2:42">
      <c r="B348" s="834" t="str">
        <f t="shared" si="15"/>
        <v>|||</v>
      </c>
      <c r="H348" s="835">
        <f t="shared" si="17"/>
        <v>31</v>
      </c>
      <c r="AF348" s="831" t="s">
        <v>1034</v>
      </c>
      <c r="AG348" s="831" t="s">
        <v>55</v>
      </c>
      <c r="AH348" s="831" t="s">
        <v>112</v>
      </c>
      <c r="AI348" s="831">
        <v>0</v>
      </c>
      <c r="AJ348" s="835">
        <v>40117</v>
      </c>
      <c r="AK348" s="831">
        <v>0</v>
      </c>
      <c r="AP348" s="831" t="str">
        <f t="shared" si="16"/>
        <v/>
      </c>
    </row>
    <row r="349" spans="2:42">
      <c r="B349" s="834" t="str">
        <f t="shared" si="15"/>
        <v>|||</v>
      </c>
      <c r="H349" s="835">
        <f t="shared" si="17"/>
        <v>31</v>
      </c>
      <c r="AF349" s="831" t="s">
        <v>1035</v>
      </c>
      <c r="AG349" s="831" t="s">
        <v>55</v>
      </c>
      <c r="AH349" s="831" t="s">
        <v>114</v>
      </c>
      <c r="AI349" s="831">
        <v>0</v>
      </c>
      <c r="AJ349" s="835">
        <v>40117</v>
      </c>
      <c r="AK349" s="831">
        <v>160037814</v>
      </c>
      <c r="AP349" s="831" t="str">
        <f t="shared" si="16"/>
        <v/>
      </c>
    </row>
    <row r="350" spans="2:42">
      <c r="B350" s="834" t="str">
        <f t="shared" si="15"/>
        <v>|||</v>
      </c>
      <c r="H350" s="835">
        <f t="shared" si="17"/>
        <v>31</v>
      </c>
      <c r="AF350" s="831" t="s">
        <v>1036</v>
      </c>
      <c r="AG350" s="831" t="s">
        <v>55</v>
      </c>
      <c r="AH350" s="831" t="s">
        <v>116</v>
      </c>
      <c r="AI350" s="831">
        <v>0</v>
      </c>
      <c r="AJ350" s="835">
        <v>40117</v>
      </c>
      <c r="AK350" s="831">
        <v>8201090</v>
      </c>
      <c r="AP350" s="831" t="str">
        <f t="shared" si="16"/>
        <v/>
      </c>
    </row>
    <row r="351" spans="2:42">
      <c r="B351" s="834" t="str">
        <f t="shared" si="15"/>
        <v>|||</v>
      </c>
      <c r="H351" s="835">
        <f t="shared" si="17"/>
        <v>31</v>
      </c>
      <c r="AF351" s="831" t="s">
        <v>1037</v>
      </c>
      <c r="AG351" s="831" t="s">
        <v>55</v>
      </c>
      <c r="AH351" s="831" t="s">
        <v>117</v>
      </c>
      <c r="AI351" s="831">
        <v>0</v>
      </c>
      <c r="AJ351" s="835">
        <v>40117</v>
      </c>
      <c r="AK351" s="831">
        <v>5698809</v>
      </c>
      <c r="AP351" s="831" t="str">
        <f t="shared" si="16"/>
        <v/>
      </c>
    </row>
    <row r="352" spans="2:42">
      <c r="B352" s="834" t="str">
        <f t="shared" si="15"/>
        <v>|||</v>
      </c>
      <c r="H352" s="835">
        <f t="shared" si="17"/>
        <v>31</v>
      </c>
      <c r="AF352" s="831" t="s">
        <v>1038</v>
      </c>
      <c r="AG352" s="831" t="s">
        <v>55</v>
      </c>
      <c r="AH352" s="831" t="s">
        <v>123</v>
      </c>
      <c r="AI352" s="831">
        <v>0</v>
      </c>
      <c r="AJ352" s="835">
        <v>40117</v>
      </c>
      <c r="AK352" s="831">
        <v>20000000</v>
      </c>
      <c r="AP352" s="831" t="str">
        <f t="shared" si="16"/>
        <v/>
      </c>
    </row>
    <row r="353" spans="2:42">
      <c r="B353" s="834" t="str">
        <f t="shared" si="15"/>
        <v>|||</v>
      </c>
      <c r="H353" s="835">
        <f t="shared" si="17"/>
        <v>31</v>
      </c>
      <c r="AF353" s="831" t="s">
        <v>1039</v>
      </c>
      <c r="AG353" s="831" t="s">
        <v>55</v>
      </c>
      <c r="AH353" s="831" t="s">
        <v>125</v>
      </c>
      <c r="AI353" s="831">
        <v>0</v>
      </c>
      <c r="AJ353" s="835">
        <v>40117</v>
      </c>
      <c r="AK353" s="831">
        <v>29691856</v>
      </c>
      <c r="AP353" s="831" t="str">
        <f t="shared" si="16"/>
        <v/>
      </c>
    </row>
    <row r="354" spans="2:42">
      <c r="B354" s="834" t="str">
        <f t="shared" si="15"/>
        <v>|||</v>
      </c>
      <c r="H354" s="835">
        <f t="shared" si="17"/>
        <v>31</v>
      </c>
      <c r="AF354" s="831" t="s">
        <v>1040</v>
      </c>
      <c r="AG354" s="831" t="s">
        <v>55</v>
      </c>
      <c r="AH354" s="831" t="s">
        <v>66</v>
      </c>
      <c r="AI354" s="831">
        <v>0</v>
      </c>
      <c r="AJ354" s="835">
        <v>40147</v>
      </c>
      <c r="AK354" s="831">
        <v>52804553</v>
      </c>
      <c r="AP354" s="831" t="str">
        <f t="shared" si="16"/>
        <v/>
      </c>
    </row>
    <row r="355" spans="2:42">
      <c r="B355" s="834" t="str">
        <f t="shared" si="15"/>
        <v>|||</v>
      </c>
      <c r="H355" s="835">
        <f t="shared" si="17"/>
        <v>31</v>
      </c>
      <c r="AF355" s="831" t="s">
        <v>1041</v>
      </c>
      <c r="AG355" s="831" t="s">
        <v>55</v>
      </c>
      <c r="AH355" s="831" t="s">
        <v>71</v>
      </c>
      <c r="AI355" s="831">
        <v>0</v>
      </c>
      <c r="AJ355" s="835">
        <v>40147</v>
      </c>
      <c r="AK355" s="831">
        <v>0</v>
      </c>
      <c r="AP355" s="831" t="str">
        <f t="shared" si="16"/>
        <v/>
      </c>
    </row>
    <row r="356" spans="2:42">
      <c r="B356" s="834" t="str">
        <f t="shared" si="15"/>
        <v>|||</v>
      </c>
      <c r="H356" s="835">
        <f t="shared" si="17"/>
        <v>31</v>
      </c>
      <c r="AF356" s="831" t="s">
        <v>1042</v>
      </c>
      <c r="AG356" s="831" t="s">
        <v>55</v>
      </c>
      <c r="AH356" s="831" t="s">
        <v>76</v>
      </c>
      <c r="AI356" s="831">
        <v>0</v>
      </c>
      <c r="AJ356" s="835">
        <v>40147</v>
      </c>
      <c r="AK356" s="831">
        <v>30356858</v>
      </c>
      <c r="AP356" s="831" t="str">
        <f t="shared" si="16"/>
        <v/>
      </c>
    </row>
    <row r="357" spans="2:42">
      <c r="B357" s="834" t="str">
        <f t="shared" si="15"/>
        <v>|||</v>
      </c>
      <c r="H357" s="835">
        <f t="shared" si="17"/>
        <v>31</v>
      </c>
      <c r="AF357" s="831" t="s">
        <v>1043</v>
      </c>
      <c r="AG357" s="831" t="s">
        <v>55</v>
      </c>
      <c r="AH357" s="831" t="s">
        <v>81</v>
      </c>
      <c r="AI357" s="831">
        <v>0</v>
      </c>
      <c r="AJ357" s="835">
        <v>40147</v>
      </c>
      <c r="AK357" s="831">
        <v>22447695</v>
      </c>
      <c r="AP357" s="831" t="str">
        <f t="shared" si="16"/>
        <v/>
      </c>
    </row>
    <row r="358" spans="2:42">
      <c r="B358" s="834" t="str">
        <f t="shared" si="15"/>
        <v>|||</v>
      </c>
      <c r="H358" s="835">
        <f t="shared" si="17"/>
        <v>31</v>
      </c>
      <c r="AF358" s="831" t="s">
        <v>1044</v>
      </c>
      <c r="AG358" s="831" t="s">
        <v>55</v>
      </c>
      <c r="AH358" s="831" t="s">
        <v>10</v>
      </c>
      <c r="AI358" s="831">
        <v>0</v>
      </c>
      <c r="AJ358" s="835">
        <v>40147</v>
      </c>
      <c r="AK358" s="831">
        <v>231315030</v>
      </c>
      <c r="AP358" s="831" t="str">
        <f t="shared" si="16"/>
        <v/>
      </c>
    </row>
    <row r="359" spans="2:42">
      <c r="B359" s="834" t="str">
        <f t="shared" si="15"/>
        <v>|||</v>
      </c>
      <c r="H359" s="835">
        <f t="shared" si="17"/>
        <v>31</v>
      </c>
      <c r="AF359" s="831" t="s">
        <v>1045</v>
      </c>
      <c r="AG359" s="831" t="s">
        <v>55</v>
      </c>
      <c r="AH359" s="831" t="s">
        <v>91</v>
      </c>
      <c r="AI359" s="831">
        <v>0</v>
      </c>
      <c r="AJ359" s="835">
        <v>40147</v>
      </c>
      <c r="AK359" s="831">
        <v>-6589590</v>
      </c>
      <c r="AP359" s="831" t="str">
        <f t="shared" si="16"/>
        <v/>
      </c>
    </row>
    <row r="360" spans="2:42">
      <c r="B360" s="834" t="str">
        <f t="shared" si="15"/>
        <v>|||</v>
      </c>
      <c r="H360" s="835">
        <f t="shared" si="17"/>
        <v>31</v>
      </c>
      <c r="AF360" s="831" t="s">
        <v>1046</v>
      </c>
      <c r="AG360" s="831" t="s">
        <v>55</v>
      </c>
      <c r="AH360" s="831" t="s">
        <v>94</v>
      </c>
      <c r="AI360" s="831">
        <v>0</v>
      </c>
      <c r="AJ360" s="835">
        <v>40147</v>
      </c>
      <c r="AK360" s="831">
        <v>12975989</v>
      </c>
      <c r="AP360" s="831" t="str">
        <f t="shared" si="16"/>
        <v/>
      </c>
    </row>
    <row r="361" spans="2:42">
      <c r="B361" s="834" t="str">
        <f t="shared" si="15"/>
        <v>|||</v>
      </c>
      <c r="H361" s="835">
        <f t="shared" si="17"/>
        <v>31</v>
      </c>
      <c r="AF361" s="831" t="s">
        <v>1047</v>
      </c>
      <c r="AG361" s="831" t="s">
        <v>55</v>
      </c>
      <c r="AH361" s="831" t="s">
        <v>103</v>
      </c>
      <c r="AI361" s="831">
        <v>0</v>
      </c>
      <c r="AJ361" s="835">
        <v>40147</v>
      </c>
      <c r="AK361" s="831">
        <v>65279137</v>
      </c>
      <c r="AP361" s="831" t="str">
        <f t="shared" si="16"/>
        <v/>
      </c>
    </row>
    <row r="362" spans="2:42">
      <c r="B362" s="834" t="str">
        <f t="shared" si="15"/>
        <v>|||</v>
      </c>
      <c r="H362" s="835">
        <f t="shared" si="17"/>
        <v>31</v>
      </c>
      <c r="AF362" s="831" t="s">
        <v>1048</v>
      </c>
      <c r="AG362" s="831" t="s">
        <v>55</v>
      </c>
      <c r="AH362" s="831" t="s">
        <v>108</v>
      </c>
      <c r="AI362" s="831">
        <v>0</v>
      </c>
      <c r="AJ362" s="835">
        <v>40147</v>
      </c>
      <c r="AK362" s="831">
        <v>0</v>
      </c>
      <c r="AP362" s="831" t="str">
        <f t="shared" si="16"/>
        <v/>
      </c>
    </row>
    <row r="363" spans="2:42">
      <c r="B363" s="834" t="str">
        <f t="shared" si="15"/>
        <v>|||</v>
      </c>
      <c r="H363" s="835">
        <f t="shared" si="17"/>
        <v>31</v>
      </c>
      <c r="AF363" s="831" t="s">
        <v>1049</v>
      </c>
      <c r="AG363" s="831" t="s">
        <v>55</v>
      </c>
      <c r="AH363" s="831" t="s">
        <v>110</v>
      </c>
      <c r="AI363" s="831">
        <v>0</v>
      </c>
      <c r="AJ363" s="835">
        <v>40147</v>
      </c>
      <c r="AK363" s="831">
        <v>166742271</v>
      </c>
      <c r="AP363" s="831" t="str">
        <f t="shared" si="16"/>
        <v/>
      </c>
    </row>
    <row r="364" spans="2:42">
      <c r="B364" s="834" t="str">
        <f t="shared" si="15"/>
        <v>|||</v>
      </c>
      <c r="H364" s="835">
        <f t="shared" si="17"/>
        <v>31</v>
      </c>
      <c r="AF364" s="831" t="s">
        <v>1050</v>
      </c>
      <c r="AG364" s="831" t="s">
        <v>55</v>
      </c>
      <c r="AH364" s="831" t="s">
        <v>112</v>
      </c>
      <c r="AI364" s="831">
        <v>0</v>
      </c>
      <c r="AJ364" s="835">
        <v>40147</v>
      </c>
      <c r="AK364" s="831">
        <v>0</v>
      </c>
      <c r="AP364" s="831" t="str">
        <f t="shared" si="16"/>
        <v/>
      </c>
    </row>
    <row r="365" spans="2:42">
      <c r="B365" s="834" t="str">
        <f t="shared" si="15"/>
        <v>|||</v>
      </c>
      <c r="H365" s="835">
        <f t="shared" si="17"/>
        <v>31</v>
      </c>
      <c r="AF365" s="831" t="s">
        <v>1051</v>
      </c>
      <c r="AG365" s="831" t="s">
        <v>55</v>
      </c>
      <c r="AH365" s="831" t="s">
        <v>114</v>
      </c>
      <c r="AI365" s="831">
        <v>0</v>
      </c>
      <c r="AJ365" s="835">
        <v>40147</v>
      </c>
      <c r="AK365" s="831">
        <v>158549350</v>
      </c>
      <c r="AP365" s="831" t="str">
        <f t="shared" si="16"/>
        <v/>
      </c>
    </row>
    <row r="366" spans="2:42">
      <c r="B366" s="834" t="str">
        <f t="shared" si="15"/>
        <v>|||</v>
      </c>
      <c r="H366" s="835">
        <f t="shared" si="17"/>
        <v>31</v>
      </c>
      <c r="AF366" s="831" t="s">
        <v>1052</v>
      </c>
      <c r="AG366" s="831" t="s">
        <v>55</v>
      </c>
      <c r="AH366" s="831" t="s">
        <v>116</v>
      </c>
      <c r="AI366" s="831">
        <v>0</v>
      </c>
      <c r="AJ366" s="835">
        <v>40147</v>
      </c>
      <c r="AK366" s="831">
        <v>8192921</v>
      </c>
      <c r="AP366" s="831" t="str">
        <f t="shared" si="16"/>
        <v/>
      </c>
    </row>
    <row r="367" spans="2:42">
      <c r="B367" s="834" t="str">
        <f t="shared" si="15"/>
        <v>|||</v>
      </c>
      <c r="H367" s="835">
        <f t="shared" si="17"/>
        <v>31</v>
      </c>
      <c r="AF367" s="831" t="s">
        <v>1053</v>
      </c>
      <c r="AG367" s="831" t="s">
        <v>55</v>
      </c>
      <c r="AH367" s="831" t="s">
        <v>117</v>
      </c>
      <c r="AI367" s="831">
        <v>0</v>
      </c>
      <c r="AJ367" s="835">
        <v>40147</v>
      </c>
      <c r="AK367" s="831">
        <v>6772190</v>
      </c>
      <c r="AP367" s="831" t="str">
        <f t="shared" si="16"/>
        <v/>
      </c>
    </row>
    <row r="368" spans="2:42">
      <c r="B368" s="834" t="str">
        <f t="shared" si="15"/>
        <v>|||</v>
      </c>
      <c r="H368" s="835">
        <f t="shared" si="17"/>
        <v>31</v>
      </c>
      <c r="AF368" s="831" t="s">
        <v>1054</v>
      </c>
      <c r="AG368" s="831" t="s">
        <v>55</v>
      </c>
      <c r="AH368" s="831" t="s">
        <v>123</v>
      </c>
      <c r="AI368" s="831">
        <v>0</v>
      </c>
      <c r="AJ368" s="835">
        <v>40147</v>
      </c>
      <c r="AK368" s="831">
        <v>20000000</v>
      </c>
      <c r="AP368" s="831" t="str">
        <f t="shared" si="16"/>
        <v/>
      </c>
    </row>
    <row r="369" spans="2:42">
      <c r="B369" s="834" t="str">
        <f t="shared" si="15"/>
        <v>|||</v>
      </c>
      <c r="H369" s="835">
        <f t="shared" si="17"/>
        <v>31</v>
      </c>
      <c r="AF369" s="831" t="s">
        <v>1055</v>
      </c>
      <c r="AG369" s="831" t="s">
        <v>55</v>
      </c>
      <c r="AH369" s="831" t="s">
        <v>125</v>
      </c>
      <c r="AI369" s="831">
        <v>0</v>
      </c>
      <c r="AJ369" s="835">
        <v>40147</v>
      </c>
      <c r="AK369" s="831">
        <v>31712384</v>
      </c>
      <c r="AP369" s="831" t="str">
        <f t="shared" si="16"/>
        <v/>
      </c>
    </row>
    <row r="370" spans="2:42">
      <c r="B370" s="834" t="str">
        <f t="shared" si="15"/>
        <v>|||</v>
      </c>
      <c r="H370" s="835">
        <f t="shared" si="17"/>
        <v>31</v>
      </c>
      <c r="AF370" s="831" t="s">
        <v>1056</v>
      </c>
      <c r="AG370" s="831" t="s">
        <v>55</v>
      </c>
      <c r="AH370" s="831" t="s">
        <v>66</v>
      </c>
      <c r="AI370" s="831">
        <v>0</v>
      </c>
      <c r="AJ370" s="835">
        <v>40178</v>
      </c>
      <c r="AK370" s="831">
        <v>56647418</v>
      </c>
      <c r="AP370" s="831" t="str">
        <f t="shared" si="16"/>
        <v/>
      </c>
    </row>
    <row r="371" spans="2:42">
      <c r="B371" s="834" t="str">
        <f t="shared" si="15"/>
        <v>|||</v>
      </c>
      <c r="H371" s="835">
        <f t="shared" si="17"/>
        <v>31</v>
      </c>
      <c r="AF371" s="831" t="s">
        <v>1057</v>
      </c>
      <c r="AG371" s="831" t="s">
        <v>55</v>
      </c>
      <c r="AH371" s="831" t="s">
        <v>71</v>
      </c>
      <c r="AI371" s="831">
        <v>0</v>
      </c>
      <c r="AJ371" s="835">
        <v>40178</v>
      </c>
      <c r="AK371" s="831">
        <v>0</v>
      </c>
      <c r="AP371" s="831" t="str">
        <f t="shared" si="16"/>
        <v/>
      </c>
    </row>
    <row r="372" spans="2:42">
      <c r="B372" s="834" t="str">
        <f t="shared" si="15"/>
        <v>|||</v>
      </c>
      <c r="H372" s="835">
        <f t="shared" si="17"/>
        <v>31</v>
      </c>
      <c r="AF372" s="831" t="s">
        <v>1058</v>
      </c>
      <c r="AG372" s="831" t="s">
        <v>55</v>
      </c>
      <c r="AH372" s="831" t="s">
        <v>76</v>
      </c>
      <c r="AI372" s="831">
        <v>0</v>
      </c>
      <c r="AJ372" s="835">
        <v>40178</v>
      </c>
      <c r="AK372" s="831">
        <v>30109634</v>
      </c>
      <c r="AP372" s="831" t="str">
        <f t="shared" si="16"/>
        <v/>
      </c>
    </row>
    <row r="373" spans="2:42">
      <c r="B373" s="834" t="str">
        <f t="shared" si="15"/>
        <v>|||</v>
      </c>
      <c r="H373" s="835">
        <f t="shared" si="17"/>
        <v>31</v>
      </c>
      <c r="AF373" s="831" t="s">
        <v>1059</v>
      </c>
      <c r="AG373" s="831" t="s">
        <v>55</v>
      </c>
      <c r="AH373" s="831" t="s">
        <v>81</v>
      </c>
      <c r="AI373" s="831">
        <v>0</v>
      </c>
      <c r="AJ373" s="835">
        <v>40178</v>
      </c>
      <c r="AK373" s="831">
        <v>26537784</v>
      </c>
      <c r="AP373" s="831" t="str">
        <f t="shared" si="16"/>
        <v/>
      </c>
    </row>
    <row r="374" spans="2:42">
      <c r="B374" s="834" t="str">
        <f t="shared" si="15"/>
        <v>|||</v>
      </c>
      <c r="H374" s="835">
        <f t="shared" si="17"/>
        <v>31</v>
      </c>
      <c r="AF374" s="831" t="s">
        <v>1060</v>
      </c>
      <c r="AG374" s="831" t="s">
        <v>55</v>
      </c>
      <c r="AH374" s="831" t="s">
        <v>10</v>
      </c>
      <c r="AI374" s="831">
        <v>0</v>
      </c>
      <c r="AJ374" s="835">
        <v>40178</v>
      </c>
      <c r="AK374" s="831">
        <v>238513487</v>
      </c>
      <c r="AP374" s="831" t="str">
        <f t="shared" si="16"/>
        <v/>
      </c>
    </row>
    <row r="375" spans="2:42">
      <c r="B375" s="834" t="str">
        <f t="shared" si="15"/>
        <v>|||</v>
      </c>
      <c r="H375" s="835">
        <f t="shared" si="17"/>
        <v>31</v>
      </c>
      <c r="AF375" s="831" t="s">
        <v>1061</v>
      </c>
      <c r="AG375" s="831" t="s">
        <v>55</v>
      </c>
      <c r="AH375" s="831" t="s">
        <v>91</v>
      </c>
      <c r="AI375" s="831">
        <v>0</v>
      </c>
      <c r="AJ375" s="835">
        <v>40178</v>
      </c>
      <c r="AK375" s="831">
        <v>-6593186</v>
      </c>
      <c r="AP375" s="831" t="str">
        <f t="shared" si="16"/>
        <v/>
      </c>
    </row>
    <row r="376" spans="2:42">
      <c r="B376" s="834" t="str">
        <f t="shared" si="15"/>
        <v>|||</v>
      </c>
      <c r="H376" s="835">
        <f t="shared" si="17"/>
        <v>31</v>
      </c>
      <c r="AF376" s="831" t="s">
        <v>1062</v>
      </c>
      <c r="AG376" s="831" t="s">
        <v>55</v>
      </c>
      <c r="AH376" s="831" t="s">
        <v>94</v>
      </c>
      <c r="AI376" s="831">
        <v>0</v>
      </c>
      <c r="AJ376" s="835">
        <v>40178</v>
      </c>
      <c r="AK376" s="831">
        <v>12204208</v>
      </c>
      <c r="AP376" s="831" t="str">
        <f t="shared" si="16"/>
        <v/>
      </c>
    </row>
    <row r="377" spans="2:42">
      <c r="B377" s="834" t="str">
        <f t="shared" si="15"/>
        <v>|||</v>
      </c>
      <c r="H377" s="835">
        <f t="shared" si="17"/>
        <v>31</v>
      </c>
      <c r="AF377" s="831" t="s">
        <v>1063</v>
      </c>
      <c r="AG377" s="831" t="s">
        <v>55</v>
      </c>
      <c r="AH377" s="831" t="s">
        <v>103</v>
      </c>
      <c r="AI377" s="831">
        <v>0</v>
      </c>
      <c r="AJ377" s="835">
        <v>40178</v>
      </c>
      <c r="AK377" s="831">
        <v>65810295</v>
      </c>
      <c r="AP377" s="831" t="str">
        <f t="shared" si="16"/>
        <v/>
      </c>
    </row>
    <row r="378" spans="2:42">
      <c r="B378" s="834" t="str">
        <f t="shared" si="15"/>
        <v>|||</v>
      </c>
      <c r="H378" s="835">
        <f t="shared" si="17"/>
        <v>31</v>
      </c>
      <c r="AF378" s="831" t="s">
        <v>1064</v>
      </c>
      <c r="AG378" s="831" t="s">
        <v>55</v>
      </c>
      <c r="AH378" s="831" t="s">
        <v>108</v>
      </c>
      <c r="AI378" s="831">
        <v>0</v>
      </c>
      <c r="AJ378" s="835">
        <v>40178</v>
      </c>
      <c r="AK378" s="831">
        <v>0</v>
      </c>
      <c r="AP378" s="831" t="str">
        <f t="shared" si="16"/>
        <v/>
      </c>
    </row>
    <row r="379" spans="2:42">
      <c r="B379" s="834" t="str">
        <f t="shared" si="15"/>
        <v>|||</v>
      </c>
      <c r="H379" s="835">
        <f t="shared" si="17"/>
        <v>31</v>
      </c>
      <c r="AF379" s="831" t="s">
        <v>1065</v>
      </c>
      <c r="AG379" s="831" t="s">
        <v>55</v>
      </c>
      <c r="AH379" s="831" t="s">
        <v>110</v>
      </c>
      <c r="AI379" s="831">
        <v>0</v>
      </c>
      <c r="AJ379" s="835">
        <v>40178</v>
      </c>
      <c r="AK379" s="831">
        <v>175670174</v>
      </c>
      <c r="AP379" s="831" t="str">
        <f t="shared" si="16"/>
        <v/>
      </c>
    </row>
    <row r="380" spans="2:42">
      <c r="B380" s="834" t="str">
        <f t="shared" si="15"/>
        <v>|||</v>
      </c>
      <c r="H380" s="835">
        <f t="shared" si="17"/>
        <v>31</v>
      </c>
      <c r="AF380" s="831" t="s">
        <v>1066</v>
      </c>
      <c r="AG380" s="831" t="s">
        <v>55</v>
      </c>
      <c r="AH380" s="831" t="s">
        <v>112</v>
      </c>
      <c r="AI380" s="831">
        <v>0</v>
      </c>
      <c r="AJ380" s="835">
        <v>40178</v>
      </c>
      <c r="AK380" s="831">
        <v>0</v>
      </c>
      <c r="AP380" s="831" t="str">
        <f t="shared" si="16"/>
        <v/>
      </c>
    </row>
    <row r="381" spans="2:42">
      <c r="B381" s="834" t="str">
        <f t="shared" si="15"/>
        <v>|||</v>
      </c>
      <c r="H381" s="835">
        <f t="shared" si="17"/>
        <v>31</v>
      </c>
      <c r="AF381" s="831" t="s">
        <v>1067</v>
      </c>
      <c r="AG381" s="831" t="s">
        <v>55</v>
      </c>
      <c r="AH381" s="831" t="s">
        <v>114</v>
      </c>
      <c r="AI381" s="831">
        <v>0</v>
      </c>
      <c r="AJ381" s="835">
        <v>40178</v>
      </c>
      <c r="AK381" s="831">
        <v>167470105</v>
      </c>
      <c r="AP381" s="831" t="str">
        <f t="shared" si="16"/>
        <v/>
      </c>
    </row>
    <row r="382" spans="2:42">
      <c r="B382" s="834" t="str">
        <f t="shared" si="15"/>
        <v>|||</v>
      </c>
      <c r="H382" s="835">
        <f t="shared" si="17"/>
        <v>31</v>
      </c>
      <c r="AF382" s="831" t="s">
        <v>1068</v>
      </c>
      <c r="AG382" s="831" t="s">
        <v>55</v>
      </c>
      <c r="AH382" s="831" t="s">
        <v>116</v>
      </c>
      <c r="AI382" s="831">
        <v>0</v>
      </c>
      <c r="AJ382" s="835">
        <v>40178</v>
      </c>
      <c r="AK382" s="831">
        <v>8200068</v>
      </c>
      <c r="AP382" s="831" t="str">
        <f t="shared" si="16"/>
        <v/>
      </c>
    </row>
    <row r="383" spans="2:42">
      <c r="B383" s="834" t="str">
        <f t="shared" si="15"/>
        <v>|||</v>
      </c>
      <c r="H383" s="835">
        <f t="shared" si="17"/>
        <v>31</v>
      </c>
      <c r="AF383" s="831" t="s">
        <v>1069</v>
      </c>
      <c r="AG383" s="831" t="s">
        <v>55</v>
      </c>
      <c r="AH383" s="831" t="s">
        <v>117</v>
      </c>
      <c r="AI383" s="831">
        <v>0</v>
      </c>
      <c r="AJ383" s="835">
        <v>40178</v>
      </c>
      <c r="AK383" s="831">
        <v>6006176</v>
      </c>
      <c r="AP383" s="831" t="str">
        <f t="shared" si="16"/>
        <v/>
      </c>
    </row>
    <row r="384" spans="2:42">
      <c r="B384" s="834" t="str">
        <f t="shared" si="15"/>
        <v>|||</v>
      </c>
      <c r="H384" s="835">
        <f t="shared" si="17"/>
        <v>31</v>
      </c>
      <c r="AF384" s="831" t="s">
        <v>1070</v>
      </c>
      <c r="AG384" s="831" t="s">
        <v>55</v>
      </c>
      <c r="AH384" s="831" t="s">
        <v>123</v>
      </c>
      <c r="AI384" s="831">
        <v>0</v>
      </c>
      <c r="AJ384" s="835">
        <v>40178</v>
      </c>
      <c r="AK384" s="831">
        <v>20000000</v>
      </c>
      <c r="AP384" s="831" t="str">
        <f t="shared" si="16"/>
        <v/>
      </c>
    </row>
    <row r="385" spans="2:42">
      <c r="B385" s="834" t="str">
        <f t="shared" si="15"/>
        <v>|||</v>
      </c>
      <c r="H385" s="835">
        <f t="shared" si="17"/>
        <v>31</v>
      </c>
      <c r="AF385" s="831" t="s">
        <v>1071</v>
      </c>
      <c r="AG385" s="831" t="s">
        <v>55</v>
      </c>
      <c r="AH385" s="831" t="s">
        <v>125</v>
      </c>
      <c r="AI385" s="831">
        <v>0</v>
      </c>
      <c r="AJ385" s="835">
        <v>40178</v>
      </c>
      <c r="AK385" s="831">
        <v>33285282</v>
      </c>
      <c r="AP385" s="831" t="str">
        <f t="shared" si="16"/>
        <v/>
      </c>
    </row>
    <row r="386" spans="2:42">
      <c r="B386" s="834" t="str">
        <f t="shared" si="15"/>
        <v>|||</v>
      </c>
      <c r="H386" s="835">
        <f t="shared" si="17"/>
        <v>31</v>
      </c>
      <c r="AF386" s="831" t="s">
        <v>1072</v>
      </c>
      <c r="AG386" s="831" t="s">
        <v>56</v>
      </c>
      <c r="AH386" s="831" t="s">
        <v>65</v>
      </c>
      <c r="AI386" s="831">
        <v>0</v>
      </c>
      <c r="AJ386" s="835">
        <v>39478</v>
      </c>
      <c r="AK386" s="831">
        <v>2737647</v>
      </c>
      <c r="AP386" s="831" t="str">
        <f t="shared" si="16"/>
        <v/>
      </c>
    </row>
    <row r="387" spans="2:42">
      <c r="B387" s="834" t="str">
        <f t="shared" ref="B387:B450" si="18">C387&amp;"|"&amp;D387&amp;"|"&amp;E387&amp;"|"&amp;F387</f>
        <v>|||</v>
      </c>
      <c r="H387" s="835">
        <f t="shared" si="17"/>
        <v>31</v>
      </c>
      <c r="AF387" s="831" t="s">
        <v>1073</v>
      </c>
      <c r="AG387" s="831" t="s">
        <v>56</v>
      </c>
      <c r="AH387" s="831" t="s">
        <v>67</v>
      </c>
      <c r="AI387" s="831">
        <v>0</v>
      </c>
      <c r="AJ387" s="835">
        <v>39478</v>
      </c>
      <c r="AK387" s="831">
        <v>-786678</v>
      </c>
      <c r="AP387" s="831" t="str">
        <f t="shared" ref="AP387:AP450" si="19">IF(AX387&lt;&gt;"",IF(OR(AX387=3,AX387=4),"Equity","Debt"),"")</f>
        <v/>
      </c>
    </row>
    <row r="388" spans="2:42">
      <c r="B388" s="834" t="str">
        <f t="shared" si="18"/>
        <v>|||</v>
      </c>
      <c r="H388" s="835">
        <f t="shared" ref="H388:H451" si="20">EOMONTH(L388,0)</f>
        <v>31</v>
      </c>
      <c r="AF388" s="831" t="s">
        <v>1074</v>
      </c>
      <c r="AG388" s="831" t="s">
        <v>56</v>
      </c>
      <c r="AH388" s="831" t="s">
        <v>72</v>
      </c>
      <c r="AI388" s="831">
        <v>0</v>
      </c>
      <c r="AJ388" s="835">
        <v>39478</v>
      </c>
      <c r="AK388" s="831">
        <v>0</v>
      </c>
      <c r="AP388" s="831" t="str">
        <f t="shared" si="19"/>
        <v/>
      </c>
    </row>
    <row r="389" spans="2:42">
      <c r="B389" s="834" t="str">
        <f t="shared" si="18"/>
        <v>|||</v>
      </c>
      <c r="H389" s="835">
        <f t="shared" si="20"/>
        <v>31</v>
      </c>
      <c r="AF389" s="831" t="s">
        <v>1075</v>
      </c>
      <c r="AG389" s="831" t="s">
        <v>56</v>
      </c>
      <c r="AH389" s="831" t="s">
        <v>77</v>
      </c>
      <c r="AI389" s="831">
        <v>0</v>
      </c>
      <c r="AJ389" s="835">
        <v>39478</v>
      </c>
      <c r="AK389" s="831">
        <v>-96329</v>
      </c>
      <c r="AP389" s="831" t="str">
        <f t="shared" si="19"/>
        <v/>
      </c>
    </row>
    <row r="390" spans="2:42">
      <c r="B390" s="834" t="str">
        <f t="shared" si="18"/>
        <v>|||</v>
      </c>
      <c r="H390" s="835">
        <f t="shared" si="20"/>
        <v>31</v>
      </c>
      <c r="AF390" s="831" t="s">
        <v>1076</v>
      </c>
      <c r="AG390" s="831" t="s">
        <v>56</v>
      </c>
      <c r="AH390" s="831" t="s">
        <v>95</v>
      </c>
      <c r="AI390" s="831">
        <v>0</v>
      </c>
      <c r="AJ390" s="835">
        <v>39478</v>
      </c>
      <c r="AK390" s="831">
        <v>35103</v>
      </c>
      <c r="AP390" s="831" t="str">
        <f t="shared" si="19"/>
        <v/>
      </c>
    </row>
    <row r="391" spans="2:42">
      <c r="B391" s="834" t="str">
        <f t="shared" si="18"/>
        <v>|||</v>
      </c>
      <c r="H391" s="835">
        <f t="shared" si="20"/>
        <v>31</v>
      </c>
      <c r="AF391" s="831" t="s">
        <v>1077</v>
      </c>
      <c r="AG391" s="831" t="s">
        <v>56</v>
      </c>
      <c r="AH391" s="831" t="s">
        <v>98</v>
      </c>
      <c r="AI391" s="831">
        <v>0</v>
      </c>
      <c r="AJ391" s="835">
        <v>39478</v>
      </c>
      <c r="AK391" s="831">
        <v>-1110982</v>
      </c>
      <c r="AP391" s="831" t="str">
        <f t="shared" si="19"/>
        <v/>
      </c>
    </row>
    <row r="392" spans="2:42">
      <c r="B392" s="834" t="str">
        <f t="shared" si="18"/>
        <v>|||</v>
      </c>
      <c r="H392" s="835">
        <f t="shared" si="20"/>
        <v>31</v>
      </c>
      <c r="AF392" s="831" t="s">
        <v>1078</v>
      </c>
      <c r="AG392" s="831" t="s">
        <v>56</v>
      </c>
      <c r="AH392" s="831" t="s">
        <v>106</v>
      </c>
      <c r="AI392" s="831">
        <v>0</v>
      </c>
      <c r="AJ392" s="835">
        <v>39478</v>
      </c>
      <c r="AK392" s="831">
        <v>0</v>
      </c>
      <c r="AP392" s="831" t="str">
        <f t="shared" si="19"/>
        <v/>
      </c>
    </row>
    <row r="393" spans="2:42">
      <c r="B393" s="834" t="str">
        <f t="shared" si="18"/>
        <v>|||</v>
      </c>
      <c r="H393" s="835">
        <f t="shared" si="20"/>
        <v>31</v>
      </c>
      <c r="AF393" s="831" t="s">
        <v>1079</v>
      </c>
      <c r="AG393" s="831" t="s">
        <v>56</v>
      </c>
      <c r="AH393" s="831" t="s">
        <v>109</v>
      </c>
      <c r="AI393" s="831">
        <v>0</v>
      </c>
      <c r="AJ393" s="835">
        <v>39478</v>
      </c>
      <c r="AK393" s="831">
        <v>0</v>
      </c>
      <c r="AP393" s="831" t="str">
        <f t="shared" si="19"/>
        <v/>
      </c>
    </row>
    <row r="394" spans="2:42">
      <c r="B394" s="834" t="str">
        <f t="shared" si="18"/>
        <v>|||</v>
      </c>
      <c r="H394" s="835">
        <f t="shared" si="20"/>
        <v>31</v>
      </c>
      <c r="AF394" s="831" t="s">
        <v>1080</v>
      </c>
      <c r="AG394" s="831" t="s">
        <v>56</v>
      </c>
      <c r="AH394" s="831" t="s">
        <v>118</v>
      </c>
      <c r="AI394" s="831">
        <v>0</v>
      </c>
      <c r="AJ394" s="835">
        <v>39478</v>
      </c>
      <c r="AK394" s="831">
        <v>-171327</v>
      </c>
      <c r="AP394" s="831" t="str">
        <f t="shared" si="19"/>
        <v/>
      </c>
    </row>
    <row r="395" spans="2:42">
      <c r="B395" s="834" t="str">
        <f t="shared" si="18"/>
        <v>|||</v>
      </c>
      <c r="H395" s="835">
        <f t="shared" si="20"/>
        <v>31</v>
      </c>
      <c r="AF395" s="831" t="s">
        <v>1081</v>
      </c>
      <c r="AG395" s="831" t="s">
        <v>56</v>
      </c>
      <c r="AH395" s="831" t="s">
        <v>122</v>
      </c>
      <c r="AI395" s="831">
        <v>0</v>
      </c>
      <c r="AJ395" s="835">
        <v>39478</v>
      </c>
      <c r="AK395" s="831">
        <v>0</v>
      </c>
      <c r="AP395" s="831" t="str">
        <f t="shared" si="19"/>
        <v/>
      </c>
    </row>
    <row r="396" spans="2:42">
      <c r="B396" s="834" t="str">
        <f t="shared" si="18"/>
        <v>|||</v>
      </c>
      <c r="H396" s="835">
        <f t="shared" si="20"/>
        <v>31</v>
      </c>
      <c r="AF396" s="831" t="s">
        <v>1082</v>
      </c>
      <c r="AG396" s="831" t="s">
        <v>56</v>
      </c>
      <c r="AH396" s="831" t="s">
        <v>128</v>
      </c>
      <c r="AI396" s="831">
        <v>0</v>
      </c>
      <c r="AJ396" s="835">
        <v>39478</v>
      </c>
      <c r="AK396" s="831">
        <v>0</v>
      </c>
      <c r="AP396" s="831" t="str">
        <f t="shared" si="19"/>
        <v/>
      </c>
    </row>
    <row r="397" spans="2:42">
      <c r="B397" s="834" t="str">
        <f t="shared" si="18"/>
        <v>|||</v>
      </c>
      <c r="H397" s="835">
        <f t="shared" si="20"/>
        <v>31</v>
      </c>
      <c r="AF397" s="831" t="s">
        <v>1083</v>
      </c>
      <c r="AG397" s="831" t="s">
        <v>56</v>
      </c>
      <c r="AH397" s="831" t="s">
        <v>65</v>
      </c>
      <c r="AI397" s="831">
        <v>0</v>
      </c>
      <c r="AJ397" s="835">
        <v>39507</v>
      </c>
      <c r="AK397" s="831">
        <v>5559208</v>
      </c>
      <c r="AP397" s="831" t="str">
        <f t="shared" si="19"/>
        <v/>
      </c>
    </row>
    <row r="398" spans="2:42">
      <c r="B398" s="834" t="str">
        <f t="shared" si="18"/>
        <v>|||</v>
      </c>
      <c r="H398" s="835">
        <f t="shared" si="20"/>
        <v>31</v>
      </c>
      <c r="AF398" s="831" t="s">
        <v>1084</v>
      </c>
      <c r="AG398" s="831" t="s">
        <v>56</v>
      </c>
      <c r="AH398" s="831" t="s">
        <v>67</v>
      </c>
      <c r="AI398" s="831">
        <v>0</v>
      </c>
      <c r="AJ398" s="835">
        <v>39507</v>
      </c>
      <c r="AK398" s="831">
        <v>-1606280</v>
      </c>
      <c r="AP398" s="831" t="str">
        <f t="shared" si="19"/>
        <v/>
      </c>
    </row>
    <row r="399" spans="2:42">
      <c r="B399" s="834" t="str">
        <f t="shared" si="18"/>
        <v>|||</v>
      </c>
      <c r="H399" s="835">
        <f t="shared" si="20"/>
        <v>31</v>
      </c>
      <c r="AF399" s="831" t="s">
        <v>1085</v>
      </c>
      <c r="AG399" s="831" t="s">
        <v>56</v>
      </c>
      <c r="AH399" s="831" t="s">
        <v>72</v>
      </c>
      <c r="AI399" s="831">
        <v>0</v>
      </c>
      <c r="AJ399" s="835">
        <v>39507</v>
      </c>
      <c r="AK399" s="831">
        <v>0</v>
      </c>
      <c r="AP399" s="831" t="str">
        <f t="shared" si="19"/>
        <v/>
      </c>
    </row>
    <row r="400" spans="2:42">
      <c r="B400" s="834" t="str">
        <f t="shared" si="18"/>
        <v>|||</v>
      </c>
      <c r="H400" s="835">
        <f t="shared" si="20"/>
        <v>31</v>
      </c>
      <c r="AF400" s="831" t="s">
        <v>1086</v>
      </c>
      <c r="AG400" s="831" t="s">
        <v>56</v>
      </c>
      <c r="AH400" s="831" t="s">
        <v>77</v>
      </c>
      <c r="AI400" s="831">
        <v>0</v>
      </c>
      <c r="AJ400" s="835">
        <v>39507</v>
      </c>
      <c r="AK400" s="831">
        <v>-282002</v>
      </c>
      <c r="AP400" s="831" t="str">
        <f t="shared" si="19"/>
        <v/>
      </c>
    </row>
    <row r="401" spans="2:42">
      <c r="B401" s="834" t="str">
        <f t="shared" si="18"/>
        <v>|||</v>
      </c>
      <c r="H401" s="835">
        <f t="shared" si="20"/>
        <v>31</v>
      </c>
      <c r="AF401" s="831" t="s">
        <v>1087</v>
      </c>
      <c r="AG401" s="831" t="s">
        <v>56</v>
      </c>
      <c r="AH401" s="831" t="s">
        <v>95</v>
      </c>
      <c r="AI401" s="831">
        <v>0</v>
      </c>
      <c r="AJ401" s="835">
        <v>39507</v>
      </c>
      <c r="AK401" s="831">
        <v>42560</v>
      </c>
      <c r="AP401" s="831" t="str">
        <f t="shared" si="19"/>
        <v/>
      </c>
    </row>
    <row r="402" spans="2:42">
      <c r="B402" s="834" t="str">
        <f t="shared" si="18"/>
        <v>|||</v>
      </c>
      <c r="H402" s="835">
        <f t="shared" si="20"/>
        <v>31</v>
      </c>
      <c r="AF402" s="831" t="s">
        <v>1088</v>
      </c>
      <c r="AG402" s="831" t="s">
        <v>56</v>
      </c>
      <c r="AH402" s="831" t="s">
        <v>98</v>
      </c>
      <c r="AI402" s="831">
        <v>0</v>
      </c>
      <c r="AJ402" s="835">
        <v>39507</v>
      </c>
      <c r="AK402" s="831">
        <v>-2387653</v>
      </c>
      <c r="AP402" s="831" t="str">
        <f t="shared" si="19"/>
        <v/>
      </c>
    </row>
    <row r="403" spans="2:42">
      <c r="B403" s="834" t="str">
        <f t="shared" si="18"/>
        <v>|||</v>
      </c>
      <c r="H403" s="835">
        <f t="shared" si="20"/>
        <v>31</v>
      </c>
      <c r="AF403" s="831" t="s">
        <v>1089</v>
      </c>
      <c r="AG403" s="831" t="s">
        <v>56</v>
      </c>
      <c r="AH403" s="831" t="s">
        <v>106</v>
      </c>
      <c r="AI403" s="831">
        <v>0</v>
      </c>
      <c r="AJ403" s="835">
        <v>39507</v>
      </c>
      <c r="AK403" s="831">
        <v>0</v>
      </c>
      <c r="AP403" s="831" t="str">
        <f t="shared" si="19"/>
        <v/>
      </c>
    </row>
    <row r="404" spans="2:42">
      <c r="B404" s="834" t="str">
        <f t="shared" si="18"/>
        <v>|||</v>
      </c>
      <c r="H404" s="835">
        <f t="shared" si="20"/>
        <v>31</v>
      </c>
      <c r="AF404" s="831" t="s">
        <v>1090</v>
      </c>
      <c r="AG404" s="831" t="s">
        <v>56</v>
      </c>
      <c r="AH404" s="831" t="s">
        <v>109</v>
      </c>
      <c r="AI404" s="831">
        <v>0</v>
      </c>
      <c r="AJ404" s="835">
        <v>39507</v>
      </c>
      <c r="AK404" s="831">
        <v>0</v>
      </c>
      <c r="AP404" s="831" t="str">
        <f t="shared" si="19"/>
        <v/>
      </c>
    </row>
    <row r="405" spans="2:42">
      <c r="B405" s="834" t="str">
        <f t="shared" si="18"/>
        <v>|||</v>
      </c>
      <c r="H405" s="835">
        <f t="shared" si="20"/>
        <v>31</v>
      </c>
      <c r="AF405" s="831" t="s">
        <v>1091</v>
      </c>
      <c r="AG405" s="831" t="s">
        <v>56</v>
      </c>
      <c r="AH405" s="831" t="s">
        <v>118</v>
      </c>
      <c r="AI405" s="831">
        <v>0</v>
      </c>
      <c r="AJ405" s="835">
        <v>39507</v>
      </c>
      <c r="AK405" s="831">
        <v>-291683</v>
      </c>
      <c r="AP405" s="831" t="str">
        <f t="shared" si="19"/>
        <v/>
      </c>
    </row>
    <row r="406" spans="2:42">
      <c r="B406" s="834" t="str">
        <f t="shared" si="18"/>
        <v>|||</v>
      </c>
      <c r="H406" s="835">
        <f t="shared" si="20"/>
        <v>31</v>
      </c>
      <c r="AF406" s="831" t="s">
        <v>1092</v>
      </c>
      <c r="AG406" s="831" t="s">
        <v>56</v>
      </c>
      <c r="AH406" s="831" t="s">
        <v>122</v>
      </c>
      <c r="AI406" s="831">
        <v>0</v>
      </c>
      <c r="AJ406" s="835">
        <v>39507</v>
      </c>
      <c r="AK406" s="831">
        <v>0</v>
      </c>
      <c r="AP406" s="831" t="str">
        <f t="shared" si="19"/>
        <v/>
      </c>
    </row>
    <row r="407" spans="2:42">
      <c r="B407" s="834" t="str">
        <f t="shared" si="18"/>
        <v>|||</v>
      </c>
      <c r="H407" s="835">
        <f t="shared" si="20"/>
        <v>31</v>
      </c>
      <c r="AF407" s="831" t="s">
        <v>1093</v>
      </c>
      <c r="AG407" s="831" t="s">
        <v>56</v>
      </c>
      <c r="AH407" s="831" t="s">
        <v>128</v>
      </c>
      <c r="AI407" s="831">
        <v>0</v>
      </c>
      <c r="AJ407" s="835">
        <v>39507</v>
      </c>
      <c r="AK407" s="831">
        <v>0</v>
      </c>
      <c r="AP407" s="831" t="str">
        <f t="shared" si="19"/>
        <v/>
      </c>
    </row>
    <row r="408" spans="2:42">
      <c r="B408" s="834" t="str">
        <f t="shared" si="18"/>
        <v>|||</v>
      </c>
      <c r="H408" s="835">
        <f t="shared" si="20"/>
        <v>31</v>
      </c>
      <c r="AF408" s="831" t="s">
        <v>1094</v>
      </c>
      <c r="AG408" s="831" t="s">
        <v>56</v>
      </c>
      <c r="AH408" s="831" t="s">
        <v>65</v>
      </c>
      <c r="AI408" s="831">
        <v>0</v>
      </c>
      <c r="AJ408" s="835">
        <v>39538</v>
      </c>
      <c r="AK408" s="831">
        <v>8566578</v>
      </c>
      <c r="AP408" s="831" t="str">
        <f t="shared" si="19"/>
        <v/>
      </c>
    </row>
    <row r="409" spans="2:42">
      <c r="B409" s="834" t="str">
        <f t="shared" si="18"/>
        <v>|||</v>
      </c>
      <c r="H409" s="835">
        <f t="shared" si="20"/>
        <v>31</v>
      </c>
      <c r="AF409" s="831" t="s">
        <v>1095</v>
      </c>
      <c r="AG409" s="831" t="s">
        <v>56</v>
      </c>
      <c r="AH409" s="831" t="s">
        <v>67</v>
      </c>
      <c r="AI409" s="831">
        <v>0</v>
      </c>
      <c r="AJ409" s="835">
        <v>39538</v>
      </c>
      <c r="AK409" s="831">
        <v>-2578981</v>
      </c>
      <c r="AP409" s="831" t="str">
        <f t="shared" si="19"/>
        <v/>
      </c>
    </row>
    <row r="410" spans="2:42">
      <c r="B410" s="834" t="str">
        <f t="shared" si="18"/>
        <v>|||</v>
      </c>
      <c r="H410" s="835">
        <f t="shared" si="20"/>
        <v>31</v>
      </c>
      <c r="AF410" s="831" t="s">
        <v>1096</v>
      </c>
      <c r="AG410" s="831" t="s">
        <v>56</v>
      </c>
      <c r="AH410" s="831" t="s">
        <v>72</v>
      </c>
      <c r="AI410" s="831">
        <v>0</v>
      </c>
      <c r="AJ410" s="835">
        <v>39538</v>
      </c>
      <c r="AK410" s="831">
        <v>0</v>
      </c>
      <c r="AP410" s="831" t="str">
        <f t="shared" si="19"/>
        <v/>
      </c>
    </row>
    <row r="411" spans="2:42">
      <c r="B411" s="834" t="str">
        <f t="shared" si="18"/>
        <v>|||</v>
      </c>
      <c r="H411" s="835">
        <f t="shared" si="20"/>
        <v>31</v>
      </c>
      <c r="AF411" s="831" t="s">
        <v>1097</v>
      </c>
      <c r="AG411" s="831" t="s">
        <v>56</v>
      </c>
      <c r="AH411" s="831" t="s">
        <v>77</v>
      </c>
      <c r="AI411" s="831">
        <v>0</v>
      </c>
      <c r="AJ411" s="835">
        <v>39538</v>
      </c>
      <c r="AK411" s="831">
        <v>-473218</v>
      </c>
      <c r="AP411" s="831" t="str">
        <f t="shared" si="19"/>
        <v/>
      </c>
    </row>
    <row r="412" spans="2:42">
      <c r="B412" s="834" t="str">
        <f t="shared" si="18"/>
        <v>|||</v>
      </c>
      <c r="H412" s="835">
        <f t="shared" si="20"/>
        <v>31</v>
      </c>
      <c r="AF412" s="831" t="s">
        <v>1098</v>
      </c>
      <c r="AG412" s="831" t="s">
        <v>56</v>
      </c>
      <c r="AH412" s="831" t="s">
        <v>95</v>
      </c>
      <c r="AI412" s="831">
        <v>0</v>
      </c>
      <c r="AJ412" s="835">
        <v>39538</v>
      </c>
      <c r="AK412" s="831">
        <v>47839</v>
      </c>
      <c r="AP412" s="831" t="str">
        <f t="shared" si="19"/>
        <v/>
      </c>
    </row>
    <row r="413" spans="2:42">
      <c r="B413" s="834" t="str">
        <f t="shared" si="18"/>
        <v>|||</v>
      </c>
      <c r="H413" s="835">
        <f t="shared" si="20"/>
        <v>31</v>
      </c>
      <c r="AF413" s="831" t="s">
        <v>1099</v>
      </c>
      <c r="AG413" s="831" t="s">
        <v>56</v>
      </c>
      <c r="AH413" s="831" t="s">
        <v>98</v>
      </c>
      <c r="AI413" s="831">
        <v>0</v>
      </c>
      <c r="AJ413" s="835">
        <v>39538</v>
      </c>
      <c r="AK413" s="831">
        <v>-3538097</v>
      </c>
      <c r="AP413" s="831" t="str">
        <f t="shared" si="19"/>
        <v/>
      </c>
    </row>
    <row r="414" spans="2:42">
      <c r="B414" s="834" t="str">
        <f t="shared" si="18"/>
        <v>|||</v>
      </c>
      <c r="H414" s="835">
        <f t="shared" si="20"/>
        <v>31</v>
      </c>
      <c r="AF414" s="831" t="s">
        <v>1100</v>
      </c>
      <c r="AG414" s="831" t="s">
        <v>56</v>
      </c>
      <c r="AH414" s="831" t="s">
        <v>106</v>
      </c>
      <c r="AI414" s="831">
        <v>0</v>
      </c>
      <c r="AJ414" s="835">
        <v>39538</v>
      </c>
      <c r="AK414" s="831">
        <v>0</v>
      </c>
      <c r="AP414" s="831" t="str">
        <f t="shared" si="19"/>
        <v/>
      </c>
    </row>
    <row r="415" spans="2:42">
      <c r="B415" s="834" t="str">
        <f t="shared" si="18"/>
        <v>|||</v>
      </c>
      <c r="H415" s="835">
        <f t="shared" si="20"/>
        <v>31</v>
      </c>
      <c r="AF415" s="831" t="s">
        <v>1101</v>
      </c>
      <c r="AG415" s="831" t="s">
        <v>56</v>
      </c>
      <c r="AH415" s="831" t="s">
        <v>109</v>
      </c>
      <c r="AI415" s="831">
        <v>0</v>
      </c>
      <c r="AJ415" s="835">
        <v>39538</v>
      </c>
      <c r="AK415" s="831">
        <v>0</v>
      </c>
      <c r="AP415" s="831" t="str">
        <f t="shared" si="19"/>
        <v/>
      </c>
    </row>
    <row r="416" spans="2:42">
      <c r="B416" s="834" t="str">
        <f t="shared" si="18"/>
        <v>|||</v>
      </c>
      <c r="H416" s="835">
        <f t="shared" si="20"/>
        <v>31</v>
      </c>
      <c r="AF416" s="831" t="s">
        <v>1102</v>
      </c>
      <c r="AG416" s="831" t="s">
        <v>56</v>
      </c>
      <c r="AH416" s="831" t="s">
        <v>118</v>
      </c>
      <c r="AI416" s="831">
        <v>0</v>
      </c>
      <c r="AJ416" s="835">
        <v>39538</v>
      </c>
      <c r="AK416" s="831">
        <v>-443441</v>
      </c>
      <c r="AP416" s="831" t="str">
        <f t="shared" si="19"/>
        <v/>
      </c>
    </row>
    <row r="417" spans="2:42">
      <c r="B417" s="834" t="str">
        <f t="shared" si="18"/>
        <v>|||</v>
      </c>
      <c r="H417" s="835">
        <f t="shared" si="20"/>
        <v>31</v>
      </c>
      <c r="AF417" s="831" t="s">
        <v>1103</v>
      </c>
      <c r="AG417" s="831" t="s">
        <v>56</v>
      </c>
      <c r="AH417" s="831" t="s">
        <v>122</v>
      </c>
      <c r="AI417" s="831">
        <v>0</v>
      </c>
      <c r="AJ417" s="835">
        <v>39538</v>
      </c>
      <c r="AK417" s="831">
        <v>0</v>
      </c>
      <c r="AP417" s="831" t="str">
        <f t="shared" si="19"/>
        <v/>
      </c>
    </row>
    <row r="418" spans="2:42">
      <c r="B418" s="834" t="str">
        <f t="shared" si="18"/>
        <v>|||</v>
      </c>
      <c r="H418" s="835">
        <f t="shared" si="20"/>
        <v>31</v>
      </c>
      <c r="AF418" s="831" t="s">
        <v>1104</v>
      </c>
      <c r="AG418" s="831" t="s">
        <v>56</v>
      </c>
      <c r="AH418" s="831" t="s">
        <v>128</v>
      </c>
      <c r="AI418" s="831">
        <v>0</v>
      </c>
      <c r="AJ418" s="835">
        <v>39538</v>
      </c>
      <c r="AK418" s="831">
        <v>0</v>
      </c>
      <c r="AP418" s="831" t="str">
        <f t="shared" si="19"/>
        <v/>
      </c>
    </row>
    <row r="419" spans="2:42">
      <c r="B419" s="834" t="str">
        <f t="shared" si="18"/>
        <v>|||</v>
      </c>
      <c r="H419" s="835">
        <f t="shared" si="20"/>
        <v>31</v>
      </c>
      <c r="AF419" s="831" t="s">
        <v>1105</v>
      </c>
      <c r="AG419" s="831" t="s">
        <v>56</v>
      </c>
      <c r="AH419" s="831" t="s">
        <v>65</v>
      </c>
      <c r="AI419" s="831">
        <v>0</v>
      </c>
      <c r="AJ419" s="835">
        <v>39568</v>
      </c>
      <c r="AK419" s="831">
        <v>12291174</v>
      </c>
      <c r="AP419" s="831" t="str">
        <f t="shared" si="19"/>
        <v/>
      </c>
    </row>
    <row r="420" spans="2:42">
      <c r="B420" s="834" t="str">
        <f t="shared" si="18"/>
        <v>|||</v>
      </c>
      <c r="H420" s="835">
        <f t="shared" si="20"/>
        <v>31</v>
      </c>
      <c r="AF420" s="831" t="s">
        <v>1106</v>
      </c>
      <c r="AG420" s="831" t="s">
        <v>56</v>
      </c>
      <c r="AH420" s="831" t="s">
        <v>67</v>
      </c>
      <c r="AI420" s="831">
        <v>0</v>
      </c>
      <c r="AJ420" s="835">
        <v>39568</v>
      </c>
      <c r="AK420" s="831">
        <v>-3575912</v>
      </c>
      <c r="AP420" s="831" t="str">
        <f t="shared" si="19"/>
        <v/>
      </c>
    </row>
    <row r="421" spans="2:42">
      <c r="B421" s="834" t="str">
        <f t="shared" si="18"/>
        <v>|||</v>
      </c>
      <c r="H421" s="835">
        <f t="shared" si="20"/>
        <v>31</v>
      </c>
      <c r="AF421" s="831" t="s">
        <v>1107</v>
      </c>
      <c r="AG421" s="831" t="s">
        <v>56</v>
      </c>
      <c r="AH421" s="831" t="s">
        <v>72</v>
      </c>
      <c r="AI421" s="831">
        <v>0</v>
      </c>
      <c r="AJ421" s="835">
        <v>39568</v>
      </c>
      <c r="AK421" s="831">
        <v>0</v>
      </c>
      <c r="AP421" s="831" t="str">
        <f t="shared" si="19"/>
        <v/>
      </c>
    </row>
    <row r="422" spans="2:42">
      <c r="B422" s="834" t="str">
        <f t="shared" si="18"/>
        <v>|||</v>
      </c>
      <c r="H422" s="835">
        <f t="shared" si="20"/>
        <v>31</v>
      </c>
      <c r="AF422" s="831" t="s">
        <v>1108</v>
      </c>
      <c r="AG422" s="831" t="s">
        <v>56</v>
      </c>
      <c r="AH422" s="831" t="s">
        <v>77</v>
      </c>
      <c r="AI422" s="831">
        <v>0</v>
      </c>
      <c r="AJ422" s="835">
        <v>39568</v>
      </c>
      <c r="AK422" s="831">
        <v>-760869</v>
      </c>
      <c r="AP422" s="831" t="str">
        <f t="shared" si="19"/>
        <v/>
      </c>
    </row>
    <row r="423" spans="2:42">
      <c r="B423" s="834" t="str">
        <f t="shared" si="18"/>
        <v>|||</v>
      </c>
      <c r="H423" s="835">
        <f t="shared" si="20"/>
        <v>31</v>
      </c>
      <c r="AF423" s="831" t="s">
        <v>1109</v>
      </c>
      <c r="AG423" s="831" t="s">
        <v>56</v>
      </c>
      <c r="AH423" s="831" t="s">
        <v>95</v>
      </c>
      <c r="AI423" s="831">
        <v>0</v>
      </c>
      <c r="AJ423" s="835">
        <v>39568</v>
      </c>
      <c r="AK423" s="831">
        <v>56433</v>
      </c>
      <c r="AP423" s="831" t="str">
        <f t="shared" si="19"/>
        <v/>
      </c>
    </row>
    <row r="424" spans="2:42">
      <c r="B424" s="834" t="str">
        <f t="shared" si="18"/>
        <v>|||</v>
      </c>
      <c r="H424" s="835">
        <f t="shared" si="20"/>
        <v>31</v>
      </c>
      <c r="AF424" s="831" t="s">
        <v>1110</v>
      </c>
      <c r="AG424" s="831" t="s">
        <v>56</v>
      </c>
      <c r="AH424" s="831" t="s">
        <v>98</v>
      </c>
      <c r="AI424" s="831">
        <v>0</v>
      </c>
      <c r="AJ424" s="835">
        <v>39568</v>
      </c>
      <c r="AK424" s="831">
        <v>-4855900</v>
      </c>
      <c r="AP424" s="831" t="str">
        <f t="shared" si="19"/>
        <v/>
      </c>
    </row>
    <row r="425" spans="2:42">
      <c r="B425" s="834" t="str">
        <f t="shared" si="18"/>
        <v>|||</v>
      </c>
      <c r="H425" s="835">
        <f t="shared" si="20"/>
        <v>31</v>
      </c>
      <c r="AF425" s="831" t="s">
        <v>1111</v>
      </c>
      <c r="AG425" s="831" t="s">
        <v>56</v>
      </c>
      <c r="AH425" s="831" t="s">
        <v>106</v>
      </c>
      <c r="AI425" s="831">
        <v>0</v>
      </c>
      <c r="AJ425" s="835">
        <v>39568</v>
      </c>
      <c r="AK425" s="831">
        <v>0</v>
      </c>
      <c r="AP425" s="831" t="str">
        <f t="shared" si="19"/>
        <v/>
      </c>
    </row>
    <row r="426" spans="2:42">
      <c r="B426" s="834" t="str">
        <f t="shared" si="18"/>
        <v>|||</v>
      </c>
      <c r="H426" s="835">
        <f t="shared" si="20"/>
        <v>31</v>
      </c>
      <c r="AF426" s="831" t="s">
        <v>1112</v>
      </c>
      <c r="AG426" s="831" t="s">
        <v>56</v>
      </c>
      <c r="AH426" s="831" t="s">
        <v>109</v>
      </c>
      <c r="AI426" s="831">
        <v>0</v>
      </c>
      <c r="AJ426" s="835">
        <v>39568</v>
      </c>
      <c r="AK426" s="831">
        <v>0</v>
      </c>
      <c r="AP426" s="831" t="str">
        <f t="shared" si="19"/>
        <v/>
      </c>
    </row>
    <row r="427" spans="2:42">
      <c r="B427" s="834" t="str">
        <f t="shared" si="18"/>
        <v>|||</v>
      </c>
      <c r="H427" s="835">
        <f t="shared" si="20"/>
        <v>31</v>
      </c>
      <c r="AF427" s="831" t="s">
        <v>1113</v>
      </c>
      <c r="AG427" s="831" t="s">
        <v>56</v>
      </c>
      <c r="AH427" s="831" t="s">
        <v>118</v>
      </c>
      <c r="AI427" s="831">
        <v>0</v>
      </c>
      <c r="AJ427" s="835">
        <v>39568</v>
      </c>
      <c r="AK427" s="831">
        <v>-694084</v>
      </c>
      <c r="AP427" s="831" t="str">
        <f t="shared" si="19"/>
        <v/>
      </c>
    </row>
    <row r="428" spans="2:42">
      <c r="B428" s="834" t="str">
        <f t="shared" si="18"/>
        <v>|||</v>
      </c>
      <c r="H428" s="835">
        <f t="shared" si="20"/>
        <v>31</v>
      </c>
      <c r="AF428" s="831" t="s">
        <v>1114</v>
      </c>
      <c r="AG428" s="831" t="s">
        <v>56</v>
      </c>
      <c r="AH428" s="831" t="s">
        <v>122</v>
      </c>
      <c r="AI428" s="831">
        <v>0</v>
      </c>
      <c r="AJ428" s="835">
        <v>39568</v>
      </c>
      <c r="AK428" s="831">
        <v>0</v>
      </c>
      <c r="AP428" s="831" t="str">
        <f t="shared" si="19"/>
        <v/>
      </c>
    </row>
    <row r="429" spans="2:42">
      <c r="B429" s="834" t="str">
        <f t="shared" si="18"/>
        <v>|||</v>
      </c>
      <c r="H429" s="835">
        <f t="shared" si="20"/>
        <v>31</v>
      </c>
      <c r="AF429" s="831" t="s">
        <v>1115</v>
      </c>
      <c r="AG429" s="831" t="s">
        <v>56</v>
      </c>
      <c r="AH429" s="831" t="s">
        <v>128</v>
      </c>
      <c r="AI429" s="831">
        <v>0</v>
      </c>
      <c r="AJ429" s="835">
        <v>39568</v>
      </c>
      <c r="AK429" s="831">
        <v>0</v>
      </c>
      <c r="AP429" s="831" t="str">
        <f t="shared" si="19"/>
        <v/>
      </c>
    </row>
    <row r="430" spans="2:42">
      <c r="B430" s="834" t="str">
        <f t="shared" si="18"/>
        <v>|||</v>
      </c>
      <c r="H430" s="835">
        <f t="shared" si="20"/>
        <v>31</v>
      </c>
      <c r="AF430" s="831" t="s">
        <v>1116</v>
      </c>
      <c r="AG430" s="831" t="s">
        <v>56</v>
      </c>
      <c r="AH430" s="831" t="s">
        <v>65</v>
      </c>
      <c r="AI430" s="831">
        <v>0</v>
      </c>
      <c r="AJ430" s="835">
        <v>39599</v>
      </c>
      <c r="AK430" s="831">
        <v>16071583</v>
      </c>
      <c r="AP430" s="831" t="str">
        <f t="shared" si="19"/>
        <v/>
      </c>
    </row>
    <row r="431" spans="2:42">
      <c r="B431" s="834" t="str">
        <f t="shared" si="18"/>
        <v>|||</v>
      </c>
      <c r="H431" s="835">
        <f t="shared" si="20"/>
        <v>31</v>
      </c>
      <c r="AF431" s="831" t="s">
        <v>1117</v>
      </c>
      <c r="AG431" s="831" t="s">
        <v>56</v>
      </c>
      <c r="AH431" s="831" t="s">
        <v>67</v>
      </c>
      <c r="AI431" s="831">
        <v>0</v>
      </c>
      <c r="AJ431" s="835">
        <v>39599</v>
      </c>
      <c r="AK431" s="831">
        <v>-4660748</v>
      </c>
      <c r="AP431" s="831" t="str">
        <f t="shared" si="19"/>
        <v/>
      </c>
    </row>
    <row r="432" spans="2:42">
      <c r="B432" s="834" t="str">
        <f t="shared" si="18"/>
        <v>|||</v>
      </c>
      <c r="H432" s="835">
        <f t="shared" si="20"/>
        <v>31</v>
      </c>
      <c r="AF432" s="831" t="s">
        <v>1118</v>
      </c>
      <c r="AG432" s="831" t="s">
        <v>56</v>
      </c>
      <c r="AH432" s="831" t="s">
        <v>72</v>
      </c>
      <c r="AI432" s="831">
        <v>0</v>
      </c>
      <c r="AJ432" s="835">
        <v>39599</v>
      </c>
      <c r="AK432" s="831">
        <v>0</v>
      </c>
      <c r="AP432" s="831" t="str">
        <f t="shared" si="19"/>
        <v/>
      </c>
    </row>
    <row r="433" spans="2:42">
      <c r="B433" s="834" t="str">
        <f t="shared" si="18"/>
        <v>|||</v>
      </c>
      <c r="H433" s="835">
        <f t="shared" si="20"/>
        <v>31</v>
      </c>
      <c r="AF433" s="831" t="s">
        <v>1119</v>
      </c>
      <c r="AG433" s="831" t="s">
        <v>56</v>
      </c>
      <c r="AH433" s="831" t="s">
        <v>77</v>
      </c>
      <c r="AI433" s="831">
        <v>0</v>
      </c>
      <c r="AJ433" s="835">
        <v>39599</v>
      </c>
      <c r="AK433" s="831">
        <v>-1093382</v>
      </c>
      <c r="AP433" s="831" t="str">
        <f t="shared" si="19"/>
        <v/>
      </c>
    </row>
    <row r="434" spans="2:42">
      <c r="B434" s="834" t="str">
        <f t="shared" si="18"/>
        <v>|||</v>
      </c>
      <c r="H434" s="835">
        <f t="shared" si="20"/>
        <v>31</v>
      </c>
      <c r="AF434" s="831" t="s">
        <v>1120</v>
      </c>
      <c r="AG434" s="831" t="s">
        <v>56</v>
      </c>
      <c r="AH434" s="831" t="s">
        <v>95</v>
      </c>
      <c r="AI434" s="831">
        <v>0</v>
      </c>
      <c r="AJ434" s="835">
        <v>39599</v>
      </c>
      <c r="AK434" s="831">
        <v>96559</v>
      </c>
      <c r="AP434" s="831" t="str">
        <f t="shared" si="19"/>
        <v/>
      </c>
    </row>
    <row r="435" spans="2:42">
      <c r="B435" s="834" t="str">
        <f t="shared" si="18"/>
        <v>|||</v>
      </c>
      <c r="H435" s="835">
        <f t="shared" si="20"/>
        <v>31</v>
      </c>
      <c r="AF435" s="831" t="s">
        <v>1121</v>
      </c>
      <c r="AG435" s="831" t="s">
        <v>56</v>
      </c>
      <c r="AH435" s="831" t="s">
        <v>98</v>
      </c>
      <c r="AI435" s="831">
        <v>0</v>
      </c>
      <c r="AJ435" s="835">
        <v>39599</v>
      </c>
      <c r="AK435" s="831">
        <v>-6295723</v>
      </c>
      <c r="AP435" s="831" t="str">
        <f t="shared" si="19"/>
        <v/>
      </c>
    </row>
    <row r="436" spans="2:42">
      <c r="B436" s="834" t="str">
        <f t="shared" si="18"/>
        <v>|||</v>
      </c>
      <c r="H436" s="835">
        <f t="shared" si="20"/>
        <v>31</v>
      </c>
      <c r="AF436" s="831" t="s">
        <v>1122</v>
      </c>
      <c r="AG436" s="831" t="s">
        <v>56</v>
      </c>
      <c r="AH436" s="831" t="s">
        <v>106</v>
      </c>
      <c r="AI436" s="831">
        <v>0</v>
      </c>
      <c r="AJ436" s="835">
        <v>39599</v>
      </c>
      <c r="AK436" s="831">
        <v>0</v>
      </c>
      <c r="AP436" s="831" t="str">
        <f t="shared" si="19"/>
        <v/>
      </c>
    </row>
    <row r="437" spans="2:42">
      <c r="B437" s="834" t="str">
        <f t="shared" si="18"/>
        <v>|||</v>
      </c>
      <c r="H437" s="835">
        <f t="shared" si="20"/>
        <v>31</v>
      </c>
      <c r="AF437" s="831" t="s">
        <v>1123</v>
      </c>
      <c r="AG437" s="831" t="s">
        <v>56</v>
      </c>
      <c r="AH437" s="831" t="s">
        <v>109</v>
      </c>
      <c r="AI437" s="831">
        <v>0</v>
      </c>
      <c r="AJ437" s="835">
        <v>39599</v>
      </c>
      <c r="AK437" s="831">
        <v>0</v>
      </c>
      <c r="AP437" s="831" t="str">
        <f t="shared" si="19"/>
        <v/>
      </c>
    </row>
    <row r="438" spans="2:42">
      <c r="B438" s="834" t="str">
        <f t="shared" si="18"/>
        <v>|||</v>
      </c>
      <c r="H438" s="835">
        <f t="shared" si="20"/>
        <v>31</v>
      </c>
      <c r="AF438" s="831" t="s">
        <v>1124</v>
      </c>
      <c r="AG438" s="831" t="s">
        <v>56</v>
      </c>
      <c r="AH438" s="831" t="s">
        <v>118</v>
      </c>
      <c r="AI438" s="831">
        <v>0</v>
      </c>
      <c r="AJ438" s="835">
        <v>39599</v>
      </c>
      <c r="AK438" s="831">
        <v>-906023</v>
      </c>
      <c r="AP438" s="831" t="str">
        <f t="shared" si="19"/>
        <v/>
      </c>
    </row>
    <row r="439" spans="2:42">
      <c r="B439" s="834" t="str">
        <f t="shared" si="18"/>
        <v>|||</v>
      </c>
      <c r="H439" s="835">
        <f t="shared" si="20"/>
        <v>31</v>
      </c>
      <c r="AF439" s="831" t="s">
        <v>1125</v>
      </c>
      <c r="AG439" s="831" t="s">
        <v>56</v>
      </c>
      <c r="AH439" s="831" t="s">
        <v>122</v>
      </c>
      <c r="AI439" s="831">
        <v>0</v>
      </c>
      <c r="AJ439" s="835">
        <v>39599</v>
      </c>
      <c r="AK439" s="831">
        <v>0</v>
      </c>
      <c r="AP439" s="831" t="str">
        <f t="shared" si="19"/>
        <v/>
      </c>
    </row>
    <row r="440" spans="2:42">
      <c r="B440" s="834" t="str">
        <f t="shared" si="18"/>
        <v>|||</v>
      </c>
      <c r="H440" s="835">
        <f t="shared" si="20"/>
        <v>31</v>
      </c>
      <c r="AF440" s="831" t="s">
        <v>1126</v>
      </c>
      <c r="AG440" s="831" t="s">
        <v>56</v>
      </c>
      <c r="AH440" s="831" t="s">
        <v>128</v>
      </c>
      <c r="AI440" s="831">
        <v>0</v>
      </c>
      <c r="AJ440" s="835">
        <v>39599</v>
      </c>
      <c r="AK440" s="831">
        <v>0</v>
      </c>
      <c r="AP440" s="831" t="str">
        <f t="shared" si="19"/>
        <v/>
      </c>
    </row>
    <row r="441" spans="2:42">
      <c r="B441" s="834" t="str">
        <f t="shared" si="18"/>
        <v>|||</v>
      </c>
      <c r="H441" s="835">
        <f t="shared" si="20"/>
        <v>31</v>
      </c>
      <c r="AF441" s="831" t="s">
        <v>1127</v>
      </c>
      <c r="AG441" s="831" t="s">
        <v>56</v>
      </c>
      <c r="AH441" s="831" t="s">
        <v>65</v>
      </c>
      <c r="AI441" s="831">
        <v>0</v>
      </c>
      <c r="AJ441" s="835">
        <v>39629</v>
      </c>
      <c r="AK441" s="831">
        <v>19925564</v>
      </c>
      <c r="AP441" s="831" t="str">
        <f t="shared" si="19"/>
        <v/>
      </c>
    </row>
    <row r="442" spans="2:42">
      <c r="B442" s="834" t="str">
        <f t="shared" si="18"/>
        <v>|||</v>
      </c>
      <c r="H442" s="835">
        <f t="shared" si="20"/>
        <v>31</v>
      </c>
      <c r="AF442" s="831" t="s">
        <v>1128</v>
      </c>
      <c r="AG442" s="831" t="s">
        <v>56</v>
      </c>
      <c r="AH442" s="831" t="s">
        <v>67</v>
      </c>
      <c r="AI442" s="831">
        <v>0</v>
      </c>
      <c r="AJ442" s="835">
        <v>39629</v>
      </c>
      <c r="AK442" s="831">
        <v>-5683446</v>
      </c>
      <c r="AP442" s="831" t="str">
        <f t="shared" si="19"/>
        <v/>
      </c>
    </row>
    <row r="443" spans="2:42">
      <c r="B443" s="834" t="str">
        <f t="shared" si="18"/>
        <v>|||</v>
      </c>
      <c r="H443" s="835">
        <f t="shared" si="20"/>
        <v>31</v>
      </c>
      <c r="AF443" s="831" t="s">
        <v>1129</v>
      </c>
      <c r="AG443" s="831" t="s">
        <v>56</v>
      </c>
      <c r="AH443" s="831" t="s">
        <v>72</v>
      </c>
      <c r="AI443" s="831">
        <v>0</v>
      </c>
      <c r="AJ443" s="835">
        <v>39629</v>
      </c>
      <c r="AK443" s="831">
        <v>0</v>
      </c>
      <c r="AP443" s="831" t="str">
        <f t="shared" si="19"/>
        <v/>
      </c>
    </row>
    <row r="444" spans="2:42">
      <c r="B444" s="834" t="str">
        <f t="shared" si="18"/>
        <v>|||</v>
      </c>
      <c r="H444" s="835">
        <f t="shared" si="20"/>
        <v>31</v>
      </c>
      <c r="AF444" s="831" t="s">
        <v>1130</v>
      </c>
      <c r="AG444" s="831" t="s">
        <v>56</v>
      </c>
      <c r="AH444" s="831" t="s">
        <v>77</v>
      </c>
      <c r="AI444" s="831">
        <v>0</v>
      </c>
      <c r="AJ444" s="835">
        <v>39629</v>
      </c>
      <c r="AK444" s="831">
        <v>-1165115</v>
      </c>
      <c r="AP444" s="831" t="str">
        <f t="shared" si="19"/>
        <v/>
      </c>
    </row>
    <row r="445" spans="2:42">
      <c r="B445" s="834" t="str">
        <f t="shared" si="18"/>
        <v>|||</v>
      </c>
      <c r="H445" s="835">
        <f t="shared" si="20"/>
        <v>31</v>
      </c>
      <c r="AF445" s="831" t="s">
        <v>1131</v>
      </c>
      <c r="AG445" s="831" t="s">
        <v>56</v>
      </c>
      <c r="AH445" s="831" t="s">
        <v>95</v>
      </c>
      <c r="AI445" s="831">
        <v>0</v>
      </c>
      <c r="AJ445" s="835">
        <v>39629</v>
      </c>
      <c r="AK445" s="831">
        <v>64305</v>
      </c>
      <c r="AP445" s="831" t="str">
        <f t="shared" si="19"/>
        <v/>
      </c>
    </row>
    <row r="446" spans="2:42">
      <c r="B446" s="834" t="str">
        <f t="shared" si="18"/>
        <v>|||</v>
      </c>
      <c r="H446" s="835">
        <f t="shared" si="20"/>
        <v>31</v>
      </c>
      <c r="AF446" s="831" t="s">
        <v>1132</v>
      </c>
      <c r="AG446" s="831" t="s">
        <v>56</v>
      </c>
      <c r="AH446" s="831" t="s">
        <v>98</v>
      </c>
      <c r="AI446" s="831">
        <v>0</v>
      </c>
      <c r="AJ446" s="835">
        <v>39629</v>
      </c>
      <c r="AK446" s="831">
        <v>-7742385</v>
      </c>
      <c r="AP446" s="831" t="str">
        <f t="shared" si="19"/>
        <v/>
      </c>
    </row>
    <row r="447" spans="2:42">
      <c r="B447" s="834" t="str">
        <f t="shared" si="18"/>
        <v>|||</v>
      </c>
      <c r="H447" s="835">
        <f t="shared" si="20"/>
        <v>31</v>
      </c>
      <c r="AF447" s="831" t="s">
        <v>1133</v>
      </c>
      <c r="AG447" s="831" t="s">
        <v>56</v>
      </c>
      <c r="AH447" s="831" t="s">
        <v>106</v>
      </c>
      <c r="AI447" s="831">
        <v>0</v>
      </c>
      <c r="AJ447" s="835">
        <v>39629</v>
      </c>
      <c r="AK447" s="831">
        <v>0</v>
      </c>
      <c r="AP447" s="831" t="str">
        <f t="shared" si="19"/>
        <v/>
      </c>
    </row>
    <row r="448" spans="2:42">
      <c r="B448" s="834" t="str">
        <f t="shared" si="18"/>
        <v>|||</v>
      </c>
      <c r="H448" s="835">
        <f t="shared" si="20"/>
        <v>31</v>
      </c>
      <c r="AF448" s="831" t="s">
        <v>1134</v>
      </c>
      <c r="AG448" s="831" t="s">
        <v>56</v>
      </c>
      <c r="AH448" s="831" t="s">
        <v>109</v>
      </c>
      <c r="AI448" s="831">
        <v>0</v>
      </c>
      <c r="AJ448" s="835">
        <v>39629</v>
      </c>
      <c r="AK448" s="831">
        <v>0</v>
      </c>
      <c r="AP448" s="831" t="str">
        <f t="shared" si="19"/>
        <v/>
      </c>
    </row>
    <row r="449" spans="2:42">
      <c r="B449" s="834" t="str">
        <f t="shared" si="18"/>
        <v>|||</v>
      </c>
      <c r="H449" s="835">
        <f t="shared" si="20"/>
        <v>31</v>
      </c>
      <c r="AF449" s="831" t="s">
        <v>1135</v>
      </c>
      <c r="AG449" s="831" t="s">
        <v>56</v>
      </c>
      <c r="AH449" s="831" t="s">
        <v>118</v>
      </c>
      <c r="AI449" s="831">
        <v>0</v>
      </c>
      <c r="AJ449" s="835">
        <v>39629</v>
      </c>
      <c r="AK449" s="831">
        <v>-1187763</v>
      </c>
      <c r="AP449" s="831" t="str">
        <f t="shared" si="19"/>
        <v/>
      </c>
    </row>
    <row r="450" spans="2:42">
      <c r="B450" s="834" t="str">
        <f t="shared" si="18"/>
        <v>|||</v>
      </c>
      <c r="H450" s="835">
        <f t="shared" si="20"/>
        <v>31</v>
      </c>
      <c r="AF450" s="831" t="s">
        <v>1136</v>
      </c>
      <c r="AG450" s="831" t="s">
        <v>56</v>
      </c>
      <c r="AH450" s="831" t="s">
        <v>122</v>
      </c>
      <c r="AI450" s="831">
        <v>0</v>
      </c>
      <c r="AJ450" s="835">
        <v>39629</v>
      </c>
      <c r="AK450" s="831">
        <v>0</v>
      </c>
      <c r="AP450" s="831" t="str">
        <f t="shared" si="19"/>
        <v/>
      </c>
    </row>
    <row r="451" spans="2:42">
      <c r="B451" s="834" t="str">
        <f t="shared" ref="B451:B514" si="21">C451&amp;"|"&amp;D451&amp;"|"&amp;E451&amp;"|"&amp;F451</f>
        <v>|||</v>
      </c>
      <c r="H451" s="835">
        <f t="shared" si="20"/>
        <v>31</v>
      </c>
      <c r="AF451" s="831" t="s">
        <v>1137</v>
      </c>
      <c r="AG451" s="831" t="s">
        <v>56</v>
      </c>
      <c r="AH451" s="831" t="s">
        <v>128</v>
      </c>
      <c r="AI451" s="831">
        <v>0</v>
      </c>
      <c r="AJ451" s="835">
        <v>39629</v>
      </c>
      <c r="AK451" s="831">
        <v>0</v>
      </c>
      <c r="AP451" s="831" t="str">
        <f t="shared" ref="AP451:AP514" si="22">IF(AX451&lt;&gt;"",IF(OR(AX451=3,AX451=4),"Equity","Debt"),"")</f>
        <v/>
      </c>
    </row>
    <row r="452" spans="2:42">
      <c r="B452" s="834" t="str">
        <f t="shared" si="21"/>
        <v>|||</v>
      </c>
      <c r="H452" s="835">
        <f t="shared" ref="H452:H515" si="23">EOMONTH(L452,0)</f>
        <v>31</v>
      </c>
      <c r="AF452" s="831" t="s">
        <v>1138</v>
      </c>
      <c r="AG452" s="831" t="s">
        <v>56</v>
      </c>
      <c r="AH452" s="831" t="s">
        <v>65</v>
      </c>
      <c r="AI452" s="831">
        <v>0</v>
      </c>
      <c r="AJ452" s="835">
        <v>39660</v>
      </c>
      <c r="AK452" s="831">
        <v>24079345</v>
      </c>
      <c r="AP452" s="831" t="str">
        <f t="shared" si="22"/>
        <v/>
      </c>
    </row>
    <row r="453" spans="2:42">
      <c r="B453" s="834" t="str">
        <f t="shared" si="21"/>
        <v>|||</v>
      </c>
      <c r="H453" s="835">
        <f t="shared" si="23"/>
        <v>31</v>
      </c>
      <c r="AF453" s="831" t="s">
        <v>1139</v>
      </c>
      <c r="AG453" s="831" t="s">
        <v>56</v>
      </c>
      <c r="AH453" s="831" t="s">
        <v>67</v>
      </c>
      <c r="AI453" s="831">
        <v>0</v>
      </c>
      <c r="AJ453" s="835">
        <v>39660</v>
      </c>
      <c r="AK453" s="831">
        <v>-6786821</v>
      </c>
      <c r="AP453" s="831" t="str">
        <f t="shared" si="22"/>
        <v/>
      </c>
    </row>
    <row r="454" spans="2:42">
      <c r="B454" s="834" t="str">
        <f t="shared" si="21"/>
        <v>|||</v>
      </c>
      <c r="H454" s="835">
        <f t="shared" si="23"/>
        <v>31</v>
      </c>
      <c r="AF454" s="831" t="s">
        <v>1140</v>
      </c>
      <c r="AG454" s="831" t="s">
        <v>56</v>
      </c>
      <c r="AH454" s="831" t="s">
        <v>72</v>
      </c>
      <c r="AI454" s="831">
        <v>0</v>
      </c>
      <c r="AJ454" s="835">
        <v>39660</v>
      </c>
      <c r="AK454" s="831">
        <v>0</v>
      </c>
      <c r="AP454" s="831" t="str">
        <f t="shared" si="22"/>
        <v/>
      </c>
    </row>
    <row r="455" spans="2:42">
      <c r="B455" s="834" t="str">
        <f t="shared" si="21"/>
        <v>|||</v>
      </c>
      <c r="H455" s="835">
        <f t="shared" si="23"/>
        <v>31</v>
      </c>
      <c r="AF455" s="831" t="s">
        <v>1141</v>
      </c>
      <c r="AG455" s="831" t="s">
        <v>56</v>
      </c>
      <c r="AH455" s="831" t="s">
        <v>77</v>
      </c>
      <c r="AI455" s="831">
        <v>0</v>
      </c>
      <c r="AJ455" s="835">
        <v>39660</v>
      </c>
      <c r="AK455" s="831">
        <v>-1314162</v>
      </c>
      <c r="AP455" s="831" t="str">
        <f t="shared" si="22"/>
        <v/>
      </c>
    </row>
    <row r="456" spans="2:42">
      <c r="B456" s="834" t="str">
        <f t="shared" si="21"/>
        <v>|||</v>
      </c>
      <c r="H456" s="835">
        <f t="shared" si="23"/>
        <v>31</v>
      </c>
      <c r="AF456" s="831" t="s">
        <v>1142</v>
      </c>
      <c r="AG456" s="831" t="s">
        <v>56</v>
      </c>
      <c r="AH456" s="831" t="s">
        <v>95</v>
      </c>
      <c r="AI456" s="831">
        <v>0</v>
      </c>
      <c r="AJ456" s="835">
        <v>39660</v>
      </c>
      <c r="AK456" s="831">
        <v>113611</v>
      </c>
      <c r="AP456" s="831" t="str">
        <f t="shared" si="22"/>
        <v/>
      </c>
    </row>
    <row r="457" spans="2:42">
      <c r="B457" s="834" t="str">
        <f t="shared" si="21"/>
        <v>|||</v>
      </c>
      <c r="H457" s="835">
        <f t="shared" si="23"/>
        <v>31</v>
      </c>
      <c r="AF457" s="831" t="s">
        <v>1143</v>
      </c>
      <c r="AG457" s="831" t="s">
        <v>56</v>
      </c>
      <c r="AH457" s="831" t="s">
        <v>98</v>
      </c>
      <c r="AI457" s="831">
        <v>0</v>
      </c>
      <c r="AJ457" s="835">
        <v>39660</v>
      </c>
      <c r="AK457" s="831">
        <v>-9242831</v>
      </c>
      <c r="AP457" s="831" t="str">
        <f t="shared" si="22"/>
        <v/>
      </c>
    </row>
    <row r="458" spans="2:42">
      <c r="B458" s="834" t="str">
        <f t="shared" si="21"/>
        <v>|||</v>
      </c>
      <c r="H458" s="835">
        <f t="shared" si="23"/>
        <v>31</v>
      </c>
      <c r="AF458" s="831" t="s">
        <v>1144</v>
      </c>
      <c r="AG458" s="831" t="s">
        <v>56</v>
      </c>
      <c r="AH458" s="831" t="s">
        <v>106</v>
      </c>
      <c r="AI458" s="831">
        <v>0</v>
      </c>
      <c r="AJ458" s="835">
        <v>39660</v>
      </c>
      <c r="AK458" s="831">
        <v>0</v>
      </c>
      <c r="AP458" s="831" t="str">
        <f t="shared" si="22"/>
        <v/>
      </c>
    </row>
    <row r="459" spans="2:42">
      <c r="B459" s="834" t="str">
        <f t="shared" si="21"/>
        <v>|||</v>
      </c>
      <c r="H459" s="835">
        <f t="shared" si="23"/>
        <v>31</v>
      </c>
      <c r="AF459" s="831" t="s">
        <v>1145</v>
      </c>
      <c r="AG459" s="831" t="s">
        <v>56</v>
      </c>
      <c r="AH459" s="831" t="s">
        <v>109</v>
      </c>
      <c r="AI459" s="831">
        <v>0</v>
      </c>
      <c r="AJ459" s="835">
        <v>39660</v>
      </c>
      <c r="AK459" s="831">
        <v>0</v>
      </c>
      <c r="AP459" s="831" t="str">
        <f t="shared" si="22"/>
        <v/>
      </c>
    </row>
    <row r="460" spans="2:42">
      <c r="B460" s="834" t="str">
        <f t="shared" si="21"/>
        <v>|||</v>
      </c>
      <c r="H460" s="835">
        <f t="shared" si="23"/>
        <v>31</v>
      </c>
      <c r="AF460" s="831" t="s">
        <v>1146</v>
      </c>
      <c r="AG460" s="831" t="s">
        <v>56</v>
      </c>
      <c r="AH460" s="831" t="s">
        <v>118</v>
      </c>
      <c r="AI460" s="831">
        <v>0</v>
      </c>
      <c r="AJ460" s="835">
        <v>39660</v>
      </c>
      <c r="AK460" s="831">
        <v>-1506811</v>
      </c>
      <c r="AP460" s="831" t="str">
        <f t="shared" si="22"/>
        <v/>
      </c>
    </row>
    <row r="461" spans="2:42">
      <c r="B461" s="834" t="str">
        <f t="shared" si="21"/>
        <v>|||</v>
      </c>
      <c r="H461" s="835">
        <f t="shared" si="23"/>
        <v>31</v>
      </c>
      <c r="AF461" s="831" t="s">
        <v>1147</v>
      </c>
      <c r="AG461" s="831" t="s">
        <v>56</v>
      </c>
      <c r="AH461" s="831" t="s">
        <v>122</v>
      </c>
      <c r="AI461" s="831">
        <v>0</v>
      </c>
      <c r="AJ461" s="835">
        <v>39660</v>
      </c>
      <c r="AK461" s="831">
        <v>0</v>
      </c>
      <c r="AP461" s="831" t="str">
        <f t="shared" si="22"/>
        <v/>
      </c>
    </row>
    <row r="462" spans="2:42">
      <c r="B462" s="834" t="str">
        <f t="shared" si="21"/>
        <v>|||</v>
      </c>
      <c r="H462" s="835">
        <f t="shared" si="23"/>
        <v>31</v>
      </c>
      <c r="AF462" s="831" t="s">
        <v>1148</v>
      </c>
      <c r="AG462" s="831" t="s">
        <v>56</v>
      </c>
      <c r="AH462" s="831" t="s">
        <v>128</v>
      </c>
      <c r="AI462" s="831">
        <v>0</v>
      </c>
      <c r="AJ462" s="835">
        <v>39660</v>
      </c>
      <c r="AK462" s="831">
        <v>0</v>
      </c>
      <c r="AP462" s="831" t="str">
        <f t="shared" si="22"/>
        <v/>
      </c>
    </row>
    <row r="463" spans="2:42">
      <c r="B463" s="834" t="str">
        <f t="shared" si="21"/>
        <v>|||</v>
      </c>
      <c r="H463" s="835">
        <f t="shared" si="23"/>
        <v>31</v>
      </c>
      <c r="AF463" s="831" t="s">
        <v>1149</v>
      </c>
      <c r="AG463" s="831" t="s">
        <v>56</v>
      </c>
      <c r="AH463" s="831" t="s">
        <v>65</v>
      </c>
      <c r="AI463" s="831">
        <v>0</v>
      </c>
      <c r="AJ463" s="835">
        <v>39691</v>
      </c>
      <c r="AK463" s="831">
        <v>28308498</v>
      </c>
      <c r="AP463" s="831" t="str">
        <f t="shared" si="22"/>
        <v/>
      </c>
    </row>
    <row r="464" spans="2:42">
      <c r="B464" s="834" t="str">
        <f t="shared" si="21"/>
        <v>|||</v>
      </c>
      <c r="H464" s="835">
        <f t="shared" si="23"/>
        <v>31</v>
      </c>
      <c r="AF464" s="831" t="s">
        <v>1150</v>
      </c>
      <c r="AG464" s="831" t="s">
        <v>56</v>
      </c>
      <c r="AH464" s="831" t="s">
        <v>67</v>
      </c>
      <c r="AI464" s="831">
        <v>0</v>
      </c>
      <c r="AJ464" s="835">
        <v>39691</v>
      </c>
      <c r="AK464" s="831">
        <v>-7949325</v>
      </c>
      <c r="AP464" s="831" t="str">
        <f t="shared" si="22"/>
        <v/>
      </c>
    </row>
    <row r="465" spans="2:42">
      <c r="B465" s="834" t="str">
        <f t="shared" si="21"/>
        <v>|||</v>
      </c>
      <c r="H465" s="835">
        <f t="shared" si="23"/>
        <v>31</v>
      </c>
      <c r="AF465" s="831" t="s">
        <v>1151</v>
      </c>
      <c r="AG465" s="831" t="s">
        <v>56</v>
      </c>
      <c r="AH465" s="831" t="s">
        <v>72</v>
      </c>
      <c r="AI465" s="831">
        <v>0</v>
      </c>
      <c r="AJ465" s="835">
        <v>39691</v>
      </c>
      <c r="AK465" s="831">
        <v>0</v>
      </c>
      <c r="AP465" s="831" t="str">
        <f t="shared" si="22"/>
        <v/>
      </c>
    </row>
    <row r="466" spans="2:42">
      <c r="B466" s="834" t="str">
        <f t="shared" si="21"/>
        <v>|||</v>
      </c>
      <c r="H466" s="835">
        <f t="shared" si="23"/>
        <v>31</v>
      </c>
      <c r="AF466" s="831" t="s">
        <v>1152</v>
      </c>
      <c r="AG466" s="831" t="s">
        <v>56</v>
      </c>
      <c r="AH466" s="831" t="s">
        <v>77</v>
      </c>
      <c r="AI466" s="831">
        <v>0</v>
      </c>
      <c r="AJ466" s="835">
        <v>39691</v>
      </c>
      <c r="AK466" s="831">
        <v>-1558065</v>
      </c>
      <c r="AP466" s="831" t="str">
        <f t="shared" si="22"/>
        <v/>
      </c>
    </row>
    <row r="467" spans="2:42">
      <c r="B467" s="834" t="str">
        <f t="shared" si="21"/>
        <v>|||</v>
      </c>
      <c r="H467" s="835">
        <f t="shared" si="23"/>
        <v>31</v>
      </c>
      <c r="AF467" s="831" t="s">
        <v>1153</v>
      </c>
      <c r="AG467" s="831" t="s">
        <v>56</v>
      </c>
      <c r="AH467" s="831" t="s">
        <v>95</v>
      </c>
      <c r="AI467" s="831">
        <v>0</v>
      </c>
      <c r="AJ467" s="835">
        <v>39691</v>
      </c>
      <c r="AK467" s="831">
        <v>242583</v>
      </c>
      <c r="AP467" s="831" t="str">
        <f t="shared" si="22"/>
        <v/>
      </c>
    </row>
    <row r="468" spans="2:42">
      <c r="B468" s="834" t="str">
        <f t="shared" si="21"/>
        <v>|||</v>
      </c>
      <c r="H468" s="835">
        <f t="shared" si="23"/>
        <v>31</v>
      </c>
      <c r="AF468" s="831" t="s">
        <v>1154</v>
      </c>
      <c r="AG468" s="831" t="s">
        <v>56</v>
      </c>
      <c r="AH468" s="831" t="s">
        <v>98</v>
      </c>
      <c r="AI468" s="831">
        <v>0</v>
      </c>
      <c r="AJ468" s="835">
        <v>39691</v>
      </c>
      <c r="AK468" s="831">
        <v>-10982050</v>
      </c>
      <c r="AP468" s="831" t="str">
        <f t="shared" si="22"/>
        <v/>
      </c>
    </row>
    <row r="469" spans="2:42">
      <c r="B469" s="834" t="str">
        <f t="shared" si="21"/>
        <v>|||</v>
      </c>
      <c r="H469" s="835">
        <f t="shared" si="23"/>
        <v>31</v>
      </c>
      <c r="AF469" s="831" t="s">
        <v>1155</v>
      </c>
      <c r="AG469" s="831" t="s">
        <v>56</v>
      </c>
      <c r="AH469" s="831" t="s">
        <v>106</v>
      </c>
      <c r="AI469" s="831">
        <v>0</v>
      </c>
      <c r="AJ469" s="835">
        <v>39691</v>
      </c>
      <c r="AK469" s="831">
        <v>0</v>
      </c>
      <c r="AP469" s="831" t="str">
        <f t="shared" si="22"/>
        <v/>
      </c>
    </row>
    <row r="470" spans="2:42">
      <c r="B470" s="834" t="str">
        <f t="shared" si="21"/>
        <v>|||</v>
      </c>
      <c r="H470" s="835">
        <f t="shared" si="23"/>
        <v>31</v>
      </c>
      <c r="AF470" s="831" t="s">
        <v>1156</v>
      </c>
      <c r="AG470" s="831" t="s">
        <v>56</v>
      </c>
      <c r="AH470" s="831" t="s">
        <v>109</v>
      </c>
      <c r="AI470" s="831">
        <v>0</v>
      </c>
      <c r="AJ470" s="835">
        <v>39691</v>
      </c>
      <c r="AK470" s="831">
        <v>0</v>
      </c>
      <c r="AP470" s="831" t="str">
        <f t="shared" si="22"/>
        <v/>
      </c>
    </row>
    <row r="471" spans="2:42">
      <c r="B471" s="834" t="str">
        <f t="shared" si="21"/>
        <v>|||</v>
      </c>
      <c r="H471" s="835">
        <f t="shared" si="23"/>
        <v>31</v>
      </c>
      <c r="AF471" s="831" t="s">
        <v>1157</v>
      </c>
      <c r="AG471" s="831" t="s">
        <v>56</v>
      </c>
      <c r="AH471" s="831" t="s">
        <v>118</v>
      </c>
      <c r="AI471" s="831">
        <v>0</v>
      </c>
      <c r="AJ471" s="835">
        <v>39691</v>
      </c>
      <c r="AK471" s="831">
        <v>-1773561</v>
      </c>
      <c r="AP471" s="831" t="str">
        <f t="shared" si="22"/>
        <v/>
      </c>
    </row>
    <row r="472" spans="2:42">
      <c r="B472" s="834" t="str">
        <f t="shared" si="21"/>
        <v>|||</v>
      </c>
      <c r="H472" s="835">
        <f t="shared" si="23"/>
        <v>31</v>
      </c>
      <c r="AF472" s="831" t="s">
        <v>1158</v>
      </c>
      <c r="AG472" s="831" t="s">
        <v>56</v>
      </c>
      <c r="AH472" s="831" t="s">
        <v>122</v>
      </c>
      <c r="AI472" s="831">
        <v>0</v>
      </c>
      <c r="AJ472" s="835">
        <v>39691</v>
      </c>
      <c r="AK472" s="831">
        <v>0</v>
      </c>
      <c r="AP472" s="831" t="str">
        <f t="shared" si="22"/>
        <v/>
      </c>
    </row>
    <row r="473" spans="2:42">
      <c r="B473" s="834" t="str">
        <f t="shared" si="21"/>
        <v>|||</v>
      </c>
      <c r="H473" s="835">
        <f t="shared" si="23"/>
        <v>31</v>
      </c>
      <c r="AF473" s="831" t="s">
        <v>1159</v>
      </c>
      <c r="AG473" s="831" t="s">
        <v>56</v>
      </c>
      <c r="AH473" s="831" t="s">
        <v>128</v>
      </c>
      <c r="AI473" s="831">
        <v>0</v>
      </c>
      <c r="AJ473" s="835">
        <v>39691</v>
      </c>
      <c r="AK473" s="831">
        <v>0</v>
      </c>
      <c r="AP473" s="831" t="str">
        <f t="shared" si="22"/>
        <v/>
      </c>
    </row>
    <row r="474" spans="2:42">
      <c r="B474" s="834" t="str">
        <f t="shared" si="21"/>
        <v>|||</v>
      </c>
      <c r="H474" s="835">
        <f t="shared" si="23"/>
        <v>31</v>
      </c>
      <c r="AF474" s="831" t="s">
        <v>1160</v>
      </c>
      <c r="AG474" s="831" t="s">
        <v>56</v>
      </c>
      <c r="AH474" s="831" t="s">
        <v>65</v>
      </c>
      <c r="AI474" s="831">
        <v>0</v>
      </c>
      <c r="AJ474" s="835">
        <v>39721</v>
      </c>
      <c r="AK474" s="831">
        <v>32304825</v>
      </c>
      <c r="AP474" s="831" t="str">
        <f t="shared" si="22"/>
        <v/>
      </c>
    </row>
    <row r="475" spans="2:42">
      <c r="B475" s="834" t="str">
        <f t="shared" si="21"/>
        <v>|||</v>
      </c>
      <c r="H475" s="835">
        <f t="shared" si="23"/>
        <v>31</v>
      </c>
      <c r="AF475" s="831" t="s">
        <v>1161</v>
      </c>
      <c r="AG475" s="831" t="s">
        <v>56</v>
      </c>
      <c r="AH475" s="831" t="s">
        <v>67</v>
      </c>
      <c r="AI475" s="831">
        <v>0</v>
      </c>
      <c r="AJ475" s="835">
        <v>39721</v>
      </c>
      <c r="AK475" s="831">
        <v>-9113761</v>
      </c>
      <c r="AP475" s="831" t="str">
        <f t="shared" si="22"/>
        <v/>
      </c>
    </row>
    <row r="476" spans="2:42">
      <c r="B476" s="834" t="str">
        <f t="shared" si="21"/>
        <v>|||</v>
      </c>
      <c r="H476" s="835">
        <f t="shared" si="23"/>
        <v>31</v>
      </c>
      <c r="AF476" s="831" t="s">
        <v>1162</v>
      </c>
      <c r="AG476" s="831" t="s">
        <v>56</v>
      </c>
      <c r="AH476" s="831" t="s">
        <v>72</v>
      </c>
      <c r="AI476" s="831">
        <v>0</v>
      </c>
      <c r="AJ476" s="835">
        <v>39721</v>
      </c>
      <c r="AK476" s="831">
        <v>0</v>
      </c>
      <c r="AP476" s="831" t="str">
        <f t="shared" si="22"/>
        <v/>
      </c>
    </row>
    <row r="477" spans="2:42">
      <c r="B477" s="834" t="str">
        <f t="shared" si="21"/>
        <v>|||</v>
      </c>
      <c r="H477" s="835">
        <f t="shared" si="23"/>
        <v>31</v>
      </c>
      <c r="AF477" s="831" t="s">
        <v>1163</v>
      </c>
      <c r="AG477" s="831" t="s">
        <v>56</v>
      </c>
      <c r="AH477" s="831" t="s">
        <v>77</v>
      </c>
      <c r="AI477" s="831">
        <v>0</v>
      </c>
      <c r="AJ477" s="835">
        <v>39721</v>
      </c>
      <c r="AK477" s="831">
        <v>-1679164</v>
      </c>
      <c r="AP477" s="831" t="str">
        <f t="shared" si="22"/>
        <v/>
      </c>
    </row>
    <row r="478" spans="2:42">
      <c r="B478" s="834" t="str">
        <f t="shared" si="21"/>
        <v>|||</v>
      </c>
      <c r="H478" s="835">
        <f t="shared" si="23"/>
        <v>31</v>
      </c>
      <c r="AF478" s="831" t="s">
        <v>1164</v>
      </c>
      <c r="AG478" s="831" t="s">
        <v>56</v>
      </c>
      <c r="AH478" s="831" t="s">
        <v>95</v>
      </c>
      <c r="AI478" s="831">
        <v>0</v>
      </c>
      <c r="AJ478" s="835">
        <v>39721</v>
      </c>
      <c r="AK478" s="831">
        <v>231891</v>
      </c>
      <c r="AP478" s="831" t="str">
        <f t="shared" si="22"/>
        <v/>
      </c>
    </row>
    <row r="479" spans="2:42">
      <c r="B479" s="834" t="str">
        <f t="shared" si="21"/>
        <v>|||</v>
      </c>
      <c r="H479" s="835">
        <f t="shared" si="23"/>
        <v>31</v>
      </c>
      <c r="AF479" s="831" t="s">
        <v>1165</v>
      </c>
      <c r="AG479" s="831" t="s">
        <v>56</v>
      </c>
      <c r="AH479" s="831" t="s">
        <v>98</v>
      </c>
      <c r="AI479" s="831">
        <v>0</v>
      </c>
      <c r="AJ479" s="835">
        <v>39721</v>
      </c>
      <c r="AK479" s="831">
        <v>-12411044</v>
      </c>
      <c r="AP479" s="831" t="str">
        <f t="shared" si="22"/>
        <v/>
      </c>
    </row>
    <row r="480" spans="2:42">
      <c r="B480" s="834" t="str">
        <f t="shared" si="21"/>
        <v>|||</v>
      </c>
      <c r="H480" s="835">
        <f t="shared" si="23"/>
        <v>31</v>
      </c>
      <c r="AF480" s="831" t="s">
        <v>1166</v>
      </c>
      <c r="AG480" s="831" t="s">
        <v>56</v>
      </c>
      <c r="AH480" s="831" t="s">
        <v>106</v>
      </c>
      <c r="AI480" s="831">
        <v>0</v>
      </c>
      <c r="AJ480" s="835">
        <v>39721</v>
      </c>
      <c r="AK480" s="831">
        <v>0</v>
      </c>
      <c r="AP480" s="831" t="str">
        <f t="shared" si="22"/>
        <v/>
      </c>
    </row>
    <row r="481" spans="2:42">
      <c r="B481" s="834" t="str">
        <f t="shared" si="21"/>
        <v>|||</v>
      </c>
      <c r="H481" s="835">
        <f t="shared" si="23"/>
        <v>31</v>
      </c>
      <c r="AF481" s="831" t="s">
        <v>1167</v>
      </c>
      <c r="AG481" s="831" t="s">
        <v>56</v>
      </c>
      <c r="AH481" s="831" t="s">
        <v>109</v>
      </c>
      <c r="AI481" s="831">
        <v>0</v>
      </c>
      <c r="AJ481" s="835">
        <v>39721</v>
      </c>
      <c r="AK481" s="831">
        <v>0</v>
      </c>
      <c r="AP481" s="831" t="str">
        <f t="shared" si="22"/>
        <v/>
      </c>
    </row>
    <row r="482" spans="2:42">
      <c r="B482" s="834" t="str">
        <f t="shared" si="21"/>
        <v>|||</v>
      </c>
      <c r="H482" s="835">
        <f t="shared" si="23"/>
        <v>31</v>
      </c>
      <c r="AF482" s="831" t="s">
        <v>1168</v>
      </c>
      <c r="AG482" s="831" t="s">
        <v>56</v>
      </c>
      <c r="AH482" s="831" t="s">
        <v>118</v>
      </c>
      <c r="AI482" s="831">
        <v>0</v>
      </c>
      <c r="AJ482" s="835">
        <v>39721</v>
      </c>
      <c r="AK482" s="831">
        <v>-2053204</v>
      </c>
      <c r="AP482" s="831" t="str">
        <f t="shared" si="22"/>
        <v/>
      </c>
    </row>
    <row r="483" spans="2:42">
      <c r="B483" s="834" t="str">
        <f t="shared" si="21"/>
        <v>|||</v>
      </c>
      <c r="H483" s="835">
        <f t="shared" si="23"/>
        <v>31</v>
      </c>
      <c r="AF483" s="831" t="s">
        <v>1169</v>
      </c>
      <c r="AG483" s="831" t="s">
        <v>56</v>
      </c>
      <c r="AH483" s="831" t="s">
        <v>122</v>
      </c>
      <c r="AI483" s="831">
        <v>0</v>
      </c>
      <c r="AJ483" s="835">
        <v>39721</v>
      </c>
      <c r="AK483" s="831">
        <v>0</v>
      </c>
      <c r="AP483" s="831" t="str">
        <f t="shared" si="22"/>
        <v/>
      </c>
    </row>
    <row r="484" spans="2:42">
      <c r="B484" s="834" t="str">
        <f t="shared" si="21"/>
        <v>|||</v>
      </c>
      <c r="H484" s="835">
        <f t="shared" si="23"/>
        <v>31</v>
      </c>
      <c r="AF484" s="831" t="s">
        <v>1170</v>
      </c>
      <c r="AG484" s="831" t="s">
        <v>56</v>
      </c>
      <c r="AH484" s="831" t="s">
        <v>128</v>
      </c>
      <c r="AI484" s="831">
        <v>0</v>
      </c>
      <c r="AJ484" s="835">
        <v>39721</v>
      </c>
      <c r="AK484" s="831">
        <v>0</v>
      </c>
      <c r="AP484" s="831" t="str">
        <f t="shared" si="22"/>
        <v/>
      </c>
    </row>
    <row r="485" spans="2:42">
      <c r="B485" s="834" t="str">
        <f t="shared" si="21"/>
        <v>|||</v>
      </c>
      <c r="H485" s="835">
        <f t="shared" si="23"/>
        <v>31</v>
      </c>
      <c r="AF485" s="831" t="s">
        <v>1171</v>
      </c>
      <c r="AG485" s="831" t="s">
        <v>56</v>
      </c>
      <c r="AH485" s="831" t="s">
        <v>65</v>
      </c>
      <c r="AI485" s="831">
        <v>0</v>
      </c>
      <c r="AJ485" s="835">
        <v>39752</v>
      </c>
      <c r="AK485" s="831">
        <v>36969085</v>
      </c>
      <c r="AP485" s="831" t="str">
        <f t="shared" si="22"/>
        <v/>
      </c>
    </row>
    <row r="486" spans="2:42">
      <c r="B486" s="834" t="str">
        <f t="shared" si="21"/>
        <v>|||</v>
      </c>
      <c r="H486" s="835">
        <f t="shared" si="23"/>
        <v>31</v>
      </c>
      <c r="AF486" s="831" t="s">
        <v>1172</v>
      </c>
      <c r="AG486" s="831" t="s">
        <v>56</v>
      </c>
      <c r="AH486" s="831" t="s">
        <v>67</v>
      </c>
      <c r="AI486" s="831">
        <v>0</v>
      </c>
      <c r="AJ486" s="835">
        <v>39752</v>
      </c>
      <c r="AK486" s="831">
        <v>-10277305</v>
      </c>
      <c r="AP486" s="831" t="str">
        <f t="shared" si="22"/>
        <v/>
      </c>
    </row>
    <row r="487" spans="2:42">
      <c r="B487" s="834" t="str">
        <f t="shared" si="21"/>
        <v>|||</v>
      </c>
      <c r="H487" s="835">
        <f t="shared" si="23"/>
        <v>31</v>
      </c>
      <c r="AF487" s="831" t="s">
        <v>1173</v>
      </c>
      <c r="AG487" s="831" t="s">
        <v>56</v>
      </c>
      <c r="AH487" s="831" t="s">
        <v>72</v>
      </c>
      <c r="AI487" s="831">
        <v>0</v>
      </c>
      <c r="AJ487" s="835">
        <v>39752</v>
      </c>
      <c r="AK487" s="831">
        <v>0</v>
      </c>
      <c r="AP487" s="831" t="str">
        <f t="shared" si="22"/>
        <v/>
      </c>
    </row>
    <row r="488" spans="2:42">
      <c r="B488" s="834" t="str">
        <f t="shared" si="21"/>
        <v>|||</v>
      </c>
      <c r="H488" s="835">
        <f t="shared" si="23"/>
        <v>31</v>
      </c>
      <c r="AF488" s="831" t="s">
        <v>1174</v>
      </c>
      <c r="AG488" s="831" t="s">
        <v>56</v>
      </c>
      <c r="AH488" s="831" t="s">
        <v>77</v>
      </c>
      <c r="AI488" s="831">
        <v>0</v>
      </c>
      <c r="AJ488" s="835">
        <v>39752</v>
      </c>
      <c r="AK488" s="831">
        <v>-1713860</v>
      </c>
      <c r="AP488" s="831" t="str">
        <f t="shared" si="22"/>
        <v/>
      </c>
    </row>
    <row r="489" spans="2:42">
      <c r="B489" s="834" t="str">
        <f t="shared" si="21"/>
        <v>|||</v>
      </c>
      <c r="H489" s="835">
        <f t="shared" si="23"/>
        <v>31</v>
      </c>
      <c r="AF489" s="831" t="s">
        <v>1175</v>
      </c>
      <c r="AG489" s="831" t="s">
        <v>56</v>
      </c>
      <c r="AH489" s="831" t="s">
        <v>95</v>
      </c>
      <c r="AI489" s="831">
        <v>0</v>
      </c>
      <c r="AJ489" s="835">
        <v>39752</v>
      </c>
      <c r="AK489" s="831">
        <v>439971</v>
      </c>
      <c r="AP489" s="831" t="str">
        <f t="shared" si="22"/>
        <v/>
      </c>
    </row>
    <row r="490" spans="2:42">
      <c r="B490" s="834" t="str">
        <f t="shared" si="21"/>
        <v>|||</v>
      </c>
      <c r="H490" s="835">
        <f t="shared" si="23"/>
        <v>31</v>
      </c>
      <c r="AF490" s="831" t="s">
        <v>1176</v>
      </c>
      <c r="AG490" s="831" t="s">
        <v>56</v>
      </c>
      <c r="AH490" s="831" t="s">
        <v>98</v>
      </c>
      <c r="AI490" s="831">
        <v>0</v>
      </c>
      <c r="AJ490" s="835">
        <v>39752</v>
      </c>
      <c r="AK490" s="831">
        <v>-14106260</v>
      </c>
      <c r="AP490" s="831" t="str">
        <f t="shared" si="22"/>
        <v/>
      </c>
    </row>
    <row r="491" spans="2:42">
      <c r="B491" s="834" t="str">
        <f t="shared" si="21"/>
        <v>|||</v>
      </c>
      <c r="H491" s="835">
        <f t="shared" si="23"/>
        <v>31</v>
      </c>
      <c r="AF491" s="831" t="s">
        <v>1177</v>
      </c>
      <c r="AG491" s="831" t="s">
        <v>56</v>
      </c>
      <c r="AH491" s="831" t="s">
        <v>106</v>
      </c>
      <c r="AI491" s="831">
        <v>0</v>
      </c>
      <c r="AJ491" s="835">
        <v>39752</v>
      </c>
      <c r="AK491" s="831">
        <v>0</v>
      </c>
      <c r="AP491" s="831" t="str">
        <f t="shared" si="22"/>
        <v/>
      </c>
    </row>
    <row r="492" spans="2:42">
      <c r="B492" s="834" t="str">
        <f t="shared" si="21"/>
        <v>|||</v>
      </c>
      <c r="H492" s="835">
        <f t="shared" si="23"/>
        <v>31</v>
      </c>
      <c r="AF492" s="831" t="s">
        <v>1178</v>
      </c>
      <c r="AG492" s="831" t="s">
        <v>56</v>
      </c>
      <c r="AH492" s="831" t="s">
        <v>109</v>
      </c>
      <c r="AI492" s="831">
        <v>0</v>
      </c>
      <c r="AJ492" s="835">
        <v>39752</v>
      </c>
      <c r="AK492" s="831">
        <v>0</v>
      </c>
      <c r="AP492" s="831" t="str">
        <f t="shared" si="22"/>
        <v/>
      </c>
    </row>
    <row r="493" spans="2:42">
      <c r="B493" s="834" t="str">
        <f t="shared" si="21"/>
        <v>|||</v>
      </c>
      <c r="H493" s="835">
        <f t="shared" si="23"/>
        <v>31</v>
      </c>
      <c r="AF493" s="831" t="s">
        <v>1179</v>
      </c>
      <c r="AG493" s="831" t="s">
        <v>56</v>
      </c>
      <c r="AH493" s="831" t="s">
        <v>118</v>
      </c>
      <c r="AI493" s="831">
        <v>0</v>
      </c>
      <c r="AJ493" s="835">
        <v>39752</v>
      </c>
      <c r="AK493" s="831">
        <v>-2488559</v>
      </c>
      <c r="AP493" s="831" t="str">
        <f t="shared" si="22"/>
        <v/>
      </c>
    </row>
    <row r="494" spans="2:42">
      <c r="B494" s="834" t="str">
        <f t="shared" si="21"/>
        <v>|||</v>
      </c>
      <c r="H494" s="835">
        <f t="shared" si="23"/>
        <v>31</v>
      </c>
      <c r="AF494" s="831" t="s">
        <v>1180</v>
      </c>
      <c r="AG494" s="831" t="s">
        <v>56</v>
      </c>
      <c r="AH494" s="831" t="s">
        <v>122</v>
      </c>
      <c r="AI494" s="831">
        <v>0</v>
      </c>
      <c r="AJ494" s="835">
        <v>39752</v>
      </c>
      <c r="AK494" s="831">
        <v>0</v>
      </c>
      <c r="AP494" s="831" t="str">
        <f t="shared" si="22"/>
        <v/>
      </c>
    </row>
    <row r="495" spans="2:42">
      <c r="B495" s="834" t="str">
        <f t="shared" si="21"/>
        <v>|||</v>
      </c>
      <c r="H495" s="835">
        <f t="shared" si="23"/>
        <v>31</v>
      </c>
      <c r="AF495" s="831" t="s">
        <v>1181</v>
      </c>
      <c r="AG495" s="831" t="s">
        <v>56</v>
      </c>
      <c r="AH495" s="831" t="s">
        <v>128</v>
      </c>
      <c r="AI495" s="831">
        <v>0</v>
      </c>
      <c r="AJ495" s="835">
        <v>39752</v>
      </c>
      <c r="AK495" s="831">
        <v>0</v>
      </c>
      <c r="AP495" s="831" t="str">
        <f t="shared" si="22"/>
        <v/>
      </c>
    </row>
    <row r="496" spans="2:42">
      <c r="B496" s="834" t="str">
        <f t="shared" si="21"/>
        <v>|||</v>
      </c>
      <c r="H496" s="835">
        <f t="shared" si="23"/>
        <v>31</v>
      </c>
      <c r="AF496" s="831" t="s">
        <v>1182</v>
      </c>
      <c r="AG496" s="831" t="s">
        <v>56</v>
      </c>
      <c r="AH496" s="831" t="s">
        <v>65</v>
      </c>
      <c r="AI496" s="831">
        <v>0</v>
      </c>
      <c r="AJ496" s="835">
        <v>39782</v>
      </c>
      <c r="AK496" s="831">
        <v>41419073</v>
      </c>
      <c r="AP496" s="831" t="str">
        <f t="shared" si="22"/>
        <v/>
      </c>
    </row>
    <row r="497" spans="2:42">
      <c r="B497" s="834" t="str">
        <f t="shared" si="21"/>
        <v>|||</v>
      </c>
      <c r="H497" s="835">
        <f t="shared" si="23"/>
        <v>31</v>
      </c>
      <c r="AF497" s="831" t="s">
        <v>1183</v>
      </c>
      <c r="AG497" s="831" t="s">
        <v>56</v>
      </c>
      <c r="AH497" s="831" t="s">
        <v>67</v>
      </c>
      <c r="AI497" s="831">
        <v>0</v>
      </c>
      <c r="AJ497" s="835">
        <v>39782</v>
      </c>
      <c r="AK497" s="831">
        <v>-11573571</v>
      </c>
      <c r="AP497" s="831" t="str">
        <f t="shared" si="22"/>
        <v/>
      </c>
    </row>
    <row r="498" spans="2:42">
      <c r="B498" s="834" t="str">
        <f t="shared" si="21"/>
        <v>|||</v>
      </c>
      <c r="H498" s="835">
        <f t="shared" si="23"/>
        <v>31</v>
      </c>
      <c r="AF498" s="831" t="s">
        <v>1184</v>
      </c>
      <c r="AG498" s="831" t="s">
        <v>56</v>
      </c>
      <c r="AH498" s="831" t="s">
        <v>72</v>
      </c>
      <c r="AI498" s="831">
        <v>0</v>
      </c>
      <c r="AJ498" s="835">
        <v>39782</v>
      </c>
      <c r="AK498" s="831">
        <v>0</v>
      </c>
      <c r="AP498" s="831" t="str">
        <f t="shared" si="22"/>
        <v/>
      </c>
    </row>
    <row r="499" spans="2:42">
      <c r="B499" s="834" t="str">
        <f t="shared" si="21"/>
        <v>|||</v>
      </c>
      <c r="H499" s="835">
        <f t="shared" si="23"/>
        <v>31</v>
      </c>
      <c r="AF499" s="831" t="s">
        <v>1185</v>
      </c>
      <c r="AG499" s="831" t="s">
        <v>56</v>
      </c>
      <c r="AH499" s="831" t="s">
        <v>77</v>
      </c>
      <c r="AI499" s="831">
        <v>0</v>
      </c>
      <c r="AJ499" s="835">
        <v>39782</v>
      </c>
      <c r="AK499" s="831">
        <v>-1928584</v>
      </c>
      <c r="AP499" s="831" t="str">
        <f t="shared" si="22"/>
        <v/>
      </c>
    </row>
    <row r="500" spans="2:42">
      <c r="B500" s="834" t="str">
        <f t="shared" si="21"/>
        <v>|||</v>
      </c>
      <c r="H500" s="835">
        <f t="shared" si="23"/>
        <v>31</v>
      </c>
      <c r="AF500" s="831" t="s">
        <v>1186</v>
      </c>
      <c r="AG500" s="831" t="s">
        <v>56</v>
      </c>
      <c r="AH500" s="831" t="s">
        <v>95</v>
      </c>
      <c r="AI500" s="831">
        <v>0</v>
      </c>
      <c r="AJ500" s="835">
        <v>39782</v>
      </c>
      <c r="AK500" s="831">
        <v>437941</v>
      </c>
      <c r="AP500" s="831" t="str">
        <f t="shared" si="22"/>
        <v/>
      </c>
    </row>
    <row r="501" spans="2:42">
      <c r="B501" s="834" t="str">
        <f t="shared" si="21"/>
        <v>|||</v>
      </c>
      <c r="H501" s="835">
        <f t="shared" si="23"/>
        <v>31</v>
      </c>
      <c r="AF501" s="831" t="s">
        <v>1187</v>
      </c>
      <c r="AG501" s="831" t="s">
        <v>56</v>
      </c>
      <c r="AH501" s="831" t="s">
        <v>98</v>
      </c>
      <c r="AI501" s="831">
        <v>0</v>
      </c>
      <c r="AJ501" s="835">
        <v>39782</v>
      </c>
      <c r="AK501" s="831">
        <v>-15909672</v>
      </c>
      <c r="AP501" s="831" t="str">
        <f t="shared" si="22"/>
        <v/>
      </c>
    </row>
    <row r="502" spans="2:42">
      <c r="B502" s="834" t="str">
        <f t="shared" si="21"/>
        <v>|||</v>
      </c>
      <c r="H502" s="835">
        <f t="shared" si="23"/>
        <v>31</v>
      </c>
      <c r="AF502" s="831" t="s">
        <v>1188</v>
      </c>
      <c r="AG502" s="831" t="s">
        <v>56</v>
      </c>
      <c r="AH502" s="831" t="s">
        <v>106</v>
      </c>
      <c r="AI502" s="831">
        <v>0</v>
      </c>
      <c r="AJ502" s="835">
        <v>39782</v>
      </c>
      <c r="AK502" s="831">
        <v>0</v>
      </c>
      <c r="AP502" s="831" t="str">
        <f t="shared" si="22"/>
        <v/>
      </c>
    </row>
    <row r="503" spans="2:42">
      <c r="B503" s="834" t="str">
        <f t="shared" si="21"/>
        <v>|||</v>
      </c>
      <c r="H503" s="835">
        <f t="shared" si="23"/>
        <v>31</v>
      </c>
      <c r="AF503" s="831" t="s">
        <v>1189</v>
      </c>
      <c r="AG503" s="831" t="s">
        <v>56</v>
      </c>
      <c r="AH503" s="831" t="s">
        <v>109</v>
      </c>
      <c r="AI503" s="831">
        <v>0</v>
      </c>
      <c r="AJ503" s="835">
        <v>39782</v>
      </c>
      <c r="AK503" s="831">
        <v>0</v>
      </c>
      <c r="AP503" s="831" t="str">
        <f t="shared" si="22"/>
        <v/>
      </c>
    </row>
    <row r="504" spans="2:42">
      <c r="B504" s="834" t="str">
        <f t="shared" si="21"/>
        <v>|||</v>
      </c>
      <c r="H504" s="835">
        <f t="shared" si="23"/>
        <v>31</v>
      </c>
      <c r="AF504" s="831" t="s">
        <v>1190</v>
      </c>
      <c r="AG504" s="831" t="s">
        <v>56</v>
      </c>
      <c r="AH504" s="831" t="s">
        <v>118</v>
      </c>
      <c r="AI504" s="831">
        <v>0</v>
      </c>
      <c r="AJ504" s="835">
        <v>39782</v>
      </c>
      <c r="AK504" s="831">
        <v>-2737941</v>
      </c>
      <c r="AP504" s="831" t="str">
        <f t="shared" si="22"/>
        <v/>
      </c>
    </row>
    <row r="505" spans="2:42">
      <c r="B505" s="834" t="str">
        <f t="shared" si="21"/>
        <v>|||</v>
      </c>
      <c r="H505" s="835">
        <f t="shared" si="23"/>
        <v>31</v>
      </c>
      <c r="AF505" s="831" t="s">
        <v>1191</v>
      </c>
      <c r="AG505" s="831" t="s">
        <v>56</v>
      </c>
      <c r="AH505" s="831" t="s">
        <v>122</v>
      </c>
      <c r="AI505" s="831">
        <v>0</v>
      </c>
      <c r="AJ505" s="835">
        <v>39782</v>
      </c>
      <c r="AK505" s="831">
        <v>0</v>
      </c>
      <c r="AP505" s="831" t="str">
        <f t="shared" si="22"/>
        <v/>
      </c>
    </row>
    <row r="506" spans="2:42">
      <c r="B506" s="834" t="str">
        <f t="shared" si="21"/>
        <v>|||</v>
      </c>
      <c r="H506" s="835">
        <f t="shared" si="23"/>
        <v>31</v>
      </c>
      <c r="AF506" s="831" t="s">
        <v>1192</v>
      </c>
      <c r="AG506" s="831" t="s">
        <v>56</v>
      </c>
      <c r="AH506" s="831" t="s">
        <v>128</v>
      </c>
      <c r="AI506" s="831">
        <v>0</v>
      </c>
      <c r="AJ506" s="835">
        <v>39782</v>
      </c>
      <c r="AK506" s="831">
        <v>0</v>
      </c>
      <c r="AP506" s="831" t="str">
        <f t="shared" si="22"/>
        <v/>
      </c>
    </row>
    <row r="507" spans="2:42">
      <c r="B507" s="834" t="str">
        <f t="shared" si="21"/>
        <v>|||</v>
      </c>
      <c r="H507" s="835">
        <f t="shared" si="23"/>
        <v>31</v>
      </c>
      <c r="AF507" s="831" t="s">
        <v>1193</v>
      </c>
      <c r="AG507" s="831" t="s">
        <v>56</v>
      </c>
      <c r="AH507" s="831" t="s">
        <v>65</v>
      </c>
      <c r="AI507" s="831">
        <v>0</v>
      </c>
      <c r="AJ507" s="835">
        <v>39813</v>
      </c>
      <c r="AK507" s="831">
        <v>45997994</v>
      </c>
      <c r="AP507" s="831" t="str">
        <f t="shared" si="22"/>
        <v/>
      </c>
    </row>
    <row r="508" spans="2:42">
      <c r="B508" s="834" t="str">
        <f t="shared" si="21"/>
        <v>|||</v>
      </c>
      <c r="H508" s="835">
        <f t="shared" si="23"/>
        <v>31</v>
      </c>
      <c r="AF508" s="831" t="s">
        <v>1194</v>
      </c>
      <c r="AG508" s="831" t="s">
        <v>56</v>
      </c>
      <c r="AH508" s="831" t="s">
        <v>67</v>
      </c>
      <c r="AI508" s="831">
        <v>0</v>
      </c>
      <c r="AJ508" s="835">
        <v>39813</v>
      </c>
      <c r="AK508" s="831">
        <v>-12744405</v>
      </c>
      <c r="AP508" s="831" t="str">
        <f t="shared" si="22"/>
        <v/>
      </c>
    </row>
    <row r="509" spans="2:42">
      <c r="B509" s="834" t="str">
        <f t="shared" si="21"/>
        <v>|||</v>
      </c>
      <c r="H509" s="835">
        <f t="shared" si="23"/>
        <v>31</v>
      </c>
      <c r="AF509" s="831" t="s">
        <v>1195</v>
      </c>
      <c r="AG509" s="831" t="s">
        <v>56</v>
      </c>
      <c r="AH509" s="831" t="s">
        <v>72</v>
      </c>
      <c r="AI509" s="831">
        <v>0</v>
      </c>
      <c r="AJ509" s="835">
        <v>39813</v>
      </c>
      <c r="AK509" s="831">
        <v>0</v>
      </c>
      <c r="AP509" s="831" t="str">
        <f t="shared" si="22"/>
        <v/>
      </c>
    </row>
    <row r="510" spans="2:42">
      <c r="B510" s="834" t="str">
        <f t="shared" si="21"/>
        <v>|||</v>
      </c>
      <c r="H510" s="835">
        <f t="shared" si="23"/>
        <v>31</v>
      </c>
      <c r="AF510" s="831" t="s">
        <v>1196</v>
      </c>
      <c r="AG510" s="831" t="s">
        <v>56</v>
      </c>
      <c r="AH510" s="831" t="s">
        <v>77</v>
      </c>
      <c r="AI510" s="831">
        <v>0</v>
      </c>
      <c r="AJ510" s="835">
        <v>39813</v>
      </c>
      <c r="AK510" s="831">
        <v>-2235678</v>
      </c>
      <c r="AP510" s="831" t="str">
        <f t="shared" si="22"/>
        <v/>
      </c>
    </row>
    <row r="511" spans="2:42">
      <c r="B511" s="834" t="str">
        <f t="shared" si="21"/>
        <v>|||</v>
      </c>
      <c r="H511" s="835">
        <f t="shared" si="23"/>
        <v>31</v>
      </c>
      <c r="AF511" s="831" t="s">
        <v>1197</v>
      </c>
      <c r="AG511" s="831" t="s">
        <v>56</v>
      </c>
      <c r="AH511" s="831" t="s">
        <v>95</v>
      </c>
      <c r="AI511" s="831">
        <v>0</v>
      </c>
      <c r="AJ511" s="835">
        <v>39813</v>
      </c>
      <c r="AK511" s="831">
        <v>396380</v>
      </c>
      <c r="AP511" s="831" t="str">
        <f t="shared" si="22"/>
        <v/>
      </c>
    </row>
    <row r="512" spans="2:42">
      <c r="B512" s="834" t="str">
        <f t="shared" si="21"/>
        <v>|||</v>
      </c>
      <c r="H512" s="835">
        <f t="shared" si="23"/>
        <v>31</v>
      </c>
      <c r="AF512" s="831" t="s">
        <v>1198</v>
      </c>
      <c r="AG512" s="831" t="s">
        <v>56</v>
      </c>
      <c r="AH512" s="831" t="s">
        <v>98</v>
      </c>
      <c r="AI512" s="831">
        <v>0</v>
      </c>
      <c r="AJ512" s="835">
        <v>39813</v>
      </c>
      <c r="AK512" s="831">
        <v>-17999426</v>
      </c>
      <c r="AP512" s="831" t="str">
        <f t="shared" si="22"/>
        <v/>
      </c>
    </row>
    <row r="513" spans="2:42">
      <c r="B513" s="834" t="str">
        <f t="shared" si="21"/>
        <v>|||</v>
      </c>
      <c r="H513" s="835">
        <f t="shared" si="23"/>
        <v>31</v>
      </c>
      <c r="AF513" s="831" t="s">
        <v>1199</v>
      </c>
      <c r="AG513" s="831" t="s">
        <v>56</v>
      </c>
      <c r="AH513" s="831" t="s">
        <v>106</v>
      </c>
      <c r="AI513" s="831">
        <v>0</v>
      </c>
      <c r="AJ513" s="835">
        <v>39813</v>
      </c>
      <c r="AK513" s="831">
        <v>0</v>
      </c>
      <c r="AP513" s="831" t="str">
        <f t="shared" si="22"/>
        <v/>
      </c>
    </row>
    <row r="514" spans="2:42">
      <c r="B514" s="834" t="str">
        <f t="shared" si="21"/>
        <v>|||</v>
      </c>
      <c r="H514" s="835">
        <f t="shared" si="23"/>
        <v>31</v>
      </c>
      <c r="AF514" s="831" t="s">
        <v>1200</v>
      </c>
      <c r="AG514" s="831" t="s">
        <v>56</v>
      </c>
      <c r="AH514" s="831" t="s">
        <v>109</v>
      </c>
      <c r="AI514" s="831">
        <v>0</v>
      </c>
      <c r="AJ514" s="835">
        <v>39813</v>
      </c>
      <c r="AK514" s="831">
        <v>0</v>
      </c>
      <c r="AP514" s="831" t="str">
        <f t="shared" si="22"/>
        <v/>
      </c>
    </row>
    <row r="515" spans="2:42">
      <c r="B515" s="834" t="str">
        <f t="shared" ref="B515:B578" si="24">C515&amp;"|"&amp;D515&amp;"|"&amp;E515&amp;"|"&amp;F515</f>
        <v>|||</v>
      </c>
      <c r="H515" s="835">
        <f t="shared" si="23"/>
        <v>31</v>
      </c>
      <c r="AF515" s="831" t="s">
        <v>1201</v>
      </c>
      <c r="AG515" s="831" t="s">
        <v>56</v>
      </c>
      <c r="AH515" s="831" t="s">
        <v>118</v>
      </c>
      <c r="AI515" s="831">
        <v>0</v>
      </c>
      <c r="AJ515" s="835">
        <v>39813</v>
      </c>
      <c r="AK515" s="831">
        <v>-2882888</v>
      </c>
      <c r="AP515" s="831" t="str">
        <f t="shared" ref="AP515:AP578" si="25">IF(AX515&lt;&gt;"",IF(OR(AX515=3,AX515=4),"Equity","Debt"),"")</f>
        <v/>
      </c>
    </row>
    <row r="516" spans="2:42">
      <c r="B516" s="834" t="str">
        <f t="shared" si="24"/>
        <v>|||</v>
      </c>
      <c r="H516" s="835">
        <f t="shared" ref="H516:H579" si="26">EOMONTH(L516,0)</f>
        <v>31</v>
      </c>
      <c r="AF516" s="831" t="s">
        <v>1202</v>
      </c>
      <c r="AG516" s="831" t="s">
        <v>56</v>
      </c>
      <c r="AH516" s="831" t="s">
        <v>122</v>
      </c>
      <c r="AI516" s="831">
        <v>0</v>
      </c>
      <c r="AJ516" s="835">
        <v>39813</v>
      </c>
      <c r="AK516" s="831">
        <v>0</v>
      </c>
      <c r="AP516" s="831" t="str">
        <f t="shared" si="25"/>
        <v/>
      </c>
    </row>
    <row r="517" spans="2:42">
      <c r="B517" s="834" t="str">
        <f t="shared" si="24"/>
        <v>|||</v>
      </c>
      <c r="H517" s="835">
        <f t="shared" si="26"/>
        <v>31</v>
      </c>
      <c r="AF517" s="831" t="s">
        <v>1203</v>
      </c>
      <c r="AG517" s="831" t="s">
        <v>56</v>
      </c>
      <c r="AH517" s="831" t="s">
        <v>128</v>
      </c>
      <c r="AI517" s="831">
        <v>0</v>
      </c>
      <c r="AJ517" s="835">
        <v>39813</v>
      </c>
      <c r="AK517" s="831">
        <v>0</v>
      </c>
      <c r="AP517" s="831" t="str">
        <f t="shared" si="25"/>
        <v/>
      </c>
    </row>
    <row r="518" spans="2:42">
      <c r="B518" s="834" t="str">
        <f t="shared" si="24"/>
        <v>|||</v>
      </c>
      <c r="H518" s="835">
        <f t="shared" si="26"/>
        <v>31</v>
      </c>
      <c r="AF518" s="831" t="s">
        <v>1204</v>
      </c>
      <c r="AG518" s="831" t="s">
        <v>56</v>
      </c>
      <c r="AH518" s="831" t="s">
        <v>65</v>
      </c>
      <c r="AI518" s="831">
        <v>0</v>
      </c>
      <c r="AJ518" s="835">
        <v>39844</v>
      </c>
      <c r="AK518" s="831">
        <v>4914894</v>
      </c>
      <c r="AP518" s="831" t="str">
        <f t="shared" si="25"/>
        <v/>
      </c>
    </row>
    <row r="519" spans="2:42">
      <c r="B519" s="834" t="str">
        <f t="shared" si="24"/>
        <v>|||</v>
      </c>
      <c r="H519" s="835">
        <f t="shared" si="26"/>
        <v>31</v>
      </c>
      <c r="AF519" s="831" t="s">
        <v>1205</v>
      </c>
      <c r="AG519" s="831" t="s">
        <v>56</v>
      </c>
      <c r="AH519" s="831" t="s">
        <v>67</v>
      </c>
      <c r="AI519" s="831">
        <v>0</v>
      </c>
      <c r="AJ519" s="835">
        <v>39844</v>
      </c>
      <c r="AK519" s="831">
        <v>-1358790</v>
      </c>
      <c r="AP519" s="831" t="str">
        <f t="shared" si="25"/>
        <v/>
      </c>
    </row>
    <row r="520" spans="2:42">
      <c r="B520" s="834" t="str">
        <f t="shared" si="24"/>
        <v>|||</v>
      </c>
      <c r="H520" s="835">
        <f t="shared" si="26"/>
        <v>31</v>
      </c>
      <c r="AF520" s="831" t="s">
        <v>1206</v>
      </c>
      <c r="AG520" s="831" t="s">
        <v>56</v>
      </c>
      <c r="AH520" s="831" t="s">
        <v>72</v>
      </c>
      <c r="AI520" s="831">
        <v>0</v>
      </c>
      <c r="AJ520" s="835">
        <v>39844</v>
      </c>
      <c r="AK520" s="831">
        <v>0</v>
      </c>
      <c r="AP520" s="831" t="str">
        <f t="shared" si="25"/>
        <v/>
      </c>
    </row>
    <row r="521" spans="2:42">
      <c r="B521" s="834" t="str">
        <f t="shared" si="24"/>
        <v>|||</v>
      </c>
      <c r="H521" s="835">
        <f t="shared" si="26"/>
        <v>31</v>
      </c>
      <c r="AF521" s="831" t="s">
        <v>1207</v>
      </c>
      <c r="AG521" s="831" t="s">
        <v>56</v>
      </c>
      <c r="AH521" s="831" t="s">
        <v>77</v>
      </c>
      <c r="AI521" s="831">
        <v>0</v>
      </c>
      <c r="AJ521" s="835">
        <v>39844</v>
      </c>
      <c r="AK521" s="831">
        <v>-204764</v>
      </c>
      <c r="AP521" s="831" t="str">
        <f t="shared" si="25"/>
        <v/>
      </c>
    </row>
    <row r="522" spans="2:42">
      <c r="B522" s="834" t="str">
        <f t="shared" si="24"/>
        <v>|||</v>
      </c>
      <c r="H522" s="835">
        <f t="shared" si="26"/>
        <v>31</v>
      </c>
      <c r="AF522" s="831" t="s">
        <v>1208</v>
      </c>
      <c r="AG522" s="831" t="s">
        <v>56</v>
      </c>
      <c r="AH522" s="831" t="s">
        <v>95</v>
      </c>
      <c r="AI522" s="831">
        <v>0</v>
      </c>
      <c r="AJ522" s="835">
        <v>39844</v>
      </c>
      <c r="AK522" s="831">
        <v>0</v>
      </c>
      <c r="AP522" s="831" t="str">
        <f t="shared" si="25"/>
        <v/>
      </c>
    </row>
    <row r="523" spans="2:42">
      <c r="B523" s="834" t="str">
        <f t="shared" si="24"/>
        <v>|||</v>
      </c>
      <c r="H523" s="835">
        <f t="shared" si="26"/>
        <v>31</v>
      </c>
      <c r="AF523" s="831" t="s">
        <v>1209</v>
      </c>
      <c r="AG523" s="831" t="s">
        <v>56</v>
      </c>
      <c r="AH523" s="831" t="s">
        <v>98</v>
      </c>
      <c r="AI523" s="831">
        <v>0</v>
      </c>
      <c r="AJ523" s="835">
        <v>39844</v>
      </c>
      <c r="AK523" s="831">
        <v>-1860380</v>
      </c>
      <c r="AP523" s="831" t="str">
        <f t="shared" si="25"/>
        <v/>
      </c>
    </row>
    <row r="524" spans="2:42">
      <c r="B524" s="834" t="str">
        <f t="shared" si="24"/>
        <v>|||</v>
      </c>
      <c r="H524" s="835">
        <f t="shared" si="26"/>
        <v>31</v>
      </c>
      <c r="AF524" s="831" t="s">
        <v>1210</v>
      </c>
      <c r="AG524" s="831" t="s">
        <v>56</v>
      </c>
      <c r="AH524" s="831" t="s">
        <v>106</v>
      </c>
      <c r="AI524" s="831">
        <v>0</v>
      </c>
      <c r="AJ524" s="835">
        <v>39844</v>
      </c>
      <c r="AK524" s="831">
        <v>0</v>
      </c>
      <c r="AP524" s="831" t="str">
        <f t="shared" si="25"/>
        <v/>
      </c>
    </row>
    <row r="525" spans="2:42">
      <c r="B525" s="834" t="str">
        <f t="shared" si="24"/>
        <v>|||</v>
      </c>
      <c r="H525" s="835">
        <f t="shared" si="26"/>
        <v>31</v>
      </c>
      <c r="AF525" s="831" t="s">
        <v>1211</v>
      </c>
      <c r="AG525" s="831" t="s">
        <v>56</v>
      </c>
      <c r="AH525" s="831" t="s">
        <v>109</v>
      </c>
      <c r="AI525" s="831">
        <v>0</v>
      </c>
      <c r="AJ525" s="835">
        <v>39844</v>
      </c>
      <c r="AK525" s="831">
        <v>0</v>
      </c>
      <c r="AP525" s="831" t="str">
        <f t="shared" si="25"/>
        <v/>
      </c>
    </row>
    <row r="526" spans="2:42">
      <c r="B526" s="834" t="str">
        <f t="shared" si="24"/>
        <v>|||</v>
      </c>
      <c r="H526" s="835">
        <f t="shared" si="26"/>
        <v>31</v>
      </c>
      <c r="AF526" s="831" t="s">
        <v>1212</v>
      </c>
      <c r="AG526" s="831" t="s">
        <v>56</v>
      </c>
      <c r="AH526" s="831" t="s">
        <v>118</v>
      </c>
      <c r="AI526" s="831">
        <v>0</v>
      </c>
      <c r="AJ526" s="835">
        <v>39844</v>
      </c>
      <c r="AK526" s="831">
        <v>0</v>
      </c>
      <c r="AP526" s="831" t="str">
        <f t="shared" si="25"/>
        <v/>
      </c>
    </row>
    <row r="527" spans="2:42">
      <c r="B527" s="834" t="str">
        <f t="shared" si="24"/>
        <v>|||</v>
      </c>
      <c r="H527" s="835">
        <f t="shared" si="26"/>
        <v>31</v>
      </c>
      <c r="AF527" s="831" t="s">
        <v>1213</v>
      </c>
      <c r="AG527" s="831" t="s">
        <v>56</v>
      </c>
      <c r="AH527" s="831" t="s">
        <v>122</v>
      </c>
      <c r="AI527" s="831">
        <v>0</v>
      </c>
      <c r="AJ527" s="835">
        <v>39844</v>
      </c>
      <c r="AK527" s="831">
        <v>0</v>
      </c>
      <c r="AP527" s="831" t="str">
        <f t="shared" si="25"/>
        <v/>
      </c>
    </row>
    <row r="528" spans="2:42">
      <c r="B528" s="834" t="str">
        <f t="shared" si="24"/>
        <v>|||</v>
      </c>
      <c r="H528" s="835">
        <f t="shared" si="26"/>
        <v>31</v>
      </c>
      <c r="AF528" s="831" t="s">
        <v>1214</v>
      </c>
      <c r="AG528" s="831" t="s">
        <v>56</v>
      </c>
      <c r="AH528" s="831" t="s">
        <v>128</v>
      </c>
      <c r="AI528" s="831">
        <v>0</v>
      </c>
      <c r="AJ528" s="835">
        <v>39844</v>
      </c>
      <c r="AK528" s="831">
        <v>0</v>
      </c>
      <c r="AP528" s="831" t="str">
        <f t="shared" si="25"/>
        <v/>
      </c>
    </row>
    <row r="529" spans="2:42">
      <c r="B529" s="834" t="str">
        <f t="shared" si="24"/>
        <v>|||</v>
      </c>
      <c r="H529" s="835">
        <f t="shared" si="26"/>
        <v>31</v>
      </c>
      <c r="AF529" s="831" t="s">
        <v>1215</v>
      </c>
      <c r="AG529" s="831" t="s">
        <v>56</v>
      </c>
      <c r="AH529" s="831" t="s">
        <v>65</v>
      </c>
      <c r="AI529" s="831">
        <v>0</v>
      </c>
      <c r="AJ529" s="835">
        <v>39872</v>
      </c>
      <c r="AK529" s="831">
        <v>9559778</v>
      </c>
      <c r="AP529" s="831" t="str">
        <f t="shared" si="25"/>
        <v/>
      </c>
    </row>
    <row r="530" spans="2:42">
      <c r="B530" s="834" t="str">
        <f t="shared" si="24"/>
        <v>|||</v>
      </c>
      <c r="H530" s="835">
        <f t="shared" si="26"/>
        <v>31</v>
      </c>
      <c r="AF530" s="831" t="s">
        <v>1216</v>
      </c>
      <c r="AG530" s="831" t="s">
        <v>56</v>
      </c>
      <c r="AH530" s="831" t="s">
        <v>67</v>
      </c>
      <c r="AI530" s="831">
        <v>0</v>
      </c>
      <c r="AJ530" s="835">
        <v>39872</v>
      </c>
      <c r="AK530" s="831">
        <v>-2602468</v>
      </c>
      <c r="AP530" s="831" t="str">
        <f t="shared" si="25"/>
        <v/>
      </c>
    </row>
    <row r="531" spans="2:42">
      <c r="B531" s="834" t="str">
        <f t="shared" si="24"/>
        <v>|||</v>
      </c>
      <c r="H531" s="835">
        <f t="shared" si="26"/>
        <v>31</v>
      </c>
      <c r="AF531" s="831" t="s">
        <v>1217</v>
      </c>
      <c r="AG531" s="831" t="s">
        <v>56</v>
      </c>
      <c r="AH531" s="831" t="s">
        <v>72</v>
      </c>
      <c r="AI531" s="831">
        <v>0</v>
      </c>
      <c r="AJ531" s="835">
        <v>39872</v>
      </c>
      <c r="AK531" s="831">
        <v>0</v>
      </c>
      <c r="AP531" s="831" t="str">
        <f t="shared" si="25"/>
        <v/>
      </c>
    </row>
    <row r="532" spans="2:42">
      <c r="B532" s="834" t="str">
        <f t="shared" si="24"/>
        <v>|||</v>
      </c>
      <c r="H532" s="835">
        <f t="shared" si="26"/>
        <v>31</v>
      </c>
      <c r="AF532" s="831" t="s">
        <v>1218</v>
      </c>
      <c r="AG532" s="831" t="s">
        <v>56</v>
      </c>
      <c r="AH532" s="831" t="s">
        <v>77</v>
      </c>
      <c r="AI532" s="831">
        <v>0</v>
      </c>
      <c r="AJ532" s="835">
        <v>39872</v>
      </c>
      <c r="AK532" s="831">
        <v>-638395</v>
      </c>
      <c r="AP532" s="831" t="str">
        <f t="shared" si="25"/>
        <v/>
      </c>
    </row>
    <row r="533" spans="2:42">
      <c r="B533" s="834" t="str">
        <f t="shared" si="24"/>
        <v>|||</v>
      </c>
      <c r="H533" s="835">
        <f t="shared" si="26"/>
        <v>31</v>
      </c>
      <c r="AF533" s="831" t="s">
        <v>1219</v>
      </c>
      <c r="AG533" s="831" t="s">
        <v>56</v>
      </c>
      <c r="AH533" s="831" t="s">
        <v>95</v>
      </c>
      <c r="AI533" s="831">
        <v>0</v>
      </c>
      <c r="AJ533" s="835">
        <v>39872</v>
      </c>
      <c r="AK533" s="831">
        <v>0</v>
      </c>
      <c r="AP533" s="831" t="str">
        <f t="shared" si="25"/>
        <v/>
      </c>
    </row>
    <row r="534" spans="2:42">
      <c r="B534" s="834" t="str">
        <f t="shared" si="24"/>
        <v>|||</v>
      </c>
      <c r="H534" s="835">
        <f t="shared" si="26"/>
        <v>31</v>
      </c>
      <c r="AF534" s="831" t="s">
        <v>1220</v>
      </c>
      <c r="AG534" s="831" t="s">
        <v>56</v>
      </c>
      <c r="AH534" s="831" t="s">
        <v>98</v>
      </c>
      <c r="AI534" s="831">
        <v>0</v>
      </c>
      <c r="AJ534" s="835">
        <v>39872</v>
      </c>
      <c r="AK534" s="831">
        <v>-3801316</v>
      </c>
      <c r="AP534" s="831" t="str">
        <f t="shared" si="25"/>
        <v/>
      </c>
    </row>
    <row r="535" spans="2:42">
      <c r="B535" s="834" t="str">
        <f t="shared" si="24"/>
        <v>|||</v>
      </c>
      <c r="H535" s="835">
        <f t="shared" si="26"/>
        <v>31</v>
      </c>
      <c r="AF535" s="831" t="s">
        <v>1221</v>
      </c>
      <c r="AG535" s="831" t="s">
        <v>56</v>
      </c>
      <c r="AH535" s="831" t="s">
        <v>106</v>
      </c>
      <c r="AI535" s="831">
        <v>0</v>
      </c>
      <c r="AJ535" s="835">
        <v>39872</v>
      </c>
      <c r="AK535" s="831">
        <v>0</v>
      </c>
      <c r="AP535" s="831" t="str">
        <f t="shared" si="25"/>
        <v/>
      </c>
    </row>
    <row r="536" spans="2:42">
      <c r="B536" s="834" t="str">
        <f t="shared" si="24"/>
        <v>|||</v>
      </c>
      <c r="H536" s="835">
        <f t="shared" si="26"/>
        <v>31</v>
      </c>
      <c r="AF536" s="831" t="s">
        <v>1222</v>
      </c>
      <c r="AG536" s="831" t="s">
        <v>56</v>
      </c>
      <c r="AH536" s="831" t="s">
        <v>109</v>
      </c>
      <c r="AI536" s="831">
        <v>0</v>
      </c>
      <c r="AJ536" s="835">
        <v>39872</v>
      </c>
      <c r="AK536" s="831">
        <v>0</v>
      </c>
      <c r="AP536" s="831" t="str">
        <f t="shared" si="25"/>
        <v/>
      </c>
    </row>
    <row r="537" spans="2:42">
      <c r="B537" s="834" t="str">
        <f t="shared" si="24"/>
        <v>|||</v>
      </c>
      <c r="H537" s="835">
        <f t="shared" si="26"/>
        <v>31</v>
      </c>
      <c r="AF537" s="831" t="s">
        <v>1223</v>
      </c>
      <c r="AG537" s="831" t="s">
        <v>56</v>
      </c>
      <c r="AH537" s="831" t="s">
        <v>118</v>
      </c>
      <c r="AI537" s="831">
        <v>0</v>
      </c>
      <c r="AJ537" s="835">
        <v>39872</v>
      </c>
      <c r="AK537" s="831">
        <v>0</v>
      </c>
      <c r="AP537" s="831" t="str">
        <f t="shared" si="25"/>
        <v/>
      </c>
    </row>
    <row r="538" spans="2:42">
      <c r="B538" s="834" t="str">
        <f t="shared" si="24"/>
        <v>|||</v>
      </c>
      <c r="H538" s="835">
        <f t="shared" si="26"/>
        <v>31</v>
      </c>
      <c r="AF538" s="831" t="s">
        <v>1224</v>
      </c>
      <c r="AG538" s="831" t="s">
        <v>56</v>
      </c>
      <c r="AH538" s="831" t="s">
        <v>122</v>
      </c>
      <c r="AI538" s="831">
        <v>0</v>
      </c>
      <c r="AJ538" s="835">
        <v>39872</v>
      </c>
      <c r="AK538" s="831">
        <v>0</v>
      </c>
      <c r="AP538" s="831" t="str">
        <f t="shared" si="25"/>
        <v/>
      </c>
    </row>
    <row r="539" spans="2:42">
      <c r="B539" s="834" t="str">
        <f t="shared" si="24"/>
        <v>|||</v>
      </c>
      <c r="H539" s="835">
        <f t="shared" si="26"/>
        <v>31</v>
      </c>
      <c r="AF539" s="831" t="s">
        <v>1225</v>
      </c>
      <c r="AG539" s="831" t="s">
        <v>56</v>
      </c>
      <c r="AH539" s="831" t="s">
        <v>128</v>
      </c>
      <c r="AI539" s="831">
        <v>0</v>
      </c>
      <c r="AJ539" s="835">
        <v>39872</v>
      </c>
      <c r="AK539" s="831">
        <v>0</v>
      </c>
      <c r="AP539" s="831" t="str">
        <f t="shared" si="25"/>
        <v/>
      </c>
    </row>
    <row r="540" spans="2:42">
      <c r="B540" s="834" t="str">
        <f t="shared" si="24"/>
        <v>|||</v>
      </c>
      <c r="H540" s="835">
        <f t="shared" si="26"/>
        <v>31</v>
      </c>
      <c r="AF540" s="831" t="s">
        <v>1226</v>
      </c>
      <c r="AG540" s="831" t="s">
        <v>56</v>
      </c>
      <c r="AH540" s="831" t="s">
        <v>65</v>
      </c>
      <c r="AI540" s="831">
        <v>0</v>
      </c>
      <c r="AJ540" s="835">
        <v>39903</v>
      </c>
      <c r="AK540" s="831">
        <v>14277617</v>
      </c>
      <c r="AP540" s="831" t="str">
        <f t="shared" si="25"/>
        <v/>
      </c>
    </row>
    <row r="541" spans="2:42">
      <c r="B541" s="834" t="str">
        <f t="shared" si="24"/>
        <v>|||</v>
      </c>
      <c r="H541" s="835">
        <f t="shared" si="26"/>
        <v>31</v>
      </c>
      <c r="AF541" s="831" t="s">
        <v>1227</v>
      </c>
      <c r="AG541" s="831" t="s">
        <v>56</v>
      </c>
      <c r="AH541" s="831" t="s">
        <v>67</v>
      </c>
      <c r="AI541" s="831">
        <v>0</v>
      </c>
      <c r="AJ541" s="835">
        <v>39903</v>
      </c>
      <c r="AK541" s="831">
        <v>-4031556</v>
      </c>
      <c r="AP541" s="831" t="str">
        <f t="shared" si="25"/>
        <v/>
      </c>
    </row>
    <row r="542" spans="2:42">
      <c r="B542" s="834" t="str">
        <f t="shared" si="24"/>
        <v>|||</v>
      </c>
      <c r="H542" s="835">
        <f t="shared" si="26"/>
        <v>31</v>
      </c>
      <c r="AF542" s="831" t="s">
        <v>1228</v>
      </c>
      <c r="AG542" s="831" t="s">
        <v>56</v>
      </c>
      <c r="AH542" s="831" t="s">
        <v>72</v>
      </c>
      <c r="AI542" s="831">
        <v>0</v>
      </c>
      <c r="AJ542" s="835">
        <v>39903</v>
      </c>
      <c r="AK542" s="831">
        <v>0</v>
      </c>
      <c r="AP542" s="831" t="str">
        <f t="shared" si="25"/>
        <v/>
      </c>
    </row>
    <row r="543" spans="2:42">
      <c r="B543" s="834" t="str">
        <f t="shared" si="24"/>
        <v>|||</v>
      </c>
      <c r="H543" s="835">
        <f t="shared" si="26"/>
        <v>31</v>
      </c>
      <c r="AF543" s="831" t="s">
        <v>1229</v>
      </c>
      <c r="AG543" s="831" t="s">
        <v>56</v>
      </c>
      <c r="AH543" s="831" t="s">
        <v>77</v>
      </c>
      <c r="AI543" s="831">
        <v>0</v>
      </c>
      <c r="AJ543" s="835">
        <v>39903</v>
      </c>
      <c r="AK543" s="831">
        <v>-910744</v>
      </c>
      <c r="AP543" s="831" t="str">
        <f t="shared" si="25"/>
        <v/>
      </c>
    </row>
    <row r="544" spans="2:42">
      <c r="B544" s="834" t="str">
        <f t="shared" si="24"/>
        <v>|||</v>
      </c>
      <c r="H544" s="835">
        <f t="shared" si="26"/>
        <v>31</v>
      </c>
      <c r="AF544" s="831" t="s">
        <v>1230</v>
      </c>
      <c r="AG544" s="831" t="s">
        <v>56</v>
      </c>
      <c r="AH544" s="831" t="s">
        <v>95</v>
      </c>
      <c r="AI544" s="831">
        <v>0</v>
      </c>
      <c r="AJ544" s="835">
        <v>39903</v>
      </c>
      <c r="AK544" s="831">
        <v>0</v>
      </c>
      <c r="AP544" s="831" t="str">
        <f t="shared" si="25"/>
        <v/>
      </c>
    </row>
    <row r="545" spans="2:42">
      <c r="B545" s="834" t="str">
        <f t="shared" si="24"/>
        <v>|||</v>
      </c>
      <c r="H545" s="835">
        <f t="shared" si="26"/>
        <v>31</v>
      </c>
      <c r="AF545" s="831" t="s">
        <v>1231</v>
      </c>
      <c r="AG545" s="831" t="s">
        <v>56</v>
      </c>
      <c r="AH545" s="831" t="s">
        <v>98</v>
      </c>
      <c r="AI545" s="831">
        <v>0</v>
      </c>
      <c r="AJ545" s="835">
        <v>39903</v>
      </c>
      <c r="AK545" s="831">
        <v>-5828973</v>
      </c>
      <c r="AP545" s="831" t="str">
        <f t="shared" si="25"/>
        <v/>
      </c>
    </row>
    <row r="546" spans="2:42">
      <c r="B546" s="834" t="str">
        <f t="shared" si="24"/>
        <v>|||</v>
      </c>
      <c r="H546" s="835">
        <f t="shared" si="26"/>
        <v>31</v>
      </c>
      <c r="AF546" s="831" t="s">
        <v>1232</v>
      </c>
      <c r="AG546" s="831" t="s">
        <v>56</v>
      </c>
      <c r="AH546" s="831" t="s">
        <v>106</v>
      </c>
      <c r="AI546" s="831">
        <v>0</v>
      </c>
      <c r="AJ546" s="835">
        <v>39903</v>
      </c>
      <c r="AK546" s="831">
        <v>0</v>
      </c>
      <c r="AP546" s="831" t="str">
        <f t="shared" si="25"/>
        <v/>
      </c>
    </row>
    <row r="547" spans="2:42">
      <c r="B547" s="834" t="str">
        <f t="shared" si="24"/>
        <v>|||</v>
      </c>
      <c r="H547" s="835">
        <f t="shared" si="26"/>
        <v>31</v>
      </c>
      <c r="AF547" s="831" t="s">
        <v>1233</v>
      </c>
      <c r="AG547" s="831" t="s">
        <v>56</v>
      </c>
      <c r="AH547" s="831" t="s">
        <v>109</v>
      </c>
      <c r="AI547" s="831">
        <v>0</v>
      </c>
      <c r="AJ547" s="835">
        <v>39903</v>
      </c>
      <c r="AK547" s="831">
        <v>0</v>
      </c>
      <c r="AP547" s="831" t="str">
        <f t="shared" si="25"/>
        <v/>
      </c>
    </row>
    <row r="548" spans="2:42">
      <c r="B548" s="834" t="str">
        <f t="shared" si="24"/>
        <v>|||</v>
      </c>
      <c r="H548" s="835">
        <f t="shared" si="26"/>
        <v>31</v>
      </c>
      <c r="AF548" s="831" t="s">
        <v>1234</v>
      </c>
      <c r="AG548" s="831" t="s">
        <v>56</v>
      </c>
      <c r="AH548" s="831" t="s">
        <v>118</v>
      </c>
      <c r="AI548" s="831">
        <v>0</v>
      </c>
      <c r="AJ548" s="835">
        <v>39903</v>
      </c>
      <c r="AK548" s="831">
        <v>-72657</v>
      </c>
      <c r="AP548" s="831" t="str">
        <f t="shared" si="25"/>
        <v/>
      </c>
    </row>
    <row r="549" spans="2:42">
      <c r="B549" s="834" t="str">
        <f t="shared" si="24"/>
        <v>|||</v>
      </c>
      <c r="H549" s="835">
        <f t="shared" si="26"/>
        <v>31</v>
      </c>
      <c r="AF549" s="831" t="s">
        <v>1235</v>
      </c>
      <c r="AG549" s="831" t="s">
        <v>56</v>
      </c>
      <c r="AH549" s="831" t="s">
        <v>122</v>
      </c>
      <c r="AI549" s="831">
        <v>0</v>
      </c>
      <c r="AJ549" s="835">
        <v>39903</v>
      </c>
      <c r="AK549" s="831">
        <v>0</v>
      </c>
      <c r="AP549" s="831" t="str">
        <f t="shared" si="25"/>
        <v/>
      </c>
    </row>
    <row r="550" spans="2:42">
      <c r="B550" s="834" t="str">
        <f t="shared" si="24"/>
        <v>|||</v>
      </c>
      <c r="H550" s="835">
        <f t="shared" si="26"/>
        <v>31</v>
      </c>
      <c r="AF550" s="831" t="s">
        <v>1236</v>
      </c>
      <c r="AG550" s="831" t="s">
        <v>56</v>
      </c>
      <c r="AH550" s="831" t="s">
        <v>128</v>
      </c>
      <c r="AI550" s="831">
        <v>0</v>
      </c>
      <c r="AJ550" s="835">
        <v>39903</v>
      </c>
      <c r="AK550" s="831">
        <v>0</v>
      </c>
      <c r="AP550" s="831" t="str">
        <f t="shared" si="25"/>
        <v/>
      </c>
    </row>
    <row r="551" spans="2:42">
      <c r="B551" s="834" t="str">
        <f t="shared" si="24"/>
        <v>|||</v>
      </c>
      <c r="H551" s="835">
        <f t="shared" si="26"/>
        <v>31</v>
      </c>
      <c r="AF551" s="831" t="s">
        <v>1237</v>
      </c>
      <c r="AG551" s="831" t="s">
        <v>56</v>
      </c>
      <c r="AH551" s="831" t="s">
        <v>65</v>
      </c>
      <c r="AI551" s="831">
        <v>0</v>
      </c>
      <c r="AJ551" s="835">
        <v>39933</v>
      </c>
      <c r="AK551" s="831">
        <v>19990856</v>
      </c>
      <c r="AP551" s="831" t="str">
        <f t="shared" si="25"/>
        <v/>
      </c>
    </row>
    <row r="552" spans="2:42">
      <c r="B552" s="834" t="str">
        <f t="shared" si="24"/>
        <v>|||</v>
      </c>
      <c r="H552" s="835">
        <f t="shared" si="26"/>
        <v>31</v>
      </c>
      <c r="AF552" s="831" t="s">
        <v>1238</v>
      </c>
      <c r="AG552" s="831" t="s">
        <v>56</v>
      </c>
      <c r="AH552" s="831" t="s">
        <v>67</v>
      </c>
      <c r="AI552" s="831">
        <v>0</v>
      </c>
      <c r="AJ552" s="835">
        <v>39933</v>
      </c>
      <c r="AK552" s="831">
        <v>-5500033</v>
      </c>
      <c r="AP552" s="831" t="str">
        <f t="shared" si="25"/>
        <v/>
      </c>
    </row>
    <row r="553" spans="2:42">
      <c r="B553" s="834" t="str">
        <f t="shared" si="24"/>
        <v>|||</v>
      </c>
      <c r="H553" s="835">
        <f t="shared" si="26"/>
        <v>31</v>
      </c>
      <c r="AF553" s="831" t="s">
        <v>1239</v>
      </c>
      <c r="AG553" s="831" t="s">
        <v>56</v>
      </c>
      <c r="AH553" s="831" t="s">
        <v>72</v>
      </c>
      <c r="AI553" s="831">
        <v>0</v>
      </c>
      <c r="AJ553" s="835">
        <v>39933</v>
      </c>
      <c r="AK553" s="831">
        <v>0</v>
      </c>
      <c r="AP553" s="831" t="str">
        <f t="shared" si="25"/>
        <v/>
      </c>
    </row>
    <row r="554" spans="2:42">
      <c r="B554" s="834" t="str">
        <f t="shared" si="24"/>
        <v>|||</v>
      </c>
      <c r="H554" s="835">
        <f t="shared" si="26"/>
        <v>31</v>
      </c>
      <c r="AF554" s="831" t="s">
        <v>1240</v>
      </c>
      <c r="AG554" s="831" t="s">
        <v>56</v>
      </c>
      <c r="AH554" s="831" t="s">
        <v>77</v>
      </c>
      <c r="AI554" s="831">
        <v>0</v>
      </c>
      <c r="AJ554" s="835">
        <v>39933</v>
      </c>
      <c r="AK554" s="831">
        <v>-1188551</v>
      </c>
      <c r="AP554" s="831" t="str">
        <f t="shared" si="25"/>
        <v/>
      </c>
    </row>
    <row r="555" spans="2:42">
      <c r="B555" s="834" t="str">
        <f t="shared" si="24"/>
        <v>|||</v>
      </c>
      <c r="H555" s="835">
        <f t="shared" si="26"/>
        <v>31</v>
      </c>
      <c r="AF555" s="831" t="s">
        <v>1241</v>
      </c>
      <c r="AG555" s="831" t="s">
        <v>56</v>
      </c>
      <c r="AH555" s="831" t="s">
        <v>95</v>
      </c>
      <c r="AI555" s="831">
        <v>0</v>
      </c>
      <c r="AJ555" s="835">
        <v>39933</v>
      </c>
      <c r="AK555" s="831">
        <v>0</v>
      </c>
      <c r="AP555" s="831" t="str">
        <f t="shared" si="25"/>
        <v/>
      </c>
    </row>
    <row r="556" spans="2:42">
      <c r="B556" s="834" t="str">
        <f t="shared" si="24"/>
        <v>|||</v>
      </c>
      <c r="H556" s="835">
        <f t="shared" si="26"/>
        <v>31</v>
      </c>
      <c r="AF556" s="831" t="s">
        <v>1242</v>
      </c>
      <c r="AG556" s="831" t="s">
        <v>56</v>
      </c>
      <c r="AH556" s="831" t="s">
        <v>98</v>
      </c>
      <c r="AI556" s="831">
        <v>0</v>
      </c>
      <c r="AJ556" s="835">
        <v>39933</v>
      </c>
      <c r="AK556" s="831">
        <v>-7979828</v>
      </c>
      <c r="AP556" s="831" t="str">
        <f t="shared" si="25"/>
        <v/>
      </c>
    </row>
    <row r="557" spans="2:42">
      <c r="B557" s="834" t="str">
        <f t="shared" si="24"/>
        <v>|||</v>
      </c>
      <c r="H557" s="835">
        <f t="shared" si="26"/>
        <v>31</v>
      </c>
      <c r="AF557" s="831" t="s">
        <v>1243</v>
      </c>
      <c r="AG557" s="831" t="s">
        <v>56</v>
      </c>
      <c r="AH557" s="831" t="s">
        <v>106</v>
      </c>
      <c r="AI557" s="831">
        <v>0</v>
      </c>
      <c r="AJ557" s="835">
        <v>39933</v>
      </c>
      <c r="AK557" s="831">
        <v>0</v>
      </c>
      <c r="AP557" s="831" t="str">
        <f t="shared" si="25"/>
        <v/>
      </c>
    </row>
    <row r="558" spans="2:42">
      <c r="B558" s="834" t="str">
        <f t="shared" si="24"/>
        <v>|||</v>
      </c>
      <c r="H558" s="835">
        <f t="shared" si="26"/>
        <v>31</v>
      </c>
      <c r="AF558" s="831" t="s">
        <v>1244</v>
      </c>
      <c r="AG558" s="831" t="s">
        <v>56</v>
      </c>
      <c r="AH558" s="831" t="s">
        <v>109</v>
      </c>
      <c r="AI558" s="831">
        <v>0</v>
      </c>
      <c r="AJ558" s="835">
        <v>39933</v>
      </c>
      <c r="AK558" s="831">
        <v>0</v>
      </c>
      <c r="AP558" s="831" t="str">
        <f t="shared" si="25"/>
        <v/>
      </c>
    </row>
    <row r="559" spans="2:42">
      <c r="B559" s="834" t="str">
        <f t="shared" si="24"/>
        <v>|||</v>
      </c>
      <c r="H559" s="835">
        <f t="shared" si="26"/>
        <v>31</v>
      </c>
      <c r="AF559" s="831" t="s">
        <v>1245</v>
      </c>
      <c r="AG559" s="831" t="s">
        <v>56</v>
      </c>
      <c r="AH559" s="831" t="s">
        <v>118</v>
      </c>
      <c r="AI559" s="831">
        <v>0</v>
      </c>
      <c r="AJ559" s="835">
        <v>39933</v>
      </c>
      <c r="AK559" s="831">
        <v>-72657</v>
      </c>
      <c r="AP559" s="831" t="str">
        <f t="shared" si="25"/>
        <v/>
      </c>
    </row>
    <row r="560" spans="2:42">
      <c r="B560" s="834" t="str">
        <f t="shared" si="24"/>
        <v>|||</v>
      </c>
      <c r="H560" s="835">
        <f t="shared" si="26"/>
        <v>31</v>
      </c>
      <c r="AF560" s="831" t="s">
        <v>1246</v>
      </c>
      <c r="AG560" s="831" t="s">
        <v>56</v>
      </c>
      <c r="AH560" s="831" t="s">
        <v>122</v>
      </c>
      <c r="AI560" s="831">
        <v>0</v>
      </c>
      <c r="AJ560" s="835">
        <v>39933</v>
      </c>
      <c r="AK560" s="831">
        <v>0</v>
      </c>
      <c r="AP560" s="831" t="str">
        <f t="shared" si="25"/>
        <v/>
      </c>
    </row>
    <row r="561" spans="2:42">
      <c r="B561" s="834" t="str">
        <f t="shared" si="24"/>
        <v>|||</v>
      </c>
      <c r="H561" s="835">
        <f t="shared" si="26"/>
        <v>31</v>
      </c>
      <c r="AF561" s="831" t="s">
        <v>1247</v>
      </c>
      <c r="AG561" s="831" t="s">
        <v>56</v>
      </c>
      <c r="AH561" s="831" t="s">
        <v>128</v>
      </c>
      <c r="AI561" s="831">
        <v>0</v>
      </c>
      <c r="AJ561" s="835">
        <v>39933</v>
      </c>
      <c r="AK561" s="831">
        <v>0</v>
      </c>
      <c r="AP561" s="831" t="str">
        <f t="shared" si="25"/>
        <v/>
      </c>
    </row>
    <row r="562" spans="2:42">
      <c r="B562" s="834" t="str">
        <f t="shared" si="24"/>
        <v>|||</v>
      </c>
      <c r="H562" s="835">
        <f t="shared" si="26"/>
        <v>31</v>
      </c>
      <c r="AF562" s="831" t="s">
        <v>1248</v>
      </c>
      <c r="AG562" s="831" t="s">
        <v>56</v>
      </c>
      <c r="AH562" s="831" t="s">
        <v>65</v>
      </c>
      <c r="AI562" s="831">
        <v>0</v>
      </c>
      <c r="AJ562" s="835">
        <v>39964</v>
      </c>
      <c r="AK562" s="831">
        <v>25418626</v>
      </c>
      <c r="AP562" s="831" t="str">
        <f t="shared" si="25"/>
        <v/>
      </c>
    </row>
    <row r="563" spans="2:42">
      <c r="B563" s="834" t="str">
        <f t="shared" si="24"/>
        <v>|||</v>
      </c>
      <c r="H563" s="835">
        <f t="shared" si="26"/>
        <v>31</v>
      </c>
      <c r="AF563" s="831" t="s">
        <v>1249</v>
      </c>
      <c r="AG563" s="831" t="s">
        <v>56</v>
      </c>
      <c r="AH563" s="831" t="s">
        <v>67</v>
      </c>
      <c r="AI563" s="831">
        <v>0</v>
      </c>
      <c r="AJ563" s="835">
        <v>39964</v>
      </c>
      <c r="AK563" s="831">
        <v>-7025325</v>
      </c>
      <c r="AP563" s="831" t="str">
        <f t="shared" si="25"/>
        <v/>
      </c>
    </row>
    <row r="564" spans="2:42">
      <c r="B564" s="834" t="str">
        <f t="shared" si="24"/>
        <v>|||</v>
      </c>
      <c r="H564" s="835">
        <f t="shared" si="26"/>
        <v>31</v>
      </c>
      <c r="AF564" s="831" t="s">
        <v>1250</v>
      </c>
      <c r="AG564" s="831" t="s">
        <v>56</v>
      </c>
      <c r="AH564" s="831" t="s">
        <v>72</v>
      </c>
      <c r="AI564" s="831">
        <v>0</v>
      </c>
      <c r="AJ564" s="835">
        <v>39964</v>
      </c>
      <c r="AK564" s="831">
        <v>0</v>
      </c>
      <c r="AP564" s="831" t="str">
        <f t="shared" si="25"/>
        <v/>
      </c>
    </row>
    <row r="565" spans="2:42">
      <c r="B565" s="834" t="str">
        <f t="shared" si="24"/>
        <v>|||</v>
      </c>
      <c r="H565" s="835">
        <f t="shared" si="26"/>
        <v>31</v>
      </c>
      <c r="AF565" s="831" t="s">
        <v>1251</v>
      </c>
      <c r="AG565" s="831" t="s">
        <v>56</v>
      </c>
      <c r="AH565" s="831" t="s">
        <v>77</v>
      </c>
      <c r="AI565" s="831">
        <v>0</v>
      </c>
      <c r="AJ565" s="835">
        <v>39964</v>
      </c>
      <c r="AK565" s="831">
        <v>-1525024</v>
      </c>
      <c r="AP565" s="831" t="str">
        <f t="shared" si="25"/>
        <v/>
      </c>
    </row>
    <row r="566" spans="2:42">
      <c r="B566" s="834" t="str">
        <f t="shared" si="24"/>
        <v>|||</v>
      </c>
      <c r="H566" s="835">
        <f t="shared" si="26"/>
        <v>31</v>
      </c>
      <c r="AF566" s="831" t="s">
        <v>1252</v>
      </c>
      <c r="AG566" s="831" t="s">
        <v>56</v>
      </c>
      <c r="AH566" s="831" t="s">
        <v>95</v>
      </c>
      <c r="AI566" s="831">
        <v>0</v>
      </c>
      <c r="AJ566" s="835">
        <v>39964</v>
      </c>
      <c r="AK566" s="831">
        <v>0</v>
      </c>
      <c r="AP566" s="831" t="str">
        <f t="shared" si="25"/>
        <v/>
      </c>
    </row>
    <row r="567" spans="2:42">
      <c r="B567" s="834" t="str">
        <f t="shared" si="24"/>
        <v>|||</v>
      </c>
      <c r="H567" s="835">
        <f t="shared" si="26"/>
        <v>31</v>
      </c>
      <c r="AF567" s="831" t="s">
        <v>1253</v>
      </c>
      <c r="AG567" s="831" t="s">
        <v>56</v>
      </c>
      <c r="AH567" s="831" t="s">
        <v>98</v>
      </c>
      <c r="AI567" s="831">
        <v>0</v>
      </c>
      <c r="AJ567" s="835">
        <v>39964</v>
      </c>
      <c r="AK567" s="831">
        <v>-9989195</v>
      </c>
      <c r="AP567" s="831" t="str">
        <f t="shared" si="25"/>
        <v/>
      </c>
    </row>
    <row r="568" spans="2:42">
      <c r="B568" s="834" t="str">
        <f t="shared" si="24"/>
        <v>|||</v>
      </c>
      <c r="H568" s="835">
        <f t="shared" si="26"/>
        <v>31</v>
      </c>
      <c r="AF568" s="831" t="s">
        <v>1254</v>
      </c>
      <c r="AG568" s="831" t="s">
        <v>56</v>
      </c>
      <c r="AH568" s="831" t="s">
        <v>106</v>
      </c>
      <c r="AI568" s="831">
        <v>0</v>
      </c>
      <c r="AJ568" s="835">
        <v>39964</v>
      </c>
      <c r="AK568" s="831">
        <v>0</v>
      </c>
      <c r="AP568" s="831" t="str">
        <f t="shared" si="25"/>
        <v/>
      </c>
    </row>
    <row r="569" spans="2:42">
      <c r="B569" s="834" t="str">
        <f t="shared" si="24"/>
        <v>|||</v>
      </c>
      <c r="H569" s="835">
        <f t="shared" si="26"/>
        <v>31</v>
      </c>
      <c r="AF569" s="831" t="s">
        <v>1255</v>
      </c>
      <c r="AG569" s="831" t="s">
        <v>56</v>
      </c>
      <c r="AH569" s="831" t="s">
        <v>109</v>
      </c>
      <c r="AI569" s="831">
        <v>0</v>
      </c>
      <c r="AJ569" s="835">
        <v>39964</v>
      </c>
      <c r="AK569" s="831">
        <v>0</v>
      </c>
      <c r="AP569" s="831" t="str">
        <f t="shared" si="25"/>
        <v/>
      </c>
    </row>
    <row r="570" spans="2:42">
      <c r="B570" s="834" t="str">
        <f t="shared" si="24"/>
        <v>|||</v>
      </c>
      <c r="H570" s="835">
        <f t="shared" si="26"/>
        <v>31</v>
      </c>
      <c r="AF570" s="831" t="s">
        <v>1256</v>
      </c>
      <c r="AG570" s="831" t="s">
        <v>56</v>
      </c>
      <c r="AH570" s="831" t="s">
        <v>118</v>
      </c>
      <c r="AI570" s="831">
        <v>0</v>
      </c>
      <c r="AJ570" s="835">
        <v>39964</v>
      </c>
      <c r="AK570" s="831">
        <v>4319</v>
      </c>
      <c r="AP570" s="831" t="str">
        <f t="shared" si="25"/>
        <v/>
      </c>
    </row>
    <row r="571" spans="2:42">
      <c r="B571" s="834" t="str">
        <f t="shared" si="24"/>
        <v>|||</v>
      </c>
      <c r="H571" s="835">
        <f t="shared" si="26"/>
        <v>31</v>
      </c>
      <c r="AF571" s="831" t="s">
        <v>1257</v>
      </c>
      <c r="AG571" s="831" t="s">
        <v>56</v>
      </c>
      <c r="AH571" s="831" t="s">
        <v>122</v>
      </c>
      <c r="AI571" s="831">
        <v>0</v>
      </c>
      <c r="AJ571" s="835">
        <v>39964</v>
      </c>
      <c r="AK571" s="831">
        <v>0</v>
      </c>
      <c r="AP571" s="831" t="str">
        <f t="shared" si="25"/>
        <v/>
      </c>
    </row>
    <row r="572" spans="2:42">
      <c r="B572" s="834" t="str">
        <f t="shared" si="24"/>
        <v>|||</v>
      </c>
      <c r="H572" s="835">
        <f t="shared" si="26"/>
        <v>31</v>
      </c>
      <c r="AF572" s="831" t="s">
        <v>1258</v>
      </c>
      <c r="AG572" s="831" t="s">
        <v>56</v>
      </c>
      <c r="AH572" s="831" t="s">
        <v>128</v>
      </c>
      <c r="AI572" s="831">
        <v>0</v>
      </c>
      <c r="AJ572" s="835">
        <v>39964</v>
      </c>
      <c r="AK572" s="831">
        <v>0</v>
      </c>
      <c r="AP572" s="831" t="str">
        <f t="shared" si="25"/>
        <v/>
      </c>
    </row>
    <row r="573" spans="2:42">
      <c r="B573" s="834" t="str">
        <f t="shared" si="24"/>
        <v>|||</v>
      </c>
      <c r="H573" s="835">
        <f t="shared" si="26"/>
        <v>31</v>
      </c>
      <c r="AF573" s="831" t="s">
        <v>1259</v>
      </c>
      <c r="AG573" s="831" t="s">
        <v>56</v>
      </c>
      <c r="AH573" s="831" t="s">
        <v>65</v>
      </c>
      <c r="AI573" s="831">
        <v>0</v>
      </c>
      <c r="AJ573" s="835">
        <v>39994</v>
      </c>
      <c r="AK573" s="831">
        <v>31002085</v>
      </c>
      <c r="AP573" s="831" t="str">
        <f t="shared" si="25"/>
        <v/>
      </c>
    </row>
    <row r="574" spans="2:42">
      <c r="B574" s="834" t="str">
        <f t="shared" si="24"/>
        <v>|||</v>
      </c>
      <c r="H574" s="835">
        <f t="shared" si="26"/>
        <v>31</v>
      </c>
      <c r="AF574" s="831" t="s">
        <v>1260</v>
      </c>
      <c r="AG574" s="831" t="s">
        <v>56</v>
      </c>
      <c r="AH574" s="831" t="s">
        <v>67</v>
      </c>
      <c r="AI574" s="831">
        <v>0</v>
      </c>
      <c r="AJ574" s="835">
        <v>39994</v>
      </c>
      <c r="AK574" s="831">
        <v>-8523169</v>
      </c>
      <c r="AP574" s="831" t="str">
        <f t="shared" si="25"/>
        <v/>
      </c>
    </row>
    <row r="575" spans="2:42">
      <c r="B575" s="834" t="str">
        <f t="shared" si="24"/>
        <v>|||</v>
      </c>
      <c r="H575" s="835">
        <f t="shared" si="26"/>
        <v>31</v>
      </c>
      <c r="AF575" s="831" t="s">
        <v>1261</v>
      </c>
      <c r="AG575" s="831" t="s">
        <v>56</v>
      </c>
      <c r="AH575" s="831" t="s">
        <v>72</v>
      </c>
      <c r="AI575" s="831">
        <v>0</v>
      </c>
      <c r="AJ575" s="835">
        <v>39994</v>
      </c>
      <c r="AK575" s="831">
        <v>0</v>
      </c>
      <c r="AP575" s="831" t="str">
        <f t="shared" si="25"/>
        <v/>
      </c>
    </row>
    <row r="576" spans="2:42">
      <c r="B576" s="834" t="str">
        <f t="shared" si="24"/>
        <v>|||</v>
      </c>
      <c r="H576" s="835">
        <f t="shared" si="26"/>
        <v>31</v>
      </c>
      <c r="AF576" s="831" t="s">
        <v>1262</v>
      </c>
      <c r="AG576" s="831" t="s">
        <v>56</v>
      </c>
      <c r="AH576" s="831" t="s">
        <v>77</v>
      </c>
      <c r="AI576" s="831">
        <v>0</v>
      </c>
      <c r="AJ576" s="835">
        <v>39994</v>
      </c>
      <c r="AK576" s="831">
        <v>-1667973</v>
      </c>
      <c r="AP576" s="831" t="str">
        <f t="shared" si="25"/>
        <v/>
      </c>
    </row>
    <row r="577" spans="2:42">
      <c r="B577" s="834" t="str">
        <f t="shared" si="24"/>
        <v>|||</v>
      </c>
      <c r="H577" s="835">
        <f t="shared" si="26"/>
        <v>31</v>
      </c>
      <c r="AF577" s="831" t="s">
        <v>1263</v>
      </c>
      <c r="AG577" s="831" t="s">
        <v>56</v>
      </c>
      <c r="AH577" s="831" t="s">
        <v>95</v>
      </c>
      <c r="AI577" s="831">
        <v>0</v>
      </c>
      <c r="AJ577" s="835">
        <v>39994</v>
      </c>
      <c r="AK577" s="831">
        <v>0</v>
      </c>
      <c r="AP577" s="831" t="str">
        <f t="shared" si="25"/>
        <v/>
      </c>
    </row>
    <row r="578" spans="2:42">
      <c r="B578" s="834" t="str">
        <f t="shared" si="24"/>
        <v>|||</v>
      </c>
      <c r="H578" s="835">
        <f t="shared" si="26"/>
        <v>31</v>
      </c>
      <c r="AF578" s="831" t="s">
        <v>1264</v>
      </c>
      <c r="AG578" s="831" t="s">
        <v>56</v>
      </c>
      <c r="AH578" s="831" t="s">
        <v>98</v>
      </c>
      <c r="AI578" s="831">
        <v>0</v>
      </c>
      <c r="AJ578" s="835">
        <v>39994</v>
      </c>
      <c r="AK578" s="831">
        <v>-12336349</v>
      </c>
      <c r="AP578" s="831" t="str">
        <f t="shared" si="25"/>
        <v/>
      </c>
    </row>
    <row r="579" spans="2:42">
      <c r="B579" s="834" t="str">
        <f t="shared" ref="B579:B642" si="27">C579&amp;"|"&amp;D579&amp;"|"&amp;E579&amp;"|"&amp;F579</f>
        <v>|||</v>
      </c>
      <c r="H579" s="835">
        <f t="shared" si="26"/>
        <v>31</v>
      </c>
      <c r="AF579" s="831" t="s">
        <v>1265</v>
      </c>
      <c r="AG579" s="831" t="s">
        <v>56</v>
      </c>
      <c r="AH579" s="831" t="s">
        <v>106</v>
      </c>
      <c r="AI579" s="831">
        <v>0</v>
      </c>
      <c r="AJ579" s="835">
        <v>39994</v>
      </c>
      <c r="AK579" s="831">
        <v>0</v>
      </c>
      <c r="AP579" s="831" t="str">
        <f t="shared" ref="AP579:AP642" si="28">IF(AX579&lt;&gt;"",IF(OR(AX579=3,AX579=4),"Equity","Debt"),"")</f>
        <v/>
      </c>
    </row>
    <row r="580" spans="2:42">
      <c r="B580" s="834" t="str">
        <f t="shared" si="27"/>
        <v>|||</v>
      </c>
      <c r="H580" s="835">
        <f t="shared" ref="H580:H643" si="29">EOMONTH(L580,0)</f>
        <v>31</v>
      </c>
      <c r="AF580" s="831" t="s">
        <v>1266</v>
      </c>
      <c r="AG580" s="831" t="s">
        <v>56</v>
      </c>
      <c r="AH580" s="831" t="s">
        <v>109</v>
      </c>
      <c r="AI580" s="831">
        <v>0</v>
      </c>
      <c r="AJ580" s="835">
        <v>39994</v>
      </c>
      <c r="AK580" s="831">
        <v>0</v>
      </c>
      <c r="AP580" s="831" t="str">
        <f t="shared" si="28"/>
        <v/>
      </c>
    </row>
    <row r="581" spans="2:42">
      <c r="B581" s="834" t="str">
        <f t="shared" si="27"/>
        <v>|||</v>
      </c>
      <c r="H581" s="835">
        <f t="shared" si="29"/>
        <v>31</v>
      </c>
      <c r="AF581" s="831" t="s">
        <v>1267</v>
      </c>
      <c r="AG581" s="831" t="s">
        <v>56</v>
      </c>
      <c r="AH581" s="831" t="s">
        <v>118</v>
      </c>
      <c r="AI581" s="831">
        <v>0</v>
      </c>
      <c r="AJ581" s="835">
        <v>39994</v>
      </c>
      <c r="AK581" s="831">
        <v>4317</v>
      </c>
      <c r="AP581" s="831" t="str">
        <f t="shared" si="28"/>
        <v/>
      </c>
    </row>
    <row r="582" spans="2:42">
      <c r="B582" s="834" t="str">
        <f t="shared" si="27"/>
        <v>|||</v>
      </c>
      <c r="H582" s="835">
        <f t="shared" si="29"/>
        <v>31</v>
      </c>
      <c r="AF582" s="831" t="s">
        <v>1268</v>
      </c>
      <c r="AG582" s="831" t="s">
        <v>56</v>
      </c>
      <c r="AH582" s="831" t="s">
        <v>122</v>
      </c>
      <c r="AI582" s="831">
        <v>0</v>
      </c>
      <c r="AJ582" s="835">
        <v>39994</v>
      </c>
      <c r="AK582" s="831">
        <v>0</v>
      </c>
      <c r="AP582" s="831" t="str">
        <f t="shared" si="28"/>
        <v/>
      </c>
    </row>
    <row r="583" spans="2:42">
      <c r="B583" s="834" t="str">
        <f t="shared" si="27"/>
        <v>|||</v>
      </c>
      <c r="H583" s="835">
        <f t="shared" si="29"/>
        <v>31</v>
      </c>
      <c r="AF583" s="831" t="s">
        <v>1269</v>
      </c>
      <c r="AG583" s="831" t="s">
        <v>56</v>
      </c>
      <c r="AH583" s="831" t="s">
        <v>128</v>
      </c>
      <c r="AI583" s="831">
        <v>0</v>
      </c>
      <c r="AJ583" s="835">
        <v>39994</v>
      </c>
      <c r="AK583" s="831">
        <v>0</v>
      </c>
      <c r="AP583" s="831" t="str">
        <f t="shared" si="28"/>
        <v/>
      </c>
    </row>
    <row r="584" spans="2:42">
      <c r="B584" s="834" t="str">
        <f t="shared" si="27"/>
        <v>|||</v>
      </c>
      <c r="H584" s="835">
        <f t="shared" si="29"/>
        <v>31</v>
      </c>
      <c r="AF584" s="831" t="s">
        <v>1270</v>
      </c>
      <c r="AG584" s="831" t="s">
        <v>56</v>
      </c>
      <c r="AH584" s="831" t="s">
        <v>65</v>
      </c>
      <c r="AI584" s="831">
        <v>0</v>
      </c>
      <c r="AJ584" s="835">
        <v>40025</v>
      </c>
      <c r="AK584" s="831">
        <v>37056033</v>
      </c>
      <c r="AP584" s="831" t="str">
        <f t="shared" si="28"/>
        <v/>
      </c>
    </row>
    <row r="585" spans="2:42">
      <c r="B585" s="834" t="str">
        <f t="shared" si="27"/>
        <v>|||</v>
      </c>
      <c r="H585" s="835">
        <f t="shared" si="29"/>
        <v>31</v>
      </c>
      <c r="AF585" s="831" t="s">
        <v>1271</v>
      </c>
      <c r="AG585" s="831" t="s">
        <v>56</v>
      </c>
      <c r="AH585" s="831" t="s">
        <v>67</v>
      </c>
      <c r="AI585" s="831">
        <v>0</v>
      </c>
      <c r="AJ585" s="835">
        <v>40025</v>
      </c>
      <c r="AK585" s="831">
        <v>-10118097</v>
      </c>
      <c r="AP585" s="831" t="str">
        <f t="shared" si="28"/>
        <v/>
      </c>
    </row>
    <row r="586" spans="2:42">
      <c r="B586" s="834" t="str">
        <f t="shared" si="27"/>
        <v>|||</v>
      </c>
      <c r="H586" s="835">
        <f t="shared" si="29"/>
        <v>31</v>
      </c>
      <c r="AF586" s="831" t="s">
        <v>1272</v>
      </c>
      <c r="AG586" s="831" t="s">
        <v>56</v>
      </c>
      <c r="AH586" s="831" t="s">
        <v>72</v>
      </c>
      <c r="AI586" s="831">
        <v>0</v>
      </c>
      <c r="AJ586" s="835">
        <v>40025</v>
      </c>
      <c r="AK586" s="831">
        <v>0</v>
      </c>
      <c r="AP586" s="831" t="str">
        <f t="shared" si="28"/>
        <v/>
      </c>
    </row>
    <row r="587" spans="2:42">
      <c r="B587" s="834" t="str">
        <f t="shared" si="27"/>
        <v>|||</v>
      </c>
      <c r="H587" s="835">
        <f t="shared" si="29"/>
        <v>31</v>
      </c>
      <c r="AF587" s="831" t="s">
        <v>1273</v>
      </c>
      <c r="AG587" s="831" t="s">
        <v>56</v>
      </c>
      <c r="AH587" s="831" t="s">
        <v>77</v>
      </c>
      <c r="AI587" s="831">
        <v>0</v>
      </c>
      <c r="AJ587" s="835">
        <v>40025</v>
      </c>
      <c r="AK587" s="831">
        <v>-1834715</v>
      </c>
      <c r="AP587" s="831" t="str">
        <f t="shared" si="28"/>
        <v/>
      </c>
    </row>
    <row r="588" spans="2:42">
      <c r="B588" s="834" t="str">
        <f t="shared" si="27"/>
        <v>|||</v>
      </c>
      <c r="H588" s="835">
        <f t="shared" si="29"/>
        <v>31</v>
      </c>
      <c r="AF588" s="831" t="s">
        <v>1274</v>
      </c>
      <c r="AG588" s="831" t="s">
        <v>56</v>
      </c>
      <c r="AH588" s="831" t="s">
        <v>95</v>
      </c>
      <c r="AI588" s="831">
        <v>0</v>
      </c>
      <c r="AJ588" s="835">
        <v>40025</v>
      </c>
      <c r="AK588" s="831">
        <v>0</v>
      </c>
      <c r="AP588" s="831" t="str">
        <f t="shared" si="28"/>
        <v/>
      </c>
    </row>
    <row r="589" spans="2:42">
      <c r="B589" s="834" t="str">
        <f t="shared" si="27"/>
        <v>|||</v>
      </c>
      <c r="H589" s="835">
        <f t="shared" si="29"/>
        <v>31</v>
      </c>
      <c r="AF589" s="831" t="s">
        <v>1275</v>
      </c>
      <c r="AG589" s="831" t="s">
        <v>56</v>
      </c>
      <c r="AH589" s="831" t="s">
        <v>98</v>
      </c>
      <c r="AI589" s="831">
        <v>0</v>
      </c>
      <c r="AJ589" s="835">
        <v>40025</v>
      </c>
      <c r="AK589" s="831">
        <v>-14693930</v>
      </c>
      <c r="AP589" s="831" t="str">
        <f t="shared" si="28"/>
        <v/>
      </c>
    </row>
    <row r="590" spans="2:42">
      <c r="B590" s="834" t="str">
        <f t="shared" si="27"/>
        <v>|||</v>
      </c>
      <c r="H590" s="835">
        <f t="shared" si="29"/>
        <v>31</v>
      </c>
      <c r="AF590" s="831" t="s">
        <v>1276</v>
      </c>
      <c r="AG590" s="831" t="s">
        <v>56</v>
      </c>
      <c r="AH590" s="831" t="s">
        <v>106</v>
      </c>
      <c r="AI590" s="831">
        <v>0</v>
      </c>
      <c r="AJ590" s="835">
        <v>40025</v>
      </c>
      <c r="AK590" s="831">
        <v>0</v>
      </c>
      <c r="AP590" s="831" t="str">
        <f t="shared" si="28"/>
        <v/>
      </c>
    </row>
    <row r="591" spans="2:42">
      <c r="B591" s="834" t="str">
        <f t="shared" si="27"/>
        <v>|||</v>
      </c>
      <c r="H591" s="835">
        <f t="shared" si="29"/>
        <v>31</v>
      </c>
      <c r="AF591" s="831" t="s">
        <v>1277</v>
      </c>
      <c r="AG591" s="831" t="s">
        <v>56</v>
      </c>
      <c r="AH591" s="831" t="s">
        <v>109</v>
      </c>
      <c r="AI591" s="831">
        <v>0</v>
      </c>
      <c r="AJ591" s="835">
        <v>40025</v>
      </c>
      <c r="AK591" s="831">
        <v>0</v>
      </c>
      <c r="AP591" s="831" t="str">
        <f t="shared" si="28"/>
        <v/>
      </c>
    </row>
    <row r="592" spans="2:42">
      <c r="B592" s="834" t="str">
        <f t="shared" si="27"/>
        <v>|||</v>
      </c>
      <c r="H592" s="835">
        <f t="shared" si="29"/>
        <v>31</v>
      </c>
      <c r="AF592" s="831" t="s">
        <v>1278</v>
      </c>
      <c r="AG592" s="831" t="s">
        <v>56</v>
      </c>
      <c r="AH592" s="831" t="s">
        <v>118</v>
      </c>
      <c r="AI592" s="831">
        <v>0</v>
      </c>
      <c r="AJ592" s="835">
        <v>40025</v>
      </c>
      <c r="AK592" s="831">
        <v>4320</v>
      </c>
      <c r="AP592" s="831" t="str">
        <f t="shared" si="28"/>
        <v/>
      </c>
    </row>
    <row r="593" spans="2:42">
      <c r="B593" s="834" t="str">
        <f t="shared" si="27"/>
        <v>|||</v>
      </c>
      <c r="H593" s="835">
        <f t="shared" si="29"/>
        <v>31</v>
      </c>
      <c r="AF593" s="831" t="s">
        <v>1279</v>
      </c>
      <c r="AG593" s="831" t="s">
        <v>56</v>
      </c>
      <c r="AH593" s="831" t="s">
        <v>122</v>
      </c>
      <c r="AI593" s="831">
        <v>0</v>
      </c>
      <c r="AJ593" s="835">
        <v>40025</v>
      </c>
      <c r="AK593" s="831">
        <v>0</v>
      </c>
      <c r="AP593" s="831" t="str">
        <f t="shared" si="28"/>
        <v/>
      </c>
    </row>
    <row r="594" spans="2:42">
      <c r="B594" s="834" t="str">
        <f t="shared" si="27"/>
        <v>|||</v>
      </c>
      <c r="H594" s="835">
        <f t="shared" si="29"/>
        <v>31</v>
      </c>
      <c r="AF594" s="831" t="s">
        <v>1280</v>
      </c>
      <c r="AG594" s="831" t="s">
        <v>56</v>
      </c>
      <c r="AH594" s="831" t="s">
        <v>128</v>
      </c>
      <c r="AI594" s="831">
        <v>0</v>
      </c>
      <c r="AJ594" s="835">
        <v>40025</v>
      </c>
      <c r="AK594" s="831">
        <v>0</v>
      </c>
      <c r="AP594" s="831" t="str">
        <f t="shared" si="28"/>
        <v/>
      </c>
    </row>
    <row r="595" spans="2:42">
      <c r="B595" s="834" t="str">
        <f t="shared" si="27"/>
        <v>|||</v>
      </c>
      <c r="H595" s="835">
        <f t="shared" si="29"/>
        <v>31</v>
      </c>
      <c r="AF595" s="831" t="s">
        <v>1281</v>
      </c>
      <c r="AG595" s="831" t="s">
        <v>56</v>
      </c>
      <c r="AH595" s="831" t="s">
        <v>65</v>
      </c>
      <c r="AI595" s="831">
        <v>0</v>
      </c>
      <c r="AJ595" s="835">
        <v>40056</v>
      </c>
      <c r="AK595" s="831">
        <v>43338897</v>
      </c>
      <c r="AP595" s="831" t="str">
        <f t="shared" si="28"/>
        <v/>
      </c>
    </row>
    <row r="596" spans="2:42">
      <c r="B596" s="834" t="str">
        <f t="shared" si="27"/>
        <v>|||</v>
      </c>
      <c r="H596" s="835">
        <f t="shared" si="29"/>
        <v>31</v>
      </c>
      <c r="AF596" s="831" t="s">
        <v>1282</v>
      </c>
      <c r="AG596" s="831" t="s">
        <v>56</v>
      </c>
      <c r="AH596" s="831" t="s">
        <v>67</v>
      </c>
      <c r="AI596" s="831">
        <v>0</v>
      </c>
      <c r="AJ596" s="835">
        <v>40056</v>
      </c>
      <c r="AK596" s="831">
        <v>-11702492</v>
      </c>
      <c r="AP596" s="831" t="str">
        <f t="shared" si="28"/>
        <v/>
      </c>
    </row>
    <row r="597" spans="2:42">
      <c r="B597" s="834" t="str">
        <f t="shared" si="27"/>
        <v>|||</v>
      </c>
      <c r="H597" s="835">
        <f t="shared" si="29"/>
        <v>31</v>
      </c>
      <c r="AF597" s="831" t="s">
        <v>1283</v>
      </c>
      <c r="AG597" s="831" t="s">
        <v>56</v>
      </c>
      <c r="AH597" s="831" t="s">
        <v>72</v>
      </c>
      <c r="AI597" s="831">
        <v>0</v>
      </c>
      <c r="AJ597" s="835">
        <v>40056</v>
      </c>
      <c r="AK597" s="831">
        <v>0</v>
      </c>
      <c r="AP597" s="831" t="str">
        <f t="shared" si="28"/>
        <v/>
      </c>
    </row>
    <row r="598" spans="2:42">
      <c r="B598" s="834" t="str">
        <f t="shared" si="27"/>
        <v>|||</v>
      </c>
      <c r="H598" s="835">
        <f t="shared" si="29"/>
        <v>31</v>
      </c>
      <c r="AF598" s="831" t="s">
        <v>1284</v>
      </c>
      <c r="AG598" s="831" t="s">
        <v>56</v>
      </c>
      <c r="AH598" s="831" t="s">
        <v>77</v>
      </c>
      <c r="AI598" s="831">
        <v>0</v>
      </c>
      <c r="AJ598" s="835">
        <v>40056</v>
      </c>
      <c r="AK598" s="831">
        <v>-2074918</v>
      </c>
      <c r="AP598" s="831" t="str">
        <f t="shared" si="28"/>
        <v/>
      </c>
    </row>
    <row r="599" spans="2:42">
      <c r="B599" s="834" t="str">
        <f t="shared" si="27"/>
        <v>|||</v>
      </c>
      <c r="H599" s="835">
        <f t="shared" si="29"/>
        <v>31</v>
      </c>
      <c r="AF599" s="831" t="s">
        <v>1285</v>
      </c>
      <c r="AG599" s="831" t="s">
        <v>56</v>
      </c>
      <c r="AH599" s="831" t="s">
        <v>95</v>
      </c>
      <c r="AI599" s="831">
        <v>0</v>
      </c>
      <c r="AJ599" s="835">
        <v>40056</v>
      </c>
      <c r="AK599" s="831">
        <v>0</v>
      </c>
      <c r="AP599" s="831" t="str">
        <f t="shared" si="28"/>
        <v/>
      </c>
    </row>
    <row r="600" spans="2:42">
      <c r="B600" s="834" t="str">
        <f t="shared" si="27"/>
        <v>|||</v>
      </c>
      <c r="H600" s="835">
        <f t="shared" si="29"/>
        <v>31</v>
      </c>
      <c r="AF600" s="831" t="s">
        <v>1286</v>
      </c>
      <c r="AG600" s="831" t="s">
        <v>56</v>
      </c>
      <c r="AH600" s="831" t="s">
        <v>98</v>
      </c>
      <c r="AI600" s="831">
        <v>0</v>
      </c>
      <c r="AJ600" s="835">
        <v>40056</v>
      </c>
      <c r="AK600" s="831">
        <v>-16967407</v>
      </c>
      <c r="AP600" s="831" t="str">
        <f t="shared" si="28"/>
        <v/>
      </c>
    </row>
    <row r="601" spans="2:42">
      <c r="B601" s="834" t="str">
        <f t="shared" si="27"/>
        <v>|||</v>
      </c>
      <c r="H601" s="835">
        <f t="shared" si="29"/>
        <v>31</v>
      </c>
      <c r="AF601" s="831" t="s">
        <v>1287</v>
      </c>
      <c r="AG601" s="831" t="s">
        <v>56</v>
      </c>
      <c r="AH601" s="831" t="s">
        <v>106</v>
      </c>
      <c r="AI601" s="831">
        <v>0</v>
      </c>
      <c r="AJ601" s="835">
        <v>40056</v>
      </c>
      <c r="AK601" s="831">
        <v>0</v>
      </c>
      <c r="AP601" s="831" t="str">
        <f t="shared" si="28"/>
        <v/>
      </c>
    </row>
    <row r="602" spans="2:42">
      <c r="B602" s="834" t="str">
        <f t="shared" si="27"/>
        <v>|||</v>
      </c>
      <c r="H602" s="835">
        <f t="shared" si="29"/>
        <v>31</v>
      </c>
      <c r="AF602" s="831" t="s">
        <v>1288</v>
      </c>
      <c r="AG602" s="831" t="s">
        <v>56</v>
      </c>
      <c r="AH602" s="831" t="s">
        <v>109</v>
      </c>
      <c r="AI602" s="831">
        <v>0</v>
      </c>
      <c r="AJ602" s="835">
        <v>40056</v>
      </c>
      <c r="AK602" s="831">
        <v>0</v>
      </c>
      <c r="AP602" s="831" t="str">
        <f t="shared" si="28"/>
        <v/>
      </c>
    </row>
    <row r="603" spans="2:42">
      <c r="B603" s="834" t="str">
        <f t="shared" si="27"/>
        <v>|||</v>
      </c>
      <c r="H603" s="835">
        <f t="shared" si="29"/>
        <v>31</v>
      </c>
      <c r="AF603" s="831" t="s">
        <v>1289</v>
      </c>
      <c r="AG603" s="831" t="s">
        <v>56</v>
      </c>
      <c r="AH603" s="831" t="s">
        <v>118</v>
      </c>
      <c r="AI603" s="831">
        <v>0</v>
      </c>
      <c r="AJ603" s="835">
        <v>40056</v>
      </c>
      <c r="AK603" s="831">
        <v>4320</v>
      </c>
      <c r="AP603" s="831" t="str">
        <f t="shared" si="28"/>
        <v/>
      </c>
    </row>
    <row r="604" spans="2:42">
      <c r="B604" s="834" t="str">
        <f t="shared" si="27"/>
        <v>|||</v>
      </c>
      <c r="H604" s="835">
        <f t="shared" si="29"/>
        <v>31</v>
      </c>
      <c r="AF604" s="831" t="s">
        <v>1290</v>
      </c>
      <c r="AG604" s="831" t="s">
        <v>56</v>
      </c>
      <c r="AH604" s="831" t="s">
        <v>122</v>
      </c>
      <c r="AI604" s="831">
        <v>0</v>
      </c>
      <c r="AJ604" s="835">
        <v>40056</v>
      </c>
      <c r="AK604" s="831">
        <v>0</v>
      </c>
      <c r="AP604" s="831" t="str">
        <f t="shared" si="28"/>
        <v/>
      </c>
    </row>
    <row r="605" spans="2:42">
      <c r="B605" s="834" t="str">
        <f t="shared" si="27"/>
        <v>|||</v>
      </c>
      <c r="H605" s="835">
        <f t="shared" si="29"/>
        <v>31</v>
      </c>
      <c r="AF605" s="831" t="s">
        <v>1291</v>
      </c>
      <c r="AG605" s="831" t="s">
        <v>56</v>
      </c>
      <c r="AH605" s="831" t="s">
        <v>128</v>
      </c>
      <c r="AI605" s="831">
        <v>0</v>
      </c>
      <c r="AJ605" s="835">
        <v>40056</v>
      </c>
      <c r="AK605" s="831">
        <v>0</v>
      </c>
      <c r="AP605" s="831" t="str">
        <f t="shared" si="28"/>
        <v/>
      </c>
    </row>
    <row r="606" spans="2:42">
      <c r="B606" s="834" t="str">
        <f t="shared" si="27"/>
        <v>|||</v>
      </c>
      <c r="H606" s="835">
        <f t="shared" si="29"/>
        <v>31</v>
      </c>
      <c r="AF606" s="831" t="s">
        <v>1292</v>
      </c>
      <c r="AG606" s="831" t="s">
        <v>56</v>
      </c>
      <c r="AH606" s="831" t="s">
        <v>65</v>
      </c>
      <c r="AI606" s="831">
        <v>0</v>
      </c>
      <c r="AJ606" s="835">
        <v>40086</v>
      </c>
      <c r="AK606" s="831">
        <v>49184503</v>
      </c>
      <c r="AP606" s="831" t="str">
        <f t="shared" si="28"/>
        <v/>
      </c>
    </row>
    <row r="607" spans="2:42">
      <c r="B607" s="834" t="str">
        <f t="shared" si="27"/>
        <v>|||</v>
      </c>
      <c r="H607" s="835">
        <f t="shared" si="29"/>
        <v>31</v>
      </c>
      <c r="AF607" s="831" t="s">
        <v>1293</v>
      </c>
      <c r="AG607" s="831" t="s">
        <v>56</v>
      </c>
      <c r="AH607" s="831" t="s">
        <v>67</v>
      </c>
      <c r="AI607" s="831">
        <v>0</v>
      </c>
      <c r="AJ607" s="835">
        <v>40086</v>
      </c>
      <c r="AK607" s="831">
        <v>-13408285</v>
      </c>
      <c r="AP607" s="831" t="str">
        <f t="shared" si="28"/>
        <v/>
      </c>
    </row>
    <row r="608" spans="2:42">
      <c r="B608" s="834" t="str">
        <f t="shared" si="27"/>
        <v>|||</v>
      </c>
      <c r="H608" s="835">
        <f t="shared" si="29"/>
        <v>31</v>
      </c>
      <c r="AF608" s="831" t="s">
        <v>1294</v>
      </c>
      <c r="AG608" s="831" t="s">
        <v>56</v>
      </c>
      <c r="AH608" s="831" t="s">
        <v>72</v>
      </c>
      <c r="AI608" s="831">
        <v>0</v>
      </c>
      <c r="AJ608" s="835">
        <v>40086</v>
      </c>
      <c r="AK608" s="831">
        <v>0</v>
      </c>
      <c r="AP608" s="831" t="str">
        <f t="shared" si="28"/>
        <v/>
      </c>
    </row>
    <row r="609" spans="2:42">
      <c r="B609" s="834" t="str">
        <f t="shared" si="27"/>
        <v>|||</v>
      </c>
      <c r="H609" s="835">
        <f t="shared" si="29"/>
        <v>31</v>
      </c>
      <c r="AF609" s="831" t="s">
        <v>1295</v>
      </c>
      <c r="AG609" s="831" t="s">
        <v>56</v>
      </c>
      <c r="AH609" s="831" t="s">
        <v>77</v>
      </c>
      <c r="AI609" s="831">
        <v>0</v>
      </c>
      <c r="AJ609" s="835">
        <v>40086</v>
      </c>
      <c r="AK609" s="831">
        <v>-2303462</v>
      </c>
      <c r="AP609" s="831" t="str">
        <f t="shared" si="28"/>
        <v/>
      </c>
    </row>
    <row r="610" spans="2:42">
      <c r="B610" s="834" t="str">
        <f t="shared" si="27"/>
        <v>|||</v>
      </c>
      <c r="H610" s="835">
        <f t="shared" si="29"/>
        <v>31</v>
      </c>
      <c r="AF610" s="831" t="s">
        <v>1296</v>
      </c>
      <c r="AG610" s="831" t="s">
        <v>56</v>
      </c>
      <c r="AH610" s="831" t="s">
        <v>95</v>
      </c>
      <c r="AI610" s="831">
        <v>0</v>
      </c>
      <c r="AJ610" s="835">
        <v>40086</v>
      </c>
      <c r="AK610" s="831">
        <v>0</v>
      </c>
      <c r="AP610" s="831" t="str">
        <f t="shared" si="28"/>
        <v/>
      </c>
    </row>
    <row r="611" spans="2:42">
      <c r="B611" s="834" t="str">
        <f t="shared" si="27"/>
        <v>|||</v>
      </c>
      <c r="H611" s="835">
        <f t="shared" si="29"/>
        <v>31</v>
      </c>
      <c r="AF611" s="831" t="s">
        <v>1297</v>
      </c>
      <c r="AG611" s="831" t="s">
        <v>56</v>
      </c>
      <c r="AH611" s="831" t="s">
        <v>98</v>
      </c>
      <c r="AI611" s="831">
        <v>0</v>
      </c>
      <c r="AJ611" s="835">
        <v>40086</v>
      </c>
      <c r="AK611" s="831">
        <v>-19263720</v>
      </c>
      <c r="AP611" s="831" t="str">
        <f t="shared" si="28"/>
        <v/>
      </c>
    </row>
    <row r="612" spans="2:42">
      <c r="B612" s="834" t="str">
        <f t="shared" si="27"/>
        <v>|||</v>
      </c>
      <c r="H612" s="835">
        <f t="shared" si="29"/>
        <v>31</v>
      </c>
      <c r="AF612" s="831" t="s">
        <v>1298</v>
      </c>
      <c r="AG612" s="831" t="s">
        <v>56</v>
      </c>
      <c r="AH612" s="831" t="s">
        <v>106</v>
      </c>
      <c r="AI612" s="831">
        <v>0</v>
      </c>
      <c r="AJ612" s="835">
        <v>40086</v>
      </c>
      <c r="AK612" s="831">
        <v>0</v>
      </c>
      <c r="AP612" s="831" t="str">
        <f t="shared" si="28"/>
        <v/>
      </c>
    </row>
    <row r="613" spans="2:42">
      <c r="B613" s="834" t="str">
        <f t="shared" si="27"/>
        <v>|||</v>
      </c>
      <c r="H613" s="835">
        <f t="shared" si="29"/>
        <v>31</v>
      </c>
      <c r="AF613" s="831" t="s">
        <v>1299</v>
      </c>
      <c r="AG613" s="831" t="s">
        <v>56</v>
      </c>
      <c r="AH613" s="831" t="s">
        <v>109</v>
      </c>
      <c r="AI613" s="831">
        <v>0</v>
      </c>
      <c r="AJ613" s="835">
        <v>40086</v>
      </c>
      <c r="AK613" s="831">
        <v>0</v>
      </c>
      <c r="AP613" s="831" t="str">
        <f t="shared" si="28"/>
        <v/>
      </c>
    </row>
    <row r="614" spans="2:42">
      <c r="B614" s="834" t="str">
        <f t="shared" si="27"/>
        <v>|||</v>
      </c>
      <c r="H614" s="835">
        <f t="shared" si="29"/>
        <v>31</v>
      </c>
      <c r="AF614" s="831" t="s">
        <v>1300</v>
      </c>
      <c r="AG614" s="831" t="s">
        <v>56</v>
      </c>
      <c r="AH614" s="831" t="s">
        <v>118</v>
      </c>
      <c r="AI614" s="831">
        <v>0</v>
      </c>
      <c r="AJ614" s="835">
        <v>40086</v>
      </c>
      <c r="AK614" s="831">
        <v>4320</v>
      </c>
      <c r="AP614" s="831" t="str">
        <f t="shared" si="28"/>
        <v/>
      </c>
    </row>
    <row r="615" spans="2:42">
      <c r="B615" s="834" t="str">
        <f t="shared" si="27"/>
        <v>|||</v>
      </c>
      <c r="H615" s="835">
        <f t="shared" si="29"/>
        <v>31</v>
      </c>
      <c r="AF615" s="831" t="s">
        <v>1301</v>
      </c>
      <c r="AG615" s="831" t="s">
        <v>56</v>
      </c>
      <c r="AH615" s="831" t="s">
        <v>122</v>
      </c>
      <c r="AI615" s="831">
        <v>0</v>
      </c>
      <c r="AJ615" s="835">
        <v>40086</v>
      </c>
      <c r="AK615" s="831">
        <v>0</v>
      </c>
      <c r="AP615" s="831" t="str">
        <f t="shared" si="28"/>
        <v/>
      </c>
    </row>
    <row r="616" spans="2:42">
      <c r="B616" s="834" t="str">
        <f t="shared" si="27"/>
        <v>|||</v>
      </c>
      <c r="H616" s="835">
        <f t="shared" si="29"/>
        <v>31</v>
      </c>
      <c r="AF616" s="831" t="s">
        <v>1302</v>
      </c>
      <c r="AG616" s="831" t="s">
        <v>56</v>
      </c>
      <c r="AH616" s="831" t="s">
        <v>128</v>
      </c>
      <c r="AI616" s="831">
        <v>0</v>
      </c>
      <c r="AJ616" s="835">
        <v>40086</v>
      </c>
      <c r="AK616" s="831">
        <v>0</v>
      </c>
      <c r="AP616" s="831" t="str">
        <f t="shared" si="28"/>
        <v/>
      </c>
    </row>
    <row r="617" spans="2:42">
      <c r="B617" s="834" t="str">
        <f t="shared" si="27"/>
        <v>|||</v>
      </c>
      <c r="H617" s="835">
        <f t="shared" si="29"/>
        <v>31</v>
      </c>
      <c r="AF617" s="831" t="s">
        <v>1303</v>
      </c>
      <c r="AG617" s="831" t="s">
        <v>56</v>
      </c>
      <c r="AH617" s="831" t="s">
        <v>65</v>
      </c>
      <c r="AI617" s="831">
        <v>0</v>
      </c>
      <c r="AJ617" s="835">
        <v>40117</v>
      </c>
      <c r="AK617" s="831">
        <v>55806673</v>
      </c>
      <c r="AP617" s="831" t="str">
        <f t="shared" si="28"/>
        <v/>
      </c>
    </row>
    <row r="618" spans="2:42">
      <c r="B618" s="834" t="str">
        <f t="shared" si="27"/>
        <v>|||</v>
      </c>
      <c r="H618" s="835">
        <f t="shared" si="29"/>
        <v>31</v>
      </c>
      <c r="AF618" s="831" t="s">
        <v>1304</v>
      </c>
      <c r="AG618" s="831" t="s">
        <v>56</v>
      </c>
      <c r="AH618" s="831" t="s">
        <v>67</v>
      </c>
      <c r="AI618" s="831">
        <v>0</v>
      </c>
      <c r="AJ618" s="835">
        <v>40117</v>
      </c>
      <c r="AK618" s="831">
        <v>-15135289</v>
      </c>
      <c r="AP618" s="831" t="str">
        <f t="shared" si="28"/>
        <v/>
      </c>
    </row>
    <row r="619" spans="2:42">
      <c r="B619" s="834" t="str">
        <f t="shared" si="27"/>
        <v>|||</v>
      </c>
      <c r="H619" s="835">
        <f t="shared" si="29"/>
        <v>31</v>
      </c>
      <c r="AF619" s="831" t="s">
        <v>1305</v>
      </c>
      <c r="AG619" s="831" t="s">
        <v>56</v>
      </c>
      <c r="AH619" s="831" t="s">
        <v>72</v>
      </c>
      <c r="AI619" s="831">
        <v>0</v>
      </c>
      <c r="AJ619" s="835">
        <v>40117</v>
      </c>
      <c r="AK619" s="831">
        <v>0</v>
      </c>
      <c r="AP619" s="831" t="str">
        <f t="shared" si="28"/>
        <v/>
      </c>
    </row>
    <row r="620" spans="2:42">
      <c r="B620" s="834" t="str">
        <f t="shared" si="27"/>
        <v>|||</v>
      </c>
      <c r="H620" s="835">
        <f t="shared" si="29"/>
        <v>31</v>
      </c>
      <c r="AF620" s="831" t="s">
        <v>1306</v>
      </c>
      <c r="AG620" s="831" t="s">
        <v>56</v>
      </c>
      <c r="AH620" s="831" t="s">
        <v>77</v>
      </c>
      <c r="AI620" s="831">
        <v>0</v>
      </c>
      <c r="AJ620" s="835">
        <v>40117</v>
      </c>
      <c r="AK620" s="831">
        <v>-2609297</v>
      </c>
      <c r="AP620" s="831" t="str">
        <f t="shared" si="28"/>
        <v/>
      </c>
    </row>
    <row r="621" spans="2:42">
      <c r="B621" s="834" t="str">
        <f t="shared" si="27"/>
        <v>|||</v>
      </c>
      <c r="H621" s="835">
        <f t="shared" si="29"/>
        <v>31</v>
      </c>
      <c r="AF621" s="831" t="s">
        <v>1307</v>
      </c>
      <c r="AG621" s="831" t="s">
        <v>56</v>
      </c>
      <c r="AH621" s="831" t="s">
        <v>95</v>
      </c>
      <c r="AI621" s="831">
        <v>0</v>
      </c>
      <c r="AJ621" s="835">
        <v>40117</v>
      </c>
      <c r="AK621" s="831">
        <v>0</v>
      </c>
      <c r="AP621" s="831" t="str">
        <f t="shared" si="28"/>
        <v/>
      </c>
    </row>
    <row r="622" spans="2:42">
      <c r="B622" s="834" t="str">
        <f t="shared" si="27"/>
        <v>|||</v>
      </c>
      <c r="H622" s="835">
        <f t="shared" si="29"/>
        <v>31</v>
      </c>
      <c r="AF622" s="831" t="s">
        <v>1308</v>
      </c>
      <c r="AG622" s="831" t="s">
        <v>56</v>
      </c>
      <c r="AH622" s="831" t="s">
        <v>98</v>
      </c>
      <c r="AI622" s="831">
        <v>0</v>
      </c>
      <c r="AJ622" s="835">
        <v>40117</v>
      </c>
      <c r="AK622" s="831">
        <v>-21673474</v>
      </c>
      <c r="AP622" s="831" t="str">
        <f t="shared" si="28"/>
        <v/>
      </c>
    </row>
    <row r="623" spans="2:42">
      <c r="B623" s="834" t="str">
        <f t="shared" si="27"/>
        <v>|||</v>
      </c>
      <c r="H623" s="835">
        <f t="shared" si="29"/>
        <v>31</v>
      </c>
      <c r="AF623" s="831" t="s">
        <v>1309</v>
      </c>
      <c r="AG623" s="831" t="s">
        <v>56</v>
      </c>
      <c r="AH623" s="831" t="s">
        <v>106</v>
      </c>
      <c r="AI623" s="831">
        <v>0</v>
      </c>
      <c r="AJ623" s="835">
        <v>40117</v>
      </c>
      <c r="AK623" s="831">
        <v>0</v>
      </c>
      <c r="AP623" s="831" t="str">
        <f t="shared" si="28"/>
        <v/>
      </c>
    </row>
    <row r="624" spans="2:42">
      <c r="B624" s="834" t="str">
        <f t="shared" si="27"/>
        <v>|||</v>
      </c>
      <c r="H624" s="835">
        <f t="shared" si="29"/>
        <v>31</v>
      </c>
      <c r="AF624" s="831" t="s">
        <v>1310</v>
      </c>
      <c r="AG624" s="831" t="s">
        <v>56</v>
      </c>
      <c r="AH624" s="831" t="s">
        <v>109</v>
      </c>
      <c r="AI624" s="831">
        <v>0</v>
      </c>
      <c r="AJ624" s="835">
        <v>40117</v>
      </c>
      <c r="AK624" s="831">
        <v>0</v>
      </c>
      <c r="AP624" s="831" t="str">
        <f t="shared" si="28"/>
        <v/>
      </c>
    </row>
    <row r="625" spans="2:42">
      <c r="B625" s="834" t="str">
        <f t="shared" si="27"/>
        <v>|||</v>
      </c>
      <c r="H625" s="835">
        <f t="shared" si="29"/>
        <v>31</v>
      </c>
      <c r="AF625" s="831" t="s">
        <v>1311</v>
      </c>
      <c r="AG625" s="831" t="s">
        <v>56</v>
      </c>
      <c r="AH625" s="831" t="s">
        <v>118</v>
      </c>
      <c r="AI625" s="831">
        <v>0</v>
      </c>
      <c r="AJ625" s="835">
        <v>40117</v>
      </c>
      <c r="AK625" s="831">
        <v>4320</v>
      </c>
      <c r="AP625" s="831" t="str">
        <f t="shared" si="28"/>
        <v/>
      </c>
    </row>
    <row r="626" spans="2:42">
      <c r="B626" s="834" t="str">
        <f t="shared" si="27"/>
        <v>|||</v>
      </c>
      <c r="H626" s="835">
        <f t="shared" si="29"/>
        <v>31</v>
      </c>
      <c r="AF626" s="831" t="s">
        <v>1312</v>
      </c>
      <c r="AG626" s="831" t="s">
        <v>56</v>
      </c>
      <c r="AH626" s="831" t="s">
        <v>122</v>
      </c>
      <c r="AI626" s="831">
        <v>0</v>
      </c>
      <c r="AJ626" s="835">
        <v>40117</v>
      </c>
      <c r="AK626" s="831">
        <v>0</v>
      </c>
      <c r="AP626" s="831" t="str">
        <f t="shared" si="28"/>
        <v/>
      </c>
    </row>
    <row r="627" spans="2:42">
      <c r="B627" s="834" t="str">
        <f t="shared" si="27"/>
        <v>|||</v>
      </c>
      <c r="H627" s="835">
        <f t="shared" si="29"/>
        <v>31</v>
      </c>
      <c r="AF627" s="831" t="s">
        <v>1313</v>
      </c>
      <c r="AG627" s="831" t="s">
        <v>56</v>
      </c>
      <c r="AH627" s="831" t="s">
        <v>128</v>
      </c>
      <c r="AI627" s="831">
        <v>0</v>
      </c>
      <c r="AJ627" s="835">
        <v>40117</v>
      </c>
      <c r="AK627" s="831">
        <v>0</v>
      </c>
      <c r="AP627" s="831" t="str">
        <f t="shared" si="28"/>
        <v/>
      </c>
    </row>
    <row r="628" spans="2:42">
      <c r="B628" s="834" t="str">
        <f t="shared" si="27"/>
        <v>|||</v>
      </c>
      <c r="H628" s="835">
        <f t="shared" si="29"/>
        <v>31</v>
      </c>
      <c r="AF628" s="831" t="s">
        <v>1314</v>
      </c>
      <c r="AG628" s="831" t="s">
        <v>56</v>
      </c>
      <c r="AH628" s="831" t="s">
        <v>65</v>
      </c>
      <c r="AI628" s="831">
        <v>0</v>
      </c>
      <c r="AJ628" s="835">
        <v>40147</v>
      </c>
      <c r="AK628" s="831">
        <v>62157080</v>
      </c>
      <c r="AP628" s="831" t="str">
        <f t="shared" si="28"/>
        <v/>
      </c>
    </row>
    <row r="629" spans="2:42">
      <c r="B629" s="834" t="str">
        <f t="shared" si="27"/>
        <v>|||</v>
      </c>
      <c r="H629" s="835">
        <f t="shared" si="29"/>
        <v>31</v>
      </c>
      <c r="AF629" s="831" t="s">
        <v>1315</v>
      </c>
      <c r="AG629" s="831" t="s">
        <v>56</v>
      </c>
      <c r="AH629" s="831" t="s">
        <v>67</v>
      </c>
      <c r="AI629" s="831">
        <v>0</v>
      </c>
      <c r="AJ629" s="835">
        <v>40147</v>
      </c>
      <c r="AK629" s="831">
        <v>-17001834</v>
      </c>
      <c r="AP629" s="831" t="str">
        <f t="shared" si="28"/>
        <v/>
      </c>
    </row>
    <row r="630" spans="2:42">
      <c r="B630" s="834" t="str">
        <f t="shared" si="27"/>
        <v>|||</v>
      </c>
      <c r="H630" s="835">
        <f t="shared" si="29"/>
        <v>31</v>
      </c>
      <c r="AF630" s="831" t="s">
        <v>1316</v>
      </c>
      <c r="AG630" s="831" t="s">
        <v>56</v>
      </c>
      <c r="AH630" s="831" t="s">
        <v>72</v>
      </c>
      <c r="AI630" s="831">
        <v>0</v>
      </c>
      <c r="AJ630" s="835">
        <v>40147</v>
      </c>
      <c r="AK630" s="831">
        <v>0</v>
      </c>
      <c r="AP630" s="831" t="str">
        <f t="shared" si="28"/>
        <v/>
      </c>
    </row>
    <row r="631" spans="2:42">
      <c r="B631" s="834" t="str">
        <f t="shared" si="27"/>
        <v>|||</v>
      </c>
      <c r="H631" s="835">
        <f t="shared" si="29"/>
        <v>31</v>
      </c>
      <c r="AF631" s="831" t="s">
        <v>1317</v>
      </c>
      <c r="AG631" s="831" t="s">
        <v>56</v>
      </c>
      <c r="AH631" s="831" t="s">
        <v>77</v>
      </c>
      <c r="AI631" s="831">
        <v>0</v>
      </c>
      <c r="AJ631" s="835">
        <v>40147</v>
      </c>
      <c r="AK631" s="831">
        <v>-2595388</v>
      </c>
      <c r="AP631" s="831" t="str">
        <f t="shared" si="28"/>
        <v/>
      </c>
    </row>
    <row r="632" spans="2:42">
      <c r="B632" s="834" t="str">
        <f t="shared" si="27"/>
        <v>|||</v>
      </c>
      <c r="H632" s="835">
        <f t="shared" si="29"/>
        <v>31</v>
      </c>
      <c r="AF632" s="831" t="s">
        <v>1318</v>
      </c>
      <c r="AG632" s="831" t="s">
        <v>56</v>
      </c>
      <c r="AH632" s="831" t="s">
        <v>95</v>
      </c>
      <c r="AI632" s="831">
        <v>0</v>
      </c>
      <c r="AJ632" s="835">
        <v>40147</v>
      </c>
      <c r="AK632" s="831">
        <v>0</v>
      </c>
      <c r="AP632" s="831" t="str">
        <f t="shared" si="28"/>
        <v/>
      </c>
    </row>
    <row r="633" spans="2:42">
      <c r="B633" s="834" t="str">
        <f t="shared" si="27"/>
        <v>|||</v>
      </c>
      <c r="H633" s="835">
        <f t="shared" si="29"/>
        <v>31</v>
      </c>
      <c r="AF633" s="831" t="s">
        <v>1319</v>
      </c>
      <c r="AG633" s="831" t="s">
        <v>56</v>
      </c>
      <c r="AH633" s="831" t="s">
        <v>98</v>
      </c>
      <c r="AI633" s="831">
        <v>0</v>
      </c>
      <c r="AJ633" s="835">
        <v>40147</v>
      </c>
      <c r="AK633" s="831">
        <v>-24150716</v>
      </c>
      <c r="AP633" s="831" t="str">
        <f t="shared" si="28"/>
        <v/>
      </c>
    </row>
    <row r="634" spans="2:42">
      <c r="B634" s="834" t="str">
        <f t="shared" si="27"/>
        <v>|||</v>
      </c>
      <c r="H634" s="835">
        <f t="shared" si="29"/>
        <v>31</v>
      </c>
      <c r="AF634" s="831" t="s">
        <v>1320</v>
      </c>
      <c r="AG634" s="831" t="s">
        <v>56</v>
      </c>
      <c r="AH634" s="831" t="s">
        <v>106</v>
      </c>
      <c r="AI634" s="831">
        <v>0</v>
      </c>
      <c r="AJ634" s="835">
        <v>40147</v>
      </c>
      <c r="AK634" s="831">
        <v>0</v>
      </c>
      <c r="AP634" s="831" t="str">
        <f t="shared" si="28"/>
        <v/>
      </c>
    </row>
    <row r="635" spans="2:42">
      <c r="B635" s="834" t="str">
        <f t="shared" si="27"/>
        <v>|||</v>
      </c>
      <c r="H635" s="835">
        <f t="shared" si="29"/>
        <v>31</v>
      </c>
      <c r="AF635" s="831" t="s">
        <v>1321</v>
      </c>
      <c r="AG635" s="831" t="s">
        <v>56</v>
      </c>
      <c r="AH635" s="831" t="s">
        <v>109</v>
      </c>
      <c r="AI635" s="831">
        <v>0</v>
      </c>
      <c r="AJ635" s="835">
        <v>40147</v>
      </c>
      <c r="AK635" s="831">
        <v>0</v>
      </c>
      <c r="AP635" s="831" t="str">
        <f t="shared" si="28"/>
        <v/>
      </c>
    </row>
    <row r="636" spans="2:42">
      <c r="B636" s="834" t="str">
        <f t="shared" si="27"/>
        <v>|||</v>
      </c>
      <c r="H636" s="835">
        <f t="shared" si="29"/>
        <v>31</v>
      </c>
      <c r="AF636" s="831" t="s">
        <v>1322</v>
      </c>
      <c r="AG636" s="831" t="s">
        <v>56</v>
      </c>
      <c r="AH636" s="831" t="s">
        <v>118</v>
      </c>
      <c r="AI636" s="831">
        <v>0</v>
      </c>
      <c r="AJ636" s="835">
        <v>40147</v>
      </c>
      <c r="AK636" s="831">
        <v>4319</v>
      </c>
      <c r="AP636" s="831" t="str">
        <f t="shared" si="28"/>
        <v/>
      </c>
    </row>
    <row r="637" spans="2:42">
      <c r="B637" s="834" t="str">
        <f t="shared" si="27"/>
        <v>|||</v>
      </c>
      <c r="H637" s="835">
        <f t="shared" si="29"/>
        <v>31</v>
      </c>
      <c r="AF637" s="831" t="s">
        <v>1323</v>
      </c>
      <c r="AG637" s="831" t="s">
        <v>56</v>
      </c>
      <c r="AH637" s="831" t="s">
        <v>122</v>
      </c>
      <c r="AI637" s="831">
        <v>0</v>
      </c>
      <c r="AJ637" s="835">
        <v>40147</v>
      </c>
      <c r="AK637" s="831">
        <v>0</v>
      </c>
      <c r="AP637" s="831" t="str">
        <f t="shared" si="28"/>
        <v/>
      </c>
    </row>
    <row r="638" spans="2:42">
      <c r="B638" s="834" t="str">
        <f t="shared" si="27"/>
        <v>|||</v>
      </c>
      <c r="H638" s="835">
        <f t="shared" si="29"/>
        <v>31</v>
      </c>
      <c r="AF638" s="831" t="s">
        <v>1324</v>
      </c>
      <c r="AG638" s="831" t="s">
        <v>56</v>
      </c>
      <c r="AH638" s="831" t="s">
        <v>128</v>
      </c>
      <c r="AI638" s="831">
        <v>0</v>
      </c>
      <c r="AJ638" s="835">
        <v>40147</v>
      </c>
      <c r="AK638" s="831">
        <v>0</v>
      </c>
      <c r="AP638" s="831" t="str">
        <f t="shared" si="28"/>
        <v/>
      </c>
    </row>
    <row r="639" spans="2:42">
      <c r="B639" s="834" t="str">
        <f t="shared" si="27"/>
        <v>|||</v>
      </c>
      <c r="H639" s="835">
        <f t="shared" si="29"/>
        <v>31</v>
      </c>
      <c r="AF639" s="831" t="s">
        <v>1325</v>
      </c>
      <c r="AG639" s="831" t="s">
        <v>56</v>
      </c>
      <c r="AH639" s="831" t="s">
        <v>65</v>
      </c>
      <c r="AI639" s="831">
        <v>0</v>
      </c>
      <c r="AJ639" s="835">
        <v>40178</v>
      </c>
      <c r="AK639" s="831">
        <v>69350264</v>
      </c>
      <c r="AP639" s="831" t="str">
        <f t="shared" si="28"/>
        <v/>
      </c>
    </row>
    <row r="640" spans="2:42">
      <c r="B640" s="834" t="str">
        <f t="shared" si="27"/>
        <v>|||</v>
      </c>
      <c r="H640" s="835">
        <f t="shared" si="29"/>
        <v>31</v>
      </c>
      <c r="AF640" s="831" t="s">
        <v>1326</v>
      </c>
      <c r="AG640" s="831" t="s">
        <v>56</v>
      </c>
      <c r="AH640" s="831" t="s">
        <v>67</v>
      </c>
      <c r="AI640" s="831">
        <v>0</v>
      </c>
      <c r="AJ640" s="835">
        <v>40178</v>
      </c>
      <c r="AK640" s="831">
        <v>-18904624</v>
      </c>
      <c r="AP640" s="831" t="str">
        <f t="shared" si="28"/>
        <v/>
      </c>
    </row>
    <row r="641" spans="2:42">
      <c r="B641" s="834" t="str">
        <f t="shared" si="27"/>
        <v>|||</v>
      </c>
      <c r="H641" s="835">
        <f t="shared" si="29"/>
        <v>31</v>
      </c>
      <c r="AF641" s="831" t="s">
        <v>1327</v>
      </c>
      <c r="AG641" s="831" t="s">
        <v>56</v>
      </c>
      <c r="AH641" s="831" t="s">
        <v>72</v>
      </c>
      <c r="AI641" s="831">
        <v>0</v>
      </c>
      <c r="AJ641" s="835">
        <v>40178</v>
      </c>
      <c r="AK641" s="831">
        <v>0</v>
      </c>
      <c r="AP641" s="831" t="str">
        <f t="shared" si="28"/>
        <v/>
      </c>
    </row>
    <row r="642" spans="2:42">
      <c r="B642" s="834" t="str">
        <f t="shared" si="27"/>
        <v>|||</v>
      </c>
      <c r="H642" s="835">
        <f t="shared" si="29"/>
        <v>31</v>
      </c>
      <c r="AF642" s="831" t="s">
        <v>1328</v>
      </c>
      <c r="AG642" s="831" t="s">
        <v>56</v>
      </c>
      <c r="AH642" s="831" t="s">
        <v>77</v>
      </c>
      <c r="AI642" s="831">
        <v>0</v>
      </c>
      <c r="AJ642" s="835">
        <v>40178</v>
      </c>
      <c r="AK642" s="831">
        <v>-2598538</v>
      </c>
      <c r="AP642" s="831" t="str">
        <f t="shared" si="28"/>
        <v/>
      </c>
    </row>
    <row r="643" spans="2:42">
      <c r="B643" s="834" t="str">
        <f t="shared" ref="B643:B706" si="30">C643&amp;"|"&amp;D643&amp;"|"&amp;E643&amp;"|"&amp;F643</f>
        <v>|||</v>
      </c>
      <c r="H643" s="835">
        <f t="shared" si="29"/>
        <v>31</v>
      </c>
      <c r="AF643" s="831" t="s">
        <v>1329</v>
      </c>
      <c r="AG643" s="831" t="s">
        <v>56</v>
      </c>
      <c r="AH643" s="831" t="s">
        <v>95</v>
      </c>
      <c r="AI643" s="831">
        <v>0</v>
      </c>
      <c r="AJ643" s="835">
        <v>40178</v>
      </c>
      <c r="AK643" s="831">
        <v>0</v>
      </c>
      <c r="AP643" s="831" t="str">
        <f t="shared" ref="AP643:AP706" si="31">IF(AX643&lt;&gt;"",IF(OR(AX643=3,AX643=4),"Equity","Debt"),"")</f>
        <v/>
      </c>
    </row>
    <row r="644" spans="2:42">
      <c r="B644" s="834" t="str">
        <f t="shared" si="30"/>
        <v>|||</v>
      </c>
      <c r="H644" s="835">
        <f t="shared" ref="H644:H707" si="32">EOMONTH(L644,0)</f>
        <v>31</v>
      </c>
      <c r="AF644" s="831" t="s">
        <v>1330</v>
      </c>
      <c r="AG644" s="831" t="s">
        <v>56</v>
      </c>
      <c r="AH644" s="831" t="s">
        <v>98</v>
      </c>
      <c r="AI644" s="831">
        <v>0</v>
      </c>
      <c r="AJ644" s="835">
        <v>40178</v>
      </c>
      <c r="AK644" s="831">
        <v>-27865063</v>
      </c>
      <c r="AP644" s="831" t="str">
        <f t="shared" si="31"/>
        <v/>
      </c>
    </row>
    <row r="645" spans="2:42">
      <c r="B645" s="834" t="str">
        <f t="shared" si="30"/>
        <v>|||</v>
      </c>
      <c r="H645" s="835">
        <f t="shared" si="32"/>
        <v>31</v>
      </c>
      <c r="AF645" s="831" t="s">
        <v>1331</v>
      </c>
      <c r="AG645" s="831" t="s">
        <v>56</v>
      </c>
      <c r="AH645" s="831" t="s">
        <v>106</v>
      </c>
      <c r="AI645" s="831">
        <v>0</v>
      </c>
      <c r="AJ645" s="835">
        <v>40178</v>
      </c>
      <c r="AK645" s="831">
        <v>0</v>
      </c>
      <c r="AP645" s="831" t="str">
        <f t="shared" si="31"/>
        <v/>
      </c>
    </row>
    <row r="646" spans="2:42">
      <c r="B646" s="834" t="str">
        <f t="shared" si="30"/>
        <v>|||</v>
      </c>
      <c r="H646" s="835">
        <f t="shared" si="32"/>
        <v>31</v>
      </c>
      <c r="AF646" s="831" t="s">
        <v>1332</v>
      </c>
      <c r="AG646" s="831" t="s">
        <v>56</v>
      </c>
      <c r="AH646" s="831" t="s">
        <v>109</v>
      </c>
      <c r="AI646" s="831">
        <v>0</v>
      </c>
      <c r="AJ646" s="835">
        <v>40178</v>
      </c>
      <c r="AK646" s="831">
        <v>0</v>
      </c>
      <c r="AP646" s="831" t="str">
        <f t="shared" si="31"/>
        <v/>
      </c>
    </row>
    <row r="647" spans="2:42">
      <c r="B647" s="834" t="str">
        <f t="shared" si="30"/>
        <v>|||</v>
      </c>
      <c r="H647" s="835">
        <f t="shared" si="32"/>
        <v>31</v>
      </c>
      <c r="AF647" s="831" t="s">
        <v>1333</v>
      </c>
      <c r="AG647" s="831" t="s">
        <v>56</v>
      </c>
      <c r="AH647" s="831" t="s">
        <v>118</v>
      </c>
      <c r="AI647" s="831">
        <v>0</v>
      </c>
      <c r="AJ647" s="835">
        <v>40178</v>
      </c>
      <c r="AK647" s="831">
        <v>4319</v>
      </c>
      <c r="AP647" s="831" t="str">
        <f t="shared" si="31"/>
        <v/>
      </c>
    </row>
    <row r="648" spans="2:42">
      <c r="B648" s="834" t="str">
        <f t="shared" si="30"/>
        <v>|||</v>
      </c>
      <c r="H648" s="835">
        <f t="shared" si="32"/>
        <v>31</v>
      </c>
      <c r="AF648" s="831" t="s">
        <v>1334</v>
      </c>
      <c r="AG648" s="831" t="s">
        <v>56</v>
      </c>
      <c r="AH648" s="831" t="s">
        <v>122</v>
      </c>
      <c r="AI648" s="831">
        <v>0</v>
      </c>
      <c r="AJ648" s="835">
        <v>40178</v>
      </c>
      <c r="AK648" s="831">
        <v>0</v>
      </c>
      <c r="AP648" s="831" t="str">
        <f t="shared" si="31"/>
        <v/>
      </c>
    </row>
    <row r="649" spans="2:42">
      <c r="B649" s="834" t="str">
        <f t="shared" si="30"/>
        <v>|||</v>
      </c>
      <c r="H649" s="835">
        <f t="shared" si="32"/>
        <v>31</v>
      </c>
      <c r="AF649" s="831" t="s">
        <v>1335</v>
      </c>
      <c r="AG649" s="831" t="s">
        <v>56</v>
      </c>
      <c r="AH649" s="831" t="s">
        <v>128</v>
      </c>
      <c r="AI649" s="831">
        <v>0</v>
      </c>
      <c r="AJ649" s="835">
        <v>40178</v>
      </c>
      <c r="AK649" s="831">
        <v>0</v>
      </c>
      <c r="AP649" s="831" t="str">
        <f t="shared" si="31"/>
        <v/>
      </c>
    </row>
    <row r="650" spans="2:42">
      <c r="B650" s="834" t="str">
        <f t="shared" si="30"/>
        <v>|||</v>
      </c>
      <c r="H650" s="835">
        <f t="shared" si="32"/>
        <v>31</v>
      </c>
      <c r="AF650" s="831" t="s">
        <v>1336</v>
      </c>
      <c r="AG650" s="831" t="s">
        <v>57</v>
      </c>
      <c r="AH650" s="831" t="s">
        <v>68</v>
      </c>
      <c r="AI650" s="831">
        <v>0</v>
      </c>
      <c r="AJ650" s="835">
        <v>39478</v>
      </c>
      <c r="AK650" s="831">
        <v>100607843</v>
      </c>
      <c r="AP650" s="831" t="str">
        <f t="shared" si="31"/>
        <v/>
      </c>
    </row>
    <row r="651" spans="2:42">
      <c r="B651" s="834" t="str">
        <f t="shared" si="30"/>
        <v>|||</v>
      </c>
      <c r="H651" s="835">
        <f t="shared" si="32"/>
        <v>31</v>
      </c>
      <c r="AF651" s="831" t="s">
        <v>1337</v>
      </c>
      <c r="AG651" s="831" t="s">
        <v>57</v>
      </c>
      <c r="AH651" s="831" t="s">
        <v>73</v>
      </c>
      <c r="AI651" s="831">
        <v>0</v>
      </c>
      <c r="AJ651" s="835">
        <v>39478</v>
      </c>
      <c r="AK651" s="831">
        <v>148730</v>
      </c>
      <c r="AP651" s="831" t="str">
        <f t="shared" si="31"/>
        <v/>
      </c>
    </row>
    <row r="652" spans="2:42">
      <c r="B652" s="834" t="str">
        <f t="shared" si="30"/>
        <v>|||</v>
      </c>
      <c r="H652" s="835">
        <f t="shared" si="32"/>
        <v>31</v>
      </c>
      <c r="AF652" s="831" t="s">
        <v>1338</v>
      </c>
      <c r="AG652" s="831" t="s">
        <v>57</v>
      </c>
      <c r="AH652" s="831" t="s">
        <v>78</v>
      </c>
      <c r="AI652" s="831">
        <v>0</v>
      </c>
      <c r="AJ652" s="835">
        <v>39478</v>
      </c>
      <c r="AK652" s="831">
        <v>66580</v>
      </c>
      <c r="AP652" s="831" t="str">
        <f t="shared" si="31"/>
        <v/>
      </c>
    </row>
    <row r="653" spans="2:42">
      <c r="B653" s="834" t="str">
        <f t="shared" si="30"/>
        <v>|||</v>
      </c>
      <c r="H653" s="835">
        <f t="shared" si="32"/>
        <v>31</v>
      </c>
      <c r="AF653" s="831" t="s">
        <v>1339</v>
      </c>
      <c r="AG653" s="831" t="s">
        <v>57</v>
      </c>
      <c r="AH653" s="831" t="s">
        <v>83</v>
      </c>
      <c r="AI653" s="831">
        <v>0</v>
      </c>
      <c r="AJ653" s="835">
        <v>39478</v>
      </c>
      <c r="AK653" s="831">
        <v>0</v>
      </c>
      <c r="AP653" s="831" t="str">
        <f t="shared" si="31"/>
        <v/>
      </c>
    </row>
    <row r="654" spans="2:42">
      <c r="B654" s="834" t="str">
        <f t="shared" si="30"/>
        <v>|||</v>
      </c>
      <c r="H654" s="835">
        <f t="shared" si="32"/>
        <v>31</v>
      </c>
      <c r="AF654" s="831" t="s">
        <v>1340</v>
      </c>
      <c r="AG654" s="831" t="s">
        <v>57</v>
      </c>
      <c r="AH654" s="831" t="s">
        <v>88</v>
      </c>
      <c r="AI654" s="831">
        <v>0</v>
      </c>
      <c r="AJ654" s="835">
        <v>39478</v>
      </c>
      <c r="AK654" s="831">
        <v>0</v>
      </c>
      <c r="AP654" s="831" t="str">
        <f t="shared" si="31"/>
        <v/>
      </c>
    </row>
    <row r="655" spans="2:42">
      <c r="B655" s="834" t="str">
        <f t="shared" si="30"/>
        <v>|||</v>
      </c>
      <c r="H655" s="835">
        <f t="shared" si="32"/>
        <v>31</v>
      </c>
      <c r="AF655" s="831" t="s">
        <v>1341</v>
      </c>
      <c r="AG655" s="831" t="s">
        <v>57</v>
      </c>
      <c r="AH655" s="831" t="s">
        <v>92</v>
      </c>
      <c r="AI655" s="831">
        <v>0</v>
      </c>
      <c r="AJ655" s="835">
        <v>39478</v>
      </c>
      <c r="AK655" s="831">
        <v>0</v>
      </c>
      <c r="AP655" s="831" t="str">
        <f t="shared" si="31"/>
        <v/>
      </c>
    </row>
    <row r="656" spans="2:42">
      <c r="B656" s="834" t="str">
        <f t="shared" si="30"/>
        <v>|||</v>
      </c>
      <c r="H656" s="835">
        <f t="shared" si="32"/>
        <v>31</v>
      </c>
      <c r="AF656" s="831" t="s">
        <v>1342</v>
      </c>
      <c r="AG656" s="831" t="s">
        <v>57</v>
      </c>
      <c r="AH656" s="831" t="s">
        <v>96</v>
      </c>
      <c r="AI656" s="831">
        <v>0</v>
      </c>
      <c r="AJ656" s="835">
        <v>39478</v>
      </c>
      <c r="AK656" s="831">
        <v>26220</v>
      </c>
      <c r="AP656" s="831" t="str">
        <f t="shared" si="31"/>
        <v/>
      </c>
    </row>
    <row r="657" spans="2:42">
      <c r="B657" s="834" t="str">
        <f t="shared" si="30"/>
        <v>|||</v>
      </c>
      <c r="H657" s="835">
        <f t="shared" si="32"/>
        <v>31</v>
      </c>
      <c r="AF657" s="831" t="s">
        <v>1343</v>
      </c>
      <c r="AG657" s="831" t="s">
        <v>57</v>
      </c>
      <c r="AH657" s="831" t="s">
        <v>30</v>
      </c>
      <c r="AI657" s="831">
        <v>0</v>
      </c>
      <c r="AJ657" s="835">
        <v>39478</v>
      </c>
      <c r="AK657" s="831">
        <v>0</v>
      </c>
      <c r="AP657" s="831" t="str">
        <f t="shared" si="31"/>
        <v/>
      </c>
    </row>
    <row r="658" spans="2:42">
      <c r="B658" s="834" t="str">
        <f t="shared" si="30"/>
        <v>|||</v>
      </c>
      <c r="H658" s="835">
        <f t="shared" si="32"/>
        <v>31</v>
      </c>
      <c r="AF658" s="831" t="s">
        <v>1344</v>
      </c>
      <c r="AG658" s="831" t="s">
        <v>57</v>
      </c>
      <c r="AH658" s="831" t="s">
        <v>47</v>
      </c>
      <c r="AI658" s="831">
        <v>0</v>
      </c>
      <c r="AJ658" s="835">
        <v>39478</v>
      </c>
      <c r="AK658" s="831">
        <v>0</v>
      </c>
      <c r="AP658" s="831" t="str">
        <f t="shared" si="31"/>
        <v/>
      </c>
    </row>
    <row r="659" spans="2:42">
      <c r="B659" s="834" t="str">
        <f t="shared" si="30"/>
        <v>|||</v>
      </c>
      <c r="H659" s="835">
        <f t="shared" si="32"/>
        <v>31</v>
      </c>
      <c r="AF659" s="831" t="s">
        <v>1345</v>
      </c>
      <c r="AG659" s="831" t="s">
        <v>57</v>
      </c>
      <c r="AH659" s="831" t="s">
        <v>102</v>
      </c>
      <c r="AI659" s="831">
        <v>0</v>
      </c>
      <c r="AJ659" s="835">
        <v>39478</v>
      </c>
      <c r="AK659" s="831">
        <v>0</v>
      </c>
      <c r="AP659" s="831" t="str">
        <f t="shared" si="31"/>
        <v/>
      </c>
    </row>
    <row r="660" spans="2:42">
      <c r="B660" s="834" t="str">
        <f t="shared" si="30"/>
        <v>|||</v>
      </c>
      <c r="H660" s="835">
        <f t="shared" si="32"/>
        <v>31</v>
      </c>
      <c r="AF660" s="831" t="s">
        <v>1346</v>
      </c>
      <c r="AG660" s="831" t="s">
        <v>57</v>
      </c>
      <c r="AH660" s="831" t="s">
        <v>68</v>
      </c>
      <c r="AI660" s="831">
        <v>0</v>
      </c>
      <c r="AJ660" s="835">
        <v>39507</v>
      </c>
      <c r="AK660" s="831">
        <v>109245310</v>
      </c>
      <c r="AP660" s="831" t="str">
        <f t="shared" si="31"/>
        <v/>
      </c>
    </row>
    <row r="661" spans="2:42">
      <c r="B661" s="834" t="str">
        <f t="shared" si="30"/>
        <v>|||</v>
      </c>
      <c r="H661" s="835">
        <f t="shared" si="32"/>
        <v>31</v>
      </c>
      <c r="AF661" s="831" t="s">
        <v>1347</v>
      </c>
      <c r="AG661" s="831" t="s">
        <v>57</v>
      </c>
      <c r="AH661" s="831" t="s">
        <v>73</v>
      </c>
      <c r="AI661" s="831">
        <v>0</v>
      </c>
      <c r="AJ661" s="835">
        <v>39507</v>
      </c>
      <c r="AK661" s="831">
        <v>74780</v>
      </c>
      <c r="AP661" s="831" t="str">
        <f t="shared" si="31"/>
        <v/>
      </c>
    </row>
    <row r="662" spans="2:42">
      <c r="B662" s="834" t="str">
        <f t="shared" si="30"/>
        <v>|||</v>
      </c>
      <c r="H662" s="835">
        <f t="shared" si="32"/>
        <v>31</v>
      </c>
      <c r="AF662" s="831" t="s">
        <v>1348</v>
      </c>
      <c r="AG662" s="831" t="s">
        <v>57</v>
      </c>
      <c r="AH662" s="831" t="s">
        <v>78</v>
      </c>
      <c r="AI662" s="831">
        <v>0</v>
      </c>
      <c r="AJ662" s="835">
        <v>39507</v>
      </c>
      <c r="AK662" s="831">
        <v>88786</v>
      </c>
      <c r="AP662" s="831" t="str">
        <f t="shared" si="31"/>
        <v/>
      </c>
    </row>
    <row r="663" spans="2:42">
      <c r="B663" s="834" t="str">
        <f t="shared" si="30"/>
        <v>|||</v>
      </c>
      <c r="H663" s="835">
        <f t="shared" si="32"/>
        <v>31</v>
      </c>
      <c r="AF663" s="831" t="s">
        <v>1349</v>
      </c>
      <c r="AG663" s="831" t="s">
        <v>57</v>
      </c>
      <c r="AH663" s="831" t="s">
        <v>83</v>
      </c>
      <c r="AI663" s="831">
        <v>0</v>
      </c>
      <c r="AJ663" s="835">
        <v>39507</v>
      </c>
      <c r="AK663" s="831">
        <v>0</v>
      </c>
      <c r="AP663" s="831" t="str">
        <f t="shared" si="31"/>
        <v/>
      </c>
    </row>
    <row r="664" spans="2:42">
      <c r="B664" s="834" t="str">
        <f t="shared" si="30"/>
        <v>|||</v>
      </c>
      <c r="H664" s="835">
        <f t="shared" si="32"/>
        <v>31</v>
      </c>
      <c r="AF664" s="831" t="s">
        <v>1350</v>
      </c>
      <c r="AG664" s="831" t="s">
        <v>57</v>
      </c>
      <c r="AH664" s="831" t="s">
        <v>88</v>
      </c>
      <c r="AI664" s="831">
        <v>0</v>
      </c>
      <c r="AJ664" s="835">
        <v>39507</v>
      </c>
      <c r="AK664" s="831">
        <v>0</v>
      </c>
      <c r="AP664" s="831" t="str">
        <f t="shared" si="31"/>
        <v/>
      </c>
    </row>
    <row r="665" spans="2:42">
      <c r="B665" s="834" t="str">
        <f t="shared" si="30"/>
        <v>|||</v>
      </c>
      <c r="H665" s="835">
        <f t="shared" si="32"/>
        <v>31</v>
      </c>
      <c r="AF665" s="831" t="s">
        <v>1351</v>
      </c>
      <c r="AG665" s="831" t="s">
        <v>57</v>
      </c>
      <c r="AH665" s="831" t="s">
        <v>92</v>
      </c>
      <c r="AI665" s="831">
        <v>0</v>
      </c>
      <c r="AJ665" s="835">
        <v>39507</v>
      </c>
      <c r="AK665" s="831">
        <v>0</v>
      </c>
      <c r="AP665" s="831" t="str">
        <f t="shared" si="31"/>
        <v/>
      </c>
    </row>
    <row r="666" spans="2:42">
      <c r="B666" s="834" t="str">
        <f t="shared" si="30"/>
        <v>|||</v>
      </c>
      <c r="H666" s="835">
        <f t="shared" si="32"/>
        <v>31</v>
      </c>
      <c r="AF666" s="831" t="s">
        <v>1352</v>
      </c>
      <c r="AG666" s="831" t="s">
        <v>57</v>
      </c>
      <c r="AH666" s="831" t="s">
        <v>96</v>
      </c>
      <c r="AI666" s="831">
        <v>0</v>
      </c>
      <c r="AJ666" s="835">
        <v>39507</v>
      </c>
      <c r="AK666" s="831">
        <v>26890</v>
      </c>
      <c r="AP666" s="831" t="str">
        <f t="shared" si="31"/>
        <v/>
      </c>
    </row>
    <row r="667" spans="2:42">
      <c r="B667" s="834" t="str">
        <f t="shared" si="30"/>
        <v>|||</v>
      </c>
      <c r="H667" s="835">
        <f t="shared" si="32"/>
        <v>31</v>
      </c>
      <c r="AF667" s="831" t="s">
        <v>1353</v>
      </c>
      <c r="AG667" s="831" t="s">
        <v>57</v>
      </c>
      <c r="AH667" s="831" t="s">
        <v>30</v>
      </c>
      <c r="AI667" s="831">
        <v>0</v>
      </c>
      <c r="AJ667" s="835">
        <v>39507</v>
      </c>
      <c r="AK667" s="831">
        <v>0</v>
      </c>
      <c r="AP667" s="831" t="str">
        <f t="shared" si="31"/>
        <v/>
      </c>
    </row>
    <row r="668" spans="2:42">
      <c r="B668" s="834" t="str">
        <f t="shared" si="30"/>
        <v>|||</v>
      </c>
      <c r="H668" s="835">
        <f t="shared" si="32"/>
        <v>31</v>
      </c>
      <c r="AF668" s="831" t="s">
        <v>1354</v>
      </c>
      <c r="AG668" s="831" t="s">
        <v>57</v>
      </c>
      <c r="AH668" s="831" t="s">
        <v>47</v>
      </c>
      <c r="AI668" s="831">
        <v>0</v>
      </c>
      <c r="AJ668" s="835">
        <v>39507</v>
      </c>
      <c r="AK668" s="831">
        <v>0</v>
      </c>
      <c r="AP668" s="831" t="str">
        <f t="shared" si="31"/>
        <v/>
      </c>
    </row>
    <row r="669" spans="2:42">
      <c r="B669" s="834" t="str">
        <f t="shared" si="30"/>
        <v>|||</v>
      </c>
      <c r="H669" s="835">
        <f t="shared" si="32"/>
        <v>31</v>
      </c>
      <c r="AF669" s="831" t="s">
        <v>1355</v>
      </c>
      <c r="AG669" s="831" t="s">
        <v>57</v>
      </c>
      <c r="AH669" s="831" t="s">
        <v>102</v>
      </c>
      <c r="AI669" s="831">
        <v>0</v>
      </c>
      <c r="AJ669" s="835">
        <v>39507</v>
      </c>
      <c r="AK669" s="831">
        <v>0</v>
      </c>
      <c r="AP669" s="831" t="str">
        <f t="shared" si="31"/>
        <v/>
      </c>
    </row>
    <row r="670" spans="2:42">
      <c r="B670" s="834" t="str">
        <f t="shared" si="30"/>
        <v>|||</v>
      </c>
      <c r="H670" s="835">
        <f t="shared" si="32"/>
        <v>31</v>
      </c>
      <c r="AF670" s="831" t="s">
        <v>1356</v>
      </c>
      <c r="AG670" s="831" t="s">
        <v>57</v>
      </c>
      <c r="AH670" s="831" t="s">
        <v>68</v>
      </c>
      <c r="AI670" s="831">
        <v>0</v>
      </c>
      <c r="AJ670" s="835">
        <v>39538</v>
      </c>
      <c r="AK670" s="831">
        <v>116143336</v>
      </c>
      <c r="AP670" s="831" t="str">
        <f t="shared" si="31"/>
        <v/>
      </c>
    </row>
    <row r="671" spans="2:42">
      <c r="B671" s="834" t="str">
        <f t="shared" si="30"/>
        <v>|||</v>
      </c>
      <c r="H671" s="835">
        <f t="shared" si="32"/>
        <v>31</v>
      </c>
      <c r="AF671" s="831" t="s">
        <v>1357</v>
      </c>
      <c r="AG671" s="831" t="s">
        <v>57</v>
      </c>
      <c r="AH671" s="831" t="s">
        <v>73</v>
      </c>
      <c r="AI671" s="831">
        <v>0</v>
      </c>
      <c r="AJ671" s="835">
        <v>39538</v>
      </c>
      <c r="AK671" s="831">
        <v>180590</v>
      </c>
      <c r="AP671" s="831" t="str">
        <f t="shared" si="31"/>
        <v/>
      </c>
    </row>
    <row r="672" spans="2:42">
      <c r="B672" s="834" t="str">
        <f t="shared" si="30"/>
        <v>|||</v>
      </c>
      <c r="H672" s="835">
        <f t="shared" si="32"/>
        <v>31</v>
      </c>
      <c r="AF672" s="831" t="s">
        <v>1358</v>
      </c>
      <c r="AG672" s="831" t="s">
        <v>57</v>
      </c>
      <c r="AH672" s="831" t="s">
        <v>78</v>
      </c>
      <c r="AI672" s="831">
        <v>0</v>
      </c>
      <c r="AJ672" s="835">
        <v>39538</v>
      </c>
      <c r="AK672" s="831">
        <v>123740</v>
      </c>
      <c r="AP672" s="831" t="str">
        <f t="shared" si="31"/>
        <v/>
      </c>
    </row>
    <row r="673" spans="2:42">
      <c r="B673" s="834" t="str">
        <f t="shared" si="30"/>
        <v>|||</v>
      </c>
      <c r="H673" s="835">
        <f t="shared" si="32"/>
        <v>31</v>
      </c>
      <c r="AF673" s="831" t="s">
        <v>1359</v>
      </c>
      <c r="AG673" s="831" t="s">
        <v>57</v>
      </c>
      <c r="AH673" s="831" t="s">
        <v>83</v>
      </c>
      <c r="AI673" s="831">
        <v>0</v>
      </c>
      <c r="AJ673" s="835">
        <v>39538</v>
      </c>
      <c r="AK673" s="831">
        <v>0</v>
      </c>
      <c r="AP673" s="831" t="str">
        <f t="shared" si="31"/>
        <v/>
      </c>
    </row>
    <row r="674" spans="2:42">
      <c r="B674" s="834" t="str">
        <f t="shared" si="30"/>
        <v>|||</v>
      </c>
      <c r="H674" s="835">
        <f t="shared" si="32"/>
        <v>31</v>
      </c>
      <c r="AF674" s="831" t="s">
        <v>1360</v>
      </c>
      <c r="AG674" s="831" t="s">
        <v>57</v>
      </c>
      <c r="AH674" s="831" t="s">
        <v>88</v>
      </c>
      <c r="AI674" s="831">
        <v>0</v>
      </c>
      <c r="AJ674" s="835">
        <v>39538</v>
      </c>
      <c r="AK674" s="831">
        <v>0</v>
      </c>
      <c r="AP674" s="831" t="str">
        <f t="shared" si="31"/>
        <v/>
      </c>
    </row>
    <row r="675" spans="2:42">
      <c r="B675" s="834" t="str">
        <f t="shared" si="30"/>
        <v>|||</v>
      </c>
      <c r="H675" s="835">
        <f t="shared" si="32"/>
        <v>31</v>
      </c>
      <c r="AF675" s="831" t="s">
        <v>1361</v>
      </c>
      <c r="AG675" s="831" t="s">
        <v>57</v>
      </c>
      <c r="AH675" s="831" t="s">
        <v>92</v>
      </c>
      <c r="AI675" s="831">
        <v>0</v>
      </c>
      <c r="AJ675" s="835">
        <v>39538</v>
      </c>
      <c r="AK675" s="831">
        <v>0</v>
      </c>
      <c r="AP675" s="831" t="str">
        <f t="shared" si="31"/>
        <v/>
      </c>
    </row>
    <row r="676" spans="2:42">
      <c r="B676" s="834" t="str">
        <f t="shared" si="30"/>
        <v>|||</v>
      </c>
      <c r="H676" s="835">
        <f t="shared" si="32"/>
        <v>31</v>
      </c>
      <c r="AF676" s="831" t="s">
        <v>1362</v>
      </c>
      <c r="AG676" s="831" t="s">
        <v>57</v>
      </c>
      <c r="AH676" s="831" t="s">
        <v>96</v>
      </c>
      <c r="AI676" s="831">
        <v>0</v>
      </c>
      <c r="AJ676" s="835">
        <v>39538</v>
      </c>
      <c r="AK676" s="831">
        <v>26890</v>
      </c>
      <c r="AP676" s="831" t="str">
        <f t="shared" si="31"/>
        <v/>
      </c>
    </row>
    <row r="677" spans="2:42">
      <c r="B677" s="834" t="str">
        <f t="shared" si="30"/>
        <v>|||</v>
      </c>
      <c r="H677" s="835">
        <f t="shared" si="32"/>
        <v>31</v>
      </c>
      <c r="AF677" s="831" t="s">
        <v>1363</v>
      </c>
      <c r="AG677" s="831" t="s">
        <v>57</v>
      </c>
      <c r="AH677" s="831" t="s">
        <v>30</v>
      </c>
      <c r="AI677" s="831">
        <v>0</v>
      </c>
      <c r="AJ677" s="835">
        <v>39538</v>
      </c>
      <c r="AK677" s="831">
        <v>0</v>
      </c>
      <c r="AP677" s="831" t="str">
        <f t="shared" si="31"/>
        <v/>
      </c>
    </row>
    <row r="678" spans="2:42">
      <c r="B678" s="834" t="str">
        <f t="shared" si="30"/>
        <v>|||</v>
      </c>
      <c r="H678" s="835">
        <f t="shared" si="32"/>
        <v>31</v>
      </c>
      <c r="AF678" s="831" t="s">
        <v>1364</v>
      </c>
      <c r="AG678" s="831" t="s">
        <v>57</v>
      </c>
      <c r="AH678" s="831" t="s">
        <v>47</v>
      </c>
      <c r="AI678" s="831">
        <v>0</v>
      </c>
      <c r="AJ678" s="835">
        <v>39538</v>
      </c>
      <c r="AK678" s="831">
        <v>0</v>
      </c>
      <c r="AP678" s="831" t="str">
        <f t="shared" si="31"/>
        <v/>
      </c>
    </row>
    <row r="679" spans="2:42">
      <c r="B679" s="834" t="str">
        <f t="shared" si="30"/>
        <v>|||</v>
      </c>
      <c r="H679" s="835">
        <f t="shared" si="32"/>
        <v>31</v>
      </c>
      <c r="AF679" s="831" t="s">
        <v>1365</v>
      </c>
      <c r="AG679" s="831" t="s">
        <v>57</v>
      </c>
      <c r="AH679" s="831" t="s">
        <v>102</v>
      </c>
      <c r="AI679" s="831">
        <v>0</v>
      </c>
      <c r="AJ679" s="835">
        <v>39538</v>
      </c>
      <c r="AK679" s="831">
        <v>0</v>
      </c>
      <c r="AP679" s="831" t="str">
        <f t="shared" si="31"/>
        <v/>
      </c>
    </row>
    <row r="680" spans="2:42">
      <c r="B680" s="834" t="str">
        <f t="shared" si="30"/>
        <v>|||</v>
      </c>
      <c r="H680" s="835">
        <f t="shared" si="32"/>
        <v>31</v>
      </c>
      <c r="AF680" s="831" t="s">
        <v>1366</v>
      </c>
      <c r="AG680" s="831" t="s">
        <v>57</v>
      </c>
      <c r="AH680" s="831" t="s">
        <v>68</v>
      </c>
      <c r="AI680" s="831">
        <v>0</v>
      </c>
      <c r="AJ680" s="835">
        <v>39568</v>
      </c>
      <c r="AK680" s="831">
        <v>130415520</v>
      </c>
      <c r="AP680" s="831" t="str">
        <f t="shared" si="31"/>
        <v/>
      </c>
    </row>
    <row r="681" spans="2:42">
      <c r="B681" s="834" t="str">
        <f t="shared" si="30"/>
        <v>|||</v>
      </c>
      <c r="H681" s="835">
        <f t="shared" si="32"/>
        <v>31</v>
      </c>
      <c r="AF681" s="831" t="s">
        <v>1367</v>
      </c>
      <c r="AG681" s="831" t="s">
        <v>57</v>
      </c>
      <c r="AH681" s="831" t="s">
        <v>73</v>
      </c>
      <c r="AI681" s="831">
        <v>0</v>
      </c>
      <c r="AJ681" s="835">
        <v>39568</v>
      </c>
      <c r="AK681" s="831">
        <v>134630</v>
      </c>
      <c r="AP681" s="831" t="str">
        <f t="shared" si="31"/>
        <v/>
      </c>
    </row>
    <row r="682" spans="2:42">
      <c r="B682" s="834" t="str">
        <f t="shared" si="30"/>
        <v>|||</v>
      </c>
      <c r="H682" s="835">
        <f t="shared" si="32"/>
        <v>31</v>
      </c>
      <c r="AF682" s="831" t="s">
        <v>1368</v>
      </c>
      <c r="AG682" s="831" t="s">
        <v>57</v>
      </c>
      <c r="AH682" s="831" t="s">
        <v>78</v>
      </c>
      <c r="AI682" s="831">
        <v>0</v>
      </c>
      <c r="AJ682" s="835">
        <v>39568</v>
      </c>
      <c r="AK682" s="831">
        <v>167930</v>
      </c>
      <c r="AP682" s="831" t="str">
        <f t="shared" si="31"/>
        <v/>
      </c>
    </row>
    <row r="683" spans="2:42">
      <c r="B683" s="834" t="str">
        <f t="shared" si="30"/>
        <v>|||</v>
      </c>
      <c r="H683" s="835">
        <f t="shared" si="32"/>
        <v>31</v>
      </c>
      <c r="AF683" s="831" t="s">
        <v>1369</v>
      </c>
      <c r="AG683" s="831" t="s">
        <v>57</v>
      </c>
      <c r="AH683" s="831" t="s">
        <v>83</v>
      </c>
      <c r="AI683" s="831">
        <v>0</v>
      </c>
      <c r="AJ683" s="835">
        <v>39568</v>
      </c>
      <c r="AK683" s="831">
        <v>0</v>
      </c>
      <c r="AP683" s="831" t="str">
        <f t="shared" si="31"/>
        <v/>
      </c>
    </row>
    <row r="684" spans="2:42">
      <c r="B684" s="834" t="str">
        <f t="shared" si="30"/>
        <v>|||</v>
      </c>
      <c r="H684" s="835">
        <f t="shared" si="32"/>
        <v>31</v>
      </c>
      <c r="AF684" s="831" t="s">
        <v>1370</v>
      </c>
      <c r="AG684" s="831" t="s">
        <v>57</v>
      </c>
      <c r="AH684" s="831" t="s">
        <v>88</v>
      </c>
      <c r="AI684" s="831">
        <v>0</v>
      </c>
      <c r="AJ684" s="835">
        <v>39568</v>
      </c>
      <c r="AK684" s="831">
        <v>0</v>
      </c>
      <c r="AP684" s="831" t="str">
        <f t="shared" si="31"/>
        <v/>
      </c>
    </row>
    <row r="685" spans="2:42">
      <c r="B685" s="834" t="str">
        <f t="shared" si="30"/>
        <v>|||</v>
      </c>
      <c r="H685" s="835">
        <f t="shared" si="32"/>
        <v>31</v>
      </c>
      <c r="AF685" s="831" t="s">
        <v>1371</v>
      </c>
      <c r="AG685" s="831" t="s">
        <v>57</v>
      </c>
      <c r="AH685" s="831" t="s">
        <v>92</v>
      </c>
      <c r="AI685" s="831">
        <v>0</v>
      </c>
      <c r="AJ685" s="835">
        <v>39568</v>
      </c>
      <c r="AK685" s="831">
        <v>0</v>
      </c>
      <c r="AP685" s="831" t="str">
        <f t="shared" si="31"/>
        <v/>
      </c>
    </row>
    <row r="686" spans="2:42">
      <c r="B686" s="834" t="str">
        <f t="shared" si="30"/>
        <v>|||</v>
      </c>
      <c r="H686" s="835">
        <f t="shared" si="32"/>
        <v>31</v>
      </c>
      <c r="AF686" s="831" t="s">
        <v>1372</v>
      </c>
      <c r="AG686" s="831" t="s">
        <v>57</v>
      </c>
      <c r="AH686" s="831" t="s">
        <v>96</v>
      </c>
      <c r="AI686" s="831">
        <v>0</v>
      </c>
      <c r="AJ686" s="835">
        <v>39568</v>
      </c>
      <c r="AK686" s="831">
        <v>29630</v>
      </c>
      <c r="AP686" s="831" t="str">
        <f t="shared" si="31"/>
        <v/>
      </c>
    </row>
    <row r="687" spans="2:42">
      <c r="B687" s="834" t="str">
        <f t="shared" si="30"/>
        <v>|||</v>
      </c>
      <c r="H687" s="835">
        <f t="shared" si="32"/>
        <v>31</v>
      </c>
      <c r="AF687" s="831" t="s">
        <v>1373</v>
      </c>
      <c r="AG687" s="831" t="s">
        <v>57</v>
      </c>
      <c r="AH687" s="831" t="s">
        <v>30</v>
      </c>
      <c r="AI687" s="831">
        <v>0</v>
      </c>
      <c r="AJ687" s="835">
        <v>39568</v>
      </c>
      <c r="AK687" s="831">
        <v>0</v>
      </c>
      <c r="AP687" s="831" t="str">
        <f t="shared" si="31"/>
        <v/>
      </c>
    </row>
    <row r="688" spans="2:42">
      <c r="B688" s="834" t="str">
        <f t="shared" si="30"/>
        <v>|||</v>
      </c>
      <c r="H688" s="835">
        <f t="shared" si="32"/>
        <v>31</v>
      </c>
      <c r="AF688" s="831" t="s">
        <v>1374</v>
      </c>
      <c r="AG688" s="831" t="s">
        <v>57</v>
      </c>
      <c r="AH688" s="831" t="s">
        <v>47</v>
      </c>
      <c r="AI688" s="831">
        <v>0</v>
      </c>
      <c r="AJ688" s="835">
        <v>39568</v>
      </c>
      <c r="AK688" s="831">
        <v>0</v>
      </c>
      <c r="AP688" s="831" t="str">
        <f t="shared" si="31"/>
        <v/>
      </c>
    </row>
    <row r="689" spans="2:42">
      <c r="B689" s="834" t="str">
        <f t="shared" si="30"/>
        <v>|||</v>
      </c>
      <c r="H689" s="835">
        <f t="shared" si="32"/>
        <v>31</v>
      </c>
      <c r="AF689" s="831" t="s">
        <v>1375</v>
      </c>
      <c r="AG689" s="831" t="s">
        <v>57</v>
      </c>
      <c r="AH689" s="831" t="s">
        <v>102</v>
      </c>
      <c r="AI689" s="831">
        <v>0</v>
      </c>
      <c r="AJ689" s="835">
        <v>39568</v>
      </c>
      <c r="AK689" s="831">
        <v>0</v>
      </c>
      <c r="AP689" s="831" t="str">
        <f t="shared" si="31"/>
        <v/>
      </c>
    </row>
    <row r="690" spans="2:42">
      <c r="B690" s="834" t="str">
        <f t="shared" si="30"/>
        <v>|||</v>
      </c>
      <c r="H690" s="835">
        <f t="shared" si="32"/>
        <v>31</v>
      </c>
      <c r="AF690" s="831" t="s">
        <v>1376</v>
      </c>
      <c r="AG690" s="831" t="s">
        <v>57</v>
      </c>
      <c r="AH690" s="831" t="s">
        <v>68</v>
      </c>
      <c r="AI690" s="831">
        <v>0</v>
      </c>
      <c r="AJ690" s="835">
        <v>39599</v>
      </c>
      <c r="AK690" s="831">
        <v>139348690</v>
      </c>
      <c r="AP690" s="831" t="str">
        <f t="shared" si="31"/>
        <v/>
      </c>
    </row>
    <row r="691" spans="2:42">
      <c r="B691" s="834" t="str">
        <f t="shared" si="30"/>
        <v>|||</v>
      </c>
      <c r="H691" s="835">
        <f t="shared" si="32"/>
        <v>31</v>
      </c>
      <c r="AF691" s="831" t="s">
        <v>1377</v>
      </c>
      <c r="AG691" s="831" t="s">
        <v>57</v>
      </c>
      <c r="AH691" s="831" t="s">
        <v>73</v>
      </c>
      <c r="AI691" s="831">
        <v>0</v>
      </c>
      <c r="AJ691" s="835">
        <v>39599</v>
      </c>
      <c r="AK691" s="831">
        <v>252980</v>
      </c>
      <c r="AP691" s="831" t="str">
        <f t="shared" si="31"/>
        <v/>
      </c>
    </row>
    <row r="692" spans="2:42">
      <c r="B692" s="834" t="str">
        <f t="shared" si="30"/>
        <v>|||</v>
      </c>
      <c r="H692" s="835">
        <f t="shared" si="32"/>
        <v>31</v>
      </c>
      <c r="AF692" s="831" t="s">
        <v>1378</v>
      </c>
      <c r="AG692" s="831" t="s">
        <v>57</v>
      </c>
      <c r="AH692" s="831" t="s">
        <v>78</v>
      </c>
      <c r="AI692" s="831">
        <v>0</v>
      </c>
      <c r="AJ692" s="835">
        <v>39599</v>
      </c>
      <c r="AK692" s="831">
        <v>217050</v>
      </c>
      <c r="AP692" s="831" t="str">
        <f t="shared" si="31"/>
        <v/>
      </c>
    </row>
    <row r="693" spans="2:42">
      <c r="B693" s="834" t="str">
        <f t="shared" si="30"/>
        <v>|||</v>
      </c>
      <c r="H693" s="835">
        <f t="shared" si="32"/>
        <v>31</v>
      </c>
      <c r="AF693" s="831" t="s">
        <v>1379</v>
      </c>
      <c r="AG693" s="831" t="s">
        <v>57</v>
      </c>
      <c r="AH693" s="831" t="s">
        <v>83</v>
      </c>
      <c r="AI693" s="831">
        <v>0</v>
      </c>
      <c r="AJ693" s="835">
        <v>39599</v>
      </c>
      <c r="AK693" s="831">
        <v>0</v>
      </c>
      <c r="AP693" s="831" t="str">
        <f t="shared" si="31"/>
        <v/>
      </c>
    </row>
    <row r="694" spans="2:42">
      <c r="B694" s="834" t="str">
        <f t="shared" si="30"/>
        <v>|||</v>
      </c>
      <c r="H694" s="835">
        <f t="shared" si="32"/>
        <v>31</v>
      </c>
      <c r="AF694" s="831" t="s">
        <v>1380</v>
      </c>
      <c r="AG694" s="831" t="s">
        <v>57</v>
      </c>
      <c r="AH694" s="831" t="s">
        <v>88</v>
      </c>
      <c r="AI694" s="831">
        <v>0</v>
      </c>
      <c r="AJ694" s="835">
        <v>39599</v>
      </c>
      <c r="AK694" s="831">
        <v>0</v>
      </c>
      <c r="AP694" s="831" t="str">
        <f t="shared" si="31"/>
        <v/>
      </c>
    </row>
    <row r="695" spans="2:42">
      <c r="B695" s="834" t="str">
        <f t="shared" si="30"/>
        <v>|||</v>
      </c>
      <c r="H695" s="835">
        <f t="shared" si="32"/>
        <v>31</v>
      </c>
      <c r="AF695" s="831" t="s">
        <v>1381</v>
      </c>
      <c r="AG695" s="831" t="s">
        <v>57</v>
      </c>
      <c r="AH695" s="831" t="s">
        <v>92</v>
      </c>
      <c r="AI695" s="831">
        <v>0</v>
      </c>
      <c r="AJ695" s="835">
        <v>39599</v>
      </c>
      <c r="AK695" s="831">
        <v>0</v>
      </c>
      <c r="AP695" s="831" t="str">
        <f t="shared" si="31"/>
        <v/>
      </c>
    </row>
    <row r="696" spans="2:42">
      <c r="B696" s="834" t="str">
        <f t="shared" si="30"/>
        <v>|||</v>
      </c>
      <c r="H696" s="835">
        <f t="shared" si="32"/>
        <v>31</v>
      </c>
      <c r="AF696" s="831" t="s">
        <v>1382</v>
      </c>
      <c r="AG696" s="831" t="s">
        <v>57</v>
      </c>
      <c r="AH696" s="831" t="s">
        <v>96</v>
      </c>
      <c r="AI696" s="831">
        <v>0</v>
      </c>
      <c r="AJ696" s="835">
        <v>39599</v>
      </c>
      <c r="AK696" s="831">
        <v>39880</v>
      </c>
      <c r="AP696" s="831" t="str">
        <f t="shared" si="31"/>
        <v/>
      </c>
    </row>
    <row r="697" spans="2:42">
      <c r="B697" s="834" t="str">
        <f t="shared" si="30"/>
        <v>|||</v>
      </c>
      <c r="H697" s="835">
        <f t="shared" si="32"/>
        <v>31</v>
      </c>
      <c r="AF697" s="831" t="s">
        <v>1383</v>
      </c>
      <c r="AG697" s="831" t="s">
        <v>57</v>
      </c>
      <c r="AH697" s="831" t="s">
        <v>30</v>
      </c>
      <c r="AI697" s="831">
        <v>0</v>
      </c>
      <c r="AJ697" s="835">
        <v>39599</v>
      </c>
      <c r="AK697" s="831">
        <v>0</v>
      </c>
      <c r="AP697" s="831" t="str">
        <f t="shared" si="31"/>
        <v/>
      </c>
    </row>
    <row r="698" spans="2:42">
      <c r="B698" s="834" t="str">
        <f t="shared" si="30"/>
        <v>|||</v>
      </c>
      <c r="H698" s="835">
        <f t="shared" si="32"/>
        <v>31</v>
      </c>
      <c r="AF698" s="831" t="s">
        <v>1384</v>
      </c>
      <c r="AG698" s="831" t="s">
        <v>57</v>
      </c>
      <c r="AH698" s="831" t="s">
        <v>47</v>
      </c>
      <c r="AI698" s="831">
        <v>0</v>
      </c>
      <c r="AJ698" s="835">
        <v>39599</v>
      </c>
      <c r="AK698" s="831">
        <v>0</v>
      </c>
      <c r="AP698" s="831" t="str">
        <f t="shared" si="31"/>
        <v/>
      </c>
    </row>
    <row r="699" spans="2:42">
      <c r="B699" s="834" t="str">
        <f t="shared" si="30"/>
        <v>|||</v>
      </c>
      <c r="H699" s="835">
        <f t="shared" si="32"/>
        <v>31</v>
      </c>
      <c r="AF699" s="831" t="s">
        <v>1385</v>
      </c>
      <c r="AG699" s="831" t="s">
        <v>57</v>
      </c>
      <c r="AH699" s="831" t="s">
        <v>102</v>
      </c>
      <c r="AI699" s="831">
        <v>0</v>
      </c>
      <c r="AJ699" s="835">
        <v>39599</v>
      </c>
      <c r="AK699" s="831">
        <v>0</v>
      </c>
      <c r="AP699" s="831" t="str">
        <f t="shared" si="31"/>
        <v/>
      </c>
    </row>
    <row r="700" spans="2:42">
      <c r="B700" s="834" t="str">
        <f t="shared" si="30"/>
        <v>|||</v>
      </c>
      <c r="H700" s="835">
        <f t="shared" si="32"/>
        <v>31</v>
      </c>
      <c r="AF700" s="831" t="s">
        <v>1386</v>
      </c>
      <c r="AG700" s="831" t="s">
        <v>57</v>
      </c>
      <c r="AH700" s="831" t="s">
        <v>68</v>
      </c>
      <c r="AI700" s="831">
        <v>0</v>
      </c>
      <c r="AJ700" s="835">
        <v>39629</v>
      </c>
      <c r="AK700" s="831">
        <v>143505650</v>
      </c>
      <c r="AP700" s="831" t="str">
        <f t="shared" si="31"/>
        <v/>
      </c>
    </row>
    <row r="701" spans="2:42">
      <c r="B701" s="834" t="str">
        <f t="shared" si="30"/>
        <v>|||</v>
      </c>
      <c r="H701" s="835">
        <f t="shared" si="32"/>
        <v>31</v>
      </c>
      <c r="AF701" s="831" t="s">
        <v>1387</v>
      </c>
      <c r="AG701" s="831" t="s">
        <v>57</v>
      </c>
      <c r="AH701" s="831" t="s">
        <v>73</v>
      </c>
      <c r="AI701" s="831">
        <v>0</v>
      </c>
      <c r="AJ701" s="835">
        <v>39629</v>
      </c>
      <c r="AK701" s="831">
        <v>112500</v>
      </c>
      <c r="AP701" s="831" t="str">
        <f t="shared" si="31"/>
        <v/>
      </c>
    </row>
    <row r="702" spans="2:42">
      <c r="B702" s="834" t="str">
        <f t="shared" si="30"/>
        <v>|||</v>
      </c>
      <c r="H702" s="835">
        <f t="shared" si="32"/>
        <v>31</v>
      </c>
      <c r="AF702" s="831" t="s">
        <v>1388</v>
      </c>
      <c r="AG702" s="831" t="s">
        <v>57</v>
      </c>
      <c r="AH702" s="831" t="s">
        <v>78</v>
      </c>
      <c r="AI702" s="831">
        <v>0</v>
      </c>
      <c r="AJ702" s="835">
        <v>39629</v>
      </c>
      <c r="AK702" s="831">
        <v>207390</v>
      </c>
      <c r="AP702" s="831" t="str">
        <f t="shared" si="31"/>
        <v/>
      </c>
    </row>
    <row r="703" spans="2:42">
      <c r="B703" s="834" t="str">
        <f t="shared" si="30"/>
        <v>|||</v>
      </c>
      <c r="H703" s="835">
        <f t="shared" si="32"/>
        <v>31</v>
      </c>
      <c r="AF703" s="831" t="s">
        <v>1389</v>
      </c>
      <c r="AG703" s="831" t="s">
        <v>57</v>
      </c>
      <c r="AH703" s="831" t="s">
        <v>83</v>
      </c>
      <c r="AI703" s="831">
        <v>0</v>
      </c>
      <c r="AJ703" s="835">
        <v>39629</v>
      </c>
      <c r="AK703" s="831">
        <v>0</v>
      </c>
      <c r="AP703" s="831" t="str">
        <f t="shared" si="31"/>
        <v/>
      </c>
    </row>
    <row r="704" spans="2:42">
      <c r="B704" s="834" t="str">
        <f t="shared" si="30"/>
        <v>|||</v>
      </c>
      <c r="H704" s="835">
        <f t="shared" si="32"/>
        <v>31</v>
      </c>
      <c r="AF704" s="831" t="s">
        <v>1390</v>
      </c>
      <c r="AG704" s="831" t="s">
        <v>57</v>
      </c>
      <c r="AH704" s="831" t="s">
        <v>88</v>
      </c>
      <c r="AI704" s="831">
        <v>0</v>
      </c>
      <c r="AJ704" s="835">
        <v>39629</v>
      </c>
      <c r="AK704" s="831">
        <v>0</v>
      </c>
      <c r="AP704" s="831" t="str">
        <f t="shared" si="31"/>
        <v/>
      </c>
    </row>
    <row r="705" spans="2:42">
      <c r="B705" s="834" t="str">
        <f t="shared" si="30"/>
        <v>|||</v>
      </c>
      <c r="H705" s="835">
        <f t="shared" si="32"/>
        <v>31</v>
      </c>
      <c r="AF705" s="831" t="s">
        <v>1391</v>
      </c>
      <c r="AG705" s="831" t="s">
        <v>57</v>
      </c>
      <c r="AH705" s="831" t="s">
        <v>92</v>
      </c>
      <c r="AI705" s="831">
        <v>0</v>
      </c>
      <c r="AJ705" s="835">
        <v>39629</v>
      </c>
      <c r="AK705" s="831">
        <v>0</v>
      </c>
      <c r="AP705" s="831" t="str">
        <f t="shared" si="31"/>
        <v/>
      </c>
    </row>
    <row r="706" spans="2:42">
      <c r="B706" s="834" t="str">
        <f t="shared" si="30"/>
        <v>|||</v>
      </c>
      <c r="H706" s="835">
        <f t="shared" si="32"/>
        <v>31</v>
      </c>
      <c r="AF706" s="831" t="s">
        <v>1392</v>
      </c>
      <c r="AG706" s="831" t="s">
        <v>57</v>
      </c>
      <c r="AH706" s="831" t="s">
        <v>96</v>
      </c>
      <c r="AI706" s="831">
        <v>0</v>
      </c>
      <c r="AJ706" s="835">
        <v>39629</v>
      </c>
      <c r="AK706" s="831">
        <v>49490</v>
      </c>
      <c r="AP706" s="831" t="str">
        <f t="shared" si="31"/>
        <v/>
      </c>
    </row>
    <row r="707" spans="2:42">
      <c r="B707" s="834" t="str">
        <f t="shared" ref="B707:B770" si="33">C707&amp;"|"&amp;D707&amp;"|"&amp;E707&amp;"|"&amp;F707</f>
        <v>|||</v>
      </c>
      <c r="H707" s="835">
        <f t="shared" si="32"/>
        <v>31</v>
      </c>
      <c r="AF707" s="831" t="s">
        <v>1393</v>
      </c>
      <c r="AG707" s="831" t="s">
        <v>57</v>
      </c>
      <c r="AH707" s="831" t="s">
        <v>30</v>
      </c>
      <c r="AI707" s="831">
        <v>0</v>
      </c>
      <c r="AJ707" s="835">
        <v>39629</v>
      </c>
      <c r="AK707" s="831">
        <v>0</v>
      </c>
      <c r="AP707" s="831" t="str">
        <f t="shared" ref="AP707:AP770" si="34">IF(AX707&lt;&gt;"",IF(OR(AX707=3,AX707=4),"Equity","Debt"),"")</f>
        <v/>
      </c>
    </row>
    <row r="708" spans="2:42">
      <c r="B708" s="834" t="str">
        <f t="shared" si="33"/>
        <v>|||</v>
      </c>
      <c r="H708" s="835">
        <f t="shared" ref="H708:H771" si="35">EOMONTH(L708,0)</f>
        <v>31</v>
      </c>
      <c r="AF708" s="831" t="s">
        <v>1394</v>
      </c>
      <c r="AG708" s="831" t="s">
        <v>57</v>
      </c>
      <c r="AH708" s="831" t="s">
        <v>47</v>
      </c>
      <c r="AI708" s="831">
        <v>0</v>
      </c>
      <c r="AJ708" s="835">
        <v>39629</v>
      </c>
      <c r="AK708" s="831">
        <v>0</v>
      </c>
      <c r="AP708" s="831" t="str">
        <f t="shared" si="34"/>
        <v/>
      </c>
    </row>
    <row r="709" spans="2:42">
      <c r="B709" s="834" t="str">
        <f t="shared" si="33"/>
        <v>|||</v>
      </c>
      <c r="H709" s="835">
        <f t="shared" si="35"/>
        <v>31</v>
      </c>
      <c r="AF709" s="831" t="s">
        <v>1395</v>
      </c>
      <c r="AG709" s="831" t="s">
        <v>57</v>
      </c>
      <c r="AH709" s="831" t="s">
        <v>102</v>
      </c>
      <c r="AI709" s="831">
        <v>0</v>
      </c>
      <c r="AJ709" s="835">
        <v>39629</v>
      </c>
      <c r="AK709" s="831">
        <v>0</v>
      </c>
      <c r="AP709" s="831" t="str">
        <f t="shared" si="34"/>
        <v/>
      </c>
    </row>
    <row r="710" spans="2:42">
      <c r="B710" s="834" t="str">
        <f t="shared" si="33"/>
        <v>|||</v>
      </c>
      <c r="H710" s="835">
        <f t="shared" si="35"/>
        <v>31</v>
      </c>
      <c r="AF710" s="831" t="s">
        <v>1396</v>
      </c>
      <c r="AG710" s="831" t="s">
        <v>57</v>
      </c>
      <c r="AH710" s="831" t="s">
        <v>68</v>
      </c>
      <c r="AI710" s="831">
        <v>0</v>
      </c>
      <c r="AJ710" s="835">
        <v>39660</v>
      </c>
      <c r="AK710" s="831">
        <v>147395400</v>
      </c>
      <c r="AP710" s="831" t="str">
        <f t="shared" si="34"/>
        <v/>
      </c>
    </row>
    <row r="711" spans="2:42">
      <c r="B711" s="834" t="str">
        <f t="shared" si="33"/>
        <v>|||</v>
      </c>
      <c r="H711" s="835">
        <f t="shared" si="35"/>
        <v>31</v>
      </c>
      <c r="AF711" s="831" t="s">
        <v>1397</v>
      </c>
      <c r="AG711" s="831" t="s">
        <v>57</v>
      </c>
      <c r="AH711" s="831" t="s">
        <v>73</v>
      </c>
      <c r="AI711" s="831">
        <v>0</v>
      </c>
      <c r="AJ711" s="835">
        <v>39660</v>
      </c>
      <c r="AK711" s="831">
        <v>169340</v>
      </c>
      <c r="AP711" s="831" t="str">
        <f t="shared" si="34"/>
        <v/>
      </c>
    </row>
    <row r="712" spans="2:42">
      <c r="B712" s="834" t="str">
        <f t="shared" si="33"/>
        <v>|||</v>
      </c>
      <c r="H712" s="835">
        <f t="shared" si="35"/>
        <v>31</v>
      </c>
      <c r="AF712" s="831" t="s">
        <v>1398</v>
      </c>
      <c r="AG712" s="831" t="s">
        <v>57</v>
      </c>
      <c r="AH712" s="831" t="s">
        <v>78</v>
      </c>
      <c r="AI712" s="831">
        <v>0</v>
      </c>
      <c r="AJ712" s="835">
        <v>39660</v>
      </c>
      <c r="AK712" s="831">
        <v>215830</v>
      </c>
      <c r="AP712" s="831" t="str">
        <f t="shared" si="34"/>
        <v/>
      </c>
    </row>
    <row r="713" spans="2:42">
      <c r="B713" s="834" t="str">
        <f t="shared" si="33"/>
        <v>|||</v>
      </c>
      <c r="H713" s="835">
        <f t="shared" si="35"/>
        <v>31</v>
      </c>
      <c r="AF713" s="831" t="s">
        <v>1399</v>
      </c>
      <c r="AG713" s="831" t="s">
        <v>57</v>
      </c>
      <c r="AH713" s="831" t="s">
        <v>83</v>
      </c>
      <c r="AI713" s="831">
        <v>0</v>
      </c>
      <c r="AJ713" s="835">
        <v>39660</v>
      </c>
      <c r="AK713" s="831">
        <v>0</v>
      </c>
      <c r="AP713" s="831" t="str">
        <f t="shared" si="34"/>
        <v/>
      </c>
    </row>
    <row r="714" spans="2:42">
      <c r="B714" s="834" t="str">
        <f t="shared" si="33"/>
        <v>|||</v>
      </c>
      <c r="H714" s="835">
        <f t="shared" si="35"/>
        <v>31</v>
      </c>
      <c r="AF714" s="831" t="s">
        <v>1400</v>
      </c>
      <c r="AG714" s="831" t="s">
        <v>57</v>
      </c>
      <c r="AH714" s="831" t="s">
        <v>88</v>
      </c>
      <c r="AI714" s="831">
        <v>0</v>
      </c>
      <c r="AJ714" s="835">
        <v>39660</v>
      </c>
      <c r="AK714" s="831">
        <v>0</v>
      </c>
      <c r="AP714" s="831" t="str">
        <f t="shared" si="34"/>
        <v/>
      </c>
    </row>
    <row r="715" spans="2:42">
      <c r="B715" s="834" t="str">
        <f t="shared" si="33"/>
        <v>|||</v>
      </c>
      <c r="H715" s="835">
        <f t="shared" si="35"/>
        <v>31</v>
      </c>
      <c r="AF715" s="831" t="s">
        <v>1401</v>
      </c>
      <c r="AG715" s="831" t="s">
        <v>57</v>
      </c>
      <c r="AH715" s="831" t="s">
        <v>92</v>
      </c>
      <c r="AI715" s="831">
        <v>0</v>
      </c>
      <c r="AJ715" s="835">
        <v>39660</v>
      </c>
      <c r="AK715" s="831">
        <v>0</v>
      </c>
      <c r="AP715" s="831" t="str">
        <f t="shared" si="34"/>
        <v/>
      </c>
    </row>
    <row r="716" spans="2:42">
      <c r="B716" s="834" t="str">
        <f t="shared" si="33"/>
        <v>|||</v>
      </c>
      <c r="H716" s="835">
        <f t="shared" si="35"/>
        <v>31</v>
      </c>
      <c r="AF716" s="831" t="s">
        <v>1402</v>
      </c>
      <c r="AG716" s="831" t="s">
        <v>57</v>
      </c>
      <c r="AH716" s="831" t="s">
        <v>96</v>
      </c>
      <c r="AI716" s="831">
        <v>0</v>
      </c>
      <c r="AJ716" s="835">
        <v>39660</v>
      </c>
      <c r="AK716" s="831">
        <v>66620</v>
      </c>
      <c r="AP716" s="831" t="str">
        <f t="shared" si="34"/>
        <v/>
      </c>
    </row>
    <row r="717" spans="2:42">
      <c r="B717" s="834" t="str">
        <f t="shared" si="33"/>
        <v>|||</v>
      </c>
      <c r="H717" s="835">
        <f t="shared" si="35"/>
        <v>31</v>
      </c>
      <c r="AF717" s="831" t="s">
        <v>1403</v>
      </c>
      <c r="AG717" s="831" t="s">
        <v>57</v>
      </c>
      <c r="AH717" s="831" t="s">
        <v>30</v>
      </c>
      <c r="AI717" s="831">
        <v>0</v>
      </c>
      <c r="AJ717" s="835">
        <v>39660</v>
      </c>
      <c r="AK717" s="831">
        <v>0</v>
      </c>
      <c r="AP717" s="831" t="str">
        <f t="shared" si="34"/>
        <v/>
      </c>
    </row>
    <row r="718" spans="2:42">
      <c r="B718" s="834" t="str">
        <f t="shared" si="33"/>
        <v>|||</v>
      </c>
      <c r="H718" s="835">
        <f t="shared" si="35"/>
        <v>31</v>
      </c>
      <c r="AF718" s="831" t="s">
        <v>1404</v>
      </c>
      <c r="AG718" s="831" t="s">
        <v>57</v>
      </c>
      <c r="AH718" s="831" t="s">
        <v>47</v>
      </c>
      <c r="AI718" s="831">
        <v>0</v>
      </c>
      <c r="AJ718" s="835">
        <v>39660</v>
      </c>
      <c r="AK718" s="831">
        <v>0</v>
      </c>
      <c r="AP718" s="831" t="str">
        <f t="shared" si="34"/>
        <v/>
      </c>
    </row>
    <row r="719" spans="2:42">
      <c r="B719" s="834" t="str">
        <f t="shared" si="33"/>
        <v>|||</v>
      </c>
      <c r="H719" s="835">
        <f t="shared" si="35"/>
        <v>31</v>
      </c>
      <c r="AF719" s="831" t="s">
        <v>1405</v>
      </c>
      <c r="AG719" s="831" t="s">
        <v>57</v>
      </c>
      <c r="AH719" s="831" t="s">
        <v>102</v>
      </c>
      <c r="AI719" s="831">
        <v>0</v>
      </c>
      <c r="AJ719" s="835">
        <v>39660</v>
      </c>
      <c r="AK719" s="831">
        <v>0</v>
      </c>
      <c r="AP719" s="831" t="str">
        <f t="shared" si="34"/>
        <v/>
      </c>
    </row>
    <row r="720" spans="2:42">
      <c r="B720" s="834" t="str">
        <f t="shared" si="33"/>
        <v>|||</v>
      </c>
      <c r="H720" s="835">
        <f t="shared" si="35"/>
        <v>31</v>
      </c>
      <c r="AF720" s="831" t="s">
        <v>1406</v>
      </c>
      <c r="AG720" s="831" t="s">
        <v>57</v>
      </c>
      <c r="AH720" s="831" t="s">
        <v>68</v>
      </c>
      <c r="AI720" s="831">
        <v>0</v>
      </c>
      <c r="AJ720" s="835">
        <v>39691</v>
      </c>
      <c r="AK720" s="831">
        <v>154345420</v>
      </c>
      <c r="AP720" s="831" t="str">
        <f t="shared" si="34"/>
        <v/>
      </c>
    </row>
    <row r="721" spans="2:42">
      <c r="B721" s="834" t="str">
        <f t="shared" si="33"/>
        <v>|||</v>
      </c>
      <c r="H721" s="835">
        <f t="shared" si="35"/>
        <v>31</v>
      </c>
      <c r="AF721" s="831" t="s">
        <v>1407</v>
      </c>
      <c r="AG721" s="831" t="s">
        <v>57</v>
      </c>
      <c r="AH721" s="831" t="s">
        <v>73</v>
      </c>
      <c r="AI721" s="831">
        <v>0</v>
      </c>
      <c r="AJ721" s="835">
        <v>39691</v>
      </c>
      <c r="AK721" s="831">
        <v>351180</v>
      </c>
      <c r="AP721" s="831" t="str">
        <f t="shared" si="34"/>
        <v/>
      </c>
    </row>
    <row r="722" spans="2:42">
      <c r="B722" s="834" t="str">
        <f t="shared" si="33"/>
        <v>|||</v>
      </c>
      <c r="H722" s="835">
        <f t="shared" si="35"/>
        <v>31</v>
      </c>
      <c r="AF722" s="831" t="s">
        <v>1408</v>
      </c>
      <c r="AG722" s="831" t="s">
        <v>57</v>
      </c>
      <c r="AH722" s="831" t="s">
        <v>78</v>
      </c>
      <c r="AI722" s="831">
        <v>0</v>
      </c>
      <c r="AJ722" s="835">
        <v>39691</v>
      </c>
      <c r="AK722" s="831">
        <v>252370</v>
      </c>
      <c r="AP722" s="831" t="str">
        <f t="shared" si="34"/>
        <v/>
      </c>
    </row>
    <row r="723" spans="2:42">
      <c r="B723" s="834" t="str">
        <f t="shared" si="33"/>
        <v>|||</v>
      </c>
      <c r="H723" s="835">
        <f t="shared" si="35"/>
        <v>31</v>
      </c>
      <c r="AF723" s="831" t="s">
        <v>1409</v>
      </c>
      <c r="AG723" s="831" t="s">
        <v>57</v>
      </c>
      <c r="AH723" s="831" t="s">
        <v>83</v>
      </c>
      <c r="AI723" s="831">
        <v>0</v>
      </c>
      <c r="AJ723" s="835">
        <v>39691</v>
      </c>
      <c r="AK723" s="831">
        <v>0</v>
      </c>
      <c r="AP723" s="831" t="str">
        <f t="shared" si="34"/>
        <v/>
      </c>
    </row>
    <row r="724" spans="2:42">
      <c r="B724" s="834" t="str">
        <f t="shared" si="33"/>
        <v>|||</v>
      </c>
      <c r="H724" s="835">
        <f t="shared" si="35"/>
        <v>31</v>
      </c>
      <c r="AF724" s="831" t="s">
        <v>1410</v>
      </c>
      <c r="AG724" s="831" t="s">
        <v>57</v>
      </c>
      <c r="AH724" s="831" t="s">
        <v>88</v>
      </c>
      <c r="AI724" s="831">
        <v>0</v>
      </c>
      <c r="AJ724" s="835">
        <v>39691</v>
      </c>
      <c r="AK724" s="831">
        <v>0</v>
      </c>
      <c r="AP724" s="831" t="str">
        <f t="shared" si="34"/>
        <v/>
      </c>
    </row>
    <row r="725" spans="2:42">
      <c r="B725" s="834" t="str">
        <f t="shared" si="33"/>
        <v>|||</v>
      </c>
      <c r="H725" s="835">
        <f t="shared" si="35"/>
        <v>31</v>
      </c>
      <c r="AF725" s="831" t="s">
        <v>1411</v>
      </c>
      <c r="AG725" s="831" t="s">
        <v>57</v>
      </c>
      <c r="AH725" s="831" t="s">
        <v>92</v>
      </c>
      <c r="AI725" s="831">
        <v>0</v>
      </c>
      <c r="AJ725" s="835">
        <v>39691</v>
      </c>
      <c r="AK725" s="831">
        <v>0</v>
      </c>
      <c r="AP725" s="831" t="str">
        <f t="shared" si="34"/>
        <v/>
      </c>
    </row>
    <row r="726" spans="2:42">
      <c r="B726" s="834" t="str">
        <f t="shared" si="33"/>
        <v>|||</v>
      </c>
      <c r="H726" s="835">
        <f t="shared" si="35"/>
        <v>31</v>
      </c>
      <c r="AF726" s="831" t="s">
        <v>1412</v>
      </c>
      <c r="AG726" s="831" t="s">
        <v>57</v>
      </c>
      <c r="AH726" s="831" t="s">
        <v>96</v>
      </c>
      <c r="AI726" s="831">
        <v>0</v>
      </c>
      <c r="AJ726" s="835">
        <v>39691</v>
      </c>
      <c r="AK726" s="831">
        <v>94030</v>
      </c>
      <c r="AP726" s="831" t="str">
        <f t="shared" si="34"/>
        <v/>
      </c>
    </row>
    <row r="727" spans="2:42">
      <c r="B727" s="834" t="str">
        <f t="shared" si="33"/>
        <v>|||</v>
      </c>
      <c r="H727" s="835">
        <f t="shared" si="35"/>
        <v>31</v>
      </c>
      <c r="AF727" s="831" t="s">
        <v>1413</v>
      </c>
      <c r="AG727" s="831" t="s">
        <v>57</v>
      </c>
      <c r="AH727" s="831" t="s">
        <v>30</v>
      </c>
      <c r="AI727" s="831">
        <v>0</v>
      </c>
      <c r="AJ727" s="835">
        <v>39691</v>
      </c>
      <c r="AK727" s="831">
        <v>0</v>
      </c>
      <c r="AP727" s="831" t="str">
        <f t="shared" si="34"/>
        <v/>
      </c>
    </row>
    <row r="728" spans="2:42">
      <c r="B728" s="834" t="str">
        <f t="shared" si="33"/>
        <v>|||</v>
      </c>
      <c r="H728" s="835">
        <f t="shared" si="35"/>
        <v>31</v>
      </c>
      <c r="AF728" s="831" t="s">
        <v>1414</v>
      </c>
      <c r="AG728" s="831" t="s">
        <v>57</v>
      </c>
      <c r="AH728" s="831" t="s">
        <v>47</v>
      </c>
      <c r="AI728" s="831">
        <v>0</v>
      </c>
      <c r="AJ728" s="835">
        <v>39691</v>
      </c>
      <c r="AK728" s="831">
        <v>0</v>
      </c>
      <c r="AP728" s="831" t="str">
        <f t="shared" si="34"/>
        <v/>
      </c>
    </row>
    <row r="729" spans="2:42">
      <c r="B729" s="834" t="str">
        <f t="shared" si="33"/>
        <v>|||</v>
      </c>
      <c r="H729" s="835">
        <f t="shared" si="35"/>
        <v>31</v>
      </c>
      <c r="AF729" s="831" t="s">
        <v>1415</v>
      </c>
      <c r="AG729" s="831" t="s">
        <v>57</v>
      </c>
      <c r="AH729" s="831" t="s">
        <v>102</v>
      </c>
      <c r="AI729" s="831">
        <v>0</v>
      </c>
      <c r="AJ729" s="835">
        <v>39691</v>
      </c>
      <c r="AK729" s="831">
        <v>0</v>
      </c>
      <c r="AP729" s="831" t="str">
        <f t="shared" si="34"/>
        <v/>
      </c>
    </row>
    <row r="730" spans="2:42">
      <c r="B730" s="834" t="str">
        <f t="shared" si="33"/>
        <v>|||</v>
      </c>
      <c r="H730" s="835">
        <f t="shared" si="35"/>
        <v>31</v>
      </c>
      <c r="AF730" s="831" t="s">
        <v>1416</v>
      </c>
      <c r="AG730" s="831" t="s">
        <v>57</v>
      </c>
      <c r="AH730" s="831" t="s">
        <v>68</v>
      </c>
      <c r="AI730" s="831">
        <v>0</v>
      </c>
      <c r="AJ730" s="835">
        <v>39721</v>
      </c>
      <c r="AK730" s="831">
        <v>158561360</v>
      </c>
      <c r="AP730" s="831" t="str">
        <f t="shared" si="34"/>
        <v/>
      </c>
    </row>
    <row r="731" spans="2:42">
      <c r="B731" s="834" t="str">
        <f t="shared" si="33"/>
        <v>|||</v>
      </c>
      <c r="H731" s="835">
        <f t="shared" si="35"/>
        <v>31</v>
      </c>
      <c r="AF731" s="831" t="s">
        <v>1417</v>
      </c>
      <c r="AG731" s="831" t="s">
        <v>57</v>
      </c>
      <c r="AH731" s="831" t="s">
        <v>73</v>
      </c>
      <c r="AI731" s="831">
        <v>0</v>
      </c>
      <c r="AJ731" s="835">
        <v>39721</v>
      </c>
      <c r="AK731" s="831">
        <v>136220</v>
      </c>
      <c r="AP731" s="831" t="str">
        <f t="shared" si="34"/>
        <v/>
      </c>
    </row>
    <row r="732" spans="2:42">
      <c r="B732" s="834" t="str">
        <f t="shared" si="33"/>
        <v>|||</v>
      </c>
      <c r="H732" s="835">
        <f t="shared" si="35"/>
        <v>31</v>
      </c>
      <c r="AF732" s="831" t="s">
        <v>1418</v>
      </c>
      <c r="AG732" s="831" t="s">
        <v>57</v>
      </c>
      <c r="AH732" s="831" t="s">
        <v>78</v>
      </c>
      <c r="AI732" s="831">
        <v>0</v>
      </c>
      <c r="AJ732" s="835">
        <v>39721</v>
      </c>
      <c r="AK732" s="831">
        <v>391530</v>
      </c>
      <c r="AP732" s="831" t="str">
        <f t="shared" si="34"/>
        <v/>
      </c>
    </row>
    <row r="733" spans="2:42">
      <c r="B733" s="834" t="str">
        <f t="shared" si="33"/>
        <v>|||</v>
      </c>
      <c r="H733" s="835">
        <f t="shared" si="35"/>
        <v>31</v>
      </c>
      <c r="AF733" s="831" t="s">
        <v>1419</v>
      </c>
      <c r="AG733" s="831" t="s">
        <v>57</v>
      </c>
      <c r="AH733" s="831" t="s">
        <v>83</v>
      </c>
      <c r="AI733" s="831">
        <v>0</v>
      </c>
      <c r="AJ733" s="835">
        <v>39721</v>
      </c>
      <c r="AK733" s="831">
        <v>0</v>
      </c>
      <c r="AP733" s="831" t="str">
        <f t="shared" si="34"/>
        <v/>
      </c>
    </row>
    <row r="734" spans="2:42">
      <c r="B734" s="834" t="str">
        <f t="shared" si="33"/>
        <v>|||</v>
      </c>
      <c r="H734" s="835">
        <f t="shared" si="35"/>
        <v>31</v>
      </c>
      <c r="AF734" s="831" t="s">
        <v>1420</v>
      </c>
      <c r="AG734" s="831" t="s">
        <v>57</v>
      </c>
      <c r="AH734" s="831" t="s">
        <v>88</v>
      </c>
      <c r="AI734" s="831">
        <v>0</v>
      </c>
      <c r="AJ734" s="835">
        <v>39721</v>
      </c>
      <c r="AK734" s="831">
        <v>0</v>
      </c>
      <c r="AP734" s="831" t="str">
        <f t="shared" si="34"/>
        <v/>
      </c>
    </row>
    <row r="735" spans="2:42">
      <c r="B735" s="834" t="str">
        <f t="shared" si="33"/>
        <v>|||</v>
      </c>
      <c r="H735" s="835">
        <f t="shared" si="35"/>
        <v>31</v>
      </c>
      <c r="AF735" s="831" t="s">
        <v>1421</v>
      </c>
      <c r="AG735" s="831" t="s">
        <v>57</v>
      </c>
      <c r="AH735" s="831" t="s">
        <v>92</v>
      </c>
      <c r="AI735" s="831">
        <v>0</v>
      </c>
      <c r="AJ735" s="835">
        <v>39721</v>
      </c>
      <c r="AK735" s="831">
        <v>0</v>
      </c>
      <c r="AP735" s="831" t="str">
        <f t="shared" si="34"/>
        <v/>
      </c>
    </row>
    <row r="736" spans="2:42">
      <c r="B736" s="834" t="str">
        <f t="shared" si="33"/>
        <v>|||</v>
      </c>
      <c r="H736" s="835">
        <f t="shared" si="35"/>
        <v>31</v>
      </c>
      <c r="AF736" s="831" t="s">
        <v>1422</v>
      </c>
      <c r="AG736" s="831" t="s">
        <v>57</v>
      </c>
      <c r="AH736" s="831" t="s">
        <v>96</v>
      </c>
      <c r="AI736" s="831">
        <v>0</v>
      </c>
      <c r="AJ736" s="835">
        <v>39721</v>
      </c>
      <c r="AK736" s="831">
        <v>137040</v>
      </c>
      <c r="AP736" s="831" t="str">
        <f t="shared" si="34"/>
        <v/>
      </c>
    </row>
    <row r="737" spans="2:42">
      <c r="B737" s="834" t="str">
        <f t="shared" si="33"/>
        <v>|||</v>
      </c>
      <c r="H737" s="835">
        <f t="shared" si="35"/>
        <v>31</v>
      </c>
      <c r="AF737" s="831" t="s">
        <v>1423</v>
      </c>
      <c r="AG737" s="831" t="s">
        <v>57</v>
      </c>
      <c r="AH737" s="831" t="s">
        <v>30</v>
      </c>
      <c r="AI737" s="831">
        <v>0</v>
      </c>
      <c r="AJ737" s="835">
        <v>39721</v>
      </c>
      <c r="AK737" s="831">
        <v>126840</v>
      </c>
      <c r="AP737" s="831" t="str">
        <f t="shared" si="34"/>
        <v/>
      </c>
    </row>
    <row r="738" spans="2:42">
      <c r="B738" s="834" t="str">
        <f t="shared" si="33"/>
        <v>|||</v>
      </c>
      <c r="H738" s="835">
        <f t="shared" si="35"/>
        <v>31</v>
      </c>
      <c r="AF738" s="831" t="s">
        <v>1424</v>
      </c>
      <c r="AG738" s="831" t="s">
        <v>57</v>
      </c>
      <c r="AH738" s="831" t="s">
        <v>47</v>
      </c>
      <c r="AI738" s="831">
        <v>0</v>
      </c>
      <c r="AJ738" s="835">
        <v>39721</v>
      </c>
      <c r="AK738" s="831">
        <v>0</v>
      </c>
      <c r="AP738" s="831" t="str">
        <f t="shared" si="34"/>
        <v/>
      </c>
    </row>
    <row r="739" spans="2:42">
      <c r="B739" s="834" t="str">
        <f t="shared" si="33"/>
        <v>|||</v>
      </c>
      <c r="H739" s="835">
        <f t="shared" si="35"/>
        <v>31</v>
      </c>
      <c r="AF739" s="831" t="s">
        <v>1425</v>
      </c>
      <c r="AG739" s="831" t="s">
        <v>57</v>
      </c>
      <c r="AH739" s="831" t="s">
        <v>102</v>
      </c>
      <c r="AI739" s="831">
        <v>0</v>
      </c>
      <c r="AJ739" s="835">
        <v>39721</v>
      </c>
      <c r="AK739" s="831">
        <v>0</v>
      </c>
      <c r="AP739" s="831" t="str">
        <f t="shared" si="34"/>
        <v/>
      </c>
    </row>
    <row r="740" spans="2:42">
      <c r="B740" s="834" t="str">
        <f t="shared" si="33"/>
        <v>|||</v>
      </c>
      <c r="H740" s="835">
        <f t="shared" si="35"/>
        <v>31</v>
      </c>
      <c r="AF740" s="831" t="s">
        <v>1426</v>
      </c>
      <c r="AG740" s="831" t="s">
        <v>57</v>
      </c>
      <c r="AH740" s="831" t="s">
        <v>68</v>
      </c>
      <c r="AI740" s="831">
        <v>0</v>
      </c>
      <c r="AJ740" s="835">
        <v>39752</v>
      </c>
      <c r="AK740" s="831">
        <v>159942711</v>
      </c>
      <c r="AP740" s="831" t="str">
        <f t="shared" si="34"/>
        <v/>
      </c>
    </row>
    <row r="741" spans="2:42">
      <c r="B741" s="834" t="str">
        <f t="shared" si="33"/>
        <v>|||</v>
      </c>
      <c r="H741" s="835">
        <f t="shared" si="35"/>
        <v>31</v>
      </c>
      <c r="AF741" s="831" t="s">
        <v>1427</v>
      </c>
      <c r="AG741" s="831" t="s">
        <v>57</v>
      </c>
      <c r="AH741" s="831" t="s">
        <v>73</v>
      </c>
      <c r="AI741" s="831">
        <v>0</v>
      </c>
      <c r="AJ741" s="835">
        <v>39752</v>
      </c>
      <c r="AK741" s="831">
        <v>189780</v>
      </c>
      <c r="AP741" s="831" t="str">
        <f t="shared" si="34"/>
        <v/>
      </c>
    </row>
    <row r="742" spans="2:42">
      <c r="B742" s="834" t="str">
        <f t="shared" si="33"/>
        <v>|||</v>
      </c>
      <c r="H742" s="835">
        <f t="shared" si="35"/>
        <v>31</v>
      </c>
      <c r="AF742" s="831" t="s">
        <v>1428</v>
      </c>
      <c r="AG742" s="831" t="s">
        <v>57</v>
      </c>
      <c r="AH742" s="831" t="s">
        <v>78</v>
      </c>
      <c r="AI742" s="831">
        <v>0</v>
      </c>
      <c r="AJ742" s="835">
        <v>39752</v>
      </c>
      <c r="AK742" s="831">
        <v>413680</v>
      </c>
      <c r="AP742" s="831" t="str">
        <f t="shared" si="34"/>
        <v/>
      </c>
    </row>
    <row r="743" spans="2:42">
      <c r="B743" s="834" t="str">
        <f t="shared" si="33"/>
        <v>|||</v>
      </c>
      <c r="H743" s="835">
        <f t="shared" si="35"/>
        <v>31</v>
      </c>
      <c r="AF743" s="831" t="s">
        <v>1429</v>
      </c>
      <c r="AG743" s="831" t="s">
        <v>57</v>
      </c>
      <c r="AH743" s="831" t="s">
        <v>83</v>
      </c>
      <c r="AI743" s="831">
        <v>0</v>
      </c>
      <c r="AJ743" s="835">
        <v>39752</v>
      </c>
      <c r="AK743" s="831">
        <v>0</v>
      </c>
      <c r="AP743" s="831" t="str">
        <f t="shared" si="34"/>
        <v/>
      </c>
    </row>
    <row r="744" spans="2:42">
      <c r="B744" s="834" t="str">
        <f t="shared" si="33"/>
        <v>|||</v>
      </c>
      <c r="H744" s="835">
        <f t="shared" si="35"/>
        <v>31</v>
      </c>
      <c r="AF744" s="831" t="s">
        <v>1430</v>
      </c>
      <c r="AG744" s="831" t="s">
        <v>57</v>
      </c>
      <c r="AH744" s="831" t="s">
        <v>88</v>
      </c>
      <c r="AI744" s="831">
        <v>0</v>
      </c>
      <c r="AJ744" s="835">
        <v>39752</v>
      </c>
      <c r="AK744" s="831">
        <v>0</v>
      </c>
      <c r="AP744" s="831" t="str">
        <f t="shared" si="34"/>
        <v/>
      </c>
    </row>
    <row r="745" spans="2:42">
      <c r="B745" s="834" t="str">
        <f t="shared" si="33"/>
        <v>|||</v>
      </c>
      <c r="H745" s="835">
        <f t="shared" si="35"/>
        <v>31</v>
      </c>
      <c r="AF745" s="831" t="s">
        <v>1431</v>
      </c>
      <c r="AG745" s="831" t="s">
        <v>57</v>
      </c>
      <c r="AH745" s="831" t="s">
        <v>92</v>
      </c>
      <c r="AI745" s="831">
        <v>0</v>
      </c>
      <c r="AJ745" s="835">
        <v>39752</v>
      </c>
      <c r="AK745" s="831">
        <v>0</v>
      </c>
      <c r="AP745" s="831" t="str">
        <f t="shared" si="34"/>
        <v/>
      </c>
    </row>
    <row r="746" spans="2:42">
      <c r="B746" s="834" t="str">
        <f t="shared" si="33"/>
        <v>|||</v>
      </c>
      <c r="H746" s="835">
        <f t="shared" si="35"/>
        <v>31</v>
      </c>
      <c r="AF746" s="831" t="s">
        <v>1432</v>
      </c>
      <c r="AG746" s="831" t="s">
        <v>57</v>
      </c>
      <c r="AH746" s="831" t="s">
        <v>96</v>
      </c>
      <c r="AI746" s="831">
        <v>0</v>
      </c>
      <c r="AJ746" s="835">
        <v>39752</v>
      </c>
      <c r="AK746" s="831">
        <v>155150</v>
      </c>
      <c r="AP746" s="831" t="str">
        <f t="shared" si="34"/>
        <v/>
      </c>
    </row>
    <row r="747" spans="2:42">
      <c r="B747" s="834" t="str">
        <f t="shared" si="33"/>
        <v>|||</v>
      </c>
      <c r="H747" s="835">
        <f t="shared" si="35"/>
        <v>31</v>
      </c>
      <c r="AF747" s="831" t="s">
        <v>1433</v>
      </c>
      <c r="AG747" s="831" t="s">
        <v>57</v>
      </c>
      <c r="AH747" s="831" t="s">
        <v>30</v>
      </c>
      <c r="AI747" s="831">
        <v>0</v>
      </c>
      <c r="AJ747" s="835">
        <v>39752</v>
      </c>
      <c r="AK747" s="831">
        <v>199090</v>
      </c>
      <c r="AP747" s="831" t="str">
        <f t="shared" si="34"/>
        <v/>
      </c>
    </row>
    <row r="748" spans="2:42">
      <c r="B748" s="834" t="str">
        <f t="shared" si="33"/>
        <v>|||</v>
      </c>
      <c r="H748" s="835">
        <f t="shared" si="35"/>
        <v>31</v>
      </c>
      <c r="AF748" s="831" t="s">
        <v>1434</v>
      </c>
      <c r="AG748" s="831" t="s">
        <v>57</v>
      </c>
      <c r="AH748" s="831" t="s">
        <v>47</v>
      </c>
      <c r="AI748" s="831">
        <v>0</v>
      </c>
      <c r="AJ748" s="835">
        <v>39752</v>
      </c>
      <c r="AK748" s="831">
        <v>0</v>
      </c>
      <c r="AP748" s="831" t="str">
        <f t="shared" si="34"/>
        <v/>
      </c>
    </row>
    <row r="749" spans="2:42">
      <c r="B749" s="834" t="str">
        <f t="shared" si="33"/>
        <v>|||</v>
      </c>
      <c r="H749" s="835">
        <f t="shared" si="35"/>
        <v>31</v>
      </c>
      <c r="AF749" s="831" t="s">
        <v>1435</v>
      </c>
      <c r="AG749" s="831" t="s">
        <v>57</v>
      </c>
      <c r="AH749" s="831" t="s">
        <v>102</v>
      </c>
      <c r="AI749" s="831">
        <v>0</v>
      </c>
      <c r="AJ749" s="835">
        <v>39752</v>
      </c>
      <c r="AK749" s="831">
        <v>0</v>
      </c>
      <c r="AP749" s="831" t="str">
        <f t="shared" si="34"/>
        <v/>
      </c>
    </row>
    <row r="750" spans="2:42">
      <c r="B750" s="834" t="str">
        <f t="shared" si="33"/>
        <v>|||</v>
      </c>
      <c r="H750" s="835">
        <f t="shared" si="35"/>
        <v>31</v>
      </c>
      <c r="AF750" s="831" t="s">
        <v>1436</v>
      </c>
      <c r="AG750" s="831" t="s">
        <v>57</v>
      </c>
      <c r="AH750" s="831" t="s">
        <v>68</v>
      </c>
      <c r="AI750" s="831">
        <v>0</v>
      </c>
      <c r="AJ750" s="835">
        <v>39782</v>
      </c>
      <c r="AK750" s="831">
        <v>162461240</v>
      </c>
      <c r="AP750" s="831" t="str">
        <f t="shared" si="34"/>
        <v/>
      </c>
    </row>
    <row r="751" spans="2:42">
      <c r="B751" s="834" t="str">
        <f t="shared" si="33"/>
        <v>|||</v>
      </c>
      <c r="H751" s="835">
        <f t="shared" si="35"/>
        <v>31</v>
      </c>
      <c r="AF751" s="831" t="s">
        <v>1437</v>
      </c>
      <c r="AG751" s="831" t="s">
        <v>57</v>
      </c>
      <c r="AH751" s="831" t="s">
        <v>73</v>
      </c>
      <c r="AI751" s="831">
        <v>0</v>
      </c>
      <c r="AJ751" s="835">
        <v>39782</v>
      </c>
      <c r="AK751" s="831">
        <v>632840</v>
      </c>
      <c r="AP751" s="831" t="str">
        <f t="shared" si="34"/>
        <v/>
      </c>
    </row>
    <row r="752" spans="2:42">
      <c r="B752" s="834" t="str">
        <f t="shared" si="33"/>
        <v>|||</v>
      </c>
      <c r="H752" s="835">
        <f t="shared" si="35"/>
        <v>31</v>
      </c>
      <c r="AF752" s="831" t="s">
        <v>1438</v>
      </c>
      <c r="AG752" s="831" t="s">
        <v>57</v>
      </c>
      <c r="AH752" s="831" t="s">
        <v>78</v>
      </c>
      <c r="AI752" s="831">
        <v>0</v>
      </c>
      <c r="AJ752" s="835">
        <v>39782</v>
      </c>
      <c r="AK752" s="831">
        <v>470990</v>
      </c>
      <c r="AP752" s="831" t="str">
        <f t="shared" si="34"/>
        <v/>
      </c>
    </row>
    <row r="753" spans="2:42">
      <c r="B753" s="834" t="str">
        <f t="shared" si="33"/>
        <v>|||</v>
      </c>
      <c r="H753" s="835">
        <f t="shared" si="35"/>
        <v>31</v>
      </c>
      <c r="AF753" s="831" t="s">
        <v>1439</v>
      </c>
      <c r="AG753" s="831" t="s">
        <v>57</v>
      </c>
      <c r="AH753" s="831" t="s">
        <v>83</v>
      </c>
      <c r="AI753" s="831">
        <v>0</v>
      </c>
      <c r="AJ753" s="835">
        <v>39782</v>
      </c>
      <c r="AK753" s="831">
        <v>0</v>
      </c>
      <c r="AP753" s="831" t="str">
        <f t="shared" si="34"/>
        <v/>
      </c>
    </row>
    <row r="754" spans="2:42">
      <c r="B754" s="834" t="str">
        <f t="shared" si="33"/>
        <v>|||</v>
      </c>
      <c r="H754" s="835">
        <f t="shared" si="35"/>
        <v>31</v>
      </c>
      <c r="AF754" s="831" t="s">
        <v>1440</v>
      </c>
      <c r="AG754" s="831" t="s">
        <v>57</v>
      </c>
      <c r="AH754" s="831" t="s">
        <v>88</v>
      </c>
      <c r="AI754" s="831">
        <v>0</v>
      </c>
      <c r="AJ754" s="835">
        <v>39782</v>
      </c>
      <c r="AK754" s="831">
        <v>0</v>
      </c>
      <c r="AP754" s="831" t="str">
        <f t="shared" si="34"/>
        <v/>
      </c>
    </row>
    <row r="755" spans="2:42">
      <c r="B755" s="834" t="str">
        <f t="shared" si="33"/>
        <v>|||</v>
      </c>
      <c r="H755" s="835">
        <f t="shared" si="35"/>
        <v>31</v>
      </c>
      <c r="AF755" s="831" t="s">
        <v>1441</v>
      </c>
      <c r="AG755" s="831" t="s">
        <v>57</v>
      </c>
      <c r="AH755" s="831" t="s">
        <v>92</v>
      </c>
      <c r="AI755" s="831">
        <v>0</v>
      </c>
      <c r="AJ755" s="835">
        <v>39782</v>
      </c>
      <c r="AK755" s="831">
        <v>0</v>
      </c>
      <c r="AP755" s="831" t="str">
        <f t="shared" si="34"/>
        <v/>
      </c>
    </row>
    <row r="756" spans="2:42">
      <c r="B756" s="834" t="str">
        <f t="shared" si="33"/>
        <v>|||</v>
      </c>
      <c r="H756" s="835">
        <f t="shared" si="35"/>
        <v>31</v>
      </c>
      <c r="AF756" s="831" t="s">
        <v>1442</v>
      </c>
      <c r="AG756" s="831" t="s">
        <v>57</v>
      </c>
      <c r="AH756" s="831" t="s">
        <v>96</v>
      </c>
      <c r="AI756" s="831">
        <v>0</v>
      </c>
      <c r="AJ756" s="835">
        <v>39782</v>
      </c>
      <c r="AK756" s="831">
        <v>156160</v>
      </c>
      <c r="AP756" s="831" t="str">
        <f t="shared" si="34"/>
        <v/>
      </c>
    </row>
    <row r="757" spans="2:42">
      <c r="B757" s="834" t="str">
        <f t="shared" si="33"/>
        <v>|||</v>
      </c>
      <c r="H757" s="835">
        <f t="shared" si="35"/>
        <v>31</v>
      </c>
      <c r="AF757" s="831" t="s">
        <v>1443</v>
      </c>
      <c r="AG757" s="831" t="s">
        <v>57</v>
      </c>
      <c r="AH757" s="831" t="s">
        <v>30</v>
      </c>
      <c r="AI757" s="831">
        <v>0</v>
      </c>
      <c r="AJ757" s="835">
        <v>39782</v>
      </c>
      <c r="AK757" s="831">
        <v>106630</v>
      </c>
      <c r="AP757" s="831" t="str">
        <f t="shared" si="34"/>
        <v/>
      </c>
    </row>
    <row r="758" spans="2:42">
      <c r="B758" s="834" t="str">
        <f t="shared" si="33"/>
        <v>|||</v>
      </c>
      <c r="H758" s="835">
        <f t="shared" si="35"/>
        <v>31</v>
      </c>
      <c r="AF758" s="831" t="s">
        <v>1444</v>
      </c>
      <c r="AG758" s="831" t="s">
        <v>57</v>
      </c>
      <c r="AH758" s="831" t="s">
        <v>47</v>
      </c>
      <c r="AI758" s="831">
        <v>0</v>
      </c>
      <c r="AJ758" s="835">
        <v>39782</v>
      </c>
      <c r="AK758" s="831">
        <v>0</v>
      </c>
      <c r="AP758" s="831" t="str">
        <f t="shared" si="34"/>
        <v/>
      </c>
    </row>
    <row r="759" spans="2:42">
      <c r="B759" s="834" t="str">
        <f t="shared" si="33"/>
        <v>|||</v>
      </c>
      <c r="H759" s="835">
        <f t="shared" si="35"/>
        <v>31</v>
      </c>
      <c r="AF759" s="831" t="s">
        <v>1445</v>
      </c>
      <c r="AG759" s="831" t="s">
        <v>57</v>
      </c>
      <c r="AH759" s="831" t="s">
        <v>102</v>
      </c>
      <c r="AI759" s="831">
        <v>0</v>
      </c>
      <c r="AJ759" s="835">
        <v>39782</v>
      </c>
      <c r="AK759" s="831">
        <v>0</v>
      </c>
      <c r="AP759" s="831" t="str">
        <f t="shared" si="34"/>
        <v/>
      </c>
    </row>
    <row r="760" spans="2:42">
      <c r="B760" s="834" t="str">
        <f t="shared" si="33"/>
        <v>|||</v>
      </c>
      <c r="H760" s="835">
        <f t="shared" si="35"/>
        <v>31</v>
      </c>
      <c r="AF760" s="831" t="s">
        <v>1446</v>
      </c>
      <c r="AG760" s="831" t="s">
        <v>57</v>
      </c>
      <c r="AH760" s="831" t="s">
        <v>68</v>
      </c>
      <c r="AI760" s="831">
        <v>0</v>
      </c>
      <c r="AJ760" s="835">
        <v>39813</v>
      </c>
      <c r="AK760" s="831">
        <v>165593081</v>
      </c>
      <c r="AP760" s="831" t="str">
        <f t="shared" si="34"/>
        <v/>
      </c>
    </row>
    <row r="761" spans="2:42">
      <c r="B761" s="834" t="str">
        <f t="shared" si="33"/>
        <v>|||</v>
      </c>
      <c r="H761" s="835">
        <f t="shared" si="35"/>
        <v>31</v>
      </c>
      <c r="AF761" s="831" t="s">
        <v>1447</v>
      </c>
      <c r="AG761" s="831" t="s">
        <v>57</v>
      </c>
      <c r="AH761" s="831" t="s">
        <v>73</v>
      </c>
      <c r="AI761" s="831">
        <v>0</v>
      </c>
      <c r="AJ761" s="835">
        <v>39813</v>
      </c>
      <c r="AK761" s="831">
        <v>208280</v>
      </c>
      <c r="AP761" s="831" t="str">
        <f t="shared" si="34"/>
        <v/>
      </c>
    </row>
    <row r="762" spans="2:42">
      <c r="B762" s="834" t="str">
        <f t="shared" si="33"/>
        <v>|||</v>
      </c>
      <c r="H762" s="835">
        <f t="shared" si="35"/>
        <v>31</v>
      </c>
      <c r="AF762" s="831" t="s">
        <v>1448</v>
      </c>
      <c r="AG762" s="831" t="s">
        <v>57</v>
      </c>
      <c r="AH762" s="831" t="s">
        <v>78</v>
      </c>
      <c r="AI762" s="831">
        <v>0</v>
      </c>
      <c r="AJ762" s="835">
        <v>39813</v>
      </c>
      <c r="AK762" s="831">
        <v>929650</v>
      </c>
      <c r="AP762" s="831" t="str">
        <f t="shared" si="34"/>
        <v/>
      </c>
    </row>
    <row r="763" spans="2:42">
      <c r="B763" s="834" t="str">
        <f t="shared" si="33"/>
        <v>|||</v>
      </c>
      <c r="H763" s="835">
        <f t="shared" si="35"/>
        <v>31</v>
      </c>
      <c r="AF763" s="831" t="s">
        <v>1449</v>
      </c>
      <c r="AG763" s="831" t="s">
        <v>57</v>
      </c>
      <c r="AH763" s="831" t="s">
        <v>83</v>
      </c>
      <c r="AI763" s="831">
        <v>0</v>
      </c>
      <c r="AJ763" s="835">
        <v>39813</v>
      </c>
      <c r="AK763" s="831">
        <v>0</v>
      </c>
      <c r="AP763" s="831" t="str">
        <f t="shared" si="34"/>
        <v/>
      </c>
    </row>
    <row r="764" spans="2:42">
      <c r="B764" s="834" t="str">
        <f t="shared" si="33"/>
        <v>|||</v>
      </c>
      <c r="H764" s="835">
        <f t="shared" si="35"/>
        <v>31</v>
      </c>
      <c r="AF764" s="831" t="s">
        <v>1450</v>
      </c>
      <c r="AG764" s="831" t="s">
        <v>57</v>
      </c>
      <c r="AH764" s="831" t="s">
        <v>88</v>
      </c>
      <c r="AI764" s="831">
        <v>0</v>
      </c>
      <c r="AJ764" s="835">
        <v>39813</v>
      </c>
      <c r="AK764" s="831">
        <v>0</v>
      </c>
      <c r="AP764" s="831" t="str">
        <f t="shared" si="34"/>
        <v/>
      </c>
    </row>
    <row r="765" spans="2:42">
      <c r="B765" s="834" t="str">
        <f t="shared" si="33"/>
        <v>|||</v>
      </c>
      <c r="H765" s="835">
        <f t="shared" si="35"/>
        <v>31</v>
      </c>
      <c r="AF765" s="831" t="s">
        <v>1451</v>
      </c>
      <c r="AG765" s="831" t="s">
        <v>57</v>
      </c>
      <c r="AH765" s="831" t="s">
        <v>92</v>
      </c>
      <c r="AI765" s="831">
        <v>0</v>
      </c>
      <c r="AJ765" s="835">
        <v>39813</v>
      </c>
      <c r="AK765" s="831">
        <v>0</v>
      </c>
      <c r="AP765" s="831" t="str">
        <f t="shared" si="34"/>
        <v/>
      </c>
    </row>
    <row r="766" spans="2:42">
      <c r="B766" s="834" t="str">
        <f t="shared" si="33"/>
        <v>|||</v>
      </c>
      <c r="H766" s="835">
        <f t="shared" si="35"/>
        <v>31</v>
      </c>
      <c r="AF766" s="831" t="s">
        <v>1452</v>
      </c>
      <c r="AG766" s="831" t="s">
        <v>57</v>
      </c>
      <c r="AH766" s="831" t="s">
        <v>96</v>
      </c>
      <c r="AI766" s="831">
        <v>0</v>
      </c>
      <c r="AJ766" s="835">
        <v>39813</v>
      </c>
      <c r="AK766" s="831">
        <v>160980</v>
      </c>
      <c r="AP766" s="831" t="str">
        <f t="shared" si="34"/>
        <v/>
      </c>
    </row>
    <row r="767" spans="2:42">
      <c r="B767" s="834" t="str">
        <f t="shared" si="33"/>
        <v>|||</v>
      </c>
      <c r="H767" s="835">
        <f t="shared" si="35"/>
        <v>31</v>
      </c>
      <c r="AF767" s="831" t="s">
        <v>1453</v>
      </c>
      <c r="AG767" s="831" t="s">
        <v>57</v>
      </c>
      <c r="AH767" s="831" t="s">
        <v>30</v>
      </c>
      <c r="AI767" s="831">
        <v>0</v>
      </c>
      <c r="AJ767" s="835">
        <v>39813</v>
      </c>
      <c r="AK767" s="831">
        <v>106630</v>
      </c>
      <c r="AP767" s="831" t="str">
        <f t="shared" si="34"/>
        <v/>
      </c>
    </row>
    <row r="768" spans="2:42">
      <c r="B768" s="834" t="str">
        <f t="shared" si="33"/>
        <v>|||</v>
      </c>
      <c r="H768" s="835">
        <f t="shared" si="35"/>
        <v>31</v>
      </c>
      <c r="AF768" s="831" t="s">
        <v>1454</v>
      </c>
      <c r="AG768" s="831" t="s">
        <v>57</v>
      </c>
      <c r="AH768" s="831" t="s">
        <v>47</v>
      </c>
      <c r="AI768" s="831">
        <v>0</v>
      </c>
      <c r="AJ768" s="835">
        <v>39813</v>
      </c>
      <c r="AK768" s="831">
        <v>0</v>
      </c>
      <c r="AP768" s="831" t="str">
        <f t="shared" si="34"/>
        <v/>
      </c>
    </row>
    <row r="769" spans="2:42">
      <c r="B769" s="834" t="str">
        <f t="shared" si="33"/>
        <v>|||</v>
      </c>
      <c r="H769" s="835">
        <f t="shared" si="35"/>
        <v>31</v>
      </c>
      <c r="AF769" s="831" t="s">
        <v>1455</v>
      </c>
      <c r="AG769" s="831" t="s">
        <v>57</v>
      </c>
      <c r="AH769" s="831" t="s">
        <v>102</v>
      </c>
      <c r="AI769" s="831">
        <v>0</v>
      </c>
      <c r="AJ769" s="835">
        <v>39813</v>
      </c>
      <c r="AK769" s="831">
        <v>0</v>
      </c>
      <c r="AP769" s="831" t="str">
        <f t="shared" si="34"/>
        <v/>
      </c>
    </row>
    <row r="770" spans="2:42">
      <c r="B770" s="834" t="str">
        <f t="shared" si="33"/>
        <v>|||</v>
      </c>
      <c r="H770" s="835">
        <f t="shared" si="35"/>
        <v>31</v>
      </c>
      <c r="AF770" s="831" t="s">
        <v>1456</v>
      </c>
      <c r="AG770" s="831" t="s">
        <v>57</v>
      </c>
      <c r="AH770" s="831" t="s">
        <v>68</v>
      </c>
      <c r="AI770" s="831">
        <v>0</v>
      </c>
      <c r="AJ770" s="835">
        <v>39844</v>
      </c>
      <c r="AK770" s="831">
        <v>169616947</v>
      </c>
      <c r="AP770" s="831" t="str">
        <f t="shared" si="34"/>
        <v/>
      </c>
    </row>
    <row r="771" spans="2:42">
      <c r="B771" s="834" t="str">
        <f t="shared" ref="B771:B834" si="36">C771&amp;"|"&amp;D771&amp;"|"&amp;E771&amp;"|"&amp;F771</f>
        <v>|||</v>
      </c>
      <c r="H771" s="835">
        <f t="shared" si="35"/>
        <v>31</v>
      </c>
      <c r="AF771" s="831" t="s">
        <v>1457</v>
      </c>
      <c r="AG771" s="831" t="s">
        <v>57</v>
      </c>
      <c r="AH771" s="831" t="s">
        <v>73</v>
      </c>
      <c r="AI771" s="831">
        <v>0</v>
      </c>
      <c r="AJ771" s="835">
        <v>39844</v>
      </c>
      <c r="AK771" s="831">
        <v>366200</v>
      </c>
      <c r="AP771" s="831" t="str">
        <f t="shared" ref="AP771:AP834" si="37">IF(AX771&lt;&gt;"",IF(OR(AX771=3,AX771=4),"Equity","Debt"),"")</f>
        <v/>
      </c>
    </row>
    <row r="772" spans="2:42">
      <c r="B772" s="834" t="str">
        <f t="shared" si="36"/>
        <v>|||</v>
      </c>
      <c r="H772" s="835">
        <f t="shared" ref="H772:H835" si="38">EOMONTH(L772,0)</f>
        <v>31</v>
      </c>
      <c r="AF772" s="831" t="s">
        <v>1458</v>
      </c>
      <c r="AG772" s="831" t="s">
        <v>57</v>
      </c>
      <c r="AH772" s="831" t="s">
        <v>78</v>
      </c>
      <c r="AI772" s="831">
        <v>0</v>
      </c>
      <c r="AJ772" s="835">
        <v>39844</v>
      </c>
      <c r="AK772" s="831">
        <v>1017210</v>
      </c>
      <c r="AP772" s="831" t="str">
        <f t="shared" si="37"/>
        <v/>
      </c>
    </row>
    <row r="773" spans="2:42">
      <c r="B773" s="834" t="str">
        <f t="shared" si="36"/>
        <v>|||</v>
      </c>
      <c r="H773" s="835">
        <f t="shared" si="38"/>
        <v>31</v>
      </c>
      <c r="AF773" s="831" t="s">
        <v>1459</v>
      </c>
      <c r="AG773" s="831" t="s">
        <v>57</v>
      </c>
      <c r="AH773" s="831" t="s">
        <v>83</v>
      </c>
      <c r="AI773" s="831">
        <v>0</v>
      </c>
      <c r="AJ773" s="835">
        <v>39844</v>
      </c>
      <c r="AK773" s="831">
        <v>338058</v>
      </c>
      <c r="AP773" s="831" t="str">
        <f t="shared" si="37"/>
        <v/>
      </c>
    </row>
    <row r="774" spans="2:42">
      <c r="B774" s="834" t="str">
        <f t="shared" si="36"/>
        <v>|||</v>
      </c>
      <c r="H774" s="835">
        <f t="shared" si="38"/>
        <v>31</v>
      </c>
      <c r="AF774" s="831" t="s">
        <v>1460</v>
      </c>
      <c r="AG774" s="831" t="s">
        <v>57</v>
      </c>
      <c r="AH774" s="831" t="s">
        <v>88</v>
      </c>
      <c r="AI774" s="831">
        <v>0</v>
      </c>
      <c r="AJ774" s="835">
        <v>39844</v>
      </c>
      <c r="AK774" s="831">
        <v>225372</v>
      </c>
      <c r="AP774" s="831" t="str">
        <f t="shared" si="37"/>
        <v/>
      </c>
    </row>
    <row r="775" spans="2:42">
      <c r="B775" s="834" t="str">
        <f t="shared" si="36"/>
        <v>|||</v>
      </c>
      <c r="H775" s="835">
        <f t="shared" si="38"/>
        <v>31</v>
      </c>
      <c r="AF775" s="831" t="s">
        <v>1461</v>
      </c>
      <c r="AG775" s="831" t="s">
        <v>57</v>
      </c>
      <c r="AH775" s="831" t="s">
        <v>92</v>
      </c>
      <c r="AI775" s="831">
        <v>0</v>
      </c>
      <c r="AJ775" s="835">
        <v>39844</v>
      </c>
      <c r="AK775" s="831">
        <v>269720</v>
      </c>
      <c r="AP775" s="831" t="str">
        <f t="shared" si="37"/>
        <v/>
      </c>
    </row>
    <row r="776" spans="2:42">
      <c r="B776" s="834" t="str">
        <f t="shared" si="36"/>
        <v>|||</v>
      </c>
      <c r="H776" s="835">
        <f t="shared" si="38"/>
        <v>31</v>
      </c>
      <c r="AF776" s="831" t="s">
        <v>1462</v>
      </c>
      <c r="AG776" s="831" t="s">
        <v>57</v>
      </c>
      <c r="AH776" s="831" t="s">
        <v>96</v>
      </c>
      <c r="AI776" s="831">
        <v>0</v>
      </c>
      <c r="AJ776" s="835">
        <v>39844</v>
      </c>
      <c r="AK776" s="831">
        <v>184060</v>
      </c>
      <c r="AP776" s="831" t="str">
        <f t="shared" si="37"/>
        <v/>
      </c>
    </row>
    <row r="777" spans="2:42">
      <c r="B777" s="834" t="str">
        <f t="shared" si="36"/>
        <v>|||</v>
      </c>
      <c r="H777" s="835">
        <f t="shared" si="38"/>
        <v>31</v>
      </c>
      <c r="AF777" s="831" t="s">
        <v>1463</v>
      </c>
      <c r="AG777" s="831" t="s">
        <v>57</v>
      </c>
      <c r="AH777" s="831" t="s">
        <v>30</v>
      </c>
      <c r="AI777" s="831">
        <v>0</v>
      </c>
      <c r="AJ777" s="835">
        <v>39844</v>
      </c>
      <c r="AK777" s="831">
        <v>123247</v>
      </c>
      <c r="AP777" s="831" t="str">
        <f t="shared" si="37"/>
        <v/>
      </c>
    </row>
    <row r="778" spans="2:42">
      <c r="B778" s="834" t="str">
        <f t="shared" si="36"/>
        <v>|||</v>
      </c>
      <c r="H778" s="835">
        <f t="shared" si="38"/>
        <v>31</v>
      </c>
      <c r="AF778" s="831" t="s">
        <v>1464</v>
      </c>
      <c r="AG778" s="831" t="s">
        <v>57</v>
      </c>
      <c r="AH778" s="831" t="s">
        <v>47</v>
      </c>
      <c r="AI778" s="831">
        <v>0</v>
      </c>
      <c r="AJ778" s="835">
        <v>39844</v>
      </c>
      <c r="AK778" s="831">
        <v>0</v>
      </c>
      <c r="AP778" s="831" t="str">
        <f t="shared" si="37"/>
        <v/>
      </c>
    </row>
    <row r="779" spans="2:42">
      <c r="B779" s="834" t="str">
        <f t="shared" si="36"/>
        <v>|||</v>
      </c>
      <c r="H779" s="835">
        <f t="shared" si="38"/>
        <v>31</v>
      </c>
      <c r="AF779" s="831" t="s">
        <v>1465</v>
      </c>
      <c r="AG779" s="831" t="s">
        <v>57</v>
      </c>
      <c r="AH779" s="831" t="s">
        <v>102</v>
      </c>
      <c r="AI779" s="831">
        <v>0</v>
      </c>
      <c r="AJ779" s="835">
        <v>39844</v>
      </c>
      <c r="AK779" s="831">
        <v>0</v>
      </c>
      <c r="AP779" s="831" t="str">
        <f t="shared" si="37"/>
        <v/>
      </c>
    </row>
    <row r="780" spans="2:42">
      <c r="B780" s="834" t="str">
        <f t="shared" si="36"/>
        <v>|||</v>
      </c>
      <c r="H780" s="835">
        <f t="shared" si="38"/>
        <v>31</v>
      </c>
      <c r="AF780" s="831" t="s">
        <v>1466</v>
      </c>
      <c r="AG780" s="831" t="s">
        <v>57</v>
      </c>
      <c r="AH780" s="831" t="s">
        <v>68</v>
      </c>
      <c r="AI780" s="831">
        <v>0</v>
      </c>
      <c r="AJ780" s="835">
        <v>39872</v>
      </c>
      <c r="AK780" s="831">
        <v>177718859</v>
      </c>
      <c r="AP780" s="831" t="str">
        <f t="shared" si="37"/>
        <v/>
      </c>
    </row>
    <row r="781" spans="2:42">
      <c r="B781" s="834" t="str">
        <f t="shared" si="36"/>
        <v>|||</v>
      </c>
      <c r="H781" s="835">
        <f t="shared" si="38"/>
        <v>31</v>
      </c>
      <c r="AF781" s="831" t="s">
        <v>1467</v>
      </c>
      <c r="AG781" s="831" t="s">
        <v>57</v>
      </c>
      <c r="AH781" s="831" t="s">
        <v>73</v>
      </c>
      <c r="AI781" s="831">
        <v>0</v>
      </c>
      <c r="AJ781" s="835">
        <v>39872</v>
      </c>
      <c r="AK781" s="831">
        <v>498420</v>
      </c>
      <c r="AP781" s="831" t="str">
        <f t="shared" si="37"/>
        <v/>
      </c>
    </row>
    <row r="782" spans="2:42">
      <c r="B782" s="834" t="str">
        <f t="shared" si="36"/>
        <v>|||</v>
      </c>
      <c r="H782" s="835">
        <f t="shared" si="38"/>
        <v>31</v>
      </c>
      <c r="AF782" s="831" t="s">
        <v>1468</v>
      </c>
      <c r="AG782" s="831" t="s">
        <v>57</v>
      </c>
      <c r="AH782" s="831" t="s">
        <v>78</v>
      </c>
      <c r="AI782" s="831">
        <v>0</v>
      </c>
      <c r="AJ782" s="835">
        <v>39872</v>
      </c>
      <c r="AK782" s="831">
        <v>1116580</v>
      </c>
      <c r="AP782" s="831" t="str">
        <f t="shared" si="37"/>
        <v/>
      </c>
    </row>
    <row r="783" spans="2:42">
      <c r="B783" s="834" t="str">
        <f t="shared" si="36"/>
        <v>|||</v>
      </c>
      <c r="H783" s="835">
        <f t="shared" si="38"/>
        <v>31</v>
      </c>
      <c r="AF783" s="831" t="s">
        <v>1469</v>
      </c>
      <c r="AG783" s="831" t="s">
        <v>57</v>
      </c>
      <c r="AH783" s="831" t="s">
        <v>83</v>
      </c>
      <c r="AI783" s="831">
        <v>0</v>
      </c>
      <c r="AJ783" s="835">
        <v>39872</v>
      </c>
      <c r="AK783" s="831">
        <v>88420</v>
      </c>
      <c r="AP783" s="831" t="str">
        <f t="shared" si="37"/>
        <v/>
      </c>
    </row>
    <row r="784" spans="2:42">
      <c r="B784" s="834" t="str">
        <f t="shared" si="36"/>
        <v>|||</v>
      </c>
      <c r="H784" s="835">
        <f t="shared" si="38"/>
        <v>31</v>
      </c>
      <c r="AF784" s="831" t="s">
        <v>1470</v>
      </c>
      <c r="AG784" s="831" t="s">
        <v>57</v>
      </c>
      <c r="AH784" s="831" t="s">
        <v>88</v>
      </c>
      <c r="AI784" s="831">
        <v>0</v>
      </c>
      <c r="AJ784" s="835">
        <v>39872</v>
      </c>
      <c r="AK784" s="831">
        <v>132630</v>
      </c>
      <c r="AP784" s="831" t="str">
        <f t="shared" si="37"/>
        <v/>
      </c>
    </row>
    <row r="785" spans="2:42">
      <c r="B785" s="834" t="str">
        <f t="shared" si="36"/>
        <v>|||</v>
      </c>
      <c r="H785" s="835">
        <f t="shared" si="38"/>
        <v>31</v>
      </c>
      <c r="AF785" s="831" t="s">
        <v>1471</v>
      </c>
      <c r="AG785" s="831" t="s">
        <v>57</v>
      </c>
      <c r="AH785" s="831" t="s">
        <v>92</v>
      </c>
      <c r="AI785" s="831">
        <v>0</v>
      </c>
      <c r="AJ785" s="835">
        <v>39872</v>
      </c>
      <c r="AK785" s="831">
        <v>511740</v>
      </c>
      <c r="AP785" s="831" t="str">
        <f t="shared" si="37"/>
        <v/>
      </c>
    </row>
    <row r="786" spans="2:42">
      <c r="B786" s="834" t="str">
        <f t="shared" si="36"/>
        <v>|||</v>
      </c>
      <c r="H786" s="835">
        <f t="shared" si="38"/>
        <v>31</v>
      </c>
      <c r="AF786" s="831" t="s">
        <v>1472</v>
      </c>
      <c r="AG786" s="831" t="s">
        <v>57</v>
      </c>
      <c r="AH786" s="831" t="s">
        <v>96</v>
      </c>
      <c r="AI786" s="831">
        <v>0</v>
      </c>
      <c r="AJ786" s="835">
        <v>39872</v>
      </c>
      <c r="AK786" s="831">
        <v>267690</v>
      </c>
      <c r="AP786" s="831" t="str">
        <f t="shared" si="37"/>
        <v/>
      </c>
    </row>
    <row r="787" spans="2:42">
      <c r="B787" s="834" t="str">
        <f t="shared" si="36"/>
        <v>|||</v>
      </c>
      <c r="H787" s="835">
        <f t="shared" si="38"/>
        <v>31</v>
      </c>
      <c r="AF787" s="831" t="s">
        <v>1473</v>
      </c>
      <c r="AG787" s="831" t="s">
        <v>57</v>
      </c>
      <c r="AH787" s="831" t="s">
        <v>30</v>
      </c>
      <c r="AI787" s="831">
        <v>0</v>
      </c>
      <c r="AJ787" s="835">
        <v>39872</v>
      </c>
      <c r="AK787" s="831">
        <v>247307</v>
      </c>
      <c r="AP787" s="831" t="str">
        <f t="shared" si="37"/>
        <v/>
      </c>
    </row>
    <row r="788" spans="2:42">
      <c r="B788" s="834" t="str">
        <f t="shared" si="36"/>
        <v>|||</v>
      </c>
      <c r="H788" s="835">
        <f t="shared" si="38"/>
        <v>31</v>
      </c>
      <c r="AF788" s="831" t="s">
        <v>1474</v>
      </c>
      <c r="AG788" s="831" t="s">
        <v>57</v>
      </c>
      <c r="AH788" s="831" t="s">
        <v>47</v>
      </c>
      <c r="AI788" s="831">
        <v>0</v>
      </c>
      <c r="AJ788" s="835">
        <v>39872</v>
      </c>
      <c r="AK788" s="831">
        <v>0</v>
      </c>
      <c r="AP788" s="831" t="str">
        <f t="shared" si="37"/>
        <v/>
      </c>
    </row>
    <row r="789" spans="2:42">
      <c r="B789" s="834" t="str">
        <f t="shared" si="36"/>
        <v>|||</v>
      </c>
      <c r="H789" s="835">
        <f t="shared" si="38"/>
        <v>31</v>
      </c>
      <c r="AF789" s="831" t="s">
        <v>1475</v>
      </c>
      <c r="AG789" s="831" t="s">
        <v>57</v>
      </c>
      <c r="AH789" s="831" t="s">
        <v>102</v>
      </c>
      <c r="AI789" s="831">
        <v>0</v>
      </c>
      <c r="AJ789" s="835">
        <v>39872</v>
      </c>
      <c r="AK789" s="831">
        <v>0</v>
      </c>
      <c r="AP789" s="831" t="str">
        <f t="shared" si="37"/>
        <v/>
      </c>
    </row>
    <row r="790" spans="2:42">
      <c r="B790" s="834" t="str">
        <f t="shared" si="36"/>
        <v>|||</v>
      </c>
      <c r="H790" s="835">
        <f t="shared" si="38"/>
        <v>31</v>
      </c>
      <c r="AF790" s="831" t="s">
        <v>1476</v>
      </c>
      <c r="AG790" s="831" t="s">
        <v>57</v>
      </c>
      <c r="AH790" s="831" t="s">
        <v>68</v>
      </c>
      <c r="AI790" s="831">
        <v>0</v>
      </c>
      <c r="AJ790" s="835">
        <v>39903</v>
      </c>
      <c r="AK790" s="831">
        <v>181309414</v>
      </c>
      <c r="AP790" s="831" t="str">
        <f t="shared" si="37"/>
        <v/>
      </c>
    </row>
    <row r="791" spans="2:42">
      <c r="B791" s="834" t="str">
        <f t="shared" si="36"/>
        <v>|||</v>
      </c>
      <c r="H791" s="835">
        <f t="shared" si="38"/>
        <v>31</v>
      </c>
      <c r="AF791" s="831" t="s">
        <v>1477</v>
      </c>
      <c r="AG791" s="831" t="s">
        <v>57</v>
      </c>
      <c r="AH791" s="831" t="s">
        <v>73</v>
      </c>
      <c r="AI791" s="831">
        <v>0</v>
      </c>
      <c r="AJ791" s="835">
        <v>39903</v>
      </c>
      <c r="AK791" s="831">
        <v>209780</v>
      </c>
      <c r="AP791" s="831" t="str">
        <f t="shared" si="37"/>
        <v/>
      </c>
    </row>
    <row r="792" spans="2:42">
      <c r="B792" s="834" t="str">
        <f t="shared" si="36"/>
        <v>|||</v>
      </c>
      <c r="H792" s="835">
        <f t="shared" si="38"/>
        <v>31</v>
      </c>
      <c r="AF792" s="831" t="s">
        <v>1478</v>
      </c>
      <c r="AG792" s="831" t="s">
        <v>57</v>
      </c>
      <c r="AH792" s="831" t="s">
        <v>78</v>
      </c>
      <c r="AI792" s="831">
        <v>0</v>
      </c>
      <c r="AJ792" s="835">
        <v>39903</v>
      </c>
      <c r="AK792" s="831">
        <v>1286600</v>
      </c>
      <c r="AP792" s="831" t="str">
        <f t="shared" si="37"/>
        <v/>
      </c>
    </row>
    <row r="793" spans="2:42">
      <c r="B793" s="834" t="str">
        <f t="shared" si="36"/>
        <v>|||</v>
      </c>
      <c r="H793" s="835">
        <f t="shared" si="38"/>
        <v>31</v>
      </c>
      <c r="AF793" s="831" t="s">
        <v>1479</v>
      </c>
      <c r="AG793" s="831" t="s">
        <v>57</v>
      </c>
      <c r="AH793" s="831" t="s">
        <v>83</v>
      </c>
      <c r="AI793" s="831">
        <v>0</v>
      </c>
      <c r="AJ793" s="835">
        <v>39903</v>
      </c>
      <c r="AK793" s="831">
        <v>179228</v>
      </c>
      <c r="AP793" s="831" t="str">
        <f t="shared" si="37"/>
        <v/>
      </c>
    </row>
    <row r="794" spans="2:42">
      <c r="B794" s="834" t="str">
        <f t="shared" si="36"/>
        <v>|||</v>
      </c>
      <c r="H794" s="835">
        <f t="shared" si="38"/>
        <v>31</v>
      </c>
      <c r="AF794" s="831" t="s">
        <v>1480</v>
      </c>
      <c r="AG794" s="831" t="s">
        <v>57</v>
      </c>
      <c r="AH794" s="831" t="s">
        <v>88</v>
      </c>
      <c r="AI794" s="831">
        <v>0</v>
      </c>
      <c r="AJ794" s="835">
        <v>39903</v>
      </c>
      <c r="AK794" s="831">
        <v>268842</v>
      </c>
      <c r="AP794" s="831" t="str">
        <f t="shared" si="37"/>
        <v/>
      </c>
    </row>
    <row r="795" spans="2:42">
      <c r="B795" s="834" t="str">
        <f t="shared" si="36"/>
        <v>|||</v>
      </c>
      <c r="H795" s="835">
        <f t="shared" si="38"/>
        <v>31</v>
      </c>
      <c r="AF795" s="831" t="s">
        <v>1481</v>
      </c>
      <c r="AG795" s="831" t="s">
        <v>57</v>
      </c>
      <c r="AH795" s="831" t="s">
        <v>92</v>
      </c>
      <c r="AI795" s="831">
        <v>0</v>
      </c>
      <c r="AJ795" s="835">
        <v>39903</v>
      </c>
      <c r="AK795" s="831">
        <v>581160</v>
      </c>
      <c r="AP795" s="831" t="str">
        <f t="shared" si="37"/>
        <v/>
      </c>
    </row>
    <row r="796" spans="2:42">
      <c r="B796" s="834" t="str">
        <f t="shared" si="36"/>
        <v>|||</v>
      </c>
      <c r="H796" s="835">
        <f t="shared" si="38"/>
        <v>31</v>
      </c>
      <c r="AF796" s="831" t="s">
        <v>1482</v>
      </c>
      <c r="AG796" s="831" t="s">
        <v>57</v>
      </c>
      <c r="AH796" s="831" t="s">
        <v>96</v>
      </c>
      <c r="AI796" s="831">
        <v>0</v>
      </c>
      <c r="AJ796" s="835">
        <v>39903</v>
      </c>
      <c r="AK796" s="831">
        <v>257380</v>
      </c>
      <c r="AP796" s="831" t="str">
        <f t="shared" si="37"/>
        <v/>
      </c>
    </row>
    <row r="797" spans="2:42">
      <c r="B797" s="834" t="str">
        <f t="shared" si="36"/>
        <v>|||</v>
      </c>
      <c r="H797" s="835">
        <f t="shared" si="38"/>
        <v>31</v>
      </c>
      <c r="AF797" s="831" t="s">
        <v>1483</v>
      </c>
      <c r="AG797" s="831" t="s">
        <v>57</v>
      </c>
      <c r="AH797" s="831" t="s">
        <v>30</v>
      </c>
      <c r="AI797" s="831">
        <v>0</v>
      </c>
      <c r="AJ797" s="835">
        <v>39903</v>
      </c>
      <c r="AK797" s="831">
        <v>372518</v>
      </c>
      <c r="AP797" s="831" t="str">
        <f t="shared" si="37"/>
        <v/>
      </c>
    </row>
    <row r="798" spans="2:42">
      <c r="B798" s="834" t="str">
        <f t="shared" si="36"/>
        <v>|||</v>
      </c>
      <c r="H798" s="835">
        <f t="shared" si="38"/>
        <v>31</v>
      </c>
      <c r="AF798" s="831" t="s">
        <v>1484</v>
      </c>
      <c r="AG798" s="831" t="s">
        <v>57</v>
      </c>
      <c r="AH798" s="831" t="s">
        <v>47</v>
      </c>
      <c r="AI798" s="831">
        <v>0</v>
      </c>
      <c r="AJ798" s="835">
        <v>39903</v>
      </c>
      <c r="AK798" s="831">
        <v>179021</v>
      </c>
      <c r="AP798" s="831" t="str">
        <f t="shared" si="37"/>
        <v/>
      </c>
    </row>
    <row r="799" spans="2:42">
      <c r="B799" s="834" t="str">
        <f t="shared" si="36"/>
        <v>|||</v>
      </c>
      <c r="H799" s="835">
        <f t="shared" si="38"/>
        <v>31</v>
      </c>
      <c r="AF799" s="831" t="s">
        <v>1485</v>
      </c>
      <c r="AG799" s="831" t="s">
        <v>57</v>
      </c>
      <c r="AH799" s="831" t="s">
        <v>102</v>
      </c>
      <c r="AI799" s="831">
        <v>0</v>
      </c>
      <c r="AJ799" s="835">
        <v>39903</v>
      </c>
      <c r="AK799" s="831">
        <v>0</v>
      </c>
      <c r="AP799" s="831" t="str">
        <f t="shared" si="37"/>
        <v/>
      </c>
    </row>
    <row r="800" spans="2:42">
      <c r="B800" s="834" t="str">
        <f t="shared" si="36"/>
        <v>|||</v>
      </c>
      <c r="H800" s="835">
        <f t="shared" si="38"/>
        <v>31</v>
      </c>
      <c r="AF800" s="831" t="s">
        <v>1486</v>
      </c>
      <c r="AG800" s="831" t="s">
        <v>57</v>
      </c>
      <c r="AH800" s="831" t="s">
        <v>68</v>
      </c>
      <c r="AI800" s="831">
        <v>0</v>
      </c>
      <c r="AJ800" s="835">
        <v>39933</v>
      </c>
      <c r="AK800" s="831">
        <v>188598720</v>
      </c>
      <c r="AP800" s="831" t="str">
        <f t="shared" si="37"/>
        <v/>
      </c>
    </row>
    <row r="801" spans="2:42">
      <c r="B801" s="834" t="str">
        <f t="shared" si="36"/>
        <v>|||</v>
      </c>
      <c r="H801" s="835">
        <f t="shared" si="38"/>
        <v>31</v>
      </c>
      <c r="AF801" s="831" t="s">
        <v>1487</v>
      </c>
      <c r="AG801" s="831" t="s">
        <v>57</v>
      </c>
      <c r="AH801" s="831" t="s">
        <v>73</v>
      </c>
      <c r="AI801" s="831">
        <v>0</v>
      </c>
      <c r="AJ801" s="835">
        <v>39933</v>
      </c>
      <c r="AK801" s="831">
        <v>386570</v>
      </c>
      <c r="AP801" s="831" t="str">
        <f t="shared" si="37"/>
        <v/>
      </c>
    </row>
    <row r="802" spans="2:42">
      <c r="B802" s="834" t="str">
        <f t="shared" si="36"/>
        <v>|||</v>
      </c>
      <c r="H802" s="835">
        <f t="shared" si="38"/>
        <v>31</v>
      </c>
      <c r="AF802" s="831" t="s">
        <v>1488</v>
      </c>
      <c r="AG802" s="831" t="s">
        <v>57</v>
      </c>
      <c r="AH802" s="831" t="s">
        <v>78</v>
      </c>
      <c r="AI802" s="831">
        <v>0</v>
      </c>
      <c r="AJ802" s="835">
        <v>39933</v>
      </c>
      <c r="AK802" s="831">
        <v>1421090</v>
      </c>
      <c r="AP802" s="831" t="str">
        <f t="shared" si="37"/>
        <v/>
      </c>
    </row>
    <row r="803" spans="2:42">
      <c r="B803" s="834" t="str">
        <f t="shared" si="36"/>
        <v>|||</v>
      </c>
      <c r="H803" s="835">
        <f t="shared" si="38"/>
        <v>31</v>
      </c>
      <c r="AF803" s="831" t="s">
        <v>1489</v>
      </c>
      <c r="AG803" s="831" t="s">
        <v>57</v>
      </c>
      <c r="AH803" s="831" t="s">
        <v>83</v>
      </c>
      <c r="AI803" s="831">
        <v>0</v>
      </c>
      <c r="AJ803" s="835">
        <v>39933</v>
      </c>
      <c r="AK803" s="831">
        <v>189612</v>
      </c>
      <c r="AP803" s="831" t="str">
        <f t="shared" si="37"/>
        <v/>
      </c>
    </row>
    <row r="804" spans="2:42">
      <c r="B804" s="834" t="str">
        <f t="shared" si="36"/>
        <v>|||</v>
      </c>
      <c r="H804" s="835">
        <f t="shared" si="38"/>
        <v>31</v>
      </c>
      <c r="AF804" s="831" t="s">
        <v>1490</v>
      </c>
      <c r="AG804" s="831" t="s">
        <v>57</v>
      </c>
      <c r="AH804" s="831" t="s">
        <v>88</v>
      </c>
      <c r="AI804" s="831">
        <v>0</v>
      </c>
      <c r="AJ804" s="835">
        <v>39933</v>
      </c>
      <c r="AK804" s="831">
        <v>284418</v>
      </c>
      <c r="AP804" s="831" t="str">
        <f t="shared" si="37"/>
        <v/>
      </c>
    </row>
    <row r="805" spans="2:42">
      <c r="B805" s="834" t="str">
        <f t="shared" si="36"/>
        <v>|||</v>
      </c>
      <c r="H805" s="835">
        <f t="shared" si="38"/>
        <v>31</v>
      </c>
      <c r="AF805" s="831" t="s">
        <v>1491</v>
      </c>
      <c r="AG805" s="831" t="s">
        <v>57</v>
      </c>
      <c r="AH805" s="831" t="s">
        <v>92</v>
      </c>
      <c r="AI805" s="831">
        <v>0</v>
      </c>
      <c r="AJ805" s="835">
        <v>39933</v>
      </c>
      <c r="AK805" s="831">
        <v>639340</v>
      </c>
      <c r="AP805" s="831" t="str">
        <f t="shared" si="37"/>
        <v/>
      </c>
    </row>
    <row r="806" spans="2:42">
      <c r="B806" s="834" t="str">
        <f t="shared" si="36"/>
        <v>|||</v>
      </c>
      <c r="H806" s="835">
        <f t="shared" si="38"/>
        <v>31</v>
      </c>
      <c r="AF806" s="831" t="s">
        <v>1492</v>
      </c>
      <c r="AG806" s="831" t="s">
        <v>57</v>
      </c>
      <c r="AH806" s="831" t="s">
        <v>96</v>
      </c>
      <c r="AI806" s="831">
        <v>0</v>
      </c>
      <c r="AJ806" s="835">
        <v>39933</v>
      </c>
      <c r="AK806" s="831">
        <v>307720</v>
      </c>
      <c r="AP806" s="831" t="str">
        <f t="shared" si="37"/>
        <v/>
      </c>
    </row>
    <row r="807" spans="2:42">
      <c r="B807" s="834" t="str">
        <f t="shared" si="36"/>
        <v>|||</v>
      </c>
      <c r="H807" s="835">
        <f t="shared" si="38"/>
        <v>31</v>
      </c>
      <c r="AF807" s="831" t="s">
        <v>1493</v>
      </c>
      <c r="AG807" s="831" t="s">
        <v>57</v>
      </c>
      <c r="AH807" s="831" t="s">
        <v>30</v>
      </c>
      <c r="AI807" s="831">
        <v>0</v>
      </c>
      <c r="AJ807" s="835">
        <v>39933</v>
      </c>
      <c r="AK807" s="831">
        <v>449522</v>
      </c>
      <c r="AP807" s="831" t="str">
        <f t="shared" si="37"/>
        <v/>
      </c>
    </row>
    <row r="808" spans="2:42">
      <c r="B808" s="834" t="str">
        <f t="shared" si="36"/>
        <v>|||</v>
      </c>
      <c r="H808" s="835">
        <f t="shared" si="38"/>
        <v>31</v>
      </c>
      <c r="AF808" s="831" t="s">
        <v>1494</v>
      </c>
      <c r="AG808" s="831" t="s">
        <v>57</v>
      </c>
      <c r="AH808" s="831" t="s">
        <v>47</v>
      </c>
      <c r="AI808" s="831">
        <v>0</v>
      </c>
      <c r="AJ808" s="835">
        <v>39933</v>
      </c>
      <c r="AK808" s="831">
        <v>0</v>
      </c>
      <c r="AP808" s="831" t="str">
        <f t="shared" si="37"/>
        <v/>
      </c>
    </row>
    <row r="809" spans="2:42">
      <c r="B809" s="834" t="str">
        <f t="shared" si="36"/>
        <v>|||</v>
      </c>
      <c r="H809" s="835">
        <f t="shared" si="38"/>
        <v>31</v>
      </c>
      <c r="AF809" s="831" t="s">
        <v>1495</v>
      </c>
      <c r="AG809" s="831" t="s">
        <v>57</v>
      </c>
      <c r="AH809" s="831" t="s">
        <v>102</v>
      </c>
      <c r="AI809" s="831">
        <v>0</v>
      </c>
      <c r="AJ809" s="835">
        <v>39933</v>
      </c>
      <c r="AK809" s="831">
        <v>0</v>
      </c>
      <c r="AP809" s="831" t="str">
        <f t="shared" si="37"/>
        <v/>
      </c>
    </row>
    <row r="810" spans="2:42">
      <c r="B810" s="834" t="str">
        <f t="shared" si="36"/>
        <v>|||</v>
      </c>
      <c r="H810" s="835">
        <f t="shared" si="38"/>
        <v>31</v>
      </c>
      <c r="AF810" s="831" t="s">
        <v>1496</v>
      </c>
      <c r="AG810" s="831" t="s">
        <v>57</v>
      </c>
      <c r="AH810" s="831" t="s">
        <v>68</v>
      </c>
      <c r="AI810" s="831">
        <v>0</v>
      </c>
      <c r="AJ810" s="835">
        <v>39964</v>
      </c>
      <c r="AK810" s="831">
        <v>193391422</v>
      </c>
      <c r="AP810" s="831" t="str">
        <f t="shared" si="37"/>
        <v/>
      </c>
    </row>
    <row r="811" spans="2:42">
      <c r="B811" s="834" t="str">
        <f t="shared" si="36"/>
        <v>|||</v>
      </c>
      <c r="H811" s="835">
        <f t="shared" si="38"/>
        <v>31</v>
      </c>
      <c r="AF811" s="831" t="s">
        <v>1497</v>
      </c>
      <c r="AG811" s="831" t="s">
        <v>57</v>
      </c>
      <c r="AH811" s="831" t="s">
        <v>73</v>
      </c>
      <c r="AI811" s="831">
        <v>0</v>
      </c>
      <c r="AJ811" s="835">
        <v>39964</v>
      </c>
      <c r="AK811" s="831">
        <v>578120</v>
      </c>
      <c r="AP811" s="831" t="str">
        <f t="shared" si="37"/>
        <v/>
      </c>
    </row>
    <row r="812" spans="2:42">
      <c r="B812" s="834" t="str">
        <f t="shared" si="36"/>
        <v>|||</v>
      </c>
      <c r="H812" s="835">
        <f t="shared" si="38"/>
        <v>31</v>
      </c>
      <c r="AF812" s="831" t="s">
        <v>1498</v>
      </c>
      <c r="AG812" s="831" t="s">
        <v>57</v>
      </c>
      <c r="AH812" s="831" t="s">
        <v>78</v>
      </c>
      <c r="AI812" s="831">
        <v>0</v>
      </c>
      <c r="AJ812" s="835">
        <v>39964</v>
      </c>
      <c r="AK812" s="831">
        <v>1550600</v>
      </c>
      <c r="AP812" s="831" t="str">
        <f t="shared" si="37"/>
        <v/>
      </c>
    </row>
    <row r="813" spans="2:42">
      <c r="B813" s="834" t="str">
        <f t="shared" si="36"/>
        <v>|||</v>
      </c>
      <c r="H813" s="835">
        <f t="shared" si="38"/>
        <v>31</v>
      </c>
      <c r="AF813" s="831" t="s">
        <v>1499</v>
      </c>
      <c r="AG813" s="831" t="s">
        <v>57</v>
      </c>
      <c r="AH813" s="831" t="s">
        <v>83</v>
      </c>
      <c r="AI813" s="831">
        <v>0</v>
      </c>
      <c r="AJ813" s="835">
        <v>39964</v>
      </c>
      <c r="AK813" s="831">
        <v>116852</v>
      </c>
      <c r="AP813" s="831" t="str">
        <f t="shared" si="37"/>
        <v/>
      </c>
    </row>
    <row r="814" spans="2:42">
      <c r="B814" s="834" t="str">
        <f t="shared" si="36"/>
        <v>|||</v>
      </c>
      <c r="H814" s="835">
        <f t="shared" si="38"/>
        <v>31</v>
      </c>
      <c r="AF814" s="831" t="s">
        <v>1500</v>
      </c>
      <c r="AG814" s="831" t="s">
        <v>57</v>
      </c>
      <c r="AH814" s="831" t="s">
        <v>88</v>
      </c>
      <c r="AI814" s="831">
        <v>0</v>
      </c>
      <c r="AJ814" s="835">
        <v>39964</v>
      </c>
      <c r="AK814" s="831">
        <v>175278</v>
      </c>
      <c r="AP814" s="831" t="str">
        <f t="shared" si="37"/>
        <v/>
      </c>
    </row>
    <row r="815" spans="2:42">
      <c r="B815" s="834" t="str">
        <f t="shared" si="36"/>
        <v>|||</v>
      </c>
      <c r="H815" s="835">
        <f t="shared" si="38"/>
        <v>31</v>
      </c>
      <c r="AF815" s="831" t="s">
        <v>1501</v>
      </c>
      <c r="AG815" s="831" t="s">
        <v>57</v>
      </c>
      <c r="AH815" s="831" t="s">
        <v>92</v>
      </c>
      <c r="AI815" s="831">
        <v>0</v>
      </c>
      <c r="AJ815" s="835">
        <v>39964</v>
      </c>
      <c r="AK815" s="831">
        <v>545990</v>
      </c>
      <c r="AP815" s="831" t="str">
        <f t="shared" si="37"/>
        <v/>
      </c>
    </row>
    <row r="816" spans="2:42">
      <c r="B816" s="834" t="str">
        <f t="shared" si="36"/>
        <v>|||</v>
      </c>
      <c r="H816" s="835">
        <f t="shared" si="38"/>
        <v>31</v>
      </c>
      <c r="AF816" s="831" t="s">
        <v>1502</v>
      </c>
      <c r="AG816" s="831" t="s">
        <v>57</v>
      </c>
      <c r="AH816" s="831" t="s">
        <v>96</v>
      </c>
      <c r="AI816" s="831">
        <v>0</v>
      </c>
      <c r="AJ816" s="835">
        <v>39964</v>
      </c>
      <c r="AK816" s="831">
        <v>712480</v>
      </c>
      <c r="AP816" s="831" t="str">
        <f t="shared" si="37"/>
        <v/>
      </c>
    </row>
    <row r="817" spans="2:42">
      <c r="B817" s="834" t="str">
        <f t="shared" si="36"/>
        <v>|||</v>
      </c>
      <c r="H817" s="835">
        <f t="shared" si="38"/>
        <v>31</v>
      </c>
      <c r="AF817" s="831" t="s">
        <v>1503</v>
      </c>
      <c r="AG817" s="831" t="s">
        <v>57</v>
      </c>
      <c r="AH817" s="831" t="s">
        <v>30</v>
      </c>
      <c r="AI817" s="831">
        <v>0</v>
      </c>
      <c r="AJ817" s="835">
        <v>39964</v>
      </c>
      <c r="AK817" s="831">
        <v>517560</v>
      </c>
      <c r="AP817" s="831" t="str">
        <f t="shared" si="37"/>
        <v/>
      </c>
    </row>
    <row r="818" spans="2:42">
      <c r="B818" s="834" t="str">
        <f t="shared" si="36"/>
        <v>|||</v>
      </c>
      <c r="H818" s="835">
        <f t="shared" si="38"/>
        <v>31</v>
      </c>
      <c r="AF818" s="831" t="s">
        <v>1504</v>
      </c>
      <c r="AG818" s="831" t="s">
        <v>57</v>
      </c>
      <c r="AH818" s="831" t="s">
        <v>47</v>
      </c>
      <c r="AI818" s="831">
        <v>0</v>
      </c>
      <c r="AJ818" s="835">
        <v>39964</v>
      </c>
      <c r="AK818" s="831">
        <v>0</v>
      </c>
      <c r="AP818" s="831" t="str">
        <f t="shared" si="37"/>
        <v/>
      </c>
    </row>
    <row r="819" spans="2:42">
      <c r="B819" s="834" t="str">
        <f t="shared" si="36"/>
        <v>|||</v>
      </c>
      <c r="H819" s="835">
        <f t="shared" si="38"/>
        <v>31</v>
      </c>
      <c r="AF819" s="831" t="s">
        <v>1505</v>
      </c>
      <c r="AG819" s="831" t="s">
        <v>57</v>
      </c>
      <c r="AH819" s="831" t="s">
        <v>102</v>
      </c>
      <c r="AI819" s="831">
        <v>0</v>
      </c>
      <c r="AJ819" s="835">
        <v>39964</v>
      </c>
      <c r="AK819" s="831">
        <v>0</v>
      </c>
      <c r="AP819" s="831" t="str">
        <f t="shared" si="37"/>
        <v/>
      </c>
    </row>
    <row r="820" spans="2:42">
      <c r="B820" s="834" t="str">
        <f t="shared" si="36"/>
        <v>|||</v>
      </c>
      <c r="H820" s="835">
        <f t="shared" si="38"/>
        <v>31</v>
      </c>
      <c r="AF820" s="831" t="s">
        <v>1506</v>
      </c>
      <c r="AG820" s="831" t="s">
        <v>57</v>
      </c>
      <c r="AH820" s="831" t="s">
        <v>68</v>
      </c>
      <c r="AI820" s="831">
        <v>0</v>
      </c>
      <c r="AJ820" s="835">
        <v>39994</v>
      </c>
      <c r="AK820" s="831">
        <v>197702028</v>
      </c>
      <c r="AP820" s="831" t="str">
        <f t="shared" si="37"/>
        <v/>
      </c>
    </row>
    <row r="821" spans="2:42">
      <c r="B821" s="834" t="str">
        <f t="shared" si="36"/>
        <v>|||</v>
      </c>
      <c r="H821" s="835">
        <f t="shared" si="38"/>
        <v>31</v>
      </c>
      <c r="AF821" s="831" t="s">
        <v>1507</v>
      </c>
      <c r="AG821" s="831" t="s">
        <v>57</v>
      </c>
      <c r="AH821" s="831" t="s">
        <v>73</v>
      </c>
      <c r="AI821" s="831">
        <v>0</v>
      </c>
      <c r="AJ821" s="835">
        <v>39994</v>
      </c>
      <c r="AK821" s="831">
        <v>237860</v>
      </c>
      <c r="AP821" s="831" t="str">
        <f t="shared" si="37"/>
        <v/>
      </c>
    </row>
    <row r="822" spans="2:42">
      <c r="B822" s="834" t="str">
        <f t="shared" si="36"/>
        <v>|||</v>
      </c>
      <c r="H822" s="835">
        <f t="shared" si="38"/>
        <v>31</v>
      </c>
      <c r="AF822" s="831" t="s">
        <v>1508</v>
      </c>
      <c r="AG822" s="831" t="s">
        <v>57</v>
      </c>
      <c r="AH822" s="831" t="s">
        <v>78</v>
      </c>
      <c r="AI822" s="831">
        <v>0</v>
      </c>
      <c r="AJ822" s="835">
        <v>39994</v>
      </c>
      <c r="AK822" s="831">
        <v>1658420</v>
      </c>
      <c r="AP822" s="831" t="str">
        <f t="shared" si="37"/>
        <v/>
      </c>
    </row>
    <row r="823" spans="2:42">
      <c r="B823" s="834" t="str">
        <f t="shared" si="36"/>
        <v>|||</v>
      </c>
      <c r="H823" s="835">
        <f t="shared" si="38"/>
        <v>31</v>
      </c>
      <c r="AF823" s="831" t="s">
        <v>1509</v>
      </c>
      <c r="AG823" s="831" t="s">
        <v>57</v>
      </c>
      <c r="AH823" s="831" t="s">
        <v>83</v>
      </c>
      <c r="AI823" s="831">
        <v>0</v>
      </c>
      <c r="AJ823" s="835">
        <v>39994</v>
      </c>
      <c r="AK823" s="831">
        <v>111352</v>
      </c>
      <c r="AP823" s="831" t="str">
        <f t="shared" si="37"/>
        <v/>
      </c>
    </row>
    <row r="824" spans="2:42">
      <c r="B824" s="834" t="str">
        <f t="shared" si="36"/>
        <v>|||</v>
      </c>
      <c r="H824" s="835">
        <f t="shared" si="38"/>
        <v>31</v>
      </c>
      <c r="AF824" s="831" t="s">
        <v>1510</v>
      </c>
      <c r="AG824" s="831" t="s">
        <v>57</v>
      </c>
      <c r="AH824" s="831" t="s">
        <v>88</v>
      </c>
      <c r="AI824" s="831">
        <v>0</v>
      </c>
      <c r="AJ824" s="835">
        <v>39994</v>
      </c>
      <c r="AK824" s="831">
        <v>167028</v>
      </c>
      <c r="AP824" s="831" t="str">
        <f t="shared" si="37"/>
        <v/>
      </c>
    </row>
    <row r="825" spans="2:42">
      <c r="B825" s="834" t="str">
        <f t="shared" si="36"/>
        <v>|||</v>
      </c>
      <c r="H825" s="835">
        <f t="shared" si="38"/>
        <v>31</v>
      </c>
      <c r="AF825" s="831" t="s">
        <v>1511</v>
      </c>
      <c r="AG825" s="831" t="s">
        <v>57</v>
      </c>
      <c r="AH825" s="831" t="s">
        <v>92</v>
      </c>
      <c r="AI825" s="831">
        <v>0</v>
      </c>
      <c r="AJ825" s="835">
        <v>39994</v>
      </c>
      <c r="AK825" s="831">
        <v>557880</v>
      </c>
      <c r="AP825" s="831" t="str">
        <f t="shared" si="37"/>
        <v/>
      </c>
    </row>
    <row r="826" spans="2:42">
      <c r="B826" s="834" t="str">
        <f t="shared" si="36"/>
        <v>|||</v>
      </c>
      <c r="H826" s="835">
        <f t="shared" si="38"/>
        <v>31</v>
      </c>
      <c r="AF826" s="831" t="s">
        <v>1512</v>
      </c>
      <c r="AG826" s="831" t="s">
        <v>57</v>
      </c>
      <c r="AH826" s="831" t="s">
        <v>96</v>
      </c>
      <c r="AI826" s="831">
        <v>0</v>
      </c>
      <c r="AJ826" s="835">
        <v>39994</v>
      </c>
      <c r="AK826" s="831">
        <v>822160</v>
      </c>
      <c r="AP826" s="831" t="str">
        <f t="shared" si="37"/>
        <v/>
      </c>
    </row>
    <row r="827" spans="2:42">
      <c r="B827" s="834" t="str">
        <f t="shared" si="36"/>
        <v>|||</v>
      </c>
      <c r="H827" s="835">
        <f t="shared" si="38"/>
        <v>31</v>
      </c>
      <c r="AF827" s="831" t="s">
        <v>1513</v>
      </c>
      <c r="AG827" s="831" t="s">
        <v>57</v>
      </c>
      <c r="AH827" s="831" t="s">
        <v>30</v>
      </c>
      <c r="AI827" s="831">
        <v>0</v>
      </c>
      <c r="AJ827" s="835">
        <v>39994</v>
      </c>
      <c r="AK827" s="831">
        <v>582897</v>
      </c>
      <c r="AP827" s="831" t="str">
        <f t="shared" si="37"/>
        <v/>
      </c>
    </row>
    <row r="828" spans="2:42">
      <c r="B828" s="834" t="str">
        <f t="shared" si="36"/>
        <v>|||</v>
      </c>
      <c r="H828" s="835">
        <f t="shared" si="38"/>
        <v>31</v>
      </c>
      <c r="AF828" s="831" t="s">
        <v>1514</v>
      </c>
      <c r="AG828" s="831" t="s">
        <v>57</v>
      </c>
      <c r="AH828" s="831" t="s">
        <v>47</v>
      </c>
      <c r="AI828" s="831">
        <v>0</v>
      </c>
      <c r="AJ828" s="835">
        <v>39994</v>
      </c>
      <c r="AK828" s="831">
        <v>0</v>
      </c>
      <c r="AP828" s="831" t="str">
        <f t="shared" si="37"/>
        <v/>
      </c>
    </row>
    <row r="829" spans="2:42">
      <c r="B829" s="834" t="str">
        <f t="shared" si="36"/>
        <v>|||</v>
      </c>
      <c r="H829" s="835">
        <f t="shared" si="38"/>
        <v>31</v>
      </c>
      <c r="AF829" s="831" t="s">
        <v>1515</v>
      </c>
      <c r="AG829" s="831" t="s">
        <v>57</v>
      </c>
      <c r="AH829" s="831" t="s">
        <v>102</v>
      </c>
      <c r="AI829" s="831">
        <v>0</v>
      </c>
      <c r="AJ829" s="835">
        <v>39994</v>
      </c>
      <c r="AK829" s="831">
        <v>0</v>
      </c>
      <c r="AP829" s="831" t="str">
        <f t="shared" si="37"/>
        <v/>
      </c>
    </row>
    <row r="830" spans="2:42">
      <c r="B830" s="834" t="str">
        <f t="shared" si="36"/>
        <v>|||</v>
      </c>
      <c r="H830" s="835">
        <f t="shared" si="38"/>
        <v>31</v>
      </c>
      <c r="AF830" s="831" t="s">
        <v>1516</v>
      </c>
      <c r="AG830" s="831" t="s">
        <v>57</v>
      </c>
      <c r="AH830" s="831" t="s">
        <v>68</v>
      </c>
      <c r="AI830" s="831">
        <v>0</v>
      </c>
      <c r="AJ830" s="835">
        <v>40025</v>
      </c>
      <c r="AK830" s="831">
        <v>203791118</v>
      </c>
      <c r="AP830" s="831" t="str">
        <f t="shared" si="37"/>
        <v/>
      </c>
    </row>
    <row r="831" spans="2:42">
      <c r="B831" s="834" t="str">
        <f t="shared" si="36"/>
        <v>|||</v>
      </c>
      <c r="H831" s="835">
        <f t="shared" si="38"/>
        <v>31</v>
      </c>
      <c r="AF831" s="831" t="s">
        <v>1517</v>
      </c>
      <c r="AG831" s="831" t="s">
        <v>57</v>
      </c>
      <c r="AH831" s="831" t="s">
        <v>73</v>
      </c>
      <c r="AI831" s="831">
        <v>0</v>
      </c>
      <c r="AJ831" s="835">
        <v>40025</v>
      </c>
      <c r="AK831" s="831">
        <v>424740</v>
      </c>
      <c r="AP831" s="831" t="str">
        <f t="shared" si="37"/>
        <v/>
      </c>
    </row>
    <row r="832" spans="2:42">
      <c r="B832" s="834" t="str">
        <f t="shared" si="36"/>
        <v>|||</v>
      </c>
      <c r="H832" s="835">
        <f t="shared" si="38"/>
        <v>31</v>
      </c>
      <c r="AF832" s="831" t="s">
        <v>1518</v>
      </c>
      <c r="AG832" s="831" t="s">
        <v>57</v>
      </c>
      <c r="AH832" s="831" t="s">
        <v>78</v>
      </c>
      <c r="AI832" s="831">
        <v>0</v>
      </c>
      <c r="AJ832" s="835">
        <v>40025</v>
      </c>
      <c r="AK832" s="831">
        <v>1576640</v>
      </c>
      <c r="AP832" s="831" t="str">
        <f t="shared" si="37"/>
        <v/>
      </c>
    </row>
    <row r="833" spans="2:42">
      <c r="B833" s="834" t="str">
        <f t="shared" si="36"/>
        <v>|||</v>
      </c>
      <c r="H833" s="835">
        <f t="shared" si="38"/>
        <v>31</v>
      </c>
      <c r="AF833" s="831" t="s">
        <v>1519</v>
      </c>
      <c r="AG833" s="831" t="s">
        <v>57</v>
      </c>
      <c r="AH833" s="831" t="s">
        <v>83</v>
      </c>
      <c r="AI833" s="831">
        <v>0</v>
      </c>
      <c r="AJ833" s="835">
        <v>40025</v>
      </c>
      <c r="AK833" s="831">
        <v>64400</v>
      </c>
      <c r="AP833" s="831" t="str">
        <f t="shared" si="37"/>
        <v/>
      </c>
    </row>
    <row r="834" spans="2:42">
      <c r="B834" s="834" t="str">
        <f t="shared" si="36"/>
        <v>|||</v>
      </c>
      <c r="H834" s="835">
        <f t="shared" si="38"/>
        <v>31</v>
      </c>
      <c r="AF834" s="831" t="s">
        <v>1520</v>
      </c>
      <c r="AG834" s="831" t="s">
        <v>57</v>
      </c>
      <c r="AH834" s="831" t="s">
        <v>88</v>
      </c>
      <c r="AI834" s="831">
        <v>0</v>
      </c>
      <c r="AJ834" s="835">
        <v>40025</v>
      </c>
      <c r="AK834" s="831">
        <v>96600</v>
      </c>
      <c r="AP834" s="831" t="str">
        <f t="shared" si="37"/>
        <v/>
      </c>
    </row>
    <row r="835" spans="2:42">
      <c r="B835" s="834" t="str">
        <f t="shared" ref="B835:B898" si="39">C835&amp;"|"&amp;D835&amp;"|"&amp;E835&amp;"|"&amp;F835</f>
        <v>|||</v>
      </c>
      <c r="H835" s="835">
        <f t="shared" si="38"/>
        <v>31</v>
      </c>
      <c r="AF835" s="831" t="s">
        <v>1521</v>
      </c>
      <c r="AG835" s="831" t="s">
        <v>57</v>
      </c>
      <c r="AH835" s="831" t="s">
        <v>92</v>
      </c>
      <c r="AI835" s="831">
        <v>0</v>
      </c>
      <c r="AJ835" s="835">
        <v>40025</v>
      </c>
      <c r="AK835" s="831">
        <v>572720</v>
      </c>
      <c r="AP835" s="831" t="str">
        <f t="shared" ref="AP835:AP898" si="40">IF(AX835&lt;&gt;"",IF(OR(AX835=3,AX835=4),"Equity","Debt"),"")</f>
        <v/>
      </c>
    </row>
    <row r="836" spans="2:42">
      <c r="B836" s="834" t="str">
        <f t="shared" si="39"/>
        <v>|||</v>
      </c>
      <c r="H836" s="835">
        <f t="shared" ref="H836:H899" si="41">EOMONTH(L836,0)</f>
        <v>31</v>
      </c>
      <c r="AF836" s="831" t="s">
        <v>1522</v>
      </c>
      <c r="AG836" s="831" t="s">
        <v>57</v>
      </c>
      <c r="AH836" s="831" t="s">
        <v>96</v>
      </c>
      <c r="AI836" s="831">
        <v>0</v>
      </c>
      <c r="AJ836" s="835">
        <v>40025</v>
      </c>
      <c r="AK836" s="831">
        <v>842920</v>
      </c>
      <c r="AP836" s="831" t="str">
        <f t="shared" si="40"/>
        <v/>
      </c>
    </row>
    <row r="837" spans="2:42">
      <c r="B837" s="834" t="str">
        <f t="shared" si="39"/>
        <v>|||</v>
      </c>
      <c r="H837" s="835">
        <f t="shared" si="41"/>
        <v>31</v>
      </c>
      <c r="AF837" s="831" t="s">
        <v>1523</v>
      </c>
      <c r="AG837" s="831" t="s">
        <v>57</v>
      </c>
      <c r="AH837" s="831" t="s">
        <v>30</v>
      </c>
      <c r="AI837" s="831">
        <v>0</v>
      </c>
      <c r="AJ837" s="835">
        <v>40025</v>
      </c>
      <c r="AK837" s="831">
        <v>714466</v>
      </c>
      <c r="AP837" s="831" t="str">
        <f t="shared" si="40"/>
        <v/>
      </c>
    </row>
    <row r="838" spans="2:42">
      <c r="B838" s="834" t="str">
        <f t="shared" si="39"/>
        <v>|||</v>
      </c>
      <c r="H838" s="835">
        <f t="shared" si="41"/>
        <v>31</v>
      </c>
      <c r="AF838" s="831" t="s">
        <v>1524</v>
      </c>
      <c r="AG838" s="831" t="s">
        <v>57</v>
      </c>
      <c r="AH838" s="831" t="s">
        <v>47</v>
      </c>
      <c r="AI838" s="831">
        <v>0</v>
      </c>
      <c r="AJ838" s="835">
        <v>40025</v>
      </c>
      <c r="AK838" s="831">
        <v>0</v>
      </c>
      <c r="AP838" s="831" t="str">
        <f t="shared" si="40"/>
        <v/>
      </c>
    </row>
    <row r="839" spans="2:42">
      <c r="B839" s="834" t="str">
        <f t="shared" si="39"/>
        <v>|||</v>
      </c>
      <c r="H839" s="835">
        <f t="shared" si="41"/>
        <v>31</v>
      </c>
      <c r="AF839" s="831" t="s">
        <v>1525</v>
      </c>
      <c r="AG839" s="831" t="s">
        <v>57</v>
      </c>
      <c r="AH839" s="831" t="s">
        <v>102</v>
      </c>
      <c r="AI839" s="831">
        <v>0</v>
      </c>
      <c r="AJ839" s="835">
        <v>40025</v>
      </c>
      <c r="AK839" s="831">
        <v>0</v>
      </c>
      <c r="AP839" s="831" t="str">
        <f t="shared" si="40"/>
        <v/>
      </c>
    </row>
    <row r="840" spans="2:42">
      <c r="B840" s="834" t="str">
        <f t="shared" si="39"/>
        <v>|||</v>
      </c>
      <c r="H840" s="835">
        <f t="shared" si="41"/>
        <v>31</v>
      </c>
      <c r="AF840" s="831" t="s">
        <v>1526</v>
      </c>
      <c r="AG840" s="831" t="s">
        <v>57</v>
      </c>
      <c r="AH840" s="831" t="s">
        <v>68</v>
      </c>
      <c r="AI840" s="831">
        <v>0</v>
      </c>
      <c r="AJ840" s="835">
        <v>40056</v>
      </c>
      <c r="AK840" s="831">
        <v>207625588</v>
      </c>
      <c r="AP840" s="831" t="str">
        <f t="shared" si="40"/>
        <v/>
      </c>
    </row>
    <row r="841" spans="2:42">
      <c r="B841" s="834" t="str">
        <f t="shared" si="39"/>
        <v>|||</v>
      </c>
      <c r="H841" s="835">
        <f t="shared" si="41"/>
        <v>31</v>
      </c>
      <c r="AF841" s="831" t="s">
        <v>1527</v>
      </c>
      <c r="AG841" s="831" t="s">
        <v>57</v>
      </c>
      <c r="AH841" s="831" t="s">
        <v>73</v>
      </c>
      <c r="AI841" s="831">
        <v>0</v>
      </c>
      <c r="AJ841" s="835">
        <v>40056</v>
      </c>
      <c r="AK841" s="831">
        <v>171770</v>
      </c>
      <c r="AP841" s="831" t="str">
        <f t="shared" si="40"/>
        <v/>
      </c>
    </row>
    <row r="842" spans="2:42">
      <c r="B842" s="834" t="str">
        <f t="shared" si="39"/>
        <v>|||</v>
      </c>
      <c r="H842" s="835">
        <f t="shared" si="41"/>
        <v>31</v>
      </c>
      <c r="AF842" s="831" t="s">
        <v>1528</v>
      </c>
      <c r="AG842" s="831" t="s">
        <v>57</v>
      </c>
      <c r="AH842" s="831" t="s">
        <v>78</v>
      </c>
      <c r="AI842" s="831">
        <v>0</v>
      </c>
      <c r="AJ842" s="835">
        <v>40056</v>
      </c>
      <c r="AK842" s="831">
        <v>1818450</v>
      </c>
      <c r="AP842" s="831" t="str">
        <f t="shared" si="40"/>
        <v/>
      </c>
    </row>
    <row r="843" spans="2:42">
      <c r="B843" s="834" t="str">
        <f t="shared" si="39"/>
        <v>|||</v>
      </c>
      <c r="H843" s="835">
        <f t="shared" si="41"/>
        <v>31</v>
      </c>
      <c r="AF843" s="831" t="s">
        <v>1529</v>
      </c>
      <c r="AG843" s="831" t="s">
        <v>57</v>
      </c>
      <c r="AH843" s="831" t="s">
        <v>83</v>
      </c>
      <c r="AI843" s="831">
        <v>0</v>
      </c>
      <c r="AJ843" s="835">
        <v>40056</v>
      </c>
      <c r="AK843" s="831">
        <v>175588</v>
      </c>
      <c r="AP843" s="831" t="str">
        <f t="shared" si="40"/>
        <v/>
      </c>
    </row>
    <row r="844" spans="2:42">
      <c r="B844" s="834" t="str">
        <f t="shared" si="39"/>
        <v>|||</v>
      </c>
      <c r="H844" s="835">
        <f t="shared" si="41"/>
        <v>31</v>
      </c>
      <c r="AF844" s="831" t="s">
        <v>1530</v>
      </c>
      <c r="AG844" s="831" t="s">
        <v>57</v>
      </c>
      <c r="AH844" s="831" t="s">
        <v>88</v>
      </c>
      <c r="AI844" s="831">
        <v>0</v>
      </c>
      <c r="AJ844" s="835">
        <v>40056</v>
      </c>
      <c r="AK844" s="831">
        <v>110042</v>
      </c>
      <c r="AP844" s="831" t="str">
        <f t="shared" si="40"/>
        <v/>
      </c>
    </row>
    <row r="845" spans="2:42">
      <c r="B845" s="834" t="str">
        <f t="shared" si="39"/>
        <v>|||</v>
      </c>
      <c r="H845" s="835">
        <f t="shared" si="41"/>
        <v>31</v>
      </c>
      <c r="AF845" s="831" t="s">
        <v>1531</v>
      </c>
      <c r="AG845" s="831" t="s">
        <v>57</v>
      </c>
      <c r="AH845" s="831" t="s">
        <v>92</v>
      </c>
      <c r="AI845" s="831">
        <v>0</v>
      </c>
      <c r="AJ845" s="835">
        <v>40056</v>
      </c>
      <c r="AK845" s="831">
        <v>381280</v>
      </c>
      <c r="AP845" s="831" t="str">
        <f t="shared" si="40"/>
        <v/>
      </c>
    </row>
    <row r="846" spans="2:42">
      <c r="B846" s="834" t="str">
        <f t="shared" si="39"/>
        <v>|||</v>
      </c>
      <c r="H846" s="835">
        <f t="shared" si="41"/>
        <v>31</v>
      </c>
      <c r="AF846" s="831" t="s">
        <v>1532</v>
      </c>
      <c r="AG846" s="831" t="s">
        <v>57</v>
      </c>
      <c r="AH846" s="831" t="s">
        <v>96</v>
      </c>
      <c r="AI846" s="831">
        <v>0</v>
      </c>
      <c r="AJ846" s="835">
        <v>40056</v>
      </c>
      <c r="AK846" s="831">
        <v>1151540</v>
      </c>
      <c r="AP846" s="831" t="str">
        <f t="shared" si="40"/>
        <v/>
      </c>
    </row>
    <row r="847" spans="2:42">
      <c r="B847" s="834" t="str">
        <f t="shared" si="39"/>
        <v>|||</v>
      </c>
      <c r="H847" s="835">
        <f t="shared" si="41"/>
        <v>31</v>
      </c>
      <c r="AF847" s="831" t="s">
        <v>1533</v>
      </c>
      <c r="AG847" s="831" t="s">
        <v>57</v>
      </c>
      <c r="AH847" s="831" t="s">
        <v>30</v>
      </c>
      <c r="AI847" s="831">
        <v>0</v>
      </c>
      <c r="AJ847" s="835">
        <v>40056</v>
      </c>
      <c r="AK847" s="831">
        <v>727454</v>
      </c>
      <c r="AP847" s="831" t="str">
        <f t="shared" si="40"/>
        <v/>
      </c>
    </row>
    <row r="848" spans="2:42">
      <c r="B848" s="834" t="str">
        <f t="shared" si="39"/>
        <v>|||</v>
      </c>
      <c r="H848" s="835">
        <f t="shared" si="41"/>
        <v>31</v>
      </c>
      <c r="AF848" s="831" t="s">
        <v>1534</v>
      </c>
      <c r="AG848" s="831" t="s">
        <v>57</v>
      </c>
      <c r="AH848" s="831" t="s">
        <v>47</v>
      </c>
      <c r="AI848" s="831">
        <v>0</v>
      </c>
      <c r="AJ848" s="835">
        <v>40056</v>
      </c>
      <c r="AK848" s="831">
        <v>179242</v>
      </c>
      <c r="AP848" s="831" t="str">
        <f t="shared" si="40"/>
        <v/>
      </c>
    </row>
    <row r="849" spans="2:42">
      <c r="B849" s="834" t="str">
        <f t="shared" si="39"/>
        <v>|||</v>
      </c>
      <c r="H849" s="835">
        <f t="shared" si="41"/>
        <v>31</v>
      </c>
      <c r="AF849" s="831" t="s">
        <v>1535</v>
      </c>
      <c r="AG849" s="831" t="s">
        <v>57</v>
      </c>
      <c r="AH849" s="831" t="s">
        <v>102</v>
      </c>
      <c r="AI849" s="831">
        <v>0</v>
      </c>
      <c r="AJ849" s="835">
        <v>40056</v>
      </c>
      <c r="AK849" s="831">
        <v>0</v>
      </c>
      <c r="AP849" s="831" t="str">
        <f t="shared" si="40"/>
        <v/>
      </c>
    </row>
    <row r="850" spans="2:42">
      <c r="B850" s="834" t="str">
        <f t="shared" si="39"/>
        <v>|||</v>
      </c>
      <c r="H850" s="835">
        <f t="shared" si="41"/>
        <v>31</v>
      </c>
      <c r="AF850" s="831" t="s">
        <v>1536</v>
      </c>
      <c r="AG850" s="831" t="s">
        <v>57</v>
      </c>
      <c r="AH850" s="831" t="s">
        <v>68</v>
      </c>
      <c r="AI850" s="831">
        <v>0</v>
      </c>
      <c r="AJ850" s="835">
        <v>40086</v>
      </c>
      <c r="AK850" s="831">
        <v>217283131</v>
      </c>
      <c r="AP850" s="831" t="str">
        <f t="shared" si="40"/>
        <v/>
      </c>
    </row>
    <row r="851" spans="2:42">
      <c r="B851" s="834" t="str">
        <f t="shared" si="39"/>
        <v>|||</v>
      </c>
      <c r="H851" s="835">
        <f t="shared" si="41"/>
        <v>31</v>
      </c>
      <c r="AF851" s="831" t="s">
        <v>1537</v>
      </c>
      <c r="AG851" s="831" t="s">
        <v>57</v>
      </c>
      <c r="AH851" s="831" t="s">
        <v>73</v>
      </c>
      <c r="AI851" s="831">
        <v>0</v>
      </c>
      <c r="AJ851" s="835">
        <v>40086</v>
      </c>
      <c r="AK851" s="831">
        <v>254890</v>
      </c>
      <c r="AP851" s="831" t="str">
        <f t="shared" si="40"/>
        <v/>
      </c>
    </row>
    <row r="852" spans="2:42">
      <c r="B852" s="834" t="str">
        <f t="shared" si="39"/>
        <v>|||</v>
      </c>
      <c r="H852" s="835">
        <f t="shared" si="41"/>
        <v>31</v>
      </c>
      <c r="AF852" s="831" t="s">
        <v>1538</v>
      </c>
      <c r="AG852" s="831" t="s">
        <v>57</v>
      </c>
      <c r="AH852" s="831" t="s">
        <v>78</v>
      </c>
      <c r="AI852" s="831">
        <v>0</v>
      </c>
      <c r="AJ852" s="835">
        <v>40086</v>
      </c>
      <c r="AK852" s="831">
        <v>1855860</v>
      </c>
      <c r="AP852" s="831" t="str">
        <f t="shared" si="40"/>
        <v/>
      </c>
    </row>
    <row r="853" spans="2:42">
      <c r="B853" s="834" t="str">
        <f t="shared" si="39"/>
        <v>|||</v>
      </c>
      <c r="H853" s="835">
        <f t="shared" si="41"/>
        <v>31</v>
      </c>
      <c r="AF853" s="831" t="s">
        <v>1539</v>
      </c>
      <c r="AG853" s="831" t="s">
        <v>57</v>
      </c>
      <c r="AH853" s="831" t="s">
        <v>83</v>
      </c>
      <c r="AI853" s="831">
        <v>0</v>
      </c>
      <c r="AJ853" s="835">
        <v>40086</v>
      </c>
      <c r="AK853" s="831">
        <v>77698</v>
      </c>
      <c r="AP853" s="831" t="str">
        <f t="shared" si="40"/>
        <v/>
      </c>
    </row>
    <row r="854" spans="2:42">
      <c r="B854" s="834" t="str">
        <f t="shared" si="39"/>
        <v>|||</v>
      </c>
      <c r="H854" s="835">
        <f t="shared" si="41"/>
        <v>31</v>
      </c>
      <c r="AF854" s="831" t="s">
        <v>1540</v>
      </c>
      <c r="AG854" s="831" t="s">
        <v>57</v>
      </c>
      <c r="AH854" s="831" t="s">
        <v>88</v>
      </c>
      <c r="AI854" s="831">
        <v>0</v>
      </c>
      <c r="AJ854" s="835">
        <v>40086</v>
      </c>
      <c r="AK854" s="831">
        <v>234212</v>
      </c>
      <c r="AP854" s="831" t="str">
        <f t="shared" si="40"/>
        <v/>
      </c>
    </row>
    <row r="855" spans="2:42">
      <c r="B855" s="834" t="str">
        <f t="shared" si="39"/>
        <v>|||</v>
      </c>
      <c r="H855" s="835">
        <f t="shared" si="41"/>
        <v>31</v>
      </c>
      <c r="AF855" s="831" t="s">
        <v>1541</v>
      </c>
      <c r="AG855" s="831" t="s">
        <v>57</v>
      </c>
      <c r="AH855" s="831" t="s">
        <v>92</v>
      </c>
      <c r="AI855" s="831">
        <v>0</v>
      </c>
      <c r="AJ855" s="835">
        <v>40086</v>
      </c>
      <c r="AK855" s="831">
        <v>287220</v>
      </c>
      <c r="AP855" s="831" t="str">
        <f t="shared" si="40"/>
        <v/>
      </c>
    </row>
    <row r="856" spans="2:42">
      <c r="B856" s="834" t="str">
        <f t="shared" si="39"/>
        <v>|||</v>
      </c>
      <c r="H856" s="835">
        <f t="shared" si="41"/>
        <v>31</v>
      </c>
      <c r="AF856" s="831" t="s">
        <v>1542</v>
      </c>
      <c r="AG856" s="831" t="s">
        <v>57</v>
      </c>
      <c r="AH856" s="831" t="s">
        <v>96</v>
      </c>
      <c r="AI856" s="831">
        <v>0</v>
      </c>
      <c r="AJ856" s="835">
        <v>40086</v>
      </c>
      <c r="AK856" s="831">
        <v>1256730</v>
      </c>
      <c r="AP856" s="831" t="str">
        <f t="shared" si="40"/>
        <v/>
      </c>
    </row>
    <row r="857" spans="2:42">
      <c r="B857" s="834" t="str">
        <f t="shared" si="39"/>
        <v>|||</v>
      </c>
      <c r="H857" s="835">
        <f t="shared" si="41"/>
        <v>31</v>
      </c>
      <c r="AF857" s="831" t="s">
        <v>1543</v>
      </c>
      <c r="AG857" s="831" t="s">
        <v>57</v>
      </c>
      <c r="AH857" s="831" t="s">
        <v>30</v>
      </c>
      <c r="AI857" s="831">
        <v>0</v>
      </c>
      <c r="AJ857" s="835">
        <v>40086</v>
      </c>
      <c r="AK857" s="831">
        <v>849303</v>
      </c>
      <c r="AP857" s="831" t="str">
        <f t="shared" si="40"/>
        <v/>
      </c>
    </row>
    <row r="858" spans="2:42">
      <c r="B858" s="834" t="str">
        <f t="shared" si="39"/>
        <v>|||</v>
      </c>
      <c r="H858" s="835">
        <f t="shared" si="41"/>
        <v>31</v>
      </c>
      <c r="AF858" s="831" t="s">
        <v>1544</v>
      </c>
      <c r="AG858" s="831" t="s">
        <v>57</v>
      </c>
      <c r="AH858" s="831" t="s">
        <v>47</v>
      </c>
      <c r="AI858" s="831">
        <v>0</v>
      </c>
      <c r="AJ858" s="835">
        <v>40086</v>
      </c>
      <c r="AK858" s="831">
        <v>179153</v>
      </c>
      <c r="AP858" s="831" t="str">
        <f t="shared" si="40"/>
        <v/>
      </c>
    </row>
    <row r="859" spans="2:42">
      <c r="B859" s="834" t="str">
        <f t="shared" si="39"/>
        <v>|||</v>
      </c>
      <c r="H859" s="835">
        <f t="shared" si="41"/>
        <v>31</v>
      </c>
      <c r="AF859" s="831" t="s">
        <v>1545</v>
      </c>
      <c r="AG859" s="831" t="s">
        <v>57</v>
      </c>
      <c r="AH859" s="831" t="s">
        <v>102</v>
      </c>
      <c r="AI859" s="831">
        <v>0</v>
      </c>
      <c r="AJ859" s="835">
        <v>40086</v>
      </c>
      <c r="AK859" s="831">
        <v>0</v>
      </c>
      <c r="AP859" s="831" t="str">
        <f t="shared" si="40"/>
        <v/>
      </c>
    </row>
    <row r="860" spans="2:42">
      <c r="B860" s="834" t="str">
        <f t="shared" si="39"/>
        <v>|||</v>
      </c>
      <c r="H860" s="835">
        <f t="shared" si="41"/>
        <v>31</v>
      </c>
      <c r="AF860" s="831" t="s">
        <v>1546</v>
      </c>
      <c r="AG860" s="831" t="s">
        <v>57</v>
      </c>
      <c r="AH860" s="831" t="s">
        <v>68</v>
      </c>
      <c r="AI860" s="831">
        <v>0</v>
      </c>
      <c r="AJ860" s="835">
        <v>40117</v>
      </c>
      <c r="AK860" s="831">
        <v>225578349</v>
      </c>
      <c r="AP860" s="831" t="str">
        <f t="shared" si="40"/>
        <v/>
      </c>
    </row>
    <row r="861" spans="2:42">
      <c r="B861" s="834" t="str">
        <f t="shared" si="39"/>
        <v>|||</v>
      </c>
      <c r="H861" s="835">
        <f t="shared" si="41"/>
        <v>31</v>
      </c>
      <c r="AF861" s="831" t="s">
        <v>1547</v>
      </c>
      <c r="AG861" s="831" t="s">
        <v>57</v>
      </c>
      <c r="AH861" s="831" t="s">
        <v>73</v>
      </c>
      <c r="AI861" s="831">
        <v>0</v>
      </c>
      <c r="AJ861" s="835">
        <v>40117</v>
      </c>
      <c r="AK861" s="831">
        <v>582350</v>
      </c>
      <c r="AP861" s="831" t="str">
        <f t="shared" si="40"/>
        <v/>
      </c>
    </row>
    <row r="862" spans="2:42">
      <c r="B862" s="834" t="str">
        <f t="shared" si="39"/>
        <v>|||</v>
      </c>
      <c r="H862" s="835">
        <f t="shared" si="41"/>
        <v>31</v>
      </c>
      <c r="AF862" s="831" t="s">
        <v>1548</v>
      </c>
      <c r="AG862" s="831" t="s">
        <v>57</v>
      </c>
      <c r="AH862" s="831" t="s">
        <v>78</v>
      </c>
      <c r="AI862" s="831">
        <v>0</v>
      </c>
      <c r="AJ862" s="835">
        <v>40117</v>
      </c>
      <c r="AK862" s="831">
        <v>1979000</v>
      </c>
      <c r="AP862" s="831" t="str">
        <f t="shared" si="40"/>
        <v/>
      </c>
    </row>
    <row r="863" spans="2:42">
      <c r="B863" s="834" t="str">
        <f t="shared" si="39"/>
        <v>|||</v>
      </c>
      <c r="H863" s="835">
        <f t="shared" si="41"/>
        <v>31</v>
      </c>
      <c r="AF863" s="831" t="s">
        <v>1549</v>
      </c>
      <c r="AG863" s="831" t="s">
        <v>57</v>
      </c>
      <c r="AH863" s="831" t="s">
        <v>83</v>
      </c>
      <c r="AI863" s="831">
        <v>0</v>
      </c>
      <c r="AJ863" s="835">
        <v>40117</v>
      </c>
      <c r="AK863" s="831">
        <v>132106</v>
      </c>
      <c r="AP863" s="831" t="str">
        <f t="shared" si="40"/>
        <v/>
      </c>
    </row>
    <row r="864" spans="2:42">
      <c r="B864" s="834" t="str">
        <f t="shared" si="39"/>
        <v>|||</v>
      </c>
      <c r="H864" s="835">
        <f t="shared" si="41"/>
        <v>31</v>
      </c>
      <c r="AF864" s="831" t="s">
        <v>1550</v>
      </c>
      <c r="AG864" s="831" t="s">
        <v>57</v>
      </c>
      <c r="AH864" s="831" t="s">
        <v>88</v>
      </c>
      <c r="AI864" s="831">
        <v>0</v>
      </c>
      <c r="AJ864" s="835">
        <v>40117</v>
      </c>
      <c r="AK864" s="831">
        <v>76637</v>
      </c>
      <c r="AP864" s="831" t="str">
        <f t="shared" si="40"/>
        <v/>
      </c>
    </row>
    <row r="865" spans="2:42">
      <c r="B865" s="834" t="str">
        <f t="shared" si="39"/>
        <v>|||</v>
      </c>
      <c r="H865" s="835">
        <f t="shared" si="41"/>
        <v>31</v>
      </c>
      <c r="AF865" s="831" t="s">
        <v>1551</v>
      </c>
      <c r="AG865" s="831" t="s">
        <v>57</v>
      </c>
      <c r="AH865" s="831" t="s">
        <v>92</v>
      </c>
      <c r="AI865" s="831">
        <v>0</v>
      </c>
      <c r="AJ865" s="835">
        <v>40117</v>
      </c>
      <c r="AK865" s="831">
        <v>382870</v>
      </c>
      <c r="AP865" s="831" t="str">
        <f t="shared" si="40"/>
        <v/>
      </c>
    </row>
    <row r="866" spans="2:42">
      <c r="B866" s="834" t="str">
        <f t="shared" si="39"/>
        <v>|||</v>
      </c>
      <c r="H866" s="835">
        <f t="shared" si="41"/>
        <v>31</v>
      </c>
      <c r="AF866" s="831" t="s">
        <v>1552</v>
      </c>
      <c r="AG866" s="831" t="s">
        <v>57</v>
      </c>
      <c r="AH866" s="831" t="s">
        <v>96</v>
      </c>
      <c r="AI866" s="831">
        <v>0</v>
      </c>
      <c r="AJ866" s="835">
        <v>40117</v>
      </c>
      <c r="AK866" s="831">
        <v>1387600</v>
      </c>
      <c r="AP866" s="831" t="str">
        <f t="shared" si="40"/>
        <v/>
      </c>
    </row>
    <row r="867" spans="2:42">
      <c r="B867" s="834" t="str">
        <f t="shared" si="39"/>
        <v>|||</v>
      </c>
      <c r="H867" s="835">
        <f t="shared" si="41"/>
        <v>31</v>
      </c>
      <c r="AF867" s="831" t="s">
        <v>1553</v>
      </c>
      <c r="AG867" s="831" t="s">
        <v>57</v>
      </c>
      <c r="AH867" s="831" t="s">
        <v>30</v>
      </c>
      <c r="AI867" s="831">
        <v>0</v>
      </c>
      <c r="AJ867" s="835">
        <v>40117</v>
      </c>
      <c r="AK867" s="831">
        <v>833028</v>
      </c>
      <c r="AP867" s="831" t="str">
        <f t="shared" si="40"/>
        <v/>
      </c>
    </row>
    <row r="868" spans="2:42">
      <c r="B868" s="834" t="str">
        <f t="shared" si="39"/>
        <v>|||</v>
      </c>
      <c r="H868" s="835">
        <f t="shared" si="41"/>
        <v>31</v>
      </c>
      <c r="AF868" s="831" t="s">
        <v>1554</v>
      </c>
      <c r="AG868" s="831" t="s">
        <v>57</v>
      </c>
      <c r="AH868" s="831" t="s">
        <v>47</v>
      </c>
      <c r="AI868" s="831">
        <v>0</v>
      </c>
      <c r="AJ868" s="835">
        <v>40117</v>
      </c>
      <c r="AK868" s="831">
        <v>179086</v>
      </c>
      <c r="AP868" s="831" t="str">
        <f t="shared" si="40"/>
        <v/>
      </c>
    </row>
    <row r="869" spans="2:42">
      <c r="B869" s="834" t="str">
        <f t="shared" si="39"/>
        <v>|||</v>
      </c>
      <c r="H869" s="835">
        <f t="shared" si="41"/>
        <v>31</v>
      </c>
      <c r="AF869" s="831" t="s">
        <v>1555</v>
      </c>
      <c r="AG869" s="831" t="s">
        <v>57</v>
      </c>
      <c r="AH869" s="831" t="s">
        <v>102</v>
      </c>
      <c r="AI869" s="831">
        <v>0</v>
      </c>
      <c r="AJ869" s="835">
        <v>40117</v>
      </c>
      <c r="AK869" s="831">
        <v>0</v>
      </c>
      <c r="AP869" s="831" t="str">
        <f t="shared" si="40"/>
        <v/>
      </c>
    </row>
    <row r="870" spans="2:42">
      <c r="B870" s="834" t="str">
        <f t="shared" si="39"/>
        <v>|||</v>
      </c>
      <c r="H870" s="835">
        <f t="shared" si="41"/>
        <v>31</v>
      </c>
      <c r="AF870" s="831" t="s">
        <v>1556</v>
      </c>
      <c r="AG870" s="831" t="s">
        <v>57</v>
      </c>
      <c r="AH870" s="831" t="s">
        <v>68</v>
      </c>
      <c r="AI870" s="831">
        <v>0</v>
      </c>
      <c r="AJ870" s="835">
        <v>40147</v>
      </c>
      <c r="AK870" s="831">
        <v>228893700</v>
      </c>
      <c r="AP870" s="831" t="str">
        <f t="shared" si="40"/>
        <v/>
      </c>
    </row>
    <row r="871" spans="2:42">
      <c r="B871" s="834" t="str">
        <f t="shared" si="39"/>
        <v>|||</v>
      </c>
      <c r="H871" s="835">
        <f t="shared" si="41"/>
        <v>31</v>
      </c>
      <c r="AF871" s="831" t="s">
        <v>1557</v>
      </c>
      <c r="AG871" s="831" t="s">
        <v>57</v>
      </c>
      <c r="AH871" s="831" t="s">
        <v>73</v>
      </c>
      <c r="AI871" s="831">
        <v>0</v>
      </c>
      <c r="AJ871" s="835">
        <v>40147</v>
      </c>
      <c r="AK871" s="831">
        <v>392870</v>
      </c>
      <c r="AP871" s="831" t="str">
        <f t="shared" si="40"/>
        <v/>
      </c>
    </row>
    <row r="872" spans="2:42">
      <c r="B872" s="834" t="str">
        <f t="shared" si="39"/>
        <v>|||</v>
      </c>
      <c r="H872" s="835">
        <f t="shared" si="41"/>
        <v>31</v>
      </c>
      <c r="AF872" s="831" t="s">
        <v>1558</v>
      </c>
      <c r="AG872" s="831" t="s">
        <v>57</v>
      </c>
      <c r="AH872" s="831" t="s">
        <v>78</v>
      </c>
      <c r="AI872" s="831">
        <v>0</v>
      </c>
      <c r="AJ872" s="835">
        <v>40147</v>
      </c>
      <c r="AK872" s="831">
        <v>2028460</v>
      </c>
      <c r="AP872" s="831" t="str">
        <f t="shared" si="40"/>
        <v/>
      </c>
    </row>
    <row r="873" spans="2:42">
      <c r="B873" s="834" t="str">
        <f t="shared" si="39"/>
        <v>|||</v>
      </c>
      <c r="H873" s="835">
        <f t="shared" si="41"/>
        <v>31</v>
      </c>
      <c r="AF873" s="831" t="s">
        <v>1559</v>
      </c>
      <c r="AG873" s="831" t="s">
        <v>57</v>
      </c>
      <c r="AH873" s="831" t="s">
        <v>83</v>
      </c>
      <c r="AI873" s="831">
        <v>0</v>
      </c>
      <c r="AJ873" s="835">
        <v>40147</v>
      </c>
      <c r="AK873" s="831">
        <v>127761</v>
      </c>
      <c r="AP873" s="831" t="str">
        <f t="shared" si="40"/>
        <v/>
      </c>
    </row>
    <row r="874" spans="2:42">
      <c r="B874" s="834" t="str">
        <f t="shared" si="39"/>
        <v>|||</v>
      </c>
      <c r="H874" s="835">
        <f t="shared" si="41"/>
        <v>31</v>
      </c>
      <c r="AF874" s="831" t="s">
        <v>1560</v>
      </c>
      <c r="AG874" s="831" t="s">
        <v>57</v>
      </c>
      <c r="AH874" s="831" t="s">
        <v>88</v>
      </c>
      <c r="AI874" s="831">
        <v>0</v>
      </c>
      <c r="AJ874" s="835">
        <v>40147</v>
      </c>
      <c r="AK874" s="831">
        <v>163859</v>
      </c>
      <c r="AP874" s="831" t="str">
        <f t="shared" si="40"/>
        <v/>
      </c>
    </row>
    <row r="875" spans="2:42">
      <c r="B875" s="834" t="str">
        <f t="shared" si="39"/>
        <v>|||</v>
      </c>
      <c r="H875" s="835">
        <f t="shared" si="41"/>
        <v>31</v>
      </c>
      <c r="AF875" s="831" t="s">
        <v>1561</v>
      </c>
      <c r="AG875" s="831" t="s">
        <v>57</v>
      </c>
      <c r="AH875" s="831" t="s">
        <v>92</v>
      </c>
      <c r="AI875" s="831">
        <v>0</v>
      </c>
      <c r="AJ875" s="835">
        <v>40147</v>
      </c>
      <c r="AK875" s="831">
        <v>239640</v>
      </c>
      <c r="AP875" s="831" t="str">
        <f t="shared" si="40"/>
        <v/>
      </c>
    </row>
    <row r="876" spans="2:42">
      <c r="B876" s="834" t="str">
        <f t="shared" si="39"/>
        <v>|||</v>
      </c>
      <c r="H876" s="835">
        <f t="shared" si="41"/>
        <v>31</v>
      </c>
      <c r="AF876" s="831" t="s">
        <v>1562</v>
      </c>
      <c r="AG876" s="831" t="s">
        <v>57</v>
      </c>
      <c r="AH876" s="831" t="s">
        <v>96</v>
      </c>
      <c r="AI876" s="831">
        <v>0</v>
      </c>
      <c r="AJ876" s="835">
        <v>40147</v>
      </c>
      <c r="AK876" s="831">
        <v>1497200</v>
      </c>
      <c r="AP876" s="831" t="str">
        <f t="shared" si="40"/>
        <v/>
      </c>
    </row>
    <row r="877" spans="2:42">
      <c r="B877" s="834" t="str">
        <f t="shared" si="39"/>
        <v>|||</v>
      </c>
      <c r="H877" s="835">
        <f t="shared" si="41"/>
        <v>31</v>
      </c>
      <c r="AF877" s="831" t="s">
        <v>1563</v>
      </c>
      <c r="AG877" s="831" t="s">
        <v>57</v>
      </c>
      <c r="AH877" s="831" t="s">
        <v>30</v>
      </c>
      <c r="AI877" s="831">
        <v>0</v>
      </c>
      <c r="AJ877" s="835">
        <v>40147</v>
      </c>
      <c r="AK877" s="831">
        <v>843044</v>
      </c>
      <c r="AP877" s="831" t="str">
        <f t="shared" si="40"/>
        <v/>
      </c>
    </row>
    <row r="878" spans="2:42">
      <c r="B878" s="834" t="str">
        <f t="shared" si="39"/>
        <v>|||</v>
      </c>
      <c r="H878" s="835">
        <f t="shared" si="41"/>
        <v>31</v>
      </c>
      <c r="AF878" s="831" t="s">
        <v>1564</v>
      </c>
      <c r="AG878" s="831" t="s">
        <v>57</v>
      </c>
      <c r="AH878" s="831" t="s">
        <v>47</v>
      </c>
      <c r="AI878" s="831">
        <v>0</v>
      </c>
      <c r="AJ878" s="835">
        <v>40147</v>
      </c>
      <c r="AK878" s="831">
        <v>178908</v>
      </c>
      <c r="AP878" s="831" t="str">
        <f t="shared" si="40"/>
        <v/>
      </c>
    </row>
    <row r="879" spans="2:42">
      <c r="B879" s="834" t="str">
        <f t="shared" si="39"/>
        <v>|||</v>
      </c>
      <c r="H879" s="835">
        <f t="shared" si="41"/>
        <v>31</v>
      </c>
      <c r="AF879" s="831" t="s">
        <v>1565</v>
      </c>
      <c r="AG879" s="831" t="s">
        <v>57</v>
      </c>
      <c r="AH879" s="831" t="s">
        <v>102</v>
      </c>
      <c r="AI879" s="831">
        <v>0</v>
      </c>
      <c r="AJ879" s="835">
        <v>40147</v>
      </c>
      <c r="AK879" s="831">
        <v>0</v>
      </c>
      <c r="AP879" s="831" t="str">
        <f t="shared" si="40"/>
        <v/>
      </c>
    </row>
    <row r="880" spans="2:42">
      <c r="B880" s="834" t="str">
        <f t="shared" si="39"/>
        <v>|||</v>
      </c>
      <c r="H880" s="835">
        <f t="shared" si="41"/>
        <v>31</v>
      </c>
      <c r="AF880" s="831" t="s">
        <v>1566</v>
      </c>
      <c r="AG880" s="831" t="s">
        <v>57</v>
      </c>
      <c r="AH880" s="831" t="s">
        <v>68</v>
      </c>
      <c r="AI880" s="831">
        <v>0</v>
      </c>
      <c r="AJ880" s="835">
        <v>40178</v>
      </c>
      <c r="AK880" s="831">
        <v>236126678</v>
      </c>
      <c r="AP880" s="831" t="str">
        <f t="shared" si="40"/>
        <v/>
      </c>
    </row>
    <row r="881" spans="2:42">
      <c r="B881" s="834" t="str">
        <f t="shared" si="39"/>
        <v>|||</v>
      </c>
      <c r="H881" s="835">
        <f t="shared" si="41"/>
        <v>31</v>
      </c>
      <c r="AF881" s="831" t="s">
        <v>1567</v>
      </c>
      <c r="AG881" s="831" t="s">
        <v>57</v>
      </c>
      <c r="AH881" s="831" t="s">
        <v>73</v>
      </c>
      <c r="AI881" s="831">
        <v>0</v>
      </c>
      <c r="AJ881" s="835">
        <v>40178</v>
      </c>
      <c r="AK881" s="831">
        <v>359240</v>
      </c>
      <c r="AP881" s="831" t="str">
        <f t="shared" si="40"/>
        <v/>
      </c>
    </row>
    <row r="882" spans="2:42">
      <c r="B882" s="834" t="str">
        <f t="shared" si="39"/>
        <v>|||</v>
      </c>
      <c r="H882" s="835">
        <f t="shared" si="41"/>
        <v>31</v>
      </c>
      <c r="AF882" s="831" t="s">
        <v>1568</v>
      </c>
      <c r="AG882" s="831" t="s">
        <v>57</v>
      </c>
      <c r="AH882" s="831" t="s">
        <v>78</v>
      </c>
      <c r="AI882" s="831">
        <v>0</v>
      </c>
      <c r="AJ882" s="835">
        <v>40178</v>
      </c>
      <c r="AK882" s="831">
        <v>2027570</v>
      </c>
      <c r="AP882" s="831" t="str">
        <f t="shared" si="40"/>
        <v/>
      </c>
    </row>
    <row r="883" spans="2:42">
      <c r="B883" s="834" t="str">
        <f t="shared" si="39"/>
        <v>|||</v>
      </c>
      <c r="H883" s="835">
        <f t="shared" si="41"/>
        <v>31</v>
      </c>
      <c r="AF883" s="831" t="s">
        <v>1569</v>
      </c>
      <c r="AG883" s="831" t="s">
        <v>57</v>
      </c>
      <c r="AH883" s="831" t="s">
        <v>83</v>
      </c>
      <c r="AI883" s="831">
        <v>0</v>
      </c>
      <c r="AJ883" s="835">
        <v>40178</v>
      </c>
      <c r="AK883" s="831">
        <v>81337</v>
      </c>
      <c r="AP883" s="831" t="str">
        <f t="shared" si="40"/>
        <v/>
      </c>
    </row>
    <row r="884" spans="2:42">
      <c r="B884" s="834" t="str">
        <f t="shared" si="39"/>
        <v>|||</v>
      </c>
      <c r="H884" s="835">
        <f t="shared" si="41"/>
        <v>31</v>
      </c>
      <c r="AF884" s="831" t="s">
        <v>1570</v>
      </c>
      <c r="AG884" s="831" t="s">
        <v>57</v>
      </c>
      <c r="AH884" s="831" t="s">
        <v>88</v>
      </c>
      <c r="AI884" s="831">
        <v>0</v>
      </c>
      <c r="AJ884" s="835">
        <v>40178</v>
      </c>
      <c r="AK884" s="831">
        <v>73603</v>
      </c>
      <c r="AP884" s="831" t="str">
        <f t="shared" si="40"/>
        <v/>
      </c>
    </row>
    <row r="885" spans="2:42">
      <c r="B885" s="834" t="str">
        <f t="shared" si="39"/>
        <v>|||</v>
      </c>
      <c r="H885" s="835">
        <f t="shared" si="41"/>
        <v>31</v>
      </c>
      <c r="AF885" s="831" t="s">
        <v>1571</v>
      </c>
      <c r="AG885" s="831" t="s">
        <v>57</v>
      </c>
      <c r="AH885" s="831" t="s">
        <v>92</v>
      </c>
      <c r="AI885" s="831">
        <v>0</v>
      </c>
      <c r="AJ885" s="835">
        <v>40178</v>
      </c>
      <c r="AK885" s="831">
        <v>343840</v>
      </c>
      <c r="AP885" s="831" t="str">
        <f t="shared" si="40"/>
        <v/>
      </c>
    </row>
    <row r="886" spans="2:42">
      <c r="B886" s="834" t="str">
        <f t="shared" si="39"/>
        <v>|||</v>
      </c>
      <c r="H886" s="835">
        <f t="shared" si="41"/>
        <v>31</v>
      </c>
      <c r="AF886" s="831" t="s">
        <v>1572</v>
      </c>
      <c r="AG886" s="831" t="s">
        <v>57</v>
      </c>
      <c r="AH886" s="831" t="s">
        <v>96</v>
      </c>
      <c r="AI886" s="831">
        <v>0</v>
      </c>
      <c r="AJ886" s="835">
        <v>40178</v>
      </c>
      <c r="AK886" s="831">
        <v>1528790</v>
      </c>
      <c r="AP886" s="831" t="str">
        <f t="shared" si="40"/>
        <v/>
      </c>
    </row>
    <row r="887" spans="2:42">
      <c r="B887" s="834" t="str">
        <f t="shared" si="39"/>
        <v>|||</v>
      </c>
      <c r="H887" s="835">
        <f t="shared" si="41"/>
        <v>31</v>
      </c>
      <c r="AF887" s="831" t="s">
        <v>1573</v>
      </c>
      <c r="AG887" s="831" t="s">
        <v>57</v>
      </c>
      <c r="AH887" s="831" t="s">
        <v>30</v>
      </c>
      <c r="AI887" s="831">
        <v>0</v>
      </c>
      <c r="AJ887" s="835">
        <v>40178</v>
      </c>
      <c r="AK887" s="831">
        <v>872285</v>
      </c>
      <c r="AP887" s="831" t="str">
        <f t="shared" si="40"/>
        <v/>
      </c>
    </row>
    <row r="888" spans="2:42">
      <c r="B888" s="834" t="str">
        <f t="shared" si="39"/>
        <v>|||</v>
      </c>
      <c r="H888" s="835">
        <f t="shared" si="41"/>
        <v>31</v>
      </c>
      <c r="AF888" s="831" t="s">
        <v>1574</v>
      </c>
      <c r="AG888" s="831" t="s">
        <v>57</v>
      </c>
      <c r="AH888" s="831" t="s">
        <v>47</v>
      </c>
      <c r="AI888" s="831">
        <v>0</v>
      </c>
      <c r="AJ888" s="835">
        <v>40178</v>
      </c>
      <c r="AK888" s="831">
        <v>179064</v>
      </c>
      <c r="AP888" s="831" t="str">
        <f t="shared" si="40"/>
        <v/>
      </c>
    </row>
    <row r="889" spans="2:42">
      <c r="B889" s="834" t="str">
        <f t="shared" si="39"/>
        <v>|||</v>
      </c>
      <c r="H889" s="835">
        <f t="shared" si="41"/>
        <v>31</v>
      </c>
      <c r="AF889" s="831" t="s">
        <v>1575</v>
      </c>
      <c r="AG889" s="831" t="s">
        <v>57</v>
      </c>
      <c r="AH889" s="831" t="s">
        <v>102</v>
      </c>
      <c r="AI889" s="831">
        <v>0</v>
      </c>
      <c r="AJ889" s="835">
        <v>40178</v>
      </c>
      <c r="AK889" s="831">
        <v>0</v>
      </c>
      <c r="AP889" s="831" t="str">
        <f t="shared" si="40"/>
        <v/>
      </c>
    </row>
    <row r="890" spans="2:42">
      <c r="B890" s="834" t="str">
        <f t="shared" si="39"/>
        <v>|||</v>
      </c>
      <c r="H890" s="835">
        <f t="shared" si="41"/>
        <v>31</v>
      </c>
      <c r="AF890" s="831" t="s">
        <v>1576</v>
      </c>
      <c r="AG890" s="831" t="s">
        <v>58</v>
      </c>
      <c r="AH890" s="831" t="s">
        <v>69</v>
      </c>
      <c r="AI890" s="831">
        <v>0</v>
      </c>
      <c r="AJ890" s="835">
        <v>39478</v>
      </c>
      <c r="AK890" s="831">
        <v>240</v>
      </c>
      <c r="AP890" s="831" t="str">
        <f t="shared" si="40"/>
        <v/>
      </c>
    </row>
    <row r="891" spans="2:42">
      <c r="B891" s="834" t="str">
        <f t="shared" si="39"/>
        <v>|||</v>
      </c>
      <c r="H891" s="835">
        <f t="shared" si="41"/>
        <v>31</v>
      </c>
      <c r="AF891" s="831" t="s">
        <v>1577</v>
      </c>
      <c r="AG891" s="831" t="s">
        <v>58</v>
      </c>
      <c r="AH891" s="831" t="s">
        <v>74</v>
      </c>
      <c r="AI891" s="831">
        <v>0</v>
      </c>
      <c r="AJ891" s="835">
        <v>39478</v>
      </c>
      <c r="AK891" s="831">
        <v>637</v>
      </c>
      <c r="AP891" s="831" t="str">
        <f t="shared" si="40"/>
        <v/>
      </c>
    </row>
    <row r="892" spans="2:42">
      <c r="B892" s="834" t="str">
        <f t="shared" si="39"/>
        <v>|||</v>
      </c>
      <c r="H892" s="835">
        <f t="shared" si="41"/>
        <v>31</v>
      </c>
      <c r="AF892" s="831" t="s">
        <v>1578</v>
      </c>
      <c r="AG892" s="831" t="s">
        <v>58</v>
      </c>
      <c r="AH892" s="831" t="s">
        <v>79</v>
      </c>
      <c r="AI892" s="831">
        <v>0</v>
      </c>
      <c r="AJ892" s="835">
        <v>39478</v>
      </c>
      <c r="AK892" s="831">
        <v>14</v>
      </c>
      <c r="AP892" s="831" t="str">
        <f t="shared" si="40"/>
        <v/>
      </c>
    </row>
    <row r="893" spans="2:42">
      <c r="B893" s="834" t="str">
        <f t="shared" si="39"/>
        <v>|||</v>
      </c>
      <c r="H893" s="835">
        <f t="shared" si="41"/>
        <v>31</v>
      </c>
      <c r="AF893" s="831" t="s">
        <v>1579</v>
      </c>
      <c r="AG893" s="831" t="s">
        <v>58</v>
      </c>
      <c r="AH893" s="831" t="s">
        <v>84</v>
      </c>
      <c r="AI893" s="831">
        <v>0</v>
      </c>
      <c r="AJ893" s="835">
        <v>39478</v>
      </c>
      <c r="AK893" s="831">
        <v>50772</v>
      </c>
      <c r="AP893" s="831" t="str">
        <f t="shared" si="40"/>
        <v/>
      </c>
    </row>
    <row r="894" spans="2:42">
      <c r="B894" s="834" t="str">
        <f t="shared" si="39"/>
        <v>|||</v>
      </c>
      <c r="H894" s="835">
        <f t="shared" si="41"/>
        <v>31</v>
      </c>
      <c r="AF894" s="831" t="s">
        <v>1580</v>
      </c>
      <c r="AG894" s="831" t="s">
        <v>58</v>
      </c>
      <c r="AH894" s="831" t="s">
        <v>89</v>
      </c>
      <c r="AI894" s="831">
        <v>0</v>
      </c>
      <c r="AJ894" s="835">
        <v>39478</v>
      </c>
      <c r="AK894" s="831">
        <v>49596</v>
      </c>
      <c r="AP894" s="831" t="str">
        <f t="shared" si="40"/>
        <v/>
      </c>
    </row>
    <row r="895" spans="2:42">
      <c r="B895" s="834" t="str">
        <f t="shared" si="39"/>
        <v>|||</v>
      </c>
      <c r="H895" s="835">
        <f t="shared" si="41"/>
        <v>31</v>
      </c>
      <c r="AF895" s="831" t="s">
        <v>1581</v>
      </c>
      <c r="AG895" s="831" t="s">
        <v>58</v>
      </c>
      <c r="AH895" s="831" t="s">
        <v>93</v>
      </c>
      <c r="AI895" s="831">
        <v>0</v>
      </c>
      <c r="AJ895" s="835">
        <v>39478</v>
      </c>
      <c r="AK895" s="831">
        <v>10876</v>
      </c>
      <c r="AP895" s="831" t="str">
        <f t="shared" si="40"/>
        <v/>
      </c>
    </row>
    <row r="896" spans="2:42">
      <c r="B896" s="834" t="str">
        <f t="shared" si="39"/>
        <v>|||</v>
      </c>
      <c r="H896" s="835">
        <f t="shared" si="41"/>
        <v>31</v>
      </c>
      <c r="AF896" s="831" t="s">
        <v>1582</v>
      </c>
      <c r="AG896" s="831" t="s">
        <v>58</v>
      </c>
      <c r="AH896" s="831" t="s">
        <v>69</v>
      </c>
      <c r="AI896" s="831">
        <v>0</v>
      </c>
      <c r="AJ896" s="835">
        <v>39507</v>
      </c>
      <c r="AK896" s="831">
        <v>249</v>
      </c>
      <c r="AP896" s="831" t="str">
        <f t="shared" si="40"/>
        <v/>
      </c>
    </row>
    <row r="897" spans="2:42">
      <c r="B897" s="834" t="str">
        <f t="shared" si="39"/>
        <v>|||</v>
      </c>
      <c r="H897" s="835">
        <f t="shared" si="41"/>
        <v>31</v>
      </c>
      <c r="AF897" s="831" t="s">
        <v>1583</v>
      </c>
      <c r="AG897" s="831" t="s">
        <v>58</v>
      </c>
      <c r="AH897" s="831" t="s">
        <v>74</v>
      </c>
      <c r="AI897" s="831">
        <v>0</v>
      </c>
      <c r="AJ897" s="835">
        <v>39507</v>
      </c>
      <c r="AK897" s="831">
        <v>643</v>
      </c>
      <c r="AP897" s="831" t="str">
        <f t="shared" si="40"/>
        <v/>
      </c>
    </row>
    <row r="898" spans="2:42">
      <c r="B898" s="834" t="str">
        <f t="shared" si="39"/>
        <v>|||</v>
      </c>
      <c r="H898" s="835">
        <f t="shared" si="41"/>
        <v>31</v>
      </c>
      <c r="AF898" s="831" t="s">
        <v>1584</v>
      </c>
      <c r="AG898" s="831" t="s">
        <v>58</v>
      </c>
      <c r="AH898" s="831" t="s">
        <v>79</v>
      </c>
      <c r="AI898" s="831">
        <v>0</v>
      </c>
      <c r="AJ898" s="835">
        <v>39507</v>
      </c>
      <c r="AK898" s="831">
        <v>14</v>
      </c>
      <c r="AP898" s="831" t="str">
        <f t="shared" si="40"/>
        <v/>
      </c>
    </row>
    <row r="899" spans="2:42">
      <c r="B899" s="834" t="str">
        <f t="shared" ref="B899:B962" si="42">C899&amp;"|"&amp;D899&amp;"|"&amp;E899&amp;"|"&amp;F899</f>
        <v>|||</v>
      </c>
      <c r="H899" s="835">
        <f t="shared" si="41"/>
        <v>31</v>
      </c>
      <c r="AF899" s="831" t="s">
        <v>1585</v>
      </c>
      <c r="AG899" s="831" t="s">
        <v>58</v>
      </c>
      <c r="AH899" s="831" t="s">
        <v>84</v>
      </c>
      <c r="AI899" s="831">
        <v>0</v>
      </c>
      <c r="AJ899" s="835">
        <v>39507</v>
      </c>
      <c r="AK899" s="831">
        <v>54423</v>
      </c>
      <c r="AP899" s="831" t="str">
        <f t="shared" ref="AP899:AP962" si="43">IF(AX899&lt;&gt;"",IF(OR(AX899=3,AX899=4),"Equity","Debt"),"")</f>
        <v/>
      </c>
    </row>
    <row r="900" spans="2:42">
      <c r="B900" s="834" t="str">
        <f t="shared" si="42"/>
        <v>|||</v>
      </c>
      <c r="H900" s="835">
        <f t="shared" ref="H900:H963" si="44">EOMONTH(L900,0)</f>
        <v>31</v>
      </c>
      <c r="AF900" s="831" t="s">
        <v>1586</v>
      </c>
      <c r="AG900" s="831" t="s">
        <v>58</v>
      </c>
      <c r="AH900" s="831" t="s">
        <v>89</v>
      </c>
      <c r="AI900" s="831">
        <v>0</v>
      </c>
      <c r="AJ900" s="835">
        <v>39507</v>
      </c>
      <c r="AK900" s="831">
        <v>53975</v>
      </c>
      <c r="AP900" s="831" t="str">
        <f t="shared" si="43"/>
        <v/>
      </c>
    </row>
    <row r="901" spans="2:42">
      <c r="B901" s="834" t="str">
        <f t="shared" si="42"/>
        <v>|||</v>
      </c>
      <c r="H901" s="835">
        <f t="shared" si="44"/>
        <v>31</v>
      </c>
      <c r="AF901" s="831" t="s">
        <v>1587</v>
      </c>
      <c r="AG901" s="831" t="s">
        <v>58</v>
      </c>
      <c r="AH901" s="831" t="s">
        <v>93</v>
      </c>
      <c r="AI901" s="831">
        <v>0</v>
      </c>
      <c r="AJ901" s="835">
        <v>39507</v>
      </c>
      <c r="AK901" s="831">
        <v>11613</v>
      </c>
      <c r="AP901" s="831" t="str">
        <f t="shared" si="43"/>
        <v/>
      </c>
    </row>
    <row r="902" spans="2:42">
      <c r="B902" s="834" t="str">
        <f t="shared" si="42"/>
        <v>|||</v>
      </c>
      <c r="H902" s="835">
        <f t="shared" si="44"/>
        <v>31</v>
      </c>
      <c r="AF902" s="831" t="s">
        <v>1588</v>
      </c>
      <c r="AG902" s="831" t="s">
        <v>58</v>
      </c>
      <c r="AH902" s="831" t="s">
        <v>69</v>
      </c>
      <c r="AI902" s="831">
        <v>0</v>
      </c>
      <c r="AJ902" s="835">
        <v>39538</v>
      </c>
      <c r="AK902" s="831">
        <v>261</v>
      </c>
      <c r="AP902" s="831" t="str">
        <f t="shared" si="43"/>
        <v/>
      </c>
    </row>
    <row r="903" spans="2:42">
      <c r="B903" s="834" t="str">
        <f t="shared" si="42"/>
        <v>|||</v>
      </c>
      <c r="H903" s="835">
        <f t="shared" si="44"/>
        <v>31</v>
      </c>
      <c r="AF903" s="831" t="s">
        <v>1589</v>
      </c>
      <c r="AG903" s="831" t="s">
        <v>58</v>
      </c>
      <c r="AH903" s="831" t="s">
        <v>74</v>
      </c>
      <c r="AI903" s="831">
        <v>0</v>
      </c>
      <c r="AJ903" s="835">
        <v>39538</v>
      </c>
      <c r="AK903" s="831">
        <v>667</v>
      </c>
      <c r="AP903" s="831" t="str">
        <f t="shared" si="43"/>
        <v/>
      </c>
    </row>
    <row r="904" spans="2:42">
      <c r="B904" s="834" t="str">
        <f t="shared" si="42"/>
        <v>|||</v>
      </c>
      <c r="H904" s="835">
        <f t="shared" si="44"/>
        <v>31</v>
      </c>
      <c r="AF904" s="831" t="s">
        <v>1590</v>
      </c>
      <c r="AG904" s="831" t="s">
        <v>58</v>
      </c>
      <c r="AH904" s="831" t="s">
        <v>79</v>
      </c>
      <c r="AI904" s="831">
        <v>0</v>
      </c>
      <c r="AJ904" s="835">
        <v>39538</v>
      </c>
      <c r="AK904" s="831">
        <v>15</v>
      </c>
      <c r="AP904" s="831" t="str">
        <f t="shared" si="43"/>
        <v/>
      </c>
    </row>
    <row r="905" spans="2:42">
      <c r="B905" s="834" t="str">
        <f t="shared" si="42"/>
        <v>|||</v>
      </c>
      <c r="H905" s="835">
        <f t="shared" si="44"/>
        <v>31</v>
      </c>
      <c r="AF905" s="831" t="s">
        <v>1591</v>
      </c>
      <c r="AG905" s="831" t="s">
        <v>58</v>
      </c>
      <c r="AH905" s="831" t="s">
        <v>84</v>
      </c>
      <c r="AI905" s="831">
        <v>0</v>
      </c>
      <c r="AJ905" s="835">
        <v>39538</v>
      </c>
      <c r="AK905" s="831">
        <v>56955</v>
      </c>
      <c r="AP905" s="831" t="str">
        <f t="shared" si="43"/>
        <v/>
      </c>
    </row>
    <row r="906" spans="2:42">
      <c r="B906" s="834" t="str">
        <f t="shared" si="42"/>
        <v>|||</v>
      </c>
      <c r="H906" s="835">
        <f t="shared" si="44"/>
        <v>31</v>
      </c>
      <c r="AF906" s="831" t="s">
        <v>1592</v>
      </c>
      <c r="AG906" s="831" t="s">
        <v>58</v>
      </c>
      <c r="AH906" s="831" t="s">
        <v>89</v>
      </c>
      <c r="AI906" s="831">
        <v>0</v>
      </c>
      <c r="AJ906" s="835">
        <v>39538</v>
      </c>
      <c r="AK906" s="831">
        <v>55456</v>
      </c>
      <c r="AP906" s="831" t="str">
        <f t="shared" si="43"/>
        <v/>
      </c>
    </row>
    <row r="907" spans="2:42">
      <c r="B907" s="834" t="str">
        <f t="shared" si="42"/>
        <v>|||</v>
      </c>
      <c r="H907" s="835">
        <f t="shared" si="44"/>
        <v>31</v>
      </c>
      <c r="AF907" s="831" t="s">
        <v>1593</v>
      </c>
      <c r="AG907" s="831" t="s">
        <v>58</v>
      </c>
      <c r="AH907" s="831" t="s">
        <v>93</v>
      </c>
      <c r="AI907" s="831">
        <v>0</v>
      </c>
      <c r="AJ907" s="835">
        <v>39538</v>
      </c>
      <c r="AK907" s="831">
        <v>12024</v>
      </c>
      <c r="AP907" s="831" t="str">
        <f t="shared" si="43"/>
        <v/>
      </c>
    </row>
    <row r="908" spans="2:42">
      <c r="B908" s="834" t="str">
        <f t="shared" si="42"/>
        <v>|||</v>
      </c>
      <c r="H908" s="835">
        <f t="shared" si="44"/>
        <v>31</v>
      </c>
      <c r="AF908" s="831" t="s">
        <v>1594</v>
      </c>
      <c r="AG908" s="831" t="s">
        <v>58</v>
      </c>
      <c r="AH908" s="831" t="s">
        <v>69</v>
      </c>
      <c r="AI908" s="831">
        <v>0</v>
      </c>
      <c r="AJ908" s="835">
        <v>39568</v>
      </c>
      <c r="AK908" s="831">
        <v>262</v>
      </c>
      <c r="AP908" s="831" t="str">
        <f t="shared" si="43"/>
        <v/>
      </c>
    </row>
    <row r="909" spans="2:42">
      <c r="B909" s="834" t="str">
        <f t="shared" si="42"/>
        <v>|||</v>
      </c>
      <c r="H909" s="835">
        <f t="shared" si="44"/>
        <v>31</v>
      </c>
      <c r="AF909" s="831" t="s">
        <v>1595</v>
      </c>
      <c r="AG909" s="831" t="s">
        <v>58</v>
      </c>
      <c r="AH909" s="831" t="s">
        <v>74</v>
      </c>
      <c r="AI909" s="831">
        <v>0</v>
      </c>
      <c r="AJ909" s="835">
        <v>39568</v>
      </c>
      <c r="AK909" s="831">
        <v>695</v>
      </c>
      <c r="AP909" s="831" t="str">
        <f t="shared" si="43"/>
        <v/>
      </c>
    </row>
    <row r="910" spans="2:42">
      <c r="B910" s="834" t="str">
        <f t="shared" si="42"/>
        <v>|||</v>
      </c>
      <c r="H910" s="835">
        <f t="shared" si="44"/>
        <v>31</v>
      </c>
      <c r="AF910" s="831" t="s">
        <v>1596</v>
      </c>
      <c r="AG910" s="831" t="s">
        <v>58</v>
      </c>
      <c r="AH910" s="831" t="s">
        <v>79</v>
      </c>
      <c r="AI910" s="831">
        <v>0</v>
      </c>
      <c r="AJ910" s="835">
        <v>39568</v>
      </c>
      <c r="AK910" s="831">
        <v>15</v>
      </c>
      <c r="AP910" s="831" t="str">
        <f t="shared" si="43"/>
        <v/>
      </c>
    </row>
    <row r="911" spans="2:42">
      <c r="B911" s="834" t="str">
        <f t="shared" si="42"/>
        <v>|||</v>
      </c>
      <c r="H911" s="835">
        <f t="shared" si="44"/>
        <v>31</v>
      </c>
      <c r="AF911" s="831" t="s">
        <v>1597</v>
      </c>
      <c r="AG911" s="831" t="s">
        <v>58</v>
      </c>
      <c r="AH911" s="831" t="s">
        <v>84</v>
      </c>
      <c r="AI911" s="831">
        <v>0</v>
      </c>
      <c r="AJ911" s="835">
        <v>39568</v>
      </c>
      <c r="AK911" s="831">
        <v>60650</v>
      </c>
      <c r="AP911" s="831" t="str">
        <f t="shared" si="43"/>
        <v/>
      </c>
    </row>
    <row r="912" spans="2:42">
      <c r="B912" s="834" t="str">
        <f t="shared" si="42"/>
        <v>|||</v>
      </c>
      <c r="H912" s="835">
        <f t="shared" si="44"/>
        <v>31</v>
      </c>
      <c r="AF912" s="831" t="s">
        <v>1598</v>
      </c>
      <c r="AG912" s="831" t="s">
        <v>58</v>
      </c>
      <c r="AH912" s="831" t="s">
        <v>89</v>
      </c>
      <c r="AI912" s="831">
        <v>0</v>
      </c>
      <c r="AJ912" s="835">
        <v>39568</v>
      </c>
      <c r="AK912" s="831">
        <v>58942</v>
      </c>
      <c r="AP912" s="831" t="str">
        <f t="shared" si="43"/>
        <v/>
      </c>
    </row>
    <row r="913" spans="2:42">
      <c r="B913" s="834" t="str">
        <f t="shared" si="42"/>
        <v>|||</v>
      </c>
      <c r="H913" s="835">
        <f t="shared" si="44"/>
        <v>31</v>
      </c>
      <c r="AF913" s="831" t="s">
        <v>1599</v>
      </c>
      <c r="AG913" s="831" t="s">
        <v>58</v>
      </c>
      <c r="AH913" s="831" t="s">
        <v>93</v>
      </c>
      <c r="AI913" s="831">
        <v>0</v>
      </c>
      <c r="AJ913" s="835">
        <v>39568</v>
      </c>
      <c r="AK913" s="831">
        <v>14066</v>
      </c>
      <c r="AP913" s="831" t="str">
        <f t="shared" si="43"/>
        <v/>
      </c>
    </row>
    <row r="914" spans="2:42">
      <c r="B914" s="834" t="str">
        <f t="shared" si="42"/>
        <v>|||</v>
      </c>
      <c r="H914" s="835">
        <f t="shared" si="44"/>
        <v>31</v>
      </c>
      <c r="AF914" s="831" t="s">
        <v>1600</v>
      </c>
      <c r="AG914" s="831" t="s">
        <v>58</v>
      </c>
      <c r="AH914" s="831" t="s">
        <v>69</v>
      </c>
      <c r="AI914" s="831">
        <v>0</v>
      </c>
      <c r="AJ914" s="835">
        <v>39599</v>
      </c>
      <c r="AK914" s="831">
        <v>264</v>
      </c>
      <c r="AP914" s="831" t="str">
        <f t="shared" si="43"/>
        <v/>
      </c>
    </row>
    <row r="915" spans="2:42">
      <c r="B915" s="834" t="str">
        <f t="shared" si="42"/>
        <v>|||</v>
      </c>
      <c r="H915" s="835">
        <f t="shared" si="44"/>
        <v>31</v>
      </c>
      <c r="AF915" s="831" t="s">
        <v>1601</v>
      </c>
      <c r="AG915" s="831" t="s">
        <v>58</v>
      </c>
      <c r="AH915" s="831" t="s">
        <v>74</v>
      </c>
      <c r="AI915" s="831">
        <v>0</v>
      </c>
      <c r="AJ915" s="835">
        <v>39599</v>
      </c>
      <c r="AK915" s="831">
        <v>704</v>
      </c>
      <c r="AP915" s="831" t="str">
        <f t="shared" si="43"/>
        <v/>
      </c>
    </row>
    <row r="916" spans="2:42">
      <c r="B916" s="834" t="str">
        <f t="shared" si="42"/>
        <v>|||</v>
      </c>
      <c r="H916" s="835">
        <f t="shared" si="44"/>
        <v>31</v>
      </c>
      <c r="AF916" s="831" t="s">
        <v>1602</v>
      </c>
      <c r="AG916" s="831" t="s">
        <v>58</v>
      </c>
      <c r="AH916" s="831" t="s">
        <v>79</v>
      </c>
      <c r="AI916" s="831">
        <v>0</v>
      </c>
      <c r="AJ916" s="835">
        <v>39599</v>
      </c>
      <c r="AK916" s="831">
        <v>15</v>
      </c>
      <c r="AP916" s="831" t="str">
        <f t="shared" si="43"/>
        <v/>
      </c>
    </row>
    <row r="917" spans="2:42">
      <c r="B917" s="834" t="str">
        <f t="shared" si="42"/>
        <v>|||</v>
      </c>
      <c r="H917" s="835">
        <f t="shared" si="44"/>
        <v>31</v>
      </c>
      <c r="AF917" s="831" t="s">
        <v>1603</v>
      </c>
      <c r="AG917" s="831" t="s">
        <v>58</v>
      </c>
      <c r="AH917" s="831" t="s">
        <v>84</v>
      </c>
      <c r="AI917" s="831">
        <v>0</v>
      </c>
      <c r="AJ917" s="835">
        <v>39599</v>
      </c>
      <c r="AK917" s="831">
        <v>64040</v>
      </c>
      <c r="AP917" s="831" t="str">
        <f t="shared" si="43"/>
        <v/>
      </c>
    </row>
    <row r="918" spans="2:42">
      <c r="B918" s="834" t="str">
        <f t="shared" si="42"/>
        <v>|||</v>
      </c>
      <c r="H918" s="835">
        <f t="shared" si="44"/>
        <v>31</v>
      </c>
      <c r="AF918" s="831" t="s">
        <v>1604</v>
      </c>
      <c r="AG918" s="831" t="s">
        <v>58</v>
      </c>
      <c r="AH918" s="831" t="s">
        <v>89</v>
      </c>
      <c r="AI918" s="831">
        <v>0</v>
      </c>
      <c r="AJ918" s="835">
        <v>39599</v>
      </c>
      <c r="AK918" s="831">
        <v>62160</v>
      </c>
      <c r="AP918" s="831" t="str">
        <f t="shared" si="43"/>
        <v/>
      </c>
    </row>
    <row r="919" spans="2:42">
      <c r="B919" s="834" t="str">
        <f t="shared" si="42"/>
        <v>|||</v>
      </c>
      <c r="H919" s="835">
        <f t="shared" si="44"/>
        <v>31</v>
      </c>
      <c r="AF919" s="831" t="s">
        <v>1605</v>
      </c>
      <c r="AG919" s="831" t="s">
        <v>58</v>
      </c>
      <c r="AH919" s="831" t="s">
        <v>93</v>
      </c>
      <c r="AI919" s="831">
        <v>0</v>
      </c>
      <c r="AJ919" s="835">
        <v>39599</v>
      </c>
      <c r="AK919" s="831">
        <v>14800</v>
      </c>
      <c r="AP919" s="831" t="str">
        <f t="shared" si="43"/>
        <v/>
      </c>
    </row>
    <row r="920" spans="2:42">
      <c r="B920" s="834" t="str">
        <f t="shared" si="42"/>
        <v>|||</v>
      </c>
      <c r="H920" s="835">
        <f t="shared" si="44"/>
        <v>31</v>
      </c>
      <c r="AF920" s="831" t="s">
        <v>1606</v>
      </c>
      <c r="AG920" s="831" t="s">
        <v>58</v>
      </c>
      <c r="AH920" s="831" t="s">
        <v>69</v>
      </c>
      <c r="AI920" s="831">
        <v>0</v>
      </c>
      <c r="AJ920" s="835">
        <v>39629</v>
      </c>
      <c r="AK920" s="831">
        <v>267</v>
      </c>
      <c r="AP920" s="831" t="str">
        <f t="shared" si="43"/>
        <v/>
      </c>
    </row>
    <row r="921" spans="2:42">
      <c r="B921" s="834" t="str">
        <f t="shared" si="42"/>
        <v>|||</v>
      </c>
      <c r="H921" s="835">
        <f t="shared" si="44"/>
        <v>31</v>
      </c>
      <c r="AF921" s="831" t="s">
        <v>1607</v>
      </c>
      <c r="AG921" s="831" t="s">
        <v>58</v>
      </c>
      <c r="AH921" s="831" t="s">
        <v>74</v>
      </c>
      <c r="AI921" s="831">
        <v>0</v>
      </c>
      <c r="AJ921" s="835">
        <v>39629</v>
      </c>
      <c r="AK921" s="831">
        <v>720</v>
      </c>
      <c r="AP921" s="831" t="str">
        <f t="shared" si="43"/>
        <v/>
      </c>
    </row>
    <row r="922" spans="2:42">
      <c r="B922" s="834" t="str">
        <f t="shared" si="42"/>
        <v>|||</v>
      </c>
      <c r="H922" s="835">
        <f t="shared" si="44"/>
        <v>31</v>
      </c>
      <c r="AF922" s="831" t="s">
        <v>1608</v>
      </c>
      <c r="AG922" s="831" t="s">
        <v>58</v>
      </c>
      <c r="AH922" s="831" t="s">
        <v>79</v>
      </c>
      <c r="AI922" s="831">
        <v>0</v>
      </c>
      <c r="AJ922" s="835">
        <v>39629</v>
      </c>
      <c r="AK922" s="831">
        <v>17</v>
      </c>
      <c r="AP922" s="831" t="str">
        <f t="shared" si="43"/>
        <v/>
      </c>
    </row>
    <row r="923" spans="2:42">
      <c r="B923" s="834" t="str">
        <f t="shared" si="42"/>
        <v>|||</v>
      </c>
      <c r="H923" s="835">
        <f t="shared" si="44"/>
        <v>31</v>
      </c>
      <c r="AF923" s="831" t="s">
        <v>1609</v>
      </c>
      <c r="AG923" s="831" t="s">
        <v>58</v>
      </c>
      <c r="AH923" s="831" t="s">
        <v>84</v>
      </c>
      <c r="AI923" s="831">
        <v>0</v>
      </c>
      <c r="AJ923" s="835">
        <v>39629</v>
      </c>
      <c r="AK923" s="831">
        <v>65836</v>
      </c>
      <c r="AP923" s="831" t="str">
        <f t="shared" si="43"/>
        <v/>
      </c>
    </row>
    <row r="924" spans="2:42">
      <c r="B924" s="834" t="str">
        <f t="shared" si="42"/>
        <v>|||</v>
      </c>
      <c r="H924" s="835">
        <f t="shared" si="44"/>
        <v>31</v>
      </c>
      <c r="AF924" s="831" t="s">
        <v>1610</v>
      </c>
      <c r="AG924" s="831" t="s">
        <v>58</v>
      </c>
      <c r="AH924" s="831" t="s">
        <v>89</v>
      </c>
      <c r="AI924" s="831">
        <v>0</v>
      </c>
      <c r="AJ924" s="835">
        <v>39629</v>
      </c>
      <c r="AK924" s="831">
        <v>63841</v>
      </c>
      <c r="AP924" s="831" t="str">
        <f t="shared" si="43"/>
        <v/>
      </c>
    </row>
    <row r="925" spans="2:42">
      <c r="B925" s="834" t="str">
        <f t="shared" si="42"/>
        <v>|||</v>
      </c>
      <c r="H925" s="835">
        <f t="shared" si="44"/>
        <v>31</v>
      </c>
      <c r="AF925" s="831" t="s">
        <v>1611</v>
      </c>
      <c r="AG925" s="831" t="s">
        <v>58</v>
      </c>
      <c r="AH925" s="831" t="s">
        <v>93</v>
      </c>
      <c r="AI925" s="831">
        <v>0</v>
      </c>
      <c r="AJ925" s="835">
        <v>39629</v>
      </c>
      <c r="AK925" s="831">
        <v>15778</v>
      </c>
      <c r="AP925" s="831" t="str">
        <f t="shared" si="43"/>
        <v/>
      </c>
    </row>
    <row r="926" spans="2:42">
      <c r="B926" s="834" t="str">
        <f t="shared" si="42"/>
        <v>|||</v>
      </c>
      <c r="H926" s="835">
        <f t="shared" si="44"/>
        <v>31</v>
      </c>
      <c r="AF926" s="831" t="s">
        <v>1612</v>
      </c>
      <c r="AG926" s="831" t="s">
        <v>58</v>
      </c>
      <c r="AH926" s="831" t="s">
        <v>69</v>
      </c>
      <c r="AI926" s="831">
        <v>0</v>
      </c>
      <c r="AJ926" s="835">
        <v>39660</v>
      </c>
      <c r="AK926" s="831">
        <v>269</v>
      </c>
      <c r="AP926" s="831" t="str">
        <f t="shared" si="43"/>
        <v/>
      </c>
    </row>
    <row r="927" spans="2:42">
      <c r="B927" s="834" t="str">
        <f t="shared" si="42"/>
        <v>|||</v>
      </c>
      <c r="H927" s="835">
        <f t="shared" si="44"/>
        <v>31</v>
      </c>
      <c r="AF927" s="831" t="s">
        <v>1613</v>
      </c>
      <c r="AG927" s="831" t="s">
        <v>58</v>
      </c>
      <c r="AH927" s="831" t="s">
        <v>74</v>
      </c>
      <c r="AI927" s="831">
        <v>0</v>
      </c>
      <c r="AJ927" s="835">
        <v>39660</v>
      </c>
      <c r="AK927" s="831">
        <v>748</v>
      </c>
      <c r="AP927" s="831" t="str">
        <f t="shared" si="43"/>
        <v/>
      </c>
    </row>
    <row r="928" spans="2:42">
      <c r="B928" s="834" t="str">
        <f t="shared" si="42"/>
        <v>|||</v>
      </c>
      <c r="H928" s="835">
        <f t="shared" si="44"/>
        <v>31</v>
      </c>
      <c r="AF928" s="831" t="s">
        <v>1614</v>
      </c>
      <c r="AG928" s="831" t="s">
        <v>58</v>
      </c>
      <c r="AH928" s="831" t="s">
        <v>79</v>
      </c>
      <c r="AI928" s="831">
        <v>0</v>
      </c>
      <c r="AJ928" s="835">
        <v>39660</v>
      </c>
      <c r="AK928" s="831">
        <v>18</v>
      </c>
      <c r="AP928" s="831" t="str">
        <f t="shared" si="43"/>
        <v/>
      </c>
    </row>
    <row r="929" spans="2:42">
      <c r="B929" s="834" t="str">
        <f t="shared" si="42"/>
        <v>|||</v>
      </c>
      <c r="H929" s="835">
        <f t="shared" si="44"/>
        <v>31</v>
      </c>
      <c r="AF929" s="831" t="s">
        <v>1615</v>
      </c>
      <c r="AG929" s="831" t="s">
        <v>58</v>
      </c>
      <c r="AH929" s="831" t="s">
        <v>84</v>
      </c>
      <c r="AI929" s="831">
        <v>0</v>
      </c>
      <c r="AJ929" s="835">
        <v>39660</v>
      </c>
      <c r="AK929" s="831">
        <v>67943</v>
      </c>
      <c r="AP929" s="831" t="str">
        <f t="shared" si="43"/>
        <v/>
      </c>
    </row>
    <row r="930" spans="2:42">
      <c r="B930" s="834" t="str">
        <f t="shared" si="42"/>
        <v>|||</v>
      </c>
      <c r="H930" s="835">
        <f t="shared" si="44"/>
        <v>31</v>
      </c>
      <c r="AF930" s="831" t="s">
        <v>1616</v>
      </c>
      <c r="AG930" s="831" t="s">
        <v>58</v>
      </c>
      <c r="AH930" s="831" t="s">
        <v>89</v>
      </c>
      <c r="AI930" s="831">
        <v>0</v>
      </c>
      <c r="AJ930" s="835">
        <v>39660</v>
      </c>
      <c r="AK930" s="831">
        <v>65857</v>
      </c>
      <c r="AP930" s="831" t="str">
        <f t="shared" si="43"/>
        <v/>
      </c>
    </row>
    <row r="931" spans="2:42">
      <c r="B931" s="834" t="str">
        <f t="shared" si="42"/>
        <v>|||</v>
      </c>
      <c r="H931" s="835">
        <f t="shared" si="44"/>
        <v>31</v>
      </c>
      <c r="AF931" s="831" t="s">
        <v>1617</v>
      </c>
      <c r="AG931" s="831" t="s">
        <v>58</v>
      </c>
      <c r="AH931" s="831" t="s">
        <v>93</v>
      </c>
      <c r="AI931" s="831">
        <v>0</v>
      </c>
      <c r="AJ931" s="835">
        <v>39660</v>
      </c>
      <c r="AK931" s="831">
        <v>17019</v>
      </c>
      <c r="AP931" s="831" t="str">
        <f t="shared" si="43"/>
        <v/>
      </c>
    </row>
    <row r="932" spans="2:42">
      <c r="B932" s="834" t="str">
        <f t="shared" si="42"/>
        <v>|||</v>
      </c>
      <c r="H932" s="835">
        <f t="shared" si="44"/>
        <v>31</v>
      </c>
      <c r="AF932" s="831" t="s">
        <v>1618</v>
      </c>
      <c r="AG932" s="831" t="s">
        <v>58</v>
      </c>
      <c r="AH932" s="831" t="s">
        <v>69</v>
      </c>
      <c r="AI932" s="831">
        <v>0</v>
      </c>
      <c r="AJ932" s="835">
        <v>39691</v>
      </c>
      <c r="AK932" s="831">
        <v>271</v>
      </c>
      <c r="AP932" s="831" t="str">
        <f t="shared" si="43"/>
        <v/>
      </c>
    </row>
    <row r="933" spans="2:42">
      <c r="B933" s="834" t="str">
        <f t="shared" si="42"/>
        <v>|||</v>
      </c>
      <c r="H933" s="835">
        <f t="shared" si="44"/>
        <v>31</v>
      </c>
      <c r="AF933" s="831" t="s">
        <v>1619</v>
      </c>
      <c r="AG933" s="831" t="s">
        <v>58</v>
      </c>
      <c r="AH933" s="831" t="s">
        <v>74</v>
      </c>
      <c r="AI933" s="831">
        <v>0</v>
      </c>
      <c r="AJ933" s="835">
        <v>39691</v>
      </c>
      <c r="AK933" s="831">
        <v>780</v>
      </c>
      <c r="AP933" s="831" t="str">
        <f t="shared" si="43"/>
        <v/>
      </c>
    </row>
    <row r="934" spans="2:42">
      <c r="B934" s="834" t="str">
        <f t="shared" si="42"/>
        <v>|||</v>
      </c>
      <c r="H934" s="835">
        <f t="shared" si="44"/>
        <v>31</v>
      </c>
      <c r="AF934" s="831" t="s">
        <v>1620</v>
      </c>
      <c r="AG934" s="831" t="s">
        <v>58</v>
      </c>
      <c r="AH934" s="831" t="s">
        <v>79</v>
      </c>
      <c r="AI934" s="831">
        <v>0</v>
      </c>
      <c r="AJ934" s="835">
        <v>39691</v>
      </c>
      <c r="AK934" s="831">
        <v>18</v>
      </c>
      <c r="AP934" s="831" t="str">
        <f t="shared" si="43"/>
        <v/>
      </c>
    </row>
    <row r="935" spans="2:42">
      <c r="B935" s="834" t="str">
        <f t="shared" si="42"/>
        <v>|||</v>
      </c>
      <c r="H935" s="835">
        <f t="shared" si="44"/>
        <v>31</v>
      </c>
      <c r="AF935" s="831" t="s">
        <v>1621</v>
      </c>
      <c r="AG935" s="831" t="s">
        <v>58</v>
      </c>
      <c r="AH935" s="831" t="s">
        <v>84</v>
      </c>
      <c r="AI935" s="831">
        <v>0</v>
      </c>
      <c r="AJ935" s="835">
        <v>39691</v>
      </c>
      <c r="AK935" s="831">
        <v>69681</v>
      </c>
      <c r="AP935" s="831" t="str">
        <f t="shared" si="43"/>
        <v/>
      </c>
    </row>
    <row r="936" spans="2:42">
      <c r="B936" s="834" t="str">
        <f t="shared" si="42"/>
        <v>|||</v>
      </c>
      <c r="H936" s="835">
        <f t="shared" si="44"/>
        <v>31</v>
      </c>
      <c r="AF936" s="831" t="s">
        <v>1622</v>
      </c>
      <c r="AG936" s="831" t="s">
        <v>58</v>
      </c>
      <c r="AH936" s="831" t="s">
        <v>89</v>
      </c>
      <c r="AI936" s="831">
        <v>0</v>
      </c>
      <c r="AJ936" s="835">
        <v>39691</v>
      </c>
      <c r="AK936" s="831">
        <v>67540</v>
      </c>
      <c r="AP936" s="831" t="str">
        <f t="shared" si="43"/>
        <v/>
      </c>
    </row>
    <row r="937" spans="2:42">
      <c r="B937" s="834" t="str">
        <f t="shared" si="42"/>
        <v>|||</v>
      </c>
      <c r="H937" s="835">
        <f t="shared" si="44"/>
        <v>31</v>
      </c>
      <c r="AF937" s="831" t="s">
        <v>1623</v>
      </c>
      <c r="AG937" s="831" t="s">
        <v>58</v>
      </c>
      <c r="AH937" s="831" t="s">
        <v>93</v>
      </c>
      <c r="AI937" s="831">
        <v>0</v>
      </c>
      <c r="AJ937" s="835">
        <v>39691</v>
      </c>
      <c r="AK937" s="831">
        <v>17023</v>
      </c>
      <c r="AP937" s="831" t="str">
        <f t="shared" si="43"/>
        <v/>
      </c>
    </row>
    <row r="938" spans="2:42">
      <c r="B938" s="834" t="str">
        <f t="shared" si="42"/>
        <v>|||</v>
      </c>
      <c r="H938" s="835">
        <f t="shared" si="44"/>
        <v>31</v>
      </c>
      <c r="AF938" s="831" t="s">
        <v>1624</v>
      </c>
      <c r="AG938" s="831" t="s">
        <v>58</v>
      </c>
      <c r="AH938" s="831" t="s">
        <v>69</v>
      </c>
      <c r="AI938" s="831">
        <v>0</v>
      </c>
      <c r="AJ938" s="835">
        <v>39721</v>
      </c>
      <c r="AK938" s="831">
        <v>278</v>
      </c>
      <c r="AP938" s="831" t="str">
        <f t="shared" si="43"/>
        <v/>
      </c>
    </row>
    <row r="939" spans="2:42">
      <c r="B939" s="834" t="str">
        <f t="shared" si="42"/>
        <v>|||</v>
      </c>
      <c r="H939" s="835">
        <f t="shared" si="44"/>
        <v>31</v>
      </c>
      <c r="AF939" s="831" t="s">
        <v>1625</v>
      </c>
      <c r="AG939" s="831" t="s">
        <v>58</v>
      </c>
      <c r="AH939" s="831" t="s">
        <v>74</v>
      </c>
      <c r="AI939" s="831">
        <v>0</v>
      </c>
      <c r="AJ939" s="835">
        <v>39721</v>
      </c>
      <c r="AK939" s="831">
        <v>790</v>
      </c>
      <c r="AP939" s="831" t="str">
        <f t="shared" si="43"/>
        <v/>
      </c>
    </row>
    <row r="940" spans="2:42">
      <c r="B940" s="834" t="str">
        <f t="shared" si="42"/>
        <v>|||</v>
      </c>
      <c r="H940" s="835">
        <f t="shared" si="44"/>
        <v>31</v>
      </c>
      <c r="AF940" s="831" t="s">
        <v>1626</v>
      </c>
      <c r="AG940" s="831" t="s">
        <v>58</v>
      </c>
      <c r="AH940" s="831" t="s">
        <v>79</v>
      </c>
      <c r="AI940" s="831">
        <v>0</v>
      </c>
      <c r="AJ940" s="835">
        <v>39721</v>
      </c>
      <c r="AK940" s="831">
        <v>18</v>
      </c>
      <c r="AP940" s="831" t="str">
        <f t="shared" si="43"/>
        <v/>
      </c>
    </row>
    <row r="941" spans="2:42">
      <c r="B941" s="834" t="str">
        <f t="shared" si="42"/>
        <v>|||</v>
      </c>
      <c r="H941" s="835">
        <f t="shared" si="44"/>
        <v>31</v>
      </c>
      <c r="AF941" s="831" t="s">
        <v>1627</v>
      </c>
      <c r="AG941" s="831" t="s">
        <v>58</v>
      </c>
      <c r="AH941" s="831" t="s">
        <v>84</v>
      </c>
      <c r="AI941" s="831">
        <v>0</v>
      </c>
      <c r="AJ941" s="835">
        <v>39721</v>
      </c>
      <c r="AK941" s="831">
        <v>70109</v>
      </c>
      <c r="AP941" s="831" t="str">
        <f t="shared" si="43"/>
        <v/>
      </c>
    </row>
    <row r="942" spans="2:42">
      <c r="B942" s="834" t="str">
        <f t="shared" si="42"/>
        <v>|||</v>
      </c>
      <c r="H942" s="835">
        <f t="shared" si="44"/>
        <v>31</v>
      </c>
      <c r="AF942" s="831" t="s">
        <v>1628</v>
      </c>
      <c r="AG942" s="831" t="s">
        <v>58</v>
      </c>
      <c r="AH942" s="831" t="s">
        <v>89</v>
      </c>
      <c r="AI942" s="831">
        <v>0</v>
      </c>
      <c r="AJ942" s="835">
        <v>39721</v>
      </c>
      <c r="AK942" s="831">
        <v>68049</v>
      </c>
      <c r="AP942" s="831" t="str">
        <f t="shared" si="43"/>
        <v/>
      </c>
    </row>
    <row r="943" spans="2:42">
      <c r="B943" s="834" t="str">
        <f t="shared" si="42"/>
        <v>|||</v>
      </c>
      <c r="H943" s="835">
        <f t="shared" si="44"/>
        <v>31</v>
      </c>
      <c r="AF943" s="831" t="s">
        <v>1629</v>
      </c>
      <c r="AG943" s="831" t="s">
        <v>58</v>
      </c>
      <c r="AH943" s="831" t="s">
        <v>93</v>
      </c>
      <c r="AI943" s="831">
        <v>0</v>
      </c>
      <c r="AJ943" s="835">
        <v>39721</v>
      </c>
      <c r="AK943" s="831">
        <v>17679</v>
      </c>
      <c r="AP943" s="831" t="str">
        <f t="shared" si="43"/>
        <v/>
      </c>
    </row>
    <row r="944" spans="2:42">
      <c r="B944" s="834" t="str">
        <f t="shared" si="42"/>
        <v>|||</v>
      </c>
      <c r="H944" s="835">
        <f t="shared" si="44"/>
        <v>31</v>
      </c>
      <c r="AF944" s="831" t="s">
        <v>1630</v>
      </c>
      <c r="AG944" s="831" t="s">
        <v>58</v>
      </c>
      <c r="AH944" s="831" t="s">
        <v>69</v>
      </c>
      <c r="AI944" s="831">
        <v>0</v>
      </c>
      <c r="AJ944" s="835">
        <v>39752</v>
      </c>
      <c r="AK944" s="831">
        <v>295</v>
      </c>
      <c r="AP944" s="831" t="str">
        <f t="shared" si="43"/>
        <v/>
      </c>
    </row>
    <row r="945" spans="2:42">
      <c r="B945" s="834" t="str">
        <f t="shared" si="42"/>
        <v>|||</v>
      </c>
      <c r="H945" s="835">
        <f t="shared" si="44"/>
        <v>31</v>
      </c>
      <c r="AF945" s="831" t="s">
        <v>1631</v>
      </c>
      <c r="AG945" s="831" t="s">
        <v>58</v>
      </c>
      <c r="AH945" s="831" t="s">
        <v>74</v>
      </c>
      <c r="AI945" s="831">
        <v>0</v>
      </c>
      <c r="AJ945" s="835">
        <v>39752</v>
      </c>
      <c r="AK945" s="831">
        <v>812</v>
      </c>
      <c r="AP945" s="831" t="str">
        <f t="shared" si="43"/>
        <v/>
      </c>
    </row>
    <row r="946" spans="2:42">
      <c r="B946" s="834" t="str">
        <f t="shared" si="42"/>
        <v>|||</v>
      </c>
      <c r="H946" s="835">
        <f t="shared" si="44"/>
        <v>31</v>
      </c>
      <c r="AF946" s="831" t="s">
        <v>1632</v>
      </c>
      <c r="AG946" s="831" t="s">
        <v>58</v>
      </c>
      <c r="AH946" s="831" t="s">
        <v>79</v>
      </c>
      <c r="AI946" s="831">
        <v>0</v>
      </c>
      <c r="AJ946" s="835">
        <v>39752</v>
      </c>
      <c r="AK946" s="831">
        <v>19</v>
      </c>
      <c r="AP946" s="831" t="str">
        <f t="shared" si="43"/>
        <v/>
      </c>
    </row>
    <row r="947" spans="2:42">
      <c r="B947" s="834" t="str">
        <f t="shared" si="42"/>
        <v>|||</v>
      </c>
      <c r="H947" s="835">
        <f t="shared" si="44"/>
        <v>31</v>
      </c>
      <c r="AF947" s="831" t="s">
        <v>1633</v>
      </c>
      <c r="AG947" s="831" t="s">
        <v>58</v>
      </c>
      <c r="AH947" s="831" t="s">
        <v>84</v>
      </c>
      <c r="AI947" s="831">
        <v>0</v>
      </c>
      <c r="AJ947" s="835">
        <v>39752</v>
      </c>
      <c r="AK947" s="831">
        <v>69839</v>
      </c>
      <c r="AP947" s="831" t="str">
        <f t="shared" si="43"/>
        <v/>
      </c>
    </row>
    <row r="948" spans="2:42">
      <c r="B948" s="834" t="str">
        <f t="shared" si="42"/>
        <v>|||</v>
      </c>
      <c r="H948" s="835">
        <f t="shared" si="44"/>
        <v>31</v>
      </c>
      <c r="AF948" s="831" t="s">
        <v>1634</v>
      </c>
      <c r="AG948" s="831" t="s">
        <v>58</v>
      </c>
      <c r="AH948" s="831" t="s">
        <v>89</v>
      </c>
      <c r="AI948" s="831">
        <v>0</v>
      </c>
      <c r="AJ948" s="835">
        <v>39752</v>
      </c>
      <c r="AK948" s="831">
        <v>67871</v>
      </c>
      <c r="AP948" s="831" t="str">
        <f t="shared" si="43"/>
        <v/>
      </c>
    </row>
    <row r="949" spans="2:42">
      <c r="B949" s="834" t="str">
        <f t="shared" si="42"/>
        <v>|||</v>
      </c>
      <c r="H949" s="835">
        <f t="shared" si="44"/>
        <v>31</v>
      </c>
      <c r="AF949" s="831" t="s">
        <v>1635</v>
      </c>
      <c r="AG949" s="831" t="s">
        <v>58</v>
      </c>
      <c r="AH949" s="831" t="s">
        <v>93</v>
      </c>
      <c r="AI949" s="831">
        <v>0</v>
      </c>
      <c r="AJ949" s="835">
        <v>39752</v>
      </c>
      <c r="AK949" s="831">
        <v>18712</v>
      </c>
      <c r="AP949" s="831" t="str">
        <f t="shared" si="43"/>
        <v/>
      </c>
    </row>
    <row r="950" spans="2:42">
      <c r="B950" s="834" t="str">
        <f t="shared" si="42"/>
        <v>|||</v>
      </c>
      <c r="H950" s="835">
        <f t="shared" si="44"/>
        <v>31</v>
      </c>
      <c r="AF950" s="831" t="s">
        <v>1636</v>
      </c>
      <c r="AG950" s="831" t="s">
        <v>58</v>
      </c>
      <c r="AH950" s="831" t="s">
        <v>69</v>
      </c>
      <c r="AI950" s="831">
        <v>0</v>
      </c>
      <c r="AJ950" s="835">
        <v>39782</v>
      </c>
      <c r="AK950" s="831">
        <v>298</v>
      </c>
      <c r="AP950" s="831" t="str">
        <f t="shared" si="43"/>
        <v/>
      </c>
    </row>
    <row r="951" spans="2:42">
      <c r="B951" s="834" t="str">
        <f t="shared" si="42"/>
        <v>|||</v>
      </c>
      <c r="H951" s="835">
        <f t="shared" si="44"/>
        <v>31</v>
      </c>
      <c r="AF951" s="831" t="s">
        <v>1637</v>
      </c>
      <c r="AG951" s="831" t="s">
        <v>58</v>
      </c>
      <c r="AH951" s="831" t="s">
        <v>74</v>
      </c>
      <c r="AI951" s="831">
        <v>0</v>
      </c>
      <c r="AJ951" s="835">
        <v>39782</v>
      </c>
      <c r="AK951" s="831">
        <v>808</v>
      </c>
      <c r="AP951" s="831" t="str">
        <f t="shared" si="43"/>
        <v/>
      </c>
    </row>
    <row r="952" spans="2:42">
      <c r="B952" s="834" t="str">
        <f t="shared" si="42"/>
        <v>|||</v>
      </c>
      <c r="H952" s="835">
        <f t="shared" si="44"/>
        <v>31</v>
      </c>
      <c r="AF952" s="831" t="s">
        <v>1638</v>
      </c>
      <c r="AG952" s="831" t="s">
        <v>58</v>
      </c>
      <c r="AH952" s="831" t="s">
        <v>79</v>
      </c>
      <c r="AI952" s="831">
        <v>0</v>
      </c>
      <c r="AJ952" s="835">
        <v>39782</v>
      </c>
      <c r="AK952" s="831">
        <v>20</v>
      </c>
      <c r="AP952" s="831" t="str">
        <f t="shared" si="43"/>
        <v/>
      </c>
    </row>
    <row r="953" spans="2:42">
      <c r="B953" s="834" t="str">
        <f t="shared" si="42"/>
        <v>|||</v>
      </c>
      <c r="H953" s="835">
        <f t="shared" si="44"/>
        <v>31</v>
      </c>
      <c r="AF953" s="831" t="s">
        <v>1639</v>
      </c>
      <c r="AG953" s="831" t="s">
        <v>58</v>
      </c>
      <c r="AH953" s="831" t="s">
        <v>84</v>
      </c>
      <c r="AI953" s="831">
        <v>0</v>
      </c>
      <c r="AJ953" s="835">
        <v>39782</v>
      </c>
      <c r="AK953" s="831">
        <v>70713</v>
      </c>
      <c r="AP953" s="831" t="str">
        <f t="shared" si="43"/>
        <v/>
      </c>
    </row>
    <row r="954" spans="2:42">
      <c r="B954" s="834" t="str">
        <f t="shared" si="42"/>
        <v>|||</v>
      </c>
      <c r="H954" s="835">
        <f t="shared" si="44"/>
        <v>31</v>
      </c>
      <c r="AF954" s="831" t="s">
        <v>1640</v>
      </c>
      <c r="AG954" s="831" t="s">
        <v>58</v>
      </c>
      <c r="AH954" s="831" t="s">
        <v>89</v>
      </c>
      <c r="AI954" s="831">
        <v>0</v>
      </c>
      <c r="AJ954" s="835">
        <v>39782</v>
      </c>
      <c r="AK954" s="831">
        <v>68744</v>
      </c>
      <c r="AP954" s="831" t="str">
        <f t="shared" si="43"/>
        <v/>
      </c>
    </row>
    <row r="955" spans="2:42">
      <c r="B955" s="834" t="str">
        <f t="shared" si="42"/>
        <v>|||</v>
      </c>
      <c r="H955" s="835">
        <f t="shared" si="44"/>
        <v>31</v>
      </c>
      <c r="AF955" s="831" t="s">
        <v>1641</v>
      </c>
      <c r="AG955" s="831" t="s">
        <v>58</v>
      </c>
      <c r="AH955" s="831" t="s">
        <v>93</v>
      </c>
      <c r="AI955" s="831">
        <v>0</v>
      </c>
      <c r="AJ955" s="835">
        <v>39782</v>
      </c>
      <c r="AK955" s="831">
        <v>20036</v>
      </c>
      <c r="AP955" s="831" t="str">
        <f t="shared" si="43"/>
        <v/>
      </c>
    </row>
    <row r="956" spans="2:42">
      <c r="B956" s="834" t="str">
        <f t="shared" si="42"/>
        <v>|||</v>
      </c>
      <c r="H956" s="835">
        <f t="shared" si="44"/>
        <v>31</v>
      </c>
      <c r="AF956" s="831" t="s">
        <v>1642</v>
      </c>
      <c r="AG956" s="831" t="s">
        <v>58</v>
      </c>
      <c r="AH956" s="831" t="s">
        <v>69</v>
      </c>
      <c r="AI956" s="831">
        <v>0</v>
      </c>
      <c r="AJ956" s="835">
        <v>39813</v>
      </c>
      <c r="AK956" s="831">
        <v>303</v>
      </c>
      <c r="AP956" s="831" t="str">
        <f t="shared" si="43"/>
        <v/>
      </c>
    </row>
    <row r="957" spans="2:42">
      <c r="B957" s="834" t="str">
        <f t="shared" si="42"/>
        <v>|||</v>
      </c>
      <c r="H957" s="835">
        <f t="shared" si="44"/>
        <v>31</v>
      </c>
      <c r="AF957" s="831" t="s">
        <v>1643</v>
      </c>
      <c r="AG957" s="831" t="s">
        <v>58</v>
      </c>
      <c r="AH957" s="831" t="s">
        <v>74</v>
      </c>
      <c r="AI957" s="831">
        <v>0</v>
      </c>
      <c r="AJ957" s="835">
        <v>39813</v>
      </c>
      <c r="AK957" s="831">
        <v>822</v>
      </c>
      <c r="AP957" s="831" t="str">
        <f t="shared" si="43"/>
        <v/>
      </c>
    </row>
    <row r="958" spans="2:42">
      <c r="B958" s="834" t="str">
        <f t="shared" si="42"/>
        <v>|||</v>
      </c>
      <c r="H958" s="835">
        <f t="shared" si="44"/>
        <v>31</v>
      </c>
      <c r="AF958" s="831" t="s">
        <v>1644</v>
      </c>
      <c r="AG958" s="831" t="s">
        <v>58</v>
      </c>
      <c r="AH958" s="831" t="s">
        <v>79</v>
      </c>
      <c r="AI958" s="831">
        <v>0</v>
      </c>
      <c r="AJ958" s="835">
        <v>39813</v>
      </c>
      <c r="AK958" s="831">
        <v>20</v>
      </c>
      <c r="AP958" s="831" t="str">
        <f t="shared" si="43"/>
        <v/>
      </c>
    </row>
    <row r="959" spans="2:42">
      <c r="B959" s="834" t="str">
        <f t="shared" si="42"/>
        <v>|||</v>
      </c>
      <c r="H959" s="835">
        <f t="shared" si="44"/>
        <v>31</v>
      </c>
      <c r="AF959" s="831" t="s">
        <v>1645</v>
      </c>
      <c r="AG959" s="831" t="s">
        <v>58</v>
      </c>
      <c r="AH959" s="831" t="s">
        <v>84</v>
      </c>
      <c r="AI959" s="831">
        <v>0</v>
      </c>
      <c r="AJ959" s="835">
        <v>39813</v>
      </c>
      <c r="AK959" s="831">
        <v>71148</v>
      </c>
      <c r="AP959" s="831" t="str">
        <f t="shared" si="43"/>
        <v/>
      </c>
    </row>
    <row r="960" spans="2:42">
      <c r="B960" s="834" t="str">
        <f t="shared" si="42"/>
        <v>|||</v>
      </c>
      <c r="H960" s="835">
        <f t="shared" si="44"/>
        <v>31</v>
      </c>
      <c r="AF960" s="831" t="s">
        <v>1646</v>
      </c>
      <c r="AG960" s="831" t="s">
        <v>58</v>
      </c>
      <c r="AH960" s="831" t="s">
        <v>89</v>
      </c>
      <c r="AI960" s="831">
        <v>0</v>
      </c>
      <c r="AJ960" s="835">
        <v>39813</v>
      </c>
      <c r="AK960" s="831">
        <v>69144</v>
      </c>
      <c r="AP960" s="831" t="str">
        <f t="shared" si="43"/>
        <v/>
      </c>
    </row>
    <row r="961" spans="2:42">
      <c r="B961" s="834" t="str">
        <f t="shared" si="42"/>
        <v>|||</v>
      </c>
      <c r="H961" s="835">
        <f t="shared" si="44"/>
        <v>31</v>
      </c>
      <c r="AF961" s="831" t="s">
        <v>1647</v>
      </c>
      <c r="AG961" s="831" t="s">
        <v>58</v>
      </c>
      <c r="AH961" s="831" t="s">
        <v>93</v>
      </c>
      <c r="AI961" s="831">
        <v>0</v>
      </c>
      <c r="AJ961" s="835">
        <v>39813</v>
      </c>
      <c r="AK961" s="831">
        <v>23300</v>
      </c>
      <c r="AP961" s="831" t="str">
        <f t="shared" si="43"/>
        <v/>
      </c>
    </row>
    <row r="962" spans="2:42">
      <c r="B962" s="834" t="str">
        <f t="shared" si="42"/>
        <v>|||</v>
      </c>
      <c r="H962" s="835">
        <f t="shared" si="44"/>
        <v>31</v>
      </c>
      <c r="AF962" s="831" t="s">
        <v>1648</v>
      </c>
      <c r="AG962" s="831" t="s">
        <v>58</v>
      </c>
      <c r="AH962" s="831" t="s">
        <v>69</v>
      </c>
      <c r="AI962" s="831">
        <v>0</v>
      </c>
      <c r="AJ962" s="835">
        <v>39844</v>
      </c>
      <c r="AK962" s="831">
        <v>297</v>
      </c>
      <c r="AP962" s="831" t="str">
        <f t="shared" si="43"/>
        <v/>
      </c>
    </row>
    <row r="963" spans="2:42">
      <c r="B963" s="834" t="str">
        <f t="shared" ref="B963:B1026" si="45">C963&amp;"|"&amp;D963&amp;"|"&amp;E963&amp;"|"&amp;F963</f>
        <v>|||</v>
      </c>
      <c r="H963" s="835">
        <f t="shared" si="44"/>
        <v>31</v>
      </c>
      <c r="AF963" s="831" t="s">
        <v>1649</v>
      </c>
      <c r="AG963" s="831" t="s">
        <v>58</v>
      </c>
      <c r="AH963" s="831" t="s">
        <v>74</v>
      </c>
      <c r="AI963" s="831">
        <v>0</v>
      </c>
      <c r="AJ963" s="835">
        <v>39844</v>
      </c>
      <c r="AK963" s="831">
        <v>836</v>
      </c>
      <c r="AP963" s="831" t="str">
        <f t="shared" ref="AP963:AP1026" si="46">IF(AX963&lt;&gt;"",IF(OR(AX963=3,AX963=4),"Equity","Debt"),"")</f>
        <v/>
      </c>
    </row>
    <row r="964" spans="2:42">
      <c r="B964" s="834" t="str">
        <f t="shared" si="45"/>
        <v>|||</v>
      </c>
      <c r="H964" s="835">
        <f t="shared" ref="H964:H1027" si="47">EOMONTH(L964,0)</f>
        <v>31</v>
      </c>
      <c r="AF964" s="831" t="s">
        <v>1650</v>
      </c>
      <c r="AG964" s="831" t="s">
        <v>58</v>
      </c>
      <c r="AH964" s="831" t="s">
        <v>79</v>
      </c>
      <c r="AI964" s="831">
        <v>0</v>
      </c>
      <c r="AJ964" s="835">
        <v>39844</v>
      </c>
      <c r="AK964" s="831">
        <v>21</v>
      </c>
      <c r="AP964" s="831" t="str">
        <f t="shared" si="46"/>
        <v/>
      </c>
    </row>
    <row r="965" spans="2:42">
      <c r="B965" s="834" t="str">
        <f t="shared" si="45"/>
        <v>|||</v>
      </c>
      <c r="H965" s="835">
        <f t="shared" si="47"/>
        <v>31</v>
      </c>
      <c r="AF965" s="831" t="s">
        <v>1651</v>
      </c>
      <c r="AG965" s="831" t="s">
        <v>58</v>
      </c>
      <c r="AH965" s="831" t="s">
        <v>84</v>
      </c>
      <c r="AI965" s="831">
        <v>0</v>
      </c>
      <c r="AJ965" s="835">
        <v>39844</v>
      </c>
      <c r="AK965" s="831">
        <v>72280</v>
      </c>
      <c r="AP965" s="831" t="str">
        <f t="shared" si="46"/>
        <v/>
      </c>
    </row>
    <row r="966" spans="2:42">
      <c r="B966" s="834" t="str">
        <f t="shared" si="45"/>
        <v>|||</v>
      </c>
      <c r="H966" s="835">
        <f t="shared" si="47"/>
        <v>31</v>
      </c>
      <c r="AF966" s="831" t="s">
        <v>1652</v>
      </c>
      <c r="AG966" s="831" t="s">
        <v>58</v>
      </c>
      <c r="AH966" s="831" t="s">
        <v>89</v>
      </c>
      <c r="AI966" s="831">
        <v>0</v>
      </c>
      <c r="AJ966" s="835">
        <v>39844</v>
      </c>
      <c r="AK966" s="831">
        <v>70207</v>
      </c>
      <c r="AP966" s="831" t="str">
        <f t="shared" si="46"/>
        <v/>
      </c>
    </row>
    <row r="967" spans="2:42">
      <c r="B967" s="834" t="str">
        <f t="shared" si="45"/>
        <v>|||</v>
      </c>
      <c r="H967" s="835">
        <f t="shared" si="47"/>
        <v>31</v>
      </c>
      <c r="AF967" s="831" t="s">
        <v>1653</v>
      </c>
      <c r="AG967" s="831" t="s">
        <v>58</v>
      </c>
      <c r="AH967" s="831" t="s">
        <v>93</v>
      </c>
      <c r="AI967" s="831">
        <v>0</v>
      </c>
      <c r="AJ967" s="835">
        <v>39844</v>
      </c>
      <c r="AK967" s="831">
        <v>28076</v>
      </c>
      <c r="AP967" s="831" t="str">
        <f t="shared" si="46"/>
        <v/>
      </c>
    </row>
    <row r="968" spans="2:42">
      <c r="B968" s="834" t="str">
        <f t="shared" si="45"/>
        <v>|||</v>
      </c>
      <c r="H968" s="835">
        <f t="shared" si="47"/>
        <v>31</v>
      </c>
      <c r="AF968" s="831" t="s">
        <v>1654</v>
      </c>
      <c r="AG968" s="831" t="s">
        <v>58</v>
      </c>
      <c r="AH968" s="831" t="s">
        <v>69</v>
      </c>
      <c r="AI968" s="831">
        <v>0</v>
      </c>
      <c r="AJ968" s="835">
        <v>39872</v>
      </c>
      <c r="AK968" s="831">
        <v>296</v>
      </c>
      <c r="AP968" s="831" t="str">
        <f t="shared" si="46"/>
        <v/>
      </c>
    </row>
    <row r="969" spans="2:42">
      <c r="B969" s="834" t="str">
        <f t="shared" si="45"/>
        <v>|||</v>
      </c>
      <c r="H969" s="835">
        <f t="shared" si="47"/>
        <v>31</v>
      </c>
      <c r="AF969" s="831" t="s">
        <v>1655</v>
      </c>
      <c r="AG969" s="831" t="s">
        <v>58</v>
      </c>
      <c r="AH969" s="831" t="s">
        <v>74</v>
      </c>
      <c r="AI969" s="831">
        <v>0</v>
      </c>
      <c r="AJ969" s="835">
        <v>39872</v>
      </c>
      <c r="AK969" s="831">
        <v>852</v>
      </c>
      <c r="AP969" s="831" t="str">
        <f t="shared" si="46"/>
        <v/>
      </c>
    </row>
    <row r="970" spans="2:42">
      <c r="B970" s="834" t="str">
        <f t="shared" si="45"/>
        <v>|||</v>
      </c>
      <c r="H970" s="835">
        <f t="shared" si="47"/>
        <v>31</v>
      </c>
      <c r="AF970" s="831" t="s">
        <v>1656</v>
      </c>
      <c r="AG970" s="831" t="s">
        <v>58</v>
      </c>
      <c r="AH970" s="831" t="s">
        <v>79</v>
      </c>
      <c r="AI970" s="831">
        <v>0</v>
      </c>
      <c r="AJ970" s="835">
        <v>39872</v>
      </c>
      <c r="AK970" s="831">
        <v>21</v>
      </c>
      <c r="AP970" s="831" t="str">
        <f t="shared" si="46"/>
        <v/>
      </c>
    </row>
    <row r="971" spans="2:42">
      <c r="B971" s="834" t="str">
        <f t="shared" si="45"/>
        <v>|||</v>
      </c>
      <c r="H971" s="835">
        <f t="shared" si="47"/>
        <v>31</v>
      </c>
      <c r="AF971" s="831" t="s">
        <v>1657</v>
      </c>
      <c r="AG971" s="831" t="s">
        <v>58</v>
      </c>
      <c r="AH971" s="831" t="s">
        <v>84</v>
      </c>
      <c r="AI971" s="831">
        <v>0</v>
      </c>
      <c r="AJ971" s="835">
        <v>39872</v>
      </c>
      <c r="AK971" s="831">
        <v>74056</v>
      </c>
      <c r="AP971" s="831" t="str">
        <f t="shared" si="46"/>
        <v/>
      </c>
    </row>
    <row r="972" spans="2:42">
      <c r="B972" s="834" t="str">
        <f t="shared" si="45"/>
        <v>|||</v>
      </c>
      <c r="H972" s="835">
        <f t="shared" si="47"/>
        <v>31</v>
      </c>
      <c r="AF972" s="831" t="s">
        <v>1658</v>
      </c>
      <c r="AG972" s="831" t="s">
        <v>58</v>
      </c>
      <c r="AH972" s="831" t="s">
        <v>89</v>
      </c>
      <c r="AI972" s="831">
        <v>0</v>
      </c>
      <c r="AJ972" s="835">
        <v>39872</v>
      </c>
      <c r="AK972" s="831">
        <v>71925</v>
      </c>
      <c r="AP972" s="831" t="str">
        <f t="shared" si="46"/>
        <v/>
      </c>
    </row>
    <row r="973" spans="2:42">
      <c r="B973" s="834" t="str">
        <f t="shared" si="45"/>
        <v>|||</v>
      </c>
      <c r="H973" s="835">
        <f t="shared" si="47"/>
        <v>31</v>
      </c>
      <c r="AF973" s="831" t="s">
        <v>1659</v>
      </c>
      <c r="AG973" s="831" t="s">
        <v>58</v>
      </c>
      <c r="AH973" s="831" t="s">
        <v>93</v>
      </c>
      <c r="AI973" s="831">
        <v>0</v>
      </c>
      <c r="AJ973" s="835">
        <v>39872</v>
      </c>
      <c r="AK973" s="831">
        <v>34679</v>
      </c>
      <c r="AP973" s="831" t="str">
        <f t="shared" si="46"/>
        <v/>
      </c>
    </row>
    <row r="974" spans="2:42">
      <c r="B974" s="834" t="str">
        <f t="shared" si="45"/>
        <v>|||</v>
      </c>
      <c r="H974" s="835">
        <f t="shared" si="47"/>
        <v>31</v>
      </c>
      <c r="AF974" s="831" t="s">
        <v>1660</v>
      </c>
      <c r="AG974" s="831" t="s">
        <v>58</v>
      </c>
      <c r="AH974" s="831" t="s">
        <v>69</v>
      </c>
      <c r="AI974" s="831">
        <v>0</v>
      </c>
      <c r="AJ974" s="835">
        <v>39903</v>
      </c>
      <c r="AK974" s="831">
        <v>303</v>
      </c>
      <c r="AP974" s="831" t="str">
        <f t="shared" si="46"/>
        <v/>
      </c>
    </row>
    <row r="975" spans="2:42">
      <c r="B975" s="834" t="str">
        <f t="shared" si="45"/>
        <v>|||</v>
      </c>
      <c r="H975" s="835">
        <f t="shared" si="47"/>
        <v>31</v>
      </c>
      <c r="AF975" s="831" t="s">
        <v>1661</v>
      </c>
      <c r="AG975" s="831" t="s">
        <v>58</v>
      </c>
      <c r="AH975" s="831" t="s">
        <v>74</v>
      </c>
      <c r="AI975" s="831">
        <v>0</v>
      </c>
      <c r="AJ975" s="835">
        <v>39903</v>
      </c>
      <c r="AK975" s="831">
        <v>864</v>
      </c>
      <c r="AP975" s="831" t="str">
        <f t="shared" si="46"/>
        <v/>
      </c>
    </row>
    <row r="976" spans="2:42">
      <c r="B976" s="834" t="str">
        <f t="shared" si="45"/>
        <v>|||</v>
      </c>
      <c r="H976" s="835">
        <f t="shared" si="47"/>
        <v>31</v>
      </c>
      <c r="AF976" s="831" t="s">
        <v>1662</v>
      </c>
      <c r="AG976" s="831" t="s">
        <v>58</v>
      </c>
      <c r="AH976" s="831" t="s">
        <v>79</v>
      </c>
      <c r="AI976" s="831">
        <v>0</v>
      </c>
      <c r="AJ976" s="835">
        <v>39903</v>
      </c>
      <c r="AK976" s="831">
        <v>22</v>
      </c>
      <c r="AP976" s="831" t="str">
        <f t="shared" si="46"/>
        <v/>
      </c>
    </row>
    <row r="977" spans="2:42">
      <c r="B977" s="834" t="str">
        <f t="shared" si="45"/>
        <v>|||</v>
      </c>
      <c r="H977" s="835">
        <f t="shared" si="47"/>
        <v>31</v>
      </c>
      <c r="AF977" s="831" t="s">
        <v>1663</v>
      </c>
      <c r="AG977" s="831" t="s">
        <v>58</v>
      </c>
      <c r="AH977" s="831" t="s">
        <v>84</v>
      </c>
      <c r="AI977" s="831">
        <v>0</v>
      </c>
      <c r="AJ977" s="835">
        <v>39903</v>
      </c>
      <c r="AK977" s="831">
        <v>75204</v>
      </c>
      <c r="AP977" s="831" t="str">
        <f t="shared" si="46"/>
        <v/>
      </c>
    </row>
    <row r="978" spans="2:42">
      <c r="B978" s="834" t="str">
        <f t="shared" si="45"/>
        <v>|||</v>
      </c>
      <c r="H978" s="835">
        <f t="shared" si="47"/>
        <v>31</v>
      </c>
      <c r="AF978" s="831" t="s">
        <v>1664</v>
      </c>
      <c r="AG978" s="831" t="s">
        <v>58</v>
      </c>
      <c r="AH978" s="831" t="s">
        <v>89</v>
      </c>
      <c r="AI978" s="831">
        <v>0</v>
      </c>
      <c r="AJ978" s="835">
        <v>39903</v>
      </c>
      <c r="AK978" s="831">
        <v>72998</v>
      </c>
      <c r="AP978" s="831" t="str">
        <f t="shared" si="46"/>
        <v/>
      </c>
    </row>
    <row r="979" spans="2:42">
      <c r="B979" s="834" t="str">
        <f t="shared" si="45"/>
        <v>|||</v>
      </c>
      <c r="H979" s="835">
        <f t="shared" si="47"/>
        <v>31</v>
      </c>
      <c r="AF979" s="831" t="s">
        <v>1665</v>
      </c>
      <c r="AG979" s="831" t="s">
        <v>58</v>
      </c>
      <c r="AH979" s="831" t="s">
        <v>93</v>
      </c>
      <c r="AI979" s="831">
        <v>0</v>
      </c>
      <c r="AJ979" s="835">
        <v>39903</v>
      </c>
      <c r="AK979" s="831">
        <v>41546</v>
      </c>
      <c r="AP979" s="831" t="str">
        <f t="shared" si="46"/>
        <v/>
      </c>
    </row>
    <row r="980" spans="2:42">
      <c r="B980" s="834" t="str">
        <f t="shared" si="45"/>
        <v>|||</v>
      </c>
      <c r="H980" s="835">
        <f t="shared" si="47"/>
        <v>31</v>
      </c>
      <c r="AF980" s="831" t="s">
        <v>1666</v>
      </c>
      <c r="AG980" s="831" t="s">
        <v>58</v>
      </c>
      <c r="AH980" s="831" t="s">
        <v>69</v>
      </c>
      <c r="AI980" s="831">
        <v>0</v>
      </c>
      <c r="AJ980" s="835">
        <v>39933</v>
      </c>
      <c r="AK980" s="831">
        <v>297</v>
      </c>
      <c r="AP980" s="831" t="str">
        <f t="shared" si="46"/>
        <v/>
      </c>
    </row>
    <row r="981" spans="2:42">
      <c r="B981" s="834" t="str">
        <f t="shared" si="45"/>
        <v>|||</v>
      </c>
      <c r="H981" s="835">
        <f t="shared" si="47"/>
        <v>31</v>
      </c>
      <c r="AF981" s="831" t="s">
        <v>1667</v>
      </c>
      <c r="AG981" s="831" t="s">
        <v>58</v>
      </c>
      <c r="AH981" s="831" t="s">
        <v>74</v>
      </c>
      <c r="AI981" s="831">
        <v>0</v>
      </c>
      <c r="AJ981" s="835">
        <v>39933</v>
      </c>
      <c r="AK981" s="831">
        <v>877</v>
      </c>
      <c r="AP981" s="831" t="str">
        <f t="shared" si="46"/>
        <v/>
      </c>
    </row>
    <row r="982" spans="2:42">
      <c r="B982" s="834" t="str">
        <f t="shared" si="45"/>
        <v>|||</v>
      </c>
      <c r="H982" s="835">
        <f t="shared" si="47"/>
        <v>31</v>
      </c>
      <c r="AF982" s="831" t="s">
        <v>1668</v>
      </c>
      <c r="AG982" s="831" t="s">
        <v>58</v>
      </c>
      <c r="AH982" s="831" t="s">
        <v>79</v>
      </c>
      <c r="AI982" s="831">
        <v>0</v>
      </c>
      <c r="AJ982" s="835">
        <v>39933</v>
      </c>
      <c r="AK982" s="831">
        <v>21</v>
      </c>
      <c r="AP982" s="831" t="str">
        <f t="shared" si="46"/>
        <v/>
      </c>
    </row>
    <row r="983" spans="2:42">
      <c r="B983" s="834" t="str">
        <f t="shared" si="45"/>
        <v>|||</v>
      </c>
      <c r="H983" s="835">
        <f t="shared" si="47"/>
        <v>31</v>
      </c>
      <c r="AF983" s="831" t="s">
        <v>1669</v>
      </c>
      <c r="AG983" s="831" t="s">
        <v>58</v>
      </c>
      <c r="AH983" s="831" t="s">
        <v>84</v>
      </c>
      <c r="AI983" s="831">
        <v>0</v>
      </c>
      <c r="AJ983" s="835">
        <v>39933</v>
      </c>
      <c r="AK983" s="831">
        <v>77825</v>
      </c>
      <c r="AP983" s="831" t="str">
        <f t="shared" si="46"/>
        <v/>
      </c>
    </row>
    <row r="984" spans="2:42">
      <c r="B984" s="834" t="str">
        <f t="shared" si="45"/>
        <v>|||</v>
      </c>
      <c r="H984" s="835">
        <f t="shared" si="47"/>
        <v>31</v>
      </c>
      <c r="AF984" s="831" t="s">
        <v>1670</v>
      </c>
      <c r="AG984" s="831" t="s">
        <v>58</v>
      </c>
      <c r="AH984" s="831" t="s">
        <v>89</v>
      </c>
      <c r="AI984" s="831">
        <v>0</v>
      </c>
      <c r="AJ984" s="835">
        <v>39933</v>
      </c>
      <c r="AK984" s="831">
        <v>75566</v>
      </c>
      <c r="AP984" s="831" t="str">
        <f t="shared" si="46"/>
        <v/>
      </c>
    </row>
    <row r="985" spans="2:42">
      <c r="B985" s="834" t="str">
        <f t="shared" si="45"/>
        <v>|||</v>
      </c>
      <c r="H985" s="835">
        <f t="shared" si="47"/>
        <v>31</v>
      </c>
      <c r="AF985" s="831" t="s">
        <v>1671</v>
      </c>
      <c r="AG985" s="831" t="s">
        <v>58</v>
      </c>
      <c r="AH985" s="831" t="s">
        <v>93</v>
      </c>
      <c r="AI985" s="831">
        <v>0</v>
      </c>
      <c r="AJ985" s="835">
        <v>39933</v>
      </c>
      <c r="AK985" s="831">
        <v>51520</v>
      </c>
      <c r="AP985" s="831" t="str">
        <f t="shared" si="46"/>
        <v/>
      </c>
    </row>
    <row r="986" spans="2:42">
      <c r="B986" s="834" t="str">
        <f t="shared" si="45"/>
        <v>|||</v>
      </c>
      <c r="H986" s="835">
        <f t="shared" si="47"/>
        <v>31</v>
      </c>
      <c r="AF986" s="831" t="s">
        <v>1672</v>
      </c>
      <c r="AG986" s="831" t="s">
        <v>58</v>
      </c>
      <c r="AH986" s="831" t="s">
        <v>69</v>
      </c>
      <c r="AI986" s="831">
        <v>0</v>
      </c>
      <c r="AJ986" s="835">
        <v>39964</v>
      </c>
      <c r="AK986" s="831">
        <v>313</v>
      </c>
      <c r="AP986" s="831" t="str">
        <f t="shared" si="46"/>
        <v/>
      </c>
    </row>
    <row r="987" spans="2:42">
      <c r="B987" s="834" t="str">
        <f t="shared" si="45"/>
        <v>|||</v>
      </c>
      <c r="H987" s="835">
        <f t="shared" si="47"/>
        <v>31</v>
      </c>
      <c r="AF987" s="831" t="s">
        <v>1673</v>
      </c>
      <c r="AG987" s="831" t="s">
        <v>58</v>
      </c>
      <c r="AH987" s="831" t="s">
        <v>74</v>
      </c>
      <c r="AI987" s="831">
        <v>0</v>
      </c>
      <c r="AJ987" s="835">
        <v>39964</v>
      </c>
      <c r="AK987" s="831">
        <v>878</v>
      </c>
      <c r="AP987" s="831" t="str">
        <f t="shared" si="46"/>
        <v/>
      </c>
    </row>
    <row r="988" spans="2:42">
      <c r="B988" s="834" t="str">
        <f t="shared" si="45"/>
        <v>|||</v>
      </c>
      <c r="H988" s="835">
        <f t="shared" si="47"/>
        <v>31</v>
      </c>
      <c r="AF988" s="831" t="s">
        <v>1674</v>
      </c>
      <c r="AG988" s="831" t="s">
        <v>58</v>
      </c>
      <c r="AH988" s="831" t="s">
        <v>79</v>
      </c>
      <c r="AI988" s="831">
        <v>0</v>
      </c>
      <c r="AJ988" s="835">
        <v>39964</v>
      </c>
      <c r="AK988" s="831">
        <v>21</v>
      </c>
      <c r="AP988" s="831" t="str">
        <f t="shared" si="46"/>
        <v/>
      </c>
    </row>
    <row r="989" spans="2:42">
      <c r="B989" s="834" t="str">
        <f t="shared" si="45"/>
        <v>|||</v>
      </c>
      <c r="H989" s="835">
        <f t="shared" si="47"/>
        <v>31</v>
      </c>
      <c r="AF989" s="831" t="s">
        <v>1675</v>
      </c>
      <c r="AG989" s="831" t="s">
        <v>58</v>
      </c>
      <c r="AH989" s="831" t="s">
        <v>84</v>
      </c>
      <c r="AI989" s="831">
        <v>0</v>
      </c>
      <c r="AJ989" s="835">
        <v>39964</v>
      </c>
      <c r="AK989" s="831">
        <v>80343</v>
      </c>
      <c r="AP989" s="831" t="str">
        <f t="shared" si="46"/>
        <v/>
      </c>
    </row>
    <row r="990" spans="2:42">
      <c r="B990" s="834" t="str">
        <f t="shared" si="45"/>
        <v>|||</v>
      </c>
      <c r="H990" s="835">
        <f t="shared" si="47"/>
        <v>31</v>
      </c>
      <c r="AF990" s="831" t="s">
        <v>1676</v>
      </c>
      <c r="AG990" s="831" t="s">
        <v>58</v>
      </c>
      <c r="AH990" s="831" t="s">
        <v>89</v>
      </c>
      <c r="AI990" s="831">
        <v>0</v>
      </c>
      <c r="AJ990" s="835">
        <v>39964</v>
      </c>
      <c r="AK990" s="831">
        <v>78086</v>
      </c>
      <c r="AP990" s="831" t="str">
        <f t="shared" si="46"/>
        <v/>
      </c>
    </row>
    <row r="991" spans="2:42">
      <c r="B991" s="834" t="str">
        <f t="shared" si="45"/>
        <v>|||</v>
      </c>
      <c r="H991" s="835">
        <f t="shared" si="47"/>
        <v>31</v>
      </c>
      <c r="AF991" s="831" t="s">
        <v>1677</v>
      </c>
      <c r="AG991" s="831" t="s">
        <v>58</v>
      </c>
      <c r="AH991" s="831" t="s">
        <v>93</v>
      </c>
      <c r="AI991" s="831">
        <v>0</v>
      </c>
      <c r="AJ991" s="835">
        <v>39964</v>
      </c>
      <c r="AK991" s="831">
        <v>60461</v>
      </c>
      <c r="AP991" s="831" t="str">
        <f t="shared" si="46"/>
        <v/>
      </c>
    </row>
    <row r="992" spans="2:42">
      <c r="B992" s="834" t="str">
        <f t="shared" si="45"/>
        <v>|||</v>
      </c>
      <c r="H992" s="835">
        <f t="shared" si="47"/>
        <v>31</v>
      </c>
      <c r="AF992" s="831" t="s">
        <v>1678</v>
      </c>
      <c r="AG992" s="831" t="s">
        <v>58</v>
      </c>
      <c r="AH992" s="831" t="s">
        <v>69</v>
      </c>
      <c r="AI992" s="831">
        <v>0</v>
      </c>
      <c r="AJ992" s="835">
        <v>39994</v>
      </c>
      <c r="AK992" s="831">
        <v>310</v>
      </c>
      <c r="AP992" s="831" t="str">
        <f t="shared" si="46"/>
        <v/>
      </c>
    </row>
    <row r="993" spans="2:42">
      <c r="B993" s="834" t="str">
        <f t="shared" si="45"/>
        <v>|||</v>
      </c>
      <c r="H993" s="835">
        <f t="shared" si="47"/>
        <v>31</v>
      </c>
      <c r="AF993" s="831" t="s">
        <v>1679</v>
      </c>
      <c r="AG993" s="831" t="s">
        <v>58</v>
      </c>
      <c r="AH993" s="831" t="s">
        <v>74</v>
      </c>
      <c r="AI993" s="831">
        <v>0</v>
      </c>
      <c r="AJ993" s="835">
        <v>39994</v>
      </c>
      <c r="AK993" s="831">
        <v>896</v>
      </c>
      <c r="AP993" s="831" t="str">
        <f t="shared" si="46"/>
        <v/>
      </c>
    </row>
    <row r="994" spans="2:42">
      <c r="B994" s="834" t="str">
        <f t="shared" si="45"/>
        <v>|||</v>
      </c>
      <c r="H994" s="835">
        <f t="shared" si="47"/>
        <v>31</v>
      </c>
      <c r="AF994" s="831" t="s">
        <v>1680</v>
      </c>
      <c r="AG994" s="831" t="s">
        <v>58</v>
      </c>
      <c r="AH994" s="831" t="s">
        <v>79</v>
      </c>
      <c r="AI994" s="831">
        <v>0</v>
      </c>
      <c r="AJ994" s="835">
        <v>39994</v>
      </c>
      <c r="AK994" s="831">
        <v>22</v>
      </c>
      <c r="AP994" s="831" t="str">
        <f t="shared" si="46"/>
        <v/>
      </c>
    </row>
    <row r="995" spans="2:42">
      <c r="B995" s="834" t="str">
        <f t="shared" si="45"/>
        <v>|||</v>
      </c>
      <c r="H995" s="835">
        <f t="shared" si="47"/>
        <v>31</v>
      </c>
      <c r="AF995" s="831" t="s">
        <v>1681</v>
      </c>
      <c r="AG995" s="831" t="s">
        <v>58</v>
      </c>
      <c r="AH995" s="831" t="s">
        <v>84</v>
      </c>
      <c r="AI995" s="831">
        <v>0</v>
      </c>
      <c r="AJ995" s="835">
        <v>39994</v>
      </c>
      <c r="AK995" s="831">
        <v>82614</v>
      </c>
      <c r="AP995" s="831" t="str">
        <f t="shared" si="46"/>
        <v/>
      </c>
    </row>
    <row r="996" spans="2:42">
      <c r="B996" s="834" t="str">
        <f t="shared" si="45"/>
        <v>|||</v>
      </c>
      <c r="H996" s="835">
        <f t="shared" si="47"/>
        <v>31</v>
      </c>
      <c r="AF996" s="831" t="s">
        <v>1682</v>
      </c>
      <c r="AG996" s="831" t="s">
        <v>58</v>
      </c>
      <c r="AH996" s="831" t="s">
        <v>89</v>
      </c>
      <c r="AI996" s="831">
        <v>0</v>
      </c>
      <c r="AJ996" s="835">
        <v>39994</v>
      </c>
      <c r="AK996" s="831">
        <v>80334</v>
      </c>
      <c r="AP996" s="831" t="str">
        <f t="shared" si="46"/>
        <v/>
      </c>
    </row>
    <row r="997" spans="2:42">
      <c r="B997" s="834" t="str">
        <f t="shared" si="45"/>
        <v>|||</v>
      </c>
      <c r="H997" s="835">
        <f t="shared" si="47"/>
        <v>31</v>
      </c>
      <c r="AF997" s="831" t="s">
        <v>1683</v>
      </c>
      <c r="AG997" s="831" t="s">
        <v>58</v>
      </c>
      <c r="AH997" s="831" t="s">
        <v>93</v>
      </c>
      <c r="AI997" s="831">
        <v>0</v>
      </c>
      <c r="AJ997" s="835">
        <v>39994</v>
      </c>
      <c r="AK997" s="831">
        <v>66965</v>
      </c>
      <c r="AP997" s="831" t="str">
        <f t="shared" si="46"/>
        <v/>
      </c>
    </row>
    <row r="998" spans="2:42">
      <c r="B998" s="834" t="str">
        <f t="shared" si="45"/>
        <v>|||</v>
      </c>
      <c r="H998" s="835">
        <f t="shared" si="47"/>
        <v>31</v>
      </c>
      <c r="AF998" s="831" t="s">
        <v>1684</v>
      </c>
      <c r="AG998" s="831" t="s">
        <v>58</v>
      </c>
      <c r="AH998" s="831" t="s">
        <v>69</v>
      </c>
      <c r="AI998" s="831">
        <v>0</v>
      </c>
      <c r="AJ998" s="835">
        <v>40025</v>
      </c>
      <c r="AK998" s="831">
        <v>314</v>
      </c>
      <c r="AP998" s="831" t="str">
        <f t="shared" si="46"/>
        <v/>
      </c>
    </row>
    <row r="999" spans="2:42">
      <c r="B999" s="834" t="str">
        <f t="shared" si="45"/>
        <v>|||</v>
      </c>
      <c r="H999" s="835">
        <f t="shared" si="47"/>
        <v>31</v>
      </c>
      <c r="AF999" s="831" t="s">
        <v>1685</v>
      </c>
      <c r="AG999" s="831" t="s">
        <v>58</v>
      </c>
      <c r="AH999" s="831" t="s">
        <v>74</v>
      </c>
      <c r="AI999" s="831">
        <v>0</v>
      </c>
      <c r="AJ999" s="835">
        <v>40025</v>
      </c>
      <c r="AK999" s="831">
        <v>904</v>
      </c>
      <c r="AP999" s="831" t="str">
        <f t="shared" si="46"/>
        <v/>
      </c>
    </row>
    <row r="1000" spans="2:42">
      <c r="B1000" s="834" t="str">
        <f t="shared" si="45"/>
        <v>|||</v>
      </c>
      <c r="H1000" s="835">
        <f t="shared" si="47"/>
        <v>31</v>
      </c>
      <c r="AF1000" s="831" t="s">
        <v>1686</v>
      </c>
      <c r="AG1000" s="831" t="s">
        <v>58</v>
      </c>
      <c r="AH1000" s="831" t="s">
        <v>79</v>
      </c>
      <c r="AI1000" s="831">
        <v>0</v>
      </c>
      <c r="AJ1000" s="835">
        <v>40025</v>
      </c>
      <c r="AK1000" s="831">
        <v>22</v>
      </c>
      <c r="AP1000" s="831" t="str">
        <f t="shared" si="46"/>
        <v/>
      </c>
    </row>
    <row r="1001" spans="2:42">
      <c r="B1001" s="834" t="str">
        <f t="shared" si="45"/>
        <v>|||</v>
      </c>
      <c r="H1001" s="835">
        <f t="shared" si="47"/>
        <v>31</v>
      </c>
      <c r="AF1001" s="831" t="s">
        <v>1687</v>
      </c>
      <c r="AG1001" s="831" t="s">
        <v>58</v>
      </c>
      <c r="AH1001" s="831" t="s">
        <v>84</v>
      </c>
      <c r="AI1001" s="831">
        <v>0</v>
      </c>
      <c r="AJ1001" s="835">
        <v>40025</v>
      </c>
      <c r="AK1001" s="831">
        <v>84985</v>
      </c>
      <c r="AP1001" s="831" t="str">
        <f t="shared" si="46"/>
        <v/>
      </c>
    </row>
    <row r="1002" spans="2:42">
      <c r="B1002" s="834" t="str">
        <f t="shared" si="45"/>
        <v>|||</v>
      </c>
      <c r="H1002" s="835">
        <f t="shared" si="47"/>
        <v>31</v>
      </c>
      <c r="AF1002" s="831" t="s">
        <v>1688</v>
      </c>
      <c r="AG1002" s="831" t="s">
        <v>58</v>
      </c>
      <c r="AH1002" s="831" t="s">
        <v>89</v>
      </c>
      <c r="AI1002" s="831">
        <v>0</v>
      </c>
      <c r="AJ1002" s="835">
        <v>40025</v>
      </c>
      <c r="AK1002" s="831">
        <v>82630</v>
      </c>
      <c r="AP1002" s="831" t="str">
        <f t="shared" si="46"/>
        <v/>
      </c>
    </row>
    <row r="1003" spans="2:42">
      <c r="B1003" s="834" t="str">
        <f t="shared" si="45"/>
        <v>|||</v>
      </c>
      <c r="H1003" s="835">
        <f t="shared" si="47"/>
        <v>31</v>
      </c>
      <c r="AF1003" s="831" t="s">
        <v>1689</v>
      </c>
      <c r="AG1003" s="831" t="s">
        <v>58</v>
      </c>
      <c r="AH1003" s="831" t="s">
        <v>93</v>
      </c>
      <c r="AI1003" s="831">
        <v>0</v>
      </c>
      <c r="AJ1003" s="835">
        <v>40025</v>
      </c>
      <c r="AK1003" s="831">
        <v>83207</v>
      </c>
      <c r="AP1003" s="831" t="str">
        <f t="shared" si="46"/>
        <v/>
      </c>
    </row>
    <row r="1004" spans="2:42">
      <c r="B1004" s="834" t="str">
        <f t="shared" si="45"/>
        <v>|||</v>
      </c>
      <c r="H1004" s="835">
        <f t="shared" si="47"/>
        <v>31</v>
      </c>
      <c r="AF1004" s="831" t="s">
        <v>1690</v>
      </c>
      <c r="AG1004" s="831" t="s">
        <v>58</v>
      </c>
      <c r="AH1004" s="831" t="s">
        <v>69</v>
      </c>
      <c r="AI1004" s="831">
        <v>0</v>
      </c>
      <c r="AJ1004" s="835">
        <v>40056</v>
      </c>
      <c r="AK1004" s="831">
        <v>316</v>
      </c>
      <c r="AP1004" s="831" t="str">
        <f t="shared" si="46"/>
        <v/>
      </c>
    </row>
    <row r="1005" spans="2:42">
      <c r="B1005" s="834" t="str">
        <f t="shared" si="45"/>
        <v>|||</v>
      </c>
      <c r="H1005" s="835">
        <f t="shared" si="47"/>
        <v>31</v>
      </c>
      <c r="AF1005" s="831" t="s">
        <v>1691</v>
      </c>
      <c r="AG1005" s="831" t="s">
        <v>58</v>
      </c>
      <c r="AH1005" s="831" t="s">
        <v>74</v>
      </c>
      <c r="AI1005" s="831">
        <v>0</v>
      </c>
      <c r="AJ1005" s="835">
        <v>40056</v>
      </c>
      <c r="AK1005" s="831">
        <v>924</v>
      </c>
      <c r="AP1005" s="831" t="str">
        <f t="shared" si="46"/>
        <v/>
      </c>
    </row>
    <row r="1006" spans="2:42">
      <c r="B1006" s="834" t="str">
        <f t="shared" si="45"/>
        <v>|||</v>
      </c>
      <c r="H1006" s="835">
        <f t="shared" si="47"/>
        <v>31</v>
      </c>
      <c r="AF1006" s="831" t="s">
        <v>1692</v>
      </c>
      <c r="AG1006" s="831" t="s">
        <v>58</v>
      </c>
      <c r="AH1006" s="831" t="s">
        <v>79</v>
      </c>
      <c r="AI1006" s="831">
        <v>0</v>
      </c>
      <c r="AJ1006" s="835">
        <v>40056</v>
      </c>
      <c r="AK1006" s="831">
        <v>22</v>
      </c>
      <c r="AP1006" s="831" t="str">
        <f t="shared" si="46"/>
        <v/>
      </c>
    </row>
    <row r="1007" spans="2:42">
      <c r="B1007" s="834" t="str">
        <f t="shared" si="45"/>
        <v>|||</v>
      </c>
      <c r="H1007" s="835">
        <f t="shared" si="47"/>
        <v>31</v>
      </c>
      <c r="AF1007" s="831" t="s">
        <v>1693</v>
      </c>
      <c r="AG1007" s="831" t="s">
        <v>58</v>
      </c>
      <c r="AH1007" s="831" t="s">
        <v>84</v>
      </c>
      <c r="AI1007" s="831">
        <v>0</v>
      </c>
      <c r="AJ1007" s="835">
        <v>40056</v>
      </c>
      <c r="AK1007" s="831">
        <v>87528</v>
      </c>
      <c r="AP1007" s="831" t="str">
        <f t="shared" si="46"/>
        <v/>
      </c>
    </row>
    <row r="1008" spans="2:42">
      <c r="B1008" s="834" t="str">
        <f t="shared" si="45"/>
        <v>|||</v>
      </c>
      <c r="H1008" s="835">
        <f t="shared" si="47"/>
        <v>31</v>
      </c>
      <c r="AF1008" s="831" t="s">
        <v>1694</v>
      </c>
      <c r="AG1008" s="831" t="s">
        <v>58</v>
      </c>
      <c r="AH1008" s="831" t="s">
        <v>89</v>
      </c>
      <c r="AI1008" s="831">
        <v>0</v>
      </c>
      <c r="AJ1008" s="835">
        <v>40056</v>
      </c>
      <c r="AK1008" s="831">
        <v>85127</v>
      </c>
      <c r="AP1008" s="831" t="str">
        <f t="shared" si="46"/>
        <v/>
      </c>
    </row>
    <row r="1009" spans="2:42">
      <c r="B1009" s="834" t="str">
        <f t="shared" si="45"/>
        <v>|||</v>
      </c>
      <c r="H1009" s="835">
        <f t="shared" si="47"/>
        <v>31</v>
      </c>
      <c r="AF1009" s="831" t="s">
        <v>1695</v>
      </c>
      <c r="AG1009" s="831" t="s">
        <v>58</v>
      </c>
      <c r="AH1009" s="831" t="s">
        <v>93</v>
      </c>
      <c r="AI1009" s="831">
        <v>0</v>
      </c>
      <c r="AJ1009" s="835">
        <v>40056</v>
      </c>
      <c r="AK1009" s="831">
        <v>81754</v>
      </c>
      <c r="AP1009" s="831" t="str">
        <f t="shared" si="46"/>
        <v/>
      </c>
    </row>
    <row r="1010" spans="2:42">
      <c r="B1010" s="834" t="str">
        <f t="shared" si="45"/>
        <v>|||</v>
      </c>
      <c r="H1010" s="835">
        <f t="shared" si="47"/>
        <v>31</v>
      </c>
      <c r="AF1010" s="831" t="s">
        <v>1696</v>
      </c>
      <c r="AG1010" s="831" t="s">
        <v>58</v>
      </c>
      <c r="AH1010" s="831" t="s">
        <v>69</v>
      </c>
      <c r="AI1010" s="831">
        <v>0</v>
      </c>
      <c r="AJ1010" s="835">
        <v>40086</v>
      </c>
      <c r="AK1010" s="831">
        <v>316</v>
      </c>
      <c r="AP1010" s="831" t="str">
        <f t="shared" si="46"/>
        <v/>
      </c>
    </row>
    <row r="1011" spans="2:42">
      <c r="B1011" s="834" t="str">
        <f t="shared" si="45"/>
        <v>|||</v>
      </c>
      <c r="H1011" s="835">
        <f t="shared" si="47"/>
        <v>31</v>
      </c>
      <c r="AF1011" s="831" t="s">
        <v>1697</v>
      </c>
      <c r="AG1011" s="831" t="s">
        <v>58</v>
      </c>
      <c r="AH1011" s="831" t="s">
        <v>74</v>
      </c>
      <c r="AI1011" s="831">
        <v>0</v>
      </c>
      <c r="AJ1011" s="835">
        <v>40086</v>
      </c>
      <c r="AK1011" s="831">
        <v>925</v>
      </c>
      <c r="AP1011" s="831" t="str">
        <f t="shared" si="46"/>
        <v/>
      </c>
    </row>
    <row r="1012" spans="2:42">
      <c r="B1012" s="834" t="str">
        <f t="shared" si="45"/>
        <v>|||</v>
      </c>
      <c r="H1012" s="835">
        <f t="shared" si="47"/>
        <v>31</v>
      </c>
      <c r="AF1012" s="831" t="s">
        <v>1698</v>
      </c>
      <c r="AG1012" s="831" t="s">
        <v>58</v>
      </c>
      <c r="AH1012" s="831" t="s">
        <v>79</v>
      </c>
      <c r="AI1012" s="831">
        <v>0</v>
      </c>
      <c r="AJ1012" s="835">
        <v>40086</v>
      </c>
      <c r="AK1012" s="831">
        <v>23</v>
      </c>
      <c r="AP1012" s="831" t="str">
        <f t="shared" si="46"/>
        <v/>
      </c>
    </row>
    <row r="1013" spans="2:42">
      <c r="B1013" s="834" t="str">
        <f t="shared" si="45"/>
        <v>|||</v>
      </c>
      <c r="H1013" s="835">
        <f t="shared" si="47"/>
        <v>31</v>
      </c>
      <c r="AF1013" s="831" t="s">
        <v>1699</v>
      </c>
      <c r="AG1013" s="831" t="s">
        <v>58</v>
      </c>
      <c r="AH1013" s="831" t="s">
        <v>84</v>
      </c>
      <c r="AI1013" s="831">
        <v>0</v>
      </c>
      <c r="AJ1013" s="835">
        <v>40086</v>
      </c>
      <c r="AK1013" s="831">
        <v>91837</v>
      </c>
      <c r="AP1013" s="831" t="str">
        <f t="shared" si="46"/>
        <v/>
      </c>
    </row>
    <row r="1014" spans="2:42">
      <c r="B1014" s="834" t="str">
        <f t="shared" si="45"/>
        <v>|||</v>
      </c>
      <c r="H1014" s="835">
        <f t="shared" si="47"/>
        <v>31</v>
      </c>
      <c r="AF1014" s="831" t="s">
        <v>1700</v>
      </c>
      <c r="AG1014" s="831" t="s">
        <v>58</v>
      </c>
      <c r="AH1014" s="831" t="s">
        <v>89</v>
      </c>
      <c r="AI1014" s="831">
        <v>0</v>
      </c>
      <c r="AJ1014" s="835">
        <v>40086</v>
      </c>
      <c r="AK1014" s="831">
        <v>89396</v>
      </c>
      <c r="AP1014" s="831" t="str">
        <f t="shared" si="46"/>
        <v/>
      </c>
    </row>
    <row r="1015" spans="2:42">
      <c r="B1015" s="834" t="str">
        <f t="shared" si="45"/>
        <v>|||</v>
      </c>
      <c r="H1015" s="835">
        <f t="shared" si="47"/>
        <v>31</v>
      </c>
      <c r="AF1015" s="831" t="s">
        <v>1701</v>
      </c>
      <c r="AG1015" s="831" t="s">
        <v>58</v>
      </c>
      <c r="AH1015" s="831" t="s">
        <v>93</v>
      </c>
      <c r="AI1015" s="831">
        <v>0</v>
      </c>
      <c r="AJ1015" s="835">
        <v>40086</v>
      </c>
      <c r="AK1015" s="831">
        <v>84055</v>
      </c>
      <c r="AP1015" s="831" t="str">
        <f t="shared" si="46"/>
        <v/>
      </c>
    </row>
    <row r="1016" spans="2:42">
      <c r="B1016" s="834" t="str">
        <f t="shared" si="45"/>
        <v>|||</v>
      </c>
      <c r="H1016" s="835">
        <f t="shared" si="47"/>
        <v>31</v>
      </c>
      <c r="AF1016" s="831" t="s">
        <v>1702</v>
      </c>
      <c r="AG1016" s="831" t="s">
        <v>58</v>
      </c>
      <c r="AH1016" s="831" t="s">
        <v>69</v>
      </c>
      <c r="AI1016" s="831">
        <v>0</v>
      </c>
      <c r="AJ1016" s="835">
        <v>40117</v>
      </c>
      <c r="AK1016" s="831">
        <v>321</v>
      </c>
      <c r="AP1016" s="831" t="str">
        <f t="shared" si="46"/>
        <v/>
      </c>
    </row>
    <row r="1017" spans="2:42">
      <c r="B1017" s="834" t="str">
        <f t="shared" si="45"/>
        <v>|||</v>
      </c>
      <c r="H1017" s="835">
        <f t="shared" si="47"/>
        <v>31</v>
      </c>
      <c r="AF1017" s="831" t="s">
        <v>1703</v>
      </c>
      <c r="AG1017" s="831" t="s">
        <v>58</v>
      </c>
      <c r="AH1017" s="831" t="s">
        <v>74</v>
      </c>
      <c r="AI1017" s="831">
        <v>0</v>
      </c>
      <c r="AJ1017" s="835">
        <v>40117</v>
      </c>
      <c r="AK1017" s="831">
        <v>954</v>
      </c>
      <c r="AP1017" s="831" t="str">
        <f t="shared" si="46"/>
        <v/>
      </c>
    </row>
    <row r="1018" spans="2:42">
      <c r="B1018" s="834" t="str">
        <f t="shared" si="45"/>
        <v>|||</v>
      </c>
      <c r="H1018" s="835">
        <f t="shared" si="47"/>
        <v>31</v>
      </c>
      <c r="AF1018" s="831" t="s">
        <v>1704</v>
      </c>
      <c r="AG1018" s="831" t="s">
        <v>58</v>
      </c>
      <c r="AH1018" s="831" t="s">
        <v>79</v>
      </c>
      <c r="AI1018" s="831">
        <v>0</v>
      </c>
      <c r="AJ1018" s="835">
        <v>40117</v>
      </c>
      <c r="AK1018" s="831">
        <v>23</v>
      </c>
      <c r="AP1018" s="831" t="str">
        <f t="shared" si="46"/>
        <v/>
      </c>
    </row>
    <row r="1019" spans="2:42">
      <c r="B1019" s="834" t="str">
        <f t="shared" si="45"/>
        <v>|||</v>
      </c>
      <c r="H1019" s="835">
        <f t="shared" si="47"/>
        <v>31</v>
      </c>
      <c r="AF1019" s="831" t="s">
        <v>1705</v>
      </c>
      <c r="AG1019" s="831" t="s">
        <v>58</v>
      </c>
      <c r="AH1019" s="831" t="s">
        <v>84</v>
      </c>
      <c r="AI1019" s="831">
        <v>0</v>
      </c>
      <c r="AJ1019" s="835">
        <v>40117</v>
      </c>
      <c r="AK1019" s="831">
        <v>95562</v>
      </c>
      <c r="AP1019" s="831" t="str">
        <f t="shared" si="46"/>
        <v/>
      </c>
    </row>
    <row r="1020" spans="2:42">
      <c r="B1020" s="834" t="str">
        <f t="shared" si="45"/>
        <v>|||</v>
      </c>
      <c r="H1020" s="835">
        <f t="shared" si="47"/>
        <v>31</v>
      </c>
      <c r="AF1020" s="831" t="s">
        <v>1706</v>
      </c>
      <c r="AG1020" s="831" t="s">
        <v>58</v>
      </c>
      <c r="AH1020" s="831" t="s">
        <v>89</v>
      </c>
      <c r="AI1020" s="831">
        <v>0</v>
      </c>
      <c r="AJ1020" s="835">
        <v>40117</v>
      </c>
      <c r="AK1020" s="831">
        <v>93054</v>
      </c>
      <c r="AP1020" s="831" t="str">
        <f t="shared" si="46"/>
        <v/>
      </c>
    </row>
    <row r="1021" spans="2:42">
      <c r="B1021" s="834" t="str">
        <f t="shared" si="45"/>
        <v>|||</v>
      </c>
      <c r="H1021" s="835">
        <f t="shared" si="47"/>
        <v>31</v>
      </c>
      <c r="AF1021" s="831" t="s">
        <v>1707</v>
      </c>
      <c r="AG1021" s="831" t="s">
        <v>58</v>
      </c>
      <c r="AH1021" s="831" t="s">
        <v>93</v>
      </c>
      <c r="AI1021" s="831">
        <v>0</v>
      </c>
      <c r="AJ1021" s="835">
        <v>40117</v>
      </c>
      <c r="AK1021" s="831">
        <v>90389</v>
      </c>
      <c r="AP1021" s="831" t="str">
        <f t="shared" si="46"/>
        <v/>
      </c>
    </row>
    <row r="1022" spans="2:42">
      <c r="B1022" s="834" t="str">
        <f t="shared" si="45"/>
        <v>|||</v>
      </c>
      <c r="H1022" s="835">
        <f t="shared" si="47"/>
        <v>31</v>
      </c>
      <c r="AF1022" s="831" t="s">
        <v>1708</v>
      </c>
      <c r="AG1022" s="831" t="s">
        <v>58</v>
      </c>
      <c r="AH1022" s="831" t="s">
        <v>69</v>
      </c>
      <c r="AI1022" s="831">
        <v>0</v>
      </c>
      <c r="AJ1022" s="835">
        <v>40147</v>
      </c>
      <c r="AK1022" s="831">
        <v>324</v>
      </c>
      <c r="AP1022" s="831" t="str">
        <f t="shared" si="46"/>
        <v/>
      </c>
    </row>
    <row r="1023" spans="2:42">
      <c r="B1023" s="834" t="str">
        <f t="shared" si="45"/>
        <v>|||</v>
      </c>
      <c r="H1023" s="835">
        <f t="shared" si="47"/>
        <v>31</v>
      </c>
      <c r="AF1023" s="831" t="s">
        <v>1709</v>
      </c>
      <c r="AG1023" s="831" t="s">
        <v>58</v>
      </c>
      <c r="AH1023" s="831" t="s">
        <v>74</v>
      </c>
      <c r="AI1023" s="831">
        <v>0</v>
      </c>
      <c r="AJ1023" s="835">
        <v>40147</v>
      </c>
      <c r="AK1023" s="831">
        <v>965</v>
      </c>
      <c r="AP1023" s="831" t="str">
        <f t="shared" si="46"/>
        <v/>
      </c>
    </row>
    <row r="1024" spans="2:42">
      <c r="B1024" s="834" t="str">
        <f t="shared" si="45"/>
        <v>|||</v>
      </c>
      <c r="H1024" s="835">
        <f t="shared" si="47"/>
        <v>31</v>
      </c>
      <c r="AF1024" s="831" t="s">
        <v>1710</v>
      </c>
      <c r="AG1024" s="831" t="s">
        <v>58</v>
      </c>
      <c r="AH1024" s="831" t="s">
        <v>79</v>
      </c>
      <c r="AI1024" s="831">
        <v>0</v>
      </c>
      <c r="AJ1024" s="835">
        <v>40147</v>
      </c>
      <c r="AK1024" s="831">
        <v>23</v>
      </c>
      <c r="AP1024" s="831" t="str">
        <f t="shared" si="46"/>
        <v/>
      </c>
    </row>
    <row r="1025" spans="2:42">
      <c r="B1025" s="834" t="str">
        <f t="shared" si="45"/>
        <v>|||</v>
      </c>
      <c r="H1025" s="835">
        <f t="shared" si="47"/>
        <v>31</v>
      </c>
      <c r="AF1025" s="831" t="s">
        <v>1711</v>
      </c>
      <c r="AG1025" s="831" t="s">
        <v>58</v>
      </c>
      <c r="AH1025" s="831" t="s">
        <v>84</v>
      </c>
      <c r="AI1025" s="831">
        <v>0</v>
      </c>
      <c r="AJ1025" s="835">
        <v>40147</v>
      </c>
      <c r="AK1025" s="831">
        <v>97896</v>
      </c>
      <c r="AP1025" s="831" t="str">
        <f t="shared" si="46"/>
        <v/>
      </c>
    </row>
    <row r="1026" spans="2:42">
      <c r="B1026" s="834" t="str">
        <f t="shared" si="45"/>
        <v>|||</v>
      </c>
      <c r="H1026" s="835">
        <f t="shared" si="47"/>
        <v>31</v>
      </c>
      <c r="AF1026" s="831" t="s">
        <v>1712</v>
      </c>
      <c r="AG1026" s="831" t="s">
        <v>58</v>
      </c>
      <c r="AH1026" s="831" t="s">
        <v>89</v>
      </c>
      <c r="AI1026" s="831">
        <v>0</v>
      </c>
      <c r="AJ1026" s="835">
        <v>40147</v>
      </c>
      <c r="AK1026" s="831">
        <v>95365</v>
      </c>
      <c r="AP1026" s="831" t="str">
        <f t="shared" si="46"/>
        <v/>
      </c>
    </row>
    <row r="1027" spans="2:42">
      <c r="B1027" s="834" t="str">
        <f t="shared" ref="B1027:B1090" si="48">C1027&amp;"|"&amp;D1027&amp;"|"&amp;E1027&amp;"|"&amp;F1027</f>
        <v>|||</v>
      </c>
      <c r="H1027" s="835">
        <f t="shared" si="47"/>
        <v>31</v>
      </c>
      <c r="AF1027" s="831" t="s">
        <v>1713</v>
      </c>
      <c r="AG1027" s="831" t="s">
        <v>58</v>
      </c>
      <c r="AH1027" s="831" t="s">
        <v>93</v>
      </c>
      <c r="AI1027" s="831">
        <v>0</v>
      </c>
      <c r="AJ1027" s="835">
        <v>40147</v>
      </c>
      <c r="AK1027" s="831">
        <v>94763</v>
      </c>
      <c r="AP1027" s="831" t="str">
        <f t="shared" ref="AP1027:AP1090" si="49">IF(AX1027&lt;&gt;"",IF(OR(AX1027=3,AX1027=4),"Equity","Debt"),"")</f>
        <v/>
      </c>
    </row>
    <row r="1028" spans="2:42">
      <c r="B1028" s="834" t="str">
        <f t="shared" si="48"/>
        <v>|||</v>
      </c>
      <c r="H1028" s="835">
        <f t="shared" ref="H1028:H1091" si="50">EOMONTH(L1028,0)</f>
        <v>31</v>
      </c>
      <c r="AF1028" s="831" t="s">
        <v>1714</v>
      </c>
      <c r="AG1028" s="831" t="s">
        <v>58</v>
      </c>
      <c r="AH1028" s="831" t="s">
        <v>69</v>
      </c>
      <c r="AI1028" s="831">
        <v>0</v>
      </c>
      <c r="AJ1028" s="835">
        <v>40178</v>
      </c>
      <c r="AK1028" s="831">
        <v>320</v>
      </c>
      <c r="AP1028" s="831" t="str">
        <f t="shared" si="49"/>
        <v/>
      </c>
    </row>
    <row r="1029" spans="2:42">
      <c r="B1029" s="834" t="str">
        <f t="shared" si="48"/>
        <v>|||</v>
      </c>
      <c r="H1029" s="835">
        <f t="shared" si="50"/>
        <v>31</v>
      </c>
      <c r="AF1029" s="831" t="s">
        <v>1715</v>
      </c>
      <c r="AG1029" s="831" t="s">
        <v>58</v>
      </c>
      <c r="AH1029" s="831" t="s">
        <v>74</v>
      </c>
      <c r="AI1029" s="831">
        <v>0</v>
      </c>
      <c r="AJ1029" s="835">
        <v>40178</v>
      </c>
      <c r="AK1029" s="831">
        <v>960</v>
      </c>
      <c r="AP1029" s="831" t="str">
        <f t="shared" si="49"/>
        <v/>
      </c>
    </row>
    <row r="1030" spans="2:42">
      <c r="B1030" s="834" t="str">
        <f t="shared" si="48"/>
        <v>|||</v>
      </c>
      <c r="H1030" s="835">
        <f t="shared" si="50"/>
        <v>31</v>
      </c>
      <c r="AF1030" s="831" t="s">
        <v>1716</v>
      </c>
      <c r="AG1030" s="831" t="s">
        <v>58</v>
      </c>
      <c r="AH1030" s="831" t="s">
        <v>79</v>
      </c>
      <c r="AI1030" s="831">
        <v>0</v>
      </c>
      <c r="AJ1030" s="835">
        <v>40178</v>
      </c>
      <c r="AK1030" s="831">
        <v>23</v>
      </c>
      <c r="AP1030" s="831" t="str">
        <f t="shared" si="49"/>
        <v/>
      </c>
    </row>
    <row r="1031" spans="2:42">
      <c r="B1031" s="834" t="str">
        <f t="shared" si="48"/>
        <v>|||</v>
      </c>
      <c r="H1031" s="835">
        <f t="shared" si="50"/>
        <v>31</v>
      </c>
      <c r="AF1031" s="831" t="s">
        <v>1717</v>
      </c>
      <c r="AG1031" s="831" t="s">
        <v>58</v>
      </c>
      <c r="AH1031" s="831" t="s">
        <v>84</v>
      </c>
      <c r="AI1031" s="831">
        <v>0</v>
      </c>
      <c r="AJ1031" s="835">
        <v>40178</v>
      </c>
      <c r="AK1031" s="831">
        <v>100489</v>
      </c>
      <c r="AP1031" s="831" t="str">
        <f t="shared" si="49"/>
        <v/>
      </c>
    </row>
    <row r="1032" spans="2:42">
      <c r="B1032" s="834" t="str">
        <f t="shared" si="48"/>
        <v>|||</v>
      </c>
      <c r="H1032" s="835">
        <f t="shared" si="50"/>
        <v>31</v>
      </c>
      <c r="AF1032" s="831" t="s">
        <v>1718</v>
      </c>
      <c r="AG1032" s="831" t="s">
        <v>58</v>
      </c>
      <c r="AH1032" s="831" t="s">
        <v>89</v>
      </c>
      <c r="AI1032" s="831">
        <v>0</v>
      </c>
      <c r="AJ1032" s="835">
        <v>40178</v>
      </c>
      <c r="AK1032" s="831">
        <v>97882</v>
      </c>
      <c r="AP1032" s="831" t="str">
        <f t="shared" si="49"/>
        <v/>
      </c>
    </row>
    <row r="1033" spans="2:42">
      <c r="B1033" s="834" t="str">
        <f t="shared" si="48"/>
        <v>|||</v>
      </c>
      <c r="H1033" s="835">
        <f t="shared" si="50"/>
        <v>31</v>
      </c>
      <c r="AF1033" s="831" t="s">
        <v>1719</v>
      </c>
      <c r="AG1033" s="831" t="s">
        <v>58</v>
      </c>
      <c r="AH1033" s="831" t="s">
        <v>93</v>
      </c>
      <c r="AI1033" s="831">
        <v>0</v>
      </c>
      <c r="AJ1033" s="835">
        <v>40178</v>
      </c>
      <c r="AK1033" s="831">
        <v>99102</v>
      </c>
      <c r="AP1033" s="831" t="str">
        <f t="shared" si="49"/>
        <v/>
      </c>
    </row>
    <row r="1034" spans="2:42">
      <c r="B1034" s="834" t="str">
        <f t="shared" si="48"/>
        <v>|||</v>
      </c>
      <c r="H1034" s="835">
        <f t="shared" si="50"/>
        <v>31</v>
      </c>
      <c r="AF1034" s="831" t="s">
        <v>1720</v>
      </c>
      <c r="AG1034" s="831" t="s">
        <v>1721</v>
      </c>
      <c r="AH1034" s="831" t="s">
        <v>1722</v>
      </c>
      <c r="AI1034" s="831">
        <v>0</v>
      </c>
      <c r="AJ1034" s="835">
        <v>39478</v>
      </c>
      <c r="AK1034" s="831">
        <v>0</v>
      </c>
      <c r="AP1034" s="831" t="str">
        <f t="shared" si="49"/>
        <v/>
      </c>
    </row>
    <row r="1035" spans="2:42">
      <c r="B1035" s="834" t="str">
        <f t="shared" si="48"/>
        <v>|||</v>
      </c>
      <c r="H1035" s="835">
        <f t="shared" si="50"/>
        <v>31</v>
      </c>
      <c r="AF1035" s="831" t="s">
        <v>1723</v>
      </c>
      <c r="AG1035" s="831" t="s">
        <v>1721</v>
      </c>
      <c r="AH1035" s="831" t="s">
        <v>1724</v>
      </c>
      <c r="AI1035" s="831">
        <v>0</v>
      </c>
      <c r="AJ1035" s="835">
        <v>39478</v>
      </c>
      <c r="AK1035" s="831">
        <v>0</v>
      </c>
      <c r="AP1035" s="831" t="str">
        <f t="shared" si="49"/>
        <v/>
      </c>
    </row>
    <row r="1036" spans="2:42">
      <c r="B1036" s="834" t="str">
        <f t="shared" si="48"/>
        <v>|||</v>
      </c>
      <c r="H1036" s="835">
        <f t="shared" si="50"/>
        <v>31</v>
      </c>
      <c r="AF1036" s="831" t="s">
        <v>1725</v>
      </c>
      <c r="AG1036" s="831" t="s">
        <v>1721</v>
      </c>
      <c r="AH1036" s="831" t="s">
        <v>1726</v>
      </c>
      <c r="AI1036" s="831">
        <v>0</v>
      </c>
      <c r="AJ1036" s="835">
        <v>39478</v>
      </c>
      <c r="AK1036" s="831">
        <v>0</v>
      </c>
      <c r="AP1036" s="831" t="str">
        <f t="shared" si="49"/>
        <v/>
      </c>
    </row>
    <row r="1037" spans="2:42">
      <c r="B1037" s="834" t="str">
        <f t="shared" si="48"/>
        <v>|||</v>
      </c>
      <c r="H1037" s="835">
        <f t="shared" si="50"/>
        <v>31</v>
      </c>
      <c r="AF1037" s="831" t="s">
        <v>1727</v>
      </c>
      <c r="AG1037" s="831" t="s">
        <v>1721</v>
      </c>
      <c r="AH1037" s="831" t="s">
        <v>1722</v>
      </c>
      <c r="AI1037" s="831">
        <v>0</v>
      </c>
      <c r="AJ1037" s="835">
        <v>39507</v>
      </c>
      <c r="AK1037" s="831">
        <v>0</v>
      </c>
      <c r="AP1037" s="831" t="str">
        <f t="shared" si="49"/>
        <v/>
      </c>
    </row>
    <row r="1038" spans="2:42">
      <c r="B1038" s="834" t="str">
        <f t="shared" si="48"/>
        <v>|||</v>
      </c>
      <c r="H1038" s="835">
        <f t="shared" si="50"/>
        <v>31</v>
      </c>
      <c r="AF1038" s="831" t="s">
        <v>1728</v>
      </c>
      <c r="AG1038" s="831" t="s">
        <v>1721</v>
      </c>
      <c r="AH1038" s="831" t="s">
        <v>1724</v>
      </c>
      <c r="AI1038" s="831">
        <v>0</v>
      </c>
      <c r="AJ1038" s="835">
        <v>39507</v>
      </c>
      <c r="AK1038" s="831">
        <v>0</v>
      </c>
      <c r="AP1038" s="831" t="str">
        <f t="shared" si="49"/>
        <v/>
      </c>
    </row>
    <row r="1039" spans="2:42">
      <c r="B1039" s="834" t="str">
        <f t="shared" si="48"/>
        <v>|||</v>
      </c>
      <c r="H1039" s="835">
        <f t="shared" si="50"/>
        <v>31</v>
      </c>
      <c r="AF1039" s="831" t="s">
        <v>1729</v>
      </c>
      <c r="AG1039" s="831" t="s">
        <v>1721</v>
      </c>
      <c r="AH1039" s="831" t="s">
        <v>1726</v>
      </c>
      <c r="AI1039" s="831">
        <v>0</v>
      </c>
      <c r="AJ1039" s="835">
        <v>39507</v>
      </c>
      <c r="AK1039" s="831">
        <v>0</v>
      </c>
      <c r="AP1039" s="831" t="str">
        <f t="shared" si="49"/>
        <v/>
      </c>
    </row>
    <row r="1040" spans="2:42">
      <c r="B1040" s="834" t="str">
        <f t="shared" si="48"/>
        <v>|||</v>
      </c>
      <c r="H1040" s="835">
        <f t="shared" si="50"/>
        <v>31</v>
      </c>
      <c r="AF1040" s="831" t="s">
        <v>1730</v>
      </c>
      <c r="AG1040" s="831" t="s">
        <v>1721</v>
      </c>
      <c r="AH1040" s="831" t="s">
        <v>1722</v>
      </c>
      <c r="AI1040" s="831">
        <v>0</v>
      </c>
      <c r="AJ1040" s="835">
        <v>39538</v>
      </c>
      <c r="AK1040" s="831">
        <v>0</v>
      </c>
      <c r="AP1040" s="831" t="str">
        <f t="shared" si="49"/>
        <v/>
      </c>
    </row>
    <row r="1041" spans="2:42">
      <c r="B1041" s="834" t="str">
        <f t="shared" si="48"/>
        <v>|||</v>
      </c>
      <c r="H1041" s="835">
        <f t="shared" si="50"/>
        <v>31</v>
      </c>
      <c r="AF1041" s="831" t="s">
        <v>1731</v>
      </c>
      <c r="AG1041" s="831" t="s">
        <v>1721</v>
      </c>
      <c r="AH1041" s="831" t="s">
        <v>1724</v>
      </c>
      <c r="AI1041" s="831">
        <v>0</v>
      </c>
      <c r="AJ1041" s="835">
        <v>39538</v>
      </c>
      <c r="AK1041" s="831">
        <v>0</v>
      </c>
      <c r="AP1041" s="831" t="str">
        <f t="shared" si="49"/>
        <v/>
      </c>
    </row>
    <row r="1042" spans="2:42">
      <c r="B1042" s="834" t="str">
        <f t="shared" si="48"/>
        <v>|||</v>
      </c>
      <c r="H1042" s="835">
        <f t="shared" si="50"/>
        <v>31</v>
      </c>
      <c r="AF1042" s="831" t="s">
        <v>1732</v>
      </c>
      <c r="AG1042" s="831" t="s">
        <v>1721</v>
      </c>
      <c r="AH1042" s="831" t="s">
        <v>1726</v>
      </c>
      <c r="AI1042" s="831">
        <v>0</v>
      </c>
      <c r="AJ1042" s="835">
        <v>39538</v>
      </c>
      <c r="AK1042" s="831">
        <v>0</v>
      </c>
      <c r="AP1042" s="831" t="str">
        <f t="shared" si="49"/>
        <v/>
      </c>
    </row>
    <row r="1043" spans="2:42">
      <c r="B1043" s="834" t="str">
        <f t="shared" si="48"/>
        <v>|||</v>
      </c>
      <c r="H1043" s="835">
        <f t="shared" si="50"/>
        <v>31</v>
      </c>
      <c r="AF1043" s="831" t="s">
        <v>1733</v>
      </c>
      <c r="AG1043" s="831" t="s">
        <v>1721</v>
      </c>
      <c r="AH1043" s="831" t="s">
        <v>1722</v>
      </c>
      <c r="AI1043" s="831">
        <v>0</v>
      </c>
      <c r="AJ1043" s="835">
        <v>39568</v>
      </c>
      <c r="AK1043" s="831">
        <v>0</v>
      </c>
      <c r="AP1043" s="831" t="str">
        <f t="shared" si="49"/>
        <v/>
      </c>
    </row>
    <row r="1044" spans="2:42">
      <c r="B1044" s="834" t="str">
        <f t="shared" si="48"/>
        <v>|||</v>
      </c>
      <c r="H1044" s="835">
        <f t="shared" si="50"/>
        <v>31</v>
      </c>
      <c r="AF1044" s="831" t="s">
        <v>1734</v>
      </c>
      <c r="AG1044" s="831" t="s">
        <v>1721</v>
      </c>
      <c r="AH1044" s="831" t="s">
        <v>1724</v>
      </c>
      <c r="AI1044" s="831">
        <v>0</v>
      </c>
      <c r="AJ1044" s="835">
        <v>39568</v>
      </c>
      <c r="AK1044" s="831">
        <v>0</v>
      </c>
      <c r="AP1044" s="831" t="str">
        <f t="shared" si="49"/>
        <v/>
      </c>
    </row>
    <row r="1045" spans="2:42">
      <c r="B1045" s="834" t="str">
        <f t="shared" si="48"/>
        <v>|||</v>
      </c>
      <c r="H1045" s="835">
        <f t="shared" si="50"/>
        <v>31</v>
      </c>
      <c r="AF1045" s="831" t="s">
        <v>1735</v>
      </c>
      <c r="AG1045" s="831" t="s">
        <v>1721</v>
      </c>
      <c r="AH1045" s="831" t="s">
        <v>1726</v>
      </c>
      <c r="AI1045" s="831">
        <v>0</v>
      </c>
      <c r="AJ1045" s="835">
        <v>39568</v>
      </c>
      <c r="AK1045" s="831">
        <v>0</v>
      </c>
      <c r="AP1045" s="831" t="str">
        <f t="shared" si="49"/>
        <v/>
      </c>
    </row>
    <row r="1046" spans="2:42">
      <c r="B1046" s="834" t="str">
        <f t="shared" si="48"/>
        <v>|||</v>
      </c>
      <c r="H1046" s="835">
        <f t="shared" si="50"/>
        <v>31</v>
      </c>
      <c r="AF1046" s="831" t="s">
        <v>1736</v>
      </c>
      <c r="AG1046" s="831" t="s">
        <v>1721</v>
      </c>
      <c r="AH1046" s="831" t="s">
        <v>1722</v>
      </c>
      <c r="AI1046" s="831">
        <v>0</v>
      </c>
      <c r="AJ1046" s="835">
        <v>39599</v>
      </c>
      <c r="AK1046" s="831">
        <v>0</v>
      </c>
      <c r="AP1046" s="831" t="str">
        <f t="shared" si="49"/>
        <v/>
      </c>
    </row>
    <row r="1047" spans="2:42">
      <c r="B1047" s="834" t="str">
        <f t="shared" si="48"/>
        <v>|||</v>
      </c>
      <c r="H1047" s="835">
        <f t="shared" si="50"/>
        <v>31</v>
      </c>
      <c r="AF1047" s="831" t="s">
        <v>1737</v>
      </c>
      <c r="AG1047" s="831" t="s">
        <v>1721</v>
      </c>
      <c r="AH1047" s="831" t="s">
        <v>1724</v>
      </c>
      <c r="AI1047" s="831">
        <v>0</v>
      </c>
      <c r="AJ1047" s="835">
        <v>39599</v>
      </c>
      <c r="AK1047" s="831">
        <v>0</v>
      </c>
      <c r="AP1047" s="831" t="str">
        <f t="shared" si="49"/>
        <v/>
      </c>
    </row>
    <row r="1048" spans="2:42">
      <c r="B1048" s="834" t="str">
        <f t="shared" si="48"/>
        <v>|||</v>
      </c>
      <c r="H1048" s="835">
        <f t="shared" si="50"/>
        <v>31</v>
      </c>
      <c r="AF1048" s="831" t="s">
        <v>1738</v>
      </c>
      <c r="AG1048" s="831" t="s">
        <v>1721</v>
      </c>
      <c r="AH1048" s="831" t="s">
        <v>1726</v>
      </c>
      <c r="AI1048" s="831">
        <v>0</v>
      </c>
      <c r="AJ1048" s="835">
        <v>39599</v>
      </c>
      <c r="AK1048" s="831">
        <v>0</v>
      </c>
      <c r="AP1048" s="831" t="str">
        <f t="shared" si="49"/>
        <v/>
      </c>
    </row>
    <row r="1049" spans="2:42">
      <c r="B1049" s="834" t="str">
        <f t="shared" si="48"/>
        <v>|||</v>
      </c>
      <c r="H1049" s="835">
        <f t="shared" si="50"/>
        <v>31</v>
      </c>
      <c r="AF1049" s="831" t="s">
        <v>1739</v>
      </c>
      <c r="AG1049" s="831" t="s">
        <v>1721</v>
      </c>
      <c r="AH1049" s="831" t="s">
        <v>1722</v>
      </c>
      <c r="AI1049" s="831">
        <v>0</v>
      </c>
      <c r="AJ1049" s="835">
        <v>39629</v>
      </c>
      <c r="AK1049" s="831">
        <v>0</v>
      </c>
      <c r="AP1049" s="831" t="str">
        <f t="shared" si="49"/>
        <v/>
      </c>
    </row>
    <row r="1050" spans="2:42">
      <c r="B1050" s="834" t="str">
        <f t="shared" si="48"/>
        <v>|||</v>
      </c>
      <c r="H1050" s="835">
        <f t="shared" si="50"/>
        <v>31</v>
      </c>
      <c r="AF1050" s="831" t="s">
        <v>1740</v>
      </c>
      <c r="AG1050" s="831" t="s">
        <v>1721</v>
      </c>
      <c r="AH1050" s="831" t="s">
        <v>1724</v>
      </c>
      <c r="AI1050" s="831">
        <v>0</v>
      </c>
      <c r="AJ1050" s="835">
        <v>39629</v>
      </c>
      <c r="AK1050" s="831">
        <v>0</v>
      </c>
      <c r="AP1050" s="831" t="str">
        <f t="shared" si="49"/>
        <v/>
      </c>
    </row>
    <row r="1051" spans="2:42">
      <c r="B1051" s="834" t="str">
        <f t="shared" si="48"/>
        <v>|||</v>
      </c>
      <c r="H1051" s="835">
        <f t="shared" si="50"/>
        <v>31</v>
      </c>
      <c r="AF1051" s="831" t="s">
        <v>1741</v>
      </c>
      <c r="AG1051" s="831" t="s">
        <v>1721</v>
      </c>
      <c r="AH1051" s="831" t="s">
        <v>1726</v>
      </c>
      <c r="AI1051" s="831">
        <v>0</v>
      </c>
      <c r="AJ1051" s="835">
        <v>39629</v>
      </c>
      <c r="AK1051" s="831">
        <v>0</v>
      </c>
      <c r="AP1051" s="831" t="str">
        <f t="shared" si="49"/>
        <v/>
      </c>
    </row>
    <row r="1052" spans="2:42">
      <c r="B1052" s="834" t="str">
        <f t="shared" si="48"/>
        <v>|||</v>
      </c>
      <c r="H1052" s="835">
        <f t="shared" si="50"/>
        <v>31</v>
      </c>
      <c r="AF1052" s="831" t="s">
        <v>1742</v>
      </c>
      <c r="AG1052" s="831" t="s">
        <v>1721</v>
      </c>
      <c r="AH1052" s="831" t="s">
        <v>1722</v>
      </c>
      <c r="AI1052" s="831">
        <v>0</v>
      </c>
      <c r="AJ1052" s="835">
        <v>39660</v>
      </c>
      <c r="AK1052" s="831">
        <v>0</v>
      </c>
      <c r="AP1052" s="831" t="str">
        <f t="shared" si="49"/>
        <v/>
      </c>
    </row>
    <row r="1053" spans="2:42">
      <c r="B1053" s="834" t="str">
        <f t="shared" si="48"/>
        <v>|||</v>
      </c>
      <c r="H1053" s="835">
        <f t="shared" si="50"/>
        <v>31</v>
      </c>
      <c r="AF1053" s="831" t="s">
        <v>1743</v>
      </c>
      <c r="AG1053" s="831" t="s">
        <v>1721</v>
      </c>
      <c r="AH1053" s="831" t="s">
        <v>1724</v>
      </c>
      <c r="AI1053" s="831">
        <v>0</v>
      </c>
      <c r="AJ1053" s="835">
        <v>39660</v>
      </c>
      <c r="AK1053" s="831">
        <v>0</v>
      </c>
      <c r="AP1053" s="831" t="str">
        <f t="shared" si="49"/>
        <v/>
      </c>
    </row>
    <row r="1054" spans="2:42">
      <c r="B1054" s="834" t="str">
        <f t="shared" si="48"/>
        <v>|||</v>
      </c>
      <c r="H1054" s="835">
        <f t="shared" si="50"/>
        <v>31</v>
      </c>
      <c r="AF1054" s="831" t="s">
        <v>1744</v>
      </c>
      <c r="AG1054" s="831" t="s">
        <v>1721</v>
      </c>
      <c r="AH1054" s="831" t="s">
        <v>1726</v>
      </c>
      <c r="AI1054" s="831">
        <v>0</v>
      </c>
      <c r="AJ1054" s="835">
        <v>39660</v>
      </c>
      <c r="AK1054" s="831">
        <v>0</v>
      </c>
      <c r="AP1054" s="831" t="str">
        <f t="shared" si="49"/>
        <v/>
      </c>
    </row>
    <row r="1055" spans="2:42">
      <c r="B1055" s="834" t="str">
        <f t="shared" si="48"/>
        <v>|||</v>
      </c>
      <c r="H1055" s="835">
        <f t="shared" si="50"/>
        <v>31</v>
      </c>
      <c r="AF1055" s="831" t="s">
        <v>1745</v>
      </c>
      <c r="AG1055" s="831" t="s">
        <v>1721</v>
      </c>
      <c r="AH1055" s="831" t="s">
        <v>1722</v>
      </c>
      <c r="AI1055" s="831">
        <v>0</v>
      </c>
      <c r="AJ1055" s="835">
        <v>39691</v>
      </c>
      <c r="AK1055" s="831">
        <v>0</v>
      </c>
      <c r="AP1055" s="831" t="str">
        <f t="shared" si="49"/>
        <v/>
      </c>
    </row>
    <row r="1056" spans="2:42">
      <c r="B1056" s="834" t="str">
        <f t="shared" si="48"/>
        <v>|||</v>
      </c>
      <c r="H1056" s="835">
        <f t="shared" si="50"/>
        <v>31</v>
      </c>
      <c r="AF1056" s="831" t="s">
        <v>1746</v>
      </c>
      <c r="AG1056" s="831" t="s">
        <v>1721</v>
      </c>
      <c r="AH1056" s="831" t="s">
        <v>1724</v>
      </c>
      <c r="AI1056" s="831">
        <v>0</v>
      </c>
      <c r="AJ1056" s="835">
        <v>39691</v>
      </c>
      <c r="AK1056" s="831">
        <v>0</v>
      </c>
      <c r="AP1056" s="831" t="str">
        <f t="shared" si="49"/>
        <v/>
      </c>
    </row>
    <row r="1057" spans="2:42">
      <c r="B1057" s="834" t="str">
        <f t="shared" si="48"/>
        <v>|||</v>
      </c>
      <c r="H1057" s="835">
        <f t="shared" si="50"/>
        <v>31</v>
      </c>
      <c r="AF1057" s="831" t="s">
        <v>1747</v>
      </c>
      <c r="AG1057" s="831" t="s">
        <v>1721</v>
      </c>
      <c r="AH1057" s="831" t="s">
        <v>1726</v>
      </c>
      <c r="AI1057" s="831">
        <v>0</v>
      </c>
      <c r="AJ1057" s="835">
        <v>39691</v>
      </c>
      <c r="AK1057" s="831">
        <v>0</v>
      </c>
      <c r="AP1057" s="831" t="str">
        <f t="shared" si="49"/>
        <v/>
      </c>
    </row>
    <row r="1058" spans="2:42">
      <c r="B1058" s="834" t="str">
        <f t="shared" si="48"/>
        <v>|||</v>
      </c>
      <c r="H1058" s="835">
        <f t="shared" si="50"/>
        <v>31</v>
      </c>
      <c r="AF1058" s="831" t="s">
        <v>1748</v>
      </c>
      <c r="AG1058" s="831" t="s">
        <v>1721</v>
      </c>
      <c r="AH1058" s="831" t="s">
        <v>1722</v>
      </c>
      <c r="AI1058" s="831">
        <v>0</v>
      </c>
      <c r="AJ1058" s="835">
        <v>39721</v>
      </c>
      <c r="AK1058" s="831">
        <v>0</v>
      </c>
      <c r="AP1058" s="831" t="str">
        <f t="shared" si="49"/>
        <v/>
      </c>
    </row>
    <row r="1059" spans="2:42">
      <c r="B1059" s="834" t="str">
        <f t="shared" si="48"/>
        <v>|||</v>
      </c>
      <c r="H1059" s="835">
        <f t="shared" si="50"/>
        <v>31</v>
      </c>
      <c r="AF1059" s="831" t="s">
        <v>1749</v>
      </c>
      <c r="AG1059" s="831" t="s">
        <v>1721</v>
      </c>
      <c r="AH1059" s="831" t="s">
        <v>1724</v>
      </c>
      <c r="AI1059" s="831">
        <v>0</v>
      </c>
      <c r="AJ1059" s="835">
        <v>39721</v>
      </c>
      <c r="AK1059" s="831">
        <v>0</v>
      </c>
      <c r="AP1059" s="831" t="str">
        <f t="shared" si="49"/>
        <v/>
      </c>
    </row>
    <row r="1060" spans="2:42">
      <c r="B1060" s="834" t="str">
        <f t="shared" si="48"/>
        <v>|||</v>
      </c>
      <c r="H1060" s="835">
        <f t="shared" si="50"/>
        <v>31</v>
      </c>
      <c r="AF1060" s="831" t="s">
        <v>1750</v>
      </c>
      <c r="AG1060" s="831" t="s">
        <v>1721</v>
      </c>
      <c r="AH1060" s="831" t="s">
        <v>1726</v>
      </c>
      <c r="AI1060" s="831">
        <v>0</v>
      </c>
      <c r="AJ1060" s="835">
        <v>39721</v>
      </c>
      <c r="AK1060" s="831">
        <v>0</v>
      </c>
      <c r="AP1060" s="831" t="str">
        <f t="shared" si="49"/>
        <v/>
      </c>
    </row>
    <row r="1061" spans="2:42">
      <c r="B1061" s="834" t="str">
        <f t="shared" si="48"/>
        <v>|||</v>
      </c>
      <c r="H1061" s="835">
        <f t="shared" si="50"/>
        <v>31</v>
      </c>
      <c r="AF1061" s="831" t="s">
        <v>1751</v>
      </c>
      <c r="AG1061" s="831" t="s">
        <v>1721</v>
      </c>
      <c r="AH1061" s="831" t="s">
        <v>1722</v>
      </c>
      <c r="AI1061" s="831">
        <v>0</v>
      </c>
      <c r="AJ1061" s="835">
        <v>39752</v>
      </c>
      <c r="AK1061" s="831">
        <v>0</v>
      </c>
      <c r="AP1061" s="831" t="str">
        <f t="shared" si="49"/>
        <v/>
      </c>
    </row>
    <row r="1062" spans="2:42">
      <c r="B1062" s="834" t="str">
        <f t="shared" si="48"/>
        <v>|||</v>
      </c>
      <c r="H1062" s="835">
        <f t="shared" si="50"/>
        <v>31</v>
      </c>
      <c r="AF1062" s="831" t="s">
        <v>1752</v>
      </c>
      <c r="AG1062" s="831" t="s">
        <v>1721</v>
      </c>
      <c r="AH1062" s="831" t="s">
        <v>1724</v>
      </c>
      <c r="AI1062" s="831">
        <v>0</v>
      </c>
      <c r="AJ1062" s="835">
        <v>39752</v>
      </c>
      <c r="AK1062" s="831">
        <v>0</v>
      </c>
      <c r="AP1062" s="831" t="str">
        <f t="shared" si="49"/>
        <v/>
      </c>
    </row>
    <row r="1063" spans="2:42">
      <c r="B1063" s="834" t="str">
        <f t="shared" si="48"/>
        <v>|||</v>
      </c>
      <c r="H1063" s="835">
        <f t="shared" si="50"/>
        <v>31</v>
      </c>
      <c r="AF1063" s="831" t="s">
        <v>1753</v>
      </c>
      <c r="AG1063" s="831" t="s">
        <v>1721</v>
      </c>
      <c r="AH1063" s="831" t="s">
        <v>1726</v>
      </c>
      <c r="AI1063" s="831">
        <v>0</v>
      </c>
      <c r="AJ1063" s="835">
        <v>39752</v>
      </c>
      <c r="AK1063" s="831">
        <v>0</v>
      </c>
      <c r="AP1063" s="831" t="str">
        <f t="shared" si="49"/>
        <v/>
      </c>
    </row>
    <row r="1064" spans="2:42">
      <c r="B1064" s="834" t="str">
        <f t="shared" si="48"/>
        <v>|||</v>
      </c>
      <c r="H1064" s="835">
        <f t="shared" si="50"/>
        <v>31</v>
      </c>
      <c r="AF1064" s="831" t="s">
        <v>1754</v>
      </c>
      <c r="AG1064" s="831" t="s">
        <v>1721</v>
      </c>
      <c r="AH1064" s="831" t="s">
        <v>1722</v>
      </c>
      <c r="AI1064" s="831">
        <v>0</v>
      </c>
      <c r="AJ1064" s="835">
        <v>39782</v>
      </c>
      <c r="AK1064" s="831">
        <v>0</v>
      </c>
      <c r="AP1064" s="831" t="str">
        <f t="shared" si="49"/>
        <v/>
      </c>
    </row>
    <row r="1065" spans="2:42">
      <c r="B1065" s="834" t="str">
        <f t="shared" si="48"/>
        <v>|||</v>
      </c>
      <c r="H1065" s="835">
        <f t="shared" si="50"/>
        <v>31</v>
      </c>
      <c r="AF1065" s="831" t="s">
        <v>1755</v>
      </c>
      <c r="AG1065" s="831" t="s">
        <v>1721</v>
      </c>
      <c r="AH1065" s="831" t="s">
        <v>1724</v>
      </c>
      <c r="AI1065" s="831">
        <v>0</v>
      </c>
      <c r="AJ1065" s="835">
        <v>39782</v>
      </c>
      <c r="AK1065" s="831">
        <v>0</v>
      </c>
      <c r="AP1065" s="831" t="str">
        <f t="shared" si="49"/>
        <v/>
      </c>
    </row>
    <row r="1066" spans="2:42">
      <c r="B1066" s="834" t="str">
        <f t="shared" si="48"/>
        <v>|||</v>
      </c>
      <c r="H1066" s="835">
        <f t="shared" si="50"/>
        <v>31</v>
      </c>
      <c r="AF1066" s="831" t="s">
        <v>1756</v>
      </c>
      <c r="AG1066" s="831" t="s">
        <v>1721</v>
      </c>
      <c r="AH1066" s="831" t="s">
        <v>1726</v>
      </c>
      <c r="AI1066" s="831">
        <v>0</v>
      </c>
      <c r="AJ1066" s="835">
        <v>39782</v>
      </c>
      <c r="AK1066" s="831">
        <v>0</v>
      </c>
      <c r="AP1066" s="831" t="str">
        <f t="shared" si="49"/>
        <v/>
      </c>
    </row>
    <row r="1067" spans="2:42">
      <c r="B1067" s="834" t="str">
        <f t="shared" si="48"/>
        <v>|||</v>
      </c>
      <c r="H1067" s="835">
        <f t="shared" si="50"/>
        <v>31</v>
      </c>
      <c r="AF1067" s="831" t="s">
        <v>1757</v>
      </c>
      <c r="AG1067" s="831" t="s">
        <v>1721</v>
      </c>
      <c r="AH1067" s="831" t="s">
        <v>1722</v>
      </c>
      <c r="AI1067" s="831">
        <v>0</v>
      </c>
      <c r="AJ1067" s="835">
        <v>39813</v>
      </c>
      <c r="AK1067" s="831">
        <v>0</v>
      </c>
      <c r="AP1067" s="831" t="str">
        <f t="shared" si="49"/>
        <v/>
      </c>
    </row>
    <row r="1068" spans="2:42">
      <c r="B1068" s="834" t="str">
        <f t="shared" si="48"/>
        <v>|||</v>
      </c>
      <c r="H1068" s="835">
        <f t="shared" si="50"/>
        <v>31</v>
      </c>
      <c r="AF1068" s="831" t="s">
        <v>1758</v>
      </c>
      <c r="AG1068" s="831" t="s">
        <v>1721</v>
      </c>
      <c r="AH1068" s="831" t="s">
        <v>1724</v>
      </c>
      <c r="AI1068" s="831">
        <v>0</v>
      </c>
      <c r="AJ1068" s="835">
        <v>39813</v>
      </c>
      <c r="AK1068" s="831">
        <v>0</v>
      </c>
      <c r="AP1068" s="831" t="str">
        <f t="shared" si="49"/>
        <v/>
      </c>
    </row>
    <row r="1069" spans="2:42">
      <c r="B1069" s="834" t="str">
        <f t="shared" si="48"/>
        <v>|||</v>
      </c>
      <c r="H1069" s="835">
        <f t="shared" si="50"/>
        <v>31</v>
      </c>
      <c r="AF1069" s="831" t="s">
        <v>1759</v>
      </c>
      <c r="AG1069" s="831" t="s">
        <v>1721</v>
      </c>
      <c r="AH1069" s="831" t="s">
        <v>1726</v>
      </c>
      <c r="AI1069" s="831">
        <v>0</v>
      </c>
      <c r="AJ1069" s="835">
        <v>39813</v>
      </c>
      <c r="AK1069" s="831">
        <v>0</v>
      </c>
      <c r="AP1069" s="831" t="str">
        <f t="shared" si="49"/>
        <v/>
      </c>
    </row>
    <row r="1070" spans="2:42">
      <c r="B1070" s="834" t="str">
        <f t="shared" si="48"/>
        <v>|||</v>
      </c>
      <c r="H1070" s="835">
        <f t="shared" si="50"/>
        <v>31</v>
      </c>
      <c r="AF1070" s="831" t="s">
        <v>1760</v>
      </c>
      <c r="AG1070" s="831" t="s">
        <v>1721</v>
      </c>
      <c r="AH1070" s="831" t="s">
        <v>1722</v>
      </c>
      <c r="AI1070" s="831">
        <v>0</v>
      </c>
      <c r="AJ1070" s="835">
        <v>39844</v>
      </c>
      <c r="AK1070" s="831">
        <v>0</v>
      </c>
      <c r="AP1070" s="831" t="str">
        <f t="shared" si="49"/>
        <v/>
      </c>
    </row>
    <row r="1071" spans="2:42">
      <c r="B1071" s="834" t="str">
        <f t="shared" si="48"/>
        <v>|||</v>
      </c>
      <c r="H1071" s="835">
        <f t="shared" si="50"/>
        <v>31</v>
      </c>
      <c r="AF1071" s="831" t="s">
        <v>1761</v>
      </c>
      <c r="AG1071" s="831" t="s">
        <v>1721</v>
      </c>
      <c r="AH1071" s="831" t="s">
        <v>1724</v>
      </c>
      <c r="AI1071" s="831">
        <v>0</v>
      </c>
      <c r="AJ1071" s="835">
        <v>39844</v>
      </c>
      <c r="AK1071" s="831">
        <v>0</v>
      </c>
      <c r="AP1071" s="831" t="str">
        <f t="shared" si="49"/>
        <v/>
      </c>
    </row>
    <row r="1072" spans="2:42">
      <c r="B1072" s="834" t="str">
        <f t="shared" si="48"/>
        <v>|||</v>
      </c>
      <c r="H1072" s="835">
        <f t="shared" si="50"/>
        <v>31</v>
      </c>
      <c r="AF1072" s="831" t="s">
        <v>1762</v>
      </c>
      <c r="AG1072" s="831" t="s">
        <v>1721</v>
      </c>
      <c r="AH1072" s="831" t="s">
        <v>1726</v>
      </c>
      <c r="AI1072" s="831">
        <v>0</v>
      </c>
      <c r="AJ1072" s="835">
        <v>39844</v>
      </c>
      <c r="AK1072" s="831">
        <v>0</v>
      </c>
      <c r="AP1072" s="831" t="str">
        <f t="shared" si="49"/>
        <v/>
      </c>
    </row>
    <row r="1073" spans="2:42">
      <c r="B1073" s="834" t="str">
        <f t="shared" si="48"/>
        <v>|||</v>
      </c>
      <c r="H1073" s="835">
        <f t="shared" si="50"/>
        <v>31</v>
      </c>
      <c r="AF1073" s="831" t="s">
        <v>1763</v>
      </c>
      <c r="AG1073" s="831" t="s">
        <v>1721</v>
      </c>
      <c r="AH1073" s="831" t="s">
        <v>1722</v>
      </c>
      <c r="AI1073" s="831">
        <v>0</v>
      </c>
      <c r="AJ1073" s="835">
        <v>39872</v>
      </c>
      <c r="AK1073" s="831">
        <v>0</v>
      </c>
      <c r="AP1073" s="831" t="str">
        <f t="shared" si="49"/>
        <v/>
      </c>
    </row>
    <row r="1074" spans="2:42">
      <c r="B1074" s="834" t="str">
        <f t="shared" si="48"/>
        <v>|||</v>
      </c>
      <c r="H1074" s="835">
        <f t="shared" si="50"/>
        <v>31</v>
      </c>
      <c r="AF1074" s="831" t="s">
        <v>1764</v>
      </c>
      <c r="AG1074" s="831" t="s">
        <v>1721</v>
      </c>
      <c r="AH1074" s="831" t="s">
        <v>1724</v>
      </c>
      <c r="AI1074" s="831">
        <v>0</v>
      </c>
      <c r="AJ1074" s="835">
        <v>39872</v>
      </c>
      <c r="AK1074" s="831">
        <v>0</v>
      </c>
      <c r="AP1074" s="831" t="str">
        <f t="shared" si="49"/>
        <v/>
      </c>
    </row>
    <row r="1075" spans="2:42">
      <c r="B1075" s="834" t="str">
        <f t="shared" si="48"/>
        <v>|||</v>
      </c>
      <c r="H1075" s="835">
        <f t="shared" si="50"/>
        <v>31</v>
      </c>
      <c r="AF1075" s="831" t="s">
        <v>1765</v>
      </c>
      <c r="AG1075" s="831" t="s">
        <v>1721</v>
      </c>
      <c r="AH1075" s="831" t="s">
        <v>1726</v>
      </c>
      <c r="AI1075" s="831">
        <v>0</v>
      </c>
      <c r="AJ1075" s="835">
        <v>39872</v>
      </c>
      <c r="AK1075" s="831">
        <v>0</v>
      </c>
      <c r="AP1075" s="831" t="str">
        <f t="shared" si="49"/>
        <v/>
      </c>
    </row>
    <row r="1076" spans="2:42">
      <c r="B1076" s="834" t="str">
        <f t="shared" si="48"/>
        <v>|||</v>
      </c>
      <c r="H1076" s="835">
        <f t="shared" si="50"/>
        <v>31</v>
      </c>
      <c r="AF1076" s="831" t="s">
        <v>1766</v>
      </c>
      <c r="AG1076" s="831" t="s">
        <v>1721</v>
      </c>
      <c r="AH1076" s="831" t="s">
        <v>1722</v>
      </c>
      <c r="AI1076" s="831">
        <v>0</v>
      </c>
      <c r="AJ1076" s="835">
        <v>39903</v>
      </c>
      <c r="AK1076" s="831">
        <v>0</v>
      </c>
      <c r="AP1076" s="831" t="str">
        <f t="shared" si="49"/>
        <v/>
      </c>
    </row>
    <row r="1077" spans="2:42">
      <c r="B1077" s="834" t="str">
        <f t="shared" si="48"/>
        <v>|||</v>
      </c>
      <c r="H1077" s="835">
        <f t="shared" si="50"/>
        <v>31</v>
      </c>
      <c r="AF1077" s="831" t="s">
        <v>1767</v>
      </c>
      <c r="AG1077" s="831" t="s">
        <v>1721</v>
      </c>
      <c r="AH1077" s="831" t="s">
        <v>1724</v>
      </c>
      <c r="AI1077" s="831">
        <v>0</v>
      </c>
      <c r="AJ1077" s="835">
        <v>39903</v>
      </c>
      <c r="AK1077" s="831">
        <v>0</v>
      </c>
      <c r="AP1077" s="831" t="str">
        <f t="shared" si="49"/>
        <v/>
      </c>
    </row>
    <row r="1078" spans="2:42">
      <c r="B1078" s="834" t="str">
        <f t="shared" si="48"/>
        <v>|||</v>
      </c>
      <c r="H1078" s="835">
        <f t="shared" si="50"/>
        <v>31</v>
      </c>
      <c r="AF1078" s="831" t="s">
        <v>1768</v>
      </c>
      <c r="AG1078" s="831" t="s">
        <v>1721</v>
      </c>
      <c r="AH1078" s="831" t="s">
        <v>1726</v>
      </c>
      <c r="AI1078" s="831">
        <v>0</v>
      </c>
      <c r="AJ1078" s="835">
        <v>39903</v>
      </c>
      <c r="AK1078" s="831">
        <v>0</v>
      </c>
      <c r="AP1078" s="831" t="str">
        <f t="shared" si="49"/>
        <v/>
      </c>
    </row>
    <row r="1079" spans="2:42">
      <c r="B1079" s="834" t="str">
        <f t="shared" si="48"/>
        <v>|||</v>
      </c>
      <c r="H1079" s="835">
        <f t="shared" si="50"/>
        <v>31</v>
      </c>
      <c r="AF1079" s="831" t="s">
        <v>1769</v>
      </c>
      <c r="AG1079" s="831" t="s">
        <v>1721</v>
      </c>
      <c r="AH1079" s="831" t="s">
        <v>1722</v>
      </c>
      <c r="AI1079" s="831">
        <v>0</v>
      </c>
      <c r="AJ1079" s="835">
        <v>39933</v>
      </c>
      <c r="AK1079" s="831">
        <v>0</v>
      </c>
      <c r="AP1079" s="831" t="str">
        <f t="shared" si="49"/>
        <v/>
      </c>
    </row>
    <row r="1080" spans="2:42">
      <c r="B1080" s="834" t="str">
        <f t="shared" si="48"/>
        <v>|||</v>
      </c>
      <c r="H1080" s="835">
        <f t="shared" si="50"/>
        <v>31</v>
      </c>
      <c r="AF1080" s="831" t="s">
        <v>1770</v>
      </c>
      <c r="AG1080" s="831" t="s">
        <v>1721</v>
      </c>
      <c r="AH1080" s="831" t="s">
        <v>1724</v>
      </c>
      <c r="AI1080" s="831">
        <v>0</v>
      </c>
      <c r="AJ1080" s="835">
        <v>39933</v>
      </c>
      <c r="AK1080" s="831">
        <v>0</v>
      </c>
      <c r="AP1080" s="831" t="str">
        <f t="shared" si="49"/>
        <v/>
      </c>
    </row>
    <row r="1081" spans="2:42">
      <c r="B1081" s="834" t="str">
        <f t="shared" si="48"/>
        <v>|||</v>
      </c>
      <c r="H1081" s="835">
        <f t="shared" si="50"/>
        <v>31</v>
      </c>
      <c r="AF1081" s="831" t="s">
        <v>1771</v>
      </c>
      <c r="AG1081" s="831" t="s">
        <v>1721</v>
      </c>
      <c r="AH1081" s="831" t="s">
        <v>1726</v>
      </c>
      <c r="AI1081" s="831">
        <v>0</v>
      </c>
      <c r="AJ1081" s="835">
        <v>39933</v>
      </c>
      <c r="AK1081" s="831">
        <v>0</v>
      </c>
      <c r="AP1081" s="831" t="str">
        <f t="shared" si="49"/>
        <v/>
      </c>
    </row>
    <row r="1082" spans="2:42">
      <c r="B1082" s="834" t="str">
        <f t="shared" si="48"/>
        <v>|||</v>
      </c>
      <c r="H1082" s="835">
        <f t="shared" si="50"/>
        <v>31</v>
      </c>
      <c r="AF1082" s="831" t="s">
        <v>1772</v>
      </c>
      <c r="AG1082" s="831" t="s">
        <v>1721</v>
      </c>
      <c r="AH1082" s="831" t="s">
        <v>1722</v>
      </c>
      <c r="AI1082" s="831">
        <v>0</v>
      </c>
      <c r="AJ1082" s="835">
        <v>39964</v>
      </c>
      <c r="AK1082" s="831">
        <v>0</v>
      </c>
      <c r="AP1082" s="831" t="str">
        <f t="shared" si="49"/>
        <v/>
      </c>
    </row>
    <row r="1083" spans="2:42">
      <c r="B1083" s="834" t="str">
        <f t="shared" si="48"/>
        <v>|||</v>
      </c>
      <c r="H1083" s="835">
        <f t="shared" si="50"/>
        <v>31</v>
      </c>
      <c r="AF1083" s="831" t="s">
        <v>1773</v>
      </c>
      <c r="AG1083" s="831" t="s">
        <v>1721</v>
      </c>
      <c r="AH1083" s="831" t="s">
        <v>1724</v>
      </c>
      <c r="AI1083" s="831">
        <v>0</v>
      </c>
      <c r="AJ1083" s="835">
        <v>39964</v>
      </c>
      <c r="AK1083" s="831">
        <v>0</v>
      </c>
      <c r="AP1083" s="831" t="str">
        <f t="shared" si="49"/>
        <v/>
      </c>
    </row>
    <row r="1084" spans="2:42">
      <c r="B1084" s="834" t="str">
        <f t="shared" si="48"/>
        <v>|||</v>
      </c>
      <c r="H1084" s="835">
        <f t="shared" si="50"/>
        <v>31</v>
      </c>
      <c r="AF1084" s="831" t="s">
        <v>1774</v>
      </c>
      <c r="AG1084" s="831" t="s">
        <v>1721</v>
      </c>
      <c r="AH1084" s="831" t="s">
        <v>1726</v>
      </c>
      <c r="AI1084" s="831">
        <v>0</v>
      </c>
      <c r="AJ1084" s="835">
        <v>39964</v>
      </c>
      <c r="AK1084" s="831">
        <v>0</v>
      </c>
      <c r="AP1084" s="831" t="str">
        <f t="shared" si="49"/>
        <v/>
      </c>
    </row>
    <row r="1085" spans="2:42">
      <c r="B1085" s="834" t="str">
        <f t="shared" si="48"/>
        <v>|||</v>
      </c>
      <c r="H1085" s="835">
        <f t="shared" si="50"/>
        <v>31</v>
      </c>
      <c r="AF1085" s="831" t="s">
        <v>1775</v>
      </c>
      <c r="AG1085" s="831" t="s">
        <v>1721</v>
      </c>
      <c r="AH1085" s="831" t="s">
        <v>1722</v>
      </c>
      <c r="AI1085" s="831">
        <v>0</v>
      </c>
      <c r="AJ1085" s="835">
        <v>39994</v>
      </c>
      <c r="AK1085" s="831">
        <v>3366023</v>
      </c>
      <c r="AP1085" s="831" t="str">
        <f t="shared" si="49"/>
        <v/>
      </c>
    </row>
    <row r="1086" spans="2:42">
      <c r="B1086" s="834" t="str">
        <f t="shared" si="48"/>
        <v>|||</v>
      </c>
      <c r="H1086" s="835">
        <f t="shared" si="50"/>
        <v>31</v>
      </c>
      <c r="AF1086" s="831" t="s">
        <v>1776</v>
      </c>
      <c r="AG1086" s="831" t="s">
        <v>1721</v>
      </c>
      <c r="AH1086" s="831" t="s">
        <v>1724</v>
      </c>
      <c r="AI1086" s="831">
        <v>0</v>
      </c>
      <c r="AJ1086" s="835">
        <v>39994</v>
      </c>
      <c r="AK1086" s="831">
        <v>174227</v>
      </c>
      <c r="AP1086" s="831" t="str">
        <f t="shared" si="49"/>
        <v/>
      </c>
    </row>
    <row r="1087" spans="2:42">
      <c r="B1087" s="834" t="str">
        <f t="shared" si="48"/>
        <v>|||</v>
      </c>
      <c r="H1087" s="835">
        <f t="shared" si="50"/>
        <v>31</v>
      </c>
      <c r="AF1087" s="831" t="s">
        <v>1777</v>
      </c>
      <c r="AG1087" s="831" t="s">
        <v>1721</v>
      </c>
      <c r="AH1087" s="831" t="s">
        <v>1726</v>
      </c>
      <c r="AI1087" s="831">
        <v>0</v>
      </c>
      <c r="AJ1087" s="835">
        <v>39994</v>
      </c>
      <c r="AK1087" s="831">
        <v>-1429709</v>
      </c>
      <c r="AP1087" s="831" t="str">
        <f t="shared" si="49"/>
        <v/>
      </c>
    </row>
    <row r="1088" spans="2:42">
      <c r="B1088" s="834" t="str">
        <f t="shared" si="48"/>
        <v>|||</v>
      </c>
      <c r="H1088" s="835">
        <f t="shared" si="50"/>
        <v>31</v>
      </c>
      <c r="AF1088" s="831" t="s">
        <v>1778</v>
      </c>
      <c r="AG1088" s="831" t="s">
        <v>1721</v>
      </c>
      <c r="AH1088" s="831" t="s">
        <v>1722</v>
      </c>
      <c r="AI1088" s="831">
        <v>0</v>
      </c>
      <c r="AJ1088" s="835">
        <v>40025</v>
      </c>
      <c r="AK1088" s="831">
        <v>-2258668</v>
      </c>
      <c r="AP1088" s="831" t="str">
        <f t="shared" si="49"/>
        <v/>
      </c>
    </row>
    <row r="1089" spans="2:42">
      <c r="B1089" s="834" t="str">
        <f t="shared" si="48"/>
        <v>|||</v>
      </c>
      <c r="H1089" s="835">
        <f t="shared" si="50"/>
        <v>31</v>
      </c>
      <c r="AF1089" s="831" t="s">
        <v>1779</v>
      </c>
      <c r="AG1089" s="831" t="s">
        <v>1721</v>
      </c>
      <c r="AH1089" s="831" t="s">
        <v>1724</v>
      </c>
      <c r="AI1089" s="831">
        <v>0</v>
      </c>
      <c r="AJ1089" s="835">
        <v>40025</v>
      </c>
      <c r="AK1089" s="831">
        <v>363254</v>
      </c>
      <c r="AP1089" s="831" t="str">
        <f t="shared" si="49"/>
        <v/>
      </c>
    </row>
    <row r="1090" spans="2:42">
      <c r="B1090" s="834" t="str">
        <f t="shared" si="48"/>
        <v>|||</v>
      </c>
      <c r="H1090" s="835">
        <f t="shared" si="50"/>
        <v>31</v>
      </c>
      <c r="AF1090" s="831" t="s">
        <v>1780</v>
      </c>
      <c r="AG1090" s="831" t="s">
        <v>1721</v>
      </c>
      <c r="AH1090" s="831" t="s">
        <v>1726</v>
      </c>
      <c r="AI1090" s="831">
        <v>0</v>
      </c>
      <c r="AJ1090" s="835">
        <v>40025</v>
      </c>
      <c r="AK1090" s="831">
        <v>566220</v>
      </c>
      <c r="AP1090" s="831" t="str">
        <f t="shared" si="49"/>
        <v/>
      </c>
    </row>
    <row r="1091" spans="2:42">
      <c r="B1091" s="834" t="str">
        <f t="shared" ref="B1091:B1154" si="51">C1091&amp;"|"&amp;D1091&amp;"|"&amp;E1091&amp;"|"&amp;F1091</f>
        <v>|||</v>
      </c>
      <c r="H1091" s="835">
        <f t="shared" si="50"/>
        <v>31</v>
      </c>
      <c r="AF1091" s="831" t="s">
        <v>1781</v>
      </c>
      <c r="AG1091" s="831" t="s">
        <v>1721</v>
      </c>
      <c r="AH1091" s="831" t="s">
        <v>1722</v>
      </c>
      <c r="AI1091" s="831">
        <v>0</v>
      </c>
      <c r="AJ1091" s="835">
        <v>40056</v>
      </c>
      <c r="AK1091" s="831">
        <v>1993372</v>
      </c>
      <c r="AP1091" s="831" t="str">
        <f t="shared" ref="AP1091:AP1154" si="52">IF(AX1091&lt;&gt;"",IF(OR(AX1091=3,AX1091=4),"Equity","Debt"),"")</f>
        <v/>
      </c>
    </row>
    <row r="1092" spans="2:42">
      <c r="B1092" s="834" t="str">
        <f t="shared" si="51"/>
        <v>|||</v>
      </c>
      <c r="H1092" s="835">
        <f t="shared" ref="H1092:H1155" si="53">EOMONTH(L1092,0)</f>
        <v>31</v>
      </c>
      <c r="AF1092" s="831" t="s">
        <v>1782</v>
      </c>
      <c r="AG1092" s="831" t="s">
        <v>1721</v>
      </c>
      <c r="AH1092" s="831" t="s">
        <v>1724</v>
      </c>
      <c r="AI1092" s="831">
        <v>0</v>
      </c>
      <c r="AJ1092" s="835">
        <v>40056</v>
      </c>
      <c r="AK1092" s="831">
        <v>70057</v>
      </c>
      <c r="AP1092" s="831" t="str">
        <f t="shared" si="52"/>
        <v/>
      </c>
    </row>
    <row r="1093" spans="2:42">
      <c r="B1093" s="834" t="str">
        <f t="shared" si="51"/>
        <v>|||</v>
      </c>
      <c r="H1093" s="835">
        <f t="shared" si="53"/>
        <v>31</v>
      </c>
      <c r="AF1093" s="831" t="s">
        <v>1783</v>
      </c>
      <c r="AG1093" s="831" t="s">
        <v>1721</v>
      </c>
      <c r="AH1093" s="831" t="s">
        <v>1726</v>
      </c>
      <c r="AI1093" s="831">
        <v>0</v>
      </c>
      <c r="AJ1093" s="835">
        <v>40056</v>
      </c>
      <c r="AK1093" s="831">
        <v>-1519143</v>
      </c>
      <c r="AP1093" s="831" t="str">
        <f t="shared" si="52"/>
        <v/>
      </c>
    </row>
    <row r="1094" spans="2:42">
      <c r="B1094" s="834" t="str">
        <f t="shared" si="51"/>
        <v>|||</v>
      </c>
      <c r="H1094" s="835">
        <f t="shared" si="53"/>
        <v>31</v>
      </c>
      <c r="AF1094" s="831" t="s">
        <v>1784</v>
      </c>
      <c r="AG1094" s="831" t="s">
        <v>1721</v>
      </c>
      <c r="AH1094" s="831" t="s">
        <v>1722</v>
      </c>
      <c r="AI1094" s="831">
        <v>0</v>
      </c>
      <c r="AJ1094" s="835">
        <v>40086</v>
      </c>
      <c r="AK1094" s="831">
        <v>-2195387</v>
      </c>
      <c r="AP1094" s="831" t="str">
        <f t="shared" si="52"/>
        <v/>
      </c>
    </row>
    <row r="1095" spans="2:42">
      <c r="B1095" s="834" t="str">
        <f t="shared" si="51"/>
        <v>|||</v>
      </c>
      <c r="H1095" s="835">
        <f t="shared" si="53"/>
        <v>31</v>
      </c>
      <c r="AF1095" s="831" t="s">
        <v>1785</v>
      </c>
      <c r="AG1095" s="831" t="s">
        <v>1721</v>
      </c>
      <c r="AH1095" s="831" t="s">
        <v>1724</v>
      </c>
      <c r="AI1095" s="831">
        <v>0</v>
      </c>
      <c r="AJ1095" s="835">
        <v>40086</v>
      </c>
      <c r="AK1095" s="831">
        <v>-2042</v>
      </c>
      <c r="AP1095" s="831" t="str">
        <f t="shared" si="52"/>
        <v/>
      </c>
    </row>
    <row r="1096" spans="2:42">
      <c r="B1096" s="834" t="str">
        <f t="shared" si="51"/>
        <v>|||</v>
      </c>
      <c r="H1096" s="835">
        <f t="shared" si="53"/>
        <v>31</v>
      </c>
      <c r="AF1096" s="831" t="s">
        <v>1786</v>
      </c>
      <c r="AG1096" s="831" t="s">
        <v>1721</v>
      </c>
      <c r="AH1096" s="831" t="s">
        <v>1726</v>
      </c>
      <c r="AI1096" s="831">
        <v>0</v>
      </c>
      <c r="AJ1096" s="835">
        <v>40086</v>
      </c>
      <c r="AK1096" s="831">
        <v>7451997</v>
      </c>
      <c r="AP1096" s="831" t="str">
        <f t="shared" si="52"/>
        <v/>
      </c>
    </row>
    <row r="1097" spans="2:42">
      <c r="B1097" s="834" t="str">
        <f t="shared" si="51"/>
        <v>|||</v>
      </c>
      <c r="H1097" s="835">
        <f t="shared" si="53"/>
        <v>31</v>
      </c>
      <c r="AF1097" s="831" t="s">
        <v>1787</v>
      </c>
      <c r="AG1097" s="831" t="s">
        <v>1721</v>
      </c>
      <c r="AH1097" s="831" t="s">
        <v>1722</v>
      </c>
      <c r="AI1097" s="831">
        <v>0</v>
      </c>
      <c r="AJ1097" s="835">
        <v>40117</v>
      </c>
      <c r="AK1097" s="831">
        <v>-858484</v>
      </c>
      <c r="AP1097" s="831" t="str">
        <f t="shared" si="52"/>
        <v/>
      </c>
    </row>
    <row r="1098" spans="2:42">
      <c r="B1098" s="834" t="str">
        <f t="shared" si="51"/>
        <v>|||</v>
      </c>
      <c r="H1098" s="835">
        <f t="shared" si="53"/>
        <v>31</v>
      </c>
      <c r="AF1098" s="831" t="s">
        <v>1788</v>
      </c>
      <c r="AG1098" s="831" t="s">
        <v>1721</v>
      </c>
      <c r="AH1098" s="831" t="s">
        <v>1724</v>
      </c>
      <c r="AI1098" s="831">
        <v>0</v>
      </c>
      <c r="AJ1098" s="835">
        <v>40117</v>
      </c>
      <c r="AK1098" s="831">
        <v>240952</v>
      </c>
      <c r="AP1098" s="831" t="str">
        <f t="shared" si="52"/>
        <v/>
      </c>
    </row>
    <row r="1099" spans="2:42">
      <c r="B1099" s="834" t="str">
        <f t="shared" si="51"/>
        <v>|||</v>
      </c>
      <c r="H1099" s="835">
        <f t="shared" si="53"/>
        <v>31</v>
      </c>
      <c r="AF1099" s="831" t="s">
        <v>1789</v>
      </c>
      <c r="AG1099" s="831" t="s">
        <v>1721</v>
      </c>
      <c r="AH1099" s="831" t="s">
        <v>1726</v>
      </c>
      <c r="AI1099" s="831">
        <v>0</v>
      </c>
      <c r="AJ1099" s="835">
        <v>40117</v>
      </c>
      <c r="AK1099" s="831">
        <v>12008443</v>
      </c>
      <c r="AP1099" s="831" t="str">
        <f t="shared" si="52"/>
        <v/>
      </c>
    </row>
    <row r="1100" spans="2:42">
      <c r="B1100" s="834" t="str">
        <f t="shared" si="51"/>
        <v>|||</v>
      </c>
      <c r="H1100" s="835">
        <f t="shared" si="53"/>
        <v>31</v>
      </c>
      <c r="AF1100" s="831" t="s">
        <v>1790</v>
      </c>
      <c r="AG1100" s="831" t="s">
        <v>1721</v>
      </c>
      <c r="AH1100" s="831" t="s">
        <v>1722</v>
      </c>
      <c r="AI1100" s="831">
        <v>0</v>
      </c>
      <c r="AJ1100" s="835">
        <v>40147</v>
      </c>
      <c r="AK1100" s="831">
        <v>3064433</v>
      </c>
      <c r="AP1100" s="831" t="str">
        <f t="shared" si="52"/>
        <v/>
      </c>
    </row>
    <row r="1101" spans="2:42">
      <c r="B1101" s="834" t="str">
        <f t="shared" si="51"/>
        <v>|||</v>
      </c>
      <c r="H1101" s="835">
        <f t="shared" si="53"/>
        <v>31</v>
      </c>
      <c r="AF1101" s="831" t="s">
        <v>1791</v>
      </c>
      <c r="AG1101" s="831" t="s">
        <v>1721</v>
      </c>
      <c r="AH1101" s="831" t="s">
        <v>1724</v>
      </c>
      <c r="AI1101" s="831">
        <v>0</v>
      </c>
      <c r="AJ1101" s="835">
        <v>40147</v>
      </c>
      <c r="AK1101" s="831">
        <v>418680</v>
      </c>
      <c r="AP1101" s="831" t="str">
        <f t="shared" si="52"/>
        <v/>
      </c>
    </row>
    <row r="1102" spans="2:42">
      <c r="B1102" s="834" t="str">
        <f t="shared" si="51"/>
        <v>|||</v>
      </c>
      <c r="H1102" s="835">
        <f t="shared" si="53"/>
        <v>31</v>
      </c>
      <c r="AF1102" s="831" t="s">
        <v>1792</v>
      </c>
      <c r="AG1102" s="831" t="s">
        <v>1721</v>
      </c>
      <c r="AH1102" s="831" t="s">
        <v>1726</v>
      </c>
      <c r="AI1102" s="831">
        <v>0</v>
      </c>
      <c r="AJ1102" s="835">
        <v>40147</v>
      </c>
      <c r="AK1102" s="831">
        <v>-809849</v>
      </c>
      <c r="AP1102" s="831" t="str">
        <f t="shared" si="52"/>
        <v/>
      </c>
    </row>
    <row r="1103" spans="2:42">
      <c r="B1103" s="834" t="str">
        <f t="shared" si="51"/>
        <v>|||</v>
      </c>
      <c r="H1103" s="835">
        <f t="shared" si="53"/>
        <v>31</v>
      </c>
      <c r="AF1103" s="831" t="s">
        <v>1793</v>
      </c>
      <c r="AG1103" s="831" t="s">
        <v>1721</v>
      </c>
      <c r="AH1103" s="831" t="s">
        <v>1722</v>
      </c>
      <c r="AI1103" s="831">
        <v>0</v>
      </c>
      <c r="AJ1103" s="835">
        <v>40178</v>
      </c>
      <c r="AK1103" s="831">
        <v>-4417104</v>
      </c>
      <c r="AP1103" s="831" t="str">
        <f t="shared" si="52"/>
        <v/>
      </c>
    </row>
    <row r="1104" spans="2:42">
      <c r="B1104" s="834" t="str">
        <f t="shared" si="51"/>
        <v>|||</v>
      </c>
      <c r="H1104" s="835">
        <f t="shared" si="53"/>
        <v>31</v>
      </c>
      <c r="AF1104" s="831" t="s">
        <v>1794</v>
      </c>
      <c r="AG1104" s="831" t="s">
        <v>1721</v>
      </c>
      <c r="AH1104" s="831" t="s">
        <v>1724</v>
      </c>
      <c r="AI1104" s="831">
        <v>0</v>
      </c>
      <c r="AJ1104" s="835">
        <v>40178</v>
      </c>
      <c r="AK1104" s="831">
        <v>179352</v>
      </c>
      <c r="AP1104" s="831" t="str">
        <f t="shared" si="52"/>
        <v/>
      </c>
    </row>
    <row r="1105" spans="2:42">
      <c r="B1105" s="834" t="str">
        <f t="shared" si="51"/>
        <v>|||</v>
      </c>
      <c r="H1105" s="835">
        <f t="shared" si="53"/>
        <v>31</v>
      </c>
      <c r="AF1105" s="831" t="s">
        <v>1795</v>
      </c>
      <c r="AG1105" s="831" t="s">
        <v>1721</v>
      </c>
      <c r="AH1105" s="831" t="s">
        <v>1726</v>
      </c>
      <c r="AI1105" s="831">
        <v>0</v>
      </c>
      <c r="AJ1105" s="835">
        <v>40178</v>
      </c>
      <c r="AK1105" s="831">
        <v>8034552</v>
      </c>
      <c r="AP1105" s="831" t="str">
        <f t="shared" si="52"/>
        <v/>
      </c>
    </row>
    <row r="1106" spans="2:42">
      <c r="B1106" s="834" t="str">
        <f t="shared" si="51"/>
        <v>|||</v>
      </c>
      <c r="H1106" s="835">
        <f t="shared" si="53"/>
        <v>31</v>
      </c>
      <c r="AF1106" s="831" t="s">
        <v>1796</v>
      </c>
      <c r="AG1106" s="831" t="s">
        <v>59</v>
      </c>
      <c r="AH1106" s="831" t="s">
        <v>70</v>
      </c>
      <c r="AI1106" s="831">
        <v>0</v>
      </c>
      <c r="AJ1106" s="835">
        <v>39478</v>
      </c>
      <c r="AK1106" s="831">
        <v>89999850</v>
      </c>
      <c r="AP1106" s="831" t="str">
        <f t="shared" si="52"/>
        <v/>
      </c>
    </row>
    <row r="1107" spans="2:42">
      <c r="B1107" s="834" t="str">
        <f t="shared" si="51"/>
        <v>|||</v>
      </c>
      <c r="H1107" s="835">
        <f t="shared" si="53"/>
        <v>31</v>
      </c>
      <c r="AF1107" s="831" t="s">
        <v>1797</v>
      </c>
      <c r="AG1107" s="831" t="s">
        <v>59</v>
      </c>
      <c r="AH1107" s="831" t="s">
        <v>75</v>
      </c>
      <c r="AI1107" s="831">
        <v>0</v>
      </c>
      <c r="AJ1107" s="835">
        <v>39478</v>
      </c>
      <c r="AK1107" s="831">
        <v>84634250</v>
      </c>
      <c r="AP1107" s="831" t="str">
        <f t="shared" si="52"/>
        <v/>
      </c>
    </row>
    <row r="1108" spans="2:42">
      <c r="B1108" s="834" t="str">
        <f t="shared" si="51"/>
        <v>|||</v>
      </c>
      <c r="H1108" s="835">
        <f t="shared" si="53"/>
        <v>31</v>
      </c>
      <c r="AF1108" s="831" t="s">
        <v>1798</v>
      </c>
      <c r="AG1108" s="831" t="s">
        <v>59</v>
      </c>
      <c r="AH1108" s="831" t="s">
        <v>85</v>
      </c>
      <c r="AI1108" s="831">
        <v>0</v>
      </c>
      <c r="AJ1108" s="835">
        <v>39478</v>
      </c>
      <c r="AK1108" s="831">
        <v>4970300</v>
      </c>
      <c r="AP1108" s="831" t="str">
        <f t="shared" si="52"/>
        <v/>
      </c>
    </row>
    <row r="1109" spans="2:42">
      <c r="B1109" s="834" t="str">
        <f t="shared" si="51"/>
        <v>|||</v>
      </c>
      <c r="H1109" s="835">
        <f t="shared" si="53"/>
        <v>31</v>
      </c>
      <c r="AF1109" s="831" t="s">
        <v>1799</v>
      </c>
      <c r="AG1109" s="831" t="s">
        <v>59</v>
      </c>
      <c r="AH1109" s="831" t="s">
        <v>90</v>
      </c>
      <c r="AI1109" s="831">
        <v>0</v>
      </c>
      <c r="AJ1109" s="835">
        <v>39478</v>
      </c>
      <c r="AK1109" s="831">
        <v>81099050</v>
      </c>
      <c r="AP1109" s="831" t="str">
        <f t="shared" si="52"/>
        <v/>
      </c>
    </row>
    <row r="1110" spans="2:42">
      <c r="B1110" s="834" t="str">
        <f t="shared" si="51"/>
        <v>|||</v>
      </c>
      <c r="H1110" s="835">
        <f t="shared" si="53"/>
        <v>31</v>
      </c>
      <c r="AF1110" s="831" t="s">
        <v>1800</v>
      </c>
      <c r="AG1110" s="831" t="s">
        <v>59</v>
      </c>
      <c r="AH1110" s="831" t="s">
        <v>521</v>
      </c>
      <c r="AI1110" s="831">
        <v>0</v>
      </c>
      <c r="AJ1110" s="835">
        <v>39478</v>
      </c>
      <c r="AK1110" s="831">
        <v>0</v>
      </c>
      <c r="AP1110" s="831" t="str">
        <f t="shared" si="52"/>
        <v/>
      </c>
    </row>
    <row r="1111" spans="2:42">
      <c r="B1111" s="834" t="str">
        <f t="shared" si="51"/>
        <v>|||</v>
      </c>
      <c r="H1111" s="835">
        <f t="shared" si="53"/>
        <v>31</v>
      </c>
      <c r="AF1111" s="831" t="s">
        <v>1801</v>
      </c>
      <c r="AG1111" s="831" t="s">
        <v>59</v>
      </c>
      <c r="AH1111" s="831" t="s">
        <v>522</v>
      </c>
      <c r="AI1111" s="831">
        <v>0</v>
      </c>
      <c r="AJ1111" s="835">
        <v>39478</v>
      </c>
      <c r="AK1111" s="831">
        <v>0</v>
      </c>
      <c r="AP1111" s="831" t="str">
        <f t="shared" si="52"/>
        <v/>
      </c>
    </row>
    <row r="1112" spans="2:42">
      <c r="B1112" s="834" t="str">
        <f t="shared" si="51"/>
        <v>|||</v>
      </c>
      <c r="H1112" s="835">
        <f t="shared" si="53"/>
        <v>31</v>
      </c>
      <c r="AF1112" s="831" t="s">
        <v>1802</v>
      </c>
      <c r="AG1112" s="831" t="s">
        <v>59</v>
      </c>
      <c r="AH1112" s="831" t="s">
        <v>523</v>
      </c>
      <c r="AI1112" s="831">
        <v>0</v>
      </c>
      <c r="AJ1112" s="835">
        <v>39478</v>
      </c>
      <c r="AK1112" s="831">
        <v>0</v>
      </c>
      <c r="AP1112" s="831" t="str">
        <f t="shared" si="52"/>
        <v/>
      </c>
    </row>
    <row r="1113" spans="2:42">
      <c r="B1113" s="834" t="str">
        <f t="shared" si="51"/>
        <v>|||</v>
      </c>
      <c r="H1113" s="835">
        <f t="shared" si="53"/>
        <v>31</v>
      </c>
      <c r="AF1113" s="831" t="s">
        <v>1803</v>
      </c>
      <c r="AG1113" s="831" t="s">
        <v>59</v>
      </c>
      <c r="AH1113" s="831" t="s">
        <v>524</v>
      </c>
      <c r="AI1113" s="831">
        <v>0</v>
      </c>
      <c r="AJ1113" s="835">
        <v>39478</v>
      </c>
      <c r="AK1113" s="831">
        <v>0</v>
      </c>
      <c r="AP1113" s="831" t="str">
        <f t="shared" si="52"/>
        <v/>
      </c>
    </row>
    <row r="1114" spans="2:42">
      <c r="B1114" s="834" t="str">
        <f t="shared" si="51"/>
        <v>|||</v>
      </c>
      <c r="H1114" s="835">
        <f t="shared" si="53"/>
        <v>31</v>
      </c>
      <c r="AF1114" s="831" t="s">
        <v>1804</v>
      </c>
      <c r="AG1114" s="831" t="s">
        <v>59</v>
      </c>
      <c r="AH1114" s="831" t="s">
        <v>1805</v>
      </c>
      <c r="AI1114" s="831">
        <v>0</v>
      </c>
      <c r="AJ1114" s="835">
        <v>39478</v>
      </c>
      <c r="AK1114" s="831">
        <v>1</v>
      </c>
      <c r="AP1114" s="831" t="str">
        <f t="shared" si="52"/>
        <v/>
      </c>
    </row>
    <row r="1115" spans="2:42">
      <c r="B1115" s="834" t="str">
        <f t="shared" si="51"/>
        <v>|||</v>
      </c>
      <c r="H1115" s="835">
        <f t="shared" si="53"/>
        <v>31</v>
      </c>
      <c r="AF1115" s="831" t="s">
        <v>1806</v>
      </c>
      <c r="AG1115" s="831" t="s">
        <v>59</v>
      </c>
      <c r="AH1115" s="831" t="s">
        <v>70</v>
      </c>
      <c r="AI1115" s="831">
        <v>0</v>
      </c>
      <c r="AJ1115" s="835">
        <v>39507</v>
      </c>
      <c r="AK1115" s="831">
        <v>107328190</v>
      </c>
      <c r="AP1115" s="831" t="str">
        <f t="shared" si="52"/>
        <v/>
      </c>
    </row>
    <row r="1116" spans="2:42">
      <c r="B1116" s="834" t="str">
        <f t="shared" si="51"/>
        <v>|||</v>
      </c>
      <c r="H1116" s="835">
        <f t="shared" si="53"/>
        <v>31</v>
      </c>
      <c r="AF1116" s="831" t="s">
        <v>1807</v>
      </c>
      <c r="AG1116" s="831" t="s">
        <v>59</v>
      </c>
      <c r="AH1116" s="831" t="s">
        <v>75</v>
      </c>
      <c r="AI1116" s="831">
        <v>0</v>
      </c>
      <c r="AJ1116" s="835">
        <v>39507</v>
      </c>
      <c r="AK1116" s="831">
        <v>90978390</v>
      </c>
      <c r="AP1116" s="831" t="str">
        <f t="shared" si="52"/>
        <v/>
      </c>
    </row>
    <row r="1117" spans="2:42">
      <c r="B1117" s="834" t="str">
        <f t="shared" si="51"/>
        <v>|||</v>
      </c>
      <c r="H1117" s="835">
        <f t="shared" si="53"/>
        <v>31</v>
      </c>
      <c r="AF1117" s="831" t="s">
        <v>1808</v>
      </c>
      <c r="AG1117" s="831" t="s">
        <v>59</v>
      </c>
      <c r="AH1117" s="831" t="s">
        <v>85</v>
      </c>
      <c r="AI1117" s="831">
        <v>0</v>
      </c>
      <c r="AJ1117" s="835">
        <v>39507</v>
      </c>
      <c r="AK1117" s="831">
        <v>5697200</v>
      </c>
      <c r="AP1117" s="831" t="str">
        <f t="shared" si="52"/>
        <v/>
      </c>
    </row>
    <row r="1118" spans="2:42">
      <c r="B1118" s="834" t="str">
        <f t="shared" si="51"/>
        <v>|||</v>
      </c>
      <c r="H1118" s="835">
        <f t="shared" si="53"/>
        <v>31</v>
      </c>
      <c r="AF1118" s="831" t="s">
        <v>1809</v>
      </c>
      <c r="AG1118" s="831" t="s">
        <v>59</v>
      </c>
      <c r="AH1118" s="831" t="s">
        <v>90</v>
      </c>
      <c r="AI1118" s="831">
        <v>0</v>
      </c>
      <c r="AJ1118" s="835">
        <v>39507</v>
      </c>
      <c r="AK1118" s="831">
        <v>100421840</v>
      </c>
      <c r="AP1118" s="831" t="str">
        <f t="shared" si="52"/>
        <v/>
      </c>
    </row>
    <row r="1119" spans="2:42">
      <c r="B1119" s="834" t="str">
        <f t="shared" si="51"/>
        <v>|||</v>
      </c>
      <c r="H1119" s="835">
        <f t="shared" si="53"/>
        <v>31</v>
      </c>
      <c r="AF1119" s="831" t="s">
        <v>1810</v>
      </c>
      <c r="AG1119" s="831" t="s">
        <v>59</v>
      </c>
      <c r="AH1119" s="831" t="s">
        <v>521</v>
      </c>
      <c r="AI1119" s="831">
        <v>0</v>
      </c>
      <c r="AJ1119" s="835">
        <v>39507</v>
      </c>
      <c r="AK1119" s="831">
        <v>0</v>
      </c>
      <c r="AP1119" s="831" t="str">
        <f t="shared" si="52"/>
        <v/>
      </c>
    </row>
    <row r="1120" spans="2:42">
      <c r="B1120" s="834" t="str">
        <f t="shared" si="51"/>
        <v>|||</v>
      </c>
      <c r="H1120" s="835">
        <f t="shared" si="53"/>
        <v>31</v>
      </c>
      <c r="AF1120" s="831" t="s">
        <v>1811</v>
      </c>
      <c r="AG1120" s="831" t="s">
        <v>59</v>
      </c>
      <c r="AH1120" s="831" t="s">
        <v>522</v>
      </c>
      <c r="AI1120" s="831">
        <v>0</v>
      </c>
      <c r="AJ1120" s="835">
        <v>39507</v>
      </c>
      <c r="AK1120" s="831">
        <v>0</v>
      </c>
      <c r="AP1120" s="831" t="str">
        <f t="shared" si="52"/>
        <v/>
      </c>
    </row>
    <row r="1121" spans="2:42">
      <c r="B1121" s="834" t="str">
        <f t="shared" si="51"/>
        <v>|||</v>
      </c>
      <c r="H1121" s="835">
        <f t="shared" si="53"/>
        <v>31</v>
      </c>
      <c r="AF1121" s="831" t="s">
        <v>1812</v>
      </c>
      <c r="AG1121" s="831" t="s">
        <v>59</v>
      </c>
      <c r="AH1121" s="831" t="s">
        <v>523</v>
      </c>
      <c r="AI1121" s="831">
        <v>0</v>
      </c>
      <c r="AJ1121" s="835">
        <v>39507</v>
      </c>
      <c r="AK1121" s="831">
        <v>0</v>
      </c>
      <c r="AP1121" s="831" t="str">
        <f t="shared" si="52"/>
        <v/>
      </c>
    </row>
    <row r="1122" spans="2:42">
      <c r="B1122" s="834" t="str">
        <f t="shared" si="51"/>
        <v>|||</v>
      </c>
      <c r="H1122" s="835">
        <f t="shared" si="53"/>
        <v>31</v>
      </c>
      <c r="AF1122" s="831" t="s">
        <v>1813</v>
      </c>
      <c r="AG1122" s="831" t="s">
        <v>59</v>
      </c>
      <c r="AH1122" s="831" t="s">
        <v>524</v>
      </c>
      <c r="AI1122" s="831">
        <v>0</v>
      </c>
      <c r="AJ1122" s="835">
        <v>39507</v>
      </c>
      <c r="AK1122" s="831">
        <v>0</v>
      </c>
      <c r="AP1122" s="831" t="str">
        <f t="shared" si="52"/>
        <v/>
      </c>
    </row>
    <row r="1123" spans="2:42">
      <c r="B1123" s="834" t="str">
        <f t="shared" si="51"/>
        <v>|||</v>
      </c>
      <c r="H1123" s="835">
        <f t="shared" si="53"/>
        <v>31</v>
      </c>
      <c r="AF1123" s="831" t="s">
        <v>1814</v>
      </c>
      <c r="AG1123" s="831" t="s">
        <v>59</v>
      </c>
      <c r="AH1123" s="831" t="s">
        <v>1805</v>
      </c>
      <c r="AI1123" s="831">
        <v>0</v>
      </c>
      <c r="AJ1123" s="835">
        <v>39507</v>
      </c>
      <c r="AK1123" s="831">
        <v>1</v>
      </c>
      <c r="AP1123" s="831" t="str">
        <f t="shared" si="52"/>
        <v/>
      </c>
    </row>
    <row r="1124" spans="2:42">
      <c r="B1124" s="834" t="str">
        <f t="shared" si="51"/>
        <v>|||</v>
      </c>
      <c r="H1124" s="835">
        <f t="shared" si="53"/>
        <v>31</v>
      </c>
      <c r="AF1124" s="831" t="s">
        <v>1815</v>
      </c>
      <c r="AG1124" s="831" t="s">
        <v>59</v>
      </c>
      <c r="AH1124" s="831" t="s">
        <v>70</v>
      </c>
      <c r="AI1124" s="831">
        <v>0</v>
      </c>
      <c r="AJ1124" s="835">
        <v>39538</v>
      </c>
      <c r="AK1124" s="831">
        <v>105425910</v>
      </c>
      <c r="AP1124" s="831" t="str">
        <f t="shared" si="52"/>
        <v/>
      </c>
    </row>
    <row r="1125" spans="2:42">
      <c r="B1125" s="834" t="str">
        <f t="shared" si="51"/>
        <v>|||</v>
      </c>
      <c r="H1125" s="835">
        <f t="shared" si="53"/>
        <v>31</v>
      </c>
      <c r="AF1125" s="831" t="s">
        <v>1816</v>
      </c>
      <c r="AG1125" s="831" t="s">
        <v>59</v>
      </c>
      <c r="AH1125" s="831" t="s">
        <v>75</v>
      </c>
      <c r="AI1125" s="831">
        <v>0</v>
      </c>
      <c r="AJ1125" s="835">
        <v>39538</v>
      </c>
      <c r="AK1125" s="831">
        <v>95514500</v>
      </c>
      <c r="AP1125" s="831" t="str">
        <f t="shared" si="52"/>
        <v/>
      </c>
    </row>
    <row r="1126" spans="2:42">
      <c r="B1126" s="834" t="str">
        <f t="shared" si="51"/>
        <v>|||</v>
      </c>
      <c r="H1126" s="835">
        <f t="shared" si="53"/>
        <v>31</v>
      </c>
      <c r="AF1126" s="831" t="s">
        <v>1817</v>
      </c>
      <c r="AG1126" s="831" t="s">
        <v>59</v>
      </c>
      <c r="AH1126" s="831" t="s">
        <v>85</v>
      </c>
      <c r="AI1126" s="831">
        <v>0</v>
      </c>
      <c r="AJ1126" s="835">
        <v>39538</v>
      </c>
      <c r="AK1126" s="831">
        <v>5368050</v>
      </c>
      <c r="AP1126" s="831" t="str">
        <f t="shared" si="52"/>
        <v/>
      </c>
    </row>
    <row r="1127" spans="2:42">
      <c r="B1127" s="834" t="str">
        <f t="shared" si="51"/>
        <v>|||</v>
      </c>
      <c r="H1127" s="835">
        <f t="shared" si="53"/>
        <v>31</v>
      </c>
      <c r="AF1127" s="831" t="s">
        <v>1818</v>
      </c>
      <c r="AG1127" s="831" t="s">
        <v>59</v>
      </c>
      <c r="AH1127" s="831" t="s">
        <v>90</v>
      </c>
      <c r="AI1127" s="831">
        <v>0</v>
      </c>
      <c r="AJ1127" s="835">
        <v>39538</v>
      </c>
      <c r="AK1127" s="831">
        <v>99897760</v>
      </c>
      <c r="AP1127" s="831" t="str">
        <f t="shared" si="52"/>
        <v/>
      </c>
    </row>
    <row r="1128" spans="2:42">
      <c r="B1128" s="834" t="str">
        <f t="shared" si="51"/>
        <v>|||</v>
      </c>
      <c r="H1128" s="835">
        <f t="shared" si="53"/>
        <v>31</v>
      </c>
      <c r="AF1128" s="831" t="s">
        <v>1819</v>
      </c>
      <c r="AG1128" s="831" t="s">
        <v>59</v>
      </c>
      <c r="AH1128" s="831" t="s">
        <v>521</v>
      </c>
      <c r="AI1128" s="831">
        <v>0</v>
      </c>
      <c r="AJ1128" s="835">
        <v>39538</v>
      </c>
      <c r="AK1128" s="831">
        <v>0</v>
      </c>
      <c r="AP1128" s="831" t="str">
        <f t="shared" si="52"/>
        <v/>
      </c>
    </row>
    <row r="1129" spans="2:42">
      <c r="B1129" s="834" t="str">
        <f t="shared" si="51"/>
        <v>|||</v>
      </c>
      <c r="H1129" s="835">
        <f t="shared" si="53"/>
        <v>31</v>
      </c>
      <c r="AF1129" s="831" t="s">
        <v>1820</v>
      </c>
      <c r="AG1129" s="831" t="s">
        <v>59</v>
      </c>
      <c r="AH1129" s="831" t="s">
        <v>522</v>
      </c>
      <c r="AI1129" s="831">
        <v>0</v>
      </c>
      <c r="AJ1129" s="835">
        <v>39538</v>
      </c>
      <c r="AK1129" s="831">
        <v>0</v>
      </c>
      <c r="AP1129" s="831" t="str">
        <f t="shared" si="52"/>
        <v/>
      </c>
    </row>
    <row r="1130" spans="2:42">
      <c r="B1130" s="834" t="str">
        <f t="shared" si="51"/>
        <v>|||</v>
      </c>
      <c r="H1130" s="835">
        <f t="shared" si="53"/>
        <v>31</v>
      </c>
      <c r="AF1130" s="831" t="s">
        <v>1821</v>
      </c>
      <c r="AG1130" s="831" t="s">
        <v>59</v>
      </c>
      <c r="AH1130" s="831" t="s">
        <v>523</v>
      </c>
      <c r="AI1130" s="831">
        <v>0</v>
      </c>
      <c r="AJ1130" s="835">
        <v>39538</v>
      </c>
      <c r="AK1130" s="831">
        <v>0</v>
      </c>
      <c r="AP1130" s="831" t="str">
        <f t="shared" si="52"/>
        <v/>
      </c>
    </row>
    <row r="1131" spans="2:42">
      <c r="B1131" s="834" t="str">
        <f t="shared" si="51"/>
        <v>|||</v>
      </c>
      <c r="H1131" s="835">
        <f t="shared" si="53"/>
        <v>31</v>
      </c>
      <c r="AF1131" s="831" t="s">
        <v>1822</v>
      </c>
      <c r="AG1131" s="831" t="s">
        <v>59</v>
      </c>
      <c r="AH1131" s="831" t="s">
        <v>524</v>
      </c>
      <c r="AI1131" s="831">
        <v>0</v>
      </c>
      <c r="AJ1131" s="835">
        <v>39538</v>
      </c>
      <c r="AK1131" s="831">
        <v>0</v>
      </c>
      <c r="AP1131" s="831" t="str">
        <f t="shared" si="52"/>
        <v/>
      </c>
    </row>
    <row r="1132" spans="2:42">
      <c r="B1132" s="834" t="str">
        <f t="shared" si="51"/>
        <v>|||</v>
      </c>
      <c r="H1132" s="835">
        <f t="shared" si="53"/>
        <v>31</v>
      </c>
      <c r="AF1132" s="831" t="s">
        <v>1823</v>
      </c>
      <c r="AG1132" s="831" t="s">
        <v>59</v>
      </c>
      <c r="AH1132" s="831" t="s">
        <v>1805</v>
      </c>
      <c r="AI1132" s="831">
        <v>0</v>
      </c>
      <c r="AJ1132" s="835">
        <v>39538</v>
      </c>
      <c r="AK1132" s="831">
        <v>1</v>
      </c>
      <c r="AP1132" s="831" t="str">
        <f t="shared" si="52"/>
        <v/>
      </c>
    </row>
    <row r="1133" spans="2:42">
      <c r="B1133" s="834" t="str">
        <f t="shared" si="51"/>
        <v>|||</v>
      </c>
      <c r="H1133" s="835">
        <f t="shared" si="53"/>
        <v>31</v>
      </c>
      <c r="AF1133" s="831" t="s">
        <v>1824</v>
      </c>
      <c r="AG1133" s="831" t="s">
        <v>59</v>
      </c>
      <c r="AH1133" s="831" t="s">
        <v>70</v>
      </c>
      <c r="AI1133" s="831">
        <v>0</v>
      </c>
      <c r="AJ1133" s="835">
        <v>39568</v>
      </c>
      <c r="AK1133" s="831">
        <v>111400870</v>
      </c>
      <c r="AP1133" s="831" t="str">
        <f t="shared" si="52"/>
        <v/>
      </c>
    </row>
    <row r="1134" spans="2:42">
      <c r="B1134" s="834" t="str">
        <f t="shared" si="51"/>
        <v>|||</v>
      </c>
      <c r="H1134" s="835">
        <f t="shared" si="53"/>
        <v>31</v>
      </c>
      <c r="AF1134" s="831" t="s">
        <v>1825</v>
      </c>
      <c r="AG1134" s="831" t="s">
        <v>59</v>
      </c>
      <c r="AH1134" s="831" t="s">
        <v>75</v>
      </c>
      <c r="AI1134" s="831">
        <v>0</v>
      </c>
      <c r="AJ1134" s="835">
        <v>39568</v>
      </c>
      <c r="AK1134" s="831">
        <v>105481550</v>
      </c>
      <c r="AP1134" s="831" t="str">
        <f t="shared" si="52"/>
        <v/>
      </c>
    </row>
    <row r="1135" spans="2:42">
      <c r="B1135" s="834" t="str">
        <f t="shared" si="51"/>
        <v>|||</v>
      </c>
      <c r="H1135" s="835">
        <f t="shared" si="53"/>
        <v>31</v>
      </c>
      <c r="AF1135" s="831" t="s">
        <v>1826</v>
      </c>
      <c r="AG1135" s="831" t="s">
        <v>59</v>
      </c>
      <c r="AH1135" s="831" t="s">
        <v>85</v>
      </c>
      <c r="AI1135" s="831">
        <v>0</v>
      </c>
      <c r="AJ1135" s="835">
        <v>39568</v>
      </c>
      <c r="AK1135" s="831">
        <v>6720510</v>
      </c>
      <c r="AP1135" s="831" t="str">
        <f t="shared" si="52"/>
        <v/>
      </c>
    </row>
    <row r="1136" spans="2:42">
      <c r="B1136" s="834" t="str">
        <f t="shared" si="51"/>
        <v>|||</v>
      </c>
      <c r="H1136" s="835">
        <f t="shared" si="53"/>
        <v>31</v>
      </c>
      <c r="AF1136" s="831" t="s">
        <v>1827</v>
      </c>
      <c r="AG1136" s="831" t="s">
        <v>59</v>
      </c>
      <c r="AH1136" s="831" t="s">
        <v>90</v>
      </c>
      <c r="AI1136" s="831">
        <v>0</v>
      </c>
      <c r="AJ1136" s="835">
        <v>39568</v>
      </c>
      <c r="AK1136" s="831">
        <v>99573530</v>
      </c>
      <c r="AP1136" s="831" t="str">
        <f t="shared" si="52"/>
        <v/>
      </c>
    </row>
    <row r="1137" spans="2:42">
      <c r="B1137" s="834" t="str">
        <f t="shared" si="51"/>
        <v>|||</v>
      </c>
      <c r="H1137" s="835">
        <f t="shared" si="53"/>
        <v>31</v>
      </c>
      <c r="AF1137" s="831" t="s">
        <v>1828</v>
      </c>
      <c r="AG1137" s="831" t="s">
        <v>59</v>
      </c>
      <c r="AH1137" s="831" t="s">
        <v>521</v>
      </c>
      <c r="AI1137" s="831">
        <v>0</v>
      </c>
      <c r="AJ1137" s="835">
        <v>39568</v>
      </c>
      <c r="AK1137" s="831">
        <v>0</v>
      </c>
      <c r="AP1137" s="831" t="str">
        <f t="shared" si="52"/>
        <v/>
      </c>
    </row>
    <row r="1138" spans="2:42">
      <c r="B1138" s="834" t="str">
        <f t="shared" si="51"/>
        <v>|||</v>
      </c>
      <c r="H1138" s="835">
        <f t="shared" si="53"/>
        <v>31</v>
      </c>
      <c r="AF1138" s="831" t="s">
        <v>1829</v>
      </c>
      <c r="AG1138" s="831" t="s">
        <v>59</v>
      </c>
      <c r="AH1138" s="831" t="s">
        <v>522</v>
      </c>
      <c r="AI1138" s="831">
        <v>0</v>
      </c>
      <c r="AJ1138" s="835">
        <v>39568</v>
      </c>
      <c r="AK1138" s="831">
        <v>0</v>
      </c>
      <c r="AP1138" s="831" t="str">
        <f t="shared" si="52"/>
        <v/>
      </c>
    </row>
    <row r="1139" spans="2:42">
      <c r="B1139" s="834" t="str">
        <f t="shared" si="51"/>
        <v>|||</v>
      </c>
      <c r="H1139" s="835">
        <f t="shared" si="53"/>
        <v>31</v>
      </c>
      <c r="AF1139" s="831" t="s">
        <v>1830</v>
      </c>
      <c r="AG1139" s="831" t="s">
        <v>59</v>
      </c>
      <c r="AH1139" s="831" t="s">
        <v>523</v>
      </c>
      <c r="AI1139" s="831">
        <v>0</v>
      </c>
      <c r="AJ1139" s="835">
        <v>39568</v>
      </c>
      <c r="AK1139" s="831">
        <v>0</v>
      </c>
      <c r="AP1139" s="831" t="str">
        <f t="shared" si="52"/>
        <v/>
      </c>
    </row>
    <row r="1140" spans="2:42">
      <c r="B1140" s="834" t="str">
        <f t="shared" si="51"/>
        <v>|||</v>
      </c>
      <c r="H1140" s="835">
        <f t="shared" si="53"/>
        <v>31</v>
      </c>
      <c r="AF1140" s="831" t="s">
        <v>1831</v>
      </c>
      <c r="AG1140" s="831" t="s">
        <v>59</v>
      </c>
      <c r="AH1140" s="831" t="s">
        <v>524</v>
      </c>
      <c r="AI1140" s="831">
        <v>0</v>
      </c>
      <c r="AJ1140" s="835">
        <v>39568</v>
      </c>
      <c r="AK1140" s="831">
        <v>0</v>
      </c>
      <c r="AP1140" s="831" t="str">
        <f t="shared" si="52"/>
        <v/>
      </c>
    </row>
    <row r="1141" spans="2:42">
      <c r="B1141" s="834" t="str">
        <f t="shared" si="51"/>
        <v>|||</v>
      </c>
      <c r="H1141" s="835">
        <f t="shared" si="53"/>
        <v>31</v>
      </c>
      <c r="AF1141" s="831" t="s">
        <v>1832</v>
      </c>
      <c r="AG1141" s="831" t="s">
        <v>59</v>
      </c>
      <c r="AH1141" s="831" t="s">
        <v>1805</v>
      </c>
      <c r="AI1141" s="831">
        <v>0</v>
      </c>
      <c r="AJ1141" s="835">
        <v>39568</v>
      </c>
      <c r="AK1141" s="831">
        <v>1</v>
      </c>
      <c r="AP1141" s="831" t="str">
        <f t="shared" si="52"/>
        <v/>
      </c>
    </row>
    <row r="1142" spans="2:42">
      <c r="B1142" s="834" t="str">
        <f t="shared" si="51"/>
        <v>|||</v>
      </c>
      <c r="H1142" s="835">
        <f t="shared" si="53"/>
        <v>31</v>
      </c>
      <c r="AF1142" s="831" t="s">
        <v>1833</v>
      </c>
      <c r="AG1142" s="831" t="s">
        <v>59</v>
      </c>
      <c r="AH1142" s="831" t="s">
        <v>70</v>
      </c>
      <c r="AI1142" s="831">
        <v>0</v>
      </c>
      <c r="AJ1142" s="835">
        <v>39599</v>
      </c>
      <c r="AK1142" s="831">
        <v>116942960</v>
      </c>
      <c r="AP1142" s="831" t="str">
        <f t="shared" si="52"/>
        <v/>
      </c>
    </row>
    <row r="1143" spans="2:42">
      <c r="B1143" s="834" t="str">
        <f t="shared" si="51"/>
        <v>|||</v>
      </c>
      <c r="H1143" s="835">
        <f t="shared" si="53"/>
        <v>31</v>
      </c>
      <c r="AF1143" s="831" t="s">
        <v>1834</v>
      </c>
      <c r="AG1143" s="831" t="s">
        <v>59</v>
      </c>
      <c r="AH1143" s="831" t="s">
        <v>75</v>
      </c>
      <c r="AI1143" s="831">
        <v>0</v>
      </c>
      <c r="AJ1143" s="835">
        <v>39599</v>
      </c>
      <c r="AK1143" s="831">
        <v>110544430</v>
      </c>
      <c r="AP1143" s="831" t="str">
        <f t="shared" si="52"/>
        <v/>
      </c>
    </row>
    <row r="1144" spans="2:42">
      <c r="B1144" s="834" t="str">
        <f t="shared" si="51"/>
        <v>|||</v>
      </c>
      <c r="H1144" s="835">
        <f t="shared" si="53"/>
        <v>31</v>
      </c>
      <c r="AF1144" s="831" t="s">
        <v>1835</v>
      </c>
      <c r="AG1144" s="831" t="s">
        <v>59</v>
      </c>
      <c r="AH1144" s="831" t="s">
        <v>85</v>
      </c>
      <c r="AI1144" s="831">
        <v>0</v>
      </c>
      <c r="AJ1144" s="835">
        <v>39599</v>
      </c>
      <c r="AK1144" s="831">
        <v>5762610</v>
      </c>
      <c r="AP1144" s="831" t="str">
        <f t="shared" si="52"/>
        <v/>
      </c>
    </row>
    <row r="1145" spans="2:42">
      <c r="B1145" s="834" t="str">
        <f t="shared" si="51"/>
        <v>|||</v>
      </c>
      <c r="H1145" s="835">
        <f t="shared" si="53"/>
        <v>31</v>
      </c>
      <c r="AF1145" s="831" t="s">
        <v>1836</v>
      </c>
      <c r="AG1145" s="831" t="s">
        <v>59</v>
      </c>
      <c r="AH1145" s="831" t="s">
        <v>90</v>
      </c>
      <c r="AI1145" s="831">
        <v>0</v>
      </c>
      <c r="AJ1145" s="835">
        <v>39599</v>
      </c>
      <c r="AK1145" s="831">
        <v>106697470</v>
      </c>
      <c r="AP1145" s="831" t="str">
        <f t="shared" si="52"/>
        <v/>
      </c>
    </row>
    <row r="1146" spans="2:42">
      <c r="B1146" s="834" t="str">
        <f t="shared" si="51"/>
        <v>|||</v>
      </c>
      <c r="H1146" s="835">
        <f t="shared" si="53"/>
        <v>31</v>
      </c>
      <c r="AF1146" s="831" t="s">
        <v>1837</v>
      </c>
      <c r="AG1146" s="831" t="s">
        <v>59</v>
      </c>
      <c r="AH1146" s="831" t="s">
        <v>521</v>
      </c>
      <c r="AI1146" s="831">
        <v>0</v>
      </c>
      <c r="AJ1146" s="835">
        <v>39599</v>
      </c>
      <c r="AK1146" s="831">
        <v>0</v>
      </c>
      <c r="AP1146" s="831" t="str">
        <f t="shared" si="52"/>
        <v/>
      </c>
    </row>
    <row r="1147" spans="2:42">
      <c r="B1147" s="834" t="str">
        <f t="shared" si="51"/>
        <v>|||</v>
      </c>
      <c r="H1147" s="835">
        <f t="shared" si="53"/>
        <v>31</v>
      </c>
      <c r="AF1147" s="831" t="s">
        <v>1838</v>
      </c>
      <c r="AG1147" s="831" t="s">
        <v>59</v>
      </c>
      <c r="AH1147" s="831" t="s">
        <v>522</v>
      </c>
      <c r="AI1147" s="831">
        <v>0</v>
      </c>
      <c r="AJ1147" s="835">
        <v>39599</v>
      </c>
      <c r="AK1147" s="831">
        <v>0</v>
      </c>
      <c r="AP1147" s="831" t="str">
        <f t="shared" si="52"/>
        <v/>
      </c>
    </row>
    <row r="1148" spans="2:42">
      <c r="B1148" s="834" t="str">
        <f t="shared" si="51"/>
        <v>|||</v>
      </c>
      <c r="H1148" s="835">
        <f t="shared" si="53"/>
        <v>31</v>
      </c>
      <c r="AF1148" s="831" t="s">
        <v>1839</v>
      </c>
      <c r="AG1148" s="831" t="s">
        <v>59</v>
      </c>
      <c r="AH1148" s="831" t="s">
        <v>523</v>
      </c>
      <c r="AI1148" s="831">
        <v>0</v>
      </c>
      <c r="AJ1148" s="835">
        <v>39599</v>
      </c>
      <c r="AK1148" s="831">
        <v>0</v>
      </c>
      <c r="AP1148" s="831" t="str">
        <f t="shared" si="52"/>
        <v/>
      </c>
    </row>
    <row r="1149" spans="2:42">
      <c r="B1149" s="834" t="str">
        <f t="shared" si="51"/>
        <v>|||</v>
      </c>
      <c r="H1149" s="835">
        <f t="shared" si="53"/>
        <v>31</v>
      </c>
      <c r="AF1149" s="831" t="s">
        <v>1840</v>
      </c>
      <c r="AG1149" s="831" t="s">
        <v>59</v>
      </c>
      <c r="AH1149" s="831" t="s">
        <v>524</v>
      </c>
      <c r="AI1149" s="831">
        <v>0</v>
      </c>
      <c r="AJ1149" s="835">
        <v>39599</v>
      </c>
      <c r="AK1149" s="831">
        <v>0</v>
      </c>
      <c r="AP1149" s="831" t="str">
        <f t="shared" si="52"/>
        <v/>
      </c>
    </row>
    <row r="1150" spans="2:42">
      <c r="B1150" s="834" t="str">
        <f t="shared" si="51"/>
        <v>|||</v>
      </c>
      <c r="H1150" s="835">
        <f t="shared" si="53"/>
        <v>31</v>
      </c>
      <c r="AF1150" s="831" t="s">
        <v>1841</v>
      </c>
      <c r="AG1150" s="831" t="s">
        <v>59</v>
      </c>
      <c r="AH1150" s="831" t="s">
        <v>1805</v>
      </c>
      <c r="AI1150" s="831">
        <v>0</v>
      </c>
      <c r="AJ1150" s="835">
        <v>39599</v>
      </c>
      <c r="AK1150" s="831">
        <v>1</v>
      </c>
      <c r="AP1150" s="831" t="str">
        <f t="shared" si="52"/>
        <v/>
      </c>
    </row>
    <row r="1151" spans="2:42">
      <c r="B1151" s="834" t="str">
        <f t="shared" si="51"/>
        <v>|||</v>
      </c>
      <c r="H1151" s="835">
        <f t="shared" si="53"/>
        <v>31</v>
      </c>
      <c r="AF1151" s="831" t="s">
        <v>1842</v>
      </c>
      <c r="AG1151" s="831" t="s">
        <v>59</v>
      </c>
      <c r="AH1151" s="831" t="s">
        <v>70</v>
      </c>
      <c r="AI1151" s="831">
        <v>0</v>
      </c>
      <c r="AJ1151" s="835">
        <v>39629</v>
      </c>
      <c r="AK1151" s="831">
        <v>122717780</v>
      </c>
      <c r="AP1151" s="831" t="str">
        <f t="shared" si="52"/>
        <v/>
      </c>
    </row>
    <row r="1152" spans="2:42">
      <c r="B1152" s="834" t="str">
        <f t="shared" si="51"/>
        <v>|||</v>
      </c>
      <c r="H1152" s="835">
        <f t="shared" si="53"/>
        <v>31</v>
      </c>
      <c r="AF1152" s="831" t="s">
        <v>1843</v>
      </c>
      <c r="AG1152" s="831" t="s">
        <v>59</v>
      </c>
      <c r="AH1152" s="831" t="s">
        <v>75</v>
      </c>
      <c r="AI1152" s="831">
        <v>0</v>
      </c>
      <c r="AJ1152" s="835">
        <v>39629</v>
      </c>
      <c r="AK1152" s="831">
        <v>112566630</v>
      </c>
      <c r="AP1152" s="831" t="str">
        <f t="shared" si="52"/>
        <v/>
      </c>
    </row>
    <row r="1153" spans="2:42">
      <c r="B1153" s="834" t="str">
        <f t="shared" si="51"/>
        <v>|||</v>
      </c>
      <c r="H1153" s="835">
        <f t="shared" si="53"/>
        <v>31</v>
      </c>
      <c r="AF1153" s="831" t="s">
        <v>1844</v>
      </c>
      <c r="AG1153" s="831" t="s">
        <v>59</v>
      </c>
      <c r="AH1153" s="831" t="s">
        <v>85</v>
      </c>
      <c r="AI1153" s="831">
        <v>0</v>
      </c>
      <c r="AJ1153" s="835">
        <v>39629</v>
      </c>
      <c r="AK1153" s="831">
        <v>5525540</v>
      </c>
      <c r="AP1153" s="831" t="str">
        <f t="shared" si="52"/>
        <v/>
      </c>
    </row>
    <row r="1154" spans="2:42">
      <c r="B1154" s="834" t="str">
        <f t="shared" si="51"/>
        <v>|||</v>
      </c>
      <c r="H1154" s="835">
        <f t="shared" si="53"/>
        <v>31</v>
      </c>
      <c r="AF1154" s="831" t="s">
        <v>1845</v>
      </c>
      <c r="AG1154" s="831" t="s">
        <v>59</v>
      </c>
      <c r="AH1154" s="831" t="s">
        <v>90</v>
      </c>
      <c r="AI1154" s="831">
        <v>0</v>
      </c>
      <c r="AJ1154" s="835">
        <v>39629</v>
      </c>
      <c r="AK1154" s="831">
        <v>111076900</v>
      </c>
      <c r="AP1154" s="831" t="str">
        <f t="shared" si="52"/>
        <v/>
      </c>
    </row>
    <row r="1155" spans="2:42">
      <c r="B1155" s="834" t="str">
        <f t="shared" ref="B1155:B1218" si="54">C1155&amp;"|"&amp;D1155&amp;"|"&amp;E1155&amp;"|"&amp;F1155</f>
        <v>|||</v>
      </c>
      <c r="H1155" s="835">
        <f t="shared" si="53"/>
        <v>31</v>
      </c>
      <c r="AF1155" s="831" t="s">
        <v>1846</v>
      </c>
      <c r="AG1155" s="831" t="s">
        <v>59</v>
      </c>
      <c r="AH1155" s="831" t="s">
        <v>521</v>
      </c>
      <c r="AI1155" s="831">
        <v>0</v>
      </c>
      <c r="AJ1155" s="835">
        <v>39629</v>
      </c>
      <c r="AK1155" s="831">
        <v>0</v>
      </c>
      <c r="AP1155" s="831" t="str">
        <f t="shared" ref="AP1155:AP1218" si="55">IF(AX1155&lt;&gt;"",IF(OR(AX1155=3,AX1155=4),"Equity","Debt"),"")</f>
        <v/>
      </c>
    </row>
    <row r="1156" spans="2:42">
      <c r="B1156" s="834" t="str">
        <f t="shared" si="54"/>
        <v>|||</v>
      </c>
      <c r="H1156" s="835">
        <f t="shared" ref="H1156:H1219" si="56">EOMONTH(L1156,0)</f>
        <v>31</v>
      </c>
      <c r="AF1156" s="831" t="s">
        <v>1847</v>
      </c>
      <c r="AG1156" s="831" t="s">
        <v>59</v>
      </c>
      <c r="AH1156" s="831" t="s">
        <v>522</v>
      </c>
      <c r="AI1156" s="831">
        <v>0</v>
      </c>
      <c r="AJ1156" s="835">
        <v>39629</v>
      </c>
      <c r="AK1156" s="831">
        <v>0</v>
      </c>
      <c r="AP1156" s="831" t="str">
        <f t="shared" si="55"/>
        <v/>
      </c>
    </row>
    <row r="1157" spans="2:42">
      <c r="B1157" s="834" t="str">
        <f t="shared" si="54"/>
        <v>|||</v>
      </c>
      <c r="H1157" s="835">
        <f t="shared" si="56"/>
        <v>31</v>
      </c>
      <c r="AF1157" s="831" t="s">
        <v>1848</v>
      </c>
      <c r="AG1157" s="831" t="s">
        <v>59</v>
      </c>
      <c r="AH1157" s="831" t="s">
        <v>523</v>
      </c>
      <c r="AI1157" s="831">
        <v>0</v>
      </c>
      <c r="AJ1157" s="835">
        <v>39629</v>
      </c>
      <c r="AK1157" s="831">
        <v>0</v>
      </c>
      <c r="AP1157" s="831" t="str">
        <f t="shared" si="55"/>
        <v/>
      </c>
    </row>
    <row r="1158" spans="2:42">
      <c r="B1158" s="834" t="str">
        <f t="shared" si="54"/>
        <v>|||</v>
      </c>
      <c r="H1158" s="835">
        <f t="shared" si="56"/>
        <v>31</v>
      </c>
      <c r="AF1158" s="831" t="s">
        <v>1849</v>
      </c>
      <c r="AG1158" s="831" t="s">
        <v>59</v>
      </c>
      <c r="AH1158" s="831" t="s">
        <v>524</v>
      </c>
      <c r="AI1158" s="831">
        <v>0</v>
      </c>
      <c r="AJ1158" s="835">
        <v>39629</v>
      </c>
      <c r="AK1158" s="831">
        <v>0</v>
      </c>
      <c r="AP1158" s="831" t="str">
        <f t="shared" si="55"/>
        <v/>
      </c>
    </row>
    <row r="1159" spans="2:42">
      <c r="B1159" s="834" t="str">
        <f t="shared" si="54"/>
        <v>|||</v>
      </c>
      <c r="H1159" s="835">
        <f t="shared" si="56"/>
        <v>31</v>
      </c>
      <c r="AF1159" s="831" t="s">
        <v>1850</v>
      </c>
      <c r="AG1159" s="831" t="s">
        <v>59</v>
      </c>
      <c r="AH1159" s="831" t="s">
        <v>1805</v>
      </c>
      <c r="AI1159" s="831">
        <v>0</v>
      </c>
      <c r="AJ1159" s="835">
        <v>39629</v>
      </c>
      <c r="AK1159" s="831">
        <v>1</v>
      </c>
      <c r="AP1159" s="831" t="str">
        <f t="shared" si="55"/>
        <v/>
      </c>
    </row>
    <row r="1160" spans="2:42">
      <c r="B1160" s="834" t="str">
        <f t="shared" si="54"/>
        <v>|||</v>
      </c>
      <c r="H1160" s="835">
        <f t="shared" si="56"/>
        <v>31</v>
      </c>
      <c r="AF1160" s="831" t="s">
        <v>1851</v>
      </c>
      <c r="AG1160" s="831" t="s">
        <v>59</v>
      </c>
      <c r="AH1160" s="831" t="s">
        <v>70</v>
      </c>
      <c r="AI1160" s="831">
        <v>0</v>
      </c>
      <c r="AJ1160" s="835">
        <v>39660</v>
      </c>
      <c r="AK1160" s="831">
        <v>120738293</v>
      </c>
      <c r="AP1160" s="831" t="str">
        <f t="shared" si="55"/>
        <v/>
      </c>
    </row>
    <row r="1161" spans="2:42">
      <c r="B1161" s="834" t="str">
        <f t="shared" si="54"/>
        <v>|||</v>
      </c>
      <c r="H1161" s="835">
        <f t="shared" si="56"/>
        <v>31</v>
      </c>
      <c r="AF1161" s="831" t="s">
        <v>1852</v>
      </c>
      <c r="AG1161" s="831" t="s">
        <v>59</v>
      </c>
      <c r="AH1161" s="831" t="s">
        <v>75</v>
      </c>
      <c r="AI1161" s="831">
        <v>0</v>
      </c>
      <c r="AJ1161" s="835">
        <v>39660</v>
      </c>
      <c r="AK1161" s="831">
        <v>114544240</v>
      </c>
      <c r="AP1161" s="831" t="str">
        <f t="shared" si="55"/>
        <v/>
      </c>
    </row>
    <row r="1162" spans="2:42">
      <c r="B1162" s="834" t="str">
        <f t="shared" si="54"/>
        <v>|||</v>
      </c>
      <c r="H1162" s="835">
        <f t="shared" si="56"/>
        <v>31</v>
      </c>
      <c r="AF1162" s="831" t="s">
        <v>1853</v>
      </c>
      <c r="AG1162" s="831" t="s">
        <v>59</v>
      </c>
      <c r="AH1162" s="831" t="s">
        <v>85</v>
      </c>
      <c r="AI1162" s="831">
        <v>0</v>
      </c>
      <c r="AJ1162" s="835">
        <v>39660</v>
      </c>
      <c r="AK1162" s="831">
        <v>7352540</v>
      </c>
      <c r="AP1162" s="831" t="str">
        <f t="shared" si="55"/>
        <v/>
      </c>
    </row>
    <row r="1163" spans="2:42">
      <c r="B1163" s="834" t="str">
        <f t="shared" si="54"/>
        <v>|||</v>
      </c>
      <c r="H1163" s="835">
        <f t="shared" si="56"/>
        <v>31</v>
      </c>
      <c r="AF1163" s="831" t="s">
        <v>1854</v>
      </c>
      <c r="AG1163" s="831" t="s">
        <v>59</v>
      </c>
      <c r="AH1163" s="831" t="s">
        <v>90</v>
      </c>
      <c r="AI1163" s="831">
        <v>0</v>
      </c>
      <c r="AJ1163" s="835">
        <v>39660</v>
      </c>
      <c r="AK1163" s="831">
        <v>112743560</v>
      </c>
      <c r="AP1163" s="831" t="str">
        <f t="shared" si="55"/>
        <v/>
      </c>
    </row>
    <row r="1164" spans="2:42">
      <c r="B1164" s="834" t="str">
        <f t="shared" si="54"/>
        <v>|||</v>
      </c>
      <c r="H1164" s="835">
        <f t="shared" si="56"/>
        <v>31</v>
      </c>
      <c r="AF1164" s="831" t="s">
        <v>1855</v>
      </c>
      <c r="AG1164" s="831" t="s">
        <v>59</v>
      </c>
      <c r="AH1164" s="831" t="s">
        <v>521</v>
      </c>
      <c r="AI1164" s="831">
        <v>0</v>
      </c>
      <c r="AJ1164" s="835">
        <v>39660</v>
      </c>
      <c r="AK1164" s="831">
        <v>0</v>
      </c>
      <c r="AP1164" s="831" t="str">
        <f t="shared" si="55"/>
        <v/>
      </c>
    </row>
    <row r="1165" spans="2:42">
      <c r="B1165" s="834" t="str">
        <f t="shared" si="54"/>
        <v>|||</v>
      </c>
      <c r="H1165" s="835">
        <f t="shared" si="56"/>
        <v>31</v>
      </c>
      <c r="AF1165" s="831" t="s">
        <v>1856</v>
      </c>
      <c r="AG1165" s="831" t="s">
        <v>59</v>
      </c>
      <c r="AH1165" s="831" t="s">
        <v>522</v>
      </c>
      <c r="AI1165" s="831">
        <v>0</v>
      </c>
      <c r="AJ1165" s="835">
        <v>39660</v>
      </c>
      <c r="AK1165" s="831">
        <v>0</v>
      </c>
      <c r="AP1165" s="831" t="str">
        <f t="shared" si="55"/>
        <v/>
      </c>
    </row>
    <row r="1166" spans="2:42">
      <c r="B1166" s="834" t="str">
        <f t="shared" si="54"/>
        <v>|||</v>
      </c>
      <c r="H1166" s="835">
        <f t="shared" si="56"/>
        <v>31</v>
      </c>
      <c r="AF1166" s="831" t="s">
        <v>1857</v>
      </c>
      <c r="AG1166" s="831" t="s">
        <v>59</v>
      </c>
      <c r="AH1166" s="831" t="s">
        <v>523</v>
      </c>
      <c r="AI1166" s="831">
        <v>0</v>
      </c>
      <c r="AJ1166" s="835">
        <v>39660</v>
      </c>
      <c r="AK1166" s="831">
        <v>0</v>
      </c>
      <c r="AP1166" s="831" t="str">
        <f t="shared" si="55"/>
        <v/>
      </c>
    </row>
    <row r="1167" spans="2:42">
      <c r="B1167" s="834" t="str">
        <f t="shared" si="54"/>
        <v>|||</v>
      </c>
      <c r="H1167" s="835">
        <f t="shared" si="56"/>
        <v>31</v>
      </c>
      <c r="AF1167" s="831" t="s">
        <v>1858</v>
      </c>
      <c r="AG1167" s="831" t="s">
        <v>59</v>
      </c>
      <c r="AH1167" s="831" t="s">
        <v>524</v>
      </c>
      <c r="AI1167" s="831">
        <v>0</v>
      </c>
      <c r="AJ1167" s="835">
        <v>39660</v>
      </c>
      <c r="AK1167" s="831">
        <v>0</v>
      </c>
      <c r="AP1167" s="831" t="str">
        <f t="shared" si="55"/>
        <v/>
      </c>
    </row>
    <row r="1168" spans="2:42">
      <c r="B1168" s="834" t="str">
        <f t="shared" si="54"/>
        <v>|||</v>
      </c>
      <c r="H1168" s="835">
        <f t="shared" si="56"/>
        <v>31</v>
      </c>
      <c r="AF1168" s="831" t="s">
        <v>1859</v>
      </c>
      <c r="AG1168" s="831" t="s">
        <v>59</v>
      </c>
      <c r="AH1168" s="831" t="s">
        <v>1805</v>
      </c>
      <c r="AI1168" s="831">
        <v>0</v>
      </c>
      <c r="AJ1168" s="835">
        <v>39660</v>
      </c>
      <c r="AK1168" s="831">
        <v>1</v>
      </c>
      <c r="AP1168" s="831" t="str">
        <f t="shared" si="55"/>
        <v/>
      </c>
    </row>
    <row r="1169" spans="2:42">
      <c r="B1169" s="834" t="str">
        <f t="shared" si="54"/>
        <v>|||</v>
      </c>
      <c r="H1169" s="835">
        <f t="shared" si="56"/>
        <v>31</v>
      </c>
      <c r="AF1169" s="831" t="s">
        <v>1860</v>
      </c>
      <c r="AG1169" s="831" t="s">
        <v>59</v>
      </c>
      <c r="AH1169" s="831" t="s">
        <v>70</v>
      </c>
      <c r="AI1169" s="831">
        <v>0</v>
      </c>
      <c r="AJ1169" s="835">
        <v>39691</v>
      </c>
      <c r="AK1169" s="831">
        <v>137737430</v>
      </c>
      <c r="AP1169" s="831" t="str">
        <f t="shared" si="55"/>
        <v/>
      </c>
    </row>
    <row r="1170" spans="2:42">
      <c r="B1170" s="834" t="str">
        <f t="shared" si="54"/>
        <v>|||</v>
      </c>
      <c r="H1170" s="835">
        <f t="shared" si="56"/>
        <v>31</v>
      </c>
      <c r="AF1170" s="831" t="s">
        <v>1861</v>
      </c>
      <c r="AG1170" s="831" t="s">
        <v>59</v>
      </c>
      <c r="AH1170" s="831" t="s">
        <v>75</v>
      </c>
      <c r="AI1170" s="831">
        <v>0</v>
      </c>
      <c r="AJ1170" s="835">
        <v>39691</v>
      </c>
      <c r="AK1170" s="831">
        <v>119197110</v>
      </c>
      <c r="AP1170" s="831" t="str">
        <f t="shared" si="55"/>
        <v/>
      </c>
    </row>
    <row r="1171" spans="2:42">
      <c r="B1171" s="834" t="str">
        <f t="shared" si="54"/>
        <v>|||</v>
      </c>
      <c r="H1171" s="835">
        <f t="shared" si="56"/>
        <v>31</v>
      </c>
      <c r="AF1171" s="831" t="s">
        <v>1862</v>
      </c>
      <c r="AG1171" s="831" t="s">
        <v>59</v>
      </c>
      <c r="AH1171" s="831" t="s">
        <v>85</v>
      </c>
      <c r="AI1171" s="831">
        <v>0</v>
      </c>
      <c r="AJ1171" s="835">
        <v>39691</v>
      </c>
      <c r="AK1171" s="831">
        <v>8385020</v>
      </c>
      <c r="AP1171" s="831" t="str">
        <f t="shared" si="55"/>
        <v/>
      </c>
    </row>
    <row r="1172" spans="2:42">
      <c r="B1172" s="834" t="str">
        <f t="shared" si="54"/>
        <v>|||</v>
      </c>
      <c r="H1172" s="835">
        <f t="shared" si="56"/>
        <v>31</v>
      </c>
      <c r="AF1172" s="831" t="s">
        <v>1863</v>
      </c>
      <c r="AG1172" s="831" t="s">
        <v>59</v>
      </c>
      <c r="AH1172" s="831" t="s">
        <v>90</v>
      </c>
      <c r="AI1172" s="831">
        <v>0</v>
      </c>
      <c r="AJ1172" s="835">
        <v>39691</v>
      </c>
      <c r="AK1172" s="831">
        <v>119286920</v>
      </c>
      <c r="AP1172" s="831" t="str">
        <f t="shared" si="55"/>
        <v/>
      </c>
    </row>
    <row r="1173" spans="2:42">
      <c r="B1173" s="834" t="str">
        <f t="shared" si="54"/>
        <v>|||</v>
      </c>
      <c r="H1173" s="835">
        <f t="shared" si="56"/>
        <v>31</v>
      </c>
      <c r="AF1173" s="831" t="s">
        <v>1864</v>
      </c>
      <c r="AG1173" s="831" t="s">
        <v>59</v>
      </c>
      <c r="AH1173" s="831" t="s">
        <v>521</v>
      </c>
      <c r="AI1173" s="831">
        <v>0</v>
      </c>
      <c r="AJ1173" s="835">
        <v>39691</v>
      </c>
      <c r="AK1173" s="831">
        <v>0</v>
      </c>
      <c r="AP1173" s="831" t="str">
        <f t="shared" si="55"/>
        <v/>
      </c>
    </row>
    <row r="1174" spans="2:42">
      <c r="B1174" s="834" t="str">
        <f t="shared" si="54"/>
        <v>|||</v>
      </c>
      <c r="H1174" s="835">
        <f t="shared" si="56"/>
        <v>31</v>
      </c>
      <c r="AF1174" s="831" t="s">
        <v>1865</v>
      </c>
      <c r="AG1174" s="831" t="s">
        <v>59</v>
      </c>
      <c r="AH1174" s="831" t="s">
        <v>522</v>
      </c>
      <c r="AI1174" s="831">
        <v>0</v>
      </c>
      <c r="AJ1174" s="835">
        <v>39691</v>
      </c>
      <c r="AK1174" s="831">
        <v>0</v>
      </c>
      <c r="AP1174" s="831" t="str">
        <f t="shared" si="55"/>
        <v/>
      </c>
    </row>
    <row r="1175" spans="2:42">
      <c r="B1175" s="834" t="str">
        <f t="shared" si="54"/>
        <v>|||</v>
      </c>
      <c r="H1175" s="835">
        <f t="shared" si="56"/>
        <v>31</v>
      </c>
      <c r="AF1175" s="831" t="s">
        <v>1866</v>
      </c>
      <c r="AG1175" s="831" t="s">
        <v>59</v>
      </c>
      <c r="AH1175" s="831" t="s">
        <v>523</v>
      </c>
      <c r="AI1175" s="831">
        <v>0</v>
      </c>
      <c r="AJ1175" s="835">
        <v>39691</v>
      </c>
      <c r="AK1175" s="831">
        <v>0</v>
      </c>
      <c r="AP1175" s="831" t="str">
        <f t="shared" si="55"/>
        <v/>
      </c>
    </row>
    <row r="1176" spans="2:42">
      <c r="B1176" s="834" t="str">
        <f t="shared" si="54"/>
        <v>|||</v>
      </c>
      <c r="H1176" s="835">
        <f t="shared" si="56"/>
        <v>31</v>
      </c>
      <c r="AF1176" s="831" t="s">
        <v>1867</v>
      </c>
      <c r="AG1176" s="831" t="s">
        <v>59</v>
      </c>
      <c r="AH1176" s="831" t="s">
        <v>524</v>
      </c>
      <c r="AI1176" s="831">
        <v>0</v>
      </c>
      <c r="AJ1176" s="835">
        <v>39691</v>
      </c>
      <c r="AK1176" s="831">
        <v>0</v>
      </c>
      <c r="AP1176" s="831" t="str">
        <f t="shared" si="55"/>
        <v/>
      </c>
    </row>
    <row r="1177" spans="2:42">
      <c r="B1177" s="834" t="str">
        <f t="shared" si="54"/>
        <v>|||</v>
      </c>
      <c r="H1177" s="835">
        <f t="shared" si="56"/>
        <v>31</v>
      </c>
      <c r="AF1177" s="831" t="s">
        <v>1868</v>
      </c>
      <c r="AG1177" s="831" t="s">
        <v>59</v>
      </c>
      <c r="AH1177" s="831" t="s">
        <v>1805</v>
      </c>
      <c r="AI1177" s="831">
        <v>0</v>
      </c>
      <c r="AJ1177" s="835">
        <v>39691</v>
      </c>
      <c r="AK1177" s="831">
        <v>1</v>
      </c>
      <c r="AP1177" s="831" t="str">
        <f t="shared" si="55"/>
        <v/>
      </c>
    </row>
    <row r="1178" spans="2:42">
      <c r="B1178" s="834" t="str">
        <f t="shared" si="54"/>
        <v>|||</v>
      </c>
      <c r="H1178" s="835">
        <f t="shared" si="56"/>
        <v>31</v>
      </c>
      <c r="AF1178" s="831" t="s">
        <v>1869</v>
      </c>
      <c r="AG1178" s="831" t="s">
        <v>59</v>
      </c>
      <c r="AH1178" s="831" t="s">
        <v>70</v>
      </c>
      <c r="AI1178" s="831">
        <v>0</v>
      </c>
      <c r="AJ1178" s="835">
        <v>39721</v>
      </c>
      <c r="AK1178" s="831">
        <v>134426590</v>
      </c>
      <c r="AP1178" s="831" t="str">
        <f t="shared" si="55"/>
        <v/>
      </c>
    </row>
    <row r="1179" spans="2:42">
      <c r="B1179" s="834" t="str">
        <f t="shared" si="54"/>
        <v>|||</v>
      </c>
      <c r="H1179" s="835">
        <f t="shared" si="56"/>
        <v>31</v>
      </c>
      <c r="AF1179" s="831" t="s">
        <v>1870</v>
      </c>
      <c r="AG1179" s="831" t="s">
        <v>59</v>
      </c>
      <c r="AH1179" s="831" t="s">
        <v>75</v>
      </c>
      <c r="AI1179" s="831">
        <v>0</v>
      </c>
      <c r="AJ1179" s="835">
        <v>39721</v>
      </c>
      <c r="AK1179" s="831">
        <v>120444640</v>
      </c>
      <c r="AP1179" s="831" t="str">
        <f t="shared" si="55"/>
        <v/>
      </c>
    </row>
    <row r="1180" spans="2:42">
      <c r="B1180" s="834" t="str">
        <f t="shared" si="54"/>
        <v>|||</v>
      </c>
      <c r="H1180" s="835">
        <f t="shared" si="56"/>
        <v>31</v>
      </c>
      <c r="AF1180" s="831" t="s">
        <v>1871</v>
      </c>
      <c r="AG1180" s="831" t="s">
        <v>59</v>
      </c>
      <c r="AH1180" s="831" t="s">
        <v>85</v>
      </c>
      <c r="AI1180" s="831">
        <v>0</v>
      </c>
      <c r="AJ1180" s="835">
        <v>39721</v>
      </c>
      <c r="AK1180" s="831">
        <v>8393300</v>
      </c>
      <c r="AP1180" s="831" t="str">
        <f t="shared" si="55"/>
        <v/>
      </c>
    </row>
    <row r="1181" spans="2:42">
      <c r="B1181" s="834" t="str">
        <f t="shared" si="54"/>
        <v>|||</v>
      </c>
      <c r="H1181" s="835">
        <f t="shared" si="56"/>
        <v>31</v>
      </c>
      <c r="AF1181" s="831" t="s">
        <v>1872</v>
      </c>
      <c r="AG1181" s="831" t="s">
        <v>59</v>
      </c>
      <c r="AH1181" s="831" t="s">
        <v>90</v>
      </c>
      <c r="AI1181" s="831">
        <v>0</v>
      </c>
      <c r="AJ1181" s="835">
        <v>39721</v>
      </c>
      <c r="AK1181" s="831">
        <v>119340480</v>
      </c>
      <c r="AP1181" s="831" t="str">
        <f t="shared" si="55"/>
        <v/>
      </c>
    </row>
    <row r="1182" spans="2:42">
      <c r="B1182" s="834" t="str">
        <f t="shared" si="54"/>
        <v>|||</v>
      </c>
      <c r="H1182" s="835">
        <f t="shared" si="56"/>
        <v>31</v>
      </c>
      <c r="AF1182" s="831" t="s">
        <v>1873</v>
      </c>
      <c r="AG1182" s="831" t="s">
        <v>59</v>
      </c>
      <c r="AH1182" s="831" t="s">
        <v>521</v>
      </c>
      <c r="AI1182" s="831">
        <v>0</v>
      </c>
      <c r="AJ1182" s="835">
        <v>39721</v>
      </c>
      <c r="AK1182" s="831">
        <v>0</v>
      </c>
      <c r="AP1182" s="831" t="str">
        <f t="shared" si="55"/>
        <v/>
      </c>
    </row>
    <row r="1183" spans="2:42">
      <c r="B1183" s="834" t="str">
        <f t="shared" si="54"/>
        <v>|||</v>
      </c>
      <c r="H1183" s="835">
        <f t="shared" si="56"/>
        <v>31</v>
      </c>
      <c r="AF1183" s="831" t="s">
        <v>1874</v>
      </c>
      <c r="AG1183" s="831" t="s">
        <v>59</v>
      </c>
      <c r="AH1183" s="831" t="s">
        <v>522</v>
      </c>
      <c r="AI1183" s="831">
        <v>0</v>
      </c>
      <c r="AJ1183" s="835">
        <v>39721</v>
      </c>
      <c r="AK1183" s="831">
        <v>0</v>
      </c>
      <c r="AP1183" s="831" t="str">
        <f t="shared" si="55"/>
        <v/>
      </c>
    </row>
    <row r="1184" spans="2:42">
      <c r="B1184" s="834" t="str">
        <f t="shared" si="54"/>
        <v>|||</v>
      </c>
      <c r="H1184" s="835">
        <f t="shared" si="56"/>
        <v>31</v>
      </c>
      <c r="AF1184" s="831" t="s">
        <v>1875</v>
      </c>
      <c r="AG1184" s="831" t="s">
        <v>59</v>
      </c>
      <c r="AH1184" s="831" t="s">
        <v>523</v>
      </c>
      <c r="AI1184" s="831">
        <v>0</v>
      </c>
      <c r="AJ1184" s="835">
        <v>39721</v>
      </c>
      <c r="AK1184" s="831">
        <v>0</v>
      </c>
      <c r="AP1184" s="831" t="str">
        <f t="shared" si="55"/>
        <v/>
      </c>
    </row>
    <row r="1185" spans="2:42">
      <c r="B1185" s="834" t="str">
        <f t="shared" si="54"/>
        <v>|||</v>
      </c>
      <c r="H1185" s="835">
        <f t="shared" si="56"/>
        <v>31</v>
      </c>
      <c r="AF1185" s="831" t="s">
        <v>1876</v>
      </c>
      <c r="AG1185" s="831" t="s">
        <v>59</v>
      </c>
      <c r="AH1185" s="831" t="s">
        <v>524</v>
      </c>
      <c r="AI1185" s="831">
        <v>0</v>
      </c>
      <c r="AJ1185" s="835">
        <v>39721</v>
      </c>
      <c r="AK1185" s="831">
        <v>0</v>
      </c>
      <c r="AP1185" s="831" t="str">
        <f t="shared" si="55"/>
        <v/>
      </c>
    </row>
    <row r="1186" spans="2:42">
      <c r="B1186" s="834" t="str">
        <f t="shared" si="54"/>
        <v>|||</v>
      </c>
      <c r="H1186" s="835">
        <f t="shared" si="56"/>
        <v>31</v>
      </c>
      <c r="AF1186" s="831" t="s">
        <v>1877</v>
      </c>
      <c r="AG1186" s="831" t="s">
        <v>59</v>
      </c>
      <c r="AH1186" s="831" t="s">
        <v>1805</v>
      </c>
      <c r="AI1186" s="831">
        <v>0</v>
      </c>
      <c r="AJ1186" s="835">
        <v>39721</v>
      </c>
      <c r="AK1186" s="831">
        <v>1</v>
      </c>
      <c r="AP1186" s="831" t="str">
        <f t="shared" si="55"/>
        <v/>
      </c>
    </row>
    <row r="1187" spans="2:42">
      <c r="B1187" s="834" t="str">
        <f t="shared" si="54"/>
        <v>|||</v>
      </c>
      <c r="H1187" s="835">
        <f t="shared" si="56"/>
        <v>31</v>
      </c>
      <c r="AF1187" s="831" t="s">
        <v>1878</v>
      </c>
      <c r="AG1187" s="831" t="s">
        <v>59</v>
      </c>
      <c r="AH1187" s="831" t="s">
        <v>70</v>
      </c>
      <c r="AI1187" s="831">
        <v>0</v>
      </c>
      <c r="AJ1187" s="835">
        <v>39752</v>
      </c>
      <c r="AK1187" s="831">
        <v>132582320</v>
      </c>
      <c r="AP1187" s="831" t="str">
        <f t="shared" si="55"/>
        <v/>
      </c>
    </row>
    <row r="1188" spans="2:42">
      <c r="B1188" s="834" t="str">
        <f t="shared" si="54"/>
        <v>|||</v>
      </c>
      <c r="H1188" s="835">
        <f t="shared" si="56"/>
        <v>31</v>
      </c>
      <c r="AF1188" s="831" t="s">
        <v>1879</v>
      </c>
      <c r="AG1188" s="831" t="s">
        <v>59</v>
      </c>
      <c r="AH1188" s="831" t="s">
        <v>75</v>
      </c>
      <c r="AI1188" s="831">
        <v>0</v>
      </c>
      <c r="AJ1188" s="835">
        <v>39752</v>
      </c>
      <c r="AK1188" s="831">
        <v>120573500</v>
      </c>
      <c r="AP1188" s="831" t="str">
        <f t="shared" si="55"/>
        <v/>
      </c>
    </row>
    <row r="1189" spans="2:42">
      <c r="B1189" s="834" t="str">
        <f t="shared" si="54"/>
        <v>|||</v>
      </c>
      <c r="H1189" s="835">
        <f t="shared" si="56"/>
        <v>31</v>
      </c>
      <c r="AF1189" s="831" t="s">
        <v>1880</v>
      </c>
      <c r="AG1189" s="831" t="s">
        <v>59</v>
      </c>
      <c r="AH1189" s="831" t="s">
        <v>85</v>
      </c>
      <c r="AI1189" s="831">
        <v>0</v>
      </c>
      <c r="AJ1189" s="835">
        <v>39752</v>
      </c>
      <c r="AK1189" s="831">
        <v>10004030</v>
      </c>
      <c r="AP1189" s="831" t="str">
        <f t="shared" si="55"/>
        <v/>
      </c>
    </row>
    <row r="1190" spans="2:42">
      <c r="B1190" s="834" t="str">
        <f t="shared" si="54"/>
        <v>|||</v>
      </c>
      <c r="H1190" s="835">
        <f t="shared" si="56"/>
        <v>31</v>
      </c>
      <c r="AF1190" s="831" t="s">
        <v>1881</v>
      </c>
      <c r="AG1190" s="831" t="s">
        <v>59</v>
      </c>
      <c r="AH1190" s="831" t="s">
        <v>90</v>
      </c>
      <c r="AI1190" s="831">
        <v>0</v>
      </c>
      <c r="AJ1190" s="835">
        <v>39752</v>
      </c>
      <c r="AK1190" s="831">
        <v>122742800</v>
      </c>
      <c r="AP1190" s="831" t="str">
        <f t="shared" si="55"/>
        <v/>
      </c>
    </row>
    <row r="1191" spans="2:42">
      <c r="B1191" s="834" t="str">
        <f t="shared" si="54"/>
        <v>|||</v>
      </c>
      <c r="H1191" s="835">
        <f t="shared" si="56"/>
        <v>31</v>
      </c>
      <c r="AF1191" s="831" t="s">
        <v>1882</v>
      </c>
      <c r="AG1191" s="831" t="s">
        <v>59</v>
      </c>
      <c r="AH1191" s="831" t="s">
        <v>521</v>
      </c>
      <c r="AI1191" s="831">
        <v>0</v>
      </c>
      <c r="AJ1191" s="835">
        <v>39752</v>
      </c>
      <c r="AK1191" s="831">
        <v>0</v>
      </c>
      <c r="AP1191" s="831" t="str">
        <f t="shared" si="55"/>
        <v/>
      </c>
    </row>
    <row r="1192" spans="2:42">
      <c r="B1192" s="834" t="str">
        <f t="shared" si="54"/>
        <v>|||</v>
      </c>
      <c r="H1192" s="835">
        <f t="shared" si="56"/>
        <v>31</v>
      </c>
      <c r="AF1192" s="831" t="s">
        <v>1883</v>
      </c>
      <c r="AG1192" s="831" t="s">
        <v>59</v>
      </c>
      <c r="AH1192" s="831" t="s">
        <v>522</v>
      </c>
      <c r="AI1192" s="831">
        <v>0</v>
      </c>
      <c r="AJ1192" s="835">
        <v>39752</v>
      </c>
      <c r="AK1192" s="831">
        <v>0</v>
      </c>
      <c r="AP1192" s="831" t="str">
        <f t="shared" si="55"/>
        <v/>
      </c>
    </row>
    <row r="1193" spans="2:42">
      <c r="B1193" s="834" t="str">
        <f t="shared" si="54"/>
        <v>|||</v>
      </c>
      <c r="H1193" s="835">
        <f t="shared" si="56"/>
        <v>31</v>
      </c>
      <c r="AF1193" s="831" t="s">
        <v>1884</v>
      </c>
      <c r="AG1193" s="831" t="s">
        <v>59</v>
      </c>
      <c r="AH1193" s="831" t="s">
        <v>523</v>
      </c>
      <c r="AI1193" s="831">
        <v>0</v>
      </c>
      <c r="AJ1193" s="835">
        <v>39752</v>
      </c>
      <c r="AK1193" s="831">
        <v>0</v>
      </c>
      <c r="AP1193" s="831" t="str">
        <f t="shared" si="55"/>
        <v/>
      </c>
    </row>
    <row r="1194" spans="2:42">
      <c r="B1194" s="834" t="str">
        <f t="shared" si="54"/>
        <v>|||</v>
      </c>
      <c r="H1194" s="835">
        <f t="shared" si="56"/>
        <v>31</v>
      </c>
      <c r="AF1194" s="831" t="s">
        <v>1885</v>
      </c>
      <c r="AG1194" s="831" t="s">
        <v>59</v>
      </c>
      <c r="AH1194" s="831" t="s">
        <v>524</v>
      </c>
      <c r="AI1194" s="831">
        <v>0</v>
      </c>
      <c r="AJ1194" s="835">
        <v>39752</v>
      </c>
      <c r="AK1194" s="831">
        <v>0</v>
      </c>
      <c r="AP1194" s="831" t="str">
        <f t="shared" si="55"/>
        <v/>
      </c>
    </row>
    <row r="1195" spans="2:42">
      <c r="B1195" s="834" t="str">
        <f t="shared" si="54"/>
        <v>|||</v>
      </c>
      <c r="H1195" s="835">
        <f t="shared" si="56"/>
        <v>31</v>
      </c>
      <c r="AF1195" s="831" t="s">
        <v>1886</v>
      </c>
      <c r="AG1195" s="831" t="s">
        <v>59</v>
      </c>
      <c r="AH1195" s="831" t="s">
        <v>1805</v>
      </c>
      <c r="AI1195" s="831">
        <v>0</v>
      </c>
      <c r="AJ1195" s="835">
        <v>39752</v>
      </c>
      <c r="AK1195" s="831">
        <v>1</v>
      </c>
      <c r="AP1195" s="831" t="str">
        <f t="shared" si="55"/>
        <v/>
      </c>
    </row>
    <row r="1196" spans="2:42">
      <c r="B1196" s="834" t="str">
        <f t="shared" si="54"/>
        <v>|||</v>
      </c>
      <c r="H1196" s="835">
        <f t="shared" si="56"/>
        <v>31</v>
      </c>
      <c r="AF1196" s="831" t="s">
        <v>1887</v>
      </c>
      <c r="AG1196" s="831" t="s">
        <v>59</v>
      </c>
      <c r="AH1196" s="831" t="s">
        <v>70</v>
      </c>
      <c r="AI1196" s="831">
        <v>0</v>
      </c>
      <c r="AJ1196" s="835">
        <v>39782</v>
      </c>
      <c r="AK1196" s="831">
        <v>131531930</v>
      </c>
      <c r="AP1196" s="831" t="str">
        <f t="shared" si="55"/>
        <v/>
      </c>
    </row>
    <row r="1197" spans="2:42">
      <c r="B1197" s="834" t="str">
        <f t="shared" si="54"/>
        <v>|||</v>
      </c>
      <c r="H1197" s="835">
        <f t="shared" si="56"/>
        <v>31</v>
      </c>
      <c r="AF1197" s="831" t="s">
        <v>1888</v>
      </c>
      <c r="AG1197" s="831" t="s">
        <v>59</v>
      </c>
      <c r="AH1197" s="831" t="s">
        <v>75</v>
      </c>
      <c r="AI1197" s="831">
        <v>0</v>
      </c>
      <c r="AJ1197" s="835">
        <v>39782</v>
      </c>
      <c r="AK1197" s="831">
        <v>121139250</v>
      </c>
      <c r="AP1197" s="831" t="str">
        <f t="shared" si="55"/>
        <v/>
      </c>
    </row>
    <row r="1198" spans="2:42">
      <c r="B1198" s="834" t="str">
        <f t="shared" si="54"/>
        <v>|||</v>
      </c>
      <c r="H1198" s="835">
        <f t="shared" si="56"/>
        <v>31</v>
      </c>
      <c r="AF1198" s="831" t="s">
        <v>1889</v>
      </c>
      <c r="AG1198" s="831" t="s">
        <v>59</v>
      </c>
      <c r="AH1198" s="831" t="s">
        <v>85</v>
      </c>
      <c r="AI1198" s="831">
        <v>0</v>
      </c>
      <c r="AJ1198" s="835">
        <v>39782</v>
      </c>
      <c r="AK1198" s="831">
        <v>8425020</v>
      </c>
      <c r="AP1198" s="831" t="str">
        <f t="shared" si="55"/>
        <v/>
      </c>
    </row>
    <row r="1199" spans="2:42">
      <c r="B1199" s="834" t="str">
        <f t="shared" si="54"/>
        <v>|||</v>
      </c>
      <c r="H1199" s="835">
        <f t="shared" si="56"/>
        <v>31</v>
      </c>
      <c r="AF1199" s="831" t="s">
        <v>1890</v>
      </c>
      <c r="AG1199" s="831" t="s">
        <v>59</v>
      </c>
      <c r="AH1199" s="831" t="s">
        <v>90</v>
      </c>
      <c r="AI1199" s="831">
        <v>0</v>
      </c>
      <c r="AJ1199" s="835">
        <v>39782</v>
      </c>
      <c r="AK1199" s="831">
        <v>118688110</v>
      </c>
      <c r="AP1199" s="831" t="str">
        <f t="shared" si="55"/>
        <v/>
      </c>
    </row>
    <row r="1200" spans="2:42">
      <c r="B1200" s="834" t="str">
        <f t="shared" si="54"/>
        <v>|||</v>
      </c>
      <c r="H1200" s="835">
        <f t="shared" si="56"/>
        <v>31</v>
      </c>
      <c r="AF1200" s="831" t="s">
        <v>1891</v>
      </c>
      <c r="AG1200" s="831" t="s">
        <v>59</v>
      </c>
      <c r="AH1200" s="831" t="s">
        <v>521</v>
      </c>
      <c r="AI1200" s="831">
        <v>0</v>
      </c>
      <c r="AJ1200" s="835">
        <v>39782</v>
      </c>
      <c r="AK1200" s="831">
        <v>0</v>
      </c>
      <c r="AP1200" s="831" t="str">
        <f t="shared" si="55"/>
        <v/>
      </c>
    </row>
    <row r="1201" spans="2:42">
      <c r="B1201" s="834" t="str">
        <f t="shared" si="54"/>
        <v>|||</v>
      </c>
      <c r="H1201" s="835">
        <f t="shared" si="56"/>
        <v>31</v>
      </c>
      <c r="AF1201" s="831" t="s">
        <v>1892</v>
      </c>
      <c r="AG1201" s="831" t="s">
        <v>59</v>
      </c>
      <c r="AH1201" s="831" t="s">
        <v>522</v>
      </c>
      <c r="AI1201" s="831">
        <v>0</v>
      </c>
      <c r="AJ1201" s="835">
        <v>39782</v>
      </c>
      <c r="AK1201" s="831">
        <v>0</v>
      </c>
      <c r="AP1201" s="831" t="str">
        <f t="shared" si="55"/>
        <v/>
      </c>
    </row>
    <row r="1202" spans="2:42">
      <c r="B1202" s="834" t="str">
        <f t="shared" si="54"/>
        <v>|||</v>
      </c>
      <c r="H1202" s="835">
        <f t="shared" si="56"/>
        <v>31</v>
      </c>
      <c r="AF1202" s="831" t="s">
        <v>1893</v>
      </c>
      <c r="AG1202" s="831" t="s">
        <v>59</v>
      </c>
      <c r="AH1202" s="831" t="s">
        <v>523</v>
      </c>
      <c r="AI1202" s="831">
        <v>0</v>
      </c>
      <c r="AJ1202" s="835">
        <v>39782</v>
      </c>
      <c r="AK1202" s="831">
        <v>0</v>
      </c>
      <c r="AP1202" s="831" t="str">
        <f t="shared" si="55"/>
        <v/>
      </c>
    </row>
    <row r="1203" spans="2:42">
      <c r="B1203" s="834" t="str">
        <f t="shared" si="54"/>
        <v>|||</v>
      </c>
      <c r="H1203" s="835">
        <f t="shared" si="56"/>
        <v>31</v>
      </c>
      <c r="AF1203" s="831" t="s">
        <v>1894</v>
      </c>
      <c r="AG1203" s="831" t="s">
        <v>59</v>
      </c>
      <c r="AH1203" s="831" t="s">
        <v>524</v>
      </c>
      <c r="AI1203" s="831">
        <v>0</v>
      </c>
      <c r="AJ1203" s="835">
        <v>39782</v>
      </c>
      <c r="AK1203" s="831">
        <v>0</v>
      </c>
      <c r="AP1203" s="831" t="str">
        <f t="shared" si="55"/>
        <v/>
      </c>
    </row>
    <row r="1204" spans="2:42">
      <c r="B1204" s="834" t="str">
        <f t="shared" si="54"/>
        <v>|||</v>
      </c>
      <c r="H1204" s="835">
        <f t="shared" si="56"/>
        <v>31</v>
      </c>
      <c r="AF1204" s="831" t="s">
        <v>1895</v>
      </c>
      <c r="AG1204" s="831" t="s">
        <v>59</v>
      </c>
      <c r="AH1204" s="831" t="s">
        <v>1805</v>
      </c>
      <c r="AI1204" s="831">
        <v>0</v>
      </c>
      <c r="AJ1204" s="835">
        <v>39782</v>
      </c>
      <c r="AK1204" s="831">
        <v>1</v>
      </c>
      <c r="AP1204" s="831" t="str">
        <f t="shared" si="55"/>
        <v/>
      </c>
    </row>
    <row r="1205" spans="2:42">
      <c r="B1205" s="834" t="str">
        <f t="shared" si="54"/>
        <v>|||</v>
      </c>
      <c r="H1205" s="835">
        <f t="shared" si="56"/>
        <v>31</v>
      </c>
      <c r="AF1205" s="831" t="s">
        <v>1896</v>
      </c>
      <c r="AG1205" s="831" t="s">
        <v>59</v>
      </c>
      <c r="AH1205" s="831" t="s">
        <v>70</v>
      </c>
      <c r="AI1205" s="831">
        <v>0</v>
      </c>
      <c r="AJ1205" s="835">
        <v>39813</v>
      </c>
      <c r="AK1205" s="831">
        <v>134249990</v>
      </c>
      <c r="AP1205" s="831" t="str">
        <f t="shared" si="55"/>
        <v/>
      </c>
    </row>
    <row r="1206" spans="2:42">
      <c r="B1206" s="834" t="str">
        <f t="shared" si="54"/>
        <v>|||</v>
      </c>
      <c r="H1206" s="835">
        <f t="shared" si="56"/>
        <v>31</v>
      </c>
      <c r="AF1206" s="831" t="s">
        <v>1897</v>
      </c>
      <c r="AG1206" s="831" t="s">
        <v>59</v>
      </c>
      <c r="AH1206" s="831" t="s">
        <v>75</v>
      </c>
      <c r="AI1206" s="831">
        <v>0</v>
      </c>
      <c r="AJ1206" s="835">
        <v>39813</v>
      </c>
      <c r="AK1206" s="831">
        <v>121121250</v>
      </c>
      <c r="AP1206" s="831" t="str">
        <f t="shared" si="55"/>
        <v/>
      </c>
    </row>
    <row r="1207" spans="2:42">
      <c r="B1207" s="834" t="str">
        <f t="shared" si="54"/>
        <v>|||</v>
      </c>
      <c r="H1207" s="835">
        <f t="shared" si="56"/>
        <v>31</v>
      </c>
      <c r="AF1207" s="831" t="s">
        <v>1898</v>
      </c>
      <c r="AG1207" s="831" t="s">
        <v>59</v>
      </c>
      <c r="AH1207" s="831" t="s">
        <v>85</v>
      </c>
      <c r="AI1207" s="831">
        <v>0</v>
      </c>
      <c r="AJ1207" s="835">
        <v>39813</v>
      </c>
      <c r="AK1207" s="831">
        <v>8309430</v>
      </c>
      <c r="AP1207" s="831" t="str">
        <f t="shared" si="55"/>
        <v/>
      </c>
    </row>
    <row r="1208" spans="2:42">
      <c r="B1208" s="834" t="str">
        <f t="shared" si="54"/>
        <v>|||</v>
      </c>
      <c r="H1208" s="835">
        <f t="shared" si="56"/>
        <v>31</v>
      </c>
      <c r="AF1208" s="831" t="s">
        <v>1899</v>
      </c>
      <c r="AG1208" s="831" t="s">
        <v>59</v>
      </c>
      <c r="AH1208" s="831" t="s">
        <v>90</v>
      </c>
      <c r="AI1208" s="831">
        <v>0</v>
      </c>
      <c r="AJ1208" s="835">
        <v>39813</v>
      </c>
      <c r="AK1208" s="831">
        <v>126485440</v>
      </c>
      <c r="AP1208" s="831" t="str">
        <f t="shared" si="55"/>
        <v/>
      </c>
    </row>
    <row r="1209" spans="2:42">
      <c r="B1209" s="834" t="str">
        <f t="shared" si="54"/>
        <v>|||</v>
      </c>
      <c r="H1209" s="835">
        <f t="shared" si="56"/>
        <v>31</v>
      </c>
      <c r="AF1209" s="831" t="s">
        <v>1900</v>
      </c>
      <c r="AG1209" s="831" t="s">
        <v>59</v>
      </c>
      <c r="AH1209" s="831" t="s">
        <v>521</v>
      </c>
      <c r="AI1209" s="831">
        <v>0</v>
      </c>
      <c r="AJ1209" s="835">
        <v>39813</v>
      </c>
      <c r="AK1209" s="831">
        <v>0</v>
      </c>
      <c r="AP1209" s="831" t="str">
        <f t="shared" si="55"/>
        <v/>
      </c>
    </row>
    <row r="1210" spans="2:42">
      <c r="B1210" s="834" t="str">
        <f t="shared" si="54"/>
        <v>|||</v>
      </c>
      <c r="H1210" s="835">
        <f t="shared" si="56"/>
        <v>31</v>
      </c>
      <c r="AF1210" s="831" t="s">
        <v>1901</v>
      </c>
      <c r="AG1210" s="831" t="s">
        <v>59</v>
      </c>
      <c r="AH1210" s="831" t="s">
        <v>522</v>
      </c>
      <c r="AI1210" s="831">
        <v>0</v>
      </c>
      <c r="AJ1210" s="835">
        <v>39813</v>
      </c>
      <c r="AK1210" s="831">
        <v>0</v>
      </c>
      <c r="AP1210" s="831" t="str">
        <f t="shared" si="55"/>
        <v/>
      </c>
    </row>
    <row r="1211" spans="2:42">
      <c r="B1211" s="834" t="str">
        <f t="shared" si="54"/>
        <v>|||</v>
      </c>
      <c r="H1211" s="835">
        <f t="shared" si="56"/>
        <v>31</v>
      </c>
      <c r="AF1211" s="831" t="s">
        <v>1902</v>
      </c>
      <c r="AG1211" s="831" t="s">
        <v>59</v>
      </c>
      <c r="AH1211" s="831" t="s">
        <v>523</v>
      </c>
      <c r="AI1211" s="831">
        <v>0</v>
      </c>
      <c r="AJ1211" s="835">
        <v>39813</v>
      </c>
      <c r="AK1211" s="831">
        <v>0</v>
      </c>
      <c r="AP1211" s="831" t="str">
        <f t="shared" si="55"/>
        <v/>
      </c>
    </row>
    <row r="1212" spans="2:42">
      <c r="B1212" s="834" t="str">
        <f t="shared" si="54"/>
        <v>|||</v>
      </c>
      <c r="H1212" s="835">
        <f t="shared" si="56"/>
        <v>31</v>
      </c>
      <c r="AF1212" s="831" t="s">
        <v>1903</v>
      </c>
      <c r="AG1212" s="831" t="s">
        <v>59</v>
      </c>
      <c r="AH1212" s="831" t="s">
        <v>524</v>
      </c>
      <c r="AI1212" s="831">
        <v>0</v>
      </c>
      <c r="AJ1212" s="835">
        <v>39813</v>
      </c>
      <c r="AK1212" s="831">
        <v>0</v>
      </c>
      <c r="AP1212" s="831" t="str">
        <f t="shared" si="55"/>
        <v/>
      </c>
    </row>
    <row r="1213" spans="2:42">
      <c r="B1213" s="834" t="str">
        <f t="shared" si="54"/>
        <v>|||</v>
      </c>
      <c r="H1213" s="835">
        <f t="shared" si="56"/>
        <v>31</v>
      </c>
      <c r="AF1213" s="831" t="s">
        <v>1904</v>
      </c>
      <c r="AG1213" s="831" t="s">
        <v>59</v>
      </c>
      <c r="AH1213" s="831" t="s">
        <v>1805</v>
      </c>
      <c r="AI1213" s="831">
        <v>0</v>
      </c>
      <c r="AJ1213" s="835">
        <v>39813</v>
      </c>
      <c r="AK1213" s="831">
        <v>1</v>
      </c>
      <c r="AP1213" s="831" t="str">
        <f t="shared" si="55"/>
        <v/>
      </c>
    </row>
    <row r="1214" spans="2:42">
      <c r="B1214" s="834" t="str">
        <f t="shared" si="54"/>
        <v>|||</v>
      </c>
      <c r="H1214" s="835">
        <f t="shared" si="56"/>
        <v>31</v>
      </c>
      <c r="AF1214" s="831" t="s">
        <v>1905</v>
      </c>
      <c r="AG1214" s="831" t="s">
        <v>59</v>
      </c>
      <c r="AH1214" s="831" t="s">
        <v>70</v>
      </c>
      <c r="AI1214" s="831">
        <v>0</v>
      </c>
      <c r="AJ1214" s="835">
        <v>39844</v>
      </c>
      <c r="AK1214" s="831">
        <v>141993380</v>
      </c>
      <c r="AP1214" s="831" t="str">
        <f t="shared" si="55"/>
        <v/>
      </c>
    </row>
    <row r="1215" spans="2:42">
      <c r="B1215" s="834" t="str">
        <f t="shared" si="54"/>
        <v>|||</v>
      </c>
      <c r="H1215" s="835">
        <f t="shared" si="56"/>
        <v>31</v>
      </c>
      <c r="AF1215" s="831" t="s">
        <v>1906</v>
      </c>
      <c r="AG1215" s="831" t="s">
        <v>59</v>
      </c>
      <c r="AH1215" s="831" t="s">
        <v>75</v>
      </c>
      <c r="AI1215" s="831">
        <v>0</v>
      </c>
      <c r="AJ1215" s="835">
        <v>39844</v>
      </c>
      <c r="AK1215" s="831">
        <v>121531210</v>
      </c>
      <c r="AP1215" s="831" t="str">
        <f t="shared" si="55"/>
        <v/>
      </c>
    </row>
    <row r="1216" spans="2:42">
      <c r="B1216" s="834" t="str">
        <f t="shared" si="54"/>
        <v>|||</v>
      </c>
      <c r="H1216" s="835">
        <f t="shared" si="56"/>
        <v>31</v>
      </c>
      <c r="AF1216" s="831" t="s">
        <v>1907</v>
      </c>
      <c r="AG1216" s="831" t="s">
        <v>59</v>
      </c>
      <c r="AH1216" s="831" t="s">
        <v>85</v>
      </c>
      <c r="AI1216" s="831">
        <v>0</v>
      </c>
      <c r="AJ1216" s="835">
        <v>39844</v>
      </c>
      <c r="AK1216" s="831">
        <v>9708590</v>
      </c>
      <c r="AP1216" s="831" t="str">
        <f t="shared" si="55"/>
        <v/>
      </c>
    </row>
    <row r="1217" spans="2:42">
      <c r="B1217" s="834" t="str">
        <f t="shared" si="54"/>
        <v>|||</v>
      </c>
      <c r="H1217" s="835">
        <f t="shared" si="56"/>
        <v>31</v>
      </c>
      <c r="AF1217" s="831" t="s">
        <v>1908</v>
      </c>
      <c r="AG1217" s="831" t="s">
        <v>59</v>
      </c>
      <c r="AH1217" s="831" t="s">
        <v>90</v>
      </c>
      <c r="AI1217" s="831">
        <v>0</v>
      </c>
      <c r="AJ1217" s="835">
        <v>39844</v>
      </c>
      <c r="AK1217" s="831">
        <v>135452520</v>
      </c>
      <c r="AP1217" s="831" t="str">
        <f t="shared" si="55"/>
        <v/>
      </c>
    </row>
    <row r="1218" spans="2:42">
      <c r="B1218" s="834" t="str">
        <f t="shared" si="54"/>
        <v>|||</v>
      </c>
      <c r="H1218" s="835">
        <f t="shared" si="56"/>
        <v>31</v>
      </c>
      <c r="AF1218" s="831" t="s">
        <v>1909</v>
      </c>
      <c r="AG1218" s="831" t="s">
        <v>59</v>
      </c>
      <c r="AH1218" s="831" t="s">
        <v>521</v>
      </c>
      <c r="AI1218" s="831">
        <v>0</v>
      </c>
      <c r="AJ1218" s="835">
        <v>39844</v>
      </c>
      <c r="AK1218" s="831">
        <v>0</v>
      </c>
      <c r="AP1218" s="831" t="str">
        <f t="shared" si="55"/>
        <v/>
      </c>
    </row>
    <row r="1219" spans="2:42">
      <c r="B1219" s="834" t="str">
        <f t="shared" ref="B1219:B1282" si="57">C1219&amp;"|"&amp;D1219&amp;"|"&amp;E1219&amp;"|"&amp;F1219</f>
        <v>|||</v>
      </c>
      <c r="H1219" s="835">
        <f t="shared" si="56"/>
        <v>31</v>
      </c>
      <c r="AF1219" s="831" t="s">
        <v>1910</v>
      </c>
      <c r="AG1219" s="831" t="s">
        <v>59</v>
      </c>
      <c r="AH1219" s="831" t="s">
        <v>522</v>
      </c>
      <c r="AI1219" s="831">
        <v>0</v>
      </c>
      <c r="AJ1219" s="835">
        <v>39844</v>
      </c>
      <c r="AK1219" s="831">
        <v>0</v>
      </c>
      <c r="AP1219" s="831" t="str">
        <f t="shared" ref="AP1219:AP1282" si="58">IF(AX1219&lt;&gt;"",IF(OR(AX1219=3,AX1219=4),"Equity","Debt"),"")</f>
        <v/>
      </c>
    </row>
    <row r="1220" spans="2:42">
      <c r="B1220" s="834" t="str">
        <f t="shared" si="57"/>
        <v>|||</v>
      </c>
      <c r="H1220" s="835">
        <f t="shared" ref="H1220:H1283" si="59">EOMONTH(L1220,0)</f>
        <v>31</v>
      </c>
      <c r="AF1220" s="831" t="s">
        <v>1911</v>
      </c>
      <c r="AG1220" s="831" t="s">
        <v>59</v>
      </c>
      <c r="AH1220" s="831" t="s">
        <v>523</v>
      </c>
      <c r="AI1220" s="831">
        <v>0</v>
      </c>
      <c r="AJ1220" s="835">
        <v>39844</v>
      </c>
      <c r="AK1220" s="831">
        <v>0</v>
      </c>
      <c r="AP1220" s="831" t="str">
        <f t="shared" si="58"/>
        <v/>
      </c>
    </row>
    <row r="1221" spans="2:42">
      <c r="B1221" s="834" t="str">
        <f t="shared" si="57"/>
        <v>|||</v>
      </c>
      <c r="H1221" s="835">
        <f t="shared" si="59"/>
        <v>31</v>
      </c>
      <c r="AF1221" s="831" t="s">
        <v>1912</v>
      </c>
      <c r="AG1221" s="831" t="s">
        <v>59</v>
      </c>
      <c r="AH1221" s="831" t="s">
        <v>524</v>
      </c>
      <c r="AI1221" s="831">
        <v>0</v>
      </c>
      <c r="AJ1221" s="835">
        <v>39844</v>
      </c>
      <c r="AK1221" s="831">
        <v>0</v>
      </c>
      <c r="AP1221" s="831" t="str">
        <f t="shared" si="58"/>
        <v/>
      </c>
    </row>
    <row r="1222" spans="2:42">
      <c r="B1222" s="834" t="str">
        <f t="shared" si="57"/>
        <v>|||</v>
      </c>
      <c r="H1222" s="835">
        <f t="shared" si="59"/>
        <v>31</v>
      </c>
      <c r="AF1222" s="831" t="s">
        <v>1913</v>
      </c>
      <c r="AG1222" s="831" t="s">
        <v>59</v>
      </c>
      <c r="AH1222" s="831" t="s">
        <v>1805</v>
      </c>
      <c r="AI1222" s="831">
        <v>0</v>
      </c>
      <c r="AJ1222" s="835">
        <v>39844</v>
      </c>
      <c r="AK1222" s="831">
        <v>1</v>
      </c>
      <c r="AP1222" s="831" t="str">
        <f t="shared" si="58"/>
        <v/>
      </c>
    </row>
    <row r="1223" spans="2:42">
      <c r="B1223" s="834" t="str">
        <f t="shared" si="57"/>
        <v>|||</v>
      </c>
      <c r="H1223" s="835">
        <f t="shared" si="59"/>
        <v>31</v>
      </c>
      <c r="AF1223" s="831" t="s">
        <v>1914</v>
      </c>
      <c r="AG1223" s="831" t="s">
        <v>59</v>
      </c>
      <c r="AH1223" s="831" t="s">
        <v>70</v>
      </c>
      <c r="AI1223" s="831">
        <v>0</v>
      </c>
      <c r="AJ1223" s="835">
        <v>39872</v>
      </c>
      <c r="AK1223" s="831">
        <v>143838970</v>
      </c>
      <c r="AP1223" s="831" t="str">
        <f t="shared" si="58"/>
        <v/>
      </c>
    </row>
    <row r="1224" spans="2:42">
      <c r="B1224" s="834" t="str">
        <f t="shared" si="57"/>
        <v>|||</v>
      </c>
      <c r="H1224" s="835">
        <f t="shared" si="59"/>
        <v>31</v>
      </c>
      <c r="AF1224" s="831" t="s">
        <v>1915</v>
      </c>
      <c r="AG1224" s="831" t="s">
        <v>59</v>
      </c>
      <c r="AH1224" s="831" t="s">
        <v>75</v>
      </c>
      <c r="AI1224" s="831">
        <v>0</v>
      </c>
      <c r="AJ1224" s="835">
        <v>39872</v>
      </c>
      <c r="AK1224" s="831">
        <v>122209670</v>
      </c>
      <c r="AP1224" s="831" t="str">
        <f t="shared" si="58"/>
        <v/>
      </c>
    </row>
    <row r="1225" spans="2:42">
      <c r="B1225" s="834" t="str">
        <f t="shared" si="57"/>
        <v>|||</v>
      </c>
      <c r="H1225" s="835">
        <f t="shared" si="59"/>
        <v>31</v>
      </c>
      <c r="AF1225" s="831" t="s">
        <v>1916</v>
      </c>
      <c r="AG1225" s="831" t="s">
        <v>59</v>
      </c>
      <c r="AH1225" s="831" t="s">
        <v>85</v>
      </c>
      <c r="AI1225" s="831">
        <v>0</v>
      </c>
      <c r="AJ1225" s="835">
        <v>39872</v>
      </c>
      <c r="AK1225" s="831">
        <v>10911940</v>
      </c>
      <c r="AP1225" s="831" t="str">
        <f t="shared" si="58"/>
        <v/>
      </c>
    </row>
    <row r="1226" spans="2:42">
      <c r="B1226" s="834" t="str">
        <f t="shared" si="57"/>
        <v>|||</v>
      </c>
      <c r="H1226" s="835">
        <f t="shared" si="59"/>
        <v>31</v>
      </c>
      <c r="AF1226" s="831" t="s">
        <v>1917</v>
      </c>
      <c r="AG1226" s="831" t="s">
        <v>59</v>
      </c>
      <c r="AH1226" s="831" t="s">
        <v>90</v>
      </c>
      <c r="AI1226" s="831">
        <v>0</v>
      </c>
      <c r="AJ1226" s="835">
        <v>39872</v>
      </c>
      <c r="AK1226" s="831">
        <v>133721390</v>
      </c>
      <c r="AP1226" s="831" t="str">
        <f t="shared" si="58"/>
        <v/>
      </c>
    </row>
    <row r="1227" spans="2:42">
      <c r="B1227" s="834" t="str">
        <f t="shared" si="57"/>
        <v>|||</v>
      </c>
      <c r="H1227" s="835">
        <f t="shared" si="59"/>
        <v>31</v>
      </c>
      <c r="AF1227" s="831" t="s">
        <v>1918</v>
      </c>
      <c r="AG1227" s="831" t="s">
        <v>59</v>
      </c>
      <c r="AH1227" s="831" t="s">
        <v>521</v>
      </c>
      <c r="AI1227" s="831">
        <v>0</v>
      </c>
      <c r="AJ1227" s="835">
        <v>39872</v>
      </c>
      <c r="AK1227" s="831">
        <v>0</v>
      </c>
      <c r="AP1227" s="831" t="str">
        <f t="shared" si="58"/>
        <v/>
      </c>
    </row>
    <row r="1228" spans="2:42">
      <c r="B1228" s="834" t="str">
        <f t="shared" si="57"/>
        <v>|||</v>
      </c>
      <c r="H1228" s="835">
        <f t="shared" si="59"/>
        <v>31</v>
      </c>
      <c r="AF1228" s="831" t="s">
        <v>1919</v>
      </c>
      <c r="AG1228" s="831" t="s">
        <v>59</v>
      </c>
      <c r="AH1228" s="831" t="s">
        <v>522</v>
      </c>
      <c r="AI1228" s="831">
        <v>0</v>
      </c>
      <c r="AJ1228" s="835">
        <v>39872</v>
      </c>
      <c r="AK1228" s="831">
        <v>0</v>
      </c>
      <c r="AP1228" s="831" t="str">
        <f t="shared" si="58"/>
        <v/>
      </c>
    </row>
    <row r="1229" spans="2:42">
      <c r="B1229" s="834" t="str">
        <f t="shared" si="57"/>
        <v>|||</v>
      </c>
      <c r="H1229" s="835">
        <f t="shared" si="59"/>
        <v>31</v>
      </c>
      <c r="AF1229" s="831" t="s">
        <v>1920</v>
      </c>
      <c r="AG1229" s="831" t="s">
        <v>59</v>
      </c>
      <c r="AH1229" s="831" t="s">
        <v>523</v>
      </c>
      <c r="AI1229" s="831">
        <v>0</v>
      </c>
      <c r="AJ1229" s="835">
        <v>39872</v>
      </c>
      <c r="AK1229" s="831">
        <v>0</v>
      </c>
      <c r="AP1229" s="831" t="str">
        <f t="shared" si="58"/>
        <v/>
      </c>
    </row>
    <row r="1230" spans="2:42">
      <c r="B1230" s="834" t="str">
        <f t="shared" si="57"/>
        <v>|||</v>
      </c>
      <c r="H1230" s="835">
        <f t="shared" si="59"/>
        <v>31</v>
      </c>
      <c r="AF1230" s="831" t="s">
        <v>1921</v>
      </c>
      <c r="AG1230" s="831" t="s">
        <v>59</v>
      </c>
      <c r="AH1230" s="831" t="s">
        <v>524</v>
      </c>
      <c r="AI1230" s="831">
        <v>0</v>
      </c>
      <c r="AJ1230" s="835">
        <v>39872</v>
      </c>
      <c r="AK1230" s="831">
        <v>0</v>
      </c>
      <c r="AP1230" s="831" t="str">
        <f t="shared" si="58"/>
        <v/>
      </c>
    </row>
    <row r="1231" spans="2:42">
      <c r="B1231" s="834" t="str">
        <f t="shared" si="57"/>
        <v>|||</v>
      </c>
      <c r="H1231" s="835">
        <f t="shared" si="59"/>
        <v>31</v>
      </c>
      <c r="AF1231" s="831" t="s">
        <v>1922</v>
      </c>
      <c r="AG1231" s="831" t="s">
        <v>59</v>
      </c>
      <c r="AH1231" s="831" t="s">
        <v>1805</v>
      </c>
      <c r="AI1231" s="831">
        <v>0</v>
      </c>
      <c r="AJ1231" s="835">
        <v>39872</v>
      </c>
      <c r="AK1231" s="831">
        <v>1</v>
      </c>
      <c r="AP1231" s="831" t="str">
        <f t="shared" si="58"/>
        <v/>
      </c>
    </row>
    <row r="1232" spans="2:42">
      <c r="B1232" s="834" t="str">
        <f t="shared" si="57"/>
        <v>|||</v>
      </c>
      <c r="H1232" s="835">
        <f t="shared" si="59"/>
        <v>31</v>
      </c>
      <c r="AF1232" s="831" t="s">
        <v>1923</v>
      </c>
      <c r="AG1232" s="831" t="s">
        <v>59</v>
      </c>
      <c r="AH1232" s="831" t="s">
        <v>70</v>
      </c>
      <c r="AI1232" s="831">
        <v>0</v>
      </c>
      <c r="AJ1232" s="835">
        <v>39903</v>
      </c>
      <c r="AK1232" s="831">
        <v>158180830</v>
      </c>
      <c r="AP1232" s="831" t="str">
        <f t="shared" si="58"/>
        <v/>
      </c>
    </row>
    <row r="1233" spans="2:42">
      <c r="B1233" s="834" t="str">
        <f t="shared" si="57"/>
        <v>|||</v>
      </c>
      <c r="H1233" s="835">
        <f t="shared" si="59"/>
        <v>31</v>
      </c>
      <c r="AF1233" s="831" t="s">
        <v>1924</v>
      </c>
      <c r="AG1233" s="831" t="s">
        <v>59</v>
      </c>
      <c r="AH1233" s="831" t="s">
        <v>75</v>
      </c>
      <c r="AI1233" s="831">
        <v>0</v>
      </c>
      <c r="AJ1233" s="835">
        <v>39903</v>
      </c>
      <c r="AK1233" s="831">
        <v>123909100</v>
      </c>
      <c r="AP1233" s="831" t="str">
        <f t="shared" si="58"/>
        <v/>
      </c>
    </row>
    <row r="1234" spans="2:42">
      <c r="B1234" s="834" t="str">
        <f t="shared" si="57"/>
        <v>|||</v>
      </c>
      <c r="H1234" s="835">
        <f t="shared" si="59"/>
        <v>31</v>
      </c>
      <c r="AF1234" s="831" t="s">
        <v>1925</v>
      </c>
      <c r="AG1234" s="831" t="s">
        <v>59</v>
      </c>
      <c r="AH1234" s="831" t="s">
        <v>85</v>
      </c>
      <c r="AI1234" s="831">
        <v>0</v>
      </c>
      <c r="AJ1234" s="835">
        <v>39903</v>
      </c>
      <c r="AK1234" s="831">
        <v>15895190</v>
      </c>
      <c r="AP1234" s="831" t="str">
        <f t="shared" si="58"/>
        <v/>
      </c>
    </row>
    <row r="1235" spans="2:42">
      <c r="B1235" s="834" t="str">
        <f t="shared" si="57"/>
        <v>|||</v>
      </c>
      <c r="H1235" s="835">
        <f t="shared" si="59"/>
        <v>31</v>
      </c>
      <c r="AF1235" s="831" t="s">
        <v>1926</v>
      </c>
      <c r="AG1235" s="831" t="s">
        <v>59</v>
      </c>
      <c r="AH1235" s="831" t="s">
        <v>90</v>
      </c>
      <c r="AI1235" s="831">
        <v>0</v>
      </c>
      <c r="AJ1235" s="835">
        <v>39903</v>
      </c>
      <c r="AK1235" s="831">
        <v>144205210</v>
      </c>
      <c r="AP1235" s="831" t="str">
        <f t="shared" si="58"/>
        <v/>
      </c>
    </row>
    <row r="1236" spans="2:42">
      <c r="B1236" s="834" t="str">
        <f t="shared" si="57"/>
        <v>|||</v>
      </c>
      <c r="H1236" s="835">
        <f t="shared" si="59"/>
        <v>31</v>
      </c>
      <c r="AF1236" s="831" t="s">
        <v>1927</v>
      </c>
      <c r="AG1236" s="831" t="s">
        <v>59</v>
      </c>
      <c r="AH1236" s="831" t="s">
        <v>521</v>
      </c>
      <c r="AI1236" s="831">
        <v>0</v>
      </c>
      <c r="AJ1236" s="835">
        <v>39903</v>
      </c>
      <c r="AK1236" s="831">
        <v>0</v>
      </c>
      <c r="AP1236" s="831" t="str">
        <f t="shared" si="58"/>
        <v/>
      </c>
    </row>
    <row r="1237" spans="2:42">
      <c r="B1237" s="834" t="str">
        <f t="shared" si="57"/>
        <v>|||</v>
      </c>
      <c r="H1237" s="835">
        <f t="shared" si="59"/>
        <v>31</v>
      </c>
      <c r="AF1237" s="831" t="s">
        <v>1928</v>
      </c>
      <c r="AG1237" s="831" t="s">
        <v>59</v>
      </c>
      <c r="AH1237" s="831" t="s">
        <v>522</v>
      </c>
      <c r="AI1237" s="831">
        <v>0</v>
      </c>
      <c r="AJ1237" s="835">
        <v>39903</v>
      </c>
      <c r="AK1237" s="831">
        <v>0</v>
      </c>
      <c r="AP1237" s="831" t="str">
        <f t="shared" si="58"/>
        <v/>
      </c>
    </row>
    <row r="1238" spans="2:42">
      <c r="B1238" s="834" t="str">
        <f t="shared" si="57"/>
        <v>|||</v>
      </c>
      <c r="H1238" s="835">
        <f t="shared" si="59"/>
        <v>31</v>
      </c>
      <c r="AF1238" s="831" t="s">
        <v>1929</v>
      </c>
      <c r="AG1238" s="831" t="s">
        <v>59</v>
      </c>
      <c r="AH1238" s="831" t="s">
        <v>523</v>
      </c>
      <c r="AI1238" s="831">
        <v>0</v>
      </c>
      <c r="AJ1238" s="835">
        <v>39903</v>
      </c>
      <c r="AK1238" s="831">
        <v>0</v>
      </c>
      <c r="AP1238" s="831" t="str">
        <f t="shared" si="58"/>
        <v/>
      </c>
    </row>
    <row r="1239" spans="2:42">
      <c r="B1239" s="834" t="str">
        <f t="shared" si="57"/>
        <v>|||</v>
      </c>
      <c r="H1239" s="835">
        <f t="shared" si="59"/>
        <v>31</v>
      </c>
      <c r="AF1239" s="831" t="s">
        <v>1930</v>
      </c>
      <c r="AG1239" s="831" t="s">
        <v>59</v>
      </c>
      <c r="AH1239" s="831" t="s">
        <v>524</v>
      </c>
      <c r="AI1239" s="831">
        <v>0</v>
      </c>
      <c r="AJ1239" s="835">
        <v>39903</v>
      </c>
      <c r="AK1239" s="831">
        <v>0</v>
      </c>
      <c r="AP1239" s="831" t="str">
        <f t="shared" si="58"/>
        <v/>
      </c>
    </row>
    <row r="1240" spans="2:42">
      <c r="B1240" s="834" t="str">
        <f t="shared" si="57"/>
        <v>|||</v>
      </c>
      <c r="H1240" s="835">
        <f t="shared" si="59"/>
        <v>31</v>
      </c>
      <c r="AF1240" s="831" t="s">
        <v>1931</v>
      </c>
      <c r="AG1240" s="831" t="s">
        <v>59</v>
      </c>
      <c r="AH1240" s="831" t="s">
        <v>1805</v>
      </c>
      <c r="AI1240" s="831">
        <v>0</v>
      </c>
      <c r="AJ1240" s="835">
        <v>39903</v>
      </c>
      <c r="AK1240" s="831">
        <v>1</v>
      </c>
      <c r="AP1240" s="831" t="str">
        <f t="shared" si="58"/>
        <v/>
      </c>
    </row>
    <row r="1241" spans="2:42">
      <c r="B1241" s="834" t="str">
        <f t="shared" si="57"/>
        <v>|||</v>
      </c>
      <c r="H1241" s="835">
        <f t="shared" si="59"/>
        <v>31</v>
      </c>
      <c r="AF1241" s="831" t="s">
        <v>1932</v>
      </c>
      <c r="AG1241" s="831" t="s">
        <v>59</v>
      </c>
      <c r="AH1241" s="831" t="s">
        <v>70</v>
      </c>
      <c r="AI1241" s="831">
        <v>0</v>
      </c>
      <c r="AJ1241" s="835">
        <v>39933</v>
      </c>
      <c r="AK1241" s="831">
        <v>160882290</v>
      </c>
      <c r="AP1241" s="831" t="str">
        <f t="shared" si="58"/>
        <v/>
      </c>
    </row>
    <row r="1242" spans="2:42">
      <c r="B1242" s="834" t="str">
        <f t="shared" si="57"/>
        <v>|||</v>
      </c>
      <c r="H1242" s="835">
        <f t="shared" si="59"/>
        <v>31</v>
      </c>
      <c r="AF1242" s="831" t="s">
        <v>1933</v>
      </c>
      <c r="AG1242" s="831" t="s">
        <v>59</v>
      </c>
      <c r="AH1242" s="831" t="s">
        <v>75</v>
      </c>
      <c r="AI1242" s="831">
        <v>0</v>
      </c>
      <c r="AJ1242" s="835">
        <v>39933</v>
      </c>
      <c r="AK1242" s="831">
        <v>130285780</v>
      </c>
      <c r="AP1242" s="831" t="str">
        <f t="shared" si="58"/>
        <v/>
      </c>
    </row>
    <row r="1243" spans="2:42">
      <c r="B1243" s="834" t="str">
        <f t="shared" si="57"/>
        <v>|||</v>
      </c>
      <c r="H1243" s="835">
        <f t="shared" si="59"/>
        <v>31</v>
      </c>
      <c r="AF1243" s="831" t="s">
        <v>1934</v>
      </c>
      <c r="AG1243" s="831" t="s">
        <v>59</v>
      </c>
      <c r="AH1243" s="831" t="s">
        <v>85</v>
      </c>
      <c r="AI1243" s="831">
        <v>0</v>
      </c>
      <c r="AJ1243" s="835">
        <v>39933</v>
      </c>
      <c r="AK1243" s="831">
        <v>22114440</v>
      </c>
      <c r="AP1243" s="831" t="str">
        <f t="shared" si="58"/>
        <v/>
      </c>
    </row>
    <row r="1244" spans="2:42">
      <c r="B1244" s="834" t="str">
        <f t="shared" si="57"/>
        <v>|||</v>
      </c>
      <c r="H1244" s="835">
        <f t="shared" si="59"/>
        <v>31</v>
      </c>
      <c r="AF1244" s="831" t="s">
        <v>1935</v>
      </c>
      <c r="AG1244" s="831" t="s">
        <v>59</v>
      </c>
      <c r="AH1244" s="831" t="s">
        <v>90</v>
      </c>
      <c r="AI1244" s="831">
        <v>0</v>
      </c>
      <c r="AJ1244" s="835">
        <v>39933</v>
      </c>
      <c r="AK1244" s="831">
        <v>144312990</v>
      </c>
      <c r="AP1244" s="831" t="str">
        <f t="shared" si="58"/>
        <v/>
      </c>
    </row>
    <row r="1245" spans="2:42">
      <c r="B1245" s="834" t="str">
        <f t="shared" si="57"/>
        <v>|||</v>
      </c>
      <c r="H1245" s="835">
        <f t="shared" si="59"/>
        <v>31</v>
      </c>
      <c r="AF1245" s="831" t="s">
        <v>1936</v>
      </c>
      <c r="AG1245" s="831" t="s">
        <v>59</v>
      </c>
      <c r="AH1245" s="831" t="s">
        <v>521</v>
      </c>
      <c r="AI1245" s="831">
        <v>0</v>
      </c>
      <c r="AJ1245" s="835">
        <v>39933</v>
      </c>
      <c r="AK1245" s="831">
        <v>0</v>
      </c>
      <c r="AP1245" s="831" t="str">
        <f t="shared" si="58"/>
        <v/>
      </c>
    </row>
    <row r="1246" spans="2:42">
      <c r="B1246" s="834" t="str">
        <f t="shared" si="57"/>
        <v>|||</v>
      </c>
      <c r="H1246" s="835">
        <f t="shared" si="59"/>
        <v>31</v>
      </c>
      <c r="AF1246" s="831" t="s">
        <v>1937</v>
      </c>
      <c r="AG1246" s="831" t="s">
        <v>59</v>
      </c>
      <c r="AH1246" s="831" t="s">
        <v>522</v>
      </c>
      <c r="AI1246" s="831">
        <v>0</v>
      </c>
      <c r="AJ1246" s="835">
        <v>39933</v>
      </c>
      <c r="AK1246" s="831">
        <v>0</v>
      </c>
      <c r="AP1246" s="831" t="str">
        <f t="shared" si="58"/>
        <v/>
      </c>
    </row>
    <row r="1247" spans="2:42">
      <c r="B1247" s="834" t="str">
        <f t="shared" si="57"/>
        <v>|||</v>
      </c>
      <c r="H1247" s="835">
        <f t="shared" si="59"/>
        <v>31</v>
      </c>
      <c r="AF1247" s="831" t="s">
        <v>1938</v>
      </c>
      <c r="AG1247" s="831" t="s">
        <v>59</v>
      </c>
      <c r="AH1247" s="831" t="s">
        <v>523</v>
      </c>
      <c r="AI1247" s="831">
        <v>0</v>
      </c>
      <c r="AJ1247" s="835">
        <v>39933</v>
      </c>
      <c r="AK1247" s="831">
        <v>0</v>
      </c>
      <c r="AP1247" s="831" t="str">
        <f t="shared" si="58"/>
        <v/>
      </c>
    </row>
    <row r="1248" spans="2:42">
      <c r="B1248" s="834" t="str">
        <f t="shared" si="57"/>
        <v>|||</v>
      </c>
      <c r="H1248" s="835">
        <f t="shared" si="59"/>
        <v>31</v>
      </c>
      <c r="AF1248" s="831" t="s">
        <v>1939</v>
      </c>
      <c r="AG1248" s="831" t="s">
        <v>59</v>
      </c>
      <c r="AH1248" s="831" t="s">
        <v>524</v>
      </c>
      <c r="AI1248" s="831">
        <v>0</v>
      </c>
      <c r="AJ1248" s="835">
        <v>39933</v>
      </c>
      <c r="AK1248" s="831">
        <v>0</v>
      </c>
      <c r="AP1248" s="831" t="str">
        <f t="shared" si="58"/>
        <v/>
      </c>
    </row>
    <row r="1249" spans="2:42">
      <c r="B1249" s="834" t="str">
        <f t="shared" si="57"/>
        <v>|||</v>
      </c>
      <c r="H1249" s="835">
        <f t="shared" si="59"/>
        <v>31</v>
      </c>
      <c r="AF1249" s="831" t="s">
        <v>1940</v>
      </c>
      <c r="AG1249" s="831" t="s">
        <v>59</v>
      </c>
      <c r="AH1249" s="831" t="s">
        <v>1805</v>
      </c>
      <c r="AI1249" s="831">
        <v>0</v>
      </c>
      <c r="AJ1249" s="835">
        <v>39933</v>
      </c>
      <c r="AK1249" s="831">
        <v>1</v>
      </c>
      <c r="AP1249" s="831" t="str">
        <f t="shared" si="58"/>
        <v/>
      </c>
    </row>
    <row r="1250" spans="2:42">
      <c r="B1250" s="834" t="str">
        <f t="shared" si="57"/>
        <v>|||</v>
      </c>
      <c r="H1250" s="835">
        <f t="shared" si="59"/>
        <v>31</v>
      </c>
      <c r="AF1250" s="831" t="s">
        <v>1941</v>
      </c>
      <c r="AG1250" s="831" t="s">
        <v>59</v>
      </c>
      <c r="AH1250" s="831" t="s">
        <v>70</v>
      </c>
      <c r="AI1250" s="831">
        <v>0</v>
      </c>
      <c r="AJ1250" s="835">
        <v>39964</v>
      </c>
      <c r="AK1250" s="831">
        <v>164684125</v>
      </c>
      <c r="AP1250" s="831" t="str">
        <f t="shared" si="58"/>
        <v/>
      </c>
    </row>
    <row r="1251" spans="2:42">
      <c r="B1251" s="834" t="str">
        <f t="shared" si="57"/>
        <v>|||</v>
      </c>
      <c r="H1251" s="835">
        <f t="shared" si="59"/>
        <v>31</v>
      </c>
      <c r="AF1251" s="831" t="s">
        <v>1942</v>
      </c>
      <c r="AG1251" s="831" t="s">
        <v>59</v>
      </c>
      <c r="AH1251" s="831" t="s">
        <v>75</v>
      </c>
      <c r="AI1251" s="831">
        <v>0</v>
      </c>
      <c r="AJ1251" s="835">
        <v>39964</v>
      </c>
      <c r="AK1251" s="831">
        <v>136098380</v>
      </c>
      <c r="AP1251" s="831" t="str">
        <f t="shared" si="58"/>
        <v/>
      </c>
    </row>
    <row r="1252" spans="2:42">
      <c r="B1252" s="834" t="str">
        <f t="shared" si="57"/>
        <v>|||</v>
      </c>
      <c r="H1252" s="835">
        <f t="shared" si="59"/>
        <v>31</v>
      </c>
      <c r="AF1252" s="831" t="s">
        <v>1943</v>
      </c>
      <c r="AG1252" s="831" t="s">
        <v>59</v>
      </c>
      <c r="AH1252" s="831" t="s">
        <v>85</v>
      </c>
      <c r="AI1252" s="831">
        <v>0</v>
      </c>
      <c r="AJ1252" s="835">
        <v>39964</v>
      </c>
      <c r="AK1252" s="831">
        <v>22873300</v>
      </c>
      <c r="AP1252" s="831" t="str">
        <f t="shared" si="58"/>
        <v/>
      </c>
    </row>
    <row r="1253" spans="2:42">
      <c r="B1253" s="834" t="str">
        <f t="shared" si="57"/>
        <v>|||</v>
      </c>
      <c r="H1253" s="835">
        <f t="shared" si="59"/>
        <v>31</v>
      </c>
      <c r="AF1253" s="831" t="s">
        <v>1944</v>
      </c>
      <c r="AG1253" s="831" t="s">
        <v>59</v>
      </c>
      <c r="AH1253" s="831" t="s">
        <v>90</v>
      </c>
      <c r="AI1253" s="831">
        <v>0</v>
      </c>
      <c r="AJ1253" s="835">
        <v>39964</v>
      </c>
      <c r="AK1253" s="831">
        <v>143009580</v>
      </c>
      <c r="AP1253" s="831" t="str">
        <f t="shared" si="58"/>
        <v/>
      </c>
    </row>
    <row r="1254" spans="2:42">
      <c r="B1254" s="834" t="str">
        <f t="shared" si="57"/>
        <v>|||</v>
      </c>
      <c r="H1254" s="835">
        <f t="shared" si="59"/>
        <v>31</v>
      </c>
      <c r="AF1254" s="831" t="s">
        <v>1945</v>
      </c>
      <c r="AG1254" s="831" t="s">
        <v>59</v>
      </c>
      <c r="AH1254" s="831" t="s">
        <v>521</v>
      </c>
      <c r="AI1254" s="831">
        <v>0</v>
      </c>
      <c r="AJ1254" s="835">
        <v>39964</v>
      </c>
      <c r="AK1254" s="831">
        <v>0</v>
      </c>
      <c r="AP1254" s="831" t="str">
        <f t="shared" si="58"/>
        <v/>
      </c>
    </row>
    <row r="1255" spans="2:42">
      <c r="B1255" s="834" t="str">
        <f t="shared" si="57"/>
        <v>|||</v>
      </c>
      <c r="H1255" s="835">
        <f t="shared" si="59"/>
        <v>31</v>
      </c>
      <c r="AF1255" s="831" t="s">
        <v>1946</v>
      </c>
      <c r="AG1255" s="831" t="s">
        <v>59</v>
      </c>
      <c r="AH1255" s="831" t="s">
        <v>522</v>
      </c>
      <c r="AI1255" s="831">
        <v>0</v>
      </c>
      <c r="AJ1255" s="835">
        <v>39964</v>
      </c>
      <c r="AK1255" s="831">
        <v>0</v>
      </c>
      <c r="AP1255" s="831" t="str">
        <f t="shared" si="58"/>
        <v/>
      </c>
    </row>
    <row r="1256" spans="2:42">
      <c r="B1256" s="834" t="str">
        <f t="shared" si="57"/>
        <v>|||</v>
      </c>
      <c r="H1256" s="835">
        <f t="shared" si="59"/>
        <v>31</v>
      </c>
      <c r="AF1256" s="831" t="s">
        <v>1947</v>
      </c>
      <c r="AG1256" s="831" t="s">
        <v>59</v>
      </c>
      <c r="AH1256" s="831" t="s">
        <v>523</v>
      </c>
      <c r="AI1256" s="831">
        <v>0</v>
      </c>
      <c r="AJ1256" s="835">
        <v>39964</v>
      </c>
      <c r="AK1256" s="831">
        <v>0</v>
      </c>
      <c r="AP1256" s="831" t="str">
        <f t="shared" si="58"/>
        <v/>
      </c>
    </row>
    <row r="1257" spans="2:42">
      <c r="B1257" s="834" t="str">
        <f t="shared" si="57"/>
        <v>|||</v>
      </c>
      <c r="H1257" s="835">
        <f t="shared" si="59"/>
        <v>31</v>
      </c>
      <c r="AF1257" s="831" t="s">
        <v>1948</v>
      </c>
      <c r="AG1257" s="831" t="s">
        <v>59</v>
      </c>
      <c r="AH1257" s="831" t="s">
        <v>524</v>
      </c>
      <c r="AI1257" s="831">
        <v>0</v>
      </c>
      <c r="AJ1257" s="835">
        <v>39964</v>
      </c>
      <c r="AK1257" s="831">
        <v>0</v>
      </c>
      <c r="AP1257" s="831" t="str">
        <f t="shared" si="58"/>
        <v/>
      </c>
    </row>
    <row r="1258" spans="2:42">
      <c r="B1258" s="834" t="str">
        <f t="shared" si="57"/>
        <v>|||</v>
      </c>
      <c r="H1258" s="835">
        <f t="shared" si="59"/>
        <v>31</v>
      </c>
      <c r="AF1258" s="831" t="s">
        <v>1949</v>
      </c>
      <c r="AG1258" s="831" t="s">
        <v>59</v>
      </c>
      <c r="AH1258" s="831" t="s">
        <v>1805</v>
      </c>
      <c r="AI1258" s="831">
        <v>0</v>
      </c>
      <c r="AJ1258" s="835">
        <v>39964</v>
      </c>
      <c r="AK1258" s="831">
        <v>1</v>
      </c>
      <c r="AP1258" s="831" t="str">
        <f t="shared" si="58"/>
        <v/>
      </c>
    </row>
    <row r="1259" spans="2:42">
      <c r="B1259" s="834" t="str">
        <f t="shared" si="57"/>
        <v>|||</v>
      </c>
      <c r="H1259" s="835">
        <f t="shared" si="59"/>
        <v>31</v>
      </c>
      <c r="AF1259" s="831" t="s">
        <v>1950</v>
      </c>
      <c r="AG1259" s="831" t="s">
        <v>59</v>
      </c>
      <c r="AH1259" s="831" t="s">
        <v>70</v>
      </c>
      <c r="AI1259" s="831">
        <v>0</v>
      </c>
      <c r="AJ1259" s="835">
        <v>39994</v>
      </c>
      <c r="AK1259" s="831">
        <v>169431241</v>
      </c>
      <c r="AP1259" s="831" t="str">
        <f t="shared" si="58"/>
        <v/>
      </c>
    </row>
    <row r="1260" spans="2:42">
      <c r="B1260" s="834" t="str">
        <f t="shared" si="57"/>
        <v>|||</v>
      </c>
      <c r="H1260" s="835">
        <f t="shared" si="59"/>
        <v>31</v>
      </c>
      <c r="AF1260" s="831" t="s">
        <v>1951</v>
      </c>
      <c r="AG1260" s="831" t="s">
        <v>59</v>
      </c>
      <c r="AH1260" s="831" t="s">
        <v>75</v>
      </c>
      <c r="AI1260" s="831">
        <v>0</v>
      </c>
      <c r="AJ1260" s="835">
        <v>39994</v>
      </c>
      <c r="AK1260" s="831">
        <v>141497380</v>
      </c>
      <c r="AP1260" s="831" t="str">
        <f t="shared" si="58"/>
        <v/>
      </c>
    </row>
    <row r="1261" spans="2:42">
      <c r="B1261" s="834" t="str">
        <f t="shared" si="57"/>
        <v>|||</v>
      </c>
      <c r="H1261" s="835">
        <f t="shared" si="59"/>
        <v>31</v>
      </c>
      <c r="AF1261" s="831" t="s">
        <v>1952</v>
      </c>
      <c r="AG1261" s="831" t="s">
        <v>59</v>
      </c>
      <c r="AH1261" s="831" t="s">
        <v>85</v>
      </c>
      <c r="AI1261" s="831">
        <v>0</v>
      </c>
      <c r="AJ1261" s="835">
        <v>39994</v>
      </c>
      <c r="AK1261" s="831">
        <v>25695370</v>
      </c>
      <c r="AP1261" s="831" t="str">
        <f t="shared" si="58"/>
        <v/>
      </c>
    </row>
    <row r="1262" spans="2:42">
      <c r="B1262" s="834" t="str">
        <f t="shared" si="57"/>
        <v>|||</v>
      </c>
      <c r="H1262" s="835">
        <f t="shared" si="59"/>
        <v>31</v>
      </c>
      <c r="AF1262" s="831" t="s">
        <v>1953</v>
      </c>
      <c r="AG1262" s="831" t="s">
        <v>59</v>
      </c>
      <c r="AH1262" s="831" t="s">
        <v>90</v>
      </c>
      <c r="AI1262" s="831">
        <v>0</v>
      </c>
      <c r="AJ1262" s="835">
        <v>39994</v>
      </c>
      <c r="AK1262" s="831">
        <v>141847740</v>
      </c>
      <c r="AP1262" s="831" t="str">
        <f t="shared" si="58"/>
        <v/>
      </c>
    </row>
    <row r="1263" spans="2:42">
      <c r="B1263" s="834" t="str">
        <f t="shared" si="57"/>
        <v>|||</v>
      </c>
      <c r="H1263" s="835">
        <f t="shared" si="59"/>
        <v>31</v>
      </c>
      <c r="AF1263" s="831" t="s">
        <v>1954</v>
      </c>
      <c r="AG1263" s="831" t="s">
        <v>59</v>
      </c>
      <c r="AH1263" s="831" t="s">
        <v>521</v>
      </c>
      <c r="AI1263" s="831">
        <v>0</v>
      </c>
      <c r="AJ1263" s="835">
        <v>39994</v>
      </c>
      <c r="AK1263" s="831">
        <v>0</v>
      </c>
      <c r="AP1263" s="831" t="str">
        <f t="shared" si="58"/>
        <v/>
      </c>
    </row>
    <row r="1264" spans="2:42">
      <c r="B1264" s="834" t="str">
        <f t="shared" si="57"/>
        <v>|||</v>
      </c>
      <c r="H1264" s="835">
        <f t="shared" si="59"/>
        <v>31</v>
      </c>
      <c r="AF1264" s="831" t="s">
        <v>1955</v>
      </c>
      <c r="AG1264" s="831" t="s">
        <v>59</v>
      </c>
      <c r="AH1264" s="831" t="s">
        <v>522</v>
      </c>
      <c r="AI1264" s="831">
        <v>0</v>
      </c>
      <c r="AJ1264" s="835">
        <v>39994</v>
      </c>
      <c r="AK1264" s="831">
        <v>0</v>
      </c>
      <c r="AP1264" s="831" t="str">
        <f t="shared" si="58"/>
        <v/>
      </c>
    </row>
    <row r="1265" spans="2:42">
      <c r="B1265" s="834" t="str">
        <f t="shared" si="57"/>
        <v>|||</v>
      </c>
      <c r="H1265" s="835">
        <f t="shared" si="59"/>
        <v>31</v>
      </c>
      <c r="AF1265" s="831" t="s">
        <v>1956</v>
      </c>
      <c r="AG1265" s="831" t="s">
        <v>59</v>
      </c>
      <c r="AH1265" s="831" t="s">
        <v>523</v>
      </c>
      <c r="AI1265" s="831">
        <v>0</v>
      </c>
      <c r="AJ1265" s="835">
        <v>39994</v>
      </c>
      <c r="AK1265" s="831">
        <v>0</v>
      </c>
      <c r="AP1265" s="831" t="str">
        <f t="shared" si="58"/>
        <v/>
      </c>
    </row>
    <row r="1266" spans="2:42">
      <c r="B1266" s="834" t="str">
        <f t="shared" si="57"/>
        <v>|||</v>
      </c>
      <c r="H1266" s="835">
        <f t="shared" si="59"/>
        <v>31</v>
      </c>
      <c r="AF1266" s="831" t="s">
        <v>1957</v>
      </c>
      <c r="AG1266" s="831" t="s">
        <v>59</v>
      </c>
      <c r="AH1266" s="831" t="s">
        <v>524</v>
      </c>
      <c r="AI1266" s="831">
        <v>0</v>
      </c>
      <c r="AJ1266" s="835">
        <v>39994</v>
      </c>
      <c r="AK1266" s="831">
        <v>0</v>
      </c>
      <c r="AP1266" s="831" t="str">
        <f t="shared" si="58"/>
        <v/>
      </c>
    </row>
    <row r="1267" spans="2:42">
      <c r="B1267" s="834" t="str">
        <f t="shared" si="57"/>
        <v>|||</v>
      </c>
      <c r="H1267" s="835">
        <f t="shared" si="59"/>
        <v>31</v>
      </c>
      <c r="AF1267" s="831" t="s">
        <v>1958</v>
      </c>
      <c r="AG1267" s="831" t="s">
        <v>59</v>
      </c>
      <c r="AH1267" s="831" t="s">
        <v>1805</v>
      </c>
      <c r="AI1267" s="831">
        <v>0</v>
      </c>
      <c r="AJ1267" s="835">
        <v>39994</v>
      </c>
      <c r="AK1267" s="831">
        <v>1</v>
      </c>
      <c r="AP1267" s="831" t="str">
        <f t="shared" si="58"/>
        <v/>
      </c>
    </row>
    <row r="1268" spans="2:42">
      <c r="B1268" s="834" t="str">
        <f t="shared" si="57"/>
        <v>|||</v>
      </c>
      <c r="H1268" s="835">
        <f t="shared" si="59"/>
        <v>31</v>
      </c>
      <c r="AF1268" s="831" t="s">
        <v>1959</v>
      </c>
      <c r="AG1268" s="831" t="s">
        <v>59</v>
      </c>
      <c r="AH1268" s="831" t="s">
        <v>70</v>
      </c>
      <c r="AI1268" s="831">
        <v>0</v>
      </c>
      <c r="AJ1268" s="835">
        <v>40025</v>
      </c>
      <c r="AK1268" s="831">
        <v>174939646</v>
      </c>
      <c r="AP1268" s="831" t="str">
        <f t="shared" si="58"/>
        <v/>
      </c>
    </row>
    <row r="1269" spans="2:42">
      <c r="B1269" s="834" t="str">
        <f t="shared" si="57"/>
        <v>|||</v>
      </c>
      <c r="H1269" s="835">
        <f t="shared" si="59"/>
        <v>31</v>
      </c>
      <c r="AF1269" s="831" t="s">
        <v>1960</v>
      </c>
      <c r="AG1269" s="831" t="s">
        <v>59</v>
      </c>
      <c r="AH1269" s="831" t="s">
        <v>75</v>
      </c>
      <c r="AI1269" s="831">
        <v>0</v>
      </c>
      <c r="AJ1269" s="835">
        <v>40025</v>
      </c>
      <c r="AK1269" s="831">
        <v>146998790</v>
      </c>
      <c r="AP1269" s="831" t="str">
        <f t="shared" si="58"/>
        <v/>
      </c>
    </row>
    <row r="1270" spans="2:42">
      <c r="B1270" s="834" t="str">
        <f t="shared" si="57"/>
        <v>|||</v>
      </c>
      <c r="H1270" s="835">
        <f t="shared" si="59"/>
        <v>31</v>
      </c>
      <c r="AF1270" s="831" t="s">
        <v>1961</v>
      </c>
      <c r="AG1270" s="831" t="s">
        <v>59</v>
      </c>
      <c r="AH1270" s="831" t="s">
        <v>85</v>
      </c>
      <c r="AI1270" s="831">
        <v>0</v>
      </c>
      <c r="AJ1270" s="835">
        <v>40025</v>
      </c>
      <c r="AK1270" s="831">
        <v>27021980</v>
      </c>
      <c r="AP1270" s="831" t="str">
        <f t="shared" si="58"/>
        <v/>
      </c>
    </row>
    <row r="1271" spans="2:42">
      <c r="B1271" s="834" t="str">
        <f t="shared" si="57"/>
        <v>|||</v>
      </c>
      <c r="H1271" s="835">
        <f t="shared" si="59"/>
        <v>31</v>
      </c>
      <c r="AF1271" s="831" t="s">
        <v>1962</v>
      </c>
      <c r="AG1271" s="831" t="s">
        <v>59</v>
      </c>
      <c r="AH1271" s="831" t="s">
        <v>90</v>
      </c>
      <c r="AI1271" s="831">
        <v>0</v>
      </c>
      <c r="AJ1271" s="835">
        <v>40025</v>
      </c>
      <c r="AK1271" s="831">
        <v>141883020</v>
      </c>
      <c r="AP1271" s="831" t="str">
        <f t="shared" si="58"/>
        <v/>
      </c>
    </row>
    <row r="1272" spans="2:42">
      <c r="B1272" s="834" t="str">
        <f t="shared" si="57"/>
        <v>|||</v>
      </c>
      <c r="H1272" s="835">
        <f t="shared" si="59"/>
        <v>31</v>
      </c>
      <c r="AF1272" s="831" t="s">
        <v>1963</v>
      </c>
      <c r="AG1272" s="831" t="s">
        <v>59</v>
      </c>
      <c r="AH1272" s="831" t="s">
        <v>521</v>
      </c>
      <c r="AI1272" s="831">
        <v>0</v>
      </c>
      <c r="AJ1272" s="835">
        <v>40025</v>
      </c>
      <c r="AK1272" s="831">
        <v>0</v>
      </c>
      <c r="AP1272" s="831" t="str">
        <f t="shared" si="58"/>
        <v/>
      </c>
    </row>
    <row r="1273" spans="2:42">
      <c r="B1273" s="834" t="str">
        <f t="shared" si="57"/>
        <v>|||</v>
      </c>
      <c r="H1273" s="835">
        <f t="shared" si="59"/>
        <v>31</v>
      </c>
      <c r="AF1273" s="831" t="s">
        <v>1964</v>
      </c>
      <c r="AG1273" s="831" t="s">
        <v>59</v>
      </c>
      <c r="AH1273" s="831" t="s">
        <v>522</v>
      </c>
      <c r="AI1273" s="831">
        <v>0</v>
      </c>
      <c r="AJ1273" s="835">
        <v>40025</v>
      </c>
      <c r="AK1273" s="831">
        <v>0</v>
      </c>
      <c r="AP1273" s="831" t="str">
        <f t="shared" si="58"/>
        <v/>
      </c>
    </row>
    <row r="1274" spans="2:42">
      <c r="B1274" s="834" t="str">
        <f t="shared" si="57"/>
        <v>|||</v>
      </c>
      <c r="H1274" s="835">
        <f t="shared" si="59"/>
        <v>31</v>
      </c>
      <c r="AF1274" s="831" t="s">
        <v>1965</v>
      </c>
      <c r="AG1274" s="831" t="s">
        <v>59</v>
      </c>
      <c r="AH1274" s="831" t="s">
        <v>523</v>
      </c>
      <c r="AI1274" s="831">
        <v>0</v>
      </c>
      <c r="AJ1274" s="835">
        <v>40025</v>
      </c>
      <c r="AK1274" s="831">
        <v>0</v>
      </c>
      <c r="AP1274" s="831" t="str">
        <f t="shared" si="58"/>
        <v/>
      </c>
    </row>
    <row r="1275" spans="2:42">
      <c r="B1275" s="834" t="str">
        <f t="shared" si="57"/>
        <v>|||</v>
      </c>
      <c r="H1275" s="835">
        <f t="shared" si="59"/>
        <v>31</v>
      </c>
      <c r="AF1275" s="831" t="s">
        <v>1966</v>
      </c>
      <c r="AG1275" s="831" t="s">
        <v>59</v>
      </c>
      <c r="AH1275" s="831" t="s">
        <v>524</v>
      </c>
      <c r="AI1275" s="831">
        <v>0</v>
      </c>
      <c r="AJ1275" s="835">
        <v>40025</v>
      </c>
      <c r="AK1275" s="831">
        <v>0</v>
      </c>
      <c r="AP1275" s="831" t="str">
        <f t="shared" si="58"/>
        <v/>
      </c>
    </row>
    <row r="1276" spans="2:42">
      <c r="B1276" s="834" t="str">
        <f t="shared" si="57"/>
        <v>|||</v>
      </c>
      <c r="H1276" s="835">
        <f t="shared" si="59"/>
        <v>31</v>
      </c>
      <c r="AF1276" s="831" t="s">
        <v>1967</v>
      </c>
      <c r="AG1276" s="831" t="s">
        <v>59</v>
      </c>
      <c r="AH1276" s="831" t="s">
        <v>1805</v>
      </c>
      <c r="AI1276" s="831">
        <v>0</v>
      </c>
      <c r="AJ1276" s="835">
        <v>40025</v>
      </c>
      <c r="AK1276" s="831">
        <v>1</v>
      </c>
      <c r="AP1276" s="831" t="str">
        <f t="shared" si="58"/>
        <v/>
      </c>
    </row>
    <row r="1277" spans="2:42">
      <c r="B1277" s="834" t="str">
        <f t="shared" si="57"/>
        <v>|||</v>
      </c>
      <c r="H1277" s="835">
        <f t="shared" si="59"/>
        <v>31</v>
      </c>
      <c r="AF1277" s="831" t="s">
        <v>1968</v>
      </c>
      <c r="AG1277" s="831" t="s">
        <v>59</v>
      </c>
      <c r="AH1277" s="831" t="s">
        <v>70</v>
      </c>
      <c r="AI1277" s="831">
        <v>0</v>
      </c>
      <c r="AJ1277" s="835">
        <v>40056</v>
      </c>
      <c r="AK1277" s="831">
        <v>174050365</v>
      </c>
      <c r="AP1277" s="831" t="str">
        <f t="shared" si="58"/>
        <v/>
      </c>
    </row>
    <row r="1278" spans="2:42">
      <c r="B1278" s="834" t="str">
        <f t="shared" si="57"/>
        <v>|||</v>
      </c>
      <c r="H1278" s="835">
        <f t="shared" si="59"/>
        <v>31</v>
      </c>
      <c r="AF1278" s="831" t="s">
        <v>1969</v>
      </c>
      <c r="AG1278" s="831" t="s">
        <v>59</v>
      </c>
      <c r="AH1278" s="831" t="s">
        <v>75</v>
      </c>
      <c r="AI1278" s="831">
        <v>0</v>
      </c>
      <c r="AJ1278" s="835">
        <v>40056</v>
      </c>
      <c r="AK1278" s="831">
        <v>150379280</v>
      </c>
      <c r="AP1278" s="831" t="str">
        <f t="shared" si="58"/>
        <v/>
      </c>
    </row>
    <row r="1279" spans="2:42">
      <c r="B1279" s="834" t="str">
        <f t="shared" si="57"/>
        <v>|||</v>
      </c>
      <c r="H1279" s="835">
        <f t="shared" si="59"/>
        <v>31</v>
      </c>
      <c r="AF1279" s="831" t="s">
        <v>1970</v>
      </c>
      <c r="AG1279" s="831" t="s">
        <v>59</v>
      </c>
      <c r="AH1279" s="831" t="s">
        <v>85</v>
      </c>
      <c r="AI1279" s="831">
        <v>0</v>
      </c>
      <c r="AJ1279" s="835">
        <v>40056</v>
      </c>
      <c r="AK1279" s="831">
        <v>27652910</v>
      </c>
      <c r="AP1279" s="831" t="str">
        <f t="shared" si="58"/>
        <v/>
      </c>
    </row>
    <row r="1280" spans="2:42">
      <c r="B1280" s="834" t="str">
        <f t="shared" si="57"/>
        <v>|||</v>
      </c>
      <c r="H1280" s="835">
        <f t="shared" si="59"/>
        <v>31</v>
      </c>
      <c r="AF1280" s="831" t="s">
        <v>1971</v>
      </c>
      <c r="AG1280" s="831" t="s">
        <v>59</v>
      </c>
      <c r="AH1280" s="831" t="s">
        <v>90</v>
      </c>
      <c r="AI1280" s="831">
        <v>0</v>
      </c>
      <c r="AJ1280" s="835">
        <v>40056</v>
      </c>
      <c r="AK1280" s="831">
        <v>141139480</v>
      </c>
      <c r="AP1280" s="831" t="str">
        <f t="shared" si="58"/>
        <v/>
      </c>
    </row>
    <row r="1281" spans="2:42">
      <c r="B1281" s="834" t="str">
        <f t="shared" si="57"/>
        <v>|||</v>
      </c>
      <c r="H1281" s="835">
        <f t="shared" si="59"/>
        <v>31</v>
      </c>
      <c r="AF1281" s="831" t="s">
        <v>1972</v>
      </c>
      <c r="AG1281" s="831" t="s">
        <v>59</v>
      </c>
      <c r="AH1281" s="831" t="s">
        <v>521</v>
      </c>
      <c r="AI1281" s="831">
        <v>0</v>
      </c>
      <c r="AJ1281" s="835">
        <v>40056</v>
      </c>
      <c r="AK1281" s="831">
        <v>0</v>
      </c>
      <c r="AP1281" s="831" t="str">
        <f t="shared" si="58"/>
        <v/>
      </c>
    </row>
    <row r="1282" spans="2:42">
      <c r="B1282" s="834" t="str">
        <f t="shared" si="57"/>
        <v>|||</v>
      </c>
      <c r="H1282" s="835">
        <f t="shared" si="59"/>
        <v>31</v>
      </c>
      <c r="AF1282" s="831" t="s">
        <v>1973</v>
      </c>
      <c r="AG1282" s="831" t="s">
        <v>59</v>
      </c>
      <c r="AH1282" s="831" t="s">
        <v>522</v>
      </c>
      <c r="AI1282" s="831">
        <v>0</v>
      </c>
      <c r="AJ1282" s="835">
        <v>40056</v>
      </c>
      <c r="AK1282" s="831">
        <v>0</v>
      </c>
      <c r="AP1282" s="831" t="str">
        <f t="shared" si="58"/>
        <v/>
      </c>
    </row>
    <row r="1283" spans="2:42">
      <c r="B1283" s="834" t="str">
        <f t="shared" ref="B1283:B1346" si="60">C1283&amp;"|"&amp;D1283&amp;"|"&amp;E1283&amp;"|"&amp;F1283</f>
        <v>|||</v>
      </c>
      <c r="H1283" s="835">
        <f t="shared" si="59"/>
        <v>31</v>
      </c>
      <c r="AF1283" s="831" t="s">
        <v>1974</v>
      </c>
      <c r="AG1283" s="831" t="s">
        <v>59</v>
      </c>
      <c r="AH1283" s="831" t="s">
        <v>523</v>
      </c>
      <c r="AI1283" s="831">
        <v>0</v>
      </c>
      <c r="AJ1283" s="835">
        <v>40056</v>
      </c>
      <c r="AK1283" s="831">
        <v>0</v>
      </c>
      <c r="AP1283" s="831" t="str">
        <f t="shared" ref="AP1283:AP1346" si="61">IF(AX1283&lt;&gt;"",IF(OR(AX1283=3,AX1283=4),"Equity","Debt"),"")</f>
        <v/>
      </c>
    </row>
    <row r="1284" spans="2:42">
      <c r="B1284" s="834" t="str">
        <f t="shared" si="60"/>
        <v>|||</v>
      </c>
      <c r="H1284" s="835">
        <f t="shared" ref="H1284:H1347" si="62">EOMONTH(L1284,0)</f>
        <v>31</v>
      </c>
      <c r="AF1284" s="831" t="s">
        <v>1975</v>
      </c>
      <c r="AG1284" s="831" t="s">
        <v>59</v>
      </c>
      <c r="AH1284" s="831" t="s">
        <v>524</v>
      </c>
      <c r="AI1284" s="831">
        <v>0</v>
      </c>
      <c r="AJ1284" s="835">
        <v>40056</v>
      </c>
      <c r="AK1284" s="831">
        <v>0</v>
      </c>
      <c r="AP1284" s="831" t="str">
        <f t="shared" si="61"/>
        <v/>
      </c>
    </row>
    <row r="1285" spans="2:42">
      <c r="B1285" s="834" t="str">
        <f t="shared" si="60"/>
        <v>|||</v>
      </c>
      <c r="H1285" s="835">
        <f t="shared" si="62"/>
        <v>31</v>
      </c>
      <c r="AF1285" s="831" t="s">
        <v>1976</v>
      </c>
      <c r="AG1285" s="831" t="s">
        <v>59</v>
      </c>
      <c r="AH1285" s="831" t="s">
        <v>1805</v>
      </c>
      <c r="AI1285" s="831">
        <v>0</v>
      </c>
      <c r="AJ1285" s="835">
        <v>40056</v>
      </c>
      <c r="AK1285" s="831">
        <v>1</v>
      </c>
      <c r="AP1285" s="831" t="str">
        <f t="shared" si="61"/>
        <v/>
      </c>
    </row>
    <row r="1286" spans="2:42">
      <c r="B1286" s="834" t="str">
        <f t="shared" si="60"/>
        <v>|||</v>
      </c>
      <c r="H1286" s="835">
        <f t="shared" si="62"/>
        <v>31</v>
      </c>
      <c r="AF1286" s="831" t="s">
        <v>1977</v>
      </c>
      <c r="AG1286" s="831" t="s">
        <v>59</v>
      </c>
      <c r="AH1286" s="831" t="s">
        <v>70</v>
      </c>
      <c r="AI1286" s="831">
        <v>0</v>
      </c>
      <c r="AJ1286" s="835">
        <v>40086</v>
      </c>
      <c r="AK1286" s="831">
        <v>183439087</v>
      </c>
      <c r="AP1286" s="831" t="str">
        <f t="shared" si="61"/>
        <v/>
      </c>
    </row>
    <row r="1287" spans="2:42">
      <c r="B1287" s="834" t="str">
        <f t="shared" si="60"/>
        <v>|||</v>
      </c>
      <c r="H1287" s="835">
        <f t="shared" si="62"/>
        <v>31</v>
      </c>
      <c r="AF1287" s="831" t="s">
        <v>1978</v>
      </c>
      <c r="AG1287" s="831" t="s">
        <v>59</v>
      </c>
      <c r="AH1287" s="831" t="s">
        <v>75</v>
      </c>
      <c r="AI1287" s="831">
        <v>0</v>
      </c>
      <c r="AJ1287" s="835">
        <v>40086</v>
      </c>
      <c r="AK1287" s="831">
        <v>156428170</v>
      </c>
      <c r="AP1287" s="831" t="str">
        <f t="shared" si="61"/>
        <v/>
      </c>
    </row>
    <row r="1288" spans="2:42">
      <c r="B1288" s="834" t="str">
        <f t="shared" si="60"/>
        <v>|||</v>
      </c>
      <c r="H1288" s="835">
        <f t="shared" si="62"/>
        <v>31</v>
      </c>
      <c r="AF1288" s="831" t="s">
        <v>1979</v>
      </c>
      <c r="AG1288" s="831" t="s">
        <v>59</v>
      </c>
      <c r="AH1288" s="831" t="s">
        <v>85</v>
      </c>
      <c r="AI1288" s="831">
        <v>0</v>
      </c>
      <c r="AJ1288" s="835">
        <v>40086</v>
      </c>
      <c r="AK1288" s="831">
        <v>29275420</v>
      </c>
      <c r="AP1288" s="831" t="str">
        <f t="shared" si="61"/>
        <v/>
      </c>
    </row>
    <row r="1289" spans="2:42">
      <c r="B1289" s="834" t="str">
        <f t="shared" si="60"/>
        <v>|||</v>
      </c>
      <c r="H1289" s="835">
        <f t="shared" si="62"/>
        <v>31</v>
      </c>
      <c r="AF1289" s="831" t="s">
        <v>1980</v>
      </c>
      <c r="AG1289" s="831" t="s">
        <v>59</v>
      </c>
      <c r="AH1289" s="831" t="s">
        <v>90</v>
      </c>
      <c r="AI1289" s="831">
        <v>0</v>
      </c>
      <c r="AJ1289" s="835">
        <v>40086</v>
      </c>
      <c r="AK1289" s="831">
        <v>140542990</v>
      </c>
      <c r="AP1289" s="831" t="str">
        <f t="shared" si="61"/>
        <v/>
      </c>
    </row>
    <row r="1290" spans="2:42">
      <c r="B1290" s="834" t="str">
        <f t="shared" si="60"/>
        <v>|||</v>
      </c>
      <c r="H1290" s="835">
        <f t="shared" si="62"/>
        <v>31</v>
      </c>
      <c r="AF1290" s="831" t="s">
        <v>1981</v>
      </c>
      <c r="AG1290" s="831" t="s">
        <v>59</v>
      </c>
      <c r="AH1290" s="831" t="s">
        <v>521</v>
      </c>
      <c r="AI1290" s="831">
        <v>0</v>
      </c>
      <c r="AJ1290" s="835">
        <v>40086</v>
      </c>
      <c r="AK1290" s="831">
        <v>0</v>
      </c>
      <c r="AP1290" s="831" t="str">
        <f t="shared" si="61"/>
        <v/>
      </c>
    </row>
    <row r="1291" spans="2:42">
      <c r="B1291" s="834" t="str">
        <f t="shared" si="60"/>
        <v>|||</v>
      </c>
      <c r="H1291" s="835">
        <f t="shared" si="62"/>
        <v>31</v>
      </c>
      <c r="AF1291" s="831" t="s">
        <v>1982</v>
      </c>
      <c r="AG1291" s="831" t="s">
        <v>59</v>
      </c>
      <c r="AH1291" s="831" t="s">
        <v>522</v>
      </c>
      <c r="AI1291" s="831">
        <v>0</v>
      </c>
      <c r="AJ1291" s="835">
        <v>40086</v>
      </c>
      <c r="AK1291" s="831">
        <v>0</v>
      </c>
      <c r="AP1291" s="831" t="str">
        <f t="shared" si="61"/>
        <v/>
      </c>
    </row>
    <row r="1292" spans="2:42">
      <c r="B1292" s="834" t="str">
        <f t="shared" si="60"/>
        <v>|||</v>
      </c>
      <c r="H1292" s="835">
        <f t="shared" si="62"/>
        <v>31</v>
      </c>
      <c r="AF1292" s="831" t="s">
        <v>1983</v>
      </c>
      <c r="AG1292" s="831" t="s">
        <v>59</v>
      </c>
      <c r="AH1292" s="831" t="s">
        <v>523</v>
      </c>
      <c r="AI1292" s="831">
        <v>0</v>
      </c>
      <c r="AJ1292" s="835">
        <v>40086</v>
      </c>
      <c r="AK1292" s="831">
        <v>0</v>
      </c>
      <c r="AP1292" s="831" t="str">
        <f t="shared" si="61"/>
        <v/>
      </c>
    </row>
    <row r="1293" spans="2:42">
      <c r="B1293" s="834" t="str">
        <f t="shared" si="60"/>
        <v>|||</v>
      </c>
      <c r="H1293" s="835">
        <f t="shared" si="62"/>
        <v>31</v>
      </c>
      <c r="AF1293" s="831" t="s">
        <v>1984</v>
      </c>
      <c r="AG1293" s="831" t="s">
        <v>59</v>
      </c>
      <c r="AH1293" s="831" t="s">
        <v>524</v>
      </c>
      <c r="AI1293" s="831">
        <v>0</v>
      </c>
      <c r="AJ1293" s="835">
        <v>40086</v>
      </c>
      <c r="AK1293" s="831">
        <v>0</v>
      </c>
      <c r="AP1293" s="831" t="str">
        <f t="shared" si="61"/>
        <v/>
      </c>
    </row>
    <row r="1294" spans="2:42">
      <c r="B1294" s="834" t="str">
        <f t="shared" si="60"/>
        <v>|||</v>
      </c>
      <c r="H1294" s="835">
        <f t="shared" si="62"/>
        <v>31</v>
      </c>
      <c r="AF1294" s="831" t="s">
        <v>1985</v>
      </c>
      <c r="AG1294" s="831" t="s">
        <v>59</v>
      </c>
      <c r="AH1294" s="831" t="s">
        <v>1805</v>
      </c>
      <c r="AI1294" s="831">
        <v>0</v>
      </c>
      <c r="AJ1294" s="835">
        <v>40086</v>
      </c>
      <c r="AK1294" s="831">
        <v>1</v>
      </c>
      <c r="AP1294" s="831" t="str">
        <f t="shared" si="61"/>
        <v/>
      </c>
    </row>
    <row r="1295" spans="2:42">
      <c r="B1295" s="834" t="str">
        <f t="shared" si="60"/>
        <v>|||</v>
      </c>
      <c r="H1295" s="835">
        <f t="shared" si="62"/>
        <v>31</v>
      </c>
      <c r="AF1295" s="831" t="s">
        <v>1986</v>
      </c>
      <c r="AG1295" s="831" t="s">
        <v>59</v>
      </c>
      <c r="AH1295" s="831" t="s">
        <v>70</v>
      </c>
      <c r="AI1295" s="831">
        <v>0</v>
      </c>
      <c r="AJ1295" s="835">
        <v>40117</v>
      </c>
      <c r="AK1295" s="831">
        <v>194233914</v>
      </c>
      <c r="AP1295" s="831" t="str">
        <f t="shared" si="61"/>
        <v/>
      </c>
    </row>
    <row r="1296" spans="2:42">
      <c r="B1296" s="834" t="str">
        <f t="shared" si="60"/>
        <v>|||</v>
      </c>
      <c r="H1296" s="835">
        <f t="shared" si="62"/>
        <v>31</v>
      </c>
      <c r="AF1296" s="831" t="s">
        <v>1987</v>
      </c>
      <c r="AG1296" s="831" t="s">
        <v>59</v>
      </c>
      <c r="AH1296" s="831" t="s">
        <v>75</v>
      </c>
      <c r="AI1296" s="831">
        <v>0</v>
      </c>
      <c r="AJ1296" s="835">
        <v>40117</v>
      </c>
      <c r="AK1296" s="831">
        <v>161940150</v>
      </c>
      <c r="AP1296" s="831" t="str">
        <f t="shared" si="61"/>
        <v/>
      </c>
    </row>
    <row r="1297" spans="2:42">
      <c r="B1297" s="834" t="str">
        <f t="shared" si="60"/>
        <v>|||</v>
      </c>
      <c r="H1297" s="835">
        <f t="shared" si="62"/>
        <v>31</v>
      </c>
      <c r="AF1297" s="831" t="s">
        <v>1988</v>
      </c>
      <c r="AG1297" s="831" t="s">
        <v>59</v>
      </c>
      <c r="AH1297" s="831" t="s">
        <v>85</v>
      </c>
      <c r="AI1297" s="831">
        <v>0</v>
      </c>
      <c r="AJ1297" s="835">
        <v>40117</v>
      </c>
      <c r="AK1297" s="831">
        <v>31760120</v>
      </c>
      <c r="AP1297" s="831" t="str">
        <f t="shared" si="61"/>
        <v/>
      </c>
    </row>
    <row r="1298" spans="2:42">
      <c r="B1298" s="834" t="str">
        <f t="shared" si="60"/>
        <v>|||</v>
      </c>
      <c r="H1298" s="835">
        <f t="shared" si="62"/>
        <v>31</v>
      </c>
      <c r="AF1298" s="831" t="s">
        <v>1989</v>
      </c>
      <c r="AG1298" s="831" t="s">
        <v>59</v>
      </c>
      <c r="AH1298" s="831" t="s">
        <v>90</v>
      </c>
      <c r="AI1298" s="831">
        <v>0</v>
      </c>
      <c r="AJ1298" s="835">
        <v>40117</v>
      </c>
      <c r="AK1298" s="831">
        <v>151735310</v>
      </c>
      <c r="AP1298" s="831" t="str">
        <f t="shared" si="61"/>
        <v/>
      </c>
    </row>
    <row r="1299" spans="2:42">
      <c r="B1299" s="834" t="str">
        <f t="shared" si="60"/>
        <v>|||</v>
      </c>
      <c r="H1299" s="835">
        <f t="shared" si="62"/>
        <v>31</v>
      </c>
      <c r="AF1299" s="831" t="s">
        <v>1990</v>
      </c>
      <c r="AG1299" s="831" t="s">
        <v>59</v>
      </c>
      <c r="AH1299" s="831" t="s">
        <v>521</v>
      </c>
      <c r="AI1299" s="831">
        <v>0</v>
      </c>
      <c r="AJ1299" s="835">
        <v>40117</v>
      </c>
      <c r="AK1299" s="831">
        <v>0</v>
      </c>
      <c r="AP1299" s="831" t="str">
        <f t="shared" si="61"/>
        <v/>
      </c>
    </row>
    <row r="1300" spans="2:42">
      <c r="B1300" s="834" t="str">
        <f t="shared" si="60"/>
        <v>|||</v>
      </c>
      <c r="H1300" s="835">
        <f t="shared" si="62"/>
        <v>31</v>
      </c>
      <c r="AF1300" s="831" t="s">
        <v>1991</v>
      </c>
      <c r="AG1300" s="831" t="s">
        <v>59</v>
      </c>
      <c r="AH1300" s="831" t="s">
        <v>522</v>
      </c>
      <c r="AI1300" s="831">
        <v>0</v>
      </c>
      <c r="AJ1300" s="835">
        <v>40117</v>
      </c>
      <c r="AK1300" s="831">
        <v>0</v>
      </c>
      <c r="AP1300" s="831" t="str">
        <f t="shared" si="61"/>
        <v/>
      </c>
    </row>
    <row r="1301" spans="2:42">
      <c r="B1301" s="834" t="str">
        <f t="shared" si="60"/>
        <v>|||</v>
      </c>
      <c r="H1301" s="835">
        <f t="shared" si="62"/>
        <v>31</v>
      </c>
      <c r="AF1301" s="831" t="s">
        <v>1992</v>
      </c>
      <c r="AG1301" s="831" t="s">
        <v>59</v>
      </c>
      <c r="AH1301" s="831" t="s">
        <v>523</v>
      </c>
      <c r="AI1301" s="831">
        <v>0</v>
      </c>
      <c r="AJ1301" s="835">
        <v>40117</v>
      </c>
      <c r="AK1301" s="831">
        <v>0</v>
      </c>
      <c r="AP1301" s="831" t="str">
        <f t="shared" si="61"/>
        <v/>
      </c>
    </row>
    <row r="1302" spans="2:42">
      <c r="B1302" s="834" t="str">
        <f t="shared" si="60"/>
        <v>|||</v>
      </c>
      <c r="H1302" s="835">
        <f t="shared" si="62"/>
        <v>31</v>
      </c>
      <c r="AF1302" s="831" t="s">
        <v>1993</v>
      </c>
      <c r="AG1302" s="831" t="s">
        <v>59</v>
      </c>
      <c r="AH1302" s="831" t="s">
        <v>524</v>
      </c>
      <c r="AI1302" s="831">
        <v>0</v>
      </c>
      <c r="AJ1302" s="835">
        <v>40117</v>
      </c>
      <c r="AK1302" s="831">
        <v>0</v>
      </c>
      <c r="AP1302" s="831" t="str">
        <f t="shared" si="61"/>
        <v/>
      </c>
    </row>
    <row r="1303" spans="2:42">
      <c r="B1303" s="834" t="str">
        <f t="shared" si="60"/>
        <v>|||</v>
      </c>
      <c r="H1303" s="835">
        <f t="shared" si="62"/>
        <v>31</v>
      </c>
      <c r="AF1303" s="831" t="s">
        <v>1994</v>
      </c>
      <c r="AG1303" s="831" t="s">
        <v>59</v>
      </c>
      <c r="AH1303" s="831" t="s">
        <v>1805</v>
      </c>
      <c r="AI1303" s="831">
        <v>0</v>
      </c>
      <c r="AJ1303" s="835">
        <v>40117</v>
      </c>
      <c r="AK1303" s="831">
        <v>1</v>
      </c>
      <c r="AP1303" s="831" t="str">
        <f t="shared" si="61"/>
        <v/>
      </c>
    </row>
    <row r="1304" spans="2:42">
      <c r="B1304" s="834" t="str">
        <f t="shared" si="60"/>
        <v>|||</v>
      </c>
      <c r="H1304" s="835">
        <f t="shared" si="62"/>
        <v>31</v>
      </c>
      <c r="AF1304" s="831" t="s">
        <v>1995</v>
      </c>
      <c r="AG1304" s="831" t="s">
        <v>59</v>
      </c>
      <c r="AH1304" s="831" t="s">
        <v>70</v>
      </c>
      <c r="AI1304" s="831">
        <v>0</v>
      </c>
      <c r="AJ1304" s="835">
        <v>40147</v>
      </c>
      <c r="AK1304" s="831">
        <v>194588335</v>
      </c>
      <c r="AP1304" s="831" t="str">
        <f t="shared" si="61"/>
        <v/>
      </c>
    </row>
    <row r="1305" spans="2:42">
      <c r="B1305" s="834" t="str">
        <f t="shared" si="60"/>
        <v>|||</v>
      </c>
      <c r="H1305" s="835">
        <f t="shared" si="62"/>
        <v>31</v>
      </c>
      <c r="AF1305" s="831" t="s">
        <v>1996</v>
      </c>
      <c r="AG1305" s="831" t="s">
        <v>59</v>
      </c>
      <c r="AH1305" s="831" t="s">
        <v>75</v>
      </c>
      <c r="AI1305" s="831">
        <v>0</v>
      </c>
      <c r="AJ1305" s="835">
        <v>40147</v>
      </c>
      <c r="AK1305" s="831">
        <v>162664360</v>
      </c>
      <c r="AP1305" s="831" t="str">
        <f t="shared" si="61"/>
        <v/>
      </c>
    </row>
    <row r="1306" spans="2:42">
      <c r="B1306" s="834" t="str">
        <f t="shared" si="60"/>
        <v>|||</v>
      </c>
      <c r="H1306" s="835">
        <f t="shared" si="62"/>
        <v>31</v>
      </c>
      <c r="AF1306" s="831" t="s">
        <v>1997</v>
      </c>
      <c r="AG1306" s="831" t="s">
        <v>59</v>
      </c>
      <c r="AH1306" s="831" t="s">
        <v>85</v>
      </c>
      <c r="AI1306" s="831">
        <v>0</v>
      </c>
      <c r="AJ1306" s="835">
        <v>40147</v>
      </c>
      <c r="AK1306" s="831">
        <v>32405310</v>
      </c>
      <c r="AP1306" s="831" t="str">
        <f t="shared" si="61"/>
        <v/>
      </c>
    </row>
    <row r="1307" spans="2:42">
      <c r="B1307" s="834" t="str">
        <f t="shared" si="60"/>
        <v>|||</v>
      </c>
      <c r="H1307" s="835">
        <f t="shared" si="62"/>
        <v>31</v>
      </c>
      <c r="AF1307" s="831" t="s">
        <v>1998</v>
      </c>
      <c r="AG1307" s="831" t="s">
        <v>59</v>
      </c>
      <c r="AH1307" s="831" t="s">
        <v>90</v>
      </c>
      <c r="AI1307" s="831">
        <v>0</v>
      </c>
      <c r="AJ1307" s="835">
        <v>40147</v>
      </c>
      <c r="AK1307" s="831">
        <v>150246850</v>
      </c>
      <c r="AP1307" s="831" t="str">
        <f t="shared" si="61"/>
        <v/>
      </c>
    </row>
    <row r="1308" spans="2:42">
      <c r="B1308" s="834" t="str">
        <f t="shared" si="60"/>
        <v>|||</v>
      </c>
      <c r="H1308" s="835">
        <f t="shared" si="62"/>
        <v>31</v>
      </c>
      <c r="AF1308" s="831" t="s">
        <v>1999</v>
      </c>
      <c r="AG1308" s="831" t="s">
        <v>59</v>
      </c>
      <c r="AH1308" s="831" t="s">
        <v>521</v>
      </c>
      <c r="AI1308" s="831">
        <v>0</v>
      </c>
      <c r="AJ1308" s="835">
        <v>40147</v>
      </c>
      <c r="AK1308" s="831">
        <v>0</v>
      </c>
      <c r="AP1308" s="831" t="str">
        <f t="shared" si="61"/>
        <v/>
      </c>
    </row>
    <row r="1309" spans="2:42">
      <c r="B1309" s="834" t="str">
        <f t="shared" si="60"/>
        <v>|||</v>
      </c>
      <c r="H1309" s="835">
        <f t="shared" si="62"/>
        <v>31</v>
      </c>
      <c r="AF1309" s="831" t="s">
        <v>2000</v>
      </c>
      <c r="AG1309" s="831" t="s">
        <v>59</v>
      </c>
      <c r="AH1309" s="831" t="s">
        <v>522</v>
      </c>
      <c r="AI1309" s="831">
        <v>0</v>
      </c>
      <c r="AJ1309" s="835">
        <v>40147</v>
      </c>
      <c r="AK1309" s="831">
        <v>0</v>
      </c>
      <c r="AP1309" s="831" t="str">
        <f t="shared" si="61"/>
        <v/>
      </c>
    </row>
    <row r="1310" spans="2:42">
      <c r="B1310" s="834" t="str">
        <f t="shared" si="60"/>
        <v>|||</v>
      </c>
      <c r="H1310" s="835">
        <f t="shared" si="62"/>
        <v>31</v>
      </c>
      <c r="AF1310" s="831" t="s">
        <v>2001</v>
      </c>
      <c r="AG1310" s="831" t="s">
        <v>59</v>
      </c>
      <c r="AH1310" s="831" t="s">
        <v>523</v>
      </c>
      <c r="AI1310" s="831">
        <v>0</v>
      </c>
      <c r="AJ1310" s="835">
        <v>40147</v>
      </c>
      <c r="AK1310" s="831">
        <v>0</v>
      </c>
      <c r="AP1310" s="831" t="str">
        <f t="shared" si="61"/>
        <v/>
      </c>
    </row>
    <row r="1311" spans="2:42">
      <c r="B1311" s="834" t="str">
        <f t="shared" si="60"/>
        <v>|||</v>
      </c>
      <c r="H1311" s="835">
        <f t="shared" si="62"/>
        <v>31</v>
      </c>
      <c r="AF1311" s="831" t="s">
        <v>2002</v>
      </c>
      <c r="AG1311" s="831" t="s">
        <v>59</v>
      </c>
      <c r="AH1311" s="831" t="s">
        <v>524</v>
      </c>
      <c r="AI1311" s="831">
        <v>0</v>
      </c>
      <c r="AJ1311" s="835">
        <v>40147</v>
      </c>
      <c r="AK1311" s="831">
        <v>0</v>
      </c>
      <c r="AP1311" s="831" t="str">
        <f t="shared" si="61"/>
        <v/>
      </c>
    </row>
    <row r="1312" spans="2:42">
      <c r="B1312" s="834" t="str">
        <f t="shared" si="60"/>
        <v>|||</v>
      </c>
      <c r="H1312" s="835">
        <f t="shared" si="62"/>
        <v>31</v>
      </c>
      <c r="AF1312" s="831" t="s">
        <v>2003</v>
      </c>
      <c r="AG1312" s="831" t="s">
        <v>59</v>
      </c>
      <c r="AH1312" s="831" t="s">
        <v>1805</v>
      </c>
      <c r="AI1312" s="831">
        <v>0</v>
      </c>
      <c r="AJ1312" s="835">
        <v>40147</v>
      </c>
      <c r="AK1312" s="831">
        <v>1</v>
      </c>
      <c r="AP1312" s="831" t="str">
        <f t="shared" si="61"/>
        <v/>
      </c>
    </row>
    <row r="1313" spans="2:42">
      <c r="B1313" s="834" t="str">
        <f t="shared" si="60"/>
        <v>|||</v>
      </c>
      <c r="H1313" s="835">
        <f t="shared" si="62"/>
        <v>31</v>
      </c>
      <c r="AF1313" s="831" t="s">
        <v>2004</v>
      </c>
      <c r="AG1313" s="831" t="s">
        <v>59</v>
      </c>
      <c r="AH1313" s="831" t="s">
        <v>70</v>
      </c>
      <c r="AI1313" s="831">
        <v>0</v>
      </c>
      <c r="AJ1313" s="835">
        <v>40178</v>
      </c>
      <c r="AK1313" s="831">
        <v>205918723</v>
      </c>
      <c r="AP1313" s="831" t="str">
        <f t="shared" si="61"/>
        <v/>
      </c>
    </row>
    <row r="1314" spans="2:42">
      <c r="B1314" s="834" t="str">
        <f t="shared" si="60"/>
        <v>|||</v>
      </c>
      <c r="H1314" s="835">
        <f t="shared" si="62"/>
        <v>31</v>
      </c>
      <c r="AF1314" s="831" t="s">
        <v>2005</v>
      </c>
      <c r="AG1314" s="831" t="s">
        <v>59</v>
      </c>
      <c r="AH1314" s="831" t="s">
        <v>75</v>
      </c>
      <c r="AI1314" s="831">
        <v>0</v>
      </c>
      <c r="AJ1314" s="835">
        <v>40178</v>
      </c>
      <c r="AK1314" s="831">
        <v>168024810</v>
      </c>
      <c r="AP1314" s="831" t="str">
        <f t="shared" si="61"/>
        <v/>
      </c>
    </row>
    <row r="1315" spans="2:42">
      <c r="B1315" s="834" t="str">
        <f t="shared" si="60"/>
        <v>|||</v>
      </c>
      <c r="H1315" s="835">
        <f t="shared" si="62"/>
        <v>31</v>
      </c>
      <c r="AF1315" s="831" t="s">
        <v>2006</v>
      </c>
      <c r="AG1315" s="831" t="s">
        <v>59</v>
      </c>
      <c r="AH1315" s="831" t="s">
        <v>85</v>
      </c>
      <c r="AI1315" s="831">
        <v>0</v>
      </c>
      <c r="AJ1315" s="835">
        <v>40178</v>
      </c>
      <c r="AK1315" s="831">
        <v>34318140</v>
      </c>
      <c r="AP1315" s="831" t="str">
        <f t="shared" si="61"/>
        <v/>
      </c>
    </row>
    <row r="1316" spans="2:42">
      <c r="B1316" s="834" t="str">
        <f t="shared" si="60"/>
        <v>|||</v>
      </c>
      <c r="H1316" s="835">
        <f t="shared" si="62"/>
        <v>31</v>
      </c>
      <c r="AF1316" s="831" t="s">
        <v>2007</v>
      </c>
      <c r="AG1316" s="831" t="s">
        <v>59</v>
      </c>
      <c r="AH1316" s="831" t="s">
        <v>90</v>
      </c>
      <c r="AI1316" s="831">
        <v>0</v>
      </c>
      <c r="AJ1316" s="835">
        <v>40178</v>
      </c>
      <c r="AK1316" s="831">
        <v>157561210</v>
      </c>
      <c r="AP1316" s="831" t="str">
        <f t="shared" si="61"/>
        <v/>
      </c>
    </row>
    <row r="1317" spans="2:42">
      <c r="B1317" s="834" t="str">
        <f t="shared" si="60"/>
        <v>|||</v>
      </c>
      <c r="H1317" s="835">
        <f t="shared" si="62"/>
        <v>31</v>
      </c>
      <c r="AF1317" s="831" t="s">
        <v>2008</v>
      </c>
      <c r="AG1317" s="831" t="s">
        <v>59</v>
      </c>
      <c r="AH1317" s="831" t="s">
        <v>521</v>
      </c>
      <c r="AI1317" s="831">
        <v>0</v>
      </c>
      <c r="AJ1317" s="835">
        <v>40178</v>
      </c>
      <c r="AK1317" s="831">
        <v>0</v>
      </c>
      <c r="AP1317" s="831" t="str">
        <f t="shared" si="61"/>
        <v/>
      </c>
    </row>
    <row r="1318" spans="2:42">
      <c r="B1318" s="834" t="str">
        <f t="shared" si="60"/>
        <v>|||</v>
      </c>
      <c r="H1318" s="835">
        <f t="shared" si="62"/>
        <v>31</v>
      </c>
      <c r="AF1318" s="831" t="s">
        <v>2009</v>
      </c>
      <c r="AG1318" s="831" t="s">
        <v>59</v>
      </c>
      <c r="AH1318" s="831" t="s">
        <v>522</v>
      </c>
      <c r="AI1318" s="831">
        <v>0</v>
      </c>
      <c r="AJ1318" s="835">
        <v>40178</v>
      </c>
      <c r="AK1318" s="831">
        <v>0</v>
      </c>
      <c r="AP1318" s="831" t="str">
        <f t="shared" si="61"/>
        <v/>
      </c>
    </row>
    <row r="1319" spans="2:42">
      <c r="B1319" s="834" t="str">
        <f t="shared" si="60"/>
        <v>|||</v>
      </c>
      <c r="H1319" s="835">
        <f t="shared" si="62"/>
        <v>31</v>
      </c>
      <c r="AF1319" s="831" t="s">
        <v>2010</v>
      </c>
      <c r="AG1319" s="831" t="s">
        <v>59</v>
      </c>
      <c r="AH1319" s="831" t="s">
        <v>523</v>
      </c>
      <c r="AI1319" s="831">
        <v>0</v>
      </c>
      <c r="AJ1319" s="835">
        <v>40178</v>
      </c>
      <c r="AK1319" s="831">
        <v>0</v>
      </c>
      <c r="AP1319" s="831" t="str">
        <f t="shared" si="61"/>
        <v/>
      </c>
    </row>
    <row r="1320" spans="2:42">
      <c r="B1320" s="834" t="str">
        <f t="shared" si="60"/>
        <v>|||</v>
      </c>
      <c r="H1320" s="835">
        <f t="shared" si="62"/>
        <v>31</v>
      </c>
      <c r="AF1320" s="831" t="s">
        <v>2011</v>
      </c>
      <c r="AG1320" s="831" t="s">
        <v>59</v>
      </c>
      <c r="AH1320" s="831" t="s">
        <v>524</v>
      </c>
      <c r="AI1320" s="831">
        <v>0</v>
      </c>
      <c r="AJ1320" s="835">
        <v>40178</v>
      </c>
      <c r="AK1320" s="831">
        <v>0</v>
      </c>
      <c r="AP1320" s="831" t="str">
        <f t="shared" si="61"/>
        <v/>
      </c>
    </row>
    <row r="1321" spans="2:42">
      <c r="B1321" s="834" t="str">
        <f t="shared" si="60"/>
        <v>|||</v>
      </c>
      <c r="H1321" s="835">
        <f t="shared" si="62"/>
        <v>31</v>
      </c>
      <c r="AF1321" s="831" t="s">
        <v>2012</v>
      </c>
      <c r="AG1321" s="831" t="s">
        <v>59</v>
      </c>
      <c r="AH1321" s="831" t="s">
        <v>1805</v>
      </c>
      <c r="AI1321" s="831">
        <v>0</v>
      </c>
      <c r="AJ1321" s="835">
        <v>40178</v>
      </c>
      <c r="AK1321" s="831">
        <v>1</v>
      </c>
      <c r="AP1321" s="831" t="str">
        <f t="shared" si="61"/>
        <v/>
      </c>
    </row>
    <row r="1322" spans="2:42">
      <c r="B1322" s="834" t="str">
        <f t="shared" si="60"/>
        <v>|||</v>
      </c>
      <c r="H1322" s="835">
        <f t="shared" si="62"/>
        <v>31</v>
      </c>
      <c r="AF1322" s="831" t="s">
        <v>2013</v>
      </c>
      <c r="AG1322" s="831" t="s">
        <v>55</v>
      </c>
      <c r="AH1322" s="831" t="s">
        <v>66</v>
      </c>
      <c r="AI1322" s="831">
        <v>0</v>
      </c>
      <c r="AJ1322" s="835">
        <v>40209</v>
      </c>
      <c r="AK1322" s="831">
        <v>63241140</v>
      </c>
      <c r="AP1322" s="831" t="str">
        <f t="shared" si="61"/>
        <v/>
      </c>
    </row>
    <row r="1323" spans="2:42">
      <c r="B1323" s="834" t="str">
        <f t="shared" si="60"/>
        <v>|||</v>
      </c>
      <c r="H1323" s="835">
        <f t="shared" si="62"/>
        <v>31</v>
      </c>
      <c r="AF1323" s="831" t="s">
        <v>2014</v>
      </c>
      <c r="AG1323" s="831" t="s">
        <v>55</v>
      </c>
      <c r="AH1323" s="831" t="s">
        <v>71</v>
      </c>
      <c r="AI1323" s="831">
        <v>0</v>
      </c>
      <c r="AJ1323" s="835">
        <v>40209</v>
      </c>
      <c r="AK1323" s="831">
        <v>0</v>
      </c>
      <c r="AP1323" s="831" t="str">
        <f t="shared" si="61"/>
        <v/>
      </c>
    </row>
    <row r="1324" spans="2:42">
      <c r="B1324" s="834" t="str">
        <f t="shared" si="60"/>
        <v>|||</v>
      </c>
      <c r="H1324" s="835">
        <f t="shared" si="62"/>
        <v>31</v>
      </c>
      <c r="AF1324" s="831" t="s">
        <v>2015</v>
      </c>
      <c r="AG1324" s="831" t="s">
        <v>55</v>
      </c>
      <c r="AH1324" s="831" t="s">
        <v>76</v>
      </c>
      <c r="AI1324" s="831">
        <v>0</v>
      </c>
      <c r="AJ1324" s="835">
        <v>40209</v>
      </c>
      <c r="AK1324" s="831">
        <v>32712742</v>
      </c>
      <c r="AP1324" s="831" t="str">
        <f t="shared" si="61"/>
        <v/>
      </c>
    </row>
    <row r="1325" spans="2:42">
      <c r="B1325" s="834" t="str">
        <f t="shared" si="60"/>
        <v>|||</v>
      </c>
      <c r="H1325" s="835">
        <f t="shared" si="62"/>
        <v>31</v>
      </c>
      <c r="AF1325" s="831" t="s">
        <v>2016</v>
      </c>
      <c r="AG1325" s="831" t="s">
        <v>55</v>
      </c>
      <c r="AH1325" s="831" t="s">
        <v>81</v>
      </c>
      <c r="AI1325" s="831">
        <v>0</v>
      </c>
      <c r="AJ1325" s="835">
        <v>40209</v>
      </c>
      <c r="AK1325" s="831">
        <v>30528398</v>
      </c>
      <c r="AP1325" s="831" t="str">
        <f t="shared" si="61"/>
        <v/>
      </c>
    </row>
    <row r="1326" spans="2:42">
      <c r="B1326" s="834" t="str">
        <f t="shared" si="60"/>
        <v>|||</v>
      </c>
      <c r="H1326" s="835">
        <f t="shared" si="62"/>
        <v>31</v>
      </c>
      <c r="AF1326" s="831" t="s">
        <v>2017</v>
      </c>
      <c r="AG1326" s="831" t="s">
        <v>55</v>
      </c>
      <c r="AH1326" s="831" t="s">
        <v>10</v>
      </c>
      <c r="AI1326" s="831">
        <v>0</v>
      </c>
      <c r="AJ1326" s="835">
        <v>40209</v>
      </c>
      <c r="AK1326" s="831">
        <v>239607839</v>
      </c>
      <c r="AP1326" s="831" t="str">
        <f t="shared" si="61"/>
        <v/>
      </c>
    </row>
    <row r="1327" spans="2:42">
      <c r="B1327" s="834" t="str">
        <f t="shared" si="60"/>
        <v>|||</v>
      </c>
      <c r="H1327" s="835">
        <f t="shared" si="62"/>
        <v>31</v>
      </c>
      <c r="AF1327" s="831" t="s">
        <v>2018</v>
      </c>
      <c r="AG1327" s="831" t="s">
        <v>55</v>
      </c>
      <c r="AH1327" s="831" t="s">
        <v>91</v>
      </c>
      <c r="AI1327" s="831">
        <v>0</v>
      </c>
      <c r="AJ1327" s="835">
        <v>40209</v>
      </c>
      <c r="AK1327" s="831">
        <v>-6772437</v>
      </c>
      <c r="AP1327" s="831" t="str">
        <f t="shared" si="61"/>
        <v/>
      </c>
    </row>
    <row r="1328" spans="2:42">
      <c r="B1328" s="834" t="str">
        <f t="shared" si="60"/>
        <v>|||</v>
      </c>
      <c r="H1328" s="835">
        <f t="shared" si="62"/>
        <v>31</v>
      </c>
      <c r="AF1328" s="831" t="s">
        <v>2019</v>
      </c>
      <c r="AG1328" s="831" t="s">
        <v>55</v>
      </c>
      <c r="AH1328" s="831" t="s">
        <v>94</v>
      </c>
      <c r="AI1328" s="831">
        <v>0</v>
      </c>
      <c r="AJ1328" s="835">
        <v>40209</v>
      </c>
      <c r="AK1328" s="831">
        <v>12591653</v>
      </c>
      <c r="AP1328" s="831" t="str">
        <f t="shared" si="61"/>
        <v/>
      </c>
    </row>
    <row r="1329" spans="2:42">
      <c r="B1329" s="834" t="str">
        <f t="shared" si="60"/>
        <v>|||</v>
      </c>
      <c r="H1329" s="835">
        <f t="shared" si="62"/>
        <v>31</v>
      </c>
      <c r="AF1329" s="831" t="s">
        <v>2020</v>
      </c>
      <c r="AG1329" s="831" t="s">
        <v>55</v>
      </c>
      <c r="AH1329" s="831" t="s">
        <v>103</v>
      </c>
      <c r="AI1329" s="831">
        <v>0</v>
      </c>
      <c r="AJ1329" s="835">
        <v>40209</v>
      </c>
      <c r="AK1329" s="831">
        <v>71701904</v>
      </c>
      <c r="AP1329" s="831" t="str">
        <f t="shared" si="61"/>
        <v/>
      </c>
    </row>
    <row r="1330" spans="2:42">
      <c r="B1330" s="834" t="str">
        <f t="shared" si="60"/>
        <v>|||</v>
      </c>
      <c r="H1330" s="835">
        <f t="shared" si="62"/>
        <v>31</v>
      </c>
      <c r="AF1330" s="831" t="s">
        <v>2021</v>
      </c>
      <c r="AG1330" s="831" t="s">
        <v>55</v>
      </c>
      <c r="AH1330" s="831" t="s">
        <v>108</v>
      </c>
      <c r="AI1330" s="831">
        <v>0</v>
      </c>
      <c r="AJ1330" s="835">
        <v>40209</v>
      </c>
      <c r="AK1330" s="831">
        <v>0</v>
      </c>
      <c r="AP1330" s="831" t="str">
        <f t="shared" si="61"/>
        <v/>
      </c>
    </row>
    <row r="1331" spans="2:42">
      <c r="B1331" s="834" t="str">
        <f t="shared" si="60"/>
        <v>|||</v>
      </c>
      <c r="H1331" s="835">
        <f t="shared" si="62"/>
        <v>31</v>
      </c>
      <c r="AF1331" s="831" t="s">
        <v>2022</v>
      </c>
      <c r="AG1331" s="831" t="s">
        <v>55</v>
      </c>
      <c r="AH1331" s="831" t="s">
        <v>110</v>
      </c>
      <c r="AI1331" s="831">
        <v>0</v>
      </c>
      <c r="AJ1331" s="835">
        <v>40209</v>
      </c>
      <c r="AK1331" s="831">
        <v>173743985</v>
      </c>
      <c r="AP1331" s="831" t="str">
        <f t="shared" si="61"/>
        <v/>
      </c>
    </row>
    <row r="1332" spans="2:42">
      <c r="B1332" s="834" t="str">
        <f t="shared" si="60"/>
        <v>|||</v>
      </c>
      <c r="H1332" s="835">
        <f t="shared" si="62"/>
        <v>31</v>
      </c>
      <c r="AF1332" s="831" t="s">
        <v>2023</v>
      </c>
      <c r="AG1332" s="831" t="s">
        <v>55</v>
      </c>
      <c r="AH1332" s="831" t="s">
        <v>112</v>
      </c>
      <c r="AI1332" s="831">
        <v>0</v>
      </c>
      <c r="AJ1332" s="835">
        <v>40209</v>
      </c>
      <c r="AK1332" s="831">
        <v>0</v>
      </c>
      <c r="AP1332" s="831" t="str">
        <f t="shared" si="61"/>
        <v/>
      </c>
    </row>
    <row r="1333" spans="2:42">
      <c r="B1333" s="834" t="str">
        <f t="shared" si="60"/>
        <v>|||</v>
      </c>
      <c r="H1333" s="835">
        <f t="shared" si="62"/>
        <v>31</v>
      </c>
      <c r="AF1333" s="831" t="s">
        <v>2024</v>
      </c>
      <c r="AG1333" s="831" t="s">
        <v>55</v>
      </c>
      <c r="AH1333" s="831" t="s">
        <v>114</v>
      </c>
      <c r="AI1333" s="831">
        <v>0</v>
      </c>
      <c r="AJ1333" s="835">
        <v>40209</v>
      </c>
      <c r="AK1333" s="831">
        <v>165539832</v>
      </c>
      <c r="AP1333" s="831" t="str">
        <f t="shared" si="61"/>
        <v/>
      </c>
    </row>
    <row r="1334" spans="2:42">
      <c r="B1334" s="834" t="str">
        <f t="shared" si="60"/>
        <v>|||</v>
      </c>
      <c r="H1334" s="835">
        <f t="shared" si="62"/>
        <v>31</v>
      </c>
      <c r="AF1334" s="831" t="s">
        <v>2025</v>
      </c>
      <c r="AG1334" s="831" t="s">
        <v>55</v>
      </c>
      <c r="AH1334" s="831" t="s">
        <v>116</v>
      </c>
      <c r="AI1334" s="831">
        <v>0</v>
      </c>
      <c r="AJ1334" s="835">
        <v>40209</v>
      </c>
      <c r="AK1334" s="831">
        <v>8204153</v>
      </c>
      <c r="AP1334" s="831" t="str">
        <f t="shared" si="61"/>
        <v/>
      </c>
    </row>
    <row r="1335" spans="2:42">
      <c r="B1335" s="834" t="str">
        <f t="shared" si="60"/>
        <v>|||</v>
      </c>
      <c r="H1335" s="835">
        <f t="shared" si="62"/>
        <v>31</v>
      </c>
      <c r="AF1335" s="831" t="s">
        <v>2026</v>
      </c>
      <c r="AG1335" s="831" t="s">
        <v>55</v>
      </c>
      <c r="AH1335" s="831" t="s">
        <v>117</v>
      </c>
      <c r="AI1335" s="831">
        <v>0</v>
      </c>
      <c r="AJ1335" s="835">
        <v>40209</v>
      </c>
      <c r="AK1335" s="831">
        <v>7722178</v>
      </c>
      <c r="AP1335" s="831" t="str">
        <f t="shared" si="61"/>
        <v/>
      </c>
    </row>
    <row r="1336" spans="2:42">
      <c r="B1336" s="834" t="str">
        <f t="shared" si="60"/>
        <v>|||</v>
      </c>
      <c r="H1336" s="835">
        <f t="shared" si="62"/>
        <v>31</v>
      </c>
      <c r="AF1336" s="831" t="s">
        <v>2027</v>
      </c>
      <c r="AG1336" s="831" t="s">
        <v>55</v>
      </c>
      <c r="AH1336" s="831" t="s">
        <v>123</v>
      </c>
      <c r="AI1336" s="831">
        <v>0</v>
      </c>
      <c r="AJ1336" s="835">
        <v>40209</v>
      </c>
      <c r="AK1336" s="831">
        <v>20000000</v>
      </c>
      <c r="AP1336" s="831" t="str">
        <f t="shared" si="61"/>
        <v/>
      </c>
    </row>
    <row r="1337" spans="2:42">
      <c r="B1337" s="834" t="str">
        <f t="shared" si="60"/>
        <v>|||</v>
      </c>
      <c r="H1337" s="835">
        <f t="shared" si="62"/>
        <v>31</v>
      </c>
      <c r="AF1337" s="831" t="s">
        <v>2028</v>
      </c>
      <c r="AG1337" s="831" t="s">
        <v>55</v>
      </c>
      <c r="AH1337" s="831" t="s">
        <v>125</v>
      </c>
      <c r="AI1337" s="831">
        <v>0</v>
      </c>
      <c r="AJ1337" s="835">
        <v>40209</v>
      </c>
      <c r="AK1337" s="831">
        <v>35500128</v>
      </c>
      <c r="AP1337" s="831" t="str">
        <f t="shared" si="61"/>
        <v/>
      </c>
    </row>
    <row r="1338" spans="2:42">
      <c r="B1338" s="834" t="str">
        <f t="shared" si="60"/>
        <v>|||</v>
      </c>
      <c r="H1338" s="835">
        <f t="shared" si="62"/>
        <v>31</v>
      </c>
      <c r="AF1338" s="831" t="s">
        <v>2029</v>
      </c>
      <c r="AG1338" s="831" t="s">
        <v>55</v>
      </c>
      <c r="AH1338" s="831" t="s">
        <v>66</v>
      </c>
      <c r="AI1338" s="831">
        <v>0</v>
      </c>
      <c r="AJ1338" s="835">
        <v>40237</v>
      </c>
      <c r="AK1338" s="831">
        <v>57149131</v>
      </c>
      <c r="AP1338" s="831" t="str">
        <f t="shared" si="61"/>
        <v/>
      </c>
    </row>
    <row r="1339" spans="2:42">
      <c r="B1339" s="834" t="str">
        <f t="shared" si="60"/>
        <v>|||</v>
      </c>
      <c r="H1339" s="835">
        <f t="shared" si="62"/>
        <v>31</v>
      </c>
      <c r="AF1339" s="831" t="s">
        <v>2030</v>
      </c>
      <c r="AG1339" s="831" t="s">
        <v>55</v>
      </c>
      <c r="AH1339" s="831" t="s">
        <v>71</v>
      </c>
      <c r="AI1339" s="831">
        <v>0</v>
      </c>
      <c r="AJ1339" s="835">
        <v>40237</v>
      </c>
      <c r="AK1339" s="831">
        <v>0</v>
      </c>
      <c r="AP1339" s="831" t="str">
        <f t="shared" si="61"/>
        <v/>
      </c>
    </row>
    <row r="1340" spans="2:42">
      <c r="B1340" s="834" t="str">
        <f t="shared" si="60"/>
        <v>|||</v>
      </c>
      <c r="H1340" s="835">
        <f t="shared" si="62"/>
        <v>31</v>
      </c>
      <c r="AF1340" s="831" t="s">
        <v>2031</v>
      </c>
      <c r="AG1340" s="831" t="s">
        <v>55</v>
      </c>
      <c r="AH1340" s="831" t="s">
        <v>76</v>
      </c>
      <c r="AI1340" s="831">
        <v>0</v>
      </c>
      <c r="AJ1340" s="835">
        <v>40237</v>
      </c>
      <c r="AK1340" s="831">
        <v>31186281</v>
      </c>
      <c r="AP1340" s="831" t="str">
        <f t="shared" si="61"/>
        <v/>
      </c>
    </row>
    <row r="1341" spans="2:42">
      <c r="B1341" s="834" t="str">
        <f t="shared" si="60"/>
        <v>|||</v>
      </c>
      <c r="H1341" s="835">
        <f t="shared" si="62"/>
        <v>31</v>
      </c>
      <c r="AF1341" s="831" t="s">
        <v>2032</v>
      </c>
      <c r="AG1341" s="831" t="s">
        <v>55</v>
      </c>
      <c r="AH1341" s="831" t="s">
        <v>81</v>
      </c>
      <c r="AI1341" s="831">
        <v>0</v>
      </c>
      <c r="AJ1341" s="835">
        <v>40237</v>
      </c>
      <c r="AK1341" s="831">
        <v>25962850</v>
      </c>
      <c r="AP1341" s="831" t="str">
        <f t="shared" si="61"/>
        <v/>
      </c>
    </row>
    <row r="1342" spans="2:42">
      <c r="B1342" s="834" t="str">
        <f t="shared" si="60"/>
        <v>|||</v>
      </c>
      <c r="H1342" s="835">
        <f t="shared" si="62"/>
        <v>31</v>
      </c>
      <c r="AF1342" s="831" t="s">
        <v>2033</v>
      </c>
      <c r="AG1342" s="831" t="s">
        <v>55</v>
      </c>
      <c r="AH1342" s="831" t="s">
        <v>10</v>
      </c>
      <c r="AI1342" s="831">
        <v>0</v>
      </c>
      <c r="AJ1342" s="835">
        <v>40237</v>
      </c>
      <c r="AK1342" s="831">
        <v>246413288</v>
      </c>
      <c r="AP1342" s="831" t="str">
        <f t="shared" si="61"/>
        <v/>
      </c>
    </row>
    <row r="1343" spans="2:42">
      <c r="B1343" s="834" t="str">
        <f t="shared" si="60"/>
        <v>|||</v>
      </c>
      <c r="H1343" s="835">
        <f t="shared" si="62"/>
        <v>31</v>
      </c>
      <c r="AF1343" s="831" t="s">
        <v>2034</v>
      </c>
      <c r="AG1343" s="831" t="s">
        <v>55</v>
      </c>
      <c r="AH1343" s="831" t="s">
        <v>91</v>
      </c>
      <c r="AI1343" s="831">
        <v>0</v>
      </c>
      <c r="AJ1343" s="835">
        <v>40237</v>
      </c>
      <c r="AK1343" s="831">
        <v>-6836128</v>
      </c>
      <c r="AP1343" s="831" t="str">
        <f t="shared" si="61"/>
        <v/>
      </c>
    </row>
    <row r="1344" spans="2:42">
      <c r="B1344" s="834" t="str">
        <f t="shared" si="60"/>
        <v>|||</v>
      </c>
      <c r="H1344" s="835">
        <f t="shared" si="62"/>
        <v>31</v>
      </c>
      <c r="AF1344" s="831" t="s">
        <v>2035</v>
      </c>
      <c r="AG1344" s="831" t="s">
        <v>55</v>
      </c>
      <c r="AH1344" s="831" t="s">
        <v>94</v>
      </c>
      <c r="AI1344" s="831">
        <v>0</v>
      </c>
      <c r="AJ1344" s="835">
        <v>40237</v>
      </c>
      <c r="AK1344" s="831">
        <v>12715046</v>
      </c>
      <c r="AP1344" s="831" t="str">
        <f t="shared" si="61"/>
        <v/>
      </c>
    </row>
    <row r="1345" spans="2:42">
      <c r="B1345" s="834" t="str">
        <f t="shared" si="60"/>
        <v>|||</v>
      </c>
      <c r="H1345" s="835">
        <f t="shared" si="62"/>
        <v>31</v>
      </c>
      <c r="AF1345" s="831" t="s">
        <v>2036</v>
      </c>
      <c r="AG1345" s="831" t="s">
        <v>55</v>
      </c>
      <c r="AH1345" s="831" t="s">
        <v>103</v>
      </c>
      <c r="AI1345" s="831">
        <v>0</v>
      </c>
      <c r="AJ1345" s="835">
        <v>40237</v>
      </c>
      <c r="AK1345" s="831">
        <v>75808645</v>
      </c>
      <c r="AP1345" s="831" t="str">
        <f t="shared" si="61"/>
        <v/>
      </c>
    </row>
    <row r="1346" spans="2:42">
      <c r="B1346" s="834" t="str">
        <f t="shared" si="60"/>
        <v>|||</v>
      </c>
      <c r="H1346" s="835">
        <f t="shared" si="62"/>
        <v>31</v>
      </c>
      <c r="AF1346" s="831" t="s">
        <v>2037</v>
      </c>
      <c r="AG1346" s="831" t="s">
        <v>55</v>
      </c>
      <c r="AH1346" s="831" t="s">
        <v>108</v>
      </c>
      <c r="AI1346" s="831">
        <v>0</v>
      </c>
      <c r="AJ1346" s="835">
        <v>40237</v>
      </c>
      <c r="AK1346" s="831">
        <v>0</v>
      </c>
      <c r="AP1346" s="831" t="str">
        <f t="shared" si="61"/>
        <v/>
      </c>
    </row>
    <row r="1347" spans="2:42">
      <c r="B1347" s="834" t="str">
        <f t="shared" ref="B1347:B1410" si="63">C1347&amp;"|"&amp;D1347&amp;"|"&amp;E1347&amp;"|"&amp;F1347</f>
        <v>|||</v>
      </c>
      <c r="H1347" s="835">
        <f t="shared" si="62"/>
        <v>31</v>
      </c>
      <c r="AF1347" s="831" t="s">
        <v>2038</v>
      </c>
      <c r="AG1347" s="831" t="s">
        <v>55</v>
      </c>
      <c r="AH1347" s="831" t="s">
        <v>110</v>
      </c>
      <c r="AI1347" s="831">
        <v>0</v>
      </c>
      <c r="AJ1347" s="835">
        <v>40237</v>
      </c>
      <c r="AK1347" s="831">
        <v>169034034</v>
      </c>
      <c r="AP1347" s="831" t="str">
        <f t="shared" ref="AP1347:AP1410" si="64">IF(AX1347&lt;&gt;"",IF(OR(AX1347=3,AX1347=4),"Equity","Debt"),"")</f>
        <v/>
      </c>
    </row>
    <row r="1348" spans="2:42">
      <c r="B1348" s="834" t="str">
        <f t="shared" si="63"/>
        <v>|||</v>
      </c>
      <c r="H1348" s="835">
        <f t="shared" ref="H1348:H1411" si="65">EOMONTH(L1348,0)</f>
        <v>31</v>
      </c>
      <c r="AF1348" s="831" t="s">
        <v>2039</v>
      </c>
      <c r="AG1348" s="831" t="s">
        <v>55</v>
      </c>
      <c r="AH1348" s="831" t="s">
        <v>112</v>
      </c>
      <c r="AI1348" s="831">
        <v>0</v>
      </c>
      <c r="AJ1348" s="835">
        <v>40237</v>
      </c>
      <c r="AK1348" s="831">
        <v>0</v>
      </c>
      <c r="AP1348" s="831" t="str">
        <f t="shared" si="64"/>
        <v/>
      </c>
    </row>
    <row r="1349" spans="2:42">
      <c r="B1349" s="834" t="str">
        <f t="shared" si="63"/>
        <v>|||</v>
      </c>
      <c r="H1349" s="835">
        <f t="shared" si="65"/>
        <v>31</v>
      </c>
      <c r="AF1349" s="831" t="s">
        <v>2040</v>
      </c>
      <c r="AG1349" s="831" t="s">
        <v>55</v>
      </c>
      <c r="AH1349" s="831" t="s">
        <v>114</v>
      </c>
      <c r="AI1349" s="831">
        <v>0</v>
      </c>
      <c r="AJ1349" s="835">
        <v>40237</v>
      </c>
      <c r="AK1349" s="831">
        <v>160830902</v>
      </c>
      <c r="AP1349" s="831" t="str">
        <f t="shared" si="64"/>
        <v/>
      </c>
    </row>
    <row r="1350" spans="2:42">
      <c r="B1350" s="834" t="str">
        <f t="shared" si="63"/>
        <v>|||</v>
      </c>
      <c r="H1350" s="835">
        <f t="shared" si="65"/>
        <v>31</v>
      </c>
      <c r="AF1350" s="831" t="s">
        <v>2041</v>
      </c>
      <c r="AG1350" s="831" t="s">
        <v>55</v>
      </c>
      <c r="AH1350" s="831" t="s">
        <v>116</v>
      </c>
      <c r="AI1350" s="831">
        <v>0</v>
      </c>
      <c r="AJ1350" s="835">
        <v>40237</v>
      </c>
      <c r="AK1350" s="831">
        <v>8203132</v>
      </c>
      <c r="AP1350" s="831" t="str">
        <f t="shared" si="64"/>
        <v/>
      </c>
    </row>
    <row r="1351" spans="2:42">
      <c r="B1351" s="834" t="str">
        <f t="shared" si="63"/>
        <v>|||</v>
      </c>
      <c r="H1351" s="835">
        <f t="shared" si="65"/>
        <v>31</v>
      </c>
      <c r="AF1351" s="831" t="s">
        <v>2042</v>
      </c>
      <c r="AG1351" s="831" t="s">
        <v>55</v>
      </c>
      <c r="AH1351" s="831" t="s">
        <v>117</v>
      </c>
      <c r="AI1351" s="831">
        <v>0</v>
      </c>
      <c r="AJ1351" s="835">
        <v>40237</v>
      </c>
      <c r="AK1351" s="831">
        <v>6903830</v>
      </c>
      <c r="AP1351" s="831" t="str">
        <f t="shared" si="64"/>
        <v/>
      </c>
    </row>
    <row r="1352" spans="2:42">
      <c r="B1352" s="834" t="str">
        <f t="shared" si="63"/>
        <v>|||</v>
      </c>
      <c r="H1352" s="835">
        <f t="shared" si="65"/>
        <v>31</v>
      </c>
      <c r="AF1352" s="831" t="s">
        <v>2043</v>
      </c>
      <c r="AG1352" s="831" t="s">
        <v>55</v>
      </c>
      <c r="AH1352" s="831" t="s">
        <v>123</v>
      </c>
      <c r="AI1352" s="831">
        <v>0</v>
      </c>
      <c r="AJ1352" s="835">
        <v>40237</v>
      </c>
      <c r="AK1352" s="831">
        <v>20000000</v>
      </c>
      <c r="AP1352" s="831" t="str">
        <f t="shared" si="64"/>
        <v/>
      </c>
    </row>
    <row r="1353" spans="2:42">
      <c r="B1353" s="834" t="str">
        <f t="shared" si="63"/>
        <v>|||</v>
      </c>
      <c r="H1353" s="835">
        <f t="shared" si="65"/>
        <v>31</v>
      </c>
      <c r="AF1353" s="831" t="s">
        <v>2044</v>
      </c>
      <c r="AG1353" s="831" t="s">
        <v>55</v>
      </c>
      <c r="AH1353" s="831" t="s">
        <v>125</v>
      </c>
      <c r="AI1353" s="831">
        <v>0</v>
      </c>
      <c r="AJ1353" s="835">
        <v>40237</v>
      </c>
      <c r="AK1353" s="831">
        <v>37694828</v>
      </c>
      <c r="AP1353" s="831" t="str">
        <f t="shared" si="64"/>
        <v/>
      </c>
    </row>
    <row r="1354" spans="2:42">
      <c r="B1354" s="834" t="str">
        <f t="shared" si="63"/>
        <v>|||</v>
      </c>
      <c r="H1354" s="835">
        <f t="shared" si="65"/>
        <v>31</v>
      </c>
      <c r="AF1354" s="831" t="s">
        <v>2045</v>
      </c>
      <c r="AG1354" s="831" t="s">
        <v>55</v>
      </c>
      <c r="AH1354" s="831" t="s">
        <v>66</v>
      </c>
      <c r="AI1354" s="831">
        <v>0</v>
      </c>
      <c r="AJ1354" s="835">
        <v>40268</v>
      </c>
      <c r="AK1354" s="831">
        <v>61467233</v>
      </c>
      <c r="AP1354" s="831" t="str">
        <f t="shared" si="64"/>
        <v/>
      </c>
    </row>
    <row r="1355" spans="2:42">
      <c r="B1355" s="834" t="str">
        <f t="shared" si="63"/>
        <v>|||</v>
      </c>
      <c r="H1355" s="835">
        <f t="shared" si="65"/>
        <v>31</v>
      </c>
      <c r="AF1355" s="831" t="s">
        <v>2046</v>
      </c>
      <c r="AG1355" s="831" t="s">
        <v>55</v>
      </c>
      <c r="AH1355" s="831" t="s">
        <v>71</v>
      </c>
      <c r="AI1355" s="831">
        <v>0</v>
      </c>
      <c r="AJ1355" s="835">
        <v>40268</v>
      </c>
      <c r="AK1355" s="831">
        <v>0</v>
      </c>
      <c r="AP1355" s="831" t="str">
        <f t="shared" si="64"/>
        <v/>
      </c>
    </row>
    <row r="1356" spans="2:42">
      <c r="B1356" s="834" t="str">
        <f t="shared" si="63"/>
        <v>|||</v>
      </c>
      <c r="H1356" s="835">
        <f t="shared" si="65"/>
        <v>31</v>
      </c>
      <c r="AF1356" s="831" t="s">
        <v>2047</v>
      </c>
      <c r="AG1356" s="831" t="s">
        <v>55</v>
      </c>
      <c r="AH1356" s="831" t="s">
        <v>76</v>
      </c>
      <c r="AI1356" s="831">
        <v>0</v>
      </c>
      <c r="AJ1356" s="835">
        <v>40268</v>
      </c>
      <c r="AK1356" s="831">
        <v>39303278</v>
      </c>
      <c r="AP1356" s="831" t="str">
        <f t="shared" si="64"/>
        <v/>
      </c>
    </row>
    <row r="1357" spans="2:42">
      <c r="B1357" s="834" t="str">
        <f t="shared" si="63"/>
        <v>|||</v>
      </c>
      <c r="H1357" s="835">
        <f t="shared" si="65"/>
        <v>31</v>
      </c>
      <c r="AF1357" s="831" t="s">
        <v>2048</v>
      </c>
      <c r="AG1357" s="831" t="s">
        <v>55</v>
      </c>
      <c r="AH1357" s="831" t="s">
        <v>81</v>
      </c>
      <c r="AI1357" s="831">
        <v>0</v>
      </c>
      <c r="AJ1357" s="835">
        <v>40268</v>
      </c>
      <c r="AK1357" s="831">
        <v>22163955</v>
      </c>
      <c r="AP1357" s="831" t="str">
        <f t="shared" si="64"/>
        <v/>
      </c>
    </row>
    <row r="1358" spans="2:42">
      <c r="B1358" s="834" t="str">
        <f t="shared" si="63"/>
        <v>|||</v>
      </c>
      <c r="H1358" s="835">
        <f t="shared" si="65"/>
        <v>31</v>
      </c>
      <c r="AF1358" s="831" t="s">
        <v>2049</v>
      </c>
      <c r="AG1358" s="831" t="s">
        <v>55</v>
      </c>
      <c r="AH1358" s="831" t="s">
        <v>10</v>
      </c>
      <c r="AI1358" s="831">
        <v>0</v>
      </c>
      <c r="AJ1358" s="835">
        <v>40268</v>
      </c>
      <c r="AK1358" s="831">
        <v>250397388</v>
      </c>
      <c r="AP1358" s="831" t="str">
        <f t="shared" si="64"/>
        <v/>
      </c>
    </row>
    <row r="1359" spans="2:42">
      <c r="B1359" s="834" t="str">
        <f t="shared" si="63"/>
        <v>|||</v>
      </c>
      <c r="H1359" s="835">
        <f t="shared" si="65"/>
        <v>31</v>
      </c>
      <c r="AF1359" s="831" t="s">
        <v>2050</v>
      </c>
      <c r="AG1359" s="831" t="s">
        <v>55</v>
      </c>
      <c r="AH1359" s="831" t="s">
        <v>91</v>
      </c>
      <c r="AI1359" s="831">
        <v>0</v>
      </c>
      <c r="AJ1359" s="835">
        <v>40268</v>
      </c>
      <c r="AK1359" s="831">
        <v>-7125194</v>
      </c>
      <c r="AP1359" s="831" t="str">
        <f t="shared" si="64"/>
        <v/>
      </c>
    </row>
    <row r="1360" spans="2:42">
      <c r="B1360" s="834" t="str">
        <f t="shared" si="63"/>
        <v>|||</v>
      </c>
      <c r="H1360" s="835">
        <f t="shared" si="65"/>
        <v>31</v>
      </c>
      <c r="AF1360" s="831" t="s">
        <v>2051</v>
      </c>
      <c r="AG1360" s="831" t="s">
        <v>55</v>
      </c>
      <c r="AH1360" s="831" t="s">
        <v>94</v>
      </c>
      <c r="AI1360" s="831">
        <v>0</v>
      </c>
      <c r="AJ1360" s="835">
        <v>40268</v>
      </c>
      <c r="AK1360" s="831">
        <v>12977127</v>
      </c>
      <c r="AP1360" s="831" t="str">
        <f t="shared" si="64"/>
        <v/>
      </c>
    </row>
    <row r="1361" spans="2:42">
      <c r="B1361" s="834" t="str">
        <f t="shared" si="63"/>
        <v>|||</v>
      </c>
      <c r="H1361" s="835">
        <f t="shared" si="65"/>
        <v>31</v>
      </c>
      <c r="AF1361" s="831" t="s">
        <v>2052</v>
      </c>
      <c r="AG1361" s="831" t="s">
        <v>55</v>
      </c>
      <c r="AH1361" s="831" t="s">
        <v>103</v>
      </c>
      <c r="AI1361" s="831">
        <v>0</v>
      </c>
      <c r="AJ1361" s="835">
        <v>40268</v>
      </c>
      <c r="AK1361" s="831">
        <v>83862751</v>
      </c>
      <c r="AP1361" s="831" t="str">
        <f t="shared" si="64"/>
        <v/>
      </c>
    </row>
    <row r="1362" spans="2:42">
      <c r="B1362" s="834" t="str">
        <f t="shared" si="63"/>
        <v>|||</v>
      </c>
      <c r="H1362" s="835">
        <f t="shared" si="65"/>
        <v>31</v>
      </c>
      <c r="AF1362" s="831" t="s">
        <v>2053</v>
      </c>
      <c r="AG1362" s="831" t="s">
        <v>55</v>
      </c>
      <c r="AH1362" s="831" t="s">
        <v>108</v>
      </c>
      <c r="AI1362" s="831">
        <v>0</v>
      </c>
      <c r="AJ1362" s="835">
        <v>40268</v>
      </c>
      <c r="AK1362" s="831">
        <v>0</v>
      </c>
      <c r="AP1362" s="831" t="str">
        <f t="shared" si="64"/>
        <v/>
      </c>
    </row>
    <row r="1363" spans="2:42">
      <c r="B1363" s="834" t="str">
        <f t="shared" si="63"/>
        <v>|||</v>
      </c>
      <c r="H1363" s="835">
        <f t="shared" si="65"/>
        <v>31</v>
      </c>
      <c r="AF1363" s="831" t="s">
        <v>2054</v>
      </c>
      <c r="AG1363" s="831" t="s">
        <v>55</v>
      </c>
      <c r="AH1363" s="831" t="s">
        <v>110</v>
      </c>
      <c r="AI1363" s="831">
        <v>0</v>
      </c>
      <c r="AJ1363" s="835">
        <v>40268</v>
      </c>
      <c r="AK1363" s="831">
        <v>168074417</v>
      </c>
      <c r="AP1363" s="831" t="str">
        <f t="shared" si="64"/>
        <v/>
      </c>
    </row>
    <row r="1364" spans="2:42">
      <c r="B1364" s="834" t="str">
        <f t="shared" si="63"/>
        <v>|||</v>
      </c>
      <c r="H1364" s="835">
        <f t="shared" si="65"/>
        <v>31</v>
      </c>
      <c r="AF1364" s="831" t="s">
        <v>2055</v>
      </c>
      <c r="AG1364" s="831" t="s">
        <v>55</v>
      </c>
      <c r="AH1364" s="831" t="s">
        <v>112</v>
      </c>
      <c r="AI1364" s="831">
        <v>0</v>
      </c>
      <c r="AJ1364" s="835">
        <v>40268</v>
      </c>
      <c r="AK1364" s="831">
        <v>0</v>
      </c>
      <c r="AP1364" s="831" t="str">
        <f t="shared" si="64"/>
        <v/>
      </c>
    </row>
    <row r="1365" spans="2:42">
      <c r="B1365" s="834" t="str">
        <f t="shared" si="63"/>
        <v>|||</v>
      </c>
      <c r="H1365" s="835">
        <f t="shared" si="65"/>
        <v>31</v>
      </c>
      <c r="AF1365" s="831" t="s">
        <v>2056</v>
      </c>
      <c r="AG1365" s="831" t="s">
        <v>55</v>
      </c>
      <c r="AH1365" s="831" t="s">
        <v>114</v>
      </c>
      <c r="AI1365" s="831">
        <v>0</v>
      </c>
      <c r="AJ1365" s="835">
        <v>40268</v>
      </c>
      <c r="AK1365" s="831">
        <v>159871286</v>
      </c>
      <c r="AP1365" s="831" t="str">
        <f t="shared" si="64"/>
        <v/>
      </c>
    </row>
    <row r="1366" spans="2:42">
      <c r="B1366" s="834" t="str">
        <f t="shared" si="63"/>
        <v>|||</v>
      </c>
      <c r="H1366" s="835">
        <f t="shared" si="65"/>
        <v>31</v>
      </c>
      <c r="AF1366" s="831" t="s">
        <v>2057</v>
      </c>
      <c r="AG1366" s="831" t="s">
        <v>55</v>
      </c>
      <c r="AH1366" s="831" t="s">
        <v>116</v>
      </c>
      <c r="AI1366" s="831">
        <v>0</v>
      </c>
      <c r="AJ1366" s="835">
        <v>40268</v>
      </c>
      <c r="AK1366" s="831">
        <v>8203132</v>
      </c>
      <c r="AP1366" s="831" t="str">
        <f t="shared" si="64"/>
        <v/>
      </c>
    </row>
    <row r="1367" spans="2:42">
      <c r="B1367" s="834" t="str">
        <f t="shared" si="63"/>
        <v>|||</v>
      </c>
      <c r="H1367" s="835">
        <f t="shared" si="65"/>
        <v>31</v>
      </c>
      <c r="AF1367" s="831" t="s">
        <v>2058</v>
      </c>
      <c r="AG1367" s="831" t="s">
        <v>55</v>
      </c>
      <c r="AH1367" s="831" t="s">
        <v>117</v>
      </c>
      <c r="AI1367" s="831">
        <v>0</v>
      </c>
      <c r="AJ1367" s="835">
        <v>40268</v>
      </c>
      <c r="AK1367" s="831">
        <v>6547563</v>
      </c>
      <c r="AP1367" s="831" t="str">
        <f t="shared" si="64"/>
        <v/>
      </c>
    </row>
    <row r="1368" spans="2:42">
      <c r="B1368" s="834" t="str">
        <f t="shared" si="63"/>
        <v>|||</v>
      </c>
      <c r="H1368" s="835">
        <f t="shared" si="65"/>
        <v>31</v>
      </c>
      <c r="AF1368" s="831" t="s">
        <v>2059</v>
      </c>
      <c r="AG1368" s="831" t="s">
        <v>55</v>
      </c>
      <c r="AH1368" s="831" t="s">
        <v>123</v>
      </c>
      <c r="AI1368" s="831">
        <v>0</v>
      </c>
      <c r="AJ1368" s="835">
        <v>40268</v>
      </c>
      <c r="AK1368" s="831">
        <v>41800000</v>
      </c>
      <c r="AP1368" s="831" t="str">
        <f t="shared" si="64"/>
        <v/>
      </c>
    </row>
    <row r="1369" spans="2:42">
      <c r="B1369" s="834" t="str">
        <f t="shared" si="63"/>
        <v>|||</v>
      </c>
      <c r="H1369" s="835">
        <f t="shared" si="65"/>
        <v>31</v>
      </c>
      <c r="AF1369" s="831" t="s">
        <v>2060</v>
      </c>
      <c r="AG1369" s="831" t="s">
        <v>55</v>
      </c>
      <c r="AH1369" s="831" t="s">
        <v>125</v>
      </c>
      <c r="AI1369" s="831">
        <v>0</v>
      </c>
      <c r="AJ1369" s="835">
        <v>40268</v>
      </c>
      <c r="AK1369" s="831">
        <v>17431823</v>
      </c>
      <c r="AP1369" s="831" t="str">
        <f t="shared" si="64"/>
        <v/>
      </c>
    </row>
    <row r="1370" spans="2:42">
      <c r="B1370" s="834" t="str">
        <f t="shared" si="63"/>
        <v>|||</v>
      </c>
      <c r="H1370" s="835">
        <f t="shared" si="65"/>
        <v>31</v>
      </c>
      <c r="AF1370" s="831" t="s">
        <v>2061</v>
      </c>
      <c r="AG1370" s="831" t="s">
        <v>55</v>
      </c>
      <c r="AH1370" s="831" t="s">
        <v>66</v>
      </c>
      <c r="AI1370" s="831">
        <v>0</v>
      </c>
      <c r="AJ1370" s="835">
        <v>40298</v>
      </c>
      <c r="AK1370" s="831">
        <v>65597657</v>
      </c>
      <c r="AP1370" s="831" t="str">
        <f t="shared" si="64"/>
        <v/>
      </c>
    </row>
    <row r="1371" spans="2:42">
      <c r="B1371" s="834" t="str">
        <f t="shared" si="63"/>
        <v>|||</v>
      </c>
      <c r="H1371" s="835">
        <f t="shared" si="65"/>
        <v>31</v>
      </c>
      <c r="AF1371" s="831" t="s">
        <v>2062</v>
      </c>
      <c r="AG1371" s="831" t="s">
        <v>55</v>
      </c>
      <c r="AH1371" s="831" t="s">
        <v>71</v>
      </c>
      <c r="AI1371" s="831">
        <v>0</v>
      </c>
      <c r="AJ1371" s="835">
        <v>40298</v>
      </c>
      <c r="AK1371" s="831">
        <v>0</v>
      </c>
      <c r="AP1371" s="831" t="str">
        <f t="shared" si="64"/>
        <v/>
      </c>
    </row>
    <row r="1372" spans="2:42">
      <c r="B1372" s="834" t="str">
        <f t="shared" si="63"/>
        <v>|||</v>
      </c>
      <c r="H1372" s="835">
        <f t="shared" si="65"/>
        <v>31</v>
      </c>
      <c r="AF1372" s="831" t="s">
        <v>2063</v>
      </c>
      <c r="AG1372" s="831" t="s">
        <v>55</v>
      </c>
      <c r="AH1372" s="831" t="s">
        <v>76</v>
      </c>
      <c r="AI1372" s="831">
        <v>0</v>
      </c>
      <c r="AJ1372" s="835">
        <v>40298</v>
      </c>
      <c r="AK1372" s="831">
        <v>46010553</v>
      </c>
      <c r="AP1372" s="831" t="str">
        <f t="shared" si="64"/>
        <v/>
      </c>
    </row>
    <row r="1373" spans="2:42">
      <c r="B1373" s="834" t="str">
        <f t="shared" si="63"/>
        <v>|||</v>
      </c>
      <c r="H1373" s="835">
        <f t="shared" si="65"/>
        <v>31</v>
      </c>
      <c r="AF1373" s="831" t="s">
        <v>2064</v>
      </c>
      <c r="AG1373" s="831" t="s">
        <v>55</v>
      </c>
      <c r="AH1373" s="831" t="s">
        <v>81</v>
      </c>
      <c r="AI1373" s="831">
        <v>0</v>
      </c>
      <c r="AJ1373" s="835">
        <v>40298</v>
      </c>
      <c r="AK1373" s="831">
        <v>19587104</v>
      </c>
      <c r="AP1373" s="831" t="str">
        <f t="shared" si="64"/>
        <v/>
      </c>
    </row>
    <row r="1374" spans="2:42">
      <c r="B1374" s="834" t="str">
        <f t="shared" si="63"/>
        <v>|||</v>
      </c>
      <c r="H1374" s="835">
        <f t="shared" si="65"/>
        <v>31</v>
      </c>
      <c r="AF1374" s="831" t="s">
        <v>2065</v>
      </c>
      <c r="AG1374" s="831" t="s">
        <v>55</v>
      </c>
      <c r="AH1374" s="831" t="s">
        <v>10</v>
      </c>
      <c r="AI1374" s="831">
        <v>0</v>
      </c>
      <c r="AJ1374" s="835">
        <v>40298</v>
      </c>
      <c r="AK1374" s="831">
        <v>255336476</v>
      </c>
      <c r="AP1374" s="831" t="str">
        <f t="shared" si="64"/>
        <v/>
      </c>
    </row>
    <row r="1375" spans="2:42">
      <c r="B1375" s="834" t="str">
        <f t="shared" si="63"/>
        <v>|||</v>
      </c>
      <c r="H1375" s="835">
        <f t="shared" si="65"/>
        <v>31</v>
      </c>
      <c r="AF1375" s="831" t="s">
        <v>2066</v>
      </c>
      <c r="AG1375" s="831" t="s">
        <v>55</v>
      </c>
      <c r="AH1375" s="831" t="s">
        <v>91</v>
      </c>
      <c r="AI1375" s="831">
        <v>0</v>
      </c>
      <c r="AJ1375" s="835">
        <v>40298</v>
      </c>
      <c r="AK1375" s="831">
        <v>-7230868</v>
      </c>
      <c r="AP1375" s="831" t="str">
        <f t="shared" si="64"/>
        <v/>
      </c>
    </row>
    <row r="1376" spans="2:42">
      <c r="B1376" s="834" t="str">
        <f t="shared" si="63"/>
        <v>|||</v>
      </c>
      <c r="H1376" s="835">
        <f t="shared" si="65"/>
        <v>31</v>
      </c>
      <c r="AF1376" s="831" t="s">
        <v>2067</v>
      </c>
      <c r="AG1376" s="831" t="s">
        <v>55</v>
      </c>
      <c r="AH1376" s="831" t="s">
        <v>94</v>
      </c>
      <c r="AI1376" s="831">
        <v>0</v>
      </c>
      <c r="AJ1376" s="835">
        <v>40298</v>
      </c>
      <c r="AK1376" s="831">
        <v>13145436</v>
      </c>
      <c r="AP1376" s="831" t="str">
        <f t="shared" si="64"/>
        <v/>
      </c>
    </row>
    <row r="1377" spans="2:42">
      <c r="B1377" s="834" t="str">
        <f t="shared" si="63"/>
        <v>|||</v>
      </c>
      <c r="H1377" s="835">
        <f t="shared" si="65"/>
        <v>31</v>
      </c>
      <c r="AF1377" s="831" t="s">
        <v>2068</v>
      </c>
      <c r="AG1377" s="831" t="s">
        <v>55</v>
      </c>
      <c r="AH1377" s="831" t="s">
        <v>103</v>
      </c>
      <c r="AI1377" s="831">
        <v>0</v>
      </c>
      <c r="AJ1377" s="835">
        <v>40298</v>
      </c>
      <c r="AK1377" s="831">
        <v>86719304</v>
      </c>
      <c r="AP1377" s="831" t="str">
        <f t="shared" si="64"/>
        <v/>
      </c>
    </row>
    <row r="1378" spans="2:42">
      <c r="B1378" s="834" t="str">
        <f t="shared" si="63"/>
        <v>|||</v>
      </c>
      <c r="H1378" s="835">
        <f t="shared" si="65"/>
        <v>31</v>
      </c>
      <c r="AF1378" s="831" t="s">
        <v>2069</v>
      </c>
      <c r="AG1378" s="831" t="s">
        <v>55</v>
      </c>
      <c r="AH1378" s="831" t="s">
        <v>108</v>
      </c>
      <c r="AI1378" s="831">
        <v>0</v>
      </c>
      <c r="AJ1378" s="835">
        <v>40298</v>
      </c>
      <c r="AK1378" s="831">
        <v>0</v>
      </c>
      <c r="AP1378" s="831" t="str">
        <f t="shared" si="64"/>
        <v/>
      </c>
    </row>
    <row r="1379" spans="2:42">
      <c r="B1379" s="834" t="str">
        <f t="shared" si="63"/>
        <v>|||</v>
      </c>
      <c r="H1379" s="835">
        <f t="shared" si="65"/>
        <v>31</v>
      </c>
      <c r="AF1379" s="831" t="s">
        <v>2070</v>
      </c>
      <c r="AG1379" s="831" t="s">
        <v>55</v>
      </c>
      <c r="AH1379" s="831" t="s">
        <v>110</v>
      </c>
      <c r="AI1379" s="831">
        <v>0</v>
      </c>
      <c r="AJ1379" s="835">
        <v>40298</v>
      </c>
      <c r="AK1379" s="831">
        <v>170465131</v>
      </c>
      <c r="AP1379" s="831" t="str">
        <f t="shared" si="64"/>
        <v/>
      </c>
    </row>
    <row r="1380" spans="2:42">
      <c r="B1380" s="834" t="str">
        <f t="shared" si="63"/>
        <v>|||</v>
      </c>
      <c r="H1380" s="835">
        <f t="shared" si="65"/>
        <v>31</v>
      </c>
      <c r="AF1380" s="831" t="s">
        <v>2071</v>
      </c>
      <c r="AG1380" s="831" t="s">
        <v>55</v>
      </c>
      <c r="AH1380" s="831" t="s">
        <v>112</v>
      </c>
      <c r="AI1380" s="831">
        <v>0</v>
      </c>
      <c r="AJ1380" s="835">
        <v>40298</v>
      </c>
      <c r="AK1380" s="831">
        <v>0</v>
      </c>
      <c r="AP1380" s="831" t="str">
        <f t="shared" si="64"/>
        <v/>
      </c>
    </row>
    <row r="1381" spans="2:42">
      <c r="B1381" s="834" t="str">
        <f t="shared" si="63"/>
        <v>|||</v>
      </c>
      <c r="H1381" s="835">
        <f t="shared" si="65"/>
        <v>31</v>
      </c>
      <c r="AF1381" s="831" t="s">
        <v>2072</v>
      </c>
      <c r="AG1381" s="831" t="s">
        <v>55</v>
      </c>
      <c r="AH1381" s="831" t="s">
        <v>114</v>
      </c>
      <c r="AI1381" s="831">
        <v>0</v>
      </c>
      <c r="AJ1381" s="835">
        <v>40298</v>
      </c>
      <c r="AK1381" s="831">
        <v>162263020</v>
      </c>
      <c r="AP1381" s="831" t="str">
        <f t="shared" si="64"/>
        <v/>
      </c>
    </row>
    <row r="1382" spans="2:42">
      <c r="B1382" s="834" t="str">
        <f t="shared" si="63"/>
        <v>|||</v>
      </c>
      <c r="H1382" s="835">
        <f t="shared" si="65"/>
        <v>31</v>
      </c>
      <c r="AF1382" s="831" t="s">
        <v>2073</v>
      </c>
      <c r="AG1382" s="831" t="s">
        <v>55</v>
      </c>
      <c r="AH1382" s="831" t="s">
        <v>116</v>
      </c>
      <c r="AI1382" s="831">
        <v>0</v>
      </c>
      <c r="AJ1382" s="835">
        <v>40298</v>
      </c>
      <c r="AK1382" s="831">
        <v>8202111</v>
      </c>
      <c r="AP1382" s="831" t="str">
        <f t="shared" si="64"/>
        <v/>
      </c>
    </row>
    <row r="1383" spans="2:42">
      <c r="B1383" s="834" t="str">
        <f t="shared" si="63"/>
        <v>|||</v>
      </c>
      <c r="H1383" s="835">
        <f t="shared" si="65"/>
        <v>31</v>
      </c>
      <c r="AF1383" s="831" t="s">
        <v>2074</v>
      </c>
      <c r="AG1383" s="831" t="s">
        <v>55</v>
      </c>
      <c r="AH1383" s="831" t="s">
        <v>117</v>
      </c>
      <c r="AI1383" s="831">
        <v>0</v>
      </c>
      <c r="AJ1383" s="835">
        <v>40298</v>
      </c>
      <c r="AK1383" s="831">
        <v>7372758</v>
      </c>
      <c r="AP1383" s="831" t="str">
        <f t="shared" si="64"/>
        <v/>
      </c>
    </row>
    <row r="1384" spans="2:42">
      <c r="B1384" s="834" t="str">
        <f t="shared" si="63"/>
        <v>|||</v>
      </c>
      <c r="H1384" s="835">
        <f t="shared" si="65"/>
        <v>31</v>
      </c>
      <c r="AF1384" s="831" t="s">
        <v>2075</v>
      </c>
      <c r="AG1384" s="831" t="s">
        <v>55</v>
      </c>
      <c r="AH1384" s="831" t="s">
        <v>123</v>
      </c>
      <c r="AI1384" s="831">
        <v>0</v>
      </c>
      <c r="AJ1384" s="835">
        <v>40298</v>
      </c>
      <c r="AK1384" s="831">
        <v>41800000</v>
      </c>
      <c r="AP1384" s="831" t="str">
        <f t="shared" si="64"/>
        <v/>
      </c>
    </row>
    <row r="1385" spans="2:42">
      <c r="B1385" s="834" t="str">
        <f t="shared" si="63"/>
        <v>|||</v>
      </c>
      <c r="H1385" s="835">
        <f t="shared" si="65"/>
        <v>31</v>
      </c>
      <c r="AF1385" s="831" t="s">
        <v>2076</v>
      </c>
      <c r="AG1385" s="831" t="s">
        <v>55</v>
      </c>
      <c r="AH1385" s="831" t="s">
        <v>125</v>
      </c>
      <c r="AI1385" s="831">
        <v>0</v>
      </c>
      <c r="AJ1385" s="835">
        <v>40298</v>
      </c>
      <c r="AK1385" s="831">
        <v>20491508</v>
      </c>
      <c r="AP1385" s="831" t="str">
        <f t="shared" si="64"/>
        <v/>
      </c>
    </row>
    <row r="1386" spans="2:42">
      <c r="B1386" s="834" t="str">
        <f t="shared" si="63"/>
        <v>|||</v>
      </c>
      <c r="H1386" s="835">
        <f t="shared" si="65"/>
        <v>31</v>
      </c>
      <c r="AF1386" s="831" t="s">
        <v>2077</v>
      </c>
      <c r="AG1386" s="831" t="s">
        <v>55</v>
      </c>
      <c r="AH1386" s="831" t="s">
        <v>66</v>
      </c>
      <c r="AI1386" s="831">
        <v>0</v>
      </c>
      <c r="AJ1386" s="835">
        <v>40329</v>
      </c>
      <c r="AK1386" s="831">
        <v>61702891</v>
      </c>
      <c r="AP1386" s="831" t="str">
        <f t="shared" si="64"/>
        <v/>
      </c>
    </row>
    <row r="1387" spans="2:42">
      <c r="B1387" s="834" t="str">
        <f t="shared" si="63"/>
        <v>|||</v>
      </c>
      <c r="H1387" s="835">
        <f t="shared" si="65"/>
        <v>31</v>
      </c>
      <c r="AF1387" s="831" t="s">
        <v>2078</v>
      </c>
      <c r="AG1387" s="831" t="s">
        <v>55</v>
      </c>
      <c r="AH1387" s="831" t="s">
        <v>71</v>
      </c>
      <c r="AI1387" s="831">
        <v>0</v>
      </c>
      <c r="AJ1387" s="835">
        <v>40329</v>
      </c>
      <c r="AK1387" s="831">
        <v>0</v>
      </c>
      <c r="AP1387" s="831" t="str">
        <f t="shared" si="64"/>
        <v/>
      </c>
    </row>
    <row r="1388" spans="2:42">
      <c r="B1388" s="834" t="str">
        <f t="shared" si="63"/>
        <v>|||</v>
      </c>
      <c r="H1388" s="835">
        <f t="shared" si="65"/>
        <v>31</v>
      </c>
      <c r="AF1388" s="831" t="s">
        <v>2079</v>
      </c>
      <c r="AG1388" s="831" t="s">
        <v>55</v>
      </c>
      <c r="AH1388" s="831" t="s">
        <v>76</v>
      </c>
      <c r="AI1388" s="831">
        <v>0</v>
      </c>
      <c r="AJ1388" s="835">
        <v>40329</v>
      </c>
      <c r="AK1388" s="831">
        <v>38814605</v>
      </c>
      <c r="AP1388" s="831" t="str">
        <f t="shared" si="64"/>
        <v/>
      </c>
    </row>
    <row r="1389" spans="2:42">
      <c r="B1389" s="834" t="str">
        <f t="shared" si="63"/>
        <v>|||</v>
      </c>
      <c r="H1389" s="835">
        <f t="shared" si="65"/>
        <v>31</v>
      </c>
      <c r="AF1389" s="831" t="s">
        <v>2080</v>
      </c>
      <c r="AG1389" s="831" t="s">
        <v>55</v>
      </c>
      <c r="AH1389" s="831" t="s">
        <v>81</v>
      </c>
      <c r="AI1389" s="831">
        <v>0</v>
      </c>
      <c r="AJ1389" s="835">
        <v>40329</v>
      </c>
      <c r="AK1389" s="831">
        <v>22888286</v>
      </c>
      <c r="AP1389" s="831" t="str">
        <f t="shared" si="64"/>
        <v/>
      </c>
    </row>
    <row r="1390" spans="2:42">
      <c r="B1390" s="834" t="str">
        <f t="shared" si="63"/>
        <v>|||</v>
      </c>
      <c r="H1390" s="835">
        <f t="shared" si="65"/>
        <v>31</v>
      </c>
      <c r="AF1390" s="831" t="s">
        <v>2081</v>
      </c>
      <c r="AG1390" s="831" t="s">
        <v>55</v>
      </c>
      <c r="AH1390" s="831" t="s">
        <v>10</v>
      </c>
      <c r="AI1390" s="831">
        <v>0</v>
      </c>
      <c r="AJ1390" s="835">
        <v>40329</v>
      </c>
      <c r="AK1390" s="831">
        <v>266868508</v>
      </c>
      <c r="AP1390" s="831" t="str">
        <f t="shared" si="64"/>
        <v/>
      </c>
    </row>
    <row r="1391" spans="2:42">
      <c r="B1391" s="834" t="str">
        <f t="shared" si="63"/>
        <v>|||</v>
      </c>
      <c r="H1391" s="835">
        <f t="shared" si="65"/>
        <v>31</v>
      </c>
      <c r="AF1391" s="831" t="s">
        <v>2082</v>
      </c>
      <c r="AG1391" s="831" t="s">
        <v>55</v>
      </c>
      <c r="AH1391" s="831" t="s">
        <v>91</v>
      </c>
      <c r="AI1391" s="831">
        <v>0</v>
      </c>
      <c r="AJ1391" s="835">
        <v>40329</v>
      </c>
      <c r="AK1391" s="831">
        <v>-7598626</v>
      </c>
      <c r="AP1391" s="831" t="str">
        <f t="shared" si="64"/>
        <v/>
      </c>
    </row>
    <row r="1392" spans="2:42">
      <c r="B1392" s="834" t="str">
        <f t="shared" si="63"/>
        <v>|||</v>
      </c>
      <c r="H1392" s="835">
        <f t="shared" si="65"/>
        <v>31</v>
      </c>
      <c r="AF1392" s="831" t="s">
        <v>2083</v>
      </c>
      <c r="AG1392" s="831" t="s">
        <v>55</v>
      </c>
      <c r="AH1392" s="831" t="s">
        <v>94</v>
      </c>
      <c r="AI1392" s="831">
        <v>0</v>
      </c>
      <c r="AJ1392" s="835">
        <v>40329</v>
      </c>
      <c r="AK1392" s="831">
        <v>14368158</v>
      </c>
      <c r="AP1392" s="831" t="str">
        <f t="shared" si="64"/>
        <v/>
      </c>
    </row>
    <row r="1393" spans="2:42">
      <c r="B1393" s="834" t="str">
        <f t="shared" si="63"/>
        <v>|||</v>
      </c>
      <c r="H1393" s="835">
        <f t="shared" si="65"/>
        <v>31</v>
      </c>
      <c r="AF1393" s="831" t="s">
        <v>2084</v>
      </c>
      <c r="AG1393" s="831" t="s">
        <v>55</v>
      </c>
      <c r="AH1393" s="831" t="s">
        <v>103</v>
      </c>
      <c r="AI1393" s="831">
        <v>0</v>
      </c>
      <c r="AJ1393" s="835">
        <v>40329</v>
      </c>
      <c r="AK1393" s="831">
        <v>91767606</v>
      </c>
      <c r="AP1393" s="831" t="str">
        <f t="shared" si="64"/>
        <v/>
      </c>
    </row>
    <row r="1394" spans="2:42">
      <c r="B1394" s="834" t="str">
        <f t="shared" si="63"/>
        <v>|||</v>
      </c>
      <c r="H1394" s="835">
        <f t="shared" si="65"/>
        <v>31</v>
      </c>
      <c r="AF1394" s="831" t="s">
        <v>2085</v>
      </c>
      <c r="AG1394" s="831" t="s">
        <v>55</v>
      </c>
      <c r="AH1394" s="831" t="s">
        <v>108</v>
      </c>
      <c r="AI1394" s="831">
        <v>0</v>
      </c>
      <c r="AJ1394" s="835">
        <v>40329</v>
      </c>
      <c r="AK1394" s="831">
        <v>0</v>
      </c>
      <c r="AP1394" s="831" t="str">
        <f t="shared" si="64"/>
        <v/>
      </c>
    </row>
    <row r="1395" spans="2:42">
      <c r="B1395" s="834" t="str">
        <f t="shared" si="63"/>
        <v>|||</v>
      </c>
      <c r="H1395" s="835">
        <f t="shared" si="65"/>
        <v>31</v>
      </c>
      <c r="AF1395" s="831" t="s">
        <v>2086</v>
      </c>
      <c r="AG1395" s="831" t="s">
        <v>55</v>
      </c>
      <c r="AH1395" s="831" t="s">
        <v>110</v>
      </c>
      <c r="AI1395" s="831">
        <v>0</v>
      </c>
      <c r="AJ1395" s="835">
        <v>40329</v>
      </c>
      <c r="AK1395" s="831">
        <v>170590559</v>
      </c>
      <c r="AP1395" s="831" t="str">
        <f t="shared" si="64"/>
        <v/>
      </c>
    </row>
    <row r="1396" spans="2:42">
      <c r="B1396" s="834" t="str">
        <f t="shared" si="63"/>
        <v>|||</v>
      </c>
      <c r="H1396" s="835">
        <f t="shared" si="65"/>
        <v>31</v>
      </c>
      <c r="AF1396" s="831" t="s">
        <v>2087</v>
      </c>
      <c r="AG1396" s="831" t="s">
        <v>55</v>
      </c>
      <c r="AH1396" s="831" t="s">
        <v>112</v>
      </c>
      <c r="AI1396" s="831">
        <v>0</v>
      </c>
      <c r="AJ1396" s="835">
        <v>40329</v>
      </c>
      <c r="AK1396" s="831">
        <v>0</v>
      </c>
      <c r="AP1396" s="831" t="str">
        <f t="shared" si="64"/>
        <v/>
      </c>
    </row>
    <row r="1397" spans="2:42">
      <c r="B1397" s="834" t="str">
        <f t="shared" si="63"/>
        <v>|||</v>
      </c>
      <c r="H1397" s="835">
        <f t="shared" si="65"/>
        <v>31</v>
      </c>
      <c r="AF1397" s="831" t="s">
        <v>2088</v>
      </c>
      <c r="AG1397" s="831" t="s">
        <v>55</v>
      </c>
      <c r="AH1397" s="831" t="s">
        <v>114</v>
      </c>
      <c r="AI1397" s="831">
        <v>0</v>
      </c>
      <c r="AJ1397" s="835">
        <v>40329</v>
      </c>
      <c r="AK1397" s="831">
        <v>162385385</v>
      </c>
      <c r="AP1397" s="831" t="str">
        <f t="shared" si="64"/>
        <v/>
      </c>
    </row>
    <row r="1398" spans="2:42">
      <c r="B1398" s="834" t="str">
        <f t="shared" si="63"/>
        <v>|||</v>
      </c>
      <c r="H1398" s="835">
        <f t="shared" si="65"/>
        <v>31</v>
      </c>
      <c r="AF1398" s="831" t="s">
        <v>2089</v>
      </c>
      <c r="AG1398" s="831" t="s">
        <v>55</v>
      </c>
      <c r="AH1398" s="831" t="s">
        <v>116</v>
      </c>
      <c r="AI1398" s="831">
        <v>0</v>
      </c>
      <c r="AJ1398" s="835">
        <v>40329</v>
      </c>
      <c r="AK1398" s="831">
        <v>8205174</v>
      </c>
      <c r="AP1398" s="831" t="str">
        <f t="shared" si="64"/>
        <v/>
      </c>
    </row>
    <row r="1399" spans="2:42">
      <c r="B1399" s="834" t="str">
        <f t="shared" si="63"/>
        <v>|||</v>
      </c>
      <c r="H1399" s="835">
        <f t="shared" si="65"/>
        <v>31</v>
      </c>
      <c r="AF1399" s="831" t="s">
        <v>2090</v>
      </c>
      <c r="AG1399" s="831" t="s">
        <v>55</v>
      </c>
      <c r="AH1399" s="831" t="s">
        <v>117</v>
      </c>
      <c r="AI1399" s="831">
        <v>0</v>
      </c>
      <c r="AJ1399" s="835">
        <v>40329</v>
      </c>
      <c r="AK1399" s="831">
        <v>8321586</v>
      </c>
      <c r="AP1399" s="831" t="str">
        <f t="shared" si="64"/>
        <v/>
      </c>
    </row>
    <row r="1400" spans="2:42">
      <c r="B1400" s="834" t="str">
        <f t="shared" si="63"/>
        <v>|||</v>
      </c>
      <c r="H1400" s="835">
        <f t="shared" si="65"/>
        <v>31</v>
      </c>
      <c r="AF1400" s="831" t="s">
        <v>2091</v>
      </c>
      <c r="AG1400" s="831" t="s">
        <v>55</v>
      </c>
      <c r="AH1400" s="831" t="s">
        <v>123</v>
      </c>
      <c r="AI1400" s="831">
        <v>0</v>
      </c>
      <c r="AJ1400" s="835">
        <v>40329</v>
      </c>
      <c r="AK1400" s="831">
        <v>41800000</v>
      </c>
      <c r="AP1400" s="831" t="str">
        <f t="shared" si="64"/>
        <v/>
      </c>
    </row>
    <row r="1401" spans="2:42">
      <c r="B1401" s="834" t="str">
        <f t="shared" si="63"/>
        <v>|||</v>
      </c>
      <c r="H1401" s="835">
        <f t="shared" si="65"/>
        <v>31</v>
      </c>
      <c r="AF1401" s="831" t="s">
        <v>2092</v>
      </c>
      <c r="AG1401" s="831" t="s">
        <v>55</v>
      </c>
      <c r="AH1401" s="831" t="s">
        <v>125</v>
      </c>
      <c r="AI1401" s="831">
        <v>0</v>
      </c>
      <c r="AJ1401" s="835">
        <v>40329</v>
      </c>
      <c r="AK1401" s="831">
        <v>22861180</v>
      </c>
      <c r="AP1401" s="831" t="str">
        <f t="shared" si="64"/>
        <v/>
      </c>
    </row>
    <row r="1402" spans="2:42">
      <c r="B1402" s="834" t="str">
        <f t="shared" si="63"/>
        <v>|||</v>
      </c>
      <c r="H1402" s="835">
        <f t="shared" si="65"/>
        <v>31</v>
      </c>
      <c r="AF1402" s="831" t="s">
        <v>2093</v>
      </c>
      <c r="AG1402" s="831" t="s">
        <v>55</v>
      </c>
      <c r="AH1402" s="831" t="s">
        <v>66</v>
      </c>
      <c r="AI1402" s="831">
        <v>0</v>
      </c>
      <c r="AJ1402" s="835">
        <v>40359</v>
      </c>
      <c r="AK1402" s="831">
        <v>51278336.229999997</v>
      </c>
      <c r="AP1402" s="831" t="str">
        <f t="shared" si="64"/>
        <v/>
      </c>
    </row>
    <row r="1403" spans="2:42">
      <c r="B1403" s="834" t="str">
        <f t="shared" si="63"/>
        <v>|||</v>
      </c>
      <c r="H1403" s="835">
        <f t="shared" si="65"/>
        <v>31</v>
      </c>
      <c r="AF1403" s="831" t="s">
        <v>2094</v>
      </c>
      <c r="AG1403" s="831" t="s">
        <v>55</v>
      </c>
      <c r="AH1403" s="831" t="s">
        <v>71</v>
      </c>
      <c r="AI1403" s="831">
        <v>0</v>
      </c>
      <c r="AJ1403" s="835">
        <v>40359</v>
      </c>
      <c r="AK1403" s="831">
        <v>0</v>
      </c>
      <c r="AP1403" s="831" t="str">
        <f t="shared" si="64"/>
        <v/>
      </c>
    </row>
    <row r="1404" spans="2:42">
      <c r="B1404" s="834" t="str">
        <f t="shared" si="63"/>
        <v>|||</v>
      </c>
      <c r="H1404" s="835">
        <f t="shared" si="65"/>
        <v>31</v>
      </c>
      <c r="AF1404" s="831" t="s">
        <v>2095</v>
      </c>
      <c r="AG1404" s="831" t="s">
        <v>55</v>
      </c>
      <c r="AH1404" s="831" t="s">
        <v>76</v>
      </c>
      <c r="AI1404" s="831">
        <v>0</v>
      </c>
      <c r="AJ1404" s="835">
        <v>40359</v>
      </c>
      <c r="AK1404" s="831">
        <v>25000242.370000001</v>
      </c>
      <c r="AP1404" s="831" t="str">
        <f t="shared" si="64"/>
        <v/>
      </c>
    </row>
    <row r="1405" spans="2:42">
      <c r="B1405" s="834" t="str">
        <f t="shared" si="63"/>
        <v>|||</v>
      </c>
      <c r="H1405" s="835">
        <f t="shared" si="65"/>
        <v>31</v>
      </c>
      <c r="AF1405" s="831" t="s">
        <v>2096</v>
      </c>
      <c r="AG1405" s="831" t="s">
        <v>55</v>
      </c>
      <c r="AH1405" s="831" t="s">
        <v>81</v>
      </c>
      <c r="AI1405" s="831">
        <v>0</v>
      </c>
      <c r="AJ1405" s="835">
        <v>40359</v>
      </c>
      <c r="AK1405" s="831">
        <v>26278093.859999999</v>
      </c>
      <c r="AP1405" s="831" t="str">
        <f t="shared" si="64"/>
        <v/>
      </c>
    </row>
    <row r="1406" spans="2:42">
      <c r="B1406" s="834" t="str">
        <f t="shared" si="63"/>
        <v>|||</v>
      </c>
      <c r="H1406" s="835">
        <f t="shared" si="65"/>
        <v>31</v>
      </c>
      <c r="AF1406" s="831" t="s">
        <v>2097</v>
      </c>
      <c r="AG1406" s="831" t="s">
        <v>55</v>
      </c>
      <c r="AH1406" s="831" t="s">
        <v>10</v>
      </c>
      <c r="AI1406" s="831">
        <v>0</v>
      </c>
      <c r="AJ1406" s="835">
        <v>40359</v>
      </c>
      <c r="AK1406" s="831">
        <v>273638925.63969898</v>
      </c>
      <c r="AP1406" s="831" t="str">
        <f t="shared" si="64"/>
        <v/>
      </c>
    </row>
    <row r="1407" spans="2:42">
      <c r="B1407" s="834" t="str">
        <f t="shared" si="63"/>
        <v>|||</v>
      </c>
      <c r="H1407" s="835">
        <f t="shared" si="65"/>
        <v>31</v>
      </c>
      <c r="AF1407" s="831" t="s">
        <v>2098</v>
      </c>
      <c r="AG1407" s="831" t="s">
        <v>55</v>
      </c>
      <c r="AH1407" s="831" t="s">
        <v>91</v>
      </c>
      <c r="AI1407" s="831">
        <v>0</v>
      </c>
      <c r="AJ1407" s="835">
        <v>40359</v>
      </c>
      <c r="AK1407" s="831">
        <v>-7935652.8700000001</v>
      </c>
      <c r="AP1407" s="831" t="str">
        <f t="shared" si="64"/>
        <v/>
      </c>
    </row>
    <row r="1408" spans="2:42">
      <c r="B1408" s="834" t="str">
        <f t="shared" si="63"/>
        <v>|||</v>
      </c>
      <c r="H1408" s="835">
        <f t="shared" si="65"/>
        <v>31</v>
      </c>
      <c r="AF1408" s="831" t="s">
        <v>2099</v>
      </c>
      <c r="AG1408" s="831" t="s">
        <v>55</v>
      </c>
      <c r="AH1408" s="831" t="s">
        <v>94</v>
      </c>
      <c r="AI1408" s="831">
        <v>0</v>
      </c>
      <c r="AJ1408" s="835">
        <v>40359</v>
      </c>
      <c r="AK1408" s="831">
        <v>14061587.93</v>
      </c>
      <c r="AP1408" s="831" t="str">
        <f t="shared" si="64"/>
        <v/>
      </c>
    </row>
    <row r="1409" spans="2:42">
      <c r="B1409" s="834" t="str">
        <f t="shared" si="63"/>
        <v>|||</v>
      </c>
      <c r="H1409" s="835">
        <f t="shared" si="65"/>
        <v>31</v>
      </c>
      <c r="AF1409" s="831" t="s">
        <v>2100</v>
      </c>
      <c r="AG1409" s="831" t="s">
        <v>55</v>
      </c>
      <c r="AH1409" s="831" t="s">
        <v>103</v>
      </c>
      <c r="AI1409" s="831">
        <v>0</v>
      </c>
      <c r="AJ1409" s="835">
        <v>40359</v>
      </c>
      <c r="AK1409" s="831">
        <v>92390603.925899997</v>
      </c>
      <c r="AP1409" s="831" t="str">
        <f t="shared" si="64"/>
        <v/>
      </c>
    </row>
    <row r="1410" spans="2:42">
      <c r="B1410" s="834" t="str">
        <f t="shared" si="63"/>
        <v>|||</v>
      </c>
      <c r="H1410" s="835">
        <f t="shared" si="65"/>
        <v>31</v>
      </c>
      <c r="AF1410" s="831" t="s">
        <v>2101</v>
      </c>
      <c r="AG1410" s="831" t="s">
        <v>55</v>
      </c>
      <c r="AH1410" s="831" t="s">
        <v>108</v>
      </c>
      <c r="AI1410" s="831">
        <v>0</v>
      </c>
      <c r="AJ1410" s="835">
        <v>40359</v>
      </c>
      <c r="AK1410" s="831">
        <v>0</v>
      </c>
      <c r="AP1410" s="831" t="str">
        <f t="shared" si="64"/>
        <v/>
      </c>
    </row>
    <row r="1411" spans="2:42">
      <c r="B1411" s="834" t="str">
        <f t="shared" ref="B1411:B1474" si="66">C1411&amp;"|"&amp;D1411&amp;"|"&amp;E1411&amp;"|"&amp;F1411</f>
        <v>|||</v>
      </c>
      <c r="H1411" s="835">
        <f t="shared" si="65"/>
        <v>31</v>
      </c>
      <c r="AF1411" s="831" t="s">
        <v>2102</v>
      </c>
      <c r="AG1411" s="831" t="s">
        <v>55</v>
      </c>
      <c r="AH1411" s="831" t="s">
        <v>110</v>
      </c>
      <c r="AI1411" s="831">
        <v>0</v>
      </c>
      <c r="AJ1411" s="835">
        <v>40359</v>
      </c>
      <c r="AK1411" s="831">
        <v>162726163.9217</v>
      </c>
      <c r="AP1411" s="831" t="str">
        <f t="shared" ref="AP1411:AP1474" si="67">IF(AX1411&lt;&gt;"",IF(OR(AX1411=3,AX1411=4),"Equity","Debt"),"")</f>
        <v/>
      </c>
    </row>
    <row r="1412" spans="2:42">
      <c r="B1412" s="834" t="str">
        <f t="shared" si="66"/>
        <v>|||</v>
      </c>
      <c r="H1412" s="835">
        <f t="shared" ref="H1412:H1475" si="68">EOMONTH(L1412,0)</f>
        <v>31</v>
      </c>
      <c r="AF1412" s="831" t="s">
        <v>2103</v>
      </c>
      <c r="AG1412" s="831" t="s">
        <v>55</v>
      </c>
      <c r="AH1412" s="831" t="s">
        <v>112</v>
      </c>
      <c r="AI1412" s="831">
        <v>0</v>
      </c>
      <c r="AJ1412" s="835">
        <v>40359</v>
      </c>
      <c r="AK1412" s="831">
        <v>0</v>
      </c>
      <c r="AP1412" s="831" t="str">
        <f t="shared" si="67"/>
        <v/>
      </c>
    </row>
    <row r="1413" spans="2:42">
      <c r="B1413" s="834" t="str">
        <f t="shared" si="66"/>
        <v>|||</v>
      </c>
      <c r="H1413" s="835">
        <f t="shared" si="68"/>
        <v>31</v>
      </c>
      <c r="AF1413" s="831" t="s">
        <v>2104</v>
      </c>
      <c r="AG1413" s="831" t="s">
        <v>55</v>
      </c>
      <c r="AH1413" s="831" t="s">
        <v>114</v>
      </c>
      <c r="AI1413" s="831">
        <v>0</v>
      </c>
      <c r="AJ1413" s="835">
        <v>40359</v>
      </c>
      <c r="AK1413" s="831">
        <v>154517926.8937</v>
      </c>
      <c r="AP1413" s="831" t="str">
        <f t="shared" si="67"/>
        <v/>
      </c>
    </row>
    <row r="1414" spans="2:42">
      <c r="B1414" s="834" t="str">
        <f t="shared" si="66"/>
        <v>|||</v>
      </c>
      <c r="H1414" s="835">
        <f t="shared" si="68"/>
        <v>31</v>
      </c>
      <c r="AF1414" s="831" t="s">
        <v>2105</v>
      </c>
      <c r="AG1414" s="831" t="s">
        <v>55</v>
      </c>
      <c r="AH1414" s="831" t="s">
        <v>116</v>
      </c>
      <c r="AI1414" s="831">
        <v>0</v>
      </c>
      <c r="AJ1414" s="835">
        <v>40359</v>
      </c>
      <c r="AK1414" s="831">
        <v>8208237.0279999999</v>
      </c>
      <c r="AP1414" s="831" t="str">
        <f t="shared" si="67"/>
        <v/>
      </c>
    </row>
    <row r="1415" spans="2:42">
      <c r="B1415" s="834" t="str">
        <f t="shared" si="66"/>
        <v>|||</v>
      </c>
      <c r="H1415" s="835">
        <f t="shared" si="68"/>
        <v>31</v>
      </c>
      <c r="AF1415" s="831" t="s">
        <v>2106</v>
      </c>
      <c r="AG1415" s="831" t="s">
        <v>55</v>
      </c>
      <c r="AH1415" s="831" t="s">
        <v>117</v>
      </c>
      <c r="AI1415" s="831">
        <v>0</v>
      </c>
      <c r="AJ1415" s="835">
        <v>40359</v>
      </c>
      <c r="AK1415" s="831">
        <v>9372856.9844000004</v>
      </c>
      <c r="AP1415" s="831" t="str">
        <f t="shared" si="67"/>
        <v/>
      </c>
    </row>
    <row r="1416" spans="2:42">
      <c r="B1416" s="834" t="str">
        <f t="shared" si="66"/>
        <v>|||</v>
      </c>
      <c r="H1416" s="835">
        <f t="shared" si="68"/>
        <v>31</v>
      </c>
      <c r="AF1416" s="831" t="s">
        <v>2107</v>
      </c>
      <c r="AG1416" s="831" t="s">
        <v>55</v>
      </c>
      <c r="AH1416" s="831" t="s">
        <v>123</v>
      </c>
      <c r="AI1416" s="831">
        <v>0</v>
      </c>
      <c r="AJ1416" s="835">
        <v>40359</v>
      </c>
      <c r="AK1416" s="831">
        <v>41800000</v>
      </c>
      <c r="AP1416" s="831" t="str">
        <f t="shared" si="67"/>
        <v/>
      </c>
    </row>
    <row r="1417" spans="2:42">
      <c r="B1417" s="834" t="str">
        <f t="shared" si="66"/>
        <v>|||</v>
      </c>
      <c r="H1417" s="835">
        <f t="shared" si="68"/>
        <v>31</v>
      </c>
      <c r="AF1417" s="831" t="s">
        <v>2108</v>
      </c>
      <c r="AG1417" s="831" t="s">
        <v>55</v>
      </c>
      <c r="AH1417" s="831" t="s">
        <v>125</v>
      </c>
      <c r="AI1417" s="831">
        <v>0</v>
      </c>
      <c r="AJ1417" s="835">
        <v>40359</v>
      </c>
      <c r="AK1417" s="831">
        <v>24753572.275707699</v>
      </c>
      <c r="AP1417" s="831" t="str">
        <f t="shared" si="67"/>
        <v/>
      </c>
    </row>
    <row r="1418" spans="2:42">
      <c r="B1418" s="834" t="str">
        <f t="shared" si="66"/>
        <v>|||</v>
      </c>
      <c r="H1418" s="835">
        <f t="shared" si="68"/>
        <v>31</v>
      </c>
      <c r="AF1418" s="831" t="s">
        <v>2109</v>
      </c>
      <c r="AG1418" s="831" t="s">
        <v>55</v>
      </c>
      <c r="AH1418" s="831" t="s">
        <v>66</v>
      </c>
      <c r="AI1418" s="831">
        <v>0</v>
      </c>
      <c r="AJ1418" s="835">
        <v>40390</v>
      </c>
      <c r="AK1418" s="831">
        <v>63299459.530000001</v>
      </c>
      <c r="AP1418" s="831" t="str">
        <f t="shared" si="67"/>
        <v/>
      </c>
    </row>
    <row r="1419" spans="2:42">
      <c r="B1419" s="834" t="str">
        <f t="shared" si="66"/>
        <v>|||</v>
      </c>
      <c r="H1419" s="835">
        <f t="shared" si="68"/>
        <v>31</v>
      </c>
      <c r="AF1419" s="831" t="s">
        <v>2110</v>
      </c>
      <c r="AG1419" s="831" t="s">
        <v>55</v>
      </c>
      <c r="AH1419" s="831" t="s">
        <v>71</v>
      </c>
      <c r="AI1419" s="831">
        <v>0</v>
      </c>
      <c r="AJ1419" s="835">
        <v>40390</v>
      </c>
      <c r="AK1419" s="831">
        <v>0</v>
      </c>
      <c r="AP1419" s="831" t="str">
        <f t="shared" si="67"/>
        <v/>
      </c>
    </row>
    <row r="1420" spans="2:42">
      <c r="B1420" s="834" t="str">
        <f t="shared" si="66"/>
        <v>|||</v>
      </c>
      <c r="H1420" s="835">
        <f t="shared" si="68"/>
        <v>31</v>
      </c>
      <c r="AF1420" s="831" t="s">
        <v>2111</v>
      </c>
      <c r="AG1420" s="831" t="s">
        <v>55</v>
      </c>
      <c r="AH1420" s="831" t="s">
        <v>76</v>
      </c>
      <c r="AI1420" s="831">
        <v>0</v>
      </c>
      <c r="AJ1420" s="835">
        <v>40390</v>
      </c>
      <c r="AK1420" s="831">
        <v>55008655.259999998</v>
      </c>
      <c r="AP1420" s="831" t="str">
        <f t="shared" si="67"/>
        <v/>
      </c>
    </row>
    <row r="1421" spans="2:42">
      <c r="B1421" s="834" t="str">
        <f t="shared" si="66"/>
        <v>|||</v>
      </c>
      <c r="H1421" s="835">
        <f t="shared" si="68"/>
        <v>31</v>
      </c>
      <c r="AF1421" s="831" t="s">
        <v>2112</v>
      </c>
      <c r="AG1421" s="831" t="s">
        <v>55</v>
      </c>
      <c r="AH1421" s="831" t="s">
        <v>81</v>
      </c>
      <c r="AI1421" s="831">
        <v>0</v>
      </c>
      <c r="AJ1421" s="835">
        <v>40390</v>
      </c>
      <c r="AK1421" s="831">
        <v>8290804.2699999996</v>
      </c>
      <c r="AP1421" s="831" t="str">
        <f t="shared" si="67"/>
        <v/>
      </c>
    </row>
    <row r="1422" spans="2:42">
      <c r="B1422" s="834" t="str">
        <f t="shared" si="66"/>
        <v>|||</v>
      </c>
      <c r="H1422" s="835">
        <f t="shared" si="68"/>
        <v>31</v>
      </c>
      <c r="AF1422" s="831" t="s">
        <v>2113</v>
      </c>
      <c r="AG1422" s="831" t="s">
        <v>55</v>
      </c>
      <c r="AH1422" s="831" t="s">
        <v>10</v>
      </c>
      <c r="AI1422" s="831">
        <v>0</v>
      </c>
      <c r="AJ1422" s="835">
        <v>40390</v>
      </c>
      <c r="AK1422" s="831">
        <v>276681210.15079999</v>
      </c>
      <c r="AP1422" s="831" t="str">
        <f t="shared" si="67"/>
        <v/>
      </c>
    </row>
    <row r="1423" spans="2:42">
      <c r="B1423" s="834" t="str">
        <f t="shared" si="66"/>
        <v>|||</v>
      </c>
      <c r="H1423" s="835">
        <f t="shared" si="68"/>
        <v>31</v>
      </c>
      <c r="AF1423" s="831" t="s">
        <v>2114</v>
      </c>
      <c r="AG1423" s="831" t="s">
        <v>55</v>
      </c>
      <c r="AH1423" s="831" t="s">
        <v>91</v>
      </c>
      <c r="AI1423" s="831">
        <v>0</v>
      </c>
      <c r="AJ1423" s="835">
        <v>40390</v>
      </c>
      <c r="AK1423" s="831">
        <v>-6831136.5</v>
      </c>
      <c r="AP1423" s="831" t="str">
        <f t="shared" si="67"/>
        <v/>
      </c>
    </row>
    <row r="1424" spans="2:42">
      <c r="B1424" s="834" t="str">
        <f t="shared" si="66"/>
        <v>|||</v>
      </c>
      <c r="H1424" s="835">
        <f t="shared" si="68"/>
        <v>31</v>
      </c>
      <c r="AF1424" s="831" t="s">
        <v>2115</v>
      </c>
      <c r="AG1424" s="831" t="s">
        <v>55</v>
      </c>
      <c r="AH1424" s="831" t="s">
        <v>94</v>
      </c>
      <c r="AI1424" s="831">
        <v>0</v>
      </c>
      <c r="AJ1424" s="835">
        <v>40390</v>
      </c>
      <c r="AK1424" s="831">
        <v>14484750.68</v>
      </c>
      <c r="AP1424" s="831" t="str">
        <f t="shared" si="67"/>
        <v/>
      </c>
    </row>
    <row r="1425" spans="2:42">
      <c r="B1425" s="834" t="str">
        <f t="shared" si="66"/>
        <v>|||</v>
      </c>
      <c r="H1425" s="835">
        <f t="shared" si="68"/>
        <v>31</v>
      </c>
      <c r="AF1425" s="831" t="s">
        <v>2116</v>
      </c>
      <c r="AG1425" s="831" t="s">
        <v>55</v>
      </c>
      <c r="AH1425" s="831" t="s">
        <v>103</v>
      </c>
      <c r="AI1425" s="831">
        <v>0</v>
      </c>
      <c r="AJ1425" s="835">
        <v>40390</v>
      </c>
      <c r="AK1425" s="831">
        <v>106690322</v>
      </c>
      <c r="AP1425" s="831" t="str">
        <f t="shared" si="67"/>
        <v/>
      </c>
    </row>
    <row r="1426" spans="2:42">
      <c r="B1426" s="834" t="str">
        <f t="shared" si="66"/>
        <v>|||</v>
      </c>
      <c r="H1426" s="835">
        <f t="shared" si="68"/>
        <v>31</v>
      </c>
      <c r="AF1426" s="831" t="s">
        <v>2117</v>
      </c>
      <c r="AG1426" s="831" t="s">
        <v>55</v>
      </c>
      <c r="AH1426" s="831" t="s">
        <v>108</v>
      </c>
      <c r="AI1426" s="831">
        <v>0</v>
      </c>
      <c r="AJ1426" s="835">
        <v>40390</v>
      </c>
      <c r="AK1426" s="831">
        <v>0</v>
      </c>
      <c r="AP1426" s="831" t="str">
        <f t="shared" si="67"/>
        <v/>
      </c>
    </row>
    <row r="1427" spans="2:42">
      <c r="B1427" s="834" t="str">
        <f t="shared" si="66"/>
        <v>|||</v>
      </c>
      <c r="H1427" s="835">
        <f t="shared" si="68"/>
        <v>31</v>
      </c>
      <c r="AF1427" s="831" t="s">
        <v>2118</v>
      </c>
      <c r="AG1427" s="831" t="s">
        <v>55</v>
      </c>
      <c r="AH1427" s="831" t="s">
        <v>110</v>
      </c>
      <c r="AI1427" s="831">
        <v>0</v>
      </c>
      <c r="AJ1427" s="835">
        <v>40390</v>
      </c>
      <c r="AK1427" s="831">
        <v>162670634.86000001</v>
      </c>
      <c r="AP1427" s="831" t="str">
        <f t="shared" si="67"/>
        <v/>
      </c>
    </row>
    <row r="1428" spans="2:42">
      <c r="B1428" s="834" t="str">
        <f t="shared" si="66"/>
        <v>|||</v>
      </c>
      <c r="H1428" s="835">
        <f t="shared" si="68"/>
        <v>31</v>
      </c>
      <c r="AF1428" s="831" t="s">
        <v>2119</v>
      </c>
      <c r="AG1428" s="831" t="s">
        <v>55</v>
      </c>
      <c r="AH1428" s="831" t="s">
        <v>112</v>
      </c>
      <c r="AI1428" s="831">
        <v>0</v>
      </c>
      <c r="AJ1428" s="835">
        <v>40390</v>
      </c>
      <c r="AK1428" s="831">
        <v>0</v>
      </c>
      <c r="AP1428" s="831" t="str">
        <f t="shared" si="67"/>
        <v/>
      </c>
    </row>
    <row r="1429" spans="2:42">
      <c r="B1429" s="834" t="str">
        <f t="shared" si="66"/>
        <v>|||</v>
      </c>
      <c r="H1429" s="835">
        <f t="shared" si="68"/>
        <v>31</v>
      </c>
      <c r="AF1429" s="831" t="s">
        <v>2120</v>
      </c>
      <c r="AG1429" s="831" t="s">
        <v>55</v>
      </c>
      <c r="AH1429" s="831" t="s">
        <v>114</v>
      </c>
      <c r="AI1429" s="831">
        <v>0</v>
      </c>
      <c r="AJ1429" s="835">
        <v>40390</v>
      </c>
      <c r="AK1429" s="831">
        <v>154465460.98800001</v>
      </c>
      <c r="AP1429" s="831" t="str">
        <f t="shared" si="67"/>
        <v/>
      </c>
    </row>
    <row r="1430" spans="2:42">
      <c r="B1430" s="834" t="str">
        <f t="shared" si="66"/>
        <v>|||</v>
      </c>
      <c r="H1430" s="835">
        <f t="shared" si="68"/>
        <v>31</v>
      </c>
      <c r="AF1430" s="831" t="s">
        <v>2121</v>
      </c>
      <c r="AG1430" s="831" t="s">
        <v>55</v>
      </c>
      <c r="AH1430" s="831" t="s">
        <v>116</v>
      </c>
      <c r="AI1430" s="831">
        <v>0</v>
      </c>
      <c r="AJ1430" s="835">
        <v>40390</v>
      </c>
      <c r="AK1430" s="831">
        <v>8205173.8720000004</v>
      </c>
      <c r="AP1430" s="831" t="str">
        <f t="shared" si="67"/>
        <v/>
      </c>
    </row>
    <row r="1431" spans="2:42">
      <c r="B1431" s="834" t="str">
        <f t="shared" si="66"/>
        <v>|||</v>
      </c>
      <c r="H1431" s="835">
        <f t="shared" si="68"/>
        <v>31</v>
      </c>
      <c r="AF1431" s="831" t="s">
        <v>2122</v>
      </c>
      <c r="AG1431" s="831" t="s">
        <v>55</v>
      </c>
      <c r="AH1431" s="831" t="s">
        <v>117</v>
      </c>
      <c r="AI1431" s="831">
        <v>0</v>
      </c>
      <c r="AJ1431" s="835">
        <v>40390</v>
      </c>
      <c r="AK1431" s="831">
        <v>9118335.4600000009</v>
      </c>
      <c r="AP1431" s="831" t="str">
        <f t="shared" si="67"/>
        <v/>
      </c>
    </row>
    <row r="1432" spans="2:42">
      <c r="B1432" s="834" t="str">
        <f t="shared" si="66"/>
        <v>|||</v>
      </c>
      <c r="H1432" s="835">
        <f t="shared" si="68"/>
        <v>31</v>
      </c>
      <c r="AF1432" s="831" t="s">
        <v>2123</v>
      </c>
      <c r="AG1432" s="831" t="s">
        <v>55</v>
      </c>
      <c r="AH1432" s="831" t="s">
        <v>123</v>
      </c>
      <c r="AI1432" s="831">
        <v>0</v>
      </c>
      <c r="AJ1432" s="835">
        <v>40390</v>
      </c>
      <c r="AK1432" s="831">
        <v>41800000</v>
      </c>
      <c r="AP1432" s="831" t="str">
        <f t="shared" si="67"/>
        <v/>
      </c>
    </row>
    <row r="1433" spans="2:42">
      <c r="B1433" s="834" t="str">
        <f t="shared" si="66"/>
        <v>|||</v>
      </c>
      <c r="H1433" s="835">
        <f t="shared" si="68"/>
        <v>31</v>
      </c>
      <c r="AF1433" s="831" t="s">
        <v>2124</v>
      </c>
      <c r="AG1433" s="831" t="s">
        <v>55</v>
      </c>
      <c r="AH1433" s="831" t="s">
        <v>125</v>
      </c>
      <c r="AI1433" s="831">
        <v>0</v>
      </c>
      <c r="AJ1433" s="835">
        <v>40390</v>
      </c>
      <c r="AK1433" s="831">
        <v>27354991.948694099</v>
      </c>
      <c r="AP1433" s="831" t="str">
        <f t="shared" si="67"/>
        <v/>
      </c>
    </row>
    <row r="1434" spans="2:42">
      <c r="B1434" s="834" t="str">
        <f t="shared" si="66"/>
        <v>|||</v>
      </c>
      <c r="H1434" s="835">
        <f t="shared" si="68"/>
        <v>31</v>
      </c>
      <c r="AF1434" s="831" t="s">
        <v>2125</v>
      </c>
      <c r="AG1434" s="831" t="s">
        <v>55</v>
      </c>
      <c r="AH1434" s="831" t="s">
        <v>66</v>
      </c>
      <c r="AI1434" s="831">
        <v>0</v>
      </c>
      <c r="AJ1434" s="835">
        <v>40421</v>
      </c>
      <c r="AK1434" s="831">
        <v>69893656.310000002</v>
      </c>
      <c r="AP1434" s="831" t="str">
        <f t="shared" si="67"/>
        <v/>
      </c>
    </row>
    <row r="1435" spans="2:42">
      <c r="B1435" s="834" t="str">
        <f t="shared" si="66"/>
        <v>|||</v>
      </c>
      <c r="H1435" s="835">
        <f t="shared" si="68"/>
        <v>31</v>
      </c>
      <c r="AF1435" s="831" t="s">
        <v>2126</v>
      </c>
      <c r="AG1435" s="831" t="s">
        <v>55</v>
      </c>
      <c r="AH1435" s="831" t="s">
        <v>71</v>
      </c>
      <c r="AI1435" s="831">
        <v>0</v>
      </c>
      <c r="AJ1435" s="835">
        <v>40421</v>
      </c>
      <c r="AK1435" s="831">
        <v>0</v>
      </c>
      <c r="AP1435" s="831" t="str">
        <f t="shared" si="67"/>
        <v/>
      </c>
    </row>
    <row r="1436" spans="2:42">
      <c r="B1436" s="834" t="str">
        <f t="shared" si="66"/>
        <v>|||</v>
      </c>
      <c r="H1436" s="835">
        <f t="shared" si="68"/>
        <v>31</v>
      </c>
      <c r="AF1436" s="831" t="s">
        <v>2127</v>
      </c>
      <c r="AG1436" s="831" t="s">
        <v>55</v>
      </c>
      <c r="AH1436" s="831" t="s">
        <v>76</v>
      </c>
      <c r="AI1436" s="831">
        <v>0</v>
      </c>
      <c r="AJ1436" s="835">
        <v>40421</v>
      </c>
      <c r="AK1436" s="831">
        <v>51920462.359999999</v>
      </c>
      <c r="AP1436" s="831" t="str">
        <f t="shared" si="67"/>
        <v/>
      </c>
    </row>
    <row r="1437" spans="2:42">
      <c r="B1437" s="834" t="str">
        <f t="shared" si="66"/>
        <v>|||</v>
      </c>
      <c r="H1437" s="835">
        <f t="shared" si="68"/>
        <v>31</v>
      </c>
      <c r="AF1437" s="831" t="s">
        <v>2128</v>
      </c>
      <c r="AG1437" s="831" t="s">
        <v>55</v>
      </c>
      <c r="AH1437" s="831" t="s">
        <v>81</v>
      </c>
      <c r="AI1437" s="831">
        <v>0</v>
      </c>
      <c r="AJ1437" s="835">
        <v>40421</v>
      </c>
      <c r="AK1437" s="831">
        <v>17973193.949999999</v>
      </c>
      <c r="AP1437" s="831" t="str">
        <f t="shared" si="67"/>
        <v/>
      </c>
    </row>
    <row r="1438" spans="2:42">
      <c r="B1438" s="834" t="str">
        <f t="shared" si="66"/>
        <v>|||</v>
      </c>
      <c r="H1438" s="835">
        <f t="shared" si="68"/>
        <v>31</v>
      </c>
      <c r="AF1438" s="831" t="s">
        <v>2129</v>
      </c>
      <c r="AG1438" s="831" t="s">
        <v>55</v>
      </c>
      <c r="AH1438" s="831" t="s">
        <v>10</v>
      </c>
      <c r="AI1438" s="831">
        <v>0</v>
      </c>
      <c r="AJ1438" s="835">
        <v>40421</v>
      </c>
      <c r="AK1438" s="831">
        <v>280255688.26381999</v>
      </c>
      <c r="AP1438" s="831" t="str">
        <f t="shared" si="67"/>
        <v/>
      </c>
    </row>
    <row r="1439" spans="2:42">
      <c r="B1439" s="834" t="str">
        <f t="shared" si="66"/>
        <v>|||</v>
      </c>
      <c r="H1439" s="835">
        <f t="shared" si="68"/>
        <v>31</v>
      </c>
      <c r="AF1439" s="831" t="s">
        <v>2130</v>
      </c>
      <c r="AG1439" s="831" t="s">
        <v>55</v>
      </c>
      <c r="AH1439" s="831" t="s">
        <v>91</v>
      </c>
      <c r="AI1439" s="831">
        <v>0</v>
      </c>
      <c r="AJ1439" s="835">
        <v>40421</v>
      </c>
      <c r="AK1439" s="831">
        <v>-7206234.0999999996</v>
      </c>
      <c r="AP1439" s="831" t="str">
        <f t="shared" si="67"/>
        <v/>
      </c>
    </row>
    <row r="1440" spans="2:42">
      <c r="B1440" s="834" t="str">
        <f t="shared" si="66"/>
        <v>|||</v>
      </c>
      <c r="H1440" s="835">
        <f t="shared" si="68"/>
        <v>31</v>
      </c>
      <c r="AF1440" s="831" t="s">
        <v>2131</v>
      </c>
      <c r="AG1440" s="831" t="s">
        <v>55</v>
      </c>
      <c r="AH1440" s="831" t="s">
        <v>94</v>
      </c>
      <c r="AI1440" s="831">
        <v>0</v>
      </c>
      <c r="AJ1440" s="835">
        <v>40421</v>
      </c>
      <c r="AK1440" s="831">
        <v>15556753.359999999</v>
      </c>
      <c r="AP1440" s="831" t="str">
        <f t="shared" si="67"/>
        <v/>
      </c>
    </row>
    <row r="1441" spans="2:42">
      <c r="B1441" s="834" t="str">
        <f t="shared" si="66"/>
        <v>|||</v>
      </c>
      <c r="H1441" s="835">
        <f t="shared" si="68"/>
        <v>31</v>
      </c>
      <c r="AF1441" s="831" t="s">
        <v>2132</v>
      </c>
      <c r="AG1441" s="831" t="s">
        <v>55</v>
      </c>
      <c r="AH1441" s="831" t="s">
        <v>103</v>
      </c>
      <c r="AI1441" s="831">
        <v>0</v>
      </c>
      <c r="AJ1441" s="835">
        <v>40421</v>
      </c>
      <c r="AK1441" s="831">
        <v>112803567.04520001</v>
      </c>
      <c r="AP1441" s="831" t="str">
        <f t="shared" si="67"/>
        <v/>
      </c>
    </row>
    <row r="1442" spans="2:42">
      <c r="B1442" s="834" t="str">
        <f t="shared" si="66"/>
        <v>|||</v>
      </c>
      <c r="H1442" s="835">
        <f t="shared" si="68"/>
        <v>31</v>
      </c>
      <c r="AF1442" s="831" t="s">
        <v>2133</v>
      </c>
      <c r="AG1442" s="831" t="s">
        <v>55</v>
      </c>
      <c r="AH1442" s="831" t="s">
        <v>108</v>
      </c>
      <c r="AI1442" s="831">
        <v>0</v>
      </c>
      <c r="AJ1442" s="835">
        <v>40421</v>
      </c>
      <c r="AK1442" s="831">
        <v>0</v>
      </c>
      <c r="AP1442" s="831" t="str">
        <f t="shared" si="67"/>
        <v/>
      </c>
    </row>
    <row r="1443" spans="2:42">
      <c r="B1443" s="834" t="str">
        <f t="shared" si="66"/>
        <v>|||</v>
      </c>
      <c r="H1443" s="835">
        <f t="shared" si="68"/>
        <v>31</v>
      </c>
      <c r="AF1443" s="831" t="s">
        <v>2134</v>
      </c>
      <c r="AG1443" s="831" t="s">
        <v>55</v>
      </c>
      <c r="AH1443" s="831" t="s">
        <v>110</v>
      </c>
      <c r="AI1443" s="831">
        <v>0</v>
      </c>
      <c r="AJ1443" s="835">
        <v>40421</v>
      </c>
      <c r="AK1443" s="831">
        <v>164845558.94</v>
      </c>
      <c r="AP1443" s="831" t="str">
        <f t="shared" si="67"/>
        <v/>
      </c>
    </row>
    <row r="1444" spans="2:42">
      <c r="B1444" s="834" t="str">
        <f t="shared" si="66"/>
        <v>|||</v>
      </c>
      <c r="H1444" s="835">
        <f t="shared" si="68"/>
        <v>31</v>
      </c>
      <c r="AF1444" s="831" t="s">
        <v>2135</v>
      </c>
      <c r="AG1444" s="831" t="s">
        <v>55</v>
      </c>
      <c r="AH1444" s="831" t="s">
        <v>112</v>
      </c>
      <c r="AI1444" s="831">
        <v>0</v>
      </c>
      <c r="AJ1444" s="835">
        <v>40421</v>
      </c>
      <c r="AK1444" s="831">
        <v>0</v>
      </c>
      <c r="AP1444" s="831" t="str">
        <f t="shared" si="67"/>
        <v/>
      </c>
    </row>
    <row r="1445" spans="2:42">
      <c r="B1445" s="834" t="str">
        <f t="shared" si="66"/>
        <v>|||</v>
      </c>
      <c r="H1445" s="835">
        <f t="shared" si="68"/>
        <v>31</v>
      </c>
      <c r="AF1445" s="831" t="s">
        <v>2136</v>
      </c>
      <c r="AG1445" s="831" t="s">
        <v>55</v>
      </c>
      <c r="AH1445" s="831" t="s">
        <v>114</v>
      </c>
      <c r="AI1445" s="831">
        <v>0</v>
      </c>
      <c r="AJ1445" s="835">
        <v>40421</v>
      </c>
      <c r="AK1445" s="831">
        <v>156638342.96399999</v>
      </c>
      <c r="AP1445" s="831" t="str">
        <f t="shared" si="67"/>
        <v/>
      </c>
    </row>
    <row r="1446" spans="2:42">
      <c r="B1446" s="834" t="str">
        <f t="shared" si="66"/>
        <v>|||</v>
      </c>
      <c r="H1446" s="835">
        <f t="shared" si="68"/>
        <v>31</v>
      </c>
      <c r="AF1446" s="831" t="s">
        <v>2137</v>
      </c>
      <c r="AG1446" s="831" t="s">
        <v>55</v>
      </c>
      <c r="AH1446" s="831" t="s">
        <v>116</v>
      </c>
      <c r="AI1446" s="831">
        <v>0</v>
      </c>
      <c r="AJ1446" s="835">
        <v>40421</v>
      </c>
      <c r="AK1446" s="831">
        <v>8207215.9759999998</v>
      </c>
      <c r="AP1446" s="831" t="str">
        <f t="shared" si="67"/>
        <v/>
      </c>
    </row>
    <row r="1447" spans="2:42">
      <c r="B1447" s="834" t="str">
        <f t="shared" si="66"/>
        <v>|||</v>
      </c>
      <c r="H1447" s="835">
        <f t="shared" si="68"/>
        <v>31</v>
      </c>
      <c r="AF1447" s="831" t="s">
        <v>2138</v>
      </c>
      <c r="AG1447" s="831" t="s">
        <v>55</v>
      </c>
      <c r="AH1447" s="831" t="s">
        <v>117</v>
      </c>
      <c r="AI1447" s="831">
        <v>0</v>
      </c>
      <c r="AJ1447" s="835">
        <v>40421</v>
      </c>
      <c r="AK1447" s="831">
        <v>9009179.5299999993</v>
      </c>
      <c r="AP1447" s="831" t="str">
        <f t="shared" si="67"/>
        <v/>
      </c>
    </row>
    <row r="1448" spans="2:42">
      <c r="B1448" s="834" t="str">
        <f t="shared" si="66"/>
        <v>|||</v>
      </c>
      <c r="H1448" s="835">
        <f t="shared" si="68"/>
        <v>31</v>
      </c>
      <c r="AF1448" s="831" t="s">
        <v>2139</v>
      </c>
      <c r="AG1448" s="831" t="s">
        <v>55</v>
      </c>
      <c r="AH1448" s="831" t="s">
        <v>123</v>
      </c>
      <c r="AI1448" s="831">
        <v>0</v>
      </c>
      <c r="AJ1448" s="835">
        <v>40421</v>
      </c>
      <c r="AK1448" s="831">
        <v>41800000</v>
      </c>
      <c r="AP1448" s="831" t="str">
        <f t="shared" si="67"/>
        <v/>
      </c>
    </row>
    <row r="1449" spans="2:42">
      <c r="B1449" s="834" t="str">
        <f t="shared" si="66"/>
        <v>|||</v>
      </c>
      <c r="H1449" s="835">
        <f t="shared" si="68"/>
        <v>31</v>
      </c>
      <c r="AF1449" s="831" t="s">
        <v>2140</v>
      </c>
      <c r="AG1449" s="831" t="s">
        <v>55</v>
      </c>
      <c r="AH1449" s="831" t="s">
        <v>125</v>
      </c>
      <c r="AI1449" s="831">
        <v>0</v>
      </c>
      <c r="AJ1449" s="835">
        <v>40421</v>
      </c>
      <c r="AK1449" s="831">
        <v>30041558.406091101</v>
      </c>
      <c r="AP1449" s="831" t="str">
        <f t="shared" si="67"/>
        <v/>
      </c>
    </row>
    <row r="1450" spans="2:42">
      <c r="B1450" s="834" t="str">
        <f t="shared" si="66"/>
        <v>|||</v>
      </c>
      <c r="H1450" s="835">
        <f t="shared" si="68"/>
        <v>31</v>
      </c>
      <c r="AF1450" s="831" t="s">
        <v>2141</v>
      </c>
      <c r="AG1450" s="831" t="s">
        <v>55</v>
      </c>
      <c r="AH1450" s="831" t="s">
        <v>66</v>
      </c>
      <c r="AI1450" s="831">
        <v>0</v>
      </c>
      <c r="AJ1450" s="835">
        <v>40451</v>
      </c>
      <c r="AK1450" s="831">
        <v>76128850.309400007</v>
      </c>
      <c r="AP1450" s="831" t="str">
        <f t="shared" si="67"/>
        <v/>
      </c>
    </row>
    <row r="1451" spans="2:42">
      <c r="B1451" s="834" t="str">
        <f t="shared" si="66"/>
        <v>|||</v>
      </c>
      <c r="H1451" s="835">
        <f t="shared" si="68"/>
        <v>31</v>
      </c>
      <c r="AF1451" s="831" t="s">
        <v>2142</v>
      </c>
      <c r="AG1451" s="831" t="s">
        <v>55</v>
      </c>
      <c r="AH1451" s="831" t="s">
        <v>71</v>
      </c>
      <c r="AI1451" s="831">
        <v>0</v>
      </c>
      <c r="AJ1451" s="835">
        <v>40451</v>
      </c>
      <c r="AK1451" s="831">
        <v>0</v>
      </c>
      <c r="AP1451" s="831" t="str">
        <f t="shared" si="67"/>
        <v/>
      </c>
    </row>
    <row r="1452" spans="2:42">
      <c r="B1452" s="834" t="str">
        <f t="shared" si="66"/>
        <v>|||</v>
      </c>
      <c r="H1452" s="835">
        <f t="shared" si="68"/>
        <v>31</v>
      </c>
      <c r="AF1452" s="831" t="s">
        <v>2143</v>
      </c>
      <c r="AG1452" s="831" t="s">
        <v>55</v>
      </c>
      <c r="AH1452" s="831" t="s">
        <v>76</v>
      </c>
      <c r="AI1452" s="831">
        <v>0</v>
      </c>
      <c r="AJ1452" s="835">
        <v>40451</v>
      </c>
      <c r="AK1452" s="831">
        <v>59617068.589400001</v>
      </c>
      <c r="AP1452" s="831" t="str">
        <f t="shared" si="67"/>
        <v/>
      </c>
    </row>
    <row r="1453" spans="2:42">
      <c r="B1453" s="834" t="str">
        <f t="shared" si="66"/>
        <v>|||</v>
      </c>
      <c r="H1453" s="835">
        <f t="shared" si="68"/>
        <v>31</v>
      </c>
      <c r="AF1453" s="831" t="s">
        <v>2144</v>
      </c>
      <c r="AG1453" s="831" t="s">
        <v>55</v>
      </c>
      <c r="AH1453" s="831" t="s">
        <v>81</v>
      </c>
      <c r="AI1453" s="831">
        <v>0</v>
      </c>
      <c r="AJ1453" s="835">
        <v>40451</v>
      </c>
      <c r="AK1453" s="831">
        <v>16511781.720000001</v>
      </c>
      <c r="AP1453" s="831" t="str">
        <f t="shared" si="67"/>
        <v/>
      </c>
    </row>
    <row r="1454" spans="2:42">
      <c r="B1454" s="834" t="str">
        <f t="shared" si="66"/>
        <v>|||</v>
      </c>
      <c r="H1454" s="835">
        <f t="shared" si="68"/>
        <v>31</v>
      </c>
      <c r="AF1454" s="831" t="s">
        <v>2145</v>
      </c>
      <c r="AG1454" s="831" t="s">
        <v>55</v>
      </c>
      <c r="AH1454" s="831" t="s">
        <v>10</v>
      </c>
      <c r="AI1454" s="831">
        <v>0</v>
      </c>
      <c r="AJ1454" s="835">
        <v>40451</v>
      </c>
      <c r="AK1454" s="831">
        <v>284612325.52703398</v>
      </c>
      <c r="AP1454" s="831" t="str">
        <f t="shared" si="67"/>
        <v/>
      </c>
    </row>
    <row r="1455" spans="2:42">
      <c r="B1455" s="834" t="str">
        <f t="shared" si="66"/>
        <v>|||</v>
      </c>
      <c r="H1455" s="835">
        <f t="shared" si="68"/>
        <v>31</v>
      </c>
      <c r="AF1455" s="831" t="s">
        <v>2146</v>
      </c>
      <c r="AG1455" s="831" t="s">
        <v>55</v>
      </c>
      <c r="AH1455" s="831" t="s">
        <v>91</v>
      </c>
      <c r="AI1455" s="831">
        <v>0</v>
      </c>
      <c r="AJ1455" s="835">
        <v>40451</v>
      </c>
      <c r="AK1455" s="831">
        <v>-7333530.1299999999</v>
      </c>
      <c r="AP1455" s="831" t="str">
        <f t="shared" si="67"/>
        <v/>
      </c>
    </row>
    <row r="1456" spans="2:42">
      <c r="B1456" s="834" t="str">
        <f t="shared" si="66"/>
        <v>|||</v>
      </c>
      <c r="H1456" s="835">
        <f t="shared" si="68"/>
        <v>31</v>
      </c>
      <c r="AF1456" s="831" t="s">
        <v>2147</v>
      </c>
      <c r="AG1456" s="831" t="s">
        <v>55</v>
      </c>
      <c r="AH1456" s="831" t="s">
        <v>94</v>
      </c>
      <c r="AI1456" s="831">
        <v>0</v>
      </c>
      <c r="AJ1456" s="835">
        <v>40451</v>
      </c>
      <c r="AK1456" s="831">
        <v>15221614.789999999</v>
      </c>
      <c r="AP1456" s="831" t="str">
        <f t="shared" si="67"/>
        <v/>
      </c>
    </row>
    <row r="1457" spans="2:42">
      <c r="B1457" s="834" t="str">
        <f t="shared" si="66"/>
        <v>|||</v>
      </c>
      <c r="H1457" s="835">
        <f t="shared" si="68"/>
        <v>31</v>
      </c>
      <c r="AF1457" s="831" t="s">
        <v>2148</v>
      </c>
      <c r="AG1457" s="831" t="s">
        <v>55</v>
      </c>
      <c r="AH1457" s="831" t="s">
        <v>103</v>
      </c>
      <c r="AI1457" s="831">
        <v>0</v>
      </c>
      <c r="AJ1457" s="835">
        <v>40451</v>
      </c>
      <c r="AK1457" s="831">
        <v>116938488.6772</v>
      </c>
      <c r="AP1457" s="831" t="str">
        <f t="shared" si="67"/>
        <v/>
      </c>
    </row>
    <row r="1458" spans="2:42">
      <c r="B1458" s="834" t="str">
        <f t="shared" si="66"/>
        <v>|||</v>
      </c>
      <c r="H1458" s="835">
        <f t="shared" si="68"/>
        <v>31</v>
      </c>
      <c r="AF1458" s="831" t="s">
        <v>2149</v>
      </c>
      <c r="AG1458" s="831" t="s">
        <v>55</v>
      </c>
      <c r="AH1458" s="831" t="s">
        <v>108</v>
      </c>
      <c r="AI1458" s="831">
        <v>0</v>
      </c>
      <c r="AJ1458" s="835">
        <v>40451</v>
      </c>
      <c r="AK1458" s="831">
        <v>0</v>
      </c>
      <c r="AP1458" s="831" t="str">
        <f t="shared" si="67"/>
        <v/>
      </c>
    </row>
    <row r="1459" spans="2:42">
      <c r="B1459" s="834" t="str">
        <f t="shared" si="66"/>
        <v>|||</v>
      </c>
      <c r="H1459" s="835">
        <f t="shared" si="68"/>
        <v>31</v>
      </c>
      <c r="AF1459" s="831" t="s">
        <v>2150</v>
      </c>
      <c r="AG1459" s="831" t="s">
        <v>55</v>
      </c>
      <c r="AH1459" s="831" t="s">
        <v>110</v>
      </c>
      <c r="AI1459" s="831">
        <v>0</v>
      </c>
      <c r="AJ1459" s="835">
        <v>40451</v>
      </c>
      <c r="AK1459" s="831">
        <v>169705991.37599999</v>
      </c>
      <c r="AP1459" s="831" t="str">
        <f t="shared" si="67"/>
        <v/>
      </c>
    </row>
    <row r="1460" spans="2:42">
      <c r="B1460" s="834" t="str">
        <f t="shared" si="66"/>
        <v>|||</v>
      </c>
      <c r="H1460" s="835">
        <f t="shared" si="68"/>
        <v>31</v>
      </c>
      <c r="AF1460" s="831" t="s">
        <v>2151</v>
      </c>
      <c r="AG1460" s="831" t="s">
        <v>55</v>
      </c>
      <c r="AH1460" s="831" t="s">
        <v>112</v>
      </c>
      <c r="AI1460" s="831">
        <v>0</v>
      </c>
      <c r="AJ1460" s="835">
        <v>40451</v>
      </c>
      <c r="AK1460" s="831">
        <v>0</v>
      </c>
      <c r="AP1460" s="831" t="str">
        <f t="shared" si="67"/>
        <v/>
      </c>
    </row>
    <row r="1461" spans="2:42">
      <c r="B1461" s="834" t="str">
        <f t="shared" si="66"/>
        <v>|||</v>
      </c>
      <c r="H1461" s="835">
        <f t="shared" si="68"/>
        <v>31</v>
      </c>
      <c r="AF1461" s="831" t="s">
        <v>2152</v>
      </c>
      <c r="AG1461" s="831" t="s">
        <v>55</v>
      </c>
      <c r="AH1461" s="831" t="s">
        <v>114</v>
      </c>
      <c r="AI1461" s="831">
        <v>0</v>
      </c>
      <c r="AJ1461" s="835">
        <v>40451</v>
      </c>
      <c r="AK1461" s="831">
        <v>161510006.972</v>
      </c>
      <c r="AP1461" s="831" t="str">
        <f t="shared" si="67"/>
        <v/>
      </c>
    </row>
    <row r="1462" spans="2:42">
      <c r="B1462" s="834" t="str">
        <f t="shared" si="66"/>
        <v>|||</v>
      </c>
      <c r="H1462" s="835">
        <f t="shared" si="68"/>
        <v>31</v>
      </c>
      <c r="AF1462" s="831" t="s">
        <v>2153</v>
      </c>
      <c r="AG1462" s="831" t="s">
        <v>55</v>
      </c>
      <c r="AH1462" s="831" t="s">
        <v>116</v>
      </c>
      <c r="AI1462" s="831">
        <v>0</v>
      </c>
      <c r="AJ1462" s="835">
        <v>40451</v>
      </c>
      <c r="AK1462" s="831">
        <v>8195984.4040000001</v>
      </c>
      <c r="AP1462" s="831" t="str">
        <f t="shared" si="67"/>
        <v/>
      </c>
    </row>
    <row r="1463" spans="2:42">
      <c r="B1463" s="834" t="str">
        <f t="shared" si="66"/>
        <v>|||</v>
      </c>
      <c r="H1463" s="835">
        <f t="shared" si="68"/>
        <v>31</v>
      </c>
      <c r="AF1463" s="831" t="s">
        <v>2154</v>
      </c>
      <c r="AG1463" s="831" t="s">
        <v>55</v>
      </c>
      <c r="AH1463" s="831" t="s">
        <v>117</v>
      </c>
      <c r="AI1463" s="831">
        <v>0</v>
      </c>
      <c r="AJ1463" s="835">
        <v>40451</v>
      </c>
      <c r="AK1463" s="831">
        <v>13151565.147299999</v>
      </c>
      <c r="AP1463" s="831" t="str">
        <f t="shared" si="67"/>
        <v/>
      </c>
    </row>
    <row r="1464" spans="2:42">
      <c r="B1464" s="834" t="str">
        <f t="shared" si="66"/>
        <v>|||</v>
      </c>
      <c r="H1464" s="835">
        <f t="shared" si="68"/>
        <v>31</v>
      </c>
      <c r="AF1464" s="831" t="s">
        <v>2155</v>
      </c>
      <c r="AG1464" s="831" t="s">
        <v>55</v>
      </c>
      <c r="AH1464" s="831" t="s">
        <v>123</v>
      </c>
      <c r="AI1464" s="831">
        <v>0</v>
      </c>
      <c r="AJ1464" s="835">
        <v>40451</v>
      </c>
      <c r="AK1464" s="831">
        <v>41800000</v>
      </c>
      <c r="AP1464" s="831" t="str">
        <f t="shared" si="67"/>
        <v/>
      </c>
    </row>
    <row r="1465" spans="2:42">
      <c r="B1465" s="834" t="str">
        <f t="shared" si="66"/>
        <v>|||</v>
      </c>
      <c r="H1465" s="835">
        <f t="shared" si="68"/>
        <v>31</v>
      </c>
      <c r="AF1465" s="831" t="s">
        <v>2156</v>
      </c>
      <c r="AG1465" s="831" t="s">
        <v>55</v>
      </c>
      <c r="AH1465" s="831" t="s">
        <v>125</v>
      </c>
      <c r="AI1465" s="831">
        <v>0</v>
      </c>
      <c r="AJ1465" s="835">
        <v>40451</v>
      </c>
      <c r="AK1465" s="831">
        <v>27033215.0314565</v>
      </c>
      <c r="AP1465" s="831" t="str">
        <f t="shared" si="67"/>
        <v/>
      </c>
    </row>
    <row r="1466" spans="2:42">
      <c r="B1466" s="834" t="str">
        <f t="shared" si="66"/>
        <v>|||</v>
      </c>
      <c r="H1466" s="835">
        <f t="shared" si="68"/>
        <v>31</v>
      </c>
      <c r="AF1466" s="831" t="s">
        <v>2157</v>
      </c>
      <c r="AG1466" s="831" t="s">
        <v>55</v>
      </c>
      <c r="AH1466" s="831" t="s">
        <v>66</v>
      </c>
      <c r="AI1466" s="831">
        <v>0</v>
      </c>
      <c r="AJ1466" s="835">
        <v>40482</v>
      </c>
      <c r="AK1466" s="831">
        <v>76367696.8292</v>
      </c>
      <c r="AP1466" s="831" t="str">
        <f t="shared" si="67"/>
        <v/>
      </c>
    </row>
    <row r="1467" spans="2:42">
      <c r="B1467" s="834" t="str">
        <f t="shared" si="66"/>
        <v>|||</v>
      </c>
      <c r="H1467" s="835">
        <f t="shared" si="68"/>
        <v>31</v>
      </c>
      <c r="AF1467" s="831" t="s">
        <v>2158</v>
      </c>
      <c r="AG1467" s="831" t="s">
        <v>55</v>
      </c>
      <c r="AH1467" s="831" t="s">
        <v>71</v>
      </c>
      <c r="AI1467" s="831">
        <v>0</v>
      </c>
      <c r="AJ1467" s="835">
        <v>40482</v>
      </c>
      <c r="AK1467" s="831">
        <v>0</v>
      </c>
      <c r="AP1467" s="831" t="str">
        <f t="shared" si="67"/>
        <v/>
      </c>
    </row>
    <row r="1468" spans="2:42">
      <c r="B1468" s="834" t="str">
        <f t="shared" si="66"/>
        <v>|||</v>
      </c>
      <c r="H1468" s="835">
        <f t="shared" si="68"/>
        <v>31</v>
      </c>
      <c r="AF1468" s="831" t="s">
        <v>2159</v>
      </c>
      <c r="AG1468" s="831" t="s">
        <v>55</v>
      </c>
      <c r="AH1468" s="831" t="s">
        <v>76</v>
      </c>
      <c r="AI1468" s="831">
        <v>0</v>
      </c>
      <c r="AJ1468" s="835">
        <v>40482</v>
      </c>
      <c r="AK1468" s="831">
        <v>63204320.959200002</v>
      </c>
      <c r="AP1468" s="831" t="str">
        <f t="shared" si="67"/>
        <v/>
      </c>
    </row>
    <row r="1469" spans="2:42">
      <c r="B1469" s="834" t="str">
        <f t="shared" si="66"/>
        <v>|||</v>
      </c>
      <c r="H1469" s="835">
        <f t="shared" si="68"/>
        <v>31</v>
      </c>
      <c r="AF1469" s="831" t="s">
        <v>2160</v>
      </c>
      <c r="AG1469" s="831" t="s">
        <v>55</v>
      </c>
      <c r="AH1469" s="831" t="s">
        <v>81</v>
      </c>
      <c r="AI1469" s="831">
        <v>0</v>
      </c>
      <c r="AJ1469" s="835">
        <v>40482</v>
      </c>
      <c r="AK1469" s="831">
        <v>13163375.869999999</v>
      </c>
      <c r="AP1469" s="831" t="str">
        <f t="shared" si="67"/>
        <v/>
      </c>
    </row>
    <row r="1470" spans="2:42">
      <c r="B1470" s="834" t="str">
        <f t="shared" si="66"/>
        <v>|||</v>
      </c>
      <c r="H1470" s="835">
        <f t="shared" si="68"/>
        <v>31</v>
      </c>
      <c r="AF1470" s="831" t="s">
        <v>2161</v>
      </c>
      <c r="AG1470" s="831" t="s">
        <v>55</v>
      </c>
      <c r="AH1470" s="831" t="s">
        <v>10</v>
      </c>
      <c r="AI1470" s="831">
        <v>0</v>
      </c>
      <c r="AJ1470" s="835">
        <v>40482</v>
      </c>
      <c r="AK1470" s="831">
        <v>283655538.41219997</v>
      </c>
      <c r="AP1470" s="831" t="str">
        <f t="shared" si="67"/>
        <v/>
      </c>
    </row>
    <row r="1471" spans="2:42">
      <c r="B1471" s="834" t="str">
        <f t="shared" si="66"/>
        <v>|||</v>
      </c>
      <c r="H1471" s="835">
        <f t="shared" si="68"/>
        <v>31</v>
      </c>
      <c r="AF1471" s="831" t="s">
        <v>2162</v>
      </c>
      <c r="AG1471" s="831" t="s">
        <v>55</v>
      </c>
      <c r="AH1471" s="831" t="s">
        <v>91</v>
      </c>
      <c r="AI1471" s="831">
        <v>0</v>
      </c>
      <c r="AJ1471" s="835">
        <v>40482</v>
      </c>
      <c r="AK1471" s="831">
        <v>-7404049.6500000004</v>
      </c>
      <c r="AP1471" s="831" t="str">
        <f t="shared" si="67"/>
        <v/>
      </c>
    </row>
    <row r="1472" spans="2:42">
      <c r="B1472" s="834" t="str">
        <f t="shared" si="66"/>
        <v>|||</v>
      </c>
      <c r="H1472" s="835">
        <f t="shared" si="68"/>
        <v>31</v>
      </c>
      <c r="AF1472" s="831" t="s">
        <v>2163</v>
      </c>
      <c r="AG1472" s="831" t="s">
        <v>55</v>
      </c>
      <c r="AH1472" s="831" t="s">
        <v>94</v>
      </c>
      <c r="AI1472" s="831">
        <v>0</v>
      </c>
      <c r="AJ1472" s="835">
        <v>40482</v>
      </c>
      <c r="AK1472" s="831">
        <v>15768829.3895</v>
      </c>
      <c r="AP1472" s="831" t="str">
        <f t="shared" si="67"/>
        <v/>
      </c>
    </row>
    <row r="1473" spans="2:42">
      <c r="B1473" s="834" t="str">
        <f t="shared" si="66"/>
        <v>|||</v>
      </c>
      <c r="H1473" s="835">
        <f t="shared" si="68"/>
        <v>31</v>
      </c>
      <c r="AF1473" s="831" t="s">
        <v>2164</v>
      </c>
      <c r="AG1473" s="831" t="s">
        <v>55</v>
      </c>
      <c r="AH1473" s="831" t="s">
        <v>103</v>
      </c>
      <c r="AI1473" s="831">
        <v>0</v>
      </c>
      <c r="AJ1473" s="835">
        <v>40482</v>
      </c>
      <c r="AK1473" s="831">
        <v>117952241.18279999</v>
      </c>
      <c r="AP1473" s="831" t="str">
        <f t="shared" si="67"/>
        <v/>
      </c>
    </row>
    <row r="1474" spans="2:42">
      <c r="B1474" s="834" t="str">
        <f t="shared" si="66"/>
        <v>|||</v>
      </c>
      <c r="H1474" s="835">
        <f t="shared" si="68"/>
        <v>31</v>
      </c>
      <c r="AF1474" s="831" t="s">
        <v>2165</v>
      </c>
      <c r="AG1474" s="831" t="s">
        <v>55</v>
      </c>
      <c r="AH1474" s="831" t="s">
        <v>108</v>
      </c>
      <c r="AI1474" s="831">
        <v>0</v>
      </c>
      <c r="AJ1474" s="835">
        <v>40482</v>
      </c>
      <c r="AK1474" s="831">
        <v>0</v>
      </c>
      <c r="AP1474" s="831" t="str">
        <f t="shared" si="67"/>
        <v/>
      </c>
    </row>
    <row r="1475" spans="2:42">
      <c r="B1475" s="834" t="str">
        <f t="shared" ref="B1475:B1538" si="69">C1475&amp;"|"&amp;D1475&amp;"|"&amp;E1475&amp;"|"&amp;F1475</f>
        <v>|||</v>
      </c>
      <c r="H1475" s="835">
        <f t="shared" si="68"/>
        <v>31</v>
      </c>
      <c r="AF1475" s="831" t="s">
        <v>2166</v>
      </c>
      <c r="AG1475" s="831" t="s">
        <v>55</v>
      </c>
      <c r="AH1475" s="831" t="s">
        <v>110</v>
      </c>
      <c r="AI1475" s="831">
        <v>0</v>
      </c>
      <c r="AJ1475" s="835">
        <v>40482</v>
      </c>
      <c r="AK1475" s="831">
        <v>169327858.66999999</v>
      </c>
      <c r="AP1475" s="831" t="str">
        <f t="shared" ref="AP1475:AP1538" si="70">IF(AX1475&lt;&gt;"",IF(OR(AX1475=3,AX1475=4),"Equity","Debt"),"")</f>
        <v/>
      </c>
    </row>
    <row r="1476" spans="2:42">
      <c r="B1476" s="834" t="str">
        <f t="shared" si="69"/>
        <v>|||</v>
      </c>
      <c r="H1476" s="835">
        <f t="shared" ref="H1476:H1539" si="71">EOMONTH(L1476,0)</f>
        <v>31</v>
      </c>
      <c r="AF1476" s="831" t="s">
        <v>2167</v>
      </c>
      <c r="AG1476" s="831" t="s">
        <v>55</v>
      </c>
      <c r="AH1476" s="831" t="s">
        <v>112</v>
      </c>
      <c r="AI1476" s="831">
        <v>0</v>
      </c>
      <c r="AJ1476" s="835">
        <v>40482</v>
      </c>
      <c r="AK1476" s="831">
        <v>0</v>
      </c>
      <c r="AP1476" s="831" t="str">
        <f t="shared" si="70"/>
        <v/>
      </c>
    </row>
    <row r="1477" spans="2:42">
      <c r="B1477" s="834" t="str">
        <f t="shared" si="69"/>
        <v>|||</v>
      </c>
      <c r="H1477" s="835">
        <f t="shared" si="71"/>
        <v>31</v>
      </c>
      <c r="AF1477" s="831" t="s">
        <v>2168</v>
      </c>
      <c r="AG1477" s="831" t="s">
        <v>55</v>
      </c>
      <c r="AH1477" s="831" t="s">
        <v>114</v>
      </c>
      <c r="AI1477" s="831">
        <v>0</v>
      </c>
      <c r="AJ1477" s="835">
        <v>40482</v>
      </c>
      <c r="AK1477" s="831">
        <v>161152295.31</v>
      </c>
      <c r="AP1477" s="831" t="str">
        <f t="shared" si="70"/>
        <v/>
      </c>
    </row>
    <row r="1478" spans="2:42">
      <c r="B1478" s="834" t="str">
        <f t="shared" si="69"/>
        <v>|||</v>
      </c>
      <c r="H1478" s="835">
        <f t="shared" si="71"/>
        <v>31</v>
      </c>
      <c r="AF1478" s="831" t="s">
        <v>2169</v>
      </c>
      <c r="AG1478" s="831" t="s">
        <v>55</v>
      </c>
      <c r="AH1478" s="831" t="s">
        <v>116</v>
      </c>
      <c r="AI1478" s="831">
        <v>0</v>
      </c>
      <c r="AJ1478" s="835">
        <v>40482</v>
      </c>
      <c r="AK1478" s="831">
        <v>8175563.3600000003</v>
      </c>
      <c r="AP1478" s="831" t="str">
        <f t="shared" si="70"/>
        <v/>
      </c>
    </row>
    <row r="1479" spans="2:42">
      <c r="B1479" s="834" t="str">
        <f t="shared" si="69"/>
        <v>|||</v>
      </c>
      <c r="H1479" s="835">
        <f t="shared" si="71"/>
        <v>31</v>
      </c>
      <c r="AF1479" s="831" t="s">
        <v>2170</v>
      </c>
      <c r="AG1479" s="831" t="s">
        <v>55</v>
      </c>
      <c r="AH1479" s="831" t="s">
        <v>117</v>
      </c>
      <c r="AI1479" s="831">
        <v>0</v>
      </c>
      <c r="AJ1479" s="835">
        <v>40482</v>
      </c>
      <c r="AK1479" s="831">
        <v>9688908.9901999999</v>
      </c>
      <c r="AP1479" s="831" t="str">
        <f t="shared" si="70"/>
        <v/>
      </c>
    </row>
    <row r="1480" spans="2:42">
      <c r="B1480" s="834" t="str">
        <f t="shared" si="69"/>
        <v>|||</v>
      </c>
      <c r="H1480" s="835">
        <f t="shared" si="71"/>
        <v>31</v>
      </c>
      <c r="AF1480" s="831" t="s">
        <v>2171</v>
      </c>
      <c r="AG1480" s="831" t="s">
        <v>55</v>
      </c>
      <c r="AH1480" s="831" t="s">
        <v>123</v>
      </c>
      <c r="AI1480" s="831">
        <v>0</v>
      </c>
      <c r="AJ1480" s="835">
        <v>40482</v>
      </c>
      <c r="AK1480" s="831">
        <v>41800000</v>
      </c>
      <c r="AP1480" s="831" t="str">
        <f t="shared" si="70"/>
        <v/>
      </c>
    </row>
    <row r="1481" spans="2:42">
      <c r="B1481" s="834" t="str">
        <f t="shared" si="69"/>
        <v>|||</v>
      </c>
      <c r="H1481" s="835">
        <f t="shared" si="71"/>
        <v>31</v>
      </c>
      <c r="AF1481" s="831" t="s">
        <v>2172</v>
      </c>
      <c r="AG1481" s="831" t="s">
        <v>55</v>
      </c>
      <c r="AH1481" s="831" t="s">
        <v>125</v>
      </c>
      <c r="AI1481" s="831">
        <v>0</v>
      </c>
      <c r="AJ1481" s="835">
        <v>40482</v>
      </c>
      <c r="AK1481" s="831">
        <v>29619006.611349799</v>
      </c>
      <c r="AP1481" s="831" t="str">
        <f t="shared" si="70"/>
        <v/>
      </c>
    </row>
    <row r="1482" spans="2:42">
      <c r="B1482" s="834" t="str">
        <f t="shared" si="69"/>
        <v>|||</v>
      </c>
      <c r="H1482" s="835">
        <f t="shared" si="71"/>
        <v>31</v>
      </c>
      <c r="AF1482" s="831" t="s">
        <v>2173</v>
      </c>
      <c r="AG1482" s="831" t="s">
        <v>55</v>
      </c>
      <c r="AH1482" s="831" t="s">
        <v>66</v>
      </c>
      <c r="AI1482" s="831">
        <v>0</v>
      </c>
      <c r="AJ1482" s="835">
        <v>40512</v>
      </c>
      <c r="AK1482" s="831">
        <v>62233776.3301</v>
      </c>
      <c r="AP1482" s="831" t="str">
        <f t="shared" si="70"/>
        <v/>
      </c>
    </row>
    <row r="1483" spans="2:42">
      <c r="B1483" s="834" t="str">
        <f t="shared" si="69"/>
        <v>|||</v>
      </c>
      <c r="H1483" s="835">
        <f t="shared" si="71"/>
        <v>31</v>
      </c>
      <c r="AF1483" s="831" t="s">
        <v>2174</v>
      </c>
      <c r="AG1483" s="831" t="s">
        <v>55</v>
      </c>
      <c r="AH1483" s="831" t="s">
        <v>71</v>
      </c>
      <c r="AI1483" s="831">
        <v>0</v>
      </c>
      <c r="AJ1483" s="835">
        <v>40512</v>
      </c>
      <c r="AK1483" s="831">
        <v>0</v>
      </c>
      <c r="AP1483" s="831" t="str">
        <f t="shared" si="70"/>
        <v/>
      </c>
    </row>
    <row r="1484" spans="2:42">
      <c r="B1484" s="834" t="str">
        <f t="shared" si="69"/>
        <v>|||</v>
      </c>
      <c r="H1484" s="835">
        <f t="shared" si="71"/>
        <v>31</v>
      </c>
      <c r="AF1484" s="831" t="s">
        <v>2175</v>
      </c>
      <c r="AG1484" s="831" t="s">
        <v>55</v>
      </c>
      <c r="AH1484" s="831" t="s">
        <v>76</v>
      </c>
      <c r="AI1484" s="831">
        <v>0</v>
      </c>
      <c r="AJ1484" s="835">
        <v>40512</v>
      </c>
      <c r="AK1484" s="831">
        <v>43051517.230099998</v>
      </c>
      <c r="AP1484" s="831" t="str">
        <f t="shared" si="70"/>
        <v/>
      </c>
    </row>
    <row r="1485" spans="2:42">
      <c r="B1485" s="834" t="str">
        <f t="shared" si="69"/>
        <v>|||</v>
      </c>
      <c r="H1485" s="835">
        <f t="shared" si="71"/>
        <v>31</v>
      </c>
      <c r="AF1485" s="831" t="s">
        <v>2176</v>
      </c>
      <c r="AG1485" s="831" t="s">
        <v>55</v>
      </c>
      <c r="AH1485" s="831" t="s">
        <v>81</v>
      </c>
      <c r="AI1485" s="831">
        <v>0</v>
      </c>
      <c r="AJ1485" s="835">
        <v>40512</v>
      </c>
      <c r="AK1485" s="831">
        <v>19182259.100000001</v>
      </c>
      <c r="AP1485" s="831" t="str">
        <f t="shared" si="70"/>
        <v/>
      </c>
    </row>
    <row r="1486" spans="2:42">
      <c r="B1486" s="834" t="str">
        <f t="shared" si="69"/>
        <v>|||</v>
      </c>
      <c r="H1486" s="835">
        <f t="shared" si="71"/>
        <v>31</v>
      </c>
      <c r="AF1486" s="831" t="s">
        <v>2177</v>
      </c>
      <c r="AG1486" s="831" t="s">
        <v>55</v>
      </c>
      <c r="AH1486" s="831" t="s">
        <v>10</v>
      </c>
      <c r="AI1486" s="831">
        <v>0</v>
      </c>
      <c r="AJ1486" s="835">
        <v>40512</v>
      </c>
      <c r="AK1486" s="831">
        <v>278287822.81400001</v>
      </c>
      <c r="AP1486" s="831" t="str">
        <f t="shared" si="70"/>
        <v/>
      </c>
    </row>
    <row r="1487" spans="2:42">
      <c r="B1487" s="834" t="str">
        <f t="shared" si="69"/>
        <v>|||</v>
      </c>
      <c r="H1487" s="835">
        <f t="shared" si="71"/>
        <v>31</v>
      </c>
      <c r="AF1487" s="831" t="s">
        <v>2178</v>
      </c>
      <c r="AG1487" s="831" t="s">
        <v>55</v>
      </c>
      <c r="AH1487" s="831" t="s">
        <v>91</v>
      </c>
      <c r="AI1487" s="831">
        <v>0</v>
      </c>
      <c r="AJ1487" s="835">
        <v>40512</v>
      </c>
      <c r="AK1487" s="831">
        <v>-7618416.1397599997</v>
      </c>
      <c r="AP1487" s="831" t="str">
        <f t="shared" si="70"/>
        <v/>
      </c>
    </row>
    <row r="1488" spans="2:42">
      <c r="B1488" s="834" t="str">
        <f t="shared" si="69"/>
        <v>|||</v>
      </c>
      <c r="H1488" s="835">
        <f t="shared" si="71"/>
        <v>31</v>
      </c>
      <c r="AF1488" s="831" t="s">
        <v>2179</v>
      </c>
      <c r="AG1488" s="831" t="s">
        <v>55</v>
      </c>
      <c r="AH1488" s="831" t="s">
        <v>94</v>
      </c>
      <c r="AI1488" s="831">
        <v>0</v>
      </c>
      <c r="AJ1488" s="835">
        <v>40512</v>
      </c>
      <c r="AK1488" s="831">
        <v>36949260.119999997</v>
      </c>
      <c r="AP1488" s="831" t="str">
        <f t="shared" si="70"/>
        <v/>
      </c>
    </row>
    <row r="1489" spans="2:42">
      <c r="B1489" s="834" t="str">
        <f t="shared" si="69"/>
        <v>|||</v>
      </c>
      <c r="H1489" s="835">
        <f t="shared" si="71"/>
        <v>31</v>
      </c>
      <c r="AF1489" s="831" t="s">
        <v>2180</v>
      </c>
      <c r="AG1489" s="831" t="s">
        <v>55</v>
      </c>
      <c r="AH1489" s="831" t="s">
        <v>103</v>
      </c>
      <c r="AI1489" s="831">
        <v>0</v>
      </c>
      <c r="AJ1489" s="835">
        <v>40512</v>
      </c>
      <c r="AK1489" s="831">
        <v>119350963.83400001</v>
      </c>
      <c r="AP1489" s="831" t="str">
        <f t="shared" si="70"/>
        <v/>
      </c>
    </row>
    <row r="1490" spans="2:42">
      <c r="B1490" s="834" t="str">
        <f t="shared" si="69"/>
        <v>|||</v>
      </c>
      <c r="H1490" s="835">
        <f t="shared" si="71"/>
        <v>31</v>
      </c>
      <c r="AF1490" s="831" t="s">
        <v>2181</v>
      </c>
      <c r="AG1490" s="831" t="s">
        <v>55</v>
      </c>
      <c r="AH1490" s="831" t="s">
        <v>108</v>
      </c>
      <c r="AI1490" s="831">
        <v>0</v>
      </c>
      <c r="AJ1490" s="835">
        <v>40512</v>
      </c>
      <c r="AK1490" s="831">
        <v>0</v>
      </c>
      <c r="AP1490" s="831" t="str">
        <f t="shared" si="70"/>
        <v/>
      </c>
    </row>
    <row r="1491" spans="2:42">
      <c r="B1491" s="834" t="str">
        <f t="shared" si="69"/>
        <v>|||</v>
      </c>
      <c r="H1491" s="835">
        <f t="shared" si="71"/>
        <v>31</v>
      </c>
      <c r="AF1491" s="831" t="s">
        <v>2182</v>
      </c>
      <c r="AG1491" s="831" t="s">
        <v>55</v>
      </c>
      <c r="AH1491" s="831" t="s">
        <v>110</v>
      </c>
      <c r="AI1491" s="831">
        <v>0</v>
      </c>
      <c r="AJ1491" s="835">
        <v>40512</v>
      </c>
      <c r="AK1491" s="831">
        <v>166805670.27810001</v>
      </c>
      <c r="AP1491" s="831" t="str">
        <f t="shared" si="70"/>
        <v/>
      </c>
    </row>
    <row r="1492" spans="2:42">
      <c r="B1492" s="834" t="str">
        <f t="shared" si="69"/>
        <v>|||</v>
      </c>
      <c r="H1492" s="835">
        <f t="shared" si="71"/>
        <v>31</v>
      </c>
      <c r="AF1492" s="831" t="s">
        <v>2183</v>
      </c>
      <c r="AG1492" s="831" t="s">
        <v>55</v>
      </c>
      <c r="AH1492" s="831" t="s">
        <v>112</v>
      </c>
      <c r="AI1492" s="831">
        <v>0</v>
      </c>
      <c r="AJ1492" s="835">
        <v>40512</v>
      </c>
      <c r="AK1492" s="831">
        <v>0</v>
      </c>
      <c r="AP1492" s="831" t="str">
        <f t="shared" si="70"/>
        <v/>
      </c>
    </row>
    <row r="1493" spans="2:42">
      <c r="B1493" s="834" t="str">
        <f t="shared" si="69"/>
        <v>|||</v>
      </c>
      <c r="H1493" s="835">
        <f t="shared" si="71"/>
        <v>31</v>
      </c>
      <c r="AF1493" s="831" t="s">
        <v>2184</v>
      </c>
      <c r="AG1493" s="831" t="s">
        <v>55</v>
      </c>
      <c r="AH1493" s="831" t="s">
        <v>114</v>
      </c>
      <c r="AI1493" s="831">
        <v>0</v>
      </c>
      <c r="AJ1493" s="835">
        <v>40512</v>
      </c>
      <c r="AK1493" s="831">
        <v>158634191.1221</v>
      </c>
      <c r="AP1493" s="831" t="str">
        <f t="shared" si="70"/>
        <v/>
      </c>
    </row>
    <row r="1494" spans="2:42">
      <c r="B1494" s="834" t="str">
        <f t="shared" si="69"/>
        <v>|||</v>
      </c>
      <c r="H1494" s="835">
        <f t="shared" si="71"/>
        <v>31</v>
      </c>
      <c r="AF1494" s="831" t="s">
        <v>2185</v>
      </c>
      <c r="AG1494" s="831" t="s">
        <v>55</v>
      </c>
      <c r="AH1494" s="831" t="s">
        <v>116</v>
      </c>
      <c r="AI1494" s="831">
        <v>0</v>
      </c>
      <c r="AJ1494" s="835">
        <v>40512</v>
      </c>
      <c r="AK1494" s="831">
        <v>8171479.1560000004</v>
      </c>
      <c r="AP1494" s="831" t="str">
        <f t="shared" si="70"/>
        <v/>
      </c>
    </row>
    <row r="1495" spans="2:42">
      <c r="B1495" s="834" t="str">
        <f t="shared" si="69"/>
        <v>|||</v>
      </c>
      <c r="H1495" s="835">
        <f t="shared" si="71"/>
        <v>31</v>
      </c>
      <c r="AF1495" s="831" t="s">
        <v>2186</v>
      </c>
      <c r="AG1495" s="831" t="s">
        <v>55</v>
      </c>
      <c r="AH1495" s="831" t="s">
        <v>117</v>
      </c>
      <c r="AI1495" s="831">
        <v>0</v>
      </c>
      <c r="AJ1495" s="835">
        <v>40512</v>
      </c>
      <c r="AK1495" s="831">
        <v>10462291</v>
      </c>
      <c r="AP1495" s="831" t="str">
        <f t="shared" si="70"/>
        <v/>
      </c>
    </row>
    <row r="1496" spans="2:42">
      <c r="B1496" s="834" t="str">
        <f t="shared" si="69"/>
        <v>|||</v>
      </c>
      <c r="H1496" s="835">
        <f t="shared" si="71"/>
        <v>31</v>
      </c>
      <c r="AF1496" s="831" t="s">
        <v>2187</v>
      </c>
      <c r="AG1496" s="831" t="s">
        <v>55</v>
      </c>
      <c r="AH1496" s="831" t="s">
        <v>123</v>
      </c>
      <c r="AI1496" s="831">
        <v>0</v>
      </c>
      <c r="AJ1496" s="835">
        <v>40512</v>
      </c>
      <c r="AK1496" s="831">
        <v>41800000</v>
      </c>
      <c r="AP1496" s="831" t="str">
        <f t="shared" si="70"/>
        <v/>
      </c>
    </row>
    <row r="1497" spans="2:42">
      <c r="B1497" s="834" t="str">
        <f t="shared" si="69"/>
        <v>|||</v>
      </c>
      <c r="H1497" s="835">
        <f t="shared" si="71"/>
        <v>31</v>
      </c>
      <c r="AF1497" s="831" t="s">
        <v>2188</v>
      </c>
      <c r="AG1497" s="831" t="s">
        <v>55</v>
      </c>
      <c r="AH1497" s="831" t="s">
        <v>125</v>
      </c>
      <c r="AI1497" s="831">
        <v>0</v>
      </c>
      <c r="AJ1497" s="835">
        <v>40512</v>
      </c>
      <c r="AK1497" s="831">
        <v>31433518.2642643</v>
      </c>
      <c r="AP1497" s="831" t="str">
        <f t="shared" si="70"/>
        <v/>
      </c>
    </row>
    <row r="1498" spans="2:42">
      <c r="B1498" s="834" t="str">
        <f t="shared" si="69"/>
        <v>|||</v>
      </c>
      <c r="H1498" s="835">
        <f t="shared" si="71"/>
        <v>31</v>
      </c>
      <c r="AF1498" s="831" t="s">
        <v>2189</v>
      </c>
      <c r="AG1498" s="831" t="s">
        <v>55</v>
      </c>
      <c r="AH1498" s="831" t="s">
        <v>66</v>
      </c>
      <c r="AI1498" s="831">
        <v>0</v>
      </c>
      <c r="AJ1498" s="835">
        <v>40543</v>
      </c>
      <c r="AK1498" s="831">
        <v>65413328.620949998</v>
      </c>
      <c r="AP1498" s="831" t="str">
        <f t="shared" si="70"/>
        <v/>
      </c>
    </row>
    <row r="1499" spans="2:42">
      <c r="B1499" s="834" t="str">
        <f t="shared" si="69"/>
        <v>|||</v>
      </c>
      <c r="H1499" s="835">
        <f t="shared" si="71"/>
        <v>31</v>
      </c>
      <c r="AF1499" s="831" t="s">
        <v>2190</v>
      </c>
      <c r="AG1499" s="831" t="s">
        <v>55</v>
      </c>
      <c r="AH1499" s="831" t="s">
        <v>71</v>
      </c>
      <c r="AI1499" s="831">
        <v>0</v>
      </c>
      <c r="AJ1499" s="835">
        <v>40543</v>
      </c>
      <c r="AK1499" s="831">
        <v>0</v>
      </c>
      <c r="AP1499" s="831" t="str">
        <f t="shared" si="70"/>
        <v/>
      </c>
    </row>
    <row r="1500" spans="2:42">
      <c r="B1500" s="834" t="str">
        <f t="shared" si="69"/>
        <v>|||</v>
      </c>
      <c r="H1500" s="835">
        <f t="shared" si="71"/>
        <v>31</v>
      </c>
      <c r="AF1500" s="831" t="s">
        <v>2191</v>
      </c>
      <c r="AG1500" s="831" t="s">
        <v>55</v>
      </c>
      <c r="AH1500" s="831" t="s">
        <v>76</v>
      </c>
      <c r="AI1500" s="831">
        <v>0</v>
      </c>
      <c r="AJ1500" s="835">
        <v>40543</v>
      </c>
      <c r="AK1500" s="831">
        <v>31497328.039999999</v>
      </c>
      <c r="AP1500" s="831" t="str">
        <f t="shared" si="70"/>
        <v/>
      </c>
    </row>
    <row r="1501" spans="2:42">
      <c r="B1501" s="834" t="str">
        <f t="shared" si="69"/>
        <v>|||</v>
      </c>
      <c r="H1501" s="835">
        <f t="shared" si="71"/>
        <v>31</v>
      </c>
      <c r="AF1501" s="831" t="s">
        <v>2192</v>
      </c>
      <c r="AG1501" s="831" t="s">
        <v>55</v>
      </c>
      <c r="AH1501" s="831" t="s">
        <v>81</v>
      </c>
      <c r="AI1501" s="831">
        <v>0</v>
      </c>
      <c r="AJ1501" s="835">
        <v>40543</v>
      </c>
      <c r="AK1501" s="831">
        <v>33916000.580949999</v>
      </c>
      <c r="AP1501" s="831" t="str">
        <f t="shared" si="70"/>
        <v/>
      </c>
    </row>
    <row r="1502" spans="2:42">
      <c r="B1502" s="834" t="str">
        <f t="shared" si="69"/>
        <v>|||</v>
      </c>
      <c r="H1502" s="835">
        <f t="shared" si="71"/>
        <v>31</v>
      </c>
      <c r="AF1502" s="831" t="s">
        <v>2193</v>
      </c>
      <c r="AG1502" s="831" t="s">
        <v>55</v>
      </c>
      <c r="AH1502" s="831" t="s">
        <v>10</v>
      </c>
      <c r="AI1502" s="831">
        <v>0</v>
      </c>
      <c r="AJ1502" s="835">
        <v>40543</v>
      </c>
      <c r="AK1502" s="831">
        <v>271821392.95060301</v>
      </c>
      <c r="AP1502" s="831" t="str">
        <f t="shared" si="70"/>
        <v/>
      </c>
    </row>
    <row r="1503" spans="2:42">
      <c r="B1503" s="834" t="str">
        <f t="shared" si="69"/>
        <v>|||</v>
      </c>
      <c r="H1503" s="835">
        <f t="shared" si="71"/>
        <v>31</v>
      </c>
      <c r="AF1503" s="831" t="s">
        <v>2194</v>
      </c>
      <c r="AG1503" s="831" t="s">
        <v>55</v>
      </c>
      <c r="AH1503" s="831" t="s">
        <v>91</v>
      </c>
      <c r="AI1503" s="831">
        <v>0</v>
      </c>
      <c r="AJ1503" s="835">
        <v>40543</v>
      </c>
      <c r="AK1503" s="831">
        <v>-7634619.6799999997</v>
      </c>
      <c r="AP1503" s="831" t="str">
        <f t="shared" si="70"/>
        <v/>
      </c>
    </row>
    <row r="1504" spans="2:42">
      <c r="B1504" s="834" t="str">
        <f t="shared" si="69"/>
        <v>|||</v>
      </c>
      <c r="H1504" s="835">
        <f t="shared" si="71"/>
        <v>31</v>
      </c>
      <c r="AF1504" s="831" t="s">
        <v>2195</v>
      </c>
      <c r="AG1504" s="831" t="s">
        <v>55</v>
      </c>
      <c r="AH1504" s="831" t="s">
        <v>94</v>
      </c>
      <c r="AI1504" s="831">
        <v>0</v>
      </c>
      <c r="AJ1504" s="835">
        <v>40543</v>
      </c>
      <c r="AK1504" s="831">
        <v>36561770.719700001</v>
      </c>
      <c r="AP1504" s="831" t="str">
        <f t="shared" si="70"/>
        <v/>
      </c>
    </row>
    <row r="1505" spans="2:42">
      <c r="B1505" s="834" t="str">
        <f t="shared" si="69"/>
        <v>|||</v>
      </c>
      <c r="H1505" s="835">
        <f t="shared" si="71"/>
        <v>31</v>
      </c>
      <c r="AF1505" s="831" t="s">
        <v>2196</v>
      </c>
      <c r="AG1505" s="831" t="s">
        <v>55</v>
      </c>
      <c r="AH1505" s="831" t="s">
        <v>103</v>
      </c>
      <c r="AI1505" s="831">
        <v>0</v>
      </c>
      <c r="AJ1505" s="835">
        <v>40543</v>
      </c>
      <c r="AK1505" s="831">
        <v>121333619.38420001</v>
      </c>
      <c r="AP1505" s="831" t="str">
        <f t="shared" si="70"/>
        <v/>
      </c>
    </row>
    <row r="1506" spans="2:42">
      <c r="B1506" s="834" t="str">
        <f t="shared" si="69"/>
        <v>|||</v>
      </c>
      <c r="H1506" s="835">
        <f t="shared" si="71"/>
        <v>31</v>
      </c>
      <c r="AF1506" s="831" t="s">
        <v>2197</v>
      </c>
      <c r="AG1506" s="831" t="s">
        <v>55</v>
      </c>
      <c r="AH1506" s="831" t="s">
        <v>108</v>
      </c>
      <c r="AI1506" s="831">
        <v>0</v>
      </c>
      <c r="AJ1506" s="835">
        <v>40543</v>
      </c>
      <c r="AK1506" s="831">
        <v>0</v>
      </c>
      <c r="AP1506" s="831" t="str">
        <f t="shared" si="70"/>
        <v/>
      </c>
    </row>
    <row r="1507" spans="2:42">
      <c r="B1507" s="834" t="str">
        <f t="shared" si="69"/>
        <v>|||</v>
      </c>
      <c r="H1507" s="835">
        <f t="shared" si="71"/>
        <v>31</v>
      </c>
      <c r="AF1507" s="831" t="s">
        <v>2198</v>
      </c>
      <c r="AG1507" s="831" t="s">
        <v>55</v>
      </c>
      <c r="AH1507" s="831" t="s">
        <v>110</v>
      </c>
      <c r="AI1507" s="831">
        <v>0</v>
      </c>
      <c r="AJ1507" s="835">
        <v>40543</v>
      </c>
      <c r="AK1507" s="831">
        <v>159617540.3971</v>
      </c>
      <c r="AP1507" s="831" t="str">
        <f t="shared" si="70"/>
        <v/>
      </c>
    </row>
    <row r="1508" spans="2:42">
      <c r="B1508" s="834" t="str">
        <f t="shared" si="69"/>
        <v>|||</v>
      </c>
      <c r="H1508" s="835">
        <f t="shared" si="71"/>
        <v>31</v>
      </c>
      <c r="AF1508" s="831" t="s">
        <v>2199</v>
      </c>
      <c r="AG1508" s="831" t="s">
        <v>55</v>
      </c>
      <c r="AH1508" s="831" t="s">
        <v>112</v>
      </c>
      <c r="AI1508" s="831">
        <v>0</v>
      </c>
      <c r="AJ1508" s="835">
        <v>40543</v>
      </c>
      <c r="AK1508" s="831">
        <v>0</v>
      </c>
      <c r="AP1508" s="831" t="str">
        <f t="shared" si="70"/>
        <v/>
      </c>
    </row>
    <row r="1509" spans="2:42">
      <c r="B1509" s="834" t="str">
        <f t="shared" si="69"/>
        <v>|||</v>
      </c>
      <c r="H1509" s="835">
        <f t="shared" si="71"/>
        <v>31</v>
      </c>
      <c r="AF1509" s="831" t="s">
        <v>2200</v>
      </c>
      <c r="AG1509" s="831" t="s">
        <v>55</v>
      </c>
      <c r="AH1509" s="831" t="s">
        <v>114</v>
      </c>
      <c r="AI1509" s="831">
        <v>0</v>
      </c>
      <c r="AJ1509" s="835">
        <v>40543</v>
      </c>
      <c r="AK1509" s="831">
        <v>151470566.48910001</v>
      </c>
      <c r="AP1509" s="831" t="str">
        <f t="shared" si="70"/>
        <v/>
      </c>
    </row>
    <row r="1510" spans="2:42">
      <c r="B1510" s="834" t="str">
        <f t="shared" si="69"/>
        <v>|||</v>
      </c>
      <c r="H1510" s="835">
        <f t="shared" si="71"/>
        <v>31</v>
      </c>
      <c r="AF1510" s="831" t="s">
        <v>2201</v>
      </c>
      <c r="AG1510" s="831" t="s">
        <v>55</v>
      </c>
      <c r="AH1510" s="831" t="s">
        <v>116</v>
      </c>
      <c r="AI1510" s="831">
        <v>0</v>
      </c>
      <c r="AJ1510" s="835">
        <v>40543</v>
      </c>
      <c r="AK1510" s="831">
        <v>8146973.9079999998</v>
      </c>
      <c r="AP1510" s="831" t="str">
        <f t="shared" si="70"/>
        <v/>
      </c>
    </row>
    <row r="1511" spans="2:42">
      <c r="B1511" s="834" t="str">
        <f t="shared" si="69"/>
        <v>|||</v>
      </c>
      <c r="H1511" s="835">
        <f t="shared" si="71"/>
        <v>31</v>
      </c>
      <c r="AF1511" s="831" t="s">
        <v>2202</v>
      </c>
      <c r="AG1511" s="831" t="s">
        <v>55</v>
      </c>
      <c r="AH1511" s="831" t="s">
        <v>117</v>
      </c>
      <c r="AI1511" s="831">
        <v>0</v>
      </c>
      <c r="AJ1511" s="835">
        <v>40543</v>
      </c>
      <c r="AK1511" s="831">
        <v>10358002.083799999</v>
      </c>
      <c r="AP1511" s="831" t="str">
        <f t="shared" si="70"/>
        <v/>
      </c>
    </row>
    <row r="1512" spans="2:42">
      <c r="B1512" s="834" t="str">
        <f t="shared" si="69"/>
        <v>|||</v>
      </c>
      <c r="H1512" s="835">
        <f t="shared" si="71"/>
        <v>31</v>
      </c>
      <c r="AF1512" s="831" t="s">
        <v>2203</v>
      </c>
      <c r="AG1512" s="831" t="s">
        <v>55</v>
      </c>
      <c r="AH1512" s="831" t="s">
        <v>123</v>
      </c>
      <c r="AI1512" s="831">
        <v>0</v>
      </c>
      <c r="AJ1512" s="835">
        <v>40543</v>
      </c>
      <c r="AK1512" s="831">
        <v>41800000</v>
      </c>
      <c r="AP1512" s="831" t="str">
        <f t="shared" si="70"/>
        <v/>
      </c>
    </row>
    <row r="1513" spans="2:42">
      <c r="B1513" s="834" t="str">
        <f t="shared" si="69"/>
        <v>|||</v>
      </c>
      <c r="H1513" s="835">
        <f t="shared" si="71"/>
        <v>31</v>
      </c>
      <c r="AF1513" s="831" t="s">
        <v>2204</v>
      </c>
      <c r="AG1513" s="831" t="s">
        <v>55</v>
      </c>
      <c r="AH1513" s="831" t="s">
        <v>125</v>
      </c>
      <c r="AI1513" s="831">
        <v>0</v>
      </c>
      <c r="AJ1513" s="835">
        <v>40543</v>
      </c>
      <c r="AK1513" s="831">
        <v>33052711.115403499</v>
      </c>
      <c r="AP1513" s="831" t="str">
        <f t="shared" si="70"/>
        <v/>
      </c>
    </row>
    <row r="1514" spans="2:42">
      <c r="B1514" s="834" t="str">
        <f t="shared" si="69"/>
        <v>|||</v>
      </c>
      <c r="H1514" s="835">
        <f t="shared" si="71"/>
        <v>31</v>
      </c>
      <c r="AF1514" s="831" t="s">
        <v>2205</v>
      </c>
      <c r="AG1514" s="831" t="s">
        <v>56</v>
      </c>
      <c r="AH1514" s="831" t="s">
        <v>65</v>
      </c>
      <c r="AI1514" s="831">
        <v>0</v>
      </c>
      <c r="AJ1514" s="835">
        <v>40209</v>
      </c>
      <c r="AK1514" s="831">
        <v>6918538</v>
      </c>
      <c r="AP1514" s="831" t="str">
        <f t="shared" si="70"/>
        <v/>
      </c>
    </row>
    <row r="1515" spans="2:42">
      <c r="B1515" s="834" t="str">
        <f t="shared" si="69"/>
        <v>|||</v>
      </c>
      <c r="H1515" s="835">
        <f t="shared" si="71"/>
        <v>31</v>
      </c>
      <c r="AF1515" s="831" t="s">
        <v>2206</v>
      </c>
      <c r="AG1515" s="831" t="s">
        <v>56</v>
      </c>
      <c r="AH1515" s="831" t="s">
        <v>67</v>
      </c>
      <c r="AI1515" s="831">
        <v>0</v>
      </c>
      <c r="AJ1515" s="835">
        <v>40209</v>
      </c>
      <c r="AK1515" s="831">
        <v>-1981278</v>
      </c>
      <c r="AP1515" s="831" t="str">
        <f t="shared" si="70"/>
        <v/>
      </c>
    </row>
    <row r="1516" spans="2:42">
      <c r="B1516" s="834" t="str">
        <f t="shared" si="69"/>
        <v>|||</v>
      </c>
      <c r="H1516" s="835">
        <f t="shared" si="71"/>
        <v>31</v>
      </c>
      <c r="AF1516" s="831" t="s">
        <v>2207</v>
      </c>
      <c r="AG1516" s="831" t="s">
        <v>56</v>
      </c>
      <c r="AH1516" s="831" t="s">
        <v>72</v>
      </c>
      <c r="AI1516" s="831">
        <v>0</v>
      </c>
      <c r="AJ1516" s="835">
        <v>40209</v>
      </c>
      <c r="AK1516" s="831">
        <v>0</v>
      </c>
      <c r="AP1516" s="831" t="str">
        <f t="shared" si="70"/>
        <v/>
      </c>
    </row>
    <row r="1517" spans="2:42">
      <c r="B1517" s="834" t="str">
        <f t="shared" si="69"/>
        <v>|||</v>
      </c>
      <c r="H1517" s="835">
        <f t="shared" si="71"/>
        <v>31</v>
      </c>
      <c r="AF1517" s="831" t="s">
        <v>2208</v>
      </c>
      <c r="AG1517" s="831" t="s">
        <v>56</v>
      </c>
      <c r="AH1517" s="831" t="s">
        <v>77</v>
      </c>
      <c r="AI1517" s="831">
        <v>0</v>
      </c>
      <c r="AJ1517" s="835">
        <v>40209</v>
      </c>
      <c r="AK1517" s="831">
        <v>-179183</v>
      </c>
      <c r="AP1517" s="831" t="str">
        <f t="shared" si="70"/>
        <v/>
      </c>
    </row>
    <row r="1518" spans="2:42">
      <c r="B1518" s="834" t="str">
        <f t="shared" si="69"/>
        <v>|||</v>
      </c>
      <c r="H1518" s="835">
        <f t="shared" si="71"/>
        <v>31</v>
      </c>
      <c r="AF1518" s="831" t="s">
        <v>2209</v>
      </c>
      <c r="AG1518" s="831" t="s">
        <v>56</v>
      </c>
      <c r="AH1518" s="831" t="s">
        <v>95</v>
      </c>
      <c r="AI1518" s="831">
        <v>0</v>
      </c>
      <c r="AJ1518" s="835">
        <v>40209</v>
      </c>
      <c r="AK1518" s="831">
        <v>0</v>
      </c>
      <c r="AP1518" s="831" t="str">
        <f t="shared" si="70"/>
        <v/>
      </c>
    </row>
    <row r="1519" spans="2:42">
      <c r="B1519" s="834" t="str">
        <f t="shared" si="69"/>
        <v>|||</v>
      </c>
      <c r="H1519" s="835">
        <f t="shared" si="71"/>
        <v>31</v>
      </c>
      <c r="AF1519" s="831" t="s">
        <v>2210</v>
      </c>
      <c r="AG1519" s="831" t="s">
        <v>56</v>
      </c>
      <c r="AH1519" s="831" t="s">
        <v>98</v>
      </c>
      <c r="AI1519" s="831">
        <v>0</v>
      </c>
      <c r="AJ1519" s="835">
        <v>40209</v>
      </c>
      <c r="AK1519" s="831">
        <v>-2543233</v>
      </c>
      <c r="AP1519" s="831" t="str">
        <f t="shared" si="70"/>
        <v/>
      </c>
    </row>
    <row r="1520" spans="2:42">
      <c r="B1520" s="834" t="str">
        <f t="shared" si="69"/>
        <v>|||</v>
      </c>
      <c r="H1520" s="835">
        <f t="shared" si="71"/>
        <v>31</v>
      </c>
      <c r="AF1520" s="831" t="s">
        <v>2211</v>
      </c>
      <c r="AG1520" s="831" t="s">
        <v>56</v>
      </c>
      <c r="AH1520" s="831" t="s">
        <v>106</v>
      </c>
      <c r="AI1520" s="831">
        <v>0</v>
      </c>
      <c r="AJ1520" s="835">
        <v>40209</v>
      </c>
      <c r="AK1520" s="831">
        <v>0</v>
      </c>
      <c r="AP1520" s="831" t="str">
        <f t="shared" si="70"/>
        <v/>
      </c>
    </row>
    <row r="1521" spans="2:42">
      <c r="B1521" s="834" t="str">
        <f t="shared" si="69"/>
        <v>|||</v>
      </c>
      <c r="H1521" s="835">
        <f t="shared" si="71"/>
        <v>31</v>
      </c>
      <c r="AF1521" s="831" t="s">
        <v>2212</v>
      </c>
      <c r="AG1521" s="831" t="s">
        <v>56</v>
      </c>
      <c r="AH1521" s="831" t="s">
        <v>109</v>
      </c>
      <c r="AI1521" s="831">
        <v>0</v>
      </c>
      <c r="AJ1521" s="835">
        <v>40209</v>
      </c>
      <c r="AK1521" s="831">
        <v>0</v>
      </c>
      <c r="AP1521" s="831" t="str">
        <f t="shared" si="70"/>
        <v/>
      </c>
    </row>
    <row r="1522" spans="2:42">
      <c r="B1522" s="834" t="str">
        <f t="shared" si="69"/>
        <v>|||</v>
      </c>
      <c r="H1522" s="835">
        <f t="shared" si="71"/>
        <v>31</v>
      </c>
      <c r="AF1522" s="831" t="s">
        <v>2213</v>
      </c>
      <c r="AG1522" s="831" t="s">
        <v>56</v>
      </c>
      <c r="AH1522" s="831" t="s">
        <v>118</v>
      </c>
      <c r="AI1522" s="831">
        <v>0</v>
      </c>
      <c r="AJ1522" s="835">
        <v>40209</v>
      </c>
      <c r="AK1522" s="831">
        <v>0</v>
      </c>
      <c r="AP1522" s="831" t="str">
        <f t="shared" si="70"/>
        <v/>
      </c>
    </row>
    <row r="1523" spans="2:42">
      <c r="B1523" s="834" t="str">
        <f t="shared" si="69"/>
        <v>|||</v>
      </c>
      <c r="H1523" s="835">
        <f t="shared" si="71"/>
        <v>31</v>
      </c>
      <c r="AF1523" s="831" t="s">
        <v>2214</v>
      </c>
      <c r="AG1523" s="831" t="s">
        <v>56</v>
      </c>
      <c r="AH1523" s="831" t="s">
        <v>122</v>
      </c>
      <c r="AI1523" s="831">
        <v>0</v>
      </c>
      <c r="AJ1523" s="835">
        <v>40209</v>
      </c>
      <c r="AK1523" s="831">
        <v>0</v>
      </c>
      <c r="AP1523" s="831" t="str">
        <f t="shared" si="70"/>
        <v/>
      </c>
    </row>
    <row r="1524" spans="2:42">
      <c r="B1524" s="834" t="str">
        <f t="shared" si="69"/>
        <v>|||</v>
      </c>
      <c r="H1524" s="835">
        <f t="shared" si="71"/>
        <v>31</v>
      </c>
      <c r="AF1524" s="831" t="s">
        <v>2215</v>
      </c>
      <c r="AG1524" s="831" t="s">
        <v>56</v>
      </c>
      <c r="AH1524" s="831" t="s">
        <v>128</v>
      </c>
      <c r="AI1524" s="831">
        <v>0</v>
      </c>
      <c r="AJ1524" s="835">
        <v>40209</v>
      </c>
      <c r="AK1524" s="831">
        <v>0</v>
      </c>
      <c r="AP1524" s="831" t="str">
        <f t="shared" si="70"/>
        <v/>
      </c>
    </row>
    <row r="1525" spans="2:42">
      <c r="B1525" s="834" t="str">
        <f t="shared" si="69"/>
        <v>|||</v>
      </c>
      <c r="H1525" s="835">
        <f t="shared" si="71"/>
        <v>31</v>
      </c>
      <c r="AF1525" s="831" t="s">
        <v>2216</v>
      </c>
      <c r="AG1525" s="831" t="s">
        <v>56</v>
      </c>
      <c r="AH1525" s="831" t="s">
        <v>65</v>
      </c>
      <c r="AI1525" s="831">
        <v>0</v>
      </c>
      <c r="AJ1525" s="835">
        <v>40237</v>
      </c>
      <c r="AK1525" s="831">
        <v>13411122</v>
      </c>
      <c r="AP1525" s="831" t="str">
        <f t="shared" si="70"/>
        <v/>
      </c>
    </row>
    <row r="1526" spans="2:42">
      <c r="B1526" s="834" t="str">
        <f t="shared" si="69"/>
        <v>|||</v>
      </c>
      <c r="H1526" s="835">
        <f t="shared" si="71"/>
        <v>31</v>
      </c>
      <c r="AF1526" s="831" t="s">
        <v>2217</v>
      </c>
      <c r="AG1526" s="831" t="s">
        <v>56</v>
      </c>
      <c r="AH1526" s="831" t="s">
        <v>67</v>
      </c>
      <c r="AI1526" s="831">
        <v>0</v>
      </c>
      <c r="AJ1526" s="835">
        <v>40237</v>
      </c>
      <c r="AK1526" s="831">
        <v>-3799541</v>
      </c>
      <c r="AP1526" s="831" t="str">
        <f t="shared" si="70"/>
        <v/>
      </c>
    </row>
    <row r="1527" spans="2:42">
      <c r="B1527" s="834" t="str">
        <f t="shared" si="69"/>
        <v>|||</v>
      </c>
      <c r="H1527" s="835">
        <f t="shared" si="71"/>
        <v>31</v>
      </c>
      <c r="AF1527" s="831" t="s">
        <v>2218</v>
      </c>
      <c r="AG1527" s="831" t="s">
        <v>56</v>
      </c>
      <c r="AH1527" s="831" t="s">
        <v>72</v>
      </c>
      <c r="AI1527" s="831">
        <v>0</v>
      </c>
      <c r="AJ1527" s="835">
        <v>40237</v>
      </c>
      <c r="AK1527" s="831">
        <v>0</v>
      </c>
      <c r="AP1527" s="831" t="str">
        <f t="shared" si="70"/>
        <v/>
      </c>
    </row>
    <row r="1528" spans="2:42">
      <c r="B1528" s="834" t="str">
        <f t="shared" si="69"/>
        <v>|||</v>
      </c>
      <c r="H1528" s="835">
        <f t="shared" si="71"/>
        <v>31</v>
      </c>
      <c r="AF1528" s="831" t="s">
        <v>2219</v>
      </c>
      <c r="AG1528" s="831" t="s">
        <v>56</v>
      </c>
      <c r="AH1528" s="831" t="s">
        <v>77</v>
      </c>
      <c r="AI1528" s="831">
        <v>0</v>
      </c>
      <c r="AJ1528" s="835">
        <v>40237</v>
      </c>
      <c r="AK1528" s="831">
        <v>-239723</v>
      </c>
      <c r="AP1528" s="831" t="str">
        <f t="shared" si="70"/>
        <v/>
      </c>
    </row>
    <row r="1529" spans="2:42">
      <c r="B1529" s="834" t="str">
        <f t="shared" si="69"/>
        <v>|||</v>
      </c>
      <c r="H1529" s="835">
        <f t="shared" si="71"/>
        <v>31</v>
      </c>
      <c r="AF1529" s="831" t="s">
        <v>2220</v>
      </c>
      <c r="AG1529" s="831" t="s">
        <v>56</v>
      </c>
      <c r="AH1529" s="831" t="s">
        <v>95</v>
      </c>
      <c r="AI1529" s="831">
        <v>0</v>
      </c>
      <c r="AJ1529" s="835">
        <v>40237</v>
      </c>
      <c r="AK1529" s="831">
        <v>0</v>
      </c>
      <c r="AP1529" s="831" t="str">
        <f t="shared" si="70"/>
        <v/>
      </c>
    </row>
    <row r="1530" spans="2:42">
      <c r="B1530" s="834" t="str">
        <f t="shared" si="69"/>
        <v>|||</v>
      </c>
      <c r="H1530" s="835">
        <f t="shared" si="71"/>
        <v>31</v>
      </c>
      <c r="AF1530" s="831" t="s">
        <v>2221</v>
      </c>
      <c r="AG1530" s="831" t="s">
        <v>56</v>
      </c>
      <c r="AH1530" s="831" t="s">
        <v>98</v>
      </c>
      <c r="AI1530" s="831">
        <v>0</v>
      </c>
      <c r="AJ1530" s="835">
        <v>40237</v>
      </c>
      <c r="AK1530" s="831">
        <v>-4962313</v>
      </c>
      <c r="AP1530" s="831" t="str">
        <f t="shared" si="70"/>
        <v/>
      </c>
    </row>
    <row r="1531" spans="2:42">
      <c r="B1531" s="834" t="str">
        <f t="shared" si="69"/>
        <v>|||</v>
      </c>
      <c r="H1531" s="835">
        <f t="shared" si="71"/>
        <v>31</v>
      </c>
      <c r="AF1531" s="831" t="s">
        <v>2222</v>
      </c>
      <c r="AG1531" s="831" t="s">
        <v>56</v>
      </c>
      <c r="AH1531" s="831" t="s">
        <v>106</v>
      </c>
      <c r="AI1531" s="831">
        <v>0</v>
      </c>
      <c r="AJ1531" s="835">
        <v>40237</v>
      </c>
      <c r="AK1531" s="831">
        <v>0</v>
      </c>
      <c r="AP1531" s="831" t="str">
        <f t="shared" si="70"/>
        <v/>
      </c>
    </row>
    <row r="1532" spans="2:42">
      <c r="B1532" s="834" t="str">
        <f t="shared" si="69"/>
        <v>|||</v>
      </c>
      <c r="H1532" s="835">
        <f t="shared" si="71"/>
        <v>31</v>
      </c>
      <c r="AF1532" s="831" t="s">
        <v>2223</v>
      </c>
      <c r="AG1532" s="831" t="s">
        <v>56</v>
      </c>
      <c r="AH1532" s="831" t="s">
        <v>109</v>
      </c>
      <c r="AI1532" s="831">
        <v>0</v>
      </c>
      <c r="AJ1532" s="835">
        <v>40237</v>
      </c>
      <c r="AK1532" s="831">
        <v>0</v>
      </c>
      <c r="AP1532" s="831" t="str">
        <f t="shared" si="70"/>
        <v/>
      </c>
    </row>
    <row r="1533" spans="2:42">
      <c r="B1533" s="834" t="str">
        <f t="shared" si="69"/>
        <v>|||</v>
      </c>
      <c r="H1533" s="835">
        <f t="shared" si="71"/>
        <v>31</v>
      </c>
      <c r="AF1533" s="831" t="s">
        <v>2224</v>
      </c>
      <c r="AG1533" s="831" t="s">
        <v>56</v>
      </c>
      <c r="AH1533" s="831" t="s">
        <v>118</v>
      </c>
      <c r="AI1533" s="831">
        <v>0</v>
      </c>
      <c r="AJ1533" s="835">
        <v>40237</v>
      </c>
      <c r="AK1533" s="831">
        <v>0</v>
      </c>
      <c r="AP1533" s="831" t="str">
        <f t="shared" si="70"/>
        <v/>
      </c>
    </row>
    <row r="1534" spans="2:42">
      <c r="B1534" s="834" t="str">
        <f t="shared" si="69"/>
        <v>|||</v>
      </c>
      <c r="H1534" s="835">
        <f t="shared" si="71"/>
        <v>31</v>
      </c>
      <c r="AF1534" s="831" t="s">
        <v>2225</v>
      </c>
      <c r="AG1534" s="831" t="s">
        <v>56</v>
      </c>
      <c r="AH1534" s="831" t="s">
        <v>122</v>
      </c>
      <c r="AI1534" s="831">
        <v>0</v>
      </c>
      <c r="AJ1534" s="835">
        <v>40237</v>
      </c>
      <c r="AK1534" s="831">
        <v>0</v>
      </c>
      <c r="AP1534" s="831" t="str">
        <f t="shared" si="70"/>
        <v/>
      </c>
    </row>
    <row r="1535" spans="2:42">
      <c r="B1535" s="834" t="str">
        <f t="shared" si="69"/>
        <v>|||</v>
      </c>
      <c r="H1535" s="835">
        <f t="shared" si="71"/>
        <v>31</v>
      </c>
      <c r="AF1535" s="831" t="s">
        <v>2226</v>
      </c>
      <c r="AG1535" s="831" t="s">
        <v>56</v>
      </c>
      <c r="AH1535" s="831" t="s">
        <v>128</v>
      </c>
      <c r="AI1535" s="831">
        <v>0</v>
      </c>
      <c r="AJ1535" s="835">
        <v>40237</v>
      </c>
      <c r="AK1535" s="831">
        <v>0</v>
      </c>
      <c r="AP1535" s="831" t="str">
        <f t="shared" si="70"/>
        <v/>
      </c>
    </row>
    <row r="1536" spans="2:42">
      <c r="B1536" s="834" t="str">
        <f t="shared" si="69"/>
        <v>|||</v>
      </c>
      <c r="H1536" s="835">
        <f t="shared" si="71"/>
        <v>31</v>
      </c>
      <c r="AF1536" s="831" t="s">
        <v>2227</v>
      </c>
      <c r="AG1536" s="831" t="s">
        <v>56</v>
      </c>
      <c r="AH1536" s="831" t="s">
        <v>65</v>
      </c>
      <c r="AI1536" s="831">
        <v>0</v>
      </c>
      <c r="AJ1536" s="835">
        <v>40268</v>
      </c>
      <c r="AK1536" s="831">
        <v>19969438</v>
      </c>
      <c r="AP1536" s="831" t="str">
        <f t="shared" si="70"/>
        <v/>
      </c>
    </row>
    <row r="1537" spans="2:42">
      <c r="B1537" s="834" t="str">
        <f t="shared" si="69"/>
        <v>|||</v>
      </c>
      <c r="H1537" s="835">
        <f t="shared" si="71"/>
        <v>31</v>
      </c>
      <c r="AF1537" s="831" t="s">
        <v>2228</v>
      </c>
      <c r="AG1537" s="831" t="s">
        <v>56</v>
      </c>
      <c r="AH1537" s="831" t="s">
        <v>67</v>
      </c>
      <c r="AI1537" s="831">
        <v>0</v>
      </c>
      <c r="AJ1537" s="835">
        <v>40268</v>
      </c>
      <c r="AK1537" s="831">
        <v>-5799214</v>
      </c>
      <c r="AP1537" s="831" t="str">
        <f t="shared" si="70"/>
        <v/>
      </c>
    </row>
    <row r="1538" spans="2:42">
      <c r="B1538" s="834" t="str">
        <f t="shared" si="69"/>
        <v>|||</v>
      </c>
      <c r="H1538" s="835">
        <f t="shared" si="71"/>
        <v>31</v>
      </c>
      <c r="AF1538" s="831" t="s">
        <v>2229</v>
      </c>
      <c r="AG1538" s="831" t="s">
        <v>56</v>
      </c>
      <c r="AH1538" s="831" t="s">
        <v>72</v>
      </c>
      <c r="AI1538" s="831">
        <v>0</v>
      </c>
      <c r="AJ1538" s="835">
        <v>40268</v>
      </c>
      <c r="AK1538" s="831">
        <v>0</v>
      </c>
      <c r="AP1538" s="831" t="str">
        <f t="shared" si="70"/>
        <v/>
      </c>
    </row>
    <row r="1539" spans="2:42">
      <c r="B1539" s="834" t="str">
        <f t="shared" ref="B1539:B1602" si="72">C1539&amp;"|"&amp;D1539&amp;"|"&amp;E1539&amp;"|"&amp;F1539</f>
        <v>|||</v>
      </c>
      <c r="H1539" s="835">
        <f t="shared" si="71"/>
        <v>31</v>
      </c>
      <c r="AF1539" s="831" t="s">
        <v>2230</v>
      </c>
      <c r="AG1539" s="831" t="s">
        <v>56</v>
      </c>
      <c r="AH1539" s="831" t="s">
        <v>77</v>
      </c>
      <c r="AI1539" s="831">
        <v>0</v>
      </c>
      <c r="AJ1539" s="835">
        <v>40268</v>
      </c>
      <c r="AK1539" s="831">
        <v>-528605</v>
      </c>
      <c r="AP1539" s="831" t="str">
        <f t="shared" ref="AP1539:AP1602" si="73">IF(AX1539&lt;&gt;"",IF(OR(AX1539=3,AX1539=4),"Equity","Debt"),"")</f>
        <v/>
      </c>
    </row>
    <row r="1540" spans="2:42">
      <c r="B1540" s="834" t="str">
        <f t="shared" si="72"/>
        <v>|||</v>
      </c>
      <c r="H1540" s="835">
        <f t="shared" ref="H1540:H1603" si="74">EOMONTH(L1540,0)</f>
        <v>31</v>
      </c>
      <c r="AF1540" s="831" t="s">
        <v>2231</v>
      </c>
      <c r="AG1540" s="831" t="s">
        <v>56</v>
      </c>
      <c r="AH1540" s="831" t="s">
        <v>95</v>
      </c>
      <c r="AI1540" s="831">
        <v>0</v>
      </c>
      <c r="AJ1540" s="835">
        <v>40268</v>
      </c>
      <c r="AK1540" s="831">
        <v>0</v>
      </c>
      <c r="AP1540" s="831" t="str">
        <f t="shared" si="73"/>
        <v/>
      </c>
    </row>
    <row r="1541" spans="2:42">
      <c r="B1541" s="834" t="str">
        <f t="shared" si="72"/>
        <v>|||</v>
      </c>
      <c r="H1541" s="835">
        <f t="shared" si="74"/>
        <v>31</v>
      </c>
      <c r="AF1541" s="831" t="s">
        <v>2232</v>
      </c>
      <c r="AG1541" s="831" t="s">
        <v>56</v>
      </c>
      <c r="AH1541" s="831" t="s">
        <v>98</v>
      </c>
      <c r="AI1541" s="831">
        <v>0</v>
      </c>
      <c r="AJ1541" s="835">
        <v>40268</v>
      </c>
      <c r="AK1541" s="831">
        <v>-7695079</v>
      </c>
      <c r="AP1541" s="831" t="str">
        <f t="shared" si="73"/>
        <v/>
      </c>
    </row>
    <row r="1542" spans="2:42">
      <c r="B1542" s="834" t="str">
        <f t="shared" si="72"/>
        <v>|||</v>
      </c>
      <c r="H1542" s="835">
        <f t="shared" si="74"/>
        <v>31</v>
      </c>
      <c r="AF1542" s="831" t="s">
        <v>2233</v>
      </c>
      <c r="AG1542" s="831" t="s">
        <v>56</v>
      </c>
      <c r="AH1542" s="831" t="s">
        <v>106</v>
      </c>
      <c r="AI1542" s="831">
        <v>0</v>
      </c>
      <c r="AJ1542" s="835">
        <v>40268</v>
      </c>
      <c r="AK1542" s="831">
        <v>0</v>
      </c>
      <c r="AP1542" s="831" t="str">
        <f t="shared" si="73"/>
        <v/>
      </c>
    </row>
    <row r="1543" spans="2:42">
      <c r="B1543" s="834" t="str">
        <f t="shared" si="72"/>
        <v>|||</v>
      </c>
      <c r="H1543" s="835">
        <f t="shared" si="74"/>
        <v>31</v>
      </c>
      <c r="AF1543" s="831" t="s">
        <v>2234</v>
      </c>
      <c r="AG1543" s="831" t="s">
        <v>56</v>
      </c>
      <c r="AH1543" s="831" t="s">
        <v>109</v>
      </c>
      <c r="AI1543" s="831">
        <v>0</v>
      </c>
      <c r="AJ1543" s="835">
        <v>40268</v>
      </c>
      <c r="AK1543" s="831">
        <v>0</v>
      </c>
      <c r="AP1543" s="831" t="str">
        <f t="shared" si="73"/>
        <v/>
      </c>
    </row>
    <row r="1544" spans="2:42">
      <c r="B1544" s="834" t="str">
        <f t="shared" si="72"/>
        <v>|||</v>
      </c>
      <c r="H1544" s="835">
        <f t="shared" si="74"/>
        <v>31</v>
      </c>
      <c r="AF1544" s="831" t="s">
        <v>2235</v>
      </c>
      <c r="AG1544" s="831" t="s">
        <v>56</v>
      </c>
      <c r="AH1544" s="831" t="s">
        <v>118</v>
      </c>
      <c r="AI1544" s="831">
        <v>0</v>
      </c>
      <c r="AJ1544" s="835">
        <v>40268</v>
      </c>
      <c r="AK1544" s="831">
        <v>0</v>
      </c>
      <c r="AP1544" s="831" t="str">
        <f t="shared" si="73"/>
        <v/>
      </c>
    </row>
    <row r="1545" spans="2:42">
      <c r="B1545" s="834" t="str">
        <f t="shared" si="72"/>
        <v>|||</v>
      </c>
      <c r="H1545" s="835">
        <f t="shared" si="74"/>
        <v>31</v>
      </c>
      <c r="AF1545" s="831" t="s">
        <v>2236</v>
      </c>
      <c r="AG1545" s="831" t="s">
        <v>56</v>
      </c>
      <c r="AH1545" s="831" t="s">
        <v>122</v>
      </c>
      <c r="AI1545" s="831">
        <v>0</v>
      </c>
      <c r="AJ1545" s="835">
        <v>40268</v>
      </c>
      <c r="AK1545" s="831">
        <v>0</v>
      </c>
      <c r="AP1545" s="831" t="str">
        <f t="shared" si="73"/>
        <v/>
      </c>
    </row>
    <row r="1546" spans="2:42">
      <c r="B1546" s="834" t="str">
        <f t="shared" si="72"/>
        <v>|||</v>
      </c>
      <c r="H1546" s="835">
        <f t="shared" si="74"/>
        <v>31</v>
      </c>
      <c r="AF1546" s="831" t="s">
        <v>2237</v>
      </c>
      <c r="AG1546" s="831" t="s">
        <v>56</v>
      </c>
      <c r="AH1546" s="831" t="s">
        <v>128</v>
      </c>
      <c r="AI1546" s="831">
        <v>0</v>
      </c>
      <c r="AJ1546" s="835">
        <v>40268</v>
      </c>
      <c r="AK1546" s="831">
        <v>0</v>
      </c>
      <c r="AP1546" s="831" t="str">
        <f t="shared" si="73"/>
        <v/>
      </c>
    </row>
    <row r="1547" spans="2:42">
      <c r="B1547" s="834" t="str">
        <f t="shared" si="72"/>
        <v>|||</v>
      </c>
      <c r="H1547" s="835">
        <f t="shared" si="74"/>
        <v>31</v>
      </c>
      <c r="AF1547" s="831" t="s">
        <v>2238</v>
      </c>
      <c r="AG1547" s="831" t="s">
        <v>56</v>
      </c>
      <c r="AH1547" s="831" t="s">
        <v>65</v>
      </c>
      <c r="AI1547" s="831">
        <v>0</v>
      </c>
      <c r="AJ1547" s="835">
        <v>40298</v>
      </c>
      <c r="AK1547" s="831">
        <v>27709542</v>
      </c>
      <c r="AP1547" s="831" t="str">
        <f t="shared" si="73"/>
        <v/>
      </c>
    </row>
    <row r="1548" spans="2:42">
      <c r="B1548" s="834" t="str">
        <f t="shared" si="72"/>
        <v>|||</v>
      </c>
      <c r="H1548" s="835">
        <f t="shared" si="74"/>
        <v>31</v>
      </c>
      <c r="AF1548" s="831" t="s">
        <v>2239</v>
      </c>
      <c r="AG1548" s="831" t="s">
        <v>56</v>
      </c>
      <c r="AH1548" s="831" t="s">
        <v>67</v>
      </c>
      <c r="AI1548" s="831">
        <v>0</v>
      </c>
      <c r="AJ1548" s="835">
        <v>40298</v>
      </c>
      <c r="AK1548" s="831">
        <v>-7727838</v>
      </c>
      <c r="AP1548" s="831" t="str">
        <f t="shared" si="73"/>
        <v/>
      </c>
    </row>
    <row r="1549" spans="2:42">
      <c r="B1549" s="834" t="str">
        <f t="shared" si="72"/>
        <v>|||</v>
      </c>
      <c r="H1549" s="835">
        <f t="shared" si="74"/>
        <v>31</v>
      </c>
      <c r="AF1549" s="831" t="s">
        <v>2240</v>
      </c>
      <c r="AG1549" s="831" t="s">
        <v>56</v>
      </c>
      <c r="AH1549" s="831" t="s">
        <v>72</v>
      </c>
      <c r="AI1549" s="831">
        <v>0</v>
      </c>
      <c r="AJ1549" s="835">
        <v>40298</v>
      </c>
      <c r="AK1549" s="831">
        <v>0</v>
      </c>
      <c r="AP1549" s="831" t="str">
        <f t="shared" si="73"/>
        <v/>
      </c>
    </row>
    <row r="1550" spans="2:42">
      <c r="B1550" s="834" t="str">
        <f t="shared" si="72"/>
        <v>|||</v>
      </c>
      <c r="H1550" s="835">
        <f t="shared" si="74"/>
        <v>31</v>
      </c>
      <c r="AF1550" s="831" t="s">
        <v>2241</v>
      </c>
      <c r="AG1550" s="831" t="s">
        <v>56</v>
      </c>
      <c r="AH1550" s="831" t="s">
        <v>77</v>
      </c>
      <c r="AI1550" s="831">
        <v>0</v>
      </c>
      <c r="AJ1550" s="835">
        <v>40298</v>
      </c>
      <c r="AK1550" s="831">
        <v>-634123</v>
      </c>
      <c r="AP1550" s="831" t="str">
        <f t="shared" si="73"/>
        <v/>
      </c>
    </row>
    <row r="1551" spans="2:42">
      <c r="B1551" s="834" t="str">
        <f t="shared" si="72"/>
        <v>|||</v>
      </c>
      <c r="H1551" s="835">
        <f t="shared" si="74"/>
        <v>31</v>
      </c>
      <c r="AF1551" s="831" t="s">
        <v>2242</v>
      </c>
      <c r="AG1551" s="831" t="s">
        <v>56</v>
      </c>
      <c r="AH1551" s="831" t="s">
        <v>95</v>
      </c>
      <c r="AI1551" s="831">
        <v>0</v>
      </c>
      <c r="AJ1551" s="835">
        <v>40298</v>
      </c>
      <c r="AK1551" s="831">
        <v>0</v>
      </c>
      <c r="AP1551" s="831" t="str">
        <f t="shared" si="73"/>
        <v/>
      </c>
    </row>
    <row r="1552" spans="2:42">
      <c r="B1552" s="834" t="str">
        <f t="shared" si="72"/>
        <v>|||</v>
      </c>
      <c r="H1552" s="835">
        <f t="shared" si="74"/>
        <v>31</v>
      </c>
      <c r="AF1552" s="831" t="s">
        <v>2243</v>
      </c>
      <c r="AG1552" s="831" t="s">
        <v>56</v>
      </c>
      <c r="AH1552" s="831" t="s">
        <v>98</v>
      </c>
      <c r="AI1552" s="831">
        <v>0</v>
      </c>
      <c r="AJ1552" s="835">
        <v>40298</v>
      </c>
      <c r="AK1552" s="831">
        <v>-10341356</v>
      </c>
      <c r="AP1552" s="831" t="str">
        <f t="shared" si="73"/>
        <v/>
      </c>
    </row>
    <row r="1553" spans="2:42">
      <c r="B1553" s="834" t="str">
        <f t="shared" si="72"/>
        <v>|||</v>
      </c>
      <c r="H1553" s="835">
        <f t="shared" si="74"/>
        <v>31</v>
      </c>
      <c r="AF1553" s="831" t="s">
        <v>2244</v>
      </c>
      <c r="AG1553" s="831" t="s">
        <v>56</v>
      </c>
      <c r="AH1553" s="831" t="s">
        <v>106</v>
      </c>
      <c r="AI1553" s="831">
        <v>0</v>
      </c>
      <c r="AJ1553" s="835">
        <v>40298</v>
      </c>
      <c r="AK1553" s="831">
        <v>0</v>
      </c>
      <c r="AP1553" s="831" t="str">
        <f t="shared" si="73"/>
        <v/>
      </c>
    </row>
    <row r="1554" spans="2:42">
      <c r="B1554" s="834" t="str">
        <f t="shared" si="72"/>
        <v>|||</v>
      </c>
      <c r="H1554" s="835">
        <f t="shared" si="74"/>
        <v>31</v>
      </c>
      <c r="AF1554" s="831" t="s">
        <v>2245</v>
      </c>
      <c r="AG1554" s="831" t="s">
        <v>56</v>
      </c>
      <c r="AH1554" s="831" t="s">
        <v>109</v>
      </c>
      <c r="AI1554" s="831">
        <v>0</v>
      </c>
      <c r="AJ1554" s="835">
        <v>40298</v>
      </c>
      <c r="AK1554" s="831">
        <v>0</v>
      </c>
      <c r="AP1554" s="831" t="str">
        <f t="shared" si="73"/>
        <v/>
      </c>
    </row>
    <row r="1555" spans="2:42">
      <c r="B1555" s="834" t="str">
        <f t="shared" si="72"/>
        <v>|||</v>
      </c>
      <c r="H1555" s="835">
        <f t="shared" si="74"/>
        <v>31</v>
      </c>
      <c r="AF1555" s="831" t="s">
        <v>2246</v>
      </c>
      <c r="AG1555" s="831" t="s">
        <v>56</v>
      </c>
      <c r="AH1555" s="831" t="s">
        <v>118</v>
      </c>
      <c r="AI1555" s="831">
        <v>0</v>
      </c>
      <c r="AJ1555" s="835">
        <v>40298</v>
      </c>
      <c r="AK1555" s="831">
        <v>0</v>
      </c>
      <c r="AP1555" s="831" t="str">
        <f t="shared" si="73"/>
        <v/>
      </c>
    </row>
    <row r="1556" spans="2:42">
      <c r="B1556" s="834" t="str">
        <f t="shared" si="72"/>
        <v>|||</v>
      </c>
      <c r="H1556" s="835">
        <f t="shared" si="74"/>
        <v>31</v>
      </c>
      <c r="AF1556" s="831" t="s">
        <v>2247</v>
      </c>
      <c r="AG1556" s="831" t="s">
        <v>56</v>
      </c>
      <c r="AH1556" s="831" t="s">
        <v>122</v>
      </c>
      <c r="AI1556" s="831">
        <v>0</v>
      </c>
      <c r="AJ1556" s="835">
        <v>40298</v>
      </c>
      <c r="AK1556" s="831">
        <v>0</v>
      </c>
      <c r="AP1556" s="831" t="str">
        <f t="shared" si="73"/>
        <v/>
      </c>
    </row>
    <row r="1557" spans="2:42">
      <c r="B1557" s="834" t="str">
        <f t="shared" si="72"/>
        <v>|||</v>
      </c>
      <c r="H1557" s="835">
        <f t="shared" si="74"/>
        <v>31</v>
      </c>
      <c r="AF1557" s="831" t="s">
        <v>2248</v>
      </c>
      <c r="AG1557" s="831" t="s">
        <v>56</v>
      </c>
      <c r="AH1557" s="831" t="s">
        <v>128</v>
      </c>
      <c r="AI1557" s="831">
        <v>0</v>
      </c>
      <c r="AJ1557" s="835">
        <v>40298</v>
      </c>
      <c r="AK1557" s="831">
        <v>0</v>
      </c>
      <c r="AP1557" s="831" t="str">
        <f t="shared" si="73"/>
        <v/>
      </c>
    </row>
    <row r="1558" spans="2:42">
      <c r="B1558" s="834" t="str">
        <f t="shared" si="72"/>
        <v>|||</v>
      </c>
      <c r="H1558" s="835">
        <f t="shared" si="74"/>
        <v>31</v>
      </c>
      <c r="AF1558" s="831" t="s">
        <v>2249</v>
      </c>
      <c r="AG1558" s="831" t="s">
        <v>56</v>
      </c>
      <c r="AH1558" s="831" t="s">
        <v>65</v>
      </c>
      <c r="AI1558" s="831">
        <v>0</v>
      </c>
      <c r="AJ1558" s="835">
        <v>40329</v>
      </c>
      <c r="AK1558" s="831">
        <v>35384554</v>
      </c>
      <c r="AP1558" s="831" t="str">
        <f t="shared" si="73"/>
        <v/>
      </c>
    </row>
    <row r="1559" spans="2:42">
      <c r="B1559" s="834" t="str">
        <f t="shared" si="72"/>
        <v>|||</v>
      </c>
      <c r="H1559" s="835">
        <f t="shared" si="74"/>
        <v>31</v>
      </c>
      <c r="AF1559" s="831" t="s">
        <v>2250</v>
      </c>
      <c r="AG1559" s="831" t="s">
        <v>56</v>
      </c>
      <c r="AH1559" s="831" t="s">
        <v>67</v>
      </c>
      <c r="AI1559" s="831">
        <v>0</v>
      </c>
      <c r="AJ1559" s="835">
        <v>40329</v>
      </c>
      <c r="AK1559" s="831">
        <v>-9776529</v>
      </c>
      <c r="AP1559" s="831" t="str">
        <f t="shared" si="73"/>
        <v/>
      </c>
    </row>
    <row r="1560" spans="2:42">
      <c r="B1560" s="834" t="str">
        <f t="shared" si="72"/>
        <v>|||</v>
      </c>
      <c r="H1560" s="835">
        <f t="shared" si="74"/>
        <v>31</v>
      </c>
      <c r="AF1560" s="831" t="s">
        <v>2251</v>
      </c>
      <c r="AG1560" s="831" t="s">
        <v>56</v>
      </c>
      <c r="AH1560" s="831" t="s">
        <v>72</v>
      </c>
      <c r="AI1560" s="831">
        <v>0</v>
      </c>
      <c r="AJ1560" s="835">
        <v>40329</v>
      </c>
      <c r="AK1560" s="831">
        <v>0</v>
      </c>
      <c r="AP1560" s="831" t="str">
        <f t="shared" si="73"/>
        <v/>
      </c>
    </row>
    <row r="1561" spans="2:42">
      <c r="B1561" s="834" t="str">
        <f t="shared" si="72"/>
        <v>|||</v>
      </c>
      <c r="H1561" s="835">
        <f t="shared" si="74"/>
        <v>31</v>
      </c>
      <c r="AF1561" s="831" t="s">
        <v>2252</v>
      </c>
      <c r="AG1561" s="831" t="s">
        <v>56</v>
      </c>
      <c r="AH1561" s="831" t="s">
        <v>77</v>
      </c>
      <c r="AI1561" s="831">
        <v>0</v>
      </c>
      <c r="AJ1561" s="835">
        <v>40329</v>
      </c>
      <c r="AK1561" s="831">
        <v>-998951</v>
      </c>
      <c r="AP1561" s="831" t="str">
        <f t="shared" si="73"/>
        <v/>
      </c>
    </row>
    <row r="1562" spans="2:42">
      <c r="B1562" s="834" t="str">
        <f t="shared" si="72"/>
        <v>|||</v>
      </c>
      <c r="H1562" s="835">
        <f t="shared" si="74"/>
        <v>31</v>
      </c>
      <c r="AF1562" s="831" t="s">
        <v>2253</v>
      </c>
      <c r="AG1562" s="831" t="s">
        <v>56</v>
      </c>
      <c r="AH1562" s="831" t="s">
        <v>95</v>
      </c>
      <c r="AI1562" s="831">
        <v>0</v>
      </c>
      <c r="AJ1562" s="835">
        <v>40329</v>
      </c>
      <c r="AK1562" s="831">
        <v>0</v>
      </c>
      <c r="AP1562" s="831" t="str">
        <f t="shared" si="73"/>
        <v/>
      </c>
    </row>
    <row r="1563" spans="2:42">
      <c r="B1563" s="834" t="str">
        <f t="shared" si="72"/>
        <v>|||</v>
      </c>
      <c r="H1563" s="835">
        <f t="shared" si="74"/>
        <v>31</v>
      </c>
      <c r="AF1563" s="831" t="s">
        <v>2254</v>
      </c>
      <c r="AG1563" s="831" t="s">
        <v>56</v>
      </c>
      <c r="AH1563" s="831" t="s">
        <v>98</v>
      </c>
      <c r="AI1563" s="831">
        <v>0</v>
      </c>
      <c r="AJ1563" s="835">
        <v>40329</v>
      </c>
      <c r="AK1563" s="831">
        <v>-13233176</v>
      </c>
      <c r="AP1563" s="831" t="str">
        <f t="shared" si="73"/>
        <v/>
      </c>
    </row>
    <row r="1564" spans="2:42">
      <c r="B1564" s="834" t="str">
        <f t="shared" si="72"/>
        <v>|||</v>
      </c>
      <c r="H1564" s="835">
        <f t="shared" si="74"/>
        <v>31</v>
      </c>
      <c r="AF1564" s="831" t="s">
        <v>2255</v>
      </c>
      <c r="AG1564" s="831" t="s">
        <v>56</v>
      </c>
      <c r="AH1564" s="831" t="s">
        <v>106</v>
      </c>
      <c r="AI1564" s="831">
        <v>0</v>
      </c>
      <c r="AJ1564" s="835">
        <v>40329</v>
      </c>
      <c r="AK1564" s="831">
        <v>0</v>
      </c>
      <c r="AP1564" s="831" t="str">
        <f t="shared" si="73"/>
        <v/>
      </c>
    </row>
    <row r="1565" spans="2:42">
      <c r="B1565" s="834" t="str">
        <f t="shared" si="72"/>
        <v>|||</v>
      </c>
      <c r="H1565" s="835">
        <f t="shared" si="74"/>
        <v>31</v>
      </c>
      <c r="AF1565" s="831" t="s">
        <v>2256</v>
      </c>
      <c r="AG1565" s="831" t="s">
        <v>56</v>
      </c>
      <c r="AH1565" s="831" t="s">
        <v>109</v>
      </c>
      <c r="AI1565" s="831">
        <v>0</v>
      </c>
      <c r="AJ1565" s="835">
        <v>40329</v>
      </c>
      <c r="AK1565" s="831">
        <v>0</v>
      </c>
      <c r="AP1565" s="831" t="str">
        <f t="shared" si="73"/>
        <v/>
      </c>
    </row>
    <row r="1566" spans="2:42">
      <c r="B1566" s="834" t="str">
        <f t="shared" si="72"/>
        <v>|||</v>
      </c>
      <c r="H1566" s="835">
        <f t="shared" si="74"/>
        <v>31</v>
      </c>
      <c r="AF1566" s="831" t="s">
        <v>2257</v>
      </c>
      <c r="AG1566" s="831" t="s">
        <v>56</v>
      </c>
      <c r="AH1566" s="831" t="s">
        <v>118</v>
      </c>
      <c r="AI1566" s="831">
        <v>0</v>
      </c>
      <c r="AJ1566" s="835">
        <v>40329</v>
      </c>
      <c r="AK1566" s="831">
        <v>0</v>
      </c>
      <c r="AP1566" s="831" t="str">
        <f t="shared" si="73"/>
        <v/>
      </c>
    </row>
    <row r="1567" spans="2:42">
      <c r="B1567" s="834" t="str">
        <f t="shared" si="72"/>
        <v>|||</v>
      </c>
      <c r="H1567" s="835">
        <f t="shared" si="74"/>
        <v>31</v>
      </c>
      <c r="AF1567" s="831" t="s">
        <v>2258</v>
      </c>
      <c r="AG1567" s="831" t="s">
        <v>56</v>
      </c>
      <c r="AH1567" s="831" t="s">
        <v>122</v>
      </c>
      <c r="AI1567" s="831">
        <v>0</v>
      </c>
      <c r="AJ1567" s="835">
        <v>40329</v>
      </c>
      <c r="AK1567" s="831">
        <v>0</v>
      </c>
      <c r="AP1567" s="831" t="str">
        <f t="shared" si="73"/>
        <v/>
      </c>
    </row>
    <row r="1568" spans="2:42">
      <c r="B1568" s="834" t="str">
        <f t="shared" si="72"/>
        <v>|||</v>
      </c>
      <c r="H1568" s="835">
        <f t="shared" si="74"/>
        <v>31</v>
      </c>
      <c r="AF1568" s="831" t="s">
        <v>2259</v>
      </c>
      <c r="AG1568" s="831" t="s">
        <v>56</v>
      </c>
      <c r="AH1568" s="831" t="s">
        <v>128</v>
      </c>
      <c r="AI1568" s="831">
        <v>0</v>
      </c>
      <c r="AJ1568" s="835">
        <v>40329</v>
      </c>
      <c r="AK1568" s="831">
        <v>0</v>
      </c>
      <c r="AP1568" s="831" t="str">
        <f t="shared" si="73"/>
        <v/>
      </c>
    </row>
    <row r="1569" spans="2:42">
      <c r="B1569" s="834" t="str">
        <f t="shared" si="72"/>
        <v>|||</v>
      </c>
      <c r="H1569" s="835">
        <f t="shared" si="74"/>
        <v>31</v>
      </c>
      <c r="AF1569" s="831" t="s">
        <v>2260</v>
      </c>
      <c r="AG1569" s="831" t="s">
        <v>56</v>
      </c>
      <c r="AH1569" s="831" t="s">
        <v>65</v>
      </c>
      <c r="AI1569" s="831">
        <v>0</v>
      </c>
      <c r="AJ1569" s="835">
        <v>40359</v>
      </c>
      <c r="AK1569" s="831">
        <v>42860787.869099997</v>
      </c>
      <c r="AP1569" s="831" t="str">
        <f t="shared" si="73"/>
        <v/>
      </c>
    </row>
    <row r="1570" spans="2:42">
      <c r="B1570" s="834" t="str">
        <f t="shared" si="72"/>
        <v>|||</v>
      </c>
      <c r="H1570" s="835">
        <f t="shared" si="74"/>
        <v>31</v>
      </c>
      <c r="AF1570" s="831" t="s">
        <v>2261</v>
      </c>
      <c r="AG1570" s="831" t="s">
        <v>56</v>
      </c>
      <c r="AH1570" s="831" t="s">
        <v>67</v>
      </c>
      <c r="AI1570" s="831">
        <v>0</v>
      </c>
      <c r="AJ1570" s="835">
        <v>40359</v>
      </c>
      <c r="AK1570" s="831">
        <v>-11938335.4397</v>
      </c>
      <c r="AP1570" s="831" t="str">
        <f t="shared" si="73"/>
        <v/>
      </c>
    </row>
    <row r="1571" spans="2:42">
      <c r="B1571" s="834" t="str">
        <f t="shared" si="72"/>
        <v>|||</v>
      </c>
      <c r="H1571" s="835">
        <f t="shared" si="74"/>
        <v>31</v>
      </c>
      <c r="AF1571" s="831" t="s">
        <v>2262</v>
      </c>
      <c r="AG1571" s="831" t="s">
        <v>56</v>
      </c>
      <c r="AH1571" s="831" t="s">
        <v>72</v>
      </c>
      <c r="AI1571" s="831">
        <v>0</v>
      </c>
      <c r="AJ1571" s="835">
        <v>40359</v>
      </c>
      <c r="AK1571" s="831">
        <v>0</v>
      </c>
      <c r="AP1571" s="831" t="str">
        <f t="shared" si="73"/>
        <v/>
      </c>
    </row>
    <row r="1572" spans="2:42">
      <c r="B1572" s="834" t="str">
        <f t="shared" si="72"/>
        <v>|||</v>
      </c>
      <c r="H1572" s="835">
        <f t="shared" si="74"/>
        <v>31</v>
      </c>
      <c r="AF1572" s="831" t="s">
        <v>2263</v>
      </c>
      <c r="AG1572" s="831" t="s">
        <v>56</v>
      </c>
      <c r="AH1572" s="831" t="s">
        <v>77</v>
      </c>
      <c r="AI1572" s="831">
        <v>0</v>
      </c>
      <c r="AJ1572" s="835">
        <v>40359</v>
      </c>
      <c r="AK1572" s="831">
        <v>-1335272.2727000001</v>
      </c>
      <c r="AP1572" s="831" t="str">
        <f t="shared" si="73"/>
        <v/>
      </c>
    </row>
    <row r="1573" spans="2:42">
      <c r="B1573" s="834" t="str">
        <f t="shared" si="72"/>
        <v>|||</v>
      </c>
      <c r="H1573" s="835">
        <f t="shared" si="74"/>
        <v>31</v>
      </c>
      <c r="AF1573" s="831" t="s">
        <v>2264</v>
      </c>
      <c r="AG1573" s="831" t="s">
        <v>56</v>
      </c>
      <c r="AH1573" s="831" t="s">
        <v>95</v>
      </c>
      <c r="AI1573" s="831">
        <v>0</v>
      </c>
      <c r="AJ1573" s="835">
        <v>40359</v>
      </c>
      <c r="AK1573" s="831">
        <v>0</v>
      </c>
      <c r="AP1573" s="831" t="str">
        <f t="shared" si="73"/>
        <v/>
      </c>
    </row>
    <row r="1574" spans="2:42">
      <c r="B1574" s="834" t="str">
        <f t="shared" si="72"/>
        <v>|||</v>
      </c>
      <c r="H1574" s="835">
        <f t="shared" si="74"/>
        <v>31</v>
      </c>
      <c r="AF1574" s="831" t="s">
        <v>2265</v>
      </c>
      <c r="AG1574" s="831" t="s">
        <v>56</v>
      </c>
      <c r="AH1574" s="831" t="s">
        <v>98</v>
      </c>
      <c r="AI1574" s="831">
        <v>0</v>
      </c>
      <c r="AJ1574" s="835">
        <v>40359</v>
      </c>
      <c r="AK1574" s="831">
        <v>-16318890.450992299</v>
      </c>
      <c r="AP1574" s="831" t="str">
        <f t="shared" si="73"/>
        <v/>
      </c>
    </row>
    <row r="1575" spans="2:42">
      <c r="B1575" s="834" t="str">
        <f t="shared" si="72"/>
        <v>|||</v>
      </c>
      <c r="H1575" s="835">
        <f t="shared" si="74"/>
        <v>31</v>
      </c>
      <c r="AF1575" s="831" t="s">
        <v>2266</v>
      </c>
      <c r="AG1575" s="831" t="s">
        <v>56</v>
      </c>
      <c r="AH1575" s="831" t="s">
        <v>106</v>
      </c>
      <c r="AI1575" s="831">
        <v>0</v>
      </c>
      <c r="AJ1575" s="835">
        <v>40359</v>
      </c>
      <c r="AK1575" s="831">
        <v>0</v>
      </c>
      <c r="AP1575" s="831" t="str">
        <f t="shared" si="73"/>
        <v/>
      </c>
    </row>
    <row r="1576" spans="2:42">
      <c r="B1576" s="834" t="str">
        <f t="shared" si="72"/>
        <v>|||</v>
      </c>
      <c r="H1576" s="835">
        <f t="shared" si="74"/>
        <v>31</v>
      </c>
      <c r="AF1576" s="831" t="s">
        <v>2267</v>
      </c>
      <c r="AG1576" s="831" t="s">
        <v>56</v>
      </c>
      <c r="AH1576" s="831" t="s">
        <v>109</v>
      </c>
      <c r="AI1576" s="831">
        <v>0</v>
      </c>
      <c r="AJ1576" s="835">
        <v>40359</v>
      </c>
      <c r="AK1576" s="831">
        <v>0</v>
      </c>
      <c r="AP1576" s="831" t="str">
        <f t="shared" si="73"/>
        <v/>
      </c>
    </row>
    <row r="1577" spans="2:42">
      <c r="B1577" s="834" t="str">
        <f t="shared" si="72"/>
        <v>|||</v>
      </c>
      <c r="H1577" s="835">
        <f t="shared" si="74"/>
        <v>31</v>
      </c>
      <c r="AF1577" s="831" t="s">
        <v>2268</v>
      </c>
      <c r="AG1577" s="831" t="s">
        <v>56</v>
      </c>
      <c r="AH1577" s="831" t="s">
        <v>118</v>
      </c>
      <c r="AI1577" s="831">
        <v>0</v>
      </c>
      <c r="AJ1577" s="835">
        <v>40359</v>
      </c>
      <c r="AK1577" s="831">
        <v>0</v>
      </c>
      <c r="AP1577" s="831" t="str">
        <f t="shared" si="73"/>
        <v/>
      </c>
    </row>
    <row r="1578" spans="2:42">
      <c r="B1578" s="834" t="str">
        <f t="shared" si="72"/>
        <v>|||</v>
      </c>
      <c r="H1578" s="835">
        <f t="shared" si="74"/>
        <v>31</v>
      </c>
      <c r="AF1578" s="831" t="s">
        <v>2269</v>
      </c>
      <c r="AG1578" s="831" t="s">
        <v>56</v>
      </c>
      <c r="AH1578" s="831" t="s">
        <v>122</v>
      </c>
      <c r="AI1578" s="831">
        <v>0</v>
      </c>
      <c r="AJ1578" s="835">
        <v>40359</v>
      </c>
      <c r="AK1578" s="831">
        <v>0</v>
      </c>
      <c r="AP1578" s="831" t="str">
        <f t="shared" si="73"/>
        <v/>
      </c>
    </row>
    <row r="1579" spans="2:42">
      <c r="B1579" s="834" t="str">
        <f t="shared" si="72"/>
        <v>|||</v>
      </c>
      <c r="H1579" s="835">
        <f t="shared" si="74"/>
        <v>31</v>
      </c>
      <c r="AF1579" s="831" t="s">
        <v>2270</v>
      </c>
      <c r="AG1579" s="831" t="s">
        <v>56</v>
      </c>
      <c r="AH1579" s="831" t="s">
        <v>128</v>
      </c>
      <c r="AI1579" s="831">
        <v>0</v>
      </c>
      <c r="AJ1579" s="835">
        <v>40359</v>
      </c>
      <c r="AK1579" s="831">
        <v>0</v>
      </c>
      <c r="AP1579" s="831" t="str">
        <f t="shared" si="73"/>
        <v/>
      </c>
    </row>
    <row r="1580" spans="2:42">
      <c r="B1580" s="834" t="str">
        <f t="shared" si="72"/>
        <v>|||</v>
      </c>
      <c r="H1580" s="835">
        <f t="shared" si="74"/>
        <v>31</v>
      </c>
      <c r="AF1580" s="831" t="s">
        <v>2271</v>
      </c>
      <c r="AG1580" s="831" t="s">
        <v>56</v>
      </c>
      <c r="AH1580" s="831" t="s">
        <v>65</v>
      </c>
      <c r="AI1580" s="831">
        <v>0</v>
      </c>
      <c r="AJ1580" s="835">
        <v>40390</v>
      </c>
      <c r="AK1580" s="831">
        <v>50756138.429328002</v>
      </c>
      <c r="AP1580" s="831" t="str">
        <f t="shared" si="73"/>
        <v/>
      </c>
    </row>
    <row r="1581" spans="2:42">
      <c r="B1581" s="834" t="str">
        <f t="shared" si="72"/>
        <v>|||</v>
      </c>
      <c r="H1581" s="835">
        <f t="shared" si="74"/>
        <v>31</v>
      </c>
      <c r="AF1581" s="831" t="s">
        <v>2272</v>
      </c>
      <c r="AG1581" s="831" t="s">
        <v>56</v>
      </c>
      <c r="AH1581" s="831" t="s">
        <v>67</v>
      </c>
      <c r="AI1581" s="831">
        <v>0</v>
      </c>
      <c r="AJ1581" s="835">
        <v>40390</v>
      </c>
      <c r="AK1581" s="831">
        <v>-14064629.289868001</v>
      </c>
      <c r="AP1581" s="831" t="str">
        <f t="shared" si="73"/>
        <v/>
      </c>
    </row>
    <row r="1582" spans="2:42">
      <c r="B1582" s="834" t="str">
        <f t="shared" si="72"/>
        <v>|||</v>
      </c>
      <c r="H1582" s="835">
        <f t="shared" si="74"/>
        <v>31</v>
      </c>
      <c r="AF1582" s="831" t="s">
        <v>2273</v>
      </c>
      <c r="AG1582" s="831" t="s">
        <v>56</v>
      </c>
      <c r="AH1582" s="831" t="s">
        <v>72</v>
      </c>
      <c r="AI1582" s="831">
        <v>0</v>
      </c>
      <c r="AJ1582" s="835">
        <v>40390</v>
      </c>
      <c r="AK1582" s="831">
        <v>0</v>
      </c>
      <c r="AP1582" s="831" t="str">
        <f t="shared" si="73"/>
        <v/>
      </c>
    </row>
    <row r="1583" spans="2:42">
      <c r="B1583" s="834" t="str">
        <f t="shared" si="72"/>
        <v>|||</v>
      </c>
      <c r="H1583" s="835">
        <f t="shared" si="74"/>
        <v>31</v>
      </c>
      <c r="AF1583" s="831" t="s">
        <v>2274</v>
      </c>
      <c r="AG1583" s="831" t="s">
        <v>56</v>
      </c>
      <c r="AH1583" s="831" t="s">
        <v>77</v>
      </c>
      <c r="AI1583" s="831">
        <v>0</v>
      </c>
      <c r="AJ1583" s="835">
        <v>40390</v>
      </c>
      <c r="AK1583" s="831">
        <v>-1603266.2525534499</v>
      </c>
      <c r="AP1583" s="831" t="str">
        <f t="shared" si="73"/>
        <v/>
      </c>
    </row>
    <row r="1584" spans="2:42">
      <c r="B1584" s="834" t="str">
        <f t="shared" si="72"/>
        <v>|||</v>
      </c>
      <c r="H1584" s="835">
        <f t="shared" si="74"/>
        <v>31</v>
      </c>
      <c r="AF1584" s="831" t="s">
        <v>2275</v>
      </c>
      <c r="AG1584" s="831" t="s">
        <v>56</v>
      </c>
      <c r="AH1584" s="831" t="s">
        <v>95</v>
      </c>
      <c r="AI1584" s="831">
        <v>0</v>
      </c>
      <c r="AJ1584" s="835">
        <v>40390</v>
      </c>
      <c r="AK1584" s="831">
        <v>0</v>
      </c>
      <c r="AP1584" s="831" t="str">
        <f t="shared" si="73"/>
        <v/>
      </c>
    </row>
    <row r="1585" spans="2:42">
      <c r="B1585" s="834" t="str">
        <f t="shared" si="72"/>
        <v>|||</v>
      </c>
      <c r="H1585" s="835">
        <f t="shared" si="74"/>
        <v>31</v>
      </c>
      <c r="AF1585" s="831" t="s">
        <v>2276</v>
      </c>
      <c r="AG1585" s="831" t="s">
        <v>56</v>
      </c>
      <c r="AH1585" s="831" t="s">
        <v>98</v>
      </c>
      <c r="AI1585" s="831">
        <v>0</v>
      </c>
      <c r="AJ1585" s="835">
        <v>40390</v>
      </c>
      <c r="AK1585" s="831">
        <v>-19218533.508212399</v>
      </c>
      <c r="AP1585" s="831" t="str">
        <f t="shared" si="73"/>
        <v/>
      </c>
    </row>
    <row r="1586" spans="2:42">
      <c r="B1586" s="834" t="str">
        <f t="shared" si="72"/>
        <v>|||</v>
      </c>
      <c r="H1586" s="835">
        <f t="shared" si="74"/>
        <v>31</v>
      </c>
      <c r="AF1586" s="831" t="s">
        <v>2277</v>
      </c>
      <c r="AG1586" s="831" t="s">
        <v>56</v>
      </c>
      <c r="AH1586" s="831" t="s">
        <v>106</v>
      </c>
      <c r="AI1586" s="831">
        <v>0</v>
      </c>
      <c r="AJ1586" s="835">
        <v>40390</v>
      </c>
      <c r="AK1586" s="831">
        <v>0</v>
      </c>
      <c r="AP1586" s="831" t="str">
        <f t="shared" si="73"/>
        <v/>
      </c>
    </row>
    <row r="1587" spans="2:42">
      <c r="B1587" s="834" t="str">
        <f t="shared" si="72"/>
        <v>|||</v>
      </c>
      <c r="H1587" s="835">
        <f t="shared" si="74"/>
        <v>31</v>
      </c>
      <c r="AF1587" s="831" t="s">
        <v>2278</v>
      </c>
      <c r="AG1587" s="831" t="s">
        <v>56</v>
      </c>
      <c r="AH1587" s="831" t="s">
        <v>109</v>
      </c>
      <c r="AI1587" s="831">
        <v>0</v>
      </c>
      <c r="AJ1587" s="835">
        <v>40390</v>
      </c>
      <c r="AK1587" s="831">
        <v>0</v>
      </c>
      <c r="AP1587" s="831" t="str">
        <f t="shared" si="73"/>
        <v/>
      </c>
    </row>
    <row r="1588" spans="2:42">
      <c r="B1588" s="834" t="str">
        <f t="shared" si="72"/>
        <v>|||</v>
      </c>
      <c r="H1588" s="835">
        <f t="shared" si="74"/>
        <v>31</v>
      </c>
      <c r="AF1588" s="831" t="s">
        <v>2279</v>
      </c>
      <c r="AG1588" s="831" t="s">
        <v>56</v>
      </c>
      <c r="AH1588" s="831" t="s">
        <v>118</v>
      </c>
      <c r="AI1588" s="831">
        <v>0</v>
      </c>
      <c r="AJ1588" s="835">
        <v>40390</v>
      </c>
      <c r="AK1588" s="831">
        <v>0</v>
      </c>
      <c r="AP1588" s="831" t="str">
        <f t="shared" si="73"/>
        <v/>
      </c>
    </row>
    <row r="1589" spans="2:42">
      <c r="B1589" s="834" t="str">
        <f t="shared" si="72"/>
        <v>|||</v>
      </c>
      <c r="H1589" s="835">
        <f t="shared" si="74"/>
        <v>31</v>
      </c>
      <c r="AF1589" s="831" t="s">
        <v>2280</v>
      </c>
      <c r="AG1589" s="831" t="s">
        <v>56</v>
      </c>
      <c r="AH1589" s="831" t="s">
        <v>122</v>
      </c>
      <c r="AI1589" s="831">
        <v>0</v>
      </c>
      <c r="AJ1589" s="835">
        <v>40390</v>
      </c>
      <c r="AK1589" s="831">
        <v>0</v>
      </c>
      <c r="AP1589" s="831" t="str">
        <f t="shared" si="73"/>
        <v/>
      </c>
    </row>
    <row r="1590" spans="2:42">
      <c r="B1590" s="834" t="str">
        <f t="shared" si="72"/>
        <v>|||</v>
      </c>
      <c r="H1590" s="835">
        <f t="shared" si="74"/>
        <v>31</v>
      </c>
      <c r="AF1590" s="831" t="s">
        <v>2281</v>
      </c>
      <c r="AG1590" s="831" t="s">
        <v>56</v>
      </c>
      <c r="AH1590" s="831" t="s">
        <v>128</v>
      </c>
      <c r="AI1590" s="831">
        <v>0</v>
      </c>
      <c r="AJ1590" s="835">
        <v>40390</v>
      </c>
      <c r="AK1590" s="831">
        <v>0</v>
      </c>
      <c r="AP1590" s="831" t="str">
        <f t="shared" si="73"/>
        <v/>
      </c>
    </row>
    <row r="1591" spans="2:42">
      <c r="B1591" s="834" t="str">
        <f t="shared" si="72"/>
        <v>|||</v>
      </c>
      <c r="H1591" s="835">
        <f t="shared" si="74"/>
        <v>31</v>
      </c>
      <c r="AF1591" s="831" t="s">
        <v>2282</v>
      </c>
      <c r="AG1591" s="831" t="s">
        <v>56</v>
      </c>
      <c r="AH1591" s="831" t="s">
        <v>65</v>
      </c>
      <c r="AI1591" s="831">
        <v>0</v>
      </c>
      <c r="AJ1591" s="835">
        <v>40421</v>
      </c>
      <c r="AK1591" s="831">
        <v>58739752.288010202</v>
      </c>
      <c r="AP1591" s="831" t="str">
        <f t="shared" si="73"/>
        <v/>
      </c>
    </row>
    <row r="1592" spans="2:42">
      <c r="B1592" s="834" t="str">
        <f t="shared" si="72"/>
        <v>|||</v>
      </c>
      <c r="H1592" s="835">
        <f t="shared" si="74"/>
        <v>31</v>
      </c>
      <c r="AF1592" s="831" t="s">
        <v>2283</v>
      </c>
      <c r="AG1592" s="831" t="s">
        <v>56</v>
      </c>
      <c r="AH1592" s="831" t="s">
        <v>67</v>
      </c>
      <c r="AI1592" s="831">
        <v>0</v>
      </c>
      <c r="AJ1592" s="835">
        <v>40421</v>
      </c>
      <c r="AK1592" s="831">
        <v>-16355155.774903299</v>
      </c>
      <c r="AP1592" s="831" t="str">
        <f t="shared" si="73"/>
        <v/>
      </c>
    </row>
    <row r="1593" spans="2:42">
      <c r="B1593" s="834" t="str">
        <f t="shared" si="72"/>
        <v>|||</v>
      </c>
      <c r="H1593" s="835">
        <f t="shared" si="74"/>
        <v>31</v>
      </c>
      <c r="AF1593" s="831" t="s">
        <v>2284</v>
      </c>
      <c r="AG1593" s="831" t="s">
        <v>56</v>
      </c>
      <c r="AH1593" s="831" t="s">
        <v>72</v>
      </c>
      <c r="AI1593" s="831">
        <v>0</v>
      </c>
      <c r="AJ1593" s="835">
        <v>40421</v>
      </c>
      <c r="AK1593" s="831">
        <v>0</v>
      </c>
      <c r="AP1593" s="831" t="str">
        <f t="shared" si="73"/>
        <v/>
      </c>
    </row>
    <row r="1594" spans="2:42">
      <c r="B1594" s="834" t="str">
        <f t="shared" si="72"/>
        <v>|||</v>
      </c>
      <c r="H1594" s="835">
        <f t="shared" si="74"/>
        <v>31</v>
      </c>
      <c r="AF1594" s="831" t="s">
        <v>2285</v>
      </c>
      <c r="AG1594" s="831" t="s">
        <v>56</v>
      </c>
      <c r="AH1594" s="831" t="s">
        <v>77</v>
      </c>
      <c r="AI1594" s="831">
        <v>0</v>
      </c>
      <c r="AJ1594" s="835">
        <v>40421</v>
      </c>
      <c r="AK1594" s="831">
        <v>-1977371.1847222301</v>
      </c>
      <c r="AP1594" s="831" t="str">
        <f t="shared" si="73"/>
        <v/>
      </c>
    </row>
    <row r="1595" spans="2:42">
      <c r="B1595" s="834" t="str">
        <f t="shared" si="72"/>
        <v>|||</v>
      </c>
      <c r="H1595" s="835">
        <f t="shared" si="74"/>
        <v>31</v>
      </c>
      <c r="AF1595" s="831" t="s">
        <v>2286</v>
      </c>
      <c r="AG1595" s="831" t="s">
        <v>56</v>
      </c>
      <c r="AH1595" s="831" t="s">
        <v>95</v>
      </c>
      <c r="AI1595" s="831">
        <v>0</v>
      </c>
      <c r="AJ1595" s="835">
        <v>40421</v>
      </c>
      <c r="AK1595" s="831">
        <v>0</v>
      </c>
      <c r="AP1595" s="831" t="str">
        <f t="shared" si="73"/>
        <v/>
      </c>
    </row>
    <row r="1596" spans="2:42">
      <c r="B1596" s="834" t="str">
        <f t="shared" si="72"/>
        <v>|||</v>
      </c>
      <c r="H1596" s="835">
        <f t="shared" si="74"/>
        <v>31</v>
      </c>
      <c r="AF1596" s="831" t="s">
        <v>2287</v>
      </c>
      <c r="AG1596" s="831" t="s">
        <v>56</v>
      </c>
      <c r="AH1596" s="831" t="s">
        <v>98</v>
      </c>
      <c r="AI1596" s="831">
        <v>0</v>
      </c>
      <c r="AJ1596" s="835">
        <v>40421</v>
      </c>
      <c r="AK1596" s="831">
        <v>-21850949.492293499</v>
      </c>
      <c r="AP1596" s="831" t="str">
        <f t="shared" si="73"/>
        <v/>
      </c>
    </row>
    <row r="1597" spans="2:42">
      <c r="B1597" s="834" t="str">
        <f t="shared" si="72"/>
        <v>|||</v>
      </c>
      <c r="H1597" s="835">
        <f t="shared" si="74"/>
        <v>31</v>
      </c>
      <c r="AF1597" s="831" t="s">
        <v>2288</v>
      </c>
      <c r="AG1597" s="831" t="s">
        <v>56</v>
      </c>
      <c r="AH1597" s="831" t="s">
        <v>106</v>
      </c>
      <c r="AI1597" s="831">
        <v>0</v>
      </c>
      <c r="AJ1597" s="835">
        <v>40421</v>
      </c>
      <c r="AK1597" s="831">
        <v>0</v>
      </c>
      <c r="AP1597" s="831" t="str">
        <f t="shared" si="73"/>
        <v/>
      </c>
    </row>
    <row r="1598" spans="2:42">
      <c r="B1598" s="834" t="str">
        <f t="shared" si="72"/>
        <v>|||</v>
      </c>
      <c r="H1598" s="835">
        <f t="shared" si="74"/>
        <v>31</v>
      </c>
      <c r="AF1598" s="831" t="s">
        <v>2289</v>
      </c>
      <c r="AG1598" s="831" t="s">
        <v>56</v>
      </c>
      <c r="AH1598" s="831" t="s">
        <v>109</v>
      </c>
      <c r="AI1598" s="831">
        <v>0</v>
      </c>
      <c r="AJ1598" s="835">
        <v>40421</v>
      </c>
      <c r="AK1598" s="831">
        <v>0</v>
      </c>
      <c r="AP1598" s="831" t="str">
        <f t="shared" si="73"/>
        <v/>
      </c>
    </row>
    <row r="1599" spans="2:42">
      <c r="B1599" s="834" t="str">
        <f t="shared" si="72"/>
        <v>|||</v>
      </c>
      <c r="H1599" s="835">
        <f t="shared" si="74"/>
        <v>31</v>
      </c>
      <c r="AF1599" s="831" t="s">
        <v>2290</v>
      </c>
      <c r="AG1599" s="831" t="s">
        <v>56</v>
      </c>
      <c r="AH1599" s="831" t="s">
        <v>118</v>
      </c>
      <c r="AI1599" s="831">
        <v>0</v>
      </c>
      <c r="AJ1599" s="835">
        <v>40421</v>
      </c>
      <c r="AK1599" s="831">
        <v>0</v>
      </c>
      <c r="AP1599" s="831" t="str">
        <f t="shared" si="73"/>
        <v/>
      </c>
    </row>
    <row r="1600" spans="2:42">
      <c r="B1600" s="834" t="str">
        <f t="shared" si="72"/>
        <v>|||</v>
      </c>
      <c r="H1600" s="835">
        <f t="shared" si="74"/>
        <v>31</v>
      </c>
      <c r="AF1600" s="831" t="s">
        <v>2291</v>
      </c>
      <c r="AG1600" s="831" t="s">
        <v>56</v>
      </c>
      <c r="AH1600" s="831" t="s">
        <v>122</v>
      </c>
      <c r="AI1600" s="831">
        <v>0</v>
      </c>
      <c r="AJ1600" s="835">
        <v>40421</v>
      </c>
      <c r="AK1600" s="831">
        <v>0</v>
      </c>
      <c r="AP1600" s="831" t="str">
        <f t="shared" si="73"/>
        <v/>
      </c>
    </row>
    <row r="1601" spans="2:42">
      <c r="B1601" s="834" t="str">
        <f t="shared" si="72"/>
        <v>|||</v>
      </c>
      <c r="H1601" s="835">
        <f t="shared" si="74"/>
        <v>31</v>
      </c>
      <c r="AF1601" s="831" t="s">
        <v>2292</v>
      </c>
      <c r="AG1601" s="831" t="s">
        <v>56</v>
      </c>
      <c r="AH1601" s="831" t="s">
        <v>128</v>
      </c>
      <c r="AI1601" s="831">
        <v>0</v>
      </c>
      <c r="AJ1601" s="835">
        <v>40421</v>
      </c>
      <c r="AK1601" s="831">
        <v>0</v>
      </c>
      <c r="AP1601" s="831" t="str">
        <f t="shared" si="73"/>
        <v/>
      </c>
    </row>
    <row r="1602" spans="2:42">
      <c r="B1602" s="834" t="str">
        <f t="shared" si="72"/>
        <v>|||</v>
      </c>
      <c r="H1602" s="835">
        <f t="shared" si="74"/>
        <v>31</v>
      </c>
      <c r="AF1602" s="831" t="s">
        <v>2293</v>
      </c>
      <c r="AG1602" s="831" t="s">
        <v>56</v>
      </c>
      <c r="AH1602" s="831" t="s">
        <v>65</v>
      </c>
      <c r="AI1602" s="831">
        <v>0</v>
      </c>
      <c r="AJ1602" s="835">
        <v>40451</v>
      </c>
      <c r="AK1602" s="831">
        <v>66369920.143327303</v>
      </c>
      <c r="AP1602" s="831" t="str">
        <f t="shared" si="73"/>
        <v/>
      </c>
    </row>
    <row r="1603" spans="2:42">
      <c r="B1603" s="834" t="str">
        <f t="shared" ref="B1603:B1666" si="75">C1603&amp;"|"&amp;D1603&amp;"|"&amp;E1603&amp;"|"&amp;F1603</f>
        <v>|||</v>
      </c>
      <c r="H1603" s="835">
        <f t="shared" si="74"/>
        <v>31</v>
      </c>
      <c r="AF1603" s="831" t="s">
        <v>2294</v>
      </c>
      <c r="AG1603" s="831" t="s">
        <v>56</v>
      </c>
      <c r="AH1603" s="831" t="s">
        <v>67</v>
      </c>
      <c r="AI1603" s="831">
        <v>0</v>
      </c>
      <c r="AJ1603" s="835">
        <v>40451</v>
      </c>
      <c r="AK1603" s="831">
        <v>-18706957.267229602</v>
      </c>
      <c r="AP1603" s="831" t="str">
        <f t="shared" ref="AP1603:AP1666" si="76">IF(AX1603&lt;&gt;"",IF(OR(AX1603=3,AX1603=4),"Equity","Debt"),"")</f>
        <v/>
      </c>
    </row>
    <row r="1604" spans="2:42">
      <c r="B1604" s="834" t="str">
        <f t="shared" si="75"/>
        <v>|||</v>
      </c>
      <c r="H1604" s="835">
        <f t="shared" ref="H1604:H1667" si="77">EOMONTH(L1604,0)</f>
        <v>31</v>
      </c>
      <c r="AF1604" s="831" t="s">
        <v>2295</v>
      </c>
      <c r="AG1604" s="831" t="s">
        <v>56</v>
      </c>
      <c r="AH1604" s="831" t="s">
        <v>72</v>
      </c>
      <c r="AI1604" s="831">
        <v>0</v>
      </c>
      <c r="AJ1604" s="835">
        <v>40451</v>
      </c>
      <c r="AK1604" s="831">
        <v>0</v>
      </c>
      <c r="AP1604" s="831" t="str">
        <f t="shared" si="76"/>
        <v/>
      </c>
    </row>
    <row r="1605" spans="2:42">
      <c r="B1605" s="834" t="str">
        <f t="shared" si="75"/>
        <v>|||</v>
      </c>
      <c r="H1605" s="835">
        <f t="shared" si="77"/>
        <v>31</v>
      </c>
      <c r="AF1605" s="831" t="s">
        <v>2296</v>
      </c>
      <c r="AG1605" s="831" t="s">
        <v>56</v>
      </c>
      <c r="AH1605" s="831" t="s">
        <v>77</v>
      </c>
      <c r="AI1605" s="831">
        <v>0</v>
      </c>
      <c r="AJ1605" s="835">
        <v>40451</v>
      </c>
      <c r="AK1605" s="831">
        <v>-1858146.5888712299</v>
      </c>
      <c r="AP1605" s="831" t="str">
        <f t="shared" si="76"/>
        <v/>
      </c>
    </row>
    <row r="1606" spans="2:42">
      <c r="B1606" s="834" t="str">
        <f t="shared" si="75"/>
        <v>|||</v>
      </c>
      <c r="H1606" s="835">
        <f t="shared" si="77"/>
        <v>31</v>
      </c>
      <c r="AF1606" s="831" t="s">
        <v>2297</v>
      </c>
      <c r="AG1606" s="831" t="s">
        <v>56</v>
      </c>
      <c r="AH1606" s="831" t="s">
        <v>95</v>
      </c>
      <c r="AI1606" s="831">
        <v>0</v>
      </c>
      <c r="AJ1606" s="835">
        <v>40451</v>
      </c>
      <c r="AK1606" s="831">
        <v>0</v>
      </c>
      <c r="AP1606" s="831" t="str">
        <f t="shared" si="76"/>
        <v/>
      </c>
    </row>
    <row r="1607" spans="2:42">
      <c r="B1607" s="834" t="str">
        <f t="shared" si="75"/>
        <v>|||</v>
      </c>
      <c r="H1607" s="835">
        <f t="shared" si="77"/>
        <v>31</v>
      </c>
      <c r="AF1607" s="831" t="s">
        <v>2298</v>
      </c>
      <c r="AG1607" s="831" t="s">
        <v>56</v>
      </c>
      <c r="AH1607" s="831" t="s">
        <v>98</v>
      </c>
      <c r="AI1607" s="831">
        <v>0</v>
      </c>
      <c r="AJ1607" s="835">
        <v>40451</v>
      </c>
      <c r="AK1607" s="831">
        <v>-25256883.825770002</v>
      </c>
      <c r="AP1607" s="831" t="str">
        <f t="shared" si="76"/>
        <v/>
      </c>
    </row>
    <row r="1608" spans="2:42">
      <c r="B1608" s="834" t="str">
        <f t="shared" si="75"/>
        <v>|||</v>
      </c>
      <c r="H1608" s="835">
        <f t="shared" si="77"/>
        <v>31</v>
      </c>
      <c r="AF1608" s="831" t="s">
        <v>2299</v>
      </c>
      <c r="AG1608" s="831" t="s">
        <v>56</v>
      </c>
      <c r="AH1608" s="831" t="s">
        <v>106</v>
      </c>
      <c r="AI1608" s="831">
        <v>0</v>
      </c>
      <c r="AJ1608" s="835">
        <v>40451</v>
      </c>
      <c r="AK1608" s="831">
        <v>0</v>
      </c>
      <c r="AP1608" s="831" t="str">
        <f t="shared" si="76"/>
        <v/>
      </c>
    </row>
    <row r="1609" spans="2:42">
      <c r="B1609" s="834" t="str">
        <f t="shared" si="75"/>
        <v>|||</v>
      </c>
      <c r="H1609" s="835">
        <f t="shared" si="77"/>
        <v>31</v>
      </c>
      <c r="AF1609" s="831" t="s">
        <v>2300</v>
      </c>
      <c r="AG1609" s="831" t="s">
        <v>56</v>
      </c>
      <c r="AH1609" s="831" t="s">
        <v>109</v>
      </c>
      <c r="AI1609" s="831">
        <v>0</v>
      </c>
      <c r="AJ1609" s="835">
        <v>40451</v>
      </c>
      <c r="AK1609" s="831">
        <v>0</v>
      </c>
      <c r="AP1609" s="831" t="str">
        <f t="shared" si="76"/>
        <v/>
      </c>
    </row>
    <row r="1610" spans="2:42">
      <c r="B1610" s="834" t="str">
        <f t="shared" si="75"/>
        <v>|||</v>
      </c>
      <c r="H1610" s="835">
        <f t="shared" si="77"/>
        <v>31</v>
      </c>
      <c r="AF1610" s="831" t="s">
        <v>2301</v>
      </c>
      <c r="AG1610" s="831" t="s">
        <v>56</v>
      </c>
      <c r="AH1610" s="831" t="s">
        <v>118</v>
      </c>
      <c r="AI1610" s="831">
        <v>0</v>
      </c>
      <c r="AJ1610" s="835">
        <v>40451</v>
      </c>
      <c r="AK1610" s="831">
        <v>0</v>
      </c>
      <c r="AP1610" s="831" t="str">
        <f t="shared" si="76"/>
        <v/>
      </c>
    </row>
    <row r="1611" spans="2:42">
      <c r="B1611" s="834" t="str">
        <f t="shared" si="75"/>
        <v>|||</v>
      </c>
      <c r="H1611" s="835">
        <f t="shared" si="77"/>
        <v>31</v>
      </c>
      <c r="AF1611" s="831" t="s">
        <v>2302</v>
      </c>
      <c r="AG1611" s="831" t="s">
        <v>56</v>
      </c>
      <c r="AH1611" s="831" t="s">
        <v>122</v>
      </c>
      <c r="AI1611" s="831">
        <v>0</v>
      </c>
      <c r="AJ1611" s="835">
        <v>40451</v>
      </c>
      <c r="AK1611" s="831">
        <v>0</v>
      </c>
      <c r="AP1611" s="831" t="str">
        <f t="shared" si="76"/>
        <v/>
      </c>
    </row>
    <row r="1612" spans="2:42">
      <c r="B1612" s="834" t="str">
        <f t="shared" si="75"/>
        <v>|||</v>
      </c>
      <c r="H1612" s="835">
        <f t="shared" si="77"/>
        <v>31</v>
      </c>
      <c r="AF1612" s="831" t="s">
        <v>2303</v>
      </c>
      <c r="AG1612" s="831" t="s">
        <v>56</v>
      </c>
      <c r="AH1612" s="831" t="s">
        <v>128</v>
      </c>
      <c r="AI1612" s="831">
        <v>0</v>
      </c>
      <c r="AJ1612" s="835">
        <v>40451</v>
      </c>
      <c r="AK1612" s="831">
        <v>0</v>
      </c>
      <c r="AP1612" s="831" t="str">
        <f t="shared" si="76"/>
        <v/>
      </c>
    </row>
    <row r="1613" spans="2:42">
      <c r="B1613" s="834" t="str">
        <f t="shared" si="75"/>
        <v>|||</v>
      </c>
      <c r="H1613" s="835">
        <f t="shared" si="77"/>
        <v>31</v>
      </c>
      <c r="AF1613" s="831" t="s">
        <v>2304</v>
      </c>
      <c r="AG1613" s="831" t="s">
        <v>56</v>
      </c>
      <c r="AH1613" s="831" t="s">
        <v>65</v>
      </c>
      <c r="AI1613" s="831">
        <v>0</v>
      </c>
      <c r="AJ1613" s="835">
        <v>40482</v>
      </c>
      <c r="AK1613" s="831">
        <v>74321866.374708995</v>
      </c>
      <c r="AP1613" s="831" t="str">
        <f t="shared" si="76"/>
        <v/>
      </c>
    </row>
    <row r="1614" spans="2:42">
      <c r="B1614" s="834" t="str">
        <f t="shared" si="75"/>
        <v>|||</v>
      </c>
      <c r="H1614" s="835">
        <f t="shared" si="77"/>
        <v>31</v>
      </c>
      <c r="AF1614" s="831" t="s">
        <v>2305</v>
      </c>
      <c r="AG1614" s="831" t="s">
        <v>56</v>
      </c>
      <c r="AH1614" s="831" t="s">
        <v>67</v>
      </c>
      <c r="AI1614" s="831">
        <v>0</v>
      </c>
      <c r="AJ1614" s="835">
        <v>40482</v>
      </c>
      <c r="AK1614" s="831">
        <v>-21004089.009629</v>
      </c>
      <c r="AP1614" s="831" t="str">
        <f t="shared" si="76"/>
        <v/>
      </c>
    </row>
    <row r="1615" spans="2:42">
      <c r="B1615" s="834" t="str">
        <f t="shared" si="75"/>
        <v>|||</v>
      </c>
      <c r="H1615" s="835">
        <f t="shared" si="77"/>
        <v>31</v>
      </c>
      <c r="AF1615" s="831" t="s">
        <v>2306</v>
      </c>
      <c r="AG1615" s="831" t="s">
        <v>56</v>
      </c>
      <c r="AH1615" s="831" t="s">
        <v>72</v>
      </c>
      <c r="AI1615" s="831">
        <v>0</v>
      </c>
      <c r="AJ1615" s="835">
        <v>40482</v>
      </c>
      <c r="AK1615" s="831">
        <v>0</v>
      </c>
      <c r="AP1615" s="831" t="str">
        <f t="shared" si="76"/>
        <v/>
      </c>
    </row>
    <row r="1616" spans="2:42">
      <c r="B1616" s="834" t="str">
        <f t="shared" si="75"/>
        <v>|||</v>
      </c>
      <c r="H1616" s="835">
        <f t="shared" si="77"/>
        <v>31</v>
      </c>
      <c r="AF1616" s="831" t="s">
        <v>2307</v>
      </c>
      <c r="AG1616" s="831" t="s">
        <v>56</v>
      </c>
      <c r="AH1616" s="831" t="s">
        <v>77</v>
      </c>
      <c r="AI1616" s="831">
        <v>0</v>
      </c>
      <c r="AJ1616" s="835">
        <v>40482</v>
      </c>
      <c r="AK1616" s="831">
        <v>-1900517.9377752501</v>
      </c>
      <c r="AP1616" s="831" t="str">
        <f t="shared" si="76"/>
        <v/>
      </c>
    </row>
    <row r="1617" spans="2:42">
      <c r="B1617" s="834" t="str">
        <f t="shared" si="75"/>
        <v>|||</v>
      </c>
      <c r="H1617" s="835">
        <f t="shared" si="77"/>
        <v>31</v>
      </c>
      <c r="AF1617" s="831" t="s">
        <v>2308</v>
      </c>
      <c r="AG1617" s="831" t="s">
        <v>56</v>
      </c>
      <c r="AH1617" s="831" t="s">
        <v>95</v>
      </c>
      <c r="AI1617" s="831">
        <v>0</v>
      </c>
      <c r="AJ1617" s="835">
        <v>40482</v>
      </c>
      <c r="AK1617" s="831">
        <v>0</v>
      </c>
      <c r="AP1617" s="831" t="str">
        <f t="shared" si="76"/>
        <v/>
      </c>
    </row>
    <row r="1618" spans="2:42">
      <c r="B1618" s="834" t="str">
        <f t="shared" si="75"/>
        <v>|||</v>
      </c>
      <c r="H1618" s="835">
        <f t="shared" si="77"/>
        <v>31</v>
      </c>
      <c r="AF1618" s="831" t="s">
        <v>2309</v>
      </c>
      <c r="AG1618" s="831" t="s">
        <v>56</v>
      </c>
      <c r="AH1618" s="831" t="s">
        <v>98</v>
      </c>
      <c r="AI1618" s="831">
        <v>0</v>
      </c>
      <c r="AJ1618" s="835">
        <v>40482</v>
      </c>
      <c r="AK1618" s="831">
        <v>-28283535.385954902</v>
      </c>
      <c r="AP1618" s="831" t="str">
        <f t="shared" si="76"/>
        <v/>
      </c>
    </row>
    <row r="1619" spans="2:42">
      <c r="B1619" s="834" t="str">
        <f t="shared" si="75"/>
        <v>|||</v>
      </c>
      <c r="H1619" s="835">
        <f t="shared" si="77"/>
        <v>31</v>
      </c>
      <c r="AF1619" s="831" t="s">
        <v>2310</v>
      </c>
      <c r="AG1619" s="831" t="s">
        <v>56</v>
      </c>
      <c r="AH1619" s="831" t="s">
        <v>106</v>
      </c>
      <c r="AI1619" s="831">
        <v>0</v>
      </c>
      <c r="AJ1619" s="835">
        <v>40482</v>
      </c>
      <c r="AK1619" s="831">
        <v>0</v>
      </c>
      <c r="AP1619" s="831" t="str">
        <f t="shared" si="76"/>
        <v/>
      </c>
    </row>
    <row r="1620" spans="2:42">
      <c r="B1620" s="834" t="str">
        <f t="shared" si="75"/>
        <v>|||</v>
      </c>
      <c r="H1620" s="835">
        <f t="shared" si="77"/>
        <v>31</v>
      </c>
      <c r="AF1620" s="831" t="s">
        <v>2311</v>
      </c>
      <c r="AG1620" s="831" t="s">
        <v>56</v>
      </c>
      <c r="AH1620" s="831" t="s">
        <v>109</v>
      </c>
      <c r="AI1620" s="831">
        <v>0</v>
      </c>
      <c r="AJ1620" s="835">
        <v>40482</v>
      </c>
      <c r="AK1620" s="831">
        <v>0</v>
      </c>
      <c r="AP1620" s="831" t="str">
        <f t="shared" si="76"/>
        <v/>
      </c>
    </row>
    <row r="1621" spans="2:42">
      <c r="B1621" s="834" t="str">
        <f t="shared" si="75"/>
        <v>|||</v>
      </c>
      <c r="H1621" s="835">
        <f t="shared" si="77"/>
        <v>31</v>
      </c>
      <c r="AF1621" s="831" t="s">
        <v>2312</v>
      </c>
      <c r="AG1621" s="831" t="s">
        <v>56</v>
      </c>
      <c r="AH1621" s="831" t="s">
        <v>118</v>
      </c>
      <c r="AI1621" s="831">
        <v>0</v>
      </c>
      <c r="AJ1621" s="835">
        <v>40482</v>
      </c>
      <c r="AK1621" s="831">
        <v>0</v>
      </c>
      <c r="AP1621" s="831" t="str">
        <f t="shared" si="76"/>
        <v/>
      </c>
    </row>
    <row r="1622" spans="2:42">
      <c r="B1622" s="834" t="str">
        <f t="shared" si="75"/>
        <v>|||</v>
      </c>
      <c r="H1622" s="835">
        <f t="shared" si="77"/>
        <v>31</v>
      </c>
      <c r="AF1622" s="831" t="s">
        <v>2313</v>
      </c>
      <c r="AG1622" s="831" t="s">
        <v>56</v>
      </c>
      <c r="AH1622" s="831" t="s">
        <v>122</v>
      </c>
      <c r="AI1622" s="831">
        <v>0</v>
      </c>
      <c r="AJ1622" s="835">
        <v>40482</v>
      </c>
      <c r="AK1622" s="831">
        <v>0</v>
      </c>
      <c r="AP1622" s="831" t="str">
        <f t="shared" si="76"/>
        <v/>
      </c>
    </row>
    <row r="1623" spans="2:42">
      <c r="B1623" s="834" t="str">
        <f t="shared" si="75"/>
        <v>|||</v>
      </c>
      <c r="H1623" s="835">
        <f t="shared" si="77"/>
        <v>31</v>
      </c>
      <c r="AF1623" s="831" t="s">
        <v>2314</v>
      </c>
      <c r="AG1623" s="831" t="s">
        <v>56</v>
      </c>
      <c r="AH1623" s="831" t="s">
        <v>128</v>
      </c>
      <c r="AI1623" s="831">
        <v>0</v>
      </c>
      <c r="AJ1623" s="835">
        <v>40482</v>
      </c>
      <c r="AK1623" s="831">
        <v>0</v>
      </c>
      <c r="AP1623" s="831" t="str">
        <f t="shared" si="76"/>
        <v/>
      </c>
    </row>
    <row r="1624" spans="2:42">
      <c r="B1624" s="834" t="str">
        <f t="shared" si="75"/>
        <v>|||</v>
      </c>
      <c r="H1624" s="835">
        <f t="shared" si="77"/>
        <v>31</v>
      </c>
      <c r="AF1624" s="831" t="s">
        <v>2315</v>
      </c>
      <c r="AG1624" s="831" t="s">
        <v>56</v>
      </c>
      <c r="AH1624" s="831" t="s">
        <v>65</v>
      </c>
      <c r="AI1624" s="831">
        <v>0</v>
      </c>
      <c r="AJ1624" s="835">
        <v>40512</v>
      </c>
      <c r="AK1624" s="831">
        <v>81836398.340011805</v>
      </c>
      <c r="AP1624" s="831" t="str">
        <f t="shared" si="76"/>
        <v/>
      </c>
    </row>
    <row r="1625" spans="2:42">
      <c r="B1625" s="834" t="str">
        <f t="shared" si="75"/>
        <v>|||</v>
      </c>
      <c r="H1625" s="835">
        <f t="shared" si="77"/>
        <v>31</v>
      </c>
      <c r="AF1625" s="831" t="s">
        <v>2316</v>
      </c>
      <c r="AG1625" s="831" t="s">
        <v>56</v>
      </c>
      <c r="AH1625" s="831" t="s">
        <v>67</v>
      </c>
      <c r="AI1625" s="831">
        <v>0</v>
      </c>
      <c r="AJ1625" s="835">
        <v>40512</v>
      </c>
      <c r="AK1625" s="831">
        <v>-23381171.951679502</v>
      </c>
      <c r="AP1625" s="831" t="str">
        <f t="shared" si="76"/>
        <v/>
      </c>
    </row>
    <row r="1626" spans="2:42">
      <c r="B1626" s="834" t="str">
        <f t="shared" si="75"/>
        <v>|||</v>
      </c>
      <c r="H1626" s="835">
        <f t="shared" si="77"/>
        <v>31</v>
      </c>
      <c r="AF1626" s="831" t="s">
        <v>2317</v>
      </c>
      <c r="AG1626" s="831" t="s">
        <v>56</v>
      </c>
      <c r="AH1626" s="831" t="s">
        <v>72</v>
      </c>
      <c r="AI1626" s="831">
        <v>0</v>
      </c>
      <c r="AJ1626" s="835">
        <v>40512</v>
      </c>
      <c r="AK1626" s="831">
        <v>0</v>
      </c>
      <c r="AP1626" s="831" t="str">
        <f t="shared" si="76"/>
        <v/>
      </c>
    </row>
    <row r="1627" spans="2:42">
      <c r="B1627" s="834" t="str">
        <f t="shared" si="75"/>
        <v>|||</v>
      </c>
      <c r="H1627" s="835">
        <f t="shared" si="77"/>
        <v>31</v>
      </c>
      <c r="AF1627" s="831" t="s">
        <v>2318</v>
      </c>
      <c r="AG1627" s="831" t="s">
        <v>56</v>
      </c>
      <c r="AH1627" s="831" t="s">
        <v>77</v>
      </c>
      <c r="AI1627" s="831">
        <v>0</v>
      </c>
      <c r="AJ1627" s="835">
        <v>40512</v>
      </c>
      <c r="AK1627" s="831">
        <v>-2093521.21455605</v>
      </c>
      <c r="AP1627" s="831" t="str">
        <f t="shared" si="76"/>
        <v/>
      </c>
    </row>
    <row r="1628" spans="2:42">
      <c r="B1628" s="834" t="str">
        <f t="shared" si="75"/>
        <v>|||</v>
      </c>
      <c r="H1628" s="835">
        <f t="shared" si="77"/>
        <v>31</v>
      </c>
      <c r="AF1628" s="831" t="s">
        <v>2319</v>
      </c>
      <c r="AG1628" s="831" t="s">
        <v>56</v>
      </c>
      <c r="AH1628" s="831" t="s">
        <v>95</v>
      </c>
      <c r="AI1628" s="831">
        <v>0</v>
      </c>
      <c r="AJ1628" s="835">
        <v>40512</v>
      </c>
      <c r="AK1628" s="831">
        <v>0</v>
      </c>
      <c r="AP1628" s="831" t="str">
        <f t="shared" si="76"/>
        <v/>
      </c>
    </row>
    <row r="1629" spans="2:42">
      <c r="B1629" s="834" t="str">
        <f t="shared" si="75"/>
        <v>|||</v>
      </c>
      <c r="H1629" s="835">
        <f t="shared" si="77"/>
        <v>31</v>
      </c>
      <c r="AF1629" s="831" t="s">
        <v>2320</v>
      </c>
      <c r="AG1629" s="831" t="s">
        <v>56</v>
      </c>
      <c r="AH1629" s="831" t="s">
        <v>98</v>
      </c>
      <c r="AI1629" s="831">
        <v>0</v>
      </c>
      <c r="AJ1629" s="835">
        <v>40512</v>
      </c>
      <c r="AK1629" s="831">
        <v>-31413469.479511902</v>
      </c>
      <c r="AP1629" s="831" t="str">
        <f t="shared" si="76"/>
        <v/>
      </c>
    </row>
    <row r="1630" spans="2:42">
      <c r="B1630" s="834" t="str">
        <f t="shared" si="75"/>
        <v>|||</v>
      </c>
      <c r="H1630" s="835">
        <f t="shared" si="77"/>
        <v>31</v>
      </c>
      <c r="AF1630" s="831" t="s">
        <v>2321</v>
      </c>
      <c r="AG1630" s="831" t="s">
        <v>56</v>
      </c>
      <c r="AH1630" s="831" t="s">
        <v>106</v>
      </c>
      <c r="AI1630" s="831">
        <v>0</v>
      </c>
      <c r="AJ1630" s="835">
        <v>40512</v>
      </c>
      <c r="AK1630" s="831">
        <v>0</v>
      </c>
      <c r="AP1630" s="831" t="str">
        <f t="shared" si="76"/>
        <v/>
      </c>
    </row>
    <row r="1631" spans="2:42">
      <c r="B1631" s="834" t="str">
        <f t="shared" si="75"/>
        <v>|||</v>
      </c>
      <c r="H1631" s="835">
        <f t="shared" si="77"/>
        <v>31</v>
      </c>
      <c r="AF1631" s="831" t="s">
        <v>2322</v>
      </c>
      <c r="AG1631" s="831" t="s">
        <v>56</v>
      </c>
      <c r="AH1631" s="831" t="s">
        <v>109</v>
      </c>
      <c r="AI1631" s="831">
        <v>0</v>
      </c>
      <c r="AJ1631" s="835">
        <v>40512</v>
      </c>
      <c r="AK1631" s="831">
        <v>0</v>
      </c>
      <c r="AP1631" s="831" t="str">
        <f t="shared" si="76"/>
        <v/>
      </c>
    </row>
    <row r="1632" spans="2:42">
      <c r="B1632" s="834" t="str">
        <f t="shared" si="75"/>
        <v>|||</v>
      </c>
      <c r="H1632" s="835">
        <f t="shared" si="77"/>
        <v>31</v>
      </c>
      <c r="AF1632" s="831" t="s">
        <v>2323</v>
      </c>
      <c r="AG1632" s="831" t="s">
        <v>56</v>
      </c>
      <c r="AH1632" s="831" t="s">
        <v>118</v>
      </c>
      <c r="AI1632" s="831">
        <v>0</v>
      </c>
      <c r="AJ1632" s="835">
        <v>40512</v>
      </c>
      <c r="AK1632" s="831">
        <v>0</v>
      </c>
      <c r="AP1632" s="831" t="str">
        <f t="shared" si="76"/>
        <v/>
      </c>
    </row>
    <row r="1633" spans="2:42">
      <c r="B1633" s="834" t="str">
        <f t="shared" si="75"/>
        <v>|||</v>
      </c>
      <c r="H1633" s="835">
        <f t="shared" si="77"/>
        <v>31</v>
      </c>
      <c r="AF1633" s="831" t="s">
        <v>2324</v>
      </c>
      <c r="AG1633" s="831" t="s">
        <v>56</v>
      </c>
      <c r="AH1633" s="831" t="s">
        <v>122</v>
      </c>
      <c r="AI1633" s="831">
        <v>0</v>
      </c>
      <c r="AJ1633" s="835">
        <v>40512</v>
      </c>
      <c r="AK1633" s="831">
        <v>0</v>
      </c>
      <c r="AP1633" s="831" t="str">
        <f t="shared" si="76"/>
        <v/>
      </c>
    </row>
    <row r="1634" spans="2:42">
      <c r="B1634" s="834" t="str">
        <f t="shared" si="75"/>
        <v>|||</v>
      </c>
      <c r="H1634" s="835">
        <f t="shared" si="77"/>
        <v>31</v>
      </c>
      <c r="AF1634" s="831" t="s">
        <v>2325</v>
      </c>
      <c r="AG1634" s="831" t="s">
        <v>56</v>
      </c>
      <c r="AH1634" s="831" t="s">
        <v>128</v>
      </c>
      <c r="AI1634" s="831">
        <v>0</v>
      </c>
      <c r="AJ1634" s="835">
        <v>40512</v>
      </c>
      <c r="AK1634" s="831">
        <v>0</v>
      </c>
      <c r="AP1634" s="831" t="str">
        <f t="shared" si="76"/>
        <v/>
      </c>
    </row>
    <row r="1635" spans="2:42">
      <c r="B1635" s="834" t="str">
        <f t="shared" si="75"/>
        <v>|||</v>
      </c>
      <c r="H1635" s="835">
        <f t="shared" si="77"/>
        <v>31</v>
      </c>
      <c r="AF1635" s="831" t="s">
        <v>2326</v>
      </c>
      <c r="AG1635" s="831" t="s">
        <v>56</v>
      </c>
      <c r="AH1635" s="831" t="s">
        <v>65</v>
      </c>
      <c r="AI1635" s="831">
        <v>0</v>
      </c>
      <c r="AJ1635" s="835">
        <v>40543</v>
      </c>
      <c r="AK1635" s="831">
        <v>89666060.548650905</v>
      </c>
      <c r="AP1635" s="831" t="str">
        <f t="shared" si="76"/>
        <v/>
      </c>
    </row>
    <row r="1636" spans="2:42">
      <c r="B1636" s="834" t="str">
        <f t="shared" si="75"/>
        <v>|||</v>
      </c>
      <c r="H1636" s="835">
        <f t="shared" si="77"/>
        <v>31</v>
      </c>
      <c r="AF1636" s="831" t="s">
        <v>2327</v>
      </c>
      <c r="AG1636" s="831" t="s">
        <v>56</v>
      </c>
      <c r="AH1636" s="831" t="s">
        <v>67</v>
      </c>
      <c r="AI1636" s="831">
        <v>0</v>
      </c>
      <c r="AJ1636" s="835">
        <v>40543</v>
      </c>
      <c r="AK1636" s="831">
        <v>-25764431.266582701</v>
      </c>
      <c r="AP1636" s="831" t="str">
        <f t="shared" si="76"/>
        <v/>
      </c>
    </row>
    <row r="1637" spans="2:42">
      <c r="B1637" s="834" t="str">
        <f t="shared" si="75"/>
        <v>|||</v>
      </c>
      <c r="H1637" s="835">
        <f t="shared" si="77"/>
        <v>31</v>
      </c>
      <c r="AF1637" s="831" t="s">
        <v>2328</v>
      </c>
      <c r="AG1637" s="831" t="s">
        <v>56</v>
      </c>
      <c r="AH1637" s="831" t="s">
        <v>72</v>
      </c>
      <c r="AI1637" s="831">
        <v>0</v>
      </c>
      <c r="AJ1637" s="835">
        <v>40543</v>
      </c>
      <c r="AK1637" s="831">
        <v>0</v>
      </c>
      <c r="AP1637" s="831" t="str">
        <f t="shared" si="76"/>
        <v/>
      </c>
    </row>
    <row r="1638" spans="2:42">
      <c r="B1638" s="834" t="str">
        <f t="shared" si="75"/>
        <v>|||</v>
      </c>
      <c r="H1638" s="835">
        <f t="shared" si="77"/>
        <v>31</v>
      </c>
      <c r="AF1638" s="831" t="s">
        <v>2329</v>
      </c>
      <c r="AG1638" s="831" t="s">
        <v>56</v>
      </c>
      <c r="AH1638" s="831" t="s">
        <v>77</v>
      </c>
      <c r="AI1638" s="831">
        <v>0</v>
      </c>
      <c r="AJ1638" s="835">
        <v>40543</v>
      </c>
      <c r="AK1638" s="831">
        <v>-2067146.2979408801</v>
      </c>
      <c r="AP1638" s="831" t="str">
        <f t="shared" si="76"/>
        <v/>
      </c>
    </row>
    <row r="1639" spans="2:42">
      <c r="B1639" s="834" t="str">
        <f t="shared" si="75"/>
        <v>|||</v>
      </c>
      <c r="H1639" s="835">
        <f t="shared" si="77"/>
        <v>31</v>
      </c>
      <c r="AF1639" s="831" t="s">
        <v>2330</v>
      </c>
      <c r="AG1639" s="831" t="s">
        <v>56</v>
      </c>
      <c r="AH1639" s="831" t="s">
        <v>95</v>
      </c>
      <c r="AI1639" s="831">
        <v>0</v>
      </c>
      <c r="AJ1639" s="835">
        <v>40543</v>
      </c>
      <c r="AK1639" s="831">
        <v>0</v>
      </c>
      <c r="AP1639" s="831" t="str">
        <f t="shared" si="76"/>
        <v/>
      </c>
    </row>
    <row r="1640" spans="2:42">
      <c r="B1640" s="834" t="str">
        <f t="shared" si="75"/>
        <v>|||</v>
      </c>
      <c r="H1640" s="835">
        <f t="shared" si="77"/>
        <v>31</v>
      </c>
      <c r="AF1640" s="831" t="s">
        <v>2331</v>
      </c>
      <c r="AG1640" s="831" t="s">
        <v>56</v>
      </c>
      <c r="AH1640" s="831" t="s">
        <v>98</v>
      </c>
      <c r="AI1640" s="831">
        <v>0</v>
      </c>
      <c r="AJ1640" s="835">
        <v>40543</v>
      </c>
      <c r="AK1640" s="831">
        <v>-35267054.438723803</v>
      </c>
      <c r="AP1640" s="831" t="str">
        <f t="shared" si="76"/>
        <v/>
      </c>
    </row>
    <row r="1641" spans="2:42">
      <c r="B1641" s="834" t="str">
        <f t="shared" si="75"/>
        <v>|||</v>
      </c>
      <c r="H1641" s="835">
        <f t="shared" si="77"/>
        <v>31</v>
      </c>
      <c r="AF1641" s="831" t="s">
        <v>2332</v>
      </c>
      <c r="AG1641" s="831" t="s">
        <v>56</v>
      </c>
      <c r="AH1641" s="831" t="s">
        <v>106</v>
      </c>
      <c r="AI1641" s="831">
        <v>0</v>
      </c>
      <c r="AJ1641" s="835">
        <v>40543</v>
      </c>
      <c r="AK1641" s="831">
        <v>0</v>
      </c>
      <c r="AP1641" s="831" t="str">
        <f t="shared" si="76"/>
        <v/>
      </c>
    </row>
    <row r="1642" spans="2:42">
      <c r="B1642" s="834" t="str">
        <f t="shared" si="75"/>
        <v>|||</v>
      </c>
      <c r="H1642" s="835">
        <f t="shared" si="77"/>
        <v>31</v>
      </c>
      <c r="AF1642" s="831" t="s">
        <v>2333</v>
      </c>
      <c r="AG1642" s="831" t="s">
        <v>56</v>
      </c>
      <c r="AH1642" s="831" t="s">
        <v>109</v>
      </c>
      <c r="AI1642" s="831">
        <v>0</v>
      </c>
      <c r="AJ1642" s="835">
        <v>40543</v>
      </c>
      <c r="AK1642" s="831">
        <v>0</v>
      </c>
      <c r="AP1642" s="831" t="str">
        <f t="shared" si="76"/>
        <v/>
      </c>
    </row>
    <row r="1643" spans="2:42">
      <c r="B1643" s="834" t="str">
        <f t="shared" si="75"/>
        <v>|||</v>
      </c>
      <c r="H1643" s="835">
        <f t="shared" si="77"/>
        <v>31</v>
      </c>
      <c r="AF1643" s="831" t="s">
        <v>2334</v>
      </c>
      <c r="AG1643" s="831" t="s">
        <v>56</v>
      </c>
      <c r="AH1643" s="831" t="s">
        <v>118</v>
      </c>
      <c r="AI1643" s="831">
        <v>0</v>
      </c>
      <c r="AJ1643" s="835">
        <v>40543</v>
      </c>
      <c r="AK1643" s="831">
        <v>0</v>
      </c>
      <c r="AP1643" s="831" t="str">
        <f t="shared" si="76"/>
        <v/>
      </c>
    </row>
    <row r="1644" spans="2:42">
      <c r="B1644" s="834" t="str">
        <f t="shared" si="75"/>
        <v>|||</v>
      </c>
      <c r="H1644" s="835">
        <f t="shared" si="77"/>
        <v>31</v>
      </c>
      <c r="AF1644" s="831" t="s">
        <v>2335</v>
      </c>
      <c r="AG1644" s="831" t="s">
        <v>56</v>
      </c>
      <c r="AH1644" s="831" t="s">
        <v>122</v>
      </c>
      <c r="AI1644" s="831">
        <v>0</v>
      </c>
      <c r="AJ1644" s="835">
        <v>40543</v>
      </c>
      <c r="AK1644" s="831">
        <v>0</v>
      </c>
      <c r="AP1644" s="831" t="str">
        <f t="shared" si="76"/>
        <v/>
      </c>
    </row>
    <row r="1645" spans="2:42">
      <c r="B1645" s="834" t="str">
        <f t="shared" si="75"/>
        <v>|||</v>
      </c>
      <c r="H1645" s="835">
        <f t="shared" si="77"/>
        <v>31</v>
      </c>
      <c r="AF1645" s="831" t="s">
        <v>2336</v>
      </c>
      <c r="AG1645" s="831" t="s">
        <v>56</v>
      </c>
      <c r="AH1645" s="831" t="s">
        <v>128</v>
      </c>
      <c r="AI1645" s="831">
        <v>0</v>
      </c>
      <c r="AJ1645" s="835">
        <v>40543</v>
      </c>
      <c r="AK1645" s="831">
        <v>0</v>
      </c>
      <c r="AP1645" s="831" t="str">
        <f t="shared" si="76"/>
        <v/>
      </c>
    </row>
    <row r="1646" spans="2:42">
      <c r="B1646" s="834" t="str">
        <f t="shared" si="75"/>
        <v>|||</v>
      </c>
      <c r="H1646" s="835">
        <f t="shared" si="77"/>
        <v>31</v>
      </c>
      <c r="AF1646" s="831" t="s">
        <v>2337</v>
      </c>
      <c r="AG1646" s="831" t="s">
        <v>1721</v>
      </c>
      <c r="AH1646" s="831" t="s">
        <v>1722</v>
      </c>
      <c r="AI1646" s="831">
        <v>0</v>
      </c>
      <c r="AJ1646" s="835">
        <v>40209</v>
      </c>
      <c r="AK1646" s="831">
        <v>8068540</v>
      </c>
      <c r="AP1646" s="831" t="str">
        <f t="shared" si="76"/>
        <v/>
      </c>
    </row>
    <row r="1647" spans="2:42">
      <c r="B1647" s="834" t="str">
        <f t="shared" si="75"/>
        <v>|||</v>
      </c>
      <c r="H1647" s="835">
        <f t="shared" si="77"/>
        <v>31</v>
      </c>
      <c r="AF1647" s="831" t="s">
        <v>2338</v>
      </c>
      <c r="AG1647" s="831" t="s">
        <v>1721</v>
      </c>
      <c r="AH1647" s="831" t="s">
        <v>1724</v>
      </c>
      <c r="AI1647" s="831">
        <v>0</v>
      </c>
      <c r="AJ1647" s="835">
        <v>40209</v>
      </c>
      <c r="AK1647" s="831">
        <v>-99535</v>
      </c>
      <c r="AP1647" s="831" t="str">
        <f t="shared" si="76"/>
        <v/>
      </c>
    </row>
    <row r="1648" spans="2:42">
      <c r="B1648" s="834" t="str">
        <f t="shared" si="75"/>
        <v>|||</v>
      </c>
      <c r="H1648" s="835">
        <f t="shared" si="77"/>
        <v>31</v>
      </c>
      <c r="AF1648" s="831" t="s">
        <v>2339</v>
      </c>
      <c r="AG1648" s="831" t="s">
        <v>1721</v>
      </c>
      <c r="AH1648" s="831" t="s">
        <v>1726</v>
      </c>
      <c r="AI1648" s="831">
        <v>0</v>
      </c>
      <c r="AJ1648" s="835">
        <v>40209</v>
      </c>
      <c r="AK1648" s="831">
        <v>-1403498</v>
      </c>
      <c r="AP1648" s="831" t="str">
        <f t="shared" si="76"/>
        <v/>
      </c>
    </row>
    <row r="1649" spans="2:42">
      <c r="B1649" s="834" t="str">
        <f t="shared" si="75"/>
        <v>|||</v>
      </c>
      <c r="H1649" s="835">
        <f t="shared" si="77"/>
        <v>31</v>
      </c>
      <c r="AF1649" s="831" t="s">
        <v>2340</v>
      </c>
      <c r="AG1649" s="831" t="s">
        <v>1721</v>
      </c>
      <c r="AH1649" s="831" t="s">
        <v>1722</v>
      </c>
      <c r="AI1649" s="831">
        <v>0</v>
      </c>
      <c r="AJ1649" s="835">
        <v>40237</v>
      </c>
      <c r="AK1649" s="831">
        <v>-1015212</v>
      </c>
      <c r="AP1649" s="831" t="str">
        <f t="shared" si="76"/>
        <v/>
      </c>
    </row>
    <row r="1650" spans="2:42">
      <c r="B1650" s="834" t="str">
        <f t="shared" si="75"/>
        <v>|||</v>
      </c>
      <c r="H1650" s="835">
        <f t="shared" si="77"/>
        <v>31</v>
      </c>
      <c r="AF1650" s="831" t="s">
        <v>2341</v>
      </c>
      <c r="AG1650" s="831" t="s">
        <v>1721</v>
      </c>
      <c r="AH1650" s="831" t="s">
        <v>1724</v>
      </c>
      <c r="AI1650" s="831">
        <v>0</v>
      </c>
      <c r="AJ1650" s="835">
        <v>40237</v>
      </c>
      <c r="AK1650" s="831">
        <v>-41493</v>
      </c>
      <c r="AP1650" s="831" t="str">
        <f t="shared" si="76"/>
        <v/>
      </c>
    </row>
    <row r="1651" spans="2:42">
      <c r="B1651" s="834" t="str">
        <f t="shared" si="75"/>
        <v>|||</v>
      </c>
      <c r="H1651" s="835">
        <f t="shared" si="77"/>
        <v>31</v>
      </c>
      <c r="AF1651" s="831" t="s">
        <v>2342</v>
      </c>
      <c r="AG1651" s="831" t="s">
        <v>1721</v>
      </c>
      <c r="AH1651" s="831" t="s">
        <v>1726</v>
      </c>
      <c r="AI1651" s="831">
        <v>0</v>
      </c>
      <c r="AJ1651" s="835">
        <v>40237</v>
      </c>
      <c r="AK1651" s="831">
        <v>-5027434</v>
      </c>
      <c r="AP1651" s="831" t="str">
        <f t="shared" si="76"/>
        <v/>
      </c>
    </row>
    <row r="1652" spans="2:42">
      <c r="B1652" s="834" t="str">
        <f t="shared" si="75"/>
        <v>|||</v>
      </c>
      <c r="H1652" s="835">
        <f t="shared" si="77"/>
        <v>31</v>
      </c>
      <c r="AF1652" s="831" t="s">
        <v>2343</v>
      </c>
      <c r="AG1652" s="831" t="s">
        <v>1721</v>
      </c>
      <c r="AH1652" s="831" t="s">
        <v>1722</v>
      </c>
      <c r="AI1652" s="831">
        <v>0</v>
      </c>
      <c r="AJ1652" s="835">
        <v>40268</v>
      </c>
      <c r="AK1652" s="831">
        <v>6114355</v>
      </c>
      <c r="AP1652" s="831" t="str">
        <f t="shared" si="76"/>
        <v/>
      </c>
    </row>
    <row r="1653" spans="2:42">
      <c r="B1653" s="834" t="str">
        <f t="shared" si="75"/>
        <v>|||</v>
      </c>
      <c r="H1653" s="835">
        <f t="shared" si="77"/>
        <v>31</v>
      </c>
      <c r="AF1653" s="831" t="s">
        <v>2344</v>
      </c>
      <c r="AG1653" s="831" t="s">
        <v>1721</v>
      </c>
      <c r="AH1653" s="831" t="s">
        <v>1724</v>
      </c>
      <c r="AI1653" s="831">
        <v>0</v>
      </c>
      <c r="AJ1653" s="835">
        <v>40268</v>
      </c>
      <c r="AK1653" s="831">
        <v>-71029</v>
      </c>
      <c r="AP1653" s="831" t="str">
        <f t="shared" si="76"/>
        <v/>
      </c>
    </row>
    <row r="1654" spans="2:42">
      <c r="B1654" s="834" t="str">
        <f t="shared" si="75"/>
        <v>|||</v>
      </c>
      <c r="H1654" s="835">
        <f t="shared" si="77"/>
        <v>31</v>
      </c>
      <c r="AF1654" s="831" t="s">
        <v>2345</v>
      </c>
      <c r="AG1654" s="831" t="s">
        <v>1721</v>
      </c>
      <c r="AH1654" s="831" t="s">
        <v>1726</v>
      </c>
      <c r="AI1654" s="831">
        <v>0</v>
      </c>
      <c r="AJ1654" s="835">
        <v>40268</v>
      </c>
      <c r="AK1654" s="831">
        <v>-1725225</v>
      </c>
      <c r="AP1654" s="831" t="str">
        <f t="shared" si="76"/>
        <v/>
      </c>
    </row>
    <row r="1655" spans="2:42">
      <c r="B1655" s="834" t="str">
        <f t="shared" si="75"/>
        <v>|||</v>
      </c>
      <c r="H1655" s="835">
        <f t="shared" si="77"/>
        <v>31</v>
      </c>
      <c r="AF1655" s="831" t="s">
        <v>2346</v>
      </c>
      <c r="AG1655" s="831" t="s">
        <v>1721</v>
      </c>
      <c r="AH1655" s="831" t="s">
        <v>1722</v>
      </c>
      <c r="AI1655" s="831">
        <v>0</v>
      </c>
      <c r="AJ1655" s="835">
        <v>40298</v>
      </c>
      <c r="AK1655" s="831">
        <v>865110</v>
      </c>
      <c r="AP1655" s="831" t="str">
        <f t="shared" si="76"/>
        <v/>
      </c>
    </row>
    <row r="1656" spans="2:42">
      <c r="B1656" s="834" t="str">
        <f t="shared" si="75"/>
        <v>|||</v>
      </c>
      <c r="H1656" s="835">
        <f t="shared" si="77"/>
        <v>31</v>
      </c>
      <c r="AF1656" s="831" t="s">
        <v>2347</v>
      </c>
      <c r="AG1656" s="831" t="s">
        <v>1721</v>
      </c>
      <c r="AH1656" s="831" t="s">
        <v>1724</v>
      </c>
      <c r="AI1656" s="831">
        <v>0</v>
      </c>
      <c r="AJ1656" s="835">
        <v>40298</v>
      </c>
      <c r="AK1656" s="831">
        <v>179374</v>
      </c>
      <c r="AP1656" s="831" t="str">
        <f t="shared" si="76"/>
        <v/>
      </c>
    </row>
    <row r="1657" spans="2:42">
      <c r="B1657" s="834" t="str">
        <f t="shared" si="75"/>
        <v>|||</v>
      </c>
      <c r="H1657" s="835">
        <f t="shared" si="77"/>
        <v>31</v>
      </c>
      <c r="AF1657" s="831" t="s">
        <v>2348</v>
      </c>
      <c r="AG1657" s="831" t="s">
        <v>1721</v>
      </c>
      <c r="AH1657" s="831" t="s">
        <v>1726</v>
      </c>
      <c r="AI1657" s="831">
        <v>0</v>
      </c>
      <c r="AJ1657" s="835">
        <v>40298</v>
      </c>
      <c r="AK1657" s="831">
        <v>3093591</v>
      </c>
      <c r="AP1657" s="831" t="str">
        <f t="shared" si="76"/>
        <v/>
      </c>
    </row>
    <row r="1658" spans="2:42">
      <c r="B1658" s="834" t="str">
        <f t="shared" si="75"/>
        <v>|||</v>
      </c>
      <c r="H1658" s="835">
        <f t="shared" si="77"/>
        <v>31</v>
      </c>
      <c r="AF1658" s="831" t="s">
        <v>2349</v>
      </c>
      <c r="AG1658" s="831" t="s">
        <v>1721</v>
      </c>
      <c r="AH1658" s="831" t="s">
        <v>1722</v>
      </c>
      <c r="AI1658" s="831">
        <v>0</v>
      </c>
      <c r="AJ1658" s="835">
        <v>40329</v>
      </c>
      <c r="AK1658" s="831">
        <v>-4201472</v>
      </c>
      <c r="AP1658" s="831" t="str">
        <f t="shared" si="76"/>
        <v/>
      </c>
    </row>
    <row r="1659" spans="2:42">
      <c r="B1659" s="834" t="str">
        <f t="shared" si="75"/>
        <v>|||</v>
      </c>
      <c r="H1659" s="835">
        <f t="shared" si="77"/>
        <v>31</v>
      </c>
      <c r="AF1659" s="831" t="s">
        <v>2350</v>
      </c>
      <c r="AG1659" s="831" t="s">
        <v>1721</v>
      </c>
      <c r="AH1659" s="831" t="s">
        <v>1724</v>
      </c>
      <c r="AI1659" s="831">
        <v>0</v>
      </c>
      <c r="AJ1659" s="835">
        <v>40329</v>
      </c>
      <c r="AK1659" s="831">
        <v>-65995</v>
      </c>
      <c r="AP1659" s="831" t="str">
        <f t="shared" si="76"/>
        <v/>
      </c>
    </row>
    <row r="1660" spans="2:42">
      <c r="B1660" s="834" t="str">
        <f t="shared" si="75"/>
        <v>|||</v>
      </c>
      <c r="H1660" s="835">
        <f t="shared" si="77"/>
        <v>31</v>
      </c>
      <c r="AF1660" s="831" t="s">
        <v>2351</v>
      </c>
      <c r="AG1660" s="831" t="s">
        <v>1721</v>
      </c>
      <c r="AH1660" s="831" t="s">
        <v>1726</v>
      </c>
      <c r="AI1660" s="831">
        <v>0</v>
      </c>
      <c r="AJ1660" s="835">
        <v>40329</v>
      </c>
      <c r="AK1660" s="831">
        <v>348203</v>
      </c>
      <c r="AP1660" s="831" t="str">
        <f t="shared" si="76"/>
        <v/>
      </c>
    </row>
    <row r="1661" spans="2:42">
      <c r="B1661" s="834" t="str">
        <f t="shared" si="75"/>
        <v>|||</v>
      </c>
      <c r="H1661" s="835">
        <f t="shared" si="77"/>
        <v>31</v>
      </c>
      <c r="AF1661" s="831" t="s">
        <v>2352</v>
      </c>
      <c r="AG1661" s="831" t="s">
        <v>1721</v>
      </c>
      <c r="AH1661" s="831" t="s">
        <v>1722</v>
      </c>
      <c r="AI1661" s="831">
        <v>0</v>
      </c>
      <c r="AJ1661" s="835">
        <v>40359</v>
      </c>
      <c r="AK1661" s="831">
        <v>-2623181.9730000002</v>
      </c>
      <c r="AP1661" s="831" t="str">
        <f t="shared" si="76"/>
        <v/>
      </c>
    </row>
    <row r="1662" spans="2:42">
      <c r="B1662" s="834" t="str">
        <f t="shared" si="75"/>
        <v>|||</v>
      </c>
      <c r="H1662" s="835">
        <f t="shared" si="77"/>
        <v>31</v>
      </c>
      <c r="AF1662" s="831" t="s">
        <v>2353</v>
      </c>
      <c r="AG1662" s="831" t="s">
        <v>1721</v>
      </c>
      <c r="AH1662" s="831" t="s">
        <v>1724</v>
      </c>
      <c r="AI1662" s="831">
        <v>0</v>
      </c>
      <c r="AJ1662" s="835">
        <v>40359</v>
      </c>
      <c r="AK1662" s="831">
        <v>31331.1986</v>
      </c>
      <c r="AP1662" s="831" t="str">
        <f t="shared" si="76"/>
        <v/>
      </c>
    </row>
    <row r="1663" spans="2:42">
      <c r="B1663" s="834" t="str">
        <f t="shared" si="75"/>
        <v>|||</v>
      </c>
      <c r="H1663" s="835">
        <f t="shared" si="77"/>
        <v>31</v>
      </c>
      <c r="AF1663" s="831" t="s">
        <v>2354</v>
      </c>
      <c r="AG1663" s="831" t="s">
        <v>1721</v>
      </c>
      <c r="AH1663" s="831" t="s">
        <v>1726</v>
      </c>
      <c r="AI1663" s="831">
        <v>0</v>
      </c>
      <c r="AJ1663" s="835">
        <v>40359</v>
      </c>
      <c r="AK1663" s="831">
        <v>-7855666.5855</v>
      </c>
      <c r="AP1663" s="831" t="str">
        <f t="shared" si="76"/>
        <v/>
      </c>
    </row>
    <row r="1664" spans="2:42">
      <c r="B1664" s="834" t="str">
        <f t="shared" si="75"/>
        <v>|||</v>
      </c>
      <c r="H1664" s="835">
        <f t="shared" si="77"/>
        <v>31</v>
      </c>
      <c r="AF1664" s="831" t="s">
        <v>2355</v>
      </c>
      <c r="AG1664" s="831" t="s">
        <v>1721</v>
      </c>
      <c r="AH1664" s="831" t="s">
        <v>1722</v>
      </c>
      <c r="AI1664" s="831">
        <v>0</v>
      </c>
      <c r="AJ1664" s="835">
        <v>40390</v>
      </c>
      <c r="AK1664" s="831">
        <v>11485285.851199999</v>
      </c>
      <c r="AP1664" s="831" t="str">
        <f t="shared" si="76"/>
        <v/>
      </c>
    </row>
    <row r="1665" spans="2:42">
      <c r="B1665" s="834" t="str">
        <f t="shared" si="75"/>
        <v>|||</v>
      </c>
      <c r="H1665" s="835">
        <f t="shared" si="77"/>
        <v>31</v>
      </c>
      <c r="AF1665" s="831" t="s">
        <v>2356</v>
      </c>
      <c r="AG1665" s="831" t="s">
        <v>1721</v>
      </c>
      <c r="AH1665" s="831" t="s">
        <v>1724</v>
      </c>
      <c r="AI1665" s="831">
        <v>0</v>
      </c>
      <c r="AJ1665" s="835">
        <v>40390</v>
      </c>
      <c r="AK1665" s="831">
        <v>382535.29719999997</v>
      </c>
      <c r="AP1665" s="831" t="str">
        <f t="shared" si="76"/>
        <v/>
      </c>
    </row>
    <row r="1666" spans="2:42">
      <c r="B1666" s="834" t="str">
        <f t="shared" si="75"/>
        <v>|||</v>
      </c>
      <c r="H1666" s="835">
        <f t="shared" si="77"/>
        <v>31</v>
      </c>
      <c r="AF1666" s="831" t="s">
        <v>2357</v>
      </c>
      <c r="AG1666" s="831" t="s">
        <v>1721</v>
      </c>
      <c r="AH1666" s="831" t="s">
        <v>1726</v>
      </c>
      <c r="AI1666" s="831">
        <v>0</v>
      </c>
      <c r="AJ1666" s="835">
        <v>40390</v>
      </c>
      <c r="AK1666" s="831">
        <v>172438.09520000001</v>
      </c>
      <c r="AP1666" s="831" t="str">
        <f t="shared" si="76"/>
        <v/>
      </c>
    </row>
    <row r="1667" spans="2:42">
      <c r="B1667" s="834" t="str">
        <f t="shared" ref="B1667:B1730" si="78">C1667&amp;"|"&amp;D1667&amp;"|"&amp;E1667&amp;"|"&amp;F1667</f>
        <v>|||</v>
      </c>
      <c r="H1667" s="835">
        <f t="shared" si="77"/>
        <v>31</v>
      </c>
      <c r="AF1667" s="831" t="s">
        <v>2358</v>
      </c>
      <c r="AG1667" s="831" t="s">
        <v>1721</v>
      </c>
      <c r="AH1667" s="831" t="s">
        <v>1722</v>
      </c>
      <c r="AI1667" s="831">
        <v>0</v>
      </c>
      <c r="AJ1667" s="835">
        <v>40421</v>
      </c>
      <c r="AK1667" s="831">
        <v>4943399.7406000001</v>
      </c>
      <c r="AP1667" s="831" t="str">
        <f t="shared" ref="AP1667:AP1730" si="79">IF(AX1667&lt;&gt;"",IF(OR(AX1667=3,AX1667=4),"Equity","Debt"),"")</f>
        <v/>
      </c>
    </row>
    <row r="1668" spans="2:42">
      <c r="B1668" s="834" t="str">
        <f t="shared" si="78"/>
        <v>|||</v>
      </c>
      <c r="H1668" s="835">
        <f t="shared" ref="H1668:H1731" si="80">EOMONTH(L1668,0)</f>
        <v>31</v>
      </c>
      <c r="AF1668" s="831" t="s">
        <v>2359</v>
      </c>
      <c r="AG1668" s="831" t="s">
        <v>1721</v>
      </c>
      <c r="AH1668" s="831" t="s">
        <v>1724</v>
      </c>
      <c r="AI1668" s="831">
        <v>0</v>
      </c>
      <c r="AJ1668" s="835">
        <v>40421</v>
      </c>
      <c r="AK1668" s="831">
        <v>93856.510800000004</v>
      </c>
      <c r="AP1668" s="831" t="str">
        <f t="shared" si="79"/>
        <v/>
      </c>
    </row>
    <row r="1669" spans="2:42">
      <c r="B1669" s="834" t="str">
        <f t="shared" si="78"/>
        <v>|||</v>
      </c>
      <c r="H1669" s="835">
        <f t="shared" si="80"/>
        <v>31</v>
      </c>
      <c r="AF1669" s="831" t="s">
        <v>2360</v>
      </c>
      <c r="AG1669" s="831" t="s">
        <v>1721</v>
      </c>
      <c r="AH1669" s="831" t="s">
        <v>1726</v>
      </c>
      <c r="AI1669" s="831">
        <v>0</v>
      </c>
      <c r="AJ1669" s="835">
        <v>40421</v>
      </c>
      <c r="AK1669" s="831">
        <v>1541186.8288</v>
      </c>
      <c r="AP1669" s="831" t="str">
        <f t="shared" si="79"/>
        <v/>
      </c>
    </row>
    <row r="1670" spans="2:42">
      <c r="B1670" s="834" t="str">
        <f t="shared" si="78"/>
        <v>|||</v>
      </c>
      <c r="H1670" s="835">
        <f t="shared" si="80"/>
        <v>31</v>
      </c>
      <c r="AF1670" s="831" t="s">
        <v>2361</v>
      </c>
      <c r="AG1670" s="831" t="s">
        <v>1721</v>
      </c>
      <c r="AH1670" s="831" t="s">
        <v>1722</v>
      </c>
      <c r="AI1670" s="831">
        <v>0</v>
      </c>
      <c r="AJ1670" s="835">
        <v>40451</v>
      </c>
      <c r="AK1670" s="831">
        <v>5192437.5305000003</v>
      </c>
      <c r="AP1670" s="831" t="str">
        <f t="shared" si="79"/>
        <v/>
      </c>
    </row>
    <row r="1671" spans="2:42">
      <c r="B1671" s="834" t="str">
        <f t="shared" si="78"/>
        <v>|||</v>
      </c>
      <c r="H1671" s="835">
        <f t="shared" si="80"/>
        <v>31</v>
      </c>
      <c r="AF1671" s="831" t="s">
        <v>2362</v>
      </c>
      <c r="AG1671" s="831" t="s">
        <v>1721</v>
      </c>
      <c r="AH1671" s="831" t="s">
        <v>1724</v>
      </c>
      <c r="AI1671" s="831">
        <v>0</v>
      </c>
      <c r="AJ1671" s="835">
        <v>40451</v>
      </c>
      <c r="AK1671" s="831">
        <v>1531584.5107</v>
      </c>
      <c r="AP1671" s="831" t="str">
        <f t="shared" si="79"/>
        <v/>
      </c>
    </row>
    <row r="1672" spans="2:42">
      <c r="B1672" s="834" t="str">
        <f t="shared" si="78"/>
        <v>|||</v>
      </c>
      <c r="H1672" s="835">
        <f t="shared" si="80"/>
        <v>31</v>
      </c>
      <c r="AF1672" s="831" t="s">
        <v>2363</v>
      </c>
      <c r="AG1672" s="831" t="s">
        <v>1721</v>
      </c>
      <c r="AH1672" s="831" t="s">
        <v>1726</v>
      </c>
      <c r="AI1672" s="831">
        <v>0</v>
      </c>
      <c r="AJ1672" s="835">
        <v>40451</v>
      </c>
      <c r="AK1672" s="831">
        <v>-393178.51400000002</v>
      </c>
      <c r="AP1672" s="831" t="str">
        <f t="shared" si="79"/>
        <v/>
      </c>
    </row>
    <row r="1673" spans="2:42">
      <c r="B1673" s="834" t="str">
        <f t="shared" si="78"/>
        <v>|||</v>
      </c>
      <c r="H1673" s="835">
        <f t="shared" si="80"/>
        <v>31</v>
      </c>
      <c r="AF1673" s="831" t="s">
        <v>2364</v>
      </c>
      <c r="AG1673" s="831" t="s">
        <v>1721</v>
      </c>
      <c r="AH1673" s="831" t="s">
        <v>1722</v>
      </c>
      <c r="AI1673" s="831">
        <v>0</v>
      </c>
      <c r="AJ1673" s="835">
        <v>40482</v>
      </c>
      <c r="AK1673" s="831">
        <v>-503311.21230000001</v>
      </c>
      <c r="AP1673" s="831" t="str">
        <f t="shared" si="79"/>
        <v/>
      </c>
    </row>
    <row r="1674" spans="2:42">
      <c r="B1674" s="834" t="str">
        <f t="shared" si="78"/>
        <v>|||</v>
      </c>
      <c r="H1674" s="835">
        <f t="shared" si="80"/>
        <v>31</v>
      </c>
      <c r="AF1674" s="831" t="s">
        <v>2365</v>
      </c>
      <c r="AG1674" s="831" t="s">
        <v>1721</v>
      </c>
      <c r="AH1674" s="831" t="s">
        <v>1724</v>
      </c>
      <c r="AI1674" s="831">
        <v>0</v>
      </c>
      <c r="AJ1674" s="835">
        <v>40482</v>
      </c>
      <c r="AK1674" s="831">
        <v>31923.1083</v>
      </c>
      <c r="AP1674" s="831" t="str">
        <f t="shared" si="79"/>
        <v/>
      </c>
    </row>
    <row r="1675" spans="2:42">
      <c r="B1675" s="834" t="str">
        <f t="shared" si="78"/>
        <v>|||</v>
      </c>
      <c r="H1675" s="835">
        <f t="shared" si="80"/>
        <v>31</v>
      </c>
      <c r="AF1675" s="831" t="s">
        <v>2366</v>
      </c>
      <c r="AG1675" s="831" t="s">
        <v>1721</v>
      </c>
      <c r="AH1675" s="831" t="s">
        <v>1726</v>
      </c>
      <c r="AI1675" s="831">
        <v>0</v>
      </c>
      <c r="AJ1675" s="835">
        <v>40482</v>
      </c>
      <c r="AK1675" s="831">
        <v>899916.33840000001</v>
      </c>
      <c r="AP1675" s="831" t="str">
        <f t="shared" si="79"/>
        <v/>
      </c>
    </row>
    <row r="1676" spans="2:42">
      <c r="B1676" s="834" t="str">
        <f t="shared" si="78"/>
        <v>|||</v>
      </c>
      <c r="H1676" s="835">
        <f t="shared" si="80"/>
        <v>31</v>
      </c>
      <c r="AF1676" s="831" t="s">
        <v>2367</v>
      </c>
      <c r="AG1676" s="831" t="s">
        <v>1721</v>
      </c>
      <c r="AH1676" s="831" t="s">
        <v>1722</v>
      </c>
      <c r="AI1676" s="831">
        <v>0</v>
      </c>
      <c r="AJ1676" s="835">
        <v>40512</v>
      </c>
      <c r="AK1676" s="831">
        <v>-28284402.675000001</v>
      </c>
      <c r="AP1676" s="831" t="str">
        <f t="shared" si="79"/>
        <v/>
      </c>
    </row>
    <row r="1677" spans="2:42">
      <c r="B1677" s="834" t="str">
        <f t="shared" si="78"/>
        <v>|||</v>
      </c>
      <c r="H1677" s="835">
        <f t="shared" si="80"/>
        <v>31</v>
      </c>
      <c r="AF1677" s="831" t="s">
        <v>2368</v>
      </c>
      <c r="AG1677" s="831" t="s">
        <v>1721</v>
      </c>
      <c r="AH1677" s="831" t="s">
        <v>1724</v>
      </c>
      <c r="AI1677" s="831">
        <v>0</v>
      </c>
      <c r="AJ1677" s="835">
        <v>40512</v>
      </c>
      <c r="AK1677" s="831">
        <v>16385523.868100001</v>
      </c>
      <c r="AP1677" s="831" t="str">
        <f t="shared" si="79"/>
        <v/>
      </c>
    </row>
    <row r="1678" spans="2:42">
      <c r="B1678" s="834" t="str">
        <f t="shared" si="78"/>
        <v>|||</v>
      </c>
      <c r="H1678" s="835">
        <f t="shared" si="80"/>
        <v>31</v>
      </c>
      <c r="AF1678" s="831" t="s">
        <v>2369</v>
      </c>
      <c r="AG1678" s="831" t="s">
        <v>1721</v>
      </c>
      <c r="AH1678" s="831" t="s">
        <v>1726</v>
      </c>
      <c r="AI1678" s="831">
        <v>0</v>
      </c>
      <c r="AJ1678" s="835">
        <v>40512</v>
      </c>
      <c r="AK1678" s="831">
        <v>-2196891.5255</v>
      </c>
      <c r="AP1678" s="831" t="str">
        <f t="shared" si="79"/>
        <v/>
      </c>
    </row>
    <row r="1679" spans="2:42">
      <c r="B1679" s="834" t="str">
        <f t="shared" si="78"/>
        <v>|||</v>
      </c>
      <c r="H1679" s="835">
        <f t="shared" si="80"/>
        <v>31</v>
      </c>
      <c r="AF1679" s="831" t="s">
        <v>2370</v>
      </c>
      <c r="AG1679" s="831" t="s">
        <v>1721</v>
      </c>
      <c r="AH1679" s="831" t="s">
        <v>1722</v>
      </c>
      <c r="AI1679" s="831">
        <v>0</v>
      </c>
      <c r="AJ1679" s="835">
        <v>40543</v>
      </c>
      <c r="AK1679" s="831">
        <v>9341464.5176999997</v>
      </c>
      <c r="AP1679" s="831" t="str">
        <f t="shared" si="79"/>
        <v/>
      </c>
    </row>
    <row r="1680" spans="2:42">
      <c r="B1680" s="834" t="str">
        <f t="shared" si="78"/>
        <v>|||</v>
      </c>
      <c r="H1680" s="835">
        <f t="shared" si="80"/>
        <v>31</v>
      </c>
      <c r="AF1680" s="831" t="s">
        <v>2371</v>
      </c>
      <c r="AG1680" s="831" t="s">
        <v>1721</v>
      </c>
      <c r="AH1680" s="831" t="s">
        <v>1724</v>
      </c>
      <c r="AI1680" s="831">
        <v>0</v>
      </c>
      <c r="AJ1680" s="835">
        <v>40543</v>
      </c>
      <c r="AK1680" s="831">
        <v>538900.86210000003</v>
      </c>
      <c r="AP1680" s="831" t="str">
        <f t="shared" si="79"/>
        <v/>
      </c>
    </row>
    <row r="1681" spans="2:42">
      <c r="B1681" s="834" t="str">
        <f t="shared" si="78"/>
        <v>|||</v>
      </c>
      <c r="H1681" s="835">
        <f t="shared" si="80"/>
        <v>31</v>
      </c>
      <c r="AF1681" s="831" t="s">
        <v>2372</v>
      </c>
      <c r="AG1681" s="831" t="s">
        <v>1721</v>
      </c>
      <c r="AH1681" s="831" t="s">
        <v>1726</v>
      </c>
      <c r="AI1681" s="831">
        <v>0</v>
      </c>
      <c r="AJ1681" s="835">
        <v>40543</v>
      </c>
      <c r="AK1681" s="831">
        <v>-6514181.6682000002</v>
      </c>
      <c r="AP1681" s="831" t="str">
        <f t="shared" si="79"/>
        <v/>
      </c>
    </row>
    <row r="1682" spans="2:42">
      <c r="B1682" s="834" t="str">
        <f t="shared" si="78"/>
        <v>|||</v>
      </c>
      <c r="H1682" s="835">
        <f t="shared" si="80"/>
        <v>31</v>
      </c>
      <c r="AF1682" s="831" t="s">
        <v>2373</v>
      </c>
      <c r="AG1682" s="831" t="s">
        <v>59</v>
      </c>
      <c r="AH1682" s="831" t="s">
        <v>70</v>
      </c>
      <c r="AI1682" s="831">
        <v>0</v>
      </c>
      <c r="AJ1682" s="835">
        <v>40209</v>
      </c>
      <c r="AK1682" s="831">
        <v>203888372</v>
      </c>
      <c r="AP1682" s="831" t="str">
        <f t="shared" si="79"/>
        <v/>
      </c>
    </row>
    <row r="1683" spans="2:42">
      <c r="B1683" s="834" t="str">
        <f t="shared" si="78"/>
        <v>|||</v>
      </c>
      <c r="H1683" s="835">
        <f t="shared" si="80"/>
        <v>31</v>
      </c>
      <c r="AF1683" s="831" t="s">
        <v>2374</v>
      </c>
      <c r="AG1683" s="831" t="s">
        <v>59</v>
      </c>
      <c r="AH1683" s="831" t="s">
        <v>75</v>
      </c>
      <c r="AI1683" s="831">
        <v>0</v>
      </c>
      <c r="AJ1683" s="835">
        <v>40209</v>
      </c>
      <c r="AK1683" s="831">
        <v>166573230</v>
      </c>
      <c r="AP1683" s="831" t="str">
        <f t="shared" si="79"/>
        <v/>
      </c>
    </row>
    <row r="1684" spans="2:42">
      <c r="B1684" s="834" t="str">
        <f t="shared" si="78"/>
        <v>|||</v>
      </c>
      <c r="H1684" s="835">
        <f t="shared" si="80"/>
        <v>31</v>
      </c>
      <c r="AF1684" s="831" t="s">
        <v>2375</v>
      </c>
      <c r="AG1684" s="831" t="s">
        <v>59</v>
      </c>
      <c r="AH1684" s="831" t="s">
        <v>85</v>
      </c>
      <c r="AI1684" s="831">
        <v>0</v>
      </c>
      <c r="AJ1684" s="835">
        <v>40209</v>
      </c>
      <c r="AK1684" s="831">
        <v>33783920</v>
      </c>
      <c r="AP1684" s="831" t="str">
        <f t="shared" si="79"/>
        <v/>
      </c>
    </row>
    <row r="1685" spans="2:42">
      <c r="B1685" s="834" t="str">
        <f t="shared" si="78"/>
        <v>|||</v>
      </c>
      <c r="H1685" s="835">
        <f t="shared" si="80"/>
        <v>31</v>
      </c>
      <c r="AF1685" s="831" t="s">
        <v>2376</v>
      </c>
      <c r="AG1685" s="831" t="s">
        <v>59</v>
      </c>
      <c r="AH1685" s="831" t="s">
        <v>90</v>
      </c>
      <c r="AI1685" s="831">
        <v>0</v>
      </c>
      <c r="AJ1685" s="835">
        <v>40209</v>
      </c>
      <c r="AK1685" s="831">
        <v>155630930</v>
      </c>
      <c r="AP1685" s="831" t="str">
        <f t="shared" si="79"/>
        <v/>
      </c>
    </row>
    <row r="1686" spans="2:42">
      <c r="B1686" s="834" t="str">
        <f t="shared" si="78"/>
        <v>|||</v>
      </c>
      <c r="H1686" s="835">
        <f t="shared" si="80"/>
        <v>31</v>
      </c>
      <c r="AF1686" s="831" t="s">
        <v>2377</v>
      </c>
      <c r="AG1686" s="831" t="s">
        <v>59</v>
      </c>
      <c r="AH1686" s="831" t="s">
        <v>521</v>
      </c>
      <c r="AI1686" s="831">
        <v>0</v>
      </c>
      <c r="AJ1686" s="835">
        <v>40209</v>
      </c>
      <c r="AK1686" s="831">
        <v>0</v>
      </c>
      <c r="AP1686" s="831" t="str">
        <f t="shared" si="79"/>
        <v/>
      </c>
    </row>
    <row r="1687" spans="2:42">
      <c r="B1687" s="834" t="str">
        <f t="shared" si="78"/>
        <v>|||</v>
      </c>
      <c r="H1687" s="835">
        <f t="shared" si="80"/>
        <v>31</v>
      </c>
      <c r="AF1687" s="831" t="s">
        <v>2378</v>
      </c>
      <c r="AG1687" s="831" t="s">
        <v>59</v>
      </c>
      <c r="AH1687" s="831" t="s">
        <v>522</v>
      </c>
      <c r="AI1687" s="831">
        <v>0</v>
      </c>
      <c r="AJ1687" s="835">
        <v>40209</v>
      </c>
      <c r="AK1687" s="831">
        <v>0</v>
      </c>
      <c r="AP1687" s="831" t="str">
        <f t="shared" si="79"/>
        <v/>
      </c>
    </row>
    <row r="1688" spans="2:42">
      <c r="B1688" s="834" t="str">
        <f t="shared" si="78"/>
        <v>|||</v>
      </c>
      <c r="H1688" s="835">
        <f t="shared" si="80"/>
        <v>31</v>
      </c>
      <c r="AF1688" s="831" t="s">
        <v>2379</v>
      </c>
      <c r="AG1688" s="831" t="s">
        <v>59</v>
      </c>
      <c r="AH1688" s="831" t="s">
        <v>523</v>
      </c>
      <c r="AI1688" s="831">
        <v>0</v>
      </c>
      <c r="AJ1688" s="835">
        <v>40209</v>
      </c>
      <c r="AK1688" s="831">
        <v>0</v>
      </c>
      <c r="AP1688" s="831" t="str">
        <f t="shared" si="79"/>
        <v/>
      </c>
    </row>
    <row r="1689" spans="2:42">
      <c r="B1689" s="834" t="str">
        <f t="shared" si="78"/>
        <v>|||</v>
      </c>
      <c r="H1689" s="835">
        <f t="shared" si="80"/>
        <v>31</v>
      </c>
      <c r="AF1689" s="831" t="s">
        <v>2380</v>
      </c>
      <c r="AG1689" s="831" t="s">
        <v>59</v>
      </c>
      <c r="AH1689" s="831" t="s">
        <v>524</v>
      </c>
      <c r="AI1689" s="831">
        <v>0</v>
      </c>
      <c r="AJ1689" s="835">
        <v>40209</v>
      </c>
      <c r="AK1689" s="831">
        <v>0</v>
      </c>
      <c r="AP1689" s="831" t="str">
        <f t="shared" si="79"/>
        <v/>
      </c>
    </row>
    <row r="1690" spans="2:42">
      <c r="B1690" s="834" t="str">
        <f t="shared" si="78"/>
        <v>|||</v>
      </c>
      <c r="H1690" s="835">
        <f t="shared" si="80"/>
        <v>31</v>
      </c>
      <c r="AF1690" s="831" t="s">
        <v>2381</v>
      </c>
      <c r="AG1690" s="831" t="s">
        <v>59</v>
      </c>
      <c r="AH1690" s="831" t="s">
        <v>1805</v>
      </c>
      <c r="AI1690" s="831">
        <v>0</v>
      </c>
      <c r="AJ1690" s="835">
        <v>40209</v>
      </c>
      <c r="AK1690" s="831">
        <v>0.80349999999999999</v>
      </c>
      <c r="AP1690" s="831" t="str">
        <f t="shared" si="79"/>
        <v/>
      </c>
    </row>
    <row r="1691" spans="2:42">
      <c r="B1691" s="834" t="str">
        <f t="shared" si="78"/>
        <v>|||</v>
      </c>
      <c r="H1691" s="835">
        <f t="shared" si="80"/>
        <v>31</v>
      </c>
      <c r="AF1691" s="831" t="s">
        <v>2382</v>
      </c>
      <c r="AG1691" s="831" t="s">
        <v>59</v>
      </c>
      <c r="AH1691" s="831" t="s">
        <v>70</v>
      </c>
      <c r="AI1691" s="831">
        <v>0</v>
      </c>
      <c r="AJ1691" s="835">
        <v>40237</v>
      </c>
      <c r="AK1691" s="831">
        <v>203797952</v>
      </c>
      <c r="AP1691" s="831" t="str">
        <f t="shared" si="79"/>
        <v/>
      </c>
    </row>
    <row r="1692" spans="2:42">
      <c r="B1692" s="834" t="str">
        <f t="shared" si="78"/>
        <v>|||</v>
      </c>
      <c r="H1692" s="835">
        <f t="shared" si="80"/>
        <v>31</v>
      </c>
      <c r="AF1692" s="831" t="s">
        <v>2383</v>
      </c>
      <c r="AG1692" s="831" t="s">
        <v>59</v>
      </c>
      <c r="AH1692" s="831" t="s">
        <v>75</v>
      </c>
      <c r="AI1692" s="831">
        <v>0</v>
      </c>
      <c r="AJ1692" s="835">
        <v>40237</v>
      </c>
      <c r="AK1692" s="831">
        <v>170572780</v>
      </c>
      <c r="AP1692" s="831" t="str">
        <f t="shared" si="79"/>
        <v/>
      </c>
    </row>
    <row r="1693" spans="2:42">
      <c r="B1693" s="834" t="str">
        <f t="shared" si="78"/>
        <v>|||</v>
      </c>
      <c r="H1693" s="835">
        <f t="shared" si="80"/>
        <v>31</v>
      </c>
      <c r="AF1693" s="831" t="s">
        <v>2384</v>
      </c>
      <c r="AG1693" s="831" t="s">
        <v>59</v>
      </c>
      <c r="AH1693" s="831" t="s">
        <v>85</v>
      </c>
      <c r="AI1693" s="831">
        <v>0</v>
      </c>
      <c r="AJ1693" s="835">
        <v>40237</v>
      </c>
      <c r="AK1693" s="831">
        <v>36910970</v>
      </c>
      <c r="AP1693" s="831" t="str">
        <f t="shared" si="79"/>
        <v/>
      </c>
    </row>
    <row r="1694" spans="2:42">
      <c r="B1694" s="834" t="str">
        <f t="shared" si="78"/>
        <v>|||</v>
      </c>
      <c r="H1694" s="835">
        <f t="shared" si="80"/>
        <v>31</v>
      </c>
      <c r="AF1694" s="831" t="s">
        <v>2385</v>
      </c>
      <c r="AG1694" s="831" t="s">
        <v>59</v>
      </c>
      <c r="AH1694" s="831" t="s">
        <v>90</v>
      </c>
      <c r="AI1694" s="831">
        <v>0</v>
      </c>
      <c r="AJ1694" s="835">
        <v>40237</v>
      </c>
      <c r="AK1694" s="831">
        <v>150922000</v>
      </c>
      <c r="AP1694" s="831" t="str">
        <f t="shared" si="79"/>
        <v/>
      </c>
    </row>
    <row r="1695" spans="2:42">
      <c r="B1695" s="834" t="str">
        <f t="shared" si="78"/>
        <v>|||</v>
      </c>
      <c r="H1695" s="835">
        <f t="shared" si="80"/>
        <v>31</v>
      </c>
      <c r="AF1695" s="831" t="s">
        <v>2386</v>
      </c>
      <c r="AG1695" s="831" t="s">
        <v>59</v>
      </c>
      <c r="AH1695" s="831" t="s">
        <v>521</v>
      </c>
      <c r="AI1695" s="831">
        <v>0</v>
      </c>
      <c r="AJ1695" s="835">
        <v>40237</v>
      </c>
      <c r="AK1695" s="831">
        <v>0</v>
      </c>
      <c r="AP1695" s="831" t="str">
        <f t="shared" si="79"/>
        <v/>
      </c>
    </row>
    <row r="1696" spans="2:42">
      <c r="B1696" s="834" t="str">
        <f t="shared" si="78"/>
        <v>|||</v>
      </c>
      <c r="H1696" s="835">
        <f t="shared" si="80"/>
        <v>31</v>
      </c>
      <c r="AF1696" s="831" t="s">
        <v>2387</v>
      </c>
      <c r="AG1696" s="831" t="s">
        <v>59</v>
      </c>
      <c r="AH1696" s="831" t="s">
        <v>522</v>
      </c>
      <c r="AI1696" s="831">
        <v>0</v>
      </c>
      <c r="AJ1696" s="835">
        <v>40237</v>
      </c>
      <c r="AK1696" s="831">
        <v>0</v>
      </c>
      <c r="AP1696" s="831" t="str">
        <f t="shared" si="79"/>
        <v/>
      </c>
    </row>
    <row r="1697" spans="2:42">
      <c r="B1697" s="834" t="str">
        <f t="shared" si="78"/>
        <v>|||</v>
      </c>
      <c r="H1697" s="835">
        <f t="shared" si="80"/>
        <v>31</v>
      </c>
      <c r="AF1697" s="831" t="s">
        <v>2388</v>
      </c>
      <c r="AG1697" s="831" t="s">
        <v>59</v>
      </c>
      <c r="AH1697" s="831" t="s">
        <v>523</v>
      </c>
      <c r="AI1697" s="831">
        <v>0</v>
      </c>
      <c r="AJ1697" s="835">
        <v>40237</v>
      </c>
      <c r="AK1697" s="831">
        <v>0</v>
      </c>
      <c r="AP1697" s="831" t="str">
        <f t="shared" si="79"/>
        <v/>
      </c>
    </row>
    <row r="1698" spans="2:42">
      <c r="B1698" s="834" t="str">
        <f t="shared" si="78"/>
        <v>|||</v>
      </c>
      <c r="H1698" s="835">
        <f t="shared" si="80"/>
        <v>31</v>
      </c>
      <c r="AF1698" s="831" t="s">
        <v>2389</v>
      </c>
      <c r="AG1698" s="831" t="s">
        <v>59</v>
      </c>
      <c r="AH1698" s="831" t="s">
        <v>524</v>
      </c>
      <c r="AI1698" s="831">
        <v>0</v>
      </c>
      <c r="AJ1698" s="835">
        <v>40237</v>
      </c>
      <c r="AK1698" s="831">
        <v>0</v>
      </c>
      <c r="AP1698" s="831" t="str">
        <f t="shared" si="79"/>
        <v/>
      </c>
    </row>
    <row r="1699" spans="2:42">
      <c r="B1699" s="834" t="str">
        <f t="shared" si="78"/>
        <v>|||</v>
      </c>
      <c r="H1699" s="835">
        <f t="shared" si="80"/>
        <v>31</v>
      </c>
      <c r="AF1699" s="831" t="s">
        <v>2390</v>
      </c>
      <c r="AG1699" s="831" t="s">
        <v>59</v>
      </c>
      <c r="AH1699" s="831" t="s">
        <v>1805</v>
      </c>
      <c r="AI1699" s="831">
        <v>0</v>
      </c>
      <c r="AJ1699" s="835">
        <v>40237</v>
      </c>
      <c r="AK1699" s="831">
        <v>0.8034</v>
      </c>
      <c r="AP1699" s="831" t="str">
        <f t="shared" si="79"/>
        <v/>
      </c>
    </row>
    <row r="1700" spans="2:42">
      <c r="B1700" s="834" t="str">
        <f t="shared" si="78"/>
        <v>|||</v>
      </c>
      <c r="H1700" s="835">
        <f t="shared" si="80"/>
        <v>31</v>
      </c>
      <c r="AF1700" s="831" t="s">
        <v>2391</v>
      </c>
      <c r="AG1700" s="831" t="s">
        <v>59</v>
      </c>
      <c r="AH1700" s="831" t="s">
        <v>70</v>
      </c>
      <c r="AI1700" s="831">
        <v>0</v>
      </c>
      <c r="AJ1700" s="835">
        <v>40268</v>
      </c>
      <c r="AK1700" s="831">
        <v>201940766</v>
      </c>
      <c r="AP1700" s="831" t="str">
        <f t="shared" si="79"/>
        <v/>
      </c>
    </row>
    <row r="1701" spans="2:42">
      <c r="B1701" s="834" t="str">
        <f t="shared" si="78"/>
        <v>|||</v>
      </c>
      <c r="H1701" s="835">
        <f t="shared" si="80"/>
        <v>31</v>
      </c>
      <c r="AF1701" s="831" t="s">
        <v>2392</v>
      </c>
      <c r="AG1701" s="831" t="s">
        <v>59</v>
      </c>
      <c r="AH1701" s="831" t="s">
        <v>75</v>
      </c>
      <c r="AI1701" s="831">
        <v>0</v>
      </c>
      <c r="AJ1701" s="835">
        <v>40268</v>
      </c>
      <c r="AK1701" s="831">
        <v>172473070</v>
      </c>
      <c r="AP1701" s="831" t="str">
        <f t="shared" si="79"/>
        <v/>
      </c>
    </row>
    <row r="1702" spans="2:42">
      <c r="B1702" s="834" t="str">
        <f t="shared" si="78"/>
        <v>|||</v>
      </c>
      <c r="H1702" s="835">
        <f t="shared" si="80"/>
        <v>31</v>
      </c>
      <c r="AF1702" s="831" t="s">
        <v>2393</v>
      </c>
      <c r="AG1702" s="831" t="s">
        <v>59</v>
      </c>
      <c r="AH1702" s="831" t="s">
        <v>85</v>
      </c>
      <c r="AI1702" s="831">
        <v>0</v>
      </c>
      <c r="AJ1702" s="835">
        <v>40268</v>
      </c>
      <c r="AK1702" s="831">
        <v>38292160</v>
      </c>
      <c r="AP1702" s="831" t="str">
        <f t="shared" si="79"/>
        <v/>
      </c>
    </row>
    <row r="1703" spans="2:42">
      <c r="B1703" s="834" t="str">
        <f t="shared" si="78"/>
        <v>|||</v>
      </c>
      <c r="H1703" s="835">
        <f t="shared" si="80"/>
        <v>31</v>
      </c>
      <c r="AF1703" s="831" t="s">
        <v>2394</v>
      </c>
      <c r="AG1703" s="831" t="s">
        <v>59</v>
      </c>
      <c r="AH1703" s="831" t="s">
        <v>90</v>
      </c>
      <c r="AI1703" s="831">
        <v>0</v>
      </c>
      <c r="AJ1703" s="835">
        <v>40268</v>
      </c>
      <c r="AK1703" s="831">
        <v>149962380</v>
      </c>
      <c r="AP1703" s="831" t="str">
        <f t="shared" si="79"/>
        <v/>
      </c>
    </row>
    <row r="1704" spans="2:42">
      <c r="B1704" s="834" t="str">
        <f t="shared" si="78"/>
        <v>|||</v>
      </c>
      <c r="H1704" s="835">
        <f t="shared" si="80"/>
        <v>31</v>
      </c>
      <c r="AF1704" s="831" t="s">
        <v>2395</v>
      </c>
      <c r="AG1704" s="831" t="s">
        <v>59</v>
      </c>
      <c r="AH1704" s="831" t="s">
        <v>521</v>
      </c>
      <c r="AI1704" s="831">
        <v>0</v>
      </c>
      <c r="AJ1704" s="835">
        <v>40268</v>
      </c>
      <c r="AK1704" s="831">
        <v>0</v>
      </c>
      <c r="AP1704" s="831" t="str">
        <f t="shared" si="79"/>
        <v/>
      </c>
    </row>
    <row r="1705" spans="2:42">
      <c r="B1705" s="834" t="str">
        <f t="shared" si="78"/>
        <v>|||</v>
      </c>
      <c r="H1705" s="835">
        <f t="shared" si="80"/>
        <v>31</v>
      </c>
      <c r="AF1705" s="831" t="s">
        <v>2396</v>
      </c>
      <c r="AG1705" s="831" t="s">
        <v>59</v>
      </c>
      <c r="AH1705" s="831" t="s">
        <v>522</v>
      </c>
      <c r="AI1705" s="831">
        <v>0</v>
      </c>
      <c r="AJ1705" s="835">
        <v>40268</v>
      </c>
      <c r="AK1705" s="831">
        <v>0</v>
      </c>
      <c r="AP1705" s="831" t="str">
        <f t="shared" si="79"/>
        <v/>
      </c>
    </row>
    <row r="1706" spans="2:42">
      <c r="B1706" s="834" t="str">
        <f t="shared" si="78"/>
        <v>|||</v>
      </c>
      <c r="H1706" s="835">
        <f t="shared" si="80"/>
        <v>31</v>
      </c>
      <c r="AF1706" s="831" t="s">
        <v>2397</v>
      </c>
      <c r="AG1706" s="831" t="s">
        <v>59</v>
      </c>
      <c r="AH1706" s="831" t="s">
        <v>523</v>
      </c>
      <c r="AI1706" s="831">
        <v>0</v>
      </c>
      <c r="AJ1706" s="835">
        <v>40268</v>
      </c>
      <c r="AK1706" s="831">
        <v>0</v>
      </c>
      <c r="AP1706" s="831" t="str">
        <f t="shared" si="79"/>
        <v/>
      </c>
    </row>
    <row r="1707" spans="2:42">
      <c r="B1707" s="834" t="str">
        <f t="shared" si="78"/>
        <v>|||</v>
      </c>
      <c r="H1707" s="835">
        <f t="shared" si="80"/>
        <v>31</v>
      </c>
      <c r="AF1707" s="831" t="s">
        <v>2398</v>
      </c>
      <c r="AG1707" s="831" t="s">
        <v>59</v>
      </c>
      <c r="AH1707" s="831" t="s">
        <v>524</v>
      </c>
      <c r="AI1707" s="831">
        <v>0</v>
      </c>
      <c r="AJ1707" s="835">
        <v>40268</v>
      </c>
      <c r="AK1707" s="831">
        <v>0</v>
      </c>
      <c r="AP1707" s="831" t="str">
        <f t="shared" si="79"/>
        <v/>
      </c>
    </row>
    <row r="1708" spans="2:42">
      <c r="B1708" s="834" t="str">
        <f t="shared" si="78"/>
        <v>|||</v>
      </c>
      <c r="H1708" s="835">
        <f t="shared" si="80"/>
        <v>31</v>
      </c>
      <c r="AF1708" s="831" t="s">
        <v>2399</v>
      </c>
      <c r="AG1708" s="831" t="s">
        <v>59</v>
      </c>
      <c r="AH1708" s="831" t="s">
        <v>1805</v>
      </c>
      <c r="AI1708" s="831">
        <v>0</v>
      </c>
      <c r="AJ1708" s="835">
        <v>40268</v>
      </c>
      <c r="AK1708" s="831">
        <v>0.8034</v>
      </c>
      <c r="AP1708" s="831" t="str">
        <f t="shared" si="79"/>
        <v/>
      </c>
    </row>
    <row r="1709" spans="2:42">
      <c r="B1709" s="834" t="str">
        <f t="shared" si="78"/>
        <v>|||</v>
      </c>
      <c r="H1709" s="835">
        <f t="shared" si="80"/>
        <v>31</v>
      </c>
      <c r="AF1709" s="831" t="s">
        <v>2400</v>
      </c>
      <c r="AG1709" s="831" t="s">
        <v>59</v>
      </c>
      <c r="AH1709" s="831" t="s">
        <v>70</v>
      </c>
      <c r="AI1709" s="831">
        <v>0</v>
      </c>
      <c r="AJ1709" s="835">
        <v>40298</v>
      </c>
      <c r="AK1709" s="831">
        <v>201303182</v>
      </c>
      <c r="AP1709" s="831" t="str">
        <f t="shared" si="79"/>
        <v/>
      </c>
    </row>
    <row r="1710" spans="2:42">
      <c r="B1710" s="834" t="str">
        <f t="shared" si="78"/>
        <v>|||</v>
      </c>
      <c r="H1710" s="835">
        <f t="shared" si="80"/>
        <v>31</v>
      </c>
      <c r="AF1710" s="831" t="s">
        <v>2401</v>
      </c>
      <c r="AG1710" s="831" t="s">
        <v>59</v>
      </c>
      <c r="AH1710" s="831" t="s">
        <v>75</v>
      </c>
      <c r="AI1710" s="831">
        <v>0</v>
      </c>
      <c r="AJ1710" s="835">
        <v>40298</v>
      </c>
      <c r="AK1710" s="831">
        <v>173589620</v>
      </c>
      <c r="AP1710" s="831" t="str">
        <f t="shared" si="79"/>
        <v/>
      </c>
    </row>
    <row r="1711" spans="2:42">
      <c r="B1711" s="834" t="str">
        <f t="shared" si="78"/>
        <v>|||</v>
      </c>
      <c r="H1711" s="835">
        <f t="shared" si="80"/>
        <v>31</v>
      </c>
      <c r="AF1711" s="831" t="s">
        <v>2402</v>
      </c>
      <c r="AG1711" s="831" t="s">
        <v>59</v>
      </c>
      <c r="AH1711" s="831" t="s">
        <v>85</v>
      </c>
      <c r="AI1711" s="831">
        <v>0</v>
      </c>
      <c r="AJ1711" s="835">
        <v>40298</v>
      </c>
      <c r="AK1711" s="831">
        <v>38834420</v>
      </c>
      <c r="AP1711" s="831" t="str">
        <f t="shared" si="79"/>
        <v/>
      </c>
    </row>
    <row r="1712" spans="2:42">
      <c r="B1712" s="834" t="str">
        <f t="shared" si="78"/>
        <v>|||</v>
      </c>
      <c r="H1712" s="835">
        <f t="shared" si="80"/>
        <v>31</v>
      </c>
      <c r="AF1712" s="831" t="s">
        <v>2403</v>
      </c>
      <c r="AG1712" s="831" t="s">
        <v>59</v>
      </c>
      <c r="AH1712" s="831" t="s">
        <v>90</v>
      </c>
      <c r="AI1712" s="831">
        <v>0</v>
      </c>
      <c r="AJ1712" s="835">
        <v>40298</v>
      </c>
      <c r="AK1712" s="831">
        <v>148337120</v>
      </c>
      <c r="AP1712" s="831" t="str">
        <f t="shared" si="79"/>
        <v/>
      </c>
    </row>
    <row r="1713" spans="2:42">
      <c r="B1713" s="834" t="str">
        <f t="shared" si="78"/>
        <v>|||</v>
      </c>
      <c r="H1713" s="835">
        <f t="shared" si="80"/>
        <v>31</v>
      </c>
      <c r="AF1713" s="831" t="s">
        <v>2404</v>
      </c>
      <c r="AG1713" s="831" t="s">
        <v>59</v>
      </c>
      <c r="AH1713" s="831" t="s">
        <v>521</v>
      </c>
      <c r="AI1713" s="831">
        <v>0</v>
      </c>
      <c r="AJ1713" s="835">
        <v>40298</v>
      </c>
      <c r="AK1713" s="831">
        <v>0</v>
      </c>
      <c r="AP1713" s="831" t="str">
        <f t="shared" si="79"/>
        <v/>
      </c>
    </row>
    <row r="1714" spans="2:42">
      <c r="B1714" s="834" t="str">
        <f t="shared" si="78"/>
        <v>|||</v>
      </c>
      <c r="H1714" s="835">
        <f t="shared" si="80"/>
        <v>31</v>
      </c>
      <c r="AF1714" s="831" t="s">
        <v>2405</v>
      </c>
      <c r="AG1714" s="831" t="s">
        <v>59</v>
      </c>
      <c r="AH1714" s="831" t="s">
        <v>522</v>
      </c>
      <c r="AI1714" s="831">
        <v>0</v>
      </c>
      <c r="AJ1714" s="835">
        <v>40298</v>
      </c>
      <c r="AK1714" s="831">
        <v>0</v>
      </c>
      <c r="AP1714" s="831" t="str">
        <f t="shared" si="79"/>
        <v/>
      </c>
    </row>
    <row r="1715" spans="2:42">
      <c r="B1715" s="834" t="str">
        <f t="shared" si="78"/>
        <v>|||</v>
      </c>
      <c r="H1715" s="835">
        <f t="shared" si="80"/>
        <v>31</v>
      </c>
      <c r="AF1715" s="831" t="s">
        <v>2406</v>
      </c>
      <c r="AG1715" s="831" t="s">
        <v>59</v>
      </c>
      <c r="AH1715" s="831" t="s">
        <v>523</v>
      </c>
      <c r="AI1715" s="831">
        <v>0</v>
      </c>
      <c r="AJ1715" s="835">
        <v>40298</v>
      </c>
      <c r="AK1715" s="831">
        <v>0</v>
      </c>
      <c r="AP1715" s="831" t="str">
        <f t="shared" si="79"/>
        <v/>
      </c>
    </row>
    <row r="1716" spans="2:42">
      <c r="B1716" s="834" t="str">
        <f t="shared" si="78"/>
        <v>|||</v>
      </c>
      <c r="H1716" s="835">
        <f t="shared" si="80"/>
        <v>31</v>
      </c>
      <c r="AF1716" s="831" t="s">
        <v>2407</v>
      </c>
      <c r="AG1716" s="831" t="s">
        <v>59</v>
      </c>
      <c r="AH1716" s="831" t="s">
        <v>524</v>
      </c>
      <c r="AI1716" s="831">
        <v>0</v>
      </c>
      <c r="AJ1716" s="835">
        <v>40298</v>
      </c>
      <c r="AK1716" s="831">
        <v>0</v>
      </c>
      <c r="AP1716" s="831" t="str">
        <f t="shared" si="79"/>
        <v/>
      </c>
    </row>
    <row r="1717" spans="2:42">
      <c r="B1717" s="834" t="str">
        <f t="shared" si="78"/>
        <v>|||</v>
      </c>
      <c r="H1717" s="835">
        <f t="shared" si="80"/>
        <v>31</v>
      </c>
      <c r="AF1717" s="831" t="s">
        <v>2408</v>
      </c>
      <c r="AG1717" s="831" t="s">
        <v>59</v>
      </c>
      <c r="AH1717" s="831" t="s">
        <v>1805</v>
      </c>
      <c r="AI1717" s="831">
        <v>0</v>
      </c>
      <c r="AJ1717" s="835">
        <v>40298</v>
      </c>
      <c r="AK1717" s="831">
        <v>0.80330000000000001</v>
      </c>
      <c r="AP1717" s="831" t="str">
        <f t="shared" si="79"/>
        <v/>
      </c>
    </row>
    <row r="1718" spans="2:42">
      <c r="B1718" s="834" t="str">
        <f t="shared" si="78"/>
        <v>|||</v>
      </c>
      <c r="H1718" s="835">
        <f t="shared" si="80"/>
        <v>31</v>
      </c>
      <c r="AF1718" s="831" t="s">
        <v>2409</v>
      </c>
      <c r="AG1718" s="831" t="s">
        <v>59</v>
      </c>
      <c r="AH1718" s="831" t="s">
        <v>70</v>
      </c>
      <c r="AI1718" s="831">
        <v>0</v>
      </c>
      <c r="AJ1718" s="835">
        <v>40329</v>
      </c>
      <c r="AK1718" s="831">
        <v>204301315</v>
      </c>
      <c r="AP1718" s="831" t="str">
        <f t="shared" si="79"/>
        <v/>
      </c>
    </row>
    <row r="1719" spans="2:42">
      <c r="B1719" s="834" t="str">
        <f t="shared" si="78"/>
        <v>|||</v>
      </c>
      <c r="H1719" s="835">
        <f t="shared" si="80"/>
        <v>31</v>
      </c>
      <c r="AF1719" s="831" t="s">
        <v>2410</v>
      </c>
      <c r="AG1719" s="831" t="s">
        <v>59</v>
      </c>
      <c r="AH1719" s="831" t="s">
        <v>75</v>
      </c>
      <c r="AI1719" s="831">
        <v>0</v>
      </c>
      <c r="AJ1719" s="835">
        <v>40329</v>
      </c>
      <c r="AK1719" s="831">
        <v>180718930</v>
      </c>
      <c r="AP1719" s="831" t="str">
        <f t="shared" si="79"/>
        <v/>
      </c>
    </row>
    <row r="1720" spans="2:42">
      <c r="B1720" s="834" t="str">
        <f t="shared" si="78"/>
        <v>|||</v>
      </c>
      <c r="H1720" s="835">
        <f t="shared" si="80"/>
        <v>31</v>
      </c>
      <c r="AF1720" s="831" t="s">
        <v>2411</v>
      </c>
      <c r="AG1720" s="831" t="s">
        <v>59</v>
      </c>
      <c r="AH1720" s="831" t="s">
        <v>85</v>
      </c>
      <c r="AI1720" s="831">
        <v>0</v>
      </c>
      <c r="AJ1720" s="835">
        <v>40329</v>
      </c>
      <c r="AK1720" s="831">
        <v>40105170</v>
      </c>
      <c r="AP1720" s="831" t="str">
        <f t="shared" si="79"/>
        <v/>
      </c>
    </row>
    <row r="1721" spans="2:42">
      <c r="B1721" s="834" t="str">
        <f t="shared" si="78"/>
        <v>|||</v>
      </c>
      <c r="H1721" s="835">
        <f t="shared" si="80"/>
        <v>31</v>
      </c>
      <c r="AF1721" s="831" t="s">
        <v>2412</v>
      </c>
      <c r="AG1721" s="831" t="s">
        <v>59</v>
      </c>
      <c r="AH1721" s="831" t="s">
        <v>90</v>
      </c>
      <c r="AI1721" s="831">
        <v>0</v>
      </c>
      <c r="AJ1721" s="835">
        <v>40329</v>
      </c>
      <c r="AK1721" s="831">
        <v>148459490</v>
      </c>
      <c r="AP1721" s="831" t="str">
        <f t="shared" si="79"/>
        <v/>
      </c>
    </row>
    <row r="1722" spans="2:42">
      <c r="B1722" s="834" t="str">
        <f t="shared" si="78"/>
        <v>|||</v>
      </c>
      <c r="H1722" s="835">
        <f t="shared" si="80"/>
        <v>31</v>
      </c>
      <c r="AF1722" s="831" t="s">
        <v>2413</v>
      </c>
      <c r="AG1722" s="831" t="s">
        <v>59</v>
      </c>
      <c r="AH1722" s="831" t="s">
        <v>521</v>
      </c>
      <c r="AI1722" s="831">
        <v>0</v>
      </c>
      <c r="AJ1722" s="835">
        <v>40329</v>
      </c>
      <c r="AK1722" s="831">
        <v>0</v>
      </c>
      <c r="AP1722" s="831" t="str">
        <f t="shared" si="79"/>
        <v/>
      </c>
    </row>
    <row r="1723" spans="2:42">
      <c r="B1723" s="834" t="str">
        <f t="shared" si="78"/>
        <v>|||</v>
      </c>
      <c r="H1723" s="835">
        <f t="shared" si="80"/>
        <v>31</v>
      </c>
      <c r="AF1723" s="831" t="s">
        <v>2414</v>
      </c>
      <c r="AG1723" s="831" t="s">
        <v>59</v>
      </c>
      <c r="AH1723" s="831" t="s">
        <v>522</v>
      </c>
      <c r="AI1723" s="831">
        <v>0</v>
      </c>
      <c r="AJ1723" s="835">
        <v>40329</v>
      </c>
      <c r="AK1723" s="831">
        <v>0</v>
      </c>
      <c r="AP1723" s="831" t="str">
        <f t="shared" si="79"/>
        <v/>
      </c>
    </row>
    <row r="1724" spans="2:42">
      <c r="B1724" s="834" t="str">
        <f t="shared" si="78"/>
        <v>|||</v>
      </c>
      <c r="H1724" s="835">
        <f t="shared" si="80"/>
        <v>31</v>
      </c>
      <c r="AF1724" s="831" t="s">
        <v>2415</v>
      </c>
      <c r="AG1724" s="831" t="s">
        <v>59</v>
      </c>
      <c r="AH1724" s="831" t="s">
        <v>523</v>
      </c>
      <c r="AI1724" s="831">
        <v>0</v>
      </c>
      <c r="AJ1724" s="835">
        <v>40329</v>
      </c>
      <c r="AK1724" s="831">
        <v>0</v>
      </c>
      <c r="AP1724" s="831" t="str">
        <f t="shared" si="79"/>
        <v/>
      </c>
    </row>
    <row r="1725" spans="2:42">
      <c r="B1725" s="834" t="str">
        <f t="shared" si="78"/>
        <v>|||</v>
      </c>
      <c r="H1725" s="835">
        <f t="shared" si="80"/>
        <v>31</v>
      </c>
      <c r="AF1725" s="831" t="s">
        <v>2416</v>
      </c>
      <c r="AG1725" s="831" t="s">
        <v>59</v>
      </c>
      <c r="AH1725" s="831" t="s">
        <v>524</v>
      </c>
      <c r="AI1725" s="831">
        <v>0</v>
      </c>
      <c r="AJ1725" s="835">
        <v>40329</v>
      </c>
      <c r="AK1725" s="831">
        <v>0</v>
      </c>
      <c r="AP1725" s="831" t="str">
        <f t="shared" si="79"/>
        <v/>
      </c>
    </row>
    <row r="1726" spans="2:42">
      <c r="B1726" s="834" t="str">
        <f t="shared" si="78"/>
        <v>|||</v>
      </c>
      <c r="H1726" s="835">
        <f t="shared" si="80"/>
        <v>31</v>
      </c>
      <c r="AF1726" s="831" t="s">
        <v>2417</v>
      </c>
      <c r="AG1726" s="831" t="s">
        <v>59</v>
      </c>
      <c r="AH1726" s="831" t="s">
        <v>1805</v>
      </c>
      <c r="AI1726" s="831">
        <v>0</v>
      </c>
      <c r="AJ1726" s="835">
        <v>40329</v>
      </c>
      <c r="AK1726" s="831">
        <v>0.80359999999999998</v>
      </c>
      <c r="AP1726" s="831" t="str">
        <f t="shared" si="79"/>
        <v/>
      </c>
    </row>
    <row r="1727" spans="2:42">
      <c r="B1727" s="834" t="str">
        <f t="shared" si="78"/>
        <v>|||</v>
      </c>
      <c r="H1727" s="835">
        <f t="shared" si="80"/>
        <v>31</v>
      </c>
      <c r="AF1727" s="831" t="s">
        <v>2418</v>
      </c>
      <c r="AG1727" s="831" t="s">
        <v>59</v>
      </c>
      <c r="AH1727" s="831" t="s">
        <v>70</v>
      </c>
      <c r="AI1727" s="831">
        <v>0</v>
      </c>
      <c r="AJ1727" s="835">
        <v>40359</v>
      </c>
      <c r="AK1727" s="831">
        <v>199988225</v>
      </c>
      <c r="AP1727" s="831" t="str">
        <f t="shared" si="79"/>
        <v/>
      </c>
    </row>
    <row r="1728" spans="2:42">
      <c r="B1728" s="834" t="str">
        <f t="shared" si="78"/>
        <v>|||</v>
      </c>
      <c r="H1728" s="835">
        <f t="shared" si="80"/>
        <v>31</v>
      </c>
      <c r="AF1728" s="831" t="s">
        <v>2419</v>
      </c>
      <c r="AG1728" s="831" t="s">
        <v>59</v>
      </c>
      <c r="AH1728" s="831" t="s">
        <v>75</v>
      </c>
      <c r="AI1728" s="831">
        <v>0</v>
      </c>
      <c r="AJ1728" s="835">
        <v>40359</v>
      </c>
      <c r="AK1728" s="831">
        <v>184683570</v>
      </c>
      <c r="AP1728" s="831" t="str">
        <f t="shared" si="79"/>
        <v/>
      </c>
    </row>
    <row r="1729" spans="2:42">
      <c r="B1729" s="834" t="str">
        <f t="shared" si="78"/>
        <v>|||</v>
      </c>
      <c r="H1729" s="835">
        <f t="shared" si="80"/>
        <v>31</v>
      </c>
      <c r="AF1729" s="831" t="s">
        <v>2420</v>
      </c>
      <c r="AG1729" s="831" t="s">
        <v>59</v>
      </c>
      <c r="AH1729" s="831" t="s">
        <v>85</v>
      </c>
      <c r="AI1729" s="831">
        <v>0</v>
      </c>
      <c r="AJ1729" s="835">
        <v>40359</v>
      </c>
      <c r="AK1729" s="831">
        <v>40587180</v>
      </c>
      <c r="AP1729" s="831" t="str">
        <f t="shared" si="79"/>
        <v/>
      </c>
    </row>
    <row r="1730" spans="2:42">
      <c r="B1730" s="834" t="str">
        <f t="shared" si="78"/>
        <v>|||</v>
      </c>
      <c r="H1730" s="835">
        <f t="shared" si="80"/>
        <v>31</v>
      </c>
      <c r="AF1730" s="831" t="s">
        <v>2421</v>
      </c>
      <c r="AG1730" s="831" t="s">
        <v>59</v>
      </c>
      <c r="AH1730" s="831" t="s">
        <v>90</v>
      </c>
      <c r="AI1730" s="831">
        <v>0</v>
      </c>
      <c r="AJ1730" s="835">
        <v>40359</v>
      </c>
      <c r="AK1730" s="831">
        <v>140592020</v>
      </c>
      <c r="AP1730" s="831" t="str">
        <f t="shared" si="79"/>
        <v/>
      </c>
    </row>
    <row r="1731" spans="2:42">
      <c r="B1731" s="834" t="str">
        <f t="shared" ref="B1731:B1794" si="81">C1731&amp;"|"&amp;D1731&amp;"|"&amp;E1731&amp;"|"&amp;F1731</f>
        <v>|||</v>
      </c>
      <c r="H1731" s="835">
        <f t="shared" si="80"/>
        <v>31</v>
      </c>
      <c r="AF1731" s="831" t="s">
        <v>2422</v>
      </c>
      <c r="AG1731" s="831" t="s">
        <v>59</v>
      </c>
      <c r="AH1731" s="831" t="s">
        <v>521</v>
      </c>
      <c r="AI1731" s="831">
        <v>0</v>
      </c>
      <c r="AJ1731" s="835">
        <v>40359</v>
      </c>
      <c r="AK1731" s="831">
        <v>0</v>
      </c>
      <c r="AP1731" s="831" t="str">
        <f t="shared" ref="AP1731:AP1794" si="82">IF(AX1731&lt;&gt;"",IF(OR(AX1731=3,AX1731=4),"Equity","Debt"),"")</f>
        <v/>
      </c>
    </row>
    <row r="1732" spans="2:42">
      <c r="B1732" s="834" t="str">
        <f t="shared" si="81"/>
        <v>|||</v>
      </c>
      <c r="H1732" s="835">
        <f t="shared" ref="H1732:H1795" si="83">EOMONTH(L1732,0)</f>
        <v>31</v>
      </c>
      <c r="AF1732" s="831" t="s">
        <v>2423</v>
      </c>
      <c r="AG1732" s="831" t="s">
        <v>59</v>
      </c>
      <c r="AH1732" s="831" t="s">
        <v>522</v>
      </c>
      <c r="AI1732" s="831">
        <v>0</v>
      </c>
      <c r="AJ1732" s="835">
        <v>40359</v>
      </c>
      <c r="AK1732" s="831">
        <v>0</v>
      </c>
      <c r="AP1732" s="831" t="str">
        <f t="shared" si="82"/>
        <v/>
      </c>
    </row>
    <row r="1733" spans="2:42">
      <c r="B1733" s="834" t="str">
        <f t="shared" si="81"/>
        <v>|||</v>
      </c>
      <c r="H1733" s="835">
        <f t="shared" si="83"/>
        <v>31</v>
      </c>
      <c r="AF1733" s="831" t="s">
        <v>2424</v>
      </c>
      <c r="AG1733" s="831" t="s">
        <v>59</v>
      </c>
      <c r="AH1733" s="831" t="s">
        <v>523</v>
      </c>
      <c r="AI1733" s="831">
        <v>0</v>
      </c>
      <c r="AJ1733" s="835">
        <v>40359</v>
      </c>
      <c r="AK1733" s="831">
        <v>0</v>
      </c>
      <c r="AP1733" s="831" t="str">
        <f t="shared" si="82"/>
        <v/>
      </c>
    </row>
    <row r="1734" spans="2:42">
      <c r="B1734" s="834" t="str">
        <f t="shared" si="81"/>
        <v>|||</v>
      </c>
      <c r="H1734" s="835">
        <f t="shared" si="83"/>
        <v>31</v>
      </c>
      <c r="AF1734" s="831" t="s">
        <v>2425</v>
      </c>
      <c r="AG1734" s="831" t="s">
        <v>59</v>
      </c>
      <c r="AH1734" s="831" t="s">
        <v>524</v>
      </c>
      <c r="AI1734" s="831">
        <v>0</v>
      </c>
      <c r="AJ1734" s="835">
        <v>40359</v>
      </c>
      <c r="AK1734" s="831">
        <v>0</v>
      </c>
      <c r="AP1734" s="831" t="str">
        <f t="shared" si="82"/>
        <v/>
      </c>
    </row>
    <row r="1735" spans="2:42">
      <c r="B1735" s="834" t="str">
        <f t="shared" si="81"/>
        <v>|||</v>
      </c>
      <c r="H1735" s="835">
        <f t="shared" si="83"/>
        <v>31</v>
      </c>
      <c r="AF1735" s="831" t="s">
        <v>2426</v>
      </c>
      <c r="AG1735" s="831" t="s">
        <v>59</v>
      </c>
      <c r="AH1735" s="831" t="s">
        <v>1805</v>
      </c>
      <c r="AI1735" s="831">
        <v>0</v>
      </c>
      <c r="AJ1735" s="835">
        <v>40359</v>
      </c>
      <c r="AK1735" s="831">
        <v>0.80389999999999995</v>
      </c>
      <c r="AP1735" s="831" t="str">
        <f t="shared" si="82"/>
        <v/>
      </c>
    </row>
    <row r="1736" spans="2:42">
      <c r="B1736" s="834" t="str">
        <f t="shared" si="81"/>
        <v>|||</v>
      </c>
      <c r="H1736" s="835">
        <f t="shared" si="83"/>
        <v>31</v>
      </c>
      <c r="AF1736" s="831" t="s">
        <v>2427</v>
      </c>
      <c r="AG1736" s="831" t="s">
        <v>59</v>
      </c>
      <c r="AH1736" s="831" t="s">
        <v>70</v>
      </c>
      <c r="AI1736" s="831">
        <v>0</v>
      </c>
      <c r="AJ1736" s="835">
        <v>40390</v>
      </c>
      <c r="AK1736" s="831">
        <v>201732717</v>
      </c>
      <c r="AP1736" s="831" t="str">
        <f t="shared" si="82"/>
        <v/>
      </c>
    </row>
    <row r="1737" spans="2:42">
      <c r="B1737" s="834" t="str">
        <f t="shared" si="81"/>
        <v>|||</v>
      </c>
      <c r="H1737" s="835">
        <f t="shared" si="83"/>
        <v>31</v>
      </c>
      <c r="AF1737" s="831" t="s">
        <v>2428</v>
      </c>
      <c r="AG1737" s="831" t="s">
        <v>59</v>
      </c>
      <c r="AH1737" s="831" t="s">
        <v>75</v>
      </c>
      <c r="AI1737" s="831">
        <v>0</v>
      </c>
      <c r="AJ1737" s="835">
        <v>40390</v>
      </c>
      <c r="AK1737" s="831">
        <v>185704140</v>
      </c>
      <c r="AP1737" s="831" t="str">
        <f t="shared" si="82"/>
        <v/>
      </c>
    </row>
    <row r="1738" spans="2:42">
      <c r="B1738" s="834" t="str">
        <f t="shared" si="81"/>
        <v>|||</v>
      </c>
      <c r="H1738" s="835">
        <f t="shared" si="83"/>
        <v>31</v>
      </c>
      <c r="AF1738" s="831" t="s">
        <v>2429</v>
      </c>
      <c r="AG1738" s="831" t="s">
        <v>59</v>
      </c>
      <c r="AH1738" s="831" t="s">
        <v>85</v>
      </c>
      <c r="AI1738" s="831">
        <v>0</v>
      </c>
      <c r="AJ1738" s="835">
        <v>40390</v>
      </c>
      <c r="AK1738" s="831">
        <v>45053450</v>
      </c>
      <c r="AP1738" s="831" t="str">
        <f t="shared" si="82"/>
        <v/>
      </c>
    </row>
    <row r="1739" spans="2:42">
      <c r="B1739" s="834" t="str">
        <f t="shared" si="81"/>
        <v>|||</v>
      </c>
      <c r="H1739" s="835">
        <f t="shared" si="83"/>
        <v>31</v>
      </c>
      <c r="AF1739" s="831" t="s">
        <v>2430</v>
      </c>
      <c r="AG1739" s="831" t="s">
        <v>59</v>
      </c>
      <c r="AH1739" s="831" t="s">
        <v>90</v>
      </c>
      <c r="AI1739" s="831">
        <v>0</v>
      </c>
      <c r="AJ1739" s="835">
        <v>40390</v>
      </c>
      <c r="AK1739" s="831">
        <v>140539560</v>
      </c>
      <c r="AP1739" s="831" t="str">
        <f t="shared" si="82"/>
        <v/>
      </c>
    </row>
    <row r="1740" spans="2:42">
      <c r="B1740" s="834" t="str">
        <f t="shared" si="81"/>
        <v>|||</v>
      </c>
      <c r="H1740" s="835">
        <f t="shared" si="83"/>
        <v>31</v>
      </c>
      <c r="AF1740" s="831" t="s">
        <v>2431</v>
      </c>
      <c r="AG1740" s="831" t="s">
        <v>59</v>
      </c>
      <c r="AH1740" s="831" t="s">
        <v>521</v>
      </c>
      <c r="AI1740" s="831">
        <v>0</v>
      </c>
      <c r="AJ1740" s="835">
        <v>40390</v>
      </c>
      <c r="AK1740" s="831">
        <v>0</v>
      </c>
      <c r="AP1740" s="831" t="str">
        <f t="shared" si="82"/>
        <v/>
      </c>
    </row>
    <row r="1741" spans="2:42">
      <c r="B1741" s="834" t="str">
        <f t="shared" si="81"/>
        <v>|||</v>
      </c>
      <c r="H1741" s="835">
        <f t="shared" si="83"/>
        <v>31</v>
      </c>
      <c r="AF1741" s="831" t="s">
        <v>2432</v>
      </c>
      <c r="AG1741" s="831" t="s">
        <v>59</v>
      </c>
      <c r="AH1741" s="831" t="s">
        <v>522</v>
      </c>
      <c r="AI1741" s="831">
        <v>0</v>
      </c>
      <c r="AJ1741" s="835">
        <v>40390</v>
      </c>
      <c r="AK1741" s="831">
        <v>0</v>
      </c>
      <c r="AP1741" s="831" t="str">
        <f t="shared" si="82"/>
        <v/>
      </c>
    </row>
    <row r="1742" spans="2:42">
      <c r="B1742" s="834" t="str">
        <f t="shared" si="81"/>
        <v>|||</v>
      </c>
      <c r="H1742" s="835">
        <f t="shared" si="83"/>
        <v>31</v>
      </c>
      <c r="AF1742" s="831" t="s">
        <v>2433</v>
      </c>
      <c r="AG1742" s="831" t="s">
        <v>59</v>
      </c>
      <c r="AH1742" s="831" t="s">
        <v>523</v>
      </c>
      <c r="AI1742" s="831">
        <v>0</v>
      </c>
      <c r="AJ1742" s="835">
        <v>40390</v>
      </c>
      <c r="AK1742" s="831">
        <v>0</v>
      </c>
      <c r="AP1742" s="831" t="str">
        <f t="shared" si="82"/>
        <v/>
      </c>
    </row>
    <row r="1743" spans="2:42">
      <c r="B1743" s="834" t="str">
        <f t="shared" si="81"/>
        <v>|||</v>
      </c>
      <c r="H1743" s="835">
        <f t="shared" si="83"/>
        <v>31</v>
      </c>
      <c r="AF1743" s="831" t="s">
        <v>2434</v>
      </c>
      <c r="AG1743" s="831" t="s">
        <v>59</v>
      </c>
      <c r="AH1743" s="831" t="s">
        <v>524</v>
      </c>
      <c r="AI1743" s="831">
        <v>0</v>
      </c>
      <c r="AJ1743" s="835">
        <v>40390</v>
      </c>
      <c r="AK1743" s="831">
        <v>0</v>
      </c>
      <c r="AP1743" s="831" t="str">
        <f t="shared" si="82"/>
        <v/>
      </c>
    </row>
    <row r="1744" spans="2:42">
      <c r="B1744" s="834" t="str">
        <f t="shared" si="81"/>
        <v>|||</v>
      </c>
      <c r="H1744" s="835">
        <f t="shared" si="83"/>
        <v>31</v>
      </c>
      <c r="AF1744" s="831" t="s">
        <v>2435</v>
      </c>
      <c r="AG1744" s="831" t="s">
        <v>59</v>
      </c>
      <c r="AH1744" s="831" t="s">
        <v>1805</v>
      </c>
      <c r="AI1744" s="831">
        <v>0</v>
      </c>
      <c r="AJ1744" s="835">
        <v>40390</v>
      </c>
      <c r="AK1744" s="831">
        <v>0.80359999999999998</v>
      </c>
      <c r="AP1744" s="831" t="str">
        <f t="shared" si="82"/>
        <v/>
      </c>
    </row>
    <row r="1745" spans="2:42">
      <c r="B1745" s="834" t="str">
        <f t="shared" si="81"/>
        <v>|||</v>
      </c>
      <c r="H1745" s="835">
        <f t="shared" si="83"/>
        <v>31</v>
      </c>
      <c r="AF1745" s="831" t="s">
        <v>2436</v>
      </c>
      <c r="AG1745" s="831" t="s">
        <v>59</v>
      </c>
      <c r="AH1745" s="831" t="s">
        <v>70</v>
      </c>
      <c r="AI1745" s="831">
        <v>0</v>
      </c>
      <c r="AJ1745" s="835">
        <v>40421</v>
      </c>
      <c r="AK1745" s="831">
        <v>199318172</v>
      </c>
      <c r="AP1745" s="831" t="str">
        <f t="shared" si="82"/>
        <v/>
      </c>
    </row>
    <row r="1746" spans="2:42">
      <c r="B1746" s="834" t="str">
        <f t="shared" si="81"/>
        <v>|||</v>
      </c>
      <c r="H1746" s="835">
        <f t="shared" si="83"/>
        <v>31</v>
      </c>
      <c r="AF1746" s="831" t="s">
        <v>2437</v>
      </c>
      <c r="AG1746" s="831" t="s">
        <v>59</v>
      </c>
      <c r="AH1746" s="831" t="s">
        <v>75</v>
      </c>
      <c r="AI1746" s="831">
        <v>0</v>
      </c>
      <c r="AJ1746" s="835">
        <v>40421</v>
      </c>
      <c r="AK1746" s="831">
        <v>185233140</v>
      </c>
      <c r="AP1746" s="831" t="str">
        <f t="shared" si="82"/>
        <v/>
      </c>
    </row>
    <row r="1747" spans="2:42">
      <c r="B1747" s="834" t="str">
        <f t="shared" si="81"/>
        <v>|||</v>
      </c>
      <c r="H1747" s="835">
        <f t="shared" si="83"/>
        <v>31</v>
      </c>
      <c r="AF1747" s="831" t="s">
        <v>2438</v>
      </c>
      <c r="AG1747" s="831" t="s">
        <v>59</v>
      </c>
      <c r="AH1747" s="831" t="s">
        <v>85</v>
      </c>
      <c r="AI1747" s="831">
        <v>0</v>
      </c>
      <c r="AJ1747" s="835">
        <v>40421</v>
      </c>
      <c r="AK1747" s="831">
        <v>46391250</v>
      </c>
      <c r="AP1747" s="831" t="str">
        <f t="shared" si="82"/>
        <v/>
      </c>
    </row>
    <row r="1748" spans="2:42">
      <c r="B1748" s="834" t="str">
        <f t="shared" si="81"/>
        <v>|||</v>
      </c>
      <c r="H1748" s="835">
        <f t="shared" si="83"/>
        <v>31</v>
      </c>
      <c r="AF1748" s="831" t="s">
        <v>2439</v>
      </c>
      <c r="AG1748" s="831" t="s">
        <v>59</v>
      </c>
      <c r="AH1748" s="831" t="s">
        <v>90</v>
      </c>
      <c r="AI1748" s="831">
        <v>0</v>
      </c>
      <c r="AJ1748" s="835">
        <v>40421</v>
      </c>
      <c r="AK1748" s="831">
        <v>138695940</v>
      </c>
      <c r="AP1748" s="831" t="str">
        <f t="shared" si="82"/>
        <v/>
      </c>
    </row>
    <row r="1749" spans="2:42">
      <c r="B1749" s="834" t="str">
        <f t="shared" si="81"/>
        <v>|||</v>
      </c>
      <c r="H1749" s="835">
        <f t="shared" si="83"/>
        <v>31</v>
      </c>
      <c r="AF1749" s="831" t="s">
        <v>2440</v>
      </c>
      <c r="AG1749" s="831" t="s">
        <v>59</v>
      </c>
      <c r="AH1749" s="831" t="s">
        <v>521</v>
      </c>
      <c r="AI1749" s="831">
        <v>0</v>
      </c>
      <c r="AJ1749" s="835">
        <v>40421</v>
      </c>
      <c r="AK1749" s="831">
        <v>0</v>
      </c>
      <c r="AP1749" s="831" t="str">
        <f t="shared" si="82"/>
        <v/>
      </c>
    </row>
    <row r="1750" spans="2:42">
      <c r="B1750" s="834" t="str">
        <f t="shared" si="81"/>
        <v>|||</v>
      </c>
      <c r="H1750" s="835">
        <f t="shared" si="83"/>
        <v>31</v>
      </c>
      <c r="AF1750" s="831" t="s">
        <v>2441</v>
      </c>
      <c r="AG1750" s="831" t="s">
        <v>59</v>
      </c>
      <c r="AH1750" s="831" t="s">
        <v>522</v>
      </c>
      <c r="AI1750" s="831">
        <v>0</v>
      </c>
      <c r="AJ1750" s="835">
        <v>40421</v>
      </c>
      <c r="AK1750" s="831">
        <v>0</v>
      </c>
      <c r="AP1750" s="831" t="str">
        <f t="shared" si="82"/>
        <v/>
      </c>
    </row>
    <row r="1751" spans="2:42">
      <c r="B1751" s="834" t="str">
        <f t="shared" si="81"/>
        <v>|||</v>
      </c>
      <c r="H1751" s="835">
        <f t="shared" si="83"/>
        <v>31</v>
      </c>
      <c r="AF1751" s="831" t="s">
        <v>2442</v>
      </c>
      <c r="AG1751" s="831" t="s">
        <v>59</v>
      </c>
      <c r="AH1751" s="831" t="s">
        <v>523</v>
      </c>
      <c r="AI1751" s="831">
        <v>0</v>
      </c>
      <c r="AJ1751" s="835">
        <v>40421</v>
      </c>
      <c r="AK1751" s="831">
        <v>0</v>
      </c>
      <c r="AP1751" s="831" t="str">
        <f t="shared" si="82"/>
        <v/>
      </c>
    </row>
    <row r="1752" spans="2:42">
      <c r="B1752" s="834" t="str">
        <f t="shared" si="81"/>
        <v>|||</v>
      </c>
      <c r="H1752" s="835">
        <f t="shared" si="83"/>
        <v>31</v>
      </c>
      <c r="AF1752" s="831" t="s">
        <v>2443</v>
      </c>
      <c r="AG1752" s="831" t="s">
        <v>59</v>
      </c>
      <c r="AH1752" s="831" t="s">
        <v>524</v>
      </c>
      <c r="AI1752" s="831">
        <v>0</v>
      </c>
      <c r="AJ1752" s="835">
        <v>40421</v>
      </c>
      <c r="AK1752" s="831">
        <v>0</v>
      </c>
      <c r="AP1752" s="831" t="str">
        <f t="shared" si="82"/>
        <v/>
      </c>
    </row>
    <row r="1753" spans="2:42">
      <c r="B1753" s="834" t="str">
        <f t="shared" si="81"/>
        <v>|||</v>
      </c>
      <c r="H1753" s="835">
        <f t="shared" si="83"/>
        <v>31</v>
      </c>
      <c r="AF1753" s="831" t="s">
        <v>2444</v>
      </c>
      <c r="AG1753" s="831" t="s">
        <v>59</v>
      </c>
      <c r="AH1753" s="831" t="s">
        <v>1805</v>
      </c>
      <c r="AI1753" s="831">
        <v>0</v>
      </c>
      <c r="AJ1753" s="835">
        <v>40421</v>
      </c>
      <c r="AK1753" s="831">
        <v>0.80379999999999996</v>
      </c>
      <c r="AP1753" s="831" t="str">
        <f t="shared" si="82"/>
        <v/>
      </c>
    </row>
    <row r="1754" spans="2:42">
      <c r="B1754" s="834" t="str">
        <f t="shared" si="81"/>
        <v>|||</v>
      </c>
      <c r="H1754" s="835">
        <f t="shared" si="83"/>
        <v>31</v>
      </c>
      <c r="AF1754" s="831" t="s">
        <v>2445</v>
      </c>
      <c r="AG1754" s="831" t="s">
        <v>59</v>
      </c>
      <c r="AH1754" s="831" t="s">
        <v>70</v>
      </c>
      <c r="AI1754" s="831">
        <v>0</v>
      </c>
      <c r="AJ1754" s="835">
        <v>40451</v>
      </c>
      <c r="AK1754" s="831">
        <v>207710710</v>
      </c>
      <c r="AP1754" s="831" t="str">
        <f t="shared" si="82"/>
        <v/>
      </c>
    </row>
    <row r="1755" spans="2:42">
      <c r="B1755" s="834" t="str">
        <f t="shared" si="81"/>
        <v>|||</v>
      </c>
      <c r="H1755" s="835">
        <f t="shared" si="83"/>
        <v>31</v>
      </c>
      <c r="AF1755" s="831" t="s">
        <v>2446</v>
      </c>
      <c r="AG1755" s="831" t="s">
        <v>59</v>
      </c>
      <c r="AH1755" s="831" t="s">
        <v>75</v>
      </c>
      <c r="AI1755" s="831">
        <v>0</v>
      </c>
      <c r="AJ1755" s="835">
        <v>40451</v>
      </c>
      <c r="AK1755" s="831">
        <v>186854380</v>
      </c>
      <c r="AP1755" s="831" t="str">
        <f t="shared" si="82"/>
        <v/>
      </c>
    </row>
    <row r="1756" spans="2:42">
      <c r="B1756" s="834" t="str">
        <f t="shared" si="81"/>
        <v>|||</v>
      </c>
      <c r="H1756" s="835">
        <f t="shared" si="83"/>
        <v>31</v>
      </c>
      <c r="AF1756" s="831" t="s">
        <v>2447</v>
      </c>
      <c r="AG1756" s="831" t="s">
        <v>59</v>
      </c>
      <c r="AH1756" s="831" t="s">
        <v>85</v>
      </c>
      <c r="AI1756" s="831">
        <v>0</v>
      </c>
      <c r="AJ1756" s="835">
        <v>40451</v>
      </c>
      <c r="AK1756" s="831">
        <v>47114010</v>
      </c>
      <c r="AP1756" s="831" t="str">
        <f t="shared" si="82"/>
        <v/>
      </c>
    </row>
    <row r="1757" spans="2:42">
      <c r="B1757" s="834" t="str">
        <f t="shared" si="81"/>
        <v>|||</v>
      </c>
      <c r="H1757" s="835">
        <f t="shared" si="83"/>
        <v>31</v>
      </c>
      <c r="AF1757" s="831" t="s">
        <v>2448</v>
      </c>
      <c r="AG1757" s="831" t="s">
        <v>59</v>
      </c>
      <c r="AH1757" s="831" t="s">
        <v>90</v>
      </c>
      <c r="AI1757" s="831">
        <v>0</v>
      </c>
      <c r="AJ1757" s="835">
        <v>40451</v>
      </c>
      <c r="AK1757" s="831">
        <v>143567610</v>
      </c>
      <c r="AP1757" s="831" t="str">
        <f t="shared" si="82"/>
        <v/>
      </c>
    </row>
    <row r="1758" spans="2:42">
      <c r="B1758" s="834" t="str">
        <f t="shared" si="81"/>
        <v>|||</v>
      </c>
      <c r="H1758" s="835">
        <f t="shared" si="83"/>
        <v>31</v>
      </c>
      <c r="AF1758" s="831" t="s">
        <v>2449</v>
      </c>
      <c r="AG1758" s="831" t="s">
        <v>59</v>
      </c>
      <c r="AH1758" s="831" t="s">
        <v>521</v>
      </c>
      <c r="AI1758" s="831">
        <v>0</v>
      </c>
      <c r="AJ1758" s="835">
        <v>40451</v>
      </c>
      <c r="AK1758" s="831">
        <v>0</v>
      </c>
      <c r="AP1758" s="831" t="str">
        <f t="shared" si="82"/>
        <v/>
      </c>
    </row>
    <row r="1759" spans="2:42">
      <c r="B1759" s="834" t="str">
        <f t="shared" si="81"/>
        <v>|||</v>
      </c>
      <c r="H1759" s="835">
        <f t="shared" si="83"/>
        <v>31</v>
      </c>
      <c r="AF1759" s="831" t="s">
        <v>2450</v>
      </c>
      <c r="AG1759" s="831" t="s">
        <v>59</v>
      </c>
      <c r="AH1759" s="831" t="s">
        <v>522</v>
      </c>
      <c r="AI1759" s="831">
        <v>0</v>
      </c>
      <c r="AJ1759" s="835">
        <v>40451</v>
      </c>
      <c r="AK1759" s="831">
        <v>0</v>
      </c>
      <c r="AP1759" s="831" t="str">
        <f t="shared" si="82"/>
        <v/>
      </c>
    </row>
    <row r="1760" spans="2:42">
      <c r="B1760" s="834" t="str">
        <f t="shared" si="81"/>
        <v>|||</v>
      </c>
      <c r="H1760" s="835">
        <f t="shared" si="83"/>
        <v>31</v>
      </c>
      <c r="AF1760" s="831" t="s">
        <v>2451</v>
      </c>
      <c r="AG1760" s="831" t="s">
        <v>59</v>
      </c>
      <c r="AH1760" s="831" t="s">
        <v>523</v>
      </c>
      <c r="AI1760" s="831">
        <v>0</v>
      </c>
      <c r="AJ1760" s="835">
        <v>40451</v>
      </c>
      <c r="AK1760" s="831">
        <v>0</v>
      </c>
      <c r="AP1760" s="831" t="str">
        <f t="shared" si="82"/>
        <v/>
      </c>
    </row>
    <row r="1761" spans="2:42">
      <c r="B1761" s="834" t="str">
        <f t="shared" si="81"/>
        <v>|||</v>
      </c>
      <c r="H1761" s="835">
        <f t="shared" si="83"/>
        <v>31</v>
      </c>
      <c r="AF1761" s="831" t="s">
        <v>2452</v>
      </c>
      <c r="AG1761" s="831" t="s">
        <v>59</v>
      </c>
      <c r="AH1761" s="831" t="s">
        <v>524</v>
      </c>
      <c r="AI1761" s="831">
        <v>0</v>
      </c>
      <c r="AJ1761" s="835">
        <v>40451</v>
      </c>
      <c r="AK1761" s="831">
        <v>0</v>
      </c>
      <c r="AP1761" s="831" t="str">
        <f t="shared" si="82"/>
        <v/>
      </c>
    </row>
    <row r="1762" spans="2:42">
      <c r="B1762" s="834" t="str">
        <f t="shared" si="81"/>
        <v>|||</v>
      </c>
      <c r="H1762" s="835">
        <f t="shared" si="83"/>
        <v>31</v>
      </c>
      <c r="AF1762" s="831" t="s">
        <v>2453</v>
      </c>
      <c r="AG1762" s="831" t="s">
        <v>59</v>
      </c>
      <c r="AH1762" s="831" t="s">
        <v>1805</v>
      </c>
      <c r="AI1762" s="831">
        <v>0</v>
      </c>
      <c r="AJ1762" s="835">
        <v>40451</v>
      </c>
      <c r="AK1762" s="831">
        <v>0.80269999999999997</v>
      </c>
      <c r="AP1762" s="831" t="str">
        <f t="shared" si="82"/>
        <v/>
      </c>
    </row>
    <row r="1763" spans="2:42">
      <c r="B1763" s="834" t="str">
        <f t="shared" si="81"/>
        <v>|||</v>
      </c>
      <c r="H1763" s="835">
        <f t="shared" si="83"/>
        <v>31</v>
      </c>
      <c r="AF1763" s="831" t="s">
        <v>2454</v>
      </c>
      <c r="AG1763" s="831" t="s">
        <v>59</v>
      </c>
      <c r="AH1763" s="831" t="s">
        <v>70</v>
      </c>
      <c r="AI1763" s="831">
        <v>0</v>
      </c>
      <c r="AJ1763" s="835">
        <v>40482</v>
      </c>
      <c r="AK1763" s="831">
        <v>204260200</v>
      </c>
      <c r="AP1763" s="831" t="str">
        <f t="shared" si="82"/>
        <v/>
      </c>
    </row>
    <row r="1764" spans="2:42">
      <c r="B1764" s="834" t="str">
        <f t="shared" si="81"/>
        <v>|||</v>
      </c>
      <c r="H1764" s="835">
        <f t="shared" si="83"/>
        <v>31</v>
      </c>
      <c r="AF1764" s="831" t="s">
        <v>2455</v>
      </c>
      <c r="AG1764" s="831" t="s">
        <v>59</v>
      </c>
      <c r="AH1764" s="831" t="s">
        <v>75</v>
      </c>
      <c r="AI1764" s="831">
        <v>0</v>
      </c>
      <c r="AJ1764" s="835">
        <v>40482</v>
      </c>
      <c r="AK1764" s="831">
        <v>185859970</v>
      </c>
      <c r="AP1764" s="831" t="str">
        <f t="shared" si="82"/>
        <v/>
      </c>
    </row>
    <row r="1765" spans="2:42">
      <c r="B1765" s="834" t="str">
        <f t="shared" si="81"/>
        <v>|||</v>
      </c>
      <c r="H1765" s="835">
        <f t="shared" si="83"/>
        <v>31</v>
      </c>
      <c r="AF1765" s="831" t="s">
        <v>2456</v>
      </c>
      <c r="AG1765" s="831" t="s">
        <v>59</v>
      </c>
      <c r="AH1765" s="831" t="s">
        <v>85</v>
      </c>
      <c r="AI1765" s="831">
        <v>0</v>
      </c>
      <c r="AJ1765" s="835">
        <v>40482</v>
      </c>
      <c r="AK1765" s="831">
        <v>46897740</v>
      </c>
      <c r="AP1765" s="831" t="str">
        <f t="shared" si="82"/>
        <v/>
      </c>
    </row>
    <row r="1766" spans="2:42">
      <c r="B1766" s="834" t="str">
        <f t="shared" si="81"/>
        <v>|||</v>
      </c>
      <c r="H1766" s="835">
        <f t="shared" si="83"/>
        <v>31</v>
      </c>
      <c r="AF1766" s="831" t="s">
        <v>2457</v>
      </c>
      <c r="AG1766" s="831" t="s">
        <v>59</v>
      </c>
      <c r="AH1766" s="831" t="s">
        <v>90</v>
      </c>
      <c r="AI1766" s="831">
        <v>0</v>
      </c>
      <c r="AJ1766" s="835">
        <v>40482</v>
      </c>
      <c r="AK1766" s="831">
        <v>143209900</v>
      </c>
      <c r="AP1766" s="831" t="str">
        <f t="shared" si="82"/>
        <v/>
      </c>
    </row>
    <row r="1767" spans="2:42">
      <c r="B1767" s="834" t="str">
        <f t="shared" si="81"/>
        <v>|||</v>
      </c>
      <c r="H1767" s="835">
        <f t="shared" si="83"/>
        <v>31</v>
      </c>
      <c r="AF1767" s="831" t="s">
        <v>2458</v>
      </c>
      <c r="AG1767" s="831" t="s">
        <v>59</v>
      </c>
      <c r="AH1767" s="831" t="s">
        <v>521</v>
      </c>
      <c r="AI1767" s="831">
        <v>0</v>
      </c>
      <c r="AJ1767" s="835">
        <v>40482</v>
      </c>
      <c r="AK1767" s="831">
        <v>0</v>
      </c>
      <c r="AP1767" s="831" t="str">
        <f t="shared" si="82"/>
        <v/>
      </c>
    </row>
    <row r="1768" spans="2:42">
      <c r="B1768" s="834" t="str">
        <f t="shared" si="81"/>
        <v>|||</v>
      </c>
      <c r="H1768" s="835">
        <f t="shared" si="83"/>
        <v>31</v>
      </c>
      <c r="AF1768" s="831" t="s">
        <v>2459</v>
      </c>
      <c r="AG1768" s="831" t="s">
        <v>59</v>
      </c>
      <c r="AH1768" s="831" t="s">
        <v>522</v>
      </c>
      <c r="AI1768" s="831">
        <v>0</v>
      </c>
      <c r="AJ1768" s="835">
        <v>40482</v>
      </c>
      <c r="AK1768" s="831">
        <v>0</v>
      </c>
      <c r="AP1768" s="831" t="str">
        <f t="shared" si="82"/>
        <v/>
      </c>
    </row>
    <row r="1769" spans="2:42">
      <c r="B1769" s="834" t="str">
        <f t="shared" si="81"/>
        <v>|||</v>
      </c>
      <c r="H1769" s="835">
        <f t="shared" si="83"/>
        <v>31</v>
      </c>
      <c r="AF1769" s="831" t="s">
        <v>2460</v>
      </c>
      <c r="AG1769" s="831" t="s">
        <v>59</v>
      </c>
      <c r="AH1769" s="831" t="s">
        <v>523</v>
      </c>
      <c r="AI1769" s="831">
        <v>0</v>
      </c>
      <c r="AJ1769" s="835">
        <v>40482</v>
      </c>
      <c r="AK1769" s="831">
        <v>0</v>
      </c>
      <c r="AP1769" s="831" t="str">
        <f t="shared" si="82"/>
        <v/>
      </c>
    </row>
    <row r="1770" spans="2:42">
      <c r="B1770" s="834" t="str">
        <f t="shared" si="81"/>
        <v>|||</v>
      </c>
      <c r="H1770" s="835">
        <f t="shared" si="83"/>
        <v>31</v>
      </c>
      <c r="AF1770" s="831" t="s">
        <v>2461</v>
      </c>
      <c r="AG1770" s="831" t="s">
        <v>59</v>
      </c>
      <c r="AH1770" s="831" t="s">
        <v>524</v>
      </c>
      <c r="AI1770" s="831">
        <v>0</v>
      </c>
      <c r="AJ1770" s="835">
        <v>40482</v>
      </c>
      <c r="AK1770" s="831">
        <v>0</v>
      </c>
      <c r="AP1770" s="831" t="str">
        <f t="shared" si="82"/>
        <v/>
      </c>
    </row>
    <row r="1771" spans="2:42">
      <c r="B1771" s="834" t="str">
        <f t="shared" si="81"/>
        <v>|||</v>
      </c>
      <c r="H1771" s="835">
        <f t="shared" si="83"/>
        <v>31</v>
      </c>
      <c r="AF1771" s="831" t="s">
        <v>2462</v>
      </c>
      <c r="AG1771" s="831" t="s">
        <v>59</v>
      </c>
      <c r="AH1771" s="831" t="s">
        <v>1805</v>
      </c>
      <c r="AI1771" s="831">
        <v>0</v>
      </c>
      <c r="AJ1771" s="835">
        <v>40482</v>
      </c>
      <c r="AK1771" s="831">
        <v>0.80069999999999997</v>
      </c>
      <c r="AP1771" s="831" t="str">
        <f t="shared" si="82"/>
        <v/>
      </c>
    </row>
    <row r="1772" spans="2:42">
      <c r="B1772" s="834" t="str">
        <f t="shared" si="81"/>
        <v>|||</v>
      </c>
      <c r="H1772" s="835">
        <f t="shared" si="83"/>
        <v>31</v>
      </c>
      <c r="AF1772" s="831" t="s">
        <v>2463</v>
      </c>
      <c r="AG1772" s="831" t="s">
        <v>59</v>
      </c>
      <c r="AH1772" s="831" t="s">
        <v>70</v>
      </c>
      <c r="AI1772" s="831">
        <v>0</v>
      </c>
      <c r="AJ1772" s="835">
        <v>40512</v>
      </c>
      <c r="AK1772" s="831">
        <v>202345026</v>
      </c>
      <c r="AP1772" s="831" t="str">
        <f t="shared" si="82"/>
        <v/>
      </c>
    </row>
    <row r="1773" spans="2:42">
      <c r="B1773" s="834" t="str">
        <f t="shared" si="81"/>
        <v>|||</v>
      </c>
      <c r="H1773" s="835">
        <f t="shared" si="83"/>
        <v>31</v>
      </c>
      <c r="AF1773" s="831" t="s">
        <v>2464</v>
      </c>
      <c r="AG1773" s="831" t="s">
        <v>59</v>
      </c>
      <c r="AH1773" s="831" t="s">
        <v>75</v>
      </c>
      <c r="AI1773" s="831">
        <v>0</v>
      </c>
      <c r="AJ1773" s="835">
        <v>40512</v>
      </c>
      <c r="AK1773" s="831">
        <v>182739120</v>
      </c>
      <c r="AP1773" s="831" t="str">
        <f t="shared" si="82"/>
        <v/>
      </c>
    </row>
    <row r="1774" spans="2:42">
      <c r="B1774" s="834" t="str">
        <f t="shared" si="81"/>
        <v>|||</v>
      </c>
      <c r="H1774" s="835">
        <f t="shared" si="83"/>
        <v>31</v>
      </c>
      <c r="AF1774" s="831" t="s">
        <v>2465</v>
      </c>
      <c r="AG1774" s="831" t="s">
        <v>59</v>
      </c>
      <c r="AH1774" s="831" t="s">
        <v>85</v>
      </c>
      <c r="AI1774" s="831">
        <v>0</v>
      </c>
      <c r="AJ1774" s="835">
        <v>40512</v>
      </c>
      <c r="AK1774" s="831">
        <v>49962870</v>
      </c>
      <c r="AP1774" s="831" t="str">
        <f t="shared" si="82"/>
        <v/>
      </c>
    </row>
    <row r="1775" spans="2:42">
      <c r="B1775" s="834" t="str">
        <f t="shared" si="81"/>
        <v>|||</v>
      </c>
      <c r="H1775" s="835">
        <f t="shared" si="83"/>
        <v>31</v>
      </c>
      <c r="AF1775" s="831" t="s">
        <v>2466</v>
      </c>
      <c r="AG1775" s="831" t="s">
        <v>59</v>
      </c>
      <c r="AH1775" s="831" t="s">
        <v>90</v>
      </c>
      <c r="AI1775" s="831">
        <v>0</v>
      </c>
      <c r="AJ1775" s="835">
        <v>40512</v>
      </c>
      <c r="AK1775" s="831">
        <v>138292090</v>
      </c>
      <c r="AP1775" s="831" t="str">
        <f t="shared" si="82"/>
        <v/>
      </c>
    </row>
    <row r="1776" spans="2:42">
      <c r="B1776" s="834" t="str">
        <f t="shared" si="81"/>
        <v>|||</v>
      </c>
      <c r="H1776" s="835">
        <f t="shared" si="83"/>
        <v>31</v>
      </c>
      <c r="AF1776" s="831" t="s">
        <v>2467</v>
      </c>
      <c r="AG1776" s="831" t="s">
        <v>59</v>
      </c>
      <c r="AH1776" s="831" t="s">
        <v>521</v>
      </c>
      <c r="AI1776" s="831">
        <v>0</v>
      </c>
      <c r="AJ1776" s="835">
        <v>40512</v>
      </c>
      <c r="AK1776" s="831">
        <v>0</v>
      </c>
      <c r="AP1776" s="831" t="str">
        <f t="shared" si="82"/>
        <v/>
      </c>
    </row>
    <row r="1777" spans="2:42">
      <c r="B1777" s="834" t="str">
        <f t="shared" si="81"/>
        <v>|||</v>
      </c>
      <c r="H1777" s="835">
        <f t="shared" si="83"/>
        <v>31</v>
      </c>
      <c r="AF1777" s="831" t="s">
        <v>2468</v>
      </c>
      <c r="AG1777" s="831" t="s">
        <v>59</v>
      </c>
      <c r="AH1777" s="831" t="s">
        <v>522</v>
      </c>
      <c r="AI1777" s="831">
        <v>0</v>
      </c>
      <c r="AJ1777" s="835">
        <v>40512</v>
      </c>
      <c r="AK1777" s="831">
        <v>0</v>
      </c>
      <c r="AP1777" s="831" t="str">
        <f t="shared" si="82"/>
        <v/>
      </c>
    </row>
    <row r="1778" spans="2:42">
      <c r="B1778" s="834" t="str">
        <f t="shared" si="81"/>
        <v>|||</v>
      </c>
      <c r="H1778" s="835">
        <f t="shared" si="83"/>
        <v>31</v>
      </c>
      <c r="AF1778" s="831" t="s">
        <v>2469</v>
      </c>
      <c r="AG1778" s="831" t="s">
        <v>59</v>
      </c>
      <c r="AH1778" s="831" t="s">
        <v>523</v>
      </c>
      <c r="AI1778" s="831">
        <v>0</v>
      </c>
      <c r="AJ1778" s="835">
        <v>40512</v>
      </c>
      <c r="AK1778" s="831">
        <v>0</v>
      </c>
      <c r="AP1778" s="831" t="str">
        <f t="shared" si="82"/>
        <v/>
      </c>
    </row>
    <row r="1779" spans="2:42">
      <c r="B1779" s="834" t="str">
        <f t="shared" si="81"/>
        <v>|||</v>
      </c>
      <c r="H1779" s="835">
        <f t="shared" si="83"/>
        <v>31</v>
      </c>
      <c r="AF1779" s="831" t="s">
        <v>2470</v>
      </c>
      <c r="AG1779" s="831" t="s">
        <v>59</v>
      </c>
      <c r="AH1779" s="831" t="s">
        <v>524</v>
      </c>
      <c r="AI1779" s="831">
        <v>0</v>
      </c>
      <c r="AJ1779" s="835">
        <v>40512</v>
      </c>
      <c r="AK1779" s="831">
        <v>0</v>
      </c>
      <c r="AP1779" s="831" t="str">
        <f t="shared" si="82"/>
        <v/>
      </c>
    </row>
    <row r="1780" spans="2:42">
      <c r="B1780" s="834" t="str">
        <f t="shared" si="81"/>
        <v>|||</v>
      </c>
      <c r="H1780" s="835">
        <f t="shared" si="83"/>
        <v>31</v>
      </c>
      <c r="AF1780" s="831" t="s">
        <v>2471</v>
      </c>
      <c r="AG1780" s="831" t="s">
        <v>59</v>
      </c>
      <c r="AH1780" s="831" t="s">
        <v>1805</v>
      </c>
      <c r="AI1780" s="831">
        <v>0</v>
      </c>
      <c r="AJ1780" s="835">
        <v>40512</v>
      </c>
      <c r="AK1780" s="831">
        <v>0.80030000000000001</v>
      </c>
      <c r="AP1780" s="831" t="str">
        <f t="shared" si="82"/>
        <v/>
      </c>
    </row>
    <row r="1781" spans="2:42">
      <c r="B1781" s="834" t="str">
        <f t="shared" si="81"/>
        <v>|||</v>
      </c>
      <c r="H1781" s="835">
        <f t="shared" si="83"/>
        <v>31</v>
      </c>
      <c r="AF1781" s="831" t="s">
        <v>2472</v>
      </c>
      <c r="AG1781" s="831" t="s">
        <v>59</v>
      </c>
      <c r="AH1781" s="831" t="s">
        <v>70</v>
      </c>
      <c r="AI1781" s="831">
        <v>0</v>
      </c>
      <c r="AJ1781" s="835">
        <v>40543</v>
      </c>
      <c r="AK1781" s="831">
        <v>195351473</v>
      </c>
      <c r="AP1781" s="831" t="str">
        <f t="shared" si="82"/>
        <v/>
      </c>
    </row>
    <row r="1782" spans="2:42">
      <c r="B1782" s="834" t="str">
        <f t="shared" si="81"/>
        <v>|||</v>
      </c>
      <c r="H1782" s="835">
        <f t="shared" si="83"/>
        <v>31</v>
      </c>
      <c r="AF1782" s="831" t="s">
        <v>2473</v>
      </c>
      <c r="AG1782" s="831" t="s">
        <v>59</v>
      </c>
      <c r="AH1782" s="831" t="s">
        <v>75</v>
      </c>
      <c r="AI1782" s="831">
        <v>0</v>
      </c>
      <c r="AJ1782" s="835">
        <v>40543</v>
      </c>
      <c r="AK1782" s="831">
        <v>176963390</v>
      </c>
      <c r="AP1782" s="831" t="str">
        <f t="shared" si="82"/>
        <v/>
      </c>
    </row>
    <row r="1783" spans="2:42">
      <c r="B1783" s="834" t="str">
        <f t="shared" si="81"/>
        <v>|||</v>
      </c>
      <c r="H1783" s="835">
        <f t="shared" si="83"/>
        <v>31</v>
      </c>
      <c r="AF1783" s="831" t="s">
        <v>2474</v>
      </c>
      <c r="AG1783" s="831" t="s">
        <v>59</v>
      </c>
      <c r="AH1783" s="831" t="s">
        <v>85</v>
      </c>
      <c r="AI1783" s="831">
        <v>0</v>
      </c>
      <c r="AJ1783" s="835">
        <v>40543</v>
      </c>
      <c r="AK1783" s="831">
        <v>48760320</v>
      </c>
      <c r="AP1783" s="831" t="str">
        <f t="shared" si="82"/>
        <v/>
      </c>
    </row>
    <row r="1784" spans="2:42">
      <c r="B1784" s="834" t="str">
        <f t="shared" si="81"/>
        <v>|||</v>
      </c>
      <c r="H1784" s="835">
        <f t="shared" si="83"/>
        <v>31</v>
      </c>
      <c r="AF1784" s="831" t="s">
        <v>2475</v>
      </c>
      <c r="AG1784" s="831" t="s">
        <v>59</v>
      </c>
      <c r="AH1784" s="831" t="s">
        <v>90</v>
      </c>
      <c r="AI1784" s="831">
        <v>0</v>
      </c>
      <c r="AJ1784" s="835">
        <v>40543</v>
      </c>
      <c r="AK1784" s="831">
        <v>131128470</v>
      </c>
      <c r="AP1784" s="831" t="str">
        <f t="shared" si="82"/>
        <v/>
      </c>
    </row>
    <row r="1785" spans="2:42">
      <c r="B1785" s="834" t="str">
        <f t="shared" si="81"/>
        <v>|||</v>
      </c>
      <c r="H1785" s="835">
        <f t="shared" si="83"/>
        <v>31</v>
      </c>
      <c r="AF1785" s="831" t="s">
        <v>2476</v>
      </c>
      <c r="AG1785" s="831" t="s">
        <v>59</v>
      </c>
      <c r="AH1785" s="831" t="s">
        <v>521</v>
      </c>
      <c r="AI1785" s="831">
        <v>0</v>
      </c>
      <c r="AJ1785" s="835">
        <v>40543</v>
      </c>
      <c r="AK1785" s="831">
        <v>0</v>
      </c>
      <c r="AP1785" s="831" t="str">
        <f t="shared" si="82"/>
        <v/>
      </c>
    </row>
    <row r="1786" spans="2:42">
      <c r="B1786" s="834" t="str">
        <f t="shared" si="81"/>
        <v>|||</v>
      </c>
      <c r="H1786" s="835">
        <f t="shared" si="83"/>
        <v>31</v>
      </c>
      <c r="AF1786" s="831" t="s">
        <v>2477</v>
      </c>
      <c r="AG1786" s="831" t="s">
        <v>59</v>
      </c>
      <c r="AH1786" s="831" t="s">
        <v>522</v>
      </c>
      <c r="AI1786" s="831">
        <v>0</v>
      </c>
      <c r="AJ1786" s="835">
        <v>40543</v>
      </c>
      <c r="AK1786" s="831">
        <v>0</v>
      </c>
      <c r="AP1786" s="831" t="str">
        <f t="shared" si="82"/>
        <v/>
      </c>
    </row>
    <row r="1787" spans="2:42">
      <c r="B1787" s="834" t="str">
        <f t="shared" si="81"/>
        <v>|||</v>
      </c>
      <c r="H1787" s="835">
        <f t="shared" si="83"/>
        <v>31</v>
      </c>
      <c r="AF1787" s="831" t="s">
        <v>2478</v>
      </c>
      <c r="AG1787" s="831" t="s">
        <v>59</v>
      </c>
      <c r="AH1787" s="831" t="s">
        <v>523</v>
      </c>
      <c r="AI1787" s="831">
        <v>0</v>
      </c>
      <c r="AJ1787" s="835">
        <v>40543</v>
      </c>
      <c r="AK1787" s="831">
        <v>0</v>
      </c>
      <c r="AP1787" s="831" t="str">
        <f t="shared" si="82"/>
        <v/>
      </c>
    </row>
    <row r="1788" spans="2:42">
      <c r="B1788" s="834" t="str">
        <f t="shared" si="81"/>
        <v>|||</v>
      </c>
      <c r="H1788" s="835">
        <f t="shared" si="83"/>
        <v>31</v>
      </c>
      <c r="AF1788" s="831" t="s">
        <v>2479</v>
      </c>
      <c r="AG1788" s="831" t="s">
        <v>59</v>
      </c>
      <c r="AH1788" s="831" t="s">
        <v>524</v>
      </c>
      <c r="AI1788" s="831">
        <v>0</v>
      </c>
      <c r="AJ1788" s="835">
        <v>40543</v>
      </c>
      <c r="AK1788" s="831">
        <v>0</v>
      </c>
      <c r="AP1788" s="831" t="str">
        <f t="shared" si="82"/>
        <v/>
      </c>
    </row>
    <row r="1789" spans="2:42">
      <c r="B1789" s="834" t="str">
        <f t="shared" si="81"/>
        <v>|||</v>
      </c>
      <c r="H1789" s="835">
        <f t="shared" si="83"/>
        <v>31</v>
      </c>
      <c r="AF1789" s="831" t="s">
        <v>2480</v>
      </c>
      <c r="AG1789" s="831" t="s">
        <v>59</v>
      </c>
      <c r="AH1789" s="831" t="s">
        <v>1805</v>
      </c>
      <c r="AI1789" s="831">
        <v>0</v>
      </c>
      <c r="AJ1789" s="835">
        <v>40543</v>
      </c>
      <c r="AK1789" s="831">
        <v>0.79790000000000005</v>
      </c>
      <c r="AP1789" s="831" t="str">
        <f t="shared" si="82"/>
        <v/>
      </c>
    </row>
    <row r="1790" spans="2:42">
      <c r="B1790" s="834" t="str">
        <f t="shared" si="81"/>
        <v>|||</v>
      </c>
      <c r="H1790" s="835">
        <f t="shared" si="83"/>
        <v>31</v>
      </c>
      <c r="AF1790" s="831" t="s">
        <v>2481</v>
      </c>
      <c r="AG1790" s="831" t="s">
        <v>57</v>
      </c>
      <c r="AH1790" s="831" t="s">
        <v>68</v>
      </c>
      <c r="AI1790" s="831">
        <v>0</v>
      </c>
      <c r="AJ1790" s="835">
        <v>40209</v>
      </c>
      <c r="AK1790" s="831">
        <v>236856109</v>
      </c>
      <c r="AP1790" s="831" t="str">
        <f t="shared" si="82"/>
        <v/>
      </c>
    </row>
    <row r="1791" spans="2:42">
      <c r="B1791" s="834" t="str">
        <f t="shared" si="81"/>
        <v>|||</v>
      </c>
      <c r="H1791" s="835">
        <f t="shared" si="83"/>
        <v>31</v>
      </c>
      <c r="AF1791" s="831" t="s">
        <v>2482</v>
      </c>
      <c r="AG1791" s="831" t="s">
        <v>57</v>
      </c>
      <c r="AH1791" s="831" t="s">
        <v>73</v>
      </c>
      <c r="AI1791" s="831">
        <v>0</v>
      </c>
      <c r="AJ1791" s="835">
        <v>40209</v>
      </c>
      <c r="AK1791" s="831">
        <v>657850</v>
      </c>
      <c r="AP1791" s="831" t="str">
        <f t="shared" si="82"/>
        <v/>
      </c>
    </row>
    <row r="1792" spans="2:42">
      <c r="B1792" s="834" t="str">
        <f t="shared" si="81"/>
        <v>|||</v>
      </c>
      <c r="H1792" s="835">
        <f t="shared" si="83"/>
        <v>31</v>
      </c>
      <c r="AF1792" s="831" t="s">
        <v>2483</v>
      </c>
      <c r="AG1792" s="831" t="s">
        <v>57</v>
      </c>
      <c r="AH1792" s="831" t="s">
        <v>78</v>
      </c>
      <c r="AI1792" s="831">
        <v>0</v>
      </c>
      <c r="AJ1792" s="835">
        <v>40209</v>
      </c>
      <c r="AK1792" s="831">
        <v>2093880</v>
      </c>
      <c r="AP1792" s="831" t="str">
        <f t="shared" si="82"/>
        <v/>
      </c>
    </row>
    <row r="1793" spans="2:42">
      <c r="B1793" s="834" t="str">
        <f t="shared" si="81"/>
        <v>|||</v>
      </c>
      <c r="H1793" s="835">
        <f t="shared" si="83"/>
        <v>31</v>
      </c>
      <c r="AF1793" s="831" t="s">
        <v>2484</v>
      </c>
      <c r="AG1793" s="831" t="s">
        <v>57</v>
      </c>
      <c r="AH1793" s="831" t="s">
        <v>83</v>
      </c>
      <c r="AI1793" s="831">
        <v>0</v>
      </c>
      <c r="AJ1793" s="835">
        <v>40209</v>
      </c>
      <c r="AK1793" s="831">
        <v>138010</v>
      </c>
      <c r="AP1793" s="831" t="str">
        <f t="shared" si="82"/>
        <v/>
      </c>
    </row>
    <row r="1794" spans="2:42">
      <c r="B1794" s="834" t="str">
        <f t="shared" si="81"/>
        <v>|||</v>
      </c>
      <c r="H1794" s="835">
        <f t="shared" si="83"/>
        <v>31</v>
      </c>
      <c r="AF1794" s="831" t="s">
        <v>2485</v>
      </c>
      <c r="AG1794" s="831" t="s">
        <v>57</v>
      </c>
      <c r="AH1794" s="831" t="s">
        <v>88</v>
      </c>
      <c r="AI1794" s="831">
        <v>0</v>
      </c>
      <c r="AJ1794" s="835">
        <v>40209</v>
      </c>
      <c r="AK1794" s="831">
        <v>31500</v>
      </c>
      <c r="AP1794" s="831" t="str">
        <f t="shared" si="82"/>
        <v/>
      </c>
    </row>
    <row r="1795" spans="2:42">
      <c r="B1795" s="834" t="str">
        <f t="shared" ref="B1795:B1858" si="84">C1795&amp;"|"&amp;D1795&amp;"|"&amp;E1795&amp;"|"&amp;F1795</f>
        <v>|||</v>
      </c>
      <c r="H1795" s="835">
        <f t="shared" si="83"/>
        <v>31</v>
      </c>
      <c r="AF1795" s="831" t="s">
        <v>2486</v>
      </c>
      <c r="AG1795" s="831" t="s">
        <v>57</v>
      </c>
      <c r="AH1795" s="831" t="s">
        <v>92</v>
      </c>
      <c r="AI1795" s="831">
        <v>0</v>
      </c>
      <c r="AJ1795" s="835">
        <v>40209</v>
      </c>
      <c r="AK1795" s="831">
        <v>281480</v>
      </c>
      <c r="AP1795" s="831" t="str">
        <f t="shared" ref="AP1795:AP1858" si="85">IF(AX1795&lt;&gt;"",IF(OR(AX1795=3,AX1795=4),"Equity","Debt"),"")</f>
        <v/>
      </c>
    </row>
    <row r="1796" spans="2:42">
      <c r="B1796" s="834" t="str">
        <f t="shared" si="84"/>
        <v>|||</v>
      </c>
      <c r="H1796" s="835">
        <f t="shared" ref="H1796:H1859" si="86">EOMONTH(L1796,0)</f>
        <v>31</v>
      </c>
      <c r="AF1796" s="831" t="s">
        <v>2487</v>
      </c>
      <c r="AG1796" s="831" t="s">
        <v>57</v>
      </c>
      <c r="AH1796" s="831" t="s">
        <v>96</v>
      </c>
      <c r="AI1796" s="831">
        <v>0</v>
      </c>
      <c r="AJ1796" s="835">
        <v>40209</v>
      </c>
      <c r="AK1796" s="831">
        <v>1642890</v>
      </c>
      <c r="AP1796" s="831" t="str">
        <f t="shared" si="85"/>
        <v/>
      </c>
    </row>
    <row r="1797" spans="2:42">
      <c r="B1797" s="834" t="str">
        <f t="shared" si="84"/>
        <v>|||</v>
      </c>
      <c r="H1797" s="835">
        <f t="shared" si="86"/>
        <v>31</v>
      </c>
      <c r="AF1797" s="831" t="s">
        <v>2488</v>
      </c>
      <c r="AG1797" s="831" t="s">
        <v>57</v>
      </c>
      <c r="AH1797" s="831" t="s">
        <v>30</v>
      </c>
      <c r="AI1797" s="831">
        <v>0</v>
      </c>
      <c r="AJ1797" s="835">
        <v>40209</v>
      </c>
      <c r="AK1797" s="831">
        <v>940092</v>
      </c>
      <c r="AP1797" s="831" t="str">
        <f t="shared" si="85"/>
        <v/>
      </c>
    </row>
    <row r="1798" spans="2:42">
      <c r="B1798" s="834" t="str">
        <f t="shared" si="84"/>
        <v>|||</v>
      </c>
      <c r="H1798" s="835">
        <f t="shared" si="86"/>
        <v>31</v>
      </c>
      <c r="AF1798" s="831" t="s">
        <v>2489</v>
      </c>
      <c r="AG1798" s="831" t="s">
        <v>57</v>
      </c>
      <c r="AH1798" s="831" t="s">
        <v>47</v>
      </c>
      <c r="AI1798" s="831">
        <v>0</v>
      </c>
      <c r="AJ1798" s="835">
        <v>40209</v>
      </c>
      <c r="AK1798" s="831">
        <v>179153</v>
      </c>
      <c r="AP1798" s="831" t="str">
        <f t="shared" si="85"/>
        <v/>
      </c>
    </row>
    <row r="1799" spans="2:42">
      <c r="B1799" s="834" t="str">
        <f t="shared" si="84"/>
        <v>|||</v>
      </c>
      <c r="H1799" s="835">
        <f t="shared" si="86"/>
        <v>31</v>
      </c>
      <c r="AF1799" s="831" t="s">
        <v>2490</v>
      </c>
      <c r="AG1799" s="831" t="s">
        <v>57</v>
      </c>
      <c r="AH1799" s="831" t="s">
        <v>102</v>
      </c>
      <c r="AI1799" s="831">
        <v>0</v>
      </c>
      <c r="AJ1799" s="835">
        <v>40209</v>
      </c>
      <c r="AK1799" s="831">
        <v>0</v>
      </c>
      <c r="AP1799" s="831" t="str">
        <f t="shared" si="85"/>
        <v/>
      </c>
    </row>
    <row r="1800" spans="2:42">
      <c r="B1800" s="834" t="str">
        <f t="shared" si="84"/>
        <v>|||</v>
      </c>
      <c r="H1800" s="835">
        <f t="shared" si="86"/>
        <v>31</v>
      </c>
      <c r="AF1800" s="831" t="s">
        <v>2491</v>
      </c>
      <c r="AG1800" s="831" t="s">
        <v>57</v>
      </c>
      <c r="AH1800" s="831" t="s">
        <v>68</v>
      </c>
      <c r="AI1800" s="831">
        <v>0</v>
      </c>
      <c r="AJ1800" s="835">
        <v>40237</v>
      </c>
      <c r="AK1800" s="831">
        <v>243635018</v>
      </c>
      <c r="AP1800" s="831" t="str">
        <f t="shared" si="85"/>
        <v/>
      </c>
    </row>
    <row r="1801" spans="2:42">
      <c r="B1801" s="834" t="str">
        <f t="shared" si="84"/>
        <v>|||</v>
      </c>
      <c r="H1801" s="835">
        <f t="shared" si="86"/>
        <v>31</v>
      </c>
      <c r="AF1801" s="831" t="s">
        <v>2492</v>
      </c>
      <c r="AG1801" s="831" t="s">
        <v>57</v>
      </c>
      <c r="AH1801" s="831" t="s">
        <v>73</v>
      </c>
      <c r="AI1801" s="831">
        <v>0</v>
      </c>
      <c r="AJ1801" s="835">
        <v>40237</v>
      </c>
      <c r="AK1801" s="831">
        <v>470610</v>
      </c>
      <c r="AP1801" s="831" t="str">
        <f t="shared" si="85"/>
        <v/>
      </c>
    </row>
    <row r="1802" spans="2:42">
      <c r="B1802" s="834" t="str">
        <f t="shared" si="84"/>
        <v>|||</v>
      </c>
      <c r="H1802" s="835">
        <f t="shared" si="86"/>
        <v>31</v>
      </c>
      <c r="AF1802" s="831" t="s">
        <v>2493</v>
      </c>
      <c r="AG1802" s="831" t="s">
        <v>57</v>
      </c>
      <c r="AH1802" s="831" t="s">
        <v>78</v>
      </c>
      <c r="AI1802" s="831">
        <v>0</v>
      </c>
      <c r="AJ1802" s="835">
        <v>40237</v>
      </c>
      <c r="AK1802" s="831">
        <v>2307660</v>
      </c>
      <c r="AP1802" s="831" t="str">
        <f t="shared" si="85"/>
        <v/>
      </c>
    </row>
    <row r="1803" spans="2:42">
      <c r="B1803" s="834" t="str">
        <f t="shared" si="84"/>
        <v>|||</v>
      </c>
      <c r="H1803" s="835">
        <f t="shared" si="86"/>
        <v>31</v>
      </c>
      <c r="AF1803" s="831" t="s">
        <v>2494</v>
      </c>
      <c r="AG1803" s="831" t="s">
        <v>57</v>
      </c>
      <c r="AH1803" s="831" t="s">
        <v>83</v>
      </c>
      <c r="AI1803" s="831">
        <v>0</v>
      </c>
      <c r="AJ1803" s="835">
        <v>40237</v>
      </c>
      <c r="AK1803" s="831">
        <v>354077</v>
      </c>
      <c r="AP1803" s="831" t="str">
        <f t="shared" si="85"/>
        <v/>
      </c>
    </row>
    <row r="1804" spans="2:42">
      <c r="B1804" s="834" t="str">
        <f t="shared" si="84"/>
        <v>|||</v>
      </c>
      <c r="H1804" s="835">
        <f t="shared" si="86"/>
        <v>31</v>
      </c>
      <c r="AF1804" s="831" t="s">
        <v>2495</v>
      </c>
      <c r="AG1804" s="831" t="s">
        <v>57</v>
      </c>
      <c r="AH1804" s="831" t="s">
        <v>88</v>
      </c>
      <c r="AI1804" s="831">
        <v>0</v>
      </c>
      <c r="AJ1804" s="835">
        <v>40237</v>
      </c>
      <c r="AK1804" s="831">
        <v>168963</v>
      </c>
      <c r="AP1804" s="831" t="str">
        <f t="shared" si="85"/>
        <v/>
      </c>
    </row>
    <row r="1805" spans="2:42">
      <c r="B1805" s="834" t="str">
        <f t="shared" si="84"/>
        <v>|||</v>
      </c>
      <c r="H1805" s="835">
        <f t="shared" si="86"/>
        <v>31</v>
      </c>
      <c r="AF1805" s="831" t="s">
        <v>2496</v>
      </c>
      <c r="AG1805" s="831" t="s">
        <v>57</v>
      </c>
      <c r="AH1805" s="831" t="s">
        <v>92</v>
      </c>
      <c r="AI1805" s="831">
        <v>0</v>
      </c>
      <c r="AJ1805" s="835">
        <v>40237</v>
      </c>
      <c r="AK1805" s="831">
        <v>245840</v>
      </c>
      <c r="AP1805" s="831" t="str">
        <f t="shared" si="85"/>
        <v/>
      </c>
    </row>
    <row r="1806" spans="2:42">
      <c r="B1806" s="834" t="str">
        <f t="shared" si="84"/>
        <v>|||</v>
      </c>
      <c r="H1806" s="835">
        <f t="shared" si="86"/>
        <v>31</v>
      </c>
      <c r="AF1806" s="831" t="s">
        <v>2497</v>
      </c>
      <c r="AG1806" s="831" t="s">
        <v>57</v>
      </c>
      <c r="AH1806" s="831" t="s">
        <v>96</v>
      </c>
      <c r="AI1806" s="831">
        <v>0</v>
      </c>
      <c r="AJ1806" s="835">
        <v>40237</v>
      </c>
      <c r="AK1806" s="831">
        <v>1538780</v>
      </c>
      <c r="AP1806" s="831" t="str">
        <f t="shared" si="85"/>
        <v/>
      </c>
    </row>
    <row r="1807" spans="2:42">
      <c r="B1807" s="834" t="str">
        <f t="shared" si="84"/>
        <v>|||</v>
      </c>
      <c r="H1807" s="835">
        <f t="shared" si="86"/>
        <v>31</v>
      </c>
      <c r="AF1807" s="831" t="s">
        <v>2498</v>
      </c>
      <c r="AG1807" s="831" t="s">
        <v>57</v>
      </c>
      <c r="AH1807" s="831" t="s">
        <v>30</v>
      </c>
      <c r="AI1807" s="831">
        <v>0</v>
      </c>
      <c r="AJ1807" s="835">
        <v>40237</v>
      </c>
      <c r="AK1807" s="831">
        <v>916328</v>
      </c>
      <c r="AP1807" s="831" t="str">
        <f t="shared" si="85"/>
        <v/>
      </c>
    </row>
    <row r="1808" spans="2:42">
      <c r="B1808" s="834" t="str">
        <f t="shared" si="84"/>
        <v>|||</v>
      </c>
      <c r="H1808" s="835">
        <f t="shared" si="86"/>
        <v>31</v>
      </c>
      <c r="AF1808" s="831" t="s">
        <v>2499</v>
      </c>
      <c r="AG1808" s="831" t="s">
        <v>57</v>
      </c>
      <c r="AH1808" s="831" t="s">
        <v>47</v>
      </c>
      <c r="AI1808" s="831">
        <v>0</v>
      </c>
      <c r="AJ1808" s="835">
        <v>40237</v>
      </c>
      <c r="AK1808" s="831">
        <v>0</v>
      </c>
      <c r="AP1808" s="831" t="str">
        <f t="shared" si="85"/>
        <v/>
      </c>
    </row>
    <row r="1809" spans="2:42">
      <c r="B1809" s="834" t="str">
        <f t="shared" si="84"/>
        <v>|||</v>
      </c>
      <c r="H1809" s="835">
        <f t="shared" si="86"/>
        <v>31</v>
      </c>
      <c r="AF1809" s="831" t="s">
        <v>2500</v>
      </c>
      <c r="AG1809" s="831" t="s">
        <v>57</v>
      </c>
      <c r="AH1809" s="831" t="s">
        <v>102</v>
      </c>
      <c r="AI1809" s="831">
        <v>0</v>
      </c>
      <c r="AJ1809" s="835">
        <v>40237</v>
      </c>
      <c r="AK1809" s="831">
        <v>99054</v>
      </c>
      <c r="AP1809" s="831" t="str">
        <f t="shared" si="85"/>
        <v/>
      </c>
    </row>
    <row r="1810" spans="2:42">
      <c r="B1810" s="834" t="str">
        <f t="shared" si="84"/>
        <v>|||</v>
      </c>
      <c r="H1810" s="835">
        <f t="shared" si="86"/>
        <v>31</v>
      </c>
      <c r="AF1810" s="831" t="s">
        <v>2501</v>
      </c>
      <c r="AG1810" s="831" t="s">
        <v>57</v>
      </c>
      <c r="AH1810" s="831" t="s">
        <v>68</v>
      </c>
      <c r="AI1810" s="831">
        <v>0</v>
      </c>
      <c r="AJ1810" s="835">
        <v>40268</v>
      </c>
      <c r="AK1810" s="831">
        <v>247500458</v>
      </c>
      <c r="AP1810" s="831" t="str">
        <f t="shared" si="85"/>
        <v/>
      </c>
    </row>
    <row r="1811" spans="2:42">
      <c r="B1811" s="834" t="str">
        <f t="shared" si="84"/>
        <v>|||</v>
      </c>
      <c r="H1811" s="835">
        <f t="shared" si="86"/>
        <v>31</v>
      </c>
      <c r="AF1811" s="831" t="s">
        <v>2502</v>
      </c>
      <c r="AG1811" s="831" t="s">
        <v>57</v>
      </c>
      <c r="AH1811" s="831" t="s">
        <v>73</v>
      </c>
      <c r="AI1811" s="831">
        <v>0</v>
      </c>
      <c r="AJ1811" s="835">
        <v>40268</v>
      </c>
      <c r="AK1811" s="831">
        <v>350550</v>
      </c>
      <c r="AP1811" s="831" t="str">
        <f t="shared" si="85"/>
        <v/>
      </c>
    </row>
    <row r="1812" spans="2:42">
      <c r="B1812" s="834" t="str">
        <f t="shared" si="84"/>
        <v>|||</v>
      </c>
      <c r="H1812" s="835">
        <f t="shared" si="86"/>
        <v>31</v>
      </c>
      <c r="AF1812" s="831" t="s">
        <v>2503</v>
      </c>
      <c r="AG1812" s="831" t="s">
        <v>57</v>
      </c>
      <c r="AH1812" s="831" t="s">
        <v>78</v>
      </c>
      <c r="AI1812" s="831">
        <v>0</v>
      </c>
      <c r="AJ1812" s="835">
        <v>40268</v>
      </c>
      <c r="AK1812" s="831">
        <v>2546380</v>
      </c>
      <c r="AP1812" s="831" t="str">
        <f t="shared" si="85"/>
        <v/>
      </c>
    </row>
    <row r="1813" spans="2:42">
      <c r="B1813" s="834" t="str">
        <f t="shared" si="84"/>
        <v>|||</v>
      </c>
      <c r="H1813" s="835">
        <f t="shared" si="86"/>
        <v>31</v>
      </c>
      <c r="AF1813" s="831" t="s">
        <v>2504</v>
      </c>
      <c r="AG1813" s="831" t="s">
        <v>57</v>
      </c>
      <c r="AH1813" s="831" t="s">
        <v>83</v>
      </c>
      <c r="AI1813" s="831">
        <v>0</v>
      </c>
      <c r="AJ1813" s="835">
        <v>40268</v>
      </c>
      <c r="AK1813" s="831">
        <v>277351</v>
      </c>
      <c r="AP1813" s="831" t="str">
        <f t="shared" si="85"/>
        <v/>
      </c>
    </row>
    <row r="1814" spans="2:42">
      <c r="B1814" s="834" t="str">
        <f t="shared" si="84"/>
        <v>|||</v>
      </c>
      <c r="H1814" s="835">
        <f t="shared" si="86"/>
        <v>31</v>
      </c>
      <c r="AF1814" s="831" t="s">
        <v>2505</v>
      </c>
      <c r="AG1814" s="831" t="s">
        <v>57</v>
      </c>
      <c r="AH1814" s="831" t="s">
        <v>88</v>
      </c>
      <c r="AI1814" s="831">
        <v>0</v>
      </c>
      <c r="AJ1814" s="835">
        <v>40268</v>
      </c>
      <c r="AK1814" s="831">
        <v>264689</v>
      </c>
      <c r="AP1814" s="831" t="str">
        <f t="shared" si="85"/>
        <v/>
      </c>
    </row>
    <row r="1815" spans="2:42">
      <c r="B1815" s="834" t="str">
        <f t="shared" si="84"/>
        <v>|||</v>
      </c>
      <c r="H1815" s="835">
        <f t="shared" si="86"/>
        <v>31</v>
      </c>
      <c r="AF1815" s="831" t="s">
        <v>2506</v>
      </c>
      <c r="AG1815" s="831" t="s">
        <v>57</v>
      </c>
      <c r="AH1815" s="831" t="s">
        <v>92</v>
      </c>
      <c r="AI1815" s="831">
        <v>0</v>
      </c>
      <c r="AJ1815" s="835">
        <v>40268</v>
      </c>
      <c r="AK1815" s="831">
        <v>370020</v>
      </c>
      <c r="AP1815" s="831" t="str">
        <f t="shared" si="85"/>
        <v/>
      </c>
    </row>
    <row r="1816" spans="2:42">
      <c r="B1816" s="834" t="str">
        <f t="shared" si="84"/>
        <v>|||</v>
      </c>
      <c r="H1816" s="835">
        <f t="shared" si="86"/>
        <v>31</v>
      </c>
      <c r="AF1816" s="831" t="s">
        <v>2507</v>
      </c>
      <c r="AG1816" s="831" t="s">
        <v>57</v>
      </c>
      <c r="AH1816" s="831" t="s">
        <v>96</v>
      </c>
      <c r="AI1816" s="831">
        <v>0</v>
      </c>
      <c r="AJ1816" s="835">
        <v>40268</v>
      </c>
      <c r="AK1816" s="831">
        <v>1634320</v>
      </c>
      <c r="AP1816" s="831" t="str">
        <f t="shared" si="85"/>
        <v/>
      </c>
    </row>
    <row r="1817" spans="2:42">
      <c r="B1817" s="834" t="str">
        <f t="shared" si="84"/>
        <v>|||</v>
      </c>
      <c r="H1817" s="835">
        <f t="shared" si="86"/>
        <v>31</v>
      </c>
      <c r="AF1817" s="831" t="s">
        <v>2508</v>
      </c>
      <c r="AG1817" s="831" t="s">
        <v>57</v>
      </c>
      <c r="AH1817" s="831" t="s">
        <v>30</v>
      </c>
      <c r="AI1817" s="831">
        <v>0</v>
      </c>
      <c r="AJ1817" s="835">
        <v>40268</v>
      </c>
      <c r="AK1817" s="831">
        <v>905107</v>
      </c>
      <c r="AP1817" s="831" t="str">
        <f t="shared" si="85"/>
        <v/>
      </c>
    </row>
    <row r="1818" spans="2:42">
      <c r="B1818" s="834" t="str">
        <f t="shared" si="84"/>
        <v>|||</v>
      </c>
      <c r="H1818" s="835">
        <f t="shared" si="86"/>
        <v>31</v>
      </c>
      <c r="AF1818" s="831" t="s">
        <v>2509</v>
      </c>
      <c r="AG1818" s="831" t="s">
        <v>57</v>
      </c>
      <c r="AH1818" s="831" t="s">
        <v>47</v>
      </c>
      <c r="AI1818" s="831">
        <v>0</v>
      </c>
      <c r="AJ1818" s="835">
        <v>40268</v>
      </c>
      <c r="AK1818" s="831">
        <v>0</v>
      </c>
      <c r="AP1818" s="831" t="str">
        <f t="shared" si="85"/>
        <v/>
      </c>
    </row>
    <row r="1819" spans="2:42">
      <c r="B1819" s="834" t="str">
        <f t="shared" si="84"/>
        <v>|||</v>
      </c>
      <c r="H1819" s="835">
        <f t="shared" si="86"/>
        <v>31</v>
      </c>
      <c r="AF1819" s="831" t="s">
        <v>2510</v>
      </c>
      <c r="AG1819" s="831" t="s">
        <v>57</v>
      </c>
      <c r="AH1819" s="831" t="s">
        <v>102</v>
      </c>
      <c r="AI1819" s="831">
        <v>0</v>
      </c>
      <c r="AJ1819" s="835">
        <v>40268</v>
      </c>
      <c r="AK1819" s="831">
        <v>0</v>
      </c>
      <c r="AP1819" s="831" t="str">
        <f t="shared" si="85"/>
        <v/>
      </c>
    </row>
    <row r="1820" spans="2:42">
      <c r="B1820" s="834" t="str">
        <f t="shared" si="84"/>
        <v>|||</v>
      </c>
      <c r="H1820" s="835">
        <f t="shared" si="86"/>
        <v>31</v>
      </c>
      <c r="AF1820" s="831" t="s">
        <v>2511</v>
      </c>
      <c r="AG1820" s="831" t="s">
        <v>57</v>
      </c>
      <c r="AH1820" s="831" t="s">
        <v>68</v>
      </c>
      <c r="AI1820" s="831">
        <v>0</v>
      </c>
      <c r="AJ1820" s="835">
        <v>40298</v>
      </c>
      <c r="AK1820" s="831">
        <v>252500876</v>
      </c>
      <c r="AP1820" s="831" t="str">
        <f t="shared" si="85"/>
        <v/>
      </c>
    </row>
    <row r="1821" spans="2:42">
      <c r="B1821" s="834" t="str">
        <f t="shared" si="84"/>
        <v>|||</v>
      </c>
      <c r="H1821" s="835">
        <f t="shared" si="86"/>
        <v>31</v>
      </c>
      <c r="AF1821" s="831" t="s">
        <v>2512</v>
      </c>
      <c r="AG1821" s="831" t="s">
        <v>57</v>
      </c>
      <c r="AH1821" s="831" t="s">
        <v>73</v>
      </c>
      <c r="AI1821" s="831">
        <v>0</v>
      </c>
      <c r="AJ1821" s="835">
        <v>40298</v>
      </c>
      <c r="AK1821" s="831">
        <v>322430</v>
      </c>
      <c r="AP1821" s="831" t="str">
        <f t="shared" si="85"/>
        <v/>
      </c>
    </row>
    <row r="1822" spans="2:42">
      <c r="B1822" s="834" t="str">
        <f t="shared" si="84"/>
        <v>|||</v>
      </c>
      <c r="H1822" s="835">
        <f t="shared" si="86"/>
        <v>31</v>
      </c>
      <c r="AF1822" s="831" t="s">
        <v>2513</v>
      </c>
      <c r="AG1822" s="831" t="s">
        <v>57</v>
      </c>
      <c r="AH1822" s="831" t="s">
        <v>78</v>
      </c>
      <c r="AI1822" s="831">
        <v>0</v>
      </c>
      <c r="AJ1822" s="835">
        <v>40298</v>
      </c>
      <c r="AK1822" s="831">
        <v>2513170</v>
      </c>
      <c r="AP1822" s="831" t="str">
        <f t="shared" si="85"/>
        <v/>
      </c>
    </row>
    <row r="1823" spans="2:42">
      <c r="B1823" s="834" t="str">
        <f t="shared" si="84"/>
        <v>|||</v>
      </c>
      <c r="H1823" s="835">
        <f t="shared" si="86"/>
        <v>31</v>
      </c>
      <c r="AF1823" s="831" t="s">
        <v>2514</v>
      </c>
      <c r="AG1823" s="831" t="s">
        <v>57</v>
      </c>
      <c r="AH1823" s="831" t="s">
        <v>83</v>
      </c>
      <c r="AI1823" s="831">
        <v>0</v>
      </c>
      <c r="AJ1823" s="835">
        <v>40298</v>
      </c>
      <c r="AK1823" s="831">
        <v>213798</v>
      </c>
      <c r="AP1823" s="831" t="str">
        <f t="shared" si="85"/>
        <v/>
      </c>
    </row>
    <row r="1824" spans="2:42">
      <c r="B1824" s="834" t="str">
        <f t="shared" si="84"/>
        <v>|||</v>
      </c>
      <c r="H1824" s="835">
        <f t="shared" si="86"/>
        <v>31</v>
      </c>
      <c r="AF1824" s="831" t="s">
        <v>2515</v>
      </c>
      <c r="AG1824" s="831" t="s">
        <v>57</v>
      </c>
      <c r="AH1824" s="831" t="s">
        <v>88</v>
      </c>
      <c r="AI1824" s="831">
        <v>0</v>
      </c>
      <c r="AJ1824" s="835">
        <v>40298</v>
      </c>
      <c r="AK1824" s="831">
        <v>205702</v>
      </c>
      <c r="AP1824" s="831" t="str">
        <f t="shared" si="85"/>
        <v/>
      </c>
    </row>
    <row r="1825" spans="2:42">
      <c r="B1825" s="834" t="str">
        <f t="shared" si="84"/>
        <v>|||</v>
      </c>
      <c r="H1825" s="835">
        <f t="shared" si="86"/>
        <v>31</v>
      </c>
      <c r="AF1825" s="831" t="s">
        <v>2516</v>
      </c>
      <c r="AG1825" s="831" t="s">
        <v>57</v>
      </c>
      <c r="AH1825" s="831" t="s">
        <v>92</v>
      </c>
      <c r="AI1825" s="831">
        <v>0</v>
      </c>
      <c r="AJ1825" s="835">
        <v>40298</v>
      </c>
      <c r="AK1825" s="831">
        <v>355590</v>
      </c>
      <c r="AP1825" s="831" t="str">
        <f t="shared" si="85"/>
        <v/>
      </c>
    </row>
    <row r="1826" spans="2:42">
      <c r="B1826" s="834" t="str">
        <f t="shared" si="84"/>
        <v>|||</v>
      </c>
      <c r="H1826" s="835">
        <f t="shared" si="86"/>
        <v>31</v>
      </c>
      <c r="AF1826" s="831" t="s">
        <v>2517</v>
      </c>
      <c r="AG1826" s="831" t="s">
        <v>57</v>
      </c>
      <c r="AH1826" s="831" t="s">
        <v>96</v>
      </c>
      <c r="AI1826" s="831">
        <v>0</v>
      </c>
      <c r="AJ1826" s="835">
        <v>40298</v>
      </c>
      <c r="AK1826" s="831">
        <v>1738080</v>
      </c>
      <c r="AP1826" s="831" t="str">
        <f t="shared" si="85"/>
        <v/>
      </c>
    </row>
    <row r="1827" spans="2:42">
      <c r="B1827" s="834" t="str">
        <f t="shared" si="84"/>
        <v>|||</v>
      </c>
      <c r="H1827" s="835">
        <f t="shared" si="86"/>
        <v>31</v>
      </c>
      <c r="AF1827" s="831" t="s">
        <v>2518</v>
      </c>
      <c r="AG1827" s="831" t="s">
        <v>57</v>
      </c>
      <c r="AH1827" s="831" t="s">
        <v>30</v>
      </c>
      <c r="AI1827" s="831">
        <v>0</v>
      </c>
      <c r="AJ1827" s="835">
        <v>40298</v>
      </c>
      <c r="AK1827" s="831">
        <v>791542</v>
      </c>
      <c r="AP1827" s="831" t="str">
        <f t="shared" si="85"/>
        <v/>
      </c>
    </row>
    <row r="1828" spans="2:42">
      <c r="B1828" s="834" t="str">
        <f t="shared" si="84"/>
        <v>|||</v>
      </c>
      <c r="H1828" s="835">
        <f t="shared" si="86"/>
        <v>31</v>
      </c>
      <c r="AF1828" s="831" t="s">
        <v>2519</v>
      </c>
      <c r="AG1828" s="831" t="s">
        <v>57</v>
      </c>
      <c r="AH1828" s="831" t="s">
        <v>47</v>
      </c>
      <c r="AI1828" s="831">
        <v>0</v>
      </c>
      <c r="AJ1828" s="835">
        <v>40298</v>
      </c>
      <c r="AK1828" s="831">
        <v>0</v>
      </c>
      <c r="AP1828" s="831" t="str">
        <f t="shared" si="85"/>
        <v/>
      </c>
    </row>
    <row r="1829" spans="2:42">
      <c r="B1829" s="834" t="str">
        <f t="shared" si="84"/>
        <v>|||</v>
      </c>
      <c r="H1829" s="835">
        <f t="shared" si="86"/>
        <v>31</v>
      </c>
      <c r="AF1829" s="831" t="s">
        <v>2520</v>
      </c>
      <c r="AG1829" s="831" t="s">
        <v>57</v>
      </c>
      <c r="AH1829" s="831" t="s">
        <v>102</v>
      </c>
      <c r="AI1829" s="831">
        <v>0</v>
      </c>
      <c r="AJ1829" s="835">
        <v>40298</v>
      </c>
      <c r="AK1829" s="831">
        <v>0</v>
      </c>
      <c r="AP1829" s="831" t="str">
        <f t="shared" si="85"/>
        <v/>
      </c>
    </row>
    <row r="1830" spans="2:42">
      <c r="B1830" s="834" t="str">
        <f t="shared" si="84"/>
        <v>|||</v>
      </c>
      <c r="H1830" s="835">
        <f t="shared" si="86"/>
        <v>31</v>
      </c>
      <c r="AF1830" s="831" t="s">
        <v>2521</v>
      </c>
      <c r="AG1830" s="831" t="s">
        <v>57</v>
      </c>
      <c r="AH1830" s="831" t="s">
        <v>68</v>
      </c>
      <c r="AI1830" s="831">
        <v>0</v>
      </c>
      <c r="AJ1830" s="835">
        <v>40329</v>
      </c>
      <c r="AK1830" s="831">
        <v>263716688</v>
      </c>
      <c r="AP1830" s="831" t="str">
        <f t="shared" si="85"/>
        <v/>
      </c>
    </row>
    <row r="1831" spans="2:42">
      <c r="B1831" s="834" t="str">
        <f t="shared" si="84"/>
        <v>|||</v>
      </c>
      <c r="H1831" s="835">
        <f t="shared" si="86"/>
        <v>31</v>
      </c>
      <c r="AF1831" s="831" t="s">
        <v>2522</v>
      </c>
      <c r="AG1831" s="831" t="s">
        <v>57</v>
      </c>
      <c r="AH1831" s="831" t="s">
        <v>73</v>
      </c>
      <c r="AI1831" s="831">
        <v>0</v>
      </c>
      <c r="AJ1831" s="835">
        <v>40329</v>
      </c>
      <c r="AK1831" s="831">
        <v>507580</v>
      </c>
      <c r="AP1831" s="831" t="str">
        <f t="shared" si="85"/>
        <v/>
      </c>
    </row>
    <row r="1832" spans="2:42">
      <c r="B1832" s="834" t="str">
        <f t="shared" si="84"/>
        <v>|||</v>
      </c>
      <c r="H1832" s="835">
        <f t="shared" si="86"/>
        <v>31</v>
      </c>
      <c r="AF1832" s="831" t="s">
        <v>2523</v>
      </c>
      <c r="AG1832" s="831" t="s">
        <v>57</v>
      </c>
      <c r="AH1832" s="831" t="s">
        <v>78</v>
      </c>
      <c r="AI1832" s="831">
        <v>0</v>
      </c>
      <c r="AJ1832" s="835">
        <v>40329</v>
      </c>
      <c r="AK1832" s="831">
        <v>2644240</v>
      </c>
      <c r="AP1832" s="831" t="str">
        <f t="shared" si="85"/>
        <v/>
      </c>
    </row>
    <row r="1833" spans="2:42">
      <c r="B1833" s="834" t="str">
        <f t="shared" si="84"/>
        <v>|||</v>
      </c>
      <c r="H1833" s="835">
        <f t="shared" si="86"/>
        <v>31</v>
      </c>
      <c r="AF1833" s="831" t="s">
        <v>2524</v>
      </c>
      <c r="AG1833" s="831" t="s">
        <v>57</v>
      </c>
      <c r="AH1833" s="831" t="s">
        <v>83</v>
      </c>
      <c r="AI1833" s="831">
        <v>0</v>
      </c>
      <c r="AJ1833" s="835">
        <v>40329</v>
      </c>
      <c r="AK1833" s="831">
        <v>164148</v>
      </c>
      <c r="AP1833" s="831" t="str">
        <f t="shared" si="85"/>
        <v/>
      </c>
    </row>
    <row r="1834" spans="2:42">
      <c r="B1834" s="834" t="str">
        <f t="shared" si="84"/>
        <v>|||</v>
      </c>
      <c r="H1834" s="835">
        <f t="shared" si="86"/>
        <v>31</v>
      </c>
      <c r="AF1834" s="831" t="s">
        <v>2525</v>
      </c>
      <c r="AG1834" s="831" t="s">
        <v>57</v>
      </c>
      <c r="AH1834" s="831" t="s">
        <v>88</v>
      </c>
      <c r="AI1834" s="831">
        <v>0</v>
      </c>
      <c r="AJ1834" s="835">
        <v>40329</v>
      </c>
      <c r="AK1834" s="831">
        <v>195512</v>
      </c>
      <c r="AP1834" s="831" t="str">
        <f t="shared" si="85"/>
        <v/>
      </c>
    </row>
    <row r="1835" spans="2:42">
      <c r="B1835" s="834" t="str">
        <f t="shared" si="84"/>
        <v>|||</v>
      </c>
      <c r="H1835" s="835">
        <f t="shared" si="86"/>
        <v>31</v>
      </c>
      <c r="AF1835" s="831" t="s">
        <v>2526</v>
      </c>
      <c r="AG1835" s="831" t="s">
        <v>57</v>
      </c>
      <c r="AH1835" s="831" t="s">
        <v>92</v>
      </c>
      <c r="AI1835" s="831">
        <v>0</v>
      </c>
      <c r="AJ1835" s="835">
        <v>40329</v>
      </c>
      <c r="AK1835" s="831">
        <v>527910</v>
      </c>
      <c r="AP1835" s="831" t="str">
        <f t="shared" si="85"/>
        <v/>
      </c>
    </row>
    <row r="1836" spans="2:42">
      <c r="B1836" s="834" t="str">
        <f t="shared" si="84"/>
        <v>|||</v>
      </c>
      <c r="H1836" s="835">
        <f t="shared" si="86"/>
        <v>31</v>
      </c>
      <c r="AF1836" s="831" t="s">
        <v>2527</v>
      </c>
      <c r="AG1836" s="831" t="s">
        <v>57</v>
      </c>
      <c r="AH1836" s="831" t="s">
        <v>96</v>
      </c>
      <c r="AI1836" s="831">
        <v>0</v>
      </c>
      <c r="AJ1836" s="835">
        <v>40329</v>
      </c>
      <c r="AK1836" s="831">
        <v>1756670</v>
      </c>
      <c r="AP1836" s="831" t="str">
        <f t="shared" si="85"/>
        <v/>
      </c>
    </row>
    <row r="1837" spans="2:42">
      <c r="B1837" s="834" t="str">
        <f t="shared" si="84"/>
        <v>|||</v>
      </c>
      <c r="H1837" s="835">
        <f t="shared" si="86"/>
        <v>31</v>
      </c>
      <c r="AF1837" s="831" t="s">
        <v>2528</v>
      </c>
      <c r="AG1837" s="831" t="s">
        <v>57</v>
      </c>
      <c r="AH1837" s="831" t="s">
        <v>30</v>
      </c>
      <c r="AI1837" s="831">
        <v>0</v>
      </c>
      <c r="AJ1837" s="835">
        <v>40329</v>
      </c>
      <c r="AK1837" s="831">
        <v>827400</v>
      </c>
      <c r="AP1837" s="831" t="str">
        <f t="shared" si="85"/>
        <v/>
      </c>
    </row>
    <row r="1838" spans="2:42">
      <c r="B1838" s="834" t="str">
        <f t="shared" si="84"/>
        <v>|||</v>
      </c>
      <c r="H1838" s="835">
        <f t="shared" si="86"/>
        <v>31</v>
      </c>
      <c r="AF1838" s="831" t="s">
        <v>2529</v>
      </c>
      <c r="AG1838" s="831" t="s">
        <v>57</v>
      </c>
      <c r="AH1838" s="831" t="s">
        <v>47</v>
      </c>
      <c r="AI1838" s="831">
        <v>0</v>
      </c>
      <c r="AJ1838" s="835">
        <v>40329</v>
      </c>
      <c r="AK1838" s="831">
        <v>0</v>
      </c>
      <c r="AP1838" s="831" t="str">
        <f t="shared" si="85"/>
        <v/>
      </c>
    </row>
    <row r="1839" spans="2:42">
      <c r="B1839" s="834" t="str">
        <f t="shared" si="84"/>
        <v>|||</v>
      </c>
      <c r="H1839" s="835">
        <f t="shared" si="86"/>
        <v>31</v>
      </c>
      <c r="AF1839" s="831" t="s">
        <v>2530</v>
      </c>
      <c r="AG1839" s="831" t="s">
        <v>57</v>
      </c>
      <c r="AH1839" s="831" t="s">
        <v>102</v>
      </c>
      <c r="AI1839" s="831">
        <v>0</v>
      </c>
      <c r="AJ1839" s="835">
        <v>40329</v>
      </c>
      <c r="AK1839" s="831">
        <v>0</v>
      </c>
      <c r="AP1839" s="831" t="str">
        <f t="shared" si="85"/>
        <v/>
      </c>
    </row>
    <row r="1840" spans="2:42">
      <c r="B1840" s="834" t="str">
        <f t="shared" si="84"/>
        <v>|||</v>
      </c>
      <c r="H1840" s="835">
        <f t="shared" si="86"/>
        <v>31</v>
      </c>
      <c r="AF1840" s="831" t="s">
        <v>2531</v>
      </c>
      <c r="AG1840" s="831" t="s">
        <v>57</v>
      </c>
      <c r="AH1840" s="831" t="s">
        <v>68</v>
      </c>
      <c r="AI1840" s="831">
        <v>0</v>
      </c>
      <c r="AJ1840" s="835">
        <v>40359</v>
      </c>
      <c r="AK1840" s="831">
        <v>270269295.63969898</v>
      </c>
      <c r="AP1840" s="831" t="str">
        <f t="shared" si="85"/>
        <v/>
      </c>
    </row>
    <row r="1841" spans="2:42">
      <c r="B1841" s="834" t="str">
        <f t="shared" si="84"/>
        <v>|||</v>
      </c>
      <c r="H1841" s="835">
        <f t="shared" si="86"/>
        <v>31</v>
      </c>
      <c r="AF1841" s="831" t="s">
        <v>2532</v>
      </c>
      <c r="AG1841" s="831" t="s">
        <v>57</v>
      </c>
      <c r="AH1841" s="831" t="s">
        <v>73</v>
      </c>
      <c r="AI1841" s="831">
        <v>0</v>
      </c>
      <c r="AJ1841" s="835">
        <v>40359</v>
      </c>
      <c r="AK1841" s="831">
        <v>480210</v>
      </c>
      <c r="AP1841" s="831" t="str">
        <f t="shared" si="85"/>
        <v/>
      </c>
    </row>
    <row r="1842" spans="2:42">
      <c r="B1842" s="834" t="str">
        <f t="shared" si="84"/>
        <v>|||</v>
      </c>
      <c r="H1842" s="835">
        <f t="shared" si="86"/>
        <v>31</v>
      </c>
      <c r="AF1842" s="831" t="s">
        <v>2533</v>
      </c>
      <c r="AG1842" s="831" t="s">
        <v>57</v>
      </c>
      <c r="AH1842" s="831" t="s">
        <v>78</v>
      </c>
      <c r="AI1842" s="831">
        <v>0</v>
      </c>
      <c r="AJ1842" s="835">
        <v>40359</v>
      </c>
      <c r="AK1842" s="831">
        <v>2889420</v>
      </c>
      <c r="AP1842" s="831" t="str">
        <f t="shared" si="85"/>
        <v/>
      </c>
    </row>
    <row r="1843" spans="2:42">
      <c r="B1843" s="834" t="str">
        <f t="shared" si="84"/>
        <v>|||</v>
      </c>
      <c r="H1843" s="835">
        <f t="shared" si="86"/>
        <v>31</v>
      </c>
      <c r="AF1843" s="831" t="s">
        <v>2534</v>
      </c>
      <c r="AG1843" s="831" t="s">
        <v>57</v>
      </c>
      <c r="AH1843" s="831" t="s">
        <v>83</v>
      </c>
      <c r="AI1843" s="831">
        <v>0</v>
      </c>
      <c r="AJ1843" s="835">
        <v>40359</v>
      </c>
      <c r="AK1843" s="831">
        <v>242710</v>
      </c>
      <c r="AP1843" s="831" t="str">
        <f t="shared" si="85"/>
        <v/>
      </c>
    </row>
    <row r="1844" spans="2:42">
      <c r="B1844" s="834" t="str">
        <f t="shared" si="84"/>
        <v>|||</v>
      </c>
      <c r="H1844" s="835">
        <f t="shared" si="86"/>
        <v>31</v>
      </c>
      <c r="AF1844" s="831" t="s">
        <v>2535</v>
      </c>
      <c r="AG1844" s="831" t="s">
        <v>57</v>
      </c>
      <c r="AH1844" s="831" t="s">
        <v>88</v>
      </c>
      <c r="AI1844" s="831">
        <v>0</v>
      </c>
      <c r="AJ1844" s="835">
        <v>40359</v>
      </c>
      <c r="AK1844" s="831">
        <v>224000</v>
      </c>
      <c r="AP1844" s="831" t="str">
        <f t="shared" si="85"/>
        <v/>
      </c>
    </row>
    <row r="1845" spans="2:42">
      <c r="B1845" s="834" t="str">
        <f t="shared" si="84"/>
        <v>|||</v>
      </c>
      <c r="H1845" s="835">
        <f t="shared" si="86"/>
        <v>31</v>
      </c>
      <c r="AF1845" s="831" t="s">
        <v>2536</v>
      </c>
      <c r="AG1845" s="831" t="s">
        <v>57</v>
      </c>
      <c r="AH1845" s="831" t="s">
        <v>92</v>
      </c>
      <c r="AI1845" s="831">
        <v>0</v>
      </c>
      <c r="AJ1845" s="835">
        <v>40359</v>
      </c>
      <c r="AK1845" s="831">
        <v>526440</v>
      </c>
      <c r="AP1845" s="831" t="str">
        <f t="shared" si="85"/>
        <v/>
      </c>
    </row>
    <row r="1846" spans="2:42">
      <c r="B1846" s="834" t="str">
        <f t="shared" si="84"/>
        <v>|||</v>
      </c>
      <c r="H1846" s="835">
        <f t="shared" si="86"/>
        <v>31</v>
      </c>
      <c r="AF1846" s="831" t="s">
        <v>2537</v>
      </c>
      <c r="AG1846" s="831" t="s">
        <v>57</v>
      </c>
      <c r="AH1846" s="831" t="s">
        <v>96</v>
      </c>
      <c r="AI1846" s="831">
        <v>0</v>
      </c>
      <c r="AJ1846" s="835">
        <v>40359</v>
      </c>
      <c r="AK1846" s="831">
        <v>1896270</v>
      </c>
      <c r="AP1846" s="831" t="str">
        <f t="shared" si="85"/>
        <v/>
      </c>
    </row>
    <row r="1847" spans="2:42">
      <c r="B1847" s="834" t="str">
        <f t="shared" si="84"/>
        <v>|||</v>
      </c>
      <c r="H1847" s="835">
        <f t="shared" si="86"/>
        <v>31</v>
      </c>
      <c r="AF1847" s="831" t="s">
        <v>2538</v>
      </c>
      <c r="AG1847" s="831" t="s">
        <v>57</v>
      </c>
      <c r="AH1847" s="831" t="s">
        <v>30</v>
      </c>
      <c r="AI1847" s="831">
        <v>0</v>
      </c>
      <c r="AJ1847" s="835">
        <v>40359</v>
      </c>
      <c r="AK1847" s="831">
        <v>1027728</v>
      </c>
      <c r="AP1847" s="831" t="str">
        <f t="shared" si="85"/>
        <v/>
      </c>
    </row>
    <row r="1848" spans="2:42">
      <c r="B1848" s="834" t="str">
        <f t="shared" si="84"/>
        <v>|||</v>
      </c>
      <c r="H1848" s="835">
        <f t="shared" si="86"/>
        <v>31</v>
      </c>
      <c r="AF1848" s="831" t="s">
        <v>2539</v>
      </c>
      <c r="AG1848" s="831" t="s">
        <v>57</v>
      </c>
      <c r="AH1848" s="831" t="s">
        <v>47</v>
      </c>
      <c r="AI1848" s="831">
        <v>0</v>
      </c>
      <c r="AJ1848" s="835">
        <v>40359</v>
      </c>
      <c r="AK1848" s="831">
        <v>0</v>
      </c>
      <c r="AP1848" s="831" t="str">
        <f t="shared" si="85"/>
        <v/>
      </c>
    </row>
    <row r="1849" spans="2:42">
      <c r="B1849" s="834" t="str">
        <f t="shared" si="84"/>
        <v>|||</v>
      </c>
      <c r="H1849" s="835">
        <f t="shared" si="86"/>
        <v>31</v>
      </c>
      <c r="AF1849" s="831" t="s">
        <v>2540</v>
      </c>
      <c r="AG1849" s="831" t="s">
        <v>57</v>
      </c>
      <c r="AH1849" s="831" t="s">
        <v>102</v>
      </c>
      <c r="AI1849" s="831">
        <v>0</v>
      </c>
      <c r="AJ1849" s="835">
        <v>40359</v>
      </c>
      <c r="AK1849" s="831">
        <v>0</v>
      </c>
      <c r="AP1849" s="831" t="str">
        <f t="shared" si="85"/>
        <v/>
      </c>
    </row>
    <row r="1850" spans="2:42">
      <c r="B1850" s="834" t="str">
        <f t="shared" si="84"/>
        <v>|||</v>
      </c>
      <c r="H1850" s="835">
        <f t="shared" si="86"/>
        <v>31</v>
      </c>
      <c r="AF1850" s="831" t="s">
        <v>2541</v>
      </c>
      <c r="AG1850" s="831" t="s">
        <v>57</v>
      </c>
      <c r="AH1850" s="831" t="s">
        <v>68</v>
      </c>
      <c r="AI1850" s="831">
        <v>0</v>
      </c>
      <c r="AJ1850" s="835">
        <v>40390</v>
      </c>
      <c r="AK1850" s="831">
        <v>274137430.15079999</v>
      </c>
      <c r="AP1850" s="831" t="str">
        <f t="shared" si="85"/>
        <v/>
      </c>
    </row>
    <row r="1851" spans="2:42">
      <c r="B1851" s="834" t="str">
        <f t="shared" si="84"/>
        <v>|||</v>
      </c>
      <c r="H1851" s="835">
        <f t="shared" si="86"/>
        <v>31</v>
      </c>
      <c r="AF1851" s="831" t="s">
        <v>2542</v>
      </c>
      <c r="AG1851" s="831" t="s">
        <v>57</v>
      </c>
      <c r="AH1851" s="831" t="s">
        <v>73</v>
      </c>
      <c r="AI1851" s="831">
        <v>0</v>
      </c>
      <c r="AJ1851" s="835">
        <v>40390</v>
      </c>
      <c r="AK1851" s="831">
        <v>853260</v>
      </c>
      <c r="AP1851" s="831" t="str">
        <f t="shared" si="85"/>
        <v/>
      </c>
    </row>
    <row r="1852" spans="2:42">
      <c r="B1852" s="834" t="str">
        <f t="shared" si="84"/>
        <v>|||</v>
      </c>
      <c r="H1852" s="835">
        <f t="shared" si="86"/>
        <v>31</v>
      </c>
      <c r="AF1852" s="831" t="s">
        <v>2543</v>
      </c>
      <c r="AG1852" s="831" t="s">
        <v>57</v>
      </c>
      <c r="AH1852" s="831" t="s">
        <v>78</v>
      </c>
      <c r="AI1852" s="831">
        <v>0</v>
      </c>
      <c r="AJ1852" s="835">
        <v>40390</v>
      </c>
      <c r="AK1852" s="831">
        <v>1690520</v>
      </c>
      <c r="AP1852" s="831" t="str">
        <f t="shared" si="85"/>
        <v/>
      </c>
    </row>
    <row r="1853" spans="2:42">
      <c r="B1853" s="834" t="str">
        <f t="shared" si="84"/>
        <v>|||</v>
      </c>
      <c r="H1853" s="835">
        <f t="shared" si="86"/>
        <v>31</v>
      </c>
      <c r="AF1853" s="831" t="s">
        <v>2544</v>
      </c>
      <c r="AG1853" s="831" t="s">
        <v>57</v>
      </c>
      <c r="AH1853" s="831" t="s">
        <v>83</v>
      </c>
      <c r="AI1853" s="831">
        <v>0</v>
      </c>
      <c r="AJ1853" s="835">
        <v>40390</v>
      </c>
      <c r="AK1853" s="831">
        <v>236401</v>
      </c>
      <c r="AP1853" s="831" t="str">
        <f t="shared" si="85"/>
        <v/>
      </c>
    </row>
    <row r="1854" spans="2:42">
      <c r="B1854" s="834" t="str">
        <f t="shared" si="84"/>
        <v>|||</v>
      </c>
      <c r="H1854" s="835">
        <f t="shared" si="86"/>
        <v>31</v>
      </c>
      <c r="AF1854" s="831" t="s">
        <v>2545</v>
      </c>
      <c r="AG1854" s="831" t="s">
        <v>57</v>
      </c>
      <c r="AH1854" s="831" t="s">
        <v>88</v>
      </c>
      <c r="AI1854" s="831">
        <v>0</v>
      </c>
      <c r="AJ1854" s="835">
        <v>40390</v>
      </c>
      <c r="AK1854" s="831">
        <v>296399</v>
      </c>
      <c r="AP1854" s="831" t="str">
        <f t="shared" si="85"/>
        <v/>
      </c>
    </row>
    <row r="1855" spans="2:42">
      <c r="B1855" s="834" t="str">
        <f t="shared" si="84"/>
        <v>|||</v>
      </c>
      <c r="H1855" s="835">
        <f t="shared" si="86"/>
        <v>31</v>
      </c>
      <c r="AF1855" s="831" t="s">
        <v>2546</v>
      </c>
      <c r="AG1855" s="831" t="s">
        <v>57</v>
      </c>
      <c r="AH1855" s="831" t="s">
        <v>92</v>
      </c>
      <c r="AI1855" s="831">
        <v>0</v>
      </c>
      <c r="AJ1855" s="835">
        <v>40390</v>
      </c>
      <c r="AK1855" s="831">
        <v>493870</v>
      </c>
      <c r="AP1855" s="831" t="str">
        <f t="shared" si="85"/>
        <v/>
      </c>
    </row>
    <row r="1856" spans="2:42">
      <c r="B1856" s="834" t="str">
        <f t="shared" si="84"/>
        <v>|||</v>
      </c>
      <c r="H1856" s="835">
        <f t="shared" si="86"/>
        <v>31</v>
      </c>
      <c r="AF1856" s="831" t="s">
        <v>2547</v>
      </c>
      <c r="AG1856" s="831" t="s">
        <v>57</v>
      </c>
      <c r="AH1856" s="831" t="s">
        <v>96</v>
      </c>
      <c r="AI1856" s="831">
        <v>0</v>
      </c>
      <c r="AJ1856" s="835">
        <v>40390</v>
      </c>
      <c r="AK1856" s="831">
        <v>663850</v>
      </c>
      <c r="AP1856" s="831" t="str">
        <f t="shared" si="85"/>
        <v/>
      </c>
    </row>
    <row r="1857" spans="2:42">
      <c r="B1857" s="834" t="str">
        <f t="shared" si="84"/>
        <v>|||</v>
      </c>
      <c r="H1857" s="835">
        <f t="shared" si="86"/>
        <v>31</v>
      </c>
      <c r="AF1857" s="831" t="s">
        <v>2548</v>
      </c>
      <c r="AG1857" s="831" t="s">
        <v>57</v>
      </c>
      <c r="AH1857" s="831" t="s">
        <v>30</v>
      </c>
      <c r="AI1857" s="831">
        <v>0</v>
      </c>
      <c r="AJ1857" s="835">
        <v>40390</v>
      </c>
      <c r="AK1857" s="831">
        <v>945090.76</v>
      </c>
      <c r="AP1857" s="831" t="str">
        <f t="shared" si="85"/>
        <v/>
      </c>
    </row>
    <row r="1858" spans="2:42">
      <c r="B1858" s="834" t="str">
        <f t="shared" si="84"/>
        <v>|||</v>
      </c>
      <c r="H1858" s="835">
        <f t="shared" si="86"/>
        <v>31</v>
      </c>
      <c r="AF1858" s="831" t="s">
        <v>2549</v>
      </c>
      <c r="AG1858" s="831" t="s">
        <v>57</v>
      </c>
      <c r="AH1858" s="831" t="s">
        <v>47</v>
      </c>
      <c r="AI1858" s="831">
        <v>0</v>
      </c>
      <c r="AJ1858" s="835">
        <v>40390</v>
      </c>
      <c r="AK1858" s="831">
        <v>1373340</v>
      </c>
      <c r="AP1858" s="831" t="str">
        <f t="shared" si="85"/>
        <v/>
      </c>
    </row>
    <row r="1859" spans="2:42">
      <c r="B1859" s="834" t="str">
        <f t="shared" ref="B1859:B1922" si="87">C1859&amp;"|"&amp;D1859&amp;"|"&amp;E1859&amp;"|"&amp;F1859</f>
        <v>|||</v>
      </c>
      <c r="H1859" s="835">
        <f t="shared" si="86"/>
        <v>31</v>
      </c>
      <c r="AF1859" s="831" t="s">
        <v>2550</v>
      </c>
      <c r="AG1859" s="831" t="s">
        <v>57</v>
      </c>
      <c r="AH1859" s="831" t="s">
        <v>102</v>
      </c>
      <c r="AI1859" s="831">
        <v>0</v>
      </c>
      <c r="AJ1859" s="835">
        <v>40390</v>
      </c>
      <c r="AK1859" s="831">
        <v>0</v>
      </c>
      <c r="AP1859" s="831" t="str">
        <f t="shared" ref="AP1859:AP1922" si="88">IF(AX1859&lt;&gt;"",IF(OR(AX1859=3,AX1859=4),"Equity","Debt"),"")</f>
        <v/>
      </c>
    </row>
    <row r="1860" spans="2:42">
      <c r="B1860" s="834" t="str">
        <f t="shared" si="87"/>
        <v>|||</v>
      </c>
      <c r="H1860" s="835">
        <f t="shared" ref="H1860:H1923" si="89">EOMONTH(L1860,0)</f>
        <v>31</v>
      </c>
      <c r="AF1860" s="831" t="s">
        <v>2551</v>
      </c>
      <c r="AG1860" s="831" t="s">
        <v>57</v>
      </c>
      <c r="AH1860" s="831" t="s">
        <v>68</v>
      </c>
      <c r="AI1860" s="831">
        <v>0</v>
      </c>
      <c r="AJ1860" s="835">
        <v>40421</v>
      </c>
      <c r="AK1860" s="831">
        <v>277564228.26381999</v>
      </c>
      <c r="AP1860" s="831" t="str">
        <f t="shared" si="88"/>
        <v/>
      </c>
    </row>
    <row r="1861" spans="2:42">
      <c r="B1861" s="834" t="str">
        <f t="shared" si="87"/>
        <v>|||</v>
      </c>
      <c r="H1861" s="835">
        <f t="shared" si="89"/>
        <v>31</v>
      </c>
      <c r="AF1861" s="831" t="s">
        <v>2552</v>
      </c>
      <c r="AG1861" s="831" t="s">
        <v>57</v>
      </c>
      <c r="AH1861" s="831" t="s">
        <v>73</v>
      </c>
      <c r="AI1861" s="831">
        <v>0</v>
      </c>
      <c r="AJ1861" s="835">
        <v>40421</v>
      </c>
      <c r="AK1861" s="831">
        <v>672430</v>
      </c>
      <c r="AP1861" s="831" t="str">
        <f t="shared" si="88"/>
        <v/>
      </c>
    </row>
    <row r="1862" spans="2:42">
      <c r="B1862" s="834" t="str">
        <f t="shared" si="87"/>
        <v>|||</v>
      </c>
      <c r="H1862" s="835">
        <f t="shared" si="89"/>
        <v>31</v>
      </c>
      <c r="AF1862" s="831" t="s">
        <v>2553</v>
      </c>
      <c r="AG1862" s="831" t="s">
        <v>57</v>
      </c>
      <c r="AH1862" s="831" t="s">
        <v>78</v>
      </c>
      <c r="AI1862" s="831">
        <v>0</v>
      </c>
      <c r="AJ1862" s="835">
        <v>40421</v>
      </c>
      <c r="AK1862" s="831">
        <v>2019030</v>
      </c>
      <c r="AP1862" s="831" t="str">
        <f t="shared" si="88"/>
        <v/>
      </c>
    </row>
    <row r="1863" spans="2:42">
      <c r="B1863" s="834" t="str">
        <f t="shared" si="87"/>
        <v>|||</v>
      </c>
      <c r="H1863" s="835">
        <f t="shared" si="89"/>
        <v>31</v>
      </c>
      <c r="AF1863" s="831" t="s">
        <v>2554</v>
      </c>
      <c r="AG1863" s="831" t="s">
        <v>57</v>
      </c>
      <c r="AH1863" s="831" t="s">
        <v>83</v>
      </c>
      <c r="AI1863" s="831">
        <v>0</v>
      </c>
      <c r="AJ1863" s="835">
        <v>40421</v>
      </c>
      <c r="AK1863" s="831">
        <v>340143</v>
      </c>
      <c r="AP1863" s="831" t="str">
        <f t="shared" si="88"/>
        <v/>
      </c>
    </row>
    <row r="1864" spans="2:42">
      <c r="B1864" s="834" t="str">
        <f t="shared" si="87"/>
        <v>|||</v>
      </c>
      <c r="H1864" s="835">
        <f t="shared" si="89"/>
        <v>31</v>
      </c>
      <c r="AF1864" s="831" t="s">
        <v>2555</v>
      </c>
      <c r="AG1864" s="831" t="s">
        <v>57</v>
      </c>
      <c r="AH1864" s="831" t="s">
        <v>88</v>
      </c>
      <c r="AI1864" s="831">
        <v>0</v>
      </c>
      <c r="AJ1864" s="835">
        <v>40421</v>
      </c>
      <c r="AK1864" s="831">
        <v>218477</v>
      </c>
      <c r="AP1864" s="831" t="str">
        <f t="shared" si="88"/>
        <v/>
      </c>
    </row>
    <row r="1865" spans="2:42">
      <c r="B1865" s="834" t="str">
        <f t="shared" si="87"/>
        <v>|||</v>
      </c>
      <c r="H1865" s="835">
        <f t="shared" si="89"/>
        <v>31</v>
      </c>
      <c r="AF1865" s="831" t="s">
        <v>2556</v>
      </c>
      <c r="AG1865" s="831" t="s">
        <v>57</v>
      </c>
      <c r="AH1865" s="831" t="s">
        <v>92</v>
      </c>
      <c r="AI1865" s="831">
        <v>0</v>
      </c>
      <c r="AJ1865" s="835">
        <v>40421</v>
      </c>
      <c r="AK1865" s="831">
        <v>640950</v>
      </c>
      <c r="AP1865" s="831" t="str">
        <f t="shared" si="88"/>
        <v/>
      </c>
    </row>
    <row r="1866" spans="2:42">
      <c r="B1866" s="834" t="str">
        <f t="shared" si="87"/>
        <v>|||</v>
      </c>
      <c r="H1866" s="835">
        <f t="shared" si="89"/>
        <v>31</v>
      </c>
      <c r="AF1866" s="831" t="s">
        <v>2557</v>
      </c>
      <c r="AG1866" s="831" t="s">
        <v>57</v>
      </c>
      <c r="AH1866" s="831" t="s">
        <v>96</v>
      </c>
      <c r="AI1866" s="831">
        <v>0</v>
      </c>
      <c r="AJ1866" s="835">
        <v>40421</v>
      </c>
      <c r="AK1866" s="831">
        <v>819460</v>
      </c>
      <c r="AP1866" s="831" t="str">
        <f t="shared" si="88"/>
        <v/>
      </c>
    </row>
    <row r="1867" spans="2:42">
      <c r="B1867" s="834" t="str">
        <f t="shared" si="87"/>
        <v>|||</v>
      </c>
      <c r="H1867" s="835">
        <f t="shared" si="89"/>
        <v>31</v>
      </c>
      <c r="AF1867" s="831" t="s">
        <v>2558</v>
      </c>
      <c r="AG1867" s="831" t="s">
        <v>57</v>
      </c>
      <c r="AH1867" s="831" t="s">
        <v>30</v>
      </c>
      <c r="AI1867" s="831">
        <v>0</v>
      </c>
      <c r="AJ1867" s="835">
        <v>40421</v>
      </c>
      <c r="AK1867" s="831">
        <v>1087053</v>
      </c>
      <c r="AP1867" s="831" t="str">
        <f t="shared" si="88"/>
        <v/>
      </c>
    </row>
    <row r="1868" spans="2:42">
      <c r="B1868" s="834" t="str">
        <f t="shared" si="87"/>
        <v>|||</v>
      </c>
      <c r="H1868" s="835">
        <f t="shared" si="89"/>
        <v>31</v>
      </c>
      <c r="AF1868" s="831" t="s">
        <v>2559</v>
      </c>
      <c r="AG1868" s="831" t="s">
        <v>57</v>
      </c>
      <c r="AH1868" s="831" t="s">
        <v>47</v>
      </c>
      <c r="AI1868" s="831">
        <v>0</v>
      </c>
      <c r="AJ1868" s="835">
        <v>40421</v>
      </c>
      <c r="AK1868" s="831">
        <v>0</v>
      </c>
      <c r="AP1868" s="831" t="str">
        <f t="shared" si="88"/>
        <v/>
      </c>
    </row>
    <row r="1869" spans="2:42">
      <c r="B1869" s="834" t="str">
        <f t="shared" si="87"/>
        <v>|||</v>
      </c>
      <c r="H1869" s="835">
        <f t="shared" si="89"/>
        <v>31</v>
      </c>
      <c r="AF1869" s="831" t="s">
        <v>2560</v>
      </c>
      <c r="AG1869" s="831" t="s">
        <v>57</v>
      </c>
      <c r="AH1869" s="831" t="s">
        <v>102</v>
      </c>
      <c r="AI1869" s="831">
        <v>0</v>
      </c>
      <c r="AJ1869" s="835">
        <v>40421</v>
      </c>
      <c r="AK1869" s="831">
        <v>0</v>
      </c>
      <c r="AP1869" s="831" t="str">
        <f t="shared" si="88"/>
        <v/>
      </c>
    </row>
    <row r="1870" spans="2:42">
      <c r="B1870" s="834" t="str">
        <f t="shared" si="87"/>
        <v>|||</v>
      </c>
      <c r="H1870" s="835">
        <f t="shared" si="89"/>
        <v>31</v>
      </c>
      <c r="AF1870" s="831" t="s">
        <v>2561</v>
      </c>
      <c r="AG1870" s="831" t="s">
        <v>57</v>
      </c>
      <c r="AH1870" s="831" t="s">
        <v>68</v>
      </c>
      <c r="AI1870" s="831">
        <v>0</v>
      </c>
      <c r="AJ1870" s="835">
        <v>40451</v>
      </c>
      <c r="AK1870" s="831">
        <v>282013635.52703398</v>
      </c>
      <c r="AP1870" s="831" t="str">
        <f t="shared" si="88"/>
        <v/>
      </c>
    </row>
    <row r="1871" spans="2:42">
      <c r="B1871" s="834" t="str">
        <f t="shared" si="87"/>
        <v>|||</v>
      </c>
      <c r="H1871" s="835">
        <f t="shared" si="89"/>
        <v>31</v>
      </c>
      <c r="AF1871" s="831" t="s">
        <v>2562</v>
      </c>
      <c r="AG1871" s="831" t="s">
        <v>57</v>
      </c>
      <c r="AH1871" s="831" t="s">
        <v>73</v>
      </c>
      <c r="AI1871" s="831">
        <v>0</v>
      </c>
      <c r="AJ1871" s="835">
        <v>40451</v>
      </c>
      <c r="AK1871" s="831">
        <v>492640</v>
      </c>
      <c r="AP1871" s="831" t="str">
        <f t="shared" si="88"/>
        <v/>
      </c>
    </row>
    <row r="1872" spans="2:42">
      <c r="B1872" s="834" t="str">
        <f t="shared" si="87"/>
        <v>|||</v>
      </c>
      <c r="H1872" s="835">
        <f t="shared" si="89"/>
        <v>31</v>
      </c>
      <c r="AF1872" s="831" t="s">
        <v>2563</v>
      </c>
      <c r="AG1872" s="831" t="s">
        <v>57</v>
      </c>
      <c r="AH1872" s="831" t="s">
        <v>78</v>
      </c>
      <c r="AI1872" s="831">
        <v>0</v>
      </c>
      <c r="AJ1872" s="835">
        <v>40451</v>
      </c>
      <c r="AK1872" s="831">
        <v>2106050</v>
      </c>
      <c r="AP1872" s="831" t="str">
        <f t="shared" si="88"/>
        <v/>
      </c>
    </row>
    <row r="1873" spans="2:42">
      <c r="B1873" s="834" t="str">
        <f t="shared" si="87"/>
        <v>|||</v>
      </c>
      <c r="H1873" s="835">
        <f t="shared" si="89"/>
        <v>31</v>
      </c>
      <c r="AF1873" s="831" t="s">
        <v>2564</v>
      </c>
      <c r="AG1873" s="831" t="s">
        <v>57</v>
      </c>
      <c r="AH1873" s="831" t="s">
        <v>83</v>
      </c>
      <c r="AI1873" s="831">
        <v>0</v>
      </c>
      <c r="AJ1873" s="835">
        <v>40451</v>
      </c>
      <c r="AK1873" s="831">
        <v>272004</v>
      </c>
      <c r="AP1873" s="831" t="str">
        <f t="shared" si="88"/>
        <v/>
      </c>
    </row>
    <row r="1874" spans="2:42">
      <c r="B1874" s="834" t="str">
        <f t="shared" si="87"/>
        <v>|||</v>
      </c>
      <c r="H1874" s="835">
        <f t="shared" si="89"/>
        <v>31</v>
      </c>
      <c r="AF1874" s="831" t="s">
        <v>2565</v>
      </c>
      <c r="AG1874" s="831" t="s">
        <v>57</v>
      </c>
      <c r="AH1874" s="831" t="s">
        <v>88</v>
      </c>
      <c r="AI1874" s="831">
        <v>0</v>
      </c>
      <c r="AJ1874" s="835">
        <v>40451</v>
      </c>
      <c r="AK1874" s="831">
        <v>315446</v>
      </c>
      <c r="AP1874" s="831" t="str">
        <f t="shared" si="88"/>
        <v/>
      </c>
    </row>
    <row r="1875" spans="2:42">
      <c r="B1875" s="834" t="str">
        <f t="shared" si="87"/>
        <v>|||</v>
      </c>
      <c r="H1875" s="835">
        <f t="shared" si="89"/>
        <v>31</v>
      </c>
      <c r="AF1875" s="831" t="s">
        <v>2566</v>
      </c>
      <c r="AG1875" s="831" t="s">
        <v>57</v>
      </c>
      <c r="AH1875" s="831" t="s">
        <v>92</v>
      </c>
      <c r="AI1875" s="831">
        <v>0</v>
      </c>
      <c r="AJ1875" s="835">
        <v>40451</v>
      </c>
      <c r="AK1875" s="831">
        <v>603590</v>
      </c>
      <c r="AP1875" s="831" t="str">
        <f t="shared" si="88"/>
        <v/>
      </c>
    </row>
    <row r="1876" spans="2:42">
      <c r="B1876" s="834" t="str">
        <f t="shared" si="87"/>
        <v>|||</v>
      </c>
      <c r="H1876" s="835">
        <f t="shared" si="89"/>
        <v>31</v>
      </c>
      <c r="AF1876" s="831" t="s">
        <v>2567</v>
      </c>
      <c r="AG1876" s="831" t="s">
        <v>57</v>
      </c>
      <c r="AH1876" s="831" t="s">
        <v>96</v>
      </c>
      <c r="AI1876" s="831">
        <v>0</v>
      </c>
      <c r="AJ1876" s="835">
        <v>40451</v>
      </c>
      <c r="AK1876" s="831">
        <v>915010</v>
      </c>
      <c r="AP1876" s="831" t="str">
        <f t="shared" si="88"/>
        <v/>
      </c>
    </row>
    <row r="1877" spans="2:42">
      <c r="B1877" s="834" t="str">
        <f t="shared" si="87"/>
        <v>|||</v>
      </c>
      <c r="H1877" s="835">
        <f t="shared" si="89"/>
        <v>31</v>
      </c>
      <c r="AF1877" s="831" t="s">
        <v>2568</v>
      </c>
      <c r="AG1877" s="831" t="s">
        <v>57</v>
      </c>
      <c r="AH1877" s="831" t="s">
        <v>30</v>
      </c>
      <c r="AI1877" s="831">
        <v>0</v>
      </c>
      <c r="AJ1877" s="835">
        <v>40451</v>
      </c>
      <c r="AK1877" s="831">
        <v>1099746</v>
      </c>
      <c r="AP1877" s="831" t="str">
        <f t="shared" si="88"/>
        <v/>
      </c>
    </row>
    <row r="1878" spans="2:42">
      <c r="B1878" s="834" t="str">
        <f t="shared" si="87"/>
        <v>|||</v>
      </c>
      <c r="H1878" s="835">
        <f t="shared" si="89"/>
        <v>31</v>
      </c>
      <c r="AF1878" s="831" t="s">
        <v>2569</v>
      </c>
      <c r="AG1878" s="831" t="s">
        <v>57</v>
      </c>
      <c r="AH1878" s="831" t="s">
        <v>47</v>
      </c>
      <c r="AI1878" s="831">
        <v>0</v>
      </c>
      <c r="AJ1878" s="835">
        <v>40451</v>
      </c>
      <c r="AK1878" s="831">
        <v>0</v>
      </c>
      <c r="AP1878" s="831" t="str">
        <f t="shared" si="88"/>
        <v/>
      </c>
    </row>
    <row r="1879" spans="2:42">
      <c r="B1879" s="834" t="str">
        <f t="shared" si="87"/>
        <v>|||</v>
      </c>
      <c r="H1879" s="835">
        <f t="shared" si="89"/>
        <v>31</v>
      </c>
      <c r="AF1879" s="831" t="s">
        <v>2570</v>
      </c>
      <c r="AG1879" s="831" t="s">
        <v>57</v>
      </c>
      <c r="AH1879" s="831" t="s">
        <v>102</v>
      </c>
      <c r="AI1879" s="831">
        <v>0</v>
      </c>
      <c r="AJ1879" s="835">
        <v>40451</v>
      </c>
      <c r="AK1879" s="831">
        <v>293782</v>
      </c>
      <c r="AP1879" s="831" t="str">
        <f t="shared" si="88"/>
        <v/>
      </c>
    </row>
    <row r="1880" spans="2:42">
      <c r="B1880" s="834" t="str">
        <f t="shared" si="87"/>
        <v>|||</v>
      </c>
      <c r="H1880" s="835">
        <f t="shared" si="89"/>
        <v>31</v>
      </c>
      <c r="AF1880" s="831" t="s">
        <v>2571</v>
      </c>
      <c r="AG1880" s="831" t="s">
        <v>57</v>
      </c>
      <c r="AH1880" s="831" t="s">
        <v>68</v>
      </c>
      <c r="AI1880" s="831">
        <v>0</v>
      </c>
      <c r="AJ1880" s="835">
        <v>40482</v>
      </c>
      <c r="AK1880" s="831">
        <v>280691928.41219997</v>
      </c>
      <c r="AP1880" s="831" t="str">
        <f t="shared" si="88"/>
        <v/>
      </c>
    </row>
    <row r="1881" spans="2:42">
      <c r="B1881" s="834" t="str">
        <f t="shared" si="87"/>
        <v>|||</v>
      </c>
      <c r="H1881" s="835">
        <f t="shared" si="89"/>
        <v>31</v>
      </c>
      <c r="AF1881" s="831" t="s">
        <v>2572</v>
      </c>
      <c r="AG1881" s="831" t="s">
        <v>57</v>
      </c>
      <c r="AH1881" s="831" t="s">
        <v>73</v>
      </c>
      <c r="AI1881" s="831">
        <v>0</v>
      </c>
      <c r="AJ1881" s="835">
        <v>40482</v>
      </c>
      <c r="AK1881" s="831">
        <v>945220</v>
      </c>
      <c r="AP1881" s="831" t="str">
        <f t="shared" si="88"/>
        <v/>
      </c>
    </row>
    <row r="1882" spans="2:42">
      <c r="B1882" s="834" t="str">
        <f t="shared" si="87"/>
        <v>|||</v>
      </c>
      <c r="H1882" s="835">
        <f t="shared" si="89"/>
        <v>31</v>
      </c>
      <c r="AF1882" s="831" t="s">
        <v>2573</v>
      </c>
      <c r="AG1882" s="831" t="s">
        <v>57</v>
      </c>
      <c r="AH1882" s="831" t="s">
        <v>78</v>
      </c>
      <c r="AI1882" s="831">
        <v>0</v>
      </c>
      <c r="AJ1882" s="835">
        <v>40482</v>
      </c>
      <c r="AK1882" s="831">
        <v>2018390</v>
      </c>
      <c r="AP1882" s="831" t="str">
        <f t="shared" si="88"/>
        <v/>
      </c>
    </row>
    <row r="1883" spans="2:42">
      <c r="B1883" s="834" t="str">
        <f t="shared" si="87"/>
        <v>|||</v>
      </c>
      <c r="H1883" s="835">
        <f t="shared" si="89"/>
        <v>31</v>
      </c>
      <c r="AF1883" s="831" t="s">
        <v>2574</v>
      </c>
      <c r="AG1883" s="831" t="s">
        <v>57</v>
      </c>
      <c r="AH1883" s="831" t="s">
        <v>83</v>
      </c>
      <c r="AI1883" s="831">
        <v>0</v>
      </c>
      <c r="AJ1883" s="835">
        <v>40482</v>
      </c>
      <c r="AK1883" s="831">
        <v>145322</v>
      </c>
      <c r="AP1883" s="831" t="str">
        <f t="shared" si="88"/>
        <v/>
      </c>
    </row>
    <row r="1884" spans="2:42">
      <c r="B1884" s="834" t="str">
        <f t="shared" si="87"/>
        <v>|||</v>
      </c>
      <c r="H1884" s="835">
        <f t="shared" si="89"/>
        <v>31</v>
      </c>
      <c r="AF1884" s="831" t="s">
        <v>2575</v>
      </c>
      <c r="AG1884" s="831" t="s">
        <v>57</v>
      </c>
      <c r="AH1884" s="831" t="s">
        <v>88</v>
      </c>
      <c r="AI1884" s="831">
        <v>0</v>
      </c>
      <c r="AJ1884" s="835">
        <v>40482</v>
      </c>
      <c r="AK1884" s="831">
        <v>261988</v>
      </c>
      <c r="AP1884" s="831" t="str">
        <f t="shared" si="88"/>
        <v/>
      </c>
    </row>
    <row r="1885" spans="2:42">
      <c r="B1885" s="834" t="str">
        <f t="shared" si="87"/>
        <v>|||</v>
      </c>
      <c r="H1885" s="835">
        <f t="shared" si="89"/>
        <v>31</v>
      </c>
      <c r="AF1885" s="831" t="s">
        <v>2576</v>
      </c>
      <c r="AG1885" s="831" t="s">
        <v>57</v>
      </c>
      <c r="AH1885" s="831" t="s">
        <v>92</v>
      </c>
      <c r="AI1885" s="831">
        <v>0</v>
      </c>
      <c r="AJ1885" s="835">
        <v>40482</v>
      </c>
      <c r="AK1885" s="831">
        <v>634700</v>
      </c>
      <c r="AP1885" s="831" t="str">
        <f t="shared" si="88"/>
        <v/>
      </c>
    </row>
    <row r="1886" spans="2:42">
      <c r="B1886" s="834" t="str">
        <f t="shared" si="87"/>
        <v>|||</v>
      </c>
      <c r="H1886" s="835">
        <f t="shared" si="89"/>
        <v>31</v>
      </c>
      <c r="AF1886" s="831" t="s">
        <v>2577</v>
      </c>
      <c r="AG1886" s="831" t="s">
        <v>57</v>
      </c>
      <c r="AH1886" s="831" t="s">
        <v>96</v>
      </c>
      <c r="AI1886" s="831">
        <v>0</v>
      </c>
      <c r="AJ1886" s="835">
        <v>40482</v>
      </c>
      <c r="AK1886" s="831">
        <v>976380</v>
      </c>
      <c r="AP1886" s="831" t="str">
        <f t="shared" si="88"/>
        <v/>
      </c>
    </row>
    <row r="1887" spans="2:42">
      <c r="B1887" s="834" t="str">
        <f t="shared" si="87"/>
        <v>|||</v>
      </c>
      <c r="H1887" s="835">
        <f t="shared" si="89"/>
        <v>31</v>
      </c>
      <c r="AF1887" s="831" t="s">
        <v>2578</v>
      </c>
      <c r="AG1887" s="831" t="s">
        <v>57</v>
      </c>
      <c r="AH1887" s="831" t="s">
        <v>30</v>
      </c>
      <c r="AI1887" s="831">
        <v>0</v>
      </c>
      <c r="AJ1887" s="835">
        <v>40482</v>
      </c>
      <c r="AK1887" s="831">
        <v>1123023</v>
      </c>
      <c r="AP1887" s="831" t="str">
        <f t="shared" si="88"/>
        <v/>
      </c>
    </row>
    <row r="1888" spans="2:42">
      <c r="B1888" s="834" t="str">
        <f t="shared" si="87"/>
        <v>|||</v>
      </c>
      <c r="H1888" s="835">
        <f t="shared" si="89"/>
        <v>31</v>
      </c>
      <c r="AF1888" s="831" t="s">
        <v>2579</v>
      </c>
      <c r="AG1888" s="831" t="s">
        <v>57</v>
      </c>
      <c r="AH1888" s="831" t="s">
        <v>47</v>
      </c>
      <c r="AI1888" s="831">
        <v>0</v>
      </c>
      <c r="AJ1888" s="835">
        <v>40482</v>
      </c>
      <c r="AK1888" s="831">
        <v>0</v>
      </c>
      <c r="AP1888" s="831" t="str">
        <f t="shared" si="88"/>
        <v/>
      </c>
    </row>
    <row r="1889" spans="2:42">
      <c r="B1889" s="834" t="str">
        <f t="shared" si="87"/>
        <v>|||</v>
      </c>
      <c r="H1889" s="835">
        <f t="shared" si="89"/>
        <v>31</v>
      </c>
      <c r="AF1889" s="831" t="s">
        <v>2580</v>
      </c>
      <c r="AG1889" s="831" t="s">
        <v>57</v>
      </c>
      <c r="AH1889" s="831" t="s">
        <v>102</v>
      </c>
      <c r="AI1889" s="831">
        <v>0</v>
      </c>
      <c r="AJ1889" s="835">
        <v>40482</v>
      </c>
      <c r="AK1889" s="831">
        <v>28634</v>
      </c>
      <c r="AP1889" s="831" t="str">
        <f t="shared" si="88"/>
        <v/>
      </c>
    </row>
    <row r="1890" spans="2:42">
      <c r="B1890" s="834" t="str">
        <f t="shared" si="87"/>
        <v>|||</v>
      </c>
      <c r="H1890" s="835">
        <f t="shared" si="89"/>
        <v>31</v>
      </c>
      <c r="AF1890" s="831" t="s">
        <v>2581</v>
      </c>
      <c r="AG1890" s="831" t="s">
        <v>57</v>
      </c>
      <c r="AH1890" s="831" t="s">
        <v>68</v>
      </c>
      <c r="AI1890" s="831">
        <v>0</v>
      </c>
      <c r="AJ1890" s="835">
        <v>40512</v>
      </c>
      <c r="AK1890" s="831">
        <v>274979722.81400001</v>
      </c>
      <c r="AP1890" s="831" t="str">
        <f t="shared" si="88"/>
        <v/>
      </c>
    </row>
    <row r="1891" spans="2:42">
      <c r="B1891" s="834" t="str">
        <f t="shared" si="87"/>
        <v>|||</v>
      </c>
      <c r="H1891" s="835">
        <f t="shared" si="89"/>
        <v>31</v>
      </c>
      <c r="AF1891" s="831" t="s">
        <v>2582</v>
      </c>
      <c r="AG1891" s="831" t="s">
        <v>57</v>
      </c>
      <c r="AH1891" s="831" t="s">
        <v>73</v>
      </c>
      <c r="AI1891" s="831">
        <v>0</v>
      </c>
      <c r="AJ1891" s="835">
        <v>40512</v>
      </c>
      <c r="AK1891" s="831">
        <v>840800</v>
      </c>
      <c r="AP1891" s="831" t="str">
        <f t="shared" si="88"/>
        <v/>
      </c>
    </row>
    <row r="1892" spans="2:42">
      <c r="B1892" s="834" t="str">
        <f t="shared" si="87"/>
        <v>|||</v>
      </c>
      <c r="H1892" s="835">
        <f t="shared" si="89"/>
        <v>31</v>
      </c>
      <c r="AF1892" s="831" t="s">
        <v>2583</v>
      </c>
      <c r="AG1892" s="831" t="s">
        <v>57</v>
      </c>
      <c r="AH1892" s="831" t="s">
        <v>78</v>
      </c>
      <c r="AI1892" s="831">
        <v>0</v>
      </c>
      <c r="AJ1892" s="835">
        <v>40512</v>
      </c>
      <c r="AK1892" s="831">
        <v>2467300</v>
      </c>
      <c r="AP1892" s="831" t="str">
        <f t="shared" si="88"/>
        <v/>
      </c>
    </row>
    <row r="1893" spans="2:42">
      <c r="B1893" s="834" t="str">
        <f t="shared" si="87"/>
        <v>|||</v>
      </c>
      <c r="H1893" s="835">
        <f t="shared" si="89"/>
        <v>31</v>
      </c>
      <c r="AF1893" s="831" t="s">
        <v>2584</v>
      </c>
      <c r="AG1893" s="831" t="s">
        <v>57</v>
      </c>
      <c r="AH1893" s="831" t="s">
        <v>83</v>
      </c>
      <c r="AI1893" s="831">
        <v>0</v>
      </c>
      <c r="AJ1893" s="835">
        <v>40512</v>
      </c>
      <c r="AK1893" s="831">
        <v>516557</v>
      </c>
      <c r="AP1893" s="831" t="str">
        <f t="shared" si="88"/>
        <v/>
      </c>
    </row>
    <row r="1894" spans="2:42">
      <c r="B1894" s="834" t="str">
        <f t="shared" si="87"/>
        <v>|||</v>
      </c>
      <c r="H1894" s="835">
        <f t="shared" si="89"/>
        <v>31</v>
      </c>
      <c r="AF1894" s="831" t="s">
        <v>2585</v>
      </c>
      <c r="AG1894" s="831" t="s">
        <v>57</v>
      </c>
      <c r="AH1894" s="831" t="s">
        <v>88</v>
      </c>
      <c r="AI1894" s="831">
        <v>0</v>
      </c>
      <c r="AJ1894" s="835">
        <v>40512</v>
      </c>
      <c r="AK1894" s="831">
        <v>150823</v>
      </c>
      <c r="AP1894" s="831" t="str">
        <f t="shared" si="88"/>
        <v/>
      </c>
    </row>
    <row r="1895" spans="2:42">
      <c r="B1895" s="834" t="str">
        <f t="shared" si="87"/>
        <v>|||</v>
      </c>
      <c r="H1895" s="835">
        <f t="shared" si="89"/>
        <v>31</v>
      </c>
      <c r="AF1895" s="831" t="s">
        <v>2586</v>
      </c>
      <c r="AG1895" s="831" t="s">
        <v>57</v>
      </c>
      <c r="AH1895" s="831" t="s">
        <v>92</v>
      </c>
      <c r="AI1895" s="831">
        <v>0</v>
      </c>
      <c r="AJ1895" s="835">
        <v>40512</v>
      </c>
      <c r="AK1895" s="831">
        <v>585010</v>
      </c>
      <c r="AP1895" s="831" t="str">
        <f t="shared" si="88"/>
        <v/>
      </c>
    </row>
    <row r="1896" spans="2:42">
      <c r="B1896" s="834" t="str">
        <f t="shared" si="87"/>
        <v>|||</v>
      </c>
      <c r="H1896" s="835">
        <f t="shared" si="89"/>
        <v>31</v>
      </c>
      <c r="AF1896" s="831" t="s">
        <v>2587</v>
      </c>
      <c r="AG1896" s="831" t="s">
        <v>57</v>
      </c>
      <c r="AH1896" s="831" t="s">
        <v>96</v>
      </c>
      <c r="AI1896" s="831">
        <v>0</v>
      </c>
      <c r="AJ1896" s="835">
        <v>40512</v>
      </c>
      <c r="AK1896" s="831">
        <v>1214910</v>
      </c>
      <c r="AP1896" s="831" t="str">
        <f t="shared" si="88"/>
        <v/>
      </c>
    </row>
    <row r="1897" spans="2:42">
      <c r="B1897" s="834" t="str">
        <f t="shared" si="87"/>
        <v>|||</v>
      </c>
      <c r="H1897" s="835">
        <f t="shared" si="89"/>
        <v>31</v>
      </c>
      <c r="AF1897" s="831" t="s">
        <v>2588</v>
      </c>
      <c r="AG1897" s="831" t="s">
        <v>57</v>
      </c>
      <c r="AH1897" s="831" t="s">
        <v>30</v>
      </c>
      <c r="AI1897" s="831">
        <v>0</v>
      </c>
      <c r="AJ1897" s="835">
        <v>40512</v>
      </c>
      <c r="AK1897" s="831">
        <v>1215692</v>
      </c>
      <c r="AP1897" s="831" t="str">
        <f t="shared" si="88"/>
        <v/>
      </c>
    </row>
    <row r="1898" spans="2:42">
      <c r="B1898" s="834" t="str">
        <f t="shared" si="87"/>
        <v>|||</v>
      </c>
      <c r="H1898" s="835">
        <f t="shared" si="89"/>
        <v>31</v>
      </c>
      <c r="AF1898" s="831" t="s">
        <v>2589</v>
      </c>
      <c r="AG1898" s="831" t="s">
        <v>57</v>
      </c>
      <c r="AH1898" s="831" t="s">
        <v>47</v>
      </c>
      <c r="AI1898" s="831">
        <v>0</v>
      </c>
      <c r="AJ1898" s="835">
        <v>40512</v>
      </c>
      <c r="AK1898" s="831">
        <v>0</v>
      </c>
      <c r="AP1898" s="831" t="str">
        <f t="shared" si="88"/>
        <v/>
      </c>
    </row>
    <row r="1899" spans="2:42">
      <c r="B1899" s="834" t="str">
        <f t="shared" si="87"/>
        <v>|||</v>
      </c>
      <c r="H1899" s="835">
        <f t="shared" si="89"/>
        <v>31</v>
      </c>
      <c r="AF1899" s="831" t="s">
        <v>2590</v>
      </c>
      <c r="AG1899" s="831" t="s">
        <v>57</v>
      </c>
      <c r="AH1899" s="831" t="s">
        <v>102</v>
      </c>
      <c r="AI1899" s="831">
        <v>0</v>
      </c>
      <c r="AJ1899" s="835">
        <v>40512</v>
      </c>
      <c r="AK1899" s="831">
        <v>5351</v>
      </c>
      <c r="AP1899" s="831" t="str">
        <f t="shared" si="88"/>
        <v/>
      </c>
    </row>
    <row r="1900" spans="2:42">
      <c r="B1900" s="834" t="str">
        <f t="shared" si="87"/>
        <v>|||</v>
      </c>
      <c r="H1900" s="835">
        <f t="shared" si="89"/>
        <v>31</v>
      </c>
      <c r="AF1900" s="831" t="s">
        <v>2591</v>
      </c>
      <c r="AG1900" s="831" t="s">
        <v>57</v>
      </c>
      <c r="AH1900" s="831" t="s">
        <v>68</v>
      </c>
      <c r="AI1900" s="831">
        <v>0</v>
      </c>
      <c r="AJ1900" s="835">
        <v>40543</v>
      </c>
      <c r="AK1900" s="831">
        <v>268489712.95060301</v>
      </c>
      <c r="AP1900" s="831" t="str">
        <f t="shared" si="88"/>
        <v/>
      </c>
    </row>
    <row r="1901" spans="2:42">
      <c r="B1901" s="834" t="str">
        <f t="shared" si="87"/>
        <v>|||</v>
      </c>
      <c r="H1901" s="835">
        <f t="shared" si="89"/>
        <v>31</v>
      </c>
      <c r="AF1901" s="831" t="s">
        <v>2592</v>
      </c>
      <c r="AG1901" s="831" t="s">
        <v>57</v>
      </c>
      <c r="AH1901" s="831" t="s">
        <v>73</v>
      </c>
      <c r="AI1901" s="831">
        <v>0</v>
      </c>
      <c r="AJ1901" s="835">
        <v>40543</v>
      </c>
      <c r="AK1901" s="831">
        <v>655530</v>
      </c>
      <c r="AP1901" s="831" t="str">
        <f t="shared" si="88"/>
        <v/>
      </c>
    </row>
    <row r="1902" spans="2:42">
      <c r="B1902" s="834" t="str">
        <f t="shared" si="87"/>
        <v>|||</v>
      </c>
      <c r="H1902" s="835">
        <f t="shared" si="89"/>
        <v>31</v>
      </c>
      <c r="AF1902" s="831" t="s">
        <v>2593</v>
      </c>
      <c r="AG1902" s="831" t="s">
        <v>57</v>
      </c>
      <c r="AH1902" s="831" t="s">
        <v>78</v>
      </c>
      <c r="AI1902" s="831">
        <v>0</v>
      </c>
      <c r="AJ1902" s="835">
        <v>40543</v>
      </c>
      <c r="AK1902" s="831">
        <v>2676150</v>
      </c>
      <c r="AP1902" s="831" t="str">
        <f t="shared" si="88"/>
        <v/>
      </c>
    </row>
    <row r="1903" spans="2:42">
      <c r="B1903" s="834" t="str">
        <f t="shared" si="87"/>
        <v>|||</v>
      </c>
      <c r="H1903" s="835">
        <f t="shared" si="89"/>
        <v>31</v>
      </c>
      <c r="AF1903" s="831" t="s">
        <v>2594</v>
      </c>
      <c r="AG1903" s="831" t="s">
        <v>57</v>
      </c>
      <c r="AH1903" s="831" t="s">
        <v>83</v>
      </c>
      <c r="AI1903" s="831">
        <v>0</v>
      </c>
      <c r="AJ1903" s="835">
        <v>40543</v>
      </c>
      <c r="AK1903" s="831">
        <v>318350</v>
      </c>
      <c r="AP1903" s="831" t="str">
        <f t="shared" si="88"/>
        <v/>
      </c>
    </row>
    <row r="1904" spans="2:42">
      <c r="B1904" s="834" t="str">
        <f t="shared" si="87"/>
        <v>|||</v>
      </c>
      <c r="H1904" s="835">
        <f t="shared" si="89"/>
        <v>31</v>
      </c>
      <c r="AF1904" s="831" t="s">
        <v>2595</v>
      </c>
      <c r="AG1904" s="831" t="s">
        <v>57</v>
      </c>
      <c r="AH1904" s="831" t="s">
        <v>88</v>
      </c>
      <c r="AI1904" s="831">
        <v>0</v>
      </c>
      <c r="AJ1904" s="835">
        <v>40543</v>
      </c>
      <c r="AK1904" s="831">
        <v>458980</v>
      </c>
      <c r="AP1904" s="831" t="str">
        <f t="shared" si="88"/>
        <v/>
      </c>
    </row>
    <row r="1905" spans="2:42">
      <c r="B1905" s="834" t="str">
        <f t="shared" si="87"/>
        <v>|||</v>
      </c>
      <c r="H1905" s="835">
        <f t="shared" si="89"/>
        <v>31</v>
      </c>
      <c r="AF1905" s="831" t="s">
        <v>2596</v>
      </c>
      <c r="AG1905" s="831" t="s">
        <v>57</v>
      </c>
      <c r="AH1905" s="831" t="s">
        <v>92</v>
      </c>
      <c r="AI1905" s="831">
        <v>0</v>
      </c>
      <c r="AJ1905" s="835">
        <v>40543</v>
      </c>
      <c r="AK1905" s="831">
        <v>574410</v>
      </c>
      <c r="AP1905" s="831" t="str">
        <f t="shared" si="88"/>
        <v/>
      </c>
    </row>
    <row r="1906" spans="2:42">
      <c r="B1906" s="834" t="str">
        <f t="shared" si="87"/>
        <v>|||</v>
      </c>
      <c r="H1906" s="835">
        <f t="shared" si="89"/>
        <v>31</v>
      </c>
      <c r="AF1906" s="831" t="s">
        <v>2597</v>
      </c>
      <c r="AG1906" s="831" t="s">
        <v>57</v>
      </c>
      <c r="AH1906" s="831" t="s">
        <v>96</v>
      </c>
      <c r="AI1906" s="831">
        <v>0</v>
      </c>
      <c r="AJ1906" s="835">
        <v>40543</v>
      </c>
      <c r="AK1906" s="831">
        <v>1324410</v>
      </c>
      <c r="AP1906" s="831" t="str">
        <f t="shared" si="88"/>
        <v/>
      </c>
    </row>
    <row r="1907" spans="2:42">
      <c r="B1907" s="834" t="str">
        <f t="shared" si="87"/>
        <v>|||</v>
      </c>
      <c r="H1907" s="835">
        <f t="shared" si="89"/>
        <v>31</v>
      </c>
      <c r="AF1907" s="831" t="s">
        <v>2598</v>
      </c>
      <c r="AG1907" s="831" t="s">
        <v>57</v>
      </c>
      <c r="AH1907" s="831" t="s">
        <v>30</v>
      </c>
      <c r="AI1907" s="831">
        <v>0</v>
      </c>
      <c r="AJ1907" s="835">
        <v>40543</v>
      </c>
      <c r="AK1907" s="831">
        <v>1260240</v>
      </c>
      <c r="AP1907" s="831" t="str">
        <f t="shared" si="88"/>
        <v/>
      </c>
    </row>
    <row r="1908" spans="2:42">
      <c r="B1908" s="834" t="str">
        <f t="shared" si="87"/>
        <v>|||</v>
      </c>
      <c r="H1908" s="835">
        <f t="shared" si="89"/>
        <v>31</v>
      </c>
      <c r="AF1908" s="831" t="s">
        <v>2599</v>
      </c>
      <c r="AG1908" s="831" t="s">
        <v>57</v>
      </c>
      <c r="AH1908" s="831" t="s">
        <v>47</v>
      </c>
      <c r="AI1908" s="831">
        <v>0</v>
      </c>
      <c r="AJ1908" s="835">
        <v>40543</v>
      </c>
      <c r="AK1908" s="831">
        <v>0</v>
      </c>
      <c r="AP1908" s="831" t="str">
        <f t="shared" si="88"/>
        <v/>
      </c>
    </row>
    <row r="1909" spans="2:42">
      <c r="B1909" s="834" t="str">
        <f t="shared" si="87"/>
        <v>|||</v>
      </c>
      <c r="H1909" s="835">
        <f t="shared" si="89"/>
        <v>31</v>
      </c>
      <c r="AF1909" s="831" t="s">
        <v>2600</v>
      </c>
      <c r="AG1909" s="831" t="s">
        <v>57</v>
      </c>
      <c r="AH1909" s="831" t="s">
        <v>102</v>
      </c>
      <c r="AI1909" s="831">
        <v>0</v>
      </c>
      <c r="AJ1909" s="835">
        <v>40543</v>
      </c>
      <c r="AK1909" s="831">
        <v>0</v>
      </c>
      <c r="AP1909" s="831" t="str">
        <f t="shared" si="88"/>
        <v/>
      </c>
    </row>
    <row r="1910" spans="2:42">
      <c r="B1910" s="834" t="str">
        <f t="shared" si="87"/>
        <v>|||</v>
      </c>
      <c r="H1910" s="835">
        <f t="shared" si="89"/>
        <v>31</v>
      </c>
      <c r="AF1910" s="831" t="s">
        <v>2601</v>
      </c>
      <c r="AG1910" s="831" t="s">
        <v>58</v>
      </c>
      <c r="AH1910" s="831" t="s">
        <v>69</v>
      </c>
      <c r="AI1910" s="831">
        <v>0</v>
      </c>
      <c r="AJ1910" s="835">
        <v>40209</v>
      </c>
      <c r="AK1910" s="831">
        <v>324</v>
      </c>
      <c r="AP1910" s="831" t="str">
        <f t="shared" si="88"/>
        <v/>
      </c>
    </row>
    <row r="1911" spans="2:42">
      <c r="B1911" s="834" t="str">
        <f t="shared" si="87"/>
        <v>|||</v>
      </c>
      <c r="H1911" s="835">
        <f t="shared" si="89"/>
        <v>31</v>
      </c>
      <c r="AF1911" s="831" t="s">
        <v>2602</v>
      </c>
      <c r="AG1911" s="831" t="s">
        <v>58</v>
      </c>
      <c r="AH1911" s="831" t="s">
        <v>74</v>
      </c>
      <c r="AI1911" s="831">
        <v>0</v>
      </c>
      <c r="AJ1911" s="835">
        <v>40209</v>
      </c>
      <c r="AK1911" s="831">
        <v>990</v>
      </c>
      <c r="AP1911" s="831" t="str">
        <f t="shared" si="88"/>
        <v/>
      </c>
    </row>
    <row r="1912" spans="2:42">
      <c r="B1912" s="834" t="str">
        <f t="shared" si="87"/>
        <v>|||</v>
      </c>
      <c r="H1912" s="835">
        <f t="shared" si="89"/>
        <v>31</v>
      </c>
      <c r="AF1912" s="831" t="s">
        <v>2603</v>
      </c>
      <c r="AG1912" s="831" t="s">
        <v>58</v>
      </c>
      <c r="AH1912" s="831" t="s">
        <v>79</v>
      </c>
      <c r="AI1912" s="831">
        <v>0</v>
      </c>
      <c r="AJ1912" s="835">
        <v>40209</v>
      </c>
      <c r="AK1912" s="831">
        <v>23</v>
      </c>
      <c r="AP1912" s="831" t="str">
        <f t="shared" si="88"/>
        <v/>
      </c>
    </row>
    <row r="1913" spans="2:42">
      <c r="B1913" s="834" t="str">
        <f t="shared" si="87"/>
        <v>|||</v>
      </c>
      <c r="H1913" s="835">
        <f t="shared" si="89"/>
        <v>31</v>
      </c>
      <c r="AF1913" s="831" t="s">
        <v>2604</v>
      </c>
      <c r="AG1913" s="831" t="s">
        <v>58</v>
      </c>
      <c r="AH1913" s="831" t="s">
        <v>84</v>
      </c>
      <c r="AI1913" s="831">
        <v>0</v>
      </c>
      <c r="AJ1913" s="835">
        <v>40209</v>
      </c>
      <c r="AK1913" s="831">
        <v>102704</v>
      </c>
      <c r="AP1913" s="831" t="str">
        <f t="shared" si="88"/>
        <v/>
      </c>
    </row>
    <row r="1914" spans="2:42">
      <c r="B1914" s="834" t="str">
        <f t="shared" si="87"/>
        <v>|||</v>
      </c>
      <c r="H1914" s="835">
        <f t="shared" si="89"/>
        <v>31</v>
      </c>
      <c r="AF1914" s="831" t="s">
        <v>2605</v>
      </c>
      <c r="AG1914" s="831" t="s">
        <v>58</v>
      </c>
      <c r="AH1914" s="831" t="s">
        <v>89</v>
      </c>
      <c r="AI1914" s="831">
        <v>0</v>
      </c>
      <c r="AJ1914" s="835">
        <v>40209</v>
      </c>
      <c r="AK1914" s="831">
        <v>100077</v>
      </c>
      <c r="AP1914" s="831" t="str">
        <f t="shared" si="88"/>
        <v/>
      </c>
    </row>
    <row r="1915" spans="2:42">
      <c r="B1915" s="834" t="str">
        <f t="shared" si="87"/>
        <v>|||</v>
      </c>
      <c r="H1915" s="835">
        <f t="shared" si="89"/>
        <v>31</v>
      </c>
      <c r="AF1915" s="831" t="s">
        <v>2606</v>
      </c>
      <c r="AG1915" s="831" t="s">
        <v>58</v>
      </c>
      <c r="AH1915" s="831" t="s">
        <v>93</v>
      </c>
      <c r="AI1915" s="831">
        <v>0</v>
      </c>
      <c r="AJ1915" s="835">
        <v>40209</v>
      </c>
      <c r="AK1915" s="831">
        <v>102556</v>
      </c>
      <c r="AP1915" s="831" t="str">
        <f t="shared" si="88"/>
        <v/>
      </c>
    </row>
    <row r="1916" spans="2:42">
      <c r="B1916" s="834" t="str">
        <f t="shared" si="87"/>
        <v>|||</v>
      </c>
      <c r="H1916" s="835">
        <f t="shared" si="89"/>
        <v>31</v>
      </c>
      <c r="AF1916" s="831" t="s">
        <v>2607</v>
      </c>
      <c r="AG1916" s="831" t="s">
        <v>58</v>
      </c>
      <c r="AH1916" s="831" t="s">
        <v>69</v>
      </c>
      <c r="AI1916" s="831">
        <v>0</v>
      </c>
      <c r="AJ1916" s="835">
        <v>40237</v>
      </c>
      <c r="AK1916" s="831">
        <v>335</v>
      </c>
      <c r="AP1916" s="831" t="str">
        <f t="shared" si="88"/>
        <v/>
      </c>
    </row>
    <row r="1917" spans="2:42">
      <c r="B1917" s="834" t="str">
        <f t="shared" si="87"/>
        <v>|||</v>
      </c>
      <c r="H1917" s="835">
        <f t="shared" si="89"/>
        <v>31</v>
      </c>
      <c r="AF1917" s="831" t="s">
        <v>2608</v>
      </c>
      <c r="AG1917" s="831" t="s">
        <v>58</v>
      </c>
      <c r="AH1917" s="831" t="s">
        <v>74</v>
      </c>
      <c r="AI1917" s="831">
        <v>0</v>
      </c>
      <c r="AJ1917" s="835">
        <v>40237</v>
      </c>
      <c r="AK1917" s="831">
        <v>999</v>
      </c>
      <c r="AP1917" s="831" t="str">
        <f t="shared" si="88"/>
        <v/>
      </c>
    </row>
    <row r="1918" spans="2:42">
      <c r="B1918" s="834" t="str">
        <f t="shared" si="87"/>
        <v>|||</v>
      </c>
      <c r="H1918" s="835">
        <f t="shared" si="89"/>
        <v>31</v>
      </c>
      <c r="AF1918" s="831" t="s">
        <v>2609</v>
      </c>
      <c r="AG1918" s="831" t="s">
        <v>58</v>
      </c>
      <c r="AH1918" s="831" t="s">
        <v>79</v>
      </c>
      <c r="AI1918" s="831">
        <v>0</v>
      </c>
      <c r="AJ1918" s="835">
        <v>40237</v>
      </c>
      <c r="AK1918" s="831">
        <v>23</v>
      </c>
      <c r="AP1918" s="831" t="str">
        <f t="shared" si="88"/>
        <v/>
      </c>
    </row>
    <row r="1919" spans="2:42">
      <c r="B1919" s="834" t="str">
        <f t="shared" si="87"/>
        <v>|||</v>
      </c>
      <c r="H1919" s="835">
        <f t="shared" si="89"/>
        <v>31</v>
      </c>
      <c r="AF1919" s="831" t="s">
        <v>2610</v>
      </c>
      <c r="AG1919" s="831" t="s">
        <v>58</v>
      </c>
      <c r="AH1919" s="831" t="s">
        <v>84</v>
      </c>
      <c r="AI1919" s="831">
        <v>0</v>
      </c>
      <c r="AJ1919" s="835">
        <v>40237</v>
      </c>
      <c r="AK1919" s="831">
        <v>105083</v>
      </c>
      <c r="AP1919" s="831" t="str">
        <f t="shared" si="88"/>
        <v/>
      </c>
    </row>
    <row r="1920" spans="2:42">
      <c r="B1920" s="834" t="str">
        <f t="shared" si="87"/>
        <v>|||</v>
      </c>
      <c r="H1920" s="835">
        <f t="shared" si="89"/>
        <v>31</v>
      </c>
      <c r="AF1920" s="831" t="s">
        <v>2611</v>
      </c>
      <c r="AG1920" s="831" t="s">
        <v>58</v>
      </c>
      <c r="AH1920" s="831" t="s">
        <v>89</v>
      </c>
      <c r="AI1920" s="831">
        <v>0</v>
      </c>
      <c r="AJ1920" s="835">
        <v>40237</v>
      </c>
      <c r="AK1920" s="831">
        <v>102476</v>
      </c>
      <c r="AP1920" s="831" t="str">
        <f t="shared" si="88"/>
        <v/>
      </c>
    </row>
    <row r="1921" spans="2:42">
      <c r="B1921" s="834" t="str">
        <f t="shared" si="87"/>
        <v>|||</v>
      </c>
      <c r="H1921" s="835">
        <f t="shared" si="89"/>
        <v>31</v>
      </c>
      <c r="AF1921" s="831" t="s">
        <v>2612</v>
      </c>
      <c r="AG1921" s="831" t="s">
        <v>58</v>
      </c>
      <c r="AH1921" s="831" t="s">
        <v>93</v>
      </c>
      <c r="AI1921" s="831">
        <v>0</v>
      </c>
      <c r="AJ1921" s="835">
        <v>40237</v>
      </c>
      <c r="AK1921" s="831">
        <v>107008</v>
      </c>
      <c r="AP1921" s="831" t="str">
        <f t="shared" si="88"/>
        <v/>
      </c>
    </row>
    <row r="1922" spans="2:42">
      <c r="B1922" s="834" t="str">
        <f t="shared" si="87"/>
        <v>|||</v>
      </c>
      <c r="H1922" s="835">
        <f t="shared" si="89"/>
        <v>31</v>
      </c>
      <c r="AF1922" s="831" t="s">
        <v>2613</v>
      </c>
      <c r="AG1922" s="831" t="s">
        <v>58</v>
      </c>
      <c r="AH1922" s="831" t="s">
        <v>69</v>
      </c>
      <c r="AI1922" s="831">
        <v>0</v>
      </c>
      <c r="AJ1922" s="835">
        <v>40268</v>
      </c>
      <c r="AK1922" s="831">
        <v>344</v>
      </c>
      <c r="AP1922" s="831" t="str">
        <f t="shared" si="88"/>
        <v/>
      </c>
    </row>
    <row r="1923" spans="2:42">
      <c r="B1923" s="834" t="str">
        <f t="shared" ref="B1923:B1986" si="90">C1923&amp;"|"&amp;D1923&amp;"|"&amp;E1923&amp;"|"&amp;F1923</f>
        <v>|||</v>
      </c>
      <c r="H1923" s="835">
        <f t="shared" si="89"/>
        <v>31</v>
      </c>
      <c r="AF1923" s="831" t="s">
        <v>2614</v>
      </c>
      <c r="AG1923" s="831" t="s">
        <v>58</v>
      </c>
      <c r="AH1923" s="831" t="s">
        <v>74</v>
      </c>
      <c r="AI1923" s="831">
        <v>0</v>
      </c>
      <c r="AJ1923" s="835">
        <v>40268</v>
      </c>
      <c r="AK1923" s="831">
        <v>1018</v>
      </c>
      <c r="AP1923" s="831" t="str">
        <f t="shared" ref="AP1923:AP1986" si="91">IF(AX1923&lt;&gt;"",IF(OR(AX1923=3,AX1923=4),"Equity","Debt"),"")</f>
        <v/>
      </c>
    </row>
    <row r="1924" spans="2:42">
      <c r="B1924" s="834" t="str">
        <f t="shared" si="90"/>
        <v>|||</v>
      </c>
      <c r="H1924" s="835">
        <f t="shared" ref="H1924:H1987" si="92">EOMONTH(L1924,0)</f>
        <v>31</v>
      </c>
      <c r="AF1924" s="831" t="s">
        <v>2615</v>
      </c>
      <c r="AG1924" s="831" t="s">
        <v>58</v>
      </c>
      <c r="AH1924" s="831" t="s">
        <v>79</v>
      </c>
      <c r="AI1924" s="831">
        <v>0</v>
      </c>
      <c r="AJ1924" s="835">
        <v>40268</v>
      </c>
      <c r="AK1924" s="831">
        <v>23</v>
      </c>
      <c r="AP1924" s="831" t="str">
        <f t="shared" si="91"/>
        <v/>
      </c>
    </row>
    <row r="1925" spans="2:42">
      <c r="B1925" s="834" t="str">
        <f t="shared" si="90"/>
        <v>|||</v>
      </c>
      <c r="H1925" s="835">
        <f t="shared" si="92"/>
        <v>31</v>
      </c>
      <c r="AF1925" s="831" t="s">
        <v>2616</v>
      </c>
      <c r="AG1925" s="831" t="s">
        <v>58</v>
      </c>
      <c r="AH1925" s="831" t="s">
        <v>84</v>
      </c>
      <c r="AI1925" s="831">
        <v>0</v>
      </c>
      <c r="AJ1925" s="835">
        <v>40268</v>
      </c>
      <c r="AK1925" s="831">
        <v>107817</v>
      </c>
      <c r="AP1925" s="831" t="str">
        <f t="shared" si="91"/>
        <v/>
      </c>
    </row>
    <row r="1926" spans="2:42">
      <c r="B1926" s="834" t="str">
        <f t="shared" si="90"/>
        <v>|||</v>
      </c>
      <c r="H1926" s="835">
        <f t="shared" si="92"/>
        <v>31</v>
      </c>
      <c r="AF1926" s="831" t="s">
        <v>2617</v>
      </c>
      <c r="AG1926" s="831" t="s">
        <v>58</v>
      </c>
      <c r="AH1926" s="831" t="s">
        <v>89</v>
      </c>
      <c r="AI1926" s="831">
        <v>0</v>
      </c>
      <c r="AJ1926" s="835">
        <v>40268</v>
      </c>
      <c r="AK1926" s="831">
        <v>105190</v>
      </c>
      <c r="AP1926" s="831" t="str">
        <f t="shared" si="91"/>
        <v/>
      </c>
    </row>
    <row r="1927" spans="2:42">
      <c r="B1927" s="834" t="str">
        <f t="shared" si="90"/>
        <v>|||</v>
      </c>
      <c r="H1927" s="835">
        <f t="shared" si="92"/>
        <v>31</v>
      </c>
      <c r="AF1927" s="831" t="s">
        <v>2618</v>
      </c>
      <c r="AG1927" s="831" t="s">
        <v>58</v>
      </c>
      <c r="AH1927" s="831" t="s">
        <v>93</v>
      </c>
      <c r="AI1927" s="831">
        <v>0</v>
      </c>
      <c r="AJ1927" s="835">
        <v>40268</v>
      </c>
      <c r="AK1927" s="831">
        <v>111352</v>
      </c>
      <c r="AP1927" s="831" t="str">
        <f t="shared" si="91"/>
        <v/>
      </c>
    </row>
    <row r="1928" spans="2:42">
      <c r="B1928" s="834" t="str">
        <f t="shared" si="90"/>
        <v>|||</v>
      </c>
      <c r="H1928" s="835">
        <f t="shared" si="92"/>
        <v>31</v>
      </c>
      <c r="AF1928" s="831" t="s">
        <v>2619</v>
      </c>
      <c r="AG1928" s="831" t="s">
        <v>58</v>
      </c>
      <c r="AH1928" s="831" t="s">
        <v>69</v>
      </c>
      <c r="AI1928" s="831">
        <v>0</v>
      </c>
      <c r="AJ1928" s="835">
        <v>40298</v>
      </c>
      <c r="AK1928" s="831">
        <v>349</v>
      </c>
      <c r="AP1928" s="831" t="str">
        <f t="shared" si="91"/>
        <v/>
      </c>
    </row>
    <row r="1929" spans="2:42">
      <c r="B1929" s="834" t="str">
        <f t="shared" si="90"/>
        <v>|||</v>
      </c>
      <c r="H1929" s="835">
        <f t="shared" si="92"/>
        <v>31</v>
      </c>
      <c r="AF1929" s="831" t="s">
        <v>2620</v>
      </c>
      <c r="AG1929" s="831" t="s">
        <v>58</v>
      </c>
      <c r="AH1929" s="831" t="s">
        <v>74</v>
      </c>
      <c r="AI1929" s="831">
        <v>0</v>
      </c>
      <c r="AJ1929" s="835">
        <v>40298</v>
      </c>
      <c r="AK1929" s="831">
        <v>1060</v>
      </c>
      <c r="AP1929" s="831" t="str">
        <f t="shared" si="91"/>
        <v/>
      </c>
    </row>
    <row r="1930" spans="2:42">
      <c r="B1930" s="834" t="str">
        <f t="shared" si="90"/>
        <v>|||</v>
      </c>
      <c r="H1930" s="835">
        <f t="shared" si="92"/>
        <v>31</v>
      </c>
      <c r="AF1930" s="831" t="s">
        <v>2621</v>
      </c>
      <c r="AG1930" s="831" t="s">
        <v>58</v>
      </c>
      <c r="AH1930" s="831" t="s">
        <v>79</v>
      </c>
      <c r="AI1930" s="831">
        <v>0</v>
      </c>
      <c r="AJ1930" s="835">
        <v>40298</v>
      </c>
      <c r="AK1930" s="831">
        <v>24</v>
      </c>
      <c r="AP1930" s="831" t="str">
        <f t="shared" si="91"/>
        <v/>
      </c>
    </row>
    <row r="1931" spans="2:42">
      <c r="B1931" s="834" t="str">
        <f t="shared" si="90"/>
        <v>|||</v>
      </c>
      <c r="H1931" s="835">
        <f t="shared" si="92"/>
        <v>31</v>
      </c>
      <c r="AF1931" s="831" t="s">
        <v>2622</v>
      </c>
      <c r="AG1931" s="831" t="s">
        <v>58</v>
      </c>
      <c r="AH1931" s="831" t="s">
        <v>84</v>
      </c>
      <c r="AI1931" s="831">
        <v>0</v>
      </c>
      <c r="AJ1931" s="835">
        <v>40298</v>
      </c>
      <c r="AK1931" s="831">
        <v>111845</v>
      </c>
      <c r="AP1931" s="831" t="str">
        <f t="shared" si="91"/>
        <v/>
      </c>
    </row>
    <row r="1932" spans="2:42">
      <c r="B1932" s="834" t="str">
        <f t="shared" si="90"/>
        <v>|||</v>
      </c>
      <c r="H1932" s="835">
        <f t="shared" si="92"/>
        <v>31</v>
      </c>
      <c r="AF1932" s="831" t="s">
        <v>2623</v>
      </c>
      <c r="AG1932" s="831" t="s">
        <v>58</v>
      </c>
      <c r="AH1932" s="831" t="s">
        <v>89</v>
      </c>
      <c r="AI1932" s="831">
        <v>0</v>
      </c>
      <c r="AJ1932" s="835">
        <v>40298</v>
      </c>
      <c r="AK1932" s="831">
        <v>109208</v>
      </c>
      <c r="AP1932" s="831" t="str">
        <f t="shared" si="91"/>
        <v/>
      </c>
    </row>
    <row r="1933" spans="2:42">
      <c r="B1933" s="834" t="str">
        <f t="shared" si="90"/>
        <v>|||</v>
      </c>
      <c r="H1933" s="835">
        <f t="shared" si="92"/>
        <v>31</v>
      </c>
      <c r="AF1933" s="831" t="s">
        <v>2624</v>
      </c>
      <c r="AG1933" s="831" t="s">
        <v>58</v>
      </c>
      <c r="AH1933" s="831" t="s">
        <v>93</v>
      </c>
      <c r="AI1933" s="831">
        <v>0</v>
      </c>
      <c r="AJ1933" s="835">
        <v>40298</v>
      </c>
      <c r="AK1933" s="831">
        <v>117299</v>
      </c>
      <c r="AP1933" s="831" t="str">
        <f t="shared" si="91"/>
        <v/>
      </c>
    </row>
    <row r="1934" spans="2:42">
      <c r="B1934" s="834" t="str">
        <f t="shared" si="90"/>
        <v>|||</v>
      </c>
      <c r="H1934" s="835">
        <f t="shared" si="92"/>
        <v>31</v>
      </c>
      <c r="AF1934" s="831" t="s">
        <v>2625</v>
      </c>
      <c r="AG1934" s="831" t="s">
        <v>58</v>
      </c>
      <c r="AH1934" s="831" t="s">
        <v>69</v>
      </c>
      <c r="AI1934" s="831">
        <v>0</v>
      </c>
      <c r="AJ1934" s="835">
        <v>40329</v>
      </c>
      <c r="AK1934" s="831">
        <v>353</v>
      </c>
      <c r="AP1934" s="831" t="str">
        <f t="shared" si="91"/>
        <v/>
      </c>
    </row>
    <row r="1935" spans="2:42">
      <c r="B1935" s="834" t="str">
        <f t="shared" si="90"/>
        <v>|||</v>
      </c>
      <c r="H1935" s="835">
        <f t="shared" si="92"/>
        <v>31</v>
      </c>
      <c r="AF1935" s="831" t="s">
        <v>2626</v>
      </c>
      <c r="AG1935" s="831" t="s">
        <v>58</v>
      </c>
      <c r="AH1935" s="831" t="s">
        <v>74</v>
      </c>
      <c r="AI1935" s="831">
        <v>0</v>
      </c>
      <c r="AJ1935" s="835">
        <v>40329</v>
      </c>
      <c r="AK1935" s="831">
        <v>1057</v>
      </c>
      <c r="AP1935" s="831" t="str">
        <f t="shared" si="91"/>
        <v/>
      </c>
    </row>
    <row r="1936" spans="2:42">
      <c r="B1936" s="834" t="str">
        <f t="shared" si="90"/>
        <v>|||</v>
      </c>
      <c r="H1936" s="835">
        <f t="shared" si="92"/>
        <v>31</v>
      </c>
      <c r="AF1936" s="831" t="s">
        <v>2627</v>
      </c>
      <c r="AG1936" s="831" t="s">
        <v>58</v>
      </c>
      <c r="AH1936" s="831" t="s">
        <v>79</v>
      </c>
      <c r="AI1936" s="831">
        <v>0</v>
      </c>
      <c r="AJ1936" s="835">
        <v>40329</v>
      </c>
      <c r="AK1936" s="831">
        <v>24</v>
      </c>
      <c r="AP1936" s="831" t="str">
        <f t="shared" si="91"/>
        <v/>
      </c>
    </row>
    <row r="1937" spans="2:42">
      <c r="B1937" s="834" t="str">
        <f t="shared" si="90"/>
        <v>|||</v>
      </c>
      <c r="H1937" s="835">
        <f t="shared" si="92"/>
        <v>31</v>
      </c>
      <c r="AF1937" s="831" t="s">
        <v>2628</v>
      </c>
      <c r="AG1937" s="831" t="s">
        <v>58</v>
      </c>
      <c r="AH1937" s="831" t="s">
        <v>84</v>
      </c>
      <c r="AI1937" s="831">
        <v>0</v>
      </c>
      <c r="AJ1937" s="835">
        <v>40329</v>
      </c>
      <c r="AK1937" s="831">
        <v>116101</v>
      </c>
      <c r="AP1937" s="831" t="str">
        <f t="shared" si="91"/>
        <v/>
      </c>
    </row>
    <row r="1938" spans="2:42">
      <c r="B1938" s="834" t="str">
        <f t="shared" si="90"/>
        <v>|||</v>
      </c>
      <c r="H1938" s="835">
        <f t="shared" si="92"/>
        <v>31</v>
      </c>
      <c r="AF1938" s="831" t="s">
        <v>2629</v>
      </c>
      <c r="AG1938" s="831" t="s">
        <v>58</v>
      </c>
      <c r="AH1938" s="831" t="s">
        <v>89</v>
      </c>
      <c r="AI1938" s="831">
        <v>0</v>
      </c>
      <c r="AJ1938" s="835">
        <v>40329</v>
      </c>
      <c r="AK1938" s="831">
        <v>113511</v>
      </c>
      <c r="AP1938" s="831" t="str">
        <f t="shared" si="91"/>
        <v/>
      </c>
    </row>
    <row r="1939" spans="2:42">
      <c r="B1939" s="834" t="str">
        <f t="shared" si="90"/>
        <v>|||</v>
      </c>
      <c r="H1939" s="835">
        <f t="shared" si="92"/>
        <v>31</v>
      </c>
      <c r="AF1939" s="831" t="s">
        <v>2630</v>
      </c>
      <c r="AG1939" s="831" t="s">
        <v>58</v>
      </c>
      <c r="AH1939" s="831" t="s">
        <v>93</v>
      </c>
      <c r="AI1939" s="831">
        <v>0</v>
      </c>
      <c r="AJ1939" s="835">
        <v>40329</v>
      </c>
      <c r="AK1939" s="831">
        <v>123292</v>
      </c>
      <c r="AP1939" s="831" t="str">
        <f t="shared" si="91"/>
        <v/>
      </c>
    </row>
    <row r="1940" spans="2:42">
      <c r="B1940" s="834" t="str">
        <f t="shared" si="90"/>
        <v>|||</v>
      </c>
      <c r="H1940" s="835">
        <f t="shared" si="92"/>
        <v>31</v>
      </c>
      <c r="AF1940" s="831" t="s">
        <v>2631</v>
      </c>
      <c r="AG1940" s="831" t="s">
        <v>58</v>
      </c>
      <c r="AH1940" s="831" t="s">
        <v>69</v>
      </c>
      <c r="AI1940" s="831">
        <v>0</v>
      </c>
      <c r="AJ1940" s="835">
        <v>40359</v>
      </c>
      <c r="AK1940" s="831">
        <v>354</v>
      </c>
      <c r="AP1940" s="831" t="str">
        <f t="shared" si="91"/>
        <v/>
      </c>
    </row>
    <row r="1941" spans="2:42">
      <c r="B1941" s="834" t="str">
        <f t="shared" si="90"/>
        <v>|||</v>
      </c>
      <c r="H1941" s="835">
        <f t="shared" si="92"/>
        <v>31</v>
      </c>
      <c r="AF1941" s="831" t="s">
        <v>2632</v>
      </c>
      <c r="AG1941" s="831" t="s">
        <v>58</v>
      </c>
      <c r="AH1941" s="831" t="s">
        <v>74</v>
      </c>
      <c r="AI1941" s="831">
        <v>0</v>
      </c>
      <c r="AJ1941" s="835">
        <v>40359</v>
      </c>
      <c r="AK1941" s="831">
        <v>1088</v>
      </c>
      <c r="AP1941" s="831" t="str">
        <f t="shared" si="91"/>
        <v/>
      </c>
    </row>
    <row r="1942" spans="2:42">
      <c r="B1942" s="834" t="str">
        <f t="shared" si="90"/>
        <v>|||</v>
      </c>
      <c r="H1942" s="835">
        <f t="shared" si="92"/>
        <v>31</v>
      </c>
      <c r="AF1942" s="831" t="s">
        <v>2633</v>
      </c>
      <c r="AG1942" s="831" t="s">
        <v>58</v>
      </c>
      <c r="AH1942" s="831" t="s">
        <v>79</v>
      </c>
      <c r="AI1942" s="831">
        <v>0</v>
      </c>
      <c r="AJ1942" s="835">
        <v>40359</v>
      </c>
      <c r="AK1942" s="831">
        <v>25</v>
      </c>
      <c r="AP1942" s="831" t="str">
        <f t="shared" si="91"/>
        <v/>
      </c>
    </row>
    <row r="1943" spans="2:42">
      <c r="B1943" s="834" t="str">
        <f t="shared" si="90"/>
        <v>|||</v>
      </c>
      <c r="H1943" s="835">
        <f t="shared" si="92"/>
        <v>31</v>
      </c>
      <c r="AF1943" s="831" t="s">
        <v>2634</v>
      </c>
      <c r="AG1943" s="831" t="s">
        <v>58</v>
      </c>
      <c r="AH1943" s="831" t="s">
        <v>84</v>
      </c>
      <c r="AI1943" s="831">
        <v>0</v>
      </c>
      <c r="AJ1943" s="835">
        <v>40359</v>
      </c>
      <c r="AK1943" s="831">
        <v>119942</v>
      </c>
      <c r="AP1943" s="831" t="str">
        <f t="shared" si="91"/>
        <v/>
      </c>
    </row>
    <row r="1944" spans="2:42">
      <c r="B1944" s="834" t="str">
        <f t="shared" si="90"/>
        <v>|||</v>
      </c>
      <c r="H1944" s="835">
        <f t="shared" si="92"/>
        <v>31</v>
      </c>
      <c r="AF1944" s="831" t="s">
        <v>2635</v>
      </c>
      <c r="AG1944" s="831" t="s">
        <v>58</v>
      </c>
      <c r="AH1944" s="831" t="s">
        <v>89</v>
      </c>
      <c r="AI1944" s="831">
        <v>0</v>
      </c>
      <c r="AJ1944" s="835">
        <v>40359</v>
      </c>
      <c r="AK1944" s="831">
        <v>117374</v>
      </c>
      <c r="AP1944" s="831" t="str">
        <f t="shared" si="91"/>
        <v/>
      </c>
    </row>
    <row r="1945" spans="2:42">
      <c r="B1945" s="834" t="str">
        <f t="shared" si="90"/>
        <v>|||</v>
      </c>
      <c r="H1945" s="835">
        <f t="shared" si="92"/>
        <v>31</v>
      </c>
      <c r="AF1945" s="831" t="s">
        <v>2636</v>
      </c>
      <c r="AG1945" s="831" t="s">
        <v>58</v>
      </c>
      <c r="AH1945" s="831" t="s">
        <v>93</v>
      </c>
      <c r="AI1945" s="831">
        <v>0</v>
      </c>
      <c r="AJ1945" s="835">
        <v>40359</v>
      </c>
      <c r="AK1945" s="831">
        <v>129172</v>
      </c>
      <c r="AP1945" s="831" t="str">
        <f t="shared" si="91"/>
        <v/>
      </c>
    </row>
    <row r="1946" spans="2:42">
      <c r="B1946" s="834" t="str">
        <f t="shared" si="90"/>
        <v>|||</v>
      </c>
      <c r="H1946" s="835">
        <f t="shared" si="92"/>
        <v>31</v>
      </c>
      <c r="AF1946" s="831" t="s">
        <v>2637</v>
      </c>
      <c r="AG1946" s="831" t="s">
        <v>58</v>
      </c>
      <c r="AH1946" s="831" t="s">
        <v>69</v>
      </c>
      <c r="AI1946" s="831">
        <v>0</v>
      </c>
      <c r="AJ1946" s="835">
        <v>40390</v>
      </c>
      <c r="AK1946" s="831">
        <v>366</v>
      </c>
      <c r="AP1946" s="831" t="str">
        <f t="shared" si="91"/>
        <v/>
      </c>
    </row>
    <row r="1947" spans="2:42">
      <c r="B1947" s="834" t="str">
        <f t="shared" si="90"/>
        <v>|||</v>
      </c>
      <c r="H1947" s="835">
        <f t="shared" si="92"/>
        <v>31</v>
      </c>
      <c r="AF1947" s="831" t="s">
        <v>2638</v>
      </c>
      <c r="AG1947" s="831" t="s">
        <v>58</v>
      </c>
      <c r="AH1947" s="831" t="s">
        <v>74</v>
      </c>
      <c r="AI1947" s="831">
        <v>0</v>
      </c>
      <c r="AJ1947" s="835">
        <v>40390</v>
      </c>
      <c r="AK1947" s="831">
        <v>1100</v>
      </c>
      <c r="AP1947" s="831" t="str">
        <f t="shared" si="91"/>
        <v/>
      </c>
    </row>
    <row r="1948" spans="2:42">
      <c r="B1948" s="834" t="str">
        <f t="shared" si="90"/>
        <v>|||</v>
      </c>
      <c r="H1948" s="835">
        <f t="shared" si="92"/>
        <v>31</v>
      </c>
      <c r="AF1948" s="831" t="s">
        <v>2639</v>
      </c>
      <c r="AG1948" s="831" t="s">
        <v>58</v>
      </c>
      <c r="AH1948" s="831" t="s">
        <v>79</v>
      </c>
      <c r="AI1948" s="831">
        <v>0</v>
      </c>
      <c r="AJ1948" s="835">
        <v>40390</v>
      </c>
      <c r="AK1948" s="831">
        <v>26</v>
      </c>
      <c r="AP1948" s="831" t="str">
        <f t="shared" si="91"/>
        <v/>
      </c>
    </row>
    <row r="1949" spans="2:42">
      <c r="B1949" s="834" t="str">
        <f t="shared" si="90"/>
        <v>|||</v>
      </c>
      <c r="H1949" s="835">
        <f t="shared" si="92"/>
        <v>31</v>
      </c>
      <c r="AF1949" s="831" t="s">
        <v>2640</v>
      </c>
      <c r="AG1949" s="831" t="s">
        <v>58</v>
      </c>
      <c r="AH1949" s="831" t="s">
        <v>84</v>
      </c>
      <c r="AI1949" s="831">
        <v>0</v>
      </c>
      <c r="AJ1949" s="835">
        <v>40390</v>
      </c>
      <c r="AK1949" s="831">
        <v>121288</v>
      </c>
      <c r="AP1949" s="831" t="str">
        <f t="shared" si="91"/>
        <v/>
      </c>
    </row>
    <row r="1950" spans="2:42">
      <c r="B1950" s="834" t="str">
        <f t="shared" si="90"/>
        <v>|||</v>
      </c>
      <c r="H1950" s="835">
        <f t="shared" si="92"/>
        <v>31</v>
      </c>
      <c r="AF1950" s="831" t="s">
        <v>2641</v>
      </c>
      <c r="AG1950" s="831" t="s">
        <v>58</v>
      </c>
      <c r="AH1950" s="831" t="s">
        <v>89</v>
      </c>
      <c r="AI1950" s="831">
        <v>0</v>
      </c>
      <c r="AJ1950" s="835">
        <v>40390</v>
      </c>
      <c r="AK1950" s="831">
        <v>118751</v>
      </c>
      <c r="AP1950" s="831" t="str">
        <f t="shared" si="91"/>
        <v/>
      </c>
    </row>
    <row r="1951" spans="2:42">
      <c r="B1951" s="834" t="str">
        <f t="shared" si="90"/>
        <v>|||</v>
      </c>
      <c r="H1951" s="835">
        <f t="shared" si="92"/>
        <v>31</v>
      </c>
      <c r="AF1951" s="831" t="s">
        <v>2642</v>
      </c>
      <c r="AG1951" s="831" t="s">
        <v>58</v>
      </c>
      <c r="AH1951" s="831" t="s">
        <v>93</v>
      </c>
      <c r="AI1951" s="831">
        <v>0</v>
      </c>
      <c r="AJ1951" s="835">
        <v>40390</v>
      </c>
      <c r="AK1951" s="831">
        <v>134255</v>
      </c>
      <c r="AP1951" s="831" t="str">
        <f t="shared" si="91"/>
        <v/>
      </c>
    </row>
    <row r="1952" spans="2:42">
      <c r="B1952" s="834" t="str">
        <f t="shared" si="90"/>
        <v>|||</v>
      </c>
      <c r="H1952" s="835">
        <f t="shared" si="92"/>
        <v>31</v>
      </c>
      <c r="AF1952" s="831" t="s">
        <v>2643</v>
      </c>
      <c r="AG1952" s="831" t="s">
        <v>58</v>
      </c>
      <c r="AH1952" s="831" t="s">
        <v>69</v>
      </c>
      <c r="AI1952" s="831">
        <v>0</v>
      </c>
      <c r="AJ1952" s="835">
        <v>40421</v>
      </c>
      <c r="AK1952" s="831">
        <v>362</v>
      </c>
      <c r="AP1952" s="831" t="str">
        <f t="shared" si="91"/>
        <v/>
      </c>
    </row>
    <row r="1953" spans="2:42">
      <c r="B1953" s="834" t="str">
        <f t="shared" si="90"/>
        <v>|||</v>
      </c>
      <c r="H1953" s="835">
        <f t="shared" si="92"/>
        <v>31</v>
      </c>
      <c r="AF1953" s="831" t="s">
        <v>2644</v>
      </c>
      <c r="AG1953" s="831" t="s">
        <v>58</v>
      </c>
      <c r="AH1953" s="831" t="s">
        <v>74</v>
      </c>
      <c r="AI1953" s="831">
        <v>0</v>
      </c>
      <c r="AJ1953" s="835">
        <v>40421</v>
      </c>
      <c r="AK1953" s="831">
        <v>1128</v>
      </c>
      <c r="AP1953" s="831" t="str">
        <f t="shared" si="91"/>
        <v/>
      </c>
    </row>
    <row r="1954" spans="2:42">
      <c r="B1954" s="834" t="str">
        <f t="shared" si="90"/>
        <v>|||</v>
      </c>
      <c r="H1954" s="835">
        <f t="shared" si="92"/>
        <v>31</v>
      </c>
      <c r="AF1954" s="831" t="s">
        <v>2645</v>
      </c>
      <c r="AG1954" s="831" t="s">
        <v>58</v>
      </c>
      <c r="AH1954" s="831" t="s">
        <v>79</v>
      </c>
      <c r="AI1954" s="831">
        <v>0</v>
      </c>
      <c r="AJ1954" s="835">
        <v>40421</v>
      </c>
      <c r="AK1954" s="831">
        <v>27</v>
      </c>
      <c r="AP1954" s="831" t="str">
        <f t="shared" si="91"/>
        <v/>
      </c>
    </row>
    <row r="1955" spans="2:42">
      <c r="B1955" s="834" t="str">
        <f t="shared" si="90"/>
        <v>|||</v>
      </c>
      <c r="H1955" s="835">
        <f t="shared" si="92"/>
        <v>31</v>
      </c>
      <c r="AF1955" s="831" t="s">
        <v>2646</v>
      </c>
      <c r="AG1955" s="831" t="s">
        <v>58</v>
      </c>
      <c r="AH1955" s="831" t="s">
        <v>84</v>
      </c>
      <c r="AI1955" s="831">
        <v>0</v>
      </c>
      <c r="AJ1955" s="835">
        <v>40421</v>
      </c>
      <c r="AK1955" s="831">
        <v>122772</v>
      </c>
      <c r="AP1955" s="831" t="str">
        <f t="shared" si="91"/>
        <v/>
      </c>
    </row>
    <row r="1956" spans="2:42">
      <c r="B1956" s="834" t="str">
        <f t="shared" si="90"/>
        <v>|||</v>
      </c>
      <c r="H1956" s="835">
        <f t="shared" si="92"/>
        <v>31</v>
      </c>
      <c r="AF1956" s="831" t="s">
        <v>2647</v>
      </c>
      <c r="AG1956" s="831" t="s">
        <v>58</v>
      </c>
      <c r="AH1956" s="831" t="s">
        <v>89</v>
      </c>
      <c r="AI1956" s="831">
        <v>0</v>
      </c>
      <c r="AJ1956" s="835">
        <v>40421</v>
      </c>
      <c r="AK1956" s="831">
        <v>120298</v>
      </c>
      <c r="AP1956" s="831" t="str">
        <f t="shared" si="91"/>
        <v/>
      </c>
    </row>
    <row r="1957" spans="2:42">
      <c r="B1957" s="834" t="str">
        <f t="shared" si="90"/>
        <v>|||</v>
      </c>
      <c r="H1957" s="835">
        <f t="shared" si="92"/>
        <v>31</v>
      </c>
      <c r="AF1957" s="831" t="s">
        <v>2648</v>
      </c>
      <c r="AG1957" s="831" t="s">
        <v>58</v>
      </c>
      <c r="AH1957" s="831" t="s">
        <v>93</v>
      </c>
      <c r="AI1957" s="831">
        <v>0</v>
      </c>
      <c r="AJ1957" s="835">
        <v>40421</v>
      </c>
      <c r="AK1957" s="831">
        <v>139957</v>
      </c>
      <c r="AP1957" s="831" t="str">
        <f t="shared" si="91"/>
        <v/>
      </c>
    </row>
    <row r="1958" spans="2:42">
      <c r="B1958" s="834" t="str">
        <f t="shared" si="90"/>
        <v>|||</v>
      </c>
      <c r="H1958" s="835">
        <f t="shared" si="92"/>
        <v>31</v>
      </c>
      <c r="AF1958" s="831" t="s">
        <v>2649</v>
      </c>
      <c r="AG1958" s="831" t="s">
        <v>58</v>
      </c>
      <c r="AH1958" s="831" t="s">
        <v>69</v>
      </c>
      <c r="AI1958" s="831">
        <v>0</v>
      </c>
      <c r="AJ1958" s="835">
        <v>40451</v>
      </c>
      <c r="AK1958" s="831">
        <v>380</v>
      </c>
      <c r="AP1958" s="831" t="str">
        <f t="shared" si="91"/>
        <v/>
      </c>
    </row>
    <row r="1959" spans="2:42">
      <c r="B1959" s="834" t="str">
        <f t="shared" si="90"/>
        <v>|||</v>
      </c>
      <c r="H1959" s="835">
        <f t="shared" si="92"/>
        <v>31</v>
      </c>
      <c r="AF1959" s="831" t="s">
        <v>2650</v>
      </c>
      <c r="AG1959" s="831" t="s">
        <v>58</v>
      </c>
      <c r="AH1959" s="831" t="s">
        <v>74</v>
      </c>
      <c r="AI1959" s="831">
        <v>0</v>
      </c>
      <c r="AJ1959" s="835">
        <v>40451</v>
      </c>
      <c r="AK1959" s="831">
        <v>1151</v>
      </c>
      <c r="AP1959" s="831" t="str">
        <f t="shared" si="91"/>
        <v/>
      </c>
    </row>
    <row r="1960" spans="2:42">
      <c r="B1960" s="834" t="str">
        <f t="shared" si="90"/>
        <v>|||</v>
      </c>
      <c r="H1960" s="835">
        <f t="shared" si="92"/>
        <v>31</v>
      </c>
      <c r="AF1960" s="831" t="s">
        <v>2651</v>
      </c>
      <c r="AG1960" s="831" t="s">
        <v>58</v>
      </c>
      <c r="AH1960" s="831" t="s">
        <v>79</v>
      </c>
      <c r="AI1960" s="831">
        <v>0</v>
      </c>
      <c r="AJ1960" s="835">
        <v>40451</v>
      </c>
      <c r="AK1960" s="831">
        <v>28</v>
      </c>
      <c r="AP1960" s="831" t="str">
        <f t="shared" si="91"/>
        <v/>
      </c>
    </row>
    <row r="1961" spans="2:42">
      <c r="B1961" s="834" t="str">
        <f t="shared" si="90"/>
        <v>|||</v>
      </c>
      <c r="H1961" s="835">
        <f t="shared" si="92"/>
        <v>31</v>
      </c>
      <c r="AF1961" s="831" t="s">
        <v>2652</v>
      </c>
      <c r="AG1961" s="831" t="s">
        <v>58</v>
      </c>
      <c r="AH1961" s="831" t="s">
        <v>84</v>
      </c>
      <c r="AI1961" s="831">
        <v>0</v>
      </c>
      <c r="AJ1961" s="835">
        <v>40451</v>
      </c>
      <c r="AK1961" s="831">
        <v>123869</v>
      </c>
      <c r="AP1961" s="831" t="str">
        <f t="shared" si="91"/>
        <v/>
      </c>
    </row>
    <row r="1962" spans="2:42">
      <c r="B1962" s="834" t="str">
        <f t="shared" si="90"/>
        <v>|||</v>
      </c>
      <c r="H1962" s="835">
        <f t="shared" si="92"/>
        <v>31</v>
      </c>
      <c r="AF1962" s="831" t="s">
        <v>2653</v>
      </c>
      <c r="AG1962" s="831" t="s">
        <v>58</v>
      </c>
      <c r="AH1962" s="831" t="s">
        <v>89</v>
      </c>
      <c r="AI1962" s="831">
        <v>0</v>
      </c>
      <c r="AJ1962" s="835">
        <v>40451</v>
      </c>
      <c r="AK1962" s="831">
        <v>121414</v>
      </c>
      <c r="AP1962" s="831" t="str">
        <f t="shared" si="91"/>
        <v/>
      </c>
    </row>
    <row r="1963" spans="2:42">
      <c r="B1963" s="834" t="str">
        <f t="shared" si="90"/>
        <v>|||</v>
      </c>
      <c r="H1963" s="835">
        <f t="shared" si="92"/>
        <v>31</v>
      </c>
      <c r="AF1963" s="831" t="s">
        <v>2654</v>
      </c>
      <c r="AG1963" s="831" t="s">
        <v>58</v>
      </c>
      <c r="AH1963" s="831" t="s">
        <v>93</v>
      </c>
      <c r="AI1963" s="831">
        <v>0</v>
      </c>
      <c r="AJ1963" s="835">
        <v>40451</v>
      </c>
      <c r="AK1963" s="831">
        <v>144825</v>
      </c>
      <c r="AP1963" s="831" t="str">
        <f t="shared" si="91"/>
        <v/>
      </c>
    </row>
    <row r="1964" spans="2:42">
      <c r="B1964" s="834" t="str">
        <f t="shared" si="90"/>
        <v>|||</v>
      </c>
      <c r="H1964" s="835">
        <f t="shared" si="92"/>
        <v>31</v>
      </c>
      <c r="AF1964" s="831" t="s">
        <v>2655</v>
      </c>
      <c r="AG1964" s="831" t="s">
        <v>58</v>
      </c>
      <c r="AH1964" s="831" t="s">
        <v>69</v>
      </c>
      <c r="AI1964" s="831">
        <v>0</v>
      </c>
      <c r="AJ1964" s="835">
        <v>40482</v>
      </c>
      <c r="AK1964" s="831">
        <v>383</v>
      </c>
      <c r="AP1964" s="831" t="str">
        <f t="shared" si="91"/>
        <v/>
      </c>
    </row>
    <row r="1965" spans="2:42">
      <c r="B1965" s="834" t="str">
        <f t="shared" si="90"/>
        <v>|||</v>
      </c>
      <c r="H1965" s="835">
        <f t="shared" si="92"/>
        <v>31</v>
      </c>
      <c r="AF1965" s="831" t="s">
        <v>2656</v>
      </c>
      <c r="AG1965" s="831" t="s">
        <v>58</v>
      </c>
      <c r="AH1965" s="831" t="s">
        <v>74</v>
      </c>
      <c r="AI1965" s="831">
        <v>0</v>
      </c>
      <c r="AJ1965" s="835">
        <v>40482</v>
      </c>
      <c r="AK1965" s="831">
        <v>1161</v>
      </c>
      <c r="AP1965" s="831" t="str">
        <f t="shared" si="91"/>
        <v/>
      </c>
    </row>
    <row r="1966" spans="2:42">
      <c r="B1966" s="834" t="str">
        <f t="shared" si="90"/>
        <v>|||</v>
      </c>
      <c r="H1966" s="835">
        <f t="shared" si="92"/>
        <v>31</v>
      </c>
      <c r="AF1966" s="831" t="s">
        <v>2657</v>
      </c>
      <c r="AG1966" s="831" t="s">
        <v>58</v>
      </c>
      <c r="AH1966" s="831" t="s">
        <v>79</v>
      </c>
      <c r="AI1966" s="831">
        <v>0</v>
      </c>
      <c r="AJ1966" s="835">
        <v>40482</v>
      </c>
      <c r="AK1966" s="831">
        <v>28</v>
      </c>
      <c r="AP1966" s="831" t="str">
        <f t="shared" si="91"/>
        <v/>
      </c>
    </row>
    <row r="1967" spans="2:42">
      <c r="B1967" s="834" t="str">
        <f t="shared" si="90"/>
        <v>|||</v>
      </c>
      <c r="H1967" s="835">
        <f t="shared" si="92"/>
        <v>31</v>
      </c>
      <c r="AF1967" s="831" t="s">
        <v>2658</v>
      </c>
      <c r="AG1967" s="831" t="s">
        <v>58</v>
      </c>
      <c r="AH1967" s="831" t="s">
        <v>84</v>
      </c>
      <c r="AI1967" s="831">
        <v>0</v>
      </c>
      <c r="AJ1967" s="835">
        <v>40482</v>
      </c>
      <c r="AK1967" s="831">
        <v>123656</v>
      </c>
      <c r="AP1967" s="831" t="str">
        <f t="shared" si="91"/>
        <v/>
      </c>
    </row>
    <row r="1968" spans="2:42">
      <c r="B1968" s="834" t="str">
        <f t="shared" si="90"/>
        <v>|||</v>
      </c>
      <c r="H1968" s="835">
        <f t="shared" si="92"/>
        <v>31</v>
      </c>
      <c r="AF1968" s="831" t="s">
        <v>2659</v>
      </c>
      <c r="AG1968" s="831" t="s">
        <v>58</v>
      </c>
      <c r="AH1968" s="831" t="s">
        <v>89</v>
      </c>
      <c r="AI1968" s="831">
        <v>0</v>
      </c>
      <c r="AJ1968" s="835">
        <v>40482</v>
      </c>
      <c r="AK1968" s="831">
        <v>121315</v>
      </c>
      <c r="AP1968" s="831" t="str">
        <f t="shared" si="91"/>
        <v/>
      </c>
    </row>
    <row r="1969" spans="2:42">
      <c r="B1969" s="834" t="str">
        <f t="shared" si="90"/>
        <v>|||</v>
      </c>
      <c r="H1969" s="835">
        <f t="shared" si="92"/>
        <v>31</v>
      </c>
      <c r="AF1969" s="831" t="s">
        <v>2660</v>
      </c>
      <c r="AG1969" s="831" t="s">
        <v>58</v>
      </c>
      <c r="AH1969" s="831" t="s">
        <v>93</v>
      </c>
      <c r="AI1969" s="831">
        <v>0</v>
      </c>
      <c r="AJ1969" s="835">
        <v>40482</v>
      </c>
      <c r="AK1969" s="831">
        <v>148781</v>
      </c>
      <c r="AP1969" s="831" t="str">
        <f t="shared" si="91"/>
        <v/>
      </c>
    </row>
    <row r="1970" spans="2:42">
      <c r="B1970" s="834" t="str">
        <f t="shared" si="90"/>
        <v>|||</v>
      </c>
      <c r="H1970" s="835">
        <f t="shared" si="92"/>
        <v>31</v>
      </c>
      <c r="AF1970" s="831" t="s">
        <v>2661</v>
      </c>
      <c r="AG1970" s="831" t="s">
        <v>58</v>
      </c>
      <c r="AH1970" s="831" t="s">
        <v>69</v>
      </c>
      <c r="AI1970" s="831">
        <v>0</v>
      </c>
      <c r="AJ1970" s="835">
        <v>40512</v>
      </c>
      <c r="AK1970" s="831">
        <v>386</v>
      </c>
      <c r="AP1970" s="831" t="str">
        <f t="shared" si="91"/>
        <v/>
      </c>
    </row>
    <row r="1971" spans="2:42">
      <c r="B1971" s="834" t="str">
        <f t="shared" si="90"/>
        <v>|||</v>
      </c>
      <c r="H1971" s="835">
        <f t="shared" si="92"/>
        <v>31</v>
      </c>
      <c r="AF1971" s="831" t="s">
        <v>2662</v>
      </c>
      <c r="AG1971" s="831" t="s">
        <v>58</v>
      </c>
      <c r="AH1971" s="831" t="s">
        <v>74</v>
      </c>
      <c r="AI1971" s="831">
        <v>0</v>
      </c>
      <c r="AJ1971" s="835">
        <v>40512</v>
      </c>
      <c r="AK1971" s="831">
        <v>1171</v>
      </c>
      <c r="AP1971" s="831" t="str">
        <f t="shared" si="91"/>
        <v/>
      </c>
    </row>
    <row r="1972" spans="2:42">
      <c r="B1972" s="834" t="str">
        <f t="shared" si="90"/>
        <v>|||</v>
      </c>
      <c r="H1972" s="835">
        <f t="shared" si="92"/>
        <v>31</v>
      </c>
      <c r="AF1972" s="831" t="s">
        <v>2663</v>
      </c>
      <c r="AG1972" s="831" t="s">
        <v>58</v>
      </c>
      <c r="AH1972" s="831" t="s">
        <v>79</v>
      </c>
      <c r="AI1972" s="831">
        <v>0</v>
      </c>
      <c r="AJ1972" s="835">
        <v>40512</v>
      </c>
      <c r="AK1972" s="831">
        <v>28</v>
      </c>
      <c r="AP1972" s="831" t="str">
        <f t="shared" si="91"/>
        <v/>
      </c>
    </row>
    <row r="1973" spans="2:42">
      <c r="B1973" s="834" t="str">
        <f t="shared" si="90"/>
        <v>|||</v>
      </c>
      <c r="H1973" s="835">
        <f t="shared" si="92"/>
        <v>31</v>
      </c>
      <c r="AF1973" s="831" t="s">
        <v>2664</v>
      </c>
      <c r="AG1973" s="831" t="s">
        <v>58</v>
      </c>
      <c r="AH1973" s="831" t="s">
        <v>84</v>
      </c>
      <c r="AI1973" s="831">
        <v>0</v>
      </c>
      <c r="AJ1973" s="835">
        <v>40512</v>
      </c>
      <c r="AK1973" s="831">
        <v>123548</v>
      </c>
      <c r="AP1973" s="831" t="str">
        <f t="shared" si="91"/>
        <v/>
      </c>
    </row>
    <row r="1974" spans="2:42">
      <c r="B1974" s="834" t="str">
        <f t="shared" si="90"/>
        <v>|||</v>
      </c>
      <c r="H1974" s="835">
        <f t="shared" si="92"/>
        <v>31</v>
      </c>
      <c r="AF1974" s="831" t="s">
        <v>2665</v>
      </c>
      <c r="AG1974" s="831" t="s">
        <v>58</v>
      </c>
      <c r="AH1974" s="831" t="s">
        <v>89</v>
      </c>
      <c r="AI1974" s="831">
        <v>0</v>
      </c>
      <c r="AJ1974" s="835">
        <v>40512</v>
      </c>
      <c r="AK1974" s="831">
        <v>121310</v>
      </c>
      <c r="AP1974" s="831" t="str">
        <f t="shared" si="91"/>
        <v/>
      </c>
    </row>
    <row r="1975" spans="2:42">
      <c r="B1975" s="834" t="str">
        <f t="shared" si="90"/>
        <v>|||</v>
      </c>
      <c r="H1975" s="835">
        <f t="shared" si="92"/>
        <v>31</v>
      </c>
      <c r="AF1975" s="831" t="s">
        <v>2666</v>
      </c>
      <c r="AG1975" s="831" t="s">
        <v>58</v>
      </c>
      <c r="AH1975" s="831" t="s">
        <v>93</v>
      </c>
      <c r="AI1975" s="831">
        <v>0</v>
      </c>
      <c r="AJ1975" s="835">
        <v>40512</v>
      </c>
      <c r="AK1975" s="831">
        <v>151823</v>
      </c>
      <c r="AP1975" s="831" t="str">
        <f t="shared" si="91"/>
        <v/>
      </c>
    </row>
    <row r="1976" spans="2:42">
      <c r="B1976" s="834" t="str">
        <f t="shared" si="90"/>
        <v>|||</v>
      </c>
      <c r="H1976" s="835">
        <f t="shared" si="92"/>
        <v>31</v>
      </c>
      <c r="AF1976" s="831" t="s">
        <v>2667</v>
      </c>
      <c r="AG1976" s="831" t="s">
        <v>58</v>
      </c>
      <c r="AH1976" s="831" t="s">
        <v>69</v>
      </c>
      <c r="AI1976" s="831">
        <v>0</v>
      </c>
      <c r="AJ1976" s="835">
        <v>40543</v>
      </c>
      <c r="AK1976" s="831">
        <v>395</v>
      </c>
      <c r="AP1976" s="831" t="str">
        <f t="shared" si="91"/>
        <v/>
      </c>
    </row>
    <row r="1977" spans="2:42">
      <c r="B1977" s="834" t="str">
        <f t="shared" si="90"/>
        <v>|||</v>
      </c>
      <c r="H1977" s="835">
        <f t="shared" si="92"/>
        <v>31</v>
      </c>
      <c r="AF1977" s="831" t="s">
        <v>2668</v>
      </c>
      <c r="AG1977" s="831" t="s">
        <v>58</v>
      </c>
      <c r="AH1977" s="831" t="s">
        <v>74</v>
      </c>
      <c r="AI1977" s="831">
        <v>0</v>
      </c>
      <c r="AJ1977" s="835">
        <v>40543</v>
      </c>
      <c r="AK1977" s="831">
        <v>1207</v>
      </c>
      <c r="AP1977" s="831" t="str">
        <f t="shared" si="91"/>
        <v/>
      </c>
    </row>
    <row r="1978" spans="2:42">
      <c r="B1978" s="834" t="str">
        <f t="shared" si="90"/>
        <v>|||</v>
      </c>
      <c r="H1978" s="835">
        <f t="shared" si="92"/>
        <v>31</v>
      </c>
      <c r="AF1978" s="831" t="s">
        <v>2669</v>
      </c>
      <c r="AG1978" s="831" t="s">
        <v>58</v>
      </c>
      <c r="AH1978" s="831" t="s">
        <v>79</v>
      </c>
      <c r="AI1978" s="831">
        <v>0</v>
      </c>
      <c r="AJ1978" s="835">
        <v>40543</v>
      </c>
      <c r="AK1978" s="831">
        <v>28</v>
      </c>
      <c r="AP1978" s="831" t="str">
        <f t="shared" si="91"/>
        <v/>
      </c>
    </row>
    <row r="1979" spans="2:42">
      <c r="B1979" s="834" t="str">
        <f t="shared" si="90"/>
        <v>|||</v>
      </c>
      <c r="H1979" s="835">
        <f t="shared" si="92"/>
        <v>31</v>
      </c>
      <c r="AF1979" s="831" t="s">
        <v>2670</v>
      </c>
      <c r="AG1979" s="831" t="s">
        <v>58</v>
      </c>
      <c r="AH1979" s="831" t="s">
        <v>84</v>
      </c>
      <c r="AI1979" s="831">
        <v>0</v>
      </c>
      <c r="AJ1979" s="835">
        <v>40543</v>
      </c>
      <c r="AK1979" s="831">
        <v>122519</v>
      </c>
      <c r="AP1979" s="831" t="str">
        <f t="shared" si="91"/>
        <v/>
      </c>
    </row>
    <row r="1980" spans="2:42">
      <c r="B1980" s="834" t="str">
        <f t="shared" si="90"/>
        <v>|||</v>
      </c>
      <c r="H1980" s="835">
        <f t="shared" si="92"/>
        <v>31</v>
      </c>
      <c r="AF1980" s="831" t="s">
        <v>2671</v>
      </c>
      <c r="AG1980" s="831" t="s">
        <v>58</v>
      </c>
      <c r="AH1980" s="831" t="s">
        <v>89</v>
      </c>
      <c r="AI1980" s="831">
        <v>0</v>
      </c>
      <c r="AJ1980" s="835">
        <v>40543</v>
      </c>
      <c r="AK1980" s="831">
        <v>120406</v>
      </c>
      <c r="AP1980" s="831" t="str">
        <f t="shared" si="91"/>
        <v/>
      </c>
    </row>
    <row r="1981" spans="2:42">
      <c r="B1981" s="834" t="str">
        <f t="shared" si="90"/>
        <v>|||</v>
      </c>
      <c r="H1981" s="835">
        <f t="shared" si="92"/>
        <v>31</v>
      </c>
      <c r="AF1981" s="831" t="s">
        <v>2672</v>
      </c>
      <c r="AG1981" s="831" t="s">
        <v>58</v>
      </c>
      <c r="AH1981" s="831" t="s">
        <v>93</v>
      </c>
      <c r="AI1981" s="831">
        <v>0</v>
      </c>
      <c r="AJ1981" s="835">
        <v>40543</v>
      </c>
      <c r="AK1981" s="831">
        <v>154631</v>
      </c>
      <c r="AP1981" s="831" t="str">
        <f t="shared" si="91"/>
        <v/>
      </c>
    </row>
    <row r="1982" spans="2:42">
      <c r="B1982" s="834" t="str">
        <f t="shared" si="90"/>
        <v>|||</v>
      </c>
      <c r="H1982" s="835">
        <f t="shared" si="92"/>
        <v>31</v>
      </c>
      <c r="AF1982" s="831" t="s">
        <v>2673</v>
      </c>
      <c r="AG1982" s="831" t="s">
        <v>2674</v>
      </c>
      <c r="AH1982" s="831" t="s">
        <v>546</v>
      </c>
      <c r="AI1982" s="831">
        <v>0</v>
      </c>
      <c r="AJ1982" s="835">
        <v>39599</v>
      </c>
      <c r="AK1982" s="831">
        <v>139803736</v>
      </c>
      <c r="AP1982" s="831" t="str">
        <f t="shared" si="91"/>
        <v/>
      </c>
    </row>
    <row r="1983" spans="2:42">
      <c r="B1983" s="834" t="str">
        <f t="shared" si="90"/>
        <v>|||</v>
      </c>
      <c r="H1983" s="835">
        <f t="shared" si="92"/>
        <v>31</v>
      </c>
      <c r="AF1983" s="831" t="s">
        <v>2675</v>
      </c>
      <c r="AG1983" s="831" t="s">
        <v>2674</v>
      </c>
      <c r="AH1983" s="831" t="s">
        <v>370</v>
      </c>
      <c r="AI1983" s="831">
        <v>0</v>
      </c>
      <c r="AJ1983" s="835">
        <v>39599</v>
      </c>
      <c r="AK1983" s="831">
        <v>151001586</v>
      </c>
      <c r="AP1983" s="831" t="str">
        <f t="shared" si="91"/>
        <v/>
      </c>
    </row>
    <row r="1984" spans="2:42">
      <c r="B1984" s="834" t="str">
        <f t="shared" si="90"/>
        <v>|||</v>
      </c>
      <c r="H1984" s="835">
        <f t="shared" si="92"/>
        <v>31</v>
      </c>
      <c r="AF1984" s="831" t="s">
        <v>2676</v>
      </c>
      <c r="AG1984" s="831" t="s">
        <v>2674</v>
      </c>
      <c r="AH1984" s="831" t="s">
        <v>126</v>
      </c>
      <c r="AI1984" s="831">
        <v>0</v>
      </c>
      <c r="AJ1984" s="835">
        <v>39599</v>
      </c>
      <c r="AK1984" s="831">
        <v>17056188</v>
      </c>
      <c r="AP1984" s="831" t="str">
        <f t="shared" si="91"/>
        <v/>
      </c>
    </row>
    <row r="1985" spans="2:42">
      <c r="B1985" s="834" t="str">
        <f t="shared" si="90"/>
        <v>|||</v>
      </c>
      <c r="H1985" s="835">
        <f t="shared" si="92"/>
        <v>31</v>
      </c>
      <c r="AF1985" s="831" t="s">
        <v>2677</v>
      </c>
      <c r="AG1985" s="831" t="s">
        <v>2674</v>
      </c>
      <c r="AH1985" s="831" t="s">
        <v>268</v>
      </c>
      <c r="AI1985" s="831">
        <v>0</v>
      </c>
      <c r="AJ1985" s="835">
        <v>39599</v>
      </c>
      <c r="AK1985" s="831">
        <v>3212266</v>
      </c>
      <c r="AP1985" s="831" t="str">
        <f t="shared" si="91"/>
        <v/>
      </c>
    </row>
    <row r="1986" spans="2:42">
      <c r="B1986" s="834" t="str">
        <f t="shared" si="90"/>
        <v>|||</v>
      </c>
      <c r="H1986" s="835">
        <f t="shared" si="92"/>
        <v>31</v>
      </c>
      <c r="AF1986" s="831" t="s">
        <v>2678</v>
      </c>
      <c r="AG1986" s="831" t="s">
        <v>2674</v>
      </c>
      <c r="AH1986" s="831" t="s">
        <v>547</v>
      </c>
      <c r="AI1986" s="831">
        <v>0</v>
      </c>
      <c r="AJ1986" s="835">
        <v>39599</v>
      </c>
      <c r="AK1986" s="831">
        <v>0</v>
      </c>
      <c r="AP1986" s="831" t="str">
        <f t="shared" si="91"/>
        <v/>
      </c>
    </row>
    <row r="1987" spans="2:42">
      <c r="B1987" s="834" t="str">
        <f t="shared" ref="B1987:B2050" si="93">C1987&amp;"|"&amp;D1987&amp;"|"&amp;E1987&amp;"|"&amp;F1987</f>
        <v>|||</v>
      </c>
      <c r="H1987" s="835">
        <f t="shared" si="92"/>
        <v>31</v>
      </c>
      <c r="AF1987" s="831" t="s">
        <v>2679</v>
      </c>
      <c r="AG1987" s="831" t="s">
        <v>2674</v>
      </c>
      <c r="AH1987" s="831" t="s">
        <v>548</v>
      </c>
      <c r="AI1987" s="831">
        <v>0</v>
      </c>
      <c r="AJ1987" s="835">
        <v>39599</v>
      </c>
      <c r="AK1987" s="831">
        <v>0</v>
      </c>
      <c r="AP1987" s="831" t="str">
        <f t="shared" ref="AP1987:AP2050" si="94">IF(AX1987&lt;&gt;"",IF(OR(AX1987=3,AX1987=4),"Equity","Debt"),"")</f>
        <v/>
      </c>
    </row>
    <row r="1988" spans="2:42">
      <c r="B1988" s="834" t="str">
        <f t="shared" si="93"/>
        <v>|||</v>
      </c>
      <c r="H1988" s="835">
        <f t="shared" ref="H1988:H2051" si="95">EOMONTH(L1988,0)</f>
        <v>31</v>
      </c>
      <c r="AF1988" s="831" t="s">
        <v>2680</v>
      </c>
      <c r="AG1988" s="831" t="s">
        <v>2674</v>
      </c>
      <c r="AH1988" s="831" t="s">
        <v>549</v>
      </c>
      <c r="AI1988" s="831">
        <v>0</v>
      </c>
      <c r="AJ1988" s="835">
        <v>39599</v>
      </c>
      <c r="AK1988" s="831">
        <v>0</v>
      </c>
      <c r="AP1988" s="831" t="str">
        <f t="shared" si="94"/>
        <v/>
      </c>
    </row>
    <row r="1989" spans="2:42">
      <c r="B1989" s="834" t="str">
        <f t="shared" si="93"/>
        <v>|||</v>
      </c>
      <c r="H1989" s="835">
        <f t="shared" si="95"/>
        <v>31</v>
      </c>
      <c r="AF1989" s="831" t="s">
        <v>2681</v>
      </c>
      <c r="AG1989" s="831" t="s">
        <v>2674</v>
      </c>
      <c r="AH1989" s="831" t="s">
        <v>192</v>
      </c>
      <c r="AI1989" s="831">
        <v>0</v>
      </c>
      <c r="AJ1989" s="835">
        <v>39599</v>
      </c>
      <c r="AK1989" s="831">
        <v>-3000764</v>
      </c>
      <c r="AP1989" s="831" t="str">
        <f t="shared" si="94"/>
        <v/>
      </c>
    </row>
    <row r="1990" spans="2:42">
      <c r="B1990" s="834" t="str">
        <f t="shared" si="93"/>
        <v>|||</v>
      </c>
      <c r="H1990" s="835">
        <f t="shared" si="95"/>
        <v>31</v>
      </c>
      <c r="AF1990" s="831" t="s">
        <v>2682</v>
      </c>
      <c r="AG1990" s="831" t="s">
        <v>2674</v>
      </c>
      <c r="AH1990" s="831" t="s">
        <v>558</v>
      </c>
      <c r="AI1990" s="831">
        <v>0</v>
      </c>
      <c r="AJ1990" s="835">
        <v>39599</v>
      </c>
      <c r="AK1990" s="831">
        <v>133945398</v>
      </c>
      <c r="AP1990" s="831" t="str">
        <f t="shared" si="94"/>
        <v/>
      </c>
    </row>
    <row r="1991" spans="2:42">
      <c r="B1991" s="834" t="str">
        <f t="shared" si="93"/>
        <v>|||</v>
      </c>
      <c r="H1991" s="835">
        <f t="shared" si="95"/>
        <v>31</v>
      </c>
      <c r="AF1991" s="831" t="s">
        <v>2683</v>
      </c>
      <c r="AG1991" s="831" t="s">
        <v>2674</v>
      </c>
      <c r="AH1991" s="831" t="s">
        <v>65</v>
      </c>
      <c r="AI1991" s="831">
        <v>0</v>
      </c>
      <c r="AJ1991" s="835">
        <v>39599</v>
      </c>
      <c r="AK1991" s="831">
        <v>16071583</v>
      </c>
      <c r="AP1991" s="831" t="str">
        <f t="shared" si="94"/>
        <v/>
      </c>
    </row>
    <row r="1992" spans="2:42">
      <c r="B1992" s="834" t="str">
        <f t="shared" si="93"/>
        <v>|||</v>
      </c>
      <c r="H1992" s="835">
        <f t="shared" si="95"/>
        <v>31</v>
      </c>
      <c r="AF1992" s="831" t="s">
        <v>2684</v>
      </c>
      <c r="AG1992" s="831" t="s">
        <v>2674</v>
      </c>
      <c r="AH1992" s="831" t="s">
        <v>89</v>
      </c>
      <c r="AI1992" s="831">
        <v>0</v>
      </c>
      <c r="AJ1992" s="835">
        <v>39599</v>
      </c>
      <c r="AK1992" s="831">
        <v>62160</v>
      </c>
      <c r="AP1992" s="831" t="str">
        <f t="shared" si="94"/>
        <v/>
      </c>
    </row>
    <row r="1993" spans="2:42">
      <c r="B1993" s="834" t="str">
        <f t="shared" si="93"/>
        <v>|||</v>
      </c>
      <c r="H1993" s="835">
        <f t="shared" si="95"/>
        <v>31</v>
      </c>
      <c r="AF1993" s="831" t="s">
        <v>2685</v>
      </c>
      <c r="AG1993" s="831" t="s">
        <v>2674</v>
      </c>
      <c r="AH1993" s="831" t="s">
        <v>557</v>
      </c>
      <c r="AI1993" s="831">
        <v>0</v>
      </c>
      <c r="AJ1993" s="835">
        <v>39599</v>
      </c>
      <c r="AK1993" s="831">
        <v>64040</v>
      </c>
      <c r="AP1993" s="831" t="str">
        <f t="shared" si="94"/>
        <v/>
      </c>
    </row>
    <row r="1994" spans="2:42">
      <c r="B1994" s="834" t="str">
        <f t="shared" si="93"/>
        <v>|||</v>
      </c>
      <c r="H1994" s="835">
        <f t="shared" si="95"/>
        <v>31</v>
      </c>
      <c r="AF1994" s="831" t="s">
        <v>2686</v>
      </c>
      <c r="AG1994" s="831" t="s">
        <v>2674</v>
      </c>
      <c r="AH1994" s="831" t="s">
        <v>29</v>
      </c>
      <c r="AI1994" s="831">
        <v>0</v>
      </c>
      <c r="AJ1994" s="835">
        <v>39599</v>
      </c>
      <c r="AK1994" s="831">
        <v>39880</v>
      </c>
      <c r="AP1994" s="831" t="str">
        <f t="shared" si="94"/>
        <v/>
      </c>
    </row>
    <row r="1995" spans="2:42">
      <c r="B1995" s="834" t="str">
        <f t="shared" si="93"/>
        <v>|||</v>
      </c>
      <c r="H1995" s="835">
        <f t="shared" si="95"/>
        <v>31</v>
      </c>
      <c r="AF1995" s="831" t="s">
        <v>2687</v>
      </c>
      <c r="AG1995" s="831" t="s">
        <v>2674</v>
      </c>
      <c r="AH1995" s="831" t="s">
        <v>2688</v>
      </c>
      <c r="AI1995" s="831">
        <v>0</v>
      </c>
      <c r="AJ1995" s="835">
        <v>39599</v>
      </c>
      <c r="AK1995" s="831">
        <v>0</v>
      </c>
      <c r="AP1995" s="831" t="str">
        <f t="shared" si="94"/>
        <v/>
      </c>
    </row>
    <row r="1996" spans="2:42">
      <c r="B1996" s="834" t="str">
        <f t="shared" si="93"/>
        <v>|||</v>
      </c>
      <c r="H1996" s="835">
        <f t="shared" si="95"/>
        <v>31</v>
      </c>
      <c r="AF1996" s="831" t="s">
        <v>2689</v>
      </c>
      <c r="AG1996" s="831" t="s">
        <v>2674</v>
      </c>
      <c r="AH1996" s="831" t="s">
        <v>556</v>
      </c>
      <c r="AI1996" s="831">
        <v>0</v>
      </c>
      <c r="AJ1996" s="835">
        <v>39599</v>
      </c>
      <c r="AK1996" s="831">
        <v>0</v>
      </c>
      <c r="AP1996" s="831" t="str">
        <f t="shared" si="94"/>
        <v/>
      </c>
    </row>
    <row r="1997" spans="2:42">
      <c r="B1997" s="834" t="str">
        <f t="shared" si="93"/>
        <v>|||</v>
      </c>
      <c r="H1997" s="835">
        <f t="shared" si="95"/>
        <v>31</v>
      </c>
      <c r="AF1997" s="831" t="s">
        <v>2690</v>
      </c>
      <c r="AG1997" s="831" t="s">
        <v>2674</v>
      </c>
      <c r="AH1997" s="831" t="s">
        <v>555</v>
      </c>
      <c r="AI1997" s="831">
        <v>0</v>
      </c>
      <c r="AJ1997" s="835">
        <v>39599</v>
      </c>
      <c r="AK1997" s="831">
        <v>116942960</v>
      </c>
      <c r="AP1997" s="831" t="str">
        <f t="shared" si="94"/>
        <v/>
      </c>
    </row>
    <row r="1998" spans="2:42">
      <c r="B1998" s="834" t="str">
        <f t="shared" si="93"/>
        <v>|||</v>
      </c>
      <c r="H1998" s="835">
        <f t="shared" si="95"/>
        <v>31</v>
      </c>
      <c r="AF1998" s="831" t="s">
        <v>2691</v>
      </c>
      <c r="AG1998" s="831" t="s">
        <v>2674</v>
      </c>
      <c r="AH1998" s="831" t="s">
        <v>554</v>
      </c>
      <c r="AI1998" s="831">
        <v>0</v>
      </c>
      <c r="AJ1998" s="835">
        <v>39599</v>
      </c>
      <c r="AK1998" s="831">
        <v>112460080</v>
      </c>
      <c r="AP1998" s="831" t="str">
        <f t="shared" si="94"/>
        <v/>
      </c>
    </row>
    <row r="1999" spans="2:42">
      <c r="B1999" s="834" t="str">
        <f t="shared" si="93"/>
        <v>|||</v>
      </c>
      <c r="H1999" s="835">
        <f t="shared" si="95"/>
        <v>31</v>
      </c>
      <c r="AF1999" s="831" t="s">
        <v>2692</v>
      </c>
      <c r="AG1999" s="831" t="s">
        <v>2674</v>
      </c>
      <c r="AH1999" s="831" t="s">
        <v>553</v>
      </c>
      <c r="AI1999" s="831">
        <v>0</v>
      </c>
      <c r="AJ1999" s="835">
        <v>39599</v>
      </c>
      <c r="AK1999" s="831">
        <v>0</v>
      </c>
      <c r="AP1999" s="831" t="str">
        <f t="shared" si="94"/>
        <v/>
      </c>
    </row>
    <row r="2000" spans="2:42">
      <c r="B2000" s="834" t="str">
        <f t="shared" si="93"/>
        <v>|||</v>
      </c>
      <c r="H2000" s="835">
        <f t="shared" si="95"/>
        <v>31</v>
      </c>
      <c r="AF2000" s="831" t="s">
        <v>2693</v>
      </c>
      <c r="AG2000" s="831" t="s">
        <v>2674</v>
      </c>
      <c r="AH2000" s="831" t="s">
        <v>552</v>
      </c>
      <c r="AI2000" s="831">
        <v>0</v>
      </c>
      <c r="AJ2000" s="835">
        <v>39599</v>
      </c>
      <c r="AK2000" s="831">
        <v>0</v>
      </c>
      <c r="AP2000" s="831" t="str">
        <f t="shared" si="94"/>
        <v/>
      </c>
    </row>
    <row r="2001" spans="2:42">
      <c r="B2001" s="834" t="str">
        <f t="shared" si="93"/>
        <v>|||</v>
      </c>
      <c r="H2001" s="835">
        <f t="shared" si="95"/>
        <v>31</v>
      </c>
      <c r="AF2001" s="831" t="s">
        <v>2694</v>
      </c>
      <c r="AG2001" s="831" t="s">
        <v>2674</v>
      </c>
      <c r="AH2001" s="831" t="s">
        <v>551</v>
      </c>
      <c r="AI2001" s="831">
        <v>0</v>
      </c>
      <c r="AJ2001" s="835">
        <v>39599</v>
      </c>
      <c r="AK2001" s="831">
        <v>39880</v>
      </c>
      <c r="AP2001" s="831" t="str">
        <f t="shared" si="94"/>
        <v/>
      </c>
    </row>
    <row r="2002" spans="2:42">
      <c r="B2002" s="834" t="str">
        <f t="shared" si="93"/>
        <v>|||</v>
      </c>
      <c r="H2002" s="835">
        <f t="shared" si="95"/>
        <v>31</v>
      </c>
      <c r="AF2002" s="831" t="s">
        <v>2695</v>
      </c>
      <c r="AG2002" s="831" t="s">
        <v>2674</v>
      </c>
      <c r="AH2002" s="831" t="s">
        <v>550</v>
      </c>
      <c r="AI2002" s="831">
        <v>0</v>
      </c>
      <c r="AJ2002" s="835">
        <v>39599</v>
      </c>
      <c r="AK2002" s="831">
        <v>0</v>
      </c>
      <c r="AP2002" s="831" t="str">
        <f t="shared" si="94"/>
        <v/>
      </c>
    </row>
    <row r="2003" spans="2:42">
      <c r="B2003" s="834" t="str">
        <f t="shared" si="93"/>
        <v>|||</v>
      </c>
      <c r="H2003" s="835">
        <f t="shared" si="95"/>
        <v>31</v>
      </c>
      <c r="AF2003" s="831" t="s">
        <v>2696</v>
      </c>
      <c r="AG2003" s="831" t="s">
        <v>2674</v>
      </c>
      <c r="AH2003" s="831" t="s">
        <v>562</v>
      </c>
      <c r="AI2003" s="831">
        <v>0</v>
      </c>
      <c r="AJ2003" s="835">
        <v>39599</v>
      </c>
      <c r="AK2003" s="831">
        <v>0.83</v>
      </c>
      <c r="AP2003" s="831" t="str">
        <f t="shared" si="94"/>
        <v/>
      </c>
    </row>
    <row r="2004" spans="2:42">
      <c r="B2004" s="834" t="str">
        <f t="shared" si="93"/>
        <v>|||</v>
      </c>
      <c r="H2004" s="835">
        <f t="shared" si="95"/>
        <v>31</v>
      </c>
      <c r="AF2004" s="831" t="s">
        <v>2697</v>
      </c>
      <c r="AG2004" s="831" t="s">
        <v>2674</v>
      </c>
      <c r="AH2004" s="831" t="s">
        <v>2698</v>
      </c>
      <c r="AI2004" s="831">
        <v>0</v>
      </c>
      <c r="AJ2004" s="835">
        <v>39599</v>
      </c>
      <c r="AK2004" s="831">
        <v>0.83</v>
      </c>
      <c r="AP2004" s="831" t="str">
        <f t="shared" si="94"/>
        <v/>
      </c>
    </row>
    <row r="2005" spans="2:42">
      <c r="B2005" s="834" t="str">
        <f t="shared" si="93"/>
        <v>|||</v>
      </c>
      <c r="H2005" s="835">
        <f t="shared" si="95"/>
        <v>31</v>
      </c>
      <c r="AF2005" s="831" t="s">
        <v>2699</v>
      </c>
      <c r="AG2005" s="831" t="s">
        <v>2674</v>
      </c>
      <c r="AH2005" s="831" t="s">
        <v>560</v>
      </c>
      <c r="AI2005" s="831">
        <v>0</v>
      </c>
      <c r="AJ2005" s="835">
        <v>39599</v>
      </c>
      <c r="AK2005" s="831">
        <v>0.83799999999999997</v>
      </c>
      <c r="AP2005" s="831" t="str">
        <f t="shared" si="94"/>
        <v/>
      </c>
    </row>
    <row r="2006" spans="2:42">
      <c r="B2006" s="834" t="str">
        <f t="shared" si="93"/>
        <v>|||</v>
      </c>
      <c r="H2006" s="835">
        <f t="shared" si="95"/>
        <v>31</v>
      </c>
      <c r="AF2006" s="831" t="s">
        <v>2700</v>
      </c>
      <c r="AG2006" s="831" t="s">
        <v>2674</v>
      </c>
      <c r="AH2006" s="831" t="s">
        <v>559</v>
      </c>
      <c r="AI2006" s="831">
        <v>0</v>
      </c>
      <c r="AJ2006" s="835">
        <v>39599</v>
      </c>
      <c r="AK2006" s="831">
        <v>0.84583333333333299</v>
      </c>
      <c r="AP2006" s="831" t="str">
        <f t="shared" si="94"/>
        <v/>
      </c>
    </row>
    <row r="2007" spans="2:42">
      <c r="B2007" s="834" t="str">
        <f t="shared" si="93"/>
        <v>|||</v>
      </c>
      <c r="H2007" s="835">
        <f t="shared" si="95"/>
        <v>31</v>
      </c>
      <c r="AF2007" s="831" t="s">
        <v>2701</v>
      </c>
      <c r="AG2007" s="831" t="s">
        <v>2674</v>
      </c>
      <c r="AH2007" s="831" t="s">
        <v>546</v>
      </c>
      <c r="AI2007" s="831">
        <v>0</v>
      </c>
      <c r="AJ2007" s="835">
        <v>39629</v>
      </c>
      <c r="AK2007" s="831">
        <v>143956608</v>
      </c>
      <c r="AP2007" s="831" t="str">
        <f t="shared" si="94"/>
        <v/>
      </c>
    </row>
    <row r="2008" spans="2:42">
      <c r="B2008" s="834" t="str">
        <f t="shared" si="93"/>
        <v>|||</v>
      </c>
      <c r="H2008" s="835">
        <f t="shared" si="95"/>
        <v>31</v>
      </c>
      <c r="AF2008" s="831" t="s">
        <v>2702</v>
      </c>
      <c r="AG2008" s="831" t="s">
        <v>2674</v>
      </c>
      <c r="AH2008" s="831" t="s">
        <v>370</v>
      </c>
      <c r="AI2008" s="831">
        <v>0</v>
      </c>
      <c r="AJ2008" s="835">
        <v>39629</v>
      </c>
      <c r="AK2008" s="831">
        <v>165759475</v>
      </c>
      <c r="AP2008" s="831" t="str">
        <f t="shared" si="94"/>
        <v/>
      </c>
    </row>
    <row r="2009" spans="2:42">
      <c r="B2009" s="834" t="str">
        <f t="shared" si="93"/>
        <v>|||</v>
      </c>
      <c r="H2009" s="835">
        <f t="shared" si="95"/>
        <v>31</v>
      </c>
      <c r="AF2009" s="831" t="s">
        <v>2703</v>
      </c>
      <c r="AG2009" s="831" t="s">
        <v>2674</v>
      </c>
      <c r="AH2009" s="831" t="s">
        <v>126</v>
      </c>
      <c r="AI2009" s="831">
        <v>0</v>
      </c>
      <c r="AJ2009" s="835">
        <v>39629</v>
      </c>
      <c r="AK2009" s="831">
        <v>26958657</v>
      </c>
      <c r="AP2009" s="831" t="str">
        <f t="shared" si="94"/>
        <v/>
      </c>
    </row>
    <row r="2010" spans="2:42">
      <c r="B2010" s="834" t="str">
        <f t="shared" si="93"/>
        <v>|||</v>
      </c>
      <c r="H2010" s="835">
        <f t="shared" si="95"/>
        <v>31</v>
      </c>
      <c r="AF2010" s="831" t="s">
        <v>2704</v>
      </c>
      <c r="AG2010" s="831" t="s">
        <v>2674</v>
      </c>
      <c r="AH2010" s="831" t="s">
        <v>268</v>
      </c>
      <c r="AI2010" s="831">
        <v>0</v>
      </c>
      <c r="AJ2010" s="835">
        <v>39629</v>
      </c>
      <c r="AK2010" s="831">
        <v>4211160</v>
      </c>
      <c r="AP2010" s="831" t="str">
        <f t="shared" si="94"/>
        <v/>
      </c>
    </row>
    <row r="2011" spans="2:42">
      <c r="B2011" s="834" t="str">
        <f t="shared" si="93"/>
        <v>|||</v>
      </c>
      <c r="H2011" s="835">
        <f t="shared" si="95"/>
        <v>31</v>
      </c>
      <c r="AF2011" s="831" t="s">
        <v>2705</v>
      </c>
      <c r="AG2011" s="831" t="s">
        <v>2674</v>
      </c>
      <c r="AH2011" s="831" t="s">
        <v>547</v>
      </c>
      <c r="AI2011" s="831">
        <v>0</v>
      </c>
      <c r="AJ2011" s="835">
        <v>39629</v>
      </c>
      <c r="AK2011" s="831">
        <v>0</v>
      </c>
      <c r="AP2011" s="831" t="str">
        <f t="shared" si="94"/>
        <v/>
      </c>
    </row>
    <row r="2012" spans="2:42">
      <c r="B2012" s="834" t="str">
        <f t="shared" si="93"/>
        <v>|||</v>
      </c>
      <c r="H2012" s="835">
        <f t="shared" si="95"/>
        <v>31</v>
      </c>
      <c r="AF2012" s="831" t="s">
        <v>2706</v>
      </c>
      <c r="AG2012" s="831" t="s">
        <v>2674</v>
      </c>
      <c r="AH2012" s="831" t="s">
        <v>548</v>
      </c>
      <c r="AI2012" s="831">
        <v>0</v>
      </c>
      <c r="AJ2012" s="835">
        <v>39629</v>
      </c>
      <c r="AK2012" s="831">
        <v>0</v>
      </c>
      <c r="AP2012" s="831" t="str">
        <f t="shared" si="94"/>
        <v/>
      </c>
    </row>
    <row r="2013" spans="2:42">
      <c r="B2013" s="834" t="str">
        <f t="shared" si="93"/>
        <v>|||</v>
      </c>
      <c r="H2013" s="835">
        <f t="shared" si="95"/>
        <v>31</v>
      </c>
      <c r="AF2013" s="831" t="s">
        <v>2707</v>
      </c>
      <c r="AG2013" s="831" t="s">
        <v>2674</v>
      </c>
      <c r="AH2013" s="831" t="s">
        <v>549</v>
      </c>
      <c r="AI2013" s="831">
        <v>0</v>
      </c>
      <c r="AJ2013" s="835">
        <v>39629</v>
      </c>
      <c r="AK2013" s="831">
        <v>0</v>
      </c>
      <c r="AP2013" s="831" t="str">
        <f t="shared" si="94"/>
        <v/>
      </c>
    </row>
    <row r="2014" spans="2:42">
      <c r="B2014" s="834" t="str">
        <f t="shared" si="93"/>
        <v>|||</v>
      </c>
      <c r="H2014" s="835">
        <f t="shared" si="95"/>
        <v>31</v>
      </c>
      <c r="AF2014" s="831" t="s">
        <v>2708</v>
      </c>
      <c r="AG2014" s="831" t="s">
        <v>2674</v>
      </c>
      <c r="AH2014" s="831" t="s">
        <v>192</v>
      </c>
      <c r="AI2014" s="831">
        <v>0</v>
      </c>
      <c r="AJ2014" s="835">
        <v>39629</v>
      </c>
      <c r="AK2014" s="831">
        <v>-3072986</v>
      </c>
      <c r="AP2014" s="831" t="str">
        <f t="shared" si="94"/>
        <v/>
      </c>
    </row>
    <row r="2015" spans="2:42">
      <c r="B2015" s="834" t="str">
        <f t="shared" si="93"/>
        <v>|||</v>
      </c>
      <c r="H2015" s="835">
        <f t="shared" si="95"/>
        <v>31</v>
      </c>
      <c r="AF2015" s="831" t="s">
        <v>2709</v>
      </c>
      <c r="AG2015" s="831" t="s">
        <v>2674</v>
      </c>
      <c r="AH2015" s="831" t="s">
        <v>558</v>
      </c>
      <c r="AI2015" s="831">
        <v>0</v>
      </c>
      <c r="AJ2015" s="835">
        <v>39629</v>
      </c>
      <c r="AK2015" s="831">
        <v>138800818</v>
      </c>
      <c r="AP2015" s="831" t="str">
        <f t="shared" si="94"/>
        <v/>
      </c>
    </row>
    <row r="2016" spans="2:42">
      <c r="B2016" s="834" t="str">
        <f t="shared" si="93"/>
        <v>|||</v>
      </c>
      <c r="H2016" s="835">
        <f t="shared" si="95"/>
        <v>31</v>
      </c>
      <c r="AF2016" s="831" t="s">
        <v>2710</v>
      </c>
      <c r="AG2016" s="831" t="s">
        <v>2674</v>
      </c>
      <c r="AH2016" s="831" t="s">
        <v>65</v>
      </c>
      <c r="AI2016" s="831">
        <v>0</v>
      </c>
      <c r="AJ2016" s="835">
        <v>39629</v>
      </c>
      <c r="AK2016" s="831">
        <v>19925564</v>
      </c>
      <c r="AP2016" s="831" t="str">
        <f t="shared" si="94"/>
        <v/>
      </c>
    </row>
    <row r="2017" spans="2:42">
      <c r="B2017" s="834" t="str">
        <f t="shared" si="93"/>
        <v>|||</v>
      </c>
      <c r="H2017" s="835">
        <f t="shared" si="95"/>
        <v>31</v>
      </c>
      <c r="AF2017" s="831" t="s">
        <v>2711</v>
      </c>
      <c r="AG2017" s="831" t="s">
        <v>2674</v>
      </c>
      <c r="AH2017" s="831" t="s">
        <v>89</v>
      </c>
      <c r="AI2017" s="831">
        <v>0</v>
      </c>
      <c r="AJ2017" s="835">
        <v>39629</v>
      </c>
      <c r="AK2017" s="831">
        <v>63841</v>
      </c>
      <c r="AP2017" s="831" t="str">
        <f t="shared" si="94"/>
        <v/>
      </c>
    </row>
    <row r="2018" spans="2:42">
      <c r="B2018" s="834" t="str">
        <f t="shared" si="93"/>
        <v>|||</v>
      </c>
      <c r="H2018" s="835">
        <f t="shared" si="95"/>
        <v>31</v>
      </c>
      <c r="AF2018" s="831" t="s">
        <v>2712</v>
      </c>
      <c r="AG2018" s="831" t="s">
        <v>2674</v>
      </c>
      <c r="AH2018" s="831" t="s">
        <v>557</v>
      </c>
      <c r="AI2018" s="831">
        <v>0</v>
      </c>
      <c r="AJ2018" s="835">
        <v>39629</v>
      </c>
      <c r="AK2018" s="831">
        <v>65836</v>
      </c>
      <c r="AP2018" s="831" t="str">
        <f t="shared" si="94"/>
        <v/>
      </c>
    </row>
    <row r="2019" spans="2:42">
      <c r="B2019" s="834" t="str">
        <f t="shared" si="93"/>
        <v>|||</v>
      </c>
      <c r="H2019" s="835">
        <f t="shared" si="95"/>
        <v>31</v>
      </c>
      <c r="AF2019" s="831" t="s">
        <v>2713</v>
      </c>
      <c r="AG2019" s="831" t="s">
        <v>2674</v>
      </c>
      <c r="AH2019" s="831" t="s">
        <v>29</v>
      </c>
      <c r="AI2019" s="831">
        <v>0</v>
      </c>
      <c r="AJ2019" s="835">
        <v>39629</v>
      </c>
      <c r="AK2019" s="831">
        <v>49490</v>
      </c>
      <c r="AP2019" s="831" t="str">
        <f t="shared" si="94"/>
        <v/>
      </c>
    </row>
    <row r="2020" spans="2:42">
      <c r="B2020" s="834" t="str">
        <f t="shared" si="93"/>
        <v>|||</v>
      </c>
      <c r="H2020" s="835">
        <f t="shared" si="95"/>
        <v>31</v>
      </c>
      <c r="AF2020" s="831" t="s">
        <v>2714</v>
      </c>
      <c r="AG2020" s="831" t="s">
        <v>2674</v>
      </c>
      <c r="AH2020" s="831" t="s">
        <v>2688</v>
      </c>
      <c r="AI2020" s="831">
        <v>0</v>
      </c>
      <c r="AJ2020" s="835">
        <v>39629</v>
      </c>
      <c r="AK2020" s="831">
        <v>0</v>
      </c>
      <c r="AP2020" s="831" t="str">
        <f t="shared" si="94"/>
        <v/>
      </c>
    </row>
    <row r="2021" spans="2:42">
      <c r="B2021" s="834" t="str">
        <f t="shared" si="93"/>
        <v>|||</v>
      </c>
      <c r="H2021" s="835">
        <f t="shared" si="95"/>
        <v>31</v>
      </c>
      <c r="AF2021" s="831" t="s">
        <v>2715</v>
      </c>
      <c r="AG2021" s="831" t="s">
        <v>2674</v>
      </c>
      <c r="AH2021" s="831" t="s">
        <v>556</v>
      </c>
      <c r="AI2021" s="831">
        <v>0</v>
      </c>
      <c r="AJ2021" s="835">
        <v>39629</v>
      </c>
      <c r="AK2021" s="831">
        <v>0</v>
      </c>
      <c r="AP2021" s="831" t="str">
        <f t="shared" si="94"/>
        <v/>
      </c>
    </row>
    <row r="2022" spans="2:42">
      <c r="B2022" s="834" t="str">
        <f t="shared" si="93"/>
        <v>|||</v>
      </c>
      <c r="H2022" s="835">
        <f t="shared" si="95"/>
        <v>31</v>
      </c>
      <c r="AF2022" s="831" t="s">
        <v>2716</v>
      </c>
      <c r="AG2022" s="831" t="s">
        <v>2674</v>
      </c>
      <c r="AH2022" s="831" t="s">
        <v>555</v>
      </c>
      <c r="AI2022" s="831">
        <v>0</v>
      </c>
      <c r="AJ2022" s="835">
        <v>39629</v>
      </c>
      <c r="AK2022" s="831">
        <v>122717780</v>
      </c>
      <c r="AP2022" s="831" t="str">
        <f t="shared" si="94"/>
        <v/>
      </c>
    </row>
    <row r="2023" spans="2:42">
      <c r="B2023" s="834" t="str">
        <f t="shared" si="93"/>
        <v>|||</v>
      </c>
      <c r="H2023" s="835">
        <f t="shared" si="95"/>
        <v>31</v>
      </c>
      <c r="AF2023" s="831" t="s">
        <v>2717</v>
      </c>
      <c r="AG2023" s="831" t="s">
        <v>2674</v>
      </c>
      <c r="AH2023" s="831" t="s">
        <v>554</v>
      </c>
      <c r="AI2023" s="831">
        <v>0</v>
      </c>
      <c r="AJ2023" s="835">
        <v>39629</v>
      </c>
      <c r="AK2023" s="831">
        <v>116602440</v>
      </c>
      <c r="AP2023" s="831" t="str">
        <f t="shared" si="94"/>
        <v/>
      </c>
    </row>
    <row r="2024" spans="2:42">
      <c r="B2024" s="834" t="str">
        <f t="shared" si="93"/>
        <v>|||</v>
      </c>
      <c r="H2024" s="835">
        <f t="shared" si="95"/>
        <v>31</v>
      </c>
      <c r="AF2024" s="831" t="s">
        <v>2718</v>
      </c>
      <c r="AG2024" s="831" t="s">
        <v>2674</v>
      </c>
      <c r="AH2024" s="831" t="s">
        <v>553</v>
      </c>
      <c r="AI2024" s="831">
        <v>0</v>
      </c>
      <c r="AJ2024" s="835">
        <v>39629</v>
      </c>
      <c r="AK2024" s="831">
        <v>0</v>
      </c>
      <c r="AP2024" s="831" t="str">
        <f t="shared" si="94"/>
        <v/>
      </c>
    </row>
    <row r="2025" spans="2:42">
      <c r="B2025" s="834" t="str">
        <f t="shared" si="93"/>
        <v>|||</v>
      </c>
      <c r="H2025" s="835">
        <f t="shared" si="95"/>
        <v>31</v>
      </c>
      <c r="AF2025" s="831" t="s">
        <v>2719</v>
      </c>
      <c r="AG2025" s="831" t="s">
        <v>2674</v>
      </c>
      <c r="AH2025" s="831" t="s">
        <v>552</v>
      </c>
      <c r="AI2025" s="831">
        <v>0</v>
      </c>
      <c r="AJ2025" s="835">
        <v>39629</v>
      </c>
      <c r="AK2025" s="831">
        <v>0</v>
      </c>
      <c r="AP2025" s="831" t="str">
        <f t="shared" si="94"/>
        <v/>
      </c>
    </row>
    <row r="2026" spans="2:42">
      <c r="B2026" s="834" t="str">
        <f t="shared" si="93"/>
        <v>|||</v>
      </c>
      <c r="H2026" s="835">
        <f t="shared" si="95"/>
        <v>31</v>
      </c>
      <c r="AF2026" s="831" t="s">
        <v>2720</v>
      </c>
      <c r="AG2026" s="831" t="s">
        <v>2674</v>
      </c>
      <c r="AH2026" s="831" t="s">
        <v>551</v>
      </c>
      <c r="AI2026" s="831">
        <v>0</v>
      </c>
      <c r="AJ2026" s="835">
        <v>39629</v>
      </c>
      <c r="AK2026" s="831">
        <v>49490</v>
      </c>
      <c r="AP2026" s="831" t="str">
        <f t="shared" si="94"/>
        <v/>
      </c>
    </row>
    <row r="2027" spans="2:42">
      <c r="B2027" s="834" t="str">
        <f t="shared" si="93"/>
        <v>|||</v>
      </c>
      <c r="H2027" s="835">
        <f t="shared" si="95"/>
        <v>31</v>
      </c>
      <c r="AF2027" s="831" t="s">
        <v>2721</v>
      </c>
      <c r="AG2027" s="831" t="s">
        <v>2674</v>
      </c>
      <c r="AH2027" s="831" t="s">
        <v>550</v>
      </c>
      <c r="AI2027" s="831">
        <v>0</v>
      </c>
      <c r="AJ2027" s="835">
        <v>39629</v>
      </c>
      <c r="AK2027" s="831">
        <v>0</v>
      </c>
      <c r="AP2027" s="831" t="str">
        <f t="shared" si="94"/>
        <v/>
      </c>
    </row>
    <row r="2028" spans="2:42">
      <c r="B2028" s="834" t="str">
        <f t="shared" si="93"/>
        <v>|||</v>
      </c>
      <c r="H2028" s="835">
        <f t="shared" si="95"/>
        <v>31</v>
      </c>
      <c r="AF2028" s="831" t="s">
        <v>2722</v>
      </c>
      <c r="AG2028" s="831" t="s">
        <v>2674</v>
      </c>
      <c r="AH2028" s="831" t="s">
        <v>562</v>
      </c>
      <c r="AI2028" s="831">
        <v>0</v>
      </c>
      <c r="AJ2028" s="835">
        <v>39629</v>
      </c>
      <c r="AK2028" s="831">
        <v>0.81</v>
      </c>
      <c r="AP2028" s="831" t="str">
        <f t="shared" si="94"/>
        <v/>
      </c>
    </row>
    <row r="2029" spans="2:42">
      <c r="B2029" s="834" t="str">
        <f t="shared" si="93"/>
        <v>|||</v>
      </c>
      <c r="H2029" s="835">
        <f t="shared" si="95"/>
        <v>31</v>
      </c>
      <c r="AF2029" s="831" t="s">
        <v>2723</v>
      </c>
      <c r="AG2029" s="831" t="s">
        <v>2674</v>
      </c>
      <c r="AH2029" s="831" t="s">
        <v>2698</v>
      </c>
      <c r="AI2029" s="831">
        <v>0</v>
      </c>
      <c r="AJ2029" s="835">
        <v>39629</v>
      </c>
      <c r="AK2029" s="831">
        <v>0.83</v>
      </c>
      <c r="AP2029" s="831" t="str">
        <f t="shared" si="94"/>
        <v/>
      </c>
    </row>
    <row r="2030" spans="2:42">
      <c r="B2030" s="834" t="str">
        <f t="shared" si="93"/>
        <v>|||</v>
      </c>
      <c r="H2030" s="835">
        <f t="shared" si="95"/>
        <v>31</v>
      </c>
      <c r="AF2030" s="831" t="s">
        <v>2724</v>
      </c>
      <c r="AG2030" s="831" t="s">
        <v>2674</v>
      </c>
      <c r="AH2030" s="831" t="s">
        <v>560</v>
      </c>
      <c r="AI2030" s="831">
        <v>0</v>
      </c>
      <c r="AJ2030" s="835">
        <v>39629</v>
      </c>
      <c r="AK2030" s="831">
        <v>0.83333333333333304</v>
      </c>
      <c r="AP2030" s="831" t="str">
        <f t="shared" si="94"/>
        <v/>
      </c>
    </row>
    <row r="2031" spans="2:42">
      <c r="B2031" s="834" t="str">
        <f t="shared" si="93"/>
        <v>|||</v>
      </c>
      <c r="H2031" s="835">
        <f t="shared" si="95"/>
        <v>31</v>
      </c>
      <c r="AF2031" s="831" t="s">
        <v>2725</v>
      </c>
      <c r="AG2031" s="831" t="s">
        <v>2674</v>
      </c>
      <c r="AH2031" s="831" t="s">
        <v>559</v>
      </c>
      <c r="AI2031" s="831">
        <v>0</v>
      </c>
      <c r="AJ2031" s="835">
        <v>39629</v>
      </c>
      <c r="AK2031" s="831">
        <v>0.84166666666666601</v>
      </c>
      <c r="AP2031" s="831" t="str">
        <f t="shared" si="94"/>
        <v/>
      </c>
    </row>
    <row r="2032" spans="2:42">
      <c r="B2032" s="834" t="str">
        <f t="shared" si="93"/>
        <v>|||</v>
      </c>
      <c r="H2032" s="835">
        <f t="shared" si="95"/>
        <v>31</v>
      </c>
      <c r="AF2032" s="831" t="s">
        <v>2726</v>
      </c>
      <c r="AG2032" s="831" t="s">
        <v>55</v>
      </c>
      <c r="AH2032" s="831" t="s">
        <v>66</v>
      </c>
      <c r="AI2032" s="831">
        <v>1</v>
      </c>
      <c r="AJ2032" s="835">
        <v>38717</v>
      </c>
      <c r="AK2032" s="831">
        <v>1567000</v>
      </c>
      <c r="AP2032" s="831" t="str">
        <f t="shared" si="94"/>
        <v/>
      </c>
    </row>
    <row r="2033" spans="2:42">
      <c r="B2033" s="834" t="str">
        <f t="shared" si="93"/>
        <v>|||</v>
      </c>
      <c r="H2033" s="835">
        <f t="shared" si="95"/>
        <v>31</v>
      </c>
      <c r="AF2033" s="831" t="s">
        <v>2727</v>
      </c>
      <c r="AG2033" s="831" t="s">
        <v>55</v>
      </c>
      <c r="AH2033" s="831" t="s">
        <v>71</v>
      </c>
      <c r="AI2033" s="831">
        <v>1</v>
      </c>
      <c r="AJ2033" s="835">
        <v>38717</v>
      </c>
      <c r="AK2033" s="831">
        <v>0</v>
      </c>
      <c r="AP2033" s="831" t="str">
        <f t="shared" si="94"/>
        <v/>
      </c>
    </row>
    <row r="2034" spans="2:42">
      <c r="B2034" s="834" t="str">
        <f t="shared" si="93"/>
        <v>|||</v>
      </c>
      <c r="H2034" s="835">
        <f t="shared" si="95"/>
        <v>31</v>
      </c>
      <c r="AF2034" s="831" t="s">
        <v>2728</v>
      </c>
      <c r="AG2034" s="831" t="s">
        <v>55</v>
      </c>
      <c r="AH2034" s="831" t="s">
        <v>76</v>
      </c>
      <c r="AI2034" s="831">
        <v>1</v>
      </c>
      <c r="AJ2034" s="835">
        <v>38717</v>
      </c>
      <c r="AK2034" s="831">
        <v>1567000</v>
      </c>
      <c r="AP2034" s="831" t="str">
        <f t="shared" si="94"/>
        <v/>
      </c>
    </row>
    <row r="2035" spans="2:42">
      <c r="B2035" s="834" t="str">
        <f t="shared" si="93"/>
        <v>|||</v>
      </c>
      <c r="H2035" s="835">
        <f t="shared" si="95"/>
        <v>31</v>
      </c>
      <c r="AF2035" s="831" t="s">
        <v>2729</v>
      </c>
      <c r="AG2035" s="831" t="s">
        <v>55</v>
      </c>
      <c r="AH2035" s="831" t="s">
        <v>81</v>
      </c>
      <c r="AI2035" s="831">
        <v>1</v>
      </c>
      <c r="AJ2035" s="835">
        <v>38717</v>
      </c>
      <c r="AK2035" s="831">
        <v>0</v>
      </c>
      <c r="AP2035" s="831" t="str">
        <f t="shared" si="94"/>
        <v/>
      </c>
    </row>
    <row r="2036" spans="2:42">
      <c r="B2036" s="834" t="str">
        <f t="shared" si="93"/>
        <v>|||</v>
      </c>
      <c r="H2036" s="835">
        <f t="shared" si="95"/>
        <v>31</v>
      </c>
      <c r="AF2036" s="831" t="s">
        <v>2730</v>
      </c>
      <c r="AG2036" s="831" t="s">
        <v>55</v>
      </c>
      <c r="AH2036" s="831" t="s">
        <v>10</v>
      </c>
      <c r="AI2036" s="831">
        <v>1</v>
      </c>
      <c r="AJ2036" s="835">
        <v>38717</v>
      </c>
      <c r="AK2036" s="831">
        <v>16366800</v>
      </c>
      <c r="AP2036" s="831" t="str">
        <f t="shared" si="94"/>
        <v/>
      </c>
    </row>
    <row r="2037" spans="2:42">
      <c r="B2037" s="834" t="str">
        <f t="shared" si="93"/>
        <v>|||</v>
      </c>
      <c r="H2037" s="835">
        <f t="shared" si="95"/>
        <v>31</v>
      </c>
      <c r="AF2037" s="831" t="s">
        <v>2731</v>
      </c>
      <c r="AG2037" s="831" t="s">
        <v>55</v>
      </c>
      <c r="AH2037" s="831" t="s">
        <v>91</v>
      </c>
      <c r="AI2037" s="831">
        <v>1</v>
      </c>
      <c r="AJ2037" s="835">
        <v>38717</v>
      </c>
      <c r="AK2037" s="831">
        <v>-141600</v>
      </c>
      <c r="AP2037" s="831" t="str">
        <f t="shared" si="94"/>
        <v/>
      </c>
    </row>
    <row r="2038" spans="2:42">
      <c r="B2038" s="834" t="str">
        <f t="shared" si="93"/>
        <v>|||</v>
      </c>
      <c r="H2038" s="835">
        <f t="shared" si="95"/>
        <v>31</v>
      </c>
      <c r="AF2038" s="831" t="s">
        <v>2732</v>
      </c>
      <c r="AG2038" s="831" t="s">
        <v>55</v>
      </c>
      <c r="AH2038" s="831" t="s">
        <v>94</v>
      </c>
      <c r="AI2038" s="831">
        <v>1</v>
      </c>
      <c r="AJ2038" s="835">
        <v>38717</v>
      </c>
      <c r="AK2038" s="831">
        <v>404400</v>
      </c>
      <c r="AP2038" s="831" t="str">
        <f t="shared" si="94"/>
        <v/>
      </c>
    </row>
    <row r="2039" spans="2:42">
      <c r="B2039" s="834" t="str">
        <f t="shared" si="93"/>
        <v>|||</v>
      </c>
      <c r="H2039" s="835">
        <f t="shared" si="95"/>
        <v>31</v>
      </c>
      <c r="AF2039" s="831" t="s">
        <v>2733</v>
      </c>
      <c r="AG2039" s="831" t="s">
        <v>55</v>
      </c>
      <c r="AH2039" s="831" t="s">
        <v>103</v>
      </c>
      <c r="AI2039" s="831">
        <v>1</v>
      </c>
      <c r="AJ2039" s="835">
        <v>38717</v>
      </c>
      <c r="AK2039" s="831">
        <v>119000</v>
      </c>
      <c r="AP2039" s="831" t="str">
        <f t="shared" si="94"/>
        <v/>
      </c>
    </row>
    <row r="2040" spans="2:42">
      <c r="B2040" s="834" t="str">
        <f t="shared" si="93"/>
        <v>|||</v>
      </c>
      <c r="H2040" s="835">
        <f t="shared" si="95"/>
        <v>31</v>
      </c>
      <c r="AF2040" s="831" t="s">
        <v>2734</v>
      </c>
      <c r="AG2040" s="831" t="s">
        <v>55</v>
      </c>
      <c r="AH2040" s="831" t="s">
        <v>108</v>
      </c>
      <c r="AI2040" s="831">
        <v>1</v>
      </c>
      <c r="AJ2040" s="835">
        <v>38717</v>
      </c>
      <c r="AK2040" s="831">
        <v>0</v>
      </c>
      <c r="AP2040" s="831" t="str">
        <f t="shared" si="94"/>
        <v/>
      </c>
    </row>
    <row r="2041" spans="2:42">
      <c r="B2041" s="834" t="str">
        <f t="shared" si="93"/>
        <v>|||</v>
      </c>
      <c r="H2041" s="835">
        <f t="shared" si="95"/>
        <v>31</v>
      </c>
      <c r="AF2041" s="831" t="s">
        <v>2735</v>
      </c>
      <c r="AG2041" s="831" t="s">
        <v>55</v>
      </c>
      <c r="AH2041" s="831" t="s">
        <v>110</v>
      </c>
      <c r="AI2041" s="831">
        <v>1</v>
      </c>
      <c r="AJ2041" s="835">
        <v>38717</v>
      </c>
      <c r="AK2041" s="831">
        <v>11457200</v>
      </c>
      <c r="AP2041" s="831" t="str">
        <f t="shared" si="94"/>
        <v/>
      </c>
    </row>
    <row r="2042" spans="2:42">
      <c r="B2042" s="834" t="str">
        <f t="shared" si="93"/>
        <v>|||</v>
      </c>
      <c r="H2042" s="835">
        <f t="shared" si="95"/>
        <v>31</v>
      </c>
      <c r="AF2042" s="831" t="s">
        <v>2736</v>
      </c>
      <c r="AG2042" s="831" t="s">
        <v>55</v>
      </c>
      <c r="AH2042" s="831" t="s">
        <v>112</v>
      </c>
      <c r="AI2042" s="831">
        <v>1</v>
      </c>
      <c r="AJ2042" s="835">
        <v>38717</v>
      </c>
      <c r="AK2042" s="831">
        <v>0</v>
      </c>
      <c r="AP2042" s="831" t="str">
        <f t="shared" si="94"/>
        <v/>
      </c>
    </row>
    <row r="2043" spans="2:42">
      <c r="B2043" s="834" t="str">
        <f t="shared" si="93"/>
        <v>|||</v>
      </c>
      <c r="H2043" s="835">
        <f t="shared" si="95"/>
        <v>31</v>
      </c>
      <c r="AF2043" s="831" t="s">
        <v>2737</v>
      </c>
      <c r="AG2043" s="831" t="s">
        <v>55</v>
      </c>
      <c r="AH2043" s="831" t="s">
        <v>114</v>
      </c>
      <c r="AI2043" s="831">
        <v>1</v>
      </c>
      <c r="AJ2043" s="835">
        <v>38717</v>
      </c>
      <c r="AK2043" s="831">
        <v>0</v>
      </c>
      <c r="AP2043" s="831" t="str">
        <f t="shared" si="94"/>
        <v/>
      </c>
    </row>
    <row r="2044" spans="2:42">
      <c r="B2044" s="834" t="str">
        <f t="shared" si="93"/>
        <v>|||</v>
      </c>
      <c r="H2044" s="835">
        <f t="shared" si="95"/>
        <v>31</v>
      </c>
      <c r="AF2044" s="831" t="s">
        <v>2738</v>
      </c>
      <c r="AG2044" s="831" t="s">
        <v>55</v>
      </c>
      <c r="AH2044" s="831" t="s">
        <v>116</v>
      </c>
      <c r="AI2044" s="831">
        <v>1</v>
      </c>
      <c r="AJ2044" s="835">
        <v>38717</v>
      </c>
      <c r="AK2044" s="831">
        <v>0</v>
      </c>
      <c r="AP2044" s="831" t="str">
        <f t="shared" si="94"/>
        <v/>
      </c>
    </row>
    <row r="2045" spans="2:42">
      <c r="B2045" s="834" t="str">
        <f t="shared" si="93"/>
        <v>|||</v>
      </c>
      <c r="H2045" s="835">
        <f t="shared" si="95"/>
        <v>31</v>
      </c>
      <c r="AF2045" s="831" t="s">
        <v>2739</v>
      </c>
      <c r="AG2045" s="831" t="s">
        <v>55</v>
      </c>
      <c r="AH2045" s="831" t="s">
        <v>117</v>
      </c>
      <c r="AI2045" s="831">
        <v>1</v>
      </c>
      <c r="AJ2045" s="835">
        <v>38717</v>
      </c>
      <c r="AK2045" s="831">
        <v>9400</v>
      </c>
      <c r="AP2045" s="831" t="str">
        <f t="shared" si="94"/>
        <v/>
      </c>
    </row>
    <row r="2046" spans="2:42">
      <c r="B2046" s="834" t="str">
        <f t="shared" si="93"/>
        <v>|||</v>
      </c>
      <c r="H2046" s="835">
        <f t="shared" si="95"/>
        <v>31</v>
      </c>
      <c r="AF2046" s="831" t="s">
        <v>2740</v>
      </c>
      <c r="AG2046" s="831" t="s">
        <v>55</v>
      </c>
      <c r="AH2046" s="831" t="s">
        <v>123</v>
      </c>
      <c r="AI2046" s="831">
        <v>1</v>
      </c>
      <c r="AJ2046" s="835">
        <v>38717</v>
      </c>
      <c r="AK2046" s="831">
        <v>6713400</v>
      </c>
      <c r="AP2046" s="831" t="str">
        <f t="shared" si="94"/>
        <v/>
      </c>
    </row>
    <row r="2047" spans="2:42">
      <c r="B2047" s="834" t="str">
        <f t="shared" si="93"/>
        <v>|||</v>
      </c>
      <c r="H2047" s="835">
        <f t="shared" si="95"/>
        <v>31</v>
      </c>
      <c r="AF2047" s="831" t="s">
        <v>2741</v>
      </c>
      <c r="AG2047" s="831" t="s">
        <v>55</v>
      </c>
      <c r="AH2047" s="831" t="s">
        <v>125</v>
      </c>
      <c r="AI2047" s="831">
        <v>1</v>
      </c>
      <c r="AJ2047" s="835">
        <v>38717</v>
      </c>
      <c r="AK2047" s="831">
        <v>-102400</v>
      </c>
      <c r="AP2047" s="831" t="str">
        <f t="shared" si="94"/>
        <v/>
      </c>
    </row>
    <row r="2048" spans="2:42">
      <c r="B2048" s="834" t="str">
        <f t="shared" si="93"/>
        <v>|||</v>
      </c>
      <c r="H2048" s="835">
        <f t="shared" si="95"/>
        <v>31</v>
      </c>
      <c r="AF2048" s="831" t="s">
        <v>2742</v>
      </c>
      <c r="AG2048" s="831" t="s">
        <v>55</v>
      </c>
      <c r="AH2048" s="831" t="s">
        <v>66</v>
      </c>
      <c r="AI2048" s="831">
        <v>1</v>
      </c>
      <c r="AJ2048" s="835">
        <v>39082</v>
      </c>
      <c r="AK2048" s="831">
        <v>5428000</v>
      </c>
      <c r="AP2048" s="831" t="str">
        <f t="shared" si="94"/>
        <v/>
      </c>
    </row>
    <row r="2049" spans="2:42">
      <c r="B2049" s="834" t="str">
        <f t="shared" si="93"/>
        <v>|||</v>
      </c>
      <c r="H2049" s="835">
        <f t="shared" si="95"/>
        <v>31</v>
      </c>
      <c r="AF2049" s="831" t="s">
        <v>2743</v>
      </c>
      <c r="AG2049" s="831" t="s">
        <v>55</v>
      </c>
      <c r="AH2049" s="831" t="s">
        <v>71</v>
      </c>
      <c r="AI2049" s="831">
        <v>1</v>
      </c>
      <c r="AJ2049" s="835">
        <v>39082</v>
      </c>
      <c r="AK2049" s="831">
        <v>0</v>
      </c>
      <c r="AP2049" s="831" t="str">
        <f t="shared" si="94"/>
        <v/>
      </c>
    </row>
    <row r="2050" spans="2:42">
      <c r="B2050" s="834" t="str">
        <f t="shared" si="93"/>
        <v>|||</v>
      </c>
      <c r="H2050" s="835">
        <f t="shared" si="95"/>
        <v>31</v>
      </c>
      <c r="AF2050" s="831" t="s">
        <v>2744</v>
      </c>
      <c r="AG2050" s="831" t="s">
        <v>55</v>
      </c>
      <c r="AH2050" s="831" t="s">
        <v>76</v>
      </c>
      <c r="AI2050" s="831">
        <v>1</v>
      </c>
      <c r="AJ2050" s="835">
        <v>39082</v>
      </c>
      <c r="AK2050" s="831">
        <v>5428000</v>
      </c>
      <c r="AP2050" s="831" t="str">
        <f t="shared" si="94"/>
        <v/>
      </c>
    </row>
    <row r="2051" spans="2:42">
      <c r="B2051" s="834" t="str">
        <f t="shared" ref="B2051:B2114" si="96">C2051&amp;"|"&amp;D2051&amp;"|"&amp;E2051&amp;"|"&amp;F2051</f>
        <v>|||</v>
      </c>
      <c r="H2051" s="835">
        <f t="shared" si="95"/>
        <v>31</v>
      </c>
      <c r="AF2051" s="831" t="s">
        <v>2745</v>
      </c>
      <c r="AG2051" s="831" t="s">
        <v>55</v>
      </c>
      <c r="AH2051" s="831" t="s">
        <v>81</v>
      </c>
      <c r="AI2051" s="831">
        <v>1</v>
      </c>
      <c r="AJ2051" s="835">
        <v>39082</v>
      </c>
      <c r="AK2051" s="831">
        <v>0</v>
      </c>
      <c r="AP2051" s="831" t="str">
        <f t="shared" ref="AP2051:AP2114" si="97">IF(AX2051&lt;&gt;"",IF(OR(AX2051=3,AX2051=4),"Equity","Debt"),"")</f>
        <v/>
      </c>
    </row>
    <row r="2052" spans="2:42">
      <c r="B2052" s="834" t="str">
        <f t="shared" si="96"/>
        <v>|||</v>
      </c>
      <c r="H2052" s="835">
        <f t="shared" ref="H2052:H2115" si="98">EOMONTH(L2052,0)</f>
        <v>31</v>
      </c>
      <c r="AF2052" s="831" t="s">
        <v>2746</v>
      </c>
      <c r="AG2052" s="831" t="s">
        <v>55</v>
      </c>
      <c r="AH2052" s="831" t="s">
        <v>10</v>
      </c>
      <c r="AI2052" s="831">
        <v>1</v>
      </c>
      <c r="AJ2052" s="835">
        <v>39082</v>
      </c>
      <c r="AK2052" s="831">
        <v>40730000</v>
      </c>
      <c r="AP2052" s="831" t="str">
        <f t="shared" si="97"/>
        <v/>
      </c>
    </row>
    <row r="2053" spans="2:42">
      <c r="B2053" s="834" t="str">
        <f t="shared" si="96"/>
        <v>|||</v>
      </c>
      <c r="H2053" s="835">
        <f t="shared" si="98"/>
        <v>31</v>
      </c>
      <c r="AF2053" s="831" t="s">
        <v>2747</v>
      </c>
      <c r="AG2053" s="831" t="s">
        <v>55</v>
      </c>
      <c r="AH2053" s="831" t="s">
        <v>91</v>
      </c>
      <c r="AI2053" s="831">
        <v>1</v>
      </c>
      <c r="AJ2053" s="835">
        <v>39082</v>
      </c>
      <c r="AK2053" s="831">
        <v>-857000</v>
      </c>
      <c r="AP2053" s="831" t="str">
        <f t="shared" si="97"/>
        <v/>
      </c>
    </row>
    <row r="2054" spans="2:42">
      <c r="B2054" s="834" t="str">
        <f t="shared" si="96"/>
        <v>|||</v>
      </c>
      <c r="H2054" s="835">
        <f t="shared" si="98"/>
        <v>31</v>
      </c>
      <c r="AF2054" s="831" t="s">
        <v>2748</v>
      </c>
      <c r="AG2054" s="831" t="s">
        <v>55</v>
      </c>
      <c r="AH2054" s="831" t="s">
        <v>94</v>
      </c>
      <c r="AI2054" s="831">
        <v>1</v>
      </c>
      <c r="AJ2054" s="835">
        <v>39082</v>
      </c>
      <c r="AK2054" s="831">
        <v>2980000</v>
      </c>
      <c r="AP2054" s="831" t="str">
        <f t="shared" si="97"/>
        <v/>
      </c>
    </row>
    <row r="2055" spans="2:42">
      <c r="B2055" s="834" t="str">
        <f t="shared" si="96"/>
        <v>|||</v>
      </c>
      <c r="H2055" s="835">
        <f t="shared" si="98"/>
        <v>31</v>
      </c>
      <c r="AF2055" s="831" t="s">
        <v>2749</v>
      </c>
      <c r="AG2055" s="831" t="s">
        <v>55</v>
      </c>
      <c r="AH2055" s="831" t="s">
        <v>103</v>
      </c>
      <c r="AI2055" s="831">
        <v>1</v>
      </c>
      <c r="AJ2055" s="835">
        <v>39082</v>
      </c>
      <c r="AK2055" s="831">
        <v>3274000</v>
      </c>
      <c r="AP2055" s="831" t="str">
        <f t="shared" si="97"/>
        <v/>
      </c>
    </row>
    <row r="2056" spans="2:42">
      <c r="B2056" s="834" t="str">
        <f t="shared" si="96"/>
        <v>|||</v>
      </c>
      <c r="H2056" s="835">
        <f t="shared" si="98"/>
        <v>31</v>
      </c>
      <c r="AF2056" s="831" t="s">
        <v>2750</v>
      </c>
      <c r="AG2056" s="831" t="s">
        <v>55</v>
      </c>
      <c r="AH2056" s="831" t="s">
        <v>108</v>
      </c>
      <c r="AI2056" s="831">
        <v>1</v>
      </c>
      <c r="AJ2056" s="835">
        <v>39082</v>
      </c>
      <c r="AK2056" s="831">
        <v>0</v>
      </c>
      <c r="AP2056" s="831" t="str">
        <f t="shared" si="97"/>
        <v/>
      </c>
    </row>
    <row r="2057" spans="2:42">
      <c r="B2057" s="834" t="str">
        <f t="shared" si="96"/>
        <v>|||</v>
      </c>
      <c r="H2057" s="835">
        <f t="shared" si="98"/>
        <v>31</v>
      </c>
      <c r="AF2057" s="831" t="s">
        <v>2751</v>
      </c>
      <c r="AG2057" s="831" t="s">
        <v>55</v>
      </c>
      <c r="AH2057" s="831" t="s">
        <v>110</v>
      </c>
      <c r="AI2057" s="831">
        <v>1</v>
      </c>
      <c r="AJ2057" s="835">
        <v>39082</v>
      </c>
      <c r="AK2057" s="831">
        <v>39020000</v>
      </c>
      <c r="AP2057" s="831" t="str">
        <f t="shared" si="97"/>
        <v/>
      </c>
    </row>
    <row r="2058" spans="2:42">
      <c r="B2058" s="834" t="str">
        <f t="shared" si="96"/>
        <v>|||</v>
      </c>
      <c r="H2058" s="835">
        <f t="shared" si="98"/>
        <v>31</v>
      </c>
      <c r="AF2058" s="831" t="s">
        <v>2752</v>
      </c>
      <c r="AG2058" s="831" t="s">
        <v>55</v>
      </c>
      <c r="AH2058" s="831" t="s">
        <v>112</v>
      </c>
      <c r="AI2058" s="831">
        <v>1</v>
      </c>
      <c r="AJ2058" s="835">
        <v>39082</v>
      </c>
      <c r="AK2058" s="831">
        <v>0</v>
      </c>
      <c r="AP2058" s="831" t="str">
        <f t="shared" si="97"/>
        <v/>
      </c>
    </row>
    <row r="2059" spans="2:42">
      <c r="B2059" s="834" t="str">
        <f t="shared" si="96"/>
        <v>|||</v>
      </c>
      <c r="H2059" s="835">
        <f t="shared" si="98"/>
        <v>31</v>
      </c>
      <c r="AF2059" s="831" t="s">
        <v>2753</v>
      </c>
      <c r="AG2059" s="831" t="s">
        <v>55</v>
      </c>
      <c r="AH2059" s="831" t="s">
        <v>114</v>
      </c>
      <c r="AI2059" s="831">
        <v>1</v>
      </c>
      <c r="AJ2059" s="835">
        <v>39082</v>
      </c>
      <c r="AK2059" s="831">
        <v>0</v>
      </c>
      <c r="AP2059" s="831" t="str">
        <f t="shared" si="97"/>
        <v/>
      </c>
    </row>
    <row r="2060" spans="2:42">
      <c r="B2060" s="834" t="str">
        <f t="shared" si="96"/>
        <v>|||</v>
      </c>
      <c r="H2060" s="835">
        <f t="shared" si="98"/>
        <v>31</v>
      </c>
      <c r="AF2060" s="831" t="s">
        <v>2754</v>
      </c>
      <c r="AG2060" s="831" t="s">
        <v>55</v>
      </c>
      <c r="AH2060" s="831" t="s">
        <v>116</v>
      </c>
      <c r="AI2060" s="831">
        <v>1</v>
      </c>
      <c r="AJ2060" s="835">
        <v>39082</v>
      </c>
      <c r="AK2060" s="831">
        <v>0</v>
      </c>
      <c r="AP2060" s="831" t="str">
        <f t="shared" si="97"/>
        <v/>
      </c>
    </row>
    <row r="2061" spans="2:42">
      <c r="B2061" s="834" t="str">
        <f t="shared" si="96"/>
        <v>|||</v>
      </c>
      <c r="H2061" s="835">
        <f t="shared" si="98"/>
        <v>31</v>
      </c>
      <c r="AF2061" s="831" t="s">
        <v>2755</v>
      </c>
      <c r="AG2061" s="831" t="s">
        <v>55</v>
      </c>
      <c r="AH2061" s="831" t="s">
        <v>117</v>
      </c>
      <c r="AI2061" s="831">
        <v>1</v>
      </c>
      <c r="AJ2061" s="835">
        <v>39082</v>
      </c>
      <c r="AK2061" s="831">
        <v>29000</v>
      </c>
      <c r="AP2061" s="831" t="str">
        <f t="shared" si="97"/>
        <v/>
      </c>
    </row>
    <row r="2062" spans="2:42">
      <c r="B2062" s="834" t="str">
        <f t="shared" si="96"/>
        <v>|||</v>
      </c>
      <c r="H2062" s="835">
        <f t="shared" si="98"/>
        <v>31</v>
      </c>
      <c r="AF2062" s="831" t="s">
        <v>2756</v>
      </c>
      <c r="AG2062" s="831" t="s">
        <v>55</v>
      </c>
      <c r="AH2062" s="831" t="s">
        <v>123</v>
      </c>
      <c r="AI2062" s="831">
        <v>1</v>
      </c>
      <c r="AJ2062" s="835">
        <v>39082</v>
      </c>
      <c r="AK2062" s="831">
        <v>6713000</v>
      </c>
      <c r="AP2062" s="831" t="str">
        <f t="shared" si="97"/>
        <v/>
      </c>
    </row>
    <row r="2063" spans="2:42">
      <c r="B2063" s="834" t="str">
        <f t="shared" si="96"/>
        <v>|||</v>
      </c>
      <c r="H2063" s="835">
        <f t="shared" si="98"/>
        <v>31</v>
      </c>
      <c r="AF2063" s="831" t="s">
        <v>2757</v>
      </c>
      <c r="AG2063" s="831" t="s">
        <v>55</v>
      </c>
      <c r="AH2063" s="831" t="s">
        <v>125</v>
      </c>
      <c r="AI2063" s="831">
        <v>1</v>
      </c>
      <c r="AJ2063" s="835">
        <v>39082</v>
      </c>
      <c r="AK2063" s="831">
        <v>-755000</v>
      </c>
      <c r="AP2063" s="831" t="str">
        <f t="shared" si="97"/>
        <v/>
      </c>
    </row>
    <row r="2064" spans="2:42">
      <c r="B2064" s="834" t="str">
        <f t="shared" si="96"/>
        <v>|||</v>
      </c>
      <c r="H2064" s="835">
        <f t="shared" si="98"/>
        <v>31</v>
      </c>
      <c r="AF2064" s="831" t="s">
        <v>2758</v>
      </c>
      <c r="AG2064" s="831" t="s">
        <v>55</v>
      </c>
      <c r="AH2064" s="831" t="s">
        <v>66</v>
      </c>
      <c r="AI2064" s="831">
        <v>1</v>
      </c>
      <c r="AJ2064" s="835">
        <v>39447</v>
      </c>
      <c r="AK2064" s="831">
        <v>14014000</v>
      </c>
      <c r="AP2064" s="831" t="str">
        <f t="shared" si="97"/>
        <v/>
      </c>
    </row>
    <row r="2065" spans="2:42">
      <c r="B2065" s="834" t="str">
        <f t="shared" si="96"/>
        <v>|||</v>
      </c>
      <c r="H2065" s="835">
        <f t="shared" si="98"/>
        <v>31</v>
      </c>
      <c r="AF2065" s="831" t="s">
        <v>2759</v>
      </c>
      <c r="AG2065" s="831" t="s">
        <v>55</v>
      </c>
      <c r="AH2065" s="831" t="s">
        <v>71</v>
      </c>
      <c r="AI2065" s="831">
        <v>1</v>
      </c>
      <c r="AJ2065" s="835">
        <v>39447</v>
      </c>
      <c r="AK2065" s="831">
        <v>0</v>
      </c>
      <c r="AP2065" s="831" t="str">
        <f t="shared" si="97"/>
        <v/>
      </c>
    </row>
    <row r="2066" spans="2:42">
      <c r="B2066" s="834" t="str">
        <f t="shared" si="96"/>
        <v>|||</v>
      </c>
      <c r="H2066" s="835">
        <f t="shared" si="98"/>
        <v>31</v>
      </c>
      <c r="AF2066" s="831" t="s">
        <v>2760</v>
      </c>
      <c r="AG2066" s="831" t="s">
        <v>55</v>
      </c>
      <c r="AH2066" s="831" t="s">
        <v>76</v>
      </c>
      <c r="AI2066" s="831">
        <v>1</v>
      </c>
      <c r="AJ2066" s="835">
        <v>39447</v>
      </c>
      <c r="AK2066" s="831">
        <v>14014000</v>
      </c>
      <c r="AP2066" s="831" t="str">
        <f t="shared" si="97"/>
        <v/>
      </c>
    </row>
    <row r="2067" spans="2:42">
      <c r="B2067" s="834" t="str">
        <f t="shared" si="96"/>
        <v>|||</v>
      </c>
      <c r="H2067" s="835">
        <f t="shared" si="98"/>
        <v>31</v>
      </c>
      <c r="AF2067" s="831" t="s">
        <v>2761</v>
      </c>
      <c r="AG2067" s="831" t="s">
        <v>55</v>
      </c>
      <c r="AH2067" s="831" t="s">
        <v>81</v>
      </c>
      <c r="AI2067" s="831">
        <v>1</v>
      </c>
      <c r="AJ2067" s="835">
        <v>39447</v>
      </c>
      <c r="AK2067" s="831">
        <v>0</v>
      </c>
      <c r="AP2067" s="831" t="str">
        <f t="shared" si="97"/>
        <v/>
      </c>
    </row>
    <row r="2068" spans="2:42">
      <c r="B2068" s="834" t="str">
        <f t="shared" si="96"/>
        <v>|||</v>
      </c>
      <c r="H2068" s="835">
        <f t="shared" si="98"/>
        <v>31</v>
      </c>
      <c r="AF2068" s="831" t="s">
        <v>2762</v>
      </c>
      <c r="AG2068" s="831" t="s">
        <v>55</v>
      </c>
      <c r="AH2068" s="831" t="s">
        <v>10</v>
      </c>
      <c r="AI2068" s="831">
        <v>1</v>
      </c>
      <c r="AJ2068" s="835">
        <v>39447</v>
      </c>
      <c r="AK2068" s="831">
        <v>95963561</v>
      </c>
      <c r="AP2068" s="831" t="str">
        <f t="shared" si="97"/>
        <v/>
      </c>
    </row>
    <row r="2069" spans="2:42">
      <c r="B2069" s="834" t="str">
        <f t="shared" si="96"/>
        <v>|||</v>
      </c>
      <c r="H2069" s="835">
        <f t="shared" si="98"/>
        <v>31</v>
      </c>
      <c r="AF2069" s="831" t="s">
        <v>2763</v>
      </c>
      <c r="AG2069" s="831" t="s">
        <v>55</v>
      </c>
      <c r="AH2069" s="831" t="s">
        <v>91</v>
      </c>
      <c r="AI2069" s="831">
        <v>1</v>
      </c>
      <c r="AJ2069" s="835">
        <v>39447</v>
      </c>
      <c r="AK2069" s="831">
        <v>-1986680</v>
      </c>
      <c r="AP2069" s="831" t="str">
        <f t="shared" si="97"/>
        <v/>
      </c>
    </row>
    <row r="2070" spans="2:42">
      <c r="B2070" s="834" t="str">
        <f t="shared" si="96"/>
        <v>|||</v>
      </c>
      <c r="H2070" s="835">
        <f t="shared" si="98"/>
        <v>31</v>
      </c>
      <c r="AF2070" s="831" t="s">
        <v>2764</v>
      </c>
      <c r="AG2070" s="831" t="s">
        <v>55</v>
      </c>
      <c r="AH2070" s="831" t="s">
        <v>94</v>
      </c>
      <c r="AI2070" s="831">
        <v>1</v>
      </c>
      <c r="AJ2070" s="835">
        <v>39447</v>
      </c>
      <c r="AK2070" s="831">
        <v>4645000</v>
      </c>
      <c r="AP2070" s="831" t="str">
        <f t="shared" si="97"/>
        <v/>
      </c>
    </row>
    <row r="2071" spans="2:42">
      <c r="B2071" s="834" t="str">
        <f t="shared" si="96"/>
        <v>|||</v>
      </c>
      <c r="H2071" s="835">
        <f t="shared" si="98"/>
        <v>31</v>
      </c>
      <c r="AF2071" s="831" t="s">
        <v>2765</v>
      </c>
      <c r="AG2071" s="831" t="s">
        <v>55</v>
      </c>
      <c r="AH2071" s="831" t="s">
        <v>103</v>
      </c>
      <c r="AI2071" s="831">
        <v>1</v>
      </c>
      <c r="AJ2071" s="835">
        <v>39447</v>
      </c>
      <c r="AK2071" s="831">
        <v>12133608</v>
      </c>
      <c r="AP2071" s="831" t="str">
        <f t="shared" si="97"/>
        <v/>
      </c>
    </row>
    <row r="2072" spans="2:42">
      <c r="B2072" s="834" t="str">
        <f t="shared" si="96"/>
        <v>|||</v>
      </c>
      <c r="H2072" s="835">
        <f t="shared" si="98"/>
        <v>31</v>
      </c>
      <c r="AF2072" s="831" t="s">
        <v>2766</v>
      </c>
      <c r="AG2072" s="831" t="s">
        <v>55</v>
      </c>
      <c r="AH2072" s="831" t="s">
        <v>108</v>
      </c>
      <c r="AI2072" s="831">
        <v>1</v>
      </c>
      <c r="AJ2072" s="835">
        <v>39447</v>
      </c>
      <c r="AK2072" s="831">
        <v>0</v>
      </c>
      <c r="AP2072" s="831" t="str">
        <f t="shared" si="97"/>
        <v/>
      </c>
    </row>
    <row r="2073" spans="2:42">
      <c r="B2073" s="834" t="str">
        <f t="shared" si="96"/>
        <v>|||</v>
      </c>
      <c r="H2073" s="835">
        <f t="shared" si="98"/>
        <v>31</v>
      </c>
      <c r="AF2073" s="831" t="s">
        <v>2767</v>
      </c>
      <c r="AG2073" s="831" t="s">
        <v>55</v>
      </c>
      <c r="AH2073" s="831" t="s">
        <v>110</v>
      </c>
      <c r="AI2073" s="831">
        <v>1</v>
      </c>
      <c r="AJ2073" s="835">
        <v>39447</v>
      </c>
      <c r="AK2073" s="831">
        <v>85969951</v>
      </c>
      <c r="AP2073" s="831" t="str">
        <f t="shared" si="97"/>
        <v/>
      </c>
    </row>
    <row r="2074" spans="2:42">
      <c r="B2074" s="834" t="str">
        <f t="shared" si="96"/>
        <v>|||</v>
      </c>
      <c r="H2074" s="835">
        <f t="shared" si="98"/>
        <v>31</v>
      </c>
      <c r="AF2074" s="831" t="s">
        <v>2768</v>
      </c>
      <c r="AG2074" s="831" t="s">
        <v>55</v>
      </c>
      <c r="AH2074" s="831" t="s">
        <v>112</v>
      </c>
      <c r="AI2074" s="831">
        <v>1</v>
      </c>
      <c r="AJ2074" s="835">
        <v>39447</v>
      </c>
      <c r="AK2074" s="831">
        <v>0</v>
      </c>
      <c r="AP2074" s="831" t="str">
        <f t="shared" si="97"/>
        <v/>
      </c>
    </row>
    <row r="2075" spans="2:42">
      <c r="B2075" s="834" t="str">
        <f t="shared" si="96"/>
        <v>|||</v>
      </c>
      <c r="H2075" s="835">
        <f t="shared" si="98"/>
        <v>31</v>
      </c>
      <c r="AF2075" s="831" t="s">
        <v>2769</v>
      </c>
      <c r="AG2075" s="831" t="s">
        <v>55</v>
      </c>
      <c r="AH2075" s="831" t="s">
        <v>114</v>
      </c>
      <c r="AI2075" s="831">
        <v>1</v>
      </c>
      <c r="AJ2075" s="835">
        <v>39447</v>
      </c>
      <c r="AK2075" s="831">
        <v>0</v>
      </c>
      <c r="AP2075" s="831" t="str">
        <f t="shared" si="97"/>
        <v/>
      </c>
    </row>
    <row r="2076" spans="2:42">
      <c r="B2076" s="834" t="str">
        <f t="shared" si="96"/>
        <v>|||</v>
      </c>
      <c r="H2076" s="835">
        <f t="shared" si="98"/>
        <v>31</v>
      </c>
      <c r="AF2076" s="831" t="s">
        <v>2770</v>
      </c>
      <c r="AG2076" s="831" t="s">
        <v>55</v>
      </c>
      <c r="AH2076" s="831" t="s">
        <v>116</v>
      </c>
      <c r="AI2076" s="831">
        <v>1</v>
      </c>
      <c r="AJ2076" s="835">
        <v>39447</v>
      </c>
      <c r="AK2076" s="831">
        <v>0</v>
      </c>
      <c r="AP2076" s="831" t="str">
        <f t="shared" si="97"/>
        <v/>
      </c>
    </row>
    <row r="2077" spans="2:42">
      <c r="B2077" s="834" t="str">
        <f t="shared" si="96"/>
        <v>|||</v>
      </c>
      <c r="H2077" s="835">
        <f t="shared" si="98"/>
        <v>31</v>
      </c>
      <c r="AF2077" s="831" t="s">
        <v>2771</v>
      </c>
      <c r="AG2077" s="831" t="s">
        <v>55</v>
      </c>
      <c r="AH2077" s="831" t="s">
        <v>117</v>
      </c>
      <c r="AI2077" s="831">
        <v>1</v>
      </c>
      <c r="AJ2077" s="835">
        <v>39447</v>
      </c>
      <c r="AK2077" s="831">
        <v>688322</v>
      </c>
      <c r="AP2077" s="831" t="str">
        <f t="shared" si="97"/>
        <v/>
      </c>
    </row>
    <row r="2078" spans="2:42">
      <c r="B2078" s="834" t="str">
        <f t="shared" si="96"/>
        <v>|||</v>
      </c>
      <c r="H2078" s="835">
        <f t="shared" si="98"/>
        <v>31</v>
      </c>
      <c r="AF2078" s="831" t="s">
        <v>2772</v>
      </c>
      <c r="AG2078" s="831" t="s">
        <v>55</v>
      </c>
      <c r="AH2078" s="831" t="s">
        <v>123</v>
      </c>
      <c r="AI2078" s="831">
        <v>1</v>
      </c>
      <c r="AJ2078" s="835">
        <v>39447</v>
      </c>
      <c r="AK2078" s="831">
        <v>11000000</v>
      </c>
      <c r="AP2078" s="831" t="str">
        <f t="shared" si="97"/>
        <v/>
      </c>
    </row>
    <row r="2079" spans="2:42">
      <c r="B2079" s="834" t="str">
        <f t="shared" si="96"/>
        <v>|||</v>
      </c>
      <c r="H2079" s="835">
        <f t="shared" si="98"/>
        <v>31</v>
      </c>
      <c r="AF2079" s="831" t="s">
        <v>2773</v>
      </c>
      <c r="AG2079" s="831" t="s">
        <v>55</v>
      </c>
      <c r="AH2079" s="831" t="s">
        <v>125</v>
      </c>
      <c r="AI2079" s="831">
        <v>1</v>
      </c>
      <c r="AJ2079" s="835">
        <v>39447</v>
      </c>
      <c r="AK2079" s="831">
        <v>2844000</v>
      </c>
      <c r="AP2079" s="831" t="str">
        <f t="shared" si="97"/>
        <v/>
      </c>
    </row>
    <row r="2080" spans="2:42">
      <c r="B2080" s="834" t="str">
        <f t="shared" si="96"/>
        <v>|||</v>
      </c>
      <c r="H2080" s="835">
        <f t="shared" si="98"/>
        <v>31</v>
      </c>
      <c r="AF2080" s="831" t="s">
        <v>2774</v>
      </c>
      <c r="AG2080" s="831" t="s">
        <v>55</v>
      </c>
      <c r="AH2080" s="831" t="s">
        <v>66</v>
      </c>
      <c r="AI2080" s="831">
        <v>1</v>
      </c>
      <c r="AJ2080" s="835">
        <v>39813</v>
      </c>
      <c r="AK2080" s="831">
        <v>23324466</v>
      </c>
      <c r="AP2080" s="831" t="str">
        <f t="shared" si="97"/>
        <v/>
      </c>
    </row>
    <row r="2081" spans="2:42">
      <c r="B2081" s="834" t="str">
        <f t="shared" si="96"/>
        <v>|||</v>
      </c>
      <c r="H2081" s="835">
        <f t="shared" si="98"/>
        <v>31</v>
      </c>
      <c r="AF2081" s="831" t="s">
        <v>2775</v>
      </c>
      <c r="AG2081" s="831" t="s">
        <v>55</v>
      </c>
      <c r="AH2081" s="831" t="s">
        <v>71</v>
      </c>
      <c r="AI2081" s="831">
        <v>1</v>
      </c>
      <c r="AJ2081" s="835">
        <v>39813</v>
      </c>
      <c r="AK2081" s="831">
        <v>0</v>
      </c>
      <c r="AP2081" s="831" t="str">
        <f t="shared" si="97"/>
        <v/>
      </c>
    </row>
    <row r="2082" spans="2:42">
      <c r="B2082" s="834" t="str">
        <f t="shared" si="96"/>
        <v>|||</v>
      </c>
      <c r="H2082" s="835">
        <f t="shared" si="98"/>
        <v>31</v>
      </c>
      <c r="AF2082" s="831" t="s">
        <v>2776</v>
      </c>
      <c r="AG2082" s="831" t="s">
        <v>55</v>
      </c>
      <c r="AH2082" s="831" t="s">
        <v>76</v>
      </c>
      <c r="AI2082" s="831">
        <v>1</v>
      </c>
      <c r="AJ2082" s="835">
        <v>39813</v>
      </c>
      <c r="AK2082" s="831">
        <v>23324466</v>
      </c>
      <c r="AP2082" s="831" t="str">
        <f t="shared" si="97"/>
        <v/>
      </c>
    </row>
    <row r="2083" spans="2:42">
      <c r="B2083" s="834" t="str">
        <f t="shared" si="96"/>
        <v>|||</v>
      </c>
      <c r="H2083" s="835">
        <f t="shared" si="98"/>
        <v>31</v>
      </c>
      <c r="AF2083" s="831" t="s">
        <v>2777</v>
      </c>
      <c r="AG2083" s="831" t="s">
        <v>55</v>
      </c>
      <c r="AH2083" s="831" t="s">
        <v>81</v>
      </c>
      <c r="AI2083" s="831">
        <v>1</v>
      </c>
      <c r="AJ2083" s="835">
        <v>39813</v>
      </c>
      <c r="AK2083" s="831">
        <v>0</v>
      </c>
      <c r="AP2083" s="831" t="str">
        <f t="shared" si="97"/>
        <v/>
      </c>
    </row>
    <row r="2084" spans="2:42">
      <c r="B2084" s="834" t="str">
        <f t="shared" si="96"/>
        <v>|||</v>
      </c>
      <c r="H2084" s="835">
        <f t="shared" si="98"/>
        <v>31</v>
      </c>
      <c r="AF2084" s="831" t="s">
        <v>2778</v>
      </c>
      <c r="AG2084" s="831" t="s">
        <v>55</v>
      </c>
      <c r="AH2084" s="831" t="s">
        <v>10</v>
      </c>
      <c r="AI2084" s="831">
        <v>1</v>
      </c>
      <c r="AJ2084" s="835">
        <v>39813</v>
      </c>
      <c r="AK2084" s="831">
        <v>166731011</v>
      </c>
      <c r="AP2084" s="831" t="str">
        <f t="shared" si="97"/>
        <v/>
      </c>
    </row>
    <row r="2085" spans="2:42">
      <c r="B2085" s="834" t="str">
        <f t="shared" si="96"/>
        <v>|||</v>
      </c>
      <c r="H2085" s="835">
        <f t="shared" si="98"/>
        <v>31</v>
      </c>
      <c r="AF2085" s="831" t="s">
        <v>2779</v>
      </c>
      <c r="AG2085" s="831" t="s">
        <v>55</v>
      </c>
      <c r="AH2085" s="831" t="s">
        <v>91</v>
      </c>
      <c r="AI2085" s="831">
        <v>1</v>
      </c>
      <c r="AJ2085" s="835">
        <v>39813</v>
      </c>
      <c r="AK2085" s="831">
        <v>-4115638</v>
      </c>
      <c r="AP2085" s="831" t="str">
        <f t="shared" si="97"/>
        <v/>
      </c>
    </row>
    <row r="2086" spans="2:42">
      <c r="B2086" s="834" t="str">
        <f t="shared" si="96"/>
        <v>|||</v>
      </c>
      <c r="H2086" s="835">
        <f t="shared" si="98"/>
        <v>31</v>
      </c>
      <c r="AF2086" s="831" t="s">
        <v>2780</v>
      </c>
      <c r="AG2086" s="831" t="s">
        <v>55</v>
      </c>
      <c r="AH2086" s="831" t="s">
        <v>94</v>
      </c>
      <c r="AI2086" s="831">
        <v>1</v>
      </c>
      <c r="AJ2086" s="835">
        <v>39813</v>
      </c>
      <c r="AK2086" s="831">
        <v>7975161</v>
      </c>
      <c r="AP2086" s="831" t="str">
        <f t="shared" si="97"/>
        <v/>
      </c>
    </row>
    <row r="2087" spans="2:42">
      <c r="B2087" s="834" t="str">
        <f t="shared" si="96"/>
        <v>|||</v>
      </c>
      <c r="H2087" s="835">
        <f t="shared" si="98"/>
        <v>31</v>
      </c>
      <c r="AF2087" s="831" t="s">
        <v>2781</v>
      </c>
      <c r="AG2087" s="831" t="s">
        <v>55</v>
      </c>
      <c r="AH2087" s="831" t="s">
        <v>103</v>
      </c>
      <c r="AI2087" s="831">
        <v>1</v>
      </c>
      <c r="AJ2087" s="835">
        <v>39813</v>
      </c>
      <c r="AK2087" s="831">
        <v>21852000</v>
      </c>
      <c r="AP2087" s="831" t="str">
        <f t="shared" si="97"/>
        <v/>
      </c>
    </row>
    <row r="2088" spans="2:42">
      <c r="B2088" s="834" t="str">
        <f t="shared" si="96"/>
        <v>|||</v>
      </c>
      <c r="H2088" s="835">
        <f t="shared" si="98"/>
        <v>31</v>
      </c>
      <c r="AF2088" s="831" t="s">
        <v>2782</v>
      </c>
      <c r="AG2088" s="831" t="s">
        <v>55</v>
      </c>
      <c r="AH2088" s="831" t="s">
        <v>108</v>
      </c>
      <c r="AI2088" s="831">
        <v>1</v>
      </c>
      <c r="AJ2088" s="835">
        <v>39813</v>
      </c>
      <c r="AK2088" s="831">
        <v>0</v>
      </c>
      <c r="AP2088" s="831" t="str">
        <f t="shared" si="97"/>
        <v/>
      </c>
    </row>
    <row r="2089" spans="2:42">
      <c r="B2089" s="834" t="str">
        <f t="shared" si="96"/>
        <v>|||</v>
      </c>
      <c r="H2089" s="835">
        <f t="shared" si="98"/>
        <v>31</v>
      </c>
      <c r="AF2089" s="831" t="s">
        <v>2783</v>
      </c>
      <c r="AG2089" s="831" t="s">
        <v>55</v>
      </c>
      <c r="AH2089" s="831" t="s">
        <v>110</v>
      </c>
      <c r="AI2089" s="831">
        <v>1</v>
      </c>
      <c r="AJ2089" s="835">
        <v>39813</v>
      </c>
      <c r="AK2089" s="831">
        <v>128053000</v>
      </c>
      <c r="AP2089" s="831" t="str">
        <f t="shared" si="97"/>
        <v/>
      </c>
    </row>
    <row r="2090" spans="2:42">
      <c r="B2090" s="834" t="str">
        <f t="shared" si="96"/>
        <v>|||</v>
      </c>
      <c r="H2090" s="835">
        <f t="shared" si="98"/>
        <v>31</v>
      </c>
      <c r="AF2090" s="831" t="s">
        <v>2784</v>
      </c>
      <c r="AG2090" s="831" t="s">
        <v>55</v>
      </c>
      <c r="AH2090" s="831" t="s">
        <v>112</v>
      </c>
      <c r="AI2090" s="831">
        <v>1</v>
      </c>
      <c r="AJ2090" s="835">
        <v>39813</v>
      </c>
      <c r="AK2090" s="831">
        <v>0</v>
      </c>
      <c r="AP2090" s="831" t="str">
        <f t="shared" si="97"/>
        <v/>
      </c>
    </row>
    <row r="2091" spans="2:42">
      <c r="B2091" s="834" t="str">
        <f t="shared" si="96"/>
        <v>|||</v>
      </c>
      <c r="H2091" s="835">
        <f t="shared" si="98"/>
        <v>31</v>
      </c>
      <c r="AF2091" s="831" t="s">
        <v>2785</v>
      </c>
      <c r="AG2091" s="831" t="s">
        <v>55</v>
      </c>
      <c r="AH2091" s="831" t="s">
        <v>114</v>
      </c>
      <c r="AI2091" s="831">
        <v>1</v>
      </c>
      <c r="AJ2091" s="835">
        <v>39813</v>
      </c>
      <c r="AK2091" s="831">
        <v>0</v>
      </c>
      <c r="AP2091" s="831" t="str">
        <f t="shared" si="97"/>
        <v/>
      </c>
    </row>
    <row r="2092" spans="2:42">
      <c r="B2092" s="834" t="str">
        <f t="shared" si="96"/>
        <v>|||</v>
      </c>
      <c r="H2092" s="835">
        <f t="shared" si="98"/>
        <v>31</v>
      </c>
      <c r="AF2092" s="831" t="s">
        <v>2786</v>
      </c>
      <c r="AG2092" s="831" t="s">
        <v>55</v>
      </c>
      <c r="AH2092" s="831" t="s">
        <v>116</v>
      </c>
      <c r="AI2092" s="831">
        <v>1</v>
      </c>
      <c r="AJ2092" s="835">
        <v>39813</v>
      </c>
      <c r="AK2092" s="831">
        <v>0</v>
      </c>
      <c r="AP2092" s="831" t="str">
        <f t="shared" si="97"/>
        <v/>
      </c>
    </row>
    <row r="2093" spans="2:42">
      <c r="B2093" s="834" t="str">
        <f t="shared" si="96"/>
        <v>|||</v>
      </c>
      <c r="H2093" s="835">
        <f t="shared" si="98"/>
        <v>31</v>
      </c>
      <c r="AF2093" s="831" t="s">
        <v>2787</v>
      </c>
      <c r="AG2093" s="831" t="s">
        <v>55</v>
      </c>
      <c r="AH2093" s="831" t="s">
        <v>117</v>
      </c>
      <c r="AI2093" s="831">
        <v>1</v>
      </c>
      <c r="AJ2093" s="835">
        <v>39813</v>
      </c>
      <c r="AK2093" s="831">
        <v>10711000</v>
      </c>
      <c r="AP2093" s="831" t="str">
        <f t="shared" si="97"/>
        <v/>
      </c>
    </row>
    <row r="2094" spans="2:42">
      <c r="B2094" s="834" t="str">
        <f t="shared" si="96"/>
        <v>|||</v>
      </c>
      <c r="H2094" s="835">
        <f t="shared" si="98"/>
        <v>31</v>
      </c>
      <c r="AF2094" s="831" t="s">
        <v>2788</v>
      </c>
      <c r="AG2094" s="831" t="s">
        <v>55</v>
      </c>
      <c r="AH2094" s="831" t="s">
        <v>123</v>
      </c>
      <c r="AI2094" s="831">
        <v>1</v>
      </c>
      <c r="AJ2094" s="835">
        <v>39813</v>
      </c>
      <c r="AK2094" s="831">
        <v>20000000</v>
      </c>
      <c r="AP2094" s="831" t="str">
        <f t="shared" si="97"/>
        <v/>
      </c>
    </row>
    <row r="2095" spans="2:42">
      <c r="B2095" s="834" t="str">
        <f t="shared" si="96"/>
        <v>|||</v>
      </c>
      <c r="H2095" s="835">
        <f t="shared" si="98"/>
        <v>31</v>
      </c>
      <c r="AF2095" s="831" t="s">
        <v>2789</v>
      </c>
      <c r="AG2095" s="831" t="s">
        <v>55</v>
      </c>
      <c r="AH2095" s="831" t="s">
        <v>125</v>
      </c>
      <c r="AI2095" s="831">
        <v>1</v>
      </c>
      <c r="AJ2095" s="835">
        <v>39813</v>
      </c>
      <c r="AK2095" s="831">
        <v>13299000</v>
      </c>
      <c r="AP2095" s="831" t="str">
        <f t="shared" si="97"/>
        <v/>
      </c>
    </row>
    <row r="2096" spans="2:42">
      <c r="B2096" s="834" t="str">
        <f t="shared" si="96"/>
        <v>|||</v>
      </c>
      <c r="H2096" s="835">
        <f t="shared" si="98"/>
        <v>31</v>
      </c>
      <c r="AF2096" s="831" t="s">
        <v>2790</v>
      </c>
      <c r="AG2096" s="831" t="s">
        <v>55</v>
      </c>
      <c r="AH2096" s="831" t="s">
        <v>66</v>
      </c>
      <c r="AI2096" s="831">
        <v>1</v>
      </c>
      <c r="AJ2096" s="835">
        <v>40178</v>
      </c>
      <c r="AK2096" s="831">
        <v>56647418</v>
      </c>
      <c r="AP2096" s="831" t="str">
        <f t="shared" si="97"/>
        <v/>
      </c>
    </row>
    <row r="2097" spans="2:42">
      <c r="B2097" s="834" t="str">
        <f t="shared" si="96"/>
        <v>|||</v>
      </c>
      <c r="H2097" s="835">
        <f t="shared" si="98"/>
        <v>31</v>
      </c>
      <c r="AF2097" s="831" t="s">
        <v>2791</v>
      </c>
      <c r="AG2097" s="831" t="s">
        <v>55</v>
      </c>
      <c r="AH2097" s="831" t="s">
        <v>71</v>
      </c>
      <c r="AI2097" s="831">
        <v>1</v>
      </c>
      <c r="AJ2097" s="835">
        <v>40178</v>
      </c>
      <c r="AK2097" s="831">
        <v>0</v>
      </c>
      <c r="AP2097" s="831" t="str">
        <f t="shared" si="97"/>
        <v/>
      </c>
    </row>
    <row r="2098" spans="2:42">
      <c r="B2098" s="834" t="str">
        <f t="shared" si="96"/>
        <v>|||</v>
      </c>
      <c r="H2098" s="835">
        <f t="shared" si="98"/>
        <v>31</v>
      </c>
      <c r="AF2098" s="831" t="s">
        <v>2792</v>
      </c>
      <c r="AG2098" s="831" t="s">
        <v>55</v>
      </c>
      <c r="AH2098" s="831" t="s">
        <v>76</v>
      </c>
      <c r="AI2098" s="831">
        <v>1</v>
      </c>
      <c r="AJ2098" s="835">
        <v>40178</v>
      </c>
      <c r="AK2098" s="831">
        <v>30109634</v>
      </c>
      <c r="AP2098" s="831" t="str">
        <f t="shared" si="97"/>
        <v/>
      </c>
    </row>
    <row r="2099" spans="2:42">
      <c r="B2099" s="834" t="str">
        <f t="shared" si="96"/>
        <v>|||</v>
      </c>
      <c r="H2099" s="835">
        <f t="shared" si="98"/>
        <v>31</v>
      </c>
      <c r="AF2099" s="831" t="s">
        <v>2793</v>
      </c>
      <c r="AG2099" s="831" t="s">
        <v>55</v>
      </c>
      <c r="AH2099" s="831" t="s">
        <v>81</v>
      </c>
      <c r="AI2099" s="831">
        <v>1</v>
      </c>
      <c r="AJ2099" s="835">
        <v>40178</v>
      </c>
      <c r="AK2099" s="831">
        <v>26537784</v>
      </c>
      <c r="AP2099" s="831" t="str">
        <f t="shared" si="97"/>
        <v/>
      </c>
    </row>
    <row r="2100" spans="2:42">
      <c r="B2100" s="834" t="str">
        <f t="shared" si="96"/>
        <v>|||</v>
      </c>
      <c r="H2100" s="835">
        <f t="shared" si="98"/>
        <v>31</v>
      </c>
      <c r="AF2100" s="831" t="s">
        <v>2794</v>
      </c>
      <c r="AG2100" s="831" t="s">
        <v>55</v>
      </c>
      <c r="AH2100" s="831" t="s">
        <v>10</v>
      </c>
      <c r="AI2100" s="831">
        <v>1</v>
      </c>
      <c r="AJ2100" s="835">
        <v>40178</v>
      </c>
      <c r="AK2100" s="831">
        <v>238513488</v>
      </c>
      <c r="AP2100" s="831" t="str">
        <f t="shared" si="97"/>
        <v/>
      </c>
    </row>
    <row r="2101" spans="2:42">
      <c r="B2101" s="834" t="str">
        <f t="shared" si="96"/>
        <v>|||</v>
      </c>
      <c r="H2101" s="835">
        <f t="shared" si="98"/>
        <v>31</v>
      </c>
      <c r="AF2101" s="831" t="s">
        <v>2795</v>
      </c>
      <c r="AG2101" s="831" t="s">
        <v>55</v>
      </c>
      <c r="AH2101" s="831" t="s">
        <v>91</v>
      </c>
      <c r="AI2101" s="831">
        <v>1</v>
      </c>
      <c r="AJ2101" s="835">
        <v>40178</v>
      </c>
      <c r="AK2101" s="831">
        <v>-6593186</v>
      </c>
      <c r="AP2101" s="831" t="str">
        <f t="shared" si="97"/>
        <v/>
      </c>
    </row>
    <row r="2102" spans="2:42">
      <c r="B2102" s="834" t="str">
        <f t="shared" si="96"/>
        <v>|||</v>
      </c>
      <c r="H2102" s="835">
        <f t="shared" si="98"/>
        <v>31</v>
      </c>
      <c r="AF2102" s="831" t="s">
        <v>2796</v>
      </c>
      <c r="AG2102" s="831" t="s">
        <v>55</v>
      </c>
      <c r="AH2102" s="831" t="s">
        <v>94</v>
      </c>
      <c r="AI2102" s="831">
        <v>1</v>
      </c>
      <c r="AJ2102" s="835">
        <v>40178</v>
      </c>
      <c r="AK2102" s="831">
        <v>12204208</v>
      </c>
      <c r="AP2102" s="831" t="str">
        <f t="shared" si="97"/>
        <v/>
      </c>
    </row>
    <row r="2103" spans="2:42">
      <c r="B2103" s="834" t="str">
        <f t="shared" si="96"/>
        <v>|||</v>
      </c>
      <c r="H2103" s="835">
        <f t="shared" si="98"/>
        <v>31</v>
      </c>
      <c r="AF2103" s="831" t="s">
        <v>2797</v>
      </c>
      <c r="AG2103" s="831" t="s">
        <v>55</v>
      </c>
      <c r="AH2103" s="831" t="s">
        <v>103</v>
      </c>
      <c r="AI2103" s="831">
        <v>1</v>
      </c>
      <c r="AJ2103" s="835">
        <v>40178</v>
      </c>
      <c r="AK2103" s="831">
        <v>65810295</v>
      </c>
      <c r="AP2103" s="831" t="str">
        <f t="shared" si="97"/>
        <v/>
      </c>
    </row>
    <row r="2104" spans="2:42">
      <c r="B2104" s="834" t="str">
        <f t="shared" si="96"/>
        <v>|||</v>
      </c>
      <c r="H2104" s="835">
        <f t="shared" si="98"/>
        <v>31</v>
      </c>
      <c r="AF2104" s="831" t="s">
        <v>2798</v>
      </c>
      <c r="AG2104" s="831" t="s">
        <v>55</v>
      </c>
      <c r="AH2104" s="831" t="s">
        <v>108</v>
      </c>
      <c r="AI2104" s="831">
        <v>1</v>
      </c>
      <c r="AJ2104" s="835">
        <v>40178</v>
      </c>
      <c r="AK2104" s="831">
        <v>0</v>
      </c>
      <c r="AP2104" s="831" t="str">
        <f t="shared" si="97"/>
        <v/>
      </c>
    </row>
    <row r="2105" spans="2:42">
      <c r="B2105" s="834" t="str">
        <f t="shared" si="96"/>
        <v>|||</v>
      </c>
      <c r="H2105" s="835">
        <f t="shared" si="98"/>
        <v>31</v>
      </c>
      <c r="AF2105" s="831" t="s">
        <v>2799</v>
      </c>
      <c r="AG2105" s="831" t="s">
        <v>55</v>
      </c>
      <c r="AH2105" s="831" t="s">
        <v>110</v>
      </c>
      <c r="AI2105" s="831">
        <v>1</v>
      </c>
      <c r="AJ2105" s="835">
        <v>40178</v>
      </c>
      <c r="AK2105" s="831">
        <v>0</v>
      </c>
      <c r="AP2105" s="831" t="str">
        <f t="shared" si="97"/>
        <v/>
      </c>
    </row>
    <row r="2106" spans="2:42">
      <c r="B2106" s="834" t="str">
        <f t="shared" si="96"/>
        <v>|||</v>
      </c>
      <c r="H2106" s="835">
        <f t="shared" si="98"/>
        <v>31</v>
      </c>
      <c r="AF2106" s="831" t="s">
        <v>2800</v>
      </c>
      <c r="AG2106" s="831" t="s">
        <v>55</v>
      </c>
      <c r="AH2106" s="831" t="s">
        <v>112</v>
      </c>
      <c r="AI2106" s="831">
        <v>1</v>
      </c>
      <c r="AJ2106" s="835">
        <v>40178</v>
      </c>
      <c r="AK2106" s="831">
        <v>0</v>
      </c>
      <c r="AP2106" s="831" t="str">
        <f t="shared" si="97"/>
        <v/>
      </c>
    </row>
    <row r="2107" spans="2:42">
      <c r="B2107" s="834" t="str">
        <f t="shared" si="96"/>
        <v>|||</v>
      </c>
      <c r="H2107" s="835">
        <f t="shared" si="98"/>
        <v>31</v>
      </c>
      <c r="AF2107" s="831" t="s">
        <v>2801</v>
      </c>
      <c r="AG2107" s="831" t="s">
        <v>55</v>
      </c>
      <c r="AH2107" s="831" t="s">
        <v>114</v>
      </c>
      <c r="AI2107" s="831">
        <v>1</v>
      </c>
      <c r="AJ2107" s="835">
        <v>40178</v>
      </c>
      <c r="AK2107" s="831">
        <v>167470105</v>
      </c>
      <c r="AP2107" s="831" t="str">
        <f t="shared" si="97"/>
        <v/>
      </c>
    </row>
    <row r="2108" spans="2:42">
      <c r="B2108" s="834" t="str">
        <f t="shared" si="96"/>
        <v>|||</v>
      </c>
      <c r="H2108" s="835">
        <f t="shared" si="98"/>
        <v>31</v>
      </c>
      <c r="AF2108" s="831" t="s">
        <v>2802</v>
      </c>
      <c r="AG2108" s="831" t="s">
        <v>55</v>
      </c>
      <c r="AH2108" s="831" t="s">
        <v>116</v>
      </c>
      <c r="AI2108" s="831">
        <v>1</v>
      </c>
      <c r="AJ2108" s="835">
        <v>40178</v>
      </c>
      <c r="AK2108" s="831">
        <v>8200068</v>
      </c>
      <c r="AP2108" s="831" t="str">
        <f t="shared" si="97"/>
        <v/>
      </c>
    </row>
    <row r="2109" spans="2:42">
      <c r="B2109" s="834" t="str">
        <f t="shared" si="96"/>
        <v>|||</v>
      </c>
      <c r="H2109" s="835">
        <f t="shared" si="98"/>
        <v>31</v>
      </c>
      <c r="AF2109" s="831" t="s">
        <v>2803</v>
      </c>
      <c r="AG2109" s="831" t="s">
        <v>55</v>
      </c>
      <c r="AH2109" s="831" t="s">
        <v>117</v>
      </c>
      <c r="AI2109" s="831">
        <v>1</v>
      </c>
      <c r="AJ2109" s="835">
        <v>40178</v>
      </c>
      <c r="AK2109" s="831">
        <v>6006177</v>
      </c>
      <c r="AP2109" s="831" t="str">
        <f t="shared" si="97"/>
        <v/>
      </c>
    </row>
    <row r="2110" spans="2:42">
      <c r="B2110" s="834" t="str">
        <f t="shared" si="96"/>
        <v>|||</v>
      </c>
      <c r="H2110" s="835">
        <f t="shared" si="98"/>
        <v>31</v>
      </c>
      <c r="AF2110" s="831" t="s">
        <v>2804</v>
      </c>
      <c r="AG2110" s="831" t="s">
        <v>55</v>
      </c>
      <c r="AH2110" s="831" t="s">
        <v>123</v>
      </c>
      <c r="AI2110" s="831">
        <v>1</v>
      </c>
      <c r="AJ2110" s="835">
        <v>40178</v>
      </c>
      <c r="AK2110" s="831">
        <v>20000000</v>
      </c>
      <c r="AP2110" s="831" t="str">
        <f t="shared" si="97"/>
        <v/>
      </c>
    </row>
    <row r="2111" spans="2:42">
      <c r="B2111" s="834" t="str">
        <f t="shared" si="96"/>
        <v>|||</v>
      </c>
      <c r="H2111" s="835">
        <f t="shared" si="98"/>
        <v>31</v>
      </c>
      <c r="AF2111" s="831" t="s">
        <v>2805</v>
      </c>
      <c r="AG2111" s="831" t="s">
        <v>55</v>
      </c>
      <c r="AH2111" s="831" t="s">
        <v>125</v>
      </c>
      <c r="AI2111" s="831">
        <v>1</v>
      </c>
      <c r="AJ2111" s="835">
        <v>40178</v>
      </c>
      <c r="AK2111" s="831">
        <v>33285282</v>
      </c>
      <c r="AP2111" s="831" t="str">
        <f t="shared" si="97"/>
        <v/>
      </c>
    </row>
    <row r="2112" spans="2:42">
      <c r="B2112" s="834" t="str">
        <f t="shared" si="96"/>
        <v>|||</v>
      </c>
      <c r="H2112" s="835">
        <f t="shared" si="98"/>
        <v>31</v>
      </c>
      <c r="AF2112" s="831" t="s">
        <v>2806</v>
      </c>
      <c r="AG2112" s="831" t="s">
        <v>56</v>
      </c>
      <c r="AH2112" s="831" t="s">
        <v>65</v>
      </c>
      <c r="AI2112" s="831">
        <v>1</v>
      </c>
      <c r="AJ2112" s="835">
        <v>38717</v>
      </c>
      <c r="AK2112" s="831">
        <v>3590000</v>
      </c>
      <c r="AP2112" s="831" t="str">
        <f t="shared" si="97"/>
        <v/>
      </c>
    </row>
    <row r="2113" spans="2:42">
      <c r="B2113" s="834" t="str">
        <f t="shared" si="96"/>
        <v>|||</v>
      </c>
      <c r="H2113" s="835">
        <f t="shared" si="98"/>
        <v>31</v>
      </c>
      <c r="AF2113" s="831" t="s">
        <v>2807</v>
      </c>
      <c r="AG2113" s="831" t="s">
        <v>56</v>
      </c>
      <c r="AH2113" s="831" t="s">
        <v>67</v>
      </c>
      <c r="AI2113" s="831">
        <v>1</v>
      </c>
      <c r="AJ2113" s="835">
        <v>38717</v>
      </c>
      <c r="AK2113" s="831">
        <v>-710000</v>
      </c>
      <c r="AP2113" s="831" t="str">
        <f t="shared" si="97"/>
        <v/>
      </c>
    </row>
    <row r="2114" spans="2:42">
      <c r="B2114" s="834" t="str">
        <f t="shared" si="96"/>
        <v>|||</v>
      </c>
      <c r="H2114" s="835">
        <f t="shared" si="98"/>
        <v>31</v>
      </c>
      <c r="AF2114" s="831" t="s">
        <v>2808</v>
      </c>
      <c r="AG2114" s="831" t="s">
        <v>56</v>
      </c>
      <c r="AH2114" s="831" t="s">
        <v>72</v>
      </c>
      <c r="AI2114" s="831">
        <v>1</v>
      </c>
      <c r="AJ2114" s="835">
        <v>38717</v>
      </c>
      <c r="AK2114" s="831">
        <v>0</v>
      </c>
      <c r="AP2114" s="831" t="str">
        <f t="shared" si="97"/>
        <v/>
      </c>
    </row>
    <row r="2115" spans="2:42">
      <c r="B2115" s="834" t="str">
        <f t="shared" ref="B2115:B2178" si="99">C2115&amp;"|"&amp;D2115&amp;"|"&amp;E2115&amp;"|"&amp;F2115</f>
        <v>|||</v>
      </c>
      <c r="H2115" s="835">
        <f t="shared" si="98"/>
        <v>31</v>
      </c>
      <c r="AF2115" s="831" t="s">
        <v>2809</v>
      </c>
      <c r="AG2115" s="831" t="s">
        <v>56</v>
      </c>
      <c r="AH2115" s="831" t="s">
        <v>77</v>
      </c>
      <c r="AI2115" s="831">
        <v>1</v>
      </c>
      <c r="AJ2115" s="835">
        <v>38717</v>
      </c>
      <c r="AK2115" s="831">
        <v>-54000</v>
      </c>
      <c r="AP2115" s="831" t="str">
        <f t="shared" ref="AP2115:AP2178" si="100">IF(AX2115&lt;&gt;"",IF(OR(AX2115=3,AX2115=4),"Equity","Debt"),"")</f>
        <v/>
      </c>
    </row>
    <row r="2116" spans="2:42">
      <c r="B2116" s="834" t="str">
        <f t="shared" si="99"/>
        <v>|||</v>
      </c>
      <c r="H2116" s="835">
        <f t="shared" ref="H2116:H2179" si="101">EOMONTH(L2116,0)</f>
        <v>31</v>
      </c>
      <c r="AF2116" s="831" t="s">
        <v>2810</v>
      </c>
      <c r="AG2116" s="831" t="s">
        <v>56</v>
      </c>
      <c r="AH2116" s="831" t="s">
        <v>95</v>
      </c>
      <c r="AI2116" s="831">
        <v>1</v>
      </c>
      <c r="AJ2116" s="835">
        <v>38717</v>
      </c>
      <c r="AK2116" s="831">
        <v>-288000</v>
      </c>
      <c r="AP2116" s="831" t="str">
        <f t="shared" si="100"/>
        <v/>
      </c>
    </row>
    <row r="2117" spans="2:42">
      <c r="B2117" s="834" t="str">
        <f t="shared" si="99"/>
        <v>|||</v>
      </c>
      <c r="H2117" s="835">
        <f t="shared" si="101"/>
        <v>31</v>
      </c>
      <c r="AF2117" s="831" t="s">
        <v>2811</v>
      </c>
      <c r="AG2117" s="831" t="s">
        <v>56</v>
      </c>
      <c r="AH2117" s="831" t="s">
        <v>98</v>
      </c>
      <c r="AI2117" s="831">
        <v>1</v>
      </c>
      <c r="AJ2117" s="835">
        <v>38717</v>
      </c>
      <c r="AK2117" s="831">
        <v>-2335000</v>
      </c>
      <c r="AP2117" s="831" t="str">
        <f t="shared" si="100"/>
        <v/>
      </c>
    </row>
    <row r="2118" spans="2:42">
      <c r="B2118" s="834" t="str">
        <f t="shared" si="99"/>
        <v>|||</v>
      </c>
      <c r="H2118" s="835">
        <f t="shared" si="101"/>
        <v>31</v>
      </c>
      <c r="AF2118" s="831" t="s">
        <v>2812</v>
      </c>
      <c r="AG2118" s="831" t="s">
        <v>56</v>
      </c>
      <c r="AH2118" s="831" t="s">
        <v>106</v>
      </c>
      <c r="AI2118" s="831">
        <v>1</v>
      </c>
      <c r="AJ2118" s="835">
        <v>38717</v>
      </c>
      <c r="AK2118" s="831">
        <v>0</v>
      </c>
      <c r="AP2118" s="831" t="str">
        <f t="shared" si="100"/>
        <v/>
      </c>
    </row>
    <row r="2119" spans="2:42">
      <c r="B2119" s="834" t="str">
        <f t="shared" si="99"/>
        <v>|||</v>
      </c>
      <c r="H2119" s="835">
        <f t="shared" si="101"/>
        <v>31</v>
      </c>
      <c r="AF2119" s="831" t="s">
        <v>2813</v>
      </c>
      <c r="AG2119" s="831" t="s">
        <v>56</v>
      </c>
      <c r="AH2119" s="831" t="s">
        <v>109</v>
      </c>
      <c r="AI2119" s="831">
        <v>1</v>
      </c>
      <c r="AJ2119" s="835">
        <v>38717</v>
      </c>
      <c r="AK2119" s="831">
        <v>0</v>
      </c>
      <c r="AP2119" s="831" t="str">
        <f t="shared" si="100"/>
        <v/>
      </c>
    </row>
    <row r="2120" spans="2:42">
      <c r="B2120" s="834" t="str">
        <f t="shared" si="99"/>
        <v>|||</v>
      </c>
      <c r="H2120" s="835">
        <f t="shared" si="101"/>
        <v>31</v>
      </c>
      <c r="AF2120" s="831" t="s">
        <v>2814</v>
      </c>
      <c r="AG2120" s="831" t="s">
        <v>56</v>
      </c>
      <c r="AH2120" s="831" t="s">
        <v>118</v>
      </c>
      <c r="AI2120" s="831">
        <v>1</v>
      </c>
      <c r="AJ2120" s="835">
        <v>38717</v>
      </c>
      <c r="AK2120" s="831">
        <v>-68000</v>
      </c>
      <c r="AP2120" s="831" t="str">
        <f t="shared" si="100"/>
        <v/>
      </c>
    </row>
    <row r="2121" spans="2:42">
      <c r="B2121" s="834" t="str">
        <f t="shared" si="99"/>
        <v>|||</v>
      </c>
      <c r="H2121" s="835">
        <f t="shared" si="101"/>
        <v>31</v>
      </c>
      <c r="AF2121" s="831" t="s">
        <v>2815</v>
      </c>
      <c r="AG2121" s="831" t="s">
        <v>56</v>
      </c>
      <c r="AH2121" s="831" t="s">
        <v>122</v>
      </c>
      <c r="AI2121" s="831">
        <v>1</v>
      </c>
      <c r="AJ2121" s="835">
        <v>38717</v>
      </c>
      <c r="AK2121" s="831">
        <v>0</v>
      </c>
      <c r="AP2121" s="831" t="str">
        <f t="shared" si="100"/>
        <v/>
      </c>
    </row>
    <row r="2122" spans="2:42">
      <c r="B2122" s="834" t="str">
        <f t="shared" si="99"/>
        <v>|||</v>
      </c>
      <c r="H2122" s="835">
        <f t="shared" si="101"/>
        <v>31</v>
      </c>
      <c r="AF2122" s="831" t="s">
        <v>2816</v>
      </c>
      <c r="AG2122" s="831" t="s">
        <v>56</v>
      </c>
      <c r="AH2122" s="831" t="s">
        <v>128</v>
      </c>
      <c r="AI2122" s="831">
        <v>1</v>
      </c>
      <c r="AJ2122" s="835">
        <v>38717</v>
      </c>
      <c r="AK2122" s="831">
        <v>0</v>
      </c>
      <c r="AP2122" s="831" t="str">
        <f t="shared" si="100"/>
        <v/>
      </c>
    </row>
    <row r="2123" spans="2:42">
      <c r="B2123" s="834" t="str">
        <f t="shared" si="99"/>
        <v>|||</v>
      </c>
      <c r="H2123" s="835">
        <f t="shared" si="101"/>
        <v>31</v>
      </c>
      <c r="AF2123" s="831" t="s">
        <v>2817</v>
      </c>
      <c r="AG2123" s="831" t="s">
        <v>56</v>
      </c>
      <c r="AH2123" s="831" t="s">
        <v>65</v>
      </c>
      <c r="AI2123" s="831">
        <v>1</v>
      </c>
      <c r="AJ2123" s="835">
        <v>39082</v>
      </c>
      <c r="AK2123" s="831">
        <v>8294000</v>
      </c>
      <c r="AP2123" s="831" t="str">
        <f t="shared" si="100"/>
        <v/>
      </c>
    </row>
    <row r="2124" spans="2:42">
      <c r="B2124" s="834" t="str">
        <f t="shared" si="99"/>
        <v>|||</v>
      </c>
      <c r="H2124" s="835">
        <f t="shared" si="101"/>
        <v>31</v>
      </c>
      <c r="AF2124" s="831" t="s">
        <v>2818</v>
      </c>
      <c r="AG2124" s="831" t="s">
        <v>56</v>
      </c>
      <c r="AH2124" s="831" t="s">
        <v>67</v>
      </c>
      <c r="AI2124" s="831">
        <v>1</v>
      </c>
      <c r="AJ2124" s="835">
        <v>39082</v>
      </c>
      <c r="AK2124" s="831">
        <v>-2357000</v>
      </c>
      <c r="AP2124" s="831" t="str">
        <f t="shared" si="100"/>
        <v/>
      </c>
    </row>
    <row r="2125" spans="2:42">
      <c r="B2125" s="834" t="str">
        <f t="shared" si="99"/>
        <v>|||</v>
      </c>
      <c r="H2125" s="835">
        <f t="shared" si="101"/>
        <v>31</v>
      </c>
      <c r="AF2125" s="831" t="s">
        <v>2819</v>
      </c>
      <c r="AG2125" s="831" t="s">
        <v>56</v>
      </c>
      <c r="AH2125" s="831" t="s">
        <v>72</v>
      </c>
      <c r="AI2125" s="831">
        <v>1</v>
      </c>
      <c r="AJ2125" s="835">
        <v>39082</v>
      </c>
      <c r="AK2125" s="831">
        <v>0</v>
      </c>
      <c r="AP2125" s="831" t="str">
        <f t="shared" si="100"/>
        <v/>
      </c>
    </row>
    <row r="2126" spans="2:42">
      <c r="B2126" s="834" t="str">
        <f t="shared" si="99"/>
        <v>|||</v>
      </c>
      <c r="H2126" s="835">
        <f t="shared" si="101"/>
        <v>31</v>
      </c>
      <c r="AF2126" s="831" t="s">
        <v>2820</v>
      </c>
      <c r="AG2126" s="831" t="s">
        <v>56</v>
      </c>
      <c r="AH2126" s="831" t="s">
        <v>77</v>
      </c>
      <c r="AI2126" s="831">
        <v>1</v>
      </c>
      <c r="AJ2126" s="835">
        <v>39082</v>
      </c>
      <c r="AK2126" s="831">
        <v>-422000</v>
      </c>
      <c r="AP2126" s="831" t="str">
        <f t="shared" si="100"/>
        <v/>
      </c>
    </row>
    <row r="2127" spans="2:42">
      <c r="B2127" s="834" t="str">
        <f t="shared" si="99"/>
        <v>|||</v>
      </c>
      <c r="H2127" s="835">
        <f t="shared" si="101"/>
        <v>31</v>
      </c>
      <c r="AF2127" s="831" t="s">
        <v>2821</v>
      </c>
      <c r="AG2127" s="831" t="s">
        <v>56</v>
      </c>
      <c r="AH2127" s="831" t="s">
        <v>95</v>
      </c>
      <c r="AI2127" s="831">
        <v>1</v>
      </c>
      <c r="AJ2127" s="835">
        <v>39082</v>
      </c>
      <c r="AK2127" s="831">
        <v>-84000</v>
      </c>
      <c r="AP2127" s="831" t="str">
        <f t="shared" si="100"/>
        <v/>
      </c>
    </row>
    <row r="2128" spans="2:42">
      <c r="B2128" s="834" t="str">
        <f t="shared" si="99"/>
        <v>|||</v>
      </c>
      <c r="H2128" s="835">
        <f t="shared" si="101"/>
        <v>31</v>
      </c>
      <c r="AF2128" s="831" t="s">
        <v>2822</v>
      </c>
      <c r="AG2128" s="831" t="s">
        <v>56</v>
      </c>
      <c r="AH2128" s="831" t="s">
        <v>98</v>
      </c>
      <c r="AI2128" s="831">
        <v>1</v>
      </c>
      <c r="AJ2128" s="835">
        <v>39082</v>
      </c>
      <c r="AK2128" s="831">
        <v>-5639000</v>
      </c>
      <c r="AP2128" s="831" t="str">
        <f t="shared" si="100"/>
        <v/>
      </c>
    </row>
    <row r="2129" spans="2:42">
      <c r="B2129" s="834" t="str">
        <f t="shared" si="99"/>
        <v>|||</v>
      </c>
      <c r="H2129" s="835">
        <f t="shared" si="101"/>
        <v>31</v>
      </c>
      <c r="AF2129" s="831" t="s">
        <v>2823</v>
      </c>
      <c r="AG2129" s="831" t="s">
        <v>56</v>
      </c>
      <c r="AH2129" s="831" t="s">
        <v>106</v>
      </c>
      <c r="AI2129" s="831">
        <v>1</v>
      </c>
      <c r="AJ2129" s="835">
        <v>39082</v>
      </c>
      <c r="AK2129" s="831">
        <v>0</v>
      </c>
      <c r="AP2129" s="831" t="str">
        <f t="shared" si="100"/>
        <v/>
      </c>
    </row>
    <row r="2130" spans="2:42">
      <c r="B2130" s="834" t="str">
        <f t="shared" si="99"/>
        <v>|||</v>
      </c>
      <c r="H2130" s="835">
        <f t="shared" si="101"/>
        <v>31</v>
      </c>
      <c r="AF2130" s="831" t="s">
        <v>2824</v>
      </c>
      <c r="AG2130" s="831" t="s">
        <v>56</v>
      </c>
      <c r="AH2130" s="831" t="s">
        <v>109</v>
      </c>
      <c r="AI2130" s="831">
        <v>1</v>
      </c>
      <c r="AJ2130" s="835">
        <v>39082</v>
      </c>
      <c r="AK2130" s="831">
        <v>0</v>
      </c>
      <c r="AP2130" s="831" t="str">
        <f t="shared" si="100"/>
        <v/>
      </c>
    </row>
    <row r="2131" spans="2:42">
      <c r="B2131" s="834" t="str">
        <f t="shared" si="99"/>
        <v>|||</v>
      </c>
      <c r="H2131" s="835">
        <f t="shared" si="101"/>
        <v>31</v>
      </c>
      <c r="AF2131" s="831" t="s">
        <v>2825</v>
      </c>
      <c r="AG2131" s="831" t="s">
        <v>56</v>
      </c>
      <c r="AH2131" s="831" t="s">
        <v>118</v>
      </c>
      <c r="AI2131" s="831">
        <v>1</v>
      </c>
      <c r="AJ2131" s="835">
        <v>39082</v>
      </c>
      <c r="AK2131" s="831">
        <v>-35000</v>
      </c>
      <c r="AP2131" s="831" t="str">
        <f t="shared" si="100"/>
        <v/>
      </c>
    </row>
    <row r="2132" spans="2:42">
      <c r="B2132" s="834" t="str">
        <f t="shared" si="99"/>
        <v>|||</v>
      </c>
      <c r="H2132" s="835">
        <f t="shared" si="101"/>
        <v>31</v>
      </c>
      <c r="AF2132" s="831" t="s">
        <v>2826</v>
      </c>
      <c r="AG2132" s="831" t="s">
        <v>56</v>
      </c>
      <c r="AH2132" s="831" t="s">
        <v>122</v>
      </c>
      <c r="AI2132" s="831">
        <v>1</v>
      </c>
      <c r="AJ2132" s="835">
        <v>39082</v>
      </c>
      <c r="AK2132" s="831">
        <v>0</v>
      </c>
      <c r="AP2132" s="831" t="str">
        <f t="shared" si="100"/>
        <v/>
      </c>
    </row>
    <row r="2133" spans="2:42">
      <c r="B2133" s="834" t="str">
        <f t="shared" si="99"/>
        <v>|||</v>
      </c>
      <c r="H2133" s="835">
        <f t="shared" si="101"/>
        <v>31</v>
      </c>
      <c r="AF2133" s="831" t="s">
        <v>2827</v>
      </c>
      <c r="AG2133" s="831" t="s">
        <v>56</v>
      </c>
      <c r="AH2133" s="831" t="s">
        <v>128</v>
      </c>
      <c r="AI2133" s="831">
        <v>1</v>
      </c>
      <c r="AJ2133" s="835">
        <v>39082</v>
      </c>
      <c r="AK2133" s="831">
        <v>0</v>
      </c>
      <c r="AP2133" s="831" t="str">
        <f t="shared" si="100"/>
        <v/>
      </c>
    </row>
    <row r="2134" spans="2:42">
      <c r="B2134" s="834" t="str">
        <f t="shared" si="99"/>
        <v>|||</v>
      </c>
      <c r="H2134" s="835">
        <f t="shared" si="101"/>
        <v>31</v>
      </c>
      <c r="AF2134" s="831" t="s">
        <v>2828</v>
      </c>
      <c r="AG2134" s="831" t="s">
        <v>56</v>
      </c>
      <c r="AH2134" s="831" t="s">
        <v>65</v>
      </c>
      <c r="AI2134" s="831">
        <v>1</v>
      </c>
      <c r="AJ2134" s="835">
        <v>39447</v>
      </c>
      <c r="AK2134" s="831">
        <v>22333410</v>
      </c>
      <c r="AP2134" s="831" t="str">
        <f t="shared" si="100"/>
        <v/>
      </c>
    </row>
    <row r="2135" spans="2:42">
      <c r="B2135" s="834" t="str">
        <f t="shared" si="99"/>
        <v>|||</v>
      </c>
      <c r="H2135" s="835">
        <f t="shared" si="101"/>
        <v>31</v>
      </c>
      <c r="AF2135" s="831" t="s">
        <v>2829</v>
      </c>
      <c r="AG2135" s="831" t="s">
        <v>56</v>
      </c>
      <c r="AH2135" s="831" t="s">
        <v>67</v>
      </c>
      <c r="AI2135" s="831">
        <v>1</v>
      </c>
      <c r="AJ2135" s="835">
        <v>39447</v>
      </c>
      <c r="AK2135" s="831">
        <v>-6643045</v>
      </c>
      <c r="AP2135" s="831" t="str">
        <f t="shared" si="100"/>
        <v/>
      </c>
    </row>
    <row r="2136" spans="2:42">
      <c r="B2136" s="834" t="str">
        <f t="shared" si="99"/>
        <v>|||</v>
      </c>
      <c r="H2136" s="835">
        <f t="shared" si="101"/>
        <v>31</v>
      </c>
      <c r="AF2136" s="831" t="s">
        <v>2830</v>
      </c>
      <c r="AG2136" s="831" t="s">
        <v>56</v>
      </c>
      <c r="AH2136" s="831" t="s">
        <v>72</v>
      </c>
      <c r="AI2136" s="831">
        <v>1</v>
      </c>
      <c r="AJ2136" s="835">
        <v>39447</v>
      </c>
      <c r="AK2136" s="831">
        <v>0</v>
      </c>
      <c r="AP2136" s="831" t="str">
        <f t="shared" si="100"/>
        <v/>
      </c>
    </row>
    <row r="2137" spans="2:42">
      <c r="B2137" s="834" t="str">
        <f t="shared" si="99"/>
        <v>|||</v>
      </c>
      <c r="H2137" s="835">
        <f t="shared" si="101"/>
        <v>31</v>
      </c>
      <c r="AF2137" s="831" t="s">
        <v>2831</v>
      </c>
      <c r="AG2137" s="831" t="s">
        <v>56</v>
      </c>
      <c r="AH2137" s="831" t="s">
        <v>77</v>
      </c>
      <c r="AI2137" s="831">
        <v>1</v>
      </c>
      <c r="AJ2137" s="835">
        <v>39447</v>
      </c>
      <c r="AK2137" s="831">
        <v>-1110958</v>
      </c>
      <c r="AP2137" s="831" t="str">
        <f t="shared" si="100"/>
        <v/>
      </c>
    </row>
    <row r="2138" spans="2:42">
      <c r="B2138" s="834" t="str">
        <f t="shared" si="99"/>
        <v>|||</v>
      </c>
      <c r="H2138" s="835">
        <f t="shared" si="101"/>
        <v>31</v>
      </c>
      <c r="AF2138" s="831" t="s">
        <v>2832</v>
      </c>
      <c r="AG2138" s="831" t="s">
        <v>56</v>
      </c>
      <c r="AH2138" s="831" t="s">
        <v>95</v>
      </c>
      <c r="AI2138" s="831">
        <v>1</v>
      </c>
      <c r="AJ2138" s="835">
        <v>39447</v>
      </c>
      <c r="AK2138" s="831">
        <v>287010</v>
      </c>
      <c r="AP2138" s="831" t="str">
        <f t="shared" si="100"/>
        <v/>
      </c>
    </row>
    <row r="2139" spans="2:42">
      <c r="B2139" s="834" t="str">
        <f t="shared" si="99"/>
        <v>|||</v>
      </c>
      <c r="H2139" s="835">
        <f t="shared" si="101"/>
        <v>31</v>
      </c>
      <c r="AF2139" s="831" t="s">
        <v>2833</v>
      </c>
      <c r="AG2139" s="831" t="s">
        <v>56</v>
      </c>
      <c r="AH2139" s="831" t="s">
        <v>98</v>
      </c>
      <c r="AI2139" s="831">
        <v>1</v>
      </c>
      <c r="AJ2139" s="835">
        <v>39447</v>
      </c>
      <c r="AK2139" s="831">
        <v>-10054507</v>
      </c>
      <c r="AP2139" s="831" t="str">
        <f t="shared" si="100"/>
        <v/>
      </c>
    </row>
    <row r="2140" spans="2:42">
      <c r="B2140" s="834" t="str">
        <f t="shared" si="99"/>
        <v>|||</v>
      </c>
      <c r="H2140" s="835">
        <f t="shared" si="101"/>
        <v>31</v>
      </c>
      <c r="AF2140" s="831" t="s">
        <v>2834</v>
      </c>
      <c r="AG2140" s="831" t="s">
        <v>56</v>
      </c>
      <c r="AH2140" s="831" t="s">
        <v>106</v>
      </c>
      <c r="AI2140" s="831">
        <v>1</v>
      </c>
      <c r="AJ2140" s="835">
        <v>39447</v>
      </c>
      <c r="AK2140" s="831">
        <v>0</v>
      </c>
      <c r="AP2140" s="831" t="str">
        <f t="shared" si="100"/>
        <v/>
      </c>
    </row>
    <row r="2141" spans="2:42">
      <c r="B2141" s="834" t="str">
        <f t="shared" si="99"/>
        <v>|||</v>
      </c>
      <c r="H2141" s="835">
        <f t="shared" si="101"/>
        <v>31</v>
      </c>
      <c r="AF2141" s="831" t="s">
        <v>2835</v>
      </c>
      <c r="AG2141" s="831" t="s">
        <v>56</v>
      </c>
      <c r="AH2141" s="831" t="s">
        <v>109</v>
      </c>
      <c r="AI2141" s="831">
        <v>1</v>
      </c>
      <c r="AJ2141" s="835">
        <v>39447</v>
      </c>
      <c r="AK2141" s="831">
        <v>0</v>
      </c>
      <c r="AP2141" s="831" t="str">
        <f t="shared" si="100"/>
        <v/>
      </c>
    </row>
    <row r="2142" spans="2:42">
      <c r="B2142" s="834" t="str">
        <f t="shared" si="99"/>
        <v>|||</v>
      </c>
      <c r="H2142" s="835">
        <f t="shared" si="101"/>
        <v>31</v>
      </c>
      <c r="AF2142" s="831" t="s">
        <v>2836</v>
      </c>
      <c r="AG2142" s="831" t="s">
        <v>56</v>
      </c>
      <c r="AH2142" s="831" t="s">
        <v>118</v>
      </c>
      <c r="AI2142" s="831">
        <v>1</v>
      </c>
      <c r="AJ2142" s="835">
        <v>39447</v>
      </c>
      <c r="AK2142" s="831">
        <v>-1213068</v>
      </c>
      <c r="AP2142" s="831" t="str">
        <f t="shared" si="100"/>
        <v/>
      </c>
    </row>
    <row r="2143" spans="2:42">
      <c r="B2143" s="834" t="str">
        <f t="shared" si="99"/>
        <v>|||</v>
      </c>
      <c r="H2143" s="835">
        <f t="shared" si="101"/>
        <v>31</v>
      </c>
      <c r="AF2143" s="831" t="s">
        <v>2837</v>
      </c>
      <c r="AG2143" s="831" t="s">
        <v>56</v>
      </c>
      <c r="AH2143" s="831" t="s">
        <v>122</v>
      </c>
      <c r="AI2143" s="831">
        <v>1</v>
      </c>
      <c r="AJ2143" s="835">
        <v>39447</v>
      </c>
      <c r="AK2143" s="831">
        <v>0</v>
      </c>
      <c r="AP2143" s="831" t="str">
        <f t="shared" si="100"/>
        <v/>
      </c>
    </row>
    <row r="2144" spans="2:42">
      <c r="B2144" s="834" t="str">
        <f t="shared" si="99"/>
        <v>|||</v>
      </c>
      <c r="H2144" s="835">
        <f t="shared" si="101"/>
        <v>31</v>
      </c>
      <c r="AF2144" s="831" t="s">
        <v>2838</v>
      </c>
      <c r="AG2144" s="831" t="s">
        <v>56</v>
      </c>
      <c r="AH2144" s="831" t="s">
        <v>128</v>
      </c>
      <c r="AI2144" s="831">
        <v>1</v>
      </c>
      <c r="AJ2144" s="835">
        <v>39447</v>
      </c>
      <c r="AK2144" s="831">
        <v>0</v>
      </c>
      <c r="AP2144" s="831" t="str">
        <f t="shared" si="100"/>
        <v/>
      </c>
    </row>
    <row r="2145" spans="2:42">
      <c r="B2145" s="834" t="str">
        <f t="shared" si="99"/>
        <v>|||</v>
      </c>
      <c r="H2145" s="835">
        <f t="shared" si="101"/>
        <v>31</v>
      </c>
      <c r="AF2145" s="831" t="s">
        <v>2839</v>
      </c>
      <c r="AG2145" s="831" t="s">
        <v>56</v>
      </c>
      <c r="AH2145" s="831" t="s">
        <v>65</v>
      </c>
      <c r="AI2145" s="831">
        <v>1</v>
      </c>
      <c r="AJ2145" s="835">
        <v>39813</v>
      </c>
      <c r="AK2145" s="831">
        <v>45994000</v>
      </c>
      <c r="AP2145" s="831" t="str">
        <f t="shared" si="100"/>
        <v/>
      </c>
    </row>
    <row r="2146" spans="2:42">
      <c r="B2146" s="834" t="str">
        <f t="shared" si="99"/>
        <v>|||</v>
      </c>
      <c r="H2146" s="835">
        <f t="shared" si="101"/>
        <v>31</v>
      </c>
      <c r="AF2146" s="831" t="s">
        <v>2840</v>
      </c>
      <c r="AG2146" s="831" t="s">
        <v>56</v>
      </c>
      <c r="AH2146" s="831" t="s">
        <v>67</v>
      </c>
      <c r="AI2146" s="831">
        <v>1</v>
      </c>
      <c r="AJ2146" s="835">
        <v>39813</v>
      </c>
      <c r="AK2146" s="831">
        <v>-12744405</v>
      </c>
      <c r="AP2146" s="831" t="str">
        <f t="shared" si="100"/>
        <v/>
      </c>
    </row>
    <row r="2147" spans="2:42">
      <c r="B2147" s="834" t="str">
        <f t="shared" si="99"/>
        <v>|||</v>
      </c>
      <c r="H2147" s="835">
        <f t="shared" si="101"/>
        <v>31</v>
      </c>
      <c r="AF2147" s="831" t="s">
        <v>2841</v>
      </c>
      <c r="AG2147" s="831" t="s">
        <v>56</v>
      </c>
      <c r="AH2147" s="831" t="s">
        <v>72</v>
      </c>
      <c r="AI2147" s="831">
        <v>1</v>
      </c>
      <c r="AJ2147" s="835">
        <v>39813</v>
      </c>
      <c r="AK2147" s="831">
        <v>2000</v>
      </c>
      <c r="AP2147" s="831" t="str">
        <f t="shared" si="100"/>
        <v/>
      </c>
    </row>
    <row r="2148" spans="2:42">
      <c r="B2148" s="834" t="str">
        <f t="shared" si="99"/>
        <v>|||</v>
      </c>
      <c r="H2148" s="835">
        <f t="shared" si="101"/>
        <v>31</v>
      </c>
      <c r="AF2148" s="831" t="s">
        <v>2842</v>
      </c>
      <c r="AG2148" s="831" t="s">
        <v>56</v>
      </c>
      <c r="AH2148" s="831" t="s">
        <v>77</v>
      </c>
      <c r="AI2148" s="831">
        <v>1</v>
      </c>
      <c r="AJ2148" s="835">
        <v>39813</v>
      </c>
      <c r="AK2148" s="831">
        <v>-2115678</v>
      </c>
      <c r="AP2148" s="831" t="str">
        <f t="shared" si="100"/>
        <v/>
      </c>
    </row>
    <row r="2149" spans="2:42">
      <c r="B2149" s="834" t="str">
        <f t="shared" si="99"/>
        <v>|||</v>
      </c>
      <c r="H2149" s="835">
        <f t="shared" si="101"/>
        <v>31</v>
      </c>
      <c r="AF2149" s="831" t="s">
        <v>2843</v>
      </c>
      <c r="AG2149" s="831" t="s">
        <v>56</v>
      </c>
      <c r="AH2149" s="831" t="s">
        <v>95</v>
      </c>
      <c r="AI2149" s="831">
        <v>1</v>
      </c>
      <c r="AJ2149" s="835">
        <v>39813</v>
      </c>
      <c r="AK2149" s="831">
        <v>403380</v>
      </c>
      <c r="AP2149" s="831" t="str">
        <f t="shared" si="100"/>
        <v/>
      </c>
    </row>
    <row r="2150" spans="2:42">
      <c r="B2150" s="834" t="str">
        <f t="shared" si="99"/>
        <v>|||</v>
      </c>
      <c r="H2150" s="835">
        <f t="shared" si="101"/>
        <v>31</v>
      </c>
      <c r="AF2150" s="831" t="s">
        <v>2844</v>
      </c>
      <c r="AG2150" s="831" t="s">
        <v>56</v>
      </c>
      <c r="AH2150" s="831" t="s">
        <v>98</v>
      </c>
      <c r="AI2150" s="831">
        <v>1</v>
      </c>
      <c r="AJ2150" s="835">
        <v>39813</v>
      </c>
      <c r="AK2150" s="831">
        <v>-18071426</v>
      </c>
      <c r="AP2150" s="831" t="str">
        <f t="shared" si="100"/>
        <v/>
      </c>
    </row>
    <row r="2151" spans="2:42">
      <c r="B2151" s="834" t="str">
        <f t="shared" si="99"/>
        <v>|||</v>
      </c>
      <c r="H2151" s="835">
        <f t="shared" si="101"/>
        <v>31</v>
      </c>
      <c r="AF2151" s="831" t="s">
        <v>2845</v>
      </c>
      <c r="AG2151" s="831" t="s">
        <v>56</v>
      </c>
      <c r="AH2151" s="831" t="s">
        <v>106</v>
      </c>
      <c r="AI2151" s="831">
        <v>1</v>
      </c>
      <c r="AJ2151" s="835">
        <v>39813</v>
      </c>
      <c r="AK2151" s="831">
        <v>0</v>
      </c>
      <c r="AP2151" s="831" t="str">
        <f t="shared" si="100"/>
        <v/>
      </c>
    </row>
    <row r="2152" spans="2:42">
      <c r="B2152" s="834" t="str">
        <f t="shared" si="99"/>
        <v>|||</v>
      </c>
      <c r="H2152" s="835">
        <f t="shared" si="101"/>
        <v>31</v>
      </c>
      <c r="AF2152" s="831" t="s">
        <v>2846</v>
      </c>
      <c r="AG2152" s="831" t="s">
        <v>56</v>
      </c>
      <c r="AH2152" s="831" t="s">
        <v>109</v>
      </c>
      <c r="AI2152" s="831">
        <v>1</v>
      </c>
      <c r="AJ2152" s="835">
        <v>39813</v>
      </c>
      <c r="AK2152" s="831">
        <v>-54000</v>
      </c>
      <c r="AP2152" s="831" t="str">
        <f t="shared" si="100"/>
        <v/>
      </c>
    </row>
    <row r="2153" spans="2:42">
      <c r="B2153" s="834" t="str">
        <f t="shared" si="99"/>
        <v>|||</v>
      </c>
      <c r="H2153" s="835">
        <f t="shared" si="101"/>
        <v>31</v>
      </c>
      <c r="AF2153" s="831" t="s">
        <v>2847</v>
      </c>
      <c r="AG2153" s="831" t="s">
        <v>56</v>
      </c>
      <c r="AH2153" s="831" t="s">
        <v>118</v>
      </c>
      <c r="AI2153" s="831">
        <v>1</v>
      </c>
      <c r="AJ2153" s="835">
        <v>39813</v>
      </c>
      <c r="AK2153" s="831">
        <v>-2958800</v>
      </c>
      <c r="AP2153" s="831" t="str">
        <f t="shared" si="100"/>
        <v/>
      </c>
    </row>
    <row r="2154" spans="2:42">
      <c r="B2154" s="834" t="str">
        <f t="shared" si="99"/>
        <v>|||</v>
      </c>
      <c r="H2154" s="835">
        <f t="shared" si="101"/>
        <v>31</v>
      </c>
      <c r="AF2154" s="831" t="s">
        <v>2848</v>
      </c>
      <c r="AG2154" s="831" t="s">
        <v>56</v>
      </c>
      <c r="AH2154" s="831" t="s">
        <v>122</v>
      </c>
      <c r="AI2154" s="831">
        <v>1</v>
      </c>
      <c r="AJ2154" s="835">
        <v>39813</v>
      </c>
      <c r="AK2154" s="831">
        <v>0</v>
      </c>
      <c r="AP2154" s="831" t="str">
        <f t="shared" si="100"/>
        <v/>
      </c>
    </row>
    <row r="2155" spans="2:42">
      <c r="B2155" s="834" t="str">
        <f t="shared" si="99"/>
        <v>|||</v>
      </c>
      <c r="H2155" s="835">
        <f t="shared" si="101"/>
        <v>31</v>
      </c>
      <c r="AF2155" s="831" t="s">
        <v>2849</v>
      </c>
      <c r="AG2155" s="831" t="s">
        <v>56</v>
      </c>
      <c r="AH2155" s="831" t="s">
        <v>128</v>
      </c>
      <c r="AI2155" s="831">
        <v>1</v>
      </c>
      <c r="AJ2155" s="835">
        <v>39813</v>
      </c>
      <c r="AK2155" s="831">
        <v>0</v>
      </c>
      <c r="AP2155" s="831" t="str">
        <f t="shared" si="100"/>
        <v/>
      </c>
    </row>
    <row r="2156" spans="2:42">
      <c r="B2156" s="834" t="str">
        <f t="shared" si="99"/>
        <v>|||</v>
      </c>
      <c r="H2156" s="835">
        <f t="shared" si="101"/>
        <v>31</v>
      </c>
      <c r="AF2156" s="831" t="s">
        <v>2850</v>
      </c>
      <c r="AG2156" s="831" t="s">
        <v>56</v>
      </c>
      <c r="AH2156" s="831" t="s">
        <v>65</v>
      </c>
      <c r="AI2156" s="831">
        <v>1</v>
      </c>
      <c r="AJ2156" s="835">
        <v>40178</v>
      </c>
      <c r="AK2156" s="831">
        <v>69350264</v>
      </c>
      <c r="AP2156" s="831" t="str">
        <f t="shared" si="100"/>
        <v/>
      </c>
    </row>
    <row r="2157" spans="2:42">
      <c r="B2157" s="834" t="str">
        <f t="shared" si="99"/>
        <v>|||</v>
      </c>
      <c r="H2157" s="835">
        <f t="shared" si="101"/>
        <v>31</v>
      </c>
      <c r="AF2157" s="831" t="s">
        <v>2851</v>
      </c>
      <c r="AG2157" s="831" t="s">
        <v>56</v>
      </c>
      <c r="AH2157" s="831" t="s">
        <v>67</v>
      </c>
      <c r="AI2157" s="831">
        <v>1</v>
      </c>
      <c r="AJ2157" s="835">
        <v>40178</v>
      </c>
      <c r="AK2157" s="831">
        <v>-18904623.8484</v>
      </c>
      <c r="AP2157" s="831" t="str">
        <f t="shared" si="100"/>
        <v/>
      </c>
    </row>
    <row r="2158" spans="2:42">
      <c r="B2158" s="834" t="str">
        <f t="shared" si="99"/>
        <v>|||</v>
      </c>
      <c r="H2158" s="835">
        <f t="shared" si="101"/>
        <v>31</v>
      </c>
      <c r="AF2158" s="831" t="s">
        <v>2852</v>
      </c>
      <c r="AG2158" s="831" t="s">
        <v>56</v>
      </c>
      <c r="AH2158" s="831" t="s">
        <v>72</v>
      </c>
      <c r="AI2158" s="831">
        <v>1</v>
      </c>
      <c r="AJ2158" s="835">
        <v>40178</v>
      </c>
      <c r="AK2158" s="831">
        <v>0</v>
      </c>
      <c r="AP2158" s="831" t="str">
        <f t="shared" si="100"/>
        <v/>
      </c>
    </row>
    <row r="2159" spans="2:42">
      <c r="B2159" s="834" t="str">
        <f t="shared" si="99"/>
        <v>|||</v>
      </c>
      <c r="H2159" s="835">
        <f t="shared" si="101"/>
        <v>31</v>
      </c>
      <c r="AF2159" s="831" t="s">
        <v>2853</v>
      </c>
      <c r="AG2159" s="831" t="s">
        <v>56</v>
      </c>
      <c r="AH2159" s="831" t="s">
        <v>77</v>
      </c>
      <c r="AI2159" s="831">
        <v>1</v>
      </c>
      <c r="AJ2159" s="835">
        <v>40178</v>
      </c>
      <c r="AK2159" s="831">
        <v>-2598538.4685</v>
      </c>
      <c r="AP2159" s="831" t="str">
        <f t="shared" si="100"/>
        <v/>
      </c>
    </row>
    <row r="2160" spans="2:42">
      <c r="B2160" s="834" t="str">
        <f t="shared" si="99"/>
        <v>|||</v>
      </c>
      <c r="H2160" s="835">
        <f t="shared" si="101"/>
        <v>31</v>
      </c>
      <c r="AF2160" s="831" t="s">
        <v>2854</v>
      </c>
      <c r="AG2160" s="831" t="s">
        <v>56</v>
      </c>
      <c r="AH2160" s="831" t="s">
        <v>95</v>
      </c>
      <c r="AI2160" s="831">
        <v>1</v>
      </c>
      <c r="AJ2160" s="835">
        <v>40178</v>
      </c>
      <c r="AK2160" s="831">
        <v>0</v>
      </c>
      <c r="AP2160" s="831" t="str">
        <f t="shared" si="100"/>
        <v/>
      </c>
    </row>
    <row r="2161" spans="2:42">
      <c r="B2161" s="834" t="str">
        <f t="shared" si="99"/>
        <v>|||</v>
      </c>
      <c r="H2161" s="835">
        <f t="shared" si="101"/>
        <v>31</v>
      </c>
      <c r="AF2161" s="831" t="s">
        <v>2855</v>
      </c>
      <c r="AG2161" s="831" t="s">
        <v>56</v>
      </c>
      <c r="AH2161" s="831" t="s">
        <v>98</v>
      </c>
      <c r="AI2161" s="831">
        <v>1</v>
      </c>
      <c r="AJ2161" s="835">
        <v>40178</v>
      </c>
      <c r="AK2161" s="831">
        <v>-27865062.944807801</v>
      </c>
      <c r="AP2161" s="831" t="str">
        <f t="shared" si="100"/>
        <v/>
      </c>
    </row>
    <row r="2162" spans="2:42">
      <c r="B2162" s="834" t="str">
        <f t="shared" si="99"/>
        <v>|||</v>
      </c>
      <c r="H2162" s="835">
        <f t="shared" si="101"/>
        <v>31</v>
      </c>
      <c r="AF2162" s="831" t="s">
        <v>2856</v>
      </c>
      <c r="AG2162" s="831" t="s">
        <v>56</v>
      </c>
      <c r="AH2162" s="831" t="s">
        <v>106</v>
      </c>
      <c r="AI2162" s="831">
        <v>1</v>
      </c>
      <c r="AJ2162" s="835">
        <v>40178</v>
      </c>
      <c r="AK2162" s="831">
        <v>0</v>
      </c>
      <c r="AP2162" s="831" t="str">
        <f t="shared" si="100"/>
        <v/>
      </c>
    </row>
    <row r="2163" spans="2:42">
      <c r="B2163" s="834" t="str">
        <f t="shared" si="99"/>
        <v>|||</v>
      </c>
      <c r="H2163" s="835">
        <f t="shared" si="101"/>
        <v>31</v>
      </c>
      <c r="AF2163" s="831" t="s">
        <v>2857</v>
      </c>
      <c r="AG2163" s="831" t="s">
        <v>56</v>
      </c>
      <c r="AH2163" s="831" t="s">
        <v>109</v>
      </c>
      <c r="AI2163" s="831">
        <v>1</v>
      </c>
      <c r="AJ2163" s="835">
        <v>40178</v>
      </c>
      <c r="AK2163" s="831">
        <v>0</v>
      </c>
      <c r="AP2163" s="831" t="str">
        <f t="shared" si="100"/>
        <v/>
      </c>
    </row>
    <row r="2164" spans="2:42">
      <c r="B2164" s="834" t="str">
        <f t="shared" si="99"/>
        <v>|||</v>
      </c>
      <c r="H2164" s="835">
        <f t="shared" si="101"/>
        <v>31</v>
      </c>
      <c r="AF2164" s="831" t="s">
        <v>2858</v>
      </c>
      <c r="AG2164" s="831" t="s">
        <v>56</v>
      </c>
      <c r="AH2164" s="831" t="s">
        <v>118</v>
      </c>
      <c r="AI2164" s="831">
        <v>1</v>
      </c>
      <c r="AJ2164" s="835">
        <v>40178</v>
      </c>
      <c r="AK2164" s="831">
        <v>4319.0717999999997</v>
      </c>
      <c r="AP2164" s="831" t="str">
        <f t="shared" si="100"/>
        <v/>
      </c>
    </row>
    <row r="2165" spans="2:42">
      <c r="B2165" s="834" t="str">
        <f t="shared" si="99"/>
        <v>|||</v>
      </c>
      <c r="H2165" s="835">
        <f t="shared" si="101"/>
        <v>31</v>
      </c>
      <c r="AF2165" s="831" t="s">
        <v>2859</v>
      </c>
      <c r="AG2165" s="831" t="s">
        <v>56</v>
      </c>
      <c r="AH2165" s="831" t="s">
        <v>122</v>
      </c>
      <c r="AI2165" s="831">
        <v>1</v>
      </c>
      <c r="AJ2165" s="835">
        <v>40178</v>
      </c>
      <c r="AK2165" s="831">
        <v>0</v>
      </c>
      <c r="AP2165" s="831" t="str">
        <f t="shared" si="100"/>
        <v/>
      </c>
    </row>
    <row r="2166" spans="2:42">
      <c r="B2166" s="834" t="str">
        <f t="shared" si="99"/>
        <v>|||</v>
      </c>
      <c r="H2166" s="835">
        <f t="shared" si="101"/>
        <v>31</v>
      </c>
      <c r="AF2166" s="831" t="s">
        <v>2860</v>
      </c>
      <c r="AG2166" s="831" t="s">
        <v>56</v>
      </c>
      <c r="AH2166" s="831" t="s">
        <v>128</v>
      </c>
      <c r="AI2166" s="831">
        <v>1</v>
      </c>
      <c r="AJ2166" s="835">
        <v>40178</v>
      </c>
      <c r="AK2166" s="831">
        <v>0</v>
      </c>
      <c r="AP2166" s="831" t="str">
        <f t="shared" si="100"/>
        <v/>
      </c>
    </row>
    <row r="2167" spans="2:42">
      <c r="B2167" s="834" t="str">
        <f t="shared" si="99"/>
        <v>|||</v>
      </c>
      <c r="H2167" s="835">
        <f t="shared" si="101"/>
        <v>31</v>
      </c>
      <c r="AF2167" s="831" t="s">
        <v>2861</v>
      </c>
      <c r="AG2167" s="831" t="s">
        <v>1721</v>
      </c>
      <c r="AH2167" s="831" t="s">
        <v>1722</v>
      </c>
      <c r="AI2167" s="831">
        <v>1</v>
      </c>
      <c r="AJ2167" s="835">
        <v>38717</v>
      </c>
      <c r="AK2167" s="831">
        <v>0</v>
      </c>
      <c r="AP2167" s="831" t="str">
        <f t="shared" si="100"/>
        <v/>
      </c>
    </row>
    <row r="2168" spans="2:42">
      <c r="B2168" s="834" t="str">
        <f t="shared" si="99"/>
        <v>|||</v>
      </c>
      <c r="H2168" s="835">
        <f t="shared" si="101"/>
        <v>31</v>
      </c>
      <c r="AF2168" s="831" t="s">
        <v>2862</v>
      </c>
      <c r="AG2168" s="831" t="s">
        <v>1721</v>
      </c>
      <c r="AH2168" s="831" t="s">
        <v>1724</v>
      </c>
      <c r="AI2168" s="831">
        <v>1</v>
      </c>
      <c r="AJ2168" s="835">
        <v>38717</v>
      </c>
      <c r="AK2168" s="831">
        <v>0</v>
      </c>
      <c r="AP2168" s="831" t="str">
        <f t="shared" si="100"/>
        <v/>
      </c>
    </row>
    <row r="2169" spans="2:42">
      <c r="B2169" s="834" t="str">
        <f t="shared" si="99"/>
        <v>|||</v>
      </c>
      <c r="H2169" s="835">
        <f t="shared" si="101"/>
        <v>31</v>
      </c>
      <c r="AF2169" s="831" t="s">
        <v>2863</v>
      </c>
      <c r="AG2169" s="831" t="s">
        <v>1721</v>
      </c>
      <c r="AH2169" s="831" t="s">
        <v>1726</v>
      </c>
      <c r="AI2169" s="831">
        <v>1</v>
      </c>
      <c r="AJ2169" s="835">
        <v>38717</v>
      </c>
      <c r="AK2169" s="831">
        <v>0</v>
      </c>
      <c r="AP2169" s="831" t="str">
        <f t="shared" si="100"/>
        <v/>
      </c>
    </row>
    <row r="2170" spans="2:42">
      <c r="B2170" s="834" t="str">
        <f t="shared" si="99"/>
        <v>|||</v>
      </c>
      <c r="H2170" s="835">
        <f t="shared" si="101"/>
        <v>31</v>
      </c>
      <c r="AF2170" s="831" t="s">
        <v>2864</v>
      </c>
      <c r="AG2170" s="831" t="s">
        <v>1721</v>
      </c>
      <c r="AH2170" s="831" t="s">
        <v>1722</v>
      </c>
      <c r="AI2170" s="831">
        <v>1</v>
      </c>
      <c r="AJ2170" s="835">
        <v>39082</v>
      </c>
      <c r="AK2170" s="831">
        <v>0</v>
      </c>
      <c r="AP2170" s="831" t="str">
        <f t="shared" si="100"/>
        <v/>
      </c>
    </row>
    <row r="2171" spans="2:42">
      <c r="B2171" s="834" t="str">
        <f t="shared" si="99"/>
        <v>|||</v>
      </c>
      <c r="H2171" s="835">
        <f t="shared" si="101"/>
        <v>31</v>
      </c>
      <c r="AF2171" s="831" t="s">
        <v>2865</v>
      </c>
      <c r="AG2171" s="831" t="s">
        <v>1721</v>
      </c>
      <c r="AH2171" s="831" t="s">
        <v>1724</v>
      </c>
      <c r="AI2171" s="831">
        <v>1</v>
      </c>
      <c r="AJ2171" s="835">
        <v>39082</v>
      </c>
      <c r="AK2171" s="831">
        <v>0</v>
      </c>
      <c r="AP2171" s="831" t="str">
        <f t="shared" si="100"/>
        <v/>
      </c>
    </row>
    <row r="2172" spans="2:42">
      <c r="B2172" s="834" t="str">
        <f t="shared" si="99"/>
        <v>|||</v>
      </c>
      <c r="H2172" s="835">
        <f t="shared" si="101"/>
        <v>31</v>
      </c>
      <c r="AF2172" s="831" t="s">
        <v>2866</v>
      </c>
      <c r="AG2172" s="831" t="s">
        <v>1721</v>
      </c>
      <c r="AH2172" s="831" t="s">
        <v>1726</v>
      </c>
      <c r="AI2172" s="831">
        <v>1</v>
      </c>
      <c r="AJ2172" s="835">
        <v>39082</v>
      </c>
      <c r="AK2172" s="831">
        <v>0</v>
      </c>
      <c r="AP2172" s="831" t="str">
        <f t="shared" si="100"/>
        <v/>
      </c>
    </row>
    <row r="2173" spans="2:42">
      <c r="B2173" s="834" t="str">
        <f t="shared" si="99"/>
        <v>|||</v>
      </c>
      <c r="H2173" s="835">
        <f t="shared" si="101"/>
        <v>31</v>
      </c>
      <c r="AF2173" s="831" t="s">
        <v>2867</v>
      </c>
      <c r="AG2173" s="831" t="s">
        <v>1721</v>
      </c>
      <c r="AH2173" s="831" t="s">
        <v>1722</v>
      </c>
      <c r="AI2173" s="831">
        <v>1</v>
      </c>
      <c r="AJ2173" s="835">
        <v>39447</v>
      </c>
      <c r="AK2173" s="831">
        <v>0</v>
      </c>
      <c r="AP2173" s="831" t="str">
        <f t="shared" si="100"/>
        <v/>
      </c>
    </row>
    <row r="2174" spans="2:42">
      <c r="B2174" s="834" t="str">
        <f t="shared" si="99"/>
        <v>|||</v>
      </c>
      <c r="H2174" s="835">
        <f t="shared" si="101"/>
        <v>31</v>
      </c>
      <c r="AF2174" s="831" t="s">
        <v>2868</v>
      </c>
      <c r="AG2174" s="831" t="s">
        <v>1721</v>
      </c>
      <c r="AH2174" s="831" t="s">
        <v>1724</v>
      </c>
      <c r="AI2174" s="831">
        <v>1</v>
      </c>
      <c r="AJ2174" s="835">
        <v>39447</v>
      </c>
      <c r="AK2174" s="831">
        <v>0</v>
      </c>
      <c r="AP2174" s="831" t="str">
        <f t="shared" si="100"/>
        <v/>
      </c>
    </row>
    <row r="2175" spans="2:42">
      <c r="B2175" s="834" t="str">
        <f t="shared" si="99"/>
        <v>|||</v>
      </c>
      <c r="H2175" s="835">
        <f t="shared" si="101"/>
        <v>31</v>
      </c>
      <c r="AF2175" s="831" t="s">
        <v>2869</v>
      </c>
      <c r="AG2175" s="831" t="s">
        <v>1721</v>
      </c>
      <c r="AH2175" s="831" t="s">
        <v>1726</v>
      </c>
      <c r="AI2175" s="831">
        <v>1</v>
      </c>
      <c r="AJ2175" s="835">
        <v>39447</v>
      </c>
      <c r="AK2175" s="831">
        <v>0</v>
      </c>
      <c r="AP2175" s="831" t="str">
        <f t="shared" si="100"/>
        <v/>
      </c>
    </row>
    <row r="2176" spans="2:42">
      <c r="B2176" s="834" t="str">
        <f t="shared" si="99"/>
        <v>|||</v>
      </c>
      <c r="H2176" s="835">
        <f t="shared" si="101"/>
        <v>31</v>
      </c>
      <c r="AF2176" s="831" t="s">
        <v>2870</v>
      </c>
      <c r="AG2176" s="831" t="s">
        <v>1721</v>
      </c>
      <c r="AH2176" s="831" t="s">
        <v>1722</v>
      </c>
      <c r="AI2176" s="831">
        <v>1</v>
      </c>
      <c r="AJ2176" s="835">
        <v>39813</v>
      </c>
      <c r="AK2176" s="831">
        <v>0</v>
      </c>
      <c r="AP2176" s="831" t="str">
        <f t="shared" si="100"/>
        <v/>
      </c>
    </row>
    <row r="2177" spans="2:42">
      <c r="B2177" s="834" t="str">
        <f t="shared" si="99"/>
        <v>|||</v>
      </c>
      <c r="H2177" s="835">
        <f t="shared" si="101"/>
        <v>31</v>
      </c>
      <c r="AF2177" s="831" t="s">
        <v>2871</v>
      </c>
      <c r="AG2177" s="831" t="s">
        <v>1721</v>
      </c>
      <c r="AH2177" s="831" t="s">
        <v>1724</v>
      </c>
      <c r="AI2177" s="831">
        <v>1</v>
      </c>
      <c r="AJ2177" s="835">
        <v>39813</v>
      </c>
      <c r="AK2177" s="831">
        <v>0</v>
      </c>
      <c r="AP2177" s="831" t="str">
        <f t="shared" si="100"/>
        <v/>
      </c>
    </row>
    <row r="2178" spans="2:42">
      <c r="B2178" s="834" t="str">
        <f t="shared" si="99"/>
        <v>|||</v>
      </c>
      <c r="H2178" s="835">
        <f t="shared" si="101"/>
        <v>31</v>
      </c>
      <c r="AF2178" s="831" t="s">
        <v>2872</v>
      </c>
      <c r="AG2178" s="831" t="s">
        <v>1721</v>
      </c>
      <c r="AH2178" s="831" t="s">
        <v>1726</v>
      </c>
      <c r="AI2178" s="831">
        <v>1</v>
      </c>
      <c r="AJ2178" s="835">
        <v>39813</v>
      </c>
      <c r="AK2178" s="831">
        <v>0</v>
      </c>
      <c r="AP2178" s="831" t="str">
        <f t="shared" si="100"/>
        <v/>
      </c>
    </row>
    <row r="2179" spans="2:42">
      <c r="B2179" s="834" t="str">
        <f t="shared" ref="B2179:B2242" si="102">C2179&amp;"|"&amp;D2179&amp;"|"&amp;E2179&amp;"|"&amp;F2179</f>
        <v>|||</v>
      </c>
      <c r="H2179" s="835">
        <f t="shared" si="101"/>
        <v>31</v>
      </c>
      <c r="AF2179" s="831" t="s">
        <v>2873</v>
      </c>
      <c r="AG2179" s="831" t="s">
        <v>1721</v>
      </c>
      <c r="AH2179" s="831" t="s">
        <v>1722</v>
      </c>
      <c r="AI2179" s="831">
        <v>1</v>
      </c>
      <c r="AJ2179" s="835">
        <v>40178</v>
      </c>
      <c r="AK2179" s="831">
        <v>0</v>
      </c>
      <c r="AP2179" s="831" t="str">
        <f t="shared" ref="AP2179:AP2242" si="103">IF(AX2179&lt;&gt;"",IF(OR(AX2179=3,AX2179=4),"Equity","Debt"),"")</f>
        <v/>
      </c>
    </row>
    <row r="2180" spans="2:42">
      <c r="B2180" s="834" t="str">
        <f t="shared" si="102"/>
        <v>|||</v>
      </c>
      <c r="H2180" s="835">
        <f t="shared" ref="H2180:H2243" si="104">EOMONTH(L2180,0)</f>
        <v>31</v>
      </c>
      <c r="AF2180" s="831" t="s">
        <v>2874</v>
      </c>
      <c r="AG2180" s="831" t="s">
        <v>1721</v>
      </c>
      <c r="AH2180" s="831" t="s">
        <v>1724</v>
      </c>
      <c r="AI2180" s="831">
        <v>1</v>
      </c>
      <c r="AJ2180" s="835">
        <v>40178</v>
      </c>
      <c r="AK2180" s="831">
        <v>0</v>
      </c>
      <c r="AP2180" s="831" t="str">
        <f t="shared" si="103"/>
        <v/>
      </c>
    </row>
    <row r="2181" spans="2:42">
      <c r="B2181" s="834" t="str">
        <f t="shared" si="102"/>
        <v>|||</v>
      </c>
      <c r="H2181" s="835">
        <f t="shared" si="104"/>
        <v>31</v>
      </c>
      <c r="AF2181" s="831" t="s">
        <v>2875</v>
      </c>
      <c r="AG2181" s="831" t="s">
        <v>1721</v>
      </c>
      <c r="AH2181" s="831" t="s">
        <v>1726</v>
      </c>
      <c r="AI2181" s="831">
        <v>1</v>
      </c>
      <c r="AJ2181" s="835">
        <v>40178</v>
      </c>
      <c r="AK2181" s="831">
        <v>0</v>
      </c>
      <c r="AP2181" s="831" t="str">
        <f t="shared" si="103"/>
        <v/>
      </c>
    </row>
    <row r="2182" spans="2:42">
      <c r="B2182" s="834" t="str">
        <f t="shared" si="102"/>
        <v>|||</v>
      </c>
      <c r="H2182" s="835">
        <f t="shared" si="104"/>
        <v>31</v>
      </c>
      <c r="AF2182" s="831" t="s">
        <v>2876</v>
      </c>
      <c r="AG2182" s="831" t="s">
        <v>59</v>
      </c>
      <c r="AH2182" s="831" t="s">
        <v>70</v>
      </c>
      <c r="AI2182" s="831">
        <v>1</v>
      </c>
      <c r="AJ2182" s="835">
        <v>38717</v>
      </c>
      <c r="AK2182" s="831">
        <v>0</v>
      </c>
      <c r="AP2182" s="831" t="str">
        <f t="shared" si="103"/>
        <v/>
      </c>
    </row>
    <row r="2183" spans="2:42">
      <c r="B2183" s="834" t="str">
        <f t="shared" si="102"/>
        <v>|||</v>
      </c>
      <c r="H2183" s="835">
        <f t="shared" si="104"/>
        <v>31</v>
      </c>
      <c r="AF2183" s="831" t="s">
        <v>2877</v>
      </c>
      <c r="AG2183" s="831" t="s">
        <v>59</v>
      </c>
      <c r="AH2183" s="831" t="s">
        <v>75</v>
      </c>
      <c r="AI2183" s="831">
        <v>1</v>
      </c>
      <c r="AJ2183" s="835">
        <v>38717</v>
      </c>
      <c r="AK2183" s="831">
        <v>0</v>
      </c>
      <c r="AP2183" s="831" t="str">
        <f t="shared" si="103"/>
        <v/>
      </c>
    </row>
    <row r="2184" spans="2:42">
      <c r="B2184" s="834" t="str">
        <f t="shared" si="102"/>
        <v>|||</v>
      </c>
      <c r="H2184" s="835">
        <f t="shared" si="104"/>
        <v>31</v>
      </c>
      <c r="AF2184" s="831" t="s">
        <v>2878</v>
      </c>
      <c r="AG2184" s="831" t="s">
        <v>59</v>
      </c>
      <c r="AH2184" s="831" t="s">
        <v>85</v>
      </c>
      <c r="AI2184" s="831">
        <v>1</v>
      </c>
      <c r="AJ2184" s="835">
        <v>38717</v>
      </c>
      <c r="AK2184" s="831">
        <v>0</v>
      </c>
      <c r="AP2184" s="831" t="str">
        <f t="shared" si="103"/>
        <v/>
      </c>
    </row>
    <row r="2185" spans="2:42">
      <c r="B2185" s="834" t="str">
        <f t="shared" si="102"/>
        <v>|||</v>
      </c>
      <c r="H2185" s="835">
        <f t="shared" si="104"/>
        <v>31</v>
      </c>
      <c r="AF2185" s="831" t="s">
        <v>2879</v>
      </c>
      <c r="AG2185" s="831" t="s">
        <v>59</v>
      </c>
      <c r="AH2185" s="831" t="s">
        <v>90</v>
      </c>
      <c r="AI2185" s="831">
        <v>1</v>
      </c>
      <c r="AJ2185" s="835">
        <v>38717</v>
      </c>
      <c r="AK2185" s="831">
        <v>0</v>
      </c>
      <c r="AP2185" s="831" t="str">
        <f t="shared" si="103"/>
        <v/>
      </c>
    </row>
    <row r="2186" spans="2:42">
      <c r="B2186" s="834" t="str">
        <f t="shared" si="102"/>
        <v>|||</v>
      </c>
      <c r="H2186" s="835">
        <f t="shared" si="104"/>
        <v>31</v>
      </c>
      <c r="AF2186" s="831" t="s">
        <v>2880</v>
      </c>
      <c r="AG2186" s="831" t="s">
        <v>59</v>
      </c>
      <c r="AH2186" s="831" t="s">
        <v>521</v>
      </c>
      <c r="AI2186" s="831">
        <v>1</v>
      </c>
      <c r="AJ2186" s="835">
        <v>38717</v>
      </c>
      <c r="AK2186" s="831">
        <v>0</v>
      </c>
      <c r="AP2186" s="831" t="str">
        <f t="shared" si="103"/>
        <v/>
      </c>
    </row>
    <row r="2187" spans="2:42">
      <c r="B2187" s="834" t="str">
        <f t="shared" si="102"/>
        <v>|||</v>
      </c>
      <c r="H2187" s="835">
        <f t="shared" si="104"/>
        <v>31</v>
      </c>
      <c r="AF2187" s="831" t="s">
        <v>2881</v>
      </c>
      <c r="AG2187" s="831" t="s">
        <v>59</v>
      </c>
      <c r="AH2187" s="831" t="s">
        <v>522</v>
      </c>
      <c r="AI2187" s="831">
        <v>1</v>
      </c>
      <c r="AJ2187" s="835">
        <v>38717</v>
      </c>
      <c r="AK2187" s="831">
        <v>0</v>
      </c>
      <c r="AP2187" s="831" t="str">
        <f t="shared" si="103"/>
        <v/>
      </c>
    </row>
    <row r="2188" spans="2:42">
      <c r="B2188" s="834" t="str">
        <f t="shared" si="102"/>
        <v>|||</v>
      </c>
      <c r="H2188" s="835">
        <f t="shared" si="104"/>
        <v>31</v>
      </c>
      <c r="AF2188" s="831" t="s">
        <v>2882</v>
      </c>
      <c r="AG2188" s="831" t="s">
        <v>59</v>
      </c>
      <c r="AH2188" s="831" t="s">
        <v>523</v>
      </c>
      <c r="AI2188" s="831">
        <v>1</v>
      </c>
      <c r="AJ2188" s="835">
        <v>38717</v>
      </c>
      <c r="AK2188" s="831">
        <v>0</v>
      </c>
      <c r="AP2188" s="831" t="str">
        <f t="shared" si="103"/>
        <v/>
      </c>
    </row>
    <row r="2189" spans="2:42">
      <c r="B2189" s="834" t="str">
        <f t="shared" si="102"/>
        <v>|||</v>
      </c>
      <c r="H2189" s="835">
        <f t="shared" si="104"/>
        <v>31</v>
      </c>
      <c r="AF2189" s="831" t="s">
        <v>2883</v>
      </c>
      <c r="AG2189" s="831" t="s">
        <v>59</v>
      </c>
      <c r="AH2189" s="831" t="s">
        <v>524</v>
      </c>
      <c r="AI2189" s="831">
        <v>1</v>
      </c>
      <c r="AJ2189" s="835">
        <v>38717</v>
      </c>
      <c r="AK2189" s="831">
        <v>0</v>
      </c>
      <c r="AP2189" s="831" t="str">
        <f t="shared" si="103"/>
        <v/>
      </c>
    </row>
    <row r="2190" spans="2:42">
      <c r="B2190" s="834" t="str">
        <f t="shared" si="102"/>
        <v>|||</v>
      </c>
      <c r="H2190" s="835">
        <f t="shared" si="104"/>
        <v>31</v>
      </c>
      <c r="AF2190" s="831" t="s">
        <v>2884</v>
      </c>
      <c r="AG2190" s="831" t="s">
        <v>59</v>
      </c>
      <c r="AH2190" s="831" t="s">
        <v>1805</v>
      </c>
      <c r="AI2190" s="831">
        <v>1</v>
      </c>
      <c r="AJ2190" s="835">
        <v>38717</v>
      </c>
      <c r="AK2190" s="831">
        <v>0</v>
      </c>
      <c r="AP2190" s="831" t="str">
        <f t="shared" si="103"/>
        <v/>
      </c>
    </row>
    <row r="2191" spans="2:42">
      <c r="B2191" s="834" t="str">
        <f t="shared" si="102"/>
        <v>|||</v>
      </c>
      <c r="H2191" s="835">
        <f t="shared" si="104"/>
        <v>31</v>
      </c>
      <c r="AF2191" s="831" t="s">
        <v>2885</v>
      </c>
      <c r="AG2191" s="831" t="s">
        <v>59</v>
      </c>
      <c r="AH2191" s="831" t="s">
        <v>80</v>
      </c>
      <c r="AI2191" s="831">
        <v>1</v>
      </c>
      <c r="AJ2191" s="835">
        <v>38717</v>
      </c>
      <c r="AK2191" s="831">
        <v>0</v>
      </c>
      <c r="AP2191" s="831" t="str">
        <f t="shared" si="103"/>
        <v/>
      </c>
    </row>
    <row r="2192" spans="2:42">
      <c r="B2192" s="834" t="str">
        <f t="shared" si="102"/>
        <v>|||</v>
      </c>
      <c r="H2192" s="835">
        <f t="shared" si="104"/>
        <v>31</v>
      </c>
      <c r="AF2192" s="831" t="s">
        <v>2886</v>
      </c>
      <c r="AG2192" s="831" t="s">
        <v>59</v>
      </c>
      <c r="AH2192" s="831" t="s">
        <v>70</v>
      </c>
      <c r="AI2192" s="831">
        <v>1</v>
      </c>
      <c r="AJ2192" s="835">
        <v>39082</v>
      </c>
      <c r="AK2192" s="831">
        <v>0</v>
      </c>
      <c r="AP2192" s="831" t="str">
        <f t="shared" si="103"/>
        <v/>
      </c>
    </row>
    <row r="2193" spans="2:42">
      <c r="B2193" s="834" t="str">
        <f t="shared" si="102"/>
        <v>|||</v>
      </c>
      <c r="H2193" s="835">
        <f t="shared" si="104"/>
        <v>31</v>
      </c>
      <c r="AF2193" s="831" t="s">
        <v>2887</v>
      </c>
      <c r="AG2193" s="831" t="s">
        <v>59</v>
      </c>
      <c r="AH2193" s="831" t="s">
        <v>75</v>
      </c>
      <c r="AI2193" s="831">
        <v>1</v>
      </c>
      <c r="AJ2193" s="835">
        <v>39082</v>
      </c>
      <c r="AK2193" s="831">
        <v>0</v>
      </c>
      <c r="AP2193" s="831" t="str">
        <f t="shared" si="103"/>
        <v/>
      </c>
    </row>
    <row r="2194" spans="2:42">
      <c r="B2194" s="834" t="str">
        <f t="shared" si="102"/>
        <v>|||</v>
      </c>
      <c r="H2194" s="835">
        <f t="shared" si="104"/>
        <v>31</v>
      </c>
      <c r="AF2194" s="831" t="s">
        <v>2888</v>
      </c>
      <c r="AG2194" s="831" t="s">
        <v>59</v>
      </c>
      <c r="AH2194" s="831" t="s">
        <v>85</v>
      </c>
      <c r="AI2194" s="831">
        <v>1</v>
      </c>
      <c r="AJ2194" s="835">
        <v>39082</v>
      </c>
      <c r="AK2194" s="831">
        <v>0</v>
      </c>
      <c r="AP2194" s="831" t="str">
        <f t="shared" si="103"/>
        <v/>
      </c>
    </row>
    <row r="2195" spans="2:42">
      <c r="B2195" s="834" t="str">
        <f t="shared" si="102"/>
        <v>|||</v>
      </c>
      <c r="H2195" s="835">
        <f t="shared" si="104"/>
        <v>31</v>
      </c>
      <c r="AF2195" s="831" t="s">
        <v>2889</v>
      </c>
      <c r="AG2195" s="831" t="s">
        <v>59</v>
      </c>
      <c r="AH2195" s="831" t="s">
        <v>90</v>
      </c>
      <c r="AI2195" s="831">
        <v>1</v>
      </c>
      <c r="AJ2195" s="835">
        <v>39082</v>
      </c>
      <c r="AK2195" s="831">
        <v>0</v>
      </c>
      <c r="AP2195" s="831" t="str">
        <f t="shared" si="103"/>
        <v/>
      </c>
    </row>
    <row r="2196" spans="2:42">
      <c r="B2196" s="834" t="str">
        <f t="shared" si="102"/>
        <v>|||</v>
      </c>
      <c r="H2196" s="835">
        <f t="shared" si="104"/>
        <v>31</v>
      </c>
      <c r="AF2196" s="831" t="s">
        <v>2890</v>
      </c>
      <c r="AG2196" s="831" t="s">
        <v>59</v>
      </c>
      <c r="AH2196" s="831" t="s">
        <v>521</v>
      </c>
      <c r="AI2196" s="831">
        <v>1</v>
      </c>
      <c r="AJ2196" s="835">
        <v>39082</v>
      </c>
      <c r="AK2196" s="831">
        <v>0</v>
      </c>
      <c r="AP2196" s="831" t="str">
        <f t="shared" si="103"/>
        <v/>
      </c>
    </row>
    <row r="2197" spans="2:42">
      <c r="B2197" s="834" t="str">
        <f t="shared" si="102"/>
        <v>|||</v>
      </c>
      <c r="H2197" s="835">
        <f t="shared" si="104"/>
        <v>31</v>
      </c>
      <c r="AF2197" s="831" t="s">
        <v>2891</v>
      </c>
      <c r="AG2197" s="831" t="s">
        <v>59</v>
      </c>
      <c r="AH2197" s="831" t="s">
        <v>522</v>
      </c>
      <c r="AI2197" s="831">
        <v>1</v>
      </c>
      <c r="AJ2197" s="835">
        <v>39082</v>
      </c>
      <c r="AK2197" s="831">
        <v>0</v>
      </c>
      <c r="AP2197" s="831" t="str">
        <f t="shared" si="103"/>
        <v/>
      </c>
    </row>
    <row r="2198" spans="2:42">
      <c r="B2198" s="834" t="str">
        <f t="shared" si="102"/>
        <v>|||</v>
      </c>
      <c r="H2198" s="835">
        <f t="shared" si="104"/>
        <v>31</v>
      </c>
      <c r="AF2198" s="831" t="s">
        <v>2892</v>
      </c>
      <c r="AG2198" s="831" t="s">
        <v>59</v>
      </c>
      <c r="AH2198" s="831" t="s">
        <v>523</v>
      </c>
      <c r="AI2198" s="831">
        <v>1</v>
      </c>
      <c r="AJ2198" s="835">
        <v>39082</v>
      </c>
      <c r="AK2198" s="831">
        <v>0</v>
      </c>
      <c r="AP2198" s="831" t="str">
        <f t="shared" si="103"/>
        <v/>
      </c>
    </row>
    <row r="2199" spans="2:42">
      <c r="B2199" s="834" t="str">
        <f t="shared" si="102"/>
        <v>|||</v>
      </c>
      <c r="H2199" s="835">
        <f t="shared" si="104"/>
        <v>31</v>
      </c>
      <c r="AF2199" s="831" t="s">
        <v>2893</v>
      </c>
      <c r="AG2199" s="831" t="s">
        <v>59</v>
      </c>
      <c r="AH2199" s="831" t="s">
        <v>524</v>
      </c>
      <c r="AI2199" s="831">
        <v>1</v>
      </c>
      <c r="AJ2199" s="835">
        <v>39082</v>
      </c>
      <c r="AK2199" s="831">
        <v>0</v>
      </c>
      <c r="AP2199" s="831" t="str">
        <f t="shared" si="103"/>
        <v/>
      </c>
    </row>
    <row r="2200" spans="2:42">
      <c r="B2200" s="834" t="str">
        <f t="shared" si="102"/>
        <v>|||</v>
      </c>
      <c r="H2200" s="835">
        <f t="shared" si="104"/>
        <v>31</v>
      </c>
      <c r="AF2200" s="831" t="s">
        <v>2894</v>
      </c>
      <c r="AG2200" s="831" t="s">
        <v>59</v>
      </c>
      <c r="AH2200" s="831" t="s">
        <v>1805</v>
      </c>
      <c r="AI2200" s="831">
        <v>1</v>
      </c>
      <c r="AJ2200" s="835">
        <v>39082</v>
      </c>
      <c r="AK2200" s="831">
        <v>0</v>
      </c>
      <c r="AP2200" s="831" t="str">
        <f t="shared" si="103"/>
        <v/>
      </c>
    </row>
    <row r="2201" spans="2:42">
      <c r="B2201" s="834" t="str">
        <f t="shared" si="102"/>
        <v>|||</v>
      </c>
      <c r="H2201" s="835">
        <f t="shared" si="104"/>
        <v>31</v>
      </c>
      <c r="AF2201" s="831" t="s">
        <v>2895</v>
      </c>
      <c r="AG2201" s="831" t="s">
        <v>59</v>
      </c>
      <c r="AH2201" s="831" t="s">
        <v>80</v>
      </c>
      <c r="AI2201" s="831">
        <v>1</v>
      </c>
      <c r="AJ2201" s="835">
        <v>39082</v>
      </c>
      <c r="AK2201" s="831">
        <v>0</v>
      </c>
      <c r="AP2201" s="831" t="str">
        <f t="shared" si="103"/>
        <v/>
      </c>
    </row>
    <row r="2202" spans="2:42">
      <c r="B2202" s="834" t="str">
        <f t="shared" si="102"/>
        <v>|||</v>
      </c>
      <c r="H2202" s="835">
        <f t="shared" si="104"/>
        <v>31</v>
      </c>
      <c r="AF2202" s="831" t="s">
        <v>2896</v>
      </c>
      <c r="AG2202" s="831" t="s">
        <v>59</v>
      </c>
      <c r="AH2202" s="831" t="s">
        <v>70</v>
      </c>
      <c r="AI2202" s="831">
        <v>1</v>
      </c>
      <c r="AJ2202" s="835">
        <v>39447</v>
      </c>
      <c r="AK2202" s="831">
        <v>0</v>
      </c>
      <c r="AP2202" s="831" t="str">
        <f t="shared" si="103"/>
        <v/>
      </c>
    </row>
    <row r="2203" spans="2:42">
      <c r="B2203" s="834" t="str">
        <f t="shared" si="102"/>
        <v>|||</v>
      </c>
      <c r="H2203" s="835">
        <f t="shared" si="104"/>
        <v>31</v>
      </c>
      <c r="AF2203" s="831" t="s">
        <v>2897</v>
      </c>
      <c r="AG2203" s="831" t="s">
        <v>59</v>
      </c>
      <c r="AH2203" s="831" t="s">
        <v>75</v>
      </c>
      <c r="AI2203" s="831">
        <v>1</v>
      </c>
      <c r="AJ2203" s="835">
        <v>39447</v>
      </c>
      <c r="AK2203" s="831">
        <v>0</v>
      </c>
      <c r="AP2203" s="831" t="str">
        <f t="shared" si="103"/>
        <v/>
      </c>
    </row>
    <row r="2204" spans="2:42">
      <c r="B2204" s="834" t="str">
        <f t="shared" si="102"/>
        <v>|||</v>
      </c>
      <c r="H2204" s="835">
        <f t="shared" si="104"/>
        <v>31</v>
      </c>
      <c r="AF2204" s="831" t="s">
        <v>2898</v>
      </c>
      <c r="AG2204" s="831" t="s">
        <v>59</v>
      </c>
      <c r="AH2204" s="831" t="s">
        <v>85</v>
      </c>
      <c r="AI2204" s="831">
        <v>1</v>
      </c>
      <c r="AJ2204" s="835">
        <v>39447</v>
      </c>
      <c r="AK2204" s="831">
        <v>0</v>
      </c>
      <c r="AP2204" s="831" t="str">
        <f t="shared" si="103"/>
        <v/>
      </c>
    </row>
    <row r="2205" spans="2:42">
      <c r="B2205" s="834" t="str">
        <f t="shared" si="102"/>
        <v>|||</v>
      </c>
      <c r="H2205" s="835">
        <f t="shared" si="104"/>
        <v>31</v>
      </c>
      <c r="AF2205" s="831" t="s">
        <v>2899</v>
      </c>
      <c r="AG2205" s="831" t="s">
        <v>59</v>
      </c>
      <c r="AH2205" s="831" t="s">
        <v>90</v>
      </c>
      <c r="AI2205" s="831">
        <v>1</v>
      </c>
      <c r="AJ2205" s="835">
        <v>39447</v>
      </c>
      <c r="AK2205" s="831">
        <v>0</v>
      </c>
      <c r="AP2205" s="831" t="str">
        <f t="shared" si="103"/>
        <v/>
      </c>
    </row>
    <row r="2206" spans="2:42">
      <c r="B2206" s="834" t="str">
        <f t="shared" si="102"/>
        <v>|||</v>
      </c>
      <c r="H2206" s="835">
        <f t="shared" si="104"/>
        <v>31</v>
      </c>
      <c r="AF2206" s="831" t="s">
        <v>2900</v>
      </c>
      <c r="AG2206" s="831" t="s">
        <v>59</v>
      </c>
      <c r="AH2206" s="831" t="s">
        <v>521</v>
      </c>
      <c r="AI2206" s="831">
        <v>1</v>
      </c>
      <c r="AJ2206" s="835">
        <v>39447</v>
      </c>
      <c r="AK2206" s="831">
        <v>0</v>
      </c>
      <c r="AP2206" s="831" t="str">
        <f t="shared" si="103"/>
        <v/>
      </c>
    </row>
    <row r="2207" spans="2:42">
      <c r="B2207" s="834" t="str">
        <f t="shared" si="102"/>
        <v>|||</v>
      </c>
      <c r="H2207" s="835">
        <f t="shared" si="104"/>
        <v>31</v>
      </c>
      <c r="AF2207" s="831" t="s">
        <v>2901</v>
      </c>
      <c r="AG2207" s="831" t="s">
        <v>59</v>
      </c>
      <c r="AH2207" s="831" t="s">
        <v>522</v>
      </c>
      <c r="AI2207" s="831">
        <v>1</v>
      </c>
      <c r="AJ2207" s="835">
        <v>39447</v>
      </c>
      <c r="AK2207" s="831">
        <v>0</v>
      </c>
      <c r="AP2207" s="831" t="str">
        <f t="shared" si="103"/>
        <v/>
      </c>
    </row>
    <row r="2208" spans="2:42">
      <c r="B2208" s="834" t="str">
        <f t="shared" si="102"/>
        <v>|||</v>
      </c>
      <c r="H2208" s="835">
        <f t="shared" si="104"/>
        <v>31</v>
      </c>
      <c r="AF2208" s="831" t="s">
        <v>2902</v>
      </c>
      <c r="AG2208" s="831" t="s">
        <v>59</v>
      </c>
      <c r="AH2208" s="831" t="s">
        <v>523</v>
      </c>
      <c r="AI2208" s="831">
        <v>1</v>
      </c>
      <c r="AJ2208" s="835">
        <v>39447</v>
      </c>
      <c r="AK2208" s="831">
        <v>0</v>
      </c>
      <c r="AP2208" s="831" t="str">
        <f t="shared" si="103"/>
        <v/>
      </c>
    </row>
    <row r="2209" spans="2:42">
      <c r="B2209" s="834" t="str">
        <f t="shared" si="102"/>
        <v>|||</v>
      </c>
      <c r="H2209" s="835">
        <f t="shared" si="104"/>
        <v>31</v>
      </c>
      <c r="AF2209" s="831" t="s">
        <v>2903</v>
      </c>
      <c r="AG2209" s="831" t="s">
        <v>59</v>
      </c>
      <c r="AH2209" s="831" t="s">
        <v>524</v>
      </c>
      <c r="AI2209" s="831">
        <v>1</v>
      </c>
      <c r="AJ2209" s="835">
        <v>39447</v>
      </c>
      <c r="AK2209" s="831">
        <v>0</v>
      </c>
      <c r="AP2209" s="831" t="str">
        <f t="shared" si="103"/>
        <v/>
      </c>
    </row>
    <row r="2210" spans="2:42">
      <c r="B2210" s="834" t="str">
        <f t="shared" si="102"/>
        <v>|||</v>
      </c>
      <c r="H2210" s="835">
        <f t="shared" si="104"/>
        <v>31</v>
      </c>
      <c r="AF2210" s="831" t="s">
        <v>2904</v>
      </c>
      <c r="AG2210" s="831" t="s">
        <v>59</v>
      </c>
      <c r="AH2210" s="831" t="s">
        <v>1805</v>
      </c>
      <c r="AI2210" s="831">
        <v>1</v>
      </c>
      <c r="AJ2210" s="835">
        <v>39447</v>
      </c>
      <c r="AK2210" s="831">
        <v>0</v>
      </c>
      <c r="AP2210" s="831" t="str">
        <f t="shared" si="103"/>
        <v/>
      </c>
    </row>
    <row r="2211" spans="2:42">
      <c r="B2211" s="834" t="str">
        <f t="shared" si="102"/>
        <v>|||</v>
      </c>
      <c r="H2211" s="835">
        <f t="shared" si="104"/>
        <v>31</v>
      </c>
      <c r="AF2211" s="831" t="s">
        <v>2905</v>
      </c>
      <c r="AG2211" s="831" t="s">
        <v>59</v>
      </c>
      <c r="AH2211" s="831" t="s">
        <v>80</v>
      </c>
      <c r="AI2211" s="831">
        <v>1</v>
      </c>
      <c r="AJ2211" s="835">
        <v>39447</v>
      </c>
      <c r="AK2211" s="831">
        <v>0</v>
      </c>
      <c r="AP2211" s="831" t="str">
        <f t="shared" si="103"/>
        <v/>
      </c>
    </row>
    <row r="2212" spans="2:42">
      <c r="B2212" s="834" t="str">
        <f t="shared" si="102"/>
        <v>|||</v>
      </c>
      <c r="H2212" s="835">
        <f t="shared" si="104"/>
        <v>31</v>
      </c>
      <c r="AF2212" s="831" t="s">
        <v>2906</v>
      </c>
      <c r="AG2212" s="831" t="s">
        <v>59</v>
      </c>
      <c r="AH2212" s="831" t="s">
        <v>70</v>
      </c>
      <c r="AI2212" s="831">
        <v>1</v>
      </c>
      <c r="AJ2212" s="835">
        <v>39813</v>
      </c>
      <c r="AK2212" s="831">
        <v>0</v>
      </c>
      <c r="AP2212" s="831" t="str">
        <f t="shared" si="103"/>
        <v/>
      </c>
    </row>
    <row r="2213" spans="2:42">
      <c r="B2213" s="834" t="str">
        <f t="shared" si="102"/>
        <v>|||</v>
      </c>
      <c r="H2213" s="835">
        <f t="shared" si="104"/>
        <v>31</v>
      </c>
      <c r="AF2213" s="831" t="s">
        <v>2907</v>
      </c>
      <c r="AG2213" s="831" t="s">
        <v>59</v>
      </c>
      <c r="AH2213" s="831" t="s">
        <v>75</v>
      </c>
      <c r="AI2213" s="831">
        <v>1</v>
      </c>
      <c r="AJ2213" s="835">
        <v>39813</v>
      </c>
      <c r="AK2213" s="831">
        <v>0</v>
      </c>
      <c r="AP2213" s="831" t="str">
        <f t="shared" si="103"/>
        <v/>
      </c>
    </row>
    <row r="2214" spans="2:42">
      <c r="B2214" s="834" t="str">
        <f t="shared" si="102"/>
        <v>|||</v>
      </c>
      <c r="H2214" s="835">
        <f t="shared" si="104"/>
        <v>31</v>
      </c>
      <c r="AF2214" s="831" t="s">
        <v>2908</v>
      </c>
      <c r="AG2214" s="831" t="s">
        <v>59</v>
      </c>
      <c r="AH2214" s="831" t="s">
        <v>85</v>
      </c>
      <c r="AI2214" s="831">
        <v>1</v>
      </c>
      <c r="AJ2214" s="835">
        <v>39813</v>
      </c>
      <c r="AK2214" s="831">
        <v>0</v>
      </c>
      <c r="AP2214" s="831" t="str">
        <f t="shared" si="103"/>
        <v/>
      </c>
    </row>
    <row r="2215" spans="2:42">
      <c r="B2215" s="834" t="str">
        <f t="shared" si="102"/>
        <v>|||</v>
      </c>
      <c r="H2215" s="835">
        <f t="shared" si="104"/>
        <v>31</v>
      </c>
      <c r="AF2215" s="831" t="s">
        <v>2909</v>
      </c>
      <c r="AG2215" s="831" t="s">
        <v>59</v>
      </c>
      <c r="AH2215" s="831" t="s">
        <v>90</v>
      </c>
      <c r="AI2215" s="831">
        <v>1</v>
      </c>
      <c r="AJ2215" s="835">
        <v>39813</v>
      </c>
      <c r="AK2215" s="831">
        <v>0</v>
      </c>
      <c r="AP2215" s="831" t="str">
        <f t="shared" si="103"/>
        <v/>
      </c>
    </row>
    <row r="2216" spans="2:42">
      <c r="B2216" s="834" t="str">
        <f t="shared" si="102"/>
        <v>|||</v>
      </c>
      <c r="H2216" s="835">
        <f t="shared" si="104"/>
        <v>31</v>
      </c>
      <c r="AF2216" s="831" t="s">
        <v>2910</v>
      </c>
      <c r="AG2216" s="831" t="s">
        <v>59</v>
      </c>
      <c r="AH2216" s="831" t="s">
        <v>521</v>
      </c>
      <c r="AI2216" s="831">
        <v>1</v>
      </c>
      <c r="AJ2216" s="835">
        <v>39813</v>
      </c>
      <c r="AK2216" s="831">
        <v>0</v>
      </c>
      <c r="AP2216" s="831" t="str">
        <f t="shared" si="103"/>
        <v/>
      </c>
    </row>
    <row r="2217" spans="2:42">
      <c r="B2217" s="834" t="str">
        <f t="shared" si="102"/>
        <v>|||</v>
      </c>
      <c r="H2217" s="835">
        <f t="shared" si="104"/>
        <v>31</v>
      </c>
      <c r="AF2217" s="831" t="s">
        <v>2911</v>
      </c>
      <c r="AG2217" s="831" t="s">
        <v>59</v>
      </c>
      <c r="AH2217" s="831" t="s">
        <v>522</v>
      </c>
      <c r="AI2217" s="831">
        <v>1</v>
      </c>
      <c r="AJ2217" s="835">
        <v>39813</v>
      </c>
      <c r="AK2217" s="831">
        <v>0</v>
      </c>
      <c r="AP2217" s="831" t="str">
        <f t="shared" si="103"/>
        <v/>
      </c>
    </row>
    <row r="2218" spans="2:42">
      <c r="B2218" s="834" t="str">
        <f t="shared" si="102"/>
        <v>|||</v>
      </c>
      <c r="H2218" s="835">
        <f t="shared" si="104"/>
        <v>31</v>
      </c>
      <c r="AF2218" s="831" t="s">
        <v>2912</v>
      </c>
      <c r="AG2218" s="831" t="s">
        <v>59</v>
      </c>
      <c r="AH2218" s="831" t="s">
        <v>523</v>
      </c>
      <c r="AI2218" s="831">
        <v>1</v>
      </c>
      <c r="AJ2218" s="835">
        <v>39813</v>
      </c>
      <c r="AK2218" s="831">
        <v>0</v>
      </c>
      <c r="AP2218" s="831" t="str">
        <f t="shared" si="103"/>
        <v/>
      </c>
    </row>
    <row r="2219" spans="2:42">
      <c r="B2219" s="834" t="str">
        <f t="shared" si="102"/>
        <v>|||</v>
      </c>
      <c r="H2219" s="835">
        <f t="shared" si="104"/>
        <v>31</v>
      </c>
      <c r="AF2219" s="831" t="s">
        <v>2913</v>
      </c>
      <c r="AG2219" s="831" t="s">
        <v>59</v>
      </c>
      <c r="AH2219" s="831" t="s">
        <v>524</v>
      </c>
      <c r="AI2219" s="831">
        <v>1</v>
      </c>
      <c r="AJ2219" s="835">
        <v>39813</v>
      </c>
      <c r="AK2219" s="831">
        <v>0</v>
      </c>
      <c r="AP2219" s="831" t="str">
        <f t="shared" si="103"/>
        <v/>
      </c>
    </row>
    <row r="2220" spans="2:42">
      <c r="B2220" s="834" t="str">
        <f t="shared" si="102"/>
        <v>|||</v>
      </c>
      <c r="H2220" s="835">
        <f t="shared" si="104"/>
        <v>31</v>
      </c>
      <c r="AF2220" s="831" t="s">
        <v>2914</v>
      </c>
      <c r="AG2220" s="831" t="s">
        <v>59</v>
      </c>
      <c r="AH2220" s="831" t="s">
        <v>1805</v>
      </c>
      <c r="AI2220" s="831">
        <v>1</v>
      </c>
      <c r="AJ2220" s="835">
        <v>39813</v>
      </c>
      <c r="AK2220" s="831">
        <v>0</v>
      </c>
      <c r="AP2220" s="831" t="str">
        <f t="shared" si="103"/>
        <v/>
      </c>
    </row>
    <row r="2221" spans="2:42">
      <c r="B2221" s="834" t="str">
        <f t="shared" si="102"/>
        <v>|||</v>
      </c>
      <c r="H2221" s="835">
        <f t="shared" si="104"/>
        <v>31</v>
      </c>
      <c r="AF2221" s="831" t="s">
        <v>2915</v>
      </c>
      <c r="AG2221" s="831" t="s">
        <v>59</v>
      </c>
      <c r="AH2221" s="831" t="s">
        <v>80</v>
      </c>
      <c r="AI2221" s="831">
        <v>1</v>
      </c>
      <c r="AJ2221" s="835">
        <v>39813</v>
      </c>
      <c r="AK2221" s="831">
        <v>0</v>
      </c>
      <c r="AP2221" s="831" t="str">
        <f t="shared" si="103"/>
        <v/>
      </c>
    </row>
    <row r="2222" spans="2:42">
      <c r="B2222" s="834" t="str">
        <f t="shared" si="102"/>
        <v>|||</v>
      </c>
      <c r="H2222" s="835">
        <f t="shared" si="104"/>
        <v>31</v>
      </c>
      <c r="AF2222" s="831" t="s">
        <v>2916</v>
      </c>
      <c r="AG2222" s="831" t="s">
        <v>59</v>
      </c>
      <c r="AH2222" s="831" t="s">
        <v>70</v>
      </c>
      <c r="AI2222" s="831">
        <v>1</v>
      </c>
      <c r="AJ2222" s="835">
        <v>40178</v>
      </c>
      <c r="AK2222" s="831">
        <v>0</v>
      </c>
      <c r="AP2222" s="831" t="str">
        <f t="shared" si="103"/>
        <v/>
      </c>
    </row>
    <row r="2223" spans="2:42">
      <c r="B2223" s="834" t="str">
        <f t="shared" si="102"/>
        <v>|||</v>
      </c>
      <c r="H2223" s="835">
        <f t="shared" si="104"/>
        <v>31</v>
      </c>
      <c r="AF2223" s="831" t="s">
        <v>2917</v>
      </c>
      <c r="AG2223" s="831" t="s">
        <v>59</v>
      </c>
      <c r="AH2223" s="831" t="s">
        <v>75</v>
      </c>
      <c r="AI2223" s="831">
        <v>1</v>
      </c>
      <c r="AJ2223" s="835">
        <v>40178</v>
      </c>
      <c r="AK2223" s="831">
        <v>0</v>
      </c>
      <c r="AP2223" s="831" t="str">
        <f t="shared" si="103"/>
        <v/>
      </c>
    </row>
    <row r="2224" spans="2:42">
      <c r="B2224" s="834" t="str">
        <f t="shared" si="102"/>
        <v>|||</v>
      </c>
      <c r="H2224" s="835">
        <f t="shared" si="104"/>
        <v>31</v>
      </c>
      <c r="AF2224" s="831" t="s">
        <v>2918</v>
      </c>
      <c r="AG2224" s="831" t="s">
        <v>59</v>
      </c>
      <c r="AH2224" s="831" t="s">
        <v>85</v>
      </c>
      <c r="AI2224" s="831">
        <v>1</v>
      </c>
      <c r="AJ2224" s="835">
        <v>40178</v>
      </c>
      <c r="AK2224" s="831">
        <v>0</v>
      </c>
      <c r="AP2224" s="831" t="str">
        <f t="shared" si="103"/>
        <v/>
      </c>
    </row>
    <row r="2225" spans="2:42">
      <c r="B2225" s="834" t="str">
        <f t="shared" si="102"/>
        <v>|||</v>
      </c>
      <c r="H2225" s="835">
        <f t="shared" si="104"/>
        <v>31</v>
      </c>
      <c r="AF2225" s="831" t="s">
        <v>2919</v>
      </c>
      <c r="AG2225" s="831" t="s">
        <v>59</v>
      </c>
      <c r="AH2225" s="831" t="s">
        <v>90</v>
      </c>
      <c r="AI2225" s="831">
        <v>1</v>
      </c>
      <c r="AJ2225" s="835">
        <v>40178</v>
      </c>
      <c r="AK2225" s="831">
        <v>0</v>
      </c>
      <c r="AP2225" s="831" t="str">
        <f t="shared" si="103"/>
        <v/>
      </c>
    </row>
    <row r="2226" spans="2:42">
      <c r="B2226" s="834" t="str">
        <f t="shared" si="102"/>
        <v>|||</v>
      </c>
      <c r="H2226" s="835">
        <f t="shared" si="104"/>
        <v>31</v>
      </c>
      <c r="AF2226" s="831" t="s">
        <v>2920</v>
      </c>
      <c r="AG2226" s="831" t="s">
        <v>59</v>
      </c>
      <c r="AH2226" s="831" t="s">
        <v>521</v>
      </c>
      <c r="AI2226" s="831">
        <v>1</v>
      </c>
      <c r="AJ2226" s="835">
        <v>40178</v>
      </c>
      <c r="AK2226" s="831">
        <v>0</v>
      </c>
      <c r="AP2226" s="831" t="str">
        <f t="shared" si="103"/>
        <v/>
      </c>
    </row>
    <row r="2227" spans="2:42">
      <c r="B2227" s="834" t="str">
        <f t="shared" si="102"/>
        <v>|||</v>
      </c>
      <c r="H2227" s="835">
        <f t="shared" si="104"/>
        <v>31</v>
      </c>
      <c r="AF2227" s="831" t="s">
        <v>2921</v>
      </c>
      <c r="AG2227" s="831" t="s">
        <v>59</v>
      </c>
      <c r="AH2227" s="831" t="s">
        <v>522</v>
      </c>
      <c r="AI2227" s="831">
        <v>1</v>
      </c>
      <c r="AJ2227" s="835">
        <v>40178</v>
      </c>
      <c r="AK2227" s="831">
        <v>0</v>
      </c>
      <c r="AP2227" s="831" t="str">
        <f t="shared" si="103"/>
        <v/>
      </c>
    </row>
    <row r="2228" spans="2:42">
      <c r="B2228" s="834" t="str">
        <f t="shared" si="102"/>
        <v>|||</v>
      </c>
      <c r="H2228" s="835">
        <f t="shared" si="104"/>
        <v>31</v>
      </c>
      <c r="AF2228" s="831" t="s">
        <v>2922</v>
      </c>
      <c r="AG2228" s="831" t="s">
        <v>59</v>
      </c>
      <c r="AH2228" s="831" t="s">
        <v>523</v>
      </c>
      <c r="AI2228" s="831">
        <v>1</v>
      </c>
      <c r="AJ2228" s="835">
        <v>40178</v>
      </c>
      <c r="AK2228" s="831">
        <v>0</v>
      </c>
      <c r="AP2228" s="831" t="str">
        <f t="shared" si="103"/>
        <v/>
      </c>
    </row>
    <row r="2229" spans="2:42">
      <c r="B2229" s="834" t="str">
        <f t="shared" si="102"/>
        <v>|||</v>
      </c>
      <c r="H2229" s="835">
        <f t="shared" si="104"/>
        <v>31</v>
      </c>
      <c r="AF2229" s="831" t="s">
        <v>2923</v>
      </c>
      <c r="AG2229" s="831" t="s">
        <v>59</v>
      </c>
      <c r="AH2229" s="831" t="s">
        <v>524</v>
      </c>
      <c r="AI2229" s="831">
        <v>1</v>
      </c>
      <c r="AJ2229" s="835">
        <v>40178</v>
      </c>
      <c r="AK2229" s="831">
        <v>0</v>
      </c>
      <c r="AP2229" s="831" t="str">
        <f t="shared" si="103"/>
        <v/>
      </c>
    </row>
    <row r="2230" spans="2:42">
      <c r="B2230" s="834" t="str">
        <f t="shared" si="102"/>
        <v>|||</v>
      </c>
      <c r="H2230" s="835">
        <f t="shared" si="104"/>
        <v>31</v>
      </c>
      <c r="AF2230" s="831" t="s">
        <v>2924</v>
      </c>
      <c r="AG2230" s="831" t="s">
        <v>59</v>
      </c>
      <c r="AH2230" s="831" t="s">
        <v>1805</v>
      </c>
      <c r="AI2230" s="831">
        <v>1</v>
      </c>
      <c r="AJ2230" s="835">
        <v>40178</v>
      </c>
      <c r="AK2230" s="831">
        <v>0</v>
      </c>
      <c r="AP2230" s="831" t="str">
        <f t="shared" si="103"/>
        <v/>
      </c>
    </row>
    <row r="2231" spans="2:42">
      <c r="B2231" s="834" t="str">
        <f t="shared" si="102"/>
        <v>|||</v>
      </c>
      <c r="H2231" s="835">
        <f t="shared" si="104"/>
        <v>31</v>
      </c>
      <c r="AF2231" s="831" t="s">
        <v>2925</v>
      </c>
      <c r="AG2231" s="831" t="s">
        <v>59</v>
      </c>
      <c r="AH2231" s="831" t="s">
        <v>80</v>
      </c>
      <c r="AI2231" s="831">
        <v>1</v>
      </c>
      <c r="AJ2231" s="835">
        <v>40178</v>
      </c>
      <c r="AK2231" s="831">
        <v>0</v>
      </c>
      <c r="AP2231" s="831" t="str">
        <f t="shared" si="103"/>
        <v/>
      </c>
    </row>
    <row r="2232" spans="2:42">
      <c r="B2232" s="834" t="str">
        <f t="shared" si="102"/>
        <v>|||</v>
      </c>
      <c r="H2232" s="835">
        <f t="shared" si="104"/>
        <v>31</v>
      </c>
      <c r="AF2232" s="831" t="s">
        <v>2926</v>
      </c>
      <c r="AG2232" s="831" t="s">
        <v>57</v>
      </c>
      <c r="AH2232" s="831" t="s">
        <v>68</v>
      </c>
      <c r="AI2232" s="831">
        <v>1</v>
      </c>
      <c r="AJ2232" s="835">
        <v>38717</v>
      </c>
      <c r="AK2232" s="831">
        <v>16343954</v>
      </c>
      <c r="AP2232" s="831" t="str">
        <f t="shared" si="103"/>
        <v/>
      </c>
    </row>
    <row r="2233" spans="2:42">
      <c r="B2233" s="834" t="str">
        <f t="shared" si="102"/>
        <v>|||</v>
      </c>
      <c r="H2233" s="835">
        <f t="shared" si="104"/>
        <v>31</v>
      </c>
      <c r="AF2233" s="831" t="s">
        <v>2927</v>
      </c>
      <c r="AG2233" s="831" t="s">
        <v>57</v>
      </c>
      <c r="AH2233" s="831" t="s">
        <v>73</v>
      </c>
      <c r="AI2233" s="831">
        <v>1</v>
      </c>
      <c r="AJ2233" s="835">
        <v>38717</v>
      </c>
      <c r="AK2233" s="831">
        <v>9044</v>
      </c>
      <c r="AP2233" s="831" t="str">
        <f t="shared" si="103"/>
        <v/>
      </c>
    </row>
    <row r="2234" spans="2:42">
      <c r="B2234" s="834" t="str">
        <f t="shared" si="102"/>
        <v>|||</v>
      </c>
      <c r="H2234" s="835">
        <f t="shared" si="104"/>
        <v>31</v>
      </c>
      <c r="AF2234" s="831" t="s">
        <v>2928</v>
      </c>
      <c r="AG2234" s="831" t="s">
        <v>57</v>
      </c>
      <c r="AH2234" s="831" t="s">
        <v>78</v>
      </c>
      <c r="AI2234" s="831">
        <v>1</v>
      </c>
      <c r="AJ2234" s="835">
        <v>38717</v>
      </c>
      <c r="AK2234" s="831">
        <v>13802</v>
      </c>
      <c r="AP2234" s="831" t="str">
        <f t="shared" si="103"/>
        <v/>
      </c>
    </row>
    <row r="2235" spans="2:42">
      <c r="B2235" s="834" t="str">
        <f t="shared" si="102"/>
        <v>|||</v>
      </c>
      <c r="H2235" s="835">
        <f t="shared" si="104"/>
        <v>31</v>
      </c>
      <c r="AF2235" s="831" t="s">
        <v>2929</v>
      </c>
      <c r="AG2235" s="831" t="s">
        <v>57</v>
      </c>
      <c r="AH2235" s="831" t="s">
        <v>83</v>
      </c>
      <c r="AI2235" s="831">
        <v>1</v>
      </c>
      <c r="AJ2235" s="835">
        <v>38717</v>
      </c>
      <c r="AK2235" s="831">
        <v>0</v>
      </c>
      <c r="AP2235" s="831" t="str">
        <f t="shared" si="103"/>
        <v/>
      </c>
    </row>
    <row r="2236" spans="2:42">
      <c r="B2236" s="834" t="str">
        <f t="shared" si="102"/>
        <v>|||</v>
      </c>
      <c r="H2236" s="835">
        <f t="shared" si="104"/>
        <v>31</v>
      </c>
      <c r="AF2236" s="831" t="s">
        <v>2930</v>
      </c>
      <c r="AG2236" s="831" t="s">
        <v>57</v>
      </c>
      <c r="AH2236" s="831" t="s">
        <v>88</v>
      </c>
      <c r="AI2236" s="831">
        <v>1</v>
      </c>
      <c r="AJ2236" s="835">
        <v>38717</v>
      </c>
      <c r="AK2236" s="831">
        <v>0</v>
      </c>
      <c r="AP2236" s="831" t="str">
        <f t="shared" si="103"/>
        <v/>
      </c>
    </row>
    <row r="2237" spans="2:42">
      <c r="B2237" s="834" t="str">
        <f t="shared" si="102"/>
        <v>|||</v>
      </c>
      <c r="H2237" s="835">
        <f t="shared" si="104"/>
        <v>31</v>
      </c>
      <c r="AF2237" s="831" t="s">
        <v>2931</v>
      </c>
      <c r="AG2237" s="831" t="s">
        <v>57</v>
      </c>
      <c r="AH2237" s="831" t="s">
        <v>92</v>
      </c>
      <c r="AI2237" s="831">
        <v>1</v>
      </c>
      <c r="AJ2237" s="835">
        <v>38717</v>
      </c>
      <c r="AK2237" s="831">
        <v>0</v>
      </c>
      <c r="AP2237" s="831" t="str">
        <f t="shared" si="103"/>
        <v/>
      </c>
    </row>
    <row r="2238" spans="2:42">
      <c r="B2238" s="834" t="str">
        <f t="shared" si="102"/>
        <v>|||</v>
      </c>
      <c r="H2238" s="835">
        <f t="shared" si="104"/>
        <v>31</v>
      </c>
      <c r="AF2238" s="831" t="s">
        <v>2932</v>
      </c>
      <c r="AG2238" s="831" t="s">
        <v>57</v>
      </c>
      <c r="AH2238" s="831" t="s">
        <v>96</v>
      </c>
      <c r="AI2238" s="831">
        <v>1</v>
      </c>
      <c r="AJ2238" s="835">
        <v>38717</v>
      </c>
      <c r="AK2238" s="831">
        <v>376604</v>
      </c>
      <c r="AP2238" s="831" t="str">
        <f t="shared" si="103"/>
        <v/>
      </c>
    </row>
    <row r="2239" spans="2:42">
      <c r="B2239" s="834" t="str">
        <f t="shared" si="102"/>
        <v>|||</v>
      </c>
      <c r="H2239" s="835">
        <f t="shared" si="104"/>
        <v>31</v>
      </c>
      <c r="AF2239" s="831" t="s">
        <v>2933</v>
      </c>
      <c r="AG2239" s="831" t="s">
        <v>57</v>
      </c>
      <c r="AH2239" s="831" t="s">
        <v>30</v>
      </c>
      <c r="AI2239" s="831">
        <v>1</v>
      </c>
      <c r="AJ2239" s="835">
        <v>38717</v>
      </c>
      <c r="AK2239" s="831">
        <v>0</v>
      </c>
      <c r="AP2239" s="831" t="str">
        <f t="shared" si="103"/>
        <v/>
      </c>
    </row>
    <row r="2240" spans="2:42">
      <c r="B2240" s="834" t="str">
        <f t="shared" si="102"/>
        <v>|||</v>
      </c>
      <c r="H2240" s="835">
        <f t="shared" si="104"/>
        <v>31</v>
      </c>
      <c r="AF2240" s="831" t="s">
        <v>2934</v>
      </c>
      <c r="AG2240" s="831" t="s">
        <v>57</v>
      </c>
      <c r="AH2240" s="831" t="s">
        <v>47</v>
      </c>
      <c r="AI2240" s="831">
        <v>1</v>
      </c>
      <c r="AJ2240" s="835">
        <v>38717</v>
      </c>
      <c r="AK2240" s="831">
        <v>0</v>
      </c>
      <c r="AP2240" s="831" t="str">
        <f t="shared" si="103"/>
        <v/>
      </c>
    </row>
    <row r="2241" spans="2:42">
      <c r="B2241" s="834" t="str">
        <f t="shared" si="102"/>
        <v>|||</v>
      </c>
      <c r="H2241" s="835">
        <f t="shared" si="104"/>
        <v>31</v>
      </c>
      <c r="AF2241" s="831" t="s">
        <v>2935</v>
      </c>
      <c r="AG2241" s="831" t="s">
        <v>57</v>
      </c>
      <c r="AH2241" s="831" t="s">
        <v>102</v>
      </c>
      <c r="AI2241" s="831">
        <v>1</v>
      </c>
      <c r="AJ2241" s="835">
        <v>38717</v>
      </c>
      <c r="AK2241" s="831">
        <v>0</v>
      </c>
      <c r="AP2241" s="831" t="str">
        <f t="shared" si="103"/>
        <v/>
      </c>
    </row>
    <row r="2242" spans="2:42">
      <c r="B2242" s="834" t="str">
        <f t="shared" si="102"/>
        <v>|||</v>
      </c>
      <c r="H2242" s="835">
        <f t="shared" si="104"/>
        <v>31</v>
      </c>
      <c r="AF2242" s="831" t="s">
        <v>2936</v>
      </c>
      <c r="AG2242" s="831" t="s">
        <v>57</v>
      </c>
      <c r="AH2242" s="831" t="s">
        <v>68</v>
      </c>
      <c r="AI2242" s="831">
        <v>1</v>
      </c>
      <c r="AJ2242" s="835">
        <v>39082</v>
      </c>
      <c r="AK2242" s="831">
        <v>40519830</v>
      </c>
      <c r="AP2242" s="831" t="str">
        <f t="shared" si="103"/>
        <v/>
      </c>
    </row>
    <row r="2243" spans="2:42">
      <c r="B2243" s="834" t="str">
        <f t="shared" ref="B2243:B2306" si="105">C2243&amp;"|"&amp;D2243&amp;"|"&amp;E2243&amp;"|"&amp;F2243</f>
        <v>|||</v>
      </c>
      <c r="H2243" s="835">
        <f t="shared" si="104"/>
        <v>31</v>
      </c>
      <c r="AF2243" s="831" t="s">
        <v>2937</v>
      </c>
      <c r="AG2243" s="831" t="s">
        <v>57</v>
      </c>
      <c r="AH2243" s="831" t="s">
        <v>73</v>
      </c>
      <c r="AI2243" s="831">
        <v>1</v>
      </c>
      <c r="AJ2243" s="835">
        <v>39082</v>
      </c>
      <c r="AK2243" s="831">
        <v>27480</v>
      </c>
      <c r="AP2243" s="831" t="str">
        <f t="shared" ref="AP2243:AP2306" si="106">IF(AX2243&lt;&gt;"",IF(OR(AX2243=3,AX2243=4),"Equity","Debt"),"")</f>
        <v/>
      </c>
    </row>
    <row r="2244" spans="2:42">
      <c r="B2244" s="834" t="str">
        <f t="shared" si="105"/>
        <v>|||</v>
      </c>
      <c r="H2244" s="835">
        <f t="shared" ref="H2244:H2307" si="107">EOMONTH(L2244,0)</f>
        <v>31</v>
      </c>
      <c r="AF2244" s="831" t="s">
        <v>2938</v>
      </c>
      <c r="AG2244" s="831" t="s">
        <v>57</v>
      </c>
      <c r="AH2244" s="831" t="s">
        <v>78</v>
      </c>
      <c r="AI2244" s="831">
        <v>1</v>
      </c>
      <c r="AJ2244" s="835">
        <v>39082</v>
      </c>
      <c r="AK2244" s="831">
        <v>182690</v>
      </c>
      <c r="AP2244" s="831" t="str">
        <f t="shared" si="106"/>
        <v/>
      </c>
    </row>
    <row r="2245" spans="2:42">
      <c r="B2245" s="834" t="str">
        <f t="shared" si="105"/>
        <v>|||</v>
      </c>
      <c r="H2245" s="835">
        <f t="shared" si="107"/>
        <v>31</v>
      </c>
      <c r="AF2245" s="831" t="s">
        <v>2939</v>
      </c>
      <c r="AG2245" s="831" t="s">
        <v>57</v>
      </c>
      <c r="AH2245" s="831" t="s">
        <v>83</v>
      </c>
      <c r="AI2245" s="831">
        <v>1</v>
      </c>
      <c r="AJ2245" s="835">
        <v>39082</v>
      </c>
      <c r="AK2245" s="831">
        <v>0</v>
      </c>
      <c r="AP2245" s="831" t="str">
        <f t="shared" si="106"/>
        <v/>
      </c>
    </row>
    <row r="2246" spans="2:42">
      <c r="B2246" s="834" t="str">
        <f t="shared" si="105"/>
        <v>|||</v>
      </c>
      <c r="H2246" s="835">
        <f t="shared" si="107"/>
        <v>31</v>
      </c>
      <c r="AF2246" s="831" t="s">
        <v>2940</v>
      </c>
      <c r="AG2246" s="831" t="s">
        <v>57</v>
      </c>
      <c r="AH2246" s="831" t="s">
        <v>88</v>
      </c>
      <c r="AI2246" s="831">
        <v>1</v>
      </c>
      <c r="AJ2246" s="835">
        <v>39082</v>
      </c>
      <c r="AK2246" s="831">
        <v>0</v>
      </c>
      <c r="AP2246" s="831" t="str">
        <f t="shared" si="106"/>
        <v/>
      </c>
    </row>
    <row r="2247" spans="2:42">
      <c r="B2247" s="834" t="str">
        <f t="shared" si="105"/>
        <v>|||</v>
      </c>
      <c r="H2247" s="835">
        <f t="shared" si="107"/>
        <v>31</v>
      </c>
      <c r="AF2247" s="831" t="s">
        <v>2941</v>
      </c>
      <c r="AG2247" s="831" t="s">
        <v>57</v>
      </c>
      <c r="AH2247" s="831" t="s">
        <v>92</v>
      </c>
      <c r="AI2247" s="831">
        <v>1</v>
      </c>
      <c r="AJ2247" s="835">
        <v>39082</v>
      </c>
      <c r="AK2247" s="831">
        <v>0</v>
      </c>
      <c r="AP2247" s="831" t="str">
        <f t="shared" si="106"/>
        <v/>
      </c>
    </row>
    <row r="2248" spans="2:42">
      <c r="B2248" s="834" t="str">
        <f t="shared" si="105"/>
        <v>|||</v>
      </c>
      <c r="H2248" s="835">
        <f t="shared" si="107"/>
        <v>31</v>
      </c>
      <c r="AF2248" s="831" t="s">
        <v>2942</v>
      </c>
      <c r="AG2248" s="831" t="s">
        <v>57</v>
      </c>
      <c r="AH2248" s="831" t="s">
        <v>96</v>
      </c>
      <c r="AI2248" s="831">
        <v>1</v>
      </c>
      <c r="AJ2248" s="835">
        <v>39082</v>
      </c>
      <c r="AK2248" s="831">
        <v>6100</v>
      </c>
      <c r="AP2248" s="831" t="str">
        <f t="shared" si="106"/>
        <v/>
      </c>
    </row>
    <row r="2249" spans="2:42">
      <c r="B2249" s="834" t="str">
        <f t="shared" si="105"/>
        <v>|||</v>
      </c>
      <c r="H2249" s="835">
        <f t="shared" si="107"/>
        <v>31</v>
      </c>
      <c r="AF2249" s="831" t="s">
        <v>2943</v>
      </c>
      <c r="AG2249" s="831" t="s">
        <v>57</v>
      </c>
      <c r="AH2249" s="831" t="s">
        <v>30</v>
      </c>
      <c r="AI2249" s="831">
        <v>1</v>
      </c>
      <c r="AJ2249" s="835">
        <v>39082</v>
      </c>
      <c r="AK2249" s="831">
        <v>0</v>
      </c>
      <c r="AP2249" s="831" t="str">
        <f t="shared" si="106"/>
        <v/>
      </c>
    </row>
    <row r="2250" spans="2:42">
      <c r="B2250" s="834" t="str">
        <f t="shared" si="105"/>
        <v>|||</v>
      </c>
      <c r="H2250" s="835">
        <f t="shared" si="107"/>
        <v>31</v>
      </c>
      <c r="AF2250" s="831" t="s">
        <v>2944</v>
      </c>
      <c r="AG2250" s="831" t="s">
        <v>57</v>
      </c>
      <c r="AH2250" s="831" t="s">
        <v>47</v>
      </c>
      <c r="AI2250" s="831">
        <v>1</v>
      </c>
      <c r="AJ2250" s="835">
        <v>39082</v>
      </c>
      <c r="AK2250" s="831">
        <v>0</v>
      </c>
      <c r="AP2250" s="831" t="str">
        <f t="shared" si="106"/>
        <v/>
      </c>
    </row>
    <row r="2251" spans="2:42">
      <c r="B2251" s="834" t="str">
        <f t="shared" si="105"/>
        <v>|||</v>
      </c>
      <c r="H2251" s="835">
        <f t="shared" si="107"/>
        <v>31</v>
      </c>
      <c r="AF2251" s="831" t="s">
        <v>2945</v>
      </c>
      <c r="AG2251" s="831" t="s">
        <v>57</v>
      </c>
      <c r="AH2251" s="831" t="s">
        <v>102</v>
      </c>
      <c r="AI2251" s="831">
        <v>1</v>
      </c>
      <c r="AJ2251" s="835">
        <v>39082</v>
      </c>
      <c r="AK2251" s="831">
        <v>0</v>
      </c>
      <c r="AP2251" s="831" t="str">
        <f t="shared" si="106"/>
        <v/>
      </c>
    </row>
    <row r="2252" spans="2:42">
      <c r="B2252" s="834" t="str">
        <f t="shared" si="105"/>
        <v>|||</v>
      </c>
      <c r="H2252" s="835">
        <f t="shared" si="107"/>
        <v>31</v>
      </c>
      <c r="AF2252" s="831" t="s">
        <v>2946</v>
      </c>
      <c r="AG2252" s="831" t="s">
        <v>57</v>
      </c>
      <c r="AH2252" s="831" t="s">
        <v>68</v>
      </c>
      <c r="AI2252" s="831">
        <v>1</v>
      </c>
      <c r="AJ2252" s="835">
        <v>39447</v>
      </c>
      <c r="AK2252" s="831">
        <v>95898691</v>
      </c>
      <c r="AP2252" s="831" t="str">
        <f t="shared" si="106"/>
        <v/>
      </c>
    </row>
    <row r="2253" spans="2:42">
      <c r="B2253" s="834" t="str">
        <f t="shared" si="105"/>
        <v>|||</v>
      </c>
      <c r="H2253" s="835">
        <f t="shared" si="107"/>
        <v>31</v>
      </c>
      <c r="AF2253" s="831" t="s">
        <v>2947</v>
      </c>
      <c r="AG2253" s="831" t="s">
        <v>57</v>
      </c>
      <c r="AH2253" s="831" t="s">
        <v>73</v>
      </c>
      <c r="AI2253" s="831">
        <v>1</v>
      </c>
      <c r="AJ2253" s="835">
        <v>39447</v>
      </c>
      <c r="AK2253" s="831">
        <v>39630</v>
      </c>
      <c r="AP2253" s="831" t="str">
        <f t="shared" si="106"/>
        <v/>
      </c>
    </row>
    <row r="2254" spans="2:42">
      <c r="B2254" s="834" t="str">
        <f t="shared" si="105"/>
        <v>|||</v>
      </c>
      <c r="H2254" s="835">
        <f t="shared" si="107"/>
        <v>31</v>
      </c>
      <c r="AF2254" s="831" t="s">
        <v>2948</v>
      </c>
      <c r="AG2254" s="831" t="s">
        <v>57</v>
      </c>
      <c r="AH2254" s="831" t="s">
        <v>78</v>
      </c>
      <c r="AI2254" s="831">
        <v>1</v>
      </c>
      <c r="AJ2254" s="835">
        <v>39447</v>
      </c>
      <c r="AK2254" s="831">
        <v>25240</v>
      </c>
      <c r="AP2254" s="831" t="str">
        <f t="shared" si="106"/>
        <v/>
      </c>
    </row>
    <row r="2255" spans="2:42">
      <c r="B2255" s="834" t="str">
        <f t="shared" si="105"/>
        <v>|||</v>
      </c>
      <c r="H2255" s="835">
        <f t="shared" si="107"/>
        <v>31</v>
      </c>
      <c r="AF2255" s="831" t="s">
        <v>2949</v>
      </c>
      <c r="AG2255" s="831" t="s">
        <v>57</v>
      </c>
      <c r="AH2255" s="831" t="s">
        <v>83</v>
      </c>
      <c r="AI2255" s="831">
        <v>1</v>
      </c>
      <c r="AJ2255" s="835">
        <v>39447</v>
      </c>
      <c r="AK2255" s="831">
        <v>0</v>
      </c>
      <c r="AP2255" s="831" t="str">
        <f t="shared" si="106"/>
        <v/>
      </c>
    </row>
    <row r="2256" spans="2:42">
      <c r="B2256" s="834" t="str">
        <f t="shared" si="105"/>
        <v>|||</v>
      </c>
      <c r="H2256" s="835">
        <f t="shared" si="107"/>
        <v>31</v>
      </c>
      <c r="AF2256" s="831" t="s">
        <v>2950</v>
      </c>
      <c r="AG2256" s="831" t="s">
        <v>57</v>
      </c>
      <c r="AH2256" s="831" t="s">
        <v>88</v>
      </c>
      <c r="AI2256" s="831">
        <v>1</v>
      </c>
      <c r="AJ2256" s="835">
        <v>39447</v>
      </c>
      <c r="AK2256" s="831">
        <v>0</v>
      </c>
      <c r="AP2256" s="831" t="str">
        <f t="shared" si="106"/>
        <v/>
      </c>
    </row>
    <row r="2257" spans="2:42">
      <c r="B2257" s="834" t="str">
        <f t="shared" si="105"/>
        <v>|||</v>
      </c>
      <c r="H2257" s="835">
        <f t="shared" si="107"/>
        <v>31</v>
      </c>
      <c r="AF2257" s="831" t="s">
        <v>2951</v>
      </c>
      <c r="AG2257" s="831" t="s">
        <v>57</v>
      </c>
      <c r="AH2257" s="831" t="s">
        <v>92</v>
      </c>
      <c r="AI2257" s="831">
        <v>1</v>
      </c>
      <c r="AJ2257" s="835">
        <v>39447</v>
      </c>
      <c r="AK2257" s="831">
        <v>0</v>
      </c>
      <c r="AP2257" s="831" t="str">
        <f t="shared" si="106"/>
        <v/>
      </c>
    </row>
    <row r="2258" spans="2:42">
      <c r="B2258" s="834" t="str">
        <f t="shared" si="105"/>
        <v>|||</v>
      </c>
      <c r="H2258" s="835">
        <f t="shared" si="107"/>
        <v>31</v>
      </c>
      <c r="AF2258" s="831" t="s">
        <v>2952</v>
      </c>
      <c r="AG2258" s="831" t="s">
        <v>57</v>
      </c>
      <c r="AH2258" s="831" t="s">
        <v>96</v>
      </c>
      <c r="AI2258" s="831">
        <v>1</v>
      </c>
      <c r="AJ2258" s="835">
        <v>39447</v>
      </c>
      <c r="AK2258" s="831">
        <v>22790</v>
      </c>
      <c r="AP2258" s="831" t="str">
        <f t="shared" si="106"/>
        <v/>
      </c>
    </row>
    <row r="2259" spans="2:42">
      <c r="B2259" s="834" t="str">
        <f t="shared" si="105"/>
        <v>|||</v>
      </c>
      <c r="H2259" s="835">
        <f t="shared" si="107"/>
        <v>31</v>
      </c>
      <c r="AF2259" s="831" t="s">
        <v>2953</v>
      </c>
      <c r="AG2259" s="831" t="s">
        <v>57</v>
      </c>
      <c r="AH2259" s="831" t="s">
        <v>30</v>
      </c>
      <c r="AI2259" s="831">
        <v>1</v>
      </c>
      <c r="AJ2259" s="835">
        <v>39447</v>
      </c>
      <c r="AK2259" s="831">
        <v>0</v>
      </c>
      <c r="AP2259" s="831" t="str">
        <f t="shared" si="106"/>
        <v/>
      </c>
    </row>
    <row r="2260" spans="2:42">
      <c r="B2260" s="834" t="str">
        <f t="shared" si="105"/>
        <v>|||</v>
      </c>
      <c r="H2260" s="835">
        <f t="shared" si="107"/>
        <v>31</v>
      </c>
      <c r="AF2260" s="831" t="s">
        <v>2954</v>
      </c>
      <c r="AG2260" s="831" t="s">
        <v>57</v>
      </c>
      <c r="AH2260" s="831" t="s">
        <v>47</v>
      </c>
      <c r="AI2260" s="831">
        <v>1</v>
      </c>
      <c r="AJ2260" s="835">
        <v>39447</v>
      </c>
      <c r="AK2260" s="831">
        <v>0</v>
      </c>
      <c r="AP2260" s="831" t="str">
        <f t="shared" si="106"/>
        <v/>
      </c>
    </row>
    <row r="2261" spans="2:42">
      <c r="B2261" s="834" t="str">
        <f t="shared" si="105"/>
        <v>|||</v>
      </c>
      <c r="H2261" s="835">
        <f t="shared" si="107"/>
        <v>31</v>
      </c>
      <c r="AF2261" s="831" t="s">
        <v>2955</v>
      </c>
      <c r="AG2261" s="831" t="s">
        <v>57</v>
      </c>
      <c r="AH2261" s="831" t="s">
        <v>102</v>
      </c>
      <c r="AI2261" s="831">
        <v>1</v>
      </c>
      <c r="AJ2261" s="835">
        <v>39447</v>
      </c>
      <c r="AK2261" s="831">
        <v>0</v>
      </c>
      <c r="AP2261" s="831" t="str">
        <f t="shared" si="106"/>
        <v/>
      </c>
    </row>
    <row r="2262" spans="2:42">
      <c r="B2262" s="834" t="str">
        <f t="shared" si="105"/>
        <v>|||</v>
      </c>
      <c r="H2262" s="835">
        <f t="shared" si="107"/>
        <v>31</v>
      </c>
      <c r="AF2262" s="831" t="s">
        <v>2956</v>
      </c>
      <c r="AG2262" s="831" t="s">
        <v>57</v>
      </c>
      <c r="AH2262" s="831" t="s">
        <v>68</v>
      </c>
      <c r="AI2262" s="831">
        <v>1</v>
      </c>
      <c r="AJ2262" s="835">
        <v>39813</v>
      </c>
      <c r="AK2262" s="831">
        <v>165593081</v>
      </c>
      <c r="AP2262" s="831" t="str">
        <f t="shared" si="106"/>
        <v/>
      </c>
    </row>
    <row r="2263" spans="2:42">
      <c r="B2263" s="834" t="str">
        <f t="shared" si="105"/>
        <v>|||</v>
      </c>
      <c r="H2263" s="835">
        <f t="shared" si="107"/>
        <v>31</v>
      </c>
      <c r="AF2263" s="831" t="s">
        <v>2957</v>
      </c>
      <c r="AG2263" s="831" t="s">
        <v>57</v>
      </c>
      <c r="AH2263" s="831" t="s">
        <v>73</v>
      </c>
      <c r="AI2263" s="831">
        <v>1</v>
      </c>
      <c r="AJ2263" s="835">
        <v>39813</v>
      </c>
      <c r="AK2263" s="831">
        <v>208280</v>
      </c>
      <c r="AP2263" s="831" t="str">
        <f t="shared" si="106"/>
        <v/>
      </c>
    </row>
    <row r="2264" spans="2:42">
      <c r="B2264" s="834" t="str">
        <f t="shared" si="105"/>
        <v>|||</v>
      </c>
      <c r="H2264" s="835">
        <f t="shared" si="107"/>
        <v>31</v>
      </c>
      <c r="AF2264" s="831" t="s">
        <v>2958</v>
      </c>
      <c r="AG2264" s="831" t="s">
        <v>57</v>
      </c>
      <c r="AH2264" s="831" t="s">
        <v>78</v>
      </c>
      <c r="AI2264" s="831">
        <v>1</v>
      </c>
      <c r="AJ2264" s="835">
        <v>39813</v>
      </c>
      <c r="AK2264" s="831">
        <v>929650</v>
      </c>
      <c r="AP2264" s="831" t="str">
        <f t="shared" si="106"/>
        <v/>
      </c>
    </row>
    <row r="2265" spans="2:42">
      <c r="B2265" s="834" t="str">
        <f t="shared" si="105"/>
        <v>|||</v>
      </c>
      <c r="H2265" s="835">
        <f t="shared" si="107"/>
        <v>31</v>
      </c>
      <c r="AF2265" s="831" t="s">
        <v>2959</v>
      </c>
      <c r="AG2265" s="831" t="s">
        <v>57</v>
      </c>
      <c r="AH2265" s="831" t="s">
        <v>83</v>
      </c>
      <c r="AI2265" s="831">
        <v>1</v>
      </c>
      <c r="AJ2265" s="835">
        <v>39813</v>
      </c>
      <c r="AK2265" s="831">
        <v>0</v>
      </c>
      <c r="AP2265" s="831" t="str">
        <f t="shared" si="106"/>
        <v/>
      </c>
    </row>
    <row r="2266" spans="2:42">
      <c r="B2266" s="834" t="str">
        <f t="shared" si="105"/>
        <v>|||</v>
      </c>
      <c r="H2266" s="835">
        <f t="shared" si="107"/>
        <v>31</v>
      </c>
      <c r="AF2266" s="831" t="s">
        <v>2960</v>
      </c>
      <c r="AG2266" s="831" t="s">
        <v>57</v>
      </c>
      <c r="AH2266" s="831" t="s">
        <v>88</v>
      </c>
      <c r="AI2266" s="831">
        <v>1</v>
      </c>
      <c r="AJ2266" s="835">
        <v>39813</v>
      </c>
      <c r="AK2266" s="831">
        <v>0</v>
      </c>
      <c r="AP2266" s="831" t="str">
        <f t="shared" si="106"/>
        <v/>
      </c>
    </row>
    <row r="2267" spans="2:42">
      <c r="B2267" s="834" t="str">
        <f t="shared" si="105"/>
        <v>|||</v>
      </c>
      <c r="H2267" s="835">
        <f t="shared" si="107"/>
        <v>31</v>
      </c>
      <c r="AF2267" s="831" t="s">
        <v>2961</v>
      </c>
      <c r="AG2267" s="831" t="s">
        <v>57</v>
      </c>
      <c r="AH2267" s="831" t="s">
        <v>92</v>
      </c>
      <c r="AI2267" s="831">
        <v>1</v>
      </c>
      <c r="AJ2267" s="835">
        <v>39813</v>
      </c>
      <c r="AK2267" s="831">
        <v>0</v>
      </c>
      <c r="AP2267" s="831" t="str">
        <f t="shared" si="106"/>
        <v/>
      </c>
    </row>
    <row r="2268" spans="2:42">
      <c r="B2268" s="834" t="str">
        <f t="shared" si="105"/>
        <v>|||</v>
      </c>
      <c r="H2268" s="835">
        <f t="shared" si="107"/>
        <v>31</v>
      </c>
      <c r="AF2268" s="831" t="s">
        <v>2962</v>
      </c>
      <c r="AG2268" s="831" t="s">
        <v>57</v>
      </c>
      <c r="AH2268" s="831" t="s">
        <v>96</v>
      </c>
      <c r="AI2268" s="831">
        <v>1</v>
      </c>
      <c r="AJ2268" s="835">
        <v>39813</v>
      </c>
      <c r="AK2268" s="831">
        <v>160980</v>
      </c>
      <c r="AP2268" s="831" t="str">
        <f t="shared" si="106"/>
        <v/>
      </c>
    </row>
    <row r="2269" spans="2:42">
      <c r="B2269" s="834" t="str">
        <f t="shared" si="105"/>
        <v>|||</v>
      </c>
      <c r="H2269" s="835">
        <f t="shared" si="107"/>
        <v>31</v>
      </c>
      <c r="AF2269" s="831" t="s">
        <v>2963</v>
      </c>
      <c r="AG2269" s="831" t="s">
        <v>57</v>
      </c>
      <c r="AH2269" s="831" t="s">
        <v>30</v>
      </c>
      <c r="AI2269" s="831">
        <v>1</v>
      </c>
      <c r="AJ2269" s="835">
        <v>39813</v>
      </c>
      <c r="AK2269" s="831">
        <v>0</v>
      </c>
      <c r="AP2269" s="831" t="str">
        <f t="shared" si="106"/>
        <v/>
      </c>
    </row>
    <row r="2270" spans="2:42">
      <c r="B2270" s="834" t="str">
        <f t="shared" si="105"/>
        <v>|||</v>
      </c>
      <c r="H2270" s="835">
        <f t="shared" si="107"/>
        <v>31</v>
      </c>
      <c r="AF2270" s="831" t="s">
        <v>2964</v>
      </c>
      <c r="AG2270" s="831" t="s">
        <v>57</v>
      </c>
      <c r="AH2270" s="831" t="s">
        <v>47</v>
      </c>
      <c r="AI2270" s="831">
        <v>1</v>
      </c>
      <c r="AJ2270" s="835">
        <v>39813</v>
      </c>
      <c r="AK2270" s="831">
        <v>0</v>
      </c>
      <c r="AP2270" s="831" t="str">
        <f t="shared" si="106"/>
        <v/>
      </c>
    </row>
    <row r="2271" spans="2:42">
      <c r="B2271" s="834" t="str">
        <f t="shared" si="105"/>
        <v>|||</v>
      </c>
      <c r="H2271" s="835">
        <f t="shared" si="107"/>
        <v>31</v>
      </c>
      <c r="AF2271" s="831" t="s">
        <v>2965</v>
      </c>
      <c r="AG2271" s="831" t="s">
        <v>57</v>
      </c>
      <c r="AH2271" s="831" t="s">
        <v>102</v>
      </c>
      <c r="AI2271" s="831">
        <v>1</v>
      </c>
      <c r="AJ2271" s="835">
        <v>39813</v>
      </c>
      <c r="AK2271" s="831">
        <v>0</v>
      </c>
      <c r="AP2271" s="831" t="str">
        <f t="shared" si="106"/>
        <v/>
      </c>
    </row>
    <row r="2272" spans="2:42">
      <c r="B2272" s="834" t="str">
        <f t="shared" si="105"/>
        <v>|||</v>
      </c>
      <c r="H2272" s="835">
        <f t="shared" si="107"/>
        <v>31</v>
      </c>
      <c r="AF2272" s="831" t="s">
        <v>2966</v>
      </c>
      <c r="AG2272" s="831" t="s">
        <v>57</v>
      </c>
      <c r="AH2272" s="831" t="s">
        <v>68</v>
      </c>
      <c r="AI2272" s="831">
        <v>1</v>
      </c>
      <c r="AJ2272" s="835">
        <v>40178</v>
      </c>
      <c r="AK2272" s="831">
        <v>235254392.639985</v>
      </c>
      <c r="AP2272" s="831" t="str">
        <f t="shared" si="106"/>
        <v/>
      </c>
    </row>
    <row r="2273" spans="2:42">
      <c r="B2273" s="834" t="str">
        <f t="shared" si="105"/>
        <v>|||</v>
      </c>
      <c r="H2273" s="835">
        <f t="shared" si="107"/>
        <v>31</v>
      </c>
      <c r="AF2273" s="831" t="s">
        <v>2967</v>
      </c>
      <c r="AG2273" s="831" t="s">
        <v>57</v>
      </c>
      <c r="AH2273" s="831" t="s">
        <v>73</v>
      </c>
      <c r="AI2273" s="831">
        <v>1</v>
      </c>
      <c r="AJ2273" s="835">
        <v>40178</v>
      </c>
      <c r="AK2273" s="831">
        <v>359240</v>
      </c>
      <c r="AP2273" s="831" t="str">
        <f t="shared" si="106"/>
        <v/>
      </c>
    </row>
    <row r="2274" spans="2:42">
      <c r="B2274" s="834" t="str">
        <f t="shared" si="105"/>
        <v>|||</v>
      </c>
      <c r="H2274" s="835">
        <f t="shared" si="107"/>
        <v>31</v>
      </c>
      <c r="AF2274" s="831" t="s">
        <v>2968</v>
      </c>
      <c r="AG2274" s="831" t="s">
        <v>57</v>
      </c>
      <c r="AH2274" s="831" t="s">
        <v>78</v>
      </c>
      <c r="AI2274" s="831">
        <v>1</v>
      </c>
      <c r="AJ2274" s="835">
        <v>40178</v>
      </c>
      <c r="AK2274" s="831">
        <v>2027570</v>
      </c>
      <c r="AP2274" s="831" t="str">
        <f t="shared" si="106"/>
        <v/>
      </c>
    </row>
    <row r="2275" spans="2:42">
      <c r="B2275" s="834" t="str">
        <f t="shared" si="105"/>
        <v>|||</v>
      </c>
      <c r="H2275" s="835">
        <f t="shared" si="107"/>
        <v>31</v>
      </c>
      <c r="AF2275" s="831" t="s">
        <v>2969</v>
      </c>
      <c r="AG2275" s="831" t="s">
        <v>57</v>
      </c>
      <c r="AH2275" s="831" t="s">
        <v>83</v>
      </c>
      <c r="AI2275" s="831">
        <v>1</v>
      </c>
      <c r="AJ2275" s="835">
        <v>40178</v>
      </c>
      <c r="AK2275" s="831">
        <v>81337</v>
      </c>
      <c r="AP2275" s="831" t="str">
        <f t="shared" si="106"/>
        <v/>
      </c>
    </row>
    <row r="2276" spans="2:42">
      <c r="B2276" s="834" t="str">
        <f t="shared" si="105"/>
        <v>|||</v>
      </c>
      <c r="H2276" s="835">
        <f t="shared" si="107"/>
        <v>31</v>
      </c>
      <c r="AF2276" s="831" t="s">
        <v>2970</v>
      </c>
      <c r="AG2276" s="831" t="s">
        <v>57</v>
      </c>
      <c r="AH2276" s="831" t="s">
        <v>88</v>
      </c>
      <c r="AI2276" s="831">
        <v>1</v>
      </c>
      <c r="AJ2276" s="835">
        <v>40178</v>
      </c>
      <c r="AK2276" s="831">
        <v>73603</v>
      </c>
      <c r="AP2276" s="831" t="str">
        <f t="shared" si="106"/>
        <v/>
      </c>
    </row>
    <row r="2277" spans="2:42">
      <c r="B2277" s="834" t="str">
        <f t="shared" si="105"/>
        <v>|||</v>
      </c>
      <c r="H2277" s="835">
        <f t="shared" si="107"/>
        <v>31</v>
      </c>
      <c r="AF2277" s="831" t="s">
        <v>2971</v>
      </c>
      <c r="AG2277" s="831" t="s">
        <v>57</v>
      </c>
      <c r="AH2277" s="831" t="s">
        <v>92</v>
      </c>
      <c r="AI2277" s="831">
        <v>1</v>
      </c>
      <c r="AJ2277" s="835">
        <v>40178</v>
      </c>
      <c r="AK2277" s="831">
        <v>343840</v>
      </c>
      <c r="AP2277" s="831" t="str">
        <f t="shared" si="106"/>
        <v/>
      </c>
    </row>
    <row r="2278" spans="2:42">
      <c r="B2278" s="834" t="str">
        <f t="shared" si="105"/>
        <v>|||</v>
      </c>
      <c r="H2278" s="835">
        <f t="shared" si="107"/>
        <v>31</v>
      </c>
      <c r="AF2278" s="831" t="s">
        <v>2972</v>
      </c>
      <c r="AG2278" s="831" t="s">
        <v>57</v>
      </c>
      <c r="AH2278" s="831" t="s">
        <v>96</v>
      </c>
      <c r="AI2278" s="831">
        <v>1</v>
      </c>
      <c r="AJ2278" s="835">
        <v>40178</v>
      </c>
      <c r="AK2278" s="831">
        <v>1528790</v>
      </c>
      <c r="AP2278" s="831" t="str">
        <f t="shared" si="106"/>
        <v/>
      </c>
    </row>
    <row r="2279" spans="2:42">
      <c r="B2279" s="834" t="str">
        <f t="shared" si="105"/>
        <v>|||</v>
      </c>
      <c r="H2279" s="835">
        <f t="shared" si="107"/>
        <v>31</v>
      </c>
      <c r="AF2279" s="831" t="s">
        <v>2973</v>
      </c>
      <c r="AG2279" s="831" t="s">
        <v>57</v>
      </c>
      <c r="AH2279" s="831" t="s">
        <v>30</v>
      </c>
      <c r="AI2279" s="831">
        <v>1</v>
      </c>
      <c r="AJ2279" s="835">
        <v>40178</v>
      </c>
      <c r="AK2279" s="831">
        <v>872285</v>
      </c>
      <c r="AP2279" s="831" t="str">
        <f t="shared" si="106"/>
        <v/>
      </c>
    </row>
    <row r="2280" spans="2:42">
      <c r="B2280" s="834" t="str">
        <f t="shared" si="105"/>
        <v>|||</v>
      </c>
      <c r="H2280" s="835">
        <f t="shared" si="107"/>
        <v>31</v>
      </c>
      <c r="AF2280" s="831" t="s">
        <v>2974</v>
      </c>
      <c r="AG2280" s="831" t="s">
        <v>57</v>
      </c>
      <c r="AH2280" s="831" t="s">
        <v>47</v>
      </c>
      <c r="AI2280" s="831">
        <v>1</v>
      </c>
      <c r="AJ2280" s="835">
        <v>40178</v>
      </c>
      <c r="AK2280" s="831">
        <v>179063.99460000001</v>
      </c>
      <c r="AP2280" s="831" t="str">
        <f t="shared" si="106"/>
        <v/>
      </c>
    </row>
    <row r="2281" spans="2:42">
      <c r="B2281" s="834" t="str">
        <f t="shared" si="105"/>
        <v>|||</v>
      </c>
      <c r="H2281" s="835">
        <f t="shared" si="107"/>
        <v>31</v>
      </c>
      <c r="AF2281" s="831" t="s">
        <v>2975</v>
      </c>
      <c r="AG2281" s="831" t="s">
        <v>57</v>
      </c>
      <c r="AH2281" s="831" t="s">
        <v>102</v>
      </c>
      <c r="AI2281" s="831">
        <v>1</v>
      </c>
      <c r="AJ2281" s="835">
        <v>40178</v>
      </c>
      <c r="AK2281" s="831">
        <v>0</v>
      </c>
      <c r="AP2281" s="831" t="str">
        <f t="shared" si="106"/>
        <v/>
      </c>
    </row>
    <row r="2282" spans="2:42">
      <c r="B2282" s="834" t="str">
        <f t="shared" si="105"/>
        <v>|||</v>
      </c>
      <c r="H2282" s="835">
        <f t="shared" si="107"/>
        <v>31</v>
      </c>
      <c r="AF2282" s="831" t="s">
        <v>2976</v>
      </c>
      <c r="AG2282" s="831" t="s">
        <v>58</v>
      </c>
      <c r="AH2282" s="831" t="s">
        <v>69</v>
      </c>
      <c r="AI2282" s="831">
        <v>1</v>
      </c>
      <c r="AJ2282" s="835">
        <v>38717</v>
      </c>
      <c r="AK2282" s="831">
        <v>79</v>
      </c>
      <c r="AP2282" s="831" t="str">
        <f t="shared" si="106"/>
        <v/>
      </c>
    </row>
    <row r="2283" spans="2:42">
      <c r="B2283" s="834" t="str">
        <f t="shared" si="105"/>
        <v>|||</v>
      </c>
      <c r="H2283" s="835">
        <f t="shared" si="107"/>
        <v>31</v>
      </c>
      <c r="AF2283" s="831" t="s">
        <v>2977</v>
      </c>
      <c r="AG2283" s="831" t="s">
        <v>58</v>
      </c>
      <c r="AH2283" s="831" t="s">
        <v>74</v>
      </c>
      <c r="AI2283" s="831">
        <v>1</v>
      </c>
      <c r="AJ2283" s="835">
        <v>38717</v>
      </c>
      <c r="AK2283" s="831">
        <v>214</v>
      </c>
      <c r="AP2283" s="831" t="str">
        <f t="shared" si="106"/>
        <v/>
      </c>
    </row>
    <row r="2284" spans="2:42">
      <c r="B2284" s="834" t="str">
        <f t="shared" si="105"/>
        <v>|||</v>
      </c>
      <c r="H2284" s="835">
        <f t="shared" si="107"/>
        <v>31</v>
      </c>
      <c r="AF2284" s="831" t="s">
        <v>2978</v>
      </c>
      <c r="AG2284" s="831" t="s">
        <v>58</v>
      </c>
      <c r="AH2284" s="831" t="s">
        <v>79</v>
      </c>
      <c r="AI2284" s="831">
        <v>1</v>
      </c>
      <c r="AJ2284" s="835">
        <v>38717</v>
      </c>
      <c r="AK2284" s="831">
        <v>6</v>
      </c>
      <c r="AP2284" s="831" t="str">
        <f t="shared" si="106"/>
        <v/>
      </c>
    </row>
    <row r="2285" spans="2:42">
      <c r="B2285" s="834" t="str">
        <f t="shared" si="105"/>
        <v>|||</v>
      </c>
      <c r="H2285" s="835">
        <f t="shared" si="107"/>
        <v>31</v>
      </c>
      <c r="AF2285" s="831" t="s">
        <v>2979</v>
      </c>
      <c r="AG2285" s="831" t="s">
        <v>58</v>
      </c>
      <c r="AH2285" s="831" t="s">
        <v>84</v>
      </c>
      <c r="AI2285" s="831">
        <v>1</v>
      </c>
      <c r="AJ2285" s="835">
        <v>38717</v>
      </c>
      <c r="AK2285" s="831">
        <v>5724</v>
      </c>
      <c r="AP2285" s="831" t="str">
        <f t="shared" si="106"/>
        <v/>
      </c>
    </row>
    <row r="2286" spans="2:42">
      <c r="B2286" s="834" t="str">
        <f t="shared" si="105"/>
        <v>|||</v>
      </c>
      <c r="H2286" s="835">
        <f t="shared" si="107"/>
        <v>31</v>
      </c>
      <c r="AF2286" s="831" t="s">
        <v>2980</v>
      </c>
      <c r="AG2286" s="831" t="s">
        <v>58</v>
      </c>
      <c r="AH2286" s="831" t="s">
        <v>89</v>
      </c>
      <c r="AI2286" s="831">
        <v>1</v>
      </c>
      <c r="AJ2286" s="835">
        <v>38717</v>
      </c>
      <c r="AK2286" s="831">
        <v>5455</v>
      </c>
      <c r="AP2286" s="831" t="str">
        <f t="shared" si="106"/>
        <v/>
      </c>
    </row>
    <row r="2287" spans="2:42">
      <c r="B2287" s="834" t="str">
        <f t="shared" si="105"/>
        <v>|||</v>
      </c>
      <c r="H2287" s="835">
        <f t="shared" si="107"/>
        <v>31</v>
      </c>
      <c r="AF2287" s="831" t="s">
        <v>2981</v>
      </c>
      <c r="AG2287" s="831" t="s">
        <v>58</v>
      </c>
      <c r="AH2287" s="831" t="s">
        <v>93</v>
      </c>
      <c r="AI2287" s="831">
        <v>1</v>
      </c>
      <c r="AJ2287" s="835">
        <v>38717</v>
      </c>
      <c r="AK2287" s="831">
        <v>1219</v>
      </c>
      <c r="AP2287" s="831" t="str">
        <f t="shared" si="106"/>
        <v/>
      </c>
    </row>
    <row r="2288" spans="2:42">
      <c r="B2288" s="834" t="str">
        <f t="shared" si="105"/>
        <v>|||</v>
      </c>
      <c r="H2288" s="835">
        <f t="shared" si="107"/>
        <v>31</v>
      </c>
      <c r="AF2288" s="831" t="s">
        <v>2982</v>
      </c>
      <c r="AG2288" s="831" t="s">
        <v>58</v>
      </c>
      <c r="AH2288" s="831" t="s">
        <v>69</v>
      </c>
      <c r="AI2288" s="831">
        <v>1</v>
      </c>
      <c r="AJ2288" s="835">
        <v>39082</v>
      </c>
      <c r="AK2288" s="831">
        <v>178</v>
      </c>
      <c r="AP2288" s="831" t="str">
        <f t="shared" si="106"/>
        <v/>
      </c>
    </row>
    <row r="2289" spans="2:42">
      <c r="B2289" s="834" t="str">
        <f t="shared" si="105"/>
        <v>|||</v>
      </c>
      <c r="H2289" s="835">
        <f t="shared" si="107"/>
        <v>31</v>
      </c>
      <c r="AF2289" s="831" t="s">
        <v>2983</v>
      </c>
      <c r="AG2289" s="831" t="s">
        <v>58</v>
      </c>
      <c r="AH2289" s="831" t="s">
        <v>74</v>
      </c>
      <c r="AI2289" s="831">
        <v>1</v>
      </c>
      <c r="AJ2289" s="835">
        <v>39082</v>
      </c>
      <c r="AK2289" s="831">
        <v>458</v>
      </c>
      <c r="AP2289" s="831" t="str">
        <f t="shared" si="106"/>
        <v/>
      </c>
    </row>
    <row r="2290" spans="2:42">
      <c r="B2290" s="834" t="str">
        <f t="shared" si="105"/>
        <v>|||</v>
      </c>
      <c r="H2290" s="835">
        <f t="shared" si="107"/>
        <v>31</v>
      </c>
      <c r="AF2290" s="831" t="s">
        <v>2984</v>
      </c>
      <c r="AG2290" s="831" t="s">
        <v>58</v>
      </c>
      <c r="AH2290" s="831" t="s">
        <v>79</v>
      </c>
      <c r="AI2290" s="831">
        <v>1</v>
      </c>
      <c r="AJ2290" s="835">
        <v>39082</v>
      </c>
      <c r="AK2290" s="831">
        <v>10</v>
      </c>
      <c r="AP2290" s="831" t="str">
        <f t="shared" si="106"/>
        <v/>
      </c>
    </row>
    <row r="2291" spans="2:42">
      <c r="B2291" s="834" t="str">
        <f t="shared" si="105"/>
        <v>|||</v>
      </c>
      <c r="H2291" s="835">
        <f t="shared" si="107"/>
        <v>31</v>
      </c>
      <c r="AF2291" s="831" t="s">
        <v>2985</v>
      </c>
      <c r="AG2291" s="831" t="s">
        <v>58</v>
      </c>
      <c r="AH2291" s="831" t="s">
        <v>84</v>
      </c>
      <c r="AI2291" s="831">
        <v>1</v>
      </c>
      <c r="AJ2291" s="835">
        <v>39082</v>
      </c>
      <c r="AK2291" s="831">
        <v>16719</v>
      </c>
      <c r="AP2291" s="831" t="str">
        <f t="shared" si="106"/>
        <v/>
      </c>
    </row>
    <row r="2292" spans="2:42">
      <c r="B2292" s="834" t="str">
        <f t="shared" si="105"/>
        <v>|||</v>
      </c>
      <c r="H2292" s="835">
        <f t="shared" si="107"/>
        <v>31</v>
      </c>
      <c r="AF2292" s="831" t="s">
        <v>2986</v>
      </c>
      <c r="AG2292" s="831" t="s">
        <v>58</v>
      </c>
      <c r="AH2292" s="831" t="s">
        <v>89</v>
      </c>
      <c r="AI2292" s="831">
        <v>1</v>
      </c>
      <c r="AJ2292" s="835">
        <v>39082</v>
      </c>
      <c r="AK2292" s="831">
        <v>16376</v>
      </c>
      <c r="AP2292" s="831" t="str">
        <f t="shared" si="106"/>
        <v/>
      </c>
    </row>
    <row r="2293" spans="2:42">
      <c r="B2293" s="834" t="str">
        <f t="shared" si="105"/>
        <v>|||</v>
      </c>
      <c r="H2293" s="835">
        <f t="shared" si="107"/>
        <v>31</v>
      </c>
      <c r="AF2293" s="831" t="s">
        <v>2987</v>
      </c>
      <c r="AG2293" s="831" t="s">
        <v>58</v>
      </c>
      <c r="AH2293" s="831" t="s">
        <v>93</v>
      </c>
      <c r="AI2293" s="831">
        <v>1</v>
      </c>
      <c r="AJ2293" s="835">
        <v>39082</v>
      </c>
      <c r="AK2293" s="831">
        <v>4645</v>
      </c>
      <c r="AP2293" s="831" t="str">
        <f t="shared" si="106"/>
        <v/>
      </c>
    </row>
    <row r="2294" spans="2:42">
      <c r="B2294" s="834" t="str">
        <f t="shared" si="105"/>
        <v>|||</v>
      </c>
      <c r="H2294" s="835">
        <f t="shared" si="107"/>
        <v>31</v>
      </c>
      <c r="AF2294" s="831" t="s">
        <v>2988</v>
      </c>
      <c r="AG2294" s="831" t="s">
        <v>58</v>
      </c>
      <c r="AH2294" s="831" t="s">
        <v>69</v>
      </c>
      <c r="AI2294" s="831">
        <v>1</v>
      </c>
      <c r="AJ2294" s="835">
        <v>39447</v>
      </c>
      <c r="AK2294" s="831">
        <v>232</v>
      </c>
      <c r="AP2294" s="831" t="str">
        <f t="shared" si="106"/>
        <v/>
      </c>
    </row>
    <row r="2295" spans="2:42">
      <c r="B2295" s="834" t="str">
        <f t="shared" si="105"/>
        <v>|||</v>
      </c>
      <c r="H2295" s="835">
        <f t="shared" si="107"/>
        <v>31</v>
      </c>
      <c r="AF2295" s="831" t="s">
        <v>2989</v>
      </c>
      <c r="AG2295" s="831" t="s">
        <v>58</v>
      </c>
      <c r="AH2295" s="831" t="s">
        <v>74</v>
      </c>
      <c r="AI2295" s="831">
        <v>1</v>
      </c>
      <c r="AJ2295" s="835">
        <v>39447</v>
      </c>
      <c r="AK2295" s="831">
        <v>612</v>
      </c>
      <c r="AP2295" s="831" t="str">
        <f t="shared" si="106"/>
        <v/>
      </c>
    </row>
    <row r="2296" spans="2:42">
      <c r="B2296" s="834" t="str">
        <f t="shared" si="105"/>
        <v>|||</v>
      </c>
      <c r="H2296" s="835">
        <f t="shared" si="107"/>
        <v>31</v>
      </c>
      <c r="AF2296" s="831" t="s">
        <v>2990</v>
      </c>
      <c r="AG2296" s="831" t="s">
        <v>58</v>
      </c>
      <c r="AH2296" s="831" t="s">
        <v>79</v>
      </c>
      <c r="AI2296" s="831">
        <v>1</v>
      </c>
      <c r="AJ2296" s="835">
        <v>39447</v>
      </c>
      <c r="AK2296" s="831">
        <v>14</v>
      </c>
      <c r="AP2296" s="831" t="str">
        <f t="shared" si="106"/>
        <v/>
      </c>
    </row>
    <row r="2297" spans="2:42">
      <c r="B2297" s="834" t="str">
        <f t="shared" si="105"/>
        <v>|||</v>
      </c>
      <c r="H2297" s="835">
        <f t="shared" si="107"/>
        <v>31</v>
      </c>
      <c r="AF2297" s="831" t="s">
        <v>2991</v>
      </c>
      <c r="AG2297" s="831" t="s">
        <v>58</v>
      </c>
      <c r="AH2297" s="831" t="s">
        <v>84</v>
      </c>
      <c r="AI2297" s="831">
        <v>1</v>
      </c>
      <c r="AJ2297" s="835">
        <v>39447</v>
      </c>
      <c r="AK2297" s="831">
        <v>47683</v>
      </c>
      <c r="AP2297" s="831" t="str">
        <f t="shared" si="106"/>
        <v/>
      </c>
    </row>
    <row r="2298" spans="2:42">
      <c r="B2298" s="834" t="str">
        <f t="shared" si="105"/>
        <v>|||</v>
      </c>
      <c r="H2298" s="835">
        <f t="shared" si="107"/>
        <v>31</v>
      </c>
      <c r="AF2298" s="831" t="s">
        <v>2992</v>
      </c>
      <c r="AG2298" s="831" t="s">
        <v>58</v>
      </c>
      <c r="AH2298" s="831" t="s">
        <v>89</v>
      </c>
      <c r="AI2298" s="831">
        <v>1</v>
      </c>
      <c r="AJ2298" s="835">
        <v>39447</v>
      </c>
      <c r="AK2298" s="831">
        <v>46653</v>
      </c>
      <c r="AP2298" s="831" t="str">
        <f t="shared" si="106"/>
        <v/>
      </c>
    </row>
    <row r="2299" spans="2:42">
      <c r="B2299" s="834" t="str">
        <f t="shared" si="105"/>
        <v>|||</v>
      </c>
      <c r="H2299" s="835">
        <f t="shared" si="107"/>
        <v>31</v>
      </c>
      <c r="AF2299" s="831" t="s">
        <v>2993</v>
      </c>
      <c r="AG2299" s="831" t="s">
        <v>58</v>
      </c>
      <c r="AH2299" s="831" t="s">
        <v>93</v>
      </c>
      <c r="AI2299" s="831">
        <v>1</v>
      </c>
      <c r="AJ2299" s="835">
        <v>39447</v>
      </c>
      <c r="AK2299" s="831">
        <v>10110</v>
      </c>
      <c r="AP2299" s="831" t="str">
        <f t="shared" si="106"/>
        <v/>
      </c>
    </row>
    <row r="2300" spans="2:42">
      <c r="B2300" s="834" t="str">
        <f t="shared" si="105"/>
        <v>|||</v>
      </c>
      <c r="H2300" s="835">
        <f t="shared" si="107"/>
        <v>31</v>
      </c>
      <c r="AF2300" s="831" t="s">
        <v>2994</v>
      </c>
      <c r="AG2300" s="831" t="s">
        <v>58</v>
      </c>
      <c r="AH2300" s="831" t="s">
        <v>69</v>
      </c>
      <c r="AI2300" s="831">
        <v>1</v>
      </c>
      <c r="AJ2300" s="835">
        <v>39813</v>
      </c>
      <c r="AK2300" s="831">
        <v>303</v>
      </c>
      <c r="AP2300" s="831" t="str">
        <f t="shared" si="106"/>
        <v/>
      </c>
    </row>
    <row r="2301" spans="2:42">
      <c r="B2301" s="834" t="str">
        <f t="shared" si="105"/>
        <v>|||</v>
      </c>
      <c r="H2301" s="835">
        <f t="shared" si="107"/>
        <v>31</v>
      </c>
      <c r="AF2301" s="831" t="s">
        <v>2995</v>
      </c>
      <c r="AG2301" s="831" t="s">
        <v>58</v>
      </c>
      <c r="AH2301" s="831" t="s">
        <v>74</v>
      </c>
      <c r="AI2301" s="831">
        <v>1</v>
      </c>
      <c r="AJ2301" s="835">
        <v>39813</v>
      </c>
      <c r="AK2301" s="831">
        <v>822</v>
      </c>
      <c r="AP2301" s="831" t="str">
        <f t="shared" si="106"/>
        <v/>
      </c>
    </row>
    <row r="2302" spans="2:42">
      <c r="B2302" s="834" t="str">
        <f t="shared" si="105"/>
        <v>|||</v>
      </c>
      <c r="H2302" s="835">
        <f t="shared" si="107"/>
        <v>31</v>
      </c>
      <c r="AF2302" s="831" t="s">
        <v>2996</v>
      </c>
      <c r="AG2302" s="831" t="s">
        <v>58</v>
      </c>
      <c r="AH2302" s="831" t="s">
        <v>79</v>
      </c>
      <c r="AI2302" s="831">
        <v>1</v>
      </c>
      <c r="AJ2302" s="835">
        <v>39813</v>
      </c>
      <c r="AK2302" s="831">
        <v>20</v>
      </c>
      <c r="AP2302" s="831" t="str">
        <f t="shared" si="106"/>
        <v/>
      </c>
    </row>
    <row r="2303" spans="2:42">
      <c r="B2303" s="834" t="str">
        <f t="shared" si="105"/>
        <v>|||</v>
      </c>
      <c r="H2303" s="835">
        <f t="shared" si="107"/>
        <v>31</v>
      </c>
      <c r="AF2303" s="831" t="s">
        <v>2997</v>
      </c>
      <c r="AG2303" s="831" t="s">
        <v>58</v>
      </c>
      <c r="AH2303" s="831" t="s">
        <v>84</v>
      </c>
      <c r="AI2303" s="831">
        <v>1</v>
      </c>
      <c r="AJ2303" s="835">
        <v>39813</v>
      </c>
      <c r="AK2303" s="831">
        <v>71148</v>
      </c>
      <c r="AP2303" s="831" t="str">
        <f t="shared" si="106"/>
        <v/>
      </c>
    </row>
    <row r="2304" spans="2:42">
      <c r="B2304" s="834" t="str">
        <f t="shared" si="105"/>
        <v>|||</v>
      </c>
      <c r="H2304" s="835">
        <f t="shared" si="107"/>
        <v>31</v>
      </c>
      <c r="AF2304" s="831" t="s">
        <v>2998</v>
      </c>
      <c r="AG2304" s="831" t="s">
        <v>58</v>
      </c>
      <c r="AH2304" s="831" t="s">
        <v>89</v>
      </c>
      <c r="AI2304" s="831">
        <v>1</v>
      </c>
      <c r="AJ2304" s="835">
        <v>39813</v>
      </c>
      <c r="AK2304" s="831">
        <v>69144</v>
      </c>
      <c r="AP2304" s="831" t="str">
        <f t="shared" si="106"/>
        <v/>
      </c>
    </row>
    <row r="2305" spans="2:42">
      <c r="B2305" s="834" t="str">
        <f t="shared" si="105"/>
        <v>|||</v>
      </c>
      <c r="H2305" s="835">
        <f t="shared" si="107"/>
        <v>31</v>
      </c>
      <c r="AF2305" s="831" t="s">
        <v>2999</v>
      </c>
      <c r="AG2305" s="831" t="s">
        <v>58</v>
      </c>
      <c r="AH2305" s="831" t="s">
        <v>93</v>
      </c>
      <c r="AI2305" s="831">
        <v>1</v>
      </c>
      <c r="AJ2305" s="835">
        <v>39813</v>
      </c>
      <c r="AK2305" s="831">
        <v>23300</v>
      </c>
      <c r="AP2305" s="831" t="str">
        <f t="shared" si="106"/>
        <v/>
      </c>
    </row>
    <row r="2306" spans="2:42">
      <c r="B2306" s="834" t="str">
        <f t="shared" si="105"/>
        <v>|||</v>
      </c>
      <c r="H2306" s="835">
        <f t="shared" si="107"/>
        <v>31</v>
      </c>
      <c r="AF2306" s="831" t="s">
        <v>3000</v>
      </c>
      <c r="AG2306" s="831" t="s">
        <v>58</v>
      </c>
      <c r="AH2306" s="831" t="s">
        <v>69</v>
      </c>
      <c r="AI2306" s="831">
        <v>1</v>
      </c>
      <c r="AJ2306" s="835">
        <v>40178</v>
      </c>
      <c r="AK2306" s="831">
        <v>320</v>
      </c>
      <c r="AP2306" s="831" t="str">
        <f t="shared" si="106"/>
        <v/>
      </c>
    </row>
    <row r="2307" spans="2:42">
      <c r="B2307" s="834" t="str">
        <f t="shared" ref="B2307:B2370" si="108">C2307&amp;"|"&amp;D2307&amp;"|"&amp;E2307&amp;"|"&amp;F2307</f>
        <v>|||</v>
      </c>
      <c r="H2307" s="835">
        <f t="shared" si="107"/>
        <v>31</v>
      </c>
      <c r="AF2307" s="831" t="s">
        <v>3001</v>
      </c>
      <c r="AG2307" s="831" t="s">
        <v>58</v>
      </c>
      <c r="AH2307" s="831" t="s">
        <v>74</v>
      </c>
      <c r="AI2307" s="831">
        <v>1</v>
      </c>
      <c r="AJ2307" s="835">
        <v>40178</v>
      </c>
      <c r="AK2307" s="831">
        <v>960</v>
      </c>
      <c r="AP2307" s="831" t="str">
        <f t="shared" ref="AP2307:AP2370" si="109">IF(AX2307&lt;&gt;"",IF(OR(AX2307=3,AX2307=4),"Equity","Debt"),"")</f>
        <v/>
      </c>
    </row>
    <row r="2308" spans="2:42">
      <c r="B2308" s="834" t="str">
        <f t="shared" si="108"/>
        <v>|||</v>
      </c>
      <c r="H2308" s="835">
        <f t="shared" ref="H2308:H2371" si="110">EOMONTH(L2308,0)</f>
        <v>31</v>
      </c>
      <c r="AF2308" s="831" t="s">
        <v>3002</v>
      </c>
      <c r="AG2308" s="831" t="s">
        <v>58</v>
      </c>
      <c r="AH2308" s="831" t="s">
        <v>79</v>
      </c>
      <c r="AI2308" s="831">
        <v>1</v>
      </c>
      <c r="AJ2308" s="835">
        <v>40178</v>
      </c>
      <c r="AK2308" s="831">
        <v>23</v>
      </c>
      <c r="AP2308" s="831" t="str">
        <f t="shared" si="109"/>
        <v/>
      </c>
    </row>
    <row r="2309" spans="2:42">
      <c r="B2309" s="834" t="str">
        <f t="shared" si="108"/>
        <v>|||</v>
      </c>
      <c r="H2309" s="835">
        <f t="shared" si="110"/>
        <v>31</v>
      </c>
      <c r="AF2309" s="831" t="s">
        <v>3003</v>
      </c>
      <c r="AG2309" s="831" t="s">
        <v>58</v>
      </c>
      <c r="AH2309" s="831" t="s">
        <v>84</v>
      </c>
      <c r="AI2309" s="831">
        <v>1</v>
      </c>
      <c r="AJ2309" s="835">
        <v>40178</v>
      </c>
      <c r="AK2309" s="831">
        <v>100489</v>
      </c>
      <c r="AP2309" s="831" t="str">
        <f t="shared" si="109"/>
        <v/>
      </c>
    </row>
    <row r="2310" spans="2:42">
      <c r="B2310" s="834" t="str">
        <f t="shared" si="108"/>
        <v>|||</v>
      </c>
      <c r="H2310" s="835">
        <f t="shared" si="110"/>
        <v>31</v>
      </c>
      <c r="AF2310" s="831" t="s">
        <v>3004</v>
      </c>
      <c r="AG2310" s="831" t="s">
        <v>58</v>
      </c>
      <c r="AH2310" s="831" t="s">
        <v>89</v>
      </c>
      <c r="AI2310" s="831">
        <v>1</v>
      </c>
      <c r="AJ2310" s="835">
        <v>40178</v>
      </c>
      <c r="AK2310" s="831">
        <v>97882</v>
      </c>
      <c r="AP2310" s="831" t="str">
        <f t="shared" si="109"/>
        <v/>
      </c>
    </row>
    <row r="2311" spans="2:42">
      <c r="B2311" s="834" t="str">
        <f t="shared" si="108"/>
        <v>|||</v>
      </c>
      <c r="H2311" s="835">
        <f t="shared" si="110"/>
        <v>31</v>
      </c>
      <c r="AF2311" s="831" t="s">
        <v>3005</v>
      </c>
      <c r="AG2311" s="831" t="s">
        <v>58</v>
      </c>
      <c r="AH2311" s="831" t="s">
        <v>93</v>
      </c>
      <c r="AI2311" s="831">
        <v>1</v>
      </c>
      <c r="AJ2311" s="835">
        <v>40178</v>
      </c>
      <c r="AK2311" s="831">
        <v>99102</v>
      </c>
      <c r="AP2311" s="831" t="str">
        <f t="shared" si="109"/>
        <v/>
      </c>
    </row>
    <row r="2312" spans="2:42">
      <c r="B2312" s="834" t="str">
        <f t="shared" si="108"/>
        <v>|||</v>
      </c>
      <c r="H2312" s="835">
        <f t="shared" si="110"/>
        <v>31</v>
      </c>
      <c r="AF2312" s="831" t="s">
        <v>3006</v>
      </c>
      <c r="AG2312" s="831" t="s">
        <v>2674</v>
      </c>
      <c r="AH2312" s="831" t="s">
        <v>546</v>
      </c>
      <c r="AI2312" s="831">
        <v>0</v>
      </c>
      <c r="AJ2312" s="835">
        <v>39660</v>
      </c>
      <c r="AK2312" s="831">
        <v>147781259</v>
      </c>
      <c r="AP2312" s="831" t="str">
        <f t="shared" si="109"/>
        <v/>
      </c>
    </row>
    <row r="2313" spans="2:42">
      <c r="B2313" s="834" t="str">
        <f t="shared" si="108"/>
        <v>|||</v>
      </c>
      <c r="H2313" s="835">
        <f t="shared" si="110"/>
        <v>31</v>
      </c>
      <c r="AF2313" s="831" t="s">
        <v>3007</v>
      </c>
      <c r="AG2313" s="831" t="s">
        <v>2674</v>
      </c>
      <c r="AH2313" s="831" t="s">
        <v>370</v>
      </c>
      <c r="AI2313" s="831">
        <v>0</v>
      </c>
      <c r="AJ2313" s="835">
        <v>39660</v>
      </c>
      <c r="AK2313" s="831">
        <v>170933543</v>
      </c>
      <c r="AP2313" s="831" t="str">
        <f t="shared" si="109"/>
        <v/>
      </c>
    </row>
    <row r="2314" spans="2:42">
      <c r="B2314" s="834" t="str">
        <f t="shared" si="108"/>
        <v>|||</v>
      </c>
      <c r="H2314" s="835">
        <f t="shared" si="110"/>
        <v>31</v>
      </c>
      <c r="AF2314" s="831" t="s">
        <v>3008</v>
      </c>
      <c r="AG2314" s="831" t="s">
        <v>2674</v>
      </c>
      <c r="AH2314" s="831" t="s">
        <v>126</v>
      </c>
      <c r="AI2314" s="831">
        <v>0</v>
      </c>
      <c r="AJ2314" s="835">
        <v>39660</v>
      </c>
      <c r="AK2314" s="831">
        <v>28186254</v>
      </c>
      <c r="AP2314" s="831" t="str">
        <f t="shared" si="109"/>
        <v/>
      </c>
    </row>
    <row r="2315" spans="2:42">
      <c r="B2315" s="834" t="str">
        <f t="shared" si="108"/>
        <v>|||</v>
      </c>
      <c r="H2315" s="835">
        <f t="shared" si="110"/>
        <v>31</v>
      </c>
      <c r="AF2315" s="831" t="s">
        <v>3009</v>
      </c>
      <c r="AG2315" s="831" t="s">
        <v>2674</v>
      </c>
      <c r="AH2315" s="831" t="s">
        <v>268</v>
      </c>
      <c r="AI2315" s="831">
        <v>0</v>
      </c>
      <c r="AJ2315" s="835">
        <v>39660</v>
      </c>
      <c r="AK2315" s="831">
        <v>5342331</v>
      </c>
      <c r="AP2315" s="831" t="str">
        <f t="shared" si="109"/>
        <v/>
      </c>
    </row>
    <row r="2316" spans="2:42">
      <c r="B2316" s="834" t="str">
        <f t="shared" si="108"/>
        <v>|||</v>
      </c>
      <c r="H2316" s="835">
        <f t="shared" si="110"/>
        <v>31</v>
      </c>
      <c r="AF2316" s="831" t="s">
        <v>3010</v>
      </c>
      <c r="AG2316" s="831" t="s">
        <v>2674</v>
      </c>
      <c r="AH2316" s="831" t="s">
        <v>547</v>
      </c>
      <c r="AI2316" s="831">
        <v>0</v>
      </c>
      <c r="AJ2316" s="835">
        <v>39660</v>
      </c>
      <c r="AK2316" s="831">
        <v>0</v>
      </c>
      <c r="AP2316" s="831" t="str">
        <f t="shared" si="109"/>
        <v/>
      </c>
    </row>
    <row r="2317" spans="2:42">
      <c r="B2317" s="834" t="str">
        <f t="shared" si="108"/>
        <v>|||</v>
      </c>
      <c r="H2317" s="835">
        <f t="shared" si="110"/>
        <v>31</v>
      </c>
      <c r="AF2317" s="831" t="s">
        <v>3011</v>
      </c>
      <c r="AG2317" s="831" t="s">
        <v>2674</v>
      </c>
      <c r="AH2317" s="831" t="s">
        <v>548</v>
      </c>
      <c r="AI2317" s="831">
        <v>0</v>
      </c>
      <c r="AJ2317" s="835">
        <v>39660</v>
      </c>
      <c r="AK2317" s="831">
        <v>0</v>
      </c>
      <c r="AP2317" s="831" t="str">
        <f t="shared" si="109"/>
        <v/>
      </c>
    </row>
    <row r="2318" spans="2:42">
      <c r="B2318" s="834" t="str">
        <f t="shared" si="108"/>
        <v>|||</v>
      </c>
      <c r="H2318" s="835">
        <f t="shared" si="110"/>
        <v>31</v>
      </c>
      <c r="AF2318" s="831" t="s">
        <v>3012</v>
      </c>
      <c r="AG2318" s="831" t="s">
        <v>2674</v>
      </c>
      <c r="AH2318" s="831" t="s">
        <v>549</v>
      </c>
      <c r="AI2318" s="831">
        <v>0</v>
      </c>
      <c r="AJ2318" s="835">
        <v>39660</v>
      </c>
      <c r="AK2318" s="831">
        <v>0</v>
      </c>
      <c r="AP2318" s="831" t="str">
        <f t="shared" si="109"/>
        <v/>
      </c>
    </row>
    <row r="2319" spans="2:42">
      <c r="B2319" s="834" t="str">
        <f t="shared" si="108"/>
        <v>|||</v>
      </c>
      <c r="H2319" s="835">
        <f t="shared" si="110"/>
        <v>31</v>
      </c>
      <c r="AF2319" s="831" t="s">
        <v>3013</v>
      </c>
      <c r="AG2319" s="831" t="s">
        <v>2674</v>
      </c>
      <c r="AH2319" s="831" t="s">
        <v>192</v>
      </c>
      <c r="AI2319" s="831">
        <v>0</v>
      </c>
      <c r="AJ2319" s="835">
        <v>39660</v>
      </c>
      <c r="AK2319" s="831">
        <v>-3178871</v>
      </c>
      <c r="AP2319" s="831" t="str">
        <f t="shared" si="109"/>
        <v/>
      </c>
    </row>
    <row r="2320" spans="2:42">
      <c r="B2320" s="834" t="str">
        <f t="shared" si="108"/>
        <v>|||</v>
      </c>
      <c r="H2320" s="835">
        <f t="shared" si="110"/>
        <v>31</v>
      </c>
      <c r="AF2320" s="831" t="s">
        <v>3014</v>
      </c>
      <c r="AG2320" s="831" t="s">
        <v>2674</v>
      </c>
      <c r="AH2320" s="831" t="s">
        <v>558</v>
      </c>
      <c r="AI2320" s="831">
        <v>0</v>
      </c>
      <c r="AJ2320" s="835">
        <v>39660</v>
      </c>
      <c r="AK2320" s="831">
        <v>142747289</v>
      </c>
      <c r="AP2320" s="831" t="str">
        <f t="shared" si="109"/>
        <v/>
      </c>
    </row>
    <row r="2321" spans="2:42">
      <c r="B2321" s="834" t="str">
        <f t="shared" si="108"/>
        <v>|||</v>
      </c>
      <c r="H2321" s="835">
        <f t="shared" si="110"/>
        <v>31</v>
      </c>
      <c r="AF2321" s="831" t="s">
        <v>3015</v>
      </c>
      <c r="AG2321" s="831" t="s">
        <v>2674</v>
      </c>
      <c r="AH2321" s="831" t="s">
        <v>65</v>
      </c>
      <c r="AI2321" s="831">
        <v>0</v>
      </c>
      <c r="AJ2321" s="835">
        <v>39660</v>
      </c>
      <c r="AK2321" s="831">
        <v>24079345</v>
      </c>
      <c r="AP2321" s="831" t="str">
        <f t="shared" si="109"/>
        <v/>
      </c>
    </row>
    <row r="2322" spans="2:42">
      <c r="B2322" s="834" t="str">
        <f t="shared" si="108"/>
        <v>|||</v>
      </c>
      <c r="H2322" s="835">
        <f t="shared" si="110"/>
        <v>31</v>
      </c>
      <c r="AF2322" s="831" t="s">
        <v>3016</v>
      </c>
      <c r="AG2322" s="831" t="s">
        <v>2674</v>
      </c>
      <c r="AH2322" s="831" t="s">
        <v>89</v>
      </c>
      <c r="AI2322" s="831">
        <v>0</v>
      </c>
      <c r="AJ2322" s="835">
        <v>39660</v>
      </c>
      <c r="AK2322" s="831">
        <v>65857</v>
      </c>
      <c r="AP2322" s="831" t="str">
        <f t="shared" si="109"/>
        <v/>
      </c>
    </row>
    <row r="2323" spans="2:42">
      <c r="B2323" s="834" t="str">
        <f t="shared" si="108"/>
        <v>|||</v>
      </c>
      <c r="H2323" s="835">
        <f t="shared" si="110"/>
        <v>31</v>
      </c>
      <c r="AF2323" s="831" t="s">
        <v>3017</v>
      </c>
      <c r="AG2323" s="831" t="s">
        <v>2674</v>
      </c>
      <c r="AH2323" s="831" t="s">
        <v>557</v>
      </c>
      <c r="AI2323" s="831">
        <v>0</v>
      </c>
      <c r="AJ2323" s="835">
        <v>39660</v>
      </c>
      <c r="AK2323" s="831">
        <v>67943</v>
      </c>
      <c r="AP2323" s="831" t="str">
        <f t="shared" si="109"/>
        <v/>
      </c>
    </row>
    <row r="2324" spans="2:42">
      <c r="B2324" s="834" t="str">
        <f t="shared" si="108"/>
        <v>|||</v>
      </c>
      <c r="H2324" s="835">
        <f t="shared" si="110"/>
        <v>31</v>
      </c>
      <c r="AF2324" s="831" t="s">
        <v>3018</v>
      </c>
      <c r="AG2324" s="831" t="s">
        <v>2674</v>
      </c>
      <c r="AH2324" s="831" t="s">
        <v>29</v>
      </c>
      <c r="AI2324" s="831">
        <v>0</v>
      </c>
      <c r="AJ2324" s="835">
        <v>39660</v>
      </c>
      <c r="AK2324" s="831">
        <v>66620</v>
      </c>
      <c r="AP2324" s="831" t="str">
        <f t="shared" si="109"/>
        <v/>
      </c>
    </row>
    <row r="2325" spans="2:42">
      <c r="B2325" s="834" t="str">
        <f t="shared" si="108"/>
        <v>|||</v>
      </c>
      <c r="H2325" s="835">
        <f t="shared" si="110"/>
        <v>31</v>
      </c>
      <c r="AF2325" s="831" t="s">
        <v>3019</v>
      </c>
      <c r="AG2325" s="831" t="s">
        <v>2674</v>
      </c>
      <c r="AH2325" s="831" t="s">
        <v>2688</v>
      </c>
      <c r="AI2325" s="831">
        <v>0</v>
      </c>
      <c r="AJ2325" s="835">
        <v>39660</v>
      </c>
      <c r="AK2325" s="831">
        <v>0</v>
      </c>
      <c r="AP2325" s="831" t="str">
        <f t="shared" si="109"/>
        <v/>
      </c>
    </row>
    <row r="2326" spans="2:42">
      <c r="B2326" s="834" t="str">
        <f t="shared" si="108"/>
        <v>|||</v>
      </c>
      <c r="H2326" s="835">
        <f t="shared" si="110"/>
        <v>31</v>
      </c>
      <c r="AF2326" s="831" t="s">
        <v>3020</v>
      </c>
      <c r="AG2326" s="831" t="s">
        <v>2674</v>
      </c>
      <c r="AH2326" s="831" t="s">
        <v>556</v>
      </c>
      <c r="AI2326" s="831">
        <v>0</v>
      </c>
      <c r="AJ2326" s="835">
        <v>39660</v>
      </c>
      <c r="AK2326" s="831">
        <v>0</v>
      </c>
      <c r="AP2326" s="831" t="str">
        <f t="shared" si="109"/>
        <v/>
      </c>
    </row>
    <row r="2327" spans="2:42">
      <c r="B2327" s="834" t="str">
        <f t="shared" si="108"/>
        <v>|||</v>
      </c>
      <c r="H2327" s="835">
        <f t="shared" si="110"/>
        <v>31</v>
      </c>
      <c r="AF2327" s="831" t="s">
        <v>3021</v>
      </c>
      <c r="AG2327" s="831" t="s">
        <v>2674</v>
      </c>
      <c r="AH2327" s="831" t="s">
        <v>555</v>
      </c>
      <c r="AI2327" s="831">
        <v>0</v>
      </c>
      <c r="AJ2327" s="835">
        <v>39660</v>
      </c>
      <c r="AK2327" s="831">
        <v>120738293</v>
      </c>
      <c r="AP2327" s="831" t="str">
        <f t="shared" si="109"/>
        <v/>
      </c>
    </row>
    <row r="2328" spans="2:42">
      <c r="B2328" s="834" t="str">
        <f t="shared" si="108"/>
        <v>|||</v>
      </c>
      <c r="H2328" s="835">
        <f t="shared" si="110"/>
        <v>31</v>
      </c>
      <c r="AF2328" s="831" t="s">
        <v>3022</v>
      </c>
      <c r="AG2328" s="831" t="s">
        <v>2674</v>
      </c>
      <c r="AH2328" s="831" t="s">
        <v>554</v>
      </c>
      <c r="AI2328" s="831">
        <v>0</v>
      </c>
      <c r="AJ2328" s="835">
        <v>39660</v>
      </c>
      <c r="AK2328" s="831">
        <v>120096100</v>
      </c>
      <c r="AP2328" s="831" t="str">
        <f t="shared" si="109"/>
        <v/>
      </c>
    </row>
    <row r="2329" spans="2:42">
      <c r="B2329" s="834" t="str">
        <f t="shared" si="108"/>
        <v>|||</v>
      </c>
      <c r="H2329" s="835">
        <f t="shared" si="110"/>
        <v>31</v>
      </c>
      <c r="AF2329" s="831" t="s">
        <v>3023</v>
      </c>
      <c r="AG2329" s="831" t="s">
        <v>2674</v>
      </c>
      <c r="AH2329" s="831" t="s">
        <v>553</v>
      </c>
      <c r="AI2329" s="831">
        <v>0</v>
      </c>
      <c r="AJ2329" s="835">
        <v>39660</v>
      </c>
      <c r="AK2329" s="831">
        <v>0</v>
      </c>
      <c r="AP2329" s="831" t="str">
        <f t="shared" si="109"/>
        <v/>
      </c>
    </row>
    <row r="2330" spans="2:42">
      <c r="B2330" s="834" t="str">
        <f t="shared" si="108"/>
        <v>|||</v>
      </c>
      <c r="H2330" s="835">
        <f t="shared" si="110"/>
        <v>31</v>
      </c>
      <c r="AF2330" s="831" t="s">
        <v>3024</v>
      </c>
      <c r="AG2330" s="831" t="s">
        <v>2674</v>
      </c>
      <c r="AH2330" s="831" t="s">
        <v>552</v>
      </c>
      <c r="AI2330" s="831">
        <v>0</v>
      </c>
      <c r="AJ2330" s="835">
        <v>39660</v>
      </c>
      <c r="AK2330" s="831">
        <v>0</v>
      </c>
      <c r="AP2330" s="831" t="str">
        <f t="shared" si="109"/>
        <v/>
      </c>
    </row>
    <row r="2331" spans="2:42">
      <c r="B2331" s="834" t="str">
        <f t="shared" si="108"/>
        <v>|||</v>
      </c>
      <c r="H2331" s="835">
        <f t="shared" si="110"/>
        <v>31</v>
      </c>
      <c r="AF2331" s="831" t="s">
        <v>3025</v>
      </c>
      <c r="AG2331" s="831" t="s">
        <v>2674</v>
      </c>
      <c r="AH2331" s="831" t="s">
        <v>551</v>
      </c>
      <c r="AI2331" s="831">
        <v>0</v>
      </c>
      <c r="AJ2331" s="835">
        <v>39660</v>
      </c>
      <c r="AK2331" s="831">
        <v>66620</v>
      </c>
      <c r="AP2331" s="831" t="str">
        <f t="shared" si="109"/>
        <v/>
      </c>
    </row>
    <row r="2332" spans="2:42">
      <c r="B2332" s="834" t="str">
        <f t="shared" si="108"/>
        <v>|||</v>
      </c>
      <c r="H2332" s="835">
        <f t="shared" si="110"/>
        <v>31</v>
      </c>
      <c r="AF2332" s="831" t="s">
        <v>3026</v>
      </c>
      <c r="AG2332" s="831" t="s">
        <v>2674</v>
      </c>
      <c r="AH2332" s="831" t="s">
        <v>550</v>
      </c>
      <c r="AI2332" s="831">
        <v>0</v>
      </c>
      <c r="AJ2332" s="835">
        <v>39660</v>
      </c>
      <c r="AK2332" s="831">
        <v>0</v>
      </c>
      <c r="AP2332" s="831" t="str">
        <f t="shared" si="109"/>
        <v/>
      </c>
    </row>
    <row r="2333" spans="2:42">
      <c r="B2333" s="834" t="str">
        <f t="shared" si="108"/>
        <v>|||</v>
      </c>
      <c r="H2333" s="835">
        <f t="shared" si="110"/>
        <v>31</v>
      </c>
      <c r="AF2333" s="831" t="s">
        <v>3027</v>
      </c>
      <c r="AG2333" s="831" t="s">
        <v>2674</v>
      </c>
      <c r="AH2333" s="831" t="s">
        <v>562</v>
      </c>
      <c r="AI2333" s="831">
        <v>0</v>
      </c>
      <c r="AJ2333" s="835">
        <v>39660</v>
      </c>
      <c r="AK2333" s="831">
        <v>0.81</v>
      </c>
      <c r="AP2333" s="831" t="str">
        <f t="shared" si="109"/>
        <v/>
      </c>
    </row>
    <row r="2334" spans="2:42">
      <c r="B2334" s="834" t="str">
        <f t="shared" si="108"/>
        <v>|||</v>
      </c>
      <c r="H2334" s="835">
        <f t="shared" si="110"/>
        <v>31</v>
      </c>
      <c r="AF2334" s="831" t="s">
        <v>3028</v>
      </c>
      <c r="AG2334" s="831" t="s">
        <v>2674</v>
      </c>
      <c r="AH2334" s="831" t="s">
        <v>2698</v>
      </c>
      <c r="AI2334" s="831">
        <v>0</v>
      </c>
      <c r="AJ2334" s="835">
        <v>39660</v>
      </c>
      <c r="AK2334" s="831">
        <v>0.81</v>
      </c>
      <c r="AP2334" s="831" t="str">
        <f t="shared" si="109"/>
        <v/>
      </c>
    </row>
    <row r="2335" spans="2:42">
      <c r="B2335" s="834" t="str">
        <f t="shared" si="108"/>
        <v>|||</v>
      </c>
      <c r="H2335" s="835">
        <f t="shared" si="110"/>
        <v>31</v>
      </c>
      <c r="AF2335" s="831" t="s">
        <v>3029</v>
      </c>
      <c r="AG2335" s="831" t="s">
        <v>2674</v>
      </c>
      <c r="AH2335" s="831" t="s">
        <v>560</v>
      </c>
      <c r="AI2335" s="831">
        <v>0</v>
      </c>
      <c r="AJ2335" s="835">
        <v>39660</v>
      </c>
      <c r="AK2335" s="831">
        <v>0.83</v>
      </c>
      <c r="AP2335" s="831" t="str">
        <f t="shared" si="109"/>
        <v/>
      </c>
    </row>
    <row r="2336" spans="2:42">
      <c r="B2336" s="834" t="str">
        <f t="shared" si="108"/>
        <v>|||</v>
      </c>
      <c r="H2336" s="835">
        <f t="shared" si="110"/>
        <v>31</v>
      </c>
      <c r="AF2336" s="831" t="s">
        <v>3030</v>
      </c>
      <c r="AG2336" s="831" t="s">
        <v>2674</v>
      </c>
      <c r="AH2336" s="831" t="s">
        <v>559</v>
      </c>
      <c r="AI2336" s="831">
        <v>0</v>
      </c>
      <c r="AJ2336" s="835">
        <v>39660</v>
      </c>
      <c r="AK2336" s="831">
        <v>0.83833333333333304</v>
      </c>
      <c r="AP2336" s="831" t="str">
        <f t="shared" si="109"/>
        <v/>
      </c>
    </row>
    <row r="2337" spans="2:42">
      <c r="B2337" s="834" t="str">
        <f t="shared" si="108"/>
        <v>|||</v>
      </c>
      <c r="H2337" s="835">
        <f t="shared" si="110"/>
        <v>31</v>
      </c>
      <c r="AF2337" s="831" t="s">
        <v>3031</v>
      </c>
      <c r="AG2337" s="831" t="s">
        <v>2674</v>
      </c>
      <c r="AH2337" s="831" t="s">
        <v>568</v>
      </c>
      <c r="AI2337" s="831">
        <v>0</v>
      </c>
      <c r="AJ2337" s="835">
        <v>39660</v>
      </c>
      <c r="AK2337" s="831">
        <v>0</v>
      </c>
      <c r="AP2337" s="831" t="str">
        <f t="shared" si="109"/>
        <v/>
      </c>
    </row>
    <row r="2338" spans="2:42">
      <c r="B2338" s="834" t="str">
        <f t="shared" si="108"/>
        <v>|||</v>
      </c>
      <c r="H2338" s="835">
        <f t="shared" si="110"/>
        <v>31</v>
      </c>
      <c r="AF2338" s="831" t="s">
        <v>3032</v>
      </c>
      <c r="AG2338" s="831" t="s">
        <v>2674</v>
      </c>
      <c r="AH2338" s="831" t="s">
        <v>569</v>
      </c>
      <c r="AI2338" s="831">
        <v>0</v>
      </c>
      <c r="AJ2338" s="835">
        <v>39660</v>
      </c>
      <c r="AK2338" s="831">
        <v>0</v>
      </c>
      <c r="AP2338" s="831" t="str">
        <f t="shared" si="109"/>
        <v/>
      </c>
    </row>
    <row r="2339" spans="2:42">
      <c r="B2339" s="834" t="str">
        <f t="shared" si="108"/>
        <v>|||</v>
      </c>
      <c r="H2339" s="835">
        <f t="shared" si="110"/>
        <v>31</v>
      </c>
      <c r="AF2339" s="831" t="s">
        <v>3033</v>
      </c>
      <c r="AG2339" s="831" t="s">
        <v>2674</v>
      </c>
      <c r="AH2339" s="831" t="s">
        <v>570</v>
      </c>
      <c r="AI2339" s="831">
        <v>0</v>
      </c>
      <c r="AJ2339" s="835">
        <v>39660</v>
      </c>
      <c r="AK2339" s="831">
        <v>0</v>
      </c>
      <c r="AP2339" s="831" t="str">
        <f t="shared" si="109"/>
        <v/>
      </c>
    </row>
    <row r="2340" spans="2:42">
      <c r="B2340" s="834" t="str">
        <f t="shared" si="108"/>
        <v>|||</v>
      </c>
      <c r="H2340" s="835">
        <f t="shared" si="110"/>
        <v>31</v>
      </c>
      <c r="AF2340" s="831" t="s">
        <v>3034</v>
      </c>
      <c r="AG2340" s="831" t="s">
        <v>2674</v>
      </c>
      <c r="AH2340" s="831" t="s">
        <v>571</v>
      </c>
      <c r="AI2340" s="831">
        <v>0</v>
      </c>
      <c r="AJ2340" s="835">
        <v>39660</v>
      </c>
      <c r="AK2340" s="831">
        <v>0</v>
      </c>
      <c r="AP2340" s="831" t="str">
        <f t="shared" si="109"/>
        <v/>
      </c>
    </row>
    <row r="2341" spans="2:42">
      <c r="B2341" s="834" t="str">
        <f t="shared" si="108"/>
        <v>|||</v>
      </c>
      <c r="H2341" s="835">
        <f t="shared" si="110"/>
        <v>31</v>
      </c>
      <c r="AF2341" s="831" t="s">
        <v>3035</v>
      </c>
      <c r="AG2341" s="831" t="s">
        <v>2674</v>
      </c>
      <c r="AH2341" s="831" t="s">
        <v>573</v>
      </c>
      <c r="AI2341" s="831">
        <v>0</v>
      </c>
      <c r="AJ2341" s="835">
        <v>39660</v>
      </c>
      <c r="AK2341" s="831">
        <v>0</v>
      </c>
      <c r="AP2341" s="831" t="str">
        <f t="shared" si="109"/>
        <v/>
      </c>
    </row>
    <row r="2342" spans="2:42">
      <c r="B2342" s="834" t="str">
        <f t="shared" si="108"/>
        <v>|||</v>
      </c>
      <c r="H2342" s="835">
        <f t="shared" si="110"/>
        <v>31</v>
      </c>
      <c r="AF2342" s="831" t="s">
        <v>3036</v>
      </c>
      <c r="AG2342" s="831" t="s">
        <v>2674</v>
      </c>
      <c r="AH2342" s="831" t="s">
        <v>574</v>
      </c>
      <c r="AI2342" s="831">
        <v>0</v>
      </c>
      <c r="AJ2342" s="835">
        <v>39660</v>
      </c>
      <c r="AK2342" s="831">
        <v>0</v>
      </c>
      <c r="AP2342" s="831" t="str">
        <f t="shared" si="109"/>
        <v/>
      </c>
    </row>
    <row r="2343" spans="2:42">
      <c r="B2343" s="834" t="str">
        <f t="shared" si="108"/>
        <v>|||</v>
      </c>
      <c r="H2343" s="835">
        <f t="shared" si="110"/>
        <v>31</v>
      </c>
      <c r="AF2343" s="831" t="s">
        <v>3037</v>
      </c>
      <c r="AG2343" s="831" t="s">
        <v>2674</v>
      </c>
      <c r="AH2343" s="831" t="s">
        <v>575</v>
      </c>
      <c r="AI2343" s="831">
        <v>0</v>
      </c>
      <c r="AJ2343" s="835">
        <v>39660</v>
      </c>
      <c r="AK2343" s="831">
        <v>0</v>
      </c>
      <c r="AP2343" s="831" t="str">
        <f t="shared" si="109"/>
        <v/>
      </c>
    </row>
    <row r="2344" spans="2:42">
      <c r="B2344" s="834" t="str">
        <f t="shared" si="108"/>
        <v>|||</v>
      </c>
      <c r="H2344" s="835">
        <f t="shared" si="110"/>
        <v>31</v>
      </c>
      <c r="AF2344" s="831" t="s">
        <v>3038</v>
      </c>
      <c r="AG2344" s="831" t="s">
        <v>2674</v>
      </c>
      <c r="AH2344" s="831" t="s">
        <v>576</v>
      </c>
      <c r="AI2344" s="831">
        <v>0</v>
      </c>
      <c r="AJ2344" s="835">
        <v>39660</v>
      </c>
      <c r="AK2344" s="831">
        <v>0</v>
      </c>
      <c r="AP2344" s="831" t="str">
        <f t="shared" si="109"/>
        <v/>
      </c>
    </row>
    <row r="2345" spans="2:42">
      <c r="B2345" s="834" t="str">
        <f t="shared" si="108"/>
        <v>|||</v>
      </c>
      <c r="H2345" s="835">
        <f t="shared" si="110"/>
        <v>31</v>
      </c>
      <c r="AF2345" s="831" t="s">
        <v>3039</v>
      </c>
      <c r="AG2345" s="831" t="s">
        <v>2674</v>
      </c>
      <c r="AH2345" s="831" t="s">
        <v>572</v>
      </c>
      <c r="AI2345" s="831">
        <v>0</v>
      </c>
      <c r="AJ2345" s="835">
        <v>39660</v>
      </c>
      <c r="AK2345" s="831">
        <v>0</v>
      </c>
      <c r="AP2345" s="831" t="str">
        <f t="shared" si="109"/>
        <v/>
      </c>
    </row>
    <row r="2346" spans="2:42">
      <c r="B2346" s="834" t="str">
        <f t="shared" si="108"/>
        <v>|||</v>
      </c>
      <c r="H2346" s="835">
        <f t="shared" si="110"/>
        <v>31</v>
      </c>
      <c r="AF2346" s="831" t="s">
        <v>3040</v>
      </c>
      <c r="AG2346" s="831" t="s">
        <v>2674</v>
      </c>
      <c r="AH2346" s="831" t="s">
        <v>577</v>
      </c>
      <c r="AI2346" s="831">
        <v>0</v>
      </c>
      <c r="AJ2346" s="835">
        <v>39660</v>
      </c>
      <c r="AK2346" s="831">
        <v>0</v>
      </c>
      <c r="AP2346" s="831" t="str">
        <f t="shared" si="109"/>
        <v/>
      </c>
    </row>
    <row r="2347" spans="2:42">
      <c r="B2347" s="834" t="str">
        <f t="shared" si="108"/>
        <v>|||</v>
      </c>
      <c r="H2347" s="835">
        <f t="shared" si="110"/>
        <v>31</v>
      </c>
      <c r="AF2347" s="831" t="s">
        <v>3041</v>
      </c>
      <c r="AG2347" s="831" t="s">
        <v>2674</v>
      </c>
      <c r="AH2347" s="831" t="s">
        <v>3042</v>
      </c>
      <c r="AI2347" s="831">
        <v>0</v>
      </c>
      <c r="AJ2347" s="835">
        <v>39660</v>
      </c>
      <c r="AK2347" s="831">
        <v>0</v>
      </c>
      <c r="AP2347" s="831" t="str">
        <f t="shared" si="109"/>
        <v/>
      </c>
    </row>
    <row r="2348" spans="2:42">
      <c r="B2348" s="834" t="str">
        <f t="shared" si="108"/>
        <v>|||</v>
      </c>
      <c r="H2348" s="835">
        <f t="shared" si="110"/>
        <v>31</v>
      </c>
      <c r="AF2348" s="831" t="s">
        <v>3043</v>
      </c>
      <c r="AG2348" s="831" t="s">
        <v>2674</v>
      </c>
      <c r="AH2348" s="831" t="s">
        <v>3044</v>
      </c>
      <c r="AI2348" s="831">
        <v>0</v>
      </c>
      <c r="AJ2348" s="835">
        <v>39660</v>
      </c>
      <c r="AK2348" s="831">
        <v>0</v>
      </c>
      <c r="AP2348" s="831" t="str">
        <f t="shared" si="109"/>
        <v/>
      </c>
    </row>
    <row r="2349" spans="2:42">
      <c r="B2349" s="834" t="str">
        <f t="shared" si="108"/>
        <v>|||</v>
      </c>
      <c r="H2349" s="835">
        <f t="shared" si="110"/>
        <v>31</v>
      </c>
      <c r="AF2349" s="831" t="s">
        <v>3045</v>
      </c>
      <c r="AG2349" s="831" t="s">
        <v>2674</v>
      </c>
      <c r="AH2349" s="831" t="s">
        <v>580</v>
      </c>
      <c r="AI2349" s="831">
        <v>0</v>
      </c>
      <c r="AJ2349" s="835">
        <v>39660</v>
      </c>
      <c r="AK2349" s="831">
        <v>0</v>
      </c>
      <c r="AP2349" s="831" t="str">
        <f t="shared" si="109"/>
        <v/>
      </c>
    </row>
    <row r="2350" spans="2:42">
      <c r="B2350" s="834" t="str">
        <f t="shared" si="108"/>
        <v>|||</v>
      </c>
      <c r="H2350" s="835">
        <f t="shared" si="110"/>
        <v>31</v>
      </c>
      <c r="AF2350" s="831" t="s">
        <v>3046</v>
      </c>
      <c r="AG2350" s="831" t="s">
        <v>2674</v>
      </c>
      <c r="AH2350" s="831" t="s">
        <v>581</v>
      </c>
      <c r="AI2350" s="831">
        <v>0</v>
      </c>
      <c r="AJ2350" s="835">
        <v>39660</v>
      </c>
      <c r="AK2350" s="831">
        <v>0</v>
      </c>
      <c r="AP2350" s="831" t="str">
        <f t="shared" si="109"/>
        <v/>
      </c>
    </row>
    <row r="2351" spans="2:42">
      <c r="B2351" s="834" t="str">
        <f t="shared" si="108"/>
        <v>|||</v>
      </c>
      <c r="H2351" s="835">
        <f t="shared" si="110"/>
        <v>31</v>
      </c>
      <c r="AF2351" s="831" t="s">
        <v>3047</v>
      </c>
      <c r="AG2351" s="831" t="s">
        <v>2674</v>
      </c>
      <c r="AH2351" s="831" t="s">
        <v>105</v>
      </c>
      <c r="AI2351" s="831">
        <v>0</v>
      </c>
      <c r="AJ2351" s="835">
        <v>39660</v>
      </c>
      <c r="AK2351" s="831">
        <v>116976059</v>
      </c>
      <c r="AP2351" s="831" t="str">
        <f t="shared" si="109"/>
        <v/>
      </c>
    </row>
    <row r="2352" spans="2:42">
      <c r="B2352" s="834" t="str">
        <f t="shared" si="108"/>
        <v>|||</v>
      </c>
      <c r="H2352" s="835">
        <f t="shared" si="110"/>
        <v>31</v>
      </c>
      <c r="AF2352" s="831" t="s">
        <v>3048</v>
      </c>
      <c r="AG2352" s="831" t="s">
        <v>2674</v>
      </c>
      <c r="AH2352" s="831" t="s">
        <v>3049</v>
      </c>
      <c r="AI2352" s="831">
        <v>0</v>
      </c>
      <c r="AJ2352" s="835">
        <v>39660</v>
      </c>
      <c r="AK2352" s="831">
        <v>137736252</v>
      </c>
      <c r="AP2352" s="831" t="str">
        <f t="shared" si="109"/>
        <v/>
      </c>
    </row>
    <row r="2353" spans="2:42">
      <c r="B2353" s="834" t="str">
        <f t="shared" si="108"/>
        <v>|||</v>
      </c>
      <c r="H2353" s="835">
        <f t="shared" si="110"/>
        <v>31</v>
      </c>
      <c r="AF2353" s="831" t="s">
        <v>3050</v>
      </c>
      <c r="AG2353" s="831" t="s">
        <v>2674</v>
      </c>
      <c r="AH2353" s="831" t="s">
        <v>546</v>
      </c>
      <c r="AI2353" s="831">
        <v>0</v>
      </c>
      <c r="AJ2353" s="835">
        <v>39691</v>
      </c>
      <c r="AK2353" s="831">
        <v>155778997</v>
      </c>
      <c r="AP2353" s="831" t="str">
        <f t="shared" si="109"/>
        <v/>
      </c>
    </row>
    <row r="2354" spans="2:42">
      <c r="B2354" s="834" t="str">
        <f t="shared" si="108"/>
        <v>|||</v>
      </c>
      <c r="H2354" s="835">
        <f t="shared" si="110"/>
        <v>31</v>
      </c>
      <c r="AF2354" s="831" t="s">
        <v>3051</v>
      </c>
      <c r="AG2354" s="831" t="s">
        <v>2674</v>
      </c>
      <c r="AH2354" s="831" t="s">
        <v>370</v>
      </c>
      <c r="AI2354" s="831">
        <v>0</v>
      </c>
      <c r="AJ2354" s="835">
        <v>39691</v>
      </c>
      <c r="AK2354" s="831">
        <v>183759255</v>
      </c>
      <c r="AP2354" s="831" t="str">
        <f t="shared" si="109"/>
        <v/>
      </c>
    </row>
    <row r="2355" spans="2:42">
      <c r="B2355" s="834" t="str">
        <f t="shared" si="108"/>
        <v>|||</v>
      </c>
      <c r="H2355" s="835">
        <f t="shared" si="110"/>
        <v>31</v>
      </c>
      <c r="AF2355" s="831" t="s">
        <v>3052</v>
      </c>
      <c r="AG2355" s="831" t="s">
        <v>2674</v>
      </c>
      <c r="AH2355" s="831" t="s">
        <v>126</v>
      </c>
      <c r="AI2355" s="831">
        <v>0</v>
      </c>
      <c r="AJ2355" s="835">
        <v>39691</v>
      </c>
      <c r="AK2355" s="831">
        <v>29132004</v>
      </c>
      <c r="AP2355" s="831" t="str">
        <f t="shared" si="109"/>
        <v/>
      </c>
    </row>
    <row r="2356" spans="2:42">
      <c r="B2356" s="834" t="str">
        <f t="shared" si="108"/>
        <v>|||</v>
      </c>
      <c r="H2356" s="835">
        <f t="shared" si="110"/>
        <v>31</v>
      </c>
      <c r="AF2356" s="831" t="s">
        <v>3053</v>
      </c>
      <c r="AG2356" s="831" t="s">
        <v>2674</v>
      </c>
      <c r="AH2356" s="831" t="s">
        <v>268</v>
      </c>
      <c r="AI2356" s="831">
        <v>0</v>
      </c>
      <c r="AJ2356" s="835">
        <v>39691</v>
      </c>
      <c r="AK2356" s="831">
        <v>6288080</v>
      </c>
      <c r="AP2356" s="831" t="str">
        <f t="shared" si="109"/>
        <v/>
      </c>
    </row>
    <row r="2357" spans="2:42">
      <c r="B2357" s="834" t="str">
        <f t="shared" si="108"/>
        <v>|||</v>
      </c>
      <c r="H2357" s="835">
        <f t="shared" si="110"/>
        <v>31</v>
      </c>
      <c r="AF2357" s="831" t="s">
        <v>3054</v>
      </c>
      <c r="AG2357" s="831" t="s">
        <v>2674</v>
      </c>
      <c r="AH2357" s="831" t="s">
        <v>547</v>
      </c>
      <c r="AI2357" s="831">
        <v>0</v>
      </c>
      <c r="AJ2357" s="835">
        <v>39691</v>
      </c>
      <c r="AK2357" s="831">
        <v>0</v>
      </c>
      <c r="AP2357" s="831" t="str">
        <f t="shared" si="109"/>
        <v/>
      </c>
    </row>
    <row r="2358" spans="2:42">
      <c r="B2358" s="834" t="str">
        <f t="shared" si="108"/>
        <v>|||</v>
      </c>
      <c r="H2358" s="835">
        <f t="shared" si="110"/>
        <v>31</v>
      </c>
      <c r="AF2358" s="831" t="s">
        <v>3055</v>
      </c>
      <c r="AG2358" s="831" t="s">
        <v>2674</v>
      </c>
      <c r="AH2358" s="831" t="s">
        <v>548</v>
      </c>
      <c r="AI2358" s="831">
        <v>0</v>
      </c>
      <c r="AJ2358" s="835">
        <v>39691</v>
      </c>
      <c r="AK2358" s="831">
        <v>0</v>
      </c>
      <c r="AP2358" s="831" t="str">
        <f t="shared" si="109"/>
        <v/>
      </c>
    </row>
    <row r="2359" spans="2:42">
      <c r="B2359" s="834" t="str">
        <f t="shared" si="108"/>
        <v>|||</v>
      </c>
      <c r="H2359" s="835">
        <f t="shared" si="110"/>
        <v>31</v>
      </c>
      <c r="AF2359" s="831" t="s">
        <v>3056</v>
      </c>
      <c r="AG2359" s="831" t="s">
        <v>2674</v>
      </c>
      <c r="AH2359" s="831" t="s">
        <v>549</v>
      </c>
      <c r="AI2359" s="831">
        <v>0</v>
      </c>
      <c r="AJ2359" s="835">
        <v>39691</v>
      </c>
      <c r="AK2359" s="831">
        <v>0</v>
      </c>
      <c r="AP2359" s="831" t="str">
        <f t="shared" si="109"/>
        <v/>
      </c>
    </row>
    <row r="2360" spans="2:42">
      <c r="B2360" s="834" t="str">
        <f t="shared" si="108"/>
        <v>|||</v>
      </c>
      <c r="H2360" s="835">
        <f t="shared" si="110"/>
        <v>31</v>
      </c>
      <c r="AF2360" s="831" t="s">
        <v>3057</v>
      </c>
      <c r="AG2360" s="831" t="s">
        <v>2674</v>
      </c>
      <c r="AH2360" s="831" t="s">
        <v>192</v>
      </c>
      <c r="AI2360" s="831">
        <v>0</v>
      </c>
      <c r="AJ2360" s="835">
        <v>39691</v>
      </c>
      <c r="AK2360" s="831">
        <v>-3426372</v>
      </c>
      <c r="AP2360" s="831" t="str">
        <f t="shared" si="109"/>
        <v/>
      </c>
    </row>
    <row r="2361" spans="2:42">
      <c r="B2361" s="834" t="str">
        <f t="shared" si="108"/>
        <v>|||</v>
      </c>
      <c r="H2361" s="835">
        <f t="shared" si="110"/>
        <v>31</v>
      </c>
      <c r="AF2361" s="831" t="s">
        <v>3058</v>
      </c>
      <c r="AG2361" s="831" t="s">
        <v>2674</v>
      </c>
      <c r="AH2361" s="831" t="s">
        <v>558</v>
      </c>
      <c r="AI2361" s="831">
        <v>0</v>
      </c>
      <c r="AJ2361" s="835">
        <v>39691</v>
      </c>
      <c r="AK2361" s="831">
        <v>154627251</v>
      </c>
      <c r="AP2361" s="831" t="str">
        <f t="shared" si="109"/>
        <v/>
      </c>
    </row>
    <row r="2362" spans="2:42">
      <c r="B2362" s="834" t="str">
        <f t="shared" si="108"/>
        <v>|||</v>
      </c>
      <c r="H2362" s="835">
        <f t="shared" si="110"/>
        <v>31</v>
      </c>
      <c r="AF2362" s="831" t="s">
        <v>3059</v>
      </c>
      <c r="AG2362" s="831" t="s">
        <v>2674</v>
      </c>
      <c r="AH2362" s="831" t="s">
        <v>65</v>
      </c>
      <c r="AI2362" s="831">
        <v>0</v>
      </c>
      <c r="AJ2362" s="835">
        <v>39691</v>
      </c>
      <c r="AK2362" s="831">
        <v>28308498</v>
      </c>
      <c r="AP2362" s="831" t="str">
        <f t="shared" si="109"/>
        <v/>
      </c>
    </row>
    <row r="2363" spans="2:42">
      <c r="B2363" s="834" t="str">
        <f t="shared" si="108"/>
        <v>|||</v>
      </c>
      <c r="H2363" s="835">
        <f t="shared" si="110"/>
        <v>31</v>
      </c>
      <c r="AF2363" s="831" t="s">
        <v>3060</v>
      </c>
      <c r="AG2363" s="831" t="s">
        <v>2674</v>
      </c>
      <c r="AH2363" s="831" t="s">
        <v>89</v>
      </c>
      <c r="AI2363" s="831">
        <v>0</v>
      </c>
      <c r="AJ2363" s="835">
        <v>39691</v>
      </c>
      <c r="AK2363" s="831">
        <v>67540</v>
      </c>
      <c r="AP2363" s="831" t="str">
        <f t="shared" si="109"/>
        <v/>
      </c>
    </row>
    <row r="2364" spans="2:42">
      <c r="B2364" s="834" t="str">
        <f t="shared" si="108"/>
        <v>|||</v>
      </c>
      <c r="H2364" s="835">
        <f t="shared" si="110"/>
        <v>31</v>
      </c>
      <c r="AF2364" s="831" t="s">
        <v>3061</v>
      </c>
      <c r="AG2364" s="831" t="s">
        <v>2674</v>
      </c>
      <c r="AH2364" s="831" t="s">
        <v>557</v>
      </c>
      <c r="AI2364" s="831">
        <v>0</v>
      </c>
      <c r="AJ2364" s="835">
        <v>39691</v>
      </c>
      <c r="AK2364" s="831">
        <v>69681</v>
      </c>
      <c r="AP2364" s="831" t="str">
        <f t="shared" si="109"/>
        <v/>
      </c>
    </row>
    <row r="2365" spans="2:42">
      <c r="B2365" s="834" t="str">
        <f t="shared" si="108"/>
        <v>|||</v>
      </c>
      <c r="H2365" s="835">
        <f t="shared" si="110"/>
        <v>31</v>
      </c>
      <c r="AF2365" s="831" t="s">
        <v>3062</v>
      </c>
      <c r="AG2365" s="831" t="s">
        <v>2674</v>
      </c>
      <c r="AH2365" s="831" t="s">
        <v>29</v>
      </c>
      <c r="AI2365" s="831">
        <v>0</v>
      </c>
      <c r="AJ2365" s="835">
        <v>39691</v>
      </c>
      <c r="AK2365" s="831">
        <v>94030</v>
      </c>
      <c r="AP2365" s="831" t="str">
        <f t="shared" si="109"/>
        <v/>
      </c>
    </row>
    <row r="2366" spans="2:42">
      <c r="B2366" s="834" t="str">
        <f t="shared" si="108"/>
        <v>|||</v>
      </c>
      <c r="H2366" s="835">
        <f t="shared" si="110"/>
        <v>31</v>
      </c>
      <c r="AF2366" s="831" t="s">
        <v>3063</v>
      </c>
      <c r="AG2366" s="831" t="s">
        <v>2674</v>
      </c>
      <c r="AH2366" s="831" t="s">
        <v>2688</v>
      </c>
      <c r="AI2366" s="831">
        <v>0</v>
      </c>
      <c r="AJ2366" s="835">
        <v>39691</v>
      </c>
      <c r="AK2366" s="831">
        <v>0</v>
      </c>
      <c r="AP2366" s="831" t="str">
        <f t="shared" si="109"/>
        <v/>
      </c>
    </row>
    <row r="2367" spans="2:42">
      <c r="B2367" s="834" t="str">
        <f t="shared" si="108"/>
        <v>|||</v>
      </c>
      <c r="H2367" s="835">
        <f t="shared" si="110"/>
        <v>31</v>
      </c>
      <c r="AF2367" s="831" t="s">
        <v>3064</v>
      </c>
      <c r="AG2367" s="831" t="s">
        <v>2674</v>
      </c>
      <c r="AH2367" s="831" t="s">
        <v>556</v>
      </c>
      <c r="AI2367" s="831">
        <v>0</v>
      </c>
      <c r="AJ2367" s="835">
        <v>39691</v>
      </c>
      <c r="AK2367" s="831">
        <v>0</v>
      </c>
      <c r="AP2367" s="831" t="str">
        <f t="shared" si="109"/>
        <v/>
      </c>
    </row>
    <row r="2368" spans="2:42">
      <c r="B2368" s="834" t="str">
        <f t="shared" si="108"/>
        <v>|||</v>
      </c>
      <c r="H2368" s="835">
        <f t="shared" si="110"/>
        <v>31</v>
      </c>
      <c r="AF2368" s="831" t="s">
        <v>3065</v>
      </c>
      <c r="AG2368" s="831" t="s">
        <v>2674</v>
      </c>
      <c r="AH2368" s="831" t="s">
        <v>555</v>
      </c>
      <c r="AI2368" s="831">
        <v>0</v>
      </c>
      <c r="AJ2368" s="835">
        <v>39691</v>
      </c>
      <c r="AK2368" s="831">
        <v>137737430</v>
      </c>
      <c r="AP2368" s="831" t="str">
        <f t="shared" si="109"/>
        <v/>
      </c>
    </row>
    <row r="2369" spans="2:42">
      <c r="B2369" s="834" t="str">
        <f t="shared" si="108"/>
        <v>|||</v>
      </c>
      <c r="H2369" s="835">
        <f t="shared" si="110"/>
        <v>31</v>
      </c>
      <c r="AF2369" s="831" t="s">
        <v>3066</v>
      </c>
      <c r="AG2369" s="831" t="s">
        <v>2674</v>
      </c>
      <c r="AH2369" s="831" t="s">
        <v>554</v>
      </c>
      <c r="AI2369" s="831">
        <v>0</v>
      </c>
      <c r="AJ2369" s="835">
        <v>39691</v>
      </c>
      <c r="AK2369" s="831">
        <v>127671940</v>
      </c>
      <c r="AP2369" s="831" t="str">
        <f t="shared" si="109"/>
        <v/>
      </c>
    </row>
    <row r="2370" spans="2:42">
      <c r="B2370" s="834" t="str">
        <f t="shared" si="108"/>
        <v>|||</v>
      </c>
      <c r="H2370" s="835">
        <f t="shared" si="110"/>
        <v>31</v>
      </c>
      <c r="AF2370" s="831" t="s">
        <v>3067</v>
      </c>
      <c r="AG2370" s="831" t="s">
        <v>2674</v>
      </c>
      <c r="AH2370" s="831" t="s">
        <v>553</v>
      </c>
      <c r="AI2370" s="831">
        <v>0</v>
      </c>
      <c r="AJ2370" s="835">
        <v>39691</v>
      </c>
      <c r="AK2370" s="831">
        <v>0</v>
      </c>
      <c r="AP2370" s="831" t="str">
        <f t="shared" si="109"/>
        <v/>
      </c>
    </row>
    <row r="2371" spans="2:42">
      <c r="B2371" s="834" t="str">
        <f t="shared" ref="B2371:B2434" si="111">C2371&amp;"|"&amp;D2371&amp;"|"&amp;E2371&amp;"|"&amp;F2371</f>
        <v>|||</v>
      </c>
      <c r="H2371" s="835">
        <f t="shared" si="110"/>
        <v>31</v>
      </c>
      <c r="AF2371" s="831" t="s">
        <v>3068</v>
      </c>
      <c r="AG2371" s="831" t="s">
        <v>2674</v>
      </c>
      <c r="AH2371" s="831" t="s">
        <v>552</v>
      </c>
      <c r="AI2371" s="831">
        <v>0</v>
      </c>
      <c r="AJ2371" s="835">
        <v>39691</v>
      </c>
      <c r="AK2371" s="831">
        <v>0</v>
      </c>
      <c r="AP2371" s="831" t="str">
        <f t="shared" ref="AP2371:AP2434" si="112">IF(AX2371&lt;&gt;"",IF(OR(AX2371=3,AX2371=4),"Equity","Debt"),"")</f>
        <v/>
      </c>
    </row>
    <row r="2372" spans="2:42">
      <c r="B2372" s="834" t="str">
        <f t="shared" si="111"/>
        <v>|||</v>
      </c>
      <c r="H2372" s="835">
        <f t="shared" ref="H2372:H2435" si="113">EOMONTH(L2372,0)</f>
        <v>31</v>
      </c>
      <c r="AF2372" s="831" t="s">
        <v>3069</v>
      </c>
      <c r="AG2372" s="831" t="s">
        <v>2674</v>
      </c>
      <c r="AH2372" s="831" t="s">
        <v>551</v>
      </c>
      <c r="AI2372" s="831">
        <v>0</v>
      </c>
      <c r="AJ2372" s="835">
        <v>39691</v>
      </c>
      <c r="AK2372" s="831">
        <v>94030</v>
      </c>
      <c r="AP2372" s="831" t="str">
        <f t="shared" si="112"/>
        <v/>
      </c>
    </row>
    <row r="2373" spans="2:42">
      <c r="B2373" s="834" t="str">
        <f t="shared" si="111"/>
        <v>|||</v>
      </c>
      <c r="H2373" s="835">
        <f t="shared" si="113"/>
        <v>31</v>
      </c>
      <c r="AF2373" s="831" t="s">
        <v>3070</v>
      </c>
      <c r="AG2373" s="831" t="s">
        <v>2674</v>
      </c>
      <c r="AH2373" s="831" t="s">
        <v>550</v>
      </c>
      <c r="AI2373" s="831">
        <v>0</v>
      </c>
      <c r="AJ2373" s="835">
        <v>39691</v>
      </c>
      <c r="AK2373" s="831">
        <v>0</v>
      </c>
      <c r="AP2373" s="831" t="str">
        <f t="shared" si="112"/>
        <v/>
      </c>
    </row>
    <row r="2374" spans="2:42">
      <c r="B2374" s="834" t="str">
        <f t="shared" si="111"/>
        <v>|||</v>
      </c>
      <c r="H2374" s="835">
        <f t="shared" si="113"/>
        <v>31</v>
      </c>
      <c r="AF2374" s="831" t="s">
        <v>3071</v>
      </c>
      <c r="AG2374" s="831" t="s">
        <v>2674</v>
      </c>
      <c r="AH2374" s="831" t="s">
        <v>562</v>
      </c>
      <c r="AI2374" s="831">
        <v>0</v>
      </c>
      <c r="AJ2374" s="835">
        <v>39691</v>
      </c>
      <c r="AK2374" s="831">
        <v>0.81</v>
      </c>
      <c r="AP2374" s="831" t="str">
        <f t="shared" si="112"/>
        <v/>
      </c>
    </row>
    <row r="2375" spans="2:42">
      <c r="B2375" s="834" t="str">
        <f t="shared" si="111"/>
        <v>|||</v>
      </c>
      <c r="H2375" s="835">
        <f t="shared" si="113"/>
        <v>31</v>
      </c>
      <c r="AF2375" s="831" t="s">
        <v>3072</v>
      </c>
      <c r="AG2375" s="831" t="s">
        <v>2674</v>
      </c>
      <c r="AH2375" s="831" t="s">
        <v>2698</v>
      </c>
      <c r="AI2375" s="831">
        <v>0</v>
      </c>
      <c r="AJ2375" s="835">
        <v>39691</v>
      </c>
      <c r="AK2375" s="831">
        <v>0.81</v>
      </c>
      <c r="AP2375" s="831" t="str">
        <f t="shared" si="112"/>
        <v/>
      </c>
    </row>
    <row r="2376" spans="2:42">
      <c r="B2376" s="834" t="str">
        <f t="shared" si="111"/>
        <v>|||</v>
      </c>
      <c r="H2376" s="835">
        <f t="shared" si="113"/>
        <v>31</v>
      </c>
      <c r="AF2376" s="831" t="s">
        <v>3073</v>
      </c>
      <c r="AG2376" s="831" t="s">
        <v>2674</v>
      </c>
      <c r="AH2376" s="831" t="s">
        <v>560</v>
      </c>
      <c r="AI2376" s="831">
        <v>0</v>
      </c>
      <c r="AJ2376" s="835">
        <v>39691</v>
      </c>
      <c r="AK2376" s="831">
        <v>0.82750000000000001</v>
      </c>
      <c r="AP2376" s="831" t="str">
        <f t="shared" si="112"/>
        <v/>
      </c>
    </row>
    <row r="2377" spans="2:42">
      <c r="B2377" s="834" t="str">
        <f t="shared" si="111"/>
        <v>|||</v>
      </c>
      <c r="H2377" s="835">
        <f t="shared" si="113"/>
        <v>31</v>
      </c>
      <c r="AF2377" s="831" t="s">
        <v>3074</v>
      </c>
      <c r="AG2377" s="831" t="s">
        <v>2674</v>
      </c>
      <c r="AH2377" s="831" t="s">
        <v>559</v>
      </c>
      <c r="AI2377" s="831">
        <v>0</v>
      </c>
      <c r="AJ2377" s="835">
        <v>39691</v>
      </c>
      <c r="AK2377" s="831">
        <v>0.83499999999999996</v>
      </c>
      <c r="AP2377" s="831" t="str">
        <f t="shared" si="112"/>
        <v/>
      </c>
    </row>
    <row r="2378" spans="2:42">
      <c r="B2378" s="834" t="str">
        <f t="shared" si="111"/>
        <v>|||</v>
      </c>
      <c r="H2378" s="835">
        <f t="shared" si="113"/>
        <v>31</v>
      </c>
      <c r="AF2378" s="831" t="s">
        <v>3075</v>
      </c>
      <c r="AG2378" s="831" t="s">
        <v>2674</v>
      </c>
      <c r="AH2378" s="831" t="s">
        <v>568</v>
      </c>
      <c r="AI2378" s="831">
        <v>0</v>
      </c>
      <c r="AJ2378" s="835">
        <v>39691</v>
      </c>
      <c r="AK2378" s="831">
        <v>0</v>
      </c>
      <c r="AP2378" s="831" t="str">
        <f t="shared" si="112"/>
        <v/>
      </c>
    </row>
    <row r="2379" spans="2:42">
      <c r="B2379" s="834" t="str">
        <f t="shared" si="111"/>
        <v>|||</v>
      </c>
      <c r="H2379" s="835">
        <f t="shared" si="113"/>
        <v>31</v>
      </c>
      <c r="AF2379" s="831" t="s">
        <v>3076</v>
      </c>
      <c r="AG2379" s="831" t="s">
        <v>2674</v>
      </c>
      <c r="AH2379" s="831" t="s">
        <v>569</v>
      </c>
      <c r="AI2379" s="831">
        <v>0</v>
      </c>
      <c r="AJ2379" s="835">
        <v>39691</v>
      </c>
      <c r="AK2379" s="831">
        <v>0</v>
      </c>
      <c r="AP2379" s="831" t="str">
        <f t="shared" si="112"/>
        <v/>
      </c>
    </row>
    <row r="2380" spans="2:42">
      <c r="B2380" s="834" t="str">
        <f t="shared" si="111"/>
        <v>|||</v>
      </c>
      <c r="H2380" s="835">
        <f t="shared" si="113"/>
        <v>31</v>
      </c>
      <c r="AF2380" s="831" t="s">
        <v>3077</v>
      </c>
      <c r="AG2380" s="831" t="s">
        <v>2674</v>
      </c>
      <c r="AH2380" s="831" t="s">
        <v>570</v>
      </c>
      <c r="AI2380" s="831">
        <v>0</v>
      </c>
      <c r="AJ2380" s="835">
        <v>39691</v>
      </c>
      <c r="AK2380" s="831">
        <v>0</v>
      </c>
      <c r="AP2380" s="831" t="str">
        <f t="shared" si="112"/>
        <v/>
      </c>
    </row>
    <row r="2381" spans="2:42">
      <c r="B2381" s="834" t="str">
        <f t="shared" si="111"/>
        <v>|||</v>
      </c>
      <c r="H2381" s="835">
        <f t="shared" si="113"/>
        <v>31</v>
      </c>
      <c r="AF2381" s="831" t="s">
        <v>3078</v>
      </c>
      <c r="AG2381" s="831" t="s">
        <v>2674</v>
      </c>
      <c r="AH2381" s="831" t="s">
        <v>571</v>
      </c>
      <c r="AI2381" s="831">
        <v>0</v>
      </c>
      <c r="AJ2381" s="835">
        <v>39691</v>
      </c>
      <c r="AK2381" s="831">
        <v>0</v>
      </c>
      <c r="AP2381" s="831" t="str">
        <f t="shared" si="112"/>
        <v/>
      </c>
    </row>
    <row r="2382" spans="2:42">
      <c r="B2382" s="834" t="str">
        <f t="shared" si="111"/>
        <v>|||</v>
      </c>
      <c r="H2382" s="835">
        <f t="shared" si="113"/>
        <v>31</v>
      </c>
      <c r="AF2382" s="831" t="s">
        <v>3079</v>
      </c>
      <c r="AG2382" s="831" t="s">
        <v>2674</v>
      </c>
      <c r="AH2382" s="831" t="s">
        <v>573</v>
      </c>
      <c r="AI2382" s="831">
        <v>0</v>
      </c>
      <c r="AJ2382" s="835">
        <v>39691</v>
      </c>
      <c r="AK2382" s="831">
        <v>0</v>
      </c>
      <c r="AP2382" s="831" t="str">
        <f t="shared" si="112"/>
        <v/>
      </c>
    </row>
    <row r="2383" spans="2:42">
      <c r="B2383" s="834" t="str">
        <f t="shared" si="111"/>
        <v>|||</v>
      </c>
      <c r="H2383" s="835">
        <f t="shared" si="113"/>
        <v>31</v>
      </c>
      <c r="AF2383" s="831" t="s">
        <v>3080</v>
      </c>
      <c r="AG2383" s="831" t="s">
        <v>2674</v>
      </c>
      <c r="AH2383" s="831" t="s">
        <v>574</v>
      </c>
      <c r="AI2383" s="831">
        <v>0</v>
      </c>
      <c r="AJ2383" s="835">
        <v>39691</v>
      </c>
      <c r="AK2383" s="831">
        <v>0</v>
      </c>
      <c r="AP2383" s="831" t="str">
        <f t="shared" si="112"/>
        <v/>
      </c>
    </row>
    <row r="2384" spans="2:42">
      <c r="B2384" s="834" t="str">
        <f t="shared" si="111"/>
        <v>|||</v>
      </c>
      <c r="H2384" s="835">
        <f t="shared" si="113"/>
        <v>31</v>
      </c>
      <c r="AF2384" s="831" t="s">
        <v>3081</v>
      </c>
      <c r="AG2384" s="831" t="s">
        <v>2674</v>
      </c>
      <c r="AH2384" s="831" t="s">
        <v>575</v>
      </c>
      <c r="AI2384" s="831">
        <v>0</v>
      </c>
      <c r="AJ2384" s="835">
        <v>39691</v>
      </c>
      <c r="AK2384" s="831">
        <v>0</v>
      </c>
      <c r="AP2384" s="831" t="str">
        <f t="shared" si="112"/>
        <v/>
      </c>
    </row>
    <row r="2385" spans="2:42">
      <c r="B2385" s="834" t="str">
        <f t="shared" si="111"/>
        <v>|||</v>
      </c>
      <c r="H2385" s="835">
        <f t="shared" si="113"/>
        <v>31</v>
      </c>
      <c r="AF2385" s="831" t="s">
        <v>3082</v>
      </c>
      <c r="AG2385" s="831" t="s">
        <v>2674</v>
      </c>
      <c r="AH2385" s="831" t="s">
        <v>576</v>
      </c>
      <c r="AI2385" s="831">
        <v>0</v>
      </c>
      <c r="AJ2385" s="835">
        <v>39691</v>
      </c>
      <c r="AK2385" s="831">
        <v>0</v>
      </c>
      <c r="AP2385" s="831" t="str">
        <f t="shared" si="112"/>
        <v/>
      </c>
    </row>
    <row r="2386" spans="2:42">
      <c r="B2386" s="834" t="str">
        <f t="shared" si="111"/>
        <v>|||</v>
      </c>
      <c r="H2386" s="835">
        <f t="shared" si="113"/>
        <v>31</v>
      </c>
      <c r="AF2386" s="831" t="s">
        <v>3083</v>
      </c>
      <c r="AG2386" s="831" t="s">
        <v>2674</v>
      </c>
      <c r="AH2386" s="831" t="s">
        <v>572</v>
      </c>
      <c r="AI2386" s="831">
        <v>0</v>
      </c>
      <c r="AJ2386" s="835">
        <v>39691</v>
      </c>
      <c r="AK2386" s="831">
        <v>0</v>
      </c>
      <c r="AP2386" s="831" t="str">
        <f t="shared" si="112"/>
        <v/>
      </c>
    </row>
    <row r="2387" spans="2:42">
      <c r="B2387" s="834" t="str">
        <f t="shared" si="111"/>
        <v>|||</v>
      </c>
      <c r="H2387" s="835">
        <f t="shared" si="113"/>
        <v>31</v>
      </c>
      <c r="AF2387" s="831" t="s">
        <v>3084</v>
      </c>
      <c r="AG2387" s="831" t="s">
        <v>2674</v>
      </c>
      <c r="AH2387" s="831" t="s">
        <v>577</v>
      </c>
      <c r="AI2387" s="831">
        <v>0</v>
      </c>
      <c r="AJ2387" s="835">
        <v>39691</v>
      </c>
      <c r="AK2387" s="831">
        <v>0</v>
      </c>
      <c r="AP2387" s="831" t="str">
        <f t="shared" si="112"/>
        <v/>
      </c>
    </row>
    <row r="2388" spans="2:42">
      <c r="B2388" s="834" t="str">
        <f t="shared" si="111"/>
        <v>|||</v>
      </c>
      <c r="H2388" s="835">
        <f t="shared" si="113"/>
        <v>31</v>
      </c>
      <c r="AF2388" s="831" t="s">
        <v>3085</v>
      </c>
      <c r="AG2388" s="831" t="s">
        <v>2674</v>
      </c>
      <c r="AH2388" s="831" t="s">
        <v>3042</v>
      </c>
      <c r="AI2388" s="831">
        <v>0</v>
      </c>
      <c r="AJ2388" s="835">
        <v>39691</v>
      </c>
      <c r="AK2388" s="831">
        <v>0</v>
      </c>
      <c r="AP2388" s="831" t="str">
        <f t="shared" si="112"/>
        <v/>
      </c>
    </row>
    <row r="2389" spans="2:42">
      <c r="B2389" s="834" t="str">
        <f t="shared" si="111"/>
        <v>|||</v>
      </c>
      <c r="H2389" s="835">
        <f t="shared" si="113"/>
        <v>31</v>
      </c>
      <c r="AF2389" s="831" t="s">
        <v>3086</v>
      </c>
      <c r="AG2389" s="831" t="s">
        <v>2674</v>
      </c>
      <c r="AH2389" s="831" t="s">
        <v>3044</v>
      </c>
      <c r="AI2389" s="831">
        <v>0</v>
      </c>
      <c r="AJ2389" s="835">
        <v>39691</v>
      </c>
      <c r="AK2389" s="831">
        <v>0</v>
      </c>
      <c r="AP2389" s="831" t="str">
        <f t="shared" si="112"/>
        <v/>
      </c>
    </row>
    <row r="2390" spans="2:42">
      <c r="B2390" s="834" t="str">
        <f t="shared" si="111"/>
        <v>|||</v>
      </c>
      <c r="H2390" s="835">
        <f t="shared" si="113"/>
        <v>31</v>
      </c>
      <c r="AF2390" s="831" t="s">
        <v>3087</v>
      </c>
      <c r="AG2390" s="831" t="s">
        <v>2674</v>
      </c>
      <c r="AH2390" s="831" t="s">
        <v>580</v>
      </c>
      <c r="AI2390" s="831">
        <v>0</v>
      </c>
      <c r="AJ2390" s="835">
        <v>39691</v>
      </c>
      <c r="AK2390" s="831">
        <v>0</v>
      </c>
      <c r="AP2390" s="831" t="str">
        <f t="shared" si="112"/>
        <v/>
      </c>
    </row>
    <row r="2391" spans="2:42">
      <c r="B2391" s="834" t="str">
        <f t="shared" si="111"/>
        <v>|||</v>
      </c>
      <c r="H2391" s="835">
        <f t="shared" si="113"/>
        <v>31</v>
      </c>
      <c r="AF2391" s="831" t="s">
        <v>3088</v>
      </c>
      <c r="AG2391" s="831" t="s">
        <v>2674</v>
      </c>
      <c r="AH2391" s="831" t="s">
        <v>581</v>
      </c>
      <c r="AI2391" s="831">
        <v>0</v>
      </c>
      <c r="AJ2391" s="835">
        <v>39691</v>
      </c>
      <c r="AK2391" s="831">
        <v>0</v>
      </c>
      <c r="AP2391" s="831" t="str">
        <f t="shared" si="112"/>
        <v/>
      </c>
    </row>
    <row r="2392" spans="2:42">
      <c r="B2392" s="834" t="str">
        <f t="shared" si="111"/>
        <v>|||</v>
      </c>
      <c r="H2392" s="835">
        <f t="shared" si="113"/>
        <v>31</v>
      </c>
      <c r="AF2392" s="831" t="s">
        <v>3089</v>
      </c>
      <c r="AG2392" s="831" t="s">
        <v>2674</v>
      </c>
      <c r="AH2392" s="831" t="s">
        <v>105</v>
      </c>
      <c r="AI2392" s="831">
        <v>0</v>
      </c>
      <c r="AJ2392" s="835">
        <v>39691</v>
      </c>
      <c r="AK2392" s="831">
        <v>124926118</v>
      </c>
      <c r="AP2392" s="831" t="str">
        <f t="shared" si="112"/>
        <v/>
      </c>
    </row>
    <row r="2393" spans="2:42">
      <c r="B2393" s="834" t="str">
        <f t="shared" si="111"/>
        <v>|||</v>
      </c>
      <c r="H2393" s="835">
        <f t="shared" si="113"/>
        <v>31</v>
      </c>
      <c r="AF2393" s="831" t="s">
        <v>3090</v>
      </c>
      <c r="AG2393" s="831" t="s">
        <v>2674</v>
      </c>
      <c r="AH2393" s="831" t="s">
        <v>3049</v>
      </c>
      <c r="AI2393" s="831">
        <v>0</v>
      </c>
      <c r="AJ2393" s="835">
        <v>39691</v>
      </c>
      <c r="AK2393" s="831">
        <v>150018449</v>
      </c>
      <c r="AP2393" s="831" t="str">
        <f t="shared" si="112"/>
        <v/>
      </c>
    </row>
    <row r="2394" spans="2:42">
      <c r="B2394" s="834" t="str">
        <f t="shared" si="111"/>
        <v>|||</v>
      </c>
      <c r="H2394" s="835">
        <f t="shared" si="113"/>
        <v>31</v>
      </c>
      <c r="AF2394" s="831" t="s">
        <v>3091</v>
      </c>
      <c r="AG2394" s="831" t="s">
        <v>2674</v>
      </c>
      <c r="AH2394" s="831" t="s">
        <v>546</v>
      </c>
      <c r="AI2394" s="831">
        <v>0</v>
      </c>
      <c r="AJ2394" s="835">
        <v>39721</v>
      </c>
      <c r="AK2394" s="831">
        <v>159890794</v>
      </c>
      <c r="AP2394" s="831" t="str">
        <f t="shared" si="112"/>
        <v/>
      </c>
    </row>
    <row r="2395" spans="2:42">
      <c r="B2395" s="834" t="str">
        <f t="shared" si="111"/>
        <v>|||</v>
      </c>
      <c r="H2395" s="835">
        <f t="shared" si="113"/>
        <v>31</v>
      </c>
      <c r="AF2395" s="831" t="s">
        <v>3092</v>
      </c>
      <c r="AG2395" s="831" t="s">
        <v>2674</v>
      </c>
      <c r="AH2395" s="831" t="s">
        <v>370</v>
      </c>
      <c r="AI2395" s="831">
        <v>0</v>
      </c>
      <c r="AJ2395" s="835">
        <v>39721</v>
      </c>
      <c r="AK2395" s="831">
        <v>182735704</v>
      </c>
      <c r="AP2395" s="831" t="str">
        <f t="shared" si="112"/>
        <v/>
      </c>
    </row>
    <row r="2396" spans="2:42">
      <c r="B2396" s="834" t="str">
        <f t="shared" si="111"/>
        <v>|||</v>
      </c>
      <c r="H2396" s="835">
        <f t="shared" si="113"/>
        <v>31</v>
      </c>
      <c r="AF2396" s="831" t="s">
        <v>3093</v>
      </c>
      <c r="AG2396" s="831" t="s">
        <v>2674</v>
      </c>
      <c r="AH2396" s="831" t="s">
        <v>126</v>
      </c>
      <c r="AI2396" s="831">
        <v>0</v>
      </c>
      <c r="AJ2396" s="835">
        <v>39721</v>
      </c>
      <c r="AK2396" s="831">
        <v>30123467</v>
      </c>
      <c r="AP2396" s="831" t="str">
        <f t="shared" si="112"/>
        <v/>
      </c>
    </row>
    <row r="2397" spans="2:42">
      <c r="B2397" s="834" t="str">
        <f t="shared" si="111"/>
        <v>|||</v>
      </c>
      <c r="H2397" s="835">
        <f t="shared" si="113"/>
        <v>31</v>
      </c>
      <c r="AF2397" s="831" t="s">
        <v>3094</v>
      </c>
      <c r="AG2397" s="831" t="s">
        <v>2674</v>
      </c>
      <c r="AH2397" s="831" t="s">
        <v>268</v>
      </c>
      <c r="AI2397" s="831">
        <v>0</v>
      </c>
      <c r="AJ2397" s="835">
        <v>39721</v>
      </c>
      <c r="AK2397" s="831">
        <v>7279543</v>
      </c>
      <c r="AP2397" s="831" t="str">
        <f t="shared" si="112"/>
        <v/>
      </c>
    </row>
    <row r="2398" spans="2:42">
      <c r="B2398" s="834" t="str">
        <f t="shared" si="111"/>
        <v>|||</v>
      </c>
      <c r="H2398" s="835">
        <f t="shared" si="113"/>
        <v>31</v>
      </c>
      <c r="AF2398" s="831" t="s">
        <v>3095</v>
      </c>
      <c r="AG2398" s="831" t="s">
        <v>2674</v>
      </c>
      <c r="AH2398" s="831" t="s">
        <v>547</v>
      </c>
      <c r="AI2398" s="831">
        <v>0</v>
      </c>
      <c r="AJ2398" s="835">
        <v>39721</v>
      </c>
      <c r="AK2398" s="831">
        <v>0</v>
      </c>
      <c r="AP2398" s="831" t="str">
        <f t="shared" si="112"/>
        <v/>
      </c>
    </row>
    <row r="2399" spans="2:42">
      <c r="B2399" s="834" t="str">
        <f t="shared" si="111"/>
        <v>|||</v>
      </c>
      <c r="H2399" s="835">
        <f t="shared" si="113"/>
        <v>31</v>
      </c>
      <c r="AF2399" s="831" t="s">
        <v>3096</v>
      </c>
      <c r="AG2399" s="831" t="s">
        <v>2674</v>
      </c>
      <c r="AH2399" s="831" t="s">
        <v>548</v>
      </c>
      <c r="AI2399" s="831">
        <v>0</v>
      </c>
      <c r="AJ2399" s="835">
        <v>39721</v>
      </c>
      <c r="AK2399" s="831">
        <v>0</v>
      </c>
      <c r="AP2399" s="831" t="str">
        <f t="shared" si="112"/>
        <v/>
      </c>
    </row>
    <row r="2400" spans="2:42">
      <c r="B2400" s="834" t="str">
        <f t="shared" si="111"/>
        <v>|||</v>
      </c>
      <c r="H2400" s="835">
        <f t="shared" si="113"/>
        <v>31</v>
      </c>
      <c r="AF2400" s="831" t="s">
        <v>3097</v>
      </c>
      <c r="AG2400" s="831" t="s">
        <v>2674</v>
      </c>
      <c r="AH2400" s="831" t="s">
        <v>549</v>
      </c>
      <c r="AI2400" s="831">
        <v>0</v>
      </c>
      <c r="AJ2400" s="835">
        <v>39721</v>
      </c>
      <c r="AK2400" s="831">
        <v>0</v>
      </c>
      <c r="AP2400" s="831" t="str">
        <f t="shared" si="112"/>
        <v/>
      </c>
    </row>
    <row r="2401" spans="2:42">
      <c r="B2401" s="834" t="str">
        <f t="shared" si="111"/>
        <v>|||</v>
      </c>
      <c r="H2401" s="835">
        <f t="shared" si="113"/>
        <v>31</v>
      </c>
      <c r="AF2401" s="831" t="s">
        <v>3098</v>
      </c>
      <c r="AG2401" s="831" t="s">
        <v>2674</v>
      </c>
      <c r="AH2401" s="831" t="s">
        <v>192</v>
      </c>
      <c r="AI2401" s="831">
        <v>0</v>
      </c>
      <c r="AJ2401" s="835">
        <v>39721</v>
      </c>
      <c r="AK2401" s="831">
        <v>-3548852</v>
      </c>
      <c r="AP2401" s="831" t="str">
        <f t="shared" si="112"/>
        <v/>
      </c>
    </row>
    <row r="2402" spans="2:42">
      <c r="B2402" s="834" t="str">
        <f t="shared" si="111"/>
        <v>|||</v>
      </c>
      <c r="H2402" s="835">
        <f t="shared" si="113"/>
        <v>31</v>
      </c>
      <c r="AF2402" s="831" t="s">
        <v>3099</v>
      </c>
      <c r="AG2402" s="831" t="s">
        <v>2674</v>
      </c>
      <c r="AH2402" s="831" t="s">
        <v>558</v>
      </c>
      <c r="AI2402" s="831">
        <v>0</v>
      </c>
      <c r="AJ2402" s="835">
        <v>39721</v>
      </c>
      <c r="AK2402" s="831">
        <v>152612237</v>
      </c>
      <c r="AP2402" s="831" t="str">
        <f t="shared" si="112"/>
        <v/>
      </c>
    </row>
    <row r="2403" spans="2:42">
      <c r="B2403" s="834" t="str">
        <f t="shared" si="111"/>
        <v>|||</v>
      </c>
      <c r="H2403" s="835">
        <f t="shared" si="113"/>
        <v>31</v>
      </c>
      <c r="AF2403" s="831" t="s">
        <v>3100</v>
      </c>
      <c r="AG2403" s="831" t="s">
        <v>2674</v>
      </c>
      <c r="AH2403" s="831" t="s">
        <v>65</v>
      </c>
      <c r="AI2403" s="831">
        <v>0</v>
      </c>
      <c r="AJ2403" s="835">
        <v>39721</v>
      </c>
      <c r="AK2403" s="831">
        <v>32304825</v>
      </c>
      <c r="AP2403" s="831" t="str">
        <f t="shared" si="112"/>
        <v/>
      </c>
    </row>
    <row r="2404" spans="2:42">
      <c r="B2404" s="834" t="str">
        <f t="shared" si="111"/>
        <v>|||</v>
      </c>
      <c r="H2404" s="835">
        <f t="shared" si="113"/>
        <v>31</v>
      </c>
      <c r="AF2404" s="831" t="s">
        <v>3101</v>
      </c>
      <c r="AG2404" s="831" t="s">
        <v>2674</v>
      </c>
      <c r="AH2404" s="831" t="s">
        <v>89</v>
      </c>
      <c r="AI2404" s="831">
        <v>0</v>
      </c>
      <c r="AJ2404" s="835">
        <v>39721</v>
      </c>
      <c r="AK2404" s="831">
        <v>68049</v>
      </c>
      <c r="AP2404" s="831" t="str">
        <f t="shared" si="112"/>
        <v/>
      </c>
    </row>
    <row r="2405" spans="2:42">
      <c r="B2405" s="834" t="str">
        <f t="shared" si="111"/>
        <v>|||</v>
      </c>
      <c r="H2405" s="835">
        <f t="shared" si="113"/>
        <v>31</v>
      </c>
      <c r="AF2405" s="831" t="s">
        <v>3102</v>
      </c>
      <c r="AG2405" s="831" t="s">
        <v>2674</v>
      </c>
      <c r="AH2405" s="831" t="s">
        <v>557</v>
      </c>
      <c r="AI2405" s="831">
        <v>0</v>
      </c>
      <c r="AJ2405" s="835">
        <v>39721</v>
      </c>
      <c r="AK2405" s="831">
        <v>70109</v>
      </c>
      <c r="AP2405" s="831" t="str">
        <f t="shared" si="112"/>
        <v/>
      </c>
    </row>
    <row r="2406" spans="2:42">
      <c r="B2406" s="834" t="str">
        <f t="shared" si="111"/>
        <v>|||</v>
      </c>
      <c r="H2406" s="835">
        <f t="shared" si="113"/>
        <v>31</v>
      </c>
      <c r="AF2406" s="831" t="s">
        <v>3103</v>
      </c>
      <c r="AG2406" s="831" t="s">
        <v>2674</v>
      </c>
      <c r="AH2406" s="831" t="s">
        <v>29</v>
      </c>
      <c r="AI2406" s="831">
        <v>0</v>
      </c>
      <c r="AJ2406" s="835">
        <v>39721</v>
      </c>
      <c r="AK2406" s="831">
        <v>137040</v>
      </c>
      <c r="AP2406" s="831" t="str">
        <f t="shared" si="112"/>
        <v/>
      </c>
    </row>
    <row r="2407" spans="2:42">
      <c r="B2407" s="834" t="str">
        <f t="shared" si="111"/>
        <v>|||</v>
      </c>
      <c r="H2407" s="835">
        <f t="shared" si="113"/>
        <v>31</v>
      </c>
      <c r="AF2407" s="831" t="s">
        <v>3104</v>
      </c>
      <c r="AG2407" s="831" t="s">
        <v>2674</v>
      </c>
      <c r="AH2407" s="831" t="s">
        <v>2688</v>
      </c>
      <c r="AI2407" s="831">
        <v>0</v>
      </c>
      <c r="AJ2407" s="835">
        <v>39721</v>
      </c>
      <c r="AK2407" s="831">
        <v>126840</v>
      </c>
      <c r="AP2407" s="831" t="str">
        <f t="shared" si="112"/>
        <v/>
      </c>
    </row>
    <row r="2408" spans="2:42">
      <c r="B2408" s="834" t="str">
        <f t="shared" si="111"/>
        <v>|||</v>
      </c>
      <c r="H2408" s="835">
        <f t="shared" si="113"/>
        <v>31</v>
      </c>
      <c r="AF2408" s="831" t="s">
        <v>3105</v>
      </c>
      <c r="AG2408" s="831" t="s">
        <v>2674</v>
      </c>
      <c r="AH2408" s="831" t="s">
        <v>556</v>
      </c>
      <c r="AI2408" s="831">
        <v>0</v>
      </c>
      <c r="AJ2408" s="835">
        <v>39721</v>
      </c>
      <c r="AK2408" s="831">
        <v>0</v>
      </c>
      <c r="AP2408" s="831" t="str">
        <f t="shared" si="112"/>
        <v/>
      </c>
    </row>
    <row r="2409" spans="2:42">
      <c r="B2409" s="834" t="str">
        <f t="shared" si="111"/>
        <v>|||</v>
      </c>
      <c r="H2409" s="835">
        <f t="shared" si="113"/>
        <v>31</v>
      </c>
      <c r="AF2409" s="831" t="s">
        <v>3106</v>
      </c>
      <c r="AG2409" s="831" t="s">
        <v>2674</v>
      </c>
      <c r="AH2409" s="831" t="s">
        <v>555</v>
      </c>
      <c r="AI2409" s="831">
        <v>0</v>
      </c>
      <c r="AJ2409" s="835">
        <v>39721</v>
      </c>
      <c r="AK2409" s="831">
        <v>134426590</v>
      </c>
      <c r="AP2409" s="831" t="str">
        <f t="shared" si="112"/>
        <v/>
      </c>
    </row>
    <row r="2410" spans="2:42">
      <c r="B2410" s="834" t="str">
        <f t="shared" si="111"/>
        <v>|||</v>
      </c>
      <c r="H2410" s="835">
        <f t="shared" si="113"/>
        <v>31</v>
      </c>
      <c r="AF2410" s="831" t="s">
        <v>3107</v>
      </c>
      <c r="AG2410" s="831" t="s">
        <v>2674</v>
      </c>
      <c r="AH2410" s="831" t="s">
        <v>554</v>
      </c>
      <c r="AI2410" s="831">
        <v>0</v>
      </c>
      <c r="AJ2410" s="835">
        <v>39721</v>
      </c>
      <c r="AK2410" s="831">
        <v>127733780</v>
      </c>
      <c r="AP2410" s="831" t="str">
        <f t="shared" si="112"/>
        <v/>
      </c>
    </row>
    <row r="2411" spans="2:42">
      <c r="B2411" s="834" t="str">
        <f t="shared" si="111"/>
        <v>|||</v>
      </c>
      <c r="H2411" s="835">
        <f t="shared" si="113"/>
        <v>31</v>
      </c>
      <c r="AF2411" s="831" t="s">
        <v>3108</v>
      </c>
      <c r="AG2411" s="831" t="s">
        <v>2674</v>
      </c>
      <c r="AH2411" s="831" t="s">
        <v>553</v>
      </c>
      <c r="AI2411" s="831">
        <v>0</v>
      </c>
      <c r="AJ2411" s="835">
        <v>39721</v>
      </c>
      <c r="AK2411" s="831">
        <v>0</v>
      </c>
      <c r="AP2411" s="831" t="str">
        <f t="shared" si="112"/>
        <v/>
      </c>
    </row>
    <row r="2412" spans="2:42">
      <c r="B2412" s="834" t="str">
        <f t="shared" si="111"/>
        <v>|||</v>
      </c>
      <c r="H2412" s="835">
        <f t="shared" si="113"/>
        <v>31</v>
      </c>
      <c r="AF2412" s="831" t="s">
        <v>3109</v>
      </c>
      <c r="AG2412" s="831" t="s">
        <v>2674</v>
      </c>
      <c r="AH2412" s="831" t="s">
        <v>552</v>
      </c>
      <c r="AI2412" s="831">
        <v>0</v>
      </c>
      <c r="AJ2412" s="835">
        <v>39721</v>
      </c>
      <c r="AK2412" s="831">
        <v>0</v>
      </c>
      <c r="AP2412" s="831" t="str">
        <f t="shared" si="112"/>
        <v/>
      </c>
    </row>
    <row r="2413" spans="2:42">
      <c r="B2413" s="834" t="str">
        <f t="shared" si="111"/>
        <v>|||</v>
      </c>
      <c r="H2413" s="835">
        <f t="shared" si="113"/>
        <v>31</v>
      </c>
      <c r="AF2413" s="831" t="s">
        <v>3110</v>
      </c>
      <c r="AG2413" s="831" t="s">
        <v>2674</v>
      </c>
      <c r="AH2413" s="831" t="s">
        <v>551</v>
      </c>
      <c r="AI2413" s="831">
        <v>0</v>
      </c>
      <c r="AJ2413" s="835">
        <v>39721</v>
      </c>
      <c r="AK2413" s="831">
        <v>137040</v>
      </c>
      <c r="AP2413" s="831" t="str">
        <f t="shared" si="112"/>
        <v/>
      </c>
    </row>
    <row r="2414" spans="2:42">
      <c r="B2414" s="834" t="str">
        <f t="shared" si="111"/>
        <v>|||</v>
      </c>
      <c r="H2414" s="835">
        <f t="shared" si="113"/>
        <v>31</v>
      </c>
      <c r="AF2414" s="831" t="s">
        <v>3111</v>
      </c>
      <c r="AG2414" s="831" t="s">
        <v>2674</v>
      </c>
      <c r="AH2414" s="831" t="s">
        <v>550</v>
      </c>
      <c r="AI2414" s="831">
        <v>0</v>
      </c>
      <c r="AJ2414" s="835">
        <v>39721</v>
      </c>
      <c r="AK2414" s="831">
        <v>0</v>
      </c>
      <c r="AP2414" s="831" t="str">
        <f t="shared" si="112"/>
        <v/>
      </c>
    </row>
    <row r="2415" spans="2:42">
      <c r="B2415" s="834" t="str">
        <f t="shared" si="111"/>
        <v>|||</v>
      </c>
      <c r="H2415" s="835">
        <f t="shared" si="113"/>
        <v>31</v>
      </c>
      <c r="AF2415" s="831" t="s">
        <v>3112</v>
      </c>
      <c r="AG2415" s="831" t="s">
        <v>2674</v>
      </c>
      <c r="AH2415" s="831" t="s">
        <v>562</v>
      </c>
      <c r="AI2415" s="831">
        <v>0</v>
      </c>
      <c r="AJ2415" s="835">
        <v>39721</v>
      </c>
      <c r="AK2415" s="831">
        <v>0.81</v>
      </c>
      <c r="AP2415" s="831" t="str">
        <f t="shared" si="112"/>
        <v/>
      </c>
    </row>
    <row r="2416" spans="2:42">
      <c r="B2416" s="834" t="str">
        <f t="shared" si="111"/>
        <v>|||</v>
      </c>
      <c r="H2416" s="835">
        <f t="shared" si="113"/>
        <v>31</v>
      </c>
      <c r="AF2416" s="831" t="s">
        <v>3113</v>
      </c>
      <c r="AG2416" s="831" t="s">
        <v>2674</v>
      </c>
      <c r="AH2416" s="831" t="s">
        <v>2698</v>
      </c>
      <c r="AI2416" s="831">
        <v>0</v>
      </c>
      <c r="AJ2416" s="835">
        <v>39721</v>
      </c>
      <c r="AK2416" s="831">
        <v>0.81</v>
      </c>
      <c r="AP2416" s="831" t="str">
        <f t="shared" si="112"/>
        <v/>
      </c>
    </row>
    <row r="2417" spans="2:42">
      <c r="B2417" s="834" t="str">
        <f t="shared" si="111"/>
        <v>|||</v>
      </c>
      <c r="H2417" s="835">
        <f t="shared" si="113"/>
        <v>31</v>
      </c>
      <c r="AF2417" s="831" t="s">
        <v>3114</v>
      </c>
      <c r="AG2417" s="831" t="s">
        <v>2674</v>
      </c>
      <c r="AH2417" s="831" t="s">
        <v>560</v>
      </c>
      <c r="AI2417" s="831">
        <v>0</v>
      </c>
      <c r="AJ2417" s="835">
        <v>39721</v>
      </c>
      <c r="AK2417" s="831">
        <v>0.82555555555555504</v>
      </c>
      <c r="AP2417" s="831" t="str">
        <f t="shared" si="112"/>
        <v/>
      </c>
    </row>
    <row r="2418" spans="2:42">
      <c r="B2418" s="834" t="str">
        <f t="shared" si="111"/>
        <v>|||</v>
      </c>
      <c r="H2418" s="835">
        <f t="shared" si="113"/>
        <v>31</v>
      </c>
      <c r="AF2418" s="831" t="s">
        <v>3115</v>
      </c>
      <c r="AG2418" s="831" t="s">
        <v>2674</v>
      </c>
      <c r="AH2418" s="831" t="s">
        <v>559</v>
      </c>
      <c r="AI2418" s="831">
        <v>0</v>
      </c>
      <c r="AJ2418" s="835">
        <v>39721</v>
      </c>
      <c r="AK2418" s="831">
        <v>0.831666666666667</v>
      </c>
      <c r="AP2418" s="831" t="str">
        <f t="shared" si="112"/>
        <v/>
      </c>
    </row>
    <row r="2419" spans="2:42">
      <c r="B2419" s="834" t="str">
        <f t="shared" si="111"/>
        <v>|||</v>
      </c>
      <c r="H2419" s="835">
        <f t="shared" si="113"/>
        <v>31</v>
      </c>
      <c r="AF2419" s="831" t="s">
        <v>3116</v>
      </c>
      <c r="AG2419" s="831" t="s">
        <v>2674</v>
      </c>
      <c r="AH2419" s="831" t="s">
        <v>568</v>
      </c>
      <c r="AI2419" s="831">
        <v>0</v>
      </c>
      <c r="AJ2419" s="835">
        <v>39721</v>
      </c>
      <c r="AK2419" s="831">
        <v>0</v>
      </c>
      <c r="AP2419" s="831" t="str">
        <f t="shared" si="112"/>
        <v/>
      </c>
    </row>
    <row r="2420" spans="2:42">
      <c r="B2420" s="834" t="str">
        <f t="shared" si="111"/>
        <v>|||</v>
      </c>
      <c r="H2420" s="835">
        <f t="shared" si="113"/>
        <v>31</v>
      </c>
      <c r="AF2420" s="831" t="s">
        <v>3117</v>
      </c>
      <c r="AG2420" s="831" t="s">
        <v>2674</v>
      </c>
      <c r="AH2420" s="831" t="s">
        <v>569</v>
      </c>
      <c r="AI2420" s="831">
        <v>0</v>
      </c>
      <c r="AJ2420" s="835">
        <v>39721</v>
      </c>
      <c r="AK2420" s="831">
        <v>0</v>
      </c>
      <c r="AP2420" s="831" t="str">
        <f t="shared" si="112"/>
        <v/>
      </c>
    </row>
    <row r="2421" spans="2:42">
      <c r="B2421" s="834" t="str">
        <f t="shared" si="111"/>
        <v>|||</v>
      </c>
      <c r="H2421" s="835">
        <f t="shared" si="113"/>
        <v>31</v>
      </c>
      <c r="AF2421" s="831" t="s">
        <v>3118</v>
      </c>
      <c r="AG2421" s="831" t="s">
        <v>2674</v>
      </c>
      <c r="AH2421" s="831" t="s">
        <v>570</v>
      </c>
      <c r="AI2421" s="831">
        <v>0</v>
      </c>
      <c r="AJ2421" s="835">
        <v>39721</v>
      </c>
      <c r="AK2421" s="831">
        <v>0</v>
      </c>
      <c r="AP2421" s="831" t="str">
        <f t="shared" si="112"/>
        <v/>
      </c>
    </row>
    <row r="2422" spans="2:42">
      <c r="B2422" s="834" t="str">
        <f t="shared" si="111"/>
        <v>|||</v>
      </c>
      <c r="H2422" s="835">
        <f t="shared" si="113"/>
        <v>31</v>
      </c>
      <c r="AF2422" s="831" t="s">
        <v>3119</v>
      </c>
      <c r="AG2422" s="831" t="s">
        <v>2674</v>
      </c>
      <c r="AH2422" s="831" t="s">
        <v>571</v>
      </c>
      <c r="AI2422" s="831">
        <v>0</v>
      </c>
      <c r="AJ2422" s="835">
        <v>39721</v>
      </c>
      <c r="AK2422" s="831">
        <v>0</v>
      </c>
      <c r="AP2422" s="831" t="str">
        <f t="shared" si="112"/>
        <v/>
      </c>
    </row>
    <row r="2423" spans="2:42">
      <c r="B2423" s="834" t="str">
        <f t="shared" si="111"/>
        <v>|||</v>
      </c>
      <c r="H2423" s="835">
        <f t="shared" si="113"/>
        <v>31</v>
      </c>
      <c r="AF2423" s="831" t="s">
        <v>3120</v>
      </c>
      <c r="AG2423" s="831" t="s">
        <v>2674</v>
      </c>
      <c r="AH2423" s="831" t="s">
        <v>573</v>
      </c>
      <c r="AI2423" s="831">
        <v>0</v>
      </c>
      <c r="AJ2423" s="835">
        <v>39721</v>
      </c>
      <c r="AK2423" s="831">
        <v>0</v>
      </c>
      <c r="AP2423" s="831" t="str">
        <f t="shared" si="112"/>
        <v/>
      </c>
    </row>
    <row r="2424" spans="2:42">
      <c r="B2424" s="834" t="str">
        <f t="shared" si="111"/>
        <v>|||</v>
      </c>
      <c r="H2424" s="835">
        <f t="shared" si="113"/>
        <v>31</v>
      </c>
      <c r="AF2424" s="831" t="s">
        <v>3121</v>
      </c>
      <c r="AG2424" s="831" t="s">
        <v>2674</v>
      </c>
      <c r="AH2424" s="831" t="s">
        <v>574</v>
      </c>
      <c r="AI2424" s="831">
        <v>0</v>
      </c>
      <c r="AJ2424" s="835">
        <v>39721</v>
      </c>
      <c r="AK2424" s="831">
        <v>0</v>
      </c>
      <c r="AP2424" s="831" t="str">
        <f t="shared" si="112"/>
        <v/>
      </c>
    </row>
    <row r="2425" spans="2:42">
      <c r="B2425" s="834" t="str">
        <f t="shared" si="111"/>
        <v>|||</v>
      </c>
      <c r="H2425" s="835">
        <f t="shared" si="113"/>
        <v>31</v>
      </c>
      <c r="AF2425" s="831" t="s">
        <v>3122</v>
      </c>
      <c r="AG2425" s="831" t="s">
        <v>2674</v>
      </c>
      <c r="AH2425" s="831" t="s">
        <v>575</v>
      </c>
      <c r="AI2425" s="831">
        <v>0</v>
      </c>
      <c r="AJ2425" s="835">
        <v>39721</v>
      </c>
      <c r="AK2425" s="831">
        <v>0</v>
      </c>
      <c r="AP2425" s="831" t="str">
        <f t="shared" si="112"/>
        <v/>
      </c>
    </row>
    <row r="2426" spans="2:42">
      <c r="B2426" s="834" t="str">
        <f t="shared" si="111"/>
        <v>|||</v>
      </c>
      <c r="H2426" s="835">
        <f t="shared" si="113"/>
        <v>31</v>
      </c>
      <c r="AF2426" s="831" t="s">
        <v>3123</v>
      </c>
      <c r="AG2426" s="831" t="s">
        <v>2674</v>
      </c>
      <c r="AH2426" s="831" t="s">
        <v>576</v>
      </c>
      <c r="AI2426" s="831">
        <v>0</v>
      </c>
      <c r="AJ2426" s="835">
        <v>39721</v>
      </c>
      <c r="AK2426" s="831">
        <v>0</v>
      </c>
      <c r="AP2426" s="831" t="str">
        <f t="shared" si="112"/>
        <v/>
      </c>
    </row>
    <row r="2427" spans="2:42">
      <c r="B2427" s="834" t="str">
        <f t="shared" si="111"/>
        <v>|||</v>
      </c>
      <c r="H2427" s="835">
        <f t="shared" si="113"/>
        <v>31</v>
      </c>
      <c r="AF2427" s="831" t="s">
        <v>3124</v>
      </c>
      <c r="AG2427" s="831" t="s">
        <v>2674</v>
      </c>
      <c r="AH2427" s="831" t="s">
        <v>572</v>
      </c>
      <c r="AI2427" s="831">
        <v>0</v>
      </c>
      <c r="AJ2427" s="835">
        <v>39721</v>
      </c>
      <c r="AK2427" s="831">
        <v>0</v>
      </c>
      <c r="AP2427" s="831" t="str">
        <f t="shared" si="112"/>
        <v/>
      </c>
    </row>
    <row r="2428" spans="2:42">
      <c r="B2428" s="834" t="str">
        <f t="shared" si="111"/>
        <v>|||</v>
      </c>
      <c r="H2428" s="835">
        <f t="shared" si="113"/>
        <v>31</v>
      </c>
      <c r="AF2428" s="831" t="s">
        <v>3125</v>
      </c>
      <c r="AG2428" s="831" t="s">
        <v>2674</v>
      </c>
      <c r="AH2428" s="831" t="s">
        <v>577</v>
      </c>
      <c r="AI2428" s="831">
        <v>0</v>
      </c>
      <c r="AJ2428" s="835">
        <v>39721</v>
      </c>
      <c r="AK2428" s="831">
        <v>0</v>
      </c>
      <c r="AP2428" s="831" t="str">
        <f t="shared" si="112"/>
        <v/>
      </c>
    </row>
    <row r="2429" spans="2:42">
      <c r="B2429" s="834" t="str">
        <f t="shared" si="111"/>
        <v>|||</v>
      </c>
      <c r="H2429" s="835">
        <f t="shared" si="113"/>
        <v>31</v>
      </c>
      <c r="AF2429" s="831" t="s">
        <v>3126</v>
      </c>
      <c r="AG2429" s="831" t="s">
        <v>2674</v>
      </c>
      <c r="AH2429" s="831" t="s">
        <v>3042</v>
      </c>
      <c r="AI2429" s="831">
        <v>0</v>
      </c>
      <c r="AJ2429" s="835">
        <v>39721</v>
      </c>
      <c r="AK2429" s="831">
        <v>0</v>
      </c>
      <c r="AP2429" s="831" t="str">
        <f t="shared" si="112"/>
        <v/>
      </c>
    </row>
    <row r="2430" spans="2:42">
      <c r="B2430" s="834" t="str">
        <f t="shared" si="111"/>
        <v>|||</v>
      </c>
      <c r="H2430" s="835">
        <f t="shared" si="113"/>
        <v>31</v>
      </c>
      <c r="AF2430" s="831" t="s">
        <v>3127</v>
      </c>
      <c r="AG2430" s="831" t="s">
        <v>2674</v>
      </c>
      <c r="AH2430" s="831" t="s">
        <v>3044</v>
      </c>
      <c r="AI2430" s="831">
        <v>0</v>
      </c>
      <c r="AJ2430" s="835">
        <v>39721</v>
      </c>
      <c r="AK2430" s="831">
        <v>0</v>
      </c>
      <c r="AP2430" s="831" t="str">
        <f t="shared" si="112"/>
        <v/>
      </c>
    </row>
    <row r="2431" spans="2:42">
      <c r="B2431" s="834" t="str">
        <f t="shared" si="111"/>
        <v>|||</v>
      </c>
      <c r="H2431" s="835">
        <f t="shared" si="113"/>
        <v>31</v>
      </c>
      <c r="AF2431" s="831" t="s">
        <v>3128</v>
      </c>
      <c r="AG2431" s="831" t="s">
        <v>2674</v>
      </c>
      <c r="AH2431" s="831" t="s">
        <v>580</v>
      </c>
      <c r="AI2431" s="831">
        <v>0</v>
      </c>
      <c r="AJ2431" s="835">
        <v>39721</v>
      </c>
      <c r="AK2431" s="831">
        <v>0</v>
      </c>
      <c r="AP2431" s="831" t="str">
        <f t="shared" si="112"/>
        <v/>
      </c>
    </row>
    <row r="2432" spans="2:42">
      <c r="B2432" s="834" t="str">
        <f t="shared" si="111"/>
        <v>|||</v>
      </c>
      <c r="H2432" s="835">
        <f t="shared" si="113"/>
        <v>31</v>
      </c>
      <c r="AF2432" s="831" t="s">
        <v>3129</v>
      </c>
      <c r="AG2432" s="831" t="s">
        <v>2674</v>
      </c>
      <c r="AH2432" s="831" t="s">
        <v>581</v>
      </c>
      <c r="AI2432" s="831">
        <v>0</v>
      </c>
      <c r="AJ2432" s="835">
        <v>39721</v>
      </c>
      <c r="AK2432" s="831">
        <v>0</v>
      </c>
      <c r="AP2432" s="831" t="str">
        <f t="shared" si="112"/>
        <v/>
      </c>
    </row>
    <row r="2433" spans="2:42">
      <c r="B2433" s="834" t="str">
        <f t="shared" si="111"/>
        <v>|||</v>
      </c>
      <c r="H2433" s="835">
        <f t="shared" si="113"/>
        <v>31</v>
      </c>
      <c r="AF2433" s="831" t="s">
        <v>3130</v>
      </c>
      <c r="AG2433" s="831" t="s">
        <v>2674</v>
      </c>
      <c r="AH2433" s="831" t="s">
        <v>105</v>
      </c>
      <c r="AI2433" s="831">
        <v>0</v>
      </c>
      <c r="AJ2433" s="835">
        <v>39721</v>
      </c>
      <c r="AK2433" s="831">
        <v>123976475</v>
      </c>
      <c r="AP2433" s="831" t="str">
        <f t="shared" si="112"/>
        <v/>
      </c>
    </row>
    <row r="2434" spans="2:42">
      <c r="B2434" s="834" t="str">
        <f t="shared" si="111"/>
        <v>|||</v>
      </c>
      <c r="H2434" s="835">
        <f t="shared" si="113"/>
        <v>31</v>
      </c>
      <c r="AF2434" s="831" t="s">
        <v>3131</v>
      </c>
      <c r="AG2434" s="831" t="s">
        <v>2674</v>
      </c>
      <c r="AH2434" s="831" t="s">
        <v>3049</v>
      </c>
      <c r="AI2434" s="831">
        <v>0</v>
      </c>
      <c r="AJ2434" s="835">
        <v>39721</v>
      </c>
      <c r="AK2434" s="831">
        <v>148121875</v>
      </c>
      <c r="AP2434" s="831" t="str">
        <f t="shared" si="112"/>
        <v/>
      </c>
    </row>
    <row r="2435" spans="2:42">
      <c r="B2435" s="834" t="str">
        <f t="shared" ref="B2435:B2498" si="114">C2435&amp;"|"&amp;D2435&amp;"|"&amp;E2435&amp;"|"&amp;F2435</f>
        <v>|||</v>
      </c>
      <c r="H2435" s="835">
        <f t="shared" si="113"/>
        <v>31</v>
      </c>
      <c r="AF2435" s="831" t="s">
        <v>3132</v>
      </c>
      <c r="AG2435" s="831" t="s">
        <v>2674</v>
      </c>
      <c r="AH2435" s="831" t="s">
        <v>546</v>
      </c>
      <c r="AI2435" s="831">
        <v>0</v>
      </c>
      <c r="AJ2435" s="835">
        <v>39752</v>
      </c>
      <c r="AK2435" s="831">
        <v>160546171</v>
      </c>
      <c r="AP2435" s="831" t="str">
        <f t="shared" ref="AP2435:AP2498" si="115">IF(AX2435&lt;&gt;"",IF(OR(AX2435=3,AX2435=4),"Equity","Debt"),"")</f>
        <v/>
      </c>
    </row>
    <row r="2436" spans="2:42">
      <c r="B2436" s="834" t="str">
        <f t="shared" si="114"/>
        <v>|||</v>
      </c>
      <c r="H2436" s="835">
        <f t="shared" ref="H2436:H2499" si="116">EOMONTH(L2436,0)</f>
        <v>31</v>
      </c>
      <c r="AF2436" s="831" t="s">
        <v>3133</v>
      </c>
      <c r="AG2436" s="831" t="s">
        <v>2674</v>
      </c>
      <c r="AH2436" s="831" t="s">
        <v>370</v>
      </c>
      <c r="AI2436" s="831">
        <v>0</v>
      </c>
      <c r="AJ2436" s="835">
        <v>39752</v>
      </c>
      <c r="AK2436" s="831">
        <v>192669046</v>
      </c>
      <c r="AP2436" s="831" t="str">
        <f t="shared" si="115"/>
        <v/>
      </c>
    </row>
    <row r="2437" spans="2:42">
      <c r="B2437" s="834" t="str">
        <f t="shared" si="114"/>
        <v>|||</v>
      </c>
      <c r="H2437" s="835">
        <f t="shared" si="116"/>
        <v>31</v>
      </c>
      <c r="AF2437" s="831" t="s">
        <v>3134</v>
      </c>
      <c r="AG2437" s="831" t="s">
        <v>2674</v>
      </c>
      <c r="AH2437" s="831" t="s">
        <v>126</v>
      </c>
      <c r="AI2437" s="831">
        <v>0</v>
      </c>
      <c r="AJ2437" s="835">
        <v>39752</v>
      </c>
      <c r="AK2437" s="831">
        <v>31666995</v>
      </c>
      <c r="AP2437" s="831" t="str">
        <f t="shared" si="115"/>
        <v/>
      </c>
    </row>
    <row r="2438" spans="2:42">
      <c r="B2438" s="834" t="str">
        <f t="shared" si="114"/>
        <v>|||</v>
      </c>
      <c r="H2438" s="835">
        <f t="shared" si="116"/>
        <v>31</v>
      </c>
      <c r="AF2438" s="831" t="s">
        <v>3135</v>
      </c>
      <c r="AG2438" s="831" t="s">
        <v>2674</v>
      </c>
      <c r="AH2438" s="831" t="s">
        <v>268</v>
      </c>
      <c r="AI2438" s="831">
        <v>0</v>
      </c>
      <c r="AJ2438" s="835">
        <v>39752</v>
      </c>
      <c r="AK2438" s="831">
        <v>8823072</v>
      </c>
      <c r="AP2438" s="831" t="str">
        <f t="shared" si="115"/>
        <v/>
      </c>
    </row>
    <row r="2439" spans="2:42">
      <c r="B2439" s="834" t="str">
        <f t="shared" si="114"/>
        <v>|||</v>
      </c>
      <c r="H2439" s="835">
        <f t="shared" si="116"/>
        <v>31</v>
      </c>
      <c r="AF2439" s="831" t="s">
        <v>3136</v>
      </c>
      <c r="AG2439" s="831" t="s">
        <v>2674</v>
      </c>
      <c r="AH2439" s="831" t="s">
        <v>547</v>
      </c>
      <c r="AI2439" s="831">
        <v>0</v>
      </c>
      <c r="AJ2439" s="835">
        <v>39752</v>
      </c>
      <c r="AK2439" s="831">
        <v>0</v>
      </c>
      <c r="AP2439" s="831" t="str">
        <f t="shared" si="115"/>
        <v/>
      </c>
    </row>
    <row r="2440" spans="2:42">
      <c r="B2440" s="834" t="str">
        <f t="shared" si="114"/>
        <v>|||</v>
      </c>
      <c r="H2440" s="835">
        <f t="shared" si="116"/>
        <v>31</v>
      </c>
      <c r="AF2440" s="831" t="s">
        <v>3137</v>
      </c>
      <c r="AG2440" s="831" t="s">
        <v>2674</v>
      </c>
      <c r="AH2440" s="831" t="s">
        <v>548</v>
      </c>
      <c r="AI2440" s="831">
        <v>0</v>
      </c>
      <c r="AJ2440" s="835">
        <v>39752</v>
      </c>
      <c r="AK2440" s="831">
        <v>0</v>
      </c>
      <c r="AP2440" s="831" t="str">
        <f t="shared" si="115"/>
        <v/>
      </c>
    </row>
    <row r="2441" spans="2:42">
      <c r="B2441" s="834" t="str">
        <f t="shared" si="114"/>
        <v>|||</v>
      </c>
      <c r="H2441" s="835">
        <f t="shared" si="116"/>
        <v>31</v>
      </c>
      <c r="AF2441" s="831" t="s">
        <v>3138</v>
      </c>
      <c r="AG2441" s="831" t="s">
        <v>2674</v>
      </c>
      <c r="AH2441" s="831" t="s">
        <v>549</v>
      </c>
      <c r="AI2441" s="831">
        <v>0</v>
      </c>
      <c r="AJ2441" s="835">
        <v>39752</v>
      </c>
      <c r="AK2441" s="831">
        <v>0</v>
      </c>
      <c r="AP2441" s="831" t="str">
        <f t="shared" si="115"/>
        <v/>
      </c>
    </row>
    <row r="2442" spans="2:42">
      <c r="B2442" s="834" t="str">
        <f t="shared" si="114"/>
        <v>|||</v>
      </c>
      <c r="H2442" s="835">
        <f t="shared" si="116"/>
        <v>31</v>
      </c>
      <c r="AF2442" s="831" t="s">
        <v>3139</v>
      </c>
      <c r="AG2442" s="831" t="s">
        <v>2674</v>
      </c>
      <c r="AH2442" s="831" t="s">
        <v>192</v>
      </c>
      <c r="AI2442" s="831">
        <v>0</v>
      </c>
      <c r="AJ2442" s="835">
        <v>39752</v>
      </c>
      <c r="AK2442" s="831">
        <v>-3593964</v>
      </c>
      <c r="AP2442" s="831" t="str">
        <f t="shared" si="115"/>
        <v/>
      </c>
    </row>
    <row r="2443" spans="2:42">
      <c r="B2443" s="834" t="str">
        <f t="shared" si="114"/>
        <v>|||</v>
      </c>
      <c r="H2443" s="835">
        <f t="shared" si="116"/>
        <v>31</v>
      </c>
      <c r="AF2443" s="831" t="s">
        <v>3140</v>
      </c>
      <c r="AG2443" s="831" t="s">
        <v>2674</v>
      </c>
      <c r="AH2443" s="831" t="s">
        <v>558</v>
      </c>
      <c r="AI2443" s="831">
        <v>0</v>
      </c>
      <c r="AJ2443" s="835">
        <v>39752</v>
      </c>
      <c r="AK2443" s="831">
        <v>161002050</v>
      </c>
      <c r="AP2443" s="831" t="str">
        <f t="shared" si="115"/>
        <v/>
      </c>
    </row>
    <row r="2444" spans="2:42">
      <c r="B2444" s="834" t="str">
        <f t="shared" si="114"/>
        <v>|||</v>
      </c>
      <c r="H2444" s="835">
        <f t="shared" si="116"/>
        <v>31</v>
      </c>
      <c r="AF2444" s="831" t="s">
        <v>3141</v>
      </c>
      <c r="AG2444" s="831" t="s">
        <v>2674</v>
      </c>
      <c r="AH2444" s="831" t="s">
        <v>65</v>
      </c>
      <c r="AI2444" s="831">
        <v>0</v>
      </c>
      <c r="AJ2444" s="835">
        <v>39752</v>
      </c>
      <c r="AK2444" s="831">
        <v>36969085</v>
      </c>
      <c r="AP2444" s="831" t="str">
        <f t="shared" si="115"/>
        <v/>
      </c>
    </row>
    <row r="2445" spans="2:42">
      <c r="B2445" s="834" t="str">
        <f t="shared" si="114"/>
        <v>|||</v>
      </c>
      <c r="H2445" s="835">
        <f t="shared" si="116"/>
        <v>31</v>
      </c>
      <c r="AF2445" s="831" t="s">
        <v>3142</v>
      </c>
      <c r="AG2445" s="831" t="s">
        <v>2674</v>
      </c>
      <c r="AH2445" s="831" t="s">
        <v>89</v>
      </c>
      <c r="AI2445" s="831">
        <v>0</v>
      </c>
      <c r="AJ2445" s="835">
        <v>39752</v>
      </c>
      <c r="AK2445" s="831">
        <v>67871</v>
      </c>
      <c r="AP2445" s="831" t="str">
        <f t="shared" si="115"/>
        <v/>
      </c>
    </row>
    <row r="2446" spans="2:42">
      <c r="B2446" s="834" t="str">
        <f t="shared" si="114"/>
        <v>|||</v>
      </c>
      <c r="H2446" s="835">
        <f t="shared" si="116"/>
        <v>31</v>
      </c>
      <c r="AF2446" s="831" t="s">
        <v>3143</v>
      </c>
      <c r="AG2446" s="831" t="s">
        <v>2674</v>
      </c>
      <c r="AH2446" s="831" t="s">
        <v>557</v>
      </c>
      <c r="AI2446" s="831">
        <v>0</v>
      </c>
      <c r="AJ2446" s="835">
        <v>39752</v>
      </c>
      <c r="AK2446" s="831">
        <v>69839</v>
      </c>
      <c r="AP2446" s="831" t="str">
        <f t="shared" si="115"/>
        <v/>
      </c>
    </row>
    <row r="2447" spans="2:42">
      <c r="B2447" s="834" t="str">
        <f t="shared" si="114"/>
        <v>|||</v>
      </c>
      <c r="H2447" s="835">
        <f t="shared" si="116"/>
        <v>31</v>
      </c>
      <c r="AF2447" s="831" t="s">
        <v>3144</v>
      </c>
      <c r="AG2447" s="831" t="s">
        <v>2674</v>
      </c>
      <c r="AH2447" s="831" t="s">
        <v>29</v>
      </c>
      <c r="AI2447" s="831">
        <v>0</v>
      </c>
      <c r="AJ2447" s="835">
        <v>39752</v>
      </c>
      <c r="AK2447" s="831">
        <v>155150</v>
      </c>
      <c r="AP2447" s="831" t="str">
        <f t="shared" si="115"/>
        <v/>
      </c>
    </row>
    <row r="2448" spans="2:42">
      <c r="B2448" s="834" t="str">
        <f t="shared" si="114"/>
        <v>|||</v>
      </c>
      <c r="H2448" s="835">
        <f t="shared" si="116"/>
        <v>31</v>
      </c>
      <c r="AF2448" s="831" t="s">
        <v>3145</v>
      </c>
      <c r="AG2448" s="831" t="s">
        <v>2674</v>
      </c>
      <c r="AH2448" s="831" t="s">
        <v>2688</v>
      </c>
      <c r="AI2448" s="831">
        <v>0</v>
      </c>
      <c r="AJ2448" s="835">
        <v>39752</v>
      </c>
      <c r="AK2448" s="831">
        <v>199090</v>
      </c>
      <c r="AP2448" s="831" t="str">
        <f t="shared" si="115"/>
        <v/>
      </c>
    </row>
    <row r="2449" spans="2:42">
      <c r="B2449" s="834" t="str">
        <f t="shared" si="114"/>
        <v>|||</v>
      </c>
      <c r="H2449" s="835">
        <f t="shared" si="116"/>
        <v>31</v>
      </c>
      <c r="AF2449" s="831" t="s">
        <v>3146</v>
      </c>
      <c r="AG2449" s="831" t="s">
        <v>2674</v>
      </c>
      <c r="AH2449" s="831" t="s">
        <v>556</v>
      </c>
      <c r="AI2449" s="831">
        <v>0</v>
      </c>
      <c r="AJ2449" s="835">
        <v>39752</v>
      </c>
      <c r="AK2449" s="831">
        <v>0</v>
      </c>
      <c r="AP2449" s="831" t="str">
        <f t="shared" si="115"/>
        <v/>
      </c>
    </row>
    <row r="2450" spans="2:42">
      <c r="B2450" s="834" t="str">
        <f t="shared" si="114"/>
        <v>|||</v>
      </c>
      <c r="H2450" s="835">
        <f t="shared" si="116"/>
        <v>31</v>
      </c>
      <c r="AF2450" s="831" t="s">
        <v>3147</v>
      </c>
      <c r="AG2450" s="831" t="s">
        <v>2674</v>
      </c>
      <c r="AH2450" s="831" t="s">
        <v>555</v>
      </c>
      <c r="AI2450" s="831">
        <v>0</v>
      </c>
      <c r="AJ2450" s="835">
        <v>39752</v>
      </c>
      <c r="AK2450" s="831">
        <v>132582320</v>
      </c>
      <c r="AP2450" s="831" t="str">
        <f t="shared" si="115"/>
        <v/>
      </c>
    </row>
    <row r="2451" spans="2:42">
      <c r="B2451" s="834" t="str">
        <f t="shared" si="114"/>
        <v>|||</v>
      </c>
      <c r="H2451" s="835">
        <f t="shared" si="116"/>
        <v>31</v>
      </c>
      <c r="AF2451" s="831" t="s">
        <v>3148</v>
      </c>
      <c r="AG2451" s="831" t="s">
        <v>2674</v>
      </c>
      <c r="AH2451" s="831" t="s">
        <v>554</v>
      </c>
      <c r="AI2451" s="831">
        <v>0</v>
      </c>
      <c r="AJ2451" s="835">
        <v>39752</v>
      </c>
      <c r="AK2451" s="831">
        <v>132746830</v>
      </c>
      <c r="AP2451" s="831" t="str">
        <f t="shared" si="115"/>
        <v/>
      </c>
    </row>
    <row r="2452" spans="2:42">
      <c r="B2452" s="834" t="str">
        <f t="shared" si="114"/>
        <v>|||</v>
      </c>
      <c r="H2452" s="835">
        <f t="shared" si="116"/>
        <v>31</v>
      </c>
      <c r="AF2452" s="831" t="s">
        <v>3149</v>
      </c>
      <c r="AG2452" s="831" t="s">
        <v>2674</v>
      </c>
      <c r="AH2452" s="831" t="s">
        <v>553</v>
      </c>
      <c r="AI2452" s="831">
        <v>0</v>
      </c>
      <c r="AJ2452" s="835">
        <v>39752</v>
      </c>
      <c r="AK2452" s="831">
        <v>0</v>
      </c>
      <c r="AP2452" s="831" t="str">
        <f t="shared" si="115"/>
        <v/>
      </c>
    </row>
    <row r="2453" spans="2:42">
      <c r="B2453" s="834" t="str">
        <f t="shared" si="114"/>
        <v>|||</v>
      </c>
      <c r="H2453" s="835">
        <f t="shared" si="116"/>
        <v>31</v>
      </c>
      <c r="AF2453" s="831" t="s">
        <v>3150</v>
      </c>
      <c r="AG2453" s="831" t="s">
        <v>2674</v>
      </c>
      <c r="AH2453" s="831" t="s">
        <v>552</v>
      </c>
      <c r="AI2453" s="831">
        <v>0</v>
      </c>
      <c r="AJ2453" s="835">
        <v>39752</v>
      </c>
      <c r="AK2453" s="831">
        <v>0</v>
      </c>
      <c r="AP2453" s="831" t="str">
        <f t="shared" si="115"/>
        <v/>
      </c>
    </row>
    <row r="2454" spans="2:42">
      <c r="B2454" s="834" t="str">
        <f t="shared" si="114"/>
        <v>|||</v>
      </c>
      <c r="H2454" s="835">
        <f t="shared" si="116"/>
        <v>31</v>
      </c>
      <c r="AF2454" s="831" t="s">
        <v>3151</v>
      </c>
      <c r="AG2454" s="831" t="s">
        <v>2674</v>
      </c>
      <c r="AH2454" s="831" t="s">
        <v>551</v>
      </c>
      <c r="AI2454" s="831">
        <v>0</v>
      </c>
      <c r="AJ2454" s="835">
        <v>39752</v>
      </c>
      <c r="AK2454" s="831">
        <v>155150</v>
      </c>
      <c r="AP2454" s="831" t="str">
        <f t="shared" si="115"/>
        <v/>
      </c>
    </row>
    <row r="2455" spans="2:42">
      <c r="B2455" s="834" t="str">
        <f t="shared" si="114"/>
        <v>|||</v>
      </c>
      <c r="H2455" s="835">
        <f t="shared" si="116"/>
        <v>31</v>
      </c>
      <c r="AF2455" s="831" t="s">
        <v>3152</v>
      </c>
      <c r="AG2455" s="831" t="s">
        <v>2674</v>
      </c>
      <c r="AH2455" s="831" t="s">
        <v>550</v>
      </c>
      <c r="AI2455" s="831">
        <v>0</v>
      </c>
      <c r="AJ2455" s="835">
        <v>39752</v>
      </c>
      <c r="AK2455" s="831">
        <v>0</v>
      </c>
      <c r="AP2455" s="831" t="str">
        <f t="shared" si="115"/>
        <v/>
      </c>
    </row>
    <row r="2456" spans="2:42">
      <c r="B2456" s="834" t="str">
        <f t="shared" si="114"/>
        <v>|||</v>
      </c>
      <c r="H2456" s="835">
        <f t="shared" si="116"/>
        <v>31</v>
      </c>
      <c r="AF2456" s="831" t="s">
        <v>3153</v>
      </c>
      <c r="AG2456" s="831" t="s">
        <v>2674</v>
      </c>
      <c r="AH2456" s="831" t="s">
        <v>562</v>
      </c>
      <c r="AI2456" s="831">
        <v>0</v>
      </c>
      <c r="AJ2456" s="835">
        <v>39752</v>
      </c>
      <c r="AK2456" s="831">
        <v>0.81</v>
      </c>
      <c r="AP2456" s="831" t="str">
        <f t="shared" si="115"/>
        <v/>
      </c>
    </row>
    <row r="2457" spans="2:42">
      <c r="B2457" s="834" t="str">
        <f t="shared" si="114"/>
        <v>|||</v>
      </c>
      <c r="H2457" s="835">
        <f t="shared" si="116"/>
        <v>31</v>
      </c>
      <c r="AF2457" s="831" t="s">
        <v>3154</v>
      </c>
      <c r="AG2457" s="831" t="s">
        <v>2674</v>
      </c>
      <c r="AH2457" s="831" t="s">
        <v>2698</v>
      </c>
      <c r="AI2457" s="831">
        <v>0</v>
      </c>
      <c r="AJ2457" s="835">
        <v>39752</v>
      </c>
      <c r="AK2457" s="831">
        <v>0.81</v>
      </c>
      <c r="AP2457" s="831" t="str">
        <f t="shared" si="115"/>
        <v/>
      </c>
    </row>
    <row r="2458" spans="2:42">
      <c r="B2458" s="834" t="str">
        <f t="shared" si="114"/>
        <v>|||</v>
      </c>
      <c r="H2458" s="835">
        <f t="shared" si="116"/>
        <v>31</v>
      </c>
      <c r="AF2458" s="831" t="s">
        <v>3155</v>
      </c>
      <c r="AG2458" s="831" t="s">
        <v>2674</v>
      </c>
      <c r="AH2458" s="831" t="s">
        <v>560</v>
      </c>
      <c r="AI2458" s="831">
        <v>0</v>
      </c>
      <c r="AJ2458" s="835">
        <v>39752</v>
      </c>
      <c r="AK2458" s="831">
        <v>0.82399999999999995</v>
      </c>
      <c r="AP2458" s="831" t="str">
        <f t="shared" si="115"/>
        <v/>
      </c>
    </row>
    <row r="2459" spans="2:42">
      <c r="B2459" s="834" t="str">
        <f t="shared" si="114"/>
        <v>|||</v>
      </c>
      <c r="H2459" s="835">
        <f t="shared" si="116"/>
        <v>31</v>
      </c>
      <c r="AF2459" s="831" t="s">
        <v>3156</v>
      </c>
      <c r="AG2459" s="831" t="s">
        <v>2674</v>
      </c>
      <c r="AH2459" s="831" t="s">
        <v>559</v>
      </c>
      <c r="AI2459" s="831">
        <v>0</v>
      </c>
      <c r="AJ2459" s="835">
        <v>39752</v>
      </c>
      <c r="AK2459" s="831">
        <v>0.82833333333333303</v>
      </c>
      <c r="AP2459" s="831" t="str">
        <f t="shared" si="115"/>
        <v/>
      </c>
    </row>
    <row r="2460" spans="2:42">
      <c r="B2460" s="834" t="str">
        <f t="shared" si="114"/>
        <v>|||</v>
      </c>
      <c r="H2460" s="835">
        <f t="shared" si="116"/>
        <v>31</v>
      </c>
      <c r="AF2460" s="831" t="s">
        <v>3157</v>
      </c>
      <c r="AG2460" s="831" t="s">
        <v>2674</v>
      </c>
      <c r="AH2460" s="831" t="s">
        <v>568</v>
      </c>
      <c r="AI2460" s="831">
        <v>0</v>
      </c>
      <c r="AJ2460" s="835">
        <v>39752</v>
      </c>
      <c r="AK2460" s="831">
        <v>0</v>
      </c>
      <c r="AP2460" s="831" t="str">
        <f t="shared" si="115"/>
        <v/>
      </c>
    </row>
    <row r="2461" spans="2:42">
      <c r="B2461" s="834" t="str">
        <f t="shared" si="114"/>
        <v>|||</v>
      </c>
      <c r="H2461" s="835">
        <f t="shared" si="116"/>
        <v>31</v>
      </c>
      <c r="AF2461" s="831" t="s">
        <v>3158</v>
      </c>
      <c r="AG2461" s="831" t="s">
        <v>2674</v>
      </c>
      <c r="AH2461" s="831" t="s">
        <v>569</v>
      </c>
      <c r="AI2461" s="831">
        <v>0</v>
      </c>
      <c r="AJ2461" s="835">
        <v>39752</v>
      </c>
      <c r="AK2461" s="831">
        <v>0</v>
      </c>
      <c r="AP2461" s="831" t="str">
        <f t="shared" si="115"/>
        <v/>
      </c>
    </row>
    <row r="2462" spans="2:42">
      <c r="B2462" s="834" t="str">
        <f t="shared" si="114"/>
        <v>|||</v>
      </c>
      <c r="H2462" s="835">
        <f t="shared" si="116"/>
        <v>31</v>
      </c>
      <c r="AF2462" s="831" t="s">
        <v>3159</v>
      </c>
      <c r="AG2462" s="831" t="s">
        <v>2674</v>
      </c>
      <c r="AH2462" s="831" t="s">
        <v>570</v>
      </c>
      <c r="AI2462" s="831">
        <v>0</v>
      </c>
      <c r="AJ2462" s="835">
        <v>39752</v>
      </c>
      <c r="AK2462" s="831">
        <v>0</v>
      </c>
      <c r="AP2462" s="831" t="str">
        <f t="shared" si="115"/>
        <v/>
      </c>
    </row>
    <row r="2463" spans="2:42">
      <c r="B2463" s="834" t="str">
        <f t="shared" si="114"/>
        <v>|||</v>
      </c>
      <c r="H2463" s="835">
        <f t="shared" si="116"/>
        <v>31</v>
      </c>
      <c r="AF2463" s="831" t="s">
        <v>3160</v>
      </c>
      <c r="AG2463" s="831" t="s">
        <v>2674</v>
      </c>
      <c r="AH2463" s="831" t="s">
        <v>571</v>
      </c>
      <c r="AI2463" s="831">
        <v>0</v>
      </c>
      <c r="AJ2463" s="835">
        <v>39752</v>
      </c>
      <c r="AK2463" s="831">
        <v>0</v>
      </c>
      <c r="AP2463" s="831" t="str">
        <f t="shared" si="115"/>
        <v/>
      </c>
    </row>
    <row r="2464" spans="2:42">
      <c r="B2464" s="834" t="str">
        <f t="shared" si="114"/>
        <v>|||</v>
      </c>
      <c r="H2464" s="835">
        <f t="shared" si="116"/>
        <v>31</v>
      </c>
      <c r="AF2464" s="831" t="s">
        <v>3161</v>
      </c>
      <c r="AG2464" s="831" t="s">
        <v>2674</v>
      </c>
      <c r="AH2464" s="831" t="s">
        <v>573</v>
      </c>
      <c r="AI2464" s="831">
        <v>0</v>
      </c>
      <c r="AJ2464" s="835">
        <v>39752</v>
      </c>
      <c r="AK2464" s="831">
        <v>0</v>
      </c>
      <c r="AP2464" s="831" t="str">
        <f t="shared" si="115"/>
        <v/>
      </c>
    </row>
    <row r="2465" spans="2:42">
      <c r="B2465" s="834" t="str">
        <f t="shared" si="114"/>
        <v>|||</v>
      </c>
      <c r="H2465" s="835">
        <f t="shared" si="116"/>
        <v>31</v>
      </c>
      <c r="AF2465" s="831" t="s">
        <v>3162</v>
      </c>
      <c r="AG2465" s="831" t="s">
        <v>2674</v>
      </c>
      <c r="AH2465" s="831" t="s">
        <v>574</v>
      </c>
      <c r="AI2465" s="831">
        <v>0</v>
      </c>
      <c r="AJ2465" s="835">
        <v>39752</v>
      </c>
      <c r="AK2465" s="831">
        <v>0</v>
      </c>
      <c r="AP2465" s="831" t="str">
        <f t="shared" si="115"/>
        <v/>
      </c>
    </row>
    <row r="2466" spans="2:42">
      <c r="B2466" s="834" t="str">
        <f t="shared" si="114"/>
        <v>|||</v>
      </c>
      <c r="H2466" s="835">
        <f t="shared" si="116"/>
        <v>31</v>
      </c>
      <c r="AF2466" s="831" t="s">
        <v>3163</v>
      </c>
      <c r="AG2466" s="831" t="s">
        <v>2674</v>
      </c>
      <c r="AH2466" s="831" t="s">
        <v>575</v>
      </c>
      <c r="AI2466" s="831">
        <v>0</v>
      </c>
      <c r="AJ2466" s="835">
        <v>39752</v>
      </c>
      <c r="AK2466" s="831">
        <v>0</v>
      </c>
      <c r="AP2466" s="831" t="str">
        <f t="shared" si="115"/>
        <v/>
      </c>
    </row>
    <row r="2467" spans="2:42">
      <c r="B2467" s="834" t="str">
        <f t="shared" si="114"/>
        <v>|||</v>
      </c>
      <c r="H2467" s="835">
        <f t="shared" si="116"/>
        <v>31</v>
      </c>
      <c r="AF2467" s="831" t="s">
        <v>3164</v>
      </c>
      <c r="AG2467" s="831" t="s">
        <v>2674</v>
      </c>
      <c r="AH2467" s="831" t="s">
        <v>576</v>
      </c>
      <c r="AI2467" s="831">
        <v>0</v>
      </c>
      <c r="AJ2467" s="835">
        <v>39752</v>
      </c>
      <c r="AK2467" s="831">
        <v>0</v>
      </c>
      <c r="AP2467" s="831" t="str">
        <f t="shared" si="115"/>
        <v/>
      </c>
    </row>
    <row r="2468" spans="2:42">
      <c r="B2468" s="834" t="str">
        <f t="shared" si="114"/>
        <v>|||</v>
      </c>
      <c r="H2468" s="835">
        <f t="shared" si="116"/>
        <v>31</v>
      </c>
      <c r="AF2468" s="831" t="s">
        <v>3165</v>
      </c>
      <c r="AG2468" s="831" t="s">
        <v>2674</v>
      </c>
      <c r="AH2468" s="831" t="s">
        <v>572</v>
      </c>
      <c r="AI2468" s="831">
        <v>0</v>
      </c>
      <c r="AJ2468" s="835">
        <v>39752</v>
      </c>
      <c r="AK2468" s="831">
        <v>0</v>
      </c>
      <c r="AP2468" s="831" t="str">
        <f t="shared" si="115"/>
        <v/>
      </c>
    </row>
    <row r="2469" spans="2:42">
      <c r="B2469" s="834" t="str">
        <f t="shared" si="114"/>
        <v>|||</v>
      </c>
      <c r="H2469" s="835">
        <f t="shared" si="116"/>
        <v>31</v>
      </c>
      <c r="AF2469" s="831" t="s">
        <v>3166</v>
      </c>
      <c r="AG2469" s="831" t="s">
        <v>2674</v>
      </c>
      <c r="AH2469" s="831" t="s">
        <v>577</v>
      </c>
      <c r="AI2469" s="831">
        <v>0</v>
      </c>
      <c r="AJ2469" s="835">
        <v>39752</v>
      </c>
      <c r="AK2469" s="831">
        <v>0</v>
      </c>
      <c r="AP2469" s="831" t="str">
        <f t="shared" si="115"/>
        <v/>
      </c>
    </row>
    <row r="2470" spans="2:42">
      <c r="B2470" s="834" t="str">
        <f t="shared" si="114"/>
        <v>|||</v>
      </c>
      <c r="H2470" s="835">
        <f t="shared" si="116"/>
        <v>31</v>
      </c>
      <c r="AF2470" s="831" t="s">
        <v>3167</v>
      </c>
      <c r="AG2470" s="831" t="s">
        <v>2674</v>
      </c>
      <c r="AH2470" s="831" t="s">
        <v>3042</v>
      </c>
      <c r="AI2470" s="831">
        <v>0</v>
      </c>
      <c r="AJ2470" s="835">
        <v>39752</v>
      </c>
      <c r="AK2470" s="831">
        <v>0</v>
      </c>
      <c r="AP2470" s="831" t="str">
        <f t="shared" si="115"/>
        <v/>
      </c>
    </row>
    <row r="2471" spans="2:42">
      <c r="B2471" s="834" t="str">
        <f t="shared" si="114"/>
        <v>|||</v>
      </c>
      <c r="H2471" s="835">
        <f t="shared" si="116"/>
        <v>31</v>
      </c>
      <c r="AF2471" s="831" t="s">
        <v>3168</v>
      </c>
      <c r="AG2471" s="831" t="s">
        <v>2674</v>
      </c>
      <c r="AH2471" s="831" t="s">
        <v>3044</v>
      </c>
      <c r="AI2471" s="831">
        <v>0</v>
      </c>
      <c r="AJ2471" s="835">
        <v>39752</v>
      </c>
      <c r="AK2471" s="831">
        <v>0</v>
      </c>
      <c r="AP2471" s="831" t="str">
        <f t="shared" si="115"/>
        <v/>
      </c>
    </row>
    <row r="2472" spans="2:42">
      <c r="B2472" s="834" t="str">
        <f t="shared" si="114"/>
        <v>|||</v>
      </c>
      <c r="H2472" s="835">
        <f t="shared" si="116"/>
        <v>31</v>
      </c>
      <c r="AF2472" s="831" t="s">
        <v>3169</v>
      </c>
      <c r="AG2472" s="831" t="s">
        <v>2674</v>
      </c>
      <c r="AH2472" s="831" t="s">
        <v>580</v>
      </c>
      <c r="AI2472" s="831">
        <v>0</v>
      </c>
      <c r="AJ2472" s="835">
        <v>39752</v>
      </c>
      <c r="AK2472" s="831">
        <v>0</v>
      </c>
      <c r="AP2472" s="831" t="str">
        <f t="shared" si="115"/>
        <v/>
      </c>
    </row>
    <row r="2473" spans="2:42">
      <c r="B2473" s="834" t="str">
        <f t="shared" si="114"/>
        <v>|||</v>
      </c>
      <c r="H2473" s="835">
        <f t="shared" si="116"/>
        <v>31</v>
      </c>
      <c r="AF2473" s="831" t="s">
        <v>3170</v>
      </c>
      <c r="AG2473" s="831" t="s">
        <v>2674</v>
      </c>
      <c r="AH2473" s="831" t="s">
        <v>581</v>
      </c>
      <c r="AI2473" s="831">
        <v>0</v>
      </c>
      <c r="AJ2473" s="835">
        <v>39752</v>
      </c>
      <c r="AK2473" s="831">
        <v>0</v>
      </c>
      <c r="AP2473" s="831" t="str">
        <f t="shared" si="115"/>
        <v/>
      </c>
    </row>
    <row r="2474" spans="2:42">
      <c r="B2474" s="834" t="str">
        <f t="shared" si="114"/>
        <v>|||</v>
      </c>
      <c r="H2474" s="835">
        <f t="shared" si="116"/>
        <v>31</v>
      </c>
      <c r="AF2474" s="831" t="s">
        <v>3171</v>
      </c>
      <c r="AG2474" s="831" t="s">
        <v>2674</v>
      </c>
      <c r="AH2474" s="831" t="s">
        <v>105</v>
      </c>
      <c r="AI2474" s="831">
        <v>0</v>
      </c>
      <c r="AJ2474" s="835">
        <v>39752</v>
      </c>
      <c r="AK2474" s="831">
        <v>131048304</v>
      </c>
      <c r="AP2474" s="831" t="str">
        <f t="shared" si="115"/>
        <v/>
      </c>
    </row>
    <row r="2475" spans="2:42">
      <c r="B2475" s="834" t="str">
        <f t="shared" si="114"/>
        <v>|||</v>
      </c>
      <c r="H2475" s="835">
        <f t="shared" si="116"/>
        <v>31</v>
      </c>
      <c r="AF2475" s="831" t="s">
        <v>3172</v>
      </c>
      <c r="AG2475" s="831" t="s">
        <v>2674</v>
      </c>
      <c r="AH2475" s="831" t="s">
        <v>3049</v>
      </c>
      <c r="AI2475" s="831">
        <v>0</v>
      </c>
      <c r="AJ2475" s="835">
        <v>39752</v>
      </c>
      <c r="AK2475" s="831">
        <v>155177686</v>
      </c>
      <c r="AP2475" s="831" t="str">
        <f t="shared" si="115"/>
        <v/>
      </c>
    </row>
    <row r="2476" spans="2:42">
      <c r="B2476" s="834" t="str">
        <f t="shared" si="114"/>
        <v>|||</v>
      </c>
      <c r="H2476" s="835">
        <f t="shared" si="116"/>
        <v>31</v>
      </c>
      <c r="AF2476" s="831" t="s">
        <v>3173</v>
      </c>
      <c r="AG2476" s="831" t="s">
        <v>2674</v>
      </c>
      <c r="AH2476" s="831" t="s">
        <v>546</v>
      </c>
      <c r="AI2476" s="831">
        <v>0</v>
      </c>
      <c r="AJ2476" s="835">
        <v>39782</v>
      </c>
      <c r="AK2476" s="831">
        <v>163584514</v>
      </c>
      <c r="AP2476" s="831" t="str">
        <f t="shared" si="115"/>
        <v/>
      </c>
    </row>
    <row r="2477" spans="2:42">
      <c r="B2477" s="834" t="str">
        <f t="shared" si="114"/>
        <v>|||</v>
      </c>
      <c r="H2477" s="835">
        <f t="shared" si="116"/>
        <v>31</v>
      </c>
      <c r="AF2477" s="831" t="s">
        <v>3174</v>
      </c>
      <c r="AG2477" s="831" t="s">
        <v>2674</v>
      </c>
      <c r="AH2477" s="831" t="s">
        <v>370</v>
      </c>
      <c r="AI2477" s="831">
        <v>0</v>
      </c>
      <c r="AJ2477" s="835">
        <v>39782</v>
      </c>
      <c r="AK2477" s="831">
        <v>187288092</v>
      </c>
      <c r="AP2477" s="831" t="str">
        <f t="shared" si="115"/>
        <v/>
      </c>
    </row>
    <row r="2478" spans="2:42">
      <c r="B2478" s="834" t="str">
        <f t="shared" si="114"/>
        <v>|||</v>
      </c>
      <c r="H2478" s="835">
        <f t="shared" si="116"/>
        <v>31</v>
      </c>
      <c r="AF2478" s="831" t="s">
        <v>3175</v>
      </c>
      <c r="AG2478" s="831" t="s">
        <v>2674</v>
      </c>
      <c r="AH2478" s="831" t="s">
        <v>126</v>
      </c>
      <c r="AI2478" s="831">
        <v>0</v>
      </c>
      <c r="AJ2478" s="835">
        <v>39782</v>
      </c>
      <c r="AK2478" s="831">
        <v>32551170</v>
      </c>
      <c r="AP2478" s="831" t="str">
        <f t="shared" si="115"/>
        <v/>
      </c>
    </row>
    <row r="2479" spans="2:42">
      <c r="B2479" s="834" t="str">
        <f t="shared" si="114"/>
        <v>|||</v>
      </c>
      <c r="H2479" s="835">
        <f t="shared" si="116"/>
        <v>31</v>
      </c>
      <c r="AF2479" s="831" t="s">
        <v>3176</v>
      </c>
      <c r="AG2479" s="831" t="s">
        <v>2674</v>
      </c>
      <c r="AH2479" s="831" t="s">
        <v>268</v>
      </c>
      <c r="AI2479" s="831">
        <v>0</v>
      </c>
      <c r="AJ2479" s="835">
        <v>39782</v>
      </c>
      <c r="AK2479" s="831">
        <v>9707246</v>
      </c>
      <c r="AP2479" s="831" t="str">
        <f t="shared" si="115"/>
        <v/>
      </c>
    </row>
    <row r="2480" spans="2:42">
      <c r="B2480" s="834" t="str">
        <f t="shared" si="114"/>
        <v>|||</v>
      </c>
      <c r="H2480" s="835">
        <f t="shared" si="116"/>
        <v>31</v>
      </c>
      <c r="AF2480" s="831" t="s">
        <v>3177</v>
      </c>
      <c r="AG2480" s="831" t="s">
        <v>2674</v>
      </c>
      <c r="AH2480" s="831" t="s">
        <v>547</v>
      </c>
      <c r="AI2480" s="831">
        <v>0</v>
      </c>
      <c r="AJ2480" s="835">
        <v>39782</v>
      </c>
      <c r="AK2480" s="831">
        <v>0</v>
      </c>
      <c r="AP2480" s="831" t="str">
        <f t="shared" si="115"/>
        <v/>
      </c>
    </row>
    <row r="2481" spans="2:42">
      <c r="B2481" s="834" t="str">
        <f t="shared" si="114"/>
        <v>|||</v>
      </c>
      <c r="H2481" s="835">
        <f t="shared" si="116"/>
        <v>31</v>
      </c>
      <c r="AF2481" s="831" t="s">
        <v>3178</v>
      </c>
      <c r="AG2481" s="831" t="s">
        <v>2674</v>
      </c>
      <c r="AH2481" s="831" t="s">
        <v>548</v>
      </c>
      <c r="AI2481" s="831">
        <v>0</v>
      </c>
      <c r="AJ2481" s="835">
        <v>39782</v>
      </c>
      <c r="AK2481" s="831">
        <v>0</v>
      </c>
      <c r="AP2481" s="831" t="str">
        <f t="shared" si="115"/>
        <v/>
      </c>
    </row>
    <row r="2482" spans="2:42">
      <c r="B2482" s="834" t="str">
        <f t="shared" si="114"/>
        <v>|||</v>
      </c>
      <c r="H2482" s="835">
        <f t="shared" si="116"/>
        <v>31</v>
      </c>
      <c r="AF2482" s="831" t="s">
        <v>3179</v>
      </c>
      <c r="AG2482" s="831" t="s">
        <v>2674</v>
      </c>
      <c r="AH2482" s="831" t="s">
        <v>549</v>
      </c>
      <c r="AI2482" s="831">
        <v>0</v>
      </c>
      <c r="AJ2482" s="835">
        <v>39782</v>
      </c>
      <c r="AK2482" s="831">
        <v>0</v>
      </c>
      <c r="AP2482" s="831" t="str">
        <f t="shared" si="115"/>
        <v/>
      </c>
    </row>
    <row r="2483" spans="2:42">
      <c r="B2483" s="834" t="str">
        <f t="shared" si="114"/>
        <v>|||</v>
      </c>
      <c r="H2483" s="835">
        <f t="shared" si="116"/>
        <v>31</v>
      </c>
      <c r="AF2483" s="831" t="s">
        <v>3180</v>
      </c>
      <c r="AG2483" s="831" t="s">
        <v>2674</v>
      </c>
      <c r="AH2483" s="831" t="s">
        <v>192</v>
      </c>
      <c r="AI2483" s="831">
        <v>0</v>
      </c>
      <c r="AJ2483" s="835">
        <v>39782</v>
      </c>
      <c r="AK2483" s="831">
        <v>-3808829</v>
      </c>
      <c r="AP2483" s="831" t="str">
        <f t="shared" si="115"/>
        <v/>
      </c>
    </row>
    <row r="2484" spans="2:42">
      <c r="B2484" s="834" t="str">
        <f t="shared" si="114"/>
        <v>|||</v>
      </c>
      <c r="H2484" s="835">
        <f t="shared" si="116"/>
        <v>31</v>
      </c>
      <c r="AF2484" s="831" t="s">
        <v>3181</v>
      </c>
      <c r="AG2484" s="831" t="s">
        <v>2674</v>
      </c>
      <c r="AH2484" s="831" t="s">
        <v>558</v>
      </c>
      <c r="AI2484" s="831">
        <v>0</v>
      </c>
      <c r="AJ2484" s="835">
        <v>39782</v>
      </c>
      <c r="AK2484" s="831">
        <v>154736922</v>
      </c>
      <c r="AP2484" s="831" t="str">
        <f t="shared" si="115"/>
        <v/>
      </c>
    </row>
    <row r="2485" spans="2:42">
      <c r="B2485" s="834" t="str">
        <f t="shared" si="114"/>
        <v>|||</v>
      </c>
      <c r="H2485" s="835">
        <f t="shared" si="116"/>
        <v>31</v>
      </c>
      <c r="AF2485" s="831" t="s">
        <v>3182</v>
      </c>
      <c r="AG2485" s="831" t="s">
        <v>2674</v>
      </c>
      <c r="AH2485" s="831" t="s">
        <v>65</v>
      </c>
      <c r="AI2485" s="831">
        <v>0</v>
      </c>
      <c r="AJ2485" s="835">
        <v>39782</v>
      </c>
      <c r="AK2485" s="831">
        <v>41419073</v>
      </c>
      <c r="AP2485" s="831" t="str">
        <f t="shared" si="115"/>
        <v/>
      </c>
    </row>
    <row r="2486" spans="2:42">
      <c r="B2486" s="834" t="str">
        <f t="shared" si="114"/>
        <v>|||</v>
      </c>
      <c r="H2486" s="835">
        <f t="shared" si="116"/>
        <v>31</v>
      </c>
      <c r="AF2486" s="831" t="s">
        <v>3183</v>
      </c>
      <c r="AG2486" s="831" t="s">
        <v>2674</v>
      </c>
      <c r="AH2486" s="831" t="s">
        <v>89</v>
      </c>
      <c r="AI2486" s="831">
        <v>0</v>
      </c>
      <c r="AJ2486" s="835">
        <v>39782</v>
      </c>
      <c r="AK2486" s="831">
        <v>68744</v>
      </c>
      <c r="AP2486" s="831" t="str">
        <f t="shared" si="115"/>
        <v/>
      </c>
    </row>
    <row r="2487" spans="2:42">
      <c r="B2487" s="834" t="str">
        <f t="shared" si="114"/>
        <v>|||</v>
      </c>
      <c r="H2487" s="835">
        <f t="shared" si="116"/>
        <v>31</v>
      </c>
      <c r="AF2487" s="831" t="s">
        <v>3184</v>
      </c>
      <c r="AG2487" s="831" t="s">
        <v>2674</v>
      </c>
      <c r="AH2487" s="831" t="s">
        <v>557</v>
      </c>
      <c r="AI2487" s="831">
        <v>0</v>
      </c>
      <c r="AJ2487" s="835">
        <v>39782</v>
      </c>
      <c r="AK2487" s="831">
        <v>70713</v>
      </c>
      <c r="AP2487" s="831" t="str">
        <f t="shared" si="115"/>
        <v/>
      </c>
    </row>
    <row r="2488" spans="2:42">
      <c r="B2488" s="834" t="str">
        <f t="shared" si="114"/>
        <v>|||</v>
      </c>
      <c r="H2488" s="835">
        <f t="shared" si="116"/>
        <v>31</v>
      </c>
      <c r="AF2488" s="831" t="s">
        <v>3185</v>
      </c>
      <c r="AG2488" s="831" t="s">
        <v>2674</v>
      </c>
      <c r="AH2488" s="831" t="s">
        <v>29</v>
      </c>
      <c r="AI2488" s="831">
        <v>0</v>
      </c>
      <c r="AJ2488" s="835">
        <v>39782</v>
      </c>
      <c r="AK2488" s="831">
        <v>156160</v>
      </c>
      <c r="AP2488" s="831" t="str">
        <f t="shared" si="115"/>
        <v/>
      </c>
    </row>
    <row r="2489" spans="2:42">
      <c r="B2489" s="834" t="str">
        <f t="shared" si="114"/>
        <v>|||</v>
      </c>
      <c r="H2489" s="835">
        <f t="shared" si="116"/>
        <v>31</v>
      </c>
      <c r="AF2489" s="831" t="s">
        <v>3186</v>
      </c>
      <c r="AG2489" s="831" t="s">
        <v>2674</v>
      </c>
      <c r="AH2489" s="831" t="s">
        <v>2688</v>
      </c>
      <c r="AI2489" s="831">
        <v>0</v>
      </c>
      <c r="AJ2489" s="835">
        <v>39782</v>
      </c>
      <c r="AK2489" s="831">
        <v>106630</v>
      </c>
      <c r="AP2489" s="831" t="str">
        <f t="shared" si="115"/>
        <v/>
      </c>
    </row>
    <row r="2490" spans="2:42">
      <c r="B2490" s="834" t="str">
        <f t="shared" si="114"/>
        <v>|||</v>
      </c>
      <c r="H2490" s="835">
        <f t="shared" si="116"/>
        <v>31</v>
      </c>
      <c r="AF2490" s="831" t="s">
        <v>3187</v>
      </c>
      <c r="AG2490" s="831" t="s">
        <v>2674</v>
      </c>
      <c r="AH2490" s="831" t="s">
        <v>556</v>
      </c>
      <c r="AI2490" s="831">
        <v>0</v>
      </c>
      <c r="AJ2490" s="835">
        <v>39782</v>
      </c>
      <c r="AK2490" s="831">
        <v>0</v>
      </c>
      <c r="AP2490" s="831" t="str">
        <f t="shared" si="115"/>
        <v/>
      </c>
    </row>
    <row r="2491" spans="2:42">
      <c r="B2491" s="834" t="str">
        <f t="shared" si="114"/>
        <v>|||</v>
      </c>
      <c r="H2491" s="835">
        <f t="shared" si="116"/>
        <v>31</v>
      </c>
      <c r="AF2491" s="831" t="s">
        <v>3188</v>
      </c>
      <c r="AG2491" s="831" t="s">
        <v>2674</v>
      </c>
      <c r="AH2491" s="831" t="s">
        <v>555</v>
      </c>
      <c r="AI2491" s="831">
        <v>0</v>
      </c>
      <c r="AJ2491" s="835">
        <v>39782</v>
      </c>
      <c r="AK2491" s="831">
        <v>131531930</v>
      </c>
      <c r="AP2491" s="831" t="str">
        <f t="shared" si="115"/>
        <v/>
      </c>
    </row>
    <row r="2492" spans="2:42">
      <c r="B2492" s="834" t="str">
        <f t="shared" si="114"/>
        <v>|||</v>
      </c>
      <c r="H2492" s="835">
        <f t="shared" si="116"/>
        <v>31</v>
      </c>
      <c r="AF2492" s="831" t="s">
        <v>3189</v>
      </c>
      <c r="AG2492" s="831" t="s">
        <v>2674</v>
      </c>
      <c r="AH2492" s="831" t="s">
        <v>554</v>
      </c>
      <c r="AI2492" s="831">
        <v>0</v>
      </c>
      <c r="AJ2492" s="835">
        <v>39782</v>
      </c>
      <c r="AK2492" s="831">
        <v>127113130</v>
      </c>
      <c r="AP2492" s="831" t="str">
        <f t="shared" si="115"/>
        <v/>
      </c>
    </row>
    <row r="2493" spans="2:42">
      <c r="B2493" s="834" t="str">
        <f t="shared" si="114"/>
        <v>|||</v>
      </c>
      <c r="H2493" s="835">
        <f t="shared" si="116"/>
        <v>31</v>
      </c>
      <c r="AF2493" s="831" t="s">
        <v>3190</v>
      </c>
      <c r="AG2493" s="831" t="s">
        <v>2674</v>
      </c>
      <c r="AH2493" s="831" t="s">
        <v>553</v>
      </c>
      <c r="AI2493" s="831">
        <v>0</v>
      </c>
      <c r="AJ2493" s="835">
        <v>39782</v>
      </c>
      <c r="AK2493" s="831">
        <v>0</v>
      </c>
      <c r="AP2493" s="831" t="str">
        <f t="shared" si="115"/>
        <v/>
      </c>
    </row>
    <row r="2494" spans="2:42">
      <c r="B2494" s="834" t="str">
        <f t="shared" si="114"/>
        <v>|||</v>
      </c>
      <c r="H2494" s="835">
        <f t="shared" si="116"/>
        <v>31</v>
      </c>
      <c r="AF2494" s="831" t="s">
        <v>3191</v>
      </c>
      <c r="AG2494" s="831" t="s">
        <v>2674</v>
      </c>
      <c r="AH2494" s="831" t="s">
        <v>552</v>
      </c>
      <c r="AI2494" s="831">
        <v>0</v>
      </c>
      <c r="AJ2494" s="835">
        <v>39782</v>
      </c>
      <c r="AK2494" s="831">
        <v>0</v>
      </c>
      <c r="AP2494" s="831" t="str">
        <f t="shared" si="115"/>
        <v/>
      </c>
    </row>
    <row r="2495" spans="2:42">
      <c r="B2495" s="834" t="str">
        <f t="shared" si="114"/>
        <v>|||</v>
      </c>
      <c r="H2495" s="835">
        <f t="shared" si="116"/>
        <v>31</v>
      </c>
      <c r="AF2495" s="831" t="s">
        <v>3192</v>
      </c>
      <c r="AG2495" s="831" t="s">
        <v>2674</v>
      </c>
      <c r="AH2495" s="831" t="s">
        <v>551</v>
      </c>
      <c r="AI2495" s="831">
        <v>0</v>
      </c>
      <c r="AJ2495" s="835">
        <v>39782</v>
      </c>
      <c r="AK2495" s="831">
        <v>156160</v>
      </c>
      <c r="AP2495" s="831" t="str">
        <f t="shared" si="115"/>
        <v/>
      </c>
    </row>
    <row r="2496" spans="2:42">
      <c r="B2496" s="834" t="str">
        <f t="shared" si="114"/>
        <v>|||</v>
      </c>
      <c r="H2496" s="835">
        <f t="shared" si="116"/>
        <v>31</v>
      </c>
      <c r="AF2496" s="831" t="s">
        <v>3193</v>
      </c>
      <c r="AG2496" s="831" t="s">
        <v>2674</v>
      </c>
      <c r="AH2496" s="831" t="s">
        <v>550</v>
      </c>
      <c r="AI2496" s="831">
        <v>0</v>
      </c>
      <c r="AJ2496" s="835">
        <v>39782</v>
      </c>
      <c r="AK2496" s="831">
        <v>31666995</v>
      </c>
      <c r="AP2496" s="831" t="str">
        <f t="shared" si="115"/>
        <v/>
      </c>
    </row>
    <row r="2497" spans="2:42">
      <c r="B2497" s="834" t="str">
        <f t="shared" si="114"/>
        <v>|||</v>
      </c>
      <c r="H2497" s="835">
        <f t="shared" si="116"/>
        <v>31</v>
      </c>
      <c r="AF2497" s="831" t="s">
        <v>3194</v>
      </c>
      <c r="AG2497" s="831" t="s">
        <v>2674</v>
      </c>
      <c r="AH2497" s="831" t="s">
        <v>562</v>
      </c>
      <c r="AI2497" s="831">
        <v>0</v>
      </c>
      <c r="AJ2497" s="835">
        <v>39782</v>
      </c>
      <c r="AK2497" s="831">
        <v>0.81</v>
      </c>
      <c r="AP2497" s="831" t="str">
        <f t="shared" si="115"/>
        <v/>
      </c>
    </row>
    <row r="2498" spans="2:42">
      <c r="B2498" s="834" t="str">
        <f t="shared" si="114"/>
        <v>|||</v>
      </c>
      <c r="H2498" s="835">
        <f t="shared" si="116"/>
        <v>31</v>
      </c>
      <c r="AF2498" s="831" t="s">
        <v>3195</v>
      </c>
      <c r="AG2498" s="831" t="s">
        <v>2674</v>
      </c>
      <c r="AH2498" s="831" t="s">
        <v>2698</v>
      </c>
      <c r="AI2498" s="831">
        <v>0</v>
      </c>
      <c r="AJ2498" s="835">
        <v>39782</v>
      </c>
      <c r="AK2498" s="831">
        <v>0.81</v>
      </c>
      <c r="AP2498" s="831" t="str">
        <f t="shared" si="115"/>
        <v/>
      </c>
    </row>
    <row r="2499" spans="2:42">
      <c r="B2499" s="834" t="str">
        <f t="shared" ref="B2499:B2562" si="117">C2499&amp;"|"&amp;D2499&amp;"|"&amp;E2499&amp;"|"&amp;F2499</f>
        <v>|||</v>
      </c>
      <c r="H2499" s="835">
        <f t="shared" si="116"/>
        <v>31</v>
      </c>
      <c r="AF2499" s="831" t="s">
        <v>3196</v>
      </c>
      <c r="AG2499" s="831" t="s">
        <v>2674</v>
      </c>
      <c r="AH2499" s="831" t="s">
        <v>560</v>
      </c>
      <c r="AI2499" s="831">
        <v>0</v>
      </c>
      <c r="AJ2499" s="835">
        <v>39782</v>
      </c>
      <c r="AK2499" s="831">
        <v>0.82272727272727297</v>
      </c>
      <c r="AP2499" s="831" t="str">
        <f t="shared" ref="AP2499:AP2562" si="118">IF(AX2499&lt;&gt;"",IF(OR(AX2499=3,AX2499=4),"Equity","Debt"),"")</f>
        <v/>
      </c>
    </row>
    <row r="2500" spans="2:42">
      <c r="B2500" s="834" t="str">
        <f t="shared" si="117"/>
        <v>|||</v>
      </c>
      <c r="H2500" s="835">
        <f t="shared" ref="H2500:H2563" si="119">EOMONTH(L2500,0)</f>
        <v>31</v>
      </c>
      <c r="AF2500" s="831" t="s">
        <v>3197</v>
      </c>
      <c r="AG2500" s="831" t="s">
        <v>2674</v>
      </c>
      <c r="AH2500" s="831" t="s">
        <v>559</v>
      </c>
      <c r="AI2500" s="831">
        <v>0</v>
      </c>
      <c r="AJ2500" s="835">
        <v>39782</v>
      </c>
      <c r="AK2500" s="831">
        <v>0.82499999999999996</v>
      </c>
      <c r="AP2500" s="831" t="str">
        <f t="shared" si="118"/>
        <v/>
      </c>
    </row>
    <row r="2501" spans="2:42">
      <c r="B2501" s="834" t="str">
        <f t="shared" si="117"/>
        <v>|||</v>
      </c>
      <c r="H2501" s="835">
        <f t="shared" si="119"/>
        <v>31</v>
      </c>
      <c r="AF2501" s="831" t="s">
        <v>3198</v>
      </c>
      <c r="AG2501" s="831" t="s">
        <v>2674</v>
      </c>
      <c r="AH2501" s="831" t="s">
        <v>568</v>
      </c>
      <c r="AI2501" s="831">
        <v>0</v>
      </c>
      <c r="AJ2501" s="835">
        <v>39782</v>
      </c>
      <c r="AK2501" s="831">
        <v>0</v>
      </c>
      <c r="AP2501" s="831" t="str">
        <f t="shared" si="118"/>
        <v/>
      </c>
    </row>
    <row r="2502" spans="2:42">
      <c r="B2502" s="834" t="str">
        <f t="shared" si="117"/>
        <v>|||</v>
      </c>
      <c r="H2502" s="835">
        <f t="shared" si="119"/>
        <v>31</v>
      </c>
      <c r="AF2502" s="831" t="s">
        <v>3199</v>
      </c>
      <c r="AG2502" s="831" t="s">
        <v>2674</v>
      </c>
      <c r="AH2502" s="831" t="s">
        <v>569</v>
      </c>
      <c r="AI2502" s="831">
        <v>0</v>
      </c>
      <c r="AJ2502" s="835">
        <v>39782</v>
      </c>
      <c r="AK2502" s="831">
        <v>0</v>
      </c>
      <c r="AP2502" s="831" t="str">
        <f t="shared" si="118"/>
        <v/>
      </c>
    </row>
    <row r="2503" spans="2:42">
      <c r="B2503" s="834" t="str">
        <f t="shared" si="117"/>
        <v>|||</v>
      </c>
      <c r="H2503" s="835">
        <f t="shared" si="119"/>
        <v>31</v>
      </c>
      <c r="AF2503" s="831" t="s">
        <v>3200</v>
      </c>
      <c r="AG2503" s="831" t="s">
        <v>2674</v>
      </c>
      <c r="AH2503" s="831" t="s">
        <v>570</v>
      </c>
      <c r="AI2503" s="831">
        <v>0</v>
      </c>
      <c r="AJ2503" s="835">
        <v>39782</v>
      </c>
      <c r="AK2503" s="831">
        <v>0</v>
      </c>
      <c r="AP2503" s="831" t="str">
        <f t="shared" si="118"/>
        <v/>
      </c>
    </row>
    <row r="2504" spans="2:42">
      <c r="B2504" s="834" t="str">
        <f t="shared" si="117"/>
        <v>|||</v>
      </c>
      <c r="H2504" s="835">
        <f t="shared" si="119"/>
        <v>31</v>
      </c>
      <c r="AF2504" s="831" t="s">
        <v>3201</v>
      </c>
      <c r="AG2504" s="831" t="s">
        <v>2674</v>
      </c>
      <c r="AH2504" s="831" t="s">
        <v>571</v>
      </c>
      <c r="AI2504" s="831">
        <v>0</v>
      </c>
      <c r="AJ2504" s="835">
        <v>39782</v>
      </c>
      <c r="AK2504" s="831">
        <v>0</v>
      </c>
      <c r="AP2504" s="831" t="str">
        <f t="shared" si="118"/>
        <v/>
      </c>
    </row>
    <row r="2505" spans="2:42">
      <c r="B2505" s="834" t="str">
        <f t="shared" si="117"/>
        <v>|||</v>
      </c>
      <c r="H2505" s="835">
        <f t="shared" si="119"/>
        <v>31</v>
      </c>
      <c r="AF2505" s="831" t="s">
        <v>3202</v>
      </c>
      <c r="AG2505" s="831" t="s">
        <v>2674</v>
      </c>
      <c r="AH2505" s="831" t="s">
        <v>573</v>
      </c>
      <c r="AI2505" s="831">
        <v>0</v>
      </c>
      <c r="AJ2505" s="835">
        <v>39782</v>
      </c>
      <c r="AK2505" s="831">
        <v>0</v>
      </c>
      <c r="AP2505" s="831" t="str">
        <f t="shared" si="118"/>
        <v/>
      </c>
    </row>
    <row r="2506" spans="2:42">
      <c r="B2506" s="834" t="str">
        <f t="shared" si="117"/>
        <v>|||</v>
      </c>
      <c r="H2506" s="835">
        <f t="shared" si="119"/>
        <v>31</v>
      </c>
      <c r="AF2506" s="831" t="s">
        <v>3203</v>
      </c>
      <c r="AG2506" s="831" t="s">
        <v>2674</v>
      </c>
      <c r="AH2506" s="831" t="s">
        <v>574</v>
      </c>
      <c r="AI2506" s="831">
        <v>0</v>
      </c>
      <c r="AJ2506" s="835">
        <v>39782</v>
      </c>
      <c r="AK2506" s="831">
        <v>0</v>
      </c>
      <c r="AP2506" s="831" t="str">
        <f t="shared" si="118"/>
        <v/>
      </c>
    </row>
    <row r="2507" spans="2:42">
      <c r="B2507" s="834" t="str">
        <f t="shared" si="117"/>
        <v>|||</v>
      </c>
      <c r="H2507" s="835">
        <f t="shared" si="119"/>
        <v>31</v>
      </c>
      <c r="AF2507" s="831" t="s">
        <v>3204</v>
      </c>
      <c r="AG2507" s="831" t="s">
        <v>2674</v>
      </c>
      <c r="AH2507" s="831" t="s">
        <v>575</v>
      </c>
      <c r="AI2507" s="831">
        <v>0</v>
      </c>
      <c r="AJ2507" s="835">
        <v>39782</v>
      </c>
      <c r="AK2507" s="831">
        <v>0</v>
      </c>
      <c r="AP2507" s="831" t="str">
        <f t="shared" si="118"/>
        <v/>
      </c>
    </row>
    <row r="2508" spans="2:42">
      <c r="B2508" s="834" t="str">
        <f t="shared" si="117"/>
        <v>|||</v>
      </c>
      <c r="H2508" s="835">
        <f t="shared" si="119"/>
        <v>31</v>
      </c>
      <c r="AF2508" s="831" t="s">
        <v>3205</v>
      </c>
      <c r="AG2508" s="831" t="s">
        <v>2674</v>
      </c>
      <c r="AH2508" s="831" t="s">
        <v>576</v>
      </c>
      <c r="AI2508" s="831">
        <v>0</v>
      </c>
      <c r="AJ2508" s="835">
        <v>39782</v>
      </c>
      <c r="AK2508" s="831">
        <v>0</v>
      </c>
      <c r="AP2508" s="831" t="str">
        <f t="shared" si="118"/>
        <v/>
      </c>
    </row>
    <row r="2509" spans="2:42">
      <c r="B2509" s="834" t="str">
        <f t="shared" si="117"/>
        <v>|||</v>
      </c>
      <c r="H2509" s="835">
        <f t="shared" si="119"/>
        <v>31</v>
      </c>
      <c r="AF2509" s="831" t="s">
        <v>3206</v>
      </c>
      <c r="AG2509" s="831" t="s">
        <v>2674</v>
      </c>
      <c r="AH2509" s="831" t="s">
        <v>572</v>
      </c>
      <c r="AI2509" s="831">
        <v>0</v>
      </c>
      <c r="AJ2509" s="835">
        <v>39782</v>
      </c>
      <c r="AK2509" s="831">
        <v>0</v>
      </c>
      <c r="AP2509" s="831" t="str">
        <f t="shared" si="118"/>
        <v/>
      </c>
    </row>
    <row r="2510" spans="2:42">
      <c r="B2510" s="834" t="str">
        <f t="shared" si="117"/>
        <v>|||</v>
      </c>
      <c r="H2510" s="835">
        <f t="shared" si="119"/>
        <v>31</v>
      </c>
      <c r="AF2510" s="831" t="s">
        <v>3207</v>
      </c>
      <c r="AG2510" s="831" t="s">
        <v>2674</v>
      </c>
      <c r="AH2510" s="831" t="s">
        <v>577</v>
      </c>
      <c r="AI2510" s="831">
        <v>0</v>
      </c>
      <c r="AJ2510" s="835">
        <v>39782</v>
      </c>
      <c r="AK2510" s="831">
        <v>0</v>
      </c>
      <c r="AP2510" s="831" t="str">
        <f t="shared" si="118"/>
        <v/>
      </c>
    </row>
    <row r="2511" spans="2:42">
      <c r="B2511" s="834" t="str">
        <f t="shared" si="117"/>
        <v>|||</v>
      </c>
      <c r="H2511" s="835">
        <f t="shared" si="119"/>
        <v>31</v>
      </c>
      <c r="AF2511" s="831" t="s">
        <v>3208</v>
      </c>
      <c r="AG2511" s="831" t="s">
        <v>2674</v>
      </c>
      <c r="AH2511" s="831" t="s">
        <v>3042</v>
      </c>
      <c r="AI2511" s="831">
        <v>0</v>
      </c>
      <c r="AJ2511" s="835">
        <v>39782</v>
      </c>
      <c r="AK2511" s="831">
        <v>0</v>
      </c>
      <c r="AP2511" s="831" t="str">
        <f t="shared" si="118"/>
        <v/>
      </c>
    </row>
    <row r="2512" spans="2:42">
      <c r="B2512" s="834" t="str">
        <f t="shared" si="117"/>
        <v>|||</v>
      </c>
      <c r="H2512" s="835">
        <f t="shared" si="119"/>
        <v>31</v>
      </c>
      <c r="AF2512" s="831" t="s">
        <v>3209</v>
      </c>
      <c r="AG2512" s="831" t="s">
        <v>2674</v>
      </c>
      <c r="AH2512" s="831" t="s">
        <v>3044</v>
      </c>
      <c r="AI2512" s="831">
        <v>0</v>
      </c>
      <c r="AJ2512" s="835">
        <v>39782</v>
      </c>
      <c r="AK2512" s="831">
        <v>0</v>
      </c>
      <c r="AP2512" s="831" t="str">
        <f t="shared" si="118"/>
        <v/>
      </c>
    </row>
    <row r="2513" spans="2:42">
      <c r="B2513" s="834" t="str">
        <f t="shared" si="117"/>
        <v>|||</v>
      </c>
      <c r="H2513" s="835">
        <f t="shared" si="119"/>
        <v>31</v>
      </c>
      <c r="AF2513" s="831" t="s">
        <v>3210</v>
      </c>
      <c r="AG2513" s="831" t="s">
        <v>2674</v>
      </c>
      <c r="AH2513" s="831" t="s">
        <v>580</v>
      </c>
      <c r="AI2513" s="831">
        <v>0</v>
      </c>
      <c r="AJ2513" s="835">
        <v>39782</v>
      </c>
      <c r="AK2513" s="831">
        <v>0</v>
      </c>
      <c r="AP2513" s="831" t="str">
        <f t="shared" si="118"/>
        <v/>
      </c>
    </row>
    <row r="2514" spans="2:42">
      <c r="B2514" s="834" t="str">
        <f t="shared" si="117"/>
        <v>|||</v>
      </c>
      <c r="H2514" s="835">
        <f t="shared" si="119"/>
        <v>31</v>
      </c>
      <c r="AF2514" s="831" t="s">
        <v>3211</v>
      </c>
      <c r="AG2514" s="831" t="s">
        <v>2674</v>
      </c>
      <c r="AH2514" s="831" t="s">
        <v>581</v>
      </c>
      <c r="AI2514" s="831">
        <v>0</v>
      </c>
      <c r="AJ2514" s="835">
        <v>39782</v>
      </c>
      <c r="AK2514" s="831">
        <v>0</v>
      </c>
      <c r="AP2514" s="831" t="str">
        <f t="shared" si="118"/>
        <v/>
      </c>
    </row>
    <row r="2515" spans="2:42">
      <c r="B2515" s="834" t="str">
        <f t="shared" si="117"/>
        <v>|||</v>
      </c>
      <c r="H2515" s="835">
        <f t="shared" si="119"/>
        <v>31</v>
      </c>
      <c r="AF2515" s="831" t="s">
        <v>3212</v>
      </c>
      <c r="AG2515" s="831" t="s">
        <v>2674</v>
      </c>
      <c r="AH2515" s="831" t="s">
        <v>105</v>
      </c>
      <c r="AI2515" s="831">
        <v>0</v>
      </c>
      <c r="AJ2515" s="835">
        <v>39782</v>
      </c>
      <c r="AK2515" s="831">
        <v>126990610</v>
      </c>
      <c r="AP2515" s="831" t="str">
        <f t="shared" si="118"/>
        <v/>
      </c>
    </row>
    <row r="2516" spans="2:42">
      <c r="B2516" s="834" t="str">
        <f t="shared" si="117"/>
        <v>|||</v>
      </c>
      <c r="H2516" s="835">
        <f t="shared" si="119"/>
        <v>31</v>
      </c>
      <c r="AF2516" s="831" t="s">
        <v>3213</v>
      </c>
      <c r="AG2516" s="831" t="s">
        <v>2674</v>
      </c>
      <c r="AH2516" s="831" t="s">
        <v>3049</v>
      </c>
      <c r="AI2516" s="831">
        <v>0</v>
      </c>
      <c r="AJ2516" s="835">
        <v>39782</v>
      </c>
      <c r="AK2516" s="831">
        <v>149148497</v>
      </c>
      <c r="AP2516" s="831" t="str">
        <f t="shared" si="118"/>
        <v/>
      </c>
    </row>
    <row r="2517" spans="2:42">
      <c r="B2517" s="834" t="str">
        <f t="shared" si="117"/>
        <v>|||</v>
      </c>
      <c r="H2517" s="835">
        <f t="shared" si="119"/>
        <v>31</v>
      </c>
      <c r="AF2517" s="831" t="s">
        <v>3214</v>
      </c>
      <c r="AG2517" s="831" t="s">
        <v>131</v>
      </c>
      <c r="AH2517" s="831" t="s">
        <v>138</v>
      </c>
      <c r="AI2517" s="831">
        <v>1</v>
      </c>
      <c r="AJ2517" s="835">
        <v>40543</v>
      </c>
      <c r="AK2517" s="831">
        <v>87703000</v>
      </c>
      <c r="AP2517" s="831" t="str">
        <f t="shared" si="118"/>
        <v/>
      </c>
    </row>
    <row r="2518" spans="2:42">
      <c r="B2518" s="834" t="str">
        <f t="shared" si="117"/>
        <v>|||</v>
      </c>
      <c r="H2518" s="835">
        <f t="shared" si="119"/>
        <v>31</v>
      </c>
      <c r="AF2518" s="831" t="s">
        <v>3215</v>
      </c>
      <c r="AG2518" s="831" t="s">
        <v>131</v>
      </c>
      <c r="AH2518" s="831" t="s">
        <v>141</v>
      </c>
      <c r="AI2518" s="831">
        <v>1</v>
      </c>
      <c r="AJ2518" s="835">
        <v>40543</v>
      </c>
      <c r="AK2518" s="831">
        <v>1129000</v>
      </c>
      <c r="AP2518" s="831" t="str">
        <f t="shared" si="118"/>
        <v/>
      </c>
    </row>
    <row r="2519" spans="2:42">
      <c r="B2519" s="834" t="str">
        <f t="shared" si="117"/>
        <v>|||</v>
      </c>
      <c r="H2519" s="835">
        <f t="shared" si="119"/>
        <v>31</v>
      </c>
      <c r="AF2519" s="831" t="s">
        <v>3216</v>
      </c>
      <c r="AG2519" s="831" t="s">
        <v>131</v>
      </c>
      <c r="AH2519" s="831" t="s">
        <v>146</v>
      </c>
      <c r="AI2519" s="831">
        <v>1</v>
      </c>
      <c r="AJ2519" s="835">
        <v>40543</v>
      </c>
      <c r="AK2519" s="831">
        <v>-15098000</v>
      </c>
      <c r="AP2519" s="831" t="str">
        <f t="shared" si="118"/>
        <v/>
      </c>
    </row>
    <row r="2520" spans="2:42">
      <c r="B2520" s="834" t="str">
        <f t="shared" si="117"/>
        <v>|||</v>
      </c>
      <c r="H2520" s="835">
        <f t="shared" si="119"/>
        <v>31</v>
      </c>
      <c r="AF2520" s="831" t="s">
        <v>3217</v>
      </c>
      <c r="AG2520" s="831" t="s">
        <v>131</v>
      </c>
      <c r="AH2520" s="831" t="s">
        <v>150</v>
      </c>
      <c r="AI2520" s="831">
        <v>1</v>
      </c>
      <c r="AJ2520" s="835">
        <v>40543</v>
      </c>
      <c r="AK2520" s="831">
        <v>-10491000</v>
      </c>
      <c r="AP2520" s="831" t="str">
        <f t="shared" si="118"/>
        <v/>
      </c>
    </row>
    <row r="2521" spans="2:42">
      <c r="B2521" s="834" t="str">
        <f t="shared" si="117"/>
        <v>|||</v>
      </c>
      <c r="H2521" s="835">
        <f t="shared" si="119"/>
        <v>31</v>
      </c>
      <c r="AF2521" s="831" t="s">
        <v>3218</v>
      </c>
      <c r="AG2521" s="831" t="s">
        <v>131</v>
      </c>
      <c r="AH2521" s="831" t="s">
        <v>77</v>
      </c>
      <c r="AI2521" s="831">
        <v>1</v>
      </c>
      <c r="AJ2521" s="835">
        <v>40543</v>
      </c>
      <c r="AK2521" s="831">
        <v>-2067000</v>
      </c>
      <c r="AP2521" s="831" t="str">
        <f t="shared" si="118"/>
        <v/>
      </c>
    </row>
    <row r="2522" spans="2:42">
      <c r="B2522" s="834" t="str">
        <f t="shared" si="117"/>
        <v>|||</v>
      </c>
      <c r="H2522" s="835">
        <f t="shared" si="119"/>
        <v>31</v>
      </c>
      <c r="AF2522" s="831" t="s">
        <v>3219</v>
      </c>
      <c r="AG2522" s="831" t="s">
        <v>131</v>
      </c>
      <c r="AH2522" s="831" t="s">
        <v>167</v>
      </c>
      <c r="AI2522" s="831">
        <v>1</v>
      </c>
      <c r="AJ2522" s="835">
        <v>40543</v>
      </c>
      <c r="AK2522" s="831">
        <v>0</v>
      </c>
      <c r="AP2522" s="831" t="str">
        <f t="shared" si="118"/>
        <v/>
      </c>
    </row>
    <row r="2523" spans="2:42">
      <c r="B2523" s="834" t="str">
        <f t="shared" si="117"/>
        <v>|||</v>
      </c>
      <c r="H2523" s="835">
        <f t="shared" si="119"/>
        <v>31</v>
      </c>
      <c r="AF2523" s="831" t="s">
        <v>3220</v>
      </c>
      <c r="AG2523" s="831" t="s">
        <v>131</v>
      </c>
      <c r="AH2523" s="831" t="s">
        <v>169</v>
      </c>
      <c r="AI2523" s="831">
        <v>1</v>
      </c>
      <c r="AJ2523" s="835">
        <v>40543</v>
      </c>
      <c r="AK2523" s="831">
        <v>-175000</v>
      </c>
      <c r="AP2523" s="831" t="str">
        <f t="shared" si="118"/>
        <v/>
      </c>
    </row>
    <row r="2524" spans="2:42">
      <c r="B2524" s="834" t="str">
        <f t="shared" si="117"/>
        <v>|||</v>
      </c>
      <c r="H2524" s="835">
        <f t="shared" si="119"/>
        <v>31</v>
      </c>
      <c r="AF2524" s="831" t="s">
        <v>3221</v>
      </c>
      <c r="AG2524" s="831" t="s">
        <v>131</v>
      </c>
      <c r="AH2524" s="831" t="s">
        <v>172</v>
      </c>
      <c r="AI2524" s="831">
        <v>1</v>
      </c>
      <c r="AJ2524" s="835">
        <v>40543</v>
      </c>
      <c r="AK2524" s="831">
        <v>75000</v>
      </c>
      <c r="AP2524" s="831" t="str">
        <f t="shared" si="118"/>
        <v/>
      </c>
    </row>
    <row r="2525" spans="2:42">
      <c r="B2525" s="834" t="str">
        <f t="shared" si="117"/>
        <v>|||</v>
      </c>
      <c r="H2525" s="835">
        <f t="shared" si="119"/>
        <v>31</v>
      </c>
      <c r="AF2525" s="831" t="s">
        <v>3222</v>
      </c>
      <c r="AG2525" s="831" t="s">
        <v>131</v>
      </c>
      <c r="AH2525" s="831" t="s">
        <v>175</v>
      </c>
      <c r="AI2525" s="831">
        <v>1</v>
      </c>
      <c r="AJ2525" s="835">
        <v>40543</v>
      </c>
      <c r="AK2525" s="831">
        <v>827000</v>
      </c>
      <c r="AP2525" s="831" t="str">
        <f t="shared" si="118"/>
        <v/>
      </c>
    </row>
    <row r="2526" spans="2:42">
      <c r="B2526" s="834" t="str">
        <f t="shared" si="117"/>
        <v>|||</v>
      </c>
      <c r="H2526" s="835">
        <f t="shared" si="119"/>
        <v>31</v>
      </c>
      <c r="AF2526" s="831" t="s">
        <v>3223</v>
      </c>
      <c r="AG2526" s="831" t="s">
        <v>131</v>
      </c>
      <c r="AH2526" s="831" t="s">
        <v>185</v>
      </c>
      <c r="AI2526" s="831">
        <v>1</v>
      </c>
      <c r="AJ2526" s="835">
        <v>40543</v>
      </c>
      <c r="AK2526" s="831">
        <v>-21013000</v>
      </c>
      <c r="AP2526" s="831" t="str">
        <f t="shared" si="118"/>
        <v/>
      </c>
    </row>
    <row r="2527" spans="2:42">
      <c r="B2527" s="834" t="str">
        <f t="shared" si="117"/>
        <v>|||</v>
      </c>
      <c r="H2527" s="835">
        <f t="shared" si="119"/>
        <v>31</v>
      </c>
      <c r="AF2527" s="831" t="s">
        <v>3224</v>
      </c>
      <c r="AG2527" s="831" t="s">
        <v>131</v>
      </c>
      <c r="AH2527" s="831" t="s">
        <v>188</v>
      </c>
      <c r="AI2527" s="831">
        <v>1</v>
      </c>
      <c r="AJ2527" s="835">
        <v>40543</v>
      </c>
      <c r="AK2527" s="831">
        <v>-11942000</v>
      </c>
      <c r="AP2527" s="831" t="str">
        <f t="shared" si="118"/>
        <v/>
      </c>
    </row>
    <row r="2528" spans="2:42">
      <c r="B2528" s="834" t="str">
        <f t="shared" si="117"/>
        <v>|||</v>
      </c>
      <c r="H2528" s="835">
        <f t="shared" si="119"/>
        <v>31</v>
      </c>
      <c r="AF2528" s="831" t="s">
        <v>3225</v>
      </c>
      <c r="AG2528" s="831" t="s">
        <v>131</v>
      </c>
      <c r="AH2528" s="831" t="s">
        <v>191</v>
      </c>
      <c r="AI2528" s="831">
        <v>1</v>
      </c>
      <c r="AJ2528" s="835">
        <v>40543</v>
      </c>
      <c r="AK2528" s="831">
        <v>-2699000</v>
      </c>
      <c r="AP2528" s="831" t="str">
        <f t="shared" si="118"/>
        <v/>
      </c>
    </row>
    <row r="2529" spans="2:42">
      <c r="B2529" s="834" t="str">
        <f t="shared" si="117"/>
        <v>|||</v>
      </c>
      <c r="H2529" s="835">
        <f t="shared" si="119"/>
        <v>31</v>
      </c>
      <c r="AF2529" s="831" t="s">
        <v>3226</v>
      </c>
      <c r="AG2529" s="831" t="s">
        <v>131</v>
      </c>
      <c r="AH2529" s="831" t="s">
        <v>198</v>
      </c>
      <c r="AI2529" s="831">
        <v>1</v>
      </c>
      <c r="AJ2529" s="835">
        <v>40543</v>
      </c>
      <c r="AK2529" s="831">
        <v>0</v>
      </c>
      <c r="AP2529" s="831" t="str">
        <f t="shared" si="118"/>
        <v/>
      </c>
    </row>
    <row r="2530" spans="2:42">
      <c r="B2530" s="834" t="str">
        <f t="shared" si="117"/>
        <v>|||</v>
      </c>
      <c r="H2530" s="835">
        <f t="shared" si="119"/>
        <v>31</v>
      </c>
      <c r="AF2530" s="831" t="s">
        <v>3227</v>
      </c>
      <c r="AG2530" s="831" t="s">
        <v>131</v>
      </c>
      <c r="AH2530" s="831" t="s">
        <v>200</v>
      </c>
      <c r="AI2530" s="831">
        <v>1</v>
      </c>
      <c r="AJ2530" s="835">
        <v>40543</v>
      </c>
      <c r="AK2530" s="831">
        <v>0</v>
      </c>
      <c r="AP2530" s="831" t="str">
        <f t="shared" si="118"/>
        <v/>
      </c>
    </row>
    <row r="2531" spans="2:42">
      <c r="B2531" s="834" t="str">
        <f t="shared" si="117"/>
        <v>|||</v>
      </c>
      <c r="H2531" s="835">
        <f t="shared" si="119"/>
        <v>31</v>
      </c>
      <c r="AF2531" s="831" t="s">
        <v>3228</v>
      </c>
      <c r="AG2531" s="831" t="s">
        <v>131</v>
      </c>
      <c r="AH2531" s="831" t="s">
        <v>205</v>
      </c>
      <c r="AI2531" s="831">
        <v>1</v>
      </c>
      <c r="AJ2531" s="835">
        <v>40543</v>
      </c>
      <c r="AK2531" s="831">
        <v>-79000</v>
      </c>
      <c r="AP2531" s="831" t="str">
        <f t="shared" si="118"/>
        <v/>
      </c>
    </row>
    <row r="2532" spans="2:42">
      <c r="B2532" s="834" t="str">
        <f t="shared" si="117"/>
        <v>|||</v>
      </c>
      <c r="H2532" s="835">
        <f t="shared" si="119"/>
        <v>31</v>
      </c>
      <c r="AF2532" s="831" t="s">
        <v>3229</v>
      </c>
      <c r="AG2532" s="831" t="s">
        <v>131</v>
      </c>
      <c r="AH2532" s="831" t="s">
        <v>122</v>
      </c>
      <c r="AI2532" s="831">
        <v>1</v>
      </c>
      <c r="AJ2532" s="835">
        <v>40543</v>
      </c>
      <c r="AK2532" s="831">
        <v>0</v>
      </c>
      <c r="AP2532" s="831" t="str">
        <f t="shared" si="118"/>
        <v/>
      </c>
    </row>
    <row r="2533" spans="2:42">
      <c r="B2533" s="834" t="str">
        <f t="shared" si="117"/>
        <v>|||</v>
      </c>
      <c r="H2533" s="835">
        <f t="shared" si="119"/>
        <v>31</v>
      </c>
      <c r="AF2533" s="831" t="s">
        <v>3230</v>
      </c>
      <c r="AG2533" s="831" t="s">
        <v>131</v>
      </c>
      <c r="AH2533" s="831" t="s">
        <v>213</v>
      </c>
      <c r="AI2533" s="831">
        <v>1</v>
      </c>
      <c r="AJ2533" s="835">
        <v>40543</v>
      </c>
      <c r="AK2533" s="831">
        <v>0</v>
      </c>
      <c r="AP2533" s="831" t="str">
        <f t="shared" si="118"/>
        <v/>
      </c>
    </row>
    <row r="2534" spans="2:42">
      <c r="B2534" s="834" t="str">
        <f t="shared" si="117"/>
        <v>|||</v>
      </c>
      <c r="H2534" s="835">
        <f t="shared" si="119"/>
        <v>31</v>
      </c>
      <c r="AF2534" s="831" t="s">
        <v>3231</v>
      </c>
      <c r="AG2534" s="831" t="s">
        <v>131</v>
      </c>
      <c r="AH2534" s="831" t="s">
        <v>215</v>
      </c>
      <c r="AI2534" s="831">
        <v>1</v>
      </c>
      <c r="AJ2534" s="835">
        <v>40543</v>
      </c>
      <c r="AK2534" s="831">
        <v>0</v>
      </c>
      <c r="AP2534" s="831" t="str">
        <f t="shared" si="118"/>
        <v/>
      </c>
    </row>
    <row r="2535" spans="2:42">
      <c r="B2535" s="834" t="str">
        <f t="shared" si="117"/>
        <v>|||</v>
      </c>
      <c r="H2535" s="835">
        <f t="shared" si="119"/>
        <v>31</v>
      </c>
      <c r="AF2535" s="831" t="s">
        <v>3232</v>
      </c>
      <c r="AG2535" s="831" t="s">
        <v>131</v>
      </c>
      <c r="AH2535" s="831" t="s">
        <v>217</v>
      </c>
      <c r="AI2535" s="831">
        <v>1</v>
      </c>
      <c r="AJ2535" s="835">
        <v>40543</v>
      </c>
      <c r="AK2535" s="831">
        <v>0</v>
      </c>
      <c r="AP2535" s="831" t="str">
        <f t="shared" si="118"/>
        <v/>
      </c>
    </row>
    <row r="2536" spans="2:42">
      <c r="B2536" s="834" t="str">
        <f t="shared" si="117"/>
        <v>|||</v>
      </c>
      <c r="H2536" s="835">
        <f t="shared" si="119"/>
        <v>31</v>
      </c>
      <c r="AF2536" s="831" t="s">
        <v>3233</v>
      </c>
      <c r="AG2536" s="831" t="s">
        <v>131</v>
      </c>
      <c r="AH2536" s="831" t="s">
        <v>223</v>
      </c>
      <c r="AI2536" s="831">
        <v>1</v>
      </c>
      <c r="AJ2536" s="835">
        <v>40543</v>
      </c>
      <c r="AK2536" s="831">
        <v>0</v>
      </c>
      <c r="AP2536" s="831" t="str">
        <f t="shared" si="118"/>
        <v/>
      </c>
    </row>
    <row r="2537" spans="2:42">
      <c r="B2537" s="834" t="str">
        <f t="shared" si="117"/>
        <v>|||</v>
      </c>
      <c r="H2537" s="835">
        <f t="shared" si="119"/>
        <v>31</v>
      </c>
      <c r="AF2537" s="831" t="s">
        <v>3234</v>
      </c>
      <c r="AG2537" s="831" t="s">
        <v>131</v>
      </c>
      <c r="AH2537" s="831" t="s">
        <v>224</v>
      </c>
      <c r="AI2537" s="831">
        <v>1</v>
      </c>
      <c r="AJ2537" s="835">
        <v>40543</v>
      </c>
      <c r="AK2537" s="831">
        <v>0</v>
      </c>
      <c r="AP2537" s="831" t="str">
        <f t="shared" si="118"/>
        <v/>
      </c>
    </row>
    <row r="2538" spans="2:42">
      <c r="B2538" s="834" t="str">
        <f t="shared" si="117"/>
        <v>|||</v>
      </c>
      <c r="H2538" s="835">
        <f t="shared" si="119"/>
        <v>31</v>
      </c>
      <c r="AF2538" s="831" t="s">
        <v>3235</v>
      </c>
      <c r="AG2538" s="831" t="s">
        <v>131</v>
      </c>
      <c r="AH2538" s="831" t="s">
        <v>128</v>
      </c>
      <c r="AI2538" s="831">
        <v>1</v>
      </c>
      <c r="AJ2538" s="835">
        <v>40543</v>
      </c>
      <c r="AK2538" s="831">
        <v>0</v>
      </c>
      <c r="AP2538" s="831" t="str">
        <f t="shared" si="118"/>
        <v/>
      </c>
    </row>
    <row r="2539" spans="2:42">
      <c r="B2539" s="834" t="str">
        <f t="shared" si="117"/>
        <v>|||</v>
      </c>
      <c r="H2539" s="835">
        <f t="shared" si="119"/>
        <v>31</v>
      </c>
      <c r="AF2539" s="831" t="s">
        <v>3236</v>
      </c>
      <c r="AG2539" s="831" t="s">
        <v>131</v>
      </c>
      <c r="AH2539" s="831" t="s">
        <v>3237</v>
      </c>
      <c r="AI2539" s="831">
        <v>1</v>
      </c>
      <c r="AJ2539" s="835">
        <v>40543</v>
      </c>
      <c r="AK2539" s="831">
        <v>0</v>
      </c>
      <c r="AP2539" s="831" t="str">
        <f t="shared" si="118"/>
        <v/>
      </c>
    </row>
    <row r="2540" spans="2:42">
      <c r="B2540" s="834" t="str">
        <f t="shared" si="117"/>
        <v>|||</v>
      </c>
      <c r="H2540" s="835">
        <f t="shared" si="119"/>
        <v>31</v>
      </c>
      <c r="AF2540" s="831" t="s">
        <v>3238</v>
      </c>
      <c r="AG2540" s="831" t="s">
        <v>131</v>
      </c>
      <c r="AH2540" s="831" t="s">
        <v>3239</v>
      </c>
      <c r="AI2540" s="831">
        <v>1</v>
      </c>
      <c r="AJ2540" s="835">
        <v>40543</v>
      </c>
      <c r="AK2540" s="831">
        <v>0</v>
      </c>
      <c r="AP2540" s="831" t="str">
        <f t="shared" si="118"/>
        <v/>
      </c>
    </row>
    <row r="2541" spans="2:42">
      <c r="B2541" s="834" t="str">
        <f t="shared" si="117"/>
        <v>|||</v>
      </c>
      <c r="H2541" s="835">
        <f t="shared" si="119"/>
        <v>31</v>
      </c>
      <c r="AF2541" s="831" t="s">
        <v>3240</v>
      </c>
      <c r="AG2541" s="831" t="s">
        <v>132</v>
      </c>
      <c r="AH2541" s="831" t="s">
        <v>68</v>
      </c>
      <c r="AI2541" s="831">
        <v>1</v>
      </c>
      <c r="AJ2541" s="835">
        <v>40543</v>
      </c>
      <c r="AK2541" s="831">
        <v>269424000</v>
      </c>
      <c r="AP2541" s="831" t="str">
        <f t="shared" si="118"/>
        <v/>
      </c>
    </row>
    <row r="2542" spans="2:42">
      <c r="B2542" s="834" t="str">
        <f t="shared" si="117"/>
        <v>|||</v>
      </c>
      <c r="H2542" s="835">
        <f t="shared" si="119"/>
        <v>31</v>
      </c>
      <c r="AF2542" s="831" t="s">
        <v>3241</v>
      </c>
      <c r="AG2542" s="831" t="s">
        <v>132</v>
      </c>
      <c r="AH2542" s="831" t="s">
        <v>73</v>
      </c>
      <c r="AI2542" s="831">
        <v>1</v>
      </c>
      <c r="AJ2542" s="835">
        <v>40543</v>
      </c>
      <c r="AK2542" s="831">
        <v>2176000</v>
      </c>
      <c r="AP2542" s="831" t="str">
        <f t="shared" si="118"/>
        <v/>
      </c>
    </row>
    <row r="2543" spans="2:42">
      <c r="B2543" s="834" t="str">
        <f t="shared" si="117"/>
        <v>|||</v>
      </c>
      <c r="H2543" s="835">
        <f t="shared" si="119"/>
        <v>31</v>
      </c>
      <c r="AF2543" s="831" t="s">
        <v>3242</v>
      </c>
      <c r="AG2543" s="831" t="s">
        <v>132</v>
      </c>
      <c r="AH2543" s="831" t="s">
        <v>147</v>
      </c>
      <c r="AI2543" s="831">
        <v>1</v>
      </c>
      <c r="AJ2543" s="835">
        <v>40543</v>
      </c>
      <c r="AK2543" s="831">
        <v>0</v>
      </c>
      <c r="AP2543" s="831" t="str">
        <f t="shared" si="118"/>
        <v/>
      </c>
    </row>
    <row r="2544" spans="2:42">
      <c r="B2544" s="834" t="str">
        <f t="shared" si="117"/>
        <v>|||</v>
      </c>
      <c r="H2544" s="835">
        <f t="shared" si="119"/>
        <v>31</v>
      </c>
      <c r="AF2544" s="831" t="s">
        <v>3243</v>
      </c>
      <c r="AG2544" s="831" t="s">
        <v>132</v>
      </c>
      <c r="AH2544" s="831" t="s">
        <v>151</v>
      </c>
      <c r="AI2544" s="831">
        <v>1</v>
      </c>
      <c r="AJ2544" s="835">
        <v>40543</v>
      </c>
      <c r="AK2544" s="831">
        <v>404000</v>
      </c>
      <c r="AP2544" s="831" t="str">
        <f t="shared" si="118"/>
        <v/>
      </c>
    </row>
    <row r="2545" spans="2:42">
      <c r="B2545" s="834" t="str">
        <f t="shared" si="117"/>
        <v>|||</v>
      </c>
      <c r="H2545" s="835">
        <f t="shared" si="119"/>
        <v>31</v>
      </c>
      <c r="AF2545" s="831" t="s">
        <v>3244</v>
      </c>
      <c r="AG2545" s="831" t="s">
        <v>132</v>
      </c>
      <c r="AH2545" s="831" t="s">
        <v>155</v>
      </c>
      <c r="AI2545" s="831">
        <v>1</v>
      </c>
      <c r="AJ2545" s="835">
        <v>40543</v>
      </c>
      <c r="AK2545" s="831">
        <v>0</v>
      </c>
      <c r="AP2545" s="831" t="str">
        <f t="shared" si="118"/>
        <v/>
      </c>
    </row>
    <row r="2546" spans="2:42">
      <c r="B2546" s="834" t="str">
        <f t="shared" si="117"/>
        <v>|||</v>
      </c>
      <c r="H2546" s="835">
        <f t="shared" si="119"/>
        <v>31</v>
      </c>
      <c r="AF2546" s="831" t="s">
        <v>3245</v>
      </c>
      <c r="AG2546" s="831" t="s">
        <v>132</v>
      </c>
      <c r="AH2546" s="831" t="s">
        <v>158</v>
      </c>
      <c r="AI2546" s="831">
        <v>1</v>
      </c>
      <c r="AJ2546" s="835">
        <v>40543</v>
      </c>
      <c r="AK2546" s="831">
        <v>0</v>
      </c>
      <c r="AP2546" s="831" t="str">
        <f t="shared" si="118"/>
        <v/>
      </c>
    </row>
    <row r="2547" spans="2:42">
      <c r="B2547" s="834" t="str">
        <f t="shared" si="117"/>
        <v>|||</v>
      </c>
      <c r="H2547" s="835">
        <f t="shared" si="119"/>
        <v>31</v>
      </c>
      <c r="AF2547" s="831" t="s">
        <v>3246</v>
      </c>
      <c r="AG2547" s="831" t="s">
        <v>132</v>
      </c>
      <c r="AH2547" s="831" t="s">
        <v>160</v>
      </c>
      <c r="AI2547" s="831">
        <v>1</v>
      </c>
      <c r="AJ2547" s="835">
        <v>40543</v>
      </c>
      <c r="AK2547" s="831">
        <v>0</v>
      </c>
      <c r="AP2547" s="831" t="str">
        <f t="shared" si="118"/>
        <v/>
      </c>
    </row>
    <row r="2548" spans="2:42">
      <c r="B2548" s="834" t="str">
        <f t="shared" si="117"/>
        <v>|||</v>
      </c>
      <c r="H2548" s="835">
        <f t="shared" si="119"/>
        <v>31</v>
      </c>
      <c r="AF2548" s="831" t="s">
        <v>3247</v>
      </c>
      <c r="AG2548" s="831" t="s">
        <v>132</v>
      </c>
      <c r="AH2548" s="831" t="s">
        <v>161</v>
      </c>
      <c r="AI2548" s="831">
        <v>1</v>
      </c>
      <c r="AJ2548" s="835">
        <v>40543</v>
      </c>
      <c r="AK2548" s="831">
        <v>1816000</v>
      </c>
      <c r="AP2548" s="831" t="str">
        <f t="shared" si="118"/>
        <v/>
      </c>
    </row>
    <row r="2549" spans="2:42">
      <c r="B2549" s="834" t="str">
        <f t="shared" si="117"/>
        <v>|||</v>
      </c>
      <c r="H2549" s="835">
        <f t="shared" si="119"/>
        <v>31</v>
      </c>
      <c r="AF2549" s="831" t="s">
        <v>3248</v>
      </c>
      <c r="AG2549" s="831" t="s">
        <v>132</v>
      </c>
      <c r="AH2549" s="831" t="s">
        <v>170</v>
      </c>
      <c r="AI2549" s="831">
        <v>1</v>
      </c>
      <c r="AJ2549" s="835">
        <v>40543</v>
      </c>
      <c r="AK2549" s="831">
        <v>0</v>
      </c>
      <c r="AP2549" s="831" t="str">
        <f t="shared" si="118"/>
        <v/>
      </c>
    </row>
    <row r="2550" spans="2:42">
      <c r="B2550" s="834" t="str">
        <f t="shared" si="117"/>
        <v>|||</v>
      </c>
      <c r="H2550" s="835">
        <f t="shared" si="119"/>
        <v>31</v>
      </c>
      <c r="AF2550" s="831" t="s">
        <v>3249</v>
      </c>
      <c r="AG2550" s="831" t="s">
        <v>132</v>
      </c>
      <c r="AH2550" s="831" t="s">
        <v>173</v>
      </c>
      <c r="AI2550" s="831">
        <v>1</v>
      </c>
      <c r="AJ2550" s="835">
        <v>40543</v>
      </c>
      <c r="AK2550" s="831">
        <v>0</v>
      </c>
      <c r="AP2550" s="831" t="str">
        <f t="shared" si="118"/>
        <v/>
      </c>
    </row>
    <row r="2551" spans="2:42">
      <c r="B2551" s="834" t="str">
        <f t="shared" si="117"/>
        <v>|||</v>
      </c>
      <c r="H2551" s="835">
        <f t="shared" si="119"/>
        <v>31</v>
      </c>
      <c r="AF2551" s="831" t="s">
        <v>3250</v>
      </c>
      <c r="AG2551" s="831" t="s">
        <v>132</v>
      </c>
      <c r="AH2551" s="831" t="s">
        <v>78</v>
      </c>
      <c r="AI2551" s="831">
        <v>1</v>
      </c>
      <c r="AJ2551" s="835">
        <v>40543</v>
      </c>
      <c r="AK2551" s="831">
        <v>0</v>
      </c>
      <c r="AP2551" s="831" t="str">
        <f t="shared" si="118"/>
        <v/>
      </c>
    </row>
    <row r="2552" spans="2:42">
      <c r="B2552" s="834" t="str">
        <f t="shared" si="117"/>
        <v>|||</v>
      </c>
      <c r="H2552" s="835">
        <f t="shared" si="119"/>
        <v>31</v>
      </c>
      <c r="AF2552" s="831" t="s">
        <v>3251</v>
      </c>
      <c r="AG2552" s="831" t="s">
        <v>132</v>
      </c>
      <c r="AH2552" s="831" t="s">
        <v>183</v>
      </c>
      <c r="AI2552" s="831">
        <v>1</v>
      </c>
      <c r="AJ2552" s="835">
        <v>40543</v>
      </c>
      <c r="AK2552" s="831">
        <v>1375000</v>
      </c>
      <c r="AP2552" s="831" t="str">
        <f t="shared" si="118"/>
        <v/>
      </c>
    </row>
    <row r="2553" spans="2:42">
      <c r="B2553" s="834" t="str">
        <f t="shared" si="117"/>
        <v>|||</v>
      </c>
      <c r="H2553" s="835">
        <f t="shared" si="119"/>
        <v>31</v>
      </c>
      <c r="AF2553" s="831" t="s">
        <v>3252</v>
      </c>
      <c r="AG2553" s="831" t="s">
        <v>132</v>
      </c>
      <c r="AH2553" s="831" t="s">
        <v>186</v>
      </c>
      <c r="AI2553" s="831">
        <v>1</v>
      </c>
      <c r="AJ2553" s="835">
        <v>40543</v>
      </c>
      <c r="AK2553" s="831">
        <v>349000</v>
      </c>
      <c r="AP2553" s="831" t="str">
        <f t="shared" si="118"/>
        <v/>
      </c>
    </row>
    <row r="2554" spans="2:42">
      <c r="B2554" s="834" t="str">
        <f t="shared" si="117"/>
        <v>|||</v>
      </c>
      <c r="H2554" s="835">
        <f t="shared" si="119"/>
        <v>31</v>
      </c>
      <c r="AF2554" s="831" t="s">
        <v>3253</v>
      </c>
      <c r="AG2554" s="831" t="s">
        <v>132</v>
      </c>
      <c r="AH2554" s="831" t="s">
        <v>189</v>
      </c>
      <c r="AI2554" s="831">
        <v>1</v>
      </c>
      <c r="AJ2554" s="835">
        <v>40543</v>
      </c>
      <c r="AK2554" s="831">
        <v>0</v>
      </c>
      <c r="AP2554" s="831" t="str">
        <f t="shared" si="118"/>
        <v/>
      </c>
    </row>
    <row r="2555" spans="2:42">
      <c r="B2555" s="834" t="str">
        <f t="shared" si="117"/>
        <v>|||</v>
      </c>
      <c r="H2555" s="835">
        <f t="shared" si="119"/>
        <v>31</v>
      </c>
      <c r="AF2555" s="831" t="s">
        <v>3254</v>
      </c>
      <c r="AG2555" s="831" t="s">
        <v>133</v>
      </c>
      <c r="AH2555" s="831" t="s">
        <v>139</v>
      </c>
      <c r="AI2555" s="831">
        <v>1</v>
      </c>
      <c r="AJ2555" s="835">
        <v>40543</v>
      </c>
      <c r="AK2555" s="831">
        <v>0</v>
      </c>
      <c r="AP2555" s="831" t="str">
        <f t="shared" si="118"/>
        <v/>
      </c>
    </row>
    <row r="2556" spans="2:42">
      <c r="B2556" s="834" t="str">
        <f t="shared" si="117"/>
        <v>|||</v>
      </c>
      <c r="H2556" s="835">
        <f t="shared" si="119"/>
        <v>31</v>
      </c>
      <c r="AF2556" s="831" t="s">
        <v>3255</v>
      </c>
      <c r="AG2556" s="831" t="s">
        <v>133</v>
      </c>
      <c r="AH2556" s="831" t="s">
        <v>11</v>
      </c>
      <c r="AI2556" s="831">
        <v>1</v>
      </c>
      <c r="AJ2556" s="835">
        <v>40543</v>
      </c>
      <c r="AK2556" s="831">
        <v>0</v>
      </c>
      <c r="AP2556" s="831" t="str">
        <f t="shared" si="118"/>
        <v/>
      </c>
    </row>
    <row r="2557" spans="2:42">
      <c r="B2557" s="834" t="str">
        <f t="shared" si="117"/>
        <v>|||</v>
      </c>
      <c r="H2557" s="835">
        <f t="shared" si="119"/>
        <v>31</v>
      </c>
      <c r="AF2557" s="831" t="s">
        <v>3256</v>
      </c>
      <c r="AG2557" s="831" t="s">
        <v>133</v>
      </c>
      <c r="AH2557" s="831" t="s">
        <v>144</v>
      </c>
      <c r="AI2557" s="831">
        <v>1</v>
      </c>
      <c r="AJ2557" s="835">
        <v>40543</v>
      </c>
      <c r="AK2557" s="831">
        <v>0</v>
      </c>
      <c r="AP2557" s="831" t="str">
        <f t="shared" si="118"/>
        <v/>
      </c>
    </row>
    <row r="2558" spans="2:42">
      <c r="B2558" s="834" t="str">
        <f t="shared" si="117"/>
        <v>|||</v>
      </c>
      <c r="H2558" s="835">
        <f t="shared" si="119"/>
        <v>31</v>
      </c>
      <c r="AF2558" s="831" t="s">
        <v>3257</v>
      </c>
      <c r="AG2558" s="831" t="s">
        <v>133</v>
      </c>
      <c r="AH2558" s="831" t="s">
        <v>148</v>
      </c>
      <c r="AI2558" s="831">
        <v>1</v>
      </c>
      <c r="AJ2558" s="835">
        <v>40543</v>
      </c>
      <c r="AK2558" s="831">
        <v>0</v>
      </c>
      <c r="AP2558" s="831" t="str">
        <f t="shared" si="118"/>
        <v/>
      </c>
    </row>
    <row r="2559" spans="2:42">
      <c r="B2559" s="834" t="str">
        <f t="shared" si="117"/>
        <v>|||</v>
      </c>
      <c r="H2559" s="835">
        <f t="shared" si="119"/>
        <v>31</v>
      </c>
      <c r="AF2559" s="831" t="s">
        <v>3258</v>
      </c>
      <c r="AG2559" s="831" t="s">
        <v>133</v>
      </c>
      <c r="AH2559" s="831" t="s">
        <v>152</v>
      </c>
      <c r="AI2559" s="831">
        <v>1</v>
      </c>
      <c r="AJ2559" s="835">
        <v>40543</v>
      </c>
      <c r="AK2559" s="831">
        <v>0</v>
      </c>
      <c r="AP2559" s="831" t="str">
        <f t="shared" si="118"/>
        <v/>
      </c>
    </row>
    <row r="2560" spans="2:42">
      <c r="B2560" s="834" t="str">
        <f t="shared" si="117"/>
        <v>|||</v>
      </c>
      <c r="H2560" s="835">
        <f t="shared" si="119"/>
        <v>31</v>
      </c>
      <c r="AF2560" s="831" t="s">
        <v>3259</v>
      </c>
      <c r="AG2560" s="831" t="s">
        <v>133</v>
      </c>
      <c r="AH2560" s="831" t="s">
        <v>12</v>
      </c>
      <c r="AI2560" s="831">
        <v>1</v>
      </c>
      <c r="AJ2560" s="835">
        <v>40543</v>
      </c>
      <c r="AK2560" s="831">
        <v>0</v>
      </c>
      <c r="AP2560" s="831" t="str">
        <f t="shared" si="118"/>
        <v/>
      </c>
    </row>
    <row r="2561" spans="2:42">
      <c r="B2561" s="834" t="str">
        <f t="shared" si="117"/>
        <v>|||</v>
      </c>
      <c r="H2561" s="835">
        <f t="shared" si="119"/>
        <v>31</v>
      </c>
      <c r="AF2561" s="831" t="s">
        <v>3260</v>
      </c>
      <c r="AG2561" s="831" t="s">
        <v>2674</v>
      </c>
      <c r="AH2561" s="831" t="s">
        <v>546</v>
      </c>
      <c r="AI2561" s="831">
        <v>0</v>
      </c>
      <c r="AJ2561" s="835">
        <v>39813</v>
      </c>
      <c r="AK2561" s="831">
        <v>166731011</v>
      </c>
      <c r="AP2561" s="831" t="str">
        <f t="shared" si="118"/>
        <v/>
      </c>
    </row>
    <row r="2562" spans="2:42">
      <c r="B2562" s="834" t="str">
        <f t="shared" si="117"/>
        <v>|||</v>
      </c>
      <c r="H2562" s="835">
        <f t="shared" si="119"/>
        <v>31</v>
      </c>
      <c r="AF2562" s="831" t="s">
        <v>3261</v>
      </c>
      <c r="AG2562" s="831" t="s">
        <v>2674</v>
      </c>
      <c r="AH2562" s="831" t="s">
        <v>370</v>
      </c>
      <c r="AI2562" s="831">
        <v>0</v>
      </c>
      <c r="AJ2562" s="835">
        <v>39813</v>
      </c>
      <c r="AK2562" s="831">
        <v>193589449</v>
      </c>
      <c r="AP2562" s="831" t="str">
        <f t="shared" si="118"/>
        <v/>
      </c>
    </row>
    <row r="2563" spans="2:42">
      <c r="B2563" s="834" t="str">
        <f t="shared" ref="B2563:B2626" si="120">C2563&amp;"|"&amp;D2563&amp;"|"&amp;E2563&amp;"|"&amp;F2563</f>
        <v>|||</v>
      </c>
      <c r="H2563" s="835">
        <f t="shared" si="119"/>
        <v>31</v>
      </c>
      <c r="AF2563" s="831" t="s">
        <v>3262</v>
      </c>
      <c r="AG2563" s="831" t="s">
        <v>2674</v>
      </c>
      <c r="AH2563" s="831" t="s">
        <v>126</v>
      </c>
      <c r="AI2563" s="831">
        <v>0</v>
      </c>
      <c r="AJ2563" s="835">
        <v>39813</v>
      </c>
      <c r="AK2563" s="831">
        <v>33375901</v>
      </c>
      <c r="AP2563" s="831" t="str">
        <f t="shared" ref="AP2563:AP2626" si="121">IF(AX2563&lt;&gt;"",IF(OR(AX2563=3,AX2563=4),"Equity","Debt"),"")</f>
        <v/>
      </c>
    </row>
    <row r="2564" spans="2:42">
      <c r="B2564" s="834" t="str">
        <f t="shared" si="120"/>
        <v>|||</v>
      </c>
      <c r="H2564" s="835">
        <f t="shared" ref="H2564:H2627" si="122">EOMONTH(L2564,0)</f>
        <v>31</v>
      </c>
      <c r="AF2564" s="831" t="s">
        <v>3263</v>
      </c>
      <c r="AG2564" s="831" t="s">
        <v>2674</v>
      </c>
      <c r="AH2564" s="831" t="s">
        <v>268</v>
      </c>
      <c r="AI2564" s="831">
        <v>0</v>
      </c>
      <c r="AJ2564" s="835">
        <v>39813</v>
      </c>
      <c r="AK2564" s="831">
        <v>10455071</v>
      </c>
      <c r="AP2564" s="831" t="str">
        <f t="shared" si="121"/>
        <v/>
      </c>
    </row>
    <row r="2565" spans="2:42">
      <c r="B2565" s="834" t="str">
        <f t="shared" si="120"/>
        <v>|||</v>
      </c>
      <c r="H2565" s="835">
        <f t="shared" si="122"/>
        <v>31</v>
      </c>
      <c r="AF2565" s="831" t="s">
        <v>3264</v>
      </c>
      <c r="AG2565" s="831" t="s">
        <v>2674</v>
      </c>
      <c r="AH2565" s="831" t="s">
        <v>547</v>
      </c>
      <c r="AI2565" s="831">
        <v>0</v>
      </c>
      <c r="AJ2565" s="835">
        <v>39813</v>
      </c>
      <c r="AK2565" s="831">
        <v>0</v>
      </c>
      <c r="AP2565" s="831" t="str">
        <f t="shared" si="121"/>
        <v/>
      </c>
    </row>
    <row r="2566" spans="2:42">
      <c r="B2566" s="834" t="str">
        <f t="shared" si="120"/>
        <v>|||</v>
      </c>
      <c r="H2566" s="835">
        <f t="shared" si="122"/>
        <v>31</v>
      </c>
      <c r="AF2566" s="831" t="s">
        <v>3265</v>
      </c>
      <c r="AG2566" s="831" t="s">
        <v>2674</v>
      </c>
      <c r="AH2566" s="831" t="s">
        <v>548</v>
      </c>
      <c r="AI2566" s="831">
        <v>0</v>
      </c>
      <c r="AJ2566" s="835">
        <v>39813</v>
      </c>
      <c r="AK2566" s="831">
        <v>0</v>
      </c>
      <c r="AP2566" s="831" t="str">
        <f t="shared" si="121"/>
        <v/>
      </c>
    </row>
    <row r="2567" spans="2:42">
      <c r="B2567" s="834" t="str">
        <f t="shared" si="120"/>
        <v>|||</v>
      </c>
      <c r="H2567" s="835">
        <f t="shared" si="122"/>
        <v>31</v>
      </c>
      <c r="AF2567" s="831" t="s">
        <v>3266</v>
      </c>
      <c r="AG2567" s="831" t="s">
        <v>2674</v>
      </c>
      <c r="AH2567" s="831" t="s">
        <v>549</v>
      </c>
      <c r="AI2567" s="831">
        <v>0</v>
      </c>
      <c r="AJ2567" s="835">
        <v>39813</v>
      </c>
      <c r="AK2567" s="831">
        <v>0</v>
      </c>
      <c r="AP2567" s="831" t="str">
        <f t="shared" si="121"/>
        <v/>
      </c>
    </row>
    <row r="2568" spans="2:42">
      <c r="B2568" s="834" t="str">
        <f t="shared" si="120"/>
        <v>|||</v>
      </c>
      <c r="H2568" s="835">
        <f t="shared" si="122"/>
        <v>31</v>
      </c>
      <c r="AF2568" s="831" t="s">
        <v>3267</v>
      </c>
      <c r="AG2568" s="831" t="s">
        <v>2674</v>
      </c>
      <c r="AH2568" s="831" t="s">
        <v>192</v>
      </c>
      <c r="AI2568" s="831">
        <v>0</v>
      </c>
      <c r="AJ2568" s="835">
        <v>39813</v>
      </c>
      <c r="AK2568" s="831">
        <v>-4115638</v>
      </c>
      <c r="AP2568" s="831" t="str">
        <f t="shared" si="121"/>
        <v/>
      </c>
    </row>
    <row r="2569" spans="2:42">
      <c r="B2569" s="834" t="str">
        <f t="shared" si="120"/>
        <v>|||</v>
      </c>
      <c r="H2569" s="835">
        <f t="shared" si="122"/>
        <v>31</v>
      </c>
      <c r="AF2569" s="831" t="s">
        <v>3268</v>
      </c>
      <c r="AG2569" s="831" t="s">
        <v>2674</v>
      </c>
      <c r="AH2569" s="831" t="s">
        <v>558</v>
      </c>
      <c r="AI2569" s="831">
        <v>0</v>
      </c>
      <c r="AJ2569" s="835">
        <v>39813</v>
      </c>
      <c r="AK2569" s="831">
        <v>160213548</v>
      </c>
      <c r="AP2569" s="831" t="str">
        <f t="shared" si="121"/>
        <v/>
      </c>
    </row>
    <row r="2570" spans="2:42">
      <c r="B2570" s="834" t="str">
        <f t="shared" si="120"/>
        <v>|||</v>
      </c>
      <c r="H2570" s="835">
        <f t="shared" si="122"/>
        <v>31</v>
      </c>
      <c r="AF2570" s="831" t="s">
        <v>3269</v>
      </c>
      <c r="AG2570" s="831" t="s">
        <v>2674</v>
      </c>
      <c r="AH2570" s="831" t="s">
        <v>65</v>
      </c>
      <c r="AI2570" s="831">
        <v>0</v>
      </c>
      <c r="AJ2570" s="835">
        <v>39813</v>
      </c>
      <c r="AK2570" s="831">
        <v>45994000</v>
      </c>
      <c r="AP2570" s="831" t="str">
        <f t="shared" si="121"/>
        <v/>
      </c>
    </row>
    <row r="2571" spans="2:42">
      <c r="B2571" s="834" t="str">
        <f t="shared" si="120"/>
        <v>|||</v>
      </c>
      <c r="H2571" s="835">
        <f t="shared" si="122"/>
        <v>31</v>
      </c>
      <c r="AF2571" s="831" t="s">
        <v>3270</v>
      </c>
      <c r="AG2571" s="831" t="s">
        <v>2674</v>
      </c>
      <c r="AH2571" s="831" t="s">
        <v>89</v>
      </c>
      <c r="AI2571" s="831">
        <v>0</v>
      </c>
      <c r="AJ2571" s="835">
        <v>39813</v>
      </c>
      <c r="AK2571" s="831">
        <v>69144</v>
      </c>
      <c r="AP2571" s="831" t="str">
        <f t="shared" si="121"/>
        <v/>
      </c>
    </row>
    <row r="2572" spans="2:42">
      <c r="B2572" s="834" t="str">
        <f t="shared" si="120"/>
        <v>|||</v>
      </c>
      <c r="H2572" s="835">
        <f t="shared" si="122"/>
        <v>31</v>
      </c>
      <c r="AF2572" s="831" t="s">
        <v>3271</v>
      </c>
      <c r="AG2572" s="831" t="s">
        <v>2674</v>
      </c>
      <c r="AH2572" s="831" t="s">
        <v>557</v>
      </c>
      <c r="AI2572" s="831">
        <v>0</v>
      </c>
      <c r="AJ2572" s="835">
        <v>39813</v>
      </c>
      <c r="AK2572" s="831">
        <v>71148</v>
      </c>
      <c r="AP2572" s="831" t="str">
        <f t="shared" si="121"/>
        <v/>
      </c>
    </row>
    <row r="2573" spans="2:42">
      <c r="B2573" s="834" t="str">
        <f t="shared" si="120"/>
        <v>|||</v>
      </c>
      <c r="H2573" s="835">
        <f t="shared" si="122"/>
        <v>31</v>
      </c>
      <c r="AF2573" s="831" t="s">
        <v>3272</v>
      </c>
      <c r="AG2573" s="831" t="s">
        <v>2674</v>
      </c>
      <c r="AH2573" s="831" t="s">
        <v>29</v>
      </c>
      <c r="AI2573" s="831">
        <v>0</v>
      </c>
      <c r="AJ2573" s="835">
        <v>39813</v>
      </c>
      <c r="AK2573" s="831">
        <v>929650</v>
      </c>
      <c r="AP2573" s="831" t="str">
        <f t="shared" si="121"/>
        <v/>
      </c>
    </row>
    <row r="2574" spans="2:42">
      <c r="B2574" s="834" t="str">
        <f t="shared" si="120"/>
        <v>|||</v>
      </c>
      <c r="H2574" s="835">
        <f t="shared" si="122"/>
        <v>31</v>
      </c>
      <c r="AF2574" s="831" t="s">
        <v>3273</v>
      </c>
      <c r="AG2574" s="831" t="s">
        <v>2674</v>
      </c>
      <c r="AH2574" s="831" t="s">
        <v>2688</v>
      </c>
      <c r="AI2574" s="831">
        <v>0</v>
      </c>
      <c r="AJ2574" s="835">
        <v>39813</v>
      </c>
      <c r="AK2574" s="831">
        <v>0</v>
      </c>
      <c r="AP2574" s="831" t="str">
        <f t="shared" si="121"/>
        <v/>
      </c>
    </row>
    <row r="2575" spans="2:42">
      <c r="B2575" s="834" t="str">
        <f t="shared" si="120"/>
        <v>|||</v>
      </c>
      <c r="H2575" s="835">
        <f t="shared" si="122"/>
        <v>31</v>
      </c>
      <c r="AF2575" s="831" t="s">
        <v>3274</v>
      </c>
      <c r="AG2575" s="831" t="s">
        <v>2674</v>
      </c>
      <c r="AH2575" s="831" t="s">
        <v>556</v>
      </c>
      <c r="AI2575" s="831">
        <v>0</v>
      </c>
      <c r="AJ2575" s="835">
        <v>39813</v>
      </c>
      <c r="AK2575" s="831">
        <v>0</v>
      </c>
      <c r="AP2575" s="831" t="str">
        <f t="shared" si="121"/>
        <v/>
      </c>
    </row>
    <row r="2576" spans="2:42">
      <c r="B2576" s="834" t="str">
        <f t="shared" si="120"/>
        <v>|||</v>
      </c>
      <c r="H2576" s="835">
        <f t="shared" si="122"/>
        <v>31</v>
      </c>
      <c r="AF2576" s="831" t="s">
        <v>3275</v>
      </c>
      <c r="AG2576" s="831" t="s">
        <v>2674</v>
      </c>
      <c r="AH2576" s="831" t="s">
        <v>555</v>
      </c>
      <c r="AI2576" s="831">
        <v>0</v>
      </c>
      <c r="AJ2576" s="835">
        <v>39813</v>
      </c>
      <c r="AK2576" s="831">
        <v>134249990</v>
      </c>
      <c r="AP2576" s="831" t="str">
        <f t="shared" si="121"/>
        <v/>
      </c>
    </row>
    <row r="2577" spans="2:42">
      <c r="B2577" s="834" t="str">
        <f t="shared" si="120"/>
        <v>|||</v>
      </c>
      <c r="H2577" s="835">
        <f t="shared" si="122"/>
        <v>31</v>
      </c>
      <c r="AF2577" s="831" t="s">
        <v>3276</v>
      </c>
      <c r="AG2577" s="831" t="s">
        <v>2674</v>
      </c>
      <c r="AH2577" s="831" t="s">
        <v>554</v>
      </c>
      <c r="AI2577" s="831">
        <v>0</v>
      </c>
      <c r="AJ2577" s="835">
        <v>39813</v>
      </c>
      <c r="AK2577" s="831">
        <v>134794870</v>
      </c>
      <c r="AP2577" s="831" t="str">
        <f t="shared" si="121"/>
        <v/>
      </c>
    </row>
    <row r="2578" spans="2:42">
      <c r="B2578" s="834" t="str">
        <f t="shared" si="120"/>
        <v>|||</v>
      </c>
      <c r="H2578" s="835">
        <f t="shared" si="122"/>
        <v>31</v>
      </c>
      <c r="AF2578" s="831" t="s">
        <v>3277</v>
      </c>
      <c r="AG2578" s="831" t="s">
        <v>2674</v>
      </c>
      <c r="AH2578" s="831" t="s">
        <v>553</v>
      </c>
      <c r="AI2578" s="831">
        <v>0</v>
      </c>
      <c r="AJ2578" s="835">
        <v>39813</v>
      </c>
      <c r="AK2578" s="831">
        <v>0</v>
      </c>
      <c r="AP2578" s="831" t="str">
        <f t="shared" si="121"/>
        <v/>
      </c>
    </row>
    <row r="2579" spans="2:42">
      <c r="B2579" s="834" t="str">
        <f t="shared" si="120"/>
        <v>|||</v>
      </c>
      <c r="H2579" s="835">
        <f t="shared" si="122"/>
        <v>31</v>
      </c>
      <c r="AF2579" s="831" t="s">
        <v>3278</v>
      </c>
      <c r="AG2579" s="831" t="s">
        <v>2674</v>
      </c>
      <c r="AH2579" s="831" t="s">
        <v>552</v>
      </c>
      <c r="AI2579" s="831">
        <v>0</v>
      </c>
      <c r="AJ2579" s="835">
        <v>39813</v>
      </c>
      <c r="AK2579" s="831">
        <v>0</v>
      </c>
      <c r="AP2579" s="831" t="str">
        <f t="shared" si="121"/>
        <v/>
      </c>
    </row>
    <row r="2580" spans="2:42">
      <c r="B2580" s="834" t="str">
        <f t="shared" si="120"/>
        <v>|||</v>
      </c>
      <c r="H2580" s="835">
        <f t="shared" si="122"/>
        <v>31</v>
      </c>
      <c r="AF2580" s="831" t="s">
        <v>3279</v>
      </c>
      <c r="AG2580" s="831" t="s">
        <v>2674</v>
      </c>
      <c r="AH2580" s="831" t="s">
        <v>551</v>
      </c>
      <c r="AI2580" s="831">
        <v>0</v>
      </c>
      <c r="AJ2580" s="835">
        <v>39813</v>
      </c>
      <c r="AK2580" s="831">
        <v>160980</v>
      </c>
      <c r="AP2580" s="831" t="str">
        <f t="shared" si="121"/>
        <v/>
      </c>
    </row>
    <row r="2581" spans="2:42">
      <c r="B2581" s="834" t="str">
        <f t="shared" si="120"/>
        <v>|||</v>
      </c>
      <c r="H2581" s="835">
        <f t="shared" si="122"/>
        <v>31</v>
      </c>
      <c r="AF2581" s="831" t="s">
        <v>3280</v>
      </c>
      <c r="AG2581" s="831" t="s">
        <v>2674</v>
      </c>
      <c r="AH2581" s="831" t="s">
        <v>550</v>
      </c>
      <c r="AI2581" s="831">
        <v>0</v>
      </c>
      <c r="AJ2581" s="835">
        <v>39813</v>
      </c>
      <c r="AK2581" s="831">
        <v>0</v>
      </c>
      <c r="AP2581" s="831" t="str">
        <f t="shared" si="121"/>
        <v/>
      </c>
    </row>
    <row r="2582" spans="2:42">
      <c r="B2582" s="834" t="str">
        <f t="shared" si="120"/>
        <v>|||</v>
      </c>
      <c r="H2582" s="835">
        <f t="shared" si="122"/>
        <v>31</v>
      </c>
      <c r="AF2582" s="831" t="s">
        <v>3281</v>
      </c>
      <c r="AG2582" s="831" t="s">
        <v>2674</v>
      </c>
      <c r="AH2582" s="831" t="s">
        <v>562</v>
      </c>
      <c r="AI2582" s="831">
        <v>0</v>
      </c>
      <c r="AJ2582" s="835">
        <v>39813</v>
      </c>
      <c r="AK2582" s="831">
        <v>0.8</v>
      </c>
      <c r="AP2582" s="831" t="str">
        <f t="shared" si="121"/>
        <v/>
      </c>
    </row>
    <row r="2583" spans="2:42">
      <c r="B2583" s="834" t="str">
        <f t="shared" si="120"/>
        <v>|||</v>
      </c>
      <c r="H2583" s="835">
        <f t="shared" si="122"/>
        <v>31</v>
      </c>
      <c r="AF2583" s="831" t="s">
        <v>3282</v>
      </c>
      <c r="AG2583" s="831" t="s">
        <v>2674</v>
      </c>
      <c r="AH2583" s="831" t="s">
        <v>2698</v>
      </c>
      <c r="AI2583" s="831">
        <v>0</v>
      </c>
      <c r="AJ2583" s="835">
        <v>39813</v>
      </c>
      <c r="AK2583" s="831">
        <v>0.81</v>
      </c>
      <c r="AP2583" s="831" t="str">
        <f t="shared" si="121"/>
        <v/>
      </c>
    </row>
    <row r="2584" spans="2:42">
      <c r="B2584" s="834" t="str">
        <f t="shared" si="120"/>
        <v>|||</v>
      </c>
      <c r="H2584" s="835">
        <f t="shared" si="122"/>
        <v>31</v>
      </c>
      <c r="AF2584" s="831" t="s">
        <v>3283</v>
      </c>
      <c r="AG2584" s="831" t="s">
        <v>2674</v>
      </c>
      <c r="AH2584" s="831" t="s">
        <v>560</v>
      </c>
      <c r="AI2584" s="831">
        <v>0</v>
      </c>
      <c r="AJ2584" s="835">
        <v>39813</v>
      </c>
      <c r="AK2584" s="831">
        <v>0.82083333333333297</v>
      </c>
      <c r="AP2584" s="831" t="str">
        <f t="shared" si="121"/>
        <v/>
      </c>
    </row>
    <row r="2585" spans="2:42">
      <c r="B2585" s="834" t="str">
        <f t="shared" si="120"/>
        <v>|||</v>
      </c>
      <c r="H2585" s="835">
        <f t="shared" si="122"/>
        <v>31</v>
      </c>
      <c r="AF2585" s="831" t="s">
        <v>3284</v>
      </c>
      <c r="AG2585" s="831" t="s">
        <v>2674</v>
      </c>
      <c r="AH2585" s="831" t="s">
        <v>559</v>
      </c>
      <c r="AI2585" s="831">
        <v>0</v>
      </c>
      <c r="AJ2585" s="835">
        <v>39813</v>
      </c>
      <c r="AK2585" s="831">
        <v>0.82083333333333297</v>
      </c>
      <c r="AP2585" s="831" t="str">
        <f t="shared" si="121"/>
        <v/>
      </c>
    </row>
    <row r="2586" spans="2:42">
      <c r="B2586" s="834" t="str">
        <f t="shared" si="120"/>
        <v>|||</v>
      </c>
      <c r="H2586" s="835">
        <f t="shared" si="122"/>
        <v>31</v>
      </c>
      <c r="AF2586" s="831" t="s">
        <v>3285</v>
      </c>
      <c r="AG2586" s="831" t="s">
        <v>2674</v>
      </c>
      <c r="AH2586" s="831" t="s">
        <v>568</v>
      </c>
      <c r="AI2586" s="831">
        <v>0</v>
      </c>
      <c r="AJ2586" s="835">
        <v>39813</v>
      </c>
      <c r="AK2586" s="831">
        <v>0</v>
      </c>
      <c r="AP2586" s="831" t="str">
        <f t="shared" si="121"/>
        <v/>
      </c>
    </row>
    <row r="2587" spans="2:42">
      <c r="B2587" s="834" t="str">
        <f t="shared" si="120"/>
        <v>|||</v>
      </c>
      <c r="H2587" s="835">
        <f t="shared" si="122"/>
        <v>31</v>
      </c>
      <c r="AF2587" s="831" t="s">
        <v>3286</v>
      </c>
      <c r="AG2587" s="831" t="s">
        <v>2674</v>
      </c>
      <c r="AH2587" s="831" t="s">
        <v>569</v>
      </c>
      <c r="AI2587" s="831">
        <v>0</v>
      </c>
      <c r="AJ2587" s="835">
        <v>39813</v>
      </c>
      <c r="AK2587" s="831">
        <v>0</v>
      </c>
      <c r="AP2587" s="831" t="str">
        <f t="shared" si="121"/>
        <v/>
      </c>
    </row>
    <row r="2588" spans="2:42">
      <c r="B2588" s="834" t="str">
        <f t="shared" si="120"/>
        <v>|||</v>
      </c>
      <c r="H2588" s="835">
        <f t="shared" si="122"/>
        <v>31</v>
      </c>
      <c r="AF2588" s="831" t="s">
        <v>3287</v>
      </c>
      <c r="AG2588" s="831" t="s">
        <v>2674</v>
      </c>
      <c r="AH2588" s="831" t="s">
        <v>570</v>
      </c>
      <c r="AI2588" s="831">
        <v>0</v>
      </c>
      <c r="AJ2588" s="835">
        <v>39813</v>
      </c>
      <c r="AK2588" s="831">
        <v>0</v>
      </c>
      <c r="AP2588" s="831" t="str">
        <f t="shared" si="121"/>
        <v/>
      </c>
    </row>
    <row r="2589" spans="2:42">
      <c r="B2589" s="834" t="str">
        <f t="shared" si="120"/>
        <v>|||</v>
      </c>
      <c r="H2589" s="835">
        <f t="shared" si="122"/>
        <v>31</v>
      </c>
      <c r="AF2589" s="831" t="s">
        <v>3288</v>
      </c>
      <c r="AG2589" s="831" t="s">
        <v>2674</v>
      </c>
      <c r="AH2589" s="831" t="s">
        <v>571</v>
      </c>
      <c r="AI2589" s="831">
        <v>0</v>
      </c>
      <c r="AJ2589" s="835">
        <v>39813</v>
      </c>
      <c r="AK2589" s="831">
        <v>0</v>
      </c>
      <c r="AP2589" s="831" t="str">
        <f t="shared" si="121"/>
        <v/>
      </c>
    </row>
    <row r="2590" spans="2:42">
      <c r="B2590" s="834" t="str">
        <f t="shared" si="120"/>
        <v>|||</v>
      </c>
      <c r="H2590" s="835">
        <f t="shared" si="122"/>
        <v>31</v>
      </c>
      <c r="AF2590" s="831" t="s">
        <v>3289</v>
      </c>
      <c r="AG2590" s="831" t="s">
        <v>2674</v>
      </c>
      <c r="AH2590" s="831" t="s">
        <v>573</v>
      </c>
      <c r="AI2590" s="831">
        <v>0</v>
      </c>
      <c r="AJ2590" s="835">
        <v>39813</v>
      </c>
      <c r="AK2590" s="831">
        <v>0</v>
      </c>
      <c r="AP2590" s="831" t="str">
        <f t="shared" si="121"/>
        <v/>
      </c>
    </row>
    <row r="2591" spans="2:42">
      <c r="B2591" s="834" t="str">
        <f t="shared" si="120"/>
        <v>|||</v>
      </c>
      <c r="H2591" s="835">
        <f t="shared" si="122"/>
        <v>31</v>
      </c>
      <c r="AF2591" s="831" t="s">
        <v>3290</v>
      </c>
      <c r="AG2591" s="831" t="s">
        <v>2674</v>
      </c>
      <c r="AH2591" s="831" t="s">
        <v>574</v>
      </c>
      <c r="AI2591" s="831">
        <v>0</v>
      </c>
      <c r="AJ2591" s="835">
        <v>39813</v>
      </c>
      <c r="AK2591" s="831">
        <v>0</v>
      </c>
      <c r="AP2591" s="831" t="str">
        <f t="shared" si="121"/>
        <v/>
      </c>
    </row>
    <row r="2592" spans="2:42">
      <c r="B2592" s="834" t="str">
        <f t="shared" si="120"/>
        <v>|||</v>
      </c>
      <c r="H2592" s="835">
        <f t="shared" si="122"/>
        <v>31</v>
      </c>
      <c r="AF2592" s="831" t="s">
        <v>3291</v>
      </c>
      <c r="AG2592" s="831" t="s">
        <v>2674</v>
      </c>
      <c r="AH2592" s="831" t="s">
        <v>575</v>
      </c>
      <c r="AI2592" s="831">
        <v>0</v>
      </c>
      <c r="AJ2592" s="835">
        <v>39813</v>
      </c>
      <c r="AK2592" s="831">
        <v>0</v>
      </c>
      <c r="AP2592" s="831" t="str">
        <f t="shared" si="121"/>
        <v/>
      </c>
    </row>
    <row r="2593" spans="2:42">
      <c r="B2593" s="834" t="str">
        <f t="shared" si="120"/>
        <v>|||</v>
      </c>
      <c r="H2593" s="835">
        <f t="shared" si="122"/>
        <v>31</v>
      </c>
      <c r="AF2593" s="831" t="s">
        <v>3292</v>
      </c>
      <c r="AG2593" s="831" t="s">
        <v>2674</v>
      </c>
      <c r="AH2593" s="831" t="s">
        <v>576</v>
      </c>
      <c r="AI2593" s="831">
        <v>0</v>
      </c>
      <c r="AJ2593" s="835">
        <v>39813</v>
      </c>
      <c r="AK2593" s="831">
        <v>0</v>
      </c>
      <c r="AP2593" s="831" t="str">
        <f t="shared" si="121"/>
        <v/>
      </c>
    </row>
    <row r="2594" spans="2:42">
      <c r="B2594" s="834" t="str">
        <f t="shared" si="120"/>
        <v>|||</v>
      </c>
      <c r="H2594" s="835">
        <f t="shared" si="122"/>
        <v>31</v>
      </c>
      <c r="AF2594" s="831" t="s">
        <v>3293</v>
      </c>
      <c r="AG2594" s="831" t="s">
        <v>2674</v>
      </c>
      <c r="AH2594" s="831" t="s">
        <v>572</v>
      </c>
      <c r="AI2594" s="831">
        <v>0</v>
      </c>
      <c r="AJ2594" s="835">
        <v>39813</v>
      </c>
      <c r="AK2594" s="831">
        <v>0</v>
      </c>
      <c r="AP2594" s="831" t="str">
        <f t="shared" si="121"/>
        <v/>
      </c>
    </row>
    <row r="2595" spans="2:42">
      <c r="B2595" s="834" t="str">
        <f t="shared" si="120"/>
        <v>|||</v>
      </c>
      <c r="H2595" s="835">
        <f t="shared" si="122"/>
        <v>31</v>
      </c>
      <c r="AF2595" s="831" t="s">
        <v>3294</v>
      </c>
      <c r="AG2595" s="831" t="s">
        <v>2674</v>
      </c>
      <c r="AH2595" s="831" t="s">
        <v>577</v>
      </c>
      <c r="AI2595" s="831">
        <v>0</v>
      </c>
      <c r="AJ2595" s="835">
        <v>39813</v>
      </c>
      <c r="AK2595" s="831">
        <v>0</v>
      </c>
      <c r="AP2595" s="831" t="str">
        <f t="shared" si="121"/>
        <v/>
      </c>
    </row>
    <row r="2596" spans="2:42">
      <c r="B2596" s="834" t="str">
        <f t="shared" si="120"/>
        <v>|||</v>
      </c>
      <c r="H2596" s="835">
        <f t="shared" si="122"/>
        <v>31</v>
      </c>
      <c r="AF2596" s="831" t="s">
        <v>3295</v>
      </c>
      <c r="AG2596" s="831" t="s">
        <v>2674</v>
      </c>
      <c r="AH2596" s="831" t="s">
        <v>3042</v>
      </c>
      <c r="AI2596" s="831">
        <v>0</v>
      </c>
      <c r="AJ2596" s="835">
        <v>39813</v>
      </c>
      <c r="AK2596" s="831">
        <v>0</v>
      </c>
      <c r="AP2596" s="831" t="str">
        <f t="shared" si="121"/>
        <v/>
      </c>
    </row>
    <row r="2597" spans="2:42">
      <c r="B2597" s="834" t="str">
        <f t="shared" si="120"/>
        <v>|||</v>
      </c>
      <c r="H2597" s="835">
        <f t="shared" si="122"/>
        <v>31</v>
      </c>
      <c r="AF2597" s="831" t="s">
        <v>3296</v>
      </c>
      <c r="AG2597" s="831" t="s">
        <v>2674</v>
      </c>
      <c r="AH2597" s="831" t="s">
        <v>3044</v>
      </c>
      <c r="AI2597" s="831">
        <v>0</v>
      </c>
      <c r="AJ2597" s="835">
        <v>39813</v>
      </c>
      <c r="AK2597" s="831">
        <v>0</v>
      </c>
      <c r="AP2597" s="831" t="str">
        <f t="shared" si="121"/>
        <v/>
      </c>
    </row>
    <row r="2598" spans="2:42">
      <c r="B2598" s="834" t="str">
        <f t="shared" si="120"/>
        <v>|||</v>
      </c>
      <c r="H2598" s="835">
        <f t="shared" si="122"/>
        <v>31</v>
      </c>
      <c r="AF2598" s="831" t="s">
        <v>3297</v>
      </c>
      <c r="AG2598" s="831" t="s">
        <v>2674</v>
      </c>
      <c r="AH2598" s="831" t="s">
        <v>580</v>
      </c>
      <c r="AI2598" s="831">
        <v>0</v>
      </c>
      <c r="AJ2598" s="835">
        <v>39813</v>
      </c>
      <c r="AK2598" s="831">
        <v>0</v>
      </c>
      <c r="AP2598" s="831" t="str">
        <f t="shared" si="121"/>
        <v/>
      </c>
    </row>
    <row r="2599" spans="2:42">
      <c r="B2599" s="834" t="str">
        <f t="shared" si="120"/>
        <v>|||</v>
      </c>
      <c r="H2599" s="835">
        <f t="shared" si="122"/>
        <v>31</v>
      </c>
      <c r="AF2599" s="831" t="s">
        <v>3298</v>
      </c>
      <c r="AG2599" s="831" t="s">
        <v>2674</v>
      </c>
      <c r="AH2599" s="831" t="s">
        <v>581</v>
      </c>
      <c r="AI2599" s="831">
        <v>0</v>
      </c>
      <c r="AJ2599" s="835">
        <v>39813</v>
      </c>
      <c r="AK2599" s="831">
        <v>0</v>
      </c>
      <c r="AP2599" s="831" t="str">
        <f t="shared" si="121"/>
        <v/>
      </c>
    </row>
    <row r="2600" spans="2:42">
      <c r="B2600" s="834" t="str">
        <f t="shared" si="120"/>
        <v>|||</v>
      </c>
      <c r="H2600" s="835">
        <f t="shared" si="122"/>
        <v>31</v>
      </c>
      <c r="AF2600" s="831" t="s">
        <v>3299</v>
      </c>
      <c r="AG2600" s="831" t="s">
        <v>2674</v>
      </c>
      <c r="AH2600" s="831" t="s">
        <v>105</v>
      </c>
      <c r="AI2600" s="831">
        <v>0</v>
      </c>
      <c r="AJ2600" s="835">
        <v>39813</v>
      </c>
      <c r="AK2600" s="831">
        <v>134787935</v>
      </c>
      <c r="AP2600" s="831" t="str">
        <f t="shared" si="121"/>
        <v/>
      </c>
    </row>
    <row r="2601" spans="2:42">
      <c r="B2601" s="834" t="str">
        <f t="shared" si="120"/>
        <v>|||</v>
      </c>
      <c r="H2601" s="835">
        <f t="shared" si="122"/>
        <v>31</v>
      </c>
      <c r="AF2601" s="831" t="s">
        <v>3300</v>
      </c>
      <c r="AG2601" s="831" t="s">
        <v>2674</v>
      </c>
      <c r="AH2601" s="831" t="s">
        <v>3049</v>
      </c>
      <c r="AI2601" s="831">
        <v>0</v>
      </c>
      <c r="AJ2601" s="835">
        <v>39813</v>
      </c>
      <c r="AK2601" s="831">
        <v>156063437</v>
      </c>
      <c r="AP2601" s="831" t="str">
        <f t="shared" si="121"/>
        <v/>
      </c>
    </row>
    <row r="2602" spans="2:42">
      <c r="B2602" s="834" t="str">
        <f t="shared" si="120"/>
        <v>|||</v>
      </c>
      <c r="H2602" s="835">
        <f t="shared" si="122"/>
        <v>31</v>
      </c>
      <c r="AF2602" s="831" t="s">
        <v>3301</v>
      </c>
      <c r="AG2602" s="831" t="s">
        <v>2674</v>
      </c>
      <c r="AH2602" s="831" t="s">
        <v>103</v>
      </c>
      <c r="AI2602" s="831">
        <v>0</v>
      </c>
      <c r="AJ2602" s="835">
        <v>39813</v>
      </c>
      <c r="AK2602" s="831">
        <v>21275502</v>
      </c>
      <c r="AP2602" s="831" t="str">
        <f t="shared" si="121"/>
        <v/>
      </c>
    </row>
    <row r="2603" spans="2:42">
      <c r="B2603" s="834" t="str">
        <f t="shared" si="120"/>
        <v>|||</v>
      </c>
      <c r="H2603" s="835">
        <f t="shared" si="122"/>
        <v>31</v>
      </c>
      <c r="AF2603" s="831" t="s">
        <v>3302</v>
      </c>
      <c r="AG2603" s="831" t="s">
        <v>2674</v>
      </c>
      <c r="AH2603" s="831" t="s">
        <v>182</v>
      </c>
      <c r="AI2603" s="831">
        <v>0</v>
      </c>
      <c r="AJ2603" s="835">
        <v>39813</v>
      </c>
      <c r="AK2603" s="831">
        <v>18071426</v>
      </c>
      <c r="AP2603" s="831" t="str">
        <f t="shared" si="121"/>
        <v/>
      </c>
    </row>
    <row r="2604" spans="2:42">
      <c r="B2604" s="834" t="str">
        <f t="shared" si="120"/>
        <v>|||</v>
      </c>
      <c r="H2604" s="835">
        <f t="shared" si="122"/>
        <v>31</v>
      </c>
      <c r="AF2604" s="831" t="s">
        <v>3303</v>
      </c>
      <c r="AG2604" s="831" t="s">
        <v>2674</v>
      </c>
      <c r="AH2604" s="831" t="s">
        <v>546</v>
      </c>
      <c r="AI2604" s="831">
        <v>0</v>
      </c>
      <c r="AJ2604" s="835">
        <v>39844</v>
      </c>
      <c r="AK2604" s="831">
        <v>171123604</v>
      </c>
      <c r="AP2604" s="831" t="str">
        <f t="shared" si="121"/>
        <v/>
      </c>
    </row>
    <row r="2605" spans="2:42">
      <c r="B2605" s="834" t="str">
        <f t="shared" si="120"/>
        <v>|||</v>
      </c>
      <c r="H2605" s="835">
        <f t="shared" si="122"/>
        <v>31</v>
      </c>
      <c r="AF2605" s="831" t="s">
        <v>3304</v>
      </c>
      <c r="AG2605" s="831" t="s">
        <v>2674</v>
      </c>
      <c r="AH2605" s="831" t="s">
        <v>370</v>
      </c>
      <c r="AI2605" s="831">
        <v>0</v>
      </c>
      <c r="AJ2605" s="835">
        <v>39844</v>
      </c>
      <c r="AK2605" s="831">
        <v>208038884</v>
      </c>
      <c r="AP2605" s="831" t="str">
        <f t="shared" si="121"/>
        <v/>
      </c>
    </row>
    <row r="2606" spans="2:42">
      <c r="B2606" s="834" t="str">
        <f t="shared" si="120"/>
        <v>|||</v>
      </c>
      <c r="H2606" s="835">
        <f t="shared" si="122"/>
        <v>31</v>
      </c>
      <c r="AF2606" s="831" t="s">
        <v>3305</v>
      </c>
      <c r="AG2606" s="831" t="s">
        <v>2674</v>
      </c>
      <c r="AH2606" s="831" t="s">
        <v>126</v>
      </c>
      <c r="AI2606" s="831">
        <v>0</v>
      </c>
      <c r="AJ2606" s="835">
        <v>39844</v>
      </c>
      <c r="AK2606" s="831">
        <v>34866861</v>
      </c>
      <c r="AP2606" s="831" t="str">
        <f t="shared" si="121"/>
        <v/>
      </c>
    </row>
    <row r="2607" spans="2:42">
      <c r="B2607" s="834" t="str">
        <f t="shared" si="120"/>
        <v>|||</v>
      </c>
      <c r="H2607" s="835">
        <f t="shared" si="122"/>
        <v>31</v>
      </c>
      <c r="AF2607" s="831" t="s">
        <v>3306</v>
      </c>
      <c r="AG2607" s="831" t="s">
        <v>2674</v>
      </c>
      <c r="AH2607" s="831" t="s">
        <v>268</v>
      </c>
      <c r="AI2607" s="831">
        <v>0</v>
      </c>
      <c r="AJ2607" s="835">
        <v>39844</v>
      </c>
      <c r="AK2607" s="831">
        <v>1490960</v>
      </c>
      <c r="AP2607" s="831" t="str">
        <f t="shared" si="121"/>
        <v/>
      </c>
    </row>
    <row r="2608" spans="2:42">
      <c r="B2608" s="834" t="str">
        <f t="shared" si="120"/>
        <v>|||</v>
      </c>
      <c r="H2608" s="835">
        <f t="shared" si="122"/>
        <v>31</v>
      </c>
      <c r="AF2608" s="831" t="s">
        <v>3307</v>
      </c>
      <c r="AG2608" s="831" t="s">
        <v>2674</v>
      </c>
      <c r="AH2608" s="831" t="s">
        <v>547</v>
      </c>
      <c r="AI2608" s="831">
        <v>0</v>
      </c>
      <c r="AJ2608" s="835">
        <v>39844</v>
      </c>
      <c r="AK2608" s="831">
        <v>208038884</v>
      </c>
      <c r="AP2608" s="831" t="str">
        <f t="shared" si="121"/>
        <v/>
      </c>
    </row>
    <row r="2609" spans="2:42">
      <c r="B2609" s="834" t="str">
        <f t="shared" si="120"/>
        <v>|||</v>
      </c>
      <c r="H2609" s="835">
        <f t="shared" si="122"/>
        <v>31</v>
      </c>
      <c r="AF2609" s="831" t="s">
        <v>3308</v>
      </c>
      <c r="AG2609" s="831" t="s">
        <v>2674</v>
      </c>
      <c r="AH2609" s="831" t="s">
        <v>548</v>
      </c>
      <c r="AI2609" s="831">
        <v>0</v>
      </c>
      <c r="AJ2609" s="835">
        <v>39844</v>
      </c>
      <c r="AK2609" s="831">
        <v>34866861</v>
      </c>
      <c r="AP2609" s="831" t="str">
        <f t="shared" si="121"/>
        <v/>
      </c>
    </row>
    <row r="2610" spans="2:42">
      <c r="B2610" s="834" t="str">
        <f t="shared" si="120"/>
        <v>|||</v>
      </c>
      <c r="H2610" s="835">
        <f t="shared" si="122"/>
        <v>31</v>
      </c>
      <c r="AF2610" s="831" t="s">
        <v>3309</v>
      </c>
      <c r="AG2610" s="831" t="s">
        <v>2674</v>
      </c>
      <c r="AH2610" s="831" t="s">
        <v>549</v>
      </c>
      <c r="AI2610" s="831">
        <v>0</v>
      </c>
      <c r="AJ2610" s="835">
        <v>39844</v>
      </c>
      <c r="AK2610" s="831">
        <v>0</v>
      </c>
      <c r="AP2610" s="831" t="str">
        <f t="shared" si="121"/>
        <v/>
      </c>
    </row>
    <row r="2611" spans="2:42">
      <c r="B2611" s="834" t="str">
        <f t="shared" si="120"/>
        <v>|||</v>
      </c>
      <c r="H2611" s="835">
        <f t="shared" si="122"/>
        <v>31</v>
      </c>
      <c r="AF2611" s="831" t="s">
        <v>3310</v>
      </c>
      <c r="AG2611" s="831" t="s">
        <v>2674</v>
      </c>
      <c r="AH2611" s="831" t="s">
        <v>192</v>
      </c>
      <c r="AI2611" s="831">
        <v>0</v>
      </c>
      <c r="AJ2611" s="835">
        <v>39844</v>
      </c>
      <c r="AK2611" s="831">
        <v>-4323413</v>
      </c>
      <c r="AP2611" s="831" t="str">
        <f t="shared" si="121"/>
        <v/>
      </c>
    </row>
    <row r="2612" spans="2:42">
      <c r="B2612" s="834" t="str">
        <f t="shared" si="120"/>
        <v>|||</v>
      </c>
      <c r="H2612" s="835">
        <f t="shared" si="122"/>
        <v>31</v>
      </c>
      <c r="AF2612" s="831" t="s">
        <v>3311</v>
      </c>
      <c r="AG2612" s="831" t="s">
        <v>2674</v>
      </c>
      <c r="AH2612" s="831" t="s">
        <v>558</v>
      </c>
      <c r="AI2612" s="831">
        <v>0</v>
      </c>
      <c r="AJ2612" s="835">
        <v>39844</v>
      </c>
      <c r="AK2612" s="831">
        <v>173172023</v>
      </c>
      <c r="AP2612" s="831" t="str">
        <f t="shared" si="121"/>
        <v/>
      </c>
    </row>
    <row r="2613" spans="2:42">
      <c r="B2613" s="834" t="str">
        <f t="shared" si="120"/>
        <v>|||</v>
      </c>
      <c r="H2613" s="835">
        <f t="shared" si="122"/>
        <v>31</v>
      </c>
      <c r="AF2613" s="831" t="s">
        <v>3312</v>
      </c>
      <c r="AG2613" s="831" t="s">
        <v>2674</v>
      </c>
      <c r="AH2613" s="831" t="s">
        <v>65</v>
      </c>
      <c r="AI2613" s="831">
        <v>0</v>
      </c>
      <c r="AJ2613" s="835">
        <v>39844</v>
      </c>
      <c r="AK2613" s="831">
        <v>4914894</v>
      </c>
      <c r="AP2613" s="831" t="str">
        <f t="shared" si="121"/>
        <v/>
      </c>
    </row>
    <row r="2614" spans="2:42">
      <c r="B2614" s="834" t="str">
        <f t="shared" si="120"/>
        <v>|||</v>
      </c>
      <c r="H2614" s="835">
        <f t="shared" si="122"/>
        <v>31</v>
      </c>
      <c r="AF2614" s="831" t="s">
        <v>3313</v>
      </c>
      <c r="AG2614" s="831" t="s">
        <v>2674</v>
      </c>
      <c r="AH2614" s="831" t="s">
        <v>89</v>
      </c>
      <c r="AI2614" s="831">
        <v>0</v>
      </c>
      <c r="AJ2614" s="835">
        <v>39844</v>
      </c>
      <c r="AK2614" s="831">
        <v>70207</v>
      </c>
      <c r="AP2614" s="831" t="str">
        <f t="shared" si="121"/>
        <v/>
      </c>
    </row>
    <row r="2615" spans="2:42">
      <c r="B2615" s="834" t="str">
        <f t="shared" si="120"/>
        <v>|||</v>
      </c>
      <c r="H2615" s="835">
        <f t="shared" si="122"/>
        <v>31</v>
      </c>
      <c r="AF2615" s="831" t="s">
        <v>3314</v>
      </c>
      <c r="AG2615" s="831" t="s">
        <v>2674</v>
      </c>
      <c r="AH2615" s="831" t="s">
        <v>557</v>
      </c>
      <c r="AI2615" s="831">
        <v>0</v>
      </c>
      <c r="AJ2615" s="835">
        <v>39844</v>
      </c>
      <c r="AK2615" s="831">
        <v>72280</v>
      </c>
      <c r="AP2615" s="831" t="str">
        <f t="shared" si="121"/>
        <v/>
      </c>
    </row>
    <row r="2616" spans="2:42">
      <c r="B2616" s="834" t="str">
        <f t="shared" si="120"/>
        <v>|||</v>
      </c>
      <c r="H2616" s="835">
        <f t="shared" si="122"/>
        <v>31</v>
      </c>
      <c r="AF2616" s="831" t="s">
        <v>3315</v>
      </c>
      <c r="AG2616" s="831" t="s">
        <v>2674</v>
      </c>
      <c r="AH2616" s="831" t="s">
        <v>29</v>
      </c>
      <c r="AI2616" s="831">
        <v>0</v>
      </c>
      <c r="AJ2616" s="835">
        <v>39844</v>
      </c>
      <c r="AK2616" s="831">
        <v>1017210</v>
      </c>
      <c r="AP2616" s="831" t="str">
        <f t="shared" si="121"/>
        <v/>
      </c>
    </row>
    <row r="2617" spans="2:42">
      <c r="B2617" s="834" t="str">
        <f t="shared" si="120"/>
        <v>|||</v>
      </c>
      <c r="H2617" s="835">
        <f t="shared" si="122"/>
        <v>31</v>
      </c>
      <c r="AF2617" s="831" t="s">
        <v>3316</v>
      </c>
      <c r="AG2617" s="831" t="s">
        <v>2674</v>
      </c>
      <c r="AH2617" s="831" t="s">
        <v>2688</v>
      </c>
      <c r="AI2617" s="831">
        <v>0</v>
      </c>
      <c r="AJ2617" s="835">
        <v>39844</v>
      </c>
      <c r="AK2617" s="831">
        <v>123247</v>
      </c>
      <c r="AP2617" s="831" t="str">
        <f t="shared" si="121"/>
        <v/>
      </c>
    </row>
    <row r="2618" spans="2:42">
      <c r="B2618" s="834" t="str">
        <f t="shared" si="120"/>
        <v>|||</v>
      </c>
      <c r="H2618" s="835">
        <f t="shared" si="122"/>
        <v>31</v>
      </c>
      <c r="AF2618" s="831" t="s">
        <v>3317</v>
      </c>
      <c r="AG2618" s="831" t="s">
        <v>2674</v>
      </c>
      <c r="AH2618" s="831" t="s">
        <v>556</v>
      </c>
      <c r="AI2618" s="831">
        <v>0</v>
      </c>
      <c r="AJ2618" s="835">
        <v>39844</v>
      </c>
      <c r="AK2618" s="831">
        <v>0</v>
      </c>
      <c r="AP2618" s="831" t="str">
        <f t="shared" si="121"/>
        <v/>
      </c>
    </row>
    <row r="2619" spans="2:42">
      <c r="B2619" s="834" t="str">
        <f t="shared" si="120"/>
        <v>|||</v>
      </c>
      <c r="H2619" s="835">
        <f t="shared" si="122"/>
        <v>31</v>
      </c>
      <c r="AF2619" s="831" t="s">
        <v>3318</v>
      </c>
      <c r="AG2619" s="831" t="s">
        <v>2674</v>
      </c>
      <c r="AH2619" s="831" t="s">
        <v>555</v>
      </c>
      <c r="AI2619" s="831">
        <v>0</v>
      </c>
      <c r="AJ2619" s="835">
        <v>39844</v>
      </c>
      <c r="AK2619" s="831">
        <v>141993380</v>
      </c>
      <c r="AP2619" s="831" t="str">
        <f t="shared" si="121"/>
        <v/>
      </c>
    </row>
    <row r="2620" spans="2:42">
      <c r="B2620" s="834" t="str">
        <f t="shared" si="120"/>
        <v>|||</v>
      </c>
      <c r="H2620" s="835">
        <f t="shared" si="122"/>
        <v>31</v>
      </c>
      <c r="AF2620" s="831" t="s">
        <v>3319</v>
      </c>
      <c r="AG2620" s="831" t="s">
        <v>2674</v>
      </c>
      <c r="AH2620" s="831" t="s">
        <v>554</v>
      </c>
      <c r="AI2620" s="831">
        <v>0</v>
      </c>
      <c r="AJ2620" s="835">
        <v>39844</v>
      </c>
      <c r="AK2620" s="831">
        <v>145161110</v>
      </c>
      <c r="AP2620" s="831" t="str">
        <f t="shared" si="121"/>
        <v/>
      </c>
    </row>
    <row r="2621" spans="2:42">
      <c r="B2621" s="834" t="str">
        <f t="shared" si="120"/>
        <v>|||</v>
      </c>
      <c r="H2621" s="835">
        <f t="shared" si="122"/>
        <v>31</v>
      </c>
      <c r="AF2621" s="831" t="s">
        <v>3320</v>
      </c>
      <c r="AG2621" s="831" t="s">
        <v>2674</v>
      </c>
      <c r="AH2621" s="831" t="s">
        <v>553</v>
      </c>
      <c r="AI2621" s="831">
        <v>0</v>
      </c>
      <c r="AJ2621" s="835">
        <v>39844</v>
      </c>
      <c r="AK2621" s="831">
        <v>0</v>
      </c>
      <c r="AP2621" s="831" t="str">
        <f t="shared" si="121"/>
        <v/>
      </c>
    </row>
    <row r="2622" spans="2:42">
      <c r="B2622" s="834" t="str">
        <f t="shared" si="120"/>
        <v>|||</v>
      </c>
      <c r="H2622" s="835">
        <f t="shared" si="122"/>
        <v>31</v>
      </c>
      <c r="AF2622" s="831" t="s">
        <v>3321</v>
      </c>
      <c r="AG2622" s="831" t="s">
        <v>2674</v>
      </c>
      <c r="AH2622" s="831" t="s">
        <v>552</v>
      </c>
      <c r="AI2622" s="831">
        <v>0</v>
      </c>
      <c r="AJ2622" s="835">
        <v>39844</v>
      </c>
      <c r="AK2622" s="831">
        <v>0</v>
      </c>
      <c r="AP2622" s="831" t="str">
        <f t="shared" si="121"/>
        <v/>
      </c>
    </row>
    <row r="2623" spans="2:42">
      <c r="B2623" s="834" t="str">
        <f t="shared" si="120"/>
        <v>|||</v>
      </c>
      <c r="H2623" s="835">
        <f t="shared" si="122"/>
        <v>31</v>
      </c>
      <c r="AF2623" s="831" t="s">
        <v>3322</v>
      </c>
      <c r="AG2623" s="831" t="s">
        <v>2674</v>
      </c>
      <c r="AH2623" s="831" t="s">
        <v>551</v>
      </c>
      <c r="AI2623" s="831">
        <v>0</v>
      </c>
      <c r="AJ2623" s="835">
        <v>39844</v>
      </c>
      <c r="AK2623" s="831">
        <v>679152</v>
      </c>
      <c r="AP2623" s="831" t="str">
        <f t="shared" si="121"/>
        <v/>
      </c>
    </row>
    <row r="2624" spans="2:42">
      <c r="B2624" s="834" t="str">
        <f t="shared" si="120"/>
        <v>|||</v>
      </c>
      <c r="H2624" s="835">
        <f t="shared" si="122"/>
        <v>31</v>
      </c>
      <c r="AF2624" s="831" t="s">
        <v>3323</v>
      </c>
      <c r="AG2624" s="831" t="s">
        <v>2674</v>
      </c>
      <c r="AH2624" s="831" t="s">
        <v>550</v>
      </c>
      <c r="AI2624" s="831">
        <v>0</v>
      </c>
      <c r="AJ2624" s="835">
        <v>39844</v>
      </c>
      <c r="AK2624" s="831">
        <v>33375901</v>
      </c>
      <c r="AP2624" s="831" t="str">
        <f t="shared" si="121"/>
        <v/>
      </c>
    </row>
    <row r="2625" spans="2:42">
      <c r="B2625" s="834" t="str">
        <f t="shared" si="120"/>
        <v>|||</v>
      </c>
      <c r="H2625" s="835">
        <f t="shared" si="122"/>
        <v>31</v>
      </c>
      <c r="AF2625" s="831" t="s">
        <v>3324</v>
      </c>
      <c r="AG2625" s="831" t="s">
        <v>2674</v>
      </c>
      <c r="AH2625" s="831" t="s">
        <v>562</v>
      </c>
      <c r="AI2625" s="831">
        <v>0</v>
      </c>
      <c r="AJ2625" s="835">
        <v>39844</v>
      </c>
      <c r="AK2625" s="831">
        <v>0.81</v>
      </c>
      <c r="AP2625" s="831" t="str">
        <f t="shared" si="121"/>
        <v/>
      </c>
    </row>
    <row r="2626" spans="2:42">
      <c r="B2626" s="834" t="str">
        <f t="shared" si="120"/>
        <v>|||</v>
      </c>
      <c r="H2626" s="835">
        <f t="shared" si="122"/>
        <v>31</v>
      </c>
      <c r="AF2626" s="831" t="s">
        <v>3325</v>
      </c>
      <c r="AG2626" s="831" t="s">
        <v>2674</v>
      </c>
      <c r="AH2626" s="831" t="s">
        <v>2698</v>
      </c>
      <c r="AI2626" s="831">
        <v>0</v>
      </c>
      <c r="AJ2626" s="835">
        <v>39844</v>
      </c>
      <c r="AK2626" s="831">
        <v>0.8</v>
      </c>
      <c r="AP2626" s="831" t="str">
        <f t="shared" si="121"/>
        <v/>
      </c>
    </row>
    <row r="2627" spans="2:42">
      <c r="B2627" s="834" t="str">
        <f t="shared" ref="B2627:B2690" si="123">C2627&amp;"|"&amp;D2627&amp;"|"&amp;E2627&amp;"|"&amp;F2627</f>
        <v>|||</v>
      </c>
      <c r="H2627" s="835">
        <f t="shared" si="122"/>
        <v>31</v>
      </c>
      <c r="AF2627" s="831" t="s">
        <v>3326</v>
      </c>
      <c r="AG2627" s="831" t="s">
        <v>2674</v>
      </c>
      <c r="AH2627" s="831" t="s">
        <v>560</v>
      </c>
      <c r="AI2627" s="831">
        <v>0</v>
      </c>
      <c r="AJ2627" s="835">
        <v>39844</v>
      </c>
      <c r="AK2627" s="831">
        <v>0.81</v>
      </c>
      <c r="AP2627" s="831" t="str">
        <f t="shared" ref="AP2627:AP2690" si="124">IF(AX2627&lt;&gt;"",IF(OR(AX2627=3,AX2627=4),"Equity","Debt"),"")</f>
        <v/>
      </c>
    </row>
    <row r="2628" spans="2:42">
      <c r="B2628" s="834" t="str">
        <f t="shared" si="123"/>
        <v>|||</v>
      </c>
      <c r="H2628" s="835">
        <f t="shared" ref="H2628:H2691" si="125">EOMONTH(L2628,0)</f>
        <v>31</v>
      </c>
      <c r="AF2628" s="831" t="s">
        <v>3327</v>
      </c>
      <c r="AG2628" s="831" t="s">
        <v>2674</v>
      </c>
      <c r="AH2628" s="831" t="s">
        <v>559</v>
      </c>
      <c r="AI2628" s="831">
        <v>0</v>
      </c>
      <c r="AJ2628" s="835">
        <v>39844</v>
      </c>
      <c r="AK2628" s="831">
        <v>0.8175</v>
      </c>
      <c r="AP2628" s="831" t="str">
        <f t="shared" si="124"/>
        <v/>
      </c>
    </row>
    <row r="2629" spans="2:42">
      <c r="B2629" s="834" t="str">
        <f t="shared" si="123"/>
        <v>|||</v>
      </c>
      <c r="H2629" s="835">
        <f t="shared" si="125"/>
        <v>31</v>
      </c>
      <c r="AF2629" s="831" t="s">
        <v>3328</v>
      </c>
      <c r="AG2629" s="831" t="s">
        <v>2674</v>
      </c>
      <c r="AH2629" s="831" t="s">
        <v>568</v>
      </c>
      <c r="AI2629" s="831">
        <v>0</v>
      </c>
      <c r="AJ2629" s="835">
        <v>39844</v>
      </c>
      <c r="AK2629" s="831">
        <v>0</v>
      </c>
      <c r="AP2629" s="831" t="str">
        <f t="shared" si="124"/>
        <v/>
      </c>
    </row>
    <row r="2630" spans="2:42">
      <c r="B2630" s="834" t="str">
        <f t="shared" si="123"/>
        <v>|||</v>
      </c>
      <c r="H2630" s="835">
        <f t="shared" si="125"/>
        <v>31</v>
      </c>
      <c r="AF2630" s="831" t="s">
        <v>3329</v>
      </c>
      <c r="AG2630" s="831" t="s">
        <v>2674</v>
      </c>
      <c r="AH2630" s="831" t="s">
        <v>569</v>
      </c>
      <c r="AI2630" s="831">
        <v>0</v>
      </c>
      <c r="AJ2630" s="835">
        <v>39844</v>
      </c>
      <c r="AK2630" s="831">
        <v>0</v>
      </c>
      <c r="AP2630" s="831" t="str">
        <f t="shared" si="124"/>
        <v/>
      </c>
    </row>
    <row r="2631" spans="2:42">
      <c r="B2631" s="834" t="str">
        <f t="shared" si="123"/>
        <v>|||</v>
      </c>
      <c r="H2631" s="835">
        <f t="shared" si="125"/>
        <v>31</v>
      </c>
      <c r="AF2631" s="831" t="s">
        <v>3330</v>
      </c>
      <c r="AG2631" s="831" t="s">
        <v>2674</v>
      </c>
      <c r="AH2631" s="831" t="s">
        <v>570</v>
      </c>
      <c r="AI2631" s="831">
        <v>0</v>
      </c>
      <c r="AJ2631" s="835">
        <v>39844</v>
      </c>
      <c r="AK2631" s="831">
        <v>0</v>
      </c>
      <c r="AP2631" s="831" t="str">
        <f t="shared" si="124"/>
        <v/>
      </c>
    </row>
    <row r="2632" spans="2:42">
      <c r="B2632" s="834" t="str">
        <f t="shared" si="123"/>
        <v>|||</v>
      </c>
      <c r="H2632" s="835">
        <f t="shared" si="125"/>
        <v>31</v>
      </c>
      <c r="AF2632" s="831" t="s">
        <v>3331</v>
      </c>
      <c r="AG2632" s="831" t="s">
        <v>2674</v>
      </c>
      <c r="AH2632" s="831" t="s">
        <v>571</v>
      </c>
      <c r="AI2632" s="831">
        <v>0</v>
      </c>
      <c r="AJ2632" s="835">
        <v>39844</v>
      </c>
      <c r="AK2632" s="831">
        <v>0</v>
      </c>
      <c r="AP2632" s="831" t="str">
        <f t="shared" si="124"/>
        <v/>
      </c>
    </row>
    <row r="2633" spans="2:42">
      <c r="B2633" s="834" t="str">
        <f t="shared" si="123"/>
        <v>|||</v>
      </c>
      <c r="H2633" s="835">
        <f t="shared" si="125"/>
        <v>31</v>
      </c>
      <c r="AF2633" s="831" t="s">
        <v>3332</v>
      </c>
      <c r="AG2633" s="831" t="s">
        <v>2674</v>
      </c>
      <c r="AH2633" s="831" t="s">
        <v>573</v>
      </c>
      <c r="AI2633" s="831">
        <v>0</v>
      </c>
      <c r="AJ2633" s="835">
        <v>39844</v>
      </c>
      <c r="AK2633" s="831">
        <v>0</v>
      </c>
      <c r="AP2633" s="831" t="str">
        <f t="shared" si="124"/>
        <v/>
      </c>
    </row>
    <row r="2634" spans="2:42">
      <c r="B2634" s="834" t="str">
        <f t="shared" si="123"/>
        <v>|||</v>
      </c>
      <c r="H2634" s="835">
        <f t="shared" si="125"/>
        <v>31</v>
      </c>
      <c r="AF2634" s="831" t="s">
        <v>3333</v>
      </c>
      <c r="AG2634" s="831" t="s">
        <v>2674</v>
      </c>
      <c r="AH2634" s="831" t="s">
        <v>574</v>
      </c>
      <c r="AI2634" s="831">
        <v>0</v>
      </c>
      <c r="AJ2634" s="835">
        <v>39844</v>
      </c>
      <c r="AK2634" s="831">
        <v>0</v>
      </c>
      <c r="AP2634" s="831" t="str">
        <f t="shared" si="124"/>
        <v/>
      </c>
    </row>
    <row r="2635" spans="2:42">
      <c r="B2635" s="834" t="str">
        <f t="shared" si="123"/>
        <v>|||</v>
      </c>
      <c r="H2635" s="835">
        <f t="shared" si="125"/>
        <v>31</v>
      </c>
      <c r="AF2635" s="831" t="s">
        <v>3334</v>
      </c>
      <c r="AG2635" s="831" t="s">
        <v>2674</v>
      </c>
      <c r="AH2635" s="831" t="s">
        <v>575</v>
      </c>
      <c r="AI2635" s="831">
        <v>0</v>
      </c>
      <c r="AJ2635" s="835">
        <v>39844</v>
      </c>
      <c r="AK2635" s="831">
        <v>0</v>
      </c>
      <c r="AP2635" s="831" t="str">
        <f t="shared" si="124"/>
        <v/>
      </c>
    </row>
    <row r="2636" spans="2:42">
      <c r="B2636" s="834" t="str">
        <f t="shared" si="123"/>
        <v>|||</v>
      </c>
      <c r="H2636" s="835">
        <f t="shared" si="125"/>
        <v>31</v>
      </c>
      <c r="AF2636" s="831" t="s">
        <v>3335</v>
      </c>
      <c r="AG2636" s="831" t="s">
        <v>2674</v>
      </c>
      <c r="AH2636" s="831" t="s">
        <v>576</v>
      </c>
      <c r="AI2636" s="831">
        <v>0</v>
      </c>
      <c r="AJ2636" s="835">
        <v>39844</v>
      </c>
      <c r="AK2636" s="831">
        <v>0</v>
      </c>
      <c r="AP2636" s="831" t="str">
        <f t="shared" si="124"/>
        <v/>
      </c>
    </row>
    <row r="2637" spans="2:42">
      <c r="B2637" s="834" t="str">
        <f t="shared" si="123"/>
        <v>|||</v>
      </c>
      <c r="H2637" s="835">
        <f t="shared" si="125"/>
        <v>31</v>
      </c>
      <c r="AF2637" s="831" t="s">
        <v>3336</v>
      </c>
      <c r="AG2637" s="831" t="s">
        <v>2674</v>
      </c>
      <c r="AH2637" s="831" t="s">
        <v>572</v>
      </c>
      <c r="AI2637" s="831">
        <v>0</v>
      </c>
      <c r="AJ2637" s="835">
        <v>39844</v>
      </c>
      <c r="AK2637" s="831">
        <v>0</v>
      </c>
      <c r="AP2637" s="831" t="str">
        <f t="shared" si="124"/>
        <v/>
      </c>
    </row>
    <row r="2638" spans="2:42">
      <c r="B2638" s="834" t="str">
        <f t="shared" si="123"/>
        <v>|||</v>
      </c>
      <c r="H2638" s="835">
        <f t="shared" si="125"/>
        <v>31</v>
      </c>
      <c r="AF2638" s="831" t="s">
        <v>3337</v>
      </c>
      <c r="AG2638" s="831" t="s">
        <v>2674</v>
      </c>
      <c r="AH2638" s="831" t="s">
        <v>577</v>
      </c>
      <c r="AI2638" s="831">
        <v>0</v>
      </c>
      <c r="AJ2638" s="835">
        <v>39844</v>
      </c>
      <c r="AK2638" s="831">
        <v>0</v>
      </c>
      <c r="AP2638" s="831" t="str">
        <f t="shared" si="124"/>
        <v/>
      </c>
    </row>
    <row r="2639" spans="2:42">
      <c r="B2639" s="834" t="str">
        <f t="shared" si="123"/>
        <v>|||</v>
      </c>
      <c r="H2639" s="835">
        <f t="shared" si="125"/>
        <v>31</v>
      </c>
      <c r="AF2639" s="831" t="s">
        <v>3338</v>
      </c>
      <c r="AG2639" s="831" t="s">
        <v>2674</v>
      </c>
      <c r="AH2639" s="831" t="s">
        <v>3042</v>
      </c>
      <c r="AI2639" s="831">
        <v>0</v>
      </c>
      <c r="AJ2639" s="835">
        <v>39844</v>
      </c>
      <c r="AK2639" s="831">
        <v>0</v>
      </c>
      <c r="AP2639" s="831" t="str">
        <f t="shared" si="124"/>
        <v/>
      </c>
    </row>
    <row r="2640" spans="2:42">
      <c r="B2640" s="834" t="str">
        <f t="shared" si="123"/>
        <v>|||</v>
      </c>
      <c r="H2640" s="835">
        <f t="shared" si="125"/>
        <v>31</v>
      </c>
      <c r="AF2640" s="831" t="s">
        <v>3339</v>
      </c>
      <c r="AG2640" s="831" t="s">
        <v>2674</v>
      </c>
      <c r="AH2640" s="831" t="s">
        <v>3044</v>
      </c>
      <c r="AI2640" s="831">
        <v>0</v>
      </c>
      <c r="AJ2640" s="835">
        <v>39844</v>
      </c>
      <c r="AK2640" s="831">
        <v>0</v>
      </c>
      <c r="AP2640" s="831" t="str">
        <f t="shared" si="124"/>
        <v/>
      </c>
    </row>
    <row r="2641" spans="2:42">
      <c r="B2641" s="834" t="str">
        <f t="shared" si="123"/>
        <v>|||</v>
      </c>
      <c r="H2641" s="835">
        <f t="shared" si="125"/>
        <v>31</v>
      </c>
      <c r="AF2641" s="831" t="s">
        <v>3340</v>
      </c>
      <c r="AG2641" s="831" t="s">
        <v>2674</v>
      </c>
      <c r="AH2641" s="831" t="s">
        <v>580</v>
      </c>
      <c r="AI2641" s="831">
        <v>0</v>
      </c>
      <c r="AJ2641" s="835">
        <v>39844</v>
      </c>
      <c r="AK2641" s="831">
        <v>0</v>
      </c>
      <c r="AP2641" s="831" t="str">
        <f t="shared" si="124"/>
        <v/>
      </c>
    </row>
    <row r="2642" spans="2:42">
      <c r="B2642" s="834" t="str">
        <f t="shared" si="123"/>
        <v>|||</v>
      </c>
      <c r="H2642" s="835">
        <f t="shared" si="125"/>
        <v>31</v>
      </c>
      <c r="AF2642" s="831" t="s">
        <v>3341</v>
      </c>
      <c r="AG2642" s="831" t="s">
        <v>2674</v>
      </c>
      <c r="AH2642" s="831" t="s">
        <v>581</v>
      </c>
      <c r="AI2642" s="831">
        <v>0</v>
      </c>
      <c r="AJ2642" s="835">
        <v>39844</v>
      </c>
      <c r="AK2642" s="831">
        <v>0</v>
      </c>
      <c r="AP2642" s="831" t="str">
        <f t="shared" si="124"/>
        <v/>
      </c>
    </row>
    <row r="2643" spans="2:42">
      <c r="B2643" s="834" t="str">
        <f t="shared" si="123"/>
        <v>|||</v>
      </c>
      <c r="H2643" s="835">
        <f t="shared" si="125"/>
        <v>31</v>
      </c>
      <c r="AF2643" s="831" t="s">
        <v>3342</v>
      </c>
      <c r="AG2643" s="831" t="s">
        <v>2674</v>
      </c>
      <c r="AH2643" s="831" t="s">
        <v>105</v>
      </c>
      <c r="AI2643" s="831">
        <v>0</v>
      </c>
      <c r="AJ2643" s="835">
        <v>39844</v>
      </c>
      <c r="AK2643" s="831">
        <v>143755019</v>
      </c>
      <c r="AP2643" s="831" t="str">
        <f t="shared" si="124"/>
        <v/>
      </c>
    </row>
    <row r="2644" spans="2:42">
      <c r="B2644" s="834" t="str">
        <f t="shared" si="123"/>
        <v>|||</v>
      </c>
      <c r="H2644" s="835">
        <f t="shared" si="125"/>
        <v>31</v>
      </c>
      <c r="AF2644" s="831" t="s">
        <v>3343</v>
      </c>
      <c r="AG2644" s="831" t="s">
        <v>2674</v>
      </c>
      <c r="AH2644" s="831" t="s">
        <v>3049</v>
      </c>
      <c r="AI2644" s="831">
        <v>0</v>
      </c>
      <c r="AJ2644" s="835">
        <v>39844</v>
      </c>
      <c r="AK2644" s="831">
        <v>167455897</v>
      </c>
      <c r="AP2644" s="831" t="str">
        <f t="shared" si="124"/>
        <v/>
      </c>
    </row>
    <row r="2645" spans="2:42">
      <c r="B2645" s="834" t="str">
        <f t="shared" si="123"/>
        <v>|||</v>
      </c>
      <c r="H2645" s="835">
        <f t="shared" si="125"/>
        <v>31</v>
      </c>
      <c r="AF2645" s="831" t="s">
        <v>3344</v>
      </c>
      <c r="AG2645" s="831" t="s">
        <v>2674</v>
      </c>
      <c r="AH2645" s="831" t="s">
        <v>103</v>
      </c>
      <c r="AI2645" s="831">
        <v>0</v>
      </c>
      <c r="AJ2645" s="835">
        <v>39844</v>
      </c>
      <c r="AK2645" s="831">
        <v>23700878</v>
      </c>
      <c r="AP2645" s="831" t="str">
        <f t="shared" si="124"/>
        <v/>
      </c>
    </row>
    <row r="2646" spans="2:42">
      <c r="B2646" s="834" t="str">
        <f t="shared" si="123"/>
        <v>|||</v>
      </c>
      <c r="H2646" s="835">
        <f t="shared" si="125"/>
        <v>31</v>
      </c>
      <c r="AF2646" s="831" t="s">
        <v>3345</v>
      </c>
      <c r="AG2646" s="831" t="s">
        <v>2674</v>
      </c>
      <c r="AH2646" s="831" t="s">
        <v>182</v>
      </c>
      <c r="AI2646" s="831">
        <v>0</v>
      </c>
      <c r="AJ2646" s="835">
        <v>39844</v>
      </c>
      <c r="AK2646" s="831">
        <v>22324560</v>
      </c>
      <c r="AP2646" s="831" t="str">
        <f t="shared" si="124"/>
        <v/>
      </c>
    </row>
    <row r="2647" spans="2:42">
      <c r="B2647" s="834" t="str">
        <f t="shared" si="123"/>
        <v>|||</v>
      </c>
      <c r="H2647" s="835">
        <f t="shared" si="125"/>
        <v>31</v>
      </c>
      <c r="AG2647" s="831" t="s">
        <v>2674</v>
      </c>
      <c r="AH2647" s="831" t="s">
        <v>546</v>
      </c>
      <c r="AI2647" s="831">
        <v>0</v>
      </c>
      <c r="AJ2647" s="831" t="s">
        <v>3346</v>
      </c>
      <c r="AK2647" s="831">
        <v>0</v>
      </c>
      <c r="AP2647" s="831" t="str">
        <f t="shared" si="124"/>
        <v/>
      </c>
    </row>
    <row r="2648" spans="2:42">
      <c r="B2648" s="834" t="str">
        <f t="shared" si="123"/>
        <v>|||</v>
      </c>
      <c r="H2648" s="835">
        <f t="shared" si="125"/>
        <v>31</v>
      </c>
      <c r="AG2648" s="831" t="s">
        <v>2674</v>
      </c>
      <c r="AH2648" s="831" t="s">
        <v>370</v>
      </c>
      <c r="AI2648" s="831">
        <v>0</v>
      </c>
      <c r="AJ2648" s="831" t="s">
        <v>3346</v>
      </c>
      <c r="AK2648" s="831">
        <v>0</v>
      </c>
      <c r="AP2648" s="831" t="str">
        <f t="shared" si="124"/>
        <v/>
      </c>
    </row>
    <row r="2649" spans="2:42">
      <c r="B2649" s="834" t="str">
        <f t="shared" si="123"/>
        <v>|||</v>
      </c>
      <c r="H2649" s="835">
        <f t="shared" si="125"/>
        <v>31</v>
      </c>
      <c r="AG2649" s="831" t="s">
        <v>2674</v>
      </c>
      <c r="AH2649" s="831" t="s">
        <v>126</v>
      </c>
      <c r="AI2649" s="831">
        <v>0</v>
      </c>
      <c r="AJ2649" s="831" t="s">
        <v>3346</v>
      </c>
      <c r="AK2649" s="831">
        <v>0</v>
      </c>
      <c r="AP2649" s="831" t="str">
        <f t="shared" si="124"/>
        <v/>
      </c>
    </row>
    <row r="2650" spans="2:42">
      <c r="B2650" s="834" t="str">
        <f t="shared" si="123"/>
        <v>|||</v>
      </c>
      <c r="H2650" s="835">
        <f t="shared" si="125"/>
        <v>31</v>
      </c>
      <c r="AG2650" s="831" t="s">
        <v>2674</v>
      </c>
      <c r="AH2650" s="831" t="s">
        <v>268</v>
      </c>
      <c r="AI2650" s="831">
        <v>0</v>
      </c>
      <c r="AJ2650" s="831" t="s">
        <v>3346</v>
      </c>
      <c r="AK2650" s="831">
        <v>0</v>
      </c>
      <c r="AP2650" s="831" t="str">
        <f t="shared" si="124"/>
        <v/>
      </c>
    </row>
    <row r="2651" spans="2:42">
      <c r="B2651" s="834" t="str">
        <f t="shared" si="123"/>
        <v>|||</v>
      </c>
      <c r="H2651" s="835">
        <f t="shared" si="125"/>
        <v>31</v>
      </c>
      <c r="AG2651" s="831" t="s">
        <v>2674</v>
      </c>
      <c r="AH2651" s="831" t="s">
        <v>547</v>
      </c>
      <c r="AI2651" s="831">
        <v>0</v>
      </c>
      <c r="AJ2651" s="831" t="s">
        <v>3346</v>
      </c>
      <c r="AK2651" s="831">
        <v>0</v>
      </c>
      <c r="AP2651" s="831" t="str">
        <f t="shared" si="124"/>
        <v/>
      </c>
    </row>
    <row r="2652" spans="2:42">
      <c r="B2652" s="834" t="str">
        <f t="shared" si="123"/>
        <v>|||</v>
      </c>
      <c r="H2652" s="835">
        <f t="shared" si="125"/>
        <v>31</v>
      </c>
      <c r="AG2652" s="831" t="s">
        <v>2674</v>
      </c>
      <c r="AH2652" s="831" t="s">
        <v>548</v>
      </c>
      <c r="AI2652" s="831">
        <v>0</v>
      </c>
      <c r="AJ2652" s="831" t="s">
        <v>3346</v>
      </c>
      <c r="AK2652" s="831">
        <v>0</v>
      </c>
      <c r="AP2652" s="831" t="str">
        <f t="shared" si="124"/>
        <v/>
      </c>
    </row>
    <row r="2653" spans="2:42">
      <c r="B2653" s="834" t="str">
        <f t="shared" si="123"/>
        <v>|||</v>
      </c>
      <c r="H2653" s="835">
        <f t="shared" si="125"/>
        <v>31</v>
      </c>
      <c r="AG2653" s="831" t="s">
        <v>2674</v>
      </c>
      <c r="AH2653" s="831" t="s">
        <v>549</v>
      </c>
      <c r="AI2653" s="831">
        <v>0</v>
      </c>
      <c r="AJ2653" s="831" t="s">
        <v>3346</v>
      </c>
      <c r="AK2653" s="831">
        <v>0</v>
      </c>
      <c r="AP2653" s="831" t="str">
        <f t="shared" si="124"/>
        <v/>
      </c>
    </row>
    <row r="2654" spans="2:42">
      <c r="B2654" s="834" t="str">
        <f t="shared" si="123"/>
        <v>|||</v>
      </c>
      <c r="H2654" s="835">
        <f t="shared" si="125"/>
        <v>31</v>
      </c>
      <c r="AG2654" s="831" t="s">
        <v>2674</v>
      </c>
      <c r="AH2654" s="831" t="s">
        <v>192</v>
      </c>
      <c r="AI2654" s="831">
        <v>0</v>
      </c>
      <c r="AJ2654" s="831" t="s">
        <v>3346</v>
      </c>
      <c r="AK2654" s="831">
        <v>0</v>
      </c>
      <c r="AP2654" s="831" t="str">
        <f t="shared" si="124"/>
        <v/>
      </c>
    </row>
    <row r="2655" spans="2:42">
      <c r="B2655" s="834" t="str">
        <f t="shared" si="123"/>
        <v>|||</v>
      </c>
      <c r="H2655" s="835">
        <f t="shared" si="125"/>
        <v>31</v>
      </c>
      <c r="AG2655" s="831" t="s">
        <v>2674</v>
      </c>
      <c r="AH2655" s="831" t="s">
        <v>558</v>
      </c>
      <c r="AI2655" s="831">
        <v>0</v>
      </c>
      <c r="AJ2655" s="831" t="s">
        <v>3346</v>
      </c>
      <c r="AK2655" s="831">
        <v>0</v>
      </c>
      <c r="AP2655" s="831" t="str">
        <f t="shared" si="124"/>
        <v/>
      </c>
    </row>
    <row r="2656" spans="2:42">
      <c r="B2656" s="834" t="str">
        <f t="shared" si="123"/>
        <v>|||</v>
      </c>
      <c r="H2656" s="835">
        <f t="shared" si="125"/>
        <v>31</v>
      </c>
      <c r="AG2656" s="831" t="s">
        <v>2674</v>
      </c>
      <c r="AH2656" s="831" t="s">
        <v>65</v>
      </c>
      <c r="AI2656" s="831">
        <v>0</v>
      </c>
      <c r="AJ2656" s="831" t="s">
        <v>3346</v>
      </c>
      <c r="AK2656" s="831">
        <v>0</v>
      </c>
      <c r="AP2656" s="831" t="str">
        <f t="shared" si="124"/>
        <v/>
      </c>
    </row>
    <row r="2657" spans="2:42">
      <c r="B2657" s="834" t="str">
        <f t="shared" si="123"/>
        <v>|||</v>
      </c>
      <c r="H2657" s="835">
        <f t="shared" si="125"/>
        <v>31</v>
      </c>
      <c r="AG2657" s="831" t="s">
        <v>2674</v>
      </c>
      <c r="AH2657" s="831" t="s">
        <v>89</v>
      </c>
      <c r="AI2657" s="831">
        <v>0</v>
      </c>
      <c r="AJ2657" s="831" t="s">
        <v>3346</v>
      </c>
      <c r="AK2657" s="831">
        <v>0</v>
      </c>
      <c r="AP2657" s="831" t="str">
        <f t="shared" si="124"/>
        <v/>
      </c>
    </row>
    <row r="2658" spans="2:42">
      <c r="B2658" s="834" t="str">
        <f t="shared" si="123"/>
        <v>|||</v>
      </c>
      <c r="H2658" s="835">
        <f t="shared" si="125"/>
        <v>31</v>
      </c>
      <c r="AG2658" s="831" t="s">
        <v>2674</v>
      </c>
      <c r="AH2658" s="831" t="s">
        <v>557</v>
      </c>
      <c r="AI2658" s="831">
        <v>0</v>
      </c>
      <c r="AJ2658" s="831" t="s">
        <v>3346</v>
      </c>
      <c r="AK2658" s="831">
        <v>0</v>
      </c>
      <c r="AP2658" s="831" t="str">
        <f t="shared" si="124"/>
        <v/>
      </c>
    </row>
    <row r="2659" spans="2:42">
      <c r="B2659" s="834" t="str">
        <f t="shared" si="123"/>
        <v>|||</v>
      </c>
      <c r="H2659" s="835">
        <f t="shared" si="125"/>
        <v>31</v>
      </c>
      <c r="AG2659" s="831" t="s">
        <v>2674</v>
      </c>
      <c r="AH2659" s="831" t="s">
        <v>29</v>
      </c>
      <c r="AI2659" s="831">
        <v>0</v>
      </c>
      <c r="AJ2659" s="831" t="s">
        <v>3346</v>
      </c>
      <c r="AK2659" s="831">
        <v>0</v>
      </c>
      <c r="AP2659" s="831" t="str">
        <f t="shared" si="124"/>
        <v/>
      </c>
    </row>
    <row r="2660" spans="2:42">
      <c r="B2660" s="834" t="str">
        <f t="shared" si="123"/>
        <v>|||</v>
      </c>
      <c r="H2660" s="835">
        <f t="shared" si="125"/>
        <v>31</v>
      </c>
      <c r="AG2660" s="831" t="s">
        <v>2674</v>
      </c>
      <c r="AH2660" s="831" t="s">
        <v>2688</v>
      </c>
      <c r="AI2660" s="831">
        <v>0</v>
      </c>
      <c r="AJ2660" s="831" t="s">
        <v>3346</v>
      </c>
      <c r="AK2660" s="831">
        <v>0</v>
      </c>
      <c r="AP2660" s="831" t="str">
        <f t="shared" si="124"/>
        <v/>
      </c>
    </row>
    <row r="2661" spans="2:42">
      <c r="B2661" s="834" t="str">
        <f t="shared" si="123"/>
        <v>|||</v>
      </c>
      <c r="H2661" s="835">
        <f t="shared" si="125"/>
        <v>31</v>
      </c>
      <c r="AG2661" s="831" t="s">
        <v>2674</v>
      </c>
      <c r="AH2661" s="831" t="s">
        <v>556</v>
      </c>
      <c r="AI2661" s="831">
        <v>0</v>
      </c>
      <c r="AJ2661" s="831" t="s">
        <v>3346</v>
      </c>
      <c r="AK2661" s="831">
        <v>0</v>
      </c>
      <c r="AP2661" s="831" t="str">
        <f t="shared" si="124"/>
        <v/>
      </c>
    </row>
    <row r="2662" spans="2:42">
      <c r="B2662" s="834" t="str">
        <f t="shared" si="123"/>
        <v>|||</v>
      </c>
      <c r="H2662" s="835">
        <f t="shared" si="125"/>
        <v>31</v>
      </c>
      <c r="AG2662" s="831" t="s">
        <v>2674</v>
      </c>
      <c r="AH2662" s="831" t="s">
        <v>555</v>
      </c>
      <c r="AI2662" s="831">
        <v>0</v>
      </c>
      <c r="AJ2662" s="831" t="s">
        <v>3346</v>
      </c>
      <c r="AK2662" s="831">
        <v>0</v>
      </c>
      <c r="AP2662" s="831" t="str">
        <f t="shared" si="124"/>
        <v/>
      </c>
    </row>
    <row r="2663" spans="2:42">
      <c r="B2663" s="834" t="str">
        <f t="shared" si="123"/>
        <v>|||</v>
      </c>
      <c r="H2663" s="835">
        <f t="shared" si="125"/>
        <v>31</v>
      </c>
      <c r="AG2663" s="831" t="s">
        <v>2674</v>
      </c>
      <c r="AH2663" s="831" t="s">
        <v>554</v>
      </c>
      <c r="AI2663" s="831">
        <v>0</v>
      </c>
      <c r="AJ2663" s="831" t="s">
        <v>3346</v>
      </c>
      <c r="AK2663" s="831">
        <v>0</v>
      </c>
      <c r="AP2663" s="831" t="str">
        <f t="shared" si="124"/>
        <v/>
      </c>
    </row>
    <row r="2664" spans="2:42">
      <c r="B2664" s="834" t="str">
        <f t="shared" si="123"/>
        <v>|||</v>
      </c>
      <c r="H2664" s="835">
        <f t="shared" si="125"/>
        <v>31</v>
      </c>
      <c r="AG2664" s="831" t="s">
        <v>2674</v>
      </c>
      <c r="AH2664" s="831" t="s">
        <v>553</v>
      </c>
      <c r="AI2664" s="831">
        <v>0</v>
      </c>
      <c r="AJ2664" s="831" t="s">
        <v>3346</v>
      </c>
      <c r="AK2664" s="831">
        <v>0</v>
      </c>
      <c r="AP2664" s="831" t="str">
        <f t="shared" si="124"/>
        <v/>
      </c>
    </row>
    <row r="2665" spans="2:42">
      <c r="B2665" s="834" t="str">
        <f t="shared" si="123"/>
        <v>|||</v>
      </c>
      <c r="H2665" s="835">
        <f t="shared" si="125"/>
        <v>31</v>
      </c>
      <c r="AG2665" s="831" t="s">
        <v>2674</v>
      </c>
      <c r="AH2665" s="831" t="s">
        <v>552</v>
      </c>
      <c r="AI2665" s="831">
        <v>0</v>
      </c>
      <c r="AJ2665" s="831" t="s">
        <v>3346</v>
      </c>
      <c r="AK2665" s="831">
        <v>0</v>
      </c>
      <c r="AP2665" s="831" t="str">
        <f t="shared" si="124"/>
        <v/>
      </c>
    </row>
    <row r="2666" spans="2:42">
      <c r="B2666" s="834" t="str">
        <f t="shared" si="123"/>
        <v>|||</v>
      </c>
      <c r="H2666" s="835">
        <f t="shared" si="125"/>
        <v>31</v>
      </c>
      <c r="AG2666" s="831" t="s">
        <v>2674</v>
      </c>
      <c r="AH2666" s="831" t="s">
        <v>551</v>
      </c>
      <c r="AI2666" s="831">
        <v>0</v>
      </c>
      <c r="AJ2666" s="831" t="s">
        <v>3346</v>
      </c>
      <c r="AK2666" s="831">
        <v>0</v>
      </c>
      <c r="AP2666" s="831" t="str">
        <f t="shared" si="124"/>
        <v/>
      </c>
    </row>
    <row r="2667" spans="2:42">
      <c r="B2667" s="834" t="str">
        <f t="shared" si="123"/>
        <v>|||</v>
      </c>
      <c r="H2667" s="835">
        <f t="shared" si="125"/>
        <v>31</v>
      </c>
      <c r="AG2667" s="831" t="s">
        <v>2674</v>
      </c>
      <c r="AH2667" s="831" t="s">
        <v>550</v>
      </c>
      <c r="AI2667" s="831">
        <v>0</v>
      </c>
      <c r="AJ2667" s="831" t="s">
        <v>3346</v>
      </c>
      <c r="AK2667" s="831">
        <v>0</v>
      </c>
      <c r="AP2667" s="831" t="str">
        <f t="shared" si="124"/>
        <v/>
      </c>
    </row>
    <row r="2668" spans="2:42">
      <c r="B2668" s="834" t="str">
        <f t="shared" si="123"/>
        <v>|||</v>
      </c>
      <c r="H2668" s="835">
        <f t="shared" si="125"/>
        <v>31</v>
      </c>
      <c r="AG2668" s="831" t="s">
        <v>2674</v>
      </c>
      <c r="AH2668" s="831" t="s">
        <v>562</v>
      </c>
      <c r="AI2668" s="831">
        <v>0</v>
      </c>
      <c r="AJ2668" s="831" t="s">
        <v>3346</v>
      </c>
      <c r="AK2668" s="831">
        <v>0</v>
      </c>
      <c r="AP2668" s="831" t="str">
        <f t="shared" si="124"/>
        <v/>
      </c>
    </row>
    <row r="2669" spans="2:42">
      <c r="B2669" s="834" t="str">
        <f t="shared" si="123"/>
        <v>|||</v>
      </c>
      <c r="H2669" s="835">
        <f t="shared" si="125"/>
        <v>31</v>
      </c>
      <c r="AG2669" s="831" t="s">
        <v>2674</v>
      </c>
      <c r="AH2669" s="831" t="s">
        <v>2698</v>
      </c>
      <c r="AI2669" s="831">
        <v>0</v>
      </c>
      <c r="AJ2669" s="831" t="s">
        <v>3346</v>
      </c>
      <c r="AK2669" s="831">
        <v>0</v>
      </c>
      <c r="AP2669" s="831" t="str">
        <f t="shared" si="124"/>
        <v/>
      </c>
    </row>
    <row r="2670" spans="2:42">
      <c r="B2670" s="834" t="str">
        <f t="shared" si="123"/>
        <v>|||</v>
      </c>
      <c r="H2670" s="835">
        <f t="shared" si="125"/>
        <v>31</v>
      </c>
      <c r="AG2670" s="831" t="s">
        <v>2674</v>
      </c>
      <c r="AH2670" s="831" t="s">
        <v>560</v>
      </c>
      <c r="AI2670" s="831">
        <v>0</v>
      </c>
      <c r="AJ2670" s="831" t="s">
        <v>3346</v>
      </c>
      <c r="AK2670" s="831">
        <v>0</v>
      </c>
      <c r="AP2670" s="831" t="str">
        <f t="shared" si="124"/>
        <v/>
      </c>
    </row>
    <row r="2671" spans="2:42">
      <c r="B2671" s="834" t="str">
        <f t="shared" si="123"/>
        <v>|||</v>
      </c>
      <c r="H2671" s="835">
        <f t="shared" si="125"/>
        <v>31</v>
      </c>
      <c r="AG2671" s="831" t="s">
        <v>2674</v>
      </c>
      <c r="AH2671" s="831" t="s">
        <v>559</v>
      </c>
      <c r="AI2671" s="831">
        <v>0</v>
      </c>
      <c r="AJ2671" s="831" t="s">
        <v>3346</v>
      </c>
      <c r="AK2671" s="831">
        <v>0</v>
      </c>
      <c r="AP2671" s="831" t="str">
        <f t="shared" si="124"/>
        <v/>
      </c>
    </row>
    <row r="2672" spans="2:42">
      <c r="B2672" s="834" t="str">
        <f t="shared" si="123"/>
        <v>|||</v>
      </c>
      <c r="H2672" s="835">
        <f t="shared" si="125"/>
        <v>31</v>
      </c>
      <c r="AG2672" s="831" t="s">
        <v>2674</v>
      </c>
      <c r="AH2672" s="831" t="s">
        <v>568</v>
      </c>
      <c r="AI2672" s="831">
        <v>0</v>
      </c>
      <c r="AJ2672" s="831" t="s">
        <v>3346</v>
      </c>
      <c r="AK2672" s="831">
        <v>0</v>
      </c>
      <c r="AP2672" s="831" t="str">
        <f t="shared" si="124"/>
        <v/>
      </c>
    </row>
    <row r="2673" spans="2:42">
      <c r="B2673" s="834" t="str">
        <f t="shared" si="123"/>
        <v>|||</v>
      </c>
      <c r="H2673" s="835">
        <f t="shared" si="125"/>
        <v>31</v>
      </c>
      <c r="AG2673" s="831" t="s">
        <v>2674</v>
      </c>
      <c r="AH2673" s="831" t="s">
        <v>569</v>
      </c>
      <c r="AI2673" s="831">
        <v>0</v>
      </c>
      <c r="AJ2673" s="831" t="s">
        <v>3346</v>
      </c>
      <c r="AK2673" s="831">
        <v>0</v>
      </c>
      <c r="AP2673" s="831" t="str">
        <f t="shared" si="124"/>
        <v/>
      </c>
    </row>
    <row r="2674" spans="2:42">
      <c r="B2674" s="834" t="str">
        <f t="shared" si="123"/>
        <v>|||</v>
      </c>
      <c r="H2674" s="835">
        <f t="shared" si="125"/>
        <v>31</v>
      </c>
      <c r="AG2674" s="831" t="s">
        <v>2674</v>
      </c>
      <c r="AH2674" s="831" t="s">
        <v>570</v>
      </c>
      <c r="AI2674" s="831">
        <v>0</v>
      </c>
      <c r="AJ2674" s="831" t="s">
        <v>3346</v>
      </c>
      <c r="AK2674" s="831">
        <v>0</v>
      </c>
      <c r="AP2674" s="831" t="str">
        <f t="shared" si="124"/>
        <v/>
      </c>
    </row>
    <row r="2675" spans="2:42">
      <c r="B2675" s="834" t="str">
        <f t="shared" si="123"/>
        <v>|||</v>
      </c>
      <c r="H2675" s="835">
        <f t="shared" si="125"/>
        <v>31</v>
      </c>
      <c r="AG2675" s="831" t="s">
        <v>2674</v>
      </c>
      <c r="AH2675" s="831" t="s">
        <v>571</v>
      </c>
      <c r="AI2675" s="831">
        <v>0</v>
      </c>
      <c r="AJ2675" s="831" t="s">
        <v>3346</v>
      </c>
      <c r="AK2675" s="831">
        <v>0</v>
      </c>
      <c r="AP2675" s="831" t="str">
        <f t="shared" si="124"/>
        <v/>
      </c>
    </row>
    <row r="2676" spans="2:42">
      <c r="B2676" s="834" t="str">
        <f t="shared" si="123"/>
        <v>|||</v>
      </c>
      <c r="H2676" s="835">
        <f t="shared" si="125"/>
        <v>31</v>
      </c>
      <c r="AG2676" s="831" t="s">
        <v>2674</v>
      </c>
      <c r="AH2676" s="831" t="s">
        <v>573</v>
      </c>
      <c r="AI2676" s="831">
        <v>0</v>
      </c>
      <c r="AJ2676" s="831" t="s">
        <v>3346</v>
      </c>
      <c r="AK2676" s="831">
        <v>0</v>
      </c>
      <c r="AP2676" s="831" t="str">
        <f t="shared" si="124"/>
        <v/>
      </c>
    </row>
    <row r="2677" spans="2:42">
      <c r="B2677" s="834" t="str">
        <f t="shared" si="123"/>
        <v>|||</v>
      </c>
      <c r="H2677" s="835">
        <f t="shared" si="125"/>
        <v>31</v>
      </c>
      <c r="AG2677" s="831" t="s">
        <v>2674</v>
      </c>
      <c r="AH2677" s="831" t="s">
        <v>574</v>
      </c>
      <c r="AI2677" s="831">
        <v>0</v>
      </c>
      <c r="AJ2677" s="831" t="s">
        <v>3346</v>
      </c>
      <c r="AK2677" s="831">
        <v>0</v>
      </c>
      <c r="AP2677" s="831" t="str">
        <f t="shared" si="124"/>
        <v/>
      </c>
    </row>
    <row r="2678" spans="2:42">
      <c r="B2678" s="834" t="str">
        <f t="shared" si="123"/>
        <v>|||</v>
      </c>
      <c r="H2678" s="835">
        <f t="shared" si="125"/>
        <v>31</v>
      </c>
      <c r="AG2678" s="831" t="s">
        <v>2674</v>
      </c>
      <c r="AH2678" s="831" t="s">
        <v>575</v>
      </c>
      <c r="AI2678" s="831">
        <v>0</v>
      </c>
      <c r="AJ2678" s="831" t="s">
        <v>3346</v>
      </c>
      <c r="AK2678" s="831">
        <v>0</v>
      </c>
      <c r="AP2678" s="831" t="str">
        <f t="shared" si="124"/>
        <v/>
      </c>
    </row>
    <row r="2679" spans="2:42">
      <c r="B2679" s="834" t="str">
        <f t="shared" si="123"/>
        <v>|||</v>
      </c>
      <c r="H2679" s="835">
        <f t="shared" si="125"/>
        <v>31</v>
      </c>
      <c r="AG2679" s="831" t="s">
        <v>2674</v>
      </c>
      <c r="AH2679" s="831" t="s">
        <v>576</v>
      </c>
      <c r="AI2679" s="831">
        <v>0</v>
      </c>
      <c r="AJ2679" s="831" t="s">
        <v>3346</v>
      </c>
      <c r="AK2679" s="831">
        <v>0</v>
      </c>
      <c r="AP2679" s="831" t="str">
        <f t="shared" si="124"/>
        <v/>
      </c>
    </row>
    <row r="2680" spans="2:42">
      <c r="B2680" s="834" t="str">
        <f t="shared" si="123"/>
        <v>|||</v>
      </c>
      <c r="H2680" s="835">
        <f t="shared" si="125"/>
        <v>31</v>
      </c>
      <c r="AG2680" s="831" t="s">
        <v>2674</v>
      </c>
      <c r="AH2680" s="831" t="s">
        <v>572</v>
      </c>
      <c r="AI2680" s="831">
        <v>0</v>
      </c>
      <c r="AJ2680" s="831" t="s">
        <v>3346</v>
      </c>
      <c r="AK2680" s="831">
        <v>0</v>
      </c>
      <c r="AP2680" s="831" t="str">
        <f t="shared" si="124"/>
        <v/>
      </c>
    </row>
    <row r="2681" spans="2:42">
      <c r="B2681" s="834" t="str">
        <f t="shared" si="123"/>
        <v>|||</v>
      </c>
      <c r="H2681" s="835">
        <f t="shared" si="125"/>
        <v>31</v>
      </c>
      <c r="AG2681" s="831" t="s">
        <v>2674</v>
      </c>
      <c r="AH2681" s="831" t="s">
        <v>577</v>
      </c>
      <c r="AI2681" s="831">
        <v>0</v>
      </c>
      <c r="AJ2681" s="831" t="s">
        <v>3346</v>
      </c>
      <c r="AK2681" s="831">
        <v>0</v>
      </c>
      <c r="AP2681" s="831" t="str">
        <f t="shared" si="124"/>
        <v/>
      </c>
    </row>
    <row r="2682" spans="2:42">
      <c r="B2682" s="834" t="str">
        <f t="shared" si="123"/>
        <v>|||</v>
      </c>
      <c r="H2682" s="835">
        <f t="shared" si="125"/>
        <v>31</v>
      </c>
      <c r="AG2682" s="831" t="s">
        <v>2674</v>
      </c>
      <c r="AH2682" s="831" t="s">
        <v>3042</v>
      </c>
      <c r="AI2682" s="831">
        <v>0</v>
      </c>
      <c r="AJ2682" s="831" t="s">
        <v>3346</v>
      </c>
      <c r="AK2682" s="831">
        <v>0</v>
      </c>
      <c r="AP2682" s="831" t="str">
        <f t="shared" si="124"/>
        <v/>
      </c>
    </row>
    <row r="2683" spans="2:42">
      <c r="B2683" s="834" t="str">
        <f t="shared" si="123"/>
        <v>|||</v>
      </c>
      <c r="H2683" s="835">
        <f t="shared" si="125"/>
        <v>31</v>
      </c>
      <c r="AG2683" s="831" t="s">
        <v>2674</v>
      </c>
      <c r="AH2683" s="831" t="s">
        <v>3044</v>
      </c>
      <c r="AI2683" s="831">
        <v>0</v>
      </c>
      <c r="AJ2683" s="831" t="s">
        <v>3346</v>
      </c>
      <c r="AK2683" s="831">
        <v>0</v>
      </c>
      <c r="AP2683" s="831" t="str">
        <f t="shared" si="124"/>
        <v/>
      </c>
    </row>
    <row r="2684" spans="2:42">
      <c r="B2684" s="834" t="str">
        <f t="shared" si="123"/>
        <v>|||</v>
      </c>
      <c r="H2684" s="835">
        <f t="shared" si="125"/>
        <v>31</v>
      </c>
      <c r="AG2684" s="831" t="s">
        <v>2674</v>
      </c>
      <c r="AH2684" s="831" t="s">
        <v>580</v>
      </c>
      <c r="AI2684" s="831">
        <v>0</v>
      </c>
      <c r="AJ2684" s="831" t="s">
        <v>3346</v>
      </c>
      <c r="AK2684" s="831">
        <v>0</v>
      </c>
      <c r="AP2684" s="831" t="str">
        <f t="shared" si="124"/>
        <v/>
      </c>
    </row>
    <row r="2685" spans="2:42">
      <c r="B2685" s="834" t="str">
        <f t="shared" si="123"/>
        <v>|||</v>
      </c>
      <c r="H2685" s="835">
        <f t="shared" si="125"/>
        <v>31</v>
      </c>
      <c r="AG2685" s="831" t="s">
        <v>2674</v>
      </c>
      <c r="AH2685" s="831" t="s">
        <v>581</v>
      </c>
      <c r="AI2685" s="831">
        <v>0</v>
      </c>
      <c r="AJ2685" s="831" t="s">
        <v>3346</v>
      </c>
      <c r="AK2685" s="831">
        <v>0</v>
      </c>
      <c r="AP2685" s="831" t="str">
        <f t="shared" si="124"/>
        <v/>
      </c>
    </row>
    <row r="2686" spans="2:42">
      <c r="B2686" s="834" t="str">
        <f t="shared" si="123"/>
        <v>|||</v>
      </c>
      <c r="H2686" s="835">
        <f t="shared" si="125"/>
        <v>31</v>
      </c>
      <c r="AG2686" s="831" t="s">
        <v>2674</v>
      </c>
      <c r="AH2686" s="831" t="s">
        <v>105</v>
      </c>
      <c r="AI2686" s="831">
        <v>0</v>
      </c>
      <c r="AJ2686" s="831" t="s">
        <v>3346</v>
      </c>
      <c r="AK2686" s="831">
        <v>0</v>
      </c>
      <c r="AP2686" s="831" t="str">
        <f t="shared" si="124"/>
        <v/>
      </c>
    </row>
    <row r="2687" spans="2:42">
      <c r="B2687" s="834" t="str">
        <f t="shared" si="123"/>
        <v>|||</v>
      </c>
      <c r="H2687" s="835">
        <f t="shared" si="125"/>
        <v>31</v>
      </c>
      <c r="AG2687" s="831" t="s">
        <v>2674</v>
      </c>
      <c r="AH2687" s="831" t="s">
        <v>3049</v>
      </c>
      <c r="AI2687" s="831">
        <v>0</v>
      </c>
      <c r="AJ2687" s="831" t="s">
        <v>3346</v>
      </c>
      <c r="AK2687" s="831">
        <v>0</v>
      </c>
      <c r="AP2687" s="831" t="str">
        <f t="shared" si="124"/>
        <v/>
      </c>
    </row>
    <row r="2688" spans="2:42">
      <c r="B2688" s="834" t="str">
        <f t="shared" si="123"/>
        <v>|||</v>
      </c>
      <c r="H2688" s="835">
        <f t="shared" si="125"/>
        <v>31</v>
      </c>
      <c r="AG2688" s="831" t="s">
        <v>2674</v>
      </c>
      <c r="AH2688" s="831" t="s">
        <v>103</v>
      </c>
      <c r="AI2688" s="831">
        <v>0</v>
      </c>
      <c r="AJ2688" s="831" t="s">
        <v>3346</v>
      </c>
      <c r="AK2688" s="831">
        <v>0</v>
      </c>
      <c r="AP2688" s="831" t="str">
        <f t="shared" si="124"/>
        <v/>
      </c>
    </row>
    <row r="2689" spans="2:42">
      <c r="B2689" s="834" t="str">
        <f t="shared" si="123"/>
        <v>|||</v>
      </c>
      <c r="H2689" s="835">
        <f t="shared" si="125"/>
        <v>31</v>
      </c>
      <c r="AG2689" s="831" t="s">
        <v>2674</v>
      </c>
      <c r="AH2689" s="831" t="s">
        <v>182</v>
      </c>
      <c r="AI2689" s="831">
        <v>0</v>
      </c>
      <c r="AJ2689" s="831" t="s">
        <v>3346</v>
      </c>
      <c r="AK2689" s="831">
        <v>0</v>
      </c>
      <c r="AP2689" s="831" t="str">
        <f t="shared" si="124"/>
        <v/>
      </c>
    </row>
    <row r="2690" spans="2:42">
      <c r="B2690" s="834" t="str">
        <f t="shared" si="123"/>
        <v>|||</v>
      </c>
      <c r="H2690" s="835">
        <f t="shared" si="125"/>
        <v>31</v>
      </c>
      <c r="AF2690" s="831" t="s">
        <v>3347</v>
      </c>
      <c r="AG2690" s="831" t="s">
        <v>130</v>
      </c>
      <c r="AH2690" s="831" t="s">
        <v>145</v>
      </c>
      <c r="AI2690" s="831">
        <v>0</v>
      </c>
      <c r="AJ2690" s="835">
        <v>40574</v>
      </c>
      <c r="AK2690" s="831">
        <v>62294513</v>
      </c>
      <c r="AP2690" s="831" t="str">
        <f t="shared" si="124"/>
        <v/>
      </c>
    </row>
    <row r="2691" spans="2:42">
      <c r="B2691" s="834" t="str">
        <f t="shared" ref="B2691:B2754" si="126">C2691&amp;"|"&amp;D2691&amp;"|"&amp;E2691&amp;"|"&amp;F2691</f>
        <v>|||</v>
      </c>
      <c r="H2691" s="835">
        <f t="shared" si="125"/>
        <v>31</v>
      </c>
      <c r="AF2691" s="831" t="s">
        <v>3348</v>
      </c>
      <c r="AG2691" s="831" t="s">
        <v>130</v>
      </c>
      <c r="AH2691" s="831" t="s">
        <v>149</v>
      </c>
      <c r="AI2691" s="831">
        <v>0</v>
      </c>
      <c r="AJ2691" s="835">
        <v>40574</v>
      </c>
      <c r="AK2691" s="831">
        <v>0</v>
      </c>
      <c r="AP2691" s="831" t="str">
        <f t="shared" ref="AP2691:AP2754" si="127">IF(AX2691&lt;&gt;"",IF(OR(AX2691=3,AX2691=4),"Equity","Debt"),"")</f>
        <v/>
      </c>
    </row>
    <row r="2692" spans="2:42">
      <c r="B2692" s="834" t="str">
        <f t="shared" si="126"/>
        <v>|||</v>
      </c>
      <c r="H2692" s="835">
        <f t="shared" ref="H2692:H2755" si="128">EOMONTH(L2692,0)</f>
        <v>31</v>
      </c>
      <c r="AF2692" s="831" t="s">
        <v>3349</v>
      </c>
      <c r="AG2692" s="831" t="s">
        <v>130</v>
      </c>
      <c r="AH2692" s="831" t="s">
        <v>153</v>
      </c>
      <c r="AI2692" s="831">
        <v>0</v>
      </c>
      <c r="AJ2692" s="835">
        <v>40574</v>
      </c>
      <c r="AK2692" s="831">
        <v>14673770</v>
      </c>
      <c r="AP2692" s="831" t="str">
        <f t="shared" si="127"/>
        <v/>
      </c>
    </row>
    <row r="2693" spans="2:42">
      <c r="B2693" s="834" t="str">
        <f t="shared" si="126"/>
        <v>|||</v>
      </c>
      <c r="H2693" s="835">
        <f t="shared" si="128"/>
        <v>31</v>
      </c>
      <c r="AF2693" s="831" t="s">
        <v>3350</v>
      </c>
      <c r="AG2693" s="831" t="s">
        <v>130</v>
      </c>
      <c r="AH2693" s="831" t="s">
        <v>156</v>
      </c>
      <c r="AI2693" s="831">
        <v>0</v>
      </c>
      <c r="AJ2693" s="835">
        <v>40574</v>
      </c>
      <c r="AK2693" s="831">
        <v>0</v>
      </c>
      <c r="AP2693" s="831" t="str">
        <f t="shared" si="127"/>
        <v/>
      </c>
    </row>
    <row r="2694" spans="2:42">
      <c r="B2694" s="834" t="str">
        <f t="shared" si="126"/>
        <v>|||</v>
      </c>
      <c r="H2694" s="835">
        <f t="shared" si="128"/>
        <v>31</v>
      </c>
      <c r="AF2694" s="831" t="s">
        <v>3351</v>
      </c>
      <c r="AG2694" s="831" t="s">
        <v>130</v>
      </c>
      <c r="AH2694" s="831" t="s">
        <v>162</v>
      </c>
      <c r="AI2694" s="831">
        <v>0</v>
      </c>
      <c r="AJ2694" s="835">
        <v>40574</v>
      </c>
      <c r="AK2694" s="831">
        <v>264292762</v>
      </c>
      <c r="AP2694" s="831" t="str">
        <f t="shared" si="127"/>
        <v/>
      </c>
    </row>
    <row r="2695" spans="2:42">
      <c r="B2695" s="834" t="str">
        <f t="shared" si="126"/>
        <v>|||</v>
      </c>
      <c r="H2695" s="835">
        <f t="shared" si="128"/>
        <v>31</v>
      </c>
      <c r="AF2695" s="831" t="s">
        <v>3352</v>
      </c>
      <c r="AG2695" s="831" t="s">
        <v>130</v>
      </c>
      <c r="AH2695" s="831" t="s">
        <v>165</v>
      </c>
      <c r="AI2695" s="831">
        <v>0</v>
      </c>
      <c r="AJ2695" s="835">
        <v>40574</v>
      </c>
      <c r="AK2695" s="831">
        <v>-7801104</v>
      </c>
      <c r="AP2695" s="831" t="str">
        <f t="shared" si="127"/>
        <v/>
      </c>
    </row>
    <row r="2696" spans="2:42">
      <c r="B2696" s="834" t="str">
        <f t="shared" si="126"/>
        <v>|||</v>
      </c>
      <c r="H2696" s="835">
        <f t="shared" si="128"/>
        <v>31</v>
      </c>
      <c r="AF2696" s="831" t="s">
        <v>3353</v>
      </c>
      <c r="AG2696" s="831" t="s">
        <v>130</v>
      </c>
      <c r="AH2696" s="831" t="s">
        <v>171</v>
      </c>
      <c r="AI2696" s="831">
        <v>0</v>
      </c>
      <c r="AJ2696" s="835">
        <v>40574</v>
      </c>
      <c r="AK2696" s="831">
        <v>2855811</v>
      </c>
      <c r="AP2696" s="831" t="str">
        <f t="shared" si="127"/>
        <v/>
      </c>
    </row>
    <row r="2697" spans="2:42">
      <c r="B2697" s="834" t="str">
        <f t="shared" si="126"/>
        <v>|||</v>
      </c>
      <c r="H2697" s="835">
        <f t="shared" si="128"/>
        <v>31</v>
      </c>
      <c r="AF2697" s="831" t="s">
        <v>3354</v>
      </c>
      <c r="AG2697" s="831" t="s">
        <v>130</v>
      </c>
      <c r="AH2697" s="831" t="s">
        <v>174</v>
      </c>
      <c r="AI2697" s="831">
        <v>0</v>
      </c>
      <c r="AJ2697" s="835">
        <v>40574</v>
      </c>
      <c r="AK2697" s="831">
        <v>0</v>
      </c>
      <c r="AP2697" s="831" t="str">
        <f t="shared" si="127"/>
        <v/>
      </c>
    </row>
    <row r="2698" spans="2:42">
      <c r="B2698" s="834" t="str">
        <f t="shared" si="126"/>
        <v>|||</v>
      </c>
      <c r="H2698" s="835">
        <f t="shared" si="128"/>
        <v>31</v>
      </c>
      <c r="AF2698" s="831" t="s">
        <v>3355</v>
      </c>
      <c r="AG2698" s="831" t="s">
        <v>130</v>
      </c>
      <c r="AH2698" s="831" t="s">
        <v>181</v>
      </c>
      <c r="AI2698" s="831">
        <v>0</v>
      </c>
      <c r="AJ2698" s="835">
        <v>40574</v>
      </c>
      <c r="AK2698" s="831">
        <v>36562730</v>
      </c>
      <c r="AP2698" s="831" t="str">
        <f t="shared" si="127"/>
        <v/>
      </c>
    </row>
    <row r="2699" spans="2:42">
      <c r="B2699" s="834" t="str">
        <f t="shared" si="126"/>
        <v>|||</v>
      </c>
      <c r="H2699" s="835">
        <f t="shared" si="128"/>
        <v>31</v>
      </c>
      <c r="AF2699" s="831" t="s">
        <v>3356</v>
      </c>
      <c r="AG2699" s="831" t="s">
        <v>130</v>
      </c>
      <c r="AH2699" s="831" t="s">
        <v>184</v>
      </c>
      <c r="AI2699" s="831">
        <v>0</v>
      </c>
      <c r="AJ2699" s="835">
        <v>40574</v>
      </c>
      <c r="AK2699" s="831">
        <v>-5221657</v>
      </c>
      <c r="AP2699" s="831" t="str">
        <f t="shared" si="127"/>
        <v/>
      </c>
    </row>
    <row r="2700" spans="2:42">
      <c r="B2700" s="834" t="str">
        <f t="shared" si="126"/>
        <v>|||</v>
      </c>
      <c r="H2700" s="835">
        <f t="shared" si="128"/>
        <v>31</v>
      </c>
      <c r="AF2700" s="831" t="s">
        <v>3357</v>
      </c>
      <c r="AG2700" s="831" t="s">
        <v>130</v>
      </c>
      <c r="AH2700" s="831" t="s">
        <v>187</v>
      </c>
      <c r="AI2700" s="831">
        <v>0</v>
      </c>
      <c r="AJ2700" s="835">
        <v>40574</v>
      </c>
      <c r="AK2700" s="831">
        <v>0</v>
      </c>
      <c r="AP2700" s="831" t="str">
        <f t="shared" si="127"/>
        <v/>
      </c>
    </row>
    <row r="2701" spans="2:42">
      <c r="B2701" s="834" t="str">
        <f t="shared" si="126"/>
        <v>|||</v>
      </c>
      <c r="H2701" s="835">
        <f t="shared" si="128"/>
        <v>31</v>
      </c>
      <c r="AF2701" s="831" t="s">
        <v>3358</v>
      </c>
      <c r="AG2701" s="831" t="s">
        <v>130</v>
      </c>
      <c r="AH2701" s="831" t="s">
        <v>196</v>
      </c>
      <c r="AI2701" s="831">
        <v>0</v>
      </c>
      <c r="AJ2701" s="835">
        <v>40574</v>
      </c>
      <c r="AK2701" s="831">
        <v>1524650</v>
      </c>
      <c r="AP2701" s="831" t="str">
        <f t="shared" si="127"/>
        <v/>
      </c>
    </row>
    <row r="2702" spans="2:42">
      <c r="B2702" s="834" t="str">
        <f t="shared" si="126"/>
        <v>|||</v>
      </c>
      <c r="H2702" s="835">
        <f t="shared" si="128"/>
        <v>31</v>
      </c>
      <c r="AF2702" s="831" t="s">
        <v>3359</v>
      </c>
      <c r="AG2702" s="831" t="s">
        <v>130</v>
      </c>
      <c r="AH2702" s="831" t="s">
        <v>197</v>
      </c>
      <c r="AI2702" s="831">
        <v>0</v>
      </c>
      <c r="AJ2702" s="835">
        <v>40574</v>
      </c>
      <c r="AK2702" s="831">
        <v>0</v>
      </c>
      <c r="AP2702" s="831" t="str">
        <f t="shared" si="127"/>
        <v/>
      </c>
    </row>
    <row r="2703" spans="2:42">
      <c r="B2703" s="834" t="str">
        <f t="shared" si="126"/>
        <v>|||</v>
      </c>
      <c r="H2703" s="835">
        <f t="shared" si="128"/>
        <v>31</v>
      </c>
      <c r="AF2703" s="831" t="s">
        <v>3360</v>
      </c>
      <c r="AG2703" s="831" t="s">
        <v>130</v>
      </c>
      <c r="AH2703" s="831" t="s">
        <v>199</v>
      </c>
      <c r="AI2703" s="831">
        <v>0</v>
      </c>
      <c r="AJ2703" s="835">
        <v>40574</v>
      </c>
      <c r="AK2703" s="831">
        <v>0</v>
      </c>
      <c r="AP2703" s="831" t="str">
        <f t="shared" si="127"/>
        <v/>
      </c>
    </row>
    <row r="2704" spans="2:42">
      <c r="B2704" s="834" t="str">
        <f t="shared" si="126"/>
        <v>|||</v>
      </c>
      <c r="H2704" s="835">
        <f t="shared" si="128"/>
        <v>31</v>
      </c>
      <c r="AF2704" s="831" t="s">
        <v>3361</v>
      </c>
      <c r="AG2704" s="831" t="s">
        <v>130</v>
      </c>
      <c r="AH2704" s="831" t="s">
        <v>201</v>
      </c>
      <c r="AI2704" s="831">
        <v>0</v>
      </c>
      <c r="AJ2704" s="835">
        <v>40574</v>
      </c>
      <c r="AK2704" s="831">
        <v>1016590</v>
      </c>
      <c r="AP2704" s="831" t="str">
        <f t="shared" si="127"/>
        <v/>
      </c>
    </row>
    <row r="2705" spans="2:42">
      <c r="B2705" s="834" t="str">
        <f t="shared" si="126"/>
        <v>|||</v>
      </c>
      <c r="H2705" s="835">
        <f t="shared" si="128"/>
        <v>31</v>
      </c>
      <c r="AF2705" s="831" t="s">
        <v>3362</v>
      </c>
      <c r="AG2705" s="831" t="s">
        <v>130</v>
      </c>
      <c r="AH2705" s="831" t="s">
        <v>209</v>
      </c>
      <c r="AI2705" s="831">
        <v>0</v>
      </c>
      <c r="AJ2705" s="835">
        <v>40574</v>
      </c>
      <c r="AK2705" s="831">
        <v>14682860</v>
      </c>
      <c r="AP2705" s="831" t="str">
        <f t="shared" si="127"/>
        <v/>
      </c>
    </row>
    <row r="2706" spans="2:42">
      <c r="B2706" s="834" t="str">
        <f t="shared" si="126"/>
        <v>|||</v>
      </c>
      <c r="H2706" s="835">
        <f t="shared" si="128"/>
        <v>31</v>
      </c>
      <c r="AF2706" s="831" t="s">
        <v>3363</v>
      </c>
      <c r="AG2706" s="831" t="s">
        <v>130</v>
      </c>
      <c r="AH2706" s="831" t="s">
        <v>211</v>
      </c>
      <c r="AI2706" s="831">
        <v>0</v>
      </c>
      <c r="AJ2706" s="835">
        <v>40574</v>
      </c>
      <c r="AK2706" s="831">
        <v>107526493</v>
      </c>
      <c r="AP2706" s="831" t="str">
        <f t="shared" si="127"/>
        <v/>
      </c>
    </row>
    <row r="2707" spans="2:42">
      <c r="B2707" s="834" t="str">
        <f t="shared" si="126"/>
        <v>|||</v>
      </c>
      <c r="H2707" s="835">
        <f t="shared" si="128"/>
        <v>31</v>
      </c>
      <c r="AF2707" s="831" t="s">
        <v>3364</v>
      </c>
      <c r="AG2707" s="831" t="s">
        <v>130</v>
      </c>
      <c r="AH2707" s="831" t="s">
        <v>212</v>
      </c>
      <c r="AI2707" s="831">
        <v>0</v>
      </c>
      <c r="AJ2707" s="835">
        <v>40574</v>
      </c>
      <c r="AK2707" s="831">
        <v>5511300</v>
      </c>
      <c r="AP2707" s="831" t="str">
        <f t="shared" si="127"/>
        <v/>
      </c>
    </row>
    <row r="2708" spans="2:42">
      <c r="B2708" s="834" t="str">
        <f t="shared" si="126"/>
        <v>|||</v>
      </c>
      <c r="H2708" s="835">
        <f t="shared" si="128"/>
        <v>31</v>
      </c>
      <c r="AF2708" s="831" t="s">
        <v>3365</v>
      </c>
      <c r="AG2708" s="831" t="s">
        <v>130</v>
      </c>
      <c r="AH2708" s="831" t="s">
        <v>216</v>
      </c>
      <c r="AI2708" s="831">
        <v>0</v>
      </c>
      <c r="AJ2708" s="835">
        <v>40574</v>
      </c>
      <c r="AK2708" s="831">
        <v>0</v>
      </c>
      <c r="AP2708" s="831" t="str">
        <f t="shared" si="127"/>
        <v/>
      </c>
    </row>
    <row r="2709" spans="2:42">
      <c r="B2709" s="834" t="str">
        <f t="shared" si="126"/>
        <v>|||</v>
      </c>
      <c r="H2709" s="835">
        <f t="shared" si="128"/>
        <v>31</v>
      </c>
      <c r="AF2709" s="831" t="s">
        <v>3366</v>
      </c>
      <c r="AG2709" s="831" t="s">
        <v>130</v>
      </c>
      <c r="AH2709" s="831" t="s">
        <v>218</v>
      </c>
      <c r="AI2709" s="831">
        <v>0</v>
      </c>
      <c r="AJ2709" s="835">
        <v>40574</v>
      </c>
      <c r="AK2709" s="831">
        <v>62770720</v>
      </c>
      <c r="AP2709" s="831" t="str">
        <f t="shared" si="127"/>
        <v/>
      </c>
    </row>
    <row r="2710" spans="2:42">
      <c r="B2710" s="834" t="str">
        <f t="shared" si="126"/>
        <v>|||</v>
      </c>
      <c r="H2710" s="835">
        <f t="shared" si="128"/>
        <v>31</v>
      </c>
      <c r="AF2710" s="831" t="s">
        <v>3367</v>
      </c>
      <c r="AG2710" s="831" t="s">
        <v>130</v>
      </c>
      <c r="AH2710" s="831" t="s">
        <v>220</v>
      </c>
      <c r="AI2710" s="831">
        <v>0</v>
      </c>
      <c r="AJ2710" s="835">
        <v>40574</v>
      </c>
      <c r="AK2710" s="831">
        <v>0</v>
      </c>
      <c r="AP2710" s="831" t="str">
        <f t="shared" si="127"/>
        <v/>
      </c>
    </row>
    <row r="2711" spans="2:42">
      <c r="B2711" s="834" t="str">
        <f t="shared" si="126"/>
        <v>|||</v>
      </c>
      <c r="H2711" s="835">
        <f t="shared" si="128"/>
        <v>31</v>
      </c>
      <c r="AF2711" s="831" t="s">
        <v>3368</v>
      </c>
      <c r="AG2711" s="831" t="s">
        <v>130</v>
      </c>
      <c r="AH2711" s="831" t="s">
        <v>221</v>
      </c>
      <c r="AI2711" s="831">
        <v>0</v>
      </c>
      <c r="AJ2711" s="835">
        <v>40574</v>
      </c>
      <c r="AK2711" s="831">
        <v>3385005</v>
      </c>
      <c r="AP2711" s="831" t="str">
        <f t="shared" si="127"/>
        <v/>
      </c>
    </row>
    <row r="2712" spans="2:42">
      <c r="B2712" s="834" t="str">
        <f t="shared" si="126"/>
        <v>|||</v>
      </c>
      <c r="H2712" s="835">
        <f t="shared" si="128"/>
        <v>31</v>
      </c>
      <c r="AF2712" s="831" t="s">
        <v>3369</v>
      </c>
      <c r="AG2712" s="831" t="s">
        <v>130</v>
      </c>
      <c r="AH2712" s="831" t="s">
        <v>228</v>
      </c>
      <c r="AI2712" s="831">
        <v>0</v>
      </c>
      <c r="AJ2712" s="835">
        <v>40574</v>
      </c>
      <c r="AK2712" s="831">
        <v>0</v>
      </c>
      <c r="AP2712" s="831" t="str">
        <f t="shared" si="127"/>
        <v/>
      </c>
    </row>
    <row r="2713" spans="2:42">
      <c r="B2713" s="834" t="str">
        <f t="shared" si="126"/>
        <v>|||</v>
      </c>
      <c r="H2713" s="835">
        <f t="shared" si="128"/>
        <v>31</v>
      </c>
      <c r="AF2713" s="831" t="s">
        <v>3370</v>
      </c>
      <c r="AG2713" s="831" t="s">
        <v>130</v>
      </c>
      <c r="AH2713" s="831" t="s">
        <v>230</v>
      </c>
      <c r="AI2713" s="831">
        <v>0</v>
      </c>
      <c r="AJ2713" s="835">
        <v>40574</v>
      </c>
      <c r="AK2713" s="831">
        <v>0</v>
      </c>
      <c r="AP2713" s="831" t="str">
        <f t="shared" si="127"/>
        <v/>
      </c>
    </row>
    <row r="2714" spans="2:42">
      <c r="B2714" s="834" t="str">
        <f t="shared" si="126"/>
        <v>|||</v>
      </c>
      <c r="H2714" s="835">
        <f t="shared" si="128"/>
        <v>31</v>
      </c>
      <c r="AF2714" s="831" t="s">
        <v>3371</v>
      </c>
      <c r="AG2714" s="831" t="s">
        <v>130</v>
      </c>
      <c r="AH2714" s="831" t="s">
        <v>231</v>
      </c>
      <c r="AI2714" s="831">
        <v>0</v>
      </c>
      <c r="AJ2714" s="835">
        <v>40574</v>
      </c>
      <c r="AK2714" s="831">
        <v>19915000</v>
      </c>
      <c r="AP2714" s="831" t="str">
        <f t="shared" si="127"/>
        <v/>
      </c>
    </row>
    <row r="2715" spans="2:42">
      <c r="B2715" s="834" t="str">
        <f t="shared" si="126"/>
        <v>|||</v>
      </c>
      <c r="H2715" s="835">
        <f t="shared" si="128"/>
        <v>31</v>
      </c>
      <c r="AF2715" s="831" t="s">
        <v>3372</v>
      </c>
      <c r="AG2715" s="831" t="s">
        <v>130</v>
      </c>
      <c r="AH2715" s="831" t="s">
        <v>232</v>
      </c>
      <c r="AI2715" s="831">
        <v>0</v>
      </c>
      <c r="AJ2715" s="835">
        <v>40574</v>
      </c>
      <c r="AK2715" s="831">
        <v>68571095</v>
      </c>
      <c r="AP2715" s="831" t="str">
        <f t="shared" si="127"/>
        <v/>
      </c>
    </row>
    <row r="2716" spans="2:42">
      <c r="B2716" s="834" t="str">
        <f t="shared" si="126"/>
        <v>|||</v>
      </c>
      <c r="H2716" s="835">
        <f t="shared" si="128"/>
        <v>31</v>
      </c>
      <c r="AF2716" s="831" t="s">
        <v>3373</v>
      </c>
      <c r="AG2716" s="831" t="s">
        <v>130</v>
      </c>
      <c r="AH2716" s="831" t="s">
        <v>116</v>
      </c>
      <c r="AI2716" s="831">
        <v>0</v>
      </c>
      <c r="AJ2716" s="835">
        <v>40574</v>
      </c>
      <c r="AK2716" s="831">
        <v>8133684</v>
      </c>
      <c r="AP2716" s="831" t="str">
        <f t="shared" si="127"/>
        <v/>
      </c>
    </row>
    <row r="2717" spans="2:42">
      <c r="B2717" s="834" t="str">
        <f t="shared" si="126"/>
        <v>|||</v>
      </c>
      <c r="H2717" s="835">
        <f t="shared" si="128"/>
        <v>31</v>
      </c>
      <c r="AF2717" s="831" t="s">
        <v>3374</v>
      </c>
      <c r="AG2717" s="831" t="s">
        <v>130</v>
      </c>
      <c r="AH2717" s="831" t="s">
        <v>234</v>
      </c>
      <c r="AI2717" s="831">
        <v>0</v>
      </c>
      <c r="AJ2717" s="835">
        <v>40574</v>
      </c>
      <c r="AK2717" s="831">
        <v>747250</v>
      </c>
      <c r="AP2717" s="831" t="str">
        <f t="shared" si="127"/>
        <v/>
      </c>
    </row>
    <row r="2718" spans="2:42">
      <c r="B2718" s="834" t="str">
        <f t="shared" si="126"/>
        <v>|||</v>
      </c>
      <c r="H2718" s="835">
        <f t="shared" si="128"/>
        <v>31</v>
      </c>
      <c r="AF2718" s="831" t="s">
        <v>3375</v>
      </c>
      <c r="AG2718" s="831" t="s">
        <v>130</v>
      </c>
      <c r="AH2718" s="831" t="s">
        <v>235</v>
      </c>
      <c r="AI2718" s="831">
        <v>0</v>
      </c>
      <c r="AJ2718" s="835">
        <v>40574</v>
      </c>
      <c r="AK2718" s="831">
        <v>2047542</v>
      </c>
      <c r="AP2718" s="831" t="str">
        <f t="shared" si="127"/>
        <v/>
      </c>
    </row>
    <row r="2719" spans="2:42">
      <c r="B2719" s="834" t="str">
        <f t="shared" si="126"/>
        <v>|||</v>
      </c>
      <c r="H2719" s="835">
        <f t="shared" si="128"/>
        <v>31</v>
      </c>
      <c r="AF2719" s="831" t="s">
        <v>3376</v>
      </c>
      <c r="AG2719" s="831" t="s">
        <v>130</v>
      </c>
      <c r="AH2719" s="831" t="s">
        <v>238</v>
      </c>
      <c r="AI2719" s="831">
        <v>0</v>
      </c>
      <c r="AJ2719" s="835">
        <v>40574</v>
      </c>
      <c r="AK2719" s="831">
        <v>0</v>
      </c>
      <c r="AP2719" s="831" t="str">
        <f t="shared" si="127"/>
        <v/>
      </c>
    </row>
    <row r="2720" spans="2:42">
      <c r="B2720" s="834" t="str">
        <f t="shared" si="126"/>
        <v>|||</v>
      </c>
      <c r="H2720" s="835">
        <f t="shared" si="128"/>
        <v>31</v>
      </c>
      <c r="AF2720" s="831" t="s">
        <v>3377</v>
      </c>
      <c r="AG2720" s="831" t="s">
        <v>130</v>
      </c>
      <c r="AH2720" s="831" t="s">
        <v>240</v>
      </c>
      <c r="AI2720" s="831">
        <v>0</v>
      </c>
      <c r="AJ2720" s="835">
        <v>40574</v>
      </c>
      <c r="AK2720" s="831">
        <v>41799992</v>
      </c>
      <c r="AP2720" s="831" t="str">
        <f t="shared" si="127"/>
        <v/>
      </c>
    </row>
    <row r="2721" spans="2:42">
      <c r="B2721" s="834" t="str">
        <f t="shared" si="126"/>
        <v>|||</v>
      </c>
      <c r="H2721" s="835">
        <f t="shared" si="128"/>
        <v>31</v>
      </c>
      <c r="AF2721" s="831" t="s">
        <v>3378</v>
      </c>
      <c r="AG2721" s="831" t="s">
        <v>130</v>
      </c>
      <c r="AH2721" s="831" t="s">
        <v>241</v>
      </c>
      <c r="AI2721" s="831">
        <v>0</v>
      </c>
      <c r="AJ2721" s="835">
        <v>40574</v>
      </c>
      <c r="AK2721" s="831">
        <v>0</v>
      </c>
      <c r="AP2721" s="831" t="str">
        <f t="shared" si="127"/>
        <v/>
      </c>
    </row>
    <row r="2722" spans="2:42">
      <c r="B2722" s="834" t="str">
        <f t="shared" si="126"/>
        <v>|||</v>
      </c>
      <c r="H2722" s="835">
        <f t="shared" si="128"/>
        <v>31</v>
      </c>
      <c r="AF2722" s="831" t="s">
        <v>3379</v>
      </c>
      <c r="AG2722" s="831" t="s">
        <v>130</v>
      </c>
      <c r="AH2722" s="831" t="s">
        <v>242</v>
      </c>
      <c r="AI2722" s="831">
        <v>0</v>
      </c>
      <c r="AJ2722" s="835">
        <v>40574</v>
      </c>
      <c r="AK2722" s="831">
        <v>0</v>
      </c>
      <c r="AP2722" s="831" t="str">
        <f t="shared" si="127"/>
        <v/>
      </c>
    </row>
    <row r="2723" spans="2:42">
      <c r="B2723" s="834" t="str">
        <f t="shared" si="126"/>
        <v>|||</v>
      </c>
      <c r="H2723" s="835">
        <f t="shared" si="128"/>
        <v>31</v>
      </c>
      <c r="AF2723" s="831" t="s">
        <v>3380</v>
      </c>
      <c r="AG2723" s="831" t="s">
        <v>130</v>
      </c>
      <c r="AH2723" s="831" t="s">
        <v>244</v>
      </c>
      <c r="AI2723" s="831">
        <v>0</v>
      </c>
      <c r="AJ2723" s="835">
        <v>40574</v>
      </c>
      <c r="AK2723" s="831">
        <v>33052687</v>
      </c>
      <c r="AP2723" s="831" t="str">
        <f t="shared" si="127"/>
        <v/>
      </c>
    </row>
    <row r="2724" spans="2:42">
      <c r="B2724" s="834" t="str">
        <f t="shared" si="126"/>
        <v>|||</v>
      </c>
      <c r="H2724" s="835">
        <f t="shared" si="128"/>
        <v>31</v>
      </c>
      <c r="AF2724" s="831" t="s">
        <v>3381</v>
      </c>
      <c r="AG2724" s="831" t="s">
        <v>130</v>
      </c>
      <c r="AH2724" s="831" t="s">
        <v>245</v>
      </c>
      <c r="AI2724" s="831">
        <v>0</v>
      </c>
      <c r="AJ2724" s="835">
        <v>40574</v>
      </c>
      <c r="AK2724" s="831">
        <v>2054437</v>
      </c>
      <c r="AP2724" s="831" t="str">
        <f t="shared" si="127"/>
        <v/>
      </c>
    </row>
    <row r="2725" spans="2:42">
      <c r="B2725" s="834" t="str">
        <f t="shared" si="126"/>
        <v>|||</v>
      </c>
      <c r="H2725" s="835">
        <f t="shared" si="128"/>
        <v>31</v>
      </c>
      <c r="AF2725" s="831" t="s">
        <v>3382</v>
      </c>
      <c r="AG2725" s="831" t="s">
        <v>130</v>
      </c>
      <c r="AH2725" s="831" t="s">
        <v>145</v>
      </c>
      <c r="AI2725" s="831">
        <v>0</v>
      </c>
      <c r="AJ2725" s="835">
        <v>40602</v>
      </c>
      <c r="AK2725" s="831">
        <v>62352721</v>
      </c>
      <c r="AP2725" s="831" t="str">
        <f t="shared" si="127"/>
        <v/>
      </c>
    </row>
    <row r="2726" spans="2:42">
      <c r="B2726" s="834" t="str">
        <f t="shared" si="126"/>
        <v>|||</v>
      </c>
      <c r="H2726" s="835">
        <f t="shared" si="128"/>
        <v>31</v>
      </c>
      <c r="AF2726" s="831" t="s">
        <v>3383</v>
      </c>
      <c r="AG2726" s="831" t="s">
        <v>130</v>
      </c>
      <c r="AH2726" s="831" t="s">
        <v>149</v>
      </c>
      <c r="AI2726" s="831">
        <v>0</v>
      </c>
      <c r="AJ2726" s="835">
        <v>40602</v>
      </c>
      <c r="AK2726" s="831">
        <v>0</v>
      </c>
      <c r="AP2726" s="831" t="str">
        <f t="shared" si="127"/>
        <v/>
      </c>
    </row>
    <row r="2727" spans="2:42">
      <c r="B2727" s="834" t="str">
        <f t="shared" si="126"/>
        <v>|||</v>
      </c>
      <c r="H2727" s="835">
        <f t="shared" si="128"/>
        <v>31</v>
      </c>
      <c r="AF2727" s="831" t="s">
        <v>3384</v>
      </c>
      <c r="AG2727" s="831" t="s">
        <v>130</v>
      </c>
      <c r="AH2727" s="831" t="s">
        <v>153</v>
      </c>
      <c r="AI2727" s="831">
        <v>0</v>
      </c>
      <c r="AJ2727" s="835">
        <v>40602</v>
      </c>
      <c r="AK2727" s="831">
        <v>9413189</v>
      </c>
      <c r="AP2727" s="831" t="str">
        <f t="shared" si="127"/>
        <v/>
      </c>
    </row>
    <row r="2728" spans="2:42">
      <c r="B2728" s="834" t="str">
        <f t="shared" si="126"/>
        <v>|||</v>
      </c>
      <c r="H2728" s="835">
        <f t="shared" si="128"/>
        <v>31</v>
      </c>
      <c r="AF2728" s="831" t="s">
        <v>3385</v>
      </c>
      <c r="AG2728" s="831" t="s">
        <v>130</v>
      </c>
      <c r="AH2728" s="831" t="s">
        <v>156</v>
      </c>
      <c r="AI2728" s="831">
        <v>0</v>
      </c>
      <c r="AJ2728" s="835">
        <v>40602</v>
      </c>
      <c r="AK2728" s="831">
        <v>0</v>
      </c>
      <c r="AP2728" s="831" t="str">
        <f t="shared" si="127"/>
        <v/>
      </c>
    </row>
    <row r="2729" spans="2:42">
      <c r="B2729" s="834" t="str">
        <f t="shared" si="126"/>
        <v>|||</v>
      </c>
      <c r="H2729" s="835">
        <f t="shared" si="128"/>
        <v>31</v>
      </c>
      <c r="AF2729" s="831" t="s">
        <v>3386</v>
      </c>
      <c r="AG2729" s="831" t="s">
        <v>130</v>
      </c>
      <c r="AH2729" s="831" t="s">
        <v>162</v>
      </c>
      <c r="AI2729" s="831">
        <v>0</v>
      </c>
      <c r="AJ2729" s="835">
        <v>40602</v>
      </c>
      <c r="AK2729" s="831">
        <v>263014576</v>
      </c>
      <c r="AP2729" s="831" t="str">
        <f t="shared" si="127"/>
        <v/>
      </c>
    </row>
    <row r="2730" spans="2:42">
      <c r="B2730" s="834" t="str">
        <f t="shared" si="126"/>
        <v>|||</v>
      </c>
      <c r="H2730" s="835">
        <f t="shared" si="128"/>
        <v>31</v>
      </c>
      <c r="AF2730" s="831" t="s">
        <v>3387</v>
      </c>
      <c r="AG2730" s="831" t="s">
        <v>130</v>
      </c>
      <c r="AH2730" s="831" t="s">
        <v>165</v>
      </c>
      <c r="AI2730" s="831">
        <v>0</v>
      </c>
      <c r="AJ2730" s="835">
        <v>40602</v>
      </c>
      <c r="AK2730" s="831">
        <v>-7978389</v>
      </c>
      <c r="AP2730" s="831" t="str">
        <f t="shared" si="127"/>
        <v/>
      </c>
    </row>
    <row r="2731" spans="2:42">
      <c r="B2731" s="834" t="str">
        <f t="shared" si="126"/>
        <v>|||</v>
      </c>
      <c r="H2731" s="835">
        <f t="shared" si="128"/>
        <v>31</v>
      </c>
      <c r="AF2731" s="831" t="s">
        <v>3388</v>
      </c>
      <c r="AG2731" s="831" t="s">
        <v>130</v>
      </c>
      <c r="AH2731" s="831" t="s">
        <v>171</v>
      </c>
      <c r="AI2731" s="831">
        <v>0</v>
      </c>
      <c r="AJ2731" s="835">
        <v>40602</v>
      </c>
      <c r="AK2731" s="831">
        <v>2550583</v>
      </c>
      <c r="AP2731" s="831" t="str">
        <f t="shared" si="127"/>
        <v/>
      </c>
    </row>
    <row r="2732" spans="2:42">
      <c r="B2732" s="834" t="str">
        <f t="shared" si="126"/>
        <v>|||</v>
      </c>
      <c r="H2732" s="835">
        <f t="shared" si="128"/>
        <v>31</v>
      </c>
      <c r="AF2732" s="831" t="s">
        <v>3389</v>
      </c>
      <c r="AG2732" s="831" t="s">
        <v>130</v>
      </c>
      <c r="AH2732" s="831" t="s">
        <v>174</v>
      </c>
      <c r="AI2732" s="831">
        <v>0</v>
      </c>
      <c r="AJ2732" s="835">
        <v>40602</v>
      </c>
      <c r="AK2732" s="831">
        <v>0</v>
      </c>
      <c r="AP2732" s="831" t="str">
        <f t="shared" si="127"/>
        <v/>
      </c>
    </row>
    <row r="2733" spans="2:42">
      <c r="B2733" s="834" t="str">
        <f t="shared" si="126"/>
        <v>|||</v>
      </c>
      <c r="H2733" s="835">
        <f t="shared" si="128"/>
        <v>31</v>
      </c>
      <c r="AF2733" s="831" t="s">
        <v>3390</v>
      </c>
      <c r="AG2733" s="831" t="s">
        <v>130</v>
      </c>
      <c r="AH2733" s="831" t="s">
        <v>181</v>
      </c>
      <c r="AI2733" s="831">
        <v>0</v>
      </c>
      <c r="AJ2733" s="835">
        <v>40602</v>
      </c>
      <c r="AK2733" s="831">
        <v>36551180</v>
      </c>
      <c r="AP2733" s="831" t="str">
        <f t="shared" si="127"/>
        <v/>
      </c>
    </row>
    <row r="2734" spans="2:42">
      <c r="B2734" s="834" t="str">
        <f t="shared" si="126"/>
        <v>|||</v>
      </c>
      <c r="H2734" s="835">
        <f t="shared" si="128"/>
        <v>31</v>
      </c>
      <c r="AF2734" s="831" t="s">
        <v>3391</v>
      </c>
      <c r="AG2734" s="831" t="s">
        <v>130</v>
      </c>
      <c r="AH2734" s="831" t="s">
        <v>184</v>
      </c>
      <c r="AI2734" s="831">
        <v>0</v>
      </c>
      <c r="AJ2734" s="835">
        <v>40602</v>
      </c>
      <c r="AK2734" s="831">
        <v>-5351850</v>
      </c>
      <c r="AP2734" s="831" t="str">
        <f t="shared" si="127"/>
        <v/>
      </c>
    </row>
    <row r="2735" spans="2:42">
      <c r="B2735" s="834" t="str">
        <f t="shared" si="126"/>
        <v>|||</v>
      </c>
      <c r="H2735" s="835">
        <f t="shared" si="128"/>
        <v>31</v>
      </c>
      <c r="AF2735" s="831" t="s">
        <v>3392</v>
      </c>
      <c r="AG2735" s="831" t="s">
        <v>130</v>
      </c>
      <c r="AH2735" s="831" t="s">
        <v>187</v>
      </c>
      <c r="AI2735" s="831">
        <v>0</v>
      </c>
      <c r="AJ2735" s="835">
        <v>40602</v>
      </c>
      <c r="AK2735" s="831">
        <v>0</v>
      </c>
      <c r="AP2735" s="831" t="str">
        <f t="shared" si="127"/>
        <v/>
      </c>
    </row>
    <row r="2736" spans="2:42">
      <c r="B2736" s="834" t="str">
        <f t="shared" si="126"/>
        <v>|||</v>
      </c>
      <c r="H2736" s="835">
        <f t="shared" si="128"/>
        <v>31</v>
      </c>
      <c r="AF2736" s="831" t="s">
        <v>3393</v>
      </c>
      <c r="AG2736" s="831" t="s">
        <v>130</v>
      </c>
      <c r="AH2736" s="831" t="s">
        <v>196</v>
      </c>
      <c r="AI2736" s="831">
        <v>0</v>
      </c>
      <c r="AJ2736" s="835">
        <v>40602</v>
      </c>
      <c r="AK2736" s="831">
        <v>1749730</v>
      </c>
      <c r="AP2736" s="831" t="str">
        <f t="shared" si="127"/>
        <v/>
      </c>
    </row>
    <row r="2737" spans="2:42">
      <c r="B2737" s="834" t="str">
        <f t="shared" si="126"/>
        <v>|||</v>
      </c>
      <c r="H2737" s="835">
        <f t="shared" si="128"/>
        <v>31</v>
      </c>
      <c r="AF2737" s="831" t="s">
        <v>3394</v>
      </c>
      <c r="AG2737" s="831" t="s">
        <v>130</v>
      </c>
      <c r="AH2737" s="831" t="s">
        <v>197</v>
      </c>
      <c r="AI2737" s="831">
        <v>0</v>
      </c>
      <c r="AJ2737" s="835">
        <v>40602</v>
      </c>
      <c r="AK2737" s="831">
        <v>0</v>
      </c>
      <c r="AP2737" s="831" t="str">
        <f t="shared" si="127"/>
        <v/>
      </c>
    </row>
    <row r="2738" spans="2:42">
      <c r="B2738" s="834" t="str">
        <f t="shared" si="126"/>
        <v>|||</v>
      </c>
      <c r="H2738" s="835">
        <f t="shared" si="128"/>
        <v>31</v>
      </c>
      <c r="AF2738" s="831" t="s">
        <v>3395</v>
      </c>
      <c r="AG2738" s="831" t="s">
        <v>130</v>
      </c>
      <c r="AH2738" s="831" t="s">
        <v>199</v>
      </c>
      <c r="AI2738" s="831">
        <v>0</v>
      </c>
      <c r="AJ2738" s="835">
        <v>40602</v>
      </c>
      <c r="AK2738" s="831">
        <v>0</v>
      </c>
      <c r="AP2738" s="831" t="str">
        <f t="shared" si="127"/>
        <v/>
      </c>
    </row>
    <row r="2739" spans="2:42">
      <c r="B2739" s="834" t="str">
        <f t="shared" si="126"/>
        <v>|||</v>
      </c>
      <c r="H2739" s="835">
        <f t="shared" si="128"/>
        <v>31</v>
      </c>
      <c r="AF2739" s="831" t="s">
        <v>3396</v>
      </c>
      <c r="AG2739" s="831" t="s">
        <v>130</v>
      </c>
      <c r="AH2739" s="831" t="s">
        <v>201</v>
      </c>
      <c r="AI2739" s="831">
        <v>0</v>
      </c>
      <c r="AJ2739" s="835">
        <v>40602</v>
      </c>
      <c r="AK2739" s="831">
        <v>1677198</v>
      </c>
      <c r="AP2739" s="831" t="str">
        <f t="shared" si="127"/>
        <v/>
      </c>
    </row>
    <row r="2740" spans="2:42">
      <c r="B2740" s="834" t="str">
        <f t="shared" si="126"/>
        <v>|||</v>
      </c>
      <c r="H2740" s="835">
        <f t="shared" si="128"/>
        <v>31</v>
      </c>
      <c r="AF2740" s="831" t="s">
        <v>3397</v>
      </c>
      <c r="AG2740" s="831" t="s">
        <v>130</v>
      </c>
      <c r="AH2740" s="831" t="s">
        <v>209</v>
      </c>
      <c r="AI2740" s="831">
        <v>0</v>
      </c>
      <c r="AJ2740" s="835">
        <v>40602</v>
      </c>
      <c r="AK2740" s="831">
        <v>15775676</v>
      </c>
      <c r="AP2740" s="831" t="str">
        <f t="shared" si="127"/>
        <v/>
      </c>
    </row>
    <row r="2741" spans="2:42">
      <c r="B2741" s="834" t="str">
        <f t="shared" si="126"/>
        <v>|||</v>
      </c>
      <c r="H2741" s="835">
        <f t="shared" si="128"/>
        <v>31</v>
      </c>
      <c r="AF2741" s="831" t="s">
        <v>3398</v>
      </c>
      <c r="AG2741" s="831" t="s">
        <v>130</v>
      </c>
      <c r="AH2741" s="831" t="s">
        <v>211</v>
      </c>
      <c r="AI2741" s="831">
        <v>0</v>
      </c>
      <c r="AJ2741" s="835">
        <v>40602</v>
      </c>
      <c r="AK2741" s="831">
        <v>109299303</v>
      </c>
      <c r="AP2741" s="831" t="str">
        <f t="shared" si="127"/>
        <v/>
      </c>
    </row>
    <row r="2742" spans="2:42">
      <c r="B2742" s="834" t="str">
        <f t="shared" si="126"/>
        <v>|||</v>
      </c>
      <c r="H2742" s="835">
        <f t="shared" si="128"/>
        <v>31</v>
      </c>
      <c r="AF2742" s="831" t="s">
        <v>3399</v>
      </c>
      <c r="AG2742" s="831" t="s">
        <v>130</v>
      </c>
      <c r="AH2742" s="831" t="s">
        <v>212</v>
      </c>
      <c r="AI2742" s="831">
        <v>0</v>
      </c>
      <c r="AJ2742" s="835">
        <v>40602</v>
      </c>
      <c r="AK2742" s="831">
        <v>5950191</v>
      </c>
      <c r="AP2742" s="831" t="str">
        <f t="shared" si="127"/>
        <v/>
      </c>
    </row>
    <row r="2743" spans="2:42">
      <c r="B2743" s="834" t="str">
        <f t="shared" si="126"/>
        <v>|||</v>
      </c>
      <c r="H2743" s="835">
        <f t="shared" si="128"/>
        <v>31</v>
      </c>
      <c r="AF2743" s="831" t="s">
        <v>3400</v>
      </c>
      <c r="AG2743" s="831" t="s">
        <v>130</v>
      </c>
      <c r="AH2743" s="831" t="s">
        <v>216</v>
      </c>
      <c r="AI2743" s="831">
        <v>0</v>
      </c>
      <c r="AJ2743" s="835">
        <v>40602</v>
      </c>
      <c r="AK2743" s="831">
        <v>0</v>
      </c>
      <c r="AP2743" s="831" t="str">
        <f t="shared" si="127"/>
        <v/>
      </c>
    </row>
    <row r="2744" spans="2:42">
      <c r="B2744" s="834" t="str">
        <f t="shared" si="126"/>
        <v>|||</v>
      </c>
      <c r="H2744" s="835">
        <f t="shared" si="128"/>
        <v>31</v>
      </c>
      <c r="AF2744" s="831" t="s">
        <v>3401</v>
      </c>
      <c r="AG2744" s="831" t="s">
        <v>130</v>
      </c>
      <c r="AH2744" s="831" t="s">
        <v>218</v>
      </c>
      <c r="AI2744" s="831">
        <v>0</v>
      </c>
      <c r="AJ2744" s="835">
        <v>40602</v>
      </c>
      <c r="AK2744" s="831">
        <v>60118560</v>
      </c>
      <c r="AP2744" s="831" t="str">
        <f t="shared" si="127"/>
        <v/>
      </c>
    </row>
    <row r="2745" spans="2:42">
      <c r="B2745" s="834" t="str">
        <f t="shared" si="126"/>
        <v>|||</v>
      </c>
      <c r="H2745" s="835">
        <f t="shared" si="128"/>
        <v>31</v>
      </c>
      <c r="AF2745" s="831" t="s">
        <v>3402</v>
      </c>
      <c r="AG2745" s="831" t="s">
        <v>130</v>
      </c>
      <c r="AH2745" s="831" t="s">
        <v>220</v>
      </c>
      <c r="AI2745" s="831">
        <v>0</v>
      </c>
      <c r="AJ2745" s="835">
        <v>40602</v>
      </c>
      <c r="AK2745" s="831">
        <v>0</v>
      </c>
      <c r="AP2745" s="831" t="str">
        <f t="shared" si="127"/>
        <v/>
      </c>
    </row>
    <row r="2746" spans="2:42">
      <c r="B2746" s="834" t="str">
        <f t="shared" si="126"/>
        <v>|||</v>
      </c>
      <c r="H2746" s="835">
        <f t="shared" si="128"/>
        <v>31</v>
      </c>
      <c r="AF2746" s="831" t="s">
        <v>3403</v>
      </c>
      <c r="AG2746" s="831" t="s">
        <v>130</v>
      </c>
      <c r="AH2746" s="831" t="s">
        <v>221</v>
      </c>
      <c r="AI2746" s="831">
        <v>0</v>
      </c>
      <c r="AJ2746" s="835">
        <v>40602</v>
      </c>
      <c r="AK2746" s="831">
        <v>1143650</v>
      </c>
      <c r="AP2746" s="831" t="str">
        <f t="shared" si="127"/>
        <v/>
      </c>
    </row>
    <row r="2747" spans="2:42">
      <c r="B2747" s="834" t="str">
        <f t="shared" si="126"/>
        <v>|||</v>
      </c>
      <c r="H2747" s="835">
        <f t="shared" si="128"/>
        <v>31</v>
      </c>
      <c r="AF2747" s="831" t="s">
        <v>3404</v>
      </c>
      <c r="AG2747" s="831" t="s">
        <v>130</v>
      </c>
      <c r="AH2747" s="831" t="s">
        <v>228</v>
      </c>
      <c r="AI2747" s="831">
        <v>0</v>
      </c>
      <c r="AJ2747" s="835">
        <v>40602</v>
      </c>
      <c r="AK2747" s="831">
        <v>0</v>
      </c>
      <c r="AP2747" s="831" t="str">
        <f t="shared" si="127"/>
        <v/>
      </c>
    </row>
    <row r="2748" spans="2:42">
      <c r="B2748" s="834" t="str">
        <f t="shared" si="126"/>
        <v>|||</v>
      </c>
      <c r="H2748" s="835">
        <f t="shared" si="128"/>
        <v>31</v>
      </c>
      <c r="AF2748" s="831" t="s">
        <v>3405</v>
      </c>
      <c r="AG2748" s="831" t="s">
        <v>130</v>
      </c>
      <c r="AH2748" s="831" t="s">
        <v>230</v>
      </c>
      <c r="AI2748" s="831">
        <v>0</v>
      </c>
      <c r="AJ2748" s="835">
        <v>40602</v>
      </c>
      <c r="AK2748" s="831">
        <v>0</v>
      </c>
      <c r="AP2748" s="831" t="str">
        <f t="shared" si="127"/>
        <v/>
      </c>
    </row>
    <row r="2749" spans="2:42">
      <c r="B2749" s="834" t="str">
        <f t="shared" si="126"/>
        <v>|||</v>
      </c>
      <c r="H2749" s="835">
        <f t="shared" si="128"/>
        <v>31</v>
      </c>
      <c r="AF2749" s="831" t="s">
        <v>3406</v>
      </c>
      <c r="AG2749" s="831" t="s">
        <v>130</v>
      </c>
      <c r="AH2749" s="831" t="s">
        <v>231</v>
      </c>
      <c r="AI2749" s="831">
        <v>0</v>
      </c>
      <c r="AJ2749" s="835">
        <v>40602</v>
      </c>
      <c r="AK2749" s="831">
        <v>14889375</v>
      </c>
      <c r="AP2749" s="831" t="str">
        <f t="shared" si="127"/>
        <v/>
      </c>
    </row>
    <row r="2750" spans="2:42">
      <c r="B2750" s="834" t="str">
        <f t="shared" si="126"/>
        <v>|||</v>
      </c>
      <c r="H2750" s="835">
        <f t="shared" si="128"/>
        <v>31</v>
      </c>
      <c r="AF2750" s="831" t="s">
        <v>3407</v>
      </c>
      <c r="AG2750" s="831" t="s">
        <v>130</v>
      </c>
      <c r="AH2750" s="831" t="s">
        <v>232</v>
      </c>
      <c r="AI2750" s="831">
        <v>0</v>
      </c>
      <c r="AJ2750" s="835">
        <v>40602</v>
      </c>
      <c r="AK2750" s="831">
        <v>67524156</v>
      </c>
      <c r="AP2750" s="831" t="str">
        <f t="shared" si="127"/>
        <v/>
      </c>
    </row>
    <row r="2751" spans="2:42">
      <c r="B2751" s="834" t="str">
        <f t="shared" si="126"/>
        <v>|||</v>
      </c>
      <c r="H2751" s="835">
        <f t="shared" si="128"/>
        <v>31</v>
      </c>
      <c r="AF2751" s="831" t="s">
        <v>3408</v>
      </c>
      <c r="AG2751" s="831" t="s">
        <v>130</v>
      </c>
      <c r="AH2751" s="831" t="s">
        <v>116</v>
      </c>
      <c r="AI2751" s="831">
        <v>0</v>
      </c>
      <c r="AJ2751" s="835">
        <v>40602</v>
      </c>
      <c r="AK2751" s="831">
        <v>8108174</v>
      </c>
      <c r="AP2751" s="831" t="str">
        <f t="shared" si="127"/>
        <v/>
      </c>
    </row>
    <row r="2752" spans="2:42">
      <c r="B2752" s="834" t="str">
        <f t="shared" si="126"/>
        <v>|||</v>
      </c>
      <c r="H2752" s="835">
        <f t="shared" si="128"/>
        <v>31</v>
      </c>
      <c r="AF2752" s="831" t="s">
        <v>3409</v>
      </c>
      <c r="AG2752" s="831" t="s">
        <v>130</v>
      </c>
      <c r="AH2752" s="831" t="s">
        <v>234</v>
      </c>
      <c r="AI2752" s="831">
        <v>0</v>
      </c>
      <c r="AJ2752" s="835">
        <v>40602</v>
      </c>
      <c r="AK2752" s="831">
        <v>749520</v>
      </c>
      <c r="AP2752" s="831" t="str">
        <f t="shared" si="127"/>
        <v/>
      </c>
    </row>
    <row r="2753" spans="2:42">
      <c r="B2753" s="834" t="str">
        <f t="shared" si="126"/>
        <v>|||</v>
      </c>
      <c r="H2753" s="835">
        <f t="shared" si="128"/>
        <v>31</v>
      </c>
      <c r="AF2753" s="831" t="s">
        <v>3410</v>
      </c>
      <c r="AG2753" s="831" t="s">
        <v>130</v>
      </c>
      <c r="AH2753" s="831" t="s">
        <v>235</v>
      </c>
      <c r="AI2753" s="831">
        <v>0</v>
      </c>
      <c r="AJ2753" s="835">
        <v>40602</v>
      </c>
      <c r="AK2753" s="831">
        <v>2925585</v>
      </c>
      <c r="AP2753" s="831" t="str">
        <f t="shared" si="127"/>
        <v/>
      </c>
    </row>
    <row r="2754" spans="2:42">
      <c r="B2754" s="834" t="str">
        <f t="shared" si="126"/>
        <v>|||</v>
      </c>
      <c r="H2754" s="835">
        <f t="shared" si="128"/>
        <v>31</v>
      </c>
      <c r="AF2754" s="831" t="s">
        <v>3411</v>
      </c>
      <c r="AG2754" s="831" t="s">
        <v>130</v>
      </c>
      <c r="AH2754" s="831" t="s">
        <v>238</v>
      </c>
      <c r="AI2754" s="831">
        <v>0</v>
      </c>
      <c r="AJ2754" s="835">
        <v>40602</v>
      </c>
      <c r="AK2754" s="831">
        <v>0</v>
      </c>
      <c r="AP2754" s="831" t="str">
        <f t="shared" si="127"/>
        <v/>
      </c>
    </row>
    <row r="2755" spans="2:42">
      <c r="B2755" s="834" t="str">
        <f t="shared" ref="B2755:B2818" si="129">C2755&amp;"|"&amp;D2755&amp;"|"&amp;E2755&amp;"|"&amp;F2755</f>
        <v>|||</v>
      </c>
      <c r="H2755" s="835">
        <f t="shared" si="128"/>
        <v>31</v>
      </c>
      <c r="AF2755" s="831" t="s">
        <v>3412</v>
      </c>
      <c r="AG2755" s="831" t="s">
        <v>130</v>
      </c>
      <c r="AH2755" s="831" t="s">
        <v>240</v>
      </c>
      <c r="AI2755" s="831">
        <v>0</v>
      </c>
      <c r="AJ2755" s="835">
        <v>40602</v>
      </c>
      <c r="AK2755" s="831">
        <v>41800000</v>
      </c>
      <c r="AP2755" s="831" t="str">
        <f t="shared" ref="AP2755:AP2818" si="130">IF(AX2755&lt;&gt;"",IF(OR(AX2755=3,AX2755=4),"Equity","Debt"),"")</f>
        <v/>
      </c>
    </row>
    <row r="2756" spans="2:42">
      <c r="B2756" s="834" t="str">
        <f t="shared" si="129"/>
        <v>|||</v>
      </c>
      <c r="H2756" s="835">
        <f t="shared" ref="H2756:H2819" si="131">EOMONTH(L2756,0)</f>
        <v>31</v>
      </c>
      <c r="AF2756" s="831" t="s">
        <v>3413</v>
      </c>
      <c r="AG2756" s="831" t="s">
        <v>130</v>
      </c>
      <c r="AH2756" s="831" t="s">
        <v>241</v>
      </c>
      <c r="AI2756" s="831">
        <v>0</v>
      </c>
      <c r="AJ2756" s="835">
        <v>40602</v>
      </c>
      <c r="AK2756" s="831">
        <v>0</v>
      </c>
      <c r="AP2756" s="831" t="str">
        <f t="shared" si="130"/>
        <v/>
      </c>
    </row>
    <row r="2757" spans="2:42">
      <c r="B2757" s="834" t="str">
        <f t="shared" si="129"/>
        <v>|||</v>
      </c>
      <c r="H2757" s="835">
        <f t="shared" si="131"/>
        <v>31</v>
      </c>
      <c r="AF2757" s="831" t="s">
        <v>3414</v>
      </c>
      <c r="AG2757" s="831" t="s">
        <v>130</v>
      </c>
      <c r="AH2757" s="831" t="s">
        <v>242</v>
      </c>
      <c r="AI2757" s="831">
        <v>0</v>
      </c>
      <c r="AJ2757" s="835">
        <v>40602</v>
      </c>
      <c r="AK2757" s="831">
        <v>0</v>
      </c>
      <c r="AP2757" s="831" t="str">
        <f t="shared" si="130"/>
        <v/>
      </c>
    </row>
    <row r="2758" spans="2:42">
      <c r="B2758" s="834" t="str">
        <f t="shared" si="129"/>
        <v>|||</v>
      </c>
      <c r="H2758" s="835">
        <f t="shared" si="131"/>
        <v>31</v>
      </c>
      <c r="AF2758" s="831" t="s">
        <v>3415</v>
      </c>
      <c r="AG2758" s="831" t="s">
        <v>130</v>
      </c>
      <c r="AH2758" s="831" t="s">
        <v>244</v>
      </c>
      <c r="AI2758" s="831">
        <v>0</v>
      </c>
      <c r="AJ2758" s="835">
        <v>40602</v>
      </c>
      <c r="AK2758" s="831">
        <v>33052711</v>
      </c>
      <c r="AP2758" s="831" t="str">
        <f t="shared" si="130"/>
        <v/>
      </c>
    </row>
    <row r="2759" spans="2:42">
      <c r="B2759" s="834" t="str">
        <f t="shared" si="129"/>
        <v>|||</v>
      </c>
      <c r="H2759" s="835">
        <f t="shared" si="131"/>
        <v>31</v>
      </c>
      <c r="AF2759" s="831" t="s">
        <v>3416</v>
      </c>
      <c r="AG2759" s="831" t="s">
        <v>130</v>
      </c>
      <c r="AH2759" s="831" t="s">
        <v>245</v>
      </c>
      <c r="AI2759" s="831">
        <v>0</v>
      </c>
      <c r="AJ2759" s="835">
        <v>40602</v>
      </c>
      <c r="AK2759" s="831">
        <v>2642037</v>
      </c>
      <c r="AP2759" s="831" t="str">
        <f t="shared" si="130"/>
        <v/>
      </c>
    </row>
    <row r="2760" spans="2:42">
      <c r="B2760" s="834" t="str">
        <f t="shared" si="129"/>
        <v>|||</v>
      </c>
      <c r="H2760" s="835">
        <f t="shared" si="131"/>
        <v>31</v>
      </c>
      <c r="AF2760" s="831" t="s">
        <v>3417</v>
      </c>
      <c r="AG2760" s="831" t="s">
        <v>130</v>
      </c>
      <c r="AH2760" s="831" t="s">
        <v>145</v>
      </c>
      <c r="AI2760" s="831">
        <v>0</v>
      </c>
      <c r="AJ2760" s="835">
        <v>40633</v>
      </c>
      <c r="AK2760" s="831">
        <v>48241970</v>
      </c>
      <c r="AP2760" s="831" t="str">
        <f t="shared" si="130"/>
        <v/>
      </c>
    </row>
    <row r="2761" spans="2:42">
      <c r="B2761" s="834" t="str">
        <f t="shared" si="129"/>
        <v>|||</v>
      </c>
      <c r="H2761" s="835">
        <f t="shared" si="131"/>
        <v>31</v>
      </c>
      <c r="AF2761" s="831" t="s">
        <v>3418</v>
      </c>
      <c r="AG2761" s="831" t="s">
        <v>130</v>
      </c>
      <c r="AH2761" s="831" t="s">
        <v>149</v>
      </c>
      <c r="AI2761" s="831">
        <v>0</v>
      </c>
      <c r="AJ2761" s="835">
        <v>40633</v>
      </c>
      <c r="AK2761" s="831">
        <v>0</v>
      </c>
      <c r="AP2761" s="831" t="str">
        <f t="shared" si="130"/>
        <v/>
      </c>
    </row>
    <row r="2762" spans="2:42">
      <c r="B2762" s="834" t="str">
        <f t="shared" si="129"/>
        <v>|||</v>
      </c>
      <c r="H2762" s="835">
        <f t="shared" si="131"/>
        <v>31</v>
      </c>
      <c r="AF2762" s="831" t="s">
        <v>3419</v>
      </c>
      <c r="AG2762" s="831" t="s">
        <v>130</v>
      </c>
      <c r="AH2762" s="831" t="s">
        <v>153</v>
      </c>
      <c r="AI2762" s="831">
        <v>0</v>
      </c>
      <c r="AJ2762" s="835">
        <v>40633</v>
      </c>
      <c r="AK2762" s="831">
        <v>25321629</v>
      </c>
      <c r="AP2762" s="831" t="str">
        <f t="shared" si="130"/>
        <v/>
      </c>
    </row>
    <row r="2763" spans="2:42">
      <c r="B2763" s="834" t="str">
        <f t="shared" si="129"/>
        <v>|||</v>
      </c>
      <c r="H2763" s="835">
        <f t="shared" si="131"/>
        <v>31</v>
      </c>
      <c r="AF2763" s="831" t="s">
        <v>3420</v>
      </c>
      <c r="AG2763" s="831" t="s">
        <v>130</v>
      </c>
      <c r="AH2763" s="831" t="s">
        <v>156</v>
      </c>
      <c r="AI2763" s="831">
        <v>0</v>
      </c>
      <c r="AJ2763" s="835">
        <v>40633</v>
      </c>
      <c r="AK2763" s="831">
        <v>0</v>
      </c>
      <c r="AP2763" s="831" t="str">
        <f t="shared" si="130"/>
        <v/>
      </c>
    </row>
    <row r="2764" spans="2:42">
      <c r="B2764" s="834" t="str">
        <f t="shared" si="129"/>
        <v>|||</v>
      </c>
      <c r="H2764" s="835">
        <f t="shared" si="131"/>
        <v>31</v>
      </c>
      <c r="AF2764" s="831" t="s">
        <v>3421</v>
      </c>
      <c r="AG2764" s="831" t="s">
        <v>130</v>
      </c>
      <c r="AH2764" s="831" t="s">
        <v>162</v>
      </c>
      <c r="AI2764" s="831">
        <v>0</v>
      </c>
      <c r="AJ2764" s="835">
        <v>40633</v>
      </c>
      <c r="AK2764" s="831">
        <v>264562723</v>
      </c>
      <c r="AP2764" s="831" t="str">
        <f t="shared" si="130"/>
        <v/>
      </c>
    </row>
    <row r="2765" spans="2:42">
      <c r="B2765" s="834" t="str">
        <f t="shared" si="129"/>
        <v>|||</v>
      </c>
      <c r="H2765" s="835">
        <f t="shared" si="131"/>
        <v>31</v>
      </c>
      <c r="AF2765" s="831" t="s">
        <v>3422</v>
      </c>
      <c r="AG2765" s="831" t="s">
        <v>130</v>
      </c>
      <c r="AH2765" s="831" t="s">
        <v>165</v>
      </c>
      <c r="AI2765" s="831">
        <v>0</v>
      </c>
      <c r="AJ2765" s="835">
        <v>40633</v>
      </c>
      <c r="AK2765" s="831">
        <v>-8165163</v>
      </c>
      <c r="AP2765" s="831" t="str">
        <f t="shared" si="130"/>
        <v/>
      </c>
    </row>
    <row r="2766" spans="2:42">
      <c r="B2766" s="834" t="str">
        <f t="shared" si="129"/>
        <v>|||</v>
      </c>
      <c r="H2766" s="835">
        <f t="shared" si="131"/>
        <v>31</v>
      </c>
      <c r="AF2766" s="831" t="s">
        <v>3423</v>
      </c>
      <c r="AG2766" s="831" t="s">
        <v>130</v>
      </c>
      <c r="AH2766" s="831" t="s">
        <v>171</v>
      </c>
      <c r="AI2766" s="831">
        <v>0</v>
      </c>
      <c r="AJ2766" s="835">
        <v>40633</v>
      </c>
      <c r="AK2766" s="831">
        <v>2529026</v>
      </c>
      <c r="AP2766" s="831" t="str">
        <f t="shared" si="130"/>
        <v/>
      </c>
    </row>
    <row r="2767" spans="2:42">
      <c r="B2767" s="834" t="str">
        <f t="shared" si="129"/>
        <v>|||</v>
      </c>
      <c r="H2767" s="835">
        <f t="shared" si="131"/>
        <v>31</v>
      </c>
      <c r="AF2767" s="831" t="s">
        <v>3424</v>
      </c>
      <c r="AG2767" s="831" t="s">
        <v>130</v>
      </c>
      <c r="AH2767" s="831" t="s">
        <v>174</v>
      </c>
      <c r="AI2767" s="831">
        <v>0</v>
      </c>
      <c r="AJ2767" s="835">
        <v>40633</v>
      </c>
      <c r="AK2767" s="831">
        <v>0</v>
      </c>
      <c r="AP2767" s="831" t="str">
        <f t="shared" si="130"/>
        <v/>
      </c>
    </row>
    <row r="2768" spans="2:42">
      <c r="B2768" s="834" t="str">
        <f t="shared" si="129"/>
        <v>|||</v>
      </c>
      <c r="H2768" s="835">
        <f t="shared" si="131"/>
        <v>31</v>
      </c>
      <c r="AF2768" s="831" t="s">
        <v>3425</v>
      </c>
      <c r="AG2768" s="831" t="s">
        <v>130</v>
      </c>
      <c r="AH2768" s="831" t="s">
        <v>181</v>
      </c>
      <c r="AI2768" s="831">
        <v>0</v>
      </c>
      <c r="AJ2768" s="835">
        <v>40633</v>
      </c>
      <c r="AK2768" s="831">
        <v>14670046</v>
      </c>
      <c r="AP2768" s="831" t="str">
        <f t="shared" si="130"/>
        <v/>
      </c>
    </row>
    <row r="2769" spans="2:42">
      <c r="B2769" s="834" t="str">
        <f t="shared" si="129"/>
        <v>|||</v>
      </c>
      <c r="H2769" s="835">
        <f t="shared" si="131"/>
        <v>31</v>
      </c>
      <c r="AF2769" s="831" t="s">
        <v>3426</v>
      </c>
      <c r="AG2769" s="831" t="s">
        <v>130</v>
      </c>
      <c r="AH2769" s="831" t="s">
        <v>184</v>
      </c>
      <c r="AI2769" s="831">
        <v>0</v>
      </c>
      <c r="AJ2769" s="835">
        <v>40633</v>
      </c>
      <c r="AK2769" s="831">
        <v>-5784170</v>
      </c>
      <c r="AP2769" s="831" t="str">
        <f t="shared" si="130"/>
        <v/>
      </c>
    </row>
    <row r="2770" spans="2:42">
      <c r="B2770" s="834" t="str">
        <f t="shared" si="129"/>
        <v>|||</v>
      </c>
      <c r="H2770" s="835">
        <f t="shared" si="131"/>
        <v>31</v>
      </c>
      <c r="AF2770" s="831" t="s">
        <v>3427</v>
      </c>
      <c r="AG2770" s="831" t="s">
        <v>130</v>
      </c>
      <c r="AH2770" s="831" t="s">
        <v>187</v>
      </c>
      <c r="AI2770" s="831">
        <v>0</v>
      </c>
      <c r="AJ2770" s="835">
        <v>40633</v>
      </c>
      <c r="AK2770" s="831">
        <v>0</v>
      </c>
      <c r="AP2770" s="831" t="str">
        <f t="shared" si="130"/>
        <v/>
      </c>
    </row>
    <row r="2771" spans="2:42">
      <c r="B2771" s="834" t="str">
        <f t="shared" si="129"/>
        <v>|||</v>
      </c>
      <c r="H2771" s="835">
        <f t="shared" si="131"/>
        <v>31</v>
      </c>
      <c r="AF2771" s="831" t="s">
        <v>3428</v>
      </c>
      <c r="AG2771" s="831" t="s">
        <v>130</v>
      </c>
      <c r="AH2771" s="831" t="s">
        <v>196</v>
      </c>
      <c r="AI2771" s="831">
        <v>0</v>
      </c>
      <c r="AJ2771" s="835">
        <v>40633</v>
      </c>
      <c r="AK2771" s="831">
        <v>1688750</v>
      </c>
      <c r="AP2771" s="831" t="str">
        <f t="shared" si="130"/>
        <v/>
      </c>
    </row>
    <row r="2772" spans="2:42">
      <c r="B2772" s="834" t="str">
        <f t="shared" si="129"/>
        <v>|||</v>
      </c>
      <c r="H2772" s="835">
        <f t="shared" si="131"/>
        <v>31</v>
      </c>
      <c r="AF2772" s="831" t="s">
        <v>3429</v>
      </c>
      <c r="AG2772" s="831" t="s">
        <v>130</v>
      </c>
      <c r="AH2772" s="831" t="s">
        <v>197</v>
      </c>
      <c r="AI2772" s="831">
        <v>0</v>
      </c>
      <c r="AJ2772" s="835">
        <v>40633</v>
      </c>
      <c r="AK2772" s="831">
        <v>0</v>
      </c>
      <c r="AP2772" s="831" t="str">
        <f t="shared" si="130"/>
        <v/>
      </c>
    </row>
    <row r="2773" spans="2:42">
      <c r="B2773" s="834" t="str">
        <f t="shared" si="129"/>
        <v>|||</v>
      </c>
      <c r="H2773" s="835">
        <f t="shared" si="131"/>
        <v>31</v>
      </c>
      <c r="AF2773" s="831" t="s">
        <v>3430</v>
      </c>
      <c r="AG2773" s="831" t="s">
        <v>130</v>
      </c>
      <c r="AH2773" s="831" t="s">
        <v>199</v>
      </c>
      <c r="AI2773" s="831">
        <v>0</v>
      </c>
      <c r="AJ2773" s="835">
        <v>40633</v>
      </c>
      <c r="AK2773" s="831">
        <v>0</v>
      </c>
      <c r="AP2773" s="831" t="str">
        <f t="shared" si="130"/>
        <v/>
      </c>
    </row>
    <row r="2774" spans="2:42">
      <c r="B2774" s="834" t="str">
        <f t="shared" si="129"/>
        <v>|||</v>
      </c>
      <c r="H2774" s="835">
        <f t="shared" si="131"/>
        <v>31</v>
      </c>
      <c r="AF2774" s="831" t="s">
        <v>3431</v>
      </c>
      <c r="AG2774" s="831" t="s">
        <v>130</v>
      </c>
      <c r="AH2774" s="831" t="s">
        <v>201</v>
      </c>
      <c r="AI2774" s="831">
        <v>0</v>
      </c>
      <c r="AJ2774" s="835">
        <v>40633</v>
      </c>
      <c r="AK2774" s="831">
        <v>24847976</v>
      </c>
      <c r="AP2774" s="831" t="str">
        <f t="shared" si="130"/>
        <v/>
      </c>
    </row>
    <row r="2775" spans="2:42">
      <c r="B2775" s="834" t="str">
        <f t="shared" si="129"/>
        <v>|||</v>
      </c>
      <c r="H2775" s="835">
        <f t="shared" si="131"/>
        <v>31</v>
      </c>
      <c r="AF2775" s="831" t="s">
        <v>3432</v>
      </c>
      <c r="AG2775" s="831" t="s">
        <v>130</v>
      </c>
      <c r="AH2775" s="831" t="s">
        <v>209</v>
      </c>
      <c r="AI2775" s="831">
        <v>0</v>
      </c>
      <c r="AJ2775" s="835">
        <v>40633</v>
      </c>
      <c r="AK2775" s="831">
        <v>18125561</v>
      </c>
      <c r="AP2775" s="831" t="str">
        <f t="shared" si="130"/>
        <v/>
      </c>
    </row>
    <row r="2776" spans="2:42">
      <c r="B2776" s="834" t="str">
        <f t="shared" si="129"/>
        <v>|||</v>
      </c>
      <c r="H2776" s="835">
        <f t="shared" si="131"/>
        <v>31</v>
      </c>
      <c r="AF2776" s="831" t="s">
        <v>3433</v>
      </c>
      <c r="AG2776" s="831" t="s">
        <v>130</v>
      </c>
      <c r="AH2776" s="831" t="s">
        <v>211</v>
      </c>
      <c r="AI2776" s="831">
        <v>0</v>
      </c>
      <c r="AJ2776" s="835">
        <v>40633</v>
      </c>
      <c r="AK2776" s="831">
        <v>111601538</v>
      </c>
      <c r="AP2776" s="831" t="str">
        <f t="shared" si="130"/>
        <v/>
      </c>
    </row>
    <row r="2777" spans="2:42">
      <c r="B2777" s="834" t="str">
        <f t="shared" si="129"/>
        <v>|||</v>
      </c>
      <c r="H2777" s="835">
        <f t="shared" si="131"/>
        <v>31</v>
      </c>
      <c r="AF2777" s="831" t="s">
        <v>3434</v>
      </c>
      <c r="AG2777" s="831" t="s">
        <v>130</v>
      </c>
      <c r="AH2777" s="831" t="s">
        <v>212</v>
      </c>
      <c r="AI2777" s="831">
        <v>0</v>
      </c>
      <c r="AJ2777" s="835">
        <v>40633</v>
      </c>
      <c r="AK2777" s="831">
        <v>5934833</v>
      </c>
      <c r="AP2777" s="831" t="str">
        <f t="shared" si="130"/>
        <v/>
      </c>
    </row>
    <row r="2778" spans="2:42">
      <c r="B2778" s="834" t="str">
        <f t="shared" si="129"/>
        <v>|||</v>
      </c>
      <c r="H2778" s="835">
        <f t="shared" si="131"/>
        <v>31</v>
      </c>
      <c r="AF2778" s="831" t="s">
        <v>3435</v>
      </c>
      <c r="AG2778" s="831" t="s">
        <v>130</v>
      </c>
      <c r="AH2778" s="831" t="s">
        <v>216</v>
      </c>
      <c r="AI2778" s="831">
        <v>0</v>
      </c>
      <c r="AJ2778" s="835">
        <v>40633</v>
      </c>
      <c r="AK2778" s="831">
        <v>0</v>
      </c>
      <c r="AP2778" s="831" t="str">
        <f t="shared" si="130"/>
        <v/>
      </c>
    </row>
    <row r="2779" spans="2:42">
      <c r="B2779" s="834" t="str">
        <f t="shared" si="129"/>
        <v>|||</v>
      </c>
      <c r="H2779" s="835">
        <f t="shared" si="131"/>
        <v>31</v>
      </c>
      <c r="AF2779" s="831" t="s">
        <v>3436</v>
      </c>
      <c r="AG2779" s="831" t="s">
        <v>130</v>
      </c>
      <c r="AH2779" s="831" t="s">
        <v>218</v>
      </c>
      <c r="AI2779" s="831">
        <v>0</v>
      </c>
      <c r="AJ2779" s="835">
        <v>40633</v>
      </c>
      <c r="AK2779" s="831">
        <v>58449740</v>
      </c>
      <c r="AP2779" s="831" t="str">
        <f t="shared" si="130"/>
        <v/>
      </c>
    </row>
    <row r="2780" spans="2:42">
      <c r="B2780" s="834" t="str">
        <f t="shared" si="129"/>
        <v>|||</v>
      </c>
      <c r="H2780" s="835">
        <f t="shared" si="131"/>
        <v>31</v>
      </c>
      <c r="AF2780" s="831" t="s">
        <v>3437</v>
      </c>
      <c r="AG2780" s="831" t="s">
        <v>130</v>
      </c>
      <c r="AH2780" s="831" t="s">
        <v>220</v>
      </c>
      <c r="AI2780" s="831">
        <v>0</v>
      </c>
      <c r="AJ2780" s="835">
        <v>40633</v>
      </c>
      <c r="AK2780" s="831">
        <v>0</v>
      </c>
      <c r="AP2780" s="831" t="str">
        <f t="shared" si="130"/>
        <v/>
      </c>
    </row>
    <row r="2781" spans="2:42">
      <c r="B2781" s="834" t="str">
        <f t="shared" si="129"/>
        <v>|||</v>
      </c>
      <c r="H2781" s="835">
        <f t="shared" si="131"/>
        <v>31</v>
      </c>
      <c r="AF2781" s="831" t="s">
        <v>3438</v>
      </c>
      <c r="AG2781" s="831" t="s">
        <v>130</v>
      </c>
      <c r="AH2781" s="831" t="s">
        <v>221</v>
      </c>
      <c r="AI2781" s="831">
        <v>0</v>
      </c>
      <c r="AJ2781" s="835">
        <v>40633</v>
      </c>
      <c r="AK2781" s="831">
        <v>1045366</v>
      </c>
      <c r="AP2781" s="831" t="str">
        <f t="shared" si="130"/>
        <v/>
      </c>
    </row>
    <row r="2782" spans="2:42">
      <c r="B2782" s="834" t="str">
        <f t="shared" si="129"/>
        <v>|||</v>
      </c>
      <c r="H2782" s="835">
        <f t="shared" si="131"/>
        <v>31</v>
      </c>
      <c r="AF2782" s="831" t="s">
        <v>3439</v>
      </c>
      <c r="AG2782" s="831" t="s">
        <v>130</v>
      </c>
      <c r="AH2782" s="831" t="s">
        <v>228</v>
      </c>
      <c r="AI2782" s="831">
        <v>0</v>
      </c>
      <c r="AJ2782" s="835">
        <v>40633</v>
      </c>
      <c r="AK2782" s="831">
        <v>0</v>
      </c>
      <c r="AP2782" s="831" t="str">
        <f t="shared" si="130"/>
        <v/>
      </c>
    </row>
    <row r="2783" spans="2:42">
      <c r="B2783" s="834" t="str">
        <f t="shared" si="129"/>
        <v>|||</v>
      </c>
      <c r="H2783" s="835">
        <f t="shared" si="131"/>
        <v>31</v>
      </c>
      <c r="AF2783" s="831" t="s">
        <v>3440</v>
      </c>
      <c r="AG2783" s="831" t="s">
        <v>130</v>
      </c>
      <c r="AH2783" s="831" t="s">
        <v>230</v>
      </c>
      <c r="AI2783" s="831">
        <v>0</v>
      </c>
      <c r="AJ2783" s="835">
        <v>40633</v>
      </c>
      <c r="AK2783" s="831">
        <v>0</v>
      </c>
      <c r="AP2783" s="831" t="str">
        <f t="shared" si="130"/>
        <v/>
      </c>
    </row>
    <row r="2784" spans="2:42">
      <c r="B2784" s="834" t="str">
        <f t="shared" si="129"/>
        <v>|||</v>
      </c>
      <c r="H2784" s="835">
        <f t="shared" si="131"/>
        <v>31</v>
      </c>
      <c r="AF2784" s="831" t="s">
        <v>3441</v>
      </c>
      <c r="AG2784" s="831" t="s">
        <v>130</v>
      </c>
      <c r="AH2784" s="831" t="s">
        <v>231</v>
      </c>
      <c r="AI2784" s="831">
        <v>0</v>
      </c>
      <c r="AJ2784" s="835">
        <v>40633</v>
      </c>
      <c r="AK2784" s="831">
        <v>14863125</v>
      </c>
      <c r="AP2784" s="831" t="str">
        <f t="shared" si="130"/>
        <v/>
      </c>
    </row>
    <row r="2785" spans="2:42">
      <c r="B2785" s="834" t="str">
        <f t="shared" si="129"/>
        <v>|||</v>
      </c>
      <c r="H2785" s="835">
        <f t="shared" si="131"/>
        <v>31</v>
      </c>
      <c r="AF2785" s="831" t="s">
        <v>3442</v>
      </c>
      <c r="AG2785" s="831" t="s">
        <v>130</v>
      </c>
      <c r="AH2785" s="831" t="s">
        <v>232</v>
      </c>
      <c r="AI2785" s="831">
        <v>0</v>
      </c>
      <c r="AJ2785" s="835">
        <v>40633</v>
      </c>
      <c r="AK2785" s="831">
        <v>67527475</v>
      </c>
      <c r="AP2785" s="831" t="str">
        <f t="shared" si="130"/>
        <v/>
      </c>
    </row>
    <row r="2786" spans="2:42">
      <c r="B2786" s="834" t="str">
        <f t="shared" si="129"/>
        <v>|||</v>
      </c>
      <c r="H2786" s="835">
        <f t="shared" si="131"/>
        <v>31</v>
      </c>
      <c r="AF2786" s="831" t="s">
        <v>3443</v>
      </c>
      <c r="AG2786" s="831" t="s">
        <v>130</v>
      </c>
      <c r="AH2786" s="831" t="s">
        <v>116</v>
      </c>
      <c r="AI2786" s="831">
        <v>0</v>
      </c>
      <c r="AJ2786" s="835">
        <v>40633</v>
      </c>
      <c r="AK2786" s="831">
        <v>8093880</v>
      </c>
      <c r="AP2786" s="831" t="str">
        <f t="shared" si="130"/>
        <v/>
      </c>
    </row>
    <row r="2787" spans="2:42">
      <c r="B2787" s="834" t="str">
        <f t="shared" si="129"/>
        <v>|||</v>
      </c>
      <c r="H2787" s="835">
        <f t="shared" si="131"/>
        <v>31</v>
      </c>
      <c r="AF2787" s="831" t="s">
        <v>3444</v>
      </c>
      <c r="AG2787" s="831" t="s">
        <v>130</v>
      </c>
      <c r="AH2787" s="831" t="s">
        <v>234</v>
      </c>
      <c r="AI2787" s="831">
        <v>0</v>
      </c>
      <c r="AJ2787" s="835">
        <v>40633</v>
      </c>
      <c r="AK2787" s="831">
        <v>942350</v>
      </c>
      <c r="AP2787" s="831" t="str">
        <f t="shared" si="130"/>
        <v/>
      </c>
    </row>
    <row r="2788" spans="2:42">
      <c r="B2788" s="834" t="str">
        <f t="shared" si="129"/>
        <v>|||</v>
      </c>
      <c r="H2788" s="835">
        <f t="shared" si="131"/>
        <v>31</v>
      </c>
      <c r="AF2788" s="831" t="s">
        <v>3445</v>
      </c>
      <c r="AG2788" s="831" t="s">
        <v>130</v>
      </c>
      <c r="AH2788" s="831" t="s">
        <v>235</v>
      </c>
      <c r="AI2788" s="831">
        <v>0</v>
      </c>
      <c r="AJ2788" s="835">
        <v>40633</v>
      </c>
      <c r="AK2788" s="831">
        <v>2302161</v>
      </c>
      <c r="AP2788" s="831" t="str">
        <f t="shared" si="130"/>
        <v/>
      </c>
    </row>
    <row r="2789" spans="2:42">
      <c r="B2789" s="834" t="str">
        <f t="shared" si="129"/>
        <v>|||</v>
      </c>
      <c r="H2789" s="835">
        <f t="shared" si="131"/>
        <v>31</v>
      </c>
      <c r="AF2789" s="831" t="s">
        <v>3446</v>
      </c>
      <c r="AG2789" s="831" t="s">
        <v>130</v>
      </c>
      <c r="AH2789" s="831" t="s">
        <v>238</v>
      </c>
      <c r="AI2789" s="831">
        <v>0</v>
      </c>
      <c r="AJ2789" s="835">
        <v>40633</v>
      </c>
      <c r="AK2789" s="831">
        <v>0</v>
      </c>
      <c r="AP2789" s="831" t="str">
        <f t="shared" si="130"/>
        <v/>
      </c>
    </row>
    <row r="2790" spans="2:42">
      <c r="B2790" s="834" t="str">
        <f t="shared" si="129"/>
        <v>|||</v>
      </c>
      <c r="H2790" s="835">
        <f t="shared" si="131"/>
        <v>31</v>
      </c>
      <c r="AF2790" s="831" t="s">
        <v>3447</v>
      </c>
      <c r="AG2790" s="831" t="s">
        <v>130</v>
      </c>
      <c r="AH2790" s="831" t="s">
        <v>240</v>
      </c>
      <c r="AI2790" s="831">
        <v>0</v>
      </c>
      <c r="AJ2790" s="835">
        <v>40633</v>
      </c>
      <c r="AK2790" s="831">
        <v>67800000</v>
      </c>
      <c r="AP2790" s="831" t="str">
        <f t="shared" si="130"/>
        <v/>
      </c>
    </row>
    <row r="2791" spans="2:42">
      <c r="B2791" s="834" t="str">
        <f t="shared" si="129"/>
        <v>|||</v>
      </c>
      <c r="H2791" s="835">
        <f t="shared" si="131"/>
        <v>31</v>
      </c>
      <c r="AF2791" s="831" t="s">
        <v>3448</v>
      </c>
      <c r="AG2791" s="831" t="s">
        <v>130</v>
      </c>
      <c r="AH2791" s="831" t="s">
        <v>241</v>
      </c>
      <c r="AI2791" s="831">
        <v>0</v>
      </c>
      <c r="AJ2791" s="835">
        <v>40633</v>
      </c>
      <c r="AK2791" s="831">
        <v>0</v>
      </c>
      <c r="AP2791" s="831" t="str">
        <f t="shared" si="130"/>
        <v/>
      </c>
    </row>
    <row r="2792" spans="2:42">
      <c r="B2792" s="834" t="str">
        <f t="shared" si="129"/>
        <v>|||</v>
      </c>
      <c r="H2792" s="835">
        <f t="shared" si="131"/>
        <v>31</v>
      </c>
      <c r="AF2792" s="831" t="s">
        <v>3449</v>
      </c>
      <c r="AG2792" s="831" t="s">
        <v>130</v>
      </c>
      <c r="AH2792" s="831" t="s">
        <v>242</v>
      </c>
      <c r="AI2792" s="831">
        <v>0</v>
      </c>
      <c r="AJ2792" s="835">
        <v>40633</v>
      </c>
      <c r="AK2792" s="831">
        <v>0</v>
      </c>
      <c r="AP2792" s="831" t="str">
        <f t="shared" si="130"/>
        <v/>
      </c>
    </row>
    <row r="2793" spans="2:42">
      <c r="B2793" s="834" t="str">
        <f t="shared" si="129"/>
        <v>|||</v>
      </c>
      <c r="H2793" s="835">
        <f t="shared" si="131"/>
        <v>31</v>
      </c>
      <c r="AF2793" s="831" t="s">
        <v>3450</v>
      </c>
      <c r="AG2793" s="831" t="s">
        <v>130</v>
      </c>
      <c r="AH2793" s="831" t="s">
        <v>244</v>
      </c>
      <c r="AI2793" s="831">
        <v>0</v>
      </c>
      <c r="AJ2793" s="835">
        <v>40633</v>
      </c>
      <c r="AK2793" s="831">
        <v>6654979</v>
      </c>
      <c r="AP2793" s="831" t="str">
        <f t="shared" si="130"/>
        <v/>
      </c>
    </row>
    <row r="2794" spans="2:42">
      <c r="B2794" s="834" t="str">
        <f t="shared" si="129"/>
        <v>|||</v>
      </c>
      <c r="H2794" s="835">
        <f t="shared" si="131"/>
        <v>31</v>
      </c>
      <c r="AF2794" s="831" t="s">
        <v>3451</v>
      </c>
      <c r="AG2794" s="831" t="s">
        <v>130</v>
      </c>
      <c r="AH2794" s="831" t="s">
        <v>245</v>
      </c>
      <c r="AI2794" s="831">
        <v>0</v>
      </c>
      <c r="AJ2794" s="835">
        <v>40633</v>
      </c>
      <c r="AK2794" s="831">
        <v>4571779</v>
      </c>
      <c r="AP2794" s="831" t="str">
        <f t="shared" si="130"/>
        <v/>
      </c>
    </row>
    <row r="2795" spans="2:42">
      <c r="B2795" s="834" t="str">
        <f t="shared" si="129"/>
        <v>|||</v>
      </c>
      <c r="H2795" s="835">
        <f t="shared" si="131"/>
        <v>31</v>
      </c>
      <c r="AF2795" s="831" t="s">
        <v>3452</v>
      </c>
      <c r="AG2795" s="831" t="s">
        <v>130</v>
      </c>
      <c r="AH2795" s="831" t="s">
        <v>145</v>
      </c>
      <c r="AI2795" s="831">
        <v>0</v>
      </c>
      <c r="AJ2795" s="835">
        <v>40663</v>
      </c>
      <c r="AK2795" s="831">
        <v>41036607</v>
      </c>
      <c r="AP2795" s="831" t="str">
        <f t="shared" si="130"/>
        <v/>
      </c>
    </row>
    <row r="2796" spans="2:42">
      <c r="B2796" s="834" t="str">
        <f t="shared" si="129"/>
        <v>|||</v>
      </c>
      <c r="H2796" s="835">
        <f t="shared" si="131"/>
        <v>31</v>
      </c>
      <c r="AF2796" s="831" t="s">
        <v>3453</v>
      </c>
      <c r="AG2796" s="831" t="s">
        <v>130</v>
      </c>
      <c r="AH2796" s="831" t="s">
        <v>149</v>
      </c>
      <c r="AI2796" s="831">
        <v>0</v>
      </c>
      <c r="AJ2796" s="835">
        <v>40663</v>
      </c>
      <c r="AK2796" s="831">
        <v>0</v>
      </c>
      <c r="AP2796" s="831" t="str">
        <f t="shared" si="130"/>
        <v/>
      </c>
    </row>
    <row r="2797" spans="2:42">
      <c r="B2797" s="834" t="str">
        <f t="shared" si="129"/>
        <v>|||</v>
      </c>
      <c r="H2797" s="835">
        <f t="shared" si="131"/>
        <v>31</v>
      </c>
      <c r="AF2797" s="831" t="s">
        <v>3454</v>
      </c>
      <c r="AG2797" s="831" t="s">
        <v>130</v>
      </c>
      <c r="AH2797" s="831" t="s">
        <v>153</v>
      </c>
      <c r="AI2797" s="831">
        <v>0</v>
      </c>
      <c r="AJ2797" s="835">
        <v>40663</v>
      </c>
      <c r="AK2797" s="831">
        <v>31532145</v>
      </c>
      <c r="AP2797" s="831" t="str">
        <f t="shared" si="130"/>
        <v/>
      </c>
    </row>
    <row r="2798" spans="2:42">
      <c r="B2798" s="834" t="str">
        <f t="shared" si="129"/>
        <v>|||</v>
      </c>
      <c r="H2798" s="835">
        <f t="shared" si="131"/>
        <v>31</v>
      </c>
      <c r="AF2798" s="831" t="s">
        <v>3455</v>
      </c>
      <c r="AG2798" s="831" t="s">
        <v>130</v>
      </c>
      <c r="AH2798" s="831" t="s">
        <v>156</v>
      </c>
      <c r="AI2798" s="831">
        <v>0</v>
      </c>
      <c r="AJ2798" s="835">
        <v>40663</v>
      </c>
      <c r="AK2798" s="831">
        <v>0</v>
      </c>
      <c r="AP2798" s="831" t="str">
        <f t="shared" si="130"/>
        <v/>
      </c>
    </row>
    <row r="2799" spans="2:42">
      <c r="B2799" s="834" t="str">
        <f t="shared" si="129"/>
        <v>|||</v>
      </c>
      <c r="H2799" s="835">
        <f t="shared" si="131"/>
        <v>31</v>
      </c>
      <c r="AF2799" s="831" t="s">
        <v>3456</v>
      </c>
      <c r="AG2799" s="831" t="s">
        <v>130</v>
      </c>
      <c r="AH2799" s="831" t="s">
        <v>162</v>
      </c>
      <c r="AI2799" s="831">
        <v>0</v>
      </c>
      <c r="AJ2799" s="835">
        <v>40663</v>
      </c>
      <c r="AK2799" s="831">
        <v>269079774</v>
      </c>
      <c r="AP2799" s="831" t="str">
        <f t="shared" si="130"/>
        <v/>
      </c>
    </row>
    <row r="2800" spans="2:42">
      <c r="B2800" s="834" t="str">
        <f t="shared" si="129"/>
        <v>|||</v>
      </c>
      <c r="H2800" s="835">
        <f t="shared" si="131"/>
        <v>31</v>
      </c>
      <c r="AF2800" s="831" t="s">
        <v>3457</v>
      </c>
      <c r="AG2800" s="831" t="s">
        <v>130</v>
      </c>
      <c r="AH2800" s="831" t="s">
        <v>165</v>
      </c>
      <c r="AI2800" s="831">
        <v>0</v>
      </c>
      <c r="AJ2800" s="835">
        <v>40663</v>
      </c>
      <c r="AK2800" s="831">
        <v>-8438209</v>
      </c>
      <c r="AP2800" s="831" t="str">
        <f t="shared" si="130"/>
        <v/>
      </c>
    </row>
    <row r="2801" spans="2:42">
      <c r="B2801" s="834" t="str">
        <f t="shared" si="129"/>
        <v>|||</v>
      </c>
      <c r="H2801" s="835">
        <f t="shared" si="131"/>
        <v>31</v>
      </c>
      <c r="AF2801" s="831" t="s">
        <v>3458</v>
      </c>
      <c r="AG2801" s="831" t="s">
        <v>130</v>
      </c>
      <c r="AH2801" s="831" t="s">
        <v>171</v>
      </c>
      <c r="AI2801" s="831">
        <v>0</v>
      </c>
      <c r="AJ2801" s="835">
        <v>40663</v>
      </c>
      <c r="AK2801" s="831">
        <v>2218984</v>
      </c>
      <c r="AP2801" s="831" t="str">
        <f t="shared" si="130"/>
        <v/>
      </c>
    </row>
    <row r="2802" spans="2:42">
      <c r="B2802" s="834" t="str">
        <f t="shared" si="129"/>
        <v>|||</v>
      </c>
      <c r="H2802" s="835">
        <f t="shared" si="131"/>
        <v>31</v>
      </c>
      <c r="AF2802" s="831" t="s">
        <v>3459</v>
      </c>
      <c r="AG2802" s="831" t="s">
        <v>130</v>
      </c>
      <c r="AH2802" s="831" t="s">
        <v>174</v>
      </c>
      <c r="AI2802" s="831">
        <v>0</v>
      </c>
      <c r="AJ2802" s="835">
        <v>40663</v>
      </c>
      <c r="AK2802" s="831">
        <v>0</v>
      </c>
      <c r="AP2802" s="831" t="str">
        <f t="shared" si="130"/>
        <v/>
      </c>
    </row>
    <row r="2803" spans="2:42">
      <c r="B2803" s="834" t="str">
        <f t="shared" si="129"/>
        <v>|||</v>
      </c>
      <c r="H2803" s="835">
        <f t="shared" si="131"/>
        <v>31</v>
      </c>
      <c r="AF2803" s="831" t="s">
        <v>3460</v>
      </c>
      <c r="AG2803" s="831" t="s">
        <v>130</v>
      </c>
      <c r="AH2803" s="831" t="s">
        <v>181</v>
      </c>
      <c r="AI2803" s="831">
        <v>0</v>
      </c>
      <c r="AJ2803" s="835">
        <v>40663</v>
      </c>
      <c r="AK2803" s="831">
        <v>15107020</v>
      </c>
      <c r="AP2803" s="831" t="str">
        <f t="shared" si="130"/>
        <v/>
      </c>
    </row>
    <row r="2804" spans="2:42">
      <c r="B2804" s="834" t="str">
        <f t="shared" si="129"/>
        <v>|||</v>
      </c>
      <c r="H2804" s="835">
        <f t="shared" si="131"/>
        <v>31</v>
      </c>
      <c r="AF2804" s="831" t="s">
        <v>3461</v>
      </c>
      <c r="AG2804" s="831" t="s">
        <v>130</v>
      </c>
      <c r="AH2804" s="831" t="s">
        <v>184</v>
      </c>
      <c r="AI2804" s="831">
        <v>0</v>
      </c>
      <c r="AJ2804" s="835">
        <v>40663</v>
      </c>
      <c r="AK2804" s="831">
        <v>-6048010</v>
      </c>
      <c r="AP2804" s="831" t="str">
        <f t="shared" si="130"/>
        <v/>
      </c>
    </row>
    <row r="2805" spans="2:42">
      <c r="B2805" s="834" t="str">
        <f t="shared" si="129"/>
        <v>|||</v>
      </c>
      <c r="H2805" s="835">
        <f t="shared" si="131"/>
        <v>31</v>
      </c>
      <c r="AF2805" s="831" t="s">
        <v>3462</v>
      </c>
      <c r="AG2805" s="831" t="s">
        <v>130</v>
      </c>
      <c r="AH2805" s="831" t="s">
        <v>187</v>
      </c>
      <c r="AI2805" s="831">
        <v>0</v>
      </c>
      <c r="AJ2805" s="835">
        <v>40663</v>
      </c>
      <c r="AK2805" s="831">
        <v>0</v>
      </c>
      <c r="AP2805" s="831" t="str">
        <f t="shared" si="130"/>
        <v/>
      </c>
    </row>
    <row r="2806" spans="2:42">
      <c r="B2806" s="834" t="str">
        <f t="shared" si="129"/>
        <v>|||</v>
      </c>
      <c r="H2806" s="835">
        <f t="shared" si="131"/>
        <v>31</v>
      </c>
      <c r="AF2806" s="831" t="s">
        <v>3463</v>
      </c>
      <c r="AG2806" s="831" t="s">
        <v>130</v>
      </c>
      <c r="AH2806" s="831" t="s">
        <v>196</v>
      </c>
      <c r="AI2806" s="831">
        <v>0</v>
      </c>
      <c r="AJ2806" s="835">
        <v>40663</v>
      </c>
      <c r="AK2806" s="831">
        <v>1636250</v>
      </c>
      <c r="AP2806" s="831" t="str">
        <f t="shared" si="130"/>
        <v/>
      </c>
    </row>
    <row r="2807" spans="2:42">
      <c r="B2807" s="834" t="str">
        <f t="shared" si="129"/>
        <v>|||</v>
      </c>
      <c r="H2807" s="835">
        <f t="shared" si="131"/>
        <v>31</v>
      </c>
      <c r="AF2807" s="831" t="s">
        <v>3464</v>
      </c>
      <c r="AG2807" s="831" t="s">
        <v>130</v>
      </c>
      <c r="AH2807" s="831" t="s">
        <v>197</v>
      </c>
      <c r="AI2807" s="831">
        <v>0</v>
      </c>
      <c r="AJ2807" s="835">
        <v>40663</v>
      </c>
      <c r="AK2807" s="831">
        <v>0</v>
      </c>
      <c r="AP2807" s="831" t="str">
        <f t="shared" si="130"/>
        <v/>
      </c>
    </row>
    <row r="2808" spans="2:42">
      <c r="B2808" s="834" t="str">
        <f t="shared" si="129"/>
        <v>|||</v>
      </c>
      <c r="H2808" s="835">
        <f t="shared" si="131"/>
        <v>31</v>
      </c>
      <c r="AF2808" s="831" t="s">
        <v>3465</v>
      </c>
      <c r="AG2808" s="831" t="s">
        <v>130</v>
      </c>
      <c r="AH2808" s="831" t="s">
        <v>199</v>
      </c>
      <c r="AI2808" s="831">
        <v>0</v>
      </c>
      <c r="AJ2808" s="835">
        <v>40663</v>
      </c>
      <c r="AK2808" s="831">
        <v>0</v>
      </c>
      <c r="AP2808" s="831" t="str">
        <f t="shared" si="130"/>
        <v/>
      </c>
    </row>
    <row r="2809" spans="2:42">
      <c r="B2809" s="834" t="str">
        <f t="shared" si="129"/>
        <v>|||</v>
      </c>
      <c r="H2809" s="835">
        <f t="shared" si="131"/>
        <v>31</v>
      </c>
      <c r="AF2809" s="831" t="s">
        <v>3466</v>
      </c>
      <c r="AG2809" s="831" t="s">
        <v>130</v>
      </c>
      <c r="AH2809" s="831" t="s">
        <v>201</v>
      </c>
      <c r="AI2809" s="831">
        <v>0</v>
      </c>
      <c r="AJ2809" s="835">
        <v>40663</v>
      </c>
      <c r="AK2809" s="831">
        <v>24322472</v>
      </c>
      <c r="AP2809" s="831" t="str">
        <f t="shared" si="130"/>
        <v/>
      </c>
    </row>
    <row r="2810" spans="2:42">
      <c r="B2810" s="834" t="str">
        <f t="shared" si="129"/>
        <v>|||</v>
      </c>
      <c r="H2810" s="835">
        <f t="shared" si="131"/>
        <v>31</v>
      </c>
      <c r="AF2810" s="831" t="s">
        <v>3467</v>
      </c>
      <c r="AG2810" s="831" t="s">
        <v>130</v>
      </c>
      <c r="AH2810" s="831" t="s">
        <v>209</v>
      </c>
      <c r="AI2810" s="831">
        <v>0</v>
      </c>
      <c r="AJ2810" s="835">
        <v>40663</v>
      </c>
      <c r="AK2810" s="831">
        <v>16185054</v>
      </c>
      <c r="AP2810" s="831" t="str">
        <f t="shared" si="130"/>
        <v/>
      </c>
    </row>
    <row r="2811" spans="2:42">
      <c r="B2811" s="834" t="str">
        <f t="shared" si="129"/>
        <v>|||</v>
      </c>
      <c r="H2811" s="835">
        <f t="shared" si="131"/>
        <v>31</v>
      </c>
      <c r="AF2811" s="831" t="s">
        <v>3468</v>
      </c>
      <c r="AG2811" s="831" t="s">
        <v>130</v>
      </c>
      <c r="AH2811" s="831" t="s">
        <v>211</v>
      </c>
      <c r="AI2811" s="831">
        <v>0</v>
      </c>
      <c r="AJ2811" s="835">
        <v>40663</v>
      </c>
      <c r="AK2811" s="831">
        <v>114954175</v>
      </c>
      <c r="AP2811" s="831" t="str">
        <f t="shared" si="130"/>
        <v/>
      </c>
    </row>
    <row r="2812" spans="2:42">
      <c r="B2812" s="834" t="str">
        <f t="shared" si="129"/>
        <v>|||</v>
      </c>
      <c r="H2812" s="835">
        <f t="shared" si="131"/>
        <v>31</v>
      </c>
      <c r="AF2812" s="831" t="s">
        <v>3469</v>
      </c>
      <c r="AG2812" s="831" t="s">
        <v>130</v>
      </c>
      <c r="AH2812" s="831" t="s">
        <v>212</v>
      </c>
      <c r="AI2812" s="831">
        <v>0</v>
      </c>
      <c r="AJ2812" s="835">
        <v>40663</v>
      </c>
      <c r="AK2812" s="831">
        <v>6147723</v>
      </c>
      <c r="AP2812" s="831" t="str">
        <f t="shared" si="130"/>
        <v/>
      </c>
    </row>
    <row r="2813" spans="2:42">
      <c r="B2813" s="834" t="str">
        <f t="shared" si="129"/>
        <v>|||</v>
      </c>
      <c r="H2813" s="835">
        <f t="shared" si="131"/>
        <v>31</v>
      </c>
      <c r="AF2813" s="831" t="s">
        <v>3470</v>
      </c>
      <c r="AG2813" s="831" t="s">
        <v>130</v>
      </c>
      <c r="AH2813" s="831" t="s">
        <v>216</v>
      </c>
      <c r="AI2813" s="831">
        <v>0</v>
      </c>
      <c r="AJ2813" s="835">
        <v>40663</v>
      </c>
      <c r="AK2813" s="831">
        <v>0</v>
      </c>
      <c r="AP2813" s="831" t="str">
        <f t="shared" si="130"/>
        <v/>
      </c>
    </row>
    <row r="2814" spans="2:42">
      <c r="B2814" s="834" t="str">
        <f t="shared" si="129"/>
        <v>|||</v>
      </c>
      <c r="H2814" s="835">
        <f t="shared" si="131"/>
        <v>31</v>
      </c>
      <c r="AF2814" s="831" t="s">
        <v>3471</v>
      </c>
      <c r="AG2814" s="831" t="s">
        <v>130</v>
      </c>
      <c r="AH2814" s="831" t="s">
        <v>218</v>
      </c>
      <c r="AI2814" s="831">
        <v>0</v>
      </c>
      <c r="AJ2814" s="835">
        <v>40663</v>
      </c>
      <c r="AK2814" s="831">
        <v>58385560</v>
      </c>
      <c r="AP2814" s="831" t="str">
        <f t="shared" si="130"/>
        <v/>
      </c>
    </row>
    <row r="2815" spans="2:42">
      <c r="B2815" s="834" t="str">
        <f t="shared" si="129"/>
        <v>|||</v>
      </c>
      <c r="H2815" s="835">
        <f t="shared" si="131"/>
        <v>31</v>
      </c>
      <c r="AF2815" s="831" t="s">
        <v>3472</v>
      </c>
      <c r="AG2815" s="831" t="s">
        <v>130</v>
      </c>
      <c r="AH2815" s="831" t="s">
        <v>220</v>
      </c>
      <c r="AI2815" s="831">
        <v>0</v>
      </c>
      <c r="AJ2815" s="835">
        <v>40663</v>
      </c>
      <c r="AK2815" s="831">
        <v>0</v>
      </c>
      <c r="AP2815" s="831" t="str">
        <f t="shared" si="130"/>
        <v/>
      </c>
    </row>
    <row r="2816" spans="2:42">
      <c r="B2816" s="834" t="str">
        <f t="shared" si="129"/>
        <v>|||</v>
      </c>
      <c r="H2816" s="835">
        <f t="shared" si="131"/>
        <v>31</v>
      </c>
      <c r="AF2816" s="831" t="s">
        <v>3473</v>
      </c>
      <c r="AG2816" s="831" t="s">
        <v>130</v>
      </c>
      <c r="AH2816" s="831" t="s">
        <v>221</v>
      </c>
      <c r="AI2816" s="831">
        <v>0</v>
      </c>
      <c r="AJ2816" s="835">
        <v>40663</v>
      </c>
      <c r="AK2816" s="831">
        <v>1590509</v>
      </c>
      <c r="AP2816" s="831" t="str">
        <f t="shared" si="130"/>
        <v/>
      </c>
    </row>
    <row r="2817" spans="2:42">
      <c r="B2817" s="834" t="str">
        <f t="shared" si="129"/>
        <v>|||</v>
      </c>
      <c r="H2817" s="835">
        <f t="shared" si="131"/>
        <v>31</v>
      </c>
      <c r="AF2817" s="831" t="s">
        <v>3474</v>
      </c>
      <c r="AG2817" s="831" t="s">
        <v>130</v>
      </c>
      <c r="AH2817" s="831" t="s">
        <v>228</v>
      </c>
      <c r="AI2817" s="831">
        <v>0</v>
      </c>
      <c r="AJ2817" s="835">
        <v>40663</v>
      </c>
      <c r="AK2817" s="831">
        <v>0</v>
      </c>
      <c r="AP2817" s="831" t="str">
        <f t="shared" si="130"/>
        <v/>
      </c>
    </row>
    <row r="2818" spans="2:42">
      <c r="B2818" s="834" t="str">
        <f t="shared" si="129"/>
        <v>|||</v>
      </c>
      <c r="H2818" s="835">
        <f t="shared" si="131"/>
        <v>31</v>
      </c>
      <c r="AF2818" s="831" t="s">
        <v>3475</v>
      </c>
      <c r="AG2818" s="831" t="s">
        <v>130</v>
      </c>
      <c r="AH2818" s="831" t="s">
        <v>230</v>
      </c>
      <c r="AI2818" s="831">
        <v>0</v>
      </c>
      <c r="AJ2818" s="835">
        <v>40663</v>
      </c>
      <c r="AK2818" s="831">
        <v>0</v>
      </c>
      <c r="AP2818" s="831" t="str">
        <f t="shared" si="130"/>
        <v/>
      </c>
    </row>
    <row r="2819" spans="2:42">
      <c r="B2819" s="834" t="str">
        <f t="shared" ref="B2819:B2882" si="132">C2819&amp;"|"&amp;D2819&amp;"|"&amp;E2819&amp;"|"&amp;F2819</f>
        <v>|||</v>
      </c>
      <c r="H2819" s="835">
        <f t="shared" si="131"/>
        <v>31</v>
      </c>
      <c r="AF2819" s="831" t="s">
        <v>3476</v>
      </c>
      <c r="AG2819" s="831" t="s">
        <v>130</v>
      </c>
      <c r="AH2819" s="831" t="s">
        <v>231</v>
      </c>
      <c r="AI2819" s="831">
        <v>0</v>
      </c>
      <c r="AJ2819" s="835">
        <v>40663</v>
      </c>
      <c r="AK2819" s="831">
        <v>14842500</v>
      </c>
      <c r="AP2819" s="831" t="str">
        <f t="shared" ref="AP2819:AP2882" si="133">IF(AX2819&lt;&gt;"",IF(OR(AX2819=3,AX2819=4),"Equity","Debt"),"")</f>
        <v/>
      </c>
    </row>
    <row r="2820" spans="2:42">
      <c r="B2820" s="834" t="str">
        <f t="shared" si="132"/>
        <v>|||</v>
      </c>
      <c r="H2820" s="835">
        <f t="shared" ref="H2820:H2883" si="134">EOMONTH(L2820,0)</f>
        <v>31</v>
      </c>
      <c r="AF2820" s="831" t="s">
        <v>3477</v>
      </c>
      <c r="AG2820" s="831" t="s">
        <v>130</v>
      </c>
      <c r="AH2820" s="831" t="s">
        <v>232</v>
      </c>
      <c r="AI2820" s="831">
        <v>0</v>
      </c>
      <c r="AJ2820" s="835">
        <v>40663</v>
      </c>
      <c r="AK2820" s="831">
        <v>66870416</v>
      </c>
      <c r="AP2820" s="831" t="str">
        <f t="shared" si="133"/>
        <v/>
      </c>
    </row>
    <row r="2821" spans="2:42">
      <c r="B2821" s="834" t="str">
        <f t="shared" si="132"/>
        <v>|||</v>
      </c>
      <c r="H2821" s="835">
        <f t="shared" si="134"/>
        <v>31</v>
      </c>
      <c r="AF2821" s="831" t="s">
        <v>3478</v>
      </c>
      <c r="AG2821" s="831" t="s">
        <v>130</v>
      </c>
      <c r="AH2821" s="831" t="s">
        <v>116</v>
      </c>
      <c r="AI2821" s="831">
        <v>0</v>
      </c>
      <c r="AJ2821" s="835">
        <v>40663</v>
      </c>
      <c r="AK2821" s="831">
        <v>8082648</v>
      </c>
      <c r="AP2821" s="831" t="str">
        <f t="shared" si="133"/>
        <v/>
      </c>
    </row>
    <row r="2822" spans="2:42">
      <c r="B2822" s="834" t="str">
        <f t="shared" si="132"/>
        <v>|||</v>
      </c>
      <c r="H2822" s="835">
        <f t="shared" si="134"/>
        <v>31</v>
      </c>
      <c r="AF2822" s="831" t="s">
        <v>3479</v>
      </c>
      <c r="AG2822" s="831" t="s">
        <v>130</v>
      </c>
      <c r="AH2822" s="831" t="s">
        <v>234</v>
      </c>
      <c r="AI2822" s="831">
        <v>0</v>
      </c>
      <c r="AJ2822" s="835">
        <v>40663</v>
      </c>
      <c r="AK2822" s="831">
        <v>950540</v>
      </c>
      <c r="AP2822" s="831" t="str">
        <f t="shared" si="133"/>
        <v/>
      </c>
    </row>
    <row r="2823" spans="2:42">
      <c r="B2823" s="834" t="str">
        <f t="shared" si="132"/>
        <v>|||</v>
      </c>
      <c r="H2823" s="835">
        <f t="shared" si="134"/>
        <v>31</v>
      </c>
      <c r="AF2823" s="831" t="s">
        <v>3480</v>
      </c>
      <c r="AG2823" s="831" t="s">
        <v>130</v>
      </c>
      <c r="AH2823" s="831" t="s">
        <v>235</v>
      </c>
      <c r="AI2823" s="831">
        <v>0</v>
      </c>
      <c r="AJ2823" s="835">
        <v>40663</v>
      </c>
      <c r="AK2823" s="831">
        <v>2061972</v>
      </c>
      <c r="AP2823" s="831" t="str">
        <f t="shared" si="133"/>
        <v/>
      </c>
    </row>
    <row r="2824" spans="2:42">
      <c r="B2824" s="834" t="str">
        <f t="shared" si="132"/>
        <v>|||</v>
      </c>
      <c r="H2824" s="835">
        <f t="shared" si="134"/>
        <v>31</v>
      </c>
      <c r="AF2824" s="831" t="s">
        <v>3481</v>
      </c>
      <c r="AG2824" s="831" t="s">
        <v>130</v>
      </c>
      <c r="AH2824" s="831" t="s">
        <v>238</v>
      </c>
      <c r="AI2824" s="831">
        <v>0</v>
      </c>
      <c r="AJ2824" s="835">
        <v>40663</v>
      </c>
      <c r="AK2824" s="831">
        <v>0</v>
      </c>
      <c r="AP2824" s="831" t="str">
        <f t="shared" si="133"/>
        <v/>
      </c>
    </row>
    <row r="2825" spans="2:42">
      <c r="B2825" s="834" t="str">
        <f t="shared" si="132"/>
        <v>|||</v>
      </c>
      <c r="H2825" s="835">
        <f t="shared" si="134"/>
        <v>31</v>
      </c>
      <c r="AF2825" s="831" t="s">
        <v>3482</v>
      </c>
      <c r="AG2825" s="831" t="s">
        <v>130</v>
      </c>
      <c r="AH2825" s="831" t="s">
        <v>240</v>
      </c>
      <c r="AI2825" s="831">
        <v>0</v>
      </c>
      <c r="AJ2825" s="835">
        <v>40663</v>
      </c>
      <c r="AK2825" s="831">
        <v>67800000</v>
      </c>
      <c r="AP2825" s="831" t="str">
        <f t="shared" si="133"/>
        <v/>
      </c>
    </row>
    <row r="2826" spans="2:42">
      <c r="B2826" s="834" t="str">
        <f t="shared" si="132"/>
        <v>|||</v>
      </c>
      <c r="H2826" s="835">
        <f t="shared" si="134"/>
        <v>31</v>
      </c>
      <c r="AF2826" s="831" t="s">
        <v>3483</v>
      </c>
      <c r="AG2826" s="831" t="s">
        <v>130</v>
      </c>
      <c r="AH2826" s="831" t="s">
        <v>241</v>
      </c>
      <c r="AI2826" s="831">
        <v>0</v>
      </c>
      <c r="AJ2826" s="835">
        <v>40663</v>
      </c>
      <c r="AK2826" s="831">
        <v>0</v>
      </c>
      <c r="AP2826" s="831" t="str">
        <f t="shared" si="133"/>
        <v/>
      </c>
    </row>
    <row r="2827" spans="2:42">
      <c r="B2827" s="834" t="str">
        <f t="shared" si="132"/>
        <v>|||</v>
      </c>
      <c r="H2827" s="835">
        <f t="shared" si="134"/>
        <v>31</v>
      </c>
      <c r="AF2827" s="831" t="s">
        <v>3484</v>
      </c>
      <c r="AG2827" s="831" t="s">
        <v>130</v>
      </c>
      <c r="AH2827" s="831" t="s">
        <v>242</v>
      </c>
      <c r="AI2827" s="831">
        <v>0</v>
      </c>
      <c r="AJ2827" s="835">
        <v>40663</v>
      </c>
      <c r="AK2827" s="831">
        <v>0</v>
      </c>
      <c r="AP2827" s="831" t="str">
        <f t="shared" si="133"/>
        <v/>
      </c>
    </row>
    <row r="2828" spans="2:42">
      <c r="B2828" s="834" t="str">
        <f t="shared" si="132"/>
        <v>|||</v>
      </c>
      <c r="H2828" s="835">
        <f t="shared" si="134"/>
        <v>31</v>
      </c>
      <c r="AF2828" s="831" t="s">
        <v>3485</v>
      </c>
      <c r="AG2828" s="831" t="s">
        <v>130</v>
      </c>
      <c r="AH2828" s="831" t="s">
        <v>244</v>
      </c>
      <c r="AI2828" s="831">
        <v>0</v>
      </c>
      <c r="AJ2828" s="835">
        <v>40663</v>
      </c>
      <c r="AK2828" s="831">
        <v>6654924</v>
      </c>
      <c r="AP2828" s="831" t="str">
        <f t="shared" si="133"/>
        <v/>
      </c>
    </row>
    <row r="2829" spans="2:42">
      <c r="B2829" s="834" t="str">
        <f t="shared" si="132"/>
        <v>|||</v>
      </c>
      <c r="H2829" s="835">
        <f t="shared" si="134"/>
        <v>31</v>
      </c>
      <c r="AF2829" s="831" t="s">
        <v>3486</v>
      </c>
      <c r="AG2829" s="831" t="s">
        <v>130</v>
      </c>
      <c r="AH2829" s="831" t="s">
        <v>245</v>
      </c>
      <c r="AI2829" s="831">
        <v>0</v>
      </c>
      <c r="AJ2829" s="835">
        <v>40663</v>
      </c>
      <c r="AK2829" s="831">
        <v>5921012</v>
      </c>
      <c r="AP2829" s="831" t="str">
        <f t="shared" si="133"/>
        <v/>
      </c>
    </row>
    <row r="2830" spans="2:42">
      <c r="B2830" s="834" t="str">
        <f t="shared" si="132"/>
        <v>|||</v>
      </c>
      <c r="H2830" s="835">
        <f t="shared" si="134"/>
        <v>31</v>
      </c>
      <c r="AF2830" s="831" t="s">
        <v>3487</v>
      </c>
      <c r="AG2830" s="831" t="s">
        <v>130</v>
      </c>
      <c r="AH2830" s="831" t="s">
        <v>145</v>
      </c>
      <c r="AI2830" s="831">
        <v>0</v>
      </c>
      <c r="AJ2830" s="835">
        <v>40694</v>
      </c>
      <c r="AK2830" s="831">
        <v>29514653</v>
      </c>
      <c r="AP2830" s="831" t="str">
        <f t="shared" si="133"/>
        <v/>
      </c>
    </row>
    <row r="2831" spans="2:42">
      <c r="B2831" s="834" t="str">
        <f t="shared" si="132"/>
        <v>|||</v>
      </c>
      <c r="H2831" s="835">
        <f t="shared" si="134"/>
        <v>31</v>
      </c>
      <c r="AF2831" s="831" t="s">
        <v>3488</v>
      </c>
      <c r="AG2831" s="831" t="s">
        <v>130</v>
      </c>
      <c r="AH2831" s="831" t="s">
        <v>149</v>
      </c>
      <c r="AI2831" s="831">
        <v>0</v>
      </c>
      <c r="AJ2831" s="835">
        <v>40694</v>
      </c>
      <c r="AK2831" s="831">
        <v>0</v>
      </c>
      <c r="AP2831" s="831" t="str">
        <f t="shared" si="133"/>
        <v/>
      </c>
    </row>
    <row r="2832" spans="2:42">
      <c r="B2832" s="834" t="str">
        <f t="shared" si="132"/>
        <v>|||</v>
      </c>
      <c r="H2832" s="835">
        <f t="shared" si="134"/>
        <v>31</v>
      </c>
      <c r="AF2832" s="831" t="s">
        <v>3489</v>
      </c>
      <c r="AG2832" s="831" t="s">
        <v>130</v>
      </c>
      <c r="AH2832" s="831" t="s">
        <v>153</v>
      </c>
      <c r="AI2832" s="831">
        <v>0</v>
      </c>
      <c r="AJ2832" s="835">
        <v>40694</v>
      </c>
      <c r="AK2832" s="831">
        <v>36528600</v>
      </c>
      <c r="AP2832" s="831" t="str">
        <f t="shared" si="133"/>
        <v/>
      </c>
    </row>
    <row r="2833" spans="2:42">
      <c r="B2833" s="834" t="str">
        <f t="shared" si="132"/>
        <v>|||</v>
      </c>
      <c r="H2833" s="835">
        <f t="shared" si="134"/>
        <v>31</v>
      </c>
      <c r="AF2833" s="831" t="s">
        <v>3490</v>
      </c>
      <c r="AG2833" s="831" t="s">
        <v>130</v>
      </c>
      <c r="AH2833" s="831" t="s">
        <v>156</v>
      </c>
      <c r="AI2833" s="831">
        <v>0</v>
      </c>
      <c r="AJ2833" s="835">
        <v>40694</v>
      </c>
      <c r="AK2833" s="831">
        <v>0</v>
      </c>
      <c r="AP2833" s="831" t="str">
        <f t="shared" si="133"/>
        <v/>
      </c>
    </row>
    <row r="2834" spans="2:42">
      <c r="B2834" s="834" t="str">
        <f t="shared" si="132"/>
        <v>|||</v>
      </c>
      <c r="H2834" s="835">
        <f t="shared" si="134"/>
        <v>31</v>
      </c>
      <c r="AF2834" s="831" t="s">
        <v>3491</v>
      </c>
      <c r="AG2834" s="831" t="s">
        <v>130</v>
      </c>
      <c r="AH2834" s="831" t="s">
        <v>162</v>
      </c>
      <c r="AI2834" s="831">
        <v>0</v>
      </c>
      <c r="AJ2834" s="835">
        <v>40694</v>
      </c>
      <c r="AK2834" s="831">
        <v>274114278</v>
      </c>
      <c r="AP2834" s="831" t="str">
        <f t="shared" si="133"/>
        <v/>
      </c>
    </row>
    <row r="2835" spans="2:42">
      <c r="B2835" s="834" t="str">
        <f t="shared" si="132"/>
        <v>|||</v>
      </c>
      <c r="H2835" s="835">
        <f t="shared" si="134"/>
        <v>31</v>
      </c>
      <c r="AF2835" s="831" t="s">
        <v>3492</v>
      </c>
      <c r="AG2835" s="831" t="s">
        <v>130</v>
      </c>
      <c r="AH2835" s="831" t="s">
        <v>165</v>
      </c>
      <c r="AI2835" s="831">
        <v>0</v>
      </c>
      <c r="AJ2835" s="835">
        <v>40694</v>
      </c>
      <c r="AK2835" s="831">
        <v>-8617455</v>
      </c>
      <c r="AP2835" s="831" t="str">
        <f t="shared" si="133"/>
        <v/>
      </c>
    </row>
    <row r="2836" spans="2:42">
      <c r="B2836" s="834" t="str">
        <f t="shared" si="132"/>
        <v>|||</v>
      </c>
      <c r="H2836" s="835">
        <f t="shared" si="134"/>
        <v>31</v>
      </c>
      <c r="AF2836" s="831" t="s">
        <v>3493</v>
      </c>
      <c r="AG2836" s="831" t="s">
        <v>130</v>
      </c>
      <c r="AH2836" s="831" t="s">
        <v>171</v>
      </c>
      <c r="AI2836" s="831">
        <v>0</v>
      </c>
      <c r="AJ2836" s="835">
        <v>40694</v>
      </c>
      <c r="AK2836" s="831">
        <v>2263494</v>
      </c>
      <c r="AP2836" s="831" t="str">
        <f t="shared" si="133"/>
        <v/>
      </c>
    </row>
    <row r="2837" spans="2:42">
      <c r="B2837" s="834" t="str">
        <f t="shared" si="132"/>
        <v>|||</v>
      </c>
      <c r="H2837" s="835">
        <f t="shared" si="134"/>
        <v>31</v>
      </c>
      <c r="AF2837" s="831" t="s">
        <v>3494</v>
      </c>
      <c r="AG2837" s="831" t="s">
        <v>130</v>
      </c>
      <c r="AH2837" s="831" t="s">
        <v>174</v>
      </c>
      <c r="AI2837" s="831">
        <v>0</v>
      </c>
      <c r="AJ2837" s="835">
        <v>40694</v>
      </c>
      <c r="AK2837" s="831">
        <v>0</v>
      </c>
      <c r="AP2837" s="831" t="str">
        <f t="shared" si="133"/>
        <v/>
      </c>
    </row>
    <row r="2838" spans="2:42">
      <c r="B2838" s="834" t="str">
        <f t="shared" si="132"/>
        <v>|||</v>
      </c>
      <c r="H2838" s="835">
        <f t="shared" si="134"/>
        <v>31</v>
      </c>
      <c r="AF2838" s="831" t="s">
        <v>3495</v>
      </c>
      <c r="AG2838" s="831" t="s">
        <v>130</v>
      </c>
      <c r="AH2838" s="831" t="s">
        <v>181</v>
      </c>
      <c r="AI2838" s="831">
        <v>0</v>
      </c>
      <c r="AJ2838" s="835">
        <v>40694</v>
      </c>
      <c r="AK2838" s="831">
        <v>15318397</v>
      </c>
      <c r="AP2838" s="831" t="str">
        <f t="shared" si="133"/>
        <v/>
      </c>
    </row>
    <row r="2839" spans="2:42">
      <c r="B2839" s="834" t="str">
        <f t="shared" si="132"/>
        <v>|||</v>
      </c>
      <c r="H2839" s="835">
        <f t="shared" si="134"/>
        <v>31</v>
      </c>
      <c r="AF2839" s="831" t="s">
        <v>3496</v>
      </c>
      <c r="AG2839" s="831" t="s">
        <v>130</v>
      </c>
      <c r="AH2839" s="831" t="s">
        <v>184</v>
      </c>
      <c r="AI2839" s="831">
        <v>0</v>
      </c>
      <c r="AJ2839" s="835">
        <v>40694</v>
      </c>
      <c r="AK2839" s="831">
        <v>-6301880</v>
      </c>
      <c r="AP2839" s="831" t="str">
        <f t="shared" si="133"/>
        <v/>
      </c>
    </row>
    <row r="2840" spans="2:42">
      <c r="B2840" s="834" t="str">
        <f t="shared" si="132"/>
        <v>|||</v>
      </c>
      <c r="H2840" s="835">
        <f t="shared" si="134"/>
        <v>31</v>
      </c>
      <c r="AF2840" s="831" t="s">
        <v>3497</v>
      </c>
      <c r="AG2840" s="831" t="s">
        <v>130</v>
      </c>
      <c r="AH2840" s="831" t="s">
        <v>187</v>
      </c>
      <c r="AI2840" s="831">
        <v>0</v>
      </c>
      <c r="AJ2840" s="835">
        <v>40694</v>
      </c>
      <c r="AK2840" s="831">
        <v>0</v>
      </c>
      <c r="AP2840" s="831" t="str">
        <f t="shared" si="133"/>
        <v/>
      </c>
    </row>
    <row r="2841" spans="2:42">
      <c r="B2841" s="834" t="str">
        <f t="shared" si="132"/>
        <v>|||</v>
      </c>
      <c r="H2841" s="835">
        <f t="shared" si="134"/>
        <v>31</v>
      </c>
      <c r="AF2841" s="831" t="s">
        <v>3498</v>
      </c>
      <c r="AG2841" s="831" t="s">
        <v>130</v>
      </c>
      <c r="AH2841" s="831" t="s">
        <v>196</v>
      </c>
      <c r="AI2841" s="831">
        <v>0</v>
      </c>
      <c r="AJ2841" s="835">
        <v>40694</v>
      </c>
      <c r="AK2841" s="831">
        <v>1591530</v>
      </c>
      <c r="AP2841" s="831" t="str">
        <f t="shared" si="133"/>
        <v/>
      </c>
    </row>
    <row r="2842" spans="2:42">
      <c r="B2842" s="834" t="str">
        <f t="shared" si="132"/>
        <v>|||</v>
      </c>
      <c r="H2842" s="835">
        <f t="shared" si="134"/>
        <v>31</v>
      </c>
      <c r="AF2842" s="831" t="s">
        <v>3499</v>
      </c>
      <c r="AG2842" s="831" t="s">
        <v>130</v>
      </c>
      <c r="AH2842" s="831" t="s">
        <v>197</v>
      </c>
      <c r="AI2842" s="831">
        <v>0</v>
      </c>
      <c r="AJ2842" s="835">
        <v>40694</v>
      </c>
      <c r="AK2842" s="831">
        <v>0</v>
      </c>
      <c r="AP2842" s="831" t="str">
        <f t="shared" si="133"/>
        <v/>
      </c>
    </row>
    <row r="2843" spans="2:42">
      <c r="B2843" s="834" t="str">
        <f t="shared" si="132"/>
        <v>|||</v>
      </c>
      <c r="H2843" s="835">
        <f t="shared" si="134"/>
        <v>31</v>
      </c>
      <c r="AF2843" s="831" t="s">
        <v>3500</v>
      </c>
      <c r="AG2843" s="831" t="s">
        <v>130</v>
      </c>
      <c r="AH2843" s="831" t="s">
        <v>199</v>
      </c>
      <c r="AI2843" s="831">
        <v>0</v>
      </c>
      <c r="AJ2843" s="835">
        <v>40694</v>
      </c>
      <c r="AK2843" s="831">
        <v>0</v>
      </c>
      <c r="AP2843" s="831" t="str">
        <f t="shared" si="133"/>
        <v/>
      </c>
    </row>
    <row r="2844" spans="2:42">
      <c r="B2844" s="834" t="str">
        <f t="shared" si="132"/>
        <v>|||</v>
      </c>
      <c r="H2844" s="835">
        <f t="shared" si="134"/>
        <v>31</v>
      </c>
      <c r="AF2844" s="831" t="s">
        <v>3501</v>
      </c>
      <c r="AG2844" s="831" t="s">
        <v>130</v>
      </c>
      <c r="AH2844" s="831" t="s">
        <v>201</v>
      </c>
      <c r="AI2844" s="831">
        <v>0</v>
      </c>
      <c r="AJ2844" s="835">
        <v>40694</v>
      </c>
      <c r="AK2844" s="831">
        <v>24371087</v>
      </c>
      <c r="AP2844" s="831" t="str">
        <f t="shared" si="133"/>
        <v/>
      </c>
    </row>
    <row r="2845" spans="2:42">
      <c r="B2845" s="834" t="str">
        <f t="shared" si="132"/>
        <v>|||</v>
      </c>
      <c r="H2845" s="835">
        <f t="shared" si="134"/>
        <v>31</v>
      </c>
      <c r="AF2845" s="831" t="s">
        <v>3502</v>
      </c>
      <c r="AG2845" s="831" t="s">
        <v>130</v>
      </c>
      <c r="AH2845" s="831" t="s">
        <v>209</v>
      </c>
      <c r="AI2845" s="831">
        <v>0</v>
      </c>
      <c r="AJ2845" s="835">
        <v>40694</v>
      </c>
      <c r="AK2845" s="831">
        <v>17343801</v>
      </c>
      <c r="AP2845" s="831" t="str">
        <f t="shared" si="133"/>
        <v/>
      </c>
    </row>
    <row r="2846" spans="2:42">
      <c r="B2846" s="834" t="str">
        <f t="shared" si="132"/>
        <v>|||</v>
      </c>
      <c r="H2846" s="835">
        <f t="shared" si="134"/>
        <v>31</v>
      </c>
      <c r="AF2846" s="831" t="s">
        <v>3503</v>
      </c>
      <c r="AG2846" s="831" t="s">
        <v>130</v>
      </c>
      <c r="AH2846" s="831" t="s">
        <v>211</v>
      </c>
      <c r="AI2846" s="831">
        <v>0</v>
      </c>
      <c r="AJ2846" s="835">
        <v>40694</v>
      </c>
      <c r="AK2846" s="831">
        <v>112162961</v>
      </c>
      <c r="AP2846" s="831" t="str">
        <f t="shared" si="133"/>
        <v/>
      </c>
    </row>
    <row r="2847" spans="2:42">
      <c r="B2847" s="834" t="str">
        <f t="shared" si="132"/>
        <v>|||</v>
      </c>
      <c r="H2847" s="835">
        <f t="shared" si="134"/>
        <v>31</v>
      </c>
      <c r="AF2847" s="831" t="s">
        <v>3504</v>
      </c>
      <c r="AG2847" s="831" t="s">
        <v>130</v>
      </c>
      <c r="AH2847" s="831" t="s">
        <v>212</v>
      </c>
      <c r="AI2847" s="831">
        <v>0</v>
      </c>
      <c r="AJ2847" s="835">
        <v>40694</v>
      </c>
      <c r="AK2847" s="831">
        <v>6150025</v>
      </c>
      <c r="AP2847" s="831" t="str">
        <f t="shared" si="133"/>
        <v/>
      </c>
    </row>
    <row r="2848" spans="2:42">
      <c r="B2848" s="834" t="str">
        <f t="shared" si="132"/>
        <v>|||</v>
      </c>
      <c r="H2848" s="835">
        <f t="shared" si="134"/>
        <v>31</v>
      </c>
      <c r="AF2848" s="831" t="s">
        <v>3505</v>
      </c>
      <c r="AG2848" s="831" t="s">
        <v>130</v>
      </c>
      <c r="AH2848" s="831" t="s">
        <v>216</v>
      </c>
      <c r="AI2848" s="831">
        <v>0</v>
      </c>
      <c r="AJ2848" s="835">
        <v>40694</v>
      </c>
      <c r="AK2848" s="831">
        <v>0</v>
      </c>
      <c r="AP2848" s="831" t="str">
        <f t="shared" si="133"/>
        <v/>
      </c>
    </row>
    <row r="2849" spans="2:42">
      <c r="B2849" s="834" t="str">
        <f t="shared" si="132"/>
        <v>|||</v>
      </c>
      <c r="H2849" s="835">
        <f t="shared" si="134"/>
        <v>31</v>
      </c>
      <c r="AF2849" s="831" t="s">
        <v>3506</v>
      </c>
      <c r="AG2849" s="831" t="s">
        <v>130</v>
      </c>
      <c r="AH2849" s="831" t="s">
        <v>218</v>
      </c>
      <c r="AI2849" s="831">
        <v>0</v>
      </c>
      <c r="AJ2849" s="835">
        <v>40694</v>
      </c>
      <c r="AK2849" s="831">
        <v>58477690</v>
      </c>
      <c r="AP2849" s="831" t="str">
        <f t="shared" si="133"/>
        <v/>
      </c>
    </row>
    <row r="2850" spans="2:42">
      <c r="B2850" s="834" t="str">
        <f t="shared" si="132"/>
        <v>|||</v>
      </c>
      <c r="H2850" s="835">
        <f t="shared" si="134"/>
        <v>31</v>
      </c>
      <c r="AF2850" s="831" t="s">
        <v>3507</v>
      </c>
      <c r="AG2850" s="831" t="s">
        <v>130</v>
      </c>
      <c r="AH2850" s="831" t="s">
        <v>220</v>
      </c>
      <c r="AI2850" s="831">
        <v>0</v>
      </c>
      <c r="AJ2850" s="835">
        <v>40694</v>
      </c>
      <c r="AK2850" s="831">
        <v>0</v>
      </c>
      <c r="AP2850" s="831" t="str">
        <f t="shared" si="133"/>
        <v/>
      </c>
    </row>
    <row r="2851" spans="2:42">
      <c r="B2851" s="834" t="str">
        <f t="shared" si="132"/>
        <v>|||</v>
      </c>
      <c r="H2851" s="835">
        <f t="shared" si="134"/>
        <v>31</v>
      </c>
      <c r="AF2851" s="831" t="s">
        <v>3508</v>
      </c>
      <c r="AG2851" s="831" t="s">
        <v>130</v>
      </c>
      <c r="AH2851" s="831" t="s">
        <v>221</v>
      </c>
      <c r="AI2851" s="831">
        <v>0</v>
      </c>
      <c r="AJ2851" s="835">
        <v>40694</v>
      </c>
      <c r="AK2851" s="831">
        <v>1853995</v>
      </c>
      <c r="AP2851" s="831" t="str">
        <f t="shared" si="133"/>
        <v/>
      </c>
    </row>
    <row r="2852" spans="2:42">
      <c r="B2852" s="834" t="str">
        <f t="shared" si="132"/>
        <v>|||</v>
      </c>
      <c r="H2852" s="835">
        <f t="shared" si="134"/>
        <v>31</v>
      </c>
      <c r="AF2852" s="831" t="s">
        <v>3509</v>
      </c>
      <c r="AG2852" s="831" t="s">
        <v>130</v>
      </c>
      <c r="AH2852" s="831" t="s">
        <v>228</v>
      </c>
      <c r="AI2852" s="831">
        <v>0</v>
      </c>
      <c r="AJ2852" s="835">
        <v>40694</v>
      </c>
      <c r="AK2852" s="831">
        <v>0</v>
      </c>
      <c r="AP2852" s="831" t="str">
        <f t="shared" si="133"/>
        <v/>
      </c>
    </row>
    <row r="2853" spans="2:42">
      <c r="B2853" s="834" t="str">
        <f t="shared" si="132"/>
        <v>|||</v>
      </c>
      <c r="H2853" s="835">
        <f t="shared" si="134"/>
        <v>31</v>
      </c>
      <c r="AF2853" s="831" t="s">
        <v>3510</v>
      </c>
      <c r="AG2853" s="831" t="s">
        <v>130</v>
      </c>
      <c r="AH2853" s="831" t="s">
        <v>230</v>
      </c>
      <c r="AI2853" s="831">
        <v>0</v>
      </c>
      <c r="AJ2853" s="835">
        <v>40694</v>
      </c>
      <c r="AK2853" s="831">
        <v>0</v>
      </c>
      <c r="AP2853" s="831" t="str">
        <f t="shared" si="133"/>
        <v/>
      </c>
    </row>
    <row r="2854" spans="2:42">
      <c r="B2854" s="834" t="str">
        <f t="shared" si="132"/>
        <v>|||</v>
      </c>
      <c r="H2854" s="835">
        <f t="shared" si="134"/>
        <v>31</v>
      </c>
      <c r="AF2854" s="831" t="s">
        <v>3511</v>
      </c>
      <c r="AG2854" s="831" t="s">
        <v>130</v>
      </c>
      <c r="AH2854" s="831" t="s">
        <v>231</v>
      </c>
      <c r="AI2854" s="831">
        <v>0</v>
      </c>
      <c r="AJ2854" s="835">
        <v>40694</v>
      </c>
      <c r="AK2854" s="831">
        <v>14801250</v>
      </c>
      <c r="AP2854" s="831" t="str">
        <f t="shared" si="133"/>
        <v/>
      </c>
    </row>
    <row r="2855" spans="2:42">
      <c r="B2855" s="834" t="str">
        <f t="shared" si="132"/>
        <v>|||</v>
      </c>
      <c r="H2855" s="835">
        <f t="shared" si="134"/>
        <v>31</v>
      </c>
      <c r="AF2855" s="831" t="s">
        <v>3512</v>
      </c>
      <c r="AG2855" s="831" t="s">
        <v>130</v>
      </c>
      <c r="AH2855" s="831" t="s">
        <v>232</v>
      </c>
      <c r="AI2855" s="831">
        <v>0</v>
      </c>
      <c r="AJ2855" s="835">
        <v>40694</v>
      </c>
      <c r="AK2855" s="831">
        <v>65255566</v>
      </c>
      <c r="AP2855" s="831" t="str">
        <f t="shared" si="133"/>
        <v/>
      </c>
    </row>
    <row r="2856" spans="2:42">
      <c r="B2856" s="834" t="str">
        <f t="shared" si="132"/>
        <v>|||</v>
      </c>
      <c r="H2856" s="835">
        <f t="shared" si="134"/>
        <v>31</v>
      </c>
      <c r="AF2856" s="831" t="s">
        <v>3513</v>
      </c>
      <c r="AG2856" s="831" t="s">
        <v>130</v>
      </c>
      <c r="AH2856" s="831" t="s">
        <v>116</v>
      </c>
      <c r="AI2856" s="831">
        <v>0</v>
      </c>
      <c r="AJ2856" s="835">
        <v>40694</v>
      </c>
      <c r="AK2856" s="831">
        <v>8060184</v>
      </c>
      <c r="AP2856" s="831" t="str">
        <f t="shared" si="133"/>
        <v/>
      </c>
    </row>
    <row r="2857" spans="2:42">
      <c r="B2857" s="834" t="str">
        <f t="shared" si="132"/>
        <v>|||</v>
      </c>
      <c r="H2857" s="835">
        <f t="shared" si="134"/>
        <v>31</v>
      </c>
      <c r="AF2857" s="831" t="s">
        <v>3514</v>
      </c>
      <c r="AG2857" s="831" t="s">
        <v>130</v>
      </c>
      <c r="AH2857" s="831" t="s">
        <v>234</v>
      </c>
      <c r="AI2857" s="831">
        <v>0</v>
      </c>
      <c r="AJ2857" s="835">
        <v>40694</v>
      </c>
      <c r="AK2857" s="831">
        <v>888780</v>
      </c>
      <c r="AP2857" s="831" t="str">
        <f t="shared" si="133"/>
        <v/>
      </c>
    </row>
    <row r="2858" spans="2:42">
      <c r="B2858" s="834" t="str">
        <f t="shared" si="132"/>
        <v>|||</v>
      </c>
      <c r="H2858" s="835">
        <f t="shared" si="134"/>
        <v>31</v>
      </c>
      <c r="AF2858" s="831" t="s">
        <v>3515</v>
      </c>
      <c r="AG2858" s="831" t="s">
        <v>130</v>
      </c>
      <c r="AH2858" s="831" t="s">
        <v>235</v>
      </c>
      <c r="AI2858" s="831">
        <v>0</v>
      </c>
      <c r="AJ2858" s="835">
        <v>40694</v>
      </c>
      <c r="AK2858" s="831">
        <v>1977011</v>
      </c>
      <c r="AP2858" s="831" t="str">
        <f t="shared" si="133"/>
        <v/>
      </c>
    </row>
    <row r="2859" spans="2:42">
      <c r="B2859" s="834" t="str">
        <f t="shared" si="132"/>
        <v>|||</v>
      </c>
      <c r="H2859" s="835">
        <f t="shared" si="134"/>
        <v>31</v>
      </c>
      <c r="AF2859" s="831" t="s">
        <v>3516</v>
      </c>
      <c r="AG2859" s="831" t="s">
        <v>130</v>
      </c>
      <c r="AH2859" s="831" t="s">
        <v>238</v>
      </c>
      <c r="AI2859" s="831">
        <v>0</v>
      </c>
      <c r="AJ2859" s="835">
        <v>40694</v>
      </c>
      <c r="AK2859" s="831">
        <v>0</v>
      </c>
      <c r="AP2859" s="831" t="str">
        <f t="shared" si="133"/>
        <v/>
      </c>
    </row>
    <row r="2860" spans="2:42">
      <c r="B2860" s="834" t="str">
        <f t="shared" si="132"/>
        <v>|||</v>
      </c>
      <c r="H2860" s="835">
        <f t="shared" si="134"/>
        <v>31</v>
      </c>
      <c r="AF2860" s="831" t="s">
        <v>3517</v>
      </c>
      <c r="AG2860" s="831" t="s">
        <v>130</v>
      </c>
      <c r="AH2860" s="831" t="s">
        <v>240</v>
      </c>
      <c r="AI2860" s="831">
        <v>0</v>
      </c>
      <c r="AJ2860" s="835">
        <v>40694</v>
      </c>
      <c r="AK2860" s="831">
        <v>67800000</v>
      </c>
      <c r="AP2860" s="831" t="str">
        <f t="shared" si="133"/>
        <v/>
      </c>
    </row>
    <row r="2861" spans="2:42">
      <c r="B2861" s="834" t="str">
        <f t="shared" si="132"/>
        <v>|||</v>
      </c>
      <c r="H2861" s="835">
        <f t="shared" si="134"/>
        <v>31</v>
      </c>
      <c r="AF2861" s="831" t="s">
        <v>3518</v>
      </c>
      <c r="AG2861" s="831" t="s">
        <v>130</v>
      </c>
      <c r="AH2861" s="831" t="s">
        <v>241</v>
      </c>
      <c r="AI2861" s="831">
        <v>0</v>
      </c>
      <c r="AJ2861" s="835">
        <v>40694</v>
      </c>
      <c r="AK2861" s="831">
        <v>0</v>
      </c>
      <c r="AP2861" s="831" t="str">
        <f t="shared" si="133"/>
        <v/>
      </c>
    </row>
    <row r="2862" spans="2:42">
      <c r="B2862" s="834" t="str">
        <f t="shared" si="132"/>
        <v>|||</v>
      </c>
      <c r="H2862" s="835">
        <f t="shared" si="134"/>
        <v>31</v>
      </c>
      <c r="AF2862" s="831" t="s">
        <v>3519</v>
      </c>
      <c r="AG2862" s="831" t="s">
        <v>130</v>
      </c>
      <c r="AH2862" s="831" t="s">
        <v>242</v>
      </c>
      <c r="AI2862" s="831">
        <v>0</v>
      </c>
      <c r="AJ2862" s="835">
        <v>40694</v>
      </c>
      <c r="AK2862" s="831">
        <v>0</v>
      </c>
      <c r="AP2862" s="831" t="str">
        <f t="shared" si="133"/>
        <v/>
      </c>
    </row>
    <row r="2863" spans="2:42">
      <c r="B2863" s="834" t="str">
        <f t="shared" si="132"/>
        <v>|||</v>
      </c>
      <c r="H2863" s="835">
        <f t="shared" si="134"/>
        <v>31</v>
      </c>
      <c r="AF2863" s="831" t="s">
        <v>3520</v>
      </c>
      <c r="AG2863" s="831" t="s">
        <v>130</v>
      </c>
      <c r="AH2863" s="831" t="s">
        <v>244</v>
      </c>
      <c r="AI2863" s="831">
        <v>0</v>
      </c>
      <c r="AJ2863" s="835">
        <v>40694</v>
      </c>
      <c r="AK2863" s="831">
        <v>6654924</v>
      </c>
      <c r="AP2863" s="831" t="str">
        <f t="shared" si="133"/>
        <v/>
      </c>
    </row>
    <row r="2864" spans="2:42">
      <c r="B2864" s="834" t="str">
        <f t="shared" si="132"/>
        <v>|||</v>
      </c>
      <c r="H2864" s="835">
        <f t="shared" si="134"/>
        <v>31</v>
      </c>
      <c r="AF2864" s="831" t="s">
        <v>3521</v>
      </c>
      <c r="AG2864" s="831" t="s">
        <v>130</v>
      </c>
      <c r="AH2864" s="831" t="s">
        <v>245</v>
      </c>
      <c r="AI2864" s="831">
        <v>0</v>
      </c>
      <c r="AJ2864" s="835">
        <v>40694</v>
      </c>
      <c r="AK2864" s="831">
        <v>7356517</v>
      </c>
      <c r="AP2864" s="831" t="str">
        <f t="shared" si="133"/>
        <v/>
      </c>
    </row>
    <row r="2865" spans="2:42">
      <c r="B2865" s="834" t="str">
        <f t="shared" si="132"/>
        <v>|||</v>
      </c>
      <c r="H2865" s="835">
        <f t="shared" si="134"/>
        <v>31</v>
      </c>
      <c r="AF2865" s="831" t="s">
        <v>3522</v>
      </c>
      <c r="AG2865" s="831" t="s">
        <v>130</v>
      </c>
      <c r="AH2865" s="831" t="s">
        <v>145</v>
      </c>
      <c r="AI2865" s="831">
        <v>0</v>
      </c>
      <c r="AJ2865" s="835">
        <v>40724</v>
      </c>
      <c r="AK2865" s="831">
        <v>28265426</v>
      </c>
      <c r="AP2865" s="831" t="str">
        <f t="shared" si="133"/>
        <v/>
      </c>
    </row>
    <row r="2866" spans="2:42">
      <c r="B2866" s="834" t="str">
        <f t="shared" si="132"/>
        <v>|||</v>
      </c>
      <c r="H2866" s="835">
        <f t="shared" si="134"/>
        <v>31</v>
      </c>
      <c r="AF2866" s="831" t="s">
        <v>3523</v>
      </c>
      <c r="AG2866" s="831" t="s">
        <v>130</v>
      </c>
      <c r="AH2866" s="831" t="s">
        <v>149</v>
      </c>
      <c r="AI2866" s="831">
        <v>0</v>
      </c>
      <c r="AJ2866" s="835">
        <v>40724</v>
      </c>
      <c r="AK2866" s="831">
        <v>0</v>
      </c>
      <c r="AP2866" s="831" t="str">
        <f t="shared" si="133"/>
        <v/>
      </c>
    </row>
    <row r="2867" spans="2:42">
      <c r="B2867" s="834" t="str">
        <f t="shared" si="132"/>
        <v>|||</v>
      </c>
      <c r="H2867" s="835">
        <f t="shared" si="134"/>
        <v>31</v>
      </c>
      <c r="AF2867" s="831" t="s">
        <v>3524</v>
      </c>
      <c r="AG2867" s="831" t="s">
        <v>130</v>
      </c>
      <c r="AH2867" s="831" t="s">
        <v>153</v>
      </c>
      <c r="AI2867" s="831">
        <v>0</v>
      </c>
      <c r="AJ2867" s="835">
        <v>40724</v>
      </c>
      <c r="AK2867" s="831">
        <v>27846879</v>
      </c>
      <c r="AP2867" s="831" t="str">
        <f t="shared" si="133"/>
        <v/>
      </c>
    </row>
    <row r="2868" spans="2:42">
      <c r="B2868" s="834" t="str">
        <f t="shared" si="132"/>
        <v>|||</v>
      </c>
      <c r="H2868" s="835">
        <f t="shared" si="134"/>
        <v>31</v>
      </c>
      <c r="AF2868" s="831" t="s">
        <v>3525</v>
      </c>
      <c r="AG2868" s="831" t="s">
        <v>130</v>
      </c>
      <c r="AH2868" s="831" t="s">
        <v>156</v>
      </c>
      <c r="AI2868" s="831">
        <v>0</v>
      </c>
      <c r="AJ2868" s="835">
        <v>40724</v>
      </c>
      <c r="AK2868" s="831">
        <v>0</v>
      </c>
      <c r="AP2868" s="831" t="str">
        <f t="shared" si="133"/>
        <v/>
      </c>
    </row>
    <row r="2869" spans="2:42">
      <c r="B2869" s="834" t="str">
        <f t="shared" si="132"/>
        <v>|||</v>
      </c>
      <c r="H2869" s="835">
        <f t="shared" si="134"/>
        <v>31</v>
      </c>
      <c r="AF2869" s="831" t="s">
        <v>3526</v>
      </c>
      <c r="AG2869" s="831" t="s">
        <v>130</v>
      </c>
      <c r="AH2869" s="831" t="s">
        <v>162</v>
      </c>
      <c r="AI2869" s="831">
        <v>0</v>
      </c>
      <c r="AJ2869" s="835">
        <v>40724</v>
      </c>
      <c r="AK2869" s="831">
        <v>279113071</v>
      </c>
      <c r="AP2869" s="831" t="str">
        <f t="shared" si="133"/>
        <v/>
      </c>
    </row>
    <row r="2870" spans="2:42">
      <c r="B2870" s="834" t="str">
        <f t="shared" si="132"/>
        <v>|||</v>
      </c>
      <c r="H2870" s="835">
        <f t="shared" si="134"/>
        <v>31</v>
      </c>
      <c r="AF2870" s="831" t="s">
        <v>3527</v>
      </c>
      <c r="AG2870" s="831" t="s">
        <v>130</v>
      </c>
      <c r="AH2870" s="831" t="s">
        <v>165</v>
      </c>
      <c r="AI2870" s="831">
        <v>0</v>
      </c>
      <c r="AJ2870" s="835">
        <v>40724</v>
      </c>
      <c r="AK2870" s="831">
        <v>-7367371</v>
      </c>
      <c r="AP2870" s="831" t="str">
        <f t="shared" si="133"/>
        <v/>
      </c>
    </row>
    <row r="2871" spans="2:42">
      <c r="B2871" s="834" t="str">
        <f t="shared" si="132"/>
        <v>|||</v>
      </c>
      <c r="H2871" s="835">
        <f t="shared" si="134"/>
        <v>31</v>
      </c>
      <c r="AF2871" s="831" t="s">
        <v>3528</v>
      </c>
      <c r="AG2871" s="831" t="s">
        <v>130</v>
      </c>
      <c r="AH2871" s="831" t="s">
        <v>171</v>
      </c>
      <c r="AI2871" s="831">
        <v>0</v>
      </c>
      <c r="AJ2871" s="835">
        <v>40724</v>
      </c>
      <c r="AK2871" s="831">
        <v>2149644</v>
      </c>
      <c r="AP2871" s="831" t="str">
        <f t="shared" si="133"/>
        <v/>
      </c>
    </row>
    <row r="2872" spans="2:42">
      <c r="B2872" s="834" t="str">
        <f t="shared" si="132"/>
        <v>|||</v>
      </c>
      <c r="H2872" s="835">
        <f t="shared" si="134"/>
        <v>31</v>
      </c>
      <c r="AF2872" s="831" t="s">
        <v>3529</v>
      </c>
      <c r="AG2872" s="831" t="s">
        <v>130</v>
      </c>
      <c r="AH2872" s="831" t="s">
        <v>174</v>
      </c>
      <c r="AI2872" s="831">
        <v>0</v>
      </c>
      <c r="AJ2872" s="835">
        <v>40724</v>
      </c>
      <c r="AK2872" s="831">
        <v>0</v>
      </c>
      <c r="AP2872" s="831" t="str">
        <f t="shared" si="133"/>
        <v/>
      </c>
    </row>
    <row r="2873" spans="2:42">
      <c r="B2873" s="834" t="str">
        <f t="shared" si="132"/>
        <v>|||</v>
      </c>
      <c r="H2873" s="835">
        <f t="shared" si="134"/>
        <v>31</v>
      </c>
      <c r="AF2873" s="831" t="s">
        <v>3530</v>
      </c>
      <c r="AG2873" s="831" t="s">
        <v>130</v>
      </c>
      <c r="AH2873" s="831" t="s">
        <v>181</v>
      </c>
      <c r="AI2873" s="831">
        <v>0</v>
      </c>
      <c r="AJ2873" s="835">
        <v>40724</v>
      </c>
      <c r="AK2873" s="831">
        <v>15533097</v>
      </c>
      <c r="AP2873" s="831" t="str">
        <f t="shared" si="133"/>
        <v/>
      </c>
    </row>
    <row r="2874" spans="2:42">
      <c r="B2874" s="834" t="str">
        <f t="shared" si="132"/>
        <v>|||</v>
      </c>
      <c r="H2874" s="835">
        <f t="shared" si="134"/>
        <v>31</v>
      </c>
      <c r="AF2874" s="831" t="s">
        <v>3531</v>
      </c>
      <c r="AG2874" s="831" t="s">
        <v>130</v>
      </c>
      <c r="AH2874" s="831" t="s">
        <v>184</v>
      </c>
      <c r="AI2874" s="831">
        <v>0</v>
      </c>
      <c r="AJ2874" s="835">
        <v>40724</v>
      </c>
      <c r="AK2874" s="831">
        <v>-6567740</v>
      </c>
      <c r="AP2874" s="831" t="str">
        <f t="shared" si="133"/>
        <v/>
      </c>
    </row>
    <row r="2875" spans="2:42">
      <c r="B2875" s="834" t="str">
        <f t="shared" si="132"/>
        <v>|||</v>
      </c>
      <c r="H2875" s="835">
        <f t="shared" si="134"/>
        <v>31</v>
      </c>
      <c r="AF2875" s="831" t="s">
        <v>3532</v>
      </c>
      <c r="AG2875" s="831" t="s">
        <v>130</v>
      </c>
      <c r="AH2875" s="831" t="s">
        <v>187</v>
      </c>
      <c r="AI2875" s="831">
        <v>0</v>
      </c>
      <c r="AJ2875" s="835">
        <v>40724</v>
      </c>
      <c r="AK2875" s="831">
        <v>0</v>
      </c>
      <c r="AP2875" s="831" t="str">
        <f t="shared" si="133"/>
        <v/>
      </c>
    </row>
    <row r="2876" spans="2:42">
      <c r="B2876" s="834" t="str">
        <f t="shared" si="132"/>
        <v>|||</v>
      </c>
      <c r="H2876" s="835">
        <f t="shared" si="134"/>
        <v>31</v>
      </c>
      <c r="AF2876" s="831" t="s">
        <v>3533</v>
      </c>
      <c r="AG2876" s="831" t="s">
        <v>130</v>
      </c>
      <c r="AH2876" s="831" t="s">
        <v>196</v>
      </c>
      <c r="AI2876" s="831">
        <v>0</v>
      </c>
      <c r="AJ2876" s="835">
        <v>40724</v>
      </c>
      <c r="AK2876" s="831">
        <v>1576090</v>
      </c>
      <c r="AP2876" s="831" t="str">
        <f t="shared" si="133"/>
        <v/>
      </c>
    </row>
    <row r="2877" spans="2:42">
      <c r="B2877" s="834" t="str">
        <f t="shared" si="132"/>
        <v>|||</v>
      </c>
      <c r="H2877" s="835">
        <f t="shared" si="134"/>
        <v>31</v>
      </c>
      <c r="AF2877" s="831" t="s">
        <v>3534</v>
      </c>
      <c r="AG2877" s="831" t="s">
        <v>130</v>
      </c>
      <c r="AH2877" s="831" t="s">
        <v>197</v>
      </c>
      <c r="AI2877" s="831">
        <v>0</v>
      </c>
      <c r="AJ2877" s="835">
        <v>40724</v>
      </c>
      <c r="AK2877" s="831">
        <v>0</v>
      </c>
      <c r="AP2877" s="831" t="str">
        <f t="shared" si="133"/>
        <v/>
      </c>
    </row>
    <row r="2878" spans="2:42">
      <c r="B2878" s="834" t="str">
        <f t="shared" si="132"/>
        <v>|||</v>
      </c>
      <c r="H2878" s="835">
        <f t="shared" si="134"/>
        <v>31</v>
      </c>
      <c r="AF2878" s="831" t="s">
        <v>3535</v>
      </c>
      <c r="AG2878" s="831" t="s">
        <v>130</v>
      </c>
      <c r="AH2878" s="831" t="s">
        <v>199</v>
      </c>
      <c r="AI2878" s="831">
        <v>0</v>
      </c>
      <c r="AJ2878" s="835">
        <v>40724</v>
      </c>
      <c r="AK2878" s="831">
        <v>0</v>
      </c>
      <c r="AP2878" s="831" t="str">
        <f t="shared" si="133"/>
        <v/>
      </c>
    </row>
    <row r="2879" spans="2:42">
      <c r="B2879" s="834" t="str">
        <f t="shared" si="132"/>
        <v>|||</v>
      </c>
      <c r="H2879" s="835">
        <f t="shared" si="134"/>
        <v>31</v>
      </c>
      <c r="AF2879" s="831" t="s">
        <v>3536</v>
      </c>
      <c r="AG2879" s="831" t="s">
        <v>130</v>
      </c>
      <c r="AH2879" s="831" t="s">
        <v>201</v>
      </c>
      <c r="AI2879" s="831">
        <v>0</v>
      </c>
      <c r="AJ2879" s="835">
        <v>40724</v>
      </c>
      <c r="AK2879" s="831">
        <v>24798326</v>
      </c>
      <c r="AP2879" s="831" t="str">
        <f t="shared" si="133"/>
        <v/>
      </c>
    </row>
    <row r="2880" spans="2:42">
      <c r="B2880" s="834" t="str">
        <f t="shared" si="132"/>
        <v>|||</v>
      </c>
      <c r="H2880" s="835">
        <f t="shared" si="134"/>
        <v>31</v>
      </c>
      <c r="AF2880" s="831" t="s">
        <v>3537</v>
      </c>
      <c r="AG2880" s="831" t="s">
        <v>130</v>
      </c>
      <c r="AH2880" s="831" t="s">
        <v>209</v>
      </c>
      <c r="AI2880" s="831">
        <v>0</v>
      </c>
      <c r="AJ2880" s="835">
        <v>40724</v>
      </c>
      <c r="AK2880" s="831">
        <v>19448926</v>
      </c>
      <c r="AP2880" s="831" t="str">
        <f t="shared" si="133"/>
        <v/>
      </c>
    </row>
    <row r="2881" spans="2:42">
      <c r="B2881" s="834" t="str">
        <f t="shared" si="132"/>
        <v>|||</v>
      </c>
      <c r="H2881" s="835">
        <f t="shared" si="134"/>
        <v>31</v>
      </c>
      <c r="AF2881" s="831" t="s">
        <v>3538</v>
      </c>
      <c r="AG2881" s="831" t="s">
        <v>130</v>
      </c>
      <c r="AH2881" s="831" t="s">
        <v>211</v>
      </c>
      <c r="AI2881" s="831">
        <v>0</v>
      </c>
      <c r="AJ2881" s="835">
        <v>40724</v>
      </c>
      <c r="AK2881" s="831">
        <v>113707668</v>
      </c>
      <c r="AP2881" s="831" t="str">
        <f t="shared" si="133"/>
        <v/>
      </c>
    </row>
    <row r="2882" spans="2:42">
      <c r="B2882" s="834" t="str">
        <f t="shared" si="132"/>
        <v>|||</v>
      </c>
      <c r="H2882" s="835">
        <f t="shared" si="134"/>
        <v>31</v>
      </c>
      <c r="AF2882" s="831" t="s">
        <v>3539</v>
      </c>
      <c r="AG2882" s="831" t="s">
        <v>130</v>
      </c>
      <c r="AH2882" s="831" t="s">
        <v>212</v>
      </c>
      <c r="AI2882" s="831">
        <v>0</v>
      </c>
      <c r="AJ2882" s="835">
        <v>40724</v>
      </c>
      <c r="AK2882" s="831">
        <v>6107682</v>
      </c>
      <c r="AP2882" s="831" t="str">
        <f t="shared" si="133"/>
        <v/>
      </c>
    </row>
    <row r="2883" spans="2:42">
      <c r="B2883" s="834" t="str">
        <f t="shared" ref="B2883:B2946" si="135">C2883&amp;"|"&amp;D2883&amp;"|"&amp;E2883&amp;"|"&amp;F2883</f>
        <v>|||</v>
      </c>
      <c r="H2883" s="835">
        <f t="shared" si="134"/>
        <v>31</v>
      </c>
      <c r="AF2883" s="831" t="s">
        <v>3540</v>
      </c>
      <c r="AG2883" s="831" t="s">
        <v>130</v>
      </c>
      <c r="AH2883" s="831" t="s">
        <v>216</v>
      </c>
      <c r="AI2883" s="831">
        <v>0</v>
      </c>
      <c r="AJ2883" s="835">
        <v>40724</v>
      </c>
      <c r="AK2883" s="831">
        <v>0</v>
      </c>
      <c r="AP2883" s="831" t="str">
        <f t="shared" ref="AP2883:AP2946" si="136">IF(AX2883&lt;&gt;"",IF(OR(AX2883=3,AX2883=4),"Equity","Debt"),"")</f>
        <v/>
      </c>
    </row>
    <row r="2884" spans="2:42">
      <c r="B2884" s="834" t="str">
        <f t="shared" si="135"/>
        <v>|||</v>
      </c>
      <c r="H2884" s="835">
        <f t="shared" ref="H2884:H2947" si="137">EOMONTH(L2884,0)</f>
        <v>31</v>
      </c>
      <c r="AF2884" s="831" t="s">
        <v>3541</v>
      </c>
      <c r="AG2884" s="831" t="s">
        <v>130</v>
      </c>
      <c r="AH2884" s="831" t="s">
        <v>218</v>
      </c>
      <c r="AI2884" s="831">
        <v>0</v>
      </c>
      <c r="AJ2884" s="835">
        <v>40724</v>
      </c>
      <c r="AK2884" s="831">
        <v>61048780</v>
      </c>
      <c r="AP2884" s="831" t="str">
        <f t="shared" si="136"/>
        <v/>
      </c>
    </row>
    <row r="2885" spans="2:42">
      <c r="B2885" s="834" t="str">
        <f t="shared" si="135"/>
        <v>|||</v>
      </c>
      <c r="H2885" s="835">
        <f t="shared" si="137"/>
        <v>31</v>
      </c>
      <c r="AF2885" s="831" t="s">
        <v>3542</v>
      </c>
      <c r="AG2885" s="831" t="s">
        <v>130</v>
      </c>
      <c r="AH2885" s="831" t="s">
        <v>220</v>
      </c>
      <c r="AI2885" s="831">
        <v>0</v>
      </c>
      <c r="AJ2885" s="835">
        <v>40724</v>
      </c>
      <c r="AK2885" s="831">
        <v>0</v>
      </c>
      <c r="AP2885" s="831" t="str">
        <f t="shared" si="136"/>
        <v/>
      </c>
    </row>
    <row r="2886" spans="2:42">
      <c r="B2886" s="834" t="str">
        <f t="shared" si="135"/>
        <v>|||</v>
      </c>
      <c r="H2886" s="835">
        <f t="shared" si="137"/>
        <v>31</v>
      </c>
      <c r="AF2886" s="831" t="s">
        <v>3543</v>
      </c>
      <c r="AG2886" s="831" t="s">
        <v>130</v>
      </c>
      <c r="AH2886" s="831" t="s">
        <v>221</v>
      </c>
      <c r="AI2886" s="831">
        <v>0</v>
      </c>
      <c r="AJ2886" s="835">
        <v>40724</v>
      </c>
      <c r="AK2886" s="831">
        <v>1914578</v>
      </c>
      <c r="AP2886" s="831" t="str">
        <f t="shared" si="136"/>
        <v/>
      </c>
    </row>
    <row r="2887" spans="2:42">
      <c r="B2887" s="834" t="str">
        <f t="shared" si="135"/>
        <v>|||</v>
      </c>
      <c r="H2887" s="835">
        <f t="shared" si="137"/>
        <v>31</v>
      </c>
      <c r="AF2887" s="831" t="s">
        <v>3544</v>
      </c>
      <c r="AG2887" s="831" t="s">
        <v>130</v>
      </c>
      <c r="AH2887" s="831" t="s">
        <v>228</v>
      </c>
      <c r="AI2887" s="831">
        <v>0</v>
      </c>
      <c r="AJ2887" s="835">
        <v>40724</v>
      </c>
      <c r="AK2887" s="831">
        <v>0</v>
      </c>
      <c r="AP2887" s="831" t="str">
        <f t="shared" si="136"/>
        <v/>
      </c>
    </row>
    <row r="2888" spans="2:42">
      <c r="B2888" s="834" t="str">
        <f t="shared" si="135"/>
        <v>|||</v>
      </c>
      <c r="H2888" s="835">
        <f t="shared" si="137"/>
        <v>31</v>
      </c>
      <c r="AF2888" s="831" t="s">
        <v>3545</v>
      </c>
      <c r="AG2888" s="831" t="s">
        <v>130</v>
      </c>
      <c r="AH2888" s="831" t="s">
        <v>230</v>
      </c>
      <c r="AI2888" s="831">
        <v>0</v>
      </c>
      <c r="AJ2888" s="835">
        <v>40724</v>
      </c>
      <c r="AK2888" s="831">
        <v>0</v>
      </c>
      <c r="AP2888" s="831" t="str">
        <f t="shared" si="136"/>
        <v/>
      </c>
    </row>
    <row r="2889" spans="2:42">
      <c r="B2889" s="834" t="str">
        <f t="shared" si="135"/>
        <v>|||</v>
      </c>
      <c r="H2889" s="835">
        <f t="shared" si="137"/>
        <v>31</v>
      </c>
      <c r="AF2889" s="831" t="s">
        <v>3546</v>
      </c>
      <c r="AG2889" s="831" t="s">
        <v>130</v>
      </c>
      <c r="AH2889" s="831" t="s">
        <v>231</v>
      </c>
      <c r="AI2889" s="831">
        <v>0</v>
      </c>
      <c r="AJ2889" s="835">
        <v>40724</v>
      </c>
      <c r="AK2889" s="831">
        <v>14750625</v>
      </c>
      <c r="AP2889" s="831" t="str">
        <f t="shared" si="136"/>
        <v/>
      </c>
    </row>
    <row r="2890" spans="2:42">
      <c r="B2890" s="834" t="str">
        <f t="shared" si="135"/>
        <v>|||</v>
      </c>
      <c r="H2890" s="835">
        <f t="shared" si="137"/>
        <v>31</v>
      </c>
      <c r="AF2890" s="831" t="s">
        <v>3547</v>
      </c>
      <c r="AG2890" s="831" t="s">
        <v>130</v>
      </c>
      <c r="AH2890" s="831" t="s">
        <v>232</v>
      </c>
      <c r="AI2890" s="831">
        <v>0</v>
      </c>
      <c r="AJ2890" s="835">
        <v>40724</v>
      </c>
      <c r="AK2890" s="831">
        <v>54099349</v>
      </c>
      <c r="AP2890" s="831" t="str">
        <f t="shared" si="136"/>
        <v/>
      </c>
    </row>
    <row r="2891" spans="2:42">
      <c r="B2891" s="834" t="str">
        <f t="shared" si="135"/>
        <v>|||</v>
      </c>
      <c r="H2891" s="835">
        <f t="shared" si="137"/>
        <v>31</v>
      </c>
      <c r="AF2891" s="831" t="s">
        <v>3548</v>
      </c>
      <c r="AG2891" s="831" t="s">
        <v>130</v>
      </c>
      <c r="AH2891" s="831" t="s">
        <v>116</v>
      </c>
      <c r="AI2891" s="831">
        <v>0</v>
      </c>
      <c r="AJ2891" s="835">
        <v>40724</v>
      </c>
      <c r="AK2891" s="831">
        <v>8032620</v>
      </c>
      <c r="AP2891" s="831" t="str">
        <f t="shared" si="136"/>
        <v/>
      </c>
    </row>
    <row r="2892" spans="2:42">
      <c r="B2892" s="834" t="str">
        <f t="shared" si="135"/>
        <v>|||</v>
      </c>
      <c r="H2892" s="835">
        <f t="shared" si="137"/>
        <v>31</v>
      </c>
      <c r="AF2892" s="831" t="s">
        <v>3549</v>
      </c>
      <c r="AG2892" s="831" t="s">
        <v>130</v>
      </c>
      <c r="AH2892" s="831" t="s">
        <v>234</v>
      </c>
      <c r="AI2892" s="831">
        <v>0</v>
      </c>
      <c r="AJ2892" s="835">
        <v>40724</v>
      </c>
      <c r="AK2892" s="831">
        <v>695590</v>
      </c>
      <c r="AP2892" s="831" t="str">
        <f t="shared" si="136"/>
        <v/>
      </c>
    </row>
    <row r="2893" spans="2:42">
      <c r="B2893" s="834" t="str">
        <f t="shared" si="135"/>
        <v>|||</v>
      </c>
      <c r="H2893" s="835">
        <f t="shared" si="137"/>
        <v>31</v>
      </c>
      <c r="AF2893" s="831" t="s">
        <v>3550</v>
      </c>
      <c r="AG2893" s="831" t="s">
        <v>130</v>
      </c>
      <c r="AH2893" s="831" t="s">
        <v>235</v>
      </c>
      <c r="AI2893" s="831">
        <v>0</v>
      </c>
      <c r="AJ2893" s="835">
        <v>40724</v>
      </c>
      <c r="AK2893" s="831">
        <v>2663559</v>
      </c>
      <c r="AP2893" s="831" t="str">
        <f t="shared" si="136"/>
        <v/>
      </c>
    </row>
    <row r="2894" spans="2:42">
      <c r="B2894" s="834" t="str">
        <f t="shared" si="135"/>
        <v>|||</v>
      </c>
      <c r="H2894" s="835">
        <f t="shared" si="137"/>
        <v>31</v>
      </c>
      <c r="AF2894" s="831" t="s">
        <v>3551</v>
      </c>
      <c r="AG2894" s="831" t="s">
        <v>130</v>
      </c>
      <c r="AH2894" s="831" t="s">
        <v>238</v>
      </c>
      <c r="AI2894" s="831">
        <v>0</v>
      </c>
      <c r="AJ2894" s="835">
        <v>40724</v>
      </c>
      <c r="AK2894" s="831">
        <v>0</v>
      </c>
      <c r="AP2894" s="831" t="str">
        <f t="shared" si="136"/>
        <v/>
      </c>
    </row>
    <row r="2895" spans="2:42">
      <c r="B2895" s="834" t="str">
        <f t="shared" si="135"/>
        <v>|||</v>
      </c>
      <c r="H2895" s="835">
        <f t="shared" si="137"/>
        <v>31</v>
      </c>
      <c r="AF2895" s="831" t="s">
        <v>3552</v>
      </c>
      <c r="AG2895" s="831" t="s">
        <v>130</v>
      </c>
      <c r="AH2895" s="831" t="s">
        <v>240</v>
      </c>
      <c r="AI2895" s="831">
        <v>0</v>
      </c>
      <c r="AJ2895" s="835">
        <v>40724</v>
      </c>
      <c r="AK2895" s="831">
        <v>67800000</v>
      </c>
      <c r="AP2895" s="831" t="str">
        <f t="shared" si="136"/>
        <v/>
      </c>
    </row>
    <row r="2896" spans="2:42">
      <c r="B2896" s="834" t="str">
        <f t="shared" si="135"/>
        <v>|||</v>
      </c>
      <c r="H2896" s="835">
        <f t="shared" si="137"/>
        <v>31</v>
      </c>
      <c r="AF2896" s="831" t="s">
        <v>3553</v>
      </c>
      <c r="AG2896" s="831" t="s">
        <v>130</v>
      </c>
      <c r="AH2896" s="831" t="s">
        <v>241</v>
      </c>
      <c r="AI2896" s="831">
        <v>0</v>
      </c>
      <c r="AJ2896" s="835">
        <v>40724</v>
      </c>
      <c r="AK2896" s="831">
        <v>0</v>
      </c>
      <c r="AP2896" s="831" t="str">
        <f t="shared" si="136"/>
        <v/>
      </c>
    </row>
    <row r="2897" spans="2:42">
      <c r="B2897" s="834" t="str">
        <f t="shared" si="135"/>
        <v>|||</v>
      </c>
      <c r="H2897" s="835">
        <f t="shared" si="137"/>
        <v>31</v>
      </c>
      <c r="AF2897" s="831" t="s">
        <v>3554</v>
      </c>
      <c r="AG2897" s="831" t="s">
        <v>130</v>
      </c>
      <c r="AH2897" s="831" t="s">
        <v>242</v>
      </c>
      <c r="AI2897" s="831">
        <v>0</v>
      </c>
      <c r="AJ2897" s="835">
        <v>40724</v>
      </c>
      <c r="AK2897" s="831">
        <v>0</v>
      </c>
      <c r="AP2897" s="831" t="str">
        <f t="shared" si="136"/>
        <v/>
      </c>
    </row>
    <row r="2898" spans="2:42">
      <c r="B2898" s="834" t="str">
        <f t="shared" si="135"/>
        <v>|||</v>
      </c>
      <c r="H2898" s="835">
        <f t="shared" si="137"/>
        <v>31</v>
      </c>
      <c r="AF2898" s="831" t="s">
        <v>3555</v>
      </c>
      <c r="AG2898" s="831" t="s">
        <v>130</v>
      </c>
      <c r="AH2898" s="831" t="s">
        <v>244</v>
      </c>
      <c r="AI2898" s="831">
        <v>0</v>
      </c>
      <c r="AJ2898" s="835">
        <v>40724</v>
      </c>
      <c r="AK2898" s="831">
        <v>6654924</v>
      </c>
      <c r="AP2898" s="831" t="str">
        <f t="shared" si="136"/>
        <v/>
      </c>
    </row>
    <row r="2899" spans="2:42">
      <c r="B2899" s="834" t="str">
        <f t="shared" si="135"/>
        <v>|||</v>
      </c>
      <c r="H2899" s="835">
        <f t="shared" si="137"/>
        <v>31</v>
      </c>
      <c r="AF2899" s="831" t="s">
        <v>3556</v>
      </c>
      <c r="AG2899" s="831" t="s">
        <v>130</v>
      </c>
      <c r="AH2899" s="831" t="s">
        <v>245</v>
      </c>
      <c r="AI2899" s="831">
        <v>0</v>
      </c>
      <c r="AJ2899" s="835">
        <v>40724</v>
      </c>
      <c r="AK2899" s="831">
        <v>8423121</v>
      </c>
      <c r="AP2899" s="831" t="str">
        <f t="shared" si="136"/>
        <v/>
      </c>
    </row>
    <row r="2900" spans="2:42">
      <c r="B2900" s="834" t="str">
        <f t="shared" si="135"/>
        <v>|||</v>
      </c>
      <c r="H2900" s="835">
        <f t="shared" si="137"/>
        <v>31</v>
      </c>
      <c r="AF2900" s="831" t="s">
        <v>3557</v>
      </c>
      <c r="AG2900" s="831" t="s">
        <v>130</v>
      </c>
      <c r="AH2900" s="831" t="s">
        <v>145</v>
      </c>
      <c r="AI2900" s="831">
        <v>0</v>
      </c>
      <c r="AJ2900" s="835">
        <v>40755</v>
      </c>
      <c r="AK2900" s="831">
        <v>31650633</v>
      </c>
      <c r="AP2900" s="831" t="str">
        <f t="shared" si="136"/>
        <v/>
      </c>
    </row>
    <row r="2901" spans="2:42">
      <c r="B2901" s="834" t="str">
        <f t="shared" si="135"/>
        <v>|||</v>
      </c>
      <c r="H2901" s="835">
        <f t="shared" si="137"/>
        <v>31</v>
      </c>
      <c r="AF2901" s="831" t="s">
        <v>3558</v>
      </c>
      <c r="AG2901" s="831" t="s">
        <v>130</v>
      </c>
      <c r="AH2901" s="831" t="s">
        <v>149</v>
      </c>
      <c r="AI2901" s="831">
        <v>0</v>
      </c>
      <c r="AJ2901" s="835">
        <v>40755</v>
      </c>
      <c r="AK2901" s="831">
        <v>0</v>
      </c>
      <c r="AP2901" s="831" t="str">
        <f t="shared" si="136"/>
        <v/>
      </c>
    </row>
    <row r="2902" spans="2:42">
      <c r="B2902" s="834" t="str">
        <f t="shared" si="135"/>
        <v>|||</v>
      </c>
      <c r="H2902" s="835">
        <f t="shared" si="137"/>
        <v>31</v>
      </c>
      <c r="AF2902" s="831" t="s">
        <v>3559</v>
      </c>
      <c r="AG2902" s="831" t="s">
        <v>130</v>
      </c>
      <c r="AH2902" s="831" t="s">
        <v>153</v>
      </c>
      <c r="AI2902" s="831">
        <v>0</v>
      </c>
      <c r="AJ2902" s="835">
        <v>40755</v>
      </c>
      <c r="AK2902" s="831">
        <v>18793425</v>
      </c>
      <c r="AP2902" s="831" t="str">
        <f t="shared" si="136"/>
        <v/>
      </c>
    </row>
    <row r="2903" spans="2:42">
      <c r="B2903" s="834" t="str">
        <f t="shared" si="135"/>
        <v>|||</v>
      </c>
      <c r="H2903" s="835">
        <f t="shared" si="137"/>
        <v>31</v>
      </c>
      <c r="AF2903" s="831" t="s">
        <v>3560</v>
      </c>
      <c r="AG2903" s="831" t="s">
        <v>130</v>
      </c>
      <c r="AH2903" s="831" t="s">
        <v>156</v>
      </c>
      <c r="AI2903" s="831">
        <v>0</v>
      </c>
      <c r="AJ2903" s="835">
        <v>40755</v>
      </c>
      <c r="AK2903" s="831">
        <v>0</v>
      </c>
      <c r="AP2903" s="831" t="str">
        <f t="shared" si="136"/>
        <v/>
      </c>
    </row>
    <row r="2904" spans="2:42">
      <c r="B2904" s="834" t="str">
        <f t="shared" si="135"/>
        <v>|||</v>
      </c>
      <c r="H2904" s="835">
        <f t="shared" si="137"/>
        <v>31</v>
      </c>
      <c r="AF2904" s="831" t="s">
        <v>3561</v>
      </c>
      <c r="AG2904" s="831" t="s">
        <v>130</v>
      </c>
      <c r="AH2904" s="831" t="s">
        <v>162</v>
      </c>
      <c r="AI2904" s="831">
        <v>0</v>
      </c>
      <c r="AJ2904" s="835">
        <v>40755</v>
      </c>
      <c r="AK2904" s="831">
        <v>278690620</v>
      </c>
      <c r="AP2904" s="831" t="str">
        <f t="shared" si="136"/>
        <v/>
      </c>
    </row>
    <row r="2905" spans="2:42">
      <c r="B2905" s="834" t="str">
        <f t="shared" si="135"/>
        <v>|||</v>
      </c>
      <c r="H2905" s="835">
        <f t="shared" si="137"/>
        <v>31</v>
      </c>
      <c r="AF2905" s="831" t="s">
        <v>3562</v>
      </c>
      <c r="AG2905" s="831" t="s">
        <v>130</v>
      </c>
      <c r="AH2905" s="831" t="s">
        <v>165</v>
      </c>
      <c r="AI2905" s="831">
        <v>0</v>
      </c>
      <c r="AJ2905" s="835">
        <v>40755</v>
      </c>
      <c r="AK2905" s="831">
        <v>-7502766</v>
      </c>
      <c r="AP2905" s="831" t="str">
        <f t="shared" si="136"/>
        <v/>
      </c>
    </row>
    <row r="2906" spans="2:42">
      <c r="B2906" s="834" t="str">
        <f t="shared" si="135"/>
        <v>|||</v>
      </c>
      <c r="H2906" s="835">
        <f t="shared" si="137"/>
        <v>31</v>
      </c>
      <c r="AF2906" s="831" t="s">
        <v>3563</v>
      </c>
      <c r="AG2906" s="831" t="s">
        <v>130</v>
      </c>
      <c r="AH2906" s="831" t="s">
        <v>171</v>
      </c>
      <c r="AI2906" s="831">
        <v>0</v>
      </c>
      <c r="AJ2906" s="835">
        <v>40755</v>
      </c>
      <c r="AK2906" s="831">
        <v>3220370</v>
      </c>
      <c r="AP2906" s="831" t="str">
        <f t="shared" si="136"/>
        <v/>
      </c>
    </row>
    <row r="2907" spans="2:42">
      <c r="B2907" s="834" t="str">
        <f t="shared" si="135"/>
        <v>|||</v>
      </c>
      <c r="H2907" s="835">
        <f t="shared" si="137"/>
        <v>31</v>
      </c>
      <c r="AF2907" s="831" t="s">
        <v>3564</v>
      </c>
      <c r="AG2907" s="831" t="s">
        <v>130</v>
      </c>
      <c r="AH2907" s="831" t="s">
        <v>174</v>
      </c>
      <c r="AI2907" s="831">
        <v>0</v>
      </c>
      <c r="AJ2907" s="835">
        <v>40755</v>
      </c>
      <c r="AK2907" s="831">
        <v>0</v>
      </c>
      <c r="AP2907" s="831" t="str">
        <f t="shared" si="136"/>
        <v/>
      </c>
    </row>
    <row r="2908" spans="2:42">
      <c r="B2908" s="834" t="str">
        <f t="shared" si="135"/>
        <v>|||</v>
      </c>
      <c r="H2908" s="835">
        <f t="shared" si="137"/>
        <v>31</v>
      </c>
      <c r="AF2908" s="831" t="s">
        <v>3565</v>
      </c>
      <c r="AG2908" s="831" t="s">
        <v>130</v>
      </c>
      <c r="AH2908" s="831" t="s">
        <v>181</v>
      </c>
      <c r="AI2908" s="831">
        <v>0</v>
      </c>
      <c r="AJ2908" s="835">
        <v>40755</v>
      </c>
      <c r="AK2908" s="831">
        <v>15717491</v>
      </c>
      <c r="AP2908" s="831" t="str">
        <f t="shared" si="136"/>
        <v/>
      </c>
    </row>
    <row r="2909" spans="2:42">
      <c r="B2909" s="834" t="str">
        <f t="shared" si="135"/>
        <v>|||</v>
      </c>
      <c r="H2909" s="835">
        <f t="shared" si="137"/>
        <v>31</v>
      </c>
      <c r="AF2909" s="831" t="s">
        <v>3566</v>
      </c>
      <c r="AG2909" s="831" t="s">
        <v>130</v>
      </c>
      <c r="AH2909" s="831" t="s">
        <v>184</v>
      </c>
      <c r="AI2909" s="831">
        <v>0</v>
      </c>
      <c r="AJ2909" s="835">
        <v>40755</v>
      </c>
      <c r="AK2909" s="831">
        <v>-6835170</v>
      </c>
      <c r="AP2909" s="831" t="str">
        <f t="shared" si="136"/>
        <v/>
      </c>
    </row>
    <row r="2910" spans="2:42">
      <c r="B2910" s="834" t="str">
        <f t="shared" si="135"/>
        <v>|||</v>
      </c>
      <c r="H2910" s="835">
        <f t="shared" si="137"/>
        <v>31</v>
      </c>
      <c r="AF2910" s="831" t="s">
        <v>3567</v>
      </c>
      <c r="AG2910" s="831" t="s">
        <v>130</v>
      </c>
      <c r="AH2910" s="831" t="s">
        <v>187</v>
      </c>
      <c r="AI2910" s="831">
        <v>0</v>
      </c>
      <c r="AJ2910" s="835">
        <v>40755</v>
      </c>
      <c r="AK2910" s="831">
        <v>0</v>
      </c>
      <c r="AP2910" s="831" t="str">
        <f t="shared" si="136"/>
        <v/>
      </c>
    </row>
    <row r="2911" spans="2:42">
      <c r="B2911" s="834" t="str">
        <f t="shared" si="135"/>
        <v>|||</v>
      </c>
      <c r="H2911" s="835">
        <f t="shared" si="137"/>
        <v>31</v>
      </c>
      <c r="AF2911" s="831" t="s">
        <v>3568</v>
      </c>
      <c r="AG2911" s="831" t="s">
        <v>130</v>
      </c>
      <c r="AH2911" s="831" t="s">
        <v>196</v>
      </c>
      <c r="AI2911" s="831">
        <v>0</v>
      </c>
      <c r="AJ2911" s="835">
        <v>40755</v>
      </c>
      <c r="AK2911" s="831">
        <v>1521420</v>
      </c>
      <c r="AP2911" s="831" t="str">
        <f t="shared" si="136"/>
        <v/>
      </c>
    </row>
    <row r="2912" spans="2:42">
      <c r="B2912" s="834" t="str">
        <f t="shared" si="135"/>
        <v>|||</v>
      </c>
      <c r="H2912" s="835">
        <f t="shared" si="137"/>
        <v>31</v>
      </c>
      <c r="AF2912" s="831" t="s">
        <v>3569</v>
      </c>
      <c r="AG2912" s="831" t="s">
        <v>130</v>
      </c>
      <c r="AH2912" s="831" t="s">
        <v>197</v>
      </c>
      <c r="AI2912" s="831">
        <v>0</v>
      </c>
      <c r="AJ2912" s="835">
        <v>40755</v>
      </c>
      <c r="AK2912" s="831">
        <v>0</v>
      </c>
      <c r="AP2912" s="831" t="str">
        <f t="shared" si="136"/>
        <v/>
      </c>
    </row>
    <row r="2913" spans="2:42">
      <c r="B2913" s="834" t="str">
        <f t="shared" si="135"/>
        <v>|||</v>
      </c>
      <c r="H2913" s="835">
        <f t="shared" si="137"/>
        <v>31</v>
      </c>
      <c r="AF2913" s="831" t="s">
        <v>3570</v>
      </c>
      <c r="AG2913" s="831" t="s">
        <v>130</v>
      </c>
      <c r="AH2913" s="831" t="s">
        <v>199</v>
      </c>
      <c r="AI2913" s="831">
        <v>0</v>
      </c>
      <c r="AJ2913" s="835">
        <v>40755</v>
      </c>
      <c r="AK2913" s="831">
        <v>0</v>
      </c>
      <c r="AP2913" s="831" t="str">
        <f t="shared" si="136"/>
        <v/>
      </c>
    </row>
    <row r="2914" spans="2:42">
      <c r="B2914" s="834" t="str">
        <f t="shared" si="135"/>
        <v>|||</v>
      </c>
      <c r="H2914" s="835">
        <f t="shared" si="137"/>
        <v>31</v>
      </c>
      <c r="AF2914" s="831" t="s">
        <v>3571</v>
      </c>
      <c r="AG2914" s="831" t="s">
        <v>130</v>
      </c>
      <c r="AH2914" s="831" t="s">
        <v>201</v>
      </c>
      <c r="AI2914" s="831">
        <v>0</v>
      </c>
      <c r="AJ2914" s="835">
        <v>40755</v>
      </c>
      <c r="AK2914" s="831">
        <v>24155531</v>
      </c>
      <c r="AP2914" s="831" t="str">
        <f t="shared" si="136"/>
        <v/>
      </c>
    </row>
    <row r="2915" spans="2:42">
      <c r="B2915" s="834" t="str">
        <f t="shared" si="135"/>
        <v>|||</v>
      </c>
      <c r="H2915" s="835">
        <f t="shared" si="137"/>
        <v>31</v>
      </c>
      <c r="AF2915" s="831" t="s">
        <v>3572</v>
      </c>
      <c r="AG2915" s="831" t="s">
        <v>130</v>
      </c>
      <c r="AH2915" s="831" t="s">
        <v>209</v>
      </c>
      <c r="AI2915" s="831">
        <v>0</v>
      </c>
      <c r="AJ2915" s="835">
        <v>40755</v>
      </c>
      <c r="AK2915" s="831">
        <v>21727339</v>
      </c>
      <c r="AP2915" s="831" t="str">
        <f t="shared" si="136"/>
        <v/>
      </c>
    </row>
    <row r="2916" spans="2:42">
      <c r="B2916" s="834" t="str">
        <f t="shared" si="135"/>
        <v>|||</v>
      </c>
      <c r="H2916" s="835">
        <f t="shared" si="137"/>
        <v>31</v>
      </c>
      <c r="AF2916" s="831" t="s">
        <v>3573</v>
      </c>
      <c r="AG2916" s="831" t="s">
        <v>130</v>
      </c>
      <c r="AH2916" s="831" t="s">
        <v>211</v>
      </c>
      <c r="AI2916" s="831">
        <v>0</v>
      </c>
      <c r="AJ2916" s="835">
        <v>40755</v>
      </c>
      <c r="AK2916" s="831">
        <v>106407982</v>
      </c>
      <c r="AP2916" s="831" t="str">
        <f t="shared" si="136"/>
        <v/>
      </c>
    </row>
    <row r="2917" spans="2:42">
      <c r="B2917" s="834" t="str">
        <f t="shared" si="135"/>
        <v>|||</v>
      </c>
      <c r="H2917" s="835">
        <f t="shared" si="137"/>
        <v>31</v>
      </c>
      <c r="AF2917" s="831" t="s">
        <v>3574</v>
      </c>
      <c r="AG2917" s="831" t="s">
        <v>130</v>
      </c>
      <c r="AH2917" s="831" t="s">
        <v>212</v>
      </c>
      <c r="AI2917" s="831">
        <v>0</v>
      </c>
      <c r="AJ2917" s="835">
        <v>40755</v>
      </c>
      <c r="AK2917" s="831">
        <v>5430419</v>
      </c>
      <c r="AP2917" s="831" t="str">
        <f t="shared" si="136"/>
        <v/>
      </c>
    </row>
    <row r="2918" spans="2:42">
      <c r="B2918" s="834" t="str">
        <f t="shared" si="135"/>
        <v>|||</v>
      </c>
      <c r="H2918" s="835">
        <f t="shared" si="137"/>
        <v>31</v>
      </c>
      <c r="AF2918" s="831" t="s">
        <v>3575</v>
      </c>
      <c r="AG2918" s="831" t="s">
        <v>130</v>
      </c>
      <c r="AH2918" s="831" t="s">
        <v>216</v>
      </c>
      <c r="AI2918" s="831">
        <v>0</v>
      </c>
      <c r="AJ2918" s="835">
        <v>40755</v>
      </c>
      <c r="AK2918" s="831">
        <v>0</v>
      </c>
      <c r="AP2918" s="831" t="str">
        <f t="shared" si="136"/>
        <v/>
      </c>
    </row>
    <row r="2919" spans="2:42">
      <c r="B2919" s="834" t="str">
        <f t="shared" si="135"/>
        <v>|||</v>
      </c>
      <c r="H2919" s="835">
        <f t="shared" si="137"/>
        <v>31</v>
      </c>
      <c r="AF2919" s="831" t="s">
        <v>3576</v>
      </c>
      <c r="AG2919" s="831" t="s">
        <v>130</v>
      </c>
      <c r="AH2919" s="831" t="s">
        <v>218</v>
      </c>
      <c r="AI2919" s="831">
        <v>0</v>
      </c>
      <c r="AJ2919" s="835">
        <v>40755</v>
      </c>
      <c r="AK2919" s="831">
        <v>61042570</v>
      </c>
      <c r="AP2919" s="831" t="str">
        <f t="shared" si="136"/>
        <v/>
      </c>
    </row>
    <row r="2920" spans="2:42">
      <c r="B2920" s="834" t="str">
        <f t="shared" si="135"/>
        <v>|||</v>
      </c>
      <c r="H2920" s="835">
        <f t="shared" si="137"/>
        <v>31</v>
      </c>
      <c r="AF2920" s="831" t="s">
        <v>3577</v>
      </c>
      <c r="AG2920" s="831" t="s">
        <v>130</v>
      </c>
      <c r="AH2920" s="831" t="s">
        <v>220</v>
      </c>
      <c r="AI2920" s="831">
        <v>0</v>
      </c>
      <c r="AJ2920" s="835">
        <v>40755</v>
      </c>
      <c r="AK2920" s="831">
        <v>0</v>
      </c>
      <c r="AP2920" s="831" t="str">
        <f t="shared" si="136"/>
        <v/>
      </c>
    </row>
    <row r="2921" spans="2:42">
      <c r="B2921" s="834" t="str">
        <f t="shared" si="135"/>
        <v>|||</v>
      </c>
      <c r="H2921" s="835">
        <f t="shared" si="137"/>
        <v>31</v>
      </c>
      <c r="AF2921" s="831" t="s">
        <v>3578</v>
      </c>
      <c r="AG2921" s="831" t="s">
        <v>130</v>
      </c>
      <c r="AH2921" s="831" t="s">
        <v>221</v>
      </c>
      <c r="AI2921" s="831">
        <v>0</v>
      </c>
      <c r="AJ2921" s="835">
        <v>40755</v>
      </c>
      <c r="AK2921" s="831">
        <v>1593224</v>
      </c>
      <c r="AP2921" s="831" t="str">
        <f t="shared" si="136"/>
        <v/>
      </c>
    </row>
    <row r="2922" spans="2:42">
      <c r="B2922" s="834" t="str">
        <f t="shared" si="135"/>
        <v>|||</v>
      </c>
      <c r="H2922" s="835">
        <f t="shared" si="137"/>
        <v>31</v>
      </c>
      <c r="AF2922" s="831" t="s">
        <v>3579</v>
      </c>
      <c r="AG2922" s="831" t="s">
        <v>130</v>
      </c>
      <c r="AH2922" s="831" t="s">
        <v>228</v>
      </c>
      <c r="AI2922" s="831">
        <v>0</v>
      </c>
      <c r="AJ2922" s="835">
        <v>40755</v>
      </c>
      <c r="AK2922" s="831">
        <v>0</v>
      </c>
      <c r="AP2922" s="831" t="str">
        <f t="shared" si="136"/>
        <v/>
      </c>
    </row>
    <row r="2923" spans="2:42">
      <c r="B2923" s="834" t="str">
        <f t="shared" si="135"/>
        <v>|||</v>
      </c>
      <c r="H2923" s="835">
        <f t="shared" si="137"/>
        <v>31</v>
      </c>
      <c r="AF2923" s="831" t="s">
        <v>3580</v>
      </c>
      <c r="AG2923" s="831" t="s">
        <v>130</v>
      </c>
      <c r="AH2923" s="831" t="s">
        <v>230</v>
      </c>
      <c r="AI2923" s="831">
        <v>0</v>
      </c>
      <c r="AJ2923" s="835">
        <v>40755</v>
      </c>
      <c r="AK2923" s="831">
        <v>0</v>
      </c>
      <c r="AP2923" s="831" t="str">
        <f t="shared" si="136"/>
        <v/>
      </c>
    </row>
    <row r="2924" spans="2:42">
      <c r="B2924" s="834" t="str">
        <f t="shared" si="135"/>
        <v>|||</v>
      </c>
      <c r="H2924" s="835">
        <f t="shared" si="137"/>
        <v>31</v>
      </c>
      <c r="AF2924" s="831" t="s">
        <v>3581</v>
      </c>
      <c r="AG2924" s="831" t="s">
        <v>130</v>
      </c>
      <c r="AH2924" s="831" t="s">
        <v>231</v>
      </c>
      <c r="AI2924" s="831">
        <v>0</v>
      </c>
      <c r="AJ2924" s="835">
        <v>40755</v>
      </c>
      <c r="AK2924" s="831">
        <v>14748750</v>
      </c>
      <c r="AP2924" s="831" t="str">
        <f t="shared" si="136"/>
        <v/>
      </c>
    </row>
    <row r="2925" spans="2:42">
      <c r="B2925" s="834" t="str">
        <f t="shared" si="135"/>
        <v>|||</v>
      </c>
      <c r="H2925" s="835">
        <f t="shared" si="137"/>
        <v>31</v>
      </c>
      <c r="AF2925" s="831" t="s">
        <v>3582</v>
      </c>
      <c r="AG2925" s="831" t="s">
        <v>130</v>
      </c>
      <c r="AH2925" s="831" t="s">
        <v>232</v>
      </c>
      <c r="AI2925" s="831">
        <v>0</v>
      </c>
      <c r="AJ2925" s="835">
        <v>40755</v>
      </c>
      <c r="AK2925" s="831">
        <v>52126862</v>
      </c>
      <c r="AP2925" s="831" t="str">
        <f t="shared" si="136"/>
        <v/>
      </c>
    </row>
    <row r="2926" spans="2:42">
      <c r="B2926" s="834" t="str">
        <f t="shared" si="135"/>
        <v>|||</v>
      </c>
      <c r="H2926" s="835">
        <f t="shared" si="137"/>
        <v>31</v>
      </c>
      <c r="AF2926" s="831" t="s">
        <v>3583</v>
      </c>
      <c r="AG2926" s="831" t="s">
        <v>130</v>
      </c>
      <c r="AH2926" s="831" t="s">
        <v>116</v>
      </c>
      <c r="AI2926" s="831">
        <v>0</v>
      </c>
      <c r="AJ2926" s="835">
        <v>40755</v>
      </c>
      <c r="AK2926" s="831">
        <v>8031595</v>
      </c>
      <c r="AP2926" s="831" t="str">
        <f t="shared" si="136"/>
        <v/>
      </c>
    </row>
    <row r="2927" spans="2:42">
      <c r="B2927" s="834" t="str">
        <f t="shared" si="135"/>
        <v>|||</v>
      </c>
      <c r="H2927" s="835">
        <f t="shared" si="137"/>
        <v>31</v>
      </c>
      <c r="AF2927" s="831" t="s">
        <v>3584</v>
      </c>
      <c r="AG2927" s="831" t="s">
        <v>130</v>
      </c>
      <c r="AH2927" s="831" t="s">
        <v>234</v>
      </c>
      <c r="AI2927" s="831">
        <v>0</v>
      </c>
      <c r="AJ2927" s="835">
        <v>40755</v>
      </c>
      <c r="AK2927" s="831">
        <v>686570</v>
      </c>
      <c r="AP2927" s="831" t="str">
        <f t="shared" si="136"/>
        <v/>
      </c>
    </row>
    <row r="2928" spans="2:42">
      <c r="B2928" s="834" t="str">
        <f t="shared" si="135"/>
        <v>|||</v>
      </c>
      <c r="H2928" s="835">
        <f t="shared" si="137"/>
        <v>31</v>
      </c>
      <c r="AF2928" s="831" t="s">
        <v>3585</v>
      </c>
      <c r="AG2928" s="831" t="s">
        <v>130</v>
      </c>
      <c r="AH2928" s="831" t="s">
        <v>235</v>
      </c>
      <c r="AI2928" s="831">
        <v>0</v>
      </c>
      <c r="AJ2928" s="835">
        <v>40755</v>
      </c>
      <c r="AK2928" s="831">
        <v>2686232</v>
      </c>
      <c r="AP2928" s="831" t="str">
        <f t="shared" si="136"/>
        <v/>
      </c>
    </row>
    <row r="2929" spans="2:42">
      <c r="B2929" s="834" t="str">
        <f t="shared" si="135"/>
        <v>|||</v>
      </c>
      <c r="H2929" s="835">
        <f t="shared" si="137"/>
        <v>31</v>
      </c>
      <c r="AF2929" s="831" t="s">
        <v>3586</v>
      </c>
      <c r="AG2929" s="831" t="s">
        <v>130</v>
      </c>
      <c r="AH2929" s="831" t="s">
        <v>238</v>
      </c>
      <c r="AI2929" s="831">
        <v>0</v>
      </c>
      <c r="AJ2929" s="835">
        <v>40755</v>
      </c>
      <c r="AK2929" s="831">
        <v>0</v>
      </c>
      <c r="AP2929" s="831" t="str">
        <f t="shared" si="136"/>
        <v/>
      </c>
    </row>
    <row r="2930" spans="2:42">
      <c r="B2930" s="834" t="str">
        <f t="shared" si="135"/>
        <v>|||</v>
      </c>
      <c r="H2930" s="835">
        <f t="shared" si="137"/>
        <v>31</v>
      </c>
      <c r="AF2930" s="831" t="s">
        <v>3587</v>
      </c>
      <c r="AG2930" s="831" t="s">
        <v>130</v>
      </c>
      <c r="AH2930" s="831" t="s">
        <v>240</v>
      </c>
      <c r="AI2930" s="831">
        <v>0</v>
      </c>
      <c r="AJ2930" s="835">
        <v>40755</v>
      </c>
      <c r="AK2930" s="831">
        <v>67800000</v>
      </c>
      <c r="AP2930" s="831" t="str">
        <f t="shared" si="136"/>
        <v/>
      </c>
    </row>
    <row r="2931" spans="2:42">
      <c r="B2931" s="834" t="str">
        <f t="shared" si="135"/>
        <v>|||</v>
      </c>
      <c r="H2931" s="835">
        <f t="shared" si="137"/>
        <v>31</v>
      </c>
      <c r="AF2931" s="831" t="s">
        <v>3588</v>
      </c>
      <c r="AG2931" s="831" t="s">
        <v>130</v>
      </c>
      <c r="AH2931" s="831" t="s">
        <v>241</v>
      </c>
      <c r="AI2931" s="831">
        <v>0</v>
      </c>
      <c r="AJ2931" s="835">
        <v>40755</v>
      </c>
      <c r="AK2931" s="831">
        <v>0</v>
      </c>
      <c r="AP2931" s="831" t="str">
        <f t="shared" si="136"/>
        <v/>
      </c>
    </row>
    <row r="2932" spans="2:42">
      <c r="B2932" s="834" t="str">
        <f t="shared" si="135"/>
        <v>|||</v>
      </c>
      <c r="H2932" s="835">
        <f t="shared" si="137"/>
        <v>31</v>
      </c>
      <c r="AF2932" s="831" t="s">
        <v>3589</v>
      </c>
      <c r="AG2932" s="831" t="s">
        <v>130</v>
      </c>
      <c r="AH2932" s="831" t="s">
        <v>242</v>
      </c>
      <c r="AI2932" s="831">
        <v>0</v>
      </c>
      <c r="AJ2932" s="835">
        <v>40755</v>
      </c>
      <c r="AK2932" s="831">
        <v>0</v>
      </c>
      <c r="AP2932" s="831" t="str">
        <f t="shared" si="136"/>
        <v/>
      </c>
    </row>
    <row r="2933" spans="2:42">
      <c r="B2933" s="834" t="str">
        <f t="shared" si="135"/>
        <v>|||</v>
      </c>
      <c r="H2933" s="835">
        <f t="shared" si="137"/>
        <v>31</v>
      </c>
      <c r="AF2933" s="831" t="s">
        <v>3590</v>
      </c>
      <c r="AG2933" s="831" t="s">
        <v>130</v>
      </c>
      <c r="AH2933" s="831" t="s">
        <v>244</v>
      </c>
      <c r="AI2933" s="831">
        <v>0</v>
      </c>
      <c r="AJ2933" s="835">
        <v>40755</v>
      </c>
      <c r="AK2933" s="831">
        <v>6654924</v>
      </c>
      <c r="AP2933" s="831" t="str">
        <f t="shared" si="136"/>
        <v/>
      </c>
    </row>
    <row r="2934" spans="2:42">
      <c r="B2934" s="834" t="str">
        <f t="shared" si="135"/>
        <v>|||</v>
      </c>
      <c r="H2934" s="835">
        <f t="shared" si="137"/>
        <v>31</v>
      </c>
      <c r="AF2934" s="831" t="s">
        <v>3591</v>
      </c>
      <c r="AG2934" s="831" t="s">
        <v>130</v>
      </c>
      <c r="AH2934" s="831" t="s">
        <v>245</v>
      </c>
      <c r="AI2934" s="831">
        <v>0</v>
      </c>
      <c r="AJ2934" s="835">
        <v>40755</v>
      </c>
      <c r="AK2934" s="831">
        <v>10475087</v>
      </c>
      <c r="AP2934" s="831" t="str">
        <f t="shared" si="136"/>
        <v/>
      </c>
    </row>
    <row r="2935" spans="2:42">
      <c r="B2935" s="834" t="str">
        <f t="shared" si="135"/>
        <v>|||</v>
      </c>
      <c r="H2935" s="835">
        <f t="shared" si="137"/>
        <v>31</v>
      </c>
      <c r="AF2935" s="831" t="s">
        <v>3592</v>
      </c>
      <c r="AG2935" s="831" t="s">
        <v>130</v>
      </c>
      <c r="AH2935" s="831" t="s">
        <v>145</v>
      </c>
      <c r="AI2935" s="831">
        <v>0</v>
      </c>
      <c r="AJ2935" s="835">
        <v>40786</v>
      </c>
      <c r="AK2935" s="831">
        <v>36607605</v>
      </c>
      <c r="AP2935" s="831" t="str">
        <f t="shared" si="136"/>
        <v/>
      </c>
    </row>
    <row r="2936" spans="2:42">
      <c r="B2936" s="834" t="str">
        <f t="shared" si="135"/>
        <v>|||</v>
      </c>
      <c r="H2936" s="835">
        <f t="shared" si="137"/>
        <v>31</v>
      </c>
      <c r="AF2936" s="831" t="s">
        <v>3593</v>
      </c>
      <c r="AG2936" s="831" t="s">
        <v>130</v>
      </c>
      <c r="AH2936" s="831" t="s">
        <v>149</v>
      </c>
      <c r="AI2936" s="831">
        <v>0</v>
      </c>
      <c r="AJ2936" s="835">
        <v>40786</v>
      </c>
      <c r="AK2936" s="831">
        <v>0</v>
      </c>
      <c r="AP2936" s="831" t="str">
        <f t="shared" si="136"/>
        <v/>
      </c>
    </row>
    <row r="2937" spans="2:42">
      <c r="B2937" s="834" t="str">
        <f t="shared" si="135"/>
        <v>|||</v>
      </c>
      <c r="H2937" s="835">
        <f t="shared" si="137"/>
        <v>31</v>
      </c>
      <c r="AF2937" s="831" t="s">
        <v>3594</v>
      </c>
      <c r="AG2937" s="831" t="s">
        <v>130</v>
      </c>
      <c r="AH2937" s="831" t="s">
        <v>153</v>
      </c>
      <c r="AI2937" s="831">
        <v>0</v>
      </c>
      <c r="AJ2937" s="835">
        <v>40786</v>
      </c>
      <c r="AK2937" s="831">
        <v>15308967</v>
      </c>
      <c r="AP2937" s="831" t="str">
        <f t="shared" si="136"/>
        <v/>
      </c>
    </row>
    <row r="2938" spans="2:42">
      <c r="B2938" s="834" t="str">
        <f t="shared" si="135"/>
        <v>|||</v>
      </c>
      <c r="H2938" s="835">
        <f t="shared" si="137"/>
        <v>31</v>
      </c>
      <c r="AF2938" s="831" t="s">
        <v>3595</v>
      </c>
      <c r="AG2938" s="831" t="s">
        <v>130</v>
      </c>
      <c r="AH2938" s="831" t="s">
        <v>156</v>
      </c>
      <c r="AI2938" s="831">
        <v>0</v>
      </c>
      <c r="AJ2938" s="835">
        <v>40786</v>
      </c>
      <c r="AK2938" s="831">
        <v>0</v>
      </c>
      <c r="AP2938" s="831" t="str">
        <f t="shared" si="136"/>
        <v/>
      </c>
    </row>
    <row r="2939" spans="2:42">
      <c r="B2939" s="834" t="str">
        <f t="shared" si="135"/>
        <v>|||</v>
      </c>
      <c r="H2939" s="835">
        <f t="shared" si="137"/>
        <v>31</v>
      </c>
      <c r="AF2939" s="831" t="s">
        <v>3596</v>
      </c>
      <c r="AG2939" s="831" t="s">
        <v>130</v>
      </c>
      <c r="AH2939" s="831" t="s">
        <v>162</v>
      </c>
      <c r="AI2939" s="831">
        <v>0</v>
      </c>
      <c r="AJ2939" s="835">
        <v>40786</v>
      </c>
      <c r="AK2939" s="831">
        <v>282472612</v>
      </c>
      <c r="AP2939" s="831" t="str">
        <f t="shared" si="136"/>
        <v/>
      </c>
    </row>
    <row r="2940" spans="2:42">
      <c r="B2940" s="834" t="str">
        <f t="shared" si="135"/>
        <v>|||</v>
      </c>
      <c r="H2940" s="835">
        <f t="shared" si="137"/>
        <v>31</v>
      </c>
      <c r="AF2940" s="831" t="s">
        <v>3597</v>
      </c>
      <c r="AG2940" s="831" t="s">
        <v>130</v>
      </c>
      <c r="AH2940" s="831" t="s">
        <v>165</v>
      </c>
      <c r="AI2940" s="831">
        <v>0</v>
      </c>
      <c r="AJ2940" s="835">
        <v>40786</v>
      </c>
      <c r="AK2940" s="831">
        <v>-7686317</v>
      </c>
      <c r="AP2940" s="831" t="str">
        <f t="shared" si="136"/>
        <v/>
      </c>
    </row>
    <row r="2941" spans="2:42">
      <c r="B2941" s="834" t="str">
        <f t="shared" si="135"/>
        <v>|||</v>
      </c>
      <c r="H2941" s="835">
        <f t="shared" si="137"/>
        <v>31</v>
      </c>
      <c r="AF2941" s="831" t="s">
        <v>3598</v>
      </c>
      <c r="AG2941" s="831" t="s">
        <v>130</v>
      </c>
      <c r="AH2941" s="831" t="s">
        <v>171</v>
      </c>
      <c r="AI2941" s="831">
        <v>0</v>
      </c>
      <c r="AJ2941" s="835">
        <v>40786</v>
      </c>
      <c r="AK2941" s="831">
        <v>2828981</v>
      </c>
      <c r="AP2941" s="831" t="str">
        <f t="shared" si="136"/>
        <v/>
      </c>
    </row>
    <row r="2942" spans="2:42">
      <c r="B2942" s="834" t="str">
        <f t="shared" si="135"/>
        <v>|||</v>
      </c>
      <c r="H2942" s="835">
        <f t="shared" si="137"/>
        <v>31</v>
      </c>
      <c r="AF2942" s="831" t="s">
        <v>3599</v>
      </c>
      <c r="AG2942" s="831" t="s">
        <v>130</v>
      </c>
      <c r="AH2942" s="831" t="s">
        <v>174</v>
      </c>
      <c r="AI2942" s="831">
        <v>0</v>
      </c>
      <c r="AJ2942" s="835">
        <v>40786</v>
      </c>
      <c r="AK2942" s="831">
        <v>0</v>
      </c>
      <c r="AP2942" s="831" t="str">
        <f t="shared" si="136"/>
        <v/>
      </c>
    </row>
    <row r="2943" spans="2:42">
      <c r="B2943" s="834" t="str">
        <f t="shared" si="135"/>
        <v>|||</v>
      </c>
      <c r="H2943" s="835">
        <f t="shared" si="137"/>
        <v>31</v>
      </c>
      <c r="AF2943" s="831" t="s">
        <v>3600</v>
      </c>
      <c r="AG2943" s="831" t="s">
        <v>130</v>
      </c>
      <c r="AH2943" s="831" t="s">
        <v>181</v>
      </c>
      <c r="AI2943" s="831">
        <v>0</v>
      </c>
      <c r="AJ2943" s="835">
        <v>40786</v>
      </c>
      <c r="AK2943" s="831">
        <v>15876330</v>
      </c>
      <c r="AP2943" s="831" t="str">
        <f t="shared" si="136"/>
        <v/>
      </c>
    </row>
    <row r="2944" spans="2:42">
      <c r="B2944" s="834" t="str">
        <f t="shared" si="135"/>
        <v>|||</v>
      </c>
      <c r="H2944" s="835">
        <f t="shared" si="137"/>
        <v>31</v>
      </c>
      <c r="AF2944" s="831" t="s">
        <v>3601</v>
      </c>
      <c r="AG2944" s="831" t="s">
        <v>130</v>
      </c>
      <c r="AH2944" s="831" t="s">
        <v>184</v>
      </c>
      <c r="AI2944" s="831">
        <v>0</v>
      </c>
      <c r="AJ2944" s="835">
        <v>40786</v>
      </c>
      <c r="AK2944" s="831">
        <v>-7101150</v>
      </c>
      <c r="AP2944" s="831" t="str">
        <f t="shared" si="136"/>
        <v/>
      </c>
    </row>
    <row r="2945" spans="2:42">
      <c r="B2945" s="834" t="str">
        <f t="shared" si="135"/>
        <v>|||</v>
      </c>
      <c r="H2945" s="835">
        <f t="shared" si="137"/>
        <v>31</v>
      </c>
      <c r="AF2945" s="831" t="s">
        <v>3602</v>
      </c>
      <c r="AG2945" s="831" t="s">
        <v>130</v>
      </c>
      <c r="AH2945" s="831" t="s">
        <v>187</v>
      </c>
      <c r="AI2945" s="831">
        <v>0</v>
      </c>
      <c r="AJ2945" s="835">
        <v>40786</v>
      </c>
      <c r="AK2945" s="831">
        <v>0</v>
      </c>
      <c r="AP2945" s="831" t="str">
        <f t="shared" si="136"/>
        <v/>
      </c>
    </row>
    <row r="2946" spans="2:42">
      <c r="B2946" s="834" t="str">
        <f t="shared" si="135"/>
        <v>|||</v>
      </c>
      <c r="H2946" s="835">
        <f t="shared" si="137"/>
        <v>31</v>
      </c>
      <c r="AF2946" s="831" t="s">
        <v>3603</v>
      </c>
      <c r="AG2946" s="831" t="s">
        <v>130</v>
      </c>
      <c r="AH2946" s="831" t="s">
        <v>196</v>
      </c>
      <c r="AI2946" s="831">
        <v>0</v>
      </c>
      <c r="AJ2946" s="835">
        <v>40786</v>
      </c>
      <c r="AK2946" s="831">
        <v>3034900</v>
      </c>
      <c r="AP2946" s="831" t="str">
        <f t="shared" si="136"/>
        <v/>
      </c>
    </row>
    <row r="2947" spans="2:42">
      <c r="B2947" s="834" t="str">
        <f t="shared" ref="B2947:B3010" si="138">C2947&amp;"|"&amp;D2947&amp;"|"&amp;E2947&amp;"|"&amp;F2947</f>
        <v>|||</v>
      </c>
      <c r="H2947" s="835">
        <f t="shared" si="137"/>
        <v>31</v>
      </c>
      <c r="AF2947" s="831" t="s">
        <v>3604</v>
      </c>
      <c r="AG2947" s="831" t="s">
        <v>130</v>
      </c>
      <c r="AH2947" s="831" t="s">
        <v>197</v>
      </c>
      <c r="AI2947" s="831">
        <v>0</v>
      </c>
      <c r="AJ2947" s="835">
        <v>40786</v>
      </c>
      <c r="AK2947" s="831">
        <v>0</v>
      </c>
      <c r="AP2947" s="831" t="str">
        <f t="shared" ref="AP2947:AP3010" si="139">IF(AX2947&lt;&gt;"",IF(OR(AX2947=3,AX2947=4),"Equity","Debt"),"")</f>
        <v/>
      </c>
    </row>
    <row r="2948" spans="2:42">
      <c r="B2948" s="834" t="str">
        <f t="shared" si="138"/>
        <v>|||</v>
      </c>
      <c r="H2948" s="835">
        <f t="shared" ref="H2948:H3011" si="140">EOMONTH(L2948,0)</f>
        <v>31</v>
      </c>
      <c r="AF2948" s="831" t="s">
        <v>3605</v>
      </c>
      <c r="AG2948" s="831" t="s">
        <v>130</v>
      </c>
      <c r="AH2948" s="831" t="s">
        <v>199</v>
      </c>
      <c r="AI2948" s="831">
        <v>0</v>
      </c>
      <c r="AJ2948" s="835">
        <v>40786</v>
      </c>
      <c r="AK2948" s="831">
        <v>0</v>
      </c>
      <c r="AP2948" s="831" t="str">
        <f t="shared" si="139"/>
        <v/>
      </c>
    </row>
    <row r="2949" spans="2:42">
      <c r="B2949" s="834" t="str">
        <f t="shared" si="138"/>
        <v>|||</v>
      </c>
      <c r="H2949" s="835">
        <f t="shared" si="140"/>
        <v>31</v>
      </c>
      <c r="AF2949" s="831" t="s">
        <v>3606</v>
      </c>
      <c r="AG2949" s="831" t="s">
        <v>130</v>
      </c>
      <c r="AH2949" s="831" t="s">
        <v>201</v>
      </c>
      <c r="AI2949" s="831">
        <v>0</v>
      </c>
      <c r="AJ2949" s="835">
        <v>40786</v>
      </c>
      <c r="AK2949" s="831">
        <v>24647632</v>
      </c>
      <c r="AP2949" s="831" t="str">
        <f t="shared" si="139"/>
        <v/>
      </c>
    </row>
    <row r="2950" spans="2:42">
      <c r="B2950" s="834" t="str">
        <f t="shared" si="138"/>
        <v>|||</v>
      </c>
      <c r="H2950" s="835">
        <f t="shared" si="140"/>
        <v>31</v>
      </c>
      <c r="AF2950" s="831" t="s">
        <v>3607</v>
      </c>
      <c r="AG2950" s="831" t="s">
        <v>130</v>
      </c>
      <c r="AH2950" s="831" t="s">
        <v>209</v>
      </c>
      <c r="AI2950" s="831">
        <v>0</v>
      </c>
      <c r="AJ2950" s="835">
        <v>40786</v>
      </c>
      <c r="AK2950" s="831">
        <v>20242948</v>
      </c>
      <c r="AP2950" s="831" t="str">
        <f t="shared" si="139"/>
        <v/>
      </c>
    </row>
    <row r="2951" spans="2:42">
      <c r="B2951" s="834" t="str">
        <f t="shared" si="138"/>
        <v>|||</v>
      </c>
      <c r="H2951" s="835">
        <f t="shared" si="140"/>
        <v>31</v>
      </c>
      <c r="AF2951" s="831" t="s">
        <v>3608</v>
      </c>
      <c r="AG2951" s="831" t="s">
        <v>130</v>
      </c>
      <c r="AH2951" s="831" t="s">
        <v>211</v>
      </c>
      <c r="AI2951" s="831">
        <v>0</v>
      </c>
      <c r="AJ2951" s="835">
        <v>40786</v>
      </c>
      <c r="AK2951" s="831">
        <v>111137543</v>
      </c>
      <c r="AP2951" s="831" t="str">
        <f t="shared" si="139"/>
        <v/>
      </c>
    </row>
    <row r="2952" spans="2:42">
      <c r="B2952" s="834" t="str">
        <f t="shared" si="138"/>
        <v>|||</v>
      </c>
      <c r="H2952" s="835">
        <f t="shared" si="140"/>
        <v>31</v>
      </c>
      <c r="AF2952" s="831" t="s">
        <v>3609</v>
      </c>
      <c r="AG2952" s="831" t="s">
        <v>130</v>
      </c>
      <c r="AH2952" s="831" t="s">
        <v>212</v>
      </c>
      <c r="AI2952" s="831">
        <v>0</v>
      </c>
      <c r="AJ2952" s="835">
        <v>40786</v>
      </c>
      <c r="AK2952" s="831">
        <v>5590373</v>
      </c>
      <c r="AP2952" s="831" t="str">
        <f t="shared" si="139"/>
        <v/>
      </c>
    </row>
    <row r="2953" spans="2:42">
      <c r="B2953" s="834" t="str">
        <f t="shared" si="138"/>
        <v>|||</v>
      </c>
      <c r="H2953" s="835">
        <f t="shared" si="140"/>
        <v>31</v>
      </c>
      <c r="AF2953" s="831" t="s">
        <v>3610</v>
      </c>
      <c r="AG2953" s="831" t="s">
        <v>130</v>
      </c>
      <c r="AH2953" s="831" t="s">
        <v>216</v>
      </c>
      <c r="AI2953" s="831">
        <v>0</v>
      </c>
      <c r="AJ2953" s="835">
        <v>40786</v>
      </c>
      <c r="AK2953" s="831">
        <v>0</v>
      </c>
      <c r="AP2953" s="831" t="str">
        <f t="shared" si="139"/>
        <v/>
      </c>
    </row>
    <row r="2954" spans="2:42">
      <c r="B2954" s="834" t="str">
        <f t="shared" si="138"/>
        <v>|||</v>
      </c>
      <c r="H2954" s="835">
        <f t="shared" si="140"/>
        <v>31</v>
      </c>
      <c r="AF2954" s="831" t="s">
        <v>3611</v>
      </c>
      <c r="AG2954" s="831" t="s">
        <v>130</v>
      </c>
      <c r="AH2954" s="831" t="s">
        <v>218</v>
      </c>
      <c r="AI2954" s="831">
        <v>0</v>
      </c>
      <c r="AJ2954" s="835">
        <v>40786</v>
      </c>
      <c r="AK2954" s="831">
        <v>59831460</v>
      </c>
      <c r="AP2954" s="831" t="str">
        <f t="shared" si="139"/>
        <v/>
      </c>
    </row>
    <row r="2955" spans="2:42">
      <c r="B2955" s="834" t="str">
        <f t="shared" si="138"/>
        <v>|||</v>
      </c>
      <c r="H2955" s="835">
        <f t="shared" si="140"/>
        <v>31</v>
      </c>
      <c r="AF2955" s="831" t="s">
        <v>3612</v>
      </c>
      <c r="AG2955" s="831" t="s">
        <v>130</v>
      </c>
      <c r="AH2955" s="831" t="s">
        <v>220</v>
      </c>
      <c r="AI2955" s="831">
        <v>0</v>
      </c>
      <c r="AJ2955" s="835">
        <v>40786</v>
      </c>
      <c r="AK2955" s="831">
        <v>0</v>
      </c>
      <c r="AP2955" s="831" t="str">
        <f t="shared" si="139"/>
        <v/>
      </c>
    </row>
    <row r="2956" spans="2:42">
      <c r="B2956" s="834" t="str">
        <f t="shared" si="138"/>
        <v>|||</v>
      </c>
      <c r="H2956" s="835">
        <f t="shared" si="140"/>
        <v>31</v>
      </c>
      <c r="AF2956" s="831" t="s">
        <v>3613</v>
      </c>
      <c r="AG2956" s="831" t="s">
        <v>130</v>
      </c>
      <c r="AH2956" s="831" t="s">
        <v>221</v>
      </c>
      <c r="AI2956" s="831">
        <v>0</v>
      </c>
      <c r="AJ2956" s="835">
        <v>40786</v>
      </c>
      <c r="AK2956" s="831">
        <v>1646893</v>
      </c>
      <c r="AP2956" s="831" t="str">
        <f t="shared" si="139"/>
        <v/>
      </c>
    </row>
    <row r="2957" spans="2:42">
      <c r="B2957" s="834" t="str">
        <f t="shared" si="138"/>
        <v>|||</v>
      </c>
      <c r="H2957" s="835">
        <f t="shared" si="140"/>
        <v>31</v>
      </c>
      <c r="AF2957" s="831" t="s">
        <v>3614</v>
      </c>
      <c r="AG2957" s="831" t="s">
        <v>130</v>
      </c>
      <c r="AH2957" s="831" t="s">
        <v>228</v>
      </c>
      <c r="AI2957" s="831">
        <v>0</v>
      </c>
      <c r="AJ2957" s="835">
        <v>40786</v>
      </c>
      <c r="AK2957" s="831">
        <v>0</v>
      </c>
      <c r="AP2957" s="831" t="str">
        <f t="shared" si="139"/>
        <v/>
      </c>
    </row>
    <row r="2958" spans="2:42">
      <c r="B2958" s="834" t="str">
        <f t="shared" si="138"/>
        <v>|||</v>
      </c>
      <c r="H2958" s="835">
        <f t="shared" si="140"/>
        <v>31</v>
      </c>
      <c r="AF2958" s="831" t="s">
        <v>3615</v>
      </c>
      <c r="AG2958" s="831" t="s">
        <v>130</v>
      </c>
      <c r="AH2958" s="831" t="s">
        <v>230</v>
      </c>
      <c r="AI2958" s="831">
        <v>0</v>
      </c>
      <c r="AJ2958" s="835">
        <v>40786</v>
      </c>
      <c r="AK2958" s="831">
        <v>0</v>
      </c>
      <c r="AP2958" s="831" t="str">
        <f t="shared" si="139"/>
        <v/>
      </c>
    </row>
    <row r="2959" spans="2:42">
      <c r="B2959" s="834" t="str">
        <f t="shared" si="138"/>
        <v>|||</v>
      </c>
      <c r="H2959" s="835">
        <f t="shared" si="140"/>
        <v>31</v>
      </c>
      <c r="AF2959" s="831" t="s">
        <v>3616</v>
      </c>
      <c r="AG2959" s="831" t="s">
        <v>130</v>
      </c>
      <c r="AH2959" s="831" t="s">
        <v>231</v>
      </c>
      <c r="AI2959" s="831">
        <v>0</v>
      </c>
      <c r="AJ2959" s="835">
        <v>40786</v>
      </c>
      <c r="AK2959" s="831">
        <v>9831250</v>
      </c>
      <c r="AP2959" s="831" t="str">
        <f t="shared" si="139"/>
        <v/>
      </c>
    </row>
    <row r="2960" spans="2:42">
      <c r="B2960" s="834" t="str">
        <f t="shared" si="138"/>
        <v>|||</v>
      </c>
      <c r="H2960" s="835">
        <f t="shared" si="140"/>
        <v>31</v>
      </c>
      <c r="AF2960" s="831" t="s">
        <v>3617</v>
      </c>
      <c r="AG2960" s="831" t="s">
        <v>130</v>
      </c>
      <c r="AH2960" s="831" t="s">
        <v>232</v>
      </c>
      <c r="AI2960" s="831">
        <v>0</v>
      </c>
      <c r="AJ2960" s="835">
        <v>40786</v>
      </c>
      <c r="AK2960" s="831">
        <v>60336346</v>
      </c>
      <c r="AP2960" s="831" t="str">
        <f t="shared" si="139"/>
        <v/>
      </c>
    </row>
    <row r="2961" spans="2:42">
      <c r="B2961" s="834" t="str">
        <f t="shared" si="138"/>
        <v>|||</v>
      </c>
      <c r="H2961" s="835">
        <f t="shared" si="140"/>
        <v>31</v>
      </c>
      <c r="AF2961" s="831" t="s">
        <v>3618</v>
      </c>
      <c r="AG2961" s="831" t="s">
        <v>130</v>
      </c>
      <c r="AH2961" s="831" t="s">
        <v>116</v>
      </c>
      <c r="AI2961" s="831">
        <v>0</v>
      </c>
      <c r="AJ2961" s="835">
        <v>40786</v>
      </c>
      <c r="AK2961" s="831">
        <v>8030574</v>
      </c>
      <c r="AP2961" s="831" t="str">
        <f t="shared" si="139"/>
        <v/>
      </c>
    </row>
    <row r="2962" spans="2:42">
      <c r="B2962" s="834" t="str">
        <f t="shared" si="138"/>
        <v>|||</v>
      </c>
      <c r="H2962" s="835">
        <f t="shared" si="140"/>
        <v>31</v>
      </c>
      <c r="AF2962" s="831" t="s">
        <v>3619</v>
      </c>
      <c r="AG2962" s="831" t="s">
        <v>130</v>
      </c>
      <c r="AH2962" s="831" t="s">
        <v>234</v>
      </c>
      <c r="AI2962" s="831">
        <v>0</v>
      </c>
      <c r="AJ2962" s="835">
        <v>40786</v>
      </c>
      <c r="AK2962" s="831">
        <v>548420</v>
      </c>
      <c r="AP2962" s="831" t="str">
        <f t="shared" si="139"/>
        <v/>
      </c>
    </row>
    <row r="2963" spans="2:42">
      <c r="B2963" s="834" t="str">
        <f t="shared" si="138"/>
        <v>|||</v>
      </c>
      <c r="H2963" s="835">
        <f t="shared" si="140"/>
        <v>31</v>
      </c>
      <c r="AF2963" s="831" t="s">
        <v>3620</v>
      </c>
      <c r="AG2963" s="831" t="s">
        <v>130</v>
      </c>
      <c r="AH2963" s="831" t="s">
        <v>235</v>
      </c>
      <c r="AI2963" s="831">
        <v>0</v>
      </c>
      <c r="AJ2963" s="835">
        <v>40786</v>
      </c>
      <c r="AK2963" s="831">
        <v>1830118</v>
      </c>
      <c r="AP2963" s="831" t="str">
        <f t="shared" si="139"/>
        <v/>
      </c>
    </row>
    <row r="2964" spans="2:42">
      <c r="B2964" s="834" t="str">
        <f t="shared" si="138"/>
        <v>|||</v>
      </c>
      <c r="H2964" s="835">
        <f t="shared" si="140"/>
        <v>31</v>
      </c>
      <c r="AF2964" s="831" t="s">
        <v>3621</v>
      </c>
      <c r="AG2964" s="831" t="s">
        <v>130</v>
      </c>
      <c r="AH2964" s="831" t="s">
        <v>238</v>
      </c>
      <c r="AI2964" s="831">
        <v>0</v>
      </c>
      <c r="AJ2964" s="835">
        <v>40786</v>
      </c>
      <c r="AK2964" s="831">
        <v>0</v>
      </c>
      <c r="AP2964" s="831" t="str">
        <f t="shared" si="139"/>
        <v/>
      </c>
    </row>
    <row r="2965" spans="2:42">
      <c r="B2965" s="834" t="str">
        <f t="shared" si="138"/>
        <v>|||</v>
      </c>
      <c r="H2965" s="835">
        <f t="shared" si="140"/>
        <v>31</v>
      </c>
      <c r="AF2965" s="831" t="s">
        <v>3622</v>
      </c>
      <c r="AG2965" s="831" t="s">
        <v>130</v>
      </c>
      <c r="AH2965" s="831" t="s">
        <v>240</v>
      </c>
      <c r="AI2965" s="831">
        <v>0</v>
      </c>
      <c r="AJ2965" s="835">
        <v>40786</v>
      </c>
      <c r="AK2965" s="831">
        <v>67800000</v>
      </c>
      <c r="AP2965" s="831" t="str">
        <f t="shared" si="139"/>
        <v/>
      </c>
    </row>
    <row r="2966" spans="2:42">
      <c r="B2966" s="834" t="str">
        <f t="shared" si="138"/>
        <v>|||</v>
      </c>
      <c r="H2966" s="835">
        <f t="shared" si="140"/>
        <v>31</v>
      </c>
      <c r="AF2966" s="831" t="s">
        <v>3623</v>
      </c>
      <c r="AG2966" s="831" t="s">
        <v>130</v>
      </c>
      <c r="AH2966" s="831" t="s">
        <v>241</v>
      </c>
      <c r="AI2966" s="831">
        <v>0</v>
      </c>
      <c r="AJ2966" s="835">
        <v>40786</v>
      </c>
      <c r="AK2966" s="831">
        <v>0</v>
      </c>
      <c r="AP2966" s="831" t="str">
        <f t="shared" si="139"/>
        <v/>
      </c>
    </row>
    <row r="2967" spans="2:42">
      <c r="B2967" s="834" t="str">
        <f t="shared" si="138"/>
        <v>|||</v>
      </c>
      <c r="H2967" s="835">
        <f t="shared" si="140"/>
        <v>31</v>
      </c>
      <c r="AF2967" s="831" t="s">
        <v>3624</v>
      </c>
      <c r="AG2967" s="831" t="s">
        <v>130</v>
      </c>
      <c r="AH2967" s="831" t="s">
        <v>242</v>
      </c>
      <c r="AI2967" s="831">
        <v>0</v>
      </c>
      <c r="AJ2967" s="835">
        <v>40786</v>
      </c>
      <c r="AK2967" s="831">
        <v>0</v>
      </c>
      <c r="AP2967" s="831" t="str">
        <f t="shared" si="139"/>
        <v/>
      </c>
    </row>
    <row r="2968" spans="2:42">
      <c r="B2968" s="834" t="str">
        <f t="shared" si="138"/>
        <v>|||</v>
      </c>
      <c r="H2968" s="835">
        <f t="shared" si="140"/>
        <v>31</v>
      </c>
      <c r="AF2968" s="831" t="s">
        <v>3625</v>
      </c>
      <c r="AG2968" s="831" t="s">
        <v>130</v>
      </c>
      <c r="AH2968" s="831" t="s">
        <v>244</v>
      </c>
      <c r="AI2968" s="831">
        <v>0</v>
      </c>
      <c r="AJ2968" s="835">
        <v>40786</v>
      </c>
      <c r="AK2968" s="831">
        <v>6655278</v>
      </c>
      <c r="AP2968" s="831" t="str">
        <f t="shared" si="139"/>
        <v/>
      </c>
    </row>
    <row r="2969" spans="2:42">
      <c r="B2969" s="834" t="str">
        <f t="shared" si="138"/>
        <v>|||</v>
      </c>
      <c r="H2969" s="835">
        <f t="shared" si="140"/>
        <v>31</v>
      </c>
      <c r="AF2969" s="831" t="s">
        <v>3626</v>
      </c>
      <c r="AG2969" s="831" t="s">
        <v>130</v>
      </c>
      <c r="AH2969" s="831" t="s">
        <v>245</v>
      </c>
      <c r="AI2969" s="831">
        <v>0</v>
      </c>
      <c r="AJ2969" s="835">
        <v>40786</v>
      </c>
      <c r="AK2969" s="831">
        <v>12508357</v>
      </c>
      <c r="AP2969" s="831" t="str">
        <f t="shared" si="139"/>
        <v/>
      </c>
    </row>
    <row r="2970" spans="2:42">
      <c r="B2970" s="834" t="str">
        <f t="shared" si="138"/>
        <v>|||</v>
      </c>
      <c r="H2970" s="835">
        <f t="shared" si="140"/>
        <v>31</v>
      </c>
      <c r="AF2970" s="831" t="s">
        <v>3627</v>
      </c>
      <c r="AG2970" s="831" t="s">
        <v>130</v>
      </c>
      <c r="AH2970" s="831" t="s">
        <v>145</v>
      </c>
      <c r="AI2970" s="831">
        <v>0</v>
      </c>
      <c r="AJ2970" s="835">
        <v>40816</v>
      </c>
      <c r="AK2970" s="831">
        <v>28561462</v>
      </c>
      <c r="AP2970" s="831" t="str">
        <f t="shared" si="139"/>
        <v/>
      </c>
    </row>
    <row r="2971" spans="2:42">
      <c r="B2971" s="834" t="str">
        <f t="shared" si="138"/>
        <v>|||</v>
      </c>
      <c r="H2971" s="835">
        <f t="shared" si="140"/>
        <v>31</v>
      </c>
      <c r="AF2971" s="831" t="s">
        <v>3628</v>
      </c>
      <c r="AG2971" s="831" t="s">
        <v>130</v>
      </c>
      <c r="AH2971" s="831" t="s">
        <v>149</v>
      </c>
      <c r="AI2971" s="831">
        <v>0</v>
      </c>
      <c r="AJ2971" s="835">
        <v>40816</v>
      </c>
      <c r="AK2971" s="831">
        <v>0</v>
      </c>
      <c r="AP2971" s="831" t="str">
        <f t="shared" si="139"/>
        <v/>
      </c>
    </row>
    <row r="2972" spans="2:42">
      <c r="B2972" s="834" t="str">
        <f t="shared" si="138"/>
        <v>|||</v>
      </c>
      <c r="H2972" s="835">
        <f t="shared" si="140"/>
        <v>31</v>
      </c>
      <c r="AF2972" s="831" t="s">
        <v>3629</v>
      </c>
      <c r="AG2972" s="831" t="s">
        <v>130</v>
      </c>
      <c r="AH2972" s="831" t="s">
        <v>153</v>
      </c>
      <c r="AI2972" s="831">
        <v>0</v>
      </c>
      <c r="AJ2972" s="835">
        <v>40816</v>
      </c>
      <c r="AK2972" s="831">
        <v>6282632</v>
      </c>
      <c r="AP2972" s="831" t="str">
        <f t="shared" si="139"/>
        <v/>
      </c>
    </row>
    <row r="2973" spans="2:42">
      <c r="B2973" s="834" t="str">
        <f t="shared" si="138"/>
        <v>|||</v>
      </c>
      <c r="H2973" s="835">
        <f t="shared" si="140"/>
        <v>31</v>
      </c>
      <c r="AF2973" s="831" t="s">
        <v>3630</v>
      </c>
      <c r="AG2973" s="831" t="s">
        <v>130</v>
      </c>
      <c r="AH2973" s="831" t="s">
        <v>156</v>
      </c>
      <c r="AI2973" s="831">
        <v>0</v>
      </c>
      <c r="AJ2973" s="835">
        <v>40816</v>
      </c>
      <c r="AK2973" s="831">
        <v>0</v>
      </c>
      <c r="AP2973" s="831" t="str">
        <f t="shared" si="139"/>
        <v/>
      </c>
    </row>
    <row r="2974" spans="2:42">
      <c r="B2974" s="834" t="str">
        <f t="shared" si="138"/>
        <v>|||</v>
      </c>
      <c r="H2974" s="835">
        <f t="shared" si="140"/>
        <v>31</v>
      </c>
      <c r="AF2974" s="831" t="s">
        <v>3631</v>
      </c>
      <c r="AG2974" s="831" t="s">
        <v>130</v>
      </c>
      <c r="AH2974" s="831" t="s">
        <v>162</v>
      </c>
      <c r="AI2974" s="831">
        <v>0</v>
      </c>
      <c r="AJ2974" s="835">
        <v>40816</v>
      </c>
      <c r="AK2974" s="831">
        <v>285356916</v>
      </c>
      <c r="AP2974" s="831" t="str">
        <f t="shared" si="139"/>
        <v/>
      </c>
    </row>
    <row r="2975" spans="2:42">
      <c r="B2975" s="834" t="str">
        <f t="shared" si="138"/>
        <v>|||</v>
      </c>
      <c r="H2975" s="835">
        <f t="shared" si="140"/>
        <v>31</v>
      </c>
      <c r="AF2975" s="831" t="s">
        <v>3632</v>
      </c>
      <c r="AG2975" s="831" t="s">
        <v>130</v>
      </c>
      <c r="AH2975" s="831" t="s">
        <v>165</v>
      </c>
      <c r="AI2975" s="831">
        <v>0</v>
      </c>
      <c r="AJ2975" s="835">
        <v>40816</v>
      </c>
      <c r="AK2975" s="831">
        <v>-7650738</v>
      </c>
      <c r="AP2975" s="831" t="str">
        <f t="shared" si="139"/>
        <v/>
      </c>
    </row>
    <row r="2976" spans="2:42">
      <c r="B2976" s="834" t="str">
        <f t="shared" si="138"/>
        <v>|||</v>
      </c>
      <c r="H2976" s="835">
        <f t="shared" si="140"/>
        <v>31</v>
      </c>
      <c r="AF2976" s="831" t="s">
        <v>3633</v>
      </c>
      <c r="AG2976" s="831" t="s">
        <v>130</v>
      </c>
      <c r="AH2976" s="831" t="s">
        <v>171</v>
      </c>
      <c r="AI2976" s="831">
        <v>0</v>
      </c>
      <c r="AJ2976" s="835">
        <v>40816</v>
      </c>
      <c r="AK2976" s="831">
        <v>2117559</v>
      </c>
      <c r="AP2976" s="831" t="str">
        <f t="shared" si="139"/>
        <v/>
      </c>
    </row>
    <row r="2977" spans="2:42">
      <c r="B2977" s="834" t="str">
        <f t="shared" si="138"/>
        <v>|||</v>
      </c>
      <c r="H2977" s="835">
        <f t="shared" si="140"/>
        <v>31</v>
      </c>
      <c r="AF2977" s="831" t="s">
        <v>3634</v>
      </c>
      <c r="AG2977" s="831" t="s">
        <v>130</v>
      </c>
      <c r="AH2977" s="831" t="s">
        <v>174</v>
      </c>
      <c r="AI2977" s="831">
        <v>0</v>
      </c>
      <c r="AJ2977" s="835">
        <v>40816</v>
      </c>
      <c r="AK2977" s="831">
        <v>0</v>
      </c>
      <c r="AP2977" s="831" t="str">
        <f t="shared" si="139"/>
        <v/>
      </c>
    </row>
    <row r="2978" spans="2:42">
      <c r="B2978" s="834" t="str">
        <f t="shared" si="138"/>
        <v>|||</v>
      </c>
      <c r="H2978" s="835">
        <f t="shared" si="140"/>
        <v>31</v>
      </c>
      <c r="AF2978" s="831" t="s">
        <v>3635</v>
      </c>
      <c r="AG2978" s="831" t="s">
        <v>130</v>
      </c>
      <c r="AH2978" s="831" t="s">
        <v>181</v>
      </c>
      <c r="AI2978" s="831">
        <v>0</v>
      </c>
      <c r="AJ2978" s="835">
        <v>40816</v>
      </c>
      <c r="AK2978" s="831">
        <v>16712813</v>
      </c>
      <c r="AP2978" s="831" t="str">
        <f t="shared" si="139"/>
        <v/>
      </c>
    </row>
    <row r="2979" spans="2:42">
      <c r="B2979" s="834" t="str">
        <f t="shared" si="138"/>
        <v>|||</v>
      </c>
      <c r="H2979" s="835">
        <f t="shared" si="140"/>
        <v>31</v>
      </c>
      <c r="AF2979" s="831" t="s">
        <v>3636</v>
      </c>
      <c r="AG2979" s="831" t="s">
        <v>130</v>
      </c>
      <c r="AH2979" s="831" t="s">
        <v>184</v>
      </c>
      <c r="AI2979" s="831">
        <v>0</v>
      </c>
      <c r="AJ2979" s="835">
        <v>40816</v>
      </c>
      <c r="AK2979" s="831">
        <v>-7344140</v>
      </c>
      <c r="AP2979" s="831" t="str">
        <f t="shared" si="139"/>
        <v/>
      </c>
    </row>
    <row r="2980" spans="2:42">
      <c r="B2980" s="834" t="str">
        <f t="shared" si="138"/>
        <v>|||</v>
      </c>
      <c r="H2980" s="835">
        <f t="shared" si="140"/>
        <v>31</v>
      </c>
      <c r="AF2980" s="831" t="s">
        <v>3637</v>
      </c>
      <c r="AG2980" s="831" t="s">
        <v>130</v>
      </c>
      <c r="AH2980" s="831" t="s">
        <v>187</v>
      </c>
      <c r="AI2980" s="831">
        <v>0</v>
      </c>
      <c r="AJ2980" s="835">
        <v>40816</v>
      </c>
      <c r="AK2980" s="831">
        <v>0</v>
      </c>
      <c r="AP2980" s="831" t="str">
        <f t="shared" si="139"/>
        <v/>
      </c>
    </row>
    <row r="2981" spans="2:42">
      <c r="B2981" s="834" t="str">
        <f t="shared" si="138"/>
        <v>|||</v>
      </c>
      <c r="H2981" s="835">
        <f t="shared" si="140"/>
        <v>31</v>
      </c>
      <c r="AF2981" s="831" t="s">
        <v>3638</v>
      </c>
      <c r="AG2981" s="831" t="s">
        <v>130</v>
      </c>
      <c r="AH2981" s="831" t="s">
        <v>196</v>
      </c>
      <c r="AI2981" s="831">
        <v>0</v>
      </c>
      <c r="AJ2981" s="835">
        <v>40816</v>
      </c>
      <c r="AK2981" s="831">
        <v>3890900</v>
      </c>
      <c r="AP2981" s="831" t="str">
        <f t="shared" si="139"/>
        <v/>
      </c>
    </row>
    <row r="2982" spans="2:42">
      <c r="B2982" s="834" t="str">
        <f t="shared" si="138"/>
        <v>|||</v>
      </c>
      <c r="H2982" s="835">
        <f t="shared" si="140"/>
        <v>31</v>
      </c>
      <c r="AF2982" s="831" t="s">
        <v>3639</v>
      </c>
      <c r="AG2982" s="831" t="s">
        <v>130</v>
      </c>
      <c r="AH2982" s="831" t="s">
        <v>197</v>
      </c>
      <c r="AI2982" s="831">
        <v>0</v>
      </c>
      <c r="AJ2982" s="835">
        <v>40816</v>
      </c>
      <c r="AK2982" s="831">
        <v>0</v>
      </c>
      <c r="AP2982" s="831" t="str">
        <f t="shared" si="139"/>
        <v/>
      </c>
    </row>
    <row r="2983" spans="2:42">
      <c r="B2983" s="834" t="str">
        <f t="shared" si="138"/>
        <v>|||</v>
      </c>
      <c r="H2983" s="835">
        <f t="shared" si="140"/>
        <v>31</v>
      </c>
      <c r="AF2983" s="831" t="s">
        <v>3640</v>
      </c>
      <c r="AG2983" s="831" t="s">
        <v>130</v>
      </c>
      <c r="AH2983" s="831" t="s">
        <v>199</v>
      </c>
      <c r="AI2983" s="831">
        <v>0</v>
      </c>
      <c r="AJ2983" s="835">
        <v>40816</v>
      </c>
      <c r="AK2983" s="831">
        <v>0</v>
      </c>
      <c r="AP2983" s="831" t="str">
        <f t="shared" si="139"/>
        <v/>
      </c>
    </row>
    <row r="2984" spans="2:42">
      <c r="B2984" s="834" t="str">
        <f t="shared" si="138"/>
        <v>|||</v>
      </c>
      <c r="H2984" s="835">
        <f t="shared" si="140"/>
        <v>31</v>
      </c>
      <c r="AF2984" s="831" t="s">
        <v>3641</v>
      </c>
      <c r="AG2984" s="831" t="s">
        <v>130</v>
      </c>
      <c r="AH2984" s="831" t="s">
        <v>201</v>
      </c>
      <c r="AI2984" s="831">
        <v>0</v>
      </c>
      <c r="AJ2984" s="835">
        <v>40816</v>
      </c>
      <c r="AK2984" s="831">
        <v>24239277</v>
      </c>
      <c r="AP2984" s="831" t="str">
        <f t="shared" si="139"/>
        <v/>
      </c>
    </row>
    <row r="2985" spans="2:42">
      <c r="B2985" s="834" t="str">
        <f t="shared" si="138"/>
        <v>|||</v>
      </c>
      <c r="H2985" s="835">
        <f t="shared" si="140"/>
        <v>31</v>
      </c>
      <c r="AF2985" s="831" t="s">
        <v>3642</v>
      </c>
      <c r="AG2985" s="831" t="s">
        <v>130</v>
      </c>
      <c r="AH2985" s="831" t="s">
        <v>209</v>
      </c>
      <c r="AI2985" s="831">
        <v>0</v>
      </c>
      <c r="AJ2985" s="835">
        <v>40816</v>
      </c>
      <c r="AK2985" s="831">
        <v>21041490</v>
      </c>
      <c r="AP2985" s="831" t="str">
        <f t="shared" si="139"/>
        <v/>
      </c>
    </row>
    <row r="2986" spans="2:42">
      <c r="B2986" s="834" t="str">
        <f t="shared" si="138"/>
        <v>|||</v>
      </c>
      <c r="H2986" s="835">
        <f t="shared" si="140"/>
        <v>31</v>
      </c>
      <c r="AF2986" s="831" t="s">
        <v>3643</v>
      </c>
      <c r="AG2986" s="831" t="s">
        <v>130</v>
      </c>
      <c r="AH2986" s="831" t="s">
        <v>211</v>
      </c>
      <c r="AI2986" s="831">
        <v>0</v>
      </c>
      <c r="AJ2986" s="835">
        <v>40816</v>
      </c>
      <c r="AK2986" s="831">
        <v>107629830</v>
      </c>
      <c r="AP2986" s="831" t="str">
        <f t="shared" si="139"/>
        <v/>
      </c>
    </row>
    <row r="2987" spans="2:42">
      <c r="B2987" s="834" t="str">
        <f t="shared" si="138"/>
        <v>|||</v>
      </c>
      <c r="H2987" s="835">
        <f t="shared" si="140"/>
        <v>31</v>
      </c>
      <c r="AF2987" s="831" t="s">
        <v>3644</v>
      </c>
      <c r="AG2987" s="831" t="s">
        <v>130</v>
      </c>
      <c r="AH2987" s="831" t="s">
        <v>212</v>
      </c>
      <c r="AI2987" s="831">
        <v>0</v>
      </c>
      <c r="AJ2987" s="835">
        <v>40816</v>
      </c>
      <c r="AK2987" s="831">
        <v>5873249</v>
      </c>
      <c r="AP2987" s="831" t="str">
        <f t="shared" si="139"/>
        <v/>
      </c>
    </row>
    <row r="2988" spans="2:42">
      <c r="B2988" s="834" t="str">
        <f t="shared" si="138"/>
        <v>|||</v>
      </c>
      <c r="H2988" s="835">
        <f t="shared" si="140"/>
        <v>31</v>
      </c>
      <c r="AF2988" s="831" t="s">
        <v>3645</v>
      </c>
      <c r="AG2988" s="831" t="s">
        <v>130</v>
      </c>
      <c r="AH2988" s="831" t="s">
        <v>216</v>
      </c>
      <c r="AI2988" s="831">
        <v>0</v>
      </c>
      <c r="AJ2988" s="835">
        <v>40816</v>
      </c>
      <c r="AK2988" s="831">
        <v>0</v>
      </c>
      <c r="AP2988" s="831" t="str">
        <f t="shared" si="139"/>
        <v/>
      </c>
    </row>
    <row r="2989" spans="2:42">
      <c r="B2989" s="834" t="str">
        <f t="shared" si="138"/>
        <v>|||</v>
      </c>
      <c r="H2989" s="835">
        <f t="shared" si="140"/>
        <v>31</v>
      </c>
      <c r="AF2989" s="831" t="s">
        <v>3646</v>
      </c>
      <c r="AG2989" s="831" t="s">
        <v>130</v>
      </c>
      <c r="AH2989" s="831" t="s">
        <v>218</v>
      </c>
      <c r="AI2989" s="831">
        <v>0</v>
      </c>
      <c r="AJ2989" s="835">
        <v>40816</v>
      </c>
      <c r="AK2989" s="831">
        <v>51595310</v>
      </c>
      <c r="AP2989" s="831" t="str">
        <f t="shared" si="139"/>
        <v/>
      </c>
    </row>
    <row r="2990" spans="2:42">
      <c r="B2990" s="834" t="str">
        <f t="shared" si="138"/>
        <v>|||</v>
      </c>
      <c r="H2990" s="835">
        <f t="shared" si="140"/>
        <v>31</v>
      </c>
      <c r="AF2990" s="831" t="s">
        <v>3647</v>
      </c>
      <c r="AG2990" s="831" t="s">
        <v>130</v>
      </c>
      <c r="AH2990" s="831" t="s">
        <v>220</v>
      </c>
      <c r="AI2990" s="831">
        <v>0</v>
      </c>
      <c r="AJ2990" s="835">
        <v>40816</v>
      </c>
      <c r="AK2990" s="831">
        <v>0</v>
      </c>
      <c r="AP2990" s="831" t="str">
        <f t="shared" si="139"/>
        <v/>
      </c>
    </row>
    <row r="2991" spans="2:42">
      <c r="B2991" s="834" t="str">
        <f t="shared" si="138"/>
        <v>|||</v>
      </c>
      <c r="H2991" s="835">
        <f t="shared" si="140"/>
        <v>31</v>
      </c>
      <c r="AF2991" s="831" t="s">
        <v>3648</v>
      </c>
      <c r="AG2991" s="831" t="s">
        <v>130</v>
      </c>
      <c r="AH2991" s="831" t="s">
        <v>221</v>
      </c>
      <c r="AI2991" s="831">
        <v>0</v>
      </c>
      <c r="AJ2991" s="835">
        <v>40816</v>
      </c>
      <c r="AK2991" s="831">
        <v>1035579</v>
      </c>
      <c r="AP2991" s="831" t="str">
        <f t="shared" si="139"/>
        <v/>
      </c>
    </row>
    <row r="2992" spans="2:42">
      <c r="B2992" s="834" t="str">
        <f t="shared" si="138"/>
        <v>|||</v>
      </c>
      <c r="H2992" s="835">
        <f t="shared" si="140"/>
        <v>31</v>
      </c>
      <c r="AF2992" s="831" t="s">
        <v>3649</v>
      </c>
      <c r="AG2992" s="831" t="s">
        <v>130</v>
      </c>
      <c r="AH2992" s="831" t="s">
        <v>228</v>
      </c>
      <c r="AI2992" s="831">
        <v>0</v>
      </c>
      <c r="AJ2992" s="835">
        <v>40816</v>
      </c>
      <c r="AK2992" s="831">
        <v>0</v>
      </c>
      <c r="AP2992" s="831" t="str">
        <f t="shared" si="139"/>
        <v/>
      </c>
    </row>
    <row r="2993" spans="2:42">
      <c r="B2993" s="834" t="str">
        <f t="shared" si="138"/>
        <v>|||</v>
      </c>
      <c r="H2993" s="835">
        <f t="shared" si="140"/>
        <v>31</v>
      </c>
      <c r="AF2993" s="831" t="s">
        <v>3650</v>
      </c>
      <c r="AG2993" s="831" t="s">
        <v>130</v>
      </c>
      <c r="AH2993" s="831" t="s">
        <v>230</v>
      </c>
      <c r="AI2993" s="831">
        <v>0</v>
      </c>
      <c r="AJ2993" s="835">
        <v>40816</v>
      </c>
      <c r="AK2993" s="831">
        <v>0</v>
      </c>
      <c r="AP2993" s="831" t="str">
        <f t="shared" si="139"/>
        <v/>
      </c>
    </row>
    <row r="2994" spans="2:42">
      <c r="B2994" s="834" t="str">
        <f t="shared" si="138"/>
        <v>|||</v>
      </c>
      <c r="H2994" s="835">
        <f t="shared" si="140"/>
        <v>31</v>
      </c>
      <c r="AF2994" s="831" t="s">
        <v>3651</v>
      </c>
      <c r="AG2994" s="831" t="s">
        <v>130</v>
      </c>
      <c r="AH2994" s="831" t="s">
        <v>231</v>
      </c>
      <c r="AI2994" s="831">
        <v>0</v>
      </c>
      <c r="AJ2994" s="835">
        <v>40816</v>
      </c>
      <c r="AK2994" s="831">
        <v>9836250</v>
      </c>
      <c r="AP2994" s="831" t="str">
        <f t="shared" si="139"/>
        <v/>
      </c>
    </row>
    <row r="2995" spans="2:42">
      <c r="B2995" s="834" t="str">
        <f t="shared" si="138"/>
        <v>|||</v>
      </c>
      <c r="H2995" s="835">
        <f t="shared" si="140"/>
        <v>31</v>
      </c>
      <c r="AF2995" s="831" t="s">
        <v>3652</v>
      </c>
      <c r="AG2995" s="831" t="s">
        <v>130</v>
      </c>
      <c r="AH2995" s="831" t="s">
        <v>232</v>
      </c>
      <c r="AI2995" s="831">
        <v>0</v>
      </c>
      <c r="AJ2995" s="835">
        <v>40816</v>
      </c>
      <c r="AK2995" s="831">
        <v>62831683</v>
      </c>
      <c r="AP2995" s="831" t="str">
        <f t="shared" si="139"/>
        <v/>
      </c>
    </row>
    <row r="2996" spans="2:42">
      <c r="B2996" s="834" t="str">
        <f t="shared" si="138"/>
        <v>|||</v>
      </c>
      <c r="H2996" s="835">
        <f t="shared" si="140"/>
        <v>31</v>
      </c>
      <c r="AF2996" s="831" t="s">
        <v>3653</v>
      </c>
      <c r="AG2996" s="831" t="s">
        <v>130</v>
      </c>
      <c r="AH2996" s="831" t="s">
        <v>116</v>
      </c>
      <c r="AI2996" s="831">
        <v>0</v>
      </c>
      <c r="AJ2996" s="835">
        <v>40816</v>
      </c>
      <c r="AK2996" s="831">
        <v>8034660</v>
      </c>
      <c r="AP2996" s="831" t="str">
        <f t="shared" si="139"/>
        <v/>
      </c>
    </row>
    <row r="2997" spans="2:42">
      <c r="B2997" s="834" t="str">
        <f t="shared" si="138"/>
        <v>|||</v>
      </c>
      <c r="H2997" s="835">
        <f t="shared" si="140"/>
        <v>31</v>
      </c>
      <c r="AF2997" s="831" t="s">
        <v>3654</v>
      </c>
      <c r="AG2997" s="831" t="s">
        <v>130</v>
      </c>
      <c r="AH2997" s="831" t="s">
        <v>234</v>
      </c>
      <c r="AI2997" s="831">
        <v>0</v>
      </c>
      <c r="AJ2997" s="835">
        <v>40816</v>
      </c>
      <c r="AK2997" s="831">
        <v>547920</v>
      </c>
      <c r="AP2997" s="831" t="str">
        <f t="shared" si="139"/>
        <v/>
      </c>
    </row>
    <row r="2998" spans="2:42">
      <c r="B2998" s="834" t="str">
        <f t="shared" si="138"/>
        <v>|||</v>
      </c>
      <c r="H2998" s="835">
        <f t="shared" si="140"/>
        <v>31</v>
      </c>
      <c r="AF2998" s="831" t="s">
        <v>3655</v>
      </c>
      <c r="AG2998" s="831" t="s">
        <v>130</v>
      </c>
      <c r="AH2998" s="831" t="s">
        <v>235</v>
      </c>
      <c r="AI2998" s="831">
        <v>0</v>
      </c>
      <c r="AJ2998" s="835">
        <v>40816</v>
      </c>
      <c r="AK2998" s="831">
        <v>1765942</v>
      </c>
      <c r="AP2998" s="831" t="str">
        <f t="shared" si="139"/>
        <v/>
      </c>
    </row>
    <row r="2999" spans="2:42">
      <c r="B2999" s="834" t="str">
        <f t="shared" si="138"/>
        <v>|||</v>
      </c>
      <c r="H2999" s="835">
        <f t="shared" si="140"/>
        <v>31</v>
      </c>
      <c r="AF2999" s="831" t="s">
        <v>3656</v>
      </c>
      <c r="AG2999" s="831" t="s">
        <v>130</v>
      </c>
      <c r="AH2999" s="831" t="s">
        <v>238</v>
      </c>
      <c r="AI2999" s="831">
        <v>0</v>
      </c>
      <c r="AJ2999" s="835">
        <v>40816</v>
      </c>
      <c r="AK2999" s="831">
        <v>0</v>
      </c>
      <c r="AP2999" s="831" t="str">
        <f t="shared" si="139"/>
        <v/>
      </c>
    </row>
    <row r="3000" spans="2:42">
      <c r="B3000" s="834" t="str">
        <f t="shared" si="138"/>
        <v>|||</v>
      </c>
      <c r="H3000" s="835">
        <f t="shared" si="140"/>
        <v>31</v>
      </c>
      <c r="AF3000" s="831" t="s">
        <v>3657</v>
      </c>
      <c r="AG3000" s="831" t="s">
        <v>130</v>
      </c>
      <c r="AH3000" s="831" t="s">
        <v>240</v>
      </c>
      <c r="AI3000" s="831">
        <v>0</v>
      </c>
      <c r="AJ3000" s="835">
        <v>40816</v>
      </c>
      <c r="AK3000" s="831">
        <v>67800000</v>
      </c>
      <c r="AP3000" s="831" t="str">
        <f t="shared" si="139"/>
        <v/>
      </c>
    </row>
    <row r="3001" spans="2:42">
      <c r="B3001" s="834" t="str">
        <f t="shared" si="138"/>
        <v>|||</v>
      </c>
      <c r="H3001" s="835">
        <f t="shared" si="140"/>
        <v>31</v>
      </c>
      <c r="AF3001" s="831" t="s">
        <v>3658</v>
      </c>
      <c r="AG3001" s="831" t="s">
        <v>130</v>
      </c>
      <c r="AH3001" s="831" t="s">
        <v>241</v>
      </c>
      <c r="AI3001" s="831">
        <v>0</v>
      </c>
      <c r="AJ3001" s="835">
        <v>40816</v>
      </c>
      <c r="AK3001" s="831">
        <v>0</v>
      </c>
      <c r="AP3001" s="831" t="str">
        <f t="shared" si="139"/>
        <v/>
      </c>
    </row>
    <row r="3002" spans="2:42">
      <c r="B3002" s="834" t="str">
        <f t="shared" si="138"/>
        <v>|||</v>
      </c>
      <c r="H3002" s="835">
        <f t="shared" si="140"/>
        <v>31</v>
      </c>
      <c r="AF3002" s="831" t="s">
        <v>3659</v>
      </c>
      <c r="AG3002" s="831" t="s">
        <v>130</v>
      </c>
      <c r="AH3002" s="831" t="s">
        <v>242</v>
      </c>
      <c r="AI3002" s="831">
        <v>0</v>
      </c>
      <c r="AJ3002" s="835">
        <v>40816</v>
      </c>
      <c r="AK3002" s="831">
        <v>0</v>
      </c>
      <c r="AP3002" s="831" t="str">
        <f t="shared" si="139"/>
        <v/>
      </c>
    </row>
    <row r="3003" spans="2:42">
      <c r="B3003" s="834" t="str">
        <f t="shared" si="138"/>
        <v>|||</v>
      </c>
      <c r="H3003" s="835">
        <f t="shared" si="140"/>
        <v>31</v>
      </c>
      <c r="AF3003" s="831" t="s">
        <v>3660</v>
      </c>
      <c r="AG3003" s="831" t="s">
        <v>130</v>
      </c>
      <c r="AH3003" s="831" t="s">
        <v>244</v>
      </c>
      <c r="AI3003" s="831">
        <v>0</v>
      </c>
      <c r="AJ3003" s="835">
        <v>40816</v>
      </c>
      <c r="AK3003" s="831">
        <v>254924</v>
      </c>
      <c r="AP3003" s="831" t="str">
        <f t="shared" si="139"/>
        <v/>
      </c>
    </row>
    <row r="3004" spans="2:42">
      <c r="B3004" s="834" t="str">
        <f t="shared" si="138"/>
        <v>|||</v>
      </c>
      <c r="H3004" s="835">
        <f t="shared" si="140"/>
        <v>31</v>
      </c>
      <c r="AF3004" s="831" t="s">
        <v>3661</v>
      </c>
      <c r="AG3004" s="831" t="s">
        <v>130</v>
      </c>
      <c r="AH3004" s="831" t="s">
        <v>245</v>
      </c>
      <c r="AI3004" s="831">
        <v>0</v>
      </c>
      <c r="AJ3004" s="835">
        <v>40816</v>
      </c>
      <c r="AK3004" s="831">
        <v>13919844</v>
      </c>
      <c r="AP3004" s="831" t="str">
        <f t="shared" si="139"/>
        <v/>
      </c>
    </row>
    <row r="3005" spans="2:42">
      <c r="B3005" s="834" t="str">
        <f t="shared" si="138"/>
        <v>|||</v>
      </c>
      <c r="H3005" s="835">
        <f t="shared" si="140"/>
        <v>31</v>
      </c>
      <c r="AF3005" s="831" t="s">
        <v>3662</v>
      </c>
      <c r="AG3005" s="831" t="s">
        <v>130</v>
      </c>
      <c r="AH3005" s="831" t="s">
        <v>145</v>
      </c>
      <c r="AI3005" s="831">
        <v>0</v>
      </c>
      <c r="AJ3005" s="835">
        <v>40847</v>
      </c>
      <c r="AK3005" s="831">
        <v>28478575</v>
      </c>
      <c r="AP3005" s="831" t="str">
        <f t="shared" si="139"/>
        <v/>
      </c>
    </row>
    <row r="3006" spans="2:42">
      <c r="B3006" s="834" t="str">
        <f t="shared" si="138"/>
        <v>|||</v>
      </c>
      <c r="H3006" s="835">
        <f t="shared" si="140"/>
        <v>31</v>
      </c>
      <c r="AF3006" s="831" t="s">
        <v>3663</v>
      </c>
      <c r="AG3006" s="831" t="s">
        <v>130</v>
      </c>
      <c r="AH3006" s="831" t="s">
        <v>149</v>
      </c>
      <c r="AI3006" s="831">
        <v>0</v>
      </c>
      <c r="AJ3006" s="835">
        <v>40847</v>
      </c>
      <c r="AK3006" s="831">
        <v>0</v>
      </c>
      <c r="AP3006" s="831" t="str">
        <f t="shared" si="139"/>
        <v/>
      </c>
    </row>
    <row r="3007" spans="2:42">
      <c r="B3007" s="834" t="str">
        <f t="shared" si="138"/>
        <v>|||</v>
      </c>
      <c r="H3007" s="835">
        <f t="shared" si="140"/>
        <v>31</v>
      </c>
      <c r="AF3007" s="831" t="s">
        <v>3664</v>
      </c>
      <c r="AG3007" s="831" t="s">
        <v>130</v>
      </c>
      <c r="AH3007" s="831" t="s">
        <v>153</v>
      </c>
      <c r="AI3007" s="831">
        <v>0</v>
      </c>
      <c r="AJ3007" s="835">
        <v>40847</v>
      </c>
      <c r="AK3007" s="831">
        <v>11720515</v>
      </c>
      <c r="AP3007" s="831" t="str">
        <f t="shared" si="139"/>
        <v/>
      </c>
    </row>
    <row r="3008" spans="2:42">
      <c r="B3008" s="834" t="str">
        <f t="shared" si="138"/>
        <v>|||</v>
      </c>
      <c r="H3008" s="835">
        <f t="shared" si="140"/>
        <v>31</v>
      </c>
      <c r="AF3008" s="831" t="s">
        <v>3665</v>
      </c>
      <c r="AG3008" s="831" t="s">
        <v>130</v>
      </c>
      <c r="AH3008" s="831" t="s">
        <v>156</v>
      </c>
      <c r="AI3008" s="831">
        <v>0</v>
      </c>
      <c r="AJ3008" s="835">
        <v>40847</v>
      </c>
      <c r="AK3008" s="831">
        <v>0</v>
      </c>
      <c r="AP3008" s="831" t="str">
        <f t="shared" si="139"/>
        <v/>
      </c>
    </row>
    <row r="3009" spans="2:42">
      <c r="B3009" s="834" t="str">
        <f t="shared" si="138"/>
        <v>|||</v>
      </c>
      <c r="H3009" s="835">
        <f t="shared" si="140"/>
        <v>31</v>
      </c>
      <c r="AF3009" s="831" t="s">
        <v>3666</v>
      </c>
      <c r="AG3009" s="831" t="s">
        <v>130</v>
      </c>
      <c r="AH3009" s="831" t="s">
        <v>162</v>
      </c>
      <c r="AI3009" s="831">
        <v>0</v>
      </c>
      <c r="AJ3009" s="835">
        <v>40847</v>
      </c>
      <c r="AK3009" s="831">
        <v>288574261</v>
      </c>
      <c r="AP3009" s="831" t="str">
        <f t="shared" si="139"/>
        <v/>
      </c>
    </row>
    <row r="3010" spans="2:42">
      <c r="B3010" s="834" t="str">
        <f t="shared" si="138"/>
        <v>|||</v>
      </c>
      <c r="H3010" s="835">
        <f t="shared" si="140"/>
        <v>31</v>
      </c>
      <c r="AF3010" s="831" t="s">
        <v>3667</v>
      </c>
      <c r="AG3010" s="831" t="s">
        <v>130</v>
      </c>
      <c r="AH3010" s="831" t="s">
        <v>165</v>
      </c>
      <c r="AI3010" s="831">
        <v>0</v>
      </c>
      <c r="AJ3010" s="835">
        <v>40847</v>
      </c>
      <c r="AK3010" s="831">
        <v>-7780982</v>
      </c>
      <c r="AP3010" s="831" t="str">
        <f t="shared" si="139"/>
        <v/>
      </c>
    </row>
    <row r="3011" spans="2:42">
      <c r="B3011" s="834" t="str">
        <f t="shared" ref="B3011:B3074" si="141">C3011&amp;"|"&amp;D3011&amp;"|"&amp;E3011&amp;"|"&amp;F3011</f>
        <v>|||</v>
      </c>
      <c r="H3011" s="835">
        <f t="shared" si="140"/>
        <v>31</v>
      </c>
      <c r="AF3011" s="831" t="s">
        <v>3668</v>
      </c>
      <c r="AG3011" s="831" t="s">
        <v>130</v>
      </c>
      <c r="AH3011" s="831" t="s">
        <v>171</v>
      </c>
      <c r="AI3011" s="831">
        <v>0</v>
      </c>
      <c r="AJ3011" s="835">
        <v>40847</v>
      </c>
      <c r="AK3011" s="831">
        <v>2289655</v>
      </c>
      <c r="AP3011" s="831" t="str">
        <f t="shared" ref="AP3011:AP3074" si="142">IF(AX3011&lt;&gt;"",IF(OR(AX3011=3,AX3011=4),"Equity","Debt"),"")</f>
        <v/>
      </c>
    </row>
    <row r="3012" spans="2:42">
      <c r="B3012" s="834" t="str">
        <f t="shared" si="141"/>
        <v>|||</v>
      </c>
      <c r="H3012" s="835">
        <f t="shared" ref="H3012:H3075" si="143">EOMONTH(L3012,0)</f>
        <v>31</v>
      </c>
      <c r="AF3012" s="831" t="s">
        <v>3669</v>
      </c>
      <c r="AG3012" s="831" t="s">
        <v>130</v>
      </c>
      <c r="AH3012" s="831" t="s">
        <v>174</v>
      </c>
      <c r="AI3012" s="831">
        <v>0</v>
      </c>
      <c r="AJ3012" s="835">
        <v>40847</v>
      </c>
      <c r="AK3012" s="831">
        <v>0</v>
      </c>
      <c r="AP3012" s="831" t="str">
        <f t="shared" si="142"/>
        <v/>
      </c>
    </row>
    <row r="3013" spans="2:42">
      <c r="B3013" s="834" t="str">
        <f t="shared" si="141"/>
        <v>|||</v>
      </c>
      <c r="H3013" s="835">
        <f t="shared" si="143"/>
        <v>31</v>
      </c>
      <c r="AF3013" s="831" t="s">
        <v>3670</v>
      </c>
      <c r="AG3013" s="831" t="s">
        <v>130</v>
      </c>
      <c r="AH3013" s="831" t="s">
        <v>181</v>
      </c>
      <c r="AI3013" s="831">
        <v>0</v>
      </c>
      <c r="AJ3013" s="835">
        <v>40847</v>
      </c>
      <c r="AK3013" s="831">
        <v>17310468</v>
      </c>
      <c r="AP3013" s="831" t="str">
        <f t="shared" si="142"/>
        <v/>
      </c>
    </row>
    <row r="3014" spans="2:42">
      <c r="B3014" s="834" t="str">
        <f t="shared" si="141"/>
        <v>|||</v>
      </c>
      <c r="H3014" s="835">
        <f t="shared" si="143"/>
        <v>31</v>
      </c>
      <c r="AF3014" s="831" t="s">
        <v>3671</v>
      </c>
      <c r="AG3014" s="831" t="s">
        <v>130</v>
      </c>
      <c r="AH3014" s="831" t="s">
        <v>184</v>
      </c>
      <c r="AI3014" s="831">
        <v>0</v>
      </c>
      <c r="AJ3014" s="835">
        <v>40847</v>
      </c>
      <c r="AK3014" s="831">
        <v>-7625380</v>
      </c>
      <c r="AP3014" s="831" t="str">
        <f t="shared" si="142"/>
        <v/>
      </c>
    </row>
    <row r="3015" spans="2:42">
      <c r="B3015" s="834" t="str">
        <f t="shared" si="141"/>
        <v>|||</v>
      </c>
      <c r="H3015" s="835">
        <f t="shared" si="143"/>
        <v>31</v>
      </c>
      <c r="AF3015" s="831" t="s">
        <v>3672</v>
      </c>
      <c r="AG3015" s="831" t="s">
        <v>130</v>
      </c>
      <c r="AH3015" s="831" t="s">
        <v>187</v>
      </c>
      <c r="AI3015" s="831">
        <v>0</v>
      </c>
      <c r="AJ3015" s="835">
        <v>40847</v>
      </c>
      <c r="AK3015" s="831">
        <v>0</v>
      </c>
      <c r="AP3015" s="831" t="str">
        <f t="shared" si="142"/>
        <v/>
      </c>
    </row>
    <row r="3016" spans="2:42">
      <c r="B3016" s="834" t="str">
        <f t="shared" si="141"/>
        <v>|||</v>
      </c>
      <c r="H3016" s="835">
        <f t="shared" si="143"/>
        <v>31</v>
      </c>
      <c r="AF3016" s="831" t="s">
        <v>3673</v>
      </c>
      <c r="AG3016" s="831" t="s">
        <v>130</v>
      </c>
      <c r="AH3016" s="831" t="s">
        <v>196</v>
      </c>
      <c r="AI3016" s="831">
        <v>0</v>
      </c>
      <c r="AJ3016" s="835">
        <v>40847</v>
      </c>
      <c r="AK3016" s="831">
        <v>3962137</v>
      </c>
      <c r="AP3016" s="831" t="str">
        <f t="shared" si="142"/>
        <v/>
      </c>
    </row>
    <row r="3017" spans="2:42">
      <c r="B3017" s="834" t="str">
        <f t="shared" si="141"/>
        <v>|||</v>
      </c>
      <c r="H3017" s="835">
        <f t="shared" si="143"/>
        <v>31</v>
      </c>
      <c r="AF3017" s="831" t="s">
        <v>3674</v>
      </c>
      <c r="AG3017" s="831" t="s">
        <v>130</v>
      </c>
      <c r="AH3017" s="831" t="s">
        <v>197</v>
      </c>
      <c r="AI3017" s="831">
        <v>0</v>
      </c>
      <c r="AJ3017" s="835">
        <v>40847</v>
      </c>
      <c r="AK3017" s="831">
        <v>0</v>
      </c>
      <c r="AP3017" s="831" t="str">
        <f t="shared" si="142"/>
        <v/>
      </c>
    </row>
    <row r="3018" spans="2:42">
      <c r="B3018" s="834" t="str">
        <f t="shared" si="141"/>
        <v>|||</v>
      </c>
      <c r="H3018" s="835">
        <f t="shared" si="143"/>
        <v>31</v>
      </c>
      <c r="AF3018" s="831" t="s">
        <v>3675</v>
      </c>
      <c r="AG3018" s="831" t="s">
        <v>130</v>
      </c>
      <c r="AH3018" s="831" t="s">
        <v>199</v>
      </c>
      <c r="AI3018" s="831">
        <v>0</v>
      </c>
      <c r="AJ3018" s="835">
        <v>40847</v>
      </c>
      <c r="AK3018" s="831">
        <v>0</v>
      </c>
      <c r="AP3018" s="831" t="str">
        <f t="shared" si="142"/>
        <v/>
      </c>
    </row>
    <row r="3019" spans="2:42">
      <c r="B3019" s="834" t="str">
        <f t="shared" si="141"/>
        <v>|||</v>
      </c>
      <c r="H3019" s="835">
        <f t="shared" si="143"/>
        <v>31</v>
      </c>
      <c r="AF3019" s="831" t="s">
        <v>3676</v>
      </c>
      <c r="AG3019" s="831" t="s">
        <v>130</v>
      </c>
      <c r="AH3019" s="831" t="s">
        <v>201</v>
      </c>
      <c r="AI3019" s="831">
        <v>0</v>
      </c>
      <c r="AJ3019" s="835">
        <v>40847</v>
      </c>
      <c r="AK3019" s="831">
        <v>23676124</v>
      </c>
      <c r="AP3019" s="831" t="str">
        <f t="shared" si="142"/>
        <v/>
      </c>
    </row>
    <row r="3020" spans="2:42">
      <c r="B3020" s="834" t="str">
        <f t="shared" si="141"/>
        <v>|||</v>
      </c>
      <c r="H3020" s="835">
        <f t="shared" si="143"/>
        <v>31</v>
      </c>
      <c r="AF3020" s="831" t="s">
        <v>3677</v>
      </c>
      <c r="AG3020" s="831" t="s">
        <v>130</v>
      </c>
      <c r="AH3020" s="831" t="s">
        <v>209</v>
      </c>
      <c r="AI3020" s="831">
        <v>0</v>
      </c>
      <c r="AJ3020" s="835">
        <v>40847</v>
      </c>
      <c r="AK3020" s="831">
        <v>22042910</v>
      </c>
      <c r="AP3020" s="831" t="str">
        <f t="shared" si="142"/>
        <v/>
      </c>
    </row>
    <row r="3021" spans="2:42">
      <c r="B3021" s="834" t="str">
        <f t="shared" si="141"/>
        <v>|||</v>
      </c>
      <c r="H3021" s="835">
        <f t="shared" si="143"/>
        <v>31</v>
      </c>
      <c r="AF3021" s="831" t="s">
        <v>3678</v>
      </c>
      <c r="AG3021" s="831" t="s">
        <v>130</v>
      </c>
      <c r="AH3021" s="831" t="s">
        <v>211</v>
      </c>
      <c r="AI3021" s="831">
        <v>0</v>
      </c>
      <c r="AJ3021" s="835">
        <v>40847</v>
      </c>
      <c r="AK3021" s="831">
        <v>106856815</v>
      </c>
      <c r="AP3021" s="831" t="str">
        <f t="shared" si="142"/>
        <v/>
      </c>
    </row>
    <row r="3022" spans="2:42">
      <c r="B3022" s="834" t="str">
        <f t="shared" si="141"/>
        <v>|||</v>
      </c>
      <c r="H3022" s="835">
        <f t="shared" si="143"/>
        <v>31</v>
      </c>
      <c r="AF3022" s="831" t="s">
        <v>3679</v>
      </c>
      <c r="AG3022" s="831" t="s">
        <v>130</v>
      </c>
      <c r="AH3022" s="831" t="s">
        <v>212</v>
      </c>
      <c r="AI3022" s="831">
        <v>0</v>
      </c>
      <c r="AJ3022" s="835">
        <v>40847</v>
      </c>
      <c r="AK3022" s="831">
        <v>6095798</v>
      </c>
      <c r="AP3022" s="831" t="str">
        <f t="shared" si="142"/>
        <v/>
      </c>
    </row>
    <row r="3023" spans="2:42">
      <c r="B3023" s="834" t="str">
        <f t="shared" si="141"/>
        <v>|||</v>
      </c>
      <c r="H3023" s="835">
        <f t="shared" si="143"/>
        <v>31</v>
      </c>
      <c r="AF3023" s="831" t="s">
        <v>3680</v>
      </c>
      <c r="AG3023" s="831" t="s">
        <v>130</v>
      </c>
      <c r="AH3023" s="831" t="s">
        <v>216</v>
      </c>
      <c r="AI3023" s="831">
        <v>0</v>
      </c>
      <c r="AJ3023" s="835">
        <v>40847</v>
      </c>
      <c r="AK3023" s="831">
        <v>0</v>
      </c>
      <c r="AP3023" s="831" t="str">
        <f t="shared" si="142"/>
        <v/>
      </c>
    </row>
    <row r="3024" spans="2:42">
      <c r="B3024" s="834" t="str">
        <f t="shared" si="141"/>
        <v>|||</v>
      </c>
      <c r="H3024" s="835">
        <f t="shared" si="143"/>
        <v>31</v>
      </c>
      <c r="AF3024" s="831" t="s">
        <v>3681</v>
      </c>
      <c r="AG3024" s="831" t="s">
        <v>130</v>
      </c>
      <c r="AH3024" s="831" t="s">
        <v>218</v>
      </c>
      <c r="AI3024" s="831">
        <v>0</v>
      </c>
      <c r="AJ3024" s="835">
        <v>40847</v>
      </c>
      <c r="AK3024" s="831">
        <v>48931560</v>
      </c>
      <c r="AP3024" s="831" t="str">
        <f t="shared" si="142"/>
        <v/>
      </c>
    </row>
    <row r="3025" spans="2:42">
      <c r="B3025" s="834" t="str">
        <f t="shared" si="141"/>
        <v>|||</v>
      </c>
      <c r="H3025" s="835">
        <f t="shared" si="143"/>
        <v>31</v>
      </c>
      <c r="AF3025" s="831" t="s">
        <v>3682</v>
      </c>
      <c r="AG3025" s="831" t="s">
        <v>130</v>
      </c>
      <c r="AH3025" s="831" t="s">
        <v>220</v>
      </c>
      <c r="AI3025" s="831">
        <v>0</v>
      </c>
      <c r="AJ3025" s="835">
        <v>40847</v>
      </c>
      <c r="AK3025" s="831">
        <v>0</v>
      </c>
      <c r="AP3025" s="831" t="str">
        <f t="shared" si="142"/>
        <v/>
      </c>
    </row>
    <row r="3026" spans="2:42">
      <c r="B3026" s="834" t="str">
        <f t="shared" si="141"/>
        <v>|||</v>
      </c>
      <c r="H3026" s="835">
        <f t="shared" si="143"/>
        <v>31</v>
      </c>
      <c r="AF3026" s="831" t="s">
        <v>3683</v>
      </c>
      <c r="AG3026" s="831" t="s">
        <v>130</v>
      </c>
      <c r="AH3026" s="831" t="s">
        <v>221</v>
      </c>
      <c r="AI3026" s="831">
        <v>0</v>
      </c>
      <c r="AJ3026" s="835">
        <v>40847</v>
      </c>
      <c r="AK3026" s="831">
        <v>1074946</v>
      </c>
      <c r="AP3026" s="831" t="str">
        <f t="shared" si="142"/>
        <v/>
      </c>
    </row>
    <row r="3027" spans="2:42">
      <c r="B3027" s="834" t="str">
        <f t="shared" si="141"/>
        <v>|||</v>
      </c>
      <c r="H3027" s="835">
        <f t="shared" si="143"/>
        <v>31</v>
      </c>
      <c r="AF3027" s="831" t="s">
        <v>3684</v>
      </c>
      <c r="AG3027" s="831" t="s">
        <v>130</v>
      </c>
      <c r="AH3027" s="831" t="s">
        <v>228</v>
      </c>
      <c r="AI3027" s="831">
        <v>0</v>
      </c>
      <c r="AJ3027" s="835">
        <v>40847</v>
      </c>
      <c r="AK3027" s="831">
        <v>0</v>
      </c>
      <c r="AP3027" s="831" t="str">
        <f t="shared" si="142"/>
        <v/>
      </c>
    </row>
    <row r="3028" spans="2:42">
      <c r="B3028" s="834" t="str">
        <f t="shared" si="141"/>
        <v>|||</v>
      </c>
      <c r="H3028" s="835">
        <f t="shared" si="143"/>
        <v>31</v>
      </c>
      <c r="AF3028" s="831" t="s">
        <v>3685</v>
      </c>
      <c r="AG3028" s="831" t="s">
        <v>130</v>
      </c>
      <c r="AH3028" s="831" t="s">
        <v>230</v>
      </c>
      <c r="AI3028" s="831">
        <v>0</v>
      </c>
      <c r="AJ3028" s="835">
        <v>40847</v>
      </c>
      <c r="AK3028" s="831">
        <v>0</v>
      </c>
      <c r="AP3028" s="831" t="str">
        <f t="shared" si="142"/>
        <v/>
      </c>
    </row>
    <row r="3029" spans="2:42">
      <c r="B3029" s="834" t="str">
        <f t="shared" si="141"/>
        <v>|||</v>
      </c>
      <c r="H3029" s="835">
        <f t="shared" si="143"/>
        <v>31</v>
      </c>
      <c r="AF3029" s="831" t="s">
        <v>3686</v>
      </c>
      <c r="AG3029" s="831" t="s">
        <v>130</v>
      </c>
      <c r="AH3029" s="831" t="s">
        <v>231</v>
      </c>
      <c r="AI3029" s="831">
        <v>0</v>
      </c>
      <c r="AJ3029" s="835">
        <v>40847</v>
      </c>
      <c r="AK3029" s="831">
        <v>9836250</v>
      </c>
      <c r="AP3029" s="831" t="str">
        <f t="shared" si="142"/>
        <v/>
      </c>
    </row>
    <row r="3030" spans="2:42">
      <c r="B3030" s="834" t="str">
        <f t="shared" si="141"/>
        <v>|||</v>
      </c>
      <c r="H3030" s="835">
        <f t="shared" si="143"/>
        <v>31</v>
      </c>
      <c r="AF3030" s="831" t="s">
        <v>3687</v>
      </c>
      <c r="AG3030" s="831" t="s">
        <v>130</v>
      </c>
      <c r="AH3030" s="831" t="s">
        <v>232</v>
      </c>
      <c r="AI3030" s="831">
        <v>0</v>
      </c>
      <c r="AJ3030" s="835">
        <v>40847</v>
      </c>
      <c r="AK3030" s="831">
        <v>70823327</v>
      </c>
      <c r="AP3030" s="831" t="str">
        <f t="shared" si="142"/>
        <v/>
      </c>
    </row>
    <row r="3031" spans="2:42">
      <c r="B3031" s="834" t="str">
        <f t="shared" si="141"/>
        <v>|||</v>
      </c>
      <c r="H3031" s="835">
        <f t="shared" si="143"/>
        <v>31</v>
      </c>
      <c r="AF3031" s="831" t="s">
        <v>3688</v>
      </c>
      <c r="AG3031" s="831" t="s">
        <v>130</v>
      </c>
      <c r="AH3031" s="831" t="s">
        <v>116</v>
      </c>
      <c r="AI3031" s="831">
        <v>0</v>
      </c>
      <c r="AJ3031" s="835">
        <v>40847</v>
      </c>
      <c r="AK3031" s="831">
        <v>8034658</v>
      </c>
      <c r="AP3031" s="831" t="str">
        <f t="shared" si="142"/>
        <v/>
      </c>
    </row>
    <row r="3032" spans="2:42">
      <c r="B3032" s="834" t="str">
        <f t="shared" si="141"/>
        <v>|||</v>
      </c>
      <c r="H3032" s="835">
        <f t="shared" si="143"/>
        <v>31</v>
      </c>
      <c r="AF3032" s="831" t="s">
        <v>3689</v>
      </c>
      <c r="AG3032" s="831" t="s">
        <v>130</v>
      </c>
      <c r="AH3032" s="831" t="s">
        <v>234</v>
      </c>
      <c r="AI3032" s="831">
        <v>0</v>
      </c>
      <c r="AJ3032" s="835">
        <v>40847</v>
      </c>
      <c r="AK3032" s="831">
        <v>547920</v>
      </c>
      <c r="AP3032" s="831" t="str">
        <f t="shared" si="142"/>
        <v/>
      </c>
    </row>
    <row r="3033" spans="2:42">
      <c r="B3033" s="834" t="str">
        <f t="shared" si="141"/>
        <v>|||</v>
      </c>
      <c r="H3033" s="835">
        <f t="shared" si="143"/>
        <v>31</v>
      </c>
      <c r="AF3033" s="831" t="s">
        <v>3690</v>
      </c>
      <c r="AG3033" s="831" t="s">
        <v>130</v>
      </c>
      <c r="AH3033" s="831" t="s">
        <v>235</v>
      </c>
      <c r="AI3033" s="831">
        <v>0</v>
      </c>
      <c r="AJ3033" s="835">
        <v>40847</v>
      </c>
      <c r="AK3033" s="831">
        <v>2423913</v>
      </c>
      <c r="AP3033" s="831" t="str">
        <f t="shared" si="142"/>
        <v/>
      </c>
    </row>
    <row r="3034" spans="2:42">
      <c r="B3034" s="834" t="str">
        <f t="shared" si="141"/>
        <v>|||</v>
      </c>
      <c r="H3034" s="835">
        <f t="shared" si="143"/>
        <v>31</v>
      </c>
      <c r="AF3034" s="831" t="s">
        <v>3691</v>
      </c>
      <c r="AG3034" s="831" t="s">
        <v>130</v>
      </c>
      <c r="AH3034" s="831" t="s">
        <v>238</v>
      </c>
      <c r="AI3034" s="831">
        <v>0</v>
      </c>
      <c r="AJ3034" s="835">
        <v>40847</v>
      </c>
      <c r="AK3034" s="831">
        <v>0</v>
      </c>
      <c r="AP3034" s="831" t="str">
        <f t="shared" si="142"/>
        <v/>
      </c>
    </row>
    <row r="3035" spans="2:42">
      <c r="B3035" s="834" t="str">
        <f t="shared" si="141"/>
        <v>|||</v>
      </c>
      <c r="H3035" s="835">
        <f t="shared" si="143"/>
        <v>31</v>
      </c>
      <c r="AF3035" s="831" t="s">
        <v>3692</v>
      </c>
      <c r="AG3035" s="831" t="s">
        <v>130</v>
      </c>
      <c r="AH3035" s="831" t="s">
        <v>240</v>
      </c>
      <c r="AI3035" s="831">
        <v>0</v>
      </c>
      <c r="AJ3035" s="835">
        <v>40847</v>
      </c>
      <c r="AK3035" s="831">
        <v>67800000</v>
      </c>
      <c r="AP3035" s="831" t="str">
        <f t="shared" si="142"/>
        <v/>
      </c>
    </row>
    <row r="3036" spans="2:42">
      <c r="B3036" s="834" t="str">
        <f t="shared" si="141"/>
        <v>|||</v>
      </c>
      <c r="H3036" s="835">
        <f t="shared" si="143"/>
        <v>31</v>
      </c>
      <c r="AF3036" s="831" t="s">
        <v>3693</v>
      </c>
      <c r="AG3036" s="831" t="s">
        <v>130</v>
      </c>
      <c r="AH3036" s="831" t="s">
        <v>241</v>
      </c>
      <c r="AI3036" s="831">
        <v>0</v>
      </c>
      <c r="AJ3036" s="835">
        <v>40847</v>
      </c>
      <c r="AK3036" s="831">
        <v>0</v>
      </c>
      <c r="AP3036" s="831" t="str">
        <f t="shared" si="142"/>
        <v/>
      </c>
    </row>
    <row r="3037" spans="2:42">
      <c r="B3037" s="834" t="str">
        <f t="shared" si="141"/>
        <v>|||</v>
      </c>
      <c r="H3037" s="835">
        <f t="shared" si="143"/>
        <v>31</v>
      </c>
      <c r="AF3037" s="831" t="s">
        <v>3694</v>
      </c>
      <c r="AG3037" s="831" t="s">
        <v>130</v>
      </c>
      <c r="AH3037" s="831" t="s">
        <v>242</v>
      </c>
      <c r="AI3037" s="831">
        <v>0</v>
      </c>
      <c r="AJ3037" s="835">
        <v>40847</v>
      </c>
      <c r="AK3037" s="831">
        <v>0</v>
      </c>
      <c r="AP3037" s="831" t="str">
        <f t="shared" si="142"/>
        <v/>
      </c>
    </row>
    <row r="3038" spans="2:42">
      <c r="B3038" s="834" t="str">
        <f t="shared" si="141"/>
        <v>|||</v>
      </c>
      <c r="H3038" s="835">
        <f t="shared" si="143"/>
        <v>31</v>
      </c>
      <c r="AF3038" s="831" t="s">
        <v>3695</v>
      </c>
      <c r="AG3038" s="831" t="s">
        <v>130</v>
      </c>
      <c r="AH3038" s="831" t="s">
        <v>244</v>
      </c>
      <c r="AI3038" s="831">
        <v>0</v>
      </c>
      <c r="AJ3038" s="835">
        <v>40847</v>
      </c>
      <c r="AK3038" s="831">
        <v>254923</v>
      </c>
      <c r="AP3038" s="831" t="str">
        <f t="shared" si="142"/>
        <v/>
      </c>
    </row>
    <row r="3039" spans="2:42">
      <c r="B3039" s="834" t="str">
        <f t="shared" si="141"/>
        <v>|||</v>
      </c>
      <c r="H3039" s="835">
        <f t="shared" si="143"/>
        <v>31</v>
      </c>
      <c r="AF3039" s="831" t="s">
        <v>3696</v>
      </c>
      <c r="AG3039" s="831" t="s">
        <v>130</v>
      </c>
      <c r="AH3039" s="831" t="s">
        <v>245</v>
      </c>
      <c r="AI3039" s="831">
        <v>0</v>
      </c>
      <c r="AJ3039" s="835">
        <v>40847</v>
      </c>
      <c r="AK3039" s="831">
        <v>15882353</v>
      </c>
      <c r="AP3039" s="831" t="str">
        <f t="shared" si="142"/>
        <v/>
      </c>
    </row>
    <row r="3040" spans="2:42">
      <c r="B3040" s="834" t="str">
        <f t="shared" si="141"/>
        <v>|||</v>
      </c>
      <c r="H3040" s="835">
        <f t="shared" si="143"/>
        <v>31</v>
      </c>
      <c r="AF3040" s="831" t="s">
        <v>3697</v>
      </c>
      <c r="AG3040" s="831" t="s">
        <v>130</v>
      </c>
      <c r="AH3040" s="831" t="s">
        <v>145</v>
      </c>
      <c r="AI3040" s="831">
        <v>0</v>
      </c>
      <c r="AJ3040" s="835">
        <v>40877</v>
      </c>
      <c r="AK3040" s="831">
        <v>31500710</v>
      </c>
      <c r="AP3040" s="831" t="str">
        <f t="shared" si="142"/>
        <v/>
      </c>
    </row>
    <row r="3041" spans="2:42">
      <c r="B3041" s="834" t="str">
        <f t="shared" si="141"/>
        <v>|||</v>
      </c>
      <c r="H3041" s="835">
        <f t="shared" si="143"/>
        <v>31</v>
      </c>
      <c r="AF3041" s="831" t="s">
        <v>3698</v>
      </c>
      <c r="AG3041" s="831" t="s">
        <v>130</v>
      </c>
      <c r="AH3041" s="831" t="s">
        <v>149</v>
      </c>
      <c r="AI3041" s="831">
        <v>0</v>
      </c>
      <c r="AJ3041" s="835">
        <v>40877</v>
      </c>
      <c r="AK3041" s="831">
        <v>0</v>
      </c>
      <c r="AP3041" s="831" t="str">
        <f t="shared" si="142"/>
        <v/>
      </c>
    </row>
    <row r="3042" spans="2:42">
      <c r="B3042" s="834" t="str">
        <f t="shared" si="141"/>
        <v>|||</v>
      </c>
      <c r="H3042" s="835">
        <f t="shared" si="143"/>
        <v>31</v>
      </c>
      <c r="AF3042" s="831" t="s">
        <v>3699</v>
      </c>
      <c r="AG3042" s="831" t="s">
        <v>130</v>
      </c>
      <c r="AH3042" s="831" t="s">
        <v>153</v>
      </c>
      <c r="AI3042" s="831">
        <v>0</v>
      </c>
      <c r="AJ3042" s="835">
        <v>40877</v>
      </c>
      <c r="AK3042" s="831">
        <v>13812503</v>
      </c>
      <c r="AP3042" s="831" t="str">
        <f t="shared" si="142"/>
        <v/>
      </c>
    </row>
    <row r="3043" spans="2:42">
      <c r="B3043" s="834" t="str">
        <f t="shared" si="141"/>
        <v>|||</v>
      </c>
      <c r="H3043" s="835">
        <f t="shared" si="143"/>
        <v>31</v>
      </c>
      <c r="AF3043" s="831" t="s">
        <v>3700</v>
      </c>
      <c r="AG3043" s="831" t="s">
        <v>130</v>
      </c>
      <c r="AH3043" s="831" t="s">
        <v>156</v>
      </c>
      <c r="AI3043" s="831">
        <v>0</v>
      </c>
      <c r="AJ3043" s="835">
        <v>40877</v>
      </c>
      <c r="AK3043" s="831">
        <v>0</v>
      </c>
      <c r="AP3043" s="831" t="str">
        <f t="shared" si="142"/>
        <v/>
      </c>
    </row>
    <row r="3044" spans="2:42">
      <c r="B3044" s="834" t="str">
        <f t="shared" si="141"/>
        <v>|||</v>
      </c>
      <c r="H3044" s="835">
        <f t="shared" si="143"/>
        <v>31</v>
      </c>
      <c r="AF3044" s="831" t="s">
        <v>3701</v>
      </c>
      <c r="AG3044" s="831" t="s">
        <v>130</v>
      </c>
      <c r="AH3044" s="831" t="s">
        <v>162</v>
      </c>
      <c r="AI3044" s="831">
        <v>0</v>
      </c>
      <c r="AJ3044" s="835">
        <v>40877</v>
      </c>
      <c r="AK3044" s="831">
        <v>289381710</v>
      </c>
      <c r="AP3044" s="831" t="str">
        <f t="shared" si="142"/>
        <v/>
      </c>
    </row>
    <row r="3045" spans="2:42">
      <c r="B3045" s="834" t="str">
        <f t="shared" si="141"/>
        <v>|||</v>
      </c>
      <c r="H3045" s="835">
        <f t="shared" si="143"/>
        <v>31</v>
      </c>
      <c r="AF3045" s="831" t="s">
        <v>3702</v>
      </c>
      <c r="AG3045" s="831" t="s">
        <v>130</v>
      </c>
      <c r="AH3045" s="831" t="s">
        <v>165</v>
      </c>
      <c r="AI3045" s="831">
        <v>0</v>
      </c>
      <c r="AJ3045" s="835">
        <v>40877</v>
      </c>
      <c r="AK3045" s="831">
        <v>-7771212</v>
      </c>
      <c r="AP3045" s="831" t="str">
        <f t="shared" si="142"/>
        <v/>
      </c>
    </row>
    <row r="3046" spans="2:42">
      <c r="B3046" s="834" t="str">
        <f t="shared" si="141"/>
        <v>|||</v>
      </c>
      <c r="H3046" s="835">
        <f t="shared" si="143"/>
        <v>31</v>
      </c>
      <c r="AF3046" s="831" t="s">
        <v>3703</v>
      </c>
      <c r="AG3046" s="831" t="s">
        <v>130</v>
      </c>
      <c r="AH3046" s="831" t="s">
        <v>171</v>
      </c>
      <c r="AI3046" s="831">
        <v>0</v>
      </c>
      <c r="AJ3046" s="835">
        <v>40877</v>
      </c>
      <c r="AK3046" s="831">
        <v>2753619</v>
      </c>
      <c r="AP3046" s="831" t="str">
        <f t="shared" si="142"/>
        <v/>
      </c>
    </row>
    <row r="3047" spans="2:42">
      <c r="B3047" s="834" t="str">
        <f t="shared" si="141"/>
        <v>|||</v>
      </c>
      <c r="H3047" s="835">
        <f t="shared" si="143"/>
        <v>31</v>
      </c>
      <c r="AF3047" s="831" t="s">
        <v>3704</v>
      </c>
      <c r="AG3047" s="831" t="s">
        <v>130</v>
      </c>
      <c r="AH3047" s="831" t="s">
        <v>174</v>
      </c>
      <c r="AI3047" s="831">
        <v>0</v>
      </c>
      <c r="AJ3047" s="835">
        <v>40877</v>
      </c>
      <c r="AK3047" s="831">
        <v>0</v>
      </c>
      <c r="AP3047" s="831" t="str">
        <f t="shared" si="142"/>
        <v/>
      </c>
    </row>
    <row r="3048" spans="2:42">
      <c r="B3048" s="834" t="str">
        <f t="shared" si="141"/>
        <v>|||</v>
      </c>
      <c r="H3048" s="835">
        <f t="shared" si="143"/>
        <v>31</v>
      </c>
      <c r="AF3048" s="831" t="s">
        <v>3705</v>
      </c>
      <c r="AG3048" s="831" t="s">
        <v>130</v>
      </c>
      <c r="AH3048" s="831" t="s">
        <v>181</v>
      </c>
      <c r="AI3048" s="831">
        <v>0</v>
      </c>
      <c r="AJ3048" s="835">
        <v>40877</v>
      </c>
      <c r="AK3048" s="831">
        <v>17922196</v>
      </c>
      <c r="AP3048" s="831" t="str">
        <f t="shared" si="142"/>
        <v/>
      </c>
    </row>
    <row r="3049" spans="2:42">
      <c r="B3049" s="834" t="str">
        <f t="shared" si="141"/>
        <v>|||</v>
      </c>
      <c r="H3049" s="835">
        <f t="shared" si="143"/>
        <v>31</v>
      </c>
      <c r="AF3049" s="831" t="s">
        <v>3706</v>
      </c>
      <c r="AG3049" s="831" t="s">
        <v>130</v>
      </c>
      <c r="AH3049" s="831" t="s">
        <v>184</v>
      </c>
      <c r="AI3049" s="831">
        <v>0</v>
      </c>
      <c r="AJ3049" s="835">
        <v>40877</v>
      </c>
      <c r="AK3049" s="831">
        <v>-7907440</v>
      </c>
      <c r="AP3049" s="831" t="str">
        <f t="shared" si="142"/>
        <v/>
      </c>
    </row>
    <row r="3050" spans="2:42">
      <c r="B3050" s="834" t="str">
        <f t="shared" si="141"/>
        <v>|||</v>
      </c>
      <c r="H3050" s="835">
        <f t="shared" si="143"/>
        <v>31</v>
      </c>
      <c r="AF3050" s="831" t="s">
        <v>3707</v>
      </c>
      <c r="AG3050" s="831" t="s">
        <v>130</v>
      </c>
      <c r="AH3050" s="831" t="s">
        <v>187</v>
      </c>
      <c r="AI3050" s="831">
        <v>0</v>
      </c>
      <c r="AJ3050" s="835">
        <v>40877</v>
      </c>
      <c r="AK3050" s="831">
        <v>0</v>
      </c>
      <c r="AP3050" s="831" t="str">
        <f t="shared" si="142"/>
        <v/>
      </c>
    </row>
    <row r="3051" spans="2:42">
      <c r="B3051" s="834" t="str">
        <f t="shared" si="141"/>
        <v>|||</v>
      </c>
      <c r="H3051" s="835">
        <f t="shared" si="143"/>
        <v>31</v>
      </c>
      <c r="AF3051" s="831" t="s">
        <v>3708</v>
      </c>
      <c r="AG3051" s="831" t="s">
        <v>130</v>
      </c>
      <c r="AH3051" s="831" t="s">
        <v>196</v>
      </c>
      <c r="AI3051" s="831">
        <v>0</v>
      </c>
      <c r="AJ3051" s="835">
        <v>40877</v>
      </c>
      <c r="AK3051" s="831">
        <v>3900870</v>
      </c>
      <c r="AP3051" s="831" t="str">
        <f t="shared" si="142"/>
        <v/>
      </c>
    </row>
    <row r="3052" spans="2:42">
      <c r="B3052" s="834" t="str">
        <f t="shared" si="141"/>
        <v>|||</v>
      </c>
      <c r="H3052" s="835">
        <f t="shared" si="143"/>
        <v>31</v>
      </c>
      <c r="AF3052" s="831" t="s">
        <v>3709</v>
      </c>
      <c r="AG3052" s="831" t="s">
        <v>130</v>
      </c>
      <c r="AH3052" s="831" t="s">
        <v>197</v>
      </c>
      <c r="AI3052" s="831">
        <v>0</v>
      </c>
      <c r="AJ3052" s="835">
        <v>40877</v>
      </c>
      <c r="AK3052" s="831">
        <v>0</v>
      </c>
      <c r="AP3052" s="831" t="str">
        <f t="shared" si="142"/>
        <v/>
      </c>
    </row>
    <row r="3053" spans="2:42">
      <c r="B3053" s="834" t="str">
        <f t="shared" si="141"/>
        <v>|||</v>
      </c>
      <c r="H3053" s="835">
        <f t="shared" si="143"/>
        <v>31</v>
      </c>
      <c r="AF3053" s="831" t="s">
        <v>3710</v>
      </c>
      <c r="AG3053" s="831" t="s">
        <v>130</v>
      </c>
      <c r="AH3053" s="831" t="s">
        <v>199</v>
      </c>
      <c r="AI3053" s="831">
        <v>0</v>
      </c>
      <c r="AJ3053" s="835">
        <v>40877</v>
      </c>
      <c r="AK3053" s="831">
        <v>0</v>
      </c>
      <c r="AP3053" s="831" t="str">
        <f t="shared" si="142"/>
        <v/>
      </c>
    </row>
    <row r="3054" spans="2:42">
      <c r="B3054" s="834" t="str">
        <f t="shared" si="141"/>
        <v>|||</v>
      </c>
      <c r="H3054" s="835">
        <f t="shared" si="143"/>
        <v>31</v>
      </c>
      <c r="AF3054" s="831" t="s">
        <v>3711</v>
      </c>
      <c r="AG3054" s="831" t="s">
        <v>130</v>
      </c>
      <c r="AH3054" s="831" t="s">
        <v>201</v>
      </c>
      <c r="AI3054" s="831">
        <v>0</v>
      </c>
      <c r="AJ3054" s="835">
        <v>40877</v>
      </c>
      <c r="AK3054" s="831">
        <v>22799882</v>
      </c>
      <c r="AP3054" s="831" t="str">
        <f t="shared" si="142"/>
        <v/>
      </c>
    </row>
    <row r="3055" spans="2:42">
      <c r="B3055" s="834" t="str">
        <f t="shared" si="141"/>
        <v>|||</v>
      </c>
      <c r="H3055" s="835">
        <f t="shared" si="143"/>
        <v>31</v>
      </c>
      <c r="AF3055" s="831" t="s">
        <v>3712</v>
      </c>
      <c r="AG3055" s="831" t="s">
        <v>130</v>
      </c>
      <c r="AH3055" s="831" t="s">
        <v>209</v>
      </c>
      <c r="AI3055" s="831">
        <v>0</v>
      </c>
      <c r="AJ3055" s="835">
        <v>40877</v>
      </c>
      <c r="AK3055" s="831">
        <v>22355521</v>
      </c>
      <c r="AP3055" s="831" t="str">
        <f t="shared" si="142"/>
        <v/>
      </c>
    </row>
    <row r="3056" spans="2:42">
      <c r="B3056" s="834" t="str">
        <f t="shared" si="141"/>
        <v>|||</v>
      </c>
      <c r="H3056" s="835">
        <f t="shared" si="143"/>
        <v>31</v>
      </c>
      <c r="AF3056" s="831" t="s">
        <v>3713</v>
      </c>
      <c r="AG3056" s="831" t="s">
        <v>130</v>
      </c>
      <c r="AH3056" s="831" t="s">
        <v>211</v>
      </c>
      <c r="AI3056" s="831">
        <v>0</v>
      </c>
      <c r="AJ3056" s="835">
        <v>40877</v>
      </c>
      <c r="AK3056" s="831">
        <v>106228513</v>
      </c>
      <c r="AP3056" s="831" t="str">
        <f t="shared" si="142"/>
        <v/>
      </c>
    </row>
    <row r="3057" spans="2:42">
      <c r="B3057" s="834" t="str">
        <f t="shared" si="141"/>
        <v>|||</v>
      </c>
      <c r="H3057" s="835">
        <f t="shared" si="143"/>
        <v>31</v>
      </c>
      <c r="AF3057" s="831" t="s">
        <v>3714</v>
      </c>
      <c r="AG3057" s="831" t="s">
        <v>130</v>
      </c>
      <c r="AH3057" s="831" t="s">
        <v>212</v>
      </c>
      <c r="AI3057" s="831">
        <v>0</v>
      </c>
      <c r="AJ3057" s="835">
        <v>40877</v>
      </c>
      <c r="AK3057" s="831">
        <v>6301418</v>
      </c>
      <c r="AP3057" s="831" t="str">
        <f t="shared" si="142"/>
        <v/>
      </c>
    </row>
    <row r="3058" spans="2:42">
      <c r="B3058" s="834" t="str">
        <f t="shared" si="141"/>
        <v>|||</v>
      </c>
      <c r="H3058" s="835">
        <f t="shared" si="143"/>
        <v>31</v>
      </c>
      <c r="AF3058" s="831" t="s">
        <v>3715</v>
      </c>
      <c r="AG3058" s="831" t="s">
        <v>130</v>
      </c>
      <c r="AH3058" s="831" t="s">
        <v>216</v>
      </c>
      <c r="AI3058" s="831">
        <v>0</v>
      </c>
      <c r="AJ3058" s="835">
        <v>40877</v>
      </c>
      <c r="AK3058" s="831">
        <v>0</v>
      </c>
      <c r="AP3058" s="831" t="str">
        <f t="shared" si="142"/>
        <v/>
      </c>
    </row>
    <row r="3059" spans="2:42">
      <c r="B3059" s="834" t="str">
        <f t="shared" si="141"/>
        <v>|||</v>
      </c>
      <c r="H3059" s="835">
        <f t="shared" si="143"/>
        <v>31</v>
      </c>
      <c r="AF3059" s="831" t="s">
        <v>3716</v>
      </c>
      <c r="AG3059" s="831" t="s">
        <v>130</v>
      </c>
      <c r="AH3059" s="831" t="s">
        <v>218</v>
      </c>
      <c r="AI3059" s="831">
        <v>0</v>
      </c>
      <c r="AJ3059" s="835">
        <v>40877</v>
      </c>
      <c r="AK3059" s="831">
        <v>61525820</v>
      </c>
      <c r="AP3059" s="831" t="str">
        <f t="shared" si="142"/>
        <v/>
      </c>
    </row>
    <row r="3060" spans="2:42">
      <c r="B3060" s="834" t="str">
        <f t="shared" si="141"/>
        <v>|||</v>
      </c>
      <c r="H3060" s="835">
        <f t="shared" si="143"/>
        <v>31</v>
      </c>
      <c r="AF3060" s="831" t="s">
        <v>3717</v>
      </c>
      <c r="AG3060" s="831" t="s">
        <v>130</v>
      </c>
      <c r="AH3060" s="831" t="s">
        <v>220</v>
      </c>
      <c r="AI3060" s="831">
        <v>0</v>
      </c>
      <c r="AJ3060" s="835">
        <v>40877</v>
      </c>
      <c r="AK3060" s="831">
        <v>0</v>
      </c>
      <c r="AP3060" s="831" t="str">
        <f t="shared" si="142"/>
        <v/>
      </c>
    </row>
    <row r="3061" spans="2:42">
      <c r="B3061" s="834" t="str">
        <f t="shared" si="141"/>
        <v>|||</v>
      </c>
      <c r="H3061" s="835">
        <f t="shared" si="143"/>
        <v>31</v>
      </c>
      <c r="AF3061" s="831" t="s">
        <v>3718</v>
      </c>
      <c r="AG3061" s="831" t="s">
        <v>130</v>
      </c>
      <c r="AH3061" s="831" t="s">
        <v>221</v>
      </c>
      <c r="AI3061" s="831">
        <v>0</v>
      </c>
      <c r="AJ3061" s="835">
        <v>40877</v>
      </c>
      <c r="AK3061" s="831">
        <v>1657527</v>
      </c>
      <c r="AP3061" s="831" t="str">
        <f t="shared" si="142"/>
        <v/>
      </c>
    </row>
    <row r="3062" spans="2:42">
      <c r="B3062" s="834" t="str">
        <f t="shared" si="141"/>
        <v>|||</v>
      </c>
      <c r="H3062" s="835">
        <f t="shared" si="143"/>
        <v>31</v>
      </c>
      <c r="AF3062" s="831" t="s">
        <v>3719</v>
      </c>
      <c r="AG3062" s="831" t="s">
        <v>130</v>
      </c>
      <c r="AH3062" s="831" t="s">
        <v>228</v>
      </c>
      <c r="AI3062" s="831">
        <v>0</v>
      </c>
      <c r="AJ3062" s="835">
        <v>40877</v>
      </c>
      <c r="AK3062" s="831">
        <v>0</v>
      </c>
      <c r="AP3062" s="831" t="str">
        <f t="shared" si="142"/>
        <v/>
      </c>
    </row>
    <row r="3063" spans="2:42">
      <c r="B3063" s="834" t="str">
        <f t="shared" si="141"/>
        <v>|||</v>
      </c>
      <c r="H3063" s="835">
        <f t="shared" si="143"/>
        <v>31</v>
      </c>
      <c r="AF3063" s="831" t="s">
        <v>3720</v>
      </c>
      <c r="AG3063" s="831" t="s">
        <v>130</v>
      </c>
      <c r="AH3063" s="831" t="s">
        <v>230</v>
      </c>
      <c r="AI3063" s="831">
        <v>0</v>
      </c>
      <c r="AJ3063" s="835">
        <v>40877</v>
      </c>
      <c r="AK3063" s="831">
        <v>0</v>
      </c>
      <c r="AP3063" s="831" t="str">
        <f t="shared" si="142"/>
        <v/>
      </c>
    </row>
    <row r="3064" spans="2:42">
      <c r="B3064" s="834" t="str">
        <f t="shared" si="141"/>
        <v>|||</v>
      </c>
      <c r="H3064" s="835">
        <f t="shared" si="143"/>
        <v>31</v>
      </c>
      <c r="AF3064" s="831" t="s">
        <v>3721</v>
      </c>
      <c r="AG3064" s="831" t="s">
        <v>130</v>
      </c>
      <c r="AH3064" s="831" t="s">
        <v>231</v>
      </c>
      <c r="AI3064" s="831">
        <v>0</v>
      </c>
      <c r="AJ3064" s="835">
        <v>40877</v>
      </c>
      <c r="AK3064" s="831">
        <v>9830000</v>
      </c>
      <c r="AP3064" s="831" t="str">
        <f t="shared" si="142"/>
        <v/>
      </c>
    </row>
    <row r="3065" spans="2:42">
      <c r="B3065" s="834" t="str">
        <f t="shared" si="141"/>
        <v>|||</v>
      </c>
      <c r="H3065" s="835">
        <f t="shared" si="143"/>
        <v>31</v>
      </c>
      <c r="AF3065" s="831" t="s">
        <v>3722</v>
      </c>
      <c r="AG3065" s="831" t="s">
        <v>130</v>
      </c>
      <c r="AH3065" s="831" t="s">
        <v>232</v>
      </c>
      <c r="AI3065" s="831">
        <v>0</v>
      </c>
      <c r="AJ3065" s="835">
        <v>40877</v>
      </c>
      <c r="AK3065" s="831">
        <v>62642551</v>
      </c>
      <c r="AP3065" s="831" t="str">
        <f t="shared" si="142"/>
        <v/>
      </c>
    </row>
    <row r="3066" spans="2:42">
      <c r="B3066" s="834" t="str">
        <f t="shared" si="141"/>
        <v>|||</v>
      </c>
      <c r="H3066" s="835">
        <f t="shared" si="143"/>
        <v>31</v>
      </c>
      <c r="AF3066" s="831" t="s">
        <v>3723</v>
      </c>
      <c r="AG3066" s="831" t="s">
        <v>130</v>
      </c>
      <c r="AH3066" s="831" t="s">
        <v>116</v>
      </c>
      <c r="AI3066" s="831">
        <v>0</v>
      </c>
      <c r="AJ3066" s="835">
        <v>40877</v>
      </c>
      <c r="AK3066" s="831">
        <v>8029553</v>
      </c>
      <c r="AP3066" s="831" t="str">
        <f t="shared" si="142"/>
        <v/>
      </c>
    </row>
    <row r="3067" spans="2:42">
      <c r="B3067" s="834" t="str">
        <f t="shared" si="141"/>
        <v>|||</v>
      </c>
      <c r="H3067" s="835">
        <f t="shared" si="143"/>
        <v>31</v>
      </c>
      <c r="AF3067" s="831" t="s">
        <v>3724</v>
      </c>
      <c r="AG3067" s="831" t="s">
        <v>130</v>
      </c>
      <c r="AH3067" s="831" t="s">
        <v>234</v>
      </c>
      <c r="AI3067" s="831">
        <v>0</v>
      </c>
      <c r="AJ3067" s="835">
        <v>40877</v>
      </c>
      <c r="AK3067" s="831">
        <v>675830</v>
      </c>
      <c r="AP3067" s="831" t="str">
        <f t="shared" si="142"/>
        <v/>
      </c>
    </row>
    <row r="3068" spans="2:42">
      <c r="B3068" s="834" t="str">
        <f t="shared" si="141"/>
        <v>|||</v>
      </c>
      <c r="H3068" s="835">
        <f t="shared" si="143"/>
        <v>31</v>
      </c>
      <c r="AF3068" s="831" t="s">
        <v>3725</v>
      </c>
      <c r="AG3068" s="831" t="s">
        <v>130</v>
      </c>
      <c r="AH3068" s="831" t="s">
        <v>235</v>
      </c>
      <c r="AI3068" s="831">
        <v>0</v>
      </c>
      <c r="AJ3068" s="835">
        <v>40877</v>
      </c>
      <c r="AK3068" s="831">
        <v>1906900</v>
      </c>
      <c r="AP3068" s="831" t="str">
        <f t="shared" si="142"/>
        <v/>
      </c>
    </row>
    <row r="3069" spans="2:42">
      <c r="B3069" s="834" t="str">
        <f t="shared" si="141"/>
        <v>|||</v>
      </c>
      <c r="H3069" s="835">
        <f t="shared" si="143"/>
        <v>31</v>
      </c>
      <c r="AF3069" s="831" t="s">
        <v>3726</v>
      </c>
      <c r="AG3069" s="831" t="s">
        <v>130</v>
      </c>
      <c r="AH3069" s="831" t="s">
        <v>238</v>
      </c>
      <c r="AI3069" s="831">
        <v>0</v>
      </c>
      <c r="AJ3069" s="835">
        <v>40877</v>
      </c>
      <c r="AK3069" s="831">
        <v>0</v>
      </c>
      <c r="AP3069" s="831" t="str">
        <f t="shared" si="142"/>
        <v/>
      </c>
    </row>
    <row r="3070" spans="2:42">
      <c r="B3070" s="834" t="str">
        <f t="shared" si="141"/>
        <v>|||</v>
      </c>
      <c r="H3070" s="835">
        <f t="shared" si="143"/>
        <v>31</v>
      </c>
      <c r="AF3070" s="831" t="s">
        <v>3727</v>
      </c>
      <c r="AG3070" s="831" t="s">
        <v>130</v>
      </c>
      <c r="AH3070" s="831" t="s">
        <v>240</v>
      </c>
      <c r="AI3070" s="831">
        <v>0</v>
      </c>
      <c r="AJ3070" s="835">
        <v>40877</v>
      </c>
      <c r="AK3070" s="831">
        <v>67800000</v>
      </c>
      <c r="AP3070" s="831" t="str">
        <f t="shared" si="142"/>
        <v/>
      </c>
    </row>
    <row r="3071" spans="2:42">
      <c r="B3071" s="834" t="str">
        <f t="shared" si="141"/>
        <v>|||</v>
      </c>
      <c r="H3071" s="835">
        <f t="shared" si="143"/>
        <v>31</v>
      </c>
      <c r="AF3071" s="831" t="s">
        <v>3728</v>
      </c>
      <c r="AG3071" s="831" t="s">
        <v>130</v>
      </c>
      <c r="AH3071" s="831" t="s">
        <v>241</v>
      </c>
      <c r="AI3071" s="831">
        <v>0</v>
      </c>
      <c r="AJ3071" s="835">
        <v>40877</v>
      </c>
      <c r="AK3071" s="831">
        <v>0</v>
      </c>
      <c r="AP3071" s="831" t="str">
        <f t="shared" si="142"/>
        <v/>
      </c>
    </row>
    <row r="3072" spans="2:42">
      <c r="B3072" s="834" t="str">
        <f t="shared" si="141"/>
        <v>|||</v>
      </c>
      <c r="H3072" s="835">
        <f t="shared" si="143"/>
        <v>31</v>
      </c>
      <c r="AF3072" s="831" t="s">
        <v>3729</v>
      </c>
      <c r="AG3072" s="831" t="s">
        <v>130</v>
      </c>
      <c r="AH3072" s="831" t="s">
        <v>242</v>
      </c>
      <c r="AI3072" s="831">
        <v>0</v>
      </c>
      <c r="AJ3072" s="835">
        <v>40877</v>
      </c>
      <c r="AK3072" s="831">
        <v>0</v>
      </c>
      <c r="AP3072" s="831" t="str">
        <f t="shared" si="142"/>
        <v/>
      </c>
    </row>
    <row r="3073" spans="2:42">
      <c r="B3073" s="834" t="str">
        <f t="shared" si="141"/>
        <v>|||</v>
      </c>
      <c r="H3073" s="835">
        <f t="shared" si="143"/>
        <v>31</v>
      </c>
      <c r="AF3073" s="831" t="s">
        <v>3730</v>
      </c>
      <c r="AG3073" s="831" t="s">
        <v>130</v>
      </c>
      <c r="AH3073" s="831" t="s">
        <v>244</v>
      </c>
      <c r="AI3073" s="831">
        <v>0</v>
      </c>
      <c r="AJ3073" s="835">
        <v>40877</v>
      </c>
      <c r="AK3073" s="831">
        <v>254924</v>
      </c>
      <c r="AP3073" s="831" t="str">
        <f t="shared" si="142"/>
        <v/>
      </c>
    </row>
    <row r="3074" spans="2:42">
      <c r="B3074" s="834" t="str">
        <f t="shared" si="141"/>
        <v>|||</v>
      </c>
      <c r="H3074" s="835">
        <f t="shared" si="143"/>
        <v>31</v>
      </c>
      <c r="AF3074" s="831" t="s">
        <v>3731</v>
      </c>
      <c r="AG3074" s="831" t="s">
        <v>130</v>
      </c>
      <c r="AH3074" s="831" t="s">
        <v>245</v>
      </c>
      <c r="AI3074" s="831">
        <v>0</v>
      </c>
      <c r="AJ3074" s="835">
        <v>40877</v>
      </c>
      <c r="AK3074" s="831">
        <v>17184281</v>
      </c>
      <c r="AP3074" s="831" t="str">
        <f t="shared" si="142"/>
        <v/>
      </c>
    </row>
    <row r="3075" spans="2:42">
      <c r="B3075" s="834" t="str">
        <f t="shared" ref="B3075:B3138" si="144">C3075&amp;"|"&amp;D3075&amp;"|"&amp;E3075&amp;"|"&amp;F3075</f>
        <v>|||</v>
      </c>
      <c r="H3075" s="835">
        <f t="shared" si="143"/>
        <v>31</v>
      </c>
      <c r="AF3075" s="831" t="s">
        <v>3732</v>
      </c>
      <c r="AG3075" s="831" t="s">
        <v>130</v>
      </c>
      <c r="AH3075" s="831" t="s">
        <v>145</v>
      </c>
      <c r="AI3075" s="831">
        <v>0</v>
      </c>
      <c r="AJ3075" s="835">
        <v>40908</v>
      </c>
      <c r="AK3075" s="831">
        <v>24843222</v>
      </c>
      <c r="AP3075" s="831" t="str">
        <f t="shared" ref="AP3075:AP3138" si="145">IF(AX3075&lt;&gt;"",IF(OR(AX3075=3,AX3075=4),"Equity","Debt"),"")</f>
        <v/>
      </c>
    </row>
    <row r="3076" spans="2:42">
      <c r="B3076" s="834" t="str">
        <f t="shared" si="144"/>
        <v>|||</v>
      </c>
      <c r="H3076" s="835">
        <f t="shared" ref="H3076:H3139" si="146">EOMONTH(L3076,0)</f>
        <v>31</v>
      </c>
      <c r="AF3076" s="831" t="s">
        <v>3733</v>
      </c>
      <c r="AG3076" s="831" t="s">
        <v>130</v>
      </c>
      <c r="AH3076" s="831" t="s">
        <v>149</v>
      </c>
      <c r="AI3076" s="831">
        <v>0</v>
      </c>
      <c r="AJ3076" s="835">
        <v>40908</v>
      </c>
      <c r="AK3076" s="831">
        <v>0</v>
      </c>
      <c r="AP3076" s="831" t="str">
        <f t="shared" si="145"/>
        <v/>
      </c>
    </row>
    <row r="3077" spans="2:42">
      <c r="B3077" s="834" t="str">
        <f t="shared" si="144"/>
        <v>|||</v>
      </c>
      <c r="H3077" s="835">
        <f t="shared" si="146"/>
        <v>31</v>
      </c>
      <c r="AF3077" s="831" t="s">
        <v>3734</v>
      </c>
      <c r="AG3077" s="831" t="s">
        <v>130</v>
      </c>
      <c r="AH3077" s="831" t="s">
        <v>153</v>
      </c>
      <c r="AI3077" s="831">
        <v>0</v>
      </c>
      <c r="AJ3077" s="835">
        <v>40908</v>
      </c>
      <c r="AK3077" s="831">
        <v>29191821</v>
      </c>
      <c r="AP3077" s="831" t="str">
        <f t="shared" si="145"/>
        <v/>
      </c>
    </row>
    <row r="3078" spans="2:42">
      <c r="B3078" s="834" t="str">
        <f t="shared" si="144"/>
        <v>|||</v>
      </c>
      <c r="H3078" s="835">
        <f t="shared" si="146"/>
        <v>31</v>
      </c>
      <c r="AF3078" s="831" t="s">
        <v>3735</v>
      </c>
      <c r="AG3078" s="831" t="s">
        <v>130</v>
      </c>
      <c r="AH3078" s="831" t="s">
        <v>156</v>
      </c>
      <c r="AI3078" s="831">
        <v>0</v>
      </c>
      <c r="AJ3078" s="835">
        <v>40908</v>
      </c>
      <c r="AK3078" s="831">
        <v>0</v>
      </c>
      <c r="AP3078" s="831" t="str">
        <f t="shared" si="145"/>
        <v/>
      </c>
    </row>
    <row r="3079" spans="2:42">
      <c r="B3079" s="834" t="str">
        <f t="shared" si="144"/>
        <v>|||</v>
      </c>
      <c r="H3079" s="835">
        <f t="shared" si="146"/>
        <v>31</v>
      </c>
      <c r="AF3079" s="831" t="s">
        <v>3736</v>
      </c>
      <c r="AG3079" s="831" t="s">
        <v>130</v>
      </c>
      <c r="AH3079" s="831" t="s">
        <v>162</v>
      </c>
      <c r="AI3079" s="831">
        <v>0</v>
      </c>
      <c r="AJ3079" s="835">
        <v>40908</v>
      </c>
      <c r="AK3079" s="831">
        <v>297355050</v>
      </c>
      <c r="AP3079" s="831" t="str">
        <f t="shared" si="145"/>
        <v/>
      </c>
    </row>
    <row r="3080" spans="2:42">
      <c r="B3080" s="834" t="str">
        <f t="shared" si="144"/>
        <v>|||</v>
      </c>
      <c r="H3080" s="835">
        <f t="shared" si="146"/>
        <v>31</v>
      </c>
      <c r="AF3080" s="831" t="s">
        <v>3737</v>
      </c>
      <c r="AG3080" s="831" t="s">
        <v>130</v>
      </c>
      <c r="AH3080" s="831" t="s">
        <v>165</v>
      </c>
      <c r="AI3080" s="831">
        <v>0</v>
      </c>
      <c r="AJ3080" s="835">
        <v>40908</v>
      </c>
      <c r="AK3080" s="831">
        <v>-7815947</v>
      </c>
      <c r="AP3080" s="831" t="str">
        <f t="shared" si="145"/>
        <v/>
      </c>
    </row>
    <row r="3081" spans="2:42">
      <c r="B3081" s="834" t="str">
        <f t="shared" si="144"/>
        <v>|||</v>
      </c>
      <c r="H3081" s="835">
        <f t="shared" si="146"/>
        <v>31</v>
      </c>
      <c r="AF3081" s="831" t="s">
        <v>3738</v>
      </c>
      <c r="AG3081" s="831" t="s">
        <v>130</v>
      </c>
      <c r="AH3081" s="831" t="s">
        <v>171</v>
      </c>
      <c r="AI3081" s="831">
        <v>0</v>
      </c>
      <c r="AJ3081" s="835">
        <v>40908</v>
      </c>
      <c r="AK3081" s="831">
        <v>2831232</v>
      </c>
      <c r="AP3081" s="831" t="str">
        <f t="shared" si="145"/>
        <v/>
      </c>
    </row>
    <row r="3082" spans="2:42">
      <c r="B3082" s="834" t="str">
        <f t="shared" si="144"/>
        <v>|||</v>
      </c>
      <c r="H3082" s="835">
        <f t="shared" si="146"/>
        <v>31</v>
      </c>
      <c r="AF3082" s="831" t="s">
        <v>3739</v>
      </c>
      <c r="AG3082" s="831" t="s">
        <v>130</v>
      </c>
      <c r="AH3082" s="831" t="s">
        <v>174</v>
      </c>
      <c r="AI3082" s="831">
        <v>0</v>
      </c>
      <c r="AJ3082" s="835">
        <v>40908</v>
      </c>
      <c r="AK3082" s="831">
        <v>0</v>
      </c>
      <c r="AP3082" s="831" t="str">
        <f t="shared" si="145"/>
        <v/>
      </c>
    </row>
    <row r="3083" spans="2:42">
      <c r="B3083" s="834" t="str">
        <f t="shared" si="144"/>
        <v>|||</v>
      </c>
      <c r="H3083" s="835">
        <f t="shared" si="146"/>
        <v>31</v>
      </c>
      <c r="AF3083" s="831" t="s">
        <v>3740</v>
      </c>
      <c r="AG3083" s="831" t="s">
        <v>130</v>
      </c>
      <c r="AH3083" s="831" t="s">
        <v>181</v>
      </c>
      <c r="AI3083" s="831">
        <v>0</v>
      </c>
      <c r="AJ3083" s="835">
        <v>40908</v>
      </c>
      <c r="AK3083" s="831">
        <v>18027764</v>
      </c>
      <c r="AP3083" s="831" t="str">
        <f t="shared" si="145"/>
        <v/>
      </c>
    </row>
    <row r="3084" spans="2:42">
      <c r="B3084" s="834" t="str">
        <f t="shared" si="144"/>
        <v>|||</v>
      </c>
      <c r="H3084" s="835">
        <f t="shared" si="146"/>
        <v>31</v>
      </c>
      <c r="AF3084" s="831" t="s">
        <v>3741</v>
      </c>
      <c r="AG3084" s="831" t="s">
        <v>130</v>
      </c>
      <c r="AH3084" s="831" t="s">
        <v>184</v>
      </c>
      <c r="AI3084" s="831">
        <v>0</v>
      </c>
      <c r="AJ3084" s="835">
        <v>40908</v>
      </c>
      <c r="AK3084" s="831">
        <v>-7729850</v>
      </c>
      <c r="AP3084" s="831" t="str">
        <f t="shared" si="145"/>
        <v/>
      </c>
    </row>
    <row r="3085" spans="2:42">
      <c r="B3085" s="834" t="str">
        <f t="shared" si="144"/>
        <v>|||</v>
      </c>
      <c r="H3085" s="835">
        <f t="shared" si="146"/>
        <v>31</v>
      </c>
      <c r="AF3085" s="831" t="s">
        <v>3742</v>
      </c>
      <c r="AG3085" s="831" t="s">
        <v>130</v>
      </c>
      <c r="AH3085" s="831" t="s">
        <v>187</v>
      </c>
      <c r="AI3085" s="831">
        <v>0</v>
      </c>
      <c r="AJ3085" s="835">
        <v>40908</v>
      </c>
      <c r="AK3085" s="831">
        <v>0</v>
      </c>
      <c r="AP3085" s="831" t="str">
        <f t="shared" si="145"/>
        <v/>
      </c>
    </row>
    <row r="3086" spans="2:42">
      <c r="B3086" s="834" t="str">
        <f t="shared" si="144"/>
        <v>|||</v>
      </c>
      <c r="H3086" s="835">
        <f t="shared" si="146"/>
        <v>31</v>
      </c>
      <c r="AF3086" s="831" t="s">
        <v>3743</v>
      </c>
      <c r="AG3086" s="831" t="s">
        <v>130</v>
      </c>
      <c r="AH3086" s="831" t="s">
        <v>196</v>
      </c>
      <c r="AI3086" s="831">
        <v>0</v>
      </c>
      <c r="AJ3086" s="835">
        <v>40908</v>
      </c>
      <c r="AK3086" s="831">
        <v>4115320</v>
      </c>
      <c r="AP3086" s="831" t="str">
        <f t="shared" si="145"/>
        <v/>
      </c>
    </row>
    <row r="3087" spans="2:42">
      <c r="B3087" s="834" t="str">
        <f t="shared" si="144"/>
        <v>|||</v>
      </c>
      <c r="H3087" s="835">
        <f t="shared" si="146"/>
        <v>31</v>
      </c>
      <c r="AF3087" s="831" t="s">
        <v>3744</v>
      </c>
      <c r="AG3087" s="831" t="s">
        <v>130</v>
      </c>
      <c r="AH3087" s="831" t="s">
        <v>197</v>
      </c>
      <c r="AI3087" s="831">
        <v>0</v>
      </c>
      <c r="AJ3087" s="835">
        <v>40908</v>
      </c>
      <c r="AK3087" s="831">
        <v>0</v>
      </c>
      <c r="AP3087" s="831" t="str">
        <f t="shared" si="145"/>
        <v/>
      </c>
    </row>
    <row r="3088" spans="2:42">
      <c r="B3088" s="834" t="str">
        <f t="shared" si="144"/>
        <v>|||</v>
      </c>
      <c r="H3088" s="835">
        <f t="shared" si="146"/>
        <v>31</v>
      </c>
      <c r="AF3088" s="831" t="s">
        <v>3745</v>
      </c>
      <c r="AG3088" s="831" t="s">
        <v>130</v>
      </c>
      <c r="AH3088" s="831" t="s">
        <v>199</v>
      </c>
      <c r="AI3088" s="831">
        <v>0</v>
      </c>
      <c r="AJ3088" s="835">
        <v>40908</v>
      </c>
      <c r="AK3088" s="831">
        <v>0</v>
      </c>
      <c r="AP3088" s="831" t="str">
        <f t="shared" si="145"/>
        <v/>
      </c>
    </row>
    <row r="3089" spans="2:42">
      <c r="B3089" s="834" t="str">
        <f t="shared" si="144"/>
        <v>|||</v>
      </c>
      <c r="H3089" s="835">
        <f t="shared" si="146"/>
        <v>31</v>
      </c>
      <c r="AF3089" s="831" t="s">
        <v>3746</v>
      </c>
      <c r="AG3089" s="831" t="s">
        <v>130</v>
      </c>
      <c r="AH3089" s="831" t="s">
        <v>201</v>
      </c>
      <c r="AI3089" s="831">
        <v>0</v>
      </c>
      <c r="AJ3089" s="835">
        <v>40908</v>
      </c>
      <c r="AK3089" s="831">
        <v>22748005</v>
      </c>
      <c r="AP3089" s="831" t="str">
        <f t="shared" si="145"/>
        <v/>
      </c>
    </row>
    <row r="3090" spans="2:42">
      <c r="B3090" s="834" t="str">
        <f t="shared" si="144"/>
        <v>|||</v>
      </c>
      <c r="H3090" s="835">
        <f t="shared" si="146"/>
        <v>31</v>
      </c>
      <c r="AF3090" s="831" t="s">
        <v>3747</v>
      </c>
      <c r="AG3090" s="831" t="s">
        <v>130</v>
      </c>
      <c r="AH3090" s="831" t="s">
        <v>209</v>
      </c>
      <c r="AI3090" s="831">
        <v>0</v>
      </c>
      <c r="AJ3090" s="835">
        <v>40908</v>
      </c>
      <c r="AK3090" s="831">
        <v>33995074</v>
      </c>
      <c r="AP3090" s="831" t="str">
        <f t="shared" si="145"/>
        <v/>
      </c>
    </row>
    <row r="3091" spans="2:42">
      <c r="B3091" s="834" t="str">
        <f t="shared" si="144"/>
        <v>|||</v>
      </c>
      <c r="H3091" s="835">
        <f t="shared" si="146"/>
        <v>31</v>
      </c>
      <c r="AF3091" s="831" t="s">
        <v>3748</v>
      </c>
      <c r="AG3091" s="831" t="s">
        <v>130</v>
      </c>
      <c r="AH3091" s="831" t="s">
        <v>211</v>
      </c>
      <c r="AI3091" s="831">
        <v>0</v>
      </c>
      <c r="AJ3091" s="835">
        <v>40908</v>
      </c>
      <c r="AK3091" s="831">
        <v>106639386</v>
      </c>
      <c r="AP3091" s="831" t="str">
        <f t="shared" si="145"/>
        <v/>
      </c>
    </row>
    <row r="3092" spans="2:42">
      <c r="B3092" s="834" t="str">
        <f t="shared" si="144"/>
        <v>|||</v>
      </c>
      <c r="H3092" s="835">
        <f t="shared" si="146"/>
        <v>31</v>
      </c>
      <c r="AF3092" s="831" t="s">
        <v>3749</v>
      </c>
      <c r="AG3092" s="831" t="s">
        <v>130</v>
      </c>
      <c r="AH3092" s="831" t="s">
        <v>212</v>
      </c>
      <c r="AI3092" s="831">
        <v>0</v>
      </c>
      <c r="AJ3092" s="835">
        <v>40908</v>
      </c>
      <c r="AK3092" s="831">
        <v>6285931</v>
      </c>
      <c r="AP3092" s="831" t="str">
        <f t="shared" si="145"/>
        <v/>
      </c>
    </row>
    <row r="3093" spans="2:42">
      <c r="B3093" s="834" t="str">
        <f t="shared" si="144"/>
        <v>|||</v>
      </c>
      <c r="H3093" s="835">
        <f t="shared" si="146"/>
        <v>31</v>
      </c>
      <c r="AF3093" s="831" t="s">
        <v>3750</v>
      </c>
      <c r="AG3093" s="831" t="s">
        <v>130</v>
      </c>
      <c r="AH3093" s="831" t="s">
        <v>216</v>
      </c>
      <c r="AI3093" s="831">
        <v>0</v>
      </c>
      <c r="AJ3093" s="835">
        <v>40908</v>
      </c>
      <c r="AK3093" s="831">
        <v>0</v>
      </c>
      <c r="AP3093" s="831" t="str">
        <f t="shared" si="145"/>
        <v/>
      </c>
    </row>
    <row r="3094" spans="2:42">
      <c r="B3094" s="834" t="str">
        <f t="shared" si="144"/>
        <v>|||</v>
      </c>
      <c r="H3094" s="835">
        <f t="shared" si="146"/>
        <v>31</v>
      </c>
      <c r="AF3094" s="831" t="s">
        <v>3751</v>
      </c>
      <c r="AG3094" s="831" t="s">
        <v>130</v>
      </c>
      <c r="AH3094" s="831" t="s">
        <v>218</v>
      </c>
      <c r="AI3094" s="831">
        <v>0</v>
      </c>
      <c r="AJ3094" s="835">
        <v>40908</v>
      </c>
      <c r="AK3094" s="831">
        <v>53496460</v>
      </c>
      <c r="AP3094" s="831" t="str">
        <f t="shared" si="145"/>
        <v/>
      </c>
    </row>
    <row r="3095" spans="2:42">
      <c r="B3095" s="834" t="str">
        <f t="shared" si="144"/>
        <v>|||</v>
      </c>
      <c r="H3095" s="835">
        <f t="shared" si="146"/>
        <v>31</v>
      </c>
      <c r="AF3095" s="831" t="s">
        <v>3752</v>
      </c>
      <c r="AG3095" s="831" t="s">
        <v>130</v>
      </c>
      <c r="AH3095" s="831" t="s">
        <v>220</v>
      </c>
      <c r="AI3095" s="831">
        <v>0</v>
      </c>
      <c r="AJ3095" s="835">
        <v>40908</v>
      </c>
      <c r="AK3095" s="831">
        <v>0</v>
      </c>
      <c r="AP3095" s="831" t="str">
        <f t="shared" si="145"/>
        <v/>
      </c>
    </row>
    <row r="3096" spans="2:42">
      <c r="B3096" s="834" t="str">
        <f t="shared" si="144"/>
        <v>|||</v>
      </c>
      <c r="H3096" s="835">
        <f t="shared" si="146"/>
        <v>31</v>
      </c>
      <c r="AF3096" s="831" t="s">
        <v>3753</v>
      </c>
      <c r="AG3096" s="831" t="s">
        <v>130</v>
      </c>
      <c r="AH3096" s="831" t="s">
        <v>221</v>
      </c>
      <c r="AI3096" s="831">
        <v>0</v>
      </c>
      <c r="AJ3096" s="835">
        <v>40908</v>
      </c>
      <c r="AK3096" s="831">
        <v>1765351</v>
      </c>
      <c r="AP3096" s="831" t="str">
        <f t="shared" si="145"/>
        <v/>
      </c>
    </row>
    <row r="3097" spans="2:42">
      <c r="B3097" s="834" t="str">
        <f t="shared" si="144"/>
        <v>|||</v>
      </c>
      <c r="H3097" s="835">
        <f t="shared" si="146"/>
        <v>31</v>
      </c>
      <c r="AF3097" s="831" t="s">
        <v>3754</v>
      </c>
      <c r="AG3097" s="831" t="s">
        <v>130</v>
      </c>
      <c r="AH3097" s="831" t="s">
        <v>228</v>
      </c>
      <c r="AI3097" s="831">
        <v>0</v>
      </c>
      <c r="AJ3097" s="835">
        <v>40908</v>
      </c>
      <c r="AK3097" s="831">
        <v>0</v>
      </c>
      <c r="AP3097" s="831" t="str">
        <f t="shared" si="145"/>
        <v/>
      </c>
    </row>
    <row r="3098" spans="2:42">
      <c r="B3098" s="834" t="str">
        <f t="shared" si="144"/>
        <v>|||</v>
      </c>
      <c r="H3098" s="835">
        <f t="shared" si="146"/>
        <v>31</v>
      </c>
      <c r="AF3098" s="831" t="s">
        <v>3755</v>
      </c>
      <c r="AG3098" s="831" t="s">
        <v>130</v>
      </c>
      <c r="AH3098" s="831" t="s">
        <v>230</v>
      </c>
      <c r="AI3098" s="831">
        <v>0</v>
      </c>
      <c r="AJ3098" s="835">
        <v>40908</v>
      </c>
      <c r="AK3098" s="831">
        <v>0</v>
      </c>
      <c r="AP3098" s="831" t="str">
        <f t="shared" si="145"/>
        <v/>
      </c>
    </row>
    <row r="3099" spans="2:42">
      <c r="B3099" s="834" t="str">
        <f t="shared" si="144"/>
        <v>|||</v>
      </c>
      <c r="H3099" s="835">
        <f t="shared" si="146"/>
        <v>31</v>
      </c>
      <c r="AF3099" s="831" t="s">
        <v>3756</v>
      </c>
      <c r="AG3099" s="831" t="s">
        <v>130</v>
      </c>
      <c r="AH3099" s="831" t="s">
        <v>231</v>
      </c>
      <c r="AI3099" s="831">
        <v>0</v>
      </c>
      <c r="AJ3099" s="835">
        <v>40908</v>
      </c>
      <c r="AK3099" s="831">
        <v>9831250</v>
      </c>
      <c r="AP3099" s="831" t="str">
        <f t="shared" si="145"/>
        <v/>
      </c>
    </row>
    <row r="3100" spans="2:42">
      <c r="B3100" s="834" t="str">
        <f t="shared" si="144"/>
        <v>|||</v>
      </c>
      <c r="H3100" s="835">
        <f t="shared" si="146"/>
        <v>31</v>
      </c>
      <c r="AF3100" s="831" t="s">
        <v>3757</v>
      </c>
      <c r="AG3100" s="831" t="s">
        <v>130</v>
      </c>
      <c r="AH3100" s="831" t="s">
        <v>232</v>
      </c>
      <c r="AI3100" s="831">
        <v>0</v>
      </c>
      <c r="AJ3100" s="835">
        <v>40908</v>
      </c>
      <c r="AK3100" s="831">
        <v>73568440</v>
      </c>
      <c r="AP3100" s="831" t="str">
        <f t="shared" si="145"/>
        <v/>
      </c>
    </row>
    <row r="3101" spans="2:42">
      <c r="B3101" s="834" t="str">
        <f t="shared" si="144"/>
        <v>|||</v>
      </c>
      <c r="H3101" s="835">
        <f t="shared" si="146"/>
        <v>31</v>
      </c>
      <c r="AF3101" s="831" t="s">
        <v>3758</v>
      </c>
      <c r="AG3101" s="831" t="s">
        <v>130</v>
      </c>
      <c r="AH3101" s="831" t="s">
        <v>116</v>
      </c>
      <c r="AI3101" s="831">
        <v>0</v>
      </c>
      <c r="AJ3101" s="835">
        <v>40908</v>
      </c>
      <c r="AK3101" s="831">
        <v>8030570</v>
      </c>
      <c r="AP3101" s="831" t="str">
        <f t="shared" si="145"/>
        <v/>
      </c>
    </row>
    <row r="3102" spans="2:42">
      <c r="B3102" s="834" t="str">
        <f t="shared" si="144"/>
        <v>|||</v>
      </c>
      <c r="H3102" s="835">
        <f t="shared" si="146"/>
        <v>31</v>
      </c>
      <c r="AF3102" s="831" t="s">
        <v>3759</v>
      </c>
      <c r="AG3102" s="831" t="s">
        <v>130</v>
      </c>
      <c r="AH3102" s="831" t="s">
        <v>234</v>
      </c>
      <c r="AI3102" s="831">
        <v>0</v>
      </c>
      <c r="AJ3102" s="835">
        <v>40908</v>
      </c>
      <c r="AK3102" s="831">
        <v>621010</v>
      </c>
      <c r="AP3102" s="831" t="str">
        <f t="shared" si="145"/>
        <v/>
      </c>
    </row>
    <row r="3103" spans="2:42">
      <c r="B3103" s="834" t="str">
        <f t="shared" si="144"/>
        <v>|||</v>
      </c>
      <c r="H3103" s="835">
        <f t="shared" si="146"/>
        <v>31</v>
      </c>
      <c r="AF3103" s="831" t="s">
        <v>3760</v>
      </c>
      <c r="AG3103" s="831" t="s">
        <v>130</v>
      </c>
      <c r="AH3103" s="831" t="s">
        <v>235</v>
      </c>
      <c r="AI3103" s="831">
        <v>0</v>
      </c>
      <c r="AJ3103" s="835">
        <v>40908</v>
      </c>
      <c r="AK3103" s="831">
        <v>3745430</v>
      </c>
      <c r="AP3103" s="831" t="str">
        <f t="shared" si="145"/>
        <v/>
      </c>
    </row>
    <row r="3104" spans="2:42">
      <c r="B3104" s="834" t="str">
        <f t="shared" si="144"/>
        <v>|||</v>
      </c>
      <c r="H3104" s="835">
        <f t="shared" si="146"/>
        <v>31</v>
      </c>
      <c r="AF3104" s="831" t="s">
        <v>3761</v>
      </c>
      <c r="AG3104" s="831" t="s">
        <v>130</v>
      </c>
      <c r="AH3104" s="831" t="s">
        <v>238</v>
      </c>
      <c r="AI3104" s="831">
        <v>0</v>
      </c>
      <c r="AJ3104" s="835">
        <v>40908</v>
      </c>
      <c r="AK3104" s="831">
        <v>0</v>
      </c>
      <c r="AP3104" s="831" t="str">
        <f t="shared" si="145"/>
        <v/>
      </c>
    </row>
    <row r="3105" spans="2:42">
      <c r="B3105" s="834" t="str">
        <f t="shared" si="144"/>
        <v>|||</v>
      </c>
      <c r="H3105" s="835">
        <f t="shared" si="146"/>
        <v>31</v>
      </c>
      <c r="AF3105" s="831" t="s">
        <v>3762</v>
      </c>
      <c r="AG3105" s="831" t="s">
        <v>130</v>
      </c>
      <c r="AH3105" s="831" t="s">
        <v>240</v>
      </c>
      <c r="AI3105" s="831">
        <v>0</v>
      </c>
      <c r="AJ3105" s="835">
        <v>40908</v>
      </c>
      <c r="AK3105" s="831">
        <v>67800000</v>
      </c>
      <c r="AP3105" s="831" t="str">
        <f t="shared" si="145"/>
        <v/>
      </c>
    </row>
    <row r="3106" spans="2:42">
      <c r="B3106" s="834" t="str">
        <f t="shared" si="144"/>
        <v>|||</v>
      </c>
      <c r="H3106" s="835">
        <f t="shared" si="146"/>
        <v>31</v>
      </c>
      <c r="AF3106" s="831" t="s">
        <v>3763</v>
      </c>
      <c r="AG3106" s="831" t="s">
        <v>130</v>
      </c>
      <c r="AH3106" s="831" t="s">
        <v>241</v>
      </c>
      <c r="AI3106" s="831">
        <v>0</v>
      </c>
      <c r="AJ3106" s="835">
        <v>40908</v>
      </c>
      <c r="AK3106" s="831">
        <v>0</v>
      </c>
      <c r="AP3106" s="831" t="str">
        <f t="shared" si="145"/>
        <v/>
      </c>
    </row>
    <row r="3107" spans="2:42">
      <c r="B3107" s="834" t="str">
        <f t="shared" si="144"/>
        <v>|||</v>
      </c>
      <c r="H3107" s="835">
        <f t="shared" si="146"/>
        <v>31</v>
      </c>
      <c r="AF3107" s="831" t="s">
        <v>3764</v>
      </c>
      <c r="AG3107" s="831" t="s">
        <v>130</v>
      </c>
      <c r="AH3107" s="831" t="s">
        <v>242</v>
      </c>
      <c r="AI3107" s="831">
        <v>0</v>
      </c>
      <c r="AJ3107" s="835">
        <v>40908</v>
      </c>
      <c r="AK3107" s="831">
        <v>0</v>
      </c>
      <c r="AP3107" s="831" t="str">
        <f t="shared" si="145"/>
        <v/>
      </c>
    </row>
    <row r="3108" spans="2:42">
      <c r="B3108" s="834" t="str">
        <f t="shared" si="144"/>
        <v>|||</v>
      </c>
      <c r="H3108" s="835">
        <f t="shared" si="146"/>
        <v>31</v>
      </c>
      <c r="AF3108" s="831" t="s">
        <v>3765</v>
      </c>
      <c r="AG3108" s="831" t="s">
        <v>130</v>
      </c>
      <c r="AH3108" s="831" t="s">
        <v>244</v>
      </c>
      <c r="AI3108" s="831">
        <v>0</v>
      </c>
      <c r="AJ3108" s="835">
        <v>40908</v>
      </c>
      <c r="AK3108" s="831">
        <v>254924</v>
      </c>
      <c r="AP3108" s="831" t="str">
        <f t="shared" si="145"/>
        <v/>
      </c>
    </row>
    <row r="3109" spans="2:42">
      <c r="B3109" s="834" t="str">
        <f t="shared" si="144"/>
        <v>|||</v>
      </c>
      <c r="H3109" s="835">
        <f t="shared" si="146"/>
        <v>31</v>
      </c>
      <c r="AF3109" s="831" t="s">
        <v>3766</v>
      </c>
      <c r="AG3109" s="831" t="s">
        <v>130</v>
      </c>
      <c r="AH3109" s="831" t="s">
        <v>245</v>
      </c>
      <c r="AI3109" s="831">
        <v>0</v>
      </c>
      <c r="AJ3109" s="835">
        <v>40908</v>
      </c>
      <c r="AK3109" s="831">
        <v>17532791</v>
      </c>
      <c r="AP3109" s="831" t="str">
        <f t="shared" si="145"/>
        <v/>
      </c>
    </row>
    <row r="3110" spans="2:42">
      <c r="B3110" s="834" t="str">
        <f t="shared" si="144"/>
        <v>|||</v>
      </c>
      <c r="H3110" s="835">
        <f t="shared" si="146"/>
        <v>31</v>
      </c>
      <c r="AF3110" s="831" t="s">
        <v>3767</v>
      </c>
      <c r="AG3110" s="831" t="s">
        <v>520</v>
      </c>
      <c r="AH3110" s="831" t="s">
        <v>291</v>
      </c>
      <c r="AI3110" s="831">
        <v>0</v>
      </c>
      <c r="AJ3110" s="835">
        <v>40574</v>
      </c>
      <c r="AK3110" s="831">
        <v>11284750</v>
      </c>
      <c r="AP3110" s="831" t="str">
        <f t="shared" si="145"/>
        <v/>
      </c>
    </row>
    <row r="3111" spans="2:42">
      <c r="B3111" s="834" t="str">
        <f t="shared" si="144"/>
        <v>|||</v>
      </c>
      <c r="H3111" s="835">
        <f t="shared" si="146"/>
        <v>31</v>
      </c>
      <c r="AF3111" s="831" t="s">
        <v>3768</v>
      </c>
      <c r="AG3111" s="831" t="s">
        <v>520</v>
      </c>
      <c r="AH3111" s="831" t="s">
        <v>519</v>
      </c>
      <c r="AI3111" s="831">
        <v>0</v>
      </c>
      <c r="AJ3111" s="835">
        <v>40574</v>
      </c>
      <c r="AK3111" s="831">
        <v>170566970</v>
      </c>
      <c r="AP3111" s="831" t="str">
        <f t="shared" si="145"/>
        <v/>
      </c>
    </row>
    <row r="3112" spans="2:42">
      <c r="B3112" s="834" t="str">
        <f t="shared" si="144"/>
        <v>|||</v>
      </c>
      <c r="H3112" s="835">
        <f t="shared" si="146"/>
        <v>31</v>
      </c>
      <c r="AF3112" s="831" t="s">
        <v>3769</v>
      </c>
      <c r="AG3112" s="831" t="s">
        <v>520</v>
      </c>
      <c r="AH3112" s="831" t="s">
        <v>94</v>
      </c>
      <c r="AI3112" s="831">
        <v>0</v>
      </c>
      <c r="AJ3112" s="835">
        <v>40574</v>
      </c>
      <c r="AK3112" s="831">
        <v>14242300</v>
      </c>
      <c r="AP3112" s="831" t="str">
        <f t="shared" si="145"/>
        <v/>
      </c>
    </row>
    <row r="3113" spans="2:42">
      <c r="B3113" s="834" t="str">
        <f t="shared" si="144"/>
        <v>|||</v>
      </c>
      <c r="H3113" s="835">
        <f t="shared" si="146"/>
        <v>31</v>
      </c>
      <c r="AF3113" s="831" t="s">
        <v>3770</v>
      </c>
      <c r="AG3113" s="831" t="s">
        <v>520</v>
      </c>
      <c r="AH3113" s="831" t="s">
        <v>85</v>
      </c>
      <c r="AI3113" s="831">
        <v>0</v>
      </c>
      <c r="AJ3113" s="835">
        <v>40574</v>
      </c>
      <c r="AK3113" s="831">
        <v>48660740</v>
      </c>
      <c r="AP3113" s="831" t="str">
        <f t="shared" si="145"/>
        <v/>
      </c>
    </row>
    <row r="3114" spans="2:42">
      <c r="B3114" s="834" t="str">
        <f t="shared" si="144"/>
        <v>|||</v>
      </c>
      <c r="H3114" s="835">
        <f t="shared" si="146"/>
        <v>31</v>
      </c>
      <c r="AF3114" s="831" t="s">
        <v>3771</v>
      </c>
      <c r="AG3114" s="831" t="s">
        <v>520</v>
      </c>
      <c r="AH3114" s="831" t="s">
        <v>90</v>
      </c>
      <c r="AI3114" s="831">
        <v>0</v>
      </c>
      <c r="AJ3114" s="835">
        <v>40574</v>
      </c>
      <c r="AK3114" s="831">
        <v>139048520</v>
      </c>
      <c r="AP3114" s="831" t="str">
        <f t="shared" si="145"/>
        <v/>
      </c>
    </row>
    <row r="3115" spans="2:42">
      <c r="B3115" s="834" t="str">
        <f t="shared" si="144"/>
        <v>|||</v>
      </c>
      <c r="H3115" s="835">
        <f t="shared" si="146"/>
        <v>31</v>
      </c>
      <c r="AF3115" s="831" t="s">
        <v>3772</v>
      </c>
      <c r="AG3115" s="831" t="s">
        <v>520</v>
      </c>
      <c r="AH3115" s="831" t="s">
        <v>117</v>
      </c>
      <c r="AI3115" s="831">
        <v>0</v>
      </c>
      <c r="AJ3115" s="835">
        <v>40574</v>
      </c>
      <c r="AK3115" s="831">
        <v>5747640</v>
      </c>
      <c r="AP3115" s="831" t="str">
        <f t="shared" si="145"/>
        <v/>
      </c>
    </row>
    <row r="3116" spans="2:42">
      <c r="B3116" s="834" t="str">
        <f t="shared" si="144"/>
        <v>|||</v>
      </c>
      <c r="H3116" s="835">
        <f t="shared" si="146"/>
        <v>31</v>
      </c>
      <c r="AF3116" s="831" t="s">
        <v>3773</v>
      </c>
      <c r="AG3116" s="831" t="s">
        <v>520</v>
      </c>
      <c r="AH3116" s="831" t="s">
        <v>525</v>
      </c>
      <c r="AI3116" s="831">
        <v>0</v>
      </c>
      <c r="AJ3116" s="835">
        <v>40574</v>
      </c>
      <c r="AK3116" s="831">
        <v>0</v>
      </c>
      <c r="AP3116" s="831" t="str">
        <f t="shared" si="145"/>
        <v/>
      </c>
    </row>
    <row r="3117" spans="2:42">
      <c r="B3117" s="834" t="str">
        <f t="shared" si="144"/>
        <v>|||</v>
      </c>
      <c r="H3117" s="835">
        <f t="shared" si="146"/>
        <v>31</v>
      </c>
      <c r="AF3117" s="831" t="s">
        <v>3774</v>
      </c>
      <c r="AG3117" s="831" t="s">
        <v>520</v>
      </c>
      <c r="AH3117" s="831" t="s">
        <v>522</v>
      </c>
      <c r="AI3117" s="831">
        <v>0</v>
      </c>
      <c r="AJ3117" s="835">
        <v>40574</v>
      </c>
      <c r="AK3117" s="831">
        <v>0</v>
      </c>
      <c r="AP3117" s="831" t="str">
        <f t="shared" si="145"/>
        <v/>
      </c>
    </row>
    <row r="3118" spans="2:42">
      <c r="B3118" s="834" t="str">
        <f t="shared" si="144"/>
        <v>|||</v>
      </c>
      <c r="H3118" s="835">
        <f t="shared" si="146"/>
        <v>31</v>
      </c>
      <c r="AF3118" s="831" t="s">
        <v>3775</v>
      </c>
      <c r="AG3118" s="831" t="s">
        <v>520</v>
      </c>
      <c r="AH3118" s="831" t="s">
        <v>523</v>
      </c>
      <c r="AI3118" s="831">
        <v>0</v>
      </c>
      <c r="AJ3118" s="835">
        <v>40574</v>
      </c>
      <c r="AK3118" s="831">
        <v>0</v>
      </c>
      <c r="AP3118" s="831" t="str">
        <f t="shared" si="145"/>
        <v/>
      </c>
    </row>
    <row r="3119" spans="2:42">
      <c r="B3119" s="834" t="str">
        <f t="shared" si="144"/>
        <v>|||</v>
      </c>
      <c r="H3119" s="835">
        <f t="shared" si="146"/>
        <v>31</v>
      </c>
      <c r="AF3119" s="831" t="s">
        <v>3776</v>
      </c>
      <c r="AG3119" s="831" t="s">
        <v>520</v>
      </c>
      <c r="AH3119" s="831" t="s">
        <v>524</v>
      </c>
      <c r="AI3119" s="831">
        <v>0</v>
      </c>
      <c r="AJ3119" s="835">
        <v>40574</v>
      </c>
      <c r="AK3119" s="831">
        <v>0</v>
      </c>
      <c r="AP3119" s="831" t="str">
        <f t="shared" si="145"/>
        <v/>
      </c>
    </row>
    <row r="3120" spans="2:42">
      <c r="B3120" s="834" t="str">
        <f t="shared" si="144"/>
        <v>|||</v>
      </c>
      <c r="H3120" s="835">
        <f t="shared" si="146"/>
        <v>31</v>
      </c>
      <c r="AF3120" s="831" t="s">
        <v>3777</v>
      </c>
      <c r="AG3120" s="831" t="s">
        <v>520</v>
      </c>
      <c r="AH3120" s="831" t="s">
        <v>521</v>
      </c>
      <c r="AI3120" s="831">
        <v>0</v>
      </c>
      <c r="AJ3120" s="835">
        <v>40574</v>
      </c>
      <c r="AK3120" s="831">
        <v>0</v>
      </c>
      <c r="AP3120" s="831" t="str">
        <f t="shared" si="145"/>
        <v/>
      </c>
    </row>
    <row r="3121" spans="2:42">
      <c r="B3121" s="834" t="str">
        <f t="shared" si="144"/>
        <v>|||</v>
      </c>
      <c r="H3121" s="835">
        <f t="shared" si="146"/>
        <v>31</v>
      </c>
      <c r="AF3121" s="831" t="s">
        <v>3778</v>
      </c>
      <c r="AG3121" s="831" t="s">
        <v>520</v>
      </c>
      <c r="AH3121" s="831" t="s">
        <v>660</v>
      </c>
      <c r="AI3121" s="831">
        <v>0</v>
      </c>
      <c r="AJ3121" s="835">
        <v>40574</v>
      </c>
      <c r="AK3121" s="831">
        <v>0</v>
      </c>
      <c r="AP3121" s="831" t="str">
        <f t="shared" si="145"/>
        <v/>
      </c>
    </row>
    <row r="3122" spans="2:42">
      <c r="B3122" s="834" t="str">
        <f t="shared" si="144"/>
        <v>|||</v>
      </c>
      <c r="H3122" s="835">
        <f t="shared" si="146"/>
        <v>31</v>
      </c>
      <c r="AF3122" s="831" t="s">
        <v>3779</v>
      </c>
      <c r="AG3122" s="831" t="s">
        <v>520</v>
      </c>
      <c r="AH3122" s="831" t="s">
        <v>661</v>
      </c>
      <c r="AI3122" s="831">
        <v>0</v>
      </c>
      <c r="AJ3122" s="835">
        <v>40574</v>
      </c>
      <c r="AK3122" s="831">
        <v>0</v>
      </c>
      <c r="AP3122" s="831" t="str">
        <f t="shared" si="145"/>
        <v/>
      </c>
    </row>
    <row r="3123" spans="2:42">
      <c r="B3123" s="834" t="str">
        <f t="shared" si="144"/>
        <v>|||</v>
      </c>
      <c r="H3123" s="835">
        <f t="shared" si="146"/>
        <v>31</v>
      </c>
      <c r="AF3123" s="831" t="s">
        <v>3780</v>
      </c>
      <c r="AG3123" s="831" t="s">
        <v>520</v>
      </c>
      <c r="AH3123" s="831" t="s">
        <v>662</v>
      </c>
      <c r="AI3123" s="831">
        <v>0</v>
      </c>
      <c r="AJ3123" s="835">
        <v>40574</v>
      </c>
      <c r="AK3123" s="831">
        <v>0</v>
      </c>
      <c r="AP3123" s="831" t="str">
        <f t="shared" si="145"/>
        <v/>
      </c>
    </row>
    <row r="3124" spans="2:42">
      <c r="B3124" s="834" t="str">
        <f t="shared" si="144"/>
        <v>|||</v>
      </c>
      <c r="H3124" s="835">
        <f t="shared" si="146"/>
        <v>31</v>
      </c>
      <c r="AF3124" s="831" t="s">
        <v>3781</v>
      </c>
      <c r="AG3124" s="831" t="s">
        <v>520</v>
      </c>
      <c r="AH3124" s="831" t="s">
        <v>291</v>
      </c>
      <c r="AI3124" s="831">
        <v>0</v>
      </c>
      <c r="AJ3124" s="835">
        <v>40602</v>
      </c>
      <c r="AK3124" s="831">
        <v>11873480</v>
      </c>
      <c r="AP3124" s="831" t="str">
        <f t="shared" si="145"/>
        <v/>
      </c>
    </row>
    <row r="3125" spans="2:42">
      <c r="B3125" s="834" t="str">
        <f t="shared" si="144"/>
        <v>|||</v>
      </c>
      <c r="H3125" s="835">
        <f t="shared" si="146"/>
        <v>31</v>
      </c>
      <c r="AF3125" s="831" t="s">
        <v>3782</v>
      </c>
      <c r="AG3125" s="831" t="s">
        <v>520</v>
      </c>
      <c r="AH3125" s="831" t="s">
        <v>519</v>
      </c>
      <c r="AI3125" s="831">
        <v>0</v>
      </c>
      <c r="AJ3125" s="835">
        <v>40602</v>
      </c>
      <c r="AK3125" s="831">
        <v>168260750</v>
      </c>
      <c r="AP3125" s="831" t="str">
        <f t="shared" si="145"/>
        <v/>
      </c>
    </row>
    <row r="3126" spans="2:42">
      <c r="B3126" s="834" t="str">
        <f t="shared" si="144"/>
        <v>|||</v>
      </c>
      <c r="H3126" s="835">
        <f t="shared" si="146"/>
        <v>31</v>
      </c>
      <c r="AF3126" s="831" t="s">
        <v>3783</v>
      </c>
      <c r="AG3126" s="831" t="s">
        <v>520</v>
      </c>
      <c r="AH3126" s="831" t="s">
        <v>94</v>
      </c>
      <c r="AI3126" s="831">
        <v>0</v>
      </c>
      <c r="AJ3126" s="835">
        <v>40602</v>
      </c>
      <c r="AK3126" s="831">
        <v>9130060</v>
      </c>
      <c r="AP3126" s="831" t="str">
        <f t="shared" si="145"/>
        <v/>
      </c>
    </row>
    <row r="3127" spans="2:42">
      <c r="B3127" s="834" t="str">
        <f t="shared" si="144"/>
        <v>|||</v>
      </c>
      <c r="H3127" s="835">
        <f t="shared" si="146"/>
        <v>31</v>
      </c>
      <c r="AF3127" s="831" t="s">
        <v>3784</v>
      </c>
      <c r="AG3127" s="831" t="s">
        <v>520</v>
      </c>
      <c r="AH3127" s="831" t="s">
        <v>85</v>
      </c>
      <c r="AI3127" s="831">
        <v>0</v>
      </c>
      <c r="AJ3127" s="835">
        <v>40602</v>
      </c>
      <c r="AK3127" s="831">
        <v>49786260</v>
      </c>
      <c r="AP3127" s="831" t="str">
        <f t="shared" si="145"/>
        <v/>
      </c>
    </row>
    <row r="3128" spans="2:42">
      <c r="B3128" s="834" t="str">
        <f t="shared" si="144"/>
        <v>|||</v>
      </c>
      <c r="H3128" s="835">
        <f t="shared" si="146"/>
        <v>31</v>
      </c>
      <c r="AF3128" s="831" t="s">
        <v>3785</v>
      </c>
      <c r="AG3128" s="831" t="s">
        <v>520</v>
      </c>
      <c r="AH3128" s="831" t="s">
        <v>90</v>
      </c>
      <c r="AI3128" s="831">
        <v>0</v>
      </c>
      <c r="AJ3128" s="835">
        <v>40602</v>
      </c>
      <c r="AK3128" s="831">
        <v>130871930</v>
      </c>
      <c r="AP3128" s="831" t="str">
        <f t="shared" si="145"/>
        <v/>
      </c>
    </row>
    <row r="3129" spans="2:42">
      <c r="B3129" s="834" t="str">
        <f t="shared" si="144"/>
        <v>|||</v>
      </c>
      <c r="H3129" s="835">
        <f t="shared" si="146"/>
        <v>31</v>
      </c>
      <c r="AF3129" s="831" t="s">
        <v>3786</v>
      </c>
      <c r="AG3129" s="831" t="s">
        <v>520</v>
      </c>
      <c r="AH3129" s="831" t="s">
        <v>117</v>
      </c>
      <c r="AI3129" s="831">
        <v>0</v>
      </c>
      <c r="AJ3129" s="835">
        <v>40602</v>
      </c>
      <c r="AK3129" s="831">
        <v>5095990</v>
      </c>
      <c r="AP3129" s="831" t="str">
        <f t="shared" si="145"/>
        <v/>
      </c>
    </row>
    <row r="3130" spans="2:42">
      <c r="B3130" s="834" t="str">
        <f t="shared" si="144"/>
        <v>|||</v>
      </c>
      <c r="H3130" s="835">
        <f t="shared" si="146"/>
        <v>31</v>
      </c>
      <c r="AF3130" s="831" t="s">
        <v>3787</v>
      </c>
      <c r="AG3130" s="831" t="s">
        <v>520</v>
      </c>
      <c r="AH3130" s="831" t="s">
        <v>525</v>
      </c>
      <c r="AI3130" s="831">
        <v>0</v>
      </c>
      <c r="AJ3130" s="835">
        <v>40602</v>
      </c>
      <c r="AK3130" s="831">
        <v>0</v>
      </c>
      <c r="AP3130" s="831" t="str">
        <f t="shared" si="145"/>
        <v/>
      </c>
    </row>
    <row r="3131" spans="2:42">
      <c r="B3131" s="834" t="str">
        <f t="shared" si="144"/>
        <v>|||</v>
      </c>
      <c r="H3131" s="835">
        <f t="shared" si="146"/>
        <v>31</v>
      </c>
      <c r="AF3131" s="831" t="s">
        <v>3788</v>
      </c>
      <c r="AG3131" s="831" t="s">
        <v>520</v>
      </c>
      <c r="AH3131" s="831" t="s">
        <v>522</v>
      </c>
      <c r="AI3131" s="831">
        <v>0</v>
      </c>
      <c r="AJ3131" s="835">
        <v>40602</v>
      </c>
      <c r="AK3131" s="831">
        <v>0</v>
      </c>
      <c r="AP3131" s="831" t="str">
        <f t="shared" si="145"/>
        <v/>
      </c>
    </row>
    <row r="3132" spans="2:42">
      <c r="B3132" s="834" t="str">
        <f t="shared" si="144"/>
        <v>|||</v>
      </c>
      <c r="H3132" s="835">
        <f t="shared" si="146"/>
        <v>31</v>
      </c>
      <c r="AF3132" s="831" t="s">
        <v>3789</v>
      </c>
      <c r="AG3132" s="831" t="s">
        <v>520</v>
      </c>
      <c r="AH3132" s="831" t="s">
        <v>523</v>
      </c>
      <c r="AI3132" s="831">
        <v>0</v>
      </c>
      <c r="AJ3132" s="835">
        <v>40602</v>
      </c>
      <c r="AK3132" s="831">
        <v>0</v>
      </c>
      <c r="AP3132" s="831" t="str">
        <f t="shared" si="145"/>
        <v/>
      </c>
    </row>
    <row r="3133" spans="2:42">
      <c r="B3133" s="834" t="str">
        <f t="shared" si="144"/>
        <v>|||</v>
      </c>
      <c r="H3133" s="835">
        <f t="shared" si="146"/>
        <v>31</v>
      </c>
      <c r="AF3133" s="831" t="s">
        <v>3790</v>
      </c>
      <c r="AG3133" s="831" t="s">
        <v>520</v>
      </c>
      <c r="AH3133" s="831" t="s">
        <v>524</v>
      </c>
      <c r="AI3133" s="831">
        <v>0</v>
      </c>
      <c r="AJ3133" s="835">
        <v>40602</v>
      </c>
      <c r="AK3133" s="831">
        <v>0</v>
      </c>
      <c r="AP3133" s="831" t="str">
        <f t="shared" si="145"/>
        <v/>
      </c>
    </row>
    <row r="3134" spans="2:42">
      <c r="B3134" s="834" t="str">
        <f t="shared" si="144"/>
        <v>|||</v>
      </c>
      <c r="H3134" s="835">
        <f t="shared" si="146"/>
        <v>31</v>
      </c>
      <c r="AF3134" s="831" t="s">
        <v>3791</v>
      </c>
      <c r="AG3134" s="831" t="s">
        <v>520</v>
      </c>
      <c r="AH3134" s="831" t="s">
        <v>521</v>
      </c>
      <c r="AI3134" s="831">
        <v>0</v>
      </c>
      <c r="AJ3134" s="835">
        <v>40602</v>
      </c>
      <c r="AK3134" s="831">
        <v>0</v>
      </c>
      <c r="AP3134" s="831" t="str">
        <f t="shared" si="145"/>
        <v/>
      </c>
    </row>
    <row r="3135" spans="2:42">
      <c r="B3135" s="834" t="str">
        <f t="shared" si="144"/>
        <v>|||</v>
      </c>
      <c r="H3135" s="835">
        <f t="shared" si="146"/>
        <v>31</v>
      </c>
      <c r="AF3135" s="831" t="s">
        <v>3792</v>
      </c>
      <c r="AG3135" s="831" t="s">
        <v>520</v>
      </c>
      <c r="AH3135" s="831" t="s">
        <v>660</v>
      </c>
      <c r="AI3135" s="831">
        <v>0</v>
      </c>
      <c r="AJ3135" s="835">
        <v>40602</v>
      </c>
      <c r="AK3135" s="831">
        <v>0</v>
      </c>
      <c r="AP3135" s="831" t="str">
        <f t="shared" si="145"/>
        <v/>
      </c>
    </row>
    <row r="3136" spans="2:42">
      <c r="B3136" s="834" t="str">
        <f t="shared" si="144"/>
        <v>|||</v>
      </c>
      <c r="H3136" s="835">
        <f t="shared" si="146"/>
        <v>31</v>
      </c>
      <c r="AF3136" s="831" t="s">
        <v>3793</v>
      </c>
      <c r="AG3136" s="831" t="s">
        <v>520</v>
      </c>
      <c r="AH3136" s="831" t="s">
        <v>661</v>
      </c>
      <c r="AI3136" s="831">
        <v>0</v>
      </c>
      <c r="AJ3136" s="835">
        <v>40602</v>
      </c>
      <c r="AK3136" s="831">
        <v>0</v>
      </c>
      <c r="AP3136" s="831" t="str">
        <f t="shared" si="145"/>
        <v/>
      </c>
    </row>
    <row r="3137" spans="2:42">
      <c r="B3137" s="834" t="str">
        <f t="shared" si="144"/>
        <v>|||</v>
      </c>
      <c r="H3137" s="835">
        <f t="shared" si="146"/>
        <v>31</v>
      </c>
      <c r="AF3137" s="831" t="s">
        <v>3794</v>
      </c>
      <c r="AG3137" s="831" t="s">
        <v>520</v>
      </c>
      <c r="AH3137" s="831" t="s">
        <v>662</v>
      </c>
      <c r="AI3137" s="831">
        <v>0</v>
      </c>
      <c r="AJ3137" s="835">
        <v>40602</v>
      </c>
      <c r="AK3137" s="831">
        <v>0</v>
      </c>
      <c r="AP3137" s="831" t="str">
        <f t="shared" si="145"/>
        <v/>
      </c>
    </row>
    <row r="3138" spans="2:42">
      <c r="B3138" s="834" t="str">
        <f t="shared" si="144"/>
        <v>|||</v>
      </c>
      <c r="H3138" s="835">
        <f t="shared" si="146"/>
        <v>31</v>
      </c>
      <c r="AF3138" s="831" t="s">
        <v>3795</v>
      </c>
      <c r="AG3138" s="831" t="s">
        <v>520</v>
      </c>
      <c r="AH3138" s="831" t="s">
        <v>291</v>
      </c>
      <c r="AI3138" s="831">
        <v>0</v>
      </c>
      <c r="AJ3138" s="835">
        <v>40633</v>
      </c>
      <c r="AK3138" s="831">
        <v>9425920</v>
      </c>
      <c r="AP3138" s="831" t="str">
        <f t="shared" si="145"/>
        <v/>
      </c>
    </row>
    <row r="3139" spans="2:42">
      <c r="B3139" s="834" t="str">
        <f t="shared" ref="B3139:B3202" si="147">C3139&amp;"|"&amp;D3139&amp;"|"&amp;E3139&amp;"|"&amp;F3139</f>
        <v>|||</v>
      </c>
      <c r="H3139" s="835">
        <f t="shared" si="146"/>
        <v>31</v>
      </c>
      <c r="AF3139" s="831" t="s">
        <v>3796</v>
      </c>
      <c r="AG3139" s="831" t="s">
        <v>520</v>
      </c>
      <c r="AH3139" s="831" t="s">
        <v>519</v>
      </c>
      <c r="AI3139" s="831">
        <v>0</v>
      </c>
      <c r="AJ3139" s="835">
        <v>40633</v>
      </c>
      <c r="AK3139" s="831">
        <v>165847520</v>
      </c>
      <c r="AP3139" s="831" t="str">
        <f t="shared" ref="AP3139:AP3202" si="148">IF(AX3139&lt;&gt;"",IF(OR(AX3139=3,AX3139=4),"Equity","Debt"),"")</f>
        <v/>
      </c>
    </row>
    <row r="3140" spans="2:42">
      <c r="B3140" s="834" t="str">
        <f t="shared" si="147"/>
        <v>|||</v>
      </c>
      <c r="H3140" s="835">
        <f t="shared" ref="H3140:H3203" si="149">EOMONTH(L3140,0)</f>
        <v>31</v>
      </c>
      <c r="AF3140" s="831" t="s">
        <v>3797</v>
      </c>
      <c r="AG3140" s="831" t="s">
        <v>520</v>
      </c>
      <c r="AH3140" s="831" t="s">
        <v>94</v>
      </c>
      <c r="AI3140" s="831">
        <v>0</v>
      </c>
      <c r="AJ3140" s="835">
        <v>40633</v>
      </c>
      <c r="AK3140" s="831">
        <v>9977420</v>
      </c>
      <c r="AP3140" s="831" t="str">
        <f t="shared" si="148"/>
        <v/>
      </c>
    </row>
    <row r="3141" spans="2:42">
      <c r="B3141" s="834" t="str">
        <f t="shared" si="147"/>
        <v>|||</v>
      </c>
      <c r="H3141" s="835">
        <f t="shared" si="149"/>
        <v>31</v>
      </c>
      <c r="AF3141" s="831" t="s">
        <v>3798</v>
      </c>
      <c r="AG3141" s="831" t="s">
        <v>520</v>
      </c>
      <c r="AH3141" s="831" t="s">
        <v>85</v>
      </c>
      <c r="AI3141" s="831">
        <v>0</v>
      </c>
      <c r="AJ3141" s="835">
        <v>40633</v>
      </c>
      <c r="AK3141" s="831">
        <v>50150290</v>
      </c>
      <c r="AP3141" s="831" t="str">
        <f t="shared" si="148"/>
        <v/>
      </c>
    </row>
    <row r="3142" spans="2:42">
      <c r="B3142" s="834" t="str">
        <f t="shared" si="147"/>
        <v>|||</v>
      </c>
      <c r="H3142" s="835">
        <f t="shared" si="149"/>
        <v>31</v>
      </c>
      <c r="AF3142" s="831" t="s">
        <v>3799</v>
      </c>
      <c r="AG3142" s="831" t="s">
        <v>520</v>
      </c>
      <c r="AH3142" s="831" t="s">
        <v>90</v>
      </c>
      <c r="AI3142" s="831">
        <v>0</v>
      </c>
      <c r="AJ3142" s="835">
        <v>40633</v>
      </c>
      <c r="AK3142" s="831">
        <v>129165900</v>
      </c>
      <c r="AP3142" s="831" t="str">
        <f t="shared" si="148"/>
        <v/>
      </c>
    </row>
    <row r="3143" spans="2:42">
      <c r="B3143" s="834" t="str">
        <f t="shared" si="147"/>
        <v>|||</v>
      </c>
      <c r="H3143" s="835">
        <f t="shared" si="149"/>
        <v>31</v>
      </c>
      <c r="AF3143" s="831" t="s">
        <v>3800</v>
      </c>
      <c r="AG3143" s="831" t="s">
        <v>520</v>
      </c>
      <c r="AH3143" s="831" t="s">
        <v>117</v>
      </c>
      <c r="AI3143" s="831">
        <v>0</v>
      </c>
      <c r="AJ3143" s="835">
        <v>40633</v>
      </c>
      <c r="AK3143" s="831">
        <v>4218730</v>
      </c>
      <c r="AP3143" s="831" t="str">
        <f t="shared" si="148"/>
        <v/>
      </c>
    </row>
    <row r="3144" spans="2:42">
      <c r="B3144" s="834" t="str">
        <f t="shared" si="147"/>
        <v>|||</v>
      </c>
      <c r="H3144" s="835">
        <f t="shared" si="149"/>
        <v>31</v>
      </c>
      <c r="AF3144" s="831" t="s">
        <v>3801</v>
      </c>
      <c r="AG3144" s="831" t="s">
        <v>520</v>
      </c>
      <c r="AH3144" s="831" t="s">
        <v>525</v>
      </c>
      <c r="AI3144" s="831">
        <v>0</v>
      </c>
      <c r="AJ3144" s="835">
        <v>40633</v>
      </c>
      <c r="AK3144" s="831">
        <v>0</v>
      </c>
      <c r="AP3144" s="831" t="str">
        <f t="shared" si="148"/>
        <v/>
      </c>
    </row>
    <row r="3145" spans="2:42">
      <c r="B3145" s="834" t="str">
        <f t="shared" si="147"/>
        <v>|||</v>
      </c>
      <c r="H3145" s="835">
        <f t="shared" si="149"/>
        <v>31</v>
      </c>
      <c r="AF3145" s="831" t="s">
        <v>3802</v>
      </c>
      <c r="AG3145" s="831" t="s">
        <v>520</v>
      </c>
      <c r="AH3145" s="831" t="s">
        <v>522</v>
      </c>
      <c r="AI3145" s="831">
        <v>0</v>
      </c>
      <c r="AJ3145" s="835">
        <v>40633</v>
      </c>
      <c r="AK3145" s="831">
        <v>0</v>
      </c>
      <c r="AP3145" s="831" t="str">
        <f t="shared" si="148"/>
        <v/>
      </c>
    </row>
    <row r="3146" spans="2:42">
      <c r="B3146" s="834" t="str">
        <f t="shared" si="147"/>
        <v>|||</v>
      </c>
      <c r="H3146" s="835">
        <f t="shared" si="149"/>
        <v>31</v>
      </c>
      <c r="AF3146" s="831" t="s">
        <v>3803</v>
      </c>
      <c r="AG3146" s="831" t="s">
        <v>520</v>
      </c>
      <c r="AH3146" s="831" t="s">
        <v>523</v>
      </c>
      <c r="AI3146" s="831">
        <v>0</v>
      </c>
      <c r="AJ3146" s="835">
        <v>40633</v>
      </c>
      <c r="AK3146" s="831">
        <v>0</v>
      </c>
      <c r="AP3146" s="831" t="str">
        <f t="shared" si="148"/>
        <v/>
      </c>
    </row>
    <row r="3147" spans="2:42">
      <c r="B3147" s="834" t="str">
        <f t="shared" si="147"/>
        <v>|||</v>
      </c>
      <c r="H3147" s="835">
        <f t="shared" si="149"/>
        <v>31</v>
      </c>
      <c r="AF3147" s="831" t="s">
        <v>3804</v>
      </c>
      <c r="AG3147" s="831" t="s">
        <v>520</v>
      </c>
      <c r="AH3147" s="831" t="s">
        <v>524</v>
      </c>
      <c r="AI3147" s="831">
        <v>0</v>
      </c>
      <c r="AJ3147" s="835">
        <v>40633</v>
      </c>
      <c r="AK3147" s="831">
        <v>0</v>
      </c>
      <c r="AP3147" s="831" t="str">
        <f t="shared" si="148"/>
        <v/>
      </c>
    </row>
    <row r="3148" spans="2:42">
      <c r="B3148" s="834" t="str">
        <f t="shared" si="147"/>
        <v>|||</v>
      </c>
      <c r="H3148" s="835">
        <f t="shared" si="149"/>
        <v>31</v>
      </c>
      <c r="AF3148" s="831" t="s">
        <v>3805</v>
      </c>
      <c r="AG3148" s="831" t="s">
        <v>520</v>
      </c>
      <c r="AH3148" s="831" t="s">
        <v>521</v>
      </c>
      <c r="AI3148" s="831">
        <v>0</v>
      </c>
      <c r="AJ3148" s="835">
        <v>40633</v>
      </c>
      <c r="AK3148" s="831">
        <v>0</v>
      </c>
      <c r="AP3148" s="831" t="str">
        <f t="shared" si="148"/>
        <v/>
      </c>
    </row>
    <row r="3149" spans="2:42">
      <c r="B3149" s="834" t="str">
        <f t="shared" si="147"/>
        <v>|||</v>
      </c>
      <c r="H3149" s="835">
        <f t="shared" si="149"/>
        <v>31</v>
      </c>
      <c r="AF3149" s="831" t="s">
        <v>3806</v>
      </c>
      <c r="AG3149" s="831" t="s">
        <v>520</v>
      </c>
      <c r="AH3149" s="831" t="s">
        <v>660</v>
      </c>
      <c r="AI3149" s="831">
        <v>0</v>
      </c>
      <c r="AJ3149" s="835">
        <v>40633</v>
      </c>
      <c r="AK3149" s="831">
        <v>0</v>
      </c>
      <c r="AP3149" s="831" t="str">
        <f t="shared" si="148"/>
        <v/>
      </c>
    </row>
    <row r="3150" spans="2:42">
      <c r="B3150" s="834" t="str">
        <f t="shared" si="147"/>
        <v>|||</v>
      </c>
      <c r="H3150" s="835">
        <f t="shared" si="149"/>
        <v>31</v>
      </c>
      <c r="AF3150" s="831" t="s">
        <v>3807</v>
      </c>
      <c r="AG3150" s="831" t="s">
        <v>520</v>
      </c>
      <c r="AH3150" s="831" t="s">
        <v>661</v>
      </c>
      <c r="AI3150" s="831">
        <v>0</v>
      </c>
      <c r="AJ3150" s="835">
        <v>40633</v>
      </c>
      <c r="AK3150" s="831">
        <v>0</v>
      </c>
      <c r="AP3150" s="831" t="str">
        <f t="shared" si="148"/>
        <v/>
      </c>
    </row>
    <row r="3151" spans="2:42">
      <c r="B3151" s="834" t="str">
        <f t="shared" si="147"/>
        <v>|||</v>
      </c>
      <c r="H3151" s="835">
        <f t="shared" si="149"/>
        <v>31</v>
      </c>
      <c r="AF3151" s="831" t="s">
        <v>3808</v>
      </c>
      <c r="AG3151" s="831" t="s">
        <v>520</v>
      </c>
      <c r="AH3151" s="831" t="s">
        <v>662</v>
      </c>
      <c r="AI3151" s="831">
        <v>0</v>
      </c>
      <c r="AJ3151" s="835">
        <v>40633</v>
      </c>
      <c r="AK3151" s="831">
        <v>0</v>
      </c>
      <c r="AP3151" s="831" t="str">
        <f t="shared" si="148"/>
        <v/>
      </c>
    </row>
    <row r="3152" spans="2:42">
      <c r="B3152" s="834" t="str">
        <f t="shared" si="147"/>
        <v>|||</v>
      </c>
      <c r="H3152" s="835">
        <f t="shared" si="149"/>
        <v>31</v>
      </c>
      <c r="AF3152" s="831" t="s">
        <v>3809</v>
      </c>
      <c r="AG3152" s="831" t="s">
        <v>520</v>
      </c>
      <c r="AH3152" s="831" t="s">
        <v>291</v>
      </c>
      <c r="AI3152" s="831">
        <v>0</v>
      </c>
      <c r="AJ3152" s="835">
        <v>40663</v>
      </c>
      <c r="AK3152" s="831">
        <v>6828010</v>
      </c>
      <c r="AP3152" s="831" t="str">
        <f t="shared" si="148"/>
        <v/>
      </c>
    </row>
    <row r="3153" spans="2:42">
      <c r="B3153" s="834" t="str">
        <f t="shared" si="147"/>
        <v>|||</v>
      </c>
      <c r="H3153" s="835">
        <f t="shared" si="149"/>
        <v>31</v>
      </c>
      <c r="AF3153" s="831" t="s">
        <v>3810</v>
      </c>
      <c r="AG3153" s="831" t="s">
        <v>520</v>
      </c>
      <c r="AH3153" s="831" t="s">
        <v>519</v>
      </c>
      <c r="AI3153" s="831">
        <v>0</v>
      </c>
      <c r="AJ3153" s="835">
        <v>40663</v>
      </c>
      <c r="AK3153" s="831">
        <v>164994730</v>
      </c>
      <c r="AP3153" s="831" t="str">
        <f t="shared" si="148"/>
        <v/>
      </c>
    </row>
    <row r="3154" spans="2:42">
      <c r="B3154" s="834" t="str">
        <f t="shared" si="147"/>
        <v>|||</v>
      </c>
      <c r="H3154" s="835">
        <f t="shared" si="149"/>
        <v>31</v>
      </c>
      <c r="AF3154" s="831" t="s">
        <v>3811</v>
      </c>
      <c r="AG3154" s="831" t="s">
        <v>520</v>
      </c>
      <c r="AH3154" s="831" t="s">
        <v>94</v>
      </c>
      <c r="AI3154" s="831">
        <v>0</v>
      </c>
      <c r="AJ3154" s="835">
        <v>40663</v>
      </c>
      <c r="AK3154" s="831">
        <v>15544610</v>
      </c>
      <c r="AP3154" s="831" t="str">
        <f t="shared" si="148"/>
        <v/>
      </c>
    </row>
    <row r="3155" spans="2:42">
      <c r="B3155" s="834" t="str">
        <f t="shared" si="147"/>
        <v>|||</v>
      </c>
      <c r="H3155" s="835">
        <f t="shared" si="149"/>
        <v>31</v>
      </c>
      <c r="AF3155" s="831" t="s">
        <v>3812</v>
      </c>
      <c r="AG3155" s="831" t="s">
        <v>520</v>
      </c>
      <c r="AH3155" s="831" t="s">
        <v>85</v>
      </c>
      <c r="AI3155" s="831">
        <v>0</v>
      </c>
      <c r="AJ3155" s="835">
        <v>40663</v>
      </c>
      <c r="AK3155" s="831">
        <v>50584930</v>
      </c>
      <c r="AP3155" s="831" t="str">
        <f t="shared" si="148"/>
        <v/>
      </c>
    </row>
    <row r="3156" spans="2:42">
      <c r="B3156" s="834" t="str">
        <f t="shared" si="147"/>
        <v>|||</v>
      </c>
      <c r="H3156" s="835">
        <f t="shared" si="149"/>
        <v>31</v>
      </c>
      <c r="AF3156" s="831" t="s">
        <v>3813</v>
      </c>
      <c r="AG3156" s="831" t="s">
        <v>520</v>
      </c>
      <c r="AH3156" s="831" t="s">
        <v>90</v>
      </c>
      <c r="AI3156" s="831">
        <v>0</v>
      </c>
      <c r="AJ3156" s="835">
        <v>40663</v>
      </c>
      <c r="AK3156" s="831">
        <v>128986660</v>
      </c>
      <c r="AP3156" s="831" t="str">
        <f t="shared" si="148"/>
        <v/>
      </c>
    </row>
    <row r="3157" spans="2:42">
      <c r="B3157" s="834" t="str">
        <f t="shared" si="147"/>
        <v>|||</v>
      </c>
      <c r="H3157" s="835">
        <f t="shared" si="149"/>
        <v>31</v>
      </c>
      <c r="AF3157" s="831" t="s">
        <v>3814</v>
      </c>
      <c r="AG3157" s="831" t="s">
        <v>520</v>
      </c>
      <c r="AH3157" s="831" t="s">
        <v>117</v>
      </c>
      <c r="AI3157" s="831">
        <v>0</v>
      </c>
      <c r="AJ3157" s="835">
        <v>40663</v>
      </c>
      <c r="AK3157" s="831">
        <v>4979010</v>
      </c>
      <c r="AP3157" s="831" t="str">
        <f t="shared" si="148"/>
        <v/>
      </c>
    </row>
    <row r="3158" spans="2:42">
      <c r="B3158" s="834" t="str">
        <f t="shared" si="147"/>
        <v>|||</v>
      </c>
      <c r="H3158" s="835">
        <f t="shared" si="149"/>
        <v>31</v>
      </c>
      <c r="AF3158" s="831" t="s">
        <v>3815</v>
      </c>
      <c r="AG3158" s="831" t="s">
        <v>520</v>
      </c>
      <c r="AH3158" s="831" t="s">
        <v>525</v>
      </c>
      <c r="AI3158" s="831">
        <v>0</v>
      </c>
      <c r="AJ3158" s="835">
        <v>40663</v>
      </c>
      <c r="AK3158" s="831">
        <v>0</v>
      </c>
      <c r="AP3158" s="831" t="str">
        <f t="shared" si="148"/>
        <v/>
      </c>
    </row>
    <row r="3159" spans="2:42">
      <c r="B3159" s="834" t="str">
        <f t="shared" si="147"/>
        <v>|||</v>
      </c>
      <c r="H3159" s="835">
        <f t="shared" si="149"/>
        <v>31</v>
      </c>
      <c r="AF3159" s="831" t="s">
        <v>3816</v>
      </c>
      <c r="AG3159" s="831" t="s">
        <v>520</v>
      </c>
      <c r="AH3159" s="831" t="s">
        <v>522</v>
      </c>
      <c r="AI3159" s="831">
        <v>0</v>
      </c>
      <c r="AJ3159" s="835">
        <v>40663</v>
      </c>
      <c r="AK3159" s="831">
        <v>0</v>
      </c>
      <c r="AP3159" s="831" t="str">
        <f t="shared" si="148"/>
        <v/>
      </c>
    </row>
    <row r="3160" spans="2:42">
      <c r="B3160" s="834" t="str">
        <f t="shared" si="147"/>
        <v>|||</v>
      </c>
      <c r="H3160" s="835">
        <f t="shared" si="149"/>
        <v>31</v>
      </c>
      <c r="AF3160" s="831" t="s">
        <v>3817</v>
      </c>
      <c r="AG3160" s="831" t="s">
        <v>520</v>
      </c>
      <c r="AH3160" s="831" t="s">
        <v>523</v>
      </c>
      <c r="AI3160" s="831">
        <v>0</v>
      </c>
      <c r="AJ3160" s="835">
        <v>40663</v>
      </c>
      <c r="AK3160" s="831">
        <v>0</v>
      </c>
      <c r="AP3160" s="831" t="str">
        <f t="shared" si="148"/>
        <v/>
      </c>
    </row>
    <row r="3161" spans="2:42">
      <c r="B3161" s="834" t="str">
        <f t="shared" si="147"/>
        <v>|||</v>
      </c>
      <c r="H3161" s="835">
        <f t="shared" si="149"/>
        <v>31</v>
      </c>
      <c r="AF3161" s="831" t="s">
        <v>3818</v>
      </c>
      <c r="AG3161" s="831" t="s">
        <v>520</v>
      </c>
      <c r="AH3161" s="831" t="s">
        <v>524</v>
      </c>
      <c r="AI3161" s="831">
        <v>0</v>
      </c>
      <c r="AJ3161" s="835">
        <v>40663</v>
      </c>
      <c r="AK3161" s="831">
        <v>0</v>
      </c>
      <c r="AP3161" s="831" t="str">
        <f t="shared" si="148"/>
        <v/>
      </c>
    </row>
    <row r="3162" spans="2:42">
      <c r="B3162" s="834" t="str">
        <f t="shared" si="147"/>
        <v>|||</v>
      </c>
      <c r="H3162" s="835">
        <f t="shared" si="149"/>
        <v>31</v>
      </c>
      <c r="AF3162" s="831" t="s">
        <v>3819</v>
      </c>
      <c r="AG3162" s="831" t="s">
        <v>520</v>
      </c>
      <c r="AH3162" s="831" t="s">
        <v>521</v>
      </c>
      <c r="AI3162" s="831">
        <v>0</v>
      </c>
      <c r="AJ3162" s="835">
        <v>40663</v>
      </c>
      <c r="AK3162" s="831">
        <v>0</v>
      </c>
      <c r="AP3162" s="831" t="str">
        <f t="shared" si="148"/>
        <v/>
      </c>
    </row>
    <row r="3163" spans="2:42">
      <c r="B3163" s="834" t="str">
        <f t="shared" si="147"/>
        <v>|||</v>
      </c>
      <c r="H3163" s="835">
        <f t="shared" si="149"/>
        <v>31</v>
      </c>
      <c r="AF3163" s="831" t="s">
        <v>3820</v>
      </c>
      <c r="AG3163" s="831" t="s">
        <v>520</v>
      </c>
      <c r="AH3163" s="831" t="s">
        <v>660</v>
      </c>
      <c r="AI3163" s="831">
        <v>0</v>
      </c>
      <c r="AJ3163" s="835">
        <v>40663</v>
      </c>
      <c r="AK3163" s="831">
        <v>0</v>
      </c>
      <c r="AP3163" s="831" t="str">
        <f t="shared" si="148"/>
        <v/>
      </c>
    </row>
    <row r="3164" spans="2:42">
      <c r="B3164" s="834" t="str">
        <f t="shared" si="147"/>
        <v>|||</v>
      </c>
      <c r="H3164" s="835">
        <f t="shared" si="149"/>
        <v>31</v>
      </c>
      <c r="AF3164" s="831" t="s">
        <v>3821</v>
      </c>
      <c r="AG3164" s="831" t="s">
        <v>520</v>
      </c>
      <c r="AH3164" s="831" t="s">
        <v>661</v>
      </c>
      <c r="AI3164" s="831">
        <v>0</v>
      </c>
      <c r="AJ3164" s="835">
        <v>40663</v>
      </c>
      <c r="AK3164" s="831">
        <v>0</v>
      </c>
      <c r="AP3164" s="831" t="str">
        <f t="shared" si="148"/>
        <v/>
      </c>
    </row>
    <row r="3165" spans="2:42">
      <c r="B3165" s="834" t="str">
        <f t="shared" si="147"/>
        <v>|||</v>
      </c>
      <c r="H3165" s="835">
        <f t="shared" si="149"/>
        <v>31</v>
      </c>
      <c r="AF3165" s="831" t="s">
        <v>3822</v>
      </c>
      <c r="AG3165" s="831" t="s">
        <v>520</v>
      </c>
      <c r="AH3165" s="831" t="s">
        <v>662</v>
      </c>
      <c r="AI3165" s="831">
        <v>0</v>
      </c>
      <c r="AJ3165" s="835">
        <v>40663</v>
      </c>
      <c r="AK3165" s="831">
        <v>0</v>
      </c>
      <c r="AP3165" s="831" t="str">
        <f t="shared" si="148"/>
        <v/>
      </c>
    </row>
    <row r="3166" spans="2:42">
      <c r="B3166" s="834" t="str">
        <f t="shared" si="147"/>
        <v>|||</v>
      </c>
      <c r="H3166" s="835">
        <f t="shared" si="149"/>
        <v>31</v>
      </c>
      <c r="AF3166" s="831" t="s">
        <v>3823</v>
      </c>
      <c r="AG3166" s="831" t="s">
        <v>520</v>
      </c>
      <c r="AH3166" s="831" t="s">
        <v>291</v>
      </c>
      <c r="AI3166" s="831">
        <v>0</v>
      </c>
      <c r="AJ3166" s="835">
        <v>40694</v>
      </c>
      <c r="AK3166" s="831">
        <v>7788900</v>
      </c>
      <c r="AP3166" s="831" t="str">
        <f t="shared" si="148"/>
        <v/>
      </c>
    </row>
    <row r="3167" spans="2:42">
      <c r="B3167" s="834" t="str">
        <f t="shared" si="147"/>
        <v>|||</v>
      </c>
      <c r="H3167" s="835">
        <f t="shared" si="149"/>
        <v>31</v>
      </c>
      <c r="AF3167" s="831" t="s">
        <v>3824</v>
      </c>
      <c r="AG3167" s="831" t="s">
        <v>520</v>
      </c>
      <c r="AH3167" s="831" t="s">
        <v>519</v>
      </c>
      <c r="AI3167" s="831">
        <v>0</v>
      </c>
      <c r="AJ3167" s="835">
        <v>40694</v>
      </c>
      <c r="AK3167" s="831">
        <v>162515510</v>
      </c>
      <c r="AP3167" s="831" t="str">
        <f t="shared" si="148"/>
        <v/>
      </c>
    </row>
    <row r="3168" spans="2:42">
      <c r="B3168" s="834" t="str">
        <f t="shared" si="147"/>
        <v>|||</v>
      </c>
      <c r="H3168" s="835">
        <f t="shared" si="149"/>
        <v>31</v>
      </c>
      <c r="AF3168" s="831" t="s">
        <v>3825</v>
      </c>
      <c r="AG3168" s="831" t="s">
        <v>520</v>
      </c>
      <c r="AH3168" s="831" t="s">
        <v>94</v>
      </c>
      <c r="AI3168" s="831">
        <v>0</v>
      </c>
      <c r="AJ3168" s="835">
        <v>40694</v>
      </c>
      <c r="AK3168" s="831">
        <v>12824180</v>
      </c>
      <c r="AP3168" s="831" t="str">
        <f t="shared" si="148"/>
        <v/>
      </c>
    </row>
    <row r="3169" spans="2:42">
      <c r="B3169" s="834" t="str">
        <f t="shared" si="147"/>
        <v>|||</v>
      </c>
      <c r="H3169" s="835">
        <f t="shared" si="149"/>
        <v>31</v>
      </c>
      <c r="AF3169" s="831" t="s">
        <v>3826</v>
      </c>
      <c r="AG3169" s="831" t="s">
        <v>520</v>
      </c>
      <c r="AH3169" s="831" t="s">
        <v>85</v>
      </c>
      <c r="AI3169" s="831">
        <v>0</v>
      </c>
      <c r="AJ3169" s="835">
        <v>40694</v>
      </c>
      <c r="AK3169" s="831">
        <v>49558140</v>
      </c>
      <c r="AP3169" s="831" t="str">
        <f t="shared" si="148"/>
        <v/>
      </c>
    </row>
    <row r="3170" spans="2:42">
      <c r="B3170" s="834" t="str">
        <f t="shared" si="147"/>
        <v>|||</v>
      </c>
      <c r="H3170" s="835">
        <f t="shared" si="149"/>
        <v>31</v>
      </c>
      <c r="AF3170" s="831" t="s">
        <v>3827</v>
      </c>
      <c r="AG3170" s="831" t="s">
        <v>520</v>
      </c>
      <c r="AH3170" s="831" t="s">
        <v>90</v>
      </c>
      <c r="AI3170" s="831">
        <v>0</v>
      </c>
      <c r="AJ3170" s="835">
        <v>40694</v>
      </c>
      <c r="AK3170" s="831">
        <v>127400230</v>
      </c>
      <c r="AP3170" s="831" t="str">
        <f t="shared" si="148"/>
        <v/>
      </c>
    </row>
    <row r="3171" spans="2:42">
      <c r="B3171" s="834" t="str">
        <f t="shared" si="147"/>
        <v>|||</v>
      </c>
      <c r="H3171" s="835">
        <f t="shared" si="149"/>
        <v>31</v>
      </c>
      <c r="AF3171" s="831" t="s">
        <v>3828</v>
      </c>
      <c r="AG3171" s="831" t="s">
        <v>520</v>
      </c>
      <c r="AH3171" s="831" t="s">
        <v>117</v>
      </c>
      <c r="AI3171" s="831">
        <v>0</v>
      </c>
      <c r="AJ3171" s="835">
        <v>40694</v>
      </c>
      <c r="AK3171" s="831">
        <v>5124090</v>
      </c>
      <c r="AP3171" s="831" t="str">
        <f t="shared" si="148"/>
        <v/>
      </c>
    </row>
    <row r="3172" spans="2:42">
      <c r="B3172" s="834" t="str">
        <f t="shared" si="147"/>
        <v>|||</v>
      </c>
      <c r="H3172" s="835">
        <f t="shared" si="149"/>
        <v>31</v>
      </c>
      <c r="AF3172" s="831" t="s">
        <v>3829</v>
      </c>
      <c r="AG3172" s="831" t="s">
        <v>520</v>
      </c>
      <c r="AH3172" s="831" t="s">
        <v>525</v>
      </c>
      <c r="AI3172" s="831">
        <v>0</v>
      </c>
      <c r="AJ3172" s="835">
        <v>40694</v>
      </c>
      <c r="AK3172" s="831">
        <v>0</v>
      </c>
      <c r="AP3172" s="831" t="str">
        <f t="shared" si="148"/>
        <v/>
      </c>
    </row>
    <row r="3173" spans="2:42">
      <c r="B3173" s="834" t="str">
        <f t="shared" si="147"/>
        <v>|||</v>
      </c>
      <c r="H3173" s="835">
        <f t="shared" si="149"/>
        <v>31</v>
      </c>
      <c r="AF3173" s="831" t="s">
        <v>3830</v>
      </c>
      <c r="AG3173" s="831" t="s">
        <v>520</v>
      </c>
      <c r="AH3173" s="831" t="s">
        <v>522</v>
      </c>
      <c r="AI3173" s="831">
        <v>0</v>
      </c>
      <c r="AJ3173" s="835">
        <v>40694</v>
      </c>
      <c r="AK3173" s="831">
        <v>0</v>
      </c>
      <c r="AP3173" s="831" t="str">
        <f t="shared" si="148"/>
        <v/>
      </c>
    </row>
    <row r="3174" spans="2:42">
      <c r="B3174" s="834" t="str">
        <f t="shared" si="147"/>
        <v>|||</v>
      </c>
      <c r="H3174" s="835">
        <f t="shared" si="149"/>
        <v>31</v>
      </c>
      <c r="AF3174" s="831" t="s">
        <v>3831</v>
      </c>
      <c r="AG3174" s="831" t="s">
        <v>520</v>
      </c>
      <c r="AH3174" s="831" t="s">
        <v>523</v>
      </c>
      <c r="AI3174" s="831">
        <v>0</v>
      </c>
      <c r="AJ3174" s="835">
        <v>40694</v>
      </c>
      <c r="AK3174" s="831">
        <v>0</v>
      </c>
      <c r="AP3174" s="831" t="str">
        <f t="shared" si="148"/>
        <v/>
      </c>
    </row>
    <row r="3175" spans="2:42">
      <c r="B3175" s="834" t="str">
        <f t="shared" si="147"/>
        <v>|||</v>
      </c>
      <c r="H3175" s="835">
        <f t="shared" si="149"/>
        <v>31</v>
      </c>
      <c r="AF3175" s="831" t="s">
        <v>3832</v>
      </c>
      <c r="AG3175" s="831" t="s">
        <v>520</v>
      </c>
      <c r="AH3175" s="831" t="s">
        <v>524</v>
      </c>
      <c r="AI3175" s="831">
        <v>0</v>
      </c>
      <c r="AJ3175" s="835">
        <v>40694</v>
      </c>
      <c r="AK3175" s="831">
        <v>0</v>
      </c>
      <c r="AP3175" s="831" t="str">
        <f t="shared" si="148"/>
        <v/>
      </c>
    </row>
    <row r="3176" spans="2:42">
      <c r="B3176" s="834" t="str">
        <f t="shared" si="147"/>
        <v>|||</v>
      </c>
      <c r="H3176" s="835">
        <f t="shared" si="149"/>
        <v>31</v>
      </c>
      <c r="AF3176" s="831" t="s">
        <v>3833</v>
      </c>
      <c r="AG3176" s="831" t="s">
        <v>520</v>
      </c>
      <c r="AH3176" s="831" t="s">
        <v>521</v>
      </c>
      <c r="AI3176" s="831">
        <v>0</v>
      </c>
      <c r="AJ3176" s="835">
        <v>40694</v>
      </c>
      <c r="AK3176" s="831">
        <v>0</v>
      </c>
      <c r="AP3176" s="831" t="str">
        <f t="shared" si="148"/>
        <v/>
      </c>
    </row>
    <row r="3177" spans="2:42">
      <c r="B3177" s="834" t="str">
        <f t="shared" si="147"/>
        <v>|||</v>
      </c>
      <c r="H3177" s="835">
        <f t="shared" si="149"/>
        <v>31</v>
      </c>
      <c r="AF3177" s="831" t="s">
        <v>3834</v>
      </c>
      <c r="AG3177" s="831" t="s">
        <v>520</v>
      </c>
      <c r="AH3177" s="831" t="s">
        <v>660</v>
      </c>
      <c r="AI3177" s="831">
        <v>0</v>
      </c>
      <c r="AJ3177" s="835">
        <v>40694</v>
      </c>
      <c r="AK3177" s="831">
        <v>0</v>
      </c>
      <c r="AP3177" s="831" t="str">
        <f t="shared" si="148"/>
        <v/>
      </c>
    </row>
    <row r="3178" spans="2:42">
      <c r="B3178" s="834" t="str">
        <f t="shared" si="147"/>
        <v>|||</v>
      </c>
      <c r="H3178" s="835">
        <f t="shared" si="149"/>
        <v>31</v>
      </c>
      <c r="AF3178" s="831" t="s">
        <v>3835</v>
      </c>
      <c r="AG3178" s="831" t="s">
        <v>520</v>
      </c>
      <c r="AH3178" s="831" t="s">
        <v>661</v>
      </c>
      <c r="AI3178" s="831">
        <v>0</v>
      </c>
      <c r="AJ3178" s="835">
        <v>40694</v>
      </c>
      <c r="AK3178" s="831">
        <v>0</v>
      </c>
      <c r="AP3178" s="831" t="str">
        <f t="shared" si="148"/>
        <v/>
      </c>
    </row>
    <row r="3179" spans="2:42">
      <c r="B3179" s="834" t="str">
        <f t="shared" si="147"/>
        <v>|||</v>
      </c>
      <c r="H3179" s="835">
        <f t="shared" si="149"/>
        <v>31</v>
      </c>
      <c r="AF3179" s="831" t="s">
        <v>3836</v>
      </c>
      <c r="AG3179" s="831" t="s">
        <v>520</v>
      </c>
      <c r="AH3179" s="831" t="s">
        <v>662</v>
      </c>
      <c r="AI3179" s="831">
        <v>0</v>
      </c>
      <c r="AJ3179" s="835">
        <v>40694</v>
      </c>
      <c r="AK3179" s="831">
        <v>0</v>
      </c>
      <c r="AP3179" s="831" t="str">
        <f t="shared" si="148"/>
        <v/>
      </c>
    </row>
    <row r="3180" spans="2:42">
      <c r="B3180" s="834" t="str">
        <f t="shared" si="147"/>
        <v>|||</v>
      </c>
      <c r="H3180" s="835">
        <f t="shared" si="149"/>
        <v>31</v>
      </c>
      <c r="AF3180" s="831" t="s">
        <v>3837</v>
      </c>
      <c r="AG3180" s="831" t="s">
        <v>520</v>
      </c>
      <c r="AH3180" s="831" t="s">
        <v>291</v>
      </c>
      <c r="AI3180" s="831">
        <v>0</v>
      </c>
      <c r="AJ3180" s="835">
        <v>40724</v>
      </c>
      <c r="AK3180" s="831">
        <v>8121450</v>
      </c>
      <c r="AP3180" s="831" t="str">
        <f t="shared" si="148"/>
        <v/>
      </c>
    </row>
    <row r="3181" spans="2:42">
      <c r="B3181" s="834" t="str">
        <f t="shared" si="147"/>
        <v>|||</v>
      </c>
      <c r="H3181" s="835">
        <f t="shared" si="149"/>
        <v>31</v>
      </c>
      <c r="AF3181" s="831" t="s">
        <v>3838</v>
      </c>
      <c r="AG3181" s="831" t="s">
        <v>520</v>
      </c>
      <c r="AH3181" s="831" t="s">
        <v>519</v>
      </c>
      <c r="AI3181" s="831">
        <v>0</v>
      </c>
      <c r="AJ3181" s="835">
        <v>40724</v>
      </c>
      <c r="AK3181" s="831">
        <v>160680620</v>
      </c>
      <c r="AP3181" s="831" t="str">
        <f t="shared" si="148"/>
        <v/>
      </c>
    </row>
    <row r="3182" spans="2:42">
      <c r="B3182" s="834" t="str">
        <f t="shared" si="147"/>
        <v>|||</v>
      </c>
      <c r="H3182" s="835">
        <f t="shared" si="149"/>
        <v>31</v>
      </c>
      <c r="AF3182" s="831" t="s">
        <v>3839</v>
      </c>
      <c r="AG3182" s="831" t="s">
        <v>520</v>
      </c>
      <c r="AH3182" s="831" t="s">
        <v>94</v>
      </c>
      <c r="AI3182" s="831">
        <v>0</v>
      </c>
      <c r="AJ3182" s="835">
        <v>40724</v>
      </c>
      <c r="AK3182" s="831">
        <v>11116250</v>
      </c>
      <c r="AP3182" s="831" t="str">
        <f t="shared" si="148"/>
        <v/>
      </c>
    </row>
    <row r="3183" spans="2:42">
      <c r="B3183" s="834" t="str">
        <f t="shared" si="147"/>
        <v>|||</v>
      </c>
      <c r="H3183" s="835">
        <f t="shared" si="149"/>
        <v>31</v>
      </c>
      <c r="AF3183" s="831" t="s">
        <v>3840</v>
      </c>
      <c r="AG3183" s="831" t="s">
        <v>520</v>
      </c>
      <c r="AH3183" s="831" t="s">
        <v>85</v>
      </c>
      <c r="AI3183" s="831">
        <v>0</v>
      </c>
      <c r="AJ3183" s="835">
        <v>40724</v>
      </c>
      <c r="AK3183" s="831">
        <v>51618930</v>
      </c>
      <c r="AP3183" s="831" t="str">
        <f t="shared" si="148"/>
        <v/>
      </c>
    </row>
    <row r="3184" spans="2:42">
      <c r="B3184" s="834" t="str">
        <f t="shared" si="147"/>
        <v>|||</v>
      </c>
      <c r="H3184" s="835">
        <f t="shared" si="149"/>
        <v>31</v>
      </c>
      <c r="AF3184" s="831" t="s">
        <v>3841</v>
      </c>
      <c r="AG3184" s="831" t="s">
        <v>520</v>
      </c>
      <c r="AH3184" s="831" t="s">
        <v>90</v>
      </c>
      <c r="AI3184" s="831">
        <v>0</v>
      </c>
      <c r="AJ3184" s="835">
        <v>40724</v>
      </c>
      <c r="AK3184" s="831">
        <v>118736910</v>
      </c>
      <c r="AP3184" s="831" t="str">
        <f t="shared" si="148"/>
        <v/>
      </c>
    </row>
    <row r="3185" spans="2:42">
      <c r="B3185" s="834" t="str">
        <f t="shared" si="147"/>
        <v>|||</v>
      </c>
      <c r="H3185" s="835">
        <f t="shared" si="149"/>
        <v>31</v>
      </c>
      <c r="AF3185" s="831" t="s">
        <v>3842</v>
      </c>
      <c r="AG3185" s="831" t="s">
        <v>520</v>
      </c>
      <c r="AH3185" s="831" t="s">
        <v>117</v>
      </c>
      <c r="AI3185" s="831">
        <v>0</v>
      </c>
      <c r="AJ3185" s="835">
        <v>40724</v>
      </c>
      <c r="AK3185" s="831">
        <v>4982690</v>
      </c>
      <c r="AP3185" s="831" t="str">
        <f t="shared" si="148"/>
        <v/>
      </c>
    </row>
    <row r="3186" spans="2:42">
      <c r="B3186" s="834" t="str">
        <f t="shared" si="147"/>
        <v>|||</v>
      </c>
      <c r="H3186" s="835">
        <f t="shared" si="149"/>
        <v>31</v>
      </c>
      <c r="AF3186" s="831" t="s">
        <v>3843</v>
      </c>
      <c r="AG3186" s="831" t="s">
        <v>520</v>
      </c>
      <c r="AH3186" s="831" t="s">
        <v>525</v>
      </c>
      <c r="AI3186" s="831">
        <v>0</v>
      </c>
      <c r="AJ3186" s="835">
        <v>40724</v>
      </c>
      <c r="AK3186" s="831">
        <v>0</v>
      </c>
      <c r="AP3186" s="831" t="str">
        <f t="shared" si="148"/>
        <v/>
      </c>
    </row>
    <row r="3187" spans="2:42">
      <c r="B3187" s="834" t="str">
        <f t="shared" si="147"/>
        <v>|||</v>
      </c>
      <c r="H3187" s="835">
        <f t="shared" si="149"/>
        <v>31</v>
      </c>
      <c r="AF3187" s="831" t="s">
        <v>3844</v>
      </c>
      <c r="AG3187" s="831" t="s">
        <v>520</v>
      </c>
      <c r="AH3187" s="831" t="s">
        <v>522</v>
      </c>
      <c r="AI3187" s="831">
        <v>0</v>
      </c>
      <c r="AJ3187" s="835">
        <v>40724</v>
      </c>
      <c r="AK3187" s="831">
        <v>0</v>
      </c>
      <c r="AP3187" s="831" t="str">
        <f t="shared" si="148"/>
        <v/>
      </c>
    </row>
    <row r="3188" spans="2:42">
      <c r="B3188" s="834" t="str">
        <f t="shared" si="147"/>
        <v>|||</v>
      </c>
      <c r="H3188" s="835">
        <f t="shared" si="149"/>
        <v>31</v>
      </c>
      <c r="AF3188" s="831" t="s">
        <v>3845</v>
      </c>
      <c r="AG3188" s="831" t="s">
        <v>520</v>
      </c>
      <c r="AH3188" s="831" t="s">
        <v>523</v>
      </c>
      <c r="AI3188" s="831">
        <v>0</v>
      </c>
      <c r="AJ3188" s="835">
        <v>40724</v>
      </c>
      <c r="AK3188" s="831">
        <v>0</v>
      </c>
      <c r="AP3188" s="831" t="str">
        <f t="shared" si="148"/>
        <v/>
      </c>
    </row>
    <row r="3189" spans="2:42">
      <c r="B3189" s="834" t="str">
        <f t="shared" si="147"/>
        <v>|||</v>
      </c>
      <c r="H3189" s="835">
        <f t="shared" si="149"/>
        <v>31</v>
      </c>
      <c r="AF3189" s="831" t="s">
        <v>3846</v>
      </c>
      <c r="AG3189" s="831" t="s">
        <v>520</v>
      </c>
      <c r="AH3189" s="831" t="s">
        <v>524</v>
      </c>
      <c r="AI3189" s="831">
        <v>0</v>
      </c>
      <c r="AJ3189" s="835">
        <v>40724</v>
      </c>
      <c r="AK3189" s="831">
        <v>0</v>
      </c>
      <c r="AP3189" s="831" t="str">
        <f t="shared" si="148"/>
        <v/>
      </c>
    </row>
    <row r="3190" spans="2:42">
      <c r="B3190" s="834" t="str">
        <f t="shared" si="147"/>
        <v>|||</v>
      </c>
      <c r="H3190" s="835">
        <f t="shared" si="149"/>
        <v>31</v>
      </c>
      <c r="AF3190" s="831" t="s">
        <v>3847</v>
      </c>
      <c r="AG3190" s="831" t="s">
        <v>520</v>
      </c>
      <c r="AH3190" s="831" t="s">
        <v>521</v>
      </c>
      <c r="AI3190" s="831">
        <v>0</v>
      </c>
      <c r="AJ3190" s="835">
        <v>40724</v>
      </c>
      <c r="AK3190" s="831">
        <v>0</v>
      </c>
      <c r="AP3190" s="831" t="str">
        <f t="shared" si="148"/>
        <v/>
      </c>
    </row>
    <row r="3191" spans="2:42">
      <c r="B3191" s="834" t="str">
        <f t="shared" si="147"/>
        <v>|||</v>
      </c>
      <c r="H3191" s="835">
        <f t="shared" si="149"/>
        <v>31</v>
      </c>
      <c r="AF3191" s="831" t="s">
        <v>3848</v>
      </c>
      <c r="AG3191" s="831" t="s">
        <v>520</v>
      </c>
      <c r="AH3191" s="831" t="s">
        <v>660</v>
      </c>
      <c r="AI3191" s="831">
        <v>0</v>
      </c>
      <c r="AJ3191" s="835">
        <v>40724</v>
      </c>
      <c r="AK3191" s="831">
        <v>0</v>
      </c>
      <c r="AP3191" s="831" t="str">
        <f t="shared" si="148"/>
        <v/>
      </c>
    </row>
    <row r="3192" spans="2:42">
      <c r="B3192" s="834" t="str">
        <f t="shared" si="147"/>
        <v>|||</v>
      </c>
      <c r="H3192" s="835">
        <f t="shared" si="149"/>
        <v>31</v>
      </c>
      <c r="AF3192" s="831" t="s">
        <v>3849</v>
      </c>
      <c r="AG3192" s="831" t="s">
        <v>520</v>
      </c>
      <c r="AH3192" s="831" t="s">
        <v>661</v>
      </c>
      <c r="AI3192" s="831">
        <v>0</v>
      </c>
      <c r="AJ3192" s="835">
        <v>40724</v>
      </c>
      <c r="AK3192" s="831">
        <v>0</v>
      </c>
      <c r="AP3192" s="831" t="str">
        <f t="shared" si="148"/>
        <v/>
      </c>
    </row>
    <row r="3193" spans="2:42">
      <c r="B3193" s="834" t="str">
        <f t="shared" si="147"/>
        <v>|||</v>
      </c>
      <c r="H3193" s="835">
        <f t="shared" si="149"/>
        <v>31</v>
      </c>
      <c r="AF3193" s="831" t="s">
        <v>3850</v>
      </c>
      <c r="AG3193" s="831" t="s">
        <v>520</v>
      </c>
      <c r="AH3193" s="831" t="s">
        <v>662</v>
      </c>
      <c r="AI3193" s="831">
        <v>0</v>
      </c>
      <c r="AJ3193" s="835">
        <v>40724</v>
      </c>
      <c r="AK3193" s="831">
        <v>0</v>
      </c>
      <c r="AP3193" s="831" t="str">
        <f t="shared" si="148"/>
        <v/>
      </c>
    </row>
    <row r="3194" spans="2:42">
      <c r="B3194" s="834" t="str">
        <f t="shared" si="147"/>
        <v>|||</v>
      </c>
      <c r="H3194" s="835">
        <f t="shared" si="149"/>
        <v>31</v>
      </c>
      <c r="AF3194" s="831" t="s">
        <v>3851</v>
      </c>
      <c r="AG3194" s="831" t="s">
        <v>520</v>
      </c>
      <c r="AH3194" s="831" t="s">
        <v>291</v>
      </c>
      <c r="AI3194" s="831">
        <v>0</v>
      </c>
      <c r="AJ3194" s="835">
        <v>40755</v>
      </c>
      <c r="AK3194" s="831">
        <v>8107910</v>
      </c>
      <c r="AP3194" s="831" t="str">
        <f t="shared" si="148"/>
        <v/>
      </c>
    </row>
    <row r="3195" spans="2:42">
      <c r="B3195" s="834" t="str">
        <f t="shared" si="147"/>
        <v>|||</v>
      </c>
      <c r="H3195" s="835">
        <f t="shared" si="149"/>
        <v>31</v>
      </c>
      <c r="AF3195" s="831" t="s">
        <v>3852</v>
      </c>
      <c r="AG3195" s="831" t="s">
        <v>520</v>
      </c>
      <c r="AH3195" s="831" t="s">
        <v>519</v>
      </c>
      <c r="AI3195" s="831">
        <v>0</v>
      </c>
      <c r="AJ3195" s="835">
        <v>40755</v>
      </c>
      <c r="AK3195" s="831">
        <v>159287540</v>
      </c>
      <c r="AP3195" s="831" t="str">
        <f t="shared" si="148"/>
        <v/>
      </c>
    </row>
    <row r="3196" spans="2:42">
      <c r="B3196" s="834" t="str">
        <f t="shared" si="147"/>
        <v>|||</v>
      </c>
      <c r="H3196" s="835">
        <f t="shared" si="149"/>
        <v>31</v>
      </c>
      <c r="AF3196" s="831" t="s">
        <v>3853</v>
      </c>
      <c r="AG3196" s="831" t="s">
        <v>520</v>
      </c>
      <c r="AH3196" s="831" t="s">
        <v>94</v>
      </c>
      <c r="AI3196" s="831">
        <v>0</v>
      </c>
      <c r="AJ3196" s="835">
        <v>40755</v>
      </c>
      <c r="AK3196" s="831">
        <v>11756480</v>
      </c>
      <c r="AP3196" s="831" t="str">
        <f t="shared" si="148"/>
        <v/>
      </c>
    </row>
    <row r="3197" spans="2:42">
      <c r="B3197" s="834" t="str">
        <f t="shared" si="147"/>
        <v>|||</v>
      </c>
      <c r="H3197" s="835">
        <f t="shared" si="149"/>
        <v>31</v>
      </c>
      <c r="AF3197" s="831" t="s">
        <v>3854</v>
      </c>
      <c r="AG3197" s="831" t="s">
        <v>520</v>
      </c>
      <c r="AH3197" s="831" t="s">
        <v>85</v>
      </c>
      <c r="AI3197" s="831">
        <v>0</v>
      </c>
      <c r="AJ3197" s="835">
        <v>40755</v>
      </c>
      <c r="AK3197" s="831">
        <v>50462420</v>
      </c>
      <c r="AP3197" s="831" t="str">
        <f t="shared" si="148"/>
        <v/>
      </c>
    </row>
    <row r="3198" spans="2:42">
      <c r="B3198" s="834" t="str">
        <f t="shared" si="147"/>
        <v>|||</v>
      </c>
      <c r="H3198" s="835">
        <f t="shared" si="149"/>
        <v>31</v>
      </c>
      <c r="AF3198" s="831" t="s">
        <v>3855</v>
      </c>
      <c r="AG3198" s="831" t="s">
        <v>520</v>
      </c>
      <c r="AH3198" s="831" t="s">
        <v>90</v>
      </c>
      <c r="AI3198" s="831">
        <v>0</v>
      </c>
      <c r="AJ3198" s="835">
        <v>40755</v>
      </c>
      <c r="AK3198" s="831">
        <v>116755320</v>
      </c>
      <c r="AP3198" s="831" t="str">
        <f t="shared" si="148"/>
        <v/>
      </c>
    </row>
    <row r="3199" spans="2:42">
      <c r="B3199" s="834" t="str">
        <f t="shared" si="147"/>
        <v>|||</v>
      </c>
      <c r="H3199" s="835">
        <f t="shared" si="149"/>
        <v>31</v>
      </c>
      <c r="AF3199" s="831" t="s">
        <v>3856</v>
      </c>
      <c r="AG3199" s="831" t="s">
        <v>520</v>
      </c>
      <c r="AH3199" s="831" t="s">
        <v>117</v>
      </c>
      <c r="AI3199" s="831">
        <v>0</v>
      </c>
      <c r="AJ3199" s="835">
        <v>40755</v>
      </c>
      <c r="AK3199" s="831">
        <v>5131660</v>
      </c>
      <c r="AP3199" s="831" t="str">
        <f t="shared" si="148"/>
        <v/>
      </c>
    </row>
    <row r="3200" spans="2:42">
      <c r="B3200" s="834" t="str">
        <f t="shared" si="147"/>
        <v>|||</v>
      </c>
      <c r="H3200" s="835">
        <f t="shared" si="149"/>
        <v>31</v>
      </c>
      <c r="AF3200" s="831" t="s">
        <v>3857</v>
      </c>
      <c r="AG3200" s="831" t="s">
        <v>520</v>
      </c>
      <c r="AH3200" s="831" t="s">
        <v>525</v>
      </c>
      <c r="AI3200" s="831">
        <v>0</v>
      </c>
      <c r="AJ3200" s="835">
        <v>40755</v>
      </c>
      <c r="AK3200" s="831">
        <v>0</v>
      </c>
      <c r="AP3200" s="831" t="str">
        <f t="shared" si="148"/>
        <v/>
      </c>
    </row>
    <row r="3201" spans="2:42">
      <c r="B3201" s="834" t="str">
        <f t="shared" si="147"/>
        <v>|||</v>
      </c>
      <c r="H3201" s="835">
        <f t="shared" si="149"/>
        <v>31</v>
      </c>
      <c r="AF3201" s="831" t="s">
        <v>3858</v>
      </c>
      <c r="AG3201" s="831" t="s">
        <v>520</v>
      </c>
      <c r="AH3201" s="831" t="s">
        <v>522</v>
      </c>
      <c r="AI3201" s="831">
        <v>0</v>
      </c>
      <c r="AJ3201" s="835">
        <v>40755</v>
      </c>
      <c r="AK3201" s="831">
        <v>0</v>
      </c>
      <c r="AP3201" s="831" t="str">
        <f t="shared" si="148"/>
        <v/>
      </c>
    </row>
    <row r="3202" spans="2:42">
      <c r="B3202" s="834" t="str">
        <f t="shared" si="147"/>
        <v>|||</v>
      </c>
      <c r="H3202" s="835">
        <f t="shared" si="149"/>
        <v>31</v>
      </c>
      <c r="AF3202" s="831" t="s">
        <v>3859</v>
      </c>
      <c r="AG3202" s="831" t="s">
        <v>520</v>
      </c>
      <c r="AH3202" s="831" t="s">
        <v>523</v>
      </c>
      <c r="AI3202" s="831">
        <v>0</v>
      </c>
      <c r="AJ3202" s="835">
        <v>40755</v>
      </c>
      <c r="AK3202" s="831">
        <v>0</v>
      </c>
      <c r="AP3202" s="831" t="str">
        <f t="shared" si="148"/>
        <v/>
      </c>
    </row>
    <row r="3203" spans="2:42">
      <c r="B3203" s="834" t="str">
        <f t="shared" ref="B3203:B3266" si="150">C3203&amp;"|"&amp;D3203&amp;"|"&amp;E3203&amp;"|"&amp;F3203</f>
        <v>|||</v>
      </c>
      <c r="H3203" s="835">
        <f t="shared" si="149"/>
        <v>31</v>
      </c>
      <c r="AF3203" s="831" t="s">
        <v>3860</v>
      </c>
      <c r="AG3203" s="831" t="s">
        <v>520</v>
      </c>
      <c r="AH3203" s="831" t="s">
        <v>524</v>
      </c>
      <c r="AI3203" s="831">
        <v>0</v>
      </c>
      <c r="AJ3203" s="835">
        <v>40755</v>
      </c>
      <c r="AK3203" s="831">
        <v>0</v>
      </c>
      <c r="AP3203" s="831" t="str">
        <f t="shared" ref="AP3203:AP3266" si="151">IF(AX3203&lt;&gt;"",IF(OR(AX3203=3,AX3203=4),"Equity","Debt"),"")</f>
        <v/>
      </c>
    </row>
    <row r="3204" spans="2:42">
      <c r="B3204" s="834" t="str">
        <f t="shared" si="150"/>
        <v>|||</v>
      </c>
      <c r="H3204" s="835">
        <f t="shared" ref="H3204:H3267" si="152">EOMONTH(L3204,0)</f>
        <v>31</v>
      </c>
      <c r="AF3204" s="831" t="s">
        <v>3861</v>
      </c>
      <c r="AG3204" s="831" t="s">
        <v>520</v>
      </c>
      <c r="AH3204" s="831" t="s">
        <v>521</v>
      </c>
      <c r="AI3204" s="831">
        <v>0</v>
      </c>
      <c r="AJ3204" s="835">
        <v>40755</v>
      </c>
      <c r="AK3204" s="831">
        <v>0</v>
      </c>
      <c r="AP3204" s="831" t="str">
        <f t="shared" si="151"/>
        <v/>
      </c>
    </row>
    <row r="3205" spans="2:42">
      <c r="B3205" s="834" t="str">
        <f t="shared" si="150"/>
        <v>|||</v>
      </c>
      <c r="H3205" s="835">
        <f t="shared" si="152"/>
        <v>31</v>
      </c>
      <c r="AF3205" s="831" t="s">
        <v>3862</v>
      </c>
      <c r="AG3205" s="831" t="s">
        <v>520</v>
      </c>
      <c r="AH3205" s="831" t="s">
        <v>660</v>
      </c>
      <c r="AI3205" s="831">
        <v>0</v>
      </c>
      <c r="AJ3205" s="835">
        <v>40755</v>
      </c>
      <c r="AK3205" s="831">
        <v>0</v>
      </c>
      <c r="AP3205" s="831" t="str">
        <f t="shared" si="151"/>
        <v/>
      </c>
    </row>
    <row r="3206" spans="2:42">
      <c r="B3206" s="834" t="str">
        <f t="shared" si="150"/>
        <v>|||</v>
      </c>
      <c r="H3206" s="835">
        <f t="shared" si="152"/>
        <v>31</v>
      </c>
      <c r="AF3206" s="831" t="s">
        <v>3863</v>
      </c>
      <c r="AG3206" s="831" t="s">
        <v>520</v>
      </c>
      <c r="AH3206" s="831" t="s">
        <v>661</v>
      </c>
      <c r="AI3206" s="831">
        <v>0</v>
      </c>
      <c r="AJ3206" s="835">
        <v>40755</v>
      </c>
      <c r="AK3206" s="831">
        <v>0</v>
      </c>
      <c r="AP3206" s="831" t="str">
        <f t="shared" si="151"/>
        <v/>
      </c>
    </row>
    <row r="3207" spans="2:42">
      <c r="B3207" s="834" t="str">
        <f t="shared" si="150"/>
        <v>|||</v>
      </c>
      <c r="H3207" s="835">
        <f t="shared" si="152"/>
        <v>31</v>
      </c>
      <c r="AF3207" s="831" t="s">
        <v>3864</v>
      </c>
      <c r="AG3207" s="831" t="s">
        <v>520</v>
      </c>
      <c r="AH3207" s="831" t="s">
        <v>662</v>
      </c>
      <c r="AI3207" s="831">
        <v>0</v>
      </c>
      <c r="AJ3207" s="835">
        <v>40755</v>
      </c>
      <c r="AK3207" s="831">
        <v>0</v>
      </c>
      <c r="AP3207" s="831" t="str">
        <f t="shared" si="151"/>
        <v/>
      </c>
    </row>
    <row r="3208" spans="2:42">
      <c r="B3208" s="834" t="str">
        <f t="shared" si="150"/>
        <v>|||</v>
      </c>
      <c r="H3208" s="835">
        <f t="shared" si="152"/>
        <v>31</v>
      </c>
      <c r="AF3208" s="831" t="s">
        <v>3865</v>
      </c>
      <c r="AG3208" s="831" t="s">
        <v>520</v>
      </c>
      <c r="AH3208" s="831" t="s">
        <v>291</v>
      </c>
      <c r="AI3208" s="831">
        <v>0</v>
      </c>
      <c r="AJ3208" s="835">
        <v>40786</v>
      </c>
      <c r="AK3208" s="831">
        <v>6960380</v>
      </c>
      <c r="AP3208" s="831" t="str">
        <f t="shared" si="151"/>
        <v/>
      </c>
    </row>
    <row r="3209" spans="2:42">
      <c r="B3209" s="834" t="str">
        <f t="shared" si="150"/>
        <v>|||</v>
      </c>
      <c r="H3209" s="835">
        <f t="shared" si="152"/>
        <v>31</v>
      </c>
      <c r="AF3209" s="831" t="s">
        <v>3866</v>
      </c>
      <c r="AG3209" s="831" t="s">
        <v>520</v>
      </c>
      <c r="AH3209" s="831" t="s">
        <v>519</v>
      </c>
      <c r="AI3209" s="831">
        <v>0</v>
      </c>
      <c r="AJ3209" s="835">
        <v>40786</v>
      </c>
      <c r="AK3209" s="831">
        <v>155838440</v>
      </c>
      <c r="AP3209" s="831" t="str">
        <f t="shared" si="151"/>
        <v/>
      </c>
    </row>
    <row r="3210" spans="2:42">
      <c r="B3210" s="834" t="str">
        <f t="shared" si="150"/>
        <v>|||</v>
      </c>
      <c r="H3210" s="835">
        <f t="shared" si="152"/>
        <v>31</v>
      </c>
      <c r="AF3210" s="831" t="s">
        <v>3867</v>
      </c>
      <c r="AG3210" s="831" t="s">
        <v>520</v>
      </c>
      <c r="AH3210" s="831" t="s">
        <v>94</v>
      </c>
      <c r="AI3210" s="831">
        <v>0</v>
      </c>
      <c r="AJ3210" s="835">
        <v>40786</v>
      </c>
      <c r="AK3210" s="831">
        <v>16975470</v>
      </c>
      <c r="AP3210" s="831" t="str">
        <f t="shared" si="151"/>
        <v/>
      </c>
    </row>
    <row r="3211" spans="2:42">
      <c r="B3211" s="834" t="str">
        <f t="shared" si="150"/>
        <v>|||</v>
      </c>
      <c r="H3211" s="835">
        <f t="shared" si="152"/>
        <v>31</v>
      </c>
      <c r="AF3211" s="831" t="s">
        <v>3868</v>
      </c>
      <c r="AG3211" s="831" t="s">
        <v>520</v>
      </c>
      <c r="AH3211" s="831" t="s">
        <v>85</v>
      </c>
      <c r="AI3211" s="831">
        <v>0</v>
      </c>
      <c r="AJ3211" s="835">
        <v>40786</v>
      </c>
      <c r="AK3211" s="831">
        <v>51220360</v>
      </c>
      <c r="AP3211" s="831" t="str">
        <f t="shared" si="151"/>
        <v/>
      </c>
    </row>
    <row r="3212" spans="2:42">
      <c r="B3212" s="834" t="str">
        <f t="shared" si="150"/>
        <v>|||</v>
      </c>
      <c r="H3212" s="835">
        <f t="shared" si="152"/>
        <v>31</v>
      </c>
      <c r="AF3212" s="831" t="s">
        <v>3869</v>
      </c>
      <c r="AG3212" s="831" t="s">
        <v>520</v>
      </c>
      <c r="AH3212" s="831" t="s">
        <v>90</v>
      </c>
      <c r="AI3212" s="831">
        <v>0</v>
      </c>
      <c r="AJ3212" s="835">
        <v>40786</v>
      </c>
      <c r="AK3212" s="831">
        <v>119408960</v>
      </c>
      <c r="AP3212" s="831" t="str">
        <f t="shared" si="151"/>
        <v/>
      </c>
    </row>
    <row r="3213" spans="2:42">
      <c r="B3213" s="834" t="str">
        <f t="shared" si="150"/>
        <v>|||</v>
      </c>
      <c r="H3213" s="835">
        <f t="shared" si="152"/>
        <v>31</v>
      </c>
      <c r="AF3213" s="831" t="s">
        <v>3870</v>
      </c>
      <c r="AG3213" s="831" t="s">
        <v>520</v>
      </c>
      <c r="AH3213" s="831" t="s">
        <v>117</v>
      </c>
      <c r="AI3213" s="831">
        <v>0</v>
      </c>
      <c r="AJ3213" s="835">
        <v>40786</v>
      </c>
      <c r="AK3213" s="831">
        <v>4890350</v>
      </c>
      <c r="AP3213" s="831" t="str">
        <f t="shared" si="151"/>
        <v/>
      </c>
    </row>
    <row r="3214" spans="2:42">
      <c r="B3214" s="834" t="str">
        <f t="shared" si="150"/>
        <v>|||</v>
      </c>
      <c r="H3214" s="835">
        <f t="shared" si="152"/>
        <v>31</v>
      </c>
      <c r="AF3214" s="831" t="s">
        <v>3871</v>
      </c>
      <c r="AG3214" s="831" t="s">
        <v>520</v>
      </c>
      <c r="AH3214" s="831" t="s">
        <v>525</v>
      </c>
      <c r="AI3214" s="831">
        <v>0</v>
      </c>
      <c r="AJ3214" s="835">
        <v>40786</v>
      </c>
      <c r="AK3214" s="831">
        <v>0</v>
      </c>
      <c r="AP3214" s="831" t="str">
        <f t="shared" si="151"/>
        <v/>
      </c>
    </row>
    <row r="3215" spans="2:42">
      <c r="B3215" s="834" t="str">
        <f t="shared" si="150"/>
        <v>|||</v>
      </c>
      <c r="H3215" s="835">
        <f t="shared" si="152"/>
        <v>31</v>
      </c>
      <c r="AF3215" s="831" t="s">
        <v>3872</v>
      </c>
      <c r="AG3215" s="831" t="s">
        <v>520</v>
      </c>
      <c r="AH3215" s="831" t="s">
        <v>522</v>
      </c>
      <c r="AI3215" s="831">
        <v>0</v>
      </c>
      <c r="AJ3215" s="835">
        <v>40786</v>
      </c>
      <c r="AK3215" s="831">
        <v>0</v>
      </c>
      <c r="AP3215" s="831" t="str">
        <f t="shared" si="151"/>
        <v/>
      </c>
    </row>
    <row r="3216" spans="2:42">
      <c r="B3216" s="834" t="str">
        <f t="shared" si="150"/>
        <v>|||</v>
      </c>
      <c r="H3216" s="835">
        <f t="shared" si="152"/>
        <v>31</v>
      </c>
      <c r="AF3216" s="831" t="s">
        <v>3873</v>
      </c>
      <c r="AG3216" s="831" t="s">
        <v>520</v>
      </c>
      <c r="AH3216" s="831" t="s">
        <v>523</v>
      </c>
      <c r="AI3216" s="831">
        <v>0</v>
      </c>
      <c r="AJ3216" s="835">
        <v>40786</v>
      </c>
      <c r="AK3216" s="831">
        <v>0</v>
      </c>
      <c r="AP3216" s="831" t="str">
        <f t="shared" si="151"/>
        <v/>
      </c>
    </row>
    <row r="3217" spans="2:42">
      <c r="B3217" s="834" t="str">
        <f t="shared" si="150"/>
        <v>|||</v>
      </c>
      <c r="H3217" s="835">
        <f t="shared" si="152"/>
        <v>31</v>
      </c>
      <c r="AF3217" s="831" t="s">
        <v>3874</v>
      </c>
      <c r="AG3217" s="831" t="s">
        <v>520</v>
      </c>
      <c r="AH3217" s="831" t="s">
        <v>524</v>
      </c>
      <c r="AI3217" s="831">
        <v>0</v>
      </c>
      <c r="AJ3217" s="835">
        <v>40786</v>
      </c>
      <c r="AK3217" s="831">
        <v>0</v>
      </c>
      <c r="AP3217" s="831" t="str">
        <f t="shared" si="151"/>
        <v/>
      </c>
    </row>
    <row r="3218" spans="2:42">
      <c r="B3218" s="834" t="str">
        <f t="shared" si="150"/>
        <v>|||</v>
      </c>
      <c r="H3218" s="835">
        <f t="shared" si="152"/>
        <v>31</v>
      </c>
      <c r="AF3218" s="831" t="s">
        <v>3875</v>
      </c>
      <c r="AG3218" s="831" t="s">
        <v>520</v>
      </c>
      <c r="AH3218" s="831" t="s">
        <v>521</v>
      </c>
      <c r="AI3218" s="831">
        <v>0</v>
      </c>
      <c r="AJ3218" s="835">
        <v>40786</v>
      </c>
      <c r="AK3218" s="831">
        <v>0</v>
      </c>
      <c r="AP3218" s="831" t="str">
        <f t="shared" si="151"/>
        <v/>
      </c>
    </row>
    <row r="3219" spans="2:42">
      <c r="B3219" s="834" t="str">
        <f t="shared" si="150"/>
        <v>|||</v>
      </c>
      <c r="H3219" s="835">
        <f t="shared" si="152"/>
        <v>31</v>
      </c>
      <c r="AF3219" s="831" t="s">
        <v>3876</v>
      </c>
      <c r="AG3219" s="831" t="s">
        <v>520</v>
      </c>
      <c r="AH3219" s="831" t="s">
        <v>660</v>
      </c>
      <c r="AI3219" s="831">
        <v>0</v>
      </c>
      <c r="AJ3219" s="835">
        <v>40786</v>
      </c>
      <c r="AK3219" s="831">
        <v>0</v>
      </c>
      <c r="AP3219" s="831" t="str">
        <f t="shared" si="151"/>
        <v/>
      </c>
    </row>
    <row r="3220" spans="2:42">
      <c r="B3220" s="834" t="str">
        <f t="shared" si="150"/>
        <v>|||</v>
      </c>
      <c r="H3220" s="835">
        <f t="shared" si="152"/>
        <v>31</v>
      </c>
      <c r="AF3220" s="831" t="s">
        <v>3877</v>
      </c>
      <c r="AG3220" s="831" t="s">
        <v>520</v>
      </c>
      <c r="AH3220" s="831" t="s">
        <v>661</v>
      </c>
      <c r="AI3220" s="831">
        <v>0</v>
      </c>
      <c r="AJ3220" s="835">
        <v>40786</v>
      </c>
      <c r="AK3220" s="831">
        <v>0</v>
      </c>
      <c r="AP3220" s="831" t="str">
        <f t="shared" si="151"/>
        <v/>
      </c>
    </row>
    <row r="3221" spans="2:42">
      <c r="B3221" s="834" t="str">
        <f t="shared" si="150"/>
        <v>|||</v>
      </c>
      <c r="H3221" s="835">
        <f t="shared" si="152"/>
        <v>31</v>
      </c>
      <c r="AF3221" s="831" t="s">
        <v>3878</v>
      </c>
      <c r="AG3221" s="831" t="s">
        <v>520</v>
      </c>
      <c r="AH3221" s="831" t="s">
        <v>662</v>
      </c>
      <c r="AI3221" s="831">
        <v>0</v>
      </c>
      <c r="AJ3221" s="835">
        <v>40786</v>
      </c>
      <c r="AK3221" s="831">
        <v>0</v>
      </c>
      <c r="AP3221" s="831" t="str">
        <f t="shared" si="151"/>
        <v/>
      </c>
    </row>
    <row r="3222" spans="2:42">
      <c r="B3222" s="834" t="str">
        <f t="shared" si="150"/>
        <v>|||</v>
      </c>
      <c r="H3222" s="835">
        <f t="shared" si="152"/>
        <v>31</v>
      </c>
      <c r="AF3222" s="831" t="s">
        <v>3879</v>
      </c>
      <c r="AG3222" s="831" t="s">
        <v>520</v>
      </c>
      <c r="AH3222" s="831" t="s">
        <v>291</v>
      </c>
      <c r="AI3222" s="831">
        <v>0</v>
      </c>
      <c r="AJ3222" s="835">
        <v>40816</v>
      </c>
      <c r="AK3222" s="831">
        <v>8098090</v>
      </c>
      <c r="AP3222" s="831" t="str">
        <f t="shared" si="151"/>
        <v/>
      </c>
    </row>
    <row r="3223" spans="2:42">
      <c r="B3223" s="834" t="str">
        <f t="shared" si="150"/>
        <v>|||</v>
      </c>
      <c r="H3223" s="835">
        <f t="shared" si="152"/>
        <v>31</v>
      </c>
      <c r="AF3223" s="831" t="s">
        <v>3880</v>
      </c>
      <c r="AG3223" s="831" t="s">
        <v>520</v>
      </c>
      <c r="AH3223" s="831" t="s">
        <v>519</v>
      </c>
      <c r="AI3223" s="831">
        <v>0</v>
      </c>
      <c r="AJ3223" s="835">
        <v>40816</v>
      </c>
      <c r="AK3223" s="831">
        <v>155171510</v>
      </c>
      <c r="AP3223" s="831" t="str">
        <f t="shared" si="151"/>
        <v/>
      </c>
    </row>
    <row r="3224" spans="2:42">
      <c r="B3224" s="834" t="str">
        <f t="shared" si="150"/>
        <v>|||</v>
      </c>
      <c r="H3224" s="835">
        <f t="shared" si="152"/>
        <v>31</v>
      </c>
      <c r="AF3224" s="831" t="s">
        <v>3881</v>
      </c>
      <c r="AG3224" s="831" t="s">
        <v>520</v>
      </c>
      <c r="AH3224" s="831" t="s">
        <v>94</v>
      </c>
      <c r="AI3224" s="831">
        <v>0</v>
      </c>
      <c r="AJ3224" s="835">
        <v>40816</v>
      </c>
      <c r="AK3224" s="831">
        <v>9588230</v>
      </c>
      <c r="AP3224" s="831" t="str">
        <f t="shared" si="151"/>
        <v/>
      </c>
    </row>
    <row r="3225" spans="2:42">
      <c r="B3225" s="834" t="str">
        <f t="shared" si="150"/>
        <v>|||</v>
      </c>
      <c r="H3225" s="835">
        <f t="shared" si="152"/>
        <v>31</v>
      </c>
      <c r="AF3225" s="831" t="s">
        <v>3882</v>
      </c>
      <c r="AG3225" s="831" t="s">
        <v>520</v>
      </c>
      <c r="AH3225" s="831" t="s">
        <v>85</v>
      </c>
      <c r="AI3225" s="831">
        <v>0</v>
      </c>
      <c r="AJ3225" s="835">
        <v>40816</v>
      </c>
      <c r="AK3225" s="831">
        <v>51854750</v>
      </c>
      <c r="AP3225" s="831" t="str">
        <f t="shared" si="151"/>
        <v/>
      </c>
    </row>
    <row r="3226" spans="2:42">
      <c r="B3226" s="834" t="str">
        <f t="shared" si="150"/>
        <v>|||</v>
      </c>
      <c r="H3226" s="835">
        <f t="shared" si="152"/>
        <v>31</v>
      </c>
      <c r="AF3226" s="831" t="s">
        <v>3883</v>
      </c>
      <c r="AG3226" s="831" t="s">
        <v>520</v>
      </c>
      <c r="AH3226" s="831" t="s">
        <v>90</v>
      </c>
      <c r="AI3226" s="831">
        <v>0</v>
      </c>
      <c r="AJ3226" s="835">
        <v>40816</v>
      </c>
      <c r="AK3226" s="831">
        <v>113677230</v>
      </c>
      <c r="AP3226" s="831" t="str">
        <f t="shared" si="151"/>
        <v/>
      </c>
    </row>
    <row r="3227" spans="2:42">
      <c r="B3227" s="834" t="str">
        <f t="shared" si="150"/>
        <v>|||</v>
      </c>
      <c r="H3227" s="835">
        <f t="shared" si="152"/>
        <v>31</v>
      </c>
      <c r="AF3227" s="831" t="s">
        <v>3884</v>
      </c>
      <c r="AG3227" s="831" t="s">
        <v>520</v>
      </c>
      <c r="AH3227" s="831" t="s">
        <v>117</v>
      </c>
      <c r="AI3227" s="831">
        <v>0</v>
      </c>
      <c r="AJ3227" s="835">
        <v>40816</v>
      </c>
      <c r="AK3227" s="831">
        <v>4225170</v>
      </c>
      <c r="AP3227" s="831" t="str">
        <f t="shared" si="151"/>
        <v/>
      </c>
    </row>
    <row r="3228" spans="2:42">
      <c r="B3228" s="834" t="str">
        <f t="shared" si="150"/>
        <v>|||</v>
      </c>
      <c r="H3228" s="835">
        <f t="shared" si="152"/>
        <v>31</v>
      </c>
      <c r="AF3228" s="831" t="s">
        <v>3885</v>
      </c>
      <c r="AG3228" s="831" t="s">
        <v>520</v>
      </c>
      <c r="AH3228" s="831" t="s">
        <v>525</v>
      </c>
      <c r="AI3228" s="831">
        <v>0</v>
      </c>
      <c r="AJ3228" s="835">
        <v>40816</v>
      </c>
      <c r="AK3228" s="831">
        <v>0</v>
      </c>
      <c r="AP3228" s="831" t="str">
        <f t="shared" si="151"/>
        <v/>
      </c>
    </row>
    <row r="3229" spans="2:42">
      <c r="B3229" s="834" t="str">
        <f t="shared" si="150"/>
        <v>|||</v>
      </c>
      <c r="H3229" s="835">
        <f t="shared" si="152"/>
        <v>31</v>
      </c>
      <c r="AF3229" s="831" t="s">
        <v>3886</v>
      </c>
      <c r="AG3229" s="831" t="s">
        <v>520</v>
      </c>
      <c r="AH3229" s="831" t="s">
        <v>522</v>
      </c>
      <c r="AI3229" s="831">
        <v>0</v>
      </c>
      <c r="AJ3229" s="835">
        <v>40816</v>
      </c>
      <c r="AK3229" s="831">
        <v>0</v>
      </c>
      <c r="AP3229" s="831" t="str">
        <f t="shared" si="151"/>
        <v/>
      </c>
    </row>
    <row r="3230" spans="2:42">
      <c r="B3230" s="834" t="str">
        <f t="shared" si="150"/>
        <v>|||</v>
      </c>
      <c r="H3230" s="835">
        <f t="shared" si="152"/>
        <v>31</v>
      </c>
      <c r="AF3230" s="831" t="s">
        <v>3887</v>
      </c>
      <c r="AG3230" s="831" t="s">
        <v>520</v>
      </c>
      <c r="AH3230" s="831" t="s">
        <v>523</v>
      </c>
      <c r="AI3230" s="831">
        <v>0</v>
      </c>
      <c r="AJ3230" s="835">
        <v>40816</v>
      </c>
      <c r="AK3230" s="831">
        <v>0</v>
      </c>
      <c r="AP3230" s="831" t="str">
        <f t="shared" si="151"/>
        <v/>
      </c>
    </row>
    <row r="3231" spans="2:42">
      <c r="B3231" s="834" t="str">
        <f t="shared" si="150"/>
        <v>|||</v>
      </c>
      <c r="H3231" s="835">
        <f t="shared" si="152"/>
        <v>31</v>
      </c>
      <c r="AF3231" s="831" t="s">
        <v>3888</v>
      </c>
      <c r="AG3231" s="831" t="s">
        <v>520</v>
      </c>
      <c r="AH3231" s="831" t="s">
        <v>524</v>
      </c>
      <c r="AI3231" s="831">
        <v>0</v>
      </c>
      <c r="AJ3231" s="835">
        <v>40816</v>
      </c>
      <c r="AK3231" s="831">
        <v>0</v>
      </c>
      <c r="AP3231" s="831" t="str">
        <f t="shared" si="151"/>
        <v/>
      </c>
    </row>
    <row r="3232" spans="2:42">
      <c r="B3232" s="834" t="str">
        <f t="shared" si="150"/>
        <v>|||</v>
      </c>
      <c r="H3232" s="835">
        <f t="shared" si="152"/>
        <v>31</v>
      </c>
      <c r="AF3232" s="831" t="s">
        <v>3889</v>
      </c>
      <c r="AG3232" s="831" t="s">
        <v>520</v>
      </c>
      <c r="AH3232" s="831" t="s">
        <v>521</v>
      </c>
      <c r="AI3232" s="831">
        <v>0</v>
      </c>
      <c r="AJ3232" s="835">
        <v>40816</v>
      </c>
      <c r="AK3232" s="831">
        <v>0</v>
      </c>
      <c r="AP3232" s="831" t="str">
        <f t="shared" si="151"/>
        <v/>
      </c>
    </row>
    <row r="3233" spans="2:42">
      <c r="B3233" s="834" t="str">
        <f t="shared" si="150"/>
        <v>|||</v>
      </c>
      <c r="H3233" s="835">
        <f t="shared" si="152"/>
        <v>31</v>
      </c>
      <c r="AF3233" s="831" t="s">
        <v>3890</v>
      </c>
      <c r="AG3233" s="831" t="s">
        <v>520</v>
      </c>
      <c r="AH3233" s="831" t="s">
        <v>660</v>
      </c>
      <c r="AI3233" s="831">
        <v>0</v>
      </c>
      <c r="AJ3233" s="835">
        <v>40816</v>
      </c>
      <c r="AK3233" s="831">
        <v>0</v>
      </c>
      <c r="AP3233" s="831" t="str">
        <f t="shared" si="151"/>
        <v/>
      </c>
    </row>
    <row r="3234" spans="2:42">
      <c r="B3234" s="834" t="str">
        <f t="shared" si="150"/>
        <v>|||</v>
      </c>
      <c r="H3234" s="835">
        <f t="shared" si="152"/>
        <v>31</v>
      </c>
      <c r="AF3234" s="831" t="s">
        <v>3891</v>
      </c>
      <c r="AG3234" s="831" t="s">
        <v>520</v>
      </c>
      <c r="AH3234" s="831" t="s">
        <v>661</v>
      </c>
      <c r="AI3234" s="831">
        <v>0</v>
      </c>
      <c r="AJ3234" s="835">
        <v>40816</v>
      </c>
      <c r="AK3234" s="831">
        <v>0</v>
      </c>
      <c r="AP3234" s="831" t="str">
        <f t="shared" si="151"/>
        <v/>
      </c>
    </row>
    <row r="3235" spans="2:42">
      <c r="B3235" s="834" t="str">
        <f t="shared" si="150"/>
        <v>|||</v>
      </c>
      <c r="H3235" s="835">
        <f t="shared" si="152"/>
        <v>31</v>
      </c>
      <c r="AF3235" s="831" t="s">
        <v>3892</v>
      </c>
      <c r="AG3235" s="831" t="s">
        <v>520</v>
      </c>
      <c r="AH3235" s="831" t="s">
        <v>662</v>
      </c>
      <c r="AI3235" s="831">
        <v>0</v>
      </c>
      <c r="AJ3235" s="835">
        <v>40816</v>
      </c>
      <c r="AK3235" s="831">
        <v>0</v>
      </c>
      <c r="AP3235" s="831" t="str">
        <f t="shared" si="151"/>
        <v/>
      </c>
    </row>
    <row r="3236" spans="2:42">
      <c r="B3236" s="834" t="str">
        <f t="shared" si="150"/>
        <v>|||</v>
      </c>
      <c r="H3236" s="835">
        <f t="shared" si="152"/>
        <v>31</v>
      </c>
      <c r="AF3236" s="831" t="s">
        <v>3893</v>
      </c>
      <c r="AG3236" s="831" t="s">
        <v>520</v>
      </c>
      <c r="AH3236" s="831" t="s">
        <v>291</v>
      </c>
      <c r="AI3236" s="831">
        <v>0</v>
      </c>
      <c r="AJ3236" s="835">
        <v>40847</v>
      </c>
      <c r="AK3236" s="831">
        <v>7740410</v>
      </c>
      <c r="AP3236" s="831" t="str">
        <f t="shared" si="151"/>
        <v/>
      </c>
    </row>
    <row r="3237" spans="2:42">
      <c r="B3237" s="834" t="str">
        <f t="shared" si="150"/>
        <v>|||</v>
      </c>
      <c r="H3237" s="835">
        <f t="shared" si="152"/>
        <v>31</v>
      </c>
      <c r="AF3237" s="831" t="s">
        <v>3894</v>
      </c>
      <c r="AG3237" s="831" t="s">
        <v>520</v>
      </c>
      <c r="AH3237" s="831" t="s">
        <v>519</v>
      </c>
      <c r="AI3237" s="831">
        <v>0</v>
      </c>
      <c r="AJ3237" s="835">
        <v>40847</v>
      </c>
      <c r="AK3237" s="831">
        <v>154981400</v>
      </c>
      <c r="AP3237" s="831" t="str">
        <f t="shared" si="151"/>
        <v/>
      </c>
    </row>
    <row r="3238" spans="2:42">
      <c r="B3238" s="834" t="str">
        <f t="shared" si="150"/>
        <v>|||</v>
      </c>
      <c r="H3238" s="835">
        <f t="shared" si="152"/>
        <v>31</v>
      </c>
      <c r="AF3238" s="831" t="s">
        <v>3895</v>
      </c>
      <c r="AG3238" s="831" t="s">
        <v>520</v>
      </c>
      <c r="AH3238" s="831" t="s">
        <v>94</v>
      </c>
      <c r="AI3238" s="831">
        <v>0</v>
      </c>
      <c r="AJ3238" s="835">
        <v>40847</v>
      </c>
      <c r="AK3238" s="831">
        <v>16659020</v>
      </c>
      <c r="AP3238" s="831" t="str">
        <f t="shared" si="151"/>
        <v/>
      </c>
    </row>
    <row r="3239" spans="2:42">
      <c r="B3239" s="834" t="str">
        <f t="shared" si="150"/>
        <v>|||</v>
      </c>
      <c r="H3239" s="835">
        <f t="shared" si="152"/>
        <v>31</v>
      </c>
      <c r="AF3239" s="831" t="s">
        <v>3896</v>
      </c>
      <c r="AG3239" s="831" t="s">
        <v>520</v>
      </c>
      <c r="AH3239" s="831" t="s">
        <v>85</v>
      </c>
      <c r="AI3239" s="831">
        <v>0</v>
      </c>
      <c r="AJ3239" s="835">
        <v>40847</v>
      </c>
      <c r="AK3239" s="831">
        <v>52126040</v>
      </c>
      <c r="AP3239" s="831" t="str">
        <f t="shared" si="151"/>
        <v/>
      </c>
    </row>
    <row r="3240" spans="2:42">
      <c r="B3240" s="834" t="str">
        <f t="shared" si="150"/>
        <v>|||</v>
      </c>
      <c r="H3240" s="835">
        <f t="shared" si="152"/>
        <v>31</v>
      </c>
      <c r="AF3240" s="831" t="s">
        <v>3897</v>
      </c>
      <c r="AG3240" s="831" t="s">
        <v>520</v>
      </c>
      <c r="AH3240" s="831" t="s">
        <v>90</v>
      </c>
      <c r="AI3240" s="831">
        <v>0</v>
      </c>
      <c r="AJ3240" s="835">
        <v>40847</v>
      </c>
      <c r="AK3240" s="831">
        <v>119578980</v>
      </c>
      <c r="AP3240" s="831" t="str">
        <f t="shared" si="151"/>
        <v/>
      </c>
    </row>
    <row r="3241" spans="2:42">
      <c r="B3241" s="834" t="str">
        <f t="shared" si="150"/>
        <v>|||</v>
      </c>
      <c r="H3241" s="835">
        <f t="shared" si="152"/>
        <v>31</v>
      </c>
      <c r="AF3241" s="831" t="s">
        <v>3898</v>
      </c>
      <c r="AG3241" s="831" t="s">
        <v>520</v>
      </c>
      <c r="AH3241" s="831" t="s">
        <v>117</v>
      </c>
      <c r="AI3241" s="831">
        <v>0</v>
      </c>
      <c r="AJ3241" s="835">
        <v>40847</v>
      </c>
      <c r="AK3241" s="831">
        <v>4794550</v>
      </c>
      <c r="AP3241" s="831" t="str">
        <f t="shared" si="151"/>
        <v/>
      </c>
    </row>
    <row r="3242" spans="2:42">
      <c r="B3242" s="834" t="str">
        <f t="shared" si="150"/>
        <v>|||</v>
      </c>
      <c r="H3242" s="835">
        <f t="shared" si="152"/>
        <v>31</v>
      </c>
      <c r="AF3242" s="831" t="s">
        <v>3899</v>
      </c>
      <c r="AG3242" s="831" t="s">
        <v>520</v>
      </c>
      <c r="AH3242" s="831" t="s">
        <v>525</v>
      </c>
      <c r="AI3242" s="831">
        <v>0</v>
      </c>
      <c r="AJ3242" s="835">
        <v>40847</v>
      </c>
      <c r="AK3242" s="831">
        <v>0</v>
      </c>
      <c r="AP3242" s="831" t="str">
        <f t="shared" si="151"/>
        <v/>
      </c>
    </row>
    <row r="3243" spans="2:42">
      <c r="B3243" s="834" t="str">
        <f t="shared" si="150"/>
        <v>|||</v>
      </c>
      <c r="H3243" s="835">
        <f t="shared" si="152"/>
        <v>31</v>
      </c>
      <c r="AF3243" s="831" t="s">
        <v>3900</v>
      </c>
      <c r="AG3243" s="831" t="s">
        <v>520</v>
      </c>
      <c r="AH3243" s="831" t="s">
        <v>522</v>
      </c>
      <c r="AI3243" s="831">
        <v>0</v>
      </c>
      <c r="AJ3243" s="835">
        <v>40847</v>
      </c>
      <c r="AK3243" s="831">
        <v>0</v>
      </c>
      <c r="AP3243" s="831" t="str">
        <f t="shared" si="151"/>
        <v/>
      </c>
    </row>
    <row r="3244" spans="2:42">
      <c r="B3244" s="834" t="str">
        <f t="shared" si="150"/>
        <v>|||</v>
      </c>
      <c r="H3244" s="835">
        <f t="shared" si="152"/>
        <v>31</v>
      </c>
      <c r="AF3244" s="831" t="s">
        <v>3901</v>
      </c>
      <c r="AG3244" s="831" t="s">
        <v>520</v>
      </c>
      <c r="AH3244" s="831" t="s">
        <v>523</v>
      </c>
      <c r="AI3244" s="831">
        <v>0</v>
      </c>
      <c r="AJ3244" s="835">
        <v>40847</v>
      </c>
      <c r="AK3244" s="831">
        <v>0</v>
      </c>
      <c r="AP3244" s="831" t="str">
        <f t="shared" si="151"/>
        <v/>
      </c>
    </row>
    <row r="3245" spans="2:42">
      <c r="B3245" s="834" t="str">
        <f t="shared" si="150"/>
        <v>|||</v>
      </c>
      <c r="H3245" s="835">
        <f t="shared" si="152"/>
        <v>31</v>
      </c>
      <c r="AF3245" s="831" t="s">
        <v>3902</v>
      </c>
      <c r="AG3245" s="831" t="s">
        <v>520</v>
      </c>
      <c r="AH3245" s="831" t="s">
        <v>524</v>
      </c>
      <c r="AI3245" s="831">
        <v>0</v>
      </c>
      <c r="AJ3245" s="835">
        <v>40847</v>
      </c>
      <c r="AK3245" s="831">
        <v>0</v>
      </c>
      <c r="AP3245" s="831" t="str">
        <f t="shared" si="151"/>
        <v/>
      </c>
    </row>
    <row r="3246" spans="2:42">
      <c r="B3246" s="834" t="str">
        <f t="shared" si="150"/>
        <v>|||</v>
      </c>
      <c r="H3246" s="835">
        <f t="shared" si="152"/>
        <v>31</v>
      </c>
      <c r="AF3246" s="831" t="s">
        <v>3903</v>
      </c>
      <c r="AG3246" s="831" t="s">
        <v>520</v>
      </c>
      <c r="AH3246" s="831" t="s">
        <v>521</v>
      </c>
      <c r="AI3246" s="831">
        <v>0</v>
      </c>
      <c r="AJ3246" s="835">
        <v>40847</v>
      </c>
      <c r="AK3246" s="831">
        <v>0</v>
      </c>
      <c r="AP3246" s="831" t="str">
        <f t="shared" si="151"/>
        <v/>
      </c>
    </row>
    <row r="3247" spans="2:42">
      <c r="B3247" s="834" t="str">
        <f t="shared" si="150"/>
        <v>|||</v>
      </c>
      <c r="H3247" s="835">
        <f t="shared" si="152"/>
        <v>31</v>
      </c>
      <c r="AF3247" s="831" t="s">
        <v>3904</v>
      </c>
      <c r="AG3247" s="831" t="s">
        <v>520</v>
      </c>
      <c r="AH3247" s="831" t="s">
        <v>660</v>
      </c>
      <c r="AI3247" s="831">
        <v>0</v>
      </c>
      <c r="AJ3247" s="835">
        <v>40847</v>
      </c>
      <c r="AK3247" s="831">
        <v>0</v>
      </c>
      <c r="AP3247" s="831" t="str">
        <f t="shared" si="151"/>
        <v/>
      </c>
    </row>
    <row r="3248" spans="2:42">
      <c r="B3248" s="834" t="str">
        <f t="shared" si="150"/>
        <v>|||</v>
      </c>
      <c r="H3248" s="835">
        <f t="shared" si="152"/>
        <v>31</v>
      </c>
      <c r="AF3248" s="831" t="s">
        <v>3905</v>
      </c>
      <c r="AG3248" s="831" t="s">
        <v>520</v>
      </c>
      <c r="AH3248" s="831" t="s">
        <v>661</v>
      </c>
      <c r="AI3248" s="831">
        <v>0</v>
      </c>
      <c r="AJ3248" s="835">
        <v>40847</v>
      </c>
      <c r="AK3248" s="831">
        <v>0</v>
      </c>
      <c r="AP3248" s="831" t="str">
        <f t="shared" si="151"/>
        <v/>
      </c>
    </row>
    <row r="3249" spans="2:42">
      <c r="B3249" s="834" t="str">
        <f t="shared" si="150"/>
        <v>|||</v>
      </c>
      <c r="H3249" s="835">
        <f t="shared" si="152"/>
        <v>31</v>
      </c>
      <c r="AF3249" s="831" t="s">
        <v>3906</v>
      </c>
      <c r="AG3249" s="831" t="s">
        <v>520</v>
      </c>
      <c r="AH3249" s="831" t="s">
        <v>662</v>
      </c>
      <c r="AI3249" s="831">
        <v>0</v>
      </c>
      <c r="AJ3249" s="835">
        <v>40847</v>
      </c>
      <c r="AK3249" s="831">
        <v>0</v>
      </c>
      <c r="AP3249" s="831" t="str">
        <f t="shared" si="151"/>
        <v/>
      </c>
    </row>
    <row r="3250" spans="2:42">
      <c r="B3250" s="834" t="str">
        <f t="shared" si="150"/>
        <v>|||</v>
      </c>
      <c r="H3250" s="835">
        <f t="shared" si="152"/>
        <v>31</v>
      </c>
      <c r="AF3250" s="831" t="s">
        <v>3907</v>
      </c>
      <c r="AG3250" s="831" t="s">
        <v>520</v>
      </c>
      <c r="AH3250" s="831" t="s">
        <v>291</v>
      </c>
      <c r="AI3250" s="831">
        <v>0</v>
      </c>
      <c r="AJ3250" s="835">
        <v>40877</v>
      </c>
      <c r="AK3250" s="831">
        <v>8586030</v>
      </c>
      <c r="AP3250" s="831" t="str">
        <f t="shared" si="151"/>
        <v/>
      </c>
    </row>
    <row r="3251" spans="2:42">
      <c r="B3251" s="834" t="str">
        <f t="shared" si="150"/>
        <v>|||</v>
      </c>
      <c r="H3251" s="835">
        <f t="shared" si="152"/>
        <v>31</v>
      </c>
      <c r="AF3251" s="831" t="s">
        <v>3908</v>
      </c>
      <c r="AG3251" s="831" t="s">
        <v>520</v>
      </c>
      <c r="AH3251" s="831" t="s">
        <v>519</v>
      </c>
      <c r="AI3251" s="831">
        <v>0</v>
      </c>
      <c r="AJ3251" s="835">
        <v>40877</v>
      </c>
      <c r="AK3251" s="831">
        <v>154516450</v>
      </c>
      <c r="AP3251" s="831" t="str">
        <f t="shared" si="151"/>
        <v/>
      </c>
    </row>
    <row r="3252" spans="2:42">
      <c r="B3252" s="834" t="str">
        <f t="shared" si="150"/>
        <v>|||</v>
      </c>
      <c r="H3252" s="835">
        <f t="shared" si="152"/>
        <v>31</v>
      </c>
      <c r="AF3252" s="831" t="s">
        <v>3909</v>
      </c>
      <c r="AG3252" s="831" t="s">
        <v>520</v>
      </c>
      <c r="AH3252" s="831" t="s">
        <v>94</v>
      </c>
      <c r="AI3252" s="831">
        <v>0</v>
      </c>
      <c r="AJ3252" s="835">
        <v>40877</v>
      </c>
      <c r="AK3252" s="831">
        <v>20705090</v>
      </c>
      <c r="AP3252" s="831" t="str">
        <f t="shared" si="151"/>
        <v/>
      </c>
    </row>
    <row r="3253" spans="2:42">
      <c r="B3253" s="834" t="str">
        <f t="shared" si="150"/>
        <v>|||</v>
      </c>
      <c r="H3253" s="835">
        <f t="shared" si="152"/>
        <v>31</v>
      </c>
      <c r="AF3253" s="831" t="s">
        <v>3910</v>
      </c>
      <c r="AG3253" s="831" t="s">
        <v>520</v>
      </c>
      <c r="AH3253" s="831" t="s">
        <v>85</v>
      </c>
      <c r="AI3253" s="831">
        <v>0</v>
      </c>
      <c r="AJ3253" s="835">
        <v>40877</v>
      </c>
      <c r="AK3253" s="831">
        <v>51177890</v>
      </c>
      <c r="AP3253" s="831" t="str">
        <f t="shared" si="151"/>
        <v/>
      </c>
    </row>
    <row r="3254" spans="2:42">
      <c r="B3254" s="834" t="str">
        <f t="shared" si="150"/>
        <v>|||</v>
      </c>
      <c r="H3254" s="835">
        <f t="shared" si="152"/>
        <v>31</v>
      </c>
      <c r="AF3254" s="831" t="s">
        <v>3911</v>
      </c>
      <c r="AG3254" s="831" t="s">
        <v>520</v>
      </c>
      <c r="AH3254" s="831" t="s">
        <v>90</v>
      </c>
      <c r="AI3254" s="831">
        <v>0</v>
      </c>
      <c r="AJ3254" s="835">
        <v>40877</v>
      </c>
      <c r="AK3254" s="831">
        <v>123981110</v>
      </c>
      <c r="AP3254" s="831" t="str">
        <f t="shared" si="151"/>
        <v/>
      </c>
    </row>
    <row r="3255" spans="2:42">
      <c r="B3255" s="834" t="str">
        <f t="shared" si="150"/>
        <v>|||</v>
      </c>
      <c r="H3255" s="835">
        <f t="shared" si="152"/>
        <v>31</v>
      </c>
      <c r="AF3255" s="831" t="s">
        <v>3912</v>
      </c>
      <c r="AG3255" s="831" t="s">
        <v>520</v>
      </c>
      <c r="AH3255" s="831" t="s">
        <v>117</v>
      </c>
      <c r="AI3255" s="831">
        <v>0</v>
      </c>
      <c r="AJ3255" s="835">
        <v>40877</v>
      </c>
      <c r="AK3255" s="831">
        <v>5003630</v>
      </c>
      <c r="AP3255" s="831" t="str">
        <f t="shared" si="151"/>
        <v/>
      </c>
    </row>
    <row r="3256" spans="2:42">
      <c r="B3256" s="834" t="str">
        <f t="shared" si="150"/>
        <v>|||</v>
      </c>
      <c r="H3256" s="835">
        <f t="shared" si="152"/>
        <v>31</v>
      </c>
      <c r="AF3256" s="831" t="s">
        <v>3913</v>
      </c>
      <c r="AG3256" s="831" t="s">
        <v>520</v>
      </c>
      <c r="AH3256" s="831" t="s">
        <v>525</v>
      </c>
      <c r="AI3256" s="831">
        <v>0</v>
      </c>
      <c r="AJ3256" s="835">
        <v>40877</v>
      </c>
      <c r="AK3256" s="831">
        <v>0</v>
      </c>
      <c r="AP3256" s="831" t="str">
        <f t="shared" si="151"/>
        <v/>
      </c>
    </row>
    <row r="3257" spans="2:42">
      <c r="B3257" s="834" t="str">
        <f t="shared" si="150"/>
        <v>|||</v>
      </c>
      <c r="H3257" s="835">
        <f t="shared" si="152"/>
        <v>31</v>
      </c>
      <c r="AF3257" s="831" t="s">
        <v>3914</v>
      </c>
      <c r="AG3257" s="831" t="s">
        <v>520</v>
      </c>
      <c r="AH3257" s="831" t="s">
        <v>522</v>
      </c>
      <c r="AI3257" s="831">
        <v>0</v>
      </c>
      <c r="AJ3257" s="835">
        <v>40877</v>
      </c>
      <c r="AK3257" s="831">
        <v>0</v>
      </c>
      <c r="AP3257" s="831" t="str">
        <f t="shared" si="151"/>
        <v/>
      </c>
    </row>
    <row r="3258" spans="2:42">
      <c r="B3258" s="834" t="str">
        <f t="shared" si="150"/>
        <v>|||</v>
      </c>
      <c r="H3258" s="835">
        <f t="shared" si="152"/>
        <v>31</v>
      </c>
      <c r="AF3258" s="831" t="s">
        <v>3915</v>
      </c>
      <c r="AG3258" s="831" t="s">
        <v>520</v>
      </c>
      <c r="AH3258" s="831" t="s">
        <v>523</v>
      </c>
      <c r="AI3258" s="831">
        <v>0</v>
      </c>
      <c r="AJ3258" s="835">
        <v>40877</v>
      </c>
      <c r="AK3258" s="831">
        <v>0</v>
      </c>
      <c r="AP3258" s="831" t="str">
        <f t="shared" si="151"/>
        <v/>
      </c>
    </row>
    <row r="3259" spans="2:42">
      <c r="B3259" s="834" t="str">
        <f t="shared" si="150"/>
        <v>|||</v>
      </c>
      <c r="H3259" s="835">
        <f t="shared" si="152"/>
        <v>31</v>
      </c>
      <c r="AF3259" s="831" t="s">
        <v>3916</v>
      </c>
      <c r="AG3259" s="831" t="s">
        <v>520</v>
      </c>
      <c r="AH3259" s="831" t="s">
        <v>524</v>
      </c>
      <c r="AI3259" s="831">
        <v>0</v>
      </c>
      <c r="AJ3259" s="835">
        <v>40877</v>
      </c>
      <c r="AK3259" s="831">
        <v>0</v>
      </c>
      <c r="AP3259" s="831" t="str">
        <f t="shared" si="151"/>
        <v/>
      </c>
    </row>
    <row r="3260" spans="2:42">
      <c r="B3260" s="834" t="str">
        <f t="shared" si="150"/>
        <v>|||</v>
      </c>
      <c r="H3260" s="835">
        <f t="shared" si="152"/>
        <v>31</v>
      </c>
      <c r="AF3260" s="831" t="s">
        <v>3917</v>
      </c>
      <c r="AG3260" s="831" t="s">
        <v>520</v>
      </c>
      <c r="AH3260" s="831" t="s">
        <v>521</v>
      </c>
      <c r="AI3260" s="831">
        <v>0</v>
      </c>
      <c r="AJ3260" s="835">
        <v>40877</v>
      </c>
      <c r="AK3260" s="831">
        <v>0</v>
      </c>
      <c r="AP3260" s="831" t="str">
        <f t="shared" si="151"/>
        <v/>
      </c>
    </row>
    <row r="3261" spans="2:42">
      <c r="B3261" s="834" t="str">
        <f t="shared" si="150"/>
        <v>|||</v>
      </c>
      <c r="H3261" s="835">
        <f t="shared" si="152"/>
        <v>31</v>
      </c>
      <c r="AF3261" s="831" t="s">
        <v>3918</v>
      </c>
      <c r="AG3261" s="831" t="s">
        <v>520</v>
      </c>
      <c r="AH3261" s="831" t="s">
        <v>660</v>
      </c>
      <c r="AI3261" s="831">
        <v>0</v>
      </c>
      <c r="AJ3261" s="835">
        <v>40877</v>
      </c>
      <c r="AK3261" s="831">
        <v>0</v>
      </c>
      <c r="AP3261" s="831" t="str">
        <f t="shared" si="151"/>
        <v/>
      </c>
    </row>
    <row r="3262" spans="2:42">
      <c r="B3262" s="834" t="str">
        <f t="shared" si="150"/>
        <v>|||</v>
      </c>
      <c r="H3262" s="835">
        <f t="shared" si="152"/>
        <v>31</v>
      </c>
      <c r="AF3262" s="831" t="s">
        <v>3919</v>
      </c>
      <c r="AG3262" s="831" t="s">
        <v>520</v>
      </c>
      <c r="AH3262" s="831" t="s">
        <v>661</v>
      </c>
      <c r="AI3262" s="831">
        <v>0</v>
      </c>
      <c r="AJ3262" s="835">
        <v>40877</v>
      </c>
      <c r="AK3262" s="831">
        <v>0</v>
      </c>
      <c r="AP3262" s="831" t="str">
        <f t="shared" si="151"/>
        <v/>
      </c>
    </row>
    <row r="3263" spans="2:42">
      <c r="B3263" s="834" t="str">
        <f t="shared" si="150"/>
        <v>|||</v>
      </c>
      <c r="H3263" s="835">
        <f t="shared" si="152"/>
        <v>31</v>
      </c>
      <c r="AF3263" s="831" t="s">
        <v>3920</v>
      </c>
      <c r="AG3263" s="831" t="s">
        <v>520</v>
      </c>
      <c r="AH3263" s="831" t="s">
        <v>662</v>
      </c>
      <c r="AI3263" s="831">
        <v>0</v>
      </c>
      <c r="AJ3263" s="835">
        <v>40877</v>
      </c>
      <c r="AK3263" s="831">
        <v>0</v>
      </c>
      <c r="AP3263" s="831" t="str">
        <f t="shared" si="151"/>
        <v/>
      </c>
    </row>
    <row r="3264" spans="2:42">
      <c r="B3264" s="834" t="str">
        <f t="shared" si="150"/>
        <v>|||</v>
      </c>
      <c r="H3264" s="835">
        <f t="shared" si="152"/>
        <v>31</v>
      </c>
      <c r="AF3264" s="831" t="s">
        <v>3921</v>
      </c>
      <c r="AG3264" s="831" t="s">
        <v>520</v>
      </c>
      <c r="AH3264" s="831" t="s">
        <v>291</v>
      </c>
      <c r="AI3264" s="831">
        <v>0</v>
      </c>
      <c r="AJ3264" s="835">
        <v>40908</v>
      </c>
      <c r="AK3264" s="831">
        <v>5759140</v>
      </c>
      <c r="AP3264" s="831" t="str">
        <f t="shared" si="151"/>
        <v/>
      </c>
    </row>
    <row r="3265" spans="2:42">
      <c r="B3265" s="834" t="str">
        <f t="shared" si="150"/>
        <v>|||</v>
      </c>
      <c r="H3265" s="835">
        <f t="shared" si="152"/>
        <v>31</v>
      </c>
      <c r="AF3265" s="831" t="s">
        <v>3922</v>
      </c>
      <c r="AG3265" s="831" t="s">
        <v>520</v>
      </c>
      <c r="AH3265" s="831" t="s">
        <v>519</v>
      </c>
      <c r="AI3265" s="831">
        <v>0</v>
      </c>
      <c r="AJ3265" s="835">
        <v>40908</v>
      </c>
      <c r="AK3265" s="831">
        <v>157644990</v>
      </c>
      <c r="AP3265" s="831" t="str">
        <f t="shared" si="151"/>
        <v/>
      </c>
    </row>
    <row r="3266" spans="2:42">
      <c r="B3266" s="834" t="str">
        <f t="shared" si="150"/>
        <v>|||</v>
      </c>
      <c r="H3266" s="835">
        <f t="shared" si="152"/>
        <v>31</v>
      </c>
      <c r="AF3266" s="831" t="s">
        <v>3923</v>
      </c>
      <c r="AG3266" s="831" t="s">
        <v>520</v>
      </c>
      <c r="AH3266" s="831" t="s">
        <v>94</v>
      </c>
      <c r="AI3266" s="831">
        <v>0</v>
      </c>
      <c r="AJ3266" s="835">
        <v>40908</v>
      </c>
      <c r="AK3266" s="831">
        <v>24149220</v>
      </c>
      <c r="AP3266" s="831" t="str">
        <f t="shared" si="151"/>
        <v/>
      </c>
    </row>
    <row r="3267" spans="2:42">
      <c r="B3267" s="834" t="str">
        <f t="shared" ref="B3267:B3330" si="153">C3267&amp;"|"&amp;D3267&amp;"|"&amp;E3267&amp;"|"&amp;F3267</f>
        <v>|||</v>
      </c>
      <c r="H3267" s="835">
        <f t="shared" si="152"/>
        <v>31</v>
      </c>
      <c r="AF3267" s="831" t="s">
        <v>3924</v>
      </c>
      <c r="AG3267" s="831" t="s">
        <v>520</v>
      </c>
      <c r="AH3267" s="831" t="s">
        <v>85</v>
      </c>
      <c r="AI3267" s="831">
        <v>0</v>
      </c>
      <c r="AJ3267" s="835">
        <v>40908</v>
      </c>
      <c r="AK3267" s="831">
        <v>51385920</v>
      </c>
      <c r="AP3267" s="831" t="str">
        <f t="shared" ref="AP3267:AP3330" si="154">IF(AX3267&lt;&gt;"",IF(OR(AX3267=3,AX3267=4),"Equity","Debt"),"")</f>
        <v/>
      </c>
    </row>
    <row r="3268" spans="2:42">
      <c r="B3268" s="834" t="str">
        <f t="shared" si="153"/>
        <v>|||</v>
      </c>
      <c r="H3268" s="835">
        <f t="shared" ref="H3268:H3331" si="155">EOMONTH(L3268,0)</f>
        <v>31</v>
      </c>
      <c r="AF3268" s="831" t="s">
        <v>3925</v>
      </c>
      <c r="AG3268" s="831" t="s">
        <v>520</v>
      </c>
      <c r="AH3268" s="831" t="s">
        <v>90</v>
      </c>
      <c r="AI3268" s="831">
        <v>0</v>
      </c>
      <c r="AJ3268" s="835">
        <v>40908</v>
      </c>
      <c r="AK3268" s="831">
        <v>123734710</v>
      </c>
      <c r="AP3268" s="831" t="str">
        <f t="shared" si="154"/>
        <v/>
      </c>
    </row>
    <row r="3269" spans="2:42">
      <c r="B3269" s="834" t="str">
        <f t="shared" si="153"/>
        <v>|||</v>
      </c>
      <c r="H3269" s="835">
        <f t="shared" si="155"/>
        <v>31</v>
      </c>
      <c r="AF3269" s="831" t="s">
        <v>3926</v>
      </c>
      <c r="AG3269" s="831" t="s">
        <v>520</v>
      </c>
      <c r="AH3269" s="831" t="s">
        <v>117</v>
      </c>
      <c r="AI3269" s="831">
        <v>0</v>
      </c>
      <c r="AJ3269" s="835">
        <v>40908</v>
      </c>
      <c r="AK3269" s="831">
        <v>4839610</v>
      </c>
      <c r="AP3269" s="831" t="str">
        <f t="shared" si="154"/>
        <v/>
      </c>
    </row>
    <row r="3270" spans="2:42">
      <c r="B3270" s="834" t="str">
        <f t="shared" si="153"/>
        <v>|||</v>
      </c>
      <c r="H3270" s="835">
        <f t="shared" si="155"/>
        <v>31</v>
      </c>
      <c r="AF3270" s="831" t="s">
        <v>3927</v>
      </c>
      <c r="AG3270" s="831" t="s">
        <v>520</v>
      </c>
      <c r="AH3270" s="831" t="s">
        <v>525</v>
      </c>
      <c r="AI3270" s="831">
        <v>0</v>
      </c>
      <c r="AJ3270" s="835">
        <v>40908</v>
      </c>
      <c r="AK3270" s="831">
        <v>0</v>
      </c>
      <c r="AP3270" s="831" t="str">
        <f t="shared" si="154"/>
        <v/>
      </c>
    </row>
    <row r="3271" spans="2:42">
      <c r="B3271" s="834" t="str">
        <f t="shared" si="153"/>
        <v>|||</v>
      </c>
      <c r="H3271" s="835">
        <f t="shared" si="155"/>
        <v>31</v>
      </c>
      <c r="AF3271" s="831" t="s">
        <v>3928</v>
      </c>
      <c r="AG3271" s="831" t="s">
        <v>520</v>
      </c>
      <c r="AH3271" s="831" t="s">
        <v>522</v>
      </c>
      <c r="AI3271" s="831">
        <v>0</v>
      </c>
      <c r="AJ3271" s="835">
        <v>40908</v>
      </c>
      <c r="AK3271" s="831">
        <v>0</v>
      </c>
      <c r="AP3271" s="831" t="str">
        <f t="shared" si="154"/>
        <v/>
      </c>
    </row>
    <row r="3272" spans="2:42">
      <c r="B3272" s="834" t="str">
        <f t="shared" si="153"/>
        <v>|||</v>
      </c>
      <c r="H3272" s="835">
        <f t="shared" si="155"/>
        <v>31</v>
      </c>
      <c r="AF3272" s="831" t="s">
        <v>3929</v>
      </c>
      <c r="AG3272" s="831" t="s">
        <v>520</v>
      </c>
      <c r="AH3272" s="831" t="s">
        <v>523</v>
      </c>
      <c r="AI3272" s="831">
        <v>0</v>
      </c>
      <c r="AJ3272" s="835">
        <v>40908</v>
      </c>
      <c r="AK3272" s="831">
        <v>0</v>
      </c>
      <c r="AP3272" s="831" t="str">
        <f t="shared" si="154"/>
        <v/>
      </c>
    </row>
    <row r="3273" spans="2:42">
      <c r="B3273" s="834" t="str">
        <f t="shared" si="153"/>
        <v>|||</v>
      </c>
      <c r="H3273" s="835">
        <f t="shared" si="155"/>
        <v>31</v>
      </c>
      <c r="AF3273" s="831" t="s">
        <v>3930</v>
      </c>
      <c r="AG3273" s="831" t="s">
        <v>520</v>
      </c>
      <c r="AH3273" s="831" t="s">
        <v>524</v>
      </c>
      <c r="AI3273" s="831">
        <v>0</v>
      </c>
      <c r="AJ3273" s="835">
        <v>40908</v>
      </c>
      <c r="AK3273" s="831">
        <v>0</v>
      </c>
      <c r="AP3273" s="831" t="str">
        <f t="shared" si="154"/>
        <v/>
      </c>
    </row>
    <row r="3274" spans="2:42">
      <c r="B3274" s="834" t="str">
        <f t="shared" si="153"/>
        <v>|||</v>
      </c>
      <c r="H3274" s="835">
        <f t="shared" si="155"/>
        <v>31</v>
      </c>
      <c r="AF3274" s="831" t="s">
        <v>3931</v>
      </c>
      <c r="AG3274" s="831" t="s">
        <v>520</v>
      </c>
      <c r="AH3274" s="831" t="s">
        <v>521</v>
      </c>
      <c r="AI3274" s="831">
        <v>0</v>
      </c>
      <c r="AJ3274" s="835">
        <v>40908</v>
      </c>
      <c r="AK3274" s="831">
        <v>0</v>
      </c>
      <c r="AP3274" s="831" t="str">
        <f t="shared" si="154"/>
        <v/>
      </c>
    </row>
    <row r="3275" spans="2:42">
      <c r="B3275" s="834" t="str">
        <f t="shared" si="153"/>
        <v>|||</v>
      </c>
      <c r="H3275" s="835">
        <f t="shared" si="155"/>
        <v>31</v>
      </c>
      <c r="AF3275" s="831" t="s">
        <v>3932</v>
      </c>
      <c r="AG3275" s="831" t="s">
        <v>520</v>
      </c>
      <c r="AH3275" s="831" t="s">
        <v>660</v>
      </c>
      <c r="AI3275" s="831">
        <v>0</v>
      </c>
      <c r="AJ3275" s="835">
        <v>40908</v>
      </c>
      <c r="AK3275" s="831">
        <v>0</v>
      </c>
      <c r="AP3275" s="831" t="str">
        <f t="shared" si="154"/>
        <v/>
      </c>
    </row>
    <row r="3276" spans="2:42">
      <c r="B3276" s="834" t="str">
        <f t="shared" si="153"/>
        <v>|||</v>
      </c>
      <c r="H3276" s="835">
        <f t="shared" si="155"/>
        <v>31</v>
      </c>
      <c r="AF3276" s="831" t="s">
        <v>3933</v>
      </c>
      <c r="AG3276" s="831" t="s">
        <v>520</v>
      </c>
      <c r="AH3276" s="831" t="s">
        <v>661</v>
      </c>
      <c r="AI3276" s="831">
        <v>0</v>
      </c>
      <c r="AJ3276" s="835">
        <v>40908</v>
      </c>
      <c r="AK3276" s="831">
        <v>0</v>
      </c>
      <c r="AP3276" s="831" t="str">
        <f t="shared" si="154"/>
        <v/>
      </c>
    </row>
    <row r="3277" spans="2:42">
      <c r="B3277" s="834" t="str">
        <f t="shared" si="153"/>
        <v>|||</v>
      </c>
      <c r="H3277" s="835">
        <f t="shared" si="155"/>
        <v>31</v>
      </c>
      <c r="AF3277" s="831" t="s">
        <v>3934</v>
      </c>
      <c r="AG3277" s="831" t="s">
        <v>520</v>
      </c>
      <c r="AH3277" s="831" t="s">
        <v>662</v>
      </c>
      <c r="AI3277" s="831">
        <v>0</v>
      </c>
      <c r="AJ3277" s="835">
        <v>40908</v>
      </c>
      <c r="AK3277" s="831">
        <v>0</v>
      </c>
      <c r="AP3277" s="831" t="str">
        <f t="shared" si="154"/>
        <v/>
      </c>
    </row>
    <row r="3278" spans="2:42">
      <c r="B3278" s="834" t="str">
        <f t="shared" si="153"/>
        <v>|||</v>
      </c>
      <c r="H3278" s="835">
        <f t="shared" si="155"/>
        <v>31</v>
      </c>
      <c r="AF3278" s="831" t="s">
        <v>3935</v>
      </c>
      <c r="AG3278" s="831" t="s">
        <v>131</v>
      </c>
      <c r="AH3278" s="831" t="s">
        <v>138</v>
      </c>
      <c r="AI3278" s="831">
        <v>0</v>
      </c>
      <c r="AJ3278" s="835">
        <v>40574</v>
      </c>
      <c r="AK3278" s="831">
        <v>7174419</v>
      </c>
      <c r="AP3278" s="831" t="str">
        <f t="shared" si="154"/>
        <v/>
      </c>
    </row>
    <row r="3279" spans="2:42">
      <c r="B3279" s="834" t="str">
        <f t="shared" si="153"/>
        <v>|||</v>
      </c>
      <c r="H3279" s="835">
        <f t="shared" si="155"/>
        <v>31</v>
      </c>
      <c r="AF3279" s="831" t="s">
        <v>3936</v>
      </c>
      <c r="AG3279" s="831" t="s">
        <v>131</v>
      </c>
      <c r="AH3279" s="831" t="s">
        <v>141</v>
      </c>
      <c r="AI3279" s="831">
        <v>0</v>
      </c>
      <c r="AJ3279" s="835">
        <v>40574</v>
      </c>
      <c r="AK3279" s="831">
        <v>67392</v>
      </c>
      <c r="AP3279" s="831" t="str">
        <f t="shared" si="154"/>
        <v/>
      </c>
    </row>
    <row r="3280" spans="2:42">
      <c r="B3280" s="834" t="str">
        <f t="shared" si="153"/>
        <v>|||</v>
      </c>
      <c r="H3280" s="835">
        <f t="shared" si="155"/>
        <v>31</v>
      </c>
      <c r="AF3280" s="831" t="s">
        <v>3937</v>
      </c>
      <c r="AG3280" s="831" t="s">
        <v>131</v>
      </c>
      <c r="AH3280" s="831" t="s">
        <v>146</v>
      </c>
      <c r="AI3280" s="831">
        <v>0</v>
      </c>
      <c r="AJ3280" s="835">
        <v>40574</v>
      </c>
      <c r="AK3280" s="831">
        <v>-1233694</v>
      </c>
      <c r="AP3280" s="831" t="str">
        <f t="shared" si="154"/>
        <v/>
      </c>
    </row>
    <row r="3281" spans="2:42">
      <c r="B3281" s="834" t="str">
        <f t="shared" si="153"/>
        <v>|||</v>
      </c>
      <c r="H3281" s="835">
        <f t="shared" si="155"/>
        <v>31</v>
      </c>
      <c r="AF3281" s="831" t="s">
        <v>3938</v>
      </c>
      <c r="AG3281" s="831" t="s">
        <v>131</v>
      </c>
      <c r="AH3281" s="831" t="s">
        <v>150</v>
      </c>
      <c r="AI3281" s="831">
        <v>0</v>
      </c>
      <c r="AJ3281" s="835">
        <v>40574</v>
      </c>
      <c r="AK3281" s="831">
        <v>-862081</v>
      </c>
      <c r="AP3281" s="831" t="str">
        <f t="shared" si="154"/>
        <v/>
      </c>
    </row>
    <row r="3282" spans="2:42">
      <c r="B3282" s="834" t="str">
        <f t="shared" si="153"/>
        <v>|||</v>
      </c>
      <c r="H3282" s="835">
        <f t="shared" si="155"/>
        <v>31</v>
      </c>
      <c r="AF3282" s="831" t="s">
        <v>3939</v>
      </c>
      <c r="AG3282" s="831" t="s">
        <v>131</v>
      </c>
      <c r="AH3282" s="831" t="s">
        <v>77</v>
      </c>
      <c r="AI3282" s="831">
        <v>0</v>
      </c>
      <c r="AJ3282" s="835">
        <v>40574</v>
      </c>
      <c r="AK3282" s="831">
        <v>-157367</v>
      </c>
      <c r="AP3282" s="831" t="str">
        <f t="shared" si="154"/>
        <v/>
      </c>
    </row>
    <row r="3283" spans="2:42">
      <c r="B3283" s="834" t="str">
        <f t="shared" si="153"/>
        <v>|||</v>
      </c>
      <c r="H3283" s="835">
        <f t="shared" si="155"/>
        <v>31</v>
      </c>
      <c r="AF3283" s="831" t="s">
        <v>3940</v>
      </c>
      <c r="AG3283" s="831" t="s">
        <v>131</v>
      </c>
      <c r="AH3283" s="831" t="s">
        <v>167</v>
      </c>
      <c r="AI3283" s="831">
        <v>0</v>
      </c>
      <c r="AJ3283" s="835">
        <v>40574</v>
      </c>
      <c r="AK3283" s="831">
        <v>0</v>
      </c>
      <c r="AP3283" s="831" t="str">
        <f t="shared" si="154"/>
        <v/>
      </c>
    </row>
    <row r="3284" spans="2:42">
      <c r="B3284" s="834" t="str">
        <f t="shared" si="153"/>
        <v>|||</v>
      </c>
      <c r="H3284" s="835">
        <f t="shared" si="155"/>
        <v>31</v>
      </c>
      <c r="AF3284" s="831" t="s">
        <v>3941</v>
      </c>
      <c r="AG3284" s="831" t="s">
        <v>131</v>
      </c>
      <c r="AH3284" s="831" t="s">
        <v>169</v>
      </c>
      <c r="AI3284" s="831">
        <v>0</v>
      </c>
      <c r="AJ3284" s="835">
        <v>40574</v>
      </c>
      <c r="AK3284" s="831">
        <v>-5019</v>
      </c>
      <c r="AP3284" s="831" t="str">
        <f t="shared" si="154"/>
        <v/>
      </c>
    </row>
    <row r="3285" spans="2:42">
      <c r="B3285" s="834" t="str">
        <f t="shared" si="153"/>
        <v>|||</v>
      </c>
      <c r="H3285" s="835">
        <f t="shared" si="155"/>
        <v>31</v>
      </c>
      <c r="AF3285" s="831" t="s">
        <v>3942</v>
      </c>
      <c r="AG3285" s="831" t="s">
        <v>131</v>
      </c>
      <c r="AH3285" s="831" t="s">
        <v>172</v>
      </c>
      <c r="AI3285" s="831">
        <v>0</v>
      </c>
      <c r="AJ3285" s="835">
        <v>40574</v>
      </c>
      <c r="AK3285" s="831">
        <v>28200</v>
      </c>
      <c r="AP3285" s="831" t="str">
        <f t="shared" si="154"/>
        <v/>
      </c>
    </row>
    <row r="3286" spans="2:42">
      <c r="B3286" s="834" t="str">
        <f t="shared" si="153"/>
        <v>|||</v>
      </c>
      <c r="H3286" s="835">
        <f t="shared" si="155"/>
        <v>31</v>
      </c>
      <c r="AF3286" s="831" t="s">
        <v>3943</v>
      </c>
      <c r="AG3286" s="831" t="s">
        <v>131</v>
      </c>
      <c r="AH3286" s="831" t="s">
        <v>175</v>
      </c>
      <c r="AI3286" s="831">
        <v>0</v>
      </c>
      <c r="AJ3286" s="835">
        <v>40574</v>
      </c>
      <c r="AK3286" s="831">
        <v>61099</v>
      </c>
      <c r="AP3286" s="831" t="str">
        <f t="shared" si="154"/>
        <v/>
      </c>
    </row>
    <row r="3287" spans="2:42">
      <c r="B3287" s="834" t="str">
        <f t="shared" si="153"/>
        <v>|||</v>
      </c>
      <c r="H3287" s="835">
        <f t="shared" si="155"/>
        <v>31</v>
      </c>
      <c r="AF3287" s="831" t="s">
        <v>3944</v>
      </c>
      <c r="AG3287" s="831" t="s">
        <v>131</v>
      </c>
      <c r="AH3287" s="831" t="s">
        <v>185</v>
      </c>
      <c r="AI3287" s="831">
        <v>0</v>
      </c>
      <c r="AJ3287" s="835">
        <v>40574</v>
      </c>
      <c r="AK3287" s="831">
        <v>-1913503</v>
      </c>
      <c r="AP3287" s="831" t="str">
        <f t="shared" si="154"/>
        <v/>
      </c>
    </row>
    <row r="3288" spans="2:42">
      <c r="B3288" s="834" t="str">
        <f t="shared" si="153"/>
        <v>|||</v>
      </c>
      <c r="H3288" s="835">
        <f t="shared" si="155"/>
        <v>31</v>
      </c>
      <c r="AF3288" s="831" t="s">
        <v>3945</v>
      </c>
      <c r="AG3288" s="831" t="s">
        <v>131</v>
      </c>
      <c r="AH3288" s="831" t="s">
        <v>188</v>
      </c>
      <c r="AI3288" s="831">
        <v>0</v>
      </c>
      <c r="AJ3288" s="835">
        <v>40574</v>
      </c>
      <c r="AK3288" s="831">
        <v>-495791</v>
      </c>
      <c r="AP3288" s="831" t="str">
        <f t="shared" si="154"/>
        <v/>
      </c>
    </row>
    <row r="3289" spans="2:42">
      <c r="B3289" s="834" t="str">
        <f t="shared" si="153"/>
        <v>|||</v>
      </c>
      <c r="H3289" s="835">
        <f t="shared" si="155"/>
        <v>31</v>
      </c>
      <c r="AF3289" s="831" t="s">
        <v>3946</v>
      </c>
      <c r="AG3289" s="831" t="s">
        <v>131</v>
      </c>
      <c r="AH3289" s="831" t="s">
        <v>191</v>
      </c>
      <c r="AI3289" s="831">
        <v>0</v>
      </c>
      <c r="AJ3289" s="835">
        <v>40574</v>
      </c>
      <c r="AK3289" s="831">
        <v>-609218</v>
      </c>
      <c r="AP3289" s="831" t="str">
        <f t="shared" si="154"/>
        <v/>
      </c>
    </row>
    <row r="3290" spans="2:42">
      <c r="B3290" s="834" t="str">
        <f t="shared" si="153"/>
        <v>|||</v>
      </c>
      <c r="H3290" s="835">
        <f t="shared" si="155"/>
        <v>31</v>
      </c>
      <c r="AF3290" s="831" t="s">
        <v>3947</v>
      </c>
      <c r="AG3290" s="831" t="s">
        <v>131</v>
      </c>
      <c r="AH3290" s="831" t="s">
        <v>198</v>
      </c>
      <c r="AI3290" s="831">
        <v>0</v>
      </c>
      <c r="AJ3290" s="835">
        <v>40574</v>
      </c>
      <c r="AK3290" s="831">
        <v>0</v>
      </c>
      <c r="AP3290" s="831" t="str">
        <f t="shared" si="154"/>
        <v/>
      </c>
    </row>
    <row r="3291" spans="2:42">
      <c r="B3291" s="834" t="str">
        <f t="shared" si="153"/>
        <v>|||</v>
      </c>
      <c r="H3291" s="835">
        <f t="shared" si="155"/>
        <v>31</v>
      </c>
      <c r="AF3291" s="831" t="s">
        <v>3948</v>
      </c>
      <c r="AG3291" s="831" t="s">
        <v>131</v>
      </c>
      <c r="AH3291" s="831" t="s">
        <v>200</v>
      </c>
      <c r="AI3291" s="831">
        <v>0</v>
      </c>
      <c r="AJ3291" s="835">
        <v>40574</v>
      </c>
      <c r="AK3291" s="831">
        <v>0</v>
      </c>
      <c r="AP3291" s="831" t="str">
        <f t="shared" si="154"/>
        <v/>
      </c>
    </row>
    <row r="3292" spans="2:42">
      <c r="B3292" s="834" t="str">
        <f t="shared" si="153"/>
        <v>|||</v>
      </c>
      <c r="H3292" s="835">
        <f t="shared" si="155"/>
        <v>31</v>
      </c>
      <c r="AF3292" s="831" t="s">
        <v>3949</v>
      </c>
      <c r="AG3292" s="831" t="s">
        <v>131</v>
      </c>
      <c r="AH3292" s="831" t="s">
        <v>205</v>
      </c>
      <c r="AI3292" s="831">
        <v>0</v>
      </c>
      <c r="AJ3292" s="835">
        <v>40574</v>
      </c>
      <c r="AK3292" s="831">
        <v>0</v>
      </c>
      <c r="AP3292" s="831" t="str">
        <f t="shared" si="154"/>
        <v/>
      </c>
    </row>
    <row r="3293" spans="2:42">
      <c r="B3293" s="834" t="str">
        <f t="shared" si="153"/>
        <v>|||</v>
      </c>
      <c r="H3293" s="835">
        <f t="shared" si="155"/>
        <v>31</v>
      </c>
      <c r="AF3293" s="831" t="s">
        <v>3950</v>
      </c>
      <c r="AG3293" s="831" t="s">
        <v>131</v>
      </c>
      <c r="AH3293" s="831" t="s">
        <v>122</v>
      </c>
      <c r="AI3293" s="831">
        <v>0</v>
      </c>
      <c r="AJ3293" s="835">
        <v>40574</v>
      </c>
      <c r="AK3293" s="831">
        <v>0</v>
      </c>
      <c r="AP3293" s="831" t="str">
        <f t="shared" si="154"/>
        <v/>
      </c>
    </row>
    <row r="3294" spans="2:42">
      <c r="B3294" s="834" t="str">
        <f t="shared" si="153"/>
        <v>|||</v>
      </c>
      <c r="H3294" s="835">
        <f t="shared" si="155"/>
        <v>31</v>
      </c>
      <c r="AF3294" s="831" t="s">
        <v>3951</v>
      </c>
      <c r="AG3294" s="831" t="s">
        <v>131</v>
      </c>
      <c r="AH3294" s="831" t="s">
        <v>213</v>
      </c>
      <c r="AI3294" s="831">
        <v>0</v>
      </c>
      <c r="AJ3294" s="835">
        <v>40574</v>
      </c>
      <c r="AK3294" s="831">
        <v>0</v>
      </c>
      <c r="AP3294" s="831" t="str">
        <f t="shared" si="154"/>
        <v/>
      </c>
    </row>
    <row r="3295" spans="2:42">
      <c r="B3295" s="834" t="str">
        <f t="shared" si="153"/>
        <v>|||</v>
      </c>
      <c r="H3295" s="835">
        <f t="shared" si="155"/>
        <v>31</v>
      </c>
      <c r="AF3295" s="831" t="s">
        <v>3952</v>
      </c>
      <c r="AG3295" s="831" t="s">
        <v>131</v>
      </c>
      <c r="AH3295" s="831" t="s">
        <v>215</v>
      </c>
      <c r="AI3295" s="831">
        <v>0</v>
      </c>
      <c r="AJ3295" s="835">
        <v>40574</v>
      </c>
      <c r="AK3295" s="831">
        <v>0</v>
      </c>
      <c r="AP3295" s="831" t="str">
        <f t="shared" si="154"/>
        <v/>
      </c>
    </row>
    <row r="3296" spans="2:42">
      <c r="B3296" s="834" t="str">
        <f t="shared" si="153"/>
        <v>|||</v>
      </c>
      <c r="H3296" s="835">
        <f t="shared" si="155"/>
        <v>31</v>
      </c>
      <c r="AF3296" s="831" t="s">
        <v>3953</v>
      </c>
      <c r="AG3296" s="831" t="s">
        <v>131</v>
      </c>
      <c r="AH3296" s="831" t="s">
        <v>217</v>
      </c>
      <c r="AI3296" s="831">
        <v>0</v>
      </c>
      <c r="AJ3296" s="835">
        <v>40574</v>
      </c>
      <c r="AK3296" s="831">
        <v>0</v>
      </c>
      <c r="AP3296" s="831" t="str">
        <f t="shared" si="154"/>
        <v/>
      </c>
    </row>
    <row r="3297" spans="2:42">
      <c r="B3297" s="834" t="str">
        <f t="shared" si="153"/>
        <v>|||</v>
      </c>
      <c r="H3297" s="835">
        <f t="shared" si="155"/>
        <v>31</v>
      </c>
      <c r="AF3297" s="831" t="s">
        <v>3954</v>
      </c>
      <c r="AG3297" s="831" t="s">
        <v>131</v>
      </c>
      <c r="AH3297" s="831" t="s">
        <v>223</v>
      </c>
      <c r="AI3297" s="831">
        <v>0</v>
      </c>
      <c r="AJ3297" s="835">
        <v>40574</v>
      </c>
      <c r="AK3297" s="831">
        <v>0</v>
      </c>
      <c r="AP3297" s="831" t="str">
        <f t="shared" si="154"/>
        <v/>
      </c>
    </row>
    <row r="3298" spans="2:42">
      <c r="B3298" s="834" t="str">
        <f t="shared" si="153"/>
        <v>|||</v>
      </c>
      <c r="H3298" s="835">
        <f t="shared" si="155"/>
        <v>31</v>
      </c>
      <c r="AF3298" s="831" t="s">
        <v>3955</v>
      </c>
      <c r="AG3298" s="831" t="s">
        <v>131</v>
      </c>
      <c r="AH3298" s="831" t="s">
        <v>224</v>
      </c>
      <c r="AI3298" s="831">
        <v>0</v>
      </c>
      <c r="AJ3298" s="835">
        <v>40574</v>
      </c>
      <c r="AK3298" s="831">
        <v>0</v>
      </c>
      <c r="AP3298" s="831" t="str">
        <f t="shared" si="154"/>
        <v/>
      </c>
    </row>
    <row r="3299" spans="2:42">
      <c r="B3299" s="834" t="str">
        <f t="shared" si="153"/>
        <v>|||</v>
      </c>
      <c r="H3299" s="835">
        <f t="shared" si="155"/>
        <v>31</v>
      </c>
      <c r="AF3299" s="831" t="s">
        <v>3956</v>
      </c>
      <c r="AG3299" s="831" t="s">
        <v>131</v>
      </c>
      <c r="AH3299" s="831" t="s">
        <v>128</v>
      </c>
      <c r="AI3299" s="831">
        <v>0</v>
      </c>
      <c r="AJ3299" s="835">
        <v>40574</v>
      </c>
      <c r="AK3299" s="831">
        <v>0</v>
      </c>
      <c r="AP3299" s="831" t="str">
        <f t="shared" si="154"/>
        <v/>
      </c>
    </row>
    <row r="3300" spans="2:42">
      <c r="B3300" s="834" t="str">
        <f t="shared" si="153"/>
        <v>|||</v>
      </c>
      <c r="H3300" s="835">
        <f t="shared" si="155"/>
        <v>31</v>
      </c>
      <c r="AF3300" s="831" t="s">
        <v>3957</v>
      </c>
      <c r="AG3300" s="831" t="s">
        <v>131</v>
      </c>
      <c r="AH3300" s="831" t="s">
        <v>3237</v>
      </c>
      <c r="AI3300" s="831">
        <v>0</v>
      </c>
      <c r="AJ3300" s="835">
        <v>40574</v>
      </c>
      <c r="AK3300" s="831">
        <v>0</v>
      </c>
      <c r="AP3300" s="831" t="str">
        <f t="shared" si="154"/>
        <v/>
      </c>
    </row>
    <row r="3301" spans="2:42">
      <c r="B3301" s="834" t="str">
        <f t="shared" si="153"/>
        <v>|||</v>
      </c>
      <c r="H3301" s="835">
        <f t="shared" si="155"/>
        <v>31</v>
      </c>
      <c r="AF3301" s="831" t="s">
        <v>3958</v>
      </c>
      <c r="AG3301" s="831" t="s">
        <v>131</v>
      </c>
      <c r="AH3301" s="831" t="s">
        <v>3239</v>
      </c>
      <c r="AI3301" s="831">
        <v>0</v>
      </c>
      <c r="AJ3301" s="835">
        <v>40574</v>
      </c>
      <c r="AK3301" s="831">
        <v>0</v>
      </c>
      <c r="AP3301" s="831" t="str">
        <f t="shared" si="154"/>
        <v/>
      </c>
    </row>
    <row r="3302" spans="2:42">
      <c r="B3302" s="834" t="str">
        <f t="shared" si="153"/>
        <v>|||</v>
      </c>
      <c r="H3302" s="835">
        <f t="shared" si="155"/>
        <v>31</v>
      </c>
      <c r="AF3302" s="831" t="s">
        <v>3959</v>
      </c>
      <c r="AG3302" s="831" t="s">
        <v>131</v>
      </c>
      <c r="AH3302" s="831" t="s">
        <v>138</v>
      </c>
      <c r="AI3302" s="831">
        <v>0</v>
      </c>
      <c r="AJ3302" s="835">
        <v>40602</v>
      </c>
      <c r="AK3302" s="831">
        <v>13601032</v>
      </c>
      <c r="AP3302" s="831" t="str">
        <f t="shared" si="154"/>
        <v/>
      </c>
    </row>
    <row r="3303" spans="2:42">
      <c r="B3303" s="834" t="str">
        <f t="shared" si="153"/>
        <v>|||</v>
      </c>
      <c r="H3303" s="835">
        <f t="shared" si="155"/>
        <v>31</v>
      </c>
      <c r="AF3303" s="831" t="s">
        <v>3960</v>
      </c>
      <c r="AG3303" s="831" t="s">
        <v>131</v>
      </c>
      <c r="AH3303" s="831" t="s">
        <v>141</v>
      </c>
      <c r="AI3303" s="831">
        <v>0</v>
      </c>
      <c r="AJ3303" s="835">
        <v>40602</v>
      </c>
      <c r="AK3303" s="831">
        <v>184708</v>
      </c>
      <c r="AP3303" s="831" t="str">
        <f t="shared" si="154"/>
        <v/>
      </c>
    </row>
    <row r="3304" spans="2:42">
      <c r="B3304" s="834" t="str">
        <f t="shared" si="153"/>
        <v>|||</v>
      </c>
      <c r="H3304" s="835">
        <f t="shared" si="155"/>
        <v>31</v>
      </c>
      <c r="AF3304" s="831" t="s">
        <v>3961</v>
      </c>
      <c r="AG3304" s="831" t="s">
        <v>131</v>
      </c>
      <c r="AH3304" s="831" t="s">
        <v>146</v>
      </c>
      <c r="AI3304" s="831">
        <v>0</v>
      </c>
      <c r="AJ3304" s="835">
        <v>40602</v>
      </c>
      <c r="AK3304" s="831">
        <v>-2358477</v>
      </c>
      <c r="AP3304" s="831" t="str">
        <f t="shared" si="154"/>
        <v/>
      </c>
    </row>
    <row r="3305" spans="2:42">
      <c r="B3305" s="834" t="str">
        <f t="shared" si="153"/>
        <v>|||</v>
      </c>
      <c r="H3305" s="835">
        <f t="shared" si="155"/>
        <v>31</v>
      </c>
      <c r="AF3305" s="831" t="s">
        <v>3962</v>
      </c>
      <c r="AG3305" s="831" t="s">
        <v>131</v>
      </c>
      <c r="AH3305" s="831" t="s">
        <v>150</v>
      </c>
      <c r="AI3305" s="831">
        <v>0</v>
      </c>
      <c r="AJ3305" s="835">
        <v>40602</v>
      </c>
      <c r="AK3305" s="831">
        <v>-2111988</v>
      </c>
      <c r="AP3305" s="831" t="str">
        <f t="shared" si="154"/>
        <v/>
      </c>
    </row>
    <row r="3306" spans="2:42">
      <c r="B3306" s="834" t="str">
        <f t="shared" si="153"/>
        <v>|||</v>
      </c>
      <c r="H3306" s="835">
        <f t="shared" si="155"/>
        <v>31</v>
      </c>
      <c r="AF3306" s="831" t="s">
        <v>3963</v>
      </c>
      <c r="AG3306" s="831" t="s">
        <v>131</v>
      </c>
      <c r="AH3306" s="831" t="s">
        <v>77</v>
      </c>
      <c r="AI3306" s="831">
        <v>0</v>
      </c>
      <c r="AJ3306" s="835">
        <v>40602</v>
      </c>
      <c r="AK3306" s="831">
        <v>-294252</v>
      </c>
      <c r="AP3306" s="831" t="str">
        <f t="shared" si="154"/>
        <v/>
      </c>
    </row>
    <row r="3307" spans="2:42">
      <c r="B3307" s="834" t="str">
        <f t="shared" si="153"/>
        <v>|||</v>
      </c>
      <c r="H3307" s="835">
        <f t="shared" si="155"/>
        <v>31</v>
      </c>
      <c r="AF3307" s="831" t="s">
        <v>3964</v>
      </c>
      <c r="AG3307" s="831" t="s">
        <v>131</v>
      </c>
      <c r="AH3307" s="831" t="s">
        <v>167</v>
      </c>
      <c r="AI3307" s="831">
        <v>0</v>
      </c>
      <c r="AJ3307" s="835">
        <v>40602</v>
      </c>
      <c r="AK3307" s="831">
        <v>0</v>
      </c>
      <c r="AP3307" s="831" t="str">
        <f t="shared" si="154"/>
        <v/>
      </c>
    </row>
    <row r="3308" spans="2:42">
      <c r="B3308" s="834" t="str">
        <f t="shared" si="153"/>
        <v>|||</v>
      </c>
      <c r="H3308" s="835">
        <f t="shared" si="155"/>
        <v>31</v>
      </c>
      <c r="AF3308" s="831" t="s">
        <v>3965</v>
      </c>
      <c r="AG3308" s="831" t="s">
        <v>131</v>
      </c>
      <c r="AH3308" s="831" t="s">
        <v>169</v>
      </c>
      <c r="AI3308" s="831">
        <v>0</v>
      </c>
      <c r="AJ3308" s="835">
        <v>40602</v>
      </c>
      <c r="AK3308" s="831">
        <v>-23267</v>
      </c>
      <c r="AP3308" s="831" t="str">
        <f t="shared" si="154"/>
        <v/>
      </c>
    </row>
    <row r="3309" spans="2:42">
      <c r="B3309" s="834" t="str">
        <f t="shared" si="153"/>
        <v>|||</v>
      </c>
      <c r="H3309" s="835">
        <f t="shared" si="155"/>
        <v>31</v>
      </c>
      <c r="AF3309" s="831" t="s">
        <v>3966</v>
      </c>
      <c r="AG3309" s="831" t="s">
        <v>131</v>
      </c>
      <c r="AH3309" s="831" t="s">
        <v>172</v>
      </c>
      <c r="AI3309" s="831">
        <v>0</v>
      </c>
      <c r="AJ3309" s="835">
        <v>40602</v>
      </c>
      <c r="AK3309" s="831">
        <v>60193</v>
      </c>
      <c r="AP3309" s="831" t="str">
        <f t="shared" si="154"/>
        <v/>
      </c>
    </row>
    <row r="3310" spans="2:42">
      <c r="B3310" s="834" t="str">
        <f t="shared" si="153"/>
        <v>|||</v>
      </c>
      <c r="H3310" s="835">
        <f t="shared" si="155"/>
        <v>31</v>
      </c>
      <c r="AF3310" s="831" t="s">
        <v>3967</v>
      </c>
      <c r="AG3310" s="831" t="s">
        <v>131</v>
      </c>
      <c r="AH3310" s="831" t="s">
        <v>175</v>
      </c>
      <c r="AI3310" s="831">
        <v>0</v>
      </c>
      <c r="AJ3310" s="835">
        <v>40602</v>
      </c>
      <c r="AK3310" s="831">
        <v>141740</v>
      </c>
      <c r="AP3310" s="831" t="str">
        <f t="shared" si="154"/>
        <v/>
      </c>
    </row>
    <row r="3311" spans="2:42">
      <c r="B3311" s="834" t="str">
        <f t="shared" si="153"/>
        <v>|||</v>
      </c>
      <c r="H3311" s="835">
        <f t="shared" si="155"/>
        <v>31</v>
      </c>
      <c r="AF3311" s="831" t="s">
        <v>3968</v>
      </c>
      <c r="AG3311" s="831" t="s">
        <v>131</v>
      </c>
      <c r="AH3311" s="831" t="s">
        <v>185</v>
      </c>
      <c r="AI3311" s="831">
        <v>0</v>
      </c>
      <c r="AJ3311" s="835">
        <v>40602</v>
      </c>
      <c r="AK3311" s="831">
        <v>-4172332</v>
      </c>
      <c r="AP3311" s="831" t="str">
        <f t="shared" si="154"/>
        <v/>
      </c>
    </row>
    <row r="3312" spans="2:42">
      <c r="B3312" s="834" t="str">
        <f t="shared" si="153"/>
        <v>|||</v>
      </c>
      <c r="H3312" s="835">
        <f t="shared" si="155"/>
        <v>31</v>
      </c>
      <c r="AF3312" s="831" t="s">
        <v>3969</v>
      </c>
      <c r="AG3312" s="831" t="s">
        <v>131</v>
      </c>
      <c r="AH3312" s="831" t="s">
        <v>188</v>
      </c>
      <c r="AI3312" s="831">
        <v>0</v>
      </c>
      <c r="AJ3312" s="835">
        <v>40602</v>
      </c>
      <c r="AK3312" s="831">
        <v>-918277</v>
      </c>
      <c r="AP3312" s="831" t="str">
        <f t="shared" si="154"/>
        <v/>
      </c>
    </row>
    <row r="3313" spans="2:42">
      <c r="B3313" s="834" t="str">
        <f t="shared" si="153"/>
        <v>|||</v>
      </c>
      <c r="H3313" s="835">
        <f t="shared" si="155"/>
        <v>31</v>
      </c>
      <c r="AF3313" s="831" t="s">
        <v>3970</v>
      </c>
      <c r="AG3313" s="831" t="s">
        <v>131</v>
      </c>
      <c r="AH3313" s="831" t="s">
        <v>191</v>
      </c>
      <c r="AI3313" s="831">
        <v>0</v>
      </c>
      <c r="AJ3313" s="835">
        <v>40602</v>
      </c>
      <c r="AK3313" s="831">
        <v>-1467043</v>
      </c>
      <c r="AP3313" s="831" t="str">
        <f t="shared" si="154"/>
        <v/>
      </c>
    </row>
    <row r="3314" spans="2:42">
      <c r="B3314" s="834" t="str">
        <f t="shared" si="153"/>
        <v>|||</v>
      </c>
      <c r="H3314" s="835">
        <f t="shared" si="155"/>
        <v>31</v>
      </c>
      <c r="AF3314" s="831" t="s">
        <v>3971</v>
      </c>
      <c r="AG3314" s="831" t="s">
        <v>131</v>
      </c>
      <c r="AH3314" s="831" t="s">
        <v>198</v>
      </c>
      <c r="AI3314" s="831">
        <v>0</v>
      </c>
      <c r="AJ3314" s="835">
        <v>40602</v>
      </c>
      <c r="AK3314" s="831">
        <v>0</v>
      </c>
      <c r="AP3314" s="831" t="str">
        <f t="shared" si="154"/>
        <v/>
      </c>
    </row>
    <row r="3315" spans="2:42">
      <c r="B3315" s="834" t="str">
        <f t="shared" si="153"/>
        <v>|||</v>
      </c>
      <c r="H3315" s="835">
        <f t="shared" si="155"/>
        <v>31</v>
      </c>
      <c r="AF3315" s="831" t="s">
        <v>3972</v>
      </c>
      <c r="AG3315" s="831" t="s">
        <v>131</v>
      </c>
      <c r="AH3315" s="831" t="s">
        <v>200</v>
      </c>
      <c r="AI3315" s="831">
        <v>0</v>
      </c>
      <c r="AJ3315" s="835">
        <v>40602</v>
      </c>
      <c r="AK3315" s="831">
        <v>0</v>
      </c>
      <c r="AP3315" s="831" t="str">
        <f t="shared" si="154"/>
        <v/>
      </c>
    </row>
    <row r="3316" spans="2:42">
      <c r="B3316" s="834" t="str">
        <f t="shared" si="153"/>
        <v>|||</v>
      </c>
      <c r="H3316" s="835">
        <f t="shared" si="155"/>
        <v>31</v>
      </c>
      <c r="AF3316" s="831" t="s">
        <v>3973</v>
      </c>
      <c r="AG3316" s="831" t="s">
        <v>131</v>
      </c>
      <c r="AH3316" s="831" t="s">
        <v>205</v>
      </c>
      <c r="AI3316" s="831">
        <v>0</v>
      </c>
      <c r="AJ3316" s="835">
        <v>40602</v>
      </c>
      <c r="AK3316" s="831">
        <v>0</v>
      </c>
      <c r="AP3316" s="831" t="str">
        <f t="shared" si="154"/>
        <v/>
      </c>
    </row>
    <row r="3317" spans="2:42">
      <c r="B3317" s="834" t="str">
        <f t="shared" si="153"/>
        <v>|||</v>
      </c>
      <c r="H3317" s="835">
        <f t="shared" si="155"/>
        <v>31</v>
      </c>
      <c r="AF3317" s="831" t="s">
        <v>3974</v>
      </c>
      <c r="AG3317" s="831" t="s">
        <v>131</v>
      </c>
      <c r="AH3317" s="831" t="s">
        <v>122</v>
      </c>
      <c r="AI3317" s="831">
        <v>0</v>
      </c>
      <c r="AJ3317" s="835">
        <v>40602</v>
      </c>
      <c r="AK3317" s="831">
        <v>0</v>
      </c>
      <c r="AP3317" s="831" t="str">
        <f t="shared" si="154"/>
        <v/>
      </c>
    </row>
    <row r="3318" spans="2:42">
      <c r="B3318" s="834" t="str">
        <f t="shared" si="153"/>
        <v>|||</v>
      </c>
      <c r="H3318" s="835">
        <f t="shared" si="155"/>
        <v>31</v>
      </c>
      <c r="AF3318" s="831" t="s">
        <v>3975</v>
      </c>
      <c r="AG3318" s="831" t="s">
        <v>131</v>
      </c>
      <c r="AH3318" s="831" t="s">
        <v>213</v>
      </c>
      <c r="AI3318" s="831">
        <v>0</v>
      </c>
      <c r="AJ3318" s="835">
        <v>40602</v>
      </c>
      <c r="AK3318" s="831">
        <v>0</v>
      </c>
      <c r="AP3318" s="831" t="str">
        <f t="shared" si="154"/>
        <v/>
      </c>
    </row>
    <row r="3319" spans="2:42">
      <c r="B3319" s="834" t="str">
        <f t="shared" si="153"/>
        <v>|||</v>
      </c>
      <c r="H3319" s="835">
        <f t="shared" si="155"/>
        <v>31</v>
      </c>
      <c r="AF3319" s="831" t="s">
        <v>3976</v>
      </c>
      <c r="AG3319" s="831" t="s">
        <v>131</v>
      </c>
      <c r="AH3319" s="831" t="s">
        <v>215</v>
      </c>
      <c r="AI3319" s="831">
        <v>0</v>
      </c>
      <c r="AJ3319" s="835">
        <v>40602</v>
      </c>
      <c r="AK3319" s="831">
        <v>0</v>
      </c>
      <c r="AP3319" s="831" t="str">
        <f t="shared" si="154"/>
        <v/>
      </c>
    </row>
    <row r="3320" spans="2:42">
      <c r="B3320" s="834" t="str">
        <f t="shared" si="153"/>
        <v>|||</v>
      </c>
      <c r="H3320" s="835">
        <f t="shared" si="155"/>
        <v>31</v>
      </c>
      <c r="AF3320" s="831" t="s">
        <v>3977</v>
      </c>
      <c r="AG3320" s="831" t="s">
        <v>131</v>
      </c>
      <c r="AH3320" s="831" t="s">
        <v>217</v>
      </c>
      <c r="AI3320" s="831">
        <v>0</v>
      </c>
      <c r="AJ3320" s="835">
        <v>40602</v>
      </c>
      <c r="AK3320" s="831">
        <v>0</v>
      </c>
      <c r="AP3320" s="831" t="str">
        <f t="shared" si="154"/>
        <v/>
      </c>
    </row>
    <row r="3321" spans="2:42">
      <c r="B3321" s="834" t="str">
        <f t="shared" si="153"/>
        <v>|||</v>
      </c>
      <c r="H3321" s="835">
        <f t="shared" si="155"/>
        <v>31</v>
      </c>
      <c r="AF3321" s="831" t="s">
        <v>3978</v>
      </c>
      <c r="AG3321" s="831" t="s">
        <v>131</v>
      </c>
      <c r="AH3321" s="831" t="s">
        <v>223</v>
      </c>
      <c r="AI3321" s="831">
        <v>0</v>
      </c>
      <c r="AJ3321" s="835">
        <v>40602</v>
      </c>
      <c r="AK3321" s="831">
        <v>0</v>
      </c>
      <c r="AP3321" s="831" t="str">
        <f t="shared" si="154"/>
        <v/>
      </c>
    </row>
    <row r="3322" spans="2:42">
      <c r="B3322" s="834" t="str">
        <f t="shared" si="153"/>
        <v>|||</v>
      </c>
      <c r="H3322" s="835">
        <f t="shared" si="155"/>
        <v>31</v>
      </c>
      <c r="AF3322" s="831" t="s">
        <v>3979</v>
      </c>
      <c r="AG3322" s="831" t="s">
        <v>131</v>
      </c>
      <c r="AH3322" s="831" t="s">
        <v>224</v>
      </c>
      <c r="AI3322" s="831">
        <v>0</v>
      </c>
      <c r="AJ3322" s="835">
        <v>40602</v>
      </c>
      <c r="AK3322" s="831">
        <v>0</v>
      </c>
      <c r="AP3322" s="831" t="str">
        <f t="shared" si="154"/>
        <v/>
      </c>
    </row>
    <row r="3323" spans="2:42">
      <c r="B3323" s="834" t="str">
        <f t="shared" si="153"/>
        <v>|||</v>
      </c>
      <c r="H3323" s="835">
        <f t="shared" si="155"/>
        <v>31</v>
      </c>
      <c r="AF3323" s="831" t="s">
        <v>3980</v>
      </c>
      <c r="AG3323" s="831" t="s">
        <v>131</v>
      </c>
      <c r="AH3323" s="831" t="s">
        <v>128</v>
      </c>
      <c r="AI3323" s="831">
        <v>0</v>
      </c>
      <c r="AJ3323" s="835">
        <v>40602</v>
      </c>
      <c r="AK3323" s="831">
        <v>0</v>
      </c>
      <c r="AP3323" s="831" t="str">
        <f t="shared" si="154"/>
        <v/>
      </c>
    </row>
    <row r="3324" spans="2:42">
      <c r="B3324" s="834" t="str">
        <f t="shared" si="153"/>
        <v>|||</v>
      </c>
      <c r="H3324" s="835">
        <f t="shared" si="155"/>
        <v>31</v>
      </c>
      <c r="AF3324" s="831" t="s">
        <v>3981</v>
      </c>
      <c r="AG3324" s="831" t="s">
        <v>131</v>
      </c>
      <c r="AH3324" s="831" t="s">
        <v>3237</v>
      </c>
      <c r="AI3324" s="831">
        <v>0</v>
      </c>
      <c r="AJ3324" s="835">
        <v>40602</v>
      </c>
      <c r="AK3324" s="831">
        <v>0</v>
      </c>
      <c r="AP3324" s="831" t="str">
        <f t="shared" si="154"/>
        <v/>
      </c>
    </row>
    <row r="3325" spans="2:42">
      <c r="B3325" s="834" t="str">
        <f t="shared" si="153"/>
        <v>|||</v>
      </c>
      <c r="H3325" s="835">
        <f t="shared" si="155"/>
        <v>31</v>
      </c>
      <c r="AF3325" s="831" t="s">
        <v>3982</v>
      </c>
      <c r="AG3325" s="831" t="s">
        <v>131</v>
      </c>
      <c r="AH3325" s="831" t="s">
        <v>3239</v>
      </c>
      <c r="AI3325" s="831">
        <v>0</v>
      </c>
      <c r="AJ3325" s="835">
        <v>40602</v>
      </c>
      <c r="AK3325" s="831">
        <v>0</v>
      </c>
      <c r="AP3325" s="831" t="str">
        <f t="shared" si="154"/>
        <v/>
      </c>
    </row>
    <row r="3326" spans="2:42">
      <c r="B3326" s="834" t="str">
        <f t="shared" si="153"/>
        <v>|||</v>
      </c>
      <c r="H3326" s="835">
        <f t="shared" si="155"/>
        <v>31</v>
      </c>
      <c r="AF3326" s="831" t="s">
        <v>3983</v>
      </c>
      <c r="AG3326" s="831" t="s">
        <v>131</v>
      </c>
      <c r="AH3326" s="831" t="s">
        <v>138</v>
      </c>
      <c r="AI3326" s="831">
        <v>0</v>
      </c>
      <c r="AJ3326" s="835">
        <v>40633</v>
      </c>
      <c r="AK3326" s="831">
        <v>20055548</v>
      </c>
      <c r="AP3326" s="831" t="str">
        <f t="shared" si="154"/>
        <v/>
      </c>
    </row>
    <row r="3327" spans="2:42">
      <c r="B3327" s="834" t="str">
        <f t="shared" si="153"/>
        <v>|||</v>
      </c>
      <c r="H3327" s="835">
        <f t="shared" si="155"/>
        <v>31</v>
      </c>
      <c r="AF3327" s="831" t="s">
        <v>3984</v>
      </c>
      <c r="AG3327" s="831" t="s">
        <v>131</v>
      </c>
      <c r="AH3327" s="831" t="s">
        <v>141</v>
      </c>
      <c r="AI3327" s="831">
        <v>0</v>
      </c>
      <c r="AJ3327" s="835">
        <v>40633</v>
      </c>
      <c r="AK3327" s="831">
        <v>632390</v>
      </c>
      <c r="AP3327" s="831" t="str">
        <f t="shared" si="154"/>
        <v/>
      </c>
    </row>
    <row r="3328" spans="2:42">
      <c r="B3328" s="834" t="str">
        <f t="shared" si="153"/>
        <v>|||</v>
      </c>
      <c r="H3328" s="835">
        <f t="shared" si="155"/>
        <v>31</v>
      </c>
      <c r="AF3328" s="831" t="s">
        <v>3985</v>
      </c>
      <c r="AG3328" s="831" t="s">
        <v>131</v>
      </c>
      <c r="AH3328" s="831" t="s">
        <v>146</v>
      </c>
      <c r="AI3328" s="831">
        <v>0</v>
      </c>
      <c r="AJ3328" s="835">
        <v>40633</v>
      </c>
      <c r="AK3328" s="831">
        <v>-3492893</v>
      </c>
      <c r="AP3328" s="831" t="str">
        <f t="shared" si="154"/>
        <v/>
      </c>
    </row>
    <row r="3329" spans="2:42">
      <c r="B3329" s="834" t="str">
        <f t="shared" si="153"/>
        <v>|||</v>
      </c>
      <c r="H3329" s="835">
        <f t="shared" si="155"/>
        <v>31</v>
      </c>
      <c r="AF3329" s="831" t="s">
        <v>3986</v>
      </c>
      <c r="AG3329" s="831" t="s">
        <v>131</v>
      </c>
      <c r="AH3329" s="831" t="s">
        <v>150</v>
      </c>
      <c r="AI3329" s="831">
        <v>0</v>
      </c>
      <c r="AJ3329" s="835">
        <v>40633</v>
      </c>
      <c r="AK3329" s="831">
        <v>-3218080</v>
      </c>
      <c r="AP3329" s="831" t="str">
        <f t="shared" si="154"/>
        <v/>
      </c>
    </row>
    <row r="3330" spans="2:42">
      <c r="B3330" s="834" t="str">
        <f t="shared" si="153"/>
        <v>|||</v>
      </c>
      <c r="H3330" s="835">
        <f t="shared" si="155"/>
        <v>31</v>
      </c>
      <c r="AF3330" s="831" t="s">
        <v>3987</v>
      </c>
      <c r="AG3330" s="831" t="s">
        <v>131</v>
      </c>
      <c r="AH3330" s="831" t="s">
        <v>77</v>
      </c>
      <c r="AI3330" s="831">
        <v>0</v>
      </c>
      <c r="AJ3330" s="835">
        <v>40633</v>
      </c>
      <c r="AK3330" s="831">
        <v>-479488</v>
      </c>
      <c r="AP3330" s="831" t="str">
        <f t="shared" si="154"/>
        <v/>
      </c>
    </row>
    <row r="3331" spans="2:42">
      <c r="B3331" s="834" t="str">
        <f t="shared" ref="B3331:B3394" si="156">C3331&amp;"|"&amp;D3331&amp;"|"&amp;E3331&amp;"|"&amp;F3331</f>
        <v>|||</v>
      </c>
      <c r="H3331" s="835">
        <f t="shared" si="155"/>
        <v>31</v>
      </c>
      <c r="AF3331" s="831" t="s">
        <v>3988</v>
      </c>
      <c r="AG3331" s="831" t="s">
        <v>131</v>
      </c>
      <c r="AH3331" s="831" t="s">
        <v>167</v>
      </c>
      <c r="AI3331" s="831">
        <v>0</v>
      </c>
      <c r="AJ3331" s="835">
        <v>40633</v>
      </c>
      <c r="AK3331" s="831">
        <v>0</v>
      </c>
      <c r="AP3331" s="831" t="str">
        <f t="shared" ref="AP3331:AP3394" si="157">IF(AX3331&lt;&gt;"",IF(OR(AX3331=3,AX3331=4),"Equity","Debt"),"")</f>
        <v/>
      </c>
    </row>
    <row r="3332" spans="2:42">
      <c r="B3332" s="834" t="str">
        <f t="shared" si="156"/>
        <v>|||</v>
      </c>
      <c r="H3332" s="835">
        <f t="shared" ref="H3332:H3395" si="158">EOMONTH(L3332,0)</f>
        <v>31</v>
      </c>
      <c r="AF3332" s="831" t="s">
        <v>3989</v>
      </c>
      <c r="AG3332" s="831" t="s">
        <v>131</v>
      </c>
      <c r="AH3332" s="831" t="s">
        <v>169</v>
      </c>
      <c r="AI3332" s="831">
        <v>0</v>
      </c>
      <c r="AJ3332" s="835">
        <v>40633</v>
      </c>
      <c r="AK3332" s="831">
        <v>-45530</v>
      </c>
      <c r="AP3332" s="831" t="str">
        <f t="shared" si="157"/>
        <v/>
      </c>
    </row>
    <row r="3333" spans="2:42">
      <c r="B3333" s="834" t="str">
        <f t="shared" si="156"/>
        <v>|||</v>
      </c>
      <c r="H3333" s="835">
        <f t="shared" si="158"/>
        <v>31</v>
      </c>
      <c r="AF3333" s="831" t="s">
        <v>3990</v>
      </c>
      <c r="AG3333" s="831" t="s">
        <v>131</v>
      </c>
      <c r="AH3333" s="831" t="s">
        <v>172</v>
      </c>
      <c r="AI3333" s="831">
        <v>0</v>
      </c>
      <c r="AJ3333" s="835">
        <v>40633</v>
      </c>
      <c r="AK3333" s="831">
        <v>72943</v>
      </c>
      <c r="AP3333" s="831" t="str">
        <f t="shared" si="157"/>
        <v/>
      </c>
    </row>
    <row r="3334" spans="2:42">
      <c r="B3334" s="834" t="str">
        <f t="shared" si="156"/>
        <v>|||</v>
      </c>
      <c r="H3334" s="835">
        <f t="shared" si="158"/>
        <v>31</v>
      </c>
      <c r="AF3334" s="831" t="s">
        <v>3991</v>
      </c>
      <c r="AG3334" s="831" t="s">
        <v>131</v>
      </c>
      <c r="AH3334" s="831" t="s">
        <v>175</v>
      </c>
      <c r="AI3334" s="831">
        <v>0</v>
      </c>
      <c r="AJ3334" s="835">
        <v>40633</v>
      </c>
      <c r="AK3334" s="831">
        <v>796751</v>
      </c>
      <c r="AP3334" s="831" t="str">
        <f t="shared" si="157"/>
        <v/>
      </c>
    </row>
    <row r="3335" spans="2:42">
      <c r="B3335" s="834" t="str">
        <f t="shared" si="156"/>
        <v>|||</v>
      </c>
      <c r="H3335" s="835">
        <f t="shared" si="158"/>
        <v>31</v>
      </c>
      <c r="AF3335" s="831" t="s">
        <v>3992</v>
      </c>
      <c r="AG3335" s="831" t="s">
        <v>131</v>
      </c>
      <c r="AH3335" s="831" t="s">
        <v>185</v>
      </c>
      <c r="AI3335" s="831">
        <v>0</v>
      </c>
      <c r="AJ3335" s="835">
        <v>40633</v>
      </c>
      <c r="AK3335" s="831">
        <v>-5951090</v>
      </c>
      <c r="AP3335" s="831" t="str">
        <f t="shared" si="157"/>
        <v/>
      </c>
    </row>
    <row r="3336" spans="2:42">
      <c r="B3336" s="834" t="str">
        <f t="shared" si="156"/>
        <v>|||</v>
      </c>
      <c r="H3336" s="835">
        <f t="shared" si="158"/>
        <v>31</v>
      </c>
      <c r="AF3336" s="831" t="s">
        <v>3993</v>
      </c>
      <c r="AG3336" s="831" t="s">
        <v>131</v>
      </c>
      <c r="AH3336" s="831" t="s">
        <v>188</v>
      </c>
      <c r="AI3336" s="831">
        <v>0</v>
      </c>
      <c r="AJ3336" s="835">
        <v>40633</v>
      </c>
      <c r="AK3336" s="831">
        <v>-2813536</v>
      </c>
      <c r="AP3336" s="831" t="str">
        <f t="shared" si="157"/>
        <v/>
      </c>
    </row>
    <row r="3337" spans="2:42">
      <c r="B3337" s="834" t="str">
        <f t="shared" si="156"/>
        <v>|||</v>
      </c>
      <c r="H3337" s="835">
        <f t="shared" si="158"/>
        <v>31</v>
      </c>
      <c r="AF3337" s="831" t="s">
        <v>3994</v>
      </c>
      <c r="AG3337" s="831" t="s">
        <v>131</v>
      </c>
      <c r="AH3337" s="831" t="s">
        <v>191</v>
      </c>
      <c r="AI3337" s="831">
        <v>0</v>
      </c>
      <c r="AJ3337" s="835">
        <v>40633</v>
      </c>
      <c r="AK3337" s="831">
        <v>-985236</v>
      </c>
      <c r="AP3337" s="831" t="str">
        <f t="shared" si="157"/>
        <v/>
      </c>
    </row>
    <row r="3338" spans="2:42">
      <c r="B3338" s="834" t="str">
        <f t="shared" si="156"/>
        <v>|||</v>
      </c>
      <c r="H3338" s="835">
        <f t="shared" si="158"/>
        <v>31</v>
      </c>
      <c r="AF3338" s="831" t="s">
        <v>3995</v>
      </c>
      <c r="AG3338" s="831" t="s">
        <v>131</v>
      </c>
      <c r="AH3338" s="831" t="s">
        <v>198</v>
      </c>
      <c r="AI3338" s="831">
        <v>0</v>
      </c>
      <c r="AJ3338" s="835">
        <v>40633</v>
      </c>
      <c r="AK3338" s="831">
        <v>0</v>
      </c>
      <c r="AP3338" s="831" t="str">
        <f t="shared" si="157"/>
        <v/>
      </c>
    </row>
    <row r="3339" spans="2:42">
      <c r="B3339" s="834" t="str">
        <f t="shared" si="156"/>
        <v>|||</v>
      </c>
      <c r="H3339" s="835">
        <f t="shared" si="158"/>
        <v>31</v>
      </c>
      <c r="AF3339" s="831" t="s">
        <v>3996</v>
      </c>
      <c r="AG3339" s="831" t="s">
        <v>131</v>
      </c>
      <c r="AH3339" s="831" t="s">
        <v>200</v>
      </c>
      <c r="AI3339" s="831">
        <v>0</v>
      </c>
      <c r="AJ3339" s="835">
        <v>40633</v>
      </c>
      <c r="AK3339" s="831">
        <v>0</v>
      </c>
      <c r="AP3339" s="831" t="str">
        <f t="shared" si="157"/>
        <v/>
      </c>
    </row>
    <row r="3340" spans="2:42">
      <c r="B3340" s="834" t="str">
        <f t="shared" si="156"/>
        <v>|||</v>
      </c>
      <c r="H3340" s="835">
        <f t="shared" si="158"/>
        <v>31</v>
      </c>
      <c r="AF3340" s="831" t="s">
        <v>3997</v>
      </c>
      <c r="AG3340" s="831" t="s">
        <v>131</v>
      </c>
      <c r="AH3340" s="831" t="s">
        <v>205</v>
      </c>
      <c r="AI3340" s="831">
        <v>0</v>
      </c>
      <c r="AJ3340" s="835">
        <v>40633</v>
      </c>
      <c r="AK3340" s="831">
        <v>0</v>
      </c>
      <c r="AP3340" s="831" t="str">
        <f t="shared" si="157"/>
        <v/>
      </c>
    </row>
    <row r="3341" spans="2:42">
      <c r="B3341" s="834" t="str">
        <f t="shared" si="156"/>
        <v>|||</v>
      </c>
      <c r="H3341" s="835">
        <f t="shared" si="158"/>
        <v>31</v>
      </c>
      <c r="AF3341" s="831" t="s">
        <v>3998</v>
      </c>
      <c r="AG3341" s="831" t="s">
        <v>131</v>
      </c>
      <c r="AH3341" s="831" t="s">
        <v>122</v>
      </c>
      <c r="AI3341" s="831">
        <v>0</v>
      </c>
      <c r="AJ3341" s="835">
        <v>40633</v>
      </c>
      <c r="AK3341" s="831">
        <v>0</v>
      </c>
      <c r="AP3341" s="831" t="str">
        <f t="shared" si="157"/>
        <v/>
      </c>
    </row>
    <row r="3342" spans="2:42">
      <c r="B3342" s="834" t="str">
        <f t="shared" si="156"/>
        <v>|||</v>
      </c>
      <c r="H3342" s="835">
        <f t="shared" si="158"/>
        <v>31</v>
      </c>
      <c r="AF3342" s="831" t="s">
        <v>3999</v>
      </c>
      <c r="AG3342" s="831" t="s">
        <v>131</v>
      </c>
      <c r="AH3342" s="831" t="s">
        <v>213</v>
      </c>
      <c r="AI3342" s="831">
        <v>0</v>
      </c>
      <c r="AJ3342" s="835">
        <v>40633</v>
      </c>
      <c r="AK3342" s="831">
        <v>0</v>
      </c>
      <c r="AP3342" s="831" t="str">
        <f t="shared" si="157"/>
        <v/>
      </c>
    </row>
    <row r="3343" spans="2:42">
      <c r="B3343" s="834" t="str">
        <f t="shared" si="156"/>
        <v>|||</v>
      </c>
      <c r="H3343" s="835">
        <f t="shared" si="158"/>
        <v>31</v>
      </c>
      <c r="AF3343" s="831" t="s">
        <v>4000</v>
      </c>
      <c r="AG3343" s="831" t="s">
        <v>131</v>
      </c>
      <c r="AH3343" s="831" t="s">
        <v>215</v>
      </c>
      <c r="AI3343" s="831">
        <v>0</v>
      </c>
      <c r="AJ3343" s="835">
        <v>40633</v>
      </c>
      <c r="AK3343" s="831">
        <v>0</v>
      </c>
      <c r="AP3343" s="831" t="str">
        <f t="shared" si="157"/>
        <v/>
      </c>
    </row>
    <row r="3344" spans="2:42">
      <c r="B3344" s="834" t="str">
        <f t="shared" si="156"/>
        <v>|||</v>
      </c>
      <c r="H3344" s="835">
        <f t="shared" si="158"/>
        <v>31</v>
      </c>
      <c r="AF3344" s="831" t="s">
        <v>4001</v>
      </c>
      <c r="AG3344" s="831" t="s">
        <v>131</v>
      </c>
      <c r="AH3344" s="831" t="s">
        <v>217</v>
      </c>
      <c r="AI3344" s="831">
        <v>0</v>
      </c>
      <c r="AJ3344" s="835">
        <v>40633</v>
      </c>
      <c r="AK3344" s="831">
        <v>0</v>
      </c>
      <c r="AP3344" s="831" t="str">
        <f t="shared" si="157"/>
        <v/>
      </c>
    </row>
    <row r="3345" spans="2:42">
      <c r="B3345" s="834" t="str">
        <f t="shared" si="156"/>
        <v>|||</v>
      </c>
      <c r="H3345" s="835">
        <f t="shared" si="158"/>
        <v>31</v>
      </c>
      <c r="AF3345" s="831" t="s">
        <v>4002</v>
      </c>
      <c r="AG3345" s="831" t="s">
        <v>131</v>
      </c>
      <c r="AH3345" s="831" t="s">
        <v>223</v>
      </c>
      <c r="AI3345" s="831">
        <v>0</v>
      </c>
      <c r="AJ3345" s="835">
        <v>40633</v>
      </c>
      <c r="AK3345" s="831">
        <v>0</v>
      </c>
      <c r="AP3345" s="831" t="str">
        <f t="shared" si="157"/>
        <v/>
      </c>
    </row>
    <row r="3346" spans="2:42">
      <c r="B3346" s="834" t="str">
        <f t="shared" si="156"/>
        <v>|||</v>
      </c>
      <c r="H3346" s="835">
        <f t="shared" si="158"/>
        <v>31</v>
      </c>
      <c r="AF3346" s="831" t="s">
        <v>4003</v>
      </c>
      <c r="AG3346" s="831" t="s">
        <v>131</v>
      </c>
      <c r="AH3346" s="831" t="s">
        <v>224</v>
      </c>
      <c r="AI3346" s="831">
        <v>0</v>
      </c>
      <c r="AJ3346" s="835">
        <v>40633</v>
      </c>
      <c r="AK3346" s="831">
        <v>0</v>
      </c>
      <c r="AP3346" s="831" t="str">
        <f t="shared" si="157"/>
        <v/>
      </c>
    </row>
    <row r="3347" spans="2:42">
      <c r="B3347" s="834" t="str">
        <f t="shared" si="156"/>
        <v>|||</v>
      </c>
      <c r="H3347" s="835">
        <f t="shared" si="158"/>
        <v>31</v>
      </c>
      <c r="AF3347" s="831" t="s">
        <v>4004</v>
      </c>
      <c r="AG3347" s="831" t="s">
        <v>131</v>
      </c>
      <c r="AH3347" s="831" t="s">
        <v>128</v>
      </c>
      <c r="AI3347" s="831">
        <v>0</v>
      </c>
      <c r="AJ3347" s="835">
        <v>40633</v>
      </c>
      <c r="AK3347" s="831">
        <v>0</v>
      </c>
      <c r="AP3347" s="831" t="str">
        <f t="shared" si="157"/>
        <v/>
      </c>
    </row>
    <row r="3348" spans="2:42">
      <c r="B3348" s="834" t="str">
        <f t="shared" si="156"/>
        <v>|||</v>
      </c>
      <c r="H3348" s="835">
        <f t="shared" si="158"/>
        <v>31</v>
      </c>
      <c r="AF3348" s="831" t="s">
        <v>4005</v>
      </c>
      <c r="AG3348" s="831" t="s">
        <v>131</v>
      </c>
      <c r="AH3348" s="831" t="s">
        <v>3237</v>
      </c>
      <c r="AI3348" s="831">
        <v>0</v>
      </c>
      <c r="AJ3348" s="835">
        <v>40633</v>
      </c>
      <c r="AK3348" s="831">
        <v>0</v>
      </c>
      <c r="AP3348" s="831" t="str">
        <f t="shared" si="157"/>
        <v/>
      </c>
    </row>
    <row r="3349" spans="2:42">
      <c r="B3349" s="834" t="str">
        <f t="shared" si="156"/>
        <v>|||</v>
      </c>
      <c r="H3349" s="835">
        <f t="shared" si="158"/>
        <v>31</v>
      </c>
      <c r="AF3349" s="831" t="s">
        <v>4006</v>
      </c>
      <c r="AG3349" s="831" t="s">
        <v>131</v>
      </c>
      <c r="AH3349" s="831" t="s">
        <v>3239</v>
      </c>
      <c r="AI3349" s="831">
        <v>0</v>
      </c>
      <c r="AJ3349" s="835">
        <v>40633</v>
      </c>
      <c r="AK3349" s="831">
        <v>0</v>
      </c>
      <c r="AP3349" s="831" t="str">
        <f t="shared" si="157"/>
        <v/>
      </c>
    </row>
    <row r="3350" spans="2:42">
      <c r="B3350" s="834" t="str">
        <f t="shared" si="156"/>
        <v>|||</v>
      </c>
      <c r="H3350" s="835">
        <f t="shared" si="158"/>
        <v>31</v>
      </c>
      <c r="AF3350" s="831" t="s">
        <v>4007</v>
      </c>
      <c r="AG3350" s="831" t="s">
        <v>131</v>
      </c>
      <c r="AH3350" s="831" t="s">
        <v>138</v>
      </c>
      <c r="AI3350" s="831">
        <v>0</v>
      </c>
      <c r="AJ3350" s="835">
        <v>40663</v>
      </c>
      <c r="AK3350" s="831">
        <v>27100663</v>
      </c>
      <c r="AP3350" s="831" t="str">
        <f t="shared" si="157"/>
        <v/>
      </c>
    </row>
    <row r="3351" spans="2:42">
      <c r="B3351" s="834" t="str">
        <f t="shared" si="156"/>
        <v>|||</v>
      </c>
      <c r="H3351" s="835">
        <f t="shared" si="158"/>
        <v>31</v>
      </c>
      <c r="AF3351" s="831" t="s">
        <v>4008</v>
      </c>
      <c r="AG3351" s="831" t="s">
        <v>131</v>
      </c>
      <c r="AH3351" s="831" t="s">
        <v>141</v>
      </c>
      <c r="AI3351" s="831">
        <v>0</v>
      </c>
      <c r="AJ3351" s="835">
        <v>40663</v>
      </c>
      <c r="AK3351" s="831">
        <v>817029</v>
      </c>
      <c r="AP3351" s="831" t="str">
        <f t="shared" si="157"/>
        <v/>
      </c>
    </row>
    <row r="3352" spans="2:42">
      <c r="B3352" s="834" t="str">
        <f t="shared" si="156"/>
        <v>|||</v>
      </c>
      <c r="H3352" s="835">
        <f t="shared" si="158"/>
        <v>31</v>
      </c>
      <c r="AF3352" s="831" t="s">
        <v>4009</v>
      </c>
      <c r="AG3352" s="831" t="s">
        <v>131</v>
      </c>
      <c r="AH3352" s="831" t="s">
        <v>146</v>
      </c>
      <c r="AI3352" s="831">
        <v>0</v>
      </c>
      <c r="AJ3352" s="835">
        <v>40663</v>
      </c>
      <c r="AK3352" s="831">
        <v>-4587770</v>
      </c>
      <c r="AP3352" s="831" t="str">
        <f t="shared" si="157"/>
        <v/>
      </c>
    </row>
    <row r="3353" spans="2:42">
      <c r="B3353" s="834" t="str">
        <f t="shared" si="156"/>
        <v>|||</v>
      </c>
      <c r="H3353" s="835">
        <f t="shared" si="158"/>
        <v>31</v>
      </c>
      <c r="AF3353" s="831" t="s">
        <v>4010</v>
      </c>
      <c r="AG3353" s="831" t="s">
        <v>131</v>
      </c>
      <c r="AH3353" s="831" t="s">
        <v>150</v>
      </c>
      <c r="AI3353" s="831">
        <v>0</v>
      </c>
      <c r="AJ3353" s="835">
        <v>40663</v>
      </c>
      <c r="AK3353" s="831">
        <v>-4305746</v>
      </c>
      <c r="AP3353" s="831" t="str">
        <f t="shared" si="157"/>
        <v/>
      </c>
    </row>
    <row r="3354" spans="2:42">
      <c r="B3354" s="834" t="str">
        <f t="shared" si="156"/>
        <v>|||</v>
      </c>
      <c r="H3354" s="835">
        <f t="shared" si="158"/>
        <v>31</v>
      </c>
      <c r="AF3354" s="831" t="s">
        <v>4011</v>
      </c>
      <c r="AG3354" s="831" t="s">
        <v>131</v>
      </c>
      <c r="AH3354" s="831" t="s">
        <v>77</v>
      </c>
      <c r="AI3354" s="831">
        <v>0</v>
      </c>
      <c r="AJ3354" s="835">
        <v>40663</v>
      </c>
      <c r="AK3354" s="831">
        <v>-733773</v>
      </c>
      <c r="AP3354" s="831" t="str">
        <f t="shared" si="157"/>
        <v/>
      </c>
    </row>
    <row r="3355" spans="2:42">
      <c r="B3355" s="834" t="str">
        <f t="shared" si="156"/>
        <v>|||</v>
      </c>
      <c r="H3355" s="835">
        <f t="shared" si="158"/>
        <v>31</v>
      </c>
      <c r="AF3355" s="831" t="s">
        <v>4012</v>
      </c>
      <c r="AG3355" s="831" t="s">
        <v>131</v>
      </c>
      <c r="AH3355" s="831" t="s">
        <v>167</v>
      </c>
      <c r="AI3355" s="831">
        <v>0</v>
      </c>
      <c r="AJ3355" s="835">
        <v>40663</v>
      </c>
      <c r="AK3355" s="831">
        <v>0</v>
      </c>
      <c r="AP3355" s="831" t="str">
        <f t="shared" si="157"/>
        <v/>
      </c>
    </row>
    <row r="3356" spans="2:42">
      <c r="B3356" s="834" t="str">
        <f t="shared" si="156"/>
        <v>|||</v>
      </c>
      <c r="H3356" s="835">
        <f t="shared" si="158"/>
        <v>31</v>
      </c>
      <c r="AF3356" s="831" t="s">
        <v>4013</v>
      </c>
      <c r="AG3356" s="831" t="s">
        <v>131</v>
      </c>
      <c r="AH3356" s="831" t="s">
        <v>169</v>
      </c>
      <c r="AI3356" s="831">
        <v>0</v>
      </c>
      <c r="AJ3356" s="835">
        <v>40663</v>
      </c>
      <c r="AK3356" s="831">
        <v>-64014</v>
      </c>
      <c r="AP3356" s="831" t="str">
        <f t="shared" si="157"/>
        <v/>
      </c>
    </row>
    <row r="3357" spans="2:42">
      <c r="B3357" s="834" t="str">
        <f t="shared" si="156"/>
        <v>|||</v>
      </c>
      <c r="H3357" s="835">
        <f t="shared" si="158"/>
        <v>31</v>
      </c>
      <c r="AF3357" s="831" t="s">
        <v>4014</v>
      </c>
      <c r="AG3357" s="831" t="s">
        <v>131</v>
      </c>
      <c r="AH3357" s="831" t="s">
        <v>172</v>
      </c>
      <c r="AI3357" s="831">
        <v>0</v>
      </c>
      <c r="AJ3357" s="835">
        <v>40663</v>
      </c>
      <c r="AK3357" s="831">
        <v>78341</v>
      </c>
      <c r="AP3357" s="831" t="str">
        <f t="shared" si="157"/>
        <v/>
      </c>
    </row>
    <row r="3358" spans="2:42">
      <c r="B3358" s="834" t="str">
        <f t="shared" si="156"/>
        <v>|||</v>
      </c>
      <c r="H3358" s="835">
        <f t="shared" si="158"/>
        <v>31</v>
      </c>
      <c r="AF3358" s="831" t="s">
        <v>4015</v>
      </c>
      <c r="AG3358" s="831" t="s">
        <v>131</v>
      </c>
      <c r="AH3358" s="831" t="s">
        <v>175</v>
      </c>
      <c r="AI3358" s="831">
        <v>0</v>
      </c>
      <c r="AJ3358" s="835">
        <v>40663</v>
      </c>
      <c r="AK3358" s="831">
        <v>564183</v>
      </c>
      <c r="AP3358" s="831" t="str">
        <f t="shared" si="157"/>
        <v/>
      </c>
    </row>
    <row r="3359" spans="2:42">
      <c r="B3359" s="834" t="str">
        <f t="shared" si="156"/>
        <v>|||</v>
      </c>
      <c r="H3359" s="835">
        <f t="shared" si="158"/>
        <v>31</v>
      </c>
      <c r="AF3359" s="831" t="s">
        <v>4016</v>
      </c>
      <c r="AG3359" s="831" t="s">
        <v>131</v>
      </c>
      <c r="AH3359" s="831" t="s">
        <v>185</v>
      </c>
      <c r="AI3359" s="831">
        <v>0</v>
      </c>
      <c r="AJ3359" s="835">
        <v>40663</v>
      </c>
      <c r="AK3359" s="831">
        <v>-7778668</v>
      </c>
      <c r="AP3359" s="831" t="str">
        <f t="shared" si="157"/>
        <v/>
      </c>
    </row>
    <row r="3360" spans="2:42">
      <c r="B3360" s="834" t="str">
        <f t="shared" si="156"/>
        <v>|||</v>
      </c>
      <c r="H3360" s="835">
        <f t="shared" si="158"/>
        <v>31</v>
      </c>
      <c r="AF3360" s="831" t="s">
        <v>4017</v>
      </c>
      <c r="AG3360" s="831" t="s">
        <v>131</v>
      </c>
      <c r="AH3360" s="831" t="s">
        <v>188</v>
      </c>
      <c r="AI3360" s="831">
        <v>0</v>
      </c>
      <c r="AJ3360" s="835">
        <v>40663</v>
      </c>
      <c r="AK3360" s="831">
        <v>-3854782</v>
      </c>
      <c r="AP3360" s="831" t="str">
        <f t="shared" si="157"/>
        <v/>
      </c>
    </row>
    <row r="3361" spans="2:42">
      <c r="B3361" s="834" t="str">
        <f t="shared" si="156"/>
        <v>|||</v>
      </c>
      <c r="H3361" s="835">
        <f t="shared" si="158"/>
        <v>31</v>
      </c>
      <c r="AF3361" s="831" t="s">
        <v>4018</v>
      </c>
      <c r="AG3361" s="831" t="s">
        <v>131</v>
      </c>
      <c r="AH3361" s="831" t="s">
        <v>191</v>
      </c>
      <c r="AI3361" s="831">
        <v>0</v>
      </c>
      <c r="AJ3361" s="835">
        <v>40663</v>
      </c>
      <c r="AK3361" s="831">
        <v>-1314452</v>
      </c>
      <c r="AP3361" s="831" t="str">
        <f t="shared" si="157"/>
        <v/>
      </c>
    </row>
    <row r="3362" spans="2:42">
      <c r="B3362" s="834" t="str">
        <f t="shared" si="156"/>
        <v>|||</v>
      </c>
      <c r="H3362" s="835">
        <f t="shared" si="158"/>
        <v>31</v>
      </c>
      <c r="AF3362" s="831" t="s">
        <v>4019</v>
      </c>
      <c r="AG3362" s="831" t="s">
        <v>131</v>
      </c>
      <c r="AH3362" s="831" t="s">
        <v>198</v>
      </c>
      <c r="AI3362" s="831">
        <v>0</v>
      </c>
      <c r="AJ3362" s="835">
        <v>40663</v>
      </c>
      <c r="AK3362" s="831">
        <v>0</v>
      </c>
      <c r="AP3362" s="831" t="str">
        <f t="shared" si="157"/>
        <v/>
      </c>
    </row>
    <row r="3363" spans="2:42">
      <c r="B3363" s="834" t="str">
        <f t="shared" si="156"/>
        <v>|||</v>
      </c>
      <c r="H3363" s="835">
        <f t="shared" si="158"/>
        <v>31</v>
      </c>
      <c r="AF3363" s="831" t="s">
        <v>4020</v>
      </c>
      <c r="AG3363" s="831" t="s">
        <v>131</v>
      </c>
      <c r="AH3363" s="831" t="s">
        <v>200</v>
      </c>
      <c r="AI3363" s="831">
        <v>0</v>
      </c>
      <c r="AJ3363" s="835">
        <v>40663</v>
      </c>
      <c r="AK3363" s="831">
        <v>0</v>
      </c>
      <c r="AP3363" s="831" t="str">
        <f t="shared" si="157"/>
        <v/>
      </c>
    </row>
    <row r="3364" spans="2:42">
      <c r="B3364" s="834" t="str">
        <f t="shared" si="156"/>
        <v>|||</v>
      </c>
      <c r="H3364" s="835">
        <f t="shared" si="158"/>
        <v>31</v>
      </c>
      <c r="AF3364" s="831" t="s">
        <v>4021</v>
      </c>
      <c r="AG3364" s="831" t="s">
        <v>131</v>
      </c>
      <c r="AH3364" s="831" t="s">
        <v>205</v>
      </c>
      <c r="AI3364" s="831">
        <v>0</v>
      </c>
      <c r="AJ3364" s="835">
        <v>40663</v>
      </c>
      <c r="AK3364" s="831">
        <v>0</v>
      </c>
      <c r="AP3364" s="831" t="str">
        <f t="shared" si="157"/>
        <v/>
      </c>
    </row>
    <row r="3365" spans="2:42">
      <c r="B3365" s="834" t="str">
        <f t="shared" si="156"/>
        <v>|||</v>
      </c>
      <c r="H3365" s="835">
        <f t="shared" si="158"/>
        <v>31</v>
      </c>
      <c r="AF3365" s="831" t="s">
        <v>4022</v>
      </c>
      <c r="AG3365" s="831" t="s">
        <v>131</v>
      </c>
      <c r="AH3365" s="831" t="s">
        <v>122</v>
      </c>
      <c r="AI3365" s="831">
        <v>0</v>
      </c>
      <c r="AJ3365" s="835">
        <v>40663</v>
      </c>
      <c r="AK3365" s="831">
        <v>0</v>
      </c>
      <c r="AP3365" s="831" t="str">
        <f t="shared" si="157"/>
        <v/>
      </c>
    </row>
    <row r="3366" spans="2:42">
      <c r="B3366" s="834" t="str">
        <f t="shared" si="156"/>
        <v>|||</v>
      </c>
      <c r="H3366" s="835">
        <f t="shared" si="158"/>
        <v>31</v>
      </c>
      <c r="AF3366" s="831" t="s">
        <v>4023</v>
      </c>
      <c r="AG3366" s="831" t="s">
        <v>131</v>
      </c>
      <c r="AH3366" s="831" t="s">
        <v>213</v>
      </c>
      <c r="AI3366" s="831">
        <v>0</v>
      </c>
      <c r="AJ3366" s="835">
        <v>40663</v>
      </c>
      <c r="AK3366" s="831">
        <v>0</v>
      </c>
      <c r="AP3366" s="831" t="str">
        <f t="shared" si="157"/>
        <v/>
      </c>
    </row>
    <row r="3367" spans="2:42">
      <c r="B3367" s="834" t="str">
        <f t="shared" si="156"/>
        <v>|||</v>
      </c>
      <c r="H3367" s="835">
        <f t="shared" si="158"/>
        <v>31</v>
      </c>
      <c r="AF3367" s="831" t="s">
        <v>4024</v>
      </c>
      <c r="AG3367" s="831" t="s">
        <v>131</v>
      </c>
      <c r="AH3367" s="831" t="s">
        <v>215</v>
      </c>
      <c r="AI3367" s="831">
        <v>0</v>
      </c>
      <c r="AJ3367" s="835">
        <v>40663</v>
      </c>
      <c r="AK3367" s="831">
        <v>0</v>
      </c>
      <c r="AP3367" s="831" t="str">
        <f t="shared" si="157"/>
        <v/>
      </c>
    </row>
    <row r="3368" spans="2:42">
      <c r="B3368" s="834" t="str">
        <f t="shared" si="156"/>
        <v>|||</v>
      </c>
      <c r="H3368" s="835">
        <f t="shared" si="158"/>
        <v>31</v>
      </c>
      <c r="AF3368" s="831" t="s">
        <v>4025</v>
      </c>
      <c r="AG3368" s="831" t="s">
        <v>131</v>
      </c>
      <c r="AH3368" s="831" t="s">
        <v>217</v>
      </c>
      <c r="AI3368" s="831">
        <v>0</v>
      </c>
      <c r="AJ3368" s="835">
        <v>40663</v>
      </c>
      <c r="AK3368" s="831">
        <v>0</v>
      </c>
      <c r="AP3368" s="831" t="str">
        <f t="shared" si="157"/>
        <v/>
      </c>
    </row>
    <row r="3369" spans="2:42">
      <c r="B3369" s="834" t="str">
        <f t="shared" si="156"/>
        <v>|||</v>
      </c>
      <c r="H3369" s="835">
        <f t="shared" si="158"/>
        <v>31</v>
      </c>
      <c r="AF3369" s="831" t="s">
        <v>4026</v>
      </c>
      <c r="AG3369" s="831" t="s">
        <v>131</v>
      </c>
      <c r="AH3369" s="831" t="s">
        <v>223</v>
      </c>
      <c r="AI3369" s="831">
        <v>0</v>
      </c>
      <c r="AJ3369" s="835">
        <v>40663</v>
      </c>
      <c r="AK3369" s="831">
        <v>0</v>
      </c>
      <c r="AP3369" s="831" t="str">
        <f t="shared" si="157"/>
        <v/>
      </c>
    </row>
    <row r="3370" spans="2:42">
      <c r="B3370" s="834" t="str">
        <f t="shared" si="156"/>
        <v>|||</v>
      </c>
      <c r="H3370" s="835">
        <f t="shared" si="158"/>
        <v>31</v>
      </c>
      <c r="AF3370" s="831" t="s">
        <v>4027</v>
      </c>
      <c r="AG3370" s="831" t="s">
        <v>131</v>
      </c>
      <c r="AH3370" s="831" t="s">
        <v>224</v>
      </c>
      <c r="AI3370" s="831">
        <v>0</v>
      </c>
      <c r="AJ3370" s="835">
        <v>40663</v>
      </c>
      <c r="AK3370" s="831">
        <v>0</v>
      </c>
      <c r="AP3370" s="831" t="str">
        <f t="shared" si="157"/>
        <v/>
      </c>
    </row>
    <row r="3371" spans="2:42">
      <c r="B3371" s="834" t="str">
        <f t="shared" si="156"/>
        <v>|||</v>
      </c>
      <c r="H3371" s="835">
        <f t="shared" si="158"/>
        <v>31</v>
      </c>
      <c r="AF3371" s="831" t="s">
        <v>4028</v>
      </c>
      <c r="AG3371" s="831" t="s">
        <v>131</v>
      </c>
      <c r="AH3371" s="831" t="s">
        <v>128</v>
      </c>
      <c r="AI3371" s="831">
        <v>0</v>
      </c>
      <c r="AJ3371" s="835">
        <v>40663</v>
      </c>
      <c r="AK3371" s="831">
        <v>0</v>
      </c>
      <c r="AP3371" s="831" t="str">
        <f t="shared" si="157"/>
        <v/>
      </c>
    </row>
    <row r="3372" spans="2:42">
      <c r="B3372" s="834" t="str">
        <f t="shared" si="156"/>
        <v>|||</v>
      </c>
      <c r="H3372" s="835">
        <f t="shared" si="158"/>
        <v>31</v>
      </c>
      <c r="AF3372" s="831" t="s">
        <v>4029</v>
      </c>
      <c r="AG3372" s="831" t="s">
        <v>131</v>
      </c>
      <c r="AH3372" s="831" t="s">
        <v>3237</v>
      </c>
      <c r="AI3372" s="831">
        <v>0</v>
      </c>
      <c r="AJ3372" s="835">
        <v>40663</v>
      </c>
      <c r="AK3372" s="831">
        <v>0</v>
      </c>
      <c r="AP3372" s="831" t="str">
        <f t="shared" si="157"/>
        <v/>
      </c>
    </row>
    <row r="3373" spans="2:42">
      <c r="B3373" s="834" t="str">
        <f t="shared" si="156"/>
        <v>|||</v>
      </c>
      <c r="H3373" s="835">
        <f t="shared" si="158"/>
        <v>31</v>
      </c>
      <c r="AF3373" s="831" t="s">
        <v>4030</v>
      </c>
      <c r="AG3373" s="831" t="s">
        <v>131</v>
      </c>
      <c r="AH3373" s="831" t="s">
        <v>3239</v>
      </c>
      <c r="AI3373" s="831">
        <v>0</v>
      </c>
      <c r="AJ3373" s="835">
        <v>40663</v>
      </c>
      <c r="AK3373" s="831">
        <v>0</v>
      </c>
      <c r="AP3373" s="831" t="str">
        <f t="shared" si="157"/>
        <v/>
      </c>
    </row>
    <row r="3374" spans="2:42">
      <c r="B3374" s="834" t="str">
        <f t="shared" si="156"/>
        <v>|||</v>
      </c>
      <c r="H3374" s="835">
        <f t="shared" si="158"/>
        <v>31</v>
      </c>
      <c r="AF3374" s="831" t="s">
        <v>4031</v>
      </c>
      <c r="AG3374" s="831" t="s">
        <v>131</v>
      </c>
      <c r="AH3374" s="831" t="s">
        <v>138</v>
      </c>
      <c r="AI3374" s="831">
        <v>0</v>
      </c>
      <c r="AJ3374" s="835">
        <v>40694</v>
      </c>
      <c r="AK3374" s="831">
        <v>34062941</v>
      </c>
      <c r="AP3374" s="831" t="str">
        <f t="shared" si="157"/>
        <v/>
      </c>
    </row>
    <row r="3375" spans="2:42">
      <c r="B3375" s="834" t="str">
        <f t="shared" si="156"/>
        <v>|||</v>
      </c>
      <c r="H3375" s="835">
        <f t="shared" si="158"/>
        <v>31</v>
      </c>
      <c r="AF3375" s="831" t="s">
        <v>4032</v>
      </c>
      <c r="AG3375" s="831" t="s">
        <v>131</v>
      </c>
      <c r="AH3375" s="831" t="s">
        <v>141</v>
      </c>
      <c r="AI3375" s="831">
        <v>0</v>
      </c>
      <c r="AJ3375" s="835">
        <v>40694</v>
      </c>
      <c r="AK3375" s="831">
        <v>1085730</v>
      </c>
      <c r="AP3375" s="831" t="str">
        <f t="shared" si="157"/>
        <v/>
      </c>
    </row>
    <row r="3376" spans="2:42">
      <c r="B3376" s="834" t="str">
        <f t="shared" si="156"/>
        <v>|||</v>
      </c>
      <c r="H3376" s="835">
        <f t="shared" si="158"/>
        <v>31</v>
      </c>
      <c r="AF3376" s="831" t="s">
        <v>4033</v>
      </c>
      <c r="AG3376" s="831" t="s">
        <v>131</v>
      </c>
      <c r="AH3376" s="831" t="s">
        <v>146</v>
      </c>
      <c r="AI3376" s="831">
        <v>0</v>
      </c>
      <c r="AJ3376" s="835">
        <v>40694</v>
      </c>
      <c r="AK3376" s="831">
        <v>-5693550</v>
      </c>
      <c r="AP3376" s="831" t="str">
        <f t="shared" si="157"/>
        <v/>
      </c>
    </row>
    <row r="3377" spans="2:42">
      <c r="B3377" s="834" t="str">
        <f t="shared" si="156"/>
        <v>|||</v>
      </c>
      <c r="H3377" s="835">
        <f t="shared" si="158"/>
        <v>31</v>
      </c>
      <c r="AF3377" s="831" t="s">
        <v>4034</v>
      </c>
      <c r="AG3377" s="831" t="s">
        <v>131</v>
      </c>
      <c r="AH3377" s="831" t="s">
        <v>150</v>
      </c>
      <c r="AI3377" s="831">
        <v>0</v>
      </c>
      <c r="AJ3377" s="835">
        <v>40694</v>
      </c>
      <c r="AK3377" s="831">
        <v>-5412604</v>
      </c>
      <c r="AP3377" s="831" t="str">
        <f t="shared" si="157"/>
        <v/>
      </c>
    </row>
    <row r="3378" spans="2:42">
      <c r="B3378" s="834" t="str">
        <f t="shared" si="156"/>
        <v>|||</v>
      </c>
      <c r="H3378" s="835">
        <f t="shared" si="158"/>
        <v>31</v>
      </c>
      <c r="AF3378" s="831" t="s">
        <v>4035</v>
      </c>
      <c r="AG3378" s="831" t="s">
        <v>131</v>
      </c>
      <c r="AH3378" s="831" t="s">
        <v>77</v>
      </c>
      <c r="AI3378" s="831">
        <v>0</v>
      </c>
      <c r="AJ3378" s="835">
        <v>40694</v>
      </c>
      <c r="AK3378" s="831">
        <v>-910571</v>
      </c>
      <c r="AP3378" s="831" t="str">
        <f t="shared" si="157"/>
        <v/>
      </c>
    </row>
    <row r="3379" spans="2:42">
      <c r="B3379" s="834" t="str">
        <f t="shared" si="156"/>
        <v>|||</v>
      </c>
      <c r="H3379" s="835">
        <f t="shared" si="158"/>
        <v>31</v>
      </c>
      <c r="AF3379" s="831" t="s">
        <v>4036</v>
      </c>
      <c r="AG3379" s="831" t="s">
        <v>131</v>
      </c>
      <c r="AH3379" s="831" t="s">
        <v>167</v>
      </c>
      <c r="AI3379" s="831">
        <v>0</v>
      </c>
      <c r="AJ3379" s="835">
        <v>40694</v>
      </c>
      <c r="AK3379" s="831">
        <v>0</v>
      </c>
      <c r="AP3379" s="831" t="str">
        <f t="shared" si="157"/>
        <v/>
      </c>
    </row>
    <row r="3380" spans="2:42">
      <c r="B3380" s="834" t="str">
        <f t="shared" si="156"/>
        <v>|||</v>
      </c>
      <c r="H3380" s="835">
        <f t="shared" si="158"/>
        <v>31</v>
      </c>
      <c r="AF3380" s="831" t="s">
        <v>4037</v>
      </c>
      <c r="AG3380" s="831" t="s">
        <v>131</v>
      </c>
      <c r="AH3380" s="831" t="s">
        <v>169</v>
      </c>
      <c r="AI3380" s="831">
        <v>0</v>
      </c>
      <c r="AJ3380" s="835">
        <v>40694</v>
      </c>
      <c r="AK3380" s="831">
        <v>-76377</v>
      </c>
      <c r="AP3380" s="831" t="str">
        <f t="shared" si="157"/>
        <v/>
      </c>
    </row>
    <row r="3381" spans="2:42">
      <c r="B3381" s="834" t="str">
        <f t="shared" si="156"/>
        <v>|||</v>
      </c>
      <c r="H3381" s="835">
        <f t="shared" si="158"/>
        <v>31</v>
      </c>
      <c r="AF3381" s="831" t="s">
        <v>4038</v>
      </c>
      <c r="AG3381" s="831" t="s">
        <v>131</v>
      </c>
      <c r="AH3381" s="831" t="s">
        <v>172</v>
      </c>
      <c r="AI3381" s="831">
        <v>0</v>
      </c>
      <c r="AJ3381" s="835">
        <v>40694</v>
      </c>
      <c r="AK3381" s="831">
        <v>107455</v>
      </c>
      <c r="AP3381" s="831" t="str">
        <f t="shared" si="157"/>
        <v/>
      </c>
    </row>
    <row r="3382" spans="2:42">
      <c r="B3382" s="834" t="str">
        <f t="shared" si="156"/>
        <v>|||</v>
      </c>
      <c r="H3382" s="835">
        <f t="shared" si="158"/>
        <v>31</v>
      </c>
      <c r="AF3382" s="831" t="s">
        <v>4039</v>
      </c>
      <c r="AG3382" s="831" t="s">
        <v>131</v>
      </c>
      <c r="AH3382" s="831" t="s">
        <v>175</v>
      </c>
      <c r="AI3382" s="831">
        <v>0</v>
      </c>
      <c r="AJ3382" s="835">
        <v>40694</v>
      </c>
      <c r="AK3382" s="831">
        <v>719208</v>
      </c>
      <c r="AP3382" s="831" t="str">
        <f t="shared" si="157"/>
        <v/>
      </c>
    </row>
    <row r="3383" spans="2:42">
      <c r="B3383" s="834" t="str">
        <f t="shared" si="156"/>
        <v>|||</v>
      </c>
      <c r="H3383" s="835">
        <f t="shared" si="158"/>
        <v>31</v>
      </c>
      <c r="AF3383" s="831" t="s">
        <v>4040</v>
      </c>
      <c r="AG3383" s="831" t="s">
        <v>131</v>
      </c>
      <c r="AH3383" s="831" t="s">
        <v>185</v>
      </c>
      <c r="AI3383" s="831">
        <v>0</v>
      </c>
      <c r="AJ3383" s="835">
        <v>40694</v>
      </c>
      <c r="AK3383" s="831">
        <v>-9639011</v>
      </c>
      <c r="AP3383" s="831" t="str">
        <f t="shared" si="157"/>
        <v/>
      </c>
    </row>
    <row r="3384" spans="2:42">
      <c r="B3384" s="834" t="str">
        <f t="shared" si="156"/>
        <v>|||</v>
      </c>
      <c r="H3384" s="835">
        <f t="shared" si="158"/>
        <v>31</v>
      </c>
      <c r="AF3384" s="831" t="s">
        <v>4041</v>
      </c>
      <c r="AG3384" s="831" t="s">
        <v>131</v>
      </c>
      <c r="AH3384" s="831" t="s">
        <v>188</v>
      </c>
      <c r="AI3384" s="831">
        <v>0</v>
      </c>
      <c r="AJ3384" s="835">
        <v>40694</v>
      </c>
      <c r="AK3384" s="831">
        <v>-5244694</v>
      </c>
      <c r="AP3384" s="831" t="str">
        <f t="shared" si="157"/>
        <v/>
      </c>
    </row>
    <row r="3385" spans="2:42">
      <c r="B3385" s="834" t="str">
        <f t="shared" si="156"/>
        <v>|||</v>
      </c>
      <c r="H3385" s="835">
        <f t="shared" si="158"/>
        <v>31</v>
      </c>
      <c r="AF3385" s="831" t="s">
        <v>4042</v>
      </c>
      <c r="AG3385" s="831" t="s">
        <v>131</v>
      </c>
      <c r="AH3385" s="831" t="s">
        <v>191</v>
      </c>
      <c r="AI3385" s="831">
        <v>0</v>
      </c>
      <c r="AJ3385" s="835">
        <v>40694</v>
      </c>
      <c r="AK3385" s="831">
        <v>-1642009</v>
      </c>
      <c r="AP3385" s="831" t="str">
        <f t="shared" si="157"/>
        <v/>
      </c>
    </row>
    <row r="3386" spans="2:42">
      <c r="B3386" s="834" t="str">
        <f t="shared" si="156"/>
        <v>|||</v>
      </c>
      <c r="H3386" s="835">
        <f t="shared" si="158"/>
        <v>31</v>
      </c>
      <c r="AF3386" s="831" t="s">
        <v>4043</v>
      </c>
      <c r="AG3386" s="831" t="s">
        <v>131</v>
      </c>
      <c r="AH3386" s="831" t="s">
        <v>198</v>
      </c>
      <c r="AI3386" s="831">
        <v>0</v>
      </c>
      <c r="AJ3386" s="835">
        <v>40694</v>
      </c>
      <c r="AK3386" s="831">
        <v>0</v>
      </c>
      <c r="AP3386" s="831" t="str">
        <f t="shared" si="157"/>
        <v/>
      </c>
    </row>
    <row r="3387" spans="2:42">
      <c r="B3387" s="834" t="str">
        <f t="shared" si="156"/>
        <v>|||</v>
      </c>
      <c r="H3387" s="835">
        <f t="shared" si="158"/>
        <v>31</v>
      </c>
      <c r="AF3387" s="831" t="s">
        <v>4044</v>
      </c>
      <c r="AG3387" s="831" t="s">
        <v>131</v>
      </c>
      <c r="AH3387" s="831" t="s">
        <v>200</v>
      </c>
      <c r="AI3387" s="831">
        <v>0</v>
      </c>
      <c r="AJ3387" s="835">
        <v>40694</v>
      </c>
      <c r="AK3387" s="831">
        <v>0</v>
      </c>
      <c r="AP3387" s="831" t="str">
        <f t="shared" si="157"/>
        <v/>
      </c>
    </row>
    <row r="3388" spans="2:42">
      <c r="B3388" s="834" t="str">
        <f t="shared" si="156"/>
        <v>|||</v>
      </c>
      <c r="H3388" s="835">
        <f t="shared" si="158"/>
        <v>31</v>
      </c>
      <c r="AF3388" s="831" t="s">
        <v>4045</v>
      </c>
      <c r="AG3388" s="831" t="s">
        <v>131</v>
      </c>
      <c r="AH3388" s="831" t="s">
        <v>205</v>
      </c>
      <c r="AI3388" s="831">
        <v>0</v>
      </c>
      <c r="AJ3388" s="835">
        <v>40694</v>
      </c>
      <c r="AK3388" s="831">
        <v>0</v>
      </c>
      <c r="AP3388" s="831" t="str">
        <f t="shared" si="157"/>
        <v/>
      </c>
    </row>
    <row r="3389" spans="2:42">
      <c r="B3389" s="834" t="str">
        <f t="shared" si="156"/>
        <v>|||</v>
      </c>
      <c r="H3389" s="835">
        <f t="shared" si="158"/>
        <v>31</v>
      </c>
      <c r="AF3389" s="831" t="s">
        <v>4046</v>
      </c>
      <c r="AG3389" s="831" t="s">
        <v>131</v>
      </c>
      <c r="AH3389" s="831" t="s">
        <v>122</v>
      </c>
      <c r="AI3389" s="831">
        <v>0</v>
      </c>
      <c r="AJ3389" s="835">
        <v>40694</v>
      </c>
      <c r="AK3389" s="831">
        <v>0</v>
      </c>
      <c r="AP3389" s="831" t="str">
        <f t="shared" si="157"/>
        <v/>
      </c>
    </row>
    <row r="3390" spans="2:42">
      <c r="B3390" s="834" t="str">
        <f t="shared" si="156"/>
        <v>|||</v>
      </c>
      <c r="H3390" s="835">
        <f t="shared" si="158"/>
        <v>31</v>
      </c>
      <c r="AF3390" s="831" t="s">
        <v>4047</v>
      </c>
      <c r="AG3390" s="831" t="s">
        <v>131</v>
      </c>
      <c r="AH3390" s="831" t="s">
        <v>213</v>
      </c>
      <c r="AI3390" s="831">
        <v>0</v>
      </c>
      <c r="AJ3390" s="835">
        <v>40694</v>
      </c>
      <c r="AK3390" s="831">
        <v>0</v>
      </c>
      <c r="AP3390" s="831" t="str">
        <f t="shared" si="157"/>
        <v/>
      </c>
    </row>
    <row r="3391" spans="2:42">
      <c r="B3391" s="834" t="str">
        <f t="shared" si="156"/>
        <v>|||</v>
      </c>
      <c r="H3391" s="835">
        <f t="shared" si="158"/>
        <v>31</v>
      </c>
      <c r="AF3391" s="831" t="s">
        <v>4048</v>
      </c>
      <c r="AG3391" s="831" t="s">
        <v>131</v>
      </c>
      <c r="AH3391" s="831" t="s">
        <v>215</v>
      </c>
      <c r="AI3391" s="831">
        <v>0</v>
      </c>
      <c r="AJ3391" s="835">
        <v>40694</v>
      </c>
      <c r="AK3391" s="831">
        <v>0</v>
      </c>
      <c r="AP3391" s="831" t="str">
        <f t="shared" si="157"/>
        <v/>
      </c>
    </row>
    <row r="3392" spans="2:42">
      <c r="B3392" s="834" t="str">
        <f t="shared" si="156"/>
        <v>|||</v>
      </c>
      <c r="H3392" s="835">
        <f t="shared" si="158"/>
        <v>31</v>
      </c>
      <c r="AF3392" s="831" t="s">
        <v>4049</v>
      </c>
      <c r="AG3392" s="831" t="s">
        <v>131</v>
      </c>
      <c r="AH3392" s="831" t="s">
        <v>217</v>
      </c>
      <c r="AI3392" s="831">
        <v>0</v>
      </c>
      <c r="AJ3392" s="835">
        <v>40694</v>
      </c>
      <c r="AK3392" s="831">
        <v>0</v>
      </c>
      <c r="AP3392" s="831" t="str">
        <f t="shared" si="157"/>
        <v/>
      </c>
    </row>
    <row r="3393" spans="2:42">
      <c r="B3393" s="834" t="str">
        <f t="shared" si="156"/>
        <v>|||</v>
      </c>
      <c r="H3393" s="835">
        <f t="shared" si="158"/>
        <v>31</v>
      </c>
      <c r="AF3393" s="831" t="s">
        <v>4050</v>
      </c>
      <c r="AG3393" s="831" t="s">
        <v>131</v>
      </c>
      <c r="AH3393" s="831" t="s">
        <v>223</v>
      </c>
      <c r="AI3393" s="831">
        <v>0</v>
      </c>
      <c r="AJ3393" s="835">
        <v>40694</v>
      </c>
      <c r="AK3393" s="831">
        <v>0</v>
      </c>
      <c r="AP3393" s="831" t="str">
        <f t="shared" si="157"/>
        <v/>
      </c>
    </row>
    <row r="3394" spans="2:42">
      <c r="B3394" s="834" t="str">
        <f t="shared" si="156"/>
        <v>|||</v>
      </c>
      <c r="H3394" s="835">
        <f t="shared" si="158"/>
        <v>31</v>
      </c>
      <c r="AF3394" s="831" t="s">
        <v>4051</v>
      </c>
      <c r="AG3394" s="831" t="s">
        <v>131</v>
      </c>
      <c r="AH3394" s="831" t="s">
        <v>224</v>
      </c>
      <c r="AI3394" s="831">
        <v>0</v>
      </c>
      <c r="AJ3394" s="835">
        <v>40694</v>
      </c>
      <c r="AK3394" s="831">
        <v>0</v>
      </c>
      <c r="AP3394" s="831" t="str">
        <f t="shared" si="157"/>
        <v/>
      </c>
    </row>
    <row r="3395" spans="2:42">
      <c r="B3395" s="834" t="str">
        <f t="shared" ref="B3395:B3458" si="159">C3395&amp;"|"&amp;D3395&amp;"|"&amp;E3395&amp;"|"&amp;F3395</f>
        <v>|||</v>
      </c>
      <c r="H3395" s="835">
        <f t="shared" si="158"/>
        <v>31</v>
      </c>
      <c r="AF3395" s="831" t="s">
        <v>4052</v>
      </c>
      <c r="AG3395" s="831" t="s">
        <v>131</v>
      </c>
      <c r="AH3395" s="831" t="s">
        <v>128</v>
      </c>
      <c r="AI3395" s="831">
        <v>0</v>
      </c>
      <c r="AJ3395" s="835">
        <v>40694</v>
      </c>
      <c r="AK3395" s="831">
        <v>0</v>
      </c>
      <c r="AP3395" s="831" t="str">
        <f t="shared" ref="AP3395:AP3458" si="160">IF(AX3395&lt;&gt;"",IF(OR(AX3395=3,AX3395=4),"Equity","Debt"),"")</f>
        <v/>
      </c>
    </row>
    <row r="3396" spans="2:42">
      <c r="B3396" s="834" t="str">
        <f t="shared" si="159"/>
        <v>|||</v>
      </c>
      <c r="H3396" s="835">
        <f t="shared" ref="H3396:H3459" si="161">EOMONTH(L3396,0)</f>
        <v>31</v>
      </c>
      <c r="AF3396" s="831" t="s">
        <v>4053</v>
      </c>
      <c r="AG3396" s="831" t="s">
        <v>131</v>
      </c>
      <c r="AH3396" s="831" t="s">
        <v>3237</v>
      </c>
      <c r="AI3396" s="831">
        <v>0</v>
      </c>
      <c r="AJ3396" s="835">
        <v>40694</v>
      </c>
      <c r="AK3396" s="831">
        <v>0</v>
      </c>
      <c r="AP3396" s="831" t="str">
        <f t="shared" si="160"/>
        <v/>
      </c>
    </row>
    <row r="3397" spans="2:42">
      <c r="B3397" s="834" t="str">
        <f t="shared" si="159"/>
        <v>|||</v>
      </c>
      <c r="H3397" s="835">
        <f t="shared" si="161"/>
        <v>31</v>
      </c>
      <c r="AF3397" s="831" t="s">
        <v>4054</v>
      </c>
      <c r="AG3397" s="831" t="s">
        <v>131</v>
      </c>
      <c r="AH3397" s="831" t="s">
        <v>3239</v>
      </c>
      <c r="AI3397" s="831">
        <v>0</v>
      </c>
      <c r="AJ3397" s="835">
        <v>40694</v>
      </c>
      <c r="AK3397" s="831">
        <v>0</v>
      </c>
      <c r="AP3397" s="831" t="str">
        <f t="shared" si="160"/>
        <v/>
      </c>
    </row>
    <row r="3398" spans="2:42">
      <c r="B3398" s="834" t="str">
        <f t="shared" si="159"/>
        <v>|||</v>
      </c>
      <c r="H3398" s="835">
        <f t="shared" si="161"/>
        <v>31</v>
      </c>
      <c r="AF3398" s="831" t="s">
        <v>4055</v>
      </c>
      <c r="AG3398" s="831" t="s">
        <v>131</v>
      </c>
      <c r="AH3398" s="831" t="s">
        <v>138</v>
      </c>
      <c r="AI3398" s="831">
        <v>0</v>
      </c>
      <c r="AJ3398" s="835">
        <v>40724</v>
      </c>
      <c r="AK3398" s="831">
        <v>41053640</v>
      </c>
      <c r="AP3398" s="831" t="str">
        <f t="shared" si="160"/>
        <v/>
      </c>
    </row>
    <row r="3399" spans="2:42">
      <c r="B3399" s="834" t="str">
        <f t="shared" si="159"/>
        <v>|||</v>
      </c>
      <c r="H3399" s="835">
        <f t="shared" si="161"/>
        <v>31</v>
      </c>
      <c r="AF3399" s="831" t="s">
        <v>4056</v>
      </c>
      <c r="AG3399" s="831" t="s">
        <v>131</v>
      </c>
      <c r="AH3399" s="831" t="s">
        <v>141</v>
      </c>
      <c r="AI3399" s="831">
        <v>0</v>
      </c>
      <c r="AJ3399" s="835">
        <v>40724</v>
      </c>
      <c r="AK3399" s="831">
        <v>1250221</v>
      </c>
      <c r="AP3399" s="831" t="str">
        <f t="shared" si="160"/>
        <v/>
      </c>
    </row>
    <row r="3400" spans="2:42">
      <c r="B3400" s="834" t="str">
        <f t="shared" si="159"/>
        <v>|||</v>
      </c>
      <c r="H3400" s="835">
        <f t="shared" si="161"/>
        <v>31</v>
      </c>
      <c r="AF3400" s="831" t="s">
        <v>4057</v>
      </c>
      <c r="AG3400" s="831" t="s">
        <v>131</v>
      </c>
      <c r="AH3400" s="831" t="s">
        <v>146</v>
      </c>
      <c r="AI3400" s="831">
        <v>0</v>
      </c>
      <c r="AJ3400" s="835">
        <v>40724</v>
      </c>
      <c r="AK3400" s="831">
        <v>-6766607</v>
      </c>
      <c r="AP3400" s="831" t="str">
        <f t="shared" si="160"/>
        <v/>
      </c>
    </row>
    <row r="3401" spans="2:42">
      <c r="B3401" s="834" t="str">
        <f t="shared" si="159"/>
        <v>|||</v>
      </c>
      <c r="H3401" s="835">
        <f t="shared" si="161"/>
        <v>31</v>
      </c>
      <c r="AF3401" s="831" t="s">
        <v>4058</v>
      </c>
      <c r="AG3401" s="831" t="s">
        <v>131</v>
      </c>
      <c r="AH3401" s="831" t="s">
        <v>150</v>
      </c>
      <c r="AI3401" s="831">
        <v>0</v>
      </c>
      <c r="AJ3401" s="835">
        <v>40724</v>
      </c>
      <c r="AK3401" s="831">
        <v>-6447761</v>
      </c>
      <c r="AP3401" s="831" t="str">
        <f t="shared" si="160"/>
        <v/>
      </c>
    </row>
    <row r="3402" spans="2:42">
      <c r="B3402" s="834" t="str">
        <f t="shared" si="159"/>
        <v>|||</v>
      </c>
      <c r="H3402" s="835">
        <f t="shared" si="161"/>
        <v>31</v>
      </c>
      <c r="AF3402" s="831" t="s">
        <v>4059</v>
      </c>
      <c r="AG3402" s="831" t="s">
        <v>131</v>
      </c>
      <c r="AH3402" s="831" t="s">
        <v>77</v>
      </c>
      <c r="AI3402" s="831">
        <v>0</v>
      </c>
      <c r="AJ3402" s="835">
        <v>40724</v>
      </c>
      <c r="AK3402" s="831">
        <v>-1100974</v>
      </c>
      <c r="AP3402" s="831" t="str">
        <f t="shared" si="160"/>
        <v/>
      </c>
    </row>
    <row r="3403" spans="2:42">
      <c r="B3403" s="834" t="str">
        <f t="shared" si="159"/>
        <v>|||</v>
      </c>
      <c r="H3403" s="835">
        <f t="shared" si="161"/>
        <v>31</v>
      </c>
      <c r="AF3403" s="831" t="s">
        <v>4060</v>
      </c>
      <c r="AG3403" s="831" t="s">
        <v>131</v>
      </c>
      <c r="AH3403" s="831" t="s">
        <v>167</v>
      </c>
      <c r="AI3403" s="831">
        <v>0</v>
      </c>
      <c r="AJ3403" s="835">
        <v>40724</v>
      </c>
      <c r="AK3403" s="831">
        <v>0</v>
      </c>
      <c r="AP3403" s="831" t="str">
        <f t="shared" si="160"/>
        <v/>
      </c>
    </row>
    <row r="3404" spans="2:42">
      <c r="B3404" s="834" t="str">
        <f t="shared" si="159"/>
        <v>|||</v>
      </c>
      <c r="H3404" s="835">
        <f t="shared" si="161"/>
        <v>31</v>
      </c>
      <c r="AF3404" s="831" t="s">
        <v>4061</v>
      </c>
      <c r="AG3404" s="831" t="s">
        <v>131</v>
      </c>
      <c r="AH3404" s="831" t="s">
        <v>169</v>
      </c>
      <c r="AI3404" s="831">
        <v>0</v>
      </c>
      <c r="AJ3404" s="835">
        <v>40724</v>
      </c>
      <c r="AK3404" s="831">
        <v>-103913</v>
      </c>
      <c r="AP3404" s="831" t="str">
        <f t="shared" si="160"/>
        <v/>
      </c>
    </row>
    <row r="3405" spans="2:42">
      <c r="B3405" s="834" t="str">
        <f t="shared" si="159"/>
        <v>|||</v>
      </c>
      <c r="H3405" s="835">
        <f t="shared" si="161"/>
        <v>31</v>
      </c>
      <c r="AF3405" s="831" t="s">
        <v>4062</v>
      </c>
      <c r="AG3405" s="831" t="s">
        <v>131</v>
      </c>
      <c r="AH3405" s="831" t="s">
        <v>172</v>
      </c>
      <c r="AI3405" s="831">
        <v>0</v>
      </c>
      <c r="AJ3405" s="835">
        <v>40724</v>
      </c>
      <c r="AK3405" s="831">
        <v>132904</v>
      </c>
      <c r="AP3405" s="831" t="str">
        <f t="shared" si="160"/>
        <v/>
      </c>
    </row>
    <row r="3406" spans="2:42">
      <c r="B3406" s="834" t="str">
        <f t="shared" si="159"/>
        <v>|||</v>
      </c>
      <c r="H3406" s="835">
        <f t="shared" si="161"/>
        <v>31</v>
      </c>
      <c r="AF3406" s="831" t="s">
        <v>4063</v>
      </c>
      <c r="AG3406" s="831" t="s">
        <v>131</v>
      </c>
      <c r="AH3406" s="831" t="s">
        <v>175</v>
      </c>
      <c r="AI3406" s="831">
        <v>0</v>
      </c>
      <c r="AJ3406" s="835">
        <v>40724</v>
      </c>
      <c r="AK3406" s="831">
        <v>784634</v>
      </c>
      <c r="AP3406" s="831" t="str">
        <f t="shared" si="160"/>
        <v/>
      </c>
    </row>
    <row r="3407" spans="2:42">
      <c r="B3407" s="834" t="str">
        <f t="shared" si="159"/>
        <v>|||</v>
      </c>
      <c r="H3407" s="835">
        <f t="shared" si="161"/>
        <v>31</v>
      </c>
      <c r="AF3407" s="831" t="s">
        <v>4064</v>
      </c>
      <c r="AG3407" s="831" t="s">
        <v>131</v>
      </c>
      <c r="AH3407" s="831" t="s">
        <v>185</v>
      </c>
      <c r="AI3407" s="831">
        <v>0</v>
      </c>
      <c r="AJ3407" s="835">
        <v>40724</v>
      </c>
      <c r="AK3407" s="831">
        <v>-11943102</v>
      </c>
      <c r="AP3407" s="831" t="str">
        <f t="shared" si="160"/>
        <v/>
      </c>
    </row>
    <row r="3408" spans="2:42">
      <c r="B3408" s="834" t="str">
        <f t="shared" si="159"/>
        <v>|||</v>
      </c>
      <c r="H3408" s="835">
        <f t="shared" si="161"/>
        <v>31</v>
      </c>
      <c r="AF3408" s="831" t="s">
        <v>4065</v>
      </c>
      <c r="AG3408" s="831" t="s">
        <v>131</v>
      </c>
      <c r="AH3408" s="831" t="s">
        <v>188</v>
      </c>
      <c r="AI3408" s="831">
        <v>0</v>
      </c>
      <c r="AJ3408" s="835">
        <v>40724</v>
      </c>
      <c r="AK3408" s="831">
        <v>-6460995</v>
      </c>
      <c r="AP3408" s="831" t="str">
        <f t="shared" si="160"/>
        <v/>
      </c>
    </row>
    <row r="3409" spans="2:42">
      <c r="B3409" s="834" t="str">
        <f t="shared" si="159"/>
        <v>|||</v>
      </c>
      <c r="H3409" s="835">
        <f t="shared" si="161"/>
        <v>31</v>
      </c>
      <c r="AF3409" s="831" t="s">
        <v>4066</v>
      </c>
      <c r="AG3409" s="831" t="s">
        <v>131</v>
      </c>
      <c r="AH3409" s="831" t="s">
        <v>191</v>
      </c>
      <c r="AI3409" s="831">
        <v>0</v>
      </c>
      <c r="AJ3409" s="835">
        <v>40724</v>
      </c>
      <c r="AK3409" s="831">
        <v>-1974926</v>
      </c>
      <c r="AP3409" s="831" t="str">
        <f t="shared" si="160"/>
        <v/>
      </c>
    </row>
    <row r="3410" spans="2:42">
      <c r="B3410" s="834" t="str">
        <f t="shared" si="159"/>
        <v>|||</v>
      </c>
      <c r="H3410" s="835">
        <f t="shared" si="161"/>
        <v>31</v>
      </c>
      <c r="AF3410" s="831" t="s">
        <v>4067</v>
      </c>
      <c r="AG3410" s="831" t="s">
        <v>131</v>
      </c>
      <c r="AH3410" s="831" t="s">
        <v>198</v>
      </c>
      <c r="AI3410" s="831">
        <v>0</v>
      </c>
      <c r="AJ3410" s="835">
        <v>40724</v>
      </c>
      <c r="AK3410" s="831">
        <v>0</v>
      </c>
      <c r="AP3410" s="831" t="str">
        <f t="shared" si="160"/>
        <v/>
      </c>
    </row>
    <row r="3411" spans="2:42">
      <c r="B3411" s="834" t="str">
        <f t="shared" si="159"/>
        <v>|||</v>
      </c>
      <c r="H3411" s="835">
        <f t="shared" si="161"/>
        <v>31</v>
      </c>
      <c r="AF3411" s="831" t="s">
        <v>4068</v>
      </c>
      <c r="AG3411" s="831" t="s">
        <v>131</v>
      </c>
      <c r="AH3411" s="831" t="s">
        <v>200</v>
      </c>
      <c r="AI3411" s="831">
        <v>0</v>
      </c>
      <c r="AJ3411" s="835">
        <v>40724</v>
      </c>
      <c r="AK3411" s="831">
        <v>0</v>
      </c>
      <c r="AP3411" s="831" t="str">
        <f t="shared" si="160"/>
        <v/>
      </c>
    </row>
    <row r="3412" spans="2:42">
      <c r="B3412" s="834" t="str">
        <f t="shared" si="159"/>
        <v>|||</v>
      </c>
      <c r="H3412" s="835">
        <f t="shared" si="161"/>
        <v>31</v>
      </c>
      <c r="AF3412" s="831" t="s">
        <v>4069</v>
      </c>
      <c r="AG3412" s="831" t="s">
        <v>131</v>
      </c>
      <c r="AH3412" s="831" t="s">
        <v>205</v>
      </c>
      <c r="AI3412" s="831">
        <v>0</v>
      </c>
      <c r="AJ3412" s="835">
        <v>40724</v>
      </c>
      <c r="AK3412" s="831">
        <v>0</v>
      </c>
      <c r="AP3412" s="831" t="str">
        <f t="shared" si="160"/>
        <v/>
      </c>
    </row>
    <row r="3413" spans="2:42">
      <c r="B3413" s="834" t="str">
        <f t="shared" si="159"/>
        <v>|||</v>
      </c>
      <c r="H3413" s="835">
        <f t="shared" si="161"/>
        <v>31</v>
      </c>
      <c r="AF3413" s="831" t="s">
        <v>4070</v>
      </c>
      <c r="AG3413" s="831" t="s">
        <v>131</v>
      </c>
      <c r="AH3413" s="831" t="s">
        <v>122</v>
      </c>
      <c r="AI3413" s="831">
        <v>0</v>
      </c>
      <c r="AJ3413" s="835">
        <v>40724</v>
      </c>
      <c r="AK3413" s="831">
        <v>0</v>
      </c>
      <c r="AP3413" s="831" t="str">
        <f t="shared" si="160"/>
        <v/>
      </c>
    </row>
    <row r="3414" spans="2:42">
      <c r="B3414" s="834" t="str">
        <f t="shared" si="159"/>
        <v>|||</v>
      </c>
      <c r="H3414" s="835">
        <f t="shared" si="161"/>
        <v>31</v>
      </c>
      <c r="AF3414" s="831" t="s">
        <v>4071</v>
      </c>
      <c r="AG3414" s="831" t="s">
        <v>131</v>
      </c>
      <c r="AH3414" s="831" t="s">
        <v>213</v>
      </c>
      <c r="AI3414" s="831">
        <v>0</v>
      </c>
      <c r="AJ3414" s="835">
        <v>40724</v>
      </c>
      <c r="AK3414" s="831">
        <v>0</v>
      </c>
      <c r="AP3414" s="831" t="str">
        <f t="shared" si="160"/>
        <v/>
      </c>
    </row>
    <row r="3415" spans="2:42">
      <c r="B3415" s="834" t="str">
        <f t="shared" si="159"/>
        <v>|||</v>
      </c>
      <c r="H3415" s="835">
        <f t="shared" si="161"/>
        <v>31</v>
      </c>
      <c r="AF3415" s="831" t="s">
        <v>4072</v>
      </c>
      <c r="AG3415" s="831" t="s">
        <v>131</v>
      </c>
      <c r="AH3415" s="831" t="s">
        <v>215</v>
      </c>
      <c r="AI3415" s="831">
        <v>0</v>
      </c>
      <c r="AJ3415" s="835">
        <v>40724</v>
      </c>
      <c r="AK3415" s="831">
        <v>0</v>
      </c>
      <c r="AP3415" s="831" t="str">
        <f t="shared" si="160"/>
        <v/>
      </c>
    </row>
    <row r="3416" spans="2:42">
      <c r="B3416" s="834" t="str">
        <f t="shared" si="159"/>
        <v>|||</v>
      </c>
      <c r="H3416" s="835">
        <f t="shared" si="161"/>
        <v>31</v>
      </c>
      <c r="AF3416" s="831" t="s">
        <v>4073</v>
      </c>
      <c r="AG3416" s="831" t="s">
        <v>131</v>
      </c>
      <c r="AH3416" s="831" t="s">
        <v>217</v>
      </c>
      <c r="AI3416" s="831">
        <v>0</v>
      </c>
      <c r="AJ3416" s="835">
        <v>40724</v>
      </c>
      <c r="AK3416" s="831">
        <v>0</v>
      </c>
      <c r="AP3416" s="831" t="str">
        <f t="shared" si="160"/>
        <v/>
      </c>
    </row>
    <row r="3417" spans="2:42">
      <c r="B3417" s="834" t="str">
        <f t="shared" si="159"/>
        <v>|||</v>
      </c>
      <c r="H3417" s="835">
        <f t="shared" si="161"/>
        <v>31</v>
      </c>
      <c r="AF3417" s="831" t="s">
        <v>4074</v>
      </c>
      <c r="AG3417" s="831" t="s">
        <v>131</v>
      </c>
      <c r="AH3417" s="831" t="s">
        <v>223</v>
      </c>
      <c r="AI3417" s="831">
        <v>0</v>
      </c>
      <c r="AJ3417" s="835">
        <v>40724</v>
      </c>
      <c r="AK3417" s="831">
        <v>0</v>
      </c>
      <c r="AP3417" s="831" t="str">
        <f t="shared" si="160"/>
        <v/>
      </c>
    </row>
    <row r="3418" spans="2:42">
      <c r="B3418" s="834" t="str">
        <f t="shared" si="159"/>
        <v>|||</v>
      </c>
      <c r="H3418" s="835">
        <f t="shared" si="161"/>
        <v>31</v>
      </c>
      <c r="AF3418" s="831" t="s">
        <v>4075</v>
      </c>
      <c r="AG3418" s="831" t="s">
        <v>131</v>
      </c>
      <c r="AH3418" s="831" t="s">
        <v>224</v>
      </c>
      <c r="AI3418" s="831">
        <v>0</v>
      </c>
      <c r="AJ3418" s="835">
        <v>40724</v>
      </c>
      <c r="AK3418" s="831">
        <v>0</v>
      </c>
      <c r="AP3418" s="831" t="str">
        <f t="shared" si="160"/>
        <v/>
      </c>
    </row>
    <row r="3419" spans="2:42">
      <c r="B3419" s="834" t="str">
        <f t="shared" si="159"/>
        <v>|||</v>
      </c>
      <c r="H3419" s="835">
        <f t="shared" si="161"/>
        <v>31</v>
      </c>
      <c r="AF3419" s="831" t="s">
        <v>4076</v>
      </c>
      <c r="AG3419" s="831" t="s">
        <v>131</v>
      </c>
      <c r="AH3419" s="831" t="s">
        <v>128</v>
      </c>
      <c r="AI3419" s="831">
        <v>0</v>
      </c>
      <c r="AJ3419" s="835">
        <v>40724</v>
      </c>
      <c r="AK3419" s="831">
        <v>0</v>
      </c>
      <c r="AP3419" s="831" t="str">
        <f t="shared" si="160"/>
        <v/>
      </c>
    </row>
    <row r="3420" spans="2:42">
      <c r="B3420" s="834" t="str">
        <f t="shared" si="159"/>
        <v>|||</v>
      </c>
      <c r="H3420" s="835">
        <f t="shared" si="161"/>
        <v>31</v>
      </c>
      <c r="AF3420" s="831" t="s">
        <v>4077</v>
      </c>
      <c r="AG3420" s="831" t="s">
        <v>131</v>
      </c>
      <c r="AH3420" s="831" t="s">
        <v>3237</v>
      </c>
      <c r="AI3420" s="831">
        <v>0</v>
      </c>
      <c r="AJ3420" s="835">
        <v>40724</v>
      </c>
      <c r="AK3420" s="831">
        <v>0</v>
      </c>
      <c r="AP3420" s="831" t="str">
        <f t="shared" si="160"/>
        <v/>
      </c>
    </row>
    <row r="3421" spans="2:42">
      <c r="B3421" s="834" t="str">
        <f t="shared" si="159"/>
        <v>|||</v>
      </c>
      <c r="H3421" s="835">
        <f t="shared" si="161"/>
        <v>31</v>
      </c>
      <c r="AF3421" s="831" t="s">
        <v>4078</v>
      </c>
      <c r="AG3421" s="831" t="s">
        <v>131</v>
      </c>
      <c r="AH3421" s="831" t="s">
        <v>3239</v>
      </c>
      <c r="AI3421" s="831">
        <v>0</v>
      </c>
      <c r="AJ3421" s="835">
        <v>40724</v>
      </c>
      <c r="AK3421" s="831">
        <v>0</v>
      </c>
      <c r="AP3421" s="831" t="str">
        <f t="shared" si="160"/>
        <v/>
      </c>
    </row>
    <row r="3422" spans="2:42">
      <c r="B3422" s="834" t="str">
        <f t="shared" si="159"/>
        <v>|||</v>
      </c>
      <c r="H3422" s="835">
        <f t="shared" si="161"/>
        <v>31</v>
      </c>
      <c r="AF3422" s="831" t="s">
        <v>4079</v>
      </c>
      <c r="AG3422" s="831" t="s">
        <v>131</v>
      </c>
      <c r="AH3422" s="831" t="s">
        <v>138</v>
      </c>
      <c r="AI3422" s="831">
        <v>0</v>
      </c>
      <c r="AJ3422" s="835">
        <v>40755</v>
      </c>
      <c r="AK3422" s="831">
        <v>47874251</v>
      </c>
      <c r="AP3422" s="831" t="str">
        <f t="shared" si="160"/>
        <v/>
      </c>
    </row>
    <row r="3423" spans="2:42">
      <c r="B3423" s="834" t="str">
        <f t="shared" si="159"/>
        <v>|||</v>
      </c>
      <c r="H3423" s="835">
        <f t="shared" si="161"/>
        <v>31</v>
      </c>
      <c r="AF3423" s="831" t="s">
        <v>4080</v>
      </c>
      <c r="AG3423" s="831" t="s">
        <v>131</v>
      </c>
      <c r="AH3423" s="831" t="s">
        <v>141</v>
      </c>
      <c r="AI3423" s="831">
        <v>0</v>
      </c>
      <c r="AJ3423" s="835">
        <v>40755</v>
      </c>
      <c r="AK3423" s="831">
        <v>1766730</v>
      </c>
      <c r="AP3423" s="831" t="str">
        <f t="shared" si="160"/>
        <v/>
      </c>
    </row>
    <row r="3424" spans="2:42">
      <c r="B3424" s="834" t="str">
        <f t="shared" si="159"/>
        <v>|||</v>
      </c>
      <c r="H3424" s="835">
        <f t="shared" si="161"/>
        <v>31</v>
      </c>
      <c r="AF3424" s="831" t="s">
        <v>4081</v>
      </c>
      <c r="AG3424" s="831" t="s">
        <v>131</v>
      </c>
      <c r="AH3424" s="831" t="s">
        <v>146</v>
      </c>
      <c r="AI3424" s="831">
        <v>0</v>
      </c>
      <c r="AJ3424" s="835">
        <v>40755</v>
      </c>
      <c r="AK3424" s="831">
        <v>-7790516</v>
      </c>
      <c r="AP3424" s="831" t="str">
        <f t="shared" si="160"/>
        <v/>
      </c>
    </row>
    <row r="3425" spans="2:42">
      <c r="B3425" s="834" t="str">
        <f t="shared" si="159"/>
        <v>|||</v>
      </c>
      <c r="H3425" s="835">
        <f t="shared" si="161"/>
        <v>31</v>
      </c>
      <c r="AF3425" s="831" t="s">
        <v>4082</v>
      </c>
      <c r="AG3425" s="831" t="s">
        <v>131</v>
      </c>
      <c r="AH3425" s="831" t="s">
        <v>150</v>
      </c>
      <c r="AI3425" s="831">
        <v>0</v>
      </c>
      <c r="AJ3425" s="835">
        <v>40755</v>
      </c>
      <c r="AK3425" s="831">
        <v>-7488832</v>
      </c>
      <c r="AP3425" s="831" t="str">
        <f t="shared" si="160"/>
        <v/>
      </c>
    </row>
    <row r="3426" spans="2:42">
      <c r="B3426" s="834" t="str">
        <f t="shared" si="159"/>
        <v>|||</v>
      </c>
      <c r="H3426" s="835">
        <f t="shared" si="161"/>
        <v>31</v>
      </c>
      <c r="AF3426" s="831" t="s">
        <v>4083</v>
      </c>
      <c r="AG3426" s="831" t="s">
        <v>131</v>
      </c>
      <c r="AH3426" s="831" t="s">
        <v>77</v>
      </c>
      <c r="AI3426" s="831">
        <v>0</v>
      </c>
      <c r="AJ3426" s="835">
        <v>40755</v>
      </c>
      <c r="AK3426" s="831">
        <v>-1227388</v>
      </c>
      <c r="AP3426" s="831" t="str">
        <f t="shared" si="160"/>
        <v/>
      </c>
    </row>
    <row r="3427" spans="2:42">
      <c r="B3427" s="834" t="str">
        <f t="shared" si="159"/>
        <v>|||</v>
      </c>
      <c r="H3427" s="835">
        <f t="shared" si="161"/>
        <v>31</v>
      </c>
      <c r="AF3427" s="831" t="s">
        <v>4084</v>
      </c>
      <c r="AG3427" s="831" t="s">
        <v>131</v>
      </c>
      <c r="AH3427" s="831" t="s">
        <v>167</v>
      </c>
      <c r="AI3427" s="831">
        <v>0</v>
      </c>
      <c r="AJ3427" s="835">
        <v>40755</v>
      </c>
      <c r="AK3427" s="831">
        <v>0</v>
      </c>
      <c r="AP3427" s="831" t="str">
        <f t="shared" si="160"/>
        <v/>
      </c>
    </row>
    <row r="3428" spans="2:42">
      <c r="B3428" s="834" t="str">
        <f t="shared" si="159"/>
        <v>|||</v>
      </c>
      <c r="H3428" s="835">
        <f t="shared" si="161"/>
        <v>31</v>
      </c>
      <c r="AF3428" s="831" t="s">
        <v>4085</v>
      </c>
      <c r="AG3428" s="831" t="s">
        <v>131</v>
      </c>
      <c r="AH3428" s="831" t="s">
        <v>169</v>
      </c>
      <c r="AI3428" s="831">
        <v>0</v>
      </c>
      <c r="AJ3428" s="835">
        <v>40755</v>
      </c>
      <c r="AK3428" s="831">
        <v>-125389</v>
      </c>
      <c r="AP3428" s="831" t="str">
        <f t="shared" si="160"/>
        <v/>
      </c>
    </row>
    <row r="3429" spans="2:42">
      <c r="B3429" s="834" t="str">
        <f t="shared" si="159"/>
        <v>|||</v>
      </c>
      <c r="H3429" s="835">
        <f t="shared" si="161"/>
        <v>31</v>
      </c>
      <c r="AF3429" s="831" t="s">
        <v>4086</v>
      </c>
      <c r="AG3429" s="831" t="s">
        <v>131</v>
      </c>
      <c r="AH3429" s="831" t="s">
        <v>172</v>
      </c>
      <c r="AI3429" s="831">
        <v>0</v>
      </c>
      <c r="AJ3429" s="835">
        <v>40755</v>
      </c>
      <c r="AK3429" s="831">
        <v>135758</v>
      </c>
      <c r="AP3429" s="831" t="str">
        <f t="shared" si="160"/>
        <v/>
      </c>
    </row>
    <row r="3430" spans="2:42">
      <c r="B3430" s="834" t="str">
        <f t="shared" si="159"/>
        <v>|||</v>
      </c>
      <c r="H3430" s="835">
        <f t="shared" si="161"/>
        <v>31</v>
      </c>
      <c r="AF3430" s="831" t="s">
        <v>4087</v>
      </c>
      <c r="AG3430" s="831" t="s">
        <v>131</v>
      </c>
      <c r="AH3430" s="831" t="s">
        <v>175</v>
      </c>
      <c r="AI3430" s="831">
        <v>0</v>
      </c>
      <c r="AJ3430" s="835">
        <v>40755</v>
      </c>
      <c r="AK3430" s="831">
        <v>831912</v>
      </c>
      <c r="AP3430" s="831" t="str">
        <f t="shared" si="160"/>
        <v/>
      </c>
    </row>
    <row r="3431" spans="2:42">
      <c r="B3431" s="834" t="str">
        <f t="shared" si="159"/>
        <v>|||</v>
      </c>
      <c r="H3431" s="835">
        <f t="shared" si="161"/>
        <v>31</v>
      </c>
      <c r="AF3431" s="831" t="s">
        <v>4088</v>
      </c>
      <c r="AG3431" s="831" t="s">
        <v>131</v>
      </c>
      <c r="AH3431" s="831" t="s">
        <v>185</v>
      </c>
      <c r="AI3431" s="831">
        <v>0</v>
      </c>
      <c r="AJ3431" s="835">
        <v>40755</v>
      </c>
      <c r="AK3431" s="831">
        <v>-13888590</v>
      </c>
      <c r="AP3431" s="831" t="str">
        <f t="shared" si="160"/>
        <v/>
      </c>
    </row>
    <row r="3432" spans="2:42">
      <c r="B3432" s="834" t="str">
        <f t="shared" si="159"/>
        <v>|||</v>
      </c>
      <c r="H3432" s="835">
        <f t="shared" si="161"/>
        <v>31</v>
      </c>
      <c r="AF3432" s="831" t="s">
        <v>4089</v>
      </c>
      <c r="AG3432" s="831" t="s">
        <v>131</v>
      </c>
      <c r="AH3432" s="831" t="s">
        <v>188</v>
      </c>
      <c r="AI3432" s="831">
        <v>0</v>
      </c>
      <c r="AJ3432" s="835">
        <v>40755</v>
      </c>
      <c r="AK3432" s="831">
        <v>-7307958</v>
      </c>
      <c r="AP3432" s="831" t="str">
        <f t="shared" si="160"/>
        <v/>
      </c>
    </row>
    <row r="3433" spans="2:42">
      <c r="B3433" s="834" t="str">
        <f t="shared" si="159"/>
        <v>|||</v>
      </c>
      <c r="H3433" s="835">
        <f t="shared" si="161"/>
        <v>31</v>
      </c>
      <c r="AF3433" s="831" t="s">
        <v>4090</v>
      </c>
      <c r="AG3433" s="831" t="s">
        <v>131</v>
      </c>
      <c r="AH3433" s="831" t="s">
        <v>191</v>
      </c>
      <c r="AI3433" s="831">
        <v>0</v>
      </c>
      <c r="AJ3433" s="835">
        <v>40755</v>
      </c>
      <c r="AK3433" s="831">
        <v>-2304891</v>
      </c>
      <c r="AP3433" s="831" t="str">
        <f t="shared" si="160"/>
        <v/>
      </c>
    </row>
    <row r="3434" spans="2:42">
      <c r="B3434" s="834" t="str">
        <f t="shared" si="159"/>
        <v>|||</v>
      </c>
      <c r="H3434" s="835">
        <f t="shared" si="161"/>
        <v>31</v>
      </c>
      <c r="AF3434" s="831" t="s">
        <v>4091</v>
      </c>
      <c r="AG3434" s="831" t="s">
        <v>131</v>
      </c>
      <c r="AH3434" s="831" t="s">
        <v>198</v>
      </c>
      <c r="AI3434" s="831">
        <v>0</v>
      </c>
      <c r="AJ3434" s="835">
        <v>40755</v>
      </c>
      <c r="AK3434" s="831">
        <v>0</v>
      </c>
      <c r="AP3434" s="831" t="str">
        <f t="shared" si="160"/>
        <v/>
      </c>
    </row>
    <row r="3435" spans="2:42">
      <c r="B3435" s="834" t="str">
        <f t="shared" si="159"/>
        <v>|||</v>
      </c>
      <c r="H3435" s="835">
        <f t="shared" si="161"/>
        <v>31</v>
      </c>
      <c r="AF3435" s="831" t="s">
        <v>4092</v>
      </c>
      <c r="AG3435" s="831" t="s">
        <v>131</v>
      </c>
      <c r="AH3435" s="831" t="s">
        <v>200</v>
      </c>
      <c r="AI3435" s="831">
        <v>0</v>
      </c>
      <c r="AJ3435" s="835">
        <v>40755</v>
      </c>
      <c r="AK3435" s="831">
        <v>0</v>
      </c>
      <c r="AP3435" s="831" t="str">
        <f t="shared" si="160"/>
        <v/>
      </c>
    </row>
    <row r="3436" spans="2:42">
      <c r="B3436" s="834" t="str">
        <f t="shared" si="159"/>
        <v>|||</v>
      </c>
      <c r="H3436" s="835">
        <f t="shared" si="161"/>
        <v>31</v>
      </c>
      <c r="AF3436" s="831" t="s">
        <v>4093</v>
      </c>
      <c r="AG3436" s="831" t="s">
        <v>131</v>
      </c>
      <c r="AH3436" s="831" t="s">
        <v>205</v>
      </c>
      <c r="AI3436" s="831">
        <v>0</v>
      </c>
      <c r="AJ3436" s="835">
        <v>40755</v>
      </c>
      <c r="AK3436" s="831">
        <v>0</v>
      </c>
      <c r="AP3436" s="831" t="str">
        <f t="shared" si="160"/>
        <v/>
      </c>
    </row>
    <row r="3437" spans="2:42">
      <c r="B3437" s="834" t="str">
        <f t="shared" si="159"/>
        <v>|||</v>
      </c>
      <c r="H3437" s="835">
        <f t="shared" si="161"/>
        <v>31</v>
      </c>
      <c r="AF3437" s="831" t="s">
        <v>4094</v>
      </c>
      <c r="AG3437" s="831" t="s">
        <v>131</v>
      </c>
      <c r="AH3437" s="831" t="s">
        <v>122</v>
      </c>
      <c r="AI3437" s="831">
        <v>0</v>
      </c>
      <c r="AJ3437" s="835">
        <v>40755</v>
      </c>
      <c r="AK3437" s="831">
        <v>0</v>
      </c>
      <c r="AP3437" s="831" t="str">
        <f t="shared" si="160"/>
        <v/>
      </c>
    </row>
    <row r="3438" spans="2:42">
      <c r="B3438" s="834" t="str">
        <f t="shared" si="159"/>
        <v>|||</v>
      </c>
      <c r="H3438" s="835">
        <f t="shared" si="161"/>
        <v>31</v>
      </c>
      <c r="AF3438" s="831" t="s">
        <v>4095</v>
      </c>
      <c r="AG3438" s="831" t="s">
        <v>131</v>
      </c>
      <c r="AH3438" s="831" t="s">
        <v>213</v>
      </c>
      <c r="AI3438" s="831">
        <v>0</v>
      </c>
      <c r="AJ3438" s="835">
        <v>40755</v>
      </c>
      <c r="AK3438" s="831">
        <v>0</v>
      </c>
      <c r="AP3438" s="831" t="str">
        <f t="shared" si="160"/>
        <v/>
      </c>
    </row>
    <row r="3439" spans="2:42">
      <c r="B3439" s="834" t="str">
        <f t="shared" si="159"/>
        <v>|||</v>
      </c>
      <c r="H3439" s="835">
        <f t="shared" si="161"/>
        <v>31</v>
      </c>
      <c r="AF3439" s="831" t="s">
        <v>4096</v>
      </c>
      <c r="AG3439" s="831" t="s">
        <v>131</v>
      </c>
      <c r="AH3439" s="831" t="s">
        <v>215</v>
      </c>
      <c r="AI3439" s="831">
        <v>0</v>
      </c>
      <c r="AJ3439" s="835">
        <v>40755</v>
      </c>
      <c r="AK3439" s="831">
        <v>0</v>
      </c>
      <c r="AP3439" s="831" t="str">
        <f t="shared" si="160"/>
        <v/>
      </c>
    </row>
    <row r="3440" spans="2:42">
      <c r="B3440" s="834" t="str">
        <f t="shared" si="159"/>
        <v>|||</v>
      </c>
      <c r="H3440" s="835">
        <f t="shared" si="161"/>
        <v>31</v>
      </c>
      <c r="AF3440" s="831" t="s">
        <v>4097</v>
      </c>
      <c r="AG3440" s="831" t="s">
        <v>131</v>
      </c>
      <c r="AH3440" s="831" t="s">
        <v>217</v>
      </c>
      <c r="AI3440" s="831">
        <v>0</v>
      </c>
      <c r="AJ3440" s="835">
        <v>40755</v>
      </c>
      <c r="AK3440" s="831">
        <v>0</v>
      </c>
      <c r="AP3440" s="831" t="str">
        <f t="shared" si="160"/>
        <v/>
      </c>
    </row>
    <row r="3441" spans="2:42">
      <c r="B3441" s="834" t="str">
        <f t="shared" si="159"/>
        <v>|||</v>
      </c>
      <c r="H3441" s="835">
        <f t="shared" si="161"/>
        <v>31</v>
      </c>
      <c r="AF3441" s="831" t="s">
        <v>4098</v>
      </c>
      <c r="AG3441" s="831" t="s">
        <v>131</v>
      </c>
      <c r="AH3441" s="831" t="s">
        <v>223</v>
      </c>
      <c r="AI3441" s="831">
        <v>0</v>
      </c>
      <c r="AJ3441" s="835">
        <v>40755</v>
      </c>
      <c r="AK3441" s="831">
        <v>0</v>
      </c>
      <c r="AP3441" s="831" t="str">
        <f t="shared" si="160"/>
        <v/>
      </c>
    </row>
    <row r="3442" spans="2:42">
      <c r="B3442" s="834" t="str">
        <f t="shared" si="159"/>
        <v>|||</v>
      </c>
      <c r="H3442" s="835">
        <f t="shared" si="161"/>
        <v>31</v>
      </c>
      <c r="AF3442" s="831" t="s">
        <v>4099</v>
      </c>
      <c r="AG3442" s="831" t="s">
        <v>131</v>
      </c>
      <c r="AH3442" s="831" t="s">
        <v>224</v>
      </c>
      <c r="AI3442" s="831">
        <v>0</v>
      </c>
      <c r="AJ3442" s="835">
        <v>40755</v>
      </c>
      <c r="AK3442" s="831">
        <v>0</v>
      </c>
      <c r="AP3442" s="831" t="str">
        <f t="shared" si="160"/>
        <v/>
      </c>
    </row>
    <row r="3443" spans="2:42">
      <c r="B3443" s="834" t="str">
        <f t="shared" si="159"/>
        <v>|||</v>
      </c>
      <c r="H3443" s="835">
        <f t="shared" si="161"/>
        <v>31</v>
      </c>
      <c r="AF3443" s="831" t="s">
        <v>4100</v>
      </c>
      <c r="AG3443" s="831" t="s">
        <v>131</v>
      </c>
      <c r="AH3443" s="831" t="s">
        <v>128</v>
      </c>
      <c r="AI3443" s="831">
        <v>0</v>
      </c>
      <c r="AJ3443" s="835">
        <v>40755</v>
      </c>
      <c r="AK3443" s="831">
        <v>0</v>
      </c>
      <c r="AP3443" s="831" t="str">
        <f t="shared" si="160"/>
        <v/>
      </c>
    </row>
    <row r="3444" spans="2:42">
      <c r="B3444" s="834" t="str">
        <f t="shared" si="159"/>
        <v>|||</v>
      </c>
      <c r="H3444" s="835">
        <f t="shared" si="161"/>
        <v>31</v>
      </c>
      <c r="AF3444" s="831" t="s">
        <v>4101</v>
      </c>
      <c r="AG3444" s="831" t="s">
        <v>131</v>
      </c>
      <c r="AH3444" s="831" t="s">
        <v>3237</v>
      </c>
      <c r="AI3444" s="831">
        <v>0</v>
      </c>
      <c r="AJ3444" s="835">
        <v>40755</v>
      </c>
      <c r="AK3444" s="831">
        <v>0</v>
      </c>
      <c r="AP3444" s="831" t="str">
        <f t="shared" si="160"/>
        <v/>
      </c>
    </row>
    <row r="3445" spans="2:42">
      <c r="B3445" s="834" t="str">
        <f t="shared" si="159"/>
        <v>|||</v>
      </c>
      <c r="H3445" s="835">
        <f t="shared" si="161"/>
        <v>31</v>
      </c>
      <c r="AF3445" s="831" t="s">
        <v>4102</v>
      </c>
      <c r="AG3445" s="831" t="s">
        <v>131</v>
      </c>
      <c r="AH3445" s="831" t="s">
        <v>3239</v>
      </c>
      <c r="AI3445" s="831">
        <v>0</v>
      </c>
      <c r="AJ3445" s="835">
        <v>40755</v>
      </c>
      <c r="AK3445" s="831">
        <v>0</v>
      </c>
      <c r="AP3445" s="831" t="str">
        <f t="shared" si="160"/>
        <v/>
      </c>
    </row>
    <row r="3446" spans="2:42">
      <c r="B3446" s="834" t="str">
        <f t="shared" si="159"/>
        <v>|||</v>
      </c>
      <c r="H3446" s="835">
        <f t="shared" si="161"/>
        <v>31</v>
      </c>
      <c r="AF3446" s="831" t="s">
        <v>4103</v>
      </c>
      <c r="AG3446" s="831" t="s">
        <v>131</v>
      </c>
      <c r="AH3446" s="831" t="s">
        <v>138</v>
      </c>
      <c r="AI3446" s="831">
        <v>0</v>
      </c>
      <c r="AJ3446" s="835">
        <v>40786</v>
      </c>
      <c r="AK3446" s="831">
        <v>54617221</v>
      </c>
      <c r="AP3446" s="831" t="str">
        <f t="shared" si="160"/>
        <v/>
      </c>
    </row>
    <row r="3447" spans="2:42">
      <c r="B3447" s="834" t="str">
        <f t="shared" si="159"/>
        <v>|||</v>
      </c>
      <c r="H3447" s="835">
        <f t="shared" si="161"/>
        <v>31</v>
      </c>
      <c r="AF3447" s="831" t="s">
        <v>4104</v>
      </c>
      <c r="AG3447" s="831" t="s">
        <v>131</v>
      </c>
      <c r="AH3447" s="831" t="s">
        <v>141</v>
      </c>
      <c r="AI3447" s="831">
        <v>0</v>
      </c>
      <c r="AJ3447" s="835">
        <v>40786</v>
      </c>
      <c r="AK3447" s="831">
        <v>1935730</v>
      </c>
      <c r="AP3447" s="831" t="str">
        <f t="shared" si="160"/>
        <v/>
      </c>
    </row>
    <row r="3448" spans="2:42">
      <c r="B3448" s="834" t="str">
        <f t="shared" si="159"/>
        <v>|||</v>
      </c>
      <c r="H3448" s="835">
        <f t="shared" si="161"/>
        <v>31</v>
      </c>
      <c r="AF3448" s="831" t="s">
        <v>4105</v>
      </c>
      <c r="AG3448" s="831" t="s">
        <v>131</v>
      </c>
      <c r="AH3448" s="831" t="s">
        <v>146</v>
      </c>
      <c r="AI3448" s="831">
        <v>0</v>
      </c>
      <c r="AJ3448" s="835">
        <v>40786</v>
      </c>
      <c r="AK3448" s="831">
        <v>-8747614</v>
      </c>
      <c r="AP3448" s="831" t="str">
        <f t="shared" si="160"/>
        <v/>
      </c>
    </row>
    <row r="3449" spans="2:42">
      <c r="B3449" s="834" t="str">
        <f t="shared" si="159"/>
        <v>|||</v>
      </c>
      <c r="H3449" s="835">
        <f t="shared" si="161"/>
        <v>31</v>
      </c>
      <c r="AF3449" s="831" t="s">
        <v>4106</v>
      </c>
      <c r="AG3449" s="831" t="s">
        <v>131</v>
      </c>
      <c r="AH3449" s="831" t="s">
        <v>150</v>
      </c>
      <c r="AI3449" s="831">
        <v>0</v>
      </c>
      <c r="AJ3449" s="835">
        <v>40786</v>
      </c>
      <c r="AK3449" s="831">
        <v>-8546710</v>
      </c>
      <c r="AP3449" s="831" t="str">
        <f t="shared" si="160"/>
        <v/>
      </c>
    </row>
    <row r="3450" spans="2:42">
      <c r="B3450" s="834" t="str">
        <f t="shared" si="159"/>
        <v>|||</v>
      </c>
      <c r="H3450" s="835">
        <f t="shared" si="161"/>
        <v>31</v>
      </c>
      <c r="AF3450" s="831" t="s">
        <v>4107</v>
      </c>
      <c r="AG3450" s="831" t="s">
        <v>131</v>
      </c>
      <c r="AH3450" s="831" t="s">
        <v>77</v>
      </c>
      <c r="AI3450" s="831">
        <v>0</v>
      </c>
      <c r="AJ3450" s="835">
        <v>40786</v>
      </c>
      <c r="AK3450" s="831">
        <v>-1402587</v>
      </c>
      <c r="AP3450" s="831" t="str">
        <f t="shared" si="160"/>
        <v/>
      </c>
    </row>
    <row r="3451" spans="2:42">
      <c r="B3451" s="834" t="str">
        <f t="shared" si="159"/>
        <v>|||</v>
      </c>
      <c r="H3451" s="835">
        <f t="shared" si="161"/>
        <v>31</v>
      </c>
      <c r="AF3451" s="831" t="s">
        <v>4108</v>
      </c>
      <c r="AG3451" s="831" t="s">
        <v>131</v>
      </c>
      <c r="AH3451" s="831" t="s">
        <v>167</v>
      </c>
      <c r="AI3451" s="831">
        <v>0</v>
      </c>
      <c r="AJ3451" s="835">
        <v>40786</v>
      </c>
      <c r="AK3451" s="831">
        <v>0</v>
      </c>
      <c r="AP3451" s="831" t="str">
        <f t="shared" si="160"/>
        <v/>
      </c>
    </row>
    <row r="3452" spans="2:42">
      <c r="B3452" s="834" t="str">
        <f t="shared" si="159"/>
        <v>|||</v>
      </c>
      <c r="H3452" s="835">
        <f t="shared" si="161"/>
        <v>31</v>
      </c>
      <c r="AF3452" s="831" t="s">
        <v>4109</v>
      </c>
      <c r="AG3452" s="831" t="s">
        <v>131</v>
      </c>
      <c r="AH3452" s="831" t="s">
        <v>169</v>
      </c>
      <c r="AI3452" s="831">
        <v>0</v>
      </c>
      <c r="AJ3452" s="835">
        <v>40786</v>
      </c>
      <c r="AK3452" s="831">
        <v>-107131</v>
      </c>
      <c r="AP3452" s="831" t="str">
        <f t="shared" si="160"/>
        <v/>
      </c>
    </row>
    <row r="3453" spans="2:42">
      <c r="B3453" s="834" t="str">
        <f t="shared" si="159"/>
        <v>|||</v>
      </c>
      <c r="H3453" s="835">
        <f t="shared" si="161"/>
        <v>31</v>
      </c>
      <c r="AF3453" s="831" t="s">
        <v>4110</v>
      </c>
      <c r="AG3453" s="831" t="s">
        <v>131</v>
      </c>
      <c r="AH3453" s="831" t="s">
        <v>172</v>
      </c>
      <c r="AI3453" s="831">
        <v>0</v>
      </c>
      <c r="AJ3453" s="835">
        <v>40786</v>
      </c>
      <c r="AK3453" s="831">
        <v>189793</v>
      </c>
      <c r="AP3453" s="831" t="str">
        <f t="shared" si="160"/>
        <v/>
      </c>
    </row>
    <row r="3454" spans="2:42">
      <c r="B3454" s="834" t="str">
        <f t="shared" si="159"/>
        <v>|||</v>
      </c>
      <c r="H3454" s="835">
        <f t="shared" si="161"/>
        <v>31</v>
      </c>
      <c r="AF3454" s="831" t="s">
        <v>4111</v>
      </c>
      <c r="AG3454" s="831" t="s">
        <v>131</v>
      </c>
      <c r="AH3454" s="831" t="s">
        <v>175</v>
      </c>
      <c r="AI3454" s="831">
        <v>0</v>
      </c>
      <c r="AJ3454" s="835">
        <v>40786</v>
      </c>
      <c r="AK3454" s="831">
        <v>1108862</v>
      </c>
      <c r="AP3454" s="831" t="str">
        <f t="shared" si="160"/>
        <v/>
      </c>
    </row>
    <row r="3455" spans="2:42">
      <c r="B3455" s="834" t="str">
        <f t="shared" si="159"/>
        <v>|||</v>
      </c>
      <c r="H3455" s="835">
        <f t="shared" si="161"/>
        <v>31</v>
      </c>
      <c r="AF3455" s="831" t="s">
        <v>4112</v>
      </c>
      <c r="AG3455" s="831" t="s">
        <v>131</v>
      </c>
      <c r="AH3455" s="831" t="s">
        <v>185</v>
      </c>
      <c r="AI3455" s="831">
        <v>0</v>
      </c>
      <c r="AJ3455" s="835">
        <v>40786</v>
      </c>
      <c r="AK3455" s="831">
        <v>-15785233</v>
      </c>
      <c r="AP3455" s="831" t="str">
        <f t="shared" si="160"/>
        <v/>
      </c>
    </row>
    <row r="3456" spans="2:42">
      <c r="B3456" s="834" t="str">
        <f t="shared" si="159"/>
        <v>|||</v>
      </c>
      <c r="H3456" s="835">
        <f t="shared" si="161"/>
        <v>31</v>
      </c>
      <c r="AF3456" s="831" t="s">
        <v>4113</v>
      </c>
      <c r="AG3456" s="831" t="s">
        <v>131</v>
      </c>
      <c r="AH3456" s="831" t="s">
        <v>188</v>
      </c>
      <c r="AI3456" s="831">
        <v>0</v>
      </c>
      <c r="AJ3456" s="835">
        <v>40786</v>
      </c>
      <c r="AK3456" s="831">
        <v>-8119976</v>
      </c>
      <c r="AP3456" s="831" t="str">
        <f t="shared" si="160"/>
        <v/>
      </c>
    </row>
    <row r="3457" spans="2:42">
      <c r="B3457" s="834" t="str">
        <f t="shared" si="159"/>
        <v>|||</v>
      </c>
      <c r="H3457" s="835">
        <f t="shared" si="161"/>
        <v>31</v>
      </c>
      <c r="AF3457" s="831" t="s">
        <v>4114</v>
      </c>
      <c r="AG3457" s="831" t="s">
        <v>131</v>
      </c>
      <c r="AH3457" s="831" t="s">
        <v>191</v>
      </c>
      <c r="AI3457" s="831">
        <v>0</v>
      </c>
      <c r="AJ3457" s="835">
        <v>40786</v>
      </c>
      <c r="AK3457" s="831">
        <v>-2633998</v>
      </c>
      <c r="AP3457" s="831" t="str">
        <f t="shared" si="160"/>
        <v/>
      </c>
    </row>
    <row r="3458" spans="2:42">
      <c r="B3458" s="834" t="str">
        <f t="shared" si="159"/>
        <v>|||</v>
      </c>
      <c r="H3458" s="835">
        <f t="shared" si="161"/>
        <v>31</v>
      </c>
      <c r="AF3458" s="831" t="s">
        <v>4115</v>
      </c>
      <c r="AG3458" s="831" t="s">
        <v>131</v>
      </c>
      <c r="AH3458" s="831" t="s">
        <v>198</v>
      </c>
      <c r="AI3458" s="831">
        <v>0</v>
      </c>
      <c r="AJ3458" s="835">
        <v>40786</v>
      </c>
      <c r="AK3458" s="831">
        <v>0</v>
      </c>
      <c r="AP3458" s="831" t="str">
        <f t="shared" si="160"/>
        <v/>
      </c>
    </row>
    <row r="3459" spans="2:42">
      <c r="B3459" s="834" t="str">
        <f t="shared" ref="B3459:B3522" si="162">C3459&amp;"|"&amp;D3459&amp;"|"&amp;E3459&amp;"|"&amp;F3459</f>
        <v>|||</v>
      </c>
      <c r="H3459" s="835">
        <f t="shared" si="161"/>
        <v>31</v>
      </c>
      <c r="AF3459" s="831" t="s">
        <v>4116</v>
      </c>
      <c r="AG3459" s="831" t="s">
        <v>131</v>
      </c>
      <c r="AH3459" s="831" t="s">
        <v>200</v>
      </c>
      <c r="AI3459" s="831">
        <v>0</v>
      </c>
      <c r="AJ3459" s="835">
        <v>40786</v>
      </c>
      <c r="AK3459" s="831">
        <v>0</v>
      </c>
      <c r="AP3459" s="831" t="str">
        <f t="shared" ref="AP3459:AP3522" si="163">IF(AX3459&lt;&gt;"",IF(OR(AX3459=3,AX3459=4),"Equity","Debt"),"")</f>
        <v/>
      </c>
    </row>
    <row r="3460" spans="2:42">
      <c r="B3460" s="834" t="str">
        <f t="shared" si="162"/>
        <v>|||</v>
      </c>
      <c r="H3460" s="835">
        <f t="shared" ref="H3460:H3523" si="164">EOMONTH(L3460,0)</f>
        <v>31</v>
      </c>
      <c r="AF3460" s="831" t="s">
        <v>4117</v>
      </c>
      <c r="AG3460" s="831" t="s">
        <v>131</v>
      </c>
      <c r="AH3460" s="831" t="s">
        <v>205</v>
      </c>
      <c r="AI3460" s="831">
        <v>0</v>
      </c>
      <c r="AJ3460" s="835">
        <v>40786</v>
      </c>
      <c r="AK3460" s="831">
        <v>0</v>
      </c>
      <c r="AP3460" s="831" t="str">
        <f t="shared" si="163"/>
        <v/>
      </c>
    </row>
    <row r="3461" spans="2:42">
      <c r="B3461" s="834" t="str">
        <f t="shared" si="162"/>
        <v>|||</v>
      </c>
      <c r="H3461" s="835">
        <f t="shared" si="164"/>
        <v>31</v>
      </c>
      <c r="AF3461" s="831" t="s">
        <v>4118</v>
      </c>
      <c r="AG3461" s="831" t="s">
        <v>131</v>
      </c>
      <c r="AH3461" s="831" t="s">
        <v>122</v>
      </c>
      <c r="AI3461" s="831">
        <v>0</v>
      </c>
      <c r="AJ3461" s="835">
        <v>40786</v>
      </c>
      <c r="AK3461" s="831">
        <v>0</v>
      </c>
      <c r="AP3461" s="831" t="str">
        <f t="shared" si="163"/>
        <v/>
      </c>
    </row>
    <row r="3462" spans="2:42">
      <c r="B3462" s="834" t="str">
        <f t="shared" si="162"/>
        <v>|||</v>
      </c>
      <c r="H3462" s="835">
        <f t="shared" si="164"/>
        <v>31</v>
      </c>
      <c r="AF3462" s="831" t="s">
        <v>4119</v>
      </c>
      <c r="AG3462" s="831" t="s">
        <v>131</v>
      </c>
      <c r="AH3462" s="831" t="s">
        <v>213</v>
      </c>
      <c r="AI3462" s="831">
        <v>0</v>
      </c>
      <c r="AJ3462" s="835">
        <v>40786</v>
      </c>
      <c r="AK3462" s="831">
        <v>0</v>
      </c>
      <c r="AP3462" s="831" t="str">
        <f t="shared" si="163"/>
        <v/>
      </c>
    </row>
    <row r="3463" spans="2:42">
      <c r="B3463" s="834" t="str">
        <f t="shared" si="162"/>
        <v>|||</v>
      </c>
      <c r="H3463" s="835">
        <f t="shared" si="164"/>
        <v>31</v>
      </c>
      <c r="AF3463" s="831" t="s">
        <v>4120</v>
      </c>
      <c r="AG3463" s="831" t="s">
        <v>131</v>
      </c>
      <c r="AH3463" s="831" t="s">
        <v>215</v>
      </c>
      <c r="AI3463" s="831">
        <v>0</v>
      </c>
      <c r="AJ3463" s="835">
        <v>40786</v>
      </c>
      <c r="AK3463" s="831">
        <v>0</v>
      </c>
      <c r="AP3463" s="831" t="str">
        <f t="shared" si="163"/>
        <v/>
      </c>
    </row>
    <row r="3464" spans="2:42">
      <c r="B3464" s="834" t="str">
        <f t="shared" si="162"/>
        <v>|||</v>
      </c>
      <c r="H3464" s="835">
        <f t="shared" si="164"/>
        <v>31</v>
      </c>
      <c r="AF3464" s="831" t="s">
        <v>4121</v>
      </c>
      <c r="AG3464" s="831" t="s">
        <v>131</v>
      </c>
      <c r="AH3464" s="831" t="s">
        <v>217</v>
      </c>
      <c r="AI3464" s="831">
        <v>0</v>
      </c>
      <c r="AJ3464" s="835">
        <v>40786</v>
      </c>
      <c r="AK3464" s="831">
        <v>0</v>
      </c>
      <c r="AP3464" s="831" t="str">
        <f t="shared" si="163"/>
        <v/>
      </c>
    </row>
    <row r="3465" spans="2:42">
      <c r="B3465" s="834" t="str">
        <f t="shared" si="162"/>
        <v>|||</v>
      </c>
      <c r="H3465" s="835">
        <f t="shared" si="164"/>
        <v>31</v>
      </c>
      <c r="AF3465" s="831" t="s">
        <v>4122</v>
      </c>
      <c r="AG3465" s="831" t="s">
        <v>131</v>
      </c>
      <c r="AH3465" s="831" t="s">
        <v>223</v>
      </c>
      <c r="AI3465" s="831">
        <v>0</v>
      </c>
      <c r="AJ3465" s="835">
        <v>40786</v>
      </c>
      <c r="AK3465" s="831">
        <v>0</v>
      </c>
      <c r="AP3465" s="831" t="str">
        <f t="shared" si="163"/>
        <v/>
      </c>
    </row>
    <row r="3466" spans="2:42">
      <c r="B3466" s="834" t="str">
        <f t="shared" si="162"/>
        <v>|||</v>
      </c>
      <c r="H3466" s="835">
        <f t="shared" si="164"/>
        <v>31</v>
      </c>
      <c r="AF3466" s="831" t="s">
        <v>4123</v>
      </c>
      <c r="AG3466" s="831" t="s">
        <v>131</v>
      </c>
      <c r="AH3466" s="831" t="s">
        <v>224</v>
      </c>
      <c r="AI3466" s="831">
        <v>0</v>
      </c>
      <c r="AJ3466" s="835">
        <v>40786</v>
      </c>
      <c r="AK3466" s="831">
        <v>0</v>
      </c>
      <c r="AP3466" s="831" t="str">
        <f t="shared" si="163"/>
        <v/>
      </c>
    </row>
    <row r="3467" spans="2:42">
      <c r="B3467" s="834" t="str">
        <f t="shared" si="162"/>
        <v>|||</v>
      </c>
      <c r="H3467" s="835">
        <f t="shared" si="164"/>
        <v>31</v>
      </c>
      <c r="AF3467" s="831" t="s">
        <v>4124</v>
      </c>
      <c r="AG3467" s="831" t="s">
        <v>131</v>
      </c>
      <c r="AH3467" s="831" t="s">
        <v>128</v>
      </c>
      <c r="AI3467" s="831">
        <v>0</v>
      </c>
      <c r="AJ3467" s="835">
        <v>40786</v>
      </c>
      <c r="AK3467" s="831">
        <v>0</v>
      </c>
      <c r="AP3467" s="831" t="str">
        <f t="shared" si="163"/>
        <v/>
      </c>
    </row>
    <row r="3468" spans="2:42">
      <c r="B3468" s="834" t="str">
        <f t="shared" si="162"/>
        <v>|||</v>
      </c>
      <c r="H3468" s="835">
        <f t="shared" si="164"/>
        <v>31</v>
      </c>
      <c r="AF3468" s="831" t="s">
        <v>4125</v>
      </c>
      <c r="AG3468" s="831" t="s">
        <v>131</v>
      </c>
      <c r="AH3468" s="831" t="s">
        <v>3237</v>
      </c>
      <c r="AI3468" s="831">
        <v>0</v>
      </c>
      <c r="AJ3468" s="835">
        <v>40786</v>
      </c>
      <c r="AK3468" s="831">
        <v>0</v>
      </c>
      <c r="AP3468" s="831" t="str">
        <f t="shared" si="163"/>
        <v/>
      </c>
    </row>
    <row r="3469" spans="2:42">
      <c r="B3469" s="834" t="str">
        <f t="shared" si="162"/>
        <v>|||</v>
      </c>
      <c r="H3469" s="835">
        <f t="shared" si="164"/>
        <v>31</v>
      </c>
      <c r="AF3469" s="831" t="s">
        <v>4126</v>
      </c>
      <c r="AG3469" s="831" t="s">
        <v>131</v>
      </c>
      <c r="AH3469" s="831" t="s">
        <v>3239</v>
      </c>
      <c r="AI3469" s="831">
        <v>0</v>
      </c>
      <c r="AJ3469" s="835">
        <v>40786</v>
      </c>
      <c r="AK3469" s="831">
        <v>0</v>
      </c>
      <c r="AP3469" s="831" t="str">
        <f t="shared" si="163"/>
        <v/>
      </c>
    </row>
    <row r="3470" spans="2:42">
      <c r="B3470" s="834" t="str">
        <f t="shared" si="162"/>
        <v>|||</v>
      </c>
      <c r="H3470" s="835">
        <f t="shared" si="164"/>
        <v>31</v>
      </c>
      <c r="AF3470" s="831" t="s">
        <v>4127</v>
      </c>
      <c r="AG3470" s="831" t="s">
        <v>131</v>
      </c>
      <c r="AH3470" s="831" t="s">
        <v>138</v>
      </c>
      <c r="AI3470" s="831">
        <v>0</v>
      </c>
      <c r="AJ3470" s="835">
        <v>40816</v>
      </c>
      <c r="AK3470" s="831">
        <v>62465560</v>
      </c>
      <c r="AP3470" s="831" t="str">
        <f t="shared" si="163"/>
        <v/>
      </c>
    </row>
    <row r="3471" spans="2:42">
      <c r="B3471" s="834" t="str">
        <f t="shared" si="162"/>
        <v>|||</v>
      </c>
      <c r="H3471" s="835">
        <f t="shared" si="164"/>
        <v>31</v>
      </c>
      <c r="AF3471" s="831" t="s">
        <v>4128</v>
      </c>
      <c r="AG3471" s="831" t="s">
        <v>131</v>
      </c>
      <c r="AH3471" s="831" t="s">
        <v>141</v>
      </c>
      <c r="AI3471" s="831">
        <v>0</v>
      </c>
      <c r="AJ3471" s="835">
        <v>40816</v>
      </c>
      <c r="AK3471" s="831">
        <v>1741172</v>
      </c>
      <c r="AP3471" s="831" t="str">
        <f t="shared" si="163"/>
        <v/>
      </c>
    </row>
    <row r="3472" spans="2:42">
      <c r="B3472" s="834" t="str">
        <f t="shared" si="162"/>
        <v>|||</v>
      </c>
      <c r="H3472" s="835">
        <f t="shared" si="164"/>
        <v>31</v>
      </c>
      <c r="AF3472" s="831" t="s">
        <v>4129</v>
      </c>
      <c r="AG3472" s="831" t="s">
        <v>131</v>
      </c>
      <c r="AH3472" s="831" t="s">
        <v>146</v>
      </c>
      <c r="AI3472" s="831">
        <v>0</v>
      </c>
      <c r="AJ3472" s="835">
        <v>40816</v>
      </c>
      <c r="AK3472" s="831">
        <v>-9752587</v>
      </c>
      <c r="AP3472" s="831" t="str">
        <f t="shared" si="163"/>
        <v/>
      </c>
    </row>
    <row r="3473" spans="2:42">
      <c r="B3473" s="834" t="str">
        <f t="shared" si="162"/>
        <v>|||</v>
      </c>
      <c r="H3473" s="835">
        <f t="shared" si="164"/>
        <v>31</v>
      </c>
      <c r="AF3473" s="831" t="s">
        <v>4130</v>
      </c>
      <c r="AG3473" s="831" t="s">
        <v>131</v>
      </c>
      <c r="AH3473" s="831" t="s">
        <v>150</v>
      </c>
      <c r="AI3473" s="831">
        <v>0</v>
      </c>
      <c r="AJ3473" s="835">
        <v>40816</v>
      </c>
      <c r="AK3473" s="831">
        <v>-9687868</v>
      </c>
      <c r="AP3473" s="831" t="str">
        <f t="shared" si="163"/>
        <v/>
      </c>
    </row>
    <row r="3474" spans="2:42">
      <c r="B3474" s="834" t="str">
        <f t="shared" si="162"/>
        <v>|||</v>
      </c>
      <c r="H3474" s="835">
        <f t="shared" si="164"/>
        <v>31</v>
      </c>
      <c r="AF3474" s="831" t="s">
        <v>4131</v>
      </c>
      <c r="AG3474" s="831" t="s">
        <v>131</v>
      </c>
      <c r="AH3474" s="831" t="s">
        <v>77</v>
      </c>
      <c r="AI3474" s="831">
        <v>0</v>
      </c>
      <c r="AJ3474" s="835">
        <v>40816</v>
      </c>
      <c r="AK3474" s="831">
        <v>-1308952</v>
      </c>
      <c r="AP3474" s="831" t="str">
        <f t="shared" si="163"/>
        <v/>
      </c>
    </row>
    <row r="3475" spans="2:42">
      <c r="B3475" s="834" t="str">
        <f t="shared" si="162"/>
        <v>|||</v>
      </c>
      <c r="H3475" s="835">
        <f t="shared" si="164"/>
        <v>31</v>
      </c>
      <c r="AF3475" s="831" t="s">
        <v>4132</v>
      </c>
      <c r="AG3475" s="831" t="s">
        <v>131</v>
      </c>
      <c r="AH3475" s="831" t="s">
        <v>167</v>
      </c>
      <c r="AI3475" s="831">
        <v>0</v>
      </c>
      <c r="AJ3475" s="835">
        <v>40816</v>
      </c>
      <c r="AK3475" s="831">
        <v>0</v>
      </c>
      <c r="AP3475" s="831" t="str">
        <f t="shared" si="163"/>
        <v/>
      </c>
    </row>
    <row r="3476" spans="2:42">
      <c r="B3476" s="834" t="str">
        <f t="shared" si="162"/>
        <v>|||</v>
      </c>
      <c r="H3476" s="835">
        <f t="shared" si="164"/>
        <v>31</v>
      </c>
      <c r="AF3476" s="831" t="s">
        <v>4133</v>
      </c>
      <c r="AG3476" s="831" t="s">
        <v>131</v>
      </c>
      <c r="AH3476" s="831" t="s">
        <v>169</v>
      </c>
      <c r="AI3476" s="831">
        <v>0</v>
      </c>
      <c r="AJ3476" s="835">
        <v>40816</v>
      </c>
      <c r="AK3476" s="831">
        <v>-171484</v>
      </c>
      <c r="AP3476" s="831" t="str">
        <f t="shared" si="163"/>
        <v/>
      </c>
    </row>
    <row r="3477" spans="2:42">
      <c r="B3477" s="834" t="str">
        <f t="shared" si="162"/>
        <v>|||</v>
      </c>
      <c r="H3477" s="835">
        <f t="shared" si="164"/>
        <v>31</v>
      </c>
      <c r="AF3477" s="831" t="s">
        <v>4134</v>
      </c>
      <c r="AG3477" s="831" t="s">
        <v>131</v>
      </c>
      <c r="AH3477" s="831" t="s">
        <v>172</v>
      </c>
      <c r="AI3477" s="831">
        <v>0</v>
      </c>
      <c r="AJ3477" s="835">
        <v>40816</v>
      </c>
      <c r="AK3477" s="831">
        <v>16926</v>
      </c>
      <c r="AP3477" s="831" t="str">
        <f t="shared" si="163"/>
        <v/>
      </c>
    </row>
    <row r="3478" spans="2:42">
      <c r="B3478" s="834" t="str">
        <f t="shared" si="162"/>
        <v>|||</v>
      </c>
      <c r="H3478" s="835">
        <f t="shared" si="164"/>
        <v>31</v>
      </c>
      <c r="AF3478" s="831" t="s">
        <v>4135</v>
      </c>
      <c r="AG3478" s="831" t="s">
        <v>131</v>
      </c>
      <c r="AH3478" s="831" t="s">
        <v>175</v>
      </c>
      <c r="AI3478" s="831">
        <v>0</v>
      </c>
      <c r="AJ3478" s="835">
        <v>40816</v>
      </c>
      <c r="AK3478" s="831">
        <v>812209</v>
      </c>
      <c r="AP3478" s="831" t="str">
        <f t="shared" si="163"/>
        <v/>
      </c>
    </row>
    <row r="3479" spans="2:42">
      <c r="B3479" s="834" t="str">
        <f t="shared" si="162"/>
        <v>|||</v>
      </c>
      <c r="H3479" s="835">
        <f t="shared" si="164"/>
        <v>31</v>
      </c>
      <c r="AF3479" s="831" t="s">
        <v>4136</v>
      </c>
      <c r="AG3479" s="831" t="s">
        <v>131</v>
      </c>
      <c r="AH3479" s="831" t="s">
        <v>185</v>
      </c>
      <c r="AI3479" s="831">
        <v>0</v>
      </c>
      <c r="AJ3479" s="835">
        <v>40816</v>
      </c>
      <c r="AK3479" s="831">
        <v>-17739610</v>
      </c>
      <c r="AP3479" s="831" t="str">
        <f t="shared" si="163"/>
        <v/>
      </c>
    </row>
    <row r="3480" spans="2:42">
      <c r="B3480" s="834" t="str">
        <f t="shared" si="162"/>
        <v>|||</v>
      </c>
      <c r="H3480" s="835">
        <f t="shared" si="164"/>
        <v>31</v>
      </c>
      <c r="AF3480" s="831" t="s">
        <v>4137</v>
      </c>
      <c r="AG3480" s="831" t="s">
        <v>131</v>
      </c>
      <c r="AH3480" s="831" t="s">
        <v>188</v>
      </c>
      <c r="AI3480" s="831">
        <v>0</v>
      </c>
      <c r="AJ3480" s="835">
        <v>40816</v>
      </c>
      <c r="AK3480" s="831">
        <v>-9479081</v>
      </c>
      <c r="AP3480" s="831" t="str">
        <f t="shared" si="163"/>
        <v/>
      </c>
    </row>
    <row r="3481" spans="2:42">
      <c r="B3481" s="834" t="str">
        <f t="shared" si="162"/>
        <v>|||</v>
      </c>
      <c r="H3481" s="835">
        <f t="shared" si="164"/>
        <v>31</v>
      </c>
      <c r="AF3481" s="831" t="s">
        <v>4138</v>
      </c>
      <c r="AG3481" s="831" t="s">
        <v>131</v>
      </c>
      <c r="AH3481" s="831" t="s">
        <v>191</v>
      </c>
      <c r="AI3481" s="831">
        <v>0</v>
      </c>
      <c r="AJ3481" s="835">
        <v>40816</v>
      </c>
      <c r="AK3481" s="831">
        <v>-2976557</v>
      </c>
      <c r="AP3481" s="831" t="str">
        <f t="shared" si="163"/>
        <v/>
      </c>
    </row>
    <row r="3482" spans="2:42">
      <c r="B3482" s="834" t="str">
        <f t="shared" si="162"/>
        <v>|||</v>
      </c>
      <c r="H3482" s="835">
        <f t="shared" si="164"/>
        <v>31</v>
      </c>
      <c r="AF3482" s="831" t="s">
        <v>4139</v>
      </c>
      <c r="AG3482" s="831" t="s">
        <v>131</v>
      </c>
      <c r="AH3482" s="831" t="s">
        <v>198</v>
      </c>
      <c r="AI3482" s="831">
        <v>0</v>
      </c>
      <c r="AJ3482" s="835">
        <v>40816</v>
      </c>
      <c r="AK3482" s="831">
        <v>0</v>
      </c>
      <c r="AP3482" s="831" t="str">
        <f t="shared" si="163"/>
        <v/>
      </c>
    </row>
    <row r="3483" spans="2:42">
      <c r="B3483" s="834" t="str">
        <f t="shared" si="162"/>
        <v>|||</v>
      </c>
      <c r="H3483" s="835">
        <f t="shared" si="164"/>
        <v>31</v>
      </c>
      <c r="AF3483" s="831" t="s">
        <v>4140</v>
      </c>
      <c r="AG3483" s="831" t="s">
        <v>131</v>
      </c>
      <c r="AH3483" s="831" t="s">
        <v>200</v>
      </c>
      <c r="AI3483" s="831">
        <v>0</v>
      </c>
      <c r="AJ3483" s="835">
        <v>40816</v>
      </c>
      <c r="AK3483" s="831">
        <v>0</v>
      </c>
      <c r="AP3483" s="831" t="str">
        <f t="shared" si="163"/>
        <v/>
      </c>
    </row>
    <row r="3484" spans="2:42">
      <c r="B3484" s="834" t="str">
        <f t="shared" si="162"/>
        <v>|||</v>
      </c>
      <c r="H3484" s="835">
        <f t="shared" si="164"/>
        <v>31</v>
      </c>
      <c r="AF3484" s="831" t="s">
        <v>4141</v>
      </c>
      <c r="AG3484" s="831" t="s">
        <v>131</v>
      </c>
      <c r="AH3484" s="831" t="s">
        <v>205</v>
      </c>
      <c r="AI3484" s="831">
        <v>0</v>
      </c>
      <c r="AJ3484" s="835">
        <v>40816</v>
      </c>
      <c r="AK3484" s="831">
        <v>0</v>
      </c>
      <c r="AP3484" s="831" t="str">
        <f t="shared" si="163"/>
        <v/>
      </c>
    </row>
    <row r="3485" spans="2:42">
      <c r="B3485" s="834" t="str">
        <f t="shared" si="162"/>
        <v>|||</v>
      </c>
      <c r="H3485" s="835">
        <f t="shared" si="164"/>
        <v>31</v>
      </c>
      <c r="AF3485" s="831" t="s">
        <v>4142</v>
      </c>
      <c r="AG3485" s="831" t="s">
        <v>131</v>
      </c>
      <c r="AH3485" s="831" t="s">
        <v>122</v>
      </c>
      <c r="AI3485" s="831">
        <v>0</v>
      </c>
      <c r="AJ3485" s="835">
        <v>40816</v>
      </c>
      <c r="AK3485" s="831">
        <v>0</v>
      </c>
      <c r="AP3485" s="831" t="str">
        <f t="shared" si="163"/>
        <v/>
      </c>
    </row>
    <row r="3486" spans="2:42">
      <c r="B3486" s="834" t="str">
        <f t="shared" si="162"/>
        <v>|||</v>
      </c>
      <c r="H3486" s="835">
        <f t="shared" si="164"/>
        <v>31</v>
      </c>
      <c r="AF3486" s="831" t="s">
        <v>4143</v>
      </c>
      <c r="AG3486" s="831" t="s">
        <v>131</v>
      </c>
      <c r="AH3486" s="831" t="s">
        <v>213</v>
      </c>
      <c r="AI3486" s="831">
        <v>0</v>
      </c>
      <c r="AJ3486" s="835">
        <v>40816</v>
      </c>
      <c r="AK3486" s="831">
        <v>0</v>
      </c>
      <c r="AP3486" s="831" t="str">
        <f t="shared" si="163"/>
        <v/>
      </c>
    </row>
    <row r="3487" spans="2:42">
      <c r="B3487" s="834" t="str">
        <f t="shared" si="162"/>
        <v>|||</v>
      </c>
      <c r="H3487" s="835">
        <f t="shared" si="164"/>
        <v>31</v>
      </c>
      <c r="AF3487" s="831" t="s">
        <v>4144</v>
      </c>
      <c r="AG3487" s="831" t="s">
        <v>131</v>
      </c>
      <c r="AH3487" s="831" t="s">
        <v>215</v>
      </c>
      <c r="AI3487" s="831">
        <v>0</v>
      </c>
      <c r="AJ3487" s="835">
        <v>40816</v>
      </c>
      <c r="AK3487" s="831">
        <v>0</v>
      </c>
      <c r="AP3487" s="831" t="str">
        <f t="shared" si="163"/>
        <v/>
      </c>
    </row>
    <row r="3488" spans="2:42">
      <c r="B3488" s="834" t="str">
        <f t="shared" si="162"/>
        <v>|||</v>
      </c>
      <c r="H3488" s="835">
        <f t="shared" si="164"/>
        <v>31</v>
      </c>
      <c r="AF3488" s="831" t="s">
        <v>4145</v>
      </c>
      <c r="AG3488" s="831" t="s">
        <v>131</v>
      </c>
      <c r="AH3488" s="831" t="s">
        <v>217</v>
      </c>
      <c r="AI3488" s="831">
        <v>0</v>
      </c>
      <c r="AJ3488" s="835">
        <v>40816</v>
      </c>
      <c r="AK3488" s="831">
        <v>0</v>
      </c>
      <c r="AP3488" s="831" t="str">
        <f t="shared" si="163"/>
        <v/>
      </c>
    </row>
    <row r="3489" spans="2:42">
      <c r="B3489" s="834" t="str">
        <f t="shared" si="162"/>
        <v>|||</v>
      </c>
      <c r="H3489" s="835">
        <f t="shared" si="164"/>
        <v>31</v>
      </c>
      <c r="AF3489" s="831" t="s">
        <v>4146</v>
      </c>
      <c r="AG3489" s="831" t="s">
        <v>131</v>
      </c>
      <c r="AH3489" s="831" t="s">
        <v>223</v>
      </c>
      <c r="AI3489" s="831">
        <v>0</v>
      </c>
      <c r="AJ3489" s="835">
        <v>40816</v>
      </c>
      <c r="AK3489" s="831">
        <v>0</v>
      </c>
      <c r="AP3489" s="831" t="str">
        <f t="shared" si="163"/>
        <v/>
      </c>
    </row>
    <row r="3490" spans="2:42">
      <c r="B3490" s="834" t="str">
        <f t="shared" si="162"/>
        <v>|||</v>
      </c>
      <c r="H3490" s="835">
        <f t="shared" si="164"/>
        <v>31</v>
      </c>
      <c r="AF3490" s="831" t="s">
        <v>4147</v>
      </c>
      <c r="AG3490" s="831" t="s">
        <v>131</v>
      </c>
      <c r="AH3490" s="831" t="s">
        <v>224</v>
      </c>
      <c r="AI3490" s="831">
        <v>0</v>
      </c>
      <c r="AJ3490" s="835">
        <v>40816</v>
      </c>
      <c r="AK3490" s="831">
        <v>0</v>
      </c>
      <c r="AP3490" s="831" t="str">
        <f t="shared" si="163"/>
        <v/>
      </c>
    </row>
    <row r="3491" spans="2:42">
      <c r="B3491" s="834" t="str">
        <f t="shared" si="162"/>
        <v>|||</v>
      </c>
      <c r="H3491" s="835">
        <f t="shared" si="164"/>
        <v>31</v>
      </c>
      <c r="AF3491" s="831" t="s">
        <v>4148</v>
      </c>
      <c r="AG3491" s="831" t="s">
        <v>131</v>
      </c>
      <c r="AH3491" s="831" t="s">
        <v>128</v>
      </c>
      <c r="AI3491" s="831">
        <v>0</v>
      </c>
      <c r="AJ3491" s="835">
        <v>40816</v>
      </c>
      <c r="AK3491" s="831">
        <v>0</v>
      </c>
      <c r="AP3491" s="831" t="str">
        <f t="shared" si="163"/>
        <v/>
      </c>
    </row>
    <row r="3492" spans="2:42">
      <c r="B3492" s="834" t="str">
        <f t="shared" si="162"/>
        <v>|||</v>
      </c>
      <c r="H3492" s="835">
        <f t="shared" si="164"/>
        <v>31</v>
      </c>
      <c r="AF3492" s="831" t="s">
        <v>4149</v>
      </c>
      <c r="AG3492" s="831" t="s">
        <v>131</v>
      </c>
      <c r="AH3492" s="831" t="s">
        <v>3237</v>
      </c>
      <c r="AI3492" s="831">
        <v>0</v>
      </c>
      <c r="AJ3492" s="835">
        <v>40816</v>
      </c>
      <c r="AK3492" s="831">
        <v>0</v>
      </c>
      <c r="AP3492" s="831" t="str">
        <f t="shared" si="163"/>
        <v/>
      </c>
    </row>
    <row r="3493" spans="2:42">
      <c r="B3493" s="834" t="str">
        <f t="shared" si="162"/>
        <v>|||</v>
      </c>
      <c r="H3493" s="835">
        <f t="shared" si="164"/>
        <v>31</v>
      </c>
      <c r="AF3493" s="831" t="s">
        <v>4150</v>
      </c>
      <c r="AG3493" s="831" t="s">
        <v>131</v>
      </c>
      <c r="AH3493" s="831" t="s">
        <v>3239</v>
      </c>
      <c r="AI3493" s="831">
        <v>0</v>
      </c>
      <c r="AJ3493" s="835">
        <v>40816</v>
      </c>
      <c r="AK3493" s="831">
        <v>0</v>
      </c>
      <c r="AP3493" s="831" t="str">
        <f t="shared" si="163"/>
        <v/>
      </c>
    </row>
    <row r="3494" spans="2:42">
      <c r="B3494" s="834" t="str">
        <f t="shared" si="162"/>
        <v>|||</v>
      </c>
      <c r="H3494" s="835">
        <f t="shared" si="164"/>
        <v>31</v>
      </c>
      <c r="AF3494" s="831" t="s">
        <v>4151</v>
      </c>
      <c r="AG3494" s="831" t="s">
        <v>131</v>
      </c>
      <c r="AH3494" s="831" t="s">
        <v>138</v>
      </c>
      <c r="AI3494" s="831">
        <v>0</v>
      </c>
      <c r="AJ3494" s="835">
        <v>40847</v>
      </c>
      <c r="AK3494" s="831">
        <v>69510915</v>
      </c>
      <c r="AP3494" s="831" t="str">
        <f t="shared" si="163"/>
        <v/>
      </c>
    </row>
    <row r="3495" spans="2:42">
      <c r="B3495" s="834" t="str">
        <f t="shared" si="162"/>
        <v>|||</v>
      </c>
      <c r="H3495" s="835">
        <f t="shared" si="164"/>
        <v>31</v>
      </c>
      <c r="AF3495" s="831" t="s">
        <v>4152</v>
      </c>
      <c r="AG3495" s="831" t="s">
        <v>131</v>
      </c>
      <c r="AH3495" s="831" t="s">
        <v>141</v>
      </c>
      <c r="AI3495" s="831">
        <v>0</v>
      </c>
      <c r="AJ3495" s="835">
        <v>40847</v>
      </c>
      <c r="AK3495" s="831">
        <v>1939939</v>
      </c>
      <c r="AP3495" s="831" t="str">
        <f t="shared" si="163"/>
        <v/>
      </c>
    </row>
    <row r="3496" spans="2:42">
      <c r="B3496" s="834" t="str">
        <f t="shared" si="162"/>
        <v>|||</v>
      </c>
      <c r="H3496" s="835">
        <f t="shared" si="164"/>
        <v>31</v>
      </c>
      <c r="AF3496" s="831" t="s">
        <v>4153</v>
      </c>
      <c r="AG3496" s="831" t="s">
        <v>131</v>
      </c>
      <c r="AH3496" s="831" t="s">
        <v>146</v>
      </c>
      <c r="AI3496" s="831">
        <v>0</v>
      </c>
      <c r="AJ3496" s="835">
        <v>40847</v>
      </c>
      <c r="AK3496" s="831">
        <v>-10736383</v>
      </c>
      <c r="AP3496" s="831" t="str">
        <f t="shared" si="163"/>
        <v/>
      </c>
    </row>
    <row r="3497" spans="2:42">
      <c r="B3497" s="834" t="str">
        <f t="shared" si="162"/>
        <v>|||</v>
      </c>
      <c r="H3497" s="835">
        <f t="shared" si="164"/>
        <v>31</v>
      </c>
      <c r="AF3497" s="831" t="s">
        <v>4154</v>
      </c>
      <c r="AG3497" s="831" t="s">
        <v>131</v>
      </c>
      <c r="AH3497" s="831" t="s">
        <v>150</v>
      </c>
      <c r="AI3497" s="831">
        <v>0</v>
      </c>
      <c r="AJ3497" s="835">
        <v>40847</v>
      </c>
      <c r="AK3497" s="831">
        <v>-10714683</v>
      </c>
      <c r="AP3497" s="831" t="str">
        <f t="shared" si="163"/>
        <v/>
      </c>
    </row>
    <row r="3498" spans="2:42">
      <c r="B3498" s="834" t="str">
        <f t="shared" si="162"/>
        <v>|||</v>
      </c>
      <c r="H3498" s="835">
        <f t="shared" si="164"/>
        <v>31</v>
      </c>
      <c r="AF3498" s="831" t="s">
        <v>4155</v>
      </c>
      <c r="AG3498" s="831" t="s">
        <v>131</v>
      </c>
      <c r="AH3498" s="831" t="s">
        <v>77</v>
      </c>
      <c r="AI3498" s="831">
        <v>0</v>
      </c>
      <c r="AJ3498" s="835">
        <v>40847</v>
      </c>
      <c r="AK3498" s="831">
        <v>-1416089</v>
      </c>
      <c r="AP3498" s="831" t="str">
        <f t="shared" si="163"/>
        <v/>
      </c>
    </row>
    <row r="3499" spans="2:42">
      <c r="B3499" s="834" t="str">
        <f t="shared" si="162"/>
        <v>|||</v>
      </c>
      <c r="H3499" s="835">
        <f t="shared" si="164"/>
        <v>31</v>
      </c>
      <c r="AF3499" s="831" t="s">
        <v>4156</v>
      </c>
      <c r="AG3499" s="831" t="s">
        <v>131</v>
      </c>
      <c r="AH3499" s="831" t="s">
        <v>167</v>
      </c>
      <c r="AI3499" s="831">
        <v>0</v>
      </c>
      <c r="AJ3499" s="835">
        <v>40847</v>
      </c>
      <c r="AK3499" s="831">
        <v>0</v>
      </c>
      <c r="AP3499" s="831" t="str">
        <f t="shared" si="163"/>
        <v/>
      </c>
    </row>
    <row r="3500" spans="2:42">
      <c r="B3500" s="834" t="str">
        <f t="shared" si="162"/>
        <v>|||</v>
      </c>
      <c r="H3500" s="835">
        <f t="shared" si="164"/>
        <v>31</v>
      </c>
      <c r="AF3500" s="831" t="s">
        <v>4157</v>
      </c>
      <c r="AG3500" s="831" t="s">
        <v>131</v>
      </c>
      <c r="AH3500" s="831" t="s">
        <v>169</v>
      </c>
      <c r="AI3500" s="831">
        <v>0</v>
      </c>
      <c r="AJ3500" s="835">
        <v>40847</v>
      </c>
      <c r="AK3500" s="831">
        <v>-186668</v>
      </c>
      <c r="AP3500" s="831" t="str">
        <f t="shared" si="163"/>
        <v/>
      </c>
    </row>
    <row r="3501" spans="2:42">
      <c r="B3501" s="834" t="str">
        <f t="shared" si="162"/>
        <v>|||</v>
      </c>
      <c r="H3501" s="835">
        <f t="shared" si="164"/>
        <v>31</v>
      </c>
      <c r="AF3501" s="831" t="s">
        <v>4158</v>
      </c>
      <c r="AG3501" s="831" t="s">
        <v>131</v>
      </c>
      <c r="AH3501" s="831" t="s">
        <v>172</v>
      </c>
      <c r="AI3501" s="831">
        <v>0</v>
      </c>
      <c r="AJ3501" s="835">
        <v>40847</v>
      </c>
      <c r="AK3501" s="831">
        <v>163016</v>
      </c>
      <c r="AP3501" s="831" t="str">
        <f t="shared" si="163"/>
        <v/>
      </c>
    </row>
    <row r="3502" spans="2:42">
      <c r="B3502" s="834" t="str">
        <f t="shared" si="162"/>
        <v>|||</v>
      </c>
      <c r="H3502" s="835">
        <f t="shared" si="164"/>
        <v>31</v>
      </c>
      <c r="AF3502" s="831" t="s">
        <v>4159</v>
      </c>
      <c r="AG3502" s="831" t="s">
        <v>131</v>
      </c>
      <c r="AH3502" s="831" t="s">
        <v>175</v>
      </c>
      <c r="AI3502" s="831">
        <v>0</v>
      </c>
      <c r="AJ3502" s="835">
        <v>40847</v>
      </c>
      <c r="AK3502" s="831">
        <v>993336</v>
      </c>
      <c r="AP3502" s="831" t="str">
        <f t="shared" si="163"/>
        <v/>
      </c>
    </row>
    <row r="3503" spans="2:42">
      <c r="B3503" s="834" t="str">
        <f t="shared" si="162"/>
        <v>|||</v>
      </c>
      <c r="H3503" s="835">
        <f t="shared" si="164"/>
        <v>31</v>
      </c>
      <c r="AF3503" s="831" t="s">
        <v>4160</v>
      </c>
      <c r="AG3503" s="831" t="s">
        <v>131</v>
      </c>
      <c r="AH3503" s="831" t="s">
        <v>185</v>
      </c>
      <c r="AI3503" s="831">
        <v>0</v>
      </c>
      <c r="AJ3503" s="835">
        <v>40847</v>
      </c>
      <c r="AK3503" s="831">
        <v>-19707850</v>
      </c>
      <c r="AP3503" s="831" t="str">
        <f t="shared" si="163"/>
        <v/>
      </c>
    </row>
    <row r="3504" spans="2:42">
      <c r="B3504" s="834" t="str">
        <f t="shared" si="162"/>
        <v>|||</v>
      </c>
      <c r="H3504" s="835">
        <f t="shared" si="164"/>
        <v>31</v>
      </c>
      <c r="AF3504" s="831" t="s">
        <v>4161</v>
      </c>
      <c r="AG3504" s="831" t="s">
        <v>131</v>
      </c>
      <c r="AH3504" s="831" t="s">
        <v>188</v>
      </c>
      <c r="AI3504" s="831">
        <v>0</v>
      </c>
      <c r="AJ3504" s="835">
        <v>40847</v>
      </c>
      <c r="AK3504" s="831">
        <v>-10640376</v>
      </c>
      <c r="AP3504" s="831" t="str">
        <f t="shared" si="163"/>
        <v/>
      </c>
    </row>
    <row r="3505" spans="2:42">
      <c r="B3505" s="834" t="str">
        <f t="shared" si="162"/>
        <v>|||</v>
      </c>
      <c r="H3505" s="835">
        <f t="shared" si="164"/>
        <v>31</v>
      </c>
      <c r="AF3505" s="831" t="s">
        <v>4162</v>
      </c>
      <c r="AG3505" s="831" t="s">
        <v>131</v>
      </c>
      <c r="AH3505" s="831" t="s">
        <v>191</v>
      </c>
      <c r="AI3505" s="831">
        <v>0</v>
      </c>
      <c r="AJ3505" s="835">
        <v>40847</v>
      </c>
      <c r="AK3505" s="831">
        <v>-3322804</v>
      </c>
      <c r="AP3505" s="831" t="str">
        <f t="shared" si="163"/>
        <v/>
      </c>
    </row>
    <row r="3506" spans="2:42">
      <c r="B3506" s="834" t="str">
        <f t="shared" si="162"/>
        <v>|||</v>
      </c>
      <c r="H3506" s="835">
        <f t="shared" si="164"/>
        <v>31</v>
      </c>
      <c r="AF3506" s="831" t="s">
        <v>4163</v>
      </c>
      <c r="AG3506" s="831" t="s">
        <v>131</v>
      </c>
      <c r="AH3506" s="831" t="s">
        <v>198</v>
      </c>
      <c r="AI3506" s="831">
        <v>0</v>
      </c>
      <c r="AJ3506" s="835">
        <v>40847</v>
      </c>
      <c r="AK3506" s="831">
        <v>0</v>
      </c>
      <c r="AP3506" s="831" t="str">
        <f t="shared" si="163"/>
        <v/>
      </c>
    </row>
    <row r="3507" spans="2:42">
      <c r="B3507" s="834" t="str">
        <f t="shared" si="162"/>
        <v>|||</v>
      </c>
      <c r="H3507" s="835">
        <f t="shared" si="164"/>
        <v>31</v>
      </c>
      <c r="AF3507" s="831" t="s">
        <v>4164</v>
      </c>
      <c r="AG3507" s="831" t="s">
        <v>131</v>
      </c>
      <c r="AH3507" s="831" t="s">
        <v>200</v>
      </c>
      <c r="AI3507" s="831">
        <v>0</v>
      </c>
      <c r="AJ3507" s="835">
        <v>40847</v>
      </c>
      <c r="AK3507" s="831">
        <v>0</v>
      </c>
      <c r="AP3507" s="831" t="str">
        <f t="shared" si="163"/>
        <v/>
      </c>
    </row>
    <row r="3508" spans="2:42">
      <c r="B3508" s="834" t="str">
        <f t="shared" si="162"/>
        <v>|||</v>
      </c>
      <c r="H3508" s="835">
        <f t="shared" si="164"/>
        <v>31</v>
      </c>
      <c r="AF3508" s="831" t="s">
        <v>4165</v>
      </c>
      <c r="AG3508" s="831" t="s">
        <v>131</v>
      </c>
      <c r="AH3508" s="831" t="s">
        <v>205</v>
      </c>
      <c r="AI3508" s="831">
        <v>0</v>
      </c>
      <c r="AJ3508" s="835">
        <v>40847</v>
      </c>
      <c r="AK3508" s="831">
        <v>0</v>
      </c>
      <c r="AP3508" s="831" t="str">
        <f t="shared" si="163"/>
        <v/>
      </c>
    </row>
    <row r="3509" spans="2:42">
      <c r="B3509" s="834" t="str">
        <f t="shared" si="162"/>
        <v>|||</v>
      </c>
      <c r="H3509" s="835">
        <f t="shared" si="164"/>
        <v>31</v>
      </c>
      <c r="AF3509" s="831" t="s">
        <v>4166</v>
      </c>
      <c r="AG3509" s="831" t="s">
        <v>131</v>
      </c>
      <c r="AH3509" s="831" t="s">
        <v>122</v>
      </c>
      <c r="AI3509" s="831">
        <v>0</v>
      </c>
      <c r="AJ3509" s="835">
        <v>40847</v>
      </c>
      <c r="AK3509" s="831">
        <v>0</v>
      </c>
      <c r="AP3509" s="831" t="str">
        <f t="shared" si="163"/>
        <v/>
      </c>
    </row>
    <row r="3510" spans="2:42">
      <c r="B3510" s="834" t="str">
        <f t="shared" si="162"/>
        <v>|||</v>
      </c>
      <c r="H3510" s="835">
        <f t="shared" si="164"/>
        <v>31</v>
      </c>
      <c r="AF3510" s="831" t="s">
        <v>4167</v>
      </c>
      <c r="AG3510" s="831" t="s">
        <v>131</v>
      </c>
      <c r="AH3510" s="831" t="s">
        <v>213</v>
      </c>
      <c r="AI3510" s="831">
        <v>0</v>
      </c>
      <c r="AJ3510" s="835">
        <v>40847</v>
      </c>
      <c r="AK3510" s="831">
        <v>0</v>
      </c>
      <c r="AP3510" s="831" t="str">
        <f t="shared" si="163"/>
        <v/>
      </c>
    </row>
    <row r="3511" spans="2:42">
      <c r="B3511" s="834" t="str">
        <f t="shared" si="162"/>
        <v>|||</v>
      </c>
      <c r="H3511" s="835">
        <f t="shared" si="164"/>
        <v>31</v>
      </c>
      <c r="AF3511" s="831" t="s">
        <v>4168</v>
      </c>
      <c r="AG3511" s="831" t="s">
        <v>131</v>
      </c>
      <c r="AH3511" s="831" t="s">
        <v>215</v>
      </c>
      <c r="AI3511" s="831">
        <v>0</v>
      </c>
      <c r="AJ3511" s="835">
        <v>40847</v>
      </c>
      <c r="AK3511" s="831">
        <v>0</v>
      </c>
      <c r="AP3511" s="831" t="str">
        <f t="shared" si="163"/>
        <v/>
      </c>
    </row>
    <row r="3512" spans="2:42">
      <c r="B3512" s="834" t="str">
        <f t="shared" si="162"/>
        <v>|||</v>
      </c>
      <c r="H3512" s="835">
        <f t="shared" si="164"/>
        <v>31</v>
      </c>
      <c r="AF3512" s="831" t="s">
        <v>4169</v>
      </c>
      <c r="AG3512" s="831" t="s">
        <v>131</v>
      </c>
      <c r="AH3512" s="831" t="s">
        <v>217</v>
      </c>
      <c r="AI3512" s="831">
        <v>0</v>
      </c>
      <c r="AJ3512" s="835">
        <v>40847</v>
      </c>
      <c r="AK3512" s="831">
        <v>0</v>
      </c>
      <c r="AP3512" s="831" t="str">
        <f t="shared" si="163"/>
        <v/>
      </c>
    </row>
    <row r="3513" spans="2:42">
      <c r="B3513" s="834" t="str">
        <f t="shared" si="162"/>
        <v>|||</v>
      </c>
      <c r="H3513" s="835">
        <f t="shared" si="164"/>
        <v>31</v>
      </c>
      <c r="AF3513" s="831" t="s">
        <v>4170</v>
      </c>
      <c r="AG3513" s="831" t="s">
        <v>131</v>
      </c>
      <c r="AH3513" s="831" t="s">
        <v>223</v>
      </c>
      <c r="AI3513" s="831">
        <v>0</v>
      </c>
      <c r="AJ3513" s="835">
        <v>40847</v>
      </c>
      <c r="AK3513" s="831">
        <v>0</v>
      </c>
      <c r="AP3513" s="831" t="str">
        <f t="shared" si="163"/>
        <v/>
      </c>
    </row>
    <row r="3514" spans="2:42">
      <c r="B3514" s="834" t="str">
        <f t="shared" si="162"/>
        <v>|||</v>
      </c>
      <c r="H3514" s="835">
        <f t="shared" si="164"/>
        <v>31</v>
      </c>
      <c r="AF3514" s="831" t="s">
        <v>4171</v>
      </c>
      <c r="AG3514" s="831" t="s">
        <v>131</v>
      </c>
      <c r="AH3514" s="831" t="s">
        <v>224</v>
      </c>
      <c r="AI3514" s="831">
        <v>0</v>
      </c>
      <c r="AJ3514" s="835">
        <v>40847</v>
      </c>
      <c r="AK3514" s="831">
        <v>0</v>
      </c>
      <c r="AP3514" s="831" t="str">
        <f t="shared" si="163"/>
        <v/>
      </c>
    </row>
    <row r="3515" spans="2:42">
      <c r="B3515" s="834" t="str">
        <f t="shared" si="162"/>
        <v>|||</v>
      </c>
      <c r="H3515" s="835">
        <f t="shared" si="164"/>
        <v>31</v>
      </c>
      <c r="AF3515" s="831" t="s">
        <v>4172</v>
      </c>
      <c r="AG3515" s="831" t="s">
        <v>131</v>
      </c>
      <c r="AH3515" s="831" t="s">
        <v>128</v>
      </c>
      <c r="AI3515" s="831">
        <v>0</v>
      </c>
      <c r="AJ3515" s="835">
        <v>40847</v>
      </c>
      <c r="AK3515" s="831">
        <v>0</v>
      </c>
      <c r="AP3515" s="831" t="str">
        <f t="shared" si="163"/>
        <v/>
      </c>
    </row>
    <row r="3516" spans="2:42">
      <c r="B3516" s="834" t="str">
        <f t="shared" si="162"/>
        <v>|||</v>
      </c>
      <c r="H3516" s="835">
        <f t="shared" si="164"/>
        <v>31</v>
      </c>
      <c r="AF3516" s="831" t="s">
        <v>4173</v>
      </c>
      <c r="AG3516" s="831" t="s">
        <v>131</v>
      </c>
      <c r="AH3516" s="831" t="s">
        <v>3237</v>
      </c>
      <c r="AI3516" s="831">
        <v>0</v>
      </c>
      <c r="AJ3516" s="835">
        <v>40847</v>
      </c>
      <c r="AK3516" s="831">
        <v>0</v>
      </c>
      <c r="AP3516" s="831" t="str">
        <f t="shared" si="163"/>
        <v/>
      </c>
    </row>
    <row r="3517" spans="2:42">
      <c r="B3517" s="834" t="str">
        <f t="shared" si="162"/>
        <v>|||</v>
      </c>
      <c r="H3517" s="835">
        <f t="shared" si="164"/>
        <v>31</v>
      </c>
      <c r="AF3517" s="831" t="s">
        <v>4174</v>
      </c>
      <c r="AG3517" s="831" t="s">
        <v>131</v>
      </c>
      <c r="AH3517" s="831" t="s">
        <v>3239</v>
      </c>
      <c r="AI3517" s="831">
        <v>0</v>
      </c>
      <c r="AJ3517" s="835">
        <v>40847</v>
      </c>
      <c r="AK3517" s="831">
        <v>0</v>
      </c>
      <c r="AP3517" s="831" t="str">
        <f t="shared" si="163"/>
        <v/>
      </c>
    </row>
    <row r="3518" spans="2:42">
      <c r="B3518" s="834" t="str">
        <f t="shared" si="162"/>
        <v>|||</v>
      </c>
      <c r="H3518" s="835">
        <f t="shared" si="164"/>
        <v>31</v>
      </c>
      <c r="AF3518" s="831" t="s">
        <v>4175</v>
      </c>
      <c r="AG3518" s="831" t="s">
        <v>131</v>
      </c>
      <c r="AH3518" s="831" t="s">
        <v>138</v>
      </c>
      <c r="AI3518" s="831">
        <v>0</v>
      </c>
      <c r="AJ3518" s="835">
        <v>40877</v>
      </c>
      <c r="AK3518" s="831">
        <v>76650324</v>
      </c>
      <c r="AP3518" s="831" t="str">
        <f t="shared" si="163"/>
        <v/>
      </c>
    </row>
    <row r="3519" spans="2:42">
      <c r="B3519" s="834" t="str">
        <f t="shared" si="162"/>
        <v>|||</v>
      </c>
      <c r="H3519" s="835">
        <f t="shared" si="164"/>
        <v>31</v>
      </c>
      <c r="AF3519" s="831" t="s">
        <v>4176</v>
      </c>
      <c r="AG3519" s="831" t="s">
        <v>131</v>
      </c>
      <c r="AH3519" s="831" t="s">
        <v>141</v>
      </c>
      <c r="AI3519" s="831">
        <v>0</v>
      </c>
      <c r="AJ3519" s="835">
        <v>40877</v>
      </c>
      <c r="AK3519" s="831">
        <v>2110275</v>
      </c>
      <c r="AP3519" s="831" t="str">
        <f t="shared" si="163"/>
        <v/>
      </c>
    </row>
    <row r="3520" spans="2:42">
      <c r="B3520" s="834" t="str">
        <f t="shared" si="162"/>
        <v>|||</v>
      </c>
      <c r="H3520" s="835">
        <f t="shared" si="164"/>
        <v>31</v>
      </c>
      <c r="AF3520" s="831" t="s">
        <v>4177</v>
      </c>
      <c r="AG3520" s="831" t="s">
        <v>131</v>
      </c>
      <c r="AH3520" s="831" t="s">
        <v>146</v>
      </c>
      <c r="AI3520" s="831">
        <v>0</v>
      </c>
      <c r="AJ3520" s="835">
        <v>40877</v>
      </c>
      <c r="AK3520" s="831">
        <v>-11704045</v>
      </c>
      <c r="AP3520" s="831" t="str">
        <f t="shared" si="163"/>
        <v/>
      </c>
    </row>
    <row r="3521" spans="2:42">
      <c r="B3521" s="834" t="str">
        <f t="shared" si="162"/>
        <v>|||</v>
      </c>
      <c r="H3521" s="835">
        <f t="shared" si="164"/>
        <v>31</v>
      </c>
      <c r="AF3521" s="831" t="s">
        <v>4178</v>
      </c>
      <c r="AG3521" s="831" t="s">
        <v>131</v>
      </c>
      <c r="AH3521" s="831" t="s">
        <v>150</v>
      </c>
      <c r="AI3521" s="831">
        <v>0</v>
      </c>
      <c r="AJ3521" s="835">
        <v>40877</v>
      </c>
      <c r="AK3521" s="831">
        <v>-11727879</v>
      </c>
      <c r="AP3521" s="831" t="str">
        <f t="shared" si="163"/>
        <v/>
      </c>
    </row>
    <row r="3522" spans="2:42">
      <c r="B3522" s="834" t="str">
        <f t="shared" si="162"/>
        <v>|||</v>
      </c>
      <c r="H3522" s="835">
        <f t="shared" si="164"/>
        <v>31</v>
      </c>
      <c r="AF3522" s="831" t="s">
        <v>4179</v>
      </c>
      <c r="AG3522" s="831" t="s">
        <v>131</v>
      </c>
      <c r="AH3522" s="831" t="s">
        <v>77</v>
      </c>
      <c r="AI3522" s="831">
        <v>0</v>
      </c>
      <c r="AJ3522" s="835">
        <v>40877</v>
      </c>
      <c r="AK3522" s="831">
        <v>-1365424</v>
      </c>
      <c r="AP3522" s="831" t="str">
        <f t="shared" si="163"/>
        <v/>
      </c>
    </row>
    <row r="3523" spans="2:42">
      <c r="B3523" s="834" t="str">
        <f t="shared" ref="B3523:B3586" si="165">C3523&amp;"|"&amp;D3523&amp;"|"&amp;E3523&amp;"|"&amp;F3523</f>
        <v>|||</v>
      </c>
      <c r="H3523" s="835">
        <f t="shared" si="164"/>
        <v>31</v>
      </c>
      <c r="AF3523" s="831" t="s">
        <v>4180</v>
      </c>
      <c r="AG3523" s="831" t="s">
        <v>131</v>
      </c>
      <c r="AH3523" s="831" t="s">
        <v>167</v>
      </c>
      <c r="AI3523" s="831">
        <v>0</v>
      </c>
      <c r="AJ3523" s="835">
        <v>40877</v>
      </c>
      <c r="AK3523" s="831">
        <v>0</v>
      </c>
      <c r="AP3523" s="831" t="str">
        <f t="shared" ref="AP3523:AP3586" si="166">IF(AX3523&lt;&gt;"",IF(OR(AX3523=3,AX3523=4),"Equity","Debt"),"")</f>
        <v/>
      </c>
    </row>
    <row r="3524" spans="2:42">
      <c r="B3524" s="834" t="str">
        <f t="shared" si="165"/>
        <v>|||</v>
      </c>
      <c r="H3524" s="835">
        <f t="shared" ref="H3524:H3587" si="167">EOMONTH(L3524,0)</f>
        <v>31</v>
      </c>
      <c r="AF3524" s="831" t="s">
        <v>4181</v>
      </c>
      <c r="AG3524" s="831" t="s">
        <v>131</v>
      </c>
      <c r="AH3524" s="831" t="s">
        <v>169</v>
      </c>
      <c r="AI3524" s="831">
        <v>0</v>
      </c>
      <c r="AJ3524" s="835">
        <v>40877</v>
      </c>
      <c r="AK3524" s="831">
        <v>-193544</v>
      </c>
      <c r="AP3524" s="831" t="str">
        <f t="shared" si="166"/>
        <v/>
      </c>
    </row>
    <row r="3525" spans="2:42">
      <c r="B3525" s="834" t="str">
        <f t="shared" si="165"/>
        <v>|||</v>
      </c>
      <c r="H3525" s="835">
        <f t="shared" si="167"/>
        <v>31</v>
      </c>
      <c r="AF3525" s="831" t="s">
        <v>4182</v>
      </c>
      <c r="AG3525" s="831" t="s">
        <v>131</v>
      </c>
      <c r="AH3525" s="831" t="s">
        <v>172</v>
      </c>
      <c r="AI3525" s="831">
        <v>0</v>
      </c>
      <c r="AJ3525" s="835">
        <v>40877</v>
      </c>
      <c r="AK3525" s="831">
        <v>22884</v>
      </c>
      <c r="AP3525" s="831" t="str">
        <f t="shared" si="166"/>
        <v/>
      </c>
    </row>
    <row r="3526" spans="2:42">
      <c r="B3526" s="834" t="str">
        <f t="shared" si="165"/>
        <v>|||</v>
      </c>
      <c r="H3526" s="835">
        <f t="shared" si="167"/>
        <v>31</v>
      </c>
      <c r="AF3526" s="831" t="s">
        <v>4183</v>
      </c>
      <c r="AG3526" s="831" t="s">
        <v>131</v>
      </c>
      <c r="AH3526" s="831" t="s">
        <v>175</v>
      </c>
      <c r="AI3526" s="831">
        <v>0</v>
      </c>
      <c r="AJ3526" s="835">
        <v>40877</v>
      </c>
      <c r="AK3526" s="831">
        <v>869784</v>
      </c>
      <c r="AP3526" s="831" t="str">
        <f t="shared" si="166"/>
        <v/>
      </c>
    </row>
    <row r="3527" spans="2:42">
      <c r="B3527" s="834" t="str">
        <f t="shared" si="165"/>
        <v>|||</v>
      </c>
      <c r="H3527" s="835">
        <f t="shared" si="167"/>
        <v>31</v>
      </c>
      <c r="AF3527" s="831" t="s">
        <v>4184</v>
      </c>
      <c r="AG3527" s="831" t="s">
        <v>131</v>
      </c>
      <c r="AH3527" s="831" t="s">
        <v>185</v>
      </c>
      <c r="AI3527" s="831">
        <v>0</v>
      </c>
      <c r="AJ3527" s="835">
        <v>40877</v>
      </c>
      <c r="AK3527" s="831">
        <v>-21731833</v>
      </c>
      <c r="AP3527" s="831" t="str">
        <f t="shared" si="166"/>
        <v/>
      </c>
    </row>
    <row r="3528" spans="2:42">
      <c r="B3528" s="834" t="str">
        <f t="shared" si="165"/>
        <v>|||</v>
      </c>
      <c r="H3528" s="835">
        <f t="shared" si="167"/>
        <v>31</v>
      </c>
      <c r="AF3528" s="831" t="s">
        <v>4185</v>
      </c>
      <c r="AG3528" s="831" t="s">
        <v>131</v>
      </c>
      <c r="AH3528" s="831" t="s">
        <v>188</v>
      </c>
      <c r="AI3528" s="831">
        <v>0</v>
      </c>
      <c r="AJ3528" s="835">
        <v>40877</v>
      </c>
      <c r="AK3528" s="831">
        <v>-12071672</v>
      </c>
      <c r="AP3528" s="831" t="str">
        <f t="shared" si="166"/>
        <v/>
      </c>
    </row>
    <row r="3529" spans="2:42">
      <c r="B3529" s="834" t="str">
        <f t="shared" si="165"/>
        <v>|||</v>
      </c>
      <c r="H3529" s="835">
        <f t="shared" si="167"/>
        <v>31</v>
      </c>
      <c r="AF3529" s="831" t="s">
        <v>4186</v>
      </c>
      <c r="AG3529" s="831" t="s">
        <v>131</v>
      </c>
      <c r="AH3529" s="831" t="s">
        <v>191</v>
      </c>
      <c r="AI3529" s="831">
        <v>0</v>
      </c>
      <c r="AJ3529" s="835">
        <v>40877</v>
      </c>
      <c r="AK3529" s="831">
        <v>-3674589</v>
      </c>
      <c r="AP3529" s="831" t="str">
        <f t="shared" si="166"/>
        <v/>
      </c>
    </row>
    <row r="3530" spans="2:42">
      <c r="B3530" s="834" t="str">
        <f t="shared" si="165"/>
        <v>|||</v>
      </c>
      <c r="H3530" s="835">
        <f t="shared" si="167"/>
        <v>31</v>
      </c>
      <c r="AF3530" s="831" t="s">
        <v>4187</v>
      </c>
      <c r="AG3530" s="831" t="s">
        <v>131</v>
      </c>
      <c r="AH3530" s="831" t="s">
        <v>198</v>
      </c>
      <c r="AI3530" s="831">
        <v>0</v>
      </c>
      <c r="AJ3530" s="835">
        <v>40877</v>
      </c>
      <c r="AK3530" s="831">
        <v>0</v>
      </c>
      <c r="AP3530" s="831" t="str">
        <f t="shared" si="166"/>
        <v/>
      </c>
    </row>
    <row r="3531" spans="2:42">
      <c r="B3531" s="834" t="str">
        <f t="shared" si="165"/>
        <v>|||</v>
      </c>
      <c r="H3531" s="835">
        <f t="shared" si="167"/>
        <v>31</v>
      </c>
      <c r="AF3531" s="831" t="s">
        <v>4188</v>
      </c>
      <c r="AG3531" s="831" t="s">
        <v>131</v>
      </c>
      <c r="AH3531" s="831" t="s">
        <v>200</v>
      </c>
      <c r="AI3531" s="831">
        <v>0</v>
      </c>
      <c r="AJ3531" s="835">
        <v>40877</v>
      </c>
      <c r="AK3531" s="831">
        <v>0</v>
      </c>
      <c r="AP3531" s="831" t="str">
        <f t="shared" si="166"/>
        <v/>
      </c>
    </row>
    <row r="3532" spans="2:42">
      <c r="B3532" s="834" t="str">
        <f t="shared" si="165"/>
        <v>|||</v>
      </c>
      <c r="H3532" s="835">
        <f t="shared" si="167"/>
        <v>31</v>
      </c>
      <c r="AF3532" s="831" t="s">
        <v>4189</v>
      </c>
      <c r="AG3532" s="831" t="s">
        <v>131</v>
      </c>
      <c r="AH3532" s="831" t="s">
        <v>205</v>
      </c>
      <c r="AI3532" s="831">
        <v>0</v>
      </c>
      <c r="AJ3532" s="835">
        <v>40877</v>
      </c>
      <c r="AK3532" s="831">
        <v>0</v>
      </c>
      <c r="AP3532" s="831" t="str">
        <f t="shared" si="166"/>
        <v/>
      </c>
    </row>
    <row r="3533" spans="2:42">
      <c r="B3533" s="834" t="str">
        <f t="shared" si="165"/>
        <v>|||</v>
      </c>
      <c r="H3533" s="835">
        <f t="shared" si="167"/>
        <v>31</v>
      </c>
      <c r="AF3533" s="831" t="s">
        <v>4190</v>
      </c>
      <c r="AG3533" s="831" t="s">
        <v>131</v>
      </c>
      <c r="AH3533" s="831" t="s">
        <v>122</v>
      </c>
      <c r="AI3533" s="831">
        <v>0</v>
      </c>
      <c r="AJ3533" s="835">
        <v>40877</v>
      </c>
      <c r="AK3533" s="831">
        <v>0</v>
      </c>
      <c r="AP3533" s="831" t="str">
        <f t="shared" si="166"/>
        <v/>
      </c>
    </row>
    <row r="3534" spans="2:42">
      <c r="B3534" s="834" t="str">
        <f t="shared" si="165"/>
        <v>|||</v>
      </c>
      <c r="H3534" s="835">
        <f t="shared" si="167"/>
        <v>31</v>
      </c>
      <c r="AF3534" s="831" t="s">
        <v>4191</v>
      </c>
      <c r="AG3534" s="831" t="s">
        <v>131</v>
      </c>
      <c r="AH3534" s="831" t="s">
        <v>213</v>
      </c>
      <c r="AI3534" s="831">
        <v>0</v>
      </c>
      <c r="AJ3534" s="835">
        <v>40877</v>
      </c>
      <c r="AK3534" s="831">
        <v>0</v>
      </c>
      <c r="AP3534" s="831" t="str">
        <f t="shared" si="166"/>
        <v/>
      </c>
    </row>
    <row r="3535" spans="2:42">
      <c r="B3535" s="834" t="str">
        <f t="shared" si="165"/>
        <v>|||</v>
      </c>
      <c r="H3535" s="835">
        <f t="shared" si="167"/>
        <v>31</v>
      </c>
      <c r="AF3535" s="831" t="s">
        <v>4192</v>
      </c>
      <c r="AG3535" s="831" t="s">
        <v>131</v>
      </c>
      <c r="AH3535" s="831" t="s">
        <v>215</v>
      </c>
      <c r="AI3535" s="831">
        <v>0</v>
      </c>
      <c r="AJ3535" s="835">
        <v>40877</v>
      </c>
      <c r="AK3535" s="831">
        <v>0</v>
      </c>
      <c r="AP3535" s="831" t="str">
        <f t="shared" si="166"/>
        <v/>
      </c>
    </row>
    <row r="3536" spans="2:42">
      <c r="B3536" s="834" t="str">
        <f t="shared" si="165"/>
        <v>|||</v>
      </c>
      <c r="H3536" s="835">
        <f t="shared" si="167"/>
        <v>31</v>
      </c>
      <c r="AF3536" s="831" t="s">
        <v>4193</v>
      </c>
      <c r="AG3536" s="831" t="s">
        <v>131</v>
      </c>
      <c r="AH3536" s="831" t="s">
        <v>217</v>
      </c>
      <c r="AI3536" s="831">
        <v>0</v>
      </c>
      <c r="AJ3536" s="835">
        <v>40877</v>
      </c>
      <c r="AK3536" s="831">
        <v>0</v>
      </c>
      <c r="AP3536" s="831" t="str">
        <f t="shared" si="166"/>
        <v/>
      </c>
    </row>
    <row r="3537" spans="2:42">
      <c r="B3537" s="834" t="str">
        <f t="shared" si="165"/>
        <v>|||</v>
      </c>
      <c r="H3537" s="835">
        <f t="shared" si="167"/>
        <v>31</v>
      </c>
      <c r="AF3537" s="831" t="s">
        <v>4194</v>
      </c>
      <c r="AG3537" s="831" t="s">
        <v>131</v>
      </c>
      <c r="AH3537" s="831" t="s">
        <v>223</v>
      </c>
      <c r="AI3537" s="831">
        <v>0</v>
      </c>
      <c r="AJ3537" s="835">
        <v>40877</v>
      </c>
      <c r="AK3537" s="831">
        <v>0</v>
      </c>
      <c r="AP3537" s="831" t="str">
        <f t="shared" si="166"/>
        <v/>
      </c>
    </row>
    <row r="3538" spans="2:42">
      <c r="B3538" s="834" t="str">
        <f t="shared" si="165"/>
        <v>|||</v>
      </c>
      <c r="H3538" s="835">
        <f t="shared" si="167"/>
        <v>31</v>
      </c>
      <c r="AF3538" s="831" t="s">
        <v>4195</v>
      </c>
      <c r="AG3538" s="831" t="s">
        <v>131</v>
      </c>
      <c r="AH3538" s="831" t="s">
        <v>224</v>
      </c>
      <c r="AI3538" s="831">
        <v>0</v>
      </c>
      <c r="AJ3538" s="835">
        <v>40877</v>
      </c>
      <c r="AK3538" s="831">
        <v>0</v>
      </c>
      <c r="AP3538" s="831" t="str">
        <f t="shared" si="166"/>
        <v/>
      </c>
    </row>
    <row r="3539" spans="2:42">
      <c r="B3539" s="834" t="str">
        <f t="shared" si="165"/>
        <v>|||</v>
      </c>
      <c r="H3539" s="835">
        <f t="shared" si="167"/>
        <v>31</v>
      </c>
      <c r="AF3539" s="831" t="s">
        <v>4196</v>
      </c>
      <c r="AG3539" s="831" t="s">
        <v>131</v>
      </c>
      <c r="AH3539" s="831" t="s">
        <v>128</v>
      </c>
      <c r="AI3539" s="831">
        <v>0</v>
      </c>
      <c r="AJ3539" s="835">
        <v>40877</v>
      </c>
      <c r="AK3539" s="831">
        <v>0</v>
      </c>
      <c r="AP3539" s="831" t="str">
        <f t="shared" si="166"/>
        <v/>
      </c>
    </row>
    <row r="3540" spans="2:42">
      <c r="B3540" s="834" t="str">
        <f t="shared" si="165"/>
        <v>|||</v>
      </c>
      <c r="H3540" s="835">
        <f t="shared" si="167"/>
        <v>31</v>
      </c>
      <c r="AF3540" s="831" t="s">
        <v>4197</v>
      </c>
      <c r="AG3540" s="831" t="s">
        <v>131</v>
      </c>
      <c r="AH3540" s="831" t="s">
        <v>3237</v>
      </c>
      <c r="AI3540" s="831">
        <v>0</v>
      </c>
      <c r="AJ3540" s="835">
        <v>40877</v>
      </c>
      <c r="AK3540" s="831">
        <v>0</v>
      </c>
      <c r="AP3540" s="831" t="str">
        <f t="shared" si="166"/>
        <v/>
      </c>
    </row>
    <row r="3541" spans="2:42">
      <c r="B3541" s="834" t="str">
        <f t="shared" si="165"/>
        <v>|||</v>
      </c>
      <c r="H3541" s="835">
        <f t="shared" si="167"/>
        <v>31</v>
      </c>
      <c r="AF3541" s="831" t="s">
        <v>4198</v>
      </c>
      <c r="AG3541" s="831" t="s">
        <v>131</v>
      </c>
      <c r="AH3541" s="831" t="s">
        <v>3239</v>
      </c>
      <c r="AI3541" s="831">
        <v>0</v>
      </c>
      <c r="AJ3541" s="835">
        <v>40877</v>
      </c>
      <c r="AK3541" s="831">
        <v>0</v>
      </c>
      <c r="AP3541" s="831" t="str">
        <f t="shared" si="166"/>
        <v/>
      </c>
    </row>
    <row r="3542" spans="2:42">
      <c r="B3542" s="834" t="str">
        <f t="shared" si="165"/>
        <v>|||</v>
      </c>
      <c r="H3542" s="835">
        <f t="shared" si="167"/>
        <v>31</v>
      </c>
      <c r="AF3542" s="831" t="s">
        <v>4199</v>
      </c>
      <c r="AG3542" s="831" t="s">
        <v>131</v>
      </c>
      <c r="AH3542" s="831" t="s">
        <v>138</v>
      </c>
      <c r="AI3542" s="831">
        <v>0</v>
      </c>
      <c r="AJ3542" s="835">
        <v>40908</v>
      </c>
      <c r="AK3542" s="831">
        <v>83988720</v>
      </c>
      <c r="AP3542" s="831" t="str">
        <f t="shared" si="166"/>
        <v/>
      </c>
    </row>
    <row r="3543" spans="2:42">
      <c r="B3543" s="834" t="str">
        <f t="shared" si="165"/>
        <v>|||</v>
      </c>
      <c r="H3543" s="835">
        <f t="shared" si="167"/>
        <v>31</v>
      </c>
      <c r="AF3543" s="831" t="s">
        <v>4200</v>
      </c>
      <c r="AG3543" s="831" t="s">
        <v>131</v>
      </c>
      <c r="AH3543" s="831" t="s">
        <v>141</v>
      </c>
      <c r="AI3543" s="831">
        <v>0</v>
      </c>
      <c r="AJ3543" s="835">
        <v>40908</v>
      </c>
      <c r="AK3543" s="831">
        <v>2320837</v>
      </c>
      <c r="AP3543" s="831" t="str">
        <f t="shared" si="166"/>
        <v/>
      </c>
    </row>
    <row r="3544" spans="2:42">
      <c r="B3544" s="834" t="str">
        <f t="shared" si="165"/>
        <v>|||</v>
      </c>
      <c r="H3544" s="835">
        <f t="shared" si="167"/>
        <v>31</v>
      </c>
      <c r="AF3544" s="831" t="s">
        <v>4201</v>
      </c>
      <c r="AG3544" s="831" t="s">
        <v>131</v>
      </c>
      <c r="AH3544" s="831" t="s">
        <v>146</v>
      </c>
      <c r="AI3544" s="831">
        <v>0</v>
      </c>
      <c r="AJ3544" s="835">
        <v>40908</v>
      </c>
      <c r="AK3544" s="831">
        <v>-12708764</v>
      </c>
      <c r="AP3544" s="831" t="str">
        <f t="shared" si="166"/>
        <v/>
      </c>
    </row>
    <row r="3545" spans="2:42">
      <c r="B3545" s="834" t="str">
        <f t="shared" si="165"/>
        <v>|||</v>
      </c>
      <c r="H3545" s="835">
        <f t="shared" si="167"/>
        <v>31</v>
      </c>
      <c r="AF3545" s="831" t="s">
        <v>4202</v>
      </c>
      <c r="AG3545" s="831" t="s">
        <v>131</v>
      </c>
      <c r="AH3545" s="831" t="s">
        <v>150</v>
      </c>
      <c r="AI3545" s="831">
        <v>0</v>
      </c>
      <c r="AJ3545" s="835">
        <v>40908</v>
      </c>
      <c r="AK3545" s="831">
        <v>-12780576</v>
      </c>
      <c r="AP3545" s="831" t="str">
        <f t="shared" si="166"/>
        <v/>
      </c>
    </row>
    <row r="3546" spans="2:42">
      <c r="B3546" s="834" t="str">
        <f t="shared" si="165"/>
        <v>|||</v>
      </c>
      <c r="H3546" s="835">
        <f t="shared" si="167"/>
        <v>31</v>
      </c>
      <c r="AF3546" s="831" t="s">
        <v>4203</v>
      </c>
      <c r="AG3546" s="831" t="s">
        <v>131</v>
      </c>
      <c r="AH3546" s="831" t="s">
        <v>77</v>
      </c>
      <c r="AI3546" s="831">
        <v>0</v>
      </c>
      <c r="AJ3546" s="835">
        <v>40908</v>
      </c>
      <c r="AK3546" s="831">
        <v>-1382790</v>
      </c>
      <c r="AP3546" s="831" t="str">
        <f t="shared" si="166"/>
        <v/>
      </c>
    </row>
    <row r="3547" spans="2:42">
      <c r="B3547" s="834" t="str">
        <f t="shared" si="165"/>
        <v>|||</v>
      </c>
      <c r="H3547" s="835">
        <f t="shared" si="167"/>
        <v>31</v>
      </c>
      <c r="AF3547" s="831" t="s">
        <v>4204</v>
      </c>
      <c r="AG3547" s="831" t="s">
        <v>131</v>
      </c>
      <c r="AH3547" s="831" t="s">
        <v>167</v>
      </c>
      <c r="AI3547" s="831">
        <v>0</v>
      </c>
      <c r="AJ3547" s="835">
        <v>40908</v>
      </c>
      <c r="AK3547" s="831">
        <v>0</v>
      </c>
      <c r="AP3547" s="831" t="str">
        <f t="shared" si="166"/>
        <v/>
      </c>
    </row>
    <row r="3548" spans="2:42">
      <c r="B3548" s="834" t="str">
        <f t="shared" si="165"/>
        <v>|||</v>
      </c>
      <c r="H3548" s="835">
        <f t="shared" si="167"/>
        <v>31</v>
      </c>
      <c r="AF3548" s="831" t="s">
        <v>4205</v>
      </c>
      <c r="AG3548" s="831" t="s">
        <v>131</v>
      </c>
      <c r="AH3548" s="831" t="s">
        <v>169</v>
      </c>
      <c r="AI3548" s="831">
        <v>0</v>
      </c>
      <c r="AJ3548" s="835">
        <v>40908</v>
      </c>
      <c r="AK3548" s="831">
        <v>-230243</v>
      </c>
      <c r="AP3548" s="831" t="str">
        <f t="shared" si="166"/>
        <v/>
      </c>
    </row>
    <row r="3549" spans="2:42">
      <c r="B3549" s="834" t="str">
        <f t="shared" si="165"/>
        <v>|||</v>
      </c>
      <c r="H3549" s="835">
        <f t="shared" si="167"/>
        <v>31</v>
      </c>
      <c r="AF3549" s="831" t="s">
        <v>4206</v>
      </c>
      <c r="AG3549" s="831" t="s">
        <v>131</v>
      </c>
      <c r="AH3549" s="831" t="s">
        <v>172</v>
      </c>
      <c r="AI3549" s="831">
        <v>0</v>
      </c>
      <c r="AJ3549" s="835">
        <v>40908</v>
      </c>
      <c r="AK3549" s="831">
        <v>-35232</v>
      </c>
      <c r="AP3549" s="831" t="str">
        <f t="shared" si="166"/>
        <v/>
      </c>
    </row>
    <row r="3550" spans="2:42">
      <c r="B3550" s="834" t="str">
        <f t="shared" si="165"/>
        <v>|||</v>
      </c>
      <c r="H3550" s="835">
        <f t="shared" si="167"/>
        <v>31</v>
      </c>
      <c r="AF3550" s="831" t="s">
        <v>4207</v>
      </c>
      <c r="AG3550" s="831" t="s">
        <v>131</v>
      </c>
      <c r="AH3550" s="831" t="s">
        <v>175</v>
      </c>
      <c r="AI3550" s="831">
        <v>0</v>
      </c>
      <c r="AJ3550" s="835">
        <v>40908</v>
      </c>
      <c r="AK3550" s="831">
        <v>853245</v>
      </c>
      <c r="AP3550" s="831" t="str">
        <f t="shared" si="166"/>
        <v/>
      </c>
    </row>
    <row r="3551" spans="2:42">
      <c r="B3551" s="834" t="str">
        <f t="shared" si="165"/>
        <v>|||</v>
      </c>
      <c r="H3551" s="835">
        <f t="shared" si="167"/>
        <v>31</v>
      </c>
      <c r="AF3551" s="831" t="s">
        <v>4208</v>
      </c>
      <c r="AG3551" s="831" t="s">
        <v>131</v>
      </c>
      <c r="AH3551" s="831" t="s">
        <v>185</v>
      </c>
      <c r="AI3551" s="831">
        <v>0</v>
      </c>
      <c r="AJ3551" s="835">
        <v>40908</v>
      </c>
      <c r="AK3551" s="831">
        <v>-25373623</v>
      </c>
      <c r="AP3551" s="831" t="str">
        <f t="shared" si="166"/>
        <v/>
      </c>
    </row>
    <row r="3552" spans="2:42">
      <c r="B3552" s="834" t="str">
        <f t="shared" si="165"/>
        <v>|||</v>
      </c>
      <c r="H3552" s="835">
        <f t="shared" si="167"/>
        <v>31</v>
      </c>
      <c r="AF3552" s="831" t="s">
        <v>4209</v>
      </c>
      <c r="AG3552" s="831" t="s">
        <v>131</v>
      </c>
      <c r="AH3552" s="831" t="s">
        <v>188</v>
      </c>
      <c r="AI3552" s="831">
        <v>0</v>
      </c>
      <c r="AJ3552" s="835">
        <v>40908</v>
      </c>
      <c r="AK3552" s="831">
        <v>-12895602</v>
      </c>
      <c r="AP3552" s="831" t="str">
        <f t="shared" si="166"/>
        <v/>
      </c>
    </row>
    <row r="3553" spans="2:42">
      <c r="B3553" s="834" t="str">
        <f t="shared" si="165"/>
        <v>|||</v>
      </c>
      <c r="H3553" s="835">
        <f t="shared" si="167"/>
        <v>31</v>
      </c>
      <c r="AF3553" s="831" t="s">
        <v>4210</v>
      </c>
      <c r="AG3553" s="831" t="s">
        <v>131</v>
      </c>
      <c r="AH3553" s="831" t="s">
        <v>191</v>
      </c>
      <c r="AI3553" s="831">
        <v>0</v>
      </c>
      <c r="AJ3553" s="835">
        <v>40908</v>
      </c>
      <c r="AK3553" s="831">
        <v>-3821726</v>
      </c>
      <c r="AP3553" s="831" t="str">
        <f t="shared" si="166"/>
        <v/>
      </c>
    </row>
    <row r="3554" spans="2:42">
      <c r="B3554" s="834" t="str">
        <f t="shared" si="165"/>
        <v>|||</v>
      </c>
      <c r="H3554" s="835">
        <f t="shared" si="167"/>
        <v>31</v>
      </c>
      <c r="AF3554" s="831" t="s">
        <v>4211</v>
      </c>
      <c r="AG3554" s="831" t="s">
        <v>131</v>
      </c>
      <c r="AH3554" s="831" t="s">
        <v>198</v>
      </c>
      <c r="AI3554" s="831">
        <v>0</v>
      </c>
      <c r="AJ3554" s="835">
        <v>40908</v>
      </c>
      <c r="AK3554" s="831">
        <v>0</v>
      </c>
      <c r="AP3554" s="831" t="str">
        <f t="shared" si="166"/>
        <v/>
      </c>
    </row>
    <row r="3555" spans="2:42">
      <c r="B3555" s="834" t="str">
        <f t="shared" si="165"/>
        <v>|||</v>
      </c>
      <c r="H3555" s="835">
        <f t="shared" si="167"/>
        <v>31</v>
      </c>
      <c r="AF3555" s="831" t="s">
        <v>4212</v>
      </c>
      <c r="AG3555" s="831" t="s">
        <v>131</v>
      </c>
      <c r="AH3555" s="831" t="s">
        <v>200</v>
      </c>
      <c r="AI3555" s="831">
        <v>0</v>
      </c>
      <c r="AJ3555" s="835">
        <v>40908</v>
      </c>
      <c r="AK3555" s="831">
        <v>0</v>
      </c>
      <c r="AP3555" s="831" t="str">
        <f t="shared" si="166"/>
        <v/>
      </c>
    </row>
    <row r="3556" spans="2:42">
      <c r="B3556" s="834" t="str">
        <f t="shared" si="165"/>
        <v>|||</v>
      </c>
      <c r="H3556" s="835">
        <f t="shared" si="167"/>
        <v>31</v>
      </c>
      <c r="AF3556" s="831" t="s">
        <v>4213</v>
      </c>
      <c r="AG3556" s="831" t="s">
        <v>131</v>
      </c>
      <c r="AH3556" s="831" t="s">
        <v>205</v>
      </c>
      <c r="AI3556" s="831">
        <v>0</v>
      </c>
      <c r="AJ3556" s="835">
        <v>40908</v>
      </c>
      <c r="AK3556" s="831">
        <v>-401455</v>
      </c>
      <c r="AP3556" s="831" t="str">
        <f t="shared" si="166"/>
        <v/>
      </c>
    </row>
    <row r="3557" spans="2:42">
      <c r="B3557" s="834" t="str">
        <f t="shared" si="165"/>
        <v>|||</v>
      </c>
      <c r="H3557" s="835">
        <f t="shared" si="167"/>
        <v>31</v>
      </c>
      <c r="AF3557" s="831" t="s">
        <v>4214</v>
      </c>
      <c r="AG3557" s="831" t="s">
        <v>131</v>
      </c>
      <c r="AH3557" s="831" t="s">
        <v>122</v>
      </c>
      <c r="AI3557" s="831">
        <v>0</v>
      </c>
      <c r="AJ3557" s="835">
        <v>40908</v>
      </c>
      <c r="AK3557" s="831">
        <v>0</v>
      </c>
      <c r="AP3557" s="831" t="str">
        <f t="shared" si="166"/>
        <v/>
      </c>
    </row>
    <row r="3558" spans="2:42">
      <c r="B3558" s="834" t="str">
        <f t="shared" si="165"/>
        <v>|||</v>
      </c>
      <c r="H3558" s="835">
        <f t="shared" si="167"/>
        <v>31</v>
      </c>
      <c r="AF3558" s="831" t="s">
        <v>4215</v>
      </c>
      <c r="AG3558" s="831" t="s">
        <v>131</v>
      </c>
      <c r="AH3558" s="831" t="s">
        <v>213</v>
      </c>
      <c r="AI3558" s="831">
        <v>0</v>
      </c>
      <c r="AJ3558" s="835">
        <v>40908</v>
      </c>
      <c r="AK3558" s="831">
        <v>0</v>
      </c>
      <c r="AP3558" s="831" t="str">
        <f t="shared" si="166"/>
        <v/>
      </c>
    </row>
    <row r="3559" spans="2:42">
      <c r="B3559" s="834" t="str">
        <f t="shared" si="165"/>
        <v>|||</v>
      </c>
      <c r="H3559" s="835">
        <f t="shared" si="167"/>
        <v>31</v>
      </c>
      <c r="AF3559" s="831" t="s">
        <v>4216</v>
      </c>
      <c r="AG3559" s="831" t="s">
        <v>131</v>
      </c>
      <c r="AH3559" s="831" t="s">
        <v>215</v>
      </c>
      <c r="AI3559" s="831">
        <v>0</v>
      </c>
      <c r="AJ3559" s="835">
        <v>40908</v>
      </c>
      <c r="AK3559" s="831">
        <v>0</v>
      </c>
      <c r="AP3559" s="831" t="str">
        <f t="shared" si="166"/>
        <v/>
      </c>
    </row>
    <row r="3560" spans="2:42">
      <c r="B3560" s="834" t="str">
        <f t="shared" si="165"/>
        <v>|||</v>
      </c>
      <c r="H3560" s="835">
        <f t="shared" si="167"/>
        <v>31</v>
      </c>
      <c r="AF3560" s="831" t="s">
        <v>4217</v>
      </c>
      <c r="AG3560" s="831" t="s">
        <v>131</v>
      </c>
      <c r="AH3560" s="831" t="s">
        <v>217</v>
      </c>
      <c r="AI3560" s="831">
        <v>0</v>
      </c>
      <c r="AJ3560" s="835">
        <v>40908</v>
      </c>
      <c r="AK3560" s="831">
        <v>0</v>
      </c>
      <c r="AP3560" s="831" t="str">
        <f t="shared" si="166"/>
        <v/>
      </c>
    </row>
    <row r="3561" spans="2:42">
      <c r="B3561" s="834" t="str">
        <f t="shared" si="165"/>
        <v>|||</v>
      </c>
      <c r="H3561" s="835">
        <f t="shared" si="167"/>
        <v>31</v>
      </c>
      <c r="AF3561" s="831" t="s">
        <v>4218</v>
      </c>
      <c r="AG3561" s="831" t="s">
        <v>131</v>
      </c>
      <c r="AH3561" s="831" t="s">
        <v>223</v>
      </c>
      <c r="AI3561" s="831">
        <v>0</v>
      </c>
      <c r="AJ3561" s="835">
        <v>40908</v>
      </c>
      <c r="AK3561" s="831">
        <v>0</v>
      </c>
      <c r="AP3561" s="831" t="str">
        <f t="shared" si="166"/>
        <v/>
      </c>
    </row>
    <row r="3562" spans="2:42">
      <c r="B3562" s="834" t="str">
        <f t="shared" si="165"/>
        <v>|||</v>
      </c>
      <c r="H3562" s="835">
        <f t="shared" si="167"/>
        <v>31</v>
      </c>
      <c r="AF3562" s="831" t="s">
        <v>4219</v>
      </c>
      <c r="AG3562" s="831" t="s">
        <v>131</v>
      </c>
      <c r="AH3562" s="831" t="s">
        <v>224</v>
      </c>
      <c r="AI3562" s="831">
        <v>0</v>
      </c>
      <c r="AJ3562" s="835">
        <v>40908</v>
      </c>
      <c r="AK3562" s="831">
        <v>0</v>
      </c>
      <c r="AP3562" s="831" t="str">
        <f t="shared" si="166"/>
        <v/>
      </c>
    </row>
    <row r="3563" spans="2:42">
      <c r="B3563" s="834" t="str">
        <f t="shared" si="165"/>
        <v>|||</v>
      </c>
      <c r="H3563" s="835">
        <f t="shared" si="167"/>
        <v>31</v>
      </c>
      <c r="AF3563" s="831" t="s">
        <v>4220</v>
      </c>
      <c r="AG3563" s="831" t="s">
        <v>131</v>
      </c>
      <c r="AH3563" s="831" t="s">
        <v>128</v>
      </c>
      <c r="AI3563" s="831">
        <v>0</v>
      </c>
      <c r="AJ3563" s="835">
        <v>40908</v>
      </c>
      <c r="AK3563" s="831">
        <v>0</v>
      </c>
      <c r="AP3563" s="831" t="str">
        <f t="shared" si="166"/>
        <v/>
      </c>
    </row>
    <row r="3564" spans="2:42">
      <c r="B3564" s="834" t="str">
        <f t="shared" si="165"/>
        <v>|||</v>
      </c>
      <c r="H3564" s="835">
        <f t="shared" si="167"/>
        <v>31</v>
      </c>
      <c r="AF3564" s="831" t="s">
        <v>4221</v>
      </c>
      <c r="AG3564" s="831" t="s">
        <v>131</v>
      </c>
      <c r="AH3564" s="831" t="s">
        <v>3237</v>
      </c>
      <c r="AI3564" s="831">
        <v>0</v>
      </c>
      <c r="AJ3564" s="835">
        <v>40908</v>
      </c>
      <c r="AK3564" s="831">
        <v>0</v>
      </c>
      <c r="AP3564" s="831" t="str">
        <f t="shared" si="166"/>
        <v/>
      </c>
    </row>
    <row r="3565" spans="2:42">
      <c r="B3565" s="834" t="str">
        <f t="shared" si="165"/>
        <v>|||</v>
      </c>
      <c r="H3565" s="835">
        <f t="shared" si="167"/>
        <v>31</v>
      </c>
      <c r="AF3565" s="831" t="s">
        <v>4222</v>
      </c>
      <c r="AG3565" s="831" t="s">
        <v>131</v>
      </c>
      <c r="AH3565" s="831" t="s">
        <v>3239</v>
      </c>
      <c r="AI3565" s="831">
        <v>0</v>
      </c>
      <c r="AJ3565" s="835">
        <v>40908</v>
      </c>
      <c r="AK3565" s="831">
        <v>0</v>
      </c>
      <c r="AP3565" s="831" t="str">
        <f t="shared" si="166"/>
        <v/>
      </c>
    </row>
    <row r="3566" spans="2:42">
      <c r="B3566" s="834" t="str">
        <f t="shared" si="165"/>
        <v>|||</v>
      </c>
      <c r="H3566" s="835">
        <f t="shared" si="167"/>
        <v>31</v>
      </c>
      <c r="AF3566" s="831" t="s">
        <v>4223</v>
      </c>
      <c r="AG3566" s="831" t="s">
        <v>132</v>
      </c>
      <c r="AH3566" s="831" t="s">
        <v>68</v>
      </c>
      <c r="AI3566" s="831">
        <v>0</v>
      </c>
      <c r="AJ3566" s="835">
        <v>40209</v>
      </c>
      <c r="AK3566" s="831">
        <v>0</v>
      </c>
      <c r="AP3566" s="831" t="str">
        <f t="shared" si="166"/>
        <v/>
      </c>
    </row>
    <row r="3567" spans="2:42">
      <c r="B3567" s="834" t="str">
        <f t="shared" si="165"/>
        <v>|||</v>
      </c>
      <c r="H3567" s="835">
        <f t="shared" si="167"/>
        <v>31</v>
      </c>
      <c r="AF3567" s="831" t="s">
        <v>4224</v>
      </c>
      <c r="AG3567" s="831" t="s">
        <v>132</v>
      </c>
      <c r="AH3567" s="831" t="s">
        <v>73</v>
      </c>
      <c r="AI3567" s="831">
        <v>0</v>
      </c>
      <c r="AJ3567" s="835">
        <v>40209</v>
      </c>
      <c r="AK3567" s="831">
        <v>0</v>
      </c>
      <c r="AP3567" s="831" t="str">
        <f t="shared" si="166"/>
        <v/>
      </c>
    </row>
    <row r="3568" spans="2:42">
      <c r="B3568" s="834" t="str">
        <f t="shared" si="165"/>
        <v>|||</v>
      </c>
      <c r="H3568" s="835">
        <f t="shared" si="167"/>
        <v>31</v>
      </c>
      <c r="AF3568" s="831" t="s">
        <v>4225</v>
      </c>
      <c r="AG3568" s="831" t="s">
        <v>132</v>
      </c>
      <c r="AH3568" s="831" t="s">
        <v>147</v>
      </c>
      <c r="AI3568" s="831">
        <v>0</v>
      </c>
      <c r="AJ3568" s="835">
        <v>40209</v>
      </c>
      <c r="AK3568" s="831">
        <v>0</v>
      </c>
      <c r="AP3568" s="831" t="str">
        <f t="shared" si="166"/>
        <v/>
      </c>
    </row>
    <row r="3569" spans="2:42">
      <c r="B3569" s="834" t="str">
        <f t="shared" si="165"/>
        <v>|||</v>
      </c>
      <c r="H3569" s="835">
        <f t="shared" si="167"/>
        <v>31</v>
      </c>
      <c r="AF3569" s="831" t="s">
        <v>4226</v>
      </c>
      <c r="AG3569" s="831" t="s">
        <v>132</v>
      </c>
      <c r="AH3569" s="831" t="s">
        <v>151</v>
      </c>
      <c r="AI3569" s="831">
        <v>0</v>
      </c>
      <c r="AJ3569" s="835">
        <v>40209</v>
      </c>
      <c r="AK3569" s="831">
        <v>0</v>
      </c>
      <c r="AP3569" s="831" t="str">
        <f t="shared" si="166"/>
        <v/>
      </c>
    </row>
    <row r="3570" spans="2:42">
      <c r="B3570" s="834" t="str">
        <f t="shared" si="165"/>
        <v>|||</v>
      </c>
      <c r="H3570" s="835">
        <f t="shared" si="167"/>
        <v>31</v>
      </c>
      <c r="AF3570" s="831" t="s">
        <v>4227</v>
      </c>
      <c r="AG3570" s="831" t="s">
        <v>132</v>
      </c>
      <c r="AH3570" s="831" t="s">
        <v>155</v>
      </c>
      <c r="AI3570" s="831">
        <v>0</v>
      </c>
      <c r="AJ3570" s="835">
        <v>40209</v>
      </c>
      <c r="AK3570" s="831">
        <v>0</v>
      </c>
      <c r="AP3570" s="831" t="str">
        <f t="shared" si="166"/>
        <v/>
      </c>
    </row>
    <row r="3571" spans="2:42">
      <c r="B3571" s="834" t="str">
        <f t="shared" si="165"/>
        <v>|||</v>
      </c>
      <c r="H3571" s="835">
        <f t="shared" si="167"/>
        <v>31</v>
      </c>
      <c r="AF3571" s="831" t="s">
        <v>4228</v>
      </c>
      <c r="AG3571" s="831" t="s">
        <v>132</v>
      </c>
      <c r="AH3571" s="831" t="s">
        <v>158</v>
      </c>
      <c r="AI3571" s="831">
        <v>0</v>
      </c>
      <c r="AJ3571" s="835">
        <v>40209</v>
      </c>
      <c r="AK3571" s="831">
        <v>0</v>
      </c>
      <c r="AP3571" s="831" t="str">
        <f t="shared" si="166"/>
        <v/>
      </c>
    </row>
    <row r="3572" spans="2:42">
      <c r="B3572" s="834" t="str">
        <f t="shared" si="165"/>
        <v>|||</v>
      </c>
      <c r="H3572" s="835">
        <f t="shared" si="167"/>
        <v>31</v>
      </c>
      <c r="AF3572" s="831" t="s">
        <v>4229</v>
      </c>
      <c r="AG3572" s="831" t="s">
        <v>132</v>
      </c>
      <c r="AH3572" s="831" t="s">
        <v>160</v>
      </c>
      <c r="AI3572" s="831">
        <v>0</v>
      </c>
      <c r="AJ3572" s="835">
        <v>40209</v>
      </c>
      <c r="AK3572" s="831">
        <v>0</v>
      </c>
      <c r="AP3572" s="831" t="str">
        <f t="shared" si="166"/>
        <v/>
      </c>
    </row>
    <row r="3573" spans="2:42">
      <c r="B3573" s="834" t="str">
        <f t="shared" si="165"/>
        <v>|||</v>
      </c>
      <c r="H3573" s="835">
        <f t="shared" si="167"/>
        <v>31</v>
      </c>
      <c r="AF3573" s="831" t="s">
        <v>4230</v>
      </c>
      <c r="AG3573" s="831" t="s">
        <v>132</v>
      </c>
      <c r="AH3573" s="831" t="s">
        <v>161</v>
      </c>
      <c r="AI3573" s="831">
        <v>0</v>
      </c>
      <c r="AJ3573" s="835">
        <v>40209</v>
      </c>
      <c r="AK3573" s="831">
        <v>0</v>
      </c>
      <c r="AP3573" s="831" t="str">
        <f t="shared" si="166"/>
        <v/>
      </c>
    </row>
    <row r="3574" spans="2:42">
      <c r="B3574" s="834" t="str">
        <f t="shared" si="165"/>
        <v>|||</v>
      </c>
      <c r="H3574" s="835">
        <f t="shared" si="167"/>
        <v>31</v>
      </c>
      <c r="AF3574" s="831" t="s">
        <v>4231</v>
      </c>
      <c r="AG3574" s="831" t="s">
        <v>132</v>
      </c>
      <c r="AH3574" s="831" t="s">
        <v>170</v>
      </c>
      <c r="AI3574" s="831">
        <v>0</v>
      </c>
      <c r="AJ3574" s="835">
        <v>40209</v>
      </c>
      <c r="AK3574" s="831">
        <v>0</v>
      </c>
      <c r="AP3574" s="831" t="str">
        <f t="shared" si="166"/>
        <v/>
      </c>
    </row>
    <row r="3575" spans="2:42">
      <c r="B3575" s="834" t="str">
        <f t="shared" si="165"/>
        <v>|||</v>
      </c>
      <c r="H3575" s="835">
        <f t="shared" si="167"/>
        <v>31</v>
      </c>
      <c r="AF3575" s="831" t="s">
        <v>4232</v>
      </c>
      <c r="AG3575" s="831" t="s">
        <v>132</v>
      </c>
      <c r="AH3575" s="831" t="s">
        <v>173</v>
      </c>
      <c r="AI3575" s="831">
        <v>0</v>
      </c>
      <c r="AJ3575" s="835">
        <v>40209</v>
      </c>
      <c r="AK3575" s="831">
        <v>0</v>
      </c>
      <c r="AP3575" s="831" t="str">
        <f t="shared" si="166"/>
        <v/>
      </c>
    </row>
    <row r="3576" spans="2:42">
      <c r="B3576" s="834" t="str">
        <f t="shared" si="165"/>
        <v>|||</v>
      </c>
      <c r="H3576" s="835">
        <f t="shared" si="167"/>
        <v>31</v>
      </c>
      <c r="AF3576" s="831" t="s">
        <v>4233</v>
      </c>
      <c r="AG3576" s="831" t="s">
        <v>132</v>
      </c>
      <c r="AH3576" s="831" t="s">
        <v>78</v>
      </c>
      <c r="AI3576" s="831">
        <v>0</v>
      </c>
      <c r="AJ3576" s="835">
        <v>40209</v>
      </c>
      <c r="AK3576" s="831">
        <v>0</v>
      </c>
      <c r="AP3576" s="831" t="str">
        <f t="shared" si="166"/>
        <v/>
      </c>
    </row>
    <row r="3577" spans="2:42">
      <c r="B3577" s="834" t="str">
        <f t="shared" si="165"/>
        <v>|||</v>
      </c>
      <c r="H3577" s="835">
        <f t="shared" si="167"/>
        <v>31</v>
      </c>
      <c r="AF3577" s="831" t="s">
        <v>4234</v>
      </c>
      <c r="AG3577" s="831" t="s">
        <v>132</v>
      </c>
      <c r="AH3577" s="831" t="s">
        <v>183</v>
      </c>
      <c r="AI3577" s="831">
        <v>0</v>
      </c>
      <c r="AJ3577" s="835">
        <v>40209</v>
      </c>
      <c r="AK3577" s="831">
        <v>179153</v>
      </c>
      <c r="AP3577" s="831" t="str">
        <f t="shared" si="166"/>
        <v/>
      </c>
    </row>
    <row r="3578" spans="2:42">
      <c r="B3578" s="834" t="str">
        <f t="shared" si="165"/>
        <v>|||</v>
      </c>
      <c r="H3578" s="835">
        <f t="shared" si="167"/>
        <v>31</v>
      </c>
      <c r="AF3578" s="831" t="s">
        <v>4235</v>
      </c>
      <c r="AG3578" s="831" t="s">
        <v>132</v>
      </c>
      <c r="AH3578" s="831" t="s">
        <v>186</v>
      </c>
      <c r="AI3578" s="831">
        <v>0</v>
      </c>
      <c r="AJ3578" s="835">
        <v>40209</v>
      </c>
      <c r="AK3578" s="831">
        <v>0</v>
      </c>
      <c r="AP3578" s="831" t="str">
        <f t="shared" si="166"/>
        <v/>
      </c>
    </row>
    <row r="3579" spans="2:42">
      <c r="B3579" s="834" t="str">
        <f t="shared" si="165"/>
        <v>|||</v>
      </c>
      <c r="H3579" s="835">
        <f t="shared" si="167"/>
        <v>31</v>
      </c>
      <c r="AF3579" s="831" t="s">
        <v>4236</v>
      </c>
      <c r="AG3579" s="831" t="s">
        <v>132</v>
      </c>
      <c r="AH3579" s="831" t="s">
        <v>189</v>
      </c>
      <c r="AI3579" s="831">
        <v>0</v>
      </c>
      <c r="AJ3579" s="835">
        <v>40209</v>
      </c>
      <c r="AK3579" s="831">
        <v>0</v>
      </c>
      <c r="AP3579" s="831" t="str">
        <f t="shared" si="166"/>
        <v/>
      </c>
    </row>
    <row r="3580" spans="2:42">
      <c r="B3580" s="834" t="str">
        <f t="shared" si="165"/>
        <v>|||</v>
      </c>
      <c r="H3580" s="835">
        <f t="shared" si="167"/>
        <v>31</v>
      </c>
      <c r="AF3580" s="831" t="s">
        <v>4237</v>
      </c>
      <c r="AG3580" s="831" t="s">
        <v>132</v>
      </c>
      <c r="AH3580" s="831" t="s">
        <v>68</v>
      </c>
      <c r="AI3580" s="831">
        <v>0</v>
      </c>
      <c r="AJ3580" s="835">
        <v>40237</v>
      </c>
      <c r="AK3580" s="831">
        <v>0</v>
      </c>
      <c r="AP3580" s="831" t="str">
        <f t="shared" si="166"/>
        <v/>
      </c>
    </row>
    <row r="3581" spans="2:42">
      <c r="B3581" s="834" t="str">
        <f t="shared" si="165"/>
        <v>|||</v>
      </c>
      <c r="H3581" s="835">
        <f t="shared" si="167"/>
        <v>31</v>
      </c>
      <c r="AF3581" s="831" t="s">
        <v>4238</v>
      </c>
      <c r="AG3581" s="831" t="s">
        <v>132</v>
      </c>
      <c r="AH3581" s="831" t="s">
        <v>73</v>
      </c>
      <c r="AI3581" s="831">
        <v>0</v>
      </c>
      <c r="AJ3581" s="835">
        <v>40237</v>
      </c>
      <c r="AK3581" s="831">
        <v>0</v>
      </c>
      <c r="AP3581" s="831" t="str">
        <f t="shared" si="166"/>
        <v/>
      </c>
    </row>
    <row r="3582" spans="2:42">
      <c r="B3582" s="834" t="str">
        <f t="shared" si="165"/>
        <v>|||</v>
      </c>
      <c r="H3582" s="835">
        <f t="shared" si="167"/>
        <v>31</v>
      </c>
      <c r="AF3582" s="831" t="s">
        <v>4239</v>
      </c>
      <c r="AG3582" s="831" t="s">
        <v>132</v>
      </c>
      <c r="AH3582" s="831" t="s">
        <v>147</v>
      </c>
      <c r="AI3582" s="831">
        <v>0</v>
      </c>
      <c r="AJ3582" s="835">
        <v>40237</v>
      </c>
      <c r="AK3582" s="831">
        <v>0</v>
      </c>
      <c r="AP3582" s="831" t="str">
        <f t="shared" si="166"/>
        <v/>
      </c>
    </row>
    <row r="3583" spans="2:42">
      <c r="B3583" s="834" t="str">
        <f t="shared" si="165"/>
        <v>|||</v>
      </c>
      <c r="H3583" s="835">
        <f t="shared" si="167"/>
        <v>31</v>
      </c>
      <c r="AF3583" s="831" t="s">
        <v>4240</v>
      </c>
      <c r="AG3583" s="831" t="s">
        <v>132</v>
      </c>
      <c r="AH3583" s="831" t="s">
        <v>151</v>
      </c>
      <c r="AI3583" s="831">
        <v>0</v>
      </c>
      <c r="AJ3583" s="835">
        <v>40237</v>
      </c>
      <c r="AK3583" s="831">
        <v>0</v>
      </c>
      <c r="AP3583" s="831" t="str">
        <f t="shared" si="166"/>
        <v/>
      </c>
    </row>
    <row r="3584" spans="2:42">
      <c r="B3584" s="834" t="str">
        <f t="shared" si="165"/>
        <v>|||</v>
      </c>
      <c r="H3584" s="835">
        <f t="shared" si="167"/>
        <v>31</v>
      </c>
      <c r="AF3584" s="831" t="s">
        <v>4241</v>
      </c>
      <c r="AG3584" s="831" t="s">
        <v>132</v>
      </c>
      <c r="AH3584" s="831" t="s">
        <v>155</v>
      </c>
      <c r="AI3584" s="831">
        <v>0</v>
      </c>
      <c r="AJ3584" s="835">
        <v>40237</v>
      </c>
      <c r="AK3584" s="831">
        <v>0</v>
      </c>
      <c r="AP3584" s="831" t="str">
        <f t="shared" si="166"/>
        <v/>
      </c>
    </row>
    <row r="3585" spans="2:42">
      <c r="B3585" s="834" t="str">
        <f t="shared" si="165"/>
        <v>|||</v>
      </c>
      <c r="H3585" s="835">
        <f t="shared" si="167"/>
        <v>31</v>
      </c>
      <c r="AF3585" s="831" t="s">
        <v>4242</v>
      </c>
      <c r="AG3585" s="831" t="s">
        <v>132</v>
      </c>
      <c r="AH3585" s="831" t="s">
        <v>158</v>
      </c>
      <c r="AI3585" s="831">
        <v>0</v>
      </c>
      <c r="AJ3585" s="835">
        <v>40237</v>
      </c>
      <c r="AK3585" s="831">
        <v>0</v>
      </c>
      <c r="AP3585" s="831" t="str">
        <f t="shared" si="166"/>
        <v/>
      </c>
    </row>
    <row r="3586" spans="2:42">
      <c r="B3586" s="834" t="str">
        <f t="shared" si="165"/>
        <v>|||</v>
      </c>
      <c r="H3586" s="835">
        <f t="shared" si="167"/>
        <v>31</v>
      </c>
      <c r="AF3586" s="831" t="s">
        <v>4243</v>
      </c>
      <c r="AG3586" s="831" t="s">
        <v>132</v>
      </c>
      <c r="AH3586" s="831" t="s">
        <v>160</v>
      </c>
      <c r="AI3586" s="831">
        <v>0</v>
      </c>
      <c r="AJ3586" s="835">
        <v>40237</v>
      </c>
      <c r="AK3586" s="831">
        <v>0</v>
      </c>
      <c r="AP3586" s="831" t="str">
        <f t="shared" si="166"/>
        <v/>
      </c>
    </row>
    <row r="3587" spans="2:42">
      <c r="B3587" s="834" t="str">
        <f t="shared" ref="B3587:B3650" si="168">C3587&amp;"|"&amp;D3587&amp;"|"&amp;E3587&amp;"|"&amp;F3587</f>
        <v>|||</v>
      </c>
      <c r="H3587" s="835">
        <f t="shared" si="167"/>
        <v>31</v>
      </c>
      <c r="AF3587" s="831" t="s">
        <v>4244</v>
      </c>
      <c r="AG3587" s="831" t="s">
        <v>132</v>
      </c>
      <c r="AH3587" s="831" t="s">
        <v>161</v>
      </c>
      <c r="AI3587" s="831">
        <v>0</v>
      </c>
      <c r="AJ3587" s="835">
        <v>40237</v>
      </c>
      <c r="AK3587" s="831">
        <v>0</v>
      </c>
      <c r="AP3587" s="831" t="str">
        <f t="shared" ref="AP3587:AP3650" si="169">IF(AX3587&lt;&gt;"",IF(OR(AX3587=3,AX3587=4),"Equity","Debt"),"")</f>
        <v/>
      </c>
    </row>
    <row r="3588" spans="2:42">
      <c r="B3588" s="834" t="str">
        <f t="shared" si="168"/>
        <v>|||</v>
      </c>
      <c r="H3588" s="835">
        <f t="shared" ref="H3588:H3651" si="170">EOMONTH(L3588,0)</f>
        <v>31</v>
      </c>
      <c r="AF3588" s="831" t="s">
        <v>4245</v>
      </c>
      <c r="AG3588" s="831" t="s">
        <v>132</v>
      </c>
      <c r="AH3588" s="831" t="s">
        <v>170</v>
      </c>
      <c r="AI3588" s="831">
        <v>0</v>
      </c>
      <c r="AJ3588" s="835">
        <v>40237</v>
      </c>
      <c r="AK3588" s="831">
        <v>0</v>
      </c>
      <c r="AP3588" s="831" t="str">
        <f t="shared" si="169"/>
        <v/>
      </c>
    </row>
    <row r="3589" spans="2:42">
      <c r="B3589" s="834" t="str">
        <f t="shared" si="168"/>
        <v>|||</v>
      </c>
      <c r="H3589" s="835">
        <f t="shared" si="170"/>
        <v>31</v>
      </c>
      <c r="AF3589" s="831" t="s">
        <v>4246</v>
      </c>
      <c r="AG3589" s="831" t="s">
        <v>132</v>
      </c>
      <c r="AH3589" s="831" t="s">
        <v>173</v>
      </c>
      <c r="AI3589" s="831">
        <v>0</v>
      </c>
      <c r="AJ3589" s="835">
        <v>40237</v>
      </c>
      <c r="AK3589" s="831">
        <v>0</v>
      </c>
      <c r="AP3589" s="831" t="str">
        <f t="shared" si="169"/>
        <v/>
      </c>
    </row>
    <row r="3590" spans="2:42">
      <c r="B3590" s="834" t="str">
        <f t="shared" si="168"/>
        <v>|||</v>
      </c>
      <c r="H3590" s="835">
        <f t="shared" si="170"/>
        <v>31</v>
      </c>
      <c r="AF3590" s="831" t="s">
        <v>4247</v>
      </c>
      <c r="AG3590" s="831" t="s">
        <v>132</v>
      </c>
      <c r="AH3590" s="831" t="s">
        <v>78</v>
      </c>
      <c r="AI3590" s="831">
        <v>0</v>
      </c>
      <c r="AJ3590" s="835">
        <v>40237</v>
      </c>
      <c r="AK3590" s="831">
        <v>0</v>
      </c>
      <c r="AP3590" s="831" t="str">
        <f t="shared" si="169"/>
        <v/>
      </c>
    </row>
    <row r="3591" spans="2:42">
      <c r="B3591" s="834" t="str">
        <f t="shared" si="168"/>
        <v>|||</v>
      </c>
      <c r="H3591" s="835">
        <f t="shared" si="170"/>
        <v>31</v>
      </c>
      <c r="AF3591" s="831" t="s">
        <v>4248</v>
      </c>
      <c r="AG3591" s="831" t="s">
        <v>132</v>
      </c>
      <c r="AH3591" s="831" t="s">
        <v>183</v>
      </c>
      <c r="AI3591" s="831">
        <v>0</v>
      </c>
      <c r="AJ3591" s="835">
        <v>40237</v>
      </c>
      <c r="AK3591" s="831">
        <v>0</v>
      </c>
      <c r="AP3591" s="831" t="str">
        <f t="shared" si="169"/>
        <v/>
      </c>
    </row>
    <row r="3592" spans="2:42">
      <c r="B3592" s="834" t="str">
        <f t="shared" si="168"/>
        <v>|||</v>
      </c>
      <c r="H3592" s="835">
        <f t="shared" si="170"/>
        <v>31</v>
      </c>
      <c r="AF3592" s="831" t="s">
        <v>4249</v>
      </c>
      <c r="AG3592" s="831" t="s">
        <v>132</v>
      </c>
      <c r="AH3592" s="831" t="s">
        <v>186</v>
      </c>
      <c r="AI3592" s="831">
        <v>0</v>
      </c>
      <c r="AJ3592" s="835">
        <v>40237</v>
      </c>
      <c r="AK3592" s="831">
        <v>99054</v>
      </c>
      <c r="AP3592" s="831" t="str">
        <f t="shared" si="169"/>
        <v/>
      </c>
    </row>
    <row r="3593" spans="2:42">
      <c r="B3593" s="834" t="str">
        <f t="shared" si="168"/>
        <v>|||</v>
      </c>
      <c r="H3593" s="835">
        <f t="shared" si="170"/>
        <v>31</v>
      </c>
      <c r="AF3593" s="831" t="s">
        <v>4250</v>
      </c>
      <c r="AG3593" s="831" t="s">
        <v>132</v>
      </c>
      <c r="AH3593" s="831" t="s">
        <v>189</v>
      </c>
      <c r="AI3593" s="831">
        <v>0</v>
      </c>
      <c r="AJ3593" s="835">
        <v>40237</v>
      </c>
      <c r="AK3593" s="831">
        <v>0</v>
      </c>
      <c r="AP3593" s="831" t="str">
        <f t="shared" si="169"/>
        <v/>
      </c>
    </row>
    <row r="3594" spans="2:42">
      <c r="B3594" s="834" t="str">
        <f t="shared" si="168"/>
        <v>|||</v>
      </c>
      <c r="H3594" s="835">
        <f t="shared" si="170"/>
        <v>31</v>
      </c>
      <c r="AF3594" s="831" t="s">
        <v>4251</v>
      </c>
      <c r="AG3594" s="831" t="s">
        <v>132</v>
      </c>
      <c r="AH3594" s="831" t="s">
        <v>68</v>
      </c>
      <c r="AI3594" s="831">
        <v>0</v>
      </c>
      <c r="AJ3594" s="835">
        <v>40268</v>
      </c>
      <c r="AK3594" s="831">
        <v>0</v>
      </c>
      <c r="AP3594" s="831" t="str">
        <f t="shared" si="169"/>
        <v/>
      </c>
    </row>
    <row r="3595" spans="2:42">
      <c r="B3595" s="834" t="str">
        <f t="shared" si="168"/>
        <v>|||</v>
      </c>
      <c r="H3595" s="835">
        <f t="shared" si="170"/>
        <v>31</v>
      </c>
      <c r="AF3595" s="831" t="s">
        <v>4252</v>
      </c>
      <c r="AG3595" s="831" t="s">
        <v>132</v>
      </c>
      <c r="AH3595" s="831" t="s">
        <v>73</v>
      </c>
      <c r="AI3595" s="831">
        <v>0</v>
      </c>
      <c r="AJ3595" s="835">
        <v>40268</v>
      </c>
      <c r="AK3595" s="831">
        <v>0</v>
      </c>
      <c r="AP3595" s="831" t="str">
        <f t="shared" si="169"/>
        <v/>
      </c>
    </row>
    <row r="3596" spans="2:42">
      <c r="B3596" s="834" t="str">
        <f t="shared" si="168"/>
        <v>|||</v>
      </c>
      <c r="H3596" s="835">
        <f t="shared" si="170"/>
        <v>31</v>
      </c>
      <c r="AF3596" s="831" t="s">
        <v>4253</v>
      </c>
      <c r="AG3596" s="831" t="s">
        <v>132</v>
      </c>
      <c r="AH3596" s="831" t="s">
        <v>147</v>
      </c>
      <c r="AI3596" s="831">
        <v>0</v>
      </c>
      <c r="AJ3596" s="835">
        <v>40268</v>
      </c>
      <c r="AK3596" s="831">
        <v>0</v>
      </c>
      <c r="AP3596" s="831" t="str">
        <f t="shared" si="169"/>
        <v/>
      </c>
    </row>
    <row r="3597" spans="2:42">
      <c r="B3597" s="834" t="str">
        <f t="shared" si="168"/>
        <v>|||</v>
      </c>
      <c r="H3597" s="835">
        <f t="shared" si="170"/>
        <v>31</v>
      </c>
      <c r="AF3597" s="831" t="s">
        <v>4254</v>
      </c>
      <c r="AG3597" s="831" t="s">
        <v>132</v>
      </c>
      <c r="AH3597" s="831" t="s">
        <v>151</v>
      </c>
      <c r="AI3597" s="831">
        <v>0</v>
      </c>
      <c r="AJ3597" s="835">
        <v>40268</v>
      </c>
      <c r="AK3597" s="831">
        <v>0</v>
      </c>
      <c r="AP3597" s="831" t="str">
        <f t="shared" si="169"/>
        <v/>
      </c>
    </row>
    <row r="3598" spans="2:42">
      <c r="B3598" s="834" t="str">
        <f t="shared" si="168"/>
        <v>|||</v>
      </c>
      <c r="H3598" s="835">
        <f t="shared" si="170"/>
        <v>31</v>
      </c>
      <c r="AF3598" s="831" t="s">
        <v>4255</v>
      </c>
      <c r="AG3598" s="831" t="s">
        <v>132</v>
      </c>
      <c r="AH3598" s="831" t="s">
        <v>155</v>
      </c>
      <c r="AI3598" s="831">
        <v>0</v>
      </c>
      <c r="AJ3598" s="835">
        <v>40268</v>
      </c>
      <c r="AK3598" s="831">
        <v>0</v>
      </c>
      <c r="AP3598" s="831" t="str">
        <f t="shared" si="169"/>
        <v/>
      </c>
    </row>
    <row r="3599" spans="2:42">
      <c r="B3599" s="834" t="str">
        <f t="shared" si="168"/>
        <v>|||</v>
      </c>
      <c r="H3599" s="835">
        <f t="shared" si="170"/>
        <v>31</v>
      </c>
      <c r="AF3599" s="831" t="s">
        <v>4256</v>
      </c>
      <c r="AG3599" s="831" t="s">
        <v>132</v>
      </c>
      <c r="AH3599" s="831" t="s">
        <v>158</v>
      </c>
      <c r="AI3599" s="831">
        <v>0</v>
      </c>
      <c r="AJ3599" s="835">
        <v>40268</v>
      </c>
      <c r="AK3599" s="831">
        <v>0</v>
      </c>
      <c r="AP3599" s="831" t="str">
        <f t="shared" si="169"/>
        <v/>
      </c>
    </row>
    <row r="3600" spans="2:42">
      <c r="B3600" s="834" t="str">
        <f t="shared" si="168"/>
        <v>|||</v>
      </c>
      <c r="H3600" s="835">
        <f t="shared" si="170"/>
        <v>31</v>
      </c>
      <c r="AF3600" s="831" t="s">
        <v>4257</v>
      </c>
      <c r="AG3600" s="831" t="s">
        <v>132</v>
      </c>
      <c r="AH3600" s="831" t="s">
        <v>160</v>
      </c>
      <c r="AI3600" s="831">
        <v>0</v>
      </c>
      <c r="AJ3600" s="835">
        <v>40268</v>
      </c>
      <c r="AK3600" s="831">
        <v>0</v>
      </c>
      <c r="AP3600" s="831" t="str">
        <f t="shared" si="169"/>
        <v/>
      </c>
    </row>
    <row r="3601" spans="2:42">
      <c r="B3601" s="834" t="str">
        <f t="shared" si="168"/>
        <v>|||</v>
      </c>
      <c r="H3601" s="835">
        <f t="shared" si="170"/>
        <v>31</v>
      </c>
      <c r="AF3601" s="831" t="s">
        <v>4258</v>
      </c>
      <c r="AG3601" s="831" t="s">
        <v>132</v>
      </c>
      <c r="AH3601" s="831" t="s">
        <v>161</v>
      </c>
      <c r="AI3601" s="831">
        <v>0</v>
      </c>
      <c r="AJ3601" s="835">
        <v>40268</v>
      </c>
      <c r="AK3601" s="831">
        <v>0</v>
      </c>
      <c r="AP3601" s="831" t="str">
        <f t="shared" si="169"/>
        <v/>
      </c>
    </row>
    <row r="3602" spans="2:42">
      <c r="B3602" s="834" t="str">
        <f t="shared" si="168"/>
        <v>|||</v>
      </c>
      <c r="H3602" s="835">
        <f t="shared" si="170"/>
        <v>31</v>
      </c>
      <c r="AF3602" s="831" t="s">
        <v>4259</v>
      </c>
      <c r="AG3602" s="831" t="s">
        <v>132</v>
      </c>
      <c r="AH3602" s="831" t="s">
        <v>170</v>
      </c>
      <c r="AI3602" s="831">
        <v>0</v>
      </c>
      <c r="AJ3602" s="835">
        <v>40268</v>
      </c>
      <c r="AK3602" s="831">
        <v>0</v>
      </c>
      <c r="AP3602" s="831" t="str">
        <f t="shared" si="169"/>
        <v/>
      </c>
    </row>
    <row r="3603" spans="2:42">
      <c r="B3603" s="834" t="str">
        <f t="shared" si="168"/>
        <v>|||</v>
      </c>
      <c r="H3603" s="835">
        <f t="shared" si="170"/>
        <v>31</v>
      </c>
      <c r="AF3603" s="831" t="s">
        <v>4260</v>
      </c>
      <c r="AG3603" s="831" t="s">
        <v>132</v>
      </c>
      <c r="AH3603" s="831" t="s">
        <v>173</v>
      </c>
      <c r="AI3603" s="831">
        <v>0</v>
      </c>
      <c r="AJ3603" s="835">
        <v>40268</v>
      </c>
      <c r="AK3603" s="831">
        <v>0</v>
      </c>
      <c r="AP3603" s="831" t="str">
        <f t="shared" si="169"/>
        <v/>
      </c>
    </row>
    <row r="3604" spans="2:42">
      <c r="B3604" s="834" t="str">
        <f t="shared" si="168"/>
        <v>|||</v>
      </c>
      <c r="H3604" s="835">
        <f t="shared" si="170"/>
        <v>31</v>
      </c>
      <c r="AF3604" s="831" t="s">
        <v>4261</v>
      </c>
      <c r="AG3604" s="831" t="s">
        <v>132</v>
      </c>
      <c r="AH3604" s="831" t="s">
        <v>78</v>
      </c>
      <c r="AI3604" s="831">
        <v>0</v>
      </c>
      <c r="AJ3604" s="835">
        <v>40268</v>
      </c>
      <c r="AK3604" s="831">
        <v>0</v>
      </c>
      <c r="AP3604" s="831" t="str">
        <f t="shared" si="169"/>
        <v/>
      </c>
    </row>
    <row r="3605" spans="2:42">
      <c r="B3605" s="834" t="str">
        <f t="shared" si="168"/>
        <v>|||</v>
      </c>
      <c r="H3605" s="835">
        <f t="shared" si="170"/>
        <v>31</v>
      </c>
      <c r="AF3605" s="831" t="s">
        <v>4262</v>
      </c>
      <c r="AG3605" s="831" t="s">
        <v>132</v>
      </c>
      <c r="AH3605" s="831" t="s">
        <v>183</v>
      </c>
      <c r="AI3605" s="831">
        <v>0</v>
      </c>
      <c r="AJ3605" s="835">
        <v>40268</v>
      </c>
      <c r="AK3605" s="831">
        <v>0</v>
      </c>
      <c r="AP3605" s="831" t="str">
        <f t="shared" si="169"/>
        <v/>
      </c>
    </row>
    <row r="3606" spans="2:42">
      <c r="B3606" s="834" t="str">
        <f t="shared" si="168"/>
        <v>|||</v>
      </c>
      <c r="H3606" s="835">
        <f t="shared" si="170"/>
        <v>31</v>
      </c>
      <c r="AF3606" s="831" t="s">
        <v>4263</v>
      </c>
      <c r="AG3606" s="831" t="s">
        <v>132</v>
      </c>
      <c r="AH3606" s="831" t="s">
        <v>186</v>
      </c>
      <c r="AI3606" s="831">
        <v>0</v>
      </c>
      <c r="AJ3606" s="835">
        <v>40268</v>
      </c>
      <c r="AK3606" s="831">
        <v>0</v>
      </c>
      <c r="AP3606" s="831" t="str">
        <f t="shared" si="169"/>
        <v/>
      </c>
    </row>
    <row r="3607" spans="2:42">
      <c r="B3607" s="834" t="str">
        <f t="shared" si="168"/>
        <v>|||</v>
      </c>
      <c r="H3607" s="835">
        <f t="shared" si="170"/>
        <v>31</v>
      </c>
      <c r="AF3607" s="831" t="s">
        <v>4264</v>
      </c>
      <c r="AG3607" s="831" t="s">
        <v>132</v>
      </c>
      <c r="AH3607" s="831" t="s">
        <v>189</v>
      </c>
      <c r="AI3607" s="831">
        <v>0</v>
      </c>
      <c r="AJ3607" s="835">
        <v>40268</v>
      </c>
      <c r="AK3607" s="831">
        <v>0</v>
      </c>
      <c r="AP3607" s="831" t="str">
        <f t="shared" si="169"/>
        <v/>
      </c>
    </row>
    <row r="3608" spans="2:42">
      <c r="B3608" s="834" t="str">
        <f t="shared" si="168"/>
        <v>|||</v>
      </c>
      <c r="H3608" s="835">
        <f t="shared" si="170"/>
        <v>31</v>
      </c>
      <c r="AF3608" s="831" t="s">
        <v>4265</v>
      </c>
      <c r="AG3608" s="831" t="s">
        <v>132</v>
      </c>
      <c r="AH3608" s="831" t="s">
        <v>68</v>
      </c>
      <c r="AI3608" s="831">
        <v>0</v>
      </c>
      <c r="AJ3608" s="835">
        <v>40298</v>
      </c>
      <c r="AK3608" s="831">
        <v>0</v>
      </c>
      <c r="AP3608" s="831" t="str">
        <f t="shared" si="169"/>
        <v/>
      </c>
    </row>
    <row r="3609" spans="2:42">
      <c r="B3609" s="834" t="str">
        <f t="shared" si="168"/>
        <v>|||</v>
      </c>
      <c r="H3609" s="835">
        <f t="shared" si="170"/>
        <v>31</v>
      </c>
      <c r="AF3609" s="831" t="s">
        <v>4266</v>
      </c>
      <c r="AG3609" s="831" t="s">
        <v>132</v>
      </c>
      <c r="AH3609" s="831" t="s">
        <v>73</v>
      </c>
      <c r="AI3609" s="831">
        <v>0</v>
      </c>
      <c r="AJ3609" s="835">
        <v>40298</v>
      </c>
      <c r="AK3609" s="831">
        <v>0</v>
      </c>
      <c r="AP3609" s="831" t="str">
        <f t="shared" si="169"/>
        <v/>
      </c>
    </row>
    <row r="3610" spans="2:42">
      <c r="B3610" s="834" t="str">
        <f t="shared" si="168"/>
        <v>|||</v>
      </c>
      <c r="H3610" s="835">
        <f t="shared" si="170"/>
        <v>31</v>
      </c>
      <c r="AF3610" s="831" t="s">
        <v>4267</v>
      </c>
      <c r="AG3610" s="831" t="s">
        <v>132</v>
      </c>
      <c r="AH3610" s="831" t="s">
        <v>147</v>
      </c>
      <c r="AI3610" s="831">
        <v>0</v>
      </c>
      <c r="AJ3610" s="835">
        <v>40298</v>
      </c>
      <c r="AK3610" s="831">
        <v>0</v>
      </c>
      <c r="AP3610" s="831" t="str">
        <f t="shared" si="169"/>
        <v/>
      </c>
    </row>
    <row r="3611" spans="2:42">
      <c r="B3611" s="834" t="str">
        <f t="shared" si="168"/>
        <v>|||</v>
      </c>
      <c r="H3611" s="835">
        <f t="shared" si="170"/>
        <v>31</v>
      </c>
      <c r="AF3611" s="831" t="s">
        <v>4268</v>
      </c>
      <c r="AG3611" s="831" t="s">
        <v>132</v>
      </c>
      <c r="AH3611" s="831" t="s">
        <v>151</v>
      </c>
      <c r="AI3611" s="831">
        <v>0</v>
      </c>
      <c r="AJ3611" s="835">
        <v>40298</v>
      </c>
      <c r="AK3611" s="831">
        <v>0</v>
      </c>
      <c r="AP3611" s="831" t="str">
        <f t="shared" si="169"/>
        <v/>
      </c>
    </row>
    <row r="3612" spans="2:42">
      <c r="B3612" s="834" t="str">
        <f t="shared" si="168"/>
        <v>|||</v>
      </c>
      <c r="H3612" s="835">
        <f t="shared" si="170"/>
        <v>31</v>
      </c>
      <c r="AF3612" s="831" t="s">
        <v>4269</v>
      </c>
      <c r="AG3612" s="831" t="s">
        <v>132</v>
      </c>
      <c r="AH3612" s="831" t="s">
        <v>155</v>
      </c>
      <c r="AI3612" s="831">
        <v>0</v>
      </c>
      <c r="AJ3612" s="835">
        <v>40298</v>
      </c>
      <c r="AK3612" s="831">
        <v>0</v>
      </c>
      <c r="AP3612" s="831" t="str">
        <f t="shared" si="169"/>
        <v/>
      </c>
    </row>
    <row r="3613" spans="2:42">
      <c r="B3613" s="834" t="str">
        <f t="shared" si="168"/>
        <v>|||</v>
      </c>
      <c r="H3613" s="835">
        <f t="shared" si="170"/>
        <v>31</v>
      </c>
      <c r="AF3613" s="831" t="s">
        <v>4270</v>
      </c>
      <c r="AG3613" s="831" t="s">
        <v>132</v>
      </c>
      <c r="AH3613" s="831" t="s">
        <v>158</v>
      </c>
      <c r="AI3613" s="831">
        <v>0</v>
      </c>
      <c r="AJ3613" s="835">
        <v>40298</v>
      </c>
      <c r="AK3613" s="831">
        <v>0</v>
      </c>
      <c r="AP3613" s="831" t="str">
        <f t="shared" si="169"/>
        <v/>
      </c>
    </row>
    <row r="3614" spans="2:42">
      <c r="B3614" s="834" t="str">
        <f t="shared" si="168"/>
        <v>|||</v>
      </c>
      <c r="H3614" s="835">
        <f t="shared" si="170"/>
        <v>31</v>
      </c>
      <c r="AF3614" s="831" t="s">
        <v>4271</v>
      </c>
      <c r="AG3614" s="831" t="s">
        <v>132</v>
      </c>
      <c r="AH3614" s="831" t="s">
        <v>160</v>
      </c>
      <c r="AI3614" s="831">
        <v>0</v>
      </c>
      <c r="AJ3614" s="835">
        <v>40298</v>
      </c>
      <c r="AK3614" s="831">
        <v>0</v>
      </c>
      <c r="AP3614" s="831" t="str">
        <f t="shared" si="169"/>
        <v/>
      </c>
    </row>
    <row r="3615" spans="2:42">
      <c r="B3615" s="834" t="str">
        <f t="shared" si="168"/>
        <v>|||</v>
      </c>
      <c r="H3615" s="835">
        <f t="shared" si="170"/>
        <v>31</v>
      </c>
      <c r="AF3615" s="831" t="s">
        <v>4272</v>
      </c>
      <c r="AG3615" s="831" t="s">
        <v>132</v>
      </c>
      <c r="AH3615" s="831" t="s">
        <v>161</v>
      </c>
      <c r="AI3615" s="831">
        <v>0</v>
      </c>
      <c r="AJ3615" s="835">
        <v>40298</v>
      </c>
      <c r="AK3615" s="831">
        <v>0</v>
      </c>
      <c r="AP3615" s="831" t="str">
        <f t="shared" si="169"/>
        <v/>
      </c>
    </row>
    <row r="3616" spans="2:42">
      <c r="B3616" s="834" t="str">
        <f t="shared" si="168"/>
        <v>|||</v>
      </c>
      <c r="H3616" s="835">
        <f t="shared" si="170"/>
        <v>31</v>
      </c>
      <c r="AF3616" s="831" t="s">
        <v>4273</v>
      </c>
      <c r="AG3616" s="831" t="s">
        <v>132</v>
      </c>
      <c r="AH3616" s="831" t="s">
        <v>170</v>
      </c>
      <c r="AI3616" s="831">
        <v>0</v>
      </c>
      <c r="AJ3616" s="835">
        <v>40298</v>
      </c>
      <c r="AK3616" s="831">
        <v>0</v>
      </c>
      <c r="AP3616" s="831" t="str">
        <f t="shared" si="169"/>
        <v/>
      </c>
    </row>
    <row r="3617" spans="2:42">
      <c r="B3617" s="834" t="str">
        <f t="shared" si="168"/>
        <v>|||</v>
      </c>
      <c r="H3617" s="835">
        <f t="shared" si="170"/>
        <v>31</v>
      </c>
      <c r="AF3617" s="831" t="s">
        <v>4274</v>
      </c>
      <c r="AG3617" s="831" t="s">
        <v>132</v>
      </c>
      <c r="AH3617" s="831" t="s">
        <v>173</v>
      </c>
      <c r="AI3617" s="831">
        <v>0</v>
      </c>
      <c r="AJ3617" s="835">
        <v>40298</v>
      </c>
      <c r="AK3617" s="831">
        <v>0</v>
      </c>
      <c r="AP3617" s="831" t="str">
        <f t="shared" si="169"/>
        <v/>
      </c>
    </row>
    <row r="3618" spans="2:42">
      <c r="B3618" s="834" t="str">
        <f t="shared" si="168"/>
        <v>|||</v>
      </c>
      <c r="H3618" s="835">
        <f t="shared" si="170"/>
        <v>31</v>
      </c>
      <c r="AF3618" s="831" t="s">
        <v>4275</v>
      </c>
      <c r="AG3618" s="831" t="s">
        <v>132</v>
      </c>
      <c r="AH3618" s="831" t="s">
        <v>78</v>
      </c>
      <c r="AI3618" s="831">
        <v>0</v>
      </c>
      <c r="AJ3618" s="835">
        <v>40298</v>
      </c>
      <c r="AK3618" s="831">
        <v>0</v>
      </c>
      <c r="AP3618" s="831" t="str">
        <f t="shared" si="169"/>
        <v/>
      </c>
    </row>
    <row r="3619" spans="2:42">
      <c r="B3619" s="834" t="str">
        <f t="shared" si="168"/>
        <v>|||</v>
      </c>
      <c r="H3619" s="835">
        <f t="shared" si="170"/>
        <v>31</v>
      </c>
      <c r="AF3619" s="831" t="s">
        <v>4276</v>
      </c>
      <c r="AG3619" s="831" t="s">
        <v>132</v>
      </c>
      <c r="AH3619" s="831" t="s">
        <v>183</v>
      </c>
      <c r="AI3619" s="831">
        <v>0</v>
      </c>
      <c r="AJ3619" s="835">
        <v>40298</v>
      </c>
      <c r="AK3619" s="831">
        <v>0</v>
      </c>
      <c r="AP3619" s="831" t="str">
        <f t="shared" si="169"/>
        <v/>
      </c>
    </row>
    <row r="3620" spans="2:42">
      <c r="B3620" s="834" t="str">
        <f t="shared" si="168"/>
        <v>|||</v>
      </c>
      <c r="H3620" s="835">
        <f t="shared" si="170"/>
        <v>31</v>
      </c>
      <c r="AF3620" s="831" t="s">
        <v>4277</v>
      </c>
      <c r="AG3620" s="831" t="s">
        <v>132</v>
      </c>
      <c r="AH3620" s="831" t="s">
        <v>186</v>
      </c>
      <c r="AI3620" s="831">
        <v>0</v>
      </c>
      <c r="AJ3620" s="835">
        <v>40298</v>
      </c>
      <c r="AK3620" s="831">
        <v>0</v>
      </c>
      <c r="AP3620" s="831" t="str">
        <f t="shared" si="169"/>
        <v/>
      </c>
    </row>
    <row r="3621" spans="2:42">
      <c r="B3621" s="834" t="str">
        <f t="shared" si="168"/>
        <v>|||</v>
      </c>
      <c r="H3621" s="835">
        <f t="shared" si="170"/>
        <v>31</v>
      </c>
      <c r="AF3621" s="831" t="s">
        <v>4278</v>
      </c>
      <c r="AG3621" s="831" t="s">
        <v>132</v>
      </c>
      <c r="AH3621" s="831" t="s">
        <v>189</v>
      </c>
      <c r="AI3621" s="831">
        <v>0</v>
      </c>
      <c r="AJ3621" s="835">
        <v>40298</v>
      </c>
      <c r="AK3621" s="831">
        <v>0</v>
      </c>
      <c r="AP3621" s="831" t="str">
        <f t="shared" si="169"/>
        <v/>
      </c>
    </row>
    <row r="3622" spans="2:42">
      <c r="B3622" s="834" t="str">
        <f t="shared" si="168"/>
        <v>|||</v>
      </c>
      <c r="H3622" s="835">
        <f t="shared" si="170"/>
        <v>31</v>
      </c>
      <c r="AF3622" s="831" t="s">
        <v>4279</v>
      </c>
      <c r="AG3622" s="831" t="s">
        <v>132</v>
      </c>
      <c r="AH3622" s="831" t="s">
        <v>68</v>
      </c>
      <c r="AI3622" s="831">
        <v>0</v>
      </c>
      <c r="AJ3622" s="835">
        <v>40329</v>
      </c>
      <c r="AK3622" s="831">
        <v>0</v>
      </c>
      <c r="AP3622" s="831" t="str">
        <f t="shared" si="169"/>
        <v/>
      </c>
    </row>
    <row r="3623" spans="2:42">
      <c r="B3623" s="834" t="str">
        <f t="shared" si="168"/>
        <v>|||</v>
      </c>
      <c r="H3623" s="835">
        <f t="shared" si="170"/>
        <v>31</v>
      </c>
      <c r="AF3623" s="831" t="s">
        <v>4280</v>
      </c>
      <c r="AG3623" s="831" t="s">
        <v>132</v>
      </c>
      <c r="AH3623" s="831" t="s">
        <v>73</v>
      </c>
      <c r="AI3623" s="831">
        <v>0</v>
      </c>
      <c r="AJ3623" s="835">
        <v>40329</v>
      </c>
      <c r="AK3623" s="831">
        <v>0</v>
      </c>
      <c r="AP3623" s="831" t="str">
        <f t="shared" si="169"/>
        <v/>
      </c>
    </row>
    <row r="3624" spans="2:42">
      <c r="B3624" s="834" t="str">
        <f t="shared" si="168"/>
        <v>|||</v>
      </c>
      <c r="H3624" s="835">
        <f t="shared" si="170"/>
        <v>31</v>
      </c>
      <c r="AF3624" s="831" t="s">
        <v>4281</v>
      </c>
      <c r="AG3624" s="831" t="s">
        <v>132</v>
      </c>
      <c r="AH3624" s="831" t="s">
        <v>147</v>
      </c>
      <c r="AI3624" s="831">
        <v>0</v>
      </c>
      <c r="AJ3624" s="835">
        <v>40329</v>
      </c>
      <c r="AK3624" s="831">
        <v>0</v>
      </c>
      <c r="AP3624" s="831" t="str">
        <f t="shared" si="169"/>
        <v/>
      </c>
    </row>
    <row r="3625" spans="2:42">
      <c r="B3625" s="834" t="str">
        <f t="shared" si="168"/>
        <v>|||</v>
      </c>
      <c r="H3625" s="835">
        <f t="shared" si="170"/>
        <v>31</v>
      </c>
      <c r="AF3625" s="831" t="s">
        <v>4282</v>
      </c>
      <c r="AG3625" s="831" t="s">
        <v>132</v>
      </c>
      <c r="AH3625" s="831" t="s">
        <v>151</v>
      </c>
      <c r="AI3625" s="831">
        <v>0</v>
      </c>
      <c r="AJ3625" s="835">
        <v>40329</v>
      </c>
      <c r="AK3625" s="831">
        <v>0</v>
      </c>
      <c r="AP3625" s="831" t="str">
        <f t="shared" si="169"/>
        <v/>
      </c>
    </row>
    <row r="3626" spans="2:42">
      <c r="B3626" s="834" t="str">
        <f t="shared" si="168"/>
        <v>|||</v>
      </c>
      <c r="H3626" s="835">
        <f t="shared" si="170"/>
        <v>31</v>
      </c>
      <c r="AF3626" s="831" t="s">
        <v>4283</v>
      </c>
      <c r="AG3626" s="831" t="s">
        <v>132</v>
      </c>
      <c r="AH3626" s="831" t="s">
        <v>155</v>
      </c>
      <c r="AI3626" s="831">
        <v>0</v>
      </c>
      <c r="AJ3626" s="835">
        <v>40329</v>
      </c>
      <c r="AK3626" s="831">
        <v>0</v>
      </c>
      <c r="AP3626" s="831" t="str">
        <f t="shared" si="169"/>
        <v/>
      </c>
    </row>
    <row r="3627" spans="2:42">
      <c r="B3627" s="834" t="str">
        <f t="shared" si="168"/>
        <v>|||</v>
      </c>
      <c r="H3627" s="835">
        <f t="shared" si="170"/>
        <v>31</v>
      </c>
      <c r="AF3627" s="831" t="s">
        <v>4284</v>
      </c>
      <c r="AG3627" s="831" t="s">
        <v>132</v>
      </c>
      <c r="AH3627" s="831" t="s">
        <v>158</v>
      </c>
      <c r="AI3627" s="831">
        <v>0</v>
      </c>
      <c r="AJ3627" s="835">
        <v>40329</v>
      </c>
      <c r="AK3627" s="831">
        <v>0</v>
      </c>
      <c r="AP3627" s="831" t="str">
        <f t="shared" si="169"/>
        <v/>
      </c>
    </row>
    <row r="3628" spans="2:42">
      <c r="B3628" s="834" t="str">
        <f t="shared" si="168"/>
        <v>|||</v>
      </c>
      <c r="H3628" s="835">
        <f t="shared" si="170"/>
        <v>31</v>
      </c>
      <c r="AF3628" s="831" t="s">
        <v>4285</v>
      </c>
      <c r="AG3628" s="831" t="s">
        <v>132</v>
      </c>
      <c r="AH3628" s="831" t="s">
        <v>160</v>
      </c>
      <c r="AI3628" s="831">
        <v>0</v>
      </c>
      <c r="AJ3628" s="835">
        <v>40329</v>
      </c>
      <c r="AK3628" s="831">
        <v>0</v>
      </c>
      <c r="AP3628" s="831" t="str">
        <f t="shared" si="169"/>
        <v/>
      </c>
    </row>
    <row r="3629" spans="2:42">
      <c r="B3629" s="834" t="str">
        <f t="shared" si="168"/>
        <v>|||</v>
      </c>
      <c r="H3629" s="835">
        <f t="shared" si="170"/>
        <v>31</v>
      </c>
      <c r="AF3629" s="831" t="s">
        <v>4286</v>
      </c>
      <c r="AG3629" s="831" t="s">
        <v>132</v>
      </c>
      <c r="AH3629" s="831" t="s">
        <v>161</v>
      </c>
      <c r="AI3629" s="831">
        <v>0</v>
      </c>
      <c r="AJ3629" s="835">
        <v>40329</v>
      </c>
      <c r="AK3629" s="831">
        <v>0</v>
      </c>
      <c r="AP3629" s="831" t="str">
        <f t="shared" si="169"/>
        <v/>
      </c>
    </row>
    <row r="3630" spans="2:42">
      <c r="B3630" s="834" t="str">
        <f t="shared" si="168"/>
        <v>|||</v>
      </c>
      <c r="H3630" s="835">
        <f t="shared" si="170"/>
        <v>31</v>
      </c>
      <c r="AF3630" s="831" t="s">
        <v>4287</v>
      </c>
      <c r="AG3630" s="831" t="s">
        <v>132</v>
      </c>
      <c r="AH3630" s="831" t="s">
        <v>170</v>
      </c>
      <c r="AI3630" s="831">
        <v>0</v>
      </c>
      <c r="AJ3630" s="835">
        <v>40329</v>
      </c>
      <c r="AK3630" s="831">
        <v>0</v>
      </c>
      <c r="AP3630" s="831" t="str">
        <f t="shared" si="169"/>
        <v/>
      </c>
    </row>
    <row r="3631" spans="2:42">
      <c r="B3631" s="834" t="str">
        <f t="shared" si="168"/>
        <v>|||</v>
      </c>
      <c r="H3631" s="835">
        <f t="shared" si="170"/>
        <v>31</v>
      </c>
      <c r="AF3631" s="831" t="s">
        <v>4288</v>
      </c>
      <c r="AG3631" s="831" t="s">
        <v>132</v>
      </c>
      <c r="AH3631" s="831" t="s">
        <v>173</v>
      </c>
      <c r="AI3631" s="831">
        <v>0</v>
      </c>
      <c r="AJ3631" s="835">
        <v>40329</v>
      </c>
      <c r="AK3631" s="831">
        <v>0</v>
      </c>
      <c r="AP3631" s="831" t="str">
        <f t="shared" si="169"/>
        <v/>
      </c>
    </row>
    <row r="3632" spans="2:42">
      <c r="B3632" s="834" t="str">
        <f t="shared" si="168"/>
        <v>|||</v>
      </c>
      <c r="H3632" s="835">
        <f t="shared" si="170"/>
        <v>31</v>
      </c>
      <c r="AF3632" s="831" t="s">
        <v>4289</v>
      </c>
      <c r="AG3632" s="831" t="s">
        <v>132</v>
      </c>
      <c r="AH3632" s="831" t="s">
        <v>78</v>
      </c>
      <c r="AI3632" s="831">
        <v>0</v>
      </c>
      <c r="AJ3632" s="835">
        <v>40329</v>
      </c>
      <c r="AK3632" s="831">
        <v>0</v>
      </c>
      <c r="AP3632" s="831" t="str">
        <f t="shared" si="169"/>
        <v/>
      </c>
    </row>
    <row r="3633" spans="2:42">
      <c r="B3633" s="834" t="str">
        <f t="shared" si="168"/>
        <v>|||</v>
      </c>
      <c r="H3633" s="835">
        <f t="shared" si="170"/>
        <v>31</v>
      </c>
      <c r="AF3633" s="831" t="s">
        <v>4290</v>
      </c>
      <c r="AG3633" s="831" t="s">
        <v>132</v>
      </c>
      <c r="AH3633" s="831" t="s">
        <v>183</v>
      </c>
      <c r="AI3633" s="831">
        <v>0</v>
      </c>
      <c r="AJ3633" s="835">
        <v>40329</v>
      </c>
      <c r="AK3633" s="831">
        <v>0</v>
      </c>
      <c r="AP3633" s="831" t="str">
        <f t="shared" si="169"/>
        <v/>
      </c>
    </row>
    <row r="3634" spans="2:42">
      <c r="B3634" s="834" t="str">
        <f t="shared" si="168"/>
        <v>|||</v>
      </c>
      <c r="H3634" s="835">
        <f t="shared" si="170"/>
        <v>31</v>
      </c>
      <c r="AF3634" s="831" t="s">
        <v>4291</v>
      </c>
      <c r="AG3634" s="831" t="s">
        <v>132</v>
      </c>
      <c r="AH3634" s="831" t="s">
        <v>186</v>
      </c>
      <c r="AI3634" s="831">
        <v>0</v>
      </c>
      <c r="AJ3634" s="835">
        <v>40329</v>
      </c>
      <c r="AK3634" s="831">
        <v>0</v>
      </c>
      <c r="AP3634" s="831" t="str">
        <f t="shared" si="169"/>
        <v/>
      </c>
    </row>
    <row r="3635" spans="2:42">
      <c r="B3635" s="834" t="str">
        <f t="shared" si="168"/>
        <v>|||</v>
      </c>
      <c r="H3635" s="835">
        <f t="shared" si="170"/>
        <v>31</v>
      </c>
      <c r="AF3635" s="831" t="s">
        <v>4292</v>
      </c>
      <c r="AG3635" s="831" t="s">
        <v>132</v>
      </c>
      <c r="AH3635" s="831" t="s">
        <v>189</v>
      </c>
      <c r="AI3635" s="831">
        <v>0</v>
      </c>
      <c r="AJ3635" s="835">
        <v>40329</v>
      </c>
      <c r="AK3635" s="831">
        <v>0</v>
      </c>
      <c r="AP3635" s="831" t="str">
        <f t="shared" si="169"/>
        <v/>
      </c>
    </row>
    <row r="3636" spans="2:42">
      <c r="B3636" s="834" t="str">
        <f t="shared" si="168"/>
        <v>|||</v>
      </c>
      <c r="H3636" s="835">
        <f t="shared" si="170"/>
        <v>31</v>
      </c>
      <c r="AF3636" s="831" t="s">
        <v>4293</v>
      </c>
      <c r="AG3636" s="831" t="s">
        <v>132</v>
      </c>
      <c r="AH3636" s="831" t="s">
        <v>68</v>
      </c>
      <c r="AI3636" s="831">
        <v>0</v>
      </c>
      <c r="AJ3636" s="835">
        <v>40359</v>
      </c>
      <c r="AK3636" s="831">
        <v>0</v>
      </c>
      <c r="AP3636" s="831" t="str">
        <f t="shared" si="169"/>
        <v/>
      </c>
    </row>
    <row r="3637" spans="2:42">
      <c r="B3637" s="834" t="str">
        <f t="shared" si="168"/>
        <v>|||</v>
      </c>
      <c r="H3637" s="835">
        <f t="shared" si="170"/>
        <v>31</v>
      </c>
      <c r="AF3637" s="831" t="s">
        <v>4294</v>
      </c>
      <c r="AG3637" s="831" t="s">
        <v>132</v>
      </c>
      <c r="AH3637" s="831" t="s">
        <v>73</v>
      </c>
      <c r="AI3637" s="831">
        <v>0</v>
      </c>
      <c r="AJ3637" s="835">
        <v>40359</v>
      </c>
      <c r="AK3637" s="831">
        <v>0</v>
      </c>
      <c r="AP3637" s="831" t="str">
        <f t="shared" si="169"/>
        <v/>
      </c>
    </row>
    <row r="3638" spans="2:42">
      <c r="B3638" s="834" t="str">
        <f t="shared" si="168"/>
        <v>|||</v>
      </c>
      <c r="H3638" s="835">
        <f t="shared" si="170"/>
        <v>31</v>
      </c>
      <c r="AF3638" s="831" t="s">
        <v>4295</v>
      </c>
      <c r="AG3638" s="831" t="s">
        <v>132</v>
      </c>
      <c r="AH3638" s="831" t="s">
        <v>147</v>
      </c>
      <c r="AI3638" s="831">
        <v>0</v>
      </c>
      <c r="AJ3638" s="835">
        <v>40359</v>
      </c>
      <c r="AK3638" s="831">
        <v>0</v>
      </c>
      <c r="AP3638" s="831" t="str">
        <f t="shared" si="169"/>
        <v/>
      </c>
    </row>
    <row r="3639" spans="2:42">
      <c r="B3639" s="834" t="str">
        <f t="shared" si="168"/>
        <v>|||</v>
      </c>
      <c r="H3639" s="835">
        <f t="shared" si="170"/>
        <v>31</v>
      </c>
      <c r="AF3639" s="831" t="s">
        <v>4296</v>
      </c>
      <c r="AG3639" s="831" t="s">
        <v>132</v>
      </c>
      <c r="AH3639" s="831" t="s">
        <v>151</v>
      </c>
      <c r="AI3639" s="831">
        <v>0</v>
      </c>
      <c r="AJ3639" s="835">
        <v>40359</v>
      </c>
      <c r="AK3639" s="831">
        <v>0</v>
      </c>
      <c r="AP3639" s="831" t="str">
        <f t="shared" si="169"/>
        <v/>
      </c>
    </row>
    <row r="3640" spans="2:42">
      <c r="B3640" s="834" t="str">
        <f t="shared" si="168"/>
        <v>|||</v>
      </c>
      <c r="H3640" s="835">
        <f t="shared" si="170"/>
        <v>31</v>
      </c>
      <c r="AF3640" s="831" t="s">
        <v>4297</v>
      </c>
      <c r="AG3640" s="831" t="s">
        <v>132</v>
      </c>
      <c r="AH3640" s="831" t="s">
        <v>155</v>
      </c>
      <c r="AI3640" s="831">
        <v>0</v>
      </c>
      <c r="AJ3640" s="835">
        <v>40359</v>
      </c>
      <c r="AK3640" s="831">
        <v>0</v>
      </c>
      <c r="AP3640" s="831" t="str">
        <f t="shared" si="169"/>
        <v/>
      </c>
    </row>
    <row r="3641" spans="2:42">
      <c r="B3641" s="834" t="str">
        <f t="shared" si="168"/>
        <v>|||</v>
      </c>
      <c r="H3641" s="835">
        <f t="shared" si="170"/>
        <v>31</v>
      </c>
      <c r="AF3641" s="831" t="s">
        <v>4298</v>
      </c>
      <c r="AG3641" s="831" t="s">
        <v>132</v>
      </c>
      <c r="AH3641" s="831" t="s">
        <v>158</v>
      </c>
      <c r="AI3641" s="831">
        <v>0</v>
      </c>
      <c r="AJ3641" s="835">
        <v>40359</v>
      </c>
      <c r="AK3641" s="831">
        <v>0</v>
      </c>
      <c r="AP3641" s="831" t="str">
        <f t="shared" si="169"/>
        <v/>
      </c>
    </row>
    <row r="3642" spans="2:42">
      <c r="B3642" s="834" t="str">
        <f t="shared" si="168"/>
        <v>|||</v>
      </c>
      <c r="H3642" s="835">
        <f t="shared" si="170"/>
        <v>31</v>
      </c>
      <c r="AF3642" s="831" t="s">
        <v>4299</v>
      </c>
      <c r="AG3642" s="831" t="s">
        <v>132</v>
      </c>
      <c r="AH3642" s="831" t="s">
        <v>160</v>
      </c>
      <c r="AI3642" s="831">
        <v>0</v>
      </c>
      <c r="AJ3642" s="835">
        <v>40359</v>
      </c>
      <c r="AK3642" s="831">
        <v>0</v>
      </c>
      <c r="AP3642" s="831" t="str">
        <f t="shared" si="169"/>
        <v/>
      </c>
    </row>
    <row r="3643" spans="2:42">
      <c r="B3643" s="834" t="str">
        <f t="shared" si="168"/>
        <v>|||</v>
      </c>
      <c r="H3643" s="835">
        <f t="shared" si="170"/>
        <v>31</v>
      </c>
      <c r="AF3643" s="831" t="s">
        <v>4300</v>
      </c>
      <c r="AG3643" s="831" t="s">
        <v>132</v>
      </c>
      <c r="AH3643" s="831" t="s">
        <v>161</v>
      </c>
      <c r="AI3643" s="831">
        <v>0</v>
      </c>
      <c r="AJ3643" s="835">
        <v>40359</v>
      </c>
      <c r="AK3643" s="831">
        <v>0</v>
      </c>
      <c r="AP3643" s="831" t="str">
        <f t="shared" si="169"/>
        <v/>
      </c>
    </row>
    <row r="3644" spans="2:42">
      <c r="B3644" s="834" t="str">
        <f t="shared" si="168"/>
        <v>|||</v>
      </c>
      <c r="H3644" s="835">
        <f t="shared" si="170"/>
        <v>31</v>
      </c>
      <c r="AF3644" s="831" t="s">
        <v>4301</v>
      </c>
      <c r="AG3644" s="831" t="s">
        <v>132</v>
      </c>
      <c r="AH3644" s="831" t="s">
        <v>170</v>
      </c>
      <c r="AI3644" s="831">
        <v>0</v>
      </c>
      <c r="AJ3644" s="835">
        <v>40359</v>
      </c>
      <c r="AK3644" s="831">
        <v>0</v>
      </c>
      <c r="AP3644" s="831" t="str">
        <f t="shared" si="169"/>
        <v/>
      </c>
    </row>
    <row r="3645" spans="2:42">
      <c r="B3645" s="834" t="str">
        <f t="shared" si="168"/>
        <v>|||</v>
      </c>
      <c r="H3645" s="835">
        <f t="shared" si="170"/>
        <v>31</v>
      </c>
      <c r="AF3645" s="831" t="s">
        <v>4302</v>
      </c>
      <c r="AG3645" s="831" t="s">
        <v>132</v>
      </c>
      <c r="AH3645" s="831" t="s">
        <v>173</v>
      </c>
      <c r="AI3645" s="831">
        <v>0</v>
      </c>
      <c r="AJ3645" s="835">
        <v>40359</v>
      </c>
      <c r="AK3645" s="831">
        <v>0</v>
      </c>
      <c r="AP3645" s="831" t="str">
        <f t="shared" si="169"/>
        <v/>
      </c>
    </row>
    <row r="3646" spans="2:42">
      <c r="B3646" s="834" t="str">
        <f t="shared" si="168"/>
        <v>|||</v>
      </c>
      <c r="H3646" s="835">
        <f t="shared" si="170"/>
        <v>31</v>
      </c>
      <c r="AF3646" s="831" t="s">
        <v>4303</v>
      </c>
      <c r="AG3646" s="831" t="s">
        <v>132</v>
      </c>
      <c r="AH3646" s="831" t="s">
        <v>78</v>
      </c>
      <c r="AI3646" s="831">
        <v>0</v>
      </c>
      <c r="AJ3646" s="835">
        <v>40359</v>
      </c>
      <c r="AK3646" s="831">
        <v>0</v>
      </c>
      <c r="AP3646" s="831" t="str">
        <f t="shared" si="169"/>
        <v/>
      </c>
    </row>
    <row r="3647" spans="2:42">
      <c r="B3647" s="834" t="str">
        <f t="shared" si="168"/>
        <v>|||</v>
      </c>
      <c r="H3647" s="835">
        <f t="shared" si="170"/>
        <v>31</v>
      </c>
      <c r="AF3647" s="831" t="s">
        <v>4304</v>
      </c>
      <c r="AG3647" s="831" t="s">
        <v>132</v>
      </c>
      <c r="AH3647" s="831" t="s">
        <v>183</v>
      </c>
      <c r="AI3647" s="831">
        <v>0</v>
      </c>
      <c r="AJ3647" s="835">
        <v>40359</v>
      </c>
      <c r="AK3647" s="831">
        <v>0</v>
      </c>
      <c r="AP3647" s="831" t="str">
        <f t="shared" si="169"/>
        <v/>
      </c>
    </row>
    <row r="3648" spans="2:42">
      <c r="B3648" s="834" t="str">
        <f t="shared" si="168"/>
        <v>|||</v>
      </c>
      <c r="H3648" s="835">
        <f t="shared" si="170"/>
        <v>31</v>
      </c>
      <c r="AF3648" s="831" t="s">
        <v>4305</v>
      </c>
      <c r="AG3648" s="831" t="s">
        <v>132</v>
      </c>
      <c r="AH3648" s="831" t="s">
        <v>186</v>
      </c>
      <c r="AI3648" s="831">
        <v>0</v>
      </c>
      <c r="AJ3648" s="835">
        <v>40359</v>
      </c>
      <c r="AK3648" s="831">
        <v>0</v>
      </c>
      <c r="AP3648" s="831" t="str">
        <f t="shared" si="169"/>
        <v/>
      </c>
    </row>
    <row r="3649" spans="2:42">
      <c r="B3649" s="834" t="str">
        <f t="shared" si="168"/>
        <v>|||</v>
      </c>
      <c r="H3649" s="835">
        <f t="shared" si="170"/>
        <v>31</v>
      </c>
      <c r="AF3649" s="831" t="s">
        <v>4306</v>
      </c>
      <c r="AG3649" s="831" t="s">
        <v>132</v>
      </c>
      <c r="AH3649" s="831" t="s">
        <v>189</v>
      </c>
      <c r="AI3649" s="831">
        <v>0</v>
      </c>
      <c r="AJ3649" s="835">
        <v>40359</v>
      </c>
      <c r="AK3649" s="831">
        <v>0</v>
      </c>
      <c r="AP3649" s="831" t="str">
        <f t="shared" si="169"/>
        <v/>
      </c>
    </row>
    <row r="3650" spans="2:42">
      <c r="B3650" s="834" t="str">
        <f t="shared" si="168"/>
        <v>|||</v>
      </c>
      <c r="H3650" s="835">
        <f t="shared" si="170"/>
        <v>31</v>
      </c>
      <c r="AF3650" s="831" t="s">
        <v>4307</v>
      </c>
      <c r="AG3650" s="831" t="s">
        <v>132</v>
      </c>
      <c r="AH3650" s="831" t="s">
        <v>68</v>
      </c>
      <c r="AI3650" s="831">
        <v>0</v>
      </c>
      <c r="AJ3650" s="835">
        <v>40390</v>
      </c>
      <c r="AK3650" s="831">
        <v>0</v>
      </c>
      <c r="AP3650" s="831" t="str">
        <f t="shared" si="169"/>
        <v/>
      </c>
    </row>
    <row r="3651" spans="2:42">
      <c r="B3651" s="834" t="str">
        <f t="shared" ref="B3651:B3714" si="171">C3651&amp;"|"&amp;D3651&amp;"|"&amp;E3651&amp;"|"&amp;F3651</f>
        <v>|||</v>
      </c>
      <c r="H3651" s="835">
        <f t="shared" si="170"/>
        <v>31</v>
      </c>
      <c r="AF3651" s="831" t="s">
        <v>4308</v>
      </c>
      <c r="AG3651" s="831" t="s">
        <v>132</v>
      </c>
      <c r="AH3651" s="831" t="s">
        <v>73</v>
      </c>
      <c r="AI3651" s="831">
        <v>0</v>
      </c>
      <c r="AJ3651" s="835">
        <v>40390</v>
      </c>
      <c r="AK3651" s="831">
        <v>0</v>
      </c>
      <c r="AP3651" s="831" t="str">
        <f t="shared" ref="AP3651:AP3714" si="172">IF(AX3651&lt;&gt;"",IF(OR(AX3651=3,AX3651=4),"Equity","Debt"),"")</f>
        <v/>
      </c>
    </row>
    <row r="3652" spans="2:42">
      <c r="B3652" s="834" t="str">
        <f t="shared" si="171"/>
        <v>|||</v>
      </c>
      <c r="H3652" s="835">
        <f t="shared" ref="H3652:H3715" si="173">EOMONTH(L3652,0)</f>
        <v>31</v>
      </c>
      <c r="AF3652" s="831" t="s">
        <v>4309</v>
      </c>
      <c r="AG3652" s="831" t="s">
        <v>132</v>
      </c>
      <c r="AH3652" s="831" t="s">
        <v>147</v>
      </c>
      <c r="AI3652" s="831">
        <v>0</v>
      </c>
      <c r="AJ3652" s="835">
        <v>40390</v>
      </c>
      <c r="AK3652" s="831">
        <v>0</v>
      </c>
      <c r="AP3652" s="831" t="str">
        <f t="shared" si="172"/>
        <v/>
      </c>
    </row>
    <row r="3653" spans="2:42">
      <c r="B3653" s="834" t="str">
        <f t="shared" si="171"/>
        <v>|||</v>
      </c>
      <c r="H3653" s="835">
        <f t="shared" si="173"/>
        <v>31</v>
      </c>
      <c r="AF3653" s="831" t="s">
        <v>4310</v>
      </c>
      <c r="AG3653" s="831" t="s">
        <v>132</v>
      </c>
      <c r="AH3653" s="831" t="s">
        <v>151</v>
      </c>
      <c r="AI3653" s="831">
        <v>0</v>
      </c>
      <c r="AJ3653" s="835">
        <v>40390</v>
      </c>
      <c r="AK3653" s="831">
        <v>0</v>
      </c>
      <c r="AP3653" s="831" t="str">
        <f t="shared" si="172"/>
        <v/>
      </c>
    </row>
    <row r="3654" spans="2:42">
      <c r="B3654" s="834" t="str">
        <f t="shared" si="171"/>
        <v>|||</v>
      </c>
      <c r="H3654" s="835">
        <f t="shared" si="173"/>
        <v>31</v>
      </c>
      <c r="AF3654" s="831" t="s">
        <v>4311</v>
      </c>
      <c r="AG3654" s="831" t="s">
        <v>132</v>
      </c>
      <c r="AH3654" s="831" t="s">
        <v>155</v>
      </c>
      <c r="AI3654" s="831">
        <v>0</v>
      </c>
      <c r="AJ3654" s="835">
        <v>40390</v>
      </c>
      <c r="AK3654" s="831">
        <v>0</v>
      </c>
      <c r="AP3654" s="831" t="str">
        <f t="shared" si="172"/>
        <v/>
      </c>
    </row>
    <row r="3655" spans="2:42">
      <c r="B3655" s="834" t="str">
        <f t="shared" si="171"/>
        <v>|||</v>
      </c>
      <c r="H3655" s="835">
        <f t="shared" si="173"/>
        <v>31</v>
      </c>
      <c r="AF3655" s="831" t="s">
        <v>4312</v>
      </c>
      <c r="AG3655" s="831" t="s">
        <v>132</v>
      </c>
      <c r="AH3655" s="831" t="s">
        <v>158</v>
      </c>
      <c r="AI3655" s="831">
        <v>0</v>
      </c>
      <c r="AJ3655" s="835">
        <v>40390</v>
      </c>
      <c r="AK3655" s="831">
        <v>0</v>
      </c>
      <c r="AP3655" s="831" t="str">
        <f t="shared" si="172"/>
        <v/>
      </c>
    </row>
    <row r="3656" spans="2:42">
      <c r="B3656" s="834" t="str">
        <f t="shared" si="171"/>
        <v>|||</v>
      </c>
      <c r="H3656" s="835">
        <f t="shared" si="173"/>
        <v>31</v>
      </c>
      <c r="AF3656" s="831" t="s">
        <v>4313</v>
      </c>
      <c r="AG3656" s="831" t="s">
        <v>132</v>
      </c>
      <c r="AH3656" s="831" t="s">
        <v>160</v>
      </c>
      <c r="AI3656" s="831">
        <v>0</v>
      </c>
      <c r="AJ3656" s="835">
        <v>40390</v>
      </c>
      <c r="AK3656" s="831">
        <v>0</v>
      </c>
      <c r="AP3656" s="831" t="str">
        <f t="shared" si="172"/>
        <v/>
      </c>
    </row>
    <row r="3657" spans="2:42">
      <c r="B3657" s="834" t="str">
        <f t="shared" si="171"/>
        <v>|||</v>
      </c>
      <c r="H3657" s="835">
        <f t="shared" si="173"/>
        <v>31</v>
      </c>
      <c r="AF3657" s="831" t="s">
        <v>4314</v>
      </c>
      <c r="AG3657" s="831" t="s">
        <v>132</v>
      </c>
      <c r="AH3657" s="831" t="s">
        <v>161</v>
      </c>
      <c r="AI3657" s="831">
        <v>0</v>
      </c>
      <c r="AJ3657" s="835">
        <v>40390</v>
      </c>
      <c r="AK3657" s="831">
        <v>0</v>
      </c>
      <c r="AP3657" s="831" t="str">
        <f t="shared" si="172"/>
        <v/>
      </c>
    </row>
    <row r="3658" spans="2:42">
      <c r="B3658" s="834" t="str">
        <f t="shared" si="171"/>
        <v>|||</v>
      </c>
      <c r="H3658" s="835">
        <f t="shared" si="173"/>
        <v>31</v>
      </c>
      <c r="AF3658" s="831" t="s">
        <v>4315</v>
      </c>
      <c r="AG3658" s="831" t="s">
        <v>132</v>
      </c>
      <c r="AH3658" s="831" t="s">
        <v>170</v>
      </c>
      <c r="AI3658" s="831">
        <v>0</v>
      </c>
      <c r="AJ3658" s="835">
        <v>40390</v>
      </c>
      <c r="AK3658" s="831">
        <v>0</v>
      </c>
      <c r="AP3658" s="831" t="str">
        <f t="shared" si="172"/>
        <v/>
      </c>
    </row>
    <row r="3659" spans="2:42">
      <c r="B3659" s="834" t="str">
        <f t="shared" si="171"/>
        <v>|||</v>
      </c>
      <c r="H3659" s="835">
        <f t="shared" si="173"/>
        <v>31</v>
      </c>
      <c r="AF3659" s="831" t="s">
        <v>4316</v>
      </c>
      <c r="AG3659" s="831" t="s">
        <v>132</v>
      </c>
      <c r="AH3659" s="831" t="s">
        <v>173</v>
      </c>
      <c r="AI3659" s="831">
        <v>0</v>
      </c>
      <c r="AJ3659" s="835">
        <v>40390</v>
      </c>
      <c r="AK3659" s="831">
        <v>0</v>
      </c>
      <c r="AP3659" s="831" t="str">
        <f t="shared" si="172"/>
        <v/>
      </c>
    </row>
    <row r="3660" spans="2:42">
      <c r="B3660" s="834" t="str">
        <f t="shared" si="171"/>
        <v>|||</v>
      </c>
      <c r="H3660" s="835">
        <f t="shared" si="173"/>
        <v>31</v>
      </c>
      <c r="AF3660" s="831" t="s">
        <v>4317</v>
      </c>
      <c r="AG3660" s="831" t="s">
        <v>132</v>
      </c>
      <c r="AH3660" s="831" t="s">
        <v>78</v>
      </c>
      <c r="AI3660" s="831">
        <v>0</v>
      </c>
      <c r="AJ3660" s="835">
        <v>40390</v>
      </c>
      <c r="AK3660" s="831">
        <v>0</v>
      </c>
      <c r="AP3660" s="831" t="str">
        <f t="shared" si="172"/>
        <v/>
      </c>
    </row>
    <row r="3661" spans="2:42">
      <c r="B3661" s="834" t="str">
        <f t="shared" si="171"/>
        <v>|||</v>
      </c>
      <c r="H3661" s="835">
        <f t="shared" si="173"/>
        <v>31</v>
      </c>
      <c r="AF3661" s="831" t="s">
        <v>4318</v>
      </c>
      <c r="AG3661" s="831" t="s">
        <v>132</v>
      </c>
      <c r="AH3661" s="831" t="s">
        <v>183</v>
      </c>
      <c r="AI3661" s="831">
        <v>0</v>
      </c>
      <c r="AJ3661" s="835">
        <v>40390</v>
      </c>
      <c r="AK3661" s="831">
        <v>1373340</v>
      </c>
      <c r="AP3661" s="831" t="str">
        <f t="shared" si="172"/>
        <v/>
      </c>
    </row>
    <row r="3662" spans="2:42">
      <c r="B3662" s="834" t="str">
        <f t="shared" si="171"/>
        <v>|||</v>
      </c>
      <c r="H3662" s="835">
        <f t="shared" si="173"/>
        <v>31</v>
      </c>
      <c r="AF3662" s="831" t="s">
        <v>4319</v>
      </c>
      <c r="AG3662" s="831" t="s">
        <v>132</v>
      </c>
      <c r="AH3662" s="831" t="s">
        <v>186</v>
      </c>
      <c r="AI3662" s="831">
        <v>0</v>
      </c>
      <c r="AJ3662" s="835">
        <v>40390</v>
      </c>
      <c r="AK3662" s="831">
        <v>0</v>
      </c>
      <c r="AP3662" s="831" t="str">
        <f t="shared" si="172"/>
        <v/>
      </c>
    </row>
    <row r="3663" spans="2:42">
      <c r="B3663" s="834" t="str">
        <f t="shared" si="171"/>
        <v>|||</v>
      </c>
      <c r="H3663" s="835">
        <f t="shared" si="173"/>
        <v>31</v>
      </c>
      <c r="AF3663" s="831" t="s">
        <v>4320</v>
      </c>
      <c r="AG3663" s="831" t="s">
        <v>132</v>
      </c>
      <c r="AH3663" s="831" t="s">
        <v>189</v>
      </c>
      <c r="AI3663" s="831">
        <v>0</v>
      </c>
      <c r="AJ3663" s="835">
        <v>40390</v>
      </c>
      <c r="AK3663" s="831">
        <v>0</v>
      </c>
      <c r="AP3663" s="831" t="str">
        <f t="shared" si="172"/>
        <v/>
      </c>
    </row>
    <row r="3664" spans="2:42">
      <c r="B3664" s="834" t="str">
        <f t="shared" si="171"/>
        <v>|||</v>
      </c>
      <c r="H3664" s="835">
        <f t="shared" si="173"/>
        <v>31</v>
      </c>
      <c r="AF3664" s="831" t="s">
        <v>4321</v>
      </c>
      <c r="AG3664" s="831" t="s">
        <v>132</v>
      </c>
      <c r="AH3664" s="831" t="s">
        <v>68</v>
      </c>
      <c r="AI3664" s="831">
        <v>0</v>
      </c>
      <c r="AJ3664" s="835">
        <v>40421</v>
      </c>
      <c r="AK3664" s="831">
        <v>0</v>
      </c>
      <c r="AP3664" s="831" t="str">
        <f t="shared" si="172"/>
        <v/>
      </c>
    </row>
    <row r="3665" spans="2:42">
      <c r="B3665" s="834" t="str">
        <f t="shared" si="171"/>
        <v>|||</v>
      </c>
      <c r="H3665" s="835">
        <f t="shared" si="173"/>
        <v>31</v>
      </c>
      <c r="AF3665" s="831" t="s">
        <v>4322</v>
      </c>
      <c r="AG3665" s="831" t="s">
        <v>132</v>
      </c>
      <c r="AH3665" s="831" t="s">
        <v>73</v>
      </c>
      <c r="AI3665" s="831">
        <v>0</v>
      </c>
      <c r="AJ3665" s="835">
        <v>40421</v>
      </c>
      <c r="AK3665" s="831">
        <v>0</v>
      </c>
      <c r="AP3665" s="831" t="str">
        <f t="shared" si="172"/>
        <v/>
      </c>
    </row>
    <row r="3666" spans="2:42">
      <c r="B3666" s="834" t="str">
        <f t="shared" si="171"/>
        <v>|||</v>
      </c>
      <c r="H3666" s="835">
        <f t="shared" si="173"/>
        <v>31</v>
      </c>
      <c r="AF3666" s="831" t="s">
        <v>4323</v>
      </c>
      <c r="AG3666" s="831" t="s">
        <v>132</v>
      </c>
      <c r="AH3666" s="831" t="s">
        <v>147</v>
      </c>
      <c r="AI3666" s="831">
        <v>0</v>
      </c>
      <c r="AJ3666" s="835">
        <v>40421</v>
      </c>
      <c r="AK3666" s="831">
        <v>0</v>
      </c>
      <c r="AP3666" s="831" t="str">
        <f t="shared" si="172"/>
        <v/>
      </c>
    </row>
    <row r="3667" spans="2:42">
      <c r="B3667" s="834" t="str">
        <f t="shared" si="171"/>
        <v>|||</v>
      </c>
      <c r="H3667" s="835">
        <f t="shared" si="173"/>
        <v>31</v>
      </c>
      <c r="AF3667" s="831" t="s">
        <v>4324</v>
      </c>
      <c r="AG3667" s="831" t="s">
        <v>132</v>
      </c>
      <c r="AH3667" s="831" t="s">
        <v>151</v>
      </c>
      <c r="AI3667" s="831">
        <v>0</v>
      </c>
      <c r="AJ3667" s="835">
        <v>40421</v>
      </c>
      <c r="AK3667" s="831">
        <v>0</v>
      </c>
      <c r="AP3667" s="831" t="str">
        <f t="shared" si="172"/>
        <v/>
      </c>
    </row>
    <row r="3668" spans="2:42">
      <c r="B3668" s="834" t="str">
        <f t="shared" si="171"/>
        <v>|||</v>
      </c>
      <c r="H3668" s="835">
        <f t="shared" si="173"/>
        <v>31</v>
      </c>
      <c r="AF3668" s="831" t="s">
        <v>4325</v>
      </c>
      <c r="AG3668" s="831" t="s">
        <v>132</v>
      </c>
      <c r="AH3668" s="831" t="s">
        <v>155</v>
      </c>
      <c r="AI3668" s="831">
        <v>0</v>
      </c>
      <c r="AJ3668" s="835">
        <v>40421</v>
      </c>
      <c r="AK3668" s="831">
        <v>0</v>
      </c>
      <c r="AP3668" s="831" t="str">
        <f t="shared" si="172"/>
        <v/>
      </c>
    </row>
    <row r="3669" spans="2:42">
      <c r="B3669" s="834" t="str">
        <f t="shared" si="171"/>
        <v>|||</v>
      </c>
      <c r="H3669" s="835">
        <f t="shared" si="173"/>
        <v>31</v>
      </c>
      <c r="AF3669" s="831" t="s">
        <v>4326</v>
      </c>
      <c r="AG3669" s="831" t="s">
        <v>132</v>
      </c>
      <c r="AH3669" s="831" t="s">
        <v>158</v>
      </c>
      <c r="AI3669" s="831">
        <v>0</v>
      </c>
      <c r="AJ3669" s="835">
        <v>40421</v>
      </c>
      <c r="AK3669" s="831">
        <v>0</v>
      </c>
      <c r="AP3669" s="831" t="str">
        <f t="shared" si="172"/>
        <v/>
      </c>
    </row>
    <row r="3670" spans="2:42">
      <c r="B3670" s="834" t="str">
        <f t="shared" si="171"/>
        <v>|||</v>
      </c>
      <c r="H3670" s="835">
        <f t="shared" si="173"/>
        <v>31</v>
      </c>
      <c r="AF3670" s="831" t="s">
        <v>4327</v>
      </c>
      <c r="AG3670" s="831" t="s">
        <v>132</v>
      </c>
      <c r="AH3670" s="831" t="s">
        <v>160</v>
      </c>
      <c r="AI3670" s="831">
        <v>0</v>
      </c>
      <c r="AJ3670" s="835">
        <v>40421</v>
      </c>
      <c r="AK3670" s="831">
        <v>0</v>
      </c>
      <c r="AP3670" s="831" t="str">
        <f t="shared" si="172"/>
        <v/>
      </c>
    </row>
    <row r="3671" spans="2:42">
      <c r="B3671" s="834" t="str">
        <f t="shared" si="171"/>
        <v>|||</v>
      </c>
      <c r="H3671" s="835">
        <f t="shared" si="173"/>
        <v>31</v>
      </c>
      <c r="AF3671" s="831" t="s">
        <v>4328</v>
      </c>
      <c r="AG3671" s="831" t="s">
        <v>132</v>
      </c>
      <c r="AH3671" s="831" t="s">
        <v>161</v>
      </c>
      <c r="AI3671" s="831">
        <v>0</v>
      </c>
      <c r="AJ3671" s="835">
        <v>40421</v>
      </c>
      <c r="AK3671" s="831">
        <v>0</v>
      </c>
      <c r="AP3671" s="831" t="str">
        <f t="shared" si="172"/>
        <v/>
      </c>
    </row>
    <row r="3672" spans="2:42">
      <c r="B3672" s="834" t="str">
        <f t="shared" si="171"/>
        <v>|||</v>
      </c>
      <c r="H3672" s="835">
        <f t="shared" si="173"/>
        <v>31</v>
      </c>
      <c r="AF3672" s="831" t="s">
        <v>4329</v>
      </c>
      <c r="AG3672" s="831" t="s">
        <v>132</v>
      </c>
      <c r="AH3672" s="831" t="s">
        <v>170</v>
      </c>
      <c r="AI3672" s="831">
        <v>0</v>
      </c>
      <c r="AJ3672" s="835">
        <v>40421</v>
      </c>
      <c r="AK3672" s="831">
        <v>0</v>
      </c>
      <c r="AP3672" s="831" t="str">
        <f t="shared" si="172"/>
        <v/>
      </c>
    </row>
    <row r="3673" spans="2:42">
      <c r="B3673" s="834" t="str">
        <f t="shared" si="171"/>
        <v>|||</v>
      </c>
      <c r="H3673" s="835">
        <f t="shared" si="173"/>
        <v>31</v>
      </c>
      <c r="AF3673" s="831" t="s">
        <v>4330</v>
      </c>
      <c r="AG3673" s="831" t="s">
        <v>132</v>
      </c>
      <c r="AH3673" s="831" t="s">
        <v>173</v>
      </c>
      <c r="AI3673" s="831">
        <v>0</v>
      </c>
      <c r="AJ3673" s="835">
        <v>40421</v>
      </c>
      <c r="AK3673" s="831">
        <v>0</v>
      </c>
      <c r="AP3673" s="831" t="str">
        <f t="shared" si="172"/>
        <v/>
      </c>
    </row>
    <row r="3674" spans="2:42">
      <c r="B3674" s="834" t="str">
        <f t="shared" si="171"/>
        <v>|||</v>
      </c>
      <c r="H3674" s="835">
        <f t="shared" si="173"/>
        <v>31</v>
      </c>
      <c r="AF3674" s="831" t="s">
        <v>4331</v>
      </c>
      <c r="AG3674" s="831" t="s">
        <v>132</v>
      </c>
      <c r="AH3674" s="831" t="s">
        <v>78</v>
      </c>
      <c r="AI3674" s="831">
        <v>0</v>
      </c>
      <c r="AJ3674" s="835">
        <v>40421</v>
      </c>
      <c r="AK3674" s="831">
        <v>0</v>
      </c>
      <c r="AP3674" s="831" t="str">
        <f t="shared" si="172"/>
        <v/>
      </c>
    </row>
    <row r="3675" spans="2:42">
      <c r="B3675" s="834" t="str">
        <f t="shared" si="171"/>
        <v>|||</v>
      </c>
      <c r="H3675" s="835">
        <f t="shared" si="173"/>
        <v>31</v>
      </c>
      <c r="AF3675" s="831" t="s">
        <v>4332</v>
      </c>
      <c r="AG3675" s="831" t="s">
        <v>132</v>
      </c>
      <c r="AH3675" s="831" t="s">
        <v>183</v>
      </c>
      <c r="AI3675" s="831">
        <v>0</v>
      </c>
      <c r="AJ3675" s="835">
        <v>40421</v>
      </c>
      <c r="AK3675" s="831">
        <v>0</v>
      </c>
      <c r="AP3675" s="831" t="str">
        <f t="shared" si="172"/>
        <v/>
      </c>
    </row>
    <row r="3676" spans="2:42">
      <c r="B3676" s="834" t="str">
        <f t="shared" si="171"/>
        <v>|||</v>
      </c>
      <c r="H3676" s="835">
        <f t="shared" si="173"/>
        <v>31</v>
      </c>
      <c r="AF3676" s="831" t="s">
        <v>4333</v>
      </c>
      <c r="AG3676" s="831" t="s">
        <v>132</v>
      </c>
      <c r="AH3676" s="831" t="s">
        <v>186</v>
      </c>
      <c r="AI3676" s="831">
        <v>0</v>
      </c>
      <c r="AJ3676" s="835">
        <v>40421</v>
      </c>
      <c r="AK3676" s="831">
        <v>0</v>
      </c>
      <c r="AP3676" s="831" t="str">
        <f t="shared" si="172"/>
        <v/>
      </c>
    </row>
    <row r="3677" spans="2:42">
      <c r="B3677" s="834" t="str">
        <f t="shared" si="171"/>
        <v>|||</v>
      </c>
      <c r="H3677" s="835">
        <f t="shared" si="173"/>
        <v>31</v>
      </c>
      <c r="AF3677" s="831" t="s">
        <v>4334</v>
      </c>
      <c r="AG3677" s="831" t="s">
        <v>132</v>
      </c>
      <c r="AH3677" s="831" t="s">
        <v>189</v>
      </c>
      <c r="AI3677" s="831">
        <v>0</v>
      </c>
      <c r="AJ3677" s="835">
        <v>40421</v>
      </c>
      <c r="AK3677" s="831">
        <v>0</v>
      </c>
      <c r="AP3677" s="831" t="str">
        <f t="shared" si="172"/>
        <v/>
      </c>
    </row>
    <row r="3678" spans="2:42">
      <c r="B3678" s="834" t="str">
        <f t="shared" si="171"/>
        <v>|||</v>
      </c>
      <c r="H3678" s="835">
        <f t="shared" si="173"/>
        <v>31</v>
      </c>
      <c r="AF3678" s="831" t="s">
        <v>4335</v>
      </c>
      <c r="AG3678" s="831" t="s">
        <v>132</v>
      </c>
      <c r="AH3678" s="831" t="s">
        <v>68</v>
      </c>
      <c r="AI3678" s="831">
        <v>0</v>
      </c>
      <c r="AJ3678" s="835">
        <v>40451</v>
      </c>
      <c r="AK3678" s="831">
        <v>0</v>
      </c>
      <c r="AP3678" s="831" t="str">
        <f t="shared" si="172"/>
        <v/>
      </c>
    </row>
    <row r="3679" spans="2:42">
      <c r="B3679" s="834" t="str">
        <f t="shared" si="171"/>
        <v>|||</v>
      </c>
      <c r="H3679" s="835">
        <f t="shared" si="173"/>
        <v>31</v>
      </c>
      <c r="AF3679" s="831" t="s">
        <v>4336</v>
      </c>
      <c r="AG3679" s="831" t="s">
        <v>132</v>
      </c>
      <c r="AH3679" s="831" t="s">
        <v>73</v>
      </c>
      <c r="AI3679" s="831">
        <v>0</v>
      </c>
      <c r="AJ3679" s="835">
        <v>40451</v>
      </c>
      <c r="AK3679" s="831">
        <v>0</v>
      </c>
      <c r="AP3679" s="831" t="str">
        <f t="shared" si="172"/>
        <v/>
      </c>
    </row>
    <row r="3680" spans="2:42">
      <c r="B3680" s="834" t="str">
        <f t="shared" si="171"/>
        <v>|||</v>
      </c>
      <c r="H3680" s="835">
        <f t="shared" si="173"/>
        <v>31</v>
      </c>
      <c r="AF3680" s="831" t="s">
        <v>4337</v>
      </c>
      <c r="AG3680" s="831" t="s">
        <v>132</v>
      </c>
      <c r="AH3680" s="831" t="s">
        <v>147</v>
      </c>
      <c r="AI3680" s="831">
        <v>0</v>
      </c>
      <c r="AJ3680" s="835">
        <v>40451</v>
      </c>
      <c r="AK3680" s="831">
        <v>0</v>
      </c>
      <c r="AP3680" s="831" t="str">
        <f t="shared" si="172"/>
        <v/>
      </c>
    </row>
    <row r="3681" spans="2:42">
      <c r="B3681" s="834" t="str">
        <f t="shared" si="171"/>
        <v>|||</v>
      </c>
      <c r="H3681" s="835">
        <f t="shared" si="173"/>
        <v>31</v>
      </c>
      <c r="AF3681" s="831" t="s">
        <v>4338</v>
      </c>
      <c r="AG3681" s="831" t="s">
        <v>132</v>
      </c>
      <c r="AH3681" s="831" t="s">
        <v>151</v>
      </c>
      <c r="AI3681" s="831">
        <v>0</v>
      </c>
      <c r="AJ3681" s="835">
        <v>40451</v>
      </c>
      <c r="AK3681" s="831">
        <v>0</v>
      </c>
      <c r="AP3681" s="831" t="str">
        <f t="shared" si="172"/>
        <v/>
      </c>
    </row>
    <row r="3682" spans="2:42">
      <c r="B3682" s="834" t="str">
        <f t="shared" si="171"/>
        <v>|||</v>
      </c>
      <c r="H3682" s="835">
        <f t="shared" si="173"/>
        <v>31</v>
      </c>
      <c r="AF3682" s="831" t="s">
        <v>4339</v>
      </c>
      <c r="AG3682" s="831" t="s">
        <v>132</v>
      </c>
      <c r="AH3682" s="831" t="s">
        <v>155</v>
      </c>
      <c r="AI3682" s="831">
        <v>0</v>
      </c>
      <c r="AJ3682" s="835">
        <v>40451</v>
      </c>
      <c r="AK3682" s="831">
        <v>0</v>
      </c>
      <c r="AP3682" s="831" t="str">
        <f t="shared" si="172"/>
        <v/>
      </c>
    </row>
    <row r="3683" spans="2:42">
      <c r="B3683" s="834" t="str">
        <f t="shared" si="171"/>
        <v>|||</v>
      </c>
      <c r="H3683" s="835">
        <f t="shared" si="173"/>
        <v>31</v>
      </c>
      <c r="AF3683" s="831" t="s">
        <v>4340</v>
      </c>
      <c r="AG3683" s="831" t="s">
        <v>132</v>
      </c>
      <c r="AH3683" s="831" t="s">
        <v>158</v>
      </c>
      <c r="AI3683" s="831">
        <v>0</v>
      </c>
      <c r="AJ3683" s="835">
        <v>40451</v>
      </c>
      <c r="AK3683" s="831">
        <v>0</v>
      </c>
      <c r="AP3683" s="831" t="str">
        <f t="shared" si="172"/>
        <v/>
      </c>
    </row>
    <row r="3684" spans="2:42">
      <c r="B3684" s="834" t="str">
        <f t="shared" si="171"/>
        <v>|||</v>
      </c>
      <c r="H3684" s="835">
        <f t="shared" si="173"/>
        <v>31</v>
      </c>
      <c r="AF3684" s="831" t="s">
        <v>4341</v>
      </c>
      <c r="AG3684" s="831" t="s">
        <v>132</v>
      </c>
      <c r="AH3684" s="831" t="s">
        <v>160</v>
      </c>
      <c r="AI3684" s="831">
        <v>0</v>
      </c>
      <c r="AJ3684" s="835">
        <v>40451</v>
      </c>
      <c r="AK3684" s="831">
        <v>0</v>
      </c>
      <c r="AP3684" s="831" t="str">
        <f t="shared" si="172"/>
        <v/>
      </c>
    </row>
    <row r="3685" spans="2:42">
      <c r="B3685" s="834" t="str">
        <f t="shared" si="171"/>
        <v>|||</v>
      </c>
      <c r="H3685" s="835">
        <f t="shared" si="173"/>
        <v>31</v>
      </c>
      <c r="AF3685" s="831" t="s">
        <v>4342</v>
      </c>
      <c r="AG3685" s="831" t="s">
        <v>132</v>
      </c>
      <c r="AH3685" s="831" t="s">
        <v>161</v>
      </c>
      <c r="AI3685" s="831">
        <v>0</v>
      </c>
      <c r="AJ3685" s="835">
        <v>40451</v>
      </c>
      <c r="AK3685" s="831">
        <v>0</v>
      </c>
      <c r="AP3685" s="831" t="str">
        <f t="shared" si="172"/>
        <v/>
      </c>
    </row>
    <row r="3686" spans="2:42">
      <c r="B3686" s="834" t="str">
        <f t="shared" si="171"/>
        <v>|||</v>
      </c>
      <c r="H3686" s="835">
        <f t="shared" si="173"/>
        <v>31</v>
      </c>
      <c r="AF3686" s="831" t="s">
        <v>4343</v>
      </c>
      <c r="AG3686" s="831" t="s">
        <v>132</v>
      </c>
      <c r="AH3686" s="831" t="s">
        <v>170</v>
      </c>
      <c r="AI3686" s="831">
        <v>0</v>
      </c>
      <c r="AJ3686" s="835">
        <v>40451</v>
      </c>
      <c r="AK3686" s="831">
        <v>0</v>
      </c>
      <c r="AP3686" s="831" t="str">
        <f t="shared" si="172"/>
        <v/>
      </c>
    </row>
    <row r="3687" spans="2:42">
      <c r="B3687" s="834" t="str">
        <f t="shared" si="171"/>
        <v>|||</v>
      </c>
      <c r="H3687" s="835">
        <f t="shared" si="173"/>
        <v>31</v>
      </c>
      <c r="AF3687" s="831" t="s">
        <v>4344</v>
      </c>
      <c r="AG3687" s="831" t="s">
        <v>132</v>
      </c>
      <c r="AH3687" s="831" t="s">
        <v>173</v>
      </c>
      <c r="AI3687" s="831">
        <v>0</v>
      </c>
      <c r="AJ3687" s="835">
        <v>40451</v>
      </c>
      <c r="AK3687" s="831">
        <v>0</v>
      </c>
      <c r="AP3687" s="831" t="str">
        <f t="shared" si="172"/>
        <v/>
      </c>
    </row>
    <row r="3688" spans="2:42">
      <c r="B3688" s="834" t="str">
        <f t="shared" si="171"/>
        <v>|||</v>
      </c>
      <c r="H3688" s="835">
        <f t="shared" si="173"/>
        <v>31</v>
      </c>
      <c r="AF3688" s="831" t="s">
        <v>4345</v>
      </c>
      <c r="AG3688" s="831" t="s">
        <v>132</v>
      </c>
      <c r="AH3688" s="831" t="s">
        <v>78</v>
      </c>
      <c r="AI3688" s="831">
        <v>0</v>
      </c>
      <c r="AJ3688" s="835">
        <v>40451</v>
      </c>
      <c r="AK3688" s="831">
        <v>0</v>
      </c>
      <c r="AP3688" s="831" t="str">
        <f t="shared" si="172"/>
        <v/>
      </c>
    </row>
    <row r="3689" spans="2:42">
      <c r="B3689" s="834" t="str">
        <f t="shared" si="171"/>
        <v>|||</v>
      </c>
      <c r="H3689" s="835">
        <f t="shared" si="173"/>
        <v>31</v>
      </c>
      <c r="AF3689" s="831" t="s">
        <v>4346</v>
      </c>
      <c r="AG3689" s="831" t="s">
        <v>132</v>
      </c>
      <c r="AH3689" s="831" t="s">
        <v>183</v>
      </c>
      <c r="AI3689" s="831">
        <v>0</v>
      </c>
      <c r="AJ3689" s="835">
        <v>40451</v>
      </c>
      <c r="AK3689" s="831">
        <v>0</v>
      </c>
      <c r="AP3689" s="831" t="str">
        <f t="shared" si="172"/>
        <v/>
      </c>
    </row>
    <row r="3690" spans="2:42">
      <c r="B3690" s="834" t="str">
        <f t="shared" si="171"/>
        <v>|||</v>
      </c>
      <c r="H3690" s="835">
        <f t="shared" si="173"/>
        <v>31</v>
      </c>
      <c r="AF3690" s="831" t="s">
        <v>4347</v>
      </c>
      <c r="AG3690" s="831" t="s">
        <v>132</v>
      </c>
      <c r="AH3690" s="831" t="s">
        <v>186</v>
      </c>
      <c r="AI3690" s="831">
        <v>0</v>
      </c>
      <c r="AJ3690" s="835">
        <v>40451</v>
      </c>
      <c r="AK3690" s="831">
        <v>293782</v>
      </c>
      <c r="AP3690" s="831" t="str">
        <f t="shared" si="172"/>
        <v/>
      </c>
    </row>
    <row r="3691" spans="2:42">
      <c r="B3691" s="834" t="str">
        <f t="shared" si="171"/>
        <v>|||</v>
      </c>
      <c r="H3691" s="835">
        <f t="shared" si="173"/>
        <v>31</v>
      </c>
      <c r="AF3691" s="831" t="s">
        <v>4348</v>
      </c>
      <c r="AG3691" s="831" t="s">
        <v>132</v>
      </c>
      <c r="AH3691" s="831" t="s">
        <v>189</v>
      </c>
      <c r="AI3691" s="831">
        <v>0</v>
      </c>
      <c r="AJ3691" s="835">
        <v>40451</v>
      </c>
      <c r="AK3691" s="831">
        <v>0</v>
      </c>
      <c r="AP3691" s="831" t="str">
        <f t="shared" si="172"/>
        <v/>
      </c>
    </row>
    <row r="3692" spans="2:42">
      <c r="B3692" s="834" t="str">
        <f t="shared" si="171"/>
        <v>|||</v>
      </c>
      <c r="H3692" s="835">
        <f t="shared" si="173"/>
        <v>31</v>
      </c>
      <c r="AF3692" s="831" t="s">
        <v>4349</v>
      </c>
      <c r="AG3692" s="831" t="s">
        <v>132</v>
      </c>
      <c r="AH3692" s="831" t="s">
        <v>68</v>
      </c>
      <c r="AI3692" s="831">
        <v>0</v>
      </c>
      <c r="AJ3692" s="835">
        <v>40482</v>
      </c>
      <c r="AK3692" s="831">
        <v>0</v>
      </c>
      <c r="AP3692" s="831" t="str">
        <f t="shared" si="172"/>
        <v/>
      </c>
    </row>
    <row r="3693" spans="2:42">
      <c r="B3693" s="834" t="str">
        <f t="shared" si="171"/>
        <v>|||</v>
      </c>
      <c r="H3693" s="835">
        <f t="shared" si="173"/>
        <v>31</v>
      </c>
      <c r="AF3693" s="831" t="s">
        <v>4350</v>
      </c>
      <c r="AG3693" s="831" t="s">
        <v>132</v>
      </c>
      <c r="AH3693" s="831" t="s">
        <v>73</v>
      </c>
      <c r="AI3693" s="831">
        <v>0</v>
      </c>
      <c r="AJ3693" s="835">
        <v>40482</v>
      </c>
      <c r="AK3693" s="831">
        <v>0</v>
      </c>
      <c r="AP3693" s="831" t="str">
        <f t="shared" si="172"/>
        <v/>
      </c>
    </row>
    <row r="3694" spans="2:42">
      <c r="B3694" s="834" t="str">
        <f t="shared" si="171"/>
        <v>|||</v>
      </c>
      <c r="H3694" s="835">
        <f t="shared" si="173"/>
        <v>31</v>
      </c>
      <c r="AF3694" s="831" t="s">
        <v>4351</v>
      </c>
      <c r="AG3694" s="831" t="s">
        <v>132</v>
      </c>
      <c r="AH3694" s="831" t="s">
        <v>147</v>
      </c>
      <c r="AI3694" s="831">
        <v>0</v>
      </c>
      <c r="AJ3694" s="835">
        <v>40482</v>
      </c>
      <c r="AK3694" s="831">
        <v>0</v>
      </c>
      <c r="AP3694" s="831" t="str">
        <f t="shared" si="172"/>
        <v/>
      </c>
    </row>
    <row r="3695" spans="2:42">
      <c r="B3695" s="834" t="str">
        <f t="shared" si="171"/>
        <v>|||</v>
      </c>
      <c r="H3695" s="835">
        <f t="shared" si="173"/>
        <v>31</v>
      </c>
      <c r="AF3695" s="831" t="s">
        <v>4352</v>
      </c>
      <c r="AG3695" s="831" t="s">
        <v>132</v>
      </c>
      <c r="AH3695" s="831" t="s">
        <v>151</v>
      </c>
      <c r="AI3695" s="831">
        <v>0</v>
      </c>
      <c r="AJ3695" s="835">
        <v>40482</v>
      </c>
      <c r="AK3695" s="831">
        <v>0</v>
      </c>
      <c r="AP3695" s="831" t="str">
        <f t="shared" si="172"/>
        <v/>
      </c>
    </row>
    <row r="3696" spans="2:42">
      <c r="B3696" s="834" t="str">
        <f t="shared" si="171"/>
        <v>|||</v>
      </c>
      <c r="H3696" s="835">
        <f t="shared" si="173"/>
        <v>31</v>
      </c>
      <c r="AF3696" s="831" t="s">
        <v>4353</v>
      </c>
      <c r="AG3696" s="831" t="s">
        <v>132</v>
      </c>
      <c r="AH3696" s="831" t="s">
        <v>155</v>
      </c>
      <c r="AI3696" s="831">
        <v>0</v>
      </c>
      <c r="AJ3696" s="835">
        <v>40482</v>
      </c>
      <c r="AK3696" s="831">
        <v>0</v>
      </c>
      <c r="AP3696" s="831" t="str">
        <f t="shared" si="172"/>
        <v/>
      </c>
    </row>
    <row r="3697" spans="2:42">
      <c r="B3697" s="834" t="str">
        <f t="shared" si="171"/>
        <v>|||</v>
      </c>
      <c r="H3697" s="835">
        <f t="shared" si="173"/>
        <v>31</v>
      </c>
      <c r="AF3697" s="831" t="s">
        <v>4354</v>
      </c>
      <c r="AG3697" s="831" t="s">
        <v>132</v>
      </c>
      <c r="AH3697" s="831" t="s">
        <v>158</v>
      </c>
      <c r="AI3697" s="831">
        <v>0</v>
      </c>
      <c r="AJ3697" s="835">
        <v>40482</v>
      </c>
      <c r="AK3697" s="831">
        <v>0</v>
      </c>
      <c r="AP3697" s="831" t="str">
        <f t="shared" si="172"/>
        <v/>
      </c>
    </row>
    <row r="3698" spans="2:42">
      <c r="B3698" s="834" t="str">
        <f t="shared" si="171"/>
        <v>|||</v>
      </c>
      <c r="H3698" s="835">
        <f t="shared" si="173"/>
        <v>31</v>
      </c>
      <c r="AF3698" s="831" t="s">
        <v>4355</v>
      </c>
      <c r="AG3698" s="831" t="s">
        <v>132</v>
      </c>
      <c r="AH3698" s="831" t="s">
        <v>160</v>
      </c>
      <c r="AI3698" s="831">
        <v>0</v>
      </c>
      <c r="AJ3698" s="835">
        <v>40482</v>
      </c>
      <c r="AK3698" s="831">
        <v>0</v>
      </c>
      <c r="AP3698" s="831" t="str">
        <f t="shared" si="172"/>
        <v/>
      </c>
    </row>
    <row r="3699" spans="2:42">
      <c r="B3699" s="834" t="str">
        <f t="shared" si="171"/>
        <v>|||</v>
      </c>
      <c r="H3699" s="835">
        <f t="shared" si="173"/>
        <v>31</v>
      </c>
      <c r="AF3699" s="831" t="s">
        <v>4356</v>
      </c>
      <c r="AG3699" s="831" t="s">
        <v>132</v>
      </c>
      <c r="AH3699" s="831" t="s">
        <v>161</v>
      </c>
      <c r="AI3699" s="831">
        <v>0</v>
      </c>
      <c r="AJ3699" s="835">
        <v>40482</v>
      </c>
      <c r="AK3699" s="831">
        <v>0</v>
      </c>
      <c r="AP3699" s="831" t="str">
        <f t="shared" si="172"/>
        <v/>
      </c>
    </row>
    <row r="3700" spans="2:42">
      <c r="B3700" s="834" t="str">
        <f t="shared" si="171"/>
        <v>|||</v>
      </c>
      <c r="H3700" s="835">
        <f t="shared" si="173"/>
        <v>31</v>
      </c>
      <c r="AF3700" s="831" t="s">
        <v>4357</v>
      </c>
      <c r="AG3700" s="831" t="s">
        <v>132</v>
      </c>
      <c r="AH3700" s="831" t="s">
        <v>170</v>
      </c>
      <c r="AI3700" s="831">
        <v>0</v>
      </c>
      <c r="AJ3700" s="835">
        <v>40482</v>
      </c>
      <c r="AK3700" s="831">
        <v>0</v>
      </c>
      <c r="AP3700" s="831" t="str">
        <f t="shared" si="172"/>
        <v/>
      </c>
    </row>
    <row r="3701" spans="2:42">
      <c r="B3701" s="834" t="str">
        <f t="shared" si="171"/>
        <v>|||</v>
      </c>
      <c r="H3701" s="835">
        <f t="shared" si="173"/>
        <v>31</v>
      </c>
      <c r="AF3701" s="831" t="s">
        <v>4358</v>
      </c>
      <c r="AG3701" s="831" t="s">
        <v>132</v>
      </c>
      <c r="AH3701" s="831" t="s">
        <v>173</v>
      </c>
      <c r="AI3701" s="831">
        <v>0</v>
      </c>
      <c r="AJ3701" s="835">
        <v>40482</v>
      </c>
      <c r="AK3701" s="831">
        <v>0</v>
      </c>
      <c r="AP3701" s="831" t="str">
        <f t="shared" si="172"/>
        <v/>
      </c>
    </row>
    <row r="3702" spans="2:42">
      <c r="B3702" s="834" t="str">
        <f t="shared" si="171"/>
        <v>|||</v>
      </c>
      <c r="H3702" s="835">
        <f t="shared" si="173"/>
        <v>31</v>
      </c>
      <c r="AF3702" s="831" t="s">
        <v>4359</v>
      </c>
      <c r="AG3702" s="831" t="s">
        <v>132</v>
      </c>
      <c r="AH3702" s="831" t="s">
        <v>78</v>
      </c>
      <c r="AI3702" s="831">
        <v>0</v>
      </c>
      <c r="AJ3702" s="835">
        <v>40482</v>
      </c>
      <c r="AK3702" s="831">
        <v>0</v>
      </c>
      <c r="AP3702" s="831" t="str">
        <f t="shared" si="172"/>
        <v/>
      </c>
    </row>
    <row r="3703" spans="2:42">
      <c r="B3703" s="834" t="str">
        <f t="shared" si="171"/>
        <v>|||</v>
      </c>
      <c r="H3703" s="835">
        <f t="shared" si="173"/>
        <v>31</v>
      </c>
      <c r="AF3703" s="831" t="s">
        <v>4360</v>
      </c>
      <c r="AG3703" s="831" t="s">
        <v>132</v>
      </c>
      <c r="AH3703" s="831" t="s">
        <v>183</v>
      </c>
      <c r="AI3703" s="831">
        <v>0</v>
      </c>
      <c r="AJ3703" s="835">
        <v>40482</v>
      </c>
      <c r="AK3703" s="831">
        <v>0</v>
      </c>
      <c r="AP3703" s="831" t="str">
        <f t="shared" si="172"/>
        <v/>
      </c>
    </row>
    <row r="3704" spans="2:42">
      <c r="B3704" s="834" t="str">
        <f t="shared" si="171"/>
        <v>|||</v>
      </c>
      <c r="H3704" s="835">
        <f t="shared" si="173"/>
        <v>31</v>
      </c>
      <c r="AF3704" s="831" t="s">
        <v>4361</v>
      </c>
      <c r="AG3704" s="831" t="s">
        <v>132</v>
      </c>
      <c r="AH3704" s="831" t="s">
        <v>186</v>
      </c>
      <c r="AI3704" s="831">
        <v>0</v>
      </c>
      <c r="AJ3704" s="835">
        <v>40482</v>
      </c>
      <c r="AK3704" s="831">
        <v>28634</v>
      </c>
      <c r="AP3704" s="831" t="str">
        <f t="shared" si="172"/>
        <v/>
      </c>
    </row>
    <row r="3705" spans="2:42">
      <c r="B3705" s="834" t="str">
        <f t="shared" si="171"/>
        <v>|||</v>
      </c>
      <c r="H3705" s="835">
        <f t="shared" si="173"/>
        <v>31</v>
      </c>
      <c r="AF3705" s="831" t="s">
        <v>4362</v>
      </c>
      <c r="AG3705" s="831" t="s">
        <v>132</v>
      </c>
      <c r="AH3705" s="831" t="s">
        <v>189</v>
      </c>
      <c r="AI3705" s="831">
        <v>0</v>
      </c>
      <c r="AJ3705" s="835">
        <v>40482</v>
      </c>
      <c r="AK3705" s="831">
        <v>0</v>
      </c>
      <c r="AP3705" s="831" t="str">
        <f t="shared" si="172"/>
        <v/>
      </c>
    </row>
    <row r="3706" spans="2:42">
      <c r="B3706" s="834" t="str">
        <f t="shared" si="171"/>
        <v>|||</v>
      </c>
      <c r="H3706" s="835">
        <f t="shared" si="173"/>
        <v>31</v>
      </c>
      <c r="AF3706" s="831" t="s">
        <v>4363</v>
      </c>
      <c r="AG3706" s="831" t="s">
        <v>132</v>
      </c>
      <c r="AH3706" s="831" t="s">
        <v>68</v>
      </c>
      <c r="AI3706" s="831">
        <v>0</v>
      </c>
      <c r="AJ3706" s="835">
        <v>40512</v>
      </c>
      <c r="AK3706" s="831">
        <v>0</v>
      </c>
      <c r="AP3706" s="831" t="str">
        <f t="shared" si="172"/>
        <v/>
      </c>
    </row>
    <row r="3707" spans="2:42">
      <c r="B3707" s="834" t="str">
        <f t="shared" si="171"/>
        <v>|||</v>
      </c>
      <c r="H3707" s="835">
        <f t="shared" si="173"/>
        <v>31</v>
      </c>
      <c r="AF3707" s="831" t="s">
        <v>4364</v>
      </c>
      <c r="AG3707" s="831" t="s">
        <v>132</v>
      </c>
      <c r="AH3707" s="831" t="s">
        <v>73</v>
      </c>
      <c r="AI3707" s="831">
        <v>0</v>
      </c>
      <c r="AJ3707" s="835">
        <v>40512</v>
      </c>
      <c r="AK3707" s="831">
        <v>0</v>
      </c>
      <c r="AP3707" s="831" t="str">
        <f t="shared" si="172"/>
        <v/>
      </c>
    </row>
    <row r="3708" spans="2:42">
      <c r="B3708" s="834" t="str">
        <f t="shared" si="171"/>
        <v>|||</v>
      </c>
      <c r="H3708" s="835">
        <f t="shared" si="173"/>
        <v>31</v>
      </c>
      <c r="AF3708" s="831" t="s">
        <v>4365</v>
      </c>
      <c r="AG3708" s="831" t="s">
        <v>132</v>
      </c>
      <c r="AH3708" s="831" t="s">
        <v>147</v>
      </c>
      <c r="AI3708" s="831">
        <v>0</v>
      </c>
      <c r="AJ3708" s="835">
        <v>40512</v>
      </c>
      <c r="AK3708" s="831">
        <v>0</v>
      </c>
      <c r="AP3708" s="831" t="str">
        <f t="shared" si="172"/>
        <v/>
      </c>
    </row>
    <row r="3709" spans="2:42">
      <c r="B3709" s="834" t="str">
        <f t="shared" si="171"/>
        <v>|||</v>
      </c>
      <c r="H3709" s="835">
        <f t="shared" si="173"/>
        <v>31</v>
      </c>
      <c r="AF3709" s="831" t="s">
        <v>4366</v>
      </c>
      <c r="AG3709" s="831" t="s">
        <v>132</v>
      </c>
      <c r="AH3709" s="831" t="s">
        <v>151</v>
      </c>
      <c r="AI3709" s="831">
        <v>0</v>
      </c>
      <c r="AJ3709" s="835">
        <v>40512</v>
      </c>
      <c r="AK3709" s="831">
        <v>0</v>
      </c>
      <c r="AP3709" s="831" t="str">
        <f t="shared" si="172"/>
        <v/>
      </c>
    </row>
    <row r="3710" spans="2:42">
      <c r="B3710" s="834" t="str">
        <f t="shared" si="171"/>
        <v>|||</v>
      </c>
      <c r="H3710" s="835">
        <f t="shared" si="173"/>
        <v>31</v>
      </c>
      <c r="AF3710" s="831" t="s">
        <v>4367</v>
      </c>
      <c r="AG3710" s="831" t="s">
        <v>132</v>
      </c>
      <c r="AH3710" s="831" t="s">
        <v>155</v>
      </c>
      <c r="AI3710" s="831">
        <v>0</v>
      </c>
      <c r="AJ3710" s="835">
        <v>40512</v>
      </c>
      <c r="AK3710" s="831">
        <v>0</v>
      </c>
      <c r="AP3710" s="831" t="str">
        <f t="shared" si="172"/>
        <v/>
      </c>
    </row>
    <row r="3711" spans="2:42">
      <c r="B3711" s="834" t="str">
        <f t="shared" si="171"/>
        <v>|||</v>
      </c>
      <c r="H3711" s="835">
        <f t="shared" si="173"/>
        <v>31</v>
      </c>
      <c r="AF3711" s="831" t="s">
        <v>4368</v>
      </c>
      <c r="AG3711" s="831" t="s">
        <v>132</v>
      </c>
      <c r="AH3711" s="831" t="s">
        <v>158</v>
      </c>
      <c r="AI3711" s="831">
        <v>0</v>
      </c>
      <c r="AJ3711" s="835">
        <v>40512</v>
      </c>
      <c r="AK3711" s="831">
        <v>0</v>
      </c>
      <c r="AP3711" s="831" t="str">
        <f t="shared" si="172"/>
        <v/>
      </c>
    </row>
    <row r="3712" spans="2:42">
      <c r="B3712" s="834" t="str">
        <f t="shared" si="171"/>
        <v>|||</v>
      </c>
      <c r="H3712" s="835">
        <f t="shared" si="173"/>
        <v>31</v>
      </c>
      <c r="AF3712" s="831" t="s">
        <v>4369</v>
      </c>
      <c r="AG3712" s="831" t="s">
        <v>132</v>
      </c>
      <c r="AH3712" s="831" t="s">
        <v>160</v>
      </c>
      <c r="AI3712" s="831">
        <v>0</v>
      </c>
      <c r="AJ3712" s="835">
        <v>40512</v>
      </c>
      <c r="AK3712" s="831">
        <v>0</v>
      </c>
      <c r="AP3712" s="831" t="str">
        <f t="shared" si="172"/>
        <v/>
      </c>
    </row>
    <row r="3713" spans="2:42">
      <c r="B3713" s="834" t="str">
        <f t="shared" si="171"/>
        <v>|||</v>
      </c>
      <c r="H3713" s="835">
        <f t="shared" si="173"/>
        <v>31</v>
      </c>
      <c r="AF3713" s="831" t="s">
        <v>4370</v>
      </c>
      <c r="AG3713" s="831" t="s">
        <v>132</v>
      </c>
      <c r="AH3713" s="831" t="s">
        <v>161</v>
      </c>
      <c r="AI3713" s="831">
        <v>0</v>
      </c>
      <c r="AJ3713" s="835">
        <v>40512</v>
      </c>
      <c r="AK3713" s="831">
        <v>0</v>
      </c>
      <c r="AP3713" s="831" t="str">
        <f t="shared" si="172"/>
        <v/>
      </c>
    </row>
    <row r="3714" spans="2:42">
      <c r="B3714" s="834" t="str">
        <f t="shared" si="171"/>
        <v>|||</v>
      </c>
      <c r="H3714" s="835">
        <f t="shared" si="173"/>
        <v>31</v>
      </c>
      <c r="AF3714" s="831" t="s">
        <v>4371</v>
      </c>
      <c r="AG3714" s="831" t="s">
        <v>132</v>
      </c>
      <c r="AH3714" s="831" t="s">
        <v>170</v>
      </c>
      <c r="AI3714" s="831">
        <v>0</v>
      </c>
      <c r="AJ3714" s="835">
        <v>40512</v>
      </c>
      <c r="AK3714" s="831">
        <v>0</v>
      </c>
      <c r="AP3714" s="831" t="str">
        <f t="shared" si="172"/>
        <v/>
      </c>
    </row>
    <row r="3715" spans="2:42">
      <c r="B3715" s="834" t="str">
        <f t="shared" ref="B3715:B3778" si="174">C3715&amp;"|"&amp;D3715&amp;"|"&amp;E3715&amp;"|"&amp;F3715</f>
        <v>|||</v>
      </c>
      <c r="H3715" s="835">
        <f t="shared" si="173"/>
        <v>31</v>
      </c>
      <c r="AF3715" s="831" t="s">
        <v>4372</v>
      </c>
      <c r="AG3715" s="831" t="s">
        <v>132</v>
      </c>
      <c r="AH3715" s="831" t="s">
        <v>173</v>
      </c>
      <c r="AI3715" s="831">
        <v>0</v>
      </c>
      <c r="AJ3715" s="835">
        <v>40512</v>
      </c>
      <c r="AK3715" s="831">
        <v>0</v>
      </c>
      <c r="AP3715" s="831" t="str">
        <f t="shared" ref="AP3715:AP3778" si="175">IF(AX3715&lt;&gt;"",IF(OR(AX3715=3,AX3715=4),"Equity","Debt"),"")</f>
        <v/>
      </c>
    </row>
    <row r="3716" spans="2:42">
      <c r="B3716" s="834" t="str">
        <f t="shared" si="174"/>
        <v>|||</v>
      </c>
      <c r="H3716" s="835">
        <f t="shared" ref="H3716:H3779" si="176">EOMONTH(L3716,0)</f>
        <v>31</v>
      </c>
      <c r="AF3716" s="831" t="s">
        <v>4373</v>
      </c>
      <c r="AG3716" s="831" t="s">
        <v>132</v>
      </c>
      <c r="AH3716" s="831" t="s">
        <v>78</v>
      </c>
      <c r="AI3716" s="831">
        <v>0</v>
      </c>
      <c r="AJ3716" s="835">
        <v>40512</v>
      </c>
      <c r="AK3716" s="831">
        <v>0</v>
      </c>
      <c r="AP3716" s="831" t="str">
        <f t="shared" si="175"/>
        <v/>
      </c>
    </row>
    <row r="3717" spans="2:42">
      <c r="B3717" s="834" t="str">
        <f t="shared" si="174"/>
        <v>|||</v>
      </c>
      <c r="H3717" s="835">
        <f t="shared" si="176"/>
        <v>31</v>
      </c>
      <c r="AF3717" s="831" t="s">
        <v>4374</v>
      </c>
      <c r="AG3717" s="831" t="s">
        <v>132</v>
      </c>
      <c r="AH3717" s="831" t="s">
        <v>183</v>
      </c>
      <c r="AI3717" s="831">
        <v>0</v>
      </c>
      <c r="AJ3717" s="835">
        <v>40512</v>
      </c>
      <c r="AK3717" s="831">
        <v>0</v>
      </c>
      <c r="AP3717" s="831" t="str">
        <f t="shared" si="175"/>
        <v/>
      </c>
    </row>
    <row r="3718" spans="2:42">
      <c r="B3718" s="834" t="str">
        <f t="shared" si="174"/>
        <v>|||</v>
      </c>
      <c r="H3718" s="835">
        <f t="shared" si="176"/>
        <v>31</v>
      </c>
      <c r="AF3718" s="831" t="s">
        <v>4375</v>
      </c>
      <c r="AG3718" s="831" t="s">
        <v>132</v>
      </c>
      <c r="AH3718" s="831" t="s">
        <v>186</v>
      </c>
      <c r="AI3718" s="831">
        <v>0</v>
      </c>
      <c r="AJ3718" s="835">
        <v>40512</v>
      </c>
      <c r="AK3718" s="831">
        <v>5351</v>
      </c>
      <c r="AP3718" s="831" t="str">
        <f t="shared" si="175"/>
        <v/>
      </c>
    </row>
    <row r="3719" spans="2:42">
      <c r="B3719" s="834" t="str">
        <f t="shared" si="174"/>
        <v>|||</v>
      </c>
      <c r="H3719" s="835">
        <f t="shared" si="176"/>
        <v>31</v>
      </c>
      <c r="AF3719" s="831" t="s">
        <v>4376</v>
      </c>
      <c r="AG3719" s="831" t="s">
        <v>132</v>
      </c>
      <c r="AH3719" s="831" t="s">
        <v>189</v>
      </c>
      <c r="AI3719" s="831">
        <v>0</v>
      </c>
      <c r="AJ3719" s="835">
        <v>40512</v>
      </c>
      <c r="AK3719" s="831">
        <v>0</v>
      </c>
      <c r="AP3719" s="831" t="str">
        <f t="shared" si="175"/>
        <v/>
      </c>
    </row>
    <row r="3720" spans="2:42">
      <c r="B3720" s="834" t="str">
        <f t="shared" si="174"/>
        <v>|||</v>
      </c>
      <c r="H3720" s="835">
        <f t="shared" si="176"/>
        <v>31</v>
      </c>
      <c r="AF3720" s="831" t="s">
        <v>4377</v>
      </c>
      <c r="AG3720" s="831" t="s">
        <v>132</v>
      </c>
      <c r="AH3720" s="831" t="s">
        <v>68</v>
      </c>
      <c r="AI3720" s="831">
        <v>0</v>
      </c>
      <c r="AJ3720" s="835">
        <v>40543</v>
      </c>
      <c r="AK3720" s="831">
        <v>0</v>
      </c>
      <c r="AP3720" s="831" t="str">
        <f t="shared" si="175"/>
        <v/>
      </c>
    </row>
    <row r="3721" spans="2:42">
      <c r="B3721" s="834" t="str">
        <f t="shared" si="174"/>
        <v>|||</v>
      </c>
      <c r="H3721" s="835">
        <f t="shared" si="176"/>
        <v>31</v>
      </c>
      <c r="AF3721" s="831" t="s">
        <v>4378</v>
      </c>
      <c r="AG3721" s="831" t="s">
        <v>132</v>
      </c>
      <c r="AH3721" s="831" t="s">
        <v>73</v>
      </c>
      <c r="AI3721" s="831">
        <v>0</v>
      </c>
      <c r="AJ3721" s="835">
        <v>40543</v>
      </c>
      <c r="AK3721" s="831">
        <v>0</v>
      </c>
      <c r="AP3721" s="831" t="str">
        <f t="shared" si="175"/>
        <v/>
      </c>
    </row>
    <row r="3722" spans="2:42">
      <c r="B3722" s="834" t="str">
        <f t="shared" si="174"/>
        <v>|||</v>
      </c>
      <c r="H3722" s="835">
        <f t="shared" si="176"/>
        <v>31</v>
      </c>
      <c r="AF3722" s="831" t="s">
        <v>4379</v>
      </c>
      <c r="AG3722" s="831" t="s">
        <v>132</v>
      </c>
      <c r="AH3722" s="831" t="s">
        <v>147</v>
      </c>
      <c r="AI3722" s="831">
        <v>0</v>
      </c>
      <c r="AJ3722" s="835">
        <v>40543</v>
      </c>
      <c r="AK3722" s="831">
        <v>0</v>
      </c>
      <c r="AP3722" s="831" t="str">
        <f t="shared" si="175"/>
        <v/>
      </c>
    </row>
    <row r="3723" spans="2:42">
      <c r="B3723" s="834" t="str">
        <f t="shared" si="174"/>
        <v>|||</v>
      </c>
      <c r="H3723" s="835">
        <f t="shared" si="176"/>
        <v>31</v>
      </c>
      <c r="AF3723" s="831" t="s">
        <v>4380</v>
      </c>
      <c r="AG3723" s="831" t="s">
        <v>132</v>
      </c>
      <c r="AH3723" s="831" t="s">
        <v>151</v>
      </c>
      <c r="AI3723" s="831">
        <v>0</v>
      </c>
      <c r="AJ3723" s="835">
        <v>40543</v>
      </c>
      <c r="AK3723" s="831">
        <v>0</v>
      </c>
      <c r="AP3723" s="831" t="str">
        <f t="shared" si="175"/>
        <v/>
      </c>
    </row>
    <row r="3724" spans="2:42">
      <c r="B3724" s="834" t="str">
        <f t="shared" si="174"/>
        <v>|||</v>
      </c>
      <c r="H3724" s="835">
        <f t="shared" si="176"/>
        <v>31</v>
      </c>
      <c r="AF3724" s="831" t="s">
        <v>4381</v>
      </c>
      <c r="AG3724" s="831" t="s">
        <v>132</v>
      </c>
      <c r="AH3724" s="831" t="s">
        <v>155</v>
      </c>
      <c r="AI3724" s="831">
        <v>0</v>
      </c>
      <c r="AJ3724" s="835">
        <v>40543</v>
      </c>
      <c r="AK3724" s="831">
        <v>0</v>
      </c>
      <c r="AP3724" s="831" t="str">
        <f t="shared" si="175"/>
        <v/>
      </c>
    </row>
    <row r="3725" spans="2:42">
      <c r="B3725" s="834" t="str">
        <f t="shared" si="174"/>
        <v>|||</v>
      </c>
      <c r="H3725" s="835">
        <f t="shared" si="176"/>
        <v>31</v>
      </c>
      <c r="AF3725" s="831" t="s">
        <v>4382</v>
      </c>
      <c r="AG3725" s="831" t="s">
        <v>132</v>
      </c>
      <c r="AH3725" s="831" t="s">
        <v>158</v>
      </c>
      <c r="AI3725" s="831">
        <v>0</v>
      </c>
      <c r="AJ3725" s="835">
        <v>40543</v>
      </c>
      <c r="AK3725" s="831">
        <v>0</v>
      </c>
      <c r="AP3725" s="831" t="str">
        <f t="shared" si="175"/>
        <v/>
      </c>
    </row>
    <row r="3726" spans="2:42">
      <c r="B3726" s="834" t="str">
        <f t="shared" si="174"/>
        <v>|||</v>
      </c>
      <c r="H3726" s="835">
        <f t="shared" si="176"/>
        <v>31</v>
      </c>
      <c r="AF3726" s="831" t="s">
        <v>4383</v>
      </c>
      <c r="AG3726" s="831" t="s">
        <v>132</v>
      </c>
      <c r="AH3726" s="831" t="s">
        <v>160</v>
      </c>
      <c r="AI3726" s="831">
        <v>0</v>
      </c>
      <c r="AJ3726" s="835">
        <v>40543</v>
      </c>
      <c r="AK3726" s="831">
        <v>0</v>
      </c>
      <c r="AP3726" s="831" t="str">
        <f t="shared" si="175"/>
        <v/>
      </c>
    </row>
    <row r="3727" spans="2:42">
      <c r="B3727" s="834" t="str">
        <f t="shared" si="174"/>
        <v>|||</v>
      </c>
      <c r="H3727" s="835">
        <f t="shared" si="176"/>
        <v>31</v>
      </c>
      <c r="AF3727" s="831" t="s">
        <v>4384</v>
      </c>
      <c r="AG3727" s="831" t="s">
        <v>132</v>
      </c>
      <c r="AH3727" s="831" t="s">
        <v>161</v>
      </c>
      <c r="AI3727" s="831">
        <v>0</v>
      </c>
      <c r="AJ3727" s="835">
        <v>40543</v>
      </c>
      <c r="AK3727" s="831">
        <v>0</v>
      </c>
      <c r="AP3727" s="831" t="str">
        <f t="shared" si="175"/>
        <v/>
      </c>
    </row>
    <row r="3728" spans="2:42">
      <c r="B3728" s="834" t="str">
        <f t="shared" si="174"/>
        <v>|||</v>
      </c>
      <c r="H3728" s="835">
        <f t="shared" si="176"/>
        <v>31</v>
      </c>
      <c r="AF3728" s="831" t="s">
        <v>4385</v>
      </c>
      <c r="AG3728" s="831" t="s">
        <v>132</v>
      </c>
      <c r="AH3728" s="831" t="s">
        <v>170</v>
      </c>
      <c r="AI3728" s="831">
        <v>0</v>
      </c>
      <c r="AJ3728" s="835">
        <v>40543</v>
      </c>
      <c r="AK3728" s="831">
        <v>0</v>
      </c>
      <c r="AP3728" s="831" t="str">
        <f t="shared" si="175"/>
        <v/>
      </c>
    </row>
    <row r="3729" spans="2:42">
      <c r="B3729" s="834" t="str">
        <f t="shared" si="174"/>
        <v>|||</v>
      </c>
      <c r="H3729" s="835">
        <f t="shared" si="176"/>
        <v>31</v>
      </c>
      <c r="AF3729" s="831" t="s">
        <v>4386</v>
      </c>
      <c r="AG3729" s="831" t="s">
        <v>132</v>
      </c>
      <c r="AH3729" s="831" t="s">
        <v>173</v>
      </c>
      <c r="AI3729" s="831">
        <v>0</v>
      </c>
      <c r="AJ3729" s="835">
        <v>40543</v>
      </c>
      <c r="AK3729" s="831">
        <v>0</v>
      </c>
      <c r="AP3729" s="831" t="str">
        <f t="shared" si="175"/>
        <v/>
      </c>
    </row>
    <row r="3730" spans="2:42">
      <c r="B3730" s="834" t="str">
        <f t="shared" si="174"/>
        <v>|||</v>
      </c>
      <c r="H3730" s="835">
        <f t="shared" si="176"/>
        <v>31</v>
      </c>
      <c r="AF3730" s="831" t="s">
        <v>4387</v>
      </c>
      <c r="AG3730" s="831" t="s">
        <v>132</v>
      </c>
      <c r="AH3730" s="831" t="s">
        <v>78</v>
      </c>
      <c r="AI3730" s="831">
        <v>0</v>
      </c>
      <c r="AJ3730" s="835">
        <v>40543</v>
      </c>
      <c r="AK3730" s="831">
        <v>0</v>
      </c>
      <c r="AP3730" s="831" t="str">
        <f t="shared" si="175"/>
        <v/>
      </c>
    </row>
    <row r="3731" spans="2:42">
      <c r="B3731" s="834" t="str">
        <f t="shared" si="174"/>
        <v>|||</v>
      </c>
      <c r="H3731" s="835">
        <f t="shared" si="176"/>
        <v>31</v>
      </c>
      <c r="AF3731" s="831" t="s">
        <v>4388</v>
      </c>
      <c r="AG3731" s="831" t="s">
        <v>132</v>
      </c>
      <c r="AH3731" s="831" t="s">
        <v>183</v>
      </c>
      <c r="AI3731" s="831">
        <v>0</v>
      </c>
      <c r="AJ3731" s="835">
        <v>40543</v>
      </c>
      <c r="AK3731" s="831">
        <v>0</v>
      </c>
      <c r="AP3731" s="831" t="str">
        <f t="shared" si="175"/>
        <v/>
      </c>
    </row>
    <row r="3732" spans="2:42">
      <c r="B3732" s="834" t="str">
        <f t="shared" si="174"/>
        <v>|||</v>
      </c>
      <c r="H3732" s="835">
        <f t="shared" si="176"/>
        <v>31</v>
      </c>
      <c r="AF3732" s="831" t="s">
        <v>4389</v>
      </c>
      <c r="AG3732" s="831" t="s">
        <v>132</v>
      </c>
      <c r="AH3732" s="831" t="s">
        <v>186</v>
      </c>
      <c r="AI3732" s="831">
        <v>0</v>
      </c>
      <c r="AJ3732" s="835">
        <v>40543</v>
      </c>
      <c r="AK3732" s="831">
        <v>0</v>
      </c>
      <c r="AP3732" s="831" t="str">
        <f t="shared" si="175"/>
        <v/>
      </c>
    </row>
    <row r="3733" spans="2:42">
      <c r="B3733" s="834" t="str">
        <f t="shared" si="174"/>
        <v>|||</v>
      </c>
      <c r="H3733" s="835">
        <f t="shared" si="176"/>
        <v>31</v>
      </c>
      <c r="AF3733" s="831" t="s">
        <v>4390</v>
      </c>
      <c r="AG3733" s="831" t="s">
        <v>132</v>
      </c>
      <c r="AH3733" s="831" t="s">
        <v>189</v>
      </c>
      <c r="AI3733" s="831">
        <v>0</v>
      </c>
      <c r="AJ3733" s="835">
        <v>40543</v>
      </c>
      <c r="AK3733" s="831">
        <v>0</v>
      </c>
      <c r="AP3733" s="831" t="str">
        <f t="shared" si="175"/>
        <v/>
      </c>
    </row>
    <row r="3734" spans="2:42">
      <c r="B3734" s="834" t="str">
        <f t="shared" si="174"/>
        <v>|||</v>
      </c>
      <c r="H3734" s="835">
        <f t="shared" si="176"/>
        <v>31</v>
      </c>
      <c r="AF3734" s="831" t="s">
        <v>4391</v>
      </c>
      <c r="AG3734" s="831" t="s">
        <v>133</v>
      </c>
      <c r="AH3734" s="831" t="s">
        <v>139</v>
      </c>
      <c r="AI3734" s="831">
        <v>0</v>
      </c>
      <c r="AJ3734" s="835">
        <v>40209</v>
      </c>
      <c r="AK3734" s="831">
        <v>0</v>
      </c>
      <c r="AP3734" s="831" t="str">
        <f t="shared" si="175"/>
        <v/>
      </c>
    </row>
    <row r="3735" spans="2:42">
      <c r="B3735" s="834" t="str">
        <f t="shared" si="174"/>
        <v>|||</v>
      </c>
      <c r="H3735" s="835">
        <f t="shared" si="176"/>
        <v>31</v>
      </c>
      <c r="AF3735" s="831" t="s">
        <v>4392</v>
      </c>
      <c r="AG3735" s="831" t="s">
        <v>133</v>
      </c>
      <c r="AH3735" s="831" t="s">
        <v>11</v>
      </c>
      <c r="AI3735" s="831">
        <v>0</v>
      </c>
      <c r="AJ3735" s="835">
        <v>40209</v>
      </c>
      <c r="AK3735" s="831">
        <v>0</v>
      </c>
      <c r="AP3735" s="831" t="str">
        <f t="shared" si="175"/>
        <v/>
      </c>
    </row>
    <row r="3736" spans="2:42">
      <c r="B3736" s="834" t="str">
        <f t="shared" si="174"/>
        <v>|||</v>
      </c>
      <c r="H3736" s="835">
        <f t="shared" si="176"/>
        <v>31</v>
      </c>
      <c r="AF3736" s="831" t="s">
        <v>4393</v>
      </c>
      <c r="AG3736" s="831" t="s">
        <v>133</v>
      </c>
      <c r="AH3736" s="831" t="s">
        <v>144</v>
      </c>
      <c r="AI3736" s="831">
        <v>0</v>
      </c>
      <c r="AJ3736" s="835">
        <v>40209</v>
      </c>
      <c r="AK3736" s="831">
        <v>0</v>
      </c>
      <c r="AP3736" s="831" t="str">
        <f t="shared" si="175"/>
        <v/>
      </c>
    </row>
    <row r="3737" spans="2:42">
      <c r="B3737" s="834" t="str">
        <f t="shared" si="174"/>
        <v>|||</v>
      </c>
      <c r="H3737" s="835">
        <f t="shared" si="176"/>
        <v>31</v>
      </c>
      <c r="AF3737" s="831" t="s">
        <v>4394</v>
      </c>
      <c r="AG3737" s="831" t="s">
        <v>133</v>
      </c>
      <c r="AH3737" s="831" t="s">
        <v>148</v>
      </c>
      <c r="AI3737" s="831">
        <v>0</v>
      </c>
      <c r="AJ3737" s="835">
        <v>40209</v>
      </c>
      <c r="AK3737" s="831">
        <v>0</v>
      </c>
      <c r="AP3737" s="831" t="str">
        <f t="shared" si="175"/>
        <v/>
      </c>
    </row>
    <row r="3738" spans="2:42">
      <c r="B3738" s="834" t="str">
        <f t="shared" si="174"/>
        <v>|||</v>
      </c>
      <c r="H3738" s="835">
        <f t="shared" si="176"/>
        <v>31</v>
      </c>
      <c r="AF3738" s="831" t="s">
        <v>4395</v>
      </c>
      <c r="AG3738" s="831" t="s">
        <v>133</v>
      </c>
      <c r="AH3738" s="831" t="s">
        <v>152</v>
      </c>
      <c r="AI3738" s="831">
        <v>0</v>
      </c>
      <c r="AJ3738" s="835">
        <v>40209</v>
      </c>
      <c r="AK3738" s="831">
        <v>0</v>
      </c>
      <c r="AP3738" s="831" t="str">
        <f t="shared" si="175"/>
        <v/>
      </c>
    </row>
    <row r="3739" spans="2:42">
      <c r="B3739" s="834" t="str">
        <f t="shared" si="174"/>
        <v>|||</v>
      </c>
      <c r="H3739" s="835">
        <f t="shared" si="176"/>
        <v>31</v>
      </c>
      <c r="AF3739" s="831" t="s">
        <v>4396</v>
      </c>
      <c r="AG3739" s="831" t="s">
        <v>133</v>
      </c>
      <c r="AH3739" s="831" t="s">
        <v>12</v>
      </c>
      <c r="AI3739" s="831">
        <v>0</v>
      </c>
      <c r="AJ3739" s="835">
        <v>40209</v>
      </c>
      <c r="AK3739" s="831">
        <v>0</v>
      </c>
      <c r="AP3739" s="831" t="str">
        <f t="shared" si="175"/>
        <v/>
      </c>
    </row>
    <row r="3740" spans="2:42">
      <c r="B3740" s="834" t="str">
        <f t="shared" si="174"/>
        <v>|||</v>
      </c>
      <c r="H3740" s="835">
        <f t="shared" si="176"/>
        <v>31</v>
      </c>
      <c r="AF3740" s="831" t="s">
        <v>4397</v>
      </c>
      <c r="AG3740" s="831" t="s">
        <v>133</v>
      </c>
      <c r="AH3740" s="831" t="s">
        <v>139</v>
      </c>
      <c r="AI3740" s="831">
        <v>0</v>
      </c>
      <c r="AJ3740" s="835">
        <v>40237</v>
      </c>
      <c r="AK3740" s="831">
        <v>0</v>
      </c>
      <c r="AP3740" s="831" t="str">
        <f t="shared" si="175"/>
        <v/>
      </c>
    </row>
    <row r="3741" spans="2:42">
      <c r="B3741" s="834" t="str">
        <f t="shared" si="174"/>
        <v>|||</v>
      </c>
      <c r="H3741" s="835">
        <f t="shared" si="176"/>
        <v>31</v>
      </c>
      <c r="AF3741" s="831" t="s">
        <v>4398</v>
      </c>
      <c r="AG3741" s="831" t="s">
        <v>133</v>
      </c>
      <c r="AH3741" s="831" t="s">
        <v>11</v>
      </c>
      <c r="AI3741" s="831">
        <v>0</v>
      </c>
      <c r="AJ3741" s="835">
        <v>40237</v>
      </c>
      <c r="AK3741" s="831">
        <v>0</v>
      </c>
      <c r="AP3741" s="831" t="str">
        <f t="shared" si="175"/>
        <v/>
      </c>
    </row>
    <row r="3742" spans="2:42">
      <c r="B3742" s="834" t="str">
        <f t="shared" si="174"/>
        <v>|||</v>
      </c>
      <c r="H3742" s="835">
        <f t="shared" si="176"/>
        <v>31</v>
      </c>
      <c r="AF3742" s="831" t="s">
        <v>4399</v>
      </c>
      <c r="AG3742" s="831" t="s">
        <v>133</v>
      </c>
      <c r="AH3742" s="831" t="s">
        <v>144</v>
      </c>
      <c r="AI3742" s="831">
        <v>0</v>
      </c>
      <c r="AJ3742" s="835">
        <v>40237</v>
      </c>
      <c r="AK3742" s="831">
        <v>0</v>
      </c>
      <c r="AP3742" s="831" t="str">
        <f t="shared" si="175"/>
        <v/>
      </c>
    </row>
    <row r="3743" spans="2:42">
      <c r="B3743" s="834" t="str">
        <f t="shared" si="174"/>
        <v>|||</v>
      </c>
      <c r="H3743" s="835">
        <f t="shared" si="176"/>
        <v>31</v>
      </c>
      <c r="AF3743" s="831" t="s">
        <v>4400</v>
      </c>
      <c r="AG3743" s="831" t="s">
        <v>133</v>
      </c>
      <c r="AH3743" s="831" t="s">
        <v>148</v>
      </c>
      <c r="AI3743" s="831">
        <v>0</v>
      </c>
      <c r="AJ3743" s="835">
        <v>40237</v>
      </c>
      <c r="AK3743" s="831">
        <v>0</v>
      </c>
      <c r="AP3743" s="831" t="str">
        <f t="shared" si="175"/>
        <v/>
      </c>
    </row>
    <row r="3744" spans="2:42">
      <c r="B3744" s="834" t="str">
        <f t="shared" si="174"/>
        <v>|||</v>
      </c>
      <c r="H3744" s="835">
        <f t="shared" si="176"/>
        <v>31</v>
      </c>
      <c r="AF3744" s="831" t="s">
        <v>4401</v>
      </c>
      <c r="AG3744" s="831" t="s">
        <v>133</v>
      </c>
      <c r="AH3744" s="831" t="s">
        <v>152</v>
      </c>
      <c r="AI3744" s="831">
        <v>0</v>
      </c>
      <c r="AJ3744" s="835">
        <v>40237</v>
      </c>
      <c r="AK3744" s="831">
        <v>0</v>
      </c>
      <c r="AP3744" s="831" t="str">
        <f t="shared" si="175"/>
        <v/>
      </c>
    </row>
    <row r="3745" spans="2:42">
      <c r="B3745" s="834" t="str">
        <f t="shared" si="174"/>
        <v>|||</v>
      </c>
      <c r="H3745" s="835">
        <f t="shared" si="176"/>
        <v>31</v>
      </c>
      <c r="AF3745" s="831" t="s">
        <v>4402</v>
      </c>
      <c r="AG3745" s="831" t="s">
        <v>133</v>
      </c>
      <c r="AH3745" s="831" t="s">
        <v>12</v>
      </c>
      <c r="AI3745" s="831">
        <v>0</v>
      </c>
      <c r="AJ3745" s="835">
        <v>40237</v>
      </c>
      <c r="AK3745" s="831">
        <v>0</v>
      </c>
      <c r="AP3745" s="831" t="str">
        <f t="shared" si="175"/>
        <v/>
      </c>
    </row>
    <row r="3746" spans="2:42">
      <c r="B3746" s="834" t="str">
        <f t="shared" si="174"/>
        <v>|||</v>
      </c>
      <c r="H3746" s="835">
        <f t="shared" si="176"/>
        <v>31</v>
      </c>
      <c r="AF3746" s="831" t="s">
        <v>4403</v>
      </c>
      <c r="AG3746" s="831" t="s">
        <v>133</v>
      </c>
      <c r="AH3746" s="831" t="s">
        <v>139</v>
      </c>
      <c r="AI3746" s="831">
        <v>0</v>
      </c>
      <c r="AJ3746" s="835">
        <v>40268</v>
      </c>
      <c r="AK3746" s="831">
        <v>0</v>
      </c>
      <c r="AP3746" s="831" t="str">
        <f t="shared" si="175"/>
        <v/>
      </c>
    </row>
    <row r="3747" spans="2:42">
      <c r="B3747" s="834" t="str">
        <f t="shared" si="174"/>
        <v>|||</v>
      </c>
      <c r="H3747" s="835">
        <f t="shared" si="176"/>
        <v>31</v>
      </c>
      <c r="AF3747" s="831" t="s">
        <v>4404</v>
      </c>
      <c r="AG3747" s="831" t="s">
        <v>133</v>
      </c>
      <c r="AH3747" s="831" t="s">
        <v>11</v>
      </c>
      <c r="AI3747" s="831">
        <v>0</v>
      </c>
      <c r="AJ3747" s="835">
        <v>40268</v>
      </c>
      <c r="AK3747" s="831">
        <v>0</v>
      </c>
      <c r="AP3747" s="831" t="str">
        <f t="shared" si="175"/>
        <v/>
      </c>
    </row>
    <row r="3748" spans="2:42">
      <c r="B3748" s="834" t="str">
        <f t="shared" si="174"/>
        <v>|||</v>
      </c>
      <c r="H3748" s="835">
        <f t="shared" si="176"/>
        <v>31</v>
      </c>
      <c r="AF3748" s="831" t="s">
        <v>4405</v>
      </c>
      <c r="AG3748" s="831" t="s">
        <v>133</v>
      </c>
      <c r="AH3748" s="831" t="s">
        <v>144</v>
      </c>
      <c r="AI3748" s="831">
        <v>0</v>
      </c>
      <c r="AJ3748" s="835">
        <v>40268</v>
      </c>
      <c r="AK3748" s="831">
        <v>0</v>
      </c>
      <c r="AP3748" s="831" t="str">
        <f t="shared" si="175"/>
        <v/>
      </c>
    </row>
    <row r="3749" spans="2:42">
      <c r="B3749" s="834" t="str">
        <f t="shared" si="174"/>
        <v>|||</v>
      </c>
      <c r="H3749" s="835">
        <f t="shared" si="176"/>
        <v>31</v>
      </c>
      <c r="AF3749" s="831" t="s">
        <v>4406</v>
      </c>
      <c r="AG3749" s="831" t="s">
        <v>133</v>
      </c>
      <c r="AH3749" s="831" t="s">
        <v>148</v>
      </c>
      <c r="AI3749" s="831">
        <v>0</v>
      </c>
      <c r="AJ3749" s="835">
        <v>40268</v>
      </c>
      <c r="AK3749" s="831">
        <v>0</v>
      </c>
      <c r="AP3749" s="831" t="str">
        <f t="shared" si="175"/>
        <v/>
      </c>
    </row>
    <row r="3750" spans="2:42">
      <c r="B3750" s="834" t="str">
        <f t="shared" si="174"/>
        <v>|||</v>
      </c>
      <c r="H3750" s="835">
        <f t="shared" si="176"/>
        <v>31</v>
      </c>
      <c r="AF3750" s="831" t="s">
        <v>4407</v>
      </c>
      <c r="AG3750" s="831" t="s">
        <v>133</v>
      </c>
      <c r="AH3750" s="831" t="s">
        <v>152</v>
      </c>
      <c r="AI3750" s="831">
        <v>0</v>
      </c>
      <c r="AJ3750" s="835">
        <v>40268</v>
      </c>
      <c r="AK3750" s="831">
        <v>0</v>
      </c>
      <c r="AP3750" s="831" t="str">
        <f t="shared" si="175"/>
        <v/>
      </c>
    </row>
    <row r="3751" spans="2:42">
      <c r="B3751" s="834" t="str">
        <f t="shared" si="174"/>
        <v>|||</v>
      </c>
      <c r="H3751" s="835">
        <f t="shared" si="176"/>
        <v>31</v>
      </c>
      <c r="AF3751" s="831" t="s">
        <v>4408</v>
      </c>
      <c r="AG3751" s="831" t="s">
        <v>133</v>
      </c>
      <c r="AH3751" s="831" t="s">
        <v>12</v>
      </c>
      <c r="AI3751" s="831">
        <v>0</v>
      </c>
      <c r="AJ3751" s="835">
        <v>40268</v>
      </c>
      <c r="AK3751" s="831">
        <v>0</v>
      </c>
      <c r="AP3751" s="831" t="str">
        <f t="shared" si="175"/>
        <v/>
      </c>
    </row>
    <row r="3752" spans="2:42">
      <c r="B3752" s="834" t="str">
        <f t="shared" si="174"/>
        <v>|||</v>
      </c>
      <c r="H3752" s="835">
        <f t="shared" si="176"/>
        <v>31</v>
      </c>
      <c r="AF3752" s="831" t="s">
        <v>4409</v>
      </c>
      <c r="AG3752" s="831" t="s">
        <v>133</v>
      </c>
      <c r="AH3752" s="831" t="s">
        <v>139</v>
      </c>
      <c r="AI3752" s="831">
        <v>0</v>
      </c>
      <c r="AJ3752" s="835">
        <v>40298</v>
      </c>
      <c r="AK3752" s="831">
        <v>0</v>
      </c>
      <c r="AP3752" s="831" t="str">
        <f t="shared" si="175"/>
        <v/>
      </c>
    </row>
    <row r="3753" spans="2:42">
      <c r="B3753" s="834" t="str">
        <f t="shared" si="174"/>
        <v>|||</v>
      </c>
      <c r="H3753" s="835">
        <f t="shared" si="176"/>
        <v>31</v>
      </c>
      <c r="AF3753" s="831" t="s">
        <v>4410</v>
      </c>
      <c r="AG3753" s="831" t="s">
        <v>133</v>
      </c>
      <c r="AH3753" s="831" t="s">
        <v>11</v>
      </c>
      <c r="AI3753" s="831">
        <v>0</v>
      </c>
      <c r="AJ3753" s="835">
        <v>40298</v>
      </c>
      <c r="AK3753" s="831">
        <v>0</v>
      </c>
      <c r="AP3753" s="831" t="str">
        <f t="shared" si="175"/>
        <v/>
      </c>
    </row>
    <row r="3754" spans="2:42">
      <c r="B3754" s="834" t="str">
        <f t="shared" si="174"/>
        <v>|||</v>
      </c>
      <c r="H3754" s="835">
        <f t="shared" si="176"/>
        <v>31</v>
      </c>
      <c r="AF3754" s="831" t="s">
        <v>4411</v>
      </c>
      <c r="AG3754" s="831" t="s">
        <v>133</v>
      </c>
      <c r="AH3754" s="831" t="s">
        <v>144</v>
      </c>
      <c r="AI3754" s="831">
        <v>0</v>
      </c>
      <c r="AJ3754" s="835">
        <v>40298</v>
      </c>
      <c r="AK3754" s="831">
        <v>0</v>
      </c>
      <c r="AP3754" s="831" t="str">
        <f t="shared" si="175"/>
        <v/>
      </c>
    </row>
    <row r="3755" spans="2:42">
      <c r="B3755" s="834" t="str">
        <f t="shared" si="174"/>
        <v>|||</v>
      </c>
      <c r="H3755" s="835">
        <f t="shared" si="176"/>
        <v>31</v>
      </c>
      <c r="AF3755" s="831" t="s">
        <v>4412</v>
      </c>
      <c r="AG3755" s="831" t="s">
        <v>133</v>
      </c>
      <c r="AH3755" s="831" t="s">
        <v>148</v>
      </c>
      <c r="AI3755" s="831">
        <v>0</v>
      </c>
      <c r="AJ3755" s="835">
        <v>40298</v>
      </c>
      <c r="AK3755" s="831">
        <v>0</v>
      </c>
      <c r="AP3755" s="831" t="str">
        <f t="shared" si="175"/>
        <v/>
      </c>
    </row>
    <row r="3756" spans="2:42">
      <c r="B3756" s="834" t="str">
        <f t="shared" si="174"/>
        <v>|||</v>
      </c>
      <c r="H3756" s="835">
        <f t="shared" si="176"/>
        <v>31</v>
      </c>
      <c r="AF3756" s="831" t="s">
        <v>4413</v>
      </c>
      <c r="AG3756" s="831" t="s">
        <v>133</v>
      </c>
      <c r="AH3756" s="831" t="s">
        <v>152</v>
      </c>
      <c r="AI3756" s="831">
        <v>0</v>
      </c>
      <c r="AJ3756" s="835">
        <v>40298</v>
      </c>
      <c r="AK3756" s="831">
        <v>0</v>
      </c>
      <c r="AP3756" s="831" t="str">
        <f t="shared" si="175"/>
        <v/>
      </c>
    </row>
    <row r="3757" spans="2:42">
      <c r="B3757" s="834" t="str">
        <f t="shared" si="174"/>
        <v>|||</v>
      </c>
      <c r="H3757" s="835">
        <f t="shared" si="176"/>
        <v>31</v>
      </c>
      <c r="AF3757" s="831" t="s">
        <v>4414</v>
      </c>
      <c r="AG3757" s="831" t="s">
        <v>133</v>
      </c>
      <c r="AH3757" s="831" t="s">
        <v>12</v>
      </c>
      <c r="AI3757" s="831">
        <v>0</v>
      </c>
      <c r="AJ3757" s="835">
        <v>40298</v>
      </c>
      <c r="AK3757" s="831">
        <v>0</v>
      </c>
      <c r="AP3757" s="831" t="str">
        <f t="shared" si="175"/>
        <v/>
      </c>
    </row>
    <row r="3758" spans="2:42">
      <c r="B3758" s="834" t="str">
        <f t="shared" si="174"/>
        <v>|||</v>
      </c>
      <c r="H3758" s="835">
        <f t="shared" si="176"/>
        <v>31</v>
      </c>
      <c r="AF3758" s="831" t="s">
        <v>4415</v>
      </c>
      <c r="AG3758" s="831" t="s">
        <v>133</v>
      </c>
      <c r="AH3758" s="831" t="s">
        <v>139</v>
      </c>
      <c r="AI3758" s="831">
        <v>0</v>
      </c>
      <c r="AJ3758" s="835">
        <v>40329</v>
      </c>
      <c r="AK3758" s="831">
        <v>0</v>
      </c>
      <c r="AP3758" s="831" t="str">
        <f t="shared" si="175"/>
        <v/>
      </c>
    </row>
    <row r="3759" spans="2:42">
      <c r="B3759" s="834" t="str">
        <f t="shared" si="174"/>
        <v>|||</v>
      </c>
      <c r="H3759" s="835">
        <f t="shared" si="176"/>
        <v>31</v>
      </c>
      <c r="AF3759" s="831" t="s">
        <v>4416</v>
      </c>
      <c r="AG3759" s="831" t="s">
        <v>133</v>
      </c>
      <c r="AH3759" s="831" t="s">
        <v>11</v>
      </c>
      <c r="AI3759" s="831">
        <v>0</v>
      </c>
      <c r="AJ3759" s="835">
        <v>40329</v>
      </c>
      <c r="AK3759" s="831">
        <v>0</v>
      </c>
      <c r="AP3759" s="831" t="str">
        <f t="shared" si="175"/>
        <v/>
      </c>
    </row>
    <row r="3760" spans="2:42">
      <c r="B3760" s="834" t="str">
        <f t="shared" si="174"/>
        <v>|||</v>
      </c>
      <c r="H3760" s="835">
        <f t="shared" si="176"/>
        <v>31</v>
      </c>
      <c r="AF3760" s="831" t="s">
        <v>4417</v>
      </c>
      <c r="AG3760" s="831" t="s">
        <v>133</v>
      </c>
      <c r="AH3760" s="831" t="s">
        <v>144</v>
      </c>
      <c r="AI3760" s="831">
        <v>0</v>
      </c>
      <c r="AJ3760" s="835">
        <v>40329</v>
      </c>
      <c r="AK3760" s="831">
        <v>0</v>
      </c>
      <c r="AP3760" s="831" t="str">
        <f t="shared" si="175"/>
        <v/>
      </c>
    </row>
    <row r="3761" spans="2:42">
      <c r="B3761" s="834" t="str">
        <f t="shared" si="174"/>
        <v>|||</v>
      </c>
      <c r="H3761" s="835">
        <f t="shared" si="176"/>
        <v>31</v>
      </c>
      <c r="AF3761" s="831" t="s">
        <v>4418</v>
      </c>
      <c r="AG3761" s="831" t="s">
        <v>133</v>
      </c>
      <c r="AH3761" s="831" t="s">
        <v>148</v>
      </c>
      <c r="AI3761" s="831">
        <v>0</v>
      </c>
      <c r="AJ3761" s="835">
        <v>40329</v>
      </c>
      <c r="AK3761" s="831">
        <v>0</v>
      </c>
      <c r="AP3761" s="831" t="str">
        <f t="shared" si="175"/>
        <v/>
      </c>
    </row>
    <row r="3762" spans="2:42">
      <c r="B3762" s="834" t="str">
        <f t="shared" si="174"/>
        <v>|||</v>
      </c>
      <c r="H3762" s="835">
        <f t="shared" si="176"/>
        <v>31</v>
      </c>
      <c r="AF3762" s="831" t="s">
        <v>4419</v>
      </c>
      <c r="AG3762" s="831" t="s">
        <v>133</v>
      </c>
      <c r="AH3762" s="831" t="s">
        <v>152</v>
      </c>
      <c r="AI3762" s="831">
        <v>0</v>
      </c>
      <c r="AJ3762" s="835">
        <v>40329</v>
      </c>
      <c r="AK3762" s="831">
        <v>0</v>
      </c>
      <c r="AP3762" s="831" t="str">
        <f t="shared" si="175"/>
        <v/>
      </c>
    </row>
    <row r="3763" spans="2:42">
      <c r="B3763" s="834" t="str">
        <f t="shared" si="174"/>
        <v>|||</v>
      </c>
      <c r="H3763" s="835">
        <f t="shared" si="176"/>
        <v>31</v>
      </c>
      <c r="AF3763" s="831" t="s">
        <v>4420</v>
      </c>
      <c r="AG3763" s="831" t="s">
        <v>133</v>
      </c>
      <c r="AH3763" s="831" t="s">
        <v>12</v>
      </c>
      <c r="AI3763" s="831">
        <v>0</v>
      </c>
      <c r="AJ3763" s="835">
        <v>40329</v>
      </c>
      <c r="AK3763" s="831">
        <v>0</v>
      </c>
      <c r="AP3763" s="831" t="str">
        <f t="shared" si="175"/>
        <v/>
      </c>
    </row>
    <row r="3764" spans="2:42">
      <c r="B3764" s="834" t="str">
        <f t="shared" si="174"/>
        <v>|||</v>
      </c>
      <c r="H3764" s="835">
        <f t="shared" si="176"/>
        <v>31</v>
      </c>
      <c r="AF3764" s="831" t="s">
        <v>4421</v>
      </c>
      <c r="AG3764" s="831" t="s">
        <v>133</v>
      </c>
      <c r="AH3764" s="831" t="s">
        <v>139</v>
      </c>
      <c r="AI3764" s="831">
        <v>0</v>
      </c>
      <c r="AJ3764" s="835">
        <v>40359</v>
      </c>
      <c r="AK3764" s="831">
        <v>0</v>
      </c>
      <c r="AP3764" s="831" t="str">
        <f t="shared" si="175"/>
        <v/>
      </c>
    </row>
    <row r="3765" spans="2:42">
      <c r="B3765" s="834" t="str">
        <f t="shared" si="174"/>
        <v>|||</v>
      </c>
      <c r="H3765" s="835">
        <f t="shared" si="176"/>
        <v>31</v>
      </c>
      <c r="AF3765" s="831" t="s">
        <v>4422</v>
      </c>
      <c r="AG3765" s="831" t="s">
        <v>133</v>
      </c>
      <c r="AH3765" s="831" t="s">
        <v>11</v>
      </c>
      <c r="AI3765" s="831">
        <v>0</v>
      </c>
      <c r="AJ3765" s="835">
        <v>40359</v>
      </c>
      <c r="AK3765" s="831">
        <v>0</v>
      </c>
      <c r="AP3765" s="831" t="str">
        <f t="shared" si="175"/>
        <v/>
      </c>
    </row>
    <row r="3766" spans="2:42">
      <c r="B3766" s="834" t="str">
        <f t="shared" si="174"/>
        <v>|||</v>
      </c>
      <c r="H3766" s="835">
        <f t="shared" si="176"/>
        <v>31</v>
      </c>
      <c r="AF3766" s="831" t="s">
        <v>4423</v>
      </c>
      <c r="AG3766" s="831" t="s">
        <v>133</v>
      </c>
      <c r="AH3766" s="831" t="s">
        <v>144</v>
      </c>
      <c r="AI3766" s="831">
        <v>0</v>
      </c>
      <c r="AJ3766" s="835">
        <v>40359</v>
      </c>
      <c r="AK3766" s="831">
        <v>0</v>
      </c>
      <c r="AP3766" s="831" t="str">
        <f t="shared" si="175"/>
        <v/>
      </c>
    </row>
    <row r="3767" spans="2:42">
      <c r="B3767" s="834" t="str">
        <f t="shared" si="174"/>
        <v>|||</v>
      </c>
      <c r="H3767" s="835">
        <f t="shared" si="176"/>
        <v>31</v>
      </c>
      <c r="AF3767" s="831" t="s">
        <v>4424</v>
      </c>
      <c r="AG3767" s="831" t="s">
        <v>133</v>
      </c>
      <c r="AH3767" s="831" t="s">
        <v>148</v>
      </c>
      <c r="AI3767" s="831">
        <v>0</v>
      </c>
      <c r="AJ3767" s="835">
        <v>40359</v>
      </c>
      <c r="AK3767" s="831">
        <v>0</v>
      </c>
      <c r="AP3767" s="831" t="str">
        <f t="shared" si="175"/>
        <v/>
      </c>
    </row>
    <row r="3768" spans="2:42">
      <c r="B3768" s="834" t="str">
        <f t="shared" si="174"/>
        <v>|||</v>
      </c>
      <c r="H3768" s="835">
        <f t="shared" si="176"/>
        <v>31</v>
      </c>
      <c r="AF3768" s="831" t="s">
        <v>4425</v>
      </c>
      <c r="AG3768" s="831" t="s">
        <v>133</v>
      </c>
      <c r="AH3768" s="831" t="s">
        <v>152</v>
      </c>
      <c r="AI3768" s="831">
        <v>0</v>
      </c>
      <c r="AJ3768" s="835">
        <v>40359</v>
      </c>
      <c r="AK3768" s="831">
        <v>0</v>
      </c>
      <c r="AP3768" s="831" t="str">
        <f t="shared" si="175"/>
        <v/>
      </c>
    </row>
    <row r="3769" spans="2:42">
      <c r="B3769" s="834" t="str">
        <f t="shared" si="174"/>
        <v>|||</v>
      </c>
      <c r="H3769" s="835">
        <f t="shared" si="176"/>
        <v>31</v>
      </c>
      <c r="AF3769" s="831" t="s">
        <v>4426</v>
      </c>
      <c r="AG3769" s="831" t="s">
        <v>133</v>
      </c>
      <c r="AH3769" s="831" t="s">
        <v>12</v>
      </c>
      <c r="AI3769" s="831">
        <v>0</v>
      </c>
      <c r="AJ3769" s="835">
        <v>40359</v>
      </c>
      <c r="AK3769" s="831">
        <v>0</v>
      </c>
      <c r="AP3769" s="831" t="str">
        <f t="shared" si="175"/>
        <v/>
      </c>
    </row>
    <row r="3770" spans="2:42">
      <c r="B3770" s="834" t="str">
        <f t="shared" si="174"/>
        <v>|||</v>
      </c>
      <c r="H3770" s="835">
        <f t="shared" si="176"/>
        <v>31</v>
      </c>
      <c r="AF3770" s="831" t="s">
        <v>4427</v>
      </c>
      <c r="AG3770" s="831" t="s">
        <v>133</v>
      </c>
      <c r="AH3770" s="831" t="s">
        <v>139</v>
      </c>
      <c r="AI3770" s="831">
        <v>0</v>
      </c>
      <c r="AJ3770" s="835">
        <v>40390</v>
      </c>
      <c r="AK3770" s="831">
        <v>0</v>
      </c>
      <c r="AP3770" s="831" t="str">
        <f t="shared" si="175"/>
        <v/>
      </c>
    </row>
    <row r="3771" spans="2:42">
      <c r="B3771" s="834" t="str">
        <f t="shared" si="174"/>
        <v>|||</v>
      </c>
      <c r="H3771" s="835">
        <f t="shared" si="176"/>
        <v>31</v>
      </c>
      <c r="AF3771" s="831" t="s">
        <v>4428</v>
      </c>
      <c r="AG3771" s="831" t="s">
        <v>133</v>
      </c>
      <c r="AH3771" s="831" t="s">
        <v>11</v>
      </c>
      <c r="AI3771" s="831">
        <v>0</v>
      </c>
      <c r="AJ3771" s="835">
        <v>40390</v>
      </c>
      <c r="AK3771" s="831">
        <v>0</v>
      </c>
      <c r="AP3771" s="831" t="str">
        <f t="shared" si="175"/>
        <v/>
      </c>
    </row>
    <row r="3772" spans="2:42">
      <c r="B3772" s="834" t="str">
        <f t="shared" si="174"/>
        <v>|||</v>
      </c>
      <c r="H3772" s="835">
        <f t="shared" si="176"/>
        <v>31</v>
      </c>
      <c r="AF3772" s="831" t="s">
        <v>4429</v>
      </c>
      <c r="AG3772" s="831" t="s">
        <v>133</v>
      </c>
      <c r="AH3772" s="831" t="s">
        <v>144</v>
      </c>
      <c r="AI3772" s="831">
        <v>0</v>
      </c>
      <c r="AJ3772" s="835">
        <v>40390</v>
      </c>
      <c r="AK3772" s="831">
        <v>0</v>
      </c>
      <c r="AP3772" s="831" t="str">
        <f t="shared" si="175"/>
        <v/>
      </c>
    </row>
    <row r="3773" spans="2:42">
      <c r="B3773" s="834" t="str">
        <f t="shared" si="174"/>
        <v>|||</v>
      </c>
      <c r="H3773" s="835">
        <f t="shared" si="176"/>
        <v>31</v>
      </c>
      <c r="AF3773" s="831" t="s">
        <v>4430</v>
      </c>
      <c r="AG3773" s="831" t="s">
        <v>133</v>
      </c>
      <c r="AH3773" s="831" t="s">
        <v>148</v>
      </c>
      <c r="AI3773" s="831">
        <v>0</v>
      </c>
      <c r="AJ3773" s="835">
        <v>40390</v>
      </c>
      <c r="AK3773" s="831">
        <v>0</v>
      </c>
      <c r="AP3773" s="831" t="str">
        <f t="shared" si="175"/>
        <v/>
      </c>
    </row>
    <row r="3774" spans="2:42">
      <c r="B3774" s="834" t="str">
        <f t="shared" si="174"/>
        <v>|||</v>
      </c>
      <c r="H3774" s="835">
        <f t="shared" si="176"/>
        <v>31</v>
      </c>
      <c r="AF3774" s="831" t="s">
        <v>4431</v>
      </c>
      <c r="AG3774" s="831" t="s">
        <v>133</v>
      </c>
      <c r="AH3774" s="831" t="s">
        <v>152</v>
      </c>
      <c r="AI3774" s="831">
        <v>0</v>
      </c>
      <c r="AJ3774" s="835">
        <v>40390</v>
      </c>
      <c r="AK3774" s="831">
        <v>0</v>
      </c>
      <c r="AP3774" s="831" t="str">
        <f t="shared" si="175"/>
        <v/>
      </c>
    </row>
    <row r="3775" spans="2:42">
      <c r="B3775" s="834" t="str">
        <f t="shared" si="174"/>
        <v>|||</v>
      </c>
      <c r="H3775" s="835">
        <f t="shared" si="176"/>
        <v>31</v>
      </c>
      <c r="AF3775" s="831" t="s">
        <v>4432</v>
      </c>
      <c r="AG3775" s="831" t="s">
        <v>133</v>
      </c>
      <c r="AH3775" s="831" t="s">
        <v>12</v>
      </c>
      <c r="AI3775" s="831">
        <v>0</v>
      </c>
      <c r="AJ3775" s="835">
        <v>40390</v>
      </c>
      <c r="AK3775" s="831">
        <v>0</v>
      </c>
      <c r="AP3775" s="831" t="str">
        <f t="shared" si="175"/>
        <v/>
      </c>
    </row>
    <row r="3776" spans="2:42">
      <c r="B3776" s="834" t="str">
        <f t="shared" si="174"/>
        <v>|||</v>
      </c>
      <c r="H3776" s="835">
        <f t="shared" si="176"/>
        <v>31</v>
      </c>
      <c r="AF3776" s="831" t="s">
        <v>4433</v>
      </c>
      <c r="AG3776" s="831" t="s">
        <v>133</v>
      </c>
      <c r="AH3776" s="831" t="s">
        <v>139</v>
      </c>
      <c r="AI3776" s="831">
        <v>0</v>
      </c>
      <c r="AJ3776" s="835">
        <v>40421</v>
      </c>
      <c r="AK3776" s="831">
        <v>0</v>
      </c>
      <c r="AP3776" s="831" t="str">
        <f t="shared" si="175"/>
        <v/>
      </c>
    </row>
    <row r="3777" spans="2:42">
      <c r="B3777" s="834" t="str">
        <f t="shared" si="174"/>
        <v>|||</v>
      </c>
      <c r="H3777" s="835">
        <f t="shared" si="176"/>
        <v>31</v>
      </c>
      <c r="AF3777" s="831" t="s">
        <v>4434</v>
      </c>
      <c r="AG3777" s="831" t="s">
        <v>133</v>
      </c>
      <c r="AH3777" s="831" t="s">
        <v>11</v>
      </c>
      <c r="AI3777" s="831">
        <v>0</v>
      </c>
      <c r="AJ3777" s="835">
        <v>40421</v>
      </c>
      <c r="AK3777" s="831">
        <v>0</v>
      </c>
      <c r="AP3777" s="831" t="str">
        <f t="shared" si="175"/>
        <v/>
      </c>
    </row>
    <row r="3778" spans="2:42">
      <c r="B3778" s="834" t="str">
        <f t="shared" si="174"/>
        <v>|||</v>
      </c>
      <c r="H3778" s="835">
        <f t="shared" si="176"/>
        <v>31</v>
      </c>
      <c r="AF3778" s="831" t="s">
        <v>4435</v>
      </c>
      <c r="AG3778" s="831" t="s">
        <v>133</v>
      </c>
      <c r="AH3778" s="831" t="s">
        <v>144</v>
      </c>
      <c r="AI3778" s="831">
        <v>0</v>
      </c>
      <c r="AJ3778" s="835">
        <v>40421</v>
      </c>
      <c r="AK3778" s="831">
        <v>0</v>
      </c>
      <c r="AP3778" s="831" t="str">
        <f t="shared" si="175"/>
        <v/>
      </c>
    </row>
    <row r="3779" spans="2:42">
      <c r="B3779" s="834" t="str">
        <f t="shared" ref="B3779:B3842" si="177">C3779&amp;"|"&amp;D3779&amp;"|"&amp;E3779&amp;"|"&amp;F3779</f>
        <v>|||</v>
      </c>
      <c r="H3779" s="835">
        <f t="shared" si="176"/>
        <v>31</v>
      </c>
      <c r="AF3779" s="831" t="s">
        <v>4436</v>
      </c>
      <c r="AG3779" s="831" t="s">
        <v>133</v>
      </c>
      <c r="AH3779" s="831" t="s">
        <v>148</v>
      </c>
      <c r="AI3779" s="831">
        <v>0</v>
      </c>
      <c r="AJ3779" s="835">
        <v>40421</v>
      </c>
      <c r="AK3779" s="831">
        <v>0</v>
      </c>
      <c r="AP3779" s="831" t="str">
        <f t="shared" ref="AP3779:AP3842" si="178">IF(AX3779&lt;&gt;"",IF(OR(AX3779=3,AX3779=4),"Equity","Debt"),"")</f>
        <v/>
      </c>
    </row>
    <row r="3780" spans="2:42">
      <c r="B3780" s="834" t="str">
        <f t="shared" si="177"/>
        <v>|||</v>
      </c>
      <c r="H3780" s="835">
        <f t="shared" ref="H3780:H3843" si="179">EOMONTH(L3780,0)</f>
        <v>31</v>
      </c>
      <c r="AF3780" s="831" t="s">
        <v>4437</v>
      </c>
      <c r="AG3780" s="831" t="s">
        <v>133</v>
      </c>
      <c r="AH3780" s="831" t="s">
        <v>152</v>
      </c>
      <c r="AI3780" s="831">
        <v>0</v>
      </c>
      <c r="AJ3780" s="835">
        <v>40421</v>
      </c>
      <c r="AK3780" s="831">
        <v>0</v>
      </c>
      <c r="AP3780" s="831" t="str">
        <f t="shared" si="178"/>
        <v/>
      </c>
    </row>
    <row r="3781" spans="2:42">
      <c r="B3781" s="834" t="str">
        <f t="shared" si="177"/>
        <v>|||</v>
      </c>
      <c r="H3781" s="835">
        <f t="shared" si="179"/>
        <v>31</v>
      </c>
      <c r="AF3781" s="831" t="s">
        <v>4438</v>
      </c>
      <c r="AG3781" s="831" t="s">
        <v>133</v>
      </c>
      <c r="AH3781" s="831" t="s">
        <v>12</v>
      </c>
      <c r="AI3781" s="831">
        <v>0</v>
      </c>
      <c r="AJ3781" s="835">
        <v>40421</v>
      </c>
      <c r="AK3781" s="831">
        <v>0</v>
      </c>
      <c r="AP3781" s="831" t="str">
        <f t="shared" si="178"/>
        <v/>
      </c>
    </row>
    <row r="3782" spans="2:42">
      <c r="B3782" s="834" t="str">
        <f t="shared" si="177"/>
        <v>|||</v>
      </c>
      <c r="H3782" s="835">
        <f t="shared" si="179"/>
        <v>31</v>
      </c>
      <c r="AF3782" s="831" t="s">
        <v>4439</v>
      </c>
      <c r="AG3782" s="831" t="s">
        <v>133</v>
      </c>
      <c r="AH3782" s="831" t="s">
        <v>139</v>
      </c>
      <c r="AI3782" s="831">
        <v>0</v>
      </c>
      <c r="AJ3782" s="835">
        <v>40451</v>
      </c>
      <c r="AK3782" s="831">
        <v>0</v>
      </c>
      <c r="AP3782" s="831" t="str">
        <f t="shared" si="178"/>
        <v/>
      </c>
    </row>
    <row r="3783" spans="2:42">
      <c r="B3783" s="834" t="str">
        <f t="shared" si="177"/>
        <v>|||</v>
      </c>
      <c r="H3783" s="835">
        <f t="shared" si="179"/>
        <v>31</v>
      </c>
      <c r="AF3783" s="831" t="s">
        <v>4440</v>
      </c>
      <c r="AG3783" s="831" t="s">
        <v>133</v>
      </c>
      <c r="AH3783" s="831" t="s">
        <v>11</v>
      </c>
      <c r="AI3783" s="831">
        <v>0</v>
      </c>
      <c r="AJ3783" s="835">
        <v>40451</v>
      </c>
      <c r="AK3783" s="831">
        <v>0</v>
      </c>
      <c r="AP3783" s="831" t="str">
        <f t="shared" si="178"/>
        <v/>
      </c>
    </row>
    <row r="3784" spans="2:42">
      <c r="B3784" s="834" t="str">
        <f t="shared" si="177"/>
        <v>|||</v>
      </c>
      <c r="H3784" s="835">
        <f t="shared" si="179"/>
        <v>31</v>
      </c>
      <c r="AF3784" s="831" t="s">
        <v>4441</v>
      </c>
      <c r="AG3784" s="831" t="s">
        <v>133</v>
      </c>
      <c r="AH3784" s="831" t="s">
        <v>144</v>
      </c>
      <c r="AI3784" s="831">
        <v>0</v>
      </c>
      <c r="AJ3784" s="835">
        <v>40451</v>
      </c>
      <c r="AK3784" s="831">
        <v>0</v>
      </c>
      <c r="AP3784" s="831" t="str">
        <f t="shared" si="178"/>
        <v/>
      </c>
    </row>
    <row r="3785" spans="2:42">
      <c r="B3785" s="834" t="str">
        <f t="shared" si="177"/>
        <v>|||</v>
      </c>
      <c r="H3785" s="835">
        <f t="shared" si="179"/>
        <v>31</v>
      </c>
      <c r="AF3785" s="831" t="s">
        <v>4442</v>
      </c>
      <c r="AG3785" s="831" t="s">
        <v>133</v>
      </c>
      <c r="AH3785" s="831" t="s">
        <v>148</v>
      </c>
      <c r="AI3785" s="831">
        <v>0</v>
      </c>
      <c r="AJ3785" s="835">
        <v>40451</v>
      </c>
      <c r="AK3785" s="831">
        <v>0</v>
      </c>
      <c r="AP3785" s="831" t="str">
        <f t="shared" si="178"/>
        <v/>
      </c>
    </row>
    <row r="3786" spans="2:42">
      <c r="B3786" s="834" t="str">
        <f t="shared" si="177"/>
        <v>|||</v>
      </c>
      <c r="H3786" s="835">
        <f t="shared" si="179"/>
        <v>31</v>
      </c>
      <c r="AF3786" s="831" t="s">
        <v>4443</v>
      </c>
      <c r="AG3786" s="831" t="s">
        <v>133</v>
      </c>
      <c r="AH3786" s="831" t="s">
        <v>152</v>
      </c>
      <c r="AI3786" s="831">
        <v>0</v>
      </c>
      <c r="AJ3786" s="835">
        <v>40451</v>
      </c>
      <c r="AK3786" s="831">
        <v>0</v>
      </c>
      <c r="AP3786" s="831" t="str">
        <f t="shared" si="178"/>
        <v/>
      </c>
    </row>
    <row r="3787" spans="2:42">
      <c r="B3787" s="834" t="str">
        <f t="shared" si="177"/>
        <v>|||</v>
      </c>
      <c r="H3787" s="835">
        <f t="shared" si="179"/>
        <v>31</v>
      </c>
      <c r="AF3787" s="831" t="s">
        <v>4444</v>
      </c>
      <c r="AG3787" s="831" t="s">
        <v>133</v>
      </c>
      <c r="AH3787" s="831" t="s">
        <v>12</v>
      </c>
      <c r="AI3787" s="831">
        <v>0</v>
      </c>
      <c r="AJ3787" s="835">
        <v>40451</v>
      </c>
      <c r="AK3787" s="831">
        <v>0</v>
      </c>
      <c r="AP3787" s="831" t="str">
        <f t="shared" si="178"/>
        <v/>
      </c>
    </row>
    <row r="3788" spans="2:42">
      <c r="B3788" s="834" t="str">
        <f t="shared" si="177"/>
        <v>|||</v>
      </c>
      <c r="H3788" s="835">
        <f t="shared" si="179"/>
        <v>31</v>
      </c>
      <c r="AF3788" s="831" t="s">
        <v>4445</v>
      </c>
      <c r="AG3788" s="831" t="s">
        <v>133</v>
      </c>
      <c r="AH3788" s="831" t="s">
        <v>139</v>
      </c>
      <c r="AI3788" s="831">
        <v>0</v>
      </c>
      <c r="AJ3788" s="835">
        <v>40482</v>
      </c>
      <c r="AK3788" s="831">
        <v>0</v>
      </c>
      <c r="AP3788" s="831" t="str">
        <f t="shared" si="178"/>
        <v/>
      </c>
    </row>
    <row r="3789" spans="2:42">
      <c r="B3789" s="834" t="str">
        <f t="shared" si="177"/>
        <v>|||</v>
      </c>
      <c r="H3789" s="835">
        <f t="shared" si="179"/>
        <v>31</v>
      </c>
      <c r="AF3789" s="831" t="s">
        <v>4446</v>
      </c>
      <c r="AG3789" s="831" t="s">
        <v>133</v>
      </c>
      <c r="AH3789" s="831" t="s">
        <v>11</v>
      </c>
      <c r="AI3789" s="831">
        <v>0</v>
      </c>
      <c r="AJ3789" s="835">
        <v>40482</v>
      </c>
      <c r="AK3789" s="831">
        <v>0</v>
      </c>
      <c r="AP3789" s="831" t="str">
        <f t="shared" si="178"/>
        <v/>
      </c>
    </row>
    <row r="3790" spans="2:42">
      <c r="B3790" s="834" t="str">
        <f t="shared" si="177"/>
        <v>|||</v>
      </c>
      <c r="H3790" s="835">
        <f t="shared" si="179"/>
        <v>31</v>
      </c>
      <c r="AF3790" s="831" t="s">
        <v>4447</v>
      </c>
      <c r="AG3790" s="831" t="s">
        <v>133</v>
      </c>
      <c r="AH3790" s="831" t="s">
        <v>144</v>
      </c>
      <c r="AI3790" s="831">
        <v>0</v>
      </c>
      <c r="AJ3790" s="835">
        <v>40482</v>
      </c>
      <c r="AK3790" s="831">
        <v>0</v>
      </c>
      <c r="AP3790" s="831" t="str">
        <f t="shared" si="178"/>
        <v/>
      </c>
    </row>
    <row r="3791" spans="2:42">
      <c r="B3791" s="834" t="str">
        <f t="shared" si="177"/>
        <v>|||</v>
      </c>
      <c r="H3791" s="835">
        <f t="shared" si="179"/>
        <v>31</v>
      </c>
      <c r="AF3791" s="831" t="s">
        <v>4448</v>
      </c>
      <c r="AG3791" s="831" t="s">
        <v>133</v>
      </c>
      <c r="AH3791" s="831" t="s">
        <v>148</v>
      </c>
      <c r="AI3791" s="831">
        <v>0</v>
      </c>
      <c r="AJ3791" s="835">
        <v>40482</v>
      </c>
      <c r="AK3791" s="831">
        <v>0</v>
      </c>
      <c r="AP3791" s="831" t="str">
        <f t="shared" si="178"/>
        <v/>
      </c>
    </row>
    <row r="3792" spans="2:42">
      <c r="B3792" s="834" t="str">
        <f t="shared" si="177"/>
        <v>|||</v>
      </c>
      <c r="H3792" s="835">
        <f t="shared" si="179"/>
        <v>31</v>
      </c>
      <c r="AF3792" s="831" t="s">
        <v>4449</v>
      </c>
      <c r="AG3792" s="831" t="s">
        <v>133</v>
      </c>
      <c r="AH3792" s="831" t="s">
        <v>152</v>
      </c>
      <c r="AI3792" s="831">
        <v>0</v>
      </c>
      <c r="AJ3792" s="835">
        <v>40482</v>
      </c>
      <c r="AK3792" s="831">
        <v>0</v>
      </c>
      <c r="AP3792" s="831" t="str">
        <f t="shared" si="178"/>
        <v/>
      </c>
    </row>
    <row r="3793" spans="2:42">
      <c r="B3793" s="834" t="str">
        <f t="shared" si="177"/>
        <v>|||</v>
      </c>
      <c r="H3793" s="835">
        <f t="shared" si="179"/>
        <v>31</v>
      </c>
      <c r="AF3793" s="831" t="s">
        <v>4450</v>
      </c>
      <c r="AG3793" s="831" t="s">
        <v>133</v>
      </c>
      <c r="AH3793" s="831" t="s">
        <v>12</v>
      </c>
      <c r="AI3793" s="831">
        <v>0</v>
      </c>
      <c r="AJ3793" s="835">
        <v>40482</v>
      </c>
      <c r="AK3793" s="831">
        <v>0</v>
      </c>
      <c r="AP3793" s="831" t="str">
        <f t="shared" si="178"/>
        <v/>
      </c>
    </row>
    <row r="3794" spans="2:42">
      <c r="B3794" s="834" t="str">
        <f t="shared" si="177"/>
        <v>|||</v>
      </c>
      <c r="H3794" s="835">
        <f t="shared" si="179"/>
        <v>31</v>
      </c>
      <c r="AF3794" s="831" t="s">
        <v>4451</v>
      </c>
      <c r="AG3794" s="831" t="s">
        <v>133</v>
      </c>
      <c r="AH3794" s="831" t="s">
        <v>139</v>
      </c>
      <c r="AI3794" s="831">
        <v>0</v>
      </c>
      <c r="AJ3794" s="835">
        <v>40512</v>
      </c>
      <c r="AK3794" s="831">
        <v>0</v>
      </c>
      <c r="AP3794" s="831" t="str">
        <f t="shared" si="178"/>
        <v/>
      </c>
    </row>
    <row r="3795" spans="2:42">
      <c r="B3795" s="834" t="str">
        <f t="shared" si="177"/>
        <v>|||</v>
      </c>
      <c r="H3795" s="835">
        <f t="shared" si="179"/>
        <v>31</v>
      </c>
      <c r="AF3795" s="831" t="s">
        <v>4452</v>
      </c>
      <c r="AG3795" s="831" t="s">
        <v>133</v>
      </c>
      <c r="AH3795" s="831" t="s">
        <v>11</v>
      </c>
      <c r="AI3795" s="831">
        <v>0</v>
      </c>
      <c r="AJ3795" s="835">
        <v>40512</v>
      </c>
      <c r="AK3795" s="831">
        <v>0</v>
      </c>
      <c r="AP3795" s="831" t="str">
        <f t="shared" si="178"/>
        <v/>
      </c>
    </row>
    <row r="3796" spans="2:42">
      <c r="B3796" s="834" t="str">
        <f t="shared" si="177"/>
        <v>|||</v>
      </c>
      <c r="H3796" s="835">
        <f t="shared" si="179"/>
        <v>31</v>
      </c>
      <c r="AF3796" s="831" t="s">
        <v>4453</v>
      </c>
      <c r="AG3796" s="831" t="s">
        <v>133</v>
      </c>
      <c r="AH3796" s="831" t="s">
        <v>144</v>
      </c>
      <c r="AI3796" s="831">
        <v>0</v>
      </c>
      <c r="AJ3796" s="835">
        <v>40512</v>
      </c>
      <c r="AK3796" s="831">
        <v>0</v>
      </c>
      <c r="AP3796" s="831" t="str">
        <f t="shared" si="178"/>
        <v/>
      </c>
    </row>
    <row r="3797" spans="2:42">
      <c r="B3797" s="834" t="str">
        <f t="shared" si="177"/>
        <v>|||</v>
      </c>
      <c r="H3797" s="835">
        <f t="shared" si="179"/>
        <v>31</v>
      </c>
      <c r="AF3797" s="831" t="s">
        <v>4454</v>
      </c>
      <c r="AG3797" s="831" t="s">
        <v>133</v>
      </c>
      <c r="AH3797" s="831" t="s">
        <v>148</v>
      </c>
      <c r="AI3797" s="831">
        <v>0</v>
      </c>
      <c r="AJ3797" s="835">
        <v>40512</v>
      </c>
      <c r="AK3797" s="831">
        <v>0</v>
      </c>
      <c r="AP3797" s="831" t="str">
        <f t="shared" si="178"/>
        <v/>
      </c>
    </row>
    <row r="3798" spans="2:42">
      <c r="B3798" s="834" t="str">
        <f t="shared" si="177"/>
        <v>|||</v>
      </c>
      <c r="H3798" s="835">
        <f t="shared" si="179"/>
        <v>31</v>
      </c>
      <c r="AF3798" s="831" t="s">
        <v>4455</v>
      </c>
      <c r="AG3798" s="831" t="s">
        <v>133</v>
      </c>
      <c r="AH3798" s="831" t="s">
        <v>152</v>
      </c>
      <c r="AI3798" s="831">
        <v>0</v>
      </c>
      <c r="AJ3798" s="835">
        <v>40512</v>
      </c>
      <c r="AK3798" s="831">
        <v>0</v>
      </c>
      <c r="AP3798" s="831" t="str">
        <f t="shared" si="178"/>
        <v/>
      </c>
    </row>
    <row r="3799" spans="2:42">
      <c r="B3799" s="834" t="str">
        <f t="shared" si="177"/>
        <v>|||</v>
      </c>
      <c r="H3799" s="835">
        <f t="shared" si="179"/>
        <v>31</v>
      </c>
      <c r="AF3799" s="831" t="s">
        <v>4456</v>
      </c>
      <c r="AG3799" s="831" t="s">
        <v>133</v>
      </c>
      <c r="AH3799" s="831" t="s">
        <v>12</v>
      </c>
      <c r="AI3799" s="831">
        <v>0</v>
      </c>
      <c r="AJ3799" s="835">
        <v>40512</v>
      </c>
      <c r="AK3799" s="831">
        <v>0</v>
      </c>
      <c r="AP3799" s="831" t="str">
        <f t="shared" si="178"/>
        <v/>
      </c>
    </row>
    <row r="3800" spans="2:42">
      <c r="B3800" s="834" t="str">
        <f t="shared" si="177"/>
        <v>|||</v>
      </c>
      <c r="H3800" s="835">
        <f t="shared" si="179"/>
        <v>31</v>
      </c>
      <c r="AF3800" s="831" t="s">
        <v>4457</v>
      </c>
      <c r="AG3800" s="831" t="s">
        <v>133</v>
      </c>
      <c r="AH3800" s="831" t="s">
        <v>139</v>
      </c>
      <c r="AI3800" s="831">
        <v>0</v>
      </c>
      <c r="AJ3800" s="835">
        <v>40543</v>
      </c>
      <c r="AK3800" s="831">
        <v>0</v>
      </c>
      <c r="AP3800" s="831" t="str">
        <f t="shared" si="178"/>
        <v/>
      </c>
    </row>
    <row r="3801" spans="2:42">
      <c r="B3801" s="834" t="str">
        <f t="shared" si="177"/>
        <v>|||</v>
      </c>
      <c r="H3801" s="835">
        <f t="shared" si="179"/>
        <v>31</v>
      </c>
      <c r="AF3801" s="831" t="s">
        <v>4458</v>
      </c>
      <c r="AG3801" s="831" t="s">
        <v>133</v>
      </c>
      <c r="AH3801" s="831" t="s">
        <v>11</v>
      </c>
      <c r="AI3801" s="831">
        <v>0</v>
      </c>
      <c r="AJ3801" s="835">
        <v>40543</v>
      </c>
      <c r="AK3801" s="831">
        <v>0</v>
      </c>
      <c r="AP3801" s="831" t="str">
        <f t="shared" si="178"/>
        <v/>
      </c>
    </row>
    <row r="3802" spans="2:42">
      <c r="B3802" s="834" t="str">
        <f t="shared" si="177"/>
        <v>|||</v>
      </c>
      <c r="H3802" s="835">
        <f t="shared" si="179"/>
        <v>31</v>
      </c>
      <c r="AF3802" s="831" t="s">
        <v>4459</v>
      </c>
      <c r="AG3802" s="831" t="s">
        <v>133</v>
      </c>
      <c r="AH3802" s="831" t="s">
        <v>144</v>
      </c>
      <c r="AI3802" s="831">
        <v>0</v>
      </c>
      <c r="AJ3802" s="835">
        <v>40543</v>
      </c>
      <c r="AK3802" s="831">
        <v>0</v>
      </c>
      <c r="AP3802" s="831" t="str">
        <f t="shared" si="178"/>
        <v/>
      </c>
    </row>
    <row r="3803" spans="2:42">
      <c r="B3803" s="834" t="str">
        <f t="shared" si="177"/>
        <v>|||</v>
      </c>
      <c r="H3803" s="835">
        <f t="shared" si="179"/>
        <v>31</v>
      </c>
      <c r="AF3803" s="831" t="s">
        <v>4460</v>
      </c>
      <c r="AG3803" s="831" t="s">
        <v>133</v>
      </c>
      <c r="AH3803" s="831" t="s">
        <v>148</v>
      </c>
      <c r="AI3803" s="831">
        <v>0</v>
      </c>
      <c r="AJ3803" s="835">
        <v>40543</v>
      </c>
      <c r="AK3803" s="831">
        <v>0</v>
      </c>
      <c r="AP3803" s="831" t="str">
        <f t="shared" si="178"/>
        <v/>
      </c>
    </row>
    <row r="3804" spans="2:42">
      <c r="B3804" s="834" t="str">
        <f t="shared" si="177"/>
        <v>|||</v>
      </c>
      <c r="H3804" s="835">
        <f t="shared" si="179"/>
        <v>31</v>
      </c>
      <c r="AF3804" s="831" t="s">
        <v>4461</v>
      </c>
      <c r="AG3804" s="831" t="s">
        <v>133</v>
      </c>
      <c r="AH3804" s="831" t="s">
        <v>152</v>
      </c>
      <c r="AI3804" s="831">
        <v>0</v>
      </c>
      <c r="AJ3804" s="835">
        <v>40543</v>
      </c>
      <c r="AK3804" s="831">
        <v>0</v>
      </c>
      <c r="AP3804" s="831" t="str">
        <f t="shared" si="178"/>
        <v/>
      </c>
    </row>
    <row r="3805" spans="2:42">
      <c r="B3805" s="834" t="str">
        <f t="shared" si="177"/>
        <v>|||</v>
      </c>
      <c r="H3805" s="835">
        <f t="shared" si="179"/>
        <v>31</v>
      </c>
      <c r="AF3805" s="831" t="s">
        <v>4462</v>
      </c>
      <c r="AG3805" s="831" t="s">
        <v>133</v>
      </c>
      <c r="AH3805" s="831" t="s">
        <v>12</v>
      </c>
      <c r="AI3805" s="831">
        <v>0</v>
      </c>
      <c r="AJ3805" s="835">
        <v>40543</v>
      </c>
      <c r="AK3805" s="831">
        <v>0</v>
      </c>
      <c r="AP3805" s="831" t="str">
        <f t="shared" si="178"/>
        <v/>
      </c>
    </row>
    <row r="3806" spans="2:42">
      <c r="B3806" s="834" t="str">
        <f t="shared" si="177"/>
        <v>|||</v>
      </c>
      <c r="H3806" s="835">
        <f t="shared" si="179"/>
        <v>31</v>
      </c>
      <c r="AF3806" s="831" t="s">
        <v>4463</v>
      </c>
      <c r="AG3806" s="831" t="s">
        <v>2674</v>
      </c>
      <c r="AH3806" s="831" t="s">
        <v>546</v>
      </c>
      <c r="AI3806" s="831">
        <v>0</v>
      </c>
      <c r="AJ3806" s="835">
        <v>39872</v>
      </c>
      <c r="AK3806" s="831">
        <v>238513488</v>
      </c>
      <c r="AP3806" s="831" t="str">
        <f t="shared" si="178"/>
        <v/>
      </c>
    </row>
    <row r="3807" spans="2:42">
      <c r="B3807" s="834" t="str">
        <f t="shared" si="177"/>
        <v>|||</v>
      </c>
      <c r="H3807" s="835">
        <f t="shared" si="179"/>
        <v>31</v>
      </c>
      <c r="AF3807" s="831" t="s">
        <v>4464</v>
      </c>
      <c r="AG3807" s="831" t="s">
        <v>2674</v>
      </c>
      <c r="AH3807" s="831" t="s">
        <v>370</v>
      </c>
      <c r="AI3807" s="831">
        <v>0</v>
      </c>
      <c r="AJ3807" s="835">
        <v>39872</v>
      </c>
      <c r="AK3807" s="831">
        <v>300771928</v>
      </c>
      <c r="AP3807" s="831" t="str">
        <f t="shared" si="178"/>
        <v/>
      </c>
    </row>
    <row r="3808" spans="2:42">
      <c r="B3808" s="834" t="str">
        <f t="shared" si="177"/>
        <v>|||</v>
      </c>
      <c r="H3808" s="835">
        <f t="shared" si="179"/>
        <v>31</v>
      </c>
      <c r="AF3808" s="831" t="s">
        <v>4465</v>
      </c>
      <c r="AG3808" s="831" t="s">
        <v>2674</v>
      </c>
      <c r="AH3808" s="831" t="s">
        <v>126</v>
      </c>
      <c r="AI3808" s="831">
        <v>0</v>
      </c>
      <c r="AJ3808" s="835">
        <v>39872</v>
      </c>
      <c r="AK3808" s="831">
        <v>53285282</v>
      </c>
      <c r="AP3808" s="831" t="str">
        <f t="shared" si="178"/>
        <v/>
      </c>
    </row>
    <row r="3809" spans="2:42">
      <c r="B3809" s="834" t="str">
        <f t="shared" si="177"/>
        <v>|||</v>
      </c>
      <c r="H3809" s="835">
        <f t="shared" si="179"/>
        <v>31</v>
      </c>
      <c r="AF3809" s="831" t="s">
        <v>4466</v>
      </c>
      <c r="AG3809" s="831" t="s">
        <v>2674</v>
      </c>
      <c r="AH3809" s="831" t="s">
        <v>268</v>
      </c>
      <c r="AI3809" s="831">
        <v>0</v>
      </c>
      <c r="AJ3809" s="835">
        <v>39872</v>
      </c>
      <c r="AK3809" s="831">
        <v>2517599</v>
      </c>
      <c r="AP3809" s="831" t="str">
        <f t="shared" si="178"/>
        <v/>
      </c>
    </row>
    <row r="3810" spans="2:42">
      <c r="B3810" s="834" t="str">
        <f t="shared" si="177"/>
        <v>|||</v>
      </c>
      <c r="H3810" s="835">
        <f t="shared" si="179"/>
        <v>31</v>
      </c>
      <c r="AF3810" s="831" t="s">
        <v>4467</v>
      </c>
      <c r="AG3810" s="831" t="s">
        <v>2674</v>
      </c>
      <c r="AH3810" s="831" t="s">
        <v>547</v>
      </c>
      <c r="AI3810" s="831">
        <v>0</v>
      </c>
      <c r="AJ3810" s="835">
        <v>39872</v>
      </c>
      <c r="AK3810" s="831">
        <v>0</v>
      </c>
      <c r="AP3810" s="831" t="str">
        <f t="shared" si="178"/>
        <v/>
      </c>
    </row>
    <row r="3811" spans="2:42">
      <c r="B3811" s="834" t="str">
        <f t="shared" si="177"/>
        <v>|||</v>
      </c>
      <c r="H3811" s="835">
        <f t="shared" si="179"/>
        <v>31</v>
      </c>
      <c r="AF3811" s="831" t="s">
        <v>4468</v>
      </c>
      <c r="AG3811" s="831" t="s">
        <v>2674</v>
      </c>
      <c r="AH3811" s="831" t="s">
        <v>548</v>
      </c>
      <c r="AI3811" s="831">
        <v>0</v>
      </c>
      <c r="AJ3811" s="835">
        <v>39872</v>
      </c>
      <c r="AK3811" s="831">
        <v>0</v>
      </c>
      <c r="AP3811" s="831" t="str">
        <f t="shared" si="178"/>
        <v/>
      </c>
    </row>
    <row r="3812" spans="2:42">
      <c r="B3812" s="834" t="str">
        <f t="shared" si="177"/>
        <v>|||</v>
      </c>
      <c r="H3812" s="835">
        <f t="shared" si="179"/>
        <v>31</v>
      </c>
      <c r="AF3812" s="831" t="s">
        <v>4469</v>
      </c>
      <c r="AG3812" s="831" t="s">
        <v>2674</v>
      </c>
      <c r="AH3812" s="831" t="s">
        <v>549</v>
      </c>
      <c r="AI3812" s="831">
        <v>0</v>
      </c>
      <c r="AJ3812" s="835">
        <v>39872</v>
      </c>
      <c r="AK3812" s="831">
        <v>0</v>
      </c>
      <c r="AP3812" s="831" t="str">
        <f t="shared" si="178"/>
        <v/>
      </c>
    </row>
    <row r="3813" spans="2:42">
      <c r="B3813" s="834" t="str">
        <f t="shared" si="177"/>
        <v>|||</v>
      </c>
      <c r="H3813" s="835">
        <f t="shared" si="179"/>
        <v>31</v>
      </c>
      <c r="AF3813" s="831" t="s">
        <v>4470</v>
      </c>
      <c r="AG3813" s="831" t="s">
        <v>2674</v>
      </c>
      <c r="AH3813" s="831" t="s">
        <v>192</v>
      </c>
      <c r="AI3813" s="831">
        <v>0</v>
      </c>
      <c r="AJ3813" s="835">
        <v>39872</v>
      </c>
      <c r="AK3813" s="831">
        <v>-6593186</v>
      </c>
      <c r="AP3813" s="831" t="str">
        <f t="shared" si="178"/>
        <v/>
      </c>
    </row>
    <row r="3814" spans="2:42">
      <c r="B3814" s="834" t="str">
        <f t="shared" si="177"/>
        <v>|||</v>
      </c>
      <c r="H3814" s="835">
        <f t="shared" si="179"/>
        <v>31</v>
      </c>
      <c r="AF3814" s="831" t="s">
        <v>4471</v>
      </c>
      <c r="AG3814" s="831" t="s">
        <v>2674</v>
      </c>
      <c r="AH3814" s="831" t="s">
        <v>558</v>
      </c>
      <c r="AI3814" s="831">
        <v>0</v>
      </c>
      <c r="AJ3814" s="835">
        <v>39872</v>
      </c>
      <c r="AK3814" s="831">
        <v>247486645</v>
      </c>
      <c r="AP3814" s="831" t="str">
        <f t="shared" si="178"/>
        <v/>
      </c>
    </row>
    <row r="3815" spans="2:42">
      <c r="B3815" s="834" t="str">
        <f t="shared" si="177"/>
        <v>|||</v>
      </c>
      <c r="H3815" s="835">
        <f t="shared" si="179"/>
        <v>31</v>
      </c>
      <c r="AF3815" s="831" t="s">
        <v>4472</v>
      </c>
      <c r="AG3815" s="831" t="s">
        <v>2674</v>
      </c>
      <c r="AH3815" s="831" t="s">
        <v>65</v>
      </c>
      <c r="AI3815" s="831">
        <v>0</v>
      </c>
      <c r="AJ3815" s="835">
        <v>39872</v>
      </c>
      <c r="AK3815" s="831">
        <v>9559778</v>
      </c>
      <c r="AP3815" s="831" t="str">
        <f t="shared" si="178"/>
        <v/>
      </c>
    </row>
    <row r="3816" spans="2:42">
      <c r="B3816" s="834" t="str">
        <f t="shared" si="177"/>
        <v>|||</v>
      </c>
      <c r="H3816" s="835">
        <f t="shared" si="179"/>
        <v>31</v>
      </c>
      <c r="AF3816" s="831" t="s">
        <v>4473</v>
      </c>
      <c r="AG3816" s="831" t="s">
        <v>2674</v>
      </c>
      <c r="AH3816" s="831" t="s">
        <v>89</v>
      </c>
      <c r="AI3816" s="831">
        <v>0</v>
      </c>
      <c r="AJ3816" s="835">
        <v>39872</v>
      </c>
      <c r="AK3816" s="831">
        <v>71925</v>
      </c>
      <c r="AP3816" s="831" t="str">
        <f t="shared" si="178"/>
        <v/>
      </c>
    </row>
    <row r="3817" spans="2:42">
      <c r="B3817" s="834" t="str">
        <f t="shared" si="177"/>
        <v>|||</v>
      </c>
      <c r="H3817" s="835">
        <f t="shared" si="179"/>
        <v>31</v>
      </c>
      <c r="AF3817" s="831" t="s">
        <v>4474</v>
      </c>
      <c r="AG3817" s="831" t="s">
        <v>2674</v>
      </c>
      <c r="AH3817" s="831" t="s">
        <v>557</v>
      </c>
      <c r="AI3817" s="831">
        <v>0</v>
      </c>
      <c r="AJ3817" s="835">
        <v>39872</v>
      </c>
      <c r="AK3817" s="831">
        <v>74056</v>
      </c>
      <c r="AP3817" s="831" t="str">
        <f t="shared" si="178"/>
        <v/>
      </c>
    </row>
    <row r="3818" spans="2:42">
      <c r="B3818" s="834" t="str">
        <f t="shared" si="177"/>
        <v>|||</v>
      </c>
      <c r="H3818" s="835">
        <f t="shared" si="179"/>
        <v>31</v>
      </c>
      <c r="AF3818" s="831" t="s">
        <v>4475</v>
      </c>
      <c r="AG3818" s="831" t="s">
        <v>2674</v>
      </c>
      <c r="AH3818" s="831" t="s">
        <v>29</v>
      </c>
      <c r="AI3818" s="831">
        <v>0</v>
      </c>
      <c r="AJ3818" s="835">
        <v>39872</v>
      </c>
      <c r="AK3818" s="831">
        <v>1000480</v>
      </c>
      <c r="AP3818" s="831" t="str">
        <f t="shared" si="178"/>
        <v/>
      </c>
    </row>
    <row r="3819" spans="2:42">
      <c r="B3819" s="834" t="str">
        <f t="shared" si="177"/>
        <v>|||</v>
      </c>
      <c r="H3819" s="835">
        <f t="shared" si="179"/>
        <v>31</v>
      </c>
      <c r="AF3819" s="831" t="s">
        <v>4476</v>
      </c>
      <c r="AG3819" s="831" t="s">
        <v>2674</v>
      </c>
      <c r="AH3819" s="831" t="s">
        <v>2688</v>
      </c>
      <c r="AI3819" s="831">
        <v>0</v>
      </c>
      <c r="AJ3819" s="835">
        <v>39872</v>
      </c>
      <c r="AK3819" s="831">
        <v>247307</v>
      </c>
      <c r="AP3819" s="831" t="str">
        <f t="shared" si="178"/>
        <v/>
      </c>
    </row>
    <row r="3820" spans="2:42">
      <c r="B3820" s="834" t="str">
        <f t="shared" si="177"/>
        <v>|||</v>
      </c>
      <c r="H3820" s="835">
        <f t="shared" si="179"/>
        <v>31</v>
      </c>
      <c r="AF3820" s="831" t="s">
        <v>4477</v>
      </c>
      <c r="AG3820" s="831" t="s">
        <v>2674</v>
      </c>
      <c r="AH3820" s="831" t="s">
        <v>556</v>
      </c>
      <c r="AI3820" s="831">
        <v>0</v>
      </c>
      <c r="AJ3820" s="835">
        <v>39872</v>
      </c>
      <c r="AK3820" s="831">
        <v>0</v>
      </c>
      <c r="AP3820" s="831" t="str">
        <f t="shared" si="178"/>
        <v/>
      </c>
    </row>
    <row r="3821" spans="2:42">
      <c r="B3821" s="834" t="str">
        <f t="shared" si="177"/>
        <v>|||</v>
      </c>
      <c r="H3821" s="835">
        <f t="shared" si="179"/>
        <v>31</v>
      </c>
      <c r="AF3821" s="831" t="s">
        <v>4478</v>
      </c>
      <c r="AG3821" s="831" t="s">
        <v>2674</v>
      </c>
      <c r="AH3821" s="831" t="s">
        <v>555</v>
      </c>
      <c r="AI3821" s="831">
        <v>0</v>
      </c>
      <c r="AJ3821" s="835">
        <v>39872</v>
      </c>
      <c r="AK3821" s="831">
        <v>143838970</v>
      </c>
      <c r="AP3821" s="831" t="str">
        <f t="shared" si="178"/>
        <v/>
      </c>
    </row>
    <row r="3822" spans="2:42">
      <c r="B3822" s="834" t="str">
        <f t="shared" si="177"/>
        <v>|||</v>
      </c>
      <c r="H3822" s="835">
        <f t="shared" si="179"/>
        <v>31</v>
      </c>
      <c r="AF3822" s="831" t="s">
        <v>4479</v>
      </c>
      <c r="AG3822" s="831" t="s">
        <v>2674</v>
      </c>
      <c r="AH3822" s="831" t="s">
        <v>554</v>
      </c>
      <c r="AI3822" s="831">
        <v>0</v>
      </c>
      <c r="AJ3822" s="835">
        <v>39872</v>
      </c>
      <c r="AK3822" s="831">
        <v>144633330</v>
      </c>
      <c r="AP3822" s="831" t="str">
        <f t="shared" si="178"/>
        <v/>
      </c>
    </row>
    <row r="3823" spans="2:42">
      <c r="B3823" s="834" t="str">
        <f t="shared" si="177"/>
        <v>|||</v>
      </c>
      <c r="H3823" s="835">
        <f t="shared" si="179"/>
        <v>31</v>
      </c>
      <c r="AF3823" s="831" t="s">
        <v>4480</v>
      </c>
      <c r="AG3823" s="831" t="s">
        <v>2674</v>
      </c>
      <c r="AH3823" s="831" t="s">
        <v>553</v>
      </c>
      <c r="AI3823" s="831">
        <v>0</v>
      </c>
      <c r="AJ3823" s="835">
        <v>39872</v>
      </c>
      <c r="AK3823" s="831">
        <v>0</v>
      </c>
      <c r="AP3823" s="831" t="str">
        <f t="shared" si="178"/>
        <v/>
      </c>
    </row>
    <row r="3824" spans="2:42">
      <c r="B3824" s="834" t="str">
        <f t="shared" si="177"/>
        <v>|||</v>
      </c>
      <c r="H3824" s="835">
        <f t="shared" si="179"/>
        <v>31</v>
      </c>
      <c r="AF3824" s="831" t="s">
        <v>4481</v>
      </c>
      <c r="AG3824" s="831" t="s">
        <v>2674</v>
      </c>
      <c r="AH3824" s="831" t="s">
        <v>552</v>
      </c>
      <c r="AI3824" s="831">
        <v>0</v>
      </c>
      <c r="AJ3824" s="835">
        <v>39872</v>
      </c>
      <c r="AK3824" s="831">
        <v>0</v>
      </c>
      <c r="AP3824" s="831" t="str">
        <f t="shared" si="178"/>
        <v/>
      </c>
    </row>
    <row r="3825" spans="2:42">
      <c r="B3825" s="834" t="str">
        <f t="shared" si="177"/>
        <v>|||</v>
      </c>
      <c r="H3825" s="835">
        <f t="shared" si="179"/>
        <v>31</v>
      </c>
      <c r="AF3825" s="831" t="s">
        <v>4482</v>
      </c>
      <c r="AG3825" s="831" t="s">
        <v>2674</v>
      </c>
      <c r="AH3825" s="831" t="s">
        <v>551</v>
      </c>
      <c r="AI3825" s="831">
        <v>0</v>
      </c>
      <c r="AJ3825" s="835">
        <v>39872</v>
      </c>
      <c r="AK3825" s="831">
        <v>912060</v>
      </c>
      <c r="AP3825" s="831" t="str">
        <f t="shared" si="178"/>
        <v/>
      </c>
    </row>
    <row r="3826" spans="2:42">
      <c r="B3826" s="834" t="str">
        <f t="shared" si="177"/>
        <v>|||</v>
      </c>
      <c r="H3826" s="835">
        <f t="shared" si="179"/>
        <v>31</v>
      </c>
      <c r="AF3826" s="831" t="s">
        <v>4483</v>
      </c>
      <c r="AG3826" s="831" t="s">
        <v>2674</v>
      </c>
      <c r="AH3826" s="831" t="s">
        <v>550</v>
      </c>
      <c r="AI3826" s="831">
        <v>0</v>
      </c>
      <c r="AJ3826" s="835">
        <v>39872</v>
      </c>
      <c r="AK3826" s="831">
        <v>0</v>
      </c>
      <c r="AP3826" s="831" t="str">
        <f t="shared" si="178"/>
        <v/>
      </c>
    </row>
    <row r="3827" spans="2:42">
      <c r="B3827" s="834" t="str">
        <f t="shared" si="177"/>
        <v>|||</v>
      </c>
      <c r="H3827" s="835">
        <f t="shared" si="179"/>
        <v>31</v>
      </c>
      <c r="AF3827" s="831" t="s">
        <v>4484</v>
      </c>
      <c r="AG3827" s="831" t="s">
        <v>2674</v>
      </c>
      <c r="AH3827" s="831" t="s">
        <v>562</v>
      </c>
      <c r="AI3827" s="831">
        <v>0</v>
      </c>
      <c r="AJ3827" s="835">
        <v>39872</v>
      </c>
      <c r="AK3827" s="831">
        <v>0.81</v>
      </c>
      <c r="AP3827" s="831" t="str">
        <f t="shared" si="178"/>
        <v/>
      </c>
    </row>
    <row r="3828" spans="2:42">
      <c r="B3828" s="834" t="str">
        <f t="shared" si="177"/>
        <v>|||</v>
      </c>
      <c r="H3828" s="835">
        <f t="shared" si="179"/>
        <v>31</v>
      </c>
      <c r="AF3828" s="831" t="s">
        <v>4485</v>
      </c>
      <c r="AG3828" s="831" t="s">
        <v>2674</v>
      </c>
      <c r="AH3828" s="831" t="s">
        <v>2698</v>
      </c>
      <c r="AI3828" s="831">
        <v>0</v>
      </c>
      <c r="AJ3828" s="835">
        <v>39872</v>
      </c>
      <c r="AK3828" s="831">
        <v>0.81</v>
      </c>
      <c r="AP3828" s="831" t="str">
        <f t="shared" si="178"/>
        <v/>
      </c>
    </row>
    <row r="3829" spans="2:42">
      <c r="B3829" s="834" t="str">
        <f t="shared" si="177"/>
        <v>|||</v>
      </c>
      <c r="H3829" s="835">
        <f t="shared" si="179"/>
        <v>31</v>
      </c>
      <c r="AF3829" s="831" t="s">
        <v>4486</v>
      </c>
      <c r="AG3829" s="831" t="s">
        <v>2674</v>
      </c>
      <c r="AH3829" s="831" t="s">
        <v>560</v>
      </c>
      <c r="AI3829" s="831">
        <v>0</v>
      </c>
      <c r="AJ3829" s="835">
        <v>39872</v>
      </c>
      <c r="AK3829" s="831">
        <v>0.81</v>
      </c>
      <c r="AP3829" s="831" t="str">
        <f t="shared" si="178"/>
        <v/>
      </c>
    </row>
    <row r="3830" spans="2:42">
      <c r="B3830" s="834" t="str">
        <f t="shared" si="177"/>
        <v>|||</v>
      </c>
      <c r="H3830" s="835">
        <f t="shared" si="179"/>
        <v>31</v>
      </c>
      <c r="AF3830" s="831" t="s">
        <v>4487</v>
      </c>
      <c r="AG3830" s="831" t="s">
        <v>2674</v>
      </c>
      <c r="AH3830" s="831" t="s">
        <v>559</v>
      </c>
      <c r="AI3830" s="831">
        <v>0</v>
      </c>
      <c r="AJ3830" s="835">
        <v>39872</v>
      </c>
      <c r="AK3830" s="831">
        <v>0.81416666666666704</v>
      </c>
      <c r="AP3830" s="831" t="str">
        <f t="shared" si="178"/>
        <v/>
      </c>
    </row>
    <row r="3831" spans="2:42">
      <c r="B3831" s="834" t="str">
        <f t="shared" si="177"/>
        <v>|||</v>
      </c>
      <c r="H3831" s="835">
        <f t="shared" si="179"/>
        <v>31</v>
      </c>
      <c r="AF3831" s="831" t="s">
        <v>4488</v>
      </c>
      <c r="AG3831" s="831" t="s">
        <v>2674</v>
      </c>
      <c r="AH3831" s="831" t="s">
        <v>568</v>
      </c>
      <c r="AI3831" s="831">
        <v>0</v>
      </c>
      <c r="AJ3831" s="835">
        <v>39872</v>
      </c>
      <c r="AK3831" s="831">
        <v>0</v>
      </c>
      <c r="AP3831" s="831" t="str">
        <f t="shared" si="178"/>
        <v/>
      </c>
    </row>
    <row r="3832" spans="2:42">
      <c r="B3832" s="834" t="str">
        <f t="shared" si="177"/>
        <v>|||</v>
      </c>
      <c r="H3832" s="835">
        <f t="shared" si="179"/>
        <v>31</v>
      </c>
      <c r="AF3832" s="831" t="s">
        <v>4489</v>
      </c>
      <c r="AG3832" s="831" t="s">
        <v>2674</v>
      </c>
      <c r="AH3832" s="831" t="s">
        <v>569</v>
      </c>
      <c r="AI3832" s="831">
        <v>0</v>
      </c>
      <c r="AJ3832" s="835">
        <v>39872</v>
      </c>
      <c r="AK3832" s="831">
        <v>0</v>
      </c>
      <c r="AP3832" s="831" t="str">
        <f t="shared" si="178"/>
        <v/>
      </c>
    </row>
    <row r="3833" spans="2:42">
      <c r="B3833" s="834" t="str">
        <f t="shared" si="177"/>
        <v>|||</v>
      </c>
      <c r="H3833" s="835">
        <f t="shared" si="179"/>
        <v>31</v>
      </c>
      <c r="AF3833" s="831" t="s">
        <v>4490</v>
      </c>
      <c r="AG3833" s="831" t="s">
        <v>2674</v>
      </c>
      <c r="AH3833" s="831" t="s">
        <v>570</v>
      </c>
      <c r="AI3833" s="831">
        <v>0</v>
      </c>
      <c r="AJ3833" s="835">
        <v>39872</v>
      </c>
      <c r="AK3833" s="831">
        <v>0</v>
      </c>
      <c r="AP3833" s="831" t="str">
        <f t="shared" si="178"/>
        <v/>
      </c>
    </row>
    <row r="3834" spans="2:42">
      <c r="B3834" s="834" t="str">
        <f t="shared" si="177"/>
        <v>|||</v>
      </c>
      <c r="H3834" s="835">
        <f t="shared" si="179"/>
        <v>31</v>
      </c>
      <c r="AF3834" s="831" t="s">
        <v>4491</v>
      </c>
      <c r="AG3834" s="831" t="s">
        <v>2674</v>
      </c>
      <c r="AH3834" s="831" t="s">
        <v>571</v>
      </c>
      <c r="AI3834" s="831">
        <v>0</v>
      </c>
      <c r="AJ3834" s="835">
        <v>39872</v>
      </c>
      <c r="AK3834" s="831">
        <v>0</v>
      </c>
      <c r="AP3834" s="831" t="str">
        <f t="shared" si="178"/>
        <v/>
      </c>
    </row>
    <row r="3835" spans="2:42">
      <c r="B3835" s="834" t="str">
        <f t="shared" si="177"/>
        <v>|||</v>
      </c>
      <c r="H3835" s="835">
        <f t="shared" si="179"/>
        <v>31</v>
      </c>
      <c r="AF3835" s="831" t="s">
        <v>4492</v>
      </c>
      <c r="AG3835" s="831" t="s">
        <v>2674</v>
      </c>
      <c r="AH3835" s="831" t="s">
        <v>573</v>
      </c>
      <c r="AI3835" s="831">
        <v>0</v>
      </c>
      <c r="AJ3835" s="835">
        <v>39872</v>
      </c>
      <c r="AK3835" s="831">
        <v>0</v>
      </c>
      <c r="AP3835" s="831" t="str">
        <f t="shared" si="178"/>
        <v/>
      </c>
    </row>
    <row r="3836" spans="2:42">
      <c r="B3836" s="834" t="str">
        <f t="shared" si="177"/>
        <v>|||</v>
      </c>
      <c r="H3836" s="835">
        <f t="shared" si="179"/>
        <v>31</v>
      </c>
      <c r="AF3836" s="831" t="s">
        <v>4493</v>
      </c>
      <c r="AG3836" s="831" t="s">
        <v>2674</v>
      </c>
      <c r="AH3836" s="831" t="s">
        <v>574</v>
      </c>
      <c r="AI3836" s="831">
        <v>0</v>
      </c>
      <c r="AJ3836" s="835">
        <v>39872</v>
      </c>
      <c r="AK3836" s="831">
        <v>0</v>
      </c>
      <c r="AP3836" s="831" t="str">
        <f t="shared" si="178"/>
        <v/>
      </c>
    </row>
    <row r="3837" spans="2:42">
      <c r="B3837" s="834" t="str">
        <f t="shared" si="177"/>
        <v>|||</v>
      </c>
      <c r="H3837" s="835">
        <f t="shared" si="179"/>
        <v>31</v>
      </c>
      <c r="AF3837" s="831" t="s">
        <v>4494</v>
      </c>
      <c r="AG3837" s="831" t="s">
        <v>2674</v>
      </c>
      <c r="AH3837" s="831" t="s">
        <v>575</v>
      </c>
      <c r="AI3837" s="831">
        <v>0</v>
      </c>
      <c r="AJ3837" s="835">
        <v>39872</v>
      </c>
      <c r="AK3837" s="831">
        <v>0</v>
      </c>
      <c r="AP3837" s="831" t="str">
        <f t="shared" si="178"/>
        <v/>
      </c>
    </row>
    <row r="3838" spans="2:42">
      <c r="B3838" s="834" t="str">
        <f t="shared" si="177"/>
        <v>|||</v>
      </c>
      <c r="H3838" s="835">
        <f t="shared" si="179"/>
        <v>31</v>
      </c>
      <c r="AF3838" s="831" t="s">
        <v>4495</v>
      </c>
      <c r="AG3838" s="831" t="s">
        <v>2674</v>
      </c>
      <c r="AH3838" s="831" t="s">
        <v>576</v>
      </c>
      <c r="AI3838" s="831">
        <v>0</v>
      </c>
      <c r="AJ3838" s="835">
        <v>39872</v>
      </c>
      <c r="AK3838" s="831">
        <v>0</v>
      </c>
      <c r="AP3838" s="831" t="str">
        <f t="shared" si="178"/>
        <v/>
      </c>
    </row>
    <row r="3839" spans="2:42">
      <c r="B3839" s="834" t="str">
        <f t="shared" si="177"/>
        <v>|||</v>
      </c>
      <c r="H3839" s="835">
        <f t="shared" si="179"/>
        <v>31</v>
      </c>
      <c r="AF3839" s="831" t="s">
        <v>4496</v>
      </c>
      <c r="AG3839" s="831" t="s">
        <v>2674</v>
      </c>
      <c r="AH3839" s="831" t="s">
        <v>572</v>
      </c>
      <c r="AI3839" s="831">
        <v>0</v>
      </c>
      <c r="AJ3839" s="835">
        <v>39872</v>
      </c>
      <c r="AK3839" s="831">
        <v>0</v>
      </c>
      <c r="AP3839" s="831" t="str">
        <f t="shared" si="178"/>
        <v/>
      </c>
    </row>
    <row r="3840" spans="2:42">
      <c r="B3840" s="834" t="str">
        <f t="shared" si="177"/>
        <v>|||</v>
      </c>
      <c r="H3840" s="835">
        <f t="shared" si="179"/>
        <v>31</v>
      </c>
      <c r="AF3840" s="831" t="s">
        <v>4497</v>
      </c>
      <c r="AG3840" s="831" t="s">
        <v>2674</v>
      </c>
      <c r="AH3840" s="831" t="s">
        <v>577</v>
      </c>
      <c r="AI3840" s="831">
        <v>0</v>
      </c>
      <c r="AJ3840" s="835">
        <v>39872</v>
      </c>
      <c r="AK3840" s="831">
        <v>0</v>
      </c>
      <c r="AP3840" s="831" t="str">
        <f t="shared" si="178"/>
        <v/>
      </c>
    </row>
    <row r="3841" spans="2:42">
      <c r="B3841" s="834" t="str">
        <f t="shared" si="177"/>
        <v>|||</v>
      </c>
      <c r="H3841" s="835">
        <f t="shared" si="179"/>
        <v>31</v>
      </c>
      <c r="AF3841" s="831" t="s">
        <v>4498</v>
      </c>
      <c r="AG3841" s="831" t="s">
        <v>2674</v>
      </c>
      <c r="AH3841" s="831" t="s">
        <v>3042</v>
      </c>
      <c r="AI3841" s="831">
        <v>0</v>
      </c>
      <c r="AJ3841" s="835">
        <v>39872</v>
      </c>
      <c r="AK3841" s="831">
        <v>0</v>
      </c>
      <c r="AP3841" s="831" t="str">
        <f t="shared" si="178"/>
        <v/>
      </c>
    </row>
    <row r="3842" spans="2:42">
      <c r="B3842" s="834" t="str">
        <f t="shared" si="177"/>
        <v>|||</v>
      </c>
      <c r="H3842" s="835">
        <f t="shared" si="179"/>
        <v>31</v>
      </c>
      <c r="AF3842" s="831" t="s">
        <v>4499</v>
      </c>
      <c r="AG3842" s="831" t="s">
        <v>2674</v>
      </c>
      <c r="AH3842" s="831" t="s">
        <v>3044</v>
      </c>
      <c r="AI3842" s="831">
        <v>0</v>
      </c>
      <c r="AJ3842" s="835">
        <v>39872</v>
      </c>
      <c r="AK3842" s="831">
        <v>0</v>
      </c>
      <c r="AP3842" s="831" t="str">
        <f t="shared" si="178"/>
        <v/>
      </c>
    </row>
    <row r="3843" spans="2:42">
      <c r="B3843" s="834" t="str">
        <f t="shared" ref="B3843:B3906" si="180">C3843&amp;"|"&amp;D3843&amp;"|"&amp;E3843&amp;"|"&amp;F3843</f>
        <v>|||</v>
      </c>
      <c r="H3843" s="835">
        <f t="shared" si="179"/>
        <v>31</v>
      </c>
      <c r="AF3843" s="831" t="s">
        <v>4500</v>
      </c>
      <c r="AG3843" s="831" t="s">
        <v>2674</v>
      </c>
      <c r="AH3843" s="831" t="s">
        <v>580</v>
      </c>
      <c r="AI3843" s="831">
        <v>0</v>
      </c>
      <c r="AJ3843" s="835">
        <v>39872</v>
      </c>
      <c r="AK3843" s="831">
        <v>0</v>
      </c>
      <c r="AP3843" s="831" t="str">
        <f t="shared" ref="AP3843:AP3906" si="181">IF(AX3843&lt;&gt;"",IF(OR(AX3843=3,AX3843=4),"Equity","Debt"),"")</f>
        <v/>
      </c>
    </row>
    <row r="3844" spans="2:42">
      <c r="B3844" s="834" t="str">
        <f t="shared" si="180"/>
        <v>|||</v>
      </c>
      <c r="H3844" s="835">
        <f t="shared" ref="H3844:H3907" si="182">EOMONTH(L3844,0)</f>
        <v>31</v>
      </c>
      <c r="AF3844" s="831" t="s">
        <v>4501</v>
      </c>
      <c r="AG3844" s="831" t="s">
        <v>2674</v>
      </c>
      <c r="AH3844" s="831" t="s">
        <v>581</v>
      </c>
      <c r="AI3844" s="831">
        <v>0</v>
      </c>
      <c r="AJ3844" s="835">
        <v>39872</v>
      </c>
      <c r="AK3844" s="831">
        <v>0</v>
      </c>
      <c r="AP3844" s="831" t="str">
        <f t="shared" si="181"/>
        <v/>
      </c>
    </row>
    <row r="3845" spans="2:42">
      <c r="B3845" s="834" t="str">
        <f t="shared" si="180"/>
        <v>|||</v>
      </c>
      <c r="H3845" s="835">
        <f t="shared" si="182"/>
        <v>31</v>
      </c>
      <c r="AF3845" s="831" t="s">
        <v>4502</v>
      </c>
      <c r="AG3845" s="831" t="s">
        <v>2674</v>
      </c>
      <c r="AH3845" s="831" t="s">
        <v>105</v>
      </c>
      <c r="AI3845" s="831">
        <v>0</v>
      </c>
      <c r="AJ3845" s="835">
        <v>39872</v>
      </c>
      <c r="AK3845" s="831">
        <v>175670173</v>
      </c>
      <c r="AP3845" s="831" t="str">
        <f t="shared" si="181"/>
        <v/>
      </c>
    </row>
    <row r="3846" spans="2:42">
      <c r="B3846" s="834" t="str">
        <f t="shared" si="180"/>
        <v>|||</v>
      </c>
      <c r="H3846" s="835">
        <f t="shared" si="182"/>
        <v>31</v>
      </c>
      <c r="AF3846" s="831" t="s">
        <v>4503</v>
      </c>
      <c r="AG3846" s="831" t="s">
        <v>2674</v>
      </c>
      <c r="AH3846" s="831" t="s">
        <v>3049</v>
      </c>
      <c r="AI3846" s="831">
        <v>0</v>
      </c>
      <c r="AJ3846" s="835">
        <v>39872</v>
      </c>
      <c r="AK3846" s="831">
        <v>241480468</v>
      </c>
      <c r="AP3846" s="831" t="str">
        <f t="shared" si="181"/>
        <v/>
      </c>
    </row>
    <row r="3847" spans="2:42">
      <c r="B3847" s="834" t="str">
        <f t="shared" si="180"/>
        <v>|||</v>
      </c>
      <c r="H3847" s="835">
        <f t="shared" si="182"/>
        <v>31</v>
      </c>
      <c r="AF3847" s="831" t="s">
        <v>4504</v>
      </c>
      <c r="AG3847" s="831" t="s">
        <v>2674</v>
      </c>
      <c r="AH3847" s="831" t="s">
        <v>103</v>
      </c>
      <c r="AI3847" s="831">
        <v>0</v>
      </c>
      <c r="AJ3847" s="835">
        <v>39872</v>
      </c>
      <c r="AK3847" s="831">
        <v>65810295</v>
      </c>
      <c r="AP3847" s="831" t="str">
        <f t="shared" si="181"/>
        <v/>
      </c>
    </row>
    <row r="3848" spans="2:42">
      <c r="B3848" s="834" t="str">
        <f t="shared" si="180"/>
        <v>|||</v>
      </c>
      <c r="H3848" s="835">
        <f t="shared" si="182"/>
        <v>31</v>
      </c>
      <c r="AF3848" s="831" t="s">
        <v>4505</v>
      </c>
      <c r="AG3848" s="831" t="s">
        <v>2674</v>
      </c>
      <c r="AH3848" s="831" t="s">
        <v>182</v>
      </c>
      <c r="AI3848" s="831">
        <v>0</v>
      </c>
      <c r="AJ3848" s="835">
        <v>39872</v>
      </c>
      <c r="AK3848" s="831">
        <v>22807896</v>
      </c>
      <c r="AP3848" s="831" t="str">
        <f t="shared" si="181"/>
        <v/>
      </c>
    </row>
    <row r="3849" spans="2:42">
      <c r="B3849" s="834" t="str">
        <f t="shared" si="180"/>
        <v>|||</v>
      </c>
      <c r="H3849" s="835">
        <f t="shared" si="182"/>
        <v>31</v>
      </c>
      <c r="AF3849" s="831" t="s">
        <v>4506</v>
      </c>
      <c r="AG3849" s="831" t="s">
        <v>2674</v>
      </c>
      <c r="AH3849" s="831" t="s">
        <v>546</v>
      </c>
      <c r="AI3849" s="831">
        <v>0</v>
      </c>
      <c r="AJ3849" s="835">
        <v>39903</v>
      </c>
      <c r="AK3849" s="831">
        <v>183178312</v>
      </c>
      <c r="AP3849" s="831" t="str">
        <f t="shared" si="181"/>
        <v/>
      </c>
    </row>
    <row r="3850" spans="2:42">
      <c r="B3850" s="834" t="str">
        <f t="shared" si="180"/>
        <v>|||</v>
      </c>
      <c r="H3850" s="835">
        <f t="shared" si="182"/>
        <v>31</v>
      </c>
      <c r="AF3850" s="831" t="s">
        <v>4507</v>
      </c>
      <c r="AG3850" s="831" t="s">
        <v>2674</v>
      </c>
      <c r="AH3850" s="831" t="s">
        <v>370</v>
      </c>
      <c r="AI3850" s="831">
        <v>0</v>
      </c>
      <c r="AJ3850" s="835">
        <v>39903</v>
      </c>
      <c r="AK3850" s="831">
        <v>224294202</v>
      </c>
      <c r="AP3850" s="831" t="str">
        <f t="shared" si="181"/>
        <v/>
      </c>
    </row>
    <row r="3851" spans="2:42">
      <c r="B3851" s="834" t="str">
        <f t="shared" si="180"/>
        <v>|||</v>
      </c>
      <c r="H3851" s="835">
        <f t="shared" si="182"/>
        <v>31</v>
      </c>
      <c r="AF3851" s="831" t="s">
        <v>4508</v>
      </c>
      <c r="AG3851" s="831" t="s">
        <v>2674</v>
      </c>
      <c r="AH3851" s="831" t="s">
        <v>126</v>
      </c>
      <c r="AI3851" s="831">
        <v>0</v>
      </c>
      <c r="AJ3851" s="835">
        <v>39903</v>
      </c>
      <c r="AK3851" s="831">
        <v>36809588</v>
      </c>
      <c r="AP3851" s="831" t="str">
        <f t="shared" si="181"/>
        <v/>
      </c>
    </row>
    <row r="3852" spans="2:42">
      <c r="B3852" s="834" t="str">
        <f t="shared" si="180"/>
        <v>|||</v>
      </c>
      <c r="H3852" s="835">
        <f t="shared" si="182"/>
        <v>31</v>
      </c>
      <c r="AF3852" s="831" t="s">
        <v>4509</v>
      </c>
      <c r="AG3852" s="831" t="s">
        <v>2674</v>
      </c>
      <c r="AH3852" s="831" t="s">
        <v>268</v>
      </c>
      <c r="AI3852" s="831">
        <v>0</v>
      </c>
      <c r="AJ3852" s="835">
        <v>39903</v>
      </c>
      <c r="AK3852" s="831">
        <v>3433687</v>
      </c>
      <c r="AP3852" s="831" t="str">
        <f t="shared" si="181"/>
        <v/>
      </c>
    </row>
    <row r="3853" spans="2:42">
      <c r="B3853" s="834" t="str">
        <f t="shared" si="180"/>
        <v>|||</v>
      </c>
      <c r="H3853" s="835">
        <f t="shared" si="182"/>
        <v>31</v>
      </c>
      <c r="AF3853" s="831" t="s">
        <v>4510</v>
      </c>
      <c r="AG3853" s="831" t="s">
        <v>2674</v>
      </c>
      <c r="AH3853" s="831" t="s">
        <v>547</v>
      </c>
      <c r="AI3853" s="831">
        <v>0</v>
      </c>
      <c r="AJ3853" s="835">
        <v>39903</v>
      </c>
      <c r="AK3853" s="831">
        <v>0</v>
      </c>
      <c r="AP3853" s="831" t="str">
        <f t="shared" si="181"/>
        <v/>
      </c>
    </row>
    <row r="3854" spans="2:42">
      <c r="B3854" s="834" t="str">
        <f t="shared" si="180"/>
        <v>|||</v>
      </c>
      <c r="H3854" s="835">
        <f t="shared" si="182"/>
        <v>31</v>
      </c>
      <c r="AF3854" s="831" t="s">
        <v>4511</v>
      </c>
      <c r="AG3854" s="831" t="s">
        <v>2674</v>
      </c>
      <c r="AH3854" s="831" t="s">
        <v>548</v>
      </c>
      <c r="AI3854" s="831">
        <v>0</v>
      </c>
      <c r="AJ3854" s="835">
        <v>39903</v>
      </c>
      <c r="AK3854" s="831">
        <v>0</v>
      </c>
      <c r="AP3854" s="831" t="str">
        <f t="shared" si="181"/>
        <v/>
      </c>
    </row>
    <row r="3855" spans="2:42">
      <c r="B3855" s="834" t="str">
        <f t="shared" si="180"/>
        <v>|||</v>
      </c>
      <c r="H3855" s="835">
        <f t="shared" si="182"/>
        <v>31</v>
      </c>
      <c r="AF3855" s="831" t="s">
        <v>4512</v>
      </c>
      <c r="AG3855" s="831" t="s">
        <v>2674</v>
      </c>
      <c r="AH3855" s="831" t="s">
        <v>549</v>
      </c>
      <c r="AI3855" s="831">
        <v>0</v>
      </c>
      <c r="AJ3855" s="835">
        <v>39903</v>
      </c>
      <c r="AK3855" s="831">
        <v>0</v>
      </c>
      <c r="AP3855" s="831" t="str">
        <f t="shared" si="181"/>
        <v/>
      </c>
    </row>
    <row r="3856" spans="2:42">
      <c r="B3856" s="834" t="str">
        <f t="shared" si="180"/>
        <v>|||</v>
      </c>
      <c r="H3856" s="835">
        <f t="shared" si="182"/>
        <v>31</v>
      </c>
      <c r="AF3856" s="831" t="s">
        <v>4513</v>
      </c>
      <c r="AG3856" s="831" t="s">
        <v>2674</v>
      </c>
      <c r="AH3856" s="831" t="s">
        <v>192</v>
      </c>
      <c r="AI3856" s="831">
        <v>0</v>
      </c>
      <c r="AJ3856" s="835">
        <v>39903</v>
      </c>
      <c r="AK3856" s="831">
        <v>-4886000</v>
      </c>
      <c r="AP3856" s="831" t="str">
        <f t="shared" si="181"/>
        <v/>
      </c>
    </row>
    <row r="3857" spans="2:42">
      <c r="B3857" s="834" t="str">
        <f t="shared" si="180"/>
        <v>|||</v>
      </c>
      <c r="H3857" s="835">
        <f t="shared" si="182"/>
        <v>31</v>
      </c>
      <c r="AF3857" s="831" t="s">
        <v>4514</v>
      </c>
      <c r="AG3857" s="831" t="s">
        <v>2674</v>
      </c>
      <c r="AH3857" s="831" t="s">
        <v>558</v>
      </c>
      <c r="AI3857" s="831">
        <v>0</v>
      </c>
      <c r="AJ3857" s="835">
        <v>39903</v>
      </c>
      <c r="AK3857" s="831">
        <v>187484614</v>
      </c>
      <c r="AP3857" s="831" t="str">
        <f t="shared" si="181"/>
        <v/>
      </c>
    </row>
    <row r="3858" spans="2:42">
      <c r="B3858" s="834" t="str">
        <f t="shared" si="180"/>
        <v>|||</v>
      </c>
      <c r="H3858" s="835">
        <f t="shared" si="182"/>
        <v>31</v>
      </c>
      <c r="AF3858" s="831" t="s">
        <v>4515</v>
      </c>
      <c r="AG3858" s="831" t="s">
        <v>2674</v>
      </c>
      <c r="AH3858" s="831" t="s">
        <v>65</v>
      </c>
      <c r="AI3858" s="831">
        <v>0</v>
      </c>
      <c r="AJ3858" s="835">
        <v>39903</v>
      </c>
      <c r="AK3858" s="831">
        <v>14277617</v>
      </c>
      <c r="AP3858" s="831" t="str">
        <f t="shared" si="181"/>
        <v/>
      </c>
    </row>
    <row r="3859" spans="2:42">
      <c r="B3859" s="834" t="str">
        <f t="shared" si="180"/>
        <v>|||</v>
      </c>
      <c r="H3859" s="835">
        <f t="shared" si="182"/>
        <v>31</v>
      </c>
      <c r="AF3859" s="831" t="s">
        <v>4516</v>
      </c>
      <c r="AG3859" s="831" t="s">
        <v>2674</v>
      </c>
      <c r="AH3859" s="831" t="s">
        <v>89</v>
      </c>
      <c r="AI3859" s="831">
        <v>0</v>
      </c>
      <c r="AJ3859" s="835">
        <v>39903</v>
      </c>
      <c r="AK3859" s="831">
        <v>72998</v>
      </c>
      <c r="AP3859" s="831" t="str">
        <f t="shared" si="181"/>
        <v/>
      </c>
    </row>
    <row r="3860" spans="2:42">
      <c r="B3860" s="834" t="str">
        <f t="shared" si="180"/>
        <v>|||</v>
      </c>
      <c r="H3860" s="835">
        <f t="shared" si="182"/>
        <v>31</v>
      </c>
      <c r="AF3860" s="831" t="s">
        <v>4517</v>
      </c>
      <c r="AG3860" s="831" t="s">
        <v>2674</v>
      </c>
      <c r="AH3860" s="831" t="s">
        <v>557</v>
      </c>
      <c r="AI3860" s="831">
        <v>0</v>
      </c>
      <c r="AJ3860" s="835">
        <v>39903</v>
      </c>
      <c r="AK3860" s="831">
        <v>75204</v>
      </c>
      <c r="AP3860" s="831" t="str">
        <f t="shared" si="181"/>
        <v/>
      </c>
    </row>
    <row r="3861" spans="2:42">
      <c r="B3861" s="834" t="str">
        <f t="shared" si="180"/>
        <v>|||</v>
      </c>
      <c r="H3861" s="835">
        <f t="shared" si="182"/>
        <v>31</v>
      </c>
      <c r="AF3861" s="831" t="s">
        <v>4518</v>
      </c>
      <c r="AG3861" s="831" t="s">
        <v>2674</v>
      </c>
      <c r="AH3861" s="831" t="s">
        <v>29</v>
      </c>
      <c r="AI3861" s="831">
        <v>0</v>
      </c>
      <c r="AJ3861" s="835">
        <v>39903</v>
      </c>
      <c r="AK3861" s="831">
        <v>1286610</v>
      </c>
      <c r="AP3861" s="831" t="str">
        <f t="shared" si="181"/>
        <v/>
      </c>
    </row>
    <row r="3862" spans="2:42">
      <c r="B3862" s="834" t="str">
        <f t="shared" si="180"/>
        <v>|||</v>
      </c>
      <c r="H3862" s="835">
        <f t="shared" si="182"/>
        <v>31</v>
      </c>
      <c r="AF3862" s="831" t="s">
        <v>4519</v>
      </c>
      <c r="AG3862" s="831" t="s">
        <v>2674</v>
      </c>
      <c r="AH3862" s="831" t="s">
        <v>2688</v>
      </c>
      <c r="AI3862" s="831">
        <v>0</v>
      </c>
      <c r="AJ3862" s="835">
        <v>39903</v>
      </c>
      <c r="AK3862" s="831">
        <v>372518</v>
      </c>
      <c r="AP3862" s="831" t="str">
        <f t="shared" si="181"/>
        <v/>
      </c>
    </row>
    <row r="3863" spans="2:42">
      <c r="B3863" s="834" t="str">
        <f t="shared" si="180"/>
        <v>|||</v>
      </c>
      <c r="H3863" s="835">
        <f t="shared" si="182"/>
        <v>31</v>
      </c>
      <c r="AF3863" s="831" t="s">
        <v>4520</v>
      </c>
      <c r="AG3863" s="831" t="s">
        <v>2674</v>
      </c>
      <c r="AH3863" s="831" t="s">
        <v>556</v>
      </c>
      <c r="AI3863" s="831">
        <v>0</v>
      </c>
      <c r="AJ3863" s="835">
        <v>39903</v>
      </c>
      <c r="AK3863" s="831">
        <v>179021</v>
      </c>
      <c r="AP3863" s="831" t="str">
        <f t="shared" si="181"/>
        <v/>
      </c>
    </row>
    <row r="3864" spans="2:42">
      <c r="B3864" s="834" t="str">
        <f t="shared" si="180"/>
        <v>|||</v>
      </c>
      <c r="H3864" s="835">
        <f t="shared" si="182"/>
        <v>31</v>
      </c>
      <c r="AF3864" s="831" t="s">
        <v>4521</v>
      </c>
      <c r="AG3864" s="831" t="s">
        <v>2674</v>
      </c>
      <c r="AH3864" s="831" t="s">
        <v>555</v>
      </c>
      <c r="AI3864" s="831">
        <v>0</v>
      </c>
      <c r="AJ3864" s="835">
        <v>39903</v>
      </c>
      <c r="AK3864" s="831">
        <v>158180830</v>
      </c>
      <c r="AP3864" s="831" t="str">
        <f t="shared" si="181"/>
        <v/>
      </c>
    </row>
    <row r="3865" spans="2:42">
      <c r="B3865" s="834" t="str">
        <f t="shared" si="180"/>
        <v>|||</v>
      </c>
      <c r="H3865" s="835">
        <f t="shared" si="182"/>
        <v>31</v>
      </c>
      <c r="AF3865" s="831" t="s">
        <v>4522</v>
      </c>
      <c r="AG3865" s="831" t="s">
        <v>2674</v>
      </c>
      <c r="AH3865" s="831" t="s">
        <v>554</v>
      </c>
      <c r="AI3865" s="831">
        <v>0</v>
      </c>
      <c r="AJ3865" s="835">
        <v>39903</v>
      </c>
      <c r="AK3865" s="831">
        <v>160100400</v>
      </c>
      <c r="AP3865" s="831" t="str">
        <f t="shared" si="181"/>
        <v/>
      </c>
    </row>
    <row r="3866" spans="2:42">
      <c r="B3866" s="834" t="str">
        <f t="shared" si="180"/>
        <v>|||</v>
      </c>
      <c r="H3866" s="835">
        <f t="shared" si="182"/>
        <v>31</v>
      </c>
      <c r="AF3866" s="831" t="s">
        <v>4523</v>
      </c>
      <c r="AG3866" s="831" t="s">
        <v>2674</v>
      </c>
      <c r="AH3866" s="831" t="s">
        <v>553</v>
      </c>
      <c r="AI3866" s="831">
        <v>0</v>
      </c>
      <c r="AJ3866" s="835">
        <v>39903</v>
      </c>
      <c r="AK3866" s="831">
        <v>0</v>
      </c>
      <c r="AP3866" s="831" t="str">
        <f t="shared" si="181"/>
        <v/>
      </c>
    </row>
    <row r="3867" spans="2:42">
      <c r="B3867" s="834" t="str">
        <f t="shared" si="180"/>
        <v>|||</v>
      </c>
      <c r="H3867" s="835">
        <f t="shared" si="182"/>
        <v>31</v>
      </c>
      <c r="AF3867" s="831" t="s">
        <v>4524</v>
      </c>
      <c r="AG3867" s="831" t="s">
        <v>2674</v>
      </c>
      <c r="AH3867" s="831" t="s">
        <v>552</v>
      </c>
      <c r="AI3867" s="831">
        <v>0</v>
      </c>
      <c r="AJ3867" s="835">
        <v>39903</v>
      </c>
      <c r="AK3867" s="831">
        <v>0</v>
      </c>
      <c r="AP3867" s="831" t="str">
        <f t="shared" si="181"/>
        <v/>
      </c>
    </row>
    <row r="3868" spans="2:42">
      <c r="B3868" s="834" t="str">
        <f t="shared" si="180"/>
        <v>|||</v>
      </c>
      <c r="H3868" s="835">
        <f t="shared" si="182"/>
        <v>31</v>
      </c>
      <c r="AF3868" s="831" t="s">
        <v>4525</v>
      </c>
      <c r="AG3868" s="831" t="s">
        <v>2674</v>
      </c>
      <c r="AH3868" s="831" t="s">
        <v>551</v>
      </c>
      <c r="AI3868" s="831">
        <v>0</v>
      </c>
      <c r="AJ3868" s="835">
        <v>39903</v>
      </c>
      <c r="AK3868" s="831">
        <v>1107382</v>
      </c>
      <c r="AP3868" s="831" t="str">
        <f t="shared" si="181"/>
        <v/>
      </c>
    </row>
    <row r="3869" spans="2:42">
      <c r="B3869" s="834" t="str">
        <f t="shared" si="180"/>
        <v>|||</v>
      </c>
      <c r="H3869" s="835">
        <f t="shared" si="182"/>
        <v>31</v>
      </c>
      <c r="AF3869" s="831" t="s">
        <v>4526</v>
      </c>
      <c r="AG3869" s="831" t="s">
        <v>2674</v>
      </c>
      <c r="AH3869" s="831" t="s">
        <v>550</v>
      </c>
      <c r="AI3869" s="831">
        <v>0</v>
      </c>
      <c r="AJ3869" s="835">
        <v>39903</v>
      </c>
      <c r="AK3869" s="831">
        <v>0</v>
      </c>
      <c r="AP3869" s="831" t="str">
        <f t="shared" si="181"/>
        <v/>
      </c>
    </row>
    <row r="3870" spans="2:42">
      <c r="B3870" s="834" t="str">
        <f t="shared" si="180"/>
        <v>|||</v>
      </c>
      <c r="H3870" s="835">
        <f t="shared" si="182"/>
        <v>31</v>
      </c>
      <c r="AF3870" s="831" t="s">
        <v>4527</v>
      </c>
      <c r="AG3870" s="831" t="s">
        <v>2674</v>
      </c>
      <c r="AH3870" s="831" t="s">
        <v>562</v>
      </c>
      <c r="AI3870" s="831">
        <v>0</v>
      </c>
      <c r="AJ3870" s="835">
        <v>39903</v>
      </c>
      <c r="AK3870" s="831">
        <v>0.81</v>
      </c>
      <c r="AP3870" s="831" t="str">
        <f t="shared" si="181"/>
        <v/>
      </c>
    </row>
    <row r="3871" spans="2:42">
      <c r="B3871" s="834" t="str">
        <f t="shared" si="180"/>
        <v>|||</v>
      </c>
      <c r="H3871" s="835">
        <f t="shared" si="182"/>
        <v>31</v>
      </c>
      <c r="AF3871" s="831" t="s">
        <v>4528</v>
      </c>
      <c r="AG3871" s="831" t="s">
        <v>2674</v>
      </c>
      <c r="AH3871" s="831" t="s">
        <v>2698</v>
      </c>
      <c r="AI3871" s="831">
        <v>0</v>
      </c>
      <c r="AJ3871" s="835">
        <v>39903</v>
      </c>
      <c r="AK3871" s="831">
        <v>0.81</v>
      </c>
      <c r="AP3871" s="831" t="str">
        <f t="shared" si="181"/>
        <v/>
      </c>
    </row>
    <row r="3872" spans="2:42">
      <c r="B3872" s="834" t="str">
        <f t="shared" si="180"/>
        <v>|||</v>
      </c>
      <c r="H3872" s="835">
        <f t="shared" si="182"/>
        <v>31</v>
      </c>
      <c r="AF3872" s="831" t="s">
        <v>4529</v>
      </c>
      <c r="AG3872" s="831" t="s">
        <v>2674</v>
      </c>
      <c r="AH3872" s="831" t="s">
        <v>560</v>
      </c>
      <c r="AI3872" s="831">
        <v>0</v>
      </c>
      <c r="AJ3872" s="835">
        <v>39903</v>
      </c>
      <c r="AK3872" s="831">
        <v>0.81</v>
      </c>
      <c r="AP3872" s="831" t="str">
        <f t="shared" si="181"/>
        <v/>
      </c>
    </row>
    <row r="3873" spans="2:42">
      <c r="B3873" s="834" t="str">
        <f t="shared" si="180"/>
        <v>|||</v>
      </c>
      <c r="H3873" s="835">
        <f t="shared" si="182"/>
        <v>31</v>
      </c>
      <c r="AF3873" s="831" t="s">
        <v>4530</v>
      </c>
      <c r="AG3873" s="831" t="s">
        <v>2674</v>
      </c>
      <c r="AH3873" s="831" t="s">
        <v>559</v>
      </c>
      <c r="AI3873" s="831">
        <v>0</v>
      </c>
      <c r="AJ3873" s="835">
        <v>39903</v>
      </c>
      <c r="AK3873" s="831">
        <v>0.8125</v>
      </c>
      <c r="AP3873" s="831" t="str">
        <f t="shared" si="181"/>
        <v/>
      </c>
    </row>
    <row r="3874" spans="2:42">
      <c r="B3874" s="834" t="str">
        <f t="shared" si="180"/>
        <v>|||</v>
      </c>
      <c r="H3874" s="835">
        <f t="shared" si="182"/>
        <v>31</v>
      </c>
      <c r="AF3874" s="831" t="s">
        <v>4531</v>
      </c>
      <c r="AG3874" s="831" t="s">
        <v>2674</v>
      </c>
      <c r="AH3874" s="831" t="s">
        <v>568</v>
      </c>
      <c r="AI3874" s="831">
        <v>0</v>
      </c>
      <c r="AJ3874" s="835">
        <v>39903</v>
      </c>
      <c r="AK3874" s="831">
        <v>0</v>
      </c>
      <c r="AP3874" s="831" t="str">
        <f t="shared" si="181"/>
        <v/>
      </c>
    </row>
    <row r="3875" spans="2:42">
      <c r="B3875" s="834" t="str">
        <f t="shared" si="180"/>
        <v>|||</v>
      </c>
      <c r="H3875" s="835">
        <f t="shared" si="182"/>
        <v>31</v>
      </c>
      <c r="AF3875" s="831" t="s">
        <v>4532</v>
      </c>
      <c r="AG3875" s="831" t="s">
        <v>2674</v>
      </c>
      <c r="AH3875" s="831" t="s">
        <v>569</v>
      </c>
      <c r="AI3875" s="831">
        <v>0</v>
      </c>
      <c r="AJ3875" s="835">
        <v>39903</v>
      </c>
      <c r="AK3875" s="831">
        <v>0</v>
      </c>
      <c r="AP3875" s="831" t="str">
        <f t="shared" si="181"/>
        <v/>
      </c>
    </row>
    <row r="3876" spans="2:42">
      <c r="B3876" s="834" t="str">
        <f t="shared" si="180"/>
        <v>|||</v>
      </c>
      <c r="H3876" s="835">
        <f t="shared" si="182"/>
        <v>31</v>
      </c>
      <c r="AF3876" s="831" t="s">
        <v>4533</v>
      </c>
      <c r="AG3876" s="831" t="s">
        <v>2674</v>
      </c>
      <c r="AH3876" s="831" t="s">
        <v>570</v>
      </c>
      <c r="AI3876" s="831">
        <v>0</v>
      </c>
      <c r="AJ3876" s="835">
        <v>39903</v>
      </c>
      <c r="AK3876" s="831">
        <v>0</v>
      </c>
      <c r="AP3876" s="831" t="str">
        <f t="shared" si="181"/>
        <v/>
      </c>
    </row>
    <row r="3877" spans="2:42">
      <c r="B3877" s="834" t="str">
        <f t="shared" si="180"/>
        <v>|||</v>
      </c>
      <c r="H3877" s="835">
        <f t="shared" si="182"/>
        <v>31</v>
      </c>
      <c r="AF3877" s="831" t="s">
        <v>4534</v>
      </c>
      <c r="AG3877" s="831" t="s">
        <v>2674</v>
      </c>
      <c r="AH3877" s="831" t="s">
        <v>571</v>
      </c>
      <c r="AI3877" s="831">
        <v>0</v>
      </c>
      <c r="AJ3877" s="835">
        <v>39903</v>
      </c>
      <c r="AK3877" s="831">
        <v>0</v>
      </c>
      <c r="AP3877" s="831" t="str">
        <f t="shared" si="181"/>
        <v/>
      </c>
    </row>
    <row r="3878" spans="2:42">
      <c r="B3878" s="834" t="str">
        <f t="shared" si="180"/>
        <v>|||</v>
      </c>
      <c r="H3878" s="835">
        <f t="shared" si="182"/>
        <v>31</v>
      </c>
      <c r="AF3878" s="831" t="s">
        <v>4535</v>
      </c>
      <c r="AG3878" s="831" t="s">
        <v>2674</v>
      </c>
      <c r="AH3878" s="831" t="s">
        <v>573</v>
      </c>
      <c r="AI3878" s="831">
        <v>0</v>
      </c>
      <c r="AJ3878" s="835">
        <v>39903</v>
      </c>
      <c r="AK3878" s="831">
        <v>0</v>
      </c>
      <c r="AP3878" s="831" t="str">
        <f t="shared" si="181"/>
        <v/>
      </c>
    </row>
    <row r="3879" spans="2:42">
      <c r="B3879" s="834" t="str">
        <f t="shared" si="180"/>
        <v>|||</v>
      </c>
      <c r="H3879" s="835">
        <f t="shared" si="182"/>
        <v>31</v>
      </c>
      <c r="AF3879" s="831" t="s">
        <v>4536</v>
      </c>
      <c r="AG3879" s="831" t="s">
        <v>2674</v>
      </c>
      <c r="AH3879" s="831" t="s">
        <v>574</v>
      </c>
      <c r="AI3879" s="831">
        <v>0</v>
      </c>
      <c r="AJ3879" s="835">
        <v>39903</v>
      </c>
      <c r="AK3879" s="831">
        <v>0</v>
      </c>
      <c r="AP3879" s="831" t="str">
        <f t="shared" si="181"/>
        <v/>
      </c>
    </row>
    <row r="3880" spans="2:42">
      <c r="B3880" s="834" t="str">
        <f t="shared" si="180"/>
        <v>|||</v>
      </c>
      <c r="H3880" s="835">
        <f t="shared" si="182"/>
        <v>31</v>
      </c>
      <c r="AF3880" s="831" t="s">
        <v>4537</v>
      </c>
      <c r="AG3880" s="831" t="s">
        <v>2674</v>
      </c>
      <c r="AH3880" s="831" t="s">
        <v>575</v>
      </c>
      <c r="AI3880" s="831">
        <v>0</v>
      </c>
      <c r="AJ3880" s="835">
        <v>39903</v>
      </c>
      <c r="AK3880" s="831">
        <v>0</v>
      </c>
      <c r="AP3880" s="831" t="str">
        <f t="shared" si="181"/>
        <v/>
      </c>
    </row>
    <row r="3881" spans="2:42">
      <c r="B3881" s="834" t="str">
        <f t="shared" si="180"/>
        <v>|||</v>
      </c>
      <c r="H3881" s="835">
        <f t="shared" si="182"/>
        <v>31</v>
      </c>
      <c r="AF3881" s="831" t="s">
        <v>4538</v>
      </c>
      <c r="AG3881" s="831" t="s">
        <v>2674</v>
      </c>
      <c r="AH3881" s="831" t="s">
        <v>576</v>
      </c>
      <c r="AI3881" s="831">
        <v>0</v>
      </c>
      <c r="AJ3881" s="835">
        <v>39903</v>
      </c>
      <c r="AK3881" s="831">
        <v>0</v>
      </c>
      <c r="AP3881" s="831" t="str">
        <f t="shared" si="181"/>
        <v/>
      </c>
    </row>
    <row r="3882" spans="2:42">
      <c r="B3882" s="834" t="str">
        <f t="shared" si="180"/>
        <v>|||</v>
      </c>
      <c r="H3882" s="835">
        <f t="shared" si="182"/>
        <v>31</v>
      </c>
      <c r="AF3882" s="831" t="s">
        <v>4539</v>
      </c>
      <c r="AG3882" s="831" t="s">
        <v>2674</v>
      </c>
      <c r="AH3882" s="831" t="s">
        <v>572</v>
      </c>
      <c r="AI3882" s="831">
        <v>0</v>
      </c>
      <c r="AJ3882" s="835">
        <v>39903</v>
      </c>
      <c r="AK3882" s="831">
        <v>0</v>
      </c>
      <c r="AP3882" s="831" t="str">
        <f t="shared" si="181"/>
        <v/>
      </c>
    </row>
    <row r="3883" spans="2:42">
      <c r="B3883" s="834" t="str">
        <f t="shared" si="180"/>
        <v>|||</v>
      </c>
      <c r="H3883" s="835">
        <f t="shared" si="182"/>
        <v>31</v>
      </c>
      <c r="AF3883" s="831" t="s">
        <v>4540</v>
      </c>
      <c r="AG3883" s="831" t="s">
        <v>2674</v>
      </c>
      <c r="AH3883" s="831" t="s">
        <v>577</v>
      </c>
      <c r="AI3883" s="831">
        <v>0</v>
      </c>
      <c r="AJ3883" s="835">
        <v>39903</v>
      </c>
      <c r="AK3883" s="831">
        <v>0</v>
      </c>
      <c r="AP3883" s="831" t="str">
        <f t="shared" si="181"/>
        <v/>
      </c>
    </row>
    <row r="3884" spans="2:42">
      <c r="B3884" s="834" t="str">
        <f t="shared" si="180"/>
        <v>|||</v>
      </c>
      <c r="H3884" s="835">
        <f t="shared" si="182"/>
        <v>31</v>
      </c>
      <c r="AF3884" s="831" t="s">
        <v>4541</v>
      </c>
      <c r="AG3884" s="831" t="s">
        <v>2674</v>
      </c>
      <c r="AH3884" s="831" t="s">
        <v>3042</v>
      </c>
      <c r="AI3884" s="831">
        <v>0</v>
      </c>
      <c r="AJ3884" s="835">
        <v>39903</v>
      </c>
      <c r="AK3884" s="831">
        <v>0</v>
      </c>
      <c r="AP3884" s="831" t="str">
        <f t="shared" si="181"/>
        <v/>
      </c>
    </row>
    <row r="3885" spans="2:42">
      <c r="B3885" s="834" t="str">
        <f t="shared" si="180"/>
        <v>|||</v>
      </c>
      <c r="H3885" s="835">
        <f t="shared" si="182"/>
        <v>31</v>
      </c>
      <c r="AF3885" s="831" t="s">
        <v>4542</v>
      </c>
      <c r="AG3885" s="831" t="s">
        <v>2674</v>
      </c>
      <c r="AH3885" s="831" t="s">
        <v>3044</v>
      </c>
      <c r="AI3885" s="831">
        <v>0</v>
      </c>
      <c r="AJ3885" s="835">
        <v>39903</v>
      </c>
      <c r="AK3885" s="831">
        <v>0</v>
      </c>
      <c r="AP3885" s="831" t="str">
        <f t="shared" si="181"/>
        <v/>
      </c>
    </row>
    <row r="3886" spans="2:42">
      <c r="B3886" s="834" t="str">
        <f t="shared" si="180"/>
        <v>|||</v>
      </c>
      <c r="H3886" s="835">
        <f t="shared" si="182"/>
        <v>31</v>
      </c>
      <c r="AF3886" s="831" t="s">
        <v>4543</v>
      </c>
      <c r="AG3886" s="831" t="s">
        <v>2674</v>
      </c>
      <c r="AH3886" s="831" t="s">
        <v>580</v>
      </c>
      <c r="AI3886" s="831">
        <v>0</v>
      </c>
      <c r="AJ3886" s="835">
        <v>39903</v>
      </c>
      <c r="AK3886" s="831">
        <v>0</v>
      </c>
      <c r="AP3886" s="831" t="str">
        <f t="shared" si="181"/>
        <v/>
      </c>
    </row>
    <row r="3887" spans="2:42">
      <c r="B3887" s="834" t="str">
        <f t="shared" si="180"/>
        <v>|||</v>
      </c>
      <c r="H3887" s="835">
        <f t="shared" si="182"/>
        <v>31</v>
      </c>
      <c r="AF3887" s="831" t="s">
        <v>4544</v>
      </c>
      <c r="AG3887" s="831" t="s">
        <v>2674</v>
      </c>
      <c r="AH3887" s="831" t="s">
        <v>581</v>
      </c>
      <c r="AI3887" s="831">
        <v>0</v>
      </c>
      <c r="AJ3887" s="835">
        <v>39903</v>
      </c>
      <c r="AK3887" s="831">
        <v>0</v>
      </c>
      <c r="AP3887" s="831" t="str">
        <f t="shared" si="181"/>
        <v/>
      </c>
    </row>
    <row r="3888" spans="2:42">
      <c r="B3888" s="834" t="str">
        <f t="shared" si="180"/>
        <v>|||</v>
      </c>
      <c r="H3888" s="835">
        <f t="shared" si="182"/>
        <v>31</v>
      </c>
      <c r="AF3888" s="831" t="s">
        <v>4545</v>
      </c>
      <c r="AG3888" s="831" t="s">
        <v>2674</v>
      </c>
      <c r="AH3888" s="831" t="s">
        <v>105</v>
      </c>
      <c r="AI3888" s="831">
        <v>0</v>
      </c>
      <c r="AJ3888" s="835">
        <v>39903</v>
      </c>
      <c r="AK3888" s="831">
        <v>152507713</v>
      </c>
      <c r="AP3888" s="831" t="str">
        <f t="shared" si="181"/>
        <v/>
      </c>
    </row>
    <row r="3889" spans="2:42">
      <c r="B3889" s="834" t="str">
        <f t="shared" si="180"/>
        <v>|||</v>
      </c>
      <c r="H3889" s="835">
        <f t="shared" si="182"/>
        <v>31</v>
      </c>
      <c r="AF3889" s="831" t="s">
        <v>4546</v>
      </c>
      <c r="AG3889" s="831" t="s">
        <v>2674</v>
      </c>
      <c r="AH3889" s="831" t="s">
        <v>3049</v>
      </c>
      <c r="AI3889" s="831">
        <v>0</v>
      </c>
      <c r="AJ3889" s="835">
        <v>39903</v>
      </c>
      <c r="AK3889" s="831">
        <v>181094027</v>
      </c>
      <c r="AP3889" s="831" t="str">
        <f t="shared" si="181"/>
        <v/>
      </c>
    </row>
    <row r="3890" spans="2:42">
      <c r="B3890" s="834" t="str">
        <f t="shared" si="180"/>
        <v>|||</v>
      </c>
      <c r="H3890" s="835">
        <f t="shared" si="182"/>
        <v>31</v>
      </c>
      <c r="AF3890" s="831" t="s">
        <v>4547</v>
      </c>
      <c r="AG3890" s="831" t="s">
        <v>2674</v>
      </c>
      <c r="AH3890" s="831" t="s">
        <v>103</v>
      </c>
      <c r="AI3890" s="831">
        <v>0</v>
      </c>
      <c r="AJ3890" s="835">
        <v>39903</v>
      </c>
      <c r="AK3890" s="831">
        <v>28586314</v>
      </c>
      <c r="AP3890" s="831" t="str">
        <f t="shared" si="181"/>
        <v/>
      </c>
    </row>
    <row r="3891" spans="2:42">
      <c r="B3891" s="834" t="str">
        <f t="shared" si="180"/>
        <v>|||</v>
      </c>
      <c r="H3891" s="835">
        <f t="shared" si="182"/>
        <v>31</v>
      </c>
      <c r="AF3891" s="831" t="s">
        <v>4548</v>
      </c>
      <c r="AG3891" s="831" t="s">
        <v>2674</v>
      </c>
      <c r="AH3891" s="831" t="s">
        <v>182</v>
      </c>
      <c r="AI3891" s="831">
        <v>0</v>
      </c>
      <c r="AJ3891" s="835">
        <v>39903</v>
      </c>
      <c r="AK3891" s="831">
        <v>23315892</v>
      </c>
      <c r="AP3891" s="831" t="str">
        <f t="shared" si="181"/>
        <v/>
      </c>
    </row>
    <row r="3892" spans="2:42">
      <c r="B3892" s="834" t="str">
        <f t="shared" si="180"/>
        <v>|||</v>
      </c>
      <c r="H3892" s="835">
        <f t="shared" si="182"/>
        <v>31</v>
      </c>
      <c r="AF3892" s="831" t="s">
        <v>4549</v>
      </c>
      <c r="AG3892" s="831" t="s">
        <v>2674</v>
      </c>
      <c r="AH3892" s="831" t="s">
        <v>546</v>
      </c>
      <c r="AI3892" s="831">
        <v>0</v>
      </c>
      <c r="AJ3892" s="835">
        <v>39933</v>
      </c>
      <c r="AK3892" s="831">
        <v>189116548</v>
      </c>
      <c r="AP3892" s="831" t="str">
        <f t="shared" si="181"/>
        <v/>
      </c>
    </row>
    <row r="3893" spans="2:42">
      <c r="B3893" s="834" t="str">
        <f t="shared" si="180"/>
        <v>|||</v>
      </c>
      <c r="H3893" s="835">
        <f t="shared" si="182"/>
        <v>31</v>
      </c>
      <c r="AF3893" s="831" t="s">
        <v>4550</v>
      </c>
      <c r="AG3893" s="831" t="s">
        <v>2674</v>
      </c>
      <c r="AH3893" s="831" t="s">
        <v>370</v>
      </c>
      <c r="AI3893" s="831">
        <v>0</v>
      </c>
      <c r="AJ3893" s="835">
        <v>39933</v>
      </c>
      <c r="AK3893" s="831">
        <v>229870840</v>
      </c>
      <c r="AP3893" s="831" t="str">
        <f t="shared" si="181"/>
        <v/>
      </c>
    </row>
    <row r="3894" spans="2:42">
      <c r="B3894" s="834" t="str">
        <f t="shared" si="180"/>
        <v>|||</v>
      </c>
      <c r="H3894" s="835">
        <f t="shared" si="182"/>
        <v>31</v>
      </c>
      <c r="AF3894" s="831" t="s">
        <v>4551</v>
      </c>
      <c r="AG3894" s="831" t="s">
        <v>2674</v>
      </c>
      <c r="AH3894" s="831" t="s">
        <v>126</v>
      </c>
      <c r="AI3894" s="831">
        <v>0</v>
      </c>
      <c r="AJ3894" s="835">
        <v>39933</v>
      </c>
      <c r="AK3894" s="831">
        <v>38625687</v>
      </c>
      <c r="AP3894" s="831" t="str">
        <f t="shared" si="181"/>
        <v/>
      </c>
    </row>
    <row r="3895" spans="2:42">
      <c r="B3895" s="834" t="str">
        <f t="shared" si="180"/>
        <v>|||</v>
      </c>
      <c r="H3895" s="835">
        <f t="shared" si="182"/>
        <v>31</v>
      </c>
      <c r="AF3895" s="831" t="s">
        <v>4552</v>
      </c>
      <c r="AG3895" s="831" t="s">
        <v>2674</v>
      </c>
      <c r="AH3895" s="831" t="s">
        <v>268</v>
      </c>
      <c r="AI3895" s="831">
        <v>0</v>
      </c>
      <c r="AJ3895" s="835">
        <v>39933</v>
      </c>
      <c r="AK3895" s="831">
        <v>5249787</v>
      </c>
      <c r="AP3895" s="831" t="str">
        <f t="shared" si="181"/>
        <v/>
      </c>
    </row>
    <row r="3896" spans="2:42">
      <c r="B3896" s="834" t="str">
        <f t="shared" si="180"/>
        <v>|||</v>
      </c>
      <c r="H3896" s="835">
        <f t="shared" si="182"/>
        <v>31</v>
      </c>
      <c r="AF3896" s="831" t="s">
        <v>4553</v>
      </c>
      <c r="AG3896" s="831" t="s">
        <v>2674</v>
      </c>
      <c r="AH3896" s="831" t="s">
        <v>547</v>
      </c>
      <c r="AI3896" s="831">
        <v>0</v>
      </c>
      <c r="AJ3896" s="835">
        <v>39933</v>
      </c>
      <c r="AK3896" s="831">
        <v>0</v>
      </c>
      <c r="AP3896" s="831" t="str">
        <f t="shared" si="181"/>
        <v/>
      </c>
    </row>
    <row r="3897" spans="2:42">
      <c r="B3897" s="834" t="str">
        <f t="shared" si="180"/>
        <v>|||</v>
      </c>
      <c r="H3897" s="835">
        <f t="shared" si="182"/>
        <v>31</v>
      </c>
      <c r="AF3897" s="831" t="s">
        <v>4554</v>
      </c>
      <c r="AG3897" s="831" t="s">
        <v>2674</v>
      </c>
      <c r="AH3897" s="831" t="s">
        <v>548</v>
      </c>
      <c r="AI3897" s="831">
        <v>0</v>
      </c>
      <c r="AJ3897" s="835">
        <v>39933</v>
      </c>
      <c r="AK3897" s="831">
        <v>0</v>
      </c>
      <c r="AP3897" s="831" t="str">
        <f t="shared" si="181"/>
        <v/>
      </c>
    </row>
    <row r="3898" spans="2:42">
      <c r="B3898" s="834" t="str">
        <f t="shared" si="180"/>
        <v>|||</v>
      </c>
      <c r="H3898" s="835">
        <f t="shared" si="182"/>
        <v>31</v>
      </c>
      <c r="AF3898" s="831" t="s">
        <v>4555</v>
      </c>
      <c r="AG3898" s="831" t="s">
        <v>2674</v>
      </c>
      <c r="AH3898" s="831" t="s">
        <v>549</v>
      </c>
      <c r="AI3898" s="831">
        <v>0</v>
      </c>
      <c r="AJ3898" s="835">
        <v>39933</v>
      </c>
      <c r="AK3898" s="831">
        <v>0</v>
      </c>
      <c r="AP3898" s="831" t="str">
        <f t="shared" si="181"/>
        <v/>
      </c>
    </row>
    <row r="3899" spans="2:42">
      <c r="B3899" s="834" t="str">
        <f t="shared" si="180"/>
        <v>|||</v>
      </c>
      <c r="H3899" s="835">
        <f t="shared" si="182"/>
        <v>31</v>
      </c>
      <c r="AF3899" s="831" t="s">
        <v>4556</v>
      </c>
      <c r="AG3899" s="831" t="s">
        <v>2674</v>
      </c>
      <c r="AH3899" s="831" t="s">
        <v>192</v>
      </c>
      <c r="AI3899" s="831">
        <v>0</v>
      </c>
      <c r="AJ3899" s="835">
        <v>39933</v>
      </c>
      <c r="AK3899" s="831">
        <v>-5164493</v>
      </c>
      <c r="AP3899" s="831" t="str">
        <f t="shared" si="181"/>
        <v/>
      </c>
    </row>
    <row r="3900" spans="2:42">
      <c r="B3900" s="834" t="str">
        <f t="shared" si="180"/>
        <v>|||</v>
      </c>
      <c r="H3900" s="835">
        <f t="shared" si="182"/>
        <v>31</v>
      </c>
      <c r="AF3900" s="831" t="s">
        <v>4557</v>
      </c>
      <c r="AG3900" s="831" t="s">
        <v>2674</v>
      </c>
      <c r="AH3900" s="831" t="s">
        <v>558</v>
      </c>
      <c r="AI3900" s="831">
        <v>0</v>
      </c>
      <c r="AJ3900" s="835">
        <v>39933</v>
      </c>
      <c r="AK3900" s="831">
        <v>191245152</v>
      </c>
      <c r="AP3900" s="831" t="str">
        <f t="shared" si="181"/>
        <v/>
      </c>
    </row>
    <row r="3901" spans="2:42">
      <c r="B3901" s="834" t="str">
        <f t="shared" si="180"/>
        <v>|||</v>
      </c>
      <c r="H3901" s="835">
        <f t="shared" si="182"/>
        <v>31</v>
      </c>
      <c r="AF3901" s="831" t="s">
        <v>4558</v>
      </c>
      <c r="AG3901" s="831" t="s">
        <v>2674</v>
      </c>
      <c r="AH3901" s="831" t="s">
        <v>65</v>
      </c>
      <c r="AI3901" s="831">
        <v>0</v>
      </c>
      <c r="AJ3901" s="835">
        <v>39933</v>
      </c>
      <c r="AK3901" s="831">
        <v>19990856</v>
      </c>
      <c r="AP3901" s="831" t="str">
        <f t="shared" si="181"/>
        <v/>
      </c>
    </row>
    <row r="3902" spans="2:42">
      <c r="B3902" s="834" t="str">
        <f t="shared" si="180"/>
        <v>|||</v>
      </c>
      <c r="H3902" s="835">
        <f t="shared" si="182"/>
        <v>31</v>
      </c>
      <c r="AF3902" s="831" t="s">
        <v>4559</v>
      </c>
      <c r="AG3902" s="831" t="s">
        <v>2674</v>
      </c>
      <c r="AH3902" s="831" t="s">
        <v>89</v>
      </c>
      <c r="AI3902" s="831">
        <v>0</v>
      </c>
      <c r="AJ3902" s="835">
        <v>39933</v>
      </c>
      <c r="AK3902" s="831">
        <v>75566</v>
      </c>
      <c r="AP3902" s="831" t="str">
        <f t="shared" si="181"/>
        <v/>
      </c>
    </row>
    <row r="3903" spans="2:42">
      <c r="B3903" s="834" t="str">
        <f t="shared" si="180"/>
        <v>|||</v>
      </c>
      <c r="H3903" s="835">
        <f t="shared" si="182"/>
        <v>31</v>
      </c>
      <c r="AF3903" s="831" t="s">
        <v>4560</v>
      </c>
      <c r="AG3903" s="831" t="s">
        <v>2674</v>
      </c>
      <c r="AH3903" s="831" t="s">
        <v>557</v>
      </c>
      <c r="AI3903" s="831">
        <v>0</v>
      </c>
      <c r="AJ3903" s="835">
        <v>39933</v>
      </c>
      <c r="AK3903" s="831">
        <v>77825</v>
      </c>
      <c r="AP3903" s="831" t="str">
        <f t="shared" si="181"/>
        <v/>
      </c>
    </row>
    <row r="3904" spans="2:42">
      <c r="B3904" s="834" t="str">
        <f t="shared" si="180"/>
        <v>|||</v>
      </c>
      <c r="H3904" s="835">
        <f t="shared" si="182"/>
        <v>31</v>
      </c>
      <c r="AF3904" s="831" t="s">
        <v>4561</v>
      </c>
      <c r="AG3904" s="831" t="s">
        <v>2674</v>
      </c>
      <c r="AH3904" s="831" t="s">
        <v>29</v>
      </c>
      <c r="AI3904" s="831">
        <v>0</v>
      </c>
      <c r="AJ3904" s="835">
        <v>39933</v>
      </c>
      <c r="AK3904" s="831">
        <v>1421090</v>
      </c>
      <c r="AP3904" s="831" t="str">
        <f t="shared" si="181"/>
        <v/>
      </c>
    </row>
    <row r="3905" spans="2:42">
      <c r="B3905" s="834" t="str">
        <f t="shared" si="180"/>
        <v>|||</v>
      </c>
      <c r="H3905" s="835">
        <f t="shared" si="182"/>
        <v>31</v>
      </c>
      <c r="AF3905" s="831" t="s">
        <v>4562</v>
      </c>
      <c r="AG3905" s="831" t="s">
        <v>2674</v>
      </c>
      <c r="AH3905" s="831" t="s">
        <v>2688</v>
      </c>
      <c r="AI3905" s="831">
        <v>0</v>
      </c>
      <c r="AJ3905" s="835">
        <v>39933</v>
      </c>
      <c r="AK3905" s="831">
        <v>449522</v>
      </c>
      <c r="AP3905" s="831" t="str">
        <f t="shared" si="181"/>
        <v/>
      </c>
    </row>
    <row r="3906" spans="2:42">
      <c r="B3906" s="834" t="str">
        <f t="shared" si="180"/>
        <v>|||</v>
      </c>
      <c r="H3906" s="835">
        <f t="shared" si="182"/>
        <v>31</v>
      </c>
      <c r="AF3906" s="831" t="s">
        <v>4563</v>
      </c>
      <c r="AG3906" s="831" t="s">
        <v>2674</v>
      </c>
      <c r="AH3906" s="831" t="s">
        <v>556</v>
      </c>
      <c r="AI3906" s="831">
        <v>0</v>
      </c>
      <c r="AJ3906" s="835">
        <v>39933</v>
      </c>
      <c r="AK3906" s="831">
        <v>179021</v>
      </c>
      <c r="AP3906" s="831" t="str">
        <f t="shared" si="181"/>
        <v/>
      </c>
    </row>
    <row r="3907" spans="2:42">
      <c r="B3907" s="834" t="str">
        <f t="shared" ref="B3907:B3970" si="183">C3907&amp;"|"&amp;D3907&amp;"|"&amp;E3907&amp;"|"&amp;F3907</f>
        <v>|||</v>
      </c>
      <c r="H3907" s="835">
        <f t="shared" si="182"/>
        <v>31</v>
      </c>
      <c r="AF3907" s="831" t="s">
        <v>4564</v>
      </c>
      <c r="AG3907" s="831" t="s">
        <v>2674</v>
      </c>
      <c r="AH3907" s="831" t="s">
        <v>555</v>
      </c>
      <c r="AI3907" s="831">
        <v>0</v>
      </c>
      <c r="AJ3907" s="835">
        <v>39933</v>
      </c>
      <c r="AK3907" s="831">
        <v>160882290</v>
      </c>
      <c r="AP3907" s="831" t="str">
        <f t="shared" ref="AP3907:AP3970" si="184">IF(AX3907&lt;&gt;"",IF(OR(AX3907=3,AX3907=4),"Equity","Debt"),"")</f>
        <v/>
      </c>
    </row>
    <row r="3908" spans="2:42">
      <c r="B3908" s="834" t="str">
        <f t="shared" si="183"/>
        <v>|||</v>
      </c>
      <c r="H3908" s="835">
        <f t="shared" ref="H3908:H3971" si="185">EOMONTH(L3908,0)</f>
        <v>31</v>
      </c>
      <c r="AF3908" s="831" t="s">
        <v>4565</v>
      </c>
      <c r="AG3908" s="831" t="s">
        <v>2674</v>
      </c>
      <c r="AH3908" s="831" t="s">
        <v>554</v>
      </c>
      <c r="AI3908" s="831">
        <v>0</v>
      </c>
      <c r="AJ3908" s="835">
        <v>39933</v>
      </c>
      <c r="AK3908" s="831">
        <v>166427430</v>
      </c>
      <c r="AP3908" s="831" t="str">
        <f t="shared" si="184"/>
        <v/>
      </c>
    </row>
    <row r="3909" spans="2:42">
      <c r="B3909" s="834" t="str">
        <f t="shared" si="183"/>
        <v>|||</v>
      </c>
      <c r="H3909" s="835">
        <f t="shared" si="185"/>
        <v>31</v>
      </c>
      <c r="AF3909" s="831" t="s">
        <v>4566</v>
      </c>
      <c r="AG3909" s="831" t="s">
        <v>2674</v>
      </c>
      <c r="AH3909" s="831" t="s">
        <v>553</v>
      </c>
      <c r="AI3909" s="831">
        <v>0</v>
      </c>
      <c r="AJ3909" s="835">
        <v>39933</v>
      </c>
      <c r="AK3909" s="831">
        <v>0</v>
      </c>
      <c r="AP3909" s="831" t="str">
        <f t="shared" si="184"/>
        <v/>
      </c>
    </row>
    <row r="3910" spans="2:42">
      <c r="B3910" s="834" t="str">
        <f t="shared" si="183"/>
        <v>|||</v>
      </c>
      <c r="H3910" s="835">
        <f t="shared" si="185"/>
        <v>31</v>
      </c>
      <c r="AF3910" s="831" t="s">
        <v>4567</v>
      </c>
      <c r="AG3910" s="831" t="s">
        <v>2674</v>
      </c>
      <c r="AH3910" s="831" t="s">
        <v>552</v>
      </c>
      <c r="AI3910" s="831">
        <v>0</v>
      </c>
      <c r="AJ3910" s="835">
        <v>39933</v>
      </c>
      <c r="AK3910" s="831">
        <v>0</v>
      </c>
      <c r="AP3910" s="831" t="str">
        <f t="shared" si="184"/>
        <v/>
      </c>
    </row>
    <row r="3911" spans="2:42">
      <c r="B3911" s="834" t="str">
        <f t="shared" si="183"/>
        <v>|||</v>
      </c>
      <c r="H3911" s="835">
        <f t="shared" si="185"/>
        <v>31</v>
      </c>
      <c r="AF3911" s="831" t="s">
        <v>4568</v>
      </c>
      <c r="AG3911" s="831" t="s">
        <v>2674</v>
      </c>
      <c r="AH3911" s="831" t="s">
        <v>551</v>
      </c>
      <c r="AI3911" s="831">
        <v>0</v>
      </c>
      <c r="AJ3911" s="835">
        <v>39933</v>
      </c>
      <c r="AK3911" s="831">
        <v>1231478</v>
      </c>
      <c r="AP3911" s="831" t="str">
        <f t="shared" si="184"/>
        <v/>
      </c>
    </row>
    <row r="3912" spans="2:42">
      <c r="B3912" s="834" t="str">
        <f t="shared" si="183"/>
        <v>|||</v>
      </c>
      <c r="H3912" s="835">
        <f t="shared" si="185"/>
        <v>31</v>
      </c>
      <c r="AF3912" s="831" t="s">
        <v>4569</v>
      </c>
      <c r="AG3912" s="831" t="s">
        <v>2674</v>
      </c>
      <c r="AH3912" s="831" t="s">
        <v>550</v>
      </c>
      <c r="AI3912" s="831">
        <v>0</v>
      </c>
      <c r="AJ3912" s="835">
        <v>39933</v>
      </c>
      <c r="AK3912" s="831">
        <v>36809588</v>
      </c>
      <c r="AP3912" s="831" t="str">
        <f t="shared" si="184"/>
        <v/>
      </c>
    </row>
    <row r="3913" spans="2:42">
      <c r="B3913" s="834" t="str">
        <f t="shared" si="183"/>
        <v>|||</v>
      </c>
      <c r="H3913" s="835">
        <f t="shared" si="185"/>
        <v>31</v>
      </c>
      <c r="AF3913" s="831" t="s">
        <v>4570</v>
      </c>
      <c r="AG3913" s="831" t="s">
        <v>2674</v>
      </c>
      <c r="AH3913" s="831" t="s">
        <v>562</v>
      </c>
      <c r="AI3913" s="831">
        <v>0</v>
      </c>
      <c r="AJ3913" s="835">
        <v>39933</v>
      </c>
      <c r="AK3913" s="831">
        <v>0.8</v>
      </c>
      <c r="AP3913" s="831" t="str">
        <f t="shared" si="184"/>
        <v/>
      </c>
    </row>
    <row r="3914" spans="2:42">
      <c r="B3914" s="834" t="str">
        <f t="shared" si="183"/>
        <v>|||</v>
      </c>
      <c r="H3914" s="835">
        <f t="shared" si="185"/>
        <v>31</v>
      </c>
      <c r="AF3914" s="831" t="s">
        <v>4571</v>
      </c>
      <c r="AG3914" s="831" t="s">
        <v>2674</v>
      </c>
      <c r="AH3914" s="831" t="s">
        <v>2698</v>
      </c>
      <c r="AI3914" s="831">
        <v>0</v>
      </c>
      <c r="AJ3914" s="835">
        <v>39933</v>
      </c>
      <c r="AK3914" s="831">
        <v>0.81</v>
      </c>
      <c r="AP3914" s="831" t="str">
        <f t="shared" si="184"/>
        <v/>
      </c>
    </row>
    <row r="3915" spans="2:42">
      <c r="B3915" s="834" t="str">
        <f t="shared" si="183"/>
        <v>|||</v>
      </c>
      <c r="H3915" s="835">
        <f t="shared" si="185"/>
        <v>31</v>
      </c>
      <c r="AF3915" s="831" t="s">
        <v>4572</v>
      </c>
      <c r="AG3915" s="831" t="s">
        <v>2674</v>
      </c>
      <c r="AH3915" s="831" t="s">
        <v>560</v>
      </c>
      <c r="AI3915" s="831">
        <v>0</v>
      </c>
      <c r="AJ3915" s="835">
        <v>39933</v>
      </c>
      <c r="AK3915" s="831">
        <v>0.8075</v>
      </c>
      <c r="AP3915" s="831" t="str">
        <f t="shared" si="184"/>
        <v/>
      </c>
    </row>
    <row r="3916" spans="2:42">
      <c r="B3916" s="834" t="str">
        <f t="shared" si="183"/>
        <v>|||</v>
      </c>
      <c r="H3916" s="835">
        <f t="shared" si="185"/>
        <v>31</v>
      </c>
      <c r="AF3916" s="831" t="s">
        <v>4573</v>
      </c>
      <c r="AG3916" s="831" t="s">
        <v>2674</v>
      </c>
      <c r="AH3916" s="831" t="s">
        <v>559</v>
      </c>
      <c r="AI3916" s="831">
        <v>0</v>
      </c>
      <c r="AJ3916" s="835">
        <v>39933</v>
      </c>
      <c r="AK3916" s="831">
        <v>0.81</v>
      </c>
      <c r="AP3916" s="831" t="str">
        <f t="shared" si="184"/>
        <v/>
      </c>
    </row>
    <row r="3917" spans="2:42">
      <c r="B3917" s="834" t="str">
        <f t="shared" si="183"/>
        <v>|||</v>
      </c>
      <c r="H3917" s="835">
        <f t="shared" si="185"/>
        <v>31</v>
      </c>
      <c r="AF3917" s="831" t="s">
        <v>4574</v>
      </c>
      <c r="AG3917" s="831" t="s">
        <v>2674</v>
      </c>
      <c r="AH3917" s="831" t="s">
        <v>568</v>
      </c>
      <c r="AI3917" s="831">
        <v>0</v>
      </c>
      <c r="AJ3917" s="835">
        <v>39933</v>
      </c>
      <c r="AK3917" s="831">
        <v>0</v>
      </c>
      <c r="AP3917" s="831" t="str">
        <f t="shared" si="184"/>
        <v/>
      </c>
    </row>
    <row r="3918" spans="2:42">
      <c r="B3918" s="834" t="str">
        <f t="shared" si="183"/>
        <v>|||</v>
      </c>
      <c r="H3918" s="835">
        <f t="shared" si="185"/>
        <v>31</v>
      </c>
      <c r="AF3918" s="831" t="s">
        <v>4575</v>
      </c>
      <c r="AG3918" s="831" t="s">
        <v>2674</v>
      </c>
      <c r="AH3918" s="831" t="s">
        <v>569</v>
      </c>
      <c r="AI3918" s="831">
        <v>0</v>
      </c>
      <c r="AJ3918" s="835">
        <v>39933</v>
      </c>
      <c r="AK3918" s="831">
        <v>0</v>
      </c>
      <c r="AP3918" s="831" t="str">
        <f t="shared" si="184"/>
        <v/>
      </c>
    </row>
    <row r="3919" spans="2:42">
      <c r="B3919" s="834" t="str">
        <f t="shared" si="183"/>
        <v>|||</v>
      </c>
      <c r="H3919" s="835">
        <f t="shared" si="185"/>
        <v>31</v>
      </c>
      <c r="AF3919" s="831" t="s">
        <v>4576</v>
      </c>
      <c r="AG3919" s="831" t="s">
        <v>2674</v>
      </c>
      <c r="AH3919" s="831" t="s">
        <v>570</v>
      </c>
      <c r="AI3919" s="831">
        <v>0</v>
      </c>
      <c r="AJ3919" s="835">
        <v>39933</v>
      </c>
      <c r="AK3919" s="831">
        <v>0</v>
      </c>
      <c r="AP3919" s="831" t="str">
        <f t="shared" si="184"/>
        <v/>
      </c>
    </row>
    <row r="3920" spans="2:42">
      <c r="B3920" s="834" t="str">
        <f t="shared" si="183"/>
        <v>|||</v>
      </c>
      <c r="H3920" s="835">
        <f t="shared" si="185"/>
        <v>31</v>
      </c>
      <c r="AF3920" s="831" t="s">
        <v>4577</v>
      </c>
      <c r="AG3920" s="831" t="s">
        <v>2674</v>
      </c>
      <c r="AH3920" s="831" t="s">
        <v>571</v>
      </c>
      <c r="AI3920" s="831">
        <v>0</v>
      </c>
      <c r="AJ3920" s="835">
        <v>39933</v>
      </c>
      <c r="AK3920" s="831">
        <v>0</v>
      </c>
      <c r="AP3920" s="831" t="str">
        <f t="shared" si="184"/>
        <v/>
      </c>
    </row>
    <row r="3921" spans="2:42">
      <c r="B3921" s="834" t="str">
        <f t="shared" si="183"/>
        <v>|||</v>
      </c>
      <c r="H3921" s="835">
        <f t="shared" si="185"/>
        <v>31</v>
      </c>
      <c r="AF3921" s="831" t="s">
        <v>4578</v>
      </c>
      <c r="AG3921" s="831" t="s">
        <v>2674</v>
      </c>
      <c r="AH3921" s="831" t="s">
        <v>573</v>
      </c>
      <c r="AI3921" s="831">
        <v>0</v>
      </c>
      <c r="AJ3921" s="835">
        <v>39933</v>
      </c>
      <c r="AK3921" s="831">
        <v>0</v>
      </c>
      <c r="AP3921" s="831" t="str">
        <f t="shared" si="184"/>
        <v/>
      </c>
    </row>
    <row r="3922" spans="2:42">
      <c r="B3922" s="834" t="str">
        <f t="shared" si="183"/>
        <v>|||</v>
      </c>
      <c r="H3922" s="835">
        <f t="shared" si="185"/>
        <v>31</v>
      </c>
      <c r="AF3922" s="831" t="s">
        <v>4579</v>
      </c>
      <c r="AG3922" s="831" t="s">
        <v>2674</v>
      </c>
      <c r="AH3922" s="831" t="s">
        <v>574</v>
      </c>
      <c r="AI3922" s="831">
        <v>0</v>
      </c>
      <c r="AJ3922" s="835">
        <v>39933</v>
      </c>
      <c r="AK3922" s="831">
        <v>0</v>
      </c>
      <c r="AP3922" s="831" t="str">
        <f t="shared" si="184"/>
        <v/>
      </c>
    </row>
    <row r="3923" spans="2:42">
      <c r="B3923" s="834" t="str">
        <f t="shared" si="183"/>
        <v>|||</v>
      </c>
      <c r="H3923" s="835">
        <f t="shared" si="185"/>
        <v>31</v>
      </c>
      <c r="AF3923" s="831" t="s">
        <v>4580</v>
      </c>
      <c r="AG3923" s="831" t="s">
        <v>2674</v>
      </c>
      <c r="AH3923" s="831" t="s">
        <v>575</v>
      </c>
      <c r="AI3923" s="831">
        <v>0</v>
      </c>
      <c r="AJ3923" s="835">
        <v>39933</v>
      </c>
      <c r="AK3923" s="831">
        <v>0</v>
      </c>
      <c r="AP3923" s="831" t="str">
        <f t="shared" si="184"/>
        <v/>
      </c>
    </row>
    <row r="3924" spans="2:42">
      <c r="B3924" s="834" t="str">
        <f t="shared" si="183"/>
        <v>|||</v>
      </c>
      <c r="H3924" s="835">
        <f t="shared" si="185"/>
        <v>31</v>
      </c>
      <c r="AF3924" s="831" t="s">
        <v>4581</v>
      </c>
      <c r="AG3924" s="831" t="s">
        <v>2674</v>
      </c>
      <c r="AH3924" s="831" t="s">
        <v>576</v>
      </c>
      <c r="AI3924" s="831">
        <v>0</v>
      </c>
      <c r="AJ3924" s="835">
        <v>39933</v>
      </c>
      <c r="AK3924" s="831">
        <v>0</v>
      </c>
      <c r="AP3924" s="831" t="str">
        <f t="shared" si="184"/>
        <v/>
      </c>
    </row>
    <row r="3925" spans="2:42">
      <c r="B3925" s="834" t="str">
        <f t="shared" si="183"/>
        <v>|||</v>
      </c>
      <c r="H3925" s="835">
        <f t="shared" si="185"/>
        <v>31</v>
      </c>
      <c r="AF3925" s="831" t="s">
        <v>4582</v>
      </c>
      <c r="AG3925" s="831" t="s">
        <v>2674</v>
      </c>
      <c r="AH3925" s="831" t="s">
        <v>572</v>
      </c>
      <c r="AI3925" s="831">
        <v>0</v>
      </c>
      <c r="AJ3925" s="835">
        <v>39933</v>
      </c>
      <c r="AK3925" s="831">
        <v>0</v>
      </c>
      <c r="AP3925" s="831" t="str">
        <f t="shared" si="184"/>
        <v/>
      </c>
    </row>
    <row r="3926" spans="2:42">
      <c r="B3926" s="834" t="str">
        <f t="shared" si="183"/>
        <v>|||</v>
      </c>
      <c r="H3926" s="835">
        <f t="shared" si="185"/>
        <v>31</v>
      </c>
      <c r="AF3926" s="831" t="s">
        <v>4583</v>
      </c>
      <c r="AG3926" s="831" t="s">
        <v>2674</v>
      </c>
      <c r="AH3926" s="831" t="s">
        <v>577</v>
      </c>
      <c r="AI3926" s="831">
        <v>0</v>
      </c>
      <c r="AJ3926" s="835">
        <v>39933</v>
      </c>
      <c r="AK3926" s="831">
        <v>0</v>
      </c>
      <c r="AP3926" s="831" t="str">
        <f t="shared" si="184"/>
        <v/>
      </c>
    </row>
    <row r="3927" spans="2:42">
      <c r="B3927" s="834" t="str">
        <f t="shared" si="183"/>
        <v>|||</v>
      </c>
      <c r="H3927" s="835">
        <f t="shared" si="185"/>
        <v>31</v>
      </c>
      <c r="AF3927" s="831" t="s">
        <v>4584</v>
      </c>
      <c r="AG3927" s="831" t="s">
        <v>2674</v>
      </c>
      <c r="AH3927" s="831" t="s">
        <v>3042</v>
      </c>
      <c r="AI3927" s="831">
        <v>0</v>
      </c>
      <c r="AJ3927" s="835">
        <v>39933</v>
      </c>
      <c r="AK3927" s="831">
        <v>0</v>
      </c>
      <c r="AP3927" s="831" t="str">
        <f t="shared" si="184"/>
        <v/>
      </c>
    </row>
    <row r="3928" spans="2:42">
      <c r="B3928" s="834" t="str">
        <f t="shared" si="183"/>
        <v>|||</v>
      </c>
      <c r="H3928" s="835">
        <f t="shared" si="185"/>
        <v>31</v>
      </c>
      <c r="AF3928" s="831" t="s">
        <v>4585</v>
      </c>
      <c r="AG3928" s="831" t="s">
        <v>2674</v>
      </c>
      <c r="AH3928" s="831" t="s">
        <v>3044</v>
      </c>
      <c r="AI3928" s="831">
        <v>0</v>
      </c>
      <c r="AJ3928" s="835">
        <v>39933</v>
      </c>
      <c r="AK3928" s="831">
        <v>0</v>
      </c>
      <c r="AP3928" s="831" t="str">
        <f t="shared" si="184"/>
        <v/>
      </c>
    </row>
    <row r="3929" spans="2:42">
      <c r="B3929" s="834" t="str">
        <f t="shared" si="183"/>
        <v>|||</v>
      </c>
      <c r="H3929" s="835">
        <f t="shared" si="185"/>
        <v>31</v>
      </c>
      <c r="AF3929" s="831" t="s">
        <v>4586</v>
      </c>
      <c r="AG3929" s="831" t="s">
        <v>2674</v>
      </c>
      <c r="AH3929" s="831" t="s">
        <v>580</v>
      </c>
      <c r="AI3929" s="831">
        <v>0</v>
      </c>
      <c r="AJ3929" s="835">
        <v>39933</v>
      </c>
      <c r="AK3929" s="831">
        <v>0</v>
      </c>
      <c r="AP3929" s="831" t="str">
        <f t="shared" si="184"/>
        <v/>
      </c>
    </row>
    <row r="3930" spans="2:42">
      <c r="B3930" s="834" t="str">
        <f t="shared" si="183"/>
        <v>|||</v>
      </c>
      <c r="H3930" s="835">
        <f t="shared" si="185"/>
        <v>31</v>
      </c>
      <c r="AF3930" s="831" t="s">
        <v>4587</v>
      </c>
      <c r="AG3930" s="831" t="s">
        <v>2674</v>
      </c>
      <c r="AH3930" s="831" t="s">
        <v>581</v>
      </c>
      <c r="AI3930" s="831">
        <v>0</v>
      </c>
      <c r="AJ3930" s="835">
        <v>39933</v>
      </c>
      <c r="AK3930" s="831">
        <v>0</v>
      </c>
      <c r="AP3930" s="831" t="str">
        <f t="shared" si="184"/>
        <v/>
      </c>
    </row>
    <row r="3931" spans="2:42">
      <c r="B3931" s="834" t="str">
        <f t="shared" si="183"/>
        <v>|||</v>
      </c>
      <c r="H3931" s="835">
        <f t="shared" si="185"/>
        <v>31</v>
      </c>
      <c r="AF3931" s="831" t="s">
        <v>4588</v>
      </c>
      <c r="AG3931" s="831" t="s">
        <v>2674</v>
      </c>
      <c r="AH3931" s="831" t="s">
        <v>105</v>
      </c>
      <c r="AI3931" s="831">
        <v>0</v>
      </c>
      <c r="AJ3931" s="835">
        <v>39933</v>
      </c>
      <c r="AK3931" s="831">
        <v>152615490</v>
      </c>
      <c r="AP3931" s="831" t="str">
        <f t="shared" si="184"/>
        <v/>
      </c>
    </row>
    <row r="3932" spans="2:42">
      <c r="B3932" s="834" t="str">
        <f t="shared" si="183"/>
        <v>|||</v>
      </c>
      <c r="H3932" s="835">
        <f t="shared" si="185"/>
        <v>31</v>
      </c>
      <c r="AF3932" s="831" t="s">
        <v>4589</v>
      </c>
      <c r="AG3932" s="831" t="s">
        <v>2674</v>
      </c>
      <c r="AH3932" s="831" t="s">
        <v>3049</v>
      </c>
      <c r="AI3932" s="831">
        <v>0</v>
      </c>
      <c r="AJ3932" s="835">
        <v>39933</v>
      </c>
      <c r="AK3932" s="831">
        <v>186765350</v>
      </c>
      <c r="AP3932" s="831" t="str">
        <f t="shared" si="184"/>
        <v/>
      </c>
    </row>
    <row r="3933" spans="2:42">
      <c r="B3933" s="834" t="str">
        <f t="shared" si="183"/>
        <v>|||</v>
      </c>
      <c r="H3933" s="835">
        <f t="shared" si="185"/>
        <v>31</v>
      </c>
      <c r="AF3933" s="831" t="s">
        <v>4590</v>
      </c>
      <c r="AG3933" s="831" t="s">
        <v>2674</v>
      </c>
      <c r="AH3933" s="831" t="s">
        <v>103</v>
      </c>
      <c r="AI3933" s="831">
        <v>0</v>
      </c>
      <c r="AJ3933" s="835">
        <v>39933</v>
      </c>
      <c r="AK3933" s="831">
        <v>34149860</v>
      </c>
      <c r="AP3933" s="831" t="str">
        <f t="shared" si="184"/>
        <v/>
      </c>
    </row>
    <row r="3934" spans="2:42">
      <c r="B3934" s="834" t="str">
        <f t="shared" si="183"/>
        <v>|||</v>
      </c>
      <c r="H3934" s="835">
        <f t="shared" si="185"/>
        <v>31</v>
      </c>
      <c r="AF3934" s="831" t="s">
        <v>4591</v>
      </c>
      <c r="AG3934" s="831" t="s">
        <v>2674</v>
      </c>
      <c r="AH3934" s="831" t="s">
        <v>182</v>
      </c>
      <c r="AI3934" s="831">
        <v>0</v>
      </c>
      <c r="AJ3934" s="835">
        <v>39933</v>
      </c>
      <c r="AK3934" s="831">
        <v>23939484</v>
      </c>
      <c r="AP3934" s="831" t="str">
        <f t="shared" si="184"/>
        <v/>
      </c>
    </row>
    <row r="3935" spans="2:42">
      <c r="B3935" s="834" t="str">
        <f t="shared" si="183"/>
        <v>|||</v>
      </c>
      <c r="H3935" s="835">
        <f t="shared" si="185"/>
        <v>31</v>
      </c>
      <c r="AF3935" s="831" t="s">
        <v>4592</v>
      </c>
      <c r="AG3935" s="831" t="s">
        <v>2674</v>
      </c>
      <c r="AH3935" s="831" t="s">
        <v>546</v>
      </c>
      <c r="AI3935" s="831">
        <v>0</v>
      </c>
      <c r="AJ3935" s="835">
        <v>39964</v>
      </c>
      <c r="AK3935" s="831">
        <v>195520142</v>
      </c>
      <c r="AP3935" s="831" t="str">
        <f t="shared" si="184"/>
        <v/>
      </c>
    </row>
    <row r="3936" spans="2:42">
      <c r="B3936" s="834" t="str">
        <f t="shared" si="183"/>
        <v>|||</v>
      </c>
      <c r="H3936" s="835">
        <f t="shared" si="185"/>
        <v>31</v>
      </c>
      <c r="AF3936" s="831" t="s">
        <v>4593</v>
      </c>
      <c r="AG3936" s="831" t="s">
        <v>2674</v>
      </c>
      <c r="AH3936" s="831" t="s">
        <v>370</v>
      </c>
      <c r="AI3936" s="831">
        <v>0</v>
      </c>
      <c r="AJ3936" s="835">
        <v>39964</v>
      </c>
      <c r="AK3936" s="831">
        <v>231403195</v>
      </c>
      <c r="AP3936" s="831" t="str">
        <f t="shared" si="184"/>
        <v/>
      </c>
    </row>
    <row r="3937" spans="2:42">
      <c r="B3937" s="834" t="str">
        <f t="shared" si="183"/>
        <v>|||</v>
      </c>
      <c r="H3937" s="835">
        <f t="shared" si="185"/>
        <v>31</v>
      </c>
      <c r="AF3937" s="831" t="s">
        <v>4594</v>
      </c>
      <c r="AG3937" s="831" t="s">
        <v>2674</v>
      </c>
      <c r="AH3937" s="831" t="s">
        <v>126</v>
      </c>
      <c r="AI3937" s="831">
        <v>0</v>
      </c>
      <c r="AJ3937" s="835">
        <v>39964</v>
      </c>
      <c r="AK3937" s="831">
        <v>40184039</v>
      </c>
      <c r="AP3937" s="831" t="str">
        <f t="shared" si="184"/>
        <v/>
      </c>
    </row>
    <row r="3938" spans="2:42">
      <c r="B3938" s="834" t="str">
        <f t="shared" si="183"/>
        <v>|||</v>
      </c>
      <c r="H3938" s="835">
        <f t="shared" si="185"/>
        <v>31</v>
      </c>
      <c r="AF3938" s="831" t="s">
        <v>4595</v>
      </c>
      <c r="AG3938" s="831" t="s">
        <v>2674</v>
      </c>
      <c r="AH3938" s="831" t="s">
        <v>268</v>
      </c>
      <c r="AI3938" s="831">
        <v>0</v>
      </c>
      <c r="AJ3938" s="835">
        <v>39964</v>
      </c>
      <c r="AK3938" s="831">
        <v>6883401</v>
      </c>
      <c r="AP3938" s="831" t="str">
        <f t="shared" si="184"/>
        <v/>
      </c>
    </row>
    <row r="3939" spans="2:42">
      <c r="B3939" s="834" t="str">
        <f t="shared" si="183"/>
        <v>|||</v>
      </c>
      <c r="H3939" s="835">
        <f t="shared" si="185"/>
        <v>31</v>
      </c>
      <c r="AF3939" s="831" t="s">
        <v>4596</v>
      </c>
      <c r="AG3939" s="831" t="s">
        <v>2674</v>
      </c>
      <c r="AH3939" s="831" t="s">
        <v>547</v>
      </c>
      <c r="AI3939" s="831">
        <v>0</v>
      </c>
      <c r="AJ3939" s="835">
        <v>39964</v>
      </c>
      <c r="AK3939" s="831">
        <v>0</v>
      </c>
      <c r="AP3939" s="831" t="str">
        <f t="shared" si="184"/>
        <v/>
      </c>
    </row>
    <row r="3940" spans="2:42">
      <c r="B3940" s="834" t="str">
        <f t="shared" si="183"/>
        <v>|||</v>
      </c>
      <c r="H3940" s="835">
        <f t="shared" si="185"/>
        <v>31</v>
      </c>
      <c r="AF3940" s="831" t="s">
        <v>4597</v>
      </c>
      <c r="AG3940" s="831" t="s">
        <v>2674</v>
      </c>
      <c r="AH3940" s="831" t="s">
        <v>548</v>
      </c>
      <c r="AI3940" s="831">
        <v>0</v>
      </c>
      <c r="AJ3940" s="835">
        <v>39964</v>
      </c>
      <c r="AK3940" s="831">
        <v>0</v>
      </c>
      <c r="AP3940" s="831" t="str">
        <f t="shared" si="184"/>
        <v/>
      </c>
    </row>
    <row r="3941" spans="2:42">
      <c r="B3941" s="834" t="str">
        <f t="shared" si="183"/>
        <v>|||</v>
      </c>
      <c r="H3941" s="835">
        <f t="shared" si="185"/>
        <v>31</v>
      </c>
      <c r="AF3941" s="831" t="s">
        <v>4598</v>
      </c>
      <c r="AG3941" s="831" t="s">
        <v>2674</v>
      </c>
      <c r="AH3941" s="831" t="s">
        <v>549</v>
      </c>
      <c r="AI3941" s="831">
        <v>0</v>
      </c>
      <c r="AJ3941" s="835">
        <v>39964</v>
      </c>
      <c r="AK3941" s="831">
        <v>0</v>
      </c>
      <c r="AP3941" s="831" t="str">
        <f t="shared" si="184"/>
        <v/>
      </c>
    </row>
    <row r="3942" spans="2:42">
      <c r="B3942" s="834" t="str">
        <f t="shared" si="183"/>
        <v>|||</v>
      </c>
      <c r="H3942" s="835">
        <f t="shared" si="185"/>
        <v>31</v>
      </c>
      <c r="AF3942" s="831" t="s">
        <v>4599</v>
      </c>
      <c r="AG3942" s="831" t="s">
        <v>2674</v>
      </c>
      <c r="AH3942" s="831" t="s">
        <v>192</v>
      </c>
      <c r="AI3942" s="831">
        <v>0</v>
      </c>
      <c r="AJ3942" s="835">
        <v>39964</v>
      </c>
      <c r="AK3942" s="831">
        <v>-5502800</v>
      </c>
      <c r="AP3942" s="831" t="str">
        <f t="shared" si="184"/>
        <v/>
      </c>
    </row>
    <row r="3943" spans="2:42">
      <c r="B3943" s="834" t="str">
        <f t="shared" si="183"/>
        <v>|||</v>
      </c>
      <c r="H3943" s="835">
        <f t="shared" si="185"/>
        <v>31</v>
      </c>
      <c r="AF3943" s="831" t="s">
        <v>4600</v>
      </c>
      <c r="AG3943" s="831" t="s">
        <v>2674</v>
      </c>
      <c r="AH3943" s="831" t="s">
        <v>558</v>
      </c>
      <c r="AI3943" s="831">
        <v>0</v>
      </c>
      <c r="AJ3943" s="835">
        <v>39964</v>
      </c>
      <c r="AK3943" s="831">
        <v>191219156</v>
      </c>
      <c r="AP3943" s="831" t="str">
        <f t="shared" si="184"/>
        <v/>
      </c>
    </row>
    <row r="3944" spans="2:42">
      <c r="B3944" s="834" t="str">
        <f t="shared" si="183"/>
        <v>|||</v>
      </c>
      <c r="H3944" s="835">
        <f t="shared" si="185"/>
        <v>31</v>
      </c>
      <c r="AF3944" s="831" t="s">
        <v>4601</v>
      </c>
      <c r="AG3944" s="831" t="s">
        <v>2674</v>
      </c>
      <c r="AH3944" s="831" t="s">
        <v>65</v>
      </c>
      <c r="AI3944" s="831">
        <v>0</v>
      </c>
      <c r="AJ3944" s="835">
        <v>39964</v>
      </c>
      <c r="AK3944" s="831">
        <v>25418626</v>
      </c>
      <c r="AP3944" s="831" t="str">
        <f t="shared" si="184"/>
        <v/>
      </c>
    </row>
    <row r="3945" spans="2:42">
      <c r="B3945" s="834" t="str">
        <f t="shared" si="183"/>
        <v>|||</v>
      </c>
      <c r="H3945" s="835">
        <f t="shared" si="185"/>
        <v>31</v>
      </c>
      <c r="AF3945" s="831" t="s">
        <v>4602</v>
      </c>
      <c r="AG3945" s="831" t="s">
        <v>2674</v>
      </c>
      <c r="AH3945" s="831" t="s">
        <v>89</v>
      </c>
      <c r="AI3945" s="831">
        <v>0</v>
      </c>
      <c r="AJ3945" s="835">
        <v>39964</v>
      </c>
      <c r="AK3945" s="831">
        <v>78086</v>
      </c>
      <c r="AP3945" s="831" t="str">
        <f t="shared" si="184"/>
        <v/>
      </c>
    </row>
    <row r="3946" spans="2:42">
      <c r="B3946" s="834" t="str">
        <f t="shared" si="183"/>
        <v>|||</v>
      </c>
      <c r="H3946" s="835">
        <f t="shared" si="185"/>
        <v>31</v>
      </c>
      <c r="AF3946" s="831" t="s">
        <v>4603</v>
      </c>
      <c r="AG3946" s="831" t="s">
        <v>2674</v>
      </c>
      <c r="AH3946" s="831" t="s">
        <v>557</v>
      </c>
      <c r="AI3946" s="831">
        <v>0</v>
      </c>
      <c r="AJ3946" s="835">
        <v>39964</v>
      </c>
      <c r="AK3946" s="831">
        <v>80343</v>
      </c>
      <c r="AP3946" s="831" t="str">
        <f t="shared" si="184"/>
        <v/>
      </c>
    </row>
    <row r="3947" spans="2:42">
      <c r="B3947" s="834" t="str">
        <f t="shared" si="183"/>
        <v>|||</v>
      </c>
      <c r="H3947" s="835">
        <f t="shared" si="185"/>
        <v>31</v>
      </c>
      <c r="AF3947" s="831" t="s">
        <v>4604</v>
      </c>
      <c r="AG3947" s="831" t="s">
        <v>2674</v>
      </c>
      <c r="AH3947" s="831" t="s">
        <v>29</v>
      </c>
      <c r="AI3947" s="831">
        <v>0</v>
      </c>
      <c r="AJ3947" s="835">
        <v>39964</v>
      </c>
      <c r="AK3947" s="831">
        <v>1550600</v>
      </c>
      <c r="AP3947" s="831" t="str">
        <f t="shared" si="184"/>
        <v/>
      </c>
    </row>
    <row r="3948" spans="2:42">
      <c r="B3948" s="834" t="str">
        <f t="shared" si="183"/>
        <v>|||</v>
      </c>
      <c r="H3948" s="835">
        <f t="shared" si="185"/>
        <v>31</v>
      </c>
      <c r="AF3948" s="831" t="s">
        <v>4605</v>
      </c>
      <c r="AG3948" s="831" t="s">
        <v>2674</v>
      </c>
      <c r="AH3948" s="831" t="s">
        <v>2688</v>
      </c>
      <c r="AI3948" s="831">
        <v>0</v>
      </c>
      <c r="AJ3948" s="835">
        <v>39964</v>
      </c>
      <c r="AK3948" s="831">
        <v>517560</v>
      </c>
      <c r="AP3948" s="831" t="str">
        <f t="shared" si="184"/>
        <v/>
      </c>
    </row>
    <row r="3949" spans="2:42">
      <c r="B3949" s="834" t="str">
        <f t="shared" si="183"/>
        <v>|||</v>
      </c>
      <c r="H3949" s="835">
        <f t="shared" si="185"/>
        <v>31</v>
      </c>
      <c r="AF3949" s="831" t="s">
        <v>4606</v>
      </c>
      <c r="AG3949" s="831" t="s">
        <v>2674</v>
      </c>
      <c r="AH3949" s="831" t="s">
        <v>556</v>
      </c>
      <c r="AI3949" s="831">
        <v>0</v>
      </c>
      <c r="AJ3949" s="835">
        <v>39964</v>
      </c>
      <c r="AK3949" s="831">
        <v>179021</v>
      </c>
      <c r="AP3949" s="831" t="str">
        <f t="shared" si="184"/>
        <v/>
      </c>
    </row>
    <row r="3950" spans="2:42">
      <c r="B3950" s="834" t="str">
        <f t="shared" si="183"/>
        <v>|||</v>
      </c>
      <c r="H3950" s="835">
        <f t="shared" si="185"/>
        <v>31</v>
      </c>
      <c r="AF3950" s="831" t="s">
        <v>4607</v>
      </c>
      <c r="AG3950" s="831" t="s">
        <v>2674</v>
      </c>
      <c r="AH3950" s="831" t="s">
        <v>555</v>
      </c>
      <c r="AI3950" s="831">
        <v>0</v>
      </c>
      <c r="AJ3950" s="835">
        <v>39964</v>
      </c>
      <c r="AK3950" s="831">
        <v>164684125</v>
      </c>
      <c r="AP3950" s="831" t="str">
        <f t="shared" si="184"/>
        <v/>
      </c>
    </row>
    <row r="3951" spans="2:42">
      <c r="B3951" s="834" t="str">
        <f t="shared" si="183"/>
        <v>|||</v>
      </c>
      <c r="H3951" s="835">
        <f t="shared" si="185"/>
        <v>31</v>
      </c>
      <c r="AF3951" s="831" t="s">
        <v>4608</v>
      </c>
      <c r="AG3951" s="831" t="s">
        <v>2674</v>
      </c>
      <c r="AH3951" s="831" t="s">
        <v>554</v>
      </c>
      <c r="AI3951" s="831">
        <v>0</v>
      </c>
      <c r="AJ3951" s="835">
        <v>39964</v>
      </c>
      <c r="AK3951" s="831">
        <v>165882880</v>
      </c>
      <c r="AP3951" s="831" t="str">
        <f t="shared" si="184"/>
        <v/>
      </c>
    </row>
    <row r="3952" spans="2:42">
      <c r="B3952" s="834" t="str">
        <f t="shared" si="183"/>
        <v>|||</v>
      </c>
      <c r="H3952" s="835">
        <f t="shared" si="185"/>
        <v>31</v>
      </c>
      <c r="AF3952" s="831" t="s">
        <v>4609</v>
      </c>
      <c r="AG3952" s="831" t="s">
        <v>2674</v>
      </c>
      <c r="AH3952" s="831" t="s">
        <v>553</v>
      </c>
      <c r="AI3952" s="831">
        <v>0</v>
      </c>
      <c r="AJ3952" s="835">
        <v>39964</v>
      </c>
      <c r="AK3952" s="831">
        <v>0</v>
      </c>
      <c r="AP3952" s="831" t="str">
        <f t="shared" si="184"/>
        <v/>
      </c>
    </row>
    <row r="3953" spans="2:42">
      <c r="B3953" s="834" t="str">
        <f t="shared" si="183"/>
        <v>|||</v>
      </c>
      <c r="H3953" s="835">
        <f t="shared" si="185"/>
        <v>31</v>
      </c>
      <c r="AF3953" s="831" t="s">
        <v>4610</v>
      </c>
      <c r="AG3953" s="831" t="s">
        <v>2674</v>
      </c>
      <c r="AH3953" s="831" t="s">
        <v>552</v>
      </c>
      <c r="AI3953" s="831">
        <v>0</v>
      </c>
      <c r="AJ3953" s="835">
        <v>39964</v>
      </c>
      <c r="AK3953" s="831">
        <v>0</v>
      </c>
      <c r="AP3953" s="831" t="str">
        <f t="shared" si="184"/>
        <v/>
      </c>
    </row>
    <row r="3954" spans="2:42">
      <c r="B3954" s="834" t="str">
        <f t="shared" si="183"/>
        <v>|||</v>
      </c>
      <c r="H3954" s="835">
        <f t="shared" si="185"/>
        <v>31</v>
      </c>
      <c r="AF3954" s="831" t="s">
        <v>4611</v>
      </c>
      <c r="AG3954" s="831" t="s">
        <v>2674</v>
      </c>
      <c r="AH3954" s="831" t="s">
        <v>551</v>
      </c>
      <c r="AI3954" s="831">
        <v>0</v>
      </c>
      <c r="AJ3954" s="835">
        <v>39964</v>
      </c>
      <c r="AK3954" s="831">
        <v>1433748</v>
      </c>
      <c r="AP3954" s="831" t="str">
        <f t="shared" si="184"/>
        <v/>
      </c>
    </row>
    <row r="3955" spans="2:42">
      <c r="B3955" s="834" t="str">
        <f t="shared" si="183"/>
        <v>|||</v>
      </c>
      <c r="H3955" s="835">
        <f t="shared" si="185"/>
        <v>31</v>
      </c>
      <c r="AF3955" s="831" t="s">
        <v>4612</v>
      </c>
      <c r="AG3955" s="831" t="s">
        <v>2674</v>
      </c>
      <c r="AH3955" s="831" t="s">
        <v>550</v>
      </c>
      <c r="AI3955" s="831">
        <v>0</v>
      </c>
      <c r="AJ3955" s="835">
        <v>39964</v>
      </c>
      <c r="AK3955" s="831">
        <v>0</v>
      </c>
      <c r="AP3955" s="831" t="str">
        <f t="shared" si="184"/>
        <v/>
      </c>
    </row>
    <row r="3956" spans="2:42">
      <c r="B3956" s="834" t="str">
        <f t="shared" si="183"/>
        <v>|||</v>
      </c>
      <c r="H3956" s="835">
        <f t="shared" si="185"/>
        <v>31</v>
      </c>
      <c r="AF3956" s="831" t="s">
        <v>4613</v>
      </c>
      <c r="AG3956" s="831" t="s">
        <v>2674</v>
      </c>
      <c r="AH3956" s="831" t="s">
        <v>562</v>
      </c>
      <c r="AI3956" s="831">
        <v>0</v>
      </c>
      <c r="AJ3956" s="835">
        <v>39964</v>
      </c>
      <c r="AK3956" s="831">
        <v>0.8</v>
      </c>
      <c r="AP3956" s="831" t="str">
        <f t="shared" si="184"/>
        <v/>
      </c>
    </row>
    <row r="3957" spans="2:42">
      <c r="B3957" s="834" t="str">
        <f t="shared" si="183"/>
        <v>|||</v>
      </c>
      <c r="H3957" s="835">
        <f t="shared" si="185"/>
        <v>31</v>
      </c>
      <c r="AF3957" s="831" t="s">
        <v>4614</v>
      </c>
      <c r="AG3957" s="831" t="s">
        <v>2674</v>
      </c>
      <c r="AH3957" s="831" t="s">
        <v>2698</v>
      </c>
      <c r="AI3957" s="831">
        <v>0</v>
      </c>
      <c r="AJ3957" s="835">
        <v>39964</v>
      </c>
      <c r="AK3957" s="831">
        <v>0.8</v>
      </c>
      <c r="AP3957" s="831" t="str">
        <f t="shared" si="184"/>
        <v/>
      </c>
    </row>
    <row r="3958" spans="2:42">
      <c r="B3958" s="834" t="str">
        <f t="shared" si="183"/>
        <v>|||</v>
      </c>
      <c r="H3958" s="835">
        <f t="shared" si="185"/>
        <v>31</v>
      </c>
      <c r="AF3958" s="831" t="s">
        <v>4615</v>
      </c>
      <c r="AG3958" s="831" t="s">
        <v>2674</v>
      </c>
      <c r="AH3958" s="831" t="s">
        <v>560</v>
      </c>
      <c r="AI3958" s="831">
        <v>0</v>
      </c>
      <c r="AJ3958" s="835">
        <v>39964</v>
      </c>
      <c r="AK3958" s="831">
        <v>0.80600000000000005</v>
      </c>
      <c r="AP3958" s="831" t="str">
        <f t="shared" si="184"/>
        <v/>
      </c>
    </row>
    <row r="3959" spans="2:42">
      <c r="B3959" s="834" t="str">
        <f t="shared" si="183"/>
        <v>|||</v>
      </c>
      <c r="H3959" s="835">
        <f t="shared" si="185"/>
        <v>31</v>
      </c>
      <c r="AF3959" s="831" t="s">
        <v>4616</v>
      </c>
      <c r="AG3959" s="831" t="s">
        <v>2674</v>
      </c>
      <c r="AH3959" s="831" t="s">
        <v>559</v>
      </c>
      <c r="AI3959" s="831">
        <v>0</v>
      </c>
      <c r="AJ3959" s="835">
        <v>39964</v>
      </c>
      <c r="AK3959" s="831">
        <v>0.8075</v>
      </c>
      <c r="AP3959" s="831" t="str">
        <f t="shared" si="184"/>
        <v/>
      </c>
    </row>
    <row r="3960" spans="2:42">
      <c r="B3960" s="834" t="str">
        <f t="shared" si="183"/>
        <v>|||</v>
      </c>
      <c r="H3960" s="835">
        <f t="shared" si="185"/>
        <v>31</v>
      </c>
      <c r="AF3960" s="831" t="s">
        <v>4617</v>
      </c>
      <c r="AG3960" s="831" t="s">
        <v>2674</v>
      </c>
      <c r="AH3960" s="831" t="s">
        <v>568</v>
      </c>
      <c r="AI3960" s="831">
        <v>0</v>
      </c>
      <c r="AJ3960" s="835">
        <v>39964</v>
      </c>
      <c r="AK3960" s="831">
        <v>0</v>
      </c>
      <c r="AP3960" s="831" t="str">
        <f t="shared" si="184"/>
        <v/>
      </c>
    </row>
    <row r="3961" spans="2:42">
      <c r="B3961" s="834" t="str">
        <f t="shared" si="183"/>
        <v>|||</v>
      </c>
      <c r="H3961" s="835">
        <f t="shared" si="185"/>
        <v>31</v>
      </c>
      <c r="AF3961" s="831" t="s">
        <v>4618</v>
      </c>
      <c r="AG3961" s="831" t="s">
        <v>2674</v>
      </c>
      <c r="AH3961" s="831" t="s">
        <v>569</v>
      </c>
      <c r="AI3961" s="831">
        <v>0</v>
      </c>
      <c r="AJ3961" s="835">
        <v>39964</v>
      </c>
      <c r="AK3961" s="831">
        <v>0</v>
      </c>
      <c r="AP3961" s="831" t="str">
        <f t="shared" si="184"/>
        <v/>
      </c>
    </row>
    <row r="3962" spans="2:42">
      <c r="B3962" s="834" t="str">
        <f t="shared" si="183"/>
        <v>|||</v>
      </c>
      <c r="H3962" s="835">
        <f t="shared" si="185"/>
        <v>31</v>
      </c>
      <c r="AF3962" s="831" t="s">
        <v>4619</v>
      </c>
      <c r="AG3962" s="831" t="s">
        <v>2674</v>
      </c>
      <c r="AH3962" s="831" t="s">
        <v>570</v>
      </c>
      <c r="AI3962" s="831">
        <v>0</v>
      </c>
      <c r="AJ3962" s="835">
        <v>39964</v>
      </c>
      <c r="AK3962" s="831">
        <v>0</v>
      </c>
      <c r="AP3962" s="831" t="str">
        <f t="shared" si="184"/>
        <v/>
      </c>
    </row>
    <row r="3963" spans="2:42">
      <c r="B3963" s="834" t="str">
        <f t="shared" si="183"/>
        <v>|||</v>
      </c>
      <c r="H3963" s="835">
        <f t="shared" si="185"/>
        <v>31</v>
      </c>
      <c r="AF3963" s="831" t="s">
        <v>4620</v>
      </c>
      <c r="AG3963" s="831" t="s">
        <v>2674</v>
      </c>
      <c r="AH3963" s="831" t="s">
        <v>571</v>
      </c>
      <c r="AI3963" s="831">
        <v>0</v>
      </c>
      <c r="AJ3963" s="835">
        <v>39964</v>
      </c>
      <c r="AK3963" s="831">
        <v>0</v>
      </c>
      <c r="AP3963" s="831" t="str">
        <f t="shared" si="184"/>
        <v/>
      </c>
    </row>
    <row r="3964" spans="2:42">
      <c r="B3964" s="834" t="str">
        <f t="shared" si="183"/>
        <v>|||</v>
      </c>
      <c r="H3964" s="835">
        <f t="shared" si="185"/>
        <v>31</v>
      </c>
      <c r="AF3964" s="831" t="s">
        <v>4621</v>
      </c>
      <c r="AG3964" s="831" t="s">
        <v>2674</v>
      </c>
      <c r="AH3964" s="831" t="s">
        <v>573</v>
      </c>
      <c r="AI3964" s="831">
        <v>0</v>
      </c>
      <c r="AJ3964" s="835">
        <v>39964</v>
      </c>
      <c r="AK3964" s="831">
        <v>0</v>
      </c>
      <c r="AP3964" s="831" t="str">
        <f t="shared" si="184"/>
        <v/>
      </c>
    </row>
    <row r="3965" spans="2:42">
      <c r="B3965" s="834" t="str">
        <f t="shared" si="183"/>
        <v>|||</v>
      </c>
      <c r="H3965" s="835">
        <f t="shared" si="185"/>
        <v>31</v>
      </c>
      <c r="AF3965" s="831" t="s">
        <v>4622</v>
      </c>
      <c r="AG3965" s="831" t="s">
        <v>2674</v>
      </c>
      <c r="AH3965" s="831" t="s">
        <v>574</v>
      </c>
      <c r="AI3965" s="831">
        <v>0</v>
      </c>
      <c r="AJ3965" s="835">
        <v>39964</v>
      </c>
      <c r="AK3965" s="831">
        <v>0</v>
      </c>
      <c r="AP3965" s="831" t="str">
        <f t="shared" si="184"/>
        <v/>
      </c>
    </row>
    <row r="3966" spans="2:42">
      <c r="B3966" s="834" t="str">
        <f t="shared" si="183"/>
        <v>|||</v>
      </c>
      <c r="H3966" s="835">
        <f t="shared" si="185"/>
        <v>31</v>
      </c>
      <c r="AF3966" s="831" t="s">
        <v>4623</v>
      </c>
      <c r="AG3966" s="831" t="s">
        <v>2674</v>
      </c>
      <c r="AH3966" s="831" t="s">
        <v>575</v>
      </c>
      <c r="AI3966" s="831">
        <v>0</v>
      </c>
      <c r="AJ3966" s="835">
        <v>39964</v>
      </c>
      <c r="AK3966" s="831">
        <v>0</v>
      </c>
      <c r="AP3966" s="831" t="str">
        <f t="shared" si="184"/>
        <v/>
      </c>
    </row>
    <row r="3967" spans="2:42">
      <c r="B3967" s="834" t="str">
        <f t="shared" si="183"/>
        <v>|||</v>
      </c>
      <c r="H3967" s="835">
        <f t="shared" si="185"/>
        <v>31</v>
      </c>
      <c r="AF3967" s="831" t="s">
        <v>4624</v>
      </c>
      <c r="AG3967" s="831" t="s">
        <v>2674</v>
      </c>
      <c r="AH3967" s="831" t="s">
        <v>576</v>
      </c>
      <c r="AI3967" s="831">
        <v>0</v>
      </c>
      <c r="AJ3967" s="835">
        <v>39964</v>
      </c>
      <c r="AK3967" s="831">
        <v>0</v>
      </c>
      <c r="AP3967" s="831" t="str">
        <f t="shared" si="184"/>
        <v/>
      </c>
    </row>
    <row r="3968" spans="2:42">
      <c r="B3968" s="834" t="str">
        <f t="shared" si="183"/>
        <v>|||</v>
      </c>
      <c r="H3968" s="835">
        <f t="shared" si="185"/>
        <v>31</v>
      </c>
      <c r="AF3968" s="831" t="s">
        <v>4625</v>
      </c>
      <c r="AG3968" s="831" t="s">
        <v>2674</v>
      </c>
      <c r="AH3968" s="831" t="s">
        <v>572</v>
      </c>
      <c r="AI3968" s="831">
        <v>0</v>
      </c>
      <c r="AJ3968" s="835">
        <v>39964</v>
      </c>
      <c r="AK3968" s="831">
        <v>0</v>
      </c>
      <c r="AP3968" s="831" t="str">
        <f t="shared" si="184"/>
        <v/>
      </c>
    </row>
    <row r="3969" spans="2:42">
      <c r="B3969" s="834" t="str">
        <f t="shared" si="183"/>
        <v>|||</v>
      </c>
      <c r="H3969" s="835">
        <f t="shared" si="185"/>
        <v>31</v>
      </c>
      <c r="AF3969" s="831" t="s">
        <v>4626</v>
      </c>
      <c r="AG3969" s="831" t="s">
        <v>2674</v>
      </c>
      <c r="AH3969" s="831" t="s">
        <v>577</v>
      </c>
      <c r="AI3969" s="831">
        <v>0</v>
      </c>
      <c r="AJ3969" s="835">
        <v>39964</v>
      </c>
      <c r="AK3969" s="831">
        <v>0</v>
      </c>
      <c r="AP3969" s="831" t="str">
        <f t="shared" si="184"/>
        <v/>
      </c>
    </row>
    <row r="3970" spans="2:42">
      <c r="B3970" s="834" t="str">
        <f t="shared" si="183"/>
        <v>|||</v>
      </c>
      <c r="H3970" s="835">
        <f t="shared" si="185"/>
        <v>31</v>
      </c>
      <c r="AF3970" s="831" t="s">
        <v>4627</v>
      </c>
      <c r="AG3970" s="831" t="s">
        <v>2674</v>
      </c>
      <c r="AH3970" s="831" t="s">
        <v>3042</v>
      </c>
      <c r="AI3970" s="831">
        <v>0</v>
      </c>
      <c r="AJ3970" s="835">
        <v>39964</v>
      </c>
      <c r="AK3970" s="831">
        <v>0</v>
      </c>
      <c r="AP3970" s="831" t="str">
        <f t="shared" si="184"/>
        <v/>
      </c>
    </row>
    <row r="3971" spans="2:42">
      <c r="B3971" s="834" t="str">
        <f t="shared" ref="B3971:B4034" si="186">C3971&amp;"|"&amp;D3971&amp;"|"&amp;E3971&amp;"|"&amp;F3971</f>
        <v>|||</v>
      </c>
      <c r="H3971" s="835">
        <f t="shared" si="185"/>
        <v>31</v>
      </c>
      <c r="AF3971" s="831" t="s">
        <v>4628</v>
      </c>
      <c r="AG3971" s="831" t="s">
        <v>2674</v>
      </c>
      <c r="AH3971" s="831" t="s">
        <v>3044</v>
      </c>
      <c r="AI3971" s="831">
        <v>0</v>
      </c>
      <c r="AJ3971" s="835">
        <v>39964</v>
      </c>
      <c r="AK3971" s="831">
        <v>0</v>
      </c>
      <c r="AP3971" s="831" t="str">
        <f t="shared" ref="AP3971:AP4034" si="187">IF(AX3971&lt;&gt;"",IF(OR(AX3971=3,AX3971=4),"Equity","Debt"),"")</f>
        <v/>
      </c>
    </row>
    <row r="3972" spans="2:42">
      <c r="B3972" s="834" t="str">
        <f t="shared" si="186"/>
        <v>|||</v>
      </c>
      <c r="H3972" s="835">
        <f t="shared" ref="H3972:H4035" si="188">EOMONTH(L3972,0)</f>
        <v>31</v>
      </c>
      <c r="AF3972" s="831" t="s">
        <v>4629</v>
      </c>
      <c r="AG3972" s="831" t="s">
        <v>2674</v>
      </c>
      <c r="AH3972" s="831" t="s">
        <v>580</v>
      </c>
      <c r="AI3972" s="831">
        <v>0</v>
      </c>
      <c r="AJ3972" s="835">
        <v>39964</v>
      </c>
      <c r="AK3972" s="831">
        <v>0</v>
      </c>
      <c r="AP3972" s="831" t="str">
        <f t="shared" si="187"/>
        <v/>
      </c>
    </row>
    <row r="3973" spans="2:42">
      <c r="B3973" s="834" t="str">
        <f t="shared" si="186"/>
        <v>|||</v>
      </c>
      <c r="H3973" s="835">
        <f t="shared" si="188"/>
        <v>31</v>
      </c>
      <c r="AF3973" s="831" t="s">
        <v>4630</v>
      </c>
      <c r="AG3973" s="831" t="s">
        <v>2674</v>
      </c>
      <c r="AH3973" s="831" t="s">
        <v>581</v>
      </c>
      <c r="AI3973" s="831">
        <v>0</v>
      </c>
      <c r="AJ3973" s="835">
        <v>39964</v>
      </c>
      <c r="AK3973" s="831">
        <v>0</v>
      </c>
      <c r="AP3973" s="831" t="str">
        <f t="shared" si="187"/>
        <v/>
      </c>
    </row>
    <row r="3974" spans="2:42">
      <c r="B3974" s="834" t="str">
        <f t="shared" si="186"/>
        <v>|||</v>
      </c>
      <c r="H3974" s="835">
        <f t="shared" si="188"/>
        <v>31</v>
      </c>
      <c r="AF3974" s="831" t="s">
        <v>4631</v>
      </c>
      <c r="AG3974" s="831" t="s">
        <v>2674</v>
      </c>
      <c r="AH3974" s="831" t="s">
        <v>105</v>
      </c>
      <c r="AI3974" s="831">
        <v>0</v>
      </c>
      <c r="AJ3974" s="835">
        <v>39964</v>
      </c>
      <c r="AK3974" s="831">
        <v>151312082</v>
      </c>
      <c r="AP3974" s="831" t="str">
        <f t="shared" si="187"/>
        <v/>
      </c>
    </row>
    <row r="3975" spans="2:42">
      <c r="B3975" s="834" t="str">
        <f t="shared" si="186"/>
        <v>|||</v>
      </c>
      <c r="H3975" s="835">
        <f t="shared" si="188"/>
        <v>31</v>
      </c>
      <c r="AF3975" s="831" t="s">
        <v>4632</v>
      </c>
      <c r="AG3975" s="831" t="s">
        <v>2674</v>
      </c>
      <c r="AH3975" s="831" t="s">
        <v>3049</v>
      </c>
      <c r="AI3975" s="831">
        <v>0</v>
      </c>
      <c r="AJ3975" s="835">
        <v>39964</v>
      </c>
      <c r="AK3975" s="831">
        <v>186633511</v>
      </c>
      <c r="AP3975" s="831" t="str">
        <f t="shared" si="187"/>
        <v/>
      </c>
    </row>
    <row r="3976" spans="2:42">
      <c r="B3976" s="834" t="str">
        <f t="shared" si="186"/>
        <v>|||</v>
      </c>
      <c r="H3976" s="835">
        <f t="shared" si="188"/>
        <v>31</v>
      </c>
      <c r="AF3976" s="831" t="s">
        <v>4633</v>
      </c>
      <c r="AG3976" s="831" t="s">
        <v>2674</v>
      </c>
      <c r="AH3976" s="831" t="s">
        <v>103</v>
      </c>
      <c r="AI3976" s="831">
        <v>0</v>
      </c>
      <c r="AJ3976" s="835">
        <v>39964</v>
      </c>
      <c r="AK3976" s="831">
        <v>35321429</v>
      </c>
      <c r="AP3976" s="831" t="str">
        <f t="shared" si="187"/>
        <v/>
      </c>
    </row>
    <row r="3977" spans="2:42">
      <c r="B3977" s="834" t="str">
        <f t="shared" si="186"/>
        <v>|||</v>
      </c>
      <c r="H3977" s="835">
        <f t="shared" si="188"/>
        <v>31</v>
      </c>
      <c r="AF3977" s="831" t="s">
        <v>4634</v>
      </c>
      <c r="AG3977" s="831" t="s">
        <v>2674</v>
      </c>
      <c r="AH3977" s="831" t="s">
        <v>182</v>
      </c>
      <c r="AI3977" s="831">
        <v>0</v>
      </c>
      <c r="AJ3977" s="835">
        <v>39964</v>
      </c>
      <c r="AK3977" s="831">
        <v>23974068</v>
      </c>
      <c r="AP3977" s="831" t="str">
        <f t="shared" si="187"/>
        <v/>
      </c>
    </row>
    <row r="3978" spans="2:42">
      <c r="B3978" s="834" t="str">
        <f t="shared" si="186"/>
        <v>|||</v>
      </c>
      <c r="H3978" s="835">
        <f t="shared" si="188"/>
        <v>31</v>
      </c>
      <c r="AF3978" s="831" t="s">
        <v>4635</v>
      </c>
      <c r="AG3978" s="831" t="s">
        <v>2674</v>
      </c>
      <c r="AH3978" s="831" t="s">
        <v>546</v>
      </c>
      <c r="AI3978" s="831">
        <v>0</v>
      </c>
      <c r="AJ3978" s="835">
        <v>39994</v>
      </c>
      <c r="AK3978" s="831">
        <v>199598308</v>
      </c>
      <c r="AP3978" s="831" t="str">
        <f t="shared" si="187"/>
        <v/>
      </c>
    </row>
    <row r="3979" spans="2:42">
      <c r="B3979" s="834" t="str">
        <f t="shared" si="186"/>
        <v>|||</v>
      </c>
      <c r="H3979" s="835">
        <f t="shared" si="188"/>
        <v>31</v>
      </c>
      <c r="AF3979" s="831" t="s">
        <v>4636</v>
      </c>
      <c r="AG3979" s="831" t="s">
        <v>2674</v>
      </c>
      <c r="AH3979" s="831" t="s">
        <v>370</v>
      </c>
      <c r="AI3979" s="831">
        <v>0</v>
      </c>
      <c r="AJ3979" s="835">
        <v>39994</v>
      </c>
      <c r="AK3979" s="831">
        <v>237711179</v>
      </c>
      <c r="AP3979" s="831" t="str">
        <f t="shared" si="187"/>
        <v/>
      </c>
    </row>
    <row r="3980" spans="2:42">
      <c r="B3980" s="834" t="str">
        <f t="shared" si="186"/>
        <v>|||</v>
      </c>
      <c r="H3980" s="835">
        <f t="shared" si="188"/>
        <v>31</v>
      </c>
      <c r="AF3980" s="831" t="s">
        <v>4637</v>
      </c>
      <c r="AG3980" s="831" t="s">
        <v>2674</v>
      </c>
      <c r="AH3980" s="831" t="s">
        <v>126</v>
      </c>
      <c r="AI3980" s="831">
        <v>0</v>
      </c>
      <c r="AJ3980" s="835">
        <v>39994</v>
      </c>
      <c r="AK3980" s="831">
        <v>41785221</v>
      </c>
      <c r="AP3980" s="831" t="str">
        <f t="shared" si="187"/>
        <v/>
      </c>
    </row>
    <row r="3981" spans="2:42">
      <c r="B3981" s="834" t="str">
        <f t="shared" si="186"/>
        <v>|||</v>
      </c>
      <c r="H3981" s="835">
        <f t="shared" si="188"/>
        <v>31</v>
      </c>
      <c r="AF3981" s="831" t="s">
        <v>4638</v>
      </c>
      <c r="AG3981" s="831" t="s">
        <v>2674</v>
      </c>
      <c r="AH3981" s="831" t="s">
        <v>268</v>
      </c>
      <c r="AI3981" s="831">
        <v>0</v>
      </c>
      <c r="AJ3981" s="835">
        <v>39994</v>
      </c>
      <c r="AK3981" s="831">
        <v>8478911</v>
      </c>
      <c r="AP3981" s="831" t="str">
        <f t="shared" si="187"/>
        <v/>
      </c>
    </row>
    <row r="3982" spans="2:42">
      <c r="B3982" s="834" t="str">
        <f t="shared" si="186"/>
        <v>|||</v>
      </c>
      <c r="H3982" s="835">
        <f t="shared" si="188"/>
        <v>31</v>
      </c>
      <c r="AF3982" s="831" t="s">
        <v>4639</v>
      </c>
      <c r="AG3982" s="831" t="s">
        <v>2674</v>
      </c>
      <c r="AH3982" s="831" t="s">
        <v>547</v>
      </c>
      <c r="AI3982" s="831">
        <v>0</v>
      </c>
      <c r="AJ3982" s="835">
        <v>39994</v>
      </c>
      <c r="AK3982" s="831">
        <v>0</v>
      </c>
      <c r="AP3982" s="831" t="str">
        <f t="shared" si="187"/>
        <v/>
      </c>
    </row>
    <row r="3983" spans="2:42">
      <c r="B3983" s="834" t="str">
        <f t="shared" si="186"/>
        <v>|||</v>
      </c>
      <c r="H3983" s="835">
        <f t="shared" si="188"/>
        <v>31</v>
      </c>
      <c r="AF3983" s="831" t="s">
        <v>4640</v>
      </c>
      <c r="AG3983" s="831" t="s">
        <v>2674</v>
      </c>
      <c r="AH3983" s="831" t="s">
        <v>548</v>
      </c>
      <c r="AI3983" s="831">
        <v>0</v>
      </c>
      <c r="AJ3983" s="835">
        <v>39994</v>
      </c>
      <c r="AK3983" s="831">
        <v>0</v>
      </c>
      <c r="AP3983" s="831" t="str">
        <f t="shared" si="187"/>
        <v/>
      </c>
    </row>
    <row r="3984" spans="2:42">
      <c r="B3984" s="834" t="str">
        <f t="shared" si="186"/>
        <v>|||</v>
      </c>
      <c r="H3984" s="835">
        <f t="shared" si="188"/>
        <v>31</v>
      </c>
      <c r="AF3984" s="831" t="s">
        <v>4641</v>
      </c>
      <c r="AG3984" s="831" t="s">
        <v>2674</v>
      </c>
      <c r="AH3984" s="831" t="s">
        <v>549</v>
      </c>
      <c r="AI3984" s="831">
        <v>0</v>
      </c>
      <c r="AJ3984" s="835">
        <v>39994</v>
      </c>
      <c r="AK3984" s="831">
        <v>0</v>
      </c>
      <c r="AP3984" s="831" t="str">
        <f t="shared" si="187"/>
        <v/>
      </c>
    </row>
    <row r="3985" spans="2:42">
      <c r="B3985" s="834" t="str">
        <f t="shared" si="186"/>
        <v>|||</v>
      </c>
      <c r="H3985" s="835">
        <f t="shared" si="188"/>
        <v>31</v>
      </c>
      <c r="AF3985" s="831" t="s">
        <v>4642</v>
      </c>
      <c r="AG3985" s="831" t="s">
        <v>2674</v>
      </c>
      <c r="AH3985" s="831" t="s">
        <v>192</v>
      </c>
      <c r="AI3985" s="831">
        <v>0</v>
      </c>
      <c r="AJ3985" s="835">
        <v>39994</v>
      </c>
      <c r="AK3985" s="831">
        <v>-5648604</v>
      </c>
      <c r="AP3985" s="831" t="str">
        <f t="shared" si="187"/>
        <v/>
      </c>
    </row>
    <row r="3986" spans="2:42">
      <c r="B3986" s="834" t="str">
        <f t="shared" si="186"/>
        <v>|||</v>
      </c>
      <c r="H3986" s="835">
        <f t="shared" si="188"/>
        <v>31</v>
      </c>
      <c r="AF3986" s="831" t="s">
        <v>4643</v>
      </c>
      <c r="AG3986" s="831" t="s">
        <v>2674</v>
      </c>
      <c r="AH3986" s="831" t="s">
        <v>558</v>
      </c>
      <c r="AI3986" s="831">
        <v>0</v>
      </c>
      <c r="AJ3986" s="835">
        <v>39994</v>
      </c>
      <c r="AK3986" s="831">
        <v>195925958</v>
      </c>
      <c r="AP3986" s="831" t="str">
        <f t="shared" si="187"/>
        <v/>
      </c>
    </row>
    <row r="3987" spans="2:42">
      <c r="B3987" s="834" t="str">
        <f t="shared" si="186"/>
        <v>|||</v>
      </c>
      <c r="H3987" s="835">
        <f t="shared" si="188"/>
        <v>31</v>
      </c>
      <c r="AF3987" s="831" t="s">
        <v>4644</v>
      </c>
      <c r="AG3987" s="831" t="s">
        <v>2674</v>
      </c>
      <c r="AH3987" s="831" t="s">
        <v>65</v>
      </c>
      <c r="AI3987" s="831">
        <v>0</v>
      </c>
      <c r="AJ3987" s="835">
        <v>39994</v>
      </c>
      <c r="AK3987" s="831">
        <v>31002085</v>
      </c>
      <c r="AP3987" s="831" t="str">
        <f t="shared" si="187"/>
        <v/>
      </c>
    </row>
    <row r="3988" spans="2:42">
      <c r="B3988" s="834" t="str">
        <f t="shared" si="186"/>
        <v>|||</v>
      </c>
      <c r="H3988" s="835">
        <f t="shared" si="188"/>
        <v>31</v>
      </c>
      <c r="AF3988" s="831" t="s">
        <v>4645</v>
      </c>
      <c r="AG3988" s="831" t="s">
        <v>2674</v>
      </c>
      <c r="AH3988" s="831" t="s">
        <v>89</v>
      </c>
      <c r="AI3988" s="831">
        <v>0</v>
      </c>
      <c r="AJ3988" s="835">
        <v>39994</v>
      </c>
      <c r="AK3988" s="831">
        <v>80334</v>
      </c>
      <c r="AP3988" s="831" t="str">
        <f t="shared" si="187"/>
        <v/>
      </c>
    </row>
    <row r="3989" spans="2:42">
      <c r="B3989" s="834" t="str">
        <f t="shared" si="186"/>
        <v>|||</v>
      </c>
      <c r="H3989" s="835">
        <f t="shared" si="188"/>
        <v>31</v>
      </c>
      <c r="AF3989" s="831" t="s">
        <v>4646</v>
      </c>
      <c r="AG3989" s="831" t="s">
        <v>2674</v>
      </c>
      <c r="AH3989" s="831" t="s">
        <v>557</v>
      </c>
      <c r="AI3989" s="831">
        <v>0</v>
      </c>
      <c r="AJ3989" s="835">
        <v>39994</v>
      </c>
      <c r="AK3989" s="831">
        <v>82614</v>
      </c>
      <c r="AP3989" s="831" t="str">
        <f t="shared" si="187"/>
        <v/>
      </c>
    </row>
    <row r="3990" spans="2:42">
      <c r="B3990" s="834" t="str">
        <f t="shared" si="186"/>
        <v>|||</v>
      </c>
      <c r="H3990" s="835">
        <f t="shared" si="188"/>
        <v>31</v>
      </c>
      <c r="AF3990" s="831" t="s">
        <v>4647</v>
      </c>
      <c r="AG3990" s="831" t="s">
        <v>2674</v>
      </c>
      <c r="AH3990" s="831" t="s">
        <v>29</v>
      </c>
      <c r="AI3990" s="831">
        <v>0</v>
      </c>
      <c r="AJ3990" s="835">
        <v>39994</v>
      </c>
      <c r="AK3990" s="831">
        <v>1658420</v>
      </c>
      <c r="AP3990" s="831" t="str">
        <f t="shared" si="187"/>
        <v/>
      </c>
    </row>
    <row r="3991" spans="2:42">
      <c r="B3991" s="834" t="str">
        <f t="shared" si="186"/>
        <v>|||</v>
      </c>
      <c r="H3991" s="835">
        <f t="shared" si="188"/>
        <v>31</v>
      </c>
      <c r="AF3991" s="831" t="s">
        <v>4648</v>
      </c>
      <c r="AG3991" s="831" t="s">
        <v>2674</v>
      </c>
      <c r="AH3991" s="831" t="s">
        <v>2688</v>
      </c>
      <c r="AI3991" s="831">
        <v>0</v>
      </c>
      <c r="AJ3991" s="835">
        <v>39994</v>
      </c>
      <c r="AK3991" s="831">
        <v>582897</v>
      </c>
      <c r="AP3991" s="831" t="str">
        <f t="shared" si="187"/>
        <v/>
      </c>
    </row>
    <row r="3992" spans="2:42">
      <c r="B3992" s="834" t="str">
        <f t="shared" si="186"/>
        <v>|||</v>
      </c>
      <c r="H3992" s="835">
        <f t="shared" si="188"/>
        <v>31</v>
      </c>
      <c r="AF3992" s="831" t="s">
        <v>4649</v>
      </c>
      <c r="AG3992" s="831" t="s">
        <v>2674</v>
      </c>
      <c r="AH3992" s="831" t="s">
        <v>556</v>
      </c>
      <c r="AI3992" s="831">
        <v>0</v>
      </c>
      <c r="AJ3992" s="835">
        <v>39994</v>
      </c>
      <c r="AK3992" s="831">
        <v>179021</v>
      </c>
      <c r="AP3992" s="831" t="str">
        <f t="shared" si="187"/>
        <v/>
      </c>
    </row>
    <row r="3993" spans="2:42">
      <c r="B3993" s="834" t="str">
        <f t="shared" si="186"/>
        <v>|||</v>
      </c>
      <c r="H3993" s="835">
        <f t="shared" si="188"/>
        <v>31</v>
      </c>
      <c r="AF3993" s="831" t="s">
        <v>4650</v>
      </c>
      <c r="AG3993" s="831" t="s">
        <v>2674</v>
      </c>
      <c r="AH3993" s="831" t="s">
        <v>555</v>
      </c>
      <c r="AI3993" s="831">
        <v>0</v>
      </c>
      <c r="AJ3993" s="835">
        <v>39994</v>
      </c>
      <c r="AK3993" s="831">
        <v>169431241</v>
      </c>
      <c r="AP3993" s="831" t="str">
        <f t="shared" si="187"/>
        <v/>
      </c>
    </row>
    <row r="3994" spans="2:42">
      <c r="B3994" s="834" t="str">
        <f t="shared" si="186"/>
        <v>|||</v>
      </c>
      <c r="H3994" s="835">
        <f t="shared" si="188"/>
        <v>31</v>
      </c>
      <c r="AF3994" s="831" t="s">
        <v>4651</v>
      </c>
      <c r="AG3994" s="831" t="s">
        <v>2674</v>
      </c>
      <c r="AH3994" s="831" t="s">
        <v>554</v>
      </c>
      <c r="AI3994" s="831">
        <v>0</v>
      </c>
      <c r="AJ3994" s="835">
        <v>39994</v>
      </c>
      <c r="AK3994" s="831">
        <v>167543110</v>
      </c>
      <c r="AP3994" s="831" t="str">
        <f t="shared" si="187"/>
        <v/>
      </c>
    </row>
    <row r="3995" spans="2:42">
      <c r="B3995" s="834" t="str">
        <f t="shared" si="186"/>
        <v>|||</v>
      </c>
      <c r="H3995" s="835">
        <f t="shared" si="188"/>
        <v>31</v>
      </c>
      <c r="AF3995" s="831" t="s">
        <v>4652</v>
      </c>
      <c r="AG3995" s="831" t="s">
        <v>2674</v>
      </c>
      <c r="AH3995" s="831" t="s">
        <v>553</v>
      </c>
      <c r="AI3995" s="831">
        <v>0</v>
      </c>
      <c r="AJ3995" s="835">
        <v>39994</v>
      </c>
      <c r="AK3995" s="831">
        <v>0</v>
      </c>
      <c r="AP3995" s="831" t="str">
        <f t="shared" si="187"/>
        <v/>
      </c>
    </row>
    <row r="3996" spans="2:42">
      <c r="B3996" s="834" t="str">
        <f t="shared" si="186"/>
        <v>|||</v>
      </c>
      <c r="H3996" s="835">
        <f t="shared" si="188"/>
        <v>31</v>
      </c>
      <c r="AF3996" s="831" t="s">
        <v>4653</v>
      </c>
      <c r="AG3996" s="831" t="s">
        <v>2674</v>
      </c>
      <c r="AH3996" s="831" t="s">
        <v>552</v>
      </c>
      <c r="AI3996" s="831">
        <v>0</v>
      </c>
      <c r="AJ3996" s="835">
        <v>39994</v>
      </c>
      <c r="AK3996" s="831">
        <v>0</v>
      </c>
      <c r="AP3996" s="831" t="str">
        <f t="shared" si="187"/>
        <v/>
      </c>
    </row>
    <row r="3997" spans="2:42">
      <c r="B3997" s="834" t="str">
        <f t="shared" si="186"/>
        <v>|||</v>
      </c>
      <c r="H3997" s="835">
        <f t="shared" si="188"/>
        <v>31</v>
      </c>
      <c r="AF3997" s="831" t="s">
        <v>4654</v>
      </c>
      <c r="AG3997" s="831" t="s">
        <v>2674</v>
      </c>
      <c r="AH3997" s="831" t="s">
        <v>551</v>
      </c>
      <c r="AI3997" s="831">
        <v>0</v>
      </c>
      <c r="AJ3997" s="835">
        <v>39994</v>
      </c>
      <c r="AK3997" s="831">
        <v>1547068</v>
      </c>
      <c r="AP3997" s="831" t="str">
        <f t="shared" si="187"/>
        <v/>
      </c>
    </row>
    <row r="3998" spans="2:42">
      <c r="B3998" s="834" t="str">
        <f t="shared" si="186"/>
        <v>|||</v>
      </c>
      <c r="H3998" s="835">
        <f t="shared" si="188"/>
        <v>31</v>
      </c>
      <c r="AF3998" s="831" t="s">
        <v>4655</v>
      </c>
      <c r="AG3998" s="831" t="s">
        <v>2674</v>
      </c>
      <c r="AH3998" s="831" t="s">
        <v>550</v>
      </c>
      <c r="AI3998" s="831">
        <v>0</v>
      </c>
      <c r="AJ3998" s="835">
        <v>39994</v>
      </c>
      <c r="AK3998" s="831">
        <v>0</v>
      </c>
      <c r="AP3998" s="831" t="str">
        <f t="shared" si="187"/>
        <v/>
      </c>
    </row>
    <row r="3999" spans="2:42">
      <c r="B3999" s="834" t="str">
        <f t="shared" si="186"/>
        <v>|||</v>
      </c>
      <c r="H3999" s="835">
        <f t="shared" si="188"/>
        <v>31</v>
      </c>
      <c r="AF3999" s="831" t="s">
        <v>4656</v>
      </c>
      <c r="AG3999" s="831" t="s">
        <v>2674</v>
      </c>
      <c r="AH3999" s="831" t="s">
        <v>562</v>
      </c>
      <c r="AI3999" s="831">
        <v>0</v>
      </c>
      <c r="AJ3999" s="835">
        <v>39994</v>
      </c>
      <c r="AK3999" s="831">
        <v>0.8</v>
      </c>
      <c r="AP3999" s="831" t="str">
        <f t="shared" si="187"/>
        <v/>
      </c>
    </row>
    <row r="4000" spans="2:42">
      <c r="B4000" s="834" t="str">
        <f t="shared" si="186"/>
        <v>|||</v>
      </c>
      <c r="H4000" s="835">
        <f t="shared" si="188"/>
        <v>31</v>
      </c>
      <c r="AF4000" s="831" t="s">
        <v>4657</v>
      </c>
      <c r="AG4000" s="831" t="s">
        <v>2674</v>
      </c>
      <c r="AH4000" s="831" t="s">
        <v>2698</v>
      </c>
      <c r="AI4000" s="831">
        <v>0</v>
      </c>
      <c r="AJ4000" s="835">
        <v>39994</v>
      </c>
      <c r="AK4000" s="831">
        <v>0.8</v>
      </c>
      <c r="AP4000" s="831" t="str">
        <f t="shared" si="187"/>
        <v/>
      </c>
    </row>
    <row r="4001" spans="2:42">
      <c r="B4001" s="834" t="str">
        <f t="shared" si="186"/>
        <v>|||</v>
      </c>
      <c r="H4001" s="835">
        <f t="shared" si="188"/>
        <v>31</v>
      </c>
      <c r="AF4001" s="831" t="s">
        <v>4658</v>
      </c>
      <c r="AG4001" s="831" t="s">
        <v>2674</v>
      </c>
      <c r="AH4001" s="831" t="s">
        <v>560</v>
      </c>
      <c r="AI4001" s="831">
        <v>0</v>
      </c>
      <c r="AJ4001" s="835">
        <v>39994</v>
      </c>
      <c r="AK4001" s="831">
        <v>0.80500000000000005</v>
      </c>
      <c r="AP4001" s="831" t="str">
        <f t="shared" si="187"/>
        <v/>
      </c>
    </row>
    <row r="4002" spans="2:42">
      <c r="B4002" s="834" t="str">
        <f t="shared" si="186"/>
        <v>|||</v>
      </c>
      <c r="H4002" s="835">
        <f t="shared" si="188"/>
        <v>31</v>
      </c>
      <c r="AF4002" s="831" t="s">
        <v>4659</v>
      </c>
      <c r="AG4002" s="831" t="s">
        <v>2674</v>
      </c>
      <c r="AH4002" s="831" t="s">
        <v>559</v>
      </c>
      <c r="AI4002" s="831">
        <v>0</v>
      </c>
      <c r="AJ4002" s="835">
        <v>39994</v>
      </c>
      <c r="AK4002" s="831">
        <v>0.80666666666666698</v>
      </c>
      <c r="AP4002" s="831" t="str">
        <f t="shared" si="187"/>
        <v/>
      </c>
    </row>
    <row r="4003" spans="2:42">
      <c r="B4003" s="834" t="str">
        <f t="shared" si="186"/>
        <v>|||</v>
      </c>
      <c r="H4003" s="835">
        <f t="shared" si="188"/>
        <v>31</v>
      </c>
      <c r="AF4003" s="831" t="s">
        <v>4660</v>
      </c>
      <c r="AG4003" s="831" t="s">
        <v>2674</v>
      </c>
      <c r="AH4003" s="831" t="s">
        <v>568</v>
      </c>
      <c r="AI4003" s="831">
        <v>0</v>
      </c>
      <c r="AJ4003" s="835">
        <v>39994</v>
      </c>
      <c r="AK4003" s="831">
        <v>0</v>
      </c>
      <c r="AP4003" s="831" t="str">
        <f t="shared" si="187"/>
        <v/>
      </c>
    </row>
    <row r="4004" spans="2:42">
      <c r="B4004" s="834" t="str">
        <f t="shared" si="186"/>
        <v>|||</v>
      </c>
      <c r="H4004" s="835">
        <f t="shared" si="188"/>
        <v>31</v>
      </c>
      <c r="AF4004" s="831" t="s">
        <v>4661</v>
      </c>
      <c r="AG4004" s="831" t="s">
        <v>2674</v>
      </c>
      <c r="AH4004" s="831" t="s">
        <v>569</v>
      </c>
      <c r="AI4004" s="831">
        <v>0</v>
      </c>
      <c r="AJ4004" s="835">
        <v>39994</v>
      </c>
      <c r="AK4004" s="831">
        <v>0</v>
      </c>
      <c r="AP4004" s="831" t="str">
        <f t="shared" si="187"/>
        <v/>
      </c>
    </row>
    <row r="4005" spans="2:42">
      <c r="B4005" s="834" t="str">
        <f t="shared" si="186"/>
        <v>|||</v>
      </c>
      <c r="H4005" s="835">
        <f t="shared" si="188"/>
        <v>31</v>
      </c>
      <c r="AF4005" s="831" t="s">
        <v>4662</v>
      </c>
      <c r="AG4005" s="831" t="s">
        <v>2674</v>
      </c>
      <c r="AH4005" s="831" t="s">
        <v>570</v>
      </c>
      <c r="AI4005" s="831">
        <v>0</v>
      </c>
      <c r="AJ4005" s="835">
        <v>39994</v>
      </c>
      <c r="AK4005" s="831">
        <v>0</v>
      </c>
      <c r="AP4005" s="831" t="str">
        <f t="shared" si="187"/>
        <v/>
      </c>
    </row>
    <row r="4006" spans="2:42">
      <c r="B4006" s="834" t="str">
        <f t="shared" si="186"/>
        <v>|||</v>
      </c>
      <c r="H4006" s="835">
        <f t="shared" si="188"/>
        <v>31</v>
      </c>
      <c r="AF4006" s="831" t="s">
        <v>4663</v>
      </c>
      <c r="AG4006" s="831" t="s">
        <v>2674</v>
      </c>
      <c r="AH4006" s="831" t="s">
        <v>571</v>
      </c>
      <c r="AI4006" s="831">
        <v>0</v>
      </c>
      <c r="AJ4006" s="835">
        <v>39994</v>
      </c>
      <c r="AK4006" s="831">
        <v>0</v>
      </c>
      <c r="AP4006" s="831" t="str">
        <f t="shared" si="187"/>
        <v/>
      </c>
    </row>
    <row r="4007" spans="2:42">
      <c r="B4007" s="834" t="str">
        <f t="shared" si="186"/>
        <v>|||</v>
      </c>
      <c r="H4007" s="835">
        <f t="shared" si="188"/>
        <v>31</v>
      </c>
      <c r="AF4007" s="831" t="s">
        <v>4664</v>
      </c>
      <c r="AG4007" s="831" t="s">
        <v>2674</v>
      </c>
      <c r="AH4007" s="831" t="s">
        <v>573</v>
      </c>
      <c r="AI4007" s="831">
        <v>0</v>
      </c>
      <c r="AJ4007" s="835">
        <v>39994</v>
      </c>
      <c r="AK4007" s="831">
        <v>0</v>
      </c>
      <c r="AP4007" s="831" t="str">
        <f t="shared" si="187"/>
        <v/>
      </c>
    </row>
    <row r="4008" spans="2:42">
      <c r="B4008" s="834" t="str">
        <f t="shared" si="186"/>
        <v>|||</v>
      </c>
      <c r="H4008" s="835">
        <f t="shared" si="188"/>
        <v>31</v>
      </c>
      <c r="AF4008" s="831" t="s">
        <v>4665</v>
      </c>
      <c r="AG4008" s="831" t="s">
        <v>2674</v>
      </c>
      <c r="AH4008" s="831" t="s">
        <v>574</v>
      </c>
      <c r="AI4008" s="831">
        <v>0</v>
      </c>
      <c r="AJ4008" s="835">
        <v>39994</v>
      </c>
      <c r="AK4008" s="831">
        <v>0</v>
      </c>
      <c r="AP4008" s="831" t="str">
        <f t="shared" si="187"/>
        <v/>
      </c>
    </row>
    <row r="4009" spans="2:42">
      <c r="B4009" s="834" t="str">
        <f t="shared" si="186"/>
        <v>|||</v>
      </c>
      <c r="H4009" s="835">
        <f t="shared" si="188"/>
        <v>31</v>
      </c>
      <c r="AF4009" s="831" t="s">
        <v>4666</v>
      </c>
      <c r="AG4009" s="831" t="s">
        <v>2674</v>
      </c>
      <c r="AH4009" s="831" t="s">
        <v>575</v>
      </c>
      <c r="AI4009" s="831">
        <v>0</v>
      </c>
      <c r="AJ4009" s="835">
        <v>39994</v>
      </c>
      <c r="AK4009" s="831">
        <v>0</v>
      </c>
      <c r="AP4009" s="831" t="str">
        <f t="shared" si="187"/>
        <v/>
      </c>
    </row>
    <row r="4010" spans="2:42">
      <c r="B4010" s="834" t="str">
        <f t="shared" si="186"/>
        <v>|||</v>
      </c>
      <c r="H4010" s="835">
        <f t="shared" si="188"/>
        <v>31</v>
      </c>
      <c r="AF4010" s="831" t="s">
        <v>4667</v>
      </c>
      <c r="AG4010" s="831" t="s">
        <v>2674</v>
      </c>
      <c r="AH4010" s="831" t="s">
        <v>576</v>
      </c>
      <c r="AI4010" s="831">
        <v>0</v>
      </c>
      <c r="AJ4010" s="835">
        <v>39994</v>
      </c>
      <c r="AK4010" s="831">
        <v>0</v>
      </c>
      <c r="AP4010" s="831" t="str">
        <f t="shared" si="187"/>
        <v/>
      </c>
    </row>
    <row r="4011" spans="2:42">
      <c r="B4011" s="834" t="str">
        <f t="shared" si="186"/>
        <v>|||</v>
      </c>
      <c r="H4011" s="835">
        <f t="shared" si="188"/>
        <v>31</v>
      </c>
      <c r="AF4011" s="831" t="s">
        <v>4668</v>
      </c>
      <c r="AG4011" s="831" t="s">
        <v>2674</v>
      </c>
      <c r="AH4011" s="831" t="s">
        <v>572</v>
      </c>
      <c r="AI4011" s="831">
        <v>0</v>
      </c>
      <c r="AJ4011" s="835">
        <v>39994</v>
      </c>
      <c r="AK4011" s="831">
        <v>0</v>
      </c>
      <c r="AP4011" s="831" t="str">
        <f t="shared" si="187"/>
        <v/>
      </c>
    </row>
    <row r="4012" spans="2:42">
      <c r="B4012" s="834" t="str">
        <f t="shared" si="186"/>
        <v>|||</v>
      </c>
      <c r="H4012" s="835">
        <f t="shared" si="188"/>
        <v>31</v>
      </c>
      <c r="AF4012" s="831" t="s">
        <v>4669</v>
      </c>
      <c r="AG4012" s="831" t="s">
        <v>2674</v>
      </c>
      <c r="AH4012" s="831" t="s">
        <v>577</v>
      </c>
      <c r="AI4012" s="831">
        <v>0</v>
      </c>
      <c r="AJ4012" s="835">
        <v>39994</v>
      </c>
      <c r="AK4012" s="831">
        <v>0</v>
      </c>
      <c r="AP4012" s="831" t="str">
        <f t="shared" si="187"/>
        <v/>
      </c>
    </row>
    <row r="4013" spans="2:42">
      <c r="B4013" s="834" t="str">
        <f t="shared" si="186"/>
        <v>|||</v>
      </c>
      <c r="H4013" s="835">
        <f t="shared" si="188"/>
        <v>31</v>
      </c>
      <c r="AF4013" s="831" t="s">
        <v>4670</v>
      </c>
      <c r="AG4013" s="831" t="s">
        <v>2674</v>
      </c>
      <c r="AH4013" s="831" t="s">
        <v>3042</v>
      </c>
      <c r="AI4013" s="831">
        <v>0</v>
      </c>
      <c r="AJ4013" s="835">
        <v>39994</v>
      </c>
      <c r="AK4013" s="831">
        <v>0</v>
      </c>
      <c r="AP4013" s="831" t="str">
        <f t="shared" si="187"/>
        <v/>
      </c>
    </row>
    <row r="4014" spans="2:42">
      <c r="B4014" s="834" t="str">
        <f t="shared" si="186"/>
        <v>|||</v>
      </c>
      <c r="H4014" s="835">
        <f t="shared" si="188"/>
        <v>31</v>
      </c>
      <c r="AF4014" s="831" t="s">
        <v>4671</v>
      </c>
      <c r="AG4014" s="831" t="s">
        <v>2674</v>
      </c>
      <c r="AH4014" s="831" t="s">
        <v>3044</v>
      </c>
      <c r="AI4014" s="831">
        <v>0</v>
      </c>
      <c r="AJ4014" s="835">
        <v>39994</v>
      </c>
      <c r="AK4014" s="831">
        <v>0</v>
      </c>
      <c r="AP4014" s="831" t="str">
        <f t="shared" si="187"/>
        <v/>
      </c>
    </row>
    <row r="4015" spans="2:42">
      <c r="B4015" s="834" t="str">
        <f t="shared" si="186"/>
        <v>|||</v>
      </c>
      <c r="H4015" s="835">
        <f t="shared" si="188"/>
        <v>31</v>
      </c>
      <c r="AF4015" s="831" t="s">
        <v>4672</v>
      </c>
      <c r="AG4015" s="831" t="s">
        <v>2674</v>
      </c>
      <c r="AH4015" s="831" t="s">
        <v>580</v>
      </c>
      <c r="AI4015" s="831">
        <v>0</v>
      </c>
      <c r="AJ4015" s="835">
        <v>39994</v>
      </c>
      <c r="AK4015" s="831">
        <v>0</v>
      </c>
      <c r="AP4015" s="831" t="str">
        <f t="shared" si="187"/>
        <v/>
      </c>
    </row>
    <row r="4016" spans="2:42">
      <c r="B4016" s="834" t="str">
        <f t="shared" si="186"/>
        <v>|||</v>
      </c>
      <c r="H4016" s="835">
        <f t="shared" si="188"/>
        <v>31</v>
      </c>
      <c r="AF4016" s="831" t="s">
        <v>4673</v>
      </c>
      <c r="AG4016" s="831" t="s">
        <v>2674</v>
      </c>
      <c r="AH4016" s="831" t="s">
        <v>581</v>
      </c>
      <c r="AI4016" s="831">
        <v>0</v>
      </c>
      <c r="AJ4016" s="835">
        <v>39994</v>
      </c>
      <c r="AK4016" s="831">
        <v>0</v>
      </c>
      <c r="AP4016" s="831" t="str">
        <f t="shared" si="187"/>
        <v/>
      </c>
    </row>
    <row r="4017" spans="2:42">
      <c r="B4017" s="834" t="str">
        <f t="shared" si="186"/>
        <v>|||</v>
      </c>
      <c r="H4017" s="835">
        <f t="shared" si="188"/>
        <v>31</v>
      </c>
      <c r="AF4017" s="831" t="s">
        <v>4674</v>
      </c>
      <c r="AG4017" s="831" t="s">
        <v>2674</v>
      </c>
      <c r="AH4017" s="831" t="s">
        <v>105</v>
      </c>
      <c r="AI4017" s="831">
        <v>0</v>
      </c>
      <c r="AJ4017" s="835">
        <v>39994</v>
      </c>
      <c r="AK4017" s="831">
        <v>150150240</v>
      </c>
      <c r="AP4017" s="831" t="str">
        <f t="shared" si="187"/>
        <v/>
      </c>
    </row>
    <row r="4018" spans="2:42">
      <c r="B4018" s="834" t="str">
        <f t="shared" si="186"/>
        <v>|||</v>
      </c>
      <c r="H4018" s="835">
        <f t="shared" si="188"/>
        <v>31</v>
      </c>
      <c r="AF4018" s="831" t="s">
        <v>4675</v>
      </c>
      <c r="AG4018" s="831" t="s">
        <v>2674</v>
      </c>
      <c r="AH4018" s="831" t="s">
        <v>3049</v>
      </c>
      <c r="AI4018" s="831">
        <v>0</v>
      </c>
      <c r="AJ4018" s="835">
        <v>39994</v>
      </c>
      <c r="AK4018" s="831">
        <v>190669282</v>
      </c>
      <c r="AP4018" s="831" t="str">
        <f t="shared" si="187"/>
        <v/>
      </c>
    </row>
    <row r="4019" spans="2:42">
      <c r="B4019" s="834" t="str">
        <f t="shared" si="186"/>
        <v>|||</v>
      </c>
      <c r="H4019" s="835">
        <f t="shared" si="188"/>
        <v>31</v>
      </c>
      <c r="AF4019" s="831" t="s">
        <v>4676</v>
      </c>
      <c r="AG4019" s="831" t="s">
        <v>2674</v>
      </c>
      <c r="AH4019" s="831" t="s">
        <v>103</v>
      </c>
      <c r="AI4019" s="831">
        <v>0</v>
      </c>
      <c r="AJ4019" s="835">
        <v>39994</v>
      </c>
      <c r="AK4019" s="831">
        <v>40519042</v>
      </c>
      <c r="AP4019" s="831" t="str">
        <f t="shared" si="187"/>
        <v/>
      </c>
    </row>
    <row r="4020" spans="2:42">
      <c r="B4020" s="834" t="str">
        <f t="shared" si="186"/>
        <v>|||</v>
      </c>
      <c r="H4020" s="835">
        <f t="shared" si="188"/>
        <v>31</v>
      </c>
      <c r="AF4020" s="831" t="s">
        <v>4677</v>
      </c>
      <c r="AG4020" s="831" t="s">
        <v>2674</v>
      </c>
      <c r="AH4020" s="831" t="s">
        <v>182</v>
      </c>
      <c r="AI4020" s="831">
        <v>0</v>
      </c>
      <c r="AJ4020" s="835">
        <v>39994</v>
      </c>
      <c r="AK4020" s="831">
        <v>24672698</v>
      </c>
      <c r="AP4020" s="831" t="str">
        <f t="shared" si="187"/>
        <v/>
      </c>
    </row>
    <row r="4021" spans="2:42">
      <c r="B4021" s="834" t="str">
        <f t="shared" si="186"/>
        <v>|||</v>
      </c>
      <c r="H4021" s="835">
        <f t="shared" si="188"/>
        <v>31</v>
      </c>
      <c r="AF4021" s="831" t="s">
        <v>4678</v>
      </c>
      <c r="AG4021" s="831" t="s">
        <v>2674</v>
      </c>
      <c r="AH4021" s="831" t="s">
        <v>546</v>
      </c>
      <c r="AI4021" s="831">
        <v>0</v>
      </c>
      <c r="AJ4021" s="835">
        <v>40025</v>
      </c>
      <c r="AK4021" s="831">
        <v>205792498</v>
      </c>
      <c r="AP4021" s="831" t="str">
        <f t="shared" si="187"/>
        <v/>
      </c>
    </row>
    <row r="4022" spans="2:42">
      <c r="B4022" s="834" t="str">
        <f t="shared" si="186"/>
        <v>|||</v>
      </c>
      <c r="H4022" s="835">
        <f t="shared" si="188"/>
        <v>31</v>
      </c>
      <c r="AF4022" s="831" t="s">
        <v>4679</v>
      </c>
      <c r="AG4022" s="831" t="s">
        <v>2674</v>
      </c>
      <c r="AH4022" s="831" t="s">
        <v>370</v>
      </c>
      <c r="AI4022" s="831">
        <v>0</v>
      </c>
      <c r="AJ4022" s="835">
        <v>40025</v>
      </c>
      <c r="AK4022" s="831">
        <v>242621214</v>
      </c>
      <c r="AP4022" s="831" t="str">
        <f t="shared" si="187"/>
        <v/>
      </c>
    </row>
    <row r="4023" spans="2:42">
      <c r="B4023" s="834" t="str">
        <f t="shared" si="186"/>
        <v>|||</v>
      </c>
      <c r="H4023" s="835">
        <f t="shared" si="188"/>
        <v>31</v>
      </c>
      <c r="AF4023" s="831" t="s">
        <v>4680</v>
      </c>
      <c r="AG4023" s="831" t="s">
        <v>2674</v>
      </c>
      <c r="AH4023" s="831" t="s">
        <v>126</v>
      </c>
      <c r="AI4023" s="831">
        <v>0</v>
      </c>
      <c r="AJ4023" s="835">
        <v>40025</v>
      </c>
      <c r="AK4023" s="831">
        <v>43712535</v>
      </c>
      <c r="AP4023" s="831" t="str">
        <f t="shared" si="187"/>
        <v/>
      </c>
    </row>
    <row r="4024" spans="2:42">
      <c r="B4024" s="834" t="str">
        <f t="shared" si="186"/>
        <v>|||</v>
      </c>
      <c r="H4024" s="835">
        <f t="shared" si="188"/>
        <v>31</v>
      </c>
      <c r="AF4024" s="831" t="s">
        <v>4681</v>
      </c>
      <c r="AG4024" s="831" t="s">
        <v>2674</v>
      </c>
      <c r="AH4024" s="831" t="s">
        <v>268</v>
      </c>
      <c r="AI4024" s="831">
        <v>0</v>
      </c>
      <c r="AJ4024" s="835">
        <v>40025</v>
      </c>
      <c r="AK4024" s="831">
        <v>10413611</v>
      </c>
      <c r="AP4024" s="831" t="str">
        <f t="shared" si="187"/>
        <v/>
      </c>
    </row>
    <row r="4025" spans="2:42">
      <c r="B4025" s="834" t="str">
        <f t="shared" si="186"/>
        <v>|||</v>
      </c>
      <c r="H4025" s="835">
        <f t="shared" si="188"/>
        <v>31</v>
      </c>
      <c r="AF4025" s="831" t="s">
        <v>4682</v>
      </c>
      <c r="AG4025" s="831" t="s">
        <v>2674</v>
      </c>
      <c r="AH4025" s="831" t="s">
        <v>547</v>
      </c>
      <c r="AI4025" s="831">
        <v>0</v>
      </c>
      <c r="AJ4025" s="835">
        <v>40025</v>
      </c>
      <c r="AK4025" s="831">
        <v>0</v>
      </c>
      <c r="AP4025" s="831" t="str">
        <f t="shared" si="187"/>
        <v/>
      </c>
    </row>
    <row r="4026" spans="2:42">
      <c r="B4026" s="834" t="str">
        <f t="shared" si="186"/>
        <v>|||</v>
      </c>
      <c r="H4026" s="835">
        <f t="shared" si="188"/>
        <v>31</v>
      </c>
      <c r="AF4026" s="831" t="s">
        <v>4683</v>
      </c>
      <c r="AG4026" s="831" t="s">
        <v>2674</v>
      </c>
      <c r="AH4026" s="831" t="s">
        <v>548</v>
      </c>
      <c r="AI4026" s="831">
        <v>0</v>
      </c>
      <c r="AJ4026" s="835">
        <v>40025</v>
      </c>
      <c r="AK4026" s="831">
        <v>0</v>
      </c>
      <c r="AP4026" s="831" t="str">
        <f t="shared" si="187"/>
        <v/>
      </c>
    </row>
    <row r="4027" spans="2:42">
      <c r="B4027" s="834" t="str">
        <f t="shared" si="186"/>
        <v>|||</v>
      </c>
      <c r="H4027" s="835">
        <f t="shared" si="188"/>
        <v>31</v>
      </c>
      <c r="AF4027" s="831" t="s">
        <v>4684</v>
      </c>
      <c r="AG4027" s="831" t="s">
        <v>2674</v>
      </c>
      <c r="AH4027" s="831" t="s">
        <v>549</v>
      </c>
      <c r="AI4027" s="831">
        <v>0</v>
      </c>
      <c r="AJ4027" s="835">
        <v>40025</v>
      </c>
      <c r="AK4027" s="831">
        <v>0</v>
      </c>
      <c r="AP4027" s="831" t="str">
        <f t="shared" si="187"/>
        <v/>
      </c>
    </row>
    <row r="4028" spans="2:42">
      <c r="B4028" s="834" t="str">
        <f t="shared" si="186"/>
        <v>|||</v>
      </c>
      <c r="H4028" s="835">
        <f t="shared" si="188"/>
        <v>31</v>
      </c>
      <c r="AF4028" s="831" t="s">
        <v>4685</v>
      </c>
      <c r="AG4028" s="831" t="s">
        <v>2674</v>
      </c>
      <c r="AH4028" s="831" t="s">
        <v>192</v>
      </c>
      <c r="AI4028" s="831">
        <v>0</v>
      </c>
      <c r="AJ4028" s="835">
        <v>40025</v>
      </c>
      <c r="AK4028" s="831">
        <v>-5815279</v>
      </c>
      <c r="AP4028" s="831" t="str">
        <f t="shared" si="187"/>
        <v/>
      </c>
    </row>
    <row r="4029" spans="2:42">
      <c r="B4029" s="834" t="str">
        <f t="shared" si="186"/>
        <v>|||</v>
      </c>
      <c r="H4029" s="835">
        <f t="shared" si="188"/>
        <v>31</v>
      </c>
      <c r="AF4029" s="831" t="s">
        <v>4686</v>
      </c>
      <c r="AG4029" s="831" t="s">
        <v>2674</v>
      </c>
      <c r="AH4029" s="831" t="s">
        <v>558</v>
      </c>
      <c r="AI4029" s="831">
        <v>0</v>
      </c>
      <c r="AJ4029" s="835">
        <v>40025</v>
      </c>
      <c r="AK4029" s="831">
        <v>198908679</v>
      </c>
      <c r="AP4029" s="831" t="str">
        <f t="shared" si="187"/>
        <v/>
      </c>
    </row>
    <row r="4030" spans="2:42">
      <c r="B4030" s="834" t="str">
        <f t="shared" si="186"/>
        <v>|||</v>
      </c>
      <c r="H4030" s="835">
        <f t="shared" si="188"/>
        <v>31</v>
      </c>
      <c r="AF4030" s="831" t="s">
        <v>4687</v>
      </c>
      <c r="AG4030" s="831" t="s">
        <v>2674</v>
      </c>
      <c r="AH4030" s="831" t="s">
        <v>65</v>
      </c>
      <c r="AI4030" s="831">
        <v>0</v>
      </c>
      <c r="AJ4030" s="835">
        <v>40025</v>
      </c>
      <c r="AK4030" s="831">
        <v>37056033</v>
      </c>
      <c r="AP4030" s="831" t="str">
        <f t="shared" si="187"/>
        <v/>
      </c>
    </row>
    <row r="4031" spans="2:42">
      <c r="B4031" s="834" t="str">
        <f t="shared" si="186"/>
        <v>|||</v>
      </c>
      <c r="H4031" s="835">
        <f t="shared" si="188"/>
        <v>31</v>
      </c>
      <c r="AF4031" s="831" t="s">
        <v>4688</v>
      </c>
      <c r="AG4031" s="831" t="s">
        <v>2674</v>
      </c>
      <c r="AH4031" s="831" t="s">
        <v>89</v>
      </c>
      <c r="AI4031" s="831">
        <v>0</v>
      </c>
      <c r="AJ4031" s="835">
        <v>40025</v>
      </c>
      <c r="AK4031" s="831">
        <v>82630</v>
      </c>
      <c r="AP4031" s="831" t="str">
        <f t="shared" si="187"/>
        <v/>
      </c>
    </row>
    <row r="4032" spans="2:42">
      <c r="B4032" s="834" t="str">
        <f t="shared" si="186"/>
        <v>|||</v>
      </c>
      <c r="H4032" s="835">
        <f t="shared" si="188"/>
        <v>31</v>
      </c>
      <c r="AF4032" s="831" t="s">
        <v>4689</v>
      </c>
      <c r="AG4032" s="831" t="s">
        <v>2674</v>
      </c>
      <c r="AH4032" s="831" t="s">
        <v>557</v>
      </c>
      <c r="AI4032" s="831">
        <v>0</v>
      </c>
      <c r="AJ4032" s="835">
        <v>40025</v>
      </c>
      <c r="AK4032" s="831">
        <v>84985</v>
      </c>
      <c r="AP4032" s="831" t="str">
        <f t="shared" si="187"/>
        <v/>
      </c>
    </row>
    <row r="4033" spans="2:42">
      <c r="B4033" s="834" t="str">
        <f t="shared" si="186"/>
        <v>|||</v>
      </c>
      <c r="H4033" s="835">
        <f t="shared" si="188"/>
        <v>31</v>
      </c>
      <c r="AF4033" s="831" t="s">
        <v>4690</v>
      </c>
      <c r="AG4033" s="831" t="s">
        <v>2674</v>
      </c>
      <c r="AH4033" s="831" t="s">
        <v>29</v>
      </c>
      <c r="AI4033" s="831">
        <v>0</v>
      </c>
      <c r="AJ4033" s="835">
        <v>40025</v>
      </c>
      <c r="AK4033" s="831">
        <v>1576640</v>
      </c>
      <c r="AP4033" s="831" t="str">
        <f t="shared" si="187"/>
        <v/>
      </c>
    </row>
    <row r="4034" spans="2:42">
      <c r="B4034" s="834" t="str">
        <f t="shared" si="186"/>
        <v>|||</v>
      </c>
      <c r="H4034" s="835">
        <f t="shared" si="188"/>
        <v>31</v>
      </c>
      <c r="AF4034" s="831" t="s">
        <v>4691</v>
      </c>
      <c r="AG4034" s="831" t="s">
        <v>2674</v>
      </c>
      <c r="AH4034" s="831" t="s">
        <v>2688</v>
      </c>
      <c r="AI4034" s="831">
        <v>0</v>
      </c>
      <c r="AJ4034" s="835">
        <v>40025</v>
      </c>
      <c r="AK4034" s="831">
        <v>714466</v>
      </c>
      <c r="AP4034" s="831" t="str">
        <f t="shared" si="187"/>
        <v/>
      </c>
    </row>
    <row r="4035" spans="2:42">
      <c r="B4035" s="834" t="str">
        <f t="shared" ref="B4035:B4098" si="189">C4035&amp;"|"&amp;D4035&amp;"|"&amp;E4035&amp;"|"&amp;F4035</f>
        <v>|||</v>
      </c>
      <c r="H4035" s="835">
        <f t="shared" si="188"/>
        <v>31</v>
      </c>
      <c r="AF4035" s="831" t="s">
        <v>4692</v>
      </c>
      <c r="AG4035" s="831" t="s">
        <v>2674</v>
      </c>
      <c r="AH4035" s="831" t="s">
        <v>556</v>
      </c>
      <c r="AI4035" s="831">
        <v>0</v>
      </c>
      <c r="AJ4035" s="835">
        <v>40025</v>
      </c>
      <c r="AK4035" s="831">
        <v>179021</v>
      </c>
      <c r="AP4035" s="831" t="str">
        <f t="shared" ref="AP4035:AP4098" si="190">IF(AX4035&lt;&gt;"",IF(OR(AX4035=3,AX4035=4),"Equity","Debt"),"")</f>
        <v/>
      </c>
    </row>
    <row r="4036" spans="2:42">
      <c r="B4036" s="834" t="str">
        <f t="shared" si="189"/>
        <v>|||</v>
      </c>
      <c r="H4036" s="835">
        <f t="shared" ref="H4036:H4099" si="191">EOMONTH(L4036,0)</f>
        <v>31</v>
      </c>
      <c r="AF4036" s="831" t="s">
        <v>4693</v>
      </c>
      <c r="AG4036" s="831" t="s">
        <v>2674</v>
      </c>
      <c r="AH4036" s="831" t="s">
        <v>555</v>
      </c>
      <c r="AI4036" s="831">
        <v>0</v>
      </c>
      <c r="AJ4036" s="835">
        <v>40025</v>
      </c>
      <c r="AK4036" s="831">
        <v>174939646</v>
      </c>
      <c r="AP4036" s="831" t="str">
        <f t="shared" si="190"/>
        <v/>
      </c>
    </row>
    <row r="4037" spans="2:42">
      <c r="B4037" s="834" t="str">
        <f t="shared" si="189"/>
        <v>|||</v>
      </c>
      <c r="H4037" s="835">
        <f t="shared" si="191"/>
        <v>31</v>
      </c>
      <c r="AF4037" s="831" t="s">
        <v>4694</v>
      </c>
      <c r="AG4037" s="831" t="s">
        <v>2674</v>
      </c>
      <c r="AH4037" s="831" t="s">
        <v>554</v>
      </c>
      <c r="AI4037" s="831">
        <v>0</v>
      </c>
      <c r="AJ4037" s="835">
        <v>40025</v>
      </c>
      <c r="AK4037" s="831">
        <v>168905000</v>
      </c>
      <c r="AP4037" s="831" t="str">
        <f t="shared" si="190"/>
        <v/>
      </c>
    </row>
    <row r="4038" spans="2:42">
      <c r="B4038" s="834" t="str">
        <f t="shared" si="189"/>
        <v>|||</v>
      </c>
      <c r="H4038" s="835">
        <f t="shared" si="191"/>
        <v>31</v>
      </c>
      <c r="AF4038" s="831" t="s">
        <v>4695</v>
      </c>
      <c r="AG4038" s="831" t="s">
        <v>2674</v>
      </c>
      <c r="AH4038" s="831" t="s">
        <v>553</v>
      </c>
      <c r="AI4038" s="831">
        <v>0</v>
      </c>
      <c r="AJ4038" s="835">
        <v>40025</v>
      </c>
      <c r="AK4038" s="831">
        <v>0</v>
      </c>
      <c r="AP4038" s="831" t="str">
        <f t="shared" si="190"/>
        <v/>
      </c>
    </row>
    <row r="4039" spans="2:42">
      <c r="B4039" s="834" t="str">
        <f t="shared" si="189"/>
        <v>|||</v>
      </c>
      <c r="H4039" s="835">
        <f t="shared" si="191"/>
        <v>31</v>
      </c>
      <c r="AF4039" s="831" t="s">
        <v>4696</v>
      </c>
      <c r="AG4039" s="831" t="s">
        <v>2674</v>
      </c>
      <c r="AH4039" s="831" t="s">
        <v>552</v>
      </c>
      <c r="AI4039" s="831">
        <v>0</v>
      </c>
      <c r="AJ4039" s="835">
        <v>40025</v>
      </c>
      <c r="AK4039" s="831">
        <v>0</v>
      </c>
      <c r="AP4039" s="831" t="str">
        <f t="shared" si="190"/>
        <v/>
      </c>
    </row>
    <row r="4040" spans="2:42">
      <c r="B4040" s="834" t="str">
        <f t="shared" si="189"/>
        <v>|||</v>
      </c>
      <c r="H4040" s="835">
        <f t="shared" si="191"/>
        <v>31</v>
      </c>
      <c r="AF4040" s="831" t="s">
        <v>4697</v>
      </c>
      <c r="AG4040" s="831" t="s">
        <v>2674</v>
      </c>
      <c r="AH4040" s="831" t="s">
        <v>551</v>
      </c>
      <c r="AI4040" s="831">
        <v>0</v>
      </c>
      <c r="AJ4040" s="835">
        <v>40025</v>
      </c>
      <c r="AK4040" s="831">
        <v>1512240</v>
      </c>
      <c r="AP4040" s="831" t="str">
        <f t="shared" si="190"/>
        <v/>
      </c>
    </row>
    <row r="4041" spans="2:42">
      <c r="B4041" s="834" t="str">
        <f t="shared" si="189"/>
        <v>|||</v>
      </c>
      <c r="H4041" s="835">
        <f t="shared" si="191"/>
        <v>31</v>
      </c>
      <c r="AF4041" s="831" t="s">
        <v>4698</v>
      </c>
      <c r="AG4041" s="831" t="s">
        <v>2674</v>
      </c>
      <c r="AH4041" s="831" t="s">
        <v>550</v>
      </c>
      <c r="AI4041" s="831">
        <v>0</v>
      </c>
      <c r="AJ4041" s="835">
        <v>40025</v>
      </c>
      <c r="AK4041" s="831">
        <v>0</v>
      </c>
      <c r="AP4041" s="831" t="str">
        <f t="shared" si="190"/>
        <v/>
      </c>
    </row>
    <row r="4042" spans="2:42">
      <c r="B4042" s="834" t="str">
        <f t="shared" si="189"/>
        <v>|||</v>
      </c>
      <c r="H4042" s="835">
        <f t="shared" si="191"/>
        <v>31</v>
      </c>
      <c r="AF4042" s="831" t="s">
        <v>4699</v>
      </c>
      <c r="AG4042" s="831" t="s">
        <v>2674</v>
      </c>
      <c r="AH4042" s="831" t="s">
        <v>562</v>
      </c>
      <c r="AI4042" s="831">
        <v>0</v>
      </c>
      <c r="AJ4042" s="835">
        <v>40025</v>
      </c>
      <c r="AK4042" s="831">
        <v>0.8</v>
      </c>
      <c r="AP4042" s="831" t="str">
        <f t="shared" si="190"/>
        <v/>
      </c>
    </row>
    <row r="4043" spans="2:42">
      <c r="B4043" s="834" t="str">
        <f t="shared" si="189"/>
        <v>|||</v>
      </c>
      <c r="H4043" s="835">
        <f t="shared" si="191"/>
        <v>31</v>
      </c>
      <c r="AF4043" s="831" t="s">
        <v>4700</v>
      </c>
      <c r="AG4043" s="831" t="s">
        <v>2674</v>
      </c>
      <c r="AH4043" s="831" t="s">
        <v>2698</v>
      </c>
      <c r="AI4043" s="831">
        <v>0</v>
      </c>
      <c r="AJ4043" s="835">
        <v>40025</v>
      </c>
      <c r="AK4043" s="831">
        <v>0.8</v>
      </c>
      <c r="AP4043" s="831" t="str">
        <f t="shared" si="190"/>
        <v/>
      </c>
    </row>
    <row r="4044" spans="2:42">
      <c r="B4044" s="834" t="str">
        <f t="shared" si="189"/>
        <v>|||</v>
      </c>
      <c r="H4044" s="835">
        <f t="shared" si="191"/>
        <v>31</v>
      </c>
      <c r="AF4044" s="831" t="s">
        <v>4701</v>
      </c>
      <c r="AG4044" s="831" t="s">
        <v>2674</v>
      </c>
      <c r="AH4044" s="831" t="s">
        <v>560</v>
      </c>
      <c r="AI4044" s="831">
        <v>0</v>
      </c>
      <c r="AJ4044" s="835">
        <v>40025</v>
      </c>
      <c r="AK4044" s="831">
        <v>0.80428571428571405</v>
      </c>
      <c r="AP4044" s="831" t="str">
        <f t="shared" si="190"/>
        <v/>
      </c>
    </row>
    <row r="4045" spans="2:42">
      <c r="B4045" s="834" t="str">
        <f t="shared" si="189"/>
        <v>|||</v>
      </c>
      <c r="H4045" s="835">
        <f t="shared" si="191"/>
        <v>31</v>
      </c>
      <c r="AF4045" s="831" t="s">
        <v>4702</v>
      </c>
      <c r="AG4045" s="831" t="s">
        <v>2674</v>
      </c>
      <c r="AH4045" s="831" t="s">
        <v>559</v>
      </c>
      <c r="AI4045" s="831">
        <v>0</v>
      </c>
      <c r="AJ4045" s="835">
        <v>40025</v>
      </c>
      <c r="AK4045" s="831">
        <v>0.80583333333333396</v>
      </c>
      <c r="AP4045" s="831" t="str">
        <f t="shared" si="190"/>
        <v/>
      </c>
    </row>
    <row r="4046" spans="2:42">
      <c r="B4046" s="834" t="str">
        <f t="shared" si="189"/>
        <v>|||</v>
      </c>
      <c r="H4046" s="835">
        <f t="shared" si="191"/>
        <v>31</v>
      </c>
      <c r="AF4046" s="831" t="s">
        <v>4703</v>
      </c>
      <c r="AG4046" s="831" t="s">
        <v>2674</v>
      </c>
      <c r="AH4046" s="831" t="s">
        <v>568</v>
      </c>
      <c r="AI4046" s="831">
        <v>0</v>
      </c>
      <c r="AJ4046" s="835">
        <v>40025</v>
      </c>
      <c r="AK4046" s="831">
        <v>0</v>
      </c>
      <c r="AP4046" s="831" t="str">
        <f t="shared" si="190"/>
        <v/>
      </c>
    </row>
    <row r="4047" spans="2:42">
      <c r="B4047" s="834" t="str">
        <f t="shared" si="189"/>
        <v>|||</v>
      </c>
      <c r="H4047" s="835">
        <f t="shared" si="191"/>
        <v>31</v>
      </c>
      <c r="AF4047" s="831" t="s">
        <v>4704</v>
      </c>
      <c r="AG4047" s="831" t="s">
        <v>2674</v>
      </c>
      <c r="AH4047" s="831" t="s">
        <v>569</v>
      </c>
      <c r="AI4047" s="831">
        <v>0</v>
      </c>
      <c r="AJ4047" s="835">
        <v>40025</v>
      </c>
      <c r="AK4047" s="831">
        <v>0</v>
      </c>
      <c r="AP4047" s="831" t="str">
        <f t="shared" si="190"/>
        <v/>
      </c>
    </row>
    <row r="4048" spans="2:42">
      <c r="B4048" s="834" t="str">
        <f t="shared" si="189"/>
        <v>|||</v>
      </c>
      <c r="H4048" s="835">
        <f t="shared" si="191"/>
        <v>31</v>
      </c>
      <c r="AF4048" s="831" t="s">
        <v>4705</v>
      </c>
      <c r="AG4048" s="831" t="s">
        <v>2674</v>
      </c>
      <c r="AH4048" s="831" t="s">
        <v>570</v>
      </c>
      <c r="AI4048" s="831">
        <v>0</v>
      </c>
      <c r="AJ4048" s="835">
        <v>40025</v>
      </c>
      <c r="AK4048" s="831">
        <v>0</v>
      </c>
      <c r="AP4048" s="831" t="str">
        <f t="shared" si="190"/>
        <v/>
      </c>
    </row>
    <row r="4049" spans="2:42">
      <c r="B4049" s="834" t="str">
        <f t="shared" si="189"/>
        <v>|||</v>
      </c>
      <c r="H4049" s="835">
        <f t="shared" si="191"/>
        <v>31</v>
      </c>
      <c r="AF4049" s="831" t="s">
        <v>4706</v>
      </c>
      <c r="AG4049" s="831" t="s">
        <v>2674</v>
      </c>
      <c r="AH4049" s="831" t="s">
        <v>571</v>
      </c>
      <c r="AI4049" s="831">
        <v>0</v>
      </c>
      <c r="AJ4049" s="835">
        <v>40025</v>
      </c>
      <c r="AK4049" s="831">
        <v>0</v>
      </c>
      <c r="AP4049" s="831" t="str">
        <f t="shared" si="190"/>
        <v/>
      </c>
    </row>
    <row r="4050" spans="2:42">
      <c r="B4050" s="834" t="str">
        <f t="shared" si="189"/>
        <v>|||</v>
      </c>
      <c r="H4050" s="835">
        <f t="shared" si="191"/>
        <v>31</v>
      </c>
      <c r="AF4050" s="831" t="s">
        <v>4707</v>
      </c>
      <c r="AG4050" s="831" t="s">
        <v>2674</v>
      </c>
      <c r="AH4050" s="831" t="s">
        <v>573</v>
      </c>
      <c r="AI4050" s="831">
        <v>0</v>
      </c>
      <c r="AJ4050" s="835">
        <v>40025</v>
      </c>
      <c r="AK4050" s="831">
        <v>0</v>
      </c>
      <c r="AP4050" s="831" t="str">
        <f t="shared" si="190"/>
        <v/>
      </c>
    </row>
    <row r="4051" spans="2:42">
      <c r="B4051" s="834" t="str">
        <f t="shared" si="189"/>
        <v>|||</v>
      </c>
      <c r="H4051" s="835">
        <f t="shared" si="191"/>
        <v>31</v>
      </c>
      <c r="AF4051" s="831" t="s">
        <v>4708</v>
      </c>
      <c r="AG4051" s="831" t="s">
        <v>2674</v>
      </c>
      <c r="AH4051" s="831" t="s">
        <v>574</v>
      </c>
      <c r="AI4051" s="831">
        <v>0</v>
      </c>
      <c r="AJ4051" s="835">
        <v>40025</v>
      </c>
      <c r="AK4051" s="831">
        <v>0</v>
      </c>
      <c r="AP4051" s="831" t="str">
        <f t="shared" si="190"/>
        <v/>
      </c>
    </row>
    <row r="4052" spans="2:42">
      <c r="B4052" s="834" t="str">
        <f t="shared" si="189"/>
        <v>|||</v>
      </c>
      <c r="H4052" s="835">
        <f t="shared" si="191"/>
        <v>31</v>
      </c>
      <c r="AF4052" s="831" t="s">
        <v>4709</v>
      </c>
      <c r="AG4052" s="831" t="s">
        <v>2674</v>
      </c>
      <c r="AH4052" s="831" t="s">
        <v>575</v>
      </c>
      <c r="AI4052" s="831">
        <v>0</v>
      </c>
      <c r="AJ4052" s="835">
        <v>40025</v>
      </c>
      <c r="AK4052" s="831">
        <v>0</v>
      </c>
      <c r="AP4052" s="831" t="str">
        <f t="shared" si="190"/>
        <v/>
      </c>
    </row>
    <row r="4053" spans="2:42">
      <c r="B4053" s="834" t="str">
        <f t="shared" si="189"/>
        <v>|||</v>
      </c>
      <c r="H4053" s="835">
        <f t="shared" si="191"/>
        <v>31</v>
      </c>
      <c r="AF4053" s="831" t="s">
        <v>4710</v>
      </c>
      <c r="AG4053" s="831" t="s">
        <v>2674</v>
      </c>
      <c r="AH4053" s="831" t="s">
        <v>576</v>
      </c>
      <c r="AI4053" s="831">
        <v>0</v>
      </c>
      <c r="AJ4053" s="835">
        <v>40025</v>
      </c>
      <c r="AK4053" s="831">
        <v>0</v>
      </c>
      <c r="AP4053" s="831" t="str">
        <f t="shared" si="190"/>
        <v/>
      </c>
    </row>
    <row r="4054" spans="2:42">
      <c r="B4054" s="834" t="str">
        <f t="shared" si="189"/>
        <v>|||</v>
      </c>
      <c r="H4054" s="835">
        <f t="shared" si="191"/>
        <v>31</v>
      </c>
      <c r="AF4054" s="831" t="s">
        <v>4711</v>
      </c>
      <c r="AG4054" s="831" t="s">
        <v>2674</v>
      </c>
      <c r="AH4054" s="831" t="s">
        <v>572</v>
      </c>
      <c r="AI4054" s="831">
        <v>0</v>
      </c>
      <c r="AJ4054" s="835">
        <v>40025</v>
      </c>
      <c r="AK4054" s="831">
        <v>0</v>
      </c>
      <c r="AP4054" s="831" t="str">
        <f t="shared" si="190"/>
        <v/>
      </c>
    </row>
    <row r="4055" spans="2:42">
      <c r="B4055" s="834" t="str">
        <f t="shared" si="189"/>
        <v>|||</v>
      </c>
      <c r="H4055" s="835">
        <f t="shared" si="191"/>
        <v>31</v>
      </c>
      <c r="AF4055" s="831" t="s">
        <v>4712</v>
      </c>
      <c r="AG4055" s="831" t="s">
        <v>2674</v>
      </c>
      <c r="AH4055" s="831" t="s">
        <v>577</v>
      </c>
      <c r="AI4055" s="831">
        <v>0</v>
      </c>
      <c r="AJ4055" s="835">
        <v>40025</v>
      </c>
      <c r="AK4055" s="831">
        <v>0</v>
      </c>
      <c r="AP4055" s="831" t="str">
        <f t="shared" si="190"/>
        <v/>
      </c>
    </row>
    <row r="4056" spans="2:42">
      <c r="B4056" s="834" t="str">
        <f t="shared" si="189"/>
        <v>|||</v>
      </c>
      <c r="H4056" s="835">
        <f t="shared" si="191"/>
        <v>31</v>
      </c>
      <c r="AF4056" s="831" t="s">
        <v>4713</v>
      </c>
      <c r="AG4056" s="831" t="s">
        <v>2674</v>
      </c>
      <c r="AH4056" s="831" t="s">
        <v>3042</v>
      </c>
      <c r="AI4056" s="831">
        <v>0</v>
      </c>
      <c r="AJ4056" s="835">
        <v>40025</v>
      </c>
      <c r="AK4056" s="831">
        <v>0</v>
      </c>
      <c r="AP4056" s="831" t="str">
        <f t="shared" si="190"/>
        <v/>
      </c>
    </row>
    <row r="4057" spans="2:42">
      <c r="B4057" s="834" t="str">
        <f t="shared" si="189"/>
        <v>|||</v>
      </c>
      <c r="H4057" s="835">
        <f t="shared" si="191"/>
        <v>31</v>
      </c>
      <c r="AF4057" s="831" t="s">
        <v>4714</v>
      </c>
      <c r="AG4057" s="831" t="s">
        <v>2674</v>
      </c>
      <c r="AH4057" s="831" t="s">
        <v>3044</v>
      </c>
      <c r="AI4057" s="831">
        <v>0</v>
      </c>
      <c r="AJ4057" s="835">
        <v>40025</v>
      </c>
      <c r="AK4057" s="831">
        <v>0</v>
      </c>
      <c r="AP4057" s="831" t="str">
        <f t="shared" si="190"/>
        <v/>
      </c>
    </row>
    <row r="4058" spans="2:42">
      <c r="B4058" s="834" t="str">
        <f t="shared" si="189"/>
        <v>|||</v>
      </c>
      <c r="H4058" s="835">
        <f t="shared" si="191"/>
        <v>31</v>
      </c>
      <c r="AF4058" s="831" t="s">
        <v>4715</v>
      </c>
      <c r="AG4058" s="831" t="s">
        <v>2674</v>
      </c>
      <c r="AH4058" s="831" t="s">
        <v>580</v>
      </c>
      <c r="AI4058" s="831">
        <v>0</v>
      </c>
      <c r="AJ4058" s="835">
        <v>40025</v>
      </c>
      <c r="AK4058" s="831">
        <v>0</v>
      </c>
      <c r="AP4058" s="831" t="str">
        <f t="shared" si="190"/>
        <v/>
      </c>
    </row>
    <row r="4059" spans="2:42">
      <c r="B4059" s="834" t="str">
        <f t="shared" si="189"/>
        <v>|||</v>
      </c>
      <c r="H4059" s="835">
        <f t="shared" si="191"/>
        <v>31</v>
      </c>
      <c r="AF4059" s="831" t="s">
        <v>4716</v>
      </c>
      <c r="AG4059" s="831" t="s">
        <v>2674</v>
      </c>
      <c r="AH4059" s="831" t="s">
        <v>581</v>
      </c>
      <c r="AI4059" s="831">
        <v>0</v>
      </c>
      <c r="AJ4059" s="835">
        <v>40025</v>
      </c>
      <c r="AK4059" s="831">
        <v>0</v>
      </c>
      <c r="AP4059" s="831" t="str">
        <f t="shared" si="190"/>
        <v/>
      </c>
    </row>
    <row r="4060" spans="2:42">
      <c r="B4060" s="834" t="str">
        <f t="shared" si="189"/>
        <v>|||</v>
      </c>
      <c r="H4060" s="835">
        <f t="shared" si="191"/>
        <v>31</v>
      </c>
      <c r="AF4060" s="831" t="s">
        <v>4717</v>
      </c>
      <c r="AG4060" s="831" t="s">
        <v>2674</v>
      </c>
      <c r="AH4060" s="831" t="s">
        <v>105</v>
      </c>
      <c r="AI4060" s="831">
        <v>0</v>
      </c>
      <c r="AJ4060" s="835">
        <v>40025</v>
      </c>
      <c r="AK4060" s="831">
        <v>150185521</v>
      </c>
      <c r="AP4060" s="831" t="str">
        <f t="shared" si="190"/>
        <v/>
      </c>
    </row>
    <row r="4061" spans="2:42">
      <c r="B4061" s="834" t="str">
        <f t="shared" si="189"/>
        <v>|||</v>
      </c>
      <c r="H4061" s="835">
        <f t="shared" si="191"/>
        <v>31</v>
      </c>
      <c r="AF4061" s="831" t="s">
        <v>4718</v>
      </c>
      <c r="AG4061" s="831" t="s">
        <v>2674</v>
      </c>
      <c r="AH4061" s="831" t="s">
        <v>3049</v>
      </c>
      <c r="AI4061" s="831">
        <v>0</v>
      </c>
      <c r="AJ4061" s="835">
        <v>40025</v>
      </c>
      <c r="AK4061" s="831">
        <v>193149083</v>
      </c>
      <c r="AP4061" s="831" t="str">
        <f t="shared" si="190"/>
        <v/>
      </c>
    </row>
    <row r="4062" spans="2:42">
      <c r="B4062" s="834" t="str">
        <f t="shared" si="189"/>
        <v>|||</v>
      </c>
      <c r="H4062" s="835">
        <f t="shared" si="191"/>
        <v>31</v>
      </c>
      <c r="AF4062" s="831" t="s">
        <v>4719</v>
      </c>
      <c r="AG4062" s="831" t="s">
        <v>2674</v>
      </c>
      <c r="AH4062" s="831" t="s">
        <v>103</v>
      </c>
      <c r="AI4062" s="831">
        <v>0</v>
      </c>
      <c r="AJ4062" s="835">
        <v>40025</v>
      </c>
      <c r="AK4062" s="831">
        <v>42963562</v>
      </c>
      <c r="AP4062" s="831" t="str">
        <f t="shared" si="190"/>
        <v/>
      </c>
    </row>
    <row r="4063" spans="2:42">
      <c r="B4063" s="834" t="str">
        <f t="shared" si="189"/>
        <v>|||</v>
      </c>
      <c r="H4063" s="835">
        <f t="shared" si="191"/>
        <v>31</v>
      </c>
      <c r="AF4063" s="831" t="s">
        <v>4720</v>
      </c>
      <c r="AG4063" s="831" t="s">
        <v>2674</v>
      </c>
      <c r="AH4063" s="831" t="s">
        <v>182</v>
      </c>
      <c r="AI4063" s="831">
        <v>0</v>
      </c>
      <c r="AJ4063" s="835">
        <v>40025</v>
      </c>
      <c r="AK4063" s="831">
        <v>25189594.285714298</v>
      </c>
      <c r="AP4063" s="831" t="str">
        <f t="shared" si="190"/>
        <v/>
      </c>
    </row>
    <row r="4064" spans="2:42">
      <c r="B4064" s="834" t="str">
        <f t="shared" si="189"/>
        <v>|||</v>
      </c>
      <c r="H4064" s="835">
        <f t="shared" si="191"/>
        <v>31</v>
      </c>
      <c r="AF4064" s="831" t="s">
        <v>4721</v>
      </c>
      <c r="AG4064" s="831" t="s">
        <v>2674</v>
      </c>
      <c r="AH4064" s="831" t="s">
        <v>546</v>
      </c>
      <c r="AI4064" s="831">
        <v>0</v>
      </c>
      <c r="AJ4064" s="835">
        <v>40056</v>
      </c>
      <c r="AK4064" s="831">
        <v>209615808</v>
      </c>
      <c r="AP4064" s="831" t="str">
        <f t="shared" si="190"/>
        <v/>
      </c>
    </row>
    <row r="4065" spans="2:42">
      <c r="B4065" s="834" t="str">
        <f t="shared" si="189"/>
        <v>|||</v>
      </c>
      <c r="H4065" s="835">
        <f t="shared" si="191"/>
        <v>31</v>
      </c>
      <c r="AF4065" s="831" t="s">
        <v>4722</v>
      </c>
      <c r="AG4065" s="831" t="s">
        <v>2674</v>
      </c>
      <c r="AH4065" s="831" t="s">
        <v>370</v>
      </c>
      <c r="AI4065" s="831">
        <v>0</v>
      </c>
      <c r="AJ4065" s="835">
        <v>40056</v>
      </c>
      <c r="AK4065" s="831">
        <v>248578013</v>
      </c>
      <c r="AP4065" s="831" t="str">
        <f t="shared" si="190"/>
        <v/>
      </c>
    </row>
    <row r="4066" spans="2:42">
      <c r="B4066" s="834" t="str">
        <f t="shared" si="189"/>
        <v>|||</v>
      </c>
      <c r="H4066" s="835">
        <f t="shared" si="191"/>
        <v>31</v>
      </c>
      <c r="AF4066" s="831" t="s">
        <v>4723</v>
      </c>
      <c r="AG4066" s="831" t="s">
        <v>2674</v>
      </c>
      <c r="AH4066" s="831" t="s">
        <v>126</v>
      </c>
      <c r="AI4066" s="831">
        <v>0</v>
      </c>
      <c r="AJ4066" s="835">
        <v>40056</v>
      </c>
      <c r="AK4066" s="831">
        <v>45897324</v>
      </c>
      <c r="AP4066" s="831" t="str">
        <f t="shared" si="190"/>
        <v/>
      </c>
    </row>
    <row r="4067" spans="2:42">
      <c r="B4067" s="834" t="str">
        <f t="shared" si="189"/>
        <v>|||</v>
      </c>
      <c r="H4067" s="835">
        <f t="shared" si="191"/>
        <v>31</v>
      </c>
      <c r="AF4067" s="831" t="s">
        <v>4724</v>
      </c>
      <c r="AG4067" s="831" t="s">
        <v>2674</v>
      </c>
      <c r="AH4067" s="831" t="s">
        <v>268</v>
      </c>
      <c r="AI4067" s="831">
        <v>0</v>
      </c>
      <c r="AJ4067" s="835">
        <v>40056</v>
      </c>
      <c r="AK4067" s="831">
        <v>12598400</v>
      </c>
      <c r="AP4067" s="831" t="str">
        <f t="shared" si="190"/>
        <v/>
      </c>
    </row>
    <row r="4068" spans="2:42">
      <c r="B4068" s="834" t="str">
        <f t="shared" si="189"/>
        <v>|||</v>
      </c>
      <c r="H4068" s="835">
        <f t="shared" si="191"/>
        <v>31</v>
      </c>
      <c r="AF4068" s="831" t="s">
        <v>4725</v>
      </c>
      <c r="AG4068" s="831" t="s">
        <v>2674</v>
      </c>
      <c r="AH4068" s="831" t="s">
        <v>547</v>
      </c>
      <c r="AI4068" s="831">
        <v>0</v>
      </c>
      <c r="AJ4068" s="835">
        <v>40056</v>
      </c>
      <c r="AK4068" s="831">
        <v>0</v>
      </c>
      <c r="AP4068" s="831" t="str">
        <f t="shared" si="190"/>
        <v/>
      </c>
    </row>
    <row r="4069" spans="2:42">
      <c r="B4069" s="834" t="str">
        <f t="shared" si="189"/>
        <v>|||</v>
      </c>
      <c r="H4069" s="835">
        <f t="shared" si="191"/>
        <v>31</v>
      </c>
      <c r="AF4069" s="831" t="s">
        <v>4726</v>
      </c>
      <c r="AG4069" s="831" t="s">
        <v>2674</v>
      </c>
      <c r="AH4069" s="831" t="s">
        <v>548</v>
      </c>
      <c r="AI4069" s="831">
        <v>0</v>
      </c>
      <c r="AJ4069" s="835">
        <v>40056</v>
      </c>
      <c r="AK4069" s="831">
        <v>0</v>
      </c>
      <c r="AP4069" s="831" t="str">
        <f t="shared" si="190"/>
        <v/>
      </c>
    </row>
    <row r="4070" spans="2:42">
      <c r="B4070" s="834" t="str">
        <f t="shared" si="189"/>
        <v>|||</v>
      </c>
      <c r="H4070" s="835">
        <f t="shared" si="191"/>
        <v>31</v>
      </c>
      <c r="AF4070" s="831" t="s">
        <v>4727</v>
      </c>
      <c r="AG4070" s="831" t="s">
        <v>2674</v>
      </c>
      <c r="AH4070" s="831" t="s">
        <v>549</v>
      </c>
      <c r="AI4070" s="831">
        <v>0</v>
      </c>
      <c r="AJ4070" s="835">
        <v>40056</v>
      </c>
      <c r="AK4070" s="831">
        <v>0</v>
      </c>
      <c r="AP4070" s="831" t="str">
        <f t="shared" si="190"/>
        <v/>
      </c>
    </row>
    <row r="4071" spans="2:42">
      <c r="B4071" s="834" t="str">
        <f t="shared" si="189"/>
        <v>|||</v>
      </c>
      <c r="H4071" s="835">
        <f t="shared" si="191"/>
        <v>31</v>
      </c>
      <c r="AF4071" s="831" t="s">
        <v>4728</v>
      </c>
      <c r="AG4071" s="831" t="s">
        <v>2674</v>
      </c>
      <c r="AH4071" s="831" t="s">
        <v>192</v>
      </c>
      <c r="AI4071" s="831">
        <v>0</v>
      </c>
      <c r="AJ4071" s="835">
        <v>40056</v>
      </c>
      <c r="AK4071" s="831">
        <v>-6055965</v>
      </c>
      <c r="AP4071" s="831" t="str">
        <f t="shared" si="190"/>
        <v/>
      </c>
    </row>
    <row r="4072" spans="2:42">
      <c r="B4072" s="834" t="str">
        <f t="shared" si="189"/>
        <v>|||</v>
      </c>
      <c r="H4072" s="835">
        <f t="shared" si="191"/>
        <v>31</v>
      </c>
      <c r="AF4072" s="831" t="s">
        <v>4729</v>
      </c>
      <c r="AG4072" s="831" t="s">
        <v>2674</v>
      </c>
      <c r="AH4072" s="831" t="s">
        <v>558</v>
      </c>
      <c r="AI4072" s="831">
        <v>0</v>
      </c>
      <c r="AJ4072" s="835">
        <v>40056</v>
      </c>
      <c r="AK4072" s="831">
        <v>202680688</v>
      </c>
      <c r="AP4072" s="831" t="str">
        <f t="shared" si="190"/>
        <v/>
      </c>
    </row>
    <row r="4073" spans="2:42">
      <c r="B4073" s="834" t="str">
        <f t="shared" si="189"/>
        <v>|||</v>
      </c>
      <c r="H4073" s="835">
        <f t="shared" si="191"/>
        <v>31</v>
      </c>
      <c r="AF4073" s="831" t="s">
        <v>4730</v>
      </c>
      <c r="AG4073" s="831" t="s">
        <v>2674</v>
      </c>
      <c r="AH4073" s="831" t="s">
        <v>65</v>
      </c>
      <c r="AI4073" s="831">
        <v>0</v>
      </c>
      <c r="AJ4073" s="835">
        <v>40056</v>
      </c>
      <c r="AK4073" s="831">
        <v>43338897</v>
      </c>
      <c r="AP4073" s="831" t="str">
        <f t="shared" si="190"/>
        <v/>
      </c>
    </row>
    <row r="4074" spans="2:42">
      <c r="B4074" s="834" t="str">
        <f t="shared" si="189"/>
        <v>|||</v>
      </c>
      <c r="H4074" s="835">
        <f t="shared" si="191"/>
        <v>31</v>
      </c>
      <c r="AF4074" s="831" t="s">
        <v>4731</v>
      </c>
      <c r="AG4074" s="831" t="s">
        <v>2674</v>
      </c>
      <c r="AH4074" s="831" t="s">
        <v>89</v>
      </c>
      <c r="AI4074" s="831">
        <v>0</v>
      </c>
      <c r="AJ4074" s="835">
        <v>40056</v>
      </c>
      <c r="AK4074" s="831">
        <v>85127</v>
      </c>
      <c r="AP4074" s="831" t="str">
        <f t="shared" si="190"/>
        <v/>
      </c>
    </row>
    <row r="4075" spans="2:42">
      <c r="B4075" s="834" t="str">
        <f t="shared" si="189"/>
        <v>|||</v>
      </c>
      <c r="H4075" s="835">
        <f t="shared" si="191"/>
        <v>31</v>
      </c>
      <c r="AF4075" s="831" t="s">
        <v>4732</v>
      </c>
      <c r="AG4075" s="831" t="s">
        <v>2674</v>
      </c>
      <c r="AH4075" s="831" t="s">
        <v>557</v>
      </c>
      <c r="AI4075" s="831">
        <v>0</v>
      </c>
      <c r="AJ4075" s="835">
        <v>40056</v>
      </c>
      <c r="AK4075" s="831">
        <v>87528</v>
      </c>
      <c r="AP4075" s="831" t="str">
        <f t="shared" si="190"/>
        <v/>
      </c>
    </row>
    <row r="4076" spans="2:42">
      <c r="B4076" s="834" t="str">
        <f t="shared" si="189"/>
        <v>|||</v>
      </c>
      <c r="H4076" s="835">
        <f t="shared" si="191"/>
        <v>31</v>
      </c>
      <c r="AF4076" s="831" t="s">
        <v>4733</v>
      </c>
      <c r="AG4076" s="831" t="s">
        <v>2674</v>
      </c>
      <c r="AH4076" s="831" t="s">
        <v>29</v>
      </c>
      <c r="AI4076" s="831">
        <v>0</v>
      </c>
      <c r="AJ4076" s="835">
        <v>40056</v>
      </c>
      <c r="AK4076" s="831">
        <v>1818450</v>
      </c>
      <c r="AP4076" s="831" t="str">
        <f t="shared" si="190"/>
        <v/>
      </c>
    </row>
    <row r="4077" spans="2:42">
      <c r="B4077" s="834" t="str">
        <f t="shared" si="189"/>
        <v>|||</v>
      </c>
      <c r="H4077" s="835">
        <f t="shared" si="191"/>
        <v>31</v>
      </c>
      <c r="AF4077" s="831" t="s">
        <v>4734</v>
      </c>
      <c r="AG4077" s="831" t="s">
        <v>2674</v>
      </c>
      <c r="AH4077" s="831" t="s">
        <v>2688</v>
      </c>
      <c r="AI4077" s="831">
        <v>0</v>
      </c>
      <c r="AJ4077" s="835">
        <v>40056</v>
      </c>
      <c r="AK4077" s="831">
        <v>727454</v>
      </c>
      <c r="AP4077" s="831" t="str">
        <f t="shared" si="190"/>
        <v/>
      </c>
    </row>
    <row r="4078" spans="2:42">
      <c r="B4078" s="834" t="str">
        <f t="shared" si="189"/>
        <v>|||</v>
      </c>
      <c r="H4078" s="835">
        <f t="shared" si="191"/>
        <v>31</v>
      </c>
      <c r="AF4078" s="831" t="s">
        <v>4735</v>
      </c>
      <c r="AG4078" s="831" t="s">
        <v>2674</v>
      </c>
      <c r="AH4078" s="831" t="s">
        <v>556</v>
      </c>
      <c r="AI4078" s="831">
        <v>0</v>
      </c>
      <c r="AJ4078" s="835">
        <v>40056</v>
      </c>
      <c r="AK4078" s="831">
        <v>358263</v>
      </c>
      <c r="AP4078" s="831" t="str">
        <f t="shared" si="190"/>
        <v/>
      </c>
    </row>
    <row r="4079" spans="2:42">
      <c r="B4079" s="834" t="str">
        <f t="shared" si="189"/>
        <v>|||</v>
      </c>
      <c r="H4079" s="835">
        <f t="shared" si="191"/>
        <v>31</v>
      </c>
      <c r="AF4079" s="831" t="s">
        <v>4736</v>
      </c>
      <c r="AG4079" s="831" t="s">
        <v>2674</v>
      </c>
      <c r="AH4079" s="831" t="s">
        <v>555</v>
      </c>
      <c r="AI4079" s="831">
        <v>0</v>
      </c>
      <c r="AJ4079" s="835">
        <v>40056</v>
      </c>
      <c r="AK4079" s="831">
        <v>174050365</v>
      </c>
      <c r="AP4079" s="831" t="str">
        <f t="shared" si="190"/>
        <v/>
      </c>
    </row>
    <row r="4080" spans="2:42">
      <c r="B4080" s="834" t="str">
        <f t="shared" si="189"/>
        <v>|||</v>
      </c>
      <c r="H4080" s="835">
        <f t="shared" si="191"/>
        <v>31</v>
      </c>
      <c r="AF4080" s="831" t="s">
        <v>4737</v>
      </c>
      <c r="AG4080" s="831" t="s">
        <v>2674</v>
      </c>
      <c r="AH4080" s="831" t="s">
        <v>554</v>
      </c>
      <c r="AI4080" s="831">
        <v>0</v>
      </c>
      <c r="AJ4080" s="835">
        <v>40056</v>
      </c>
      <c r="AK4080" s="831">
        <v>168792390</v>
      </c>
      <c r="AP4080" s="831" t="str">
        <f t="shared" si="190"/>
        <v/>
      </c>
    </row>
    <row r="4081" spans="2:42">
      <c r="B4081" s="834" t="str">
        <f t="shared" si="189"/>
        <v>|||</v>
      </c>
      <c r="H4081" s="835">
        <f t="shared" si="191"/>
        <v>31</v>
      </c>
      <c r="AF4081" s="831" t="s">
        <v>4738</v>
      </c>
      <c r="AG4081" s="831" t="s">
        <v>2674</v>
      </c>
      <c r="AH4081" s="831" t="s">
        <v>553</v>
      </c>
      <c r="AI4081" s="831">
        <v>0</v>
      </c>
      <c r="AJ4081" s="835">
        <v>40056</v>
      </c>
      <c r="AK4081" s="831">
        <v>0</v>
      </c>
      <c r="AP4081" s="831" t="str">
        <f t="shared" si="190"/>
        <v/>
      </c>
    </row>
    <row r="4082" spans="2:42">
      <c r="B4082" s="834" t="str">
        <f t="shared" si="189"/>
        <v>|||</v>
      </c>
      <c r="H4082" s="835">
        <f t="shared" si="191"/>
        <v>31</v>
      </c>
      <c r="AF4082" s="831" t="s">
        <v>4739</v>
      </c>
      <c r="AG4082" s="831" t="s">
        <v>2674</v>
      </c>
      <c r="AH4082" s="831" t="s">
        <v>552</v>
      </c>
      <c r="AI4082" s="831">
        <v>0</v>
      </c>
      <c r="AJ4082" s="835">
        <v>40056</v>
      </c>
      <c r="AK4082" s="831">
        <v>0</v>
      </c>
      <c r="AP4082" s="831" t="str">
        <f t="shared" si="190"/>
        <v/>
      </c>
    </row>
    <row r="4083" spans="2:42">
      <c r="B4083" s="834" t="str">
        <f t="shared" si="189"/>
        <v>|||</v>
      </c>
      <c r="H4083" s="835">
        <f t="shared" si="191"/>
        <v>31</v>
      </c>
      <c r="AF4083" s="831" t="s">
        <v>4740</v>
      </c>
      <c r="AG4083" s="831" t="s">
        <v>2674</v>
      </c>
      <c r="AH4083" s="831" t="s">
        <v>551</v>
      </c>
      <c r="AI4083" s="831">
        <v>0</v>
      </c>
      <c r="AJ4083" s="835">
        <v>40056</v>
      </c>
      <c r="AK4083" s="831">
        <v>1642862</v>
      </c>
      <c r="AP4083" s="831" t="str">
        <f t="shared" si="190"/>
        <v/>
      </c>
    </row>
    <row r="4084" spans="2:42">
      <c r="B4084" s="834" t="str">
        <f t="shared" si="189"/>
        <v>|||</v>
      </c>
      <c r="H4084" s="835">
        <f t="shared" si="191"/>
        <v>31</v>
      </c>
      <c r="AF4084" s="831" t="s">
        <v>4741</v>
      </c>
      <c r="AG4084" s="831" t="s">
        <v>2674</v>
      </c>
      <c r="AH4084" s="831" t="s">
        <v>550</v>
      </c>
      <c r="AI4084" s="831">
        <v>0</v>
      </c>
      <c r="AJ4084" s="835">
        <v>40056</v>
      </c>
      <c r="AK4084" s="831">
        <v>43712535</v>
      </c>
      <c r="AP4084" s="831" t="str">
        <f t="shared" si="190"/>
        <v/>
      </c>
    </row>
    <row r="4085" spans="2:42">
      <c r="B4085" s="834" t="str">
        <f t="shared" si="189"/>
        <v>|||</v>
      </c>
      <c r="H4085" s="835">
        <f t="shared" si="191"/>
        <v>31</v>
      </c>
      <c r="AF4085" s="831" t="s">
        <v>4742</v>
      </c>
      <c r="AG4085" s="831" t="s">
        <v>2674</v>
      </c>
      <c r="AH4085" s="831" t="s">
        <v>562</v>
      </c>
      <c r="AI4085" s="831">
        <v>0</v>
      </c>
      <c r="AJ4085" s="835">
        <v>40056</v>
      </c>
      <c r="AK4085" s="831">
        <v>0.8</v>
      </c>
      <c r="AP4085" s="831" t="str">
        <f t="shared" si="190"/>
        <v/>
      </c>
    </row>
    <row r="4086" spans="2:42">
      <c r="B4086" s="834" t="str">
        <f t="shared" si="189"/>
        <v>|||</v>
      </c>
      <c r="H4086" s="835">
        <f t="shared" si="191"/>
        <v>31</v>
      </c>
      <c r="AF4086" s="831" t="s">
        <v>4743</v>
      </c>
      <c r="AG4086" s="831" t="s">
        <v>2674</v>
      </c>
      <c r="AH4086" s="831" t="s">
        <v>2698</v>
      </c>
      <c r="AI4086" s="831">
        <v>0</v>
      </c>
      <c r="AJ4086" s="835">
        <v>40056</v>
      </c>
      <c r="AK4086" s="831">
        <v>0.8</v>
      </c>
      <c r="AP4086" s="831" t="str">
        <f t="shared" si="190"/>
        <v/>
      </c>
    </row>
    <row r="4087" spans="2:42">
      <c r="B4087" s="834" t="str">
        <f t="shared" si="189"/>
        <v>|||</v>
      </c>
      <c r="H4087" s="835">
        <f t="shared" si="191"/>
        <v>31</v>
      </c>
      <c r="AF4087" s="831" t="s">
        <v>4744</v>
      </c>
      <c r="AG4087" s="831" t="s">
        <v>2674</v>
      </c>
      <c r="AH4087" s="831" t="s">
        <v>560</v>
      </c>
      <c r="AI4087" s="831">
        <v>0</v>
      </c>
      <c r="AJ4087" s="835">
        <v>40056</v>
      </c>
      <c r="AK4087" s="831">
        <v>0.80374999999999996</v>
      </c>
      <c r="AP4087" s="831" t="str">
        <f t="shared" si="190"/>
        <v/>
      </c>
    </row>
    <row r="4088" spans="2:42">
      <c r="B4088" s="834" t="str">
        <f t="shared" si="189"/>
        <v>|||</v>
      </c>
      <c r="H4088" s="835">
        <f t="shared" si="191"/>
        <v>31</v>
      </c>
      <c r="AF4088" s="831" t="s">
        <v>4745</v>
      </c>
      <c r="AG4088" s="831" t="s">
        <v>2674</v>
      </c>
      <c r="AH4088" s="831" t="s">
        <v>559</v>
      </c>
      <c r="AI4088" s="831">
        <v>0</v>
      </c>
      <c r="AJ4088" s="835">
        <v>40056</v>
      </c>
      <c r="AK4088" s="831">
        <v>0.80500000000000005</v>
      </c>
      <c r="AP4088" s="831" t="str">
        <f t="shared" si="190"/>
        <v/>
      </c>
    </row>
    <row r="4089" spans="2:42">
      <c r="B4089" s="834" t="str">
        <f t="shared" si="189"/>
        <v>|||</v>
      </c>
      <c r="H4089" s="835">
        <f t="shared" si="191"/>
        <v>31</v>
      </c>
      <c r="AF4089" s="831" t="s">
        <v>4746</v>
      </c>
      <c r="AG4089" s="831" t="s">
        <v>2674</v>
      </c>
      <c r="AH4089" s="831" t="s">
        <v>568</v>
      </c>
      <c r="AI4089" s="831">
        <v>0</v>
      </c>
      <c r="AJ4089" s="835">
        <v>40056</v>
      </c>
      <c r="AK4089" s="831">
        <v>0</v>
      </c>
      <c r="AP4089" s="831" t="str">
        <f t="shared" si="190"/>
        <v/>
      </c>
    </row>
    <row r="4090" spans="2:42">
      <c r="B4090" s="834" t="str">
        <f t="shared" si="189"/>
        <v>|||</v>
      </c>
      <c r="H4090" s="835">
        <f t="shared" si="191"/>
        <v>31</v>
      </c>
      <c r="AF4090" s="831" t="s">
        <v>4747</v>
      </c>
      <c r="AG4090" s="831" t="s">
        <v>2674</v>
      </c>
      <c r="AH4090" s="831" t="s">
        <v>569</v>
      </c>
      <c r="AI4090" s="831">
        <v>0</v>
      </c>
      <c r="AJ4090" s="835">
        <v>40056</v>
      </c>
      <c r="AK4090" s="831">
        <v>0</v>
      </c>
      <c r="AP4090" s="831" t="str">
        <f t="shared" si="190"/>
        <v/>
      </c>
    </row>
    <row r="4091" spans="2:42">
      <c r="B4091" s="834" t="str">
        <f t="shared" si="189"/>
        <v>|||</v>
      </c>
      <c r="H4091" s="835">
        <f t="shared" si="191"/>
        <v>31</v>
      </c>
      <c r="AF4091" s="831" t="s">
        <v>4748</v>
      </c>
      <c r="AG4091" s="831" t="s">
        <v>2674</v>
      </c>
      <c r="AH4091" s="831" t="s">
        <v>570</v>
      </c>
      <c r="AI4091" s="831">
        <v>0</v>
      </c>
      <c r="AJ4091" s="835">
        <v>40056</v>
      </c>
      <c r="AK4091" s="831">
        <v>0</v>
      </c>
      <c r="AP4091" s="831" t="str">
        <f t="shared" si="190"/>
        <v/>
      </c>
    </row>
    <row r="4092" spans="2:42">
      <c r="B4092" s="834" t="str">
        <f t="shared" si="189"/>
        <v>|||</v>
      </c>
      <c r="H4092" s="835">
        <f t="shared" si="191"/>
        <v>31</v>
      </c>
      <c r="AF4092" s="831" t="s">
        <v>4749</v>
      </c>
      <c r="AG4092" s="831" t="s">
        <v>2674</v>
      </c>
      <c r="AH4092" s="831" t="s">
        <v>571</v>
      </c>
      <c r="AI4092" s="831">
        <v>0</v>
      </c>
      <c r="AJ4092" s="835">
        <v>40056</v>
      </c>
      <c r="AK4092" s="831">
        <v>0</v>
      </c>
      <c r="AP4092" s="831" t="str">
        <f t="shared" si="190"/>
        <v/>
      </c>
    </row>
    <row r="4093" spans="2:42">
      <c r="B4093" s="834" t="str">
        <f t="shared" si="189"/>
        <v>|||</v>
      </c>
      <c r="H4093" s="835">
        <f t="shared" si="191"/>
        <v>31</v>
      </c>
      <c r="AF4093" s="831" t="s">
        <v>4750</v>
      </c>
      <c r="AG4093" s="831" t="s">
        <v>2674</v>
      </c>
      <c r="AH4093" s="831" t="s">
        <v>573</v>
      </c>
      <c r="AI4093" s="831">
        <v>0</v>
      </c>
      <c r="AJ4093" s="835">
        <v>40056</v>
      </c>
      <c r="AK4093" s="831">
        <v>0</v>
      </c>
      <c r="AP4093" s="831" t="str">
        <f t="shared" si="190"/>
        <v/>
      </c>
    </row>
    <row r="4094" spans="2:42">
      <c r="B4094" s="834" t="str">
        <f t="shared" si="189"/>
        <v>|||</v>
      </c>
      <c r="H4094" s="835">
        <f t="shared" si="191"/>
        <v>31</v>
      </c>
      <c r="AF4094" s="831" t="s">
        <v>4751</v>
      </c>
      <c r="AG4094" s="831" t="s">
        <v>2674</v>
      </c>
      <c r="AH4094" s="831" t="s">
        <v>574</v>
      </c>
      <c r="AI4094" s="831">
        <v>0</v>
      </c>
      <c r="AJ4094" s="835">
        <v>40056</v>
      </c>
      <c r="AK4094" s="831">
        <v>0</v>
      </c>
      <c r="AP4094" s="831" t="str">
        <f t="shared" si="190"/>
        <v/>
      </c>
    </row>
    <row r="4095" spans="2:42">
      <c r="B4095" s="834" t="str">
        <f t="shared" si="189"/>
        <v>|||</v>
      </c>
      <c r="H4095" s="835">
        <f t="shared" si="191"/>
        <v>31</v>
      </c>
      <c r="AF4095" s="831" t="s">
        <v>4752</v>
      </c>
      <c r="AG4095" s="831" t="s">
        <v>2674</v>
      </c>
      <c r="AH4095" s="831" t="s">
        <v>575</v>
      </c>
      <c r="AI4095" s="831">
        <v>0</v>
      </c>
      <c r="AJ4095" s="835">
        <v>40056</v>
      </c>
      <c r="AK4095" s="831">
        <v>0</v>
      </c>
      <c r="AP4095" s="831" t="str">
        <f t="shared" si="190"/>
        <v/>
      </c>
    </row>
    <row r="4096" spans="2:42">
      <c r="B4096" s="834" t="str">
        <f t="shared" si="189"/>
        <v>|||</v>
      </c>
      <c r="H4096" s="835">
        <f t="shared" si="191"/>
        <v>31</v>
      </c>
      <c r="AF4096" s="831" t="s">
        <v>4753</v>
      </c>
      <c r="AG4096" s="831" t="s">
        <v>2674</v>
      </c>
      <c r="AH4096" s="831" t="s">
        <v>576</v>
      </c>
      <c r="AI4096" s="831">
        <v>0</v>
      </c>
      <c r="AJ4096" s="835">
        <v>40056</v>
      </c>
      <c r="AK4096" s="831">
        <v>0</v>
      </c>
      <c r="AP4096" s="831" t="str">
        <f t="shared" si="190"/>
        <v/>
      </c>
    </row>
    <row r="4097" spans="2:42">
      <c r="B4097" s="834" t="str">
        <f t="shared" si="189"/>
        <v>|||</v>
      </c>
      <c r="H4097" s="835">
        <f t="shared" si="191"/>
        <v>31</v>
      </c>
      <c r="AF4097" s="831" t="s">
        <v>4754</v>
      </c>
      <c r="AG4097" s="831" t="s">
        <v>2674</v>
      </c>
      <c r="AH4097" s="831" t="s">
        <v>572</v>
      </c>
      <c r="AI4097" s="831">
        <v>0</v>
      </c>
      <c r="AJ4097" s="835">
        <v>40056</v>
      </c>
      <c r="AK4097" s="831">
        <v>0</v>
      </c>
      <c r="AP4097" s="831" t="str">
        <f t="shared" si="190"/>
        <v/>
      </c>
    </row>
    <row r="4098" spans="2:42">
      <c r="B4098" s="834" t="str">
        <f t="shared" si="189"/>
        <v>|||</v>
      </c>
      <c r="H4098" s="835">
        <f t="shared" si="191"/>
        <v>31</v>
      </c>
      <c r="AF4098" s="831" t="s">
        <v>4755</v>
      </c>
      <c r="AG4098" s="831" t="s">
        <v>2674</v>
      </c>
      <c r="AH4098" s="831" t="s">
        <v>577</v>
      </c>
      <c r="AI4098" s="831">
        <v>0</v>
      </c>
      <c r="AJ4098" s="835">
        <v>40056</v>
      </c>
      <c r="AK4098" s="831">
        <v>0</v>
      </c>
      <c r="AP4098" s="831" t="str">
        <f t="shared" si="190"/>
        <v/>
      </c>
    </row>
    <row r="4099" spans="2:42">
      <c r="B4099" s="834" t="str">
        <f t="shared" ref="B4099:B4162" si="192">C4099&amp;"|"&amp;D4099&amp;"|"&amp;E4099&amp;"|"&amp;F4099</f>
        <v>|||</v>
      </c>
      <c r="H4099" s="835">
        <f t="shared" si="191"/>
        <v>31</v>
      </c>
      <c r="AF4099" s="831" t="s">
        <v>4756</v>
      </c>
      <c r="AG4099" s="831" t="s">
        <v>2674</v>
      </c>
      <c r="AH4099" s="831" t="s">
        <v>3042</v>
      </c>
      <c r="AI4099" s="831">
        <v>0</v>
      </c>
      <c r="AJ4099" s="835">
        <v>40056</v>
      </c>
      <c r="AK4099" s="831">
        <v>0</v>
      </c>
      <c r="AP4099" s="831" t="str">
        <f t="shared" ref="AP4099:AP4162" si="193">IF(AX4099&lt;&gt;"",IF(OR(AX4099=3,AX4099=4),"Equity","Debt"),"")</f>
        <v/>
      </c>
    </row>
    <row r="4100" spans="2:42">
      <c r="B4100" s="834" t="str">
        <f t="shared" si="192"/>
        <v>|||</v>
      </c>
      <c r="H4100" s="835">
        <f t="shared" ref="H4100:H4163" si="194">EOMONTH(L4100,0)</f>
        <v>31</v>
      </c>
      <c r="AF4100" s="831" t="s">
        <v>4757</v>
      </c>
      <c r="AG4100" s="831" t="s">
        <v>2674</v>
      </c>
      <c r="AH4100" s="831" t="s">
        <v>3044</v>
      </c>
      <c r="AI4100" s="831">
        <v>0</v>
      </c>
      <c r="AJ4100" s="835">
        <v>40056</v>
      </c>
      <c r="AK4100" s="831">
        <v>0</v>
      </c>
      <c r="AP4100" s="831" t="str">
        <f t="shared" si="193"/>
        <v/>
      </c>
    </row>
    <row r="4101" spans="2:42">
      <c r="B4101" s="834" t="str">
        <f t="shared" si="192"/>
        <v>|||</v>
      </c>
      <c r="H4101" s="835">
        <f t="shared" si="194"/>
        <v>31</v>
      </c>
      <c r="AF4101" s="831" t="s">
        <v>4758</v>
      </c>
      <c r="AG4101" s="831" t="s">
        <v>2674</v>
      </c>
      <c r="AH4101" s="831" t="s">
        <v>580</v>
      </c>
      <c r="AI4101" s="831">
        <v>0</v>
      </c>
      <c r="AJ4101" s="835">
        <v>40056</v>
      </c>
      <c r="AK4101" s="831">
        <v>0</v>
      </c>
      <c r="AP4101" s="831" t="str">
        <f t="shared" si="193"/>
        <v/>
      </c>
    </row>
    <row r="4102" spans="2:42">
      <c r="B4102" s="834" t="str">
        <f t="shared" si="192"/>
        <v>|||</v>
      </c>
      <c r="H4102" s="835">
        <f t="shared" si="194"/>
        <v>31</v>
      </c>
      <c r="AF4102" s="831" t="s">
        <v>4759</v>
      </c>
      <c r="AG4102" s="831" t="s">
        <v>2674</v>
      </c>
      <c r="AH4102" s="831" t="s">
        <v>581</v>
      </c>
      <c r="AI4102" s="831">
        <v>0</v>
      </c>
      <c r="AJ4102" s="835">
        <v>40056</v>
      </c>
      <c r="AK4102" s="831">
        <v>0</v>
      </c>
      <c r="AP4102" s="831" t="str">
        <f t="shared" si="193"/>
        <v/>
      </c>
    </row>
    <row r="4103" spans="2:42">
      <c r="B4103" s="834" t="str">
        <f t="shared" si="192"/>
        <v>|||</v>
      </c>
      <c r="H4103" s="835">
        <f t="shared" si="194"/>
        <v>31</v>
      </c>
      <c r="AF4103" s="831" t="s">
        <v>4760</v>
      </c>
      <c r="AG4103" s="831" t="s">
        <v>2674</v>
      </c>
      <c r="AH4103" s="831" t="s">
        <v>105</v>
      </c>
      <c r="AI4103" s="831">
        <v>0</v>
      </c>
      <c r="AJ4103" s="835">
        <v>40056</v>
      </c>
      <c r="AK4103" s="831">
        <v>149441980</v>
      </c>
      <c r="AP4103" s="831" t="str">
        <f t="shared" si="193"/>
        <v/>
      </c>
    </row>
    <row r="4104" spans="2:42">
      <c r="B4104" s="834" t="str">
        <f t="shared" si="192"/>
        <v>|||</v>
      </c>
      <c r="H4104" s="835">
        <f t="shared" si="194"/>
        <v>31</v>
      </c>
      <c r="AF4104" s="831" t="s">
        <v>4761</v>
      </c>
      <c r="AG4104" s="831" t="s">
        <v>2674</v>
      </c>
      <c r="AH4104" s="831" t="s">
        <v>3049</v>
      </c>
      <c r="AI4104" s="831">
        <v>0</v>
      </c>
      <c r="AJ4104" s="835">
        <v>40056</v>
      </c>
      <c r="AK4104" s="831">
        <v>197731643</v>
      </c>
      <c r="AP4104" s="831" t="str">
        <f t="shared" si="193"/>
        <v/>
      </c>
    </row>
    <row r="4105" spans="2:42">
      <c r="B4105" s="834" t="str">
        <f t="shared" si="192"/>
        <v>|||</v>
      </c>
      <c r="H4105" s="835">
        <f t="shared" si="194"/>
        <v>31</v>
      </c>
      <c r="AF4105" s="831" t="s">
        <v>4762</v>
      </c>
      <c r="AG4105" s="831" t="s">
        <v>2674</v>
      </c>
      <c r="AH4105" s="831" t="s">
        <v>103</v>
      </c>
      <c r="AI4105" s="831">
        <v>0</v>
      </c>
      <c r="AJ4105" s="835">
        <v>40056</v>
      </c>
      <c r="AK4105" s="831">
        <v>48289663</v>
      </c>
      <c r="AP4105" s="831" t="str">
        <f t="shared" si="193"/>
        <v/>
      </c>
    </row>
    <row r="4106" spans="2:42">
      <c r="B4106" s="834" t="str">
        <f t="shared" si="192"/>
        <v>|||</v>
      </c>
      <c r="H4106" s="835">
        <f t="shared" si="194"/>
        <v>31</v>
      </c>
      <c r="AF4106" s="831" t="s">
        <v>4763</v>
      </c>
      <c r="AG4106" s="831" t="s">
        <v>2674</v>
      </c>
      <c r="AH4106" s="831" t="s">
        <v>182</v>
      </c>
      <c r="AI4106" s="831">
        <v>0</v>
      </c>
      <c r="AJ4106" s="835">
        <v>40056</v>
      </c>
      <c r="AK4106" s="831">
        <v>25451110.5</v>
      </c>
      <c r="AP4106" s="831" t="str">
        <f t="shared" si="193"/>
        <v/>
      </c>
    </row>
    <row r="4107" spans="2:42">
      <c r="B4107" s="834" t="str">
        <f t="shared" si="192"/>
        <v>|||</v>
      </c>
      <c r="H4107" s="835">
        <f t="shared" si="194"/>
        <v>31</v>
      </c>
      <c r="AF4107" s="831" t="s">
        <v>4764</v>
      </c>
      <c r="AG4107" s="831" t="s">
        <v>2674</v>
      </c>
      <c r="AH4107" s="831" t="s">
        <v>546</v>
      </c>
      <c r="AI4107" s="831">
        <v>0</v>
      </c>
      <c r="AJ4107" s="835">
        <v>40086</v>
      </c>
      <c r="AK4107" s="831">
        <v>219393881</v>
      </c>
      <c r="AP4107" s="831" t="str">
        <f t="shared" si="193"/>
        <v/>
      </c>
    </row>
    <row r="4108" spans="2:42">
      <c r="B4108" s="834" t="str">
        <f t="shared" si="192"/>
        <v>|||</v>
      </c>
      <c r="H4108" s="835">
        <f t="shared" si="194"/>
        <v>31</v>
      </c>
      <c r="AF4108" s="831" t="s">
        <v>4765</v>
      </c>
      <c r="AG4108" s="831" t="s">
        <v>2674</v>
      </c>
      <c r="AH4108" s="831" t="s">
        <v>370</v>
      </c>
      <c r="AI4108" s="831">
        <v>0</v>
      </c>
      <c r="AJ4108" s="835">
        <v>40086</v>
      </c>
      <c r="AK4108" s="831">
        <v>264111439</v>
      </c>
      <c r="AP4108" s="831" t="str">
        <f t="shared" si="193"/>
        <v/>
      </c>
    </row>
    <row r="4109" spans="2:42">
      <c r="B4109" s="834" t="str">
        <f t="shared" si="192"/>
        <v>|||</v>
      </c>
      <c r="H4109" s="835">
        <f t="shared" si="194"/>
        <v>31</v>
      </c>
      <c r="AF4109" s="831" t="s">
        <v>4766</v>
      </c>
      <c r="AG4109" s="831" t="s">
        <v>2674</v>
      </c>
      <c r="AH4109" s="831" t="s">
        <v>126</v>
      </c>
      <c r="AI4109" s="831">
        <v>0</v>
      </c>
      <c r="AJ4109" s="835">
        <v>40086</v>
      </c>
      <c r="AK4109" s="831">
        <v>47512279</v>
      </c>
      <c r="AP4109" s="831" t="str">
        <f t="shared" si="193"/>
        <v/>
      </c>
    </row>
    <row r="4110" spans="2:42">
      <c r="B4110" s="834" t="str">
        <f t="shared" si="192"/>
        <v>|||</v>
      </c>
      <c r="H4110" s="835">
        <f t="shared" si="194"/>
        <v>31</v>
      </c>
      <c r="AF4110" s="831" t="s">
        <v>4767</v>
      </c>
      <c r="AG4110" s="831" t="s">
        <v>2674</v>
      </c>
      <c r="AH4110" s="831" t="s">
        <v>268</v>
      </c>
      <c r="AI4110" s="831">
        <v>0</v>
      </c>
      <c r="AJ4110" s="835">
        <v>40086</v>
      </c>
      <c r="AK4110" s="831">
        <v>14213356</v>
      </c>
      <c r="AP4110" s="831" t="str">
        <f t="shared" si="193"/>
        <v/>
      </c>
    </row>
    <row r="4111" spans="2:42">
      <c r="B4111" s="834" t="str">
        <f t="shared" si="192"/>
        <v>|||</v>
      </c>
      <c r="H4111" s="835">
        <f t="shared" si="194"/>
        <v>31</v>
      </c>
      <c r="AF4111" s="831" t="s">
        <v>4768</v>
      </c>
      <c r="AG4111" s="831" t="s">
        <v>2674</v>
      </c>
      <c r="AH4111" s="831" t="s">
        <v>547</v>
      </c>
      <c r="AI4111" s="831">
        <v>0</v>
      </c>
      <c r="AJ4111" s="835">
        <v>40086</v>
      </c>
      <c r="AK4111" s="831">
        <v>0</v>
      </c>
      <c r="AP4111" s="831" t="str">
        <f t="shared" si="193"/>
        <v/>
      </c>
    </row>
    <row r="4112" spans="2:42">
      <c r="B4112" s="834" t="str">
        <f t="shared" si="192"/>
        <v>|||</v>
      </c>
      <c r="H4112" s="835">
        <f t="shared" si="194"/>
        <v>31</v>
      </c>
      <c r="AF4112" s="831" t="s">
        <v>4769</v>
      </c>
      <c r="AG4112" s="831" t="s">
        <v>2674</v>
      </c>
      <c r="AH4112" s="831" t="s">
        <v>548</v>
      </c>
      <c r="AI4112" s="831">
        <v>0</v>
      </c>
      <c r="AJ4112" s="835">
        <v>40086</v>
      </c>
      <c r="AK4112" s="831">
        <v>0</v>
      </c>
      <c r="AP4112" s="831" t="str">
        <f t="shared" si="193"/>
        <v/>
      </c>
    </row>
    <row r="4113" spans="2:42">
      <c r="B4113" s="834" t="str">
        <f t="shared" si="192"/>
        <v>|||</v>
      </c>
      <c r="H4113" s="835">
        <f t="shared" si="194"/>
        <v>31</v>
      </c>
      <c r="AF4113" s="831" t="s">
        <v>4770</v>
      </c>
      <c r="AG4113" s="831" t="s">
        <v>2674</v>
      </c>
      <c r="AH4113" s="831" t="s">
        <v>549</v>
      </c>
      <c r="AI4113" s="831">
        <v>0</v>
      </c>
      <c r="AJ4113" s="835">
        <v>40086</v>
      </c>
      <c r="AK4113" s="831">
        <v>0</v>
      </c>
      <c r="AP4113" s="831" t="str">
        <f t="shared" si="193"/>
        <v/>
      </c>
    </row>
    <row r="4114" spans="2:42">
      <c r="B4114" s="834" t="str">
        <f t="shared" si="192"/>
        <v>|||</v>
      </c>
      <c r="H4114" s="835">
        <f t="shared" si="194"/>
        <v>31</v>
      </c>
      <c r="AF4114" s="831" t="s">
        <v>4771</v>
      </c>
      <c r="AG4114" s="831" t="s">
        <v>2674</v>
      </c>
      <c r="AH4114" s="831" t="s">
        <v>192</v>
      </c>
      <c r="AI4114" s="831">
        <v>0</v>
      </c>
      <c r="AJ4114" s="835">
        <v>40086</v>
      </c>
      <c r="AK4114" s="831">
        <v>-6284817</v>
      </c>
      <c r="AP4114" s="831" t="str">
        <f t="shared" si="193"/>
        <v/>
      </c>
    </row>
    <row r="4115" spans="2:42">
      <c r="B4115" s="834" t="str">
        <f t="shared" si="192"/>
        <v>|||</v>
      </c>
      <c r="H4115" s="835">
        <f t="shared" si="194"/>
        <v>31</v>
      </c>
      <c r="AF4115" s="831" t="s">
        <v>4772</v>
      </c>
      <c r="AG4115" s="831" t="s">
        <v>2674</v>
      </c>
      <c r="AH4115" s="831" t="s">
        <v>558</v>
      </c>
      <c r="AI4115" s="831">
        <v>0</v>
      </c>
      <c r="AJ4115" s="835">
        <v>40086</v>
      </c>
      <c r="AK4115" s="831">
        <v>216599160</v>
      </c>
      <c r="AP4115" s="831" t="str">
        <f t="shared" si="193"/>
        <v/>
      </c>
    </row>
    <row r="4116" spans="2:42">
      <c r="B4116" s="834" t="str">
        <f t="shared" si="192"/>
        <v>|||</v>
      </c>
      <c r="H4116" s="835">
        <f t="shared" si="194"/>
        <v>31</v>
      </c>
      <c r="AF4116" s="831" t="s">
        <v>4773</v>
      </c>
      <c r="AG4116" s="831" t="s">
        <v>2674</v>
      </c>
      <c r="AH4116" s="831" t="s">
        <v>65</v>
      </c>
      <c r="AI4116" s="831">
        <v>0</v>
      </c>
      <c r="AJ4116" s="835">
        <v>40086</v>
      </c>
      <c r="AK4116" s="831">
        <v>49184503</v>
      </c>
      <c r="AP4116" s="831" t="str">
        <f t="shared" si="193"/>
        <v/>
      </c>
    </row>
    <row r="4117" spans="2:42">
      <c r="B4117" s="834" t="str">
        <f t="shared" si="192"/>
        <v>|||</v>
      </c>
      <c r="H4117" s="835">
        <f t="shared" si="194"/>
        <v>31</v>
      </c>
      <c r="AF4117" s="831" t="s">
        <v>4774</v>
      </c>
      <c r="AG4117" s="831" t="s">
        <v>2674</v>
      </c>
      <c r="AH4117" s="831" t="s">
        <v>89</v>
      </c>
      <c r="AI4117" s="831">
        <v>0</v>
      </c>
      <c r="AJ4117" s="835">
        <v>40086</v>
      </c>
      <c r="AK4117" s="831">
        <v>89396</v>
      </c>
      <c r="AP4117" s="831" t="str">
        <f t="shared" si="193"/>
        <v/>
      </c>
    </row>
    <row r="4118" spans="2:42">
      <c r="B4118" s="834" t="str">
        <f t="shared" si="192"/>
        <v>|||</v>
      </c>
      <c r="H4118" s="835">
        <f t="shared" si="194"/>
        <v>31</v>
      </c>
      <c r="AF4118" s="831" t="s">
        <v>4775</v>
      </c>
      <c r="AG4118" s="831" t="s">
        <v>2674</v>
      </c>
      <c r="AH4118" s="831" t="s">
        <v>557</v>
      </c>
      <c r="AI4118" s="831">
        <v>0</v>
      </c>
      <c r="AJ4118" s="835">
        <v>40086</v>
      </c>
      <c r="AK4118" s="831">
        <v>91837</v>
      </c>
      <c r="AP4118" s="831" t="str">
        <f t="shared" si="193"/>
        <v/>
      </c>
    </row>
    <row r="4119" spans="2:42">
      <c r="B4119" s="834" t="str">
        <f t="shared" si="192"/>
        <v>|||</v>
      </c>
      <c r="H4119" s="835">
        <f t="shared" si="194"/>
        <v>31</v>
      </c>
      <c r="AF4119" s="831" t="s">
        <v>4776</v>
      </c>
      <c r="AG4119" s="831" t="s">
        <v>2674</v>
      </c>
      <c r="AH4119" s="831" t="s">
        <v>29</v>
      </c>
      <c r="AI4119" s="831">
        <v>0</v>
      </c>
      <c r="AJ4119" s="835">
        <v>40086</v>
      </c>
      <c r="AK4119" s="831">
        <v>1855860</v>
      </c>
      <c r="AP4119" s="831" t="str">
        <f t="shared" si="193"/>
        <v/>
      </c>
    </row>
    <row r="4120" spans="2:42">
      <c r="B4120" s="834" t="str">
        <f t="shared" si="192"/>
        <v>|||</v>
      </c>
      <c r="H4120" s="835">
        <f t="shared" si="194"/>
        <v>31</v>
      </c>
      <c r="AF4120" s="831" t="s">
        <v>4777</v>
      </c>
      <c r="AG4120" s="831" t="s">
        <v>2674</v>
      </c>
      <c r="AH4120" s="831" t="s">
        <v>2688</v>
      </c>
      <c r="AI4120" s="831">
        <v>0</v>
      </c>
      <c r="AJ4120" s="835">
        <v>40086</v>
      </c>
      <c r="AK4120" s="831">
        <v>849303</v>
      </c>
      <c r="AP4120" s="831" t="str">
        <f t="shared" si="193"/>
        <v/>
      </c>
    </row>
    <row r="4121" spans="2:42">
      <c r="B4121" s="834" t="str">
        <f t="shared" si="192"/>
        <v>|||</v>
      </c>
      <c r="H4121" s="835">
        <f t="shared" si="194"/>
        <v>31</v>
      </c>
      <c r="AF4121" s="831" t="s">
        <v>4778</v>
      </c>
      <c r="AG4121" s="831" t="s">
        <v>2674</v>
      </c>
      <c r="AH4121" s="831" t="s">
        <v>556</v>
      </c>
      <c r="AI4121" s="831">
        <v>0</v>
      </c>
      <c r="AJ4121" s="835">
        <v>40086</v>
      </c>
      <c r="AK4121" s="831">
        <v>537416</v>
      </c>
      <c r="AP4121" s="831" t="str">
        <f t="shared" si="193"/>
        <v/>
      </c>
    </row>
    <row r="4122" spans="2:42">
      <c r="B4122" s="834" t="str">
        <f t="shared" si="192"/>
        <v>|||</v>
      </c>
      <c r="H4122" s="835">
        <f t="shared" si="194"/>
        <v>31</v>
      </c>
      <c r="AF4122" s="831" t="s">
        <v>4779</v>
      </c>
      <c r="AG4122" s="831" t="s">
        <v>2674</v>
      </c>
      <c r="AH4122" s="831" t="s">
        <v>555</v>
      </c>
      <c r="AI4122" s="831">
        <v>0</v>
      </c>
      <c r="AJ4122" s="835">
        <v>40086</v>
      </c>
      <c r="AK4122" s="831">
        <v>183439087</v>
      </c>
      <c r="AP4122" s="831" t="str">
        <f t="shared" si="193"/>
        <v/>
      </c>
    </row>
    <row r="4123" spans="2:42">
      <c r="B4123" s="834" t="str">
        <f t="shared" si="192"/>
        <v>|||</v>
      </c>
      <c r="H4123" s="835">
        <f t="shared" si="194"/>
        <v>31</v>
      </c>
      <c r="AF4123" s="831" t="s">
        <v>4780</v>
      </c>
      <c r="AG4123" s="831" t="s">
        <v>2674</v>
      </c>
      <c r="AH4123" s="831" t="s">
        <v>554</v>
      </c>
      <c r="AI4123" s="831">
        <v>0</v>
      </c>
      <c r="AJ4123" s="835">
        <v>40086</v>
      </c>
      <c r="AK4123" s="831">
        <v>169818410</v>
      </c>
      <c r="AP4123" s="831" t="str">
        <f t="shared" si="193"/>
        <v/>
      </c>
    </row>
    <row r="4124" spans="2:42">
      <c r="B4124" s="834" t="str">
        <f t="shared" si="192"/>
        <v>|||</v>
      </c>
      <c r="H4124" s="835">
        <f t="shared" si="194"/>
        <v>31</v>
      </c>
      <c r="AF4124" s="831" t="s">
        <v>4781</v>
      </c>
      <c r="AG4124" s="831" t="s">
        <v>2674</v>
      </c>
      <c r="AH4124" s="831" t="s">
        <v>553</v>
      </c>
      <c r="AI4124" s="831">
        <v>0</v>
      </c>
      <c r="AJ4124" s="835">
        <v>40086</v>
      </c>
      <c r="AK4124" s="831">
        <v>0</v>
      </c>
      <c r="AP4124" s="831" t="str">
        <f t="shared" si="193"/>
        <v/>
      </c>
    </row>
    <row r="4125" spans="2:42">
      <c r="B4125" s="834" t="str">
        <f t="shared" si="192"/>
        <v>|||</v>
      </c>
      <c r="H4125" s="835">
        <f t="shared" si="194"/>
        <v>31</v>
      </c>
      <c r="AF4125" s="831" t="s">
        <v>4782</v>
      </c>
      <c r="AG4125" s="831" t="s">
        <v>2674</v>
      </c>
      <c r="AH4125" s="831" t="s">
        <v>552</v>
      </c>
      <c r="AI4125" s="831">
        <v>0</v>
      </c>
      <c r="AJ4125" s="835">
        <v>40086</v>
      </c>
      <c r="AK4125" s="831">
        <v>0</v>
      </c>
      <c r="AP4125" s="831" t="str">
        <f t="shared" si="193"/>
        <v/>
      </c>
    </row>
    <row r="4126" spans="2:42">
      <c r="B4126" s="834" t="str">
        <f t="shared" si="192"/>
        <v>|||</v>
      </c>
      <c r="H4126" s="835">
        <f t="shared" si="194"/>
        <v>31</v>
      </c>
      <c r="AF4126" s="831" t="s">
        <v>4783</v>
      </c>
      <c r="AG4126" s="831" t="s">
        <v>2674</v>
      </c>
      <c r="AH4126" s="831" t="s">
        <v>551</v>
      </c>
      <c r="AI4126" s="831">
        <v>0</v>
      </c>
      <c r="AJ4126" s="835">
        <v>40086</v>
      </c>
      <c r="AK4126" s="831">
        <v>1778162</v>
      </c>
      <c r="AP4126" s="831" t="str">
        <f t="shared" si="193"/>
        <v/>
      </c>
    </row>
    <row r="4127" spans="2:42">
      <c r="B4127" s="834" t="str">
        <f t="shared" si="192"/>
        <v>|||</v>
      </c>
      <c r="H4127" s="835">
        <f t="shared" si="194"/>
        <v>31</v>
      </c>
      <c r="AF4127" s="831" t="s">
        <v>4784</v>
      </c>
      <c r="AG4127" s="831" t="s">
        <v>2674</v>
      </c>
      <c r="AH4127" s="831" t="s">
        <v>550</v>
      </c>
      <c r="AI4127" s="831">
        <v>0</v>
      </c>
      <c r="AJ4127" s="835">
        <v>40086</v>
      </c>
      <c r="AK4127" s="831">
        <v>45897324</v>
      </c>
      <c r="AP4127" s="831" t="str">
        <f t="shared" si="193"/>
        <v/>
      </c>
    </row>
    <row r="4128" spans="2:42">
      <c r="B4128" s="834" t="str">
        <f t="shared" si="192"/>
        <v>|||</v>
      </c>
      <c r="H4128" s="835">
        <f t="shared" si="194"/>
        <v>31</v>
      </c>
      <c r="AF4128" s="831" t="s">
        <v>4785</v>
      </c>
      <c r="AG4128" s="831" t="s">
        <v>2674</v>
      </c>
      <c r="AH4128" s="831" t="s">
        <v>562</v>
      </c>
      <c r="AI4128" s="831">
        <v>0</v>
      </c>
      <c r="AJ4128" s="835">
        <v>40086</v>
      </c>
      <c r="AK4128" s="831">
        <v>0.8</v>
      </c>
      <c r="AP4128" s="831" t="str">
        <f t="shared" si="193"/>
        <v/>
      </c>
    </row>
    <row r="4129" spans="2:42">
      <c r="B4129" s="834" t="str">
        <f t="shared" si="192"/>
        <v>|||</v>
      </c>
      <c r="H4129" s="835">
        <f t="shared" si="194"/>
        <v>31</v>
      </c>
      <c r="AF4129" s="831" t="s">
        <v>4786</v>
      </c>
      <c r="AG4129" s="831" t="s">
        <v>2674</v>
      </c>
      <c r="AH4129" s="831" t="s">
        <v>2698</v>
      </c>
      <c r="AI4129" s="831">
        <v>0</v>
      </c>
      <c r="AJ4129" s="835">
        <v>40086</v>
      </c>
      <c r="AK4129" s="831">
        <v>0.8</v>
      </c>
      <c r="AP4129" s="831" t="str">
        <f t="shared" si="193"/>
        <v/>
      </c>
    </row>
    <row r="4130" spans="2:42">
      <c r="B4130" s="834" t="str">
        <f t="shared" si="192"/>
        <v>|||</v>
      </c>
      <c r="H4130" s="835">
        <f t="shared" si="194"/>
        <v>31</v>
      </c>
      <c r="AF4130" s="831" t="s">
        <v>4787</v>
      </c>
      <c r="AG4130" s="831" t="s">
        <v>2674</v>
      </c>
      <c r="AH4130" s="831" t="s">
        <v>560</v>
      </c>
      <c r="AI4130" s="831">
        <v>0</v>
      </c>
      <c r="AJ4130" s="835">
        <v>40086</v>
      </c>
      <c r="AK4130" s="831">
        <v>0.80333333333333301</v>
      </c>
      <c r="AP4130" s="831" t="str">
        <f t="shared" si="193"/>
        <v/>
      </c>
    </row>
    <row r="4131" spans="2:42">
      <c r="B4131" s="834" t="str">
        <f t="shared" si="192"/>
        <v>|||</v>
      </c>
      <c r="H4131" s="835">
        <f t="shared" si="194"/>
        <v>31</v>
      </c>
      <c r="AF4131" s="831" t="s">
        <v>4788</v>
      </c>
      <c r="AG4131" s="831" t="s">
        <v>2674</v>
      </c>
      <c r="AH4131" s="831" t="s">
        <v>559</v>
      </c>
      <c r="AI4131" s="831">
        <v>0</v>
      </c>
      <c r="AJ4131" s="835">
        <v>40086</v>
      </c>
      <c r="AK4131" s="831">
        <v>0.80416666666666703</v>
      </c>
      <c r="AP4131" s="831" t="str">
        <f t="shared" si="193"/>
        <v/>
      </c>
    </row>
    <row r="4132" spans="2:42">
      <c r="B4132" s="834" t="str">
        <f t="shared" si="192"/>
        <v>|||</v>
      </c>
      <c r="H4132" s="835">
        <f t="shared" si="194"/>
        <v>31</v>
      </c>
      <c r="AF4132" s="831" t="s">
        <v>4789</v>
      </c>
      <c r="AG4132" s="831" t="s">
        <v>2674</v>
      </c>
      <c r="AH4132" s="831" t="s">
        <v>568</v>
      </c>
      <c r="AI4132" s="831">
        <v>0</v>
      </c>
      <c r="AJ4132" s="835">
        <v>40086</v>
      </c>
      <c r="AK4132" s="831">
        <v>0</v>
      </c>
      <c r="AP4132" s="831" t="str">
        <f t="shared" si="193"/>
        <v/>
      </c>
    </row>
    <row r="4133" spans="2:42">
      <c r="B4133" s="834" t="str">
        <f t="shared" si="192"/>
        <v>|||</v>
      </c>
      <c r="H4133" s="835">
        <f t="shared" si="194"/>
        <v>31</v>
      </c>
      <c r="AF4133" s="831" t="s">
        <v>4790</v>
      </c>
      <c r="AG4133" s="831" t="s">
        <v>2674</v>
      </c>
      <c r="AH4133" s="831" t="s">
        <v>569</v>
      </c>
      <c r="AI4133" s="831">
        <v>0</v>
      </c>
      <c r="AJ4133" s="835">
        <v>40086</v>
      </c>
      <c r="AK4133" s="831">
        <v>0</v>
      </c>
      <c r="AP4133" s="831" t="str">
        <f t="shared" si="193"/>
        <v/>
      </c>
    </row>
    <row r="4134" spans="2:42">
      <c r="B4134" s="834" t="str">
        <f t="shared" si="192"/>
        <v>|||</v>
      </c>
      <c r="H4134" s="835">
        <f t="shared" si="194"/>
        <v>31</v>
      </c>
      <c r="AF4134" s="831" t="s">
        <v>4791</v>
      </c>
      <c r="AG4134" s="831" t="s">
        <v>2674</v>
      </c>
      <c r="AH4134" s="831" t="s">
        <v>570</v>
      </c>
      <c r="AI4134" s="831">
        <v>0</v>
      </c>
      <c r="AJ4134" s="835">
        <v>40086</v>
      </c>
      <c r="AK4134" s="831">
        <v>0</v>
      </c>
      <c r="AP4134" s="831" t="str">
        <f t="shared" si="193"/>
        <v/>
      </c>
    </row>
    <row r="4135" spans="2:42">
      <c r="B4135" s="834" t="str">
        <f t="shared" si="192"/>
        <v>|||</v>
      </c>
      <c r="H4135" s="835">
        <f t="shared" si="194"/>
        <v>31</v>
      </c>
      <c r="AF4135" s="831" t="s">
        <v>4792</v>
      </c>
      <c r="AG4135" s="831" t="s">
        <v>2674</v>
      </c>
      <c r="AH4135" s="831" t="s">
        <v>571</v>
      </c>
      <c r="AI4135" s="831">
        <v>0</v>
      </c>
      <c r="AJ4135" s="835">
        <v>40086</v>
      </c>
      <c r="AK4135" s="831">
        <v>0</v>
      </c>
      <c r="AP4135" s="831" t="str">
        <f t="shared" si="193"/>
        <v/>
      </c>
    </row>
    <row r="4136" spans="2:42">
      <c r="B4136" s="834" t="str">
        <f t="shared" si="192"/>
        <v>|||</v>
      </c>
      <c r="H4136" s="835">
        <f t="shared" si="194"/>
        <v>31</v>
      </c>
      <c r="AF4136" s="831" t="s">
        <v>4793</v>
      </c>
      <c r="AG4136" s="831" t="s">
        <v>2674</v>
      </c>
      <c r="AH4136" s="831" t="s">
        <v>573</v>
      </c>
      <c r="AI4136" s="831">
        <v>0</v>
      </c>
      <c r="AJ4136" s="835">
        <v>40086</v>
      </c>
      <c r="AK4136" s="831">
        <v>0</v>
      </c>
      <c r="AP4136" s="831" t="str">
        <f t="shared" si="193"/>
        <v/>
      </c>
    </row>
    <row r="4137" spans="2:42">
      <c r="B4137" s="834" t="str">
        <f t="shared" si="192"/>
        <v>|||</v>
      </c>
      <c r="H4137" s="835">
        <f t="shared" si="194"/>
        <v>31</v>
      </c>
      <c r="AF4137" s="831" t="s">
        <v>4794</v>
      </c>
      <c r="AG4137" s="831" t="s">
        <v>2674</v>
      </c>
      <c r="AH4137" s="831" t="s">
        <v>574</v>
      </c>
      <c r="AI4137" s="831">
        <v>0</v>
      </c>
      <c r="AJ4137" s="835">
        <v>40086</v>
      </c>
      <c r="AK4137" s="831">
        <v>0</v>
      </c>
      <c r="AP4137" s="831" t="str">
        <f t="shared" si="193"/>
        <v/>
      </c>
    </row>
    <row r="4138" spans="2:42">
      <c r="B4138" s="834" t="str">
        <f t="shared" si="192"/>
        <v>|||</v>
      </c>
      <c r="H4138" s="835">
        <f t="shared" si="194"/>
        <v>31</v>
      </c>
      <c r="AF4138" s="831" t="s">
        <v>4795</v>
      </c>
      <c r="AG4138" s="831" t="s">
        <v>2674</v>
      </c>
      <c r="AH4138" s="831" t="s">
        <v>575</v>
      </c>
      <c r="AI4138" s="831">
        <v>0</v>
      </c>
      <c r="AJ4138" s="835">
        <v>40086</v>
      </c>
      <c r="AK4138" s="831">
        <v>0</v>
      </c>
      <c r="AP4138" s="831" t="str">
        <f t="shared" si="193"/>
        <v/>
      </c>
    </row>
    <row r="4139" spans="2:42">
      <c r="B4139" s="834" t="str">
        <f t="shared" si="192"/>
        <v>|||</v>
      </c>
      <c r="H4139" s="835">
        <f t="shared" si="194"/>
        <v>31</v>
      </c>
      <c r="AF4139" s="831" t="s">
        <v>4796</v>
      </c>
      <c r="AG4139" s="831" t="s">
        <v>2674</v>
      </c>
      <c r="AH4139" s="831" t="s">
        <v>576</v>
      </c>
      <c r="AI4139" s="831">
        <v>0</v>
      </c>
      <c r="AJ4139" s="835">
        <v>40086</v>
      </c>
      <c r="AK4139" s="831">
        <v>0</v>
      </c>
      <c r="AP4139" s="831" t="str">
        <f t="shared" si="193"/>
        <v/>
      </c>
    </row>
    <row r="4140" spans="2:42">
      <c r="B4140" s="834" t="str">
        <f t="shared" si="192"/>
        <v>|||</v>
      </c>
      <c r="H4140" s="835">
        <f t="shared" si="194"/>
        <v>31</v>
      </c>
      <c r="AF4140" s="831" t="s">
        <v>4797</v>
      </c>
      <c r="AG4140" s="831" t="s">
        <v>2674</v>
      </c>
      <c r="AH4140" s="831" t="s">
        <v>572</v>
      </c>
      <c r="AI4140" s="831">
        <v>0</v>
      </c>
      <c r="AJ4140" s="835">
        <v>40086</v>
      </c>
      <c r="AK4140" s="831">
        <v>0</v>
      </c>
      <c r="AP4140" s="831" t="str">
        <f t="shared" si="193"/>
        <v/>
      </c>
    </row>
    <row r="4141" spans="2:42">
      <c r="B4141" s="834" t="str">
        <f t="shared" si="192"/>
        <v>|||</v>
      </c>
      <c r="H4141" s="835">
        <f t="shared" si="194"/>
        <v>31</v>
      </c>
      <c r="AF4141" s="831" t="s">
        <v>4798</v>
      </c>
      <c r="AG4141" s="831" t="s">
        <v>2674</v>
      </c>
      <c r="AH4141" s="831" t="s">
        <v>577</v>
      </c>
      <c r="AI4141" s="831">
        <v>0</v>
      </c>
      <c r="AJ4141" s="835">
        <v>40086</v>
      </c>
      <c r="AK4141" s="831">
        <v>0</v>
      </c>
      <c r="AP4141" s="831" t="str">
        <f t="shared" si="193"/>
        <v/>
      </c>
    </row>
    <row r="4142" spans="2:42">
      <c r="B4142" s="834" t="str">
        <f t="shared" si="192"/>
        <v>|||</v>
      </c>
      <c r="H4142" s="835">
        <f t="shared" si="194"/>
        <v>31</v>
      </c>
      <c r="AF4142" s="831" t="s">
        <v>4799</v>
      </c>
      <c r="AG4142" s="831" t="s">
        <v>2674</v>
      </c>
      <c r="AH4142" s="831" t="s">
        <v>3042</v>
      </c>
      <c r="AI4142" s="831">
        <v>0</v>
      </c>
      <c r="AJ4142" s="835">
        <v>40086</v>
      </c>
      <c r="AK4142" s="831">
        <v>0</v>
      </c>
      <c r="AP4142" s="831" t="str">
        <f t="shared" si="193"/>
        <v/>
      </c>
    </row>
    <row r="4143" spans="2:42">
      <c r="B4143" s="834" t="str">
        <f t="shared" si="192"/>
        <v>|||</v>
      </c>
      <c r="H4143" s="835">
        <f t="shared" si="194"/>
        <v>31</v>
      </c>
      <c r="AF4143" s="831" t="s">
        <v>4800</v>
      </c>
      <c r="AG4143" s="831" t="s">
        <v>2674</v>
      </c>
      <c r="AH4143" s="831" t="s">
        <v>3044</v>
      </c>
      <c r="AI4143" s="831">
        <v>0</v>
      </c>
      <c r="AJ4143" s="835">
        <v>40086</v>
      </c>
      <c r="AK4143" s="831">
        <v>0</v>
      </c>
      <c r="AP4143" s="831" t="str">
        <f t="shared" si="193"/>
        <v/>
      </c>
    </row>
    <row r="4144" spans="2:42">
      <c r="B4144" s="834" t="str">
        <f t="shared" si="192"/>
        <v>|||</v>
      </c>
      <c r="H4144" s="835">
        <f t="shared" si="194"/>
        <v>31</v>
      </c>
      <c r="AF4144" s="831" t="s">
        <v>4801</v>
      </c>
      <c r="AG4144" s="831" t="s">
        <v>2674</v>
      </c>
      <c r="AH4144" s="831" t="s">
        <v>580</v>
      </c>
      <c r="AI4144" s="831">
        <v>0</v>
      </c>
      <c r="AJ4144" s="835">
        <v>40086</v>
      </c>
      <c r="AK4144" s="831">
        <v>0</v>
      </c>
      <c r="AP4144" s="831" t="str">
        <f t="shared" si="193"/>
        <v/>
      </c>
    </row>
    <row r="4145" spans="2:42">
      <c r="B4145" s="834" t="str">
        <f t="shared" si="192"/>
        <v>|||</v>
      </c>
      <c r="H4145" s="835">
        <f t="shared" si="194"/>
        <v>31</v>
      </c>
      <c r="AF4145" s="831" t="s">
        <v>4802</v>
      </c>
      <c r="AG4145" s="831" t="s">
        <v>2674</v>
      </c>
      <c r="AH4145" s="831" t="s">
        <v>581</v>
      </c>
      <c r="AI4145" s="831">
        <v>0</v>
      </c>
      <c r="AJ4145" s="835">
        <v>40086</v>
      </c>
      <c r="AK4145" s="831">
        <v>0</v>
      </c>
      <c r="AP4145" s="831" t="str">
        <f t="shared" si="193"/>
        <v/>
      </c>
    </row>
    <row r="4146" spans="2:42">
      <c r="B4146" s="834" t="str">
        <f t="shared" si="192"/>
        <v>|||</v>
      </c>
      <c r="H4146" s="835">
        <f t="shared" si="194"/>
        <v>31</v>
      </c>
      <c r="AF4146" s="831" t="s">
        <v>4803</v>
      </c>
      <c r="AG4146" s="831" t="s">
        <v>2674</v>
      </c>
      <c r="AH4146" s="831" t="s">
        <v>105</v>
      </c>
      <c r="AI4146" s="831">
        <v>0</v>
      </c>
      <c r="AJ4146" s="835">
        <v>40086</v>
      </c>
      <c r="AK4146" s="831">
        <v>157049642</v>
      </c>
      <c r="AP4146" s="831" t="str">
        <f t="shared" si="193"/>
        <v/>
      </c>
    </row>
    <row r="4147" spans="2:42">
      <c r="B4147" s="834" t="str">
        <f t="shared" si="192"/>
        <v>|||</v>
      </c>
      <c r="H4147" s="835">
        <f t="shared" si="194"/>
        <v>31</v>
      </c>
      <c r="AF4147" s="831" t="s">
        <v>4804</v>
      </c>
      <c r="AG4147" s="831" t="s">
        <v>2674</v>
      </c>
      <c r="AH4147" s="831" t="s">
        <v>3049</v>
      </c>
      <c r="AI4147" s="831">
        <v>0</v>
      </c>
      <c r="AJ4147" s="835">
        <v>40086</v>
      </c>
      <c r="AK4147" s="831">
        <v>211721043</v>
      </c>
      <c r="AP4147" s="831" t="str">
        <f t="shared" si="193"/>
        <v/>
      </c>
    </row>
    <row r="4148" spans="2:42">
      <c r="B4148" s="834" t="str">
        <f t="shared" si="192"/>
        <v>|||</v>
      </c>
      <c r="H4148" s="835">
        <f t="shared" si="194"/>
        <v>31</v>
      </c>
      <c r="AF4148" s="831" t="s">
        <v>4805</v>
      </c>
      <c r="AG4148" s="831" t="s">
        <v>2674</v>
      </c>
      <c r="AH4148" s="831" t="s">
        <v>103</v>
      </c>
      <c r="AI4148" s="831">
        <v>0</v>
      </c>
      <c r="AJ4148" s="835">
        <v>40086</v>
      </c>
      <c r="AK4148" s="831">
        <v>54671401</v>
      </c>
      <c r="AP4148" s="831" t="str">
        <f t="shared" si="193"/>
        <v/>
      </c>
    </row>
    <row r="4149" spans="2:42">
      <c r="B4149" s="834" t="str">
        <f t="shared" si="192"/>
        <v>|||</v>
      </c>
      <c r="H4149" s="835">
        <f t="shared" si="194"/>
        <v>31</v>
      </c>
      <c r="AF4149" s="831" t="s">
        <v>4806</v>
      </c>
      <c r="AG4149" s="831" t="s">
        <v>2674</v>
      </c>
      <c r="AH4149" s="831" t="s">
        <v>182</v>
      </c>
      <c r="AI4149" s="831">
        <v>0</v>
      </c>
      <c r="AJ4149" s="835">
        <v>40086</v>
      </c>
      <c r="AK4149" s="831">
        <v>25684960</v>
      </c>
      <c r="AP4149" s="831" t="str">
        <f t="shared" si="193"/>
        <v/>
      </c>
    </row>
    <row r="4150" spans="2:42">
      <c r="B4150" s="834" t="str">
        <f t="shared" si="192"/>
        <v>|||</v>
      </c>
      <c r="H4150" s="835">
        <f t="shared" si="194"/>
        <v>31</v>
      </c>
      <c r="AF4150" s="831" t="s">
        <v>4807</v>
      </c>
      <c r="AG4150" s="831" t="s">
        <v>2674</v>
      </c>
      <c r="AH4150" s="831" t="s">
        <v>546</v>
      </c>
      <c r="AI4150" s="831">
        <v>0</v>
      </c>
      <c r="AJ4150" s="835">
        <v>40117</v>
      </c>
      <c r="AK4150" s="831">
        <v>228139699</v>
      </c>
      <c r="AP4150" s="831" t="str">
        <f t="shared" si="193"/>
        <v/>
      </c>
    </row>
    <row r="4151" spans="2:42">
      <c r="B4151" s="834" t="str">
        <f t="shared" si="192"/>
        <v>|||</v>
      </c>
      <c r="H4151" s="835">
        <f t="shared" si="194"/>
        <v>31</v>
      </c>
      <c r="AF4151" s="831" t="s">
        <v>4808</v>
      </c>
      <c r="AG4151" s="831" t="s">
        <v>2674</v>
      </c>
      <c r="AH4151" s="831" t="s">
        <v>370</v>
      </c>
      <c r="AI4151" s="831">
        <v>0</v>
      </c>
      <c r="AJ4151" s="835">
        <v>40117</v>
      </c>
      <c r="AK4151" s="831">
        <v>284231118</v>
      </c>
      <c r="AP4151" s="831" t="str">
        <f t="shared" si="193"/>
        <v/>
      </c>
    </row>
    <row r="4152" spans="2:42">
      <c r="B4152" s="834" t="str">
        <f t="shared" si="192"/>
        <v>|||</v>
      </c>
      <c r="H4152" s="835">
        <f t="shared" si="194"/>
        <v>31</v>
      </c>
      <c r="AF4152" s="831" t="s">
        <v>4809</v>
      </c>
      <c r="AG4152" s="831" t="s">
        <v>2674</v>
      </c>
      <c r="AH4152" s="831" t="s">
        <v>126</v>
      </c>
      <c r="AI4152" s="831">
        <v>0</v>
      </c>
      <c r="AJ4152" s="835">
        <v>40117</v>
      </c>
      <c r="AK4152" s="831">
        <v>49691856</v>
      </c>
      <c r="AP4152" s="831" t="str">
        <f t="shared" si="193"/>
        <v/>
      </c>
    </row>
    <row r="4153" spans="2:42">
      <c r="B4153" s="834" t="str">
        <f t="shared" si="192"/>
        <v>|||</v>
      </c>
      <c r="H4153" s="835">
        <f t="shared" si="194"/>
        <v>31</v>
      </c>
      <c r="AF4153" s="831" t="s">
        <v>4810</v>
      </c>
      <c r="AG4153" s="831" t="s">
        <v>2674</v>
      </c>
      <c r="AH4153" s="831" t="s">
        <v>268</v>
      </c>
      <c r="AI4153" s="831">
        <v>0</v>
      </c>
      <c r="AJ4153" s="835">
        <v>40117</v>
      </c>
      <c r="AK4153" s="831">
        <v>16392933</v>
      </c>
      <c r="AP4153" s="831" t="str">
        <f t="shared" si="193"/>
        <v/>
      </c>
    </row>
    <row r="4154" spans="2:42">
      <c r="B4154" s="834" t="str">
        <f t="shared" si="192"/>
        <v>|||</v>
      </c>
      <c r="H4154" s="835">
        <f t="shared" si="194"/>
        <v>31</v>
      </c>
      <c r="AF4154" s="831" t="s">
        <v>4811</v>
      </c>
      <c r="AG4154" s="831" t="s">
        <v>2674</v>
      </c>
      <c r="AH4154" s="831" t="s">
        <v>547</v>
      </c>
      <c r="AI4154" s="831">
        <v>0</v>
      </c>
      <c r="AJ4154" s="835">
        <v>40117</v>
      </c>
      <c r="AK4154" s="831">
        <v>0</v>
      </c>
      <c r="AP4154" s="831" t="str">
        <f t="shared" si="193"/>
        <v/>
      </c>
    </row>
    <row r="4155" spans="2:42">
      <c r="B4155" s="834" t="str">
        <f t="shared" si="192"/>
        <v>|||</v>
      </c>
      <c r="H4155" s="835">
        <f t="shared" si="194"/>
        <v>31</v>
      </c>
      <c r="AF4155" s="831" t="s">
        <v>4812</v>
      </c>
      <c r="AG4155" s="831" t="s">
        <v>2674</v>
      </c>
      <c r="AH4155" s="831" t="s">
        <v>548</v>
      </c>
      <c r="AI4155" s="831">
        <v>0</v>
      </c>
      <c r="AJ4155" s="835">
        <v>40117</v>
      </c>
      <c r="AK4155" s="831">
        <v>0</v>
      </c>
      <c r="AP4155" s="831" t="str">
        <f t="shared" si="193"/>
        <v/>
      </c>
    </row>
    <row r="4156" spans="2:42">
      <c r="B4156" s="834" t="str">
        <f t="shared" si="192"/>
        <v>|||</v>
      </c>
      <c r="H4156" s="835">
        <f t="shared" si="194"/>
        <v>31</v>
      </c>
      <c r="AF4156" s="831" t="s">
        <v>4813</v>
      </c>
      <c r="AG4156" s="831" t="s">
        <v>2674</v>
      </c>
      <c r="AH4156" s="831" t="s">
        <v>549</v>
      </c>
      <c r="AI4156" s="831">
        <v>0</v>
      </c>
      <c r="AJ4156" s="835">
        <v>40117</v>
      </c>
      <c r="AK4156" s="831">
        <v>0</v>
      </c>
      <c r="AP4156" s="831" t="str">
        <f t="shared" si="193"/>
        <v/>
      </c>
    </row>
    <row r="4157" spans="2:42">
      <c r="B4157" s="834" t="str">
        <f t="shared" si="192"/>
        <v>|||</v>
      </c>
      <c r="H4157" s="835">
        <f t="shared" si="194"/>
        <v>31</v>
      </c>
      <c r="AF4157" s="831" t="s">
        <v>4814</v>
      </c>
      <c r="AG4157" s="831" t="s">
        <v>2674</v>
      </c>
      <c r="AH4157" s="831" t="s">
        <v>192</v>
      </c>
      <c r="AI4157" s="831">
        <v>0</v>
      </c>
      <c r="AJ4157" s="835">
        <v>40117</v>
      </c>
      <c r="AK4157" s="831">
        <v>-6592588</v>
      </c>
      <c r="AP4157" s="831" t="str">
        <f t="shared" si="193"/>
        <v/>
      </c>
    </row>
    <row r="4158" spans="2:42">
      <c r="B4158" s="834" t="str">
        <f t="shared" si="192"/>
        <v>|||</v>
      </c>
      <c r="H4158" s="835">
        <f t="shared" si="194"/>
        <v>31</v>
      </c>
      <c r="AF4158" s="831" t="s">
        <v>4815</v>
      </c>
      <c r="AG4158" s="831" t="s">
        <v>2674</v>
      </c>
      <c r="AH4158" s="831" t="s">
        <v>558</v>
      </c>
      <c r="AI4158" s="831">
        <v>0</v>
      </c>
      <c r="AJ4158" s="835">
        <v>40117</v>
      </c>
      <c r="AK4158" s="831">
        <v>234539262</v>
      </c>
      <c r="AP4158" s="831" t="str">
        <f t="shared" si="193"/>
        <v/>
      </c>
    </row>
    <row r="4159" spans="2:42">
      <c r="B4159" s="834" t="str">
        <f t="shared" si="192"/>
        <v>|||</v>
      </c>
      <c r="H4159" s="835">
        <f t="shared" si="194"/>
        <v>31</v>
      </c>
      <c r="AF4159" s="831" t="s">
        <v>4816</v>
      </c>
      <c r="AG4159" s="831" t="s">
        <v>2674</v>
      </c>
      <c r="AH4159" s="831" t="s">
        <v>65</v>
      </c>
      <c r="AI4159" s="831">
        <v>0</v>
      </c>
      <c r="AJ4159" s="835">
        <v>40117</v>
      </c>
      <c r="AK4159" s="831">
        <v>55806673</v>
      </c>
      <c r="AP4159" s="831" t="str">
        <f t="shared" si="193"/>
        <v/>
      </c>
    </row>
    <row r="4160" spans="2:42">
      <c r="B4160" s="834" t="str">
        <f t="shared" si="192"/>
        <v>|||</v>
      </c>
      <c r="H4160" s="835">
        <f t="shared" si="194"/>
        <v>31</v>
      </c>
      <c r="AF4160" s="831" t="s">
        <v>4817</v>
      </c>
      <c r="AG4160" s="831" t="s">
        <v>2674</v>
      </c>
      <c r="AH4160" s="831" t="s">
        <v>89</v>
      </c>
      <c r="AI4160" s="831">
        <v>0</v>
      </c>
      <c r="AJ4160" s="835">
        <v>40117</v>
      </c>
      <c r="AK4160" s="831">
        <v>93054</v>
      </c>
      <c r="AP4160" s="831" t="str">
        <f t="shared" si="193"/>
        <v/>
      </c>
    </row>
    <row r="4161" spans="2:42">
      <c r="B4161" s="834" t="str">
        <f t="shared" si="192"/>
        <v>|||</v>
      </c>
      <c r="H4161" s="835">
        <f t="shared" si="194"/>
        <v>31</v>
      </c>
      <c r="AF4161" s="831" t="s">
        <v>4818</v>
      </c>
      <c r="AG4161" s="831" t="s">
        <v>2674</v>
      </c>
      <c r="AH4161" s="831" t="s">
        <v>557</v>
      </c>
      <c r="AI4161" s="831">
        <v>0</v>
      </c>
      <c r="AJ4161" s="835">
        <v>40117</v>
      </c>
      <c r="AK4161" s="831">
        <v>95562</v>
      </c>
      <c r="AP4161" s="831" t="str">
        <f t="shared" si="193"/>
        <v/>
      </c>
    </row>
    <row r="4162" spans="2:42">
      <c r="B4162" s="834" t="str">
        <f t="shared" si="192"/>
        <v>|||</v>
      </c>
      <c r="H4162" s="835">
        <f t="shared" si="194"/>
        <v>31</v>
      </c>
      <c r="AF4162" s="831" t="s">
        <v>4819</v>
      </c>
      <c r="AG4162" s="831" t="s">
        <v>2674</v>
      </c>
      <c r="AH4162" s="831" t="s">
        <v>29</v>
      </c>
      <c r="AI4162" s="831">
        <v>0</v>
      </c>
      <c r="AJ4162" s="835">
        <v>40117</v>
      </c>
      <c r="AK4162" s="831">
        <v>1979213</v>
      </c>
      <c r="AP4162" s="831" t="str">
        <f t="shared" si="193"/>
        <v/>
      </c>
    </row>
    <row r="4163" spans="2:42">
      <c r="B4163" s="834" t="str">
        <f t="shared" ref="B4163:B4226" si="195">C4163&amp;"|"&amp;D4163&amp;"|"&amp;E4163&amp;"|"&amp;F4163</f>
        <v>|||</v>
      </c>
      <c r="H4163" s="835">
        <f t="shared" si="194"/>
        <v>31</v>
      </c>
      <c r="AF4163" s="831" t="s">
        <v>4820</v>
      </c>
      <c r="AG4163" s="831" t="s">
        <v>2674</v>
      </c>
      <c r="AH4163" s="831" t="s">
        <v>2688</v>
      </c>
      <c r="AI4163" s="831">
        <v>0</v>
      </c>
      <c r="AJ4163" s="835">
        <v>40117</v>
      </c>
      <c r="AK4163" s="831">
        <v>833028</v>
      </c>
      <c r="AP4163" s="831" t="str">
        <f t="shared" ref="AP4163:AP4226" si="196">IF(AX4163&lt;&gt;"",IF(OR(AX4163=3,AX4163=4),"Equity","Debt"),"")</f>
        <v/>
      </c>
    </row>
    <row r="4164" spans="2:42">
      <c r="B4164" s="834" t="str">
        <f t="shared" si="195"/>
        <v>|||</v>
      </c>
      <c r="H4164" s="835">
        <f t="shared" ref="H4164:H4227" si="197">EOMONTH(L4164,0)</f>
        <v>31</v>
      </c>
      <c r="AF4164" s="831" t="s">
        <v>4821</v>
      </c>
      <c r="AG4164" s="831" t="s">
        <v>2674</v>
      </c>
      <c r="AH4164" s="831" t="s">
        <v>556</v>
      </c>
      <c r="AI4164" s="831">
        <v>0</v>
      </c>
      <c r="AJ4164" s="835">
        <v>40117</v>
      </c>
      <c r="AK4164" s="831">
        <v>716502</v>
      </c>
      <c r="AP4164" s="831" t="str">
        <f t="shared" si="196"/>
        <v/>
      </c>
    </row>
    <row r="4165" spans="2:42">
      <c r="B4165" s="834" t="str">
        <f t="shared" si="195"/>
        <v>|||</v>
      </c>
      <c r="H4165" s="835">
        <f t="shared" si="197"/>
        <v>31</v>
      </c>
      <c r="AF4165" s="831" t="s">
        <v>4822</v>
      </c>
      <c r="AG4165" s="831" t="s">
        <v>2674</v>
      </c>
      <c r="AH4165" s="831" t="s">
        <v>555</v>
      </c>
      <c r="AI4165" s="831">
        <v>0</v>
      </c>
      <c r="AJ4165" s="835">
        <v>40117</v>
      </c>
      <c r="AK4165" s="831">
        <v>194233914</v>
      </c>
      <c r="AP4165" s="831" t="str">
        <f t="shared" si="196"/>
        <v/>
      </c>
    </row>
    <row r="4166" spans="2:42">
      <c r="B4166" s="834" t="str">
        <f t="shared" si="195"/>
        <v>|||</v>
      </c>
      <c r="H4166" s="835">
        <f t="shared" si="197"/>
        <v>31</v>
      </c>
      <c r="AF4166" s="831" t="s">
        <v>4823</v>
      </c>
      <c r="AG4166" s="831" t="s">
        <v>2674</v>
      </c>
      <c r="AH4166" s="831" t="s">
        <v>554</v>
      </c>
      <c r="AI4166" s="831">
        <v>0</v>
      </c>
      <c r="AJ4166" s="835">
        <v>40117</v>
      </c>
      <c r="AK4166" s="831">
        <v>183495430</v>
      </c>
      <c r="AP4166" s="831" t="str">
        <f t="shared" si="196"/>
        <v/>
      </c>
    </row>
    <row r="4167" spans="2:42">
      <c r="B4167" s="834" t="str">
        <f t="shared" si="195"/>
        <v>|||</v>
      </c>
      <c r="H4167" s="835">
        <f t="shared" si="197"/>
        <v>31</v>
      </c>
      <c r="AF4167" s="831" t="s">
        <v>4824</v>
      </c>
      <c r="AG4167" s="831" t="s">
        <v>2674</v>
      </c>
      <c r="AH4167" s="831" t="s">
        <v>553</v>
      </c>
      <c r="AI4167" s="831">
        <v>0</v>
      </c>
      <c r="AJ4167" s="835">
        <v>40117</v>
      </c>
      <c r="AK4167" s="831">
        <v>0</v>
      </c>
      <c r="AP4167" s="831" t="str">
        <f t="shared" si="196"/>
        <v/>
      </c>
    </row>
    <row r="4168" spans="2:42">
      <c r="B4168" s="834" t="str">
        <f t="shared" si="195"/>
        <v>|||</v>
      </c>
      <c r="H4168" s="835">
        <f t="shared" si="197"/>
        <v>31</v>
      </c>
      <c r="AF4168" s="831" t="s">
        <v>4825</v>
      </c>
      <c r="AG4168" s="831" t="s">
        <v>2674</v>
      </c>
      <c r="AH4168" s="831" t="s">
        <v>552</v>
      </c>
      <c r="AI4168" s="831">
        <v>0</v>
      </c>
      <c r="AJ4168" s="835">
        <v>40117</v>
      </c>
      <c r="AK4168" s="831">
        <v>0</v>
      </c>
      <c r="AP4168" s="831" t="str">
        <f t="shared" si="196"/>
        <v/>
      </c>
    </row>
    <row r="4169" spans="2:42">
      <c r="B4169" s="834" t="str">
        <f t="shared" si="195"/>
        <v>|||</v>
      </c>
      <c r="H4169" s="835">
        <f t="shared" si="197"/>
        <v>31</v>
      </c>
      <c r="AF4169" s="831" t="s">
        <v>4826</v>
      </c>
      <c r="AG4169" s="831" t="s">
        <v>2674</v>
      </c>
      <c r="AH4169" s="831" t="s">
        <v>551</v>
      </c>
      <c r="AI4169" s="831">
        <v>0</v>
      </c>
      <c r="AJ4169" s="835">
        <v>40117</v>
      </c>
      <c r="AK4169" s="831">
        <v>1847107</v>
      </c>
      <c r="AP4169" s="831" t="str">
        <f t="shared" si="196"/>
        <v/>
      </c>
    </row>
    <row r="4170" spans="2:42">
      <c r="B4170" s="834" t="str">
        <f t="shared" si="195"/>
        <v>|||</v>
      </c>
      <c r="H4170" s="835">
        <f t="shared" si="197"/>
        <v>31</v>
      </c>
      <c r="AF4170" s="831" t="s">
        <v>4827</v>
      </c>
      <c r="AG4170" s="831" t="s">
        <v>2674</v>
      </c>
      <c r="AH4170" s="831" t="s">
        <v>550</v>
      </c>
      <c r="AI4170" s="831">
        <v>0</v>
      </c>
      <c r="AJ4170" s="835">
        <v>40117</v>
      </c>
      <c r="AK4170" s="831">
        <v>47512279</v>
      </c>
      <c r="AP4170" s="831" t="str">
        <f t="shared" si="196"/>
        <v/>
      </c>
    </row>
    <row r="4171" spans="2:42">
      <c r="B4171" s="834" t="str">
        <f t="shared" si="195"/>
        <v>|||</v>
      </c>
      <c r="H4171" s="835">
        <f t="shared" si="197"/>
        <v>31</v>
      </c>
      <c r="AF4171" s="831" t="s">
        <v>4828</v>
      </c>
      <c r="AG4171" s="831" t="s">
        <v>2674</v>
      </c>
      <c r="AH4171" s="831" t="s">
        <v>562</v>
      </c>
      <c r="AI4171" s="831">
        <v>0</v>
      </c>
      <c r="AJ4171" s="835">
        <v>40117</v>
      </c>
      <c r="AK4171" s="831">
        <v>0.8</v>
      </c>
      <c r="AP4171" s="831" t="str">
        <f t="shared" si="196"/>
        <v/>
      </c>
    </row>
    <row r="4172" spans="2:42">
      <c r="B4172" s="834" t="str">
        <f t="shared" si="195"/>
        <v>|||</v>
      </c>
      <c r="H4172" s="835">
        <f t="shared" si="197"/>
        <v>31</v>
      </c>
      <c r="AF4172" s="831" t="s">
        <v>4829</v>
      </c>
      <c r="AG4172" s="831" t="s">
        <v>2674</v>
      </c>
      <c r="AH4172" s="831" t="s">
        <v>2698</v>
      </c>
      <c r="AI4172" s="831">
        <v>0</v>
      </c>
      <c r="AJ4172" s="835">
        <v>40117</v>
      </c>
      <c r="AK4172" s="831">
        <v>0.8</v>
      </c>
      <c r="AP4172" s="831" t="str">
        <f t="shared" si="196"/>
        <v/>
      </c>
    </row>
    <row r="4173" spans="2:42">
      <c r="B4173" s="834" t="str">
        <f t="shared" si="195"/>
        <v>|||</v>
      </c>
      <c r="H4173" s="835">
        <f t="shared" si="197"/>
        <v>31</v>
      </c>
      <c r="AF4173" s="831" t="s">
        <v>4830</v>
      </c>
      <c r="AG4173" s="831" t="s">
        <v>2674</v>
      </c>
      <c r="AH4173" s="831" t="s">
        <v>560</v>
      </c>
      <c r="AI4173" s="831">
        <v>0</v>
      </c>
      <c r="AJ4173" s="835">
        <v>40117</v>
      </c>
      <c r="AK4173" s="831">
        <v>0.80300000000000005</v>
      </c>
      <c r="AP4173" s="831" t="str">
        <f t="shared" si="196"/>
        <v/>
      </c>
    </row>
    <row r="4174" spans="2:42">
      <c r="B4174" s="834" t="str">
        <f t="shared" si="195"/>
        <v>|||</v>
      </c>
      <c r="H4174" s="835">
        <f t="shared" si="197"/>
        <v>31</v>
      </c>
      <c r="AF4174" s="831" t="s">
        <v>4831</v>
      </c>
      <c r="AG4174" s="831" t="s">
        <v>2674</v>
      </c>
      <c r="AH4174" s="831" t="s">
        <v>559</v>
      </c>
      <c r="AI4174" s="831">
        <v>0</v>
      </c>
      <c r="AJ4174" s="835">
        <v>40117</v>
      </c>
      <c r="AK4174" s="831">
        <v>0.80333333333333401</v>
      </c>
      <c r="AP4174" s="831" t="str">
        <f t="shared" si="196"/>
        <v/>
      </c>
    </row>
    <row r="4175" spans="2:42">
      <c r="B4175" s="834" t="str">
        <f t="shared" si="195"/>
        <v>|||</v>
      </c>
      <c r="H4175" s="835">
        <f t="shared" si="197"/>
        <v>31</v>
      </c>
      <c r="AF4175" s="831" t="s">
        <v>4832</v>
      </c>
      <c r="AG4175" s="831" t="s">
        <v>2674</v>
      </c>
      <c r="AH4175" s="831" t="s">
        <v>568</v>
      </c>
      <c r="AI4175" s="831">
        <v>0</v>
      </c>
      <c r="AJ4175" s="835">
        <v>40117</v>
      </c>
      <c r="AK4175" s="831">
        <v>0</v>
      </c>
      <c r="AP4175" s="831" t="str">
        <f t="shared" si="196"/>
        <v/>
      </c>
    </row>
    <row r="4176" spans="2:42">
      <c r="B4176" s="834" t="str">
        <f t="shared" si="195"/>
        <v>|||</v>
      </c>
      <c r="H4176" s="835">
        <f t="shared" si="197"/>
        <v>31</v>
      </c>
      <c r="AF4176" s="831" t="s">
        <v>4833</v>
      </c>
      <c r="AG4176" s="831" t="s">
        <v>2674</v>
      </c>
      <c r="AH4176" s="831" t="s">
        <v>569</v>
      </c>
      <c r="AI4176" s="831">
        <v>0</v>
      </c>
      <c r="AJ4176" s="835">
        <v>40117</v>
      </c>
      <c r="AK4176" s="831">
        <v>0</v>
      </c>
      <c r="AP4176" s="831" t="str">
        <f t="shared" si="196"/>
        <v/>
      </c>
    </row>
    <row r="4177" spans="2:42">
      <c r="B4177" s="834" t="str">
        <f t="shared" si="195"/>
        <v>|||</v>
      </c>
      <c r="H4177" s="835">
        <f t="shared" si="197"/>
        <v>31</v>
      </c>
      <c r="AF4177" s="831" t="s">
        <v>4834</v>
      </c>
      <c r="AG4177" s="831" t="s">
        <v>2674</v>
      </c>
      <c r="AH4177" s="831" t="s">
        <v>570</v>
      </c>
      <c r="AI4177" s="831">
        <v>0</v>
      </c>
      <c r="AJ4177" s="835">
        <v>40117</v>
      </c>
      <c r="AK4177" s="831">
        <v>0</v>
      </c>
      <c r="AP4177" s="831" t="str">
        <f t="shared" si="196"/>
        <v/>
      </c>
    </row>
    <row r="4178" spans="2:42">
      <c r="B4178" s="834" t="str">
        <f t="shared" si="195"/>
        <v>|||</v>
      </c>
      <c r="H4178" s="835">
        <f t="shared" si="197"/>
        <v>31</v>
      </c>
      <c r="AF4178" s="831" t="s">
        <v>4835</v>
      </c>
      <c r="AG4178" s="831" t="s">
        <v>2674</v>
      </c>
      <c r="AH4178" s="831" t="s">
        <v>571</v>
      </c>
      <c r="AI4178" s="831">
        <v>0</v>
      </c>
      <c r="AJ4178" s="835">
        <v>40117</v>
      </c>
      <c r="AK4178" s="831">
        <v>0</v>
      </c>
      <c r="AP4178" s="831" t="str">
        <f t="shared" si="196"/>
        <v/>
      </c>
    </row>
    <row r="4179" spans="2:42">
      <c r="B4179" s="834" t="str">
        <f t="shared" si="195"/>
        <v>|||</v>
      </c>
      <c r="H4179" s="835">
        <f t="shared" si="197"/>
        <v>31</v>
      </c>
      <c r="AF4179" s="831" t="s">
        <v>4836</v>
      </c>
      <c r="AG4179" s="831" t="s">
        <v>2674</v>
      </c>
      <c r="AH4179" s="831" t="s">
        <v>573</v>
      </c>
      <c r="AI4179" s="831">
        <v>0</v>
      </c>
      <c r="AJ4179" s="835">
        <v>40117</v>
      </c>
      <c r="AK4179" s="831">
        <v>0</v>
      </c>
      <c r="AP4179" s="831" t="str">
        <f t="shared" si="196"/>
        <v/>
      </c>
    </row>
    <row r="4180" spans="2:42">
      <c r="B4180" s="834" t="str">
        <f t="shared" si="195"/>
        <v>|||</v>
      </c>
      <c r="H4180" s="835">
        <f t="shared" si="197"/>
        <v>31</v>
      </c>
      <c r="AF4180" s="831" t="s">
        <v>4837</v>
      </c>
      <c r="AG4180" s="831" t="s">
        <v>2674</v>
      </c>
      <c r="AH4180" s="831" t="s">
        <v>574</v>
      </c>
      <c r="AI4180" s="831">
        <v>0</v>
      </c>
      <c r="AJ4180" s="835">
        <v>40117</v>
      </c>
      <c r="AK4180" s="831">
        <v>0</v>
      </c>
      <c r="AP4180" s="831" t="str">
        <f t="shared" si="196"/>
        <v/>
      </c>
    </row>
    <row r="4181" spans="2:42">
      <c r="B4181" s="834" t="str">
        <f t="shared" si="195"/>
        <v>|||</v>
      </c>
      <c r="H4181" s="835">
        <f t="shared" si="197"/>
        <v>31</v>
      </c>
      <c r="AF4181" s="831" t="s">
        <v>4838</v>
      </c>
      <c r="AG4181" s="831" t="s">
        <v>2674</v>
      </c>
      <c r="AH4181" s="831" t="s">
        <v>575</v>
      </c>
      <c r="AI4181" s="831">
        <v>0</v>
      </c>
      <c r="AJ4181" s="835">
        <v>40117</v>
      </c>
      <c r="AK4181" s="831">
        <v>0</v>
      </c>
      <c r="AP4181" s="831" t="str">
        <f t="shared" si="196"/>
        <v/>
      </c>
    </row>
    <row r="4182" spans="2:42">
      <c r="B4182" s="834" t="str">
        <f t="shared" si="195"/>
        <v>|||</v>
      </c>
      <c r="H4182" s="835">
        <f t="shared" si="197"/>
        <v>31</v>
      </c>
      <c r="AF4182" s="831" t="s">
        <v>4839</v>
      </c>
      <c r="AG4182" s="831" t="s">
        <v>2674</v>
      </c>
      <c r="AH4182" s="831" t="s">
        <v>576</v>
      </c>
      <c r="AI4182" s="831">
        <v>0</v>
      </c>
      <c r="AJ4182" s="835">
        <v>40117</v>
      </c>
      <c r="AK4182" s="831">
        <v>0</v>
      </c>
      <c r="AP4182" s="831" t="str">
        <f t="shared" si="196"/>
        <v/>
      </c>
    </row>
    <row r="4183" spans="2:42">
      <c r="B4183" s="834" t="str">
        <f t="shared" si="195"/>
        <v>|||</v>
      </c>
      <c r="H4183" s="835">
        <f t="shared" si="197"/>
        <v>31</v>
      </c>
      <c r="AF4183" s="831" t="s">
        <v>4840</v>
      </c>
      <c r="AG4183" s="831" t="s">
        <v>2674</v>
      </c>
      <c r="AH4183" s="831" t="s">
        <v>572</v>
      </c>
      <c r="AI4183" s="831">
        <v>0</v>
      </c>
      <c r="AJ4183" s="835">
        <v>40117</v>
      </c>
      <c r="AK4183" s="831">
        <v>0</v>
      </c>
      <c r="AP4183" s="831" t="str">
        <f t="shared" si="196"/>
        <v/>
      </c>
    </row>
    <row r="4184" spans="2:42">
      <c r="B4184" s="834" t="str">
        <f t="shared" si="195"/>
        <v>|||</v>
      </c>
      <c r="H4184" s="835">
        <f t="shared" si="197"/>
        <v>31</v>
      </c>
      <c r="AF4184" s="831" t="s">
        <v>4841</v>
      </c>
      <c r="AG4184" s="831" t="s">
        <v>2674</v>
      </c>
      <c r="AH4184" s="831" t="s">
        <v>577</v>
      </c>
      <c r="AI4184" s="831">
        <v>0</v>
      </c>
      <c r="AJ4184" s="835">
        <v>40117</v>
      </c>
      <c r="AK4184" s="831">
        <v>0</v>
      </c>
      <c r="AP4184" s="831" t="str">
        <f t="shared" si="196"/>
        <v/>
      </c>
    </row>
    <row r="4185" spans="2:42">
      <c r="B4185" s="834" t="str">
        <f t="shared" si="195"/>
        <v>|||</v>
      </c>
      <c r="H4185" s="835">
        <f t="shared" si="197"/>
        <v>31</v>
      </c>
      <c r="AF4185" s="831" t="s">
        <v>4842</v>
      </c>
      <c r="AG4185" s="831" t="s">
        <v>2674</v>
      </c>
      <c r="AH4185" s="831" t="s">
        <v>3042</v>
      </c>
      <c r="AI4185" s="831">
        <v>0</v>
      </c>
      <c r="AJ4185" s="835">
        <v>40117</v>
      </c>
      <c r="AK4185" s="831">
        <v>0</v>
      </c>
      <c r="AP4185" s="831" t="str">
        <f t="shared" si="196"/>
        <v/>
      </c>
    </row>
    <row r="4186" spans="2:42">
      <c r="B4186" s="834" t="str">
        <f t="shared" si="195"/>
        <v>|||</v>
      </c>
      <c r="H4186" s="835">
        <f t="shared" si="197"/>
        <v>31</v>
      </c>
      <c r="AF4186" s="831" t="s">
        <v>4843</v>
      </c>
      <c r="AG4186" s="831" t="s">
        <v>2674</v>
      </c>
      <c r="AH4186" s="831" t="s">
        <v>3044</v>
      </c>
      <c r="AI4186" s="831">
        <v>0</v>
      </c>
      <c r="AJ4186" s="835">
        <v>40117</v>
      </c>
      <c r="AK4186" s="831">
        <v>0</v>
      </c>
      <c r="AP4186" s="831" t="str">
        <f t="shared" si="196"/>
        <v/>
      </c>
    </row>
    <row r="4187" spans="2:42">
      <c r="B4187" s="834" t="str">
        <f t="shared" si="195"/>
        <v>|||</v>
      </c>
      <c r="H4187" s="835">
        <f t="shared" si="197"/>
        <v>31</v>
      </c>
      <c r="AF4187" s="831" t="s">
        <v>4844</v>
      </c>
      <c r="AG4187" s="831" t="s">
        <v>2674</v>
      </c>
      <c r="AH4187" s="831" t="s">
        <v>580</v>
      </c>
      <c r="AI4187" s="831">
        <v>0</v>
      </c>
      <c r="AJ4187" s="835">
        <v>40117</v>
      </c>
      <c r="AK4187" s="831">
        <v>0</v>
      </c>
      <c r="AP4187" s="831" t="str">
        <f t="shared" si="196"/>
        <v/>
      </c>
    </row>
    <row r="4188" spans="2:42">
      <c r="B4188" s="834" t="str">
        <f t="shared" si="195"/>
        <v>|||</v>
      </c>
      <c r="H4188" s="835">
        <f t="shared" si="197"/>
        <v>31</v>
      </c>
      <c r="AF4188" s="831" t="s">
        <v>4845</v>
      </c>
      <c r="AG4188" s="831" t="s">
        <v>2674</v>
      </c>
      <c r="AH4188" s="831" t="s">
        <v>581</v>
      </c>
      <c r="AI4188" s="831">
        <v>0</v>
      </c>
      <c r="AJ4188" s="835">
        <v>40117</v>
      </c>
      <c r="AK4188" s="831">
        <v>0</v>
      </c>
      <c r="AP4188" s="831" t="str">
        <f t="shared" si="196"/>
        <v/>
      </c>
    </row>
    <row r="4189" spans="2:42">
      <c r="B4189" s="834" t="str">
        <f t="shared" si="195"/>
        <v>|||</v>
      </c>
      <c r="H4189" s="835">
        <f t="shared" si="197"/>
        <v>31</v>
      </c>
      <c r="AF4189" s="831" t="s">
        <v>4846</v>
      </c>
      <c r="AG4189" s="831" t="s">
        <v>2674</v>
      </c>
      <c r="AH4189" s="831" t="s">
        <v>105</v>
      </c>
      <c r="AI4189" s="831">
        <v>0</v>
      </c>
      <c r="AJ4189" s="835">
        <v>40117</v>
      </c>
      <c r="AK4189" s="831">
        <v>168238904</v>
      </c>
      <c r="AP4189" s="831" t="str">
        <f t="shared" si="196"/>
        <v/>
      </c>
    </row>
    <row r="4190" spans="2:42">
      <c r="B4190" s="834" t="str">
        <f t="shared" si="195"/>
        <v>|||</v>
      </c>
      <c r="H4190" s="835">
        <f t="shared" si="197"/>
        <v>31</v>
      </c>
      <c r="AF4190" s="831" t="s">
        <v>4847</v>
      </c>
      <c r="AG4190" s="831" t="s">
        <v>2674</v>
      </c>
      <c r="AH4190" s="831" t="s">
        <v>3049</v>
      </c>
      <c r="AI4190" s="831">
        <v>0</v>
      </c>
      <c r="AJ4190" s="835">
        <v>40117</v>
      </c>
      <c r="AK4190" s="831">
        <v>228840453</v>
      </c>
      <c r="AP4190" s="831" t="str">
        <f t="shared" si="196"/>
        <v/>
      </c>
    </row>
    <row r="4191" spans="2:42">
      <c r="B4191" s="834" t="str">
        <f t="shared" si="195"/>
        <v>|||</v>
      </c>
      <c r="H4191" s="835">
        <f t="shared" si="197"/>
        <v>31</v>
      </c>
      <c r="AF4191" s="831" t="s">
        <v>4848</v>
      </c>
      <c r="AG4191" s="831" t="s">
        <v>2674</v>
      </c>
      <c r="AH4191" s="831" t="s">
        <v>103</v>
      </c>
      <c r="AI4191" s="831">
        <v>0</v>
      </c>
      <c r="AJ4191" s="835">
        <v>40117</v>
      </c>
      <c r="AK4191" s="831">
        <v>60601549</v>
      </c>
      <c r="AP4191" s="831" t="str">
        <f t="shared" si="196"/>
        <v/>
      </c>
    </row>
    <row r="4192" spans="2:42">
      <c r="B4192" s="834" t="str">
        <f t="shared" si="195"/>
        <v>|||</v>
      </c>
      <c r="H4192" s="835">
        <f t="shared" si="197"/>
        <v>31</v>
      </c>
      <c r="AF4192" s="831" t="s">
        <v>4849</v>
      </c>
      <c r="AG4192" s="831" t="s">
        <v>2674</v>
      </c>
      <c r="AH4192" s="831" t="s">
        <v>182</v>
      </c>
      <c r="AI4192" s="831">
        <v>0</v>
      </c>
      <c r="AJ4192" s="835">
        <v>40117</v>
      </c>
      <c r="AK4192" s="831">
        <v>26008168.800000001</v>
      </c>
      <c r="AP4192" s="831" t="str">
        <f t="shared" si="196"/>
        <v/>
      </c>
    </row>
    <row r="4193" spans="2:42">
      <c r="B4193" s="834" t="str">
        <f t="shared" si="195"/>
        <v>|||</v>
      </c>
      <c r="H4193" s="835">
        <f t="shared" si="197"/>
        <v>31</v>
      </c>
      <c r="AF4193" s="831" t="s">
        <v>4850</v>
      </c>
      <c r="AG4193" s="831" t="s">
        <v>2674</v>
      </c>
      <c r="AH4193" s="831" t="s">
        <v>546</v>
      </c>
      <c r="AI4193" s="831">
        <v>0</v>
      </c>
      <c r="AJ4193" s="835">
        <v>40147</v>
      </c>
      <c r="AK4193" s="831">
        <v>231315030</v>
      </c>
      <c r="AP4193" s="831" t="str">
        <f t="shared" si="196"/>
        <v/>
      </c>
    </row>
    <row r="4194" spans="2:42">
      <c r="B4194" s="834" t="str">
        <f t="shared" si="195"/>
        <v>|||</v>
      </c>
      <c r="H4194" s="835">
        <f t="shared" si="197"/>
        <v>31</v>
      </c>
      <c r="AF4194" s="831" t="s">
        <v>4851</v>
      </c>
      <c r="AG4194" s="831" t="s">
        <v>2674</v>
      </c>
      <c r="AH4194" s="831" t="s">
        <v>370</v>
      </c>
      <c r="AI4194" s="831">
        <v>0</v>
      </c>
      <c r="AJ4194" s="835">
        <v>40147</v>
      </c>
      <c r="AK4194" s="831">
        <v>290505982</v>
      </c>
      <c r="AP4194" s="831" t="str">
        <f t="shared" si="196"/>
        <v/>
      </c>
    </row>
    <row r="4195" spans="2:42">
      <c r="B4195" s="834" t="str">
        <f t="shared" si="195"/>
        <v>|||</v>
      </c>
      <c r="H4195" s="835">
        <f t="shared" si="197"/>
        <v>31</v>
      </c>
      <c r="AF4195" s="831" t="s">
        <v>4852</v>
      </c>
      <c r="AG4195" s="831" t="s">
        <v>2674</v>
      </c>
      <c r="AH4195" s="831" t="s">
        <v>126</v>
      </c>
      <c r="AI4195" s="831">
        <v>0</v>
      </c>
      <c r="AJ4195" s="835">
        <v>40147</v>
      </c>
      <c r="AK4195" s="831">
        <v>51712384</v>
      </c>
      <c r="AP4195" s="831" t="str">
        <f t="shared" si="196"/>
        <v/>
      </c>
    </row>
    <row r="4196" spans="2:42">
      <c r="B4196" s="834" t="str">
        <f t="shared" si="195"/>
        <v>|||</v>
      </c>
      <c r="H4196" s="835">
        <f t="shared" si="197"/>
        <v>31</v>
      </c>
      <c r="AF4196" s="831" t="s">
        <v>4853</v>
      </c>
      <c r="AG4196" s="831" t="s">
        <v>2674</v>
      </c>
      <c r="AH4196" s="831" t="s">
        <v>268</v>
      </c>
      <c r="AI4196" s="831">
        <v>0</v>
      </c>
      <c r="AJ4196" s="835">
        <v>40147</v>
      </c>
      <c r="AK4196" s="831">
        <v>18413461</v>
      </c>
      <c r="AP4196" s="831" t="str">
        <f t="shared" si="196"/>
        <v/>
      </c>
    </row>
    <row r="4197" spans="2:42">
      <c r="B4197" s="834" t="str">
        <f t="shared" si="195"/>
        <v>|||</v>
      </c>
      <c r="H4197" s="835">
        <f t="shared" si="197"/>
        <v>31</v>
      </c>
      <c r="AF4197" s="831" t="s">
        <v>4854</v>
      </c>
      <c r="AG4197" s="831" t="s">
        <v>2674</v>
      </c>
      <c r="AH4197" s="831" t="s">
        <v>547</v>
      </c>
      <c r="AI4197" s="831">
        <v>0</v>
      </c>
      <c r="AJ4197" s="835">
        <v>40147</v>
      </c>
      <c r="AK4197" s="831">
        <v>0</v>
      </c>
      <c r="AP4197" s="831" t="str">
        <f t="shared" si="196"/>
        <v/>
      </c>
    </row>
    <row r="4198" spans="2:42">
      <c r="B4198" s="834" t="str">
        <f t="shared" si="195"/>
        <v>|||</v>
      </c>
      <c r="H4198" s="835">
        <f t="shared" si="197"/>
        <v>31</v>
      </c>
      <c r="AF4198" s="831" t="s">
        <v>4855</v>
      </c>
      <c r="AG4198" s="831" t="s">
        <v>2674</v>
      </c>
      <c r="AH4198" s="831" t="s">
        <v>548</v>
      </c>
      <c r="AI4198" s="831">
        <v>0</v>
      </c>
      <c r="AJ4198" s="835">
        <v>40147</v>
      </c>
      <c r="AK4198" s="831">
        <v>0</v>
      </c>
      <c r="AP4198" s="831" t="str">
        <f t="shared" si="196"/>
        <v/>
      </c>
    </row>
    <row r="4199" spans="2:42">
      <c r="B4199" s="834" t="str">
        <f t="shared" si="195"/>
        <v>|||</v>
      </c>
      <c r="H4199" s="835">
        <f t="shared" si="197"/>
        <v>31</v>
      </c>
      <c r="AF4199" s="831" t="s">
        <v>4856</v>
      </c>
      <c r="AG4199" s="831" t="s">
        <v>2674</v>
      </c>
      <c r="AH4199" s="831" t="s">
        <v>549</v>
      </c>
      <c r="AI4199" s="831">
        <v>0</v>
      </c>
      <c r="AJ4199" s="835">
        <v>40147</v>
      </c>
      <c r="AK4199" s="831">
        <v>0</v>
      </c>
      <c r="AP4199" s="831" t="str">
        <f t="shared" si="196"/>
        <v/>
      </c>
    </row>
    <row r="4200" spans="2:42">
      <c r="B4200" s="834" t="str">
        <f t="shared" si="195"/>
        <v>|||</v>
      </c>
      <c r="H4200" s="835">
        <f t="shared" si="197"/>
        <v>31</v>
      </c>
      <c r="AF4200" s="831" t="s">
        <v>4857</v>
      </c>
      <c r="AG4200" s="831" t="s">
        <v>2674</v>
      </c>
      <c r="AH4200" s="831" t="s">
        <v>192</v>
      </c>
      <c r="AI4200" s="831">
        <v>0</v>
      </c>
      <c r="AJ4200" s="835">
        <v>40147</v>
      </c>
      <c r="AK4200" s="831">
        <v>-6589590</v>
      </c>
      <c r="AP4200" s="831" t="str">
        <f t="shared" si="196"/>
        <v/>
      </c>
    </row>
    <row r="4201" spans="2:42">
      <c r="B4201" s="834" t="str">
        <f t="shared" si="195"/>
        <v>|||</v>
      </c>
      <c r="H4201" s="835">
        <f t="shared" si="197"/>
        <v>31</v>
      </c>
      <c r="AF4201" s="831" t="s">
        <v>4858</v>
      </c>
      <c r="AG4201" s="831" t="s">
        <v>2674</v>
      </c>
      <c r="AH4201" s="831" t="s">
        <v>558</v>
      </c>
      <c r="AI4201" s="831">
        <v>0</v>
      </c>
      <c r="AJ4201" s="835">
        <v>40147</v>
      </c>
      <c r="AK4201" s="831">
        <v>238793598</v>
      </c>
      <c r="AP4201" s="831" t="str">
        <f t="shared" si="196"/>
        <v/>
      </c>
    </row>
    <row r="4202" spans="2:42">
      <c r="B4202" s="834" t="str">
        <f t="shared" si="195"/>
        <v>|||</v>
      </c>
      <c r="H4202" s="835">
        <f t="shared" si="197"/>
        <v>31</v>
      </c>
      <c r="AF4202" s="831" t="s">
        <v>4859</v>
      </c>
      <c r="AG4202" s="831" t="s">
        <v>2674</v>
      </c>
      <c r="AH4202" s="831" t="s">
        <v>65</v>
      </c>
      <c r="AI4202" s="831">
        <v>0</v>
      </c>
      <c r="AJ4202" s="835">
        <v>40147</v>
      </c>
      <c r="AK4202" s="831">
        <v>62157080</v>
      </c>
      <c r="AP4202" s="831" t="str">
        <f t="shared" si="196"/>
        <v/>
      </c>
    </row>
    <row r="4203" spans="2:42">
      <c r="B4203" s="834" t="str">
        <f t="shared" si="195"/>
        <v>|||</v>
      </c>
      <c r="H4203" s="835">
        <f t="shared" si="197"/>
        <v>31</v>
      </c>
      <c r="AF4203" s="831" t="s">
        <v>4860</v>
      </c>
      <c r="AG4203" s="831" t="s">
        <v>2674</v>
      </c>
      <c r="AH4203" s="831" t="s">
        <v>89</v>
      </c>
      <c r="AI4203" s="831">
        <v>0</v>
      </c>
      <c r="AJ4203" s="835">
        <v>40147</v>
      </c>
      <c r="AK4203" s="831">
        <v>95365</v>
      </c>
      <c r="AP4203" s="831" t="str">
        <f t="shared" si="196"/>
        <v/>
      </c>
    </row>
    <row r="4204" spans="2:42">
      <c r="B4204" s="834" t="str">
        <f t="shared" si="195"/>
        <v>|||</v>
      </c>
      <c r="H4204" s="835">
        <f t="shared" si="197"/>
        <v>31</v>
      </c>
      <c r="AF4204" s="831" t="s">
        <v>4861</v>
      </c>
      <c r="AG4204" s="831" t="s">
        <v>2674</v>
      </c>
      <c r="AH4204" s="831" t="s">
        <v>557</v>
      </c>
      <c r="AI4204" s="831">
        <v>0</v>
      </c>
      <c r="AJ4204" s="835">
        <v>40147</v>
      </c>
      <c r="AK4204" s="831">
        <v>97896</v>
      </c>
      <c r="AP4204" s="831" t="str">
        <f t="shared" si="196"/>
        <v/>
      </c>
    </row>
    <row r="4205" spans="2:42">
      <c r="B4205" s="834" t="str">
        <f t="shared" si="195"/>
        <v>|||</v>
      </c>
      <c r="H4205" s="835">
        <f t="shared" si="197"/>
        <v>31</v>
      </c>
      <c r="AF4205" s="831" t="s">
        <v>4862</v>
      </c>
      <c r="AG4205" s="831" t="s">
        <v>2674</v>
      </c>
      <c r="AH4205" s="831" t="s">
        <v>29</v>
      </c>
      <c r="AI4205" s="831">
        <v>0</v>
      </c>
      <c r="AJ4205" s="835">
        <v>40147</v>
      </c>
      <c r="AK4205" s="831">
        <v>2028460</v>
      </c>
      <c r="AP4205" s="831" t="str">
        <f t="shared" si="196"/>
        <v/>
      </c>
    </row>
    <row r="4206" spans="2:42">
      <c r="B4206" s="834" t="str">
        <f t="shared" si="195"/>
        <v>|||</v>
      </c>
      <c r="H4206" s="835">
        <f t="shared" si="197"/>
        <v>31</v>
      </c>
      <c r="AF4206" s="831" t="s">
        <v>4863</v>
      </c>
      <c r="AG4206" s="831" t="s">
        <v>2674</v>
      </c>
      <c r="AH4206" s="831" t="s">
        <v>2688</v>
      </c>
      <c r="AI4206" s="831">
        <v>0</v>
      </c>
      <c r="AJ4206" s="835">
        <v>40147</v>
      </c>
      <c r="AK4206" s="831">
        <v>843044</v>
      </c>
      <c r="AP4206" s="831" t="str">
        <f t="shared" si="196"/>
        <v/>
      </c>
    </row>
    <row r="4207" spans="2:42">
      <c r="B4207" s="834" t="str">
        <f t="shared" si="195"/>
        <v>|||</v>
      </c>
      <c r="H4207" s="835">
        <f t="shared" si="197"/>
        <v>31</v>
      </c>
      <c r="AF4207" s="831" t="s">
        <v>4864</v>
      </c>
      <c r="AG4207" s="831" t="s">
        <v>2674</v>
      </c>
      <c r="AH4207" s="831" t="s">
        <v>556</v>
      </c>
      <c r="AI4207" s="831">
        <v>0</v>
      </c>
      <c r="AJ4207" s="835">
        <v>40147</v>
      </c>
      <c r="AK4207" s="831">
        <v>895410</v>
      </c>
      <c r="AP4207" s="831" t="str">
        <f t="shared" si="196"/>
        <v/>
      </c>
    </row>
    <row r="4208" spans="2:42">
      <c r="B4208" s="834" t="str">
        <f t="shared" si="195"/>
        <v>|||</v>
      </c>
      <c r="H4208" s="835">
        <f t="shared" si="197"/>
        <v>31</v>
      </c>
      <c r="AF4208" s="831" t="s">
        <v>4865</v>
      </c>
      <c r="AG4208" s="831" t="s">
        <v>2674</v>
      </c>
      <c r="AH4208" s="831" t="s">
        <v>555</v>
      </c>
      <c r="AI4208" s="831">
        <v>0</v>
      </c>
      <c r="AJ4208" s="835">
        <v>40147</v>
      </c>
      <c r="AK4208" s="831">
        <v>194588335</v>
      </c>
      <c r="AP4208" s="831" t="str">
        <f t="shared" si="196"/>
        <v/>
      </c>
    </row>
    <row r="4209" spans="2:42">
      <c r="B4209" s="834" t="str">
        <f t="shared" si="195"/>
        <v>|||</v>
      </c>
      <c r="H4209" s="835">
        <f t="shared" si="197"/>
        <v>31</v>
      </c>
      <c r="AF4209" s="831" t="s">
        <v>4866</v>
      </c>
      <c r="AG4209" s="831" t="s">
        <v>2674</v>
      </c>
      <c r="AH4209" s="831" t="s">
        <v>554</v>
      </c>
      <c r="AI4209" s="831">
        <v>0</v>
      </c>
      <c r="AJ4209" s="835">
        <v>40147</v>
      </c>
      <c r="AK4209" s="831">
        <v>182652160</v>
      </c>
      <c r="AP4209" s="831" t="str">
        <f t="shared" si="196"/>
        <v/>
      </c>
    </row>
    <row r="4210" spans="2:42">
      <c r="B4210" s="834" t="str">
        <f t="shared" si="195"/>
        <v>|||</v>
      </c>
      <c r="H4210" s="835">
        <f t="shared" si="197"/>
        <v>31</v>
      </c>
      <c r="AF4210" s="831" t="s">
        <v>4867</v>
      </c>
      <c r="AG4210" s="831" t="s">
        <v>2674</v>
      </c>
      <c r="AH4210" s="831" t="s">
        <v>553</v>
      </c>
      <c r="AI4210" s="831">
        <v>0</v>
      </c>
      <c r="AJ4210" s="835">
        <v>40147</v>
      </c>
      <c r="AK4210" s="831">
        <v>0</v>
      </c>
      <c r="AP4210" s="831" t="str">
        <f t="shared" si="196"/>
        <v/>
      </c>
    </row>
    <row r="4211" spans="2:42">
      <c r="B4211" s="834" t="str">
        <f t="shared" si="195"/>
        <v>|||</v>
      </c>
      <c r="H4211" s="835">
        <f t="shared" si="197"/>
        <v>31</v>
      </c>
      <c r="AF4211" s="831" t="s">
        <v>4868</v>
      </c>
      <c r="AG4211" s="831" t="s">
        <v>2674</v>
      </c>
      <c r="AH4211" s="831" t="s">
        <v>552</v>
      </c>
      <c r="AI4211" s="831">
        <v>0</v>
      </c>
      <c r="AJ4211" s="835">
        <v>40147</v>
      </c>
      <c r="AK4211" s="831">
        <v>0</v>
      </c>
      <c r="AP4211" s="831" t="str">
        <f t="shared" si="196"/>
        <v/>
      </c>
    </row>
    <row r="4212" spans="2:42">
      <c r="B4212" s="834" t="str">
        <f t="shared" si="195"/>
        <v>|||</v>
      </c>
      <c r="H4212" s="835">
        <f t="shared" si="197"/>
        <v>31</v>
      </c>
      <c r="AF4212" s="831" t="s">
        <v>4869</v>
      </c>
      <c r="AG4212" s="831" t="s">
        <v>2674</v>
      </c>
      <c r="AH4212" s="831" t="s">
        <v>551</v>
      </c>
      <c r="AI4212" s="831">
        <v>0</v>
      </c>
      <c r="AJ4212" s="835">
        <v>40147</v>
      </c>
      <c r="AK4212" s="831">
        <v>1900699</v>
      </c>
      <c r="AP4212" s="831" t="str">
        <f t="shared" si="196"/>
        <v/>
      </c>
    </row>
    <row r="4213" spans="2:42">
      <c r="B4213" s="834" t="str">
        <f t="shared" si="195"/>
        <v>|||</v>
      </c>
      <c r="H4213" s="835">
        <f t="shared" si="197"/>
        <v>31</v>
      </c>
      <c r="AF4213" s="831" t="s">
        <v>4870</v>
      </c>
      <c r="AG4213" s="831" t="s">
        <v>2674</v>
      </c>
      <c r="AH4213" s="831" t="s">
        <v>550</v>
      </c>
      <c r="AI4213" s="831">
        <v>0</v>
      </c>
      <c r="AJ4213" s="835">
        <v>40147</v>
      </c>
      <c r="AK4213" s="831">
        <v>0</v>
      </c>
      <c r="AP4213" s="831" t="str">
        <f t="shared" si="196"/>
        <v/>
      </c>
    </row>
    <row r="4214" spans="2:42">
      <c r="B4214" s="834" t="str">
        <f t="shared" si="195"/>
        <v>|||</v>
      </c>
      <c r="H4214" s="835">
        <f t="shared" si="197"/>
        <v>31</v>
      </c>
      <c r="AF4214" s="831" t="s">
        <v>4871</v>
      </c>
      <c r="AG4214" s="831" t="s">
        <v>2674</v>
      </c>
      <c r="AH4214" s="831" t="s">
        <v>562</v>
      </c>
      <c r="AI4214" s="831">
        <v>0</v>
      </c>
      <c r="AJ4214" s="835">
        <v>40147</v>
      </c>
      <c r="AK4214" s="831">
        <v>0.8</v>
      </c>
      <c r="AP4214" s="831" t="str">
        <f t="shared" si="196"/>
        <v/>
      </c>
    </row>
    <row r="4215" spans="2:42">
      <c r="B4215" s="834" t="str">
        <f t="shared" si="195"/>
        <v>|||</v>
      </c>
      <c r="H4215" s="835">
        <f t="shared" si="197"/>
        <v>31</v>
      </c>
      <c r="AF4215" s="831" t="s">
        <v>4872</v>
      </c>
      <c r="AG4215" s="831" t="s">
        <v>2674</v>
      </c>
      <c r="AH4215" s="831" t="s">
        <v>2698</v>
      </c>
      <c r="AI4215" s="831">
        <v>0</v>
      </c>
      <c r="AJ4215" s="835">
        <v>40147</v>
      </c>
      <c r="AK4215" s="831">
        <v>0.8</v>
      </c>
      <c r="AP4215" s="831" t="str">
        <f t="shared" si="196"/>
        <v/>
      </c>
    </row>
    <row r="4216" spans="2:42">
      <c r="B4216" s="834" t="str">
        <f t="shared" si="195"/>
        <v>|||</v>
      </c>
      <c r="H4216" s="835">
        <f t="shared" si="197"/>
        <v>31</v>
      </c>
      <c r="AF4216" s="831" t="s">
        <v>4873</v>
      </c>
      <c r="AG4216" s="831" t="s">
        <v>2674</v>
      </c>
      <c r="AH4216" s="831" t="s">
        <v>560</v>
      </c>
      <c r="AI4216" s="831">
        <v>0</v>
      </c>
      <c r="AJ4216" s="835">
        <v>40147</v>
      </c>
      <c r="AK4216" s="831">
        <v>0.80272727272727296</v>
      </c>
      <c r="AP4216" s="831" t="str">
        <f t="shared" si="196"/>
        <v/>
      </c>
    </row>
    <row r="4217" spans="2:42">
      <c r="B4217" s="834" t="str">
        <f t="shared" si="195"/>
        <v>|||</v>
      </c>
      <c r="H4217" s="835">
        <f t="shared" si="197"/>
        <v>31</v>
      </c>
      <c r="AF4217" s="831" t="s">
        <v>4874</v>
      </c>
      <c r="AG4217" s="831" t="s">
        <v>2674</v>
      </c>
      <c r="AH4217" s="831" t="s">
        <v>559</v>
      </c>
      <c r="AI4217" s="831">
        <v>0</v>
      </c>
      <c r="AJ4217" s="835">
        <v>40147</v>
      </c>
      <c r="AK4217" s="831">
        <v>0.80249999999999999</v>
      </c>
      <c r="AP4217" s="831" t="str">
        <f t="shared" si="196"/>
        <v/>
      </c>
    </row>
    <row r="4218" spans="2:42">
      <c r="B4218" s="834" t="str">
        <f t="shared" si="195"/>
        <v>|||</v>
      </c>
      <c r="H4218" s="835">
        <f t="shared" si="197"/>
        <v>31</v>
      </c>
      <c r="AF4218" s="831" t="s">
        <v>4875</v>
      </c>
      <c r="AG4218" s="831" t="s">
        <v>2674</v>
      </c>
      <c r="AH4218" s="831" t="s">
        <v>568</v>
      </c>
      <c r="AI4218" s="831">
        <v>0</v>
      </c>
      <c r="AJ4218" s="835">
        <v>40147</v>
      </c>
      <c r="AK4218" s="831">
        <v>0</v>
      </c>
      <c r="AP4218" s="831" t="str">
        <f t="shared" si="196"/>
        <v/>
      </c>
    </row>
    <row r="4219" spans="2:42">
      <c r="B4219" s="834" t="str">
        <f t="shared" si="195"/>
        <v>|||</v>
      </c>
      <c r="H4219" s="835">
        <f t="shared" si="197"/>
        <v>31</v>
      </c>
      <c r="AF4219" s="831" t="s">
        <v>4876</v>
      </c>
      <c r="AG4219" s="831" t="s">
        <v>2674</v>
      </c>
      <c r="AH4219" s="831" t="s">
        <v>569</v>
      </c>
      <c r="AI4219" s="831">
        <v>0</v>
      </c>
      <c r="AJ4219" s="835">
        <v>40147</v>
      </c>
      <c r="AK4219" s="831">
        <v>0</v>
      </c>
      <c r="AP4219" s="831" t="str">
        <f t="shared" si="196"/>
        <v/>
      </c>
    </row>
    <row r="4220" spans="2:42">
      <c r="B4220" s="834" t="str">
        <f t="shared" si="195"/>
        <v>|||</v>
      </c>
      <c r="H4220" s="835">
        <f t="shared" si="197"/>
        <v>31</v>
      </c>
      <c r="AF4220" s="831" t="s">
        <v>4877</v>
      </c>
      <c r="AG4220" s="831" t="s">
        <v>2674</v>
      </c>
      <c r="AH4220" s="831" t="s">
        <v>570</v>
      </c>
      <c r="AI4220" s="831">
        <v>0</v>
      </c>
      <c r="AJ4220" s="835">
        <v>40147</v>
      </c>
      <c r="AK4220" s="831">
        <v>0</v>
      </c>
      <c r="AP4220" s="831" t="str">
        <f t="shared" si="196"/>
        <v/>
      </c>
    </row>
    <row r="4221" spans="2:42">
      <c r="B4221" s="834" t="str">
        <f t="shared" si="195"/>
        <v>|||</v>
      </c>
      <c r="H4221" s="835">
        <f t="shared" si="197"/>
        <v>31</v>
      </c>
      <c r="AF4221" s="831" t="s">
        <v>4878</v>
      </c>
      <c r="AG4221" s="831" t="s">
        <v>2674</v>
      </c>
      <c r="AH4221" s="831" t="s">
        <v>571</v>
      </c>
      <c r="AI4221" s="831">
        <v>0</v>
      </c>
      <c r="AJ4221" s="835">
        <v>40147</v>
      </c>
      <c r="AK4221" s="831">
        <v>0</v>
      </c>
      <c r="AP4221" s="831" t="str">
        <f t="shared" si="196"/>
        <v/>
      </c>
    </row>
    <row r="4222" spans="2:42">
      <c r="B4222" s="834" t="str">
        <f t="shared" si="195"/>
        <v>|||</v>
      </c>
      <c r="H4222" s="835">
        <f t="shared" si="197"/>
        <v>31</v>
      </c>
      <c r="AF4222" s="831" t="s">
        <v>4879</v>
      </c>
      <c r="AG4222" s="831" t="s">
        <v>2674</v>
      </c>
      <c r="AH4222" s="831" t="s">
        <v>573</v>
      </c>
      <c r="AI4222" s="831">
        <v>0</v>
      </c>
      <c r="AJ4222" s="835">
        <v>40147</v>
      </c>
      <c r="AK4222" s="831">
        <v>0</v>
      </c>
      <c r="AP4222" s="831" t="str">
        <f t="shared" si="196"/>
        <v/>
      </c>
    </row>
    <row r="4223" spans="2:42">
      <c r="B4223" s="834" t="str">
        <f t="shared" si="195"/>
        <v>|||</v>
      </c>
      <c r="H4223" s="835">
        <f t="shared" si="197"/>
        <v>31</v>
      </c>
      <c r="AF4223" s="831" t="s">
        <v>4880</v>
      </c>
      <c r="AG4223" s="831" t="s">
        <v>2674</v>
      </c>
      <c r="AH4223" s="831" t="s">
        <v>574</v>
      </c>
      <c r="AI4223" s="831">
        <v>0</v>
      </c>
      <c r="AJ4223" s="835">
        <v>40147</v>
      </c>
      <c r="AK4223" s="831">
        <v>0</v>
      </c>
      <c r="AP4223" s="831" t="str">
        <f t="shared" si="196"/>
        <v/>
      </c>
    </row>
    <row r="4224" spans="2:42">
      <c r="B4224" s="834" t="str">
        <f t="shared" si="195"/>
        <v>|||</v>
      </c>
      <c r="H4224" s="835">
        <f t="shared" si="197"/>
        <v>31</v>
      </c>
      <c r="AF4224" s="831" t="s">
        <v>4881</v>
      </c>
      <c r="AG4224" s="831" t="s">
        <v>2674</v>
      </c>
      <c r="AH4224" s="831" t="s">
        <v>575</v>
      </c>
      <c r="AI4224" s="831">
        <v>0</v>
      </c>
      <c r="AJ4224" s="835">
        <v>40147</v>
      </c>
      <c r="AK4224" s="831">
        <v>0</v>
      </c>
      <c r="AP4224" s="831" t="str">
        <f t="shared" si="196"/>
        <v/>
      </c>
    </row>
    <row r="4225" spans="2:42">
      <c r="B4225" s="834" t="str">
        <f t="shared" si="195"/>
        <v>|||</v>
      </c>
      <c r="H4225" s="835">
        <f t="shared" si="197"/>
        <v>31</v>
      </c>
      <c r="AF4225" s="831" t="s">
        <v>4882</v>
      </c>
      <c r="AG4225" s="831" t="s">
        <v>2674</v>
      </c>
      <c r="AH4225" s="831" t="s">
        <v>576</v>
      </c>
      <c r="AI4225" s="831">
        <v>0</v>
      </c>
      <c r="AJ4225" s="835">
        <v>40147</v>
      </c>
      <c r="AK4225" s="831">
        <v>0</v>
      </c>
      <c r="AP4225" s="831" t="str">
        <f t="shared" si="196"/>
        <v/>
      </c>
    </row>
    <row r="4226" spans="2:42">
      <c r="B4226" s="834" t="str">
        <f t="shared" si="195"/>
        <v>|||</v>
      </c>
      <c r="H4226" s="835">
        <f t="shared" si="197"/>
        <v>31</v>
      </c>
      <c r="AF4226" s="831" t="s">
        <v>4883</v>
      </c>
      <c r="AG4226" s="831" t="s">
        <v>2674</v>
      </c>
      <c r="AH4226" s="831" t="s">
        <v>572</v>
      </c>
      <c r="AI4226" s="831">
        <v>0</v>
      </c>
      <c r="AJ4226" s="835">
        <v>40147</v>
      </c>
      <c r="AK4226" s="831">
        <v>0</v>
      </c>
      <c r="AP4226" s="831" t="str">
        <f t="shared" si="196"/>
        <v/>
      </c>
    </row>
    <row r="4227" spans="2:42">
      <c r="B4227" s="834" t="str">
        <f t="shared" ref="B4227:B4290" si="198">C4227&amp;"|"&amp;D4227&amp;"|"&amp;E4227&amp;"|"&amp;F4227</f>
        <v>|||</v>
      </c>
      <c r="H4227" s="835">
        <f t="shared" si="197"/>
        <v>31</v>
      </c>
      <c r="AF4227" s="831" t="s">
        <v>4884</v>
      </c>
      <c r="AG4227" s="831" t="s">
        <v>2674</v>
      </c>
      <c r="AH4227" s="831" t="s">
        <v>577</v>
      </c>
      <c r="AI4227" s="831">
        <v>0</v>
      </c>
      <c r="AJ4227" s="835">
        <v>40147</v>
      </c>
      <c r="AK4227" s="831">
        <v>0</v>
      </c>
      <c r="AP4227" s="831" t="str">
        <f t="shared" ref="AP4227:AP4290" si="199">IF(AX4227&lt;&gt;"",IF(OR(AX4227=3,AX4227=4),"Equity","Debt"),"")</f>
        <v/>
      </c>
    </row>
    <row r="4228" spans="2:42">
      <c r="B4228" s="834" t="str">
        <f t="shared" si="198"/>
        <v>|||</v>
      </c>
      <c r="H4228" s="835">
        <f t="shared" ref="H4228:H4291" si="200">EOMONTH(L4228,0)</f>
        <v>31</v>
      </c>
      <c r="AF4228" s="831" t="s">
        <v>4885</v>
      </c>
      <c r="AG4228" s="831" t="s">
        <v>2674</v>
      </c>
      <c r="AH4228" s="831" t="s">
        <v>3042</v>
      </c>
      <c r="AI4228" s="831">
        <v>0</v>
      </c>
      <c r="AJ4228" s="835">
        <v>40147</v>
      </c>
      <c r="AK4228" s="831">
        <v>0</v>
      </c>
      <c r="AP4228" s="831" t="str">
        <f t="shared" si="199"/>
        <v/>
      </c>
    </row>
    <row r="4229" spans="2:42">
      <c r="B4229" s="834" t="str">
        <f t="shared" si="198"/>
        <v>|||</v>
      </c>
      <c r="H4229" s="835">
        <f t="shared" si="200"/>
        <v>31</v>
      </c>
      <c r="AF4229" s="831" t="s">
        <v>4886</v>
      </c>
      <c r="AG4229" s="831" t="s">
        <v>2674</v>
      </c>
      <c r="AH4229" s="831" t="s">
        <v>3044</v>
      </c>
      <c r="AI4229" s="831">
        <v>0</v>
      </c>
      <c r="AJ4229" s="835">
        <v>40147</v>
      </c>
      <c r="AK4229" s="831">
        <v>0</v>
      </c>
      <c r="AP4229" s="831" t="str">
        <f t="shared" si="199"/>
        <v/>
      </c>
    </row>
    <row r="4230" spans="2:42">
      <c r="B4230" s="834" t="str">
        <f t="shared" si="198"/>
        <v>|||</v>
      </c>
      <c r="H4230" s="835">
        <f t="shared" si="200"/>
        <v>31</v>
      </c>
      <c r="AF4230" s="831" t="s">
        <v>4887</v>
      </c>
      <c r="AG4230" s="831" t="s">
        <v>2674</v>
      </c>
      <c r="AH4230" s="831" t="s">
        <v>580</v>
      </c>
      <c r="AI4230" s="831">
        <v>0</v>
      </c>
      <c r="AJ4230" s="835">
        <v>40147</v>
      </c>
      <c r="AK4230" s="831">
        <v>0</v>
      </c>
      <c r="AP4230" s="831" t="str">
        <f t="shared" si="199"/>
        <v/>
      </c>
    </row>
    <row r="4231" spans="2:42">
      <c r="B4231" s="834" t="str">
        <f t="shared" si="198"/>
        <v>|||</v>
      </c>
      <c r="H4231" s="835">
        <f t="shared" si="200"/>
        <v>31</v>
      </c>
      <c r="AF4231" s="831" t="s">
        <v>4888</v>
      </c>
      <c r="AG4231" s="831" t="s">
        <v>2674</v>
      </c>
      <c r="AH4231" s="831" t="s">
        <v>581</v>
      </c>
      <c r="AI4231" s="831">
        <v>0</v>
      </c>
      <c r="AJ4231" s="835">
        <v>40147</v>
      </c>
      <c r="AK4231" s="831">
        <v>0</v>
      </c>
      <c r="AP4231" s="831" t="str">
        <f t="shared" si="199"/>
        <v/>
      </c>
    </row>
    <row r="4232" spans="2:42">
      <c r="B4232" s="834" t="str">
        <f t="shared" si="198"/>
        <v>|||</v>
      </c>
      <c r="H4232" s="835">
        <f t="shared" si="200"/>
        <v>31</v>
      </c>
      <c r="AF4232" s="831" t="s">
        <v>4889</v>
      </c>
      <c r="AG4232" s="831" t="s">
        <v>2674</v>
      </c>
      <c r="AH4232" s="831" t="s">
        <v>105</v>
      </c>
      <c r="AI4232" s="831">
        <v>0</v>
      </c>
      <c r="AJ4232" s="835">
        <v>40147</v>
      </c>
      <c r="AK4232" s="831">
        <v>166742271</v>
      </c>
      <c r="AP4232" s="831" t="str">
        <f t="shared" si="199"/>
        <v/>
      </c>
    </row>
    <row r="4233" spans="2:42">
      <c r="B4233" s="834" t="str">
        <f t="shared" si="198"/>
        <v>|||</v>
      </c>
      <c r="H4233" s="835">
        <f t="shared" si="200"/>
        <v>31</v>
      </c>
      <c r="AF4233" s="831" t="s">
        <v>4890</v>
      </c>
      <c r="AG4233" s="831" t="s">
        <v>2674</v>
      </c>
      <c r="AH4233" s="831" t="s">
        <v>3049</v>
      </c>
      <c r="AI4233" s="831">
        <v>0</v>
      </c>
      <c r="AJ4233" s="835">
        <v>40147</v>
      </c>
      <c r="AK4233" s="831">
        <v>232021408</v>
      </c>
      <c r="AP4233" s="831" t="str">
        <f t="shared" si="199"/>
        <v/>
      </c>
    </row>
    <row r="4234" spans="2:42">
      <c r="B4234" s="834" t="str">
        <f t="shared" si="198"/>
        <v>|||</v>
      </c>
      <c r="H4234" s="835">
        <f t="shared" si="200"/>
        <v>31</v>
      </c>
      <c r="AF4234" s="831" t="s">
        <v>4891</v>
      </c>
      <c r="AG4234" s="831" t="s">
        <v>2674</v>
      </c>
      <c r="AH4234" s="831" t="s">
        <v>103</v>
      </c>
      <c r="AI4234" s="831">
        <v>0</v>
      </c>
      <c r="AJ4234" s="835">
        <v>40147</v>
      </c>
      <c r="AK4234" s="831">
        <v>65279137</v>
      </c>
      <c r="AP4234" s="831" t="str">
        <f t="shared" si="199"/>
        <v/>
      </c>
    </row>
    <row r="4235" spans="2:42">
      <c r="B4235" s="834" t="str">
        <f t="shared" si="198"/>
        <v>|||</v>
      </c>
      <c r="H4235" s="835">
        <f t="shared" si="200"/>
        <v>31</v>
      </c>
      <c r="AF4235" s="831" t="s">
        <v>4892</v>
      </c>
      <c r="AG4235" s="831" t="s">
        <v>2674</v>
      </c>
      <c r="AH4235" s="831" t="s">
        <v>182</v>
      </c>
      <c r="AI4235" s="831">
        <v>0</v>
      </c>
      <c r="AJ4235" s="835">
        <v>40147</v>
      </c>
      <c r="AK4235" s="831">
        <v>26346235.636363599</v>
      </c>
      <c r="AP4235" s="831" t="str">
        <f t="shared" si="199"/>
        <v/>
      </c>
    </row>
    <row r="4236" spans="2:42">
      <c r="B4236" s="834" t="str">
        <f t="shared" si="198"/>
        <v>|||</v>
      </c>
      <c r="H4236" s="835">
        <f t="shared" si="200"/>
        <v>31</v>
      </c>
      <c r="AF4236" s="831" t="s">
        <v>4893</v>
      </c>
      <c r="AG4236" s="831" t="s">
        <v>2674</v>
      </c>
      <c r="AH4236" s="831" t="s">
        <v>546</v>
      </c>
      <c r="AI4236" s="831">
        <v>0</v>
      </c>
      <c r="AJ4236" s="835">
        <v>40178</v>
      </c>
      <c r="AK4236" s="831">
        <v>238513487</v>
      </c>
      <c r="AP4236" s="831" t="str">
        <f t="shared" si="199"/>
        <v/>
      </c>
    </row>
    <row r="4237" spans="2:42">
      <c r="B4237" s="834" t="str">
        <f t="shared" si="198"/>
        <v>|||</v>
      </c>
      <c r="H4237" s="835">
        <f t="shared" si="200"/>
        <v>31</v>
      </c>
      <c r="AF4237" s="831" t="s">
        <v>4894</v>
      </c>
      <c r="AG4237" s="831" t="s">
        <v>2674</v>
      </c>
      <c r="AH4237" s="831" t="s">
        <v>370</v>
      </c>
      <c r="AI4237" s="831">
        <v>0</v>
      </c>
      <c r="AJ4237" s="835">
        <v>40178</v>
      </c>
      <c r="AK4237" s="831">
        <v>300771927</v>
      </c>
      <c r="AP4237" s="831" t="str">
        <f t="shared" si="199"/>
        <v/>
      </c>
    </row>
    <row r="4238" spans="2:42">
      <c r="B4238" s="834" t="str">
        <f t="shared" si="198"/>
        <v>|||</v>
      </c>
      <c r="H4238" s="835">
        <f t="shared" si="200"/>
        <v>31</v>
      </c>
      <c r="AF4238" s="831" t="s">
        <v>4895</v>
      </c>
      <c r="AG4238" s="831" t="s">
        <v>2674</v>
      </c>
      <c r="AH4238" s="831" t="s">
        <v>126</v>
      </c>
      <c r="AI4238" s="831">
        <v>0</v>
      </c>
      <c r="AJ4238" s="835">
        <v>40178</v>
      </c>
      <c r="AK4238" s="831">
        <v>53285282</v>
      </c>
      <c r="AP4238" s="831" t="str">
        <f t="shared" si="199"/>
        <v/>
      </c>
    </row>
    <row r="4239" spans="2:42">
      <c r="B4239" s="834" t="str">
        <f t="shared" si="198"/>
        <v>|||</v>
      </c>
      <c r="H4239" s="835">
        <f t="shared" si="200"/>
        <v>31</v>
      </c>
      <c r="AF4239" s="831" t="s">
        <v>4896</v>
      </c>
      <c r="AG4239" s="831" t="s">
        <v>2674</v>
      </c>
      <c r="AH4239" s="831" t="s">
        <v>268</v>
      </c>
      <c r="AI4239" s="831">
        <v>0</v>
      </c>
      <c r="AJ4239" s="835">
        <v>40178</v>
      </c>
      <c r="AK4239" s="831">
        <v>19986357.8100922</v>
      </c>
      <c r="AP4239" s="831" t="str">
        <f t="shared" si="199"/>
        <v/>
      </c>
    </row>
    <row r="4240" spans="2:42">
      <c r="B4240" s="834" t="str">
        <f t="shared" si="198"/>
        <v>|||</v>
      </c>
      <c r="H4240" s="835">
        <f t="shared" si="200"/>
        <v>31</v>
      </c>
      <c r="AF4240" s="831" t="s">
        <v>4897</v>
      </c>
      <c r="AG4240" s="831" t="s">
        <v>2674</v>
      </c>
      <c r="AH4240" s="831" t="s">
        <v>547</v>
      </c>
      <c r="AI4240" s="831">
        <v>0</v>
      </c>
      <c r="AJ4240" s="835">
        <v>40178</v>
      </c>
      <c r="AK4240" s="831">
        <v>0</v>
      </c>
      <c r="AP4240" s="831" t="str">
        <f t="shared" si="199"/>
        <v/>
      </c>
    </row>
    <row r="4241" spans="2:42">
      <c r="B4241" s="834" t="str">
        <f t="shared" si="198"/>
        <v>|||</v>
      </c>
      <c r="H4241" s="835">
        <f t="shared" si="200"/>
        <v>31</v>
      </c>
      <c r="AF4241" s="831" t="s">
        <v>4898</v>
      </c>
      <c r="AG4241" s="831" t="s">
        <v>2674</v>
      </c>
      <c r="AH4241" s="831" t="s">
        <v>548</v>
      </c>
      <c r="AI4241" s="831">
        <v>0</v>
      </c>
      <c r="AJ4241" s="835">
        <v>40178</v>
      </c>
      <c r="AK4241" s="831">
        <v>0</v>
      </c>
      <c r="AP4241" s="831" t="str">
        <f t="shared" si="199"/>
        <v/>
      </c>
    </row>
    <row r="4242" spans="2:42">
      <c r="B4242" s="834" t="str">
        <f t="shared" si="198"/>
        <v>|||</v>
      </c>
      <c r="H4242" s="835">
        <f t="shared" si="200"/>
        <v>31</v>
      </c>
      <c r="AF4242" s="831" t="s">
        <v>4899</v>
      </c>
      <c r="AG4242" s="831" t="s">
        <v>2674</v>
      </c>
      <c r="AH4242" s="831" t="s">
        <v>549</v>
      </c>
      <c r="AI4242" s="831">
        <v>0</v>
      </c>
      <c r="AJ4242" s="835">
        <v>40178</v>
      </c>
      <c r="AK4242" s="831">
        <v>0</v>
      </c>
      <c r="AP4242" s="831" t="str">
        <f t="shared" si="199"/>
        <v/>
      </c>
    </row>
    <row r="4243" spans="2:42">
      <c r="B4243" s="834" t="str">
        <f t="shared" si="198"/>
        <v>|||</v>
      </c>
      <c r="H4243" s="835">
        <f t="shared" si="200"/>
        <v>31</v>
      </c>
      <c r="AF4243" s="831" t="s">
        <v>4900</v>
      </c>
      <c r="AG4243" s="831" t="s">
        <v>2674</v>
      </c>
      <c r="AH4243" s="831" t="s">
        <v>192</v>
      </c>
      <c r="AI4243" s="831">
        <v>0</v>
      </c>
      <c r="AJ4243" s="835">
        <v>40178</v>
      </c>
      <c r="AK4243" s="831">
        <v>-6593186</v>
      </c>
      <c r="AP4243" s="831" t="str">
        <f t="shared" si="199"/>
        <v/>
      </c>
    </row>
    <row r="4244" spans="2:42">
      <c r="B4244" s="834" t="str">
        <f t="shared" si="198"/>
        <v>|||</v>
      </c>
      <c r="H4244" s="835">
        <f t="shared" si="200"/>
        <v>31</v>
      </c>
      <c r="AF4244" s="831" t="s">
        <v>4901</v>
      </c>
      <c r="AG4244" s="831" t="s">
        <v>2674</v>
      </c>
      <c r="AH4244" s="831" t="s">
        <v>558</v>
      </c>
      <c r="AI4244" s="831">
        <v>0</v>
      </c>
      <c r="AJ4244" s="835">
        <v>40178</v>
      </c>
      <c r="AK4244" s="831">
        <v>247486645</v>
      </c>
      <c r="AP4244" s="831" t="str">
        <f t="shared" si="199"/>
        <v/>
      </c>
    </row>
    <row r="4245" spans="2:42">
      <c r="B4245" s="834" t="str">
        <f t="shared" si="198"/>
        <v>|||</v>
      </c>
      <c r="H4245" s="835">
        <f t="shared" si="200"/>
        <v>31</v>
      </c>
      <c r="AF4245" s="831" t="s">
        <v>4902</v>
      </c>
      <c r="AG4245" s="831" t="s">
        <v>2674</v>
      </c>
      <c r="AH4245" s="831" t="s">
        <v>65</v>
      </c>
      <c r="AI4245" s="831">
        <v>0</v>
      </c>
      <c r="AJ4245" s="835">
        <v>40178</v>
      </c>
      <c r="AK4245" s="831">
        <v>69350264</v>
      </c>
      <c r="AP4245" s="831" t="str">
        <f t="shared" si="199"/>
        <v/>
      </c>
    </row>
    <row r="4246" spans="2:42">
      <c r="B4246" s="834" t="str">
        <f t="shared" si="198"/>
        <v>|||</v>
      </c>
      <c r="H4246" s="835">
        <f t="shared" si="200"/>
        <v>31</v>
      </c>
      <c r="AF4246" s="831" t="s">
        <v>4903</v>
      </c>
      <c r="AG4246" s="831" t="s">
        <v>2674</v>
      </c>
      <c r="AH4246" s="831" t="s">
        <v>89</v>
      </c>
      <c r="AI4246" s="831">
        <v>0</v>
      </c>
      <c r="AJ4246" s="835">
        <v>40178</v>
      </c>
      <c r="AK4246" s="831">
        <v>97882</v>
      </c>
      <c r="AP4246" s="831" t="str">
        <f t="shared" si="199"/>
        <v/>
      </c>
    </row>
    <row r="4247" spans="2:42">
      <c r="B4247" s="834" t="str">
        <f t="shared" si="198"/>
        <v>|||</v>
      </c>
      <c r="H4247" s="835">
        <f t="shared" si="200"/>
        <v>31</v>
      </c>
      <c r="AF4247" s="831" t="s">
        <v>4904</v>
      </c>
      <c r="AG4247" s="831" t="s">
        <v>2674</v>
      </c>
      <c r="AH4247" s="831" t="s">
        <v>557</v>
      </c>
      <c r="AI4247" s="831">
        <v>0</v>
      </c>
      <c r="AJ4247" s="835">
        <v>40178</v>
      </c>
      <c r="AK4247" s="831">
        <v>100489</v>
      </c>
      <c r="AP4247" s="831" t="str">
        <f t="shared" si="199"/>
        <v/>
      </c>
    </row>
    <row r="4248" spans="2:42">
      <c r="B4248" s="834" t="str">
        <f t="shared" si="198"/>
        <v>|||</v>
      </c>
      <c r="H4248" s="835">
        <f t="shared" si="200"/>
        <v>31</v>
      </c>
      <c r="AF4248" s="831" t="s">
        <v>4905</v>
      </c>
      <c r="AG4248" s="831" t="s">
        <v>2674</v>
      </c>
      <c r="AH4248" s="831" t="s">
        <v>29</v>
      </c>
      <c r="AI4248" s="831">
        <v>0</v>
      </c>
      <c r="AJ4248" s="835">
        <v>40178</v>
      </c>
      <c r="AK4248" s="831">
        <v>2027570</v>
      </c>
      <c r="AP4248" s="831" t="str">
        <f t="shared" si="199"/>
        <v/>
      </c>
    </row>
    <row r="4249" spans="2:42">
      <c r="B4249" s="834" t="str">
        <f t="shared" si="198"/>
        <v>|||</v>
      </c>
      <c r="H4249" s="835">
        <f t="shared" si="200"/>
        <v>31</v>
      </c>
      <c r="AF4249" s="831" t="s">
        <v>4906</v>
      </c>
      <c r="AG4249" s="831" t="s">
        <v>2674</v>
      </c>
      <c r="AH4249" s="831" t="s">
        <v>2688</v>
      </c>
      <c r="AI4249" s="831">
        <v>0</v>
      </c>
      <c r="AJ4249" s="835">
        <v>40178</v>
      </c>
      <c r="AK4249" s="831">
        <v>872285</v>
      </c>
      <c r="AP4249" s="831" t="str">
        <f t="shared" si="199"/>
        <v/>
      </c>
    </row>
    <row r="4250" spans="2:42">
      <c r="B4250" s="834" t="str">
        <f t="shared" si="198"/>
        <v>|||</v>
      </c>
      <c r="H4250" s="835">
        <f t="shared" si="200"/>
        <v>31</v>
      </c>
      <c r="AF4250" s="831" t="s">
        <v>4907</v>
      </c>
      <c r="AG4250" s="831" t="s">
        <v>2674</v>
      </c>
      <c r="AH4250" s="831" t="s">
        <v>556</v>
      </c>
      <c r="AI4250" s="831">
        <v>0</v>
      </c>
      <c r="AJ4250" s="835">
        <v>40178</v>
      </c>
      <c r="AK4250" s="831">
        <v>1074473.9946000001</v>
      </c>
      <c r="AP4250" s="831" t="str">
        <f t="shared" si="199"/>
        <v/>
      </c>
    </row>
    <row r="4251" spans="2:42">
      <c r="B4251" s="834" t="str">
        <f t="shared" si="198"/>
        <v>|||</v>
      </c>
      <c r="H4251" s="835">
        <f t="shared" si="200"/>
        <v>31</v>
      </c>
      <c r="AF4251" s="831" t="s">
        <v>4908</v>
      </c>
      <c r="AG4251" s="831" t="s">
        <v>2674</v>
      </c>
      <c r="AH4251" s="831" t="s">
        <v>555</v>
      </c>
      <c r="AI4251" s="831">
        <v>0</v>
      </c>
      <c r="AJ4251" s="835">
        <v>40178</v>
      </c>
      <c r="AK4251" s="831">
        <v>205918723</v>
      </c>
      <c r="AP4251" s="831" t="str">
        <f t="shared" si="199"/>
        <v/>
      </c>
    </row>
    <row r="4252" spans="2:42">
      <c r="B4252" s="834" t="str">
        <f t="shared" si="198"/>
        <v>|||</v>
      </c>
      <c r="H4252" s="835">
        <f t="shared" si="200"/>
        <v>31</v>
      </c>
      <c r="AF4252" s="831" t="s">
        <v>4909</v>
      </c>
      <c r="AG4252" s="831" t="s">
        <v>2674</v>
      </c>
      <c r="AH4252" s="831" t="s">
        <v>554</v>
      </c>
      <c r="AI4252" s="831">
        <v>0</v>
      </c>
      <c r="AJ4252" s="835">
        <v>40178</v>
      </c>
      <c r="AK4252" s="831">
        <v>191879350</v>
      </c>
      <c r="AP4252" s="831" t="str">
        <f t="shared" si="199"/>
        <v/>
      </c>
    </row>
    <row r="4253" spans="2:42">
      <c r="B4253" s="834" t="str">
        <f t="shared" si="198"/>
        <v>|||</v>
      </c>
      <c r="H4253" s="835">
        <f t="shared" si="200"/>
        <v>31</v>
      </c>
      <c r="AF4253" s="831" t="s">
        <v>4910</v>
      </c>
      <c r="AG4253" s="831" t="s">
        <v>2674</v>
      </c>
      <c r="AH4253" s="831" t="s">
        <v>553</v>
      </c>
      <c r="AI4253" s="831">
        <v>0</v>
      </c>
      <c r="AJ4253" s="835">
        <v>40178</v>
      </c>
      <c r="AK4253" s="831">
        <v>0</v>
      </c>
      <c r="AP4253" s="831" t="str">
        <f t="shared" si="199"/>
        <v/>
      </c>
    </row>
    <row r="4254" spans="2:42">
      <c r="B4254" s="834" t="str">
        <f t="shared" si="198"/>
        <v>|||</v>
      </c>
      <c r="H4254" s="835">
        <f t="shared" si="200"/>
        <v>31</v>
      </c>
      <c r="AF4254" s="831" t="s">
        <v>4911</v>
      </c>
      <c r="AG4254" s="831" t="s">
        <v>2674</v>
      </c>
      <c r="AH4254" s="831" t="s">
        <v>552</v>
      </c>
      <c r="AI4254" s="831">
        <v>0</v>
      </c>
      <c r="AJ4254" s="835">
        <v>40178</v>
      </c>
      <c r="AK4254" s="831">
        <v>0</v>
      </c>
      <c r="AP4254" s="831" t="str">
        <f t="shared" si="199"/>
        <v/>
      </c>
    </row>
    <row r="4255" spans="2:42">
      <c r="B4255" s="834" t="str">
        <f t="shared" si="198"/>
        <v>|||</v>
      </c>
      <c r="H4255" s="835">
        <f t="shared" si="200"/>
        <v>31</v>
      </c>
      <c r="AF4255" s="831" t="s">
        <v>4912</v>
      </c>
      <c r="AG4255" s="831" t="s">
        <v>2674</v>
      </c>
      <c r="AH4255" s="831" t="s">
        <v>551</v>
      </c>
      <c r="AI4255" s="831">
        <v>0</v>
      </c>
      <c r="AJ4255" s="835">
        <v>40178</v>
      </c>
      <c r="AK4255" s="831">
        <v>1946233</v>
      </c>
      <c r="AP4255" s="831" t="str">
        <f t="shared" si="199"/>
        <v/>
      </c>
    </row>
    <row r="4256" spans="2:42">
      <c r="B4256" s="834" t="str">
        <f t="shared" si="198"/>
        <v>|||</v>
      </c>
      <c r="H4256" s="835">
        <f t="shared" si="200"/>
        <v>31</v>
      </c>
      <c r="AF4256" s="831" t="s">
        <v>4913</v>
      </c>
      <c r="AG4256" s="831" t="s">
        <v>2674</v>
      </c>
      <c r="AH4256" s="831" t="s">
        <v>550</v>
      </c>
      <c r="AI4256" s="831">
        <v>0</v>
      </c>
      <c r="AJ4256" s="835">
        <v>40178</v>
      </c>
      <c r="AK4256" s="831">
        <v>51712384</v>
      </c>
      <c r="AP4256" s="831" t="str">
        <f t="shared" si="199"/>
        <v/>
      </c>
    </row>
    <row r="4257" spans="2:42">
      <c r="B4257" s="834" t="str">
        <f t="shared" si="198"/>
        <v>|||</v>
      </c>
      <c r="H4257" s="835">
        <f t="shared" si="200"/>
        <v>31</v>
      </c>
      <c r="AF4257" s="831" t="s">
        <v>4914</v>
      </c>
      <c r="AG4257" s="831" t="s">
        <v>2674</v>
      </c>
      <c r="AH4257" s="831" t="s">
        <v>562</v>
      </c>
      <c r="AI4257" s="831">
        <v>0</v>
      </c>
      <c r="AJ4257" s="835">
        <v>40178</v>
      </c>
      <c r="AK4257" s="831">
        <v>0.8</v>
      </c>
      <c r="AP4257" s="831" t="str">
        <f t="shared" si="199"/>
        <v/>
      </c>
    </row>
    <row r="4258" spans="2:42">
      <c r="B4258" s="834" t="str">
        <f t="shared" si="198"/>
        <v>|||</v>
      </c>
      <c r="H4258" s="835">
        <f t="shared" si="200"/>
        <v>31</v>
      </c>
      <c r="AF4258" s="831" t="s">
        <v>4915</v>
      </c>
      <c r="AG4258" s="831" t="s">
        <v>2674</v>
      </c>
      <c r="AH4258" s="831" t="s">
        <v>2698</v>
      </c>
      <c r="AI4258" s="831">
        <v>0</v>
      </c>
      <c r="AJ4258" s="835">
        <v>40178</v>
      </c>
      <c r="AK4258" s="831">
        <v>0.8</v>
      </c>
      <c r="AP4258" s="831" t="str">
        <f t="shared" si="199"/>
        <v/>
      </c>
    </row>
    <row r="4259" spans="2:42">
      <c r="B4259" s="834" t="str">
        <f t="shared" si="198"/>
        <v>|||</v>
      </c>
      <c r="H4259" s="835">
        <f t="shared" si="200"/>
        <v>31</v>
      </c>
      <c r="AF4259" s="831" t="s">
        <v>4916</v>
      </c>
      <c r="AG4259" s="831" t="s">
        <v>2674</v>
      </c>
      <c r="AH4259" s="831" t="s">
        <v>560</v>
      </c>
      <c r="AI4259" s="831">
        <v>0</v>
      </c>
      <c r="AJ4259" s="835">
        <v>40178</v>
      </c>
      <c r="AK4259" s="831">
        <v>0.80249999999999999</v>
      </c>
      <c r="AP4259" s="831" t="str">
        <f t="shared" si="199"/>
        <v/>
      </c>
    </row>
    <row r="4260" spans="2:42">
      <c r="B4260" s="834" t="str">
        <f t="shared" si="198"/>
        <v>|||</v>
      </c>
      <c r="H4260" s="835">
        <f t="shared" si="200"/>
        <v>31</v>
      </c>
      <c r="AF4260" s="831" t="s">
        <v>4917</v>
      </c>
      <c r="AG4260" s="831" t="s">
        <v>2674</v>
      </c>
      <c r="AH4260" s="831" t="s">
        <v>559</v>
      </c>
      <c r="AI4260" s="831">
        <v>0</v>
      </c>
      <c r="AJ4260" s="835">
        <v>40178</v>
      </c>
      <c r="AK4260" s="831">
        <v>0.80249999999999999</v>
      </c>
      <c r="AP4260" s="831" t="str">
        <f t="shared" si="199"/>
        <v/>
      </c>
    </row>
    <row r="4261" spans="2:42">
      <c r="B4261" s="834" t="str">
        <f t="shared" si="198"/>
        <v>|||</v>
      </c>
      <c r="H4261" s="835">
        <f t="shared" si="200"/>
        <v>31</v>
      </c>
      <c r="AF4261" s="831" t="s">
        <v>4918</v>
      </c>
      <c r="AG4261" s="831" t="s">
        <v>2674</v>
      </c>
      <c r="AH4261" s="831" t="s">
        <v>568</v>
      </c>
      <c r="AI4261" s="831">
        <v>0</v>
      </c>
      <c r="AJ4261" s="835">
        <v>40178</v>
      </c>
      <c r="AK4261" s="831">
        <v>0</v>
      </c>
      <c r="AP4261" s="831" t="str">
        <f t="shared" si="199"/>
        <v/>
      </c>
    </row>
    <row r="4262" spans="2:42">
      <c r="B4262" s="834" t="str">
        <f t="shared" si="198"/>
        <v>|||</v>
      </c>
      <c r="H4262" s="835">
        <f t="shared" si="200"/>
        <v>31</v>
      </c>
      <c r="AF4262" s="831" t="s">
        <v>4919</v>
      </c>
      <c r="AG4262" s="831" t="s">
        <v>2674</v>
      </c>
      <c r="AH4262" s="831" t="s">
        <v>569</v>
      </c>
      <c r="AI4262" s="831">
        <v>0</v>
      </c>
      <c r="AJ4262" s="835">
        <v>40178</v>
      </c>
      <c r="AK4262" s="831">
        <v>0</v>
      </c>
      <c r="AP4262" s="831" t="str">
        <f t="shared" si="199"/>
        <v/>
      </c>
    </row>
    <row r="4263" spans="2:42">
      <c r="B4263" s="834" t="str">
        <f t="shared" si="198"/>
        <v>|||</v>
      </c>
      <c r="H4263" s="835">
        <f t="shared" si="200"/>
        <v>31</v>
      </c>
      <c r="AF4263" s="831" t="s">
        <v>4920</v>
      </c>
      <c r="AG4263" s="831" t="s">
        <v>2674</v>
      </c>
      <c r="AH4263" s="831" t="s">
        <v>570</v>
      </c>
      <c r="AI4263" s="831">
        <v>0</v>
      </c>
      <c r="AJ4263" s="835">
        <v>40178</v>
      </c>
      <c r="AK4263" s="831">
        <v>0</v>
      </c>
      <c r="AP4263" s="831" t="str">
        <f t="shared" si="199"/>
        <v/>
      </c>
    </row>
    <row r="4264" spans="2:42">
      <c r="B4264" s="834" t="str">
        <f t="shared" si="198"/>
        <v>|||</v>
      </c>
      <c r="H4264" s="835">
        <f t="shared" si="200"/>
        <v>31</v>
      </c>
      <c r="AF4264" s="831" t="s">
        <v>4921</v>
      </c>
      <c r="AG4264" s="831" t="s">
        <v>2674</v>
      </c>
      <c r="AH4264" s="831" t="s">
        <v>571</v>
      </c>
      <c r="AI4264" s="831">
        <v>0</v>
      </c>
      <c r="AJ4264" s="835">
        <v>40178</v>
      </c>
      <c r="AK4264" s="831">
        <v>0</v>
      </c>
      <c r="AP4264" s="831" t="str">
        <f t="shared" si="199"/>
        <v/>
      </c>
    </row>
    <row r="4265" spans="2:42">
      <c r="B4265" s="834" t="str">
        <f t="shared" si="198"/>
        <v>|||</v>
      </c>
      <c r="H4265" s="835">
        <f t="shared" si="200"/>
        <v>31</v>
      </c>
      <c r="AF4265" s="831" t="s">
        <v>4922</v>
      </c>
      <c r="AG4265" s="831" t="s">
        <v>2674</v>
      </c>
      <c r="AH4265" s="831" t="s">
        <v>573</v>
      </c>
      <c r="AI4265" s="831">
        <v>0</v>
      </c>
      <c r="AJ4265" s="835">
        <v>40178</v>
      </c>
      <c r="AK4265" s="831">
        <v>0</v>
      </c>
      <c r="AP4265" s="831" t="str">
        <f t="shared" si="199"/>
        <v/>
      </c>
    </row>
    <row r="4266" spans="2:42">
      <c r="B4266" s="834" t="str">
        <f t="shared" si="198"/>
        <v>|||</v>
      </c>
      <c r="H4266" s="835">
        <f t="shared" si="200"/>
        <v>31</v>
      </c>
      <c r="AF4266" s="831" t="s">
        <v>4923</v>
      </c>
      <c r="AG4266" s="831" t="s">
        <v>2674</v>
      </c>
      <c r="AH4266" s="831" t="s">
        <v>574</v>
      </c>
      <c r="AI4266" s="831">
        <v>0</v>
      </c>
      <c r="AJ4266" s="835">
        <v>40178</v>
      </c>
      <c r="AK4266" s="831">
        <v>0</v>
      </c>
      <c r="AP4266" s="831" t="str">
        <f t="shared" si="199"/>
        <v/>
      </c>
    </row>
    <row r="4267" spans="2:42">
      <c r="B4267" s="834" t="str">
        <f t="shared" si="198"/>
        <v>|||</v>
      </c>
      <c r="H4267" s="835">
        <f t="shared" si="200"/>
        <v>31</v>
      </c>
      <c r="AF4267" s="831" t="s">
        <v>4924</v>
      </c>
      <c r="AG4267" s="831" t="s">
        <v>2674</v>
      </c>
      <c r="AH4267" s="831" t="s">
        <v>575</v>
      </c>
      <c r="AI4267" s="831">
        <v>0</v>
      </c>
      <c r="AJ4267" s="835">
        <v>40178</v>
      </c>
      <c r="AK4267" s="831">
        <v>0</v>
      </c>
      <c r="AP4267" s="831" t="str">
        <f t="shared" si="199"/>
        <v/>
      </c>
    </row>
    <row r="4268" spans="2:42">
      <c r="B4268" s="834" t="str">
        <f t="shared" si="198"/>
        <v>|||</v>
      </c>
      <c r="H4268" s="835">
        <f t="shared" si="200"/>
        <v>31</v>
      </c>
      <c r="AF4268" s="831" t="s">
        <v>4925</v>
      </c>
      <c r="AG4268" s="831" t="s">
        <v>2674</v>
      </c>
      <c r="AH4268" s="831" t="s">
        <v>576</v>
      </c>
      <c r="AI4268" s="831">
        <v>0</v>
      </c>
      <c r="AJ4268" s="835">
        <v>40178</v>
      </c>
      <c r="AK4268" s="831">
        <v>0</v>
      </c>
      <c r="AP4268" s="831" t="str">
        <f t="shared" si="199"/>
        <v/>
      </c>
    </row>
    <row r="4269" spans="2:42">
      <c r="B4269" s="834" t="str">
        <f t="shared" si="198"/>
        <v>|||</v>
      </c>
      <c r="H4269" s="835">
        <f t="shared" si="200"/>
        <v>31</v>
      </c>
      <c r="AF4269" s="831" t="s">
        <v>4926</v>
      </c>
      <c r="AG4269" s="831" t="s">
        <v>2674</v>
      </c>
      <c r="AH4269" s="831" t="s">
        <v>572</v>
      </c>
      <c r="AI4269" s="831">
        <v>0</v>
      </c>
      <c r="AJ4269" s="835">
        <v>40178</v>
      </c>
      <c r="AK4269" s="831">
        <v>0</v>
      </c>
      <c r="AP4269" s="831" t="str">
        <f t="shared" si="199"/>
        <v/>
      </c>
    </row>
    <row r="4270" spans="2:42">
      <c r="B4270" s="834" t="str">
        <f t="shared" si="198"/>
        <v>|||</v>
      </c>
      <c r="H4270" s="835">
        <f t="shared" si="200"/>
        <v>31</v>
      </c>
      <c r="AF4270" s="831" t="s">
        <v>4927</v>
      </c>
      <c r="AG4270" s="831" t="s">
        <v>2674</v>
      </c>
      <c r="AH4270" s="831" t="s">
        <v>577</v>
      </c>
      <c r="AI4270" s="831">
        <v>0</v>
      </c>
      <c r="AJ4270" s="835">
        <v>40178</v>
      </c>
      <c r="AK4270" s="831">
        <v>0</v>
      </c>
      <c r="AP4270" s="831" t="str">
        <f t="shared" si="199"/>
        <v/>
      </c>
    </row>
    <row r="4271" spans="2:42">
      <c r="B4271" s="834" t="str">
        <f t="shared" si="198"/>
        <v>|||</v>
      </c>
      <c r="H4271" s="835">
        <f t="shared" si="200"/>
        <v>31</v>
      </c>
      <c r="AF4271" s="831" t="s">
        <v>4928</v>
      </c>
      <c r="AG4271" s="831" t="s">
        <v>2674</v>
      </c>
      <c r="AH4271" s="831" t="s">
        <v>3042</v>
      </c>
      <c r="AI4271" s="831">
        <v>0</v>
      </c>
      <c r="AJ4271" s="835">
        <v>40178</v>
      </c>
      <c r="AK4271" s="831">
        <v>0</v>
      </c>
      <c r="AP4271" s="831" t="str">
        <f t="shared" si="199"/>
        <v/>
      </c>
    </row>
    <row r="4272" spans="2:42">
      <c r="B4272" s="834" t="str">
        <f t="shared" si="198"/>
        <v>|||</v>
      </c>
      <c r="H4272" s="835">
        <f t="shared" si="200"/>
        <v>31</v>
      </c>
      <c r="AF4272" s="831" t="s">
        <v>4929</v>
      </c>
      <c r="AG4272" s="831" t="s">
        <v>2674</v>
      </c>
      <c r="AH4272" s="831" t="s">
        <v>3044</v>
      </c>
      <c r="AI4272" s="831">
        <v>0</v>
      </c>
      <c r="AJ4272" s="835">
        <v>40178</v>
      </c>
      <c r="AK4272" s="831">
        <v>0</v>
      </c>
      <c r="AP4272" s="831" t="str">
        <f t="shared" si="199"/>
        <v/>
      </c>
    </row>
    <row r="4273" spans="2:42">
      <c r="B4273" s="834" t="str">
        <f t="shared" si="198"/>
        <v>|||</v>
      </c>
      <c r="H4273" s="835">
        <f t="shared" si="200"/>
        <v>31</v>
      </c>
      <c r="AF4273" s="831" t="s">
        <v>4930</v>
      </c>
      <c r="AG4273" s="831" t="s">
        <v>2674</v>
      </c>
      <c r="AH4273" s="831" t="s">
        <v>580</v>
      </c>
      <c r="AI4273" s="831">
        <v>0</v>
      </c>
      <c r="AJ4273" s="835">
        <v>40178</v>
      </c>
      <c r="AK4273" s="831">
        <v>0</v>
      </c>
      <c r="AP4273" s="831" t="str">
        <f t="shared" si="199"/>
        <v/>
      </c>
    </row>
    <row r="4274" spans="2:42">
      <c r="B4274" s="834" t="str">
        <f t="shared" si="198"/>
        <v>|||</v>
      </c>
      <c r="H4274" s="835">
        <f t="shared" si="200"/>
        <v>31</v>
      </c>
      <c r="AF4274" s="831" t="s">
        <v>4931</v>
      </c>
      <c r="AG4274" s="831" t="s">
        <v>2674</v>
      </c>
      <c r="AH4274" s="831" t="s">
        <v>581</v>
      </c>
      <c r="AI4274" s="831">
        <v>0</v>
      </c>
      <c r="AJ4274" s="835">
        <v>40178</v>
      </c>
      <c r="AK4274" s="831">
        <v>0</v>
      </c>
      <c r="AP4274" s="831" t="str">
        <f t="shared" si="199"/>
        <v/>
      </c>
    </row>
    <row r="4275" spans="2:42">
      <c r="B4275" s="834" t="str">
        <f t="shared" si="198"/>
        <v>|||</v>
      </c>
      <c r="H4275" s="835">
        <f t="shared" si="200"/>
        <v>31</v>
      </c>
      <c r="AF4275" s="831" t="s">
        <v>4932</v>
      </c>
      <c r="AG4275" s="831" t="s">
        <v>2674</v>
      </c>
      <c r="AH4275" s="831" t="s">
        <v>105</v>
      </c>
      <c r="AI4275" s="831">
        <v>0</v>
      </c>
      <c r="AJ4275" s="835">
        <v>40178</v>
      </c>
      <c r="AK4275" s="831">
        <v>175670174</v>
      </c>
      <c r="AP4275" s="831" t="str">
        <f t="shared" si="199"/>
        <v/>
      </c>
    </row>
    <row r="4276" spans="2:42">
      <c r="B4276" s="834" t="str">
        <f t="shared" si="198"/>
        <v>|||</v>
      </c>
      <c r="H4276" s="835">
        <f t="shared" si="200"/>
        <v>31</v>
      </c>
      <c r="AF4276" s="831" t="s">
        <v>4933</v>
      </c>
      <c r="AG4276" s="831" t="s">
        <v>2674</v>
      </c>
      <c r="AH4276" s="831" t="s">
        <v>3049</v>
      </c>
      <c r="AI4276" s="831">
        <v>0</v>
      </c>
      <c r="AJ4276" s="835">
        <v>40178</v>
      </c>
      <c r="AK4276" s="831">
        <v>241480469</v>
      </c>
      <c r="AP4276" s="831" t="str">
        <f t="shared" si="199"/>
        <v/>
      </c>
    </row>
    <row r="4277" spans="2:42">
      <c r="B4277" s="834" t="str">
        <f t="shared" si="198"/>
        <v>|||</v>
      </c>
      <c r="H4277" s="835">
        <f t="shared" si="200"/>
        <v>31</v>
      </c>
      <c r="AF4277" s="831" t="s">
        <v>4934</v>
      </c>
      <c r="AG4277" s="831" t="s">
        <v>2674</v>
      </c>
      <c r="AH4277" s="831" t="s">
        <v>103</v>
      </c>
      <c r="AI4277" s="831">
        <v>0</v>
      </c>
      <c r="AJ4277" s="835">
        <v>40178</v>
      </c>
      <c r="AK4277" s="831">
        <v>65810295</v>
      </c>
      <c r="AP4277" s="831" t="str">
        <f t="shared" si="199"/>
        <v/>
      </c>
    </row>
    <row r="4278" spans="2:42">
      <c r="B4278" s="834" t="str">
        <f t="shared" si="198"/>
        <v>|||</v>
      </c>
      <c r="H4278" s="835">
        <f t="shared" si="200"/>
        <v>31</v>
      </c>
      <c r="AF4278" s="831" t="s">
        <v>4935</v>
      </c>
      <c r="AG4278" s="831" t="s">
        <v>2674</v>
      </c>
      <c r="AH4278" s="831" t="s">
        <v>182</v>
      </c>
      <c r="AI4278" s="831">
        <v>0</v>
      </c>
      <c r="AJ4278" s="835">
        <v>40178</v>
      </c>
      <c r="AK4278" s="831">
        <v>27865062.944807801</v>
      </c>
      <c r="AP4278" s="831" t="str">
        <f t="shared" si="199"/>
        <v/>
      </c>
    </row>
    <row r="4279" spans="2:42">
      <c r="B4279" s="834" t="str">
        <f t="shared" si="198"/>
        <v>|||</v>
      </c>
      <c r="H4279" s="835">
        <f t="shared" si="200"/>
        <v>31</v>
      </c>
      <c r="AF4279" s="831" t="s">
        <v>4936</v>
      </c>
      <c r="AG4279" s="831" t="s">
        <v>130</v>
      </c>
      <c r="AH4279" s="831" t="s">
        <v>145</v>
      </c>
      <c r="AI4279" s="831">
        <v>1</v>
      </c>
      <c r="AJ4279" s="835">
        <v>40543</v>
      </c>
      <c r="AK4279" s="831">
        <v>57805000</v>
      </c>
      <c r="AP4279" s="831" t="str">
        <f t="shared" si="199"/>
        <v/>
      </c>
    </row>
    <row r="4280" spans="2:42">
      <c r="B4280" s="834" t="str">
        <f t="shared" si="198"/>
        <v>|||</v>
      </c>
      <c r="H4280" s="835">
        <f t="shared" si="200"/>
        <v>31</v>
      </c>
      <c r="AF4280" s="831" t="s">
        <v>4937</v>
      </c>
      <c r="AG4280" s="831" t="s">
        <v>130</v>
      </c>
      <c r="AH4280" s="831" t="s">
        <v>149</v>
      </c>
      <c r="AI4280" s="831">
        <v>1</v>
      </c>
      <c r="AJ4280" s="835">
        <v>40543</v>
      </c>
      <c r="AK4280" s="831">
        <v>371000</v>
      </c>
      <c r="AP4280" s="831" t="str">
        <f t="shared" si="199"/>
        <v/>
      </c>
    </row>
    <row r="4281" spans="2:42">
      <c r="B4281" s="834" t="str">
        <f t="shared" si="198"/>
        <v>|||</v>
      </c>
      <c r="H4281" s="835">
        <f t="shared" si="200"/>
        <v>31</v>
      </c>
      <c r="AF4281" s="831" t="s">
        <v>4938</v>
      </c>
      <c r="AG4281" s="831" t="s">
        <v>130</v>
      </c>
      <c r="AH4281" s="831" t="s">
        <v>153</v>
      </c>
      <c r="AI4281" s="831">
        <v>1</v>
      </c>
      <c r="AJ4281" s="835">
        <v>40543</v>
      </c>
      <c r="AK4281" s="831">
        <v>7063000</v>
      </c>
      <c r="AP4281" s="831" t="str">
        <f t="shared" si="199"/>
        <v/>
      </c>
    </row>
    <row r="4282" spans="2:42">
      <c r="B4282" s="834" t="str">
        <f t="shared" si="198"/>
        <v>|||</v>
      </c>
      <c r="H4282" s="835">
        <f t="shared" si="200"/>
        <v>31</v>
      </c>
      <c r="AF4282" s="831" t="s">
        <v>4939</v>
      </c>
      <c r="AG4282" s="831" t="s">
        <v>130</v>
      </c>
      <c r="AH4282" s="831" t="s">
        <v>156</v>
      </c>
      <c r="AI4282" s="831">
        <v>1</v>
      </c>
      <c r="AJ4282" s="835">
        <v>40543</v>
      </c>
      <c r="AK4282" s="831">
        <v>0</v>
      </c>
      <c r="AP4282" s="831" t="str">
        <f t="shared" si="199"/>
        <v/>
      </c>
    </row>
    <row r="4283" spans="2:42">
      <c r="B4283" s="834" t="str">
        <f t="shared" si="198"/>
        <v>|||</v>
      </c>
      <c r="H4283" s="835">
        <f t="shared" si="200"/>
        <v>31</v>
      </c>
      <c r="AF4283" s="831" t="s">
        <v>4940</v>
      </c>
      <c r="AG4283" s="831" t="s">
        <v>130</v>
      </c>
      <c r="AH4283" s="831" t="s">
        <v>162</v>
      </c>
      <c r="AI4283" s="831">
        <v>1</v>
      </c>
      <c r="AJ4283" s="835">
        <v>40543</v>
      </c>
      <c r="AK4283" s="831">
        <v>273820000</v>
      </c>
      <c r="AP4283" s="831" t="str">
        <f t="shared" si="199"/>
        <v/>
      </c>
    </row>
    <row r="4284" spans="2:42">
      <c r="B4284" s="834" t="str">
        <f t="shared" si="198"/>
        <v>|||</v>
      </c>
      <c r="H4284" s="835">
        <f t="shared" si="200"/>
        <v>31</v>
      </c>
      <c r="AF4284" s="831" t="s">
        <v>4941</v>
      </c>
      <c r="AG4284" s="831" t="s">
        <v>130</v>
      </c>
      <c r="AH4284" s="831" t="s">
        <v>165</v>
      </c>
      <c r="AI4284" s="831">
        <v>1</v>
      </c>
      <c r="AJ4284" s="835">
        <v>40543</v>
      </c>
      <c r="AK4284" s="831">
        <v>-7635000</v>
      </c>
      <c r="AP4284" s="831" t="str">
        <f t="shared" si="199"/>
        <v/>
      </c>
    </row>
    <row r="4285" spans="2:42">
      <c r="B4285" s="834" t="str">
        <f t="shared" si="198"/>
        <v>|||</v>
      </c>
      <c r="H4285" s="835">
        <f t="shared" si="200"/>
        <v>31</v>
      </c>
      <c r="AF4285" s="831" t="s">
        <v>4942</v>
      </c>
      <c r="AG4285" s="831" t="s">
        <v>130</v>
      </c>
      <c r="AH4285" s="831" t="s">
        <v>171</v>
      </c>
      <c r="AI4285" s="831">
        <v>1</v>
      </c>
      <c r="AJ4285" s="835">
        <v>40543</v>
      </c>
      <c r="AK4285" s="831">
        <v>0</v>
      </c>
      <c r="AP4285" s="831" t="str">
        <f t="shared" si="199"/>
        <v/>
      </c>
    </row>
    <row r="4286" spans="2:42">
      <c r="B4286" s="834" t="str">
        <f t="shared" si="198"/>
        <v>|||</v>
      </c>
      <c r="H4286" s="835">
        <f t="shared" si="200"/>
        <v>31</v>
      </c>
      <c r="AF4286" s="831" t="s">
        <v>4943</v>
      </c>
      <c r="AG4286" s="831" t="s">
        <v>130</v>
      </c>
      <c r="AH4286" s="831" t="s">
        <v>174</v>
      </c>
      <c r="AI4286" s="831">
        <v>1</v>
      </c>
      <c r="AJ4286" s="835">
        <v>40543</v>
      </c>
      <c r="AK4286" s="831">
        <v>0</v>
      </c>
      <c r="AP4286" s="831" t="str">
        <f t="shared" si="199"/>
        <v/>
      </c>
    </row>
    <row r="4287" spans="2:42">
      <c r="B4287" s="834" t="str">
        <f t="shared" si="198"/>
        <v>|||</v>
      </c>
      <c r="H4287" s="835">
        <f t="shared" si="200"/>
        <v>31</v>
      </c>
      <c r="AF4287" s="831" t="s">
        <v>4944</v>
      </c>
      <c r="AG4287" s="831" t="s">
        <v>130</v>
      </c>
      <c r="AH4287" s="831" t="s">
        <v>181</v>
      </c>
      <c r="AI4287" s="831">
        <v>1</v>
      </c>
      <c r="AJ4287" s="835">
        <v>40543</v>
      </c>
      <c r="AK4287" s="831">
        <v>14434000</v>
      </c>
      <c r="AP4287" s="831" t="str">
        <f t="shared" si="199"/>
        <v/>
      </c>
    </row>
    <row r="4288" spans="2:42">
      <c r="B4288" s="834" t="str">
        <f t="shared" si="198"/>
        <v>|||</v>
      </c>
      <c r="H4288" s="835">
        <f t="shared" si="200"/>
        <v>31</v>
      </c>
      <c r="AF4288" s="831" t="s">
        <v>4945</v>
      </c>
      <c r="AG4288" s="831" t="s">
        <v>130</v>
      </c>
      <c r="AH4288" s="831" t="s">
        <v>184</v>
      </c>
      <c r="AI4288" s="831">
        <v>1</v>
      </c>
      <c r="AJ4288" s="835">
        <v>40543</v>
      </c>
      <c r="AK4288" s="831">
        <v>-5052000</v>
      </c>
      <c r="AP4288" s="831" t="str">
        <f t="shared" si="199"/>
        <v/>
      </c>
    </row>
    <row r="4289" spans="2:42">
      <c r="B4289" s="834" t="str">
        <f t="shared" si="198"/>
        <v>|||</v>
      </c>
      <c r="H4289" s="835">
        <f t="shared" si="200"/>
        <v>31</v>
      </c>
      <c r="AF4289" s="831" t="s">
        <v>4946</v>
      </c>
      <c r="AG4289" s="831" t="s">
        <v>130</v>
      </c>
      <c r="AH4289" s="831" t="s">
        <v>187</v>
      </c>
      <c r="AI4289" s="831">
        <v>1</v>
      </c>
      <c r="AJ4289" s="835">
        <v>40543</v>
      </c>
      <c r="AK4289" s="831">
        <v>0</v>
      </c>
      <c r="AP4289" s="831" t="str">
        <f t="shared" si="199"/>
        <v/>
      </c>
    </row>
    <row r="4290" spans="2:42">
      <c r="B4290" s="834" t="str">
        <f t="shared" si="198"/>
        <v>|||</v>
      </c>
      <c r="H4290" s="835">
        <f t="shared" si="200"/>
        <v>31</v>
      </c>
      <c r="AF4290" s="831" t="s">
        <v>4947</v>
      </c>
      <c r="AG4290" s="831" t="s">
        <v>130</v>
      </c>
      <c r="AH4290" s="831" t="s">
        <v>196</v>
      </c>
      <c r="AI4290" s="831">
        <v>1</v>
      </c>
      <c r="AJ4290" s="835">
        <v>40543</v>
      </c>
      <c r="AK4290" s="831">
        <v>1615000</v>
      </c>
      <c r="AP4290" s="831" t="str">
        <f t="shared" si="199"/>
        <v/>
      </c>
    </row>
    <row r="4291" spans="2:42">
      <c r="B4291" s="834" t="str">
        <f t="shared" ref="B4291:B4354" si="201">C4291&amp;"|"&amp;D4291&amp;"|"&amp;E4291&amp;"|"&amp;F4291</f>
        <v>|||</v>
      </c>
      <c r="H4291" s="835">
        <f t="shared" si="200"/>
        <v>31</v>
      </c>
      <c r="AF4291" s="831" t="s">
        <v>4948</v>
      </c>
      <c r="AG4291" s="831" t="s">
        <v>130</v>
      </c>
      <c r="AH4291" s="831" t="s">
        <v>197</v>
      </c>
      <c r="AI4291" s="831">
        <v>1</v>
      </c>
      <c r="AJ4291" s="835">
        <v>40543</v>
      </c>
      <c r="AK4291" s="831">
        <v>0</v>
      </c>
      <c r="AP4291" s="831" t="str">
        <f t="shared" ref="AP4291:AP4354" si="202">IF(AX4291&lt;&gt;"",IF(OR(AX4291=3,AX4291=4),"Equity","Debt"),"")</f>
        <v/>
      </c>
    </row>
    <row r="4292" spans="2:42">
      <c r="B4292" s="834" t="str">
        <f t="shared" si="201"/>
        <v>|||</v>
      </c>
      <c r="H4292" s="835">
        <f t="shared" ref="H4292:H4355" si="203">EOMONTH(L4292,0)</f>
        <v>31</v>
      </c>
      <c r="AF4292" s="831" t="s">
        <v>4949</v>
      </c>
      <c r="AG4292" s="831" t="s">
        <v>130</v>
      </c>
      <c r="AH4292" s="831" t="s">
        <v>199</v>
      </c>
      <c r="AI4292" s="831">
        <v>1</v>
      </c>
      <c r="AJ4292" s="835">
        <v>40543</v>
      </c>
      <c r="AK4292" s="831">
        <v>0</v>
      </c>
      <c r="AP4292" s="831" t="str">
        <f t="shared" si="202"/>
        <v/>
      </c>
    </row>
    <row r="4293" spans="2:42">
      <c r="B4293" s="834" t="str">
        <f t="shared" si="201"/>
        <v>|||</v>
      </c>
      <c r="H4293" s="835">
        <f t="shared" si="203"/>
        <v>31</v>
      </c>
      <c r="AF4293" s="831" t="s">
        <v>4950</v>
      </c>
      <c r="AG4293" s="831" t="s">
        <v>130</v>
      </c>
      <c r="AH4293" s="831" t="s">
        <v>201</v>
      </c>
      <c r="AI4293" s="831">
        <v>1</v>
      </c>
      <c r="AJ4293" s="835">
        <v>40543</v>
      </c>
      <c r="AK4293" s="831">
        <v>23602000</v>
      </c>
      <c r="AP4293" s="831" t="str">
        <f t="shared" si="202"/>
        <v/>
      </c>
    </row>
    <row r="4294" spans="2:42">
      <c r="B4294" s="834" t="str">
        <f t="shared" si="201"/>
        <v>|||</v>
      </c>
      <c r="H4294" s="835">
        <f t="shared" si="203"/>
        <v>31</v>
      </c>
      <c r="AF4294" s="831" t="s">
        <v>4951</v>
      </c>
      <c r="AG4294" s="831" t="s">
        <v>130</v>
      </c>
      <c r="AH4294" s="831" t="s">
        <v>209</v>
      </c>
      <c r="AI4294" s="831">
        <v>1</v>
      </c>
      <c r="AJ4294" s="835">
        <v>40543</v>
      </c>
      <c r="AK4294" s="831">
        <v>15676000</v>
      </c>
      <c r="AP4294" s="831" t="str">
        <f t="shared" si="202"/>
        <v/>
      </c>
    </row>
    <row r="4295" spans="2:42">
      <c r="B4295" s="834" t="str">
        <f t="shared" si="201"/>
        <v>|||</v>
      </c>
      <c r="H4295" s="835">
        <f t="shared" si="203"/>
        <v>31</v>
      </c>
      <c r="AF4295" s="831" t="s">
        <v>4952</v>
      </c>
      <c r="AG4295" s="831" t="s">
        <v>130</v>
      </c>
      <c r="AH4295" s="831" t="s">
        <v>211</v>
      </c>
      <c r="AI4295" s="831">
        <v>1</v>
      </c>
      <c r="AJ4295" s="835">
        <v>40543</v>
      </c>
      <c r="AK4295" s="831">
        <v>110995000</v>
      </c>
      <c r="AP4295" s="831" t="str">
        <f t="shared" si="202"/>
        <v/>
      </c>
    </row>
    <row r="4296" spans="2:42">
      <c r="B4296" s="834" t="str">
        <f t="shared" si="201"/>
        <v>|||</v>
      </c>
      <c r="H4296" s="835">
        <f t="shared" si="203"/>
        <v>31</v>
      </c>
      <c r="AF4296" s="831" t="s">
        <v>4953</v>
      </c>
      <c r="AG4296" s="831" t="s">
        <v>130</v>
      </c>
      <c r="AH4296" s="831" t="s">
        <v>212</v>
      </c>
      <c r="AI4296" s="831">
        <v>1</v>
      </c>
      <c r="AJ4296" s="835">
        <v>40543</v>
      </c>
      <c r="AK4296" s="831">
        <v>0</v>
      </c>
      <c r="AP4296" s="831" t="str">
        <f t="shared" si="202"/>
        <v/>
      </c>
    </row>
    <row r="4297" spans="2:42">
      <c r="B4297" s="834" t="str">
        <f t="shared" si="201"/>
        <v>|||</v>
      </c>
      <c r="H4297" s="835">
        <f t="shared" si="203"/>
        <v>31</v>
      </c>
      <c r="AF4297" s="831" t="s">
        <v>4954</v>
      </c>
      <c r="AG4297" s="831" t="s">
        <v>130</v>
      </c>
      <c r="AH4297" s="831" t="s">
        <v>216</v>
      </c>
      <c r="AI4297" s="831">
        <v>1</v>
      </c>
      <c r="AJ4297" s="835">
        <v>40543</v>
      </c>
      <c r="AK4297" s="831">
        <v>0</v>
      </c>
      <c r="AP4297" s="831" t="str">
        <f t="shared" si="202"/>
        <v/>
      </c>
    </row>
    <row r="4298" spans="2:42">
      <c r="B4298" s="834" t="str">
        <f t="shared" si="201"/>
        <v>|||</v>
      </c>
      <c r="H4298" s="835">
        <f t="shared" si="203"/>
        <v>31</v>
      </c>
      <c r="AF4298" s="831" t="s">
        <v>4955</v>
      </c>
      <c r="AG4298" s="831" t="s">
        <v>130</v>
      </c>
      <c r="AH4298" s="831" t="s">
        <v>218</v>
      </c>
      <c r="AI4298" s="831">
        <v>1</v>
      </c>
      <c r="AJ4298" s="835">
        <v>40543</v>
      </c>
      <c r="AK4298" s="831">
        <v>39615000</v>
      </c>
      <c r="AP4298" s="831" t="str">
        <f t="shared" si="202"/>
        <v/>
      </c>
    </row>
    <row r="4299" spans="2:42">
      <c r="B4299" s="834" t="str">
        <f t="shared" si="201"/>
        <v>|||</v>
      </c>
      <c r="H4299" s="835">
        <f t="shared" si="203"/>
        <v>31</v>
      </c>
      <c r="AF4299" s="831" t="s">
        <v>4956</v>
      </c>
      <c r="AG4299" s="831" t="s">
        <v>130</v>
      </c>
      <c r="AH4299" s="831" t="s">
        <v>220</v>
      </c>
      <c r="AI4299" s="831">
        <v>1</v>
      </c>
      <c r="AJ4299" s="835">
        <v>40543</v>
      </c>
      <c r="AK4299" s="831">
        <v>0</v>
      </c>
      <c r="AP4299" s="831" t="str">
        <f t="shared" si="202"/>
        <v/>
      </c>
    </row>
    <row r="4300" spans="2:42">
      <c r="B4300" s="834" t="str">
        <f t="shared" si="201"/>
        <v>|||</v>
      </c>
      <c r="H4300" s="835">
        <f t="shared" si="203"/>
        <v>31</v>
      </c>
      <c r="AF4300" s="831" t="s">
        <v>4957</v>
      </c>
      <c r="AG4300" s="831" t="s">
        <v>130</v>
      </c>
      <c r="AH4300" s="831" t="s">
        <v>221</v>
      </c>
      <c r="AI4300" s="831">
        <v>1</v>
      </c>
      <c r="AJ4300" s="835">
        <v>40543</v>
      </c>
      <c r="AK4300" s="831">
        <v>259000</v>
      </c>
      <c r="AP4300" s="831" t="str">
        <f t="shared" si="202"/>
        <v/>
      </c>
    </row>
    <row r="4301" spans="2:42">
      <c r="B4301" s="834" t="str">
        <f t="shared" si="201"/>
        <v>|||</v>
      </c>
      <c r="H4301" s="835">
        <f t="shared" si="203"/>
        <v>31</v>
      </c>
      <c r="AF4301" s="831" t="s">
        <v>4958</v>
      </c>
      <c r="AG4301" s="831" t="s">
        <v>130</v>
      </c>
      <c r="AH4301" s="831" t="s">
        <v>228</v>
      </c>
      <c r="AI4301" s="831">
        <v>1</v>
      </c>
      <c r="AJ4301" s="835">
        <v>40543</v>
      </c>
      <c r="AK4301" s="831">
        <v>0</v>
      </c>
      <c r="AP4301" s="831" t="str">
        <f t="shared" si="202"/>
        <v/>
      </c>
    </row>
    <row r="4302" spans="2:42">
      <c r="B4302" s="834" t="str">
        <f t="shared" si="201"/>
        <v>|||</v>
      </c>
      <c r="H4302" s="835">
        <f t="shared" si="203"/>
        <v>31</v>
      </c>
      <c r="AF4302" s="831" t="s">
        <v>4959</v>
      </c>
      <c r="AG4302" s="831" t="s">
        <v>130</v>
      </c>
      <c r="AH4302" s="831" t="s">
        <v>230</v>
      </c>
      <c r="AI4302" s="831">
        <v>1</v>
      </c>
      <c r="AJ4302" s="835">
        <v>40543</v>
      </c>
      <c r="AK4302" s="831">
        <v>0</v>
      </c>
      <c r="AP4302" s="831" t="str">
        <f t="shared" si="202"/>
        <v/>
      </c>
    </row>
    <row r="4303" spans="2:42">
      <c r="B4303" s="834" t="str">
        <f t="shared" si="201"/>
        <v>|||</v>
      </c>
      <c r="H4303" s="835">
        <f t="shared" si="203"/>
        <v>31</v>
      </c>
      <c r="AF4303" s="831" t="s">
        <v>4960</v>
      </c>
      <c r="AG4303" s="831" t="s">
        <v>130</v>
      </c>
      <c r="AH4303" s="831" t="s">
        <v>231</v>
      </c>
      <c r="AI4303" s="831">
        <v>1</v>
      </c>
      <c r="AJ4303" s="835">
        <v>40543</v>
      </c>
      <c r="AK4303" s="831">
        <v>20568000</v>
      </c>
      <c r="AP4303" s="831" t="str">
        <f t="shared" si="202"/>
        <v/>
      </c>
    </row>
    <row r="4304" spans="2:42">
      <c r="B4304" s="834" t="str">
        <f t="shared" si="201"/>
        <v>|||</v>
      </c>
      <c r="H4304" s="835">
        <f t="shared" si="203"/>
        <v>31</v>
      </c>
      <c r="AF4304" s="831" t="s">
        <v>4961</v>
      </c>
      <c r="AG4304" s="831" t="s">
        <v>130</v>
      </c>
      <c r="AH4304" s="831" t="s">
        <v>232</v>
      </c>
      <c r="AI4304" s="831">
        <v>1</v>
      </c>
      <c r="AJ4304" s="835">
        <v>40543</v>
      </c>
      <c r="AK4304" s="831">
        <v>93509000</v>
      </c>
      <c r="AP4304" s="831" t="str">
        <f t="shared" si="202"/>
        <v/>
      </c>
    </row>
    <row r="4305" spans="2:42">
      <c r="B4305" s="834" t="str">
        <f t="shared" si="201"/>
        <v>|||</v>
      </c>
      <c r="H4305" s="835">
        <f t="shared" si="203"/>
        <v>31</v>
      </c>
      <c r="AF4305" s="831" t="s">
        <v>4962</v>
      </c>
      <c r="AG4305" s="831" t="s">
        <v>130</v>
      </c>
      <c r="AH4305" s="831" t="s">
        <v>116</v>
      </c>
      <c r="AI4305" s="831">
        <v>1</v>
      </c>
      <c r="AJ4305" s="835">
        <v>40543</v>
      </c>
      <c r="AK4305" s="831">
        <v>0</v>
      </c>
      <c r="AP4305" s="831" t="str">
        <f t="shared" si="202"/>
        <v/>
      </c>
    </row>
    <row r="4306" spans="2:42">
      <c r="B4306" s="834" t="str">
        <f t="shared" si="201"/>
        <v>|||</v>
      </c>
      <c r="H4306" s="835">
        <f t="shared" si="203"/>
        <v>31</v>
      </c>
      <c r="AF4306" s="831" t="s">
        <v>4963</v>
      </c>
      <c r="AG4306" s="831" t="s">
        <v>130</v>
      </c>
      <c r="AH4306" s="831" t="s">
        <v>234</v>
      </c>
      <c r="AI4306" s="831">
        <v>1</v>
      </c>
      <c r="AJ4306" s="835">
        <v>40543</v>
      </c>
      <c r="AK4306" s="831">
        <v>0</v>
      </c>
      <c r="AP4306" s="831" t="str">
        <f t="shared" si="202"/>
        <v/>
      </c>
    </row>
    <row r="4307" spans="2:42">
      <c r="B4307" s="834" t="str">
        <f t="shared" si="201"/>
        <v>|||</v>
      </c>
      <c r="H4307" s="835">
        <f t="shared" si="203"/>
        <v>31</v>
      </c>
      <c r="AF4307" s="831" t="s">
        <v>4964</v>
      </c>
      <c r="AG4307" s="831" t="s">
        <v>130</v>
      </c>
      <c r="AH4307" s="831" t="s">
        <v>235</v>
      </c>
      <c r="AI4307" s="831">
        <v>1</v>
      </c>
      <c r="AJ4307" s="835">
        <v>40543</v>
      </c>
      <c r="AK4307" s="831">
        <v>0</v>
      </c>
      <c r="AP4307" s="831" t="str">
        <f t="shared" si="202"/>
        <v/>
      </c>
    </row>
    <row r="4308" spans="2:42">
      <c r="B4308" s="834" t="str">
        <f t="shared" si="201"/>
        <v>|||</v>
      </c>
      <c r="H4308" s="835">
        <f t="shared" si="203"/>
        <v>31</v>
      </c>
      <c r="AF4308" s="831" t="s">
        <v>4965</v>
      </c>
      <c r="AG4308" s="831" t="s">
        <v>130</v>
      </c>
      <c r="AH4308" s="831" t="s">
        <v>238</v>
      </c>
      <c r="AI4308" s="831">
        <v>1</v>
      </c>
      <c r="AJ4308" s="835">
        <v>40543</v>
      </c>
      <c r="AK4308" s="831">
        <v>0</v>
      </c>
      <c r="AP4308" s="831" t="str">
        <f t="shared" si="202"/>
        <v/>
      </c>
    </row>
    <row r="4309" spans="2:42">
      <c r="B4309" s="834" t="str">
        <f t="shared" si="201"/>
        <v>|||</v>
      </c>
      <c r="H4309" s="835">
        <f t="shared" si="203"/>
        <v>31</v>
      </c>
      <c r="AF4309" s="831" t="s">
        <v>4966</v>
      </c>
      <c r="AG4309" s="831" t="s">
        <v>130</v>
      </c>
      <c r="AH4309" s="831" t="s">
        <v>240</v>
      </c>
      <c r="AI4309" s="831">
        <v>1</v>
      </c>
      <c r="AJ4309" s="835">
        <v>40543</v>
      </c>
      <c r="AK4309" s="831">
        <v>41800000</v>
      </c>
      <c r="AP4309" s="831" t="str">
        <f t="shared" si="202"/>
        <v/>
      </c>
    </row>
    <row r="4310" spans="2:42">
      <c r="B4310" s="834" t="str">
        <f t="shared" si="201"/>
        <v>|||</v>
      </c>
      <c r="H4310" s="835">
        <f t="shared" si="203"/>
        <v>31</v>
      </c>
      <c r="AF4310" s="831" t="s">
        <v>4967</v>
      </c>
      <c r="AG4310" s="831" t="s">
        <v>130</v>
      </c>
      <c r="AH4310" s="831" t="s">
        <v>241</v>
      </c>
      <c r="AI4310" s="831">
        <v>1</v>
      </c>
      <c r="AJ4310" s="835">
        <v>40543</v>
      </c>
      <c r="AK4310" s="831">
        <v>0</v>
      </c>
      <c r="AP4310" s="831" t="str">
        <f t="shared" si="202"/>
        <v/>
      </c>
    </row>
    <row r="4311" spans="2:42">
      <c r="B4311" s="834" t="str">
        <f t="shared" si="201"/>
        <v>|||</v>
      </c>
      <c r="H4311" s="835">
        <f t="shared" si="203"/>
        <v>31</v>
      </c>
      <c r="AF4311" s="831" t="s">
        <v>4968</v>
      </c>
      <c r="AG4311" s="831" t="s">
        <v>130</v>
      </c>
      <c r="AH4311" s="831" t="s">
        <v>242</v>
      </c>
      <c r="AI4311" s="831">
        <v>1</v>
      </c>
      <c r="AJ4311" s="835">
        <v>40543</v>
      </c>
      <c r="AK4311" s="831">
        <v>0</v>
      </c>
      <c r="AP4311" s="831" t="str">
        <f t="shared" si="202"/>
        <v/>
      </c>
    </row>
    <row r="4312" spans="2:42">
      <c r="B4312" s="834" t="str">
        <f t="shared" si="201"/>
        <v>|||</v>
      </c>
      <c r="H4312" s="835">
        <f t="shared" si="203"/>
        <v>31</v>
      </c>
      <c r="AF4312" s="831" t="s">
        <v>4969</v>
      </c>
      <c r="AG4312" s="831" t="s">
        <v>130</v>
      </c>
      <c r="AH4312" s="831" t="s">
        <v>244</v>
      </c>
      <c r="AI4312" s="831">
        <v>1</v>
      </c>
      <c r="AJ4312" s="835">
        <v>40543</v>
      </c>
      <c r="AK4312" s="831">
        <v>6485000</v>
      </c>
      <c r="AP4312" s="831" t="str">
        <f t="shared" si="202"/>
        <v/>
      </c>
    </row>
    <row r="4313" spans="2:42">
      <c r="B4313" s="834" t="str">
        <f t="shared" si="201"/>
        <v>|||</v>
      </c>
      <c r="H4313" s="835">
        <f t="shared" si="203"/>
        <v>31</v>
      </c>
      <c r="AF4313" s="831" t="s">
        <v>4970</v>
      </c>
      <c r="AG4313" s="831" t="s">
        <v>130</v>
      </c>
      <c r="AH4313" s="831" t="s">
        <v>245</v>
      </c>
      <c r="AI4313" s="831">
        <v>1</v>
      </c>
      <c r="AJ4313" s="835">
        <v>40543</v>
      </c>
      <c r="AK4313" s="831">
        <v>26170000</v>
      </c>
      <c r="AP4313" s="831" t="str">
        <f t="shared" si="202"/>
        <v/>
      </c>
    </row>
    <row r="4314" spans="2:42">
      <c r="B4314" s="834" t="str">
        <f t="shared" si="201"/>
        <v>|||</v>
      </c>
      <c r="H4314" s="835">
        <f t="shared" si="203"/>
        <v>31</v>
      </c>
      <c r="AF4314" s="831" t="s">
        <v>4971</v>
      </c>
      <c r="AG4314" s="831" t="s">
        <v>130</v>
      </c>
      <c r="AH4314" s="831" t="s">
        <v>145</v>
      </c>
      <c r="AI4314" s="831">
        <v>0</v>
      </c>
      <c r="AJ4314" s="835">
        <v>40939</v>
      </c>
      <c r="AK4314" s="831">
        <v>27541816</v>
      </c>
      <c r="AP4314" s="831" t="str">
        <f t="shared" si="202"/>
        <v/>
      </c>
    </row>
    <row r="4315" spans="2:42">
      <c r="B4315" s="834" t="str">
        <f t="shared" si="201"/>
        <v>|||</v>
      </c>
      <c r="H4315" s="835">
        <f t="shared" si="203"/>
        <v>31</v>
      </c>
      <c r="AF4315" s="831" t="s">
        <v>4972</v>
      </c>
      <c r="AG4315" s="831" t="s">
        <v>130</v>
      </c>
      <c r="AH4315" s="831" t="s">
        <v>149</v>
      </c>
      <c r="AI4315" s="831">
        <v>0</v>
      </c>
      <c r="AJ4315" s="835">
        <v>40939</v>
      </c>
      <c r="AK4315" s="831">
        <v>0</v>
      </c>
      <c r="AP4315" s="831" t="str">
        <f t="shared" si="202"/>
        <v/>
      </c>
    </row>
    <row r="4316" spans="2:42">
      <c r="B4316" s="834" t="str">
        <f t="shared" si="201"/>
        <v>|||</v>
      </c>
      <c r="H4316" s="835">
        <f t="shared" si="203"/>
        <v>31</v>
      </c>
      <c r="AF4316" s="831" t="s">
        <v>4973</v>
      </c>
      <c r="AG4316" s="831" t="s">
        <v>130</v>
      </c>
      <c r="AH4316" s="831" t="s">
        <v>153</v>
      </c>
      <c r="AI4316" s="831">
        <v>0</v>
      </c>
      <c r="AJ4316" s="835">
        <v>40939</v>
      </c>
      <c r="AK4316" s="831">
        <v>27467640</v>
      </c>
      <c r="AP4316" s="831" t="str">
        <f t="shared" si="202"/>
        <v/>
      </c>
    </row>
    <row r="4317" spans="2:42">
      <c r="B4317" s="834" t="str">
        <f t="shared" si="201"/>
        <v>|||</v>
      </c>
      <c r="H4317" s="835">
        <f t="shared" si="203"/>
        <v>31</v>
      </c>
      <c r="AF4317" s="831" t="s">
        <v>4974</v>
      </c>
      <c r="AG4317" s="831" t="s">
        <v>130</v>
      </c>
      <c r="AH4317" s="831" t="s">
        <v>156</v>
      </c>
      <c r="AI4317" s="831">
        <v>0</v>
      </c>
      <c r="AJ4317" s="835">
        <v>40939</v>
      </c>
      <c r="AK4317" s="831">
        <v>0</v>
      </c>
      <c r="AP4317" s="831" t="str">
        <f t="shared" si="202"/>
        <v/>
      </c>
    </row>
    <row r="4318" spans="2:42">
      <c r="B4318" s="834" t="str">
        <f t="shared" si="201"/>
        <v>|||</v>
      </c>
      <c r="H4318" s="835">
        <f t="shared" si="203"/>
        <v>31</v>
      </c>
      <c r="AF4318" s="831" t="s">
        <v>4975</v>
      </c>
      <c r="AG4318" s="831" t="s">
        <v>130</v>
      </c>
      <c r="AH4318" s="831" t="s">
        <v>162</v>
      </c>
      <c r="AI4318" s="831">
        <v>0</v>
      </c>
      <c r="AJ4318" s="835">
        <v>40939</v>
      </c>
      <c r="AK4318" s="831">
        <v>298273050</v>
      </c>
      <c r="AP4318" s="831" t="str">
        <f t="shared" si="202"/>
        <v/>
      </c>
    </row>
    <row r="4319" spans="2:42">
      <c r="B4319" s="834" t="str">
        <f t="shared" si="201"/>
        <v>|||</v>
      </c>
      <c r="H4319" s="835">
        <f t="shared" si="203"/>
        <v>31</v>
      </c>
      <c r="AF4319" s="831" t="s">
        <v>4976</v>
      </c>
      <c r="AG4319" s="831" t="s">
        <v>130</v>
      </c>
      <c r="AH4319" s="831" t="s">
        <v>165</v>
      </c>
      <c r="AI4319" s="831">
        <v>0</v>
      </c>
      <c r="AJ4319" s="835">
        <v>40939</v>
      </c>
      <c r="AK4319" s="831">
        <v>-7905116</v>
      </c>
      <c r="AP4319" s="831" t="str">
        <f t="shared" si="202"/>
        <v/>
      </c>
    </row>
    <row r="4320" spans="2:42">
      <c r="B4320" s="834" t="str">
        <f t="shared" si="201"/>
        <v>|||</v>
      </c>
      <c r="H4320" s="835">
        <f t="shared" si="203"/>
        <v>31</v>
      </c>
      <c r="AF4320" s="831" t="s">
        <v>4977</v>
      </c>
      <c r="AG4320" s="831" t="s">
        <v>130</v>
      </c>
      <c r="AH4320" s="831" t="s">
        <v>171</v>
      </c>
      <c r="AI4320" s="831">
        <v>0</v>
      </c>
      <c r="AJ4320" s="835">
        <v>40939</v>
      </c>
      <c r="AK4320" s="831">
        <v>2236967</v>
      </c>
      <c r="AP4320" s="831" t="str">
        <f t="shared" si="202"/>
        <v/>
      </c>
    </row>
    <row r="4321" spans="2:42">
      <c r="B4321" s="834" t="str">
        <f t="shared" si="201"/>
        <v>|||</v>
      </c>
      <c r="H4321" s="835">
        <f t="shared" si="203"/>
        <v>31</v>
      </c>
      <c r="AF4321" s="831" t="s">
        <v>4978</v>
      </c>
      <c r="AG4321" s="831" t="s">
        <v>130</v>
      </c>
      <c r="AH4321" s="831" t="s">
        <v>174</v>
      </c>
      <c r="AI4321" s="831">
        <v>0</v>
      </c>
      <c r="AJ4321" s="835">
        <v>40939</v>
      </c>
      <c r="AK4321" s="831">
        <v>0</v>
      </c>
      <c r="AP4321" s="831" t="str">
        <f t="shared" si="202"/>
        <v/>
      </c>
    </row>
    <row r="4322" spans="2:42">
      <c r="B4322" s="834" t="str">
        <f t="shared" si="201"/>
        <v>|||</v>
      </c>
      <c r="H4322" s="835">
        <f t="shared" si="203"/>
        <v>31</v>
      </c>
      <c r="AF4322" s="831" t="s">
        <v>4979</v>
      </c>
      <c r="AG4322" s="831" t="s">
        <v>130</v>
      </c>
      <c r="AH4322" s="831" t="s">
        <v>181</v>
      </c>
      <c r="AI4322" s="831">
        <v>0</v>
      </c>
      <c r="AJ4322" s="835">
        <v>40939</v>
      </c>
      <c r="AK4322" s="831">
        <v>18189765</v>
      </c>
      <c r="AP4322" s="831" t="str">
        <f t="shared" si="202"/>
        <v/>
      </c>
    </row>
    <row r="4323" spans="2:42">
      <c r="B4323" s="834" t="str">
        <f t="shared" si="201"/>
        <v>|||</v>
      </c>
      <c r="H4323" s="835">
        <f t="shared" si="203"/>
        <v>31</v>
      </c>
      <c r="AF4323" s="831" t="s">
        <v>4980</v>
      </c>
      <c r="AG4323" s="831" t="s">
        <v>130</v>
      </c>
      <c r="AH4323" s="831" t="s">
        <v>184</v>
      </c>
      <c r="AI4323" s="831">
        <v>0</v>
      </c>
      <c r="AJ4323" s="835">
        <v>40939</v>
      </c>
      <c r="AK4323" s="831">
        <v>-8032470</v>
      </c>
      <c r="AP4323" s="831" t="str">
        <f t="shared" si="202"/>
        <v/>
      </c>
    </row>
    <row r="4324" spans="2:42">
      <c r="B4324" s="834" t="str">
        <f t="shared" si="201"/>
        <v>|||</v>
      </c>
      <c r="H4324" s="835">
        <f t="shared" si="203"/>
        <v>31</v>
      </c>
      <c r="AF4324" s="831" t="s">
        <v>4981</v>
      </c>
      <c r="AG4324" s="831" t="s">
        <v>130</v>
      </c>
      <c r="AH4324" s="831" t="s">
        <v>187</v>
      </c>
      <c r="AI4324" s="831">
        <v>0</v>
      </c>
      <c r="AJ4324" s="835">
        <v>40939</v>
      </c>
      <c r="AK4324" s="831">
        <v>0</v>
      </c>
      <c r="AP4324" s="831" t="str">
        <f t="shared" si="202"/>
        <v/>
      </c>
    </row>
    <row r="4325" spans="2:42">
      <c r="B4325" s="834" t="str">
        <f t="shared" si="201"/>
        <v>|||</v>
      </c>
      <c r="H4325" s="835">
        <f t="shared" si="203"/>
        <v>31</v>
      </c>
      <c r="AF4325" s="831" t="s">
        <v>4982</v>
      </c>
      <c r="AG4325" s="831" t="s">
        <v>130</v>
      </c>
      <c r="AH4325" s="831" t="s">
        <v>196</v>
      </c>
      <c r="AI4325" s="831">
        <v>0</v>
      </c>
      <c r="AJ4325" s="835">
        <v>40939</v>
      </c>
      <c r="AK4325" s="831">
        <v>4061350</v>
      </c>
      <c r="AP4325" s="831" t="str">
        <f t="shared" si="202"/>
        <v/>
      </c>
    </row>
    <row r="4326" spans="2:42">
      <c r="B4326" s="834" t="str">
        <f t="shared" si="201"/>
        <v>|||</v>
      </c>
      <c r="H4326" s="835">
        <f t="shared" si="203"/>
        <v>31</v>
      </c>
      <c r="AF4326" s="831" t="s">
        <v>4983</v>
      </c>
      <c r="AG4326" s="831" t="s">
        <v>130</v>
      </c>
      <c r="AH4326" s="831" t="s">
        <v>197</v>
      </c>
      <c r="AI4326" s="831">
        <v>0</v>
      </c>
      <c r="AJ4326" s="835">
        <v>40939</v>
      </c>
      <c r="AK4326" s="831">
        <v>0</v>
      </c>
      <c r="AP4326" s="831" t="str">
        <f t="shared" si="202"/>
        <v/>
      </c>
    </row>
    <row r="4327" spans="2:42">
      <c r="B4327" s="834" t="str">
        <f t="shared" si="201"/>
        <v>|||</v>
      </c>
      <c r="H4327" s="835">
        <f t="shared" si="203"/>
        <v>31</v>
      </c>
      <c r="AF4327" s="831" t="s">
        <v>4984</v>
      </c>
      <c r="AG4327" s="831" t="s">
        <v>130</v>
      </c>
      <c r="AH4327" s="831" t="s">
        <v>199</v>
      </c>
      <c r="AI4327" s="831">
        <v>0</v>
      </c>
      <c r="AJ4327" s="835">
        <v>40939</v>
      </c>
      <c r="AK4327" s="831">
        <v>0</v>
      </c>
      <c r="AP4327" s="831" t="str">
        <f t="shared" si="202"/>
        <v/>
      </c>
    </row>
    <row r="4328" spans="2:42">
      <c r="B4328" s="834" t="str">
        <f t="shared" si="201"/>
        <v>|||</v>
      </c>
      <c r="H4328" s="835">
        <f t="shared" si="203"/>
        <v>31</v>
      </c>
      <c r="AF4328" s="831" t="s">
        <v>4985</v>
      </c>
      <c r="AG4328" s="831" t="s">
        <v>130</v>
      </c>
      <c r="AH4328" s="831" t="s">
        <v>201</v>
      </c>
      <c r="AI4328" s="831">
        <v>0</v>
      </c>
      <c r="AJ4328" s="835">
        <v>40939</v>
      </c>
      <c r="AK4328" s="831">
        <v>23400394</v>
      </c>
      <c r="AP4328" s="831" t="str">
        <f t="shared" si="202"/>
        <v/>
      </c>
    </row>
    <row r="4329" spans="2:42">
      <c r="B4329" s="834" t="str">
        <f t="shared" si="201"/>
        <v>|||</v>
      </c>
      <c r="H4329" s="835">
        <f t="shared" si="203"/>
        <v>31</v>
      </c>
      <c r="AF4329" s="831" t="s">
        <v>4986</v>
      </c>
      <c r="AG4329" s="831" t="s">
        <v>130</v>
      </c>
      <c r="AH4329" s="831" t="s">
        <v>209</v>
      </c>
      <c r="AI4329" s="831">
        <v>0</v>
      </c>
      <c r="AJ4329" s="835">
        <v>40939</v>
      </c>
      <c r="AK4329" s="831">
        <v>34964924</v>
      </c>
      <c r="AP4329" s="831" t="str">
        <f t="shared" si="202"/>
        <v/>
      </c>
    </row>
    <row r="4330" spans="2:42">
      <c r="B4330" s="834" t="str">
        <f t="shared" si="201"/>
        <v>|||</v>
      </c>
      <c r="H4330" s="835">
        <f t="shared" si="203"/>
        <v>31</v>
      </c>
      <c r="AF4330" s="831" t="s">
        <v>4987</v>
      </c>
      <c r="AG4330" s="831" t="s">
        <v>130</v>
      </c>
      <c r="AH4330" s="831" t="s">
        <v>211</v>
      </c>
      <c r="AI4330" s="831">
        <v>0</v>
      </c>
      <c r="AJ4330" s="835">
        <v>40939</v>
      </c>
      <c r="AK4330" s="831">
        <v>105273739</v>
      </c>
      <c r="AP4330" s="831" t="str">
        <f t="shared" si="202"/>
        <v/>
      </c>
    </row>
    <row r="4331" spans="2:42">
      <c r="B4331" s="834" t="str">
        <f t="shared" si="201"/>
        <v>|||</v>
      </c>
      <c r="H4331" s="835">
        <f t="shared" si="203"/>
        <v>31</v>
      </c>
      <c r="AF4331" s="831" t="s">
        <v>4988</v>
      </c>
      <c r="AG4331" s="831" t="s">
        <v>130</v>
      </c>
      <c r="AH4331" s="831" t="s">
        <v>212</v>
      </c>
      <c r="AI4331" s="831">
        <v>0</v>
      </c>
      <c r="AJ4331" s="835">
        <v>40939</v>
      </c>
      <c r="AK4331" s="831">
        <v>6269713</v>
      </c>
      <c r="AP4331" s="831" t="str">
        <f t="shared" si="202"/>
        <v/>
      </c>
    </row>
    <row r="4332" spans="2:42">
      <c r="B4332" s="834" t="str">
        <f t="shared" si="201"/>
        <v>|||</v>
      </c>
      <c r="H4332" s="835">
        <f t="shared" si="203"/>
        <v>31</v>
      </c>
      <c r="AF4332" s="831" t="s">
        <v>4989</v>
      </c>
      <c r="AG4332" s="831" t="s">
        <v>130</v>
      </c>
      <c r="AH4332" s="831" t="s">
        <v>216</v>
      </c>
      <c r="AI4332" s="831">
        <v>0</v>
      </c>
      <c r="AJ4332" s="835">
        <v>40939</v>
      </c>
      <c r="AK4332" s="831">
        <v>0</v>
      </c>
      <c r="AP4332" s="831" t="str">
        <f t="shared" si="202"/>
        <v/>
      </c>
    </row>
    <row r="4333" spans="2:42">
      <c r="B4333" s="834" t="str">
        <f t="shared" si="201"/>
        <v>|||</v>
      </c>
      <c r="H4333" s="835">
        <f t="shared" si="203"/>
        <v>31</v>
      </c>
      <c r="AF4333" s="831" t="s">
        <v>4990</v>
      </c>
      <c r="AG4333" s="831" t="s">
        <v>130</v>
      </c>
      <c r="AH4333" s="831" t="s">
        <v>218</v>
      </c>
      <c r="AI4333" s="831">
        <v>0</v>
      </c>
      <c r="AJ4333" s="835">
        <v>40939</v>
      </c>
      <c r="AK4333" s="831">
        <v>63320250</v>
      </c>
      <c r="AP4333" s="831" t="str">
        <f t="shared" si="202"/>
        <v/>
      </c>
    </row>
    <row r="4334" spans="2:42">
      <c r="B4334" s="834" t="str">
        <f t="shared" si="201"/>
        <v>|||</v>
      </c>
      <c r="H4334" s="835">
        <f t="shared" si="203"/>
        <v>31</v>
      </c>
      <c r="AF4334" s="831" t="s">
        <v>4991</v>
      </c>
      <c r="AG4334" s="831" t="s">
        <v>130</v>
      </c>
      <c r="AH4334" s="831" t="s">
        <v>220</v>
      </c>
      <c r="AI4334" s="831">
        <v>0</v>
      </c>
      <c r="AJ4334" s="835">
        <v>40939</v>
      </c>
      <c r="AK4334" s="831">
        <v>0</v>
      </c>
      <c r="AP4334" s="831" t="str">
        <f t="shared" si="202"/>
        <v/>
      </c>
    </row>
    <row r="4335" spans="2:42">
      <c r="B4335" s="834" t="str">
        <f t="shared" si="201"/>
        <v>|||</v>
      </c>
      <c r="H4335" s="835">
        <f t="shared" si="203"/>
        <v>31</v>
      </c>
      <c r="AF4335" s="831" t="s">
        <v>4992</v>
      </c>
      <c r="AG4335" s="831" t="s">
        <v>130</v>
      </c>
      <c r="AH4335" s="831" t="s">
        <v>221</v>
      </c>
      <c r="AI4335" s="831">
        <v>0</v>
      </c>
      <c r="AJ4335" s="835">
        <v>40939</v>
      </c>
      <c r="AK4335" s="831">
        <v>4967061</v>
      </c>
      <c r="AP4335" s="831" t="str">
        <f t="shared" si="202"/>
        <v/>
      </c>
    </row>
    <row r="4336" spans="2:42">
      <c r="B4336" s="834" t="str">
        <f t="shared" si="201"/>
        <v>|||</v>
      </c>
      <c r="H4336" s="835">
        <f t="shared" si="203"/>
        <v>31</v>
      </c>
      <c r="AF4336" s="831" t="s">
        <v>4993</v>
      </c>
      <c r="AG4336" s="831" t="s">
        <v>130</v>
      </c>
      <c r="AH4336" s="831" t="s">
        <v>228</v>
      </c>
      <c r="AI4336" s="831">
        <v>0</v>
      </c>
      <c r="AJ4336" s="835">
        <v>40939</v>
      </c>
      <c r="AK4336" s="831">
        <v>0</v>
      </c>
      <c r="AP4336" s="831" t="str">
        <f t="shared" si="202"/>
        <v/>
      </c>
    </row>
    <row r="4337" spans="2:42">
      <c r="B4337" s="834" t="str">
        <f t="shared" si="201"/>
        <v>|||</v>
      </c>
      <c r="H4337" s="835">
        <f t="shared" si="203"/>
        <v>31</v>
      </c>
      <c r="AF4337" s="831" t="s">
        <v>4994</v>
      </c>
      <c r="AG4337" s="831" t="s">
        <v>130</v>
      </c>
      <c r="AH4337" s="831" t="s">
        <v>230</v>
      </c>
      <c r="AI4337" s="831">
        <v>0</v>
      </c>
      <c r="AJ4337" s="835">
        <v>40939</v>
      </c>
      <c r="AK4337" s="831">
        <v>0</v>
      </c>
      <c r="AP4337" s="831" t="str">
        <f t="shared" si="202"/>
        <v/>
      </c>
    </row>
    <row r="4338" spans="2:42">
      <c r="B4338" s="834" t="str">
        <f t="shared" si="201"/>
        <v>|||</v>
      </c>
      <c r="H4338" s="835">
        <f t="shared" si="203"/>
        <v>31</v>
      </c>
      <c r="AF4338" s="831" t="s">
        <v>4995</v>
      </c>
      <c r="AG4338" s="831" t="s">
        <v>130</v>
      </c>
      <c r="AH4338" s="831" t="s">
        <v>231</v>
      </c>
      <c r="AI4338" s="831">
        <v>0</v>
      </c>
      <c r="AJ4338" s="835">
        <v>40939</v>
      </c>
      <c r="AK4338" s="831">
        <v>9830000</v>
      </c>
      <c r="AP4338" s="831" t="str">
        <f t="shared" si="202"/>
        <v/>
      </c>
    </row>
    <row r="4339" spans="2:42">
      <c r="B4339" s="834" t="str">
        <f t="shared" si="201"/>
        <v>|||</v>
      </c>
      <c r="H4339" s="835">
        <f t="shared" si="203"/>
        <v>31</v>
      </c>
      <c r="AF4339" s="831" t="s">
        <v>4996</v>
      </c>
      <c r="AG4339" s="831" t="s">
        <v>130</v>
      </c>
      <c r="AH4339" s="831" t="s">
        <v>232</v>
      </c>
      <c r="AI4339" s="831">
        <v>0</v>
      </c>
      <c r="AJ4339" s="835">
        <v>40939</v>
      </c>
      <c r="AK4339" s="831">
        <v>63731188</v>
      </c>
      <c r="AP4339" s="831" t="str">
        <f t="shared" si="202"/>
        <v/>
      </c>
    </row>
    <row r="4340" spans="2:42">
      <c r="B4340" s="834" t="str">
        <f t="shared" si="201"/>
        <v>|||</v>
      </c>
      <c r="H4340" s="835">
        <f t="shared" si="203"/>
        <v>31</v>
      </c>
      <c r="AF4340" s="831" t="s">
        <v>4997</v>
      </c>
      <c r="AG4340" s="831" t="s">
        <v>130</v>
      </c>
      <c r="AH4340" s="831" t="s">
        <v>116</v>
      </c>
      <c r="AI4340" s="831">
        <v>0</v>
      </c>
      <c r="AJ4340" s="835">
        <v>40939</v>
      </c>
      <c r="AK4340" s="831">
        <v>8029553</v>
      </c>
      <c r="AP4340" s="831" t="str">
        <f t="shared" si="202"/>
        <v/>
      </c>
    </row>
    <row r="4341" spans="2:42">
      <c r="B4341" s="834" t="str">
        <f t="shared" si="201"/>
        <v>|||</v>
      </c>
      <c r="H4341" s="835">
        <f t="shared" si="203"/>
        <v>31</v>
      </c>
      <c r="AF4341" s="831" t="s">
        <v>4998</v>
      </c>
      <c r="AG4341" s="831" t="s">
        <v>130</v>
      </c>
      <c r="AH4341" s="831" t="s">
        <v>234</v>
      </c>
      <c r="AI4341" s="831">
        <v>0</v>
      </c>
      <c r="AJ4341" s="835">
        <v>40939</v>
      </c>
      <c r="AK4341" s="831">
        <v>0</v>
      </c>
      <c r="AP4341" s="831" t="str">
        <f t="shared" si="202"/>
        <v/>
      </c>
    </row>
    <row r="4342" spans="2:42">
      <c r="B4342" s="834" t="str">
        <f t="shared" si="201"/>
        <v>|||</v>
      </c>
      <c r="H4342" s="835">
        <f t="shared" si="203"/>
        <v>31</v>
      </c>
      <c r="AF4342" s="831" t="s">
        <v>4999</v>
      </c>
      <c r="AG4342" s="831" t="s">
        <v>130</v>
      </c>
      <c r="AH4342" s="831" t="s">
        <v>235</v>
      </c>
      <c r="AI4342" s="831">
        <v>0</v>
      </c>
      <c r="AJ4342" s="835">
        <v>40939</v>
      </c>
      <c r="AK4342" s="831">
        <v>1893445</v>
      </c>
      <c r="AP4342" s="831" t="str">
        <f t="shared" si="202"/>
        <v/>
      </c>
    </row>
    <row r="4343" spans="2:42">
      <c r="B4343" s="834" t="str">
        <f t="shared" si="201"/>
        <v>|||</v>
      </c>
      <c r="H4343" s="835">
        <f t="shared" si="203"/>
        <v>31</v>
      </c>
      <c r="AF4343" s="831" t="s">
        <v>5000</v>
      </c>
      <c r="AG4343" s="831" t="s">
        <v>130</v>
      </c>
      <c r="AH4343" s="831" t="s">
        <v>238</v>
      </c>
      <c r="AI4343" s="831">
        <v>0</v>
      </c>
      <c r="AJ4343" s="835">
        <v>40939</v>
      </c>
      <c r="AK4343" s="831">
        <v>0</v>
      </c>
      <c r="AP4343" s="831" t="str">
        <f t="shared" si="202"/>
        <v/>
      </c>
    </row>
    <row r="4344" spans="2:42">
      <c r="B4344" s="834" t="str">
        <f t="shared" si="201"/>
        <v>|||</v>
      </c>
      <c r="H4344" s="835">
        <f t="shared" si="203"/>
        <v>31</v>
      </c>
      <c r="AF4344" s="831" t="s">
        <v>5001</v>
      </c>
      <c r="AG4344" s="831" t="s">
        <v>130</v>
      </c>
      <c r="AH4344" s="831" t="s">
        <v>240</v>
      </c>
      <c r="AI4344" s="831">
        <v>0</v>
      </c>
      <c r="AJ4344" s="835">
        <v>40939</v>
      </c>
      <c r="AK4344" s="831">
        <v>67800000</v>
      </c>
      <c r="AP4344" s="831" t="str">
        <f t="shared" si="202"/>
        <v/>
      </c>
    </row>
    <row r="4345" spans="2:42">
      <c r="B4345" s="834" t="str">
        <f t="shared" si="201"/>
        <v>|||</v>
      </c>
      <c r="H4345" s="835">
        <f t="shared" si="203"/>
        <v>31</v>
      </c>
      <c r="AF4345" s="831" t="s">
        <v>5002</v>
      </c>
      <c r="AG4345" s="831" t="s">
        <v>130</v>
      </c>
      <c r="AH4345" s="831" t="s">
        <v>241</v>
      </c>
      <c r="AI4345" s="831">
        <v>0</v>
      </c>
      <c r="AJ4345" s="835">
        <v>40939</v>
      </c>
      <c r="AK4345" s="831">
        <v>0</v>
      </c>
      <c r="AP4345" s="831" t="str">
        <f t="shared" si="202"/>
        <v/>
      </c>
    </row>
    <row r="4346" spans="2:42">
      <c r="B4346" s="834" t="str">
        <f t="shared" si="201"/>
        <v>|||</v>
      </c>
      <c r="H4346" s="835">
        <f t="shared" si="203"/>
        <v>31</v>
      </c>
      <c r="AF4346" s="831" t="s">
        <v>5003</v>
      </c>
      <c r="AG4346" s="831" t="s">
        <v>130</v>
      </c>
      <c r="AH4346" s="831" t="s">
        <v>242</v>
      </c>
      <c r="AI4346" s="831">
        <v>0</v>
      </c>
      <c r="AJ4346" s="835">
        <v>40939</v>
      </c>
      <c r="AK4346" s="831">
        <v>0</v>
      </c>
      <c r="AP4346" s="831" t="str">
        <f t="shared" si="202"/>
        <v/>
      </c>
    </row>
    <row r="4347" spans="2:42">
      <c r="B4347" s="834" t="str">
        <f t="shared" si="201"/>
        <v>|||</v>
      </c>
      <c r="H4347" s="835">
        <f t="shared" si="203"/>
        <v>31</v>
      </c>
      <c r="AF4347" s="831" t="s">
        <v>5004</v>
      </c>
      <c r="AG4347" s="831" t="s">
        <v>130</v>
      </c>
      <c r="AH4347" s="831" t="s">
        <v>244</v>
      </c>
      <c r="AI4347" s="831">
        <v>0</v>
      </c>
      <c r="AJ4347" s="835">
        <v>40939</v>
      </c>
      <c r="AK4347" s="831">
        <v>17787316</v>
      </c>
      <c r="AP4347" s="831" t="str">
        <f t="shared" si="202"/>
        <v/>
      </c>
    </row>
    <row r="4348" spans="2:42">
      <c r="B4348" s="834" t="str">
        <f t="shared" si="201"/>
        <v>|||</v>
      </c>
      <c r="H4348" s="835">
        <f t="shared" si="203"/>
        <v>31</v>
      </c>
      <c r="AF4348" s="831" t="s">
        <v>5005</v>
      </c>
      <c r="AG4348" s="831" t="s">
        <v>130</v>
      </c>
      <c r="AH4348" s="831" t="s">
        <v>245</v>
      </c>
      <c r="AI4348" s="831">
        <v>0</v>
      </c>
      <c r="AJ4348" s="835">
        <v>40939</v>
      </c>
      <c r="AK4348" s="831">
        <v>1366207</v>
      </c>
      <c r="AP4348" s="831" t="str">
        <f t="shared" si="202"/>
        <v/>
      </c>
    </row>
    <row r="4349" spans="2:42">
      <c r="B4349" s="834" t="str">
        <f t="shared" si="201"/>
        <v>|||</v>
      </c>
      <c r="H4349" s="835">
        <f t="shared" si="203"/>
        <v>31</v>
      </c>
      <c r="AF4349" s="831" t="s">
        <v>5006</v>
      </c>
      <c r="AG4349" s="831" t="s">
        <v>130</v>
      </c>
      <c r="AH4349" s="831" t="s">
        <v>145</v>
      </c>
      <c r="AI4349" s="831">
        <v>0</v>
      </c>
      <c r="AJ4349" s="835">
        <v>40968</v>
      </c>
      <c r="AK4349" s="831">
        <v>29883505</v>
      </c>
      <c r="AP4349" s="831" t="str">
        <f t="shared" si="202"/>
        <v/>
      </c>
    </row>
    <row r="4350" spans="2:42">
      <c r="B4350" s="834" t="str">
        <f t="shared" si="201"/>
        <v>|||</v>
      </c>
      <c r="H4350" s="835">
        <f t="shared" si="203"/>
        <v>31</v>
      </c>
      <c r="AF4350" s="831" t="s">
        <v>5007</v>
      </c>
      <c r="AG4350" s="831" t="s">
        <v>130</v>
      </c>
      <c r="AH4350" s="831" t="s">
        <v>149</v>
      </c>
      <c r="AI4350" s="831">
        <v>0</v>
      </c>
      <c r="AJ4350" s="835">
        <v>40968</v>
      </c>
      <c r="AK4350" s="831">
        <v>0</v>
      </c>
      <c r="AP4350" s="831" t="str">
        <f t="shared" si="202"/>
        <v/>
      </c>
    </row>
    <row r="4351" spans="2:42">
      <c r="B4351" s="834" t="str">
        <f t="shared" si="201"/>
        <v>|||</v>
      </c>
      <c r="H4351" s="835">
        <f t="shared" si="203"/>
        <v>31</v>
      </c>
      <c r="AF4351" s="831" t="s">
        <v>5008</v>
      </c>
      <c r="AG4351" s="831" t="s">
        <v>130</v>
      </c>
      <c r="AH4351" s="831" t="s">
        <v>153</v>
      </c>
      <c r="AI4351" s="831">
        <v>0</v>
      </c>
      <c r="AJ4351" s="835">
        <v>40968</v>
      </c>
      <c r="AK4351" s="831">
        <v>16164491</v>
      </c>
      <c r="AP4351" s="831" t="str">
        <f t="shared" si="202"/>
        <v/>
      </c>
    </row>
    <row r="4352" spans="2:42">
      <c r="B4352" s="834" t="str">
        <f t="shared" si="201"/>
        <v>|||</v>
      </c>
      <c r="H4352" s="835">
        <f t="shared" si="203"/>
        <v>31</v>
      </c>
      <c r="AF4352" s="831" t="s">
        <v>5009</v>
      </c>
      <c r="AG4352" s="831" t="s">
        <v>130</v>
      </c>
      <c r="AH4352" s="831" t="s">
        <v>156</v>
      </c>
      <c r="AI4352" s="831">
        <v>0</v>
      </c>
      <c r="AJ4352" s="835">
        <v>40968</v>
      </c>
      <c r="AK4352" s="831">
        <v>0</v>
      </c>
      <c r="AP4352" s="831" t="str">
        <f t="shared" si="202"/>
        <v/>
      </c>
    </row>
    <row r="4353" spans="2:42">
      <c r="B4353" s="834" t="str">
        <f t="shared" si="201"/>
        <v>|||</v>
      </c>
      <c r="H4353" s="835">
        <f t="shared" si="203"/>
        <v>31</v>
      </c>
      <c r="AF4353" s="831" t="s">
        <v>5010</v>
      </c>
      <c r="AG4353" s="831" t="s">
        <v>130</v>
      </c>
      <c r="AH4353" s="831" t="s">
        <v>162</v>
      </c>
      <c r="AI4353" s="831">
        <v>0</v>
      </c>
      <c r="AJ4353" s="835">
        <v>40968</v>
      </c>
      <c r="AK4353" s="831">
        <v>305990686</v>
      </c>
      <c r="AP4353" s="831" t="str">
        <f t="shared" si="202"/>
        <v/>
      </c>
    </row>
    <row r="4354" spans="2:42">
      <c r="B4354" s="834" t="str">
        <f t="shared" si="201"/>
        <v>|||</v>
      </c>
      <c r="H4354" s="835">
        <f t="shared" si="203"/>
        <v>31</v>
      </c>
      <c r="AF4354" s="831" t="s">
        <v>5011</v>
      </c>
      <c r="AG4354" s="831" t="s">
        <v>130</v>
      </c>
      <c r="AH4354" s="831" t="s">
        <v>165</v>
      </c>
      <c r="AI4354" s="831">
        <v>0</v>
      </c>
      <c r="AJ4354" s="835">
        <v>40968</v>
      </c>
      <c r="AK4354" s="831">
        <v>-8257242</v>
      </c>
      <c r="AP4354" s="831" t="str">
        <f t="shared" si="202"/>
        <v/>
      </c>
    </row>
    <row r="4355" spans="2:42">
      <c r="B4355" s="834" t="str">
        <f t="shared" ref="B4355:B4418" si="204">C4355&amp;"|"&amp;D4355&amp;"|"&amp;E4355&amp;"|"&amp;F4355</f>
        <v>|||</v>
      </c>
      <c r="H4355" s="835">
        <f t="shared" si="203"/>
        <v>31</v>
      </c>
      <c r="AF4355" s="831" t="s">
        <v>5012</v>
      </c>
      <c r="AG4355" s="831" t="s">
        <v>130</v>
      </c>
      <c r="AH4355" s="831" t="s">
        <v>171</v>
      </c>
      <c r="AI4355" s="831">
        <v>0</v>
      </c>
      <c r="AJ4355" s="835">
        <v>40968</v>
      </c>
      <c r="AK4355" s="831">
        <v>2654427</v>
      </c>
      <c r="AP4355" s="831" t="str">
        <f t="shared" ref="AP4355:AP4418" si="205">IF(AX4355&lt;&gt;"",IF(OR(AX4355=3,AX4355=4),"Equity","Debt"),"")</f>
        <v/>
      </c>
    </row>
    <row r="4356" spans="2:42">
      <c r="B4356" s="834" t="str">
        <f t="shared" si="204"/>
        <v>|||</v>
      </c>
      <c r="H4356" s="835">
        <f t="shared" ref="H4356:H4419" si="206">EOMONTH(L4356,0)</f>
        <v>31</v>
      </c>
      <c r="AF4356" s="831" t="s">
        <v>5013</v>
      </c>
      <c r="AG4356" s="831" t="s">
        <v>130</v>
      </c>
      <c r="AH4356" s="831" t="s">
        <v>174</v>
      </c>
      <c r="AI4356" s="831">
        <v>0</v>
      </c>
      <c r="AJ4356" s="835">
        <v>40968</v>
      </c>
      <c r="AK4356" s="831">
        <v>0</v>
      </c>
      <c r="AP4356" s="831" t="str">
        <f t="shared" si="205"/>
        <v/>
      </c>
    </row>
    <row r="4357" spans="2:42">
      <c r="B4357" s="834" t="str">
        <f t="shared" si="204"/>
        <v>|||</v>
      </c>
      <c r="H4357" s="835">
        <f t="shared" si="206"/>
        <v>31</v>
      </c>
      <c r="AF4357" s="831" t="s">
        <v>5014</v>
      </c>
      <c r="AG4357" s="831" t="s">
        <v>130</v>
      </c>
      <c r="AH4357" s="831" t="s">
        <v>181</v>
      </c>
      <c r="AI4357" s="831">
        <v>0</v>
      </c>
      <c r="AJ4357" s="835">
        <v>40968</v>
      </c>
      <c r="AK4357" s="831">
        <v>39149033</v>
      </c>
      <c r="AP4357" s="831" t="str">
        <f t="shared" si="205"/>
        <v/>
      </c>
    </row>
    <row r="4358" spans="2:42">
      <c r="B4358" s="834" t="str">
        <f t="shared" si="204"/>
        <v>|||</v>
      </c>
      <c r="H4358" s="835">
        <f t="shared" si="206"/>
        <v>31</v>
      </c>
      <c r="AF4358" s="831" t="s">
        <v>5015</v>
      </c>
      <c r="AG4358" s="831" t="s">
        <v>130</v>
      </c>
      <c r="AH4358" s="831" t="s">
        <v>184</v>
      </c>
      <c r="AI4358" s="831">
        <v>0</v>
      </c>
      <c r="AJ4358" s="835">
        <v>40968</v>
      </c>
      <c r="AK4358" s="831">
        <v>-8326620</v>
      </c>
      <c r="AP4358" s="831" t="str">
        <f t="shared" si="205"/>
        <v/>
      </c>
    </row>
    <row r="4359" spans="2:42">
      <c r="B4359" s="834" t="str">
        <f t="shared" si="204"/>
        <v>|||</v>
      </c>
      <c r="H4359" s="835">
        <f t="shared" si="206"/>
        <v>31</v>
      </c>
      <c r="AF4359" s="831" t="s">
        <v>5016</v>
      </c>
      <c r="AG4359" s="831" t="s">
        <v>130</v>
      </c>
      <c r="AH4359" s="831" t="s">
        <v>187</v>
      </c>
      <c r="AI4359" s="831">
        <v>0</v>
      </c>
      <c r="AJ4359" s="835">
        <v>40968</v>
      </c>
      <c r="AK4359" s="831">
        <v>0</v>
      </c>
      <c r="AP4359" s="831" t="str">
        <f t="shared" si="205"/>
        <v/>
      </c>
    </row>
    <row r="4360" spans="2:42">
      <c r="B4360" s="834" t="str">
        <f t="shared" si="204"/>
        <v>|||</v>
      </c>
      <c r="H4360" s="835">
        <f t="shared" si="206"/>
        <v>31</v>
      </c>
      <c r="AF4360" s="831" t="s">
        <v>5017</v>
      </c>
      <c r="AG4360" s="831" t="s">
        <v>130</v>
      </c>
      <c r="AH4360" s="831" t="s">
        <v>196</v>
      </c>
      <c r="AI4360" s="831">
        <v>0</v>
      </c>
      <c r="AJ4360" s="835">
        <v>40968</v>
      </c>
      <c r="AK4360" s="831">
        <v>4214740</v>
      </c>
      <c r="AP4360" s="831" t="str">
        <f t="shared" si="205"/>
        <v/>
      </c>
    </row>
    <row r="4361" spans="2:42">
      <c r="B4361" s="834" t="str">
        <f t="shared" si="204"/>
        <v>|||</v>
      </c>
      <c r="H4361" s="835">
        <f t="shared" si="206"/>
        <v>31</v>
      </c>
      <c r="AF4361" s="831" t="s">
        <v>5018</v>
      </c>
      <c r="AG4361" s="831" t="s">
        <v>130</v>
      </c>
      <c r="AH4361" s="831" t="s">
        <v>197</v>
      </c>
      <c r="AI4361" s="831">
        <v>0</v>
      </c>
      <c r="AJ4361" s="835">
        <v>40968</v>
      </c>
      <c r="AK4361" s="831">
        <v>0</v>
      </c>
      <c r="AP4361" s="831" t="str">
        <f t="shared" si="205"/>
        <v/>
      </c>
    </row>
    <row r="4362" spans="2:42">
      <c r="B4362" s="834" t="str">
        <f t="shared" si="204"/>
        <v>|||</v>
      </c>
      <c r="H4362" s="835">
        <f t="shared" si="206"/>
        <v>31</v>
      </c>
      <c r="AF4362" s="831" t="s">
        <v>5019</v>
      </c>
      <c r="AG4362" s="831" t="s">
        <v>130</v>
      </c>
      <c r="AH4362" s="831" t="s">
        <v>199</v>
      </c>
      <c r="AI4362" s="831">
        <v>0</v>
      </c>
      <c r="AJ4362" s="835">
        <v>40968</v>
      </c>
      <c r="AK4362" s="831">
        <v>0</v>
      </c>
      <c r="AP4362" s="831" t="str">
        <f t="shared" si="205"/>
        <v/>
      </c>
    </row>
    <row r="4363" spans="2:42">
      <c r="B4363" s="834" t="str">
        <f t="shared" si="204"/>
        <v>|||</v>
      </c>
      <c r="H4363" s="835">
        <f t="shared" si="206"/>
        <v>31</v>
      </c>
      <c r="AF4363" s="831" t="s">
        <v>5020</v>
      </c>
      <c r="AG4363" s="831" t="s">
        <v>130</v>
      </c>
      <c r="AH4363" s="831" t="s">
        <v>201</v>
      </c>
      <c r="AI4363" s="831">
        <v>0</v>
      </c>
      <c r="AJ4363" s="835">
        <v>40968</v>
      </c>
      <c r="AK4363" s="831">
        <v>2612997</v>
      </c>
      <c r="AP4363" s="831" t="str">
        <f t="shared" si="205"/>
        <v/>
      </c>
    </row>
    <row r="4364" spans="2:42">
      <c r="B4364" s="834" t="str">
        <f t="shared" si="204"/>
        <v>|||</v>
      </c>
      <c r="H4364" s="835">
        <f t="shared" si="206"/>
        <v>31</v>
      </c>
      <c r="AF4364" s="831" t="s">
        <v>5021</v>
      </c>
      <c r="AG4364" s="831" t="s">
        <v>130</v>
      </c>
      <c r="AH4364" s="831" t="s">
        <v>209</v>
      </c>
      <c r="AI4364" s="831">
        <v>0</v>
      </c>
      <c r="AJ4364" s="835">
        <v>40968</v>
      </c>
      <c r="AK4364" s="831">
        <v>33725880</v>
      </c>
      <c r="AP4364" s="831" t="str">
        <f t="shared" si="205"/>
        <v/>
      </c>
    </row>
    <row r="4365" spans="2:42">
      <c r="B4365" s="834" t="str">
        <f t="shared" si="204"/>
        <v>|||</v>
      </c>
      <c r="H4365" s="835">
        <f t="shared" si="206"/>
        <v>31</v>
      </c>
      <c r="AF4365" s="831" t="s">
        <v>5022</v>
      </c>
      <c r="AG4365" s="831" t="s">
        <v>130</v>
      </c>
      <c r="AH4365" s="831" t="s">
        <v>211</v>
      </c>
      <c r="AI4365" s="831">
        <v>0</v>
      </c>
      <c r="AJ4365" s="835">
        <v>40968</v>
      </c>
      <c r="AK4365" s="831">
        <v>105367413</v>
      </c>
      <c r="AP4365" s="831" t="str">
        <f t="shared" si="205"/>
        <v/>
      </c>
    </row>
    <row r="4366" spans="2:42">
      <c r="B4366" s="834" t="str">
        <f t="shared" si="204"/>
        <v>|||</v>
      </c>
      <c r="H4366" s="835">
        <f t="shared" si="206"/>
        <v>31</v>
      </c>
      <c r="AF4366" s="831" t="s">
        <v>5023</v>
      </c>
      <c r="AG4366" s="831" t="s">
        <v>130</v>
      </c>
      <c r="AH4366" s="831" t="s">
        <v>212</v>
      </c>
      <c r="AI4366" s="831">
        <v>0</v>
      </c>
      <c r="AJ4366" s="835">
        <v>40968</v>
      </c>
      <c r="AK4366" s="831">
        <v>6279126</v>
      </c>
      <c r="AP4366" s="831" t="str">
        <f t="shared" si="205"/>
        <v/>
      </c>
    </row>
    <row r="4367" spans="2:42">
      <c r="B4367" s="834" t="str">
        <f t="shared" si="204"/>
        <v>|||</v>
      </c>
      <c r="H4367" s="835">
        <f t="shared" si="206"/>
        <v>31</v>
      </c>
      <c r="AF4367" s="831" t="s">
        <v>5024</v>
      </c>
      <c r="AG4367" s="831" t="s">
        <v>130</v>
      </c>
      <c r="AH4367" s="831" t="s">
        <v>216</v>
      </c>
      <c r="AI4367" s="831">
        <v>0</v>
      </c>
      <c r="AJ4367" s="835">
        <v>40968</v>
      </c>
      <c r="AK4367" s="831">
        <v>0</v>
      </c>
      <c r="AP4367" s="831" t="str">
        <f t="shared" si="205"/>
        <v/>
      </c>
    </row>
    <row r="4368" spans="2:42">
      <c r="B4368" s="834" t="str">
        <f t="shared" si="204"/>
        <v>|||</v>
      </c>
      <c r="H4368" s="835">
        <f t="shared" si="206"/>
        <v>31</v>
      </c>
      <c r="AF4368" s="831" t="s">
        <v>5025</v>
      </c>
      <c r="AG4368" s="831" t="s">
        <v>130</v>
      </c>
      <c r="AH4368" s="831" t="s">
        <v>218</v>
      </c>
      <c r="AI4368" s="831">
        <v>0</v>
      </c>
      <c r="AJ4368" s="835">
        <v>40968</v>
      </c>
      <c r="AK4368" s="831">
        <v>58104010</v>
      </c>
      <c r="AP4368" s="831" t="str">
        <f t="shared" si="205"/>
        <v/>
      </c>
    </row>
    <row r="4369" spans="2:42">
      <c r="B4369" s="834" t="str">
        <f t="shared" si="204"/>
        <v>|||</v>
      </c>
      <c r="H4369" s="835">
        <f t="shared" si="206"/>
        <v>31</v>
      </c>
      <c r="AF4369" s="831" t="s">
        <v>5026</v>
      </c>
      <c r="AG4369" s="831" t="s">
        <v>130</v>
      </c>
      <c r="AH4369" s="831" t="s">
        <v>220</v>
      </c>
      <c r="AI4369" s="831">
        <v>0</v>
      </c>
      <c r="AJ4369" s="835">
        <v>40968</v>
      </c>
      <c r="AK4369" s="831">
        <v>0</v>
      </c>
      <c r="AP4369" s="831" t="str">
        <f t="shared" si="205"/>
        <v/>
      </c>
    </row>
    <row r="4370" spans="2:42">
      <c r="B4370" s="834" t="str">
        <f t="shared" si="204"/>
        <v>|||</v>
      </c>
      <c r="H4370" s="835">
        <f t="shared" si="206"/>
        <v>31</v>
      </c>
      <c r="AF4370" s="831" t="s">
        <v>5027</v>
      </c>
      <c r="AG4370" s="831" t="s">
        <v>130</v>
      </c>
      <c r="AH4370" s="831" t="s">
        <v>221</v>
      </c>
      <c r="AI4370" s="831">
        <v>0</v>
      </c>
      <c r="AJ4370" s="835">
        <v>40968</v>
      </c>
      <c r="AK4370" s="831">
        <v>4177849</v>
      </c>
      <c r="AP4370" s="831" t="str">
        <f t="shared" si="205"/>
        <v/>
      </c>
    </row>
    <row r="4371" spans="2:42">
      <c r="B4371" s="834" t="str">
        <f t="shared" si="204"/>
        <v>|||</v>
      </c>
      <c r="H4371" s="835">
        <f t="shared" si="206"/>
        <v>31</v>
      </c>
      <c r="AF4371" s="831" t="s">
        <v>5028</v>
      </c>
      <c r="AG4371" s="831" t="s">
        <v>130</v>
      </c>
      <c r="AH4371" s="831" t="s">
        <v>228</v>
      </c>
      <c r="AI4371" s="831">
        <v>0</v>
      </c>
      <c r="AJ4371" s="835">
        <v>40968</v>
      </c>
      <c r="AK4371" s="831">
        <v>0</v>
      </c>
      <c r="AP4371" s="831" t="str">
        <f t="shared" si="205"/>
        <v/>
      </c>
    </row>
    <row r="4372" spans="2:42">
      <c r="B4372" s="834" t="str">
        <f t="shared" si="204"/>
        <v>|||</v>
      </c>
      <c r="H4372" s="835">
        <f t="shared" si="206"/>
        <v>31</v>
      </c>
      <c r="AF4372" s="831" t="s">
        <v>5029</v>
      </c>
      <c r="AG4372" s="831" t="s">
        <v>130</v>
      </c>
      <c r="AH4372" s="831" t="s">
        <v>230</v>
      </c>
      <c r="AI4372" s="831">
        <v>0</v>
      </c>
      <c r="AJ4372" s="835">
        <v>40968</v>
      </c>
      <c r="AK4372" s="831">
        <v>0</v>
      </c>
      <c r="AP4372" s="831" t="str">
        <f t="shared" si="205"/>
        <v/>
      </c>
    </row>
    <row r="4373" spans="2:42">
      <c r="B4373" s="834" t="str">
        <f t="shared" si="204"/>
        <v>|||</v>
      </c>
      <c r="H4373" s="835">
        <f t="shared" si="206"/>
        <v>31</v>
      </c>
      <c r="AF4373" s="831" t="s">
        <v>5030</v>
      </c>
      <c r="AG4373" s="831" t="s">
        <v>130</v>
      </c>
      <c r="AH4373" s="831" t="s">
        <v>231</v>
      </c>
      <c r="AI4373" s="831">
        <v>0</v>
      </c>
      <c r="AJ4373" s="835">
        <v>40968</v>
      </c>
      <c r="AK4373" s="831">
        <v>4913125</v>
      </c>
      <c r="AP4373" s="831" t="str">
        <f t="shared" si="205"/>
        <v/>
      </c>
    </row>
    <row r="4374" spans="2:42">
      <c r="B4374" s="834" t="str">
        <f t="shared" si="204"/>
        <v>|||</v>
      </c>
      <c r="H4374" s="835">
        <f t="shared" si="206"/>
        <v>31</v>
      </c>
      <c r="AF4374" s="831" t="s">
        <v>5031</v>
      </c>
      <c r="AG4374" s="831" t="s">
        <v>130</v>
      </c>
      <c r="AH4374" s="831" t="s">
        <v>232</v>
      </c>
      <c r="AI4374" s="831">
        <v>0</v>
      </c>
      <c r="AJ4374" s="835">
        <v>40968</v>
      </c>
      <c r="AK4374" s="831">
        <v>73948259</v>
      </c>
      <c r="AP4374" s="831" t="str">
        <f t="shared" si="205"/>
        <v/>
      </c>
    </row>
    <row r="4375" spans="2:42">
      <c r="B4375" s="834" t="str">
        <f t="shared" si="204"/>
        <v>|||</v>
      </c>
      <c r="H4375" s="835">
        <f t="shared" si="206"/>
        <v>31</v>
      </c>
      <c r="AF4375" s="831" t="s">
        <v>5032</v>
      </c>
      <c r="AG4375" s="831" t="s">
        <v>130</v>
      </c>
      <c r="AH4375" s="831" t="s">
        <v>116</v>
      </c>
      <c r="AI4375" s="831">
        <v>0</v>
      </c>
      <c r="AJ4375" s="835">
        <v>40968</v>
      </c>
      <c r="AK4375" s="831">
        <v>8026490</v>
      </c>
      <c r="AP4375" s="831" t="str">
        <f t="shared" si="205"/>
        <v/>
      </c>
    </row>
    <row r="4376" spans="2:42">
      <c r="B4376" s="834" t="str">
        <f t="shared" si="204"/>
        <v>|||</v>
      </c>
      <c r="H4376" s="835">
        <f t="shared" si="206"/>
        <v>31</v>
      </c>
      <c r="AF4376" s="831" t="s">
        <v>5033</v>
      </c>
      <c r="AG4376" s="831" t="s">
        <v>130</v>
      </c>
      <c r="AH4376" s="831" t="s">
        <v>234</v>
      </c>
      <c r="AI4376" s="831">
        <v>0</v>
      </c>
      <c r="AJ4376" s="835">
        <v>40968</v>
      </c>
      <c r="AK4376" s="831">
        <v>0</v>
      </c>
      <c r="AP4376" s="831" t="str">
        <f t="shared" si="205"/>
        <v/>
      </c>
    </row>
    <row r="4377" spans="2:42">
      <c r="B4377" s="834" t="str">
        <f t="shared" si="204"/>
        <v>|||</v>
      </c>
      <c r="H4377" s="835">
        <f t="shared" si="206"/>
        <v>31</v>
      </c>
      <c r="AF4377" s="831" t="s">
        <v>5034</v>
      </c>
      <c r="AG4377" s="831" t="s">
        <v>130</v>
      </c>
      <c r="AH4377" s="831" t="s">
        <v>235</v>
      </c>
      <c r="AI4377" s="831">
        <v>0</v>
      </c>
      <c r="AJ4377" s="835">
        <v>40968</v>
      </c>
      <c r="AK4377" s="831">
        <v>1637700</v>
      </c>
      <c r="AP4377" s="831" t="str">
        <f t="shared" si="205"/>
        <v/>
      </c>
    </row>
    <row r="4378" spans="2:42">
      <c r="B4378" s="834" t="str">
        <f t="shared" si="204"/>
        <v>|||</v>
      </c>
      <c r="H4378" s="835">
        <f t="shared" si="206"/>
        <v>31</v>
      </c>
      <c r="AF4378" s="831" t="s">
        <v>5035</v>
      </c>
      <c r="AG4378" s="831" t="s">
        <v>130</v>
      </c>
      <c r="AH4378" s="831" t="s">
        <v>238</v>
      </c>
      <c r="AI4378" s="831">
        <v>0</v>
      </c>
      <c r="AJ4378" s="835">
        <v>40968</v>
      </c>
      <c r="AK4378" s="831">
        <v>0</v>
      </c>
      <c r="AP4378" s="831" t="str">
        <f t="shared" si="205"/>
        <v/>
      </c>
    </row>
    <row r="4379" spans="2:42">
      <c r="B4379" s="834" t="str">
        <f t="shared" si="204"/>
        <v>|||</v>
      </c>
      <c r="H4379" s="835">
        <f t="shared" si="206"/>
        <v>31</v>
      </c>
      <c r="AF4379" s="831" t="s">
        <v>5036</v>
      </c>
      <c r="AG4379" s="831" t="s">
        <v>130</v>
      </c>
      <c r="AH4379" s="831" t="s">
        <v>240</v>
      </c>
      <c r="AI4379" s="831">
        <v>0</v>
      </c>
      <c r="AJ4379" s="835">
        <v>40968</v>
      </c>
      <c r="AK4379" s="831">
        <v>67800000</v>
      </c>
      <c r="AP4379" s="831" t="str">
        <f t="shared" si="205"/>
        <v/>
      </c>
    </row>
    <row r="4380" spans="2:42">
      <c r="B4380" s="834" t="str">
        <f t="shared" si="204"/>
        <v>|||</v>
      </c>
      <c r="H4380" s="835">
        <f t="shared" si="206"/>
        <v>31</v>
      </c>
      <c r="AF4380" s="831" t="s">
        <v>5037</v>
      </c>
      <c r="AG4380" s="831" t="s">
        <v>130</v>
      </c>
      <c r="AH4380" s="831" t="s">
        <v>241</v>
      </c>
      <c r="AI4380" s="831">
        <v>0</v>
      </c>
      <c r="AJ4380" s="835">
        <v>40968</v>
      </c>
      <c r="AK4380" s="831">
        <v>0</v>
      </c>
      <c r="AP4380" s="831" t="str">
        <f t="shared" si="205"/>
        <v/>
      </c>
    </row>
    <row r="4381" spans="2:42">
      <c r="B4381" s="834" t="str">
        <f t="shared" si="204"/>
        <v>|||</v>
      </c>
      <c r="H4381" s="835">
        <f t="shared" si="206"/>
        <v>31</v>
      </c>
      <c r="AF4381" s="831" t="s">
        <v>5038</v>
      </c>
      <c r="AG4381" s="831" t="s">
        <v>130</v>
      </c>
      <c r="AH4381" s="831" t="s">
        <v>242</v>
      </c>
      <c r="AI4381" s="831">
        <v>0</v>
      </c>
      <c r="AJ4381" s="835">
        <v>40968</v>
      </c>
      <c r="AK4381" s="831">
        <v>0</v>
      </c>
      <c r="AP4381" s="831" t="str">
        <f t="shared" si="205"/>
        <v/>
      </c>
    </row>
    <row r="4382" spans="2:42">
      <c r="B4382" s="834" t="str">
        <f t="shared" si="204"/>
        <v>|||</v>
      </c>
      <c r="H4382" s="835">
        <f t="shared" si="206"/>
        <v>31</v>
      </c>
      <c r="AF4382" s="831" t="s">
        <v>5039</v>
      </c>
      <c r="AG4382" s="831" t="s">
        <v>130</v>
      </c>
      <c r="AH4382" s="831" t="s">
        <v>244</v>
      </c>
      <c r="AI4382" s="831">
        <v>0</v>
      </c>
      <c r="AJ4382" s="835">
        <v>40968</v>
      </c>
      <c r="AK4382" s="831">
        <v>17787316</v>
      </c>
      <c r="AP4382" s="831" t="str">
        <f t="shared" si="205"/>
        <v/>
      </c>
    </row>
    <row r="4383" spans="2:42">
      <c r="B4383" s="834" t="str">
        <f t="shared" si="204"/>
        <v>|||</v>
      </c>
      <c r="H4383" s="835">
        <f t="shared" si="206"/>
        <v>31</v>
      </c>
      <c r="AF4383" s="831" t="s">
        <v>5040</v>
      </c>
      <c r="AG4383" s="831" t="s">
        <v>130</v>
      </c>
      <c r="AH4383" s="831" t="s">
        <v>245</v>
      </c>
      <c r="AI4383" s="831">
        <v>0</v>
      </c>
      <c r="AJ4383" s="835">
        <v>40968</v>
      </c>
      <c r="AK4383" s="831">
        <v>2318849</v>
      </c>
      <c r="AP4383" s="831" t="str">
        <f t="shared" si="205"/>
        <v/>
      </c>
    </row>
    <row r="4384" spans="2:42">
      <c r="B4384" s="834" t="str">
        <f t="shared" si="204"/>
        <v>|||</v>
      </c>
      <c r="H4384" s="835">
        <f t="shared" si="206"/>
        <v>31</v>
      </c>
      <c r="AF4384" s="831" t="s">
        <v>5041</v>
      </c>
      <c r="AG4384" s="831" t="s">
        <v>130</v>
      </c>
      <c r="AH4384" s="831" t="s">
        <v>145</v>
      </c>
      <c r="AI4384" s="831">
        <v>0</v>
      </c>
      <c r="AJ4384" s="835">
        <v>40999</v>
      </c>
      <c r="AK4384" s="831">
        <v>21148447</v>
      </c>
      <c r="AP4384" s="831" t="str">
        <f t="shared" si="205"/>
        <v/>
      </c>
    </row>
    <row r="4385" spans="2:42">
      <c r="B4385" s="834" t="str">
        <f t="shared" si="204"/>
        <v>|||</v>
      </c>
      <c r="H4385" s="835">
        <f t="shared" si="206"/>
        <v>31</v>
      </c>
      <c r="AF4385" s="831" t="s">
        <v>5042</v>
      </c>
      <c r="AG4385" s="831" t="s">
        <v>130</v>
      </c>
      <c r="AH4385" s="831" t="s">
        <v>149</v>
      </c>
      <c r="AI4385" s="831">
        <v>0</v>
      </c>
      <c r="AJ4385" s="835">
        <v>40999</v>
      </c>
      <c r="AK4385" s="831">
        <v>0</v>
      </c>
      <c r="AP4385" s="831" t="str">
        <f t="shared" si="205"/>
        <v/>
      </c>
    </row>
    <row r="4386" spans="2:42">
      <c r="B4386" s="834" t="str">
        <f t="shared" si="204"/>
        <v>|||</v>
      </c>
      <c r="H4386" s="835">
        <f t="shared" si="206"/>
        <v>31</v>
      </c>
      <c r="AF4386" s="831" t="s">
        <v>5043</v>
      </c>
      <c r="AG4386" s="831" t="s">
        <v>130</v>
      </c>
      <c r="AH4386" s="831" t="s">
        <v>153</v>
      </c>
      <c r="AI4386" s="831">
        <v>0</v>
      </c>
      <c r="AJ4386" s="835">
        <v>40999</v>
      </c>
      <c r="AK4386" s="831">
        <v>16498221</v>
      </c>
      <c r="AP4386" s="831" t="str">
        <f t="shared" si="205"/>
        <v/>
      </c>
    </row>
    <row r="4387" spans="2:42">
      <c r="B4387" s="834" t="str">
        <f t="shared" si="204"/>
        <v>|||</v>
      </c>
      <c r="H4387" s="835">
        <f t="shared" si="206"/>
        <v>31</v>
      </c>
      <c r="AF4387" s="831" t="s">
        <v>5044</v>
      </c>
      <c r="AG4387" s="831" t="s">
        <v>130</v>
      </c>
      <c r="AH4387" s="831" t="s">
        <v>156</v>
      </c>
      <c r="AI4387" s="831">
        <v>0</v>
      </c>
      <c r="AJ4387" s="835">
        <v>40999</v>
      </c>
      <c r="AK4387" s="831">
        <v>0</v>
      </c>
      <c r="AP4387" s="831" t="str">
        <f t="shared" si="205"/>
        <v/>
      </c>
    </row>
    <row r="4388" spans="2:42">
      <c r="B4388" s="834" t="str">
        <f t="shared" si="204"/>
        <v>|||</v>
      </c>
      <c r="H4388" s="835">
        <f t="shared" si="206"/>
        <v>31</v>
      </c>
      <c r="AF4388" s="831" t="s">
        <v>5045</v>
      </c>
      <c r="AG4388" s="831" t="s">
        <v>130</v>
      </c>
      <c r="AH4388" s="831" t="s">
        <v>162</v>
      </c>
      <c r="AI4388" s="831">
        <v>0</v>
      </c>
      <c r="AJ4388" s="835">
        <v>40999</v>
      </c>
      <c r="AK4388" s="831">
        <v>313604132</v>
      </c>
      <c r="AP4388" s="831" t="str">
        <f t="shared" si="205"/>
        <v/>
      </c>
    </row>
    <row r="4389" spans="2:42">
      <c r="B4389" s="834" t="str">
        <f t="shared" si="204"/>
        <v>|||</v>
      </c>
      <c r="H4389" s="835">
        <f t="shared" si="206"/>
        <v>31</v>
      </c>
      <c r="AF4389" s="831" t="s">
        <v>5046</v>
      </c>
      <c r="AG4389" s="831" t="s">
        <v>130</v>
      </c>
      <c r="AH4389" s="831" t="s">
        <v>165</v>
      </c>
      <c r="AI4389" s="831">
        <v>0</v>
      </c>
      <c r="AJ4389" s="835">
        <v>40999</v>
      </c>
      <c r="AK4389" s="831">
        <v>-8404190</v>
      </c>
      <c r="AP4389" s="831" t="str">
        <f t="shared" si="205"/>
        <v/>
      </c>
    </row>
    <row r="4390" spans="2:42">
      <c r="B4390" s="834" t="str">
        <f t="shared" si="204"/>
        <v>|||</v>
      </c>
      <c r="H4390" s="835">
        <f t="shared" si="206"/>
        <v>31</v>
      </c>
      <c r="AF4390" s="831" t="s">
        <v>5047</v>
      </c>
      <c r="AG4390" s="831" t="s">
        <v>130</v>
      </c>
      <c r="AH4390" s="831" t="s">
        <v>171</v>
      </c>
      <c r="AI4390" s="831">
        <v>0</v>
      </c>
      <c r="AJ4390" s="835">
        <v>40999</v>
      </c>
      <c r="AK4390" s="831">
        <v>2230272</v>
      </c>
      <c r="AP4390" s="831" t="str">
        <f t="shared" si="205"/>
        <v/>
      </c>
    </row>
    <row r="4391" spans="2:42">
      <c r="B4391" s="834" t="str">
        <f t="shared" si="204"/>
        <v>|||</v>
      </c>
      <c r="H4391" s="835">
        <f t="shared" si="206"/>
        <v>31</v>
      </c>
      <c r="AF4391" s="831" t="s">
        <v>5048</v>
      </c>
      <c r="AG4391" s="831" t="s">
        <v>130</v>
      </c>
      <c r="AH4391" s="831" t="s">
        <v>174</v>
      </c>
      <c r="AI4391" s="831">
        <v>0</v>
      </c>
      <c r="AJ4391" s="835">
        <v>40999</v>
      </c>
      <c r="AK4391" s="831">
        <v>0</v>
      </c>
      <c r="AP4391" s="831" t="str">
        <f t="shared" si="205"/>
        <v/>
      </c>
    </row>
    <row r="4392" spans="2:42">
      <c r="B4392" s="834" t="str">
        <f t="shared" si="204"/>
        <v>|||</v>
      </c>
      <c r="H4392" s="835">
        <f t="shared" si="206"/>
        <v>31</v>
      </c>
      <c r="AF4392" s="831" t="s">
        <v>5049</v>
      </c>
      <c r="AG4392" s="831" t="s">
        <v>130</v>
      </c>
      <c r="AH4392" s="831" t="s">
        <v>181</v>
      </c>
      <c r="AI4392" s="831">
        <v>0</v>
      </c>
      <c r="AJ4392" s="835">
        <v>40999</v>
      </c>
      <c r="AK4392" s="831">
        <v>39414963</v>
      </c>
      <c r="AP4392" s="831" t="str">
        <f t="shared" si="205"/>
        <v/>
      </c>
    </row>
    <row r="4393" spans="2:42">
      <c r="B4393" s="834" t="str">
        <f t="shared" si="204"/>
        <v>|||</v>
      </c>
      <c r="H4393" s="835">
        <f t="shared" si="206"/>
        <v>31</v>
      </c>
      <c r="AF4393" s="831" t="s">
        <v>5050</v>
      </c>
      <c r="AG4393" s="831" t="s">
        <v>130</v>
      </c>
      <c r="AH4393" s="831" t="s">
        <v>184</v>
      </c>
      <c r="AI4393" s="831">
        <v>0</v>
      </c>
      <c r="AJ4393" s="835">
        <v>40999</v>
      </c>
      <c r="AK4393" s="831">
        <v>-8634830</v>
      </c>
      <c r="AP4393" s="831" t="str">
        <f t="shared" si="205"/>
        <v/>
      </c>
    </row>
    <row r="4394" spans="2:42">
      <c r="B4394" s="834" t="str">
        <f t="shared" si="204"/>
        <v>|||</v>
      </c>
      <c r="H4394" s="835">
        <f t="shared" si="206"/>
        <v>31</v>
      </c>
      <c r="AF4394" s="831" t="s">
        <v>5051</v>
      </c>
      <c r="AG4394" s="831" t="s">
        <v>130</v>
      </c>
      <c r="AH4394" s="831" t="s">
        <v>187</v>
      </c>
      <c r="AI4394" s="831">
        <v>0</v>
      </c>
      <c r="AJ4394" s="835">
        <v>40999</v>
      </c>
      <c r="AK4394" s="831">
        <v>0</v>
      </c>
      <c r="AP4394" s="831" t="str">
        <f t="shared" si="205"/>
        <v/>
      </c>
    </row>
    <row r="4395" spans="2:42">
      <c r="B4395" s="834" t="str">
        <f t="shared" si="204"/>
        <v>|||</v>
      </c>
      <c r="H4395" s="835">
        <f t="shared" si="206"/>
        <v>31</v>
      </c>
      <c r="AF4395" s="831" t="s">
        <v>5052</v>
      </c>
      <c r="AG4395" s="831" t="s">
        <v>130</v>
      </c>
      <c r="AH4395" s="831" t="s">
        <v>196</v>
      </c>
      <c r="AI4395" s="831">
        <v>0</v>
      </c>
      <c r="AJ4395" s="835">
        <v>40999</v>
      </c>
      <c r="AK4395" s="831">
        <v>4655430</v>
      </c>
      <c r="AP4395" s="831" t="str">
        <f t="shared" si="205"/>
        <v/>
      </c>
    </row>
    <row r="4396" spans="2:42">
      <c r="B4396" s="834" t="str">
        <f t="shared" si="204"/>
        <v>|||</v>
      </c>
      <c r="H4396" s="835">
        <f t="shared" si="206"/>
        <v>31</v>
      </c>
      <c r="AF4396" s="831" t="s">
        <v>5053</v>
      </c>
      <c r="AG4396" s="831" t="s">
        <v>130</v>
      </c>
      <c r="AH4396" s="831" t="s">
        <v>197</v>
      </c>
      <c r="AI4396" s="831">
        <v>0</v>
      </c>
      <c r="AJ4396" s="835">
        <v>40999</v>
      </c>
      <c r="AK4396" s="831">
        <v>0</v>
      </c>
      <c r="AP4396" s="831" t="str">
        <f t="shared" si="205"/>
        <v/>
      </c>
    </row>
    <row r="4397" spans="2:42">
      <c r="B4397" s="834" t="str">
        <f t="shared" si="204"/>
        <v>|||</v>
      </c>
      <c r="H4397" s="835">
        <f t="shared" si="206"/>
        <v>31</v>
      </c>
      <c r="AF4397" s="831" t="s">
        <v>5054</v>
      </c>
      <c r="AG4397" s="831" t="s">
        <v>130</v>
      </c>
      <c r="AH4397" s="831" t="s">
        <v>199</v>
      </c>
      <c r="AI4397" s="831">
        <v>0</v>
      </c>
      <c r="AJ4397" s="835">
        <v>40999</v>
      </c>
      <c r="AK4397" s="831">
        <v>0</v>
      </c>
      <c r="AP4397" s="831" t="str">
        <f t="shared" si="205"/>
        <v/>
      </c>
    </row>
    <row r="4398" spans="2:42">
      <c r="B4398" s="834" t="str">
        <f t="shared" si="204"/>
        <v>|||</v>
      </c>
      <c r="H4398" s="835">
        <f t="shared" si="206"/>
        <v>31</v>
      </c>
      <c r="AF4398" s="831" t="s">
        <v>5055</v>
      </c>
      <c r="AG4398" s="831" t="s">
        <v>130</v>
      </c>
      <c r="AH4398" s="831" t="s">
        <v>201</v>
      </c>
      <c r="AI4398" s="831">
        <v>0</v>
      </c>
      <c r="AJ4398" s="835">
        <v>40999</v>
      </c>
      <c r="AK4398" s="831">
        <v>3528133</v>
      </c>
      <c r="AP4398" s="831" t="str">
        <f t="shared" si="205"/>
        <v/>
      </c>
    </row>
    <row r="4399" spans="2:42">
      <c r="B4399" s="834" t="str">
        <f t="shared" si="204"/>
        <v>|||</v>
      </c>
      <c r="H4399" s="835">
        <f t="shared" si="206"/>
        <v>31</v>
      </c>
      <c r="AF4399" s="831" t="s">
        <v>5056</v>
      </c>
      <c r="AG4399" s="831" t="s">
        <v>130</v>
      </c>
      <c r="AH4399" s="831" t="s">
        <v>209</v>
      </c>
      <c r="AI4399" s="831">
        <v>0</v>
      </c>
      <c r="AJ4399" s="835">
        <v>40999</v>
      </c>
      <c r="AK4399" s="831">
        <v>38035372</v>
      </c>
      <c r="AP4399" s="831" t="str">
        <f t="shared" si="205"/>
        <v/>
      </c>
    </row>
    <row r="4400" spans="2:42">
      <c r="B4400" s="834" t="str">
        <f t="shared" si="204"/>
        <v>|||</v>
      </c>
      <c r="H4400" s="835">
        <f t="shared" si="206"/>
        <v>31</v>
      </c>
      <c r="AF4400" s="831" t="s">
        <v>5057</v>
      </c>
      <c r="AG4400" s="831" t="s">
        <v>130</v>
      </c>
      <c r="AH4400" s="831" t="s">
        <v>211</v>
      </c>
      <c r="AI4400" s="831">
        <v>0</v>
      </c>
      <c r="AJ4400" s="835">
        <v>40999</v>
      </c>
      <c r="AK4400" s="831">
        <v>107976847</v>
      </c>
      <c r="AP4400" s="831" t="str">
        <f t="shared" si="205"/>
        <v/>
      </c>
    </row>
    <row r="4401" spans="2:42">
      <c r="B4401" s="834" t="str">
        <f t="shared" si="204"/>
        <v>|||</v>
      </c>
      <c r="H4401" s="835">
        <f t="shared" si="206"/>
        <v>31</v>
      </c>
      <c r="AF4401" s="831" t="s">
        <v>5058</v>
      </c>
      <c r="AG4401" s="831" t="s">
        <v>130</v>
      </c>
      <c r="AH4401" s="831" t="s">
        <v>212</v>
      </c>
      <c r="AI4401" s="831">
        <v>0</v>
      </c>
      <c r="AJ4401" s="835">
        <v>40999</v>
      </c>
      <c r="AK4401" s="831">
        <v>6374565</v>
      </c>
      <c r="AP4401" s="831" t="str">
        <f t="shared" si="205"/>
        <v/>
      </c>
    </row>
    <row r="4402" spans="2:42">
      <c r="B4402" s="834" t="str">
        <f t="shared" si="204"/>
        <v>|||</v>
      </c>
      <c r="H4402" s="835">
        <f t="shared" si="206"/>
        <v>31</v>
      </c>
      <c r="AF4402" s="831" t="s">
        <v>5059</v>
      </c>
      <c r="AG4402" s="831" t="s">
        <v>130</v>
      </c>
      <c r="AH4402" s="831" t="s">
        <v>216</v>
      </c>
      <c r="AI4402" s="831">
        <v>0</v>
      </c>
      <c r="AJ4402" s="835">
        <v>40999</v>
      </c>
      <c r="AK4402" s="831">
        <v>0</v>
      </c>
      <c r="AP4402" s="831" t="str">
        <f t="shared" si="205"/>
        <v/>
      </c>
    </row>
    <row r="4403" spans="2:42">
      <c r="B4403" s="834" t="str">
        <f t="shared" si="204"/>
        <v>|||</v>
      </c>
      <c r="H4403" s="835">
        <f t="shared" si="206"/>
        <v>31</v>
      </c>
      <c r="AF4403" s="831" t="s">
        <v>5060</v>
      </c>
      <c r="AG4403" s="831" t="s">
        <v>130</v>
      </c>
      <c r="AH4403" s="831" t="s">
        <v>218</v>
      </c>
      <c r="AI4403" s="831">
        <v>0</v>
      </c>
      <c r="AJ4403" s="835">
        <v>40999</v>
      </c>
      <c r="AK4403" s="831">
        <v>51231560</v>
      </c>
      <c r="AP4403" s="831" t="str">
        <f t="shared" si="205"/>
        <v/>
      </c>
    </row>
    <row r="4404" spans="2:42">
      <c r="B4404" s="834" t="str">
        <f t="shared" si="204"/>
        <v>|||</v>
      </c>
      <c r="H4404" s="835">
        <f t="shared" si="206"/>
        <v>31</v>
      </c>
      <c r="AF4404" s="831" t="s">
        <v>5061</v>
      </c>
      <c r="AG4404" s="831" t="s">
        <v>130</v>
      </c>
      <c r="AH4404" s="831" t="s">
        <v>220</v>
      </c>
      <c r="AI4404" s="831">
        <v>0</v>
      </c>
      <c r="AJ4404" s="835">
        <v>40999</v>
      </c>
      <c r="AK4404" s="831">
        <v>0</v>
      </c>
      <c r="AP4404" s="831" t="str">
        <f t="shared" si="205"/>
        <v/>
      </c>
    </row>
    <row r="4405" spans="2:42">
      <c r="B4405" s="834" t="str">
        <f t="shared" si="204"/>
        <v>|||</v>
      </c>
      <c r="H4405" s="835">
        <f t="shared" si="206"/>
        <v>31</v>
      </c>
      <c r="AF4405" s="831" t="s">
        <v>5062</v>
      </c>
      <c r="AG4405" s="831" t="s">
        <v>130</v>
      </c>
      <c r="AH4405" s="831" t="s">
        <v>221</v>
      </c>
      <c r="AI4405" s="831">
        <v>0</v>
      </c>
      <c r="AJ4405" s="835">
        <v>40999</v>
      </c>
      <c r="AK4405" s="831">
        <v>1350613</v>
      </c>
      <c r="AP4405" s="831" t="str">
        <f t="shared" si="205"/>
        <v/>
      </c>
    </row>
    <row r="4406" spans="2:42">
      <c r="B4406" s="834" t="str">
        <f t="shared" si="204"/>
        <v>|||</v>
      </c>
      <c r="H4406" s="835">
        <f t="shared" si="206"/>
        <v>31</v>
      </c>
      <c r="AF4406" s="831" t="s">
        <v>5063</v>
      </c>
      <c r="AG4406" s="831" t="s">
        <v>130</v>
      </c>
      <c r="AH4406" s="831" t="s">
        <v>228</v>
      </c>
      <c r="AI4406" s="831">
        <v>0</v>
      </c>
      <c r="AJ4406" s="835">
        <v>40999</v>
      </c>
      <c r="AK4406" s="831">
        <v>0</v>
      </c>
      <c r="AP4406" s="831" t="str">
        <f t="shared" si="205"/>
        <v/>
      </c>
    </row>
    <row r="4407" spans="2:42">
      <c r="B4407" s="834" t="str">
        <f t="shared" si="204"/>
        <v>|||</v>
      </c>
      <c r="H4407" s="835">
        <f t="shared" si="206"/>
        <v>31</v>
      </c>
      <c r="AF4407" s="831" t="s">
        <v>5064</v>
      </c>
      <c r="AG4407" s="831" t="s">
        <v>130</v>
      </c>
      <c r="AH4407" s="831" t="s">
        <v>230</v>
      </c>
      <c r="AI4407" s="831">
        <v>0</v>
      </c>
      <c r="AJ4407" s="835">
        <v>40999</v>
      </c>
      <c r="AK4407" s="831">
        <v>0</v>
      </c>
      <c r="AP4407" s="831" t="str">
        <f t="shared" si="205"/>
        <v/>
      </c>
    </row>
    <row r="4408" spans="2:42">
      <c r="B4408" s="834" t="str">
        <f t="shared" si="204"/>
        <v>|||</v>
      </c>
      <c r="H4408" s="835">
        <f t="shared" si="206"/>
        <v>31</v>
      </c>
      <c r="AF4408" s="831" t="s">
        <v>5065</v>
      </c>
      <c r="AG4408" s="831" t="s">
        <v>130</v>
      </c>
      <c r="AH4408" s="831" t="s">
        <v>231</v>
      </c>
      <c r="AI4408" s="831">
        <v>0</v>
      </c>
      <c r="AJ4408" s="835">
        <v>40999</v>
      </c>
      <c r="AK4408" s="831">
        <v>4913750</v>
      </c>
      <c r="AP4408" s="831" t="str">
        <f t="shared" si="205"/>
        <v/>
      </c>
    </row>
    <row r="4409" spans="2:42">
      <c r="B4409" s="834" t="str">
        <f t="shared" si="204"/>
        <v>|||</v>
      </c>
      <c r="H4409" s="835">
        <f t="shared" si="206"/>
        <v>31</v>
      </c>
      <c r="AF4409" s="831" t="s">
        <v>5066</v>
      </c>
      <c r="AG4409" s="831" t="s">
        <v>130</v>
      </c>
      <c r="AH4409" s="831" t="s">
        <v>232</v>
      </c>
      <c r="AI4409" s="831">
        <v>0</v>
      </c>
      <c r="AJ4409" s="835">
        <v>40999</v>
      </c>
      <c r="AK4409" s="831">
        <v>74064829</v>
      </c>
      <c r="AP4409" s="831" t="str">
        <f t="shared" si="205"/>
        <v/>
      </c>
    </row>
    <row r="4410" spans="2:42">
      <c r="B4410" s="834" t="str">
        <f t="shared" si="204"/>
        <v>|||</v>
      </c>
      <c r="H4410" s="835">
        <f t="shared" si="206"/>
        <v>31</v>
      </c>
      <c r="AF4410" s="831" t="s">
        <v>5067</v>
      </c>
      <c r="AG4410" s="831" t="s">
        <v>130</v>
      </c>
      <c r="AH4410" s="831" t="s">
        <v>116</v>
      </c>
      <c r="AI4410" s="831">
        <v>0</v>
      </c>
      <c r="AJ4410" s="835">
        <v>40999</v>
      </c>
      <c r="AK4410" s="831">
        <v>8027511</v>
      </c>
      <c r="AP4410" s="831" t="str">
        <f t="shared" si="205"/>
        <v/>
      </c>
    </row>
    <row r="4411" spans="2:42">
      <c r="B4411" s="834" t="str">
        <f t="shared" si="204"/>
        <v>|||</v>
      </c>
      <c r="H4411" s="835">
        <f t="shared" si="206"/>
        <v>31</v>
      </c>
      <c r="AF4411" s="831" t="s">
        <v>5068</v>
      </c>
      <c r="AG4411" s="831" t="s">
        <v>130</v>
      </c>
      <c r="AH4411" s="831" t="s">
        <v>234</v>
      </c>
      <c r="AI4411" s="831">
        <v>0</v>
      </c>
      <c r="AJ4411" s="835">
        <v>40999</v>
      </c>
      <c r="AK4411" s="831">
        <v>0</v>
      </c>
      <c r="AP4411" s="831" t="str">
        <f t="shared" si="205"/>
        <v/>
      </c>
    </row>
    <row r="4412" spans="2:42">
      <c r="B4412" s="834" t="str">
        <f t="shared" si="204"/>
        <v>|||</v>
      </c>
      <c r="H4412" s="835">
        <f t="shared" si="206"/>
        <v>31</v>
      </c>
      <c r="AF4412" s="831" t="s">
        <v>5069</v>
      </c>
      <c r="AG4412" s="831" t="s">
        <v>130</v>
      </c>
      <c r="AH4412" s="831" t="s">
        <v>235</v>
      </c>
      <c r="AI4412" s="831">
        <v>0</v>
      </c>
      <c r="AJ4412" s="835">
        <v>40999</v>
      </c>
      <c r="AK4412" s="831">
        <v>4022530</v>
      </c>
      <c r="AP4412" s="831" t="str">
        <f t="shared" si="205"/>
        <v/>
      </c>
    </row>
    <row r="4413" spans="2:42">
      <c r="B4413" s="834" t="str">
        <f t="shared" si="204"/>
        <v>|||</v>
      </c>
      <c r="H4413" s="835">
        <f t="shared" si="206"/>
        <v>31</v>
      </c>
      <c r="AF4413" s="831" t="s">
        <v>5070</v>
      </c>
      <c r="AG4413" s="831" t="s">
        <v>130</v>
      </c>
      <c r="AH4413" s="831" t="s">
        <v>238</v>
      </c>
      <c r="AI4413" s="831">
        <v>0</v>
      </c>
      <c r="AJ4413" s="835">
        <v>40999</v>
      </c>
      <c r="AK4413" s="831">
        <v>0</v>
      </c>
      <c r="AP4413" s="831" t="str">
        <f t="shared" si="205"/>
        <v/>
      </c>
    </row>
    <row r="4414" spans="2:42">
      <c r="B4414" s="834" t="str">
        <f t="shared" si="204"/>
        <v>|||</v>
      </c>
      <c r="H4414" s="835">
        <f t="shared" si="206"/>
        <v>31</v>
      </c>
      <c r="AF4414" s="831" t="s">
        <v>5071</v>
      </c>
      <c r="AG4414" s="831" t="s">
        <v>130</v>
      </c>
      <c r="AH4414" s="831" t="s">
        <v>240</v>
      </c>
      <c r="AI4414" s="831">
        <v>0</v>
      </c>
      <c r="AJ4414" s="835">
        <v>40999</v>
      </c>
      <c r="AK4414" s="831">
        <v>85000000</v>
      </c>
      <c r="AP4414" s="831" t="str">
        <f t="shared" si="205"/>
        <v/>
      </c>
    </row>
    <row r="4415" spans="2:42">
      <c r="B4415" s="834" t="str">
        <f t="shared" si="204"/>
        <v>|||</v>
      </c>
      <c r="H4415" s="835">
        <f t="shared" si="206"/>
        <v>31</v>
      </c>
      <c r="AF4415" s="831" t="s">
        <v>5072</v>
      </c>
      <c r="AG4415" s="831" t="s">
        <v>130</v>
      </c>
      <c r="AH4415" s="831" t="s">
        <v>241</v>
      </c>
      <c r="AI4415" s="831">
        <v>0</v>
      </c>
      <c r="AJ4415" s="835">
        <v>40999</v>
      </c>
      <c r="AK4415" s="831">
        <v>0</v>
      </c>
      <c r="AP4415" s="831" t="str">
        <f t="shared" si="205"/>
        <v/>
      </c>
    </row>
    <row r="4416" spans="2:42">
      <c r="B4416" s="834" t="str">
        <f t="shared" si="204"/>
        <v>|||</v>
      </c>
      <c r="H4416" s="835">
        <f t="shared" si="206"/>
        <v>31</v>
      </c>
      <c r="AF4416" s="831" t="s">
        <v>5073</v>
      </c>
      <c r="AG4416" s="831" t="s">
        <v>130</v>
      </c>
      <c r="AH4416" s="831" t="s">
        <v>242</v>
      </c>
      <c r="AI4416" s="831">
        <v>0</v>
      </c>
      <c r="AJ4416" s="835">
        <v>40999</v>
      </c>
      <c r="AK4416" s="831">
        <v>0</v>
      </c>
      <c r="AP4416" s="831" t="str">
        <f t="shared" si="205"/>
        <v/>
      </c>
    </row>
    <row r="4417" spans="2:42">
      <c r="B4417" s="834" t="str">
        <f t="shared" si="204"/>
        <v>|||</v>
      </c>
      <c r="H4417" s="835">
        <f t="shared" si="206"/>
        <v>31</v>
      </c>
      <c r="AF4417" s="831" t="s">
        <v>5074</v>
      </c>
      <c r="AG4417" s="831" t="s">
        <v>130</v>
      </c>
      <c r="AH4417" s="831" t="s">
        <v>244</v>
      </c>
      <c r="AI4417" s="831">
        <v>0</v>
      </c>
      <c r="AJ4417" s="835">
        <v>40999</v>
      </c>
      <c r="AK4417" s="831">
        <v>587316</v>
      </c>
      <c r="AP4417" s="831" t="str">
        <f t="shared" si="205"/>
        <v/>
      </c>
    </row>
    <row r="4418" spans="2:42">
      <c r="B4418" s="834" t="str">
        <f t="shared" si="204"/>
        <v>|||</v>
      </c>
      <c r="H4418" s="835">
        <f t="shared" si="206"/>
        <v>31</v>
      </c>
      <c r="AF4418" s="831" t="s">
        <v>5075</v>
      </c>
      <c r="AG4418" s="831" t="s">
        <v>130</v>
      </c>
      <c r="AH4418" s="831" t="s">
        <v>245</v>
      </c>
      <c r="AI4418" s="831">
        <v>0</v>
      </c>
      <c r="AJ4418" s="835">
        <v>40999</v>
      </c>
      <c r="AK4418" s="831">
        <v>2455685</v>
      </c>
      <c r="AP4418" s="831" t="str">
        <f t="shared" si="205"/>
        <v/>
      </c>
    </row>
    <row r="4419" spans="2:42">
      <c r="B4419" s="834" t="str">
        <f t="shared" ref="B4419:B4482" si="207">C4419&amp;"|"&amp;D4419&amp;"|"&amp;E4419&amp;"|"&amp;F4419</f>
        <v>|||</v>
      </c>
      <c r="H4419" s="835">
        <f t="shared" si="206"/>
        <v>31</v>
      </c>
      <c r="AF4419" s="831" t="s">
        <v>5076</v>
      </c>
      <c r="AG4419" s="831" t="s">
        <v>130</v>
      </c>
      <c r="AH4419" s="831" t="s">
        <v>145</v>
      </c>
      <c r="AI4419" s="831">
        <v>0</v>
      </c>
      <c r="AJ4419" s="835">
        <v>41029</v>
      </c>
      <c r="AK4419" s="831">
        <v>19581119</v>
      </c>
      <c r="AP4419" s="831" t="str">
        <f t="shared" ref="AP4419:AP4482" si="208">IF(AX4419&lt;&gt;"",IF(OR(AX4419=3,AX4419=4),"Equity","Debt"),"")</f>
        <v/>
      </c>
    </row>
    <row r="4420" spans="2:42">
      <c r="B4420" s="834" t="str">
        <f t="shared" si="207"/>
        <v>|||</v>
      </c>
      <c r="H4420" s="835">
        <f t="shared" ref="H4420:H4483" si="209">EOMONTH(L4420,0)</f>
        <v>31</v>
      </c>
      <c r="AF4420" s="831" t="s">
        <v>5077</v>
      </c>
      <c r="AG4420" s="831" t="s">
        <v>130</v>
      </c>
      <c r="AH4420" s="831" t="s">
        <v>149</v>
      </c>
      <c r="AI4420" s="831">
        <v>0</v>
      </c>
      <c r="AJ4420" s="835">
        <v>41029</v>
      </c>
      <c r="AK4420" s="831">
        <v>0</v>
      </c>
      <c r="AP4420" s="831" t="str">
        <f t="shared" si="208"/>
        <v/>
      </c>
    </row>
    <row r="4421" spans="2:42">
      <c r="B4421" s="834" t="str">
        <f t="shared" si="207"/>
        <v>|||</v>
      </c>
      <c r="H4421" s="835">
        <f t="shared" si="209"/>
        <v>31</v>
      </c>
      <c r="AF4421" s="831" t="s">
        <v>5078</v>
      </c>
      <c r="AG4421" s="831" t="s">
        <v>130</v>
      </c>
      <c r="AH4421" s="831" t="s">
        <v>153</v>
      </c>
      <c r="AI4421" s="831">
        <v>0</v>
      </c>
      <c r="AJ4421" s="835">
        <v>41029</v>
      </c>
      <c r="AK4421" s="831">
        <v>10898959</v>
      </c>
      <c r="AP4421" s="831" t="str">
        <f t="shared" si="208"/>
        <v/>
      </c>
    </row>
    <row r="4422" spans="2:42">
      <c r="B4422" s="834" t="str">
        <f t="shared" si="207"/>
        <v>|||</v>
      </c>
      <c r="H4422" s="835">
        <f t="shared" si="209"/>
        <v>31</v>
      </c>
      <c r="AF4422" s="831" t="s">
        <v>5079</v>
      </c>
      <c r="AG4422" s="831" t="s">
        <v>130</v>
      </c>
      <c r="AH4422" s="831" t="s">
        <v>156</v>
      </c>
      <c r="AI4422" s="831">
        <v>0</v>
      </c>
      <c r="AJ4422" s="835">
        <v>41029</v>
      </c>
      <c r="AK4422" s="831">
        <v>0</v>
      </c>
      <c r="AP4422" s="831" t="str">
        <f t="shared" si="208"/>
        <v/>
      </c>
    </row>
    <row r="4423" spans="2:42">
      <c r="B4423" s="834" t="str">
        <f t="shared" si="207"/>
        <v>|||</v>
      </c>
      <c r="H4423" s="835">
        <f t="shared" si="209"/>
        <v>31</v>
      </c>
      <c r="AF4423" s="831" t="s">
        <v>5080</v>
      </c>
      <c r="AG4423" s="831" t="s">
        <v>130</v>
      </c>
      <c r="AH4423" s="831" t="s">
        <v>162</v>
      </c>
      <c r="AI4423" s="831">
        <v>0</v>
      </c>
      <c r="AJ4423" s="835">
        <v>41029</v>
      </c>
      <c r="AK4423" s="831">
        <v>328250821</v>
      </c>
      <c r="AP4423" s="831" t="str">
        <f t="shared" si="208"/>
        <v/>
      </c>
    </row>
    <row r="4424" spans="2:42">
      <c r="B4424" s="834" t="str">
        <f t="shared" si="207"/>
        <v>|||</v>
      </c>
      <c r="H4424" s="835">
        <f t="shared" si="209"/>
        <v>31</v>
      </c>
      <c r="AF4424" s="831" t="s">
        <v>5081</v>
      </c>
      <c r="AG4424" s="831" t="s">
        <v>130</v>
      </c>
      <c r="AH4424" s="831" t="s">
        <v>165</v>
      </c>
      <c r="AI4424" s="831">
        <v>0</v>
      </c>
      <c r="AJ4424" s="835">
        <v>41029</v>
      </c>
      <c r="AK4424" s="831">
        <v>-8730131</v>
      </c>
      <c r="AP4424" s="831" t="str">
        <f t="shared" si="208"/>
        <v/>
      </c>
    </row>
    <row r="4425" spans="2:42">
      <c r="B4425" s="834" t="str">
        <f t="shared" si="207"/>
        <v>|||</v>
      </c>
      <c r="H4425" s="835">
        <f t="shared" si="209"/>
        <v>31</v>
      </c>
      <c r="AF4425" s="831" t="s">
        <v>5082</v>
      </c>
      <c r="AG4425" s="831" t="s">
        <v>130</v>
      </c>
      <c r="AH4425" s="831" t="s">
        <v>171</v>
      </c>
      <c r="AI4425" s="831">
        <v>0</v>
      </c>
      <c r="AJ4425" s="835">
        <v>41029</v>
      </c>
      <c r="AK4425" s="831">
        <v>2607466</v>
      </c>
      <c r="AP4425" s="831" t="str">
        <f t="shared" si="208"/>
        <v/>
      </c>
    </row>
    <row r="4426" spans="2:42">
      <c r="B4426" s="834" t="str">
        <f t="shared" si="207"/>
        <v>|||</v>
      </c>
      <c r="H4426" s="835">
        <f t="shared" si="209"/>
        <v>31</v>
      </c>
      <c r="AF4426" s="831" t="s">
        <v>5083</v>
      </c>
      <c r="AG4426" s="831" t="s">
        <v>130</v>
      </c>
      <c r="AH4426" s="831" t="s">
        <v>174</v>
      </c>
      <c r="AI4426" s="831">
        <v>0</v>
      </c>
      <c r="AJ4426" s="835">
        <v>41029</v>
      </c>
      <c r="AK4426" s="831">
        <v>0</v>
      </c>
      <c r="AP4426" s="831" t="str">
        <f t="shared" si="208"/>
        <v/>
      </c>
    </row>
    <row r="4427" spans="2:42">
      <c r="B4427" s="834" t="str">
        <f t="shared" si="207"/>
        <v>|||</v>
      </c>
      <c r="H4427" s="835">
        <f t="shared" si="209"/>
        <v>31</v>
      </c>
      <c r="AF4427" s="831" t="s">
        <v>5084</v>
      </c>
      <c r="AG4427" s="831" t="s">
        <v>130</v>
      </c>
      <c r="AH4427" s="831" t="s">
        <v>181</v>
      </c>
      <c r="AI4427" s="831">
        <v>0</v>
      </c>
      <c r="AJ4427" s="835">
        <v>41029</v>
      </c>
      <c r="AK4427" s="831">
        <v>39536848</v>
      </c>
      <c r="AP4427" s="831" t="str">
        <f t="shared" si="208"/>
        <v/>
      </c>
    </row>
    <row r="4428" spans="2:42">
      <c r="B4428" s="834" t="str">
        <f t="shared" si="207"/>
        <v>|||</v>
      </c>
      <c r="H4428" s="835">
        <f t="shared" si="209"/>
        <v>31</v>
      </c>
      <c r="AF4428" s="831" t="s">
        <v>5085</v>
      </c>
      <c r="AG4428" s="831" t="s">
        <v>130</v>
      </c>
      <c r="AH4428" s="831" t="s">
        <v>184</v>
      </c>
      <c r="AI4428" s="831">
        <v>0</v>
      </c>
      <c r="AJ4428" s="835">
        <v>41029</v>
      </c>
      <c r="AK4428" s="831">
        <v>-8937110</v>
      </c>
      <c r="AP4428" s="831" t="str">
        <f t="shared" si="208"/>
        <v/>
      </c>
    </row>
    <row r="4429" spans="2:42">
      <c r="B4429" s="834" t="str">
        <f t="shared" si="207"/>
        <v>|||</v>
      </c>
      <c r="H4429" s="835">
        <f t="shared" si="209"/>
        <v>31</v>
      </c>
      <c r="AF4429" s="831" t="s">
        <v>5086</v>
      </c>
      <c r="AG4429" s="831" t="s">
        <v>130</v>
      </c>
      <c r="AH4429" s="831" t="s">
        <v>187</v>
      </c>
      <c r="AI4429" s="831">
        <v>0</v>
      </c>
      <c r="AJ4429" s="835">
        <v>41029</v>
      </c>
      <c r="AK4429" s="831">
        <v>0</v>
      </c>
      <c r="AP4429" s="831" t="str">
        <f t="shared" si="208"/>
        <v/>
      </c>
    </row>
    <row r="4430" spans="2:42">
      <c r="B4430" s="834" t="str">
        <f t="shared" si="207"/>
        <v>|||</v>
      </c>
      <c r="H4430" s="835">
        <f t="shared" si="209"/>
        <v>31</v>
      </c>
      <c r="AF4430" s="831" t="s">
        <v>5087</v>
      </c>
      <c r="AG4430" s="831" t="s">
        <v>130</v>
      </c>
      <c r="AH4430" s="831" t="s">
        <v>196</v>
      </c>
      <c r="AI4430" s="831">
        <v>0</v>
      </c>
      <c r="AJ4430" s="835">
        <v>41029</v>
      </c>
      <c r="AK4430" s="831">
        <v>4597620</v>
      </c>
      <c r="AP4430" s="831" t="str">
        <f t="shared" si="208"/>
        <v/>
      </c>
    </row>
    <row r="4431" spans="2:42">
      <c r="B4431" s="834" t="str">
        <f t="shared" si="207"/>
        <v>|||</v>
      </c>
      <c r="H4431" s="835">
        <f t="shared" si="209"/>
        <v>31</v>
      </c>
      <c r="AF4431" s="831" t="s">
        <v>5088</v>
      </c>
      <c r="AG4431" s="831" t="s">
        <v>130</v>
      </c>
      <c r="AH4431" s="831" t="s">
        <v>197</v>
      </c>
      <c r="AI4431" s="831">
        <v>0</v>
      </c>
      <c r="AJ4431" s="835">
        <v>41029</v>
      </c>
      <c r="AK4431" s="831">
        <v>0</v>
      </c>
      <c r="AP4431" s="831" t="str">
        <f t="shared" si="208"/>
        <v/>
      </c>
    </row>
    <row r="4432" spans="2:42">
      <c r="B4432" s="834" t="str">
        <f t="shared" si="207"/>
        <v>|||</v>
      </c>
      <c r="H4432" s="835">
        <f t="shared" si="209"/>
        <v>31</v>
      </c>
      <c r="AF4432" s="831" t="s">
        <v>5089</v>
      </c>
      <c r="AG4432" s="831" t="s">
        <v>130</v>
      </c>
      <c r="AH4432" s="831" t="s">
        <v>199</v>
      </c>
      <c r="AI4432" s="831">
        <v>0</v>
      </c>
      <c r="AJ4432" s="835">
        <v>41029</v>
      </c>
      <c r="AK4432" s="831">
        <v>0</v>
      </c>
      <c r="AP4432" s="831" t="str">
        <f t="shared" si="208"/>
        <v/>
      </c>
    </row>
    <row r="4433" spans="2:42">
      <c r="B4433" s="834" t="str">
        <f t="shared" si="207"/>
        <v>|||</v>
      </c>
      <c r="H4433" s="835">
        <f t="shared" si="209"/>
        <v>31</v>
      </c>
      <c r="AF4433" s="831" t="s">
        <v>5090</v>
      </c>
      <c r="AG4433" s="831" t="s">
        <v>130</v>
      </c>
      <c r="AH4433" s="831" t="s">
        <v>201</v>
      </c>
      <c r="AI4433" s="831">
        <v>0</v>
      </c>
      <c r="AJ4433" s="835">
        <v>41029</v>
      </c>
      <c r="AK4433" s="831">
        <v>4653163</v>
      </c>
      <c r="AP4433" s="831" t="str">
        <f t="shared" si="208"/>
        <v/>
      </c>
    </row>
    <row r="4434" spans="2:42">
      <c r="B4434" s="834" t="str">
        <f t="shared" si="207"/>
        <v>|||</v>
      </c>
      <c r="H4434" s="835">
        <f t="shared" si="209"/>
        <v>31</v>
      </c>
      <c r="AF4434" s="831" t="s">
        <v>5091</v>
      </c>
      <c r="AG4434" s="831" t="s">
        <v>130</v>
      </c>
      <c r="AH4434" s="831" t="s">
        <v>209</v>
      </c>
      <c r="AI4434" s="831">
        <v>0</v>
      </c>
      <c r="AJ4434" s="835">
        <v>41029</v>
      </c>
      <c r="AK4434" s="831">
        <v>40897482</v>
      </c>
      <c r="AP4434" s="831" t="str">
        <f t="shared" si="208"/>
        <v/>
      </c>
    </row>
    <row r="4435" spans="2:42">
      <c r="B4435" s="834" t="str">
        <f t="shared" si="207"/>
        <v>|||</v>
      </c>
      <c r="H4435" s="835">
        <f t="shared" si="209"/>
        <v>31</v>
      </c>
      <c r="AF4435" s="831" t="s">
        <v>5092</v>
      </c>
      <c r="AG4435" s="831" t="s">
        <v>130</v>
      </c>
      <c r="AH4435" s="831" t="s">
        <v>211</v>
      </c>
      <c r="AI4435" s="831">
        <v>0</v>
      </c>
      <c r="AJ4435" s="835">
        <v>41029</v>
      </c>
      <c r="AK4435" s="831">
        <v>112834244</v>
      </c>
      <c r="AP4435" s="831" t="str">
        <f t="shared" si="208"/>
        <v/>
      </c>
    </row>
    <row r="4436" spans="2:42">
      <c r="B4436" s="834" t="str">
        <f t="shared" si="207"/>
        <v>|||</v>
      </c>
      <c r="H4436" s="835">
        <f t="shared" si="209"/>
        <v>31</v>
      </c>
      <c r="AF4436" s="831" t="s">
        <v>5093</v>
      </c>
      <c r="AG4436" s="831" t="s">
        <v>130</v>
      </c>
      <c r="AH4436" s="831" t="s">
        <v>212</v>
      </c>
      <c r="AI4436" s="831">
        <v>0</v>
      </c>
      <c r="AJ4436" s="835">
        <v>41029</v>
      </c>
      <c r="AK4436" s="831">
        <v>6346112</v>
      </c>
      <c r="AP4436" s="831" t="str">
        <f t="shared" si="208"/>
        <v/>
      </c>
    </row>
    <row r="4437" spans="2:42">
      <c r="B4437" s="834" t="str">
        <f t="shared" si="207"/>
        <v>|||</v>
      </c>
      <c r="H4437" s="835">
        <f t="shared" si="209"/>
        <v>31</v>
      </c>
      <c r="AF4437" s="831" t="s">
        <v>5094</v>
      </c>
      <c r="AG4437" s="831" t="s">
        <v>130</v>
      </c>
      <c r="AH4437" s="831" t="s">
        <v>216</v>
      </c>
      <c r="AI4437" s="831">
        <v>0</v>
      </c>
      <c r="AJ4437" s="835">
        <v>41029</v>
      </c>
      <c r="AK4437" s="831">
        <v>0</v>
      </c>
      <c r="AP4437" s="831" t="str">
        <f t="shared" si="208"/>
        <v/>
      </c>
    </row>
    <row r="4438" spans="2:42">
      <c r="B4438" s="834" t="str">
        <f t="shared" si="207"/>
        <v>|||</v>
      </c>
      <c r="H4438" s="835">
        <f t="shared" si="209"/>
        <v>31</v>
      </c>
      <c r="AF4438" s="831" t="s">
        <v>5095</v>
      </c>
      <c r="AG4438" s="831" t="s">
        <v>130</v>
      </c>
      <c r="AH4438" s="831" t="s">
        <v>218</v>
      </c>
      <c r="AI4438" s="831">
        <v>0</v>
      </c>
      <c r="AJ4438" s="835">
        <v>41029</v>
      </c>
      <c r="AK4438" s="831">
        <v>51231560</v>
      </c>
      <c r="AP4438" s="831" t="str">
        <f t="shared" si="208"/>
        <v/>
      </c>
    </row>
    <row r="4439" spans="2:42">
      <c r="B4439" s="834" t="str">
        <f t="shared" si="207"/>
        <v>|||</v>
      </c>
      <c r="H4439" s="835">
        <f t="shared" si="209"/>
        <v>31</v>
      </c>
      <c r="AF4439" s="831" t="s">
        <v>5096</v>
      </c>
      <c r="AG4439" s="831" t="s">
        <v>130</v>
      </c>
      <c r="AH4439" s="831" t="s">
        <v>220</v>
      </c>
      <c r="AI4439" s="831">
        <v>0</v>
      </c>
      <c r="AJ4439" s="835">
        <v>41029</v>
      </c>
      <c r="AK4439" s="831">
        <v>0</v>
      </c>
      <c r="AP4439" s="831" t="str">
        <f t="shared" si="208"/>
        <v/>
      </c>
    </row>
    <row r="4440" spans="2:42">
      <c r="B4440" s="834" t="str">
        <f t="shared" si="207"/>
        <v>|||</v>
      </c>
      <c r="H4440" s="835">
        <f t="shared" si="209"/>
        <v>31</v>
      </c>
      <c r="AF4440" s="831" t="s">
        <v>5097</v>
      </c>
      <c r="AG4440" s="831" t="s">
        <v>130</v>
      </c>
      <c r="AH4440" s="831" t="s">
        <v>221</v>
      </c>
      <c r="AI4440" s="831">
        <v>0</v>
      </c>
      <c r="AJ4440" s="835">
        <v>41029</v>
      </c>
      <c r="AK4440" s="831">
        <v>1663471</v>
      </c>
      <c r="AP4440" s="831" t="str">
        <f t="shared" si="208"/>
        <v/>
      </c>
    </row>
    <row r="4441" spans="2:42">
      <c r="B4441" s="834" t="str">
        <f t="shared" si="207"/>
        <v>|||</v>
      </c>
      <c r="H4441" s="835">
        <f t="shared" si="209"/>
        <v>31</v>
      </c>
      <c r="AF4441" s="831" t="s">
        <v>5098</v>
      </c>
      <c r="AG4441" s="831" t="s">
        <v>130</v>
      </c>
      <c r="AH4441" s="831" t="s">
        <v>228</v>
      </c>
      <c r="AI4441" s="831">
        <v>0</v>
      </c>
      <c r="AJ4441" s="835">
        <v>41029</v>
      </c>
      <c r="AK4441" s="831">
        <v>0</v>
      </c>
      <c r="AP4441" s="831" t="str">
        <f t="shared" si="208"/>
        <v/>
      </c>
    </row>
    <row r="4442" spans="2:42">
      <c r="B4442" s="834" t="str">
        <f t="shared" si="207"/>
        <v>|||</v>
      </c>
      <c r="H4442" s="835">
        <f t="shared" si="209"/>
        <v>31</v>
      </c>
      <c r="AF4442" s="831" t="s">
        <v>5099</v>
      </c>
      <c r="AG4442" s="831" t="s">
        <v>130</v>
      </c>
      <c r="AH4442" s="831" t="s">
        <v>230</v>
      </c>
      <c r="AI4442" s="831">
        <v>0</v>
      </c>
      <c r="AJ4442" s="835">
        <v>41029</v>
      </c>
      <c r="AK4442" s="831">
        <v>0</v>
      </c>
      <c r="AP4442" s="831" t="str">
        <f t="shared" si="208"/>
        <v/>
      </c>
    </row>
    <row r="4443" spans="2:42">
      <c r="B4443" s="834" t="str">
        <f t="shared" si="207"/>
        <v>|||</v>
      </c>
      <c r="H4443" s="835">
        <f t="shared" si="209"/>
        <v>31</v>
      </c>
      <c r="AF4443" s="831" t="s">
        <v>5100</v>
      </c>
      <c r="AG4443" s="831" t="s">
        <v>130</v>
      </c>
      <c r="AH4443" s="831" t="s">
        <v>231</v>
      </c>
      <c r="AI4443" s="831">
        <v>0</v>
      </c>
      <c r="AJ4443" s="835">
        <v>41029</v>
      </c>
      <c r="AK4443" s="831">
        <v>4913750</v>
      </c>
      <c r="AP4443" s="831" t="str">
        <f t="shared" si="208"/>
        <v/>
      </c>
    </row>
    <row r="4444" spans="2:42">
      <c r="B4444" s="834" t="str">
        <f t="shared" si="207"/>
        <v>|||</v>
      </c>
      <c r="H4444" s="835">
        <f t="shared" si="209"/>
        <v>31</v>
      </c>
      <c r="AF4444" s="831" t="s">
        <v>5101</v>
      </c>
      <c r="AG4444" s="831" t="s">
        <v>130</v>
      </c>
      <c r="AH4444" s="831" t="s">
        <v>232</v>
      </c>
      <c r="AI4444" s="831">
        <v>0</v>
      </c>
      <c r="AJ4444" s="835">
        <v>41029</v>
      </c>
      <c r="AK4444" s="831">
        <v>73490971</v>
      </c>
      <c r="AP4444" s="831" t="str">
        <f t="shared" si="208"/>
        <v/>
      </c>
    </row>
    <row r="4445" spans="2:42">
      <c r="B4445" s="834" t="str">
        <f t="shared" si="207"/>
        <v>|||</v>
      </c>
      <c r="H4445" s="835">
        <f t="shared" si="209"/>
        <v>31</v>
      </c>
      <c r="AF4445" s="831" t="s">
        <v>5102</v>
      </c>
      <c r="AG4445" s="831" t="s">
        <v>130</v>
      </c>
      <c r="AH4445" s="831" t="s">
        <v>116</v>
      </c>
      <c r="AI4445" s="831">
        <v>0</v>
      </c>
      <c r="AJ4445" s="835">
        <v>41029</v>
      </c>
      <c r="AK4445" s="831">
        <v>8027511</v>
      </c>
      <c r="AP4445" s="831" t="str">
        <f t="shared" si="208"/>
        <v/>
      </c>
    </row>
    <row r="4446" spans="2:42">
      <c r="B4446" s="834" t="str">
        <f t="shared" si="207"/>
        <v>|||</v>
      </c>
      <c r="H4446" s="835">
        <f t="shared" si="209"/>
        <v>31</v>
      </c>
      <c r="AF4446" s="831" t="s">
        <v>5103</v>
      </c>
      <c r="AG4446" s="831" t="s">
        <v>130</v>
      </c>
      <c r="AH4446" s="831" t="s">
        <v>234</v>
      </c>
      <c r="AI4446" s="831">
        <v>0</v>
      </c>
      <c r="AJ4446" s="835">
        <v>41029</v>
      </c>
      <c r="AK4446" s="831">
        <v>0</v>
      </c>
      <c r="AP4446" s="831" t="str">
        <f t="shared" si="208"/>
        <v/>
      </c>
    </row>
    <row r="4447" spans="2:42">
      <c r="B4447" s="834" t="str">
        <f t="shared" si="207"/>
        <v>|||</v>
      </c>
      <c r="H4447" s="835">
        <f t="shared" si="209"/>
        <v>31</v>
      </c>
      <c r="AF4447" s="831" t="s">
        <v>5104</v>
      </c>
      <c r="AG4447" s="831" t="s">
        <v>130</v>
      </c>
      <c r="AH4447" s="831" t="s">
        <v>235</v>
      </c>
      <c r="AI4447" s="831">
        <v>0</v>
      </c>
      <c r="AJ4447" s="835">
        <v>41029</v>
      </c>
      <c r="AK4447" s="831">
        <v>3748470</v>
      </c>
      <c r="AP4447" s="831" t="str">
        <f t="shared" si="208"/>
        <v/>
      </c>
    </row>
    <row r="4448" spans="2:42">
      <c r="B4448" s="834" t="str">
        <f t="shared" si="207"/>
        <v>|||</v>
      </c>
      <c r="H4448" s="835">
        <f t="shared" si="209"/>
        <v>31</v>
      </c>
      <c r="AF4448" s="831" t="s">
        <v>5105</v>
      </c>
      <c r="AG4448" s="831" t="s">
        <v>130</v>
      </c>
      <c r="AH4448" s="831" t="s">
        <v>238</v>
      </c>
      <c r="AI4448" s="831">
        <v>0</v>
      </c>
      <c r="AJ4448" s="835">
        <v>41029</v>
      </c>
      <c r="AK4448" s="831">
        <v>0</v>
      </c>
      <c r="AP4448" s="831" t="str">
        <f t="shared" si="208"/>
        <v/>
      </c>
    </row>
    <row r="4449" spans="2:42">
      <c r="B4449" s="834" t="str">
        <f t="shared" si="207"/>
        <v>|||</v>
      </c>
      <c r="H4449" s="835">
        <f t="shared" si="209"/>
        <v>31</v>
      </c>
      <c r="AF4449" s="831" t="s">
        <v>5106</v>
      </c>
      <c r="AG4449" s="831" t="s">
        <v>130</v>
      </c>
      <c r="AH4449" s="831" t="s">
        <v>240</v>
      </c>
      <c r="AI4449" s="831">
        <v>0</v>
      </c>
      <c r="AJ4449" s="835">
        <v>41029</v>
      </c>
      <c r="AK4449" s="831">
        <v>85000000</v>
      </c>
      <c r="AP4449" s="831" t="str">
        <f t="shared" si="208"/>
        <v/>
      </c>
    </row>
    <row r="4450" spans="2:42">
      <c r="B4450" s="834" t="str">
        <f t="shared" si="207"/>
        <v>|||</v>
      </c>
      <c r="H4450" s="835">
        <f t="shared" si="209"/>
        <v>31</v>
      </c>
      <c r="AF4450" s="831" t="s">
        <v>5107</v>
      </c>
      <c r="AG4450" s="831" t="s">
        <v>130</v>
      </c>
      <c r="AH4450" s="831" t="s">
        <v>241</v>
      </c>
      <c r="AI4450" s="831">
        <v>0</v>
      </c>
      <c r="AJ4450" s="835">
        <v>41029</v>
      </c>
      <c r="AK4450" s="831">
        <v>0</v>
      </c>
      <c r="AP4450" s="831" t="str">
        <f t="shared" si="208"/>
        <v/>
      </c>
    </row>
    <row r="4451" spans="2:42">
      <c r="B4451" s="834" t="str">
        <f t="shared" si="207"/>
        <v>|||</v>
      </c>
      <c r="H4451" s="835">
        <f t="shared" si="209"/>
        <v>31</v>
      </c>
      <c r="AF4451" s="831" t="s">
        <v>5108</v>
      </c>
      <c r="AG4451" s="831" t="s">
        <v>130</v>
      </c>
      <c r="AH4451" s="831" t="s">
        <v>242</v>
      </c>
      <c r="AI4451" s="831">
        <v>0</v>
      </c>
      <c r="AJ4451" s="835">
        <v>41029</v>
      </c>
      <c r="AK4451" s="831">
        <v>0</v>
      </c>
      <c r="AP4451" s="831" t="str">
        <f t="shared" si="208"/>
        <v/>
      </c>
    </row>
    <row r="4452" spans="2:42">
      <c r="B4452" s="834" t="str">
        <f t="shared" si="207"/>
        <v>|||</v>
      </c>
      <c r="H4452" s="835">
        <f t="shared" si="209"/>
        <v>31</v>
      </c>
      <c r="AF4452" s="831" t="s">
        <v>5109</v>
      </c>
      <c r="AG4452" s="831" t="s">
        <v>130</v>
      </c>
      <c r="AH4452" s="831" t="s">
        <v>244</v>
      </c>
      <c r="AI4452" s="831">
        <v>0</v>
      </c>
      <c r="AJ4452" s="835">
        <v>41029</v>
      </c>
      <c r="AK4452" s="831">
        <v>322924</v>
      </c>
      <c r="AP4452" s="831" t="str">
        <f t="shared" si="208"/>
        <v/>
      </c>
    </row>
    <row r="4453" spans="2:42">
      <c r="B4453" s="834" t="str">
        <f t="shared" si="207"/>
        <v>|||</v>
      </c>
      <c r="H4453" s="835">
        <f t="shared" si="209"/>
        <v>31</v>
      </c>
      <c r="AF4453" s="831" t="s">
        <v>5110</v>
      </c>
      <c r="AG4453" s="831" t="s">
        <v>130</v>
      </c>
      <c r="AH4453" s="831" t="s">
        <v>245</v>
      </c>
      <c r="AI4453" s="831">
        <v>0</v>
      </c>
      <c r="AJ4453" s="835">
        <v>41029</v>
      </c>
      <c r="AK4453" s="831">
        <v>3982260</v>
      </c>
      <c r="AP4453" s="831" t="str">
        <f t="shared" si="208"/>
        <v/>
      </c>
    </row>
    <row r="4454" spans="2:42">
      <c r="B4454" s="834" t="str">
        <f t="shared" si="207"/>
        <v>|||</v>
      </c>
      <c r="H4454" s="835">
        <f t="shared" si="209"/>
        <v>31</v>
      </c>
      <c r="AF4454" s="831" t="s">
        <v>5111</v>
      </c>
      <c r="AG4454" s="831" t="s">
        <v>130</v>
      </c>
      <c r="AH4454" s="831" t="s">
        <v>145</v>
      </c>
      <c r="AI4454" s="831">
        <v>0</v>
      </c>
      <c r="AJ4454" s="835">
        <v>41060</v>
      </c>
      <c r="AK4454" s="831">
        <v>21686864</v>
      </c>
      <c r="AP4454" s="831" t="str">
        <f t="shared" si="208"/>
        <v/>
      </c>
    </row>
    <row r="4455" spans="2:42">
      <c r="B4455" s="834" t="str">
        <f t="shared" si="207"/>
        <v>|||</v>
      </c>
      <c r="H4455" s="835">
        <f t="shared" si="209"/>
        <v>31</v>
      </c>
      <c r="AF4455" s="831" t="s">
        <v>5112</v>
      </c>
      <c r="AG4455" s="831" t="s">
        <v>130</v>
      </c>
      <c r="AH4455" s="831" t="s">
        <v>149</v>
      </c>
      <c r="AI4455" s="831">
        <v>0</v>
      </c>
      <c r="AJ4455" s="835">
        <v>41060</v>
      </c>
      <c r="AK4455" s="831">
        <v>0</v>
      </c>
      <c r="AP4455" s="831" t="str">
        <f t="shared" si="208"/>
        <v/>
      </c>
    </row>
    <row r="4456" spans="2:42">
      <c r="B4456" s="834" t="str">
        <f t="shared" si="207"/>
        <v>|||</v>
      </c>
      <c r="H4456" s="835">
        <f t="shared" si="209"/>
        <v>31</v>
      </c>
      <c r="AF4456" s="831" t="s">
        <v>5113</v>
      </c>
      <c r="AG4456" s="831" t="s">
        <v>130</v>
      </c>
      <c r="AH4456" s="831" t="s">
        <v>153</v>
      </c>
      <c r="AI4456" s="831">
        <v>0</v>
      </c>
      <c r="AJ4456" s="835">
        <v>41060</v>
      </c>
      <c r="AK4456" s="831">
        <v>17179494</v>
      </c>
      <c r="AP4456" s="831" t="str">
        <f t="shared" si="208"/>
        <v/>
      </c>
    </row>
    <row r="4457" spans="2:42">
      <c r="B4457" s="834" t="str">
        <f t="shared" si="207"/>
        <v>|||</v>
      </c>
      <c r="H4457" s="835">
        <f t="shared" si="209"/>
        <v>31</v>
      </c>
      <c r="AF4457" s="831" t="s">
        <v>5114</v>
      </c>
      <c r="AG4457" s="831" t="s">
        <v>130</v>
      </c>
      <c r="AH4457" s="831" t="s">
        <v>156</v>
      </c>
      <c r="AI4457" s="831">
        <v>0</v>
      </c>
      <c r="AJ4457" s="835">
        <v>41060</v>
      </c>
      <c r="AK4457" s="831">
        <v>0</v>
      </c>
      <c r="AP4457" s="831" t="str">
        <f t="shared" si="208"/>
        <v/>
      </c>
    </row>
    <row r="4458" spans="2:42">
      <c r="B4458" s="834" t="str">
        <f t="shared" si="207"/>
        <v>|||</v>
      </c>
      <c r="H4458" s="835">
        <f t="shared" si="209"/>
        <v>31</v>
      </c>
      <c r="AF4458" s="831" t="s">
        <v>5115</v>
      </c>
      <c r="AG4458" s="831" t="s">
        <v>130</v>
      </c>
      <c r="AH4458" s="831" t="s">
        <v>162</v>
      </c>
      <c r="AI4458" s="831">
        <v>0</v>
      </c>
      <c r="AJ4458" s="835">
        <v>41060</v>
      </c>
      <c r="AK4458" s="831">
        <v>339221349</v>
      </c>
      <c r="AP4458" s="831" t="str">
        <f t="shared" si="208"/>
        <v/>
      </c>
    </row>
    <row r="4459" spans="2:42">
      <c r="B4459" s="834" t="str">
        <f t="shared" si="207"/>
        <v>|||</v>
      </c>
      <c r="H4459" s="835">
        <f t="shared" si="209"/>
        <v>31</v>
      </c>
      <c r="AF4459" s="831" t="s">
        <v>5116</v>
      </c>
      <c r="AG4459" s="831" t="s">
        <v>130</v>
      </c>
      <c r="AH4459" s="831" t="s">
        <v>165</v>
      </c>
      <c r="AI4459" s="831">
        <v>0</v>
      </c>
      <c r="AJ4459" s="835">
        <v>41060</v>
      </c>
      <c r="AK4459" s="831">
        <v>-9254050</v>
      </c>
      <c r="AP4459" s="831" t="str">
        <f t="shared" si="208"/>
        <v/>
      </c>
    </row>
    <row r="4460" spans="2:42">
      <c r="B4460" s="834" t="str">
        <f t="shared" si="207"/>
        <v>|||</v>
      </c>
      <c r="H4460" s="835">
        <f t="shared" si="209"/>
        <v>31</v>
      </c>
      <c r="AF4460" s="831" t="s">
        <v>5117</v>
      </c>
      <c r="AG4460" s="831" t="s">
        <v>130</v>
      </c>
      <c r="AH4460" s="831" t="s">
        <v>171</v>
      </c>
      <c r="AI4460" s="831">
        <v>0</v>
      </c>
      <c r="AJ4460" s="835">
        <v>41060</v>
      </c>
      <c r="AK4460" s="831">
        <v>2126818</v>
      </c>
      <c r="AP4460" s="831" t="str">
        <f t="shared" si="208"/>
        <v/>
      </c>
    </row>
    <row r="4461" spans="2:42">
      <c r="B4461" s="834" t="str">
        <f t="shared" si="207"/>
        <v>|||</v>
      </c>
      <c r="H4461" s="835">
        <f t="shared" si="209"/>
        <v>31</v>
      </c>
      <c r="AF4461" s="831" t="s">
        <v>5118</v>
      </c>
      <c r="AG4461" s="831" t="s">
        <v>130</v>
      </c>
      <c r="AH4461" s="831" t="s">
        <v>174</v>
      </c>
      <c r="AI4461" s="831">
        <v>0</v>
      </c>
      <c r="AJ4461" s="835">
        <v>41060</v>
      </c>
      <c r="AK4461" s="831">
        <v>0</v>
      </c>
      <c r="AP4461" s="831" t="str">
        <f t="shared" si="208"/>
        <v/>
      </c>
    </row>
    <row r="4462" spans="2:42">
      <c r="B4462" s="834" t="str">
        <f t="shared" si="207"/>
        <v>|||</v>
      </c>
      <c r="H4462" s="835">
        <f t="shared" si="209"/>
        <v>31</v>
      </c>
      <c r="AF4462" s="831" t="s">
        <v>5119</v>
      </c>
      <c r="AG4462" s="831" t="s">
        <v>130</v>
      </c>
      <c r="AH4462" s="831" t="s">
        <v>181</v>
      </c>
      <c r="AI4462" s="831">
        <v>0</v>
      </c>
      <c r="AJ4462" s="835">
        <v>41060</v>
      </c>
      <c r="AK4462" s="831">
        <v>40161369</v>
      </c>
      <c r="AP4462" s="831" t="str">
        <f t="shared" si="208"/>
        <v/>
      </c>
    </row>
    <row r="4463" spans="2:42">
      <c r="B4463" s="834" t="str">
        <f t="shared" si="207"/>
        <v>|||</v>
      </c>
      <c r="H4463" s="835">
        <f t="shared" si="209"/>
        <v>31</v>
      </c>
      <c r="AF4463" s="831" t="s">
        <v>5120</v>
      </c>
      <c r="AG4463" s="831" t="s">
        <v>130</v>
      </c>
      <c r="AH4463" s="831" t="s">
        <v>184</v>
      </c>
      <c r="AI4463" s="831">
        <v>0</v>
      </c>
      <c r="AJ4463" s="835">
        <v>41060</v>
      </c>
      <c r="AK4463" s="831">
        <v>-9243010</v>
      </c>
      <c r="AP4463" s="831" t="str">
        <f t="shared" si="208"/>
        <v/>
      </c>
    </row>
    <row r="4464" spans="2:42">
      <c r="B4464" s="834" t="str">
        <f t="shared" si="207"/>
        <v>|||</v>
      </c>
      <c r="H4464" s="835">
        <f t="shared" si="209"/>
        <v>31</v>
      </c>
      <c r="AF4464" s="831" t="s">
        <v>5121</v>
      </c>
      <c r="AG4464" s="831" t="s">
        <v>130</v>
      </c>
      <c r="AH4464" s="831" t="s">
        <v>187</v>
      </c>
      <c r="AI4464" s="831">
        <v>0</v>
      </c>
      <c r="AJ4464" s="835">
        <v>41060</v>
      </c>
      <c r="AK4464" s="831">
        <v>0</v>
      </c>
      <c r="AP4464" s="831" t="str">
        <f t="shared" si="208"/>
        <v/>
      </c>
    </row>
    <row r="4465" spans="2:42">
      <c r="B4465" s="834" t="str">
        <f t="shared" si="207"/>
        <v>|||</v>
      </c>
      <c r="H4465" s="835">
        <f t="shared" si="209"/>
        <v>31</v>
      </c>
      <c r="AF4465" s="831" t="s">
        <v>5122</v>
      </c>
      <c r="AG4465" s="831" t="s">
        <v>130</v>
      </c>
      <c r="AH4465" s="831" t="s">
        <v>196</v>
      </c>
      <c r="AI4465" s="831">
        <v>0</v>
      </c>
      <c r="AJ4465" s="835">
        <v>41060</v>
      </c>
      <c r="AK4465" s="831">
        <v>4581208</v>
      </c>
      <c r="AP4465" s="831" t="str">
        <f t="shared" si="208"/>
        <v/>
      </c>
    </row>
    <row r="4466" spans="2:42">
      <c r="B4466" s="834" t="str">
        <f t="shared" si="207"/>
        <v>|||</v>
      </c>
      <c r="H4466" s="835">
        <f t="shared" si="209"/>
        <v>31</v>
      </c>
      <c r="AF4466" s="831" t="s">
        <v>5123</v>
      </c>
      <c r="AG4466" s="831" t="s">
        <v>130</v>
      </c>
      <c r="AH4466" s="831" t="s">
        <v>197</v>
      </c>
      <c r="AI4466" s="831">
        <v>0</v>
      </c>
      <c r="AJ4466" s="835">
        <v>41060</v>
      </c>
      <c r="AK4466" s="831">
        <v>0</v>
      </c>
      <c r="AP4466" s="831" t="str">
        <f t="shared" si="208"/>
        <v/>
      </c>
    </row>
    <row r="4467" spans="2:42">
      <c r="B4467" s="834" t="str">
        <f t="shared" si="207"/>
        <v>|||</v>
      </c>
      <c r="H4467" s="835">
        <f t="shared" si="209"/>
        <v>31</v>
      </c>
      <c r="AF4467" s="831" t="s">
        <v>5124</v>
      </c>
      <c r="AG4467" s="831" t="s">
        <v>130</v>
      </c>
      <c r="AH4467" s="831" t="s">
        <v>199</v>
      </c>
      <c r="AI4467" s="831">
        <v>0</v>
      </c>
      <c r="AJ4467" s="835">
        <v>41060</v>
      </c>
      <c r="AK4467" s="831">
        <v>0</v>
      </c>
      <c r="AP4467" s="831" t="str">
        <f t="shared" si="208"/>
        <v/>
      </c>
    </row>
    <row r="4468" spans="2:42">
      <c r="B4468" s="834" t="str">
        <f t="shared" si="207"/>
        <v>|||</v>
      </c>
      <c r="H4468" s="835">
        <f t="shared" si="209"/>
        <v>31</v>
      </c>
      <c r="AF4468" s="831" t="s">
        <v>5125</v>
      </c>
      <c r="AG4468" s="831" t="s">
        <v>130</v>
      </c>
      <c r="AH4468" s="831" t="s">
        <v>201</v>
      </c>
      <c r="AI4468" s="831">
        <v>0</v>
      </c>
      <c r="AJ4468" s="835">
        <v>41060</v>
      </c>
      <c r="AK4468" s="831">
        <v>6211596</v>
      </c>
      <c r="AP4468" s="831" t="str">
        <f t="shared" si="208"/>
        <v/>
      </c>
    </row>
    <row r="4469" spans="2:42">
      <c r="B4469" s="834" t="str">
        <f t="shared" si="207"/>
        <v>|||</v>
      </c>
      <c r="H4469" s="835">
        <f t="shared" si="209"/>
        <v>31</v>
      </c>
      <c r="AF4469" s="831" t="s">
        <v>5126</v>
      </c>
      <c r="AG4469" s="831" t="s">
        <v>130</v>
      </c>
      <c r="AH4469" s="831" t="s">
        <v>209</v>
      </c>
      <c r="AI4469" s="831">
        <v>0</v>
      </c>
      <c r="AJ4469" s="835">
        <v>41060</v>
      </c>
      <c r="AK4469" s="831">
        <v>43360489</v>
      </c>
      <c r="AP4469" s="831" t="str">
        <f t="shared" si="208"/>
        <v/>
      </c>
    </row>
    <row r="4470" spans="2:42">
      <c r="B4470" s="834" t="str">
        <f t="shared" si="207"/>
        <v>|||</v>
      </c>
      <c r="H4470" s="835">
        <f t="shared" si="209"/>
        <v>31</v>
      </c>
      <c r="AF4470" s="831" t="s">
        <v>5127</v>
      </c>
      <c r="AG4470" s="831" t="s">
        <v>130</v>
      </c>
      <c r="AH4470" s="831" t="s">
        <v>211</v>
      </c>
      <c r="AI4470" s="831">
        <v>0</v>
      </c>
      <c r="AJ4470" s="835">
        <v>41060</v>
      </c>
      <c r="AK4470" s="831">
        <v>116053918</v>
      </c>
      <c r="AP4470" s="831" t="str">
        <f t="shared" si="208"/>
        <v/>
      </c>
    </row>
    <row r="4471" spans="2:42">
      <c r="B4471" s="834" t="str">
        <f t="shared" si="207"/>
        <v>|||</v>
      </c>
      <c r="H4471" s="835">
        <f t="shared" si="209"/>
        <v>31</v>
      </c>
      <c r="AF4471" s="831" t="s">
        <v>5128</v>
      </c>
      <c r="AG4471" s="831" t="s">
        <v>130</v>
      </c>
      <c r="AH4471" s="831" t="s">
        <v>212</v>
      </c>
      <c r="AI4471" s="831">
        <v>0</v>
      </c>
      <c r="AJ4471" s="835">
        <v>41060</v>
      </c>
      <c r="AK4471" s="831">
        <v>6348336</v>
      </c>
      <c r="AP4471" s="831" t="str">
        <f t="shared" si="208"/>
        <v/>
      </c>
    </row>
    <row r="4472" spans="2:42">
      <c r="B4472" s="834" t="str">
        <f t="shared" si="207"/>
        <v>|||</v>
      </c>
      <c r="H4472" s="835">
        <f t="shared" si="209"/>
        <v>31</v>
      </c>
      <c r="AF4472" s="831" t="s">
        <v>5129</v>
      </c>
      <c r="AG4472" s="831" t="s">
        <v>130</v>
      </c>
      <c r="AH4472" s="831" t="s">
        <v>216</v>
      </c>
      <c r="AI4472" s="831">
        <v>0</v>
      </c>
      <c r="AJ4472" s="835">
        <v>41060</v>
      </c>
      <c r="AK4472" s="831">
        <v>0</v>
      </c>
      <c r="AP4472" s="831" t="str">
        <f t="shared" si="208"/>
        <v/>
      </c>
    </row>
    <row r="4473" spans="2:42">
      <c r="B4473" s="834" t="str">
        <f t="shared" si="207"/>
        <v>|||</v>
      </c>
      <c r="H4473" s="835">
        <f t="shared" si="209"/>
        <v>31</v>
      </c>
      <c r="AF4473" s="831" t="s">
        <v>5130</v>
      </c>
      <c r="AG4473" s="831" t="s">
        <v>130</v>
      </c>
      <c r="AH4473" s="831" t="s">
        <v>218</v>
      </c>
      <c r="AI4473" s="831">
        <v>0</v>
      </c>
      <c r="AJ4473" s="835">
        <v>41060</v>
      </c>
      <c r="AK4473" s="831">
        <v>44479345</v>
      </c>
      <c r="AP4473" s="831" t="str">
        <f t="shared" si="208"/>
        <v/>
      </c>
    </row>
    <row r="4474" spans="2:42">
      <c r="B4474" s="834" t="str">
        <f t="shared" si="207"/>
        <v>|||</v>
      </c>
      <c r="H4474" s="835">
        <f t="shared" si="209"/>
        <v>31</v>
      </c>
      <c r="AF4474" s="831" t="s">
        <v>5131</v>
      </c>
      <c r="AG4474" s="831" t="s">
        <v>130</v>
      </c>
      <c r="AH4474" s="831" t="s">
        <v>220</v>
      </c>
      <c r="AI4474" s="831">
        <v>0</v>
      </c>
      <c r="AJ4474" s="835">
        <v>41060</v>
      </c>
      <c r="AK4474" s="831">
        <v>0</v>
      </c>
      <c r="AP4474" s="831" t="str">
        <f t="shared" si="208"/>
        <v/>
      </c>
    </row>
    <row r="4475" spans="2:42">
      <c r="B4475" s="834" t="str">
        <f t="shared" si="207"/>
        <v>|||</v>
      </c>
      <c r="H4475" s="835">
        <f t="shared" si="209"/>
        <v>31</v>
      </c>
      <c r="AF4475" s="831" t="s">
        <v>5132</v>
      </c>
      <c r="AG4475" s="831" t="s">
        <v>130</v>
      </c>
      <c r="AH4475" s="831" t="s">
        <v>221</v>
      </c>
      <c r="AI4475" s="831">
        <v>0</v>
      </c>
      <c r="AJ4475" s="835">
        <v>41060</v>
      </c>
      <c r="AK4475" s="831">
        <v>1612075</v>
      </c>
      <c r="AP4475" s="831" t="str">
        <f t="shared" si="208"/>
        <v/>
      </c>
    </row>
    <row r="4476" spans="2:42">
      <c r="B4476" s="834" t="str">
        <f t="shared" si="207"/>
        <v>|||</v>
      </c>
      <c r="H4476" s="835">
        <f t="shared" si="209"/>
        <v>31</v>
      </c>
      <c r="AF4476" s="831" t="s">
        <v>5133</v>
      </c>
      <c r="AG4476" s="831" t="s">
        <v>130</v>
      </c>
      <c r="AH4476" s="831" t="s">
        <v>228</v>
      </c>
      <c r="AI4476" s="831">
        <v>0</v>
      </c>
      <c r="AJ4476" s="835">
        <v>41060</v>
      </c>
      <c r="AK4476" s="831">
        <v>0</v>
      </c>
      <c r="AP4476" s="831" t="str">
        <f t="shared" si="208"/>
        <v/>
      </c>
    </row>
    <row r="4477" spans="2:42">
      <c r="B4477" s="834" t="str">
        <f t="shared" si="207"/>
        <v>|||</v>
      </c>
      <c r="H4477" s="835">
        <f t="shared" si="209"/>
        <v>31</v>
      </c>
      <c r="AF4477" s="831" t="s">
        <v>5134</v>
      </c>
      <c r="AG4477" s="831" t="s">
        <v>130</v>
      </c>
      <c r="AH4477" s="831" t="s">
        <v>230</v>
      </c>
      <c r="AI4477" s="831">
        <v>0</v>
      </c>
      <c r="AJ4477" s="835">
        <v>41060</v>
      </c>
      <c r="AK4477" s="831">
        <v>0</v>
      </c>
      <c r="AP4477" s="831" t="str">
        <f t="shared" si="208"/>
        <v/>
      </c>
    </row>
    <row r="4478" spans="2:42">
      <c r="B4478" s="834" t="str">
        <f t="shared" si="207"/>
        <v>|||</v>
      </c>
      <c r="H4478" s="835">
        <f t="shared" si="209"/>
        <v>31</v>
      </c>
      <c r="AF4478" s="831" t="s">
        <v>5135</v>
      </c>
      <c r="AG4478" s="831" t="s">
        <v>130</v>
      </c>
      <c r="AH4478" s="831" t="s">
        <v>231</v>
      </c>
      <c r="AI4478" s="831">
        <v>0</v>
      </c>
      <c r="AJ4478" s="835">
        <v>41060</v>
      </c>
      <c r="AK4478" s="831">
        <v>4910625</v>
      </c>
      <c r="AP4478" s="831" t="str">
        <f t="shared" si="208"/>
        <v/>
      </c>
    </row>
    <row r="4479" spans="2:42">
      <c r="B4479" s="834" t="str">
        <f t="shared" si="207"/>
        <v>|||</v>
      </c>
      <c r="H4479" s="835">
        <f t="shared" si="209"/>
        <v>31</v>
      </c>
      <c r="AF4479" s="831" t="s">
        <v>5136</v>
      </c>
      <c r="AG4479" s="831" t="s">
        <v>130</v>
      </c>
      <c r="AH4479" s="831" t="s">
        <v>232</v>
      </c>
      <c r="AI4479" s="831">
        <v>0</v>
      </c>
      <c r="AJ4479" s="835">
        <v>41060</v>
      </c>
      <c r="AK4479" s="831">
        <v>92573217</v>
      </c>
      <c r="AP4479" s="831" t="str">
        <f t="shared" si="208"/>
        <v/>
      </c>
    </row>
    <row r="4480" spans="2:42">
      <c r="B4480" s="834" t="str">
        <f t="shared" si="207"/>
        <v>|||</v>
      </c>
      <c r="H4480" s="835">
        <f t="shared" si="209"/>
        <v>31</v>
      </c>
      <c r="AF4480" s="831" t="s">
        <v>5137</v>
      </c>
      <c r="AG4480" s="831" t="s">
        <v>130</v>
      </c>
      <c r="AH4480" s="831" t="s">
        <v>116</v>
      </c>
      <c r="AI4480" s="831">
        <v>0</v>
      </c>
      <c r="AJ4480" s="835">
        <v>41060</v>
      </c>
      <c r="AK4480" s="831">
        <v>8022406</v>
      </c>
      <c r="AP4480" s="831" t="str">
        <f t="shared" si="208"/>
        <v/>
      </c>
    </row>
    <row r="4481" spans="2:42">
      <c r="B4481" s="834" t="str">
        <f t="shared" si="207"/>
        <v>|||</v>
      </c>
      <c r="H4481" s="835">
        <f t="shared" si="209"/>
        <v>31</v>
      </c>
      <c r="AF4481" s="831" t="s">
        <v>5138</v>
      </c>
      <c r="AG4481" s="831" t="s">
        <v>130</v>
      </c>
      <c r="AH4481" s="831" t="s">
        <v>234</v>
      </c>
      <c r="AI4481" s="831">
        <v>0</v>
      </c>
      <c r="AJ4481" s="835">
        <v>41060</v>
      </c>
      <c r="AK4481" s="831">
        <v>0</v>
      </c>
      <c r="AP4481" s="831" t="str">
        <f t="shared" si="208"/>
        <v/>
      </c>
    </row>
    <row r="4482" spans="2:42">
      <c r="B4482" s="834" t="str">
        <f t="shared" si="207"/>
        <v>|||</v>
      </c>
      <c r="H4482" s="835">
        <f t="shared" si="209"/>
        <v>31</v>
      </c>
      <c r="AF4482" s="831" t="s">
        <v>5139</v>
      </c>
      <c r="AG4482" s="831" t="s">
        <v>130</v>
      </c>
      <c r="AH4482" s="831" t="s">
        <v>235</v>
      </c>
      <c r="AI4482" s="831">
        <v>0</v>
      </c>
      <c r="AJ4482" s="835">
        <v>41060</v>
      </c>
      <c r="AK4482" s="831">
        <v>4790966</v>
      </c>
      <c r="AP4482" s="831" t="str">
        <f t="shared" si="208"/>
        <v/>
      </c>
    </row>
    <row r="4483" spans="2:42">
      <c r="B4483" s="834" t="str">
        <f t="shared" ref="B4483:B4546" si="210">C4483&amp;"|"&amp;D4483&amp;"|"&amp;E4483&amp;"|"&amp;F4483</f>
        <v>|||</v>
      </c>
      <c r="H4483" s="835">
        <f t="shared" si="209"/>
        <v>31</v>
      </c>
      <c r="AF4483" s="831" t="s">
        <v>5140</v>
      </c>
      <c r="AG4483" s="831" t="s">
        <v>130</v>
      </c>
      <c r="AH4483" s="831" t="s">
        <v>238</v>
      </c>
      <c r="AI4483" s="831">
        <v>0</v>
      </c>
      <c r="AJ4483" s="835">
        <v>41060</v>
      </c>
      <c r="AK4483" s="831">
        <v>0</v>
      </c>
      <c r="AP4483" s="831" t="str">
        <f t="shared" ref="AP4483:AP4546" si="211">IF(AX4483&lt;&gt;"",IF(OR(AX4483=3,AX4483=4),"Equity","Debt"),"")</f>
        <v/>
      </c>
    </row>
    <row r="4484" spans="2:42">
      <c r="B4484" s="834" t="str">
        <f t="shared" si="210"/>
        <v>|||</v>
      </c>
      <c r="H4484" s="835">
        <f t="shared" ref="H4484:H4547" si="212">EOMONTH(L4484,0)</f>
        <v>31</v>
      </c>
      <c r="AF4484" s="831" t="s">
        <v>5141</v>
      </c>
      <c r="AG4484" s="831" t="s">
        <v>130</v>
      </c>
      <c r="AH4484" s="831" t="s">
        <v>240</v>
      </c>
      <c r="AI4484" s="831">
        <v>0</v>
      </c>
      <c r="AJ4484" s="835">
        <v>41060</v>
      </c>
      <c r="AK4484" s="831">
        <v>85000000</v>
      </c>
      <c r="AP4484" s="831" t="str">
        <f t="shared" si="211"/>
        <v/>
      </c>
    </row>
    <row r="4485" spans="2:42">
      <c r="B4485" s="834" t="str">
        <f t="shared" si="210"/>
        <v>|||</v>
      </c>
      <c r="H4485" s="835">
        <f t="shared" si="212"/>
        <v>31</v>
      </c>
      <c r="AF4485" s="831" t="s">
        <v>5142</v>
      </c>
      <c r="AG4485" s="831" t="s">
        <v>130</v>
      </c>
      <c r="AH4485" s="831" t="s">
        <v>241</v>
      </c>
      <c r="AI4485" s="831">
        <v>0</v>
      </c>
      <c r="AJ4485" s="835">
        <v>41060</v>
      </c>
      <c r="AK4485" s="831">
        <v>0</v>
      </c>
      <c r="AP4485" s="831" t="str">
        <f t="shared" si="211"/>
        <v/>
      </c>
    </row>
    <row r="4486" spans="2:42">
      <c r="B4486" s="834" t="str">
        <f t="shared" si="210"/>
        <v>|||</v>
      </c>
      <c r="H4486" s="835">
        <f t="shared" si="212"/>
        <v>31</v>
      </c>
      <c r="AF4486" s="831" t="s">
        <v>5143</v>
      </c>
      <c r="AG4486" s="831" t="s">
        <v>130</v>
      </c>
      <c r="AH4486" s="831" t="s">
        <v>242</v>
      </c>
      <c r="AI4486" s="831">
        <v>0</v>
      </c>
      <c r="AJ4486" s="835">
        <v>41060</v>
      </c>
      <c r="AK4486" s="831">
        <v>0</v>
      </c>
      <c r="AP4486" s="831" t="str">
        <f t="shared" si="211"/>
        <v/>
      </c>
    </row>
    <row r="4487" spans="2:42">
      <c r="B4487" s="834" t="str">
        <f t="shared" si="210"/>
        <v>|||</v>
      </c>
      <c r="H4487" s="835">
        <f t="shared" si="212"/>
        <v>31</v>
      </c>
      <c r="AF4487" s="831" t="s">
        <v>5144</v>
      </c>
      <c r="AG4487" s="831" t="s">
        <v>130</v>
      </c>
      <c r="AH4487" s="831" t="s">
        <v>244</v>
      </c>
      <c r="AI4487" s="831">
        <v>0</v>
      </c>
      <c r="AJ4487" s="835">
        <v>41060</v>
      </c>
      <c r="AK4487" s="831">
        <v>322924</v>
      </c>
      <c r="AP4487" s="831" t="str">
        <f t="shared" si="211"/>
        <v/>
      </c>
    </row>
    <row r="4488" spans="2:42">
      <c r="B4488" s="834" t="str">
        <f t="shared" si="210"/>
        <v>|||</v>
      </c>
      <c r="H4488" s="835">
        <f t="shared" si="212"/>
        <v>31</v>
      </c>
      <c r="AF4488" s="831" t="s">
        <v>5145</v>
      </c>
      <c r="AG4488" s="831" t="s">
        <v>130</v>
      </c>
      <c r="AH4488" s="831" t="s">
        <v>245</v>
      </c>
      <c r="AI4488" s="831">
        <v>0</v>
      </c>
      <c r="AJ4488" s="835">
        <v>41060</v>
      </c>
      <c r="AK4488" s="831">
        <v>5197337</v>
      </c>
      <c r="AP4488" s="831" t="str">
        <f t="shared" si="211"/>
        <v/>
      </c>
    </row>
    <row r="4489" spans="2:42">
      <c r="B4489" s="834" t="str">
        <f t="shared" si="210"/>
        <v>|||</v>
      </c>
      <c r="H4489" s="835">
        <f t="shared" si="212"/>
        <v>31</v>
      </c>
      <c r="AF4489" s="831" t="s">
        <v>5146</v>
      </c>
      <c r="AG4489" s="831" t="s">
        <v>130</v>
      </c>
      <c r="AH4489" s="831" t="s">
        <v>145</v>
      </c>
      <c r="AI4489" s="831">
        <v>0</v>
      </c>
      <c r="AJ4489" s="835">
        <v>41090</v>
      </c>
      <c r="AK4489" s="831">
        <v>32054701</v>
      </c>
      <c r="AP4489" s="831" t="str">
        <f t="shared" si="211"/>
        <v/>
      </c>
    </row>
    <row r="4490" spans="2:42">
      <c r="B4490" s="834" t="str">
        <f t="shared" si="210"/>
        <v>|||</v>
      </c>
      <c r="H4490" s="835">
        <f t="shared" si="212"/>
        <v>31</v>
      </c>
      <c r="AF4490" s="831" t="s">
        <v>5147</v>
      </c>
      <c r="AG4490" s="831" t="s">
        <v>130</v>
      </c>
      <c r="AH4490" s="831" t="s">
        <v>149</v>
      </c>
      <c r="AI4490" s="831">
        <v>0</v>
      </c>
      <c r="AJ4490" s="835">
        <v>41090</v>
      </c>
      <c r="AK4490" s="831">
        <v>0</v>
      </c>
      <c r="AP4490" s="831" t="str">
        <f t="shared" si="211"/>
        <v/>
      </c>
    </row>
    <row r="4491" spans="2:42">
      <c r="B4491" s="834" t="str">
        <f t="shared" si="210"/>
        <v>|||</v>
      </c>
      <c r="H4491" s="835">
        <f t="shared" si="212"/>
        <v>31</v>
      </c>
      <c r="AF4491" s="831" t="s">
        <v>5148</v>
      </c>
      <c r="AG4491" s="831" t="s">
        <v>130</v>
      </c>
      <c r="AH4491" s="831" t="s">
        <v>153</v>
      </c>
      <c r="AI4491" s="831">
        <v>0</v>
      </c>
      <c r="AJ4491" s="835">
        <v>41090</v>
      </c>
      <c r="AK4491" s="831">
        <v>12948540</v>
      </c>
      <c r="AP4491" s="831" t="str">
        <f t="shared" si="211"/>
        <v/>
      </c>
    </row>
    <row r="4492" spans="2:42">
      <c r="B4492" s="834" t="str">
        <f t="shared" si="210"/>
        <v>|||</v>
      </c>
      <c r="H4492" s="835">
        <f t="shared" si="212"/>
        <v>31</v>
      </c>
      <c r="AF4492" s="831" t="s">
        <v>5149</v>
      </c>
      <c r="AG4492" s="831" t="s">
        <v>130</v>
      </c>
      <c r="AH4492" s="831" t="s">
        <v>156</v>
      </c>
      <c r="AI4492" s="831">
        <v>0</v>
      </c>
      <c r="AJ4492" s="835">
        <v>41090</v>
      </c>
      <c r="AK4492" s="831">
        <v>0</v>
      </c>
      <c r="AP4492" s="831" t="str">
        <f t="shared" si="211"/>
        <v/>
      </c>
    </row>
    <row r="4493" spans="2:42">
      <c r="B4493" s="834" t="str">
        <f t="shared" si="210"/>
        <v>|||</v>
      </c>
      <c r="H4493" s="835">
        <f t="shared" si="212"/>
        <v>31</v>
      </c>
      <c r="AF4493" s="831" t="s">
        <v>5150</v>
      </c>
      <c r="AG4493" s="831" t="s">
        <v>130</v>
      </c>
      <c r="AH4493" s="831" t="s">
        <v>162</v>
      </c>
      <c r="AI4493" s="831">
        <v>0</v>
      </c>
      <c r="AJ4493" s="835">
        <v>41090</v>
      </c>
      <c r="AK4493" s="831">
        <v>342628450</v>
      </c>
      <c r="AP4493" s="831" t="str">
        <f t="shared" si="211"/>
        <v/>
      </c>
    </row>
    <row r="4494" spans="2:42">
      <c r="B4494" s="834" t="str">
        <f t="shared" si="210"/>
        <v>|||</v>
      </c>
      <c r="H4494" s="835">
        <f t="shared" si="212"/>
        <v>31</v>
      </c>
      <c r="AF4494" s="831" t="s">
        <v>5151</v>
      </c>
      <c r="AG4494" s="831" t="s">
        <v>130</v>
      </c>
      <c r="AH4494" s="831" t="s">
        <v>165</v>
      </c>
      <c r="AI4494" s="831">
        <v>0</v>
      </c>
      <c r="AJ4494" s="835">
        <v>41090</v>
      </c>
      <c r="AK4494" s="831">
        <v>-9357224</v>
      </c>
      <c r="AP4494" s="831" t="str">
        <f t="shared" si="211"/>
        <v/>
      </c>
    </row>
    <row r="4495" spans="2:42">
      <c r="B4495" s="834" t="str">
        <f t="shared" si="210"/>
        <v>|||</v>
      </c>
      <c r="H4495" s="835">
        <f t="shared" si="212"/>
        <v>31</v>
      </c>
      <c r="AF4495" s="831" t="s">
        <v>5152</v>
      </c>
      <c r="AG4495" s="831" t="s">
        <v>130</v>
      </c>
      <c r="AH4495" s="831" t="s">
        <v>171</v>
      </c>
      <c r="AI4495" s="831">
        <v>0</v>
      </c>
      <c r="AJ4495" s="835">
        <v>41090</v>
      </c>
      <c r="AK4495" s="831">
        <v>2168642</v>
      </c>
      <c r="AP4495" s="831" t="str">
        <f t="shared" si="211"/>
        <v/>
      </c>
    </row>
    <row r="4496" spans="2:42">
      <c r="B4496" s="834" t="str">
        <f t="shared" si="210"/>
        <v>|||</v>
      </c>
      <c r="H4496" s="835">
        <f t="shared" si="212"/>
        <v>31</v>
      </c>
      <c r="AF4496" s="831" t="s">
        <v>5153</v>
      </c>
      <c r="AG4496" s="831" t="s">
        <v>130</v>
      </c>
      <c r="AH4496" s="831" t="s">
        <v>174</v>
      </c>
      <c r="AI4496" s="831">
        <v>0</v>
      </c>
      <c r="AJ4496" s="835">
        <v>41090</v>
      </c>
      <c r="AK4496" s="831">
        <v>0</v>
      </c>
      <c r="AP4496" s="831" t="str">
        <f t="shared" si="211"/>
        <v/>
      </c>
    </row>
    <row r="4497" spans="2:42">
      <c r="B4497" s="834" t="str">
        <f t="shared" si="210"/>
        <v>|||</v>
      </c>
      <c r="H4497" s="835">
        <f t="shared" si="212"/>
        <v>31</v>
      </c>
      <c r="AF4497" s="831" t="s">
        <v>5154</v>
      </c>
      <c r="AG4497" s="831" t="s">
        <v>130</v>
      </c>
      <c r="AH4497" s="831" t="s">
        <v>181</v>
      </c>
      <c r="AI4497" s="831">
        <v>0</v>
      </c>
      <c r="AJ4497" s="835">
        <v>41090</v>
      </c>
      <c r="AK4497" s="831">
        <v>40229305</v>
      </c>
      <c r="AP4497" s="831" t="str">
        <f t="shared" si="211"/>
        <v/>
      </c>
    </row>
    <row r="4498" spans="2:42">
      <c r="B4498" s="834" t="str">
        <f t="shared" si="210"/>
        <v>|||</v>
      </c>
      <c r="H4498" s="835">
        <f t="shared" si="212"/>
        <v>31</v>
      </c>
      <c r="AF4498" s="831" t="s">
        <v>5155</v>
      </c>
      <c r="AG4498" s="831" t="s">
        <v>130</v>
      </c>
      <c r="AH4498" s="831" t="s">
        <v>184</v>
      </c>
      <c r="AI4498" s="831">
        <v>0</v>
      </c>
      <c r="AJ4498" s="835">
        <v>41090</v>
      </c>
      <c r="AK4498" s="831">
        <v>-9555490</v>
      </c>
      <c r="AP4498" s="831" t="str">
        <f t="shared" si="211"/>
        <v/>
      </c>
    </row>
    <row r="4499" spans="2:42">
      <c r="B4499" s="834" t="str">
        <f t="shared" si="210"/>
        <v>|||</v>
      </c>
      <c r="H4499" s="835">
        <f t="shared" si="212"/>
        <v>31</v>
      </c>
      <c r="AF4499" s="831" t="s">
        <v>5156</v>
      </c>
      <c r="AG4499" s="831" t="s">
        <v>130</v>
      </c>
      <c r="AH4499" s="831" t="s">
        <v>187</v>
      </c>
      <c r="AI4499" s="831">
        <v>0</v>
      </c>
      <c r="AJ4499" s="835">
        <v>41090</v>
      </c>
      <c r="AK4499" s="831">
        <v>0</v>
      </c>
      <c r="AP4499" s="831" t="str">
        <f t="shared" si="211"/>
        <v/>
      </c>
    </row>
    <row r="4500" spans="2:42">
      <c r="B4500" s="834" t="str">
        <f t="shared" si="210"/>
        <v>|||</v>
      </c>
      <c r="H4500" s="835">
        <f t="shared" si="212"/>
        <v>31</v>
      </c>
      <c r="AF4500" s="831" t="s">
        <v>5157</v>
      </c>
      <c r="AG4500" s="831" t="s">
        <v>130</v>
      </c>
      <c r="AH4500" s="831" t="s">
        <v>196</v>
      </c>
      <c r="AI4500" s="831">
        <v>0</v>
      </c>
      <c r="AJ4500" s="835">
        <v>41090</v>
      </c>
      <c r="AK4500" s="831">
        <v>4719160</v>
      </c>
      <c r="AP4500" s="831" t="str">
        <f t="shared" si="211"/>
        <v/>
      </c>
    </row>
    <row r="4501" spans="2:42">
      <c r="B4501" s="834" t="str">
        <f t="shared" si="210"/>
        <v>|||</v>
      </c>
      <c r="H4501" s="835">
        <f t="shared" si="212"/>
        <v>31</v>
      </c>
      <c r="AF4501" s="831" t="s">
        <v>5158</v>
      </c>
      <c r="AG4501" s="831" t="s">
        <v>130</v>
      </c>
      <c r="AH4501" s="831" t="s">
        <v>197</v>
      </c>
      <c r="AI4501" s="831">
        <v>0</v>
      </c>
      <c r="AJ4501" s="835">
        <v>41090</v>
      </c>
      <c r="AK4501" s="831">
        <v>0</v>
      </c>
      <c r="AP4501" s="831" t="str">
        <f t="shared" si="211"/>
        <v/>
      </c>
    </row>
    <row r="4502" spans="2:42">
      <c r="B4502" s="834" t="str">
        <f t="shared" si="210"/>
        <v>|||</v>
      </c>
      <c r="H4502" s="835">
        <f t="shared" si="212"/>
        <v>31</v>
      </c>
      <c r="AF4502" s="831" t="s">
        <v>5159</v>
      </c>
      <c r="AG4502" s="831" t="s">
        <v>130</v>
      </c>
      <c r="AH4502" s="831" t="s">
        <v>199</v>
      </c>
      <c r="AI4502" s="831">
        <v>0</v>
      </c>
      <c r="AJ4502" s="835">
        <v>41090</v>
      </c>
      <c r="AK4502" s="831">
        <v>0</v>
      </c>
      <c r="AP4502" s="831" t="str">
        <f t="shared" si="211"/>
        <v/>
      </c>
    </row>
    <row r="4503" spans="2:42">
      <c r="B4503" s="834" t="str">
        <f t="shared" si="210"/>
        <v>|||</v>
      </c>
      <c r="H4503" s="835">
        <f t="shared" si="212"/>
        <v>31</v>
      </c>
      <c r="AF4503" s="831" t="s">
        <v>5160</v>
      </c>
      <c r="AG4503" s="831" t="s">
        <v>130</v>
      </c>
      <c r="AH4503" s="831" t="s">
        <v>201</v>
      </c>
      <c r="AI4503" s="831">
        <v>0</v>
      </c>
      <c r="AJ4503" s="835">
        <v>41090</v>
      </c>
      <c r="AK4503" s="831">
        <v>6459295</v>
      </c>
      <c r="AP4503" s="831" t="str">
        <f t="shared" si="211"/>
        <v/>
      </c>
    </row>
    <row r="4504" spans="2:42">
      <c r="B4504" s="834" t="str">
        <f t="shared" si="210"/>
        <v>|||</v>
      </c>
      <c r="H4504" s="835">
        <f t="shared" si="212"/>
        <v>31</v>
      </c>
      <c r="AF4504" s="831" t="s">
        <v>5161</v>
      </c>
      <c r="AG4504" s="831" t="s">
        <v>130</v>
      </c>
      <c r="AH4504" s="831" t="s">
        <v>209</v>
      </c>
      <c r="AI4504" s="831">
        <v>0</v>
      </c>
      <c r="AJ4504" s="835">
        <v>41090</v>
      </c>
      <c r="AK4504" s="831">
        <v>45972537</v>
      </c>
      <c r="AP4504" s="831" t="str">
        <f t="shared" si="211"/>
        <v/>
      </c>
    </row>
    <row r="4505" spans="2:42">
      <c r="B4505" s="834" t="str">
        <f t="shared" si="210"/>
        <v>|||</v>
      </c>
      <c r="H4505" s="835">
        <f t="shared" si="212"/>
        <v>31</v>
      </c>
      <c r="AF4505" s="831" t="s">
        <v>5162</v>
      </c>
      <c r="AG4505" s="831" t="s">
        <v>130</v>
      </c>
      <c r="AH4505" s="831" t="s">
        <v>211</v>
      </c>
      <c r="AI4505" s="831">
        <v>0</v>
      </c>
      <c r="AJ4505" s="835">
        <v>41090</v>
      </c>
      <c r="AK4505" s="831">
        <v>118749980</v>
      </c>
      <c r="AP4505" s="831" t="str">
        <f t="shared" si="211"/>
        <v/>
      </c>
    </row>
    <row r="4506" spans="2:42">
      <c r="B4506" s="834" t="str">
        <f t="shared" si="210"/>
        <v>|||</v>
      </c>
      <c r="H4506" s="835">
        <f t="shared" si="212"/>
        <v>31</v>
      </c>
      <c r="AF4506" s="831" t="s">
        <v>5163</v>
      </c>
      <c r="AG4506" s="831" t="s">
        <v>130</v>
      </c>
      <c r="AH4506" s="831" t="s">
        <v>212</v>
      </c>
      <c r="AI4506" s="831">
        <v>0</v>
      </c>
      <c r="AJ4506" s="835">
        <v>41090</v>
      </c>
      <c r="AK4506" s="831">
        <v>6314224</v>
      </c>
      <c r="AP4506" s="831" t="str">
        <f t="shared" si="211"/>
        <v/>
      </c>
    </row>
    <row r="4507" spans="2:42">
      <c r="B4507" s="834" t="str">
        <f t="shared" si="210"/>
        <v>|||</v>
      </c>
      <c r="H4507" s="835">
        <f t="shared" si="212"/>
        <v>31</v>
      </c>
      <c r="AF4507" s="831" t="s">
        <v>5164</v>
      </c>
      <c r="AG4507" s="831" t="s">
        <v>130</v>
      </c>
      <c r="AH4507" s="831" t="s">
        <v>216</v>
      </c>
      <c r="AI4507" s="831">
        <v>0</v>
      </c>
      <c r="AJ4507" s="835">
        <v>41090</v>
      </c>
      <c r="AK4507" s="831">
        <v>0</v>
      </c>
      <c r="AP4507" s="831" t="str">
        <f t="shared" si="211"/>
        <v/>
      </c>
    </row>
    <row r="4508" spans="2:42">
      <c r="B4508" s="834" t="str">
        <f t="shared" si="210"/>
        <v>|||</v>
      </c>
      <c r="H4508" s="835">
        <f t="shared" si="212"/>
        <v>31</v>
      </c>
      <c r="AF4508" s="831" t="s">
        <v>5165</v>
      </c>
      <c r="AG4508" s="831" t="s">
        <v>130</v>
      </c>
      <c r="AH4508" s="831" t="s">
        <v>218</v>
      </c>
      <c r="AI4508" s="831">
        <v>0</v>
      </c>
      <c r="AJ4508" s="835">
        <v>41090</v>
      </c>
      <c r="AK4508" s="831">
        <v>51971470</v>
      </c>
      <c r="AP4508" s="831" t="str">
        <f t="shared" si="211"/>
        <v/>
      </c>
    </row>
    <row r="4509" spans="2:42">
      <c r="B4509" s="834" t="str">
        <f t="shared" si="210"/>
        <v>|||</v>
      </c>
      <c r="H4509" s="835">
        <f t="shared" si="212"/>
        <v>31</v>
      </c>
      <c r="AF4509" s="831" t="s">
        <v>5166</v>
      </c>
      <c r="AG4509" s="831" t="s">
        <v>130</v>
      </c>
      <c r="AH4509" s="831" t="s">
        <v>220</v>
      </c>
      <c r="AI4509" s="831">
        <v>0</v>
      </c>
      <c r="AJ4509" s="835">
        <v>41090</v>
      </c>
      <c r="AK4509" s="831">
        <v>0</v>
      </c>
      <c r="AP4509" s="831" t="str">
        <f t="shared" si="211"/>
        <v/>
      </c>
    </row>
    <row r="4510" spans="2:42">
      <c r="B4510" s="834" t="str">
        <f t="shared" si="210"/>
        <v>|||</v>
      </c>
      <c r="H4510" s="835">
        <f t="shared" si="212"/>
        <v>31</v>
      </c>
      <c r="AF4510" s="831" t="s">
        <v>5167</v>
      </c>
      <c r="AG4510" s="831" t="s">
        <v>130</v>
      </c>
      <c r="AH4510" s="831" t="s">
        <v>221</v>
      </c>
      <c r="AI4510" s="831">
        <v>0</v>
      </c>
      <c r="AJ4510" s="835">
        <v>41090</v>
      </c>
      <c r="AK4510" s="831">
        <v>1469529</v>
      </c>
      <c r="AP4510" s="831" t="str">
        <f t="shared" si="211"/>
        <v/>
      </c>
    </row>
    <row r="4511" spans="2:42">
      <c r="B4511" s="834" t="str">
        <f t="shared" si="210"/>
        <v>|||</v>
      </c>
      <c r="H4511" s="835">
        <f t="shared" si="212"/>
        <v>31</v>
      </c>
      <c r="AF4511" s="831" t="s">
        <v>5168</v>
      </c>
      <c r="AG4511" s="831" t="s">
        <v>130</v>
      </c>
      <c r="AH4511" s="831" t="s">
        <v>228</v>
      </c>
      <c r="AI4511" s="831">
        <v>0</v>
      </c>
      <c r="AJ4511" s="835">
        <v>41090</v>
      </c>
      <c r="AK4511" s="831">
        <v>0</v>
      </c>
      <c r="AP4511" s="831" t="str">
        <f t="shared" si="211"/>
        <v/>
      </c>
    </row>
    <row r="4512" spans="2:42">
      <c r="B4512" s="834" t="str">
        <f t="shared" si="210"/>
        <v>|||</v>
      </c>
      <c r="H4512" s="835">
        <f t="shared" si="212"/>
        <v>31</v>
      </c>
      <c r="AF4512" s="831" t="s">
        <v>5169</v>
      </c>
      <c r="AG4512" s="831" t="s">
        <v>130</v>
      </c>
      <c r="AH4512" s="831" t="s">
        <v>230</v>
      </c>
      <c r="AI4512" s="831">
        <v>0</v>
      </c>
      <c r="AJ4512" s="835">
        <v>41090</v>
      </c>
      <c r="AK4512" s="831">
        <v>0</v>
      </c>
      <c r="AP4512" s="831" t="str">
        <f t="shared" si="211"/>
        <v/>
      </c>
    </row>
    <row r="4513" spans="2:42">
      <c r="B4513" s="834" t="str">
        <f t="shared" si="210"/>
        <v>|||</v>
      </c>
      <c r="H4513" s="835">
        <f t="shared" si="212"/>
        <v>31</v>
      </c>
      <c r="AF4513" s="831" t="s">
        <v>5170</v>
      </c>
      <c r="AG4513" s="831" t="s">
        <v>130</v>
      </c>
      <c r="AH4513" s="831" t="s">
        <v>231</v>
      </c>
      <c r="AI4513" s="831">
        <v>0</v>
      </c>
      <c r="AJ4513" s="835">
        <v>41090</v>
      </c>
      <c r="AK4513" s="831">
        <v>4910000</v>
      </c>
      <c r="AP4513" s="831" t="str">
        <f t="shared" si="211"/>
        <v/>
      </c>
    </row>
    <row r="4514" spans="2:42">
      <c r="B4514" s="834" t="str">
        <f t="shared" si="210"/>
        <v>|||</v>
      </c>
      <c r="H4514" s="835">
        <f t="shared" si="212"/>
        <v>31</v>
      </c>
      <c r="AF4514" s="831" t="s">
        <v>5171</v>
      </c>
      <c r="AG4514" s="831" t="s">
        <v>130</v>
      </c>
      <c r="AH4514" s="831" t="s">
        <v>232</v>
      </c>
      <c r="AI4514" s="831">
        <v>0</v>
      </c>
      <c r="AJ4514" s="835">
        <v>41090</v>
      </c>
      <c r="AK4514" s="831">
        <v>88014776</v>
      </c>
      <c r="AP4514" s="831" t="str">
        <f t="shared" si="211"/>
        <v/>
      </c>
    </row>
    <row r="4515" spans="2:42">
      <c r="B4515" s="834" t="str">
        <f t="shared" si="210"/>
        <v>|||</v>
      </c>
      <c r="H4515" s="835">
        <f t="shared" si="212"/>
        <v>31</v>
      </c>
      <c r="AF4515" s="831" t="s">
        <v>5172</v>
      </c>
      <c r="AG4515" s="831" t="s">
        <v>130</v>
      </c>
      <c r="AH4515" s="831" t="s">
        <v>116</v>
      </c>
      <c r="AI4515" s="831">
        <v>0</v>
      </c>
      <c r="AJ4515" s="835">
        <v>41090</v>
      </c>
      <c r="AK4515" s="831">
        <v>8021385</v>
      </c>
      <c r="AP4515" s="831" t="str">
        <f t="shared" si="211"/>
        <v/>
      </c>
    </row>
    <row r="4516" spans="2:42">
      <c r="B4516" s="834" t="str">
        <f t="shared" si="210"/>
        <v>|||</v>
      </c>
      <c r="H4516" s="835">
        <f t="shared" si="212"/>
        <v>31</v>
      </c>
      <c r="AF4516" s="831" t="s">
        <v>5173</v>
      </c>
      <c r="AG4516" s="831" t="s">
        <v>130</v>
      </c>
      <c r="AH4516" s="831" t="s">
        <v>234</v>
      </c>
      <c r="AI4516" s="831">
        <v>0</v>
      </c>
      <c r="AJ4516" s="835">
        <v>41090</v>
      </c>
      <c r="AK4516" s="831">
        <v>0</v>
      </c>
      <c r="AP4516" s="831" t="str">
        <f t="shared" si="211"/>
        <v/>
      </c>
    </row>
    <row r="4517" spans="2:42">
      <c r="B4517" s="834" t="str">
        <f t="shared" si="210"/>
        <v>|||</v>
      </c>
      <c r="H4517" s="835">
        <f t="shared" si="212"/>
        <v>31</v>
      </c>
      <c r="AF4517" s="831" t="s">
        <v>5174</v>
      </c>
      <c r="AG4517" s="831" t="s">
        <v>130</v>
      </c>
      <c r="AH4517" s="831" t="s">
        <v>235</v>
      </c>
      <c r="AI4517" s="831">
        <v>0</v>
      </c>
      <c r="AJ4517" s="835">
        <v>41090</v>
      </c>
      <c r="AK4517" s="831">
        <v>5196462</v>
      </c>
      <c r="AP4517" s="831" t="str">
        <f t="shared" si="211"/>
        <v/>
      </c>
    </row>
    <row r="4518" spans="2:42">
      <c r="B4518" s="834" t="str">
        <f t="shared" si="210"/>
        <v>|||</v>
      </c>
      <c r="H4518" s="835">
        <f t="shared" si="212"/>
        <v>31</v>
      </c>
      <c r="AF4518" s="831" t="s">
        <v>5175</v>
      </c>
      <c r="AG4518" s="831" t="s">
        <v>130</v>
      </c>
      <c r="AH4518" s="831" t="s">
        <v>238</v>
      </c>
      <c r="AI4518" s="831">
        <v>0</v>
      </c>
      <c r="AJ4518" s="835">
        <v>41090</v>
      </c>
      <c r="AK4518" s="831">
        <v>0</v>
      </c>
      <c r="AP4518" s="831" t="str">
        <f t="shared" si="211"/>
        <v/>
      </c>
    </row>
    <row r="4519" spans="2:42">
      <c r="B4519" s="834" t="str">
        <f t="shared" si="210"/>
        <v>|||</v>
      </c>
      <c r="H4519" s="835">
        <f t="shared" si="212"/>
        <v>31</v>
      </c>
      <c r="AF4519" s="831" t="s">
        <v>5176</v>
      </c>
      <c r="AG4519" s="831" t="s">
        <v>130</v>
      </c>
      <c r="AH4519" s="831" t="s">
        <v>240</v>
      </c>
      <c r="AI4519" s="831">
        <v>0</v>
      </c>
      <c r="AJ4519" s="835">
        <v>41090</v>
      </c>
      <c r="AK4519" s="831">
        <v>85000000</v>
      </c>
      <c r="AP4519" s="831" t="str">
        <f t="shared" si="211"/>
        <v/>
      </c>
    </row>
    <row r="4520" spans="2:42">
      <c r="B4520" s="834" t="str">
        <f t="shared" si="210"/>
        <v>|||</v>
      </c>
      <c r="H4520" s="835">
        <f t="shared" si="212"/>
        <v>31</v>
      </c>
      <c r="AF4520" s="831" t="s">
        <v>5177</v>
      </c>
      <c r="AG4520" s="831" t="s">
        <v>130</v>
      </c>
      <c r="AH4520" s="831" t="s">
        <v>241</v>
      </c>
      <c r="AI4520" s="831">
        <v>0</v>
      </c>
      <c r="AJ4520" s="835">
        <v>41090</v>
      </c>
      <c r="AK4520" s="831">
        <v>0</v>
      </c>
      <c r="AP4520" s="831" t="str">
        <f t="shared" si="211"/>
        <v/>
      </c>
    </row>
    <row r="4521" spans="2:42">
      <c r="B4521" s="834" t="str">
        <f t="shared" si="210"/>
        <v>|||</v>
      </c>
      <c r="H4521" s="835">
        <f t="shared" si="212"/>
        <v>31</v>
      </c>
      <c r="AF4521" s="831" t="s">
        <v>5178</v>
      </c>
      <c r="AG4521" s="831" t="s">
        <v>130</v>
      </c>
      <c r="AH4521" s="831" t="s">
        <v>242</v>
      </c>
      <c r="AI4521" s="831">
        <v>0</v>
      </c>
      <c r="AJ4521" s="835">
        <v>41090</v>
      </c>
      <c r="AK4521" s="831">
        <v>0</v>
      </c>
      <c r="AP4521" s="831" t="str">
        <f t="shared" si="211"/>
        <v/>
      </c>
    </row>
    <row r="4522" spans="2:42">
      <c r="B4522" s="834" t="str">
        <f t="shared" si="210"/>
        <v>|||</v>
      </c>
      <c r="H4522" s="835">
        <f t="shared" si="212"/>
        <v>31</v>
      </c>
      <c r="AF4522" s="831" t="s">
        <v>5179</v>
      </c>
      <c r="AG4522" s="831" t="s">
        <v>130</v>
      </c>
      <c r="AH4522" s="831" t="s">
        <v>244</v>
      </c>
      <c r="AI4522" s="831">
        <v>0</v>
      </c>
      <c r="AJ4522" s="835">
        <v>41090</v>
      </c>
      <c r="AK4522" s="831">
        <v>322924</v>
      </c>
      <c r="AP4522" s="831" t="str">
        <f t="shared" si="211"/>
        <v/>
      </c>
    </row>
    <row r="4523" spans="2:42">
      <c r="B4523" s="834" t="str">
        <f t="shared" si="210"/>
        <v>|||</v>
      </c>
      <c r="H4523" s="835">
        <f t="shared" si="212"/>
        <v>31</v>
      </c>
      <c r="AF4523" s="831" t="s">
        <v>5180</v>
      </c>
      <c r="AG4523" s="831" t="s">
        <v>130</v>
      </c>
      <c r="AH4523" s="831" t="s">
        <v>245</v>
      </c>
      <c r="AI4523" s="831">
        <v>0</v>
      </c>
      <c r="AJ4523" s="835">
        <v>41090</v>
      </c>
      <c r="AK4523" s="831">
        <v>6352092</v>
      </c>
      <c r="AP4523" s="831" t="str">
        <f t="shared" si="211"/>
        <v/>
      </c>
    </row>
    <row r="4524" spans="2:42">
      <c r="B4524" s="834" t="str">
        <f t="shared" si="210"/>
        <v>|||</v>
      </c>
      <c r="H4524" s="835">
        <f t="shared" si="212"/>
        <v>31</v>
      </c>
      <c r="AF4524" s="831" t="s">
        <v>5181</v>
      </c>
      <c r="AG4524" s="831" t="s">
        <v>130</v>
      </c>
      <c r="AH4524" s="831" t="s">
        <v>145</v>
      </c>
      <c r="AI4524" s="831">
        <v>0</v>
      </c>
      <c r="AJ4524" s="835">
        <v>41121</v>
      </c>
      <c r="AK4524" s="831">
        <v>32127202</v>
      </c>
      <c r="AP4524" s="831" t="str">
        <f t="shared" si="211"/>
        <v/>
      </c>
    </row>
    <row r="4525" spans="2:42">
      <c r="B4525" s="834" t="str">
        <f t="shared" si="210"/>
        <v>|||</v>
      </c>
      <c r="H4525" s="835">
        <f t="shared" si="212"/>
        <v>31</v>
      </c>
      <c r="AF4525" s="831" t="s">
        <v>5182</v>
      </c>
      <c r="AG4525" s="831" t="s">
        <v>130</v>
      </c>
      <c r="AH4525" s="831" t="s">
        <v>149</v>
      </c>
      <c r="AI4525" s="831">
        <v>0</v>
      </c>
      <c r="AJ4525" s="835">
        <v>41121</v>
      </c>
      <c r="AK4525" s="831">
        <v>0</v>
      </c>
      <c r="AP4525" s="831" t="str">
        <f t="shared" si="211"/>
        <v/>
      </c>
    </row>
    <row r="4526" spans="2:42">
      <c r="B4526" s="834" t="str">
        <f t="shared" si="210"/>
        <v>|||</v>
      </c>
      <c r="H4526" s="835">
        <f t="shared" si="212"/>
        <v>31</v>
      </c>
      <c r="AF4526" s="831" t="s">
        <v>5183</v>
      </c>
      <c r="AG4526" s="831" t="s">
        <v>130</v>
      </c>
      <c r="AH4526" s="831" t="s">
        <v>153</v>
      </c>
      <c r="AI4526" s="831">
        <v>0</v>
      </c>
      <c r="AJ4526" s="835">
        <v>41121</v>
      </c>
      <c r="AK4526" s="831">
        <v>21071074</v>
      </c>
      <c r="AP4526" s="831" t="str">
        <f t="shared" si="211"/>
        <v/>
      </c>
    </row>
    <row r="4527" spans="2:42">
      <c r="B4527" s="834" t="str">
        <f t="shared" si="210"/>
        <v>|||</v>
      </c>
      <c r="H4527" s="835">
        <f t="shared" si="212"/>
        <v>31</v>
      </c>
      <c r="AF4527" s="831" t="s">
        <v>5184</v>
      </c>
      <c r="AG4527" s="831" t="s">
        <v>130</v>
      </c>
      <c r="AH4527" s="831" t="s">
        <v>156</v>
      </c>
      <c r="AI4527" s="831">
        <v>0</v>
      </c>
      <c r="AJ4527" s="835">
        <v>41121</v>
      </c>
      <c r="AK4527" s="831">
        <v>0</v>
      </c>
      <c r="AP4527" s="831" t="str">
        <f t="shared" si="211"/>
        <v/>
      </c>
    </row>
    <row r="4528" spans="2:42">
      <c r="B4528" s="834" t="str">
        <f t="shared" si="210"/>
        <v>|||</v>
      </c>
      <c r="H4528" s="835">
        <f t="shared" si="212"/>
        <v>31</v>
      </c>
      <c r="AF4528" s="831" t="s">
        <v>5185</v>
      </c>
      <c r="AG4528" s="831" t="s">
        <v>130</v>
      </c>
      <c r="AH4528" s="831" t="s">
        <v>162</v>
      </c>
      <c r="AI4528" s="831">
        <v>0</v>
      </c>
      <c r="AJ4528" s="835">
        <v>41121</v>
      </c>
      <c r="AK4528" s="831">
        <v>350104350</v>
      </c>
      <c r="AP4528" s="831" t="str">
        <f t="shared" si="211"/>
        <v/>
      </c>
    </row>
    <row r="4529" spans="2:42">
      <c r="B4529" s="834" t="str">
        <f t="shared" si="210"/>
        <v>|||</v>
      </c>
      <c r="H4529" s="835">
        <f t="shared" si="212"/>
        <v>31</v>
      </c>
      <c r="AF4529" s="831" t="s">
        <v>5186</v>
      </c>
      <c r="AG4529" s="831" t="s">
        <v>130</v>
      </c>
      <c r="AH4529" s="831" t="s">
        <v>165</v>
      </c>
      <c r="AI4529" s="831">
        <v>0</v>
      </c>
      <c r="AJ4529" s="835">
        <v>41121</v>
      </c>
      <c r="AK4529" s="831">
        <v>-9691486</v>
      </c>
      <c r="AP4529" s="831" t="str">
        <f t="shared" si="211"/>
        <v/>
      </c>
    </row>
    <row r="4530" spans="2:42">
      <c r="B4530" s="834" t="str">
        <f t="shared" si="210"/>
        <v>|||</v>
      </c>
      <c r="H4530" s="835">
        <f t="shared" si="212"/>
        <v>31</v>
      </c>
      <c r="AF4530" s="831" t="s">
        <v>5187</v>
      </c>
      <c r="AG4530" s="831" t="s">
        <v>130</v>
      </c>
      <c r="AH4530" s="831" t="s">
        <v>171</v>
      </c>
      <c r="AI4530" s="831">
        <v>0</v>
      </c>
      <c r="AJ4530" s="835">
        <v>41121</v>
      </c>
      <c r="AK4530" s="831">
        <v>2185025</v>
      </c>
      <c r="AP4530" s="831" t="str">
        <f t="shared" si="211"/>
        <v/>
      </c>
    </row>
    <row r="4531" spans="2:42">
      <c r="B4531" s="834" t="str">
        <f t="shared" si="210"/>
        <v>|||</v>
      </c>
      <c r="H4531" s="835">
        <f t="shared" si="212"/>
        <v>31</v>
      </c>
      <c r="AF4531" s="831" t="s">
        <v>5188</v>
      </c>
      <c r="AG4531" s="831" t="s">
        <v>130</v>
      </c>
      <c r="AH4531" s="831" t="s">
        <v>174</v>
      </c>
      <c r="AI4531" s="831">
        <v>0</v>
      </c>
      <c r="AJ4531" s="835">
        <v>41121</v>
      </c>
      <c r="AK4531" s="831">
        <v>0</v>
      </c>
      <c r="AP4531" s="831" t="str">
        <f t="shared" si="211"/>
        <v/>
      </c>
    </row>
    <row r="4532" spans="2:42">
      <c r="B4532" s="834" t="str">
        <f t="shared" si="210"/>
        <v>|||</v>
      </c>
      <c r="H4532" s="835">
        <f t="shared" si="212"/>
        <v>31</v>
      </c>
      <c r="AF4532" s="831" t="s">
        <v>5189</v>
      </c>
      <c r="AG4532" s="831" t="s">
        <v>130</v>
      </c>
      <c r="AH4532" s="831" t="s">
        <v>181</v>
      </c>
      <c r="AI4532" s="831">
        <v>0</v>
      </c>
      <c r="AJ4532" s="835">
        <v>41121</v>
      </c>
      <c r="AK4532" s="831">
        <v>42325867</v>
      </c>
      <c r="AP4532" s="831" t="str">
        <f t="shared" si="211"/>
        <v/>
      </c>
    </row>
    <row r="4533" spans="2:42">
      <c r="B4533" s="834" t="str">
        <f t="shared" si="210"/>
        <v>|||</v>
      </c>
      <c r="H4533" s="835">
        <f t="shared" si="212"/>
        <v>31</v>
      </c>
      <c r="AF4533" s="831" t="s">
        <v>5190</v>
      </c>
      <c r="AG4533" s="831" t="s">
        <v>130</v>
      </c>
      <c r="AH4533" s="831" t="s">
        <v>184</v>
      </c>
      <c r="AI4533" s="831">
        <v>0</v>
      </c>
      <c r="AJ4533" s="835">
        <v>41121</v>
      </c>
      <c r="AK4533" s="831">
        <v>-9882940</v>
      </c>
      <c r="AP4533" s="831" t="str">
        <f t="shared" si="211"/>
        <v/>
      </c>
    </row>
    <row r="4534" spans="2:42">
      <c r="B4534" s="834" t="str">
        <f t="shared" si="210"/>
        <v>|||</v>
      </c>
      <c r="H4534" s="835">
        <f t="shared" si="212"/>
        <v>31</v>
      </c>
      <c r="AF4534" s="831" t="s">
        <v>5191</v>
      </c>
      <c r="AG4534" s="831" t="s">
        <v>130</v>
      </c>
      <c r="AH4534" s="831" t="s">
        <v>187</v>
      </c>
      <c r="AI4534" s="831">
        <v>0</v>
      </c>
      <c r="AJ4534" s="835">
        <v>41121</v>
      </c>
      <c r="AK4534" s="831">
        <v>0</v>
      </c>
      <c r="AP4534" s="831" t="str">
        <f t="shared" si="211"/>
        <v/>
      </c>
    </row>
    <row r="4535" spans="2:42">
      <c r="B4535" s="834" t="str">
        <f t="shared" si="210"/>
        <v>|||</v>
      </c>
      <c r="H4535" s="835">
        <f t="shared" si="212"/>
        <v>31</v>
      </c>
      <c r="AF4535" s="831" t="s">
        <v>5192</v>
      </c>
      <c r="AG4535" s="831" t="s">
        <v>130</v>
      </c>
      <c r="AH4535" s="831" t="s">
        <v>196</v>
      </c>
      <c r="AI4535" s="831">
        <v>0</v>
      </c>
      <c r="AJ4535" s="835">
        <v>41121</v>
      </c>
      <c r="AK4535" s="831">
        <v>4874360</v>
      </c>
      <c r="AP4535" s="831" t="str">
        <f t="shared" si="211"/>
        <v/>
      </c>
    </row>
    <row r="4536" spans="2:42">
      <c r="B4536" s="834" t="str">
        <f t="shared" si="210"/>
        <v>|||</v>
      </c>
      <c r="H4536" s="835">
        <f t="shared" si="212"/>
        <v>31</v>
      </c>
      <c r="AF4536" s="831" t="s">
        <v>5193</v>
      </c>
      <c r="AG4536" s="831" t="s">
        <v>130</v>
      </c>
      <c r="AH4536" s="831" t="s">
        <v>197</v>
      </c>
      <c r="AI4536" s="831">
        <v>0</v>
      </c>
      <c r="AJ4536" s="835">
        <v>41121</v>
      </c>
      <c r="AK4536" s="831">
        <v>0</v>
      </c>
      <c r="AP4536" s="831" t="str">
        <f t="shared" si="211"/>
        <v/>
      </c>
    </row>
    <row r="4537" spans="2:42">
      <c r="B4537" s="834" t="str">
        <f t="shared" si="210"/>
        <v>|||</v>
      </c>
      <c r="H4537" s="835">
        <f t="shared" si="212"/>
        <v>31</v>
      </c>
      <c r="AF4537" s="831" t="s">
        <v>5194</v>
      </c>
      <c r="AG4537" s="831" t="s">
        <v>130</v>
      </c>
      <c r="AH4537" s="831" t="s">
        <v>199</v>
      </c>
      <c r="AI4537" s="831">
        <v>0</v>
      </c>
      <c r="AJ4537" s="835">
        <v>41121</v>
      </c>
      <c r="AK4537" s="831">
        <v>0</v>
      </c>
      <c r="AP4537" s="831" t="str">
        <f t="shared" si="211"/>
        <v/>
      </c>
    </row>
    <row r="4538" spans="2:42">
      <c r="B4538" s="834" t="str">
        <f t="shared" si="210"/>
        <v>|||</v>
      </c>
      <c r="H4538" s="835">
        <f t="shared" si="212"/>
        <v>31</v>
      </c>
      <c r="AF4538" s="831" t="s">
        <v>5195</v>
      </c>
      <c r="AG4538" s="831" t="s">
        <v>130</v>
      </c>
      <c r="AH4538" s="831" t="s">
        <v>201</v>
      </c>
      <c r="AI4538" s="831">
        <v>0</v>
      </c>
      <c r="AJ4538" s="835">
        <v>41121</v>
      </c>
      <c r="AK4538" s="831">
        <v>5008580</v>
      </c>
      <c r="AP4538" s="831" t="str">
        <f t="shared" si="211"/>
        <v/>
      </c>
    </row>
    <row r="4539" spans="2:42">
      <c r="B4539" s="834" t="str">
        <f t="shared" si="210"/>
        <v>|||</v>
      </c>
      <c r="H4539" s="835">
        <f t="shared" si="212"/>
        <v>31</v>
      </c>
      <c r="AF4539" s="831" t="s">
        <v>5196</v>
      </c>
      <c r="AG4539" s="831" t="s">
        <v>130</v>
      </c>
      <c r="AH4539" s="831" t="s">
        <v>209</v>
      </c>
      <c r="AI4539" s="831">
        <v>0</v>
      </c>
      <c r="AJ4539" s="835">
        <v>41121</v>
      </c>
      <c r="AK4539" s="831">
        <v>45153043</v>
      </c>
      <c r="AP4539" s="831" t="str">
        <f t="shared" si="211"/>
        <v/>
      </c>
    </row>
    <row r="4540" spans="2:42">
      <c r="B4540" s="834" t="str">
        <f t="shared" si="210"/>
        <v>|||</v>
      </c>
      <c r="H4540" s="835">
        <f t="shared" si="212"/>
        <v>31</v>
      </c>
      <c r="AF4540" s="831" t="s">
        <v>5197</v>
      </c>
      <c r="AG4540" s="831" t="s">
        <v>130</v>
      </c>
      <c r="AH4540" s="831" t="s">
        <v>211</v>
      </c>
      <c r="AI4540" s="831">
        <v>0</v>
      </c>
      <c r="AJ4540" s="835">
        <v>41121</v>
      </c>
      <c r="AK4540" s="831">
        <v>121252352</v>
      </c>
      <c r="AP4540" s="831" t="str">
        <f t="shared" si="211"/>
        <v/>
      </c>
    </row>
    <row r="4541" spans="2:42">
      <c r="B4541" s="834" t="str">
        <f t="shared" si="210"/>
        <v>|||</v>
      </c>
      <c r="H4541" s="835">
        <f t="shared" si="212"/>
        <v>31</v>
      </c>
      <c r="AF4541" s="831" t="s">
        <v>5198</v>
      </c>
      <c r="AG4541" s="831" t="s">
        <v>130</v>
      </c>
      <c r="AH4541" s="831" t="s">
        <v>212</v>
      </c>
      <c r="AI4541" s="831">
        <v>0</v>
      </c>
      <c r="AJ4541" s="835">
        <v>41121</v>
      </c>
      <c r="AK4541" s="831">
        <v>6238137</v>
      </c>
      <c r="AP4541" s="831" t="str">
        <f t="shared" si="211"/>
        <v/>
      </c>
    </row>
    <row r="4542" spans="2:42">
      <c r="B4542" s="834" t="str">
        <f t="shared" si="210"/>
        <v>|||</v>
      </c>
      <c r="H4542" s="835">
        <f t="shared" si="212"/>
        <v>31</v>
      </c>
      <c r="AF4542" s="831" t="s">
        <v>5199</v>
      </c>
      <c r="AG4542" s="831" t="s">
        <v>130</v>
      </c>
      <c r="AH4542" s="831" t="s">
        <v>216</v>
      </c>
      <c r="AI4542" s="831">
        <v>0</v>
      </c>
      <c r="AJ4542" s="835">
        <v>41121</v>
      </c>
      <c r="AK4542" s="831">
        <v>0</v>
      </c>
      <c r="AP4542" s="831" t="str">
        <f t="shared" si="211"/>
        <v/>
      </c>
    </row>
    <row r="4543" spans="2:42">
      <c r="B4543" s="834" t="str">
        <f t="shared" si="210"/>
        <v>|||</v>
      </c>
      <c r="H4543" s="835">
        <f t="shared" si="212"/>
        <v>31</v>
      </c>
      <c r="AF4543" s="831" t="s">
        <v>5200</v>
      </c>
      <c r="AG4543" s="831" t="s">
        <v>130</v>
      </c>
      <c r="AH4543" s="831" t="s">
        <v>218</v>
      </c>
      <c r="AI4543" s="831">
        <v>0</v>
      </c>
      <c r="AJ4543" s="835">
        <v>41121</v>
      </c>
      <c r="AK4543" s="831">
        <v>44973965</v>
      </c>
      <c r="AP4543" s="831" t="str">
        <f t="shared" si="211"/>
        <v/>
      </c>
    </row>
    <row r="4544" spans="2:42">
      <c r="B4544" s="834" t="str">
        <f t="shared" si="210"/>
        <v>|||</v>
      </c>
      <c r="H4544" s="835">
        <f t="shared" si="212"/>
        <v>31</v>
      </c>
      <c r="AF4544" s="831" t="s">
        <v>5201</v>
      </c>
      <c r="AG4544" s="831" t="s">
        <v>130</v>
      </c>
      <c r="AH4544" s="831" t="s">
        <v>220</v>
      </c>
      <c r="AI4544" s="831">
        <v>0</v>
      </c>
      <c r="AJ4544" s="835">
        <v>41121</v>
      </c>
      <c r="AK4544" s="831">
        <v>0</v>
      </c>
      <c r="AP4544" s="831" t="str">
        <f t="shared" si="211"/>
        <v/>
      </c>
    </row>
    <row r="4545" spans="2:42">
      <c r="B4545" s="834" t="str">
        <f t="shared" si="210"/>
        <v>|||</v>
      </c>
      <c r="H4545" s="835">
        <f t="shared" si="212"/>
        <v>31</v>
      </c>
      <c r="AF4545" s="831" t="s">
        <v>5202</v>
      </c>
      <c r="AG4545" s="831" t="s">
        <v>130</v>
      </c>
      <c r="AH4545" s="831" t="s">
        <v>221</v>
      </c>
      <c r="AI4545" s="831">
        <v>0</v>
      </c>
      <c r="AJ4545" s="835">
        <v>41121</v>
      </c>
      <c r="AK4545" s="831">
        <v>1467367</v>
      </c>
      <c r="AP4545" s="831" t="str">
        <f t="shared" si="211"/>
        <v/>
      </c>
    </row>
    <row r="4546" spans="2:42">
      <c r="B4546" s="834" t="str">
        <f t="shared" si="210"/>
        <v>|||</v>
      </c>
      <c r="H4546" s="835">
        <f t="shared" si="212"/>
        <v>31</v>
      </c>
      <c r="AF4546" s="831" t="s">
        <v>5203</v>
      </c>
      <c r="AG4546" s="831" t="s">
        <v>130</v>
      </c>
      <c r="AH4546" s="831" t="s">
        <v>228</v>
      </c>
      <c r="AI4546" s="831">
        <v>0</v>
      </c>
      <c r="AJ4546" s="835">
        <v>41121</v>
      </c>
      <c r="AK4546" s="831">
        <v>0</v>
      </c>
      <c r="AP4546" s="831" t="str">
        <f t="shared" si="211"/>
        <v/>
      </c>
    </row>
    <row r="4547" spans="2:42">
      <c r="B4547" s="834" t="str">
        <f t="shared" ref="B4547:B4610" si="213">C4547&amp;"|"&amp;D4547&amp;"|"&amp;E4547&amp;"|"&amp;F4547</f>
        <v>|||</v>
      </c>
      <c r="H4547" s="835">
        <f t="shared" si="212"/>
        <v>31</v>
      </c>
      <c r="AF4547" s="831" t="s">
        <v>5204</v>
      </c>
      <c r="AG4547" s="831" t="s">
        <v>130</v>
      </c>
      <c r="AH4547" s="831" t="s">
        <v>230</v>
      </c>
      <c r="AI4547" s="831">
        <v>0</v>
      </c>
      <c r="AJ4547" s="835">
        <v>41121</v>
      </c>
      <c r="AK4547" s="831">
        <v>0</v>
      </c>
      <c r="AP4547" s="831" t="str">
        <f t="shared" ref="AP4547:AP4610" si="214">IF(AX4547&lt;&gt;"",IF(OR(AX4547=3,AX4547=4),"Equity","Debt"),"")</f>
        <v/>
      </c>
    </row>
    <row r="4548" spans="2:42">
      <c r="B4548" s="834" t="str">
        <f t="shared" si="213"/>
        <v>|||</v>
      </c>
      <c r="H4548" s="835">
        <f t="shared" ref="H4548:H4611" si="215">EOMONTH(L4548,0)</f>
        <v>31</v>
      </c>
      <c r="AF4548" s="831" t="s">
        <v>5205</v>
      </c>
      <c r="AG4548" s="831" t="s">
        <v>130</v>
      </c>
      <c r="AH4548" s="831" t="s">
        <v>231</v>
      </c>
      <c r="AI4548" s="831">
        <v>0</v>
      </c>
      <c r="AJ4548" s="835">
        <v>41121</v>
      </c>
      <c r="AK4548" s="831">
        <v>4909375</v>
      </c>
      <c r="AP4548" s="831" t="str">
        <f t="shared" si="214"/>
        <v/>
      </c>
    </row>
    <row r="4549" spans="2:42">
      <c r="B4549" s="834" t="str">
        <f t="shared" si="213"/>
        <v>|||</v>
      </c>
      <c r="H4549" s="835">
        <f t="shared" si="215"/>
        <v>31</v>
      </c>
      <c r="AF4549" s="831" t="s">
        <v>5206</v>
      </c>
      <c r="AG4549" s="831" t="s">
        <v>130</v>
      </c>
      <c r="AH4549" s="831" t="s">
        <v>232</v>
      </c>
      <c r="AI4549" s="831">
        <v>0</v>
      </c>
      <c r="AJ4549" s="835">
        <v>41121</v>
      </c>
      <c r="AK4549" s="831">
        <v>106661143</v>
      </c>
      <c r="AP4549" s="831" t="str">
        <f t="shared" si="214"/>
        <v/>
      </c>
    </row>
    <row r="4550" spans="2:42">
      <c r="B4550" s="834" t="str">
        <f t="shared" si="213"/>
        <v>|||</v>
      </c>
      <c r="H4550" s="835">
        <f t="shared" si="215"/>
        <v>31</v>
      </c>
      <c r="AF4550" s="831" t="s">
        <v>5207</v>
      </c>
      <c r="AG4550" s="831" t="s">
        <v>130</v>
      </c>
      <c r="AH4550" s="831" t="s">
        <v>116</v>
      </c>
      <c r="AI4550" s="831">
        <v>0</v>
      </c>
      <c r="AJ4550" s="835">
        <v>41121</v>
      </c>
      <c r="AK4550" s="831">
        <v>8020363</v>
      </c>
      <c r="AP4550" s="831" t="str">
        <f t="shared" si="214"/>
        <v/>
      </c>
    </row>
    <row r="4551" spans="2:42">
      <c r="B4551" s="834" t="str">
        <f t="shared" si="213"/>
        <v>|||</v>
      </c>
      <c r="H4551" s="835">
        <f t="shared" si="215"/>
        <v>31</v>
      </c>
      <c r="AF4551" s="831" t="s">
        <v>5208</v>
      </c>
      <c r="AG4551" s="831" t="s">
        <v>130</v>
      </c>
      <c r="AH4551" s="831" t="s">
        <v>234</v>
      </c>
      <c r="AI4551" s="831">
        <v>0</v>
      </c>
      <c r="AJ4551" s="835">
        <v>41121</v>
      </c>
      <c r="AK4551" s="831">
        <v>0</v>
      </c>
      <c r="AP4551" s="831" t="str">
        <f t="shared" si="214"/>
        <v/>
      </c>
    </row>
    <row r="4552" spans="2:42">
      <c r="B4552" s="834" t="str">
        <f t="shared" si="213"/>
        <v>|||</v>
      </c>
      <c r="H4552" s="835">
        <f t="shared" si="215"/>
        <v>31</v>
      </c>
      <c r="AF4552" s="831" t="s">
        <v>5209</v>
      </c>
      <c r="AG4552" s="831" t="s">
        <v>130</v>
      </c>
      <c r="AH4552" s="831" t="s">
        <v>235</v>
      </c>
      <c r="AI4552" s="831">
        <v>0</v>
      </c>
      <c r="AJ4552" s="835">
        <v>41121</v>
      </c>
      <c r="AK4552" s="831">
        <v>6019460</v>
      </c>
      <c r="AP4552" s="831" t="str">
        <f t="shared" si="214"/>
        <v/>
      </c>
    </row>
    <row r="4553" spans="2:42">
      <c r="B4553" s="834" t="str">
        <f t="shared" si="213"/>
        <v>|||</v>
      </c>
      <c r="H4553" s="835">
        <f t="shared" si="215"/>
        <v>31</v>
      </c>
      <c r="AF4553" s="831" t="s">
        <v>5210</v>
      </c>
      <c r="AG4553" s="831" t="s">
        <v>130</v>
      </c>
      <c r="AH4553" s="831" t="s">
        <v>238</v>
      </c>
      <c r="AI4553" s="831">
        <v>0</v>
      </c>
      <c r="AJ4553" s="835">
        <v>41121</v>
      </c>
      <c r="AK4553" s="831">
        <v>0</v>
      </c>
      <c r="AP4553" s="831" t="str">
        <f t="shared" si="214"/>
        <v/>
      </c>
    </row>
    <row r="4554" spans="2:42">
      <c r="B4554" s="834" t="str">
        <f t="shared" si="213"/>
        <v>|||</v>
      </c>
      <c r="H4554" s="835">
        <f t="shared" si="215"/>
        <v>31</v>
      </c>
      <c r="AF4554" s="831" t="s">
        <v>5211</v>
      </c>
      <c r="AG4554" s="831" t="s">
        <v>130</v>
      </c>
      <c r="AH4554" s="831" t="s">
        <v>240</v>
      </c>
      <c r="AI4554" s="831">
        <v>0</v>
      </c>
      <c r="AJ4554" s="835">
        <v>41121</v>
      </c>
      <c r="AK4554" s="831">
        <v>85000000</v>
      </c>
      <c r="AP4554" s="831" t="str">
        <f t="shared" si="214"/>
        <v/>
      </c>
    </row>
    <row r="4555" spans="2:42">
      <c r="B4555" s="834" t="str">
        <f t="shared" si="213"/>
        <v>|||</v>
      </c>
      <c r="H4555" s="835">
        <f t="shared" si="215"/>
        <v>31</v>
      </c>
      <c r="AF4555" s="831" t="s">
        <v>5212</v>
      </c>
      <c r="AG4555" s="831" t="s">
        <v>130</v>
      </c>
      <c r="AH4555" s="831" t="s">
        <v>241</v>
      </c>
      <c r="AI4555" s="831">
        <v>0</v>
      </c>
      <c r="AJ4555" s="835">
        <v>41121</v>
      </c>
      <c r="AK4555" s="831">
        <v>0</v>
      </c>
      <c r="AP4555" s="831" t="str">
        <f t="shared" si="214"/>
        <v/>
      </c>
    </row>
    <row r="4556" spans="2:42">
      <c r="B4556" s="834" t="str">
        <f t="shared" si="213"/>
        <v>|||</v>
      </c>
      <c r="H4556" s="835">
        <f t="shared" si="215"/>
        <v>31</v>
      </c>
      <c r="AF4556" s="831" t="s">
        <v>5213</v>
      </c>
      <c r="AG4556" s="831" t="s">
        <v>130</v>
      </c>
      <c r="AH4556" s="831" t="s">
        <v>242</v>
      </c>
      <c r="AI4556" s="831">
        <v>0</v>
      </c>
      <c r="AJ4556" s="835">
        <v>41121</v>
      </c>
      <c r="AK4556" s="831">
        <v>0</v>
      </c>
      <c r="AP4556" s="831" t="str">
        <f t="shared" si="214"/>
        <v/>
      </c>
    </row>
    <row r="4557" spans="2:42">
      <c r="B4557" s="834" t="str">
        <f t="shared" si="213"/>
        <v>|||</v>
      </c>
      <c r="H4557" s="835">
        <f t="shared" si="215"/>
        <v>31</v>
      </c>
      <c r="AF4557" s="831" t="s">
        <v>5214</v>
      </c>
      <c r="AG4557" s="831" t="s">
        <v>130</v>
      </c>
      <c r="AH4557" s="831" t="s">
        <v>244</v>
      </c>
      <c r="AI4557" s="831">
        <v>0</v>
      </c>
      <c r="AJ4557" s="835">
        <v>41121</v>
      </c>
      <c r="AK4557" s="831">
        <v>322924</v>
      </c>
      <c r="AP4557" s="831" t="str">
        <f t="shared" si="214"/>
        <v/>
      </c>
    </row>
    <row r="4558" spans="2:42">
      <c r="B4558" s="834" t="str">
        <f t="shared" si="213"/>
        <v>|||</v>
      </c>
      <c r="H4558" s="835">
        <f t="shared" si="215"/>
        <v>31</v>
      </c>
      <c r="AF4558" s="831" t="s">
        <v>5215</v>
      </c>
      <c r="AG4558" s="831" t="s">
        <v>130</v>
      </c>
      <c r="AH4558" s="831" t="s">
        <v>245</v>
      </c>
      <c r="AI4558" s="831">
        <v>0</v>
      </c>
      <c r="AJ4558" s="835">
        <v>41121</v>
      </c>
      <c r="AK4558" s="831">
        <v>8103903</v>
      </c>
      <c r="AP4558" s="831" t="str">
        <f t="shared" si="214"/>
        <v/>
      </c>
    </row>
    <row r="4559" spans="2:42">
      <c r="B4559" s="834" t="str">
        <f t="shared" si="213"/>
        <v>|||</v>
      </c>
      <c r="H4559" s="835">
        <f t="shared" si="215"/>
        <v>31</v>
      </c>
      <c r="AF4559" s="831" t="s">
        <v>5216</v>
      </c>
      <c r="AG4559" s="831" t="s">
        <v>130</v>
      </c>
      <c r="AH4559" s="831" t="s">
        <v>145</v>
      </c>
      <c r="AI4559" s="831">
        <v>0</v>
      </c>
      <c r="AJ4559" s="835">
        <v>41152</v>
      </c>
      <c r="AK4559" s="831">
        <v>34613722</v>
      </c>
      <c r="AP4559" s="831" t="str">
        <f t="shared" si="214"/>
        <v/>
      </c>
    </row>
    <row r="4560" spans="2:42">
      <c r="B4560" s="834" t="str">
        <f t="shared" si="213"/>
        <v>|||</v>
      </c>
      <c r="H4560" s="835">
        <f t="shared" si="215"/>
        <v>31</v>
      </c>
      <c r="AF4560" s="831" t="s">
        <v>5217</v>
      </c>
      <c r="AG4560" s="831" t="s">
        <v>130</v>
      </c>
      <c r="AH4560" s="831" t="s">
        <v>149</v>
      </c>
      <c r="AI4560" s="831">
        <v>0</v>
      </c>
      <c r="AJ4560" s="835">
        <v>41152</v>
      </c>
      <c r="AK4560" s="831">
        <v>0</v>
      </c>
      <c r="AP4560" s="831" t="str">
        <f t="shared" si="214"/>
        <v/>
      </c>
    </row>
    <row r="4561" spans="2:42">
      <c r="B4561" s="834" t="str">
        <f t="shared" si="213"/>
        <v>|||</v>
      </c>
      <c r="H4561" s="835">
        <f t="shared" si="215"/>
        <v>31</v>
      </c>
      <c r="AF4561" s="831" t="s">
        <v>5218</v>
      </c>
      <c r="AG4561" s="831" t="s">
        <v>130</v>
      </c>
      <c r="AH4561" s="831" t="s">
        <v>153</v>
      </c>
      <c r="AI4561" s="831">
        <v>0</v>
      </c>
      <c r="AJ4561" s="835">
        <v>41152</v>
      </c>
      <c r="AK4561" s="831">
        <v>17853010</v>
      </c>
      <c r="AP4561" s="831" t="str">
        <f t="shared" si="214"/>
        <v/>
      </c>
    </row>
    <row r="4562" spans="2:42">
      <c r="B4562" s="834" t="str">
        <f t="shared" si="213"/>
        <v>|||</v>
      </c>
      <c r="H4562" s="835">
        <f t="shared" si="215"/>
        <v>31</v>
      </c>
      <c r="AF4562" s="831" t="s">
        <v>5219</v>
      </c>
      <c r="AG4562" s="831" t="s">
        <v>130</v>
      </c>
      <c r="AH4562" s="831" t="s">
        <v>156</v>
      </c>
      <c r="AI4562" s="831">
        <v>0</v>
      </c>
      <c r="AJ4562" s="835">
        <v>41152</v>
      </c>
      <c r="AK4562" s="831">
        <v>0</v>
      </c>
      <c r="AP4562" s="831" t="str">
        <f t="shared" si="214"/>
        <v/>
      </c>
    </row>
    <row r="4563" spans="2:42">
      <c r="B4563" s="834" t="str">
        <f t="shared" si="213"/>
        <v>|||</v>
      </c>
      <c r="H4563" s="835">
        <f t="shared" si="215"/>
        <v>31</v>
      </c>
      <c r="AF4563" s="831" t="s">
        <v>5220</v>
      </c>
      <c r="AG4563" s="831" t="s">
        <v>130</v>
      </c>
      <c r="AH4563" s="831" t="s">
        <v>162</v>
      </c>
      <c r="AI4563" s="831">
        <v>0</v>
      </c>
      <c r="AJ4563" s="835">
        <v>41152</v>
      </c>
      <c r="AK4563" s="831">
        <v>362295244</v>
      </c>
      <c r="AP4563" s="831" t="str">
        <f t="shared" si="214"/>
        <v/>
      </c>
    </row>
    <row r="4564" spans="2:42">
      <c r="B4564" s="834" t="str">
        <f t="shared" si="213"/>
        <v>|||</v>
      </c>
      <c r="H4564" s="835">
        <f t="shared" si="215"/>
        <v>31</v>
      </c>
      <c r="AF4564" s="831" t="s">
        <v>5221</v>
      </c>
      <c r="AG4564" s="831" t="s">
        <v>130</v>
      </c>
      <c r="AH4564" s="831" t="s">
        <v>165</v>
      </c>
      <c r="AI4564" s="831">
        <v>0</v>
      </c>
      <c r="AJ4564" s="835">
        <v>41152</v>
      </c>
      <c r="AK4564" s="831">
        <v>-9148265</v>
      </c>
      <c r="AP4564" s="831" t="str">
        <f t="shared" si="214"/>
        <v/>
      </c>
    </row>
    <row r="4565" spans="2:42">
      <c r="B4565" s="834" t="str">
        <f t="shared" si="213"/>
        <v>|||</v>
      </c>
      <c r="H4565" s="835">
        <f t="shared" si="215"/>
        <v>31</v>
      </c>
      <c r="AF4565" s="831" t="s">
        <v>5222</v>
      </c>
      <c r="AG4565" s="831" t="s">
        <v>130</v>
      </c>
      <c r="AH4565" s="831" t="s">
        <v>171</v>
      </c>
      <c r="AI4565" s="831">
        <v>0</v>
      </c>
      <c r="AJ4565" s="835">
        <v>41152</v>
      </c>
      <c r="AK4565" s="831">
        <v>2779511</v>
      </c>
      <c r="AP4565" s="831" t="str">
        <f t="shared" si="214"/>
        <v/>
      </c>
    </row>
    <row r="4566" spans="2:42">
      <c r="B4566" s="834" t="str">
        <f t="shared" si="213"/>
        <v>|||</v>
      </c>
      <c r="H4566" s="835">
        <f t="shared" si="215"/>
        <v>31</v>
      </c>
      <c r="AF4566" s="831" t="s">
        <v>5223</v>
      </c>
      <c r="AG4566" s="831" t="s">
        <v>130</v>
      </c>
      <c r="AH4566" s="831" t="s">
        <v>174</v>
      </c>
      <c r="AI4566" s="831">
        <v>0</v>
      </c>
      <c r="AJ4566" s="835">
        <v>41152</v>
      </c>
      <c r="AK4566" s="831">
        <v>0</v>
      </c>
      <c r="AP4566" s="831" t="str">
        <f t="shared" si="214"/>
        <v/>
      </c>
    </row>
    <row r="4567" spans="2:42">
      <c r="B4567" s="834" t="str">
        <f t="shared" si="213"/>
        <v>|||</v>
      </c>
      <c r="H4567" s="835">
        <f t="shared" si="215"/>
        <v>31</v>
      </c>
      <c r="AF4567" s="831" t="s">
        <v>5224</v>
      </c>
      <c r="AG4567" s="831" t="s">
        <v>130</v>
      </c>
      <c r="AH4567" s="831" t="s">
        <v>181</v>
      </c>
      <c r="AI4567" s="831">
        <v>0</v>
      </c>
      <c r="AJ4567" s="835">
        <v>41152</v>
      </c>
      <c r="AK4567" s="831">
        <v>41143024</v>
      </c>
      <c r="AP4567" s="831" t="str">
        <f t="shared" si="214"/>
        <v/>
      </c>
    </row>
    <row r="4568" spans="2:42">
      <c r="B4568" s="834" t="str">
        <f t="shared" si="213"/>
        <v>|||</v>
      </c>
      <c r="H4568" s="835">
        <f t="shared" si="215"/>
        <v>31</v>
      </c>
      <c r="AF4568" s="831" t="s">
        <v>5225</v>
      </c>
      <c r="AG4568" s="831" t="s">
        <v>130</v>
      </c>
      <c r="AH4568" s="831" t="s">
        <v>184</v>
      </c>
      <c r="AI4568" s="831">
        <v>0</v>
      </c>
      <c r="AJ4568" s="835">
        <v>41152</v>
      </c>
      <c r="AK4568" s="831">
        <v>-10301270</v>
      </c>
      <c r="AP4568" s="831" t="str">
        <f t="shared" si="214"/>
        <v/>
      </c>
    </row>
    <row r="4569" spans="2:42">
      <c r="B4569" s="834" t="str">
        <f t="shared" si="213"/>
        <v>|||</v>
      </c>
      <c r="H4569" s="835">
        <f t="shared" si="215"/>
        <v>31</v>
      </c>
      <c r="AF4569" s="831" t="s">
        <v>5226</v>
      </c>
      <c r="AG4569" s="831" t="s">
        <v>130</v>
      </c>
      <c r="AH4569" s="831" t="s">
        <v>187</v>
      </c>
      <c r="AI4569" s="831">
        <v>0</v>
      </c>
      <c r="AJ4569" s="835">
        <v>41152</v>
      </c>
      <c r="AK4569" s="831">
        <v>0</v>
      </c>
      <c r="AP4569" s="831" t="str">
        <f t="shared" si="214"/>
        <v/>
      </c>
    </row>
    <row r="4570" spans="2:42">
      <c r="B4570" s="834" t="str">
        <f t="shared" si="213"/>
        <v>|||</v>
      </c>
      <c r="H4570" s="835">
        <f t="shared" si="215"/>
        <v>31</v>
      </c>
      <c r="AF4570" s="831" t="s">
        <v>5227</v>
      </c>
      <c r="AG4570" s="831" t="s">
        <v>130</v>
      </c>
      <c r="AH4570" s="831" t="s">
        <v>196</v>
      </c>
      <c r="AI4570" s="831">
        <v>0</v>
      </c>
      <c r="AJ4570" s="835">
        <v>41152</v>
      </c>
      <c r="AK4570" s="831">
        <v>6201820</v>
      </c>
      <c r="AP4570" s="831" t="str">
        <f t="shared" si="214"/>
        <v/>
      </c>
    </row>
    <row r="4571" spans="2:42">
      <c r="B4571" s="834" t="str">
        <f t="shared" si="213"/>
        <v>|||</v>
      </c>
      <c r="H4571" s="835">
        <f t="shared" si="215"/>
        <v>31</v>
      </c>
      <c r="AF4571" s="831" t="s">
        <v>5228</v>
      </c>
      <c r="AG4571" s="831" t="s">
        <v>130</v>
      </c>
      <c r="AH4571" s="831" t="s">
        <v>197</v>
      </c>
      <c r="AI4571" s="831">
        <v>0</v>
      </c>
      <c r="AJ4571" s="835">
        <v>41152</v>
      </c>
      <c r="AK4571" s="831">
        <v>0</v>
      </c>
      <c r="AP4571" s="831" t="str">
        <f t="shared" si="214"/>
        <v/>
      </c>
    </row>
    <row r="4572" spans="2:42">
      <c r="B4572" s="834" t="str">
        <f t="shared" si="213"/>
        <v>|||</v>
      </c>
      <c r="H4572" s="835">
        <f t="shared" si="215"/>
        <v>31</v>
      </c>
      <c r="AF4572" s="831" t="s">
        <v>5229</v>
      </c>
      <c r="AG4572" s="831" t="s">
        <v>130</v>
      </c>
      <c r="AH4572" s="831" t="s">
        <v>199</v>
      </c>
      <c r="AI4572" s="831">
        <v>0</v>
      </c>
      <c r="AJ4572" s="835">
        <v>41152</v>
      </c>
      <c r="AK4572" s="831">
        <v>0</v>
      </c>
      <c r="AP4572" s="831" t="str">
        <f t="shared" si="214"/>
        <v/>
      </c>
    </row>
    <row r="4573" spans="2:42">
      <c r="B4573" s="834" t="str">
        <f t="shared" si="213"/>
        <v>|||</v>
      </c>
      <c r="H4573" s="835">
        <f t="shared" si="215"/>
        <v>31</v>
      </c>
      <c r="AF4573" s="831" t="s">
        <v>5230</v>
      </c>
      <c r="AG4573" s="831" t="s">
        <v>130</v>
      </c>
      <c r="AH4573" s="831" t="s">
        <v>201</v>
      </c>
      <c r="AI4573" s="831">
        <v>0</v>
      </c>
      <c r="AJ4573" s="835">
        <v>41152</v>
      </c>
      <c r="AK4573" s="831">
        <v>6825410</v>
      </c>
      <c r="AP4573" s="831" t="str">
        <f t="shared" si="214"/>
        <v/>
      </c>
    </row>
    <row r="4574" spans="2:42">
      <c r="B4574" s="834" t="str">
        <f t="shared" si="213"/>
        <v>|||</v>
      </c>
      <c r="H4574" s="835">
        <f t="shared" si="215"/>
        <v>31</v>
      </c>
      <c r="AF4574" s="831" t="s">
        <v>5231</v>
      </c>
      <c r="AG4574" s="831" t="s">
        <v>130</v>
      </c>
      <c r="AH4574" s="831" t="s">
        <v>209</v>
      </c>
      <c r="AI4574" s="831">
        <v>0</v>
      </c>
      <c r="AJ4574" s="835">
        <v>41152</v>
      </c>
      <c r="AK4574" s="831">
        <v>44045588</v>
      </c>
      <c r="AP4574" s="831" t="str">
        <f t="shared" si="214"/>
        <v/>
      </c>
    </row>
    <row r="4575" spans="2:42">
      <c r="B4575" s="834" t="str">
        <f t="shared" si="213"/>
        <v>|||</v>
      </c>
      <c r="H4575" s="835">
        <f t="shared" si="215"/>
        <v>31</v>
      </c>
      <c r="AF4575" s="831" t="s">
        <v>5232</v>
      </c>
      <c r="AG4575" s="831" t="s">
        <v>130</v>
      </c>
      <c r="AH4575" s="831" t="s">
        <v>211</v>
      </c>
      <c r="AI4575" s="831">
        <v>0</v>
      </c>
      <c r="AJ4575" s="835">
        <v>41152</v>
      </c>
      <c r="AK4575" s="831">
        <v>119563969</v>
      </c>
      <c r="AP4575" s="831" t="str">
        <f t="shared" si="214"/>
        <v/>
      </c>
    </row>
    <row r="4576" spans="2:42">
      <c r="B4576" s="834" t="str">
        <f t="shared" si="213"/>
        <v>|||</v>
      </c>
      <c r="H4576" s="835">
        <f t="shared" si="215"/>
        <v>31</v>
      </c>
      <c r="AF4576" s="831" t="s">
        <v>5233</v>
      </c>
      <c r="AG4576" s="831" t="s">
        <v>130</v>
      </c>
      <c r="AH4576" s="831" t="s">
        <v>212</v>
      </c>
      <c r="AI4576" s="831">
        <v>0</v>
      </c>
      <c r="AJ4576" s="835">
        <v>41152</v>
      </c>
      <c r="AK4576" s="831">
        <v>6033993</v>
      </c>
      <c r="AP4576" s="831" t="str">
        <f t="shared" si="214"/>
        <v/>
      </c>
    </row>
    <row r="4577" spans="2:42">
      <c r="B4577" s="834" t="str">
        <f t="shared" si="213"/>
        <v>|||</v>
      </c>
      <c r="H4577" s="835">
        <f t="shared" si="215"/>
        <v>31</v>
      </c>
      <c r="AF4577" s="831" t="s">
        <v>5234</v>
      </c>
      <c r="AG4577" s="831" t="s">
        <v>130</v>
      </c>
      <c r="AH4577" s="831" t="s">
        <v>216</v>
      </c>
      <c r="AI4577" s="831">
        <v>0</v>
      </c>
      <c r="AJ4577" s="835">
        <v>41152</v>
      </c>
      <c r="AK4577" s="831">
        <v>0</v>
      </c>
      <c r="AP4577" s="831" t="str">
        <f t="shared" si="214"/>
        <v/>
      </c>
    </row>
    <row r="4578" spans="2:42">
      <c r="B4578" s="834" t="str">
        <f t="shared" si="213"/>
        <v>|||</v>
      </c>
      <c r="H4578" s="835">
        <f t="shared" si="215"/>
        <v>31</v>
      </c>
      <c r="AF4578" s="831" t="s">
        <v>5235</v>
      </c>
      <c r="AG4578" s="831" t="s">
        <v>130</v>
      </c>
      <c r="AH4578" s="831" t="s">
        <v>218</v>
      </c>
      <c r="AI4578" s="831">
        <v>0</v>
      </c>
      <c r="AJ4578" s="835">
        <v>41152</v>
      </c>
      <c r="AK4578" s="831">
        <v>56236270</v>
      </c>
      <c r="AP4578" s="831" t="str">
        <f t="shared" si="214"/>
        <v/>
      </c>
    </row>
    <row r="4579" spans="2:42">
      <c r="B4579" s="834" t="str">
        <f t="shared" si="213"/>
        <v>|||</v>
      </c>
      <c r="H4579" s="835">
        <f t="shared" si="215"/>
        <v>31</v>
      </c>
      <c r="AF4579" s="831" t="s">
        <v>5236</v>
      </c>
      <c r="AG4579" s="831" t="s">
        <v>130</v>
      </c>
      <c r="AH4579" s="831" t="s">
        <v>220</v>
      </c>
      <c r="AI4579" s="831">
        <v>0</v>
      </c>
      <c r="AJ4579" s="835">
        <v>41152</v>
      </c>
      <c r="AK4579" s="831">
        <v>0</v>
      </c>
      <c r="AP4579" s="831" t="str">
        <f t="shared" si="214"/>
        <v/>
      </c>
    </row>
    <row r="4580" spans="2:42">
      <c r="B4580" s="834" t="str">
        <f t="shared" si="213"/>
        <v>|||</v>
      </c>
      <c r="H4580" s="835">
        <f t="shared" si="215"/>
        <v>31</v>
      </c>
      <c r="AF4580" s="831" t="s">
        <v>5237</v>
      </c>
      <c r="AG4580" s="831" t="s">
        <v>130</v>
      </c>
      <c r="AH4580" s="831" t="s">
        <v>221</v>
      </c>
      <c r="AI4580" s="831">
        <v>0</v>
      </c>
      <c r="AJ4580" s="835">
        <v>41152</v>
      </c>
      <c r="AK4580" s="831">
        <v>1522458</v>
      </c>
      <c r="AP4580" s="831" t="str">
        <f t="shared" si="214"/>
        <v/>
      </c>
    </row>
    <row r="4581" spans="2:42">
      <c r="B4581" s="834" t="str">
        <f t="shared" si="213"/>
        <v>|||</v>
      </c>
      <c r="H4581" s="835">
        <f t="shared" si="215"/>
        <v>31</v>
      </c>
      <c r="AF4581" s="831" t="s">
        <v>5238</v>
      </c>
      <c r="AG4581" s="831" t="s">
        <v>130</v>
      </c>
      <c r="AH4581" s="831" t="s">
        <v>228</v>
      </c>
      <c r="AI4581" s="831">
        <v>0</v>
      </c>
      <c r="AJ4581" s="835">
        <v>41152</v>
      </c>
      <c r="AK4581" s="831">
        <v>0</v>
      </c>
      <c r="AP4581" s="831" t="str">
        <f t="shared" si="214"/>
        <v/>
      </c>
    </row>
    <row r="4582" spans="2:42">
      <c r="B4582" s="834" t="str">
        <f t="shared" si="213"/>
        <v>|||</v>
      </c>
      <c r="H4582" s="835">
        <f t="shared" si="215"/>
        <v>31</v>
      </c>
      <c r="AF4582" s="831" t="s">
        <v>5239</v>
      </c>
      <c r="AG4582" s="831" t="s">
        <v>130</v>
      </c>
      <c r="AH4582" s="831" t="s">
        <v>230</v>
      </c>
      <c r="AI4582" s="831">
        <v>0</v>
      </c>
      <c r="AJ4582" s="835">
        <v>41152</v>
      </c>
      <c r="AK4582" s="831">
        <v>0</v>
      </c>
      <c r="AP4582" s="831" t="str">
        <f t="shared" si="214"/>
        <v/>
      </c>
    </row>
    <row r="4583" spans="2:42">
      <c r="B4583" s="834" t="str">
        <f t="shared" si="213"/>
        <v>|||</v>
      </c>
      <c r="H4583" s="835">
        <f t="shared" si="215"/>
        <v>31</v>
      </c>
      <c r="AF4583" s="831" t="s">
        <v>5240</v>
      </c>
      <c r="AG4583" s="831" t="s">
        <v>130</v>
      </c>
      <c r="AH4583" s="831" t="s">
        <v>231</v>
      </c>
      <c r="AI4583" s="831">
        <v>0</v>
      </c>
      <c r="AJ4583" s="835">
        <v>41152</v>
      </c>
      <c r="AK4583" s="831">
        <v>0</v>
      </c>
      <c r="AP4583" s="831" t="str">
        <f t="shared" si="214"/>
        <v/>
      </c>
    </row>
    <row r="4584" spans="2:42">
      <c r="B4584" s="834" t="str">
        <f t="shared" si="213"/>
        <v>|||</v>
      </c>
      <c r="H4584" s="835">
        <f t="shared" si="215"/>
        <v>31</v>
      </c>
      <c r="AF4584" s="831" t="s">
        <v>5241</v>
      </c>
      <c r="AG4584" s="831" t="s">
        <v>130</v>
      </c>
      <c r="AH4584" s="831" t="s">
        <v>232</v>
      </c>
      <c r="AI4584" s="831">
        <v>0</v>
      </c>
      <c r="AJ4584" s="835">
        <v>41152</v>
      </c>
      <c r="AK4584" s="831">
        <v>116129503</v>
      </c>
      <c r="AP4584" s="831" t="str">
        <f t="shared" si="214"/>
        <v/>
      </c>
    </row>
    <row r="4585" spans="2:42">
      <c r="B4585" s="834" t="str">
        <f t="shared" si="213"/>
        <v>|||</v>
      </c>
      <c r="H4585" s="835">
        <f t="shared" si="215"/>
        <v>31</v>
      </c>
      <c r="AF4585" s="831" t="s">
        <v>5242</v>
      </c>
      <c r="AG4585" s="831" t="s">
        <v>130</v>
      </c>
      <c r="AH4585" s="831" t="s">
        <v>116</v>
      </c>
      <c r="AI4585" s="831">
        <v>0</v>
      </c>
      <c r="AJ4585" s="835">
        <v>41152</v>
      </c>
      <c r="AK4585" s="831">
        <v>8018321</v>
      </c>
      <c r="AP4585" s="831" t="str">
        <f t="shared" si="214"/>
        <v/>
      </c>
    </row>
    <row r="4586" spans="2:42">
      <c r="B4586" s="834" t="str">
        <f t="shared" si="213"/>
        <v>|||</v>
      </c>
      <c r="H4586" s="835">
        <f t="shared" si="215"/>
        <v>31</v>
      </c>
      <c r="AF4586" s="831" t="s">
        <v>5243</v>
      </c>
      <c r="AG4586" s="831" t="s">
        <v>130</v>
      </c>
      <c r="AH4586" s="831" t="s">
        <v>234</v>
      </c>
      <c r="AI4586" s="831">
        <v>0</v>
      </c>
      <c r="AJ4586" s="835">
        <v>41152</v>
      </c>
      <c r="AK4586" s="831">
        <v>0</v>
      </c>
      <c r="AP4586" s="831" t="str">
        <f t="shared" si="214"/>
        <v/>
      </c>
    </row>
    <row r="4587" spans="2:42">
      <c r="B4587" s="834" t="str">
        <f t="shared" si="213"/>
        <v>|||</v>
      </c>
      <c r="H4587" s="835">
        <f t="shared" si="215"/>
        <v>31</v>
      </c>
      <c r="AF4587" s="831" t="s">
        <v>5244</v>
      </c>
      <c r="AG4587" s="831" t="s">
        <v>130</v>
      </c>
      <c r="AH4587" s="831" t="s">
        <v>235</v>
      </c>
      <c r="AI4587" s="831">
        <v>0</v>
      </c>
      <c r="AJ4587" s="835">
        <v>41152</v>
      </c>
      <c r="AK4587" s="831">
        <v>5297131</v>
      </c>
      <c r="AP4587" s="831" t="str">
        <f t="shared" si="214"/>
        <v/>
      </c>
    </row>
    <row r="4588" spans="2:42">
      <c r="B4588" s="834" t="str">
        <f t="shared" si="213"/>
        <v>|||</v>
      </c>
      <c r="H4588" s="835">
        <f t="shared" si="215"/>
        <v>31</v>
      </c>
      <c r="AF4588" s="831" t="s">
        <v>5245</v>
      </c>
      <c r="AG4588" s="831" t="s">
        <v>130</v>
      </c>
      <c r="AH4588" s="831" t="s">
        <v>238</v>
      </c>
      <c r="AI4588" s="831">
        <v>0</v>
      </c>
      <c r="AJ4588" s="835">
        <v>41152</v>
      </c>
      <c r="AK4588" s="831">
        <v>0</v>
      </c>
      <c r="AP4588" s="831" t="str">
        <f t="shared" si="214"/>
        <v/>
      </c>
    </row>
    <row r="4589" spans="2:42">
      <c r="B4589" s="834" t="str">
        <f t="shared" si="213"/>
        <v>|||</v>
      </c>
      <c r="H4589" s="835">
        <f t="shared" si="215"/>
        <v>31</v>
      </c>
      <c r="AF4589" s="831" t="s">
        <v>5246</v>
      </c>
      <c r="AG4589" s="831" t="s">
        <v>130</v>
      </c>
      <c r="AH4589" s="831" t="s">
        <v>240</v>
      </c>
      <c r="AI4589" s="831">
        <v>0</v>
      </c>
      <c r="AJ4589" s="835">
        <v>41152</v>
      </c>
      <c r="AK4589" s="831">
        <v>85000000</v>
      </c>
      <c r="AP4589" s="831" t="str">
        <f t="shared" si="214"/>
        <v/>
      </c>
    </row>
    <row r="4590" spans="2:42">
      <c r="B4590" s="834" t="str">
        <f t="shared" si="213"/>
        <v>|||</v>
      </c>
      <c r="H4590" s="835">
        <f t="shared" si="215"/>
        <v>31</v>
      </c>
      <c r="AF4590" s="831" t="s">
        <v>5247</v>
      </c>
      <c r="AG4590" s="831" t="s">
        <v>130</v>
      </c>
      <c r="AH4590" s="831" t="s">
        <v>241</v>
      </c>
      <c r="AI4590" s="831">
        <v>0</v>
      </c>
      <c r="AJ4590" s="835">
        <v>41152</v>
      </c>
      <c r="AK4590" s="831">
        <v>0</v>
      </c>
      <c r="AP4590" s="831" t="str">
        <f t="shared" si="214"/>
        <v/>
      </c>
    </row>
    <row r="4591" spans="2:42">
      <c r="B4591" s="834" t="str">
        <f t="shared" si="213"/>
        <v>|||</v>
      </c>
      <c r="H4591" s="835">
        <f t="shared" si="215"/>
        <v>31</v>
      </c>
      <c r="AF4591" s="831" t="s">
        <v>5248</v>
      </c>
      <c r="AG4591" s="831" t="s">
        <v>130</v>
      </c>
      <c r="AH4591" s="831" t="s">
        <v>242</v>
      </c>
      <c r="AI4591" s="831">
        <v>0</v>
      </c>
      <c r="AJ4591" s="835">
        <v>41152</v>
      </c>
      <c r="AK4591" s="831">
        <v>0</v>
      </c>
      <c r="AP4591" s="831" t="str">
        <f t="shared" si="214"/>
        <v/>
      </c>
    </row>
    <row r="4592" spans="2:42">
      <c r="B4592" s="834" t="str">
        <f t="shared" si="213"/>
        <v>|||</v>
      </c>
      <c r="H4592" s="835">
        <f t="shared" si="215"/>
        <v>31</v>
      </c>
      <c r="AF4592" s="831" t="s">
        <v>5249</v>
      </c>
      <c r="AG4592" s="831" t="s">
        <v>130</v>
      </c>
      <c r="AH4592" s="831" t="s">
        <v>244</v>
      </c>
      <c r="AI4592" s="831">
        <v>0</v>
      </c>
      <c r="AJ4592" s="835">
        <v>41152</v>
      </c>
      <c r="AK4592" s="831">
        <v>322924</v>
      </c>
      <c r="AP4592" s="831" t="str">
        <f t="shared" si="214"/>
        <v/>
      </c>
    </row>
    <row r="4593" spans="2:42">
      <c r="B4593" s="834" t="str">
        <f t="shared" si="213"/>
        <v>|||</v>
      </c>
      <c r="H4593" s="835">
        <f t="shared" si="215"/>
        <v>31</v>
      </c>
      <c r="AF4593" s="831" t="s">
        <v>5250</v>
      </c>
      <c r="AG4593" s="831" t="s">
        <v>130</v>
      </c>
      <c r="AH4593" s="831" t="s">
        <v>245</v>
      </c>
      <c r="AI4593" s="831">
        <v>0</v>
      </c>
      <c r="AJ4593" s="835">
        <v>41152</v>
      </c>
      <c r="AK4593" s="831">
        <v>10092049</v>
      </c>
      <c r="AP4593" s="831" t="str">
        <f t="shared" si="214"/>
        <v/>
      </c>
    </row>
    <row r="4594" spans="2:42">
      <c r="B4594" s="834" t="str">
        <f t="shared" si="213"/>
        <v>|||</v>
      </c>
      <c r="H4594" s="835">
        <f t="shared" si="215"/>
        <v>31</v>
      </c>
      <c r="AF4594" s="831" t="s">
        <v>5251</v>
      </c>
      <c r="AG4594" s="831" t="s">
        <v>130</v>
      </c>
      <c r="AH4594" s="831" t="s">
        <v>145</v>
      </c>
      <c r="AI4594" s="831">
        <v>0</v>
      </c>
      <c r="AJ4594" s="835">
        <v>41182</v>
      </c>
      <c r="AK4594" s="831">
        <v>32589087</v>
      </c>
      <c r="AP4594" s="831" t="str">
        <f t="shared" si="214"/>
        <v/>
      </c>
    </row>
    <row r="4595" spans="2:42">
      <c r="B4595" s="834" t="str">
        <f t="shared" si="213"/>
        <v>|||</v>
      </c>
      <c r="H4595" s="835">
        <f t="shared" si="215"/>
        <v>31</v>
      </c>
      <c r="AF4595" s="831" t="s">
        <v>5252</v>
      </c>
      <c r="AG4595" s="831" t="s">
        <v>130</v>
      </c>
      <c r="AH4595" s="831" t="s">
        <v>149</v>
      </c>
      <c r="AI4595" s="831">
        <v>0</v>
      </c>
      <c r="AJ4595" s="835">
        <v>41182</v>
      </c>
      <c r="AK4595" s="831">
        <v>0</v>
      </c>
      <c r="AP4595" s="831" t="str">
        <f t="shared" si="214"/>
        <v/>
      </c>
    </row>
    <row r="4596" spans="2:42">
      <c r="B4596" s="834" t="str">
        <f t="shared" si="213"/>
        <v>|||</v>
      </c>
      <c r="H4596" s="835">
        <f t="shared" si="215"/>
        <v>31</v>
      </c>
      <c r="AF4596" s="831" t="s">
        <v>5253</v>
      </c>
      <c r="AG4596" s="831" t="s">
        <v>130</v>
      </c>
      <c r="AH4596" s="831" t="s">
        <v>153</v>
      </c>
      <c r="AI4596" s="831">
        <v>0</v>
      </c>
      <c r="AJ4596" s="835">
        <v>41182</v>
      </c>
      <c r="AK4596" s="831">
        <v>17615840</v>
      </c>
      <c r="AP4596" s="831" t="str">
        <f t="shared" si="214"/>
        <v/>
      </c>
    </row>
    <row r="4597" spans="2:42">
      <c r="B4597" s="834" t="str">
        <f t="shared" si="213"/>
        <v>|||</v>
      </c>
      <c r="H4597" s="835">
        <f t="shared" si="215"/>
        <v>31</v>
      </c>
      <c r="AF4597" s="831" t="s">
        <v>5254</v>
      </c>
      <c r="AG4597" s="831" t="s">
        <v>130</v>
      </c>
      <c r="AH4597" s="831" t="s">
        <v>156</v>
      </c>
      <c r="AI4597" s="831">
        <v>0</v>
      </c>
      <c r="AJ4597" s="835">
        <v>41182</v>
      </c>
      <c r="AK4597" s="831">
        <v>0</v>
      </c>
      <c r="AP4597" s="831" t="str">
        <f t="shared" si="214"/>
        <v/>
      </c>
    </row>
    <row r="4598" spans="2:42">
      <c r="B4598" s="834" t="str">
        <f t="shared" si="213"/>
        <v>|||</v>
      </c>
      <c r="H4598" s="835">
        <f t="shared" si="215"/>
        <v>31</v>
      </c>
      <c r="AF4598" s="831" t="s">
        <v>5255</v>
      </c>
      <c r="AG4598" s="831" t="s">
        <v>130</v>
      </c>
      <c r="AH4598" s="831" t="s">
        <v>162</v>
      </c>
      <c r="AI4598" s="831">
        <v>0</v>
      </c>
      <c r="AJ4598" s="835">
        <v>41182</v>
      </c>
      <c r="AK4598" s="831">
        <v>367084945</v>
      </c>
      <c r="AP4598" s="831" t="str">
        <f t="shared" si="214"/>
        <v/>
      </c>
    </row>
    <row r="4599" spans="2:42">
      <c r="B4599" s="834" t="str">
        <f t="shared" si="213"/>
        <v>|||</v>
      </c>
      <c r="H4599" s="835">
        <f t="shared" si="215"/>
        <v>31</v>
      </c>
      <c r="AF4599" s="831" t="s">
        <v>5256</v>
      </c>
      <c r="AG4599" s="831" t="s">
        <v>130</v>
      </c>
      <c r="AH4599" s="831" t="s">
        <v>165</v>
      </c>
      <c r="AI4599" s="831">
        <v>0</v>
      </c>
      <c r="AJ4599" s="835">
        <v>41182</v>
      </c>
      <c r="AK4599" s="831">
        <v>-9429800</v>
      </c>
      <c r="AP4599" s="831" t="str">
        <f t="shared" si="214"/>
        <v/>
      </c>
    </row>
    <row r="4600" spans="2:42">
      <c r="B4600" s="834" t="str">
        <f t="shared" si="213"/>
        <v>|||</v>
      </c>
      <c r="H4600" s="835">
        <f t="shared" si="215"/>
        <v>31</v>
      </c>
      <c r="AF4600" s="831" t="s">
        <v>5257</v>
      </c>
      <c r="AG4600" s="831" t="s">
        <v>130</v>
      </c>
      <c r="AH4600" s="831" t="s">
        <v>171</v>
      </c>
      <c r="AI4600" s="831">
        <v>0</v>
      </c>
      <c r="AJ4600" s="835">
        <v>41182</v>
      </c>
      <c r="AK4600" s="831">
        <v>2530927</v>
      </c>
      <c r="AP4600" s="831" t="str">
        <f t="shared" si="214"/>
        <v/>
      </c>
    </row>
    <row r="4601" spans="2:42">
      <c r="B4601" s="834" t="str">
        <f t="shared" si="213"/>
        <v>|||</v>
      </c>
      <c r="H4601" s="835">
        <f t="shared" si="215"/>
        <v>31</v>
      </c>
      <c r="AF4601" s="831" t="s">
        <v>5258</v>
      </c>
      <c r="AG4601" s="831" t="s">
        <v>130</v>
      </c>
      <c r="AH4601" s="831" t="s">
        <v>174</v>
      </c>
      <c r="AI4601" s="831">
        <v>0</v>
      </c>
      <c r="AJ4601" s="835">
        <v>41182</v>
      </c>
      <c r="AK4601" s="831">
        <v>0</v>
      </c>
      <c r="AP4601" s="831" t="str">
        <f t="shared" si="214"/>
        <v/>
      </c>
    </row>
    <row r="4602" spans="2:42">
      <c r="B4602" s="834" t="str">
        <f t="shared" si="213"/>
        <v>|||</v>
      </c>
      <c r="H4602" s="835">
        <f t="shared" si="215"/>
        <v>31</v>
      </c>
      <c r="AF4602" s="831" t="s">
        <v>5259</v>
      </c>
      <c r="AG4602" s="831" t="s">
        <v>130</v>
      </c>
      <c r="AH4602" s="831" t="s">
        <v>181</v>
      </c>
      <c r="AI4602" s="831">
        <v>0</v>
      </c>
      <c r="AJ4602" s="835">
        <v>41182</v>
      </c>
      <c r="AK4602" s="831">
        <v>41251152</v>
      </c>
      <c r="AP4602" s="831" t="str">
        <f t="shared" si="214"/>
        <v/>
      </c>
    </row>
    <row r="4603" spans="2:42">
      <c r="B4603" s="834" t="str">
        <f t="shared" si="213"/>
        <v>|||</v>
      </c>
      <c r="H4603" s="835">
        <f t="shared" si="215"/>
        <v>31</v>
      </c>
      <c r="AF4603" s="831" t="s">
        <v>5260</v>
      </c>
      <c r="AG4603" s="831" t="s">
        <v>130</v>
      </c>
      <c r="AH4603" s="831" t="s">
        <v>184</v>
      </c>
      <c r="AI4603" s="831">
        <v>0</v>
      </c>
      <c r="AJ4603" s="835">
        <v>41182</v>
      </c>
      <c r="AK4603" s="831">
        <v>-10624250</v>
      </c>
      <c r="AP4603" s="831" t="str">
        <f t="shared" si="214"/>
        <v/>
      </c>
    </row>
    <row r="4604" spans="2:42">
      <c r="B4604" s="834" t="str">
        <f t="shared" si="213"/>
        <v>|||</v>
      </c>
      <c r="H4604" s="835">
        <f t="shared" si="215"/>
        <v>31</v>
      </c>
      <c r="AF4604" s="831" t="s">
        <v>5261</v>
      </c>
      <c r="AG4604" s="831" t="s">
        <v>130</v>
      </c>
      <c r="AH4604" s="831" t="s">
        <v>187</v>
      </c>
      <c r="AI4604" s="831">
        <v>0</v>
      </c>
      <c r="AJ4604" s="835">
        <v>41182</v>
      </c>
      <c r="AK4604" s="831">
        <v>0</v>
      </c>
      <c r="AP4604" s="831" t="str">
        <f t="shared" si="214"/>
        <v/>
      </c>
    </row>
    <row r="4605" spans="2:42">
      <c r="B4605" s="834" t="str">
        <f t="shared" si="213"/>
        <v>|||</v>
      </c>
      <c r="H4605" s="835">
        <f t="shared" si="215"/>
        <v>31</v>
      </c>
      <c r="AF4605" s="831" t="s">
        <v>5262</v>
      </c>
      <c r="AG4605" s="831" t="s">
        <v>130</v>
      </c>
      <c r="AH4605" s="831" t="s">
        <v>196</v>
      </c>
      <c r="AI4605" s="831">
        <v>0</v>
      </c>
      <c r="AJ4605" s="835">
        <v>41182</v>
      </c>
      <c r="AK4605" s="831">
        <v>6432650</v>
      </c>
      <c r="AP4605" s="831" t="str">
        <f t="shared" si="214"/>
        <v/>
      </c>
    </row>
    <row r="4606" spans="2:42">
      <c r="B4606" s="834" t="str">
        <f t="shared" si="213"/>
        <v>|||</v>
      </c>
      <c r="H4606" s="835">
        <f t="shared" si="215"/>
        <v>31</v>
      </c>
      <c r="AF4606" s="831" t="s">
        <v>5263</v>
      </c>
      <c r="AG4606" s="831" t="s">
        <v>130</v>
      </c>
      <c r="AH4606" s="831" t="s">
        <v>197</v>
      </c>
      <c r="AI4606" s="831">
        <v>0</v>
      </c>
      <c r="AJ4606" s="835">
        <v>41182</v>
      </c>
      <c r="AK4606" s="831">
        <v>0</v>
      </c>
      <c r="AP4606" s="831" t="str">
        <f t="shared" si="214"/>
        <v/>
      </c>
    </row>
    <row r="4607" spans="2:42">
      <c r="B4607" s="834" t="str">
        <f t="shared" si="213"/>
        <v>|||</v>
      </c>
      <c r="H4607" s="835">
        <f t="shared" si="215"/>
        <v>31</v>
      </c>
      <c r="AF4607" s="831" t="s">
        <v>5264</v>
      </c>
      <c r="AG4607" s="831" t="s">
        <v>130</v>
      </c>
      <c r="AH4607" s="831" t="s">
        <v>199</v>
      </c>
      <c r="AI4607" s="831">
        <v>0</v>
      </c>
      <c r="AJ4607" s="835">
        <v>41182</v>
      </c>
      <c r="AK4607" s="831">
        <v>0</v>
      </c>
      <c r="AP4607" s="831" t="str">
        <f t="shared" si="214"/>
        <v/>
      </c>
    </row>
    <row r="4608" spans="2:42">
      <c r="B4608" s="834" t="str">
        <f t="shared" si="213"/>
        <v>|||</v>
      </c>
      <c r="H4608" s="835">
        <f t="shared" si="215"/>
        <v>31</v>
      </c>
      <c r="AF4608" s="831" t="s">
        <v>5265</v>
      </c>
      <c r="AG4608" s="831" t="s">
        <v>130</v>
      </c>
      <c r="AH4608" s="831" t="s">
        <v>201</v>
      </c>
      <c r="AI4608" s="831">
        <v>0</v>
      </c>
      <c r="AJ4608" s="835">
        <v>41182</v>
      </c>
      <c r="AK4608" s="831">
        <v>9136419</v>
      </c>
      <c r="AP4608" s="831" t="str">
        <f t="shared" si="214"/>
        <v/>
      </c>
    </row>
    <row r="4609" spans="2:42">
      <c r="B4609" s="834" t="str">
        <f t="shared" si="213"/>
        <v>|||</v>
      </c>
      <c r="H4609" s="835">
        <f t="shared" si="215"/>
        <v>31</v>
      </c>
      <c r="AF4609" s="831" t="s">
        <v>5266</v>
      </c>
      <c r="AG4609" s="831" t="s">
        <v>130</v>
      </c>
      <c r="AH4609" s="831" t="s">
        <v>209</v>
      </c>
      <c r="AI4609" s="831">
        <v>0</v>
      </c>
      <c r="AJ4609" s="835">
        <v>41182</v>
      </c>
      <c r="AK4609" s="831">
        <v>44059112</v>
      </c>
      <c r="AP4609" s="831" t="str">
        <f t="shared" si="214"/>
        <v/>
      </c>
    </row>
    <row r="4610" spans="2:42">
      <c r="B4610" s="834" t="str">
        <f t="shared" si="213"/>
        <v>|||</v>
      </c>
      <c r="H4610" s="835">
        <f t="shared" si="215"/>
        <v>31</v>
      </c>
      <c r="AF4610" s="831" t="s">
        <v>5267</v>
      </c>
      <c r="AG4610" s="831" t="s">
        <v>130</v>
      </c>
      <c r="AH4610" s="831" t="s">
        <v>211</v>
      </c>
      <c r="AI4610" s="831">
        <v>0</v>
      </c>
      <c r="AJ4610" s="835">
        <v>41182</v>
      </c>
      <c r="AK4610" s="831">
        <v>117903129</v>
      </c>
      <c r="AP4610" s="831" t="str">
        <f t="shared" si="214"/>
        <v/>
      </c>
    </row>
    <row r="4611" spans="2:42">
      <c r="B4611" s="834" t="str">
        <f t="shared" ref="B4611:B4674" si="216">C4611&amp;"|"&amp;D4611&amp;"|"&amp;E4611&amp;"|"&amp;F4611</f>
        <v>|||</v>
      </c>
      <c r="H4611" s="835">
        <f t="shared" si="215"/>
        <v>31</v>
      </c>
      <c r="AF4611" s="831" t="s">
        <v>5268</v>
      </c>
      <c r="AG4611" s="831" t="s">
        <v>130</v>
      </c>
      <c r="AH4611" s="831" t="s">
        <v>212</v>
      </c>
      <c r="AI4611" s="831">
        <v>0</v>
      </c>
      <c r="AJ4611" s="835">
        <v>41182</v>
      </c>
      <c r="AK4611" s="831">
        <v>5440175</v>
      </c>
      <c r="AP4611" s="831" t="str">
        <f t="shared" ref="AP4611:AP4674" si="217">IF(AX4611&lt;&gt;"",IF(OR(AX4611=3,AX4611=4),"Equity","Debt"),"")</f>
        <v/>
      </c>
    </row>
    <row r="4612" spans="2:42">
      <c r="B4612" s="834" t="str">
        <f t="shared" si="216"/>
        <v>|||</v>
      </c>
      <c r="H4612" s="835">
        <f t="shared" ref="H4612:H4675" si="218">EOMONTH(L4612,0)</f>
        <v>31</v>
      </c>
      <c r="AF4612" s="831" t="s">
        <v>5269</v>
      </c>
      <c r="AG4612" s="831" t="s">
        <v>130</v>
      </c>
      <c r="AH4612" s="831" t="s">
        <v>216</v>
      </c>
      <c r="AI4612" s="831">
        <v>0</v>
      </c>
      <c r="AJ4612" s="835">
        <v>41182</v>
      </c>
      <c r="AK4612" s="831">
        <v>0</v>
      </c>
      <c r="AP4612" s="831" t="str">
        <f t="shared" si="217"/>
        <v/>
      </c>
    </row>
    <row r="4613" spans="2:42">
      <c r="B4613" s="834" t="str">
        <f t="shared" si="216"/>
        <v>|||</v>
      </c>
      <c r="H4613" s="835">
        <f t="shared" si="218"/>
        <v>31</v>
      </c>
      <c r="AF4613" s="831" t="s">
        <v>5270</v>
      </c>
      <c r="AG4613" s="831" t="s">
        <v>130</v>
      </c>
      <c r="AH4613" s="831" t="s">
        <v>218</v>
      </c>
      <c r="AI4613" s="831">
        <v>0</v>
      </c>
      <c r="AJ4613" s="835">
        <v>41182</v>
      </c>
      <c r="AK4613" s="831">
        <v>50896940</v>
      </c>
      <c r="AP4613" s="831" t="str">
        <f t="shared" si="217"/>
        <v/>
      </c>
    </row>
    <row r="4614" spans="2:42">
      <c r="B4614" s="834" t="str">
        <f t="shared" si="216"/>
        <v>|||</v>
      </c>
      <c r="H4614" s="835">
        <f t="shared" si="218"/>
        <v>31</v>
      </c>
      <c r="AF4614" s="831" t="s">
        <v>5271</v>
      </c>
      <c r="AG4614" s="831" t="s">
        <v>130</v>
      </c>
      <c r="AH4614" s="831" t="s">
        <v>220</v>
      </c>
      <c r="AI4614" s="831">
        <v>0</v>
      </c>
      <c r="AJ4614" s="835">
        <v>41182</v>
      </c>
      <c r="AK4614" s="831">
        <v>0</v>
      </c>
      <c r="AP4614" s="831" t="str">
        <f t="shared" si="217"/>
        <v/>
      </c>
    </row>
    <row r="4615" spans="2:42">
      <c r="B4615" s="834" t="str">
        <f t="shared" si="216"/>
        <v>|||</v>
      </c>
      <c r="H4615" s="835">
        <f t="shared" si="218"/>
        <v>31</v>
      </c>
      <c r="AF4615" s="831" t="s">
        <v>5272</v>
      </c>
      <c r="AG4615" s="831" t="s">
        <v>130</v>
      </c>
      <c r="AH4615" s="831" t="s">
        <v>221</v>
      </c>
      <c r="AI4615" s="831">
        <v>0</v>
      </c>
      <c r="AJ4615" s="835">
        <v>41182</v>
      </c>
      <c r="AK4615" s="831">
        <v>1590741</v>
      </c>
      <c r="AP4615" s="831" t="str">
        <f t="shared" si="217"/>
        <v/>
      </c>
    </row>
    <row r="4616" spans="2:42">
      <c r="B4616" s="834" t="str">
        <f t="shared" si="216"/>
        <v>|||</v>
      </c>
      <c r="H4616" s="835">
        <f t="shared" si="218"/>
        <v>31</v>
      </c>
      <c r="AF4616" s="831" t="s">
        <v>5273</v>
      </c>
      <c r="AG4616" s="831" t="s">
        <v>130</v>
      </c>
      <c r="AH4616" s="831" t="s">
        <v>228</v>
      </c>
      <c r="AI4616" s="831">
        <v>0</v>
      </c>
      <c r="AJ4616" s="835">
        <v>41182</v>
      </c>
      <c r="AK4616" s="831">
        <v>0</v>
      </c>
      <c r="AP4616" s="831" t="str">
        <f t="shared" si="217"/>
        <v/>
      </c>
    </row>
    <row r="4617" spans="2:42">
      <c r="B4617" s="834" t="str">
        <f t="shared" si="216"/>
        <v>|||</v>
      </c>
      <c r="H4617" s="835">
        <f t="shared" si="218"/>
        <v>31</v>
      </c>
      <c r="AF4617" s="831" t="s">
        <v>5274</v>
      </c>
      <c r="AG4617" s="831" t="s">
        <v>130</v>
      </c>
      <c r="AH4617" s="831" t="s">
        <v>230</v>
      </c>
      <c r="AI4617" s="831">
        <v>0</v>
      </c>
      <c r="AJ4617" s="835">
        <v>41182</v>
      </c>
      <c r="AK4617" s="831">
        <v>0</v>
      </c>
      <c r="AP4617" s="831" t="str">
        <f t="shared" si="217"/>
        <v/>
      </c>
    </row>
    <row r="4618" spans="2:42">
      <c r="B4618" s="834" t="str">
        <f t="shared" si="216"/>
        <v>|||</v>
      </c>
      <c r="H4618" s="835">
        <f t="shared" si="218"/>
        <v>31</v>
      </c>
      <c r="AF4618" s="831" t="s">
        <v>5275</v>
      </c>
      <c r="AG4618" s="831" t="s">
        <v>130</v>
      </c>
      <c r="AH4618" s="831" t="s">
        <v>231</v>
      </c>
      <c r="AI4618" s="831">
        <v>0</v>
      </c>
      <c r="AJ4618" s="835">
        <v>41182</v>
      </c>
      <c r="AK4618" s="831">
        <v>0</v>
      </c>
      <c r="AP4618" s="831" t="str">
        <f t="shared" si="217"/>
        <v/>
      </c>
    </row>
    <row r="4619" spans="2:42">
      <c r="B4619" s="834" t="str">
        <f t="shared" si="216"/>
        <v>|||</v>
      </c>
      <c r="H4619" s="835">
        <f t="shared" si="218"/>
        <v>31</v>
      </c>
      <c r="AF4619" s="831" t="s">
        <v>5276</v>
      </c>
      <c r="AG4619" s="831" t="s">
        <v>130</v>
      </c>
      <c r="AH4619" s="831" t="s">
        <v>232</v>
      </c>
      <c r="AI4619" s="831">
        <v>0</v>
      </c>
      <c r="AJ4619" s="835">
        <v>41182</v>
      </c>
      <c r="AK4619" s="831">
        <v>126389122</v>
      </c>
      <c r="AP4619" s="831" t="str">
        <f t="shared" si="217"/>
        <v/>
      </c>
    </row>
    <row r="4620" spans="2:42">
      <c r="B4620" s="834" t="str">
        <f t="shared" si="216"/>
        <v>|||</v>
      </c>
      <c r="H4620" s="835">
        <f t="shared" si="218"/>
        <v>31</v>
      </c>
      <c r="AF4620" s="831" t="s">
        <v>5277</v>
      </c>
      <c r="AG4620" s="831" t="s">
        <v>130</v>
      </c>
      <c r="AH4620" s="831" t="s">
        <v>116</v>
      </c>
      <c r="AI4620" s="831">
        <v>0</v>
      </c>
      <c r="AJ4620" s="835">
        <v>41182</v>
      </c>
      <c r="AK4620" s="831">
        <v>8017300</v>
      </c>
      <c r="AP4620" s="831" t="str">
        <f t="shared" si="217"/>
        <v/>
      </c>
    </row>
    <row r="4621" spans="2:42">
      <c r="B4621" s="834" t="str">
        <f t="shared" si="216"/>
        <v>|||</v>
      </c>
      <c r="H4621" s="835">
        <f t="shared" si="218"/>
        <v>31</v>
      </c>
      <c r="AF4621" s="831" t="s">
        <v>5278</v>
      </c>
      <c r="AG4621" s="831" t="s">
        <v>130</v>
      </c>
      <c r="AH4621" s="831" t="s">
        <v>234</v>
      </c>
      <c r="AI4621" s="831">
        <v>0</v>
      </c>
      <c r="AJ4621" s="835">
        <v>41182</v>
      </c>
      <c r="AK4621" s="831">
        <v>0</v>
      </c>
      <c r="AP4621" s="831" t="str">
        <f t="shared" si="217"/>
        <v/>
      </c>
    </row>
    <row r="4622" spans="2:42">
      <c r="B4622" s="834" t="str">
        <f t="shared" si="216"/>
        <v>|||</v>
      </c>
      <c r="H4622" s="835">
        <f t="shared" si="218"/>
        <v>31</v>
      </c>
      <c r="AF4622" s="831" t="s">
        <v>5279</v>
      </c>
      <c r="AG4622" s="831" t="s">
        <v>130</v>
      </c>
      <c r="AH4622" s="831" t="s">
        <v>235</v>
      </c>
      <c r="AI4622" s="831">
        <v>0</v>
      </c>
      <c r="AJ4622" s="835">
        <v>41182</v>
      </c>
      <c r="AK4622" s="831">
        <v>4881048</v>
      </c>
      <c r="AP4622" s="831" t="str">
        <f t="shared" si="217"/>
        <v/>
      </c>
    </row>
    <row r="4623" spans="2:42">
      <c r="B4623" s="834" t="str">
        <f t="shared" si="216"/>
        <v>|||</v>
      </c>
      <c r="H4623" s="835">
        <f t="shared" si="218"/>
        <v>31</v>
      </c>
      <c r="AF4623" s="831" t="s">
        <v>5280</v>
      </c>
      <c r="AG4623" s="831" t="s">
        <v>130</v>
      </c>
      <c r="AH4623" s="831" t="s">
        <v>238</v>
      </c>
      <c r="AI4623" s="831">
        <v>0</v>
      </c>
      <c r="AJ4623" s="835">
        <v>41182</v>
      </c>
      <c r="AK4623" s="831">
        <v>0</v>
      </c>
      <c r="AP4623" s="831" t="str">
        <f t="shared" si="217"/>
        <v/>
      </c>
    </row>
    <row r="4624" spans="2:42">
      <c r="B4624" s="834" t="str">
        <f t="shared" si="216"/>
        <v>|||</v>
      </c>
      <c r="H4624" s="835">
        <f t="shared" si="218"/>
        <v>31</v>
      </c>
      <c r="AF4624" s="831" t="s">
        <v>5281</v>
      </c>
      <c r="AG4624" s="831" t="s">
        <v>130</v>
      </c>
      <c r="AH4624" s="831" t="s">
        <v>240</v>
      </c>
      <c r="AI4624" s="831">
        <v>0</v>
      </c>
      <c r="AJ4624" s="835">
        <v>41182</v>
      </c>
      <c r="AK4624" s="831">
        <v>85000000</v>
      </c>
      <c r="AP4624" s="831" t="str">
        <f t="shared" si="217"/>
        <v/>
      </c>
    </row>
    <row r="4625" spans="2:42">
      <c r="B4625" s="834" t="str">
        <f t="shared" si="216"/>
        <v>|||</v>
      </c>
      <c r="H4625" s="835">
        <f t="shared" si="218"/>
        <v>31</v>
      </c>
      <c r="AF4625" s="831" t="s">
        <v>5282</v>
      </c>
      <c r="AG4625" s="831" t="s">
        <v>130</v>
      </c>
      <c r="AH4625" s="831" t="s">
        <v>241</v>
      </c>
      <c r="AI4625" s="831">
        <v>0</v>
      </c>
      <c r="AJ4625" s="835">
        <v>41182</v>
      </c>
      <c r="AK4625" s="831">
        <v>0</v>
      </c>
      <c r="AP4625" s="831" t="str">
        <f t="shared" si="217"/>
        <v/>
      </c>
    </row>
    <row r="4626" spans="2:42">
      <c r="B4626" s="834" t="str">
        <f t="shared" si="216"/>
        <v>|||</v>
      </c>
      <c r="H4626" s="835">
        <f t="shared" si="218"/>
        <v>31</v>
      </c>
      <c r="AF4626" s="831" t="s">
        <v>5283</v>
      </c>
      <c r="AG4626" s="831" t="s">
        <v>130</v>
      </c>
      <c r="AH4626" s="831" t="s">
        <v>242</v>
      </c>
      <c r="AI4626" s="831">
        <v>0</v>
      </c>
      <c r="AJ4626" s="835">
        <v>41182</v>
      </c>
      <c r="AK4626" s="831">
        <v>0</v>
      </c>
      <c r="AP4626" s="831" t="str">
        <f t="shared" si="217"/>
        <v/>
      </c>
    </row>
    <row r="4627" spans="2:42">
      <c r="B4627" s="834" t="str">
        <f t="shared" si="216"/>
        <v>|||</v>
      </c>
      <c r="H4627" s="835">
        <f t="shared" si="218"/>
        <v>31</v>
      </c>
      <c r="AF4627" s="831" t="s">
        <v>5284</v>
      </c>
      <c r="AG4627" s="831" t="s">
        <v>130</v>
      </c>
      <c r="AH4627" s="831" t="s">
        <v>244</v>
      </c>
      <c r="AI4627" s="831">
        <v>0</v>
      </c>
      <c r="AJ4627" s="835">
        <v>41182</v>
      </c>
      <c r="AK4627" s="831">
        <v>322924</v>
      </c>
      <c r="AP4627" s="831" t="str">
        <f t="shared" si="217"/>
        <v/>
      </c>
    </row>
    <row r="4628" spans="2:42">
      <c r="B4628" s="834" t="str">
        <f t="shared" si="216"/>
        <v>|||</v>
      </c>
      <c r="H4628" s="835">
        <f t="shared" si="218"/>
        <v>31</v>
      </c>
      <c r="AF4628" s="831" t="s">
        <v>5285</v>
      </c>
      <c r="AG4628" s="831" t="s">
        <v>130</v>
      </c>
      <c r="AH4628" s="831" t="s">
        <v>245</v>
      </c>
      <c r="AI4628" s="831">
        <v>0</v>
      </c>
      <c r="AJ4628" s="835">
        <v>41182</v>
      </c>
      <c r="AK4628" s="831">
        <v>12086479</v>
      </c>
      <c r="AP4628" s="831" t="str">
        <f t="shared" si="217"/>
        <v/>
      </c>
    </row>
    <row r="4629" spans="2:42">
      <c r="B4629" s="834" t="str">
        <f t="shared" si="216"/>
        <v>|||</v>
      </c>
      <c r="H4629" s="835">
        <f t="shared" si="218"/>
        <v>31</v>
      </c>
      <c r="AF4629" s="831" t="s">
        <v>5286</v>
      </c>
      <c r="AG4629" s="831" t="s">
        <v>130</v>
      </c>
      <c r="AH4629" s="831" t="s">
        <v>145</v>
      </c>
      <c r="AI4629" s="831">
        <v>0</v>
      </c>
      <c r="AJ4629" s="835">
        <v>41213</v>
      </c>
      <c r="AK4629" s="831">
        <v>32826938</v>
      </c>
      <c r="AP4629" s="831" t="str">
        <f t="shared" si="217"/>
        <v/>
      </c>
    </row>
    <row r="4630" spans="2:42">
      <c r="B4630" s="834" t="str">
        <f t="shared" si="216"/>
        <v>|||</v>
      </c>
      <c r="H4630" s="835">
        <f t="shared" si="218"/>
        <v>31</v>
      </c>
      <c r="AF4630" s="831" t="s">
        <v>5287</v>
      </c>
      <c r="AG4630" s="831" t="s">
        <v>130</v>
      </c>
      <c r="AH4630" s="831" t="s">
        <v>149</v>
      </c>
      <c r="AI4630" s="831">
        <v>0</v>
      </c>
      <c r="AJ4630" s="835">
        <v>41213</v>
      </c>
      <c r="AK4630" s="831">
        <v>0</v>
      </c>
      <c r="AP4630" s="831" t="str">
        <f t="shared" si="217"/>
        <v/>
      </c>
    </row>
    <row r="4631" spans="2:42">
      <c r="B4631" s="834" t="str">
        <f t="shared" si="216"/>
        <v>|||</v>
      </c>
      <c r="H4631" s="835">
        <f t="shared" si="218"/>
        <v>31</v>
      </c>
      <c r="AF4631" s="831" t="s">
        <v>5288</v>
      </c>
      <c r="AG4631" s="831" t="s">
        <v>130</v>
      </c>
      <c r="AH4631" s="831" t="s">
        <v>153</v>
      </c>
      <c r="AI4631" s="831">
        <v>0</v>
      </c>
      <c r="AJ4631" s="835">
        <v>41213</v>
      </c>
      <c r="AK4631" s="831">
        <v>4798565</v>
      </c>
      <c r="AP4631" s="831" t="str">
        <f t="shared" si="217"/>
        <v/>
      </c>
    </row>
    <row r="4632" spans="2:42">
      <c r="B4632" s="834" t="str">
        <f t="shared" si="216"/>
        <v>|||</v>
      </c>
      <c r="H4632" s="835">
        <f t="shared" si="218"/>
        <v>31</v>
      </c>
      <c r="AF4632" s="831" t="s">
        <v>5289</v>
      </c>
      <c r="AG4632" s="831" t="s">
        <v>130</v>
      </c>
      <c r="AH4632" s="831" t="s">
        <v>156</v>
      </c>
      <c r="AI4632" s="831">
        <v>0</v>
      </c>
      <c r="AJ4632" s="835">
        <v>41213</v>
      </c>
      <c r="AK4632" s="831">
        <v>0</v>
      </c>
      <c r="AP4632" s="831" t="str">
        <f t="shared" si="217"/>
        <v/>
      </c>
    </row>
    <row r="4633" spans="2:42">
      <c r="B4633" s="834" t="str">
        <f t="shared" si="216"/>
        <v>|||</v>
      </c>
      <c r="H4633" s="835">
        <f t="shared" si="218"/>
        <v>31</v>
      </c>
      <c r="AF4633" s="831" t="s">
        <v>5290</v>
      </c>
      <c r="AG4633" s="831" t="s">
        <v>130</v>
      </c>
      <c r="AH4633" s="831" t="s">
        <v>162</v>
      </c>
      <c r="AI4633" s="831">
        <v>0</v>
      </c>
      <c r="AJ4633" s="835">
        <v>41213</v>
      </c>
      <c r="AK4633" s="831">
        <v>376404251</v>
      </c>
      <c r="AP4633" s="831" t="str">
        <f t="shared" si="217"/>
        <v/>
      </c>
    </row>
    <row r="4634" spans="2:42">
      <c r="B4634" s="834" t="str">
        <f t="shared" si="216"/>
        <v>|||</v>
      </c>
      <c r="H4634" s="835">
        <f t="shared" si="218"/>
        <v>31</v>
      </c>
      <c r="AF4634" s="831" t="s">
        <v>5291</v>
      </c>
      <c r="AG4634" s="831" t="s">
        <v>130</v>
      </c>
      <c r="AH4634" s="831" t="s">
        <v>165</v>
      </c>
      <c r="AI4634" s="831">
        <v>0</v>
      </c>
      <c r="AJ4634" s="835">
        <v>41213</v>
      </c>
      <c r="AK4634" s="831">
        <v>-9860253</v>
      </c>
      <c r="AP4634" s="831" t="str">
        <f t="shared" si="217"/>
        <v/>
      </c>
    </row>
    <row r="4635" spans="2:42">
      <c r="B4635" s="834" t="str">
        <f t="shared" si="216"/>
        <v>|||</v>
      </c>
      <c r="H4635" s="835">
        <f t="shared" si="218"/>
        <v>31</v>
      </c>
      <c r="AF4635" s="831" t="s">
        <v>5292</v>
      </c>
      <c r="AG4635" s="831" t="s">
        <v>130</v>
      </c>
      <c r="AH4635" s="831" t="s">
        <v>171</v>
      </c>
      <c r="AI4635" s="831">
        <v>0</v>
      </c>
      <c r="AJ4635" s="835">
        <v>41213</v>
      </c>
      <c r="AK4635" s="831">
        <v>2345573</v>
      </c>
      <c r="AP4635" s="831" t="str">
        <f t="shared" si="217"/>
        <v/>
      </c>
    </row>
    <row r="4636" spans="2:42">
      <c r="B4636" s="834" t="str">
        <f t="shared" si="216"/>
        <v>|||</v>
      </c>
      <c r="H4636" s="835">
        <f t="shared" si="218"/>
        <v>31</v>
      </c>
      <c r="AF4636" s="831" t="s">
        <v>5293</v>
      </c>
      <c r="AG4636" s="831" t="s">
        <v>130</v>
      </c>
      <c r="AH4636" s="831" t="s">
        <v>174</v>
      </c>
      <c r="AI4636" s="831">
        <v>0</v>
      </c>
      <c r="AJ4636" s="835">
        <v>41213</v>
      </c>
      <c r="AK4636" s="831">
        <v>0</v>
      </c>
      <c r="AP4636" s="831" t="str">
        <f t="shared" si="217"/>
        <v/>
      </c>
    </row>
    <row r="4637" spans="2:42">
      <c r="B4637" s="834" t="str">
        <f t="shared" si="216"/>
        <v>|||</v>
      </c>
      <c r="H4637" s="835">
        <f t="shared" si="218"/>
        <v>31</v>
      </c>
      <c r="AF4637" s="831" t="s">
        <v>5294</v>
      </c>
      <c r="AG4637" s="831" t="s">
        <v>130</v>
      </c>
      <c r="AH4637" s="831" t="s">
        <v>181</v>
      </c>
      <c r="AI4637" s="831">
        <v>0</v>
      </c>
      <c r="AJ4637" s="835">
        <v>41213</v>
      </c>
      <c r="AK4637" s="831">
        <v>41374165</v>
      </c>
      <c r="AP4637" s="831" t="str">
        <f t="shared" si="217"/>
        <v/>
      </c>
    </row>
    <row r="4638" spans="2:42">
      <c r="B4638" s="834" t="str">
        <f t="shared" si="216"/>
        <v>|||</v>
      </c>
      <c r="H4638" s="835">
        <f t="shared" si="218"/>
        <v>31</v>
      </c>
      <c r="AF4638" s="831" t="s">
        <v>5295</v>
      </c>
      <c r="AG4638" s="831" t="s">
        <v>130</v>
      </c>
      <c r="AH4638" s="831" t="s">
        <v>184</v>
      </c>
      <c r="AI4638" s="831">
        <v>0</v>
      </c>
      <c r="AJ4638" s="835">
        <v>41213</v>
      </c>
      <c r="AK4638" s="831">
        <v>-10933170</v>
      </c>
      <c r="AP4638" s="831" t="str">
        <f t="shared" si="217"/>
        <v/>
      </c>
    </row>
    <row r="4639" spans="2:42">
      <c r="B4639" s="834" t="str">
        <f t="shared" si="216"/>
        <v>|||</v>
      </c>
      <c r="H4639" s="835">
        <f t="shared" si="218"/>
        <v>31</v>
      </c>
      <c r="AF4639" s="831" t="s">
        <v>5296</v>
      </c>
      <c r="AG4639" s="831" t="s">
        <v>130</v>
      </c>
      <c r="AH4639" s="831" t="s">
        <v>187</v>
      </c>
      <c r="AI4639" s="831">
        <v>0</v>
      </c>
      <c r="AJ4639" s="835">
        <v>41213</v>
      </c>
      <c r="AK4639" s="831">
        <v>0</v>
      </c>
      <c r="AP4639" s="831" t="str">
        <f t="shared" si="217"/>
        <v/>
      </c>
    </row>
    <row r="4640" spans="2:42">
      <c r="B4640" s="834" t="str">
        <f t="shared" si="216"/>
        <v>|||</v>
      </c>
      <c r="H4640" s="835">
        <f t="shared" si="218"/>
        <v>31</v>
      </c>
      <c r="AF4640" s="831" t="s">
        <v>5297</v>
      </c>
      <c r="AG4640" s="831" t="s">
        <v>130</v>
      </c>
      <c r="AH4640" s="831" t="s">
        <v>196</v>
      </c>
      <c r="AI4640" s="831">
        <v>0</v>
      </c>
      <c r="AJ4640" s="835">
        <v>41213</v>
      </c>
      <c r="AK4640" s="831">
        <v>6376690</v>
      </c>
      <c r="AP4640" s="831" t="str">
        <f t="shared" si="217"/>
        <v/>
      </c>
    </row>
    <row r="4641" spans="2:42">
      <c r="B4641" s="834" t="str">
        <f t="shared" si="216"/>
        <v>|||</v>
      </c>
      <c r="H4641" s="835">
        <f t="shared" si="218"/>
        <v>31</v>
      </c>
      <c r="AF4641" s="831" t="s">
        <v>5298</v>
      </c>
      <c r="AG4641" s="831" t="s">
        <v>130</v>
      </c>
      <c r="AH4641" s="831" t="s">
        <v>197</v>
      </c>
      <c r="AI4641" s="831">
        <v>0</v>
      </c>
      <c r="AJ4641" s="835">
        <v>41213</v>
      </c>
      <c r="AK4641" s="831">
        <v>0</v>
      </c>
      <c r="AP4641" s="831" t="str">
        <f t="shared" si="217"/>
        <v/>
      </c>
    </row>
    <row r="4642" spans="2:42">
      <c r="B4642" s="834" t="str">
        <f t="shared" si="216"/>
        <v>|||</v>
      </c>
      <c r="H4642" s="835">
        <f t="shared" si="218"/>
        <v>31</v>
      </c>
      <c r="AF4642" s="831" t="s">
        <v>5299</v>
      </c>
      <c r="AG4642" s="831" t="s">
        <v>130</v>
      </c>
      <c r="AH4642" s="831" t="s">
        <v>199</v>
      </c>
      <c r="AI4642" s="831">
        <v>0</v>
      </c>
      <c r="AJ4642" s="835">
        <v>41213</v>
      </c>
      <c r="AK4642" s="831">
        <v>0</v>
      </c>
      <c r="AP4642" s="831" t="str">
        <f t="shared" si="217"/>
        <v/>
      </c>
    </row>
    <row r="4643" spans="2:42">
      <c r="B4643" s="834" t="str">
        <f t="shared" si="216"/>
        <v>|||</v>
      </c>
      <c r="H4643" s="835">
        <f t="shared" si="218"/>
        <v>31</v>
      </c>
      <c r="AF4643" s="831" t="s">
        <v>5300</v>
      </c>
      <c r="AG4643" s="831" t="s">
        <v>130</v>
      </c>
      <c r="AH4643" s="831" t="s">
        <v>201</v>
      </c>
      <c r="AI4643" s="831">
        <v>0</v>
      </c>
      <c r="AJ4643" s="835">
        <v>41213</v>
      </c>
      <c r="AK4643" s="831">
        <v>10004106</v>
      </c>
      <c r="AP4643" s="831" t="str">
        <f t="shared" si="217"/>
        <v/>
      </c>
    </row>
    <row r="4644" spans="2:42">
      <c r="B4644" s="834" t="str">
        <f t="shared" si="216"/>
        <v>|||</v>
      </c>
      <c r="H4644" s="835">
        <f t="shared" si="218"/>
        <v>31</v>
      </c>
      <c r="AF4644" s="831" t="s">
        <v>5301</v>
      </c>
      <c r="AG4644" s="831" t="s">
        <v>130</v>
      </c>
      <c r="AH4644" s="831" t="s">
        <v>209</v>
      </c>
      <c r="AI4644" s="831">
        <v>0</v>
      </c>
      <c r="AJ4644" s="835">
        <v>41213</v>
      </c>
      <c r="AK4644" s="831">
        <v>44018295</v>
      </c>
      <c r="AP4644" s="831" t="str">
        <f t="shared" si="217"/>
        <v/>
      </c>
    </row>
    <row r="4645" spans="2:42">
      <c r="B4645" s="834" t="str">
        <f t="shared" si="216"/>
        <v>|||</v>
      </c>
      <c r="H4645" s="835">
        <f t="shared" si="218"/>
        <v>31</v>
      </c>
      <c r="AF4645" s="831" t="s">
        <v>5302</v>
      </c>
      <c r="AG4645" s="831" t="s">
        <v>130</v>
      </c>
      <c r="AH4645" s="831" t="s">
        <v>211</v>
      </c>
      <c r="AI4645" s="831">
        <v>0</v>
      </c>
      <c r="AJ4645" s="835">
        <v>41213</v>
      </c>
      <c r="AK4645" s="831">
        <v>113439066</v>
      </c>
      <c r="AP4645" s="831" t="str">
        <f t="shared" si="217"/>
        <v/>
      </c>
    </row>
    <row r="4646" spans="2:42">
      <c r="B4646" s="834" t="str">
        <f t="shared" si="216"/>
        <v>|||</v>
      </c>
      <c r="H4646" s="835">
        <f t="shared" si="218"/>
        <v>31</v>
      </c>
      <c r="AF4646" s="831" t="s">
        <v>5303</v>
      </c>
      <c r="AG4646" s="831" t="s">
        <v>130</v>
      </c>
      <c r="AH4646" s="831" t="s">
        <v>212</v>
      </c>
      <c r="AI4646" s="831">
        <v>0</v>
      </c>
      <c r="AJ4646" s="835">
        <v>41213</v>
      </c>
      <c r="AK4646" s="831">
        <v>5329458</v>
      </c>
      <c r="AP4646" s="831" t="str">
        <f t="shared" si="217"/>
        <v/>
      </c>
    </row>
    <row r="4647" spans="2:42">
      <c r="B4647" s="834" t="str">
        <f t="shared" si="216"/>
        <v>|||</v>
      </c>
      <c r="H4647" s="835">
        <f t="shared" si="218"/>
        <v>31</v>
      </c>
      <c r="AF4647" s="831" t="s">
        <v>5304</v>
      </c>
      <c r="AG4647" s="831" t="s">
        <v>130</v>
      </c>
      <c r="AH4647" s="831" t="s">
        <v>216</v>
      </c>
      <c r="AI4647" s="831">
        <v>0</v>
      </c>
      <c r="AJ4647" s="835">
        <v>41213</v>
      </c>
      <c r="AK4647" s="831">
        <v>0</v>
      </c>
      <c r="AP4647" s="831" t="str">
        <f t="shared" si="217"/>
        <v/>
      </c>
    </row>
    <row r="4648" spans="2:42">
      <c r="B4648" s="834" t="str">
        <f t="shared" si="216"/>
        <v>|||</v>
      </c>
      <c r="H4648" s="835">
        <f t="shared" si="218"/>
        <v>31</v>
      </c>
      <c r="AF4648" s="831" t="s">
        <v>5305</v>
      </c>
      <c r="AG4648" s="831" t="s">
        <v>130</v>
      </c>
      <c r="AH4648" s="831" t="s">
        <v>218</v>
      </c>
      <c r="AI4648" s="831">
        <v>0</v>
      </c>
      <c r="AJ4648" s="835">
        <v>41213</v>
      </c>
      <c r="AK4648" s="831">
        <v>46573840</v>
      </c>
      <c r="AP4648" s="831" t="str">
        <f t="shared" si="217"/>
        <v/>
      </c>
    </row>
    <row r="4649" spans="2:42">
      <c r="B4649" s="834" t="str">
        <f t="shared" si="216"/>
        <v>|||</v>
      </c>
      <c r="H4649" s="835">
        <f t="shared" si="218"/>
        <v>31</v>
      </c>
      <c r="AF4649" s="831" t="s">
        <v>5306</v>
      </c>
      <c r="AG4649" s="831" t="s">
        <v>130</v>
      </c>
      <c r="AH4649" s="831" t="s">
        <v>220</v>
      </c>
      <c r="AI4649" s="831">
        <v>0</v>
      </c>
      <c r="AJ4649" s="835">
        <v>41213</v>
      </c>
      <c r="AK4649" s="831">
        <v>0</v>
      </c>
      <c r="AP4649" s="831" t="str">
        <f t="shared" si="217"/>
        <v/>
      </c>
    </row>
    <row r="4650" spans="2:42">
      <c r="B4650" s="834" t="str">
        <f t="shared" si="216"/>
        <v>|||</v>
      </c>
      <c r="H4650" s="835">
        <f t="shared" si="218"/>
        <v>31</v>
      </c>
      <c r="AF4650" s="831" t="s">
        <v>5307</v>
      </c>
      <c r="AG4650" s="831" t="s">
        <v>130</v>
      </c>
      <c r="AH4650" s="831" t="s">
        <v>221</v>
      </c>
      <c r="AI4650" s="831">
        <v>0</v>
      </c>
      <c r="AJ4650" s="835">
        <v>41213</v>
      </c>
      <c r="AK4650" s="831">
        <v>2162043</v>
      </c>
      <c r="AP4650" s="831" t="str">
        <f t="shared" si="217"/>
        <v/>
      </c>
    </row>
    <row r="4651" spans="2:42">
      <c r="B4651" s="834" t="str">
        <f t="shared" si="216"/>
        <v>|||</v>
      </c>
      <c r="H4651" s="835">
        <f t="shared" si="218"/>
        <v>31</v>
      </c>
      <c r="AF4651" s="831" t="s">
        <v>5308</v>
      </c>
      <c r="AG4651" s="831" t="s">
        <v>130</v>
      </c>
      <c r="AH4651" s="831" t="s">
        <v>228</v>
      </c>
      <c r="AI4651" s="831">
        <v>0</v>
      </c>
      <c r="AJ4651" s="835">
        <v>41213</v>
      </c>
      <c r="AK4651" s="831">
        <v>0</v>
      </c>
      <c r="AP4651" s="831" t="str">
        <f t="shared" si="217"/>
        <v/>
      </c>
    </row>
    <row r="4652" spans="2:42">
      <c r="B4652" s="834" t="str">
        <f t="shared" si="216"/>
        <v>|||</v>
      </c>
      <c r="H4652" s="835">
        <f t="shared" si="218"/>
        <v>31</v>
      </c>
      <c r="AF4652" s="831" t="s">
        <v>5309</v>
      </c>
      <c r="AG4652" s="831" t="s">
        <v>130</v>
      </c>
      <c r="AH4652" s="831" t="s">
        <v>230</v>
      </c>
      <c r="AI4652" s="831">
        <v>0</v>
      </c>
      <c r="AJ4652" s="835">
        <v>41213</v>
      </c>
      <c r="AK4652" s="831">
        <v>0</v>
      </c>
      <c r="AP4652" s="831" t="str">
        <f t="shared" si="217"/>
        <v/>
      </c>
    </row>
    <row r="4653" spans="2:42">
      <c r="B4653" s="834" t="str">
        <f t="shared" si="216"/>
        <v>|||</v>
      </c>
      <c r="H4653" s="835">
        <f t="shared" si="218"/>
        <v>31</v>
      </c>
      <c r="AF4653" s="831" t="s">
        <v>5310</v>
      </c>
      <c r="AG4653" s="831" t="s">
        <v>130</v>
      </c>
      <c r="AH4653" s="831" t="s">
        <v>231</v>
      </c>
      <c r="AI4653" s="831">
        <v>0</v>
      </c>
      <c r="AJ4653" s="835">
        <v>41213</v>
      </c>
      <c r="AK4653" s="831">
        <v>0</v>
      </c>
      <c r="AP4653" s="831" t="str">
        <f t="shared" si="217"/>
        <v/>
      </c>
    </row>
    <row r="4654" spans="2:42">
      <c r="B4654" s="834" t="str">
        <f t="shared" si="216"/>
        <v>|||</v>
      </c>
      <c r="H4654" s="835">
        <f t="shared" si="218"/>
        <v>31</v>
      </c>
      <c r="AF4654" s="831" t="s">
        <v>5311</v>
      </c>
      <c r="AG4654" s="831" t="s">
        <v>130</v>
      </c>
      <c r="AH4654" s="831" t="s">
        <v>232</v>
      </c>
      <c r="AI4654" s="831">
        <v>0</v>
      </c>
      <c r="AJ4654" s="835">
        <v>41213</v>
      </c>
      <c r="AK4654" s="831">
        <v>130088009</v>
      </c>
      <c r="AP4654" s="831" t="str">
        <f t="shared" si="217"/>
        <v/>
      </c>
    </row>
    <row r="4655" spans="2:42">
      <c r="B4655" s="834" t="str">
        <f t="shared" si="216"/>
        <v>|||</v>
      </c>
      <c r="H4655" s="835">
        <f t="shared" si="218"/>
        <v>31</v>
      </c>
      <c r="AF4655" s="831" t="s">
        <v>5312</v>
      </c>
      <c r="AG4655" s="831" t="s">
        <v>130</v>
      </c>
      <c r="AH4655" s="831" t="s">
        <v>116</v>
      </c>
      <c r="AI4655" s="831">
        <v>0</v>
      </c>
      <c r="AJ4655" s="835">
        <v>41213</v>
      </c>
      <c r="AK4655" s="831">
        <v>8014237</v>
      </c>
      <c r="AP4655" s="831" t="str">
        <f t="shared" si="217"/>
        <v/>
      </c>
    </row>
    <row r="4656" spans="2:42">
      <c r="B4656" s="834" t="str">
        <f t="shared" si="216"/>
        <v>|||</v>
      </c>
      <c r="H4656" s="835">
        <f t="shared" si="218"/>
        <v>31</v>
      </c>
      <c r="AF4656" s="831" t="s">
        <v>5313</v>
      </c>
      <c r="AG4656" s="831" t="s">
        <v>130</v>
      </c>
      <c r="AH4656" s="831" t="s">
        <v>234</v>
      </c>
      <c r="AI4656" s="831">
        <v>0</v>
      </c>
      <c r="AJ4656" s="835">
        <v>41213</v>
      </c>
      <c r="AK4656" s="831">
        <v>0</v>
      </c>
      <c r="AP4656" s="831" t="str">
        <f t="shared" si="217"/>
        <v/>
      </c>
    </row>
    <row r="4657" spans="2:42">
      <c r="B4657" s="834" t="str">
        <f t="shared" si="216"/>
        <v>|||</v>
      </c>
      <c r="H4657" s="835">
        <f t="shared" si="218"/>
        <v>31</v>
      </c>
      <c r="AF4657" s="831" t="s">
        <v>5314</v>
      </c>
      <c r="AG4657" s="831" t="s">
        <v>130</v>
      </c>
      <c r="AH4657" s="831" t="s">
        <v>235</v>
      </c>
      <c r="AI4657" s="831">
        <v>0</v>
      </c>
      <c r="AJ4657" s="835">
        <v>41213</v>
      </c>
      <c r="AK4657" s="831">
        <v>4280486</v>
      </c>
      <c r="AP4657" s="831" t="str">
        <f t="shared" si="217"/>
        <v/>
      </c>
    </row>
    <row r="4658" spans="2:42">
      <c r="B4658" s="834" t="str">
        <f t="shared" si="216"/>
        <v>|||</v>
      </c>
      <c r="H4658" s="835">
        <f t="shared" si="218"/>
        <v>31</v>
      </c>
      <c r="AF4658" s="831" t="s">
        <v>5315</v>
      </c>
      <c r="AG4658" s="831" t="s">
        <v>130</v>
      </c>
      <c r="AH4658" s="831" t="s">
        <v>238</v>
      </c>
      <c r="AI4658" s="831">
        <v>0</v>
      </c>
      <c r="AJ4658" s="835">
        <v>41213</v>
      </c>
      <c r="AK4658" s="831">
        <v>0</v>
      </c>
      <c r="AP4658" s="831" t="str">
        <f t="shared" si="217"/>
        <v/>
      </c>
    </row>
    <row r="4659" spans="2:42">
      <c r="B4659" s="834" t="str">
        <f t="shared" si="216"/>
        <v>|||</v>
      </c>
      <c r="H4659" s="835">
        <f t="shared" si="218"/>
        <v>31</v>
      </c>
      <c r="AF4659" s="831" t="s">
        <v>5316</v>
      </c>
      <c r="AG4659" s="831" t="s">
        <v>130</v>
      </c>
      <c r="AH4659" s="831" t="s">
        <v>240</v>
      </c>
      <c r="AI4659" s="831">
        <v>0</v>
      </c>
      <c r="AJ4659" s="835">
        <v>41213</v>
      </c>
      <c r="AK4659" s="831">
        <v>85000000</v>
      </c>
      <c r="AP4659" s="831" t="str">
        <f t="shared" si="217"/>
        <v/>
      </c>
    </row>
    <row r="4660" spans="2:42">
      <c r="B4660" s="834" t="str">
        <f t="shared" si="216"/>
        <v>|||</v>
      </c>
      <c r="H4660" s="835">
        <f t="shared" si="218"/>
        <v>31</v>
      </c>
      <c r="AF4660" s="831" t="s">
        <v>5317</v>
      </c>
      <c r="AG4660" s="831" t="s">
        <v>130</v>
      </c>
      <c r="AH4660" s="831" t="s">
        <v>241</v>
      </c>
      <c r="AI4660" s="831">
        <v>0</v>
      </c>
      <c r="AJ4660" s="835">
        <v>41213</v>
      </c>
      <c r="AK4660" s="831">
        <v>0</v>
      </c>
      <c r="AP4660" s="831" t="str">
        <f t="shared" si="217"/>
        <v/>
      </c>
    </row>
    <row r="4661" spans="2:42">
      <c r="B4661" s="834" t="str">
        <f t="shared" si="216"/>
        <v>|||</v>
      </c>
      <c r="H4661" s="835">
        <f t="shared" si="218"/>
        <v>31</v>
      </c>
      <c r="AF4661" s="831" t="s">
        <v>5318</v>
      </c>
      <c r="AG4661" s="831" t="s">
        <v>130</v>
      </c>
      <c r="AH4661" s="831" t="s">
        <v>242</v>
      </c>
      <c r="AI4661" s="831">
        <v>0</v>
      </c>
      <c r="AJ4661" s="835">
        <v>41213</v>
      </c>
      <c r="AK4661" s="831">
        <v>0</v>
      </c>
      <c r="AP4661" s="831" t="str">
        <f t="shared" si="217"/>
        <v/>
      </c>
    </row>
    <row r="4662" spans="2:42">
      <c r="B4662" s="834" t="str">
        <f t="shared" si="216"/>
        <v>|||</v>
      </c>
      <c r="H4662" s="835">
        <f t="shared" si="218"/>
        <v>31</v>
      </c>
      <c r="AF4662" s="831" t="s">
        <v>5319</v>
      </c>
      <c r="AG4662" s="831" t="s">
        <v>130</v>
      </c>
      <c r="AH4662" s="831" t="s">
        <v>244</v>
      </c>
      <c r="AI4662" s="831">
        <v>0</v>
      </c>
      <c r="AJ4662" s="835">
        <v>41213</v>
      </c>
      <c r="AK4662" s="831">
        <v>322924</v>
      </c>
      <c r="AP4662" s="831" t="str">
        <f t="shared" si="217"/>
        <v/>
      </c>
    </row>
    <row r="4663" spans="2:42">
      <c r="B4663" s="834" t="str">
        <f t="shared" si="216"/>
        <v>|||</v>
      </c>
      <c r="H4663" s="835">
        <f t="shared" si="218"/>
        <v>31</v>
      </c>
      <c r="AF4663" s="831" t="s">
        <v>5320</v>
      </c>
      <c r="AG4663" s="831" t="s">
        <v>130</v>
      </c>
      <c r="AH4663" s="831" t="s">
        <v>245</v>
      </c>
      <c r="AI4663" s="831">
        <v>0</v>
      </c>
      <c r="AJ4663" s="835">
        <v>41213</v>
      </c>
      <c r="AK4663" s="831">
        <v>14108507</v>
      </c>
      <c r="AP4663" s="831" t="str">
        <f t="shared" si="217"/>
        <v/>
      </c>
    </row>
    <row r="4664" spans="2:42">
      <c r="B4664" s="834" t="str">
        <f t="shared" si="216"/>
        <v>|||</v>
      </c>
      <c r="H4664" s="835">
        <f t="shared" si="218"/>
        <v>31</v>
      </c>
      <c r="AF4664" s="831" t="s">
        <v>5321</v>
      </c>
      <c r="AG4664" s="831" t="s">
        <v>130</v>
      </c>
      <c r="AH4664" s="831" t="s">
        <v>145</v>
      </c>
      <c r="AI4664" s="831">
        <v>0</v>
      </c>
      <c r="AJ4664" s="835">
        <v>41243</v>
      </c>
      <c r="AK4664" s="831">
        <v>29682295</v>
      </c>
      <c r="AP4664" s="831" t="str">
        <f t="shared" si="217"/>
        <v/>
      </c>
    </row>
    <row r="4665" spans="2:42">
      <c r="B4665" s="834" t="str">
        <f t="shared" si="216"/>
        <v>|||</v>
      </c>
      <c r="H4665" s="835">
        <f t="shared" si="218"/>
        <v>31</v>
      </c>
      <c r="AF4665" s="831" t="s">
        <v>5322</v>
      </c>
      <c r="AG4665" s="831" t="s">
        <v>130</v>
      </c>
      <c r="AH4665" s="831" t="s">
        <v>149</v>
      </c>
      <c r="AI4665" s="831">
        <v>0</v>
      </c>
      <c r="AJ4665" s="835">
        <v>41243</v>
      </c>
      <c r="AK4665" s="831">
        <v>0</v>
      </c>
      <c r="AP4665" s="831" t="str">
        <f t="shared" si="217"/>
        <v/>
      </c>
    </row>
    <row r="4666" spans="2:42">
      <c r="B4666" s="834" t="str">
        <f t="shared" si="216"/>
        <v>|||</v>
      </c>
      <c r="H4666" s="835">
        <f t="shared" si="218"/>
        <v>31</v>
      </c>
      <c r="AF4666" s="831" t="s">
        <v>5323</v>
      </c>
      <c r="AG4666" s="831" t="s">
        <v>130</v>
      </c>
      <c r="AH4666" s="831" t="s">
        <v>153</v>
      </c>
      <c r="AI4666" s="831">
        <v>0</v>
      </c>
      <c r="AJ4666" s="835">
        <v>41243</v>
      </c>
      <c r="AK4666" s="831">
        <v>3995354</v>
      </c>
      <c r="AP4666" s="831" t="str">
        <f t="shared" si="217"/>
        <v/>
      </c>
    </row>
    <row r="4667" spans="2:42">
      <c r="B4667" s="834" t="str">
        <f t="shared" si="216"/>
        <v>|||</v>
      </c>
      <c r="H4667" s="835">
        <f t="shared" si="218"/>
        <v>31</v>
      </c>
      <c r="AF4667" s="831" t="s">
        <v>5324</v>
      </c>
      <c r="AG4667" s="831" t="s">
        <v>130</v>
      </c>
      <c r="AH4667" s="831" t="s">
        <v>156</v>
      </c>
      <c r="AI4667" s="831">
        <v>0</v>
      </c>
      <c r="AJ4667" s="835">
        <v>41243</v>
      </c>
      <c r="AK4667" s="831">
        <v>0</v>
      </c>
      <c r="AP4667" s="831" t="str">
        <f t="shared" si="217"/>
        <v/>
      </c>
    </row>
    <row r="4668" spans="2:42">
      <c r="B4668" s="834" t="str">
        <f t="shared" si="216"/>
        <v>|||</v>
      </c>
      <c r="H4668" s="835">
        <f t="shared" si="218"/>
        <v>31</v>
      </c>
      <c r="AF4668" s="831" t="s">
        <v>5325</v>
      </c>
      <c r="AG4668" s="831" t="s">
        <v>130</v>
      </c>
      <c r="AH4668" s="831" t="s">
        <v>162</v>
      </c>
      <c r="AI4668" s="831">
        <v>0</v>
      </c>
      <c r="AJ4668" s="835">
        <v>41243</v>
      </c>
      <c r="AK4668" s="831">
        <v>394083786</v>
      </c>
      <c r="AP4668" s="831" t="str">
        <f t="shared" si="217"/>
        <v/>
      </c>
    </row>
    <row r="4669" spans="2:42">
      <c r="B4669" s="834" t="str">
        <f t="shared" si="216"/>
        <v>|||</v>
      </c>
      <c r="H4669" s="835">
        <f t="shared" si="218"/>
        <v>31</v>
      </c>
      <c r="AF4669" s="831" t="s">
        <v>5326</v>
      </c>
      <c r="AG4669" s="831" t="s">
        <v>130</v>
      </c>
      <c r="AH4669" s="831" t="s">
        <v>165</v>
      </c>
      <c r="AI4669" s="831">
        <v>0</v>
      </c>
      <c r="AJ4669" s="835">
        <v>41243</v>
      </c>
      <c r="AK4669" s="831">
        <v>-10079693</v>
      </c>
      <c r="AP4669" s="831" t="str">
        <f t="shared" si="217"/>
        <v/>
      </c>
    </row>
    <row r="4670" spans="2:42">
      <c r="B4670" s="834" t="str">
        <f t="shared" si="216"/>
        <v>|||</v>
      </c>
      <c r="H4670" s="835">
        <f t="shared" si="218"/>
        <v>31</v>
      </c>
      <c r="AF4670" s="831" t="s">
        <v>5327</v>
      </c>
      <c r="AG4670" s="831" t="s">
        <v>130</v>
      </c>
      <c r="AH4670" s="831" t="s">
        <v>171</v>
      </c>
      <c r="AI4670" s="831">
        <v>0</v>
      </c>
      <c r="AJ4670" s="835">
        <v>41243</v>
      </c>
      <c r="AK4670" s="831">
        <v>2311775</v>
      </c>
      <c r="AP4670" s="831" t="str">
        <f t="shared" si="217"/>
        <v/>
      </c>
    </row>
    <row r="4671" spans="2:42">
      <c r="B4671" s="834" t="str">
        <f t="shared" si="216"/>
        <v>|||</v>
      </c>
      <c r="H4671" s="835">
        <f t="shared" si="218"/>
        <v>31</v>
      </c>
      <c r="AF4671" s="831" t="s">
        <v>5328</v>
      </c>
      <c r="AG4671" s="831" t="s">
        <v>130</v>
      </c>
      <c r="AH4671" s="831" t="s">
        <v>174</v>
      </c>
      <c r="AI4671" s="831">
        <v>0</v>
      </c>
      <c r="AJ4671" s="835">
        <v>41243</v>
      </c>
      <c r="AK4671" s="831">
        <v>0</v>
      </c>
      <c r="AP4671" s="831" t="str">
        <f t="shared" si="217"/>
        <v/>
      </c>
    </row>
    <row r="4672" spans="2:42">
      <c r="B4672" s="834" t="str">
        <f t="shared" si="216"/>
        <v>|||</v>
      </c>
      <c r="H4672" s="835">
        <f t="shared" si="218"/>
        <v>31</v>
      </c>
      <c r="AF4672" s="831" t="s">
        <v>5329</v>
      </c>
      <c r="AG4672" s="831" t="s">
        <v>130</v>
      </c>
      <c r="AH4672" s="831" t="s">
        <v>181</v>
      </c>
      <c r="AI4672" s="831">
        <v>0</v>
      </c>
      <c r="AJ4672" s="835">
        <v>41243</v>
      </c>
      <c r="AK4672" s="831">
        <v>41962523</v>
      </c>
      <c r="AP4672" s="831" t="str">
        <f t="shared" si="217"/>
        <v/>
      </c>
    </row>
    <row r="4673" spans="2:42">
      <c r="B4673" s="834" t="str">
        <f t="shared" si="216"/>
        <v>|||</v>
      </c>
      <c r="H4673" s="835">
        <f t="shared" si="218"/>
        <v>31</v>
      </c>
      <c r="AF4673" s="831" t="s">
        <v>5330</v>
      </c>
      <c r="AG4673" s="831" t="s">
        <v>130</v>
      </c>
      <c r="AH4673" s="831" t="s">
        <v>184</v>
      </c>
      <c r="AI4673" s="831">
        <v>0</v>
      </c>
      <c r="AJ4673" s="835">
        <v>41243</v>
      </c>
      <c r="AK4673" s="831">
        <v>-11048090</v>
      </c>
      <c r="AP4673" s="831" t="str">
        <f t="shared" si="217"/>
        <v/>
      </c>
    </row>
    <row r="4674" spans="2:42">
      <c r="B4674" s="834" t="str">
        <f t="shared" si="216"/>
        <v>|||</v>
      </c>
      <c r="H4674" s="835">
        <f t="shared" si="218"/>
        <v>31</v>
      </c>
      <c r="AF4674" s="831" t="s">
        <v>5331</v>
      </c>
      <c r="AG4674" s="831" t="s">
        <v>130</v>
      </c>
      <c r="AH4674" s="831" t="s">
        <v>187</v>
      </c>
      <c r="AI4674" s="831">
        <v>0</v>
      </c>
      <c r="AJ4674" s="835">
        <v>41243</v>
      </c>
      <c r="AK4674" s="831">
        <v>0</v>
      </c>
      <c r="AP4674" s="831" t="str">
        <f t="shared" si="217"/>
        <v/>
      </c>
    </row>
    <row r="4675" spans="2:42">
      <c r="B4675" s="834" t="str">
        <f t="shared" ref="B4675:B4738" si="219">C4675&amp;"|"&amp;D4675&amp;"|"&amp;E4675&amp;"|"&amp;F4675</f>
        <v>|||</v>
      </c>
      <c r="H4675" s="835">
        <f t="shared" si="218"/>
        <v>31</v>
      </c>
      <c r="AF4675" s="831" t="s">
        <v>5332</v>
      </c>
      <c r="AG4675" s="831" t="s">
        <v>130</v>
      </c>
      <c r="AH4675" s="831" t="s">
        <v>196</v>
      </c>
      <c r="AI4675" s="831">
        <v>0</v>
      </c>
      <c r="AJ4675" s="835">
        <v>41243</v>
      </c>
      <c r="AK4675" s="831">
        <v>7051950</v>
      </c>
      <c r="AP4675" s="831" t="str">
        <f t="shared" ref="AP4675:AP4738" si="220">IF(AX4675&lt;&gt;"",IF(OR(AX4675=3,AX4675=4),"Equity","Debt"),"")</f>
        <v/>
      </c>
    </row>
    <row r="4676" spans="2:42">
      <c r="B4676" s="834" t="str">
        <f t="shared" si="219"/>
        <v>|||</v>
      </c>
      <c r="H4676" s="835">
        <f t="shared" ref="H4676:H4739" si="221">EOMONTH(L4676,0)</f>
        <v>31</v>
      </c>
      <c r="AF4676" s="831" t="s">
        <v>5333</v>
      </c>
      <c r="AG4676" s="831" t="s">
        <v>130</v>
      </c>
      <c r="AH4676" s="831" t="s">
        <v>197</v>
      </c>
      <c r="AI4676" s="831">
        <v>0</v>
      </c>
      <c r="AJ4676" s="835">
        <v>41243</v>
      </c>
      <c r="AK4676" s="831">
        <v>0</v>
      </c>
      <c r="AP4676" s="831" t="str">
        <f t="shared" si="220"/>
        <v/>
      </c>
    </row>
    <row r="4677" spans="2:42">
      <c r="B4677" s="834" t="str">
        <f t="shared" si="219"/>
        <v>|||</v>
      </c>
      <c r="H4677" s="835">
        <f t="shared" si="221"/>
        <v>31</v>
      </c>
      <c r="AF4677" s="831" t="s">
        <v>5334</v>
      </c>
      <c r="AG4677" s="831" t="s">
        <v>130</v>
      </c>
      <c r="AH4677" s="831" t="s">
        <v>199</v>
      </c>
      <c r="AI4677" s="831">
        <v>0</v>
      </c>
      <c r="AJ4677" s="835">
        <v>41243</v>
      </c>
      <c r="AK4677" s="831">
        <v>0</v>
      </c>
      <c r="AP4677" s="831" t="str">
        <f t="shared" si="220"/>
        <v/>
      </c>
    </row>
    <row r="4678" spans="2:42">
      <c r="B4678" s="834" t="str">
        <f t="shared" si="219"/>
        <v>|||</v>
      </c>
      <c r="H4678" s="835">
        <f t="shared" si="221"/>
        <v>31</v>
      </c>
      <c r="AF4678" s="831" t="s">
        <v>5335</v>
      </c>
      <c r="AG4678" s="831" t="s">
        <v>130</v>
      </c>
      <c r="AH4678" s="831" t="s">
        <v>201</v>
      </c>
      <c r="AI4678" s="831">
        <v>0</v>
      </c>
      <c r="AJ4678" s="835">
        <v>41243</v>
      </c>
      <c r="AK4678" s="831">
        <v>10821957</v>
      </c>
      <c r="AP4678" s="831" t="str">
        <f t="shared" si="220"/>
        <v/>
      </c>
    </row>
    <row r="4679" spans="2:42">
      <c r="B4679" s="834" t="str">
        <f t="shared" si="219"/>
        <v>|||</v>
      </c>
      <c r="H4679" s="835">
        <f t="shared" si="221"/>
        <v>31</v>
      </c>
      <c r="AF4679" s="831" t="s">
        <v>5336</v>
      </c>
      <c r="AG4679" s="831" t="s">
        <v>130</v>
      </c>
      <c r="AH4679" s="831" t="s">
        <v>209</v>
      </c>
      <c r="AI4679" s="831">
        <v>0</v>
      </c>
      <c r="AJ4679" s="835">
        <v>41243</v>
      </c>
      <c r="AK4679" s="831">
        <v>39053106</v>
      </c>
      <c r="AP4679" s="831" t="str">
        <f t="shared" si="220"/>
        <v/>
      </c>
    </row>
    <row r="4680" spans="2:42">
      <c r="B4680" s="834" t="str">
        <f t="shared" si="219"/>
        <v>|||</v>
      </c>
      <c r="H4680" s="835">
        <f t="shared" si="221"/>
        <v>31</v>
      </c>
      <c r="AF4680" s="831" t="s">
        <v>5337</v>
      </c>
      <c r="AG4680" s="831" t="s">
        <v>130</v>
      </c>
      <c r="AH4680" s="831" t="s">
        <v>211</v>
      </c>
      <c r="AI4680" s="831">
        <v>0</v>
      </c>
      <c r="AJ4680" s="835">
        <v>41243</v>
      </c>
      <c r="AK4680" s="831">
        <v>113923017</v>
      </c>
      <c r="AP4680" s="831" t="str">
        <f t="shared" si="220"/>
        <v/>
      </c>
    </row>
    <row r="4681" spans="2:42">
      <c r="B4681" s="834" t="str">
        <f t="shared" si="219"/>
        <v>|||</v>
      </c>
      <c r="H4681" s="835">
        <f t="shared" si="221"/>
        <v>31</v>
      </c>
      <c r="AF4681" s="831" t="s">
        <v>5338</v>
      </c>
      <c r="AG4681" s="831" t="s">
        <v>130</v>
      </c>
      <c r="AH4681" s="831" t="s">
        <v>212</v>
      </c>
      <c r="AI4681" s="831">
        <v>0</v>
      </c>
      <c r="AJ4681" s="835">
        <v>41243</v>
      </c>
      <c r="AK4681" s="831">
        <v>5589039</v>
      </c>
      <c r="AP4681" s="831" t="str">
        <f t="shared" si="220"/>
        <v/>
      </c>
    </row>
    <row r="4682" spans="2:42">
      <c r="B4682" s="834" t="str">
        <f t="shared" si="219"/>
        <v>|||</v>
      </c>
      <c r="H4682" s="835">
        <f t="shared" si="221"/>
        <v>31</v>
      </c>
      <c r="AF4682" s="831" t="s">
        <v>5339</v>
      </c>
      <c r="AG4682" s="831" t="s">
        <v>130</v>
      </c>
      <c r="AH4682" s="831" t="s">
        <v>216</v>
      </c>
      <c r="AI4682" s="831">
        <v>0</v>
      </c>
      <c r="AJ4682" s="835">
        <v>41243</v>
      </c>
      <c r="AK4682" s="831">
        <v>0</v>
      </c>
      <c r="AP4682" s="831" t="str">
        <f t="shared" si="220"/>
        <v/>
      </c>
    </row>
    <row r="4683" spans="2:42">
      <c r="B4683" s="834" t="str">
        <f t="shared" si="219"/>
        <v>|||</v>
      </c>
      <c r="H4683" s="835">
        <f t="shared" si="221"/>
        <v>31</v>
      </c>
      <c r="AF4683" s="831" t="s">
        <v>5340</v>
      </c>
      <c r="AG4683" s="831" t="s">
        <v>130</v>
      </c>
      <c r="AH4683" s="831" t="s">
        <v>218</v>
      </c>
      <c r="AI4683" s="831">
        <v>0</v>
      </c>
      <c r="AJ4683" s="835">
        <v>41243</v>
      </c>
      <c r="AK4683" s="831">
        <v>49484890</v>
      </c>
      <c r="AP4683" s="831" t="str">
        <f t="shared" si="220"/>
        <v/>
      </c>
    </row>
    <row r="4684" spans="2:42">
      <c r="B4684" s="834" t="str">
        <f t="shared" si="219"/>
        <v>|||</v>
      </c>
      <c r="H4684" s="835">
        <f t="shared" si="221"/>
        <v>31</v>
      </c>
      <c r="AF4684" s="831" t="s">
        <v>5341</v>
      </c>
      <c r="AG4684" s="831" t="s">
        <v>130</v>
      </c>
      <c r="AH4684" s="831" t="s">
        <v>220</v>
      </c>
      <c r="AI4684" s="831">
        <v>0</v>
      </c>
      <c r="AJ4684" s="835">
        <v>41243</v>
      </c>
      <c r="AK4684" s="831">
        <v>0</v>
      </c>
      <c r="AP4684" s="831" t="str">
        <f t="shared" si="220"/>
        <v/>
      </c>
    </row>
    <row r="4685" spans="2:42">
      <c r="B4685" s="834" t="str">
        <f t="shared" si="219"/>
        <v>|||</v>
      </c>
      <c r="H4685" s="835">
        <f t="shared" si="221"/>
        <v>31</v>
      </c>
      <c r="AF4685" s="831" t="s">
        <v>5342</v>
      </c>
      <c r="AG4685" s="831" t="s">
        <v>130</v>
      </c>
      <c r="AH4685" s="831" t="s">
        <v>221</v>
      </c>
      <c r="AI4685" s="831">
        <v>0</v>
      </c>
      <c r="AJ4685" s="835">
        <v>41243</v>
      </c>
      <c r="AK4685" s="831">
        <v>1725770</v>
      </c>
      <c r="AP4685" s="831" t="str">
        <f t="shared" si="220"/>
        <v/>
      </c>
    </row>
    <row r="4686" spans="2:42">
      <c r="B4686" s="834" t="str">
        <f t="shared" si="219"/>
        <v>|||</v>
      </c>
      <c r="H4686" s="835">
        <f t="shared" si="221"/>
        <v>31</v>
      </c>
      <c r="AF4686" s="831" t="s">
        <v>5343</v>
      </c>
      <c r="AG4686" s="831" t="s">
        <v>130</v>
      </c>
      <c r="AH4686" s="831" t="s">
        <v>228</v>
      </c>
      <c r="AI4686" s="831">
        <v>0</v>
      </c>
      <c r="AJ4686" s="835">
        <v>41243</v>
      </c>
      <c r="AK4686" s="831">
        <v>0</v>
      </c>
      <c r="AP4686" s="831" t="str">
        <f t="shared" si="220"/>
        <v/>
      </c>
    </row>
    <row r="4687" spans="2:42">
      <c r="B4687" s="834" t="str">
        <f t="shared" si="219"/>
        <v>|||</v>
      </c>
      <c r="H4687" s="835">
        <f t="shared" si="221"/>
        <v>31</v>
      </c>
      <c r="AF4687" s="831" t="s">
        <v>5344</v>
      </c>
      <c r="AG4687" s="831" t="s">
        <v>130</v>
      </c>
      <c r="AH4687" s="831" t="s">
        <v>230</v>
      </c>
      <c r="AI4687" s="831">
        <v>0</v>
      </c>
      <c r="AJ4687" s="835">
        <v>41243</v>
      </c>
      <c r="AK4687" s="831">
        <v>0</v>
      </c>
      <c r="AP4687" s="831" t="str">
        <f t="shared" si="220"/>
        <v/>
      </c>
    </row>
    <row r="4688" spans="2:42">
      <c r="B4688" s="834" t="str">
        <f t="shared" si="219"/>
        <v>|||</v>
      </c>
      <c r="H4688" s="835">
        <f t="shared" si="221"/>
        <v>31</v>
      </c>
      <c r="AF4688" s="831" t="s">
        <v>5345</v>
      </c>
      <c r="AG4688" s="831" t="s">
        <v>130</v>
      </c>
      <c r="AH4688" s="831" t="s">
        <v>231</v>
      </c>
      <c r="AI4688" s="831">
        <v>0</v>
      </c>
      <c r="AJ4688" s="835">
        <v>41243</v>
      </c>
      <c r="AK4688" s="831">
        <v>0</v>
      </c>
      <c r="AP4688" s="831" t="str">
        <f t="shared" si="220"/>
        <v/>
      </c>
    </row>
    <row r="4689" spans="2:42">
      <c r="B4689" s="834" t="str">
        <f t="shared" si="219"/>
        <v>|||</v>
      </c>
      <c r="H4689" s="835">
        <f t="shared" si="221"/>
        <v>31</v>
      </c>
      <c r="AF4689" s="831" t="s">
        <v>5346</v>
      </c>
      <c r="AG4689" s="831" t="s">
        <v>130</v>
      </c>
      <c r="AH4689" s="831" t="s">
        <v>232</v>
      </c>
      <c r="AI4689" s="831">
        <v>0</v>
      </c>
      <c r="AJ4689" s="835">
        <v>41243</v>
      </c>
      <c r="AK4689" s="831">
        <v>144630421</v>
      </c>
      <c r="AP4689" s="831" t="str">
        <f t="shared" si="220"/>
        <v/>
      </c>
    </row>
    <row r="4690" spans="2:42">
      <c r="B4690" s="834" t="str">
        <f t="shared" si="219"/>
        <v>|||</v>
      </c>
      <c r="H4690" s="835">
        <f t="shared" si="221"/>
        <v>31</v>
      </c>
      <c r="AF4690" s="831" t="s">
        <v>5347</v>
      </c>
      <c r="AG4690" s="831" t="s">
        <v>130</v>
      </c>
      <c r="AH4690" s="831" t="s">
        <v>116</v>
      </c>
      <c r="AI4690" s="831">
        <v>0</v>
      </c>
      <c r="AJ4690" s="835">
        <v>41243</v>
      </c>
      <c r="AK4690" s="831">
        <v>8012195</v>
      </c>
      <c r="AP4690" s="831" t="str">
        <f t="shared" si="220"/>
        <v/>
      </c>
    </row>
    <row r="4691" spans="2:42">
      <c r="B4691" s="834" t="str">
        <f t="shared" si="219"/>
        <v>|||</v>
      </c>
      <c r="H4691" s="835">
        <f t="shared" si="221"/>
        <v>31</v>
      </c>
      <c r="AF4691" s="831" t="s">
        <v>5348</v>
      </c>
      <c r="AG4691" s="831" t="s">
        <v>130</v>
      </c>
      <c r="AH4691" s="831" t="s">
        <v>234</v>
      </c>
      <c r="AI4691" s="831">
        <v>0</v>
      </c>
      <c r="AJ4691" s="835">
        <v>41243</v>
      </c>
      <c r="AK4691" s="831">
        <v>0</v>
      </c>
      <c r="AP4691" s="831" t="str">
        <f t="shared" si="220"/>
        <v/>
      </c>
    </row>
    <row r="4692" spans="2:42">
      <c r="B4692" s="834" t="str">
        <f t="shared" si="219"/>
        <v>|||</v>
      </c>
      <c r="H4692" s="835">
        <f t="shared" si="221"/>
        <v>31</v>
      </c>
      <c r="AF4692" s="831" t="s">
        <v>5349</v>
      </c>
      <c r="AG4692" s="831" t="s">
        <v>130</v>
      </c>
      <c r="AH4692" s="831" t="s">
        <v>235</v>
      </c>
      <c r="AI4692" s="831">
        <v>0</v>
      </c>
      <c r="AJ4692" s="835">
        <v>41243</v>
      </c>
      <c r="AK4692" s="831">
        <v>4506592</v>
      </c>
      <c r="AP4692" s="831" t="str">
        <f t="shared" si="220"/>
        <v/>
      </c>
    </row>
    <row r="4693" spans="2:42">
      <c r="B4693" s="834" t="str">
        <f t="shared" si="219"/>
        <v>|||</v>
      </c>
      <c r="H4693" s="835">
        <f t="shared" si="221"/>
        <v>31</v>
      </c>
      <c r="AF4693" s="831" t="s">
        <v>5350</v>
      </c>
      <c r="AG4693" s="831" t="s">
        <v>130</v>
      </c>
      <c r="AH4693" s="831" t="s">
        <v>238</v>
      </c>
      <c r="AI4693" s="831">
        <v>0</v>
      </c>
      <c r="AJ4693" s="835">
        <v>41243</v>
      </c>
      <c r="AK4693" s="831">
        <v>0</v>
      </c>
      <c r="AP4693" s="831" t="str">
        <f t="shared" si="220"/>
        <v/>
      </c>
    </row>
    <row r="4694" spans="2:42">
      <c r="B4694" s="834" t="str">
        <f t="shared" si="219"/>
        <v>|||</v>
      </c>
      <c r="H4694" s="835">
        <f t="shared" si="221"/>
        <v>31</v>
      </c>
      <c r="AF4694" s="831" t="s">
        <v>5351</v>
      </c>
      <c r="AG4694" s="831" t="s">
        <v>130</v>
      </c>
      <c r="AH4694" s="831" t="s">
        <v>240</v>
      </c>
      <c r="AI4694" s="831">
        <v>0</v>
      </c>
      <c r="AJ4694" s="835">
        <v>41243</v>
      </c>
      <c r="AK4694" s="831">
        <v>85000000</v>
      </c>
      <c r="AP4694" s="831" t="str">
        <f t="shared" si="220"/>
        <v/>
      </c>
    </row>
    <row r="4695" spans="2:42">
      <c r="B4695" s="834" t="str">
        <f t="shared" si="219"/>
        <v>|||</v>
      </c>
      <c r="H4695" s="835">
        <f t="shared" si="221"/>
        <v>31</v>
      </c>
      <c r="AF4695" s="831" t="s">
        <v>5352</v>
      </c>
      <c r="AG4695" s="831" t="s">
        <v>130</v>
      </c>
      <c r="AH4695" s="831" t="s">
        <v>241</v>
      </c>
      <c r="AI4695" s="831">
        <v>0</v>
      </c>
      <c r="AJ4695" s="835">
        <v>41243</v>
      </c>
      <c r="AK4695" s="831">
        <v>0</v>
      </c>
      <c r="AP4695" s="831" t="str">
        <f t="shared" si="220"/>
        <v/>
      </c>
    </row>
    <row r="4696" spans="2:42">
      <c r="B4696" s="834" t="str">
        <f t="shared" si="219"/>
        <v>|||</v>
      </c>
      <c r="H4696" s="835">
        <f t="shared" si="221"/>
        <v>31</v>
      </c>
      <c r="AF4696" s="831" t="s">
        <v>5353</v>
      </c>
      <c r="AG4696" s="831" t="s">
        <v>130</v>
      </c>
      <c r="AH4696" s="831" t="s">
        <v>242</v>
      </c>
      <c r="AI4696" s="831">
        <v>0</v>
      </c>
      <c r="AJ4696" s="835">
        <v>41243</v>
      </c>
      <c r="AK4696" s="831">
        <v>0</v>
      </c>
      <c r="AP4696" s="831" t="str">
        <f t="shared" si="220"/>
        <v/>
      </c>
    </row>
    <row r="4697" spans="2:42">
      <c r="B4697" s="834" t="str">
        <f t="shared" si="219"/>
        <v>|||</v>
      </c>
      <c r="H4697" s="835">
        <f t="shared" si="221"/>
        <v>31</v>
      </c>
      <c r="AF4697" s="831" t="s">
        <v>5354</v>
      </c>
      <c r="AG4697" s="831" t="s">
        <v>130</v>
      </c>
      <c r="AH4697" s="831" t="s">
        <v>244</v>
      </c>
      <c r="AI4697" s="831">
        <v>0</v>
      </c>
      <c r="AJ4697" s="835">
        <v>41243</v>
      </c>
      <c r="AK4697" s="831">
        <v>322924</v>
      </c>
      <c r="AP4697" s="831" t="str">
        <f t="shared" si="220"/>
        <v/>
      </c>
    </row>
    <row r="4698" spans="2:42">
      <c r="B4698" s="834" t="str">
        <f t="shared" si="219"/>
        <v>|||</v>
      </c>
      <c r="H4698" s="835">
        <f t="shared" si="221"/>
        <v>31</v>
      </c>
      <c r="AF4698" s="831" t="s">
        <v>5355</v>
      </c>
      <c r="AG4698" s="831" t="s">
        <v>130</v>
      </c>
      <c r="AH4698" s="831" t="s">
        <v>245</v>
      </c>
      <c r="AI4698" s="831">
        <v>0</v>
      </c>
      <c r="AJ4698" s="835">
        <v>41243</v>
      </c>
      <c r="AK4698" s="831">
        <v>16533903</v>
      </c>
      <c r="AP4698" s="831" t="str">
        <f t="shared" si="220"/>
        <v/>
      </c>
    </row>
    <row r="4699" spans="2:42">
      <c r="B4699" s="834" t="str">
        <f t="shared" si="219"/>
        <v>|||</v>
      </c>
      <c r="H4699" s="835">
        <f t="shared" si="221"/>
        <v>31</v>
      </c>
      <c r="AF4699" s="831" t="s">
        <v>5356</v>
      </c>
      <c r="AG4699" s="831" t="s">
        <v>130</v>
      </c>
      <c r="AH4699" s="831" t="s">
        <v>145</v>
      </c>
      <c r="AI4699" s="831">
        <v>0</v>
      </c>
      <c r="AJ4699" s="835">
        <v>41274</v>
      </c>
      <c r="AK4699" s="831">
        <v>35007471</v>
      </c>
      <c r="AP4699" s="831" t="str">
        <f t="shared" si="220"/>
        <v/>
      </c>
    </row>
    <row r="4700" spans="2:42">
      <c r="B4700" s="834" t="str">
        <f t="shared" si="219"/>
        <v>|||</v>
      </c>
      <c r="H4700" s="835">
        <f t="shared" si="221"/>
        <v>31</v>
      </c>
      <c r="AF4700" s="831" t="s">
        <v>5357</v>
      </c>
      <c r="AG4700" s="831" t="s">
        <v>130</v>
      </c>
      <c r="AH4700" s="831" t="s">
        <v>149</v>
      </c>
      <c r="AI4700" s="831">
        <v>0</v>
      </c>
      <c r="AJ4700" s="835">
        <v>41274</v>
      </c>
      <c r="AK4700" s="831">
        <v>0</v>
      </c>
      <c r="AP4700" s="831" t="str">
        <f t="shared" si="220"/>
        <v/>
      </c>
    </row>
    <row r="4701" spans="2:42">
      <c r="B4701" s="834" t="str">
        <f t="shared" si="219"/>
        <v>|||</v>
      </c>
      <c r="H4701" s="835">
        <f t="shared" si="221"/>
        <v>31</v>
      </c>
      <c r="AF4701" s="831" t="s">
        <v>5358</v>
      </c>
      <c r="AG4701" s="831" t="s">
        <v>130</v>
      </c>
      <c r="AH4701" s="831" t="s">
        <v>153</v>
      </c>
      <c r="AI4701" s="831">
        <v>0</v>
      </c>
      <c r="AJ4701" s="835">
        <v>41274</v>
      </c>
      <c r="AK4701" s="831">
        <v>26393578</v>
      </c>
      <c r="AP4701" s="831" t="str">
        <f t="shared" si="220"/>
        <v/>
      </c>
    </row>
    <row r="4702" spans="2:42">
      <c r="B4702" s="834" t="str">
        <f t="shared" si="219"/>
        <v>|||</v>
      </c>
      <c r="H4702" s="835">
        <f t="shared" si="221"/>
        <v>31</v>
      </c>
      <c r="AF4702" s="831" t="s">
        <v>5359</v>
      </c>
      <c r="AG4702" s="831" t="s">
        <v>130</v>
      </c>
      <c r="AH4702" s="831" t="s">
        <v>156</v>
      </c>
      <c r="AI4702" s="831">
        <v>0</v>
      </c>
      <c r="AJ4702" s="835">
        <v>41274</v>
      </c>
      <c r="AK4702" s="831">
        <v>0</v>
      </c>
      <c r="AP4702" s="831" t="str">
        <f t="shared" si="220"/>
        <v/>
      </c>
    </row>
    <row r="4703" spans="2:42">
      <c r="B4703" s="834" t="str">
        <f t="shared" si="219"/>
        <v>|||</v>
      </c>
      <c r="H4703" s="835">
        <f t="shared" si="221"/>
        <v>31</v>
      </c>
      <c r="AF4703" s="831" t="s">
        <v>5360</v>
      </c>
      <c r="AG4703" s="831" t="s">
        <v>130</v>
      </c>
      <c r="AH4703" s="831" t="s">
        <v>162</v>
      </c>
      <c r="AI4703" s="831">
        <v>0</v>
      </c>
      <c r="AJ4703" s="835">
        <v>41274</v>
      </c>
      <c r="AK4703" s="831">
        <v>412125624</v>
      </c>
      <c r="AP4703" s="831" t="str">
        <f t="shared" si="220"/>
        <v/>
      </c>
    </row>
    <row r="4704" spans="2:42">
      <c r="B4704" s="834" t="str">
        <f t="shared" si="219"/>
        <v>|||</v>
      </c>
      <c r="H4704" s="835">
        <f t="shared" si="221"/>
        <v>31</v>
      </c>
      <c r="AF4704" s="831" t="s">
        <v>5361</v>
      </c>
      <c r="AG4704" s="831" t="s">
        <v>130</v>
      </c>
      <c r="AH4704" s="831" t="s">
        <v>165</v>
      </c>
      <c r="AI4704" s="831">
        <v>0</v>
      </c>
      <c r="AJ4704" s="835">
        <v>41274</v>
      </c>
      <c r="AK4704" s="831">
        <v>-10390612</v>
      </c>
      <c r="AP4704" s="831" t="str">
        <f t="shared" si="220"/>
        <v/>
      </c>
    </row>
    <row r="4705" spans="2:42">
      <c r="B4705" s="834" t="str">
        <f t="shared" si="219"/>
        <v>|||</v>
      </c>
      <c r="H4705" s="835">
        <f t="shared" si="221"/>
        <v>31</v>
      </c>
      <c r="AF4705" s="831" t="s">
        <v>5362</v>
      </c>
      <c r="AG4705" s="831" t="s">
        <v>130</v>
      </c>
      <c r="AH4705" s="831" t="s">
        <v>171</v>
      </c>
      <c r="AI4705" s="831">
        <v>0</v>
      </c>
      <c r="AJ4705" s="835">
        <v>41274</v>
      </c>
      <c r="AK4705" s="831">
        <v>2252983</v>
      </c>
      <c r="AP4705" s="831" t="str">
        <f t="shared" si="220"/>
        <v/>
      </c>
    </row>
    <row r="4706" spans="2:42">
      <c r="B4706" s="834" t="str">
        <f t="shared" si="219"/>
        <v>|||</v>
      </c>
      <c r="H4706" s="835">
        <f t="shared" si="221"/>
        <v>31</v>
      </c>
      <c r="AF4706" s="831" t="s">
        <v>5363</v>
      </c>
      <c r="AG4706" s="831" t="s">
        <v>130</v>
      </c>
      <c r="AH4706" s="831" t="s">
        <v>174</v>
      </c>
      <c r="AI4706" s="831">
        <v>0</v>
      </c>
      <c r="AJ4706" s="835">
        <v>41274</v>
      </c>
      <c r="AK4706" s="831">
        <v>0</v>
      </c>
      <c r="AP4706" s="831" t="str">
        <f t="shared" si="220"/>
        <v/>
      </c>
    </row>
    <row r="4707" spans="2:42">
      <c r="B4707" s="834" t="str">
        <f t="shared" si="219"/>
        <v>|||</v>
      </c>
      <c r="H4707" s="835">
        <f t="shared" si="221"/>
        <v>31</v>
      </c>
      <c r="AF4707" s="831" t="s">
        <v>5364</v>
      </c>
      <c r="AG4707" s="831" t="s">
        <v>130</v>
      </c>
      <c r="AH4707" s="831" t="s">
        <v>181</v>
      </c>
      <c r="AI4707" s="831">
        <v>0</v>
      </c>
      <c r="AJ4707" s="835">
        <v>41274</v>
      </c>
      <c r="AK4707" s="831">
        <v>48717790</v>
      </c>
      <c r="AP4707" s="831" t="str">
        <f t="shared" si="220"/>
        <v/>
      </c>
    </row>
    <row r="4708" spans="2:42">
      <c r="B4708" s="834" t="str">
        <f t="shared" si="219"/>
        <v>|||</v>
      </c>
      <c r="H4708" s="835">
        <f t="shared" si="221"/>
        <v>31</v>
      </c>
      <c r="AF4708" s="831" t="s">
        <v>5365</v>
      </c>
      <c r="AG4708" s="831" t="s">
        <v>130</v>
      </c>
      <c r="AH4708" s="831" t="s">
        <v>184</v>
      </c>
      <c r="AI4708" s="831">
        <v>0</v>
      </c>
      <c r="AJ4708" s="835">
        <v>41274</v>
      </c>
      <c r="AK4708" s="831">
        <v>-11411980</v>
      </c>
      <c r="AP4708" s="831" t="str">
        <f t="shared" si="220"/>
        <v/>
      </c>
    </row>
    <row r="4709" spans="2:42">
      <c r="B4709" s="834" t="str">
        <f t="shared" si="219"/>
        <v>|||</v>
      </c>
      <c r="H4709" s="835">
        <f t="shared" si="221"/>
        <v>31</v>
      </c>
      <c r="AF4709" s="831" t="s">
        <v>5366</v>
      </c>
      <c r="AG4709" s="831" t="s">
        <v>130</v>
      </c>
      <c r="AH4709" s="831" t="s">
        <v>187</v>
      </c>
      <c r="AI4709" s="831">
        <v>0</v>
      </c>
      <c r="AJ4709" s="835">
        <v>41274</v>
      </c>
      <c r="AK4709" s="831">
        <v>0</v>
      </c>
      <c r="AP4709" s="831" t="str">
        <f t="shared" si="220"/>
        <v/>
      </c>
    </row>
    <row r="4710" spans="2:42">
      <c r="B4710" s="834" t="str">
        <f t="shared" si="219"/>
        <v>|||</v>
      </c>
      <c r="H4710" s="835">
        <f t="shared" si="221"/>
        <v>31</v>
      </c>
      <c r="AF4710" s="831" t="s">
        <v>5367</v>
      </c>
      <c r="AG4710" s="831" t="s">
        <v>130</v>
      </c>
      <c r="AH4710" s="831" t="s">
        <v>196</v>
      </c>
      <c r="AI4710" s="831">
        <v>0</v>
      </c>
      <c r="AJ4710" s="835">
        <v>41274</v>
      </c>
      <c r="AK4710" s="831">
        <v>7884920</v>
      </c>
      <c r="AP4710" s="831" t="str">
        <f t="shared" si="220"/>
        <v/>
      </c>
    </row>
    <row r="4711" spans="2:42">
      <c r="B4711" s="834" t="str">
        <f t="shared" si="219"/>
        <v>|||</v>
      </c>
      <c r="H4711" s="835">
        <f t="shared" si="221"/>
        <v>31</v>
      </c>
      <c r="AF4711" s="831" t="s">
        <v>5368</v>
      </c>
      <c r="AG4711" s="831" t="s">
        <v>130</v>
      </c>
      <c r="AH4711" s="831" t="s">
        <v>197</v>
      </c>
      <c r="AI4711" s="831">
        <v>0</v>
      </c>
      <c r="AJ4711" s="835">
        <v>41274</v>
      </c>
      <c r="AK4711" s="831">
        <v>0</v>
      </c>
      <c r="AP4711" s="831" t="str">
        <f t="shared" si="220"/>
        <v/>
      </c>
    </row>
    <row r="4712" spans="2:42">
      <c r="B4712" s="834" t="str">
        <f t="shared" si="219"/>
        <v>|||</v>
      </c>
      <c r="H4712" s="835">
        <f t="shared" si="221"/>
        <v>31</v>
      </c>
      <c r="AF4712" s="831" t="s">
        <v>5369</v>
      </c>
      <c r="AG4712" s="831" t="s">
        <v>130</v>
      </c>
      <c r="AH4712" s="831" t="s">
        <v>199</v>
      </c>
      <c r="AI4712" s="831">
        <v>0</v>
      </c>
      <c r="AJ4712" s="835">
        <v>41274</v>
      </c>
      <c r="AK4712" s="831">
        <v>0</v>
      </c>
      <c r="AP4712" s="831" t="str">
        <f t="shared" si="220"/>
        <v/>
      </c>
    </row>
    <row r="4713" spans="2:42">
      <c r="B4713" s="834" t="str">
        <f t="shared" si="219"/>
        <v>|||</v>
      </c>
      <c r="H4713" s="835">
        <f t="shared" si="221"/>
        <v>31</v>
      </c>
      <c r="AF4713" s="831" t="s">
        <v>5370</v>
      </c>
      <c r="AG4713" s="831" t="s">
        <v>130</v>
      </c>
      <c r="AH4713" s="831" t="s">
        <v>201</v>
      </c>
      <c r="AI4713" s="831">
        <v>0</v>
      </c>
      <c r="AJ4713" s="835">
        <v>41274</v>
      </c>
      <c r="AK4713" s="831">
        <v>4689136</v>
      </c>
      <c r="AP4713" s="831" t="str">
        <f t="shared" si="220"/>
        <v/>
      </c>
    </row>
    <row r="4714" spans="2:42">
      <c r="B4714" s="834" t="str">
        <f t="shared" si="219"/>
        <v>|||</v>
      </c>
      <c r="H4714" s="835">
        <f t="shared" si="221"/>
        <v>31</v>
      </c>
      <c r="AF4714" s="831" t="s">
        <v>5371</v>
      </c>
      <c r="AG4714" s="831" t="s">
        <v>130</v>
      </c>
      <c r="AH4714" s="831" t="s">
        <v>209</v>
      </c>
      <c r="AI4714" s="831">
        <v>0</v>
      </c>
      <c r="AJ4714" s="835">
        <v>41274</v>
      </c>
      <c r="AK4714" s="831">
        <v>42748316</v>
      </c>
      <c r="AP4714" s="831" t="str">
        <f t="shared" si="220"/>
        <v/>
      </c>
    </row>
    <row r="4715" spans="2:42">
      <c r="B4715" s="834" t="str">
        <f t="shared" si="219"/>
        <v>|||</v>
      </c>
      <c r="H4715" s="835">
        <f t="shared" si="221"/>
        <v>31</v>
      </c>
      <c r="AF4715" s="831" t="s">
        <v>5372</v>
      </c>
      <c r="AG4715" s="831" t="s">
        <v>130</v>
      </c>
      <c r="AH4715" s="831" t="s">
        <v>211</v>
      </c>
      <c r="AI4715" s="831">
        <v>0</v>
      </c>
      <c r="AJ4715" s="835">
        <v>41274</v>
      </c>
      <c r="AK4715" s="831">
        <v>120318815</v>
      </c>
      <c r="AP4715" s="831" t="str">
        <f t="shared" si="220"/>
        <v/>
      </c>
    </row>
    <row r="4716" spans="2:42">
      <c r="B4716" s="834" t="str">
        <f t="shared" si="219"/>
        <v>|||</v>
      </c>
      <c r="H4716" s="835">
        <f t="shared" si="221"/>
        <v>31</v>
      </c>
      <c r="AF4716" s="831" t="s">
        <v>5373</v>
      </c>
      <c r="AG4716" s="831" t="s">
        <v>130</v>
      </c>
      <c r="AH4716" s="831" t="s">
        <v>212</v>
      </c>
      <c r="AI4716" s="831">
        <v>0</v>
      </c>
      <c r="AJ4716" s="835">
        <v>41274</v>
      </c>
      <c r="AK4716" s="831">
        <v>5626987</v>
      </c>
      <c r="AP4716" s="831" t="str">
        <f t="shared" si="220"/>
        <v/>
      </c>
    </row>
    <row r="4717" spans="2:42">
      <c r="B4717" s="834" t="str">
        <f t="shared" si="219"/>
        <v>|||</v>
      </c>
      <c r="H4717" s="835">
        <f t="shared" si="221"/>
        <v>31</v>
      </c>
      <c r="AF4717" s="831" t="s">
        <v>5374</v>
      </c>
      <c r="AG4717" s="831" t="s">
        <v>130</v>
      </c>
      <c r="AH4717" s="831" t="s">
        <v>216</v>
      </c>
      <c r="AI4717" s="831">
        <v>0</v>
      </c>
      <c r="AJ4717" s="835">
        <v>41274</v>
      </c>
      <c r="AK4717" s="831">
        <v>0</v>
      </c>
      <c r="AP4717" s="831" t="str">
        <f t="shared" si="220"/>
        <v/>
      </c>
    </row>
    <row r="4718" spans="2:42">
      <c r="B4718" s="834" t="str">
        <f t="shared" si="219"/>
        <v>|||</v>
      </c>
      <c r="H4718" s="835">
        <f t="shared" si="221"/>
        <v>31</v>
      </c>
      <c r="AF4718" s="831" t="s">
        <v>5375</v>
      </c>
      <c r="AG4718" s="831" t="s">
        <v>130</v>
      </c>
      <c r="AH4718" s="831" t="s">
        <v>218</v>
      </c>
      <c r="AI4718" s="831">
        <v>0</v>
      </c>
      <c r="AJ4718" s="835">
        <v>41274</v>
      </c>
      <c r="AK4718" s="831">
        <v>60975400</v>
      </c>
      <c r="AP4718" s="831" t="str">
        <f t="shared" si="220"/>
        <v/>
      </c>
    </row>
    <row r="4719" spans="2:42">
      <c r="B4719" s="834" t="str">
        <f t="shared" si="219"/>
        <v>|||</v>
      </c>
      <c r="H4719" s="835">
        <f t="shared" si="221"/>
        <v>31</v>
      </c>
      <c r="AF4719" s="831" t="s">
        <v>5376</v>
      </c>
      <c r="AG4719" s="831" t="s">
        <v>130</v>
      </c>
      <c r="AH4719" s="831" t="s">
        <v>220</v>
      </c>
      <c r="AI4719" s="831">
        <v>0</v>
      </c>
      <c r="AJ4719" s="835">
        <v>41274</v>
      </c>
      <c r="AK4719" s="831">
        <v>0</v>
      </c>
      <c r="AP4719" s="831" t="str">
        <f t="shared" si="220"/>
        <v/>
      </c>
    </row>
    <row r="4720" spans="2:42">
      <c r="B4720" s="834" t="str">
        <f t="shared" si="219"/>
        <v>|||</v>
      </c>
      <c r="H4720" s="835">
        <f t="shared" si="221"/>
        <v>31</v>
      </c>
      <c r="AF4720" s="831" t="s">
        <v>5377</v>
      </c>
      <c r="AG4720" s="831" t="s">
        <v>130</v>
      </c>
      <c r="AH4720" s="831" t="s">
        <v>221</v>
      </c>
      <c r="AI4720" s="831">
        <v>0</v>
      </c>
      <c r="AJ4720" s="835">
        <v>41274</v>
      </c>
      <c r="AK4720" s="831">
        <v>867197</v>
      </c>
      <c r="AP4720" s="831" t="str">
        <f t="shared" si="220"/>
        <v/>
      </c>
    </row>
    <row r="4721" spans="2:42">
      <c r="B4721" s="834" t="str">
        <f t="shared" si="219"/>
        <v>|||</v>
      </c>
      <c r="H4721" s="835">
        <f t="shared" si="221"/>
        <v>31</v>
      </c>
      <c r="AF4721" s="831" t="s">
        <v>5378</v>
      </c>
      <c r="AG4721" s="831" t="s">
        <v>130</v>
      </c>
      <c r="AH4721" s="831" t="s">
        <v>228</v>
      </c>
      <c r="AI4721" s="831">
        <v>0</v>
      </c>
      <c r="AJ4721" s="835">
        <v>41274</v>
      </c>
      <c r="AK4721" s="831">
        <v>0</v>
      </c>
      <c r="AP4721" s="831" t="str">
        <f t="shared" si="220"/>
        <v/>
      </c>
    </row>
    <row r="4722" spans="2:42">
      <c r="B4722" s="834" t="str">
        <f t="shared" si="219"/>
        <v>|||</v>
      </c>
      <c r="H4722" s="835">
        <f t="shared" si="221"/>
        <v>31</v>
      </c>
      <c r="AF4722" s="831" t="s">
        <v>5379</v>
      </c>
      <c r="AG4722" s="831" t="s">
        <v>130</v>
      </c>
      <c r="AH4722" s="831" t="s">
        <v>230</v>
      </c>
      <c r="AI4722" s="831">
        <v>0</v>
      </c>
      <c r="AJ4722" s="835">
        <v>41274</v>
      </c>
      <c r="AK4722" s="831">
        <v>0</v>
      </c>
      <c r="AP4722" s="831" t="str">
        <f t="shared" si="220"/>
        <v/>
      </c>
    </row>
    <row r="4723" spans="2:42">
      <c r="B4723" s="834" t="str">
        <f t="shared" si="219"/>
        <v>|||</v>
      </c>
      <c r="H4723" s="835">
        <f t="shared" si="221"/>
        <v>31</v>
      </c>
      <c r="AF4723" s="831" t="s">
        <v>5380</v>
      </c>
      <c r="AG4723" s="831" t="s">
        <v>130</v>
      </c>
      <c r="AH4723" s="831" t="s">
        <v>231</v>
      </c>
      <c r="AI4723" s="831">
        <v>0</v>
      </c>
      <c r="AJ4723" s="835">
        <v>41274</v>
      </c>
      <c r="AK4723" s="831">
        <v>0</v>
      </c>
      <c r="AP4723" s="831" t="str">
        <f t="shared" si="220"/>
        <v/>
      </c>
    </row>
    <row r="4724" spans="2:42">
      <c r="B4724" s="834" t="str">
        <f t="shared" si="219"/>
        <v>|||</v>
      </c>
      <c r="H4724" s="835">
        <f t="shared" si="221"/>
        <v>31</v>
      </c>
      <c r="AF4724" s="831" t="s">
        <v>5381</v>
      </c>
      <c r="AG4724" s="831" t="s">
        <v>130</v>
      </c>
      <c r="AH4724" s="831" t="s">
        <v>232</v>
      </c>
      <c r="AI4724" s="831">
        <v>0</v>
      </c>
      <c r="AJ4724" s="835">
        <v>41274</v>
      </c>
      <c r="AK4724" s="831">
        <v>168589468</v>
      </c>
      <c r="AP4724" s="831" t="str">
        <f t="shared" si="220"/>
        <v/>
      </c>
    </row>
    <row r="4725" spans="2:42">
      <c r="B4725" s="834" t="str">
        <f t="shared" si="219"/>
        <v>|||</v>
      </c>
      <c r="H4725" s="835">
        <f t="shared" si="221"/>
        <v>31</v>
      </c>
      <c r="AF4725" s="831" t="s">
        <v>5382</v>
      </c>
      <c r="AG4725" s="831" t="s">
        <v>130</v>
      </c>
      <c r="AH4725" s="831" t="s">
        <v>116</v>
      </c>
      <c r="AI4725" s="831">
        <v>0</v>
      </c>
      <c r="AJ4725" s="835">
        <v>41274</v>
      </c>
      <c r="AK4725" s="831">
        <v>8015258</v>
      </c>
      <c r="AP4725" s="831" t="str">
        <f t="shared" si="220"/>
        <v/>
      </c>
    </row>
    <row r="4726" spans="2:42">
      <c r="B4726" s="834" t="str">
        <f t="shared" si="219"/>
        <v>|||</v>
      </c>
      <c r="H4726" s="835">
        <f t="shared" si="221"/>
        <v>31</v>
      </c>
      <c r="AF4726" s="831" t="s">
        <v>5383</v>
      </c>
      <c r="AG4726" s="831" t="s">
        <v>130</v>
      </c>
      <c r="AH4726" s="831" t="s">
        <v>234</v>
      </c>
      <c r="AI4726" s="831">
        <v>0</v>
      </c>
      <c r="AJ4726" s="835">
        <v>41274</v>
      </c>
      <c r="AK4726" s="831">
        <v>0</v>
      </c>
      <c r="AP4726" s="831" t="str">
        <f t="shared" si="220"/>
        <v/>
      </c>
    </row>
    <row r="4727" spans="2:42">
      <c r="B4727" s="834" t="str">
        <f t="shared" si="219"/>
        <v>|||</v>
      </c>
      <c r="H4727" s="835">
        <f t="shared" si="221"/>
        <v>31</v>
      </c>
      <c r="AF4727" s="831" t="s">
        <v>5384</v>
      </c>
      <c r="AG4727" s="831" t="s">
        <v>130</v>
      </c>
      <c r="AH4727" s="831" t="s">
        <v>235</v>
      </c>
      <c r="AI4727" s="831">
        <v>0</v>
      </c>
      <c r="AJ4727" s="835">
        <v>41274</v>
      </c>
      <c r="AK4727" s="831">
        <v>6964594</v>
      </c>
      <c r="AP4727" s="831" t="str">
        <f t="shared" si="220"/>
        <v/>
      </c>
    </row>
    <row r="4728" spans="2:42">
      <c r="B4728" s="834" t="str">
        <f t="shared" si="219"/>
        <v>|||</v>
      </c>
      <c r="H4728" s="835">
        <f t="shared" si="221"/>
        <v>31</v>
      </c>
      <c r="AF4728" s="831" t="s">
        <v>5385</v>
      </c>
      <c r="AG4728" s="831" t="s">
        <v>130</v>
      </c>
      <c r="AH4728" s="831" t="s">
        <v>238</v>
      </c>
      <c r="AI4728" s="831">
        <v>0</v>
      </c>
      <c r="AJ4728" s="835">
        <v>41274</v>
      </c>
      <c r="AK4728" s="831">
        <v>0</v>
      </c>
      <c r="AP4728" s="831" t="str">
        <f t="shared" si="220"/>
        <v/>
      </c>
    </row>
    <row r="4729" spans="2:42">
      <c r="B4729" s="834" t="str">
        <f t="shared" si="219"/>
        <v>|||</v>
      </c>
      <c r="H4729" s="835">
        <f t="shared" si="221"/>
        <v>31</v>
      </c>
      <c r="AF4729" s="831" t="s">
        <v>5386</v>
      </c>
      <c r="AG4729" s="831" t="s">
        <v>130</v>
      </c>
      <c r="AH4729" s="831" t="s">
        <v>240</v>
      </c>
      <c r="AI4729" s="831">
        <v>0</v>
      </c>
      <c r="AJ4729" s="835">
        <v>41274</v>
      </c>
      <c r="AK4729" s="831">
        <v>85000000</v>
      </c>
      <c r="AP4729" s="831" t="str">
        <f t="shared" si="220"/>
        <v/>
      </c>
    </row>
    <row r="4730" spans="2:42">
      <c r="B4730" s="834" t="str">
        <f t="shared" si="219"/>
        <v>|||</v>
      </c>
      <c r="H4730" s="835">
        <f t="shared" si="221"/>
        <v>31</v>
      </c>
      <c r="AF4730" s="831" t="s">
        <v>5387</v>
      </c>
      <c r="AG4730" s="831" t="s">
        <v>130</v>
      </c>
      <c r="AH4730" s="831" t="s">
        <v>241</v>
      </c>
      <c r="AI4730" s="831">
        <v>0</v>
      </c>
      <c r="AJ4730" s="835">
        <v>41274</v>
      </c>
      <c r="AK4730" s="831">
        <v>0</v>
      </c>
      <c r="AP4730" s="831" t="str">
        <f t="shared" si="220"/>
        <v/>
      </c>
    </row>
    <row r="4731" spans="2:42">
      <c r="B4731" s="834" t="str">
        <f t="shared" si="219"/>
        <v>|||</v>
      </c>
      <c r="H4731" s="835">
        <f t="shared" si="221"/>
        <v>31</v>
      </c>
      <c r="AF4731" s="831" t="s">
        <v>5388</v>
      </c>
      <c r="AG4731" s="831" t="s">
        <v>130</v>
      </c>
      <c r="AH4731" s="831" t="s">
        <v>242</v>
      </c>
      <c r="AI4731" s="831">
        <v>0</v>
      </c>
      <c r="AJ4731" s="835">
        <v>41274</v>
      </c>
      <c r="AK4731" s="831">
        <v>0</v>
      </c>
      <c r="AP4731" s="831" t="str">
        <f t="shared" si="220"/>
        <v/>
      </c>
    </row>
    <row r="4732" spans="2:42">
      <c r="B4732" s="834" t="str">
        <f t="shared" si="219"/>
        <v>|||</v>
      </c>
      <c r="H4732" s="835">
        <f t="shared" si="221"/>
        <v>31</v>
      </c>
      <c r="AF4732" s="831" t="s">
        <v>5389</v>
      </c>
      <c r="AG4732" s="831" t="s">
        <v>130</v>
      </c>
      <c r="AH4732" s="831" t="s">
        <v>244</v>
      </c>
      <c r="AI4732" s="831">
        <v>0</v>
      </c>
      <c r="AJ4732" s="835">
        <v>41274</v>
      </c>
      <c r="AK4732" s="831">
        <v>322924</v>
      </c>
      <c r="AP4732" s="831" t="str">
        <f t="shared" si="220"/>
        <v/>
      </c>
    </row>
    <row r="4733" spans="2:42">
      <c r="B4733" s="834" t="str">
        <f t="shared" si="219"/>
        <v>|||</v>
      </c>
      <c r="H4733" s="835">
        <f t="shared" si="221"/>
        <v>31</v>
      </c>
      <c r="AF4733" s="831" t="s">
        <v>5390</v>
      </c>
      <c r="AG4733" s="831" t="s">
        <v>130</v>
      </c>
      <c r="AH4733" s="831" t="s">
        <v>245</v>
      </c>
      <c r="AI4733" s="831">
        <v>0</v>
      </c>
      <c r="AJ4733" s="835">
        <v>41274</v>
      </c>
      <c r="AK4733" s="831">
        <v>15839951</v>
      </c>
      <c r="AP4733" s="831" t="str">
        <f t="shared" si="220"/>
        <v/>
      </c>
    </row>
    <row r="4734" spans="2:42">
      <c r="B4734" s="834" t="str">
        <f t="shared" si="219"/>
        <v>|||</v>
      </c>
      <c r="H4734" s="835">
        <f t="shared" si="221"/>
        <v>31</v>
      </c>
      <c r="AF4734" s="831" t="s">
        <v>5391</v>
      </c>
      <c r="AG4734" s="831" t="s">
        <v>520</v>
      </c>
      <c r="AH4734" s="831" t="s">
        <v>291</v>
      </c>
      <c r="AI4734" s="831">
        <v>1</v>
      </c>
      <c r="AJ4734" s="835">
        <v>40543</v>
      </c>
      <c r="AK4734" s="831">
        <v>0</v>
      </c>
      <c r="AP4734" s="831" t="str">
        <f t="shared" si="220"/>
        <v/>
      </c>
    </row>
    <row r="4735" spans="2:42">
      <c r="B4735" s="834" t="str">
        <f t="shared" si="219"/>
        <v>|||</v>
      </c>
      <c r="H4735" s="835">
        <f t="shared" si="221"/>
        <v>31</v>
      </c>
      <c r="AF4735" s="831" t="s">
        <v>5392</v>
      </c>
      <c r="AG4735" s="831" t="s">
        <v>520</v>
      </c>
      <c r="AH4735" s="831" t="s">
        <v>519</v>
      </c>
      <c r="AI4735" s="831">
        <v>1</v>
      </c>
      <c r="AJ4735" s="835">
        <v>40543</v>
      </c>
      <c r="AK4735" s="831">
        <v>0</v>
      </c>
      <c r="AP4735" s="831" t="str">
        <f t="shared" si="220"/>
        <v/>
      </c>
    </row>
    <row r="4736" spans="2:42">
      <c r="B4736" s="834" t="str">
        <f t="shared" si="219"/>
        <v>|||</v>
      </c>
      <c r="H4736" s="835">
        <f t="shared" si="221"/>
        <v>31</v>
      </c>
      <c r="AF4736" s="831" t="s">
        <v>5393</v>
      </c>
      <c r="AG4736" s="831" t="s">
        <v>520</v>
      </c>
      <c r="AH4736" s="831" t="s">
        <v>94</v>
      </c>
      <c r="AI4736" s="831">
        <v>1</v>
      </c>
      <c r="AJ4736" s="835">
        <v>40543</v>
      </c>
      <c r="AK4736" s="831">
        <v>0</v>
      </c>
      <c r="AP4736" s="831" t="str">
        <f t="shared" si="220"/>
        <v/>
      </c>
    </row>
    <row r="4737" spans="2:42">
      <c r="B4737" s="834" t="str">
        <f t="shared" si="219"/>
        <v>|||</v>
      </c>
      <c r="H4737" s="835">
        <f t="shared" si="221"/>
        <v>31</v>
      </c>
      <c r="AF4737" s="831" t="s">
        <v>5394</v>
      </c>
      <c r="AG4737" s="831" t="s">
        <v>520</v>
      </c>
      <c r="AH4737" s="831" t="s">
        <v>85</v>
      </c>
      <c r="AI4737" s="831">
        <v>1</v>
      </c>
      <c r="AJ4737" s="835">
        <v>40543</v>
      </c>
      <c r="AK4737" s="831">
        <v>0</v>
      </c>
      <c r="AP4737" s="831" t="str">
        <f t="shared" si="220"/>
        <v/>
      </c>
    </row>
    <row r="4738" spans="2:42">
      <c r="B4738" s="834" t="str">
        <f t="shared" si="219"/>
        <v>|||</v>
      </c>
      <c r="H4738" s="835">
        <f t="shared" si="221"/>
        <v>31</v>
      </c>
      <c r="AF4738" s="831" t="s">
        <v>5395</v>
      </c>
      <c r="AG4738" s="831" t="s">
        <v>520</v>
      </c>
      <c r="AH4738" s="831" t="s">
        <v>90</v>
      </c>
      <c r="AI4738" s="831">
        <v>1</v>
      </c>
      <c r="AJ4738" s="835">
        <v>40543</v>
      </c>
      <c r="AK4738" s="831">
        <v>0</v>
      </c>
      <c r="AP4738" s="831" t="str">
        <f t="shared" si="220"/>
        <v/>
      </c>
    </row>
    <row r="4739" spans="2:42">
      <c r="B4739" s="834" t="str">
        <f t="shared" ref="B4739:B4802" si="222">C4739&amp;"|"&amp;D4739&amp;"|"&amp;E4739&amp;"|"&amp;F4739</f>
        <v>|||</v>
      </c>
      <c r="H4739" s="835">
        <f t="shared" si="221"/>
        <v>31</v>
      </c>
      <c r="AF4739" s="831" t="s">
        <v>5396</v>
      </c>
      <c r="AG4739" s="831" t="s">
        <v>520</v>
      </c>
      <c r="AH4739" s="831" t="s">
        <v>117</v>
      </c>
      <c r="AI4739" s="831">
        <v>1</v>
      </c>
      <c r="AJ4739" s="835">
        <v>40543</v>
      </c>
      <c r="AK4739" s="831">
        <v>0</v>
      </c>
      <c r="AP4739" s="831" t="str">
        <f t="shared" ref="AP4739:AP4802" si="223">IF(AX4739&lt;&gt;"",IF(OR(AX4739=3,AX4739=4),"Equity","Debt"),"")</f>
        <v/>
      </c>
    </row>
    <row r="4740" spans="2:42">
      <c r="B4740" s="834" t="str">
        <f t="shared" si="222"/>
        <v>|||</v>
      </c>
      <c r="H4740" s="835">
        <f t="shared" ref="H4740:H4803" si="224">EOMONTH(L4740,0)</f>
        <v>31</v>
      </c>
      <c r="AF4740" s="831" t="s">
        <v>5397</v>
      </c>
      <c r="AG4740" s="831" t="s">
        <v>520</v>
      </c>
      <c r="AH4740" s="831" t="s">
        <v>525</v>
      </c>
      <c r="AI4740" s="831">
        <v>1</v>
      </c>
      <c r="AJ4740" s="835">
        <v>40543</v>
      </c>
      <c r="AK4740" s="831">
        <v>0</v>
      </c>
      <c r="AP4740" s="831" t="str">
        <f t="shared" si="223"/>
        <v/>
      </c>
    </row>
    <row r="4741" spans="2:42">
      <c r="B4741" s="834" t="str">
        <f t="shared" si="222"/>
        <v>|||</v>
      </c>
      <c r="H4741" s="835">
        <f t="shared" si="224"/>
        <v>31</v>
      </c>
      <c r="AF4741" s="831" t="s">
        <v>5398</v>
      </c>
      <c r="AG4741" s="831" t="s">
        <v>520</v>
      </c>
      <c r="AH4741" s="831" t="s">
        <v>522</v>
      </c>
      <c r="AI4741" s="831">
        <v>1</v>
      </c>
      <c r="AJ4741" s="835">
        <v>40543</v>
      </c>
      <c r="AK4741" s="831">
        <v>0</v>
      </c>
      <c r="AP4741" s="831" t="str">
        <f t="shared" si="223"/>
        <v/>
      </c>
    </row>
    <row r="4742" spans="2:42">
      <c r="B4742" s="834" t="str">
        <f t="shared" si="222"/>
        <v>|||</v>
      </c>
      <c r="H4742" s="835">
        <f t="shared" si="224"/>
        <v>31</v>
      </c>
      <c r="AF4742" s="831" t="s">
        <v>5399</v>
      </c>
      <c r="AG4742" s="831" t="s">
        <v>520</v>
      </c>
      <c r="AH4742" s="831" t="s">
        <v>523</v>
      </c>
      <c r="AI4742" s="831">
        <v>1</v>
      </c>
      <c r="AJ4742" s="835">
        <v>40543</v>
      </c>
      <c r="AK4742" s="831">
        <v>0</v>
      </c>
      <c r="AP4742" s="831" t="str">
        <f t="shared" si="223"/>
        <v/>
      </c>
    </row>
    <row r="4743" spans="2:42">
      <c r="B4743" s="834" t="str">
        <f t="shared" si="222"/>
        <v>|||</v>
      </c>
      <c r="H4743" s="835">
        <f t="shared" si="224"/>
        <v>31</v>
      </c>
      <c r="AF4743" s="831" t="s">
        <v>5400</v>
      </c>
      <c r="AG4743" s="831" t="s">
        <v>520</v>
      </c>
      <c r="AH4743" s="831" t="s">
        <v>524</v>
      </c>
      <c r="AI4743" s="831">
        <v>1</v>
      </c>
      <c r="AJ4743" s="835">
        <v>40543</v>
      </c>
      <c r="AK4743" s="831">
        <v>0</v>
      </c>
      <c r="AP4743" s="831" t="str">
        <f t="shared" si="223"/>
        <v/>
      </c>
    </row>
    <row r="4744" spans="2:42">
      <c r="B4744" s="834" t="str">
        <f t="shared" si="222"/>
        <v>|||</v>
      </c>
      <c r="H4744" s="835">
        <f t="shared" si="224"/>
        <v>31</v>
      </c>
      <c r="AF4744" s="831" t="s">
        <v>5401</v>
      </c>
      <c r="AG4744" s="831" t="s">
        <v>520</v>
      </c>
      <c r="AH4744" s="831" t="s">
        <v>521</v>
      </c>
      <c r="AI4744" s="831">
        <v>1</v>
      </c>
      <c r="AJ4744" s="835">
        <v>40543</v>
      </c>
      <c r="AK4744" s="831">
        <v>0</v>
      </c>
      <c r="AP4744" s="831" t="str">
        <f t="shared" si="223"/>
        <v/>
      </c>
    </row>
    <row r="4745" spans="2:42">
      <c r="B4745" s="834" t="str">
        <f t="shared" si="222"/>
        <v>|||</v>
      </c>
      <c r="H4745" s="835">
        <f t="shared" si="224"/>
        <v>31</v>
      </c>
      <c r="AF4745" s="831" t="s">
        <v>5402</v>
      </c>
      <c r="AG4745" s="831" t="s">
        <v>520</v>
      </c>
      <c r="AH4745" s="831" t="s">
        <v>660</v>
      </c>
      <c r="AI4745" s="831">
        <v>1</v>
      </c>
      <c r="AJ4745" s="835">
        <v>40543</v>
      </c>
      <c r="AK4745" s="831">
        <v>0</v>
      </c>
      <c r="AP4745" s="831" t="str">
        <f t="shared" si="223"/>
        <v/>
      </c>
    </row>
    <row r="4746" spans="2:42">
      <c r="B4746" s="834" t="str">
        <f t="shared" si="222"/>
        <v>|||</v>
      </c>
      <c r="H4746" s="835">
        <f t="shared" si="224"/>
        <v>31</v>
      </c>
      <c r="AF4746" s="831" t="s">
        <v>5403</v>
      </c>
      <c r="AG4746" s="831" t="s">
        <v>520</v>
      </c>
      <c r="AH4746" s="831" t="s">
        <v>661</v>
      </c>
      <c r="AI4746" s="831">
        <v>1</v>
      </c>
      <c r="AJ4746" s="835">
        <v>40543</v>
      </c>
      <c r="AK4746" s="831">
        <v>0</v>
      </c>
      <c r="AP4746" s="831" t="str">
        <f t="shared" si="223"/>
        <v/>
      </c>
    </row>
    <row r="4747" spans="2:42">
      <c r="B4747" s="834" t="str">
        <f t="shared" si="222"/>
        <v>|||</v>
      </c>
      <c r="H4747" s="835">
        <f t="shared" si="224"/>
        <v>31</v>
      </c>
      <c r="AF4747" s="831" t="s">
        <v>5404</v>
      </c>
      <c r="AG4747" s="831" t="s">
        <v>520</v>
      </c>
      <c r="AH4747" s="831" t="s">
        <v>662</v>
      </c>
      <c r="AI4747" s="831">
        <v>1</v>
      </c>
      <c r="AJ4747" s="835">
        <v>40543</v>
      </c>
      <c r="AK4747" s="831">
        <v>0</v>
      </c>
      <c r="AP4747" s="831" t="str">
        <f t="shared" si="223"/>
        <v/>
      </c>
    </row>
    <row r="4748" spans="2:42">
      <c r="B4748" s="834" t="str">
        <f t="shared" si="222"/>
        <v>|||</v>
      </c>
      <c r="H4748" s="835">
        <f t="shared" si="224"/>
        <v>31</v>
      </c>
      <c r="AF4748" s="831" t="s">
        <v>5405</v>
      </c>
      <c r="AG4748" s="831" t="s">
        <v>520</v>
      </c>
      <c r="AH4748" s="831" t="s">
        <v>291</v>
      </c>
      <c r="AI4748" s="831">
        <v>0</v>
      </c>
      <c r="AJ4748" s="835">
        <v>40939</v>
      </c>
      <c r="AK4748" s="831">
        <v>7597290</v>
      </c>
      <c r="AP4748" s="831" t="str">
        <f t="shared" si="223"/>
        <v/>
      </c>
    </row>
    <row r="4749" spans="2:42">
      <c r="B4749" s="834" t="str">
        <f t="shared" si="222"/>
        <v>|||</v>
      </c>
      <c r="H4749" s="835">
        <f t="shared" si="224"/>
        <v>31</v>
      </c>
      <c r="AF4749" s="831" t="s">
        <v>5406</v>
      </c>
      <c r="AG4749" s="831" t="s">
        <v>520</v>
      </c>
      <c r="AH4749" s="831" t="s">
        <v>519</v>
      </c>
      <c r="AI4749" s="831">
        <v>0</v>
      </c>
      <c r="AJ4749" s="835">
        <v>40939</v>
      </c>
      <c r="AK4749" s="831">
        <v>156131590</v>
      </c>
      <c r="AP4749" s="831" t="str">
        <f t="shared" si="223"/>
        <v/>
      </c>
    </row>
    <row r="4750" spans="2:42">
      <c r="B4750" s="834" t="str">
        <f t="shared" si="222"/>
        <v>|||</v>
      </c>
      <c r="H4750" s="835">
        <f t="shared" si="224"/>
        <v>31</v>
      </c>
      <c r="AF4750" s="831" t="s">
        <v>5407</v>
      </c>
      <c r="AG4750" s="831" t="s">
        <v>520</v>
      </c>
      <c r="AH4750" s="831" t="s">
        <v>94</v>
      </c>
      <c r="AI4750" s="831">
        <v>0</v>
      </c>
      <c r="AJ4750" s="835">
        <v>40939</v>
      </c>
      <c r="AK4750" s="831">
        <v>21606940</v>
      </c>
      <c r="AP4750" s="831" t="str">
        <f t="shared" si="223"/>
        <v/>
      </c>
    </row>
    <row r="4751" spans="2:42">
      <c r="B4751" s="834" t="str">
        <f t="shared" si="222"/>
        <v>|||</v>
      </c>
      <c r="H4751" s="835">
        <f t="shared" si="224"/>
        <v>31</v>
      </c>
      <c r="AF4751" s="831" t="s">
        <v>5408</v>
      </c>
      <c r="AG4751" s="831" t="s">
        <v>520</v>
      </c>
      <c r="AH4751" s="831" t="s">
        <v>85</v>
      </c>
      <c r="AI4751" s="831">
        <v>0</v>
      </c>
      <c r="AJ4751" s="835">
        <v>40939</v>
      </c>
      <c r="AK4751" s="831">
        <v>51642840</v>
      </c>
      <c r="AP4751" s="831" t="str">
        <f t="shared" si="223"/>
        <v/>
      </c>
    </row>
    <row r="4752" spans="2:42">
      <c r="B4752" s="834" t="str">
        <f t="shared" si="222"/>
        <v>|||</v>
      </c>
      <c r="H4752" s="835">
        <f t="shared" si="224"/>
        <v>31</v>
      </c>
      <c r="AF4752" s="831" t="s">
        <v>5409</v>
      </c>
      <c r="AG4752" s="831" t="s">
        <v>520</v>
      </c>
      <c r="AH4752" s="831" t="s">
        <v>90</v>
      </c>
      <c r="AI4752" s="831">
        <v>0</v>
      </c>
      <c r="AJ4752" s="835">
        <v>40939</v>
      </c>
      <c r="AK4752" s="831">
        <v>123718980</v>
      </c>
      <c r="AP4752" s="831" t="str">
        <f t="shared" si="223"/>
        <v/>
      </c>
    </row>
    <row r="4753" spans="2:42">
      <c r="B4753" s="834" t="str">
        <f t="shared" si="222"/>
        <v>|||</v>
      </c>
      <c r="H4753" s="835">
        <f t="shared" si="224"/>
        <v>31</v>
      </c>
      <c r="AF4753" s="831" t="s">
        <v>5410</v>
      </c>
      <c r="AG4753" s="831" t="s">
        <v>520</v>
      </c>
      <c r="AH4753" s="831" t="s">
        <v>117</v>
      </c>
      <c r="AI4753" s="831">
        <v>0</v>
      </c>
      <c r="AJ4753" s="835">
        <v>40939</v>
      </c>
      <c r="AK4753" s="831">
        <v>5050210</v>
      </c>
      <c r="AP4753" s="831" t="str">
        <f t="shared" si="223"/>
        <v/>
      </c>
    </row>
    <row r="4754" spans="2:42">
      <c r="B4754" s="834" t="str">
        <f t="shared" si="222"/>
        <v>|||</v>
      </c>
      <c r="H4754" s="835">
        <f t="shared" si="224"/>
        <v>31</v>
      </c>
      <c r="AF4754" s="831" t="s">
        <v>5411</v>
      </c>
      <c r="AG4754" s="831" t="s">
        <v>520</v>
      </c>
      <c r="AH4754" s="831" t="s">
        <v>525</v>
      </c>
      <c r="AI4754" s="831">
        <v>0</v>
      </c>
      <c r="AJ4754" s="835">
        <v>40939</v>
      </c>
      <c r="AK4754" s="831">
        <v>0</v>
      </c>
      <c r="AP4754" s="831" t="str">
        <f t="shared" si="223"/>
        <v/>
      </c>
    </row>
    <row r="4755" spans="2:42">
      <c r="B4755" s="834" t="str">
        <f t="shared" si="222"/>
        <v>|||</v>
      </c>
      <c r="H4755" s="835">
        <f t="shared" si="224"/>
        <v>31</v>
      </c>
      <c r="AF4755" s="831" t="s">
        <v>5412</v>
      </c>
      <c r="AG4755" s="831" t="s">
        <v>520</v>
      </c>
      <c r="AH4755" s="831" t="s">
        <v>522</v>
      </c>
      <c r="AI4755" s="831">
        <v>0</v>
      </c>
      <c r="AJ4755" s="835">
        <v>40939</v>
      </c>
      <c r="AK4755" s="831">
        <v>0</v>
      </c>
      <c r="AP4755" s="831" t="str">
        <f t="shared" si="223"/>
        <v/>
      </c>
    </row>
    <row r="4756" spans="2:42">
      <c r="B4756" s="834" t="str">
        <f t="shared" si="222"/>
        <v>|||</v>
      </c>
      <c r="H4756" s="835">
        <f t="shared" si="224"/>
        <v>31</v>
      </c>
      <c r="AF4756" s="831" t="s">
        <v>5413</v>
      </c>
      <c r="AG4756" s="831" t="s">
        <v>520</v>
      </c>
      <c r="AH4756" s="831" t="s">
        <v>523</v>
      </c>
      <c r="AI4756" s="831">
        <v>0</v>
      </c>
      <c r="AJ4756" s="835">
        <v>40939</v>
      </c>
      <c r="AK4756" s="831">
        <v>0</v>
      </c>
      <c r="AP4756" s="831" t="str">
        <f t="shared" si="223"/>
        <v/>
      </c>
    </row>
    <row r="4757" spans="2:42">
      <c r="B4757" s="834" t="str">
        <f t="shared" si="222"/>
        <v>|||</v>
      </c>
      <c r="H4757" s="835">
        <f t="shared" si="224"/>
        <v>31</v>
      </c>
      <c r="AF4757" s="831" t="s">
        <v>5414</v>
      </c>
      <c r="AG4757" s="831" t="s">
        <v>520</v>
      </c>
      <c r="AH4757" s="831" t="s">
        <v>524</v>
      </c>
      <c r="AI4757" s="831">
        <v>0</v>
      </c>
      <c r="AJ4757" s="835">
        <v>40939</v>
      </c>
      <c r="AK4757" s="831">
        <v>0</v>
      </c>
      <c r="AP4757" s="831" t="str">
        <f t="shared" si="223"/>
        <v/>
      </c>
    </row>
    <row r="4758" spans="2:42">
      <c r="B4758" s="834" t="str">
        <f t="shared" si="222"/>
        <v>|||</v>
      </c>
      <c r="H4758" s="835">
        <f t="shared" si="224"/>
        <v>31</v>
      </c>
      <c r="AF4758" s="831" t="s">
        <v>5415</v>
      </c>
      <c r="AG4758" s="831" t="s">
        <v>520</v>
      </c>
      <c r="AH4758" s="831" t="s">
        <v>521</v>
      </c>
      <c r="AI4758" s="831">
        <v>0</v>
      </c>
      <c r="AJ4758" s="835">
        <v>40939</v>
      </c>
      <c r="AK4758" s="831">
        <v>0</v>
      </c>
      <c r="AP4758" s="831" t="str">
        <f t="shared" si="223"/>
        <v/>
      </c>
    </row>
    <row r="4759" spans="2:42">
      <c r="B4759" s="834" t="str">
        <f t="shared" si="222"/>
        <v>|||</v>
      </c>
      <c r="H4759" s="835">
        <f t="shared" si="224"/>
        <v>31</v>
      </c>
      <c r="AF4759" s="831" t="s">
        <v>5416</v>
      </c>
      <c r="AG4759" s="831" t="s">
        <v>520</v>
      </c>
      <c r="AH4759" s="831" t="s">
        <v>660</v>
      </c>
      <c r="AI4759" s="831">
        <v>0</v>
      </c>
      <c r="AJ4759" s="835">
        <v>40939</v>
      </c>
      <c r="AK4759" s="831">
        <v>0</v>
      </c>
      <c r="AP4759" s="831" t="str">
        <f t="shared" si="223"/>
        <v/>
      </c>
    </row>
    <row r="4760" spans="2:42">
      <c r="B4760" s="834" t="str">
        <f t="shared" si="222"/>
        <v>|||</v>
      </c>
      <c r="H4760" s="835">
        <f t="shared" si="224"/>
        <v>31</v>
      </c>
      <c r="AF4760" s="831" t="s">
        <v>5417</v>
      </c>
      <c r="AG4760" s="831" t="s">
        <v>520</v>
      </c>
      <c r="AH4760" s="831" t="s">
        <v>661</v>
      </c>
      <c r="AI4760" s="831">
        <v>0</v>
      </c>
      <c r="AJ4760" s="835">
        <v>40939</v>
      </c>
      <c r="AK4760" s="831">
        <v>0</v>
      </c>
      <c r="AP4760" s="831" t="str">
        <f t="shared" si="223"/>
        <v/>
      </c>
    </row>
    <row r="4761" spans="2:42">
      <c r="B4761" s="834" t="str">
        <f t="shared" si="222"/>
        <v>|||</v>
      </c>
      <c r="H4761" s="835">
        <f t="shared" si="224"/>
        <v>31</v>
      </c>
      <c r="AF4761" s="831" t="s">
        <v>5418</v>
      </c>
      <c r="AG4761" s="831" t="s">
        <v>520</v>
      </c>
      <c r="AH4761" s="831" t="s">
        <v>662</v>
      </c>
      <c r="AI4761" s="831">
        <v>0</v>
      </c>
      <c r="AJ4761" s="835">
        <v>40939</v>
      </c>
      <c r="AK4761" s="831">
        <v>0</v>
      </c>
      <c r="AP4761" s="831" t="str">
        <f t="shared" si="223"/>
        <v/>
      </c>
    </row>
    <row r="4762" spans="2:42">
      <c r="B4762" s="834" t="str">
        <f t="shared" si="222"/>
        <v>|||</v>
      </c>
      <c r="H4762" s="835">
        <f t="shared" si="224"/>
        <v>31</v>
      </c>
      <c r="AF4762" s="831" t="s">
        <v>5419</v>
      </c>
      <c r="AG4762" s="831" t="s">
        <v>520</v>
      </c>
      <c r="AH4762" s="831" t="s">
        <v>291</v>
      </c>
      <c r="AI4762" s="831">
        <v>0</v>
      </c>
      <c r="AJ4762" s="835">
        <v>40968</v>
      </c>
      <c r="AK4762" s="831">
        <v>7589020</v>
      </c>
      <c r="AP4762" s="831" t="str">
        <f t="shared" si="223"/>
        <v/>
      </c>
    </row>
    <row r="4763" spans="2:42">
      <c r="B4763" s="834" t="str">
        <f t="shared" si="222"/>
        <v>|||</v>
      </c>
      <c r="H4763" s="835">
        <f t="shared" si="224"/>
        <v>31</v>
      </c>
      <c r="AF4763" s="831" t="s">
        <v>5420</v>
      </c>
      <c r="AG4763" s="831" t="s">
        <v>520</v>
      </c>
      <c r="AH4763" s="831" t="s">
        <v>519</v>
      </c>
      <c r="AI4763" s="831">
        <v>0</v>
      </c>
      <c r="AJ4763" s="835">
        <v>40968</v>
      </c>
      <c r="AK4763" s="831">
        <v>159758370</v>
      </c>
      <c r="AP4763" s="831" t="str">
        <f t="shared" si="223"/>
        <v/>
      </c>
    </row>
    <row r="4764" spans="2:42">
      <c r="B4764" s="834" t="str">
        <f t="shared" si="222"/>
        <v>|||</v>
      </c>
      <c r="H4764" s="835">
        <f t="shared" si="224"/>
        <v>31</v>
      </c>
      <c r="AF4764" s="831" t="s">
        <v>5421</v>
      </c>
      <c r="AG4764" s="831" t="s">
        <v>520</v>
      </c>
      <c r="AH4764" s="831" t="s">
        <v>94</v>
      </c>
      <c r="AI4764" s="831">
        <v>0</v>
      </c>
      <c r="AJ4764" s="835">
        <v>40968</v>
      </c>
      <c r="AK4764" s="831">
        <v>15452190</v>
      </c>
      <c r="AP4764" s="831" t="str">
        <f t="shared" si="223"/>
        <v/>
      </c>
    </row>
    <row r="4765" spans="2:42">
      <c r="B4765" s="834" t="str">
        <f t="shared" si="222"/>
        <v>|||</v>
      </c>
      <c r="H4765" s="835">
        <f t="shared" si="224"/>
        <v>31</v>
      </c>
      <c r="AF4765" s="831" t="s">
        <v>5422</v>
      </c>
      <c r="AG4765" s="831" t="s">
        <v>520</v>
      </c>
      <c r="AH4765" s="831" t="s">
        <v>85</v>
      </c>
      <c r="AI4765" s="831">
        <v>0</v>
      </c>
      <c r="AJ4765" s="835">
        <v>40968</v>
      </c>
      <c r="AK4765" s="831">
        <v>52491930</v>
      </c>
      <c r="AP4765" s="831" t="str">
        <f t="shared" si="223"/>
        <v/>
      </c>
    </row>
    <row r="4766" spans="2:42">
      <c r="B4766" s="834" t="str">
        <f t="shared" si="222"/>
        <v>|||</v>
      </c>
      <c r="H4766" s="835">
        <f t="shared" si="224"/>
        <v>31</v>
      </c>
      <c r="AF4766" s="831" t="s">
        <v>5423</v>
      </c>
      <c r="AG4766" s="831" t="s">
        <v>520</v>
      </c>
      <c r="AH4766" s="831" t="s">
        <v>90</v>
      </c>
      <c r="AI4766" s="831">
        <v>0</v>
      </c>
      <c r="AJ4766" s="835">
        <v>40968</v>
      </c>
      <c r="AK4766" s="831">
        <v>124373650</v>
      </c>
      <c r="AP4766" s="831" t="str">
        <f t="shared" si="223"/>
        <v/>
      </c>
    </row>
    <row r="4767" spans="2:42">
      <c r="B4767" s="834" t="str">
        <f t="shared" si="222"/>
        <v>|||</v>
      </c>
      <c r="H4767" s="835">
        <f t="shared" si="224"/>
        <v>31</v>
      </c>
      <c r="AF4767" s="831" t="s">
        <v>5424</v>
      </c>
      <c r="AG4767" s="831" t="s">
        <v>520</v>
      </c>
      <c r="AH4767" s="831" t="s">
        <v>117</v>
      </c>
      <c r="AI4767" s="831">
        <v>0</v>
      </c>
      <c r="AJ4767" s="835">
        <v>40968</v>
      </c>
      <c r="AK4767" s="831">
        <v>4965190</v>
      </c>
      <c r="AP4767" s="831" t="str">
        <f t="shared" si="223"/>
        <v/>
      </c>
    </row>
    <row r="4768" spans="2:42">
      <c r="B4768" s="834" t="str">
        <f t="shared" si="222"/>
        <v>|||</v>
      </c>
      <c r="H4768" s="835">
        <f t="shared" si="224"/>
        <v>31</v>
      </c>
      <c r="AF4768" s="831" t="s">
        <v>5425</v>
      </c>
      <c r="AG4768" s="831" t="s">
        <v>520</v>
      </c>
      <c r="AH4768" s="831" t="s">
        <v>525</v>
      </c>
      <c r="AI4768" s="831">
        <v>0</v>
      </c>
      <c r="AJ4768" s="835">
        <v>40968</v>
      </c>
      <c r="AK4768" s="831">
        <v>0</v>
      </c>
      <c r="AP4768" s="831" t="str">
        <f t="shared" si="223"/>
        <v/>
      </c>
    </row>
    <row r="4769" spans="2:42">
      <c r="B4769" s="834" t="str">
        <f t="shared" si="222"/>
        <v>|||</v>
      </c>
      <c r="H4769" s="835">
        <f t="shared" si="224"/>
        <v>31</v>
      </c>
      <c r="AF4769" s="831" t="s">
        <v>5426</v>
      </c>
      <c r="AG4769" s="831" t="s">
        <v>520</v>
      </c>
      <c r="AH4769" s="831" t="s">
        <v>522</v>
      </c>
      <c r="AI4769" s="831">
        <v>0</v>
      </c>
      <c r="AJ4769" s="835">
        <v>40968</v>
      </c>
      <c r="AK4769" s="831">
        <v>0</v>
      </c>
      <c r="AP4769" s="831" t="str">
        <f t="shared" si="223"/>
        <v/>
      </c>
    </row>
    <row r="4770" spans="2:42">
      <c r="B4770" s="834" t="str">
        <f t="shared" si="222"/>
        <v>|||</v>
      </c>
      <c r="H4770" s="835">
        <f t="shared" si="224"/>
        <v>31</v>
      </c>
      <c r="AF4770" s="831" t="s">
        <v>5427</v>
      </c>
      <c r="AG4770" s="831" t="s">
        <v>520</v>
      </c>
      <c r="AH4770" s="831" t="s">
        <v>523</v>
      </c>
      <c r="AI4770" s="831">
        <v>0</v>
      </c>
      <c r="AJ4770" s="835">
        <v>40968</v>
      </c>
      <c r="AK4770" s="831">
        <v>0</v>
      </c>
      <c r="AP4770" s="831" t="str">
        <f t="shared" si="223"/>
        <v/>
      </c>
    </row>
    <row r="4771" spans="2:42">
      <c r="B4771" s="834" t="str">
        <f t="shared" si="222"/>
        <v>|||</v>
      </c>
      <c r="H4771" s="835">
        <f t="shared" si="224"/>
        <v>31</v>
      </c>
      <c r="AF4771" s="831" t="s">
        <v>5428</v>
      </c>
      <c r="AG4771" s="831" t="s">
        <v>520</v>
      </c>
      <c r="AH4771" s="831" t="s">
        <v>524</v>
      </c>
      <c r="AI4771" s="831">
        <v>0</v>
      </c>
      <c r="AJ4771" s="835">
        <v>40968</v>
      </c>
      <c r="AK4771" s="831">
        <v>0</v>
      </c>
      <c r="AP4771" s="831" t="str">
        <f t="shared" si="223"/>
        <v/>
      </c>
    </row>
    <row r="4772" spans="2:42">
      <c r="B4772" s="834" t="str">
        <f t="shared" si="222"/>
        <v>|||</v>
      </c>
      <c r="H4772" s="835">
        <f t="shared" si="224"/>
        <v>31</v>
      </c>
      <c r="AF4772" s="831" t="s">
        <v>5429</v>
      </c>
      <c r="AG4772" s="831" t="s">
        <v>520</v>
      </c>
      <c r="AH4772" s="831" t="s">
        <v>521</v>
      </c>
      <c r="AI4772" s="831">
        <v>0</v>
      </c>
      <c r="AJ4772" s="835">
        <v>40968</v>
      </c>
      <c r="AK4772" s="831">
        <v>0</v>
      </c>
      <c r="AP4772" s="831" t="str">
        <f t="shared" si="223"/>
        <v/>
      </c>
    </row>
    <row r="4773" spans="2:42">
      <c r="B4773" s="834" t="str">
        <f t="shared" si="222"/>
        <v>|||</v>
      </c>
      <c r="H4773" s="835">
        <f t="shared" si="224"/>
        <v>31</v>
      </c>
      <c r="AF4773" s="831" t="s">
        <v>5430</v>
      </c>
      <c r="AG4773" s="831" t="s">
        <v>520</v>
      </c>
      <c r="AH4773" s="831" t="s">
        <v>660</v>
      </c>
      <c r="AI4773" s="831">
        <v>0</v>
      </c>
      <c r="AJ4773" s="835">
        <v>40968</v>
      </c>
      <c r="AK4773" s="831">
        <v>0</v>
      </c>
      <c r="AP4773" s="831" t="str">
        <f t="shared" si="223"/>
        <v/>
      </c>
    </row>
    <row r="4774" spans="2:42">
      <c r="B4774" s="834" t="str">
        <f t="shared" si="222"/>
        <v>|||</v>
      </c>
      <c r="H4774" s="835">
        <f t="shared" si="224"/>
        <v>31</v>
      </c>
      <c r="AF4774" s="831" t="s">
        <v>5431</v>
      </c>
      <c r="AG4774" s="831" t="s">
        <v>520</v>
      </c>
      <c r="AH4774" s="831" t="s">
        <v>661</v>
      </c>
      <c r="AI4774" s="831">
        <v>0</v>
      </c>
      <c r="AJ4774" s="835">
        <v>40968</v>
      </c>
      <c r="AK4774" s="831">
        <v>0</v>
      </c>
      <c r="AP4774" s="831" t="str">
        <f t="shared" si="223"/>
        <v/>
      </c>
    </row>
    <row r="4775" spans="2:42">
      <c r="B4775" s="834" t="str">
        <f t="shared" si="222"/>
        <v>|||</v>
      </c>
      <c r="H4775" s="835">
        <f t="shared" si="224"/>
        <v>31</v>
      </c>
      <c r="AF4775" s="831" t="s">
        <v>5432</v>
      </c>
      <c r="AG4775" s="831" t="s">
        <v>520</v>
      </c>
      <c r="AH4775" s="831" t="s">
        <v>662</v>
      </c>
      <c r="AI4775" s="831">
        <v>0</v>
      </c>
      <c r="AJ4775" s="835">
        <v>40968</v>
      </c>
      <c r="AK4775" s="831">
        <v>0</v>
      </c>
      <c r="AP4775" s="831" t="str">
        <f t="shared" si="223"/>
        <v/>
      </c>
    </row>
    <row r="4776" spans="2:42">
      <c r="B4776" s="834" t="str">
        <f t="shared" si="222"/>
        <v>|||</v>
      </c>
      <c r="H4776" s="835">
        <f t="shared" si="224"/>
        <v>31</v>
      </c>
      <c r="AF4776" s="831" t="s">
        <v>5433</v>
      </c>
      <c r="AG4776" s="831" t="s">
        <v>520</v>
      </c>
      <c r="AH4776" s="831" t="s">
        <v>291</v>
      </c>
      <c r="AI4776" s="831">
        <v>0</v>
      </c>
      <c r="AJ4776" s="835">
        <v>40999</v>
      </c>
      <c r="AK4776" s="831">
        <v>7310010</v>
      </c>
      <c r="AP4776" s="831" t="str">
        <f t="shared" si="223"/>
        <v/>
      </c>
    </row>
    <row r="4777" spans="2:42">
      <c r="B4777" s="834" t="str">
        <f t="shared" si="222"/>
        <v>|||</v>
      </c>
      <c r="H4777" s="835">
        <f t="shared" si="224"/>
        <v>31</v>
      </c>
      <c r="AF4777" s="831" t="s">
        <v>5434</v>
      </c>
      <c r="AG4777" s="831" t="s">
        <v>520</v>
      </c>
      <c r="AH4777" s="831" t="s">
        <v>519</v>
      </c>
      <c r="AI4777" s="831">
        <v>0</v>
      </c>
      <c r="AJ4777" s="835">
        <v>40999</v>
      </c>
      <c r="AK4777" s="831">
        <v>162456050</v>
      </c>
      <c r="AP4777" s="831" t="str">
        <f t="shared" si="223"/>
        <v/>
      </c>
    </row>
    <row r="4778" spans="2:42">
      <c r="B4778" s="834" t="str">
        <f t="shared" si="222"/>
        <v>|||</v>
      </c>
      <c r="H4778" s="835">
        <f t="shared" si="224"/>
        <v>31</v>
      </c>
      <c r="AF4778" s="831" t="s">
        <v>5435</v>
      </c>
      <c r="AG4778" s="831" t="s">
        <v>520</v>
      </c>
      <c r="AH4778" s="831" t="s">
        <v>94</v>
      </c>
      <c r="AI4778" s="831">
        <v>0</v>
      </c>
      <c r="AJ4778" s="835">
        <v>40999</v>
      </c>
      <c r="AK4778" s="831">
        <v>13427860</v>
      </c>
      <c r="AP4778" s="831" t="str">
        <f t="shared" si="223"/>
        <v/>
      </c>
    </row>
    <row r="4779" spans="2:42">
      <c r="B4779" s="834" t="str">
        <f t="shared" si="222"/>
        <v>|||</v>
      </c>
      <c r="H4779" s="835">
        <f t="shared" si="224"/>
        <v>31</v>
      </c>
      <c r="AF4779" s="831" t="s">
        <v>5436</v>
      </c>
      <c r="AG4779" s="831" t="s">
        <v>520</v>
      </c>
      <c r="AH4779" s="831" t="s">
        <v>85</v>
      </c>
      <c r="AI4779" s="831">
        <v>0</v>
      </c>
      <c r="AJ4779" s="835">
        <v>40999</v>
      </c>
      <c r="AK4779" s="831">
        <v>54091550</v>
      </c>
      <c r="AP4779" s="831" t="str">
        <f t="shared" si="223"/>
        <v/>
      </c>
    </row>
    <row r="4780" spans="2:42">
      <c r="B4780" s="834" t="str">
        <f t="shared" si="222"/>
        <v>|||</v>
      </c>
      <c r="H4780" s="835">
        <f t="shared" si="224"/>
        <v>31</v>
      </c>
      <c r="AF4780" s="831" t="s">
        <v>5437</v>
      </c>
      <c r="AG4780" s="831" t="s">
        <v>520</v>
      </c>
      <c r="AH4780" s="831" t="s">
        <v>90</v>
      </c>
      <c r="AI4780" s="831">
        <v>0</v>
      </c>
      <c r="AJ4780" s="835">
        <v>40999</v>
      </c>
      <c r="AK4780" s="831">
        <v>117619420</v>
      </c>
      <c r="AP4780" s="831" t="str">
        <f t="shared" si="223"/>
        <v/>
      </c>
    </row>
    <row r="4781" spans="2:42">
      <c r="B4781" s="834" t="str">
        <f t="shared" si="222"/>
        <v>|||</v>
      </c>
      <c r="H4781" s="835">
        <f t="shared" si="224"/>
        <v>31</v>
      </c>
      <c r="AF4781" s="831" t="s">
        <v>5438</v>
      </c>
      <c r="AG4781" s="831" t="s">
        <v>520</v>
      </c>
      <c r="AH4781" s="831" t="s">
        <v>117</v>
      </c>
      <c r="AI4781" s="831">
        <v>0</v>
      </c>
      <c r="AJ4781" s="835">
        <v>40999</v>
      </c>
      <c r="AK4781" s="831">
        <v>6411730</v>
      </c>
      <c r="AP4781" s="831" t="str">
        <f t="shared" si="223"/>
        <v/>
      </c>
    </row>
    <row r="4782" spans="2:42">
      <c r="B4782" s="834" t="str">
        <f t="shared" si="222"/>
        <v>|||</v>
      </c>
      <c r="H4782" s="835">
        <f t="shared" si="224"/>
        <v>31</v>
      </c>
      <c r="AF4782" s="831" t="s">
        <v>5439</v>
      </c>
      <c r="AG4782" s="831" t="s">
        <v>520</v>
      </c>
      <c r="AH4782" s="831" t="s">
        <v>525</v>
      </c>
      <c r="AI4782" s="831">
        <v>0</v>
      </c>
      <c r="AJ4782" s="835">
        <v>40999</v>
      </c>
      <c r="AK4782" s="831">
        <v>0</v>
      </c>
      <c r="AP4782" s="831" t="str">
        <f t="shared" si="223"/>
        <v/>
      </c>
    </row>
    <row r="4783" spans="2:42">
      <c r="B4783" s="834" t="str">
        <f t="shared" si="222"/>
        <v>|||</v>
      </c>
      <c r="H4783" s="835">
        <f t="shared" si="224"/>
        <v>31</v>
      </c>
      <c r="AF4783" s="831" t="s">
        <v>5440</v>
      </c>
      <c r="AG4783" s="831" t="s">
        <v>520</v>
      </c>
      <c r="AH4783" s="831" t="s">
        <v>522</v>
      </c>
      <c r="AI4783" s="831">
        <v>0</v>
      </c>
      <c r="AJ4783" s="835">
        <v>40999</v>
      </c>
      <c r="AK4783" s="831">
        <v>0</v>
      </c>
      <c r="AP4783" s="831" t="str">
        <f t="shared" si="223"/>
        <v/>
      </c>
    </row>
    <row r="4784" spans="2:42">
      <c r="B4784" s="834" t="str">
        <f t="shared" si="222"/>
        <v>|||</v>
      </c>
      <c r="H4784" s="835">
        <f t="shared" si="224"/>
        <v>31</v>
      </c>
      <c r="AF4784" s="831" t="s">
        <v>5441</v>
      </c>
      <c r="AG4784" s="831" t="s">
        <v>520</v>
      </c>
      <c r="AH4784" s="831" t="s">
        <v>523</v>
      </c>
      <c r="AI4784" s="831">
        <v>0</v>
      </c>
      <c r="AJ4784" s="835">
        <v>40999</v>
      </c>
      <c r="AK4784" s="831">
        <v>0</v>
      </c>
      <c r="AP4784" s="831" t="str">
        <f t="shared" si="223"/>
        <v/>
      </c>
    </row>
    <row r="4785" spans="2:42">
      <c r="B4785" s="834" t="str">
        <f t="shared" si="222"/>
        <v>|||</v>
      </c>
      <c r="H4785" s="835">
        <f t="shared" si="224"/>
        <v>31</v>
      </c>
      <c r="AF4785" s="831" t="s">
        <v>5442</v>
      </c>
      <c r="AG4785" s="831" t="s">
        <v>520</v>
      </c>
      <c r="AH4785" s="831" t="s">
        <v>524</v>
      </c>
      <c r="AI4785" s="831">
        <v>0</v>
      </c>
      <c r="AJ4785" s="835">
        <v>40999</v>
      </c>
      <c r="AK4785" s="831">
        <v>0</v>
      </c>
      <c r="AP4785" s="831" t="str">
        <f t="shared" si="223"/>
        <v/>
      </c>
    </row>
    <row r="4786" spans="2:42">
      <c r="B4786" s="834" t="str">
        <f t="shared" si="222"/>
        <v>|||</v>
      </c>
      <c r="H4786" s="835">
        <f t="shared" si="224"/>
        <v>31</v>
      </c>
      <c r="AF4786" s="831" t="s">
        <v>5443</v>
      </c>
      <c r="AG4786" s="831" t="s">
        <v>520</v>
      </c>
      <c r="AH4786" s="831" t="s">
        <v>521</v>
      </c>
      <c r="AI4786" s="831">
        <v>0</v>
      </c>
      <c r="AJ4786" s="835">
        <v>40999</v>
      </c>
      <c r="AK4786" s="831">
        <v>0</v>
      </c>
      <c r="AP4786" s="831" t="str">
        <f t="shared" si="223"/>
        <v/>
      </c>
    </row>
    <row r="4787" spans="2:42">
      <c r="B4787" s="834" t="str">
        <f t="shared" si="222"/>
        <v>|||</v>
      </c>
      <c r="H4787" s="835">
        <f t="shared" si="224"/>
        <v>31</v>
      </c>
      <c r="AF4787" s="831" t="s">
        <v>5444</v>
      </c>
      <c r="AG4787" s="831" t="s">
        <v>520</v>
      </c>
      <c r="AH4787" s="831" t="s">
        <v>660</v>
      </c>
      <c r="AI4787" s="831">
        <v>0</v>
      </c>
      <c r="AJ4787" s="835">
        <v>40999</v>
      </c>
      <c r="AK4787" s="831">
        <v>0</v>
      </c>
      <c r="AP4787" s="831" t="str">
        <f t="shared" si="223"/>
        <v/>
      </c>
    </row>
    <row r="4788" spans="2:42">
      <c r="B4788" s="834" t="str">
        <f t="shared" si="222"/>
        <v>|||</v>
      </c>
      <c r="H4788" s="835">
        <f t="shared" si="224"/>
        <v>31</v>
      </c>
      <c r="AF4788" s="831" t="s">
        <v>5445</v>
      </c>
      <c r="AG4788" s="831" t="s">
        <v>520</v>
      </c>
      <c r="AH4788" s="831" t="s">
        <v>661</v>
      </c>
      <c r="AI4788" s="831">
        <v>0</v>
      </c>
      <c r="AJ4788" s="835">
        <v>40999</v>
      </c>
      <c r="AK4788" s="831">
        <v>0</v>
      </c>
      <c r="AP4788" s="831" t="str">
        <f t="shared" si="223"/>
        <v/>
      </c>
    </row>
    <row r="4789" spans="2:42">
      <c r="B4789" s="834" t="str">
        <f t="shared" si="222"/>
        <v>|||</v>
      </c>
      <c r="H4789" s="835">
        <f t="shared" si="224"/>
        <v>31</v>
      </c>
      <c r="AF4789" s="831" t="s">
        <v>5446</v>
      </c>
      <c r="AG4789" s="831" t="s">
        <v>520</v>
      </c>
      <c r="AH4789" s="831" t="s">
        <v>662</v>
      </c>
      <c r="AI4789" s="831">
        <v>0</v>
      </c>
      <c r="AJ4789" s="835">
        <v>40999</v>
      </c>
      <c r="AK4789" s="831">
        <v>0</v>
      </c>
      <c r="AP4789" s="831" t="str">
        <f t="shared" si="223"/>
        <v/>
      </c>
    </row>
    <row r="4790" spans="2:42">
      <c r="B4790" s="834" t="str">
        <f t="shared" si="222"/>
        <v>|||</v>
      </c>
      <c r="H4790" s="835">
        <f t="shared" si="224"/>
        <v>31</v>
      </c>
      <c r="AF4790" s="831" t="s">
        <v>5447</v>
      </c>
      <c r="AG4790" s="831" t="s">
        <v>520</v>
      </c>
      <c r="AH4790" s="831" t="s">
        <v>291</v>
      </c>
      <c r="AI4790" s="831">
        <v>0</v>
      </c>
      <c r="AJ4790" s="835">
        <v>41029</v>
      </c>
      <c r="AK4790" s="831">
        <v>7768890</v>
      </c>
      <c r="AP4790" s="831" t="str">
        <f t="shared" si="223"/>
        <v/>
      </c>
    </row>
    <row r="4791" spans="2:42">
      <c r="B4791" s="834" t="str">
        <f t="shared" si="222"/>
        <v>|||</v>
      </c>
      <c r="H4791" s="835">
        <f t="shared" si="224"/>
        <v>31</v>
      </c>
      <c r="AF4791" s="831" t="s">
        <v>5448</v>
      </c>
      <c r="AG4791" s="831" t="s">
        <v>520</v>
      </c>
      <c r="AH4791" s="831" t="s">
        <v>519</v>
      </c>
      <c r="AI4791" s="831">
        <v>0</v>
      </c>
      <c r="AJ4791" s="835">
        <v>41029</v>
      </c>
      <c r="AK4791" s="831">
        <v>167399140</v>
      </c>
      <c r="AP4791" s="831" t="str">
        <f t="shared" si="223"/>
        <v/>
      </c>
    </row>
    <row r="4792" spans="2:42">
      <c r="B4792" s="834" t="str">
        <f t="shared" si="222"/>
        <v>|||</v>
      </c>
      <c r="H4792" s="835">
        <f t="shared" si="224"/>
        <v>31</v>
      </c>
      <c r="AF4792" s="831" t="s">
        <v>5449</v>
      </c>
      <c r="AG4792" s="831" t="s">
        <v>520</v>
      </c>
      <c r="AH4792" s="831" t="s">
        <v>94</v>
      </c>
      <c r="AI4792" s="831">
        <v>0</v>
      </c>
      <c r="AJ4792" s="835">
        <v>41029</v>
      </c>
      <c r="AK4792" s="831">
        <v>10413330</v>
      </c>
      <c r="AP4792" s="831" t="str">
        <f t="shared" si="223"/>
        <v/>
      </c>
    </row>
    <row r="4793" spans="2:42">
      <c r="B4793" s="834" t="str">
        <f t="shared" si="222"/>
        <v>|||</v>
      </c>
      <c r="H4793" s="835">
        <f t="shared" si="224"/>
        <v>31</v>
      </c>
      <c r="AF4793" s="831" t="s">
        <v>5450</v>
      </c>
      <c r="AG4793" s="831" t="s">
        <v>520</v>
      </c>
      <c r="AH4793" s="831" t="s">
        <v>85</v>
      </c>
      <c r="AI4793" s="831">
        <v>0</v>
      </c>
      <c r="AJ4793" s="835">
        <v>41029</v>
      </c>
      <c r="AK4793" s="831">
        <v>54212160</v>
      </c>
      <c r="AP4793" s="831" t="str">
        <f t="shared" si="223"/>
        <v/>
      </c>
    </row>
    <row r="4794" spans="2:42">
      <c r="B4794" s="834" t="str">
        <f t="shared" si="222"/>
        <v>|||</v>
      </c>
      <c r="H4794" s="835">
        <f t="shared" si="224"/>
        <v>31</v>
      </c>
      <c r="AF4794" s="831" t="s">
        <v>5451</v>
      </c>
      <c r="AG4794" s="831" t="s">
        <v>520</v>
      </c>
      <c r="AH4794" s="831" t="s">
        <v>90</v>
      </c>
      <c r="AI4794" s="831">
        <v>0</v>
      </c>
      <c r="AJ4794" s="835">
        <v>41029</v>
      </c>
      <c r="AK4794" s="831">
        <v>117619420</v>
      </c>
      <c r="AP4794" s="831" t="str">
        <f t="shared" si="223"/>
        <v/>
      </c>
    </row>
    <row r="4795" spans="2:42">
      <c r="B4795" s="834" t="str">
        <f t="shared" si="222"/>
        <v>|||</v>
      </c>
      <c r="H4795" s="835">
        <f t="shared" si="224"/>
        <v>31</v>
      </c>
      <c r="AF4795" s="831" t="s">
        <v>5452</v>
      </c>
      <c r="AG4795" s="831" t="s">
        <v>520</v>
      </c>
      <c r="AH4795" s="831" t="s">
        <v>117</v>
      </c>
      <c r="AI4795" s="831">
        <v>0</v>
      </c>
      <c r="AJ4795" s="835">
        <v>41029</v>
      </c>
      <c r="AK4795" s="831">
        <v>4855060</v>
      </c>
      <c r="AP4795" s="831" t="str">
        <f t="shared" si="223"/>
        <v/>
      </c>
    </row>
    <row r="4796" spans="2:42">
      <c r="B4796" s="834" t="str">
        <f t="shared" si="222"/>
        <v>|||</v>
      </c>
      <c r="H4796" s="835">
        <f t="shared" si="224"/>
        <v>31</v>
      </c>
      <c r="AF4796" s="831" t="s">
        <v>5453</v>
      </c>
      <c r="AG4796" s="831" t="s">
        <v>520</v>
      </c>
      <c r="AH4796" s="831" t="s">
        <v>525</v>
      </c>
      <c r="AI4796" s="831">
        <v>0</v>
      </c>
      <c r="AJ4796" s="835">
        <v>41029</v>
      </c>
      <c r="AK4796" s="831">
        <v>0</v>
      </c>
      <c r="AP4796" s="831" t="str">
        <f t="shared" si="223"/>
        <v/>
      </c>
    </row>
    <row r="4797" spans="2:42">
      <c r="B4797" s="834" t="str">
        <f t="shared" si="222"/>
        <v>|||</v>
      </c>
      <c r="H4797" s="835">
        <f t="shared" si="224"/>
        <v>31</v>
      </c>
      <c r="AF4797" s="831" t="s">
        <v>5454</v>
      </c>
      <c r="AG4797" s="831" t="s">
        <v>520</v>
      </c>
      <c r="AH4797" s="831" t="s">
        <v>522</v>
      </c>
      <c r="AI4797" s="831">
        <v>0</v>
      </c>
      <c r="AJ4797" s="835">
        <v>41029</v>
      </c>
      <c r="AK4797" s="831">
        <v>0</v>
      </c>
      <c r="AP4797" s="831" t="str">
        <f t="shared" si="223"/>
        <v/>
      </c>
    </row>
    <row r="4798" spans="2:42">
      <c r="B4798" s="834" t="str">
        <f t="shared" si="222"/>
        <v>|||</v>
      </c>
      <c r="H4798" s="835">
        <f t="shared" si="224"/>
        <v>31</v>
      </c>
      <c r="AF4798" s="831" t="s">
        <v>5455</v>
      </c>
      <c r="AG4798" s="831" t="s">
        <v>520</v>
      </c>
      <c r="AH4798" s="831" t="s">
        <v>523</v>
      </c>
      <c r="AI4798" s="831">
        <v>0</v>
      </c>
      <c r="AJ4798" s="835">
        <v>41029</v>
      </c>
      <c r="AK4798" s="831">
        <v>0</v>
      </c>
      <c r="AP4798" s="831" t="str">
        <f t="shared" si="223"/>
        <v/>
      </c>
    </row>
    <row r="4799" spans="2:42">
      <c r="B4799" s="834" t="str">
        <f t="shared" si="222"/>
        <v>|||</v>
      </c>
      <c r="H4799" s="835">
        <f t="shared" si="224"/>
        <v>31</v>
      </c>
      <c r="AF4799" s="831" t="s">
        <v>5456</v>
      </c>
      <c r="AG4799" s="831" t="s">
        <v>520</v>
      </c>
      <c r="AH4799" s="831" t="s">
        <v>524</v>
      </c>
      <c r="AI4799" s="831">
        <v>0</v>
      </c>
      <c r="AJ4799" s="835">
        <v>41029</v>
      </c>
      <c r="AK4799" s="831">
        <v>0</v>
      </c>
      <c r="AP4799" s="831" t="str">
        <f t="shared" si="223"/>
        <v/>
      </c>
    </row>
    <row r="4800" spans="2:42">
      <c r="B4800" s="834" t="str">
        <f t="shared" si="222"/>
        <v>|||</v>
      </c>
      <c r="H4800" s="835">
        <f t="shared" si="224"/>
        <v>31</v>
      </c>
      <c r="AF4800" s="831" t="s">
        <v>5457</v>
      </c>
      <c r="AG4800" s="831" t="s">
        <v>520</v>
      </c>
      <c r="AH4800" s="831" t="s">
        <v>521</v>
      </c>
      <c r="AI4800" s="831">
        <v>0</v>
      </c>
      <c r="AJ4800" s="835">
        <v>41029</v>
      </c>
      <c r="AK4800" s="831">
        <v>0</v>
      </c>
      <c r="AP4800" s="831" t="str">
        <f t="shared" si="223"/>
        <v/>
      </c>
    </row>
    <row r="4801" spans="2:42">
      <c r="B4801" s="834" t="str">
        <f t="shared" si="222"/>
        <v>|||</v>
      </c>
      <c r="H4801" s="835">
        <f t="shared" si="224"/>
        <v>31</v>
      </c>
      <c r="AF4801" s="831" t="s">
        <v>5458</v>
      </c>
      <c r="AG4801" s="831" t="s">
        <v>520</v>
      </c>
      <c r="AH4801" s="831" t="s">
        <v>660</v>
      </c>
      <c r="AI4801" s="831">
        <v>0</v>
      </c>
      <c r="AJ4801" s="835">
        <v>41029</v>
      </c>
      <c r="AK4801" s="831">
        <v>0</v>
      </c>
      <c r="AP4801" s="831" t="str">
        <f t="shared" si="223"/>
        <v/>
      </c>
    </row>
    <row r="4802" spans="2:42">
      <c r="B4802" s="834" t="str">
        <f t="shared" si="222"/>
        <v>|||</v>
      </c>
      <c r="H4802" s="835">
        <f t="shared" si="224"/>
        <v>31</v>
      </c>
      <c r="AF4802" s="831" t="s">
        <v>5459</v>
      </c>
      <c r="AG4802" s="831" t="s">
        <v>520</v>
      </c>
      <c r="AH4802" s="831" t="s">
        <v>661</v>
      </c>
      <c r="AI4802" s="831">
        <v>0</v>
      </c>
      <c r="AJ4802" s="835">
        <v>41029</v>
      </c>
      <c r="AK4802" s="831">
        <v>0</v>
      </c>
      <c r="AP4802" s="831" t="str">
        <f t="shared" si="223"/>
        <v/>
      </c>
    </row>
    <row r="4803" spans="2:42">
      <c r="B4803" s="834" t="str">
        <f t="shared" ref="B4803:B4866" si="225">C4803&amp;"|"&amp;D4803&amp;"|"&amp;E4803&amp;"|"&amp;F4803</f>
        <v>|||</v>
      </c>
      <c r="H4803" s="835">
        <f t="shared" si="224"/>
        <v>31</v>
      </c>
      <c r="AF4803" s="831" t="s">
        <v>5460</v>
      </c>
      <c r="AG4803" s="831" t="s">
        <v>520</v>
      </c>
      <c r="AH4803" s="831" t="s">
        <v>662</v>
      </c>
      <c r="AI4803" s="831">
        <v>0</v>
      </c>
      <c r="AJ4803" s="835">
        <v>41029</v>
      </c>
      <c r="AK4803" s="831">
        <v>0</v>
      </c>
      <c r="AP4803" s="831" t="str">
        <f t="shared" ref="AP4803:AP4866" si="226">IF(AX4803&lt;&gt;"",IF(OR(AX4803=3,AX4803=4),"Equity","Debt"),"")</f>
        <v/>
      </c>
    </row>
    <row r="4804" spans="2:42">
      <c r="B4804" s="834" t="str">
        <f t="shared" si="225"/>
        <v>|||</v>
      </c>
      <c r="H4804" s="835">
        <f t="shared" ref="H4804:H4867" si="227">EOMONTH(L4804,0)</f>
        <v>31</v>
      </c>
      <c r="AF4804" s="831" t="s">
        <v>5461</v>
      </c>
      <c r="AG4804" s="831" t="s">
        <v>520</v>
      </c>
      <c r="AH4804" s="831" t="s">
        <v>291</v>
      </c>
      <c r="AI4804" s="831">
        <v>0</v>
      </c>
      <c r="AJ4804" s="835">
        <v>41060</v>
      </c>
      <c r="AK4804" s="831">
        <v>6923560</v>
      </c>
      <c r="AP4804" s="831" t="str">
        <f t="shared" si="226"/>
        <v/>
      </c>
    </row>
    <row r="4805" spans="2:42">
      <c r="B4805" s="834" t="str">
        <f t="shared" si="225"/>
        <v>|||</v>
      </c>
      <c r="H4805" s="835">
        <f t="shared" si="227"/>
        <v>31</v>
      </c>
      <c r="AF4805" s="831" t="s">
        <v>5462</v>
      </c>
      <c r="AG4805" s="831" t="s">
        <v>520</v>
      </c>
      <c r="AH4805" s="831" t="s">
        <v>519</v>
      </c>
      <c r="AI4805" s="831">
        <v>0</v>
      </c>
      <c r="AJ4805" s="835">
        <v>41060</v>
      </c>
      <c r="AK4805" s="831">
        <v>171018320</v>
      </c>
      <c r="AP4805" s="831" t="str">
        <f t="shared" si="226"/>
        <v/>
      </c>
    </row>
    <row r="4806" spans="2:42">
      <c r="B4806" s="834" t="str">
        <f t="shared" si="225"/>
        <v>|||</v>
      </c>
      <c r="H4806" s="835">
        <f t="shared" si="227"/>
        <v>31</v>
      </c>
      <c r="AF4806" s="831" t="s">
        <v>5463</v>
      </c>
      <c r="AG4806" s="831" t="s">
        <v>520</v>
      </c>
      <c r="AH4806" s="831" t="s">
        <v>94</v>
      </c>
      <c r="AI4806" s="831">
        <v>0</v>
      </c>
      <c r="AJ4806" s="835">
        <v>41060</v>
      </c>
      <c r="AK4806" s="831">
        <v>18207100</v>
      </c>
      <c r="AP4806" s="831" t="str">
        <f t="shared" si="226"/>
        <v/>
      </c>
    </row>
    <row r="4807" spans="2:42">
      <c r="B4807" s="834" t="str">
        <f t="shared" si="225"/>
        <v>|||</v>
      </c>
      <c r="H4807" s="835">
        <f t="shared" si="227"/>
        <v>31</v>
      </c>
      <c r="AF4807" s="831" t="s">
        <v>5464</v>
      </c>
      <c r="AG4807" s="831" t="s">
        <v>520</v>
      </c>
      <c r="AH4807" s="831" t="s">
        <v>85</v>
      </c>
      <c r="AI4807" s="831">
        <v>0</v>
      </c>
      <c r="AJ4807" s="835">
        <v>41060</v>
      </c>
      <c r="AK4807" s="831">
        <v>57934010</v>
      </c>
      <c r="AP4807" s="831" t="str">
        <f t="shared" si="226"/>
        <v/>
      </c>
    </row>
    <row r="4808" spans="2:42">
      <c r="B4808" s="834" t="str">
        <f t="shared" si="225"/>
        <v>|||</v>
      </c>
      <c r="H4808" s="835">
        <f t="shared" si="227"/>
        <v>31</v>
      </c>
      <c r="AF4808" s="831" t="s">
        <v>5465</v>
      </c>
      <c r="AG4808" s="831" t="s">
        <v>520</v>
      </c>
      <c r="AH4808" s="831" t="s">
        <v>90</v>
      </c>
      <c r="AI4808" s="831">
        <v>0</v>
      </c>
      <c r="AJ4808" s="835">
        <v>41060</v>
      </c>
      <c r="AK4808" s="831">
        <v>129941220</v>
      </c>
      <c r="AP4808" s="831" t="str">
        <f t="shared" si="226"/>
        <v/>
      </c>
    </row>
    <row r="4809" spans="2:42">
      <c r="B4809" s="834" t="str">
        <f t="shared" si="225"/>
        <v>|||</v>
      </c>
      <c r="H4809" s="835">
        <f t="shared" si="227"/>
        <v>31</v>
      </c>
      <c r="AF4809" s="831" t="s">
        <v>5466</v>
      </c>
      <c r="AG4809" s="831" t="s">
        <v>520</v>
      </c>
      <c r="AH4809" s="831" t="s">
        <v>117</v>
      </c>
      <c r="AI4809" s="831">
        <v>0</v>
      </c>
      <c r="AJ4809" s="835">
        <v>41060</v>
      </c>
      <c r="AK4809" s="831">
        <v>6897750</v>
      </c>
      <c r="AP4809" s="831" t="str">
        <f t="shared" si="226"/>
        <v/>
      </c>
    </row>
    <row r="4810" spans="2:42">
      <c r="B4810" s="834" t="str">
        <f t="shared" si="225"/>
        <v>|||</v>
      </c>
      <c r="H4810" s="835">
        <f t="shared" si="227"/>
        <v>31</v>
      </c>
      <c r="AF4810" s="831" t="s">
        <v>5467</v>
      </c>
      <c r="AG4810" s="831" t="s">
        <v>520</v>
      </c>
      <c r="AH4810" s="831" t="s">
        <v>525</v>
      </c>
      <c r="AI4810" s="831">
        <v>0</v>
      </c>
      <c r="AJ4810" s="835">
        <v>41060</v>
      </c>
      <c r="AK4810" s="831">
        <v>0</v>
      </c>
      <c r="AP4810" s="831" t="str">
        <f t="shared" si="226"/>
        <v/>
      </c>
    </row>
    <row r="4811" spans="2:42">
      <c r="B4811" s="834" t="str">
        <f t="shared" si="225"/>
        <v>|||</v>
      </c>
      <c r="H4811" s="835">
        <f t="shared" si="227"/>
        <v>31</v>
      </c>
      <c r="AF4811" s="831" t="s">
        <v>5468</v>
      </c>
      <c r="AG4811" s="831" t="s">
        <v>520</v>
      </c>
      <c r="AH4811" s="831" t="s">
        <v>522</v>
      </c>
      <c r="AI4811" s="831">
        <v>0</v>
      </c>
      <c r="AJ4811" s="835">
        <v>41060</v>
      </c>
      <c r="AK4811" s="831">
        <v>0</v>
      </c>
      <c r="AP4811" s="831" t="str">
        <f t="shared" si="226"/>
        <v/>
      </c>
    </row>
    <row r="4812" spans="2:42">
      <c r="B4812" s="834" t="str">
        <f t="shared" si="225"/>
        <v>|||</v>
      </c>
      <c r="H4812" s="835">
        <f t="shared" si="227"/>
        <v>31</v>
      </c>
      <c r="AF4812" s="831" t="s">
        <v>5469</v>
      </c>
      <c r="AG4812" s="831" t="s">
        <v>520</v>
      </c>
      <c r="AH4812" s="831" t="s">
        <v>523</v>
      </c>
      <c r="AI4812" s="831">
        <v>0</v>
      </c>
      <c r="AJ4812" s="835">
        <v>41060</v>
      </c>
      <c r="AK4812" s="831">
        <v>0</v>
      </c>
      <c r="AP4812" s="831" t="str">
        <f t="shared" si="226"/>
        <v/>
      </c>
    </row>
    <row r="4813" spans="2:42">
      <c r="B4813" s="834" t="str">
        <f t="shared" si="225"/>
        <v>|||</v>
      </c>
      <c r="H4813" s="835">
        <f t="shared" si="227"/>
        <v>31</v>
      </c>
      <c r="AF4813" s="831" t="s">
        <v>5470</v>
      </c>
      <c r="AG4813" s="831" t="s">
        <v>520</v>
      </c>
      <c r="AH4813" s="831" t="s">
        <v>524</v>
      </c>
      <c r="AI4813" s="831">
        <v>0</v>
      </c>
      <c r="AJ4813" s="835">
        <v>41060</v>
      </c>
      <c r="AK4813" s="831">
        <v>0</v>
      </c>
      <c r="AP4813" s="831" t="str">
        <f t="shared" si="226"/>
        <v/>
      </c>
    </row>
    <row r="4814" spans="2:42">
      <c r="B4814" s="834" t="str">
        <f t="shared" si="225"/>
        <v>|||</v>
      </c>
      <c r="H4814" s="835">
        <f t="shared" si="227"/>
        <v>31</v>
      </c>
      <c r="AF4814" s="831" t="s">
        <v>5471</v>
      </c>
      <c r="AG4814" s="831" t="s">
        <v>520</v>
      </c>
      <c r="AH4814" s="831" t="s">
        <v>521</v>
      </c>
      <c r="AI4814" s="831">
        <v>0</v>
      </c>
      <c r="AJ4814" s="835">
        <v>41060</v>
      </c>
      <c r="AK4814" s="831">
        <v>0</v>
      </c>
      <c r="AP4814" s="831" t="str">
        <f t="shared" si="226"/>
        <v/>
      </c>
    </row>
    <row r="4815" spans="2:42">
      <c r="B4815" s="834" t="str">
        <f t="shared" si="225"/>
        <v>|||</v>
      </c>
      <c r="H4815" s="835">
        <f t="shared" si="227"/>
        <v>31</v>
      </c>
      <c r="AF4815" s="831" t="s">
        <v>5472</v>
      </c>
      <c r="AG4815" s="831" t="s">
        <v>520</v>
      </c>
      <c r="AH4815" s="831" t="s">
        <v>660</v>
      </c>
      <c r="AI4815" s="831">
        <v>0</v>
      </c>
      <c r="AJ4815" s="835">
        <v>41060</v>
      </c>
      <c r="AK4815" s="831">
        <v>0</v>
      </c>
      <c r="AP4815" s="831" t="str">
        <f t="shared" si="226"/>
        <v/>
      </c>
    </row>
    <row r="4816" spans="2:42">
      <c r="B4816" s="834" t="str">
        <f t="shared" si="225"/>
        <v>|||</v>
      </c>
      <c r="H4816" s="835">
        <f t="shared" si="227"/>
        <v>31</v>
      </c>
      <c r="AF4816" s="831" t="s">
        <v>5473</v>
      </c>
      <c r="AG4816" s="831" t="s">
        <v>520</v>
      </c>
      <c r="AH4816" s="831" t="s">
        <v>661</v>
      </c>
      <c r="AI4816" s="831">
        <v>0</v>
      </c>
      <c r="AJ4816" s="835">
        <v>41060</v>
      </c>
      <c r="AK4816" s="831">
        <v>0</v>
      </c>
      <c r="AP4816" s="831" t="str">
        <f t="shared" si="226"/>
        <v/>
      </c>
    </row>
    <row r="4817" spans="2:42">
      <c r="B4817" s="834" t="str">
        <f t="shared" si="225"/>
        <v>|||</v>
      </c>
      <c r="H4817" s="835">
        <f t="shared" si="227"/>
        <v>31</v>
      </c>
      <c r="AF4817" s="831" t="s">
        <v>5474</v>
      </c>
      <c r="AG4817" s="831" t="s">
        <v>520</v>
      </c>
      <c r="AH4817" s="831" t="s">
        <v>662</v>
      </c>
      <c r="AI4817" s="831">
        <v>0</v>
      </c>
      <c r="AJ4817" s="835">
        <v>41060</v>
      </c>
      <c r="AK4817" s="831">
        <v>0</v>
      </c>
      <c r="AP4817" s="831" t="str">
        <f t="shared" si="226"/>
        <v/>
      </c>
    </row>
    <row r="4818" spans="2:42">
      <c r="B4818" s="834" t="str">
        <f t="shared" si="225"/>
        <v>|||</v>
      </c>
      <c r="H4818" s="835">
        <f t="shared" si="227"/>
        <v>31</v>
      </c>
      <c r="AF4818" s="831" t="s">
        <v>5475</v>
      </c>
      <c r="AG4818" s="831" t="s">
        <v>520</v>
      </c>
      <c r="AH4818" s="831" t="s">
        <v>291</v>
      </c>
      <c r="AI4818" s="831">
        <v>0</v>
      </c>
      <c r="AJ4818" s="835">
        <v>41090</v>
      </c>
      <c r="AK4818" s="831">
        <v>7072800</v>
      </c>
      <c r="AP4818" s="831" t="str">
        <f t="shared" si="226"/>
        <v/>
      </c>
    </row>
    <row r="4819" spans="2:42">
      <c r="B4819" s="834" t="str">
        <f t="shared" si="225"/>
        <v>|||</v>
      </c>
      <c r="H4819" s="835">
        <f t="shared" si="227"/>
        <v>31</v>
      </c>
      <c r="AF4819" s="831" t="s">
        <v>5476</v>
      </c>
      <c r="AG4819" s="831" t="s">
        <v>520</v>
      </c>
      <c r="AH4819" s="831" t="s">
        <v>519</v>
      </c>
      <c r="AI4819" s="831">
        <v>0</v>
      </c>
      <c r="AJ4819" s="835">
        <v>41090</v>
      </c>
      <c r="AK4819" s="831">
        <v>173844810</v>
      </c>
      <c r="AP4819" s="831" t="str">
        <f t="shared" si="226"/>
        <v/>
      </c>
    </row>
    <row r="4820" spans="2:42">
      <c r="B4820" s="834" t="str">
        <f t="shared" si="225"/>
        <v>|||</v>
      </c>
      <c r="H4820" s="835">
        <f t="shared" si="227"/>
        <v>31</v>
      </c>
      <c r="AF4820" s="831" t="s">
        <v>5477</v>
      </c>
      <c r="AG4820" s="831" t="s">
        <v>520</v>
      </c>
      <c r="AH4820" s="831" t="s">
        <v>94</v>
      </c>
      <c r="AI4820" s="831">
        <v>0</v>
      </c>
      <c r="AJ4820" s="835">
        <v>41090</v>
      </c>
      <c r="AK4820" s="831">
        <v>16331790</v>
      </c>
      <c r="AP4820" s="831" t="str">
        <f t="shared" si="226"/>
        <v/>
      </c>
    </row>
    <row r="4821" spans="2:42">
      <c r="B4821" s="834" t="str">
        <f t="shared" si="225"/>
        <v>|||</v>
      </c>
      <c r="H4821" s="835">
        <f t="shared" si="227"/>
        <v>31</v>
      </c>
      <c r="AF4821" s="831" t="s">
        <v>5478</v>
      </c>
      <c r="AG4821" s="831" t="s">
        <v>520</v>
      </c>
      <c r="AH4821" s="831" t="s">
        <v>85</v>
      </c>
      <c r="AI4821" s="831">
        <v>0</v>
      </c>
      <c r="AJ4821" s="835">
        <v>41090</v>
      </c>
      <c r="AK4821" s="831">
        <v>57543590</v>
      </c>
      <c r="AP4821" s="831" t="str">
        <f t="shared" si="226"/>
        <v/>
      </c>
    </row>
    <row r="4822" spans="2:42">
      <c r="B4822" s="834" t="str">
        <f t="shared" si="225"/>
        <v>|||</v>
      </c>
      <c r="H4822" s="835">
        <f t="shared" si="227"/>
        <v>31</v>
      </c>
      <c r="AF4822" s="831" t="s">
        <v>5479</v>
      </c>
      <c r="AG4822" s="831" t="s">
        <v>520</v>
      </c>
      <c r="AH4822" s="831" t="s">
        <v>90</v>
      </c>
      <c r="AI4822" s="831">
        <v>0</v>
      </c>
      <c r="AJ4822" s="835">
        <v>41090</v>
      </c>
      <c r="AK4822" s="831">
        <v>132873260</v>
      </c>
      <c r="AP4822" s="831" t="str">
        <f t="shared" si="226"/>
        <v/>
      </c>
    </row>
    <row r="4823" spans="2:42">
      <c r="B4823" s="834" t="str">
        <f t="shared" si="225"/>
        <v>|||</v>
      </c>
      <c r="H4823" s="835">
        <f t="shared" si="227"/>
        <v>31</v>
      </c>
      <c r="AF4823" s="831" t="s">
        <v>5480</v>
      </c>
      <c r="AG4823" s="831" t="s">
        <v>520</v>
      </c>
      <c r="AH4823" s="831" t="s">
        <v>117</v>
      </c>
      <c r="AI4823" s="831">
        <v>0</v>
      </c>
      <c r="AJ4823" s="835">
        <v>41090</v>
      </c>
      <c r="AK4823" s="831">
        <v>6510770</v>
      </c>
      <c r="AP4823" s="831" t="str">
        <f t="shared" si="226"/>
        <v/>
      </c>
    </row>
    <row r="4824" spans="2:42">
      <c r="B4824" s="834" t="str">
        <f t="shared" si="225"/>
        <v>|||</v>
      </c>
      <c r="H4824" s="835">
        <f t="shared" si="227"/>
        <v>31</v>
      </c>
      <c r="AF4824" s="831" t="s">
        <v>5481</v>
      </c>
      <c r="AG4824" s="831" t="s">
        <v>520</v>
      </c>
      <c r="AH4824" s="831" t="s">
        <v>525</v>
      </c>
      <c r="AI4824" s="831">
        <v>0</v>
      </c>
      <c r="AJ4824" s="835">
        <v>41090</v>
      </c>
      <c r="AK4824" s="831">
        <v>0</v>
      </c>
      <c r="AP4824" s="831" t="str">
        <f t="shared" si="226"/>
        <v/>
      </c>
    </row>
    <row r="4825" spans="2:42">
      <c r="B4825" s="834" t="str">
        <f t="shared" si="225"/>
        <v>|||</v>
      </c>
      <c r="H4825" s="835">
        <f t="shared" si="227"/>
        <v>31</v>
      </c>
      <c r="AF4825" s="831" t="s">
        <v>5482</v>
      </c>
      <c r="AG4825" s="831" t="s">
        <v>520</v>
      </c>
      <c r="AH4825" s="831" t="s">
        <v>522</v>
      </c>
      <c r="AI4825" s="831">
        <v>0</v>
      </c>
      <c r="AJ4825" s="835">
        <v>41090</v>
      </c>
      <c r="AK4825" s="831">
        <v>0</v>
      </c>
      <c r="AP4825" s="831" t="str">
        <f t="shared" si="226"/>
        <v/>
      </c>
    </row>
    <row r="4826" spans="2:42">
      <c r="B4826" s="834" t="str">
        <f t="shared" si="225"/>
        <v>|||</v>
      </c>
      <c r="H4826" s="835">
        <f t="shared" si="227"/>
        <v>31</v>
      </c>
      <c r="AF4826" s="831" t="s">
        <v>5483</v>
      </c>
      <c r="AG4826" s="831" t="s">
        <v>520</v>
      </c>
      <c r="AH4826" s="831" t="s">
        <v>523</v>
      </c>
      <c r="AI4826" s="831">
        <v>0</v>
      </c>
      <c r="AJ4826" s="835">
        <v>41090</v>
      </c>
      <c r="AK4826" s="831">
        <v>0</v>
      </c>
      <c r="AP4826" s="831" t="str">
        <f t="shared" si="226"/>
        <v/>
      </c>
    </row>
    <row r="4827" spans="2:42">
      <c r="B4827" s="834" t="str">
        <f t="shared" si="225"/>
        <v>|||</v>
      </c>
      <c r="H4827" s="835">
        <f t="shared" si="227"/>
        <v>31</v>
      </c>
      <c r="AF4827" s="831" t="s">
        <v>5484</v>
      </c>
      <c r="AG4827" s="831" t="s">
        <v>520</v>
      </c>
      <c r="AH4827" s="831" t="s">
        <v>524</v>
      </c>
      <c r="AI4827" s="831">
        <v>0</v>
      </c>
      <c r="AJ4827" s="835">
        <v>41090</v>
      </c>
      <c r="AK4827" s="831">
        <v>0</v>
      </c>
      <c r="AP4827" s="831" t="str">
        <f t="shared" si="226"/>
        <v/>
      </c>
    </row>
    <row r="4828" spans="2:42">
      <c r="B4828" s="834" t="str">
        <f t="shared" si="225"/>
        <v>|||</v>
      </c>
      <c r="H4828" s="835">
        <f t="shared" si="227"/>
        <v>31</v>
      </c>
      <c r="AF4828" s="831" t="s">
        <v>5485</v>
      </c>
      <c r="AG4828" s="831" t="s">
        <v>520</v>
      </c>
      <c r="AH4828" s="831" t="s">
        <v>521</v>
      </c>
      <c r="AI4828" s="831">
        <v>0</v>
      </c>
      <c r="AJ4828" s="835">
        <v>41090</v>
      </c>
      <c r="AK4828" s="831">
        <v>0</v>
      </c>
      <c r="AP4828" s="831" t="str">
        <f t="shared" si="226"/>
        <v/>
      </c>
    </row>
    <row r="4829" spans="2:42">
      <c r="B4829" s="834" t="str">
        <f t="shared" si="225"/>
        <v>|||</v>
      </c>
      <c r="H4829" s="835">
        <f t="shared" si="227"/>
        <v>31</v>
      </c>
      <c r="AF4829" s="831" t="s">
        <v>5486</v>
      </c>
      <c r="AG4829" s="831" t="s">
        <v>520</v>
      </c>
      <c r="AH4829" s="831" t="s">
        <v>660</v>
      </c>
      <c r="AI4829" s="831">
        <v>0</v>
      </c>
      <c r="AJ4829" s="835">
        <v>41090</v>
      </c>
      <c r="AK4829" s="831">
        <v>0</v>
      </c>
      <c r="AP4829" s="831" t="str">
        <f t="shared" si="226"/>
        <v/>
      </c>
    </row>
    <row r="4830" spans="2:42">
      <c r="B4830" s="834" t="str">
        <f t="shared" si="225"/>
        <v>|||</v>
      </c>
      <c r="H4830" s="835">
        <f t="shared" si="227"/>
        <v>31</v>
      </c>
      <c r="AF4830" s="831" t="s">
        <v>5487</v>
      </c>
      <c r="AG4830" s="831" t="s">
        <v>520</v>
      </c>
      <c r="AH4830" s="831" t="s">
        <v>661</v>
      </c>
      <c r="AI4830" s="831">
        <v>0</v>
      </c>
      <c r="AJ4830" s="835">
        <v>41090</v>
      </c>
      <c r="AK4830" s="831">
        <v>0</v>
      </c>
      <c r="AP4830" s="831" t="str">
        <f t="shared" si="226"/>
        <v/>
      </c>
    </row>
    <row r="4831" spans="2:42">
      <c r="B4831" s="834" t="str">
        <f t="shared" si="225"/>
        <v>|||</v>
      </c>
      <c r="H4831" s="835">
        <f t="shared" si="227"/>
        <v>31</v>
      </c>
      <c r="AF4831" s="831" t="s">
        <v>5488</v>
      </c>
      <c r="AG4831" s="831" t="s">
        <v>520</v>
      </c>
      <c r="AH4831" s="831" t="s">
        <v>662</v>
      </c>
      <c r="AI4831" s="831">
        <v>0</v>
      </c>
      <c r="AJ4831" s="835">
        <v>41090</v>
      </c>
      <c r="AK4831" s="831">
        <v>0</v>
      </c>
      <c r="AP4831" s="831" t="str">
        <f t="shared" si="226"/>
        <v/>
      </c>
    </row>
    <row r="4832" spans="2:42">
      <c r="B4832" s="834" t="str">
        <f t="shared" si="225"/>
        <v>|||</v>
      </c>
      <c r="H4832" s="835">
        <f t="shared" si="227"/>
        <v>31</v>
      </c>
      <c r="AF4832" s="831" t="s">
        <v>5489</v>
      </c>
      <c r="AG4832" s="831" t="s">
        <v>520</v>
      </c>
      <c r="AH4832" s="831" t="s">
        <v>291</v>
      </c>
      <c r="AI4832" s="831">
        <v>0</v>
      </c>
      <c r="AJ4832" s="835">
        <v>41121</v>
      </c>
      <c r="AK4832" s="831">
        <v>6420160</v>
      </c>
      <c r="AP4832" s="831" t="str">
        <f t="shared" si="226"/>
        <v/>
      </c>
    </row>
    <row r="4833" spans="2:42">
      <c r="B4833" s="834" t="str">
        <f t="shared" si="225"/>
        <v>|||</v>
      </c>
      <c r="H4833" s="835">
        <f t="shared" si="227"/>
        <v>31</v>
      </c>
      <c r="AF4833" s="831" t="s">
        <v>5490</v>
      </c>
      <c r="AG4833" s="831" t="s">
        <v>520</v>
      </c>
      <c r="AH4833" s="831" t="s">
        <v>519</v>
      </c>
      <c r="AI4833" s="831">
        <v>0</v>
      </c>
      <c r="AJ4833" s="835">
        <v>41121</v>
      </c>
      <c r="AK4833" s="831">
        <v>181132330</v>
      </c>
      <c r="AP4833" s="831" t="str">
        <f t="shared" si="226"/>
        <v/>
      </c>
    </row>
    <row r="4834" spans="2:42">
      <c r="B4834" s="834" t="str">
        <f t="shared" si="225"/>
        <v>|||</v>
      </c>
      <c r="H4834" s="835">
        <f t="shared" si="227"/>
        <v>31</v>
      </c>
      <c r="AF4834" s="831" t="s">
        <v>5491</v>
      </c>
      <c r="AG4834" s="831" t="s">
        <v>520</v>
      </c>
      <c r="AH4834" s="831" t="s">
        <v>94</v>
      </c>
      <c r="AI4834" s="831">
        <v>0</v>
      </c>
      <c r="AJ4834" s="835">
        <v>41121</v>
      </c>
      <c r="AK4834" s="831">
        <v>24980070</v>
      </c>
      <c r="AP4834" s="831" t="str">
        <f t="shared" si="226"/>
        <v/>
      </c>
    </row>
    <row r="4835" spans="2:42">
      <c r="B4835" s="834" t="str">
        <f t="shared" si="225"/>
        <v>|||</v>
      </c>
      <c r="H4835" s="835">
        <f t="shared" si="227"/>
        <v>31</v>
      </c>
      <c r="AF4835" s="831" t="s">
        <v>5492</v>
      </c>
      <c r="AG4835" s="831" t="s">
        <v>520</v>
      </c>
      <c r="AH4835" s="831" t="s">
        <v>85</v>
      </c>
      <c r="AI4835" s="831">
        <v>0</v>
      </c>
      <c r="AJ4835" s="835">
        <v>41121</v>
      </c>
      <c r="AK4835" s="831">
        <v>55154330</v>
      </c>
      <c r="AP4835" s="831" t="str">
        <f t="shared" si="226"/>
        <v/>
      </c>
    </row>
    <row r="4836" spans="2:42">
      <c r="B4836" s="834" t="str">
        <f t="shared" si="225"/>
        <v>|||</v>
      </c>
      <c r="H4836" s="835">
        <f t="shared" si="227"/>
        <v>31</v>
      </c>
      <c r="AF4836" s="831" t="s">
        <v>5493</v>
      </c>
      <c r="AG4836" s="831" t="s">
        <v>520</v>
      </c>
      <c r="AH4836" s="831" t="s">
        <v>90</v>
      </c>
      <c r="AI4836" s="831">
        <v>0</v>
      </c>
      <c r="AJ4836" s="835">
        <v>41121</v>
      </c>
      <c r="AK4836" s="831">
        <v>144520470</v>
      </c>
      <c r="AP4836" s="831" t="str">
        <f t="shared" si="226"/>
        <v/>
      </c>
    </row>
    <row r="4837" spans="2:42">
      <c r="B4837" s="834" t="str">
        <f t="shared" si="225"/>
        <v>|||</v>
      </c>
      <c r="H4837" s="835">
        <f t="shared" si="227"/>
        <v>31</v>
      </c>
      <c r="AF4837" s="831" t="s">
        <v>5494</v>
      </c>
      <c r="AG4837" s="831" t="s">
        <v>520</v>
      </c>
      <c r="AH4837" s="831" t="s">
        <v>117</v>
      </c>
      <c r="AI4837" s="831">
        <v>0</v>
      </c>
      <c r="AJ4837" s="835">
        <v>41121</v>
      </c>
      <c r="AK4837" s="831">
        <v>6969250</v>
      </c>
      <c r="AP4837" s="831" t="str">
        <f t="shared" si="226"/>
        <v/>
      </c>
    </row>
    <row r="4838" spans="2:42">
      <c r="B4838" s="834" t="str">
        <f t="shared" si="225"/>
        <v>|||</v>
      </c>
      <c r="H4838" s="835">
        <f t="shared" si="227"/>
        <v>31</v>
      </c>
      <c r="AF4838" s="831" t="s">
        <v>5495</v>
      </c>
      <c r="AG4838" s="831" t="s">
        <v>520</v>
      </c>
      <c r="AH4838" s="831" t="s">
        <v>525</v>
      </c>
      <c r="AI4838" s="831">
        <v>0</v>
      </c>
      <c r="AJ4838" s="835">
        <v>41121</v>
      </c>
      <c r="AK4838" s="831">
        <v>0</v>
      </c>
      <c r="AP4838" s="831" t="str">
        <f t="shared" si="226"/>
        <v/>
      </c>
    </row>
    <row r="4839" spans="2:42">
      <c r="B4839" s="834" t="str">
        <f t="shared" si="225"/>
        <v>|||</v>
      </c>
      <c r="H4839" s="835">
        <f t="shared" si="227"/>
        <v>31</v>
      </c>
      <c r="AF4839" s="831" t="s">
        <v>5496</v>
      </c>
      <c r="AG4839" s="831" t="s">
        <v>520</v>
      </c>
      <c r="AH4839" s="831" t="s">
        <v>522</v>
      </c>
      <c r="AI4839" s="831">
        <v>0</v>
      </c>
      <c r="AJ4839" s="835">
        <v>41121</v>
      </c>
      <c r="AK4839" s="831">
        <v>0</v>
      </c>
      <c r="AP4839" s="831" t="str">
        <f t="shared" si="226"/>
        <v/>
      </c>
    </row>
    <row r="4840" spans="2:42">
      <c r="B4840" s="834" t="str">
        <f t="shared" si="225"/>
        <v>|||</v>
      </c>
      <c r="H4840" s="835">
        <f t="shared" si="227"/>
        <v>31</v>
      </c>
      <c r="AF4840" s="831" t="s">
        <v>5497</v>
      </c>
      <c r="AG4840" s="831" t="s">
        <v>520</v>
      </c>
      <c r="AH4840" s="831" t="s">
        <v>523</v>
      </c>
      <c r="AI4840" s="831">
        <v>0</v>
      </c>
      <c r="AJ4840" s="835">
        <v>41121</v>
      </c>
      <c r="AK4840" s="831">
        <v>0</v>
      </c>
      <c r="AP4840" s="831" t="str">
        <f t="shared" si="226"/>
        <v/>
      </c>
    </row>
    <row r="4841" spans="2:42">
      <c r="B4841" s="834" t="str">
        <f t="shared" si="225"/>
        <v>|||</v>
      </c>
      <c r="H4841" s="835">
        <f t="shared" si="227"/>
        <v>31</v>
      </c>
      <c r="AF4841" s="831" t="s">
        <v>5498</v>
      </c>
      <c r="AG4841" s="831" t="s">
        <v>520</v>
      </c>
      <c r="AH4841" s="831" t="s">
        <v>524</v>
      </c>
      <c r="AI4841" s="831">
        <v>0</v>
      </c>
      <c r="AJ4841" s="835">
        <v>41121</v>
      </c>
      <c r="AK4841" s="831">
        <v>0</v>
      </c>
      <c r="AP4841" s="831" t="str">
        <f t="shared" si="226"/>
        <v/>
      </c>
    </row>
    <row r="4842" spans="2:42">
      <c r="B4842" s="834" t="str">
        <f t="shared" si="225"/>
        <v>|||</v>
      </c>
      <c r="H4842" s="835">
        <f t="shared" si="227"/>
        <v>31</v>
      </c>
      <c r="AF4842" s="831" t="s">
        <v>5499</v>
      </c>
      <c r="AG4842" s="831" t="s">
        <v>520</v>
      </c>
      <c r="AH4842" s="831" t="s">
        <v>521</v>
      </c>
      <c r="AI4842" s="831">
        <v>0</v>
      </c>
      <c r="AJ4842" s="835">
        <v>41121</v>
      </c>
      <c r="AK4842" s="831">
        <v>0</v>
      </c>
      <c r="AP4842" s="831" t="str">
        <f t="shared" si="226"/>
        <v/>
      </c>
    </row>
    <row r="4843" spans="2:42">
      <c r="B4843" s="834" t="str">
        <f t="shared" si="225"/>
        <v>|||</v>
      </c>
      <c r="H4843" s="835">
        <f t="shared" si="227"/>
        <v>31</v>
      </c>
      <c r="AF4843" s="831" t="s">
        <v>5500</v>
      </c>
      <c r="AG4843" s="831" t="s">
        <v>520</v>
      </c>
      <c r="AH4843" s="831" t="s">
        <v>660</v>
      </c>
      <c r="AI4843" s="831">
        <v>0</v>
      </c>
      <c r="AJ4843" s="835">
        <v>41121</v>
      </c>
      <c r="AK4843" s="831">
        <v>0</v>
      </c>
      <c r="AP4843" s="831" t="str">
        <f t="shared" si="226"/>
        <v/>
      </c>
    </row>
    <row r="4844" spans="2:42">
      <c r="B4844" s="834" t="str">
        <f t="shared" si="225"/>
        <v>|||</v>
      </c>
      <c r="H4844" s="835">
        <f t="shared" si="227"/>
        <v>31</v>
      </c>
      <c r="AF4844" s="831" t="s">
        <v>5501</v>
      </c>
      <c r="AG4844" s="831" t="s">
        <v>520</v>
      </c>
      <c r="AH4844" s="831" t="s">
        <v>661</v>
      </c>
      <c r="AI4844" s="831">
        <v>0</v>
      </c>
      <c r="AJ4844" s="835">
        <v>41121</v>
      </c>
      <c r="AK4844" s="831">
        <v>0</v>
      </c>
      <c r="AP4844" s="831" t="str">
        <f t="shared" si="226"/>
        <v/>
      </c>
    </row>
    <row r="4845" spans="2:42">
      <c r="B4845" s="834" t="str">
        <f t="shared" si="225"/>
        <v>|||</v>
      </c>
      <c r="H4845" s="835">
        <f t="shared" si="227"/>
        <v>31</v>
      </c>
      <c r="AF4845" s="831" t="s">
        <v>5502</v>
      </c>
      <c r="AG4845" s="831" t="s">
        <v>520</v>
      </c>
      <c r="AH4845" s="831" t="s">
        <v>662</v>
      </c>
      <c r="AI4845" s="831">
        <v>0</v>
      </c>
      <c r="AJ4845" s="835">
        <v>41121</v>
      </c>
      <c r="AK4845" s="831">
        <v>0</v>
      </c>
      <c r="AP4845" s="831" t="str">
        <f t="shared" si="226"/>
        <v/>
      </c>
    </row>
    <row r="4846" spans="2:42">
      <c r="B4846" s="834" t="str">
        <f t="shared" si="225"/>
        <v>|||</v>
      </c>
      <c r="H4846" s="835">
        <f t="shared" si="227"/>
        <v>31</v>
      </c>
      <c r="AF4846" s="831" t="s">
        <v>5503</v>
      </c>
      <c r="AG4846" s="831" t="s">
        <v>520</v>
      </c>
      <c r="AH4846" s="831" t="s">
        <v>291</v>
      </c>
      <c r="AI4846" s="831">
        <v>0</v>
      </c>
      <c r="AJ4846" s="835">
        <v>41152</v>
      </c>
      <c r="AK4846" s="831">
        <v>5857810</v>
      </c>
      <c r="AP4846" s="831" t="str">
        <f t="shared" si="226"/>
        <v/>
      </c>
    </row>
    <row r="4847" spans="2:42">
      <c r="B4847" s="834" t="str">
        <f t="shared" si="225"/>
        <v>|||</v>
      </c>
      <c r="H4847" s="835">
        <f t="shared" si="227"/>
        <v>31</v>
      </c>
      <c r="AF4847" s="831" t="s">
        <v>5504</v>
      </c>
      <c r="AG4847" s="831" t="s">
        <v>520</v>
      </c>
      <c r="AH4847" s="831" t="s">
        <v>519</v>
      </c>
      <c r="AI4847" s="831">
        <v>0</v>
      </c>
      <c r="AJ4847" s="835">
        <v>41152</v>
      </c>
      <c r="AK4847" s="831">
        <v>189804020</v>
      </c>
      <c r="AP4847" s="831" t="str">
        <f t="shared" si="226"/>
        <v/>
      </c>
    </row>
    <row r="4848" spans="2:42">
      <c r="B4848" s="834" t="str">
        <f t="shared" si="225"/>
        <v>|||</v>
      </c>
      <c r="H4848" s="835">
        <f t="shared" si="227"/>
        <v>31</v>
      </c>
      <c r="AF4848" s="831" t="s">
        <v>5505</v>
      </c>
      <c r="AG4848" s="831" t="s">
        <v>520</v>
      </c>
      <c r="AH4848" s="831" t="s">
        <v>94</v>
      </c>
      <c r="AI4848" s="831">
        <v>0</v>
      </c>
      <c r="AJ4848" s="835">
        <v>41152</v>
      </c>
      <c r="AK4848" s="831">
        <v>26105040</v>
      </c>
      <c r="AP4848" s="831" t="str">
        <f t="shared" si="226"/>
        <v/>
      </c>
    </row>
    <row r="4849" spans="2:42">
      <c r="B4849" s="834" t="str">
        <f t="shared" si="225"/>
        <v>|||</v>
      </c>
      <c r="H4849" s="835">
        <f t="shared" si="227"/>
        <v>31</v>
      </c>
      <c r="AF4849" s="831" t="s">
        <v>5506</v>
      </c>
      <c r="AG4849" s="831" t="s">
        <v>520</v>
      </c>
      <c r="AH4849" s="831" t="s">
        <v>85</v>
      </c>
      <c r="AI4849" s="831">
        <v>0</v>
      </c>
      <c r="AJ4849" s="835">
        <v>41152</v>
      </c>
      <c r="AK4849" s="831">
        <v>51019250</v>
      </c>
      <c r="AP4849" s="831" t="str">
        <f t="shared" si="226"/>
        <v/>
      </c>
    </row>
    <row r="4850" spans="2:42">
      <c r="B4850" s="834" t="str">
        <f t="shared" si="225"/>
        <v>|||</v>
      </c>
      <c r="H4850" s="835">
        <f t="shared" si="227"/>
        <v>31</v>
      </c>
      <c r="AF4850" s="831" t="s">
        <v>5507</v>
      </c>
      <c r="AG4850" s="831" t="s">
        <v>520</v>
      </c>
      <c r="AH4850" s="831" t="s">
        <v>90</v>
      </c>
      <c r="AI4850" s="831">
        <v>0</v>
      </c>
      <c r="AJ4850" s="835">
        <v>41152</v>
      </c>
      <c r="AK4850" s="831">
        <v>160913510</v>
      </c>
      <c r="AP4850" s="831" t="str">
        <f t="shared" si="226"/>
        <v/>
      </c>
    </row>
    <row r="4851" spans="2:42">
      <c r="B4851" s="834" t="str">
        <f t="shared" si="225"/>
        <v>|||</v>
      </c>
      <c r="H4851" s="835">
        <f t="shared" si="227"/>
        <v>31</v>
      </c>
      <c r="AF4851" s="831" t="s">
        <v>5508</v>
      </c>
      <c r="AG4851" s="831" t="s">
        <v>520</v>
      </c>
      <c r="AH4851" s="831" t="s">
        <v>117</v>
      </c>
      <c r="AI4851" s="831">
        <v>0</v>
      </c>
      <c r="AJ4851" s="835">
        <v>41152</v>
      </c>
      <c r="AK4851" s="831">
        <v>5069160</v>
      </c>
      <c r="AP4851" s="831" t="str">
        <f t="shared" si="226"/>
        <v/>
      </c>
    </row>
    <row r="4852" spans="2:42">
      <c r="B4852" s="834" t="str">
        <f t="shared" si="225"/>
        <v>|||</v>
      </c>
      <c r="H4852" s="835">
        <f t="shared" si="227"/>
        <v>31</v>
      </c>
      <c r="AF4852" s="831" t="s">
        <v>5509</v>
      </c>
      <c r="AG4852" s="831" t="s">
        <v>520</v>
      </c>
      <c r="AH4852" s="831" t="s">
        <v>525</v>
      </c>
      <c r="AI4852" s="831">
        <v>0</v>
      </c>
      <c r="AJ4852" s="835">
        <v>41152</v>
      </c>
      <c r="AK4852" s="831">
        <v>0</v>
      </c>
      <c r="AP4852" s="831" t="str">
        <f t="shared" si="226"/>
        <v/>
      </c>
    </row>
    <row r="4853" spans="2:42">
      <c r="B4853" s="834" t="str">
        <f t="shared" si="225"/>
        <v>|||</v>
      </c>
      <c r="H4853" s="835">
        <f t="shared" si="227"/>
        <v>31</v>
      </c>
      <c r="AF4853" s="831" t="s">
        <v>5510</v>
      </c>
      <c r="AG4853" s="831" t="s">
        <v>520</v>
      </c>
      <c r="AH4853" s="831" t="s">
        <v>522</v>
      </c>
      <c r="AI4853" s="831">
        <v>0</v>
      </c>
      <c r="AJ4853" s="835">
        <v>41152</v>
      </c>
      <c r="AK4853" s="831">
        <v>0</v>
      </c>
      <c r="AP4853" s="831" t="str">
        <f t="shared" si="226"/>
        <v/>
      </c>
    </row>
    <row r="4854" spans="2:42">
      <c r="B4854" s="834" t="str">
        <f t="shared" si="225"/>
        <v>|||</v>
      </c>
      <c r="H4854" s="835">
        <f t="shared" si="227"/>
        <v>31</v>
      </c>
      <c r="AF4854" s="831" t="s">
        <v>5511</v>
      </c>
      <c r="AG4854" s="831" t="s">
        <v>520</v>
      </c>
      <c r="AH4854" s="831" t="s">
        <v>523</v>
      </c>
      <c r="AI4854" s="831">
        <v>0</v>
      </c>
      <c r="AJ4854" s="835">
        <v>41152</v>
      </c>
      <c r="AK4854" s="831">
        <v>0</v>
      </c>
      <c r="AP4854" s="831" t="str">
        <f t="shared" si="226"/>
        <v/>
      </c>
    </row>
    <row r="4855" spans="2:42">
      <c r="B4855" s="834" t="str">
        <f t="shared" si="225"/>
        <v>|||</v>
      </c>
      <c r="H4855" s="835">
        <f t="shared" si="227"/>
        <v>31</v>
      </c>
      <c r="AF4855" s="831" t="s">
        <v>5512</v>
      </c>
      <c r="AG4855" s="831" t="s">
        <v>520</v>
      </c>
      <c r="AH4855" s="831" t="s">
        <v>524</v>
      </c>
      <c r="AI4855" s="831">
        <v>0</v>
      </c>
      <c r="AJ4855" s="835">
        <v>41152</v>
      </c>
      <c r="AK4855" s="831">
        <v>0</v>
      </c>
      <c r="AP4855" s="831" t="str">
        <f t="shared" si="226"/>
        <v/>
      </c>
    </row>
    <row r="4856" spans="2:42">
      <c r="B4856" s="834" t="str">
        <f t="shared" si="225"/>
        <v>|||</v>
      </c>
      <c r="H4856" s="835">
        <f t="shared" si="227"/>
        <v>31</v>
      </c>
      <c r="AF4856" s="831" t="s">
        <v>5513</v>
      </c>
      <c r="AG4856" s="831" t="s">
        <v>520</v>
      </c>
      <c r="AH4856" s="831" t="s">
        <v>521</v>
      </c>
      <c r="AI4856" s="831">
        <v>0</v>
      </c>
      <c r="AJ4856" s="835">
        <v>41152</v>
      </c>
      <c r="AK4856" s="831">
        <v>0</v>
      </c>
      <c r="AP4856" s="831" t="str">
        <f t="shared" si="226"/>
        <v/>
      </c>
    </row>
    <row r="4857" spans="2:42">
      <c r="B4857" s="834" t="str">
        <f t="shared" si="225"/>
        <v>|||</v>
      </c>
      <c r="H4857" s="835">
        <f t="shared" si="227"/>
        <v>31</v>
      </c>
      <c r="AF4857" s="831" t="s">
        <v>5514</v>
      </c>
      <c r="AG4857" s="831" t="s">
        <v>520</v>
      </c>
      <c r="AH4857" s="831" t="s">
        <v>660</v>
      </c>
      <c r="AI4857" s="831">
        <v>0</v>
      </c>
      <c r="AJ4857" s="835">
        <v>41152</v>
      </c>
      <c r="AK4857" s="831">
        <v>0</v>
      </c>
      <c r="AP4857" s="831" t="str">
        <f t="shared" si="226"/>
        <v/>
      </c>
    </row>
    <row r="4858" spans="2:42">
      <c r="B4858" s="834" t="str">
        <f t="shared" si="225"/>
        <v>|||</v>
      </c>
      <c r="H4858" s="835">
        <f t="shared" si="227"/>
        <v>31</v>
      </c>
      <c r="AF4858" s="831" t="s">
        <v>5515</v>
      </c>
      <c r="AG4858" s="831" t="s">
        <v>520</v>
      </c>
      <c r="AH4858" s="831" t="s">
        <v>661</v>
      </c>
      <c r="AI4858" s="831">
        <v>0</v>
      </c>
      <c r="AJ4858" s="835">
        <v>41152</v>
      </c>
      <c r="AK4858" s="831">
        <v>0</v>
      </c>
      <c r="AP4858" s="831" t="str">
        <f t="shared" si="226"/>
        <v/>
      </c>
    </row>
    <row r="4859" spans="2:42">
      <c r="B4859" s="834" t="str">
        <f t="shared" si="225"/>
        <v>|||</v>
      </c>
      <c r="H4859" s="835">
        <f t="shared" si="227"/>
        <v>31</v>
      </c>
      <c r="AF4859" s="831" t="s">
        <v>5516</v>
      </c>
      <c r="AG4859" s="831" t="s">
        <v>520</v>
      </c>
      <c r="AH4859" s="831" t="s">
        <v>662</v>
      </c>
      <c r="AI4859" s="831">
        <v>0</v>
      </c>
      <c r="AJ4859" s="835">
        <v>41152</v>
      </c>
      <c r="AK4859" s="831">
        <v>0</v>
      </c>
      <c r="AP4859" s="831" t="str">
        <f t="shared" si="226"/>
        <v/>
      </c>
    </row>
    <row r="4860" spans="2:42">
      <c r="B4860" s="834" t="str">
        <f t="shared" si="225"/>
        <v>|||</v>
      </c>
      <c r="H4860" s="835">
        <f t="shared" si="227"/>
        <v>31</v>
      </c>
      <c r="AF4860" s="831" t="s">
        <v>5517</v>
      </c>
      <c r="AG4860" s="831" t="s">
        <v>520</v>
      </c>
      <c r="AH4860" s="831" t="s">
        <v>291</v>
      </c>
      <c r="AI4860" s="831">
        <v>0</v>
      </c>
      <c r="AJ4860" s="835">
        <v>41182</v>
      </c>
      <c r="AK4860" s="831">
        <v>6297470</v>
      </c>
      <c r="AP4860" s="831" t="str">
        <f t="shared" si="226"/>
        <v/>
      </c>
    </row>
    <row r="4861" spans="2:42">
      <c r="B4861" s="834" t="str">
        <f t="shared" si="225"/>
        <v>|||</v>
      </c>
      <c r="H4861" s="835">
        <f t="shared" si="227"/>
        <v>31</v>
      </c>
      <c r="AF4861" s="831" t="s">
        <v>5518</v>
      </c>
      <c r="AG4861" s="831" t="s">
        <v>520</v>
      </c>
      <c r="AH4861" s="831" t="s">
        <v>519</v>
      </c>
      <c r="AI4861" s="831">
        <v>0</v>
      </c>
      <c r="AJ4861" s="835">
        <v>41182</v>
      </c>
      <c r="AK4861" s="831">
        <v>193544020</v>
      </c>
      <c r="AP4861" s="831" t="str">
        <f t="shared" si="226"/>
        <v/>
      </c>
    </row>
    <row r="4862" spans="2:42">
      <c r="B4862" s="834" t="str">
        <f t="shared" si="225"/>
        <v>|||</v>
      </c>
      <c r="H4862" s="835">
        <f t="shared" si="227"/>
        <v>31</v>
      </c>
      <c r="AF4862" s="831" t="s">
        <v>5519</v>
      </c>
      <c r="AG4862" s="831" t="s">
        <v>520</v>
      </c>
      <c r="AH4862" s="831" t="s">
        <v>94</v>
      </c>
      <c r="AI4862" s="831">
        <v>0</v>
      </c>
      <c r="AJ4862" s="835">
        <v>41182</v>
      </c>
      <c r="AK4862" s="831">
        <v>30381780</v>
      </c>
      <c r="AP4862" s="831" t="str">
        <f t="shared" si="226"/>
        <v/>
      </c>
    </row>
    <row r="4863" spans="2:42">
      <c r="B4863" s="834" t="str">
        <f t="shared" si="225"/>
        <v>|||</v>
      </c>
      <c r="H4863" s="835">
        <f t="shared" si="227"/>
        <v>31</v>
      </c>
      <c r="AF4863" s="831" t="s">
        <v>5520</v>
      </c>
      <c r="AG4863" s="831" t="s">
        <v>520</v>
      </c>
      <c r="AH4863" s="831" t="s">
        <v>85</v>
      </c>
      <c r="AI4863" s="831">
        <v>0</v>
      </c>
      <c r="AJ4863" s="835">
        <v>41182</v>
      </c>
      <c r="AK4863" s="831">
        <v>48859070</v>
      </c>
      <c r="AP4863" s="831" t="str">
        <f t="shared" si="226"/>
        <v/>
      </c>
    </row>
    <row r="4864" spans="2:42">
      <c r="B4864" s="834" t="str">
        <f t="shared" si="225"/>
        <v>|||</v>
      </c>
      <c r="H4864" s="835">
        <f t="shared" si="227"/>
        <v>31</v>
      </c>
      <c r="AF4864" s="831" t="s">
        <v>5521</v>
      </c>
      <c r="AG4864" s="831" t="s">
        <v>520</v>
      </c>
      <c r="AH4864" s="831" t="s">
        <v>90</v>
      </c>
      <c r="AI4864" s="831">
        <v>0</v>
      </c>
      <c r="AJ4864" s="835">
        <v>41182</v>
      </c>
      <c r="AK4864" s="831">
        <v>165832780</v>
      </c>
      <c r="AP4864" s="831" t="str">
        <f t="shared" si="226"/>
        <v/>
      </c>
    </row>
    <row r="4865" spans="2:42">
      <c r="B4865" s="834" t="str">
        <f t="shared" si="225"/>
        <v>|||</v>
      </c>
      <c r="H4865" s="835">
        <f t="shared" si="227"/>
        <v>31</v>
      </c>
      <c r="AF4865" s="831" t="s">
        <v>5522</v>
      </c>
      <c r="AG4865" s="831" t="s">
        <v>520</v>
      </c>
      <c r="AH4865" s="831" t="s">
        <v>117</v>
      </c>
      <c r="AI4865" s="831">
        <v>0</v>
      </c>
      <c r="AJ4865" s="835">
        <v>41182</v>
      </c>
      <c r="AK4865" s="831">
        <v>4870940</v>
      </c>
      <c r="AP4865" s="831" t="str">
        <f t="shared" si="226"/>
        <v/>
      </c>
    </row>
    <row r="4866" spans="2:42">
      <c r="B4866" s="834" t="str">
        <f t="shared" si="225"/>
        <v>|||</v>
      </c>
      <c r="H4866" s="835">
        <f t="shared" si="227"/>
        <v>31</v>
      </c>
      <c r="AF4866" s="831" t="s">
        <v>5523</v>
      </c>
      <c r="AG4866" s="831" t="s">
        <v>520</v>
      </c>
      <c r="AH4866" s="831" t="s">
        <v>525</v>
      </c>
      <c r="AI4866" s="831">
        <v>0</v>
      </c>
      <c r="AJ4866" s="835">
        <v>41182</v>
      </c>
      <c r="AK4866" s="831">
        <v>0</v>
      </c>
      <c r="AP4866" s="831" t="str">
        <f t="shared" si="226"/>
        <v/>
      </c>
    </row>
    <row r="4867" spans="2:42">
      <c r="B4867" s="834" t="str">
        <f t="shared" ref="B4867:B4930" si="228">C4867&amp;"|"&amp;D4867&amp;"|"&amp;E4867&amp;"|"&amp;F4867</f>
        <v>|||</v>
      </c>
      <c r="H4867" s="835">
        <f t="shared" si="227"/>
        <v>31</v>
      </c>
      <c r="AF4867" s="831" t="s">
        <v>5524</v>
      </c>
      <c r="AG4867" s="831" t="s">
        <v>520</v>
      </c>
      <c r="AH4867" s="831" t="s">
        <v>522</v>
      </c>
      <c r="AI4867" s="831">
        <v>0</v>
      </c>
      <c r="AJ4867" s="835">
        <v>41182</v>
      </c>
      <c r="AK4867" s="831">
        <v>0</v>
      </c>
      <c r="AP4867" s="831" t="str">
        <f t="shared" ref="AP4867:AP4930" si="229">IF(AX4867&lt;&gt;"",IF(OR(AX4867=3,AX4867=4),"Equity","Debt"),"")</f>
        <v/>
      </c>
    </row>
    <row r="4868" spans="2:42">
      <c r="B4868" s="834" t="str">
        <f t="shared" si="228"/>
        <v>|||</v>
      </c>
      <c r="H4868" s="835">
        <f t="shared" ref="H4868:H4931" si="230">EOMONTH(L4868,0)</f>
        <v>31</v>
      </c>
      <c r="AF4868" s="831" t="s">
        <v>5525</v>
      </c>
      <c r="AG4868" s="831" t="s">
        <v>520</v>
      </c>
      <c r="AH4868" s="831" t="s">
        <v>523</v>
      </c>
      <c r="AI4868" s="831">
        <v>0</v>
      </c>
      <c r="AJ4868" s="835">
        <v>41182</v>
      </c>
      <c r="AK4868" s="831">
        <v>0</v>
      </c>
      <c r="AP4868" s="831" t="str">
        <f t="shared" si="229"/>
        <v/>
      </c>
    </row>
    <row r="4869" spans="2:42">
      <c r="B4869" s="834" t="str">
        <f t="shared" si="228"/>
        <v>|||</v>
      </c>
      <c r="H4869" s="835">
        <f t="shared" si="230"/>
        <v>31</v>
      </c>
      <c r="AF4869" s="831" t="s">
        <v>5526</v>
      </c>
      <c r="AG4869" s="831" t="s">
        <v>520</v>
      </c>
      <c r="AH4869" s="831" t="s">
        <v>524</v>
      </c>
      <c r="AI4869" s="831">
        <v>0</v>
      </c>
      <c r="AJ4869" s="835">
        <v>41182</v>
      </c>
      <c r="AK4869" s="831">
        <v>0</v>
      </c>
      <c r="AP4869" s="831" t="str">
        <f t="shared" si="229"/>
        <v/>
      </c>
    </row>
    <row r="4870" spans="2:42">
      <c r="B4870" s="834" t="str">
        <f t="shared" si="228"/>
        <v>|||</v>
      </c>
      <c r="H4870" s="835">
        <f t="shared" si="230"/>
        <v>31</v>
      </c>
      <c r="AF4870" s="831" t="s">
        <v>5527</v>
      </c>
      <c r="AG4870" s="831" t="s">
        <v>520</v>
      </c>
      <c r="AH4870" s="831" t="s">
        <v>521</v>
      </c>
      <c r="AI4870" s="831">
        <v>0</v>
      </c>
      <c r="AJ4870" s="835">
        <v>41182</v>
      </c>
      <c r="AK4870" s="831">
        <v>0</v>
      </c>
      <c r="AP4870" s="831" t="str">
        <f t="shared" si="229"/>
        <v/>
      </c>
    </row>
    <row r="4871" spans="2:42">
      <c r="B4871" s="834" t="str">
        <f t="shared" si="228"/>
        <v>|||</v>
      </c>
      <c r="H4871" s="835">
        <f t="shared" si="230"/>
        <v>31</v>
      </c>
      <c r="AF4871" s="831" t="s">
        <v>5528</v>
      </c>
      <c r="AG4871" s="831" t="s">
        <v>520</v>
      </c>
      <c r="AH4871" s="831" t="s">
        <v>660</v>
      </c>
      <c r="AI4871" s="831">
        <v>0</v>
      </c>
      <c r="AJ4871" s="835">
        <v>41182</v>
      </c>
      <c r="AK4871" s="831">
        <v>0</v>
      </c>
      <c r="AP4871" s="831" t="str">
        <f t="shared" si="229"/>
        <v/>
      </c>
    </row>
    <row r="4872" spans="2:42">
      <c r="B4872" s="834" t="str">
        <f t="shared" si="228"/>
        <v>|||</v>
      </c>
      <c r="H4872" s="835">
        <f t="shared" si="230"/>
        <v>31</v>
      </c>
      <c r="AF4872" s="831" t="s">
        <v>5529</v>
      </c>
      <c r="AG4872" s="831" t="s">
        <v>520</v>
      </c>
      <c r="AH4872" s="831" t="s">
        <v>661</v>
      </c>
      <c r="AI4872" s="831">
        <v>0</v>
      </c>
      <c r="AJ4872" s="835">
        <v>41182</v>
      </c>
      <c r="AK4872" s="831">
        <v>0</v>
      </c>
      <c r="AP4872" s="831" t="str">
        <f t="shared" si="229"/>
        <v/>
      </c>
    </row>
    <row r="4873" spans="2:42">
      <c r="B4873" s="834" t="str">
        <f t="shared" si="228"/>
        <v>|||</v>
      </c>
      <c r="H4873" s="835">
        <f t="shared" si="230"/>
        <v>31</v>
      </c>
      <c r="AF4873" s="831" t="s">
        <v>5530</v>
      </c>
      <c r="AG4873" s="831" t="s">
        <v>520</v>
      </c>
      <c r="AH4873" s="831" t="s">
        <v>662</v>
      </c>
      <c r="AI4873" s="831">
        <v>0</v>
      </c>
      <c r="AJ4873" s="835">
        <v>41182</v>
      </c>
      <c r="AK4873" s="831">
        <v>0</v>
      </c>
      <c r="AP4873" s="831" t="str">
        <f t="shared" si="229"/>
        <v/>
      </c>
    </row>
    <row r="4874" spans="2:42">
      <c r="B4874" s="834" t="str">
        <f t="shared" si="228"/>
        <v>|||</v>
      </c>
      <c r="H4874" s="835">
        <f t="shared" si="230"/>
        <v>31</v>
      </c>
      <c r="AF4874" s="831" t="s">
        <v>5531</v>
      </c>
      <c r="AG4874" s="831" t="s">
        <v>520</v>
      </c>
      <c r="AH4874" s="831" t="s">
        <v>291</v>
      </c>
      <c r="AI4874" s="831">
        <v>0</v>
      </c>
      <c r="AJ4874" s="835">
        <v>41213</v>
      </c>
      <c r="AK4874" s="831">
        <v>6772530</v>
      </c>
      <c r="AP4874" s="831" t="str">
        <f t="shared" si="229"/>
        <v/>
      </c>
    </row>
    <row r="4875" spans="2:42">
      <c r="B4875" s="834" t="str">
        <f t="shared" si="228"/>
        <v>|||</v>
      </c>
      <c r="H4875" s="835">
        <f t="shared" si="230"/>
        <v>31</v>
      </c>
      <c r="AF4875" s="831" t="s">
        <v>5532</v>
      </c>
      <c r="AG4875" s="831" t="s">
        <v>520</v>
      </c>
      <c r="AH4875" s="831" t="s">
        <v>519</v>
      </c>
      <c r="AI4875" s="831">
        <v>0</v>
      </c>
      <c r="AJ4875" s="835">
        <v>41213</v>
      </c>
      <c r="AK4875" s="831">
        <v>201022120</v>
      </c>
      <c r="AP4875" s="831" t="str">
        <f t="shared" si="229"/>
        <v/>
      </c>
    </row>
    <row r="4876" spans="2:42">
      <c r="B4876" s="834" t="str">
        <f t="shared" si="228"/>
        <v>|||</v>
      </c>
      <c r="H4876" s="835">
        <f t="shared" si="230"/>
        <v>31</v>
      </c>
      <c r="AF4876" s="831" t="s">
        <v>5533</v>
      </c>
      <c r="AG4876" s="831" t="s">
        <v>520</v>
      </c>
      <c r="AH4876" s="831" t="s">
        <v>94</v>
      </c>
      <c r="AI4876" s="831">
        <v>0</v>
      </c>
      <c r="AJ4876" s="835">
        <v>41213</v>
      </c>
      <c r="AK4876" s="831">
        <v>15531910</v>
      </c>
      <c r="AP4876" s="831" t="str">
        <f t="shared" si="229"/>
        <v/>
      </c>
    </row>
    <row r="4877" spans="2:42">
      <c r="B4877" s="834" t="str">
        <f t="shared" si="228"/>
        <v>|||</v>
      </c>
      <c r="H4877" s="835">
        <f t="shared" si="230"/>
        <v>31</v>
      </c>
      <c r="AF4877" s="831" t="s">
        <v>5534</v>
      </c>
      <c r="AG4877" s="831" t="s">
        <v>520</v>
      </c>
      <c r="AH4877" s="831" t="s">
        <v>85</v>
      </c>
      <c r="AI4877" s="831">
        <v>0</v>
      </c>
      <c r="AJ4877" s="835">
        <v>41213</v>
      </c>
      <c r="AK4877" s="831">
        <v>46727710</v>
      </c>
      <c r="AP4877" s="831" t="str">
        <f t="shared" si="229"/>
        <v/>
      </c>
    </row>
    <row r="4878" spans="2:42">
      <c r="B4878" s="834" t="str">
        <f t="shared" si="228"/>
        <v>|||</v>
      </c>
      <c r="H4878" s="835">
        <f t="shared" si="230"/>
        <v>31</v>
      </c>
      <c r="AF4878" s="831" t="s">
        <v>5535</v>
      </c>
      <c r="AG4878" s="831" t="s">
        <v>520</v>
      </c>
      <c r="AH4878" s="831" t="s">
        <v>90</v>
      </c>
      <c r="AI4878" s="831">
        <v>0</v>
      </c>
      <c r="AJ4878" s="835">
        <v>41213</v>
      </c>
      <c r="AK4878" s="831">
        <v>165779360</v>
      </c>
      <c r="AP4878" s="831" t="str">
        <f t="shared" si="229"/>
        <v/>
      </c>
    </row>
    <row r="4879" spans="2:42">
      <c r="B4879" s="834" t="str">
        <f t="shared" si="228"/>
        <v>|||</v>
      </c>
      <c r="H4879" s="835">
        <f t="shared" si="230"/>
        <v>31</v>
      </c>
      <c r="AF4879" s="831" t="s">
        <v>5536</v>
      </c>
      <c r="AG4879" s="831" t="s">
        <v>520</v>
      </c>
      <c r="AH4879" s="831" t="s">
        <v>117</v>
      </c>
      <c r="AI4879" s="831">
        <v>0</v>
      </c>
      <c r="AJ4879" s="835">
        <v>41213</v>
      </c>
      <c r="AK4879" s="831">
        <v>5481160</v>
      </c>
      <c r="AP4879" s="831" t="str">
        <f t="shared" si="229"/>
        <v/>
      </c>
    </row>
    <row r="4880" spans="2:42">
      <c r="B4880" s="834" t="str">
        <f t="shared" si="228"/>
        <v>|||</v>
      </c>
      <c r="H4880" s="835">
        <f t="shared" si="230"/>
        <v>31</v>
      </c>
      <c r="AF4880" s="831" t="s">
        <v>5537</v>
      </c>
      <c r="AG4880" s="831" t="s">
        <v>520</v>
      </c>
      <c r="AH4880" s="831" t="s">
        <v>525</v>
      </c>
      <c r="AI4880" s="831">
        <v>0</v>
      </c>
      <c r="AJ4880" s="835">
        <v>41213</v>
      </c>
      <c r="AK4880" s="831">
        <v>0</v>
      </c>
      <c r="AP4880" s="831" t="str">
        <f t="shared" si="229"/>
        <v/>
      </c>
    </row>
    <row r="4881" spans="2:42">
      <c r="B4881" s="834" t="str">
        <f t="shared" si="228"/>
        <v>|||</v>
      </c>
      <c r="H4881" s="835">
        <f t="shared" si="230"/>
        <v>31</v>
      </c>
      <c r="AF4881" s="831" t="s">
        <v>5538</v>
      </c>
      <c r="AG4881" s="831" t="s">
        <v>520</v>
      </c>
      <c r="AH4881" s="831" t="s">
        <v>522</v>
      </c>
      <c r="AI4881" s="831">
        <v>0</v>
      </c>
      <c r="AJ4881" s="835">
        <v>41213</v>
      </c>
      <c r="AK4881" s="831">
        <v>0</v>
      </c>
      <c r="AP4881" s="831" t="str">
        <f t="shared" si="229"/>
        <v/>
      </c>
    </row>
    <row r="4882" spans="2:42">
      <c r="B4882" s="834" t="str">
        <f t="shared" si="228"/>
        <v>|||</v>
      </c>
      <c r="H4882" s="835">
        <f t="shared" si="230"/>
        <v>31</v>
      </c>
      <c r="AF4882" s="831" t="s">
        <v>5539</v>
      </c>
      <c r="AG4882" s="831" t="s">
        <v>520</v>
      </c>
      <c r="AH4882" s="831" t="s">
        <v>523</v>
      </c>
      <c r="AI4882" s="831">
        <v>0</v>
      </c>
      <c r="AJ4882" s="835">
        <v>41213</v>
      </c>
      <c r="AK4882" s="831">
        <v>0</v>
      </c>
      <c r="AP4882" s="831" t="str">
        <f t="shared" si="229"/>
        <v/>
      </c>
    </row>
    <row r="4883" spans="2:42">
      <c r="B4883" s="834" t="str">
        <f t="shared" si="228"/>
        <v>|||</v>
      </c>
      <c r="H4883" s="835">
        <f t="shared" si="230"/>
        <v>31</v>
      </c>
      <c r="AF4883" s="831" t="s">
        <v>5540</v>
      </c>
      <c r="AG4883" s="831" t="s">
        <v>520</v>
      </c>
      <c r="AH4883" s="831" t="s">
        <v>524</v>
      </c>
      <c r="AI4883" s="831">
        <v>0</v>
      </c>
      <c r="AJ4883" s="835">
        <v>41213</v>
      </c>
      <c r="AK4883" s="831">
        <v>0</v>
      </c>
      <c r="AP4883" s="831" t="str">
        <f t="shared" si="229"/>
        <v/>
      </c>
    </row>
    <row r="4884" spans="2:42">
      <c r="B4884" s="834" t="str">
        <f t="shared" si="228"/>
        <v>|||</v>
      </c>
      <c r="H4884" s="835">
        <f t="shared" si="230"/>
        <v>31</v>
      </c>
      <c r="AF4884" s="831" t="s">
        <v>5541</v>
      </c>
      <c r="AG4884" s="831" t="s">
        <v>520</v>
      </c>
      <c r="AH4884" s="831" t="s">
        <v>521</v>
      </c>
      <c r="AI4884" s="831">
        <v>0</v>
      </c>
      <c r="AJ4884" s="835">
        <v>41213</v>
      </c>
      <c r="AK4884" s="831">
        <v>0</v>
      </c>
      <c r="AP4884" s="831" t="str">
        <f t="shared" si="229"/>
        <v/>
      </c>
    </row>
    <row r="4885" spans="2:42">
      <c r="B4885" s="834" t="str">
        <f t="shared" si="228"/>
        <v>|||</v>
      </c>
      <c r="H4885" s="835">
        <f t="shared" si="230"/>
        <v>31</v>
      </c>
      <c r="AF4885" s="831" t="s">
        <v>5542</v>
      </c>
      <c r="AG4885" s="831" t="s">
        <v>520</v>
      </c>
      <c r="AH4885" s="831" t="s">
        <v>660</v>
      </c>
      <c r="AI4885" s="831">
        <v>0</v>
      </c>
      <c r="AJ4885" s="835">
        <v>41213</v>
      </c>
      <c r="AK4885" s="831">
        <v>0</v>
      </c>
      <c r="AP4885" s="831" t="str">
        <f t="shared" si="229"/>
        <v/>
      </c>
    </row>
    <row r="4886" spans="2:42">
      <c r="B4886" s="834" t="str">
        <f t="shared" si="228"/>
        <v>|||</v>
      </c>
      <c r="H4886" s="835">
        <f t="shared" si="230"/>
        <v>31</v>
      </c>
      <c r="AF4886" s="831" t="s">
        <v>5543</v>
      </c>
      <c r="AG4886" s="831" t="s">
        <v>520</v>
      </c>
      <c r="AH4886" s="831" t="s">
        <v>661</v>
      </c>
      <c r="AI4886" s="831">
        <v>0</v>
      </c>
      <c r="AJ4886" s="835">
        <v>41213</v>
      </c>
      <c r="AK4886" s="831">
        <v>0</v>
      </c>
      <c r="AP4886" s="831" t="str">
        <f t="shared" si="229"/>
        <v/>
      </c>
    </row>
    <row r="4887" spans="2:42">
      <c r="B4887" s="834" t="str">
        <f t="shared" si="228"/>
        <v>|||</v>
      </c>
      <c r="H4887" s="835">
        <f t="shared" si="230"/>
        <v>31</v>
      </c>
      <c r="AF4887" s="831" t="s">
        <v>5544</v>
      </c>
      <c r="AG4887" s="831" t="s">
        <v>520</v>
      </c>
      <c r="AH4887" s="831" t="s">
        <v>662</v>
      </c>
      <c r="AI4887" s="831">
        <v>0</v>
      </c>
      <c r="AJ4887" s="835">
        <v>41213</v>
      </c>
      <c r="AK4887" s="831">
        <v>0</v>
      </c>
      <c r="AP4887" s="831" t="str">
        <f t="shared" si="229"/>
        <v/>
      </c>
    </row>
    <row r="4888" spans="2:42">
      <c r="B4888" s="834" t="str">
        <f t="shared" si="228"/>
        <v>|||</v>
      </c>
      <c r="H4888" s="835">
        <f t="shared" si="230"/>
        <v>31</v>
      </c>
      <c r="AF4888" s="831" t="s">
        <v>5545</v>
      </c>
      <c r="AG4888" s="831" t="s">
        <v>520</v>
      </c>
      <c r="AH4888" s="831" t="s">
        <v>291</v>
      </c>
      <c r="AI4888" s="831">
        <v>0</v>
      </c>
      <c r="AJ4888" s="835">
        <v>41243</v>
      </c>
      <c r="AK4888" s="831">
        <v>6542790</v>
      </c>
      <c r="AP4888" s="831" t="str">
        <f t="shared" si="229"/>
        <v/>
      </c>
    </row>
    <row r="4889" spans="2:42">
      <c r="B4889" s="834" t="str">
        <f t="shared" si="228"/>
        <v>|||</v>
      </c>
      <c r="H4889" s="835">
        <f t="shared" si="230"/>
        <v>31</v>
      </c>
      <c r="AF4889" s="831" t="s">
        <v>5546</v>
      </c>
      <c r="AG4889" s="831" t="s">
        <v>520</v>
      </c>
      <c r="AH4889" s="831" t="s">
        <v>519</v>
      </c>
      <c r="AI4889" s="831">
        <v>0</v>
      </c>
      <c r="AJ4889" s="835">
        <v>41243</v>
      </c>
      <c r="AK4889" s="831">
        <v>215671840</v>
      </c>
      <c r="AP4889" s="831" t="str">
        <f t="shared" si="229"/>
        <v/>
      </c>
    </row>
    <row r="4890" spans="2:42">
      <c r="B4890" s="834" t="str">
        <f t="shared" si="228"/>
        <v>|||</v>
      </c>
      <c r="H4890" s="835">
        <f t="shared" si="230"/>
        <v>31</v>
      </c>
      <c r="AF4890" s="831" t="s">
        <v>5547</v>
      </c>
      <c r="AG4890" s="831" t="s">
        <v>520</v>
      </c>
      <c r="AH4890" s="831" t="s">
        <v>94</v>
      </c>
      <c r="AI4890" s="831">
        <v>0</v>
      </c>
      <c r="AJ4890" s="835">
        <v>41243</v>
      </c>
      <c r="AK4890" s="831">
        <v>14199340</v>
      </c>
      <c r="AP4890" s="831" t="str">
        <f t="shared" si="229"/>
        <v/>
      </c>
    </row>
    <row r="4891" spans="2:42">
      <c r="B4891" s="834" t="str">
        <f t="shared" si="228"/>
        <v>|||</v>
      </c>
      <c r="H4891" s="835">
        <f t="shared" si="230"/>
        <v>31</v>
      </c>
      <c r="AF4891" s="831" t="s">
        <v>5548</v>
      </c>
      <c r="AG4891" s="831" t="s">
        <v>520</v>
      </c>
      <c r="AH4891" s="831" t="s">
        <v>85</v>
      </c>
      <c r="AI4891" s="831">
        <v>0</v>
      </c>
      <c r="AJ4891" s="835">
        <v>41243</v>
      </c>
      <c r="AK4891" s="831">
        <v>47342280</v>
      </c>
      <c r="AP4891" s="831" t="str">
        <f t="shared" si="229"/>
        <v/>
      </c>
    </row>
    <row r="4892" spans="2:42">
      <c r="B4892" s="834" t="str">
        <f t="shared" si="228"/>
        <v>|||</v>
      </c>
      <c r="H4892" s="835">
        <f t="shared" si="230"/>
        <v>31</v>
      </c>
      <c r="AF4892" s="831" t="s">
        <v>5549</v>
      </c>
      <c r="AG4892" s="831" t="s">
        <v>520</v>
      </c>
      <c r="AH4892" s="831" t="s">
        <v>90</v>
      </c>
      <c r="AI4892" s="831">
        <v>0</v>
      </c>
      <c r="AJ4892" s="835">
        <v>41243</v>
      </c>
      <c r="AK4892" s="831">
        <v>185630480</v>
      </c>
      <c r="AP4892" s="831" t="str">
        <f t="shared" si="229"/>
        <v/>
      </c>
    </row>
    <row r="4893" spans="2:42">
      <c r="B4893" s="834" t="str">
        <f t="shared" si="228"/>
        <v>|||</v>
      </c>
      <c r="H4893" s="835">
        <f t="shared" si="230"/>
        <v>31</v>
      </c>
      <c r="AF4893" s="831" t="s">
        <v>5550</v>
      </c>
      <c r="AG4893" s="831" t="s">
        <v>520</v>
      </c>
      <c r="AH4893" s="831" t="s">
        <v>117</v>
      </c>
      <c r="AI4893" s="831">
        <v>0</v>
      </c>
      <c r="AJ4893" s="835">
        <v>41243</v>
      </c>
      <c r="AK4893" s="831">
        <v>5325910</v>
      </c>
      <c r="AP4893" s="831" t="str">
        <f t="shared" si="229"/>
        <v/>
      </c>
    </row>
    <row r="4894" spans="2:42">
      <c r="B4894" s="834" t="str">
        <f t="shared" si="228"/>
        <v>|||</v>
      </c>
      <c r="H4894" s="835">
        <f t="shared" si="230"/>
        <v>31</v>
      </c>
      <c r="AF4894" s="831" t="s">
        <v>5551</v>
      </c>
      <c r="AG4894" s="831" t="s">
        <v>520</v>
      </c>
      <c r="AH4894" s="831" t="s">
        <v>525</v>
      </c>
      <c r="AI4894" s="831">
        <v>0</v>
      </c>
      <c r="AJ4894" s="835">
        <v>41243</v>
      </c>
      <c r="AK4894" s="831">
        <v>0</v>
      </c>
      <c r="AP4894" s="831" t="str">
        <f t="shared" si="229"/>
        <v/>
      </c>
    </row>
    <row r="4895" spans="2:42">
      <c r="B4895" s="834" t="str">
        <f t="shared" si="228"/>
        <v>|||</v>
      </c>
      <c r="H4895" s="835">
        <f t="shared" si="230"/>
        <v>31</v>
      </c>
      <c r="AF4895" s="831" t="s">
        <v>5552</v>
      </c>
      <c r="AG4895" s="831" t="s">
        <v>520</v>
      </c>
      <c r="AH4895" s="831" t="s">
        <v>522</v>
      </c>
      <c r="AI4895" s="831">
        <v>0</v>
      </c>
      <c r="AJ4895" s="835">
        <v>41243</v>
      </c>
      <c r="AK4895" s="831">
        <v>0</v>
      </c>
      <c r="AP4895" s="831" t="str">
        <f t="shared" si="229"/>
        <v/>
      </c>
    </row>
    <row r="4896" spans="2:42">
      <c r="B4896" s="834" t="str">
        <f t="shared" si="228"/>
        <v>|||</v>
      </c>
      <c r="H4896" s="835">
        <f t="shared" si="230"/>
        <v>31</v>
      </c>
      <c r="AF4896" s="831" t="s">
        <v>5553</v>
      </c>
      <c r="AG4896" s="831" t="s">
        <v>520</v>
      </c>
      <c r="AH4896" s="831" t="s">
        <v>523</v>
      </c>
      <c r="AI4896" s="831">
        <v>0</v>
      </c>
      <c r="AJ4896" s="835">
        <v>41243</v>
      </c>
      <c r="AK4896" s="831">
        <v>0</v>
      </c>
      <c r="AP4896" s="831" t="str">
        <f t="shared" si="229"/>
        <v/>
      </c>
    </row>
    <row r="4897" spans="2:42">
      <c r="B4897" s="834" t="str">
        <f t="shared" si="228"/>
        <v>|||</v>
      </c>
      <c r="H4897" s="835">
        <f t="shared" si="230"/>
        <v>31</v>
      </c>
      <c r="AF4897" s="831" t="s">
        <v>5554</v>
      </c>
      <c r="AG4897" s="831" t="s">
        <v>520</v>
      </c>
      <c r="AH4897" s="831" t="s">
        <v>524</v>
      </c>
      <c r="AI4897" s="831">
        <v>0</v>
      </c>
      <c r="AJ4897" s="835">
        <v>41243</v>
      </c>
      <c r="AK4897" s="831">
        <v>0</v>
      </c>
      <c r="AP4897" s="831" t="str">
        <f t="shared" si="229"/>
        <v/>
      </c>
    </row>
    <row r="4898" spans="2:42">
      <c r="B4898" s="834" t="str">
        <f t="shared" si="228"/>
        <v>|||</v>
      </c>
      <c r="H4898" s="835">
        <f t="shared" si="230"/>
        <v>31</v>
      </c>
      <c r="AF4898" s="831" t="s">
        <v>5555</v>
      </c>
      <c r="AG4898" s="831" t="s">
        <v>520</v>
      </c>
      <c r="AH4898" s="831" t="s">
        <v>521</v>
      </c>
      <c r="AI4898" s="831">
        <v>0</v>
      </c>
      <c r="AJ4898" s="835">
        <v>41243</v>
      </c>
      <c r="AK4898" s="831">
        <v>0</v>
      </c>
      <c r="AP4898" s="831" t="str">
        <f t="shared" si="229"/>
        <v/>
      </c>
    </row>
    <row r="4899" spans="2:42">
      <c r="B4899" s="834" t="str">
        <f t="shared" si="228"/>
        <v>|||</v>
      </c>
      <c r="H4899" s="835">
        <f t="shared" si="230"/>
        <v>31</v>
      </c>
      <c r="AF4899" s="831" t="s">
        <v>5556</v>
      </c>
      <c r="AG4899" s="831" t="s">
        <v>520</v>
      </c>
      <c r="AH4899" s="831" t="s">
        <v>660</v>
      </c>
      <c r="AI4899" s="831">
        <v>0</v>
      </c>
      <c r="AJ4899" s="835">
        <v>41243</v>
      </c>
      <c r="AK4899" s="831">
        <v>0</v>
      </c>
      <c r="AP4899" s="831" t="str">
        <f t="shared" si="229"/>
        <v/>
      </c>
    </row>
    <row r="4900" spans="2:42">
      <c r="B4900" s="834" t="str">
        <f t="shared" si="228"/>
        <v>|||</v>
      </c>
      <c r="H4900" s="835">
        <f t="shared" si="230"/>
        <v>31</v>
      </c>
      <c r="AF4900" s="831" t="s">
        <v>5557</v>
      </c>
      <c r="AG4900" s="831" t="s">
        <v>520</v>
      </c>
      <c r="AH4900" s="831" t="s">
        <v>661</v>
      </c>
      <c r="AI4900" s="831">
        <v>0</v>
      </c>
      <c r="AJ4900" s="835">
        <v>41243</v>
      </c>
      <c r="AK4900" s="831">
        <v>0</v>
      </c>
      <c r="AP4900" s="831" t="str">
        <f t="shared" si="229"/>
        <v/>
      </c>
    </row>
    <row r="4901" spans="2:42">
      <c r="B4901" s="834" t="str">
        <f t="shared" si="228"/>
        <v>|||</v>
      </c>
      <c r="H4901" s="835">
        <f t="shared" si="230"/>
        <v>31</v>
      </c>
      <c r="AF4901" s="831" t="s">
        <v>5558</v>
      </c>
      <c r="AG4901" s="831" t="s">
        <v>520</v>
      </c>
      <c r="AH4901" s="831" t="s">
        <v>662</v>
      </c>
      <c r="AI4901" s="831">
        <v>0</v>
      </c>
      <c r="AJ4901" s="835">
        <v>41243</v>
      </c>
      <c r="AK4901" s="831">
        <v>0</v>
      </c>
      <c r="AP4901" s="831" t="str">
        <f t="shared" si="229"/>
        <v/>
      </c>
    </row>
    <row r="4902" spans="2:42">
      <c r="B4902" s="834" t="str">
        <f t="shared" si="228"/>
        <v>|||</v>
      </c>
      <c r="H4902" s="835">
        <f t="shared" si="230"/>
        <v>31</v>
      </c>
      <c r="AF4902" s="831" t="s">
        <v>5559</v>
      </c>
      <c r="AG4902" s="831" t="s">
        <v>520</v>
      </c>
      <c r="AH4902" s="831" t="s">
        <v>291</v>
      </c>
      <c r="AI4902" s="831">
        <v>0</v>
      </c>
      <c r="AJ4902" s="835">
        <v>41274</v>
      </c>
      <c r="AK4902" s="831">
        <v>6018930</v>
      </c>
      <c r="AP4902" s="831" t="str">
        <f t="shared" si="229"/>
        <v/>
      </c>
    </row>
    <row r="4903" spans="2:42">
      <c r="B4903" s="834" t="str">
        <f t="shared" si="228"/>
        <v>|||</v>
      </c>
      <c r="H4903" s="835">
        <f t="shared" si="230"/>
        <v>31</v>
      </c>
      <c r="AF4903" s="831" t="s">
        <v>5560</v>
      </c>
      <c r="AG4903" s="831" t="s">
        <v>520</v>
      </c>
      <c r="AH4903" s="831" t="s">
        <v>519</v>
      </c>
      <c r="AI4903" s="831">
        <v>0</v>
      </c>
      <c r="AJ4903" s="835">
        <v>41274</v>
      </c>
      <c r="AK4903" s="831">
        <v>228883690</v>
      </c>
      <c r="AP4903" s="831" t="str">
        <f t="shared" si="229"/>
        <v/>
      </c>
    </row>
    <row r="4904" spans="2:42">
      <c r="B4904" s="834" t="str">
        <f t="shared" si="228"/>
        <v>|||</v>
      </c>
      <c r="H4904" s="835">
        <f t="shared" si="230"/>
        <v>31</v>
      </c>
      <c r="AF4904" s="831" t="s">
        <v>5561</v>
      </c>
      <c r="AG4904" s="831" t="s">
        <v>520</v>
      </c>
      <c r="AH4904" s="831" t="s">
        <v>94</v>
      </c>
      <c r="AI4904" s="831">
        <v>0</v>
      </c>
      <c r="AJ4904" s="835">
        <v>41274</v>
      </c>
      <c r="AK4904" s="831">
        <v>40045390</v>
      </c>
      <c r="AP4904" s="831" t="str">
        <f t="shared" si="229"/>
        <v/>
      </c>
    </row>
    <row r="4905" spans="2:42">
      <c r="B4905" s="834" t="str">
        <f t="shared" si="228"/>
        <v>|||</v>
      </c>
      <c r="H4905" s="835">
        <f t="shared" si="230"/>
        <v>31</v>
      </c>
      <c r="AF4905" s="831" t="s">
        <v>5562</v>
      </c>
      <c r="AG4905" s="831" t="s">
        <v>520</v>
      </c>
      <c r="AH4905" s="831" t="s">
        <v>85</v>
      </c>
      <c r="AI4905" s="831">
        <v>0</v>
      </c>
      <c r="AJ4905" s="835">
        <v>41274</v>
      </c>
      <c r="AK4905" s="831">
        <v>47481560</v>
      </c>
      <c r="AP4905" s="831" t="str">
        <f t="shared" si="229"/>
        <v/>
      </c>
    </row>
    <row r="4906" spans="2:42">
      <c r="B4906" s="834" t="str">
        <f t="shared" si="228"/>
        <v>|||</v>
      </c>
      <c r="H4906" s="835">
        <f t="shared" si="230"/>
        <v>31</v>
      </c>
      <c r="AF4906" s="831" t="s">
        <v>5563</v>
      </c>
      <c r="AG4906" s="831" t="s">
        <v>520</v>
      </c>
      <c r="AH4906" s="831" t="s">
        <v>90</v>
      </c>
      <c r="AI4906" s="831">
        <v>0</v>
      </c>
      <c r="AJ4906" s="835">
        <v>41274</v>
      </c>
      <c r="AK4906" s="831">
        <v>221083100</v>
      </c>
      <c r="AP4906" s="831" t="str">
        <f t="shared" si="229"/>
        <v/>
      </c>
    </row>
    <row r="4907" spans="2:42">
      <c r="B4907" s="834" t="str">
        <f t="shared" si="228"/>
        <v>|||</v>
      </c>
      <c r="H4907" s="835">
        <f t="shared" si="230"/>
        <v>31</v>
      </c>
      <c r="AF4907" s="831" t="s">
        <v>5564</v>
      </c>
      <c r="AG4907" s="831" t="s">
        <v>520</v>
      </c>
      <c r="AH4907" s="831" t="s">
        <v>117</v>
      </c>
      <c r="AI4907" s="831">
        <v>0</v>
      </c>
      <c r="AJ4907" s="835">
        <v>41274</v>
      </c>
      <c r="AK4907" s="831">
        <v>4505220</v>
      </c>
      <c r="AP4907" s="831" t="str">
        <f t="shared" si="229"/>
        <v/>
      </c>
    </row>
    <row r="4908" spans="2:42">
      <c r="B4908" s="834" t="str">
        <f t="shared" si="228"/>
        <v>|||</v>
      </c>
      <c r="H4908" s="835">
        <f t="shared" si="230"/>
        <v>31</v>
      </c>
      <c r="AF4908" s="831" t="s">
        <v>5565</v>
      </c>
      <c r="AG4908" s="831" t="s">
        <v>520</v>
      </c>
      <c r="AH4908" s="831" t="s">
        <v>525</v>
      </c>
      <c r="AI4908" s="831">
        <v>0</v>
      </c>
      <c r="AJ4908" s="835">
        <v>41274</v>
      </c>
      <c r="AK4908" s="831">
        <v>0</v>
      </c>
      <c r="AP4908" s="831" t="str">
        <f t="shared" si="229"/>
        <v/>
      </c>
    </row>
    <row r="4909" spans="2:42">
      <c r="B4909" s="834" t="str">
        <f t="shared" si="228"/>
        <v>|||</v>
      </c>
      <c r="H4909" s="835">
        <f t="shared" si="230"/>
        <v>31</v>
      </c>
      <c r="AF4909" s="831" t="s">
        <v>5566</v>
      </c>
      <c r="AG4909" s="831" t="s">
        <v>520</v>
      </c>
      <c r="AH4909" s="831" t="s">
        <v>522</v>
      </c>
      <c r="AI4909" s="831">
        <v>0</v>
      </c>
      <c r="AJ4909" s="835">
        <v>41274</v>
      </c>
      <c r="AK4909" s="831">
        <v>0</v>
      </c>
      <c r="AP4909" s="831" t="str">
        <f t="shared" si="229"/>
        <v/>
      </c>
    </row>
    <row r="4910" spans="2:42">
      <c r="B4910" s="834" t="str">
        <f t="shared" si="228"/>
        <v>|||</v>
      </c>
      <c r="H4910" s="835">
        <f t="shared" si="230"/>
        <v>31</v>
      </c>
      <c r="AF4910" s="831" t="s">
        <v>5567</v>
      </c>
      <c r="AG4910" s="831" t="s">
        <v>520</v>
      </c>
      <c r="AH4910" s="831" t="s">
        <v>523</v>
      </c>
      <c r="AI4910" s="831">
        <v>0</v>
      </c>
      <c r="AJ4910" s="835">
        <v>41274</v>
      </c>
      <c r="AK4910" s="831">
        <v>0</v>
      </c>
      <c r="AP4910" s="831" t="str">
        <f t="shared" si="229"/>
        <v/>
      </c>
    </row>
    <row r="4911" spans="2:42">
      <c r="B4911" s="834" t="str">
        <f t="shared" si="228"/>
        <v>|||</v>
      </c>
      <c r="H4911" s="835">
        <f t="shared" si="230"/>
        <v>31</v>
      </c>
      <c r="AF4911" s="831" t="s">
        <v>5568</v>
      </c>
      <c r="AG4911" s="831" t="s">
        <v>520</v>
      </c>
      <c r="AH4911" s="831" t="s">
        <v>524</v>
      </c>
      <c r="AI4911" s="831">
        <v>0</v>
      </c>
      <c r="AJ4911" s="835">
        <v>41274</v>
      </c>
      <c r="AK4911" s="831">
        <v>0</v>
      </c>
      <c r="AP4911" s="831" t="str">
        <f t="shared" si="229"/>
        <v/>
      </c>
    </row>
    <row r="4912" spans="2:42">
      <c r="B4912" s="834" t="str">
        <f t="shared" si="228"/>
        <v>|||</v>
      </c>
      <c r="H4912" s="835">
        <f t="shared" si="230"/>
        <v>31</v>
      </c>
      <c r="AF4912" s="831" t="s">
        <v>5569</v>
      </c>
      <c r="AG4912" s="831" t="s">
        <v>520</v>
      </c>
      <c r="AH4912" s="831" t="s">
        <v>521</v>
      </c>
      <c r="AI4912" s="831">
        <v>0</v>
      </c>
      <c r="AJ4912" s="835">
        <v>41274</v>
      </c>
      <c r="AK4912" s="831">
        <v>0</v>
      </c>
      <c r="AP4912" s="831" t="str">
        <f t="shared" si="229"/>
        <v/>
      </c>
    </row>
    <row r="4913" spans="2:42">
      <c r="B4913" s="834" t="str">
        <f t="shared" si="228"/>
        <v>|||</v>
      </c>
      <c r="H4913" s="835">
        <f t="shared" si="230"/>
        <v>31</v>
      </c>
      <c r="AF4913" s="831" t="s">
        <v>5570</v>
      </c>
      <c r="AG4913" s="831" t="s">
        <v>520</v>
      </c>
      <c r="AH4913" s="831" t="s">
        <v>660</v>
      </c>
      <c r="AI4913" s="831">
        <v>0</v>
      </c>
      <c r="AJ4913" s="835">
        <v>41274</v>
      </c>
      <c r="AK4913" s="831">
        <v>0</v>
      </c>
      <c r="AP4913" s="831" t="str">
        <f t="shared" si="229"/>
        <v/>
      </c>
    </row>
    <row r="4914" spans="2:42">
      <c r="B4914" s="834" t="str">
        <f t="shared" si="228"/>
        <v>|||</v>
      </c>
      <c r="H4914" s="835">
        <f t="shared" si="230"/>
        <v>31</v>
      </c>
      <c r="AF4914" s="831" t="s">
        <v>5571</v>
      </c>
      <c r="AG4914" s="831" t="s">
        <v>520</v>
      </c>
      <c r="AH4914" s="831" t="s">
        <v>661</v>
      </c>
      <c r="AI4914" s="831">
        <v>0</v>
      </c>
      <c r="AJ4914" s="835">
        <v>41274</v>
      </c>
      <c r="AK4914" s="831">
        <v>0</v>
      </c>
      <c r="AP4914" s="831" t="str">
        <f t="shared" si="229"/>
        <v/>
      </c>
    </row>
    <row r="4915" spans="2:42">
      <c r="B4915" s="834" t="str">
        <f t="shared" si="228"/>
        <v>|||</v>
      </c>
      <c r="H4915" s="835">
        <f t="shared" si="230"/>
        <v>31</v>
      </c>
      <c r="AF4915" s="831" t="s">
        <v>5572</v>
      </c>
      <c r="AG4915" s="831" t="s">
        <v>520</v>
      </c>
      <c r="AH4915" s="831" t="s">
        <v>662</v>
      </c>
      <c r="AI4915" s="831">
        <v>0</v>
      </c>
      <c r="AJ4915" s="835">
        <v>41274</v>
      </c>
      <c r="AK4915" s="831">
        <v>0</v>
      </c>
      <c r="AP4915" s="831" t="str">
        <f t="shared" si="229"/>
        <v/>
      </c>
    </row>
    <row r="4916" spans="2:42">
      <c r="B4916" s="834" t="str">
        <f t="shared" si="228"/>
        <v>|||</v>
      </c>
      <c r="H4916" s="835">
        <f t="shared" si="230"/>
        <v>31</v>
      </c>
      <c r="AF4916" s="831" t="s">
        <v>5573</v>
      </c>
      <c r="AG4916" s="831" t="s">
        <v>131</v>
      </c>
      <c r="AH4916" s="831" t="s">
        <v>138</v>
      </c>
      <c r="AI4916" s="831">
        <v>0</v>
      </c>
      <c r="AJ4916" s="835">
        <v>40939</v>
      </c>
      <c r="AK4916" s="831">
        <v>7339636</v>
      </c>
      <c r="AP4916" s="831" t="str">
        <f t="shared" si="229"/>
        <v/>
      </c>
    </row>
    <row r="4917" spans="2:42">
      <c r="B4917" s="834" t="str">
        <f t="shared" si="228"/>
        <v>|||</v>
      </c>
      <c r="H4917" s="835">
        <f t="shared" si="230"/>
        <v>31</v>
      </c>
      <c r="AF4917" s="831" t="s">
        <v>5574</v>
      </c>
      <c r="AG4917" s="831" t="s">
        <v>131</v>
      </c>
      <c r="AH4917" s="831" t="s">
        <v>141</v>
      </c>
      <c r="AI4917" s="831">
        <v>0</v>
      </c>
      <c r="AJ4917" s="835">
        <v>40939</v>
      </c>
      <c r="AK4917" s="831">
        <v>170289</v>
      </c>
      <c r="AP4917" s="831" t="str">
        <f t="shared" si="229"/>
        <v/>
      </c>
    </row>
    <row r="4918" spans="2:42">
      <c r="B4918" s="834" t="str">
        <f t="shared" si="228"/>
        <v>|||</v>
      </c>
      <c r="H4918" s="835">
        <f t="shared" si="230"/>
        <v>31</v>
      </c>
      <c r="AF4918" s="831" t="s">
        <v>5575</v>
      </c>
      <c r="AG4918" s="831" t="s">
        <v>131</v>
      </c>
      <c r="AH4918" s="831" t="s">
        <v>146</v>
      </c>
      <c r="AI4918" s="831">
        <v>0</v>
      </c>
      <c r="AJ4918" s="835">
        <v>40939</v>
      </c>
      <c r="AK4918" s="831">
        <v>-1013582</v>
      </c>
      <c r="AP4918" s="831" t="str">
        <f t="shared" si="229"/>
        <v/>
      </c>
    </row>
    <row r="4919" spans="2:42">
      <c r="B4919" s="834" t="str">
        <f t="shared" si="228"/>
        <v>|||</v>
      </c>
      <c r="H4919" s="835">
        <f t="shared" si="230"/>
        <v>31</v>
      </c>
      <c r="AF4919" s="831" t="s">
        <v>5576</v>
      </c>
      <c r="AG4919" s="831" t="s">
        <v>131</v>
      </c>
      <c r="AH4919" s="831" t="s">
        <v>150</v>
      </c>
      <c r="AI4919" s="831">
        <v>0</v>
      </c>
      <c r="AJ4919" s="835">
        <v>40939</v>
      </c>
      <c r="AK4919" s="831">
        <v>-1048009</v>
      </c>
      <c r="AP4919" s="831" t="str">
        <f t="shared" si="229"/>
        <v/>
      </c>
    </row>
    <row r="4920" spans="2:42">
      <c r="B4920" s="834" t="str">
        <f t="shared" si="228"/>
        <v>|||</v>
      </c>
      <c r="H4920" s="835">
        <f t="shared" si="230"/>
        <v>31</v>
      </c>
      <c r="AF4920" s="831" t="s">
        <v>5577</v>
      </c>
      <c r="AG4920" s="831" t="s">
        <v>131</v>
      </c>
      <c r="AH4920" s="831" t="s">
        <v>77</v>
      </c>
      <c r="AI4920" s="831">
        <v>0</v>
      </c>
      <c r="AJ4920" s="835">
        <v>40939</v>
      </c>
      <c r="AK4920" s="831">
        <v>-81413</v>
      </c>
      <c r="AP4920" s="831" t="str">
        <f t="shared" si="229"/>
        <v/>
      </c>
    </row>
    <row r="4921" spans="2:42">
      <c r="B4921" s="834" t="str">
        <f t="shared" si="228"/>
        <v>|||</v>
      </c>
      <c r="H4921" s="835">
        <f t="shared" si="230"/>
        <v>31</v>
      </c>
      <c r="AF4921" s="831" t="s">
        <v>5578</v>
      </c>
      <c r="AG4921" s="831" t="s">
        <v>131</v>
      </c>
      <c r="AH4921" s="831" t="s">
        <v>167</v>
      </c>
      <c r="AI4921" s="831">
        <v>0</v>
      </c>
      <c r="AJ4921" s="835">
        <v>40939</v>
      </c>
      <c r="AK4921" s="831">
        <v>0</v>
      </c>
      <c r="AP4921" s="831" t="str">
        <f t="shared" si="229"/>
        <v/>
      </c>
    </row>
    <row r="4922" spans="2:42">
      <c r="B4922" s="834" t="str">
        <f t="shared" si="228"/>
        <v>|||</v>
      </c>
      <c r="H4922" s="835">
        <f t="shared" si="230"/>
        <v>31</v>
      </c>
      <c r="AF4922" s="831" t="s">
        <v>5579</v>
      </c>
      <c r="AG4922" s="831" t="s">
        <v>131</v>
      </c>
      <c r="AH4922" s="831" t="s">
        <v>169</v>
      </c>
      <c r="AI4922" s="831">
        <v>0</v>
      </c>
      <c r="AJ4922" s="835">
        <v>40939</v>
      </c>
      <c r="AK4922" s="831">
        <v>-18718</v>
      </c>
      <c r="AP4922" s="831" t="str">
        <f t="shared" si="229"/>
        <v/>
      </c>
    </row>
    <row r="4923" spans="2:42">
      <c r="B4923" s="834" t="str">
        <f t="shared" si="228"/>
        <v>|||</v>
      </c>
      <c r="H4923" s="835">
        <f t="shared" si="230"/>
        <v>31</v>
      </c>
      <c r="AF4923" s="831" t="s">
        <v>5580</v>
      </c>
      <c r="AG4923" s="831" t="s">
        <v>131</v>
      </c>
      <c r="AH4923" s="831" t="s">
        <v>172</v>
      </c>
      <c r="AI4923" s="831">
        <v>0</v>
      </c>
      <c r="AJ4923" s="835">
        <v>40939</v>
      </c>
      <c r="AK4923" s="831">
        <v>114903</v>
      </c>
      <c r="AP4923" s="831" t="str">
        <f t="shared" si="229"/>
        <v/>
      </c>
    </row>
    <row r="4924" spans="2:42">
      <c r="B4924" s="834" t="str">
        <f t="shared" si="228"/>
        <v>|||</v>
      </c>
      <c r="H4924" s="835">
        <f t="shared" si="230"/>
        <v>31</v>
      </c>
      <c r="AF4924" s="831" t="s">
        <v>5581</v>
      </c>
      <c r="AG4924" s="831" t="s">
        <v>131</v>
      </c>
      <c r="AH4924" s="831" t="s">
        <v>175</v>
      </c>
      <c r="AI4924" s="831">
        <v>0</v>
      </c>
      <c r="AJ4924" s="835">
        <v>40939</v>
      </c>
      <c r="AK4924" s="831">
        <v>108893</v>
      </c>
      <c r="AP4924" s="831" t="str">
        <f t="shared" si="229"/>
        <v/>
      </c>
    </row>
    <row r="4925" spans="2:42">
      <c r="B4925" s="834" t="str">
        <f t="shared" si="228"/>
        <v>|||</v>
      </c>
      <c r="H4925" s="835">
        <f t="shared" si="230"/>
        <v>31</v>
      </c>
      <c r="AF4925" s="831" t="s">
        <v>5582</v>
      </c>
      <c r="AG4925" s="831" t="s">
        <v>131</v>
      </c>
      <c r="AH4925" s="831" t="s">
        <v>185</v>
      </c>
      <c r="AI4925" s="831">
        <v>0</v>
      </c>
      <c r="AJ4925" s="835">
        <v>40939</v>
      </c>
      <c r="AK4925" s="831">
        <v>-2193530</v>
      </c>
      <c r="AP4925" s="831" t="str">
        <f t="shared" si="229"/>
        <v/>
      </c>
    </row>
    <row r="4926" spans="2:42">
      <c r="B4926" s="834" t="str">
        <f t="shared" si="228"/>
        <v>|||</v>
      </c>
      <c r="H4926" s="835">
        <f t="shared" si="230"/>
        <v>31</v>
      </c>
      <c r="AF4926" s="831" t="s">
        <v>5583</v>
      </c>
      <c r="AG4926" s="831" t="s">
        <v>131</v>
      </c>
      <c r="AH4926" s="831" t="s">
        <v>188</v>
      </c>
      <c r="AI4926" s="831">
        <v>0</v>
      </c>
      <c r="AJ4926" s="835">
        <v>40939</v>
      </c>
      <c r="AK4926" s="831">
        <v>-1312180</v>
      </c>
      <c r="AP4926" s="831" t="str">
        <f t="shared" si="229"/>
        <v/>
      </c>
    </row>
    <row r="4927" spans="2:42">
      <c r="B4927" s="834" t="str">
        <f t="shared" si="228"/>
        <v>|||</v>
      </c>
      <c r="H4927" s="835">
        <f t="shared" si="230"/>
        <v>31</v>
      </c>
      <c r="AF4927" s="831" t="s">
        <v>5584</v>
      </c>
      <c r="AG4927" s="831" t="s">
        <v>131</v>
      </c>
      <c r="AH4927" s="831" t="s">
        <v>191</v>
      </c>
      <c r="AI4927" s="831">
        <v>0</v>
      </c>
      <c r="AJ4927" s="835">
        <v>40939</v>
      </c>
      <c r="AK4927" s="831">
        <v>-358530</v>
      </c>
      <c r="AP4927" s="831" t="str">
        <f t="shared" si="229"/>
        <v/>
      </c>
    </row>
    <row r="4928" spans="2:42">
      <c r="B4928" s="834" t="str">
        <f t="shared" si="228"/>
        <v>|||</v>
      </c>
      <c r="H4928" s="835">
        <f t="shared" si="230"/>
        <v>31</v>
      </c>
      <c r="AF4928" s="831" t="s">
        <v>5585</v>
      </c>
      <c r="AG4928" s="831" t="s">
        <v>131</v>
      </c>
      <c r="AH4928" s="831" t="s">
        <v>198</v>
      </c>
      <c r="AI4928" s="831">
        <v>0</v>
      </c>
      <c r="AJ4928" s="835">
        <v>40939</v>
      </c>
      <c r="AK4928" s="831">
        <v>0</v>
      </c>
      <c r="AP4928" s="831" t="str">
        <f t="shared" si="229"/>
        <v/>
      </c>
    </row>
    <row r="4929" spans="2:42">
      <c r="B4929" s="834" t="str">
        <f t="shared" si="228"/>
        <v>|||</v>
      </c>
      <c r="H4929" s="835">
        <f t="shared" si="230"/>
        <v>31</v>
      </c>
      <c r="AF4929" s="831" t="s">
        <v>5586</v>
      </c>
      <c r="AG4929" s="831" t="s">
        <v>131</v>
      </c>
      <c r="AH4929" s="831" t="s">
        <v>200</v>
      </c>
      <c r="AI4929" s="831">
        <v>0</v>
      </c>
      <c r="AJ4929" s="835">
        <v>40939</v>
      </c>
      <c r="AK4929" s="831">
        <v>0</v>
      </c>
      <c r="AP4929" s="831" t="str">
        <f t="shared" si="229"/>
        <v/>
      </c>
    </row>
    <row r="4930" spans="2:42">
      <c r="B4930" s="834" t="str">
        <f t="shared" si="228"/>
        <v>|||</v>
      </c>
      <c r="H4930" s="835">
        <f t="shared" si="230"/>
        <v>31</v>
      </c>
      <c r="AF4930" s="831" t="s">
        <v>5587</v>
      </c>
      <c r="AG4930" s="831" t="s">
        <v>131</v>
      </c>
      <c r="AH4930" s="831" t="s">
        <v>205</v>
      </c>
      <c r="AI4930" s="831">
        <v>0</v>
      </c>
      <c r="AJ4930" s="835">
        <v>40939</v>
      </c>
      <c r="AK4930" s="831">
        <v>-341552</v>
      </c>
      <c r="AP4930" s="831" t="str">
        <f t="shared" si="229"/>
        <v/>
      </c>
    </row>
    <row r="4931" spans="2:42">
      <c r="B4931" s="834" t="str">
        <f t="shared" ref="B4931:B4994" si="231">C4931&amp;"|"&amp;D4931&amp;"|"&amp;E4931&amp;"|"&amp;F4931</f>
        <v>|||</v>
      </c>
      <c r="H4931" s="835">
        <f t="shared" si="230"/>
        <v>31</v>
      </c>
      <c r="AF4931" s="831" t="s">
        <v>5588</v>
      </c>
      <c r="AG4931" s="831" t="s">
        <v>131</v>
      </c>
      <c r="AH4931" s="831" t="s">
        <v>122</v>
      </c>
      <c r="AI4931" s="831">
        <v>0</v>
      </c>
      <c r="AJ4931" s="835">
        <v>40939</v>
      </c>
      <c r="AK4931" s="831">
        <v>0</v>
      </c>
      <c r="AP4931" s="831" t="str">
        <f t="shared" ref="AP4931:AP4994" si="232">IF(AX4931&lt;&gt;"",IF(OR(AX4931=3,AX4931=4),"Equity","Debt"),"")</f>
        <v/>
      </c>
    </row>
    <row r="4932" spans="2:42">
      <c r="B4932" s="834" t="str">
        <f t="shared" si="231"/>
        <v>|||</v>
      </c>
      <c r="H4932" s="835">
        <f t="shared" ref="H4932:H4995" si="233">EOMONTH(L4932,0)</f>
        <v>31</v>
      </c>
      <c r="AF4932" s="831" t="s">
        <v>5589</v>
      </c>
      <c r="AG4932" s="831" t="s">
        <v>131</v>
      </c>
      <c r="AH4932" s="831" t="s">
        <v>213</v>
      </c>
      <c r="AI4932" s="831">
        <v>0</v>
      </c>
      <c r="AJ4932" s="835">
        <v>40939</v>
      </c>
      <c r="AK4932" s="831">
        <v>0</v>
      </c>
      <c r="AP4932" s="831" t="str">
        <f t="shared" si="232"/>
        <v/>
      </c>
    </row>
    <row r="4933" spans="2:42">
      <c r="B4933" s="834" t="str">
        <f t="shared" si="231"/>
        <v>|||</v>
      </c>
      <c r="H4933" s="835">
        <f t="shared" si="233"/>
        <v>31</v>
      </c>
      <c r="AF4933" s="831" t="s">
        <v>5590</v>
      </c>
      <c r="AG4933" s="831" t="s">
        <v>131</v>
      </c>
      <c r="AH4933" s="831" t="s">
        <v>215</v>
      </c>
      <c r="AI4933" s="831">
        <v>0</v>
      </c>
      <c r="AJ4933" s="835">
        <v>40939</v>
      </c>
      <c r="AK4933" s="831">
        <v>0</v>
      </c>
      <c r="AP4933" s="831" t="str">
        <f t="shared" si="232"/>
        <v/>
      </c>
    </row>
    <row r="4934" spans="2:42">
      <c r="B4934" s="834" t="str">
        <f t="shared" si="231"/>
        <v>|||</v>
      </c>
      <c r="H4934" s="835">
        <f t="shared" si="233"/>
        <v>31</v>
      </c>
      <c r="AF4934" s="831" t="s">
        <v>5591</v>
      </c>
      <c r="AG4934" s="831" t="s">
        <v>131</v>
      </c>
      <c r="AH4934" s="831" t="s">
        <v>217</v>
      </c>
      <c r="AI4934" s="831">
        <v>0</v>
      </c>
      <c r="AJ4934" s="835">
        <v>40939</v>
      </c>
      <c r="AK4934" s="831">
        <v>0</v>
      </c>
      <c r="AP4934" s="831" t="str">
        <f t="shared" si="232"/>
        <v/>
      </c>
    </row>
    <row r="4935" spans="2:42">
      <c r="B4935" s="834" t="str">
        <f t="shared" si="231"/>
        <v>|||</v>
      </c>
      <c r="H4935" s="835">
        <f t="shared" si="233"/>
        <v>31</v>
      </c>
      <c r="AF4935" s="831" t="s">
        <v>5592</v>
      </c>
      <c r="AG4935" s="831" t="s">
        <v>131</v>
      </c>
      <c r="AH4935" s="831" t="s">
        <v>223</v>
      </c>
      <c r="AI4935" s="831">
        <v>0</v>
      </c>
      <c r="AJ4935" s="835">
        <v>40939</v>
      </c>
      <c r="AK4935" s="831">
        <v>0</v>
      </c>
      <c r="AP4935" s="831" t="str">
        <f t="shared" si="232"/>
        <v/>
      </c>
    </row>
    <row r="4936" spans="2:42">
      <c r="B4936" s="834" t="str">
        <f t="shared" si="231"/>
        <v>|||</v>
      </c>
      <c r="H4936" s="835">
        <f t="shared" si="233"/>
        <v>31</v>
      </c>
      <c r="AF4936" s="831" t="s">
        <v>5593</v>
      </c>
      <c r="AG4936" s="831" t="s">
        <v>131</v>
      </c>
      <c r="AH4936" s="831" t="s">
        <v>224</v>
      </c>
      <c r="AI4936" s="831">
        <v>0</v>
      </c>
      <c r="AJ4936" s="835">
        <v>40939</v>
      </c>
      <c r="AK4936" s="831">
        <v>0</v>
      </c>
      <c r="AP4936" s="831" t="str">
        <f t="shared" si="232"/>
        <v/>
      </c>
    </row>
    <row r="4937" spans="2:42">
      <c r="B4937" s="834" t="str">
        <f t="shared" si="231"/>
        <v>|||</v>
      </c>
      <c r="H4937" s="835">
        <f t="shared" si="233"/>
        <v>31</v>
      </c>
      <c r="AF4937" s="831" t="s">
        <v>5594</v>
      </c>
      <c r="AG4937" s="831" t="s">
        <v>131</v>
      </c>
      <c r="AH4937" s="831" t="s">
        <v>128</v>
      </c>
      <c r="AI4937" s="831">
        <v>0</v>
      </c>
      <c r="AJ4937" s="835">
        <v>40939</v>
      </c>
      <c r="AK4937" s="831">
        <v>0</v>
      </c>
      <c r="AP4937" s="831" t="str">
        <f t="shared" si="232"/>
        <v/>
      </c>
    </row>
    <row r="4938" spans="2:42">
      <c r="B4938" s="834" t="str">
        <f t="shared" si="231"/>
        <v>|||</v>
      </c>
      <c r="H4938" s="835">
        <f t="shared" si="233"/>
        <v>31</v>
      </c>
      <c r="AF4938" s="831" t="s">
        <v>5595</v>
      </c>
      <c r="AG4938" s="831" t="s">
        <v>131</v>
      </c>
      <c r="AH4938" s="831" t="s">
        <v>3237</v>
      </c>
      <c r="AI4938" s="831">
        <v>0</v>
      </c>
      <c r="AJ4938" s="835">
        <v>40939</v>
      </c>
      <c r="AK4938" s="831">
        <v>0</v>
      </c>
      <c r="AP4938" s="831" t="str">
        <f t="shared" si="232"/>
        <v/>
      </c>
    </row>
    <row r="4939" spans="2:42">
      <c r="B4939" s="834" t="str">
        <f t="shared" si="231"/>
        <v>|||</v>
      </c>
      <c r="H4939" s="835">
        <f t="shared" si="233"/>
        <v>31</v>
      </c>
      <c r="AF4939" s="831" t="s">
        <v>5596</v>
      </c>
      <c r="AG4939" s="831" t="s">
        <v>131</v>
      </c>
      <c r="AH4939" s="831" t="s">
        <v>3239</v>
      </c>
      <c r="AI4939" s="831">
        <v>0</v>
      </c>
      <c r="AJ4939" s="835">
        <v>40939</v>
      </c>
      <c r="AK4939" s="831">
        <v>0</v>
      </c>
      <c r="AP4939" s="831" t="str">
        <f t="shared" si="232"/>
        <v/>
      </c>
    </row>
    <row r="4940" spans="2:42">
      <c r="B4940" s="834" t="str">
        <f t="shared" si="231"/>
        <v>|||</v>
      </c>
      <c r="H4940" s="835">
        <f t="shared" si="233"/>
        <v>31</v>
      </c>
      <c r="AF4940" s="831" t="s">
        <v>5597</v>
      </c>
      <c r="AG4940" s="831" t="s">
        <v>131</v>
      </c>
      <c r="AH4940" s="831" t="s">
        <v>138</v>
      </c>
      <c r="AI4940" s="831">
        <v>0</v>
      </c>
      <c r="AJ4940" s="835">
        <v>40968</v>
      </c>
      <c r="AK4940" s="831">
        <v>14837850</v>
      </c>
      <c r="AP4940" s="831" t="str">
        <f t="shared" si="232"/>
        <v/>
      </c>
    </row>
    <row r="4941" spans="2:42">
      <c r="B4941" s="834" t="str">
        <f t="shared" si="231"/>
        <v>|||</v>
      </c>
      <c r="H4941" s="835">
        <f t="shared" si="233"/>
        <v>31</v>
      </c>
      <c r="AF4941" s="831" t="s">
        <v>5598</v>
      </c>
      <c r="AG4941" s="831" t="s">
        <v>131</v>
      </c>
      <c r="AH4941" s="831" t="s">
        <v>141</v>
      </c>
      <c r="AI4941" s="831">
        <v>0</v>
      </c>
      <c r="AJ4941" s="835">
        <v>40968</v>
      </c>
      <c r="AK4941" s="831">
        <v>348732</v>
      </c>
      <c r="AP4941" s="831" t="str">
        <f t="shared" si="232"/>
        <v/>
      </c>
    </row>
    <row r="4942" spans="2:42">
      <c r="B4942" s="834" t="str">
        <f t="shared" si="231"/>
        <v>|||</v>
      </c>
      <c r="H4942" s="835">
        <f t="shared" si="233"/>
        <v>31</v>
      </c>
      <c r="AF4942" s="831" t="s">
        <v>5599</v>
      </c>
      <c r="AG4942" s="831" t="s">
        <v>131</v>
      </c>
      <c r="AH4942" s="831" t="s">
        <v>146</v>
      </c>
      <c r="AI4942" s="831">
        <v>0</v>
      </c>
      <c r="AJ4942" s="835">
        <v>40968</v>
      </c>
      <c r="AK4942" s="831">
        <v>-1992104</v>
      </c>
      <c r="AP4942" s="831" t="str">
        <f t="shared" si="232"/>
        <v/>
      </c>
    </row>
    <row r="4943" spans="2:42">
      <c r="B4943" s="834" t="str">
        <f t="shared" si="231"/>
        <v>|||</v>
      </c>
      <c r="H4943" s="835">
        <f t="shared" si="233"/>
        <v>31</v>
      </c>
      <c r="AF4943" s="831" t="s">
        <v>5600</v>
      </c>
      <c r="AG4943" s="831" t="s">
        <v>131</v>
      </c>
      <c r="AH4943" s="831" t="s">
        <v>150</v>
      </c>
      <c r="AI4943" s="831">
        <v>0</v>
      </c>
      <c r="AJ4943" s="835">
        <v>40968</v>
      </c>
      <c r="AK4943" s="831">
        <v>-2014541</v>
      </c>
      <c r="AP4943" s="831" t="str">
        <f t="shared" si="232"/>
        <v/>
      </c>
    </row>
    <row r="4944" spans="2:42">
      <c r="B4944" s="834" t="str">
        <f t="shared" si="231"/>
        <v>|||</v>
      </c>
      <c r="H4944" s="835">
        <f t="shared" si="233"/>
        <v>31</v>
      </c>
      <c r="AF4944" s="831" t="s">
        <v>5601</v>
      </c>
      <c r="AG4944" s="831" t="s">
        <v>131</v>
      </c>
      <c r="AH4944" s="831" t="s">
        <v>77</v>
      </c>
      <c r="AI4944" s="831">
        <v>0</v>
      </c>
      <c r="AJ4944" s="835">
        <v>40968</v>
      </c>
      <c r="AK4944" s="831">
        <v>-421689</v>
      </c>
      <c r="AP4944" s="831" t="str">
        <f t="shared" si="232"/>
        <v/>
      </c>
    </row>
    <row r="4945" spans="2:42">
      <c r="B4945" s="834" t="str">
        <f t="shared" si="231"/>
        <v>|||</v>
      </c>
      <c r="H4945" s="835">
        <f t="shared" si="233"/>
        <v>31</v>
      </c>
      <c r="AF4945" s="831" t="s">
        <v>5602</v>
      </c>
      <c r="AG4945" s="831" t="s">
        <v>131</v>
      </c>
      <c r="AH4945" s="831" t="s">
        <v>167</v>
      </c>
      <c r="AI4945" s="831">
        <v>0</v>
      </c>
      <c r="AJ4945" s="835">
        <v>40968</v>
      </c>
      <c r="AK4945" s="831">
        <v>0</v>
      </c>
      <c r="AP4945" s="831" t="str">
        <f t="shared" si="232"/>
        <v/>
      </c>
    </row>
    <row r="4946" spans="2:42">
      <c r="B4946" s="834" t="str">
        <f t="shared" si="231"/>
        <v>|||</v>
      </c>
      <c r="H4946" s="835">
        <f t="shared" si="233"/>
        <v>31</v>
      </c>
      <c r="AF4946" s="831" t="s">
        <v>5603</v>
      </c>
      <c r="AG4946" s="831" t="s">
        <v>131</v>
      </c>
      <c r="AH4946" s="831" t="s">
        <v>169</v>
      </c>
      <c r="AI4946" s="831">
        <v>0</v>
      </c>
      <c r="AJ4946" s="835">
        <v>40968</v>
      </c>
      <c r="AK4946" s="831">
        <v>-24743</v>
      </c>
      <c r="AP4946" s="831" t="str">
        <f t="shared" si="232"/>
        <v/>
      </c>
    </row>
    <row r="4947" spans="2:42">
      <c r="B4947" s="834" t="str">
        <f t="shared" si="231"/>
        <v>|||</v>
      </c>
      <c r="H4947" s="835">
        <f t="shared" si="233"/>
        <v>31</v>
      </c>
      <c r="AF4947" s="831" t="s">
        <v>5604</v>
      </c>
      <c r="AG4947" s="831" t="s">
        <v>131</v>
      </c>
      <c r="AH4947" s="831" t="s">
        <v>172</v>
      </c>
      <c r="AI4947" s="831">
        <v>0</v>
      </c>
      <c r="AJ4947" s="835">
        <v>40968</v>
      </c>
      <c r="AK4947" s="831">
        <v>224099</v>
      </c>
      <c r="AP4947" s="831" t="str">
        <f t="shared" si="232"/>
        <v/>
      </c>
    </row>
    <row r="4948" spans="2:42">
      <c r="B4948" s="834" t="str">
        <f t="shared" si="231"/>
        <v>|||</v>
      </c>
      <c r="H4948" s="835">
        <f t="shared" si="233"/>
        <v>31</v>
      </c>
      <c r="AF4948" s="831" t="s">
        <v>5605</v>
      </c>
      <c r="AG4948" s="831" t="s">
        <v>131</v>
      </c>
      <c r="AH4948" s="831" t="s">
        <v>175</v>
      </c>
      <c r="AI4948" s="831">
        <v>0</v>
      </c>
      <c r="AJ4948" s="835">
        <v>40968</v>
      </c>
      <c r="AK4948" s="831">
        <v>-291610</v>
      </c>
      <c r="AP4948" s="831" t="str">
        <f t="shared" si="232"/>
        <v/>
      </c>
    </row>
    <row r="4949" spans="2:42">
      <c r="B4949" s="834" t="str">
        <f t="shared" si="231"/>
        <v>|||</v>
      </c>
      <c r="H4949" s="835">
        <f t="shared" si="233"/>
        <v>31</v>
      </c>
      <c r="AF4949" s="831" t="s">
        <v>5606</v>
      </c>
      <c r="AG4949" s="831" t="s">
        <v>131</v>
      </c>
      <c r="AH4949" s="831" t="s">
        <v>185</v>
      </c>
      <c r="AI4949" s="831">
        <v>0</v>
      </c>
      <c r="AJ4949" s="835">
        <v>40968</v>
      </c>
      <c r="AK4949" s="831">
        <v>-4571970</v>
      </c>
      <c r="AP4949" s="831" t="str">
        <f t="shared" si="232"/>
        <v/>
      </c>
    </row>
    <row r="4950" spans="2:42">
      <c r="B4950" s="834" t="str">
        <f t="shared" si="231"/>
        <v>|||</v>
      </c>
      <c r="H4950" s="835">
        <f t="shared" si="233"/>
        <v>31</v>
      </c>
      <c r="AF4950" s="831" t="s">
        <v>5607</v>
      </c>
      <c r="AG4950" s="831" t="s">
        <v>131</v>
      </c>
      <c r="AH4950" s="831" t="s">
        <v>188</v>
      </c>
      <c r="AI4950" s="831">
        <v>0</v>
      </c>
      <c r="AJ4950" s="835">
        <v>40968</v>
      </c>
      <c r="AK4950" s="831">
        <v>-2474369</v>
      </c>
      <c r="AP4950" s="831" t="str">
        <f t="shared" si="232"/>
        <v/>
      </c>
    </row>
    <row r="4951" spans="2:42">
      <c r="B4951" s="834" t="str">
        <f t="shared" si="231"/>
        <v>|||</v>
      </c>
      <c r="H4951" s="835">
        <f t="shared" si="233"/>
        <v>31</v>
      </c>
      <c r="AF4951" s="831" t="s">
        <v>5608</v>
      </c>
      <c r="AG4951" s="831" t="s">
        <v>131</v>
      </c>
      <c r="AH4951" s="831" t="s">
        <v>191</v>
      </c>
      <c r="AI4951" s="831">
        <v>0</v>
      </c>
      <c r="AJ4951" s="835">
        <v>40968</v>
      </c>
      <c r="AK4951" s="831">
        <v>-721094</v>
      </c>
      <c r="AP4951" s="831" t="str">
        <f t="shared" si="232"/>
        <v/>
      </c>
    </row>
    <row r="4952" spans="2:42">
      <c r="B4952" s="834" t="str">
        <f t="shared" si="231"/>
        <v>|||</v>
      </c>
      <c r="H4952" s="835">
        <f t="shared" si="233"/>
        <v>31</v>
      </c>
      <c r="AF4952" s="831" t="s">
        <v>5609</v>
      </c>
      <c r="AG4952" s="831" t="s">
        <v>131</v>
      </c>
      <c r="AH4952" s="831" t="s">
        <v>198</v>
      </c>
      <c r="AI4952" s="831">
        <v>0</v>
      </c>
      <c r="AJ4952" s="835">
        <v>40968</v>
      </c>
      <c r="AK4952" s="831">
        <v>0</v>
      </c>
      <c r="AP4952" s="831" t="str">
        <f t="shared" si="232"/>
        <v/>
      </c>
    </row>
    <row r="4953" spans="2:42">
      <c r="B4953" s="834" t="str">
        <f t="shared" si="231"/>
        <v>|||</v>
      </c>
      <c r="H4953" s="835">
        <f t="shared" si="233"/>
        <v>31</v>
      </c>
      <c r="AF4953" s="831" t="s">
        <v>5610</v>
      </c>
      <c r="AG4953" s="831" t="s">
        <v>131</v>
      </c>
      <c r="AH4953" s="831" t="s">
        <v>200</v>
      </c>
      <c r="AI4953" s="831">
        <v>0</v>
      </c>
      <c r="AJ4953" s="835">
        <v>40968</v>
      </c>
      <c r="AK4953" s="831">
        <v>0</v>
      </c>
      <c r="AP4953" s="831" t="str">
        <f t="shared" si="232"/>
        <v/>
      </c>
    </row>
    <row r="4954" spans="2:42">
      <c r="B4954" s="834" t="str">
        <f t="shared" si="231"/>
        <v>|||</v>
      </c>
      <c r="H4954" s="835">
        <f t="shared" si="233"/>
        <v>31</v>
      </c>
      <c r="AF4954" s="831" t="s">
        <v>5611</v>
      </c>
      <c r="AG4954" s="831" t="s">
        <v>131</v>
      </c>
      <c r="AH4954" s="831" t="s">
        <v>205</v>
      </c>
      <c r="AI4954" s="831">
        <v>0</v>
      </c>
      <c r="AJ4954" s="835">
        <v>40968</v>
      </c>
      <c r="AK4954" s="831">
        <v>-579712</v>
      </c>
      <c r="AP4954" s="831" t="str">
        <f t="shared" si="232"/>
        <v/>
      </c>
    </row>
    <row r="4955" spans="2:42">
      <c r="B4955" s="834" t="str">
        <f t="shared" si="231"/>
        <v>|||</v>
      </c>
      <c r="H4955" s="835">
        <f t="shared" si="233"/>
        <v>31</v>
      </c>
      <c r="AF4955" s="831" t="s">
        <v>5612</v>
      </c>
      <c r="AG4955" s="831" t="s">
        <v>131</v>
      </c>
      <c r="AH4955" s="831" t="s">
        <v>122</v>
      </c>
      <c r="AI4955" s="831">
        <v>0</v>
      </c>
      <c r="AJ4955" s="835">
        <v>40968</v>
      </c>
      <c r="AK4955" s="831">
        <v>0</v>
      </c>
      <c r="AP4955" s="831" t="str">
        <f t="shared" si="232"/>
        <v/>
      </c>
    </row>
    <row r="4956" spans="2:42">
      <c r="B4956" s="834" t="str">
        <f t="shared" si="231"/>
        <v>|||</v>
      </c>
      <c r="H4956" s="835">
        <f t="shared" si="233"/>
        <v>31</v>
      </c>
      <c r="AF4956" s="831" t="s">
        <v>5613</v>
      </c>
      <c r="AG4956" s="831" t="s">
        <v>131</v>
      </c>
      <c r="AH4956" s="831" t="s">
        <v>213</v>
      </c>
      <c r="AI4956" s="831">
        <v>0</v>
      </c>
      <c r="AJ4956" s="835">
        <v>40968</v>
      </c>
      <c r="AK4956" s="831">
        <v>0</v>
      </c>
      <c r="AP4956" s="831" t="str">
        <f t="shared" si="232"/>
        <v/>
      </c>
    </row>
    <row r="4957" spans="2:42">
      <c r="B4957" s="834" t="str">
        <f t="shared" si="231"/>
        <v>|||</v>
      </c>
      <c r="H4957" s="835">
        <f t="shared" si="233"/>
        <v>31</v>
      </c>
      <c r="AF4957" s="831" t="s">
        <v>5614</v>
      </c>
      <c r="AG4957" s="831" t="s">
        <v>131</v>
      </c>
      <c r="AH4957" s="831" t="s">
        <v>215</v>
      </c>
      <c r="AI4957" s="831">
        <v>0</v>
      </c>
      <c r="AJ4957" s="835">
        <v>40968</v>
      </c>
      <c r="AK4957" s="831">
        <v>0</v>
      </c>
      <c r="AP4957" s="831" t="str">
        <f t="shared" si="232"/>
        <v/>
      </c>
    </row>
    <row r="4958" spans="2:42">
      <c r="B4958" s="834" t="str">
        <f t="shared" si="231"/>
        <v>|||</v>
      </c>
      <c r="H4958" s="835">
        <f t="shared" si="233"/>
        <v>31</v>
      </c>
      <c r="AF4958" s="831" t="s">
        <v>5615</v>
      </c>
      <c r="AG4958" s="831" t="s">
        <v>131</v>
      </c>
      <c r="AH4958" s="831" t="s">
        <v>217</v>
      </c>
      <c r="AI4958" s="831">
        <v>0</v>
      </c>
      <c r="AJ4958" s="835">
        <v>40968</v>
      </c>
      <c r="AK4958" s="831">
        <v>0</v>
      </c>
      <c r="AP4958" s="831" t="str">
        <f t="shared" si="232"/>
        <v/>
      </c>
    </row>
    <row r="4959" spans="2:42">
      <c r="B4959" s="834" t="str">
        <f t="shared" si="231"/>
        <v>|||</v>
      </c>
      <c r="H4959" s="835">
        <f t="shared" si="233"/>
        <v>31</v>
      </c>
      <c r="AF4959" s="831" t="s">
        <v>5616</v>
      </c>
      <c r="AG4959" s="831" t="s">
        <v>131</v>
      </c>
      <c r="AH4959" s="831" t="s">
        <v>223</v>
      </c>
      <c r="AI4959" s="831">
        <v>0</v>
      </c>
      <c r="AJ4959" s="835">
        <v>40968</v>
      </c>
      <c r="AK4959" s="831">
        <v>0</v>
      </c>
      <c r="AP4959" s="831" t="str">
        <f t="shared" si="232"/>
        <v/>
      </c>
    </row>
    <row r="4960" spans="2:42">
      <c r="B4960" s="834" t="str">
        <f t="shared" si="231"/>
        <v>|||</v>
      </c>
      <c r="H4960" s="835">
        <f t="shared" si="233"/>
        <v>31</v>
      </c>
      <c r="AF4960" s="831" t="s">
        <v>5617</v>
      </c>
      <c r="AG4960" s="831" t="s">
        <v>131</v>
      </c>
      <c r="AH4960" s="831" t="s">
        <v>224</v>
      </c>
      <c r="AI4960" s="831">
        <v>0</v>
      </c>
      <c r="AJ4960" s="835">
        <v>40968</v>
      </c>
      <c r="AK4960" s="831">
        <v>0</v>
      </c>
      <c r="AP4960" s="831" t="str">
        <f t="shared" si="232"/>
        <v/>
      </c>
    </row>
    <row r="4961" spans="2:42">
      <c r="B4961" s="834" t="str">
        <f t="shared" si="231"/>
        <v>|||</v>
      </c>
      <c r="H4961" s="835">
        <f t="shared" si="233"/>
        <v>31</v>
      </c>
      <c r="AF4961" s="831" t="s">
        <v>5618</v>
      </c>
      <c r="AG4961" s="831" t="s">
        <v>131</v>
      </c>
      <c r="AH4961" s="831" t="s">
        <v>128</v>
      </c>
      <c r="AI4961" s="831">
        <v>0</v>
      </c>
      <c r="AJ4961" s="835">
        <v>40968</v>
      </c>
      <c r="AK4961" s="831">
        <v>0</v>
      </c>
      <c r="AP4961" s="831" t="str">
        <f t="shared" si="232"/>
        <v/>
      </c>
    </row>
    <row r="4962" spans="2:42">
      <c r="B4962" s="834" t="str">
        <f t="shared" si="231"/>
        <v>|||</v>
      </c>
      <c r="H4962" s="835">
        <f t="shared" si="233"/>
        <v>31</v>
      </c>
      <c r="AF4962" s="831" t="s">
        <v>5619</v>
      </c>
      <c r="AG4962" s="831" t="s">
        <v>131</v>
      </c>
      <c r="AH4962" s="831" t="s">
        <v>3237</v>
      </c>
      <c r="AI4962" s="831">
        <v>0</v>
      </c>
      <c r="AJ4962" s="835">
        <v>40968</v>
      </c>
      <c r="AK4962" s="831">
        <v>0</v>
      </c>
      <c r="AP4962" s="831" t="str">
        <f t="shared" si="232"/>
        <v/>
      </c>
    </row>
    <row r="4963" spans="2:42">
      <c r="B4963" s="834" t="str">
        <f t="shared" si="231"/>
        <v>|||</v>
      </c>
      <c r="H4963" s="835">
        <f t="shared" si="233"/>
        <v>31</v>
      </c>
      <c r="AF4963" s="831" t="s">
        <v>5620</v>
      </c>
      <c r="AG4963" s="831" t="s">
        <v>131</v>
      </c>
      <c r="AH4963" s="831" t="s">
        <v>3239</v>
      </c>
      <c r="AI4963" s="831">
        <v>0</v>
      </c>
      <c r="AJ4963" s="835">
        <v>40968</v>
      </c>
      <c r="AK4963" s="831">
        <v>0</v>
      </c>
      <c r="AP4963" s="831" t="str">
        <f t="shared" si="232"/>
        <v/>
      </c>
    </row>
    <row r="4964" spans="2:42">
      <c r="B4964" s="834" t="str">
        <f t="shared" si="231"/>
        <v>|||</v>
      </c>
      <c r="H4964" s="835">
        <f t="shared" si="233"/>
        <v>31</v>
      </c>
      <c r="AF4964" s="831" t="s">
        <v>5621</v>
      </c>
      <c r="AG4964" s="831" t="s">
        <v>131</v>
      </c>
      <c r="AH4964" s="831" t="s">
        <v>138</v>
      </c>
      <c r="AI4964" s="831">
        <v>0</v>
      </c>
      <c r="AJ4964" s="835">
        <v>40999</v>
      </c>
      <c r="AK4964" s="831">
        <v>21021881</v>
      </c>
      <c r="AP4964" s="831" t="str">
        <f t="shared" si="232"/>
        <v/>
      </c>
    </row>
    <row r="4965" spans="2:42">
      <c r="B4965" s="834" t="str">
        <f t="shared" si="231"/>
        <v>|||</v>
      </c>
      <c r="H4965" s="835">
        <f t="shared" si="233"/>
        <v>31</v>
      </c>
      <c r="AF4965" s="831" t="s">
        <v>5622</v>
      </c>
      <c r="AG4965" s="831" t="s">
        <v>131</v>
      </c>
      <c r="AH4965" s="831" t="s">
        <v>141</v>
      </c>
      <c r="AI4965" s="831">
        <v>0</v>
      </c>
      <c r="AJ4965" s="835">
        <v>40999</v>
      </c>
      <c r="AK4965" s="831">
        <v>753033</v>
      </c>
      <c r="AP4965" s="831" t="str">
        <f t="shared" si="232"/>
        <v/>
      </c>
    </row>
    <row r="4966" spans="2:42">
      <c r="B4966" s="834" t="str">
        <f t="shared" si="231"/>
        <v>|||</v>
      </c>
      <c r="H4966" s="835">
        <f t="shared" si="233"/>
        <v>31</v>
      </c>
      <c r="AF4966" s="831" t="s">
        <v>5623</v>
      </c>
      <c r="AG4966" s="831" t="s">
        <v>131</v>
      </c>
      <c r="AH4966" s="831" t="s">
        <v>146</v>
      </c>
      <c r="AI4966" s="831">
        <v>0</v>
      </c>
      <c r="AJ4966" s="835">
        <v>40999</v>
      </c>
      <c r="AK4966" s="831">
        <v>-2969296</v>
      </c>
      <c r="AP4966" s="831" t="str">
        <f t="shared" si="232"/>
        <v/>
      </c>
    </row>
    <row r="4967" spans="2:42">
      <c r="B4967" s="834" t="str">
        <f t="shared" si="231"/>
        <v>|||</v>
      </c>
      <c r="H4967" s="835">
        <f t="shared" si="233"/>
        <v>31</v>
      </c>
      <c r="AF4967" s="831" t="s">
        <v>5624</v>
      </c>
      <c r="AG4967" s="831" t="s">
        <v>131</v>
      </c>
      <c r="AH4967" s="831" t="s">
        <v>150</v>
      </c>
      <c r="AI4967" s="831">
        <v>0</v>
      </c>
      <c r="AJ4967" s="835">
        <v>40999</v>
      </c>
      <c r="AK4967" s="831">
        <v>-3047682</v>
      </c>
      <c r="AP4967" s="831" t="str">
        <f t="shared" si="232"/>
        <v/>
      </c>
    </row>
    <row r="4968" spans="2:42">
      <c r="B4968" s="834" t="str">
        <f t="shared" si="231"/>
        <v>|||</v>
      </c>
      <c r="H4968" s="835">
        <f t="shared" si="233"/>
        <v>31</v>
      </c>
      <c r="AF4968" s="831" t="s">
        <v>5625</v>
      </c>
      <c r="AG4968" s="831" t="s">
        <v>131</v>
      </c>
      <c r="AH4968" s="831" t="s">
        <v>77</v>
      </c>
      <c r="AI4968" s="831">
        <v>0</v>
      </c>
      <c r="AJ4968" s="835">
        <v>40999</v>
      </c>
      <c r="AK4968" s="831">
        <v>-562268</v>
      </c>
      <c r="AP4968" s="831" t="str">
        <f t="shared" si="232"/>
        <v/>
      </c>
    </row>
    <row r="4969" spans="2:42">
      <c r="B4969" s="834" t="str">
        <f t="shared" si="231"/>
        <v>|||</v>
      </c>
      <c r="H4969" s="835">
        <f t="shared" si="233"/>
        <v>31</v>
      </c>
      <c r="AF4969" s="831" t="s">
        <v>5626</v>
      </c>
      <c r="AG4969" s="831" t="s">
        <v>131</v>
      </c>
      <c r="AH4969" s="831" t="s">
        <v>167</v>
      </c>
      <c r="AI4969" s="831">
        <v>0</v>
      </c>
      <c r="AJ4969" s="835">
        <v>40999</v>
      </c>
      <c r="AK4969" s="831">
        <v>0</v>
      </c>
      <c r="AP4969" s="831" t="str">
        <f t="shared" si="232"/>
        <v/>
      </c>
    </row>
    <row r="4970" spans="2:42">
      <c r="B4970" s="834" t="str">
        <f t="shared" si="231"/>
        <v>|||</v>
      </c>
      <c r="H4970" s="835">
        <f t="shared" si="233"/>
        <v>31</v>
      </c>
      <c r="AF4970" s="831" t="s">
        <v>5627</v>
      </c>
      <c r="AG4970" s="831" t="s">
        <v>131</v>
      </c>
      <c r="AH4970" s="831" t="s">
        <v>169</v>
      </c>
      <c r="AI4970" s="831">
        <v>0</v>
      </c>
      <c r="AJ4970" s="835">
        <v>40999</v>
      </c>
      <c r="AK4970" s="831">
        <v>464475</v>
      </c>
      <c r="AP4970" s="831" t="str">
        <f t="shared" si="232"/>
        <v/>
      </c>
    </row>
    <row r="4971" spans="2:42">
      <c r="B4971" s="834" t="str">
        <f t="shared" si="231"/>
        <v>|||</v>
      </c>
      <c r="H4971" s="835">
        <f t="shared" si="233"/>
        <v>31</v>
      </c>
      <c r="AF4971" s="831" t="s">
        <v>5628</v>
      </c>
      <c r="AG4971" s="831" t="s">
        <v>131</v>
      </c>
      <c r="AH4971" s="831" t="s">
        <v>172</v>
      </c>
      <c r="AI4971" s="831">
        <v>0</v>
      </c>
      <c r="AJ4971" s="835">
        <v>40999</v>
      </c>
      <c r="AK4971" s="831">
        <v>212317</v>
      </c>
      <c r="AP4971" s="831" t="str">
        <f t="shared" si="232"/>
        <v/>
      </c>
    </row>
    <row r="4972" spans="2:42">
      <c r="B4972" s="834" t="str">
        <f t="shared" si="231"/>
        <v>|||</v>
      </c>
      <c r="H4972" s="835">
        <f t="shared" si="233"/>
        <v>31</v>
      </c>
      <c r="AF4972" s="831" t="s">
        <v>5629</v>
      </c>
      <c r="AG4972" s="831" t="s">
        <v>131</v>
      </c>
      <c r="AH4972" s="831" t="s">
        <v>175</v>
      </c>
      <c r="AI4972" s="831">
        <v>0</v>
      </c>
      <c r="AJ4972" s="835">
        <v>40999</v>
      </c>
      <c r="AK4972" s="831">
        <v>176764</v>
      </c>
      <c r="AP4972" s="831" t="str">
        <f t="shared" si="232"/>
        <v/>
      </c>
    </row>
    <row r="4973" spans="2:42">
      <c r="B4973" s="834" t="str">
        <f t="shared" si="231"/>
        <v>|||</v>
      </c>
      <c r="H4973" s="835">
        <f t="shared" si="233"/>
        <v>31</v>
      </c>
      <c r="AF4973" s="831" t="s">
        <v>5630</v>
      </c>
      <c r="AG4973" s="831" t="s">
        <v>131</v>
      </c>
      <c r="AH4973" s="831" t="s">
        <v>185</v>
      </c>
      <c r="AI4973" s="831">
        <v>0</v>
      </c>
      <c r="AJ4973" s="835">
        <v>40999</v>
      </c>
      <c r="AK4973" s="831">
        <v>-8589338</v>
      </c>
      <c r="AP4973" s="831" t="str">
        <f t="shared" si="232"/>
        <v/>
      </c>
    </row>
    <row r="4974" spans="2:42">
      <c r="B4974" s="834" t="str">
        <f t="shared" si="231"/>
        <v>|||</v>
      </c>
      <c r="H4974" s="835">
        <f t="shared" si="233"/>
        <v>31</v>
      </c>
      <c r="AF4974" s="831" t="s">
        <v>5631</v>
      </c>
      <c r="AG4974" s="831" t="s">
        <v>131</v>
      </c>
      <c r="AH4974" s="831" t="s">
        <v>188</v>
      </c>
      <c r="AI4974" s="831">
        <v>0</v>
      </c>
      <c r="AJ4974" s="835">
        <v>40999</v>
      </c>
      <c r="AK4974" s="831">
        <v>-3364846</v>
      </c>
      <c r="AP4974" s="831" t="str">
        <f t="shared" si="232"/>
        <v/>
      </c>
    </row>
    <row r="4975" spans="2:42">
      <c r="B4975" s="834" t="str">
        <f t="shared" si="231"/>
        <v>|||</v>
      </c>
      <c r="H4975" s="835">
        <f t="shared" si="233"/>
        <v>31</v>
      </c>
      <c r="AF4975" s="831" t="s">
        <v>5632</v>
      </c>
      <c r="AG4975" s="831" t="s">
        <v>131</v>
      </c>
      <c r="AH4975" s="831" t="s">
        <v>191</v>
      </c>
      <c r="AI4975" s="831">
        <v>0</v>
      </c>
      <c r="AJ4975" s="835">
        <v>40999</v>
      </c>
      <c r="AK4975" s="831">
        <v>-1086907</v>
      </c>
      <c r="AP4975" s="831" t="str">
        <f t="shared" si="232"/>
        <v/>
      </c>
    </row>
    <row r="4976" spans="2:42">
      <c r="B4976" s="834" t="str">
        <f t="shared" si="231"/>
        <v>|||</v>
      </c>
      <c r="H4976" s="835">
        <f t="shared" si="233"/>
        <v>31</v>
      </c>
      <c r="AF4976" s="831" t="s">
        <v>5633</v>
      </c>
      <c r="AG4976" s="831" t="s">
        <v>131</v>
      </c>
      <c r="AH4976" s="831" t="s">
        <v>198</v>
      </c>
      <c r="AI4976" s="831">
        <v>0</v>
      </c>
      <c r="AJ4976" s="835">
        <v>40999</v>
      </c>
      <c r="AK4976" s="831">
        <v>0</v>
      </c>
      <c r="AP4976" s="831" t="str">
        <f t="shared" si="232"/>
        <v/>
      </c>
    </row>
    <row r="4977" spans="2:42">
      <c r="B4977" s="834" t="str">
        <f t="shared" si="231"/>
        <v>|||</v>
      </c>
      <c r="H4977" s="835">
        <f t="shared" si="233"/>
        <v>31</v>
      </c>
      <c r="AF4977" s="831" t="s">
        <v>5634</v>
      </c>
      <c r="AG4977" s="831" t="s">
        <v>131</v>
      </c>
      <c r="AH4977" s="831" t="s">
        <v>200</v>
      </c>
      <c r="AI4977" s="831">
        <v>0</v>
      </c>
      <c r="AJ4977" s="835">
        <v>40999</v>
      </c>
      <c r="AK4977" s="831">
        <v>0</v>
      </c>
      <c r="AP4977" s="831" t="str">
        <f t="shared" si="232"/>
        <v/>
      </c>
    </row>
    <row r="4978" spans="2:42">
      <c r="B4978" s="834" t="str">
        <f t="shared" si="231"/>
        <v>|||</v>
      </c>
      <c r="H4978" s="835">
        <f t="shared" si="233"/>
        <v>31</v>
      </c>
      <c r="AF4978" s="831" t="s">
        <v>5635</v>
      </c>
      <c r="AG4978" s="831" t="s">
        <v>131</v>
      </c>
      <c r="AH4978" s="831" t="s">
        <v>205</v>
      </c>
      <c r="AI4978" s="831">
        <v>0</v>
      </c>
      <c r="AJ4978" s="835">
        <v>40999</v>
      </c>
      <c r="AK4978" s="831">
        <v>-552448</v>
      </c>
      <c r="AP4978" s="831" t="str">
        <f t="shared" si="232"/>
        <v/>
      </c>
    </row>
    <row r="4979" spans="2:42">
      <c r="B4979" s="834" t="str">
        <f t="shared" si="231"/>
        <v>|||</v>
      </c>
      <c r="H4979" s="835">
        <f t="shared" si="233"/>
        <v>31</v>
      </c>
      <c r="AF4979" s="831" t="s">
        <v>5636</v>
      </c>
      <c r="AG4979" s="831" t="s">
        <v>131</v>
      </c>
      <c r="AH4979" s="831" t="s">
        <v>122</v>
      </c>
      <c r="AI4979" s="831">
        <v>0</v>
      </c>
      <c r="AJ4979" s="835">
        <v>40999</v>
      </c>
      <c r="AK4979" s="831">
        <v>0</v>
      </c>
      <c r="AP4979" s="831" t="str">
        <f t="shared" si="232"/>
        <v/>
      </c>
    </row>
    <row r="4980" spans="2:42">
      <c r="B4980" s="834" t="str">
        <f t="shared" si="231"/>
        <v>|||</v>
      </c>
      <c r="H4980" s="835">
        <f t="shared" si="233"/>
        <v>31</v>
      </c>
      <c r="AF4980" s="831" t="s">
        <v>5637</v>
      </c>
      <c r="AG4980" s="831" t="s">
        <v>131</v>
      </c>
      <c r="AH4980" s="831" t="s">
        <v>213</v>
      </c>
      <c r="AI4980" s="831">
        <v>0</v>
      </c>
      <c r="AJ4980" s="835">
        <v>40999</v>
      </c>
      <c r="AK4980" s="831">
        <v>0</v>
      </c>
      <c r="AP4980" s="831" t="str">
        <f t="shared" si="232"/>
        <v/>
      </c>
    </row>
    <row r="4981" spans="2:42">
      <c r="B4981" s="834" t="str">
        <f t="shared" si="231"/>
        <v>|||</v>
      </c>
      <c r="H4981" s="835">
        <f t="shared" si="233"/>
        <v>31</v>
      </c>
      <c r="AF4981" s="831" t="s">
        <v>5638</v>
      </c>
      <c r="AG4981" s="831" t="s">
        <v>131</v>
      </c>
      <c r="AH4981" s="831" t="s">
        <v>215</v>
      </c>
      <c r="AI4981" s="831">
        <v>0</v>
      </c>
      <c r="AJ4981" s="835">
        <v>40999</v>
      </c>
      <c r="AK4981" s="831">
        <v>0</v>
      </c>
      <c r="AP4981" s="831" t="str">
        <f t="shared" si="232"/>
        <v/>
      </c>
    </row>
    <row r="4982" spans="2:42">
      <c r="B4982" s="834" t="str">
        <f t="shared" si="231"/>
        <v>|||</v>
      </c>
      <c r="H4982" s="835">
        <f t="shared" si="233"/>
        <v>31</v>
      </c>
      <c r="AF4982" s="831" t="s">
        <v>5639</v>
      </c>
      <c r="AG4982" s="831" t="s">
        <v>131</v>
      </c>
      <c r="AH4982" s="831" t="s">
        <v>217</v>
      </c>
      <c r="AI4982" s="831">
        <v>0</v>
      </c>
      <c r="AJ4982" s="835">
        <v>40999</v>
      </c>
      <c r="AK4982" s="831">
        <v>0</v>
      </c>
      <c r="AP4982" s="831" t="str">
        <f t="shared" si="232"/>
        <v/>
      </c>
    </row>
    <row r="4983" spans="2:42">
      <c r="B4983" s="834" t="str">
        <f t="shared" si="231"/>
        <v>|||</v>
      </c>
      <c r="H4983" s="835">
        <f t="shared" si="233"/>
        <v>31</v>
      </c>
      <c r="AF4983" s="831" t="s">
        <v>5640</v>
      </c>
      <c r="AG4983" s="831" t="s">
        <v>131</v>
      </c>
      <c r="AH4983" s="831" t="s">
        <v>223</v>
      </c>
      <c r="AI4983" s="831">
        <v>0</v>
      </c>
      <c r="AJ4983" s="835">
        <v>40999</v>
      </c>
      <c r="AK4983" s="831">
        <v>0</v>
      </c>
      <c r="AP4983" s="831" t="str">
        <f t="shared" si="232"/>
        <v/>
      </c>
    </row>
    <row r="4984" spans="2:42">
      <c r="B4984" s="834" t="str">
        <f t="shared" si="231"/>
        <v>|||</v>
      </c>
      <c r="H4984" s="835">
        <f t="shared" si="233"/>
        <v>31</v>
      </c>
      <c r="AF4984" s="831" t="s">
        <v>5641</v>
      </c>
      <c r="AG4984" s="831" t="s">
        <v>131</v>
      </c>
      <c r="AH4984" s="831" t="s">
        <v>224</v>
      </c>
      <c r="AI4984" s="831">
        <v>0</v>
      </c>
      <c r="AJ4984" s="835">
        <v>40999</v>
      </c>
      <c r="AK4984" s="831">
        <v>0</v>
      </c>
      <c r="AP4984" s="831" t="str">
        <f t="shared" si="232"/>
        <v/>
      </c>
    </row>
    <row r="4985" spans="2:42">
      <c r="B4985" s="834" t="str">
        <f t="shared" si="231"/>
        <v>|||</v>
      </c>
      <c r="H4985" s="835">
        <f t="shared" si="233"/>
        <v>31</v>
      </c>
      <c r="AF4985" s="831" t="s">
        <v>5642</v>
      </c>
      <c r="AG4985" s="831" t="s">
        <v>131</v>
      </c>
      <c r="AH4985" s="831" t="s">
        <v>128</v>
      </c>
      <c r="AI4985" s="831">
        <v>0</v>
      </c>
      <c r="AJ4985" s="835">
        <v>40999</v>
      </c>
      <c r="AK4985" s="831">
        <v>0</v>
      </c>
      <c r="AP4985" s="831" t="str">
        <f t="shared" si="232"/>
        <v/>
      </c>
    </row>
    <row r="4986" spans="2:42">
      <c r="B4986" s="834" t="str">
        <f t="shared" si="231"/>
        <v>|||</v>
      </c>
      <c r="H4986" s="835">
        <f t="shared" si="233"/>
        <v>31</v>
      </c>
      <c r="AF4986" s="831" t="s">
        <v>5643</v>
      </c>
      <c r="AG4986" s="831" t="s">
        <v>131</v>
      </c>
      <c r="AH4986" s="831" t="s">
        <v>3237</v>
      </c>
      <c r="AI4986" s="831">
        <v>0</v>
      </c>
      <c r="AJ4986" s="835">
        <v>40999</v>
      </c>
      <c r="AK4986" s="831">
        <v>0</v>
      </c>
      <c r="AP4986" s="831" t="str">
        <f t="shared" si="232"/>
        <v/>
      </c>
    </row>
    <row r="4987" spans="2:42">
      <c r="B4987" s="834" t="str">
        <f t="shared" si="231"/>
        <v>|||</v>
      </c>
      <c r="H4987" s="835">
        <f t="shared" si="233"/>
        <v>31</v>
      </c>
      <c r="AF4987" s="831" t="s">
        <v>5644</v>
      </c>
      <c r="AG4987" s="831" t="s">
        <v>131</v>
      </c>
      <c r="AH4987" s="831" t="s">
        <v>3239</v>
      </c>
      <c r="AI4987" s="831">
        <v>0</v>
      </c>
      <c r="AJ4987" s="835">
        <v>40999</v>
      </c>
      <c r="AK4987" s="831">
        <v>0</v>
      </c>
      <c r="AP4987" s="831" t="str">
        <f t="shared" si="232"/>
        <v/>
      </c>
    </row>
    <row r="4988" spans="2:42">
      <c r="B4988" s="834" t="str">
        <f t="shared" si="231"/>
        <v>|||</v>
      </c>
      <c r="H4988" s="835">
        <f t="shared" si="233"/>
        <v>31</v>
      </c>
      <c r="AF4988" s="831" t="s">
        <v>5645</v>
      </c>
      <c r="AG4988" s="831" t="s">
        <v>131</v>
      </c>
      <c r="AH4988" s="831" t="s">
        <v>138</v>
      </c>
      <c r="AI4988" s="831">
        <v>0</v>
      </c>
      <c r="AJ4988" s="835">
        <v>41029</v>
      </c>
      <c r="AK4988" s="831">
        <v>29062762</v>
      </c>
      <c r="AP4988" s="831" t="str">
        <f t="shared" si="232"/>
        <v/>
      </c>
    </row>
    <row r="4989" spans="2:42">
      <c r="B4989" s="834" t="str">
        <f t="shared" si="231"/>
        <v>|||</v>
      </c>
      <c r="H4989" s="835">
        <f t="shared" si="233"/>
        <v>31</v>
      </c>
      <c r="AF4989" s="831" t="s">
        <v>5646</v>
      </c>
      <c r="AG4989" s="831" t="s">
        <v>131</v>
      </c>
      <c r="AH4989" s="831" t="s">
        <v>141</v>
      </c>
      <c r="AI4989" s="831">
        <v>0</v>
      </c>
      <c r="AJ4989" s="835">
        <v>41029</v>
      </c>
      <c r="AK4989" s="831">
        <v>897437</v>
      </c>
      <c r="AP4989" s="831" t="str">
        <f t="shared" si="232"/>
        <v/>
      </c>
    </row>
    <row r="4990" spans="2:42">
      <c r="B4990" s="834" t="str">
        <f t="shared" si="231"/>
        <v>|||</v>
      </c>
      <c r="H4990" s="835">
        <f t="shared" si="233"/>
        <v>31</v>
      </c>
      <c r="AF4990" s="831" t="s">
        <v>5647</v>
      </c>
      <c r="AG4990" s="831" t="s">
        <v>131</v>
      </c>
      <c r="AH4990" s="831" t="s">
        <v>146</v>
      </c>
      <c r="AI4990" s="831">
        <v>0</v>
      </c>
      <c r="AJ4990" s="835">
        <v>41029</v>
      </c>
      <c r="AK4990" s="831">
        <v>-3900105</v>
      </c>
      <c r="AP4990" s="831" t="str">
        <f t="shared" si="232"/>
        <v/>
      </c>
    </row>
    <row r="4991" spans="2:42">
      <c r="B4991" s="834" t="str">
        <f t="shared" si="231"/>
        <v>|||</v>
      </c>
      <c r="H4991" s="835">
        <f t="shared" si="233"/>
        <v>31</v>
      </c>
      <c r="AF4991" s="831" t="s">
        <v>5648</v>
      </c>
      <c r="AG4991" s="831" t="s">
        <v>131</v>
      </c>
      <c r="AH4991" s="831" t="s">
        <v>150</v>
      </c>
      <c r="AI4991" s="831">
        <v>0</v>
      </c>
      <c r="AJ4991" s="835">
        <v>41029</v>
      </c>
      <c r="AK4991" s="831">
        <v>-4069432</v>
      </c>
      <c r="AP4991" s="831" t="str">
        <f t="shared" si="232"/>
        <v/>
      </c>
    </row>
    <row r="4992" spans="2:42">
      <c r="B4992" s="834" t="str">
        <f t="shared" si="231"/>
        <v>|||</v>
      </c>
      <c r="H4992" s="835">
        <f t="shared" si="233"/>
        <v>31</v>
      </c>
      <c r="AF4992" s="831" t="s">
        <v>5649</v>
      </c>
      <c r="AG4992" s="831" t="s">
        <v>131</v>
      </c>
      <c r="AH4992" s="831" t="s">
        <v>77</v>
      </c>
      <c r="AI4992" s="831">
        <v>0</v>
      </c>
      <c r="AJ4992" s="835">
        <v>41029</v>
      </c>
      <c r="AK4992" s="831">
        <v>-870061</v>
      </c>
      <c r="AP4992" s="831" t="str">
        <f t="shared" si="232"/>
        <v/>
      </c>
    </row>
    <row r="4993" spans="2:42">
      <c r="B4993" s="834" t="str">
        <f t="shared" si="231"/>
        <v>|||</v>
      </c>
      <c r="H4993" s="835">
        <f t="shared" si="233"/>
        <v>31</v>
      </c>
      <c r="AF4993" s="831" t="s">
        <v>5650</v>
      </c>
      <c r="AG4993" s="831" t="s">
        <v>131</v>
      </c>
      <c r="AH4993" s="831" t="s">
        <v>167</v>
      </c>
      <c r="AI4993" s="831">
        <v>0</v>
      </c>
      <c r="AJ4993" s="835">
        <v>41029</v>
      </c>
      <c r="AK4993" s="831">
        <v>0</v>
      </c>
      <c r="AP4993" s="831" t="str">
        <f t="shared" si="232"/>
        <v/>
      </c>
    </row>
    <row r="4994" spans="2:42">
      <c r="B4994" s="834" t="str">
        <f t="shared" si="231"/>
        <v>|||</v>
      </c>
      <c r="H4994" s="835">
        <f t="shared" si="233"/>
        <v>31</v>
      </c>
      <c r="AF4994" s="831" t="s">
        <v>5651</v>
      </c>
      <c r="AG4994" s="831" t="s">
        <v>131</v>
      </c>
      <c r="AH4994" s="831" t="s">
        <v>169</v>
      </c>
      <c r="AI4994" s="831">
        <v>0</v>
      </c>
      <c r="AJ4994" s="835">
        <v>41029</v>
      </c>
      <c r="AK4994" s="831">
        <v>658696</v>
      </c>
      <c r="AP4994" s="831" t="str">
        <f t="shared" si="232"/>
        <v/>
      </c>
    </row>
    <row r="4995" spans="2:42">
      <c r="B4995" s="834" t="str">
        <f t="shared" ref="B4995:B5058" si="234">C4995&amp;"|"&amp;D4995&amp;"|"&amp;E4995&amp;"|"&amp;F4995</f>
        <v>|||</v>
      </c>
      <c r="H4995" s="835">
        <f t="shared" si="233"/>
        <v>31</v>
      </c>
      <c r="AF4995" s="831" t="s">
        <v>5652</v>
      </c>
      <c r="AG4995" s="831" t="s">
        <v>131</v>
      </c>
      <c r="AH4995" s="831" t="s">
        <v>172</v>
      </c>
      <c r="AI4995" s="831">
        <v>0</v>
      </c>
      <c r="AJ4995" s="835">
        <v>41029</v>
      </c>
      <c r="AK4995" s="831">
        <v>225315</v>
      </c>
      <c r="AP4995" s="831" t="str">
        <f t="shared" ref="AP4995:AP5000" si="235">IF(AX4995&lt;&gt;"",IF(OR(AX4995=3,AX4995=4),"Equity","Debt"),"")</f>
        <v/>
      </c>
    </row>
    <row r="4996" spans="2:42">
      <c r="B4996" s="834" t="str">
        <f t="shared" si="234"/>
        <v>|||</v>
      </c>
      <c r="H4996" s="835">
        <f t="shared" ref="H4996:H5059" si="236">EOMONTH(L4996,0)</f>
        <v>31</v>
      </c>
      <c r="AF4996" s="831" t="s">
        <v>5653</v>
      </c>
      <c r="AG4996" s="831" t="s">
        <v>131</v>
      </c>
      <c r="AH4996" s="831" t="s">
        <v>175</v>
      </c>
      <c r="AI4996" s="831">
        <v>0</v>
      </c>
      <c r="AJ4996" s="835">
        <v>41029</v>
      </c>
      <c r="AK4996" s="831">
        <v>1053</v>
      </c>
      <c r="AP4996" s="831" t="str">
        <f t="shared" si="235"/>
        <v/>
      </c>
    </row>
    <row r="4997" spans="2:42">
      <c r="B4997" s="834" t="str">
        <f t="shared" si="234"/>
        <v>|||</v>
      </c>
      <c r="H4997" s="835">
        <f t="shared" si="236"/>
        <v>31</v>
      </c>
      <c r="AF4997" s="831" t="s">
        <v>5654</v>
      </c>
      <c r="AG4997" s="831" t="s">
        <v>131</v>
      </c>
      <c r="AH4997" s="831" t="s">
        <v>185</v>
      </c>
      <c r="AI4997" s="831">
        <v>0</v>
      </c>
      <c r="AJ4997" s="835">
        <v>41029</v>
      </c>
      <c r="AK4997" s="831">
        <v>-10683951</v>
      </c>
      <c r="AP4997" s="831" t="str">
        <f t="shared" si="235"/>
        <v/>
      </c>
    </row>
    <row r="4998" spans="2:42">
      <c r="B4998" s="834" t="str">
        <f t="shared" si="234"/>
        <v>|||</v>
      </c>
      <c r="H4998" s="835">
        <f t="shared" si="236"/>
        <v>31</v>
      </c>
      <c r="AF4998" s="831" t="s">
        <v>5655</v>
      </c>
      <c r="AG4998" s="831" t="s">
        <v>131</v>
      </c>
      <c r="AH4998" s="831" t="s">
        <v>188</v>
      </c>
      <c r="AI4998" s="831">
        <v>0</v>
      </c>
      <c r="AJ4998" s="835">
        <v>41029</v>
      </c>
      <c r="AK4998" s="831">
        <v>-4892997</v>
      </c>
      <c r="AP4998" s="831" t="str">
        <f t="shared" si="235"/>
        <v/>
      </c>
    </row>
    <row r="4999" spans="2:42">
      <c r="B4999" s="834" t="str">
        <f t="shared" si="234"/>
        <v>|||</v>
      </c>
      <c r="H4999" s="835">
        <f t="shared" si="236"/>
        <v>31</v>
      </c>
      <c r="AF4999" s="831" t="s">
        <v>5656</v>
      </c>
      <c r="AG4999" s="831" t="s">
        <v>131</v>
      </c>
      <c r="AH4999" s="831" t="s">
        <v>191</v>
      </c>
      <c r="AI4999" s="831">
        <v>0</v>
      </c>
      <c r="AJ4999" s="835">
        <v>41029</v>
      </c>
      <c r="AK4999" s="831">
        <v>-1450892</v>
      </c>
      <c r="AP4999" s="831" t="str">
        <f t="shared" si="235"/>
        <v/>
      </c>
    </row>
    <row r="5000" spans="2:42">
      <c r="B5000" s="834" t="str">
        <f t="shared" si="234"/>
        <v>|||</v>
      </c>
      <c r="H5000" s="835">
        <f t="shared" si="236"/>
        <v>31</v>
      </c>
      <c r="AF5000" s="831" t="s">
        <v>5657</v>
      </c>
      <c r="AG5000" s="831" t="s">
        <v>131</v>
      </c>
      <c r="AH5000" s="831" t="s">
        <v>198</v>
      </c>
      <c r="AI5000" s="831">
        <v>0</v>
      </c>
      <c r="AJ5000" s="835">
        <v>41029</v>
      </c>
      <c r="AK5000" s="831">
        <v>0</v>
      </c>
      <c r="AP5000" s="831" t="str">
        <f t="shared" si="235"/>
        <v/>
      </c>
    </row>
    <row r="5001" spans="2:42">
      <c r="B5001" s="834" t="str">
        <f t="shared" si="234"/>
        <v>|||</v>
      </c>
      <c r="H5001" s="835">
        <f t="shared" si="236"/>
        <v>31</v>
      </c>
      <c r="AF5001" s="831" t="s">
        <v>5658</v>
      </c>
      <c r="AG5001" s="831" t="s">
        <v>131</v>
      </c>
      <c r="AH5001" s="831" t="s">
        <v>200</v>
      </c>
      <c r="AI5001" s="831">
        <v>0</v>
      </c>
      <c r="AJ5001" s="835">
        <v>41029</v>
      </c>
      <c r="AK5001" s="831">
        <v>0</v>
      </c>
    </row>
    <row r="5002" spans="2:42">
      <c r="B5002" s="834" t="str">
        <f t="shared" si="234"/>
        <v>|||</v>
      </c>
      <c r="H5002" s="835">
        <f t="shared" si="236"/>
        <v>31</v>
      </c>
      <c r="AF5002" s="831" t="s">
        <v>5659</v>
      </c>
      <c r="AG5002" s="831" t="s">
        <v>131</v>
      </c>
      <c r="AH5002" s="831" t="s">
        <v>205</v>
      </c>
      <c r="AI5002" s="831">
        <v>0</v>
      </c>
      <c r="AJ5002" s="835">
        <v>41029</v>
      </c>
      <c r="AK5002" s="831">
        <v>-995565</v>
      </c>
    </row>
    <row r="5003" spans="2:42">
      <c r="B5003" s="834" t="str">
        <f t="shared" si="234"/>
        <v>|||</v>
      </c>
      <c r="H5003" s="835">
        <f t="shared" si="236"/>
        <v>31</v>
      </c>
      <c r="AF5003" s="831" t="s">
        <v>5660</v>
      </c>
      <c r="AG5003" s="831" t="s">
        <v>131</v>
      </c>
      <c r="AH5003" s="831" t="s">
        <v>122</v>
      </c>
      <c r="AI5003" s="831">
        <v>0</v>
      </c>
      <c r="AJ5003" s="835">
        <v>41029</v>
      </c>
      <c r="AK5003" s="831">
        <v>0</v>
      </c>
    </row>
    <row r="5004" spans="2:42">
      <c r="B5004" s="834" t="str">
        <f t="shared" si="234"/>
        <v>|||</v>
      </c>
      <c r="H5004" s="835">
        <f t="shared" si="236"/>
        <v>31</v>
      </c>
      <c r="AF5004" s="831" t="s">
        <v>5661</v>
      </c>
      <c r="AG5004" s="831" t="s">
        <v>131</v>
      </c>
      <c r="AH5004" s="831" t="s">
        <v>213</v>
      </c>
      <c r="AI5004" s="831">
        <v>0</v>
      </c>
      <c r="AJ5004" s="835">
        <v>41029</v>
      </c>
      <c r="AK5004" s="831">
        <v>0</v>
      </c>
    </row>
    <row r="5005" spans="2:42">
      <c r="B5005" s="834" t="str">
        <f t="shared" si="234"/>
        <v>|||</v>
      </c>
      <c r="H5005" s="835">
        <f t="shared" si="236"/>
        <v>31</v>
      </c>
      <c r="AF5005" s="831" t="s">
        <v>5662</v>
      </c>
      <c r="AG5005" s="831" t="s">
        <v>131</v>
      </c>
      <c r="AH5005" s="831" t="s">
        <v>215</v>
      </c>
      <c r="AI5005" s="831">
        <v>0</v>
      </c>
      <c r="AJ5005" s="835">
        <v>41029</v>
      </c>
      <c r="AK5005" s="831">
        <v>0</v>
      </c>
    </row>
    <row r="5006" spans="2:42">
      <c r="B5006" s="834" t="str">
        <f t="shared" si="234"/>
        <v>|||</v>
      </c>
      <c r="H5006" s="835">
        <f t="shared" si="236"/>
        <v>31</v>
      </c>
      <c r="AF5006" s="831" t="s">
        <v>5663</v>
      </c>
      <c r="AG5006" s="831" t="s">
        <v>131</v>
      </c>
      <c r="AH5006" s="831" t="s">
        <v>217</v>
      </c>
      <c r="AI5006" s="831">
        <v>0</v>
      </c>
      <c r="AJ5006" s="835">
        <v>41029</v>
      </c>
      <c r="AK5006" s="831">
        <v>0</v>
      </c>
    </row>
    <row r="5007" spans="2:42">
      <c r="B5007" s="834" t="str">
        <f t="shared" si="234"/>
        <v>|||</v>
      </c>
      <c r="H5007" s="835">
        <f t="shared" si="236"/>
        <v>31</v>
      </c>
      <c r="AF5007" s="831" t="s">
        <v>5664</v>
      </c>
      <c r="AG5007" s="831" t="s">
        <v>131</v>
      </c>
      <c r="AH5007" s="831" t="s">
        <v>223</v>
      </c>
      <c r="AI5007" s="831">
        <v>0</v>
      </c>
      <c r="AJ5007" s="835">
        <v>41029</v>
      </c>
      <c r="AK5007" s="831">
        <v>0</v>
      </c>
    </row>
    <row r="5008" spans="2:42">
      <c r="B5008" s="834" t="str">
        <f t="shared" si="234"/>
        <v>|||</v>
      </c>
      <c r="H5008" s="835">
        <f t="shared" si="236"/>
        <v>31</v>
      </c>
      <c r="AF5008" s="831" t="s">
        <v>5665</v>
      </c>
      <c r="AG5008" s="831" t="s">
        <v>131</v>
      </c>
      <c r="AH5008" s="831" t="s">
        <v>224</v>
      </c>
      <c r="AI5008" s="831">
        <v>0</v>
      </c>
      <c r="AJ5008" s="835">
        <v>41029</v>
      </c>
      <c r="AK5008" s="831">
        <v>0</v>
      </c>
    </row>
    <row r="5009" spans="2:37">
      <c r="B5009" s="834" t="str">
        <f t="shared" si="234"/>
        <v>|||</v>
      </c>
      <c r="H5009" s="835">
        <f t="shared" si="236"/>
        <v>31</v>
      </c>
      <c r="AF5009" s="831" t="s">
        <v>5666</v>
      </c>
      <c r="AG5009" s="831" t="s">
        <v>131</v>
      </c>
      <c r="AH5009" s="831" t="s">
        <v>128</v>
      </c>
      <c r="AI5009" s="831">
        <v>0</v>
      </c>
      <c r="AJ5009" s="835">
        <v>41029</v>
      </c>
      <c r="AK5009" s="831">
        <v>0</v>
      </c>
    </row>
    <row r="5010" spans="2:37">
      <c r="B5010" s="834" t="str">
        <f t="shared" si="234"/>
        <v>|||</v>
      </c>
      <c r="H5010" s="835">
        <f t="shared" si="236"/>
        <v>31</v>
      </c>
      <c r="AF5010" s="831" t="s">
        <v>5667</v>
      </c>
      <c r="AG5010" s="831" t="s">
        <v>131</v>
      </c>
      <c r="AH5010" s="831" t="s">
        <v>3237</v>
      </c>
      <c r="AI5010" s="831">
        <v>0</v>
      </c>
      <c r="AJ5010" s="835">
        <v>41029</v>
      </c>
      <c r="AK5010" s="831">
        <v>0</v>
      </c>
    </row>
    <row r="5011" spans="2:37">
      <c r="B5011" s="834" t="str">
        <f t="shared" si="234"/>
        <v>|||</v>
      </c>
      <c r="H5011" s="835">
        <f t="shared" si="236"/>
        <v>31</v>
      </c>
      <c r="AF5011" s="831" t="s">
        <v>5668</v>
      </c>
      <c r="AG5011" s="831" t="s">
        <v>131</v>
      </c>
      <c r="AH5011" s="831" t="s">
        <v>3239</v>
      </c>
      <c r="AI5011" s="831">
        <v>0</v>
      </c>
      <c r="AJ5011" s="835">
        <v>41029</v>
      </c>
      <c r="AK5011" s="831">
        <v>0</v>
      </c>
    </row>
    <row r="5012" spans="2:37">
      <c r="B5012" s="834" t="str">
        <f t="shared" si="234"/>
        <v>|||</v>
      </c>
      <c r="H5012" s="835">
        <f t="shared" si="236"/>
        <v>31</v>
      </c>
      <c r="AF5012" s="831" t="s">
        <v>5669</v>
      </c>
      <c r="AG5012" s="831" t="s">
        <v>131</v>
      </c>
      <c r="AH5012" s="831" t="s">
        <v>138</v>
      </c>
      <c r="AI5012" s="831">
        <v>0</v>
      </c>
      <c r="AJ5012" s="835">
        <v>41060</v>
      </c>
      <c r="AK5012" s="831">
        <v>36694036</v>
      </c>
    </row>
    <row r="5013" spans="2:37">
      <c r="B5013" s="834" t="str">
        <f t="shared" si="234"/>
        <v>|||</v>
      </c>
      <c r="H5013" s="835">
        <f t="shared" si="236"/>
        <v>31</v>
      </c>
      <c r="AF5013" s="831" t="s">
        <v>5670</v>
      </c>
      <c r="AG5013" s="831" t="s">
        <v>131</v>
      </c>
      <c r="AH5013" s="831" t="s">
        <v>141</v>
      </c>
      <c r="AI5013" s="831">
        <v>0</v>
      </c>
      <c r="AJ5013" s="835">
        <v>41060</v>
      </c>
      <c r="AK5013" s="831">
        <v>1416563</v>
      </c>
    </row>
    <row r="5014" spans="2:37">
      <c r="B5014" s="834" t="str">
        <f t="shared" si="234"/>
        <v>|||</v>
      </c>
      <c r="H5014" s="835">
        <f t="shared" si="236"/>
        <v>31</v>
      </c>
      <c r="AF5014" s="831" t="s">
        <v>5671</v>
      </c>
      <c r="AG5014" s="831" t="s">
        <v>131</v>
      </c>
      <c r="AH5014" s="831" t="s">
        <v>146</v>
      </c>
      <c r="AI5014" s="831">
        <v>0</v>
      </c>
      <c r="AJ5014" s="835">
        <v>41060</v>
      </c>
      <c r="AK5014" s="831">
        <v>-4875307</v>
      </c>
    </row>
    <row r="5015" spans="2:37">
      <c r="B5015" s="834" t="str">
        <f t="shared" si="234"/>
        <v>|||</v>
      </c>
      <c r="H5015" s="835">
        <f t="shared" si="236"/>
        <v>31</v>
      </c>
      <c r="AF5015" s="831" t="s">
        <v>5672</v>
      </c>
      <c r="AG5015" s="831" t="s">
        <v>131</v>
      </c>
      <c r="AH5015" s="831" t="s">
        <v>150</v>
      </c>
      <c r="AI5015" s="831">
        <v>0</v>
      </c>
      <c r="AJ5015" s="835">
        <v>41060</v>
      </c>
      <c r="AK5015" s="831">
        <v>-5249791</v>
      </c>
    </row>
    <row r="5016" spans="2:37">
      <c r="B5016" s="834" t="str">
        <f t="shared" si="234"/>
        <v>|||</v>
      </c>
      <c r="H5016" s="835">
        <f t="shared" si="236"/>
        <v>31</v>
      </c>
      <c r="AF5016" s="831" t="s">
        <v>5673</v>
      </c>
      <c r="AG5016" s="831" t="s">
        <v>131</v>
      </c>
      <c r="AH5016" s="831" t="s">
        <v>77</v>
      </c>
      <c r="AI5016" s="831">
        <v>0</v>
      </c>
      <c r="AJ5016" s="835">
        <v>41060</v>
      </c>
      <c r="AK5016" s="831">
        <v>-1380661</v>
      </c>
    </row>
    <row r="5017" spans="2:37">
      <c r="B5017" s="834" t="str">
        <f t="shared" si="234"/>
        <v>|||</v>
      </c>
      <c r="H5017" s="835">
        <f t="shared" si="236"/>
        <v>31</v>
      </c>
      <c r="AF5017" s="831" t="s">
        <v>5674</v>
      </c>
      <c r="AG5017" s="831" t="s">
        <v>131</v>
      </c>
      <c r="AH5017" s="831" t="s">
        <v>167</v>
      </c>
      <c r="AI5017" s="831">
        <v>0</v>
      </c>
      <c r="AJ5017" s="835">
        <v>41060</v>
      </c>
      <c r="AK5017" s="831">
        <v>0</v>
      </c>
    </row>
    <row r="5018" spans="2:37">
      <c r="B5018" s="834" t="str">
        <f t="shared" si="234"/>
        <v>|||</v>
      </c>
      <c r="H5018" s="835">
        <f t="shared" si="236"/>
        <v>31</v>
      </c>
      <c r="AF5018" s="831" t="s">
        <v>5675</v>
      </c>
      <c r="AG5018" s="831" t="s">
        <v>131</v>
      </c>
      <c r="AH5018" s="831" t="s">
        <v>169</v>
      </c>
      <c r="AI5018" s="831">
        <v>0</v>
      </c>
      <c r="AJ5018" s="835">
        <v>41060</v>
      </c>
      <c r="AK5018" s="831">
        <v>803722</v>
      </c>
    </row>
    <row r="5019" spans="2:37">
      <c r="B5019" s="834" t="str">
        <f t="shared" si="234"/>
        <v>|||</v>
      </c>
      <c r="H5019" s="835">
        <f t="shared" si="236"/>
        <v>31</v>
      </c>
      <c r="AF5019" s="831" t="s">
        <v>5676</v>
      </c>
      <c r="AG5019" s="831" t="s">
        <v>131</v>
      </c>
      <c r="AH5019" s="831" t="s">
        <v>172</v>
      </c>
      <c r="AI5019" s="831">
        <v>0</v>
      </c>
      <c r="AJ5019" s="835">
        <v>41060</v>
      </c>
      <c r="AK5019" s="831">
        <v>29466</v>
      </c>
    </row>
    <row r="5020" spans="2:37">
      <c r="B5020" s="834" t="str">
        <f t="shared" si="234"/>
        <v>|||</v>
      </c>
      <c r="H5020" s="835">
        <f t="shared" si="236"/>
        <v>31</v>
      </c>
      <c r="AF5020" s="831" t="s">
        <v>5677</v>
      </c>
      <c r="AG5020" s="831" t="s">
        <v>131</v>
      </c>
      <c r="AH5020" s="831" t="s">
        <v>175</v>
      </c>
      <c r="AI5020" s="831">
        <v>0</v>
      </c>
      <c r="AJ5020" s="835">
        <v>41060</v>
      </c>
      <c r="AK5020" s="831">
        <v>89049</v>
      </c>
    </row>
    <row r="5021" spans="2:37">
      <c r="B5021" s="834" t="str">
        <f t="shared" si="234"/>
        <v>|||</v>
      </c>
      <c r="H5021" s="835">
        <f t="shared" si="236"/>
        <v>31</v>
      </c>
      <c r="AF5021" s="831" t="s">
        <v>5678</v>
      </c>
      <c r="AG5021" s="831" t="s">
        <v>131</v>
      </c>
      <c r="AH5021" s="831" t="s">
        <v>185</v>
      </c>
      <c r="AI5021" s="831">
        <v>0</v>
      </c>
      <c r="AJ5021" s="835">
        <v>41060</v>
      </c>
      <c r="AK5021" s="831">
        <v>-12983998</v>
      </c>
    </row>
    <row r="5022" spans="2:37">
      <c r="B5022" s="834" t="str">
        <f t="shared" si="234"/>
        <v>|||</v>
      </c>
      <c r="H5022" s="835">
        <f t="shared" si="236"/>
        <v>31</v>
      </c>
      <c r="AF5022" s="831" t="s">
        <v>5679</v>
      </c>
      <c r="AG5022" s="831" t="s">
        <v>131</v>
      </c>
      <c r="AH5022" s="831" t="s">
        <v>188</v>
      </c>
      <c r="AI5022" s="831">
        <v>0</v>
      </c>
      <c r="AJ5022" s="835">
        <v>41060</v>
      </c>
      <c r="AK5022" s="831">
        <v>-6230325</v>
      </c>
    </row>
    <row r="5023" spans="2:37">
      <c r="B5023" s="834" t="str">
        <f t="shared" si="234"/>
        <v>|||</v>
      </c>
      <c r="H5023" s="835">
        <f t="shared" si="236"/>
        <v>31</v>
      </c>
      <c r="AF5023" s="831" t="s">
        <v>5680</v>
      </c>
      <c r="AG5023" s="831" t="s">
        <v>131</v>
      </c>
      <c r="AH5023" s="831" t="s">
        <v>191</v>
      </c>
      <c r="AI5023" s="831">
        <v>0</v>
      </c>
      <c r="AJ5023" s="835">
        <v>41060</v>
      </c>
      <c r="AK5023" s="831">
        <v>-1816081</v>
      </c>
    </row>
    <row r="5024" spans="2:37">
      <c r="B5024" s="834" t="str">
        <f t="shared" si="234"/>
        <v>|||</v>
      </c>
      <c r="H5024" s="835">
        <f t="shared" si="236"/>
        <v>31</v>
      </c>
      <c r="AF5024" s="831" t="s">
        <v>5681</v>
      </c>
      <c r="AG5024" s="831" t="s">
        <v>131</v>
      </c>
      <c r="AH5024" s="831" t="s">
        <v>198</v>
      </c>
      <c r="AI5024" s="831">
        <v>0</v>
      </c>
      <c r="AJ5024" s="835">
        <v>41060</v>
      </c>
      <c r="AK5024" s="831">
        <v>0</v>
      </c>
    </row>
    <row r="5025" spans="2:37">
      <c r="B5025" s="834" t="str">
        <f t="shared" si="234"/>
        <v>|||</v>
      </c>
      <c r="H5025" s="835">
        <f t="shared" si="236"/>
        <v>31</v>
      </c>
      <c r="AF5025" s="831" t="s">
        <v>5682</v>
      </c>
      <c r="AG5025" s="831" t="s">
        <v>131</v>
      </c>
      <c r="AH5025" s="831" t="s">
        <v>200</v>
      </c>
      <c r="AI5025" s="831">
        <v>0</v>
      </c>
      <c r="AJ5025" s="835">
        <v>41060</v>
      </c>
      <c r="AK5025" s="831">
        <v>0</v>
      </c>
    </row>
    <row r="5026" spans="2:37">
      <c r="B5026" s="834" t="str">
        <f t="shared" si="234"/>
        <v>|||</v>
      </c>
      <c r="H5026" s="835">
        <f t="shared" si="236"/>
        <v>31</v>
      </c>
      <c r="AF5026" s="831" t="s">
        <v>5683</v>
      </c>
      <c r="AG5026" s="831" t="s">
        <v>131</v>
      </c>
      <c r="AH5026" s="831" t="s">
        <v>205</v>
      </c>
      <c r="AI5026" s="831">
        <v>0</v>
      </c>
      <c r="AJ5026" s="835">
        <v>41060</v>
      </c>
      <c r="AK5026" s="831">
        <v>-1299336</v>
      </c>
    </row>
    <row r="5027" spans="2:37">
      <c r="B5027" s="834" t="str">
        <f t="shared" si="234"/>
        <v>|||</v>
      </c>
      <c r="H5027" s="835">
        <f t="shared" si="236"/>
        <v>31</v>
      </c>
      <c r="AF5027" s="831" t="s">
        <v>5684</v>
      </c>
      <c r="AG5027" s="831" t="s">
        <v>131</v>
      </c>
      <c r="AH5027" s="831" t="s">
        <v>122</v>
      </c>
      <c r="AI5027" s="831">
        <v>0</v>
      </c>
      <c r="AJ5027" s="835">
        <v>41060</v>
      </c>
      <c r="AK5027" s="831">
        <v>0</v>
      </c>
    </row>
    <row r="5028" spans="2:37">
      <c r="B5028" s="834" t="str">
        <f t="shared" si="234"/>
        <v>|||</v>
      </c>
      <c r="H5028" s="835">
        <f t="shared" si="236"/>
        <v>31</v>
      </c>
      <c r="AF5028" s="831" t="s">
        <v>5685</v>
      </c>
      <c r="AG5028" s="831" t="s">
        <v>131</v>
      </c>
      <c r="AH5028" s="831" t="s">
        <v>213</v>
      </c>
      <c r="AI5028" s="831">
        <v>0</v>
      </c>
      <c r="AJ5028" s="835">
        <v>41060</v>
      </c>
      <c r="AK5028" s="831">
        <v>0</v>
      </c>
    </row>
    <row r="5029" spans="2:37">
      <c r="B5029" s="834" t="str">
        <f t="shared" si="234"/>
        <v>|||</v>
      </c>
      <c r="H5029" s="835">
        <f t="shared" si="236"/>
        <v>31</v>
      </c>
      <c r="AF5029" s="831" t="s">
        <v>5686</v>
      </c>
      <c r="AG5029" s="831" t="s">
        <v>131</v>
      </c>
      <c r="AH5029" s="831" t="s">
        <v>215</v>
      </c>
      <c r="AI5029" s="831">
        <v>0</v>
      </c>
      <c r="AJ5029" s="835">
        <v>41060</v>
      </c>
      <c r="AK5029" s="831">
        <v>0</v>
      </c>
    </row>
    <row r="5030" spans="2:37">
      <c r="B5030" s="834" t="str">
        <f t="shared" si="234"/>
        <v>|||</v>
      </c>
      <c r="H5030" s="835">
        <f t="shared" si="236"/>
        <v>31</v>
      </c>
      <c r="AF5030" s="831" t="s">
        <v>5687</v>
      </c>
      <c r="AG5030" s="831" t="s">
        <v>131</v>
      </c>
      <c r="AH5030" s="831" t="s">
        <v>217</v>
      </c>
      <c r="AI5030" s="831">
        <v>0</v>
      </c>
      <c r="AJ5030" s="835">
        <v>41060</v>
      </c>
      <c r="AK5030" s="831">
        <v>0</v>
      </c>
    </row>
    <row r="5031" spans="2:37">
      <c r="B5031" s="834" t="str">
        <f t="shared" si="234"/>
        <v>|||</v>
      </c>
      <c r="H5031" s="835">
        <f t="shared" si="236"/>
        <v>31</v>
      </c>
      <c r="AF5031" s="831" t="s">
        <v>5688</v>
      </c>
      <c r="AG5031" s="831" t="s">
        <v>131</v>
      </c>
      <c r="AH5031" s="831" t="s">
        <v>223</v>
      </c>
      <c r="AI5031" s="831">
        <v>0</v>
      </c>
      <c r="AJ5031" s="835">
        <v>41060</v>
      </c>
      <c r="AK5031" s="831">
        <v>0</v>
      </c>
    </row>
    <row r="5032" spans="2:37">
      <c r="B5032" s="834" t="str">
        <f t="shared" si="234"/>
        <v>|||</v>
      </c>
      <c r="H5032" s="835">
        <f t="shared" si="236"/>
        <v>31</v>
      </c>
      <c r="AF5032" s="831" t="s">
        <v>5689</v>
      </c>
      <c r="AG5032" s="831" t="s">
        <v>131</v>
      </c>
      <c r="AH5032" s="831" t="s">
        <v>224</v>
      </c>
      <c r="AI5032" s="831">
        <v>0</v>
      </c>
      <c r="AJ5032" s="835">
        <v>41060</v>
      </c>
      <c r="AK5032" s="831">
        <v>0</v>
      </c>
    </row>
    <row r="5033" spans="2:37">
      <c r="B5033" s="834" t="str">
        <f t="shared" si="234"/>
        <v>|||</v>
      </c>
      <c r="H5033" s="835">
        <f t="shared" si="236"/>
        <v>31</v>
      </c>
      <c r="AF5033" s="831" t="s">
        <v>5690</v>
      </c>
      <c r="AG5033" s="831" t="s">
        <v>131</v>
      </c>
      <c r="AH5033" s="831" t="s">
        <v>128</v>
      </c>
      <c r="AI5033" s="831">
        <v>0</v>
      </c>
      <c r="AJ5033" s="835">
        <v>41060</v>
      </c>
      <c r="AK5033" s="831">
        <v>0</v>
      </c>
    </row>
    <row r="5034" spans="2:37">
      <c r="B5034" s="834" t="str">
        <f t="shared" si="234"/>
        <v>|||</v>
      </c>
      <c r="H5034" s="835">
        <f t="shared" si="236"/>
        <v>31</v>
      </c>
      <c r="AF5034" s="831" t="s">
        <v>5691</v>
      </c>
      <c r="AG5034" s="831" t="s">
        <v>131</v>
      </c>
      <c r="AH5034" s="831" t="s">
        <v>3237</v>
      </c>
      <c r="AI5034" s="831">
        <v>0</v>
      </c>
      <c r="AJ5034" s="835">
        <v>41060</v>
      </c>
      <c r="AK5034" s="831">
        <v>0</v>
      </c>
    </row>
    <row r="5035" spans="2:37">
      <c r="B5035" s="834" t="str">
        <f t="shared" si="234"/>
        <v>|||</v>
      </c>
      <c r="H5035" s="835">
        <f t="shared" si="236"/>
        <v>31</v>
      </c>
      <c r="AF5035" s="831" t="s">
        <v>5692</v>
      </c>
      <c r="AG5035" s="831" t="s">
        <v>131</v>
      </c>
      <c r="AH5035" s="831" t="s">
        <v>3239</v>
      </c>
      <c r="AI5035" s="831">
        <v>0</v>
      </c>
      <c r="AJ5035" s="835">
        <v>41060</v>
      </c>
      <c r="AK5035" s="831">
        <v>0</v>
      </c>
    </row>
    <row r="5036" spans="2:37">
      <c r="B5036" s="834" t="str">
        <f t="shared" si="234"/>
        <v>|||</v>
      </c>
      <c r="H5036" s="835">
        <f t="shared" si="236"/>
        <v>31</v>
      </c>
      <c r="AF5036" s="831" t="s">
        <v>5693</v>
      </c>
      <c r="AG5036" s="831" t="s">
        <v>131</v>
      </c>
      <c r="AH5036" s="831" t="s">
        <v>138</v>
      </c>
      <c r="AI5036" s="831">
        <v>0</v>
      </c>
      <c r="AJ5036" s="835">
        <v>41090</v>
      </c>
      <c r="AK5036" s="831">
        <v>43439209</v>
      </c>
    </row>
    <row r="5037" spans="2:37">
      <c r="B5037" s="834" t="str">
        <f t="shared" si="234"/>
        <v>|||</v>
      </c>
      <c r="H5037" s="835">
        <f t="shared" si="236"/>
        <v>31</v>
      </c>
      <c r="AF5037" s="831" t="s">
        <v>5694</v>
      </c>
      <c r="AG5037" s="831" t="s">
        <v>131</v>
      </c>
      <c r="AH5037" s="831" t="s">
        <v>141</v>
      </c>
      <c r="AI5037" s="831">
        <v>0</v>
      </c>
      <c r="AJ5037" s="835">
        <v>41090</v>
      </c>
      <c r="AK5037" s="831">
        <v>2631146</v>
      </c>
    </row>
    <row r="5038" spans="2:37">
      <c r="B5038" s="834" t="str">
        <f t="shared" si="234"/>
        <v>|||</v>
      </c>
      <c r="H5038" s="835">
        <f t="shared" si="236"/>
        <v>31</v>
      </c>
      <c r="AF5038" s="831" t="s">
        <v>5695</v>
      </c>
      <c r="AG5038" s="831" t="s">
        <v>131</v>
      </c>
      <c r="AH5038" s="831" t="s">
        <v>146</v>
      </c>
      <c r="AI5038" s="831">
        <v>0</v>
      </c>
      <c r="AJ5038" s="835">
        <v>41090</v>
      </c>
      <c r="AK5038" s="831">
        <v>-5846516</v>
      </c>
    </row>
    <row r="5039" spans="2:37">
      <c r="B5039" s="834" t="str">
        <f t="shared" si="234"/>
        <v>|||</v>
      </c>
      <c r="H5039" s="835">
        <f t="shared" si="236"/>
        <v>31</v>
      </c>
      <c r="AF5039" s="831" t="s">
        <v>5696</v>
      </c>
      <c r="AG5039" s="831" t="s">
        <v>131</v>
      </c>
      <c r="AH5039" s="831" t="s">
        <v>150</v>
      </c>
      <c r="AI5039" s="831">
        <v>0</v>
      </c>
      <c r="AJ5039" s="835">
        <v>41090</v>
      </c>
      <c r="AK5039" s="831">
        <v>-6372539</v>
      </c>
    </row>
    <row r="5040" spans="2:37">
      <c r="B5040" s="834" t="str">
        <f t="shared" si="234"/>
        <v>|||</v>
      </c>
      <c r="H5040" s="835">
        <f t="shared" si="236"/>
        <v>31</v>
      </c>
      <c r="AF5040" s="831" t="s">
        <v>5697</v>
      </c>
      <c r="AG5040" s="831" t="s">
        <v>131</v>
      </c>
      <c r="AH5040" s="831" t="s">
        <v>77</v>
      </c>
      <c r="AI5040" s="831">
        <v>0</v>
      </c>
      <c r="AJ5040" s="835">
        <v>41090</v>
      </c>
      <c r="AK5040" s="831">
        <v>-1468568</v>
      </c>
    </row>
    <row r="5041" spans="2:37">
      <c r="B5041" s="834" t="str">
        <f t="shared" si="234"/>
        <v>|||</v>
      </c>
      <c r="H5041" s="835">
        <f t="shared" si="236"/>
        <v>31</v>
      </c>
      <c r="AF5041" s="831" t="s">
        <v>5698</v>
      </c>
      <c r="AG5041" s="831" t="s">
        <v>131</v>
      </c>
      <c r="AH5041" s="831" t="s">
        <v>167</v>
      </c>
      <c r="AI5041" s="831">
        <v>0</v>
      </c>
      <c r="AJ5041" s="835">
        <v>41090</v>
      </c>
      <c r="AK5041" s="831">
        <v>0</v>
      </c>
    </row>
    <row r="5042" spans="2:37">
      <c r="B5042" s="834" t="str">
        <f t="shared" si="234"/>
        <v>|||</v>
      </c>
      <c r="H5042" s="835">
        <f t="shared" si="236"/>
        <v>31</v>
      </c>
      <c r="AF5042" s="831" t="s">
        <v>5699</v>
      </c>
      <c r="AG5042" s="831" t="s">
        <v>131</v>
      </c>
      <c r="AH5042" s="831" t="s">
        <v>169</v>
      </c>
      <c r="AI5042" s="831">
        <v>0</v>
      </c>
      <c r="AJ5042" s="835">
        <v>41090</v>
      </c>
      <c r="AK5042" s="831">
        <v>970293</v>
      </c>
    </row>
    <row r="5043" spans="2:37">
      <c r="B5043" s="834" t="str">
        <f t="shared" si="234"/>
        <v>|||</v>
      </c>
      <c r="H5043" s="835">
        <f t="shared" si="236"/>
        <v>31</v>
      </c>
      <c r="AF5043" s="831" t="s">
        <v>5700</v>
      </c>
      <c r="AG5043" s="831" t="s">
        <v>131</v>
      </c>
      <c r="AH5043" s="831" t="s">
        <v>172</v>
      </c>
      <c r="AI5043" s="831">
        <v>0</v>
      </c>
      <c r="AJ5043" s="835">
        <v>41090</v>
      </c>
      <c r="AK5043" s="831">
        <v>82490</v>
      </c>
    </row>
    <row r="5044" spans="2:37">
      <c r="B5044" s="834" t="str">
        <f t="shared" si="234"/>
        <v>|||</v>
      </c>
      <c r="H5044" s="835">
        <f t="shared" si="236"/>
        <v>31</v>
      </c>
      <c r="AF5044" s="831" t="s">
        <v>5701</v>
      </c>
      <c r="AG5044" s="831" t="s">
        <v>131</v>
      </c>
      <c r="AH5044" s="831" t="s">
        <v>175</v>
      </c>
      <c r="AI5044" s="831">
        <v>0</v>
      </c>
      <c r="AJ5044" s="835">
        <v>41090</v>
      </c>
      <c r="AK5044" s="831">
        <v>142978</v>
      </c>
    </row>
    <row r="5045" spans="2:37">
      <c r="B5045" s="834" t="str">
        <f t="shared" si="234"/>
        <v>|||</v>
      </c>
      <c r="H5045" s="835">
        <f t="shared" si="236"/>
        <v>31</v>
      </c>
      <c r="AF5045" s="831" t="s">
        <v>5702</v>
      </c>
      <c r="AG5045" s="831" t="s">
        <v>131</v>
      </c>
      <c r="AH5045" s="831" t="s">
        <v>185</v>
      </c>
      <c r="AI5045" s="831">
        <v>0</v>
      </c>
      <c r="AJ5045" s="835">
        <v>41090</v>
      </c>
      <c r="AK5045" s="831">
        <v>-15641806</v>
      </c>
    </row>
    <row r="5046" spans="2:37">
      <c r="B5046" s="834" t="str">
        <f t="shared" si="234"/>
        <v>|||</v>
      </c>
      <c r="H5046" s="835">
        <f t="shared" si="236"/>
        <v>31</v>
      </c>
      <c r="AF5046" s="831" t="s">
        <v>5703</v>
      </c>
      <c r="AG5046" s="831" t="s">
        <v>131</v>
      </c>
      <c r="AH5046" s="831" t="s">
        <v>188</v>
      </c>
      <c r="AI5046" s="831">
        <v>0</v>
      </c>
      <c r="AJ5046" s="835">
        <v>41090</v>
      </c>
      <c r="AK5046" s="831">
        <v>-7804689</v>
      </c>
    </row>
    <row r="5047" spans="2:37">
      <c r="B5047" s="834" t="str">
        <f t="shared" si="234"/>
        <v>|||</v>
      </c>
      <c r="H5047" s="835">
        <f t="shared" si="236"/>
        <v>31</v>
      </c>
      <c r="AF5047" s="831" t="s">
        <v>5704</v>
      </c>
      <c r="AG5047" s="831" t="s">
        <v>131</v>
      </c>
      <c r="AH5047" s="831" t="s">
        <v>191</v>
      </c>
      <c r="AI5047" s="831">
        <v>0</v>
      </c>
      <c r="AJ5047" s="835">
        <v>41090</v>
      </c>
      <c r="AK5047" s="831">
        <v>-2191882</v>
      </c>
    </row>
    <row r="5048" spans="2:37">
      <c r="B5048" s="834" t="str">
        <f t="shared" si="234"/>
        <v>|||</v>
      </c>
      <c r="H5048" s="835">
        <f t="shared" si="236"/>
        <v>31</v>
      </c>
      <c r="AF5048" s="831" t="s">
        <v>5705</v>
      </c>
      <c r="AG5048" s="831" t="s">
        <v>131</v>
      </c>
      <c r="AH5048" s="831" t="s">
        <v>198</v>
      </c>
      <c r="AI5048" s="831">
        <v>0</v>
      </c>
      <c r="AJ5048" s="835">
        <v>41090</v>
      </c>
      <c r="AK5048" s="831">
        <v>0</v>
      </c>
    </row>
    <row r="5049" spans="2:37">
      <c r="B5049" s="834" t="str">
        <f t="shared" si="234"/>
        <v>|||</v>
      </c>
      <c r="H5049" s="835">
        <f t="shared" si="236"/>
        <v>31</v>
      </c>
      <c r="AF5049" s="831" t="s">
        <v>5706</v>
      </c>
      <c r="AG5049" s="831" t="s">
        <v>131</v>
      </c>
      <c r="AH5049" s="831" t="s">
        <v>200</v>
      </c>
      <c r="AI5049" s="831">
        <v>0</v>
      </c>
      <c r="AJ5049" s="835">
        <v>41090</v>
      </c>
      <c r="AK5049" s="831">
        <v>0</v>
      </c>
    </row>
    <row r="5050" spans="2:37">
      <c r="B5050" s="834" t="str">
        <f t="shared" si="234"/>
        <v>|||</v>
      </c>
      <c r="H5050" s="835">
        <f t="shared" si="236"/>
        <v>31</v>
      </c>
      <c r="AF5050" s="831" t="s">
        <v>5707</v>
      </c>
      <c r="AG5050" s="831" t="s">
        <v>131</v>
      </c>
      <c r="AH5050" s="831" t="s">
        <v>205</v>
      </c>
      <c r="AI5050" s="831">
        <v>0</v>
      </c>
      <c r="AJ5050" s="835">
        <v>41090</v>
      </c>
      <c r="AK5050" s="831">
        <v>-1588023</v>
      </c>
    </row>
    <row r="5051" spans="2:37">
      <c r="B5051" s="834" t="str">
        <f t="shared" si="234"/>
        <v>|||</v>
      </c>
      <c r="H5051" s="835">
        <f t="shared" si="236"/>
        <v>31</v>
      </c>
      <c r="AF5051" s="831" t="s">
        <v>5708</v>
      </c>
      <c r="AG5051" s="831" t="s">
        <v>131</v>
      </c>
      <c r="AH5051" s="831" t="s">
        <v>122</v>
      </c>
      <c r="AI5051" s="831">
        <v>0</v>
      </c>
      <c r="AJ5051" s="835">
        <v>41090</v>
      </c>
      <c r="AK5051" s="831">
        <v>0</v>
      </c>
    </row>
    <row r="5052" spans="2:37">
      <c r="B5052" s="834" t="str">
        <f t="shared" si="234"/>
        <v>|||</v>
      </c>
      <c r="H5052" s="835">
        <f t="shared" si="236"/>
        <v>31</v>
      </c>
      <c r="AF5052" s="831" t="s">
        <v>5709</v>
      </c>
      <c r="AG5052" s="831" t="s">
        <v>131</v>
      </c>
      <c r="AH5052" s="831" t="s">
        <v>213</v>
      </c>
      <c r="AI5052" s="831">
        <v>0</v>
      </c>
      <c r="AJ5052" s="835">
        <v>41090</v>
      </c>
      <c r="AK5052" s="831">
        <v>0</v>
      </c>
    </row>
    <row r="5053" spans="2:37">
      <c r="B5053" s="834" t="str">
        <f t="shared" si="234"/>
        <v>|||</v>
      </c>
      <c r="H5053" s="835">
        <f t="shared" si="236"/>
        <v>31</v>
      </c>
      <c r="AF5053" s="831" t="s">
        <v>5710</v>
      </c>
      <c r="AG5053" s="831" t="s">
        <v>131</v>
      </c>
      <c r="AH5053" s="831" t="s">
        <v>215</v>
      </c>
      <c r="AI5053" s="831">
        <v>0</v>
      </c>
      <c r="AJ5053" s="835">
        <v>41090</v>
      </c>
      <c r="AK5053" s="831">
        <v>0</v>
      </c>
    </row>
    <row r="5054" spans="2:37">
      <c r="B5054" s="834" t="str">
        <f t="shared" si="234"/>
        <v>|||</v>
      </c>
      <c r="H5054" s="835">
        <f t="shared" si="236"/>
        <v>31</v>
      </c>
      <c r="AF5054" s="831" t="s">
        <v>5711</v>
      </c>
      <c r="AG5054" s="831" t="s">
        <v>131</v>
      </c>
      <c r="AH5054" s="831" t="s">
        <v>217</v>
      </c>
      <c r="AI5054" s="831">
        <v>0</v>
      </c>
      <c r="AJ5054" s="835">
        <v>41090</v>
      </c>
      <c r="AK5054" s="831">
        <v>0</v>
      </c>
    </row>
    <row r="5055" spans="2:37">
      <c r="B5055" s="834" t="str">
        <f t="shared" si="234"/>
        <v>|||</v>
      </c>
      <c r="H5055" s="835">
        <f t="shared" si="236"/>
        <v>31</v>
      </c>
      <c r="AF5055" s="831" t="s">
        <v>5712</v>
      </c>
      <c r="AG5055" s="831" t="s">
        <v>131</v>
      </c>
      <c r="AH5055" s="831" t="s">
        <v>223</v>
      </c>
      <c r="AI5055" s="831">
        <v>0</v>
      </c>
      <c r="AJ5055" s="835">
        <v>41090</v>
      </c>
      <c r="AK5055" s="831">
        <v>0</v>
      </c>
    </row>
    <row r="5056" spans="2:37">
      <c r="B5056" s="834" t="str">
        <f t="shared" si="234"/>
        <v>|||</v>
      </c>
      <c r="H5056" s="835">
        <f t="shared" si="236"/>
        <v>31</v>
      </c>
      <c r="AF5056" s="831" t="s">
        <v>5713</v>
      </c>
      <c r="AG5056" s="831" t="s">
        <v>131</v>
      </c>
      <c r="AH5056" s="831" t="s">
        <v>224</v>
      </c>
      <c r="AI5056" s="831">
        <v>0</v>
      </c>
      <c r="AJ5056" s="835">
        <v>41090</v>
      </c>
      <c r="AK5056" s="831">
        <v>0</v>
      </c>
    </row>
    <row r="5057" spans="2:37">
      <c r="B5057" s="834" t="str">
        <f t="shared" si="234"/>
        <v>|||</v>
      </c>
      <c r="H5057" s="835">
        <f t="shared" si="236"/>
        <v>31</v>
      </c>
      <c r="AF5057" s="831" t="s">
        <v>5714</v>
      </c>
      <c r="AG5057" s="831" t="s">
        <v>131</v>
      </c>
      <c r="AH5057" s="831" t="s">
        <v>128</v>
      </c>
      <c r="AI5057" s="831">
        <v>0</v>
      </c>
      <c r="AJ5057" s="835">
        <v>41090</v>
      </c>
      <c r="AK5057" s="831">
        <v>0</v>
      </c>
    </row>
    <row r="5058" spans="2:37">
      <c r="B5058" s="834" t="str">
        <f t="shared" si="234"/>
        <v>|||</v>
      </c>
      <c r="H5058" s="835">
        <f t="shared" si="236"/>
        <v>31</v>
      </c>
      <c r="AF5058" s="831" t="s">
        <v>5715</v>
      </c>
      <c r="AG5058" s="831" t="s">
        <v>131</v>
      </c>
      <c r="AH5058" s="831" t="s">
        <v>3237</v>
      </c>
      <c r="AI5058" s="831">
        <v>0</v>
      </c>
      <c r="AJ5058" s="835">
        <v>41090</v>
      </c>
      <c r="AK5058" s="831">
        <v>0</v>
      </c>
    </row>
    <row r="5059" spans="2:37">
      <c r="B5059" s="834" t="str">
        <f t="shared" ref="B5059:B5122" si="237">C5059&amp;"|"&amp;D5059&amp;"|"&amp;E5059&amp;"|"&amp;F5059</f>
        <v>|||</v>
      </c>
      <c r="H5059" s="835">
        <f t="shared" si="236"/>
        <v>31</v>
      </c>
      <c r="AF5059" s="831" t="s">
        <v>5716</v>
      </c>
      <c r="AG5059" s="831" t="s">
        <v>131</v>
      </c>
      <c r="AH5059" s="831" t="s">
        <v>3239</v>
      </c>
      <c r="AI5059" s="831">
        <v>0</v>
      </c>
      <c r="AJ5059" s="835">
        <v>41090</v>
      </c>
      <c r="AK5059" s="831">
        <v>0</v>
      </c>
    </row>
    <row r="5060" spans="2:37">
      <c r="B5060" s="834" t="str">
        <f t="shared" si="237"/>
        <v>|||</v>
      </c>
      <c r="H5060" s="835">
        <f t="shared" ref="H5060:H5123" si="238">EOMONTH(L5060,0)</f>
        <v>31</v>
      </c>
      <c r="AF5060" s="831" t="s">
        <v>5717</v>
      </c>
      <c r="AG5060" s="831" t="s">
        <v>131</v>
      </c>
      <c r="AH5060" s="831" t="s">
        <v>138</v>
      </c>
      <c r="AI5060" s="831">
        <v>0</v>
      </c>
      <c r="AJ5060" s="835">
        <v>41121</v>
      </c>
      <c r="AK5060" s="831">
        <v>49523941</v>
      </c>
    </row>
    <row r="5061" spans="2:37">
      <c r="B5061" s="834" t="str">
        <f t="shared" si="237"/>
        <v>|||</v>
      </c>
      <c r="H5061" s="835">
        <f t="shared" si="238"/>
        <v>31</v>
      </c>
      <c r="AF5061" s="831" t="s">
        <v>5718</v>
      </c>
      <c r="AG5061" s="831" t="s">
        <v>131</v>
      </c>
      <c r="AH5061" s="831" t="s">
        <v>141</v>
      </c>
      <c r="AI5061" s="831">
        <v>0</v>
      </c>
      <c r="AJ5061" s="835">
        <v>41121</v>
      </c>
      <c r="AK5061" s="831">
        <v>5050023</v>
      </c>
    </row>
    <row r="5062" spans="2:37">
      <c r="B5062" s="834" t="str">
        <f t="shared" si="237"/>
        <v>|||</v>
      </c>
      <c r="H5062" s="835">
        <f t="shared" si="238"/>
        <v>31</v>
      </c>
      <c r="AF5062" s="831" t="s">
        <v>5719</v>
      </c>
      <c r="AG5062" s="831" t="s">
        <v>131</v>
      </c>
      <c r="AH5062" s="831" t="s">
        <v>146</v>
      </c>
      <c r="AI5062" s="831">
        <v>0</v>
      </c>
      <c r="AJ5062" s="835">
        <v>41121</v>
      </c>
      <c r="AK5062" s="831">
        <v>-6853717</v>
      </c>
    </row>
    <row r="5063" spans="2:37">
      <c r="B5063" s="834" t="str">
        <f t="shared" si="237"/>
        <v>|||</v>
      </c>
      <c r="H5063" s="835">
        <f t="shared" si="238"/>
        <v>31</v>
      </c>
      <c r="AF5063" s="831" t="s">
        <v>5720</v>
      </c>
      <c r="AG5063" s="831" t="s">
        <v>131</v>
      </c>
      <c r="AH5063" s="831" t="s">
        <v>150</v>
      </c>
      <c r="AI5063" s="831">
        <v>0</v>
      </c>
      <c r="AJ5063" s="835">
        <v>41121</v>
      </c>
      <c r="AK5063" s="831">
        <v>-7607510</v>
      </c>
    </row>
    <row r="5064" spans="2:37">
      <c r="B5064" s="834" t="str">
        <f t="shared" si="237"/>
        <v>|||</v>
      </c>
      <c r="H5064" s="835">
        <f t="shared" si="238"/>
        <v>31</v>
      </c>
      <c r="AF5064" s="831" t="s">
        <v>5721</v>
      </c>
      <c r="AG5064" s="831" t="s">
        <v>131</v>
      </c>
      <c r="AH5064" s="831" t="s">
        <v>77</v>
      </c>
      <c r="AI5064" s="831">
        <v>0</v>
      </c>
      <c r="AJ5064" s="835">
        <v>41121</v>
      </c>
      <c r="AK5064" s="831">
        <v>-1797010</v>
      </c>
    </row>
    <row r="5065" spans="2:37">
      <c r="B5065" s="834" t="str">
        <f t="shared" si="237"/>
        <v>|||</v>
      </c>
      <c r="H5065" s="835">
        <f t="shared" si="238"/>
        <v>31</v>
      </c>
      <c r="AF5065" s="831" t="s">
        <v>5722</v>
      </c>
      <c r="AG5065" s="831" t="s">
        <v>131</v>
      </c>
      <c r="AH5065" s="831" t="s">
        <v>167</v>
      </c>
      <c r="AI5065" s="831">
        <v>0</v>
      </c>
      <c r="AJ5065" s="835">
        <v>41121</v>
      </c>
      <c r="AK5065" s="831">
        <v>0</v>
      </c>
    </row>
    <row r="5066" spans="2:37">
      <c r="B5066" s="834" t="str">
        <f t="shared" si="237"/>
        <v>|||</v>
      </c>
      <c r="H5066" s="835">
        <f t="shared" si="238"/>
        <v>31</v>
      </c>
      <c r="AF5066" s="831" t="s">
        <v>5723</v>
      </c>
      <c r="AG5066" s="831" t="s">
        <v>131</v>
      </c>
      <c r="AH5066" s="831" t="s">
        <v>169</v>
      </c>
      <c r="AI5066" s="831">
        <v>0</v>
      </c>
      <c r="AJ5066" s="835">
        <v>41121</v>
      </c>
      <c r="AK5066" s="831">
        <v>1157475</v>
      </c>
    </row>
    <row r="5067" spans="2:37">
      <c r="B5067" s="834" t="str">
        <f t="shared" si="237"/>
        <v>|||</v>
      </c>
      <c r="H5067" s="835">
        <f t="shared" si="238"/>
        <v>31</v>
      </c>
      <c r="AF5067" s="831" t="s">
        <v>5724</v>
      </c>
      <c r="AG5067" s="831" t="s">
        <v>131</v>
      </c>
      <c r="AH5067" s="831" t="s">
        <v>172</v>
      </c>
      <c r="AI5067" s="831">
        <v>0</v>
      </c>
      <c r="AJ5067" s="835">
        <v>41121</v>
      </c>
      <c r="AK5067" s="831">
        <v>172377</v>
      </c>
    </row>
    <row r="5068" spans="2:37">
      <c r="B5068" s="834" t="str">
        <f t="shared" si="237"/>
        <v>|||</v>
      </c>
      <c r="H5068" s="835">
        <f t="shared" si="238"/>
        <v>31</v>
      </c>
      <c r="AF5068" s="831" t="s">
        <v>5725</v>
      </c>
      <c r="AG5068" s="831" t="s">
        <v>131</v>
      </c>
      <c r="AH5068" s="831" t="s">
        <v>175</v>
      </c>
      <c r="AI5068" s="831">
        <v>0</v>
      </c>
      <c r="AJ5068" s="835">
        <v>41121</v>
      </c>
      <c r="AK5068" s="831">
        <v>184787</v>
      </c>
    </row>
    <row r="5069" spans="2:37">
      <c r="B5069" s="834" t="str">
        <f t="shared" si="237"/>
        <v>|||</v>
      </c>
      <c r="H5069" s="835">
        <f t="shared" si="238"/>
        <v>31</v>
      </c>
      <c r="AF5069" s="831" t="s">
        <v>5726</v>
      </c>
      <c r="AG5069" s="831" t="s">
        <v>131</v>
      </c>
      <c r="AH5069" s="831" t="s">
        <v>185</v>
      </c>
      <c r="AI5069" s="831">
        <v>0</v>
      </c>
      <c r="AJ5069" s="835">
        <v>41121</v>
      </c>
      <c r="AK5069" s="831">
        <v>-17937702</v>
      </c>
    </row>
    <row r="5070" spans="2:37">
      <c r="B5070" s="834" t="str">
        <f t="shared" si="237"/>
        <v>|||</v>
      </c>
      <c r="H5070" s="835">
        <f t="shared" si="238"/>
        <v>31</v>
      </c>
      <c r="AF5070" s="831" t="s">
        <v>5727</v>
      </c>
      <c r="AG5070" s="831" t="s">
        <v>131</v>
      </c>
      <c r="AH5070" s="831" t="s">
        <v>188</v>
      </c>
      <c r="AI5070" s="831">
        <v>0</v>
      </c>
      <c r="AJ5070" s="835">
        <v>41121</v>
      </c>
      <c r="AK5070" s="831">
        <v>-9178791</v>
      </c>
    </row>
    <row r="5071" spans="2:37">
      <c r="B5071" s="834" t="str">
        <f t="shared" si="237"/>
        <v>|||</v>
      </c>
      <c r="H5071" s="835">
        <f t="shared" si="238"/>
        <v>31</v>
      </c>
      <c r="AF5071" s="831" t="s">
        <v>5728</v>
      </c>
      <c r="AG5071" s="831" t="s">
        <v>131</v>
      </c>
      <c r="AH5071" s="831" t="s">
        <v>191</v>
      </c>
      <c r="AI5071" s="831">
        <v>0</v>
      </c>
      <c r="AJ5071" s="835">
        <v>41121</v>
      </c>
      <c r="AK5071" s="831">
        <v>-2583992</v>
      </c>
    </row>
    <row r="5072" spans="2:37">
      <c r="B5072" s="834" t="str">
        <f t="shared" si="237"/>
        <v>|||</v>
      </c>
      <c r="H5072" s="835">
        <f t="shared" si="238"/>
        <v>31</v>
      </c>
      <c r="AF5072" s="831" t="s">
        <v>5729</v>
      </c>
      <c r="AG5072" s="831" t="s">
        <v>131</v>
      </c>
      <c r="AH5072" s="831" t="s">
        <v>198</v>
      </c>
      <c r="AI5072" s="831">
        <v>0</v>
      </c>
      <c r="AJ5072" s="835">
        <v>41121</v>
      </c>
      <c r="AK5072" s="831">
        <v>0</v>
      </c>
    </row>
    <row r="5073" spans="2:37">
      <c r="B5073" s="834" t="str">
        <f t="shared" si="237"/>
        <v>|||</v>
      </c>
      <c r="H5073" s="835">
        <f t="shared" si="238"/>
        <v>31</v>
      </c>
      <c r="AF5073" s="831" t="s">
        <v>5730</v>
      </c>
      <c r="AG5073" s="831" t="s">
        <v>131</v>
      </c>
      <c r="AH5073" s="831" t="s">
        <v>200</v>
      </c>
      <c r="AI5073" s="831">
        <v>0</v>
      </c>
      <c r="AJ5073" s="835">
        <v>41121</v>
      </c>
      <c r="AK5073" s="831">
        <v>0</v>
      </c>
    </row>
    <row r="5074" spans="2:37">
      <c r="B5074" s="834" t="str">
        <f t="shared" si="237"/>
        <v>|||</v>
      </c>
      <c r="H5074" s="835">
        <f t="shared" si="238"/>
        <v>31</v>
      </c>
      <c r="AF5074" s="831" t="s">
        <v>5731</v>
      </c>
      <c r="AG5074" s="831" t="s">
        <v>131</v>
      </c>
      <c r="AH5074" s="831" t="s">
        <v>205</v>
      </c>
      <c r="AI5074" s="831">
        <v>0</v>
      </c>
      <c r="AJ5074" s="835">
        <v>41121</v>
      </c>
      <c r="AK5074" s="831">
        <v>-2025976</v>
      </c>
    </row>
    <row r="5075" spans="2:37">
      <c r="B5075" s="834" t="str">
        <f t="shared" si="237"/>
        <v>|||</v>
      </c>
      <c r="H5075" s="835">
        <f t="shared" si="238"/>
        <v>31</v>
      </c>
      <c r="AF5075" s="831" t="s">
        <v>5732</v>
      </c>
      <c r="AG5075" s="831" t="s">
        <v>131</v>
      </c>
      <c r="AH5075" s="831" t="s">
        <v>122</v>
      </c>
      <c r="AI5075" s="831">
        <v>0</v>
      </c>
      <c r="AJ5075" s="835">
        <v>41121</v>
      </c>
      <c r="AK5075" s="831">
        <v>0</v>
      </c>
    </row>
    <row r="5076" spans="2:37">
      <c r="B5076" s="834" t="str">
        <f t="shared" si="237"/>
        <v>|||</v>
      </c>
      <c r="H5076" s="835">
        <f t="shared" si="238"/>
        <v>31</v>
      </c>
      <c r="AF5076" s="831" t="s">
        <v>5733</v>
      </c>
      <c r="AG5076" s="831" t="s">
        <v>131</v>
      </c>
      <c r="AH5076" s="831" t="s">
        <v>213</v>
      </c>
      <c r="AI5076" s="831">
        <v>0</v>
      </c>
      <c r="AJ5076" s="835">
        <v>41121</v>
      </c>
      <c r="AK5076" s="831">
        <v>0</v>
      </c>
    </row>
    <row r="5077" spans="2:37">
      <c r="B5077" s="834" t="str">
        <f t="shared" si="237"/>
        <v>|||</v>
      </c>
      <c r="H5077" s="835">
        <f t="shared" si="238"/>
        <v>31</v>
      </c>
      <c r="AF5077" s="831" t="s">
        <v>5734</v>
      </c>
      <c r="AG5077" s="831" t="s">
        <v>131</v>
      </c>
      <c r="AH5077" s="831" t="s">
        <v>215</v>
      </c>
      <c r="AI5077" s="831">
        <v>0</v>
      </c>
      <c r="AJ5077" s="835">
        <v>41121</v>
      </c>
      <c r="AK5077" s="831">
        <v>0</v>
      </c>
    </row>
    <row r="5078" spans="2:37">
      <c r="B5078" s="834" t="str">
        <f t="shared" si="237"/>
        <v>|||</v>
      </c>
      <c r="H5078" s="835">
        <f t="shared" si="238"/>
        <v>31</v>
      </c>
      <c r="AF5078" s="831" t="s">
        <v>5735</v>
      </c>
      <c r="AG5078" s="831" t="s">
        <v>131</v>
      </c>
      <c r="AH5078" s="831" t="s">
        <v>217</v>
      </c>
      <c r="AI5078" s="831">
        <v>0</v>
      </c>
      <c r="AJ5078" s="835">
        <v>41121</v>
      </c>
      <c r="AK5078" s="831">
        <v>0</v>
      </c>
    </row>
    <row r="5079" spans="2:37">
      <c r="B5079" s="834" t="str">
        <f t="shared" si="237"/>
        <v>|||</v>
      </c>
      <c r="H5079" s="835">
        <f t="shared" si="238"/>
        <v>31</v>
      </c>
      <c r="AF5079" s="831" t="s">
        <v>5736</v>
      </c>
      <c r="AG5079" s="831" t="s">
        <v>131</v>
      </c>
      <c r="AH5079" s="831" t="s">
        <v>223</v>
      </c>
      <c r="AI5079" s="831">
        <v>0</v>
      </c>
      <c r="AJ5079" s="835">
        <v>41121</v>
      </c>
      <c r="AK5079" s="831">
        <v>0</v>
      </c>
    </row>
    <row r="5080" spans="2:37">
      <c r="B5080" s="834" t="str">
        <f t="shared" si="237"/>
        <v>|||</v>
      </c>
      <c r="H5080" s="835">
        <f t="shared" si="238"/>
        <v>31</v>
      </c>
      <c r="AF5080" s="831" t="s">
        <v>5737</v>
      </c>
      <c r="AG5080" s="831" t="s">
        <v>131</v>
      </c>
      <c r="AH5080" s="831" t="s">
        <v>224</v>
      </c>
      <c r="AI5080" s="831">
        <v>0</v>
      </c>
      <c r="AJ5080" s="835">
        <v>41121</v>
      </c>
      <c r="AK5080" s="831">
        <v>0</v>
      </c>
    </row>
    <row r="5081" spans="2:37">
      <c r="B5081" s="834" t="str">
        <f t="shared" si="237"/>
        <v>|||</v>
      </c>
      <c r="H5081" s="835">
        <f t="shared" si="238"/>
        <v>31</v>
      </c>
      <c r="AF5081" s="831" t="s">
        <v>5738</v>
      </c>
      <c r="AG5081" s="831" t="s">
        <v>131</v>
      </c>
      <c r="AH5081" s="831" t="s">
        <v>128</v>
      </c>
      <c r="AI5081" s="831">
        <v>0</v>
      </c>
      <c r="AJ5081" s="835">
        <v>41121</v>
      </c>
      <c r="AK5081" s="831">
        <v>0</v>
      </c>
    </row>
    <row r="5082" spans="2:37">
      <c r="B5082" s="834" t="str">
        <f t="shared" si="237"/>
        <v>|||</v>
      </c>
      <c r="H5082" s="835">
        <f t="shared" si="238"/>
        <v>31</v>
      </c>
      <c r="AF5082" s="831" t="s">
        <v>5739</v>
      </c>
      <c r="AG5082" s="831" t="s">
        <v>131</v>
      </c>
      <c r="AH5082" s="831" t="s">
        <v>3237</v>
      </c>
      <c r="AI5082" s="831">
        <v>0</v>
      </c>
      <c r="AJ5082" s="835">
        <v>41121</v>
      </c>
      <c r="AK5082" s="831">
        <v>0</v>
      </c>
    </row>
    <row r="5083" spans="2:37">
      <c r="B5083" s="834" t="str">
        <f t="shared" si="237"/>
        <v>|||</v>
      </c>
      <c r="H5083" s="835">
        <f t="shared" si="238"/>
        <v>31</v>
      </c>
      <c r="AF5083" s="831" t="s">
        <v>5740</v>
      </c>
      <c r="AG5083" s="831" t="s">
        <v>131</v>
      </c>
      <c r="AH5083" s="831" t="s">
        <v>3239</v>
      </c>
      <c r="AI5083" s="831">
        <v>0</v>
      </c>
      <c r="AJ5083" s="835">
        <v>41121</v>
      </c>
      <c r="AK5083" s="831">
        <v>0</v>
      </c>
    </row>
    <row r="5084" spans="2:37">
      <c r="B5084" s="834" t="str">
        <f t="shared" si="237"/>
        <v>|||</v>
      </c>
      <c r="H5084" s="835">
        <f t="shared" si="238"/>
        <v>31</v>
      </c>
      <c r="AF5084" s="831" t="s">
        <v>5741</v>
      </c>
      <c r="AG5084" s="831" t="s">
        <v>131</v>
      </c>
      <c r="AH5084" s="831" t="s">
        <v>138</v>
      </c>
      <c r="AI5084" s="831">
        <v>0</v>
      </c>
      <c r="AJ5084" s="835">
        <v>41152</v>
      </c>
      <c r="AK5084" s="831">
        <v>57271270</v>
      </c>
    </row>
    <row r="5085" spans="2:37">
      <c r="B5085" s="834" t="str">
        <f t="shared" si="237"/>
        <v>|||</v>
      </c>
      <c r="H5085" s="835">
        <f t="shared" si="238"/>
        <v>31</v>
      </c>
      <c r="AF5085" s="831" t="s">
        <v>5742</v>
      </c>
      <c r="AG5085" s="831" t="s">
        <v>131</v>
      </c>
      <c r="AH5085" s="831" t="s">
        <v>141</v>
      </c>
      <c r="AI5085" s="831">
        <v>0</v>
      </c>
      <c r="AJ5085" s="835">
        <v>41152</v>
      </c>
      <c r="AK5085" s="831">
        <v>5872215</v>
      </c>
    </row>
    <row r="5086" spans="2:37">
      <c r="B5086" s="834" t="str">
        <f t="shared" si="237"/>
        <v>|||</v>
      </c>
      <c r="H5086" s="835">
        <f t="shared" si="238"/>
        <v>31</v>
      </c>
      <c r="AF5086" s="831" t="s">
        <v>5743</v>
      </c>
      <c r="AG5086" s="831" t="s">
        <v>131</v>
      </c>
      <c r="AH5086" s="831" t="s">
        <v>146</v>
      </c>
      <c r="AI5086" s="831">
        <v>0</v>
      </c>
      <c r="AJ5086" s="835">
        <v>41152</v>
      </c>
      <c r="AK5086" s="831">
        <v>-7890159</v>
      </c>
    </row>
    <row r="5087" spans="2:37">
      <c r="B5087" s="834" t="str">
        <f t="shared" si="237"/>
        <v>|||</v>
      </c>
      <c r="H5087" s="835">
        <f t="shared" si="238"/>
        <v>31</v>
      </c>
      <c r="AF5087" s="831" t="s">
        <v>5744</v>
      </c>
      <c r="AG5087" s="831" t="s">
        <v>131</v>
      </c>
      <c r="AH5087" s="831" t="s">
        <v>150</v>
      </c>
      <c r="AI5087" s="831">
        <v>0</v>
      </c>
      <c r="AJ5087" s="835">
        <v>41152</v>
      </c>
      <c r="AK5087" s="831">
        <v>-8759136</v>
      </c>
    </row>
    <row r="5088" spans="2:37">
      <c r="B5088" s="834" t="str">
        <f t="shared" si="237"/>
        <v>|||</v>
      </c>
      <c r="H5088" s="835">
        <f t="shared" si="238"/>
        <v>31</v>
      </c>
      <c r="AF5088" s="831" t="s">
        <v>5745</v>
      </c>
      <c r="AG5088" s="831" t="s">
        <v>131</v>
      </c>
      <c r="AH5088" s="831" t="s">
        <v>77</v>
      </c>
      <c r="AI5088" s="831">
        <v>0</v>
      </c>
      <c r="AJ5088" s="835">
        <v>41152</v>
      </c>
      <c r="AK5088" s="831">
        <v>-2047258</v>
      </c>
    </row>
    <row r="5089" spans="2:37">
      <c r="B5089" s="834" t="str">
        <f t="shared" si="237"/>
        <v>|||</v>
      </c>
      <c r="H5089" s="835">
        <f t="shared" si="238"/>
        <v>31</v>
      </c>
      <c r="AF5089" s="831" t="s">
        <v>5746</v>
      </c>
      <c r="AG5089" s="831" t="s">
        <v>131</v>
      </c>
      <c r="AH5089" s="831" t="s">
        <v>167</v>
      </c>
      <c r="AI5089" s="831">
        <v>0</v>
      </c>
      <c r="AJ5089" s="835">
        <v>41152</v>
      </c>
      <c r="AK5089" s="831">
        <v>0</v>
      </c>
    </row>
    <row r="5090" spans="2:37">
      <c r="B5090" s="834" t="str">
        <f t="shared" si="237"/>
        <v>|||</v>
      </c>
      <c r="H5090" s="835">
        <f t="shared" si="238"/>
        <v>31</v>
      </c>
      <c r="AF5090" s="831" t="s">
        <v>5747</v>
      </c>
      <c r="AG5090" s="831" t="s">
        <v>131</v>
      </c>
      <c r="AH5090" s="831" t="s">
        <v>169</v>
      </c>
      <c r="AI5090" s="831">
        <v>0</v>
      </c>
      <c r="AJ5090" s="835">
        <v>41152</v>
      </c>
      <c r="AK5090" s="831">
        <v>1299968</v>
      </c>
    </row>
    <row r="5091" spans="2:37">
      <c r="B5091" s="834" t="str">
        <f t="shared" si="237"/>
        <v>|||</v>
      </c>
      <c r="H5091" s="835">
        <f t="shared" si="238"/>
        <v>31</v>
      </c>
      <c r="AF5091" s="831" t="s">
        <v>5748</v>
      </c>
      <c r="AG5091" s="831" t="s">
        <v>131</v>
      </c>
      <c r="AH5091" s="831" t="s">
        <v>172</v>
      </c>
      <c r="AI5091" s="831">
        <v>0</v>
      </c>
      <c r="AJ5091" s="835">
        <v>41152</v>
      </c>
      <c r="AK5091" s="831">
        <v>188869</v>
      </c>
    </row>
    <row r="5092" spans="2:37">
      <c r="B5092" s="834" t="str">
        <f t="shared" si="237"/>
        <v>|||</v>
      </c>
      <c r="H5092" s="835">
        <f t="shared" si="238"/>
        <v>31</v>
      </c>
      <c r="AF5092" s="831" t="s">
        <v>5749</v>
      </c>
      <c r="AG5092" s="831" t="s">
        <v>131</v>
      </c>
      <c r="AH5092" s="831" t="s">
        <v>175</v>
      </c>
      <c r="AI5092" s="831">
        <v>0</v>
      </c>
      <c r="AJ5092" s="835">
        <v>41152</v>
      </c>
      <c r="AK5092" s="831">
        <v>230471</v>
      </c>
    </row>
    <row r="5093" spans="2:37">
      <c r="B5093" s="834" t="str">
        <f t="shared" si="237"/>
        <v>|||</v>
      </c>
      <c r="H5093" s="835">
        <f t="shared" si="238"/>
        <v>31</v>
      </c>
      <c r="AF5093" s="831" t="s">
        <v>5750</v>
      </c>
      <c r="AG5093" s="831" t="s">
        <v>131</v>
      </c>
      <c r="AH5093" s="831" t="s">
        <v>185</v>
      </c>
      <c r="AI5093" s="831">
        <v>0</v>
      </c>
      <c r="AJ5093" s="835">
        <v>41152</v>
      </c>
      <c r="AK5093" s="831">
        <v>-20218121</v>
      </c>
    </row>
    <row r="5094" spans="2:37">
      <c r="B5094" s="834" t="str">
        <f t="shared" si="237"/>
        <v>|||</v>
      </c>
      <c r="H5094" s="835">
        <f t="shared" si="238"/>
        <v>31</v>
      </c>
      <c r="AF5094" s="831" t="s">
        <v>5751</v>
      </c>
      <c r="AG5094" s="831" t="s">
        <v>131</v>
      </c>
      <c r="AH5094" s="831" t="s">
        <v>188</v>
      </c>
      <c r="AI5094" s="831">
        <v>0</v>
      </c>
      <c r="AJ5094" s="835">
        <v>41152</v>
      </c>
      <c r="AK5094" s="831">
        <v>-10268730</v>
      </c>
    </row>
    <row r="5095" spans="2:37">
      <c r="B5095" s="834" t="str">
        <f t="shared" si="237"/>
        <v>|||</v>
      </c>
      <c r="H5095" s="835">
        <f t="shared" si="238"/>
        <v>31</v>
      </c>
      <c r="AF5095" s="831" t="s">
        <v>5752</v>
      </c>
      <c r="AG5095" s="831" t="s">
        <v>131</v>
      </c>
      <c r="AH5095" s="831" t="s">
        <v>191</v>
      </c>
      <c r="AI5095" s="831">
        <v>0</v>
      </c>
      <c r="AJ5095" s="835">
        <v>41152</v>
      </c>
      <c r="AK5095" s="831">
        <v>-3064329</v>
      </c>
    </row>
    <row r="5096" spans="2:37">
      <c r="B5096" s="834" t="str">
        <f t="shared" si="237"/>
        <v>|||</v>
      </c>
      <c r="H5096" s="835">
        <f t="shared" si="238"/>
        <v>31</v>
      </c>
      <c r="AF5096" s="831" t="s">
        <v>5753</v>
      </c>
      <c r="AG5096" s="831" t="s">
        <v>131</v>
      </c>
      <c r="AH5096" s="831" t="s">
        <v>198</v>
      </c>
      <c r="AI5096" s="831">
        <v>0</v>
      </c>
      <c r="AJ5096" s="835">
        <v>41152</v>
      </c>
      <c r="AK5096" s="831">
        <v>0</v>
      </c>
    </row>
    <row r="5097" spans="2:37">
      <c r="B5097" s="834" t="str">
        <f t="shared" si="237"/>
        <v>|||</v>
      </c>
      <c r="H5097" s="835">
        <f t="shared" si="238"/>
        <v>31</v>
      </c>
      <c r="AF5097" s="831" t="s">
        <v>5754</v>
      </c>
      <c r="AG5097" s="831" t="s">
        <v>131</v>
      </c>
      <c r="AH5097" s="831" t="s">
        <v>200</v>
      </c>
      <c r="AI5097" s="831">
        <v>0</v>
      </c>
      <c r="AJ5097" s="835">
        <v>41152</v>
      </c>
      <c r="AK5097" s="831">
        <v>0</v>
      </c>
    </row>
    <row r="5098" spans="2:37">
      <c r="B5098" s="834" t="str">
        <f t="shared" si="237"/>
        <v>|||</v>
      </c>
      <c r="H5098" s="835">
        <f t="shared" si="238"/>
        <v>31</v>
      </c>
      <c r="AF5098" s="831" t="s">
        <v>5755</v>
      </c>
      <c r="AG5098" s="831" t="s">
        <v>131</v>
      </c>
      <c r="AH5098" s="831" t="s">
        <v>205</v>
      </c>
      <c r="AI5098" s="831">
        <v>0</v>
      </c>
      <c r="AJ5098" s="835">
        <v>41152</v>
      </c>
      <c r="AK5098" s="831">
        <v>-2523011</v>
      </c>
    </row>
    <row r="5099" spans="2:37">
      <c r="B5099" s="834" t="str">
        <f t="shared" si="237"/>
        <v>|||</v>
      </c>
      <c r="H5099" s="835">
        <f t="shared" si="238"/>
        <v>31</v>
      </c>
      <c r="AF5099" s="831" t="s">
        <v>5756</v>
      </c>
      <c r="AG5099" s="831" t="s">
        <v>131</v>
      </c>
      <c r="AH5099" s="831" t="s">
        <v>122</v>
      </c>
      <c r="AI5099" s="831">
        <v>0</v>
      </c>
      <c r="AJ5099" s="835">
        <v>41152</v>
      </c>
      <c r="AK5099" s="831">
        <v>0</v>
      </c>
    </row>
    <row r="5100" spans="2:37">
      <c r="B5100" s="834" t="str">
        <f t="shared" si="237"/>
        <v>|||</v>
      </c>
      <c r="H5100" s="835">
        <f t="shared" si="238"/>
        <v>31</v>
      </c>
      <c r="AF5100" s="831" t="s">
        <v>5757</v>
      </c>
      <c r="AG5100" s="831" t="s">
        <v>131</v>
      </c>
      <c r="AH5100" s="831" t="s">
        <v>213</v>
      </c>
      <c r="AI5100" s="831">
        <v>0</v>
      </c>
      <c r="AJ5100" s="835">
        <v>41152</v>
      </c>
      <c r="AK5100" s="831">
        <v>0</v>
      </c>
    </row>
    <row r="5101" spans="2:37">
      <c r="B5101" s="834" t="str">
        <f t="shared" si="237"/>
        <v>|||</v>
      </c>
      <c r="H5101" s="835">
        <f t="shared" si="238"/>
        <v>31</v>
      </c>
      <c r="AF5101" s="831" t="s">
        <v>5758</v>
      </c>
      <c r="AG5101" s="831" t="s">
        <v>131</v>
      </c>
      <c r="AH5101" s="831" t="s">
        <v>215</v>
      </c>
      <c r="AI5101" s="831">
        <v>0</v>
      </c>
      <c r="AJ5101" s="835">
        <v>41152</v>
      </c>
      <c r="AK5101" s="831">
        <v>0</v>
      </c>
    </row>
    <row r="5102" spans="2:37">
      <c r="B5102" s="834" t="str">
        <f t="shared" si="237"/>
        <v>|||</v>
      </c>
      <c r="H5102" s="835">
        <f t="shared" si="238"/>
        <v>31</v>
      </c>
      <c r="AF5102" s="831" t="s">
        <v>5759</v>
      </c>
      <c r="AG5102" s="831" t="s">
        <v>131</v>
      </c>
      <c r="AH5102" s="831" t="s">
        <v>217</v>
      </c>
      <c r="AI5102" s="831">
        <v>0</v>
      </c>
      <c r="AJ5102" s="835">
        <v>41152</v>
      </c>
      <c r="AK5102" s="831">
        <v>0</v>
      </c>
    </row>
    <row r="5103" spans="2:37">
      <c r="B5103" s="834" t="str">
        <f t="shared" si="237"/>
        <v>|||</v>
      </c>
      <c r="H5103" s="835">
        <f t="shared" si="238"/>
        <v>31</v>
      </c>
      <c r="AF5103" s="831" t="s">
        <v>5760</v>
      </c>
      <c r="AG5103" s="831" t="s">
        <v>131</v>
      </c>
      <c r="AH5103" s="831" t="s">
        <v>223</v>
      </c>
      <c r="AI5103" s="831">
        <v>0</v>
      </c>
      <c r="AJ5103" s="835">
        <v>41152</v>
      </c>
      <c r="AK5103" s="831">
        <v>0</v>
      </c>
    </row>
    <row r="5104" spans="2:37">
      <c r="B5104" s="834" t="str">
        <f t="shared" si="237"/>
        <v>|||</v>
      </c>
      <c r="H5104" s="835">
        <f t="shared" si="238"/>
        <v>31</v>
      </c>
      <c r="AF5104" s="831" t="s">
        <v>5761</v>
      </c>
      <c r="AG5104" s="831" t="s">
        <v>131</v>
      </c>
      <c r="AH5104" s="831" t="s">
        <v>224</v>
      </c>
      <c r="AI5104" s="831">
        <v>0</v>
      </c>
      <c r="AJ5104" s="835">
        <v>41152</v>
      </c>
      <c r="AK5104" s="831">
        <v>0</v>
      </c>
    </row>
    <row r="5105" spans="2:37">
      <c r="B5105" s="834" t="str">
        <f t="shared" si="237"/>
        <v>|||</v>
      </c>
      <c r="H5105" s="835">
        <f t="shared" si="238"/>
        <v>31</v>
      </c>
      <c r="AF5105" s="831" t="s">
        <v>5762</v>
      </c>
      <c r="AG5105" s="831" t="s">
        <v>131</v>
      </c>
      <c r="AH5105" s="831" t="s">
        <v>128</v>
      </c>
      <c r="AI5105" s="831">
        <v>0</v>
      </c>
      <c r="AJ5105" s="835">
        <v>41152</v>
      </c>
      <c r="AK5105" s="831">
        <v>0</v>
      </c>
    </row>
    <row r="5106" spans="2:37">
      <c r="B5106" s="834" t="str">
        <f t="shared" si="237"/>
        <v>|||</v>
      </c>
      <c r="H5106" s="835">
        <f t="shared" si="238"/>
        <v>31</v>
      </c>
      <c r="AF5106" s="831" t="s">
        <v>5763</v>
      </c>
      <c r="AG5106" s="831" t="s">
        <v>131</v>
      </c>
      <c r="AH5106" s="831" t="s">
        <v>3237</v>
      </c>
      <c r="AI5106" s="831">
        <v>0</v>
      </c>
      <c r="AJ5106" s="835">
        <v>41152</v>
      </c>
      <c r="AK5106" s="831">
        <v>0</v>
      </c>
    </row>
    <row r="5107" spans="2:37">
      <c r="B5107" s="834" t="str">
        <f t="shared" si="237"/>
        <v>|||</v>
      </c>
      <c r="H5107" s="835">
        <f t="shared" si="238"/>
        <v>31</v>
      </c>
      <c r="AF5107" s="831" t="s">
        <v>5764</v>
      </c>
      <c r="AG5107" s="831" t="s">
        <v>131</v>
      </c>
      <c r="AH5107" s="831" t="s">
        <v>3239</v>
      </c>
      <c r="AI5107" s="831">
        <v>0</v>
      </c>
      <c r="AJ5107" s="835">
        <v>41152</v>
      </c>
      <c r="AK5107" s="831">
        <v>0</v>
      </c>
    </row>
    <row r="5108" spans="2:37">
      <c r="B5108" s="834" t="str">
        <f t="shared" si="237"/>
        <v>|||</v>
      </c>
      <c r="H5108" s="835">
        <f t="shared" si="238"/>
        <v>31</v>
      </c>
      <c r="AF5108" s="831" t="s">
        <v>5765</v>
      </c>
      <c r="AG5108" s="831" t="s">
        <v>131</v>
      </c>
      <c r="AH5108" s="831" t="s">
        <v>138</v>
      </c>
      <c r="AI5108" s="831">
        <v>0</v>
      </c>
      <c r="AJ5108" s="835">
        <v>41182</v>
      </c>
      <c r="AK5108" s="831">
        <v>64694538</v>
      </c>
    </row>
    <row r="5109" spans="2:37">
      <c r="B5109" s="834" t="str">
        <f t="shared" si="237"/>
        <v>|||</v>
      </c>
      <c r="H5109" s="835">
        <f t="shared" si="238"/>
        <v>31</v>
      </c>
      <c r="AF5109" s="831" t="s">
        <v>5766</v>
      </c>
      <c r="AG5109" s="831" t="s">
        <v>131</v>
      </c>
      <c r="AH5109" s="831" t="s">
        <v>141</v>
      </c>
      <c r="AI5109" s="831">
        <v>0</v>
      </c>
      <c r="AJ5109" s="835">
        <v>41182</v>
      </c>
      <c r="AK5109" s="831">
        <v>6573660</v>
      </c>
    </row>
    <row r="5110" spans="2:37">
      <c r="B5110" s="834" t="str">
        <f t="shared" si="237"/>
        <v>|||</v>
      </c>
      <c r="H5110" s="835">
        <f t="shared" si="238"/>
        <v>31</v>
      </c>
      <c r="AF5110" s="831" t="s">
        <v>5767</v>
      </c>
      <c r="AG5110" s="831" t="s">
        <v>131</v>
      </c>
      <c r="AH5110" s="831" t="s">
        <v>146</v>
      </c>
      <c r="AI5110" s="831">
        <v>0</v>
      </c>
      <c r="AJ5110" s="835">
        <v>41182</v>
      </c>
      <c r="AK5110" s="831">
        <v>-8946764</v>
      </c>
    </row>
    <row r="5111" spans="2:37">
      <c r="B5111" s="834" t="str">
        <f t="shared" si="237"/>
        <v>|||</v>
      </c>
      <c r="H5111" s="835">
        <f t="shared" si="238"/>
        <v>31</v>
      </c>
      <c r="AF5111" s="831" t="s">
        <v>5768</v>
      </c>
      <c r="AG5111" s="831" t="s">
        <v>131</v>
      </c>
      <c r="AH5111" s="831" t="s">
        <v>150</v>
      </c>
      <c r="AI5111" s="831">
        <v>0</v>
      </c>
      <c r="AJ5111" s="835">
        <v>41182</v>
      </c>
      <c r="AK5111" s="831">
        <v>-9738447</v>
      </c>
    </row>
    <row r="5112" spans="2:37">
      <c r="B5112" s="834" t="str">
        <f t="shared" si="237"/>
        <v>|||</v>
      </c>
      <c r="H5112" s="835">
        <f t="shared" si="238"/>
        <v>31</v>
      </c>
      <c r="AF5112" s="831" t="s">
        <v>5769</v>
      </c>
      <c r="AG5112" s="831" t="s">
        <v>131</v>
      </c>
      <c r="AH5112" s="831" t="s">
        <v>77</v>
      </c>
      <c r="AI5112" s="831">
        <v>0</v>
      </c>
      <c r="AJ5112" s="835">
        <v>41182</v>
      </c>
      <c r="AK5112" s="831">
        <v>-2323421</v>
      </c>
    </row>
    <row r="5113" spans="2:37">
      <c r="B5113" s="834" t="str">
        <f t="shared" si="237"/>
        <v>|||</v>
      </c>
      <c r="H5113" s="835">
        <f t="shared" si="238"/>
        <v>31</v>
      </c>
      <c r="AF5113" s="831" t="s">
        <v>5770</v>
      </c>
      <c r="AG5113" s="831" t="s">
        <v>131</v>
      </c>
      <c r="AH5113" s="831" t="s">
        <v>167</v>
      </c>
      <c r="AI5113" s="831">
        <v>0</v>
      </c>
      <c r="AJ5113" s="835">
        <v>41182</v>
      </c>
      <c r="AK5113" s="831">
        <v>0</v>
      </c>
    </row>
    <row r="5114" spans="2:37">
      <c r="B5114" s="834" t="str">
        <f t="shared" si="237"/>
        <v>|||</v>
      </c>
      <c r="H5114" s="835">
        <f t="shared" si="238"/>
        <v>31</v>
      </c>
      <c r="AF5114" s="831" t="s">
        <v>5771</v>
      </c>
      <c r="AG5114" s="831" t="s">
        <v>131</v>
      </c>
      <c r="AH5114" s="831" t="s">
        <v>169</v>
      </c>
      <c r="AI5114" s="831">
        <v>0</v>
      </c>
      <c r="AJ5114" s="835">
        <v>41182</v>
      </c>
      <c r="AK5114" s="831">
        <v>1627771</v>
      </c>
    </row>
    <row r="5115" spans="2:37">
      <c r="B5115" s="834" t="str">
        <f t="shared" si="237"/>
        <v>|||</v>
      </c>
      <c r="H5115" s="835">
        <f t="shared" si="238"/>
        <v>31</v>
      </c>
      <c r="AF5115" s="831" t="s">
        <v>5772</v>
      </c>
      <c r="AG5115" s="831" t="s">
        <v>131</v>
      </c>
      <c r="AH5115" s="831" t="s">
        <v>172</v>
      </c>
      <c r="AI5115" s="831">
        <v>0</v>
      </c>
      <c r="AJ5115" s="835">
        <v>41182</v>
      </c>
      <c r="AK5115" s="831">
        <v>280983</v>
      </c>
    </row>
    <row r="5116" spans="2:37">
      <c r="B5116" s="834" t="str">
        <f t="shared" si="237"/>
        <v>|||</v>
      </c>
      <c r="H5116" s="835">
        <f t="shared" si="238"/>
        <v>31</v>
      </c>
      <c r="AF5116" s="831" t="s">
        <v>5773</v>
      </c>
      <c r="AG5116" s="831" t="s">
        <v>131</v>
      </c>
      <c r="AH5116" s="831" t="s">
        <v>175</v>
      </c>
      <c r="AI5116" s="831">
        <v>0</v>
      </c>
      <c r="AJ5116" s="835">
        <v>41182</v>
      </c>
      <c r="AK5116" s="831">
        <v>426678</v>
      </c>
    </row>
    <row r="5117" spans="2:37">
      <c r="B5117" s="834" t="str">
        <f t="shared" si="237"/>
        <v>|||</v>
      </c>
      <c r="H5117" s="835">
        <f t="shared" si="238"/>
        <v>31</v>
      </c>
      <c r="AF5117" s="831" t="s">
        <v>5774</v>
      </c>
      <c r="AG5117" s="831" t="s">
        <v>131</v>
      </c>
      <c r="AH5117" s="831" t="s">
        <v>185</v>
      </c>
      <c r="AI5117" s="831">
        <v>0</v>
      </c>
      <c r="AJ5117" s="835">
        <v>41182</v>
      </c>
      <c r="AK5117" s="831">
        <v>-22566639</v>
      </c>
    </row>
    <row r="5118" spans="2:37">
      <c r="B5118" s="834" t="str">
        <f t="shared" si="237"/>
        <v>|||</v>
      </c>
      <c r="H5118" s="835">
        <f t="shared" si="238"/>
        <v>31</v>
      </c>
      <c r="AF5118" s="831" t="s">
        <v>5775</v>
      </c>
      <c r="AG5118" s="831" t="s">
        <v>131</v>
      </c>
      <c r="AH5118" s="831" t="s">
        <v>188</v>
      </c>
      <c r="AI5118" s="831">
        <v>0</v>
      </c>
      <c r="AJ5118" s="835">
        <v>41182</v>
      </c>
      <c r="AK5118" s="831">
        <v>-11469201</v>
      </c>
    </row>
    <row r="5119" spans="2:37">
      <c r="B5119" s="834" t="str">
        <f t="shared" si="237"/>
        <v>|||</v>
      </c>
      <c r="H5119" s="835">
        <f t="shared" si="238"/>
        <v>31</v>
      </c>
      <c r="AF5119" s="831" t="s">
        <v>5776</v>
      </c>
      <c r="AG5119" s="831" t="s">
        <v>131</v>
      </c>
      <c r="AH5119" s="831" t="s">
        <v>191</v>
      </c>
      <c r="AI5119" s="831">
        <v>0</v>
      </c>
      <c r="AJ5119" s="835">
        <v>41182</v>
      </c>
      <c r="AK5119" s="831">
        <v>-3451058</v>
      </c>
    </row>
    <row r="5120" spans="2:37">
      <c r="B5120" s="834" t="str">
        <f t="shared" si="237"/>
        <v>|||</v>
      </c>
      <c r="H5120" s="835">
        <f t="shared" si="238"/>
        <v>31</v>
      </c>
      <c r="AF5120" s="831" t="s">
        <v>5777</v>
      </c>
      <c r="AG5120" s="831" t="s">
        <v>131</v>
      </c>
      <c r="AH5120" s="831" t="s">
        <v>198</v>
      </c>
      <c r="AI5120" s="831">
        <v>0</v>
      </c>
      <c r="AJ5120" s="835">
        <v>41182</v>
      </c>
      <c r="AK5120" s="831">
        <v>0</v>
      </c>
    </row>
    <row r="5121" spans="2:37">
      <c r="B5121" s="834" t="str">
        <f t="shared" si="237"/>
        <v>|||</v>
      </c>
      <c r="H5121" s="835">
        <f t="shared" si="238"/>
        <v>31</v>
      </c>
      <c r="AF5121" s="831" t="s">
        <v>5778</v>
      </c>
      <c r="AG5121" s="831" t="s">
        <v>131</v>
      </c>
      <c r="AH5121" s="831" t="s">
        <v>200</v>
      </c>
      <c r="AI5121" s="831">
        <v>0</v>
      </c>
      <c r="AJ5121" s="835">
        <v>41182</v>
      </c>
      <c r="AK5121" s="831">
        <v>0</v>
      </c>
    </row>
    <row r="5122" spans="2:37">
      <c r="B5122" s="834" t="str">
        <f t="shared" si="237"/>
        <v>|||</v>
      </c>
      <c r="H5122" s="835">
        <f t="shared" si="238"/>
        <v>31</v>
      </c>
      <c r="AF5122" s="831" t="s">
        <v>5779</v>
      </c>
      <c r="AG5122" s="831" t="s">
        <v>131</v>
      </c>
      <c r="AH5122" s="831" t="s">
        <v>205</v>
      </c>
      <c r="AI5122" s="831">
        <v>0</v>
      </c>
      <c r="AJ5122" s="835">
        <v>41182</v>
      </c>
      <c r="AK5122" s="831">
        <v>-3021620</v>
      </c>
    </row>
    <row r="5123" spans="2:37">
      <c r="B5123" s="834" t="str">
        <f t="shared" ref="B5123:B5186" si="239">C5123&amp;"|"&amp;D5123&amp;"|"&amp;E5123&amp;"|"&amp;F5123</f>
        <v>|||</v>
      </c>
      <c r="H5123" s="835">
        <f t="shared" si="238"/>
        <v>31</v>
      </c>
      <c r="AF5123" s="831" t="s">
        <v>5780</v>
      </c>
      <c r="AG5123" s="831" t="s">
        <v>131</v>
      </c>
      <c r="AH5123" s="831" t="s">
        <v>122</v>
      </c>
      <c r="AI5123" s="831">
        <v>0</v>
      </c>
      <c r="AJ5123" s="835">
        <v>41182</v>
      </c>
      <c r="AK5123" s="831">
        <v>0</v>
      </c>
    </row>
    <row r="5124" spans="2:37">
      <c r="B5124" s="834" t="str">
        <f t="shared" si="239"/>
        <v>|||</v>
      </c>
      <c r="H5124" s="835">
        <f t="shared" ref="H5124:H5187" si="240">EOMONTH(L5124,0)</f>
        <v>31</v>
      </c>
      <c r="AF5124" s="831" t="s">
        <v>5781</v>
      </c>
      <c r="AG5124" s="831" t="s">
        <v>131</v>
      </c>
      <c r="AH5124" s="831" t="s">
        <v>213</v>
      </c>
      <c r="AI5124" s="831">
        <v>0</v>
      </c>
      <c r="AJ5124" s="835">
        <v>41182</v>
      </c>
      <c r="AK5124" s="831">
        <v>0</v>
      </c>
    </row>
    <row r="5125" spans="2:37">
      <c r="B5125" s="834" t="str">
        <f t="shared" si="239"/>
        <v>|||</v>
      </c>
      <c r="H5125" s="835">
        <f t="shared" si="240"/>
        <v>31</v>
      </c>
      <c r="AF5125" s="831" t="s">
        <v>5782</v>
      </c>
      <c r="AG5125" s="831" t="s">
        <v>131</v>
      </c>
      <c r="AH5125" s="831" t="s">
        <v>215</v>
      </c>
      <c r="AI5125" s="831">
        <v>0</v>
      </c>
      <c r="AJ5125" s="835">
        <v>41182</v>
      </c>
      <c r="AK5125" s="831">
        <v>0</v>
      </c>
    </row>
    <row r="5126" spans="2:37">
      <c r="B5126" s="834" t="str">
        <f t="shared" si="239"/>
        <v>|||</v>
      </c>
      <c r="H5126" s="835">
        <f t="shared" si="240"/>
        <v>31</v>
      </c>
      <c r="AF5126" s="831" t="s">
        <v>5783</v>
      </c>
      <c r="AG5126" s="831" t="s">
        <v>131</v>
      </c>
      <c r="AH5126" s="831" t="s">
        <v>217</v>
      </c>
      <c r="AI5126" s="831">
        <v>0</v>
      </c>
      <c r="AJ5126" s="835">
        <v>41182</v>
      </c>
      <c r="AK5126" s="831">
        <v>0</v>
      </c>
    </row>
    <row r="5127" spans="2:37">
      <c r="B5127" s="834" t="str">
        <f t="shared" si="239"/>
        <v>|||</v>
      </c>
      <c r="H5127" s="835">
        <f t="shared" si="240"/>
        <v>31</v>
      </c>
      <c r="AF5127" s="831" t="s">
        <v>5784</v>
      </c>
      <c r="AG5127" s="831" t="s">
        <v>131</v>
      </c>
      <c r="AH5127" s="831" t="s">
        <v>223</v>
      </c>
      <c r="AI5127" s="831">
        <v>0</v>
      </c>
      <c r="AJ5127" s="835">
        <v>41182</v>
      </c>
      <c r="AK5127" s="831">
        <v>0</v>
      </c>
    </row>
    <row r="5128" spans="2:37">
      <c r="B5128" s="834" t="str">
        <f t="shared" si="239"/>
        <v>|||</v>
      </c>
      <c r="H5128" s="835">
        <f t="shared" si="240"/>
        <v>31</v>
      </c>
      <c r="AF5128" s="831" t="s">
        <v>5785</v>
      </c>
      <c r="AG5128" s="831" t="s">
        <v>131</v>
      </c>
      <c r="AH5128" s="831" t="s">
        <v>224</v>
      </c>
      <c r="AI5128" s="831">
        <v>0</v>
      </c>
      <c r="AJ5128" s="835">
        <v>41182</v>
      </c>
      <c r="AK5128" s="831">
        <v>0</v>
      </c>
    </row>
    <row r="5129" spans="2:37">
      <c r="B5129" s="834" t="str">
        <f t="shared" si="239"/>
        <v>|||</v>
      </c>
      <c r="H5129" s="835">
        <f t="shared" si="240"/>
        <v>31</v>
      </c>
      <c r="AF5129" s="831" t="s">
        <v>5786</v>
      </c>
      <c r="AG5129" s="831" t="s">
        <v>131</v>
      </c>
      <c r="AH5129" s="831" t="s">
        <v>128</v>
      </c>
      <c r="AI5129" s="831">
        <v>0</v>
      </c>
      <c r="AJ5129" s="835">
        <v>41182</v>
      </c>
      <c r="AK5129" s="831">
        <v>0</v>
      </c>
    </row>
    <row r="5130" spans="2:37">
      <c r="B5130" s="834" t="str">
        <f t="shared" si="239"/>
        <v>|||</v>
      </c>
      <c r="H5130" s="835">
        <f t="shared" si="240"/>
        <v>31</v>
      </c>
      <c r="AF5130" s="831" t="s">
        <v>5787</v>
      </c>
      <c r="AG5130" s="831" t="s">
        <v>131</v>
      </c>
      <c r="AH5130" s="831" t="s">
        <v>3237</v>
      </c>
      <c r="AI5130" s="831">
        <v>0</v>
      </c>
      <c r="AJ5130" s="835">
        <v>41182</v>
      </c>
      <c r="AK5130" s="831">
        <v>0</v>
      </c>
    </row>
    <row r="5131" spans="2:37">
      <c r="B5131" s="834" t="str">
        <f t="shared" si="239"/>
        <v>|||</v>
      </c>
      <c r="H5131" s="835">
        <f t="shared" si="240"/>
        <v>31</v>
      </c>
      <c r="AF5131" s="831" t="s">
        <v>5788</v>
      </c>
      <c r="AG5131" s="831" t="s">
        <v>131</v>
      </c>
      <c r="AH5131" s="831" t="s">
        <v>3239</v>
      </c>
      <c r="AI5131" s="831">
        <v>0</v>
      </c>
      <c r="AJ5131" s="835">
        <v>41182</v>
      </c>
      <c r="AK5131" s="831">
        <v>0</v>
      </c>
    </row>
    <row r="5132" spans="2:37">
      <c r="B5132" s="834" t="str">
        <f t="shared" si="239"/>
        <v>|||</v>
      </c>
      <c r="H5132" s="835">
        <f t="shared" si="240"/>
        <v>31</v>
      </c>
      <c r="AF5132" s="831" t="s">
        <v>5789</v>
      </c>
      <c r="AG5132" s="831" t="s">
        <v>131</v>
      </c>
      <c r="AH5132" s="831" t="s">
        <v>138</v>
      </c>
      <c r="AI5132" s="831">
        <v>0</v>
      </c>
      <c r="AJ5132" s="835">
        <v>41213</v>
      </c>
      <c r="AK5132" s="831">
        <v>72947824</v>
      </c>
    </row>
    <row r="5133" spans="2:37">
      <c r="B5133" s="834" t="str">
        <f t="shared" si="239"/>
        <v>|||</v>
      </c>
      <c r="H5133" s="835">
        <f t="shared" si="240"/>
        <v>31</v>
      </c>
      <c r="AF5133" s="831" t="s">
        <v>5790</v>
      </c>
      <c r="AG5133" s="831" t="s">
        <v>131</v>
      </c>
      <c r="AH5133" s="831" t="s">
        <v>141</v>
      </c>
      <c r="AI5133" s="831">
        <v>0</v>
      </c>
      <c r="AJ5133" s="835">
        <v>41213</v>
      </c>
      <c r="AK5133" s="831">
        <v>7360506</v>
      </c>
    </row>
    <row r="5134" spans="2:37">
      <c r="B5134" s="834" t="str">
        <f t="shared" si="239"/>
        <v>|||</v>
      </c>
      <c r="H5134" s="835">
        <f t="shared" si="240"/>
        <v>31</v>
      </c>
      <c r="AF5134" s="831" t="s">
        <v>5791</v>
      </c>
      <c r="AG5134" s="831" t="s">
        <v>131</v>
      </c>
      <c r="AH5134" s="831" t="s">
        <v>146</v>
      </c>
      <c r="AI5134" s="831">
        <v>0</v>
      </c>
      <c r="AJ5134" s="835">
        <v>41213</v>
      </c>
      <c r="AK5134" s="831">
        <v>-10054750</v>
      </c>
    </row>
    <row r="5135" spans="2:37">
      <c r="B5135" s="834" t="str">
        <f t="shared" si="239"/>
        <v>|||</v>
      </c>
      <c r="H5135" s="835">
        <f t="shared" si="240"/>
        <v>31</v>
      </c>
      <c r="AF5135" s="831" t="s">
        <v>5792</v>
      </c>
      <c r="AG5135" s="831" t="s">
        <v>131</v>
      </c>
      <c r="AH5135" s="831" t="s">
        <v>150</v>
      </c>
      <c r="AI5135" s="831">
        <v>0</v>
      </c>
      <c r="AJ5135" s="835">
        <v>41213</v>
      </c>
      <c r="AK5135" s="831">
        <v>-10576066</v>
      </c>
    </row>
    <row r="5136" spans="2:37">
      <c r="B5136" s="834" t="str">
        <f t="shared" si="239"/>
        <v>|||</v>
      </c>
      <c r="H5136" s="835">
        <f t="shared" si="240"/>
        <v>31</v>
      </c>
      <c r="AF5136" s="831" t="s">
        <v>5793</v>
      </c>
      <c r="AG5136" s="831" t="s">
        <v>131</v>
      </c>
      <c r="AH5136" s="831" t="s">
        <v>77</v>
      </c>
      <c r="AI5136" s="831">
        <v>0</v>
      </c>
      <c r="AJ5136" s="835">
        <v>41213</v>
      </c>
      <c r="AK5136" s="831">
        <v>-2745332</v>
      </c>
    </row>
    <row r="5137" spans="2:37">
      <c r="B5137" s="834" t="str">
        <f t="shared" si="239"/>
        <v>|||</v>
      </c>
      <c r="H5137" s="835">
        <f t="shared" si="240"/>
        <v>31</v>
      </c>
      <c r="AF5137" s="831" t="s">
        <v>5794</v>
      </c>
      <c r="AG5137" s="831" t="s">
        <v>131</v>
      </c>
      <c r="AH5137" s="831" t="s">
        <v>167</v>
      </c>
      <c r="AI5137" s="831">
        <v>0</v>
      </c>
      <c r="AJ5137" s="835">
        <v>41213</v>
      </c>
      <c r="AK5137" s="831">
        <v>0</v>
      </c>
    </row>
    <row r="5138" spans="2:37">
      <c r="B5138" s="834" t="str">
        <f t="shared" si="239"/>
        <v>|||</v>
      </c>
      <c r="H5138" s="835">
        <f t="shared" si="240"/>
        <v>31</v>
      </c>
      <c r="AF5138" s="831" t="s">
        <v>5795</v>
      </c>
      <c r="AG5138" s="831" t="s">
        <v>131</v>
      </c>
      <c r="AH5138" s="831" t="s">
        <v>169</v>
      </c>
      <c r="AI5138" s="831">
        <v>0</v>
      </c>
      <c r="AJ5138" s="835">
        <v>41213</v>
      </c>
      <c r="AK5138" s="831">
        <v>1591525</v>
      </c>
    </row>
    <row r="5139" spans="2:37">
      <c r="B5139" s="834" t="str">
        <f t="shared" si="239"/>
        <v>|||</v>
      </c>
      <c r="H5139" s="835">
        <f t="shared" si="240"/>
        <v>31</v>
      </c>
      <c r="AF5139" s="831" t="s">
        <v>5796</v>
      </c>
      <c r="AG5139" s="831" t="s">
        <v>131</v>
      </c>
      <c r="AH5139" s="831" t="s">
        <v>172</v>
      </c>
      <c r="AI5139" s="831">
        <v>0</v>
      </c>
      <c r="AJ5139" s="835">
        <v>41213</v>
      </c>
      <c r="AK5139" s="831">
        <v>258542</v>
      </c>
    </row>
    <row r="5140" spans="2:37">
      <c r="B5140" s="834" t="str">
        <f t="shared" si="239"/>
        <v>|||</v>
      </c>
      <c r="H5140" s="835">
        <f t="shared" si="240"/>
        <v>31</v>
      </c>
      <c r="AF5140" s="831" t="s">
        <v>5797</v>
      </c>
      <c r="AG5140" s="831" t="s">
        <v>131</v>
      </c>
      <c r="AH5140" s="831" t="s">
        <v>175</v>
      </c>
      <c r="AI5140" s="831">
        <v>0</v>
      </c>
      <c r="AJ5140" s="835">
        <v>41213</v>
      </c>
      <c r="AK5140" s="831">
        <v>471406</v>
      </c>
    </row>
    <row r="5141" spans="2:37">
      <c r="B5141" s="834" t="str">
        <f t="shared" si="239"/>
        <v>|||</v>
      </c>
      <c r="H5141" s="835">
        <f t="shared" si="240"/>
        <v>31</v>
      </c>
      <c r="AF5141" s="831" t="s">
        <v>5798</v>
      </c>
      <c r="AG5141" s="831" t="s">
        <v>131</v>
      </c>
      <c r="AH5141" s="831" t="s">
        <v>185</v>
      </c>
      <c r="AI5141" s="831">
        <v>0</v>
      </c>
      <c r="AJ5141" s="835">
        <v>41213</v>
      </c>
      <c r="AK5141" s="831">
        <v>-24851245</v>
      </c>
    </row>
    <row r="5142" spans="2:37">
      <c r="B5142" s="834" t="str">
        <f t="shared" si="239"/>
        <v>|||</v>
      </c>
      <c r="H5142" s="835">
        <f t="shared" si="240"/>
        <v>31</v>
      </c>
      <c r="AF5142" s="831" t="s">
        <v>5799</v>
      </c>
      <c r="AG5142" s="831" t="s">
        <v>131</v>
      </c>
      <c r="AH5142" s="831" t="s">
        <v>188</v>
      </c>
      <c r="AI5142" s="831">
        <v>0</v>
      </c>
      <c r="AJ5142" s="835">
        <v>41213</v>
      </c>
      <c r="AK5142" s="831">
        <v>-12928891</v>
      </c>
    </row>
    <row r="5143" spans="2:37">
      <c r="B5143" s="834" t="str">
        <f t="shared" si="239"/>
        <v>|||</v>
      </c>
      <c r="H5143" s="835">
        <f t="shared" si="240"/>
        <v>31</v>
      </c>
      <c r="AF5143" s="831" t="s">
        <v>5800</v>
      </c>
      <c r="AG5143" s="831" t="s">
        <v>131</v>
      </c>
      <c r="AH5143" s="831" t="s">
        <v>191</v>
      </c>
      <c r="AI5143" s="831">
        <v>0</v>
      </c>
      <c r="AJ5143" s="835">
        <v>41213</v>
      </c>
      <c r="AK5143" s="831">
        <v>-3837885</v>
      </c>
    </row>
    <row r="5144" spans="2:37">
      <c r="B5144" s="834" t="str">
        <f t="shared" si="239"/>
        <v>|||</v>
      </c>
      <c r="H5144" s="835">
        <f t="shared" si="240"/>
        <v>31</v>
      </c>
      <c r="AF5144" s="831" t="s">
        <v>5801</v>
      </c>
      <c r="AG5144" s="831" t="s">
        <v>131</v>
      </c>
      <c r="AH5144" s="831" t="s">
        <v>198</v>
      </c>
      <c r="AI5144" s="831">
        <v>0</v>
      </c>
      <c r="AJ5144" s="835">
        <v>41213</v>
      </c>
      <c r="AK5144" s="831">
        <v>0</v>
      </c>
    </row>
    <row r="5145" spans="2:37">
      <c r="B5145" s="834" t="str">
        <f t="shared" si="239"/>
        <v>|||</v>
      </c>
      <c r="H5145" s="835">
        <f t="shared" si="240"/>
        <v>31</v>
      </c>
      <c r="AF5145" s="831" t="s">
        <v>5802</v>
      </c>
      <c r="AG5145" s="831" t="s">
        <v>131</v>
      </c>
      <c r="AH5145" s="831" t="s">
        <v>200</v>
      </c>
      <c r="AI5145" s="831">
        <v>0</v>
      </c>
      <c r="AJ5145" s="835">
        <v>41213</v>
      </c>
      <c r="AK5145" s="831">
        <v>0</v>
      </c>
    </row>
    <row r="5146" spans="2:37">
      <c r="B5146" s="834" t="str">
        <f t="shared" si="239"/>
        <v>|||</v>
      </c>
      <c r="H5146" s="835">
        <f t="shared" si="240"/>
        <v>31</v>
      </c>
      <c r="AF5146" s="831" t="s">
        <v>5803</v>
      </c>
      <c r="AG5146" s="831" t="s">
        <v>131</v>
      </c>
      <c r="AH5146" s="831" t="s">
        <v>205</v>
      </c>
      <c r="AI5146" s="831">
        <v>0</v>
      </c>
      <c r="AJ5146" s="835">
        <v>41213</v>
      </c>
      <c r="AK5146" s="831">
        <v>-3527127</v>
      </c>
    </row>
    <row r="5147" spans="2:37">
      <c r="B5147" s="834" t="str">
        <f t="shared" si="239"/>
        <v>|||</v>
      </c>
      <c r="H5147" s="835">
        <f t="shared" si="240"/>
        <v>31</v>
      </c>
      <c r="AF5147" s="831" t="s">
        <v>5804</v>
      </c>
      <c r="AG5147" s="831" t="s">
        <v>131</v>
      </c>
      <c r="AH5147" s="831" t="s">
        <v>122</v>
      </c>
      <c r="AI5147" s="831">
        <v>0</v>
      </c>
      <c r="AJ5147" s="835">
        <v>41213</v>
      </c>
      <c r="AK5147" s="831">
        <v>0</v>
      </c>
    </row>
    <row r="5148" spans="2:37">
      <c r="B5148" s="834" t="str">
        <f t="shared" si="239"/>
        <v>|||</v>
      </c>
      <c r="H5148" s="835">
        <f t="shared" si="240"/>
        <v>31</v>
      </c>
      <c r="AF5148" s="831" t="s">
        <v>5805</v>
      </c>
      <c r="AG5148" s="831" t="s">
        <v>131</v>
      </c>
      <c r="AH5148" s="831" t="s">
        <v>213</v>
      </c>
      <c r="AI5148" s="831">
        <v>0</v>
      </c>
      <c r="AJ5148" s="835">
        <v>41213</v>
      </c>
      <c r="AK5148" s="831">
        <v>0</v>
      </c>
    </row>
    <row r="5149" spans="2:37">
      <c r="B5149" s="834" t="str">
        <f t="shared" si="239"/>
        <v>|||</v>
      </c>
      <c r="H5149" s="835">
        <f t="shared" si="240"/>
        <v>31</v>
      </c>
      <c r="AF5149" s="831" t="s">
        <v>5806</v>
      </c>
      <c r="AG5149" s="831" t="s">
        <v>131</v>
      </c>
      <c r="AH5149" s="831" t="s">
        <v>215</v>
      </c>
      <c r="AI5149" s="831">
        <v>0</v>
      </c>
      <c r="AJ5149" s="835">
        <v>41213</v>
      </c>
      <c r="AK5149" s="831">
        <v>0</v>
      </c>
    </row>
    <row r="5150" spans="2:37">
      <c r="B5150" s="834" t="str">
        <f t="shared" si="239"/>
        <v>|||</v>
      </c>
      <c r="H5150" s="835">
        <f t="shared" si="240"/>
        <v>31</v>
      </c>
      <c r="AF5150" s="831" t="s">
        <v>5807</v>
      </c>
      <c r="AG5150" s="831" t="s">
        <v>131</v>
      </c>
      <c r="AH5150" s="831" t="s">
        <v>217</v>
      </c>
      <c r="AI5150" s="831">
        <v>0</v>
      </c>
      <c r="AJ5150" s="835">
        <v>41213</v>
      </c>
      <c r="AK5150" s="831">
        <v>0</v>
      </c>
    </row>
    <row r="5151" spans="2:37">
      <c r="B5151" s="834" t="str">
        <f t="shared" si="239"/>
        <v>|||</v>
      </c>
      <c r="H5151" s="835">
        <f t="shared" si="240"/>
        <v>31</v>
      </c>
      <c r="AF5151" s="831" t="s">
        <v>5808</v>
      </c>
      <c r="AG5151" s="831" t="s">
        <v>131</v>
      </c>
      <c r="AH5151" s="831" t="s">
        <v>223</v>
      </c>
      <c r="AI5151" s="831">
        <v>0</v>
      </c>
      <c r="AJ5151" s="835">
        <v>41213</v>
      </c>
      <c r="AK5151" s="831">
        <v>0</v>
      </c>
    </row>
    <row r="5152" spans="2:37">
      <c r="B5152" s="834" t="str">
        <f t="shared" si="239"/>
        <v>|||</v>
      </c>
      <c r="H5152" s="835">
        <f t="shared" si="240"/>
        <v>31</v>
      </c>
      <c r="AF5152" s="831" t="s">
        <v>5809</v>
      </c>
      <c r="AG5152" s="831" t="s">
        <v>131</v>
      </c>
      <c r="AH5152" s="831" t="s">
        <v>224</v>
      </c>
      <c r="AI5152" s="831">
        <v>0</v>
      </c>
      <c r="AJ5152" s="835">
        <v>41213</v>
      </c>
      <c r="AK5152" s="831">
        <v>0</v>
      </c>
    </row>
    <row r="5153" spans="2:37">
      <c r="B5153" s="834" t="str">
        <f t="shared" si="239"/>
        <v>|||</v>
      </c>
      <c r="H5153" s="835">
        <f t="shared" si="240"/>
        <v>31</v>
      </c>
      <c r="AF5153" s="831" t="s">
        <v>5810</v>
      </c>
      <c r="AG5153" s="831" t="s">
        <v>131</v>
      </c>
      <c r="AH5153" s="831" t="s">
        <v>128</v>
      </c>
      <c r="AI5153" s="831">
        <v>0</v>
      </c>
      <c r="AJ5153" s="835">
        <v>41213</v>
      </c>
      <c r="AK5153" s="831">
        <v>0</v>
      </c>
    </row>
    <row r="5154" spans="2:37">
      <c r="B5154" s="834" t="str">
        <f t="shared" si="239"/>
        <v>|||</v>
      </c>
      <c r="H5154" s="835">
        <f t="shared" si="240"/>
        <v>31</v>
      </c>
      <c r="AF5154" s="831" t="s">
        <v>5811</v>
      </c>
      <c r="AG5154" s="831" t="s">
        <v>131</v>
      </c>
      <c r="AH5154" s="831" t="s">
        <v>3237</v>
      </c>
      <c r="AI5154" s="831">
        <v>0</v>
      </c>
      <c r="AJ5154" s="835">
        <v>41213</v>
      </c>
      <c r="AK5154" s="831">
        <v>0</v>
      </c>
    </row>
    <row r="5155" spans="2:37">
      <c r="B5155" s="834" t="str">
        <f t="shared" si="239"/>
        <v>|||</v>
      </c>
      <c r="H5155" s="835">
        <f t="shared" si="240"/>
        <v>31</v>
      </c>
      <c r="AF5155" s="831" t="s">
        <v>5812</v>
      </c>
      <c r="AG5155" s="831" t="s">
        <v>131</v>
      </c>
      <c r="AH5155" s="831" t="s">
        <v>3239</v>
      </c>
      <c r="AI5155" s="831">
        <v>0</v>
      </c>
      <c r="AJ5155" s="835">
        <v>41213</v>
      </c>
      <c r="AK5155" s="831">
        <v>0</v>
      </c>
    </row>
    <row r="5156" spans="2:37">
      <c r="B5156" s="834" t="str">
        <f t="shared" si="239"/>
        <v>|||</v>
      </c>
      <c r="H5156" s="835">
        <f t="shared" si="240"/>
        <v>31</v>
      </c>
      <c r="AF5156" s="831" t="s">
        <v>5813</v>
      </c>
      <c r="AG5156" s="831" t="s">
        <v>131</v>
      </c>
      <c r="AH5156" s="831" t="s">
        <v>138</v>
      </c>
      <c r="AI5156" s="831">
        <v>0</v>
      </c>
      <c r="AJ5156" s="835">
        <v>41243</v>
      </c>
      <c r="AK5156" s="831">
        <v>81293617</v>
      </c>
    </row>
    <row r="5157" spans="2:37">
      <c r="B5157" s="834" t="str">
        <f t="shared" si="239"/>
        <v>|||</v>
      </c>
      <c r="H5157" s="835">
        <f t="shared" si="240"/>
        <v>31</v>
      </c>
      <c r="AF5157" s="831" t="s">
        <v>5814</v>
      </c>
      <c r="AG5157" s="831" t="s">
        <v>131</v>
      </c>
      <c r="AH5157" s="831" t="s">
        <v>141</v>
      </c>
      <c r="AI5157" s="831">
        <v>0</v>
      </c>
      <c r="AJ5157" s="835">
        <v>41243</v>
      </c>
      <c r="AK5157" s="831">
        <v>8217352</v>
      </c>
    </row>
    <row r="5158" spans="2:37">
      <c r="B5158" s="834" t="str">
        <f t="shared" si="239"/>
        <v>|||</v>
      </c>
      <c r="H5158" s="835">
        <f t="shared" si="240"/>
        <v>31</v>
      </c>
      <c r="AF5158" s="831" t="s">
        <v>5815</v>
      </c>
      <c r="AG5158" s="831" t="s">
        <v>131</v>
      </c>
      <c r="AH5158" s="831" t="s">
        <v>146</v>
      </c>
      <c r="AI5158" s="831">
        <v>0</v>
      </c>
      <c r="AJ5158" s="835">
        <v>41243</v>
      </c>
      <c r="AK5158" s="831">
        <v>-11171206</v>
      </c>
    </row>
    <row r="5159" spans="2:37">
      <c r="B5159" s="834" t="str">
        <f t="shared" si="239"/>
        <v>|||</v>
      </c>
      <c r="H5159" s="835">
        <f t="shared" si="240"/>
        <v>31</v>
      </c>
      <c r="AF5159" s="831" t="s">
        <v>5816</v>
      </c>
      <c r="AG5159" s="831" t="s">
        <v>131</v>
      </c>
      <c r="AH5159" s="831" t="s">
        <v>150</v>
      </c>
      <c r="AI5159" s="831">
        <v>0</v>
      </c>
      <c r="AJ5159" s="835">
        <v>41243</v>
      </c>
      <c r="AK5159" s="831">
        <v>-11410570</v>
      </c>
    </row>
    <row r="5160" spans="2:37">
      <c r="B5160" s="834" t="str">
        <f t="shared" si="239"/>
        <v>|||</v>
      </c>
      <c r="H5160" s="835">
        <f t="shared" si="240"/>
        <v>31</v>
      </c>
      <c r="AF5160" s="831" t="s">
        <v>5817</v>
      </c>
      <c r="AG5160" s="831" t="s">
        <v>131</v>
      </c>
      <c r="AH5160" s="831" t="s">
        <v>77</v>
      </c>
      <c r="AI5160" s="831">
        <v>0</v>
      </c>
      <c r="AJ5160" s="835">
        <v>41243</v>
      </c>
      <c r="AK5160" s="831">
        <v>-2828993</v>
      </c>
    </row>
    <row r="5161" spans="2:37">
      <c r="B5161" s="834" t="str">
        <f t="shared" si="239"/>
        <v>|||</v>
      </c>
      <c r="H5161" s="835">
        <f t="shared" si="240"/>
        <v>31</v>
      </c>
      <c r="AF5161" s="831" t="s">
        <v>5818</v>
      </c>
      <c r="AG5161" s="831" t="s">
        <v>131</v>
      </c>
      <c r="AH5161" s="831" t="s">
        <v>167</v>
      </c>
      <c r="AI5161" s="831">
        <v>0</v>
      </c>
      <c r="AJ5161" s="835">
        <v>41243</v>
      </c>
      <c r="AK5161" s="831">
        <v>0</v>
      </c>
    </row>
    <row r="5162" spans="2:37">
      <c r="B5162" s="834" t="str">
        <f t="shared" si="239"/>
        <v>|||</v>
      </c>
      <c r="H5162" s="835">
        <f t="shared" si="240"/>
        <v>31</v>
      </c>
      <c r="AF5162" s="831" t="s">
        <v>5819</v>
      </c>
      <c r="AG5162" s="831" t="s">
        <v>131</v>
      </c>
      <c r="AH5162" s="831" t="s">
        <v>169</v>
      </c>
      <c r="AI5162" s="831">
        <v>0</v>
      </c>
      <c r="AJ5162" s="835">
        <v>41243</v>
      </c>
      <c r="AK5162" s="831">
        <v>1726847</v>
      </c>
    </row>
    <row r="5163" spans="2:37">
      <c r="B5163" s="834" t="str">
        <f t="shared" si="239"/>
        <v>|||</v>
      </c>
      <c r="H5163" s="835">
        <f t="shared" si="240"/>
        <v>31</v>
      </c>
      <c r="AF5163" s="831" t="s">
        <v>5820</v>
      </c>
      <c r="AG5163" s="831" t="s">
        <v>131</v>
      </c>
      <c r="AH5163" s="831" t="s">
        <v>172</v>
      </c>
      <c r="AI5163" s="831">
        <v>0</v>
      </c>
      <c r="AJ5163" s="835">
        <v>41243</v>
      </c>
      <c r="AK5163" s="831">
        <v>271892</v>
      </c>
    </row>
    <row r="5164" spans="2:37">
      <c r="B5164" s="834" t="str">
        <f t="shared" si="239"/>
        <v>|||</v>
      </c>
      <c r="H5164" s="835">
        <f t="shared" si="240"/>
        <v>31</v>
      </c>
      <c r="AF5164" s="831" t="s">
        <v>5821</v>
      </c>
      <c r="AG5164" s="831" t="s">
        <v>131</v>
      </c>
      <c r="AH5164" s="831" t="s">
        <v>175</v>
      </c>
      <c r="AI5164" s="831">
        <v>0</v>
      </c>
      <c r="AJ5164" s="835">
        <v>41243</v>
      </c>
      <c r="AK5164" s="831">
        <v>532370</v>
      </c>
    </row>
    <row r="5165" spans="2:37">
      <c r="B5165" s="834" t="str">
        <f t="shared" si="239"/>
        <v>|||</v>
      </c>
      <c r="H5165" s="835">
        <f t="shared" si="240"/>
        <v>31</v>
      </c>
      <c r="AF5165" s="831" t="s">
        <v>5822</v>
      </c>
      <c r="AG5165" s="831" t="s">
        <v>131</v>
      </c>
      <c r="AH5165" s="831" t="s">
        <v>185</v>
      </c>
      <c r="AI5165" s="831">
        <v>0</v>
      </c>
      <c r="AJ5165" s="835">
        <v>41243</v>
      </c>
      <c r="AK5165" s="831">
        <v>-27222725</v>
      </c>
    </row>
    <row r="5166" spans="2:37">
      <c r="B5166" s="834" t="str">
        <f t="shared" si="239"/>
        <v>|||</v>
      </c>
      <c r="H5166" s="835">
        <f t="shared" si="240"/>
        <v>31</v>
      </c>
      <c r="AF5166" s="831" t="s">
        <v>5823</v>
      </c>
      <c r="AG5166" s="831" t="s">
        <v>131</v>
      </c>
      <c r="AH5166" s="831" t="s">
        <v>188</v>
      </c>
      <c r="AI5166" s="831">
        <v>0</v>
      </c>
      <c r="AJ5166" s="835">
        <v>41243</v>
      </c>
      <c r="AK5166" s="831">
        <v>-14505547</v>
      </c>
    </row>
    <row r="5167" spans="2:37">
      <c r="B5167" s="834" t="str">
        <f t="shared" si="239"/>
        <v>|||</v>
      </c>
      <c r="H5167" s="835">
        <f t="shared" si="240"/>
        <v>31</v>
      </c>
      <c r="AF5167" s="831" t="s">
        <v>5824</v>
      </c>
      <c r="AG5167" s="831" t="s">
        <v>131</v>
      </c>
      <c r="AH5167" s="831" t="s">
        <v>191</v>
      </c>
      <c r="AI5167" s="831">
        <v>0</v>
      </c>
      <c r="AJ5167" s="835">
        <v>41243</v>
      </c>
      <c r="AK5167" s="831">
        <v>-4235637</v>
      </c>
    </row>
    <row r="5168" spans="2:37">
      <c r="B5168" s="834" t="str">
        <f t="shared" si="239"/>
        <v>|||</v>
      </c>
      <c r="H5168" s="835">
        <f t="shared" si="240"/>
        <v>31</v>
      </c>
      <c r="AF5168" s="831" t="s">
        <v>5825</v>
      </c>
      <c r="AG5168" s="831" t="s">
        <v>131</v>
      </c>
      <c r="AH5168" s="831" t="s">
        <v>198</v>
      </c>
      <c r="AI5168" s="831">
        <v>0</v>
      </c>
      <c r="AJ5168" s="835">
        <v>41243</v>
      </c>
      <c r="AK5168" s="831">
        <v>0</v>
      </c>
    </row>
    <row r="5169" spans="2:37">
      <c r="B5169" s="834" t="str">
        <f t="shared" si="239"/>
        <v>|||</v>
      </c>
      <c r="H5169" s="835">
        <f t="shared" si="240"/>
        <v>31</v>
      </c>
      <c r="AF5169" s="831" t="s">
        <v>5826</v>
      </c>
      <c r="AG5169" s="831" t="s">
        <v>131</v>
      </c>
      <c r="AH5169" s="831" t="s">
        <v>200</v>
      </c>
      <c r="AI5169" s="831">
        <v>0</v>
      </c>
      <c r="AJ5169" s="835">
        <v>41243</v>
      </c>
      <c r="AK5169" s="831">
        <v>0</v>
      </c>
    </row>
    <row r="5170" spans="2:37">
      <c r="B5170" s="834" t="str">
        <f t="shared" si="239"/>
        <v>|||</v>
      </c>
      <c r="H5170" s="835">
        <f t="shared" si="240"/>
        <v>31</v>
      </c>
      <c r="AF5170" s="831" t="s">
        <v>5827</v>
      </c>
      <c r="AG5170" s="831" t="s">
        <v>131</v>
      </c>
      <c r="AH5170" s="831" t="s">
        <v>205</v>
      </c>
      <c r="AI5170" s="831">
        <v>0</v>
      </c>
      <c r="AJ5170" s="835">
        <v>41243</v>
      </c>
      <c r="AK5170" s="831">
        <v>-4133497</v>
      </c>
    </row>
    <row r="5171" spans="2:37">
      <c r="B5171" s="834" t="str">
        <f t="shared" si="239"/>
        <v>|||</v>
      </c>
      <c r="H5171" s="835">
        <f t="shared" si="240"/>
        <v>31</v>
      </c>
      <c r="AF5171" s="831" t="s">
        <v>5828</v>
      </c>
      <c r="AG5171" s="831" t="s">
        <v>131</v>
      </c>
      <c r="AH5171" s="831" t="s">
        <v>122</v>
      </c>
      <c r="AI5171" s="831">
        <v>0</v>
      </c>
      <c r="AJ5171" s="835">
        <v>41243</v>
      </c>
      <c r="AK5171" s="831">
        <v>0</v>
      </c>
    </row>
    <row r="5172" spans="2:37">
      <c r="B5172" s="834" t="str">
        <f t="shared" si="239"/>
        <v>|||</v>
      </c>
      <c r="H5172" s="835">
        <f t="shared" si="240"/>
        <v>31</v>
      </c>
      <c r="AF5172" s="831" t="s">
        <v>5829</v>
      </c>
      <c r="AG5172" s="831" t="s">
        <v>131</v>
      </c>
      <c r="AH5172" s="831" t="s">
        <v>213</v>
      </c>
      <c r="AI5172" s="831">
        <v>0</v>
      </c>
      <c r="AJ5172" s="835">
        <v>41243</v>
      </c>
      <c r="AK5172" s="831">
        <v>0</v>
      </c>
    </row>
    <row r="5173" spans="2:37">
      <c r="B5173" s="834" t="str">
        <f t="shared" si="239"/>
        <v>|||</v>
      </c>
      <c r="H5173" s="835">
        <f t="shared" si="240"/>
        <v>31</v>
      </c>
      <c r="AF5173" s="831" t="s">
        <v>5830</v>
      </c>
      <c r="AG5173" s="831" t="s">
        <v>131</v>
      </c>
      <c r="AH5173" s="831" t="s">
        <v>215</v>
      </c>
      <c r="AI5173" s="831">
        <v>0</v>
      </c>
      <c r="AJ5173" s="835">
        <v>41243</v>
      </c>
      <c r="AK5173" s="831">
        <v>0</v>
      </c>
    </row>
    <row r="5174" spans="2:37">
      <c r="B5174" s="834" t="str">
        <f t="shared" si="239"/>
        <v>|||</v>
      </c>
      <c r="H5174" s="835">
        <f t="shared" si="240"/>
        <v>31</v>
      </c>
      <c r="AF5174" s="831" t="s">
        <v>5831</v>
      </c>
      <c r="AG5174" s="831" t="s">
        <v>131</v>
      </c>
      <c r="AH5174" s="831" t="s">
        <v>217</v>
      </c>
      <c r="AI5174" s="831">
        <v>0</v>
      </c>
      <c r="AJ5174" s="835">
        <v>41243</v>
      </c>
      <c r="AK5174" s="831">
        <v>0</v>
      </c>
    </row>
    <row r="5175" spans="2:37">
      <c r="B5175" s="834" t="str">
        <f t="shared" si="239"/>
        <v>|||</v>
      </c>
      <c r="H5175" s="835">
        <f t="shared" si="240"/>
        <v>31</v>
      </c>
      <c r="AF5175" s="831" t="s">
        <v>5832</v>
      </c>
      <c r="AG5175" s="831" t="s">
        <v>131</v>
      </c>
      <c r="AH5175" s="831" t="s">
        <v>223</v>
      </c>
      <c r="AI5175" s="831">
        <v>0</v>
      </c>
      <c r="AJ5175" s="835">
        <v>41243</v>
      </c>
      <c r="AK5175" s="831">
        <v>0</v>
      </c>
    </row>
    <row r="5176" spans="2:37">
      <c r="B5176" s="834" t="str">
        <f t="shared" si="239"/>
        <v>|||</v>
      </c>
      <c r="H5176" s="835">
        <f t="shared" si="240"/>
        <v>31</v>
      </c>
      <c r="AF5176" s="831" t="s">
        <v>5833</v>
      </c>
      <c r="AG5176" s="831" t="s">
        <v>131</v>
      </c>
      <c r="AH5176" s="831" t="s">
        <v>224</v>
      </c>
      <c r="AI5176" s="831">
        <v>0</v>
      </c>
      <c r="AJ5176" s="835">
        <v>41243</v>
      </c>
      <c r="AK5176" s="831">
        <v>0</v>
      </c>
    </row>
    <row r="5177" spans="2:37">
      <c r="B5177" s="834" t="str">
        <f t="shared" si="239"/>
        <v>|||</v>
      </c>
      <c r="H5177" s="835">
        <f t="shared" si="240"/>
        <v>31</v>
      </c>
      <c r="AF5177" s="831" t="s">
        <v>5834</v>
      </c>
      <c r="AG5177" s="831" t="s">
        <v>131</v>
      </c>
      <c r="AH5177" s="831" t="s">
        <v>128</v>
      </c>
      <c r="AI5177" s="831">
        <v>0</v>
      </c>
      <c r="AJ5177" s="835">
        <v>41243</v>
      </c>
      <c r="AK5177" s="831">
        <v>0</v>
      </c>
    </row>
    <row r="5178" spans="2:37">
      <c r="B5178" s="834" t="str">
        <f t="shared" si="239"/>
        <v>|||</v>
      </c>
      <c r="H5178" s="835">
        <f t="shared" si="240"/>
        <v>31</v>
      </c>
      <c r="AF5178" s="831" t="s">
        <v>5835</v>
      </c>
      <c r="AG5178" s="831" t="s">
        <v>131</v>
      </c>
      <c r="AH5178" s="831" t="s">
        <v>3237</v>
      </c>
      <c r="AI5178" s="831">
        <v>0</v>
      </c>
      <c r="AJ5178" s="835">
        <v>41243</v>
      </c>
      <c r="AK5178" s="831">
        <v>0</v>
      </c>
    </row>
    <row r="5179" spans="2:37">
      <c r="B5179" s="834" t="str">
        <f t="shared" si="239"/>
        <v>|||</v>
      </c>
      <c r="H5179" s="835">
        <f t="shared" si="240"/>
        <v>31</v>
      </c>
      <c r="AF5179" s="831" t="s">
        <v>5836</v>
      </c>
      <c r="AG5179" s="831" t="s">
        <v>131</v>
      </c>
      <c r="AH5179" s="831" t="s">
        <v>3239</v>
      </c>
      <c r="AI5179" s="831">
        <v>0</v>
      </c>
      <c r="AJ5179" s="835">
        <v>41243</v>
      </c>
      <c r="AK5179" s="831">
        <v>0</v>
      </c>
    </row>
    <row r="5180" spans="2:37">
      <c r="B5180" s="834" t="str">
        <f t="shared" si="239"/>
        <v>|||</v>
      </c>
      <c r="H5180" s="835">
        <f t="shared" si="240"/>
        <v>31</v>
      </c>
      <c r="AF5180" s="831" t="s">
        <v>5837</v>
      </c>
      <c r="AG5180" s="831" t="s">
        <v>131</v>
      </c>
      <c r="AH5180" s="831" t="s">
        <v>138</v>
      </c>
      <c r="AI5180" s="831">
        <v>0</v>
      </c>
      <c r="AJ5180" s="835">
        <v>41274</v>
      </c>
      <c r="AK5180" s="831">
        <v>89739727</v>
      </c>
    </row>
    <row r="5181" spans="2:37">
      <c r="B5181" s="834" t="str">
        <f t="shared" si="239"/>
        <v>|||</v>
      </c>
      <c r="H5181" s="835">
        <f t="shared" si="240"/>
        <v>31</v>
      </c>
      <c r="AF5181" s="831" t="s">
        <v>5838</v>
      </c>
      <c r="AG5181" s="831" t="s">
        <v>131</v>
      </c>
      <c r="AH5181" s="831" t="s">
        <v>141</v>
      </c>
      <c r="AI5181" s="831">
        <v>0</v>
      </c>
      <c r="AJ5181" s="835">
        <v>41274</v>
      </c>
      <c r="AK5181" s="831">
        <v>9136653</v>
      </c>
    </row>
    <row r="5182" spans="2:37">
      <c r="B5182" s="834" t="str">
        <f t="shared" si="239"/>
        <v>|||</v>
      </c>
      <c r="H5182" s="835">
        <f t="shared" si="240"/>
        <v>31</v>
      </c>
      <c r="AF5182" s="831" t="s">
        <v>5839</v>
      </c>
      <c r="AG5182" s="831" t="s">
        <v>131</v>
      </c>
      <c r="AH5182" s="831" t="s">
        <v>146</v>
      </c>
      <c r="AI5182" s="831">
        <v>0</v>
      </c>
      <c r="AJ5182" s="835">
        <v>41274</v>
      </c>
      <c r="AK5182" s="831">
        <v>-12328705</v>
      </c>
    </row>
    <row r="5183" spans="2:37">
      <c r="B5183" s="834" t="str">
        <f t="shared" si="239"/>
        <v>|||</v>
      </c>
      <c r="H5183" s="835">
        <f t="shared" si="240"/>
        <v>31</v>
      </c>
      <c r="AF5183" s="831" t="s">
        <v>5840</v>
      </c>
      <c r="AG5183" s="831" t="s">
        <v>131</v>
      </c>
      <c r="AH5183" s="831" t="s">
        <v>150</v>
      </c>
      <c r="AI5183" s="831">
        <v>0</v>
      </c>
      <c r="AJ5183" s="835">
        <v>41274</v>
      </c>
      <c r="AK5183" s="831">
        <v>-12449245</v>
      </c>
    </row>
    <row r="5184" spans="2:37">
      <c r="B5184" s="834" t="str">
        <f t="shared" si="239"/>
        <v>|||</v>
      </c>
      <c r="H5184" s="835">
        <f t="shared" si="240"/>
        <v>31</v>
      </c>
      <c r="AF5184" s="831" t="s">
        <v>5841</v>
      </c>
      <c r="AG5184" s="831" t="s">
        <v>131</v>
      </c>
      <c r="AH5184" s="831" t="s">
        <v>77</v>
      </c>
      <c r="AI5184" s="831">
        <v>0</v>
      </c>
      <c r="AJ5184" s="835">
        <v>41274</v>
      </c>
      <c r="AK5184" s="831">
        <v>-3124387</v>
      </c>
    </row>
    <row r="5185" spans="2:37">
      <c r="B5185" s="834" t="str">
        <f t="shared" si="239"/>
        <v>|||</v>
      </c>
      <c r="H5185" s="835">
        <f t="shared" si="240"/>
        <v>31</v>
      </c>
      <c r="AF5185" s="831" t="s">
        <v>5842</v>
      </c>
      <c r="AG5185" s="831" t="s">
        <v>131</v>
      </c>
      <c r="AH5185" s="831" t="s">
        <v>167</v>
      </c>
      <c r="AI5185" s="831">
        <v>0</v>
      </c>
      <c r="AJ5185" s="835">
        <v>41274</v>
      </c>
      <c r="AK5185" s="831">
        <v>0</v>
      </c>
    </row>
    <row r="5186" spans="2:37">
      <c r="B5186" s="834" t="str">
        <f t="shared" si="239"/>
        <v>|||</v>
      </c>
      <c r="H5186" s="835">
        <f t="shared" si="240"/>
        <v>31</v>
      </c>
      <c r="AF5186" s="831" t="s">
        <v>5843</v>
      </c>
      <c r="AG5186" s="831" t="s">
        <v>131</v>
      </c>
      <c r="AH5186" s="831" t="s">
        <v>169</v>
      </c>
      <c r="AI5186" s="831">
        <v>0</v>
      </c>
      <c r="AJ5186" s="835">
        <v>41274</v>
      </c>
      <c r="AK5186" s="831">
        <v>2178270</v>
      </c>
    </row>
    <row r="5187" spans="2:37">
      <c r="B5187" s="834" t="str">
        <f t="shared" ref="B5187:B5250" si="241">C5187&amp;"|"&amp;D5187&amp;"|"&amp;E5187&amp;"|"&amp;F5187</f>
        <v>|||</v>
      </c>
      <c r="H5187" s="835">
        <f t="shared" si="240"/>
        <v>31</v>
      </c>
      <c r="AF5187" s="831" t="s">
        <v>5844</v>
      </c>
      <c r="AG5187" s="831" t="s">
        <v>131</v>
      </c>
      <c r="AH5187" s="831" t="s">
        <v>172</v>
      </c>
      <c r="AI5187" s="831">
        <v>0</v>
      </c>
      <c r="AJ5187" s="835">
        <v>41274</v>
      </c>
      <c r="AK5187" s="831">
        <v>274768</v>
      </c>
    </row>
    <row r="5188" spans="2:37">
      <c r="B5188" s="834" t="str">
        <f t="shared" si="241"/>
        <v>|||</v>
      </c>
      <c r="H5188" s="835">
        <f t="shared" ref="H5188:H5251" si="242">EOMONTH(L5188,0)</f>
        <v>31</v>
      </c>
      <c r="AF5188" s="831" t="s">
        <v>5845</v>
      </c>
      <c r="AG5188" s="831" t="s">
        <v>131</v>
      </c>
      <c r="AH5188" s="831" t="s">
        <v>175</v>
      </c>
      <c r="AI5188" s="831">
        <v>0</v>
      </c>
      <c r="AJ5188" s="835">
        <v>41274</v>
      </c>
      <c r="AK5188" s="831">
        <v>216557</v>
      </c>
    </row>
    <row r="5189" spans="2:37">
      <c r="B5189" s="834" t="str">
        <f t="shared" si="241"/>
        <v>|||</v>
      </c>
      <c r="H5189" s="835">
        <f t="shared" si="242"/>
        <v>31</v>
      </c>
      <c r="AF5189" s="831" t="s">
        <v>5846</v>
      </c>
      <c r="AG5189" s="831" t="s">
        <v>131</v>
      </c>
      <c r="AH5189" s="831" t="s">
        <v>185</v>
      </c>
      <c r="AI5189" s="831">
        <v>0</v>
      </c>
      <c r="AJ5189" s="835">
        <v>41274</v>
      </c>
      <c r="AK5189" s="831">
        <v>-32233955</v>
      </c>
    </row>
    <row r="5190" spans="2:37">
      <c r="B5190" s="834" t="str">
        <f t="shared" si="241"/>
        <v>|||</v>
      </c>
      <c r="H5190" s="835">
        <f t="shared" si="242"/>
        <v>31</v>
      </c>
      <c r="AF5190" s="831" t="s">
        <v>5847</v>
      </c>
      <c r="AG5190" s="831" t="s">
        <v>131</v>
      </c>
      <c r="AH5190" s="831" t="s">
        <v>188</v>
      </c>
      <c r="AI5190" s="831">
        <v>0</v>
      </c>
      <c r="AJ5190" s="835">
        <v>41274</v>
      </c>
      <c r="AK5190" s="831">
        <v>-16602121</v>
      </c>
    </row>
    <row r="5191" spans="2:37">
      <c r="B5191" s="834" t="str">
        <f t="shared" si="241"/>
        <v>|||</v>
      </c>
      <c r="H5191" s="835">
        <f t="shared" si="242"/>
        <v>31</v>
      </c>
      <c r="AF5191" s="831" t="s">
        <v>5848</v>
      </c>
      <c r="AG5191" s="831" t="s">
        <v>131</v>
      </c>
      <c r="AH5191" s="831" t="s">
        <v>191</v>
      </c>
      <c r="AI5191" s="831">
        <v>0</v>
      </c>
      <c r="AJ5191" s="835">
        <v>41274</v>
      </c>
      <c r="AK5191" s="831">
        <v>-4481995</v>
      </c>
    </row>
    <row r="5192" spans="2:37">
      <c r="B5192" s="834" t="str">
        <f t="shared" si="241"/>
        <v>|||</v>
      </c>
      <c r="H5192" s="835">
        <f t="shared" si="242"/>
        <v>31</v>
      </c>
      <c r="AF5192" s="831" t="s">
        <v>5849</v>
      </c>
      <c r="AG5192" s="831" t="s">
        <v>131</v>
      </c>
      <c r="AH5192" s="831" t="s">
        <v>198</v>
      </c>
      <c r="AI5192" s="831">
        <v>0</v>
      </c>
      <c r="AJ5192" s="835">
        <v>41274</v>
      </c>
      <c r="AK5192" s="831">
        <v>0</v>
      </c>
    </row>
    <row r="5193" spans="2:37">
      <c r="B5193" s="834" t="str">
        <f t="shared" si="241"/>
        <v>|||</v>
      </c>
      <c r="H5193" s="835">
        <f t="shared" si="242"/>
        <v>31</v>
      </c>
      <c r="AF5193" s="831" t="s">
        <v>5850</v>
      </c>
      <c r="AG5193" s="831" t="s">
        <v>131</v>
      </c>
      <c r="AH5193" s="831" t="s">
        <v>200</v>
      </c>
      <c r="AI5193" s="831">
        <v>0</v>
      </c>
      <c r="AJ5193" s="835">
        <v>41274</v>
      </c>
      <c r="AK5193" s="831">
        <v>0</v>
      </c>
    </row>
    <row r="5194" spans="2:37">
      <c r="B5194" s="834" t="str">
        <f t="shared" si="241"/>
        <v>|||</v>
      </c>
      <c r="H5194" s="835">
        <f t="shared" si="242"/>
        <v>31</v>
      </c>
      <c r="AF5194" s="831" t="s">
        <v>5851</v>
      </c>
      <c r="AG5194" s="831" t="s">
        <v>131</v>
      </c>
      <c r="AH5194" s="831" t="s">
        <v>205</v>
      </c>
      <c r="AI5194" s="831">
        <v>0</v>
      </c>
      <c r="AJ5194" s="835">
        <v>41274</v>
      </c>
      <c r="AK5194" s="831">
        <v>-4485616</v>
      </c>
    </row>
    <row r="5195" spans="2:37">
      <c r="B5195" s="834" t="str">
        <f t="shared" si="241"/>
        <v>|||</v>
      </c>
      <c r="H5195" s="835">
        <f t="shared" si="242"/>
        <v>31</v>
      </c>
      <c r="AF5195" s="831" t="s">
        <v>5852</v>
      </c>
      <c r="AG5195" s="831" t="s">
        <v>131</v>
      </c>
      <c r="AH5195" s="831" t="s">
        <v>122</v>
      </c>
      <c r="AI5195" s="831">
        <v>0</v>
      </c>
      <c r="AJ5195" s="835">
        <v>41274</v>
      </c>
      <c r="AK5195" s="831">
        <v>0</v>
      </c>
    </row>
    <row r="5196" spans="2:37">
      <c r="B5196" s="834" t="str">
        <f t="shared" si="241"/>
        <v>|||</v>
      </c>
      <c r="H5196" s="835">
        <f t="shared" si="242"/>
        <v>31</v>
      </c>
      <c r="AF5196" s="831" t="s">
        <v>5853</v>
      </c>
      <c r="AG5196" s="831" t="s">
        <v>131</v>
      </c>
      <c r="AH5196" s="831" t="s">
        <v>213</v>
      </c>
      <c r="AI5196" s="831">
        <v>0</v>
      </c>
      <c r="AJ5196" s="835">
        <v>41274</v>
      </c>
      <c r="AK5196" s="831">
        <v>0</v>
      </c>
    </row>
    <row r="5197" spans="2:37">
      <c r="B5197" s="834" t="str">
        <f t="shared" si="241"/>
        <v>|||</v>
      </c>
      <c r="H5197" s="835">
        <f t="shared" si="242"/>
        <v>31</v>
      </c>
      <c r="AF5197" s="831" t="s">
        <v>5854</v>
      </c>
      <c r="AG5197" s="831" t="s">
        <v>131</v>
      </c>
      <c r="AH5197" s="831" t="s">
        <v>215</v>
      </c>
      <c r="AI5197" s="831">
        <v>0</v>
      </c>
      <c r="AJ5197" s="835">
        <v>41274</v>
      </c>
      <c r="AK5197" s="831">
        <v>0</v>
      </c>
    </row>
    <row r="5198" spans="2:37">
      <c r="B5198" s="834" t="str">
        <f t="shared" si="241"/>
        <v>|||</v>
      </c>
      <c r="H5198" s="835">
        <f t="shared" si="242"/>
        <v>31</v>
      </c>
      <c r="AF5198" s="831" t="s">
        <v>5855</v>
      </c>
      <c r="AG5198" s="831" t="s">
        <v>131</v>
      </c>
      <c r="AH5198" s="831" t="s">
        <v>217</v>
      </c>
      <c r="AI5198" s="831">
        <v>0</v>
      </c>
      <c r="AJ5198" s="835">
        <v>41274</v>
      </c>
      <c r="AK5198" s="831">
        <v>0</v>
      </c>
    </row>
    <row r="5199" spans="2:37">
      <c r="B5199" s="834" t="str">
        <f t="shared" si="241"/>
        <v>|||</v>
      </c>
      <c r="H5199" s="835">
        <f t="shared" si="242"/>
        <v>31</v>
      </c>
      <c r="AF5199" s="831" t="s">
        <v>5856</v>
      </c>
      <c r="AG5199" s="831" t="s">
        <v>131</v>
      </c>
      <c r="AH5199" s="831" t="s">
        <v>223</v>
      </c>
      <c r="AI5199" s="831">
        <v>0</v>
      </c>
      <c r="AJ5199" s="835">
        <v>41274</v>
      </c>
      <c r="AK5199" s="831">
        <v>0</v>
      </c>
    </row>
    <row r="5200" spans="2:37">
      <c r="B5200" s="834" t="str">
        <f t="shared" si="241"/>
        <v>|||</v>
      </c>
      <c r="H5200" s="835">
        <f t="shared" si="242"/>
        <v>31</v>
      </c>
      <c r="AF5200" s="831" t="s">
        <v>5857</v>
      </c>
      <c r="AG5200" s="831" t="s">
        <v>131</v>
      </c>
      <c r="AH5200" s="831" t="s">
        <v>224</v>
      </c>
      <c r="AI5200" s="831">
        <v>0</v>
      </c>
      <c r="AJ5200" s="835">
        <v>41274</v>
      </c>
      <c r="AK5200" s="831">
        <v>0</v>
      </c>
    </row>
    <row r="5201" spans="2:37">
      <c r="B5201" s="834" t="str">
        <f t="shared" si="241"/>
        <v>|||</v>
      </c>
      <c r="H5201" s="835">
        <f t="shared" si="242"/>
        <v>31</v>
      </c>
      <c r="AF5201" s="831" t="s">
        <v>5858</v>
      </c>
      <c r="AG5201" s="831" t="s">
        <v>131</v>
      </c>
      <c r="AH5201" s="831" t="s">
        <v>128</v>
      </c>
      <c r="AI5201" s="831">
        <v>0</v>
      </c>
      <c r="AJ5201" s="835">
        <v>41274</v>
      </c>
      <c r="AK5201" s="831">
        <v>0</v>
      </c>
    </row>
    <row r="5202" spans="2:37">
      <c r="B5202" s="834" t="str">
        <f t="shared" si="241"/>
        <v>|||</v>
      </c>
      <c r="H5202" s="835">
        <f t="shared" si="242"/>
        <v>31</v>
      </c>
      <c r="AF5202" s="831" t="s">
        <v>5859</v>
      </c>
      <c r="AG5202" s="831" t="s">
        <v>131</v>
      </c>
      <c r="AH5202" s="831" t="s">
        <v>3237</v>
      </c>
      <c r="AI5202" s="831">
        <v>0</v>
      </c>
      <c r="AJ5202" s="835">
        <v>41274</v>
      </c>
      <c r="AK5202" s="831">
        <v>0</v>
      </c>
    </row>
    <row r="5203" spans="2:37">
      <c r="B5203" s="834" t="str">
        <f t="shared" si="241"/>
        <v>|||</v>
      </c>
      <c r="H5203" s="835">
        <f t="shared" si="242"/>
        <v>31</v>
      </c>
      <c r="AF5203" s="831" t="s">
        <v>5860</v>
      </c>
      <c r="AG5203" s="831" t="s">
        <v>131</v>
      </c>
      <c r="AH5203" s="831" t="s">
        <v>3239</v>
      </c>
      <c r="AI5203" s="831">
        <v>0</v>
      </c>
      <c r="AJ5203" s="835">
        <v>41274</v>
      </c>
      <c r="AK5203" s="831">
        <v>0</v>
      </c>
    </row>
    <row r="5204" spans="2:37">
      <c r="B5204" s="834" t="str">
        <f t="shared" si="241"/>
        <v>|||</v>
      </c>
      <c r="H5204" s="835">
        <f t="shared" si="242"/>
        <v>31</v>
      </c>
      <c r="AF5204" s="831" t="s">
        <v>5861</v>
      </c>
      <c r="AG5204" s="831" t="s">
        <v>132</v>
      </c>
      <c r="AH5204" s="831" t="s">
        <v>68</v>
      </c>
      <c r="AI5204" s="831">
        <v>0</v>
      </c>
      <c r="AJ5204" s="835">
        <v>40574</v>
      </c>
      <c r="AK5204" s="831">
        <v>0</v>
      </c>
    </row>
    <row r="5205" spans="2:37">
      <c r="B5205" s="834" t="str">
        <f t="shared" si="241"/>
        <v>|||</v>
      </c>
      <c r="H5205" s="835">
        <f t="shared" si="242"/>
        <v>31</v>
      </c>
      <c r="AF5205" s="831" t="s">
        <v>5862</v>
      </c>
      <c r="AG5205" s="831" t="s">
        <v>132</v>
      </c>
      <c r="AH5205" s="831" t="s">
        <v>73</v>
      </c>
      <c r="AI5205" s="831">
        <v>0</v>
      </c>
      <c r="AJ5205" s="835">
        <v>40574</v>
      </c>
      <c r="AK5205" s="831">
        <v>0</v>
      </c>
    </row>
    <row r="5206" spans="2:37">
      <c r="B5206" s="834" t="str">
        <f t="shared" si="241"/>
        <v>|||</v>
      </c>
      <c r="H5206" s="835">
        <f t="shared" si="242"/>
        <v>31</v>
      </c>
      <c r="AF5206" s="831" t="s">
        <v>5863</v>
      </c>
      <c r="AG5206" s="831" t="s">
        <v>132</v>
      </c>
      <c r="AH5206" s="831" t="s">
        <v>147</v>
      </c>
      <c r="AI5206" s="831">
        <v>0</v>
      </c>
      <c r="AJ5206" s="835">
        <v>40574</v>
      </c>
      <c r="AK5206" s="831">
        <v>0</v>
      </c>
    </row>
    <row r="5207" spans="2:37">
      <c r="B5207" s="834" t="str">
        <f t="shared" si="241"/>
        <v>|||</v>
      </c>
      <c r="H5207" s="835">
        <f t="shared" si="242"/>
        <v>31</v>
      </c>
      <c r="AF5207" s="831" t="s">
        <v>5864</v>
      </c>
      <c r="AG5207" s="831" t="s">
        <v>132</v>
      </c>
      <c r="AH5207" s="831" t="s">
        <v>151</v>
      </c>
      <c r="AI5207" s="831">
        <v>0</v>
      </c>
      <c r="AJ5207" s="835">
        <v>40574</v>
      </c>
      <c r="AK5207" s="831">
        <v>0</v>
      </c>
    </row>
    <row r="5208" spans="2:37">
      <c r="B5208" s="834" t="str">
        <f t="shared" si="241"/>
        <v>|||</v>
      </c>
      <c r="H5208" s="835">
        <f t="shared" si="242"/>
        <v>31</v>
      </c>
      <c r="AF5208" s="831" t="s">
        <v>5865</v>
      </c>
      <c r="AG5208" s="831" t="s">
        <v>132</v>
      </c>
      <c r="AH5208" s="831" t="s">
        <v>155</v>
      </c>
      <c r="AI5208" s="831">
        <v>0</v>
      </c>
      <c r="AJ5208" s="835">
        <v>40574</v>
      </c>
      <c r="AK5208" s="831">
        <v>0</v>
      </c>
    </row>
    <row r="5209" spans="2:37">
      <c r="B5209" s="834" t="str">
        <f t="shared" si="241"/>
        <v>|||</v>
      </c>
      <c r="H5209" s="835">
        <f t="shared" si="242"/>
        <v>31</v>
      </c>
      <c r="AF5209" s="831" t="s">
        <v>5866</v>
      </c>
      <c r="AG5209" s="831" t="s">
        <v>132</v>
      </c>
      <c r="AH5209" s="831" t="s">
        <v>158</v>
      </c>
      <c r="AI5209" s="831">
        <v>0</v>
      </c>
      <c r="AJ5209" s="835">
        <v>40574</v>
      </c>
      <c r="AK5209" s="831">
        <v>0</v>
      </c>
    </row>
    <row r="5210" spans="2:37">
      <c r="B5210" s="834" t="str">
        <f t="shared" si="241"/>
        <v>|||</v>
      </c>
      <c r="H5210" s="835">
        <f t="shared" si="242"/>
        <v>31</v>
      </c>
      <c r="AF5210" s="831" t="s">
        <v>5867</v>
      </c>
      <c r="AG5210" s="831" t="s">
        <v>132</v>
      </c>
      <c r="AH5210" s="831" t="s">
        <v>160</v>
      </c>
      <c r="AI5210" s="831">
        <v>0</v>
      </c>
      <c r="AJ5210" s="835">
        <v>40574</v>
      </c>
      <c r="AK5210" s="831">
        <v>0</v>
      </c>
    </row>
    <row r="5211" spans="2:37">
      <c r="B5211" s="834" t="str">
        <f t="shared" si="241"/>
        <v>|||</v>
      </c>
      <c r="H5211" s="835">
        <f t="shared" si="242"/>
        <v>31</v>
      </c>
      <c r="AF5211" s="831" t="s">
        <v>5868</v>
      </c>
      <c r="AG5211" s="831" t="s">
        <v>132</v>
      </c>
      <c r="AH5211" s="831" t="s">
        <v>161</v>
      </c>
      <c r="AI5211" s="831">
        <v>0</v>
      </c>
      <c r="AJ5211" s="835">
        <v>40574</v>
      </c>
      <c r="AK5211" s="831">
        <v>0</v>
      </c>
    </row>
    <row r="5212" spans="2:37">
      <c r="B5212" s="834" t="str">
        <f t="shared" si="241"/>
        <v>|||</v>
      </c>
      <c r="H5212" s="835">
        <f t="shared" si="242"/>
        <v>31</v>
      </c>
      <c r="AF5212" s="831" t="s">
        <v>5869</v>
      </c>
      <c r="AG5212" s="831" t="s">
        <v>132</v>
      </c>
      <c r="AH5212" s="831" t="s">
        <v>170</v>
      </c>
      <c r="AI5212" s="831">
        <v>0</v>
      </c>
      <c r="AJ5212" s="835">
        <v>40574</v>
      </c>
      <c r="AK5212" s="831">
        <v>0</v>
      </c>
    </row>
    <row r="5213" spans="2:37">
      <c r="B5213" s="834" t="str">
        <f t="shared" si="241"/>
        <v>|||</v>
      </c>
      <c r="H5213" s="835">
        <f t="shared" si="242"/>
        <v>31</v>
      </c>
      <c r="AF5213" s="831" t="s">
        <v>5870</v>
      </c>
      <c r="AG5213" s="831" t="s">
        <v>132</v>
      </c>
      <c r="AH5213" s="831" t="s">
        <v>173</v>
      </c>
      <c r="AI5213" s="831">
        <v>0</v>
      </c>
      <c r="AJ5213" s="835">
        <v>40574</v>
      </c>
      <c r="AK5213" s="831">
        <v>0</v>
      </c>
    </row>
    <row r="5214" spans="2:37">
      <c r="B5214" s="834" t="str">
        <f t="shared" si="241"/>
        <v>|||</v>
      </c>
      <c r="H5214" s="835">
        <f t="shared" si="242"/>
        <v>31</v>
      </c>
      <c r="AF5214" s="831" t="s">
        <v>5871</v>
      </c>
      <c r="AG5214" s="831" t="s">
        <v>132</v>
      </c>
      <c r="AH5214" s="831" t="s">
        <v>78</v>
      </c>
      <c r="AI5214" s="831">
        <v>0</v>
      </c>
      <c r="AJ5214" s="835">
        <v>40574</v>
      </c>
      <c r="AK5214" s="831">
        <v>0</v>
      </c>
    </row>
    <row r="5215" spans="2:37">
      <c r="B5215" s="834" t="str">
        <f t="shared" si="241"/>
        <v>|||</v>
      </c>
      <c r="H5215" s="835">
        <f t="shared" si="242"/>
        <v>31</v>
      </c>
      <c r="AF5215" s="831" t="s">
        <v>5872</v>
      </c>
      <c r="AG5215" s="831" t="s">
        <v>132</v>
      </c>
      <c r="AH5215" s="831" t="s">
        <v>183</v>
      </c>
      <c r="AI5215" s="831">
        <v>0</v>
      </c>
      <c r="AJ5215" s="835">
        <v>40574</v>
      </c>
      <c r="AK5215" s="831">
        <v>0</v>
      </c>
    </row>
    <row r="5216" spans="2:37">
      <c r="B5216" s="834" t="str">
        <f t="shared" si="241"/>
        <v>|||</v>
      </c>
      <c r="H5216" s="835">
        <f t="shared" si="242"/>
        <v>31</v>
      </c>
      <c r="AF5216" s="831" t="s">
        <v>5873</v>
      </c>
      <c r="AG5216" s="831" t="s">
        <v>132</v>
      </c>
      <c r="AH5216" s="831" t="s">
        <v>186</v>
      </c>
      <c r="AI5216" s="831">
        <v>0</v>
      </c>
      <c r="AJ5216" s="835">
        <v>40574</v>
      </c>
      <c r="AK5216" s="831">
        <v>0</v>
      </c>
    </row>
    <row r="5217" spans="2:37">
      <c r="B5217" s="834" t="str">
        <f t="shared" si="241"/>
        <v>|||</v>
      </c>
      <c r="H5217" s="835">
        <f t="shared" si="242"/>
        <v>31</v>
      </c>
      <c r="AF5217" s="831" t="s">
        <v>5874</v>
      </c>
      <c r="AG5217" s="831" t="s">
        <v>132</v>
      </c>
      <c r="AH5217" s="831" t="s">
        <v>189</v>
      </c>
      <c r="AI5217" s="831">
        <v>0</v>
      </c>
      <c r="AJ5217" s="835">
        <v>40574</v>
      </c>
      <c r="AK5217" s="831">
        <v>0</v>
      </c>
    </row>
    <row r="5218" spans="2:37">
      <c r="B5218" s="834" t="str">
        <f t="shared" si="241"/>
        <v>|||</v>
      </c>
      <c r="H5218" s="835">
        <f t="shared" si="242"/>
        <v>31</v>
      </c>
      <c r="AF5218" s="831" t="s">
        <v>5875</v>
      </c>
      <c r="AG5218" s="831" t="s">
        <v>132</v>
      </c>
      <c r="AH5218" s="831" t="s">
        <v>68</v>
      </c>
      <c r="AI5218" s="831">
        <v>0</v>
      </c>
      <c r="AJ5218" s="835">
        <v>40602</v>
      </c>
      <c r="AK5218" s="831">
        <v>0</v>
      </c>
    </row>
    <row r="5219" spans="2:37">
      <c r="B5219" s="834" t="str">
        <f t="shared" si="241"/>
        <v>|||</v>
      </c>
      <c r="H5219" s="835">
        <f t="shared" si="242"/>
        <v>31</v>
      </c>
      <c r="AF5219" s="831" t="s">
        <v>5876</v>
      </c>
      <c r="AG5219" s="831" t="s">
        <v>132</v>
      </c>
      <c r="AH5219" s="831" t="s">
        <v>73</v>
      </c>
      <c r="AI5219" s="831">
        <v>0</v>
      </c>
      <c r="AJ5219" s="835">
        <v>40602</v>
      </c>
      <c r="AK5219" s="831">
        <v>0</v>
      </c>
    </row>
    <row r="5220" spans="2:37">
      <c r="B5220" s="834" t="str">
        <f t="shared" si="241"/>
        <v>|||</v>
      </c>
      <c r="H5220" s="835">
        <f t="shared" si="242"/>
        <v>31</v>
      </c>
      <c r="AF5220" s="831" t="s">
        <v>5877</v>
      </c>
      <c r="AG5220" s="831" t="s">
        <v>132</v>
      </c>
      <c r="AH5220" s="831" t="s">
        <v>147</v>
      </c>
      <c r="AI5220" s="831">
        <v>0</v>
      </c>
      <c r="AJ5220" s="835">
        <v>40602</v>
      </c>
      <c r="AK5220" s="831">
        <v>0</v>
      </c>
    </row>
    <row r="5221" spans="2:37">
      <c r="B5221" s="834" t="str">
        <f t="shared" si="241"/>
        <v>|||</v>
      </c>
      <c r="H5221" s="835">
        <f t="shared" si="242"/>
        <v>31</v>
      </c>
      <c r="AF5221" s="831" t="s">
        <v>5878</v>
      </c>
      <c r="AG5221" s="831" t="s">
        <v>132</v>
      </c>
      <c r="AH5221" s="831" t="s">
        <v>151</v>
      </c>
      <c r="AI5221" s="831">
        <v>0</v>
      </c>
      <c r="AJ5221" s="835">
        <v>40602</v>
      </c>
      <c r="AK5221" s="831">
        <v>0</v>
      </c>
    </row>
    <row r="5222" spans="2:37">
      <c r="B5222" s="834" t="str">
        <f t="shared" si="241"/>
        <v>|||</v>
      </c>
      <c r="H5222" s="835">
        <f t="shared" si="242"/>
        <v>31</v>
      </c>
      <c r="AF5222" s="831" t="s">
        <v>5879</v>
      </c>
      <c r="AG5222" s="831" t="s">
        <v>132</v>
      </c>
      <c r="AH5222" s="831" t="s">
        <v>155</v>
      </c>
      <c r="AI5222" s="831">
        <v>0</v>
      </c>
      <c r="AJ5222" s="835">
        <v>40602</v>
      </c>
      <c r="AK5222" s="831">
        <v>0</v>
      </c>
    </row>
    <row r="5223" spans="2:37">
      <c r="B5223" s="834" t="str">
        <f t="shared" si="241"/>
        <v>|||</v>
      </c>
      <c r="H5223" s="835">
        <f t="shared" si="242"/>
        <v>31</v>
      </c>
      <c r="AF5223" s="831" t="s">
        <v>5880</v>
      </c>
      <c r="AG5223" s="831" t="s">
        <v>132</v>
      </c>
      <c r="AH5223" s="831" t="s">
        <v>158</v>
      </c>
      <c r="AI5223" s="831">
        <v>0</v>
      </c>
      <c r="AJ5223" s="835">
        <v>40602</v>
      </c>
      <c r="AK5223" s="831">
        <v>0</v>
      </c>
    </row>
    <row r="5224" spans="2:37">
      <c r="B5224" s="834" t="str">
        <f t="shared" si="241"/>
        <v>|||</v>
      </c>
      <c r="H5224" s="835">
        <f t="shared" si="242"/>
        <v>31</v>
      </c>
      <c r="AF5224" s="831" t="s">
        <v>5881</v>
      </c>
      <c r="AG5224" s="831" t="s">
        <v>132</v>
      </c>
      <c r="AH5224" s="831" t="s">
        <v>160</v>
      </c>
      <c r="AI5224" s="831">
        <v>0</v>
      </c>
      <c r="AJ5224" s="835">
        <v>40602</v>
      </c>
      <c r="AK5224" s="831">
        <v>0</v>
      </c>
    </row>
    <row r="5225" spans="2:37">
      <c r="B5225" s="834" t="str">
        <f t="shared" si="241"/>
        <v>|||</v>
      </c>
      <c r="H5225" s="835">
        <f t="shared" si="242"/>
        <v>31</v>
      </c>
      <c r="AF5225" s="831" t="s">
        <v>5882</v>
      </c>
      <c r="AG5225" s="831" t="s">
        <v>132</v>
      </c>
      <c r="AH5225" s="831" t="s">
        <v>161</v>
      </c>
      <c r="AI5225" s="831">
        <v>0</v>
      </c>
      <c r="AJ5225" s="835">
        <v>40602</v>
      </c>
      <c r="AK5225" s="831">
        <v>0</v>
      </c>
    </row>
    <row r="5226" spans="2:37">
      <c r="B5226" s="834" t="str">
        <f t="shared" si="241"/>
        <v>|||</v>
      </c>
      <c r="H5226" s="835">
        <f t="shared" si="242"/>
        <v>31</v>
      </c>
      <c r="AF5226" s="831" t="s">
        <v>5883</v>
      </c>
      <c r="AG5226" s="831" t="s">
        <v>132</v>
      </c>
      <c r="AH5226" s="831" t="s">
        <v>170</v>
      </c>
      <c r="AI5226" s="831">
        <v>0</v>
      </c>
      <c r="AJ5226" s="835">
        <v>40602</v>
      </c>
      <c r="AK5226" s="831">
        <v>0</v>
      </c>
    </row>
    <row r="5227" spans="2:37">
      <c r="B5227" s="834" t="str">
        <f t="shared" si="241"/>
        <v>|||</v>
      </c>
      <c r="H5227" s="835">
        <f t="shared" si="242"/>
        <v>31</v>
      </c>
      <c r="AF5227" s="831" t="s">
        <v>5884</v>
      </c>
      <c r="AG5227" s="831" t="s">
        <v>132</v>
      </c>
      <c r="AH5227" s="831" t="s">
        <v>173</v>
      </c>
      <c r="AI5227" s="831">
        <v>0</v>
      </c>
      <c r="AJ5227" s="835">
        <v>40602</v>
      </c>
      <c r="AK5227" s="831">
        <v>0</v>
      </c>
    </row>
    <row r="5228" spans="2:37">
      <c r="B5228" s="834" t="str">
        <f t="shared" si="241"/>
        <v>|||</v>
      </c>
      <c r="H5228" s="835">
        <f t="shared" si="242"/>
        <v>31</v>
      </c>
      <c r="AF5228" s="831" t="s">
        <v>5885</v>
      </c>
      <c r="AG5228" s="831" t="s">
        <v>132</v>
      </c>
      <c r="AH5228" s="831" t="s">
        <v>78</v>
      </c>
      <c r="AI5228" s="831">
        <v>0</v>
      </c>
      <c r="AJ5228" s="835">
        <v>40602</v>
      </c>
      <c r="AK5228" s="831">
        <v>0</v>
      </c>
    </row>
    <row r="5229" spans="2:37">
      <c r="B5229" s="834" t="str">
        <f t="shared" si="241"/>
        <v>|||</v>
      </c>
      <c r="H5229" s="835">
        <f t="shared" si="242"/>
        <v>31</v>
      </c>
      <c r="AF5229" s="831" t="s">
        <v>5886</v>
      </c>
      <c r="AG5229" s="831" t="s">
        <v>132</v>
      </c>
      <c r="AH5229" s="831" t="s">
        <v>183</v>
      </c>
      <c r="AI5229" s="831">
        <v>0</v>
      </c>
      <c r="AJ5229" s="835">
        <v>40602</v>
      </c>
      <c r="AK5229" s="831">
        <v>0</v>
      </c>
    </row>
    <row r="5230" spans="2:37">
      <c r="B5230" s="834" t="str">
        <f t="shared" si="241"/>
        <v>|||</v>
      </c>
      <c r="H5230" s="835">
        <f t="shared" si="242"/>
        <v>31</v>
      </c>
      <c r="AF5230" s="831" t="s">
        <v>5887</v>
      </c>
      <c r="AG5230" s="831" t="s">
        <v>132</v>
      </c>
      <c r="AH5230" s="831" t="s">
        <v>186</v>
      </c>
      <c r="AI5230" s="831">
        <v>0</v>
      </c>
      <c r="AJ5230" s="835">
        <v>40602</v>
      </c>
      <c r="AK5230" s="831">
        <v>0</v>
      </c>
    </row>
    <row r="5231" spans="2:37">
      <c r="B5231" s="834" t="str">
        <f t="shared" si="241"/>
        <v>|||</v>
      </c>
      <c r="H5231" s="835">
        <f t="shared" si="242"/>
        <v>31</v>
      </c>
      <c r="AF5231" s="831" t="s">
        <v>5888</v>
      </c>
      <c r="AG5231" s="831" t="s">
        <v>132</v>
      </c>
      <c r="AH5231" s="831" t="s">
        <v>189</v>
      </c>
      <c r="AI5231" s="831">
        <v>0</v>
      </c>
      <c r="AJ5231" s="835">
        <v>40602</v>
      </c>
      <c r="AK5231" s="831">
        <v>0</v>
      </c>
    </row>
    <row r="5232" spans="2:37">
      <c r="B5232" s="834" t="str">
        <f t="shared" si="241"/>
        <v>|||</v>
      </c>
      <c r="H5232" s="835">
        <f t="shared" si="242"/>
        <v>31</v>
      </c>
      <c r="AF5232" s="831" t="s">
        <v>5889</v>
      </c>
      <c r="AG5232" s="831" t="s">
        <v>132</v>
      </c>
      <c r="AH5232" s="831" t="s">
        <v>68</v>
      </c>
      <c r="AI5232" s="831">
        <v>0</v>
      </c>
      <c r="AJ5232" s="835">
        <v>40633</v>
      </c>
      <c r="AK5232" s="831">
        <v>0</v>
      </c>
    </row>
    <row r="5233" spans="2:37">
      <c r="B5233" s="834" t="str">
        <f t="shared" si="241"/>
        <v>|||</v>
      </c>
      <c r="H5233" s="835">
        <f t="shared" si="242"/>
        <v>31</v>
      </c>
      <c r="AF5233" s="831" t="s">
        <v>5890</v>
      </c>
      <c r="AG5233" s="831" t="s">
        <v>132</v>
      </c>
      <c r="AH5233" s="831" t="s">
        <v>73</v>
      </c>
      <c r="AI5233" s="831">
        <v>0</v>
      </c>
      <c r="AJ5233" s="835">
        <v>40633</v>
      </c>
      <c r="AK5233" s="831">
        <v>0</v>
      </c>
    </row>
    <row r="5234" spans="2:37">
      <c r="B5234" s="834" t="str">
        <f t="shared" si="241"/>
        <v>|||</v>
      </c>
      <c r="H5234" s="835">
        <f t="shared" si="242"/>
        <v>31</v>
      </c>
      <c r="AF5234" s="831" t="s">
        <v>5891</v>
      </c>
      <c r="AG5234" s="831" t="s">
        <v>132</v>
      </c>
      <c r="AH5234" s="831" t="s">
        <v>147</v>
      </c>
      <c r="AI5234" s="831">
        <v>0</v>
      </c>
      <c r="AJ5234" s="835">
        <v>40633</v>
      </c>
      <c r="AK5234" s="831">
        <v>0</v>
      </c>
    </row>
    <row r="5235" spans="2:37">
      <c r="B5235" s="834" t="str">
        <f t="shared" si="241"/>
        <v>|||</v>
      </c>
      <c r="H5235" s="835">
        <f t="shared" si="242"/>
        <v>31</v>
      </c>
      <c r="AF5235" s="831" t="s">
        <v>5892</v>
      </c>
      <c r="AG5235" s="831" t="s">
        <v>132</v>
      </c>
      <c r="AH5235" s="831" t="s">
        <v>151</v>
      </c>
      <c r="AI5235" s="831">
        <v>0</v>
      </c>
      <c r="AJ5235" s="835">
        <v>40633</v>
      </c>
      <c r="AK5235" s="831">
        <v>0</v>
      </c>
    </row>
    <row r="5236" spans="2:37">
      <c r="B5236" s="834" t="str">
        <f t="shared" si="241"/>
        <v>|||</v>
      </c>
      <c r="H5236" s="835">
        <f t="shared" si="242"/>
        <v>31</v>
      </c>
      <c r="AF5236" s="831" t="s">
        <v>5893</v>
      </c>
      <c r="AG5236" s="831" t="s">
        <v>132</v>
      </c>
      <c r="AH5236" s="831" t="s">
        <v>155</v>
      </c>
      <c r="AI5236" s="831">
        <v>0</v>
      </c>
      <c r="AJ5236" s="835">
        <v>40633</v>
      </c>
      <c r="AK5236" s="831">
        <v>0</v>
      </c>
    </row>
    <row r="5237" spans="2:37">
      <c r="B5237" s="834" t="str">
        <f t="shared" si="241"/>
        <v>|||</v>
      </c>
      <c r="H5237" s="835">
        <f t="shared" si="242"/>
        <v>31</v>
      </c>
      <c r="AF5237" s="831" t="s">
        <v>5894</v>
      </c>
      <c r="AG5237" s="831" t="s">
        <v>132</v>
      </c>
      <c r="AH5237" s="831" t="s">
        <v>158</v>
      </c>
      <c r="AI5237" s="831">
        <v>0</v>
      </c>
      <c r="AJ5237" s="835">
        <v>40633</v>
      </c>
      <c r="AK5237" s="831">
        <v>0</v>
      </c>
    </row>
    <row r="5238" spans="2:37">
      <c r="B5238" s="834" t="str">
        <f t="shared" si="241"/>
        <v>|||</v>
      </c>
      <c r="H5238" s="835">
        <f t="shared" si="242"/>
        <v>31</v>
      </c>
      <c r="AF5238" s="831" t="s">
        <v>5895</v>
      </c>
      <c r="AG5238" s="831" t="s">
        <v>132</v>
      </c>
      <c r="AH5238" s="831" t="s">
        <v>160</v>
      </c>
      <c r="AI5238" s="831">
        <v>0</v>
      </c>
      <c r="AJ5238" s="835">
        <v>40633</v>
      </c>
      <c r="AK5238" s="831">
        <v>0</v>
      </c>
    </row>
    <row r="5239" spans="2:37">
      <c r="B5239" s="834" t="str">
        <f t="shared" si="241"/>
        <v>|||</v>
      </c>
      <c r="H5239" s="835">
        <f t="shared" si="242"/>
        <v>31</v>
      </c>
      <c r="AF5239" s="831" t="s">
        <v>5896</v>
      </c>
      <c r="AG5239" s="831" t="s">
        <v>132</v>
      </c>
      <c r="AH5239" s="831" t="s">
        <v>161</v>
      </c>
      <c r="AI5239" s="831">
        <v>0</v>
      </c>
      <c r="AJ5239" s="835">
        <v>40633</v>
      </c>
      <c r="AK5239" s="831">
        <v>0</v>
      </c>
    </row>
    <row r="5240" spans="2:37">
      <c r="B5240" s="834" t="str">
        <f t="shared" si="241"/>
        <v>|||</v>
      </c>
      <c r="H5240" s="835">
        <f t="shared" si="242"/>
        <v>31</v>
      </c>
      <c r="AF5240" s="831" t="s">
        <v>5897</v>
      </c>
      <c r="AG5240" s="831" t="s">
        <v>132</v>
      </c>
      <c r="AH5240" s="831" t="s">
        <v>170</v>
      </c>
      <c r="AI5240" s="831">
        <v>0</v>
      </c>
      <c r="AJ5240" s="835">
        <v>40633</v>
      </c>
      <c r="AK5240" s="831">
        <v>0</v>
      </c>
    </row>
    <row r="5241" spans="2:37">
      <c r="B5241" s="834" t="str">
        <f t="shared" si="241"/>
        <v>|||</v>
      </c>
      <c r="H5241" s="835">
        <f t="shared" si="242"/>
        <v>31</v>
      </c>
      <c r="AF5241" s="831" t="s">
        <v>5898</v>
      </c>
      <c r="AG5241" s="831" t="s">
        <v>132</v>
      </c>
      <c r="AH5241" s="831" t="s">
        <v>173</v>
      </c>
      <c r="AI5241" s="831">
        <v>0</v>
      </c>
      <c r="AJ5241" s="835">
        <v>40633</v>
      </c>
      <c r="AK5241" s="831">
        <v>0</v>
      </c>
    </row>
    <row r="5242" spans="2:37">
      <c r="B5242" s="834" t="str">
        <f t="shared" si="241"/>
        <v>|||</v>
      </c>
      <c r="H5242" s="835">
        <f t="shared" si="242"/>
        <v>31</v>
      </c>
      <c r="AF5242" s="831" t="s">
        <v>5899</v>
      </c>
      <c r="AG5242" s="831" t="s">
        <v>132</v>
      </c>
      <c r="AH5242" s="831" t="s">
        <v>78</v>
      </c>
      <c r="AI5242" s="831">
        <v>0</v>
      </c>
      <c r="AJ5242" s="835">
        <v>40633</v>
      </c>
      <c r="AK5242" s="831">
        <v>0</v>
      </c>
    </row>
    <row r="5243" spans="2:37">
      <c r="B5243" s="834" t="str">
        <f t="shared" si="241"/>
        <v>|||</v>
      </c>
      <c r="H5243" s="835">
        <f t="shared" si="242"/>
        <v>31</v>
      </c>
      <c r="AF5243" s="831" t="s">
        <v>5900</v>
      </c>
      <c r="AG5243" s="831" t="s">
        <v>132</v>
      </c>
      <c r="AH5243" s="831" t="s">
        <v>183</v>
      </c>
      <c r="AI5243" s="831">
        <v>0</v>
      </c>
      <c r="AJ5243" s="835">
        <v>40633</v>
      </c>
      <c r="AK5243" s="831">
        <v>0</v>
      </c>
    </row>
    <row r="5244" spans="2:37">
      <c r="B5244" s="834" t="str">
        <f t="shared" si="241"/>
        <v>|||</v>
      </c>
      <c r="H5244" s="835">
        <f t="shared" si="242"/>
        <v>31</v>
      </c>
      <c r="AF5244" s="831" t="s">
        <v>5901</v>
      </c>
      <c r="AG5244" s="831" t="s">
        <v>132</v>
      </c>
      <c r="AH5244" s="831" t="s">
        <v>186</v>
      </c>
      <c r="AI5244" s="831">
        <v>0</v>
      </c>
      <c r="AJ5244" s="835">
        <v>40633</v>
      </c>
      <c r="AK5244" s="831">
        <v>0</v>
      </c>
    </row>
    <row r="5245" spans="2:37">
      <c r="B5245" s="834" t="str">
        <f t="shared" si="241"/>
        <v>|||</v>
      </c>
      <c r="H5245" s="835">
        <f t="shared" si="242"/>
        <v>31</v>
      </c>
      <c r="AF5245" s="831" t="s">
        <v>5902</v>
      </c>
      <c r="AG5245" s="831" t="s">
        <v>132</v>
      </c>
      <c r="AH5245" s="831" t="s">
        <v>189</v>
      </c>
      <c r="AI5245" s="831">
        <v>0</v>
      </c>
      <c r="AJ5245" s="835">
        <v>40633</v>
      </c>
      <c r="AK5245" s="831">
        <v>0</v>
      </c>
    </row>
    <row r="5246" spans="2:37">
      <c r="B5246" s="834" t="str">
        <f t="shared" si="241"/>
        <v>|||</v>
      </c>
      <c r="H5246" s="835">
        <f t="shared" si="242"/>
        <v>31</v>
      </c>
      <c r="AF5246" s="831" t="s">
        <v>5903</v>
      </c>
      <c r="AG5246" s="831" t="s">
        <v>132</v>
      </c>
      <c r="AH5246" s="831" t="s">
        <v>68</v>
      </c>
      <c r="AI5246" s="831">
        <v>0</v>
      </c>
      <c r="AJ5246" s="835">
        <v>40663</v>
      </c>
      <c r="AK5246" s="831">
        <v>0</v>
      </c>
    </row>
    <row r="5247" spans="2:37">
      <c r="B5247" s="834" t="str">
        <f t="shared" si="241"/>
        <v>|||</v>
      </c>
      <c r="H5247" s="835">
        <f t="shared" si="242"/>
        <v>31</v>
      </c>
      <c r="AF5247" s="831" t="s">
        <v>5904</v>
      </c>
      <c r="AG5247" s="831" t="s">
        <v>132</v>
      </c>
      <c r="AH5247" s="831" t="s">
        <v>73</v>
      </c>
      <c r="AI5247" s="831">
        <v>0</v>
      </c>
      <c r="AJ5247" s="835">
        <v>40663</v>
      </c>
      <c r="AK5247" s="831">
        <v>0</v>
      </c>
    </row>
    <row r="5248" spans="2:37">
      <c r="B5248" s="834" t="str">
        <f t="shared" si="241"/>
        <v>|||</v>
      </c>
      <c r="H5248" s="835">
        <f t="shared" si="242"/>
        <v>31</v>
      </c>
      <c r="AF5248" s="831" t="s">
        <v>5905</v>
      </c>
      <c r="AG5248" s="831" t="s">
        <v>132</v>
      </c>
      <c r="AH5248" s="831" t="s">
        <v>147</v>
      </c>
      <c r="AI5248" s="831">
        <v>0</v>
      </c>
      <c r="AJ5248" s="835">
        <v>40663</v>
      </c>
      <c r="AK5248" s="831">
        <v>0</v>
      </c>
    </row>
    <row r="5249" spans="2:37">
      <c r="B5249" s="834" t="str">
        <f t="shared" si="241"/>
        <v>|||</v>
      </c>
      <c r="H5249" s="835">
        <f t="shared" si="242"/>
        <v>31</v>
      </c>
      <c r="AF5249" s="831" t="s">
        <v>5906</v>
      </c>
      <c r="AG5249" s="831" t="s">
        <v>132</v>
      </c>
      <c r="AH5249" s="831" t="s">
        <v>151</v>
      </c>
      <c r="AI5249" s="831">
        <v>0</v>
      </c>
      <c r="AJ5249" s="835">
        <v>40663</v>
      </c>
      <c r="AK5249" s="831">
        <v>0</v>
      </c>
    </row>
    <row r="5250" spans="2:37">
      <c r="B5250" s="834" t="str">
        <f t="shared" si="241"/>
        <v>|||</v>
      </c>
      <c r="H5250" s="835">
        <f t="shared" si="242"/>
        <v>31</v>
      </c>
      <c r="AF5250" s="831" t="s">
        <v>5907</v>
      </c>
      <c r="AG5250" s="831" t="s">
        <v>132</v>
      </c>
      <c r="AH5250" s="831" t="s">
        <v>155</v>
      </c>
      <c r="AI5250" s="831">
        <v>0</v>
      </c>
      <c r="AJ5250" s="835">
        <v>40663</v>
      </c>
      <c r="AK5250" s="831">
        <v>0</v>
      </c>
    </row>
    <row r="5251" spans="2:37">
      <c r="B5251" s="834" t="str">
        <f t="shared" ref="B5251:B5314" si="243">C5251&amp;"|"&amp;D5251&amp;"|"&amp;E5251&amp;"|"&amp;F5251</f>
        <v>|||</v>
      </c>
      <c r="H5251" s="835">
        <f t="shared" si="242"/>
        <v>31</v>
      </c>
      <c r="AF5251" s="831" t="s">
        <v>5908</v>
      </c>
      <c r="AG5251" s="831" t="s">
        <v>132</v>
      </c>
      <c r="AH5251" s="831" t="s">
        <v>158</v>
      </c>
      <c r="AI5251" s="831">
        <v>0</v>
      </c>
      <c r="AJ5251" s="835">
        <v>40663</v>
      </c>
      <c r="AK5251" s="831">
        <v>0</v>
      </c>
    </row>
    <row r="5252" spans="2:37">
      <c r="B5252" s="834" t="str">
        <f t="shared" si="243"/>
        <v>|||</v>
      </c>
      <c r="H5252" s="835">
        <f t="shared" ref="H5252:H5315" si="244">EOMONTH(L5252,0)</f>
        <v>31</v>
      </c>
      <c r="AF5252" s="831" t="s">
        <v>5909</v>
      </c>
      <c r="AG5252" s="831" t="s">
        <v>132</v>
      </c>
      <c r="AH5252" s="831" t="s">
        <v>160</v>
      </c>
      <c r="AI5252" s="831">
        <v>0</v>
      </c>
      <c r="AJ5252" s="835">
        <v>40663</v>
      </c>
      <c r="AK5252" s="831">
        <v>0</v>
      </c>
    </row>
    <row r="5253" spans="2:37">
      <c r="B5253" s="834" t="str">
        <f t="shared" si="243"/>
        <v>|||</v>
      </c>
      <c r="H5253" s="835">
        <f t="shared" si="244"/>
        <v>31</v>
      </c>
      <c r="AF5253" s="831" t="s">
        <v>5910</v>
      </c>
      <c r="AG5253" s="831" t="s">
        <v>132</v>
      </c>
      <c r="AH5253" s="831" t="s">
        <v>161</v>
      </c>
      <c r="AI5253" s="831">
        <v>0</v>
      </c>
      <c r="AJ5253" s="835">
        <v>40663</v>
      </c>
      <c r="AK5253" s="831">
        <v>0</v>
      </c>
    </row>
    <row r="5254" spans="2:37">
      <c r="B5254" s="834" t="str">
        <f t="shared" si="243"/>
        <v>|||</v>
      </c>
      <c r="H5254" s="835">
        <f t="shared" si="244"/>
        <v>31</v>
      </c>
      <c r="AF5254" s="831" t="s">
        <v>5911</v>
      </c>
      <c r="AG5254" s="831" t="s">
        <v>132</v>
      </c>
      <c r="AH5254" s="831" t="s">
        <v>170</v>
      </c>
      <c r="AI5254" s="831">
        <v>0</v>
      </c>
      <c r="AJ5254" s="835">
        <v>40663</v>
      </c>
      <c r="AK5254" s="831">
        <v>0</v>
      </c>
    </row>
    <row r="5255" spans="2:37">
      <c r="B5255" s="834" t="str">
        <f t="shared" si="243"/>
        <v>|||</v>
      </c>
      <c r="H5255" s="835">
        <f t="shared" si="244"/>
        <v>31</v>
      </c>
      <c r="AF5255" s="831" t="s">
        <v>5912</v>
      </c>
      <c r="AG5255" s="831" t="s">
        <v>132</v>
      </c>
      <c r="AH5255" s="831" t="s">
        <v>173</v>
      </c>
      <c r="AI5255" s="831">
        <v>0</v>
      </c>
      <c r="AJ5255" s="835">
        <v>40663</v>
      </c>
      <c r="AK5255" s="831">
        <v>0</v>
      </c>
    </row>
    <row r="5256" spans="2:37">
      <c r="B5256" s="834" t="str">
        <f t="shared" si="243"/>
        <v>|||</v>
      </c>
      <c r="H5256" s="835">
        <f t="shared" si="244"/>
        <v>31</v>
      </c>
      <c r="AF5256" s="831" t="s">
        <v>5913</v>
      </c>
      <c r="AG5256" s="831" t="s">
        <v>132</v>
      </c>
      <c r="AH5256" s="831" t="s">
        <v>78</v>
      </c>
      <c r="AI5256" s="831">
        <v>0</v>
      </c>
      <c r="AJ5256" s="835">
        <v>40663</v>
      </c>
      <c r="AK5256" s="831">
        <v>0</v>
      </c>
    </row>
    <row r="5257" spans="2:37">
      <c r="B5257" s="834" t="str">
        <f t="shared" si="243"/>
        <v>|||</v>
      </c>
      <c r="H5257" s="835">
        <f t="shared" si="244"/>
        <v>31</v>
      </c>
      <c r="AF5257" s="831" t="s">
        <v>5914</v>
      </c>
      <c r="AG5257" s="831" t="s">
        <v>132</v>
      </c>
      <c r="AH5257" s="831" t="s">
        <v>183</v>
      </c>
      <c r="AI5257" s="831">
        <v>0</v>
      </c>
      <c r="AJ5257" s="835">
        <v>40663</v>
      </c>
      <c r="AK5257" s="831">
        <v>0</v>
      </c>
    </row>
    <row r="5258" spans="2:37">
      <c r="B5258" s="834" t="str">
        <f t="shared" si="243"/>
        <v>|||</v>
      </c>
      <c r="H5258" s="835">
        <f t="shared" si="244"/>
        <v>31</v>
      </c>
      <c r="AF5258" s="831" t="s">
        <v>5915</v>
      </c>
      <c r="AG5258" s="831" t="s">
        <v>132</v>
      </c>
      <c r="AH5258" s="831" t="s">
        <v>186</v>
      </c>
      <c r="AI5258" s="831">
        <v>0</v>
      </c>
      <c r="AJ5258" s="835">
        <v>40663</v>
      </c>
      <c r="AK5258" s="831">
        <v>0</v>
      </c>
    </row>
    <row r="5259" spans="2:37">
      <c r="B5259" s="834" t="str">
        <f t="shared" si="243"/>
        <v>|||</v>
      </c>
      <c r="H5259" s="835">
        <f t="shared" si="244"/>
        <v>31</v>
      </c>
      <c r="AF5259" s="831" t="s">
        <v>5916</v>
      </c>
      <c r="AG5259" s="831" t="s">
        <v>132</v>
      </c>
      <c r="AH5259" s="831" t="s">
        <v>189</v>
      </c>
      <c r="AI5259" s="831">
        <v>0</v>
      </c>
      <c r="AJ5259" s="835">
        <v>40663</v>
      </c>
      <c r="AK5259" s="831">
        <v>0</v>
      </c>
    </row>
    <row r="5260" spans="2:37">
      <c r="B5260" s="834" t="str">
        <f t="shared" si="243"/>
        <v>|||</v>
      </c>
      <c r="H5260" s="835">
        <f t="shared" si="244"/>
        <v>31</v>
      </c>
      <c r="AF5260" s="831" t="s">
        <v>5917</v>
      </c>
      <c r="AG5260" s="831" t="s">
        <v>132</v>
      </c>
      <c r="AH5260" s="831" t="s">
        <v>68</v>
      </c>
      <c r="AI5260" s="831">
        <v>0</v>
      </c>
      <c r="AJ5260" s="835">
        <v>40694</v>
      </c>
      <c r="AK5260" s="831">
        <v>0</v>
      </c>
    </row>
    <row r="5261" spans="2:37">
      <c r="B5261" s="834" t="str">
        <f t="shared" si="243"/>
        <v>|||</v>
      </c>
      <c r="H5261" s="835">
        <f t="shared" si="244"/>
        <v>31</v>
      </c>
      <c r="AF5261" s="831" t="s">
        <v>5918</v>
      </c>
      <c r="AG5261" s="831" t="s">
        <v>132</v>
      </c>
      <c r="AH5261" s="831" t="s">
        <v>73</v>
      </c>
      <c r="AI5261" s="831">
        <v>0</v>
      </c>
      <c r="AJ5261" s="835">
        <v>40694</v>
      </c>
      <c r="AK5261" s="831">
        <v>0</v>
      </c>
    </row>
    <row r="5262" spans="2:37">
      <c r="B5262" s="834" t="str">
        <f t="shared" si="243"/>
        <v>|||</v>
      </c>
      <c r="H5262" s="835">
        <f t="shared" si="244"/>
        <v>31</v>
      </c>
      <c r="AF5262" s="831" t="s">
        <v>5919</v>
      </c>
      <c r="AG5262" s="831" t="s">
        <v>132</v>
      </c>
      <c r="AH5262" s="831" t="s">
        <v>147</v>
      </c>
      <c r="AI5262" s="831">
        <v>0</v>
      </c>
      <c r="AJ5262" s="835">
        <v>40694</v>
      </c>
      <c r="AK5262" s="831">
        <v>0</v>
      </c>
    </row>
    <row r="5263" spans="2:37">
      <c r="B5263" s="834" t="str">
        <f t="shared" si="243"/>
        <v>|||</v>
      </c>
      <c r="H5263" s="835">
        <f t="shared" si="244"/>
        <v>31</v>
      </c>
      <c r="AF5263" s="831" t="s">
        <v>5920</v>
      </c>
      <c r="AG5263" s="831" t="s">
        <v>132</v>
      </c>
      <c r="AH5263" s="831" t="s">
        <v>151</v>
      </c>
      <c r="AI5263" s="831">
        <v>0</v>
      </c>
      <c r="AJ5263" s="835">
        <v>40694</v>
      </c>
      <c r="AK5263" s="831">
        <v>0</v>
      </c>
    </row>
    <row r="5264" spans="2:37">
      <c r="B5264" s="834" t="str">
        <f t="shared" si="243"/>
        <v>|||</v>
      </c>
      <c r="H5264" s="835">
        <f t="shared" si="244"/>
        <v>31</v>
      </c>
      <c r="AF5264" s="831" t="s">
        <v>5921</v>
      </c>
      <c r="AG5264" s="831" t="s">
        <v>132</v>
      </c>
      <c r="AH5264" s="831" t="s">
        <v>155</v>
      </c>
      <c r="AI5264" s="831">
        <v>0</v>
      </c>
      <c r="AJ5264" s="835">
        <v>40694</v>
      </c>
      <c r="AK5264" s="831">
        <v>0</v>
      </c>
    </row>
    <row r="5265" spans="2:37">
      <c r="B5265" s="834" t="str">
        <f t="shared" si="243"/>
        <v>|||</v>
      </c>
      <c r="H5265" s="835">
        <f t="shared" si="244"/>
        <v>31</v>
      </c>
      <c r="AF5265" s="831" t="s">
        <v>5922</v>
      </c>
      <c r="AG5265" s="831" t="s">
        <v>132</v>
      </c>
      <c r="AH5265" s="831" t="s">
        <v>158</v>
      </c>
      <c r="AI5265" s="831">
        <v>0</v>
      </c>
      <c r="AJ5265" s="835">
        <v>40694</v>
      </c>
      <c r="AK5265" s="831">
        <v>0</v>
      </c>
    </row>
    <row r="5266" spans="2:37">
      <c r="B5266" s="834" t="str">
        <f t="shared" si="243"/>
        <v>|||</v>
      </c>
      <c r="H5266" s="835">
        <f t="shared" si="244"/>
        <v>31</v>
      </c>
      <c r="AF5266" s="831" t="s">
        <v>5923</v>
      </c>
      <c r="AG5266" s="831" t="s">
        <v>132</v>
      </c>
      <c r="AH5266" s="831" t="s">
        <v>160</v>
      </c>
      <c r="AI5266" s="831">
        <v>0</v>
      </c>
      <c r="AJ5266" s="835">
        <v>40694</v>
      </c>
      <c r="AK5266" s="831">
        <v>0</v>
      </c>
    </row>
    <row r="5267" spans="2:37">
      <c r="B5267" s="834" t="str">
        <f t="shared" si="243"/>
        <v>|||</v>
      </c>
      <c r="H5267" s="835">
        <f t="shared" si="244"/>
        <v>31</v>
      </c>
      <c r="AF5267" s="831" t="s">
        <v>5924</v>
      </c>
      <c r="AG5267" s="831" t="s">
        <v>132</v>
      </c>
      <c r="AH5267" s="831" t="s">
        <v>161</v>
      </c>
      <c r="AI5267" s="831">
        <v>0</v>
      </c>
      <c r="AJ5267" s="835">
        <v>40694</v>
      </c>
      <c r="AK5267" s="831">
        <v>0</v>
      </c>
    </row>
    <row r="5268" spans="2:37">
      <c r="B5268" s="834" t="str">
        <f t="shared" si="243"/>
        <v>|||</v>
      </c>
      <c r="H5268" s="835">
        <f t="shared" si="244"/>
        <v>31</v>
      </c>
      <c r="AF5268" s="831" t="s">
        <v>5925</v>
      </c>
      <c r="AG5268" s="831" t="s">
        <v>132</v>
      </c>
      <c r="AH5268" s="831" t="s">
        <v>170</v>
      </c>
      <c r="AI5268" s="831">
        <v>0</v>
      </c>
      <c r="AJ5268" s="835">
        <v>40694</v>
      </c>
      <c r="AK5268" s="831">
        <v>0</v>
      </c>
    </row>
    <row r="5269" spans="2:37">
      <c r="B5269" s="834" t="str">
        <f t="shared" si="243"/>
        <v>|||</v>
      </c>
      <c r="H5269" s="835">
        <f t="shared" si="244"/>
        <v>31</v>
      </c>
      <c r="AF5269" s="831" t="s">
        <v>5926</v>
      </c>
      <c r="AG5269" s="831" t="s">
        <v>132</v>
      </c>
      <c r="AH5269" s="831" t="s">
        <v>173</v>
      </c>
      <c r="AI5269" s="831">
        <v>0</v>
      </c>
      <c r="AJ5269" s="835">
        <v>40694</v>
      </c>
      <c r="AK5269" s="831">
        <v>0</v>
      </c>
    </row>
    <row r="5270" spans="2:37">
      <c r="B5270" s="834" t="str">
        <f t="shared" si="243"/>
        <v>|||</v>
      </c>
      <c r="H5270" s="835">
        <f t="shared" si="244"/>
        <v>31</v>
      </c>
      <c r="AF5270" s="831" t="s">
        <v>5927</v>
      </c>
      <c r="AG5270" s="831" t="s">
        <v>132</v>
      </c>
      <c r="AH5270" s="831" t="s">
        <v>78</v>
      </c>
      <c r="AI5270" s="831">
        <v>0</v>
      </c>
      <c r="AJ5270" s="835">
        <v>40694</v>
      </c>
      <c r="AK5270" s="831">
        <v>0</v>
      </c>
    </row>
    <row r="5271" spans="2:37">
      <c r="B5271" s="834" t="str">
        <f t="shared" si="243"/>
        <v>|||</v>
      </c>
      <c r="H5271" s="835">
        <f t="shared" si="244"/>
        <v>31</v>
      </c>
      <c r="AF5271" s="831" t="s">
        <v>5928</v>
      </c>
      <c r="AG5271" s="831" t="s">
        <v>132</v>
      </c>
      <c r="AH5271" s="831" t="s">
        <v>183</v>
      </c>
      <c r="AI5271" s="831">
        <v>0</v>
      </c>
      <c r="AJ5271" s="835">
        <v>40694</v>
      </c>
      <c r="AK5271" s="831">
        <v>0</v>
      </c>
    </row>
    <row r="5272" spans="2:37">
      <c r="B5272" s="834" t="str">
        <f t="shared" si="243"/>
        <v>|||</v>
      </c>
      <c r="H5272" s="835">
        <f t="shared" si="244"/>
        <v>31</v>
      </c>
      <c r="AF5272" s="831" t="s">
        <v>5929</v>
      </c>
      <c r="AG5272" s="831" t="s">
        <v>132</v>
      </c>
      <c r="AH5272" s="831" t="s">
        <v>186</v>
      </c>
      <c r="AI5272" s="831">
        <v>0</v>
      </c>
      <c r="AJ5272" s="835">
        <v>40694</v>
      </c>
      <c r="AK5272" s="831">
        <v>0</v>
      </c>
    </row>
    <row r="5273" spans="2:37">
      <c r="B5273" s="834" t="str">
        <f t="shared" si="243"/>
        <v>|||</v>
      </c>
      <c r="H5273" s="835">
        <f t="shared" si="244"/>
        <v>31</v>
      </c>
      <c r="AF5273" s="831" t="s">
        <v>5930</v>
      </c>
      <c r="AG5273" s="831" t="s">
        <v>132</v>
      </c>
      <c r="AH5273" s="831" t="s">
        <v>189</v>
      </c>
      <c r="AI5273" s="831">
        <v>0</v>
      </c>
      <c r="AJ5273" s="835">
        <v>40694</v>
      </c>
      <c r="AK5273" s="831">
        <v>0</v>
      </c>
    </row>
    <row r="5274" spans="2:37">
      <c r="B5274" s="834" t="str">
        <f t="shared" si="243"/>
        <v>|||</v>
      </c>
      <c r="H5274" s="835">
        <f t="shared" si="244"/>
        <v>31</v>
      </c>
      <c r="AF5274" s="831" t="s">
        <v>5931</v>
      </c>
      <c r="AG5274" s="831" t="s">
        <v>132</v>
      </c>
      <c r="AH5274" s="831" t="s">
        <v>68</v>
      </c>
      <c r="AI5274" s="831">
        <v>0</v>
      </c>
      <c r="AJ5274" s="835">
        <v>40724</v>
      </c>
      <c r="AK5274" s="831">
        <v>0</v>
      </c>
    </row>
    <row r="5275" spans="2:37">
      <c r="B5275" s="834" t="str">
        <f t="shared" si="243"/>
        <v>|||</v>
      </c>
      <c r="H5275" s="835">
        <f t="shared" si="244"/>
        <v>31</v>
      </c>
      <c r="AF5275" s="831" t="s">
        <v>5932</v>
      </c>
      <c r="AG5275" s="831" t="s">
        <v>132</v>
      </c>
      <c r="AH5275" s="831" t="s">
        <v>73</v>
      </c>
      <c r="AI5275" s="831">
        <v>0</v>
      </c>
      <c r="AJ5275" s="835">
        <v>40724</v>
      </c>
      <c r="AK5275" s="831">
        <v>0</v>
      </c>
    </row>
    <row r="5276" spans="2:37">
      <c r="B5276" s="834" t="str">
        <f t="shared" si="243"/>
        <v>|||</v>
      </c>
      <c r="H5276" s="835">
        <f t="shared" si="244"/>
        <v>31</v>
      </c>
      <c r="AF5276" s="831" t="s">
        <v>5933</v>
      </c>
      <c r="AG5276" s="831" t="s">
        <v>132</v>
      </c>
      <c r="AH5276" s="831" t="s">
        <v>147</v>
      </c>
      <c r="AI5276" s="831">
        <v>0</v>
      </c>
      <c r="AJ5276" s="835">
        <v>40724</v>
      </c>
      <c r="AK5276" s="831">
        <v>0</v>
      </c>
    </row>
    <row r="5277" spans="2:37">
      <c r="B5277" s="834" t="str">
        <f t="shared" si="243"/>
        <v>|||</v>
      </c>
      <c r="H5277" s="835">
        <f t="shared" si="244"/>
        <v>31</v>
      </c>
      <c r="AF5277" s="831" t="s">
        <v>5934</v>
      </c>
      <c r="AG5277" s="831" t="s">
        <v>132</v>
      </c>
      <c r="AH5277" s="831" t="s">
        <v>151</v>
      </c>
      <c r="AI5277" s="831">
        <v>0</v>
      </c>
      <c r="AJ5277" s="835">
        <v>40724</v>
      </c>
      <c r="AK5277" s="831">
        <v>0</v>
      </c>
    </row>
    <row r="5278" spans="2:37">
      <c r="B5278" s="834" t="str">
        <f t="shared" si="243"/>
        <v>|||</v>
      </c>
      <c r="H5278" s="835">
        <f t="shared" si="244"/>
        <v>31</v>
      </c>
      <c r="AF5278" s="831" t="s">
        <v>5935</v>
      </c>
      <c r="AG5278" s="831" t="s">
        <v>132</v>
      </c>
      <c r="AH5278" s="831" t="s">
        <v>155</v>
      </c>
      <c r="AI5278" s="831">
        <v>0</v>
      </c>
      <c r="AJ5278" s="835">
        <v>40724</v>
      </c>
      <c r="AK5278" s="831">
        <v>0</v>
      </c>
    </row>
    <row r="5279" spans="2:37">
      <c r="B5279" s="834" t="str">
        <f t="shared" si="243"/>
        <v>|||</v>
      </c>
      <c r="H5279" s="835">
        <f t="shared" si="244"/>
        <v>31</v>
      </c>
      <c r="AF5279" s="831" t="s">
        <v>5936</v>
      </c>
      <c r="AG5279" s="831" t="s">
        <v>132</v>
      </c>
      <c r="AH5279" s="831" t="s">
        <v>158</v>
      </c>
      <c r="AI5279" s="831">
        <v>0</v>
      </c>
      <c r="AJ5279" s="835">
        <v>40724</v>
      </c>
      <c r="AK5279" s="831">
        <v>0</v>
      </c>
    </row>
    <row r="5280" spans="2:37">
      <c r="B5280" s="834" t="str">
        <f t="shared" si="243"/>
        <v>|||</v>
      </c>
      <c r="H5280" s="835">
        <f t="shared" si="244"/>
        <v>31</v>
      </c>
      <c r="AF5280" s="831" t="s">
        <v>5937</v>
      </c>
      <c r="AG5280" s="831" t="s">
        <v>132</v>
      </c>
      <c r="AH5280" s="831" t="s">
        <v>160</v>
      </c>
      <c r="AI5280" s="831">
        <v>0</v>
      </c>
      <c r="AJ5280" s="835">
        <v>40724</v>
      </c>
      <c r="AK5280" s="831">
        <v>0</v>
      </c>
    </row>
    <row r="5281" spans="2:37">
      <c r="B5281" s="834" t="str">
        <f t="shared" si="243"/>
        <v>|||</v>
      </c>
      <c r="H5281" s="835">
        <f t="shared" si="244"/>
        <v>31</v>
      </c>
      <c r="AF5281" s="831" t="s">
        <v>5938</v>
      </c>
      <c r="AG5281" s="831" t="s">
        <v>132</v>
      </c>
      <c r="AH5281" s="831" t="s">
        <v>161</v>
      </c>
      <c r="AI5281" s="831">
        <v>0</v>
      </c>
      <c r="AJ5281" s="835">
        <v>40724</v>
      </c>
      <c r="AK5281" s="831">
        <v>0</v>
      </c>
    </row>
    <row r="5282" spans="2:37">
      <c r="B5282" s="834" t="str">
        <f t="shared" si="243"/>
        <v>|||</v>
      </c>
      <c r="H5282" s="835">
        <f t="shared" si="244"/>
        <v>31</v>
      </c>
      <c r="AF5282" s="831" t="s">
        <v>5939</v>
      </c>
      <c r="AG5282" s="831" t="s">
        <v>132</v>
      </c>
      <c r="AH5282" s="831" t="s">
        <v>170</v>
      </c>
      <c r="AI5282" s="831">
        <v>0</v>
      </c>
      <c r="AJ5282" s="835">
        <v>40724</v>
      </c>
      <c r="AK5282" s="831">
        <v>0</v>
      </c>
    </row>
    <row r="5283" spans="2:37">
      <c r="B5283" s="834" t="str">
        <f t="shared" si="243"/>
        <v>|||</v>
      </c>
      <c r="H5283" s="835">
        <f t="shared" si="244"/>
        <v>31</v>
      </c>
      <c r="AF5283" s="831" t="s">
        <v>5940</v>
      </c>
      <c r="AG5283" s="831" t="s">
        <v>132</v>
      </c>
      <c r="AH5283" s="831" t="s">
        <v>173</v>
      </c>
      <c r="AI5283" s="831">
        <v>0</v>
      </c>
      <c r="AJ5283" s="835">
        <v>40724</v>
      </c>
      <c r="AK5283" s="831">
        <v>0</v>
      </c>
    </row>
    <row r="5284" spans="2:37">
      <c r="B5284" s="834" t="str">
        <f t="shared" si="243"/>
        <v>|||</v>
      </c>
      <c r="H5284" s="835">
        <f t="shared" si="244"/>
        <v>31</v>
      </c>
      <c r="AF5284" s="831" t="s">
        <v>5941</v>
      </c>
      <c r="AG5284" s="831" t="s">
        <v>132</v>
      </c>
      <c r="AH5284" s="831" t="s">
        <v>78</v>
      </c>
      <c r="AI5284" s="831">
        <v>0</v>
      </c>
      <c r="AJ5284" s="835">
        <v>40724</v>
      </c>
      <c r="AK5284" s="831">
        <v>0</v>
      </c>
    </row>
    <row r="5285" spans="2:37">
      <c r="B5285" s="834" t="str">
        <f t="shared" si="243"/>
        <v>|||</v>
      </c>
      <c r="H5285" s="835">
        <f t="shared" si="244"/>
        <v>31</v>
      </c>
      <c r="AF5285" s="831" t="s">
        <v>5942</v>
      </c>
      <c r="AG5285" s="831" t="s">
        <v>132</v>
      </c>
      <c r="AH5285" s="831" t="s">
        <v>183</v>
      </c>
      <c r="AI5285" s="831">
        <v>0</v>
      </c>
      <c r="AJ5285" s="835">
        <v>40724</v>
      </c>
      <c r="AK5285" s="831">
        <v>0</v>
      </c>
    </row>
    <row r="5286" spans="2:37">
      <c r="B5286" s="834" t="str">
        <f t="shared" si="243"/>
        <v>|||</v>
      </c>
      <c r="H5286" s="835">
        <f t="shared" si="244"/>
        <v>31</v>
      </c>
      <c r="AF5286" s="831" t="s">
        <v>5943</v>
      </c>
      <c r="AG5286" s="831" t="s">
        <v>132</v>
      </c>
      <c r="AH5286" s="831" t="s">
        <v>186</v>
      </c>
      <c r="AI5286" s="831">
        <v>0</v>
      </c>
      <c r="AJ5286" s="835">
        <v>40724</v>
      </c>
      <c r="AK5286" s="831">
        <v>18108</v>
      </c>
    </row>
    <row r="5287" spans="2:37">
      <c r="B5287" s="834" t="str">
        <f t="shared" si="243"/>
        <v>|||</v>
      </c>
      <c r="H5287" s="835">
        <f t="shared" si="244"/>
        <v>31</v>
      </c>
      <c r="AF5287" s="831" t="s">
        <v>5944</v>
      </c>
      <c r="AG5287" s="831" t="s">
        <v>132</v>
      </c>
      <c r="AH5287" s="831" t="s">
        <v>189</v>
      </c>
      <c r="AI5287" s="831">
        <v>0</v>
      </c>
      <c r="AJ5287" s="835">
        <v>40724</v>
      </c>
      <c r="AK5287" s="831">
        <v>0</v>
      </c>
    </row>
    <row r="5288" spans="2:37">
      <c r="B5288" s="834" t="str">
        <f t="shared" si="243"/>
        <v>|||</v>
      </c>
      <c r="H5288" s="835">
        <f t="shared" si="244"/>
        <v>31</v>
      </c>
      <c r="AF5288" s="831" t="s">
        <v>5945</v>
      </c>
      <c r="AG5288" s="831" t="s">
        <v>132</v>
      </c>
      <c r="AH5288" s="831" t="s">
        <v>68</v>
      </c>
      <c r="AI5288" s="831">
        <v>0</v>
      </c>
      <c r="AJ5288" s="835">
        <v>40755</v>
      </c>
      <c r="AK5288" s="831">
        <v>0</v>
      </c>
    </row>
    <row r="5289" spans="2:37">
      <c r="B5289" s="834" t="str">
        <f t="shared" si="243"/>
        <v>|||</v>
      </c>
      <c r="H5289" s="835">
        <f t="shared" si="244"/>
        <v>31</v>
      </c>
      <c r="AF5289" s="831" t="s">
        <v>5946</v>
      </c>
      <c r="AG5289" s="831" t="s">
        <v>132</v>
      </c>
      <c r="AH5289" s="831" t="s">
        <v>73</v>
      </c>
      <c r="AI5289" s="831">
        <v>0</v>
      </c>
      <c r="AJ5289" s="835">
        <v>40755</v>
      </c>
      <c r="AK5289" s="831">
        <v>0</v>
      </c>
    </row>
    <row r="5290" spans="2:37">
      <c r="B5290" s="834" t="str">
        <f t="shared" si="243"/>
        <v>|||</v>
      </c>
      <c r="H5290" s="835">
        <f t="shared" si="244"/>
        <v>31</v>
      </c>
      <c r="AF5290" s="831" t="s">
        <v>5947</v>
      </c>
      <c r="AG5290" s="831" t="s">
        <v>132</v>
      </c>
      <c r="AH5290" s="831" t="s">
        <v>147</v>
      </c>
      <c r="AI5290" s="831">
        <v>0</v>
      </c>
      <c r="AJ5290" s="835">
        <v>40755</v>
      </c>
      <c r="AK5290" s="831">
        <v>0</v>
      </c>
    </row>
    <row r="5291" spans="2:37">
      <c r="B5291" s="834" t="str">
        <f t="shared" si="243"/>
        <v>|||</v>
      </c>
      <c r="H5291" s="835">
        <f t="shared" si="244"/>
        <v>31</v>
      </c>
      <c r="AF5291" s="831" t="s">
        <v>5948</v>
      </c>
      <c r="AG5291" s="831" t="s">
        <v>132</v>
      </c>
      <c r="AH5291" s="831" t="s">
        <v>151</v>
      </c>
      <c r="AI5291" s="831">
        <v>0</v>
      </c>
      <c r="AJ5291" s="835">
        <v>40755</v>
      </c>
      <c r="AK5291" s="831">
        <v>0</v>
      </c>
    </row>
    <row r="5292" spans="2:37">
      <c r="B5292" s="834" t="str">
        <f t="shared" si="243"/>
        <v>|||</v>
      </c>
      <c r="H5292" s="835">
        <f t="shared" si="244"/>
        <v>31</v>
      </c>
      <c r="AF5292" s="831" t="s">
        <v>5949</v>
      </c>
      <c r="AG5292" s="831" t="s">
        <v>132</v>
      </c>
      <c r="AH5292" s="831" t="s">
        <v>155</v>
      </c>
      <c r="AI5292" s="831">
        <v>0</v>
      </c>
      <c r="AJ5292" s="835">
        <v>40755</v>
      </c>
      <c r="AK5292" s="831">
        <v>0</v>
      </c>
    </row>
    <row r="5293" spans="2:37">
      <c r="B5293" s="834" t="str">
        <f t="shared" si="243"/>
        <v>|||</v>
      </c>
      <c r="H5293" s="835">
        <f t="shared" si="244"/>
        <v>31</v>
      </c>
      <c r="AF5293" s="831" t="s">
        <v>5950</v>
      </c>
      <c r="AG5293" s="831" t="s">
        <v>132</v>
      </c>
      <c r="AH5293" s="831" t="s">
        <v>158</v>
      </c>
      <c r="AI5293" s="831">
        <v>0</v>
      </c>
      <c r="AJ5293" s="835">
        <v>40755</v>
      </c>
      <c r="AK5293" s="831">
        <v>0</v>
      </c>
    </row>
    <row r="5294" spans="2:37">
      <c r="B5294" s="834" t="str">
        <f t="shared" si="243"/>
        <v>|||</v>
      </c>
      <c r="H5294" s="835">
        <f t="shared" si="244"/>
        <v>31</v>
      </c>
      <c r="AF5294" s="831" t="s">
        <v>5951</v>
      </c>
      <c r="AG5294" s="831" t="s">
        <v>132</v>
      </c>
      <c r="AH5294" s="831" t="s">
        <v>160</v>
      </c>
      <c r="AI5294" s="831">
        <v>0</v>
      </c>
      <c r="AJ5294" s="835">
        <v>40755</v>
      </c>
      <c r="AK5294" s="831">
        <v>0</v>
      </c>
    </row>
    <row r="5295" spans="2:37">
      <c r="B5295" s="834" t="str">
        <f t="shared" si="243"/>
        <v>|||</v>
      </c>
      <c r="H5295" s="835">
        <f t="shared" si="244"/>
        <v>31</v>
      </c>
      <c r="AF5295" s="831" t="s">
        <v>5952</v>
      </c>
      <c r="AG5295" s="831" t="s">
        <v>132</v>
      </c>
      <c r="AH5295" s="831" t="s">
        <v>161</v>
      </c>
      <c r="AI5295" s="831">
        <v>0</v>
      </c>
      <c r="AJ5295" s="835">
        <v>40755</v>
      </c>
      <c r="AK5295" s="831">
        <v>0</v>
      </c>
    </row>
    <row r="5296" spans="2:37">
      <c r="B5296" s="834" t="str">
        <f t="shared" si="243"/>
        <v>|||</v>
      </c>
      <c r="H5296" s="835">
        <f t="shared" si="244"/>
        <v>31</v>
      </c>
      <c r="AF5296" s="831" t="s">
        <v>5953</v>
      </c>
      <c r="AG5296" s="831" t="s">
        <v>132</v>
      </c>
      <c r="AH5296" s="831" t="s">
        <v>170</v>
      </c>
      <c r="AI5296" s="831">
        <v>0</v>
      </c>
      <c r="AJ5296" s="835">
        <v>40755</v>
      </c>
      <c r="AK5296" s="831">
        <v>0</v>
      </c>
    </row>
    <row r="5297" spans="2:37">
      <c r="B5297" s="834" t="str">
        <f t="shared" si="243"/>
        <v>|||</v>
      </c>
      <c r="H5297" s="835">
        <f t="shared" si="244"/>
        <v>31</v>
      </c>
      <c r="AF5297" s="831" t="s">
        <v>5954</v>
      </c>
      <c r="AG5297" s="831" t="s">
        <v>132</v>
      </c>
      <c r="AH5297" s="831" t="s">
        <v>173</v>
      </c>
      <c r="AI5297" s="831">
        <v>0</v>
      </c>
      <c r="AJ5297" s="835">
        <v>40755</v>
      </c>
      <c r="AK5297" s="831">
        <v>0</v>
      </c>
    </row>
    <row r="5298" spans="2:37">
      <c r="B5298" s="834" t="str">
        <f t="shared" si="243"/>
        <v>|||</v>
      </c>
      <c r="H5298" s="835">
        <f t="shared" si="244"/>
        <v>31</v>
      </c>
      <c r="AF5298" s="831" t="s">
        <v>5955</v>
      </c>
      <c r="AG5298" s="831" t="s">
        <v>132</v>
      </c>
      <c r="AH5298" s="831" t="s">
        <v>78</v>
      </c>
      <c r="AI5298" s="831">
        <v>0</v>
      </c>
      <c r="AJ5298" s="835">
        <v>40755</v>
      </c>
      <c r="AK5298" s="831">
        <v>0</v>
      </c>
    </row>
    <row r="5299" spans="2:37">
      <c r="B5299" s="834" t="str">
        <f t="shared" si="243"/>
        <v>|||</v>
      </c>
      <c r="H5299" s="835">
        <f t="shared" si="244"/>
        <v>31</v>
      </c>
      <c r="AF5299" s="831" t="s">
        <v>5956</v>
      </c>
      <c r="AG5299" s="831" t="s">
        <v>132</v>
      </c>
      <c r="AH5299" s="831" t="s">
        <v>183</v>
      </c>
      <c r="AI5299" s="831">
        <v>0</v>
      </c>
      <c r="AJ5299" s="835">
        <v>40755</v>
      </c>
      <c r="AK5299" s="831">
        <v>1539603</v>
      </c>
    </row>
    <row r="5300" spans="2:37">
      <c r="B5300" s="834" t="str">
        <f t="shared" si="243"/>
        <v>|||</v>
      </c>
      <c r="H5300" s="835">
        <f t="shared" si="244"/>
        <v>31</v>
      </c>
      <c r="AF5300" s="831" t="s">
        <v>5957</v>
      </c>
      <c r="AG5300" s="831" t="s">
        <v>132</v>
      </c>
      <c r="AH5300" s="831" t="s">
        <v>186</v>
      </c>
      <c r="AI5300" s="831">
        <v>0</v>
      </c>
      <c r="AJ5300" s="835">
        <v>40755</v>
      </c>
      <c r="AK5300" s="831">
        <v>0</v>
      </c>
    </row>
    <row r="5301" spans="2:37">
      <c r="B5301" s="834" t="str">
        <f t="shared" si="243"/>
        <v>|||</v>
      </c>
      <c r="H5301" s="835">
        <f t="shared" si="244"/>
        <v>31</v>
      </c>
      <c r="AF5301" s="831" t="s">
        <v>5958</v>
      </c>
      <c r="AG5301" s="831" t="s">
        <v>132</v>
      </c>
      <c r="AH5301" s="831" t="s">
        <v>189</v>
      </c>
      <c r="AI5301" s="831">
        <v>0</v>
      </c>
      <c r="AJ5301" s="835">
        <v>40755</v>
      </c>
      <c r="AK5301" s="831">
        <v>0</v>
      </c>
    </row>
    <row r="5302" spans="2:37">
      <c r="B5302" s="834" t="str">
        <f t="shared" si="243"/>
        <v>|||</v>
      </c>
      <c r="H5302" s="835">
        <f t="shared" si="244"/>
        <v>31</v>
      </c>
      <c r="AF5302" s="831" t="s">
        <v>5959</v>
      </c>
      <c r="AG5302" s="831" t="s">
        <v>132</v>
      </c>
      <c r="AH5302" s="831" t="s">
        <v>68</v>
      </c>
      <c r="AI5302" s="831">
        <v>0</v>
      </c>
      <c r="AJ5302" s="835">
        <v>40786</v>
      </c>
      <c r="AK5302" s="831">
        <v>0</v>
      </c>
    </row>
    <row r="5303" spans="2:37">
      <c r="B5303" s="834" t="str">
        <f t="shared" si="243"/>
        <v>|||</v>
      </c>
      <c r="H5303" s="835">
        <f t="shared" si="244"/>
        <v>31</v>
      </c>
      <c r="AF5303" s="831" t="s">
        <v>5960</v>
      </c>
      <c r="AG5303" s="831" t="s">
        <v>132</v>
      </c>
      <c r="AH5303" s="831" t="s">
        <v>73</v>
      </c>
      <c r="AI5303" s="831">
        <v>0</v>
      </c>
      <c r="AJ5303" s="835">
        <v>40786</v>
      </c>
      <c r="AK5303" s="831">
        <v>0</v>
      </c>
    </row>
    <row r="5304" spans="2:37">
      <c r="B5304" s="834" t="str">
        <f t="shared" si="243"/>
        <v>|||</v>
      </c>
      <c r="H5304" s="835">
        <f t="shared" si="244"/>
        <v>31</v>
      </c>
      <c r="AF5304" s="831" t="s">
        <v>5961</v>
      </c>
      <c r="AG5304" s="831" t="s">
        <v>132</v>
      </c>
      <c r="AH5304" s="831" t="s">
        <v>147</v>
      </c>
      <c r="AI5304" s="831">
        <v>0</v>
      </c>
      <c r="AJ5304" s="835">
        <v>40786</v>
      </c>
      <c r="AK5304" s="831">
        <v>0</v>
      </c>
    </row>
    <row r="5305" spans="2:37">
      <c r="B5305" s="834" t="str">
        <f t="shared" si="243"/>
        <v>|||</v>
      </c>
      <c r="H5305" s="835">
        <f t="shared" si="244"/>
        <v>31</v>
      </c>
      <c r="AF5305" s="831" t="s">
        <v>5962</v>
      </c>
      <c r="AG5305" s="831" t="s">
        <v>132</v>
      </c>
      <c r="AH5305" s="831" t="s">
        <v>151</v>
      </c>
      <c r="AI5305" s="831">
        <v>0</v>
      </c>
      <c r="AJ5305" s="835">
        <v>40786</v>
      </c>
      <c r="AK5305" s="831">
        <v>0</v>
      </c>
    </row>
    <row r="5306" spans="2:37">
      <c r="B5306" s="834" t="str">
        <f t="shared" si="243"/>
        <v>|||</v>
      </c>
      <c r="H5306" s="835">
        <f t="shared" si="244"/>
        <v>31</v>
      </c>
      <c r="AF5306" s="831" t="s">
        <v>5963</v>
      </c>
      <c r="AG5306" s="831" t="s">
        <v>132</v>
      </c>
      <c r="AH5306" s="831" t="s">
        <v>155</v>
      </c>
      <c r="AI5306" s="831">
        <v>0</v>
      </c>
      <c r="AJ5306" s="835">
        <v>40786</v>
      </c>
      <c r="AK5306" s="831">
        <v>0</v>
      </c>
    </row>
    <row r="5307" spans="2:37">
      <c r="B5307" s="834" t="str">
        <f t="shared" si="243"/>
        <v>|||</v>
      </c>
      <c r="H5307" s="835">
        <f t="shared" si="244"/>
        <v>31</v>
      </c>
      <c r="AF5307" s="831" t="s">
        <v>5964</v>
      </c>
      <c r="AG5307" s="831" t="s">
        <v>132</v>
      </c>
      <c r="AH5307" s="831" t="s">
        <v>158</v>
      </c>
      <c r="AI5307" s="831">
        <v>0</v>
      </c>
      <c r="AJ5307" s="835">
        <v>40786</v>
      </c>
      <c r="AK5307" s="831">
        <v>0</v>
      </c>
    </row>
    <row r="5308" spans="2:37">
      <c r="B5308" s="834" t="str">
        <f t="shared" si="243"/>
        <v>|||</v>
      </c>
      <c r="H5308" s="835">
        <f t="shared" si="244"/>
        <v>31</v>
      </c>
      <c r="AF5308" s="831" t="s">
        <v>5965</v>
      </c>
      <c r="AG5308" s="831" t="s">
        <v>132</v>
      </c>
      <c r="AH5308" s="831" t="s">
        <v>160</v>
      </c>
      <c r="AI5308" s="831">
        <v>0</v>
      </c>
      <c r="AJ5308" s="835">
        <v>40786</v>
      </c>
      <c r="AK5308" s="831">
        <v>0</v>
      </c>
    </row>
    <row r="5309" spans="2:37">
      <c r="B5309" s="834" t="str">
        <f t="shared" si="243"/>
        <v>|||</v>
      </c>
      <c r="H5309" s="835">
        <f t="shared" si="244"/>
        <v>31</v>
      </c>
      <c r="AF5309" s="831" t="s">
        <v>5966</v>
      </c>
      <c r="AG5309" s="831" t="s">
        <v>132</v>
      </c>
      <c r="AH5309" s="831" t="s">
        <v>161</v>
      </c>
      <c r="AI5309" s="831">
        <v>0</v>
      </c>
      <c r="AJ5309" s="835">
        <v>40786</v>
      </c>
      <c r="AK5309" s="831">
        <v>0</v>
      </c>
    </row>
    <row r="5310" spans="2:37">
      <c r="B5310" s="834" t="str">
        <f t="shared" si="243"/>
        <v>|||</v>
      </c>
      <c r="H5310" s="835">
        <f t="shared" si="244"/>
        <v>31</v>
      </c>
      <c r="AF5310" s="831" t="s">
        <v>5967</v>
      </c>
      <c r="AG5310" s="831" t="s">
        <v>132</v>
      </c>
      <c r="AH5310" s="831" t="s">
        <v>170</v>
      </c>
      <c r="AI5310" s="831">
        <v>0</v>
      </c>
      <c r="AJ5310" s="835">
        <v>40786</v>
      </c>
      <c r="AK5310" s="831">
        <v>0</v>
      </c>
    </row>
    <row r="5311" spans="2:37">
      <c r="B5311" s="834" t="str">
        <f t="shared" si="243"/>
        <v>|||</v>
      </c>
      <c r="H5311" s="835">
        <f t="shared" si="244"/>
        <v>31</v>
      </c>
      <c r="AF5311" s="831" t="s">
        <v>5968</v>
      </c>
      <c r="AG5311" s="831" t="s">
        <v>132</v>
      </c>
      <c r="AH5311" s="831" t="s">
        <v>173</v>
      </c>
      <c r="AI5311" s="831">
        <v>0</v>
      </c>
      <c r="AJ5311" s="835">
        <v>40786</v>
      </c>
      <c r="AK5311" s="831">
        <v>0</v>
      </c>
    </row>
    <row r="5312" spans="2:37">
      <c r="B5312" s="834" t="str">
        <f t="shared" si="243"/>
        <v>|||</v>
      </c>
      <c r="H5312" s="835">
        <f t="shared" si="244"/>
        <v>31</v>
      </c>
      <c r="AF5312" s="831" t="s">
        <v>5969</v>
      </c>
      <c r="AG5312" s="831" t="s">
        <v>132</v>
      </c>
      <c r="AH5312" s="831" t="s">
        <v>78</v>
      </c>
      <c r="AI5312" s="831">
        <v>0</v>
      </c>
      <c r="AJ5312" s="835">
        <v>40786</v>
      </c>
      <c r="AK5312" s="831">
        <v>0</v>
      </c>
    </row>
    <row r="5313" spans="2:37">
      <c r="B5313" s="834" t="str">
        <f t="shared" si="243"/>
        <v>|||</v>
      </c>
      <c r="H5313" s="835">
        <f t="shared" si="244"/>
        <v>31</v>
      </c>
      <c r="AF5313" s="831" t="s">
        <v>5970</v>
      </c>
      <c r="AG5313" s="831" t="s">
        <v>132</v>
      </c>
      <c r="AH5313" s="831" t="s">
        <v>183</v>
      </c>
      <c r="AI5313" s="831">
        <v>0</v>
      </c>
      <c r="AJ5313" s="835">
        <v>40786</v>
      </c>
      <c r="AK5313" s="831">
        <v>0</v>
      </c>
    </row>
    <row r="5314" spans="2:37">
      <c r="B5314" s="834" t="str">
        <f t="shared" si="243"/>
        <v>|||</v>
      </c>
      <c r="H5314" s="835">
        <f t="shared" si="244"/>
        <v>31</v>
      </c>
      <c r="AF5314" s="831" t="s">
        <v>5971</v>
      </c>
      <c r="AG5314" s="831" t="s">
        <v>132</v>
      </c>
      <c r="AH5314" s="831" t="s">
        <v>186</v>
      </c>
      <c r="AI5314" s="831">
        <v>0</v>
      </c>
      <c r="AJ5314" s="835">
        <v>40786</v>
      </c>
      <c r="AK5314" s="831">
        <v>42500</v>
      </c>
    </row>
    <row r="5315" spans="2:37">
      <c r="B5315" s="834" t="str">
        <f t="shared" ref="B5315:B5378" si="245">C5315&amp;"|"&amp;D5315&amp;"|"&amp;E5315&amp;"|"&amp;F5315</f>
        <v>|||</v>
      </c>
      <c r="H5315" s="835">
        <f t="shared" si="244"/>
        <v>31</v>
      </c>
      <c r="AF5315" s="831" t="s">
        <v>5972</v>
      </c>
      <c r="AG5315" s="831" t="s">
        <v>132</v>
      </c>
      <c r="AH5315" s="831" t="s">
        <v>189</v>
      </c>
      <c r="AI5315" s="831">
        <v>0</v>
      </c>
      <c r="AJ5315" s="835">
        <v>40786</v>
      </c>
      <c r="AK5315" s="831">
        <v>0</v>
      </c>
    </row>
    <row r="5316" spans="2:37">
      <c r="B5316" s="834" t="str">
        <f t="shared" si="245"/>
        <v>|||</v>
      </c>
      <c r="H5316" s="835">
        <f t="shared" ref="H5316:H5379" si="246">EOMONTH(L5316,0)</f>
        <v>31</v>
      </c>
      <c r="AF5316" s="831" t="s">
        <v>5973</v>
      </c>
      <c r="AG5316" s="831" t="s">
        <v>132</v>
      </c>
      <c r="AH5316" s="831" t="s">
        <v>68</v>
      </c>
      <c r="AI5316" s="831">
        <v>0</v>
      </c>
      <c r="AJ5316" s="835">
        <v>40816</v>
      </c>
      <c r="AK5316" s="831">
        <v>0</v>
      </c>
    </row>
    <row r="5317" spans="2:37">
      <c r="B5317" s="834" t="str">
        <f t="shared" si="245"/>
        <v>|||</v>
      </c>
      <c r="H5317" s="835">
        <f t="shared" si="246"/>
        <v>31</v>
      </c>
      <c r="AF5317" s="831" t="s">
        <v>5974</v>
      </c>
      <c r="AG5317" s="831" t="s">
        <v>132</v>
      </c>
      <c r="AH5317" s="831" t="s">
        <v>73</v>
      </c>
      <c r="AI5317" s="831">
        <v>0</v>
      </c>
      <c r="AJ5317" s="835">
        <v>40816</v>
      </c>
      <c r="AK5317" s="831">
        <v>0</v>
      </c>
    </row>
    <row r="5318" spans="2:37">
      <c r="B5318" s="834" t="str">
        <f t="shared" si="245"/>
        <v>|||</v>
      </c>
      <c r="H5318" s="835">
        <f t="shared" si="246"/>
        <v>31</v>
      </c>
      <c r="AF5318" s="831" t="s">
        <v>5975</v>
      </c>
      <c r="AG5318" s="831" t="s">
        <v>132</v>
      </c>
      <c r="AH5318" s="831" t="s">
        <v>147</v>
      </c>
      <c r="AI5318" s="831">
        <v>0</v>
      </c>
      <c r="AJ5318" s="835">
        <v>40816</v>
      </c>
      <c r="AK5318" s="831">
        <v>0</v>
      </c>
    </row>
    <row r="5319" spans="2:37">
      <c r="B5319" s="834" t="str">
        <f t="shared" si="245"/>
        <v>|||</v>
      </c>
      <c r="H5319" s="835">
        <f t="shared" si="246"/>
        <v>31</v>
      </c>
      <c r="AF5319" s="831" t="s">
        <v>5976</v>
      </c>
      <c r="AG5319" s="831" t="s">
        <v>132</v>
      </c>
      <c r="AH5319" s="831" t="s">
        <v>151</v>
      </c>
      <c r="AI5319" s="831">
        <v>0</v>
      </c>
      <c r="AJ5319" s="835">
        <v>40816</v>
      </c>
      <c r="AK5319" s="831">
        <v>0</v>
      </c>
    </row>
    <row r="5320" spans="2:37">
      <c r="B5320" s="834" t="str">
        <f t="shared" si="245"/>
        <v>|||</v>
      </c>
      <c r="H5320" s="835">
        <f t="shared" si="246"/>
        <v>31</v>
      </c>
      <c r="AF5320" s="831" t="s">
        <v>5977</v>
      </c>
      <c r="AG5320" s="831" t="s">
        <v>132</v>
      </c>
      <c r="AH5320" s="831" t="s">
        <v>155</v>
      </c>
      <c r="AI5320" s="831">
        <v>0</v>
      </c>
      <c r="AJ5320" s="835">
        <v>40816</v>
      </c>
      <c r="AK5320" s="831">
        <v>0</v>
      </c>
    </row>
    <row r="5321" spans="2:37">
      <c r="B5321" s="834" t="str">
        <f t="shared" si="245"/>
        <v>|||</v>
      </c>
      <c r="H5321" s="835">
        <f t="shared" si="246"/>
        <v>31</v>
      </c>
      <c r="AF5321" s="831" t="s">
        <v>5978</v>
      </c>
      <c r="AG5321" s="831" t="s">
        <v>132</v>
      </c>
      <c r="AH5321" s="831" t="s">
        <v>158</v>
      </c>
      <c r="AI5321" s="831">
        <v>0</v>
      </c>
      <c r="AJ5321" s="835">
        <v>40816</v>
      </c>
      <c r="AK5321" s="831">
        <v>0</v>
      </c>
    </row>
    <row r="5322" spans="2:37">
      <c r="B5322" s="834" t="str">
        <f t="shared" si="245"/>
        <v>|||</v>
      </c>
      <c r="H5322" s="835">
        <f t="shared" si="246"/>
        <v>31</v>
      </c>
      <c r="AF5322" s="831" t="s">
        <v>5979</v>
      </c>
      <c r="AG5322" s="831" t="s">
        <v>132</v>
      </c>
      <c r="AH5322" s="831" t="s">
        <v>160</v>
      </c>
      <c r="AI5322" s="831">
        <v>0</v>
      </c>
      <c r="AJ5322" s="835">
        <v>40816</v>
      </c>
      <c r="AK5322" s="831">
        <v>0</v>
      </c>
    </row>
    <row r="5323" spans="2:37">
      <c r="B5323" s="834" t="str">
        <f t="shared" si="245"/>
        <v>|||</v>
      </c>
      <c r="H5323" s="835">
        <f t="shared" si="246"/>
        <v>31</v>
      </c>
      <c r="AF5323" s="831" t="s">
        <v>5980</v>
      </c>
      <c r="AG5323" s="831" t="s">
        <v>132</v>
      </c>
      <c r="AH5323" s="831" t="s">
        <v>161</v>
      </c>
      <c r="AI5323" s="831">
        <v>0</v>
      </c>
      <c r="AJ5323" s="835">
        <v>40816</v>
      </c>
      <c r="AK5323" s="831">
        <v>0</v>
      </c>
    </row>
    <row r="5324" spans="2:37">
      <c r="B5324" s="834" t="str">
        <f t="shared" si="245"/>
        <v>|||</v>
      </c>
      <c r="H5324" s="835">
        <f t="shared" si="246"/>
        <v>31</v>
      </c>
      <c r="AF5324" s="831" t="s">
        <v>5981</v>
      </c>
      <c r="AG5324" s="831" t="s">
        <v>132</v>
      </c>
      <c r="AH5324" s="831" t="s">
        <v>170</v>
      </c>
      <c r="AI5324" s="831">
        <v>0</v>
      </c>
      <c r="AJ5324" s="835">
        <v>40816</v>
      </c>
      <c r="AK5324" s="831">
        <v>0</v>
      </c>
    </row>
    <row r="5325" spans="2:37">
      <c r="B5325" s="834" t="str">
        <f t="shared" si="245"/>
        <v>|||</v>
      </c>
      <c r="H5325" s="835">
        <f t="shared" si="246"/>
        <v>31</v>
      </c>
      <c r="AF5325" s="831" t="s">
        <v>5982</v>
      </c>
      <c r="AG5325" s="831" t="s">
        <v>132</v>
      </c>
      <c r="AH5325" s="831" t="s">
        <v>173</v>
      </c>
      <c r="AI5325" s="831">
        <v>0</v>
      </c>
      <c r="AJ5325" s="835">
        <v>40816</v>
      </c>
      <c r="AK5325" s="831">
        <v>0</v>
      </c>
    </row>
    <row r="5326" spans="2:37">
      <c r="B5326" s="834" t="str">
        <f t="shared" si="245"/>
        <v>|||</v>
      </c>
      <c r="H5326" s="835">
        <f t="shared" si="246"/>
        <v>31</v>
      </c>
      <c r="AF5326" s="831" t="s">
        <v>5983</v>
      </c>
      <c r="AG5326" s="831" t="s">
        <v>132</v>
      </c>
      <c r="AH5326" s="831" t="s">
        <v>78</v>
      </c>
      <c r="AI5326" s="831">
        <v>0</v>
      </c>
      <c r="AJ5326" s="835">
        <v>40816</v>
      </c>
      <c r="AK5326" s="831">
        <v>0</v>
      </c>
    </row>
    <row r="5327" spans="2:37">
      <c r="B5327" s="834" t="str">
        <f t="shared" si="245"/>
        <v>|||</v>
      </c>
      <c r="H5327" s="835">
        <f t="shared" si="246"/>
        <v>31</v>
      </c>
      <c r="AF5327" s="831" t="s">
        <v>5984</v>
      </c>
      <c r="AG5327" s="831" t="s">
        <v>132</v>
      </c>
      <c r="AH5327" s="831" t="s">
        <v>183</v>
      </c>
      <c r="AI5327" s="831">
        <v>0</v>
      </c>
      <c r="AJ5327" s="835">
        <v>40816</v>
      </c>
      <c r="AK5327" s="831">
        <v>0</v>
      </c>
    </row>
    <row r="5328" spans="2:37">
      <c r="B5328" s="834" t="str">
        <f t="shared" si="245"/>
        <v>|||</v>
      </c>
      <c r="H5328" s="835">
        <f t="shared" si="246"/>
        <v>31</v>
      </c>
      <c r="AF5328" s="831" t="s">
        <v>5985</v>
      </c>
      <c r="AG5328" s="831" t="s">
        <v>132</v>
      </c>
      <c r="AH5328" s="831" t="s">
        <v>186</v>
      </c>
      <c r="AI5328" s="831">
        <v>0</v>
      </c>
      <c r="AJ5328" s="835">
        <v>40816</v>
      </c>
      <c r="AK5328" s="831">
        <v>117804</v>
      </c>
    </row>
    <row r="5329" spans="2:37">
      <c r="B5329" s="834" t="str">
        <f t="shared" si="245"/>
        <v>|||</v>
      </c>
      <c r="H5329" s="835">
        <f t="shared" si="246"/>
        <v>31</v>
      </c>
      <c r="AF5329" s="831" t="s">
        <v>5986</v>
      </c>
      <c r="AG5329" s="831" t="s">
        <v>132</v>
      </c>
      <c r="AH5329" s="831" t="s">
        <v>189</v>
      </c>
      <c r="AI5329" s="831">
        <v>0</v>
      </c>
      <c r="AJ5329" s="835">
        <v>40816</v>
      </c>
      <c r="AK5329" s="831">
        <v>0</v>
      </c>
    </row>
    <row r="5330" spans="2:37">
      <c r="B5330" s="834" t="str">
        <f t="shared" si="245"/>
        <v>|||</v>
      </c>
      <c r="H5330" s="835">
        <f t="shared" si="246"/>
        <v>31</v>
      </c>
      <c r="AF5330" s="831" t="s">
        <v>5987</v>
      </c>
      <c r="AG5330" s="831" t="s">
        <v>132</v>
      </c>
      <c r="AH5330" s="831" t="s">
        <v>68</v>
      </c>
      <c r="AI5330" s="831">
        <v>0</v>
      </c>
      <c r="AJ5330" s="835">
        <v>40847</v>
      </c>
      <c r="AK5330" s="831">
        <v>0</v>
      </c>
    </row>
    <row r="5331" spans="2:37">
      <c r="B5331" s="834" t="str">
        <f t="shared" si="245"/>
        <v>|||</v>
      </c>
      <c r="H5331" s="835">
        <f t="shared" si="246"/>
        <v>31</v>
      </c>
      <c r="AF5331" s="831" t="s">
        <v>5988</v>
      </c>
      <c r="AG5331" s="831" t="s">
        <v>132</v>
      </c>
      <c r="AH5331" s="831" t="s">
        <v>73</v>
      </c>
      <c r="AI5331" s="831">
        <v>0</v>
      </c>
      <c r="AJ5331" s="835">
        <v>40847</v>
      </c>
      <c r="AK5331" s="831">
        <v>0</v>
      </c>
    </row>
    <row r="5332" spans="2:37">
      <c r="B5332" s="834" t="str">
        <f t="shared" si="245"/>
        <v>|||</v>
      </c>
      <c r="H5332" s="835">
        <f t="shared" si="246"/>
        <v>31</v>
      </c>
      <c r="AF5332" s="831" t="s">
        <v>5989</v>
      </c>
      <c r="AG5332" s="831" t="s">
        <v>132</v>
      </c>
      <c r="AH5332" s="831" t="s">
        <v>147</v>
      </c>
      <c r="AI5332" s="831">
        <v>0</v>
      </c>
      <c r="AJ5332" s="835">
        <v>40847</v>
      </c>
      <c r="AK5332" s="831">
        <v>0</v>
      </c>
    </row>
    <row r="5333" spans="2:37">
      <c r="B5333" s="834" t="str">
        <f t="shared" si="245"/>
        <v>|||</v>
      </c>
      <c r="H5333" s="835">
        <f t="shared" si="246"/>
        <v>31</v>
      </c>
      <c r="AF5333" s="831" t="s">
        <v>5990</v>
      </c>
      <c r="AG5333" s="831" t="s">
        <v>132</v>
      </c>
      <c r="AH5333" s="831" t="s">
        <v>151</v>
      </c>
      <c r="AI5333" s="831">
        <v>0</v>
      </c>
      <c r="AJ5333" s="835">
        <v>40847</v>
      </c>
      <c r="AK5333" s="831">
        <v>0</v>
      </c>
    </row>
    <row r="5334" spans="2:37">
      <c r="B5334" s="834" t="str">
        <f t="shared" si="245"/>
        <v>|||</v>
      </c>
      <c r="H5334" s="835">
        <f t="shared" si="246"/>
        <v>31</v>
      </c>
      <c r="AF5334" s="831" t="s">
        <v>5991</v>
      </c>
      <c r="AG5334" s="831" t="s">
        <v>132</v>
      </c>
      <c r="AH5334" s="831" t="s">
        <v>155</v>
      </c>
      <c r="AI5334" s="831">
        <v>0</v>
      </c>
      <c r="AJ5334" s="835">
        <v>40847</v>
      </c>
      <c r="AK5334" s="831">
        <v>0</v>
      </c>
    </row>
    <row r="5335" spans="2:37">
      <c r="B5335" s="834" t="str">
        <f t="shared" si="245"/>
        <v>|||</v>
      </c>
      <c r="H5335" s="835">
        <f t="shared" si="246"/>
        <v>31</v>
      </c>
      <c r="AF5335" s="831" t="s">
        <v>5992</v>
      </c>
      <c r="AG5335" s="831" t="s">
        <v>132</v>
      </c>
      <c r="AH5335" s="831" t="s">
        <v>158</v>
      </c>
      <c r="AI5335" s="831">
        <v>0</v>
      </c>
      <c r="AJ5335" s="835">
        <v>40847</v>
      </c>
      <c r="AK5335" s="831">
        <v>0</v>
      </c>
    </row>
    <row r="5336" spans="2:37">
      <c r="B5336" s="834" t="str">
        <f t="shared" si="245"/>
        <v>|||</v>
      </c>
      <c r="H5336" s="835">
        <f t="shared" si="246"/>
        <v>31</v>
      </c>
      <c r="AF5336" s="831" t="s">
        <v>5993</v>
      </c>
      <c r="AG5336" s="831" t="s">
        <v>132</v>
      </c>
      <c r="AH5336" s="831" t="s">
        <v>160</v>
      </c>
      <c r="AI5336" s="831">
        <v>0</v>
      </c>
      <c r="AJ5336" s="835">
        <v>40847</v>
      </c>
      <c r="AK5336" s="831">
        <v>0</v>
      </c>
    </row>
    <row r="5337" spans="2:37">
      <c r="B5337" s="834" t="str">
        <f t="shared" si="245"/>
        <v>|||</v>
      </c>
      <c r="H5337" s="835">
        <f t="shared" si="246"/>
        <v>31</v>
      </c>
      <c r="AF5337" s="831" t="s">
        <v>5994</v>
      </c>
      <c r="AG5337" s="831" t="s">
        <v>132</v>
      </c>
      <c r="AH5337" s="831" t="s">
        <v>161</v>
      </c>
      <c r="AI5337" s="831">
        <v>0</v>
      </c>
      <c r="AJ5337" s="835">
        <v>40847</v>
      </c>
      <c r="AK5337" s="831">
        <v>0</v>
      </c>
    </row>
    <row r="5338" spans="2:37">
      <c r="B5338" s="834" t="str">
        <f t="shared" si="245"/>
        <v>|||</v>
      </c>
      <c r="H5338" s="835">
        <f t="shared" si="246"/>
        <v>31</v>
      </c>
      <c r="AF5338" s="831" t="s">
        <v>5995</v>
      </c>
      <c r="AG5338" s="831" t="s">
        <v>132</v>
      </c>
      <c r="AH5338" s="831" t="s">
        <v>170</v>
      </c>
      <c r="AI5338" s="831">
        <v>0</v>
      </c>
      <c r="AJ5338" s="835">
        <v>40847</v>
      </c>
      <c r="AK5338" s="831">
        <v>0</v>
      </c>
    </row>
    <row r="5339" spans="2:37">
      <c r="B5339" s="834" t="str">
        <f t="shared" si="245"/>
        <v>|||</v>
      </c>
      <c r="H5339" s="835">
        <f t="shared" si="246"/>
        <v>31</v>
      </c>
      <c r="AF5339" s="831" t="s">
        <v>5996</v>
      </c>
      <c r="AG5339" s="831" t="s">
        <v>132</v>
      </c>
      <c r="AH5339" s="831" t="s">
        <v>173</v>
      </c>
      <c r="AI5339" s="831">
        <v>0</v>
      </c>
      <c r="AJ5339" s="835">
        <v>40847</v>
      </c>
      <c r="AK5339" s="831">
        <v>0</v>
      </c>
    </row>
    <row r="5340" spans="2:37">
      <c r="B5340" s="834" t="str">
        <f t="shared" si="245"/>
        <v>|||</v>
      </c>
      <c r="H5340" s="835">
        <f t="shared" si="246"/>
        <v>31</v>
      </c>
      <c r="AF5340" s="831" t="s">
        <v>5997</v>
      </c>
      <c r="AG5340" s="831" t="s">
        <v>132</v>
      </c>
      <c r="AH5340" s="831" t="s">
        <v>78</v>
      </c>
      <c r="AI5340" s="831">
        <v>0</v>
      </c>
      <c r="AJ5340" s="835">
        <v>40847</v>
      </c>
      <c r="AK5340" s="831">
        <v>0</v>
      </c>
    </row>
    <row r="5341" spans="2:37">
      <c r="B5341" s="834" t="str">
        <f t="shared" si="245"/>
        <v>|||</v>
      </c>
      <c r="H5341" s="835">
        <f t="shared" si="246"/>
        <v>31</v>
      </c>
      <c r="AF5341" s="831" t="s">
        <v>5998</v>
      </c>
      <c r="AG5341" s="831" t="s">
        <v>132</v>
      </c>
      <c r="AH5341" s="831" t="s">
        <v>183</v>
      </c>
      <c r="AI5341" s="831">
        <v>0</v>
      </c>
      <c r="AJ5341" s="835">
        <v>40847</v>
      </c>
      <c r="AK5341" s="831">
        <v>0</v>
      </c>
    </row>
    <row r="5342" spans="2:37">
      <c r="B5342" s="834" t="str">
        <f t="shared" si="245"/>
        <v>|||</v>
      </c>
      <c r="H5342" s="835">
        <f t="shared" si="246"/>
        <v>31</v>
      </c>
      <c r="AF5342" s="831" t="s">
        <v>5999</v>
      </c>
      <c r="AG5342" s="831" t="s">
        <v>132</v>
      </c>
      <c r="AH5342" s="831" t="s">
        <v>186</v>
      </c>
      <c r="AI5342" s="831">
        <v>0</v>
      </c>
      <c r="AJ5342" s="835">
        <v>40847</v>
      </c>
      <c r="AK5342" s="831">
        <v>98528</v>
      </c>
    </row>
    <row r="5343" spans="2:37">
      <c r="B5343" s="834" t="str">
        <f t="shared" si="245"/>
        <v>|||</v>
      </c>
      <c r="H5343" s="835">
        <f t="shared" si="246"/>
        <v>31</v>
      </c>
      <c r="AF5343" s="831" t="s">
        <v>6000</v>
      </c>
      <c r="AG5343" s="831" t="s">
        <v>132</v>
      </c>
      <c r="AH5343" s="831" t="s">
        <v>189</v>
      </c>
      <c r="AI5343" s="831">
        <v>0</v>
      </c>
      <c r="AJ5343" s="835">
        <v>40847</v>
      </c>
      <c r="AK5343" s="831">
        <v>0</v>
      </c>
    </row>
    <row r="5344" spans="2:37">
      <c r="B5344" s="834" t="str">
        <f t="shared" si="245"/>
        <v>|||</v>
      </c>
      <c r="H5344" s="835">
        <f t="shared" si="246"/>
        <v>31</v>
      </c>
      <c r="AF5344" s="831" t="s">
        <v>6001</v>
      </c>
      <c r="AG5344" s="831" t="s">
        <v>132</v>
      </c>
      <c r="AH5344" s="831" t="s">
        <v>68</v>
      </c>
      <c r="AI5344" s="831">
        <v>0</v>
      </c>
      <c r="AJ5344" s="835">
        <v>40877</v>
      </c>
      <c r="AK5344" s="831">
        <v>0</v>
      </c>
    </row>
    <row r="5345" spans="2:37">
      <c r="B5345" s="834" t="str">
        <f t="shared" si="245"/>
        <v>|||</v>
      </c>
      <c r="H5345" s="835">
        <f t="shared" si="246"/>
        <v>31</v>
      </c>
      <c r="AF5345" s="831" t="s">
        <v>6002</v>
      </c>
      <c r="AG5345" s="831" t="s">
        <v>132</v>
      </c>
      <c r="AH5345" s="831" t="s">
        <v>73</v>
      </c>
      <c r="AI5345" s="831">
        <v>0</v>
      </c>
      <c r="AJ5345" s="835">
        <v>40877</v>
      </c>
      <c r="AK5345" s="831">
        <v>0</v>
      </c>
    </row>
    <row r="5346" spans="2:37">
      <c r="B5346" s="834" t="str">
        <f t="shared" si="245"/>
        <v>|||</v>
      </c>
      <c r="H5346" s="835">
        <f t="shared" si="246"/>
        <v>31</v>
      </c>
      <c r="AF5346" s="831" t="s">
        <v>6003</v>
      </c>
      <c r="AG5346" s="831" t="s">
        <v>132</v>
      </c>
      <c r="AH5346" s="831" t="s">
        <v>147</v>
      </c>
      <c r="AI5346" s="831">
        <v>0</v>
      </c>
      <c r="AJ5346" s="835">
        <v>40877</v>
      </c>
      <c r="AK5346" s="831">
        <v>0</v>
      </c>
    </row>
    <row r="5347" spans="2:37">
      <c r="B5347" s="834" t="str">
        <f t="shared" si="245"/>
        <v>|||</v>
      </c>
      <c r="H5347" s="835">
        <f t="shared" si="246"/>
        <v>31</v>
      </c>
      <c r="AF5347" s="831" t="s">
        <v>6004</v>
      </c>
      <c r="AG5347" s="831" t="s">
        <v>132</v>
      </c>
      <c r="AH5347" s="831" t="s">
        <v>151</v>
      </c>
      <c r="AI5347" s="831">
        <v>0</v>
      </c>
      <c r="AJ5347" s="835">
        <v>40877</v>
      </c>
      <c r="AK5347" s="831">
        <v>0</v>
      </c>
    </row>
    <row r="5348" spans="2:37">
      <c r="B5348" s="834" t="str">
        <f t="shared" si="245"/>
        <v>|||</v>
      </c>
      <c r="H5348" s="835">
        <f t="shared" si="246"/>
        <v>31</v>
      </c>
      <c r="AF5348" s="831" t="s">
        <v>6005</v>
      </c>
      <c r="AG5348" s="831" t="s">
        <v>132</v>
      </c>
      <c r="AH5348" s="831" t="s">
        <v>155</v>
      </c>
      <c r="AI5348" s="831">
        <v>0</v>
      </c>
      <c r="AJ5348" s="835">
        <v>40877</v>
      </c>
      <c r="AK5348" s="831">
        <v>0</v>
      </c>
    </row>
    <row r="5349" spans="2:37">
      <c r="B5349" s="834" t="str">
        <f t="shared" si="245"/>
        <v>|||</v>
      </c>
      <c r="H5349" s="835">
        <f t="shared" si="246"/>
        <v>31</v>
      </c>
      <c r="AF5349" s="831" t="s">
        <v>6006</v>
      </c>
      <c r="AG5349" s="831" t="s">
        <v>132</v>
      </c>
      <c r="AH5349" s="831" t="s">
        <v>158</v>
      </c>
      <c r="AI5349" s="831">
        <v>0</v>
      </c>
      <c r="AJ5349" s="835">
        <v>40877</v>
      </c>
      <c r="AK5349" s="831">
        <v>0</v>
      </c>
    </row>
    <row r="5350" spans="2:37">
      <c r="B5350" s="834" t="str">
        <f t="shared" si="245"/>
        <v>|||</v>
      </c>
      <c r="H5350" s="835">
        <f t="shared" si="246"/>
        <v>31</v>
      </c>
      <c r="AF5350" s="831" t="s">
        <v>6007</v>
      </c>
      <c r="AG5350" s="831" t="s">
        <v>132</v>
      </c>
      <c r="AH5350" s="831" t="s">
        <v>160</v>
      </c>
      <c r="AI5350" s="831">
        <v>0</v>
      </c>
      <c r="AJ5350" s="835">
        <v>40877</v>
      </c>
      <c r="AK5350" s="831">
        <v>0</v>
      </c>
    </row>
    <row r="5351" spans="2:37">
      <c r="B5351" s="834" t="str">
        <f t="shared" si="245"/>
        <v>|||</v>
      </c>
      <c r="H5351" s="835">
        <f t="shared" si="246"/>
        <v>31</v>
      </c>
      <c r="AF5351" s="831" t="s">
        <v>6008</v>
      </c>
      <c r="AG5351" s="831" t="s">
        <v>132</v>
      </c>
      <c r="AH5351" s="831" t="s">
        <v>161</v>
      </c>
      <c r="AI5351" s="831">
        <v>0</v>
      </c>
      <c r="AJ5351" s="835">
        <v>40877</v>
      </c>
      <c r="AK5351" s="831">
        <v>0</v>
      </c>
    </row>
    <row r="5352" spans="2:37">
      <c r="B5352" s="834" t="str">
        <f t="shared" si="245"/>
        <v>|||</v>
      </c>
      <c r="H5352" s="835">
        <f t="shared" si="246"/>
        <v>31</v>
      </c>
      <c r="AF5352" s="831" t="s">
        <v>6009</v>
      </c>
      <c r="AG5352" s="831" t="s">
        <v>132</v>
      </c>
      <c r="AH5352" s="831" t="s">
        <v>170</v>
      </c>
      <c r="AI5352" s="831">
        <v>0</v>
      </c>
      <c r="AJ5352" s="835">
        <v>40877</v>
      </c>
      <c r="AK5352" s="831">
        <v>0</v>
      </c>
    </row>
    <row r="5353" spans="2:37">
      <c r="B5353" s="834" t="str">
        <f t="shared" si="245"/>
        <v>|||</v>
      </c>
      <c r="H5353" s="835">
        <f t="shared" si="246"/>
        <v>31</v>
      </c>
      <c r="AF5353" s="831" t="s">
        <v>6010</v>
      </c>
      <c r="AG5353" s="831" t="s">
        <v>132</v>
      </c>
      <c r="AH5353" s="831" t="s">
        <v>173</v>
      </c>
      <c r="AI5353" s="831">
        <v>0</v>
      </c>
      <c r="AJ5353" s="835">
        <v>40877</v>
      </c>
      <c r="AK5353" s="831">
        <v>0</v>
      </c>
    </row>
    <row r="5354" spans="2:37">
      <c r="B5354" s="834" t="str">
        <f t="shared" si="245"/>
        <v>|||</v>
      </c>
      <c r="H5354" s="835">
        <f t="shared" si="246"/>
        <v>31</v>
      </c>
      <c r="AF5354" s="831" t="s">
        <v>6011</v>
      </c>
      <c r="AG5354" s="831" t="s">
        <v>132</v>
      </c>
      <c r="AH5354" s="831" t="s">
        <v>78</v>
      </c>
      <c r="AI5354" s="831">
        <v>0</v>
      </c>
      <c r="AJ5354" s="835">
        <v>40877</v>
      </c>
      <c r="AK5354" s="831">
        <v>0</v>
      </c>
    </row>
    <row r="5355" spans="2:37">
      <c r="B5355" s="834" t="str">
        <f t="shared" si="245"/>
        <v>|||</v>
      </c>
      <c r="H5355" s="835">
        <f t="shared" si="246"/>
        <v>31</v>
      </c>
      <c r="AF5355" s="831" t="s">
        <v>6012</v>
      </c>
      <c r="AG5355" s="831" t="s">
        <v>132</v>
      </c>
      <c r="AH5355" s="831" t="s">
        <v>183</v>
      </c>
      <c r="AI5355" s="831">
        <v>0</v>
      </c>
      <c r="AJ5355" s="835">
        <v>40877</v>
      </c>
      <c r="AK5355" s="831">
        <v>0</v>
      </c>
    </row>
    <row r="5356" spans="2:37">
      <c r="B5356" s="834" t="str">
        <f t="shared" si="245"/>
        <v>|||</v>
      </c>
      <c r="H5356" s="835">
        <f t="shared" si="246"/>
        <v>31</v>
      </c>
      <c r="AF5356" s="831" t="s">
        <v>6013</v>
      </c>
      <c r="AG5356" s="831" t="s">
        <v>132</v>
      </c>
      <c r="AH5356" s="831" t="s">
        <v>186</v>
      </c>
      <c r="AI5356" s="831">
        <v>0</v>
      </c>
      <c r="AJ5356" s="835">
        <v>40877</v>
      </c>
      <c r="AK5356" s="831">
        <v>26914</v>
      </c>
    </row>
    <row r="5357" spans="2:37">
      <c r="B5357" s="834" t="str">
        <f t="shared" si="245"/>
        <v>|||</v>
      </c>
      <c r="H5357" s="835">
        <f t="shared" si="246"/>
        <v>31</v>
      </c>
      <c r="AF5357" s="831" t="s">
        <v>6014</v>
      </c>
      <c r="AG5357" s="831" t="s">
        <v>132</v>
      </c>
      <c r="AH5357" s="831" t="s">
        <v>189</v>
      </c>
      <c r="AI5357" s="831">
        <v>0</v>
      </c>
      <c r="AJ5357" s="835">
        <v>40877</v>
      </c>
      <c r="AK5357" s="831">
        <v>0</v>
      </c>
    </row>
    <row r="5358" spans="2:37">
      <c r="B5358" s="834" t="str">
        <f t="shared" si="245"/>
        <v>|||</v>
      </c>
      <c r="H5358" s="835">
        <f t="shared" si="246"/>
        <v>31</v>
      </c>
      <c r="AF5358" s="831" t="s">
        <v>6015</v>
      </c>
      <c r="AG5358" s="831" t="s">
        <v>132</v>
      </c>
      <c r="AH5358" s="831" t="s">
        <v>68</v>
      </c>
      <c r="AI5358" s="831">
        <v>0</v>
      </c>
      <c r="AJ5358" s="835">
        <v>40908</v>
      </c>
      <c r="AK5358" s="831">
        <v>0</v>
      </c>
    </row>
    <row r="5359" spans="2:37">
      <c r="B5359" s="834" t="str">
        <f t="shared" si="245"/>
        <v>|||</v>
      </c>
      <c r="H5359" s="835">
        <f t="shared" si="246"/>
        <v>31</v>
      </c>
      <c r="AF5359" s="831" t="s">
        <v>6016</v>
      </c>
      <c r="AG5359" s="831" t="s">
        <v>132</v>
      </c>
      <c r="AH5359" s="831" t="s">
        <v>73</v>
      </c>
      <c r="AI5359" s="831">
        <v>0</v>
      </c>
      <c r="AJ5359" s="835">
        <v>40908</v>
      </c>
      <c r="AK5359" s="831">
        <v>0</v>
      </c>
    </row>
    <row r="5360" spans="2:37">
      <c r="B5360" s="834" t="str">
        <f t="shared" si="245"/>
        <v>|||</v>
      </c>
      <c r="H5360" s="835">
        <f t="shared" si="246"/>
        <v>31</v>
      </c>
      <c r="AF5360" s="831" t="s">
        <v>6017</v>
      </c>
      <c r="AG5360" s="831" t="s">
        <v>132</v>
      </c>
      <c r="AH5360" s="831" t="s">
        <v>147</v>
      </c>
      <c r="AI5360" s="831">
        <v>0</v>
      </c>
      <c r="AJ5360" s="835">
        <v>40908</v>
      </c>
      <c r="AK5360" s="831">
        <v>0</v>
      </c>
    </row>
    <row r="5361" spans="2:37">
      <c r="B5361" s="834" t="str">
        <f t="shared" si="245"/>
        <v>|||</v>
      </c>
      <c r="H5361" s="835">
        <f t="shared" si="246"/>
        <v>31</v>
      </c>
      <c r="AF5361" s="831" t="s">
        <v>6018</v>
      </c>
      <c r="AG5361" s="831" t="s">
        <v>132</v>
      </c>
      <c r="AH5361" s="831" t="s">
        <v>151</v>
      </c>
      <c r="AI5361" s="831">
        <v>0</v>
      </c>
      <c r="AJ5361" s="835">
        <v>40908</v>
      </c>
      <c r="AK5361" s="831">
        <v>0</v>
      </c>
    </row>
    <row r="5362" spans="2:37">
      <c r="B5362" s="834" t="str">
        <f t="shared" si="245"/>
        <v>|||</v>
      </c>
      <c r="H5362" s="835">
        <f t="shared" si="246"/>
        <v>31</v>
      </c>
      <c r="AF5362" s="831" t="s">
        <v>6019</v>
      </c>
      <c r="AG5362" s="831" t="s">
        <v>132</v>
      </c>
      <c r="AH5362" s="831" t="s">
        <v>155</v>
      </c>
      <c r="AI5362" s="831">
        <v>0</v>
      </c>
      <c r="AJ5362" s="835">
        <v>40908</v>
      </c>
      <c r="AK5362" s="831">
        <v>0</v>
      </c>
    </row>
    <row r="5363" spans="2:37">
      <c r="B5363" s="834" t="str">
        <f t="shared" si="245"/>
        <v>|||</v>
      </c>
      <c r="H5363" s="835">
        <f t="shared" si="246"/>
        <v>31</v>
      </c>
      <c r="AF5363" s="831" t="s">
        <v>6020</v>
      </c>
      <c r="AG5363" s="831" t="s">
        <v>132</v>
      </c>
      <c r="AH5363" s="831" t="s">
        <v>158</v>
      </c>
      <c r="AI5363" s="831">
        <v>0</v>
      </c>
      <c r="AJ5363" s="835">
        <v>40908</v>
      </c>
      <c r="AK5363" s="831">
        <v>0</v>
      </c>
    </row>
    <row r="5364" spans="2:37">
      <c r="B5364" s="834" t="str">
        <f t="shared" si="245"/>
        <v>|||</v>
      </c>
      <c r="H5364" s="835">
        <f t="shared" si="246"/>
        <v>31</v>
      </c>
      <c r="AF5364" s="831" t="s">
        <v>6021</v>
      </c>
      <c r="AG5364" s="831" t="s">
        <v>132</v>
      </c>
      <c r="AH5364" s="831" t="s">
        <v>160</v>
      </c>
      <c r="AI5364" s="831">
        <v>0</v>
      </c>
      <c r="AJ5364" s="835">
        <v>40908</v>
      </c>
      <c r="AK5364" s="831">
        <v>0</v>
      </c>
    </row>
    <row r="5365" spans="2:37">
      <c r="B5365" s="834" t="str">
        <f t="shared" si="245"/>
        <v>|||</v>
      </c>
      <c r="H5365" s="835">
        <f t="shared" si="246"/>
        <v>31</v>
      </c>
      <c r="AF5365" s="831" t="s">
        <v>6022</v>
      </c>
      <c r="AG5365" s="831" t="s">
        <v>132</v>
      </c>
      <c r="AH5365" s="831" t="s">
        <v>161</v>
      </c>
      <c r="AI5365" s="831">
        <v>0</v>
      </c>
      <c r="AJ5365" s="835">
        <v>40908</v>
      </c>
      <c r="AK5365" s="831">
        <v>0</v>
      </c>
    </row>
    <row r="5366" spans="2:37">
      <c r="B5366" s="834" t="str">
        <f t="shared" si="245"/>
        <v>|||</v>
      </c>
      <c r="H5366" s="835">
        <f t="shared" si="246"/>
        <v>31</v>
      </c>
      <c r="AF5366" s="831" t="s">
        <v>6023</v>
      </c>
      <c r="AG5366" s="831" t="s">
        <v>132</v>
      </c>
      <c r="AH5366" s="831" t="s">
        <v>170</v>
      </c>
      <c r="AI5366" s="831">
        <v>0</v>
      </c>
      <c r="AJ5366" s="835">
        <v>40908</v>
      </c>
      <c r="AK5366" s="831">
        <v>0</v>
      </c>
    </row>
    <row r="5367" spans="2:37">
      <c r="B5367" s="834" t="str">
        <f t="shared" si="245"/>
        <v>|||</v>
      </c>
      <c r="H5367" s="835">
        <f t="shared" si="246"/>
        <v>31</v>
      </c>
      <c r="AF5367" s="831" t="s">
        <v>6024</v>
      </c>
      <c r="AG5367" s="831" t="s">
        <v>132</v>
      </c>
      <c r="AH5367" s="831" t="s">
        <v>173</v>
      </c>
      <c r="AI5367" s="831">
        <v>0</v>
      </c>
      <c r="AJ5367" s="835">
        <v>40908</v>
      </c>
      <c r="AK5367" s="831">
        <v>0</v>
      </c>
    </row>
    <row r="5368" spans="2:37">
      <c r="B5368" s="834" t="str">
        <f t="shared" si="245"/>
        <v>|||</v>
      </c>
      <c r="H5368" s="835">
        <f t="shared" si="246"/>
        <v>31</v>
      </c>
      <c r="AF5368" s="831" t="s">
        <v>6025</v>
      </c>
      <c r="AG5368" s="831" t="s">
        <v>132</v>
      </c>
      <c r="AH5368" s="831" t="s">
        <v>78</v>
      </c>
      <c r="AI5368" s="831">
        <v>0</v>
      </c>
      <c r="AJ5368" s="835">
        <v>40908</v>
      </c>
      <c r="AK5368" s="831">
        <v>0</v>
      </c>
    </row>
    <row r="5369" spans="2:37">
      <c r="B5369" s="834" t="str">
        <f t="shared" si="245"/>
        <v>|||</v>
      </c>
      <c r="H5369" s="835">
        <f t="shared" si="246"/>
        <v>31</v>
      </c>
      <c r="AF5369" s="831" t="s">
        <v>6026</v>
      </c>
      <c r="AG5369" s="831" t="s">
        <v>132</v>
      </c>
      <c r="AH5369" s="831" t="s">
        <v>183</v>
      </c>
      <c r="AI5369" s="831">
        <v>0</v>
      </c>
      <c r="AJ5369" s="835">
        <v>40908</v>
      </c>
      <c r="AK5369" s="831">
        <v>0</v>
      </c>
    </row>
    <row r="5370" spans="2:37">
      <c r="B5370" s="834" t="str">
        <f t="shared" si="245"/>
        <v>|||</v>
      </c>
      <c r="H5370" s="835">
        <f t="shared" si="246"/>
        <v>31</v>
      </c>
      <c r="AF5370" s="831" t="s">
        <v>6027</v>
      </c>
      <c r="AG5370" s="831" t="s">
        <v>132</v>
      </c>
      <c r="AH5370" s="831" t="s">
        <v>186</v>
      </c>
      <c r="AI5370" s="831">
        <v>0</v>
      </c>
      <c r="AJ5370" s="835">
        <v>40908</v>
      </c>
      <c r="AK5370" s="831">
        <v>59922</v>
      </c>
    </row>
    <row r="5371" spans="2:37">
      <c r="B5371" s="834" t="str">
        <f t="shared" si="245"/>
        <v>|||</v>
      </c>
      <c r="H5371" s="835">
        <f t="shared" si="246"/>
        <v>31</v>
      </c>
      <c r="AF5371" s="831" t="s">
        <v>6028</v>
      </c>
      <c r="AG5371" s="831" t="s">
        <v>132</v>
      </c>
      <c r="AH5371" s="831" t="s">
        <v>189</v>
      </c>
      <c r="AI5371" s="831">
        <v>0</v>
      </c>
      <c r="AJ5371" s="835">
        <v>40908</v>
      </c>
      <c r="AK5371" s="831">
        <v>0</v>
      </c>
    </row>
    <row r="5372" spans="2:37">
      <c r="B5372" s="834" t="str">
        <f t="shared" si="245"/>
        <v>|||</v>
      </c>
      <c r="H5372" s="835">
        <f t="shared" si="246"/>
        <v>31</v>
      </c>
      <c r="AF5372" s="831" t="s">
        <v>6029</v>
      </c>
      <c r="AG5372" s="831" t="s">
        <v>132</v>
      </c>
      <c r="AH5372" s="831" t="s">
        <v>68</v>
      </c>
      <c r="AI5372" s="831">
        <v>0</v>
      </c>
      <c r="AJ5372" s="835">
        <v>40939</v>
      </c>
      <c r="AK5372" s="831">
        <v>293523463</v>
      </c>
    </row>
    <row r="5373" spans="2:37">
      <c r="B5373" s="834" t="str">
        <f t="shared" si="245"/>
        <v>|||</v>
      </c>
      <c r="H5373" s="835">
        <f t="shared" si="246"/>
        <v>31</v>
      </c>
      <c r="AF5373" s="831" t="s">
        <v>6030</v>
      </c>
      <c r="AG5373" s="831" t="s">
        <v>132</v>
      </c>
      <c r="AH5373" s="831" t="s">
        <v>73</v>
      </c>
      <c r="AI5373" s="831">
        <v>0</v>
      </c>
      <c r="AJ5373" s="835">
        <v>40939</v>
      </c>
      <c r="AK5373" s="831">
        <v>357860</v>
      </c>
    </row>
    <row r="5374" spans="2:37">
      <c r="B5374" s="834" t="str">
        <f t="shared" si="245"/>
        <v>|||</v>
      </c>
      <c r="H5374" s="835">
        <f t="shared" si="246"/>
        <v>31</v>
      </c>
      <c r="AF5374" s="831" t="s">
        <v>6031</v>
      </c>
      <c r="AG5374" s="831" t="s">
        <v>132</v>
      </c>
      <c r="AH5374" s="831" t="s">
        <v>147</v>
      </c>
      <c r="AI5374" s="831">
        <v>0</v>
      </c>
      <c r="AJ5374" s="835">
        <v>40939</v>
      </c>
      <c r="AK5374" s="831">
        <v>57535</v>
      </c>
    </row>
    <row r="5375" spans="2:37">
      <c r="B5375" s="834" t="str">
        <f t="shared" si="245"/>
        <v>|||</v>
      </c>
      <c r="H5375" s="835">
        <f t="shared" si="246"/>
        <v>31</v>
      </c>
      <c r="AF5375" s="831" t="s">
        <v>6032</v>
      </c>
      <c r="AG5375" s="831" t="s">
        <v>132</v>
      </c>
      <c r="AH5375" s="831" t="s">
        <v>151</v>
      </c>
      <c r="AI5375" s="831">
        <v>0</v>
      </c>
      <c r="AJ5375" s="835">
        <v>40939</v>
      </c>
      <c r="AK5375" s="831">
        <v>101369</v>
      </c>
    </row>
    <row r="5376" spans="2:37">
      <c r="B5376" s="834" t="str">
        <f t="shared" si="245"/>
        <v>|||</v>
      </c>
      <c r="H5376" s="835">
        <f t="shared" si="246"/>
        <v>31</v>
      </c>
      <c r="AF5376" s="831" t="s">
        <v>6033</v>
      </c>
      <c r="AG5376" s="831" t="s">
        <v>132</v>
      </c>
      <c r="AH5376" s="831" t="s">
        <v>155</v>
      </c>
      <c r="AI5376" s="831">
        <v>0</v>
      </c>
      <c r="AJ5376" s="835">
        <v>40939</v>
      </c>
      <c r="AK5376" s="831">
        <v>102248</v>
      </c>
    </row>
    <row r="5377" spans="2:37">
      <c r="B5377" s="834" t="str">
        <f t="shared" si="245"/>
        <v>|||</v>
      </c>
      <c r="H5377" s="835">
        <f t="shared" si="246"/>
        <v>31</v>
      </c>
      <c r="AF5377" s="831" t="s">
        <v>6034</v>
      </c>
      <c r="AG5377" s="831" t="s">
        <v>132</v>
      </c>
      <c r="AH5377" s="831" t="s">
        <v>158</v>
      </c>
      <c r="AI5377" s="831">
        <v>0</v>
      </c>
      <c r="AJ5377" s="835">
        <v>40939</v>
      </c>
      <c r="AK5377" s="831">
        <v>177789</v>
      </c>
    </row>
    <row r="5378" spans="2:37">
      <c r="B5378" s="834" t="str">
        <f t="shared" si="245"/>
        <v>|||</v>
      </c>
      <c r="H5378" s="835">
        <f t="shared" si="246"/>
        <v>31</v>
      </c>
      <c r="AF5378" s="831" t="s">
        <v>6035</v>
      </c>
      <c r="AG5378" s="831" t="s">
        <v>132</v>
      </c>
      <c r="AH5378" s="831" t="s">
        <v>160</v>
      </c>
      <c r="AI5378" s="831">
        <v>0</v>
      </c>
      <c r="AJ5378" s="835">
        <v>40939</v>
      </c>
      <c r="AK5378" s="831">
        <v>675720</v>
      </c>
    </row>
    <row r="5379" spans="2:37">
      <c r="B5379" s="834" t="str">
        <f t="shared" ref="B5379:B5442" si="247">C5379&amp;"|"&amp;D5379&amp;"|"&amp;E5379&amp;"|"&amp;F5379</f>
        <v>|||</v>
      </c>
      <c r="H5379" s="835">
        <f t="shared" si="246"/>
        <v>31</v>
      </c>
      <c r="AF5379" s="831" t="s">
        <v>6036</v>
      </c>
      <c r="AG5379" s="831" t="s">
        <v>132</v>
      </c>
      <c r="AH5379" s="831" t="s">
        <v>161</v>
      </c>
      <c r="AI5379" s="831">
        <v>0</v>
      </c>
      <c r="AJ5379" s="835">
        <v>40939</v>
      </c>
      <c r="AK5379" s="831">
        <v>933068</v>
      </c>
    </row>
    <row r="5380" spans="2:37">
      <c r="B5380" s="834" t="str">
        <f t="shared" si="247"/>
        <v>|||</v>
      </c>
      <c r="H5380" s="835">
        <f t="shared" ref="H5380:H5443" si="248">EOMONTH(L5380,0)</f>
        <v>31</v>
      </c>
      <c r="AF5380" s="831" t="s">
        <v>6037</v>
      </c>
      <c r="AG5380" s="831" t="s">
        <v>132</v>
      </c>
      <c r="AH5380" s="831" t="s">
        <v>170</v>
      </c>
      <c r="AI5380" s="831">
        <v>0</v>
      </c>
      <c r="AJ5380" s="835">
        <v>40939</v>
      </c>
      <c r="AK5380" s="831">
        <v>1882507</v>
      </c>
    </row>
    <row r="5381" spans="2:37">
      <c r="B5381" s="834" t="str">
        <f t="shared" si="247"/>
        <v>|||</v>
      </c>
      <c r="H5381" s="835">
        <f t="shared" si="248"/>
        <v>31</v>
      </c>
      <c r="AF5381" s="831" t="s">
        <v>6038</v>
      </c>
      <c r="AG5381" s="831" t="s">
        <v>132</v>
      </c>
      <c r="AH5381" s="831" t="s">
        <v>173</v>
      </c>
      <c r="AI5381" s="831">
        <v>0</v>
      </c>
      <c r="AJ5381" s="835">
        <v>40939</v>
      </c>
      <c r="AK5381" s="831">
        <v>263460</v>
      </c>
    </row>
    <row r="5382" spans="2:37">
      <c r="B5382" s="834" t="str">
        <f t="shared" si="247"/>
        <v>|||</v>
      </c>
      <c r="H5382" s="835">
        <f t="shared" si="248"/>
        <v>31</v>
      </c>
      <c r="AF5382" s="831" t="s">
        <v>6039</v>
      </c>
      <c r="AG5382" s="831" t="s">
        <v>132</v>
      </c>
      <c r="AH5382" s="831" t="s">
        <v>78</v>
      </c>
      <c r="AI5382" s="831">
        <v>0</v>
      </c>
      <c r="AJ5382" s="835">
        <v>40939</v>
      </c>
      <c r="AK5382" s="831">
        <v>198031</v>
      </c>
    </row>
    <row r="5383" spans="2:37">
      <c r="B5383" s="834" t="str">
        <f t="shared" si="247"/>
        <v>|||</v>
      </c>
      <c r="H5383" s="835">
        <f t="shared" si="248"/>
        <v>31</v>
      </c>
      <c r="AF5383" s="831" t="s">
        <v>6040</v>
      </c>
      <c r="AG5383" s="831" t="s">
        <v>132</v>
      </c>
      <c r="AH5383" s="831" t="s">
        <v>183</v>
      </c>
      <c r="AI5383" s="831">
        <v>0</v>
      </c>
      <c r="AJ5383" s="835">
        <v>40939</v>
      </c>
      <c r="AK5383" s="831">
        <v>0</v>
      </c>
    </row>
    <row r="5384" spans="2:37">
      <c r="B5384" s="834" t="str">
        <f t="shared" si="247"/>
        <v>|||</v>
      </c>
      <c r="H5384" s="835">
        <f t="shared" si="248"/>
        <v>31</v>
      </c>
      <c r="AF5384" s="831" t="s">
        <v>6041</v>
      </c>
      <c r="AG5384" s="831" t="s">
        <v>132</v>
      </c>
      <c r="AH5384" s="831" t="s">
        <v>186</v>
      </c>
      <c r="AI5384" s="831">
        <v>0</v>
      </c>
      <c r="AJ5384" s="835">
        <v>40939</v>
      </c>
      <c r="AK5384" s="831">
        <v>7687</v>
      </c>
    </row>
    <row r="5385" spans="2:37">
      <c r="B5385" s="834" t="str">
        <f t="shared" si="247"/>
        <v>|||</v>
      </c>
      <c r="H5385" s="835">
        <f t="shared" si="248"/>
        <v>31</v>
      </c>
      <c r="AF5385" s="831" t="s">
        <v>6042</v>
      </c>
      <c r="AG5385" s="831" t="s">
        <v>132</v>
      </c>
      <c r="AH5385" s="831" t="s">
        <v>189</v>
      </c>
      <c r="AI5385" s="831">
        <v>0</v>
      </c>
      <c r="AJ5385" s="835">
        <v>40939</v>
      </c>
      <c r="AK5385" s="831">
        <v>0</v>
      </c>
    </row>
    <row r="5386" spans="2:37">
      <c r="B5386" s="834" t="str">
        <f t="shared" si="247"/>
        <v>|||</v>
      </c>
      <c r="H5386" s="835">
        <f t="shared" si="248"/>
        <v>31</v>
      </c>
      <c r="AF5386" s="831" t="s">
        <v>6043</v>
      </c>
      <c r="AG5386" s="831" t="s">
        <v>132</v>
      </c>
      <c r="AH5386" s="831" t="s">
        <v>68</v>
      </c>
      <c r="AI5386" s="831">
        <v>0</v>
      </c>
      <c r="AJ5386" s="835">
        <v>40968</v>
      </c>
      <c r="AK5386" s="831">
        <v>300041107</v>
      </c>
    </row>
    <row r="5387" spans="2:37">
      <c r="B5387" s="834" t="str">
        <f t="shared" si="247"/>
        <v>|||</v>
      </c>
      <c r="H5387" s="835">
        <f t="shared" si="248"/>
        <v>31</v>
      </c>
      <c r="AF5387" s="831" t="s">
        <v>6044</v>
      </c>
      <c r="AG5387" s="831" t="s">
        <v>132</v>
      </c>
      <c r="AH5387" s="831" t="s">
        <v>73</v>
      </c>
      <c r="AI5387" s="831">
        <v>0</v>
      </c>
      <c r="AJ5387" s="835">
        <v>40968</v>
      </c>
      <c r="AK5387" s="831">
        <v>626901</v>
      </c>
    </row>
    <row r="5388" spans="2:37">
      <c r="B5388" s="834" t="str">
        <f t="shared" si="247"/>
        <v>|||</v>
      </c>
      <c r="H5388" s="835">
        <f t="shared" si="248"/>
        <v>31</v>
      </c>
      <c r="AF5388" s="831" t="s">
        <v>6045</v>
      </c>
      <c r="AG5388" s="831" t="s">
        <v>132</v>
      </c>
      <c r="AH5388" s="831" t="s">
        <v>147</v>
      </c>
      <c r="AI5388" s="831">
        <v>0</v>
      </c>
      <c r="AJ5388" s="835">
        <v>40968</v>
      </c>
      <c r="AK5388" s="831">
        <v>197305</v>
      </c>
    </row>
    <row r="5389" spans="2:37">
      <c r="B5389" s="834" t="str">
        <f t="shared" si="247"/>
        <v>|||</v>
      </c>
      <c r="H5389" s="835">
        <f t="shared" si="248"/>
        <v>31</v>
      </c>
      <c r="AF5389" s="831" t="s">
        <v>6046</v>
      </c>
      <c r="AG5389" s="831" t="s">
        <v>132</v>
      </c>
      <c r="AH5389" s="831" t="s">
        <v>151</v>
      </c>
      <c r="AI5389" s="831">
        <v>0</v>
      </c>
      <c r="AJ5389" s="835">
        <v>40968</v>
      </c>
      <c r="AK5389" s="831">
        <v>15492</v>
      </c>
    </row>
    <row r="5390" spans="2:37">
      <c r="B5390" s="834" t="str">
        <f t="shared" si="247"/>
        <v>|||</v>
      </c>
      <c r="H5390" s="835">
        <f t="shared" si="248"/>
        <v>31</v>
      </c>
      <c r="AF5390" s="831" t="s">
        <v>6047</v>
      </c>
      <c r="AG5390" s="831" t="s">
        <v>132</v>
      </c>
      <c r="AH5390" s="831" t="s">
        <v>155</v>
      </c>
      <c r="AI5390" s="831">
        <v>0</v>
      </c>
      <c r="AJ5390" s="835">
        <v>40968</v>
      </c>
      <c r="AK5390" s="831">
        <v>137349</v>
      </c>
    </row>
    <row r="5391" spans="2:37">
      <c r="B5391" s="834" t="str">
        <f t="shared" si="247"/>
        <v>|||</v>
      </c>
      <c r="H5391" s="835">
        <f t="shared" si="248"/>
        <v>31</v>
      </c>
      <c r="AF5391" s="831" t="s">
        <v>6048</v>
      </c>
      <c r="AG5391" s="831" t="s">
        <v>132</v>
      </c>
      <c r="AH5391" s="831" t="s">
        <v>158</v>
      </c>
      <c r="AI5391" s="831">
        <v>0</v>
      </c>
      <c r="AJ5391" s="835">
        <v>40968</v>
      </c>
      <c r="AK5391" s="831">
        <v>157646</v>
      </c>
    </row>
    <row r="5392" spans="2:37">
      <c r="B5392" s="834" t="str">
        <f t="shared" si="247"/>
        <v>|||</v>
      </c>
      <c r="H5392" s="835">
        <f t="shared" si="248"/>
        <v>31</v>
      </c>
      <c r="AF5392" s="831" t="s">
        <v>6049</v>
      </c>
      <c r="AG5392" s="831" t="s">
        <v>132</v>
      </c>
      <c r="AH5392" s="831" t="s">
        <v>160</v>
      </c>
      <c r="AI5392" s="831">
        <v>0</v>
      </c>
      <c r="AJ5392" s="835">
        <v>40968</v>
      </c>
      <c r="AK5392" s="831">
        <v>656343</v>
      </c>
    </row>
    <row r="5393" spans="2:37">
      <c r="B5393" s="834" t="str">
        <f t="shared" si="247"/>
        <v>|||</v>
      </c>
      <c r="H5393" s="835">
        <f t="shared" si="248"/>
        <v>31</v>
      </c>
      <c r="AF5393" s="831" t="s">
        <v>6050</v>
      </c>
      <c r="AG5393" s="831" t="s">
        <v>132</v>
      </c>
      <c r="AH5393" s="831" t="s">
        <v>161</v>
      </c>
      <c r="AI5393" s="831">
        <v>0</v>
      </c>
      <c r="AJ5393" s="835">
        <v>40968</v>
      </c>
      <c r="AK5393" s="831">
        <v>1008024</v>
      </c>
    </row>
    <row r="5394" spans="2:37">
      <c r="B5394" s="834" t="str">
        <f t="shared" si="247"/>
        <v>|||</v>
      </c>
      <c r="H5394" s="835">
        <f t="shared" si="248"/>
        <v>31</v>
      </c>
      <c r="AF5394" s="831" t="s">
        <v>6051</v>
      </c>
      <c r="AG5394" s="831" t="s">
        <v>132</v>
      </c>
      <c r="AH5394" s="831" t="s">
        <v>170</v>
      </c>
      <c r="AI5394" s="831">
        <v>0</v>
      </c>
      <c r="AJ5394" s="835">
        <v>40968</v>
      </c>
      <c r="AK5394" s="831">
        <v>2440768</v>
      </c>
    </row>
    <row r="5395" spans="2:37">
      <c r="B5395" s="834" t="str">
        <f t="shared" si="247"/>
        <v>|||</v>
      </c>
      <c r="H5395" s="835">
        <f t="shared" si="248"/>
        <v>31</v>
      </c>
      <c r="AF5395" s="831" t="s">
        <v>6052</v>
      </c>
      <c r="AG5395" s="831" t="s">
        <v>132</v>
      </c>
      <c r="AH5395" s="831" t="s">
        <v>173</v>
      </c>
      <c r="AI5395" s="831">
        <v>0</v>
      </c>
      <c r="AJ5395" s="835">
        <v>40968</v>
      </c>
      <c r="AK5395" s="831">
        <v>314999</v>
      </c>
    </row>
    <row r="5396" spans="2:37">
      <c r="B5396" s="834" t="str">
        <f t="shared" si="247"/>
        <v>|||</v>
      </c>
      <c r="H5396" s="835">
        <f t="shared" si="248"/>
        <v>31</v>
      </c>
      <c r="AF5396" s="831" t="s">
        <v>6053</v>
      </c>
      <c r="AG5396" s="831" t="s">
        <v>132</v>
      </c>
      <c r="AH5396" s="831" t="s">
        <v>78</v>
      </c>
      <c r="AI5396" s="831">
        <v>0</v>
      </c>
      <c r="AJ5396" s="835">
        <v>40968</v>
      </c>
      <c r="AK5396" s="831">
        <v>394752</v>
      </c>
    </row>
    <row r="5397" spans="2:37">
      <c r="B5397" s="834" t="str">
        <f t="shared" si="247"/>
        <v>|||</v>
      </c>
      <c r="H5397" s="835">
        <f t="shared" si="248"/>
        <v>31</v>
      </c>
      <c r="AF5397" s="831" t="s">
        <v>6054</v>
      </c>
      <c r="AG5397" s="831" t="s">
        <v>132</v>
      </c>
      <c r="AH5397" s="831" t="s">
        <v>183</v>
      </c>
      <c r="AI5397" s="831">
        <v>0</v>
      </c>
      <c r="AJ5397" s="835">
        <v>40968</v>
      </c>
      <c r="AK5397" s="831">
        <v>0</v>
      </c>
    </row>
    <row r="5398" spans="2:37">
      <c r="B5398" s="834" t="str">
        <f t="shared" si="247"/>
        <v>|||</v>
      </c>
      <c r="H5398" s="835">
        <f t="shared" si="248"/>
        <v>31</v>
      </c>
      <c r="AF5398" s="831" t="s">
        <v>6055</v>
      </c>
      <c r="AG5398" s="831" t="s">
        <v>132</v>
      </c>
      <c r="AH5398" s="831" t="s">
        <v>186</v>
      </c>
      <c r="AI5398" s="831">
        <v>0</v>
      </c>
      <c r="AJ5398" s="835">
        <v>40968</v>
      </c>
      <c r="AK5398" s="831">
        <v>12925</v>
      </c>
    </row>
    <row r="5399" spans="2:37">
      <c r="B5399" s="834" t="str">
        <f t="shared" si="247"/>
        <v>|||</v>
      </c>
      <c r="H5399" s="835">
        <f t="shared" si="248"/>
        <v>31</v>
      </c>
      <c r="AF5399" s="831" t="s">
        <v>6056</v>
      </c>
      <c r="AG5399" s="831" t="s">
        <v>132</v>
      </c>
      <c r="AH5399" s="831" t="s">
        <v>189</v>
      </c>
      <c r="AI5399" s="831">
        <v>0</v>
      </c>
      <c r="AJ5399" s="835">
        <v>40968</v>
      </c>
      <c r="AK5399" s="831">
        <v>0</v>
      </c>
    </row>
    <row r="5400" spans="2:37">
      <c r="B5400" s="834" t="str">
        <f t="shared" si="247"/>
        <v>|||</v>
      </c>
      <c r="H5400" s="835">
        <f t="shared" si="248"/>
        <v>31</v>
      </c>
      <c r="AF5400" s="831" t="s">
        <v>6057</v>
      </c>
      <c r="AG5400" s="831" t="s">
        <v>132</v>
      </c>
      <c r="AH5400" s="831" t="s">
        <v>68</v>
      </c>
      <c r="AI5400" s="831">
        <v>0</v>
      </c>
      <c r="AJ5400" s="835">
        <v>40999</v>
      </c>
      <c r="AK5400" s="831">
        <v>307876546</v>
      </c>
    </row>
    <row r="5401" spans="2:37">
      <c r="B5401" s="834" t="str">
        <f t="shared" si="247"/>
        <v>|||</v>
      </c>
      <c r="H5401" s="835">
        <f t="shared" si="248"/>
        <v>31</v>
      </c>
      <c r="AF5401" s="831" t="s">
        <v>6058</v>
      </c>
      <c r="AG5401" s="831" t="s">
        <v>132</v>
      </c>
      <c r="AH5401" s="831" t="s">
        <v>73</v>
      </c>
      <c r="AI5401" s="831">
        <v>0</v>
      </c>
      <c r="AJ5401" s="835">
        <v>40999</v>
      </c>
      <c r="AK5401" s="831">
        <v>173834</v>
      </c>
    </row>
    <row r="5402" spans="2:37">
      <c r="B5402" s="834" t="str">
        <f t="shared" si="247"/>
        <v>|||</v>
      </c>
      <c r="H5402" s="835">
        <f t="shared" si="248"/>
        <v>31</v>
      </c>
      <c r="AF5402" s="831" t="s">
        <v>6059</v>
      </c>
      <c r="AG5402" s="831" t="s">
        <v>132</v>
      </c>
      <c r="AH5402" s="831" t="s">
        <v>147</v>
      </c>
      <c r="AI5402" s="831">
        <v>0</v>
      </c>
      <c r="AJ5402" s="835">
        <v>40999</v>
      </c>
      <c r="AK5402" s="831">
        <v>311350</v>
      </c>
    </row>
    <row r="5403" spans="2:37">
      <c r="B5403" s="834" t="str">
        <f t="shared" si="247"/>
        <v>|||</v>
      </c>
      <c r="H5403" s="835">
        <f t="shared" si="248"/>
        <v>31</v>
      </c>
      <c r="AF5403" s="831" t="s">
        <v>6060</v>
      </c>
      <c r="AG5403" s="831" t="s">
        <v>132</v>
      </c>
      <c r="AH5403" s="831" t="s">
        <v>151</v>
      </c>
      <c r="AI5403" s="831">
        <v>0</v>
      </c>
      <c r="AJ5403" s="835">
        <v>40999</v>
      </c>
      <c r="AK5403" s="831">
        <v>58529</v>
      </c>
    </row>
    <row r="5404" spans="2:37">
      <c r="B5404" s="834" t="str">
        <f t="shared" si="247"/>
        <v>|||</v>
      </c>
      <c r="H5404" s="835">
        <f t="shared" si="248"/>
        <v>31</v>
      </c>
      <c r="AF5404" s="831" t="s">
        <v>6061</v>
      </c>
      <c r="AG5404" s="831" t="s">
        <v>132</v>
      </c>
      <c r="AH5404" s="831" t="s">
        <v>155</v>
      </c>
      <c r="AI5404" s="831">
        <v>0</v>
      </c>
      <c r="AJ5404" s="835">
        <v>40999</v>
      </c>
      <c r="AK5404" s="831">
        <v>95453</v>
      </c>
    </row>
    <row r="5405" spans="2:37">
      <c r="B5405" s="834" t="str">
        <f t="shared" si="247"/>
        <v>|||</v>
      </c>
      <c r="H5405" s="835">
        <f t="shared" si="248"/>
        <v>31</v>
      </c>
      <c r="AF5405" s="831" t="s">
        <v>6062</v>
      </c>
      <c r="AG5405" s="831" t="s">
        <v>132</v>
      </c>
      <c r="AH5405" s="831" t="s">
        <v>158</v>
      </c>
      <c r="AI5405" s="831">
        <v>0</v>
      </c>
      <c r="AJ5405" s="835">
        <v>40999</v>
      </c>
      <c r="AK5405" s="831">
        <v>143180</v>
      </c>
    </row>
    <row r="5406" spans="2:37">
      <c r="B5406" s="834" t="str">
        <f t="shared" si="247"/>
        <v>|||</v>
      </c>
      <c r="H5406" s="835">
        <f t="shared" si="248"/>
        <v>31</v>
      </c>
      <c r="AF5406" s="831" t="s">
        <v>6063</v>
      </c>
      <c r="AG5406" s="831" t="s">
        <v>132</v>
      </c>
      <c r="AH5406" s="831" t="s">
        <v>160</v>
      </c>
      <c r="AI5406" s="831">
        <v>0</v>
      </c>
      <c r="AJ5406" s="835">
        <v>40999</v>
      </c>
      <c r="AK5406" s="831">
        <v>551967</v>
      </c>
    </row>
    <row r="5407" spans="2:37">
      <c r="B5407" s="834" t="str">
        <f t="shared" si="247"/>
        <v>|||</v>
      </c>
      <c r="H5407" s="835">
        <f t="shared" si="248"/>
        <v>31</v>
      </c>
      <c r="AF5407" s="831" t="s">
        <v>6064</v>
      </c>
      <c r="AG5407" s="831" t="s">
        <v>132</v>
      </c>
      <c r="AH5407" s="831" t="s">
        <v>161</v>
      </c>
      <c r="AI5407" s="831">
        <v>0</v>
      </c>
      <c r="AJ5407" s="835">
        <v>40999</v>
      </c>
      <c r="AK5407" s="831">
        <v>1126146</v>
      </c>
    </row>
    <row r="5408" spans="2:37">
      <c r="B5408" s="834" t="str">
        <f t="shared" si="247"/>
        <v>|||</v>
      </c>
      <c r="H5408" s="835">
        <f t="shared" si="248"/>
        <v>31</v>
      </c>
      <c r="AF5408" s="831" t="s">
        <v>6065</v>
      </c>
      <c r="AG5408" s="831" t="s">
        <v>132</v>
      </c>
      <c r="AH5408" s="831" t="s">
        <v>170</v>
      </c>
      <c r="AI5408" s="831">
        <v>0</v>
      </c>
      <c r="AJ5408" s="835">
        <v>40999</v>
      </c>
      <c r="AK5408" s="831">
        <v>2500036</v>
      </c>
    </row>
    <row r="5409" spans="2:37">
      <c r="B5409" s="834" t="str">
        <f t="shared" si="247"/>
        <v>|||</v>
      </c>
      <c r="H5409" s="835">
        <f t="shared" si="248"/>
        <v>31</v>
      </c>
      <c r="AF5409" s="831" t="s">
        <v>6066</v>
      </c>
      <c r="AG5409" s="831" t="s">
        <v>132</v>
      </c>
      <c r="AH5409" s="831" t="s">
        <v>173</v>
      </c>
      <c r="AI5409" s="831">
        <v>0</v>
      </c>
      <c r="AJ5409" s="835">
        <v>40999</v>
      </c>
      <c r="AK5409" s="831">
        <v>312116</v>
      </c>
    </row>
    <row r="5410" spans="2:37">
      <c r="B5410" s="834" t="str">
        <f t="shared" si="247"/>
        <v>|||</v>
      </c>
      <c r="H5410" s="835">
        <f t="shared" si="248"/>
        <v>31</v>
      </c>
      <c r="AF5410" s="831" t="s">
        <v>6067</v>
      </c>
      <c r="AG5410" s="831" t="s">
        <v>132</v>
      </c>
      <c r="AH5410" s="831" t="s">
        <v>78</v>
      </c>
      <c r="AI5410" s="831">
        <v>0</v>
      </c>
      <c r="AJ5410" s="835">
        <v>40999</v>
      </c>
      <c r="AK5410" s="831">
        <v>454975</v>
      </c>
    </row>
    <row r="5411" spans="2:37">
      <c r="B5411" s="834" t="str">
        <f t="shared" si="247"/>
        <v>|||</v>
      </c>
      <c r="H5411" s="835">
        <f t="shared" si="248"/>
        <v>31</v>
      </c>
      <c r="AF5411" s="831" t="s">
        <v>6068</v>
      </c>
      <c r="AG5411" s="831" t="s">
        <v>132</v>
      </c>
      <c r="AH5411" s="831" t="s">
        <v>183</v>
      </c>
      <c r="AI5411" s="831">
        <v>0</v>
      </c>
      <c r="AJ5411" s="835">
        <v>40999</v>
      </c>
      <c r="AK5411" s="831">
        <v>0</v>
      </c>
    </row>
    <row r="5412" spans="2:37">
      <c r="B5412" s="834" t="str">
        <f t="shared" si="247"/>
        <v>|||</v>
      </c>
      <c r="H5412" s="835">
        <f t="shared" si="248"/>
        <v>31</v>
      </c>
      <c r="AF5412" s="831" t="s">
        <v>6069</v>
      </c>
      <c r="AG5412" s="831" t="s">
        <v>132</v>
      </c>
      <c r="AH5412" s="831" t="s">
        <v>186</v>
      </c>
      <c r="AI5412" s="831">
        <v>0</v>
      </c>
      <c r="AJ5412" s="835">
        <v>40999</v>
      </c>
      <c r="AK5412" s="831">
        <v>18105</v>
      </c>
    </row>
    <row r="5413" spans="2:37">
      <c r="B5413" s="834" t="str">
        <f t="shared" si="247"/>
        <v>|||</v>
      </c>
      <c r="H5413" s="835">
        <f t="shared" si="248"/>
        <v>31</v>
      </c>
      <c r="AF5413" s="831" t="s">
        <v>6070</v>
      </c>
      <c r="AG5413" s="831" t="s">
        <v>132</v>
      </c>
      <c r="AH5413" s="831" t="s">
        <v>189</v>
      </c>
      <c r="AI5413" s="831">
        <v>0</v>
      </c>
      <c r="AJ5413" s="835">
        <v>40999</v>
      </c>
      <c r="AK5413" s="831">
        <v>0</v>
      </c>
    </row>
    <row r="5414" spans="2:37">
      <c r="B5414" s="834" t="str">
        <f t="shared" si="247"/>
        <v>|||</v>
      </c>
      <c r="H5414" s="835">
        <f t="shared" si="248"/>
        <v>31</v>
      </c>
      <c r="AF5414" s="831" t="s">
        <v>6071</v>
      </c>
      <c r="AG5414" s="831" t="s">
        <v>132</v>
      </c>
      <c r="AH5414" s="831" t="s">
        <v>68</v>
      </c>
      <c r="AI5414" s="831">
        <v>0</v>
      </c>
      <c r="AJ5414" s="835">
        <v>41029</v>
      </c>
      <c r="AK5414" s="831">
        <v>322341423</v>
      </c>
    </row>
    <row r="5415" spans="2:37">
      <c r="B5415" s="834" t="str">
        <f t="shared" si="247"/>
        <v>|||</v>
      </c>
      <c r="H5415" s="835">
        <f t="shared" si="248"/>
        <v>31</v>
      </c>
      <c r="AF5415" s="831" t="s">
        <v>6072</v>
      </c>
      <c r="AG5415" s="831" t="s">
        <v>132</v>
      </c>
      <c r="AH5415" s="831" t="s">
        <v>73</v>
      </c>
      <c r="AI5415" s="831">
        <v>0</v>
      </c>
      <c r="AJ5415" s="835">
        <v>41029</v>
      </c>
      <c r="AK5415" s="831">
        <v>356879</v>
      </c>
    </row>
    <row r="5416" spans="2:37">
      <c r="B5416" s="834" t="str">
        <f t="shared" si="247"/>
        <v>|||</v>
      </c>
      <c r="H5416" s="835">
        <f t="shared" si="248"/>
        <v>31</v>
      </c>
      <c r="AF5416" s="831" t="s">
        <v>6073</v>
      </c>
      <c r="AG5416" s="831" t="s">
        <v>132</v>
      </c>
      <c r="AH5416" s="831" t="s">
        <v>147</v>
      </c>
      <c r="AI5416" s="831">
        <v>0</v>
      </c>
      <c r="AJ5416" s="835">
        <v>41029</v>
      </c>
      <c r="AK5416" s="831">
        <v>340629</v>
      </c>
    </row>
    <row r="5417" spans="2:37">
      <c r="B5417" s="834" t="str">
        <f t="shared" si="247"/>
        <v>|||</v>
      </c>
      <c r="H5417" s="835">
        <f t="shared" si="248"/>
        <v>31</v>
      </c>
      <c r="AF5417" s="831" t="s">
        <v>6074</v>
      </c>
      <c r="AG5417" s="831" t="s">
        <v>132</v>
      </c>
      <c r="AH5417" s="831" t="s">
        <v>151</v>
      </c>
      <c r="AI5417" s="831">
        <v>0</v>
      </c>
      <c r="AJ5417" s="835">
        <v>41029</v>
      </c>
      <c r="AK5417" s="831">
        <v>182182</v>
      </c>
    </row>
    <row r="5418" spans="2:37">
      <c r="B5418" s="834" t="str">
        <f t="shared" si="247"/>
        <v>|||</v>
      </c>
      <c r="H5418" s="835">
        <f t="shared" si="248"/>
        <v>31</v>
      </c>
      <c r="AF5418" s="831" t="s">
        <v>6075</v>
      </c>
      <c r="AG5418" s="831" t="s">
        <v>132</v>
      </c>
      <c r="AH5418" s="831" t="s">
        <v>155</v>
      </c>
      <c r="AI5418" s="831">
        <v>0</v>
      </c>
      <c r="AJ5418" s="835">
        <v>41029</v>
      </c>
      <c r="AK5418" s="831">
        <v>60040</v>
      </c>
    </row>
    <row r="5419" spans="2:37">
      <c r="B5419" s="834" t="str">
        <f t="shared" si="247"/>
        <v>|||</v>
      </c>
      <c r="H5419" s="835">
        <f t="shared" si="248"/>
        <v>31</v>
      </c>
      <c r="AF5419" s="831" t="s">
        <v>6076</v>
      </c>
      <c r="AG5419" s="831" t="s">
        <v>132</v>
      </c>
      <c r="AH5419" s="831" t="s">
        <v>158</v>
      </c>
      <c r="AI5419" s="831">
        <v>0</v>
      </c>
      <c r="AJ5419" s="835">
        <v>41029</v>
      </c>
      <c r="AK5419" s="831">
        <v>90059</v>
      </c>
    </row>
    <row r="5420" spans="2:37">
      <c r="B5420" s="834" t="str">
        <f t="shared" si="247"/>
        <v>|||</v>
      </c>
      <c r="H5420" s="835">
        <f t="shared" si="248"/>
        <v>31</v>
      </c>
      <c r="AF5420" s="831" t="s">
        <v>6077</v>
      </c>
      <c r="AG5420" s="831" t="s">
        <v>132</v>
      </c>
      <c r="AH5420" s="831" t="s">
        <v>160</v>
      </c>
      <c r="AI5420" s="831">
        <v>0</v>
      </c>
      <c r="AJ5420" s="835">
        <v>41029</v>
      </c>
      <c r="AK5420" s="831">
        <v>521770</v>
      </c>
    </row>
    <row r="5421" spans="2:37">
      <c r="B5421" s="834" t="str">
        <f t="shared" si="247"/>
        <v>|||</v>
      </c>
      <c r="H5421" s="835">
        <f t="shared" si="248"/>
        <v>31</v>
      </c>
      <c r="AF5421" s="831" t="s">
        <v>6078</v>
      </c>
      <c r="AG5421" s="831" t="s">
        <v>132</v>
      </c>
      <c r="AH5421" s="831" t="s">
        <v>161</v>
      </c>
      <c r="AI5421" s="831">
        <v>0</v>
      </c>
      <c r="AJ5421" s="835">
        <v>41029</v>
      </c>
      <c r="AK5421" s="831">
        <v>1191544</v>
      </c>
    </row>
    <row r="5422" spans="2:37">
      <c r="B5422" s="834" t="str">
        <f t="shared" si="247"/>
        <v>|||</v>
      </c>
      <c r="H5422" s="835">
        <f t="shared" si="248"/>
        <v>31</v>
      </c>
      <c r="AF5422" s="831" t="s">
        <v>6079</v>
      </c>
      <c r="AG5422" s="831" t="s">
        <v>132</v>
      </c>
      <c r="AH5422" s="831" t="s">
        <v>170</v>
      </c>
      <c r="AI5422" s="831">
        <v>0</v>
      </c>
      <c r="AJ5422" s="835">
        <v>41029</v>
      </c>
      <c r="AK5422" s="831">
        <v>1912368</v>
      </c>
    </row>
    <row r="5423" spans="2:37">
      <c r="B5423" s="834" t="str">
        <f t="shared" si="247"/>
        <v>|||</v>
      </c>
      <c r="H5423" s="835">
        <f t="shared" si="248"/>
        <v>31</v>
      </c>
      <c r="AF5423" s="831" t="s">
        <v>6080</v>
      </c>
      <c r="AG5423" s="831" t="s">
        <v>132</v>
      </c>
      <c r="AH5423" s="831" t="s">
        <v>173</v>
      </c>
      <c r="AI5423" s="831">
        <v>0</v>
      </c>
      <c r="AJ5423" s="835">
        <v>41029</v>
      </c>
      <c r="AK5423" s="831">
        <v>669401</v>
      </c>
    </row>
    <row r="5424" spans="2:37">
      <c r="B5424" s="834" t="str">
        <f t="shared" si="247"/>
        <v>|||</v>
      </c>
      <c r="H5424" s="835">
        <f t="shared" si="248"/>
        <v>31</v>
      </c>
      <c r="AF5424" s="831" t="s">
        <v>6081</v>
      </c>
      <c r="AG5424" s="831" t="s">
        <v>132</v>
      </c>
      <c r="AH5424" s="831" t="s">
        <v>78</v>
      </c>
      <c r="AI5424" s="831">
        <v>0</v>
      </c>
      <c r="AJ5424" s="835">
        <v>41029</v>
      </c>
      <c r="AK5424" s="831">
        <v>584526</v>
      </c>
    </row>
    <row r="5425" spans="2:37">
      <c r="B5425" s="834" t="str">
        <f t="shared" si="247"/>
        <v>|||</v>
      </c>
      <c r="H5425" s="835">
        <f t="shared" si="248"/>
        <v>31</v>
      </c>
      <c r="AF5425" s="831" t="s">
        <v>6082</v>
      </c>
      <c r="AG5425" s="831" t="s">
        <v>132</v>
      </c>
      <c r="AH5425" s="831" t="s">
        <v>183</v>
      </c>
      <c r="AI5425" s="831">
        <v>0</v>
      </c>
      <c r="AJ5425" s="835">
        <v>41029</v>
      </c>
      <c r="AK5425" s="831">
        <v>0</v>
      </c>
    </row>
    <row r="5426" spans="2:37">
      <c r="B5426" s="834" t="str">
        <f t="shared" si="247"/>
        <v>|||</v>
      </c>
      <c r="H5426" s="835">
        <f t="shared" si="248"/>
        <v>31</v>
      </c>
      <c r="AF5426" s="831" t="s">
        <v>6083</v>
      </c>
      <c r="AG5426" s="831" t="s">
        <v>132</v>
      </c>
      <c r="AH5426" s="831" t="s">
        <v>186</v>
      </c>
      <c r="AI5426" s="831">
        <v>0</v>
      </c>
      <c r="AJ5426" s="835">
        <v>41029</v>
      </c>
      <c r="AK5426" s="831">
        <v>24193</v>
      </c>
    </row>
    <row r="5427" spans="2:37">
      <c r="B5427" s="834" t="str">
        <f t="shared" si="247"/>
        <v>|||</v>
      </c>
      <c r="H5427" s="835">
        <f t="shared" si="248"/>
        <v>31</v>
      </c>
      <c r="AF5427" s="831" t="s">
        <v>6084</v>
      </c>
      <c r="AG5427" s="831" t="s">
        <v>132</v>
      </c>
      <c r="AH5427" s="831" t="s">
        <v>189</v>
      </c>
      <c r="AI5427" s="831">
        <v>0</v>
      </c>
      <c r="AJ5427" s="835">
        <v>41029</v>
      </c>
      <c r="AK5427" s="831">
        <v>0</v>
      </c>
    </row>
    <row r="5428" spans="2:37">
      <c r="B5428" s="834" t="str">
        <f t="shared" si="247"/>
        <v>|||</v>
      </c>
      <c r="H5428" s="835">
        <f t="shared" si="248"/>
        <v>31</v>
      </c>
      <c r="AF5428" s="831" t="s">
        <v>6085</v>
      </c>
      <c r="AG5428" s="831" t="s">
        <v>132</v>
      </c>
      <c r="AH5428" s="831" t="s">
        <v>68</v>
      </c>
      <c r="AI5428" s="831">
        <v>0</v>
      </c>
      <c r="AJ5428" s="835">
        <v>41060</v>
      </c>
      <c r="AK5428" s="831">
        <v>333597168</v>
      </c>
    </row>
    <row r="5429" spans="2:37">
      <c r="B5429" s="834" t="str">
        <f t="shared" si="247"/>
        <v>|||</v>
      </c>
      <c r="H5429" s="835">
        <f t="shared" si="248"/>
        <v>31</v>
      </c>
      <c r="AF5429" s="831" t="s">
        <v>6086</v>
      </c>
      <c r="AG5429" s="831" t="s">
        <v>132</v>
      </c>
      <c r="AH5429" s="831" t="s">
        <v>73</v>
      </c>
      <c r="AI5429" s="831">
        <v>0</v>
      </c>
      <c r="AJ5429" s="835">
        <v>41060</v>
      </c>
      <c r="AK5429" s="831">
        <v>58938</v>
      </c>
    </row>
    <row r="5430" spans="2:37">
      <c r="B5430" s="834" t="str">
        <f t="shared" si="247"/>
        <v>|||</v>
      </c>
      <c r="H5430" s="835">
        <f t="shared" si="248"/>
        <v>31</v>
      </c>
      <c r="AF5430" s="831" t="s">
        <v>6087</v>
      </c>
      <c r="AG5430" s="831" t="s">
        <v>132</v>
      </c>
      <c r="AH5430" s="831" t="s">
        <v>147</v>
      </c>
      <c r="AI5430" s="831">
        <v>0</v>
      </c>
      <c r="AJ5430" s="835">
        <v>41060</v>
      </c>
      <c r="AK5430" s="831">
        <v>188286</v>
      </c>
    </row>
    <row r="5431" spans="2:37">
      <c r="B5431" s="834" t="str">
        <f t="shared" si="247"/>
        <v>|||</v>
      </c>
      <c r="H5431" s="835">
        <f t="shared" si="248"/>
        <v>31</v>
      </c>
      <c r="AF5431" s="831" t="s">
        <v>6088</v>
      </c>
      <c r="AG5431" s="831" t="s">
        <v>132</v>
      </c>
      <c r="AH5431" s="831" t="s">
        <v>151</v>
      </c>
      <c r="AI5431" s="831">
        <v>0</v>
      </c>
      <c r="AJ5431" s="835">
        <v>41060</v>
      </c>
      <c r="AK5431" s="831">
        <v>214723</v>
      </c>
    </row>
    <row r="5432" spans="2:37">
      <c r="B5432" s="834" t="str">
        <f t="shared" si="247"/>
        <v>|||</v>
      </c>
      <c r="H5432" s="835">
        <f t="shared" si="248"/>
        <v>31</v>
      </c>
      <c r="AF5432" s="831" t="s">
        <v>6089</v>
      </c>
      <c r="AG5432" s="831" t="s">
        <v>132</v>
      </c>
      <c r="AH5432" s="831" t="s">
        <v>155</v>
      </c>
      <c r="AI5432" s="831">
        <v>0</v>
      </c>
      <c r="AJ5432" s="835">
        <v>41060</v>
      </c>
      <c r="AK5432" s="831">
        <v>304761</v>
      </c>
    </row>
    <row r="5433" spans="2:37">
      <c r="B5433" s="834" t="str">
        <f t="shared" si="247"/>
        <v>|||</v>
      </c>
      <c r="H5433" s="835">
        <f t="shared" si="248"/>
        <v>31</v>
      </c>
      <c r="AF5433" s="831" t="s">
        <v>6090</v>
      </c>
      <c r="AG5433" s="831" t="s">
        <v>132</v>
      </c>
      <c r="AH5433" s="831" t="s">
        <v>158</v>
      </c>
      <c r="AI5433" s="831">
        <v>0</v>
      </c>
      <c r="AJ5433" s="835">
        <v>41060</v>
      </c>
      <c r="AK5433" s="831">
        <v>80564</v>
      </c>
    </row>
    <row r="5434" spans="2:37">
      <c r="B5434" s="834" t="str">
        <f t="shared" si="247"/>
        <v>|||</v>
      </c>
      <c r="H5434" s="835">
        <f t="shared" si="248"/>
        <v>31</v>
      </c>
      <c r="AF5434" s="831" t="s">
        <v>6091</v>
      </c>
      <c r="AG5434" s="831" t="s">
        <v>132</v>
      </c>
      <c r="AH5434" s="831" t="s">
        <v>160</v>
      </c>
      <c r="AI5434" s="831">
        <v>0</v>
      </c>
      <c r="AJ5434" s="835">
        <v>41060</v>
      </c>
      <c r="AK5434" s="831">
        <v>509634</v>
      </c>
    </row>
    <row r="5435" spans="2:37">
      <c r="B5435" s="834" t="str">
        <f t="shared" si="247"/>
        <v>|||</v>
      </c>
      <c r="H5435" s="835">
        <f t="shared" si="248"/>
        <v>31</v>
      </c>
      <c r="AF5435" s="831" t="s">
        <v>6092</v>
      </c>
      <c r="AG5435" s="831" t="s">
        <v>132</v>
      </c>
      <c r="AH5435" s="831" t="s">
        <v>161</v>
      </c>
      <c r="AI5435" s="831">
        <v>0</v>
      </c>
      <c r="AJ5435" s="835">
        <v>41060</v>
      </c>
      <c r="AK5435" s="831">
        <v>1230840</v>
      </c>
    </row>
    <row r="5436" spans="2:37">
      <c r="B5436" s="834" t="str">
        <f t="shared" si="247"/>
        <v>|||</v>
      </c>
      <c r="H5436" s="835">
        <f t="shared" si="248"/>
        <v>31</v>
      </c>
      <c r="AF5436" s="831" t="s">
        <v>6093</v>
      </c>
      <c r="AG5436" s="831" t="s">
        <v>132</v>
      </c>
      <c r="AH5436" s="831" t="s">
        <v>170</v>
      </c>
      <c r="AI5436" s="831">
        <v>0</v>
      </c>
      <c r="AJ5436" s="835">
        <v>41060</v>
      </c>
      <c r="AK5436" s="831">
        <v>2041622</v>
      </c>
    </row>
    <row r="5437" spans="2:37">
      <c r="B5437" s="834" t="str">
        <f t="shared" si="247"/>
        <v>|||</v>
      </c>
      <c r="H5437" s="835">
        <f t="shared" si="248"/>
        <v>31</v>
      </c>
      <c r="AF5437" s="831" t="s">
        <v>6094</v>
      </c>
      <c r="AG5437" s="831" t="s">
        <v>132</v>
      </c>
      <c r="AH5437" s="831" t="s">
        <v>173</v>
      </c>
      <c r="AI5437" s="831">
        <v>0</v>
      </c>
      <c r="AJ5437" s="835">
        <v>41060</v>
      </c>
      <c r="AK5437" s="831">
        <v>338861</v>
      </c>
    </row>
    <row r="5438" spans="2:37">
      <c r="B5438" s="834" t="str">
        <f t="shared" si="247"/>
        <v>|||</v>
      </c>
      <c r="H5438" s="835">
        <f t="shared" si="248"/>
        <v>31</v>
      </c>
      <c r="AF5438" s="831" t="s">
        <v>6095</v>
      </c>
      <c r="AG5438" s="831" t="s">
        <v>132</v>
      </c>
      <c r="AH5438" s="831" t="s">
        <v>78</v>
      </c>
      <c r="AI5438" s="831">
        <v>0</v>
      </c>
      <c r="AJ5438" s="835">
        <v>41060</v>
      </c>
      <c r="AK5438" s="831">
        <v>655952</v>
      </c>
    </row>
    <row r="5439" spans="2:37">
      <c r="B5439" s="834" t="str">
        <f t="shared" si="247"/>
        <v>|||</v>
      </c>
      <c r="H5439" s="835">
        <f t="shared" si="248"/>
        <v>31</v>
      </c>
      <c r="AF5439" s="831" t="s">
        <v>6096</v>
      </c>
      <c r="AG5439" s="831" t="s">
        <v>132</v>
      </c>
      <c r="AH5439" s="831" t="s">
        <v>183</v>
      </c>
      <c r="AI5439" s="831">
        <v>0</v>
      </c>
      <c r="AJ5439" s="835">
        <v>41060</v>
      </c>
      <c r="AK5439" s="831">
        <v>0</v>
      </c>
    </row>
    <row r="5440" spans="2:37">
      <c r="B5440" s="834" t="str">
        <f t="shared" si="247"/>
        <v>|||</v>
      </c>
      <c r="H5440" s="835">
        <f t="shared" si="248"/>
        <v>31</v>
      </c>
      <c r="AF5440" s="831" t="s">
        <v>6097</v>
      </c>
      <c r="AG5440" s="831" t="s">
        <v>132</v>
      </c>
      <c r="AH5440" s="831" t="s">
        <v>186</v>
      </c>
      <c r="AI5440" s="831">
        <v>0</v>
      </c>
      <c r="AJ5440" s="835">
        <v>41060</v>
      </c>
      <c r="AK5440" s="831">
        <v>19157</v>
      </c>
    </row>
    <row r="5441" spans="2:37">
      <c r="B5441" s="834" t="str">
        <f t="shared" si="247"/>
        <v>|||</v>
      </c>
      <c r="H5441" s="835">
        <f t="shared" si="248"/>
        <v>31</v>
      </c>
      <c r="AF5441" s="831" t="s">
        <v>6098</v>
      </c>
      <c r="AG5441" s="831" t="s">
        <v>132</v>
      </c>
      <c r="AH5441" s="831" t="s">
        <v>189</v>
      </c>
      <c r="AI5441" s="831">
        <v>0</v>
      </c>
      <c r="AJ5441" s="835">
        <v>41060</v>
      </c>
      <c r="AK5441" s="831">
        <v>0</v>
      </c>
    </row>
    <row r="5442" spans="2:37">
      <c r="B5442" s="834" t="str">
        <f t="shared" si="247"/>
        <v>|||</v>
      </c>
      <c r="H5442" s="835">
        <f t="shared" si="248"/>
        <v>31</v>
      </c>
      <c r="AF5442" s="831" t="s">
        <v>6099</v>
      </c>
      <c r="AG5442" s="831" t="s">
        <v>132</v>
      </c>
      <c r="AH5442" s="831" t="s">
        <v>68</v>
      </c>
      <c r="AI5442" s="831">
        <v>0</v>
      </c>
      <c r="AJ5442" s="835">
        <v>41090</v>
      </c>
      <c r="AK5442" s="831">
        <v>336714590</v>
      </c>
    </row>
    <row r="5443" spans="2:37">
      <c r="B5443" s="834" t="str">
        <f t="shared" ref="B5443:B5506" si="249">C5443&amp;"|"&amp;D5443&amp;"|"&amp;E5443&amp;"|"&amp;F5443</f>
        <v>|||</v>
      </c>
      <c r="H5443" s="835">
        <f t="shared" si="248"/>
        <v>31</v>
      </c>
      <c r="AF5443" s="831" t="s">
        <v>6100</v>
      </c>
      <c r="AG5443" s="831" t="s">
        <v>132</v>
      </c>
      <c r="AH5443" s="831" t="s">
        <v>73</v>
      </c>
      <c r="AI5443" s="831">
        <v>0</v>
      </c>
      <c r="AJ5443" s="835">
        <v>41090</v>
      </c>
      <c r="AK5443" s="831">
        <v>350490</v>
      </c>
    </row>
    <row r="5444" spans="2:37">
      <c r="B5444" s="834" t="str">
        <f t="shared" si="249"/>
        <v>|||</v>
      </c>
      <c r="H5444" s="835">
        <f t="shared" ref="H5444:H5507" si="250">EOMONTH(L5444,0)</f>
        <v>31</v>
      </c>
      <c r="AF5444" s="831" t="s">
        <v>6101</v>
      </c>
      <c r="AG5444" s="831" t="s">
        <v>132</v>
      </c>
      <c r="AH5444" s="831" t="s">
        <v>147</v>
      </c>
      <c r="AI5444" s="831">
        <v>0</v>
      </c>
      <c r="AJ5444" s="835">
        <v>41090</v>
      </c>
      <c r="AK5444" s="831">
        <v>159671</v>
      </c>
    </row>
    <row r="5445" spans="2:37">
      <c r="B5445" s="834" t="str">
        <f t="shared" si="249"/>
        <v>|||</v>
      </c>
      <c r="H5445" s="835">
        <f t="shared" si="250"/>
        <v>31</v>
      </c>
      <c r="AF5445" s="831" t="s">
        <v>6102</v>
      </c>
      <c r="AG5445" s="831" t="s">
        <v>132</v>
      </c>
      <c r="AH5445" s="831" t="s">
        <v>151</v>
      </c>
      <c r="AI5445" s="831">
        <v>0</v>
      </c>
      <c r="AJ5445" s="835">
        <v>41090</v>
      </c>
      <c r="AK5445" s="831">
        <v>168301</v>
      </c>
    </row>
    <row r="5446" spans="2:37">
      <c r="B5446" s="834" t="str">
        <f t="shared" si="249"/>
        <v>|||</v>
      </c>
      <c r="H5446" s="835">
        <f t="shared" si="250"/>
        <v>31</v>
      </c>
      <c r="AF5446" s="831" t="s">
        <v>6103</v>
      </c>
      <c r="AG5446" s="831" t="s">
        <v>132</v>
      </c>
      <c r="AH5446" s="831" t="s">
        <v>155</v>
      </c>
      <c r="AI5446" s="831">
        <v>0</v>
      </c>
      <c r="AJ5446" s="835">
        <v>41090</v>
      </c>
      <c r="AK5446" s="831">
        <v>318504</v>
      </c>
    </row>
    <row r="5447" spans="2:37">
      <c r="B5447" s="834" t="str">
        <f t="shared" si="249"/>
        <v>|||</v>
      </c>
      <c r="H5447" s="835">
        <f t="shared" si="250"/>
        <v>31</v>
      </c>
      <c r="AF5447" s="831" t="s">
        <v>6104</v>
      </c>
      <c r="AG5447" s="831" t="s">
        <v>132</v>
      </c>
      <c r="AH5447" s="831" t="s">
        <v>158</v>
      </c>
      <c r="AI5447" s="831">
        <v>0</v>
      </c>
      <c r="AJ5447" s="835">
        <v>41090</v>
      </c>
      <c r="AK5447" s="831">
        <v>190110</v>
      </c>
    </row>
    <row r="5448" spans="2:37">
      <c r="B5448" s="834" t="str">
        <f t="shared" si="249"/>
        <v>|||</v>
      </c>
      <c r="H5448" s="835">
        <f t="shared" si="250"/>
        <v>31</v>
      </c>
      <c r="AF5448" s="831" t="s">
        <v>6105</v>
      </c>
      <c r="AG5448" s="831" t="s">
        <v>132</v>
      </c>
      <c r="AH5448" s="831" t="s">
        <v>160</v>
      </c>
      <c r="AI5448" s="831">
        <v>0</v>
      </c>
      <c r="AJ5448" s="835">
        <v>41090</v>
      </c>
      <c r="AK5448" s="831">
        <v>475181</v>
      </c>
    </row>
    <row r="5449" spans="2:37">
      <c r="B5449" s="834" t="str">
        <f t="shared" si="249"/>
        <v>|||</v>
      </c>
      <c r="H5449" s="835">
        <f t="shared" si="250"/>
        <v>31</v>
      </c>
      <c r="AF5449" s="831" t="s">
        <v>6106</v>
      </c>
      <c r="AG5449" s="831" t="s">
        <v>132</v>
      </c>
      <c r="AH5449" s="831" t="s">
        <v>161</v>
      </c>
      <c r="AI5449" s="831">
        <v>0</v>
      </c>
      <c r="AJ5449" s="835">
        <v>41090</v>
      </c>
      <c r="AK5449" s="831">
        <v>1268183</v>
      </c>
    </row>
    <row r="5450" spans="2:37">
      <c r="B5450" s="834" t="str">
        <f t="shared" si="249"/>
        <v>|||</v>
      </c>
      <c r="H5450" s="835">
        <f t="shared" si="250"/>
        <v>31</v>
      </c>
      <c r="AF5450" s="831" t="s">
        <v>6107</v>
      </c>
      <c r="AG5450" s="831" t="s">
        <v>132</v>
      </c>
      <c r="AH5450" s="831" t="s">
        <v>170</v>
      </c>
      <c r="AI5450" s="831">
        <v>0</v>
      </c>
      <c r="AJ5450" s="835">
        <v>41090</v>
      </c>
      <c r="AK5450" s="831">
        <v>1852021</v>
      </c>
    </row>
    <row r="5451" spans="2:37">
      <c r="B5451" s="834" t="str">
        <f t="shared" si="249"/>
        <v>|||</v>
      </c>
      <c r="H5451" s="835">
        <f t="shared" si="250"/>
        <v>31</v>
      </c>
      <c r="AF5451" s="831" t="s">
        <v>6108</v>
      </c>
      <c r="AG5451" s="831" t="s">
        <v>132</v>
      </c>
      <c r="AH5451" s="831" t="s">
        <v>173</v>
      </c>
      <c r="AI5451" s="831">
        <v>0</v>
      </c>
      <c r="AJ5451" s="835">
        <v>41090</v>
      </c>
      <c r="AK5451" s="831">
        <v>283790</v>
      </c>
    </row>
    <row r="5452" spans="2:37">
      <c r="B5452" s="834" t="str">
        <f t="shared" si="249"/>
        <v>|||</v>
      </c>
      <c r="H5452" s="835">
        <f t="shared" si="250"/>
        <v>31</v>
      </c>
      <c r="AF5452" s="831" t="s">
        <v>6109</v>
      </c>
      <c r="AG5452" s="831" t="s">
        <v>132</v>
      </c>
      <c r="AH5452" s="831" t="s">
        <v>78</v>
      </c>
      <c r="AI5452" s="831">
        <v>0</v>
      </c>
      <c r="AJ5452" s="835">
        <v>41090</v>
      </c>
      <c r="AK5452" s="831">
        <v>847609</v>
      </c>
    </row>
    <row r="5453" spans="2:37">
      <c r="B5453" s="834" t="str">
        <f t="shared" si="249"/>
        <v>|||</v>
      </c>
      <c r="H5453" s="835">
        <f t="shared" si="250"/>
        <v>31</v>
      </c>
      <c r="AF5453" s="831" t="s">
        <v>6110</v>
      </c>
      <c r="AG5453" s="831" t="s">
        <v>132</v>
      </c>
      <c r="AH5453" s="831" t="s">
        <v>183</v>
      </c>
      <c r="AI5453" s="831">
        <v>0</v>
      </c>
      <c r="AJ5453" s="835">
        <v>41090</v>
      </c>
      <c r="AK5453" s="831">
        <v>0</v>
      </c>
    </row>
    <row r="5454" spans="2:37">
      <c r="B5454" s="834" t="str">
        <f t="shared" si="249"/>
        <v>|||</v>
      </c>
      <c r="H5454" s="835">
        <f t="shared" si="250"/>
        <v>31</v>
      </c>
      <c r="AF5454" s="831" t="s">
        <v>6111</v>
      </c>
      <c r="AG5454" s="831" t="s">
        <v>132</v>
      </c>
      <c r="AH5454" s="831" t="s">
        <v>186</v>
      </c>
      <c r="AI5454" s="831">
        <v>0</v>
      </c>
      <c r="AJ5454" s="835">
        <v>41090</v>
      </c>
      <c r="AK5454" s="831">
        <v>12201</v>
      </c>
    </row>
    <row r="5455" spans="2:37">
      <c r="B5455" s="834" t="str">
        <f t="shared" si="249"/>
        <v>|||</v>
      </c>
      <c r="H5455" s="835">
        <f t="shared" si="250"/>
        <v>31</v>
      </c>
      <c r="AF5455" s="831" t="s">
        <v>6112</v>
      </c>
      <c r="AG5455" s="831" t="s">
        <v>132</v>
      </c>
      <c r="AH5455" s="831" t="s">
        <v>189</v>
      </c>
      <c r="AI5455" s="831">
        <v>0</v>
      </c>
      <c r="AJ5455" s="835">
        <v>41090</v>
      </c>
      <c r="AK5455" s="831">
        <v>0</v>
      </c>
    </row>
    <row r="5456" spans="2:37">
      <c r="B5456" s="834" t="str">
        <f t="shared" si="249"/>
        <v>|||</v>
      </c>
      <c r="H5456" s="835">
        <f t="shared" si="250"/>
        <v>31</v>
      </c>
      <c r="AF5456" s="831" t="s">
        <v>6113</v>
      </c>
      <c r="AG5456" s="831" t="s">
        <v>132</v>
      </c>
      <c r="AH5456" s="831" t="s">
        <v>68</v>
      </c>
      <c r="AI5456" s="831">
        <v>0</v>
      </c>
      <c r="AJ5456" s="835">
        <v>41121</v>
      </c>
      <c r="AK5456" s="831">
        <v>344212385</v>
      </c>
    </row>
    <row r="5457" spans="2:37">
      <c r="B5457" s="834" t="str">
        <f t="shared" si="249"/>
        <v>|||</v>
      </c>
      <c r="H5457" s="835">
        <f t="shared" si="250"/>
        <v>31</v>
      </c>
      <c r="AF5457" s="831" t="s">
        <v>6114</v>
      </c>
      <c r="AG5457" s="831" t="s">
        <v>132</v>
      </c>
      <c r="AH5457" s="831" t="s">
        <v>73</v>
      </c>
      <c r="AI5457" s="831">
        <v>0</v>
      </c>
      <c r="AJ5457" s="835">
        <v>41121</v>
      </c>
      <c r="AK5457" s="831">
        <v>496037</v>
      </c>
    </row>
    <row r="5458" spans="2:37">
      <c r="B5458" s="834" t="str">
        <f t="shared" si="249"/>
        <v>|||</v>
      </c>
      <c r="H5458" s="835">
        <f t="shared" si="250"/>
        <v>31</v>
      </c>
      <c r="AF5458" s="831" t="s">
        <v>6115</v>
      </c>
      <c r="AG5458" s="831" t="s">
        <v>132</v>
      </c>
      <c r="AH5458" s="831" t="s">
        <v>147</v>
      </c>
      <c r="AI5458" s="831">
        <v>0</v>
      </c>
      <c r="AJ5458" s="835">
        <v>41121</v>
      </c>
      <c r="AK5458" s="831">
        <v>112754</v>
      </c>
    </row>
    <row r="5459" spans="2:37">
      <c r="B5459" s="834" t="str">
        <f t="shared" si="249"/>
        <v>|||</v>
      </c>
      <c r="H5459" s="835">
        <f t="shared" si="250"/>
        <v>31</v>
      </c>
      <c r="AF5459" s="831" t="s">
        <v>6116</v>
      </c>
      <c r="AG5459" s="831" t="s">
        <v>132</v>
      </c>
      <c r="AH5459" s="831" t="s">
        <v>151</v>
      </c>
      <c r="AI5459" s="831">
        <v>0</v>
      </c>
      <c r="AJ5459" s="835">
        <v>41121</v>
      </c>
      <c r="AK5459" s="831">
        <v>100835</v>
      </c>
    </row>
    <row r="5460" spans="2:37">
      <c r="B5460" s="834" t="str">
        <f t="shared" si="249"/>
        <v>|||</v>
      </c>
      <c r="H5460" s="835">
        <f t="shared" si="250"/>
        <v>31</v>
      </c>
      <c r="AF5460" s="831" t="s">
        <v>6117</v>
      </c>
      <c r="AG5460" s="831" t="s">
        <v>132</v>
      </c>
      <c r="AH5460" s="831" t="s">
        <v>155</v>
      </c>
      <c r="AI5460" s="831">
        <v>0</v>
      </c>
      <c r="AJ5460" s="835">
        <v>41121</v>
      </c>
      <c r="AK5460" s="831">
        <v>400605</v>
      </c>
    </row>
    <row r="5461" spans="2:37">
      <c r="B5461" s="834" t="str">
        <f t="shared" si="249"/>
        <v>|||</v>
      </c>
      <c r="H5461" s="835">
        <f t="shared" si="250"/>
        <v>31</v>
      </c>
      <c r="AF5461" s="831" t="s">
        <v>6118</v>
      </c>
      <c r="AG5461" s="831" t="s">
        <v>132</v>
      </c>
      <c r="AH5461" s="831" t="s">
        <v>158</v>
      </c>
      <c r="AI5461" s="831">
        <v>0</v>
      </c>
      <c r="AJ5461" s="835">
        <v>41121</v>
      </c>
      <c r="AK5461" s="831">
        <v>229848</v>
      </c>
    </row>
    <row r="5462" spans="2:37">
      <c r="B5462" s="834" t="str">
        <f t="shared" si="249"/>
        <v>|||</v>
      </c>
      <c r="H5462" s="835">
        <f t="shared" si="250"/>
        <v>31</v>
      </c>
      <c r="AF5462" s="831" t="s">
        <v>6119</v>
      </c>
      <c r="AG5462" s="831" t="s">
        <v>132</v>
      </c>
      <c r="AH5462" s="831" t="s">
        <v>160</v>
      </c>
      <c r="AI5462" s="831">
        <v>0</v>
      </c>
      <c r="AJ5462" s="835">
        <v>41121</v>
      </c>
      <c r="AK5462" s="831">
        <v>401684</v>
      </c>
    </row>
    <row r="5463" spans="2:37">
      <c r="B5463" s="834" t="str">
        <f t="shared" si="249"/>
        <v>|||</v>
      </c>
      <c r="H5463" s="835">
        <f t="shared" si="250"/>
        <v>31</v>
      </c>
      <c r="AF5463" s="831" t="s">
        <v>6120</v>
      </c>
      <c r="AG5463" s="831" t="s">
        <v>132</v>
      </c>
      <c r="AH5463" s="831" t="s">
        <v>161</v>
      </c>
      <c r="AI5463" s="831">
        <v>0</v>
      </c>
      <c r="AJ5463" s="835">
        <v>41121</v>
      </c>
      <c r="AK5463" s="831">
        <v>1275214</v>
      </c>
    </row>
    <row r="5464" spans="2:37">
      <c r="B5464" s="834" t="str">
        <f t="shared" si="249"/>
        <v>|||</v>
      </c>
      <c r="H5464" s="835">
        <f t="shared" si="250"/>
        <v>31</v>
      </c>
      <c r="AF5464" s="831" t="s">
        <v>6121</v>
      </c>
      <c r="AG5464" s="831" t="s">
        <v>132</v>
      </c>
      <c r="AH5464" s="831" t="s">
        <v>170</v>
      </c>
      <c r="AI5464" s="831">
        <v>0</v>
      </c>
      <c r="AJ5464" s="835">
        <v>41121</v>
      </c>
      <c r="AK5464" s="831">
        <v>1889174.49</v>
      </c>
    </row>
    <row r="5465" spans="2:37">
      <c r="B5465" s="834" t="str">
        <f t="shared" si="249"/>
        <v>|||</v>
      </c>
      <c r="H5465" s="835">
        <f t="shared" si="250"/>
        <v>31</v>
      </c>
      <c r="AF5465" s="831" t="s">
        <v>6122</v>
      </c>
      <c r="AG5465" s="831" t="s">
        <v>132</v>
      </c>
      <c r="AH5465" s="831" t="s">
        <v>173</v>
      </c>
      <c r="AI5465" s="831">
        <v>0</v>
      </c>
      <c r="AJ5465" s="835">
        <v>41121</v>
      </c>
      <c r="AK5465" s="831">
        <v>87173.14</v>
      </c>
    </row>
    <row r="5466" spans="2:37">
      <c r="B5466" s="834" t="str">
        <f t="shared" si="249"/>
        <v>|||</v>
      </c>
      <c r="H5466" s="835">
        <f t="shared" si="250"/>
        <v>31</v>
      </c>
      <c r="AF5466" s="831" t="s">
        <v>6123</v>
      </c>
      <c r="AG5466" s="831" t="s">
        <v>132</v>
      </c>
      <c r="AH5466" s="831" t="s">
        <v>78</v>
      </c>
      <c r="AI5466" s="831">
        <v>0</v>
      </c>
      <c r="AJ5466" s="835">
        <v>41121</v>
      </c>
      <c r="AK5466" s="831">
        <v>898640</v>
      </c>
    </row>
    <row r="5467" spans="2:37">
      <c r="B5467" s="834" t="str">
        <f t="shared" si="249"/>
        <v>|||</v>
      </c>
      <c r="H5467" s="835">
        <f t="shared" si="250"/>
        <v>31</v>
      </c>
      <c r="AF5467" s="831" t="s">
        <v>6124</v>
      </c>
      <c r="AG5467" s="831" t="s">
        <v>132</v>
      </c>
      <c r="AH5467" s="831" t="s">
        <v>183</v>
      </c>
      <c r="AI5467" s="831">
        <v>0</v>
      </c>
      <c r="AJ5467" s="835">
        <v>41121</v>
      </c>
      <c r="AK5467" s="831">
        <v>0</v>
      </c>
    </row>
    <row r="5468" spans="2:37">
      <c r="B5468" s="834" t="str">
        <f t="shared" si="249"/>
        <v>|||</v>
      </c>
      <c r="H5468" s="835">
        <f t="shared" si="250"/>
        <v>31</v>
      </c>
      <c r="AF5468" s="831" t="s">
        <v>6125</v>
      </c>
      <c r="AG5468" s="831" t="s">
        <v>132</v>
      </c>
      <c r="AH5468" s="831" t="s">
        <v>186</v>
      </c>
      <c r="AI5468" s="831">
        <v>0</v>
      </c>
      <c r="AJ5468" s="835">
        <v>41121</v>
      </c>
      <c r="AK5468" s="831">
        <v>0</v>
      </c>
    </row>
    <row r="5469" spans="2:37">
      <c r="B5469" s="834" t="str">
        <f t="shared" si="249"/>
        <v>|||</v>
      </c>
      <c r="H5469" s="835">
        <f t="shared" si="250"/>
        <v>31</v>
      </c>
      <c r="AF5469" s="831" t="s">
        <v>6126</v>
      </c>
      <c r="AG5469" s="831" t="s">
        <v>132</v>
      </c>
      <c r="AH5469" s="831" t="s">
        <v>189</v>
      </c>
      <c r="AI5469" s="831">
        <v>0</v>
      </c>
      <c r="AJ5469" s="835">
        <v>41121</v>
      </c>
      <c r="AK5469" s="831">
        <v>0</v>
      </c>
    </row>
    <row r="5470" spans="2:37">
      <c r="B5470" s="834" t="str">
        <f t="shared" si="249"/>
        <v>|||</v>
      </c>
      <c r="H5470" s="835">
        <f t="shared" si="250"/>
        <v>31</v>
      </c>
      <c r="AF5470" s="831" t="s">
        <v>6127</v>
      </c>
      <c r="AG5470" s="831" t="s">
        <v>132</v>
      </c>
      <c r="AH5470" s="831" t="s">
        <v>68</v>
      </c>
      <c r="AI5470" s="831">
        <v>0</v>
      </c>
      <c r="AJ5470" s="835">
        <v>41152</v>
      </c>
      <c r="AK5470" s="831">
        <v>357328424</v>
      </c>
    </row>
    <row r="5471" spans="2:37">
      <c r="B5471" s="834" t="str">
        <f t="shared" si="249"/>
        <v>|||</v>
      </c>
      <c r="H5471" s="835">
        <f t="shared" si="250"/>
        <v>31</v>
      </c>
      <c r="AF5471" s="831" t="s">
        <v>6128</v>
      </c>
      <c r="AG5471" s="831" t="s">
        <v>132</v>
      </c>
      <c r="AH5471" s="831" t="s">
        <v>73</v>
      </c>
      <c r="AI5471" s="831">
        <v>0</v>
      </c>
      <c r="AJ5471" s="835">
        <v>41152</v>
      </c>
      <c r="AK5471" s="831">
        <v>341962</v>
      </c>
    </row>
    <row r="5472" spans="2:37">
      <c r="B5472" s="834" t="str">
        <f t="shared" si="249"/>
        <v>|||</v>
      </c>
      <c r="H5472" s="835">
        <f t="shared" si="250"/>
        <v>31</v>
      </c>
      <c r="AF5472" s="831" t="s">
        <v>6129</v>
      </c>
      <c r="AG5472" s="831" t="s">
        <v>132</v>
      </c>
      <c r="AH5472" s="831" t="s">
        <v>147</v>
      </c>
      <c r="AI5472" s="831">
        <v>0</v>
      </c>
      <c r="AJ5472" s="835">
        <v>41152</v>
      </c>
      <c r="AK5472" s="831">
        <v>334078</v>
      </c>
    </row>
    <row r="5473" spans="2:37">
      <c r="B5473" s="834" t="str">
        <f t="shared" si="249"/>
        <v>|||</v>
      </c>
      <c r="H5473" s="835">
        <f t="shared" si="250"/>
        <v>31</v>
      </c>
      <c r="AF5473" s="831" t="s">
        <v>6130</v>
      </c>
      <c r="AG5473" s="831" t="s">
        <v>132</v>
      </c>
      <c r="AH5473" s="831" t="s">
        <v>151</v>
      </c>
      <c r="AI5473" s="831">
        <v>0</v>
      </c>
      <c r="AJ5473" s="835">
        <v>41152</v>
      </c>
      <c r="AK5473" s="831">
        <v>40813</v>
      </c>
    </row>
    <row r="5474" spans="2:37">
      <c r="B5474" s="834" t="str">
        <f t="shared" si="249"/>
        <v>|||</v>
      </c>
      <c r="H5474" s="835">
        <f t="shared" si="250"/>
        <v>31</v>
      </c>
      <c r="AF5474" s="831" t="s">
        <v>6131</v>
      </c>
      <c r="AG5474" s="831" t="s">
        <v>132</v>
      </c>
      <c r="AH5474" s="831" t="s">
        <v>155</v>
      </c>
      <c r="AI5474" s="831">
        <v>0</v>
      </c>
      <c r="AJ5474" s="835">
        <v>41152</v>
      </c>
      <c r="AK5474" s="831">
        <v>118753</v>
      </c>
    </row>
    <row r="5475" spans="2:37">
      <c r="B5475" s="834" t="str">
        <f t="shared" si="249"/>
        <v>|||</v>
      </c>
      <c r="H5475" s="835">
        <f t="shared" si="250"/>
        <v>31</v>
      </c>
      <c r="AF5475" s="831" t="s">
        <v>6132</v>
      </c>
      <c r="AG5475" s="831" t="s">
        <v>132</v>
      </c>
      <c r="AH5475" s="831" t="s">
        <v>158</v>
      </c>
      <c r="AI5475" s="831">
        <v>0</v>
      </c>
      <c r="AJ5475" s="835">
        <v>41152</v>
      </c>
      <c r="AK5475" s="831">
        <v>220540</v>
      </c>
    </row>
    <row r="5476" spans="2:37">
      <c r="B5476" s="834" t="str">
        <f t="shared" si="249"/>
        <v>|||</v>
      </c>
      <c r="H5476" s="835">
        <f t="shared" si="250"/>
        <v>31</v>
      </c>
      <c r="AF5476" s="831" t="s">
        <v>6133</v>
      </c>
      <c r="AG5476" s="831" t="s">
        <v>132</v>
      </c>
      <c r="AH5476" s="831" t="s">
        <v>160</v>
      </c>
      <c r="AI5476" s="831">
        <v>0</v>
      </c>
      <c r="AJ5476" s="835">
        <v>41152</v>
      </c>
      <c r="AK5476" s="831">
        <v>660016</v>
      </c>
    </row>
    <row r="5477" spans="2:37">
      <c r="B5477" s="834" t="str">
        <f t="shared" si="249"/>
        <v>|||</v>
      </c>
      <c r="H5477" s="835">
        <f t="shared" si="250"/>
        <v>31</v>
      </c>
      <c r="AF5477" s="831" t="s">
        <v>6134</v>
      </c>
      <c r="AG5477" s="831" t="s">
        <v>132</v>
      </c>
      <c r="AH5477" s="831" t="s">
        <v>161</v>
      </c>
      <c r="AI5477" s="831">
        <v>0</v>
      </c>
      <c r="AJ5477" s="835">
        <v>41152</v>
      </c>
      <c r="AK5477" s="831">
        <v>650114</v>
      </c>
    </row>
    <row r="5478" spans="2:37">
      <c r="B5478" s="834" t="str">
        <f t="shared" si="249"/>
        <v>|||</v>
      </c>
      <c r="H5478" s="835">
        <f t="shared" si="250"/>
        <v>31</v>
      </c>
      <c r="AF5478" s="831" t="s">
        <v>6135</v>
      </c>
      <c r="AG5478" s="831" t="s">
        <v>132</v>
      </c>
      <c r="AH5478" s="831" t="s">
        <v>170</v>
      </c>
      <c r="AI5478" s="831">
        <v>0</v>
      </c>
      <c r="AJ5478" s="835">
        <v>41152</v>
      </c>
      <c r="AK5478" s="831">
        <v>1803749</v>
      </c>
    </row>
    <row r="5479" spans="2:37">
      <c r="B5479" s="834" t="str">
        <f t="shared" si="249"/>
        <v>|||</v>
      </c>
      <c r="H5479" s="835">
        <f t="shared" si="250"/>
        <v>31</v>
      </c>
      <c r="AF5479" s="831" t="s">
        <v>6136</v>
      </c>
      <c r="AG5479" s="831" t="s">
        <v>132</v>
      </c>
      <c r="AH5479" s="831" t="s">
        <v>173</v>
      </c>
      <c r="AI5479" s="831">
        <v>0</v>
      </c>
      <c r="AJ5479" s="835">
        <v>41152</v>
      </c>
      <c r="AK5479" s="831">
        <v>51088</v>
      </c>
    </row>
    <row r="5480" spans="2:37">
      <c r="B5480" s="834" t="str">
        <f t="shared" si="249"/>
        <v>|||</v>
      </c>
      <c r="H5480" s="835">
        <f t="shared" si="250"/>
        <v>31</v>
      </c>
      <c r="AF5480" s="831" t="s">
        <v>6137</v>
      </c>
      <c r="AG5480" s="831" t="s">
        <v>132</v>
      </c>
      <c r="AH5480" s="831" t="s">
        <v>78</v>
      </c>
      <c r="AI5480" s="831">
        <v>0</v>
      </c>
      <c r="AJ5480" s="835">
        <v>41152</v>
      </c>
      <c r="AK5480" s="831">
        <v>745707</v>
      </c>
    </row>
    <row r="5481" spans="2:37">
      <c r="B5481" s="834" t="str">
        <f t="shared" si="249"/>
        <v>|||</v>
      </c>
      <c r="H5481" s="835">
        <f t="shared" si="250"/>
        <v>31</v>
      </c>
      <c r="AF5481" s="831" t="s">
        <v>6138</v>
      </c>
      <c r="AG5481" s="831" t="s">
        <v>132</v>
      </c>
      <c r="AH5481" s="831" t="s">
        <v>183</v>
      </c>
      <c r="AI5481" s="831">
        <v>0</v>
      </c>
      <c r="AJ5481" s="835">
        <v>41152</v>
      </c>
      <c r="AK5481" s="831">
        <v>902857</v>
      </c>
    </row>
    <row r="5482" spans="2:37">
      <c r="B5482" s="834" t="str">
        <f t="shared" si="249"/>
        <v>|||</v>
      </c>
      <c r="H5482" s="835">
        <f t="shared" si="250"/>
        <v>31</v>
      </c>
      <c r="AF5482" s="831" t="s">
        <v>6139</v>
      </c>
      <c r="AG5482" s="831" t="s">
        <v>132</v>
      </c>
      <c r="AH5482" s="831" t="s">
        <v>186</v>
      </c>
      <c r="AI5482" s="831">
        <v>0</v>
      </c>
      <c r="AJ5482" s="835">
        <v>41152</v>
      </c>
      <c r="AK5482" s="831">
        <v>66366</v>
      </c>
    </row>
    <row r="5483" spans="2:37">
      <c r="B5483" s="834" t="str">
        <f t="shared" si="249"/>
        <v>|||</v>
      </c>
      <c r="H5483" s="835">
        <f t="shared" si="250"/>
        <v>31</v>
      </c>
      <c r="AF5483" s="831" t="s">
        <v>6140</v>
      </c>
      <c r="AG5483" s="831" t="s">
        <v>132</v>
      </c>
      <c r="AH5483" s="831" t="s">
        <v>189</v>
      </c>
      <c r="AI5483" s="831">
        <v>0</v>
      </c>
      <c r="AJ5483" s="835">
        <v>41152</v>
      </c>
      <c r="AK5483" s="831">
        <v>0</v>
      </c>
    </row>
    <row r="5484" spans="2:37">
      <c r="B5484" s="834" t="str">
        <f t="shared" si="249"/>
        <v>|||</v>
      </c>
      <c r="H5484" s="835">
        <f t="shared" si="250"/>
        <v>31</v>
      </c>
      <c r="AF5484" s="831" t="s">
        <v>6141</v>
      </c>
      <c r="AG5484" s="831" t="s">
        <v>132</v>
      </c>
      <c r="AH5484" s="831" t="s">
        <v>68</v>
      </c>
      <c r="AI5484" s="831">
        <v>0</v>
      </c>
      <c r="AJ5484" s="835">
        <v>41182</v>
      </c>
      <c r="AK5484" s="831">
        <v>361613384</v>
      </c>
    </row>
    <row r="5485" spans="2:37">
      <c r="B5485" s="834" t="str">
        <f t="shared" si="249"/>
        <v>|||</v>
      </c>
      <c r="H5485" s="835">
        <f t="shared" si="250"/>
        <v>31</v>
      </c>
      <c r="AF5485" s="831" t="s">
        <v>6142</v>
      </c>
      <c r="AG5485" s="831" t="s">
        <v>132</v>
      </c>
      <c r="AH5485" s="831" t="s">
        <v>73</v>
      </c>
      <c r="AI5485" s="831">
        <v>0</v>
      </c>
      <c r="AJ5485" s="835">
        <v>41182</v>
      </c>
      <c r="AK5485" s="831">
        <v>867302</v>
      </c>
    </row>
    <row r="5486" spans="2:37">
      <c r="B5486" s="834" t="str">
        <f t="shared" si="249"/>
        <v>|||</v>
      </c>
      <c r="H5486" s="835">
        <f t="shared" si="250"/>
        <v>31</v>
      </c>
      <c r="AF5486" s="831" t="s">
        <v>6143</v>
      </c>
      <c r="AG5486" s="831" t="s">
        <v>132</v>
      </c>
      <c r="AH5486" s="831" t="s">
        <v>147</v>
      </c>
      <c r="AI5486" s="831">
        <v>0</v>
      </c>
      <c r="AJ5486" s="835">
        <v>41182</v>
      </c>
      <c r="AK5486" s="831">
        <v>141755</v>
      </c>
    </row>
    <row r="5487" spans="2:37">
      <c r="B5487" s="834" t="str">
        <f t="shared" si="249"/>
        <v>|||</v>
      </c>
      <c r="H5487" s="835">
        <f t="shared" si="250"/>
        <v>31</v>
      </c>
      <c r="AF5487" s="831" t="s">
        <v>6144</v>
      </c>
      <c r="AG5487" s="831" t="s">
        <v>132</v>
      </c>
      <c r="AH5487" s="831" t="s">
        <v>151</v>
      </c>
      <c r="AI5487" s="831">
        <v>0</v>
      </c>
      <c r="AJ5487" s="835">
        <v>41182</v>
      </c>
      <c r="AK5487" s="831">
        <v>319754</v>
      </c>
    </row>
    <row r="5488" spans="2:37">
      <c r="B5488" s="834" t="str">
        <f t="shared" si="249"/>
        <v>|||</v>
      </c>
      <c r="H5488" s="835">
        <f t="shared" si="250"/>
        <v>31</v>
      </c>
      <c r="AF5488" s="831" t="s">
        <v>6145</v>
      </c>
      <c r="AG5488" s="831" t="s">
        <v>132</v>
      </c>
      <c r="AH5488" s="831" t="s">
        <v>155</v>
      </c>
      <c r="AI5488" s="831">
        <v>0</v>
      </c>
      <c r="AJ5488" s="835">
        <v>41182</v>
      </c>
      <c r="AK5488" s="831">
        <v>126950</v>
      </c>
    </row>
    <row r="5489" spans="2:37">
      <c r="B5489" s="834" t="str">
        <f t="shared" si="249"/>
        <v>|||</v>
      </c>
      <c r="H5489" s="835">
        <f t="shared" si="250"/>
        <v>31</v>
      </c>
      <c r="AF5489" s="831" t="s">
        <v>6146</v>
      </c>
      <c r="AG5489" s="831" t="s">
        <v>132</v>
      </c>
      <c r="AH5489" s="831" t="s">
        <v>158</v>
      </c>
      <c r="AI5489" s="831">
        <v>0</v>
      </c>
      <c r="AJ5489" s="835">
        <v>41182</v>
      </c>
      <c r="AK5489" s="831">
        <v>170006</v>
      </c>
    </row>
    <row r="5490" spans="2:37">
      <c r="B5490" s="834" t="str">
        <f t="shared" si="249"/>
        <v>|||</v>
      </c>
      <c r="H5490" s="835">
        <f t="shared" si="250"/>
        <v>31</v>
      </c>
      <c r="AF5490" s="831" t="s">
        <v>6147</v>
      </c>
      <c r="AG5490" s="831" t="s">
        <v>132</v>
      </c>
      <c r="AH5490" s="831" t="s">
        <v>160</v>
      </c>
      <c r="AI5490" s="831">
        <v>0</v>
      </c>
      <c r="AJ5490" s="835">
        <v>41182</v>
      </c>
      <c r="AK5490" s="831">
        <v>435830</v>
      </c>
    </row>
    <row r="5491" spans="2:37">
      <c r="B5491" s="834" t="str">
        <f t="shared" si="249"/>
        <v>|||</v>
      </c>
      <c r="H5491" s="835">
        <f t="shared" si="250"/>
        <v>31</v>
      </c>
      <c r="AF5491" s="831" t="s">
        <v>6148</v>
      </c>
      <c r="AG5491" s="831" t="s">
        <v>132</v>
      </c>
      <c r="AH5491" s="831" t="s">
        <v>161</v>
      </c>
      <c r="AI5491" s="831">
        <v>0</v>
      </c>
      <c r="AJ5491" s="835">
        <v>41182</v>
      </c>
      <c r="AK5491" s="831">
        <v>907492</v>
      </c>
    </row>
    <row r="5492" spans="2:37">
      <c r="B5492" s="834" t="str">
        <f t="shared" si="249"/>
        <v>|||</v>
      </c>
      <c r="H5492" s="835">
        <f t="shared" si="250"/>
        <v>31</v>
      </c>
      <c r="AF5492" s="831" t="s">
        <v>6149</v>
      </c>
      <c r="AG5492" s="831" t="s">
        <v>132</v>
      </c>
      <c r="AH5492" s="831" t="s">
        <v>170</v>
      </c>
      <c r="AI5492" s="831">
        <v>0</v>
      </c>
      <c r="AJ5492" s="835">
        <v>41182</v>
      </c>
      <c r="AK5492" s="831">
        <v>1564791</v>
      </c>
    </row>
    <row r="5493" spans="2:37">
      <c r="B5493" s="834" t="str">
        <f t="shared" si="249"/>
        <v>|||</v>
      </c>
      <c r="H5493" s="835">
        <f t="shared" si="250"/>
        <v>31</v>
      </c>
      <c r="AF5493" s="831" t="s">
        <v>6150</v>
      </c>
      <c r="AG5493" s="831" t="s">
        <v>132</v>
      </c>
      <c r="AH5493" s="831" t="s">
        <v>173</v>
      </c>
      <c r="AI5493" s="831">
        <v>0</v>
      </c>
      <c r="AJ5493" s="835">
        <v>41182</v>
      </c>
      <c r="AK5493" s="831">
        <v>187928</v>
      </c>
    </row>
    <row r="5494" spans="2:37">
      <c r="B5494" s="834" t="str">
        <f t="shared" si="249"/>
        <v>|||</v>
      </c>
      <c r="H5494" s="835">
        <f t="shared" si="250"/>
        <v>31</v>
      </c>
      <c r="AF5494" s="831" t="s">
        <v>6151</v>
      </c>
      <c r="AG5494" s="831" t="s">
        <v>132</v>
      </c>
      <c r="AH5494" s="831" t="s">
        <v>78</v>
      </c>
      <c r="AI5494" s="831">
        <v>0</v>
      </c>
      <c r="AJ5494" s="835">
        <v>41182</v>
      </c>
      <c r="AK5494" s="831">
        <v>749753</v>
      </c>
    </row>
    <row r="5495" spans="2:37">
      <c r="B5495" s="834" t="str">
        <f t="shared" si="249"/>
        <v>|||</v>
      </c>
      <c r="H5495" s="835">
        <f t="shared" si="250"/>
        <v>31</v>
      </c>
      <c r="AF5495" s="831" t="s">
        <v>6152</v>
      </c>
      <c r="AG5495" s="831" t="s">
        <v>132</v>
      </c>
      <c r="AH5495" s="831" t="s">
        <v>183</v>
      </c>
      <c r="AI5495" s="831">
        <v>0</v>
      </c>
      <c r="AJ5495" s="835">
        <v>41182</v>
      </c>
      <c r="AK5495" s="831">
        <v>0</v>
      </c>
    </row>
    <row r="5496" spans="2:37">
      <c r="B5496" s="834" t="str">
        <f t="shared" si="249"/>
        <v>|||</v>
      </c>
      <c r="H5496" s="835">
        <f t="shared" si="250"/>
        <v>31</v>
      </c>
      <c r="AF5496" s="831" t="s">
        <v>6153</v>
      </c>
      <c r="AG5496" s="831" t="s">
        <v>132</v>
      </c>
      <c r="AH5496" s="831" t="s">
        <v>186</v>
      </c>
      <c r="AI5496" s="831">
        <v>0</v>
      </c>
      <c r="AJ5496" s="835">
        <v>41182</v>
      </c>
      <c r="AK5496" s="831">
        <v>41329</v>
      </c>
    </row>
    <row r="5497" spans="2:37">
      <c r="B5497" s="834" t="str">
        <f t="shared" si="249"/>
        <v>|||</v>
      </c>
      <c r="H5497" s="835">
        <f t="shared" si="250"/>
        <v>31</v>
      </c>
      <c r="AF5497" s="831" t="s">
        <v>6154</v>
      </c>
      <c r="AG5497" s="831" t="s">
        <v>132</v>
      </c>
      <c r="AH5497" s="831" t="s">
        <v>189</v>
      </c>
      <c r="AI5497" s="831">
        <v>0</v>
      </c>
      <c r="AJ5497" s="835">
        <v>41182</v>
      </c>
      <c r="AK5497" s="831">
        <v>0</v>
      </c>
    </row>
    <row r="5498" spans="2:37">
      <c r="B5498" s="834" t="str">
        <f t="shared" si="249"/>
        <v>|||</v>
      </c>
      <c r="H5498" s="835">
        <f t="shared" si="250"/>
        <v>31</v>
      </c>
      <c r="AF5498" s="831" t="s">
        <v>6155</v>
      </c>
      <c r="AG5498" s="831" t="s">
        <v>132</v>
      </c>
      <c r="AH5498" s="831" t="s">
        <v>68</v>
      </c>
      <c r="AI5498" s="831">
        <v>0</v>
      </c>
      <c r="AJ5498" s="835">
        <v>41213</v>
      </c>
      <c r="AK5498" s="831">
        <v>371107042</v>
      </c>
    </row>
    <row r="5499" spans="2:37">
      <c r="B5499" s="834" t="str">
        <f t="shared" si="249"/>
        <v>|||</v>
      </c>
      <c r="H5499" s="835">
        <f t="shared" si="250"/>
        <v>31</v>
      </c>
      <c r="AF5499" s="831" t="s">
        <v>6156</v>
      </c>
      <c r="AG5499" s="831" t="s">
        <v>132</v>
      </c>
      <c r="AH5499" s="831" t="s">
        <v>73</v>
      </c>
      <c r="AI5499" s="831">
        <v>0</v>
      </c>
      <c r="AJ5499" s="835">
        <v>41213</v>
      </c>
      <c r="AK5499" s="831">
        <v>555142</v>
      </c>
    </row>
    <row r="5500" spans="2:37">
      <c r="B5500" s="834" t="str">
        <f t="shared" si="249"/>
        <v>|||</v>
      </c>
      <c r="H5500" s="835">
        <f t="shared" si="250"/>
        <v>31</v>
      </c>
      <c r="AF5500" s="831" t="s">
        <v>6157</v>
      </c>
      <c r="AG5500" s="831" t="s">
        <v>132</v>
      </c>
      <c r="AH5500" s="831" t="s">
        <v>147</v>
      </c>
      <c r="AI5500" s="831">
        <v>0</v>
      </c>
      <c r="AJ5500" s="835">
        <v>41213</v>
      </c>
      <c r="AK5500" s="831">
        <v>227406</v>
      </c>
    </row>
    <row r="5501" spans="2:37">
      <c r="B5501" s="834" t="str">
        <f t="shared" si="249"/>
        <v>|||</v>
      </c>
      <c r="H5501" s="835">
        <f t="shared" si="250"/>
        <v>31</v>
      </c>
      <c r="AF5501" s="831" t="s">
        <v>6158</v>
      </c>
      <c r="AG5501" s="831" t="s">
        <v>132</v>
      </c>
      <c r="AH5501" s="831" t="s">
        <v>151</v>
      </c>
      <c r="AI5501" s="831">
        <v>0</v>
      </c>
      <c r="AJ5501" s="835">
        <v>41213</v>
      </c>
      <c r="AK5501" s="831">
        <v>106817</v>
      </c>
    </row>
    <row r="5502" spans="2:37">
      <c r="B5502" s="834" t="str">
        <f t="shared" si="249"/>
        <v>|||</v>
      </c>
      <c r="H5502" s="835">
        <f t="shared" si="250"/>
        <v>31</v>
      </c>
      <c r="AF5502" s="831" t="s">
        <v>6159</v>
      </c>
      <c r="AG5502" s="831" t="s">
        <v>132</v>
      </c>
      <c r="AH5502" s="831" t="s">
        <v>155</v>
      </c>
      <c r="AI5502" s="831">
        <v>0</v>
      </c>
      <c r="AJ5502" s="835">
        <v>41213</v>
      </c>
      <c r="AK5502" s="831">
        <v>318464</v>
      </c>
    </row>
    <row r="5503" spans="2:37">
      <c r="B5503" s="834" t="str">
        <f t="shared" si="249"/>
        <v>|||</v>
      </c>
      <c r="H5503" s="835">
        <f t="shared" si="250"/>
        <v>31</v>
      </c>
      <c r="AF5503" s="831" t="s">
        <v>6160</v>
      </c>
      <c r="AG5503" s="831" t="s">
        <v>132</v>
      </c>
      <c r="AH5503" s="831" t="s">
        <v>158</v>
      </c>
      <c r="AI5503" s="831">
        <v>0</v>
      </c>
      <c r="AJ5503" s="835">
        <v>41213</v>
      </c>
      <c r="AK5503" s="831">
        <v>134172</v>
      </c>
    </row>
    <row r="5504" spans="2:37">
      <c r="B5504" s="834" t="str">
        <f t="shared" si="249"/>
        <v>|||</v>
      </c>
      <c r="H5504" s="835">
        <f t="shared" si="250"/>
        <v>31</v>
      </c>
      <c r="AF5504" s="831" t="s">
        <v>6161</v>
      </c>
      <c r="AG5504" s="831" t="s">
        <v>132</v>
      </c>
      <c r="AH5504" s="831" t="s">
        <v>160</v>
      </c>
      <c r="AI5504" s="831">
        <v>0</v>
      </c>
      <c r="AJ5504" s="835">
        <v>41213</v>
      </c>
      <c r="AK5504" s="831">
        <v>711529</v>
      </c>
    </row>
    <row r="5505" spans="2:37">
      <c r="B5505" s="834" t="str">
        <f t="shared" si="249"/>
        <v>|||</v>
      </c>
      <c r="H5505" s="835">
        <f t="shared" si="250"/>
        <v>31</v>
      </c>
      <c r="AF5505" s="831" t="s">
        <v>6162</v>
      </c>
      <c r="AG5505" s="831" t="s">
        <v>132</v>
      </c>
      <c r="AH5505" s="831" t="s">
        <v>161</v>
      </c>
      <c r="AI5505" s="831">
        <v>0</v>
      </c>
      <c r="AJ5505" s="835">
        <v>41213</v>
      </c>
      <c r="AK5505" s="831">
        <v>762951</v>
      </c>
    </row>
    <row r="5506" spans="2:37">
      <c r="B5506" s="834" t="str">
        <f t="shared" si="249"/>
        <v>|||</v>
      </c>
      <c r="H5506" s="835">
        <f t="shared" si="250"/>
        <v>31</v>
      </c>
      <c r="AF5506" s="831" t="s">
        <v>6163</v>
      </c>
      <c r="AG5506" s="831" t="s">
        <v>132</v>
      </c>
      <c r="AH5506" s="831" t="s">
        <v>170</v>
      </c>
      <c r="AI5506" s="831">
        <v>0</v>
      </c>
      <c r="AJ5506" s="835">
        <v>41213</v>
      </c>
      <c r="AK5506" s="831">
        <v>1550256</v>
      </c>
    </row>
    <row r="5507" spans="2:37">
      <c r="B5507" s="834" t="str">
        <f t="shared" ref="B5507:B5570" si="251">C5507&amp;"|"&amp;D5507&amp;"|"&amp;E5507&amp;"|"&amp;F5507</f>
        <v>|||</v>
      </c>
      <c r="H5507" s="835">
        <f t="shared" si="250"/>
        <v>31</v>
      </c>
      <c r="AF5507" s="831" t="s">
        <v>6164</v>
      </c>
      <c r="AG5507" s="831" t="s">
        <v>132</v>
      </c>
      <c r="AH5507" s="831" t="s">
        <v>173</v>
      </c>
      <c r="AI5507" s="831">
        <v>0</v>
      </c>
      <c r="AJ5507" s="835">
        <v>41213</v>
      </c>
      <c r="AK5507" s="831">
        <v>63038</v>
      </c>
    </row>
    <row r="5508" spans="2:37">
      <c r="B5508" s="834" t="str">
        <f t="shared" si="251"/>
        <v>|||</v>
      </c>
      <c r="H5508" s="835">
        <f t="shared" ref="H5508:H5571" si="252">EOMONTH(L5508,0)</f>
        <v>31</v>
      </c>
      <c r="AF5508" s="831" t="s">
        <v>6165</v>
      </c>
      <c r="AG5508" s="831" t="s">
        <v>132</v>
      </c>
      <c r="AH5508" s="831" t="s">
        <v>78</v>
      </c>
      <c r="AI5508" s="831">
        <v>0</v>
      </c>
      <c r="AJ5508" s="835">
        <v>41213</v>
      </c>
      <c r="AK5508" s="831">
        <v>867434</v>
      </c>
    </row>
    <row r="5509" spans="2:37">
      <c r="B5509" s="834" t="str">
        <f t="shared" si="251"/>
        <v>|||</v>
      </c>
      <c r="H5509" s="835">
        <f t="shared" si="252"/>
        <v>31</v>
      </c>
      <c r="AF5509" s="831" t="s">
        <v>6166</v>
      </c>
      <c r="AG5509" s="831" t="s">
        <v>132</v>
      </c>
      <c r="AH5509" s="831" t="s">
        <v>183</v>
      </c>
      <c r="AI5509" s="831">
        <v>0</v>
      </c>
      <c r="AJ5509" s="835">
        <v>41213</v>
      </c>
      <c r="AK5509" s="831">
        <v>0</v>
      </c>
    </row>
    <row r="5510" spans="2:37">
      <c r="B5510" s="834" t="str">
        <f t="shared" si="251"/>
        <v>|||</v>
      </c>
      <c r="H5510" s="835">
        <f t="shared" si="252"/>
        <v>31</v>
      </c>
      <c r="AF5510" s="831" t="s">
        <v>6167</v>
      </c>
      <c r="AG5510" s="831" t="s">
        <v>132</v>
      </c>
      <c r="AH5510" s="831" t="s">
        <v>186</v>
      </c>
      <c r="AI5510" s="831">
        <v>0</v>
      </c>
      <c r="AJ5510" s="835">
        <v>41213</v>
      </c>
      <c r="AK5510" s="831">
        <v>8270</v>
      </c>
    </row>
    <row r="5511" spans="2:37">
      <c r="B5511" s="834" t="str">
        <f t="shared" si="251"/>
        <v>|||</v>
      </c>
      <c r="H5511" s="835">
        <f t="shared" si="252"/>
        <v>31</v>
      </c>
      <c r="AF5511" s="831" t="s">
        <v>6168</v>
      </c>
      <c r="AG5511" s="831" t="s">
        <v>132</v>
      </c>
      <c r="AH5511" s="831" t="s">
        <v>189</v>
      </c>
      <c r="AI5511" s="831">
        <v>0</v>
      </c>
      <c r="AJ5511" s="835">
        <v>41213</v>
      </c>
      <c r="AK5511" s="831">
        <v>0</v>
      </c>
    </row>
    <row r="5512" spans="2:37">
      <c r="B5512" s="834" t="str">
        <f t="shared" si="251"/>
        <v>|||</v>
      </c>
      <c r="H5512" s="835">
        <f t="shared" si="252"/>
        <v>31</v>
      </c>
      <c r="AF5512" s="831" t="s">
        <v>6169</v>
      </c>
      <c r="AG5512" s="831" t="s">
        <v>132</v>
      </c>
      <c r="AH5512" s="831" t="s">
        <v>68</v>
      </c>
      <c r="AI5512" s="831">
        <v>0</v>
      </c>
      <c r="AJ5512" s="835">
        <v>41243</v>
      </c>
      <c r="AK5512" s="831">
        <v>388865190</v>
      </c>
    </row>
    <row r="5513" spans="2:37">
      <c r="B5513" s="834" t="str">
        <f t="shared" si="251"/>
        <v>|||</v>
      </c>
      <c r="H5513" s="835">
        <f t="shared" si="252"/>
        <v>31</v>
      </c>
      <c r="AF5513" s="831" t="s">
        <v>6170</v>
      </c>
      <c r="AG5513" s="831" t="s">
        <v>132</v>
      </c>
      <c r="AH5513" s="831" t="s">
        <v>73</v>
      </c>
      <c r="AI5513" s="831">
        <v>0</v>
      </c>
      <c r="AJ5513" s="835">
        <v>41243</v>
      </c>
      <c r="AK5513" s="831">
        <v>255856</v>
      </c>
    </row>
    <row r="5514" spans="2:37">
      <c r="B5514" s="834" t="str">
        <f t="shared" si="251"/>
        <v>|||</v>
      </c>
      <c r="H5514" s="835">
        <f t="shared" si="252"/>
        <v>31</v>
      </c>
      <c r="AF5514" s="831" t="s">
        <v>6171</v>
      </c>
      <c r="AG5514" s="831" t="s">
        <v>132</v>
      </c>
      <c r="AH5514" s="831" t="s">
        <v>147</v>
      </c>
      <c r="AI5514" s="831">
        <v>0</v>
      </c>
      <c r="AJ5514" s="835">
        <v>41243</v>
      </c>
      <c r="AK5514" s="831">
        <v>178570</v>
      </c>
    </row>
    <row r="5515" spans="2:37">
      <c r="B5515" s="834" t="str">
        <f t="shared" si="251"/>
        <v>|||</v>
      </c>
      <c r="H5515" s="835">
        <f t="shared" si="252"/>
        <v>31</v>
      </c>
      <c r="AF5515" s="831" t="s">
        <v>6172</v>
      </c>
      <c r="AG5515" s="831" t="s">
        <v>132</v>
      </c>
      <c r="AH5515" s="831" t="s">
        <v>151</v>
      </c>
      <c r="AI5515" s="831">
        <v>0</v>
      </c>
      <c r="AJ5515" s="835">
        <v>41243</v>
      </c>
      <c r="AK5515" s="831">
        <v>196309</v>
      </c>
    </row>
    <row r="5516" spans="2:37">
      <c r="B5516" s="834" t="str">
        <f t="shared" si="251"/>
        <v>|||</v>
      </c>
      <c r="H5516" s="835">
        <f t="shared" si="252"/>
        <v>31</v>
      </c>
      <c r="AF5516" s="831" t="s">
        <v>6173</v>
      </c>
      <c r="AG5516" s="831" t="s">
        <v>132</v>
      </c>
      <c r="AH5516" s="831" t="s">
        <v>155</v>
      </c>
      <c r="AI5516" s="831">
        <v>0</v>
      </c>
      <c r="AJ5516" s="835">
        <v>41243</v>
      </c>
      <c r="AK5516" s="831">
        <v>74410</v>
      </c>
    </row>
    <row r="5517" spans="2:37">
      <c r="B5517" s="834" t="str">
        <f t="shared" si="251"/>
        <v>|||</v>
      </c>
      <c r="H5517" s="835">
        <f t="shared" si="252"/>
        <v>31</v>
      </c>
      <c r="AF5517" s="831" t="s">
        <v>6174</v>
      </c>
      <c r="AG5517" s="831" t="s">
        <v>132</v>
      </c>
      <c r="AH5517" s="831" t="s">
        <v>158</v>
      </c>
      <c r="AI5517" s="831">
        <v>0</v>
      </c>
      <c r="AJ5517" s="835">
        <v>41243</v>
      </c>
      <c r="AK5517" s="831">
        <v>107077</v>
      </c>
    </row>
    <row r="5518" spans="2:37">
      <c r="B5518" s="834" t="str">
        <f t="shared" si="251"/>
        <v>|||</v>
      </c>
      <c r="H5518" s="835">
        <f t="shared" si="252"/>
        <v>31</v>
      </c>
      <c r="AF5518" s="831" t="s">
        <v>6175</v>
      </c>
      <c r="AG5518" s="831" t="s">
        <v>132</v>
      </c>
      <c r="AH5518" s="831" t="s">
        <v>160</v>
      </c>
      <c r="AI5518" s="831">
        <v>0</v>
      </c>
      <c r="AJ5518" s="835">
        <v>41243</v>
      </c>
      <c r="AK5518" s="831">
        <v>743253</v>
      </c>
    </row>
    <row r="5519" spans="2:37">
      <c r="B5519" s="834" t="str">
        <f t="shared" si="251"/>
        <v>|||</v>
      </c>
      <c r="H5519" s="835">
        <f t="shared" si="252"/>
        <v>31</v>
      </c>
      <c r="AF5519" s="831" t="s">
        <v>6176</v>
      </c>
      <c r="AG5519" s="831" t="s">
        <v>132</v>
      </c>
      <c r="AH5519" s="831" t="s">
        <v>161</v>
      </c>
      <c r="AI5519" s="831">
        <v>0</v>
      </c>
      <c r="AJ5519" s="835">
        <v>41243</v>
      </c>
      <c r="AK5519" s="831">
        <v>795302</v>
      </c>
    </row>
    <row r="5520" spans="2:37">
      <c r="B5520" s="834" t="str">
        <f t="shared" si="251"/>
        <v>|||</v>
      </c>
      <c r="H5520" s="835">
        <f t="shared" si="252"/>
        <v>31</v>
      </c>
      <c r="AF5520" s="831" t="s">
        <v>6177</v>
      </c>
      <c r="AG5520" s="831" t="s">
        <v>132</v>
      </c>
      <c r="AH5520" s="831" t="s">
        <v>170</v>
      </c>
      <c r="AI5520" s="831">
        <v>0</v>
      </c>
      <c r="AJ5520" s="835">
        <v>41243</v>
      </c>
      <c r="AK5520" s="831">
        <v>1878757</v>
      </c>
    </row>
    <row r="5521" spans="2:37">
      <c r="B5521" s="834" t="str">
        <f t="shared" si="251"/>
        <v>|||</v>
      </c>
      <c r="H5521" s="835">
        <f t="shared" si="252"/>
        <v>31</v>
      </c>
      <c r="AF5521" s="831" t="s">
        <v>6178</v>
      </c>
      <c r="AG5521" s="831" t="s">
        <v>132</v>
      </c>
      <c r="AH5521" s="831" t="s">
        <v>173</v>
      </c>
      <c r="AI5521" s="831">
        <v>0</v>
      </c>
      <c r="AJ5521" s="835">
        <v>41243</v>
      </c>
      <c r="AK5521" s="831">
        <v>165614</v>
      </c>
    </row>
    <row r="5522" spans="2:37">
      <c r="B5522" s="834" t="str">
        <f t="shared" si="251"/>
        <v>|||</v>
      </c>
      <c r="H5522" s="835">
        <f t="shared" si="252"/>
        <v>31</v>
      </c>
      <c r="AF5522" s="831" t="s">
        <v>6179</v>
      </c>
      <c r="AG5522" s="831" t="s">
        <v>132</v>
      </c>
      <c r="AH5522" s="831" t="s">
        <v>78</v>
      </c>
      <c r="AI5522" s="831">
        <v>0</v>
      </c>
      <c r="AJ5522" s="835">
        <v>41243</v>
      </c>
      <c r="AK5522" s="831">
        <v>823448</v>
      </c>
    </row>
    <row r="5523" spans="2:37">
      <c r="B5523" s="834" t="str">
        <f t="shared" si="251"/>
        <v>|||</v>
      </c>
      <c r="H5523" s="835">
        <f t="shared" si="252"/>
        <v>31</v>
      </c>
      <c r="AF5523" s="831" t="s">
        <v>6180</v>
      </c>
      <c r="AG5523" s="831" t="s">
        <v>132</v>
      </c>
      <c r="AH5523" s="831" t="s">
        <v>183</v>
      </c>
      <c r="AI5523" s="831">
        <v>0</v>
      </c>
      <c r="AJ5523" s="835">
        <v>41243</v>
      </c>
      <c r="AK5523" s="831">
        <v>0</v>
      </c>
    </row>
    <row r="5524" spans="2:37">
      <c r="B5524" s="834" t="str">
        <f t="shared" si="251"/>
        <v>|||</v>
      </c>
      <c r="H5524" s="835">
        <f t="shared" si="252"/>
        <v>31</v>
      </c>
      <c r="AF5524" s="831" t="s">
        <v>6181</v>
      </c>
      <c r="AG5524" s="831" t="s">
        <v>132</v>
      </c>
      <c r="AH5524" s="831" t="s">
        <v>186</v>
      </c>
      <c r="AI5524" s="831">
        <v>0</v>
      </c>
      <c r="AJ5524" s="835">
        <v>41243</v>
      </c>
      <c r="AK5524" s="831">
        <v>52113</v>
      </c>
    </row>
    <row r="5525" spans="2:37">
      <c r="B5525" s="834" t="str">
        <f t="shared" si="251"/>
        <v>|||</v>
      </c>
      <c r="H5525" s="835">
        <f t="shared" si="252"/>
        <v>31</v>
      </c>
      <c r="AF5525" s="831" t="s">
        <v>6182</v>
      </c>
      <c r="AG5525" s="831" t="s">
        <v>132</v>
      </c>
      <c r="AH5525" s="831" t="s">
        <v>189</v>
      </c>
      <c r="AI5525" s="831">
        <v>0</v>
      </c>
      <c r="AJ5525" s="835">
        <v>41243</v>
      </c>
      <c r="AK5525" s="831">
        <v>0</v>
      </c>
    </row>
    <row r="5526" spans="2:37">
      <c r="B5526" s="834" t="str">
        <f t="shared" si="251"/>
        <v>|||</v>
      </c>
      <c r="H5526" s="835">
        <f t="shared" si="252"/>
        <v>31</v>
      </c>
      <c r="AF5526" s="831" t="s">
        <v>6183</v>
      </c>
      <c r="AG5526" s="831" t="s">
        <v>132</v>
      </c>
      <c r="AH5526" s="831" t="s">
        <v>68</v>
      </c>
      <c r="AI5526" s="831">
        <v>0</v>
      </c>
      <c r="AJ5526" s="835">
        <v>41274</v>
      </c>
      <c r="AK5526" s="831">
        <v>407624996</v>
      </c>
    </row>
    <row r="5527" spans="2:37">
      <c r="B5527" s="834" t="str">
        <f t="shared" si="251"/>
        <v>|||</v>
      </c>
      <c r="H5527" s="835">
        <f t="shared" si="252"/>
        <v>31</v>
      </c>
      <c r="AF5527" s="831" t="s">
        <v>6184</v>
      </c>
      <c r="AG5527" s="831" t="s">
        <v>132</v>
      </c>
      <c r="AH5527" s="831" t="s">
        <v>73</v>
      </c>
      <c r="AI5527" s="831">
        <v>0</v>
      </c>
      <c r="AJ5527" s="835">
        <v>41274</v>
      </c>
      <c r="AK5527" s="831">
        <v>121618</v>
      </c>
    </row>
    <row r="5528" spans="2:37">
      <c r="B5528" s="834" t="str">
        <f t="shared" si="251"/>
        <v>|||</v>
      </c>
      <c r="H5528" s="835">
        <f t="shared" si="252"/>
        <v>31</v>
      </c>
      <c r="AF5528" s="831" t="s">
        <v>6185</v>
      </c>
      <c r="AG5528" s="831" t="s">
        <v>132</v>
      </c>
      <c r="AH5528" s="831" t="s">
        <v>147</v>
      </c>
      <c r="AI5528" s="831">
        <v>0</v>
      </c>
      <c r="AJ5528" s="835">
        <v>41274</v>
      </c>
      <c r="AK5528" s="831">
        <v>181284</v>
      </c>
    </row>
    <row r="5529" spans="2:37">
      <c r="B5529" s="834" t="str">
        <f t="shared" si="251"/>
        <v>|||</v>
      </c>
      <c r="H5529" s="835">
        <f t="shared" si="252"/>
        <v>31</v>
      </c>
      <c r="AF5529" s="831" t="s">
        <v>6186</v>
      </c>
      <c r="AG5529" s="831" t="s">
        <v>132</v>
      </c>
      <c r="AH5529" s="831" t="s">
        <v>151</v>
      </c>
      <c r="AI5529" s="831">
        <v>0</v>
      </c>
      <c r="AJ5529" s="835">
        <v>41274</v>
      </c>
      <c r="AK5529" s="831">
        <v>118196</v>
      </c>
    </row>
    <row r="5530" spans="2:37">
      <c r="B5530" s="834" t="str">
        <f t="shared" si="251"/>
        <v>|||</v>
      </c>
      <c r="H5530" s="835">
        <f t="shared" si="252"/>
        <v>31</v>
      </c>
      <c r="AF5530" s="831" t="s">
        <v>6187</v>
      </c>
      <c r="AG5530" s="831" t="s">
        <v>132</v>
      </c>
      <c r="AH5530" s="831" t="s">
        <v>155</v>
      </c>
      <c r="AI5530" s="831">
        <v>0</v>
      </c>
      <c r="AJ5530" s="835">
        <v>41274</v>
      </c>
      <c r="AK5530" s="831">
        <v>75670</v>
      </c>
    </row>
    <row r="5531" spans="2:37">
      <c r="B5531" s="834" t="str">
        <f t="shared" si="251"/>
        <v>|||</v>
      </c>
      <c r="H5531" s="835">
        <f t="shared" si="252"/>
        <v>31</v>
      </c>
      <c r="AF5531" s="831" t="s">
        <v>6188</v>
      </c>
      <c r="AG5531" s="831" t="s">
        <v>132</v>
      </c>
      <c r="AH5531" s="831" t="s">
        <v>158</v>
      </c>
      <c r="AI5531" s="831">
        <v>0</v>
      </c>
      <c r="AJ5531" s="835">
        <v>41274</v>
      </c>
      <c r="AK5531" s="831">
        <v>146974</v>
      </c>
    </row>
    <row r="5532" spans="2:37">
      <c r="B5532" s="834" t="str">
        <f t="shared" si="251"/>
        <v>|||</v>
      </c>
      <c r="H5532" s="835">
        <f t="shared" si="252"/>
        <v>31</v>
      </c>
      <c r="AF5532" s="831" t="s">
        <v>6189</v>
      </c>
      <c r="AG5532" s="831" t="s">
        <v>132</v>
      </c>
      <c r="AH5532" s="831" t="s">
        <v>160</v>
      </c>
      <c r="AI5532" s="831">
        <v>0</v>
      </c>
      <c r="AJ5532" s="835">
        <v>41274</v>
      </c>
      <c r="AK5532" s="831">
        <v>617057</v>
      </c>
    </row>
    <row r="5533" spans="2:37">
      <c r="B5533" s="834" t="str">
        <f t="shared" si="251"/>
        <v>|||</v>
      </c>
      <c r="H5533" s="835">
        <f t="shared" si="252"/>
        <v>31</v>
      </c>
      <c r="AF5533" s="831" t="s">
        <v>6190</v>
      </c>
      <c r="AG5533" s="831" t="s">
        <v>132</v>
      </c>
      <c r="AH5533" s="831" t="s">
        <v>161</v>
      </c>
      <c r="AI5533" s="831">
        <v>0</v>
      </c>
      <c r="AJ5533" s="835">
        <v>41274</v>
      </c>
      <c r="AK5533" s="831">
        <v>782575</v>
      </c>
    </row>
    <row r="5534" spans="2:37">
      <c r="B5534" s="834" t="str">
        <f t="shared" si="251"/>
        <v>|||</v>
      </c>
      <c r="H5534" s="835">
        <f t="shared" si="252"/>
        <v>31</v>
      </c>
      <c r="AF5534" s="831" t="s">
        <v>6191</v>
      </c>
      <c r="AG5534" s="831" t="s">
        <v>132</v>
      </c>
      <c r="AH5534" s="831" t="s">
        <v>170</v>
      </c>
      <c r="AI5534" s="831">
        <v>0</v>
      </c>
      <c r="AJ5534" s="835">
        <v>41274</v>
      </c>
      <c r="AK5534" s="831">
        <v>1609659</v>
      </c>
    </row>
    <row r="5535" spans="2:37">
      <c r="B5535" s="834" t="str">
        <f t="shared" si="251"/>
        <v>|||</v>
      </c>
      <c r="H5535" s="835">
        <f t="shared" si="252"/>
        <v>31</v>
      </c>
      <c r="AF5535" s="831" t="s">
        <v>6192</v>
      </c>
      <c r="AG5535" s="831" t="s">
        <v>132</v>
      </c>
      <c r="AH5535" s="831" t="s">
        <v>173</v>
      </c>
      <c r="AI5535" s="831">
        <v>0</v>
      </c>
      <c r="AJ5535" s="835">
        <v>41274</v>
      </c>
      <c r="AK5535" s="831">
        <v>151102</v>
      </c>
    </row>
    <row r="5536" spans="2:37">
      <c r="B5536" s="834" t="str">
        <f t="shared" si="251"/>
        <v>|||</v>
      </c>
      <c r="H5536" s="835">
        <f t="shared" si="252"/>
        <v>31</v>
      </c>
      <c r="AF5536" s="831" t="s">
        <v>6193</v>
      </c>
      <c r="AG5536" s="831" t="s">
        <v>132</v>
      </c>
      <c r="AH5536" s="831" t="s">
        <v>78</v>
      </c>
      <c r="AI5536" s="831">
        <v>0</v>
      </c>
      <c r="AJ5536" s="835">
        <v>41274</v>
      </c>
      <c r="AK5536" s="831">
        <v>696493</v>
      </c>
    </row>
    <row r="5537" spans="2:37">
      <c r="B5537" s="834" t="str">
        <f t="shared" si="251"/>
        <v>|||</v>
      </c>
      <c r="H5537" s="835">
        <f t="shared" si="252"/>
        <v>31</v>
      </c>
      <c r="AF5537" s="831" t="s">
        <v>6194</v>
      </c>
      <c r="AG5537" s="831" t="s">
        <v>132</v>
      </c>
      <c r="AH5537" s="831" t="s">
        <v>183</v>
      </c>
      <c r="AI5537" s="831">
        <v>0</v>
      </c>
      <c r="AJ5537" s="835">
        <v>41274</v>
      </c>
      <c r="AK5537" s="831">
        <v>0</v>
      </c>
    </row>
    <row r="5538" spans="2:37">
      <c r="B5538" s="834" t="str">
        <f t="shared" si="251"/>
        <v>|||</v>
      </c>
      <c r="H5538" s="835">
        <f t="shared" si="252"/>
        <v>31</v>
      </c>
      <c r="AF5538" s="831" t="s">
        <v>6195</v>
      </c>
      <c r="AG5538" s="831" t="s">
        <v>132</v>
      </c>
      <c r="AH5538" s="831" t="s">
        <v>186</v>
      </c>
      <c r="AI5538" s="831">
        <v>0</v>
      </c>
      <c r="AJ5538" s="835">
        <v>41274</v>
      </c>
      <c r="AK5538" s="831">
        <v>89922</v>
      </c>
    </row>
    <row r="5539" spans="2:37">
      <c r="B5539" s="834" t="str">
        <f t="shared" si="251"/>
        <v>|||</v>
      </c>
      <c r="H5539" s="835">
        <f t="shared" si="252"/>
        <v>31</v>
      </c>
      <c r="AF5539" s="831" t="s">
        <v>6196</v>
      </c>
      <c r="AG5539" s="831" t="s">
        <v>132</v>
      </c>
      <c r="AH5539" s="831" t="s">
        <v>189</v>
      </c>
      <c r="AI5539" s="831">
        <v>0</v>
      </c>
      <c r="AJ5539" s="835">
        <v>41274</v>
      </c>
      <c r="AK5539" s="831">
        <v>0</v>
      </c>
    </row>
    <row r="5540" spans="2:37">
      <c r="B5540" s="834" t="str">
        <f t="shared" si="251"/>
        <v>|||</v>
      </c>
      <c r="H5540" s="835">
        <f t="shared" si="252"/>
        <v>31</v>
      </c>
      <c r="AF5540" s="831" t="s">
        <v>6197</v>
      </c>
      <c r="AG5540" s="831" t="s">
        <v>133</v>
      </c>
      <c r="AH5540" s="831" t="s">
        <v>139</v>
      </c>
      <c r="AI5540" s="831">
        <v>0</v>
      </c>
      <c r="AJ5540" s="835">
        <v>40574</v>
      </c>
      <c r="AK5540" s="831">
        <v>0</v>
      </c>
    </row>
    <row r="5541" spans="2:37">
      <c r="B5541" s="834" t="str">
        <f t="shared" si="251"/>
        <v>|||</v>
      </c>
      <c r="H5541" s="835">
        <f t="shared" si="252"/>
        <v>31</v>
      </c>
      <c r="AF5541" s="831" t="s">
        <v>6198</v>
      </c>
      <c r="AG5541" s="831" t="s">
        <v>133</v>
      </c>
      <c r="AH5541" s="831" t="s">
        <v>11</v>
      </c>
      <c r="AI5541" s="831">
        <v>0</v>
      </c>
      <c r="AJ5541" s="835">
        <v>40574</v>
      </c>
      <c r="AK5541" s="831">
        <v>0</v>
      </c>
    </row>
    <row r="5542" spans="2:37">
      <c r="B5542" s="834" t="str">
        <f t="shared" si="251"/>
        <v>|||</v>
      </c>
      <c r="H5542" s="835">
        <f t="shared" si="252"/>
        <v>31</v>
      </c>
      <c r="AF5542" s="831" t="s">
        <v>6199</v>
      </c>
      <c r="AG5542" s="831" t="s">
        <v>133</v>
      </c>
      <c r="AH5542" s="831" t="s">
        <v>144</v>
      </c>
      <c r="AI5542" s="831">
        <v>0</v>
      </c>
      <c r="AJ5542" s="835">
        <v>40574</v>
      </c>
      <c r="AK5542" s="831">
        <v>0</v>
      </c>
    </row>
    <row r="5543" spans="2:37">
      <c r="B5543" s="834" t="str">
        <f t="shared" si="251"/>
        <v>|||</v>
      </c>
      <c r="H5543" s="835">
        <f t="shared" si="252"/>
        <v>31</v>
      </c>
      <c r="AF5543" s="831" t="s">
        <v>6200</v>
      </c>
      <c r="AG5543" s="831" t="s">
        <v>133</v>
      </c>
      <c r="AH5543" s="831" t="s">
        <v>148</v>
      </c>
      <c r="AI5543" s="831">
        <v>0</v>
      </c>
      <c r="AJ5543" s="835">
        <v>40574</v>
      </c>
      <c r="AK5543" s="831">
        <v>0</v>
      </c>
    </row>
    <row r="5544" spans="2:37">
      <c r="B5544" s="834" t="str">
        <f t="shared" si="251"/>
        <v>|||</v>
      </c>
      <c r="H5544" s="835">
        <f t="shared" si="252"/>
        <v>31</v>
      </c>
      <c r="AF5544" s="831" t="s">
        <v>6201</v>
      </c>
      <c r="AG5544" s="831" t="s">
        <v>133</v>
      </c>
      <c r="AH5544" s="831" t="s">
        <v>152</v>
      </c>
      <c r="AI5544" s="831">
        <v>0</v>
      </c>
      <c r="AJ5544" s="835">
        <v>40574</v>
      </c>
      <c r="AK5544" s="831">
        <v>0</v>
      </c>
    </row>
    <row r="5545" spans="2:37">
      <c r="B5545" s="834" t="str">
        <f t="shared" si="251"/>
        <v>|||</v>
      </c>
      <c r="H5545" s="835">
        <f t="shared" si="252"/>
        <v>31</v>
      </c>
      <c r="AF5545" s="831" t="s">
        <v>6202</v>
      </c>
      <c r="AG5545" s="831" t="s">
        <v>133</v>
      </c>
      <c r="AH5545" s="831" t="s">
        <v>12</v>
      </c>
      <c r="AI5545" s="831">
        <v>0</v>
      </c>
      <c r="AJ5545" s="835">
        <v>40574</v>
      </c>
      <c r="AK5545" s="831">
        <v>0</v>
      </c>
    </row>
    <row r="5546" spans="2:37">
      <c r="B5546" s="834" t="str">
        <f t="shared" si="251"/>
        <v>|||</v>
      </c>
      <c r="H5546" s="835">
        <f t="shared" si="252"/>
        <v>31</v>
      </c>
      <c r="AF5546" s="831" t="s">
        <v>6203</v>
      </c>
      <c r="AG5546" s="831" t="s">
        <v>133</v>
      </c>
      <c r="AH5546" s="831" t="s">
        <v>139</v>
      </c>
      <c r="AI5546" s="831">
        <v>0</v>
      </c>
      <c r="AJ5546" s="835">
        <v>40602</v>
      </c>
      <c r="AK5546" s="831">
        <v>0</v>
      </c>
    </row>
    <row r="5547" spans="2:37">
      <c r="B5547" s="834" t="str">
        <f t="shared" si="251"/>
        <v>|||</v>
      </c>
      <c r="H5547" s="835">
        <f t="shared" si="252"/>
        <v>31</v>
      </c>
      <c r="AF5547" s="831" t="s">
        <v>6204</v>
      </c>
      <c r="AG5547" s="831" t="s">
        <v>133</v>
      </c>
      <c r="AH5547" s="831" t="s">
        <v>11</v>
      </c>
      <c r="AI5547" s="831">
        <v>0</v>
      </c>
      <c r="AJ5547" s="835">
        <v>40602</v>
      </c>
      <c r="AK5547" s="831">
        <v>0</v>
      </c>
    </row>
    <row r="5548" spans="2:37">
      <c r="B5548" s="834" t="str">
        <f t="shared" si="251"/>
        <v>|||</v>
      </c>
      <c r="H5548" s="835">
        <f t="shared" si="252"/>
        <v>31</v>
      </c>
      <c r="AF5548" s="831" t="s">
        <v>6205</v>
      </c>
      <c r="AG5548" s="831" t="s">
        <v>133</v>
      </c>
      <c r="AH5548" s="831" t="s">
        <v>144</v>
      </c>
      <c r="AI5548" s="831">
        <v>0</v>
      </c>
      <c r="AJ5548" s="835">
        <v>40602</v>
      </c>
      <c r="AK5548" s="831">
        <v>0</v>
      </c>
    </row>
    <row r="5549" spans="2:37">
      <c r="B5549" s="834" t="str">
        <f t="shared" si="251"/>
        <v>|||</v>
      </c>
      <c r="H5549" s="835">
        <f t="shared" si="252"/>
        <v>31</v>
      </c>
      <c r="AF5549" s="831" t="s">
        <v>6206</v>
      </c>
      <c r="AG5549" s="831" t="s">
        <v>133</v>
      </c>
      <c r="AH5549" s="831" t="s">
        <v>148</v>
      </c>
      <c r="AI5549" s="831">
        <v>0</v>
      </c>
      <c r="AJ5549" s="835">
        <v>40602</v>
      </c>
      <c r="AK5549" s="831">
        <v>0</v>
      </c>
    </row>
    <row r="5550" spans="2:37">
      <c r="B5550" s="834" t="str">
        <f t="shared" si="251"/>
        <v>|||</v>
      </c>
      <c r="H5550" s="835">
        <f t="shared" si="252"/>
        <v>31</v>
      </c>
      <c r="AF5550" s="831" t="s">
        <v>6207</v>
      </c>
      <c r="AG5550" s="831" t="s">
        <v>133</v>
      </c>
      <c r="AH5550" s="831" t="s">
        <v>152</v>
      </c>
      <c r="AI5550" s="831">
        <v>0</v>
      </c>
      <c r="AJ5550" s="835">
        <v>40602</v>
      </c>
      <c r="AK5550" s="831">
        <v>0</v>
      </c>
    </row>
    <row r="5551" spans="2:37">
      <c r="B5551" s="834" t="str">
        <f t="shared" si="251"/>
        <v>|||</v>
      </c>
      <c r="H5551" s="835">
        <f t="shared" si="252"/>
        <v>31</v>
      </c>
      <c r="AF5551" s="831" t="s">
        <v>6208</v>
      </c>
      <c r="AG5551" s="831" t="s">
        <v>133</v>
      </c>
      <c r="AH5551" s="831" t="s">
        <v>12</v>
      </c>
      <c r="AI5551" s="831">
        <v>0</v>
      </c>
      <c r="AJ5551" s="835">
        <v>40602</v>
      </c>
      <c r="AK5551" s="831">
        <v>0</v>
      </c>
    </row>
    <row r="5552" spans="2:37">
      <c r="B5552" s="834" t="str">
        <f t="shared" si="251"/>
        <v>|||</v>
      </c>
      <c r="H5552" s="835">
        <f t="shared" si="252"/>
        <v>31</v>
      </c>
      <c r="AF5552" s="831" t="s">
        <v>6209</v>
      </c>
      <c r="AG5552" s="831" t="s">
        <v>133</v>
      </c>
      <c r="AH5552" s="831" t="s">
        <v>139</v>
      </c>
      <c r="AI5552" s="831">
        <v>0</v>
      </c>
      <c r="AJ5552" s="835">
        <v>40633</v>
      </c>
      <c r="AK5552" s="831">
        <v>0</v>
      </c>
    </row>
    <row r="5553" spans="2:37">
      <c r="B5553" s="834" t="str">
        <f t="shared" si="251"/>
        <v>|||</v>
      </c>
      <c r="H5553" s="835">
        <f t="shared" si="252"/>
        <v>31</v>
      </c>
      <c r="AF5553" s="831" t="s">
        <v>6210</v>
      </c>
      <c r="AG5553" s="831" t="s">
        <v>133</v>
      </c>
      <c r="AH5553" s="831" t="s">
        <v>11</v>
      </c>
      <c r="AI5553" s="831">
        <v>0</v>
      </c>
      <c r="AJ5553" s="835">
        <v>40633</v>
      </c>
      <c r="AK5553" s="831">
        <v>0</v>
      </c>
    </row>
    <row r="5554" spans="2:37">
      <c r="B5554" s="834" t="str">
        <f t="shared" si="251"/>
        <v>|||</v>
      </c>
      <c r="H5554" s="835">
        <f t="shared" si="252"/>
        <v>31</v>
      </c>
      <c r="AF5554" s="831" t="s">
        <v>6211</v>
      </c>
      <c r="AG5554" s="831" t="s">
        <v>133</v>
      </c>
      <c r="AH5554" s="831" t="s">
        <v>144</v>
      </c>
      <c r="AI5554" s="831">
        <v>0</v>
      </c>
      <c r="AJ5554" s="835">
        <v>40633</v>
      </c>
      <c r="AK5554" s="831">
        <v>0</v>
      </c>
    </row>
    <row r="5555" spans="2:37">
      <c r="B5555" s="834" t="str">
        <f t="shared" si="251"/>
        <v>|||</v>
      </c>
      <c r="H5555" s="835">
        <f t="shared" si="252"/>
        <v>31</v>
      </c>
      <c r="AF5555" s="831" t="s">
        <v>6212</v>
      </c>
      <c r="AG5555" s="831" t="s">
        <v>133</v>
      </c>
      <c r="AH5555" s="831" t="s">
        <v>148</v>
      </c>
      <c r="AI5555" s="831">
        <v>0</v>
      </c>
      <c r="AJ5555" s="835">
        <v>40633</v>
      </c>
      <c r="AK5555" s="831">
        <v>0</v>
      </c>
    </row>
    <row r="5556" spans="2:37">
      <c r="B5556" s="834" t="str">
        <f t="shared" si="251"/>
        <v>|||</v>
      </c>
      <c r="H5556" s="835">
        <f t="shared" si="252"/>
        <v>31</v>
      </c>
      <c r="AF5556" s="831" t="s">
        <v>6213</v>
      </c>
      <c r="AG5556" s="831" t="s">
        <v>133</v>
      </c>
      <c r="AH5556" s="831" t="s">
        <v>152</v>
      </c>
      <c r="AI5556" s="831">
        <v>0</v>
      </c>
      <c r="AJ5556" s="835">
        <v>40633</v>
      </c>
      <c r="AK5556" s="831">
        <v>0</v>
      </c>
    </row>
    <row r="5557" spans="2:37">
      <c r="B5557" s="834" t="str">
        <f t="shared" si="251"/>
        <v>|||</v>
      </c>
      <c r="H5557" s="835">
        <f t="shared" si="252"/>
        <v>31</v>
      </c>
      <c r="AF5557" s="831" t="s">
        <v>6214</v>
      </c>
      <c r="AG5557" s="831" t="s">
        <v>133</v>
      </c>
      <c r="AH5557" s="831" t="s">
        <v>12</v>
      </c>
      <c r="AI5557" s="831">
        <v>0</v>
      </c>
      <c r="AJ5557" s="835">
        <v>40633</v>
      </c>
      <c r="AK5557" s="831">
        <v>0</v>
      </c>
    </row>
    <row r="5558" spans="2:37">
      <c r="B5558" s="834" t="str">
        <f t="shared" si="251"/>
        <v>|||</v>
      </c>
      <c r="H5558" s="835">
        <f t="shared" si="252"/>
        <v>31</v>
      </c>
      <c r="AF5558" s="831" t="s">
        <v>6215</v>
      </c>
      <c r="AG5558" s="831" t="s">
        <v>133</v>
      </c>
      <c r="AH5558" s="831" t="s">
        <v>139</v>
      </c>
      <c r="AI5558" s="831">
        <v>0</v>
      </c>
      <c r="AJ5558" s="835">
        <v>40663</v>
      </c>
      <c r="AK5558" s="831">
        <v>0</v>
      </c>
    </row>
    <row r="5559" spans="2:37">
      <c r="B5559" s="834" t="str">
        <f t="shared" si="251"/>
        <v>|||</v>
      </c>
      <c r="H5559" s="835">
        <f t="shared" si="252"/>
        <v>31</v>
      </c>
      <c r="AF5559" s="831" t="s">
        <v>6216</v>
      </c>
      <c r="AG5559" s="831" t="s">
        <v>133</v>
      </c>
      <c r="AH5559" s="831" t="s">
        <v>11</v>
      </c>
      <c r="AI5559" s="831">
        <v>0</v>
      </c>
      <c r="AJ5559" s="835">
        <v>40663</v>
      </c>
      <c r="AK5559" s="831">
        <v>0</v>
      </c>
    </row>
    <row r="5560" spans="2:37">
      <c r="B5560" s="834" t="str">
        <f t="shared" si="251"/>
        <v>|||</v>
      </c>
      <c r="H5560" s="835">
        <f t="shared" si="252"/>
        <v>31</v>
      </c>
      <c r="AF5560" s="831" t="s">
        <v>6217</v>
      </c>
      <c r="AG5560" s="831" t="s">
        <v>133</v>
      </c>
      <c r="AH5560" s="831" t="s">
        <v>144</v>
      </c>
      <c r="AI5560" s="831">
        <v>0</v>
      </c>
      <c r="AJ5560" s="835">
        <v>40663</v>
      </c>
      <c r="AK5560" s="831">
        <v>0</v>
      </c>
    </row>
    <row r="5561" spans="2:37">
      <c r="B5561" s="834" t="str">
        <f t="shared" si="251"/>
        <v>|||</v>
      </c>
      <c r="H5561" s="835">
        <f t="shared" si="252"/>
        <v>31</v>
      </c>
      <c r="AF5561" s="831" t="s">
        <v>6218</v>
      </c>
      <c r="AG5561" s="831" t="s">
        <v>133</v>
      </c>
      <c r="AH5561" s="831" t="s">
        <v>148</v>
      </c>
      <c r="AI5561" s="831">
        <v>0</v>
      </c>
      <c r="AJ5561" s="835">
        <v>40663</v>
      </c>
      <c r="AK5561" s="831">
        <v>0</v>
      </c>
    </row>
    <row r="5562" spans="2:37">
      <c r="B5562" s="834" t="str">
        <f t="shared" si="251"/>
        <v>|||</v>
      </c>
      <c r="H5562" s="835">
        <f t="shared" si="252"/>
        <v>31</v>
      </c>
      <c r="AF5562" s="831" t="s">
        <v>6219</v>
      </c>
      <c r="AG5562" s="831" t="s">
        <v>133</v>
      </c>
      <c r="AH5562" s="831" t="s">
        <v>152</v>
      </c>
      <c r="AI5562" s="831">
        <v>0</v>
      </c>
      <c r="AJ5562" s="835">
        <v>40663</v>
      </c>
      <c r="AK5562" s="831">
        <v>0</v>
      </c>
    </row>
    <row r="5563" spans="2:37">
      <c r="B5563" s="834" t="str">
        <f t="shared" si="251"/>
        <v>|||</v>
      </c>
      <c r="H5563" s="835">
        <f t="shared" si="252"/>
        <v>31</v>
      </c>
      <c r="AF5563" s="831" t="s">
        <v>6220</v>
      </c>
      <c r="AG5563" s="831" t="s">
        <v>133</v>
      </c>
      <c r="AH5563" s="831" t="s">
        <v>12</v>
      </c>
      <c r="AI5563" s="831">
        <v>0</v>
      </c>
      <c r="AJ5563" s="835">
        <v>40663</v>
      </c>
      <c r="AK5563" s="831">
        <v>0</v>
      </c>
    </row>
    <row r="5564" spans="2:37">
      <c r="B5564" s="834" t="str">
        <f t="shared" si="251"/>
        <v>|||</v>
      </c>
      <c r="H5564" s="835">
        <f t="shared" si="252"/>
        <v>31</v>
      </c>
      <c r="AF5564" s="831" t="s">
        <v>6221</v>
      </c>
      <c r="AG5564" s="831" t="s">
        <v>133</v>
      </c>
      <c r="AH5564" s="831" t="s">
        <v>139</v>
      </c>
      <c r="AI5564" s="831">
        <v>0</v>
      </c>
      <c r="AJ5564" s="835">
        <v>40694</v>
      </c>
      <c r="AK5564" s="831">
        <v>0</v>
      </c>
    </row>
    <row r="5565" spans="2:37">
      <c r="B5565" s="834" t="str">
        <f t="shared" si="251"/>
        <v>|||</v>
      </c>
      <c r="H5565" s="835">
        <f t="shared" si="252"/>
        <v>31</v>
      </c>
      <c r="AF5565" s="831" t="s">
        <v>6222</v>
      </c>
      <c r="AG5565" s="831" t="s">
        <v>133</v>
      </c>
      <c r="AH5565" s="831" t="s">
        <v>11</v>
      </c>
      <c r="AI5565" s="831">
        <v>0</v>
      </c>
      <c r="AJ5565" s="835">
        <v>40694</v>
      </c>
      <c r="AK5565" s="831">
        <v>0</v>
      </c>
    </row>
    <row r="5566" spans="2:37">
      <c r="B5566" s="834" t="str">
        <f t="shared" si="251"/>
        <v>|||</v>
      </c>
      <c r="H5566" s="835">
        <f t="shared" si="252"/>
        <v>31</v>
      </c>
      <c r="AF5566" s="831" t="s">
        <v>6223</v>
      </c>
      <c r="AG5566" s="831" t="s">
        <v>133</v>
      </c>
      <c r="AH5566" s="831" t="s">
        <v>144</v>
      </c>
      <c r="AI5566" s="831">
        <v>0</v>
      </c>
      <c r="AJ5566" s="835">
        <v>40694</v>
      </c>
      <c r="AK5566" s="831">
        <v>0</v>
      </c>
    </row>
    <row r="5567" spans="2:37">
      <c r="B5567" s="834" t="str">
        <f t="shared" si="251"/>
        <v>|||</v>
      </c>
      <c r="H5567" s="835">
        <f t="shared" si="252"/>
        <v>31</v>
      </c>
      <c r="AF5567" s="831" t="s">
        <v>6224</v>
      </c>
      <c r="AG5567" s="831" t="s">
        <v>133</v>
      </c>
      <c r="AH5567" s="831" t="s">
        <v>148</v>
      </c>
      <c r="AI5567" s="831">
        <v>0</v>
      </c>
      <c r="AJ5567" s="835">
        <v>40694</v>
      </c>
      <c r="AK5567" s="831">
        <v>0</v>
      </c>
    </row>
    <row r="5568" spans="2:37">
      <c r="B5568" s="834" t="str">
        <f t="shared" si="251"/>
        <v>|||</v>
      </c>
      <c r="H5568" s="835">
        <f t="shared" si="252"/>
        <v>31</v>
      </c>
      <c r="AF5568" s="831" t="s">
        <v>6225</v>
      </c>
      <c r="AG5568" s="831" t="s">
        <v>133</v>
      </c>
      <c r="AH5568" s="831" t="s">
        <v>152</v>
      </c>
      <c r="AI5568" s="831">
        <v>0</v>
      </c>
      <c r="AJ5568" s="835">
        <v>40694</v>
      </c>
      <c r="AK5568" s="831">
        <v>0</v>
      </c>
    </row>
    <row r="5569" spans="2:37">
      <c r="B5569" s="834" t="str">
        <f t="shared" si="251"/>
        <v>|||</v>
      </c>
      <c r="H5569" s="835">
        <f t="shared" si="252"/>
        <v>31</v>
      </c>
      <c r="AF5569" s="831" t="s">
        <v>6226</v>
      </c>
      <c r="AG5569" s="831" t="s">
        <v>133</v>
      </c>
      <c r="AH5569" s="831" t="s">
        <v>12</v>
      </c>
      <c r="AI5569" s="831">
        <v>0</v>
      </c>
      <c r="AJ5569" s="835">
        <v>40694</v>
      </c>
      <c r="AK5569" s="831">
        <v>0</v>
      </c>
    </row>
    <row r="5570" spans="2:37">
      <c r="B5570" s="834" t="str">
        <f t="shared" si="251"/>
        <v>|||</v>
      </c>
      <c r="H5570" s="835">
        <f t="shared" si="252"/>
        <v>31</v>
      </c>
      <c r="AF5570" s="831" t="s">
        <v>6227</v>
      </c>
      <c r="AG5570" s="831" t="s">
        <v>133</v>
      </c>
      <c r="AH5570" s="831" t="s">
        <v>139</v>
      </c>
      <c r="AI5570" s="831">
        <v>0</v>
      </c>
      <c r="AJ5570" s="835">
        <v>40724</v>
      </c>
      <c r="AK5570" s="831">
        <v>0</v>
      </c>
    </row>
    <row r="5571" spans="2:37">
      <c r="B5571" s="834" t="str">
        <f t="shared" ref="B5571:B5634" si="253">C5571&amp;"|"&amp;D5571&amp;"|"&amp;E5571&amp;"|"&amp;F5571</f>
        <v>|||</v>
      </c>
      <c r="H5571" s="835">
        <f t="shared" si="252"/>
        <v>31</v>
      </c>
      <c r="AF5571" s="831" t="s">
        <v>6228</v>
      </c>
      <c r="AG5571" s="831" t="s">
        <v>133</v>
      </c>
      <c r="AH5571" s="831" t="s">
        <v>11</v>
      </c>
      <c r="AI5571" s="831">
        <v>0</v>
      </c>
      <c r="AJ5571" s="835">
        <v>40724</v>
      </c>
      <c r="AK5571" s="831">
        <v>0</v>
      </c>
    </row>
    <row r="5572" spans="2:37">
      <c r="B5572" s="834" t="str">
        <f t="shared" si="253"/>
        <v>|||</v>
      </c>
      <c r="H5572" s="835">
        <f t="shared" ref="H5572:H5635" si="254">EOMONTH(L5572,0)</f>
        <v>31</v>
      </c>
      <c r="AF5572" s="831" t="s">
        <v>6229</v>
      </c>
      <c r="AG5572" s="831" t="s">
        <v>133</v>
      </c>
      <c r="AH5572" s="831" t="s">
        <v>144</v>
      </c>
      <c r="AI5572" s="831">
        <v>0</v>
      </c>
      <c r="AJ5572" s="835">
        <v>40724</v>
      </c>
      <c r="AK5572" s="831">
        <v>0</v>
      </c>
    </row>
    <row r="5573" spans="2:37">
      <c r="B5573" s="834" t="str">
        <f t="shared" si="253"/>
        <v>|||</v>
      </c>
      <c r="H5573" s="835">
        <f t="shared" si="254"/>
        <v>31</v>
      </c>
      <c r="AF5573" s="831" t="s">
        <v>6230</v>
      </c>
      <c r="AG5573" s="831" t="s">
        <v>133</v>
      </c>
      <c r="AH5573" s="831" t="s">
        <v>148</v>
      </c>
      <c r="AI5573" s="831">
        <v>0</v>
      </c>
      <c r="AJ5573" s="835">
        <v>40724</v>
      </c>
      <c r="AK5573" s="831">
        <v>0</v>
      </c>
    </row>
    <row r="5574" spans="2:37">
      <c r="B5574" s="834" t="str">
        <f t="shared" si="253"/>
        <v>|||</v>
      </c>
      <c r="H5574" s="835">
        <f t="shared" si="254"/>
        <v>31</v>
      </c>
      <c r="AF5574" s="831" t="s">
        <v>6231</v>
      </c>
      <c r="AG5574" s="831" t="s">
        <v>133</v>
      </c>
      <c r="AH5574" s="831" t="s">
        <v>152</v>
      </c>
      <c r="AI5574" s="831">
        <v>0</v>
      </c>
      <c r="AJ5574" s="835">
        <v>40724</v>
      </c>
      <c r="AK5574" s="831">
        <v>0</v>
      </c>
    </row>
    <row r="5575" spans="2:37">
      <c r="B5575" s="834" t="str">
        <f t="shared" si="253"/>
        <v>|||</v>
      </c>
      <c r="H5575" s="835">
        <f t="shared" si="254"/>
        <v>31</v>
      </c>
      <c r="AF5575" s="831" t="s">
        <v>6232</v>
      </c>
      <c r="AG5575" s="831" t="s">
        <v>133</v>
      </c>
      <c r="AH5575" s="831" t="s">
        <v>12</v>
      </c>
      <c r="AI5575" s="831">
        <v>0</v>
      </c>
      <c r="AJ5575" s="835">
        <v>40724</v>
      </c>
      <c r="AK5575" s="831">
        <v>0</v>
      </c>
    </row>
    <row r="5576" spans="2:37">
      <c r="B5576" s="834" t="str">
        <f t="shared" si="253"/>
        <v>|||</v>
      </c>
      <c r="H5576" s="835">
        <f t="shared" si="254"/>
        <v>31</v>
      </c>
      <c r="AF5576" s="831" t="s">
        <v>6233</v>
      </c>
      <c r="AG5576" s="831" t="s">
        <v>133</v>
      </c>
      <c r="AH5576" s="831" t="s">
        <v>139</v>
      </c>
      <c r="AI5576" s="831">
        <v>0</v>
      </c>
      <c r="AJ5576" s="835">
        <v>40755</v>
      </c>
      <c r="AK5576" s="831">
        <v>0</v>
      </c>
    </row>
    <row r="5577" spans="2:37">
      <c r="B5577" s="834" t="str">
        <f t="shared" si="253"/>
        <v>|||</v>
      </c>
      <c r="H5577" s="835">
        <f t="shared" si="254"/>
        <v>31</v>
      </c>
      <c r="AF5577" s="831" t="s">
        <v>6234</v>
      </c>
      <c r="AG5577" s="831" t="s">
        <v>133</v>
      </c>
      <c r="AH5577" s="831" t="s">
        <v>11</v>
      </c>
      <c r="AI5577" s="831">
        <v>0</v>
      </c>
      <c r="AJ5577" s="835">
        <v>40755</v>
      </c>
      <c r="AK5577" s="831">
        <v>0</v>
      </c>
    </row>
    <row r="5578" spans="2:37">
      <c r="B5578" s="834" t="str">
        <f t="shared" si="253"/>
        <v>|||</v>
      </c>
      <c r="H5578" s="835">
        <f t="shared" si="254"/>
        <v>31</v>
      </c>
      <c r="AF5578" s="831" t="s">
        <v>6235</v>
      </c>
      <c r="AG5578" s="831" t="s">
        <v>133</v>
      </c>
      <c r="AH5578" s="831" t="s">
        <v>144</v>
      </c>
      <c r="AI5578" s="831">
        <v>0</v>
      </c>
      <c r="AJ5578" s="835">
        <v>40755</v>
      </c>
      <c r="AK5578" s="831">
        <v>0</v>
      </c>
    </row>
    <row r="5579" spans="2:37">
      <c r="B5579" s="834" t="str">
        <f t="shared" si="253"/>
        <v>|||</v>
      </c>
      <c r="H5579" s="835">
        <f t="shared" si="254"/>
        <v>31</v>
      </c>
      <c r="AF5579" s="831" t="s">
        <v>6236</v>
      </c>
      <c r="AG5579" s="831" t="s">
        <v>133</v>
      </c>
      <c r="AH5579" s="831" t="s">
        <v>148</v>
      </c>
      <c r="AI5579" s="831">
        <v>0</v>
      </c>
      <c r="AJ5579" s="835">
        <v>40755</v>
      </c>
      <c r="AK5579" s="831">
        <v>0</v>
      </c>
    </row>
    <row r="5580" spans="2:37">
      <c r="B5580" s="834" t="str">
        <f t="shared" si="253"/>
        <v>|||</v>
      </c>
      <c r="H5580" s="835">
        <f t="shared" si="254"/>
        <v>31</v>
      </c>
      <c r="AF5580" s="831" t="s">
        <v>6237</v>
      </c>
      <c r="AG5580" s="831" t="s">
        <v>133</v>
      </c>
      <c r="AH5580" s="831" t="s">
        <v>152</v>
      </c>
      <c r="AI5580" s="831">
        <v>0</v>
      </c>
      <c r="AJ5580" s="835">
        <v>40755</v>
      </c>
      <c r="AK5580" s="831">
        <v>0</v>
      </c>
    </row>
    <row r="5581" spans="2:37">
      <c r="B5581" s="834" t="str">
        <f t="shared" si="253"/>
        <v>|||</v>
      </c>
      <c r="H5581" s="835">
        <f t="shared" si="254"/>
        <v>31</v>
      </c>
      <c r="AF5581" s="831" t="s">
        <v>6238</v>
      </c>
      <c r="AG5581" s="831" t="s">
        <v>133</v>
      </c>
      <c r="AH5581" s="831" t="s">
        <v>12</v>
      </c>
      <c r="AI5581" s="831">
        <v>0</v>
      </c>
      <c r="AJ5581" s="835">
        <v>40755</v>
      </c>
      <c r="AK5581" s="831">
        <v>0</v>
      </c>
    </row>
    <row r="5582" spans="2:37">
      <c r="B5582" s="834" t="str">
        <f t="shared" si="253"/>
        <v>|||</v>
      </c>
      <c r="H5582" s="835">
        <f t="shared" si="254"/>
        <v>31</v>
      </c>
      <c r="AF5582" s="831" t="s">
        <v>6239</v>
      </c>
      <c r="AG5582" s="831" t="s">
        <v>133</v>
      </c>
      <c r="AH5582" s="831" t="s">
        <v>139</v>
      </c>
      <c r="AI5582" s="831">
        <v>0</v>
      </c>
      <c r="AJ5582" s="835">
        <v>40786</v>
      </c>
      <c r="AK5582" s="831">
        <v>0</v>
      </c>
    </row>
    <row r="5583" spans="2:37">
      <c r="B5583" s="834" t="str">
        <f t="shared" si="253"/>
        <v>|||</v>
      </c>
      <c r="H5583" s="835">
        <f t="shared" si="254"/>
        <v>31</v>
      </c>
      <c r="AF5583" s="831" t="s">
        <v>6240</v>
      </c>
      <c r="AG5583" s="831" t="s">
        <v>133</v>
      </c>
      <c r="AH5583" s="831" t="s">
        <v>11</v>
      </c>
      <c r="AI5583" s="831">
        <v>0</v>
      </c>
      <c r="AJ5583" s="835">
        <v>40786</v>
      </c>
      <c r="AK5583" s="831">
        <v>0</v>
      </c>
    </row>
    <row r="5584" spans="2:37">
      <c r="B5584" s="834" t="str">
        <f t="shared" si="253"/>
        <v>|||</v>
      </c>
      <c r="H5584" s="835">
        <f t="shared" si="254"/>
        <v>31</v>
      </c>
      <c r="AF5584" s="831" t="s">
        <v>6241</v>
      </c>
      <c r="AG5584" s="831" t="s">
        <v>133</v>
      </c>
      <c r="AH5584" s="831" t="s">
        <v>144</v>
      </c>
      <c r="AI5584" s="831">
        <v>0</v>
      </c>
      <c r="AJ5584" s="835">
        <v>40786</v>
      </c>
      <c r="AK5584" s="831">
        <v>0</v>
      </c>
    </row>
    <row r="5585" spans="2:37">
      <c r="B5585" s="834" t="str">
        <f t="shared" si="253"/>
        <v>|||</v>
      </c>
      <c r="H5585" s="835">
        <f t="shared" si="254"/>
        <v>31</v>
      </c>
      <c r="AF5585" s="831" t="s">
        <v>6242</v>
      </c>
      <c r="AG5585" s="831" t="s">
        <v>133</v>
      </c>
      <c r="AH5585" s="831" t="s">
        <v>148</v>
      </c>
      <c r="AI5585" s="831">
        <v>0</v>
      </c>
      <c r="AJ5585" s="835">
        <v>40786</v>
      </c>
      <c r="AK5585" s="831">
        <v>0</v>
      </c>
    </row>
    <row r="5586" spans="2:37">
      <c r="B5586" s="834" t="str">
        <f t="shared" si="253"/>
        <v>|||</v>
      </c>
      <c r="H5586" s="835">
        <f t="shared" si="254"/>
        <v>31</v>
      </c>
      <c r="AF5586" s="831" t="s">
        <v>6243</v>
      </c>
      <c r="AG5586" s="831" t="s">
        <v>133</v>
      </c>
      <c r="AH5586" s="831" t="s">
        <v>152</v>
      </c>
      <c r="AI5586" s="831">
        <v>0</v>
      </c>
      <c r="AJ5586" s="835">
        <v>40786</v>
      </c>
      <c r="AK5586" s="831">
        <v>0</v>
      </c>
    </row>
    <row r="5587" spans="2:37">
      <c r="B5587" s="834" t="str">
        <f t="shared" si="253"/>
        <v>|||</v>
      </c>
      <c r="H5587" s="835">
        <f t="shared" si="254"/>
        <v>31</v>
      </c>
      <c r="AF5587" s="831" t="s">
        <v>6244</v>
      </c>
      <c r="AG5587" s="831" t="s">
        <v>133</v>
      </c>
      <c r="AH5587" s="831" t="s">
        <v>12</v>
      </c>
      <c r="AI5587" s="831">
        <v>0</v>
      </c>
      <c r="AJ5587" s="835">
        <v>40786</v>
      </c>
      <c r="AK5587" s="831">
        <v>0</v>
      </c>
    </row>
    <row r="5588" spans="2:37">
      <c r="B5588" s="834" t="str">
        <f t="shared" si="253"/>
        <v>|||</v>
      </c>
      <c r="H5588" s="835">
        <f t="shared" si="254"/>
        <v>31</v>
      </c>
      <c r="AF5588" s="831" t="s">
        <v>6245</v>
      </c>
      <c r="AG5588" s="831" t="s">
        <v>133</v>
      </c>
      <c r="AH5588" s="831" t="s">
        <v>139</v>
      </c>
      <c r="AI5588" s="831">
        <v>0</v>
      </c>
      <c r="AJ5588" s="835">
        <v>40816</v>
      </c>
      <c r="AK5588" s="831">
        <v>0</v>
      </c>
    </row>
    <row r="5589" spans="2:37">
      <c r="B5589" s="834" t="str">
        <f t="shared" si="253"/>
        <v>|||</v>
      </c>
      <c r="H5589" s="835">
        <f t="shared" si="254"/>
        <v>31</v>
      </c>
      <c r="AF5589" s="831" t="s">
        <v>6246</v>
      </c>
      <c r="AG5589" s="831" t="s">
        <v>133</v>
      </c>
      <c r="AH5589" s="831" t="s">
        <v>11</v>
      </c>
      <c r="AI5589" s="831">
        <v>0</v>
      </c>
      <c r="AJ5589" s="835">
        <v>40816</v>
      </c>
      <c r="AK5589" s="831">
        <v>0</v>
      </c>
    </row>
    <row r="5590" spans="2:37">
      <c r="B5590" s="834" t="str">
        <f t="shared" si="253"/>
        <v>|||</v>
      </c>
      <c r="H5590" s="835">
        <f t="shared" si="254"/>
        <v>31</v>
      </c>
      <c r="AF5590" s="831" t="s">
        <v>6247</v>
      </c>
      <c r="AG5590" s="831" t="s">
        <v>133</v>
      </c>
      <c r="AH5590" s="831" t="s">
        <v>144</v>
      </c>
      <c r="AI5590" s="831">
        <v>0</v>
      </c>
      <c r="AJ5590" s="835">
        <v>40816</v>
      </c>
      <c r="AK5590" s="831">
        <v>0</v>
      </c>
    </row>
    <row r="5591" spans="2:37">
      <c r="B5591" s="834" t="str">
        <f t="shared" si="253"/>
        <v>|||</v>
      </c>
      <c r="H5591" s="835">
        <f t="shared" si="254"/>
        <v>31</v>
      </c>
      <c r="AF5591" s="831" t="s">
        <v>6248</v>
      </c>
      <c r="AG5591" s="831" t="s">
        <v>133</v>
      </c>
      <c r="AH5591" s="831" t="s">
        <v>148</v>
      </c>
      <c r="AI5591" s="831">
        <v>0</v>
      </c>
      <c r="AJ5591" s="835">
        <v>40816</v>
      </c>
      <c r="AK5591" s="831">
        <v>0</v>
      </c>
    </row>
    <row r="5592" spans="2:37">
      <c r="B5592" s="834" t="str">
        <f t="shared" si="253"/>
        <v>|||</v>
      </c>
      <c r="H5592" s="835">
        <f t="shared" si="254"/>
        <v>31</v>
      </c>
      <c r="AF5592" s="831" t="s">
        <v>6249</v>
      </c>
      <c r="AG5592" s="831" t="s">
        <v>133</v>
      </c>
      <c r="AH5592" s="831" t="s">
        <v>152</v>
      </c>
      <c r="AI5592" s="831">
        <v>0</v>
      </c>
      <c r="AJ5592" s="835">
        <v>40816</v>
      </c>
      <c r="AK5592" s="831">
        <v>0</v>
      </c>
    </row>
    <row r="5593" spans="2:37">
      <c r="B5593" s="834" t="str">
        <f t="shared" si="253"/>
        <v>|||</v>
      </c>
      <c r="H5593" s="835">
        <f t="shared" si="254"/>
        <v>31</v>
      </c>
      <c r="AF5593" s="831" t="s">
        <v>6250</v>
      </c>
      <c r="AG5593" s="831" t="s">
        <v>133</v>
      </c>
      <c r="AH5593" s="831" t="s">
        <v>12</v>
      </c>
      <c r="AI5593" s="831">
        <v>0</v>
      </c>
      <c r="AJ5593" s="835">
        <v>40816</v>
      </c>
      <c r="AK5593" s="831">
        <v>0</v>
      </c>
    </row>
    <row r="5594" spans="2:37">
      <c r="B5594" s="834" t="str">
        <f t="shared" si="253"/>
        <v>|||</v>
      </c>
      <c r="H5594" s="835">
        <f t="shared" si="254"/>
        <v>31</v>
      </c>
      <c r="AF5594" s="831" t="s">
        <v>6251</v>
      </c>
      <c r="AG5594" s="831" t="s">
        <v>133</v>
      </c>
      <c r="AH5594" s="831" t="s">
        <v>139</v>
      </c>
      <c r="AI5594" s="831">
        <v>0</v>
      </c>
      <c r="AJ5594" s="835">
        <v>40847</v>
      </c>
      <c r="AK5594" s="831">
        <v>0</v>
      </c>
    </row>
    <row r="5595" spans="2:37">
      <c r="B5595" s="834" t="str">
        <f t="shared" si="253"/>
        <v>|||</v>
      </c>
      <c r="H5595" s="835">
        <f t="shared" si="254"/>
        <v>31</v>
      </c>
      <c r="AF5595" s="831" t="s">
        <v>6252</v>
      </c>
      <c r="AG5595" s="831" t="s">
        <v>133</v>
      </c>
      <c r="AH5595" s="831" t="s">
        <v>11</v>
      </c>
      <c r="AI5595" s="831">
        <v>0</v>
      </c>
      <c r="AJ5595" s="835">
        <v>40847</v>
      </c>
      <c r="AK5595" s="831">
        <v>0</v>
      </c>
    </row>
    <row r="5596" spans="2:37">
      <c r="B5596" s="834" t="str">
        <f t="shared" si="253"/>
        <v>|||</v>
      </c>
      <c r="H5596" s="835">
        <f t="shared" si="254"/>
        <v>31</v>
      </c>
      <c r="AF5596" s="831" t="s">
        <v>6253</v>
      </c>
      <c r="AG5596" s="831" t="s">
        <v>133</v>
      </c>
      <c r="AH5596" s="831" t="s">
        <v>144</v>
      </c>
      <c r="AI5596" s="831">
        <v>0</v>
      </c>
      <c r="AJ5596" s="835">
        <v>40847</v>
      </c>
      <c r="AK5596" s="831">
        <v>0</v>
      </c>
    </row>
    <row r="5597" spans="2:37">
      <c r="B5597" s="834" t="str">
        <f t="shared" si="253"/>
        <v>|||</v>
      </c>
      <c r="H5597" s="835">
        <f t="shared" si="254"/>
        <v>31</v>
      </c>
      <c r="AF5597" s="831" t="s">
        <v>6254</v>
      </c>
      <c r="AG5597" s="831" t="s">
        <v>133</v>
      </c>
      <c r="AH5597" s="831" t="s">
        <v>148</v>
      </c>
      <c r="AI5597" s="831">
        <v>0</v>
      </c>
      <c r="AJ5597" s="835">
        <v>40847</v>
      </c>
      <c r="AK5597" s="831">
        <v>0</v>
      </c>
    </row>
    <row r="5598" spans="2:37">
      <c r="B5598" s="834" t="str">
        <f t="shared" si="253"/>
        <v>|||</v>
      </c>
      <c r="H5598" s="835">
        <f t="shared" si="254"/>
        <v>31</v>
      </c>
      <c r="AF5598" s="831" t="s">
        <v>6255</v>
      </c>
      <c r="AG5598" s="831" t="s">
        <v>133</v>
      </c>
      <c r="AH5598" s="831" t="s">
        <v>152</v>
      </c>
      <c r="AI5598" s="831">
        <v>0</v>
      </c>
      <c r="AJ5598" s="835">
        <v>40847</v>
      </c>
      <c r="AK5598" s="831">
        <v>0</v>
      </c>
    </row>
    <row r="5599" spans="2:37">
      <c r="B5599" s="834" t="str">
        <f t="shared" si="253"/>
        <v>|||</v>
      </c>
      <c r="H5599" s="835">
        <f t="shared" si="254"/>
        <v>31</v>
      </c>
      <c r="AF5599" s="831" t="s">
        <v>6256</v>
      </c>
      <c r="AG5599" s="831" t="s">
        <v>133</v>
      </c>
      <c r="AH5599" s="831" t="s">
        <v>12</v>
      </c>
      <c r="AI5599" s="831">
        <v>0</v>
      </c>
      <c r="AJ5599" s="835">
        <v>40847</v>
      </c>
      <c r="AK5599" s="831">
        <v>0</v>
      </c>
    </row>
    <row r="5600" spans="2:37">
      <c r="B5600" s="834" t="str">
        <f t="shared" si="253"/>
        <v>|||</v>
      </c>
      <c r="H5600" s="835">
        <f t="shared" si="254"/>
        <v>31</v>
      </c>
      <c r="AF5600" s="831" t="s">
        <v>6257</v>
      </c>
      <c r="AG5600" s="831" t="s">
        <v>133</v>
      </c>
      <c r="AH5600" s="831" t="s">
        <v>139</v>
      </c>
      <c r="AI5600" s="831">
        <v>0</v>
      </c>
      <c r="AJ5600" s="835">
        <v>40877</v>
      </c>
      <c r="AK5600" s="831">
        <v>0</v>
      </c>
    </row>
    <row r="5601" spans="2:37">
      <c r="B5601" s="834" t="str">
        <f t="shared" si="253"/>
        <v>|||</v>
      </c>
      <c r="H5601" s="835">
        <f t="shared" si="254"/>
        <v>31</v>
      </c>
      <c r="AF5601" s="831" t="s">
        <v>6258</v>
      </c>
      <c r="AG5601" s="831" t="s">
        <v>133</v>
      </c>
      <c r="AH5601" s="831" t="s">
        <v>11</v>
      </c>
      <c r="AI5601" s="831">
        <v>0</v>
      </c>
      <c r="AJ5601" s="835">
        <v>40877</v>
      </c>
      <c r="AK5601" s="831">
        <v>0</v>
      </c>
    </row>
    <row r="5602" spans="2:37">
      <c r="B5602" s="834" t="str">
        <f t="shared" si="253"/>
        <v>|||</v>
      </c>
      <c r="H5602" s="835">
        <f t="shared" si="254"/>
        <v>31</v>
      </c>
      <c r="AF5602" s="831" t="s">
        <v>6259</v>
      </c>
      <c r="AG5602" s="831" t="s">
        <v>133</v>
      </c>
      <c r="AH5602" s="831" t="s">
        <v>144</v>
      </c>
      <c r="AI5602" s="831">
        <v>0</v>
      </c>
      <c r="AJ5602" s="835">
        <v>40877</v>
      </c>
      <c r="AK5602" s="831">
        <v>0</v>
      </c>
    </row>
    <row r="5603" spans="2:37">
      <c r="B5603" s="834" t="str">
        <f t="shared" si="253"/>
        <v>|||</v>
      </c>
      <c r="H5603" s="835">
        <f t="shared" si="254"/>
        <v>31</v>
      </c>
      <c r="AF5603" s="831" t="s">
        <v>6260</v>
      </c>
      <c r="AG5603" s="831" t="s">
        <v>133</v>
      </c>
      <c r="AH5603" s="831" t="s">
        <v>148</v>
      </c>
      <c r="AI5603" s="831">
        <v>0</v>
      </c>
      <c r="AJ5603" s="835">
        <v>40877</v>
      </c>
      <c r="AK5603" s="831">
        <v>0</v>
      </c>
    </row>
    <row r="5604" spans="2:37">
      <c r="B5604" s="834" t="str">
        <f t="shared" si="253"/>
        <v>|||</v>
      </c>
      <c r="H5604" s="835">
        <f t="shared" si="254"/>
        <v>31</v>
      </c>
      <c r="AF5604" s="831" t="s">
        <v>6261</v>
      </c>
      <c r="AG5604" s="831" t="s">
        <v>133</v>
      </c>
      <c r="AH5604" s="831" t="s">
        <v>152</v>
      </c>
      <c r="AI5604" s="831">
        <v>0</v>
      </c>
      <c r="AJ5604" s="835">
        <v>40877</v>
      </c>
      <c r="AK5604" s="831">
        <v>0</v>
      </c>
    </row>
    <row r="5605" spans="2:37">
      <c r="B5605" s="834" t="str">
        <f t="shared" si="253"/>
        <v>|||</v>
      </c>
      <c r="H5605" s="835">
        <f t="shared" si="254"/>
        <v>31</v>
      </c>
      <c r="AF5605" s="831" t="s">
        <v>6262</v>
      </c>
      <c r="AG5605" s="831" t="s">
        <v>133</v>
      </c>
      <c r="AH5605" s="831" t="s">
        <v>12</v>
      </c>
      <c r="AI5605" s="831">
        <v>0</v>
      </c>
      <c r="AJ5605" s="835">
        <v>40877</v>
      </c>
      <c r="AK5605" s="831">
        <v>0</v>
      </c>
    </row>
    <row r="5606" spans="2:37">
      <c r="B5606" s="834" t="str">
        <f t="shared" si="253"/>
        <v>|||</v>
      </c>
      <c r="H5606" s="835">
        <f t="shared" si="254"/>
        <v>31</v>
      </c>
      <c r="AF5606" s="831" t="s">
        <v>6263</v>
      </c>
      <c r="AG5606" s="831" t="s">
        <v>133</v>
      </c>
      <c r="AH5606" s="831" t="s">
        <v>139</v>
      </c>
      <c r="AI5606" s="831">
        <v>0</v>
      </c>
      <c r="AJ5606" s="835">
        <v>40908</v>
      </c>
      <c r="AK5606" s="831">
        <v>0</v>
      </c>
    </row>
    <row r="5607" spans="2:37">
      <c r="B5607" s="834" t="str">
        <f t="shared" si="253"/>
        <v>|||</v>
      </c>
      <c r="H5607" s="835">
        <f t="shared" si="254"/>
        <v>31</v>
      </c>
      <c r="AF5607" s="831" t="s">
        <v>6264</v>
      </c>
      <c r="AG5607" s="831" t="s">
        <v>133</v>
      </c>
      <c r="AH5607" s="831" t="s">
        <v>11</v>
      </c>
      <c r="AI5607" s="831">
        <v>0</v>
      </c>
      <c r="AJ5607" s="835">
        <v>40908</v>
      </c>
      <c r="AK5607" s="831">
        <v>0</v>
      </c>
    </row>
    <row r="5608" spans="2:37">
      <c r="B5608" s="834" t="str">
        <f t="shared" si="253"/>
        <v>|||</v>
      </c>
      <c r="H5608" s="835">
        <f t="shared" si="254"/>
        <v>31</v>
      </c>
      <c r="AF5608" s="831" t="s">
        <v>6265</v>
      </c>
      <c r="AG5608" s="831" t="s">
        <v>133</v>
      </c>
      <c r="AH5608" s="831" t="s">
        <v>144</v>
      </c>
      <c r="AI5608" s="831">
        <v>0</v>
      </c>
      <c r="AJ5608" s="835">
        <v>40908</v>
      </c>
      <c r="AK5608" s="831">
        <v>0</v>
      </c>
    </row>
    <row r="5609" spans="2:37">
      <c r="B5609" s="834" t="str">
        <f t="shared" si="253"/>
        <v>|||</v>
      </c>
      <c r="H5609" s="835">
        <f t="shared" si="254"/>
        <v>31</v>
      </c>
      <c r="AF5609" s="831" t="s">
        <v>6266</v>
      </c>
      <c r="AG5609" s="831" t="s">
        <v>133</v>
      </c>
      <c r="AH5609" s="831" t="s">
        <v>148</v>
      </c>
      <c r="AI5609" s="831">
        <v>0</v>
      </c>
      <c r="AJ5609" s="835">
        <v>40908</v>
      </c>
      <c r="AK5609" s="831">
        <v>0</v>
      </c>
    </row>
    <row r="5610" spans="2:37">
      <c r="B5610" s="834" t="str">
        <f t="shared" si="253"/>
        <v>|||</v>
      </c>
      <c r="H5610" s="835">
        <f t="shared" si="254"/>
        <v>31</v>
      </c>
      <c r="AF5610" s="831" t="s">
        <v>6267</v>
      </c>
      <c r="AG5610" s="831" t="s">
        <v>133</v>
      </c>
      <c r="AH5610" s="831" t="s">
        <v>152</v>
      </c>
      <c r="AI5610" s="831">
        <v>0</v>
      </c>
      <c r="AJ5610" s="835">
        <v>40908</v>
      </c>
      <c r="AK5610" s="831">
        <v>0</v>
      </c>
    </row>
    <row r="5611" spans="2:37">
      <c r="B5611" s="834" t="str">
        <f t="shared" si="253"/>
        <v>|||</v>
      </c>
      <c r="H5611" s="835">
        <f t="shared" si="254"/>
        <v>31</v>
      </c>
      <c r="AF5611" s="831" t="s">
        <v>6268</v>
      </c>
      <c r="AG5611" s="831" t="s">
        <v>133</v>
      </c>
      <c r="AH5611" s="831" t="s">
        <v>12</v>
      </c>
      <c r="AI5611" s="831">
        <v>0</v>
      </c>
      <c r="AJ5611" s="835">
        <v>40908</v>
      </c>
      <c r="AK5611" s="831">
        <v>0</v>
      </c>
    </row>
    <row r="5612" spans="2:37">
      <c r="B5612" s="834" t="str">
        <f t="shared" si="253"/>
        <v>|||</v>
      </c>
      <c r="H5612" s="835">
        <f t="shared" si="254"/>
        <v>31</v>
      </c>
      <c r="AF5612" s="831" t="s">
        <v>6269</v>
      </c>
      <c r="AG5612" s="831" t="s">
        <v>133</v>
      </c>
      <c r="AH5612" s="831" t="s">
        <v>139</v>
      </c>
      <c r="AI5612" s="831">
        <v>0</v>
      </c>
      <c r="AJ5612" s="835">
        <v>40939</v>
      </c>
      <c r="AK5612" s="831">
        <v>111787</v>
      </c>
    </row>
    <row r="5613" spans="2:37">
      <c r="B5613" s="834" t="str">
        <f t="shared" si="253"/>
        <v>|||</v>
      </c>
      <c r="H5613" s="835">
        <f t="shared" si="254"/>
        <v>31</v>
      </c>
      <c r="AF5613" s="831" t="s">
        <v>6270</v>
      </c>
      <c r="AG5613" s="831" t="s">
        <v>133</v>
      </c>
      <c r="AH5613" s="831" t="s">
        <v>11</v>
      </c>
      <c r="AI5613" s="831">
        <v>0</v>
      </c>
      <c r="AJ5613" s="835">
        <v>40939</v>
      </c>
      <c r="AK5613" s="831">
        <v>118409</v>
      </c>
    </row>
    <row r="5614" spans="2:37">
      <c r="B5614" s="834" t="str">
        <f t="shared" si="253"/>
        <v>|||</v>
      </c>
      <c r="H5614" s="835">
        <f t="shared" si="254"/>
        <v>31</v>
      </c>
      <c r="AF5614" s="831" t="s">
        <v>6271</v>
      </c>
      <c r="AG5614" s="831" t="s">
        <v>133</v>
      </c>
      <c r="AH5614" s="831" t="s">
        <v>144</v>
      </c>
      <c r="AI5614" s="831">
        <v>0</v>
      </c>
      <c r="AJ5614" s="835">
        <v>40939</v>
      </c>
      <c r="AK5614" s="831">
        <v>120075</v>
      </c>
    </row>
    <row r="5615" spans="2:37">
      <c r="B5615" s="834" t="str">
        <f t="shared" si="253"/>
        <v>|||</v>
      </c>
      <c r="H5615" s="835">
        <f t="shared" si="254"/>
        <v>31</v>
      </c>
      <c r="AF5615" s="831" t="s">
        <v>6272</v>
      </c>
      <c r="AG5615" s="831" t="s">
        <v>133</v>
      </c>
      <c r="AH5615" s="831" t="s">
        <v>148</v>
      </c>
      <c r="AI5615" s="831">
        <v>0</v>
      </c>
      <c r="AJ5615" s="835">
        <v>40939</v>
      </c>
      <c r="AK5615" s="831">
        <v>30</v>
      </c>
    </row>
    <row r="5616" spans="2:37">
      <c r="B5616" s="834" t="str">
        <f t="shared" si="253"/>
        <v>|||</v>
      </c>
      <c r="H5616" s="835">
        <f t="shared" si="254"/>
        <v>31</v>
      </c>
      <c r="AF5616" s="831" t="s">
        <v>6273</v>
      </c>
      <c r="AG5616" s="831" t="s">
        <v>133</v>
      </c>
      <c r="AH5616" s="831" t="s">
        <v>152</v>
      </c>
      <c r="AI5616" s="831">
        <v>0</v>
      </c>
      <c r="AJ5616" s="835">
        <v>40939</v>
      </c>
      <c r="AK5616" s="831">
        <v>1344</v>
      </c>
    </row>
    <row r="5617" spans="2:37">
      <c r="B5617" s="834" t="str">
        <f t="shared" si="253"/>
        <v>|||</v>
      </c>
      <c r="H5617" s="835">
        <f t="shared" si="254"/>
        <v>31</v>
      </c>
      <c r="AF5617" s="831" t="s">
        <v>6274</v>
      </c>
      <c r="AG5617" s="831" t="s">
        <v>133</v>
      </c>
      <c r="AH5617" s="831" t="s">
        <v>12</v>
      </c>
      <c r="AI5617" s="831">
        <v>0</v>
      </c>
      <c r="AJ5617" s="835">
        <v>40939</v>
      </c>
      <c r="AK5617" s="831">
        <v>443</v>
      </c>
    </row>
    <row r="5618" spans="2:37">
      <c r="B5618" s="834" t="str">
        <f t="shared" si="253"/>
        <v>|||</v>
      </c>
      <c r="H5618" s="835">
        <f t="shared" si="254"/>
        <v>31</v>
      </c>
      <c r="AF5618" s="831" t="s">
        <v>6275</v>
      </c>
      <c r="AG5618" s="831" t="s">
        <v>133</v>
      </c>
      <c r="AH5618" s="831" t="s">
        <v>139</v>
      </c>
      <c r="AI5618" s="831">
        <v>0</v>
      </c>
      <c r="AJ5618" s="835">
        <v>40968</v>
      </c>
      <c r="AK5618" s="831">
        <v>112934</v>
      </c>
    </row>
    <row r="5619" spans="2:37">
      <c r="B5619" s="834" t="str">
        <f t="shared" si="253"/>
        <v>|||</v>
      </c>
      <c r="H5619" s="835">
        <f t="shared" si="254"/>
        <v>31</v>
      </c>
      <c r="AF5619" s="831" t="s">
        <v>6276</v>
      </c>
      <c r="AG5619" s="831" t="s">
        <v>133</v>
      </c>
      <c r="AH5619" s="831" t="s">
        <v>11</v>
      </c>
      <c r="AI5619" s="831">
        <v>0</v>
      </c>
      <c r="AJ5619" s="835">
        <v>40968</v>
      </c>
      <c r="AK5619" s="831">
        <v>118604</v>
      </c>
    </row>
    <row r="5620" spans="2:37">
      <c r="B5620" s="834" t="str">
        <f t="shared" si="253"/>
        <v>|||</v>
      </c>
      <c r="H5620" s="835">
        <f t="shared" si="254"/>
        <v>31</v>
      </c>
      <c r="AF5620" s="831" t="s">
        <v>6277</v>
      </c>
      <c r="AG5620" s="831" t="s">
        <v>133</v>
      </c>
      <c r="AH5620" s="831" t="s">
        <v>144</v>
      </c>
      <c r="AI5620" s="831">
        <v>0</v>
      </c>
      <c r="AJ5620" s="835">
        <v>40968</v>
      </c>
      <c r="AK5620" s="831">
        <v>120308</v>
      </c>
    </row>
    <row r="5621" spans="2:37">
      <c r="B5621" s="834" t="str">
        <f t="shared" si="253"/>
        <v>|||</v>
      </c>
      <c r="H5621" s="835">
        <f t="shared" si="254"/>
        <v>31</v>
      </c>
      <c r="AF5621" s="831" t="s">
        <v>6278</v>
      </c>
      <c r="AG5621" s="831" t="s">
        <v>133</v>
      </c>
      <c r="AH5621" s="831" t="s">
        <v>148</v>
      </c>
      <c r="AI5621" s="831">
        <v>0</v>
      </c>
      <c r="AJ5621" s="835">
        <v>40968</v>
      </c>
      <c r="AK5621" s="831">
        <v>30</v>
      </c>
    </row>
    <row r="5622" spans="2:37">
      <c r="B5622" s="834" t="str">
        <f t="shared" si="253"/>
        <v>|||</v>
      </c>
      <c r="H5622" s="835">
        <f t="shared" si="254"/>
        <v>31</v>
      </c>
      <c r="AF5622" s="831" t="s">
        <v>6279</v>
      </c>
      <c r="AG5622" s="831" t="s">
        <v>133</v>
      </c>
      <c r="AH5622" s="831" t="s">
        <v>152</v>
      </c>
      <c r="AI5622" s="831">
        <v>0</v>
      </c>
      <c r="AJ5622" s="835">
        <v>40968</v>
      </c>
      <c r="AK5622" s="831">
        <v>1367</v>
      </c>
    </row>
    <row r="5623" spans="2:37">
      <c r="B5623" s="834" t="str">
        <f t="shared" si="253"/>
        <v>|||</v>
      </c>
      <c r="H5623" s="835">
        <f t="shared" si="254"/>
        <v>31</v>
      </c>
      <c r="AF5623" s="831" t="s">
        <v>6280</v>
      </c>
      <c r="AG5623" s="831" t="s">
        <v>133</v>
      </c>
      <c r="AH5623" s="831" t="s">
        <v>12</v>
      </c>
      <c r="AI5623" s="831">
        <v>0</v>
      </c>
      <c r="AJ5623" s="835">
        <v>40968</v>
      </c>
      <c r="AK5623" s="831">
        <v>442</v>
      </c>
    </row>
    <row r="5624" spans="2:37">
      <c r="B5624" s="834" t="str">
        <f t="shared" si="253"/>
        <v>|||</v>
      </c>
      <c r="H5624" s="835">
        <f t="shared" si="254"/>
        <v>31</v>
      </c>
      <c r="AF5624" s="831" t="s">
        <v>6281</v>
      </c>
      <c r="AG5624" s="831" t="s">
        <v>133</v>
      </c>
      <c r="AH5624" s="831" t="s">
        <v>139</v>
      </c>
      <c r="AI5624" s="831">
        <v>0</v>
      </c>
      <c r="AJ5624" s="835">
        <v>40999</v>
      </c>
      <c r="AK5624" s="831">
        <v>113733</v>
      </c>
    </row>
    <row r="5625" spans="2:37">
      <c r="B5625" s="834" t="str">
        <f t="shared" si="253"/>
        <v>|||</v>
      </c>
      <c r="H5625" s="835">
        <f t="shared" si="254"/>
        <v>31</v>
      </c>
      <c r="AF5625" s="831" t="s">
        <v>6282</v>
      </c>
      <c r="AG5625" s="831" t="s">
        <v>133</v>
      </c>
      <c r="AH5625" s="831" t="s">
        <v>11</v>
      </c>
      <c r="AI5625" s="831">
        <v>0</v>
      </c>
      <c r="AJ5625" s="835">
        <v>40999</v>
      </c>
      <c r="AK5625" s="831">
        <v>119311</v>
      </c>
    </row>
    <row r="5626" spans="2:37">
      <c r="B5626" s="834" t="str">
        <f t="shared" si="253"/>
        <v>|||</v>
      </c>
      <c r="H5626" s="835">
        <f t="shared" si="254"/>
        <v>31</v>
      </c>
      <c r="AF5626" s="831" t="s">
        <v>6283</v>
      </c>
      <c r="AG5626" s="831" t="s">
        <v>133</v>
      </c>
      <c r="AH5626" s="831" t="s">
        <v>144</v>
      </c>
      <c r="AI5626" s="831">
        <v>0</v>
      </c>
      <c r="AJ5626" s="835">
        <v>40999</v>
      </c>
      <c r="AK5626" s="831">
        <v>121023</v>
      </c>
    </row>
    <row r="5627" spans="2:37">
      <c r="B5627" s="834" t="str">
        <f t="shared" si="253"/>
        <v>|||</v>
      </c>
      <c r="H5627" s="835">
        <f t="shared" si="254"/>
        <v>31</v>
      </c>
      <c r="AF5627" s="831" t="s">
        <v>6284</v>
      </c>
      <c r="AG5627" s="831" t="s">
        <v>133</v>
      </c>
      <c r="AH5627" s="831" t="s">
        <v>148</v>
      </c>
      <c r="AI5627" s="831">
        <v>0</v>
      </c>
      <c r="AJ5627" s="835">
        <v>40999</v>
      </c>
      <c r="AK5627" s="831">
        <v>32</v>
      </c>
    </row>
    <row r="5628" spans="2:37">
      <c r="B5628" s="834" t="str">
        <f t="shared" si="253"/>
        <v>|||</v>
      </c>
      <c r="H5628" s="835">
        <f t="shared" si="254"/>
        <v>31</v>
      </c>
      <c r="AF5628" s="831" t="s">
        <v>6285</v>
      </c>
      <c r="AG5628" s="831" t="s">
        <v>133</v>
      </c>
      <c r="AH5628" s="831" t="s">
        <v>152</v>
      </c>
      <c r="AI5628" s="831">
        <v>0</v>
      </c>
      <c r="AJ5628" s="835">
        <v>40999</v>
      </c>
      <c r="AK5628" s="831">
        <v>1365</v>
      </c>
    </row>
    <row r="5629" spans="2:37">
      <c r="B5629" s="834" t="str">
        <f t="shared" si="253"/>
        <v>|||</v>
      </c>
      <c r="H5629" s="835">
        <f t="shared" si="254"/>
        <v>31</v>
      </c>
      <c r="AF5629" s="831" t="s">
        <v>6286</v>
      </c>
      <c r="AG5629" s="831" t="s">
        <v>133</v>
      </c>
      <c r="AH5629" s="831" t="s">
        <v>12</v>
      </c>
      <c r="AI5629" s="831">
        <v>0</v>
      </c>
      <c r="AJ5629" s="835">
        <v>40999</v>
      </c>
      <c r="AK5629" s="831">
        <v>445</v>
      </c>
    </row>
    <row r="5630" spans="2:37">
      <c r="B5630" s="834" t="str">
        <f t="shared" si="253"/>
        <v>|||</v>
      </c>
      <c r="H5630" s="835">
        <f t="shared" si="254"/>
        <v>31</v>
      </c>
      <c r="AF5630" s="831" t="s">
        <v>6287</v>
      </c>
      <c r="AG5630" s="831" t="s">
        <v>133</v>
      </c>
      <c r="AH5630" s="831" t="s">
        <v>139</v>
      </c>
      <c r="AI5630" s="831">
        <v>0</v>
      </c>
      <c r="AJ5630" s="835">
        <v>41029</v>
      </c>
      <c r="AK5630" s="831">
        <v>114706</v>
      </c>
    </row>
    <row r="5631" spans="2:37">
      <c r="B5631" s="834" t="str">
        <f t="shared" si="253"/>
        <v>|||</v>
      </c>
      <c r="H5631" s="835">
        <f t="shared" si="254"/>
        <v>31</v>
      </c>
      <c r="AF5631" s="831" t="s">
        <v>6288</v>
      </c>
      <c r="AG5631" s="831" t="s">
        <v>133</v>
      </c>
      <c r="AH5631" s="831" t="s">
        <v>11</v>
      </c>
      <c r="AI5631" s="831">
        <v>0</v>
      </c>
      <c r="AJ5631" s="835">
        <v>41029</v>
      </c>
      <c r="AK5631" s="831">
        <v>120684</v>
      </c>
    </row>
    <row r="5632" spans="2:37">
      <c r="B5632" s="834" t="str">
        <f t="shared" si="253"/>
        <v>|||</v>
      </c>
      <c r="H5632" s="835">
        <f t="shared" si="254"/>
        <v>31</v>
      </c>
      <c r="AF5632" s="831" t="s">
        <v>6289</v>
      </c>
      <c r="AG5632" s="831" t="s">
        <v>133</v>
      </c>
      <c r="AH5632" s="831" t="s">
        <v>144</v>
      </c>
      <c r="AI5632" s="831">
        <v>0</v>
      </c>
      <c r="AJ5632" s="835">
        <v>41029</v>
      </c>
      <c r="AK5632" s="831">
        <v>122441</v>
      </c>
    </row>
    <row r="5633" spans="2:37">
      <c r="B5633" s="834" t="str">
        <f t="shared" si="253"/>
        <v>|||</v>
      </c>
      <c r="H5633" s="835">
        <f t="shared" si="254"/>
        <v>31</v>
      </c>
      <c r="AF5633" s="831" t="s">
        <v>6290</v>
      </c>
      <c r="AG5633" s="831" t="s">
        <v>133</v>
      </c>
      <c r="AH5633" s="831" t="s">
        <v>148</v>
      </c>
      <c r="AI5633" s="831">
        <v>0</v>
      </c>
      <c r="AJ5633" s="835">
        <v>41029</v>
      </c>
      <c r="AK5633" s="831">
        <v>32</v>
      </c>
    </row>
    <row r="5634" spans="2:37">
      <c r="B5634" s="834" t="str">
        <f t="shared" si="253"/>
        <v>|||</v>
      </c>
      <c r="H5634" s="835">
        <f t="shared" si="254"/>
        <v>31</v>
      </c>
      <c r="AF5634" s="831" t="s">
        <v>6291</v>
      </c>
      <c r="AG5634" s="831" t="s">
        <v>133</v>
      </c>
      <c r="AH5634" s="831" t="s">
        <v>152</v>
      </c>
      <c r="AI5634" s="831">
        <v>0</v>
      </c>
      <c r="AJ5634" s="835">
        <v>41029</v>
      </c>
      <c r="AK5634" s="831">
        <v>1381</v>
      </c>
    </row>
    <row r="5635" spans="2:37">
      <c r="B5635" s="834" t="str">
        <f t="shared" ref="B5635:B5698" si="255">C5635&amp;"|"&amp;D5635&amp;"|"&amp;E5635&amp;"|"&amp;F5635</f>
        <v>|||</v>
      </c>
      <c r="H5635" s="835">
        <f t="shared" si="254"/>
        <v>31</v>
      </c>
      <c r="AF5635" s="831" t="s">
        <v>6292</v>
      </c>
      <c r="AG5635" s="831" t="s">
        <v>133</v>
      </c>
      <c r="AH5635" s="831" t="s">
        <v>12</v>
      </c>
      <c r="AI5635" s="831">
        <v>0</v>
      </c>
      <c r="AJ5635" s="835">
        <v>41029</v>
      </c>
      <c r="AK5635" s="831">
        <v>445</v>
      </c>
    </row>
    <row r="5636" spans="2:37">
      <c r="B5636" s="834" t="str">
        <f t="shared" si="255"/>
        <v>|||</v>
      </c>
      <c r="H5636" s="835">
        <f t="shared" ref="H5636:H5699" si="256">EOMONTH(L5636,0)</f>
        <v>31</v>
      </c>
      <c r="AF5636" s="831" t="s">
        <v>6293</v>
      </c>
      <c r="AG5636" s="831" t="s">
        <v>133</v>
      </c>
      <c r="AH5636" s="831" t="s">
        <v>139</v>
      </c>
      <c r="AI5636" s="831">
        <v>0</v>
      </c>
      <c r="AJ5636" s="835">
        <v>41060</v>
      </c>
      <c r="AK5636" s="831">
        <v>115680</v>
      </c>
    </row>
    <row r="5637" spans="2:37">
      <c r="B5637" s="834" t="str">
        <f t="shared" si="255"/>
        <v>|||</v>
      </c>
      <c r="H5637" s="835">
        <f t="shared" si="256"/>
        <v>31</v>
      </c>
      <c r="AF5637" s="831" t="s">
        <v>6294</v>
      </c>
      <c r="AG5637" s="831" t="s">
        <v>133</v>
      </c>
      <c r="AH5637" s="831" t="s">
        <v>11</v>
      </c>
      <c r="AI5637" s="831">
        <v>0</v>
      </c>
      <c r="AJ5637" s="835">
        <v>41060</v>
      </c>
      <c r="AK5637" s="831">
        <v>122430</v>
      </c>
    </row>
    <row r="5638" spans="2:37">
      <c r="B5638" s="834" t="str">
        <f t="shared" si="255"/>
        <v>|||</v>
      </c>
      <c r="H5638" s="835">
        <f t="shared" si="256"/>
        <v>31</v>
      </c>
      <c r="AF5638" s="831" t="s">
        <v>6295</v>
      </c>
      <c r="AG5638" s="831" t="s">
        <v>133</v>
      </c>
      <c r="AH5638" s="831" t="s">
        <v>144</v>
      </c>
      <c r="AI5638" s="831">
        <v>0</v>
      </c>
      <c r="AJ5638" s="835">
        <v>41060</v>
      </c>
      <c r="AK5638" s="831">
        <v>124207</v>
      </c>
    </row>
    <row r="5639" spans="2:37">
      <c r="B5639" s="834" t="str">
        <f t="shared" si="255"/>
        <v>|||</v>
      </c>
      <c r="H5639" s="835">
        <f t="shared" si="256"/>
        <v>31</v>
      </c>
      <c r="AF5639" s="831" t="s">
        <v>6296</v>
      </c>
      <c r="AG5639" s="831" t="s">
        <v>133</v>
      </c>
      <c r="AH5639" s="831" t="s">
        <v>148</v>
      </c>
      <c r="AI5639" s="831">
        <v>0</v>
      </c>
      <c r="AJ5639" s="835">
        <v>41060</v>
      </c>
      <c r="AK5639" s="831">
        <v>33</v>
      </c>
    </row>
    <row r="5640" spans="2:37">
      <c r="B5640" s="834" t="str">
        <f t="shared" si="255"/>
        <v>|||</v>
      </c>
      <c r="H5640" s="835">
        <f t="shared" si="256"/>
        <v>31</v>
      </c>
      <c r="AF5640" s="831" t="s">
        <v>6297</v>
      </c>
      <c r="AG5640" s="831" t="s">
        <v>133</v>
      </c>
      <c r="AH5640" s="831" t="s">
        <v>152</v>
      </c>
      <c r="AI5640" s="831">
        <v>0</v>
      </c>
      <c r="AJ5640" s="835">
        <v>41060</v>
      </c>
      <c r="AK5640" s="831">
        <v>1387</v>
      </c>
    </row>
    <row r="5641" spans="2:37">
      <c r="B5641" s="834" t="str">
        <f t="shared" si="255"/>
        <v>|||</v>
      </c>
      <c r="H5641" s="835">
        <f t="shared" si="256"/>
        <v>31</v>
      </c>
      <c r="AF5641" s="831" t="s">
        <v>6298</v>
      </c>
      <c r="AG5641" s="831" t="s">
        <v>133</v>
      </c>
      <c r="AH5641" s="831" t="s">
        <v>12</v>
      </c>
      <c r="AI5641" s="831">
        <v>0</v>
      </c>
      <c r="AJ5641" s="835">
        <v>41060</v>
      </c>
      <c r="AK5641" s="831">
        <v>447</v>
      </c>
    </row>
    <row r="5642" spans="2:37">
      <c r="B5642" s="834" t="str">
        <f t="shared" si="255"/>
        <v>|||</v>
      </c>
      <c r="H5642" s="835">
        <f t="shared" si="256"/>
        <v>31</v>
      </c>
      <c r="AF5642" s="831" t="s">
        <v>6299</v>
      </c>
      <c r="AG5642" s="831" t="s">
        <v>133</v>
      </c>
      <c r="AH5642" s="831" t="s">
        <v>139</v>
      </c>
      <c r="AI5642" s="831">
        <v>0</v>
      </c>
      <c r="AJ5642" s="835">
        <v>41090</v>
      </c>
      <c r="AK5642" s="831">
        <v>116611</v>
      </c>
    </row>
    <row r="5643" spans="2:37">
      <c r="B5643" s="834" t="str">
        <f t="shared" si="255"/>
        <v>|||</v>
      </c>
      <c r="H5643" s="835">
        <f t="shared" si="256"/>
        <v>31</v>
      </c>
      <c r="AF5643" s="831" t="s">
        <v>6300</v>
      </c>
      <c r="AG5643" s="831" t="s">
        <v>133</v>
      </c>
      <c r="AH5643" s="831" t="s">
        <v>11</v>
      </c>
      <c r="AI5643" s="831">
        <v>0</v>
      </c>
      <c r="AJ5643" s="835">
        <v>41090</v>
      </c>
      <c r="AK5643" s="831">
        <v>122094</v>
      </c>
    </row>
    <row r="5644" spans="2:37">
      <c r="B5644" s="834" t="str">
        <f t="shared" si="255"/>
        <v>|||</v>
      </c>
      <c r="H5644" s="835">
        <f t="shared" si="256"/>
        <v>31</v>
      </c>
      <c r="AF5644" s="831" t="s">
        <v>6301</v>
      </c>
      <c r="AG5644" s="831" t="s">
        <v>133</v>
      </c>
      <c r="AH5644" s="831" t="s">
        <v>144</v>
      </c>
      <c r="AI5644" s="831">
        <v>0</v>
      </c>
      <c r="AJ5644" s="835">
        <v>41090</v>
      </c>
      <c r="AK5644" s="831">
        <v>123933</v>
      </c>
    </row>
    <row r="5645" spans="2:37">
      <c r="B5645" s="834" t="str">
        <f t="shared" si="255"/>
        <v>|||</v>
      </c>
      <c r="H5645" s="835">
        <f t="shared" si="256"/>
        <v>31</v>
      </c>
      <c r="AF5645" s="831" t="s">
        <v>6302</v>
      </c>
      <c r="AG5645" s="831" t="s">
        <v>133</v>
      </c>
      <c r="AH5645" s="831" t="s">
        <v>148</v>
      </c>
      <c r="AI5645" s="831">
        <v>0</v>
      </c>
      <c r="AJ5645" s="835">
        <v>41090</v>
      </c>
      <c r="AK5645" s="831">
        <v>33</v>
      </c>
    </row>
    <row r="5646" spans="2:37">
      <c r="B5646" s="834" t="str">
        <f t="shared" si="255"/>
        <v>|||</v>
      </c>
      <c r="H5646" s="835">
        <f t="shared" si="256"/>
        <v>31</v>
      </c>
      <c r="AF5646" s="831" t="s">
        <v>6303</v>
      </c>
      <c r="AG5646" s="831" t="s">
        <v>133</v>
      </c>
      <c r="AH5646" s="831" t="s">
        <v>152</v>
      </c>
      <c r="AI5646" s="831">
        <v>0</v>
      </c>
      <c r="AJ5646" s="835">
        <v>41090</v>
      </c>
      <c r="AK5646" s="831">
        <v>1396</v>
      </c>
    </row>
    <row r="5647" spans="2:37">
      <c r="B5647" s="834" t="str">
        <f t="shared" si="255"/>
        <v>|||</v>
      </c>
      <c r="H5647" s="835">
        <f t="shared" si="256"/>
        <v>31</v>
      </c>
      <c r="AF5647" s="831" t="s">
        <v>6304</v>
      </c>
      <c r="AG5647" s="831" t="s">
        <v>133</v>
      </c>
      <c r="AH5647" s="831" t="s">
        <v>12</v>
      </c>
      <c r="AI5647" s="831">
        <v>0</v>
      </c>
      <c r="AJ5647" s="835">
        <v>41090</v>
      </c>
      <c r="AK5647" s="831">
        <v>447</v>
      </c>
    </row>
    <row r="5648" spans="2:37">
      <c r="B5648" s="834" t="str">
        <f t="shared" si="255"/>
        <v>|||</v>
      </c>
      <c r="H5648" s="835">
        <f t="shared" si="256"/>
        <v>31</v>
      </c>
      <c r="AF5648" s="831" t="s">
        <v>6305</v>
      </c>
      <c r="AG5648" s="831" t="s">
        <v>133</v>
      </c>
      <c r="AH5648" s="831" t="s">
        <v>139</v>
      </c>
      <c r="AI5648" s="831">
        <v>0</v>
      </c>
      <c r="AJ5648" s="835">
        <v>41121</v>
      </c>
      <c r="AK5648" s="831">
        <v>117686</v>
      </c>
    </row>
    <row r="5649" spans="2:37">
      <c r="B5649" s="834" t="str">
        <f t="shared" si="255"/>
        <v>|||</v>
      </c>
      <c r="H5649" s="835">
        <f t="shared" si="256"/>
        <v>31</v>
      </c>
      <c r="AF5649" s="831" t="s">
        <v>6306</v>
      </c>
      <c r="AG5649" s="831" t="s">
        <v>133</v>
      </c>
      <c r="AH5649" s="831" t="s">
        <v>11</v>
      </c>
      <c r="AI5649" s="831">
        <v>0</v>
      </c>
      <c r="AJ5649" s="835">
        <v>41121</v>
      </c>
      <c r="AK5649" s="831">
        <v>121835</v>
      </c>
    </row>
    <row r="5650" spans="2:37">
      <c r="B5650" s="834" t="str">
        <f t="shared" si="255"/>
        <v>|||</v>
      </c>
      <c r="H5650" s="835">
        <f t="shared" si="256"/>
        <v>31</v>
      </c>
      <c r="AF5650" s="831" t="s">
        <v>6307</v>
      </c>
      <c r="AG5650" s="831" t="s">
        <v>133</v>
      </c>
      <c r="AH5650" s="831" t="s">
        <v>144</v>
      </c>
      <c r="AI5650" s="831">
        <v>0</v>
      </c>
      <c r="AJ5650" s="835">
        <v>41121</v>
      </c>
      <c r="AK5650" s="831">
        <v>123680</v>
      </c>
    </row>
    <row r="5651" spans="2:37">
      <c r="B5651" s="834" t="str">
        <f t="shared" si="255"/>
        <v>|||</v>
      </c>
      <c r="H5651" s="835">
        <f t="shared" si="256"/>
        <v>31</v>
      </c>
      <c r="AF5651" s="831" t="s">
        <v>6308</v>
      </c>
      <c r="AG5651" s="831" t="s">
        <v>133</v>
      </c>
      <c r="AH5651" s="831" t="s">
        <v>148</v>
      </c>
      <c r="AI5651" s="831">
        <v>0</v>
      </c>
      <c r="AJ5651" s="835">
        <v>41121</v>
      </c>
      <c r="AK5651" s="831">
        <v>34</v>
      </c>
    </row>
    <row r="5652" spans="2:37">
      <c r="B5652" s="834" t="str">
        <f t="shared" si="255"/>
        <v>|||</v>
      </c>
      <c r="H5652" s="835">
        <f t="shared" si="256"/>
        <v>31</v>
      </c>
      <c r="AF5652" s="831" t="s">
        <v>6309</v>
      </c>
      <c r="AG5652" s="831" t="s">
        <v>133</v>
      </c>
      <c r="AH5652" s="831" t="s">
        <v>152</v>
      </c>
      <c r="AI5652" s="831">
        <v>0</v>
      </c>
      <c r="AJ5652" s="835">
        <v>41121</v>
      </c>
      <c r="AK5652" s="831">
        <v>1399</v>
      </c>
    </row>
    <row r="5653" spans="2:37">
      <c r="B5653" s="834" t="str">
        <f t="shared" si="255"/>
        <v>|||</v>
      </c>
      <c r="H5653" s="835">
        <f t="shared" si="256"/>
        <v>31</v>
      </c>
      <c r="AF5653" s="831" t="s">
        <v>6310</v>
      </c>
      <c r="AG5653" s="831" t="s">
        <v>133</v>
      </c>
      <c r="AH5653" s="831" t="s">
        <v>12</v>
      </c>
      <c r="AI5653" s="831">
        <v>0</v>
      </c>
      <c r="AJ5653" s="835">
        <v>41121</v>
      </c>
      <c r="AK5653" s="831">
        <v>446</v>
      </c>
    </row>
    <row r="5654" spans="2:37">
      <c r="B5654" s="834" t="str">
        <f t="shared" si="255"/>
        <v>|||</v>
      </c>
      <c r="H5654" s="835">
        <f t="shared" si="256"/>
        <v>31</v>
      </c>
      <c r="AF5654" s="831" t="s">
        <v>6311</v>
      </c>
      <c r="AG5654" s="831" t="s">
        <v>133</v>
      </c>
      <c r="AH5654" s="831" t="s">
        <v>139</v>
      </c>
      <c r="AI5654" s="831">
        <v>0</v>
      </c>
      <c r="AJ5654" s="835">
        <v>41152</v>
      </c>
      <c r="AK5654" s="831">
        <v>118531</v>
      </c>
    </row>
    <row r="5655" spans="2:37">
      <c r="B5655" s="834" t="str">
        <f t="shared" si="255"/>
        <v>|||</v>
      </c>
      <c r="H5655" s="835">
        <f t="shared" si="256"/>
        <v>31</v>
      </c>
      <c r="AF5655" s="831" t="s">
        <v>6312</v>
      </c>
      <c r="AG5655" s="831" t="s">
        <v>133</v>
      </c>
      <c r="AH5655" s="831" t="s">
        <v>11</v>
      </c>
      <c r="AI5655" s="831">
        <v>0</v>
      </c>
      <c r="AJ5655" s="835">
        <v>41152</v>
      </c>
      <c r="AK5655" s="831">
        <v>122109</v>
      </c>
    </row>
    <row r="5656" spans="2:37">
      <c r="B5656" s="834" t="str">
        <f t="shared" si="255"/>
        <v>|||</v>
      </c>
      <c r="H5656" s="835">
        <f t="shared" si="256"/>
        <v>31</v>
      </c>
      <c r="AF5656" s="831" t="s">
        <v>6313</v>
      </c>
      <c r="AG5656" s="831" t="s">
        <v>133</v>
      </c>
      <c r="AH5656" s="831" t="s">
        <v>144</v>
      </c>
      <c r="AI5656" s="831">
        <v>0</v>
      </c>
      <c r="AJ5656" s="835">
        <v>41152</v>
      </c>
      <c r="AK5656" s="831">
        <v>123973</v>
      </c>
    </row>
    <row r="5657" spans="2:37">
      <c r="B5657" s="834" t="str">
        <f t="shared" si="255"/>
        <v>|||</v>
      </c>
      <c r="H5657" s="835">
        <f t="shared" si="256"/>
        <v>31</v>
      </c>
      <c r="AF5657" s="831" t="s">
        <v>6314</v>
      </c>
      <c r="AG5657" s="831" t="s">
        <v>133</v>
      </c>
      <c r="AH5657" s="831" t="s">
        <v>148</v>
      </c>
      <c r="AI5657" s="831">
        <v>0</v>
      </c>
      <c r="AJ5657" s="835">
        <v>41152</v>
      </c>
      <c r="AK5657" s="831">
        <v>34</v>
      </c>
    </row>
    <row r="5658" spans="2:37">
      <c r="B5658" s="834" t="str">
        <f t="shared" si="255"/>
        <v>|||</v>
      </c>
      <c r="H5658" s="835">
        <f t="shared" si="256"/>
        <v>31</v>
      </c>
      <c r="AF5658" s="831" t="s">
        <v>6315</v>
      </c>
      <c r="AG5658" s="831" t="s">
        <v>133</v>
      </c>
      <c r="AH5658" s="831" t="s">
        <v>152</v>
      </c>
      <c r="AI5658" s="831">
        <v>0</v>
      </c>
      <c r="AJ5658" s="835">
        <v>41152</v>
      </c>
      <c r="AK5658" s="831">
        <v>1414</v>
      </c>
    </row>
    <row r="5659" spans="2:37">
      <c r="B5659" s="834" t="str">
        <f t="shared" si="255"/>
        <v>|||</v>
      </c>
      <c r="H5659" s="835">
        <f t="shared" si="256"/>
        <v>31</v>
      </c>
      <c r="AF5659" s="831" t="s">
        <v>6316</v>
      </c>
      <c r="AG5659" s="831" t="s">
        <v>133</v>
      </c>
      <c r="AH5659" s="831" t="s">
        <v>12</v>
      </c>
      <c r="AI5659" s="831">
        <v>0</v>
      </c>
      <c r="AJ5659" s="835">
        <v>41152</v>
      </c>
      <c r="AK5659" s="831">
        <v>444</v>
      </c>
    </row>
    <row r="5660" spans="2:37">
      <c r="B5660" s="834" t="str">
        <f t="shared" si="255"/>
        <v>|||</v>
      </c>
      <c r="H5660" s="835">
        <f t="shared" si="256"/>
        <v>31</v>
      </c>
      <c r="AF5660" s="831" t="s">
        <v>6317</v>
      </c>
      <c r="AG5660" s="831" t="s">
        <v>133</v>
      </c>
      <c r="AH5660" s="831" t="s">
        <v>139</v>
      </c>
      <c r="AI5660" s="831">
        <v>0</v>
      </c>
      <c r="AJ5660" s="835">
        <v>41182</v>
      </c>
      <c r="AK5660" s="831">
        <v>119394</v>
      </c>
    </row>
    <row r="5661" spans="2:37">
      <c r="B5661" s="834" t="str">
        <f t="shared" si="255"/>
        <v>|||</v>
      </c>
      <c r="H5661" s="835">
        <f t="shared" si="256"/>
        <v>31</v>
      </c>
      <c r="AF5661" s="831" t="s">
        <v>6318</v>
      </c>
      <c r="AG5661" s="831" t="s">
        <v>133</v>
      </c>
      <c r="AH5661" s="831" t="s">
        <v>11</v>
      </c>
      <c r="AI5661" s="831">
        <v>0</v>
      </c>
      <c r="AJ5661" s="835">
        <v>41182</v>
      </c>
      <c r="AK5661" s="831">
        <v>122822</v>
      </c>
    </row>
    <row r="5662" spans="2:37">
      <c r="B5662" s="834" t="str">
        <f t="shared" si="255"/>
        <v>|||</v>
      </c>
      <c r="H5662" s="835">
        <f t="shared" si="256"/>
        <v>31</v>
      </c>
      <c r="AF5662" s="831" t="s">
        <v>6319</v>
      </c>
      <c r="AG5662" s="831" t="s">
        <v>133</v>
      </c>
      <c r="AH5662" s="831" t="s">
        <v>144</v>
      </c>
      <c r="AI5662" s="831">
        <v>0</v>
      </c>
      <c r="AJ5662" s="835">
        <v>41182</v>
      </c>
      <c r="AK5662" s="831">
        <v>124710</v>
      </c>
    </row>
    <row r="5663" spans="2:37">
      <c r="B5663" s="834" t="str">
        <f t="shared" si="255"/>
        <v>|||</v>
      </c>
      <c r="H5663" s="835">
        <f t="shared" si="256"/>
        <v>31</v>
      </c>
      <c r="AF5663" s="831" t="s">
        <v>6320</v>
      </c>
      <c r="AG5663" s="831" t="s">
        <v>133</v>
      </c>
      <c r="AH5663" s="831" t="s">
        <v>148</v>
      </c>
      <c r="AI5663" s="831">
        <v>0</v>
      </c>
      <c r="AJ5663" s="835">
        <v>41182</v>
      </c>
      <c r="AK5663" s="831">
        <v>34</v>
      </c>
    </row>
    <row r="5664" spans="2:37">
      <c r="B5664" s="834" t="str">
        <f t="shared" si="255"/>
        <v>|||</v>
      </c>
      <c r="H5664" s="835">
        <f t="shared" si="256"/>
        <v>31</v>
      </c>
      <c r="AF5664" s="831" t="s">
        <v>6321</v>
      </c>
      <c r="AG5664" s="831" t="s">
        <v>133</v>
      </c>
      <c r="AH5664" s="831" t="s">
        <v>152</v>
      </c>
      <c r="AI5664" s="831">
        <v>0</v>
      </c>
      <c r="AJ5664" s="835">
        <v>41182</v>
      </c>
      <c r="AK5664" s="831">
        <v>1442</v>
      </c>
    </row>
    <row r="5665" spans="2:37">
      <c r="B5665" s="834" t="str">
        <f t="shared" si="255"/>
        <v>|||</v>
      </c>
      <c r="H5665" s="835">
        <f t="shared" si="256"/>
        <v>31</v>
      </c>
      <c r="AF5665" s="831" t="s">
        <v>6322</v>
      </c>
      <c r="AG5665" s="831" t="s">
        <v>133</v>
      </c>
      <c r="AH5665" s="831" t="s">
        <v>12</v>
      </c>
      <c r="AI5665" s="831">
        <v>0</v>
      </c>
      <c r="AJ5665" s="835">
        <v>41182</v>
      </c>
      <c r="AK5665" s="831">
        <v>441</v>
      </c>
    </row>
    <row r="5666" spans="2:37">
      <c r="B5666" s="834" t="str">
        <f t="shared" si="255"/>
        <v>|||</v>
      </c>
      <c r="H5666" s="835">
        <f t="shared" si="256"/>
        <v>31</v>
      </c>
      <c r="AF5666" s="831" t="s">
        <v>6323</v>
      </c>
      <c r="AG5666" s="831" t="s">
        <v>133</v>
      </c>
      <c r="AH5666" s="831" t="s">
        <v>139</v>
      </c>
      <c r="AI5666" s="831">
        <v>0</v>
      </c>
      <c r="AJ5666" s="835">
        <v>41213</v>
      </c>
      <c r="AK5666" s="831">
        <v>120335</v>
      </c>
    </row>
    <row r="5667" spans="2:37">
      <c r="B5667" s="834" t="str">
        <f t="shared" si="255"/>
        <v>|||</v>
      </c>
      <c r="H5667" s="835">
        <f t="shared" si="256"/>
        <v>31</v>
      </c>
      <c r="AF5667" s="831" t="s">
        <v>6324</v>
      </c>
      <c r="AG5667" s="831" t="s">
        <v>133</v>
      </c>
      <c r="AH5667" s="831" t="s">
        <v>11</v>
      </c>
      <c r="AI5667" s="831">
        <v>0</v>
      </c>
      <c r="AJ5667" s="835">
        <v>41213</v>
      </c>
      <c r="AK5667" s="831">
        <v>123024</v>
      </c>
    </row>
    <row r="5668" spans="2:37">
      <c r="B5668" s="834" t="str">
        <f t="shared" si="255"/>
        <v>|||</v>
      </c>
      <c r="H5668" s="835">
        <f t="shared" si="256"/>
        <v>31</v>
      </c>
      <c r="AF5668" s="831" t="s">
        <v>6325</v>
      </c>
      <c r="AG5668" s="831" t="s">
        <v>133</v>
      </c>
      <c r="AH5668" s="831" t="s">
        <v>144</v>
      </c>
      <c r="AI5668" s="831">
        <v>0</v>
      </c>
      <c r="AJ5668" s="835">
        <v>41213</v>
      </c>
      <c r="AK5668" s="831">
        <v>124999</v>
      </c>
    </row>
    <row r="5669" spans="2:37">
      <c r="B5669" s="834" t="str">
        <f t="shared" si="255"/>
        <v>|||</v>
      </c>
      <c r="H5669" s="835">
        <f t="shared" si="256"/>
        <v>31</v>
      </c>
      <c r="AF5669" s="831" t="s">
        <v>6326</v>
      </c>
      <c r="AG5669" s="831" t="s">
        <v>133</v>
      </c>
      <c r="AH5669" s="831" t="s">
        <v>148</v>
      </c>
      <c r="AI5669" s="831">
        <v>0</v>
      </c>
      <c r="AJ5669" s="835">
        <v>41213</v>
      </c>
      <c r="AK5669" s="831">
        <v>34</v>
      </c>
    </row>
    <row r="5670" spans="2:37">
      <c r="B5670" s="834" t="str">
        <f t="shared" si="255"/>
        <v>|||</v>
      </c>
      <c r="H5670" s="835">
        <f t="shared" si="256"/>
        <v>31</v>
      </c>
      <c r="AF5670" s="831" t="s">
        <v>6327</v>
      </c>
      <c r="AG5670" s="831" t="s">
        <v>133</v>
      </c>
      <c r="AH5670" s="831" t="s">
        <v>152</v>
      </c>
      <c r="AI5670" s="831">
        <v>0</v>
      </c>
      <c r="AJ5670" s="835">
        <v>41213</v>
      </c>
      <c r="AK5670" s="831">
        <v>1442</v>
      </c>
    </row>
    <row r="5671" spans="2:37">
      <c r="B5671" s="834" t="str">
        <f t="shared" si="255"/>
        <v>|||</v>
      </c>
      <c r="H5671" s="835">
        <f t="shared" si="256"/>
        <v>31</v>
      </c>
      <c r="AF5671" s="831" t="s">
        <v>6328</v>
      </c>
      <c r="AG5671" s="831" t="s">
        <v>133</v>
      </c>
      <c r="AH5671" s="831" t="s">
        <v>12</v>
      </c>
      <c r="AI5671" s="831">
        <v>0</v>
      </c>
      <c r="AJ5671" s="835">
        <v>41213</v>
      </c>
      <c r="AK5671" s="831">
        <v>450</v>
      </c>
    </row>
    <row r="5672" spans="2:37">
      <c r="B5672" s="834" t="str">
        <f t="shared" si="255"/>
        <v>|||</v>
      </c>
      <c r="H5672" s="835">
        <f t="shared" si="256"/>
        <v>31</v>
      </c>
      <c r="AF5672" s="831" t="s">
        <v>6329</v>
      </c>
      <c r="AG5672" s="831" t="s">
        <v>133</v>
      </c>
      <c r="AH5672" s="831" t="s">
        <v>139</v>
      </c>
      <c r="AI5672" s="831">
        <v>0</v>
      </c>
      <c r="AJ5672" s="835">
        <v>41243</v>
      </c>
      <c r="AK5672" s="831">
        <v>121251</v>
      </c>
    </row>
    <row r="5673" spans="2:37">
      <c r="B5673" s="834" t="str">
        <f t="shared" si="255"/>
        <v>|||</v>
      </c>
      <c r="H5673" s="835">
        <f t="shared" si="256"/>
        <v>31</v>
      </c>
      <c r="AF5673" s="831" t="s">
        <v>6330</v>
      </c>
      <c r="AG5673" s="831" t="s">
        <v>133</v>
      </c>
      <c r="AH5673" s="831" t="s">
        <v>11</v>
      </c>
      <c r="AI5673" s="831">
        <v>0</v>
      </c>
      <c r="AJ5673" s="835">
        <v>41243</v>
      </c>
      <c r="AK5673" s="831">
        <v>123534</v>
      </c>
    </row>
    <row r="5674" spans="2:37">
      <c r="B5674" s="834" t="str">
        <f t="shared" si="255"/>
        <v>|||</v>
      </c>
      <c r="H5674" s="835">
        <f t="shared" si="256"/>
        <v>31</v>
      </c>
      <c r="AF5674" s="831" t="s">
        <v>6331</v>
      </c>
      <c r="AG5674" s="831" t="s">
        <v>133</v>
      </c>
      <c r="AH5674" s="831" t="s">
        <v>144</v>
      </c>
      <c r="AI5674" s="831">
        <v>0</v>
      </c>
      <c r="AJ5674" s="835">
        <v>41243</v>
      </c>
      <c r="AK5674" s="831">
        <v>125715</v>
      </c>
    </row>
    <row r="5675" spans="2:37">
      <c r="B5675" s="834" t="str">
        <f t="shared" si="255"/>
        <v>|||</v>
      </c>
      <c r="H5675" s="835">
        <f t="shared" si="256"/>
        <v>31</v>
      </c>
      <c r="AF5675" s="831" t="s">
        <v>6332</v>
      </c>
      <c r="AG5675" s="831" t="s">
        <v>133</v>
      </c>
      <c r="AH5675" s="831" t="s">
        <v>148</v>
      </c>
      <c r="AI5675" s="831">
        <v>0</v>
      </c>
      <c r="AJ5675" s="835">
        <v>41243</v>
      </c>
      <c r="AK5675" s="831">
        <v>34</v>
      </c>
    </row>
    <row r="5676" spans="2:37">
      <c r="B5676" s="834" t="str">
        <f t="shared" si="255"/>
        <v>|||</v>
      </c>
      <c r="H5676" s="835">
        <f t="shared" si="256"/>
        <v>31</v>
      </c>
      <c r="AF5676" s="831" t="s">
        <v>6333</v>
      </c>
      <c r="AG5676" s="831" t="s">
        <v>133</v>
      </c>
      <c r="AH5676" s="831" t="s">
        <v>152</v>
      </c>
      <c r="AI5676" s="831">
        <v>0</v>
      </c>
      <c r="AJ5676" s="835">
        <v>41243</v>
      </c>
      <c r="AK5676" s="831">
        <v>1470</v>
      </c>
    </row>
    <row r="5677" spans="2:37">
      <c r="B5677" s="834" t="str">
        <f t="shared" si="255"/>
        <v>|||</v>
      </c>
      <c r="H5677" s="835">
        <f t="shared" si="256"/>
        <v>31</v>
      </c>
      <c r="AF5677" s="831" t="s">
        <v>6334</v>
      </c>
      <c r="AG5677" s="831" t="s">
        <v>133</v>
      </c>
      <c r="AH5677" s="831" t="s">
        <v>12</v>
      </c>
      <c r="AI5677" s="831">
        <v>0</v>
      </c>
      <c r="AJ5677" s="835">
        <v>41243</v>
      </c>
      <c r="AK5677" s="831">
        <v>453</v>
      </c>
    </row>
    <row r="5678" spans="2:37">
      <c r="B5678" s="834" t="str">
        <f t="shared" si="255"/>
        <v>|||</v>
      </c>
      <c r="H5678" s="835">
        <f t="shared" si="256"/>
        <v>31</v>
      </c>
      <c r="AF5678" s="831" t="s">
        <v>6335</v>
      </c>
      <c r="AG5678" s="831" t="s">
        <v>133</v>
      </c>
      <c r="AH5678" s="831" t="s">
        <v>139</v>
      </c>
      <c r="AI5678" s="831">
        <v>0</v>
      </c>
      <c r="AJ5678" s="835">
        <v>41274</v>
      </c>
      <c r="AK5678" s="831">
        <v>122231</v>
      </c>
    </row>
    <row r="5679" spans="2:37">
      <c r="B5679" s="834" t="str">
        <f t="shared" si="255"/>
        <v>|||</v>
      </c>
      <c r="H5679" s="835">
        <f t="shared" si="256"/>
        <v>31</v>
      </c>
      <c r="AF5679" s="831" t="s">
        <v>6336</v>
      </c>
      <c r="AG5679" s="831" t="s">
        <v>133</v>
      </c>
      <c r="AH5679" s="831" t="s">
        <v>11</v>
      </c>
      <c r="AI5679" s="831">
        <v>0</v>
      </c>
      <c r="AJ5679" s="835">
        <v>41274</v>
      </c>
      <c r="AK5679" s="831">
        <v>124397</v>
      </c>
    </row>
    <row r="5680" spans="2:37">
      <c r="B5680" s="834" t="str">
        <f t="shared" si="255"/>
        <v>|||</v>
      </c>
      <c r="H5680" s="835">
        <f t="shared" si="256"/>
        <v>31</v>
      </c>
      <c r="AF5680" s="831" t="s">
        <v>6337</v>
      </c>
      <c r="AG5680" s="831" t="s">
        <v>133</v>
      </c>
      <c r="AH5680" s="831" t="s">
        <v>144</v>
      </c>
      <c r="AI5680" s="831">
        <v>0</v>
      </c>
      <c r="AJ5680" s="835">
        <v>41274</v>
      </c>
      <c r="AK5680" s="831">
        <v>127200</v>
      </c>
    </row>
    <row r="5681" spans="2:37">
      <c r="B5681" s="834" t="str">
        <f t="shared" si="255"/>
        <v>|||</v>
      </c>
      <c r="H5681" s="835">
        <f t="shared" si="256"/>
        <v>31</v>
      </c>
      <c r="AF5681" s="831" t="s">
        <v>6338</v>
      </c>
      <c r="AG5681" s="831" t="s">
        <v>133</v>
      </c>
      <c r="AH5681" s="831" t="s">
        <v>148</v>
      </c>
      <c r="AI5681" s="831">
        <v>0</v>
      </c>
      <c r="AJ5681" s="835">
        <v>41274</v>
      </c>
      <c r="AK5681" s="831">
        <v>34</v>
      </c>
    </row>
    <row r="5682" spans="2:37">
      <c r="B5682" s="834" t="str">
        <f t="shared" si="255"/>
        <v>|||</v>
      </c>
      <c r="H5682" s="835">
        <f t="shared" si="256"/>
        <v>31</v>
      </c>
      <c r="AF5682" s="831" t="s">
        <v>6339</v>
      </c>
      <c r="AG5682" s="831" t="s">
        <v>133</v>
      </c>
      <c r="AH5682" s="831" t="s">
        <v>152</v>
      </c>
      <c r="AI5682" s="831">
        <v>0</v>
      </c>
      <c r="AJ5682" s="835">
        <v>41274</v>
      </c>
      <c r="AK5682" s="831">
        <v>1496</v>
      </c>
    </row>
    <row r="5683" spans="2:37">
      <c r="B5683" s="834" t="str">
        <f t="shared" si="255"/>
        <v>|||</v>
      </c>
      <c r="H5683" s="835">
        <f t="shared" si="256"/>
        <v>31</v>
      </c>
      <c r="AF5683" s="831" t="s">
        <v>6340</v>
      </c>
      <c r="AG5683" s="831" t="s">
        <v>133</v>
      </c>
      <c r="AH5683" s="831" t="s">
        <v>12</v>
      </c>
      <c r="AI5683" s="831">
        <v>0</v>
      </c>
      <c r="AJ5683" s="835">
        <v>41274</v>
      </c>
      <c r="AK5683" s="831">
        <v>456</v>
      </c>
    </row>
    <row r="5684" spans="2:37">
      <c r="B5684" s="834" t="str">
        <f t="shared" si="255"/>
        <v>|||</v>
      </c>
      <c r="H5684" s="835">
        <f t="shared" si="256"/>
        <v>31</v>
      </c>
      <c r="AF5684" s="831" t="s">
        <v>6341</v>
      </c>
      <c r="AG5684" s="831" t="s">
        <v>2674</v>
      </c>
      <c r="AH5684" s="831" t="s">
        <v>546</v>
      </c>
      <c r="AI5684" s="831">
        <v>0</v>
      </c>
      <c r="AJ5684" s="835">
        <v>40209</v>
      </c>
      <c r="AK5684" s="831">
        <v>239607839</v>
      </c>
    </row>
    <row r="5685" spans="2:37">
      <c r="B5685" s="834" t="str">
        <f t="shared" si="255"/>
        <v>|||</v>
      </c>
      <c r="H5685" s="835">
        <f t="shared" si="256"/>
        <v>31</v>
      </c>
      <c r="AF5685" s="831" t="s">
        <v>6342</v>
      </c>
      <c r="AG5685" s="831" t="s">
        <v>2674</v>
      </c>
      <c r="AH5685" s="831" t="s">
        <v>370</v>
      </c>
      <c r="AI5685" s="831">
        <v>0</v>
      </c>
      <c r="AJ5685" s="835">
        <v>40209</v>
      </c>
      <c r="AK5685" s="831">
        <v>308668195</v>
      </c>
    </row>
    <row r="5686" spans="2:37">
      <c r="B5686" s="834" t="str">
        <f t="shared" si="255"/>
        <v>|||</v>
      </c>
      <c r="H5686" s="835">
        <f t="shared" si="256"/>
        <v>31</v>
      </c>
      <c r="AF5686" s="831" t="s">
        <v>6343</v>
      </c>
      <c r="AG5686" s="831" t="s">
        <v>2674</v>
      </c>
      <c r="AH5686" s="831" t="s">
        <v>126</v>
      </c>
      <c r="AI5686" s="831">
        <v>0</v>
      </c>
      <c r="AJ5686" s="835">
        <v>40209</v>
      </c>
      <c r="AK5686" s="831">
        <v>55500128</v>
      </c>
    </row>
    <row r="5687" spans="2:37">
      <c r="B5687" s="834" t="str">
        <f t="shared" si="255"/>
        <v>|||</v>
      </c>
      <c r="H5687" s="835">
        <f t="shared" si="256"/>
        <v>31</v>
      </c>
      <c r="AF5687" s="831" t="s">
        <v>6344</v>
      </c>
      <c r="AG5687" s="831" t="s">
        <v>2674</v>
      </c>
      <c r="AH5687" s="831" t="s">
        <v>268</v>
      </c>
      <c r="AI5687" s="831">
        <v>0</v>
      </c>
      <c r="AJ5687" s="835">
        <v>40209</v>
      </c>
      <c r="AK5687" s="831">
        <v>2214844</v>
      </c>
    </row>
    <row r="5688" spans="2:37">
      <c r="B5688" s="834" t="str">
        <f t="shared" si="255"/>
        <v>|||</v>
      </c>
      <c r="H5688" s="835">
        <f t="shared" si="256"/>
        <v>31</v>
      </c>
      <c r="AF5688" s="831" t="s">
        <v>6345</v>
      </c>
      <c r="AG5688" s="831" t="s">
        <v>2674</v>
      </c>
      <c r="AH5688" s="831" t="s">
        <v>547</v>
      </c>
      <c r="AI5688" s="831">
        <v>0</v>
      </c>
      <c r="AJ5688" s="835">
        <v>40209</v>
      </c>
      <c r="AK5688" s="831">
        <v>308668195</v>
      </c>
    </row>
    <row r="5689" spans="2:37">
      <c r="B5689" s="834" t="str">
        <f t="shared" si="255"/>
        <v>|||</v>
      </c>
      <c r="H5689" s="835">
        <f t="shared" si="256"/>
        <v>31</v>
      </c>
      <c r="AF5689" s="831" t="s">
        <v>6346</v>
      </c>
      <c r="AG5689" s="831" t="s">
        <v>2674</v>
      </c>
      <c r="AH5689" s="831" t="s">
        <v>548</v>
      </c>
      <c r="AI5689" s="831">
        <v>0</v>
      </c>
      <c r="AJ5689" s="835">
        <v>40209</v>
      </c>
      <c r="AK5689" s="831">
        <v>55500128</v>
      </c>
    </row>
    <row r="5690" spans="2:37">
      <c r="B5690" s="834" t="str">
        <f t="shared" si="255"/>
        <v>|||</v>
      </c>
      <c r="H5690" s="835">
        <f t="shared" si="256"/>
        <v>31</v>
      </c>
      <c r="AF5690" s="831" t="s">
        <v>6347</v>
      </c>
      <c r="AG5690" s="831" t="s">
        <v>2674</v>
      </c>
      <c r="AH5690" s="831" t="s">
        <v>549</v>
      </c>
      <c r="AI5690" s="831">
        <v>0</v>
      </c>
      <c r="AJ5690" s="835">
        <v>40209</v>
      </c>
      <c r="AK5690" s="831">
        <v>0</v>
      </c>
    </row>
    <row r="5691" spans="2:37">
      <c r="B5691" s="834" t="str">
        <f t="shared" si="255"/>
        <v>|||</v>
      </c>
      <c r="H5691" s="835">
        <f t="shared" si="256"/>
        <v>31</v>
      </c>
      <c r="AF5691" s="831" t="s">
        <v>6348</v>
      </c>
      <c r="AG5691" s="831" t="s">
        <v>2674</v>
      </c>
      <c r="AH5691" s="831" t="s">
        <v>192</v>
      </c>
      <c r="AI5691" s="831">
        <v>0</v>
      </c>
      <c r="AJ5691" s="835">
        <v>40209</v>
      </c>
      <c r="AK5691" s="831">
        <v>-6772437</v>
      </c>
    </row>
    <row r="5692" spans="2:37">
      <c r="B5692" s="834" t="str">
        <f t="shared" si="255"/>
        <v>|||</v>
      </c>
      <c r="H5692" s="835">
        <f t="shared" si="256"/>
        <v>31</v>
      </c>
      <c r="AF5692" s="831" t="s">
        <v>6349</v>
      </c>
      <c r="AG5692" s="831" t="s">
        <v>2674</v>
      </c>
      <c r="AH5692" s="831" t="s">
        <v>558</v>
      </c>
      <c r="AI5692" s="831">
        <v>0</v>
      </c>
      <c r="AJ5692" s="835">
        <v>40209</v>
      </c>
      <c r="AK5692" s="831">
        <v>253168067</v>
      </c>
    </row>
    <row r="5693" spans="2:37">
      <c r="B5693" s="834" t="str">
        <f t="shared" si="255"/>
        <v>|||</v>
      </c>
      <c r="H5693" s="835">
        <f t="shared" si="256"/>
        <v>31</v>
      </c>
      <c r="AF5693" s="831" t="s">
        <v>6350</v>
      </c>
      <c r="AG5693" s="831" t="s">
        <v>2674</v>
      </c>
      <c r="AH5693" s="831" t="s">
        <v>65</v>
      </c>
      <c r="AI5693" s="831">
        <v>0</v>
      </c>
      <c r="AJ5693" s="835">
        <v>40209</v>
      </c>
      <c r="AK5693" s="831">
        <v>6918538</v>
      </c>
    </row>
    <row r="5694" spans="2:37">
      <c r="B5694" s="834" t="str">
        <f t="shared" si="255"/>
        <v>|||</v>
      </c>
      <c r="H5694" s="835">
        <f t="shared" si="256"/>
        <v>31</v>
      </c>
      <c r="AF5694" s="831" t="s">
        <v>6351</v>
      </c>
      <c r="AG5694" s="831" t="s">
        <v>2674</v>
      </c>
      <c r="AH5694" s="831" t="s">
        <v>89</v>
      </c>
      <c r="AI5694" s="831">
        <v>0</v>
      </c>
      <c r="AJ5694" s="835">
        <v>40209</v>
      </c>
      <c r="AK5694" s="831">
        <v>100077</v>
      </c>
    </row>
    <row r="5695" spans="2:37">
      <c r="B5695" s="834" t="str">
        <f t="shared" si="255"/>
        <v>|||</v>
      </c>
      <c r="H5695" s="835">
        <f t="shared" si="256"/>
        <v>31</v>
      </c>
      <c r="AF5695" s="831" t="s">
        <v>6352</v>
      </c>
      <c r="AG5695" s="831" t="s">
        <v>2674</v>
      </c>
      <c r="AH5695" s="831" t="s">
        <v>557</v>
      </c>
      <c r="AI5695" s="831">
        <v>0</v>
      </c>
      <c r="AJ5695" s="835">
        <v>40209</v>
      </c>
      <c r="AK5695" s="831">
        <v>102704</v>
      </c>
    </row>
    <row r="5696" spans="2:37">
      <c r="B5696" s="834" t="str">
        <f t="shared" si="255"/>
        <v>|||</v>
      </c>
      <c r="H5696" s="835">
        <f t="shared" si="256"/>
        <v>31</v>
      </c>
      <c r="AF5696" s="831" t="s">
        <v>6353</v>
      </c>
      <c r="AG5696" s="831" t="s">
        <v>2674</v>
      </c>
      <c r="AH5696" s="831" t="s">
        <v>29</v>
      </c>
      <c r="AI5696" s="831">
        <v>0</v>
      </c>
      <c r="AJ5696" s="835">
        <v>40209</v>
      </c>
      <c r="AK5696" s="831">
        <v>2093880</v>
      </c>
    </row>
    <row r="5697" spans="2:37">
      <c r="B5697" s="834" t="str">
        <f t="shared" si="255"/>
        <v>|||</v>
      </c>
      <c r="H5697" s="835">
        <f t="shared" si="256"/>
        <v>31</v>
      </c>
      <c r="AF5697" s="831" t="s">
        <v>6354</v>
      </c>
      <c r="AG5697" s="831" t="s">
        <v>2674</v>
      </c>
      <c r="AH5697" s="831" t="s">
        <v>2688</v>
      </c>
      <c r="AI5697" s="831">
        <v>0</v>
      </c>
      <c r="AJ5697" s="835">
        <v>40209</v>
      </c>
      <c r="AK5697" s="831">
        <v>940092</v>
      </c>
    </row>
    <row r="5698" spans="2:37">
      <c r="B5698" s="834" t="str">
        <f t="shared" si="255"/>
        <v>|||</v>
      </c>
      <c r="H5698" s="835">
        <f t="shared" si="256"/>
        <v>31</v>
      </c>
      <c r="AF5698" s="831" t="s">
        <v>6355</v>
      </c>
      <c r="AG5698" s="831" t="s">
        <v>2674</v>
      </c>
      <c r="AH5698" s="831" t="s">
        <v>556</v>
      </c>
      <c r="AI5698" s="831">
        <v>0</v>
      </c>
      <c r="AJ5698" s="835">
        <v>40209</v>
      </c>
      <c r="AK5698" s="831">
        <v>1253626.9946000001</v>
      </c>
    </row>
    <row r="5699" spans="2:37">
      <c r="B5699" s="834" t="str">
        <f t="shared" ref="B5699:B5762" si="257">C5699&amp;"|"&amp;D5699&amp;"|"&amp;E5699&amp;"|"&amp;F5699</f>
        <v>|||</v>
      </c>
      <c r="H5699" s="835">
        <f t="shared" si="256"/>
        <v>31</v>
      </c>
      <c r="AF5699" s="831" t="s">
        <v>6356</v>
      </c>
      <c r="AG5699" s="831" t="s">
        <v>2674</v>
      </c>
      <c r="AH5699" s="831" t="s">
        <v>555</v>
      </c>
      <c r="AI5699" s="831">
        <v>0</v>
      </c>
      <c r="AJ5699" s="835">
        <v>40209</v>
      </c>
      <c r="AK5699" s="831">
        <v>203888372</v>
      </c>
    </row>
    <row r="5700" spans="2:37">
      <c r="B5700" s="834" t="str">
        <f t="shared" si="257"/>
        <v>|||</v>
      </c>
      <c r="H5700" s="835">
        <f t="shared" ref="H5700:H5763" si="258">EOMONTH(L5700,0)</f>
        <v>31</v>
      </c>
      <c r="AF5700" s="831" t="s">
        <v>6357</v>
      </c>
      <c r="AG5700" s="831" t="s">
        <v>2674</v>
      </c>
      <c r="AH5700" s="831" t="s">
        <v>554</v>
      </c>
      <c r="AI5700" s="831">
        <v>0</v>
      </c>
      <c r="AJ5700" s="835">
        <v>40209</v>
      </c>
      <c r="AK5700" s="831">
        <v>189414850</v>
      </c>
    </row>
    <row r="5701" spans="2:37">
      <c r="B5701" s="834" t="str">
        <f t="shared" si="257"/>
        <v>|||</v>
      </c>
      <c r="H5701" s="835">
        <f t="shared" si="258"/>
        <v>31</v>
      </c>
      <c r="AF5701" s="831" t="s">
        <v>6358</v>
      </c>
      <c r="AG5701" s="831" t="s">
        <v>2674</v>
      </c>
      <c r="AH5701" s="831" t="s">
        <v>553</v>
      </c>
      <c r="AI5701" s="831">
        <v>0</v>
      </c>
      <c r="AJ5701" s="835">
        <v>40209</v>
      </c>
      <c r="AK5701" s="831">
        <v>0</v>
      </c>
    </row>
    <row r="5702" spans="2:37">
      <c r="B5702" s="834" t="str">
        <f t="shared" si="257"/>
        <v>|||</v>
      </c>
      <c r="H5702" s="835">
        <f t="shared" si="258"/>
        <v>31</v>
      </c>
      <c r="AF5702" s="831" t="s">
        <v>6359</v>
      </c>
      <c r="AG5702" s="831" t="s">
        <v>2674</v>
      </c>
      <c r="AH5702" s="831" t="s">
        <v>552</v>
      </c>
      <c r="AI5702" s="831">
        <v>0</v>
      </c>
      <c r="AJ5702" s="835">
        <v>40209</v>
      </c>
      <c r="AK5702" s="831">
        <v>0</v>
      </c>
    </row>
    <row r="5703" spans="2:37">
      <c r="B5703" s="834" t="str">
        <f t="shared" si="257"/>
        <v>|||</v>
      </c>
      <c r="H5703" s="835">
        <f t="shared" si="258"/>
        <v>31</v>
      </c>
      <c r="AF5703" s="831" t="s">
        <v>6360</v>
      </c>
      <c r="AG5703" s="831" t="s">
        <v>2674</v>
      </c>
      <c r="AH5703" s="831" t="s">
        <v>551</v>
      </c>
      <c r="AI5703" s="831">
        <v>0</v>
      </c>
      <c r="AJ5703" s="835">
        <v>40209</v>
      </c>
      <c r="AK5703" s="831">
        <v>1955870</v>
      </c>
    </row>
    <row r="5704" spans="2:37">
      <c r="B5704" s="834" t="str">
        <f t="shared" si="257"/>
        <v>|||</v>
      </c>
      <c r="H5704" s="835">
        <f t="shared" si="258"/>
        <v>31</v>
      </c>
      <c r="AF5704" s="831" t="s">
        <v>6361</v>
      </c>
      <c r="AG5704" s="831" t="s">
        <v>2674</v>
      </c>
      <c r="AH5704" s="831" t="s">
        <v>550</v>
      </c>
      <c r="AI5704" s="831">
        <v>0</v>
      </c>
      <c r="AJ5704" s="835">
        <v>40209</v>
      </c>
      <c r="AK5704" s="831">
        <v>0</v>
      </c>
    </row>
    <row r="5705" spans="2:37">
      <c r="B5705" s="834" t="str">
        <f t="shared" si="257"/>
        <v>|||</v>
      </c>
      <c r="H5705" s="835">
        <f t="shared" si="258"/>
        <v>31</v>
      </c>
      <c r="AF5705" s="831" t="s">
        <v>6362</v>
      </c>
      <c r="AG5705" s="831" t="s">
        <v>2674</v>
      </c>
      <c r="AH5705" s="831" t="s">
        <v>562</v>
      </c>
      <c r="AI5705" s="831">
        <v>0</v>
      </c>
      <c r="AJ5705" s="835">
        <v>40209</v>
      </c>
      <c r="AK5705" s="831">
        <v>0.81</v>
      </c>
    </row>
    <row r="5706" spans="2:37">
      <c r="B5706" s="834" t="str">
        <f t="shared" si="257"/>
        <v>|||</v>
      </c>
      <c r="H5706" s="835">
        <f t="shared" si="258"/>
        <v>31</v>
      </c>
      <c r="AF5706" s="831" t="s">
        <v>6363</v>
      </c>
      <c r="AG5706" s="831" t="s">
        <v>2674</v>
      </c>
      <c r="AH5706" s="831" t="s">
        <v>2698</v>
      </c>
      <c r="AI5706" s="831">
        <v>0</v>
      </c>
      <c r="AJ5706" s="835">
        <v>40209</v>
      </c>
      <c r="AK5706" s="831">
        <v>0.8</v>
      </c>
    </row>
    <row r="5707" spans="2:37">
      <c r="B5707" s="834" t="str">
        <f t="shared" si="257"/>
        <v>|||</v>
      </c>
      <c r="H5707" s="835">
        <f t="shared" si="258"/>
        <v>31</v>
      </c>
      <c r="AF5707" s="831" t="s">
        <v>6364</v>
      </c>
      <c r="AG5707" s="831" t="s">
        <v>2674</v>
      </c>
      <c r="AH5707" s="831" t="s">
        <v>560</v>
      </c>
      <c r="AI5707" s="831">
        <v>0</v>
      </c>
      <c r="AJ5707" s="835">
        <v>40209</v>
      </c>
      <c r="AK5707" s="831">
        <v>0.81</v>
      </c>
    </row>
    <row r="5708" spans="2:37">
      <c r="B5708" s="834" t="str">
        <f t="shared" si="257"/>
        <v>|||</v>
      </c>
      <c r="H5708" s="835">
        <f t="shared" si="258"/>
        <v>31</v>
      </c>
      <c r="AF5708" s="831" t="s">
        <v>6365</v>
      </c>
      <c r="AG5708" s="831" t="s">
        <v>2674</v>
      </c>
      <c r="AH5708" s="831" t="s">
        <v>559</v>
      </c>
      <c r="AI5708" s="831">
        <v>0</v>
      </c>
      <c r="AJ5708" s="835">
        <v>40209</v>
      </c>
      <c r="AK5708" s="831">
        <v>0.80249999999999999</v>
      </c>
    </row>
    <row r="5709" spans="2:37">
      <c r="B5709" s="834" t="str">
        <f t="shared" si="257"/>
        <v>|||</v>
      </c>
      <c r="H5709" s="835">
        <f t="shared" si="258"/>
        <v>31</v>
      </c>
      <c r="AF5709" s="831" t="s">
        <v>6366</v>
      </c>
      <c r="AG5709" s="831" t="s">
        <v>2674</v>
      </c>
      <c r="AH5709" s="831" t="s">
        <v>568</v>
      </c>
      <c r="AI5709" s="831">
        <v>0</v>
      </c>
      <c r="AJ5709" s="835">
        <v>40209</v>
      </c>
      <c r="AK5709" s="831">
        <v>0</v>
      </c>
    </row>
    <row r="5710" spans="2:37">
      <c r="B5710" s="834" t="str">
        <f t="shared" si="257"/>
        <v>|||</v>
      </c>
      <c r="H5710" s="835">
        <f t="shared" si="258"/>
        <v>31</v>
      </c>
      <c r="AF5710" s="831" t="s">
        <v>6367</v>
      </c>
      <c r="AG5710" s="831" t="s">
        <v>2674</v>
      </c>
      <c r="AH5710" s="831" t="s">
        <v>569</v>
      </c>
      <c r="AI5710" s="831">
        <v>0</v>
      </c>
      <c r="AJ5710" s="835">
        <v>40209</v>
      </c>
      <c r="AK5710" s="831">
        <v>0</v>
      </c>
    </row>
    <row r="5711" spans="2:37">
      <c r="B5711" s="834" t="str">
        <f t="shared" si="257"/>
        <v>|||</v>
      </c>
      <c r="H5711" s="835">
        <f t="shared" si="258"/>
        <v>31</v>
      </c>
      <c r="AF5711" s="831" t="s">
        <v>6368</v>
      </c>
      <c r="AG5711" s="831" t="s">
        <v>2674</v>
      </c>
      <c r="AH5711" s="831" t="s">
        <v>570</v>
      </c>
      <c r="AI5711" s="831">
        <v>0</v>
      </c>
      <c r="AJ5711" s="835">
        <v>40209</v>
      </c>
      <c r="AK5711" s="831">
        <v>0</v>
      </c>
    </row>
    <row r="5712" spans="2:37">
      <c r="B5712" s="834" t="str">
        <f t="shared" si="257"/>
        <v>|||</v>
      </c>
      <c r="H5712" s="835">
        <f t="shared" si="258"/>
        <v>31</v>
      </c>
      <c r="AF5712" s="831" t="s">
        <v>6369</v>
      </c>
      <c r="AG5712" s="831" t="s">
        <v>2674</v>
      </c>
      <c r="AH5712" s="831" t="s">
        <v>571</v>
      </c>
      <c r="AI5712" s="831">
        <v>0</v>
      </c>
      <c r="AJ5712" s="835">
        <v>40209</v>
      </c>
      <c r="AK5712" s="831">
        <v>0</v>
      </c>
    </row>
    <row r="5713" spans="2:37">
      <c r="B5713" s="834" t="str">
        <f t="shared" si="257"/>
        <v>|||</v>
      </c>
      <c r="H5713" s="835">
        <f t="shared" si="258"/>
        <v>31</v>
      </c>
      <c r="AF5713" s="831" t="s">
        <v>6370</v>
      </c>
      <c r="AG5713" s="831" t="s">
        <v>2674</v>
      </c>
      <c r="AH5713" s="831" t="s">
        <v>573</v>
      </c>
      <c r="AI5713" s="831">
        <v>0</v>
      </c>
      <c r="AJ5713" s="835">
        <v>40209</v>
      </c>
      <c r="AK5713" s="831">
        <v>0</v>
      </c>
    </row>
    <row r="5714" spans="2:37">
      <c r="B5714" s="834" t="str">
        <f t="shared" si="257"/>
        <v>|||</v>
      </c>
      <c r="H5714" s="835">
        <f t="shared" si="258"/>
        <v>31</v>
      </c>
      <c r="AF5714" s="831" t="s">
        <v>6371</v>
      </c>
      <c r="AG5714" s="831" t="s">
        <v>2674</v>
      </c>
      <c r="AH5714" s="831" t="s">
        <v>574</v>
      </c>
      <c r="AI5714" s="831">
        <v>0</v>
      </c>
      <c r="AJ5714" s="835">
        <v>40209</v>
      </c>
      <c r="AK5714" s="831">
        <v>0</v>
      </c>
    </row>
    <row r="5715" spans="2:37">
      <c r="B5715" s="834" t="str">
        <f t="shared" si="257"/>
        <v>|||</v>
      </c>
      <c r="H5715" s="835">
        <f t="shared" si="258"/>
        <v>31</v>
      </c>
      <c r="AF5715" s="831" t="s">
        <v>6372</v>
      </c>
      <c r="AG5715" s="831" t="s">
        <v>2674</v>
      </c>
      <c r="AH5715" s="831" t="s">
        <v>575</v>
      </c>
      <c r="AI5715" s="831">
        <v>0</v>
      </c>
      <c r="AJ5715" s="835">
        <v>40209</v>
      </c>
      <c r="AK5715" s="831">
        <v>0</v>
      </c>
    </row>
    <row r="5716" spans="2:37">
      <c r="B5716" s="834" t="str">
        <f t="shared" si="257"/>
        <v>|||</v>
      </c>
      <c r="H5716" s="835">
        <f t="shared" si="258"/>
        <v>31</v>
      </c>
      <c r="AF5716" s="831" t="s">
        <v>6373</v>
      </c>
      <c r="AG5716" s="831" t="s">
        <v>2674</v>
      </c>
      <c r="AH5716" s="831" t="s">
        <v>576</v>
      </c>
      <c r="AI5716" s="831">
        <v>0</v>
      </c>
      <c r="AJ5716" s="835">
        <v>40209</v>
      </c>
      <c r="AK5716" s="831">
        <v>0</v>
      </c>
    </row>
    <row r="5717" spans="2:37">
      <c r="B5717" s="834" t="str">
        <f t="shared" si="257"/>
        <v>|||</v>
      </c>
      <c r="H5717" s="835">
        <f t="shared" si="258"/>
        <v>31</v>
      </c>
      <c r="AF5717" s="831" t="s">
        <v>6374</v>
      </c>
      <c r="AG5717" s="831" t="s">
        <v>2674</v>
      </c>
      <c r="AH5717" s="831" t="s">
        <v>572</v>
      </c>
      <c r="AI5717" s="831">
        <v>0</v>
      </c>
      <c r="AJ5717" s="835">
        <v>40209</v>
      </c>
      <c r="AK5717" s="831">
        <v>0</v>
      </c>
    </row>
    <row r="5718" spans="2:37">
      <c r="B5718" s="834" t="str">
        <f t="shared" si="257"/>
        <v>|||</v>
      </c>
      <c r="H5718" s="835">
        <f t="shared" si="258"/>
        <v>31</v>
      </c>
      <c r="AF5718" s="831" t="s">
        <v>6375</v>
      </c>
      <c r="AG5718" s="831" t="s">
        <v>2674</v>
      </c>
      <c r="AH5718" s="831" t="s">
        <v>577</v>
      </c>
      <c r="AI5718" s="831">
        <v>0</v>
      </c>
      <c r="AJ5718" s="835">
        <v>40209</v>
      </c>
      <c r="AK5718" s="831">
        <v>0</v>
      </c>
    </row>
    <row r="5719" spans="2:37">
      <c r="B5719" s="834" t="str">
        <f t="shared" si="257"/>
        <v>|||</v>
      </c>
      <c r="H5719" s="835">
        <f t="shared" si="258"/>
        <v>31</v>
      </c>
      <c r="AF5719" s="831" t="s">
        <v>6376</v>
      </c>
      <c r="AG5719" s="831" t="s">
        <v>2674</v>
      </c>
      <c r="AH5719" s="831" t="s">
        <v>3042</v>
      </c>
      <c r="AI5719" s="831">
        <v>0</v>
      </c>
      <c r="AJ5719" s="835">
        <v>40209</v>
      </c>
      <c r="AK5719" s="831">
        <v>0</v>
      </c>
    </row>
    <row r="5720" spans="2:37">
      <c r="B5720" s="834" t="str">
        <f t="shared" si="257"/>
        <v>|||</v>
      </c>
      <c r="H5720" s="835">
        <f t="shared" si="258"/>
        <v>31</v>
      </c>
      <c r="AF5720" s="831" t="s">
        <v>6377</v>
      </c>
      <c r="AG5720" s="831" t="s">
        <v>2674</v>
      </c>
      <c r="AH5720" s="831" t="s">
        <v>3044</v>
      </c>
      <c r="AI5720" s="831">
        <v>0</v>
      </c>
      <c r="AJ5720" s="835">
        <v>40209</v>
      </c>
      <c r="AK5720" s="831">
        <v>0</v>
      </c>
    </row>
    <row r="5721" spans="2:37">
      <c r="B5721" s="834" t="str">
        <f t="shared" si="257"/>
        <v>|||</v>
      </c>
      <c r="H5721" s="835">
        <f t="shared" si="258"/>
        <v>31</v>
      </c>
      <c r="AF5721" s="831" t="s">
        <v>6378</v>
      </c>
      <c r="AG5721" s="831" t="s">
        <v>2674</v>
      </c>
      <c r="AH5721" s="831" t="s">
        <v>580</v>
      </c>
      <c r="AI5721" s="831">
        <v>0</v>
      </c>
      <c r="AJ5721" s="835">
        <v>40209</v>
      </c>
      <c r="AK5721" s="831">
        <v>0</v>
      </c>
    </row>
    <row r="5722" spans="2:37">
      <c r="B5722" s="834" t="str">
        <f t="shared" si="257"/>
        <v>|||</v>
      </c>
      <c r="H5722" s="835">
        <f t="shared" si="258"/>
        <v>31</v>
      </c>
      <c r="AF5722" s="831" t="s">
        <v>6379</v>
      </c>
      <c r="AG5722" s="831" t="s">
        <v>2674</v>
      </c>
      <c r="AH5722" s="831" t="s">
        <v>581</v>
      </c>
      <c r="AI5722" s="831">
        <v>0</v>
      </c>
      <c r="AJ5722" s="835">
        <v>40209</v>
      </c>
      <c r="AK5722" s="831">
        <v>0</v>
      </c>
    </row>
    <row r="5723" spans="2:37">
      <c r="B5723" s="834" t="str">
        <f t="shared" si="257"/>
        <v>|||</v>
      </c>
      <c r="H5723" s="835">
        <f t="shared" si="258"/>
        <v>31</v>
      </c>
      <c r="AF5723" s="831" t="s">
        <v>6380</v>
      </c>
      <c r="AG5723" s="831" t="s">
        <v>2674</v>
      </c>
      <c r="AH5723" s="831" t="s">
        <v>105</v>
      </c>
      <c r="AI5723" s="831">
        <v>0</v>
      </c>
      <c r="AJ5723" s="835">
        <v>40209</v>
      </c>
      <c r="AK5723" s="831">
        <v>173743985</v>
      </c>
    </row>
    <row r="5724" spans="2:37">
      <c r="B5724" s="834" t="str">
        <f t="shared" si="257"/>
        <v>|||</v>
      </c>
      <c r="H5724" s="835">
        <f t="shared" si="258"/>
        <v>31</v>
      </c>
      <c r="AF5724" s="831" t="s">
        <v>6381</v>
      </c>
      <c r="AG5724" s="831" t="s">
        <v>2674</v>
      </c>
      <c r="AH5724" s="831" t="s">
        <v>3049</v>
      </c>
      <c r="AI5724" s="831">
        <v>0</v>
      </c>
      <c r="AJ5724" s="835">
        <v>40209</v>
      </c>
      <c r="AK5724" s="831">
        <v>245445889</v>
      </c>
    </row>
    <row r="5725" spans="2:37">
      <c r="B5725" s="834" t="str">
        <f t="shared" si="257"/>
        <v>|||</v>
      </c>
      <c r="H5725" s="835">
        <f t="shared" si="258"/>
        <v>31</v>
      </c>
      <c r="AF5725" s="831" t="s">
        <v>6382</v>
      </c>
      <c r="AG5725" s="831" t="s">
        <v>2674</v>
      </c>
      <c r="AH5725" s="831" t="s">
        <v>103</v>
      </c>
      <c r="AI5725" s="831">
        <v>0</v>
      </c>
      <c r="AJ5725" s="835">
        <v>40209</v>
      </c>
      <c r="AK5725" s="831">
        <v>71701904</v>
      </c>
    </row>
    <row r="5726" spans="2:37">
      <c r="B5726" s="834" t="str">
        <f t="shared" si="257"/>
        <v>|||</v>
      </c>
      <c r="H5726" s="835">
        <f t="shared" si="258"/>
        <v>31</v>
      </c>
      <c r="AF5726" s="831" t="s">
        <v>6383</v>
      </c>
      <c r="AG5726" s="831" t="s">
        <v>2674</v>
      </c>
      <c r="AH5726" s="831" t="s">
        <v>182</v>
      </c>
      <c r="AI5726" s="831">
        <v>0</v>
      </c>
      <c r="AJ5726" s="835">
        <v>40209</v>
      </c>
      <c r="AK5726" s="831">
        <v>30518796</v>
      </c>
    </row>
    <row r="5727" spans="2:37">
      <c r="B5727" s="834" t="str">
        <f t="shared" si="257"/>
        <v>|||</v>
      </c>
      <c r="H5727" s="835">
        <f t="shared" si="258"/>
        <v>31</v>
      </c>
      <c r="AF5727" s="831" t="s">
        <v>6384</v>
      </c>
      <c r="AG5727" s="831" t="s">
        <v>2674</v>
      </c>
      <c r="AH5727" s="831" t="s">
        <v>546</v>
      </c>
      <c r="AI5727" s="831">
        <v>0</v>
      </c>
      <c r="AJ5727" s="835">
        <v>40237</v>
      </c>
      <c r="AK5727" s="831">
        <v>246413288</v>
      </c>
    </row>
    <row r="5728" spans="2:37">
      <c r="B5728" s="834" t="str">
        <f t="shared" si="257"/>
        <v>|||</v>
      </c>
      <c r="H5728" s="835">
        <f t="shared" si="258"/>
        <v>31</v>
      </c>
      <c r="AF5728" s="831" t="s">
        <v>6385</v>
      </c>
      <c r="AG5728" s="831" t="s">
        <v>2674</v>
      </c>
      <c r="AH5728" s="831" t="s">
        <v>370</v>
      </c>
      <c r="AI5728" s="831">
        <v>0</v>
      </c>
      <c r="AJ5728" s="835">
        <v>40237</v>
      </c>
      <c r="AK5728" s="831">
        <v>309441337</v>
      </c>
    </row>
    <row r="5729" spans="2:37">
      <c r="B5729" s="834" t="str">
        <f t="shared" si="257"/>
        <v>|||</v>
      </c>
      <c r="H5729" s="835">
        <f t="shared" si="258"/>
        <v>31</v>
      </c>
      <c r="AF5729" s="831" t="s">
        <v>6386</v>
      </c>
      <c r="AG5729" s="831" t="s">
        <v>2674</v>
      </c>
      <c r="AH5729" s="831" t="s">
        <v>126</v>
      </c>
      <c r="AI5729" s="831">
        <v>0</v>
      </c>
      <c r="AJ5729" s="835">
        <v>40237</v>
      </c>
      <c r="AK5729" s="831">
        <v>57694828</v>
      </c>
    </row>
    <row r="5730" spans="2:37">
      <c r="B5730" s="834" t="str">
        <f t="shared" si="257"/>
        <v>|||</v>
      </c>
      <c r="H5730" s="835">
        <f t="shared" si="258"/>
        <v>31</v>
      </c>
      <c r="AF5730" s="831" t="s">
        <v>6387</v>
      </c>
      <c r="AG5730" s="831" t="s">
        <v>2674</v>
      </c>
      <c r="AH5730" s="831" t="s">
        <v>268</v>
      </c>
      <c r="AI5730" s="831">
        <v>0</v>
      </c>
      <c r="AJ5730" s="835">
        <v>40237</v>
      </c>
      <c r="AK5730" s="831">
        <v>4409545</v>
      </c>
    </row>
    <row r="5731" spans="2:37">
      <c r="B5731" s="834" t="str">
        <f t="shared" si="257"/>
        <v>|||</v>
      </c>
      <c r="H5731" s="835">
        <f t="shared" si="258"/>
        <v>31</v>
      </c>
      <c r="AF5731" s="831" t="s">
        <v>6388</v>
      </c>
      <c r="AG5731" s="831" t="s">
        <v>2674</v>
      </c>
      <c r="AH5731" s="831" t="s">
        <v>547</v>
      </c>
      <c r="AI5731" s="831">
        <v>0</v>
      </c>
      <c r="AJ5731" s="835">
        <v>40237</v>
      </c>
      <c r="AK5731" s="831">
        <v>308668195</v>
      </c>
    </row>
    <row r="5732" spans="2:37">
      <c r="B5732" s="834" t="str">
        <f t="shared" si="257"/>
        <v>|||</v>
      </c>
      <c r="H5732" s="835">
        <f t="shared" si="258"/>
        <v>31</v>
      </c>
      <c r="AF5732" s="831" t="s">
        <v>6389</v>
      </c>
      <c r="AG5732" s="831" t="s">
        <v>2674</v>
      </c>
      <c r="AH5732" s="831" t="s">
        <v>548</v>
      </c>
      <c r="AI5732" s="831">
        <v>0</v>
      </c>
      <c r="AJ5732" s="835">
        <v>40237</v>
      </c>
      <c r="AK5732" s="831">
        <v>55500128</v>
      </c>
    </row>
    <row r="5733" spans="2:37">
      <c r="B5733" s="834" t="str">
        <f t="shared" si="257"/>
        <v>|||</v>
      </c>
      <c r="H5733" s="835">
        <f t="shared" si="258"/>
        <v>31</v>
      </c>
      <c r="AF5733" s="831" t="s">
        <v>6390</v>
      </c>
      <c r="AG5733" s="831" t="s">
        <v>2674</v>
      </c>
      <c r="AH5733" s="831" t="s">
        <v>549</v>
      </c>
      <c r="AI5733" s="831">
        <v>0</v>
      </c>
      <c r="AJ5733" s="835">
        <v>40237</v>
      </c>
      <c r="AK5733" s="831">
        <v>0</v>
      </c>
    </row>
    <row r="5734" spans="2:37">
      <c r="B5734" s="834" t="str">
        <f t="shared" si="257"/>
        <v>|||</v>
      </c>
      <c r="H5734" s="835">
        <f t="shared" si="258"/>
        <v>31</v>
      </c>
      <c r="AF5734" s="831" t="s">
        <v>6391</v>
      </c>
      <c r="AG5734" s="831" t="s">
        <v>2674</v>
      </c>
      <c r="AH5734" s="831" t="s">
        <v>192</v>
      </c>
      <c r="AI5734" s="831">
        <v>0</v>
      </c>
      <c r="AJ5734" s="835">
        <v>40237</v>
      </c>
      <c r="AK5734" s="831">
        <v>-6836128</v>
      </c>
    </row>
    <row r="5735" spans="2:37">
      <c r="B5735" s="834" t="str">
        <f t="shared" si="257"/>
        <v>|||</v>
      </c>
      <c r="H5735" s="835">
        <f t="shared" si="258"/>
        <v>31</v>
      </c>
      <c r="AF5735" s="831" t="s">
        <v>6392</v>
      </c>
      <c r="AG5735" s="831" t="s">
        <v>2674</v>
      </c>
      <c r="AH5735" s="831" t="s">
        <v>558</v>
      </c>
      <c r="AI5735" s="831">
        <v>0</v>
      </c>
      <c r="AJ5735" s="835">
        <v>40237</v>
      </c>
      <c r="AK5735" s="831">
        <v>251746509</v>
      </c>
    </row>
    <row r="5736" spans="2:37">
      <c r="B5736" s="834" t="str">
        <f t="shared" si="257"/>
        <v>|||</v>
      </c>
      <c r="H5736" s="835">
        <f t="shared" si="258"/>
        <v>31</v>
      </c>
      <c r="AF5736" s="831" t="s">
        <v>6393</v>
      </c>
      <c r="AG5736" s="831" t="s">
        <v>2674</v>
      </c>
      <c r="AH5736" s="831" t="s">
        <v>65</v>
      </c>
      <c r="AI5736" s="831">
        <v>0</v>
      </c>
      <c r="AJ5736" s="835">
        <v>40237</v>
      </c>
      <c r="AK5736" s="831">
        <v>13411122</v>
      </c>
    </row>
    <row r="5737" spans="2:37">
      <c r="B5737" s="834" t="str">
        <f t="shared" si="257"/>
        <v>|||</v>
      </c>
      <c r="H5737" s="835">
        <f t="shared" si="258"/>
        <v>31</v>
      </c>
      <c r="AF5737" s="831" t="s">
        <v>6394</v>
      </c>
      <c r="AG5737" s="831" t="s">
        <v>2674</v>
      </c>
      <c r="AH5737" s="831" t="s">
        <v>89</v>
      </c>
      <c r="AI5737" s="831">
        <v>0</v>
      </c>
      <c r="AJ5737" s="835">
        <v>40237</v>
      </c>
      <c r="AK5737" s="831">
        <v>102476</v>
      </c>
    </row>
    <row r="5738" spans="2:37">
      <c r="B5738" s="834" t="str">
        <f t="shared" si="257"/>
        <v>|||</v>
      </c>
      <c r="H5738" s="835">
        <f t="shared" si="258"/>
        <v>31</v>
      </c>
      <c r="AF5738" s="831" t="s">
        <v>6395</v>
      </c>
      <c r="AG5738" s="831" t="s">
        <v>2674</v>
      </c>
      <c r="AH5738" s="831" t="s">
        <v>557</v>
      </c>
      <c r="AI5738" s="831">
        <v>0</v>
      </c>
      <c r="AJ5738" s="835">
        <v>40237</v>
      </c>
      <c r="AK5738" s="831">
        <v>105083</v>
      </c>
    </row>
    <row r="5739" spans="2:37">
      <c r="B5739" s="834" t="str">
        <f t="shared" si="257"/>
        <v>|||</v>
      </c>
      <c r="H5739" s="835">
        <f t="shared" si="258"/>
        <v>31</v>
      </c>
      <c r="AF5739" s="831" t="s">
        <v>6396</v>
      </c>
      <c r="AG5739" s="831" t="s">
        <v>2674</v>
      </c>
      <c r="AH5739" s="831" t="s">
        <v>29</v>
      </c>
      <c r="AI5739" s="831">
        <v>0</v>
      </c>
      <c r="AJ5739" s="835">
        <v>40237</v>
      </c>
      <c r="AK5739" s="831">
        <v>2307660</v>
      </c>
    </row>
    <row r="5740" spans="2:37">
      <c r="B5740" s="834" t="str">
        <f t="shared" si="257"/>
        <v>|||</v>
      </c>
      <c r="H5740" s="835">
        <f t="shared" si="258"/>
        <v>31</v>
      </c>
      <c r="AF5740" s="831" t="s">
        <v>6397</v>
      </c>
      <c r="AG5740" s="831" t="s">
        <v>2674</v>
      </c>
      <c r="AH5740" s="831" t="s">
        <v>2688</v>
      </c>
      <c r="AI5740" s="831">
        <v>0</v>
      </c>
      <c r="AJ5740" s="835">
        <v>40237</v>
      </c>
      <c r="AK5740" s="831">
        <v>916328</v>
      </c>
    </row>
    <row r="5741" spans="2:37">
      <c r="B5741" s="834" t="str">
        <f t="shared" si="257"/>
        <v>|||</v>
      </c>
      <c r="H5741" s="835">
        <f t="shared" si="258"/>
        <v>31</v>
      </c>
      <c r="AF5741" s="831" t="s">
        <v>6398</v>
      </c>
      <c r="AG5741" s="831" t="s">
        <v>2674</v>
      </c>
      <c r="AH5741" s="831" t="s">
        <v>556</v>
      </c>
      <c r="AI5741" s="831">
        <v>0</v>
      </c>
      <c r="AJ5741" s="835">
        <v>40237</v>
      </c>
      <c r="AK5741" s="831">
        <v>1253626.9946000001</v>
      </c>
    </row>
    <row r="5742" spans="2:37">
      <c r="B5742" s="834" t="str">
        <f t="shared" si="257"/>
        <v>|||</v>
      </c>
      <c r="H5742" s="835">
        <f t="shared" si="258"/>
        <v>31</v>
      </c>
      <c r="AF5742" s="831" t="s">
        <v>6399</v>
      </c>
      <c r="AG5742" s="831" t="s">
        <v>2674</v>
      </c>
      <c r="AH5742" s="831" t="s">
        <v>555</v>
      </c>
      <c r="AI5742" s="831">
        <v>0</v>
      </c>
      <c r="AJ5742" s="835">
        <v>40237</v>
      </c>
      <c r="AK5742" s="831">
        <v>203797952</v>
      </c>
    </row>
    <row r="5743" spans="2:37">
      <c r="B5743" s="834" t="str">
        <f t="shared" si="257"/>
        <v>|||</v>
      </c>
      <c r="H5743" s="835">
        <f t="shared" si="258"/>
        <v>31</v>
      </c>
      <c r="AF5743" s="831" t="s">
        <v>6400</v>
      </c>
      <c r="AG5743" s="831" t="s">
        <v>2674</v>
      </c>
      <c r="AH5743" s="831" t="s">
        <v>554</v>
      </c>
      <c r="AI5743" s="831">
        <v>0</v>
      </c>
      <c r="AJ5743" s="835">
        <v>40237</v>
      </c>
      <c r="AK5743" s="831">
        <v>187832970</v>
      </c>
    </row>
    <row r="5744" spans="2:37">
      <c r="B5744" s="834" t="str">
        <f t="shared" si="257"/>
        <v>|||</v>
      </c>
      <c r="H5744" s="835">
        <f t="shared" si="258"/>
        <v>31</v>
      </c>
      <c r="AF5744" s="831" t="s">
        <v>6401</v>
      </c>
      <c r="AG5744" s="831" t="s">
        <v>2674</v>
      </c>
      <c r="AH5744" s="831" t="s">
        <v>553</v>
      </c>
      <c r="AI5744" s="831">
        <v>0</v>
      </c>
      <c r="AJ5744" s="835">
        <v>40237</v>
      </c>
      <c r="AK5744" s="831">
        <v>0</v>
      </c>
    </row>
    <row r="5745" spans="2:37">
      <c r="B5745" s="834" t="str">
        <f t="shared" si="257"/>
        <v>|||</v>
      </c>
      <c r="H5745" s="835">
        <f t="shared" si="258"/>
        <v>31</v>
      </c>
      <c r="AF5745" s="831" t="s">
        <v>6402</v>
      </c>
      <c r="AG5745" s="831" t="s">
        <v>2674</v>
      </c>
      <c r="AH5745" s="831" t="s">
        <v>552</v>
      </c>
      <c r="AI5745" s="831">
        <v>0</v>
      </c>
      <c r="AJ5745" s="835">
        <v>40237</v>
      </c>
      <c r="AK5745" s="831">
        <v>0</v>
      </c>
    </row>
    <row r="5746" spans="2:37">
      <c r="B5746" s="834" t="str">
        <f t="shared" si="257"/>
        <v>|||</v>
      </c>
      <c r="H5746" s="835">
        <f t="shared" si="258"/>
        <v>31</v>
      </c>
      <c r="AF5746" s="831" t="s">
        <v>6403</v>
      </c>
      <c r="AG5746" s="831" t="s">
        <v>2674</v>
      </c>
      <c r="AH5746" s="831" t="s">
        <v>551</v>
      </c>
      <c r="AI5746" s="831">
        <v>0</v>
      </c>
      <c r="AJ5746" s="835">
        <v>40237</v>
      </c>
      <c r="AK5746" s="831">
        <v>1953583</v>
      </c>
    </row>
    <row r="5747" spans="2:37">
      <c r="B5747" s="834" t="str">
        <f t="shared" si="257"/>
        <v>|||</v>
      </c>
      <c r="H5747" s="835">
        <f t="shared" si="258"/>
        <v>31</v>
      </c>
      <c r="AF5747" s="831" t="s">
        <v>6404</v>
      </c>
      <c r="AG5747" s="831" t="s">
        <v>2674</v>
      </c>
      <c r="AH5747" s="831" t="s">
        <v>550</v>
      </c>
      <c r="AI5747" s="831">
        <v>0</v>
      </c>
      <c r="AJ5747" s="835">
        <v>40237</v>
      </c>
      <c r="AK5747" s="831">
        <v>55500128</v>
      </c>
    </row>
    <row r="5748" spans="2:37">
      <c r="B5748" s="834" t="str">
        <f t="shared" si="257"/>
        <v>|||</v>
      </c>
      <c r="H5748" s="835">
        <f t="shared" si="258"/>
        <v>31</v>
      </c>
      <c r="AF5748" s="831" t="s">
        <v>6405</v>
      </c>
      <c r="AG5748" s="831" t="s">
        <v>2674</v>
      </c>
      <c r="AH5748" s="831" t="s">
        <v>562</v>
      </c>
      <c r="AI5748" s="831">
        <v>0</v>
      </c>
      <c r="AJ5748" s="835">
        <v>40237</v>
      </c>
      <c r="AK5748" s="831">
        <v>0.81</v>
      </c>
    </row>
    <row r="5749" spans="2:37">
      <c r="B5749" s="834" t="str">
        <f t="shared" si="257"/>
        <v>|||</v>
      </c>
      <c r="H5749" s="835">
        <f t="shared" si="258"/>
        <v>31</v>
      </c>
      <c r="AF5749" s="831" t="s">
        <v>6406</v>
      </c>
      <c r="AG5749" s="831" t="s">
        <v>2674</v>
      </c>
      <c r="AH5749" s="831" t="s">
        <v>2698</v>
      </c>
      <c r="AI5749" s="831">
        <v>0</v>
      </c>
      <c r="AJ5749" s="835">
        <v>40237</v>
      </c>
      <c r="AK5749" s="831">
        <v>0.81</v>
      </c>
    </row>
    <row r="5750" spans="2:37">
      <c r="B5750" s="834" t="str">
        <f t="shared" si="257"/>
        <v>|||</v>
      </c>
      <c r="H5750" s="835">
        <f t="shared" si="258"/>
        <v>31</v>
      </c>
      <c r="AF5750" s="831" t="s">
        <v>6407</v>
      </c>
      <c r="AG5750" s="831" t="s">
        <v>2674</v>
      </c>
      <c r="AH5750" s="831" t="s">
        <v>560</v>
      </c>
      <c r="AI5750" s="831">
        <v>0</v>
      </c>
      <c r="AJ5750" s="835">
        <v>40237</v>
      </c>
      <c r="AK5750" s="831">
        <v>0.81</v>
      </c>
    </row>
    <row r="5751" spans="2:37">
      <c r="B5751" s="834" t="str">
        <f t="shared" si="257"/>
        <v>|||</v>
      </c>
      <c r="H5751" s="835">
        <f t="shared" si="258"/>
        <v>31</v>
      </c>
      <c r="AF5751" s="831" t="s">
        <v>6408</v>
      </c>
      <c r="AG5751" s="831" t="s">
        <v>2674</v>
      </c>
      <c r="AH5751" s="831" t="s">
        <v>559</v>
      </c>
      <c r="AI5751" s="831">
        <v>0</v>
      </c>
      <c r="AJ5751" s="835">
        <v>40237</v>
      </c>
      <c r="AK5751" s="831">
        <v>0.80249999999999999</v>
      </c>
    </row>
    <row r="5752" spans="2:37">
      <c r="B5752" s="834" t="str">
        <f t="shared" si="257"/>
        <v>|||</v>
      </c>
      <c r="H5752" s="835">
        <f t="shared" si="258"/>
        <v>31</v>
      </c>
      <c r="AF5752" s="831" t="s">
        <v>6409</v>
      </c>
      <c r="AG5752" s="831" t="s">
        <v>2674</v>
      </c>
      <c r="AH5752" s="831" t="s">
        <v>568</v>
      </c>
      <c r="AI5752" s="831">
        <v>0</v>
      </c>
      <c r="AJ5752" s="835">
        <v>40237</v>
      </c>
      <c r="AK5752" s="831">
        <v>0</v>
      </c>
    </row>
    <row r="5753" spans="2:37">
      <c r="B5753" s="834" t="str">
        <f t="shared" si="257"/>
        <v>|||</v>
      </c>
      <c r="H5753" s="835">
        <f t="shared" si="258"/>
        <v>31</v>
      </c>
      <c r="AF5753" s="831" t="s">
        <v>6410</v>
      </c>
      <c r="AG5753" s="831" t="s">
        <v>2674</v>
      </c>
      <c r="AH5753" s="831" t="s">
        <v>569</v>
      </c>
      <c r="AI5753" s="831">
        <v>0</v>
      </c>
      <c r="AJ5753" s="835">
        <v>40237</v>
      </c>
      <c r="AK5753" s="831">
        <v>0</v>
      </c>
    </row>
    <row r="5754" spans="2:37">
      <c r="B5754" s="834" t="str">
        <f t="shared" si="257"/>
        <v>|||</v>
      </c>
      <c r="H5754" s="835">
        <f t="shared" si="258"/>
        <v>31</v>
      </c>
      <c r="AF5754" s="831" t="s">
        <v>6411</v>
      </c>
      <c r="AG5754" s="831" t="s">
        <v>2674</v>
      </c>
      <c r="AH5754" s="831" t="s">
        <v>570</v>
      </c>
      <c r="AI5754" s="831">
        <v>0</v>
      </c>
      <c r="AJ5754" s="835">
        <v>40237</v>
      </c>
      <c r="AK5754" s="831">
        <v>0</v>
      </c>
    </row>
    <row r="5755" spans="2:37">
      <c r="B5755" s="834" t="str">
        <f t="shared" si="257"/>
        <v>|||</v>
      </c>
      <c r="H5755" s="835">
        <f t="shared" si="258"/>
        <v>31</v>
      </c>
      <c r="AF5755" s="831" t="s">
        <v>6412</v>
      </c>
      <c r="AG5755" s="831" t="s">
        <v>2674</v>
      </c>
      <c r="AH5755" s="831" t="s">
        <v>571</v>
      </c>
      <c r="AI5755" s="831">
        <v>0</v>
      </c>
      <c r="AJ5755" s="835">
        <v>40237</v>
      </c>
      <c r="AK5755" s="831">
        <v>0</v>
      </c>
    </row>
    <row r="5756" spans="2:37">
      <c r="B5756" s="834" t="str">
        <f t="shared" si="257"/>
        <v>|||</v>
      </c>
      <c r="H5756" s="835">
        <f t="shared" si="258"/>
        <v>31</v>
      </c>
      <c r="AF5756" s="831" t="s">
        <v>6413</v>
      </c>
      <c r="AG5756" s="831" t="s">
        <v>2674</v>
      </c>
      <c r="AH5756" s="831" t="s">
        <v>573</v>
      </c>
      <c r="AI5756" s="831">
        <v>0</v>
      </c>
      <c r="AJ5756" s="835">
        <v>40237</v>
      </c>
      <c r="AK5756" s="831">
        <v>0</v>
      </c>
    </row>
    <row r="5757" spans="2:37">
      <c r="B5757" s="834" t="str">
        <f t="shared" si="257"/>
        <v>|||</v>
      </c>
      <c r="H5757" s="835">
        <f t="shared" si="258"/>
        <v>31</v>
      </c>
      <c r="AF5757" s="831" t="s">
        <v>6414</v>
      </c>
      <c r="AG5757" s="831" t="s">
        <v>2674</v>
      </c>
      <c r="AH5757" s="831" t="s">
        <v>574</v>
      </c>
      <c r="AI5757" s="831">
        <v>0</v>
      </c>
      <c r="AJ5757" s="835">
        <v>40237</v>
      </c>
      <c r="AK5757" s="831">
        <v>0</v>
      </c>
    </row>
    <row r="5758" spans="2:37">
      <c r="B5758" s="834" t="str">
        <f t="shared" si="257"/>
        <v>|||</v>
      </c>
      <c r="H5758" s="835">
        <f t="shared" si="258"/>
        <v>31</v>
      </c>
      <c r="AF5758" s="831" t="s">
        <v>6415</v>
      </c>
      <c r="AG5758" s="831" t="s">
        <v>2674</v>
      </c>
      <c r="AH5758" s="831" t="s">
        <v>575</v>
      </c>
      <c r="AI5758" s="831">
        <v>0</v>
      </c>
      <c r="AJ5758" s="835">
        <v>40237</v>
      </c>
      <c r="AK5758" s="831">
        <v>0</v>
      </c>
    </row>
    <row r="5759" spans="2:37">
      <c r="B5759" s="834" t="str">
        <f t="shared" si="257"/>
        <v>|||</v>
      </c>
      <c r="H5759" s="835">
        <f t="shared" si="258"/>
        <v>31</v>
      </c>
      <c r="AF5759" s="831" t="s">
        <v>6416</v>
      </c>
      <c r="AG5759" s="831" t="s">
        <v>2674</v>
      </c>
      <c r="AH5759" s="831" t="s">
        <v>576</v>
      </c>
      <c r="AI5759" s="831">
        <v>0</v>
      </c>
      <c r="AJ5759" s="835">
        <v>40237</v>
      </c>
      <c r="AK5759" s="831">
        <v>0</v>
      </c>
    </row>
    <row r="5760" spans="2:37">
      <c r="B5760" s="834" t="str">
        <f t="shared" si="257"/>
        <v>|||</v>
      </c>
      <c r="H5760" s="835">
        <f t="shared" si="258"/>
        <v>31</v>
      </c>
      <c r="AF5760" s="831" t="s">
        <v>6417</v>
      </c>
      <c r="AG5760" s="831" t="s">
        <v>2674</v>
      </c>
      <c r="AH5760" s="831" t="s">
        <v>572</v>
      </c>
      <c r="AI5760" s="831">
        <v>0</v>
      </c>
      <c r="AJ5760" s="835">
        <v>40237</v>
      </c>
      <c r="AK5760" s="831">
        <v>0</v>
      </c>
    </row>
    <row r="5761" spans="2:37">
      <c r="B5761" s="834" t="str">
        <f t="shared" si="257"/>
        <v>|||</v>
      </c>
      <c r="H5761" s="835">
        <f t="shared" si="258"/>
        <v>31</v>
      </c>
      <c r="AF5761" s="831" t="s">
        <v>6418</v>
      </c>
      <c r="AG5761" s="831" t="s">
        <v>2674</v>
      </c>
      <c r="AH5761" s="831" t="s">
        <v>577</v>
      </c>
      <c r="AI5761" s="831">
        <v>0</v>
      </c>
      <c r="AJ5761" s="835">
        <v>40237</v>
      </c>
      <c r="AK5761" s="831">
        <v>0</v>
      </c>
    </row>
    <row r="5762" spans="2:37">
      <c r="B5762" s="834" t="str">
        <f t="shared" si="257"/>
        <v>|||</v>
      </c>
      <c r="H5762" s="835">
        <f t="shared" si="258"/>
        <v>31</v>
      </c>
      <c r="AF5762" s="831" t="s">
        <v>6419</v>
      </c>
      <c r="AG5762" s="831" t="s">
        <v>2674</v>
      </c>
      <c r="AH5762" s="831" t="s">
        <v>3042</v>
      </c>
      <c r="AI5762" s="831">
        <v>0</v>
      </c>
      <c r="AJ5762" s="835">
        <v>40237</v>
      </c>
      <c r="AK5762" s="831">
        <v>0</v>
      </c>
    </row>
    <row r="5763" spans="2:37">
      <c r="B5763" s="834" t="str">
        <f t="shared" ref="B5763:B5826" si="259">C5763&amp;"|"&amp;D5763&amp;"|"&amp;E5763&amp;"|"&amp;F5763</f>
        <v>|||</v>
      </c>
      <c r="H5763" s="835">
        <f t="shared" si="258"/>
        <v>31</v>
      </c>
      <c r="AF5763" s="831" t="s">
        <v>6420</v>
      </c>
      <c r="AG5763" s="831" t="s">
        <v>2674</v>
      </c>
      <c r="AH5763" s="831" t="s">
        <v>3044</v>
      </c>
      <c r="AI5763" s="831">
        <v>0</v>
      </c>
      <c r="AJ5763" s="835">
        <v>40237</v>
      </c>
      <c r="AK5763" s="831">
        <v>0</v>
      </c>
    </row>
    <row r="5764" spans="2:37">
      <c r="B5764" s="834" t="str">
        <f t="shared" si="259"/>
        <v>|||</v>
      </c>
      <c r="H5764" s="835">
        <f t="shared" ref="H5764:H5827" si="260">EOMONTH(L5764,0)</f>
        <v>31</v>
      </c>
      <c r="AF5764" s="831" t="s">
        <v>6421</v>
      </c>
      <c r="AG5764" s="831" t="s">
        <v>2674</v>
      </c>
      <c r="AH5764" s="831" t="s">
        <v>580</v>
      </c>
      <c r="AI5764" s="831">
        <v>0</v>
      </c>
      <c r="AJ5764" s="835">
        <v>40237</v>
      </c>
      <c r="AK5764" s="831">
        <v>0</v>
      </c>
    </row>
    <row r="5765" spans="2:37">
      <c r="B5765" s="834" t="str">
        <f t="shared" si="259"/>
        <v>|||</v>
      </c>
      <c r="H5765" s="835">
        <f t="shared" si="260"/>
        <v>31</v>
      </c>
      <c r="AF5765" s="831" t="s">
        <v>6422</v>
      </c>
      <c r="AG5765" s="831" t="s">
        <v>2674</v>
      </c>
      <c r="AH5765" s="831" t="s">
        <v>581</v>
      </c>
      <c r="AI5765" s="831">
        <v>0</v>
      </c>
      <c r="AJ5765" s="835">
        <v>40237</v>
      </c>
      <c r="AK5765" s="831">
        <v>0</v>
      </c>
    </row>
    <row r="5766" spans="2:37">
      <c r="B5766" s="834" t="str">
        <f t="shared" si="259"/>
        <v>|||</v>
      </c>
      <c r="H5766" s="835">
        <f t="shared" si="260"/>
        <v>31</v>
      </c>
      <c r="AF5766" s="831" t="s">
        <v>6423</v>
      </c>
      <c r="AG5766" s="831" t="s">
        <v>2674</v>
      </c>
      <c r="AH5766" s="831" t="s">
        <v>105</v>
      </c>
      <c r="AI5766" s="831">
        <v>0</v>
      </c>
      <c r="AJ5766" s="835">
        <v>40237</v>
      </c>
      <c r="AK5766" s="831">
        <v>169034034</v>
      </c>
    </row>
    <row r="5767" spans="2:37">
      <c r="B5767" s="834" t="str">
        <f t="shared" si="259"/>
        <v>|||</v>
      </c>
      <c r="H5767" s="835">
        <f t="shared" si="260"/>
        <v>31</v>
      </c>
      <c r="AF5767" s="831" t="s">
        <v>6424</v>
      </c>
      <c r="AG5767" s="831" t="s">
        <v>2674</v>
      </c>
      <c r="AH5767" s="831" t="s">
        <v>3049</v>
      </c>
      <c r="AI5767" s="831">
        <v>0</v>
      </c>
      <c r="AJ5767" s="835">
        <v>40237</v>
      </c>
      <c r="AK5767" s="831">
        <v>244842679</v>
      </c>
    </row>
    <row r="5768" spans="2:37">
      <c r="B5768" s="834" t="str">
        <f t="shared" si="259"/>
        <v>|||</v>
      </c>
      <c r="H5768" s="835">
        <f t="shared" si="260"/>
        <v>31</v>
      </c>
      <c r="AF5768" s="831" t="s">
        <v>6425</v>
      </c>
      <c r="AG5768" s="831" t="s">
        <v>2674</v>
      </c>
      <c r="AH5768" s="831" t="s">
        <v>103</v>
      </c>
      <c r="AI5768" s="831">
        <v>0</v>
      </c>
      <c r="AJ5768" s="835">
        <v>40237</v>
      </c>
      <c r="AK5768" s="831">
        <v>75808645</v>
      </c>
    </row>
    <row r="5769" spans="2:37">
      <c r="B5769" s="834" t="str">
        <f t="shared" si="259"/>
        <v>|||</v>
      </c>
      <c r="H5769" s="835">
        <f t="shared" si="260"/>
        <v>31</v>
      </c>
      <c r="AF5769" s="831" t="s">
        <v>6426</v>
      </c>
      <c r="AG5769" s="831" t="s">
        <v>2674</v>
      </c>
      <c r="AH5769" s="831" t="s">
        <v>182</v>
      </c>
      <c r="AI5769" s="831">
        <v>0</v>
      </c>
      <c r="AJ5769" s="835">
        <v>40237</v>
      </c>
      <c r="AK5769" s="831">
        <v>29773878</v>
      </c>
    </row>
    <row r="5770" spans="2:37">
      <c r="B5770" s="834" t="str">
        <f t="shared" si="259"/>
        <v>|||</v>
      </c>
      <c r="H5770" s="835">
        <f t="shared" si="260"/>
        <v>31</v>
      </c>
      <c r="AF5770" s="831" t="s">
        <v>6427</v>
      </c>
      <c r="AG5770" s="831" t="s">
        <v>2674</v>
      </c>
      <c r="AH5770" s="831" t="s">
        <v>546</v>
      </c>
      <c r="AI5770" s="831">
        <v>0</v>
      </c>
      <c r="AJ5770" s="835">
        <v>40268</v>
      </c>
      <c r="AK5770" s="831">
        <v>250397388</v>
      </c>
    </row>
    <row r="5771" spans="2:37">
      <c r="B5771" s="834" t="str">
        <f t="shared" si="259"/>
        <v>|||</v>
      </c>
      <c r="H5771" s="835">
        <f t="shared" si="260"/>
        <v>31</v>
      </c>
      <c r="AF5771" s="831" t="s">
        <v>6428</v>
      </c>
      <c r="AG5771" s="831" t="s">
        <v>2674</v>
      </c>
      <c r="AH5771" s="831" t="s">
        <v>370</v>
      </c>
      <c r="AI5771" s="831">
        <v>0</v>
      </c>
      <c r="AJ5771" s="835">
        <v>40268</v>
      </c>
      <c r="AK5771" s="831">
        <v>317716554</v>
      </c>
    </row>
    <row r="5772" spans="2:37">
      <c r="B5772" s="834" t="str">
        <f t="shared" si="259"/>
        <v>|||</v>
      </c>
      <c r="H5772" s="835">
        <f t="shared" si="260"/>
        <v>31</v>
      </c>
      <c r="AF5772" s="831" t="s">
        <v>6429</v>
      </c>
      <c r="AG5772" s="831" t="s">
        <v>2674</v>
      </c>
      <c r="AH5772" s="831" t="s">
        <v>126</v>
      </c>
      <c r="AI5772" s="831">
        <v>0</v>
      </c>
      <c r="AJ5772" s="835">
        <v>40268</v>
      </c>
      <c r="AK5772" s="831">
        <v>59231823</v>
      </c>
    </row>
    <row r="5773" spans="2:37">
      <c r="B5773" s="834" t="str">
        <f t="shared" si="259"/>
        <v>|||</v>
      </c>
      <c r="H5773" s="835">
        <f t="shared" si="260"/>
        <v>31</v>
      </c>
      <c r="AF5773" s="831" t="s">
        <v>6430</v>
      </c>
      <c r="AG5773" s="831" t="s">
        <v>2674</v>
      </c>
      <c r="AH5773" s="831" t="s">
        <v>268</v>
      </c>
      <c r="AI5773" s="831">
        <v>0</v>
      </c>
      <c r="AJ5773" s="835">
        <v>40268</v>
      </c>
      <c r="AK5773" s="831">
        <v>5946540</v>
      </c>
    </row>
    <row r="5774" spans="2:37">
      <c r="B5774" s="834" t="str">
        <f t="shared" si="259"/>
        <v>|||</v>
      </c>
      <c r="H5774" s="835">
        <f t="shared" si="260"/>
        <v>31</v>
      </c>
      <c r="AF5774" s="831" t="s">
        <v>6431</v>
      </c>
      <c r="AG5774" s="831" t="s">
        <v>2674</v>
      </c>
      <c r="AH5774" s="831" t="s">
        <v>547</v>
      </c>
      <c r="AI5774" s="831">
        <v>0</v>
      </c>
      <c r="AJ5774" s="835">
        <v>40268</v>
      </c>
      <c r="AK5774" s="831">
        <v>308668195</v>
      </c>
    </row>
    <row r="5775" spans="2:37">
      <c r="B5775" s="834" t="str">
        <f t="shared" si="259"/>
        <v>|||</v>
      </c>
      <c r="H5775" s="835">
        <f t="shared" si="260"/>
        <v>31</v>
      </c>
      <c r="AF5775" s="831" t="s">
        <v>6432</v>
      </c>
      <c r="AG5775" s="831" t="s">
        <v>2674</v>
      </c>
      <c r="AH5775" s="831" t="s">
        <v>548</v>
      </c>
      <c r="AI5775" s="831">
        <v>0</v>
      </c>
      <c r="AJ5775" s="835">
        <v>40268</v>
      </c>
      <c r="AK5775" s="831">
        <v>55500128</v>
      </c>
    </row>
    <row r="5776" spans="2:37">
      <c r="B5776" s="834" t="str">
        <f t="shared" si="259"/>
        <v>|||</v>
      </c>
      <c r="H5776" s="835">
        <f t="shared" si="260"/>
        <v>31</v>
      </c>
      <c r="AF5776" s="831" t="s">
        <v>6433</v>
      </c>
      <c r="AG5776" s="831" t="s">
        <v>2674</v>
      </c>
      <c r="AH5776" s="831" t="s">
        <v>549</v>
      </c>
      <c r="AI5776" s="831">
        <v>0</v>
      </c>
      <c r="AJ5776" s="835">
        <v>40268</v>
      </c>
      <c r="AK5776" s="831">
        <v>0</v>
      </c>
    </row>
    <row r="5777" spans="2:37">
      <c r="B5777" s="834" t="str">
        <f t="shared" si="259"/>
        <v>|||</v>
      </c>
      <c r="H5777" s="835">
        <f t="shared" si="260"/>
        <v>31</v>
      </c>
      <c r="AF5777" s="831" t="s">
        <v>6434</v>
      </c>
      <c r="AG5777" s="831" t="s">
        <v>2674</v>
      </c>
      <c r="AH5777" s="831" t="s">
        <v>192</v>
      </c>
      <c r="AI5777" s="831">
        <v>0</v>
      </c>
      <c r="AJ5777" s="835">
        <v>40268</v>
      </c>
      <c r="AK5777" s="831">
        <v>-7125194</v>
      </c>
    </row>
    <row r="5778" spans="2:37">
      <c r="B5778" s="834" t="str">
        <f t="shared" si="259"/>
        <v>|||</v>
      </c>
      <c r="H5778" s="835">
        <f t="shared" si="260"/>
        <v>31</v>
      </c>
      <c r="AF5778" s="831" t="s">
        <v>6435</v>
      </c>
      <c r="AG5778" s="831" t="s">
        <v>2674</v>
      </c>
      <c r="AH5778" s="831" t="s">
        <v>558</v>
      </c>
      <c r="AI5778" s="831">
        <v>0</v>
      </c>
      <c r="AJ5778" s="835">
        <v>40268</v>
      </c>
      <c r="AK5778" s="831">
        <v>258484731</v>
      </c>
    </row>
    <row r="5779" spans="2:37">
      <c r="B5779" s="834" t="str">
        <f t="shared" si="259"/>
        <v>|||</v>
      </c>
      <c r="H5779" s="835">
        <f t="shared" si="260"/>
        <v>31</v>
      </c>
      <c r="AF5779" s="831" t="s">
        <v>6436</v>
      </c>
      <c r="AG5779" s="831" t="s">
        <v>2674</v>
      </c>
      <c r="AH5779" s="831" t="s">
        <v>65</v>
      </c>
      <c r="AI5779" s="831">
        <v>0</v>
      </c>
      <c r="AJ5779" s="835">
        <v>40268</v>
      </c>
      <c r="AK5779" s="831">
        <v>19969438</v>
      </c>
    </row>
    <row r="5780" spans="2:37">
      <c r="B5780" s="834" t="str">
        <f t="shared" si="259"/>
        <v>|||</v>
      </c>
      <c r="H5780" s="835">
        <f t="shared" si="260"/>
        <v>31</v>
      </c>
      <c r="AF5780" s="831" t="s">
        <v>6437</v>
      </c>
      <c r="AG5780" s="831" t="s">
        <v>2674</v>
      </c>
      <c r="AH5780" s="831" t="s">
        <v>89</v>
      </c>
      <c r="AI5780" s="831">
        <v>0</v>
      </c>
      <c r="AJ5780" s="835">
        <v>40268</v>
      </c>
      <c r="AK5780" s="831">
        <v>105190</v>
      </c>
    </row>
    <row r="5781" spans="2:37">
      <c r="B5781" s="834" t="str">
        <f t="shared" si="259"/>
        <v>|||</v>
      </c>
      <c r="H5781" s="835">
        <f t="shared" si="260"/>
        <v>31</v>
      </c>
      <c r="AF5781" s="831" t="s">
        <v>6438</v>
      </c>
      <c r="AG5781" s="831" t="s">
        <v>2674</v>
      </c>
      <c r="AH5781" s="831" t="s">
        <v>557</v>
      </c>
      <c r="AI5781" s="831">
        <v>0</v>
      </c>
      <c r="AJ5781" s="835">
        <v>40268</v>
      </c>
      <c r="AK5781" s="831">
        <v>107817</v>
      </c>
    </row>
    <row r="5782" spans="2:37">
      <c r="B5782" s="834" t="str">
        <f t="shared" si="259"/>
        <v>|||</v>
      </c>
      <c r="H5782" s="835">
        <f t="shared" si="260"/>
        <v>31</v>
      </c>
      <c r="AF5782" s="831" t="s">
        <v>6439</v>
      </c>
      <c r="AG5782" s="831" t="s">
        <v>2674</v>
      </c>
      <c r="AH5782" s="831" t="s">
        <v>29</v>
      </c>
      <c r="AI5782" s="831">
        <v>0</v>
      </c>
      <c r="AJ5782" s="835">
        <v>40268</v>
      </c>
      <c r="AK5782" s="831">
        <v>2546380</v>
      </c>
    </row>
    <row r="5783" spans="2:37">
      <c r="B5783" s="834" t="str">
        <f t="shared" si="259"/>
        <v>|||</v>
      </c>
      <c r="H5783" s="835">
        <f t="shared" si="260"/>
        <v>31</v>
      </c>
      <c r="AF5783" s="831" t="s">
        <v>6440</v>
      </c>
      <c r="AG5783" s="831" t="s">
        <v>2674</v>
      </c>
      <c r="AH5783" s="831" t="s">
        <v>2688</v>
      </c>
      <c r="AI5783" s="831">
        <v>0</v>
      </c>
      <c r="AJ5783" s="835">
        <v>40268</v>
      </c>
      <c r="AK5783" s="831">
        <v>905107</v>
      </c>
    </row>
    <row r="5784" spans="2:37">
      <c r="B5784" s="834" t="str">
        <f t="shared" si="259"/>
        <v>|||</v>
      </c>
      <c r="H5784" s="835">
        <f t="shared" si="260"/>
        <v>31</v>
      </c>
      <c r="AF5784" s="831" t="s">
        <v>6441</v>
      </c>
      <c r="AG5784" s="831" t="s">
        <v>2674</v>
      </c>
      <c r="AH5784" s="831" t="s">
        <v>556</v>
      </c>
      <c r="AI5784" s="831">
        <v>0</v>
      </c>
      <c r="AJ5784" s="835">
        <v>40268</v>
      </c>
      <c r="AK5784" s="831">
        <v>1074605.9946000001</v>
      </c>
    </row>
    <row r="5785" spans="2:37">
      <c r="B5785" s="834" t="str">
        <f t="shared" si="259"/>
        <v>|||</v>
      </c>
      <c r="H5785" s="835">
        <f t="shared" si="260"/>
        <v>31</v>
      </c>
      <c r="AF5785" s="831" t="s">
        <v>6442</v>
      </c>
      <c r="AG5785" s="831" t="s">
        <v>2674</v>
      </c>
      <c r="AH5785" s="831" t="s">
        <v>555</v>
      </c>
      <c r="AI5785" s="831">
        <v>0</v>
      </c>
      <c r="AJ5785" s="835">
        <v>40268</v>
      </c>
      <c r="AK5785" s="831">
        <v>201940766</v>
      </c>
    </row>
    <row r="5786" spans="2:37">
      <c r="B5786" s="834" t="str">
        <f t="shared" si="259"/>
        <v>|||</v>
      </c>
      <c r="H5786" s="835">
        <f t="shared" si="260"/>
        <v>31</v>
      </c>
      <c r="AF5786" s="831" t="s">
        <v>6443</v>
      </c>
      <c r="AG5786" s="831" t="s">
        <v>2674</v>
      </c>
      <c r="AH5786" s="831" t="s">
        <v>554</v>
      </c>
      <c r="AI5786" s="831">
        <v>0</v>
      </c>
      <c r="AJ5786" s="835">
        <v>40268</v>
      </c>
      <c r="AK5786" s="831">
        <v>188254540</v>
      </c>
    </row>
    <row r="5787" spans="2:37">
      <c r="B5787" s="834" t="str">
        <f t="shared" si="259"/>
        <v>|||</v>
      </c>
      <c r="H5787" s="835">
        <f t="shared" si="260"/>
        <v>31</v>
      </c>
      <c r="AF5787" s="831" t="s">
        <v>6444</v>
      </c>
      <c r="AG5787" s="831" t="s">
        <v>2674</v>
      </c>
      <c r="AH5787" s="831" t="s">
        <v>553</v>
      </c>
      <c r="AI5787" s="831">
        <v>0</v>
      </c>
      <c r="AJ5787" s="835">
        <v>40268</v>
      </c>
      <c r="AK5787" s="831">
        <v>0</v>
      </c>
    </row>
    <row r="5788" spans="2:37">
      <c r="B5788" s="834" t="str">
        <f t="shared" si="259"/>
        <v>|||</v>
      </c>
      <c r="H5788" s="835">
        <f t="shared" si="260"/>
        <v>31</v>
      </c>
      <c r="AF5788" s="831" t="s">
        <v>6445</v>
      </c>
      <c r="AG5788" s="831" t="s">
        <v>2674</v>
      </c>
      <c r="AH5788" s="831" t="s">
        <v>552</v>
      </c>
      <c r="AI5788" s="831">
        <v>0</v>
      </c>
      <c r="AJ5788" s="835">
        <v>40268</v>
      </c>
      <c r="AK5788" s="831">
        <v>0</v>
      </c>
    </row>
    <row r="5789" spans="2:37">
      <c r="B5789" s="834" t="str">
        <f t="shared" si="259"/>
        <v>|||</v>
      </c>
      <c r="H5789" s="835">
        <f t="shared" si="260"/>
        <v>31</v>
      </c>
      <c r="AF5789" s="831" t="s">
        <v>6446</v>
      </c>
      <c r="AG5789" s="831" t="s">
        <v>2674</v>
      </c>
      <c r="AH5789" s="831" t="s">
        <v>551</v>
      </c>
      <c r="AI5789" s="831">
        <v>0</v>
      </c>
      <c r="AJ5789" s="835">
        <v>40268</v>
      </c>
      <c r="AK5789" s="831">
        <v>2269029</v>
      </c>
    </row>
    <row r="5790" spans="2:37">
      <c r="B5790" s="834" t="str">
        <f t="shared" si="259"/>
        <v>|||</v>
      </c>
      <c r="H5790" s="835">
        <f t="shared" si="260"/>
        <v>31</v>
      </c>
      <c r="AF5790" s="831" t="s">
        <v>6447</v>
      </c>
      <c r="AG5790" s="831" t="s">
        <v>2674</v>
      </c>
      <c r="AH5790" s="831" t="s">
        <v>550</v>
      </c>
      <c r="AI5790" s="831">
        <v>0</v>
      </c>
      <c r="AJ5790" s="835">
        <v>40268</v>
      </c>
      <c r="AK5790" s="831">
        <v>57694828</v>
      </c>
    </row>
    <row r="5791" spans="2:37">
      <c r="B5791" s="834" t="str">
        <f t="shared" si="259"/>
        <v>|||</v>
      </c>
      <c r="H5791" s="835">
        <f t="shared" si="260"/>
        <v>31</v>
      </c>
      <c r="AF5791" s="831" t="s">
        <v>6448</v>
      </c>
      <c r="AG5791" s="831" t="s">
        <v>2674</v>
      </c>
      <c r="AH5791" s="831" t="s">
        <v>562</v>
      </c>
      <c r="AI5791" s="831">
        <v>0</v>
      </c>
      <c r="AJ5791" s="835">
        <v>40268</v>
      </c>
      <c r="AK5791" s="831">
        <v>0.81</v>
      </c>
    </row>
    <row r="5792" spans="2:37">
      <c r="B5792" s="834" t="str">
        <f t="shared" si="259"/>
        <v>|||</v>
      </c>
      <c r="H5792" s="835">
        <f t="shared" si="260"/>
        <v>31</v>
      </c>
      <c r="AF5792" s="831" t="s">
        <v>6449</v>
      </c>
      <c r="AG5792" s="831" t="s">
        <v>2674</v>
      </c>
      <c r="AH5792" s="831" t="s">
        <v>2698</v>
      </c>
      <c r="AI5792" s="831">
        <v>0</v>
      </c>
      <c r="AJ5792" s="835">
        <v>40268</v>
      </c>
      <c r="AK5792" s="831">
        <v>0.81</v>
      </c>
    </row>
    <row r="5793" spans="2:37">
      <c r="B5793" s="834" t="str">
        <f t="shared" si="259"/>
        <v>|||</v>
      </c>
      <c r="H5793" s="835">
        <f t="shared" si="260"/>
        <v>31</v>
      </c>
      <c r="AF5793" s="831" t="s">
        <v>6450</v>
      </c>
      <c r="AG5793" s="831" t="s">
        <v>2674</v>
      </c>
      <c r="AH5793" s="831" t="s">
        <v>560</v>
      </c>
      <c r="AI5793" s="831">
        <v>0</v>
      </c>
      <c r="AJ5793" s="835">
        <v>40268</v>
      </c>
      <c r="AK5793" s="831">
        <v>0.81</v>
      </c>
    </row>
    <row r="5794" spans="2:37">
      <c r="B5794" s="834" t="str">
        <f t="shared" si="259"/>
        <v>|||</v>
      </c>
      <c r="H5794" s="835">
        <f t="shared" si="260"/>
        <v>31</v>
      </c>
      <c r="AF5794" s="831" t="s">
        <v>6451</v>
      </c>
      <c r="AG5794" s="831" t="s">
        <v>2674</v>
      </c>
      <c r="AH5794" s="831" t="s">
        <v>559</v>
      </c>
      <c r="AI5794" s="831">
        <v>0</v>
      </c>
      <c r="AJ5794" s="835">
        <v>40268</v>
      </c>
      <c r="AK5794" s="831">
        <v>0.80249999999999999</v>
      </c>
    </row>
    <row r="5795" spans="2:37">
      <c r="B5795" s="834" t="str">
        <f t="shared" si="259"/>
        <v>|||</v>
      </c>
      <c r="H5795" s="835">
        <f t="shared" si="260"/>
        <v>31</v>
      </c>
      <c r="AF5795" s="831" t="s">
        <v>6452</v>
      </c>
      <c r="AG5795" s="831" t="s">
        <v>2674</v>
      </c>
      <c r="AH5795" s="831" t="s">
        <v>568</v>
      </c>
      <c r="AI5795" s="831">
        <v>0</v>
      </c>
      <c r="AJ5795" s="835">
        <v>40268</v>
      </c>
      <c r="AK5795" s="831">
        <v>0</v>
      </c>
    </row>
    <row r="5796" spans="2:37">
      <c r="B5796" s="834" t="str">
        <f t="shared" si="259"/>
        <v>|||</v>
      </c>
      <c r="H5796" s="835">
        <f t="shared" si="260"/>
        <v>31</v>
      </c>
      <c r="AF5796" s="831" t="s">
        <v>6453</v>
      </c>
      <c r="AG5796" s="831" t="s">
        <v>2674</v>
      </c>
      <c r="AH5796" s="831" t="s">
        <v>569</v>
      </c>
      <c r="AI5796" s="831">
        <v>0</v>
      </c>
      <c r="AJ5796" s="835">
        <v>40268</v>
      </c>
      <c r="AK5796" s="831">
        <v>0</v>
      </c>
    </row>
    <row r="5797" spans="2:37">
      <c r="B5797" s="834" t="str">
        <f t="shared" si="259"/>
        <v>|||</v>
      </c>
      <c r="H5797" s="835">
        <f t="shared" si="260"/>
        <v>31</v>
      </c>
      <c r="AF5797" s="831" t="s">
        <v>6454</v>
      </c>
      <c r="AG5797" s="831" t="s">
        <v>2674</v>
      </c>
      <c r="AH5797" s="831" t="s">
        <v>570</v>
      </c>
      <c r="AI5797" s="831">
        <v>0</v>
      </c>
      <c r="AJ5797" s="835">
        <v>40268</v>
      </c>
      <c r="AK5797" s="831">
        <v>0</v>
      </c>
    </row>
    <row r="5798" spans="2:37">
      <c r="B5798" s="834" t="str">
        <f t="shared" si="259"/>
        <v>|||</v>
      </c>
      <c r="H5798" s="835">
        <f t="shared" si="260"/>
        <v>31</v>
      </c>
      <c r="AF5798" s="831" t="s">
        <v>6455</v>
      </c>
      <c r="AG5798" s="831" t="s">
        <v>2674</v>
      </c>
      <c r="AH5798" s="831" t="s">
        <v>571</v>
      </c>
      <c r="AI5798" s="831">
        <v>0</v>
      </c>
      <c r="AJ5798" s="835">
        <v>40268</v>
      </c>
      <c r="AK5798" s="831">
        <v>0</v>
      </c>
    </row>
    <row r="5799" spans="2:37">
      <c r="B5799" s="834" t="str">
        <f t="shared" si="259"/>
        <v>|||</v>
      </c>
      <c r="H5799" s="835">
        <f t="shared" si="260"/>
        <v>31</v>
      </c>
      <c r="AF5799" s="831" t="s">
        <v>6456</v>
      </c>
      <c r="AG5799" s="831" t="s">
        <v>2674</v>
      </c>
      <c r="AH5799" s="831" t="s">
        <v>573</v>
      </c>
      <c r="AI5799" s="831">
        <v>0</v>
      </c>
      <c r="AJ5799" s="835">
        <v>40268</v>
      </c>
      <c r="AK5799" s="831">
        <v>0</v>
      </c>
    </row>
    <row r="5800" spans="2:37">
      <c r="B5800" s="834" t="str">
        <f t="shared" si="259"/>
        <v>|||</v>
      </c>
      <c r="H5800" s="835">
        <f t="shared" si="260"/>
        <v>31</v>
      </c>
      <c r="AF5800" s="831" t="s">
        <v>6457</v>
      </c>
      <c r="AG5800" s="831" t="s">
        <v>2674</v>
      </c>
      <c r="AH5800" s="831" t="s">
        <v>574</v>
      </c>
      <c r="AI5800" s="831">
        <v>0</v>
      </c>
      <c r="AJ5800" s="835">
        <v>40268</v>
      </c>
      <c r="AK5800" s="831">
        <v>0</v>
      </c>
    </row>
    <row r="5801" spans="2:37">
      <c r="B5801" s="834" t="str">
        <f t="shared" si="259"/>
        <v>|||</v>
      </c>
      <c r="H5801" s="835">
        <f t="shared" si="260"/>
        <v>31</v>
      </c>
      <c r="AF5801" s="831" t="s">
        <v>6458</v>
      </c>
      <c r="AG5801" s="831" t="s">
        <v>2674</v>
      </c>
      <c r="AH5801" s="831" t="s">
        <v>575</v>
      </c>
      <c r="AI5801" s="831">
        <v>0</v>
      </c>
      <c r="AJ5801" s="835">
        <v>40268</v>
      </c>
      <c r="AK5801" s="831">
        <v>0</v>
      </c>
    </row>
    <row r="5802" spans="2:37">
      <c r="B5802" s="834" t="str">
        <f t="shared" si="259"/>
        <v>|||</v>
      </c>
      <c r="H5802" s="835">
        <f t="shared" si="260"/>
        <v>31</v>
      </c>
      <c r="AF5802" s="831" t="s">
        <v>6459</v>
      </c>
      <c r="AG5802" s="831" t="s">
        <v>2674</v>
      </c>
      <c r="AH5802" s="831" t="s">
        <v>576</v>
      </c>
      <c r="AI5802" s="831">
        <v>0</v>
      </c>
      <c r="AJ5802" s="835">
        <v>40268</v>
      </c>
      <c r="AK5802" s="831">
        <v>0</v>
      </c>
    </row>
    <row r="5803" spans="2:37">
      <c r="B5803" s="834" t="str">
        <f t="shared" si="259"/>
        <v>|||</v>
      </c>
      <c r="H5803" s="835">
        <f t="shared" si="260"/>
        <v>31</v>
      </c>
      <c r="AF5803" s="831" t="s">
        <v>6460</v>
      </c>
      <c r="AG5803" s="831" t="s">
        <v>2674</v>
      </c>
      <c r="AH5803" s="831" t="s">
        <v>572</v>
      </c>
      <c r="AI5803" s="831">
        <v>0</v>
      </c>
      <c r="AJ5803" s="835">
        <v>40268</v>
      </c>
      <c r="AK5803" s="831">
        <v>0</v>
      </c>
    </row>
    <row r="5804" spans="2:37">
      <c r="B5804" s="834" t="str">
        <f t="shared" si="259"/>
        <v>|||</v>
      </c>
      <c r="H5804" s="835">
        <f t="shared" si="260"/>
        <v>31</v>
      </c>
      <c r="AF5804" s="831" t="s">
        <v>6461</v>
      </c>
      <c r="AG5804" s="831" t="s">
        <v>2674</v>
      </c>
      <c r="AH5804" s="831" t="s">
        <v>577</v>
      </c>
      <c r="AI5804" s="831">
        <v>0</v>
      </c>
      <c r="AJ5804" s="835">
        <v>40268</v>
      </c>
      <c r="AK5804" s="831">
        <v>0</v>
      </c>
    </row>
    <row r="5805" spans="2:37">
      <c r="B5805" s="834" t="str">
        <f t="shared" si="259"/>
        <v>|||</v>
      </c>
      <c r="H5805" s="835">
        <f t="shared" si="260"/>
        <v>31</v>
      </c>
      <c r="AF5805" s="831" t="s">
        <v>6462</v>
      </c>
      <c r="AG5805" s="831" t="s">
        <v>2674</v>
      </c>
      <c r="AH5805" s="831" t="s">
        <v>3042</v>
      </c>
      <c r="AI5805" s="831">
        <v>0</v>
      </c>
      <c r="AJ5805" s="835">
        <v>40268</v>
      </c>
      <c r="AK5805" s="831">
        <v>0</v>
      </c>
    </row>
    <row r="5806" spans="2:37">
      <c r="B5806" s="834" t="str">
        <f t="shared" si="259"/>
        <v>|||</v>
      </c>
      <c r="H5806" s="835">
        <f t="shared" si="260"/>
        <v>31</v>
      </c>
      <c r="AF5806" s="831" t="s">
        <v>6463</v>
      </c>
      <c r="AG5806" s="831" t="s">
        <v>2674</v>
      </c>
      <c r="AH5806" s="831" t="s">
        <v>3044</v>
      </c>
      <c r="AI5806" s="831">
        <v>0</v>
      </c>
      <c r="AJ5806" s="835">
        <v>40268</v>
      </c>
      <c r="AK5806" s="831">
        <v>0</v>
      </c>
    </row>
    <row r="5807" spans="2:37">
      <c r="B5807" s="834" t="str">
        <f t="shared" si="259"/>
        <v>|||</v>
      </c>
      <c r="H5807" s="835">
        <f t="shared" si="260"/>
        <v>31</v>
      </c>
      <c r="AF5807" s="831" t="s">
        <v>6464</v>
      </c>
      <c r="AG5807" s="831" t="s">
        <v>2674</v>
      </c>
      <c r="AH5807" s="831" t="s">
        <v>580</v>
      </c>
      <c r="AI5807" s="831">
        <v>0</v>
      </c>
      <c r="AJ5807" s="835">
        <v>40268</v>
      </c>
      <c r="AK5807" s="831">
        <v>0</v>
      </c>
    </row>
    <row r="5808" spans="2:37">
      <c r="B5808" s="834" t="str">
        <f t="shared" si="259"/>
        <v>|||</v>
      </c>
      <c r="H5808" s="835">
        <f t="shared" si="260"/>
        <v>31</v>
      </c>
      <c r="AF5808" s="831" t="s">
        <v>6465</v>
      </c>
      <c r="AG5808" s="831" t="s">
        <v>2674</v>
      </c>
      <c r="AH5808" s="831" t="s">
        <v>581</v>
      </c>
      <c r="AI5808" s="831">
        <v>0</v>
      </c>
      <c r="AJ5808" s="835">
        <v>40268</v>
      </c>
      <c r="AK5808" s="831">
        <v>0</v>
      </c>
    </row>
    <row r="5809" spans="2:37">
      <c r="B5809" s="834" t="str">
        <f t="shared" si="259"/>
        <v>|||</v>
      </c>
      <c r="H5809" s="835">
        <f t="shared" si="260"/>
        <v>31</v>
      </c>
      <c r="AF5809" s="831" t="s">
        <v>6466</v>
      </c>
      <c r="AG5809" s="831" t="s">
        <v>2674</v>
      </c>
      <c r="AH5809" s="831" t="s">
        <v>105</v>
      </c>
      <c r="AI5809" s="831">
        <v>0</v>
      </c>
      <c r="AJ5809" s="835">
        <v>40268</v>
      </c>
      <c r="AK5809" s="831">
        <v>168074417</v>
      </c>
    </row>
    <row r="5810" spans="2:37">
      <c r="B5810" s="834" t="str">
        <f t="shared" si="259"/>
        <v>|||</v>
      </c>
      <c r="H5810" s="835">
        <f t="shared" si="260"/>
        <v>31</v>
      </c>
      <c r="AF5810" s="831" t="s">
        <v>6467</v>
      </c>
      <c r="AG5810" s="831" t="s">
        <v>2674</v>
      </c>
      <c r="AH5810" s="831" t="s">
        <v>3049</v>
      </c>
      <c r="AI5810" s="831">
        <v>0</v>
      </c>
      <c r="AJ5810" s="835">
        <v>40268</v>
      </c>
      <c r="AK5810" s="831">
        <v>251937168</v>
      </c>
    </row>
    <row r="5811" spans="2:37">
      <c r="B5811" s="834" t="str">
        <f t="shared" si="259"/>
        <v>|||</v>
      </c>
      <c r="H5811" s="835">
        <f t="shared" si="260"/>
        <v>31</v>
      </c>
      <c r="AF5811" s="831" t="s">
        <v>6468</v>
      </c>
      <c r="AG5811" s="831" t="s">
        <v>2674</v>
      </c>
      <c r="AH5811" s="831" t="s">
        <v>103</v>
      </c>
      <c r="AI5811" s="831">
        <v>0</v>
      </c>
      <c r="AJ5811" s="835">
        <v>40268</v>
      </c>
      <c r="AK5811" s="831">
        <v>83862751</v>
      </c>
    </row>
    <row r="5812" spans="2:37">
      <c r="B5812" s="834" t="str">
        <f t="shared" si="259"/>
        <v>|||</v>
      </c>
      <c r="H5812" s="835">
        <f t="shared" si="260"/>
        <v>31</v>
      </c>
      <c r="AF5812" s="831" t="s">
        <v>6469</v>
      </c>
      <c r="AG5812" s="831" t="s">
        <v>2674</v>
      </c>
      <c r="AH5812" s="831" t="s">
        <v>182</v>
      </c>
      <c r="AI5812" s="831">
        <v>0</v>
      </c>
      <c r="AJ5812" s="835">
        <v>40268</v>
      </c>
      <c r="AK5812" s="831">
        <v>30780316</v>
      </c>
    </row>
    <row r="5813" spans="2:37">
      <c r="B5813" s="834" t="str">
        <f t="shared" si="259"/>
        <v>|||</v>
      </c>
      <c r="H5813" s="835">
        <f t="shared" si="260"/>
        <v>31</v>
      </c>
      <c r="AF5813" s="831" t="s">
        <v>6470</v>
      </c>
      <c r="AG5813" s="831" t="s">
        <v>2674</v>
      </c>
      <c r="AH5813" s="831" t="s">
        <v>546</v>
      </c>
      <c r="AI5813" s="831">
        <v>0</v>
      </c>
      <c r="AJ5813" s="835">
        <v>40298</v>
      </c>
      <c r="AK5813" s="831">
        <v>255336476</v>
      </c>
    </row>
    <row r="5814" spans="2:37">
      <c r="B5814" s="834" t="str">
        <f t="shared" si="259"/>
        <v>|||</v>
      </c>
      <c r="H5814" s="835">
        <f t="shared" si="260"/>
        <v>31</v>
      </c>
      <c r="AF5814" s="831" t="s">
        <v>6471</v>
      </c>
      <c r="AG5814" s="831" t="s">
        <v>2674</v>
      </c>
      <c r="AH5814" s="831" t="s">
        <v>370</v>
      </c>
      <c r="AI5814" s="831">
        <v>0</v>
      </c>
      <c r="AJ5814" s="835">
        <v>40298</v>
      </c>
      <c r="AK5814" s="831">
        <v>326848701</v>
      </c>
    </row>
    <row r="5815" spans="2:37">
      <c r="B5815" s="834" t="str">
        <f t="shared" si="259"/>
        <v>|||</v>
      </c>
      <c r="H5815" s="835">
        <f t="shared" si="260"/>
        <v>31</v>
      </c>
      <c r="AF5815" s="831" t="s">
        <v>6472</v>
      </c>
      <c r="AG5815" s="831" t="s">
        <v>2674</v>
      </c>
      <c r="AH5815" s="831" t="s">
        <v>126</v>
      </c>
      <c r="AI5815" s="831">
        <v>0</v>
      </c>
      <c r="AJ5815" s="835">
        <v>40298</v>
      </c>
      <c r="AK5815" s="831">
        <v>62291508</v>
      </c>
    </row>
    <row r="5816" spans="2:37">
      <c r="B5816" s="834" t="str">
        <f t="shared" si="259"/>
        <v>|||</v>
      </c>
      <c r="H5816" s="835">
        <f t="shared" si="260"/>
        <v>31</v>
      </c>
      <c r="AF5816" s="831" t="s">
        <v>6473</v>
      </c>
      <c r="AG5816" s="831" t="s">
        <v>2674</v>
      </c>
      <c r="AH5816" s="831" t="s">
        <v>268</v>
      </c>
      <c r="AI5816" s="831">
        <v>0</v>
      </c>
      <c r="AJ5816" s="835">
        <v>40298</v>
      </c>
      <c r="AK5816" s="831">
        <v>9006225</v>
      </c>
    </row>
    <row r="5817" spans="2:37">
      <c r="B5817" s="834" t="str">
        <f t="shared" si="259"/>
        <v>|||</v>
      </c>
      <c r="H5817" s="835">
        <f t="shared" si="260"/>
        <v>31</v>
      </c>
      <c r="AF5817" s="831" t="s">
        <v>6474</v>
      </c>
      <c r="AG5817" s="831" t="s">
        <v>2674</v>
      </c>
      <c r="AH5817" s="831" t="s">
        <v>547</v>
      </c>
      <c r="AI5817" s="831">
        <v>0</v>
      </c>
      <c r="AJ5817" s="835">
        <v>40298</v>
      </c>
      <c r="AK5817" s="831">
        <v>0</v>
      </c>
    </row>
    <row r="5818" spans="2:37">
      <c r="B5818" s="834" t="str">
        <f t="shared" si="259"/>
        <v>|||</v>
      </c>
      <c r="H5818" s="835">
        <f t="shared" si="260"/>
        <v>31</v>
      </c>
      <c r="AF5818" s="831" t="s">
        <v>6475</v>
      </c>
      <c r="AG5818" s="831" t="s">
        <v>2674</v>
      </c>
      <c r="AH5818" s="831" t="s">
        <v>548</v>
      </c>
      <c r="AI5818" s="831">
        <v>0</v>
      </c>
      <c r="AJ5818" s="835">
        <v>40298</v>
      </c>
      <c r="AK5818" s="831">
        <v>0</v>
      </c>
    </row>
    <row r="5819" spans="2:37">
      <c r="B5819" s="834" t="str">
        <f t="shared" si="259"/>
        <v>|||</v>
      </c>
      <c r="H5819" s="835">
        <f t="shared" si="260"/>
        <v>31</v>
      </c>
      <c r="AF5819" s="831" t="s">
        <v>6476</v>
      </c>
      <c r="AG5819" s="831" t="s">
        <v>2674</v>
      </c>
      <c r="AH5819" s="831" t="s">
        <v>549</v>
      </c>
      <c r="AI5819" s="831">
        <v>0</v>
      </c>
      <c r="AJ5819" s="835">
        <v>40298</v>
      </c>
      <c r="AK5819" s="831">
        <v>0</v>
      </c>
    </row>
    <row r="5820" spans="2:37">
      <c r="B5820" s="834" t="str">
        <f t="shared" si="259"/>
        <v>|||</v>
      </c>
      <c r="H5820" s="835">
        <f t="shared" si="260"/>
        <v>31</v>
      </c>
      <c r="AF5820" s="831" t="s">
        <v>6477</v>
      </c>
      <c r="AG5820" s="831" t="s">
        <v>2674</v>
      </c>
      <c r="AH5820" s="831" t="s">
        <v>192</v>
      </c>
      <c r="AI5820" s="831">
        <v>0</v>
      </c>
      <c r="AJ5820" s="835">
        <v>40298</v>
      </c>
      <c r="AK5820" s="831">
        <v>-7230868</v>
      </c>
    </row>
    <row r="5821" spans="2:37">
      <c r="B5821" s="834" t="str">
        <f t="shared" si="259"/>
        <v>|||</v>
      </c>
      <c r="H5821" s="835">
        <f t="shared" si="260"/>
        <v>31</v>
      </c>
      <c r="AF5821" s="831" t="s">
        <v>6478</v>
      </c>
      <c r="AG5821" s="831" t="s">
        <v>2674</v>
      </c>
      <c r="AH5821" s="831" t="s">
        <v>558</v>
      </c>
      <c r="AI5821" s="831">
        <v>0</v>
      </c>
      <c r="AJ5821" s="835">
        <v>40298</v>
      </c>
      <c r="AK5821" s="831">
        <v>264557193</v>
      </c>
    </row>
    <row r="5822" spans="2:37">
      <c r="B5822" s="834" t="str">
        <f t="shared" si="259"/>
        <v>|||</v>
      </c>
      <c r="H5822" s="835">
        <f t="shared" si="260"/>
        <v>31</v>
      </c>
      <c r="AF5822" s="831" t="s">
        <v>6479</v>
      </c>
      <c r="AG5822" s="831" t="s">
        <v>2674</v>
      </c>
      <c r="AH5822" s="831" t="s">
        <v>65</v>
      </c>
      <c r="AI5822" s="831">
        <v>0</v>
      </c>
      <c r="AJ5822" s="835">
        <v>40298</v>
      </c>
      <c r="AK5822" s="831">
        <v>27709542</v>
      </c>
    </row>
    <row r="5823" spans="2:37">
      <c r="B5823" s="834" t="str">
        <f t="shared" si="259"/>
        <v>|||</v>
      </c>
      <c r="H5823" s="835">
        <f t="shared" si="260"/>
        <v>31</v>
      </c>
      <c r="AF5823" s="831" t="s">
        <v>6480</v>
      </c>
      <c r="AG5823" s="831" t="s">
        <v>2674</v>
      </c>
      <c r="AH5823" s="831" t="s">
        <v>89</v>
      </c>
      <c r="AI5823" s="831">
        <v>0</v>
      </c>
      <c r="AJ5823" s="835">
        <v>40298</v>
      </c>
      <c r="AK5823" s="831">
        <v>109208</v>
      </c>
    </row>
    <row r="5824" spans="2:37">
      <c r="B5824" s="834" t="str">
        <f t="shared" si="259"/>
        <v>|||</v>
      </c>
      <c r="H5824" s="835">
        <f t="shared" si="260"/>
        <v>31</v>
      </c>
      <c r="AF5824" s="831" t="s">
        <v>6481</v>
      </c>
      <c r="AG5824" s="831" t="s">
        <v>2674</v>
      </c>
      <c r="AH5824" s="831" t="s">
        <v>557</v>
      </c>
      <c r="AI5824" s="831">
        <v>0</v>
      </c>
      <c r="AJ5824" s="835">
        <v>40298</v>
      </c>
      <c r="AK5824" s="831">
        <v>111845</v>
      </c>
    </row>
    <row r="5825" spans="2:37">
      <c r="B5825" s="834" t="str">
        <f t="shared" si="259"/>
        <v>|||</v>
      </c>
      <c r="H5825" s="835">
        <f t="shared" si="260"/>
        <v>31</v>
      </c>
      <c r="AF5825" s="831" t="s">
        <v>6482</v>
      </c>
      <c r="AG5825" s="831" t="s">
        <v>2674</v>
      </c>
      <c r="AH5825" s="831" t="s">
        <v>29</v>
      </c>
      <c r="AI5825" s="831">
        <v>0</v>
      </c>
      <c r="AJ5825" s="835">
        <v>40298</v>
      </c>
      <c r="AK5825" s="831">
        <v>2513170</v>
      </c>
    </row>
    <row r="5826" spans="2:37">
      <c r="B5826" s="834" t="str">
        <f t="shared" si="259"/>
        <v>|||</v>
      </c>
      <c r="H5826" s="835">
        <f t="shared" si="260"/>
        <v>31</v>
      </c>
      <c r="AF5826" s="831" t="s">
        <v>6483</v>
      </c>
      <c r="AG5826" s="831" t="s">
        <v>2674</v>
      </c>
      <c r="AH5826" s="831" t="s">
        <v>2688</v>
      </c>
      <c r="AI5826" s="831">
        <v>0</v>
      </c>
      <c r="AJ5826" s="835">
        <v>40298</v>
      </c>
      <c r="AK5826" s="831">
        <v>791542</v>
      </c>
    </row>
    <row r="5827" spans="2:37">
      <c r="B5827" s="834" t="str">
        <f t="shared" ref="B5827:B5890" si="261">C5827&amp;"|"&amp;D5827&amp;"|"&amp;E5827&amp;"|"&amp;F5827</f>
        <v>|||</v>
      </c>
      <c r="H5827" s="835">
        <f t="shared" si="260"/>
        <v>31</v>
      </c>
      <c r="AF5827" s="831" t="s">
        <v>6484</v>
      </c>
      <c r="AG5827" s="831" t="s">
        <v>2674</v>
      </c>
      <c r="AH5827" s="831" t="s">
        <v>556</v>
      </c>
      <c r="AI5827" s="831">
        <v>0</v>
      </c>
      <c r="AJ5827" s="835">
        <v>40298</v>
      </c>
      <c r="AK5827" s="831">
        <v>1074605.9946000001</v>
      </c>
    </row>
    <row r="5828" spans="2:37">
      <c r="B5828" s="834" t="str">
        <f t="shared" si="261"/>
        <v>|||</v>
      </c>
      <c r="H5828" s="835">
        <f t="shared" ref="H5828:H5891" si="262">EOMONTH(L5828,0)</f>
        <v>31</v>
      </c>
      <c r="AF5828" s="831" t="s">
        <v>6485</v>
      </c>
      <c r="AG5828" s="831" t="s">
        <v>2674</v>
      </c>
      <c r="AH5828" s="831" t="s">
        <v>555</v>
      </c>
      <c r="AI5828" s="831">
        <v>0</v>
      </c>
      <c r="AJ5828" s="835">
        <v>40298</v>
      </c>
      <c r="AK5828" s="831">
        <v>201303182</v>
      </c>
    </row>
    <row r="5829" spans="2:37">
      <c r="B5829" s="834" t="str">
        <f t="shared" si="261"/>
        <v>|||</v>
      </c>
      <c r="H5829" s="835">
        <f t="shared" si="262"/>
        <v>31</v>
      </c>
      <c r="AF5829" s="831" t="s">
        <v>6486</v>
      </c>
      <c r="AG5829" s="831" t="s">
        <v>2674</v>
      </c>
      <c r="AH5829" s="831" t="s">
        <v>554</v>
      </c>
      <c r="AI5829" s="831">
        <v>0</v>
      </c>
      <c r="AJ5829" s="835">
        <v>40298</v>
      </c>
      <c r="AK5829" s="831">
        <v>187171540</v>
      </c>
    </row>
    <row r="5830" spans="2:37">
      <c r="B5830" s="834" t="str">
        <f t="shared" si="261"/>
        <v>|||</v>
      </c>
      <c r="H5830" s="835">
        <f t="shared" si="262"/>
        <v>31</v>
      </c>
      <c r="AF5830" s="831" t="s">
        <v>6487</v>
      </c>
      <c r="AG5830" s="831" t="s">
        <v>2674</v>
      </c>
      <c r="AH5830" s="831" t="s">
        <v>553</v>
      </c>
      <c r="AI5830" s="831">
        <v>0</v>
      </c>
      <c r="AJ5830" s="835">
        <v>40298</v>
      </c>
      <c r="AK5830" s="831">
        <v>0</v>
      </c>
    </row>
    <row r="5831" spans="2:37">
      <c r="B5831" s="834" t="str">
        <f t="shared" si="261"/>
        <v>|||</v>
      </c>
      <c r="H5831" s="835">
        <f t="shared" si="262"/>
        <v>31</v>
      </c>
      <c r="AF5831" s="831" t="s">
        <v>6488</v>
      </c>
      <c r="AG5831" s="831" t="s">
        <v>2674</v>
      </c>
      <c r="AH5831" s="831" t="s">
        <v>552</v>
      </c>
      <c r="AI5831" s="831">
        <v>0</v>
      </c>
      <c r="AJ5831" s="835">
        <v>40298</v>
      </c>
      <c r="AK5831" s="831">
        <v>0</v>
      </c>
    </row>
    <row r="5832" spans="2:37">
      <c r="B5832" s="834" t="str">
        <f t="shared" si="261"/>
        <v>|||</v>
      </c>
      <c r="H5832" s="835">
        <f t="shared" si="262"/>
        <v>31</v>
      </c>
      <c r="AF5832" s="831" t="s">
        <v>6489</v>
      </c>
      <c r="AG5832" s="831" t="s">
        <v>2674</v>
      </c>
      <c r="AH5832" s="831" t="s">
        <v>551</v>
      </c>
      <c r="AI5832" s="831">
        <v>0</v>
      </c>
      <c r="AJ5832" s="835">
        <v>40298</v>
      </c>
      <c r="AK5832" s="831">
        <v>2299372</v>
      </c>
    </row>
    <row r="5833" spans="2:37">
      <c r="B5833" s="834" t="str">
        <f t="shared" si="261"/>
        <v>|||</v>
      </c>
      <c r="H5833" s="835">
        <f t="shared" si="262"/>
        <v>31</v>
      </c>
      <c r="AF5833" s="831" t="s">
        <v>6490</v>
      </c>
      <c r="AG5833" s="831" t="s">
        <v>2674</v>
      </c>
      <c r="AH5833" s="831" t="s">
        <v>550</v>
      </c>
      <c r="AI5833" s="831">
        <v>0</v>
      </c>
      <c r="AJ5833" s="835">
        <v>40298</v>
      </c>
      <c r="AK5833" s="831">
        <v>0</v>
      </c>
    </row>
    <row r="5834" spans="2:37">
      <c r="B5834" s="834" t="str">
        <f t="shared" si="261"/>
        <v>|||</v>
      </c>
      <c r="H5834" s="835">
        <f t="shared" si="262"/>
        <v>31</v>
      </c>
      <c r="AF5834" s="831" t="s">
        <v>6491</v>
      </c>
      <c r="AG5834" s="831" t="s">
        <v>2674</v>
      </c>
      <c r="AH5834" s="831" t="s">
        <v>562</v>
      </c>
      <c r="AI5834" s="831">
        <v>0</v>
      </c>
      <c r="AJ5834" s="835">
        <v>40298</v>
      </c>
      <c r="AK5834" s="831">
        <v>0.8</v>
      </c>
    </row>
    <row r="5835" spans="2:37">
      <c r="B5835" s="834" t="str">
        <f t="shared" si="261"/>
        <v>|||</v>
      </c>
      <c r="H5835" s="835">
        <f t="shared" si="262"/>
        <v>31</v>
      </c>
      <c r="AF5835" s="831" t="s">
        <v>6492</v>
      </c>
      <c r="AG5835" s="831" t="s">
        <v>2674</v>
      </c>
      <c r="AH5835" s="831" t="s">
        <v>2698</v>
      </c>
      <c r="AI5835" s="831">
        <v>0</v>
      </c>
      <c r="AJ5835" s="835">
        <v>40298</v>
      </c>
      <c r="AK5835" s="831">
        <v>0.81</v>
      </c>
    </row>
    <row r="5836" spans="2:37">
      <c r="B5836" s="834" t="str">
        <f t="shared" si="261"/>
        <v>|||</v>
      </c>
      <c r="H5836" s="835">
        <f t="shared" si="262"/>
        <v>31</v>
      </c>
      <c r="AF5836" s="831" t="s">
        <v>6493</v>
      </c>
      <c r="AG5836" s="831" t="s">
        <v>2674</v>
      </c>
      <c r="AH5836" s="831" t="s">
        <v>560</v>
      </c>
      <c r="AI5836" s="831">
        <v>0</v>
      </c>
      <c r="AJ5836" s="835">
        <v>40298</v>
      </c>
      <c r="AK5836" s="831">
        <v>0.8075</v>
      </c>
    </row>
    <row r="5837" spans="2:37">
      <c r="B5837" s="834" t="str">
        <f t="shared" si="261"/>
        <v>|||</v>
      </c>
      <c r="H5837" s="835">
        <f t="shared" si="262"/>
        <v>31</v>
      </c>
      <c r="AF5837" s="831" t="s">
        <v>6494</v>
      </c>
      <c r="AG5837" s="831" t="s">
        <v>2674</v>
      </c>
      <c r="AH5837" s="831" t="s">
        <v>559</v>
      </c>
      <c r="AI5837" s="831">
        <v>0</v>
      </c>
      <c r="AJ5837" s="835">
        <v>40298</v>
      </c>
      <c r="AK5837" s="831">
        <v>0.80249999999999999</v>
      </c>
    </row>
    <row r="5838" spans="2:37">
      <c r="B5838" s="834" t="str">
        <f t="shared" si="261"/>
        <v>|||</v>
      </c>
      <c r="H5838" s="835">
        <f t="shared" si="262"/>
        <v>31</v>
      </c>
      <c r="AF5838" s="831" t="s">
        <v>6495</v>
      </c>
      <c r="AG5838" s="831" t="s">
        <v>2674</v>
      </c>
      <c r="AH5838" s="831" t="s">
        <v>568</v>
      </c>
      <c r="AI5838" s="831">
        <v>0</v>
      </c>
      <c r="AJ5838" s="835">
        <v>40298</v>
      </c>
      <c r="AK5838" s="831">
        <v>0</v>
      </c>
    </row>
    <row r="5839" spans="2:37">
      <c r="B5839" s="834" t="str">
        <f t="shared" si="261"/>
        <v>|||</v>
      </c>
      <c r="H5839" s="835">
        <f t="shared" si="262"/>
        <v>31</v>
      </c>
      <c r="AF5839" s="831" t="s">
        <v>6496</v>
      </c>
      <c r="AG5839" s="831" t="s">
        <v>2674</v>
      </c>
      <c r="AH5839" s="831" t="s">
        <v>569</v>
      </c>
      <c r="AI5839" s="831">
        <v>0</v>
      </c>
      <c r="AJ5839" s="835">
        <v>40298</v>
      </c>
      <c r="AK5839" s="831">
        <v>0</v>
      </c>
    </row>
    <row r="5840" spans="2:37">
      <c r="B5840" s="834" t="str">
        <f t="shared" si="261"/>
        <v>|||</v>
      </c>
      <c r="H5840" s="835">
        <f t="shared" si="262"/>
        <v>31</v>
      </c>
      <c r="AF5840" s="831" t="s">
        <v>6497</v>
      </c>
      <c r="AG5840" s="831" t="s">
        <v>2674</v>
      </c>
      <c r="AH5840" s="831" t="s">
        <v>570</v>
      </c>
      <c r="AI5840" s="831">
        <v>0</v>
      </c>
      <c r="AJ5840" s="835">
        <v>40298</v>
      </c>
      <c r="AK5840" s="831">
        <v>0</v>
      </c>
    </row>
    <row r="5841" spans="2:37">
      <c r="B5841" s="834" t="str">
        <f t="shared" si="261"/>
        <v>|||</v>
      </c>
      <c r="H5841" s="835">
        <f t="shared" si="262"/>
        <v>31</v>
      </c>
      <c r="AF5841" s="831" t="s">
        <v>6498</v>
      </c>
      <c r="AG5841" s="831" t="s">
        <v>2674</v>
      </c>
      <c r="AH5841" s="831" t="s">
        <v>571</v>
      </c>
      <c r="AI5841" s="831">
        <v>0</v>
      </c>
      <c r="AJ5841" s="835">
        <v>40298</v>
      </c>
      <c r="AK5841" s="831">
        <v>0</v>
      </c>
    </row>
    <row r="5842" spans="2:37">
      <c r="B5842" s="834" t="str">
        <f t="shared" si="261"/>
        <v>|||</v>
      </c>
      <c r="H5842" s="835">
        <f t="shared" si="262"/>
        <v>31</v>
      </c>
      <c r="AF5842" s="831" t="s">
        <v>6499</v>
      </c>
      <c r="AG5842" s="831" t="s">
        <v>2674</v>
      </c>
      <c r="AH5842" s="831" t="s">
        <v>573</v>
      </c>
      <c r="AI5842" s="831">
        <v>0</v>
      </c>
      <c r="AJ5842" s="835">
        <v>40298</v>
      </c>
      <c r="AK5842" s="831">
        <v>0</v>
      </c>
    </row>
    <row r="5843" spans="2:37">
      <c r="B5843" s="834" t="str">
        <f t="shared" si="261"/>
        <v>|||</v>
      </c>
      <c r="H5843" s="835">
        <f t="shared" si="262"/>
        <v>31</v>
      </c>
      <c r="AF5843" s="831" t="s">
        <v>6500</v>
      </c>
      <c r="AG5843" s="831" t="s">
        <v>2674</v>
      </c>
      <c r="AH5843" s="831" t="s">
        <v>574</v>
      </c>
      <c r="AI5843" s="831">
        <v>0</v>
      </c>
      <c r="AJ5843" s="835">
        <v>40298</v>
      </c>
      <c r="AK5843" s="831">
        <v>0</v>
      </c>
    </row>
    <row r="5844" spans="2:37">
      <c r="B5844" s="834" t="str">
        <f t="shared" si="261"/>
        <v>|||</v>
      </c>
      <c r="H5844" s="835">
        <f t="shared" si="262"/>
        <v>31</v>
      </c>
      <c r="AF5844" s="831" t="s">
        <v>6501</v>
      </c>
      <c r="AG5844" s="831" t="s">
        <v>2674</v>
      </c>
      <c r="AH5844" s="831" t="s">
        <v>575</v>
      </c>
      <c r="AI5844" s="831">
        <v>0</v>
      </c>
      <c r="AJ5844" s="835">
        <v>40298</v>
      </c>
      <c r="AK5844" s="831">
        <v>0</v>
      </c>
    </row>
    <row r="5845" spans="2:37">
      <c r="B5845" s="834" t="str">
        <f t="shared" si="261"/>
        <v>|||</v>
      </c>
      <c r="H5845" s="835">
        <f t="shared" si="262"/>
        <v>31</v>
      </c>
      <c r="AF5845" s="831" t="s">
        <v>6502</v>
      </c>
      <c r="AG5845" s="831" t="s">
        <v>2674</v>
      </c>
      <c r="AH5845" s="831" t="s">
        <v>576</v>
      </c>
      <c r="AI5845" s="831">
        <v>0</v>
      </c>
      <c r="AJ5845" s="835">
        <v>40298</v>
      </c>
      <c r="AK5845" s="831">
        <v>0</v>
      </c>
    </row>
    <row r="5846" spans="2:37">
      <c r="B5846" s="834" t="str">
        <f t="shared" si="261"/>
        <v>|||</v>
      </c>
      <c r="H5846" s="835">
        <f t="shared" si="262"/>
        <v>31</v>
      </c>
      <c r="AF5846" s="831" t="s">
        <v>6503</v>
      </c>
      <c r="AG5846" s="831" t="s">
        <v>2674</v>
      </c>
      <c r="AH5846" s="831" t="s">
        <v>572</v>
      </c>
      <c r="AI5846" s="831">
        <v>0</v>
      </c>
      <c r="AJ5846" s="835">
        <v>40298</v>
      </c>
      <c r="AK5846" s="831">
        <v>0</v>
      </c>
    </row>
    <row r="5847" spans="2:37">
      <c r="B5847" s="834" t="str">
        <f t="shared" si="261"/>
        <v>|||</v>
      </c>
      <c r="H5847" s="835">
        <f t="shared" si="262"/>
        <v>31</v>
      </c>
      <c r="AF5847" s="831" t="s">
        <v>6504</v>
      </c>
      <c r="AG5847" s="831" t="s">
        <v>2674</v>
      </c>
      <c r="AH5847" s="831" t="s">
        <v>577</v>
      </c>
      <c r="AI5847" s="831">
        <v>0</v>
      </c>
      <c r="AJ5847" s="835">
        <v>40298</v>
      </c>
      <c r="AK5847" s="831">
        <v>0</v>
      </c>
    </row>
    <row r="5848" spans="2:37">
      <c r="B5848" s="834" t="str">
        <f t="shared" si="261"/>
        <v>|||</v>
      </c>
      <c r="H5848" s="835">
        <f t="shared" si="262"/>
        <v>31</v>
      </c>
      <c r="AF5848" s="831" t="s">
        <v>6505</v>
      </c>
      <c r="AG5848" s="831" t="s">
        <v>2674</v>
      </c>
      <c r="AH5848" s="831" t="s">
        <v>3042</v>
      </c>
      <c r="AI5848" s="831">
        <v>0</v>
      </c>
      <c r="AJ5848" s="835">
        <v>40298</v>
      </c>
      <c r="AK5848" s="831">
        <v>0</v>
      </c>
    </row>
    <row r="5849" spans="2:37">
      <c r="B5849" s="834" t="str">
        <f t="shared" si="261"/>
        <v>|||</v>
      </c>
      <c r="H5849" s="835">
        <f t="shared" si="262"/>
        <v>31</v>
      </c>
      <c r="AF5849" s="831" t="s">
        <v>6506</v>
      </c>
      <c r="AG5849" s="831" t="s">
        <v>2674</v>
      </c>
      <c r="AH5849" s="831" t="s">
        <v>3044</v>
      </c>
      <c r="AI5849" s="831">
        <v>0</v>
      </c>
      <c r="AJ5849" s="835">
        <v>40298</v>
      </c>
      <c r="AK5849" s="831">
        <v>0</v>
      </c>
    </row>
    <row r="5850" spans="2:37">
      <c r="B5850" s="834" t="str">
        <f t="shared" si="261"/>
        <v>|||</v>
      </c>
      <c r="H5850" s="835">
        <f t="shared" si="262"/>
        <v>31</v>
      </c>
      <c r="AF5850" s="831" t="s">
        <v>6507</v>
      </c>
      <c r="AG5850" s="831" t="s">
        <v>2674</v>
      </c>
      <c r="AH5850" s="831" t="s">
        <v>580</v>
      </c>
      <c r="AI5850" s="831">
        <v>0</v>
      </c>
      <c r="AJ5850" s="835">
        <v>40298</v>
      </c>
      <c r="AK5850" s="831">
        <v>0</v>
      </c>
    </row>
    <row r="5851" spans="2:37">
      <c r="B5851" s="834" t="str">
        <f t="shared" si="261"/>
        <v>|||</v>
      </c>
      <c r="H5851" s="835">
        <f t="shared" si="262"/>
        <v>31</v>
      </c>
      <c r="AF5851" s="831" t="s">
        <v>6508</v>
      </c>
      <c r="AG5851" s="831" t="s">
        <v>2674</v>
      </c>
      <c r="AH5851" s="831" t="s">
        <v>581</v>
      </c>
      <c r="AI5851" s="831">
        <v>0</v>
      </c>
      <c r="AJ5851" s="835">
        <v>40298</v>
      </c>
      <c r="AK5851" s="831">
        <v>0</v>
      </c>
    </row>
    <row r="5852" spans="2:37">
      <c r="B5852" s="834" t="str">
        <f t="shared" si="261"/>
        <v>|||</v>
      </c>
      <c r="H5852" s="835">
        <f t="shared" si="262"/>
        <v>31</v>
      </c>
      <c r="AF5852" s="831" t="s">
        <v>6509</v>
      </c>
      <c r="AG5852" s="831" t="s">
        <v>2674</v>
      </c>
      <c r="AH5852" s="831" t="s">
        <v>105</v>
      </c>
      <c r="AI5852" s="831">
        <v>0</v>
      </c>
      <c r="AJ5852" s="835">
        <v>40298</v>
      </c>
      <c r="AK5852" s="831">
        <v>170465131</v>
      </c>
    </row>
    <row r="5853" spans="2:37">
      <c r="B5853" s="834" t="str">
        <f t="shared" si="261"/>
        <v>|||</v>
      </c>
      <c r="H5853" s="835">
        <f t="shared" si="262"/>
        <v>31</v>
      </c>
      <c r="AF5853" s="831" t="s">
        <v>6510</v>
      </c>
      <c r="AG5853" s="831" t="s">
        <v>2674</v>
      </c>
      <c r="AH5853" s="831" t="s">
        <v>3049</v>
      </c>
      <c r="AI5853" s="831">
        <v>0</v>
      </c>
      <c r="AJ5853" s="835">
        <v>40298</v>
      </c>
      <c r="AK5853" s="831">
        <v>257184435</v>
      </c>
    </row>
    <row r="5854" spans="2:37">
      <c r="B5854" s="834" t="str">
        <f t="shared" si="261"/>
        <v>|||</v>
      </c>
      <c r="H5854" s="835">
        <f t="shared" si="262"/>
        <v>31</v>
      </c>
      <c r="AF5854" s="831" t="s">
        <v>6511</v>
      </c>
      <c r="AG5854" s="831" t="s">
        <v>2674</v>
      </c>
      <c r="AH5854" s="831" t="s">
        <v>103</v>
      </c>
      <c r="AI5854" s="831">
        <v>0</v>
      </c>
      <c r="AJ5854" s="835">
        <v>40298</v>
      </c>
      <c r="AK5854" s="831">
        <v>86719304</v>
      </c>
    </row>
    <row r="5855" spans="2:37">
      <c r="B5855" s="834" t="str">
        <f t="shared" si="261"/>
        <v>|||</v>
      </c>
      <c r="H5855" s="835">
        <f t="shared" si="262"/>
        <v>31</v>
      </c>
      <c r="AF5855" s="831" t="s">
        <v>6512</v>
      </c>
      <c r="AG5855" s="831" t="s">
        <v>2674</v>
      </c>
      <c r="AH5855" s="831" t="s">
        <v>182</v>
      </c>
      <c r="AI5855" s="831">
        <v>0</v>
      </c>
      <c r="AJ5855" s="835">
        <v>40298</v>
      </c>
      <c r="AK5855" s="831">
        <v>31024068</v>
      </c>
    </row>
    <row r="5856" spans="2:37">
      <c r="B5856" s="834" t="str">
        <f t="shared" si="261"/>
        <v>|||</v>
      </c>
      <c r="H5856" s="835">
        <f t="shared" si="262"/>
        <v>31</v>
      </c>
      <c r="AF5856" s="831" t="s">
        <v>6513</v>
      </c>
      <c r="AG5856" s="831" t="s">
        <v>2674</v>
      </c>
      <c r="AH5856" s="831" t="s">
        <v>546</v>
      </c>
      <c r="AI5856" s="831">
        <v>0</v>
      </c>
      <c r="AJ5856" s="835">
        <v>40329</v>
      </c>
      <c r="AK5856" s="831">
        <v>266868508</v>
      </c>
    </row>
    <row r="5857" spans="2:37">
      <c r="B5857" s="834" t="str">
        <f t="shared" si="261"/>
        <v>|||</v>
      </c>
      <c r="H5857" s="835">
        <f t="shared" si="262"/>
        <v>31</v>
      </c>
      <c r="AF5857" s="831" t="s">
        <v>6514</v>
      </c>
      <c r="AG5857" s="831" t="s">
        <v>2674</v>
      </c>
      <c r="AH5857" s="831" t="s">
        <v>370</v>
      </c>
      <c r="AI5857" s="831">
        <v>0</v>
      </c>
      <c r="AJ5857" s="835">
        <v>40329</v>
      </c>
      <c r="AK5857" s="831">
        <v>335340931</v>
      </c>
    </row>
    <row r="5858" spans="2:37">
      <c r="B5858" s="834" t="str">
        <f t="shared" si="261"/>
        <v>|||</v>
      </c>
      <c r="H5858" s="835">
        <f t="shared" si="262"/>
        <v>31</v>
      </c>
      <c r="AF5858" s="831" t="s">
        <v>6515</v>
      </c>
      <c r="AG5858" s="831" t="s">
        <v>2674</v>
      </c>
      <c r="AH5858" s="831" t="s">
        <v>126</v>
      </c>
      <c r="AI5858" s="831">
        <v>0</v>
      </c>
      <c r="AJ5858" s="835">
        <v>40329</v>
      </c>
      <c r="AK5858" s="831">
        <v>64661180</v>
      </c>
    </row>
    <row r="5859" spans="2:37">
      <c r="B5859" s="834" t="str">
        <f t="shared" si="261"/>
        <v>|||</v>
      </c>
      <c r="H5859" s="835">
        <f t="shared" si="262"/>
        <v>31</v>
      </c>
      <c r="AF5859" s="831" t="s">
        <v>6516</v>
      </c>
      <c r="AG5859" s="831" t="s">
        <v>2674</v>
      </c>
      <c r="AH5859" s="831" t="s">
        <v>268</v>
      </c>
      <c r="AI5859" s="831">
        <v>0</v>
      </c>
      <c r="AJ5859" s="835">
        <v>40329</v>
      </c>
      <c r="AK5859" s="831">
        <v>11375898</v>
      </c>
    </row>
    <row r="5860" spans="2:37">
      <c r="B5860" s="834" t="str">
        <f t="shared" si="261"/>
        <v>|||</v>
      </c>
      <c r="H5860" s="835">
        <f t="shared" si="262"/>
        <v>31</v>
      </c>
      <c r="AF5860" s="831" t="s">
        <v>6517</v>
      </c>
      <c r="AG5860" s="831" t="s">
        <v>2674</v>
      </c>
      <c r="AH5860" s="831" t="s">
        <v>547</v>
      </c>
      <c r="AI5860" s="831">
        <v>0</v>
      </c>
      <c r="AJ5860" s="835">
        <v>40329</v>
      </c>
      <c r="AK5860" s="831">
        <v>0</v>
      </c>
    </row>
    <row r="5861" spans="2:37">
      <c r="B5861" s="834" t="str">
        <f t="shared" si="261"/>
        <v>|||</v>
      </c>
      <c r="H5861" s="835">
        <f t="shared" si="262"/>
        <v>31</v>
      </c>
      <c r="AF5861" s="831" t="s">
        <v>6518</v>
      </c>
      <c r="AG5861" s="831" t="s">
        <v>2674</v>
      </c>
      <c r="AH5861" s="831" t="s">
        <v>548</v>
      </c>
      <c r="AI5861" s="831">
        <v>0</v>
      </c>
      <c r="AJ5861" s="835">
        <v>40329</v>
      </c>
      <c r="AK5861" s="831">
        <v>0</v>
      </c>
    </row>
    <row r="5862" spans="2:37">
      <c r="B5862" s="834" t="str">
        <f t="shared" si="261"/>
        <v>|||</v>
      </c>
      <c r="H5862" s="835">
        <f t="shared" si="262"/>
        <v>31</v>
      </c>
      <c r="AF5862" s="831" t="s">
        <v>6519</v>
      </c>
      <c r="AG5862" s="831" t="s">
        <v>2674</v>
      </c>
      <c r="AH5862" s="831" t="s">
        <v>549</v>
      </c>
      <c r="AI5862" s="831">
        <v>0</v>
      </c>
      <c r="AJ5862" s="835">
        <v>40329</v>
      </c>
      <c r="AK5862" s="831">
        <v>0</v>
      </c>
    </row>
    <row r="5863" spans="2:37">
      <c r="B5863" s="834" t="str">
        <f t="shared" si="261"/>
        <v>|||</v>
      </c>
      <c r="H5863" s="835">
        <f t="shared" si="262"/>
        <v>31</v>
      </c>
      <c r="AF5863" s="831" t="s">
        <v>6520</v>
      </c>
      <c r="AG5863" s="831" t="s">
        <v>2674</v>
      </c>
      <c r="AH5863" s="831" t="s">
        <v>192</v>
      </c>
      <c r="AI5863" s="831">
        <v>0</v>
      </c>
      <c r="AJ5863" s="835">
        <v>40329</v>
      </c>
      <c r="AK5863" s="831">
        <v>-7598626</v>
      </c>
    </row>
    <row r="5864" spans="2:37">
      <c r="B5864" s="834" t="str">
        <f t="shared" si="261"/>
        <v>|||</v>
      </c>
      <c r="H5864" s="835">
        <f t="shared" si="262"/>
        <v>31</v>
      </c>
      <c r="AF5864" s="831" t="s">
        <v>6521</v>
      </c>
      <c r="AG5864" s="831" t="s">
        <v>2674</v>
      </c>
      <c r="AH5864" s="831" t="s">
        <v>558</v>
      </c>
      <c r="AI5864" s="831">
        <v>0</v>
      </c>
      <c r="AJ5864" s="835">
        <v>40329</v>
      </c>
      <c r="AK5864" s="831">
        <v>270679751</v>
      </c>
    </row>
    <row r="5865" spans="2:37">
      <c r="B5865" s="834" t="str">
        <f t="shared" si="261"/>
        <v>|||</v>
      </c>
      <c r="H5865" s="835">
        <f t="shared" si="262"/>
        <v>31</v>
      </c>
      <c r="AF5865" s="831" t="s">
        <v>6522</v>
      </c>
      <c r="AG5865" s="831" t="s">
        <v>2674</v>
      </c>
      <c r="AH5865" s="831" t="s">
        <v>65</v>
      </c>
      <c r="AI5865" s="831">
        <v>0</v>
      </c>
      <c r="AJ5865" s="835">
        <v>40329</v>
      </c>
      <c r="AK5865" s="831">
        <v>35384554</v>
      </c>
    </row>
    <row r="5866" spans="2:37">
      <c r="B5866" s="834" t="str">
        <f t="shared" si="261"/>
        <v>|||</v>
      </c>
      <c r="H5866" s="835">
        <f t="shared" si="262"/>
        <v>31</v>
      </c>
      <c r="AF5866" s="831" t="s">
        <v>6523</v>
      </c>
      <c r="AG5866" s="831" t="s">
        <v>2674</v>
      </c>
      <c r="AH5866" s="831" t="s">
        <v>89</v>
      </c>
      <c r="AI5866" s="831">
        <v>0</v>
      </c>
      <c r="AJ5866" s="835">
        <v>40329</v>
      </c>
      <c r="AK5866" s="831">
        <v>113511</v>
      </c>
    </row>
    <row r="5867" spans="2:37">
      <c r="B5867" s="834" t="str">
        <f t="shared" si="261"/>
        <v>|||</v>
      </c>
      <c r="H5867" s="835">
        <f t="shared" si="262"/>
        <v>31</v>
      </c>
      <c r="AF5867" s="831" t="s">
        <v>6524</v>
      </c>
      <c r="AG5867" s="831" t="s">
        <v>2674</v>
      </c>
      <c r="AH5867" s="831" t="s">
        <v>557</v>
      </c>
      <c r="AI5867" s="831">
        <v>0</v>
      </c>
      <c r="AJ5867" s="835">
        <v>40329</v>
      </c>
      <c r="AK5867" s="831">
        <v>116101</v>
      </c>
    </row>
    <row r="5868" spans="2:37">
      <c r="B5868" s="834" t="str">
        <f t="shared" si="261"/>
        <v>|||</v>
      </c>
      <c r="H5868" s="835">
        <f t="shared" si="262"/>
        <v>31</v>
      </c>
      <c r="AF5868" s="831" t="s">
        <v>6525</v>
      </c>
      <c r="AG5868" s="831" t="s">
        <v>2674</v>
      </c>
      <c r="AH5868" s="831" t="s">
        <v>29</v>
      </c>
      <c r="AI5868" s="831">
        <v>0</v>
      </c>
      <c r="AJ5868" s="835">
        <v>40329</v>
      </c>
      <c r="AK5868" s="831">
        <v>2644240</v>
      </c>
    </row>
    <row r="5869" spans="2:37">
      <c r="B5869" s="834" t="str">
        <f t="shared" si="261"/>
        <v>|||</v>
      </c>
      <c r="H5869" s="835">
        <f t="shared" si="262"/>
        <v>31</v>
      </c>
      <c r="AF5869" s="831" t="s">
        <v>6526</v>
      </c>
      <c r="AG5869" s="831" t="s">
        <v>2674</v>
      </c>
      <c r="AH5869" s="831" t="s">
        <v>2688</v>
      </c>
      <c r="AI5869" s="831">
        <v>0</v>
      </c>
      <c r="AJ5869" s="835">
        <v>40329</v>
      </c>
      <c r="AK5869" s="831">
        <v>827400</v>
      </c>
    </row>
    <row r="5870" spans="2:37">
      <c r="B5870" s="834" t="str">
        <f t="shared" si="261"/>
        <v>|||</v>
      </c>
      <c r="H5870" s="835">
        <f t="shared" si="262"/>
        <v>31</v>
      </c>
      <c r="AF5870" s="831" t="s">
        <v>6527</v>
      </c>
      <c r="AG5870" s="831" t="s">
        <v>2674</v>
      </c>
      <c r="AH5870" s="831" t="s">
        <v>556</v>
      </c>
      <c r="AI5870" s="831">
        <v>0</v>
      </c>
      <c r="AJ5870" s="835">
        <v>40329</v>
      </c>
      <c r="AK5870" s="831">
        <v>1074605.9946000001</v>
      </c>
    </row>
    <row r="5871" spans="2:37">
      <c r="B5871" s="834" t="str">
        <f t="shared" si="261"/>
        <v>|||</v>
      </c>
      <c r="H5871" s="835">
        <f t="shared" si="262"/>
        <v>31</v>
      </c>
      <c r="AF5871" s="831" t="s">
        <v>6528</v>
      </c>
      <c r="AG5871" s="831" t="s">
        <v>2674</v>
      </c>
      <c r="AH5871" s="831" t="s">
        <v>555</v>
      </c>
      <c r="AI5871" s="831">
        <v>0</v>
      </c>
      <c r="AJ5871" s="835">
        <v>40329</v>
      </c>
      <c r="AK5871" s="831">
        <v>204301315</v>
      </c>
    </row>
    <row r="5872" spans="2:37">
      <c r="B5872" s="834" t="str">
        <f t="shared" si="261"/>
        <v>|||</v>
      </c>
      <c r="H5872" s="835">
        <f t="shared" si="262"/>
        <v>31</v>
      </c>
      <c r="AF5872" s="831" t="s">
        <v>6529</v>
      </c>
      <c r="AG5872" s="831" t="s">
        <v>2674</v>
      </c>
      <c r="AH5872" s="831" t="s">
        <v>554</v>
      </c>
      <c r="AI5872" s="831">
        <v>0</v>
      </c>
      <c r="AJ5872" s="835">
        <v>40329</v>
      </c>
      <c r="AK5872" s="831">
        <v>188564660</v>
      </c>
    </row>
    <row r="5873" spans="2:37">
      <c r="B5873" s="834" t="str">
        <f t="shared" si="261"/>
        <v>|||</v>
      </c>
      <c r="H5873" s="835">
        <f t="shared" si="262"/>
        <v>31</v>
      </c>
      <c r="AF5873" s="831" t="s">
        <v>6530</v>
      </c>
      <c r="AG5873" s="831" t="s">
        <v>2674</v>
      </c>
      <c r="AH5873" s="831" t="s">
        <v>553</v>
      </c>
      <c r="AI5873" s="831">
        <v>0</v>
      </c>
      <c r="AJ5873" s="835">
        <v>40329</v>
      </c>
      <c r="AK5873" s="831">
        <v>0</v>
      </c>
    </row>
    <row r="5874" spans="2:37">
      <c r="B5874" s="834" t="str">
        <f t="shared" si="261"/>
        <v>|||</v>
      </c>
      <c r="H5874" s="835">
        <f t="shared" si="262"/>
        <v>31</v>
      </c>
      <c r="AF5874" s="831" t="s">
        <v>6531</v>
      </c>
      <c r="AG5874" s="831" t="s">
        <v>2674</v>
      </c>
      <c r="AH5874" s="831" t="s">
        <v>552</v>
      </c>
      <c r="AI5874" s="831">
        <v>0</v>
      </c>
      <c r="AJ5874" s="835">
        <v>40329</v>
      </c>
      <c r="AK5874" s="831">
        <v>0</v>
      </c>
    </row>
    <row r="5875" spans="2:37">
      <c r="B5875" s="834" t="str">
        <f t="shared" si="261"/>
        <v>|||</v>
      </c>
      <c r="H5875" s="835">
        <f t="shared" si="262"/>
        <v>31</v>
      </c>
      <c r="AF5875" s="831" t="s">
        <v>6532</v>
      </c>
      <c r="AG5875" s="831" t="s">
        <v>2674</v>
      </c>
      <c r="AH5875" s="831" t="s">
        <v>551</v>
      </c>
      <c r="AI5875" s="831">
        <v>0</v>
      </c>
      <c r="AJ5875" s="835">
        <v>40329</v>
      </c>
      <c r="AK5875" s="831">
        <v>2480092</v>
      </c>
    </row>
    <row r="5876" spans="2:37">
      <c r="B5876" s="834" t="str">
        <f t="shared" si="261"/>
        <v>|||</v>
      </c>
      <c r="H5876" s="835">
        <f t="shared" si="262"/>
        <v>31</v>
      </c>
      <c r="AF5876" s="831" t="s">
        <v>6533</v>
      </c>
      <c r="AG5876" s="831" t="s">
        <v>2674</v>
      </c>
      <c r="AH5876" s="831" t="s">
        <v>550</v>
      </c>
      <c r="AI5876" s="831">
        <v>0</v>
      </c>
      <c r="AJ5876" s="835">
        <v>40329</v>
      </c>
      <c r="AK5876" s="831">
        <v>0</v>
      </c>
    </row>
    <row r="5877" spans="2:37">
      <c r="B5877" s="834" t="str">
        <f t="shared" si="261"/>
        <v>|||</v>
      </c>
      <c r="H5877" s="835">
        <f t="shared" si="262"/>
        <v>31</v>
      </c>
      <c r="AF5877" s="831" t="s">
        <v>6534</v>
      </c>
      <c r="AG5877" s="831" t="s">
        <v>2674</v>
      </c>
      <c r="AH5877" s="831" t="s">
        <v>562</v>
      </c>
      <c r="AI5877" s="831">
        <v>0</v>
      </c>
      <c r="AJ5877" s="835">
        <v>40329</v>
      </c>
      <c r="AK5877" s="831">
        <v>0.8</v>
      </c>
    </row>
    <row r="5878" spans="2:37">
      <c r="B5878" s="834" t="str">
        <f t="shared" si="261"/>
        <v>|||</v>
      </c>
      <c r="H5878" s="835">
        <f t="shared" si="262"/>
        <v>31</v>
      </c>
      <c r="AF5878" s="831" t="s">
        <v>6535</v>
      </c>
      <c r="AG5878" s="831" t="s">
        <v>2674</v>
      </c>
      <c r="AH5878" s="831" t="s">
        <v>2698</v>
      </c>
      <c r="AI5878" s="831">
        <v>0</v>
      </c>
      <c r="AJ5878" s="835">
        <v>40329</v>
      </c>
      <c r="AK5878" s="831">
        <v>0.8</v>
      </c>
    </row>
    <row r="5879" spans="2:37">
      <c r="B5879" s="834" t="str">
        <f t="shared" si="261"/>
        <v>|||</v>
      </c>
      <c r="H5879" s="835">
        <f t="shared" si="262"/>
        <v>31</v>
      </c>
      <c r="AF5879" s="831" t="s">
        <v>6536</v>
      </c>
      <c r="AG5879" s="831" t="s">
        <v>2674</v>
      </c>
      <c r="AH5879" s="831" t="s">
        <v>560</v>
      </c>
      <c r="AI5879" s="831">
        <v>0</v>
      </c>
      <c r="AJ5879" s="835">
        <v>40329</v>
      </c>
      <c r="AK5879" s="831">
        <v>0.80600000000000005</v>
      </c>
    </row>
    <row r="5880" spans="2:37">
      <c r="B5880" s="834" t="str">
        <f t="shared" si="261"/>
        <v>|||</v>
      </c>
      <c r="H5880" s="835">
        <f t="shared" si="262"/>
        <v>31</v>
      </c>
      <c r="AF5880" s="831" t="s">
        <v>6537</v>
      </c>
      <c r="AG5880" s="831" t="s">
        <v>2674</v>
      </c>
      <c r="AH5880" s="831" t="s">
        <v>559</v>
      </c>
      <c r="AI5880" s="831">
        <v>0</v>
      </c>
      <c r="AJ5880" s="835">
        <v>40329</v>
      </c>
      <c r="AK5880" s="831">
        <v>0.80249999999999999</v>
      </c>
    </row>
    <row r="5881" spans="2:37">
      <c r="B5881" s="834" t="str">
        <f t="shared" si="261"/>
        <v>|||</v>
      </c>
      <c r="H5881" s="835">
        <f t="shared" si="262"/>
        <v>31</v>
      </c>
      <c r="AF5881" s="831" t="s">
        <v>6538</v>
      </c>
      <c r="AG5881" s="831" t="s">
        <v>2674</v>
      </c>
      <c r="AH5881" s="831" t="s">
        <v>568</v>
      </c>
      <c r="AI5881" s="831">
        <v>0</v>
      </c>
      <c r="AJ5881" s="835">
        <v>40329</v>
      </c>
      <c r="AK5881" s="831">
        <v>0</v>
      </c>
    </row>
    <row r="5882" spans="2:37">
      <c r="B5882" s="834" t="str">
        <f t="shared" si="261"/>
        <v>|||</v>
      </c>
      <c r="H5882" s="835">
        <f t="shared" si="262"/>
        <v>31</v>
      </c>
      <c r="AF5882" s="831" t="s">
        <v>6539</v>
      </c>
      <c r="AG5882" s="831" t="s">
        <v>2674</v>
      </c>
      <c r="AH5882" s="831" t="s">
        <v>569</v>
      </c>
      <c r="AI5882" s="831">
        <v>0</v>
      </c>
      <c r="AJ5882" s="835">
        <v>40329</v>
      </c>
      <c r="AK5882" s="831">
        <v>0</v>
      </c>
    </row>
    <row r="5883" spans="2:37">
      <c r="B5883" s="834" t="str">
        <f t="shared" si="261"/>
        <v>|||</v>
      </c>
      <c r="H5883" s="835">
        <f t="shared" si="262"/>
        <v>31</v>
      </c>
      <c r="AF5883" s="831" t="s">
        <v>6540</v>
      </c>
      <c r="AG5883" s="831" t="s">
        <v>2674</v>
      </c>
      <c r="AH5883" s="831" t="s">
        <v>570</v>
      </c>
      <c r="AI5883" s="831">
        <v>0</v>
      </c>
      <c r="AJ5883" s="835">
        <v>40329</v>
      </c>
      <c r="AK5883" s="831">
        <v>0</v>
      </c>
    </row>
    <row r="5884" spans="2:37">
      <c r="B5884" s="834" t="str">
        <f t="shared" si="261"/>
        <v>|||</v>
      </c>
      <c r="H5884" s="835">
        <f t="shared" si="262"/>
        <v>31</v>
      </c>
      <c r="AF5884" s="831" t="s">
        <v>6541</v>
      </c>
      <c r="AG5884" s="831" t="s">
        <v>2674</v>
      </c>
      <c r="AH5884" s="831" t="s">
        <v>571</v>
      </c>
      <c r="AI5884" s="831">
        <v>0</v>
      </c>
      <c r="AJ5884" s="835">
        <v>40329</v>
      </c>
      <c r="AK5884" s="831">
        <v>0</v>
      </c>
    </row>
    <row r="5885" spans="2:37">
      <c r="B5885" s="834" t="str">
        <f t="shared" si="261"/>
        <v>|||</v>
      </c>
      <c r="H5885" s="835">
        <f t="shared" si="262"/>
        <v>31</v>
      </c>
      <c r="AF5885" s="831" t="s">
        <v>6542</v>
      </c>
      <c r="AG5885" s="831" t="s">
        <v>2674</v>
      </c>
      <c r="AH5885" s="831" t="s">
        <v>573</v>
      </c>
      <c r="AI5885" s="831">
        <v>0</v>
      </c>
      <c r="AJ5885" s="835">
        <v>40329</v>
      </c>
      <c r="AK5885" s="831">
        <v>0</v>
      </c>
    </row>
    <row r="5886" spans="2:37">
      <c r="B5886" s="834" t="str">
        <f t="shared" si="261"/>
        <v>|||</v>
      </c>
      <c r="H5886" s="835">
        <f t="shared" si="262"/>
        <v>31</v>
      </c>
      <c r="AF5886" s="831" t="s">
        <v>6543</v>
      </c>
      <c r="AG5886" s="831" t="s">
        <v>2674</v>
      </c>
      <c r="AH5886" s="831" t="s">
        <v>574</v>
      </c>
      <c r="AI5886" s="831">
        <v>0</v>
      </c>
      <c r="AJ5886" s="835">
        <v>40329</v>
      </c>
      <c r="AK5886" s="831">
        <v>0</v>
      </c>
    </row>
    <row r="5887" spans="2:37">
      <c r="B5887" s="834" t="str">
        <f t="shared" si="261"/>
        <v>|||</v>
      </c>
      <c r="H5887" s="835">
        <f t="shared" si="262"/>
        <v>31</v>
      </c>
      <c r="AF5887" s="831" t="s">
        <v>6544</v>
      </c>
      <c r="AG5887" s="831" t="s">
        <v>2674</v>
      </c>
      <c r="AH5887" s="831" t="s">
        <v>575</v>
      </c>
      <c r="AI5887" s="831">
        <v>0</v>
      </c>
      <c r="AJ5887" s="835">
        <v>40329</v>
      </c>
      <c r="AK5887" s="831">
        <v>0</v>
      </c>
    </row>
    <row r="5888" spans="2:37">
      <c r="B5888" s="834" t="str">
        <f t="shared" si="261"/>
        <v>|||</v>
      </c>
      <c r="H5888" s="835">
        <f t="shared" si="262"/>
        <v>31</v>
      </c>
      <c r="AF5888" s="831" t="s">
        <v>6545</v>
      </c>
      <c r="AG5888" s="831" t="s">
        <v>2674</v>
      </c>
      <c r="AH5888" s="831" t="s">
        <v>576</v>
      </c>
      <c r="AI5888" s="831">
        <v>0</v>
      </c>
      <c r="AJ5888" s="835">
        <v>40329</v>
      </c>
      <c r="AK5888" s="831">
        <v>0</v>
      </c>
    </row>
    <row r="5889" spans="2:37">
      <c r="B5889" s="834" t="str">
        <f t="shared" si="261"/>
        <v>|||</v>
      </c>
      <c r="H5889" s="835">
        <f t="shared" si="262"/>
        <v>31</v>
      </c>
      <c r="AF5889" s="831" t="s">
        <v>6546</v>
      </c>
      <c r="AG5889" s="831" t="s">
        <v>2674</v>
      </c>
      <c r="AH5889" s="831" t="s">
        <v>572</v>
      </c>
      <c r="AI5889" s="831">
        <v>0</v>
      </c>
      <c r="AJ5889" s="835">
        <v>40329</v>
      </c>
      <c r="AK5889" s="831">
        <v>0</v>
      </c>
    </row>
    <row r="5890" spans="2:37">
      <c r="B5890" s="834" t="str">
        <f t="shared" si="261"/>
        <v>|||</v>
      </c>
      <c r="H5890" s="835">
        <f t="shared" si="262"/>
        <v>31</v>
      </c>
      <c r="AF5890" s="831" t="s">
        <v>6547</v>
      </c>
      <c r="AG5890" s="831" t="s">
        <v>2674</v>
      </c>
      <c r="AH5890" s="831" t="s">
        <v>577</v>
      </c>
      <c r="AI5890" s="831">
        <v>0</v>
      </c>
      <c r="AJ5890" s="835">
        <v>40329</v>
      </c>
      <c r="AK5890" s="831">
        <v>0</v>
      </c>
    </row>
    <row r="5891" spans="2:37">
      <c r="B5891" s="834" t="str">
        <f t="shared" ref="B5891:B5954" si="263">C5891&amp;"|"&amp;D5891&amp;"|"&amp;E5891&amp;"|"&amp;F5891</f>
        <v>|||</v>
      </c>
      <c r="H5891" s="835">
        <f t="shared" si="262"/>
        <v>31</v>
      </c>
      <c r="AF5891" s="831" t="s">
        <v>6548</v>
      </c>
      <c r="AG5891" s="831" t="s">
        <v>2674</v>
      </c>
      <c r="AH5891" s="831" t="s">
        <v>3042</v>
      </c>
      <c r="AI5891" s="831">
        <v>0</v>
      </c>
      <c r="AJ5891" s="835">
        <v>40329</v>
      </c>
      <c r="AK5891" s="831">
        <v>0</v>
      </c>
    </row>
    <row r="5892" spans="2:37">
      <c r="B5892" s="834" t="str">
        <f t="shared" si="263"/>
        <v>|||</v>
      </c>
      <c r="H5892" s="835">
        <f t="shared" ref="H5892:H5955" si="264">EOMONTH(L5892,0)</f>
        <v>31</v>
      </c>
      <c r="AF5892" s="831" t="s">
        <v>6549</v>
      </c>
      <c r="AG5892" s="831" t="s">
        <v>2674</v>
      </c>
      <c r="AH5892" s="831" t="s">
        <v>3044</v>
      </c>
      <c r="AI5892" s="831">
        <v>0</v>
      </c>
      <c r="AJ5892" s="835">
        <v>40329</v>
      </c>
      <c r="AK5892" s="831">
        <v>0</v>
      </c>
    </row>
    <row r="5893" spans="2:37">
      <c r="B5893" s="834" t="str">
        <f t="shared" si="263"/>
        <v>|||</v>
      </c>
      <c r="H5893" s="835">
        <f t="shared" si="264"/>
        <v>31</v>
      </c>
      <c r="AF5893" s="831" t="s">
        <v>6550</v>
      </c>
      <c r="AG5893" s="831" t="s">
        <v>2674</v>
      </c>
      <c r="AH5893" s="831" t="s">
        <v>580</v>
      </c>
      <c r="AI5893" s="831">
        <v>0</v>
      </c>
      <c r="AJ5893" s="835">
        <v>40329</v>
      </c>
      <c r="AK5893" s="831">
        <v>0</v>
      </c>
    </row>
    <row r="5894" spans="2:37">
      <c r="B5894" s="834" t="str">
        <f t="shared" si="263"/>
        <v>|||</v>
      </c>
      <c r="H5894" s="835">
        <f t="shared" si="264"/>
        <v>31</v>
      </c>
      <c r="AF5894" s="831" t="s">
        <v>6551</v>
      </c>
      <c r="AG5894" s="831" t="s">
        <v>2674</v>
      </c>
      <c r="AH5894" s="831" t="s">
        <v>581</v>
      </c>
      <c r="AI5894" s="831">
        <v>0</v>
      </c>
      <c r="AJ5894" s="835">
        <v>40329</v>
      </c>
      <c r="AK5894" s="831">
        <v>0</v>
      </c>
    </row>
    <row r="5895" spans="2:37">
      <c r="B5895" s="834" t="str">
        <f t="shared" si="263"/>
        <v>|||</v>
      </c>
      <c r="H5895" s="835">
        <f t="shared" si="264"/>
        <v>31</v>
      </c>
      <c r="AF5895" s="831" t="s">
        <v>6552</v>
      </c>
      <c r="AG5895" s="831" t="s">
        <v>2674</v>
      </c>
      <c r="AH5895" s="831" t="s">
        <v>105</v>
      </c>
      <c r="AI5895" s="831">
        <v>0</v>
      </c>
      <c r="AJ5895" s="835">
        <v>40329</v>
      </c>
      <c r="AK5895" s="831">
        <v>170590559</v>
      </c>
    </row>
    <row r="5896" spans="2:37">
      <c r="B5896" s="834" t="str">
        <f t="shared" si="263"/>
        <v>|||</v>
      </c>
      <c r="H5896" s="835">
        <f t="shared" si="264"/>
        <v>31</v>
      </c>
      <c r="AF5896" s="831" t="s">
        <v>6553</v>
      </c>
      <c r="AG5896" s="831" t="s">
        <v>2674</v>
      </c>
      <c r="AH5896" s="831" t="s">
        <v>3049</v>
      </c>
      <c r="AI5896" s="831">
        <v>0</v>
      </c>
      <c r="AJ5896" s="835">
        <v>40329</v>
      </c>
      <c r="AK5896" s="831">
        <v>262358165</v>
      </c>
    </row>
    <row r="5897" spans="2:37">
      <c r="B5897" s="834" t="str">
        <f t="shared" si="263"/>
        <v>|||</v>
      </c>
      <c r="H5897" s="835">
        <f t="shared" si="264"/>
        <v>31</v>
      </c>
      <c r="AF5897" s="831" t="s">
        <v>6554</v>
      </c>
      <c r="AG5897" s="831" t="s">
        <v>2674</v>
      </c>
      <c r="AH5897" s="831" t="s">
        <v>103</v>
      </c>
      <c r="AI5897" s="831">
        <v>0</v>
      </c>
      <c r="AJ5897" s="835">
        <v>40329</v>
      </c>
      <c r="AK5897" s="831">
        <v>91767606</v>
      </c>
    </row>
    <row r="5898" spans="2:37">
      <c r="B5898" s="834" t="str">
        <f t="shared" si="263"/>
        <v>|||</v>
      </c>
      <c r="H5898" s="835">
        <f t="shared" si="264"/>
        <v>31</v>
      </c>
      <c r="AF5898" s="831" t="s">
        <v>6555</v>
      </c>
      <c r="AG5898" s="831" t="s">
        <v>2674</v>
      </c>
      <c r="AH5898" s="831" t="s">
        <v>182</v>
      </c>
      <c r="AI5898" s="831">
        <v>0</v>
      </c>
      <c r="AJ5898" s="835">
        <v>40329</v>
      </c>
      <c r="AK5898" s="831">
        <v>31759622.399999999</v>
      </c>
    </row>
    <row r="5899" spans="2:37">
      <c r="B5899" s="834" t="str">
        <f t="shared" si="263"/>
        <v>|||</v>
      </c>
      <c r="H5899" s="835">
        <f t="shared" si="264"/>
        <v>31</v>
      </c>
      <c r="AF5899" s="831" t="s">
        <v>6556</v>
      </c>
      <c r="AG5899" s="831" t="s">
        <v>2674</v>
      </c>
      <c r="AH5899" s="831" t="s">
        <v>546</v>
      </c>
      <c r="AI5899" s="831">
        <v>0</v>
      </c>
      <c r="AJ5899" s="835">
        <v>40359</v>
      </c>
      <c r="AK5899" s="831">
        <v>273638925.63969898</v>
      </c>
    </row>
    <row r="5900" spans="2:37">
      <c r="B5900" s="834" t="str">
        <f t="shared" si="263"/>
        <v>|||</v>
      </c>
      <c r="H5900" s="835">
        <f t="shared" si="264"/>
        <v>31</v>
      </c>
      <c r="AF5900" s="831" t="s">
        <v>6557</v>
      </c>
      <c r="AG5900" s="831" t="s">
        <v>2674</v>
      </c>
      <c r="AH5900" s="831" t="s">
        <v>370</v>
      </c>
      <c r="AI5900" s="831">
        <v>0</v>
      </c>
      <c r="AJ5900" s="835">
        <v>40359</v>
      </c>
      <c r="AK5900" s="831">
        <v>331043196.929699</v>
      </c>
    </row>
    <row r="5901" spans="2:37">
      <c r="B5901" s="834" t="str">
        <f t="shared" si="263"/>
        <v>|||</v>
      </c>
      <c r="H5901" s="835">
        <f t="shared" si="264"/>
        <v>31</v>
      </c>
      <c r="AF5901" s="831" t="s">
        <v>6558</v>
      </c>
      <c r="AG5901" s="831" t="s">
        <v>2674</v>
      </c>
      <c r="AH5901" s="831" t="s">
        <v>126</v>
      </c>
      <c r="AI5901" s="831">
        <v>0</v>
      </c>
      <c r="AJ5901" s="835">
        <v>40359</v>
      </c>
      <c r="AK5901" s="831">
        <v>66553572.275707699</v>
      </c>
    </row>
    <row r="5902" spans="2:37">
      <c r="B5902" s="834" t="str">
        <f t="shared" si="263"/>
        <v>|||</v>
      </c>
      <c r="H5902" s="835">
        <f t="shared" si="264"/>
        <v>31</v>
      </c>
      <c r="AF5902" s="831" t="s">
        <v>6559</v>
      </c>
      <c r="AG5902" s="831" t="s">
        <v>2674</v>
      </c>
      <c r="AH5902" s="831" t="s">
        <v>268</v>
      </c>
      <c r="AI5902" s="831">
        <v>0</v>
      </c>
      <c r="AJ5902" s="835">
        <v>40359</v>
      </c>
      <c r="AK5902" s="831">
        <v>13268289.705707701</v>
      </c>
    </row>
    <row r="5903" spans="2:37">
      <c r="B5903" s="834" t="str">
        <f t="shared" si="263"/>
        <v>|||</v>
      </c>
      <c r="H5903" s="835">
        <f t="shared" si="264"/>
        <v>31</v>
      </c>
      <c r="AF5903" s="831" t="s">
        <v>6560</v>
      </c>
      <c r="AG5903" s="831" t="s">
        <v>2674</v>
      </c>
      <c r="AH5903" s="831" t="s">
        <v>547</v>
      </c>
      <c r="AI5903" s="831">
        <v>0</v>
      </c>
      <c r="AJ5903" s="835">
        <v>40359</v>
      </c>
      <c r="AK5903" s="831">
        <v>0</v>
      </c>
    </row>
    <row r="5904" spans="2:37">
      <c r="B5904" s="834" t="str">
        <f t="shared" si="263"/>
        <v>|||</v>
      </c>
      <c r="H5904" s="835">
        <f t="shared" si="264"/>
        <v>31</v>
      </c>
      <c r="AF5904" s="831" t="s">
        <v>6561</v>
      </c>
      <c r="AG5904" s="831" t="s">
        <v>2674</v>
      </c>
      <c r="AH5904" s="831" t="s">
        <v>548</v>
      </c>
      <c r="AI5904" s="831">
        <v>0</v>
      </c>
      <c r="AJ5904" s="835">
        <v>40359</v>
      </c>
      <c r="AK5904" s="831">
        <v>0</v>
      </c>
    </row>
    <row r="5905" spans="2:37">
      <c r="B5905" s="834" t="str">
        <f t="shared" si="263"/>
        <v>|||</v>
      </c>
      <c r="H5905" s="835">
        <f t="shared" si="264"/>
        <v>31</v>
      </c>
      <c r="AF5905" s="831" t="s">
        <v>6562</v>
      </c>
      <c r="AG5905" s="831" t="s">
        <v>2674</v>
      </c>
      <c r="AH5905" s="831" t="s">
        <v>549</v>
      </c>
      <c r="AI5905" s="831">
        <v>0</v>
      </c>
      <c r="AJ5905" s="835">
        <v>40359</v>
      </c>
      <c r="AK5905" s="831">
        <v>0</v>
      </c>
    </row>
    <row r="5906" spans="2:37">
      <c r="B5906" s="834" t="str">
        <f t="shared" si="263"/>
        <v>|||</v>
      </c>
      <c r="H5906" s="835">
        <f t="shared" si="264"/>
        <v>31</v>
      </c>
      <c r="AF5906" s="831" t="s">
        <v>6563</v>
      </c>
      <c r="AG5906" s="831" t="s">
        <v>2674</v>
      </c>
      <c r="AH5906" s="831" t="s">
        <v>192</v>
      </c>
      <c r="AI5906" s="831">
        <v>0</v>
      </c>
      <c r="AJ5906" s="835">
        <v>40359</v>
      </c>
      <c r="AK5906" s="831">
        <v>-7935652.8700000001</v>
      </c>
    </row>
    <row r="5907" spans="2:37">
      <c r="B5907" s="834" t="str">
        <f t="shared" si="263"/>
        <v>|||</v>
      </c>
      <c r="H5907" s="835">
        <f t="shared" si="264"/>
        <v>31</v>
      </c>
      <c r="AF5907" s="831" t="s">
        <v>6564</v>
      </c>
      <c r="AG5907" s="831" t="s">
        <v>2674</v>
      </c>
      <c r="AH5907" s="831" t="s">
        <v>558</v>
      </c>
      <c r="AI5907" s="831">
        <v>0</v>
      </c>
      <c r="AJ5907" s="835">
        <v>40359</v>
      </c>
      <c r="AK5907" s="831">
        <v>264489624.83199999</v>
      </c>
    </row>
    <row r="5908" spans="2:37">
      <c r="B5908" s="834" t="str">
        <f t="shared" si="263"/>
        <v>|||</v>
      </c>
      <c r="H5908" s="835">
        <f t="shared" si="264"/>
        <v>31</v>
      </c>
      <c r="AF5908" s="831" t="s">
        <v>6565</v>
      </c>
      <c r="AG5908" s="831" t="s">
        <v>2674</v>
      </c>
      <c r="AH5908" s="831" t="s">
        <v>65</v>
      </c>
      <c r="AI5908" s="831">
        <v>0</v>
      </c>
      <c r="AJ5908" s="835">
        <v>40359</v>
      </c>
      <c r="AK5908" s="831">
        <v>42860787.869099997</v>
      </c>
    </row>
    <row r="5909" spans="2:37">
      <c r="B5909" s="834" t="str">
        <f t="shared" si="263"/>
        <v>|||</v>
      </c>
      <c r="H5909" s="835">
        <f t="shared" si="264"/>
        <v>31</v>
      </c>
      <c r="AF5909" s="831" t="s">
        <v>6566</v>
      </c>
      <c r="AG5909" s="831" t="s">
        <v>2674</v>
      </c>
      <c r="AH5909" s="831" t="s">
        <v>89</v>
      </c>
      <c r="AI5909" s="831">
        <v>0</v>
      </c>
      <c r="AJ5909" s="835">
        <v>40359</v>
      </c>
      <c r="AK5909" s="831">
        <v>117374</v>
      </c>
    </row>
    <row r="5910" spans="2:37">
      <c r="B5910" s="834" t="str">
        <f t="shared" si="263"/>
        <v>|||</v>
      </c>
      <c r="H5910" s="835">
        <f t="shared" si="264"/>
        <v>31</v>
      </c>
      <c r="AF5910" s="831" t="s">
        <v>6567</v>
      </c>
      <c r="AG5910" s="831" t="s">
        <v>2674</v>
      </c>
      <c r="AH5910" s="831" t="s">
        <v>557</v>
      </c>
      <c r="AI5910" s="831">
        <v>0</v>
      </c>
      <c r="AJ5910" s="835">
        <v>40359</v>
      </c>
      <c r="AK5910" s="831">
        <v>119942</v>
      </c>
    </row>
    <row r="5911" spans="2:37">
      <c r="B5911" s="834" t="str">
        <f t="shared" si="263"/>
        <v>|||</v>
      </c>
      <c r="H5911" s="835">
        <f t="shared" si="264"/>
        <v>31</v>
      </c>
      <c r="AF5911" s="831" t="s">
        <v>6568</v>
      </c>
      <c r="AG5911" s="831" t="s">
        <v>2674</v>
      </c>
      <c r="AH5911" s="831" t="s">
        <v>29</v>
      </c>
      <c r="AI5911" s="831">
        <v>0</v>
      </c>
      <c r="AJ5911" s="835">
        <v>40359</v>
      </c>
      <c r="AK5911" s="831">
        <v>2889420</v>
      </c>
    </row>
    <row r="5912" spans="2:37">
      <c r="B5912" s="834" t="str">
        <f t="shared" si="263"/>
        <v>|||</v>
      </c>
      <c r="H5912" s="835">
        <f t="shared" si="264"/>
        <v>31</v>
      </c>
      <c r="AF5912" s="831" t="s">
        <v>6569</v>
      </c>
      <c r="AG5912" s="831" t="s">
        <v>2674</v>
      </c>
      <c r="AH5912" s="831" t="s">
        <v>2688</v>
      </c>
      <c r="AI5912" s="831">
        <v>0</v>
      </c>
      <c r="AJ5912" s="835">
        <v>40359</v>
      </c>
      <c r="AK5912" s="831">
        <v>1027728</v>
      </c>
    </row>
    <row r="5913" spans="2:37">
      <c r="B5913" s="834" t="str">
        <f t="shared" si="263"/>
        <v>|||</v>
      </c>
      <c r="H5913" s="835">
        <f t="shared" si="264"/>
        <v>31</v>
      </c>
      <c r="AF5913" s="831" t="s">
        <v>6570</v>
      </c>
      <c r="AG5913" s="831" t="s">
        <v>2674</v>
      </c>
      <c r="AH5913" s="831" t="s">
        <v>556</v>
      </c>
      <c r="AI5913" s="831">
        <v>0</v>
      </c>
      <c r="AJ5913" s="835">
        <v>40359</v>
      </c>
      <c r="AK5913" s="831">
        <v>1074605.9946000001</v>
      </c>
    </row>
    <row r="5914" spans="2:37">
      <c r="B5914" s="834" t="str">
        <f t="shared" si="263"/>
        <v>|||</v>
      </c>
      <c r="H5914" s="835">
        <f t="shared" si="264"/>
        <v>31</v>
      </c>
      <c r="AF5914" s="831" t="s">
        <v>6571</v>
      </c>
      <c r="AG5914" s="831" t="s">
        <v>2674</v>
      </c>
      <c r="AH5914" s="831" t="s">
        <v>555</v>
      </c>
      <c r="AI5914" s="831">
        <v>0</v>
      </c>
      <c r="AJ5914" s="835">
        <v>40359</v>
      </c>
      <c r="AK5914" s="831">
        <v>199988225</v>
      </c>
    </row>
    <row r="5915" spans="2:37">
      <c r="B5915" s="834" t="str">
        <f t="shared" si="263"/>
        <v>|||</v>
      </c>
      <c r="H5915" s="835">
        <f t="shared" si="264"/>
        <v>31</v>
      </c>
      <c r="AF5915" s="831" t="s">
        <v>6572</v>
      </c>
      <c r="AG5915" s="831" t="s">
        <v>2674</v>
      </c>
      <c r="AH5915" s="831" t="s">
        <v>554</v>
      </c>
      <c r="AI5915" s="831">
        <v>0</v>
      </c>
      <c r="AJ5915" s="835">
        <v>40359</v>
      </c>
      <c r="AK5915" s="831">
        <v>181179200</v>
      </c>
    </row>
    <row r="5916" spans="2:37">
      <c r="B5916" s="834" t="str">
        <f t="shared" si="263"/>
        <v>|||</v>
      </c>
      <c r="H5916" s="835">
        <f t="shared" si="264"/>
        <v>31</v>
      </c>
      <c r="AF5916" s="831" t="s">
        <v>6573</v>
      </c>
      <c r="AG5916" s="831" t="s">
        <v>2674</v>
      </c>
      <c r="AH5916" s="831" t="s">
        <v>553</v>
      </c>
      <c r="AI5916" s="831">
        <v>0</v>
      </c>
      <c r="AJ5916" s="835">
        <v>40359</v>
      </c>
      <c r="AK5916" s="831">
        <v>0</v>
      </c>
    </row>
    <row r="5917" spans="2:37">
      <c r="B5917" s="834" t="str">
        <f t="shared" si="263"/>
        <v>|||</v>
      </c>
      <c r="H5917" s="835">
        <f t="shared" si="264"/>
        <v>31</v>
      </c>
      <c r="AF5917" s="831" t="s">
        <v>6574</v>
      </c>
      <c r="AG5917" s="831" t="s">
        <v>2674</v>
      </c>
      <c r="AH5917" s="831" t="s">
        <v>552</v>
      </c>
      <c r="AI5917" s="831">
        <v>0</v>
      </c>
      <c r="AJ5917" s="835">
        <v>40359</v>
      </c>
      <c r="AK5917" s="831">
        <v>0</v>
      </c>
    </row>
    <row r="5918" spans="2:37">
      <c r="B5918" s="834" t="str">
        <f t="shared" si="263"/>
        <v>|||</v>
      </c>
      <c r="H5918" s="835">
        <f t="shared" si="264"/>
        <v>31</v>
      </c>
      <c r="AF5918" s="831" t="s">
        <v>6575</v>
      </c>
      <c r="AG5918" s="831" t="s">
        <v>2674</v>
      </c>
      <c r="AH5918" s="831" t="s">
        <v>551</v>
      </c>
      <c r="AI5918" s="831">
        <v>0</v>
      </c>
      <c r="AJ5918" s="835">
        <v>40359</v>
      </c>
      <c r="AK5918" s="831">
        <v>2646710</v>
      </c>
    </row>
    <row r="5919" spans="2:37">
      <c r="B5919" s="834" t="str">
        <f t="shared" si="263"/>
        <v>|||</v>
      </c>
      <c r="H5919" s="835">
        <f t="shared" si="264"/>
        <v>31</v>
      </c>
      <c r="AF5919" s="831" t="s">
        <v>6576</v>
      </c>
      <c r="AG5919" s="831" t="s">
        <v>2674</v>
      </c>
      <c r="AH5919" s="831" t="s">
        <v>550</v>
      </c>
      <c r="AI5919" s="831">
        <v>0</v>
      </c>
      <c r="AJ5919" s="835">
        <v>40359</v>
      </c>
      <c r="AK5919" s="831">
        <v>0</v>
      </c>
    </row>
    <row r="5920" spans="2:37">
      <c r="B5920" s="834" t="str">
        <f t="shared" si="263"/>
        <v>|||</v>
      </c>
      <c r="H5920" s="835">
        <f t="shared" si="264"/>
        <v>31</v>
      </c>
      <c r="AF5920" s="831" t="s">
        <v>6577</v>
      </c>
      <c r="AG5920" s="831" t="s">
        <v>2674</v>
      </c>
      <c r="AH5920" s="831" t="s">
        <v>562</v>
      </c>
      <c r="AI5920" s="831">
        <v>0</v>
      </c>
      <c r="AJ5920" s="835">
        <v>40359</v>
      </c>
      <c r="AK5920" s="831">
        <v>0.8</v>
      </c>
    </row>
    <row r="5921" spans="2:37">
      <c r="B5921" s="834" t="str">
        <f t="shared" si="263"/>
        <v>|||</v>
      </c>
      <c r="H5921" s="835">
        <f t="shared" si="264"/>
        <v>31</v>
      </c>
      <c r="AF5921" s="831" t="s">
        <v>6578</v>
      </c>
      <c r="AG5921" s="831" t="s">
        <v>2674</v>
      </c>
      <c r="AH5921" s="831" t="s">
        <v>2698</v>
      </c>
      <c r="AI5921" s="831">
        <v>0</v>
      </c>
      <c r="AJ5921" s="835">
        <v>40359</v>
      </c>
      <c r="AK5921" s="831">
        <v>0.8</v>
      </c>
    </row>
    <row r="5922" spans="2:37">
      <c r="B5922" s="834" t="str">
        <f t="shared" si="263"/>
        <v>|||</v>
      </c>
      <c r="H5922" s="835">
        <f t="shared" si="264"/>
        <v>31</v>
      </c>
      <c r="AF5922" s="831" t="s">
        <v>6579</v>
      </c>
      <c r="AG5922" s="831" t="s">
        <v>2674</v>
      </c>
      <c r="AH5922" s="831" t="s">
        <v>560</v>
      </c>
      <c r="AI5922" s="831">
        <v>0</v>
      </c>
      <c r="AJ5922" s="835">
        <v>40359</v>
      </c>
      <c r="AK5922" s="831">
        <v>0.80500000000000005</v>
      </c>
    </row>
    <row r="5923" spans="2:37">
      <c r="B5923" s="834" t="str">
        <f t="shared" si="263"/>
        <v>|||</v>
      </c>
      <c r="H5923" s="835">
        <f t="shared" si="264"/>
        <v>31</v>
      </c>
      <c r="AF5923" s="831" t="s">
        <v>6580</v>
      </c>
      <c r="AG5923" s="831" t="s">
        <v>2674</v>
      </c>
      <c r="AH5923" s="831" t="s">
        <v>559</v>
      </c>
      <c r="AI5923" s="831">
        <v>0</v>
      </c>
      <c r="AJ5923" s="835">
        <v>40359</v>
      </c>
      <c r="AK5923" s="831">
        <v>0.80249999999999999</v>
      </c>
    </row>
    <row r="5924" spans="2:37">
      <c r="B5924" s="834" t="str">
        <f t="shared" si="263"/>
        <v>|||</v>
      </c>
      <c r="H5924" s="835">
        <f t="shared" si="264"/>
        <v>31</v>
      </c>
      <c r="AF5924" s="831" t="s">
        <v>6581</v>
      </c>
      <c r="AG5924" s="831" t="s">
        <v>2674</v>
      </c>
      <c r="AH5924" s="831" t="s">
        <v>568</v>
      </c>
      <c r="AI5924" s="831">
        <v>0</v>
      </c>
      <c r="AJ5924" s="835">
        <v>40359</v>
      </c>
      <c r="AK5924" s="831">
        <v>0</v>
      </c>
    </row>
    <row r="5925" spans="2:37">
      <c r="B5925" s="834" t="str">
        <f t="shared" si="263"/>
        <v>|||</v>
      </c>
      <c r="H5925" s="835">
        <f t="shared" si="264"/>
        <v>31</v>
      </c>
      <c r="AF5925" s="831" t="s">
        <v>6582</v>
      </c>
      <c r="AG5925" s="831" t="s">
        <v>2674</v>
      </c>
      <c r="AH5925" s="831" t="s">
        <v>569</v>
      </c>
      <c r="AI5925" s="831">
        <v>0</v>
      </c>
      <c r="AJ5925" s="835">
        <v>40359</v>
      </c>
      <c r="AK5925" s="831">
        <v>0</v>
      </c>
    </row>
    <row r="5926" spans="2:37">
      <c r="B5926" s="834" t="str">
        <f t="shared" si="263"/>
        <v>|||</v>
      </c>
      <c r="H5926" s="835">
        <f t="shared" si="264"/>
        <v>31</v>
      </c>
      <c r="AF5926" s="831" t="s">
        <v>6583</v>
      </c>
      <c r="AG5926" s="831" t="s">
        <v>2674</v>
      </c>
      <c r="AH5926" s="831" t="s">
        <v>570</v>
      </c>
      <c r="AI5926" s="831">
        <v>0</v>
      </c>
      <c r="AJ5926" s="835">
        <v>40359</v>
      </c>
      <c r="AK5926" s="831">
        <v>0</v>
      </c>
    </row>
    <row r="5927" spans="2:37">
      <c r="B5927" s="834" t="str">
        <f t="shared" si="263"/>
        <v>|||</v>
      </c>
      <c r="H5927" s="835">
        <f t="shared" si="264"/>
        <v>31</v>
      </c>
      <c r="AF5927" s="831" t="s">
        <v>6584</v>
      </c>
      <c r="AG5927" s="831" t="s">
        <v>2674</v>
      </c>
      <c r="AH5927" s="831" t="s">
        <v>571</v>
      </c>
      <c r="AI5927" s="831">
        <v>0</v>
      </c>
      <c r="AJ5927" s="835">
        <v>40359</v>
      </c>
      <c r="AK5927" s="831">
        <v>0</v>
      </c>
    </row>
    <row r="5928" spans="2:37">
      <c r="B5928" s="834" t="str">
        <f t="shared" si="263"/>
        <v>|||</v>
      </c>
      <c r="H5928" s="835">
        <f t="shared" si="264"/>
        <v>31</v>
      </c>
      <c r="AF5928" s="831" t="s">
        <v>6585</v>
      </c>
      <c r="AG5928" s="831" t="s">
        <v>2674</v>
      </c>
      <c r="AH5928" s="831" t="s">
        <v>573</v>
      </c>
      <c r="AI5928" s="831">
        <v>0</v>
      </c>
      <c r="AJ5928" s="835">
        <v>40359</v>
      </c>
      <c r="AK5928" s="831">
        <v>0</v>
      </c>
    </row>
    <row r="5929" spans="2:37">
      <c r="B5929" s="834" t="str">
        <f t="shared" si="263"/>
        <v>|||</v>
      </c>
      <c r="H5929" s="835">
        <f t="shared" si="264"/>
        <v>31</v>
      </c>
      <c r="AF5929" s="831" t="s">
        <v>6586</v>
      </c>
      <c r="AG5929" s="831" t="s">
        <v>2674</v>
      </c>
      <c r="AH5929" s="831" t="s">
        <v>574</v>
      </c>
      <c r="AI5929" s="831">
        <v>0</v>
      </c>
      <c r="AJ5929" s="835">
        <v>40359</v>
      </c>
      <c r="AK5929" s="831">
        <v>0</v>
      </c>
    </row>
    <row r="5930" spans="2:37">
      <c r="B5930" s="834" t="str">
        <f t="shared" si="263"/>
        <v>|||</v>
      </c>
      <c r="H5930" s="835">
        <f t="shared" si="264"/>
        <v>31</v>
      </c>
      <c r="AF5930" s="831" t="s">
        <v>6587</v>
      </c>
      <c r="AG5930" s="831" t="s">
        <v>2674</v>
      </c>
      <c r="AH5930" s="831" t="s">
        <v>575</v>
      </c>
      <c r="AI5930" s="831">
        <v>0</v>
      </c>
      <c r="AJ5930" s="835">
        <v>40359</v>
      </c>
      <c r="AK5930" s="831">
        <v>0</v>
      </c>
    </row>
    <row r="5931" spans="2:37">
      <c r="B5931" s="834" t="str">
        <f t="shared" si="263"/>
        <v>|||</v>
      </c>
      <c r="H5931" s="835">
        <f t="shared" si="264"/>
        <v>31</v>
      </c>
      <c r="AF5931" s="831" t="s">
        <v>6588</v>
      </c>
      <c r="AG5931" s="831" t="s">
        <v>2674</v>
      </c>
      <c r="AH5931" s="831" t="s">
        <v>576</v>
      </c>
      <c r="AI5931" s="831">
        <v>0</v>
      </c>
      <c r="AJ5931" s="835">
        <v>40359</v>
      </c>
      <c r="AK5931" s="831">
        <v>0</v>
      </c>
    </row>
    <row r="5932" spans="2:37">
      <c r="B5932" s="834" t="str">
        <f t="shared" si="263"/>
        <v>|||</v>
      </c>
      <c r="H5932" s="835">
        <f t="shared" si="264"/>
        <v>31</v>
      </c>
      <c r="AF5932" s="831" t="s">
        <v>6589</v>
      </c>
      <c r="AG5932" s="831" t="s">
        <v>2674</v>
      </c>
      <c r="AH5932" s="831" t="s">
        <v>572</v>
      </c>
      <c r="AI5932" s="831">
        <v>0</v>
      </c>
      <c r="AJ5932" s="835">
        <v>40359</v>
      </c>
      <c r="AK5932" s="831">
        <v>0</v>
      </c>
    </row>
    <row r="5933" spans="2:37">
      <c r="B5933" s="834" t="str">
        <f t="shared" si="263"/>
        <v>|||</v>
      </c>
      <c r="H5933" s="835">
        <f t="shared" si="264"/>
        <v>31</v>
      </c>
      <c r="AF5933" s="831" t="s">
        <v>6590</v>
      </c>
      <c r="AG5933" s="831" t="s">
        <v>2674</v>
      </c>
      <c r="AH5933" s="831" t="s">
        <v>577</v>
      </c>
      <c r="AI5933" s="831">
        <v>0</v>
      </c>
      <c r="AJ5933" s="835">
        <v>40359</v>
      </c>
      <c r="AK5933" s="831">
        <v>0</v>
      </c>
    </row>
    <row r="5934" spans="2:37">
      <c r="B5934" s="834" t="str">
        <f t="shared" si="263"/>
        <v>|||</v>
      </c>
      <c r="H5934" s="835">
        <f t="shared" si="264"/>
        <v>31</v>
      </c>
      <c r="AF5934" s="831" t="s">
        <v>6591</v>
      </c>
      <c r="AG5934" s="831" t="s">
        <v>2674</v>
      </c>
      <c r="AH5934" s="831" t="s">
        <v>3042</v>
      </c>
      <c r="AI5934" s="831">
        <v>0</v>
      </c>
      <c r="AJ5934" s="835">
        <v>40359</v>
      </c>
      <c r="AK5934" s="831">
        <v>0</v>
      </c>
    </row>
    <row r="5935" spans="2:37">
      <c r="B5935" s="834" t="str">
        <f t="shared" si="263"/>
        <v>|||</v>
      </c>
      <c r="H5935" s="835">
        <f t="shared" si="264"/>
        <v>31</v>
      </c>
      <c r="AF5935" s="831" t="s">
        <v>6592</v>
      </c>
      <c r="AG5935" s="831" t="s">
        <v>2674</v>
      </c>
      <c r="AH5935" s="831" t="s">
        <v>3044</v>
      </c>
      <c r="AI5935" s="831">
        <v>0</v>
      </c>
      <c r="AJ5935" s="835">
        <v>40359</v>
      </c>
      <c r="AK5935" s="831">
        <v>0</v>
      </c>
    </row>
    <row r="5936" spans="2:37">
      <c r="B5936" s="834" t="str">
        <f t="shared" si="263"/>
        <v>|||</v>
      </c>
      <c r="H5936" s="835">
        <f t="shared" si="264"/>
        <v>31</v>
      </c>
      <c r="AF5936" s="831" t="s">
        <v>6593</v>
      </c>
      <c r="AG5936" s="831" t="s">
        <v>2674</v>
      </c>
      <c r="AH5936" s="831" t="s">
        <v>580</v>
      </c>
      <c r="AI5936" s="831">
        <v>0</v>
      </c>
      <c r="AJ5936" s="835">
        <v>40359</v>
      </c>
      <c r="AK5936" s="831">
        <v>0</v>
      </c>
    </row>
    <row r="5937" spans="2:37">
      <c r="B5937" s="834" t="str">
        <f t="shared" si="263"/>
        <v>|||</v>
      </c>
      <c r="H5937" s="835">
        <f t="shared" si="264"/>
        <v>31</v>
      </c>
      <c r="AF5937" s="831" t="s">
        <v>6594</v>
      </c>
      <c r="AG5937" s="831" t="s">
        <v>2674</v>
      </c>
      <c r="AH5937" s="831" t="s">
        <v>581</v>
      </c>
      <c r="AI5937" s="831">
        <v>0</v>
      </c>
      <c r="AJ5937" s="835">
        <v>40359</v>
      </c>
      <c r="AK5937" s="831">
        <v>0</v>
      </c>
    </row>
    <row r="5938" spans="2:37">
      <c r="B5938" s="834" t="str">
        <f t="shared" si="263"/>
        <v>|||</v>
      </c>
      <c r="H5938" s="835">
        <f t="shared" si="264"/>
        <v>31</v>
      </c>
      <c r="AF5938" s="831" t="s">
        <v>6595</v>
      </c>
      <c r="AG5938" s="831" t="s">
        <v>2674</v>
      </c>
      <c r="AH5938" s="831" t="s">
        <v>105</v>
      </c>
      <c r="AI5938" s="831">
        <v>0</v>
      </c>
      <c r="AJ5938" s="835">
        <v>40359</v>
      </c>
      <c r="AK5938" s="831">
        <v>162726163.9217</v>
      </c>
    </row>
    <row r="5939" spans="2:37">
      <c r="B5939" s="834" t="str">
        <f t="shared" si="263"/>
        <v>|||</v>
      </c>
      <c r="H5939" s="835">
        <f t="shared" si="264"/>
        <v>31</v>
      </c>
      <c r="AF5939" s="831" t="s">
        <v>6596</v>
      </c>
      <c r="AG5939" s="831" t="s">
        <v>2674</v>
      </c>
      <c r="AH5939" s="831" t="s">
        <v>3049</v>
      </c>
      <c r="AI5939" s="831">
        <v>0</v>
      </c>
      <c r="AJ5939" s="835">
        <v>40359</v>
      </c>
      <c r="AK5939" s="831">
        <v>255116767.84760001</v>
      </c>
    </row>
    <row r="5940" spans="2:37">
      <c r="B5940" s="834" t="str">
        <f t="shared" si="263"/>
        <v>|||</v>
      </c>
      <c r="H5940" s="835">
        <f t="shared" si="264"/>
        <v>31</v>
      </c>
      <c r="AF5940" s="831" t="s">
        <v>6597</v>
      </c>
      <c r="AG5940" s="831" t="s">
        <v>2674</v>
      </c>
      <c r="AH5940" s="831" t="s">
        <v>103</v>
      </c>
      <c r="AI5940" s="831">
        <v>0</v>
      </c>
      <c r="AJ5940" s="835">
        <v>40359</v>
      </c>
      <c r="AK5940" s="831">
        <v>92390603.925899997</v>
      </c>
    </row>
    <row r="5941" spans="2:37">
      <c r="B5941" s="834" t="str">
        <f t="shared" si="263"/>
        <v>|||</v>
      </c>
      <c r="H5941" s="835">
        <f t="shared" si="264"/>
        <v>31</v>
      </c>
      <c r="AF5941" s="831" t="s">
        <v>6598</v>
      </c>
      <c r="AG5941" s="831" t="s">
        <v>2674</v>
      </c>
      <c r="AH5941" s="831" t="s">
        <v>182</v>
      </c>
      <c r="AI5941" s="831">
        <v>0</v>
      </c>
      <c r="AJ5941" s="835">
        <v>40359</v>
      </c>
      <c r="AK5941" s="831">
        <v>32637780.901984598</v>
      </c>
    </row>
    <row r="5942" spans="2:37">
      <c r="B5942" s="834" t="str">
        <f t="shared" si="263"/>
        <v>|||</v>
      </c>
      <c r="H5942" s="835">
        <f t="shared" si="264"/>
        <v>31</v>
      </c>
      <c r="AF5942" s="831" t="s">
        <v>6599</v>
      </c>
      <c r="AG5942" s="831" t="s">
        <v>2674</v>
      </c>
      <c r="AH5942" s="831" t="s">
        <v>6600</v>
      </c>
      <c r="AI5942" s="831">
        <v>0</v>
      </c>
      <c r="AJ5942" s="835">
        <v>40359</v>
      </c>
      <c r="AK5942" s="831">
        <v>0</v>
      </c>
    </row>
    <row r="5943" spans="2:37">
      <c r="B5943" s="834" t="str">
        <f t="shared" si="263"/>
        <v>|||</v>
      </c>
      <c r="H5943" s="835">
        <f t="shared" si="264"/>
        <v>31</v>
      </c>
      <c r="AF5943" s="831" t="s">
        <v>6601</v>
      </c>
      <c r="AG5943" s="831" t="s">
        <v>2674</v>
      </c>
      <c r="AH5943" s="831" t="s">
        <v>6602</v>
      </c>
      <c r="AI5943" s="831">
        <v>0</v>
      </c>
      <c r="AJ5943" s="835">
        <v>40359</v>
      </c>
      <c r="AK5943" s="831">
        <v>13268289.705707701</v>
      </c>
    </row>
    <row r="5944" spans="2:37">
      <c r="B5944" s="834" t="str">
        <f t="shared" si="263"/>
        <v>|||</v>
      </c>
      <c r="H5944" s="835">
        <f t="shared" si="264"/>
        <v>31</v>
      </c>
      <c r="AF5944" s="831" t="s">
        <v>6603</v>
      </c>
      <c r="AG5944" s="831" t="s">
        <v>2674</v>
      </c>
      <c r="AH5944" s="831" t="s">
        <v>650</v>
      </c>
      <c r="AI5944" s="831">
        <v>0</v>
      </c>
      <c r="AJ5944" s="835">
        <v>40359</v>
      </c>
      <c r="AK5944" s="831">
        <v>0</v>
      </c>
    </row>
    <row r="5945" spans="2:37">
      <c r="B5945" s="834" t="str">
        <f t="shared" si="263"/>
        <v>|||</v>
      </c>
      <c r="H5945" s="835">
        <f t="shared" si="264"/>
        <v>31</v>
      </c>
      <c r="AF5945" s="831" t="s">
        <v>6604</v>
      </c>
      <c r="AG5945" s="831" t="s">
        <v>2674</v>
      </c>
      <c r="AH5945" s="831" t="s">
        <v>546</v>
      </c>
      <c r="AI5945" s="831">
        <v>0</v>
      </c>
      <c r="AJ5945" s="835">
        <v>40390</v>
      </c>
      <c r="AK5945" s="831">
        <v>276681210.15079999</v>
      </c>
    </row>
    <row r="5946" spans="2:37">
      <c r="B5946" s="834" t="str">
        <f t="shared" si="263"/>
        <v>|||</v>
      </c>
      <c r="H5946" s="835">
        <f t="shared" si="264"/>
        <v>31</v>
      </c>
      <c r="AF5946" s="831" t="s">
        <v>6605</v>
      </c>
      <c r="AG5946" s="831" t="s">
        <v>2674</v>
      </c>
      <c r="AH5946" s="831" t="s">
        <v>370</v>
      </c>
      <c r="AI5946" s="831">
        <v>0</v>
      </c>
      <c r="AJ5946" s="835">
        <v>40390</v>
      </c>
      <c r="AK5946" s="831">
        <v>347634283.86080003</v>
      </c>
    </row>
    <row r="5947" spans="2:37">
      <c r="B5947" s="834" t="str">
        <f t="shared" si="263"/>
        <v>|||</v>
      </c>
      <c r="H5947" s="835">
        <f t="shared" si="264"/>
        <v>31</v>
      </c>
      <c r="AF5947" s="831" t="s">
        <v>6606</v>
      </c>
      <c r="AG5947" s="831" t="s">
        <v>2674</v>
      </c>
      <c r="AH5947" s="831" t="s">
        <v>126</v>
      </c>
      <c r="AI5947" s="831">
        <v>0</v>
      </c>
      <c r="AJ5947" s="835">
        <v>40390</v>
      </c>
      <c r="AK5947" s="831">
        <v>69154991.948694095</v>
      </c>
    </row>
    <row r="5948" spans="2:37">
      <c r="B5948" s="834" t="str">
        <f t="shared" si="263"/>
        <v>|||</v>
      </c>
      <c r="H5948" s="835">
        <f t="shared" si="264"/>
        <v>31</v>
      </c>
      <c r="AF5948" s="831" t="s">
        <v>6607</v>
      </c>
      <c r="AG5948" s="831" t="s">
        <v>2674</v>
      </c>
      <c r="AH5948" s="831" t="s">
        <v>268</v>
      </c>
      <c r="AI5948" s="831">
        <v>0</v>
      </c>
      <c r="AJ5948" s="835">
        <v>40390</v>
      </c>
      <c r="AK5948" s="831">
        <v>15869709.378694201</v>
      </c>
    </row>
    <row r="5949" spans="2:37">
      <c r="B5949" s="834" t="str">
        <f t="shared" si="263"/>
        <v>|||</v>
      </c>
      <c r="H5949" s="835">
        <f t="shared" si="264"/>
        <v>31</v>
      </c>
      <c r="AF5949" s="831" t="s">
        <v>6608</v>
      </c>
      <c r="AG5949" s="831" t="s">
        <v>2674</v>
      </c>
      <c r="AH5949" s="831" t="s">
        <v>547</v>
      </c>
      <c r="AI5949" s="831">
        <v>0</v>
      </c>
      <c r="AJ5949" s="835">
        <v>40390</v>
      </c>
      <c r="AK5949" s="831">
        <v>0</v>
      </c>
    </row>
    <row r="5950" spans="2:37">
      <c r="B5950" s="834" t="str">
        <f t="shared" si="263"/>
        <v>|||</v>
      </c>
      <c r="H5950" s="835">
        <f t="shared" si="264"/>
        <v>31</v>
      </c>
      <c r="AF5950" s="831" t="s">
        <v>6609</v>
      </c>
      <c r="AG5950" s="831" t="s">
        <v>2674</v>
      </c>
      <c r="AH5950" s="831" t="s">
        <v>548</v>
      </c>
      <c r="AI5950" s="831">
        <v>0</v>
      </c>
      <c r="AJ5950" s="835">
        <v>40390</v>
      </c>
      <c r="AK5950" s="831">
        <v>0</v>
      </c>
    </row>
    <row r="5951" spans="2:37">
      <c r="B5951" s="834" t="str">
        <f t="shared" si="263"/>
        <v>|||</v>
      </c>
      <c r="H5951" s="835">
        <f t="shared" si="264"/>
        <v>31</v>
      </c>
      <c r="AF5951" s="831" t="s">
        <v>6610</v>
      </c>
      <c r="AG5951" s="831" t="s">
        <v>2674</v>
      </c>
      <c r="AH5951" s="831" t="s">
        <v>549</v>
      </c>
      <c r="AI5951" s="831">
        <v>0</v>
      </c>
      <c r="AJ5951" s="835">
        <v>40390</v>
      </c>
      <c r="AK5951" s="831">
        <v>0</v>
      </c>
    </row>
    <row r="5952" spans="2:37">
      <c r="B5952" s="834" t="str">
        <f t="shared" si="263"/>
        <v>|||</v>
      </c>
      <c r="H5952" s="835">
        <f t="shared" si="264"/>
        <v>31</v>
      </c>
      <c r="AF5952" s="831" t="s">
        <v>6611</v>
      </c>
      <c r="AG5952" s="831" t="s">
        <v>2674</v>
      </c>
      <c r="AH5952" s="831" t="s">
        <v>192</v>
      </c>
      <c r="AI5952" s="831">
        <v>0</v>
      </c>
      <c r="AJ5952" s="835">
        <v>40390</v>
      </c>
      <c r="AK5952" s="831">
        <v>-6831136.5</v>
      </c>
    </row>
    <row r="5953" spans="2:37">
      <c r="B5953" s="834" t="str">
        <f t="shared" si="263"/>
        <v>|||</v>
      </c>
      <c r="H5953" s="835">
        <f t="shared" si="264"/>
        <v>31</v>
      </c>
      <c r="AF5953" s="831" t="s">
        <v>6612</v>
      </c>
      <c r="AG5953" s="831" t="s">
        <v>2674</v>
      </c>
      <c r="AH5953" s="831" t="s">
        <v>558</v>
      </c>
      <c r="AI5953" s="831">
        <v>0</v>
      </c>
      <c r="AJ5953" s="835">
        <v>40390</v>
      </c>
      <c r="AK5953" s="831">
        <v>278479292.31999999</v>
      </c>
    </row>
    <row r="5954" spans="2:37">
      <c r="B5954" s="834" t="str">
        <f t="shared" si="263"/>
        <v>|||</v>
      </c>
      <c r="H5954" s="835">
        <f t="shared" si="264"/>
        <v>31</v>
      </c>
      <c r="AF5954" s="831" t="s">
        <v>6613</v>
      </c>
      <c r="AG5954" s="831" t="s">
        <v>2674</v>
      </c>
      <c r="AH5954" s="831" t="s">
        <v>65</v>
      </c>
      <c r="AI5954" s="831">
        <v>0</v>
      </c>
      <c r="AJ5954" s="835">
        <v>40390</v>
      </c>
      <c r="AK5954" s="831">
        <v>50756138.429328002</v>
      </c>
    </row>
    <row r="5955" spans="2:37">
      <c r="B5955" s="834" t="str">
        <f t="shared" ref="B5955:B6018" si="265">C5955&amp;"|"&amp;D5955&amp;"|"&amp;E5955&amp;"|"&amp;F5955</f>
        <v>|||</v>
      </c>
      <c r="H5955" s="835">
        <f t="shared" si="264"/>
        <v>31</v>
      </c>
      <c r="AF5955" s="831" t="s">
        <v>6614</v>
      </c>
      <c r="AG5955" s="831" t="s">
        <v>2674</v>
      </c>
      <c r="AH5955" s="831" t="s">
        <v>89</v>
      </c>
      <c r="AI5955" s="831">
        <v>0</v>
      </c>
      <c r="AJ5955" s="835">
        <v>40390</v>
      </c>
      <c r="AK5955" s="831">
        <v>118751</v>
      </c>
    </row>
    <row r="5956" spans="2:37">
      <c r="B5956" s="834" t="str">
        <f t="shared" si="265"/>
        <v>|||</v>
      </c>
      <c r="H5956" s="835">
        <f t="shared" ref="H5956:H6019" si="266">EOMONTH(L5956,0)</f>
        <v>31</v>
      </c>
      <c r="AF5956" s="831" t="s">
        <v>6615</v>
      </c>
      <c r="AG5956" s="831" t="s">
        <v>2674</v>
      </c>
      <c r="AH5956" s="831" t="s">
        <v>557</v>
      </c>
      <c r="AI5956" s="831">
        <v>0</v>
      </c>
      <c r="AJ5956" s="835">
        <v>40390</v>
      </c>
      <c r="AK5956" s="831">
        <v>121288</v>
      </c>
    </row>
    <row r="5957" spans="2:37">
      <c r="B5957" s="834" t="str">
        <f t="shared" si="265"/>
        <v>|||</v>
      </c>
      <c r="H5957" s="835">
        <f t="shared" si="266"/>
        <v>31</v>
      </c>
      <c r="AF5957" s="831" t="s">
        <v>6616</v>
      </c>
      <c r="AG5957" s="831" t="s">
        <v>2674</v>
      </c>
      <c r="AH5957" s="831" t="s">
        <v>29</v>
      </c>
      <c r="AI5957" s="831">
        <v>0</v>
      </c>
      <c r="AJ5957" s="835">
        <v>40390</v>
      </c>
      <c r="AK5957" s="831">
        <v>1690520</v>
      </c>
    </row>
    <row r="5958" spans="2:37">
      <c r="B5958" s="834" t="str">
        <f t="shared" si="265"/>
        <v>|||</v>
      </c>
      <c r="H5958" s="835">
        <f t="shared" si="266"/>
        <v>31</v>
      </c>
      <c r="AF5958" s="831" t="s">
        <v>6617</v>
      </c>
      <c r="AG5958" s="831" t="s">
        <v>2674</v>
      </c>
      <c r="AH5958" s="831" t="s">
        <v>2688</v>
      </c>
      <c r="AI5958" s="831">
        <v>0</v>
      </c>
      <c r="AJ5958" s="835">
        <v>40390</v>
      </c>
      <c r="AK5958" s="831">
        <v>945090.76</v>
      </c>
    </row>
    <row r="5959" spans="2:37">
      <c r="B5959" s="834" t="str">
        <f t="shared" si="265"/>
        <v>|||</v>
      </c>
      <c r="H5959" s="835">
        <f t="shared" si="266"/>
        <v>31</v>
      </c>
      <c r="AF5959" s="831" t="s">
        <v>6618</v>
      </c>
      <c r="AG5959" s="831" t="s">
        <v>2674</v>
      </c>
      <c r="AH5959" s="831" t="s">
        <v>556</v>
      </c>
      <c r="AI5959" s="831">
        <v>0</v>
      </c>
      <c r="AJ5959" s="835">
        <v>40390</v>
      </c>
      <c r="AK5959" s="831">
        <v>2447945.9945999999</v>
      </c>
    </row>
    <row r="5960" spans="2:37">
      <c r="B5960" s="834" t="str">
        <f t="shared" si="265"/>
        <v>|||</v>
      </c>
      <c r="H5960" s="835">
        <f t="shared" si="266"/>
        <v>31</v>
      </c>
      <c r="AF5960" s="831" t="s">
        <v>6619</v>
      </c>
      <c r="AG5960" s="831" t="s">
        <v>2674</v>
      </c>
      <c r="AH5960" s="831" t="s">
        <v>555</v>
      </c>
      <c r="AI5960" s="831">
        <v>0</v>
      </c>
      <c r="AJ5960" s="835">
        <v>40390</v>
      </c>
      <c r="AK5960" s="831">
        <v>201732717</v>
      </c>
    </row>
    <row r="5961" spans="2:37">
      <c r="B5961" s="834" t="str">
        <f t="shared" si="265"/>
        <v>|||</v>
      </c>
      <c r="H5961" s="835">
        <f t="shared" si="266"/>
        <v>31</v>
      </c>
      <c r="AF5961" s="831" t="s">
        <v>6620</v>
      </c>
      <c r="AG5961" s="831" t="s">
        <v>2674</v>
      </c>
      <c r="AH5961" s="831" t="s">
        <v>554</v>
      </c>
      <c r="AI5961" s="831">
        <v>0</v>
      </c>
      <c r="AJ5961" s="835">
        <v>40390</v>
      </c>
      <c r="AK5961" s="831">
        <v>185593010</v>
      </c>
    </row>
    <row r="5962" spans="2:37">
      <c r="B5962" s="834" t="str">
        <f t="shared" si="265"/>
        <v>|||</v>
      </c>
      <c r="H5962" s="835">
        <f t="shared" si="266"/>
        <v>31</v>
      </c>
      <c r="AF5962" s="831" t="s">
        <v>6621</v>
      </c>
      <c r="AG5962" s="831" t="s">
        <v>2674</v>
      </c>
      <c r="AH5962" s="831" t="s">
        <v>553</v>
      </c>
      <c r="AI5962" s="831">
        <v>0</v>
      </c>
      <c r="AJ5962" s="835">
        <v>40390</v>
      </c>
      <c r="AK5962" s="831">
        <v>0</v>
      </c>
    </row>
    <row r="5963" spans="2:37">
      <c r="B5963" s="834" t="str">
        <f t="shared" si="265"/>
        <v>|||</v>
      </c>
      <c r="H5963" s="835">
        <f t="shared" si="266"/>
        <v>31</v>
      </c>
      <c r="AF5963" s="831" t="s">
        <v>6622</v>
      </c>
      <c r="AG5963" s="831" t="s">
        <v>2674</v>
      </c>
      <c r="AH5963" s="831" t="s">
        <v>552</v>
      </c>
      <c r="AI5963" s="831">
        <v>0</v>
      </c>
      <c r="AJ5963" s="835">
        <v>40390</v>
      </c>
      <c r="AK5963" s="831">
        <v>0</v>
      </c>
    </row>
    <row r="5964" spans="2:37">
      <c r="B5964" s="834" t="str">
        <f t="shared" si="265"/>
        <v>|||</v>
      </c>
      <c r="H5964" s="835">
        <f t="shared" si="266"/>
        <v>31</v>
      </c>
      <c r="AF5964" s="831" t="s">
        <v>6623</v>
      </c>
      <c r="AG5964" s="831" t="s">
        <v>2674</v>
      </c>
      <c r="AH5964" s="831" t="s">
        <v>551</v>
      </c>
      <c r="AI5964" s="831">
        <v>0</v>
      </c>
      <c r="AJ5964" s="835">
        <v>40390</v>
      </c>
      <c r="AK5964" s="831">
        <v>1454119</v>
      </c>
    </row>
    <row r="5965" spans="2:37">
      <c r="B5965" s="834" t="str">
        <f t="shared" si="265"/>
        <v>|||</v>
      </c>
      <c r="H5965" s="835">
        <f t="shared" si="266"/>
        <v>31</v>
      </c>
      <c r="AF5965" s="831" t="s">
        <v>6624</v>
      </c>
      <c r="AG5965" s="831" t="s">
        <v>2674</v>
      </c>
      <c r="AH5965" s="831" t="s">
        <v>550</v>
      </c>
      <c r="AI5965" s="831">
        <v>0</v>
      </c>
      <c r="AJ5965" s="835">
        <v>40390</v>
      </c>
      <c r="AK5965" s="831">
        <v>0</v>
      </c>
    </row>
    <row r="5966" spans="2:37">
      <c r="B5966" s="834" t="str">
        <f t="shared" si="265"/>
        <v>|||</v>
      </c>
      <c r="H5966" s="835">
        <f t="shared" si="266"/>
        <v>31</v>
      </c>
      <c r="AF5966" s="831" t="s">
        <v>6625</v>
      </c>
      <c r="AG5966" s="831" t="s">
        <v>2674</v>
      </c>
      <c r="AH5966" s="831" t="s">
        <v>562</v>
      </c>
      <c r="AI5966" s="831">
        <v>0</v>
      </c>
      <c r="AJ5966" s="835">
        <v>40390</v>
      </c>
      <c r="AK5966" s="831">
        <v>0.8</v>
      </c>
    </row>
    <row r="5967" spans="2:37">
      <c r="B5967" s="834" t="str">
        <f t="shared" si="265"/>
        <v>|||</v>
      </c>
      <c r="H5967" s="835">
        <f t="shared" si="266"/>
        <v>31</v>
      </c>
      <c r="AF5967" s="831" t="s">
        <v>6626</v>
      </c>
      <c r="AG5967" s="831" t="s">
        <v>2674</v>
      </c>
      <c r="AH5967" s="831" t="s">
        <v>2698</v>
      </c>
      <c r="AI5967" s="831">
        <v>0</v>
      </c>
      <c r="AJ5967" s="835">
        <v>40390</v>
      </c>
      <c r="AK5967" s="831">
        <v>0.8</v>
      </c>
    </row>
    <row r="5968" spans="2:37">
      <c r="B5968" s="834" t="str">
        <f t="shared" si="265"/>
        <v>|||</v>
      </c>
      <c r="H5968" s="835">
        <f t="shared" si="266"/>
        <v>31</v>
      </c>
      <c r="AF5968" s="831" t="s">
        <v>6627</v>
      </c>
      <c r="AG5968" s="831" t="s">
        <v>2674</v>
      </c>
      <c r="AH5968" s="831" t="s">
        <v>560</v>
      </c>
      <c r="AI5968" s="831">
        <v>0</v>
      </c>
      <c r="AJ5968" s="835">
        <v>40390</v>
      </c>
      <c r="AK5968" s="831">
        <v>0.80428571428571405</v>
      </c>
    </row>
    <row r="5969" spans="2:37">
      <c r="B5969" s="834" t="str">
        <f t="shared" si="265"/>
        <v>|||</v>
      </c>
      <c r="H5969" s="835">
        <f t="shared" si="266"/>
        <v>31</v>
      </c>
      <c r="AF5969" s="831" t="s">
        <v>6628</v>
      </c>
      <c r="AG5969" s="831" t="s">
        <v>2674</v>
      </c>
      <c r="AH5969" s="831" t="s">
        <v>559</v>
      </c>
      <c r="AI5969" s="831">
        <v>0</v>
      </c>
      <c r="AJ5969" s="835">
        <v>40390</v>
      </c>
      <c r="AK5969" s="831">
        <v>0.80249999999999999</v>
      </c>
    </row>
    <row r="5970" spans="2:37">
      <c r="B5970" s="834" t="str">
        <f t="shared" si="265"/>
        <v>|||</v>
      </c>
      <c r="H5970" s="835">
        <f t="shared" si="266"/>
        <v>31</v>
      </c>
      <c r="AF5970" s="831" t="s">
        <v>6629</v>
      </c>
      <c r="AG5970" s="831" t="s">
        <v>2674</v>
      </c>
      <c r="AH5970" s="831" t="s">
        <v>568</v>
      </c>
      <c r="AI5970" s="831">
        <v>0</v>
      </c>
      <c r="AJ5970" s="835">
        <v>40390</v>
      </c>
      <c r="AK5970" s="831">
        <v>0</v>
      </c>
    </row>
    <row r="5971" spans="2:37">
      <c r="B5971" s="834" t="str">
        <f t="shared" si="265"/>
        <v>|||</v>
      </c>
      <c r="H5971" s="835">
        <f t="shared" si="266"/>
        <v>31</v>
      </c>
      <c r="AF5971" s="831" t="s">
        <v>6630</v>
      </c>
      <c r="AG5971" s="831" t="s">
        <v>2674</v>
      </c>
      <c r="AH5971" s="831" t="s">
        <v>569</v>
      </c>
      <c r="AI5971" s="831">
        <v>0</v>
      </c>
      <c r="AJ5971" s="835">
        <v>40390</v>
      </c>
      <c r="AK5971" s="831">
        <v>0</v>
      </c>
    </row>
    <row r="5972" spans="2:37">
      <c r="B5972" s="834" t="str">
        <f t="shared" si="265"/>
        <v>|||</v>
      </c>
      <c r="H5972" s="835">
        <f t="shared" si="266"/>
        <v>31</v>
      </c>
      <c r="AF5972" s="831" t="s">
        <v>6631</v>
      </c>
      <c r="AG5972" s="831" t="s">
        <v>2674</v>
      </c>
      <c r="AH5972" s="831" t="s">
        <v>570</v>
      </c>
      <c r="AI5972" s="831">
        <v>0</v>
      </c>
      <c r="AJ5972" s="835">
        <v>40390</v>
      </c>
      <c r="AK5972" s="831">
        <v>0</v>
      </c>
    </row>
    <row r="5973" spans="2:37">
      <c r="B5973" s="834" t="str">
        <f t="shared" si="265"/>
        <v>|||</v>
      </c>
      <c r="H5973" s="835">
        <f t="shared" si="266"/>
        <v>31</v>
      </c>
      <c r="AF5973" s="831" t="s">
        <v>6632</v>
      </c>
      <c r="AG5973" s="831" t="s">
        <v>2674</v>
      </c>
      <c r="AH5973" s="831" t="s">
        <v>571</v>
      </c>
      <c r="AI5973" s="831">
        <v>0</v>
      </c>
      <c r="AJ5973" s="835">
        <v>40390</v>
      </c>
      <c r="AK5973" s="831">
        <v>0</v>
      </c>
    </row>
    <row r="5974" spans="2:37">
      <c r="B5974" s="834" t="str">
        <f t="shared" si="265"/>
        <v>|||</v>
      </c>
      <c r="H5974" s="835">
        <f t="shared" si="266"/>
        <v>31</v>
      </c>
      <c r="AF5974" s="831" t="s">
        <v>6633</v>
      </c>
      <c r="AG5974" s="831" t="s">
        <v>2674</v>
      </c>
      <c r="AH5974" s="831" t="s">
        <v>573</v>
      </c>
      <c r="AI5974" s="831">
        <v>0</v>
      </c>
      <c r="AJ5974" s="835">
        <v>40390</v>
      </c>
      <c r="AK5974" s="831">
        <v>0</v>
      </c>
    </row>
    <row r="5975" spans="2:37">
      <c r="B5975" s="834" t="str">
        <f t="shared" si="265"/>
        <v>|||</v>
      </c>
      <c r="H5975" s="835">
        <f t="shared" si="266"/>
        <v>31</v>
      </c>
      <c r="AF5975" s="831" t="s">
        <v>6634</v>
      </c>
      <c r="AG5975" s="831" t="s">
        <v>2674</v>
      </c>
      <c r="AH5975" s="831" t="s">
        <v>574</v>
      </c>
      <c r="AI5975" s="831">
        <v>0</v>
      </c>
      <c r="AJ5975" s="835">
        <v>40390</v>
      </c>
      <c r="AK5975" s="831">
        <v>0</v>
      </c>
    </row>
    <row r="5976" spans="2:37">
      <c r="B5976" s="834" t="str">
        <f t="shared" si="265"/>
        <v>|||</v>
      </c>
      <c r="H5976" s="835">
        <f t="shared" si="266"/>
        <v>31</v>
      </c>
      <c r="AF5976" s="831" t="s">
        <v>6635</v>
      </c>
      <c r="AG5976" s="831" t="s">
        <v>2674</v>
      </c>
      <c r="AH5976" s="831" t="s">
        <v>575</v>
      </c>
      <c r="AI5976" s="831">
        <v>0</v>
      </c>
      <c r="AJ5976" s="835">
        <v>40390</v>
      </c>
      <c r="AK5976" s="831">
        <v>0</v>
      </c>
    </row>
    <row r="5977" spans="2:37">
      <c r="B5977" s="834" t="str">
        <f t="shared" si="265"/>
        <v>|||</v>
      </c>
      <c r="H5977" s="835">
        <f t="shared" si="266"/>
        <v>31</v>
      </c>
      <c r="AF5977" s="831" t="s">
        <v>6636</v>
      </c>
      <c r="AG5977" s="831" t="s">
        <v>2674</v>
      </c>
      <c r="AH5977" s="831" t="s">
        <v>576</v>
      </c>
      <c r="AI5977" s="831">
        <v>0</v>
      </c>
      <c r="AJ5977" s="835">
        <v>40390</v>
      </c>
      <c r="AK5977" s="831">
        <v>0</v>
      </c>
    </row>
    <row r="5978" spans="2:37">
      <c r="B5978" s="834" t="str">
        <f t="shared" si="265"/>
        <v>|||</v>
      </c>
      <c r="H5978" s="835">
        <f t="shared" si="266"/>
        <v>31</v>
      </c>
      <c r="AF5978" s="831" t="s">
        <v>6637</v>
      </c>
      <c r="AG5978" s="831" t="s">
        <v>2674</v>
      </c>
      <c r="AH5978" s="831" t="s">
        <v>572</v>
      </c>
      <c r="AI5978" s="831">
        <v>0</v>
      </c>
      <c r="AJ5978" s="835">
        <v>40390</v>
      </c>
      <c r="AK5978" s="831">
        <v>0</v>
      </c>
    </row>
    <row r="5979" spans="2:37">
      <c r="B5979" s="834" t="str">
        <f t="shared" si="265"/>
        <v>|||</v>
      </c>
      <c r="H5979" s="835">
        <f t="shared" si="266"/>
        <v>31</v>
      </c>
      <c r="AF5979" s="831" t="s">
        <v>6638</v>
      </c>
      <c r="AG5979" s="831" t="s">
        <v>2674</v>
      </c>
      <c r="AH5979" s="831" t="s">
        <v>577</v>
      </c>
      <c r="AI5979" s="831">
        <v>0</v>
      </c>
      <c r="AJ5979" s="835">
        <v>40390</v>
      </c>
      <c r="AK5979" s="831">
        <v>0</v>
      </c>
    </row>
    <row r="5980" spans="2:37">
      <c r="B5980" s="834" t="str">
        <f t="shared" si="265"/>
        <v>|||</v>
      </c>
      <c r="H5980" s="835">
        <f t="shared" si="266"/>
        <v>31</v>
      </c>
      <c r="AF5980" s="831" t="s">
        <v>6639</v>
      </c>
      <c r="AG5980" s="831" t="s">
        <v>2674</v>
      </c>
      <c r="AH5980" s="831" t="s">
        <v>3042</v>
      </c>
      <c r="AI5980" s="831">
        <v>0</v>
      </c>
      <c r="AJ5980" s="835">
        <v>40390</v>
      </c>
      <c r="AK5980" s="831">
        <v>0</v>
      </c>
    </row>
    <row r="5981" spans="2:37">
      <c r="B5981" s="834" t="str">
        <f t="shared" si="265"/>
        <v>|||</v>
      </c>
      <c r="H5981" s="835">
        <f t="shared" si="266"/>
        <v>31</v>
      </c>
      <c r="AF5981" s="831" t="s">
        <v>6640</v>
      </c>
      <c r="AG5981" s="831" t="s">
        <v>2674</v>
      </c>
      <c r="AH5981" s="831" t="s">
        <v>3044</v>
      </c>
      <c r="AI5981" s="831">
        <v>0</v>
      </c>
      <c r="AJ5981" s="835">
        <v>40390</v>
      </c>
      <c r="AK5981" s="831">
        <v>0</v>
      </c>
    </row>
    <row r="5982" spans="2:37">
      <c r="B5982" s="834" t="str">
        <f t="shared" si="265"/>
        <v>|||</v>
      </c>
      <c r="H5982" s="835">
        <f t="shared" si="266"/>
        <v>31</v>
      </c>
      <c r="AF5982" s="831" t="s">
        <v>6641</v>
      </c>
      <c r="AG5982" s="831" t="s">
        <v>2674</v>
      </c>
      <c r="AH5982" s="831" t="s">
        <v>580</v>
      </c>
      <c r="AI5982" s="831">
        <v>0</v>
      </c>
      <c r="AJ5982" s="835">
        <v>40390</v>
      </c>
      <c r="AK5982" s="831">
        <v>0</v>
      </c>
    </row>
    <row r="5983" spans="2:37">
      <c r="B5983" s="834" t="str">
        <f t="shared" si="265"/>
        <v>|||</v>
      </c>
      <c r="H5983" s="835">
        <f t="shared" si="266"/>
        <v>31</v>
      </c>
      <c r="AF5983" s="831" t="s">
        <v>6642</v>
      </c>
      <c r="AG5983" s="831" t="s">
        <v>2674</v>
      </c>
      <c r="AH5983" s="831" t="s">
        <v>581</v>
      </c>
      <c r="AI5983" s="831">
        <v>0</v>
      </c>
      <c r="AJ5983" s="835">
        <v>40390</v>
      </c>
      <c r="AK5983" s="831">
        <v>0</v>
      </c>
    </row>
    <row r="5984" spans="2:37">
      <c r="B5984" s="834" t="str">
        <f t="shared" si="265"/>
        <v>|||</v>
      </c>
      <c r="H5984" s="835">
        <f t="shared" si="266"/>
        <v>31</v>
      </c>
      <c r="AF5984" s="831" t="s">
        <v>6643</v>
      </c>
      <c r="AG5984" s="831" t="s">
        <v>2674</v>
      </c>
      <c r="AH5984" s="831" t="s">
        <v>105</v>
      </c>
      <c r="AI5984" s="831">
        <v>0</v>
      </c>
      <c r="AJ5984" s="835">
        <v>40390</v>
      </c>
      <c r="AK5984" s="831">
        <v>162670634.86000001</v>
      </c>
    </row>
    <row r="5985" spans="2:37">
      <c r="B5985" s="834" t="str">
        <f t="shared" si="265"/>
        <v>|||</v>
      </c>
      <c r="H5985" s="835">
        <f t="shared" si="266"/>
        <v>31</v>
      </c>
      <c r="AF5985" s="831" t="s">
        <v>6644</v>
      </c>
      <c r="AG5985" s="831" t="s">
        <v>2674</v>
      </c>
      <c r="AH5985" s="831" t="s">
        <v>3049</v>
      </c>
      <c r="AI5985" s="831">
        <v>0</v>
      </c>
      <c r="AJ5985" s="835">
        <v>40390</v>
      </c>
      <c r="AK5985" s="831">
        <v>269360956.86000001</v>
      </c>
    </row>
    <row r="5986" spans="2:37">
      <c r="B5986" s="834" t="str">
        <f t="shared" si="265"/>
        <v>|||</v>
      </c>
      <c r="H5986" s="835">
        <f t="shared" si="266"/>
        <v>31</v>
      </c>
      <c r="AF5986" s="831" t="s">
        <v>6645</v>
      </c>
      <c r="AG5986" s="831" t="s">
        <v>2674</v>
      </c>
      <c r="AH5986" s="831" t="s">
        <v>103</v>
      </c>
      <c r="AI5986" s="831">
        <v>0</v>
      </c>
      <c r="AJ5986" s="835">
        <v>40390</v>
      </c>
      <c r="AK5986" s="831">
        <v>106690322</v>
      </c>
    </row>
    <row r="5987" spans="2:37">
      <c r="B5987" s="834" t="str">
        <f t="shared" si="265"/>
        <v>|||</v>
      </c>
      <c r="H5987" s="835">
        <f t="shared" si="266"/>
        <v>31</v>
      </c>
      <c r="AF5987" s="831" t="s">
        <v>6646</v>
      </c>
      <c r="AG5987" s="831" t="s">
        <v>2674</v>
      </c>
      <c r="AH5987" s="831" t="s">
        <v>182</v>
      </c>
      <c r="AI5987" s="831">
        <v>0</v>
      </c>
      <c r="AJ5987" s="835">
        <v>40390</v>
      </c>
      <c r="AK5987" s="831">
        <v>32946057.4426498</v>
      </c>
    </row>
    <row r="5988" spans="2:37">
      <c r="B5988" s="834" t="str">
        <f t="shared" si="265"/>
        <v>|||</v>
      </c>
      <c r="H5988" s="835">
        <f t="shared" si="266"/>
        <v>31</v>
      </c>
      <c r="AF5988" s="831" t="s">
        <v>6647</v>
      </c>
      <c r="AG5988" s="831" t="s">
        <v>2674</v>
      </c>
      <c r="AH5988" s="831" t="s">
        <v>6600</v>
      </c>
      <c r="AI5988" s="831">
        <v>0</v>
      </c>
      <c r="AJ5988" s="835">
        <v>40390</v>
      </c>
      <c r="AK5988" s="831">
        <v>0</v>
      </c>
    </row>
    <row r="5989" spans="2:37">
      <c r="B5989" s="834" t="str">
        <f t="shared" si="265"/>
        <v>|||</v>
      </c>
      <c r="H5989" s="835">
        <f t="shared" si="266"/>
        <v>31</v>
      </c>
      <c r="AF5989" s="831" t="s">
        <v>6648</v>
      </c>
      <c r="AG5989" s="831" t="s">
        <v>2674</v>
      </c>
      <c r="AH5989" s="831" t="s">
        <v>6602</v>
      </c>
      <c r="AI5989" s="831">
        <v>0</v>
      </c>
      <c r="AJ5989" s="835">
        <v>40390</v>
      </c>
      <c r="AK5989" s="831">
        <v>15869709.378694201</v>
      </c>
    </row>
    <row r="5990" spans="2:37">
      <c r="B5990" s="834" t="str">
        <f t="shared" si="265"/>
        <v>|||</v>
      </c>
      <c r="H5990" s="835">
        <f t="shared" si="266"/>
        <v>31</v>
      </c>
      <c r="AF5990" s="831" t="s">
        <v>6649</v>
      </c>
      <c r="AG5990" s="831" t="s">
        <v>2674</v>
      </c>
      <c r="AH5990" s="831" t="s">
        <v>650</v>
      </c>
      <c r="AI5990" s="831">
        <v>0</v>
      </c>
      <c r="AJ5990" s="835">
        <v>40390</v>
      </c>
      <c r="AK5990" s="831">
        <v>0</v>
      </c>
    </row>
    <row r="5991" spans="2:37">
      <c r="B5991" s="834" t="str">
        <f t="shared" si="265"/>
        <v>|||</v>
      </c>
      <c r="H5991" s="835">
        <f t="shared" si="266"/>
        <v>31</v>
      </c>
      <c r="AF5991" s="831" t="s">
        <v>6650</v>
      </c>
      <c r="AG5991" s="831" t="s">
        <v>2674</v>
      </c>
      <c r="AH5991" s="831" t="s">
        <v>655</v>
      </c>
      <c r="AI5991" s="831">
        <v>0</v>
      </c>
      <c r="AJ5991" s="835">
        <v>40390</v>
      </c>
      <c r="AK5991" s="831">
        <v>1157720</v>
      </c>
    </row>
    <row r="5992" spans="2:37">
      <c r="B5992" s="834" t="str">
        <f t="shared" si="265"/>
        <v>|||</v>
      </c>
      <c r="H5992" s="835">
        <f t="shared" si="266"/>
        <v>31</v>
      </c>
      <c r="AF5992" s="831" t="s">
        <v>6651</v>
      </c>
      <c r="AG5992" s="831" t="s">
        <v>2674</v>
      </c>
      <c r="AH5992" s="831" t="s">
        <v>546</v>
      </c>
      <c r="AI5992" s="831">
        <v>0</v>
      </c>
      <c r="AJ5992" s="835">
        <v>40421</v>
      </c>
      <c r="AK5992" s="831">
        <v>280255688.26381999</v>
      </c>
    </row>
    <row r="5993" spans="2:37">
      <c r="B5993" s="834" t="str">
        <f t="shared" si="265"/>
        <v>|||</v>
      </c>
      <c r="H5993" s="835">
        <f t="shared" si="266"/>
        <v>31</v>
      </c>
      <c r="AF5993" s="831" t="s">
        <v>6652</v>
      </c>
      <c r="AG5993" s="831" t="s">
        <v>2674</v>
      </c>
      <c r="AH5993" s="831" t="s">
        <v>370</v>
      </c>
      <c r="AI5993" s="831">
        <v>0</v>
      </c>
      <c r="AJ5993" s="835">
        <v>40421</v>
      </c>
      <c r="AK5993" s="831">
        <v>358499863.83381999</v>
      </c>
    </row>
    <row r="5994" spans="2:37">
      <c r="B5994" s="834" t="str">
        <f t="shared" si="265"/>
        <v>|||</v>
      </c>
      <c r="H5994" s="835">
        <f t="shared" si="266"/>
        <v>31</v>
      </c>
      <c r="AF5994" s="831" t="s">
        <v>6653</v>
      </c>
      <c r="AG5994" s="831" t="s">
        <v>2674</v>
      </c>
      <c r="AH5994" s="831" t="s">
        <v>126</v>
      </c>
      <c r="AI5994" s="831">
        <v>0</v>
      </c>
      <c r="AJ5994" s="835">
        <v>40421</v>
      </c>
      <c r="AK5994" s="831">
        <v>71841558.406091094</v>
      </c>
    </row>
    <row r="5995" spans="2:37">
      <c r="B5995" s="834" t="str">
        <f t="shared" si="265"/>
        <v>|||</v>
      </c>
      <c r="H5995" s="835">
        <f t="shared" si="266"/>
        <v>31</v>
      </c>
      <c r="AF5995" s="831" t="s">
        <v>6654</v>
      </c>
      <c r="AG5995" s="831" t="s">
        <v>2674</v>
      </c>
      <c r="AH5995" s="831" t="s">
        <v>268</v>
      </c>
      <c r="AI5995" s="831">
        <v>0</v>
      </c>
      <c r="AJ5995" s="835">
        <v>40421</v>
      </c>
      <c r="AK5995" s="831">
        <v>18556275.836091202</v>
      </c>
    </row>
    <row r="5996" spans="2:37">
      <c r="B5996" s="834" t="str">
        <f t="shared" si="265"/>
        <v>|||</v>
      </c>
      <c r="H5996" s="835">
        <f t="shared" si="266"/>
        <v>31</v>
      </c>
      <c r="AF5996" s="831" t="s">
        <v>6655</v>
      </c>
      <c r="AG5996" s="831" t="s">
        <v>2674</v>
      </c>
      <c r="AH5996" s="831" t="s">
        <v>547</v>
      </c>
      <c r="AI5996" s="831">
        <v>0</v>
      </c>
      <c r="AJ5996" s="835">
        <v>40421</v>
      </c>
      <c r="AK5996" s="831">
        <v>0</v>
      </c>
    </row>
    <row r="5997" spans="2:37">
      <c r="B5997" s="834" t="str">
        <f t="shared" si="265"/>
        <v>|||</v>
      </c>
      <c r="H5997" s="835">
        <f t="shared" si="266"/>
        <v>31</v>
      </c>
      <c r="AF5997" s="831" t="s">
        <v>6656</v>
      </c>
      <c r="AG5997" s="831" t="s">
        <v>2674</v>
      </c>
      <c r="AH5997" s="831" t="s">
        <v>548</v>
      </c>
      <c r="AI5997" s="831">
        <v>0</v>
      </c>
      <c r="AJ5997" s="835">
        <v>40421</v>
      </c>
      <c r="AK5997" s="831">
        <v>0</v>
      </c>
    </row>
    <row r="5998" spans="2:37">
      <c r="B5998" s="834" t="str">
        <f t="shared" si="265"/>
        <v>|||</v>
      </c>
      <c r="H5998" s="835">
        <f t="shared" si="266"/>
        <v>31</v>
      </c>
      <c r="AF5998" s="831" t="s">
        <v>6657</v>
      </c>
      <c r="AG5998" s="831" t="s">
        <v>2674</v>
      </c>
      <c r="AH5998" s="831" t="s">
        <v>549</v>
      </c>
      <c r="AI5998" s="831">
        <v>0</v>
      </c>
      <c r="AJ5998" s="835">
        <v>40421</v>
      </c>
      <c r="AK5998" s="831">
        <v>0</v>
      </c>
    </row>
    <row r="5999" spans="2:37">
      <c r="B5999" s="834" t="str">
        <f t="shared" si="265"/>
        <v>|||</v>
      </c>
      <c r="H5999" s="835">
        <f t="shared" si="266"/>
        <v>31</v>
      </c>
      <c r="AF5999" s="831" t="s">
        <v>6658</v>
      </c>
      <c r="AG5999" s="831" t="s">
        <v>2674</v>
      </c>
      <c r="AH5999" s="831" t="s">
        <v>192</v>
      </c>
      <c r="AI5999" s="831">
        <v>0</v>
      </c>
      <c r="AJ5999" s="835">
        <v>40421</v>
      </c>
      <c r="AK5999" s="831">
        <v>-7206234.0999999996</v>
      </c>
    </row>
    <row r="6000" spans="2:37">
      <c r="B6000" s="834" t="str">
        <f t="shared" si="265"/>
        <v>|||</v>
      </c>
      <c r="H6000" s="835">
        <f t="shared" si="266"/>
        <v>31</v>
      </c>
      <c r="AF6000" s="831" t="s">
        <v>6659</v>
      </c>
      <c r="AG6000" s="831" t="s">
        <v>2674</v>
      </c>
      <c r="AH6000" s="831" t="s">
        <v>558</v>
      </c>
      <c r="AI6000" s="831">
        <v>0</v>
      </c>
      <c r="AJ6000" s="835">
        <v>40421</v>
      </c>
      <c r="AK6000" s="831">
        <v>286658305.51520002</v>
      </c>
    </row>
    <row r="6001" spans="2:37">
      <c r="B6001" s="834" t="str">
        <f t="shared" si="265"/>
        <v>|||</v>
      </c>
      <c r="H6001" s="835">
        <f t="shared" si="266"/>
        <v>31</v>
      </c>
      <c r="AF6001" s="831" t="s">
        <v>6660</v>
      </c>
      <c r="AG6001" s="831" t="s">
        <v>2674</v>
      </c>
      <c r="AH6001" s="831" t="s">
        <v>65</v>
      </c>
      <c r="AI6001" s="831">
        <v>0</v>
      </c>
      <c r="AJ6001" s="835">
        <v>40421</v>
      </c>
      <c r="AK6001" s="831">
        <v>58739752.288010202</v>
      </c>
    </row>
    <row r="6002" spans="2:37">
      <c r="B6002" s="834" t="str">
        <f t="shared" si="265"/>
        <v>|||</v>
      </c>
      <c r="H6002" s="835">
        <f t="shared" si="266"/>
        <v>31</v>
      </c>
      <c r="AF6002" s="831" t="s">
        <v>6661</v>
      </c>
      <c r="AG6002" s="831" t="s">
        <v>2674</v>
      </c>
      <c r="AH6002" s="831" t="s">
        <v>89</v>
      </c>
      <c r="AI6002" s="831">
        <v>0</v>
      </c>
      <c r="AJ6002" s="835">
        <v>40421</v>
      </c>
      <c r="AK6002" s="831">
        <v>120298</v>
      </c>
    </row>
    <row r="6003" spans="2:37">
      <c r="B6003" s="834" t="str">
        <f t="shared" si="265"/>
        <v>|||</v>
      </c>
      <c r="H6003" s="835">
        <f t="shared" si="266"/>
        <v>31</v>
      </c>
      <c r="AF6003" s="831" t="s">
        <v>6662</v>
      </c>
      <c r="AG6003" s="831" t="s">
        <v>2674</v>
      </c>
      <c r="AH6003" s="831" t="s">
        <v>557</v>
      </c>
      <c r="AI6003" s="831">
        <v>0</v>
      </c>
      <c r="AJ6003" s="835">
        <v>40421</v>
      </c>
      <c r="AK6003" s="831">
        <v>122772</v>
      </c>
    </row>
    <row r="6004" spans="2:37">
      <c r="B6004" s="834" t="str">
        <f t="shared" si="265"/>
        <v>|||</v>
      </c>
      <c r="H6004" s="835">
        <f t="shared" si="266"/>
        <v>31</v>
      </c>
      <c r="AF6004" s="831" t="s">
        <v>6663</v>
      </c>
      <c r="AG6004" s="831" t="s">
        <v>2674</v>
      </c>
      <c r="AH6004" s="831" t="s">
        <v>29</v>
      </c>
      <c r="AI6004" s="831">
        <v>0</v>
      </c>
      <c r="AJ6004" s="835">
        <v>40421</v>
      </c>
      <c r="AK6004" s="831">
        <v>2019030</v>
      </c>
    </row>
    <row r="6005" spans="2:37">
      <c r="B6005" s="834" t="str">
        <f t="shared" si="265"/>
        <v>|||</v>
      </c>
      <c r="H6005" s="835">
        <f t="shared" si="266"/>
        <v>31</v>
      </c>
      <c r="AF6005" s="831" t="s">
        <v>6664</v>
      </c>
      <c r="AG6005" s="831" t="s">
        <v>2674</v>
      </c>
      <c r="AH6005" s="831" t="s">
        <v>2688</v>
      </c>
      <c r="AI6005" s="831">
        <v>0</v>
      </c>
      <c r="AJ6005" s="835">
        <v>40421</v>
      </c>
      <c r="AK6005" s="831">
        <v>1087053</v>
      </c>
    </row>
    <row r="6006" spans="2:37">
      <c r="B6006" s="834" t="str">
        <f t="shared" si="265"/>
        <v>|||</v>
      </c>
      <c r="H6006" s="835">
        <f t="shared" si="266"/>
        <v>31</v>
      </c>
      <c r="AF6006" s="831" t="s">
        <v>6665</v>
      </c>
      <c r="AG6006" s="831" t="s">
        <v>2674</v>
      </c>
      <c r="AH6006" s="831" t="s">
        <v>556</v>
      </c>
      <c r="AI6006" s="831">
        <v>0</v>
      </c>
      <c r="AJ6006" s="835">
        <v>40421</v>
      </c>
      <c r="AK6006" s="831">
        <v>2268703.9945999999</v>
      </c>
    </row>
    <row r="6007" spans="2:37">
      <c r="B6007" s="834" t="str">
        <f t="shared" si="265"/>
        <v>|||</v>
      </c>
      <c r="H6007" s="835">
        <f t="shared" si="266"/>
        <v>31</v>
      </c>
      <c r="AF6007" s="831" t="s">
        <v>6666</v>
      </c>
      <c r="AG6007" s="831" t="s">
        <v>2674</v>
      </c>
      <c r="AH6007" s="831" t="s">
        <v>555</v>
      </c>
      <c r="AI6007" s="831">
        <v>0</v>
      </c>
      <c r="AJ6007" s="835">
        <v>40421</v>
      </c>
      <c r="AK6007" s="831">
        <v>199318172</v>
      </c>
    </row>
    <row r="6008" spans="2:37">
      <c r="B6008" s="834" t="str">
        <f t="shared" si="265"/>
        <v>|||</v>
      </c>
      <c r="H6008" s="835">
        <f t="shared" si="266"/>
        <v>31</v>
      </c>
      <c r="AF6008" s="831" t="s">
        <v>6667</v>
      </c>
      <c r="AG6008" s="831" t="s">
        <v>2674</v>
      </c>
      <c r="AH6008" s="831" t="s">
        <v>554</v>
      </c>
      <c r="AI6008" s="831">
        <v>0</v>
      </c>
      <c r="AJ6008" s="835">
        <v>40421</v>
      </c>
      <c r="AK6008" s="831">
        <v>185087190</v>
      </c>
    </row>
    <row r="6009" spans="2:37">
      <c r="B6009" s="834" t="str">
        <f t="shared" si="265"/>
        <v>|||</v>
      </c>
      <c r="H6009" s="835">
        <f t="shared" si="266"/>
        <v>31</v>
      </c>
      <c r="AF6009" s="831" t="s">
        <v>6668</v>
      </c>
      <c r="AG6009" s="831" t="s">
        <v>2674</v>
      </c>
      <c r="AH6009" s="831" t="s">
        <v>553</v>
      </c>
      <c r="AI6009" s="831">
        <v>0</v>
      </c>
      <c r="AJ6009" s="835">
        <v>40421</v>
      </c>
      <c r="AK6009" s="831">
        <v>0</v>
      </c>
    </row>
    <row r="6010" spans="2:37">
      <c r="B6010" s="834" t="str">
        <f t="shared" si="265"/>
        <v>|||</v>
      </c>
      <c r="H6010" s="835">
        <f t="shared" si="266"/>
        <v>31</v>
      </c>
      <c r="AF6010" s="831" t="s">
        <v>6669</v>
      </c>
      <c r="AG6010" s="831" t="s">
        <v>2674</v>
      </c>
      <c r="AH6010" s="831" t="s">
        <v>552</v>
      </c>
      <c r="AI6010" s="831">
        <v>0</v>
      </c>
      <c r="AJ6010" s="835">
        <v>40421</v>
      </c>
      <c r="AK6010" s="831">
        <v>0</v>
      </c>
    </row>
    <row r="6011" spans="2:37">
      <c r="B6011" s="834" t="str">
        <f t="shared" si="265"/>
        <v>|||</v>
      </c>
      <c r="H6011" s="835">
        <f t="shared" si="266"/>
        <v>31</v>
      </c>
      <c r="AF6011" s="831" t="s">
        <v>6670</v>
      </c>
      <c r="AG6011" s="831" t="s">
        <v>2674</v>
      </c>
      <c r="AH6011" s="831" t="s">
        <v>551</v>
      </c>
      <c r="AI6011" s="831">
        <v>0</v>
      </c>
      <c r="AJ6011" s="835">
        <v>40421</v>
      </c>
      <c r="AK6011" s="831">
        <v>1678887</v>
      </c>
    </row>
    <row r="6012" spans="2:37">
      <c r="B6012" s="834" t="str">
        <f t="shared" si="265"/>
        <v>|||</v>
      </c>
      <c r="H6012" s="835">
        <f t="shared" si="266"/>
        <v>31</v>
      </c>
      <c r="AF6012" s="831" t="s">
        <v>6671</v>
      </c>
      <c r="AG6012" s="831" t="s">
        <v>2674</v>
      </c>
      <c r="AH6012" s="831" t="s">
        <v>550</v>
      </c>
      <c r="AI6012" s="831">
        <v>0</v>
      </c>
      <c r="AJ6012" s="835">
        <v>40421</v>
      </c>
      <c r="AK6012" s="831">
        <v>0</v>
      </c>
    </row>
    <row r="6013" spans="2:37">
      <c r="B6013" s="834" t="str">
        <f t="shared" si="265"/>
        <v>|||</v>
      </c>
      <c r="H6013" s="835">
        <f t="shared" si="266"/>
        <v>31</v>
      </c>
      <c r="AF6013" s="831" t="s">
        <v>6672</v>
      </c>
      <c r="AG6013" s="831" t="s">
        <v>2674</v>
      </c>
      <c r="AH6013" s="831" t="s">
        <v>562</v>
      </c>
      <c r="AI6013" s="831">
        <v>0</v>
      </c>
      <c r="AJ6013" s="835">
        <v>40421</v>
      </c>
      <c r="AK6013" s="831">
        <v>0.8</v>
      </c>
    </row>
    <row r="6014" spans="2:37">
      <c r="B6014" s="834" t="str">
        <f t="shared" si="265"/>
        <v>|||</v>
      </c>
      <c r="H6014" s="835">
        <f t="shared" si="266"/>
        <v>31</v>
      </c>
      <c r="AF6014" s="831" t="s">
        <v>6673</v>
      </c>
      <c r="AG6014" s="831" t="s">
        <v>2674</v>
      </c>
      <c r="AH6014" s="831" t="s">
        <v>2698</v>
      </c>
      <c r="AI6014" s="831">
        <v>0</v>
      </c>
      <c r="AJ6014" s="835">
        <v>40421</v>
      </c>
      <c r="AK6014" s="831">
        <v>0.8</v>
      </c>
    </row>
    <row r="6015" spans="2:37">
      <c r="B6015" s="834" t="str">
        <f t="shared" si="265"/>
        <v>|||</v>
      </c>
      <c r="H6015" s="835">
        <f t="shared" si="266"/>
        <v>31</v>
      </c>
      <c r="AF6015" s="831" t="s">
        <v>6674</v>
      </c>
      <c r="AG6015" s="831" t="s">
        <v>2674</v>
      </c>
      <c r="AH6015" s="831" t="s">
        <v>560</v>
      </c>
      <c r="AI6015" s="831">
        <v>0</v>
      </c>
      <c r="AJ6015" s="835">
        <v>40421</v>
      </c>
      <c r="AK6015" s="831">
        <v>0.80374999999999996</v>
      </c>
    </row>
    <row r="6016" spans="2:37">
      <c r="B6016" s="834" t="str">
        <f t="shared" si="265"/>
        <v>|||</v>
      </c>
      <c r="H6016" s="835">
        <f t="shared" si="266"/>
        <v>31</v>
      </c>
      <c r="AF6016" s="831" t="s">
        <v>6675</v>
      </c>
      <c r="AG6016" s="831" t="s">
        <v>2674</v>
      </c>
      <c r="AH6016" s="831" t="s">
        <v>559</v>
      </c>
      <c r="AI6016" s="831">
        <v>0</v>
      </c>
      <c r="AJ6016" s="835">
        <v>40421</v>
      </c>
      <c r="AK6016" s="831">
        <v>0.80249999999999999</v>
      </c>
    </row>
    <row r="6017" spans="2:37">
      <c r="B6017" s="834" t="str">
        <f t="shared" si="265"/>
        <v>|||</v>
      </c>
      <c r="H6017" s="835">
        <f t="shared" si="266"/>
        <v>31</v>
      </c>
      <c r="AF6017" s="831" t="s">
        <v>6676</v>
      </c>
      <c r="AG6017" s="831" t="s">
        <v>2674</v>
      </c>
      <c r="AH6017" s="831" t="s">
        <v>568</v>
      </c>
      <c r="AI6017" s="831">
        <v>0</v>
      </c>
      <c r="AJ6017" s="835">
        <v>40421</v>
      </c>
      <c r="AK6017" s="831">
        <v>0</v>
      </c>
    </row>
    <row r="6018" spans="2:37">
      <c r="B6018" s="834" t="str">
        <f t="shared" si="265"/>
        <v>|||</v>
      </c>
      <c r="H6018" s="835">
        <f t="shared" si="266"/>
        <v>31</v>
      </c>
      <c r="AF6018" s="831" t="s">
        <v>6677</v>
      </c>
      <c r="AG6018" s="831" t="s">
        <v>2674</v>
      </c>
      <c r="AH6018" s="831" t="s">
        <v>569</v>
      </c>
      <c r="AI6018" s="831">
        <v>0</v>
      </c>
      <c r="AJ6018" s="835">
        <v>40421</v>
      </c>
      <c r="AK6018" s="831">
        <v>0</v>
      </c>
    </row>
    <row r="6019" spans="2:37">
      <c r="B6019" s="834" t="str">
        <f t="shared" ref="B6019:B6082" si="267">C6019&amp;"|"&amp;D6019&amp;"|"&amp;E6019&amp;"|"&amp;F6019</f>
        <v>|||</v>
      </c>
      <c r="H6019" s="835">
        <f t="shared" si="266"/>
        <v>31</v>
      </c>
      <c r="AF6019" s="831" t="s">
        <v>6678</v>
      </c>
      <c r="AG6019" s="831" t="s">
        <v>2674</v>
      </c>
      <c r="AH6019" s="831" t="s">
        <v>570</v>
      </c>
      <c r="AI6019" s="831">
        <v>0</v>
      </c>
      <c r="AJ6019" s="835">
        <v>40421</v>
      </c>
      <c r="AK6019" s="831">
        <v>0</v>
      </c>
    </row>
    <row r="6020" spans="2:37">
      <c r="B6020" s="834" t="str">
        <f t="shared" si="267"/>
        <v>|||</v>
      </c>
      <c r="H6020" s="835">
        <f t="shared" ref="H6020:H6083" si="268">EOMONTH(L6020,0)</f>
        <v>31</v>
      </c>
      <c r="AF6020" s="831" t="s">
        <v>6679</v>
      </c>
      <c r="AG6020" s="831" t="s">
        <v>2674</v>
      </c>
      <c r="AH6020" s="831" t="s">
        <v>571</v>
      </c>
      <c r="AI6020" s="831">
        <v>0</v>
      </c>
      <c r="AJ6020" s="835">
        <v>40421</v>
      </c>
      <c r="AK6020" s="831">
        <v>0</v>
      </c>
    </row>
    <row r="6021" spans="2:37">
      <c r="B6021" s="834" t="str">
        <f t="shared" si="267"/>
        <v>|||</v>
      </c>
      <c r="H6021" s="835">
        <f t="shared" si="268"/>
        <v>31</v>
      </c>
      <c r="AF6021" s="831" t="s">
        <v>6680</v>
      </c>
      <c r="AG6021" s="831" t="s">
        <v>2674</v>
      </c>
      <c r="AH6021" s="831" t="s">
        <v>573</v>
      </c>
      <c r="AI6021" s="831">
        <v>0</v>
      </c>
      <c r="AJ6021" s="835">
        <v>40421</v>
      </c>
      <c r="AK6021" s="831">
        <v>0</v>
      </c>
    </row>
    <row r="6022" spans="2:37">
      <c r="B6022" s="834" t="str">
        <f t="shared" si="267"/>
        <v>|||</v>
      </c>
      <c r="H6022" s="835">
        <f t="shared" si="268"/>
        <v>31</v>
      </c>
      <c r="AF6022" s="831" t="s">
        <v>6681</v>
      </c>
      <c r="AG6022" s="831" t="s">
        <v>2674</v>
      </c>
      <c r="AH6022" s="831" t="s">
        <v>574</v>
      </c>
      <c r="AI6022" s="831">
        <v>0</v>
      </c>
      <c r="AJ6022" s="835">
        <v>40421</v>
      </c>
      <c r="AK6022" s="831">
        <v>0</v>
      </c>
    </row>
    <row r="6023" spans="2:37">
      <c r="B6023" s="834" t="str">
        <f t="shared" si="267"/>
        <v>|||</v>
      </c>
      <c r="H6023" s="835">
        <f t="shared" si="268"/>
        <v>31</v>
      </c>
      <c r="AF6023" s="831" t="s">
        <v>6682</v>
      </c>
      <c r="AG6023" s="831" t="s">
        <v>2674</v>
      </c>
      <c r="AH6023" s="831" t="s">
        <v>575</v>
      </c>
      <c r="AI6023" s="831">
        <v>0</v>
      </c>
      <c r="AJ6023" s="835">
        <v>40421</v>
      </c>
      <c r="AK6023" s="831">
        <v>0</v>
      </c>
    </row>
    <row r="6024" spans="2:37">
      <c r="B6024" s="834" t="str">
        <f t="shared" si="267"/>
        <v>|||</v>
      </c>
      <c r="H6024" s="835">
        <f t="shared" si="268"/>
        <v>31</v>
      </c>
      <c r="AF6024" s="831" t="s">
        <v>6683</v>
      </c>
      <c r="AG6024" s="831" t="s">
        <v>2674</v>
      </c>
      <c r="AH6024" s="831" t="s">
        <v>576</v>
      </c>
      <c r="AI6024" s="831">
        <v>0</v>
      </c>
      <c r="AJ6024" s="835">
        <v>40421</v>
      </c>
      <c r="AK6024" s="831">
        <v>0</v>
      </c>
    </row>
    <row r="6025" spans="2:37">
      <c r="B6025" s="834" t="str">
        <f t="shared" si="267"/>
        <v>|||</v>
      </c>
      <c r="H6025" s="835">
        <f t="shared" si="268"/>
        <v>31</v>
      </c>
      <c r="AF6025" s="831" t="s">
        <v>6684</v>
      </c>
      <c r="AG6025" s="831" t="s">
        <v>2674</v>
      </c>
      <c r="AH6025" s="831" t="s">
        <v>572</v>
      </c>
      <c r="AI6025" s="831">
        <v>0</v>
      </c>
      <c r="AJ6025" s="835">
        <v>40421</v>
      </c>
      <c r="AK6025" s="831">
        <v>0</v>
      </c>
    </row>
    <row r="6026" spans="2:37">
      <c r="B6026" s="834" t="str">
        <f t="shared" si="267"/>
        <v>|||</v>
      </c>
      <c r="H6026" s="835">
        <f t="shared" si="268"/>
        <v>31</v>
      </c>
      <c r="AF6026" s="831" t="s">
        <v>6685</v>
      </c>
      <c r="AG6026" s="831" t="s">
        <v>2674</v>
      </c>
      <c r="AH6026" s="831" t="s">
        <v>577</v>
      </c>
      <c r="AI6026" s="831">
        <v>0</v>
      </c>
      <c r="AJ6026" s="835">
        <v>40421</v>
      </c>
      <c r="AK6026" s="831">
        <v>0</v>
      </c>
    </row>
    <row r="6027" spans="2:37">
      <c r="B6027" s="834" t="str">
        <f t="shared" si="267"/>
        <v>|||</v>
      </c>
      <c r="H6027" s="835">
        <f t="shared" si="268"/>
        <v>31</v>
      </c>
      <c r="AF6027" s="831" t="s">
        <v>6686</v>
      </c>
      <c r="AG6027" s="831" t="s">
        <v>2674</v>
      </c>
      <c r="AH6027" s="831" t="s">
        <v>3042</v>
      </c>
      <c r="AI6027" s="831">
        <v>0</v>
      </c>
      <c r="AJ6027" s="835">
        <v>40421</v>
      </c>
      <c r="AK6027" s="831">
        <v>0</v>
      </c>
    </row>
    <row r="6028" spans="2:37">
      <c r="B6028" s="834" t="str">
        <f t="shared" si="267"/>
        <v>|||</v>
      </c>
      <c r="H6028" s="835">
        <f t="shared" si="268"/>
        <v>31</v>
      </c>
      <c r="AF6028" s="831" t="s">
        <v>6687</v>
      </c>
      <c r="AG6028" s="831" t="s">
        <v>2674</v>
      </c>
      <c r="AH6028" s="831" t="s">
        <v>3044</v>
      </c>
      <c r="AI6028" s="831">
        <v>0</v>
      </c>
      <c r="AJ6028" s="835">
        <v>40421</v>
      </c>
      <c r="AK6028" s="831">
        <v>0</v>
      </c>
    </row>
    <row r="6029" spans="2:37">
      <c r="B6029" s="834" t="str">
        <f t="shared" si="267"/>
        <v>|||</v>
      </c>
      <c r="H6029" s="835">
        <f t="shared" si="268"/>
        <v>31</v>
      </c>
      <c r="AF6029" s="831" t="s">
        <v>6688</v>
      </c>
      <c r="AG6029" s="831" t="s">
        <v>2674</v>
      </c>
      <c r="AH6029" s="831" t="s">
        <v>580</v>
      </c>
      <c r="AI6029" s="831">
        <v>0</v>
      </c>
      <c r="AJ6029" s="835">
        <v>40421</v>
      </c>
      <c r="AK6029" s="831">
        <v>0</v>
      </c>
    </row>
    <row r="6030" spans="2:37">
      <c r="B6030" s="834" t="str">
        <f t="shared" si="267"/>
        <v>|||</v>
      </c>
      <c r="H6030" s="835">
        <f t="shared" si="268"/>
        <v>31</v>
      </c>
      <c r="AF6030" s="831" t="s">
        <v>6689</v>
      </c>
      <c r="AG6030" s="831" t="s">
        <v>2674</v>
      </c>
      <c r="AH6030" s="831" t="s">
        <v>581</v>
      </c>
      <c r="AI6030" s="831">
        <v>0</v>
      </c>
      <c r="AJ6030" s="835">
        <v>40421</v>
      </c>
      <c r="AK6030" s="831">
        <v>0</v>
      </c>
    </row>
    <row r="6031" spans="2:37">
      <c r="B6031" s="834" t="str">
        <f t="shared" si="267"/>
        <v>|||</v>
      </c>
      <c r="H6031" s="835">
        <f t="shared" si="268"/>
        <v>31</v>
      </c>
      <c r="AF6031" s="831" t="s">
        <v>6690</v>
      </c>
      <c r="AG6031" s="831" t="s">
        <v>2674</v>
      </c>
      <c r="AH6031" s="831" t="s">
        <v>105</v>
      </c>
      <c r="AI6031" s="831">
        <v>0</v>
      </c>
      <c r="AJ6031" s="835">
        <v>40421</v>
      </c>
      <c r="AK6031" s="831">
        <v>164845558.94</v>
      </c>
    </row>
    <row r="6032" spans="2:37">
      <c r="B6032" s="834" t="str">
        <f t="shared" si="267"/>
        <v>|||</v>
      </c>
      <c r="H6032" s="835">
        <f t="shared" si="268"/>
        <v>31</v>
      </c>
      <c r="AF6032" s="831" t="s">
        <v>6691</v>
      </c>
      <c r="AG6032" s="831" t="s">
        <v>2674</v>
      </c>
      <c r="AH6032" s="831" t="s">
        <v>3049</v>
      </c>
      <c r="AI6032" s="831">
        <v>0</v>
      </c>
      <c r="AJ6032" s="835">
        <v>40421</v>
      </c>
      <c r="AK6032" s="831">
        <v>277649125.98519999</v>
      </c>
    </row>
    <row r="6033" spans="2:37">
      <c r="B6033" s="834" t="str">
        <f t="shared" si="267"/>
        <v>|||</v>
      </c>
      <c r="H6033" s="835">
        <f t="shared" si="268"/>
        <v>31</v>
      </c>
      <c r="AF6033" s="831" t="s">
        <v>6692</v>
      </c>
      <c r="AG6033" s="831" t="s">
        <v>2674</v>
      </c>
      <c r="AH6033" s="831" t="s">
        <v>103</v>
      </c>
      <c r="AI6033" s="831">
        <v>0</v>
      </c>
      <c r="AJ6033" s="835">
        <v>40421</v>
      </c>
      <c r="AK6033" s="831">
        <v>112803567.04520001</v>
      </c>
    </row>
    <row r="6034" spans="2:37">
      <c r="B6034" s="834" t="str">
        <f t="shared" si="267"/>
        <v>|||</v>
      </c>
      <c r="H6034" s="835">
        <f t="shared" si="268"/>
        <v>31</v>
      </c>
      <c r="AF6034" s="831" t="s">
        <v>6693</v>
      </c>
      <c r="AG6034" s="831" t="s">
        <v>2674</v>
      </c>
      <c r="AH6034" s="831" t="s">
        <v>182</v>
      </c>
      <c r="AI6034" s="831">
        <v>0</v>
      </c>
      <c r="AJ6034" s="835">
        <v>40421</v>
      </c>
      <c r="AK6034" s="831">
        <v>32776424.238440201</v>
      </c>
    </row>
    <row r="6035" spans="2:37">
      <c r="B6035" s="834" t="str">
        <f t="shared" si="267"/>
        <v>|||</v>
      </c>
      <c r="H6035" s="835">
        <f t="shared" si="268"/>
        <v>31</v>
      </c>
      <c r="AF6035" s="831" t="s">
        <v>6694</v>
      </c>
      <c r="AG6035" s="831" t="s">
        <v>2674</v>
      </c>
      <c r="AH6035" s="831" t="s">
        <v>6600</v>
      </c>
      <c r="AI6035" s="831">
        <v>0</v>
      </c>
      <c r="AJ6035" s="835">
        <v>40421</v>
      </c>
      <c r="AK6035" s="831">
        <v>0</v>
      </c>
    </row>
    <row r="6036" spans="2:37">
      <c r="B6036" s="834" t="str">
        <f t="shared" si="267"/>
        <v>|||</v>
      </c>
      <c r="H6036" s="835">
        <f t="shared" si="268"/>
        <v>31</v>
      </c>
      <c r="AF6036" s="831" t="s">
        <v>6695</v>
      </c>
      <c r="AG6036" s="831" t="s">
        <v>2674</v>
      </c>
      <c r="AH6036" s="831" t="s">
        <v>6602</v>
      </c>
      <c r="AI6036" s="831">
        <v>0</v>
      </c>
      <c r="AJ6036" s="835">
        <v>40421</v>
      </c>
      <c r="AK6036" s="831">
        <v>18556275.836091202</v>
      </c>
    </row>
    <row r="6037" spans="2:37">
      <c r="B6037" s="834" t="str">
        <f t="shared" si="267"/>
        <v>|||</v>
      </c>
      <c r="H6037" s="835">
        <f t="shared" si="268"/>
        <v>31</v>
      </c>
      <c r="AF6037" s="831" t="s">
        <v>6696</v>
      </c>
      <c r="AG6037" s="831" t="s">
        <v>2674</v>
      </c>
      <c r="AH6037" s="831" t="s">
        <v>650</v>
      </c>
      <c r="AI6037" s="831">
        <v>0</v>
      </c>
      <c r="AJ6037" s="835">
        <v>40421</v>
      </c>
      <c r="AK6037" s="831">
        <v>0</v>
      </c>
    </row>
    <row r="6038" spans="2:37">
      <c r="B6038" s="834" t="str">
        <f t="shared" si="267"/>
        <v>|||</v>
      </c>
      <c r="H6038" s="835">
        <f t="shared" si="268"/>
        <v>31</v>
      </c>
      <c r="AF6038" s="831" t="s">
        <v>6697</v>
      </c>
      <c r="AG6038" s="831" t="s">
        <v>2674</v>
      </c>
      <c r="AH6038" s="831" t="s">
        <v>655</v>
      </c>
      <c r="AI6038" s="831">
        <v>0</v>
      </c>
      <c r="AJ6038" s="835">
        <v>40421</v>
      </c>
      <c r="AK6038" s="831">
        <v>1460410</v>
      </c>
    </row>
    <row r="6039" spans="2:37">
      <c r="B6039" s="834" t="str">
        <f t="shared" si="267"/>
        <v>|||</v>
      </c>
      <c r="H6039" s="835">
        <f t="shared" si="268"/>
        <v>31</v>
      </c>
      <c r="AF6039" s="831" t="s">
        <v>6698</v>
      </c>
      <c r="AG6039" s="831" t="s">
        <v>2674</v>
      </c>
      <c r="AH6039" s="831" t="s">
        <v>546</v>
      </c>
      <c r="AI6039" s="831">
        <v>0</v>
      </c>
      <c r="AJ6039" s="835">
        <v>40451</v>
      </c>
      <c r="AK6039" s="831">
        <v>284612325.52703398</v>
      </c>
    </row>
    <row r="6040" spans="2:37">
      <c r="B6040" s="834" t="str">
        <f t="shared" si="267"/>
        <v>|||</v>
      </c>
      <c r="H6040" s="835">
        <f t="shared" si="268"/>
        <v>31</v>
      </c>
      <c r="AF6040" s="831" t="s">
        <v>6699</v>
      </c>
      <c r="AG6040" s="831" t="s">
        <v>2674</v>
      </c>
      <c r="AH6040" s="831" t="s">
        <v>370</v>
      </c>
      <c r="AI6040" s="831">
        <v>0</v>
      </c>
      <c r="AJ6040" s="835">
        <v>40451</v>
      </c>
      <c r="AK6040" s="831">
        <v>368629260.49643397</v>
      </c>
    </row>
    <row r="6041" spans="2:37">
      <c r="B6041" s="834" t="str">
        <f t="shared" si="267"/>
        <v>|||</v>
      </c>
      <c r="H6041" s="835">
        <f t="shared" si="268"/>
        <v>31</v>
      </c>
      <c r="AF6041" s="831" t="s">
        <v>6700</v>
      </c>
      <c r="AG6041" s="831" t="s">
        <v>2674</v>
      </c>
      <c r="AH6041" s="831" t="s">
        <v>126</v>
      </c>
      <c r="AI6041" s="831">
        <v>0</v>
      </c>
      <c r="AJ6041" s="835">
        <v>40451</v>
      </c>
      <c r="AK6041" s="831">
        <v>68833215.0314565</v>
      </c>
    </row>
    <row r="6042" spans="2:37">
      <c r="B6042" s="834" t="str">
        <f t="shared" si="267"/>
        <v>|||</v>
      </c>
      <c r="H6042" s="835">
        <f t="shared" si="268"/>
        <v>31</v>
      </c>
      <c r="AF6042" s="831" t="s">
        <v>6701</v>
      </c>
      <c r="AG6042" s="831" t="s">
        <v>2674</v>
      </c>
      <c r="AH6042" s="831" t="s">
        <v>268</v>
      </c>
      <c r="AI6042" s="831">
        <v>0</v>
      </c>
      <c r="AJ6042" s="835">
        <v>40451</v>
      </c>
      <c r="AK6042" s="831">
        <v>20547932.4614565</v>
      </c>
    </row>
    <row r="6043" spans="2:37">
      <c r="B6043" s="834" t="str">
        <f t="shared" si="267"/>
        <v>|||</v>
      </c>
      <c r="H6043" s="835">
        <f t="shared" si="268"/>
        <v>31</v>
      </c>
      <c r="AF6043" s="831" t="s">
        <v>6702</v>
      </c>
      <c r="AG6043" s="831" t="s">
        <v>2674</v>
      </c>
      <c r="AH6043" s="831" t="s">
        <v>547</v>
      </c>
      <c r="AI6043" s="831">
        <v>0</v>
      </c>
      <c r="AJ6043" s="835">
        <v>40451</v>
      </c>
      <c r="AK6043" s="831">
        <v>0</v>
      </c>
    </row>
    <row r="6044" spans="2:37">
      <c r="B6044" s="834" t="str">
        <f t="shared" si="267"/>
        <v>|||</v>
      </c>
      <c r="H6044" s="835">
        <f t="shared" si="268"/>
        <v>31</v>
      </c>
      <c r="AF6044" s="831" t="s">
        <v>6703</v>
      </c>
      <c r="AG6044" s="831" t="s">
        <v>2674</v>
      </c>
      <c r="AH6044" s="831" t="s">
        <v>548</v>
      </c>
      <c r="AI6044" s="831">
        <v>0</v>
      </c>
      <c r="AJ6044" s="835">
        <v>40451</v>
      </c>
      <c r="AK6044" s="831">
        <v>0</v>
      </c>
    </row>
    <row r="6045" spans="2:37">
      <c r="B6045" s="834" t="str">
        <f t="shared" si="267"/>
        <v>|||</v>
      </c>
      <c r="H6045" s="835">
        <f t="shared" si="268"/>
        <v>31</v>
      </c>
      <c r="AF6045" s="831" t="s">
        <v>6704</v>
      </c>
      <c r="AG6045" s="831" t="s">
        <v>2674</v>
      </c>
      <c r="AH6045" s="831" t="s">
        <v>549</v>
      </c>
      <c r="AI6045" s="831">
        <v>0</v>
      </c>
      <c r="AJ6045" s="835">
        <v>40451</v>
      </c>
      <c r="AK6045" s="831">
        <v>0</v>
      </c>
    </row>
    <row r="6046" spans="2:37">
      <c r="B6046" s="834" t="str">
        <f t="shared" si="267"/>
        <v>|||</v>
      </c>
      <c r="H6046" s="835">
        <f t="shared" si="268"/>
        <v>31</v>
      </c>
      <c r="AF6046" s="831" t="s">
        <v>6705</v>
      </c>
      <c r="AG6046" s="831" t="s">
        <v>2674</v>
      </c>
      <c r="AH6046" s="831" t="s">
        <v>192</v>
      </c>
      <c r="AI6046" s="831">
        <v>0</v>
      </c>
      <c r="AJ6046" s="835">
        <v>40451</v>
      </c>
      <c r="AK6046" s="831">
        <v>-7333530.1299999999</v>
      </c>
    </row>
    <row r="6047" spans="2:37">
      <c r="B6047" s="834" t="str">
        <f t="shared" si="267"/>
        <v>|||</v>
      </c>
      <c r="H6047" s="835">
        <f t="shared" si="268"/>
        <v>31</v>
      </c>
      <c r="AF6047" s="831" t="s">
        <v>6706</v>
      </c>
      <c r="AG6047" s="831" t="s">
        <v>2674</v>
      </c>
      <c r="AH6047" s="831" t="s">
        <v>558</v>
      </c>
      <c r="AI6047" s="831">
        <v>0</v>
      </c>
      <c r="AJ6047" s="835">
        <v>40451</v>
      </c>
      <c r="AK6047" s="831">
        <v>299796045.20050001</v>
      </c>
    </row>
    <row r="6048" spans="2:37">
      <c r="B6048" s="834" t="str">
        <f t="shared" si="267"/>
        <v>|||</v>
      </c>
      <c r="H6048" s="835">
        <f t="shared" si="268"/>
        <v>31</v>
      </c>
      <c r="AF6048" s="831" t="s">
        <v>6707</v>
      </c>
      <c r="AG6048" s="831" t="s">
        <v>2674</v>
      </c>
      <c r="AH6048" s="831" t="s">
        <v>65</v>
      </c>
      <c r="AI6048" s="831">
        <v>0</v>
      </c>
      <c r="AJ6048" s="835">
        <v>40451</v>
      </c>
      <c r="AK6048" s="831">
        <v>66369920.143327303</v>
      </c>
    </row>
    <row r="6049" spans="2:37">
      <c r="B6049" s="834" t="str">
        <f t="shared" si="267"/>
        <v>|||</v>
      </c>
      <c r="H6049" s="835">
        <f t="shared" si="268"/>
        <v>31</v>
      </c>
      <c r="AF6049" s="831" t="s">
        <v>6708</v>
      </c>
      <c r="AG6049" s="831" t="s">
        <v>2674</v>
      </c>
      <c r="AH6049" s="831" t="s">
        <v>89</v>
      </c>
      <c r="AI6049" s="831">
        <v>0</v>
      </c>
      <c r="AJ6049" s="835">
        <v>40451</v>
      </c>
      <c r="AK6049" s="831">
        <v>121414</v>
      </c>
    </row>
    <row r="6050" spans="2:37">
      <c r="B6050" s="834" t="str">
        <f t="shared" si="267"/>
        <v>|||</v>
      </c>
      <c r="H6050" s="835">
        <f t="shared" si="268"/>
        <v>31</v>
      </c>
      <c r="AF6050" s="831" t="s">
        <v>6709</v>
      </c>
      <c r="AG6050" s="831" t="s">
        <v>2674</v>
      </c>
      <c r="AH6050" s="831" t="s">
        <v>557</v>
      </c>
      <c r="AI6050" s="831">
        <v>0</v>
      </c>
      <c r="AJ6050" s="835">
        <v>40451</v>
      </c>
      <c r="AK6050" s="831">
        <v>123869</v>
      </c>
    </row>
    <row r="6051" spans="2:37">
      <c r="B6051" s="834" t="str">
        <f t="shared" si="267"/>
        <v>|||</v>
      </c>
      <c r="H6051" s="835">
        <f t="shared" si="268"/>
        <v>31</v>
      </c>
      <c r="AF6051" s="831" t="s">
        <v>6710</v>
      </c>
      <c r="AG6051" s="831" t="s">
        <v>2674</v>
      </c>
      <c r="AH6051" s="831" t="s">
        <v>29</v>
      </c>
      <c r="AI6051" s="831">
        <v>0</v>
      </c>
      <c r="AJ6051" s="835">
        <v>40451</v>
      </c>
      <c r="AK6051" s="831">
        <v>2106050</v>
      </c>
    </row>
    <row r="6052" spans="2:37">
      <c r="B6052" s="834" t="str">
        <f t="shared" si="267"/>
        <v>|||</v>
      </c>
      <c r="H6052" s="835">
        <f t="shared" si="268"/>
        <v>31</v>
      </c>
      <c r="AF6052" s="831" t="s">
        <v>6711</v>
      </c>
      <c r="AG6052" s="831" t="s">
        <v>2674</v>
      </c>
      <c r="AH6052" s="831" t="s">
        <v>2688</v>
      </c>
      <c r="AI6052" s="831">
        <v>0</v>
      </c>
      <c r="AJ6052" s="835">
        <v>40451</v>
      </c>
      <c r="AK6052" s="831">
        <v>1099746</v>
      </c>
    </row>
    <row r="6053" spans="2:37">
      <c r="B6053" s="834" t="str">
        <f t="shared" si="267"/>
        <v>|||</v>
      </c>
      <c r="H6053" s="835">
        <f t="shared" si="268"/>
        <v>31</v>
      </c>
      <c r="AF6053" s="831" t="s">
        <v>6712</v>
      </c>
      <c r="AG6053" s="831" t="s">
        <v>2674</v>
      </c>
      <c r="AH6053" s="831" t="s">
        <v>556</v>
      </c>
      <c r="AI6053" s="831">
        <v>0</v>
      </c>
      <c r="AJ6053" s="835">
        <v>40451</v>
      </c>
      <c r="AK6053" s="831">
        <v>2089550.9946000001</v>
      </c>
    </row>
    <row r="6054" spans="2:37">
      <c r="B6054" s="834" t="str">
        <f t="shared" si="267"/>
        <v>|||</v>
      </c>
      <c r="H6054" s="835">
        <f t="shared" si="268"/>
        <v>31</v>
      </c>
      <c r="AF6054" s="831" t="s">
        <v>6713</v>
      </c>
      <c r="AG6054" s="831" t="s">
        <v>2674</v>
      </c>
      <c r="AH6054" s="831" t="s">
        <v>555</v>
      </c>
      <c r="AI6054" s="831">
        <v>0</v>
      </c>
      <c r="AJ6054" s="835">
        <v>40451</v>
      </c>
      <c r="AK6054" s="831">
        <v>207710710</v>
      </c>
    </row>
    <row r="6055" spans="2:37">
      <c r="B6055" s="834" t="str">
        <f t="shared" si="267"/>
        <v>|||</v>
      </c>
      <c r="H6055" s="835">
        <f t="shared" si="268"/>
        <v>31</v>
      </c>
      <c r="AF6055" s="831" t="s">
        <v>6714</v>
      </c>
      <c r="AG6055" s="831" t="s">
        <v>2674</v>
      </c>
      <c r="AH6055" s="831" t="s">
        <v>554</v>
      </c>
      <c r="AI6055" s="831">
        <v>0</v>
      </c>
      <c r="AJ6055" s="835">
        <v>40451</v>
      </c>
      <c r="AK6055" s="831">
        <v>190681620</v>
      </c>
    </row>
    <row r="6056" spans="2:37">
      <c r="B6056" s="834" t="str">
        <f t="shared" si="267"/>
        <v>|||</v>
      </c>
      <c r="H6056" s="835">
        <f t="shared" si="268"/>
        <v>31</v>
      </c>
      <c r="AF6056" s="831" t="s">
        <v>6715</v>
      </c>
      <c r="AG6056" s="831" t="s">
        <v>2674</v>
      </c>
      <c r="AH6056" s="831" t="s">
        <v>553</v>
      </c>
      <c r="AI6056" s="831">
        <v>0</v>
      </c>
      <c r="AJ6056" s="835">
        <v>40451</v>
      </c>
      <c r="AK6056" s="831">
        <v>0</v>
      </c>
    </row>
    <row r="6057" spans="2:37">
      <c r="B6057" s="834" t="str">
        <f t="shared" si="267"/>
        <v>|||</v>
      </c>
      <c r="H6057" s="835">
        <f t="shared" si="268"/>
        <v>31</v>
      </c>
      <c r="AF6057" s="831" t="s">
        <v>6716</v>
      </c>
      <c r="AG6057" s="831" t="s">
        <v>2674</v>
      </c>
      <c r="AH6057" s="831" t="s">
        <v>552</v>
      </c>
      <c r="AI6057" s="831">
        <v>0</v>
      </c>
      <c r="AJ6057" s="835">
        <v>40451</v>
      </c>
      <c r="AK6057" s="831">
        <v>0</v>
      </c>
    </row>
    <row r="6058" spans="2:37">
      <c r="B6058" s="834" t="str">
        <f t="shared" si="267"/>
        <v>|||</v>
      </c>
      <c r="H6058" s="835">
        <f t="shared" si="268"/>
        <v>31</v>
      </c>
      <c r="AF6058" s="831" t="s">
        <v>6717</v>
      </c>
      <c r="AG6058" s="831" t="s">
        <v>2674</v>
      </c>
      <c r="AH6058" s="831" t="s">
        <v>551</v>
      </c>
      <c r="AI6058" s="831">
        <v>0</v>
      </c>
      <c r="AJ6058" s="835">
        <v>40451</v>
      </c>
      <c r="AK6058" s="831">
        <v>1834046</v>
      </c>
    </row>
    <row r="6059" spans="2:37">
      <c r="B6059" s="834" t="str">
        <f t="shared" si="267"/>
        <v>|||</v>
      </c>
      <c r="H6059" s="835">
        <f t="shared" si="268"/>
        <v>31</v>
      </c>
      <c r="AF6059" s="831" t="s">
        <v>6718</v>
      </c>
      <c r="AG6059" s="831" t="s">
        <v>2674</v>
      </c>
      <c r="AH6059" s="831" t="s">
        <v>550</v>
      </c>
      <c r="AI6059" s="831">
        <v>0</v>
      </c>
      <c r="AJ6059" s="835">
        <v>40451</v>
      </c>
      <c r="AK6059" s="831">
        <v>0</v>
      </c>
    </row>
    <row r="6060" spans="2:37">
      <c r="B6060" s="834" t="str">
        <f t="shared" si="267"/>
        <v>|||</v>
      </c>
      <c r="H6060" s="835">
        <f t="shared" si="268"/>
        <v>31</v>
      </c>
      <c r="AF6060" s="831" t="s">
        <v>6719</v>
      </c>
      <c r="AG6060" s="831" t="s">
        <v>2674</v>
      </c>
      <c r="AH6060" s="831" t="s">
        <v>562</v>
      </c>
      <c r="AI6060" s="831">
        <v>0</v>
      </c>
      <c r="AJ6060" s="835">
        <v>40451</v>
      </c>
      <c r="AK6060" s="831">
        <v>0.80300000000000005</v>
      </c>
    </row>
    <row r="6061" spans="2:37">
      <c r="B6061" s="834" t="str">
        <f t="shared" si="267"/>
        <v>|||</v>
      </c>
      <c r="H6061" s="835">
        <f t="shared" si="268"/>
        <v>31</v>
      </c>
      <c r="AF6061" s="831" t="s">
        <v>6720</v>
      </c>
      <c r="AG6061" s="831" t="s">
        <v>2674</v>
      </c>
      <c r="AH6061" s="831" t="s">
        <v>2698</v>
      </c>
      <c r="AI6061" s="831">
        <v>0</v>
      </c>
      <c r="AJ6061" s="835">
        <v>40451</v>
      </c>
      <c r="AK6061" s="831">
        <v>0.8</v>
      </c>
    </row>
    <row r="6062" spans="2:37">
      <c r="B6062" s="834" t="str">
        <f t="shared" si="267"/>
        <v>|||</v>
      </c>
      <c r="H6062" s="835">
        <f t="shared" si="268"/>
        <v>31</v>
      </c>
      <c r="AF6062" s="831" t="s">
        <v>6721</v>
      </c>
      <c r="AG6062" s="831" t="s">
        <v>2674</v>
      </c>
      <c r="AH6062" s="831" t="s">
        <v>560</v>
      </c>
      <c r="AI6062" s="831">
        <v>0</v>
      </c>
      <c r="AJ6062" s="835">
        <v>40451</v>
      </c>
      <c r="AK6062" s="831">
        <v>0.80366666666666697</v>
      </c>
    </row>
    <row r="6063" spans="2:37">
      <c r="B6063" s="834" t="str">
        <f t="shared" si="267"/>
        <v>|||</v>
      </c>
      <c r="H6063" s="835">
        <f t="shared" si="268"/>
        <v>31</v>
      </c>
      <c r="AF6063" s="831" t="s">
        <v>6722</v>
      </c>
      <c r="AG6063" s="831" t="s">
        <v>2674</v>
      </c>
      <c r="AH6063" s="831" t="s">
        <v>559</v>
      </c>
      <c r="AI6063" s="831">
        <v>0</v>
      </c>
      <c r="AJ6063" s="835">
        <v>40451</v>
      </c>
      <c r="AK6063" s="831">
        <v>0.80274999999999996</v>
      </c>
    </row>
    <row r="6064" spans="2:37">
      <c r="B6064" s="834" t="str">
        <f t="shared" si="267"/>
        <v>|||</v>
      </c>
      <c r="H6064" s="835">
        <f t="shared" si="268"/>
        <v>31</v>
      </c>
      <c r="AF6064" s="831" t="s">
        <v>6723</v>
      </c>
      <c r="AG6064" s="831" t="s">
        <v>2674</v>
      </c>
      <c r="AH6064" s="831" t="s">
        <v>568</v>
      </c>
      <c r="AI6064" s="831">
        <v>0</v>
      </c>
      <c r="AJ6064" s="835">
        <v>40451</v>
      </c>
      <c r="AK6064" s="831">
        <v>0</v>
      </c>
    </row>
    <row r="6065" spans="2:37">
      <c r="B6065" s="834" t="str">
        <f t="shared" si="267"/>
        <v>|||</v>
      </c>
      <c r="H6065" s="835">
        <f t="shared" si="268"/>
        <v>31</v>
      </c>
      <c r="AF6065" s="831" t="s">
        <v>6724</v>
      </c>
      <c r="AG6065" s="831" t="s">
        <v>2674</v>
      </c>
      <c r="AH6065" s="831" t="s">
        <v>569</v>
      </c>
      <c r="AI6065" s="831">
        <v>0</v>
      </c>
      <c r="AJ6065" s="835">
        <v>40451</v>
      </c>
      <c r="AK6065" s="831">
        <v>0</v>
      </c>
    </row>
    <row r="6066" spans="2:37">
      <c r="B6066" s="834" t="str">
        <f t="shared" si="267"/>
        <v>|||</v>
      </c>
      <c r="H6066" s="835">
        <f t="shared" si="268"/>
        <v>31</v>
      </c>
      <c r="AF6066" s="831" t="s">
        <v>6725</v>
      </c>
      <c r="AG6066" s="831" t="s">
        <v>2674</v>
      </c>
      <c r="AH6066" s="831" t="s">
        <v>570</v>
      </c>
      <c r="AI6066" s="831">
        <v>0</v>
      </c>
      <c r="AJ6066" s="835">
        <v>40451</v>
      </c>
      <c r="AK6066" s="831">
        <v>0</v>
      </c>
    </row>
    <row r="6067" spans="2:37">
      <c r="B6067" s="834" t="str">
        <f t="shared" si="267"/>
        <v>|||</v>
      </c>
      <c r="H6067" s="835">
        <f t="shared" si="268"/>
        <v>31</v>
      </c>
      <c r="AF6067" s="831" t="s">
        <v>6726</v>
      </c>
      <c r="AG6067" s="831" t="s">
        <v>2674</v>
      </c>
      <c r="AH6067" s="831" t="s">
        <v>571</v>
      </c>
      <c r="AI6067" s="831">
        <v>0</v>
      </c>
      <c r="AJ6067" s="835">
        <v>40451</v>
      </c>
      <c r="AK6067" s="831">
        <v>0</v>
      </c>
    </row>
    <row r="6068" spans="2:37">
      <c r="B6068" s="834" t="str">
        <f t="shared" si="267"/>
        <v>|||</v>
      </c>
      <c r="H6068" s="835">
        <f t="shared" si="268"/>
        <v>31</v>
      </c>
      <c r="AF6068" s="831" t="s">
        <v>6727</v>
      </c>
      <c r="AG6068" s="831" t="s">
        <v>2674</v>
      </c>
      <c r="AH6068" s="831" t="s">
        <v>573</v>
      </c>
      <c r="AI6068" s="831">
        <v>0</v>
      </c>
      <c r="AJ6068" s="835">
        <v>40451</v>
      </c>
      <c r="AK6068" s="831">
        <v>0</v>
      </c>
    </row>
    <row r="6069" spans="2:37">
      <c r="B6069" s="834" t="str">
        <f t="shared" si="267"/>
        <v>|||</v>
      </c>
      <c r="H6069" s="835">
        <f t="shared" si="268"/>
        <v>31</v>
      </c>
      <c r="AF6069" s="831" t="s">
        <v>6728</v>
      </c>
      <c r="AG6069" s="831" t="s">
        <v>2674</v>
      </c>
      <c r="AH6069" s="831" t="s">
        <v>574</v>
      </c>
      <c r="AI6069" s="831">
        <v>0</v>
      </c>
      <c r="AJ6069" s="835">
        <v>40451</v>
      </c>
      <c r="AK6069" s="831">
        <v>0</v>
      </c>
    </row>
    <row r="6070" spans="2:37">
      <c r="B6070" s="834" t="str">
        <f t="shared" si="267"/>
        <v>|||</v>
      </c>
      <c r="H6070" s="835">
        <f t="shared" si="268"/>
        <v>31</v>
      </c>
      <c r="AF6070" s="831" t="s">
        <v>6729</v>
      </c>
      <c r="AG6070" s="831" t="s">
        <v>2674</v>
      </c>
      <c r="AH6070" s="831" t="s">
        <v>575</v>
      </c>
      <c r="AI6070" s="831">
        <v>0</v>
      </c>
      <c r="AJ6070" s="835">
        <v>40451</v>
      </c>
      <c r="AK6070" s="831">
        <v>0</v>
      </c>
    </row>
    <row r="6071" spans="2:37">
      <c r="B6071" s="834" t="str">
        <f t="shared" si="267"/>
        <v>|||</v>
      </c>
      <c r="H6071" s="835">
        <f t="shared" si="268"/>
        <v>31</v>
      </c>
      <c r="AF6071" s="831" t="s">
        <v>6730</v>
      </c>
      <c r="AG6071" s="831" t="s">
        <v>2674</v>
      </c>
      <c r="AH6071" s="831" t="s">
        <v>576</v>
      </c>
      <c r="AI6071" s="831">
        <v>0</v>
      </c>
      <c r="AJ6071" s="835">
        <v>40451</v>
      </c>
      <c r="AK6071" s="831">
        <v>0</v>
      </c>
    </row>
    <row r="6072" spans="2:37">
      <c r="B6072" s="834" t="str">
        <f t="shared" si="267"/>
        <v>|||</v>
      </c>
      <c r="H6072" s="835">
        <f t="shared" si="268"/>
        <v>31</v>
      </c>
      <c r="AF6072" s="831" t="s">
        <v>6731</v>
      </c>
      <c r="AG6072" s="831" t="s">
        <v>2674</v>
      </c>
      <c r="AH6072" s="831" t="s">
        <v>572</v>
      </c>
      <c r="AI6072" s="831">
        <v>0</v>
      </c>
      <c r="AJ6072" s="835">
        <v>40451</v>
      </c>
      <c r="AK6072" s="831">
        <v>0</v>
      </c>
    </row>
    <row r="6073" spans="2:37">
      <c r="B6073" s="834" t="str">
        <f t="shared" si="267"/>
        <v>|||</v>
      </c>
      <c r="H6073" s="835">
        <f t="shared" si="268"/>
        <v>31</v>
      </c>
      <c r="AF6073" s="831" t="s">
        <v>6732</v>
      </c>
      <c r="AG6073" s="831" t="s">
        <v>2674</v>
      </c>
      <c r="AH6073" s="831" t="s">
        <v>577</v>
      </c>
      <c r="AI6073" s="831">
        <v>0</v>
      </c>
      <c r="AJ6073" s="835">
        <v>40451</v>
      </c>
      <c r="AK6073" s="831">
        <v>0</v>
      </c>
    </row>
    <row r="6074" spans="2:37">
      <c r="B6074" s="834" t="str">
        <f t="shared" si="267"/>
        <v>|||</v>
      </c>
      <c r="H6074" s="835">
        <f t="shared" si="268"/>
        <v>31</v>
      </c>
      <c r="AF6074" s="831" t="s">
        <v>6733</v>
      </c>
      <c r="AG6074" s="831" t="s">
        <v>2674</v>
      </c>
      <c r="AH6074" s="831" t="s">
        <v>3042</v>
      </c>
      <c r="AI6074" s="831">
        <v>0</v>
      </c>
      <c r="AJ6074" s="835">
        <v>40451</v>
      </c>
      <c r="AK6074" s="831">
        <v>0</v>
      </c>
    </row>
    <row r="6075" spans="2:37">
      <c r="B6075" s="834" t="str">
        <f t="shared" si="267"/>
        <v>|||</v>
      </c>
      <c r="H6075" s="835">
        <f t="shared" si="268"/>
        <v>31</v>
      </c>
      <c r="AF6075" s="831" t="s">
        <v>6734</v>
      </c>
      <c r="AG6075" s="831" t="s">
        <v>2674</v>
      </c>
      <c r="AH6075" s="831" t="s">
        <v>3044</v>
      </c>
      <c r="AI6075" s="831">
        <v>0</v>
      </c>
      <c r="AJ6075" s="835">
        <v>40451</v>
      </c>
      <c r="AK6075" s="831">
        <v>0</v>
      </c>
    </row>
    <row r="6076" spans="2:37">
      <c r="B6076" s="834" t="str">
        <f t="shared" si="267"/>
        <v>|||</v>
      </c>
      <c r="H6076" s="835">
        <f t="shared" si="268"/>
        <v>31</v>
      </c>
      <c r="AF6076" s="831" t="s">
        <v>6735</v>
      </c>
      <c r="AG6076" s="831" t="s">
        <v>2674</v>
      </c>
      <c r="AH6076" s="831" t="s">
        <v>580</v>
      </c>
      <c r="AI6076" s="831">
        <v>0</v>
      </c>
      <c r="AJ6076" s="835">
        <v>40451</v>
      </c>
      <c r="AK6076" s="831">
        <v>0</v>
      </c>
    </row>
    <row r="6077" spans="2:37">
      <c r="B6077" s="834" t="str">
        <f t="shared" si="267"/>
        <v>|||</v>
      </c>
      <c r="H6077" s="835">
        <f t="shared" si="268"/>
        <v>31</v>
      </c>
      <c r="AF6077" s="831" t="s">
        <v>6736</v>
      </c>
      <c r="AG6077" s="831" t="s">
        <v>2674</v>
      </c>
      <c r="AH6077" s="831" t="s">
        <v>581</v>
      </c>
      <c r="AI6077" s="831">
        <v>0</v>
      </c>
      <c r="AJ6077" s="835">
        <v>40451</v>
      </c>
      <c r="AK6077" s="831">
        <v>0</v>
      </c>
    </row>
    <row r="6078" spans="2:37">
      <c r="B6078" s="834" t="str">
        <f t="shared" si="267"/>
        <v>|||</v>
      </c>
      <c r="H6078" s="835">
        <f t="shared" si="268"/>
        <v>31</v>
      </c>
      <c r="AF6078" s="831" t="s">
        <v>6737</v>
      </c>
      <c r="AG6078" s="831" t="s">
        <v>2674</v>
      </c>
      <c r="AH6078" s="831" t="s">
        <v>105</v>
      </c>
      <c r="AI6078" s="831">
        <v>0</v>
      </c>
      <c r="AJ6078" s="835">
        <v>40451</v>
      </c>
      <c r="AK6078" s="831">
        <v>169705991.37599999</v>
      </c>
    </row>
    <row r="6079" spans="2:37">
      <c r="B6079" s="834" t="str">
        <f t="shared" si="267"/>
        <v>|||</v>
      </c>
      <c r="H6079" s="835">
        <f t="shared" si="268"/>
        <v>31</v>
      </c>
      <c r="AF6079" s="831" t="s">
        <v>6738</v>
      </c>
      <c r="AG6079" s="831" t="s">
        <v>2674</v>
      </c>
      <c r="AH6079" s="831" t="s">
        <v>3049</v>
      </c>
      <c r="AI6079" s="831">
        <v>0</v>
      </c>
      <c r="AJ6079" s="835">
        <v>40451</v>
      </c>
      <c r="AK6079" s="831">
        <v>286644480.05320001</v>
      </c>
    </row>
    <row r="6080" spans="2:37">
      <c r="B6080" s="834" t="str">
        <f t="shared" si="267"/>
        <v>|||</v>
      </c>
      <c r="H6080" s="835">
        <f t="shared" si="268"/>
        <v>31</v>
      </c>
      <c r="AF6080" s="831" t="s">
        <v>6739</v>
      </c>
      <c r="AG6080" s="831" t="s">
        <v>2674</v>
      </c>
      <c r="AH6080" s="831" t="s">
        <v>103</v>
      </c>
      <c r="AI6080" s="831">
        <v>0</v>
      </c>
      <c r="AJ6080" s="835">
        <v>40451</v>
      </c>
      <c r="AK6080" s="831">
        <v>116938488.6772</v>
      </c>
    </row>
    <row r="6081" spans="2:37">
      <c r="B6081" s="834" t="str">
        <f t="shared" si="267"/>
        <v>|||</v>
      </c>
      <c r="H6081" s="835">
        <f t="shared" si="268"/>
        <v>31</v>
      </c>
      <c r="AF6081" s="831" t="s">
        <v>6740</v>
      </c>
      <c r="AG6081" s="831" t="s">
        <v>2674</v>
      </c>
      <c r="AH6081" s="831" t="s">
        <v>182</v>
      </c>
      <c r="AI6081" s="831">
        <v>0</v>
      </c>
      <c r="AJ6081" s="835">
        <v>40451</v>
      </c>
      <c r="AK6081" s="831">
        <v>33675845.101026699</v>
      </c>
    </row>
    <row r="6082" spans="2:37">
      <c r="B6082" s="834" t="str">
        <f t="shared" si="267"/>
        <v>|||</v>
      </c>
      <c r="H6082" s="835">
        <f t="shared" si="268"/>
        <v>31</v>
      </c>
      <c r="AF6082" s="831" t="s">
        <v>6741</v>
      </c>
      <c r="AG6082" s="831" t="s">
        <v>2674</v>
      </c>
      <c r="AH6082" s="831" t="s">
        <v>6600</v>
      </c>
      <c r="AI6082" s="831">
        <v>0</v>
      </c>
      <c r="AJ6082" s="835">
        <v>40451</v>
      </c>
      <c r="AK6082" s="831">
        <v>0</v>
      </c>
    </row>
    <row r="6083" spans="2:37">
      <c r="B6083" s="834" t="str">
        <f t="shared" ref="B6083:B6146" si="269">C6083&amp;"|"&amp;D6083&amp;"|"&amp;E6083&amp;"|"&amp;F6083</f>
        <v>|||</v>
      </c>
      <c r="H6083" s="835">
        <f t="shared" si="268"/>
        <v>31</v>
      </c>
      <c r="AF6083" s="831" t="s">
        <v>6742</v>
      </c>
      <c r="AG6083" s="831" t="s">
        <v>2674</v>
      </c>
      <c r="AH6083" s="831" t="s">
        <v>6602</v>
      </c>
      <c r="AI6083" s="831">
        <v>0</v>
      </c>
      <c r="AJ6083" s="835">
        <v>40451</v>
      </c>
      <c r="AK6083" s="831">
        <v>20547932.4614565</v>
      </c>
    </row>
    <row r="6084" spans="2:37">
      <c r="B6084" s="834" t="str">
        <f t="shared" si="269"/>
        <v>|||</v>
      </c>
      <c r="H6084" s="835">
        <f t="shared" ref="H6084:H6147" si="270">EOMONTH(L6084,0)</f>
        <v>31</v>
      </c>
      <c r="AF6084" s="831" t="s">
        <v>6743</v>
      </c>
      <c r="AG6084" s="831" t="s">
        <v>2674</v>
      </c>
      <c r="AH6084" s="831" t="s">
        <v>650</v>
      </c>
      <c r="AI6084" s="831">
        <v>0</v>
      </c>
      <c r="AJ6084" s="835">
        <v>40451</v>
      </c>
      <c r="AK6084" s="831">
        <v>0</v>
      </c>
    </row>
    <row r="6085" spans="2:37">
      <c r="B6085" s="834" t="str">
        <f t="shared" si="269"/>
        <v>|||</v>
      </c>
      <c r="H6085" s="835">
        <f t="shared" si="270"/>
        <v>31</v>
      </c>
      <c r="AF6085" s="831" t="s">
        <v>6744</v>
      </c>
      <c r="AG6085" s="831" t="s">
        <v>2674</v>
      </c>
      <c r="AH6085" s="831" t="s">
        <v>655</v>
      </c>
      <c r="AI6085" s="831">
        <v>0</v>
      </c>
      <c r="AJ6085" s="835">
        <v>40451</v>
      </c>
      <c r="AK6085" s="831">
        <v>1518600</v>
      </c>
    </row>
    <row r="6086" spans="2:37">
      <c r="B6086" s="834" t="str">
        <f t="shared" si="269"/>
        <v>|||</v>
      </c>
      <c r="H6086" s="835">
        <f t="shared" si="270"/>
        <v>31</v>
      </c>
      <c r="AF6086" s="831" t="s">
        <v>6745</v>
      </c>
      <c r="AG6086" s="831" t="s">
        <v>2674</v>
      </c>
      <c r="AH6086" s="831" t="s">
        <v>546</v>
      </c>
      <c r="AI6086" s="831">
        <v>0</v>
      </c>
      <c r="AJ6086" s="835">
        <v>40482</v>
      </c>
      <c r="AK6086" s="831">
        <v>283655538.41219997</v>
      </c>
    </row>
    <row r="6087" spans="2:37">
      <c r="B6087" s="834" t="str">
        <f t="shared" si="269"/>
        <v>|||</v>
      </c>
      <c r="H6087" s="835">
        <f t="shared" si="270"/>
        <v>31</v>
      </c>
      <c r="AF6087" s="831" t="s">
        <v>6746</v>
      </c>
      <c r="AG6087" s="831" t="s">
        <v>2674</v>
      </c>
      <c r="AH6087" s="831" t="s">
        <v>370</v>
      </c>
      <c r="AI6087" s="831">
        <v>0</v>
      </c>
      <c r="AJ6087" s="835">
        <v>40482</v>
      </c>
      <c r="AK6087" s="831">
        <v>368388014.98089999</v>
      </c>
    </row>
    <row r="6088" spans="2:37">
      <c r="B6088" s="834" t="str">
        <f t="shared" si="269"/>
        <v>|||</v>
      </c>
      <c r="H6088" s="835">
        <f t="shared" si="270"/>
        <v>31</v>
      </c>
      <c r="AF6088" s="831" t="s">
        <v>6747</v>
      </c>
      <c r="AG6088" s="831" t="s">
        <v>2674</v>
      </c>
      <c r="AH6088" s="831" t="s">
        <v>126</v>
      </c>
      <c r="AI6088" s="831">
        <v>0</v>
      </c>
      <c r="AJ6088" s="835">
        <v>40482</v>
      </c>
      <c r="AK6088" s="831">
        <v>71419006.611349806</v>
      </c>
    </row>
    <row r="6089" spans="2:37">
      <c r="B6089" s="834" t="str">
        <f t="shared" si="269"/>
        <v>|||</v>
      </c>
      <c r="H6089" s="835">
        <f t="shared" si="270"/>
        <v>31</v>
      </c>
      <c r="AF6089" s="831" t="s">
        <v>6748</v>
      </c>
      <c r="AG6089" s="831" t="s">
        <v>2674</v>
      </c>
      <c r="AH6089" s="831" t="s">
        <v>268</v>
      </c>
      <c r="AI6089" s="831">
        <v>0</v>
      </c>
      <c r="AJ6089" s="835">
        <v>40482</v>
      </c>
      <c r="AK6089" s="831">
        <v>23133724.041349899</v>
      </c>
    </row>
    <row r="6090" spans="2:37">
      <c r="B6090" s="834" t="str">
        <f t="shared" si="269"/>
        <v>|||</v>
      </c>
      <c r="H6090" s="835">
        <f t="shared" si="270"/>
        <v>31</v>
      </c>
      <c r="AF6090" s="831" t="s">
        <v>6749</v>
      </c>
      <c r="AG6090" s="831" t="s">
        <v>2674</v>
      </c>
      <c r="AH6090" s="831" t="s">
        <v>547</v>
      </c>
      <c r="AI6090" s="831">
        <v>0</v>
      </c>
      <c r="AJ6090" s="835">
        <v>40482</v>
      </c>
      <c r="AK6090" s="831">
        <v>0</v>
      </c>
    </row>
    <row r="6091" spans="2:37">
      <c r="B6091" s="834" t="str">
        <f t="shared" si="269"/>
        <v>|||</v>
      </c>
      <c r="H6091" s="835">
        <f t="shared" si="270"/>
        <v>31</v>
      </c>
      <c r="AF6091" s="831" t="s">
        <v>6750</v>
      </c>
      <c r="AG6091" s="831" t="s">
        <v>2674</v>
      </c>
      <c r="AH6091" s="831" t="s">
        <v>548</v>
      </c>
      <c r="AI6091" s="831">
        <v>0</v>
      </c>
      <c r="AJ6091" s="835">
        <v>40482</v>
      </c>
      <c r="AK6091" s="831">
        <v>0</v>
      </c>
    </row>
    <row r="6092" spans="2:37">
      <c r="B6092" s="834" t="str">
        <f t="shared" si="269"/>
        <v>|||</v>
      </c>
      <c r="H6092" s="835">
        <f t="shared" si="270"/>
        <v>31</v>
      </c>
      <c r="AF6092" s="831" t="s">
        <v>6751</v>
      </c>
      <c r="AG6092" s="831" t="s">
        <v>2674</v>
      </c>
      <c r="AH6092" s="831" t="s">
        <v>549</v>
      </c>
      <c r="AI6092" s="831">
        <v>0</v>
      </c>
      <c r="AJ6092" s="835">
        <v>40482</v>
      </c>
      <c r="AK6092" s="831">
        <v>0</v>
      </c>
    </row>
    <row r="6093" spans="2:37">
      <c r="B6093" s="834" t="str">
        <f t="shared" si="269"/>
        <v>|||</v>
      </c>
      <c r="H6093" s="835">
        <f t="shared" si="270"/>
        <v>31</v>
      </c>
      <c r="AF6093" s="831" t="s">
        <v>6752</v>
      </c>
      <c r="AG6093" s="831" t="s">
        <v>2674</v>
      </c>
      <c r="AH6093" s="831" t="s">
        <v>192</v>
      </c>
      <c r="AI6093" s="831">
        <v>0</v>
      </c>
      <c r="AJ6093" s="835">
        <v>40482</v>
      </c>
      <c r="AK6093" s="831">
        <v>-7404049.6500000004</v>
      </c>
    </row>
    <row r="6094" spans="2:37">
      <c r="B6094" s="834" t="str">
        <f t="shared" si="269"/>
        <v>|||</v>
      </c>
      <c r="H6094" s="835">
        <f t="shared" si="270"/>
        <v>31</v>
      </c>
      <c r="AF6094" s="831" t="s">
        <v>6753</v>
      </c>
      <c r="AG6094" s="831" t="s">
        <v>2674</v>
      </c>
      <c r="AH6094" s="831" t="s">
        <v>558</v>
      </c>
      <c r="AI6094" s="831">
        <v>0</v>
      </c>
      <c r="AJ6094" s="835">
        <v>40482</v>
      </c>
      <c r="AK6094" s="831">
        <v>296969008.84299999</v>
      </c>
    </row>
    <row r="6095" spans="2:37">
      <c r="B6095" s="834" t="str">
        <f t="shared" si="269"/>
        <v>|||</v>
      </c>
      <c r="H6095" s="835">
        <f t="shared" si="270"/>
        <v>31</v>
      </c>
      <c r="AF6095" s="831" t="s">
        <v>6754</v>
      </c>
      <c r="AG6095" s="831" t="s">
        <v>2674</v>
      </c>
      <c r="AH6095" s="831" t="s">
        <v>65</v>
      </c>
      <c r="AI6095" s="831">
        <v>0</v>
      </c>
      <c r="AJ6095" s="835">
        <v>40482</v>
      </c>
      <c r="AK6095" s="831">
        <v>74321866.374708995</v>
      </c>
    </row>
    <row r="6096" spans="2:37">
      <c r="B6096" s="834" t="str">
        <f t="shared" si="269"/>
        <v>|||</v>
      </c>
      <c r="H6096" s="835">
        <f t="shared" si="270"/>
        <v>31</v>
      </c>
      <c r="AF6096" s="831" t="s">
        <v>6755</v>
      </c>
      <c r="AG6096" s="831" t="s">
        <v>2674</v>
      </c>
      <c r="AH6096" s="831" t="s">
        <v>89</v>
      </c>
      <c r="AI6096" s="831">
        <v>0</v>
      </c>
      <c r="AJ6096" s="835">
        <v>40482</v>
      </c>
      <c r="AK6096" s="831">
        <v>121315</v>
      </c>
    </row>
    <row r="6097" spans="2:37">
      <c r="B6097" s="834" t="str">
        <f t="shared" si="269"/>
        <v>|||</v>
      </c>
      <c r="H6097" s="835">
        <f t="shared" si="270"/>
        <v>31</v>
      </c>
      <c r="AF6097" s="831" t="s">
        <v>6756</v>
      </c>
      <c r="AG6097" s="831" t="s">
        <v>2674</v>
      </c>
      <c r="AH6097" s="831" t="s">
        <v>557</v>
      </c>
      <c r="AI6097" s="831">
        <v>0</v>
      </c>
      <c r="AJ6097" s="835">
        <v>40482</v>
      </c>
      <c r="AK6097" s="831">
        <v>123656</v>
      </c>
    </row>
    <row r="6098" spans="2:37">
      <c r="B6098" s="834" t="str">
        <f t="shared" si="269"/>
        <v>|||</v>
      </c>
      <c r="H6098" s="835">
        <f t="shared" si="270"/>
        <v>31</v>
      </c>
      <c r="AF6098" s="831" t="s">
        <v>6757</v>
      </c>
      <c r="AG6098" s="831" t="s">
        <v>2674</v>
      </c>
      <c r="AH6098" s="831" t="s">
        <v>29</v>
      </c>
      <c r="AI6098" s="831">
        <v>0</v>
      </c>
      <c r="AJ6098" s="835">
        <v>40482</v>
      </c>
      <c r="AK6098" s="831">
        <v>2018390</v>
      </c>
    </row>
    <row r="6099" spans="2:37">
      <c r="B6099" s="834" t="str">
        <f t="shared" si="269"/>
        <v>|||</v>
      </c>
      <c r="H6099" s="835">
        <f t="shared" si="270"/>
        <v>31</v>
      </c>
      <c r="AF6099" s="831" t="s">
        <v>6758</v>
      </c>
      <c r="AG6099" s="831" t="s">
        <v>2674</v>
      </c>
      <c r="AH6099" s="831" t="s">
        <v>2688</v>
      </c>
      <c r="AI6099" s="831">
        <v>0</v>
      </c>
      <c r="AJ6099" s="835">
        <v>40482</v>
      </c>
      <c r="AK6099" s="831">
        <v>1123023</v>
      </c>
    </row>
    <row r="6100" spans="2:37">
      <c r="B6100" s="834" t="str">
        <f t="shared" si="269"/>
        <v>|||</v>
      </c>
      <c r="H6100" s="835">
        <f t="shared" si="270"/>
        <v>31</v>
      </c>
      <c r="AF6100" s="831" t="s">
        <v>6759</v>
      </c>
      <c r="AG6100" s="831" t="s">
        <v>2674</v>
      </c>
      <c r="AH6100" s="831" t="s">
        <v>556</v>
      </c>
      <c r="AI6100" s="831">
        <v>0</v>
      </c>
      <c r="AJ6100" s="835">
        <v>40482</v>
      </c>
      <c r="AK6100" s="831">
        <v>1910464.9946000001</v>
      </c>
    </row>
    <row r="6101" spans="2:37">
      <c r="B6101" s="834" t="str">
        <f t="shared" si="269"/>
        <v>|||</v>
      </c>
      <c r="H6101" s="835">
        <f t="shared" si="270"/>
        <v>31</v>
      </c>
      <c r="AF6101" s="831" t="s">
        <v>6760</v>
      </c>
      <c r="AG6101" s="831" t="s">
        <v>2674</v>
      </c>
      <c r="AH6101" s="831" t="s">
        <v>555</v>
      </c>
      <c r="AI6101" s="831">
        <v>0</v>
      </c>
      <c r="AJ6101" s="835">
        <v>40482</v>
      </c>
      <c r="AK6101" s="831">
        <v>204260200</v>
      </c>
    </row>
    <row r="6102" spans="2:37">
      <c r="B6102" s="834" t="str">
        <f t="shared" si="269"/>
        <v>|||</v>
      </c>
      <c r="H6102" s="835">
        <f t="shared" si="270"/>
        <v>31</v>
      </c>
      <c r="AF6102" s="831" t="s">
        <v>6761</v>
      </c>
      <c r="AG6102" s="831" t="s">
        <v>2674</v>
      </c>
      <c r="AH6102" s="831" t="s">
        <v>554</v>
      </c>
      <c r="AI6102" s="831">
        <v>0</v>
      </c>
      <c r="AJ6102" s="835">
        <v>40482</v>
      </c>
      <c r="AK6102" s="831">
        <v>190107640</v>
      </c>
    </row>
    <row r="6103" spans="2:37">
      <c r="B6103" s="834" t="str">
        <f t="shared" si="269"/>
        <v>|||</v>
      </c>
      <c r="H6103" s="835">
        <f t="shared" si="270"/>
        <v>31</v>
      </c>
      <c r="AF6103" s="831" t="s">
        <v>6762</v>
      </c>
      <c r="AG6103" s="831" t="s">
        <v>2674</v>
      </c>
      <c r="AH6103" s="831" t="s">
        <v>553</v>
      </c>
      <c r="AI6103" s="831">
        <v>0</v>
      </c>
      <c r="AJ6103" s="835">
        <v>40482</v>
      </c>
      <c r="AK6103" s="831">
        <v>0</v>
      </c>
    </row>
    <row r="6104" spans="2:37">
      <c r="B6104" s="834" t="str">
        <f t="shared" si="269"/>
        <v>|||</v>
      </c>
      <c r="H6104" s="835">
        <f t="shared" si="270"/>
        <v>31</v>
      </c>
      <c r="AF6104" s="831" t="s">
        <v>6763</v>
      </c>
      <c r="AG6104" s="831" t="s">
        <v>2674</v>
      </c>
      <c r="AH6104" s="831" t="s">
        <v>552</v>
      </c>
      <c r="AI6104" s="831">
        <v>0</v>
      </c>
      <c r="AJ6104" s="835">
        <v>40482</v>
      </c>
      <c r="AK6104" s="831">
        <v>0</v>
      </c>
    </row>
    <row r="6105" spans="2:37">
      <c r="B6105" s="834" t="str">
        <f t="shared" si="269"/>
        <v>|||</v>
      </c>
      <c r="H6105" s="835">
        <f t="shared" si="270"/>
        <v>31</v>
      </c>
      <c r="AF6105" s="831" t="s">
        <v>6764</v>
      </c>
      <c r="AG6105" s="831" t="s">
        <v>2674</v>
      </c>
      <c r="AH6105" s="831" t="s">
        <v>551</v>
      </c>
      <c r="AI6105" s="831">
        <v>0</v>
      </c>
      <c r="AJ6105" s="835">
        <v>40482</v>
      </c>
      <c r="AK6105" s="831">
        <v>1873068</v>
      </c>
    </row>
    <row r="6106" spans="2:37">
      <c r="B6106" s="834" t="str">
        <f t="shared" si="269"/>
        <v>|||</v>
      </c>
      <c r="H6106" s="835">
        <f t="shared" si="270"/>
        <v>31</v>
      </c>
      <c r="AF6106" s="831" t="s">
        <v>6765</v>
      </c>
      <c r="AG6106" s="831" t="s">
        <v>2674</v>
      </c>
      <c r="AH6106" s="831" t="s">
        <v>550</v>
      </c>
      <c r="AI6106" s="831">
        <v>0</v>
      </c>
      <c r="AJ6106" s="835">
        <v>40482</v>
      </c>
      <c r="AK6106" s="831">
        <v>0</v>
      </c>
    </row>
    <row r="6107" spans="2:37">
      <c r="B6107" s="834" t="str">
        <f t="shared" si="269"/>
        <v>|||</v>
      </c>
      <c r="H6107" s="835">
        <f t="shared" si="270"/>
        <v>31</v>
      </c>
      <c r="AF6107" s="831" t="s">
        <v>6766</v>
      </c>
      <c r="AG6107" s="831" t="s">
        <v>2674</v>
      </c>
      <c r="AH6107" s="831" t="s">
        <v>562</v>
      </c>
      <c r="AI6107" s="831">
        <v>0</v>
      </c>
      <c r="AJ6107" s="835">
        <v>40482</v>
      </c>
      <c r="AK6107" s="831">
        <v>0.80100000000000005</v>
      </c>
    </row>
    <row r="6108" spans="2:37">
      <c r="B6108" s="834" t="str">
        <f t="shared" si="269"/>
        <v>|||</v>
      </c>
      <c r="H6108" s="835">
        <f t="shared" si="270"/>
        <v>31</v>
      </c>
      <c r="AF6108" s="831" t="s">
        <v>6767</v>
      </c>
      <c r="AG6108" s="831" t="s">
        <v>2674</v>
      </c>
      <c r="AH6108" s="831" t="s">
        <v>2698</v>
      </c>
      <c r="AI6108" s="831">
        <v>0</v>
      </c>
      <c r="AJ6108" s="835">
        <v>40482</v>
      </c>
      <c r="AK6108" s="831">
        <v>0.80300000000000005</v>
      </c>
    </row>
    <row r="6109" spans="2:37">
      <c r="B6109" s="834" t="str">
        <f t="shared" si="269"/>
        <v>|||</v>
      </c>
      <c r="H6109" s="835">
        <f t="shared" si="270"/>
        <v>31</v>
      </c>
      <c r="AF6109" s="831" t="s">
        <v>6768</v>
      </c>
      <c r="AG6109" s="831" t="s">
        <v>2674</v>
      </c>
      <c r="AH6109" s="831" t="s">
        <v>560</v>
      </c>
      <c r="AI6109" s="831">
        <v>0</v>
      </c>
      <c r="AJ6109" s="835">
        <v>40482</v>
      </c>
      <c r="AK6109" s="831">
        <v>0.8034</v>
      </c>
    </row>
    <row r="6110" spans="2:37">
      <c r="B6110" s="834" t="str">
        <f t="shared" si="269"/>
        <v>|||</v>
      </c>
      <c r="H6110" s="835">
        <f t="shared" si="270"/>
        <v>31</v>
      </c>
      <c r="AF6110" s="831" t="s">
        <v>6769</v>
      </c>
      <c r="AG6110" s="831" t="s">
        <v>2674</v>
      </c>
      <c r="AH6110" s="831" t="s">
        <v>559</v>
      </c>
      <c r="AI6110" s="831">
        <v>0</v>
      </c>
      <c r="AJ6110" s="835">
        <v>40482</v>
      </c>
      <c r="AK6110" s="831">
        <v>0.80283333333333395</v>
      </c>
    </row>
    <row r="6111" spans="2:37">
      <c r="B6111" s="834" t="str">
        <f t="shared" si="269"/>
        <v>|||</v>
      </c>
      <c r="H6111" s="835">
        <f t="shared" si="270"/>
        <v>31</v>
      </c>
      <c r="AF6111" s="831" t="s">
        <v>6770</v>
      </c>
      <c r="AG6111" s="831" t="s">
        <v>2674</v>
      </c>
      <c r="AH6111" s="831" t="s">
        <v>568</v>
      </c>
      <c r="AI6111" s="831">
        <v>0</v>
      </c>
      <c r="AJ6111" s="835">
        <v>40482</v>
      </c>
      <c r="AK6111" s="831">
        <v>0</v>
      </c>
    </row>
    <row r="6112" spans="2:37">
      <c r="B6112" s="834" t="str">
        <f t="shared" si="269"/>
        <v>|||</v>
      </c>
      <c r="H6112" s="835">
        <f t="shared" si="270"/>
        <v>31</v>
      </c>
      <c r="AF6112" s="831" t="s">
        <v>6771</v>
      </c>
      <c r="AG6112" s="831" t="s">
        <v>2674</v>
      </c>
      <c r="AH6112" s="831" t="s">
        <v>569</v>
      </c>
      <c r="AI6112" s="831">
        <v>0</v>
      </c>
      <c r="AJ6112" s="835">
        <v>40482</v>
      </c>
      <c r="AK6112" s="831">
        <v>0</v>
      </c>
    </row>
    <row r="6113" spans="2:37">
      <c r="B6113" s="834" t="str">
        <f t="shared" si="269"/>
        <v>|||</v>
      </c>
      <c r="H6113" s="835">
        <f t="shared" si="270"/>
        <v>31</v>
      </c>
      <c r="AF6113" s="831" t="s">
        <v>6772</v>
      </c>
      <c r="AG6113" s="831" t="s">
        <v>2674</v>
      </c>
      <c r="AH6113" s="831" t="s">
        <v>570</v>
      </c>
      <c r="AI6113" s="831">
        <v>0</v>
      </c>
      <c r="AJ6113" s="835">
        <v>40482</v>
      </c>
      <c r="AK6113" s="831">
        <v>0</v>
      </c>
    </row>
    <row r="6114" spans="2:37">
      <c r="B6114" s="834" t="str">
        <f t="shared" si="269"/>
        <v>|||</v>
      </c>
      <c r="H6114" s="835">
        <f t="shared" si="270"/>
        <v>31</v>
      </c>
      <c r="AF6114" s="831" t="s">
        <v>6773</v>
      </c>
      <c r="AG6114" s="831" t="s">
        <v>2674</v>
      </c>
      <c r="AH6114" s="831" t="s">
        <v>571</v>
      </c>
      <c r="AI6114" s="831">
        <v>0</v>
      </c>
      <c r="AJ6114" s="835">
        <v>40482</v>
      </c>
      <c r="AK6114" s="831">
        <v>0</v>
      </c>
    </row>
    <row r="6115" spans="2:37">
      <c r="B6115" s="834" t="str">
        <f t="shared" si="269"/>
        <v>|||</v>
      </c>
      <c r="H6115" s="835">
        <f t="shared" si="270"/>
        <v>31</v>
      </c>
      <c r="AF6115" s="831" t="s">
        <v>6774</v>
      </c>
      <c r="AG6115" s="831" t="s">
        <v>2674</v>
      </c>
      <c r="AH6115" s="831" t="s">
        <v>573</v>
      </c>
      <c r="AI6115" s="831">
        <v>0</v>
      </c>
      <c r="AJ6115" s="835">
        <v>40482</v>
      </c>
      <c r="AK6115" s="831">
        <v>0</v>
      </c>
    </row>
    <row r="6116" spans="2:37">
      <c r="B6116" s="834" t="str">
        <f t="shared" si="269"/>
        <v>|||</v>
      </c>
      <c r="H6116" s="835">
        <f t="shared" si="270"/>
        <v>31</v>
      </c>
      <c r="AF6116" s="831" t="s">
        <v>6775</v>
      </c>
      <c r="AG6116" s="831" t="s">
        <v>2674</v>
      </c>
      <c r="AH6116" s="831" t="s">
        <v>574</v>
      </c>
      <c r="AI6116" s="831">
        <v>0</v>
      </c>
      <c r="AJ6116" s="835">
        <v>40482</v>
      </c>
      <c r="AK6116" s="831">
        <v>0</v>
      </c>
    </row>
    <row r="6117" spans="2:37">
      <c r="B6117" s="834" t="str">
        <f t="shared" si="269"/>
        <v>|||</v>
      </c>
      <c r="H6117" s="835">
        <f t="shared" si="270"/>
        <v>31</v>
      </c>
      <c r="AF6117" s="831" t="s">
        <v>6776</v>
      </c>
      <c r="AG6117" s="831" t="s">
        <v>2674</v>
      </c>
      <c r="AH6117" s="831" t="s">
        <v>575</v>
      </c>
      <c r="AI6117" s="831">
        <v>0</v>
      </c>
      <c r="AJ6117" s="835">
        <v>40482</v>
      </c>
      <c r="AK6117" s="831">
        <v>0</v>
      </c>
    </row>
    <row r="6118" spans="2:37">
      <c r="B6118" s="834" t="str">
        <f t="shared" si="269"/>
        <v>|||</v>
      </c>
      <c r="H6118" s="835">
        <f t="shared" si="270"/>
        <v>31</v>
      </c>
      <c r="AF6118" s="831" t="s">
        <v>6777</v>
      </c>
      <c r="AG6118" s="831" t="s">
        <v>2674</v>
      </c>
      <c r="AH6118" s="831" t="s">
        <v>576</v>
      </c>
      <c r="AI6118" s="831">
        <v>0</v>
      </c>
      <c r="AJ6118" s="835">
        <v>40482</v>
      </c>
      <c r="AK6118" s="831">
        <v>0</v>
      </c>
    </row>
    <row r="6119" spans="2:37">
      <c r="B6119" s="834" t="str">
        <f t="shared" si="269"/>
        <v>|||</v>
      </c>
      <c r="H6119" s="835">
        <f t="shared" si="270"/>
        <v>31</v>
      </c>
      <c r="AF6119" s="831" t="s">
        <v>6778</v>
      </c>
      <c r="AG6119" s="831" t="s">
        <v>2674</v>
      </c>
      <c r="AH6119" s="831" t="s">
        <v>572</v>
      </c>
      <c r="AI6119" s="831">
        <v>0</v>
      </c>
      <c r="AJ6119" s="835">
        <v>40482</v>
      </c>
      <c r="AK6119" s="831">
        <v>0</v>
      </c>
    </row>
    <row r="6120" spans="2:37">
      <c r="B6120" s="834" t="str">
        <f t="shared" si="269"/>
        <v>|||</v>
      </c>
      <c r="H6120" s="835">
        <f t="shared" si="270"/>
        <v>31</v>
      </c>
      <c r="AF6120" s="831" t="s">
        <v>6779</v>
      </c>
      <c r="AG6120" s="831" t="s">
        <v>2674</v>
      </c>
      <c r="AH6120" s="831" t="s">
        <v>577</v>
      </c>
      <c r="AI6120" s="831">
        <v>0</v>
      </c>
      <c r="AJ6120" s="835">
        <v>40482</v>
      </c>
      <c r="AK6120" s="831">
        <v>0</v>
      </c>
    </row>
    <row r="6121" spans="2:37">
      <c r="B6121" s="834" t="str">
        <f t="shared" si="269"/>
        <v>|||</v>
      </c>
      <c r="H6121" s="835">
        <f t="shared" si="270"/>
        <v>31</v>
      </c>
      <c r="AF6121" s="831" t="s">
        <v>6780</v>
      </c>
      <c r="AG6121" s="831" t="s">
        <v>2674</v>
      </c>
      <c r="AH6121" s="831" t="s">
        <v>3042</v>
      </c>
      <c r="AI6121" s="831">
        <v>0</v>
      </c>
      <c r="AJ6121" s="835">
        <v>40482</v>
      </c>
      <c r="AK6121" s="831">
        <v>0</v>
      </c>
    </row>
    <row r="6122" spans="2:37">
      <c r="B6122" s="834" t="str">
        <f t="shared" si="269"/>
        <v>|||</v>
      </c>
      <c r="H6122" s="835">
        <f t="shared" si="270"/>
        <v>31</v>
      </c>
      <c r="AF6122" s="831" t="s">
        <v>6781</v>
      </c>
      <c r="AG6122" s="831" t="s">
        <v>2674</v>
      </c>
      <c r="AH6122" s="831" t="s">
        <v>3044</v>
      </c>
      <c r="AI6122" s="831">
        <v>0</v>
      </c>
      <c r="AJ6122" s="835">
        <v>40482</v>
      </c>
      <c r="AK6122" s="831">
        <v>0</v>
      </c>
    </row>
    <row r="6123" spans="2:37">
      <c r="B6123" s="834" t="str">
        <f t="shared" si="269"/>
        <v>|||</v>
      </c>
      <c r="H6123" s="835">
        <f t="shared" si="270"/>
        <v>31</v>
      </c>
      <c r="AF6123" s="831" t="s">
        <v>6782</v>
      </c>
      <c r="AG6123" s="831" t="s">
        <v>2674</v>
      </c>
      <c r="AH6123" s="831" t="s">
        <v>580</v>
      </c>
      <c r="AI6123" s="831">
        <v>0</v>
      </c>
      <c r="AJ6123" s="835">
        <v>40482</v>
      </c>
      <c r="AK6123" s="831">
        <v>0</v>
      </c>
    </row>
    <row r="6124" spans="2:37">
      <c r="B6124" s="834" t="str">
        <f t="shared" si="269"/>
        <v>|||</v>
      </c>
      <c r="H6124" s="835">
        <f t="shared" si="270"/>
        <v>31</v>
      </c>
      <c r="AF6124" s="831" t="s">
        <v>6783</v>
      </c>
      <c r="AG6124" s="831" t="s">
        <v>2674</v>
      </c>
      <c r="AH6124" s="831" t="s">
        <v>581</v>
      </c>
      <c r="AI6124" s="831">
        <v>0</v>
      </c>
      <c r="AJ6124" s="835">
        <v>40482</v>
      </c>
      <c r="AK6124" s="831">
        <v>0</v>
      </c>
    </row>
    <row r="6125" spans="2:37">
      <c r="B6125" s="834" t="str">
        <f t="shared" si="269"/>
        <v>|||</v>
      </c>
      <c r="H6125" s="835">
        <f t="shared" si="270"/>
        <v>31</v>
      </c>
      <c r="AF6125" s="831" t="s">
        <v>6784</v>
      </c>
      <c r="AG6125" s="831" t="s">
        <v>2674</v>
      </c>
      <c r="AH6125" s="831" t="s">
        <v>105</v>
      </c>
      <c r="AI6125" s="831">
        <v>0</v>
      </c>
      <c r="AJ6125" s="835">
        <v>40482</v>
      </c>
      <c r="AK6125" s="831">
        <v>169327858.66999999</v>
      </c>
    </row>
    <row r="6126" spans="2:37">
      <c r="B6126" s="834" t="str">
        <f t="shared" si="269"/>
        <v>|||</v>
      </c>
      <c r="H6126" s="835">
        <f t="shared" si="270"/>
        <v>31</v>
      </c>
      <c r="AF6126" s="831" t="s">
        <v>6785</v>
      </c>
      <c r="AG6126" s="831" t="s">
        <v>2674</v>
      </c>
      <c r="AH6126" s="831" t="s">
        <v>3049</v>
      </c>
      <c r="AI6126" s="831">
        <v>0</v>
      </c>
      <c r="AJ6126" s="835">
        <v>40482</v>
      </c>
      <c r="AK6126" s="831">
        <v>287280099.85280001</v>
      </c>
    </row>
    <row r="6127" spans="2:37">
      <c r="B6127" s="834" t="str">
        <f t="shared" si="269"/>
        <v>|||</v>
      </c>
      <c r="H6127" s="835">
        <f t="shared" si="270"/>
        <v>31</v>
      </c>
      <c r="AF6127" s="831" t="s">
        <v>6786</v>
      </c>
      <c r="AG6127" s="831" t="s">
        <v>2674</v>
      </c>
      <c r="AH6127" s="831" t="s">
        <v>103</v>
      </c>
      <c r="AI6127" s="831">
        <v>0</v>
      </c>
      <c r="AJ6127" s="835">
        <v>40482</v>
      </c>
      <c r="AK6127" s="831">
        <v>117952241.18279999</v>
      </c>
    </row>
    <row r="6128" spans="2:37">
      <c r="B6128" s="834" t="str">
        <f t="shared" si="269"/>
        <v>|||</v>
      </c>
      <c r="H6128" s="835">
        <f t="shared" si="270"/>
        <v>31</v>
      </c>
      <c r="AF6128" s="831" t="s">
        <v>6787</v>
      </c>
      <c r="AG6128" s="831" t="s">
        <v>2674</v>
      </c>
      <c r="AH6128" s="831" t="s">
        <v>182</v>
      </c>
      <c r="AI6128" s="831">
        <v>0</v>
      </c>
      <c r="AJ6128" s="835">
        <v>40482</v>
      </c>
      <c r="AK6128" s="831">
        <v>33940242.463145897</v>
      </c>
    </row>
    <row r="6129" spans="2:37">
      <c r="B6129" s="834" t="str">
        <f t="shared" si="269"/>
        <v>|||</v>
      </c>
      <c r="H6129" s="835">
        <f t="shared" si="270"/>
        <v>31</v>
      </c>
      <c r="AF6129" s="831" t="s">
        <v>6788</v>
      </c>
      <c r="AG6129" s="831" t="s">
        <v>2674</v>
      </c>
      <c r="AH6129" s="831" t="s">
        <v>6600</v>
      </c>
      <c r="AI6129" s="831">
        <v>0</v>
      </c>
      <c r="AJ6129" s="835">
        <v>40482</v>
      </c>
      <c r="AK6129" s="831">
        <v>0</v>
      </c>
    </row>
    <row r="6130" spans="2:37">
      <c r="B6130" s="834" t="str">
        <f t="shared" si="269"/>
        <v>|||</v>
      </c>
      <c r="H6130" s="835">
        <f t="shared" si="270"/>
        <v>31</v>
      </c>
      <c r="AF6130" s="831" t="s">
        <v>6789</v>
      </c>
      <c r="AG6130" s="831" t="s">
        <v>2674</v>
      </c>
      <c r="AH6130" s="831" t="s">
        <v>6602</v>
      </c>
      <c r="AI6130" s="831">
        <v>0</v>
      </c>
      <c r="AJ6130" s="835">
        <v>40482</v>
      </c>
      <c r="AK6130" s="831">
        <v>23133724.041349899</v>
      </c>
    </row>
    <row r="6131" spans="2:37">
      <c r="B6131" s="834" t="str">
        <f t="shared" si="269"/>
        <v>|||</v>
      </c>
      <c r="H6131" s="835">
        <f t="shared" si="270"/>
        <v>31</v>
      </c>
      <c r="AF6131" s="831" t="s">
        <v>6790</v>
      </c>
      <c r="AG6131" s="831" t="s">
        <v>2674</v>
      </c>
      <c r="AH6131" s="831" t="s">
        <v>650</v>
      </c>
      <c r="AI6131" s="831">
        <v>0</v>
      </c>
      <c r="AJ6131" s="835">
        <v>40482</v>
      </c>
      <c r="AK6131" s="831">
        <v>0</v>
      </c>
    </row>
    <row r="6132" spans="2:37">
      <c r="B6132" s="834" t="str">
        <f t="shared" si="269"/>
        <v>|||</v>
      </c>
      <c r="H6132" s="835">
        <f t="shared" si="270"/>
        <v>31</v>
      </c>
      <c r="AF6132" s="831" t="s">
        <v>6791</v>
      </c>
      <c r="AG6132" s="831" t="s">
        <v>2674</v>
      </c>
      <c r="AH6132" s="831" t="s">
        <v>655</v>
      </c>
      <c r="AI6132" s="831">
        <v>0</v>
      </c>
      <c r="AJ6132" s="835">
        <v>40482</v>
      </c>
      <c r="AK6132" s="831">
        <v>1611080</v>
      </c>
    </row>
    <row r="6133" spans="2:37">
      <c r="B6133" s="834" t="str">
        <f t="shared" si="269"/>
        <v>|||</v>
      </c>
      <c r="H6133" s="835">
        <f t="shared" si="270"/>
        <v>31</v>
      </c>
      <c r="AF6133" s="831" t="s">
        <v>6792</v>
      </c>
      <c r="AG6133" s="831" t="s">
        <v>2674</v>
      </c>
      <c r="AH6133" s="831" t="s">
        <v>546</v>
      </c>
      <c r="AI6133" s="831">
        <v>0</v>
      </c>
      <c r="AJ6133" s="835">
        <v>40512</v>
      </c>
      <c r="AK6133" s="831">
        <v>278287822.81400001</v>
      </c>
    </row>
    <row r="6134" spans="2:37">
      <c r="B6134" s="834" t="str">
        <f t="shared" si="269"/>
        <v>|||</v>
      </c>
      <c r="H6134" s="835">
        <f t="shared" si="270"/>
        <v>31</v>
      </c>
      <c r="AF6134" s="831" t="s">
        <v>6793</v>
      </c>
      <c r="AG6134" s="831" t="s">
        <v>2674</v>
      </c>
      <c r="AH6134" s="831" t="s">
        <v>370</v>
      </c>
      <c r="AI6134" s="831">
        <v>0</v>
      </c>
      <c r="AJ6134" s="835">
        <v>40512</v>
      </c>
      <c r="AK6134" s="831">
        <v>369852443.12434</v>
      </c>
    </row>
    <row r="6135" spans="2:37">
      <c r="B6135" s="834" t="str">
        <f t="shared" si="269"/>
        <v>|||</v>
      </c>
      <c r="H6135" s="835">
        <f t="shared" si="270"/>
        <v>31</v>
      </c>
      <c r="AF6135" s="831" t="s">
        <v>6794</v>
      </c>
      <c r="AG6135" s="831" t="s">
        <v>2674</v>
      </c>
      <c r="AH6135" s="831" t="s">
        <v>126</v>
      </c>
      <c r="AI6135" s="831">
        <v>0</v>
      </c>
      <c r="AJ6135" s="835">
        <v>40512</v>
      </c>
      <c r="AK6135" s="831">
        <v>73233518.2642643</v>
      </c>
    </row>
    <row r="6136" spans="2:37">
      <c r="B6136" s="834" t="str">
        <f t="shared" si="269"/>
        <v>|||</v>
      </c>
      <c r="H6136" s="835">
        <f t="shared" si="270"/>
        <v>31</v>
      </c>
      <c r="AF6136" s="831" t="s">
        <v>6795</v>
      </c>
      <c r="AG6136" s="831" t="s">
        <v>2674</v>
      </c>
      <c r="AH6136" s="831" t="s">
        <v>268</v>
      </c>
      <c r="AI6136" s="831">
        <v>0</v>
      </c>
      <c r="AJ6136" s="835">
        <v>40512</v>
      </c>
      <c r="AK6136" s="831">
        <v>24948235.694264401</v>
      </c>
    </row>
    <row r="6137" spans="2:37">
      <c r="B6137" s="834" t="str">
        <f t="shared" si="269"/>
        <v>|||</v>
      </c>
      <c r="H6137" s="835">
        <f t="shared" si="270"/>
        <v>31</v>
      </c>
      <c r="AF6137" s="831" t="s">
        <v>6796</v>
      </c>
      <c r="AG6137" s="831" t="s">
        <v>2674</v>
      </c>
      <c r="AH6137" s="831" t="s">
        <v>547</v>
      </c>
      <c r="AI6137" s="831">
        <v>0</v>
      </c>
      <c r="AJ6137" s="835">
        <v>40512</v>
      </c>
      <c r="AK6137" s="831">
        <v>0</v>
      </c>
    </row>
    <row r="6138" spans="2:37">
      <c r="B6138" s="834" t="str">
        <f t="shared" si="269"/>
        <v>|||</v>
      </c>
      <c r="H6138" s="835">
        <f t="shared" si="270"/>
        <v>31</v>
      </c>
      <c r="AF6138" s="831" t="s">
        <v>6797</v>
      </c>
      <c r="AG6138" s="831" t="s">
        <v>2674</v>
      </c>
      <c r="AH6138" s="831" t="s">
        <v>548</v>
      </c>
      <c r="AI6138" s="831">
        <v>0</v>
      </c>
      <c r="AJ6138" s="835">
        <v>40512</v>
      </c>
      <c r="AK6138" s="831">
        <v>0</v>
      </c>
    </row>
    <row r="6139" spans="2:37">
      <c r="B6139" s="834" t="str">
        <f t="shared" si="269"/>
        <v>|||</v>
      </c>
      <c r="H6139" s="835">
        <f t="shared" si="270"/>
        <v>31</v>
      </c>
      <c r="AF6139" s="831" t="s">
        <v>6798</v>
      </c>
      <c r="AG6139" s="831" t="s">
        <v>2674</v>
      </c>
      <c r="AH6139" s="831" t="s">
        <v>549</v>
      </c>
      <c r="AI6139" s="831">
        <v>0</v>
      </c>
      <c r="AJ6139" s="835">
        <v>40512</v>
      </c>
      <c r="AK6139" s="831">
        <v>0</v>
      </c>
    </row>
    <row r="6140" spans="2:37">
      <c r="B6140" s="834" t="str">
        <f t="shared" si="269"/>
        <v>|||</v>
      </c>
      <c r="H6140" s="835">
        <f t="shared" si="270"/>
        <v>31</v>
      </c>
      <c r="AF6140" s="831" t="s">
        <v>6799</v>
      </c>
      <c r="AG6140" s="831" t="s">
        <v>2674</v>
      </c>
      <c r="AH6140" s="831" t="s">
        <v>192</v>
      </c>
      <c r="AI6140" s="831">
        <v>0</v>
      </c>
      <c r="AJ6140" s="835">
        <v>40512</v>
      </c>
      <c r="AK6140" s="831">
        <v>-7618416.1397599997</v>
      </c>
    </row>
    <row r="6141" spans="2:37">
      <c r="B6141" s="834" t="str">
        <f t="shared" si="269"/>
        <v>|||</v>
      </c>
      <c r="H6141" s="835">
        <f t="shared" si="270"/>
        <v>31</v>
      </c>
      <c r="AF6141" s="831" t="s">
        <v>6800</v>
      </c>
      <c r="AG6141" s="831" t="s">
        <v>2674</v>
      </c>
      <c r="AH6141" s="831" t="s">
        <v>558</v>
      </c>
      <c r="AI6141" s="831">
        <v>0</v>
      </c>
      <c r="AJ6141" s="835">
        <v>40512</v>
      </c>
      <c r="AK6141" s="831">
        <v>296618925.11210001</v>
      </c>
    </row>
    <row r="6142" spans="2:37">
      <c r="B6142" s="834" t="str">
        <f t="shared" si="269"/>
        <v>|||</v>
      </c>
      <c r="H6142" s="835">
        <f t="shared" si="270"/>
        <v>31</v>
      </c>
      <c r="AF6142" s="831" t="s">
        <v>6801</v>
      </c>
      <c r="AG6142" s="831" t="s">
        <v>2674</v>
      </c>
      <c r="AH6142" s="831" t="s">
        <v>65</v>
      </c>
      <c r="AI6142" s="831">
        <v>0</v>
      </c>
      <c r="AJ6142" s="835">
        <v>40512</v>
      </c>
      <c r="AK6142" s="831">
        <v>81836398.340011805</v>
      </c>
    </row>
    <row r="6143" spans="2:37">
      <c r="B6143" s="834" t="str">
        <f t="shared" si="269"/>
        <v>|||</v>
      </c>
      <c r="H6143" s="835">
        <f t="shared" si="270"/>
        <v>31</v>
      </c>
      <c r="AF6143" s="831" t="s">
        <v>6802</v>
      </c>
      <c r="AG6143" s="831" t="s">
        <v>2674</v>
      </c>
      <c r="AH6143" s="831" t="s">
        <v>89</v>
      </c>
      <c r="AI6143" s="831">
        <v>0</v>
      </c>
      <c r="AJ6143" s="835">
        <v>40512</v>
      </c>
      <c r="AK6143" s="831">
        <v>121310</v>
      </c>
    </row>
    <row r="6144" spans="2:37">
      <c r="B6144" s="834" t="str">
        <f t="shared" si="269"/>
        <v>|||</v>
      </c>
      <c r="H6144" s="835">
        <f t="shared" si="270"/>
        <v>31</v>
      </c>
      <c r="AF6144" s="831" t="s">
        <v>6803</v>
      </c>
      <c r="AG6144" s="831" t="s">
        <v>2674</v>
      </c>
      <c r="AH6144" s="831" t="s">
        <v>557</v>
      </c>
      <c r="AI6144" s="831">
        <v>0</v>
      </c>
      <c r="AJ6144" s="835">
        <v>40512</v>
      </c>
      <c r="AK6144" s="831">
        <v>123548</v>
      </c>
    </row>
    <row r="6145" spans="2:37">
      <c r="B6145" s="834" t="str">
        <f t="shared" si="269"/>
        <v>|||</v>
      </c>
      <c r="H6145" s="835">
        <f t="shared" si="270"/>
        <v>31</v>
      </c>
      <c r="AF6145" s="831" t="s">
        <v>6804</v>
      </c>
      <c r="AG6145" s="831" t="s">
        <v>2674</v>
      </c>
      <c r="AH6145" s="831" t="s">
        <v>29</v>
      </c>
      <c r="AI6145" s="831">
        <v>0</v>
      </c>
      <c r="AJ6145" s="835">
        <v>40512</v>
      </c>
      <c r="AK6145" s="831">
        <v>2467300</v>
      </c>
    </row>
    <row r="6146" spans="2:37">
      <c r="B6146" s="834" t="str">
        <f t="shared" si="269"/>
        <v>|||</v>
      </c>
      <c r="H6146" s="835">
        <f t="shared" si="270"/>
        <v>31</v>
      </c>
      <c r="AF6146" s="831" t="s">
        <v>6805</v>
      </c>
      <c r="AG6146" s="831" t="s">
        <v>2674</v>
      </c>
      <c r="AH6146" s="831" t="s">
        <v>2688</v>
      </c>
      <c r="AI6146" s="831">
        <v>0</v>
      </c>
      <c r="AJ6146" s="835">
        <v>40512</v>
      </c>
      <c r="AK6146" s="831">
        <v>1215692</v>
      </c>
    </row>
    <row r="6147" spans="2:37">
      <c r="B6147" s="834" t="str">
        <f t="shared" ref="B6147:B6210" si="271">C6147&amp;"|"&amp;D6147&amp;"|"&amp;E6147&amp;"|"&amp;F6147</f>
        <v>|||</v>
      </c>
      <c r="H6147" s="835">
        <f t="shared" si="270"/>
        <v>31</v>
      </c>
      <c r="AF6147" s="831" t="s">
        <v>6806</v>
      </c>
      <c r="AG6147" s="831" t="s">
        <v>2674</v>
      </c>
      <c r="AH6147" s="831" t="s">
        <v>556</v>
      </c>
      <c r="AI6147" s="831">
        <v>0</v>
      </c>
      <c r="AJ6147" s="835">
        <v>40512</v>
      </c>
      <c r="AK6147" s="831">
        <v>1731556.9946000001</v>
      </c>
    </row>
    <row r="6148" spans="2:37">
      <c r="B6148" s="834" t="str">
        <f t="shared" si="271"/>
        <v>|||</v>
      </c>
      <c r="H6148" s="835">
        <f t="shared" ref="H6148:H6211" si="272">EOMONTH(L6148,0)</f>
        <v>31</v>
      </c>
      <c r="AF6148" s="831" t="s">
        <v>6807</v>
      </c>
      <c r="AG6148" s="831" t="s">
        <v>2674</v>
      </c>
      <c r="AH6148" s="831" t="s">
        <v>555</v>
      </c>
      <c r="AI6148" s="831">
        <v>0</v>
      </c>
      <c r="AJ6148" s="835">
        <v>40512</v>
      </c>
      <c r="AK6148" s="831">
        <v>202345026</v>
      </c>
    </row>
    <row r="6149" spans="2:37">
      <c r="B6149" s="834" t="str">
        <f t="shared" si="271"/>
        <v>|||</v>
      </c>
      <c r="H6149" s="835">
        <f t="shared" si="272"/>
        <v>31</v>
      </c>
      <c r="AF6149" s="831" t="s">
        <v>6808</v>
      </c>
      <c r="AG6149" s="831" t="s">
        <v>2674</v>
      </c>
      <c r="AH6149" s="831" t="s">
        <v>554</v>
      </c>
      <c r="AI6149" s="831">
        <v>0</v>
      </c>
      <c r="AJ6149" s="835">
        <v>40512</v>
      </c>
      <c r="AK6149" s="831">
        <v>188254960</v>
      </c>
    </row>
    <row r="6150" spans="2:37">
      <c r="B6150" s="834" t="str">
        <f t="shared" si="271"/>
        <v>|||</v>
      </c>
      <c r="H6150" s="835">
        <f t="shared" si="272"/>
        <v>31</v>
      </c>
      <c r="AF6150" s="831" t="s">
        <v>6809</v>
      </c>
      <c r="AG6150" s="831" t="s">
        <v>2674</v>
      </c>
      <c r="AH6150" s="831" t="s">
        <v>553</v>
      </c>
      <c r="AI6150" s="831">
        <v>0</v>
      </c>
      <c r="AJ6150" s="835">
        <v>40512</v>
      </c>
      <c r="AK6150" s="831">
        <v>0</v>
      </c>
    </row>
    <row r="6151" spans="2:37">
      <c r="B6151" s="834" t="str">
        <f t="shared" si="271"/>
        <v>|||</v>
      </c>
      <c r="H6151" s="835">
        <f t="shared" si="272"/>
        <v>31</v>
      </c>
      <c r="AF6151" s="831" t="s">
        <v>6810</v>
      </c>
      <c r="AG6151" s="831" t="s">
        <v>2674</v>
      </c>
      <c r="AH6151" s="831" t="s">
        <v>552</v>
      </c>
      <c r="AI6151" s="831">
        <v>0</v>
      </c>
      <c r="AJ6151" s="835">
        <v>40512</v>
      </c>
      <c r="AK6151" s="831">
        <v>0</v>
      </c>
    </row>
    <row r="6152" spans="2:37">
      <c r="B6152" s="834" t="str">
        <f t="shared" si="271"/>
        <v>|||</v>
      </c>
      <c r="H6152" s="835">
        <f t="shared" si="272"/>
        <v>31</v>
      </c>
      <c r="AF6152" s="831" t="s">
        <v>6811</v>
      </c>
      <c r="AG6152" s="831" t="s">
        <v>2674</v>
      </c>
      <c r="AH6152" s="831" t="s">
        <v>551</v>
      </c>
      <c r="AI6152" s="831">
        <v>0</v>
      </c>
      <c r="AJ6152" s="835">
        <v>40512</v>
      </c>
      <c r="AK6152" s="831">
        <v>1950743</v>
      </c>
    </row>
    <row r="6153" spans="2:37">
      <c r="B6153" s="834" t="str">
        <f t="shared" si="271"/>
        <v>|||</v>
      </c>
      <c r="H6153" s="835">
        <f t="shared" si="272"/>
        <v>31</v>
      </c>
      <c r="AF6153" s="831" t="s">
        <v>6812</v>
      </c>
      <c r="AG6153" s="831" t="s">
        <v>2674</v>
      </c>
      <c r="AH6153" s="831" t="s">
        <v>550</v>
      </c>
      <c r="AI6153" s="831">
        <v>0</v>
      </c>
      <c r="AJ6153" s="835">
        <v>40512</v>
      </c>
      <c r="AK6153" s="831">
        <v>71419006.611349806</v>
      </c>
    </row>
    <row r="6154" spans="2:37">
      <c r="B6154" s="834" t="str">
        <f t="shared" si="271"/>
        <v>|||</v>
      </c>
      <c r="H6154" s="835">
        <f t="shared" si="272"/>
        <v>31</v>
      </c>
      <c r="AF6154" s="831" t="s">
        <v>6813</v>
      </c>
      <c r="AG6154" s="831" t="s">
        <v>2674</v>
      </c>
      <c r="AH6154" s="831" t="s">
        <v>562</v>
      </c>
      <c r="AI6154" s="831">
        <v>0</v>
      </c>
      <c r="AJ6154" s="835">
        <v>40512</v>
      </c>
      <c r="AK6154" s="831">
        <v>0.8</v>
      </c>
    </row>
    <row r="6155" spans="2:37">
      <c r="B6155" s="834" t="str">
        <f t="shared" si="271"/>
        <v>|||</v>
      </c>
      <c r="H6155" s="835">
        <f t="shared" si="272"/>
        <v>31</v>
      </c>
      <c r="AF6155" s="831" t="s">
        <v>6814</v>
      </c>
      <c r="AG6155" s="831" t="s">
        <v>2674</v>
      </c>
      <c r="AH6155" s="831" t="s">
        <v>2698</v>
      </c>
      <c r="AI6155" s="831">
        <v>0</v>
      </c>
      <c r="AJ6155" s="835">
        <v>40512</v>
      </c>
      <c r="AK6155" s="831">
        <v>0.80100000000000005</v>
      </c>
    </row>
    <row r="6156" spans="2:37">
      <c r="B6156" s="834" t="str">
        <f t="shared" si="271"/>
        <v>|||</v>
      </c>
      <c r="H6156" s="835">
        <f t="shared" si="272"/>
        <v>31</v>
      </c>
      <c r="AF6156" s="831" t="s">
        <v>6815</v>
      </c>
      <c r="AG6156" s="831" t="s">
        <v>2674</v>
      </c>
      <c r="AH6156" s="831" t="s">
        <v>560</v>
      </c>
      <c r="AI6156" s="831">
        <v>0</v>
      </c>
      <c r="AJ6156" s="835">
        <v>40512</v>
      </c>
      <c r="AK6156" s="831">
        <v>0.80309090909090897</v>
      </c>
    </row>
    <row r="6157" spans="2:37">
      <c r="B6157" s="834" t="str">
        <f t="shared" si="271"/>
        <v>|||</v>
      </c>
      <c r="H6157" s="835">
        <f t="shared" si="272"/>
        <v>31</v>
      </c>
      <c r="AF6157" s="831" t="s">
        <v>6816</v>
      </c>
      <c r="AG6157" s="831" t="s">
        <v>2674</v>
      </c>
      <c r="AH6157" s="831" t="s">
        <v>559</v>
      </c>
      <c r="AI6157" s="831">
        <v>0</v>
      </c>
      <c r="AJ6157" s="835">
        <v>40512</v>
      </c>
      <c r="AK6157" s="831">
        <v>0.80283333333333295</v>
      </c>
    </row>
    <row r="6158" spans="2:37">
      <c r="B6158" s="834" t="str">
        <f t="shared" si="271"/>
        <v>|||</v>
      </c>
      <c r="H6158" s="835">
        <f t="shared" si="272"/>
        <v>31</v>
      </c>
      <c r="AF6158" s="831" t="s">
        <v>6817</v>
      </c>
      <c r="AG6158" s="831" t="s">
        <v>2674</v>
      </c>
      <c r="AH6158" s="831" t="s">
        <v>568</v>
      </c>
      <c r="AI6158" s="831">
        <v>0</v>
      </c>
      <c r="AJ6158" s="835">
        <v>40512</v>
      </c>
      <c r="AK6158" s="831">
        <v>0</v>
      </c>
    </row>
    <row r="6159" spans="2:37">
      <c r="B6159" s="834" t="str">
        <f t="shared" si="271"/>
        <v>|||</v>
      </c>
      <c r="H6159" s="835">
        <f t="shared" si="272"/>
        <v>31</v>
      </c>
      <c r="AF6159" s="831" t="s">
        <v>6818</v>
      </c>
      <c r="AG6159" s="831" t="s">
        <v>2674</v>
      </c>
      <c r="AH6159" s="831" t="s">
        <v>569</v>
      </c>
      <c r="AI6159" s="831">
        <v>0</v>
      </c>
      <c r="AJ6159" s="835">
        <v>40512</v>
      </c>
      <c r="AK6159" s="831">
        <v>0</v>
      </c>
    </row>
    <row r="6160" spans="2:37">
      <c r="B6160" s="834" t="str">
        <f t="shared" si="271"/>
        <v>|||</v>
      </c>
      <c r="H6160" s="835">
        <f t="shared" si="272"/>
        <v>31</v>
      </c>
      <c r="AF6160" s="831" t="s">
        <v>6819</v>
      </c>
      <c r="AG6160" s="831" t="s">
        <v>2674</v>
      </c>
      <c r="AH6160" s="831" t="s">
        <v>570</v>
      </c>
      <c r="AI6160" s="831">
        <v>0</v>
      </c>
      <c r="AJ6160" s="835">
        <v>40512</v>
      </c>
      <c r="AK6160" s="831">
        <v>0</v>
      </c>
    </row>
    <row r="6161" spans="2:37">
      <c r="B6161" s="834" t="str">
        <f t="shared" si="271"/>
        <v>|||</v>
      </c>
      <c r="H6161" s="835">
        <f t="shared" si="272"/>
        <v>31</v>
      </c>
      <c r="AF6161" s="831" t="s">
        <v>6820</v>
      </c>
      <c r="AG6161" s="831" t="s">
        <v>2674</v>
      </c>
      <c r="AH6161" s="831" t="s">
        <v>571</v>
      </c>
      <c r="AI6161" s="831">
        <v>0</v>
      </c>
      <c r="AJ6161" s="835">
        <v>40512</v>
      </c>
      <c r="AK6161" s="831">
        <v>0</v>
      </c>
    </row>
    <row r="6162" spans="2:37">
      <c r="B6162" s="834" t="str">
        <f t="shared" si="271"/>
        <v>|||</v>
      </c>
      <c r="H6162" s="835">
        <f t="shared" si="272"/>
        <v>31</v>
      </c>
      <c r="AF6162" s="831" t="s">
        <v>6821</v>
      </c>
      <c r="AG6162" s="831" t="s">
        <v>2674</v>
      </c>
      <c r="AH6162" s="831" t="s">
        <v>573</v>
      </c>
      <c r="AI6162" s="831">
        <v>0</v>
      </c>
      <c r="AJ6162" s="835">
        <v>40512</v>
      </c>
      <c r="AK6162" s="831">
        <v>0</v>
      </c>
    </row>
    <row r="6163" spans="2:37">
      <c r="B6163" s="834" t="str">
        <f t="shared" si="271"/>
        <v>|||</v>
      </c>
      <c r="H6163" s="835">
        <f t="shared" si="272"/>
        <v>31</v>
      </c>
      <c r="AF6163" s="831" t="s">
        <v>6822</v>
      </c>
      <c r="AG6163" s="831" t="s">
        <v>2674</v>
      </c>
      <c r="AH6163" s="831" t="s">
        <v>574</v>
      </c>
      <c r="AI6163" s="831">
        <v>0</v>
      </c>
      <c r="AJ6163" s="835">
        <v>40512</v>
      </c>
      <c r="AK6163" s="831">
        <v>0</v>
      </c>
    </row>
    <row r="6164" spans="2:37">
      <c r="B6164" s="834" t="str">
        <f t="shared" si="271"/>
        <v>|||</v>
      </c>
      <c r="H6164" s="835">
        <f t="shared" si="272"/>
        <v>31</v>
      </c>
      <c r="AF6164" s="831" t="s">
        <v>6823</v>
      </c>
      <c r="AG6164" s="831" t="s">
        <v>2674</v>
      </c>
      <c r="AH6164" s="831" t="s">
        <v>575</v>
      </c>
      <c r="AI6164" s="831">
        <v>0</v>
      </c>
      <c r="AJ6164" s="835">
        <v>40512</v>
      </c>
      <c r="AK6164" s="831">
        <v>0</v>
      </c>
    </row>
    <row r="6165" spans="2:37">
      <c r="B6165" s="834" t="str">
        <f t="shared" si="271"/>
        <v>|||</v>
      </c>
      <c r="H6165" s="835">
        <f t="shared" si="272"/>
        <v>31</v>
      </c>
      <c r="AF6165" s="831" t="s">
        <v>6824</v>
      </c>
      <c r="AG6165" s="831" t="s">
        <v>2674</v>
      </c>
      <c r="AH6165" s="831" t="s">
        <v>576</v>
      </c>
      <c r="AI6165" s="831">
        <v>0</v>
      </c>
      <c r="AJ6165" s="835">
        <v>40512</v>
      </c>
      <c r="AK6165" s="831">
        <v>0</v>
      </c>
    </row>
    <row r="6166" spans="2:37">
      <c r="B6166" s="834" t="str">
        <f t="shared" si="271"/>
        <v>|||</v>
      </c>
      <c r="H6166" s="835">
        <f t="shared" si="272"/>
        <v>31</v>
      </c>
      <c r="AF6166" s="831" t="s">
        <v>6825</v>
      </c>
      <c r="AG6166" s="831" t="s">
        <v>2674</v>
      </c>
      <c r="AH6166" s="831" t="s">
        <v>572</v>
      </c>
      <c r="AI6166" s="831">
        <v>0</v>
      </c>
      <c r="AJ6166" s="835">
        <v>40512</v>
      </c>
      <c r="AK6166" s="831">
        <v>0</v>
      </c>
    </row>
    <row r="6167" spans="2:37">
      <c r="B6167" s="834" t="str">
        <f t="shared" si="271"/>
        <v>|||</v>
      </c>
      <c r="H6167" s="835">
        <f t="shared" si="272"/>
        <v>31</v>
      </c>
      <c r="AF6167" s="831" t="s">
        <v>6826</v>
      </c>
      <c r="AG6167" s="831" t="s">
        <v>2674</v>
      </c>
      <c r="AH6167" s="831" t="s">
        <v>577</v>
      </c>
      <c r="AI6167" s="831">
        <v>0</v>
      </c>
      <c r="AJ6167" s="835">
        <v>40512</v>
      </c>
      <c r="AK6167" s="831">
        <v>0</v>
      </c>
    </row>
    <row r="6168" spans="2:37">
      <c r="B6168" s="834" t="str">
        <f t="shared" si="271"/>
        <v>|||</v>
      </c>
      <c r="H6168" s="835">
        <f t="shared" si="272"/>
        <v>31</v>
      </c>
      <c r="AF6168" s="831" t="s">
        <v>6827</v>
      </c>
      <c r="AG6168" s="831" t="s">
        <v>2674</v>
      </c>
      <c r="AH6168" s="831" t="s">
        <v>3042</v>
      </c>
      <c r="AI6168" s="831">
        <v>0</v>
      </c>
      <c r="AJ6168" s="835">
        <v>40512</v>
      </c>
      <c r="AK6168" s="831">
        <v>0</v>
      </c>
    </row>
    <row r="6169" spans="2:37">
      <c r="B6169" s="834" t="str">
        <f t="shared" si="271"/>
        <v>|||</v>
      </c>
      <c r="H6169" s="835">
        <f t="shared" si="272"/>
        <v>31</v>
      </c>
      <c r="AF6169" s="831" t="s">
        <v>6828</v>
      </c>
      <c r="AG6169" s="831" t="s">
        <v>2674</v>
      </c>
      <c r="AH6169" s="831" t="s">
        <v>3044</v>
      </c>
      <c r="AI6169" s="831">
        <v>0</v>
      </c>
      <c r="AJ6169" s="835">
        <v>40512</v>
      </c>
      <c r="AK6169" s="831">
        <v>0</v>
      </c>
    </row>
    <row r="6170" spans="2:37">
      <c r="B6170" s="834" t="str">
        <f t="shared" si="271"/>
        <v>|||</v>
      </c>
      <c r="H6170" s="835">
        <f t="shared" si="272"/>
        <v>31</v>
      </c>
      <c r="AF6170" s="831" t="s">
        <v>6829</v>
      </c>
      <c r="AG6170" s="831" t="s">
        <v>2674</v>
      </c>
      <c r="AH6170" s="831" t="s">
        <v>580</v>
      </c>
      <c r="AI6170" s="831">
        <v>0</v>
      </c>
      <c r="AJ6170" s="835">
        <v>40512</v>
      </c>
      <c r="AK6170" s="831">
        <v>0</v>
      </c>
    </row>
    <row r="6171" spans="2:37">
      <c r="B6171" s="834" t="str">
        <f t="shared" si="271"/>
        <v>|||</v>
      </c>
      <c r="H6171" s="835">
        <f t="shared" si="272"/>
        <v>31</v>
      </c>
      <c r="AF6171" s="831" t="s">
        <v>6830</v>
      </c>
      <c r="AG6171" s="831" t="s">
        <v>2674</v>
      </c>
      <c r="AH6171" s="831" t="s">
        <v>581</v>
      </c>
      <c r="AI6171" s="831">
        <v>0</v>
      </c>
      <c r="AJ6171" s="835">
        <v>40512</v>
      </c>
      <c r="AK6171" s="831">
        <v>0</v>
      </c>
    </row>
    <row r="6172" spans="2:37">
      <c r="B6172" s="834" t="str">
        <f t="shared" si="271"/>
        <v>|||</v>
      </c>
      <c r="H6172" s="835">
        <f t="shared" si="272"/>
        <v>31</v>
      </c>
      <c r="AF6172" s="831" t="s">
        <v>6831</v>
      </c>
      <c r="AG6172" s="831" t="s">
        <v>2674</v>
      </c>
      <c r="AH6172" s="831" t="s">
        <v>105</v>
      </c>
      <c r="AI6172" s="831">
        <v>0</v>
      </c>
      <c r="AJ6172" s="835">
        <v>40512</v>
      </c>
      <c r="AK6172" s="831">
        <v>166805670.27810001</v>
      </c>
    </row>
    <row r="6173" spans="2:37">
      <c r="B6173" s="834" t="str">
        <f t="shared" si="271"/>
        <v>|||</v>
      </c>
      <c r="H6173" s="835">
        <f t="shared" si="272"/>
        <v>31</v>
      </c>
      <c r="AF6173" s="831" t="s">
        <v>6832</v>
      </c>
      <c r="AG6173" s="831" t="s">
        <v>2674</v>
      </c>
      <c r="AH6173" s="831" t="s">
        <v>3049</v>
      </c>
      <c r="AI6173" s="831">
        <v>0</v>
      </c>
      <c r="AJ6173" s="835">
        <v>40512</v>
      </c>
      <c r="AK6173" s="831">
        <v>286156634.11210001</v>
      </c>
    </row>
    <row r="6174" spans="2:37">
      <c r="B6174" s="834" t="str">
        <f t="shared" si="271"/>
        <v>|||</v>
      </c>
      <c r="H6174" s="835">
        <f t="shared" si="272"/>
        <v>31</v>
      </c>
      <c r="AF6174" s="831" t="s">
        <v>6833</v>
      </c>
      <c r="AG6174" s="831" t="s">
        <v>2674</v>
      </c>
      <c r="AH6174" s="831" t="s">
        <v>103</v>
      </c>
      <c r="AI6174" s="831">
        <v>0</v>
      </c>
      <c r="AJ6174" s="835">
        <v>40512</v>
      </c>
      <c r="AK6174" s="831">
        <v>119350963.83400001</v>
      </c>
    </row>
    <row r="6175" spans="2:37">
      <c r="B6175" s="834" t="str">
        <f t="shared" si="271"/>
        <v>|||</v>
      </c>
      <c r="H6175" s="835">
        <f t="shared" si="272"/>
        <v>31</v>
      </c>
      <c r="AF6175" s="831" t="s">
        <v>6834</v>
      </c>
      <c r="AG6175" s="831" t="s">
        <v>2674</v>
      </c>
      <c r="AH6175" s="831" t="s">
        <v>182</v>
      </c>
      <c r="AI6175" s="831">
        <v>0</v>
      </c>
      <c r="AJ6175" s="835">
        <v>40512</v>
      </c>
      <c r="AK6175" s="831">
        <v>34269239.432194799</v>
      </c>
    </row>
    <row r="6176" spans="2:37">
      <c r="B6176" s="834" t="str">
        <f t="shared" si="271"/>
        <v>|||</v>
      </c>
      <c r="H6176" s="835">
        <f t="shared" si="272"/>
        <v>31</v>
      </c>
      <c r="AF6176" s="831" t="s">
        <v>6835</v>
      </c>
      <c r="AG6176" s="831" t="s">
        <v>2674</v>
      </c>
      <c r="AH6176" s="831" t="s">
        <v>6600</v>
      </c>
      <c r="AI6176" s="831">
        <v>0</v>
      </c>
      <c r="AJ6176" s="835">
        <v>40512</v>
      </c>
      <c r="AK6176" s="831">
        <v>0</v>
      </c>
    </row>
    <row r="6177" spans="2:37">
      <c r="B6177" s="834" t="str">
        <f t="shared" si="271"/>
        <v>|||</v>
      </c>
      <c r="H6177" s="835">
        <f t="shared" si="272"/>
        <v>31</v>
      </c>
      <c r="AF6177" s="831" t="s">
        <v>6836</v>
      </c>
      <c r="AG6177" s="831" t="s">
        <v>2674</v>
      </c>
      <c r="AH6177" s="831" t="s">
        <v>6602</v>
      </c>
      <c r="AI6177" s="831">
        <v>0</v>
      </c>
      <c r="AJ6177" s="835">
        <v>40512</v>
      </c>
      <c r="AK6177" s="831">
        <v>24948235.694264401</v>
      </c>
    </row>
    <row r="6178" spans="2:37">
      <c r="B6178" s="834" t="str">
        <f t="shared" si="271"/>
        <v>|||</v>
      </c>
      <c r="H6178" s="835">
        <f t="shared" si="272"/>
        <v>31</v>
      </c>
      <c r="AF6178" s="831" t="s">
        <v>6837</v>
      </c>
      <c r="AG6178" s="831" t="s">
        <v>2674</v>
      </c>
      <c r="AH6178" s="831" t="s">
        <v>650</v>
      </c>
      <c r="AI6178" s="831">
        <v>0</v>
      </c>
      <c r="AJ6178" s="835">
        <v>40512</v>
      </c>
      <c r="AK6178" s="831">
        <v>0</v>
      </c>
    </row>
    <row r="6179" spans="2:37">
      <c r="B6179" s="834" t="str">
        <f t="shared" si="271"/>
        <v>|||</v>
      </c>
      <c r="H6179" s="835">
        <f t="shared" si="272"/>
        <v>31</v>
      </c>
      <c r="AF6179" s="831" t="s">
        <v>6838</v>
      </c>
      <c r="AG6179" s="831" t="s">
        <v>2674</v>
      </c>
      <c r="AH6179" s="831" t="s">
        <v>655</v>
      </c>
      <c r="AI6179" s="831">
        <v>0</v>
      </c>
      <c r="AJ6179" s="835">
        <v>40512</v>
      </c>
      <c r="AK6179" s="831">
        <v>1799920</v>
      </c>
    </row>
    <row r="6180" spans="2:37">
      <c r="B6180" s="834" t="str">
        <f t="shared" si="271"/>
        <v>|||</v>
      </c>
      <c r="H6180" s="835">
        <f t="shared" si="272"/>
        <v>31</v>
      </c>
      <c r="AF6180" s="831" t="s">
        <v>6839</v>
      </c>
      <c r="AG6180" s="831" t="s">
        <v>2674</v>
      </c>
      <c r="AH6180" s="831" t="s">
        <v>546</v>
      </c>
      <c r="AI6180" s="831">
        <v>0</v>
      </c>
      <c r="AJ6180" s="835">
        <v>40543</v>
      </c>
      <c r="AK6180" s="831">
        <v>273820000</v>
      </c>
    </row>
    <row r="6181" spans="2:37">
      <c r="B6181" s="834" t="str">
        <f t="shared" si="271"/>
        <v>|||</v>
      </c>
      <c r="H6181" s="835">
        <f t="shared" si="272"/>
        <v>31</v>
      </c>
      <c r="AF6181" s="831" t="s">
        <v>6840</v>
      </c>
      <c r="AG6181" s="831" t="s">
        <v>2674</v>
      </c>
      <c r="AH6181" s="831" t="s">
        <v>370</v>
      </c>
      <c r="AI6181" s="831">
        <v>0</v>
      </c>
      <c r="AJ6181" s="835">
        <v>40543</v>
      </c>
      <c r="AK6181" s="831">
        <v>366023000</v>
      </c>
    </row>
    <row r="6182" spans="2:37">
      <c r="B6182" s="834" t="str">
        <f t="shared" si="271"/>
        <v>|||</v>
      </c>
      <c r="H6182" s="835">
        <f t="shared" si="272"/>
        <v>31</v>
      </c>
      <c r="AF6182" s="831" t="s">
        <v>6841</v>
      </c>
      <c r="AG6182" s="831" t="s">
        <v>2674</v>
      </c>
      <c r="AH6182" s="831" t="s">
        <v>126</v>
      </c>
      <c r="AI6182" s="831">
        <v>0</v>
      </c>
      <c r="AJ6182" s="835">
        <v>40543</v>
      </c>
      <c r="AK6182" s="831">
        <v>74455000</v>
      </c>
    </row>
    <row r="6183" spans="2:37">
      <c r="B6183" s="834" t="str">
        <f t="shared" si="271"/>
        <v>|||</v>
      </c>
      <c r="H6183" s="835">
        <f t="shared" si="272"/>
        <v>31</v>
      </c>
      <c r="AF6183" s="831" t="s">
        <v>6842</v>
      </c>
      <c r="AG6183" s="831" t="s">
        <v>2674</v>
      </c>
      <c r="AH6183" s="831" t="s">
        <v>268</v>
      </c>
      <c r="AI6183" s="831">
        <v>0</v>
      </c>
      <c r="AJ6183" s="835">
        <v>40543</v>
      </c>
      <c r="AK6183" s="831">
        <v>26170000</v>
      </c>
    </row>
    <row r="6184" spans="2:37">
      <c r="B6184" s="834" t="str">
        <f t="shared" si="271"/>
        <v>|||</v>
      </c>
      <c r="H6184" s="835">
        <f t="shared" si="272"/>
        <v>31</v>
      </c>
      <c r="AF6184" s="831" t="s">
        <v>6843</v>
      </c>
      <c r="AG6184" s="831" t="s">
        <v>2674</v>
      </c>
      <c r="AH6184" s="831" t="s">
        <v>547</v>
      </c>
      <c r="AI6184" s="831">
        <v>0</v>
      </c>
      <c r="AJ6184" s="835">
        <v>40543</v>
      </c>
      <c r="AK6184" s="831">
        <v>0</v>
      </c>
    </row>
    <row r="6185" spans="2:37">
      <c r="B6185" s="834" t="str">
        <f t="shared" si="271"/>
        <v>|||</v>
      </c>
      <c r="H6185" s="835">
        <f t="shared" si="272"/>
        <v>31</v>
      </c>
      <c r="AF6185" s="831" t="s">
        <v>6844</v>
      </c>
      <c r="AG6185" s="831" t="s">
        <v>2674</v>
      </c>
      <c r="AH6185" s="831" t="s">
        <v>548</v>
      </c>
      <c r="AI6185" s="831">
        <v>0</v>
      </c>
      <c r="AJ6185" s="835">
        <v>40543</v>
      </c>
      <c r="AK6185" s="831">
        <v>0</v>
      </c>
    </row>
    <row r="6186" spans="2:37">
      <c r="B6186" s="834" t="str">
        <f t="shared" si="271"/>
        <v>|||</v>
      </c>
      <c r="H6186" s="835">
        <f t="shared" si="272"/>
        <v>31</v>
      </c>
      <c r="AF6186" s="831" t="s">
        <v>6845</v>
      </c>
      <c r="AG6186" s="831" t="s">
        <v>2674</v>
      </c>
      <c r="AH6186" s="831" t="s">
        <v>549</v>
      </c>
      <c r="AI6186" s="831">
        <v>0</v>
      </c>
      <c r="AJ6186" s="835">
        <v>40543</v>
      </c>
      <c r="AK6186" s="831">
        <v>0</v>
      </c>
    </row>
    <row r="6187" spans="2:37">
      <c r="B6187" s="834" t="str">
        <f t="shared" si="271"/>
        <v>|||</v>
      </c>
      <c r="H6187" s="835">
        <f t="shared" si="272"/>
        <v>31</v>
      </c>
      <c r="AF6187" s="831" t="s">
        <v>6846</v>
      </c>
      <c r="AG6187" s="831" t="s">
        <v>2674</v>
      </c>
      <c r="AH6187" s="831" t="s">
        <v>192</v>
      </c>
      <c r="AI6187" s="831">
        <v>0</v>
      </c>
      <c r="AJ6187" s="835">
        <v>40543</v>
      </c>
      <c r="AK6187" s="831">
        <v>-7635000</v>
      </c>
    </row>
    <row r="6188" spans="2:37">
      <c r="B6188" s="834" t="str">
        <f t="shared" si="271"/>
        <v>|||</v>
      </c>
      <c r="H6188" s="835">
        <f t="shared" si="272"/>
        <v>31</v>
      </c>
      <c r="AF6188" s="831" t="s">
        <v>6847</v>
      </c>
      <c r="AG6188" s="831" t="s">
        <v>2674</v>
      </c>
      <c r="AH6188" s="831" t="s">
        <v>558</v>
      </c>
      <c r="AI6188" s="831">
        <v>0</v>
      </c>
      <c r="AJ6188" s="835">
        <v>40543</v>
      </c>
      <c r="AK6188" s="831">
        <v>280622000</v>
      </c>
    </row>
    <row r="6189" spans="2:37">
      <c r="B6189" s="834" t="str">
        <f t="shared" si="271"/>
        <v>|||</v>
      </c>
      <c r="H6189" s="835">
        <f t="shared" si="272"/>
        <v>31</v>
      </c>
      <c r="AF6189" s="831" t="s">
        <v>6848</v>
      </c>
      <c r="AG6189" s="831" t="s">
        <v>2674</v>
      </c>
      <c r="AH6189" s="831" t="s">
        <v>65</v>
      </c>
      <c r="AI6189" s="831">
        <v>0</v>
      </c>
      <c r="AJ6189" s="835">
        <v>40543</v>
      </c>
      <c r="AK6189" s="831">
        <v>88832000</v>
      </c>
    </row>
    <row r="6190" spans="2:37">
      <c r="B6190" s="834" t="str">
        <f t="shared" si="271"/>
        <v>|||</v>
      </c>
      <c r="H6190" s="835">
        <f t="shared" si="272"/>
        <v>31</v>
      </c>
      <c r="AF6190" s="831" t="s">
        <v>6849</v>
      </c>
      <c r="AG6190" s="831" t="s">
        <v>2674</v>
      </c>
      <c r="AH6190" s="831" t="s">
        <v>89</v>
      </c>
      <c r="AI6190" s="831">
        <v>0</v>
      </c>
      <c r="AJ6190" s="835">
        <v>40543</v>
      </c>
      <c r="AK6190" s="831">
        <v>120406</v>
      </c>
    </row>
    <row r="6191" spans="2:37">
      <c r="B6191" s="834" t="str">
        <f t="shared" si="271"/>
        <v>|||</v>
      </c>
      <c r="H6191" s="835">
        <f t="shared" si="272"/>
        <v>31</v>
      </c>
      <c r="AF6191" s="831" t="s">
        <v>6850</v>
      </c>
      <c r="AG6191" s="831" t="s">
        <v>2674</v>
      </c>
      <c r="AH6191" s="831" t="s">
        <v>557</v>
      </c>
      <c r="AI6191" s="831">
        <v>0</v>
      </c>
      <c r="AJ6191" s="835">
        <v>40543</v>
      </c>
      <c r="AK6191" s="831">
        <v>122519</v>
      </c>
    </row>
    <row r="6192" spans="2:37">
      <c r="B6192" s="834" t="str">
        <f t="shared" si="271"/>
        <v>|||</v>
      </c>
      <c r="H6192" s="835">
        <f t="shared" si="272"/>
        <v>31</v>
      </c>
      <c r="AF6192" s="831" t="s">
        <v>6851</v>
      </c>
      <c r="AG6192" s="831" t="s">
        <v>2674</v>
      </c>
      <c r="AH6192" s="831" t="s">
        <v>29</v>
      </c>
      <c r="AI6192" s="831">
        <v>0</v>
      </c>
      <c r="AJ6192" s="835">
        <v>40543</v>
      </c>
      <c r="AK6192" s="831">
        <v>2220000</v>
      </c>
    </row>
    <row r="6193" spans="2:37">
      <c r="B6193" s="834" t="str">
        <f t="shared" si="271"/>
        <v>|||</v>
      </c>
      <c r="H6193" s="835">
        <f t="shared" si="272"/>
        <v>31</v>
      </c>
      <c r="AF6193" s="831" t="s">
        <v>6852</v>
      </c>
      <c r="AG6193" s="831" t="s">
        <v>2674</v>
      </c>
      <c r="AH6193" s="831" t="s">
        <v>2688</v>
      </c>
      <c r="AI6193" s="831">
        <v>0</v>
      </c>
      <c r="AJ6193" s="835">
        <v>40543</v>
      </c>
      <c r="AK6193" s="831">
        <v>0</v>
      </c>
    </row>
    <row r="6194" spans="2:37">
      <c r="B6194" s="834" t="str">
        <f t="shared" si="271"/>
        <v>|||</v>
      </c>
      <c r="H6194" s="835">
        <f t="shared" si="272"/>
        <v>31</v>
      </c>
      <c r="AF6194" s="831" t="s">
        <v>6853</v>
      </c>
      <c r="AG6194" s="831" t="s">
        <v>2674</v>
      </c>
      <c r="AH6194" s="831" t="s">
        <v>556</v>
      </c>
      <c r="AI6194" s="831">
        <v>0</v>
      </c>
      <c r="AJ6194" s="835">
        <v>40543</v>
      </c>
      <c r="AK6194" s="831">
        <v>-56771416.738292202</v>
      </c>
    </row>
    <row r="6195" spans="2:37">
      <c r="B6195" s="834" t="str">
        <f t="shared" si="271"/>
        <v>|||</v>
      </c>
      <c r="H6195" s="835">
        <f t="shared" si="272"/>
        <v>31</v>
      </c>
      <c r="AF6195" s="831" t="s">
        <v>6854</v>
      </c>
      <c r="AG6195" s="831" t="s">
        <v>2674</v>
      </c>
      <c r="AH6195" s="831" t="s">
        <v>555</v>
      </c>
      <c r="AI6195" s="831">
        <v>0</v>
      </c>
      <c r="AJ6195" s="835">
        <v>40543</v>
      </c>
      <c r="AK6195" s="831">
        <v>195351473</v>
      </c>
    </row>
    <row r="6196" spans="2:37">
      <c r="B6196" s="834" t="str">
        <f t="shared" si="271"/>
        <v>|||</v>
      </c>
      <c r="H6196" s="835">
        <f t="shared" si="272"/>
        <v>31</v>
      </c>
      <c r="AF6196" s="831" t="s">
        <v>6855</v>
      </c>
      <c r="AG6196" s="831" t="s">
        <v>2674</v>
      </c>
      <c r="AH6196" s="831" t="s">
        <v>554</v>
      </c>
      <c r="AI6196" s="831">
        <v>0</v>
      </c>
      <c r="AJ6196" s="835">
        <v>40543</v>
      </c>
      <c r="AK6196" s="831">
        <v>179888790</v>
      </c>
    </row>
    <row r="6197" spans="2:37">
      <c r="B6197" s="834" t="str">
        <f t="shared" si="271"/>
        <v>|||</v>
      </c>
      <c r="H6197" s="835">
        <f t="shared" si="272"/>
        <v>31</v>
      </c>
      <c r="AF6197" s="831" t="s">
        <v>6856</v>
      </c>
      <c r="AG6197" s="831" t="s">
        <v>2674</v>
      </c>
      <c r="AH6197" s="831" t="s">
        <v>553</v>
      </c>
      <c r="AI6197" s="831">
        <v>0</v>
      </c>
      <c r="AJ6197" s="835">
        <v>40543</v>
      </c>
      <c r="AK6197" s="831">
        <v>0</v>
      </c>
    </row>
    <row r="6198" spans="2:37">
      <c r="B6198" s="834" t="str">
        <f t="shared" si="271"/>
        <v>|||</v>
      </c>
      <c r="H6198" s="835">
        <f t="shared" si="272"/>
        <v>31</v>
      </c>
      <c r="AF6198" s="831" t="s">
        <v>6857</v>
      </c>
      <c r="AG6198" s="831" t="s">
        <v>2674</v>
      </c>
      <c r="AH6198" s="831" t="s">
        <v>552</v>
      </c>
      <c r="AI6198" s="831">
        <v>0</v>
      </c>
      <c r="AJ6198" s="835">
        <v>40543</v>
      </c>
      <c r="AK6198" s="831">
        <v>0</v>
      </c>
    </row>
    <row r="6199" spans="2:37">
      <c r="B6199" s="834" t="str">
        <f t="shared" si="271"/>
        <v>|||</v>
      </c>
      <c r="H6199" s="835">
        <f t="shared" si="272"/>
        <v>31</v>
      </c>
      <c r="AF6199" s="831" t="s">
        <v>6858</v>
      </c>
      <c r="AG6199" s="831" t="s">
        <v>2674</v>
      </c>
      <c r="AH6199" s="831" t="s">
        <v>551</v>
      </c>
      <c r="AI6199" s="831">
        <v>0</v>
      </c>
      <c r="AJ6199" s="835">
        <v>40543</v>
      </c>
      <c r="AK6199" s="831">
        <v>2220000</v>
      </c>
    </row>
    <row r="6200" spans="2:37">
      <c r="B6200" s="834" t="str">
        <f t="shared" si="271"/>
        <v>|||</v>
      </c>
      <c r="H6200" s="835">
        <f t="shared" si="272"/>
        <v>31</v>
      </c>
      <c r="AF6200" s="831" t="s">
        <v>6859</v>
      </c>
      <c r="AG6200" s="831" t="s">
        <v>2674</v>
      </c>
      <c r="AH6200" s="831" t="s">
        <v>550</v>
      </c>
      <c r="AI6200" s="831">
        <v>0</v>
      </c>
      <c r="AJ6200" s="835">
        <v>40543</v>
      </c>
      <c r="AK6200" s="831">
        <v>0</v>
      </c>
    </row>
    <row r="6201" spans="2:37">
      <c r="B6201" s="834" t="str">
        <f t="shared" si="271"/>
        <v>|||</v>
      </c>
      <c r="H6201" s="835">
        <f t="shared" si="272"/>
        <v>31</v>
      </c>
      <c r="AF6201" s="831" t="s">
        <v>6860</v>
      </c>
      <c r="AG6201" s="831" t="s">
        <v>2674</v>
      </c>
      <c r="AH6201" s="831" t="s">
        <v>562</v>
      </c>
      <c r="AI6201" s="831">
        <v>0</v>
      </c>
      <c r="AJ6201" s="835">
        <v>40543</v>
      </c>
      <c r="AK6201" s="831">
        <v>0.79700000000000004</v>
      </c>
    </row>
    <row r="6202" spans="2:37">
      <c r="B6202" s="834" t="str">
        <f t="shared" si="271"/>
        <v>|||</v>
      </c>
      <c r="H6202" s="835">
        <f t="shared" si="272"/>
        <v>31</v>
      </c>
      <c r="AF6202" s="831" t="s">
        <v>6861</v>
      </c>
      <c r="AG6202" s="831" t="s">
        <v>2674</v>
      </c>
      <c r="AH6202" s="831" t="s">
        <v>2698</v>
      </c>
      <c r="AI6202" s="831">
        <v>0</v>
      </c>
      <c r="AJ6202" s="835">
        <v>40543</v>
      </c>
      <c r="AK6202" s="831">
        <v>0.8</v>
      </c>
    </row>
    <row r="6203" spans="2:37">
      <c r="B6203" s="834" t="str">
        <f t="shared" si="271"/>
        <v>|||</v>
      </c>
      <c r="H6203" s="835">
        <f t="shared" si="272"/>
        <v>31</v>
      </c>
      <c r="AF6203" s="831" t="s">
        <v>6862</v>
      </c>
      <c r="AG6203" s="831" t="s">
        <v>2674</v>
      </c>
      <c r="AH6203" s="831" t="s">
        <v>560</v>
      </c>
      <c r="AI6203" s="831">
        <v>0</v>
      </c>
      <c r="AJ6203" s="835">
        <v>40543</v>
      </c>
      <c r="AK6203" s="831">
        <v>0.80258333333333298</v>
      </c>
    </row>
    <row r="6204" spans="2:37">
      <c r="B6204" s="834" t="str">
        <f t="shared" si="271"/>
        <v>|||</v>
      </c>
      <c r="H6204" s="835">
        <f t="shared" si="272"/>
        <v>31</v>
      </c>
      <c r="AF6204" s="831" t="s">
        <v>6863</v>
      </c>
      <c r="AG6204" s="831" t="s">
        <v>2674</v>
      </c>
      <c r="AH6204" s="831" t="s">
        <v>559</v>
      </c>
      <c r="AI6204" s="831">
        <v>0</v>
      </c>
      <c r="AJ6204" s="835">
        <v>40543</v>
      </c>
      <c r="AK6204" s="831">
        <v>0.80258333333333298</v>
      </c>
    </row>
    <row r="6205" spans="2:37">
      <c r="B6205" s="834" t="str">
        <f t="shared" si="271"/>
        <v>|||</v>
      </c>
      <c r="H6205" s="835">
        <f t="shared" si="272"/>
        <v>31</v>
      </c>
      <c r="AF6205" s="831" t="s">
        <v>6864</v>
      </c>
      <c r="AG6205" s="831" t="s">
        <v>2674</v>
      </c>
      <c r="AH6205" s="831" t="s">
        <v>568</v>
      </c>
      <c r="AI6205" s="831">
        <v>0</v>
      </c>
      <c r="AJ6205" s="835">
        <v>40543</v>
      </c>
      <c r="AK6205" s="831">
        <v>0</v>
      </c>
    </row>
    <row r="6206" spans="2:37">
      <c r="B6206" s="834" t="str">
        <f t="shared" si="271"/>
        <v>|||</v>
      </c>
      <c r="H6206" s="835">
        <f t="shared" si="272"/>
        <v>31</v>
      </c>
      <c r="AF6206" s="831" t="s">
        <v>6865</v>
      </c>
      <c r="AG6206" s="831" t="s">
        <v>2674</v>
      </c>
      <c r="AH6206" s="831" t="s">
        <v>569</v>
      </c>
      <c r="AI6206" s="831">
        <v>0</v>
      </c>
      <c r="AJ6206" s="835">
        <v>40543</v>
      </c>
      <c r="AK6206" s="831">
        <v>0</v>
      </c>
    </row>
    <row r="6207" spans="2:37">
      <c r="B6207" s="834" t="str">
        <f t="shared" si="271"/>
        <v>|||</v>
      </c>
      <c r="H6207" s="835">
        <f t="shared" si="272"/>
        <v>31</v>
      </c>
      <c r="AF6207" s="831" t="s">
        <v>6866</v>
      </c>
      <c r="AG6207" s="831" t="s">
        <v>2674</v>
      </c>
      <c r="AH6207" s="831" t="s">
        <v>570</v>
      </c>
      <c r="AI6207" s="831">
        <v>0</v>
      </c>
      <c r="AJ6207" s="835">
        <v>40543</v>
      </c>
      <c r="AK6207" s="831">
        <v>0</v>
      </c>
    </row>
    <row r="6208" spans="2:37">
      <c r="B6208" s="834" t="str">
        <f t="shared" si="271"/>
        <v>|||</v>
      </c>
      <c r="H6208" s="835">
        <f t="shared" si="272"/>
        <v>31</v>
      </c>
      <c r="AF6208" s="831" t="s">
        <v>6867</v>
      </c>
      <c r="AG6208" s="831" t="s">
        <v>2674</v>
      </c>
      <c r="AH6208" s="831" t="s">
        <v>571</v>
      </c>
      <c r="AI6208" s="831">
        <v>0</v>
      </c>
      <c r="AJ6208" s="835">
        <v>40543</v>
      </c>
      <c r="AK6208" s="831">
        <v>0</v>
      </c>
    </row>
    <row r="6209" spans="2:37">
      <c r="B6209" s="834" t="str">
        <f t="shared" si="271"/>
        <v>|||</v>
      </c>
      <c r="H6209" s="835">
        <f t="shared" si="272"/>
        <v>31</v>
      </c>
      <c r="AF6209" s="831" t="s">
        <v>6868</v>
      </c>
      <c r="AG6209" s="831" t="s">
        <v>2674</v>
      </c>
      <c r="AH6209" s="831" t="s">
        <v>573</v>
      </c>
      <c r="AI6209" s="831">
        <v>0</v>
      </c>
      <c r="AJ6209" s="835">
        <v>40543</v>
      </c>
      <c r="AK6209" s="831">
        <v>0</v>
      </c>
    </row>
    <row r="6210" spans="2:37">
      <c r="B6210" s="834" t="str">
        <f t="shared" si="271"/>
        <v>|||</v>
      </c>
      <c r="H6210" s="835">
        <f t="shared" si="272"/>
        <v>31</v>
      </c>
      <c r="AF6210" s="831" t="s">
        <v>6869</v>
      </c>
      <c r="AG6210" s="831" t="s">
        <v>2674</v>
      </c>
      <c r="AH6210" s="831" t="s">
        <v>574</v>
      </c>
      <c r="AI6210" s="831">
        <v>0</v>
      </c>
      <c r="AJ6210" s="835">
        <v>40543</v>
      </c>
      <c r="AK6210" s="831">
        <v>0</v>
      </c>
    </row>
    <row r="6211" spans="2:37">
      <c r="B6211" s="834" t="str">
        <f t="shared" ref="B6211:B6274" si="273">C6211&amp;"|"&amp;D6211&amp;"|"&amp;E6211&amp;"|"&amp;F6211</f>
        <v>|||</v>
      </c>
      <c r="H6211" s="835">
        <f t="shared" si="272"/>
        <v>31</v>
      </c>
      <c r="AF6211" s="831" t="s">
        <v>6870</v>
      </c>
      <c r="AG6211" s="831" t="s">
        <v>2674</v>
      </c>
      <c r="AH6211" s="831" t="s">
        <v>575</v>
      </c>
      <c r="AI6211" s="831">
        <v>0</v>
      </c>
      <c r="AJ6211" s="835">
        <v>40543</v>
      </c>
      <c r="AK6211" s="831">
        <v>0</v>
      </c>
    </row>
    <row r="6212" spans="2:37">
      <c r="B6212" s="834" t="str">
        <f t="shared" si="273"/>
        <v>|||</v>
      </c>
      <c r="H6212" s="835">
        <f t="shared" ref="H6212:H6275" si="274">EOMONTH(L6212,0)</f>
        <v>31</v>
      </c>
      <c r="AF6212" s="831" t="s">
        <v>6871</v>
      </c>
      <c r="AG6212" s="831" t="s">
        <v>2674</v>
      </c>
      <c r="AH6212" s="831" t="s">
        <v>576</v>
      </c>
      <c r="AI6212" s="831">
        <v>0</v>
      </c>
      <c r="AJ6212" s="835">
        <v>40543</v>
      </c>
      <c r="AK6212" s="831">
        <v>0</v>
      </c>
    </row>
    <row r="6213" spans="2:37">
      <c r="B6213" s="834" t="str">
        <f t="shared" si="273"/>
        <v>|||</v>
      </c>
      <c r="H6213" s="835">
        <f t="shared" si="274"/>
        <v>31</v>
      </c>
      <c r="AF6213" s="831" t="s">
        <v>6872</v>
      </c>
      <c r="AG6213" s="831" t="s">
        <v>2674</v>
      </c>
      <c r="AH6213" s="831" t="s">
        <v>572</v>
      </c>
      <c r="AI6213" s="831">
        <v>0</v>
      </c>
      <c r="AJ6213" s="835">
        <v>40543</v>
      </c>
      <c r="AK6213" s="831">
        <v>0</v>
      </c>
    </row>
    <row r="6214" spans="2:37">
      <c r="B6214" s="834" t="str">
        <f t="shared" si="273"/>
        <v>|||</v>
      </c>
      <c r="H6214" s="835">
        <f t="shared" si="274"/>
        <v>31</v>
      </c>
      <c r="AF6214" s="831" t="s">
        <v>6873</v>
      </c>
      <c r="AG6214" s="831" t="s">
        <v>2674</v>
      </c>
      <c r="AH6214" s="831" t="s">
        <v>577</v>
      </c>
      <c r="AI6214" s="831">
        <v>0</v>
      </c>
      <c r="AJ6214" s="835">
        <v>40543</v>
      </c>
      <c r="AK6214" s="831">
        <v>0</v>
      </c>
    </row>
    <row r="6215" spans="2:37">
      <c r="B6215" s="834" t="str">
        <f t="shared" si="273"/>
        <v>|||</v>
      </c>
      <c r="H6215" s="835">
        <f t="shared" si="274"/>
        <v>31</v>
      </c>
      <c r="AF6215" s="831" t="s">
        <v>6874</v>
      </c>
      <c r="AG6215" s="831" t="s">
        <v>2674</v>
      </c>
      <c r="AH6215" s="831" t="s">
        <v>3042</v>
      </c>
      <c r="AI6215" s="831">
        <v>0</v>
      </c>
      <c r="AJ6215" s="835">
        <v>40543</v>
      </c>
      <c r="AK6215" s="831">
        <v>0</v>
      </c>
    </row>
    <row r="6216" spans="2:37">
      <c r="B6216" s="834" t="str">
        <f t="shared" si="273"/>
        <v>|||</v>
      </c>
      <c r="H6216" s="835">
        <f t="shared" si="274"/>
        <v>31</v>
      </c>
      <c r="AF6216" s="831" t="s">
        <v>6875</v>
      </c>
      <c r="AG6216" s="831" t="s">
        <v>2674</v>
      </c>
      <c r="AH6216" s="831" t="s">
        <v>3044</v>
      </c>
      <c r="AI6216" s="831">
        <v>0</v>
      </c>
      <c r="AJ6216" s="835">
        <v>40543</v>
      </c>
      <c r="AK6216" s="831">
        <v>0</v>
      </c>
    </row>
    <row r="6217" spans="2:37">
      <c r="B6217" s="834" t="str">
        <f t="shared" si="273"/>
        <v>|||</v>
      </c>
      <c r="H6217" s="835">
        <f t="shared" si="274"/>
        <v>31</v>
      </c>
      <c r="AF6217" s="831" t="s">
        <v>6876</v>
      </c>
      <c r="AG6217" s="831" t="s">
        <v>2674</v>
      </c>
      <c r="AH6217" s="831" t="s">
        <v>580</v>
      </c>
      <c r="AI6217" s="831">
        <v>0</v>
      </c>
      <c r="AJ6217" s="835">
        <v>40543</v>
      </c>
      <c r="AK6217" s="831">
        <v>0</v>
      </c>
    </row>
    <row r="6218" spans="2:37">
      <c r="B6218" s="834" t="str">
        <f t="shared" si="273"/>
        <v>|||</v>
      </c>
      <c r="H6218" s="835">
        <f t="shared" si="274"/>
        <v>31</v>
      </c>
      <c r="AF6218" s="831" t="s">
        <v>6877</v>
      </c>
      <c r="AG6218" s="831" t="s">
        <v>2674</v>
      </c>
      <c r="AH6218" s="831" t="s">
        <v>581</v>
      </c>
      <c r="AI6218" s="831">
        <v>0</v>
      </c>
      <c r="AJ6218" s="835">
        <v>40543</v>
      </c>
      <c r="AK6218" s="831">
        <v>0</v>
      </c>
    </row>
    <row r="6219" spans="2:37">
      <c r="B6219" s="834" t="str">
        <f t="shared" si="273"/>
        <v>|||</v>
      </c>
      <c r="H6219" s="835">
        <f t="shared" si="274"/>
        <v>31</v>
      </c>
      <c r="AF6219" s="831" t="s">
        <v>6878</v>
      </c>
      <c r="AG6219" s="831" t="s">
        <v>2674</v>
      </c>
      <c r="AH6219" s="831" t="s">
        <v>105</v>
      </c>
      <c r="AI6219" s="831">
        <v>0</v>
      </c>
      <c r="AJ6219" s="835">
        <v>40543</v>
      </c>
      <c r="AK6219" s="831">
        <v>153692000</v>
      </c>
    </row>
    <row r="6220" spans="2:37">
      <c r="B6220" s="834" t="str">
        <f t="shared" si="273"/>
        <v>|||</v>
      </c>
      <c r="H6220" s="835">
        <f t="shared" si="274"/>
        <v>31</v>
      </c>
      <c r="AF6220" s="831" t="s">
        <v>6879</v>
      </c>
      <c r="AG6220" s="831" t="s">
        <v>2674</v>
      </c>
      <c r="AH6220" s="831" t="s">
        <v>3049</v>
      </c>
      <c r="AI6220" s="831">
        <v>0</v>
      </c>
      <c r="AJ6220" s="835">
        <v>40543</v>
      </c>
      <c r="AK6220" s="831">
        <v>280363000</v>
      </c>
    </row>
    <row r="6221" spans="2:37">
      <c r="B6221" s="834" t="str">
        <f t="shared" si="273"/>
        <v>|||</v>
      </c>
      <c r="H6221" s="835">
        <f t="shared" si="274"/>
        <v>31</v>
      </c>
      <c r="AF6221" s="831" t="s">
        <v>6880</v>
      </c>
      <c r="AG6221" s="831" t="s">
        <v>2674</v>
      </c>
      <c r="AH6221" s="831" t="s">
        <v>103</v>
      </c>
      <c r="AI6221" s="831">
        <v>0</v>
      </c>
      <c r="AJ6221" s="835">
        <v>40543</v>
      </c>
      <c r="AK6221" s="831">
        <v>126671000</v>
      </c>
    </row>
    <row r="6222" spans="2:37">
      <c r="B6222" s="834" t="str">
        <f t="shared" si="273"/>
        <v>|||</v>
      </c>
      <c r="H6222" s="835">
        <f t="shared" si="274"/>
        <v>31</v>
      </c>
      <c r="AF6222" s="831" t="s">
        <v>6881</v>
      </c>
      <c r="AG6222" s="831" t="s">
        <v>2674</v>
      </c>
      <c r="AH6222" s="831" t="s">
        <v>182</v>
      </c>
      <c r="AI6222" s="831">
        <v>0</v>
      </c>
      <c r="AJ6222" s="835">
        <v>40543</v>
      </c>
      <c r="AK6222" s="831">
        <v>35654000</v>
      </c>
    </row>
    <row r="6223" spans="2:37">
      <c r="B6223" s="834" t="str">
        <f t="shared" si="273"/>
        <v>|||</v>
      </c>
      <c r="H6223" s="835">
        <f t="shared" si="274"/>
        <v>31</v>
      </c>
      <c r="AF6223" s="831" t="s">
        <v>6882</v>
      </c>
      <c r="AG6223" s="831" t="s">
        <v>2674</v>
      </c>
      <c r="AH6223" s="831" t="s">
        <v>6600</v>
      </c>
      <c r="AI6223" s="831">
        <v>0</v>
      </c>
      <c r="AJ6223" s="835">
        <v>40543</v>
      </c>
      <c r="AK6223" s="831">
        <v>0</v>
      </c>
    </row>
    <row r="6224" spans="2:37">
      <c r="B6224" s="834" t="str">
        <f t="shared" si="273"/>
        <v>|||</v>
      </c>
      <c r="H6224" s="835">
        <f t="shared" si="274"/>
        <v>31</v>
      </c>
      <c r="AF6224" s="831" t="s">
        <v>6883</v>
      </c>
      <c r="AG6224" s="831" t="s">
        <v>2674</v>
      </c>
      <c r="AH6224" s="831" t="s">
        <v>6602</v>
      </c>
      <c r="AI6224" s="831">
        <v>0</v>
      </c>
      <c r="AJ6224" s="835">
        <v>40543</v>
      </c>
      <c r="AK6224" s="831">
        <v>26170000</v>
      </c>
    </row>
    <row r="6225" spans="2:37">
      <c r="B6225" s="834" t="str">
        <f t="shared" si="273"/>
        <v>|||</v>
      </c>
      <c r="H6225" s="835">
        <f t="shared" si="274"/>
        <v>31</v>
      </c>
      <c r="AF6225" s="831" t="s">
        <v>6884</v>
      </c>
      <c r="AG6225" s="831" t="s">
        <v>2674</v>
      </c>
      <c r="AH6225" s="831" t="s">
        <v>650</v>
      </c>
      <c r="AI6225" s="831">
        <v>0</v>
      </c>
      <c r="AJ6225" s="835">
        <v>40543</v>
      </c>
      <c r="AK6225" s="831">
        <v>0</v>
      </c>
    </row>
    <row r="6226" spans="2:37">
      <c r="B6226" s="834" t="str">
        <f t="shared" si="273"/>
        <v>|||</v>
      </c>
      <c r="H6226" s="835">
        <f t="shared" si="274"/>
        <v>31</v>
      </c>
      <c r="AF6226" s="831" t="s">
        <v>6885</v>
      </c>
      <c r="AG6226" s="831" t="s">
        <v>2674</v>
      </c>
      <c r="AH6226" s="831" t="s">
        <v>655</v>
      </c>
      <c r="AI6226" s="831">
        <v>0</v>
      </c>
      <c r="AJ6226" s="835">
        <v>40543</v>
      </c>
      <c r="AK6226" s="831">
        <v>1816000</v>
      </c>
    </row>
    <row r="6227" spans="2:37">
      <c r="B6227" s="834" t="str">
        <f t="shared" si="273"/>
        <v>|||</v>
      </c>
      <c r="H6227" s="835">
        <f t="shared" si="274"/>
        <v>31</v>
      </c>
      <c r="AF6227" s="831" t="s">
        <v>6886</v>
      </c>
      <c r="AG6227" s="831" t="s">
        <v>130</v>
      </c>
      <c r="AH6227" s="831" t="s">
        <v>145</v>
      </c>
      <c r="AI6227" s="831">
        <v>0</v>
      </c>
      <c r="AJ6227" s="835">
        <v>41305</v>
      </c>
      <c r="AK6227" s="831">
        <v>35644518</v>
      </c>
    </row>
    <row r="6228" spans="2:37">
      <c r="B6228" s="834" t="str">
        <f t="shared" si="273"/>
        <v>|||</v>
      </c>
      <c r="H6228" s="835">
        <f t="shared" si="274"/>
        <v>31</v>
      </c>
      <c r="AF6228" s="831" t="s">
        <v>6887</v>
      </c>
      <c r="AG6228" s="831" t="s">
        <v>130</v>
      </c>
      <c r="AH6228" s="831" t="s">
        <v>149</v>
      </c>
      <c r="AI6228" s="831">
        <v>0</v>
      </c>
      <c r="AJ6228" s="835">
        <v>41305</v>
      </c>
      <c r="AK6228" s="831">
        <v>0</v>
      </c>
    </row>
    <row r="6229" spans="2:37">
      <c r="B6229" s="834" t="str">
        <f t="shared" si="273"/>
        <v>|||</v>
      </c>
      <c r="H6229" s="835">
        <f t="shared" si="274"/>
        <v>31</v>
      </c>
      <c r="AF6229" s="831" t="s">
        <v>6888</v>
      </c>
      <c r="AG6229" s="831" t="s">
        <v>130</v>
      </c>
      <c r="AH6229" s="831" t="s">
        <v>153</v>
      </c>
      <c r="AI6229" s="831">
        <v>0</v>
      </c>
      <c r="AJ6229" s="835">
        <v>41305</v>
      </c>
      <c r="AK6229" s="831">
        <v>13067330</v>
      </c>
    </row>
    <row r="6230" spans="2:37">
      <c r="B6230" s="834" t="str">
        <f t="shared" si="273"/>
        <v>|||</v>
      </c>
      <c r="H6230" s="835">
        <f t="shared" si="274"/>
        <v>31</v>
      </c>
      <c r="AF6230" s="831" t="s">
        <v>6889</v>
      </c>
      <c r="AG6230" s="831" t="s">
        <v>130</v>
      </c>
      <c r="AH6230" s="831" t="s">
        <v>156</v>
      </c>
      <c r="AI6230" s="831">
        <v>0</v>
      </c>
      <c r="AJ6230" s="835">
        <v>41305</v>
      </c>
      <c r="AK6230" s="831">
        <v>0</v>
      </c>
    </row>
    <row r="6231" spans="2:37">
      <c r="B6231" s="834" t="str">
        <f t="shared" si="273"/>
        <v>|||</v>
      </c>
      <c r="H6231" s="835">
        <f t="shared" si="274"/>
        <v>31</v>
      </c>
      <c r="AF6231" s="831" t="s">
        <v>6890</v>
      </c>
      <c r="AG6231" s="831" t="s">
        <v>130</v>
      </c>
      <c r="AH6231" s="831" t="s">
        <v>162</v>
      </c>
      <c r="AI6231" s="831">
        <v>0</v>
      </c>
      <c r="AJ6231" s="835">
        <v>41305</v>
      </c>
      <c r="AK6231" s="831">
        <v>421051783</v>
      </c>
    </row>
    <row r="6232" spans="2:37">
      <c r="B6232" s="834" t="str">
        <f t="shared" si="273"/>
        <v>|||</v>
      </c>
      <c r="H6232" s="835">
        <f t="shared" si="274"/>
        <v>31</v>
      </c>
      <c r="AF6232" s="831" t="s">
        <v>6891</v>
      </c>
      <c r="AG6232" s="831" t="s">
        <v>130</v>
      </c>
      <c r="AH6232" s="831" t="s">
        <v>165</v>
      </c>
      <c r="AI6232" s="831">
        <v>0</v>
      </c>
      <c r="AJ6232" s="835">
        <v>41305</v>
      </c>
      <c r="AK6232" s="831">
        <v>-10696839</v>
      </c>
    </row>
    <row r="6233" spans="2:37">
      <c r="B6233" s="834" t="str">
        <f t="shared" si="273"/>
        <v>|||</v>
      </c>
      <c r="H6233" s="835">
        <f t="shared" si="274"/>
        <v>31</v>
      </c>
      <c r="AF6233" s="831" t="s">
        <v>6892</v>
      </c>
      <c r="AG6233" s="831" t="s">
        <v>130</v>
      </c>
      <c r="AH6233" s="831" t="s">
        <v>171</v>
      </c>
      <c r="AI6233" s="831">
        <v>0</v>
      </c>
      <c r="AJ6233" s="835">
        <v>41305</v>
      </c>
      <c r="AK6233" s="831">
        <v>2621463</v>
      </c>
    </row>
    <row r="6234" spans="2:37">
      <c r="B6234" s="834" t="str">
        <f t="shared" si="273"/>
        <v>|||</v>
      </c>
      <c r="H6234" s="835">
        <f t="shared" si="274"/>
        <v>31</v>
      </c>
      <c r="AF6234" s="831" t="s">
        <v>6893</v>
      </c>
      <c r="AG6234" s="831" t="s">
        <v>130</v>
      </c>
      <c r="AH6234" s="831" t="s">
        <v>174</v>
      </c>
      <c r="AI6234" s="831">
        <v>0</v>
      </c>
      <c r="AJ6234" s="835">
        <v>41305</v>
      </c>
      <c r="AK6234" s="831">
        <v>0</v>
      </c>
    </row>
    <row r="6235" spans="2:37">
      <c r="B6235" s="834" t="str">
        <f t="shared" si="273"/>
        <v>|||</v>
      </c>
      <c r="H6235" s="835">
        <f t="shared" si="274"/>
        <v>31</v>
      </c>
      <c r="AF6235" s="831" t="s">
        <v>6894</v>
      </c>
      <c r="AG6235" s="831" t="s">
        <v>130</v>
      </c>
      <c r="AH6235" s="831" t="s">
        <v>181</v>
      </c>
      <c r="AI6235" s="831">
        <v>0</v>
      </c>
      <c r="AJ6235" s="835">
        <v>41305</v>
      </c>
      <c r="AK6235" s="831">
        <v>48847187</v>
      </c>
    </row>
    <row r="6236" spans="2:37">
      <c r="B6236" s="834" t="str">
        <f t="shared" si="273"/>
        <v>|||</v>
      </c>
      <c r="H6236" s="835">
        <f t="shared" si="274"/>
        <v>31</v>
      </c>
      <c r="AF6236" s="831" t="s">
        <v>6895</v>
      </c>
      <c r="AG6236" s="831" t="s">
        <v>130</v>
      </c>
      <c r="AH6236" s="831" t="s">
        <v>184</v>
      </c>
      <c r="AI6236" s="831">
        <v>0</v>
      </c>
      <c r="AJ6236" s="835">
        <v>41305</v>
      </c>
      <c r="AK6236" s="831">
        <v>-11795080</v>
      </c>
    </row>
    <row r="6237" spans="2:37">
      <c r="B6237" s="834" t="str">
        <f t="shared" si="273"/>
        <v>|||</v>
      </c>
      <c r="H6237" s="835">
        <f t="shared" si="274"/>
        <v>31</v>
      </c>
      <c r="AF6237" s="831" t="s">
        <v>6896</v>
      </c>
      <c r="AG6237" s="831" t="s">
        <v>130</v>
      </c>
      <c r="AH6237" s="831" t="s">
        <v>187</v>
      </c>
      <c r="AI6237" s="831">
        <v>0</v>
      </c>
      <c r="AJ6237" s="835">
        <v>41305</v>
      </c>
      <c r="AK6237" s="831">
        <v>0</v>
      </c>
    </row>
    <row r="6238" spans="2:37">
      <c r="B6238" s="834" t="str">
        <f t="shared" si="273"/>
        <v>|||</v>
      </c>
      <c r="H6238" s="835">
        <f t="shared" si="274"/>
        <v>31</v>
      </c>
      <c r="AF6238" s="831" t="s">
        <v>6897</v>
      </c>
      <c r="AG6238" s="831" t="s">
        <v>130</v>
      </c>
      <c r="AH6238" s="831" t="s">
        <v>196</v>
      </c>
      <c r="AI6238" s="831">
        <v>0</v>
      </c>
      <c r="AJ6238" s="835">
        <v>41305</v>
      </c>
      <c r="AK6238" s="831">
        <v>7649060</v>
      </c>
    </row>
    <row r="6239" spans="2:37">
      <c r="B6239" s="834" t="str">
        <f t="shared" si="273"/>
        <v>|||</v>
      </c>
      <c r="H6239" s="835">
        <f t="shared" si="274"/>
        <v>31</v>
      </c>
      <c r="AF6239" s="831" t="s">
        <v>6898</v>
      </c>
      <c r="AG6239" s="831" t="s">
        <v>130</v>
      </c>
      <c r="AH6239" s="831" t="s">
        <v>197</v>
      </c>
      <c r="AI6239" s="831">
        <v>0</v>
      </c>
      <c r="AJ6239" s="835">
        <v>41305</v>
      </c>
      <c r="AK6239" s="831">
        <v>0</v>
      </c>
    </row>
    <row r="6240" spans="2:37">
      <c r="B6240" s="834" t="str">
        <f t="shared" si="273"/>
        <v>|||</v>
      </c>
      <c r="H6240" s="835">
        <f t="shared" si="274"/>
        <v>31</v>
      </c>
      <c r="AF6240" s="831" t="s">
        <v>6899</v>
      </c>
      <c r="AG6240" s="831" t="s">
        <v>130</v>
      </c>
      <c r="AH6240" s="831" t="s">
        <v>199</v>
      </c>
      <c r="AI6240" s="831">
        <v>0</v>
      </c>
      <c r="AJ6240" s="835">
        <v>41305</v>
      </c>
      <c r="AK6240" s="831">
        <v>0</v>
      </c>
    </row>
    <row r="6241" spans="2:37">
      <c r="B6241" s="834" t="str">
        <f t="shared" si="273"/>
        <v>|||</v>
      </c>
      <c r="H6241" s="835">
        <f t="shared" si="274"/>
        <v>31</v>
      </c>
      <c r="AF6241" s="831" t="s">
        <v>6900</v>
      </c>
      <c r="AG6241" s="831" t="s">
        <v>130</v>
      </c>
      <c r="AH6241" s="831" t="s">
        <v>201</v>
      </c>
      <c r="AI6241" s="831">
        <v>0</v>
      </c>
      <c r="AJ6241" s="835">
        <v>41305</v>
      </c>
      <c r="AK6241" s="831">
        <v>5098338</v>
      </c>
    </row>
    <row r="6242" spans="2:37">
      <c r="B6242" s="834" t="str">
        <f t="shared" si="273"/>
        <v>|||</v>
      </c>
      <c r="H6242" s="835">
        <f t="shared" si="274"/>
        <v>31</v>
      </c>
      <c r="AF6242" s="831" t="s">
        <v>6901</v>
      </c>
      <c r="AG6242" s="831" t="s">
        <v>130</v>
      </c>
      <c r="AH6242" s="831" t="s">
        <v>209</v>
      </c>
      <c r="AI6242" s="831">
        <v>0</v>
      </c>
      <c r="AJ6242" s="835">
        <v>41305</v>
      </c>
      <c r="AK6242" s="831">
        <v>44517045</v>
      </c>
    </row>
    <row r="6243" spans="2:37">
      <c r="B6243" s="834" t="str">
        <f t="shared" si="273"/>
        <v>|||</v>
      </c>
      <c r="H6243" s="835">
        <f t="shared" si="274"/>
        <v>31</v>
      </c>
      <c r="AF6243" s="831" t="s">
        <v>6902</v>
      </c>
      <c r="AG6243" s="831" t="s">
        <v>130</v>
      </c>
      <c r="AH6243" s="831" t="s">
        <v>211</v>
      </c>
      <c r="AI6243" s="831">
        <v>0</v>
      </c>
      <c r="AJ6243" s="835">
        <v>41305</v>
      </c>
      <c r="AK6243" s="831">
        <v>126358007</v>
      </c>
    </row>
    <row r="6244" spans="2:37">
      <c r="B6244" s="834" t="str">
        <f t="shared" si="273"/>
        <v>|||</v>
      </c>
      <c r="H6244" s="835">
        <f t="shared" si="274"/>
        <v>31</v>
      </c>
      <c r="AF6244" s="831" t="s">
        <v>6903</v>
      </c>
      <c r="AG6244" s="831" t="s">
        <v>130</v>
      </c>
      <c r="AH6244" s="831" t="s">
        <v>212</v>
      </c>
      <c r="AI6244" s="831">
        <v>0</v>
      </c>
      <c r="AJ6244" s="835">
        <v>41305</v>
      </c>
      <c r="AK6244" s="831">
        <v>5606238</v>
      </c>
    </row>
    <row r="6245" spans="2:37">
      <c r="B6245" s="834" t="str">
        <f t="shared" si="273"/>
        <v>|||</v>
      </c>
      <c r="H6245" s="835">
        <f t="shared" si="274"/>
        <v>31</v>
      </c>
      <c r="AF6245" s="831" t="s">
        <v>6904</v>
      </c>
      <c r="AG6245" s="831" t="s">
        <v>130</v>
      </c>
      <c r="AH6245" s="831" t="s">
        <v>216</v>
      </c>
      <c r="AI6245" s="831">
        <v>0</v>
      </c>
      <c r="AJ6245" s="835">
        <v>41305</v>
      </c>
      <c r="AK6245" s="831">
        <v>0</v>
      </c>
    </row>
    <row r="6246" spans="2:37">
      <c r="B6246" s="834" t="str">
        <f t="shared" si="273"/>
        <v>|||</v>
      </c>
      <c r="H6246" s="835">
        <f t="shared" si="274"/>
        <v>31</v>
      </c>
      <c r="AF6246" s="831" t="s">
        <v>6905</v>
      </c>
      <c r="AG6246" s="831" t="s">
        <v>130</v>
      </c>
      <c r="AH6246" s="831" t="s">
        <v>218</v>
      </c>
      <c r="AI6246" s="831">
        <v>0</v>
      </c>
      <c r="AJ6246" s="835">
        <v>41305</v>
      </c>
      <c r="AK6246" s="831">
        <v>53228330</v>
      </c>
    </row>
    <row r="6247" spans="2:37">
      <c r="B6247" s="834" t="str">
        <f t="shared" si="273"/>
        <v>|||</v>
      </c>
      <c r="H6247" s="835">
        <f t="shared" si="274"/>
        <v>31</v>
      </c>
      <c r="AF6247" s="831" t="s">
        <v>6906</v>
      </c>
      <c r="AG6247" s="831" t="s">
        <v>130</v>
      </c>
      <c r="AH6247" s="831" t="s">
        <v>220</v>
      </c>
      <c r="AI6247" s="831">
        <v>0</v>
      </c>
      <c r="AJ6247" s="835">
        <v>41305</v>
      </c>
      <c r="AK6247" s="831">
        <v>0</v>
      </c>
    </row>
    <row r="6248" spans="2:37">
      <c r="B6248" s="834" t="str">
        <f t="shared" si="273"/>
        <v>|||</v>
      </c>
      <c r="H6248" s="835">
        <f t="shared" si="274"/>
        <v>31</v>
      </c>
      <c r="AF6248" s="831" t="s">
        <v>6907</v>
      </c>
      <c r="AG6248" s="831" t="s">
        <v>130</v>
      </c>
      <c r="AH6248" s="831" t="s">
        <v>221</v>
      </c>
      <c r="AI6248" s="831">
        <v>0</v>
      </c>
      <c r="AJ6248" s="835">
        <v>41305</v>
      </c>
      <c r="AK6248" s="831">
        <v>8418675</v>
      </c>
    </row>
    <row r="6249" spans="2:37">
      <c r="B6249" s="834" t="str">
        <f t="shared" si="273"/>
        <v>|||</v>
      </c>
      <c r="H6249" s="835">
        <f t="shared" si="274"/>
        <v>31</v>
      </c>
      <c r="AF6249" s="831" t="s">
        <v>6908</v>
      </c>
      <c r="AG6249" s="831" t="s">
        <v>130</v>
      </c>
      <c r="AH6249" s="831" t="s">
        <v>228</v>
      </c>
      <c r="AI6249" s="831">
        <v>0</v>
      </c>
      <c r="AJ6249" s="835">
        <v>41305</v>
      </c>
      <c r="AK6249" s="831">
        <v>0</v>
      </c>
    </row>
    <row r="6250" spans="2:37">
      <c r="B6250" s="834" t="str">
        <f t="shared" si="273"/>
        <v>|||</v>
      </c>
      <c r="H6250" s="835">
        <f t="shared" si="274"/>
        <v>31</v>
      </c>
      <c r="AF6250" s="831" t="s">
        <v>6909</v>
      </c>
      <c r="AG6250" s="831" t="s">
        <v>130</v>
      </c>
      <c r="AH6250" s="831" t="s">
        <v>230</v>
      </c>
      <c r="AI6250" s="831">
        <v>0</v>
      </c>
      <c r="AJ6250" s="835">
        <v>41305</v>
      </c>
      <c r="AK6250" s="831">
        <v>0</v>
      </c>
    </row>
    <row r="6251" spans="2:37">
      <c r="B6251" s="834" t="str">
        <f t="shared" si="273"/>
        <v>|||</v>
      </c>
      <c r="H6251" s="835">
        <f t="shared" si="274"/>
        <v>31</v>
      </c>
      <c r="AF6251" s="831" t="s">
        <v>6910</v>
      </c>
      <c r="AG6251" s="831" t="s">
        <v>130</v>
      </c>
      <c r="AH6251" s="831" t="s">
        <v>231</v>
      </c>
      <c r="AI6251" s="831">
        <v>0</v>
      </c>
      <c r="AJ6251" s="835">
        <v>41305</v>
      </c>
      <c r="AK6251" s="831">
        <v>0</v>
      </c>
    </row>
    <row r="6252" spans="2:37">
      <c r="B6252" s="834" t="str">
        <f t="shared" si="273"/>
        <v>|||</v>
      </c>
      <c r="H6252" s="835">
        <f t="shared" si="274"/>
        <v>31</v>
      </c>
      <c r="AF6252" s="831" t="s">
        <v>6911</v>
      </c>
      <c r="AG6252" s="831" t="s">
        <v>130</v>
      </c>
      <c r="AH6252" s="831" t="s">
        <v>232</v>
      </c>
      <c r="AI6252" s="831">
        <v>0</v>
      </c>
      <c r="AJ6252" s="835">
        <v>41305</v>
      </c>
      <c r="AK6252" s="831">
        <v>168467149</v>
      </c>
    </row>
    <row r="6253" spans="2:37">
      <c r="B6253" s="834" t="str">
        <f t="shared" si="273"/>
        <v>|||</v>
      </c>
      <c r="H6253" s="835">
        <f t="shared" si="274"/>
        <v>31</v>
      </c>
      <c r="AF6253" s="831" t="s">
        <v>6912</v>
      </c>
      <c r="AG6253" s="831" t="s">
        <v>130</v>
      </c>
      <c r="AH6253" s="831" t="s">
        <v>116</v>
      </c>
      <c r="AI6253" s="831">
        <v>0</v>
      </c>
      <c r="AJ6253" s="835">
        <v>41305</v>
      </c>
      <c r="AK6253" s="831">
        <v>8009132</v>
      </c>
    </row>
    <row r="6254" spans="2:37">
      <c r="B6254" s="834" t="str">
        <f t="shared" si="273"/>
        <v>|||</v>
      </c>
      <c r="H6254" s="835">
        <f t="shared" si="274"/>
        <v>31</v>
      </c>
      <c r="AF6254" s="831" t="s">
        <v>6913</v>
      </c>
      <c r="AG6254" s="831" t="s">
        <v>130</v>
      </c>
      <c r="AH6254" s="831" t="s">
        <v>234</v>
      </c>
      <c r="AI6254" s="831">
        <v>0</v>
      </c>
      <c r="AJ6254" s="835">
        <v>41305</v>
      </c>
      <c r="AK6254" s="831">
        <v>0</v>
      </c>
    </row>
    <row r="6255" spans="2:37">
      <c r="B6255" s="834" t="str">
        <f t="shared" si="273"/>
        <v>|||</v>
      </c>
      <c r="H6255" s="835">
        <f t="shared" si="274"/>
        <v>31</v>
      </c>
      <c r="AF6255" s="831" t="s">
        <v>6914</v>
      </c>
      <c r="AG6255" s="831" t="s">
        <v>130</v>
      </c>
      <c r="AH6255" s="831" t="s">
        <v>235</v>
      </c>
      <c r="AI6255" s="831">
        <v>0</v>
      </c>
      <c r="AJ6255" s="835">
        <v>41305</v>
      </c>
      <c r="AK6255" s="831">
        <v>0</v>
      </c>
    </row>
    <row r="6256" spans="2:37">
      <c r="B6256" s="834" t="str">
        <f t="shared" si="273"/>
        <v>|||</v>
      </c>
      <c r="H6256" s="835">
        <f t="shared" si="274"/>
        <v>31</v>
      </c>
      <c r="AF6256" s="831" t="s">
        <v>6915</v>
      </c>
      <c r="AG6256" s="831" t="s">
        <v>130</v>
      </c>
      <c r="AH6256" s="831" t="s">
        <v>238</v>
      </c>
      <c r="AI6256" s="831">
        <v>0</v>
      </c>
      <c r="AJ6256" s="835">
        <v>41305</v>
      </c>
      <c r="AK6256" s="831">
        <v>0</v>
      </c>
    </row>
    <row r="6257" spans="2:37">
      <c r="B6257" s="834" t="str">
        <f t="shared" si="273"/>
        <v>|||</v>
      </c>
      <c r="H6257" s="835">
        <f t="shared" si="274"/>
        <v>31</v>
      </c>
      <c r="AF6257" s="831" t="s">
        <v>6916</v>
      </c>
      <c r="AG6257" s="831" t="s">
        <v>130</v>
      </c>
      <c r="AH6257" s="831" t="s">
        <v>240</v>
      </c>
      <c r="AI6257" s="831">
        <v>0</v>
      </c>
      <c r="AJ6257" s="835">
        <v>41305</v>
      </c>
      <c r="AK6257" s="831">
        <v>85000000</v>
      </c>
    </row>
    <row r="6258" spans="2:37">
      <c r="B6258" s="834" t="str">
        <f t="shared" si="273"/>
        <v>|||</v>
      </c>
      <c r="H6258" s="835">
        <f t="shared" si="274"/>
        <v>31</v>
      </c>
      <c r="AF6258" s="831" t="s">
        <v>6917</v>
      </c>
      <c r="AG6258" s="831" t="s">
        <v>130</v>
      </c>
      <c r="AH6258" s="831" t="s">
        <v>241</v>
      </c>
      <c r="AI6258" s="831">
        <v>0</v>
      </c>
      <c r="AJ6258" s="835">
        <v>41305</v>
      </c>
      <c r="AK6258" s="831">
        <v>0</v>
      </c>
    </row>
    <row r="6259" spans="2:37">
      <c r="B6259" s="834" t="str">
        <f t="shared" si="273"/>
        <v>|||</v>
      </c>
      <c r="H6259" s="835">
        <f t="shared" si="274"/>
        <v>31</v>
      </c>
      <c r="AF6259" s="831" t="s">
        <v>6918</v>
      </c>
      <c r="AG6259" s="831" t="s">
        <v>130</v>
      </c>
      <c r="AH6259" s="831" t="s">
        <v>242</v>
      </c>
      <c r="AI6259" s="831">
        <v>0</v>
      </c>
      <c r="AJ6259" s="835">
        <v>41305</v>
      </c>
      <c r="AK6259" s="831">
        <v>0</v>
      </c>
    </row>
    <row r="6260" spans="2:37">
      <c r="B6260" s="834" t="str">
        <f t="shared" si="273"/>
        <v>|||</v>
      </c>
      <c r="H6260" s="835">
        <f t="shared" si="274"/>
        <v>31</v>
      </c>
      <c r="AF6260" s="831" t="s">
        <v>6919</v>
      </c>
      <c r="AG6260" s="831" t="s">
        <v>130</v>
      </c>
      <c r="AH6260" s="831" t="s">
        <v>244</v>
      </c>
      <c r="AI6260" s="831">
        <v>0</v>
      </c>
      <c r="AJ6260" s="835">
        <v>41305</v>
      </c>
      <c r="AK6260" s="831">
        <v>9763223</v>
      </c>
    </row>
    <row r="6261" spans="2:37">
      <c r="B6261" s="834" t="str">
        <f t="shared" si="273"/>
        <v>|||</v>
      </c>
      <c r="H6261" s="835">
        <f t="shared" si="274"/>
        <v>31</v>
      </c>
      <c r="AF6261" s="831" t="s">
        <v>6920</v>
      </c>
      <c r="AG6261" s="831" t="s">
        <v>130</v>
      </c>
      <c r="AH6261" s="831" t="s">
        <v>245</v>
      </c>
      <c r="AI6261" s="831">
        <v>0</v>
      </c>
      <c r="AJ6261" s="835">
        <v>41305</v>
      </c>
      <c r="AK6261" s="831">
        <v>2119961</v>
      </c>
    </row>
    <row r="6262" spans="2:37">
      <c r="B6262" s="834" t="str">
        <f t="shared" si="273"/>
        <v>|||</v>
      </c>
      <c r="H6262" s="835">
        <f t="shared" si="274"/>
        <v>31</v>
      </c>
      <c r="AF6262" s="831" t="s">
        <v>6921</v>
      </c>
      <c r="AG6262" s="831" t="s">
        <v>130</v>
      </c>
      <c r="AH6262" s="831" t="s">
        <v>145</v>
      </c>
      <c r="AI6262" s="831">
        <v>0</v>
      </c>
      <c r="AJ6262" s="835">
        <v>41333</v>
      </c>
      <c r="AK6262" s="831">
        <v>35053837</v>
      </c>
    </row>
    <row r="6263" spans="2:37">
      <c r="B6263" s="834" t="str">
        <f t="shared" si="273"/>
        <v>|||</v>
      </c>
      <c r="H6263" s="835">
        <f t="shared" si="274"/>
        <v>31</v>
      </c>
      <c r="AF6263" s="831" t="s">
        <v>6922</v>
      </c>
      <c r="AG6263" s="831" t="s">
        <v>130</v>
      </c>
      <c r="AH6263" s="831" t="s">
        <v>149</v>
      </c>
      <c r="AI6263" s="831">
        <v>0</v>
      </c>
      <c r="AJ6263" s="835">
        <v>41333</v>
      </c>
      <c r="AK6263" s="831">
        <v>0</v>
      </c>
    </row>
    <row r="6264" spans="2:37">
      <c r="B6264" s="834" t="str">
        <f t="shared" si="273"/>
        <v>|||</v>
      </c>
      <c r="H6264" s="835">
        <f t="shared" si="274"/>
        <v>31</v>
      </c>
      <c r="AF6264" s="831" t="s">
        <v>6923</v>
      </c>
      <c r="AG6264" s="831" t="s">
        <v>130</v>
      </c>
      <c r="AH6264" s="831" t="s">
        <v>153</v>
      </c>
      <c r="AI6264" s="831">
        <v>0</v>
      </c>
      <c r="AJ6264" s="835">
        <v>41333</v>
      </c>
      <c r="AK6264" s="831">
        <v>8541492</v>
      </c>
    </row>
    <row r="6265" spans="2:37">
      <c r="B6265" s="834" t="str">
        <f t="shared" si="273"/>
        <v>|||</v>
      </c>
      <c r="H6265" s="835">
        <f t="shared" si="274"/>
        <v>31</v>
      </c>
      <c r="AF6265" s="831" t="s">
        <v>6924</v>
      </c>
      <c r="AG6265" s="831" t="s">
        <v>130</v>
      </c>
      <c r="AH6265" s="831" t="s">
        <v>156</v>
      </c>
      <c r="AI6265" s="831">
        <v>0</v>
      </c>
      <c r="AJ6265" s="835">
        <v>41333</v>
      </c>
      <c r="AK6265" s="831">
        <v>0</v>
      </c>
    </row>
    <row r="6266" spans="2:37">
      <c r="B6266" s="834" t="str">
        <f t="shared" si="273"/>
        <v>|||</v>
      </c>
      <c r="H6266" s="835">
        <f t="shared" si="274"/>
        <v>31</v>
      </c>
      <c r="AF6266" s="831" t="s">
        <v>6925</v>
      </c>
      <c r="AG6266" s="831" t="s">
        <v>130</v>
      </c>
      <c r="AH6266" s="831" t="s">
        <v>162</v>
      </c>
      <c r="AI6266" s="831">
        <v>0</v>
      </c>
      <c r="AJ6266" s="835">
        <v>41333</v>
      </c>
      <c r="AK6266" s="831">
        <v>436810603</v>
      </c>
    </row>
    <row r="6267" spans="2:37">
      <c r="B6267" s="834" t="str">
        <f t="shared" si="273"/>
        <v>|||</v>
      </c>
      <c r="H6267" s="835">
        <f t="shared" si="274"/>
        <v>31</v>
      </c>
      <c r="AF6267" s="831" t="s">
        <v>6926</v>
      </c>
      <c r="AG6267" s="831" t="s">
        <v>130</v>
      </c>
      <c r="AH6267" s="831" t="s">
        <v>165</v>
      </c>
      <c r="AI6267" s="831">
        <v>0</v>
      </c>
      <c r="AJ6267" s="835">
        <v>41333</v>
      </c>
      <c r="AK6267" s="831">
        <v>-11285954</v>
      </c>
    </row>
    <row r="6268" spans="2:37">
      <c r="B6268" s="834" t="str">
        <f t="shared" si="273"/>
        <v>|||</v>
      </c>
      <c r="H6268" s="835">
        <f t="shared" si="274"/>
        <v>31</v>
      </c>
      <c r="AF6268" s="831" t="s">
        <v>6927</v>
      </c>
      <c r="AG6268" s="831" t="s">
        <v>130</v>
      </c>
      <c r="AH6268" s="831" t="s">
        <v>171</v>
      </c>
      <c r="AI6268" s="831">
        <v>0</v>
      </c>
      <c r="AJ6268" s="835">
        <v>41333</v>
      </c>
      <c r="AK6268" s="831">
        <v>2147808</v>
      </c>
    </row>
    <row r="6269" spans="2:37">
      <c r="B6269" s="834" t="str">
        <f t="shared" si="273"/>
        <v>|||</v>
      </c>
      <c r="H6269" s="835">
        <f t="shared" si="274"/>
        <v>31</v>
      </c>
      <c r="AF6269" s="831" t="s">
        <v>6928</v>
      </c>
      <c r="AG6269" s="831" t="s">
        <v>130</v>
      </c>
      <c r="AH6269" s="831" t="s">
        <v>174</v>
      </c>
      <c r="AI6269" s="831">
        <v>0</v>
      </c>
      <c r="AJ6269" s="835">
        <v>41333</v>
      </c>
      <c r="AK6269" s="831">
        <v>0</v>
      </c>
    </row>
    <row r="6270" spans="2:37">
      <c r="B6270" s="834" t="str">
        <f t="shared" si="273"/>
        <v>|||</v>
      </c>
      <c r="H6270" s="835">
        <f t="shared" si="274"/>
        <v>31</v>
      </c>
      <c r="AF6270" s="831" t="s">
        <v>6929</v>
      </c>
      <c r="AG6270" s="831" t="s">
        <v>130</v>
      </c>
      <c r="AH6270" s="831" t="s">
        <v>181</v>
      </c>
      <c r="AI6270" s="831">
        <v>0</v>
      </c>
      <c r="AJ6270" s="835">
        <v>41333</v>
      </c>
      <c r="AK6270" s="831">
        <v>48900143</v>
      </c>
    </row>
    <row r="6271" spans="2:37">
      <c r="B6271" s="834" t="str">
        <f t="shared" si="273"/>
        <v>|||</v>
      </c>
      <c r="H6271" s="835">
        <f t="shared" si="274"/>
        <v>31</v>
      </c>
      <c r="AF6271" s="831" t="s">
        <v>6930</v>
      </c>
      <c r="AG6271" s="831" t="s">
        <v>130</v>
      </c>
      <c r="AH6271" s="831" t="s">
        <v>184</v>
      </c>
      <c r="AI6271" s="831">
        <v>0</v>
      </c>
      <c r="AJ6271" s="835">
        <v>41333</v>
      </c>
      <c r="AK6271" s="831">
        <v>-12175110</v>
      </c>
    </row>
    <row r="6272" spans="2:37">
      <c r="B6272" s="834" t="str">
        <f t="shared" si="273"/>
        <v>|||</v>
      </c>
      <c r="H6272" s="835">
        <f t="shared" si="274"/>
        <v>31</v>
      </c>
      <c r="AF6272" s="831" t="s">
        <v>6931</v>
      </c>
      <c r="AG6272" s="831" t="s">
        <v>130</v>
      </c>
      <c r="AH6272" s="831" t="s">
        <v>187</v>
      </c>
      <c r="AI6272" s="831">
        <v>0</v>
      </c>
      <c r="AJ6272" s="835">
        <v>41333</v>
      </c>
      <c r="AK6272" s="831">
        <v>0</v>
      </c>
    </row>
    <row r="6273" spans="2:37">
      <c r="B6273" s="834" t="str">
        <f t="shared" si="273"/>
        <v>|||</v>
      </c>
      <c r="H6273" s="835">
        <f t="shared" si="274"/>
        <v>31</v>
      </c>
      <c r="AF6273" s="831" t="s">
        <v>6932</v>
      </c>
      <c r="AG6273" s="831" t="s">
        <v>130</v>
      </c>
      <c r="AH6273" s="831" t="s">
        <v>196</v>
      </c>
      <c r="AI6273" s="831">
        <v>0</v>
      </c>
      <c r="AJ6273" s="835">
        <v>41333</v>
      </c>
      <c r="AK6273" s="831">
        <v>7963660</v>
      </c>
    </row>
    <row r="6274" spans="2:37">
      <c r="B6274" s="834" t="str">
        <f t="shared" si="273"/>
        <v>|||</v>
      </c>
      <c r="H6274" s="835">
        <f t="shared" si="274"/>
        <v>31</v>
      </c>
      <c r="AF6274" s="831" t="s">
        <v>6933</v>
      </c>
      <c r="AG6274" s="831" t="s">
        <v>130</v>
      </c>
      <c r="AH6274" s="831" t="s">
        <v>197</v>
      </c>
      <c r="AI6274" s="831">
        <v>0</v>
      </c>
      <c r="AJ6274" s="835">
        <v>41333</v>
      </c>
      <c r="AK6274" s="831">
        <v>0</v>
      </c>
    </row>
    <row r="6275" spans="2:37">
      <c r="B6275" s="834" t="str">
        <f t="shared" ref="B6275:B6338" si="275">C6275&amp;"|"&amp;D6275&amp;"|"&amp;E6275&amp;"|"&amp;F6275</f>
        <v>|||</v>
      </c>
      <c r="H6275" s="835">
        <f t="shared" si="274"/>
        <v>31</v>
      </c>
      <c r="AF6275" s="831" t="s">
        <v>6934</v>
      </c>
      <c r="AG6275" s="831" t="s">
        <v>130</v>
      </c>
      <c r="AH6275" s="831" t="s">
        <v>199</v>
      </c>
      <c r="AI6275" s="831">
        <v>0</v>
      </c>
      <c r="AJ6275" s="835">
        <v>41333</v>
      </c>
      <c r="AK6275" s="831">
        <v>0</v>
      </c>
    </row>
    <row r="6276" spans="2:37">
      <c r="B6276" s="834" t="str">
        <f t="shared" si="275"/>
        <v>|||</v>
      </c>
      <c r="H6276" s="835">
        <f t="shared" ref="H6276:H6339" si="276">EOMONTH(L6276,0)</f>
        <v>31</v>
      </c>
      <c r="AF6276" s="831" t="s">
        <v>6935</v>
      </c>
      <c r="AG6276" s="831" t="s">
        <v>130</v>
      </c>
      <c r="AH6276" s="831" t="s">
        <v>201</v>
      </c>
      <c r="AI6276" s="831">
        <v>0</v>
      </c>
      <c r="AJ6276" s="835">
        <v>41333</v>
      </c>
      <c r="AK6276" s="831">
        <v>6119697</v>
      </c>
    </row>
    <row r="6277" spans="2:37">
      <c r="B6277" s="834" t="str">
        <f t="shared" si="275"/>
        <v>|||</v>
      </c>
      <c r="H6277" s="835">
        <f t="shared" si="276"/>
        <v>31</v>
      </c>
      <c r="AF6277" s="831" t="s">
        <v>6936</v>
      </c>
      <c r="AG6277" s="831" t="s">
        <v>130</v>
      </c>
      <c r="AH6277" s="831" t="s">
        <v>209</v>
      </c>
      <c r="AI6277" s="831">
        <v>0</v>
      </c>
      <c r="AJ6277" s="835">
        <v>41333</v>
      </c>
      <c r="AK6277" s="831">
        <v>45891959</v>
      </c>
    </row>
    <row r="6278" spans="2:37">
      <c r="B6278" s="834" t="str">
        <f t="shared" si="275"/>
        <v>|||</v>
      </c>
      <c r="H6278" s="835">
        <f t="shared" si="276"/>
        <v>31</v>
      </c>
      <c r="AF6278" s="831" t="s">
        <v>6937</v>
      </c>
      <c r="AG6278" s="831" t="s">
        <v>130</v>
      </c>
      <c r="AH6278" s="831" t="s">
        <v>211</v>
      </c>
      <c r="AI6278" s="831">
        <v>0</v>
      </c>
      <c r="AJ6278" s="835">
        <v>41333</v>
      </c>
      <c r="AK6278" s="831">
        <v>130853810</v>
      </c>
    </row>
    <row r="6279" spans="2:37">
      <c r="B6279" s="834" t="str">
        <f t="shared" si="275"/>
        <v>|||</v>
      </c>
      <c r="H6279" s="835">
        <f t="shared" si="276"/>
        <v>31</v>
      </c>
      <c r="AF6279" s="831" t="s">
        <v>6938</v>
      </c>
      <c r="AG6279" s="831" t="s">
        <v>130</v>
      </c>
      <c r="AH6279" s="831" t="s">
        <v>212</v>
      </c>
      <c r="AI6279" s="831">
        <v>0</v>
      </c>
      <c r="AJ6279" s="835">
        <v>41333</v>
      </c>
      <c r="AK6279" s="831">
        <v>5822580</v>
      </c>
    </row>
    <row r="6280" spans="2:37">
      <c r="B6280" s="834" t="str">
        <f t="shared" si="275"/>
        <v>|||</v>
      </c>
      <c r="H6280" s="835">
        <f t="shared" si="276"/>
        <v>31</v>
      </c>
      <c r="AF6280" s="831" t="s">
        <v>6939</v>
      </c>
      <c r="AG6280" s="831" t="s">
        <v>130</v>
      </c>
      <c r="AH6280" s="831" t="s">
        <v>216</v>
      </c>
      <c r="AI6280" s="831">
        <v>0</v>
      </c>
      <c r="AJ6280" s="835">
        <v>41333</v>
      </c>
      <c r="AK6280" s="831">
        <v>0</v>
      </c>
    </row>
    <row r="6281" spans="2:37">
      <c r="B6281" s="834" t="str">
        <f t="shared" si="275"/>
        <v>|||</v>
      </c>
      <c r="H6281" s="835">
        <f t="shared" si="276"/>
        <v>31</v>
      </c>
      <c r="AF6281" s="831" t="s">
        <v>6940</v>
      </c>
      <c r="AG6281" s="831" t="s">
        <v>130</v>
      </c>
      <c r="AH6281" s="831" t="s">
        <v>218</v>
      </c>
      <c r="AI6281" s="831">
        <v>0</v>
      </c>
      <c r="AJ6281" s="835">
        <v>41333</v>
      </c>
      <c r="AK6281" s="831">
        <v>57008210</v>
      </c>
    </row>
    <row r="6282" spans="2:37">
      <c r="B6282" s="834" t="str">
        <f t="shared" si="275"/>
        <v>|||</v>
      </c>
      <c r="H6282" s="835">
        <f t="shared" si="276"/>
        <v>31</v>
      </c>
      <c r="AF6282" s="831" t="s">
        <v>6941</v>
      </c>
      <c r="AG6282" s="831" t="s">
        <v>130</v>
      </c>
      <c r="AH6282" s="831" t="s">
        <v>220</v>
      </c>
      <c r="AI6282" s="831">
        <v>0</v>
      </c>
      <c r="AJ6282" s="835">
        <v>41333</v>
      </c>
      <c r="AK6282" s="831">
        <v>0</v>
      </c>
    </row>
    <row r="6283" spans="2:37">
      <c r="B6283" s="834" t="str">
        <f t="shared" si="275"/>
        <v>|||</v>
      </c>
      <c r="H6283" s="835">
        <f t="shared" si="276"/>
        <v>31</v>
      </c>
      <c r="AF6283" s="831" t="s">
        <v>6942</v>
      </c>
      <c r="AG6283" s="831" t="s">
        <v>130</v>
      </c>
      <c r="AH6283" s="831" t="s">
        <v>221</v>
      </c>
      <c r="AI6283" s="831">
        <v>0</v>
      </c>
      <c r="AJ6283" s="835">
        <v>41333</v>
      </c>
      <c r="AK6283" s="831">
        <v>7930385</v>
      </c>
    </row>
    <row r="6284" spans="2:37">
      <c r="B6284" s="834" t="str">
        <f t="shared" si="275"/>
        <v>|||</v>
      </c>
      <c r="H6284" s="835">
        <f t="shared" si="276"/>
        <v>31</v>
      </c>
      <c r="AF6284" s="831" t="s">
        <v>6943</v>
      </c>
      <c r="AG6284" s="831" t="s">
        <v>130</v>
      </c>
      <c r="AH6284" s="831" t="s">
        <v>228</v>
      </c>
      <c r="AI6284" s="831">
        <v>0</v>
      </c>
      <c r="AJ6284" s="835">
        <v>41333</v>
      </c>
      <c r="AK6284" s="831">
        <v>0</v>
      </c>
    </row>
    <row r="6285" spans="2:37">
      <c r="B6285" s="834" t="str">
        <f t="shared" si="275"/>
        <v>|||</v>
      </c>
      <c r="H6285" s="835">
        <f t="shared" si="276"/>
        <v>31</v>
      </c>
      <c r="AF6285" s="831" t="s">
        <v>6944</v>
      </c>
      <c r="AG6285" s="831" t="s">
        <v>130</v>
      </c>
      <c r="AH6285" s="831" t="s">
        <v>230</v>
      </c>
      <c r="AI6285" s="831">
        <v>0</v>
      </c>
      <c r="AJ6285" s="835">
        <v>41333</v>
      </c>
      <c r="AK6285" s="831">
        <v>0</v>
      </c>
    </row>
    <row r="6286" spans="2:37">
      <c r="B6286" s="834" t="str">
        <f t="shared" si="275"/>
        <v>|||</v>
      </c>
      <c r="H6286" s="835">
        <f t="shared" si="276"/>
        <v>31</v>
      </c>
      <c r="AF6286" s="831" t="s">
        <v>6945</v>
      </c>
      <c r="AG6286" s="831" t="s">
        <v>130</v>
      </c>
      <c r="AH6286" s="831" t="s">
        <v>231</v>
      </c>
      <c r="AI6286" s="831">
        <v>0</v>
      </c>
      <c r="AJ6286" s="835">
        <v>41333</v>
      </c>
      <c r="AK6286" s="831">
        <v>0</v>
      </c>
    </row>
    <row r="6287" spans="2:37">
      <c r="B6287" s="834" t="str">
        <f t="shared" si="275"/>
        <v>|||</v>
      </c>
      <c r="H6287" s="835">
        <f t="shared" si="276"/>
        <v>31</v>
      </c>
      <c r="AF6287" s="831" t="s">
        <v>6946</v>
      </c>
      <c r="AG6287" s="831" t="s">
        <v>130</v>
      </c>
      <c r="AH6287" s="831" t="s">
        <v>232</v>
      </c>
      <c r="AI6287" s="831">
        <v>0</v>
      </c>
      <c r="AJ6287" s="835">
        <v>41333</v>
      </c>
      <c r="AK6287" s="831">
        <v>167974909</v>
      </c>
    </row>
    <row r="6288" spans="2:37">
      <c r="B6288" s="834" t="str">
        <f t="shared" si="275"/>
        <v>|||</v>
      </c>
      <c r="H6288" s="835">
        <f t="shared" si="276"/>
        <v>31</v>
      </c>
      <c r="AF6288" s="831" t="s">
        <v>6947</v>
      </c>
      <c r="AG6288" s="831" t="s">
        <v>130</v>
      </c>
      <c r="AH6288" s="831" t="s">
        <v>116</v>
      </c>
      <c r="AI6288" s="831">
        <v>0</v>
      </c>
      <c r="AJ6288" s="835">
        <v>41333</v>
      </c>
      <c r="AK6288" s="831">
        <v>8013216</v>
      </c>
    </row>
    <row r="6289" spans="2:37">
      <c r="B6289" s="834" t="str">
        <f t="shared" si="275"/>
        <v>|||</v>
      </c>
      <c r="H6289" s="835">
        <f t="shared" si="276"/>
        <v>31</v>
      </c>
      <c r="AF6289" s="831" t="s">
        <v>6948</v>
      </c>
      <c r="AG6289" s="831" t="s">
        <v>130</v>
      </c>
      <c r="AH6289" s="831" t="s">
        <v>234</v>
      </c>
      <c r="AI6289" s="831">
        <v>0</v>
      </c>
      <c r="AJ6289" s="835">
        <v>41333</v>
      </c>
      <c r="AK6289" s="831">
        <v>0</v>
      </c>
    </row>
    <row r="6290" spans="2:37">
      <c r="B6290" s="834" t="str">
        <f t="shared" si="275"/>
        <v>|||</v>
      </c>
      <c r="H6290" s="835">
        <f t="shared" si="276"/>
        <v>31</v>
      </c>
      <c r="AF6290" s="831" t="s">
        <v>6949</v>
      </c>
      <c r="AG6290" s="831" t="s">
        <v>130</v>
      </c>
      <c r="AH6290" s="831" t="s">
        <v>235</v>
      </c>
      <c r="AI6290" s="831">
        <v>0</v>
      </c>
      <c r="AJ6290" s="835">
        <v>41333</v>
      </c>
      <c r="AK6290" s="831">
        <v>0</v>
      </c>
    </row>
    <row r="6291" spans="2:37">
      <c r="B6291" s="834" t="str">
        <f t="shared" si="275"/>
        <v>|||</v>
      </c>
      <c r="H6291" s="835">
        <f t="shared" si="276"/>
        <v>31</v>
      </c>
      <c r="AF6291" s="831" t="s">
        <v>6950</v>
      </c>
      <c r="AG6291" s="831" t="s">
        <v>130</v>
      </c>
      <c r="AH6291" s="831" t="s">
        <v>238</v>
      </c>
      <c r="AI6291" s="831">
        <v>0</v>
      </c>
      <c r="AJ6291" s="835">
        <v>41333</v>
      </c>
      <c r="AK6291" s="831">
        <v>0</v>
      </c>
    </row>
    <row r="6292" spans="2:37">
      <c r="B6292" s="834" t="str">
        <f t="shared" si="275"/>
        <v>|||</v>
      </c>
      <c r="H6292" s="835">
        <f t="shared" si="276"/>
        <v>31</v>
      </c>
      <c r="AF6292" s="831" t="s">
        <v>6951</v>
      </c>
      <c r="AG6292" s="831" t="s">
        <v>130</v>
      </c>
      <c r="AH6292" s="831" t="s">
        <v>240</v>
      </c>
      <c r="AI6292" s="831">
        <v>0</v>
      </c>
      <c r="AJ6292" s="835">
        <v>41333</v>
      </c>
      <c r="AK6292" s="831">
        <v>85000000</v>
      </c>
    </row>
    <row r="6293" spans="2:37">
      <c r="B6293" s="834" t="str">
        <f t="shared" si="275"/>
        <v>|||</v>
      </c>
      <c r="H6293" s="835">
        <f t="shared" si="276"/>
        <v>31</v>
      </c>
      <c r="AF6293" s="831" t="s">
        <v>6952</v>
      </c>
      <c r="AG6293" s="831" t="s">
        <v>130</v>
      </c>
      <c r="AH6293" s="831" t="s">
        <v>241</v>
      </c>
      <c r="AI6293" s="831">
        <v>0</v>
      </c>
      <c r="AJ6293" s="835">
        <v>41333</v>
      </c>
      <c r="AK6293" s="831">
        <v>0</v>
      </c>
    </row>
    <row r="6294" spans="2:37">
      <c r="B6294" s="834" t="str">
        <f t="shared" si="275"/>
        <v>|||</v>
      </c>
      <c r="H6294" s="835">
        <f t="shared" si="276"/>
        <v>31</v>
      </c>
      <c r="AF6294" s="831" t="s">
        <v>6953</v>
      </c>
      <c r="AG6294" s="831" t="s">
        <v>130</v>
      </c>
      <c r="AH6294" s="831" t="s">
        <v>242</v>
      </c>
      <c r="AI6294" s="831">
        <v>0</v>
      </c>
      <c r="AJ6294" s="835">
        <v>41333</v>
      </c>
      <c r="AK6294" s="831">
        <v>0</v>
      </c>
    </row>
    <row r="6295" spans="2:37">
      <c r="B6295" s="834" t="str">
        <f t="shared" si="275"/>
        <v>|||</v>
      </c>
      <c r="H6295" s="835">
        <f t="shared" si="276"/>
        <v>31</v>
      </c>
      <c r="AF6295" s="831" t="s">
        <v>6954</v>
      </c>
      <c r="AG6295" s="831" t="s">
        <v>130</v>
      </c>
      <c r="AH6295" s="831" t="s">
        <v>244</v>
      </c>
      <c r="AI6295" s="831">
        <v>0</v>
      </c>
      <c r="AJ6295" s="835">
        <v>41333</v>
      </c>
      <c r="AK6295" s="831">
        <v>9763223</v>
      </c>
    </row>
    <row r="6296" spans="2:37">
      <c r="B6296" s="834" t="str">
        <f t="shared" si="275"/>
        <v>|||</v>
      </c>
      <c r="H6296" s="835">
        <f t="shared" si="276"/>
        <v>31</v>
      </c>
      <c r="AF6296" s="831" t="s">
        <v>6955</v>
      </c>
      <c r="AG6296" s="831" t="s">
        <v>130</v>
      </c>
      <c r="AH6296" s="831" t="s">
        <v>245</v>
      </c>
      <c r="AI6296" s="831">
        <v>0</v>
      </c>
      <c r="AJ6296" s="835">
        <v>41333</v>
      </c>
      <c r="AK6296" s="831">
        <v>3817884</v>
      </c>
    </row>
    <row r="6297" spans="2:37">
      <c r="B6297" s="834" t="str">
        <f t="shared" si="275"/>
        <v>|||</v>
      </c>
      <c r="H6297" s="835">
        <f t="shared" si="276"/>
        <v>31</v>
      </c>
      <c r="AF6297" s="831" t="s">
        <v>6956</v>
      </c>
      <c r="AG6297" s="831" t="s">
        <v>130</v>
      </c>
      <c r="AH6297" s="831" t="s">
        <v>145</v>
      </c>
      <c r="AI6297" s="831">
        <v>0</v>
      </c>
      <c r="AJ6297" s="835">
        <v>41364</v>
      </c>
      <c r="AK6297" s="831">
        <v>32139140</v>
      </c>
    </row>
    <row r="6298" spans="2:37">
      <c r="B6298" s="834" t="str">
        <f t="shared" si="275"/>
        <v>|||</v>
      </c>
      <c r="H6298" s="835">
        <f t="shared" si="276"/>
        <v>31</v>
      </c>
      <c r="AF6298" s="831" t="s">
        <v>6957</v>
      </c>
      <c r="AG6298" s="831" t="s">
        <v>130</v>
      </c>
      <c r="AH6298" s="831" t="s">
        <v>149</v>
      </c>
      <c r="AI6298" s="831">
        <v>0</v>
      </c>
      <c r="AJ6298" s="835">
        <v>41364</v>
      </c>
      <c r="AK6298" s="831">
        <v>0</v>
      </c>
    </row>
    <row r="6299" spans="2:37">
      <c r="B6299" s="834" t="str">
        <f t="shared" si="275"/>
        <v>|||</v>
      </c>
      <c r="H6299" s="835">
        <f t="shared" si="276"/>
        <v>31</v>
      </c>
      <c r="AF6299" s="831" t="s">
        <v>6958</v>
      </c>
      <c r="AG6299" s="831" t="s">
        <v>130</v>
      </c>
      <c r="AH6299" s="831" t="s">
        <v>153</v>
      </c>
      <c r="AI6299" s="831">
        <v>0</v>
      </c>
      <c r="AJ6299" s="835">
        <v>41364</v>
      </c>
      <c r="AK6299" s="831">
        <v>16327110</v>
      </c>
    </row>
    <row r="6300" spans="2:37">
      <c r="B6300" s="834" t="str">
        <f t="shared" si="275"/>
        <v>|||</v>
      </c>
      <c r="H6300" s="835">
        <f t="shared" si="276"/>
        <v>31</v>
      </c>
      <c r="AF6300" s="831" t="s">
        <v>6959</v>
      </c>
      <c r="AG6300" s="831" t="s">
        <v>130</v>
      </c>
      <c r="AH6300" s="831" t="s">
        <v>156</v>
      </c>
      <c r="AI6300" s="831">
        <v>0</v>
      </c>
      <c r="AJ6300" s="835">
        <v>41364</v>
      </c>
      <c r="AK6300" s="831">
        <v>0</v>
      </c>
    </row>
    <row r="6301" spans="2:37">
      <c r="B6301" s="834" t="str">
        <f t="shared" si="275"/>
        <v>|||</v>
      </c>
      <c r="H6301" s="835">
        <f t="shared" si="276"/>
        <v>31</v>
      </c>
      <c r="AF6301" s="831" t="s">
        <v>6960</v>
      </c>
      <c r="AG6301" s="831" t="s">
        <v>130</v>
      </c>
      <c r="AH6301" s="831" t="s">
        <v>162</v>
      </c>
      <c r="AI6301" s="831">
        <v>0</v>
      </c>
      <c r="AJ6301" s="835">
        <v>41364</v>
      </c>
      <c r="AK6301" s="831">
        <v>455655641</v>
      </c>
    </row>
    <row r="6302" spans="2:37">
      <c r="B6302" s="834" t="str">
        <f t="shared" si="275"/>
        <v>|||</v>
      </c>
      <c r="H6302" s="835">
        <f t="shared" si="276"/>
        <v>31</v>
      </c>
      <c r="AF6302" s="831" t="s">
        <v>6961</v>
      </c>
      <c r="AG6302" s="831" t="s">
        <v>130</v>
      </c>
      <c r="AH6302" s="831" t="s">
        <v>165</v>
      </c>
      <c r="AI6302" s="831">
        <v>0</v>
      </c>
      <c r="AJ6302" s="835">
        <v>41364</v>
      </c>
      <c r="AK6302" s="831">
        <v>-11725074</v>
      </c>
    </row>
    <row r="6303" spans="2:37">
      <c r="B6303" s="834" t="str">
        <f t="shared" si="275"/>
        <v>|||</v>
      </c>
      <c r="H6303" s="835">
        <f t="shared" si="276"/>
        <v>31</v>
      </c>
      <c r="AF6303" s="831" t="s">
        <v>6962</v>
      </c>
      <c r="AG6303" s="831" t="s">
        <v>130</v>
      </c>
      <c r="AH6303" s="831" t="s">
        <v>171</v>
      </c>
      <c r="AI6303" s="831">
        <v>0</v>
      </c>
      <c r="AJ6303" s="835">
        <v>41364</v>
      </c>
      <c r="AK6303" s="831">
        <v>3190712</v>
      </c>
    </row>
    <row r="6304" spans="2:37">
      <c r="B6304" s="834" t="str">
        <f t="shared" si="275"/>
        <v>|||</v>
      </c>
      <c r="H6304" s="835">
        <f t="shared" si="276"/>
        <v>31</v>
      </c>
      <c r="AF6304" s="831" t="s">
        <v>6963</v>
      </c>
      <c r="AG6304" s="831" t="s">
        <v>130</v>
      </c>
      <c r="AH6304" s="831" t="s">
        <v>174</v>
      </c>
      <c r="AI6304" s="831">
        <v>0</v>
      </c>
      <c r="AJ6304" s="835">
        <v>41364</v>
      </c>
      <c r="AK6304" s="831">
        <v>0</v>
      </c>
    </row>
    <row r="6305" spans="2:37">
      <c r="B6305" s="834" t="str">
        <f t="shared" si="275"/>
        <v>|||</v>
      </c>
      <c r="H6305" s="835">
        <f t="shared" si="276"/>
        <v>31</v>
      </c>
      <c r="AF6305" s="831" t="s">
        <v>6964</v>
      </c>
      <c r="AG6305" s="831" t="s">
        <v>130</v>
      </c>
      <c r="AH6305" s="831" t="s">
        <v>181</v>
      </c>
      <c r="AI6305" s="831">
        <v>0</v>
      </c>
      <c r="AJ6305" s="835">
        <v>41364</v>
      </c>
      <c r="AK6305" s="831">
        <v>48973188</v>
      </c>
    </row>
    <row r="6306" spans="2:37">
      <c r="B6306" s="834" t="str">
        <f t="shared" si="275"/>
        <v>|||</v>
      </c>
      <c r="H6306" s="835">
        <f t="shared" si="276"/>
        <v>31</v>
      </c>
      <c r="AF6306" s="831" t="s">
        <v>6965</v>
      </c>
      <c r="AG6306" s="831" t="s">
        <v>130</v>
      </c>
      <c r="AH6306" s="831" t="s">
        <v>184</v>
      </c>
      <c r="AI6306" s="831">
        <v>0</v>
      </c>
      <c r="AJ6306" s="835">
        <v>41364</v>
      </c>
      <c r="AK6306" s="831">
        <v>-12559760</v>
      </c>
    </row>
    <row r="6307" spans="2:37">
      <c r="B6307" s="834" t="str">
        <f t="shared" si="275"/>
        <v>|||</v>
      </c>
      <c r="H6307" s="835">
        <f t="shared" si="276"/>
        <v>31</v>
      </c>
      <c r="AF6307" s="831" t="s">
        <v>6966</v>
      </c>
      <c r="AG6307" s="831" t="s">
        <v>130</v>
      </c>
      <c r="AH6307" s="831" t="s">
        <v>187</v>
      </c>
      <c r="AI6307" s="831">
        <v>0</v>
      </c>
      <c r="AJ6307" s="835">
        <v>41364</v>
      </c>
      <c r="AK6307" s="831">
        <v>0</v>
      </c>
    </row>
    <row r="6308" spans="2:37">
      <c r="B6308" s="834" t="str">
        <f t="shared" si="275"/>
        <v>|||</v>
      </c>
      <c r="H6308" s="835">
        <f t="shared" si="276"/>
        <v>31</v>
      </c>
      <c r="AF6308" s="831" t="s">
        <v>6967</v>
      </c>
      <c r="AG6308" s="831" t="s">
        <v>130</v>
      </c>
      <c r="AH6308" s="831" t="s">
        <v>196</v>
      </c>
      <c r="AI6308" s="831">
        <v>0</v>
      </c>
      <c r="AJ6308" s="835">
        <v>41364</v>
      </c>
      <c r="AK6308" s="831">
        <v>8828160</v>
      </c>
    </row>
    <row r="6309" spans="2:37">
      <c r="B6309" s="834" t="str">
        <f t="shared" si="275"/>
        <v>|||</v>
      </c>
      <c r="H6309" s="835">
        <f t="shared" si="276"/>
        <v>31</v>
      </c>
      <c r="AF6309" s="831" t="s">
        <v>6968</v>
      </c>
      <c r="AG6309" s="831" t="s">
        <v>130</v>
      </c>
      <c r="AH6309" s="831" t="s">
        <v>197</v>
      </c>
      <c r="AI6309" s="831">
        <v>0</v>
      </c>
      <c r="AJ6309" s="835">
        <v>41364</v>
      </c>
      <c r="AK6309" s="831">
        <v>0</v>
      </c>
    </row>
    <row r="6310" spans="2:37">
      <c r="B6310" s="834" t="str">
        <f t="shared" si="275"/>
        <v>|||</v>
      </c>
      <c r="H6310" s="835">
        <f t="shared" si="276"/>
        <v>31</v>
      </c>
      <c r="AF6310" s="831" t="s">
        <v>6969</v>
      </c>
      <c r="AG6310" s="831" t="s">
        <v>130</v>
      </c>
      <c r="AH6310" s="831" t="s">
        <v>199</v>
      </c>
      <c r="AI6310" s="831">
        <v>0</v>
      </c>
      <c r="AJ6310" s="835">
        <v>41364</v>
      </c>
      <c r="AK6310" s="831">
        <v>0</v>
      </c>
    </row>
    <row r="6311" spans="2:37">
      <c r="B6311" s="834" t="str">
        <f t="shared" si="275"/>
        <v>|||</v>
      </c>
      <c r="H6311" s="835">
        <f t="shared" si="276"/>
        <v>31</v>
      </c>
      <c r="AF6311" s="831" t="s">
        <v>6970</v>
      </c>
      <c r="AG6311" s="831" t="s">
        <v>130</v>
      </c>
      <c r="AH6311" s="831" t="s">
        <v>201</v>
      </c>
      <c r="AI6311" s="831">
        <v>0</v>
      </c>
      <c r="AJ6311" s="835">
        <v>41364</v>
      </c>
      <c r="AK6311" s="831">
        <v>8144544</v>
      </c>
    </row>
    <row r="6312" spans="2:37">
      <c r="B6312" s="834" t="str">
        <f t="shared" si="275"/>
        <v>|||</v>
      </c>
      <c r="H6312" s="835">
        <f t="shared" si="276"/>
        <v>31</v>
      </c>
      <c r="AF6312" s="831" t="s">
        <v>6971</v>
      </c>
      <c r="AG6312" s="831" t="s">
        <v>130</v>
      </c>
      <c r="AH6312" s="831" t="s">
        <v>209</v>
      </c>
      <c r="AI6312" s="831">
        <v>0</v>
      </c>
      <c r="AJ6312" s="835">
        <v>41364</v>
      </c>
      <c r="AK6312" s="831">
        <v>43931829</v>
      </c>
    </row>
    <row r="6313" spans="2:37">
      <c r="B6313" s="834" t="str">
        <f t="shared" si="275"/>
        <v>|||</v>
      </c>
      <c r="H6313" s="835">
        <f t="shared" si="276"/>
        <v>31</v>
      </c>
      <c r="AF6313" s="831" t="s">
        <v>6972</v>
      </c>
      <c r="AG6313" s="831" t="s">
        <v>130</v>
      </c>
      <c r="AH6313" s="831" t="s">
        <v>211</v>
      </c>
      <c r="AI6313" s="831">
        <v>0</v>
      </c>
      <c r="AJ6313" s="835">
        <v>41364</v>
      </c>
      <c r="AK6313" s="831">
        <v>137923676</v>
      </c>
    </row>
    <row r="6314" spans="2:37">
      <c r="B6314" s="834" t="str">
        <f t="shared" si="275"/>
        <v>|||</v>
      </c>
      <c r="H6314" s="835">
        <f t="shared" si="276"/>
        <v>31</v>
      </c>
      <c r="AF6314" s="831" t="s">
        <v>6973</v>
      </c>
      <c r="AG6314" s="831" t="s">
        <v>130</v>
      </c>
      <c r="AH6314" s="831" t="s">
        <v>212</v>
      </c>
      <c r="AI6314" s="831">
        <v>0</v>
      </c>
      <c r="AJ6314" s="835">
        <v>41364</v>
      </c>
      <c r="AK6314" s="831">
        <v>6144738</v>
      </c>
    </row>
    <row r="6315" spans="2:37">
      <c r="B6315" s="834" t="str">
        <f t="shared" si="275"/>
        <v>|||</v>
      </c>
      <c r="H6315" s="835">
        <f t="shared" si="276"/>
        <v>31</v>
      </c>
      <c r="AF6315" s="831" t="s">
        <v>6974</v>
      </c>
      <c r="AG6315" s="831" t="s">
        <v>130</v>
      </c>
      <c r="AH6315" s="831" t="s">
        <v>216</v>
      </c>
      <c r="AI6315" s="831">
        <v>0</v>
      </c>
      <c r="AJ6315" s="835">
        <v>41364</v>
      </c>
      <c r="AK6315" s="831">
        <v>0</v>
      </c>
    </row>
    <row r="6316" spans="2:37">
      <c r="B6316" s="834" t="str">
        <f t="shared" si="275"/>
        <v>|||</v>
      </c>
      <c r="H6316" s="835">
        <f t="shared" si="276"/>
        <v>31</v>
      </c>
      <c r="AF6316" s="831" t="s">
        <v>6975</v>
      </c>
      <c r="AG6316" s="831" t="s">
        <v>130</v>
      </c>
      <c r="AH6316" s="831" t="s">
        <v>218</v>
      </c>
      <c r="AI6316" s="831">
        <v>0</v>
      </c>
      <c r="AJ6316" s="835">
        <v>41364</v>
      </c>
      <c r="AK6316" s="831">
        <v>83314691</v>
      </c>
    </row>
    <row r="6317" spans="2:37">
      <c r="B6317" s="834" t="str">
        <f t="shared" si="275"/>
        <v>|||</v>
      </c>
      <c r="H6317" s="835">
        <f t="shared" si="276"/>
        <v>31</v>
      </c>
      <c r="AF6317" s="831" t="s">
        <v>6976</v>
      </c>
      <c r="AG6317" s="831" t="s">
        <v>130</v>
      </c>
      <c r="AH6317" s="831" t="s">
        <v>220</v>
      </c>
      <c r="AI6317" s="831">
        <v>0</v>
      </c>
      <c r="AJ6317" s="835">
        <v>41364</v>
      </c>
      <c r="AK6317" s="831">
        <v>0</v>
      </c>
    </row>
    <row r="6318" spans="2:37">
      <c r="B6318" s="834" t="str">
        <f t="shared" si="275"/>
        <v>|||</v>
      </c>
      <c r="H6318" s="835">
        <f t="shared" si="276"/>
        <v>31</v>
      </c>
      <c r="AF6318" s="831" t="s">
        <v>6977</v>
      </c>
      <c r="AG6318" s="831" t="s">
        <v>130</v>
      </c>
      <c r="AH6318" s="831" t="s">
        <v>221</v>
      </c>
      <c r="AI6318" s="831">
        <v>0</v>
      </c>
      <c r="AJ6318" s="835">
        <v>41364</v>
      </c>
      <c r="AK6318" s="831">
        <v>8445660</v>
      </c>
    </row>
    <row r="6319" spans="2:37">
      <c r="B6319" s="834" t="str">
        <f t="shared" si="275"/>
        <v>|||</v>
      </c>
      <c r="H6319" s="835">
        <f t="shared" si="276"/>
        <v>31</v>
      </c>
      <c r="AF6319" s="831" t="s">
        <v>6978</v>
      </c>
      <c r="AG6319" s="831" t="s">
        <v>130</v>
      </c>
      <c r="AH6319" s="831" t="s">
        <v>228</v>
      </c>
      <c r="AI6319" s="831">
        <v>0</v>
      </c>
      <c r="AJ6319" s="835">
        <v>41364</v>
      </c>
      <c r="AK6319" s="831">
        <v>0</v>
      </c>
    </row>
    <row r="6320" spans="2:37">
      <c r="B6320" s="834" t="str">
        <f t="shared" si="275"/>
        <v>|||</v>
      </c>
      <c r="H6320" s="835">
        <f t="shared" si="276"/>
        <v>31</v>
      </c>
      <c r="AF6320" s="831" t="s">
        <v>6979</v>
      </c>
      <c r="AG6320" s="831" t="s">
        <v>130</v>
      </c>
      <c r="AH6320" s="831" t="s">
        <v>230</v>
      </c>
      <c r="AI6320" s="831">
        <v>0</v>
      </c>
      <c r="AJ6320" s="835">
        <v>41364</v>
      </c>
      <c r="AK6320" s="831">
        <v>0</v>
      </c>
    </row>
    <row r="6321" spans="2:37">
      <c r="B6321" s="834" t="str">
        <f t="shared" si="275"/>
        <v>|||</v>
      </c>
      <c r="H6321" s="835">
        <f t="shared" si="276"/>
        <v>31</v>
      </c>
      <c r="AF6321" s="831" t="s">
        <v>6980</v>
      </c>
      <c r="AG6321" s="831" t="s">
        <v>130</v>
      </c>
      <c r="AH6321" s="831" t="s">
        <v>231</v>
      </c>
      <c r="AI6321" s="831">
        <v>0</v>
      </c>
      <c r="AJ6321" s="835">
        <v>41364</v>
      </c>
      <c r="AK6321" s="831">
        <v>0</v>
      </c>
    </row>
    <row r="6322" spans="2:37">
      <c r="B6322" s="834" t="str">
        <f t="shared" si="275"/>
        <v>|||</v>
      </c>
      <c r="H6322" s="835">
        <f t="shared" si="276"/>
        <v>31</v>
      </c>
      <c r="AF6322" s="831" t="s">
        <v>6981</v>
      </c>
      <c r="AG6322" s="831" t="s">
        <v>130</v>
      </c>
      <c r="AH6322" s="831" t="s">
        <v>232</v>
      </c>
      <c r="AI6322" s="831">
        <v>0</v>
      </c>
      <c r="AJ6322" s="835">
        <v>41364</v>
      </c>
      <c r="AK6322" s="831">
        <v>160390462</v>
      </c>
    </row>
    <row r="6323" spans="2:37">
      <c r="B6323" s="834" t="str">
        <f t="shared" si="275"/>
        <v>|||</v>
      </c>
      <c r="H6323" s="835">
        <f t="shared" si="276"/>
        <v>31</v>
      </c>
      <c r="AF6323" s="831" t="s">
        <v>6982</v>
      </c>
      <c r="AG6323" s="831" t="s">
        <v>130</v>
      </c>
      <c r="AH6323" s="831" t="s">
        <v>116</v>
      </c>
      <c r="AI6323" s="831">
        <v>0</v>
      </c>
      <c r="AJ6323" s="835">
        <v>41364</v>
      </c>
      <c r="AK6323" s="831">
        <v>8013216</v>
      </c>
    </row>
    <row r="6324" spans="2:37">
      <c r="B6324" s="834" t="str">
        <f t="shared" si="275"/>
        <v>|||</v>
      </c>
      <c r="H6324" s="835">
        <f t="shared" si="276"/>
        <v>31</v>
      </c>
      <c r="AF6324" s="831" t="s">
        <v>6983</v>
      </c>
      <c r="AG6324" s="831" t="s">
        <v>130</v>
      </c>
      <c r="AH6324" s="831" t="s">
        <v>234</v>
      </c>
      <c r="AI6324" s="831">
        <v>0</v>
      </c>
      <c r="AJ6324" s="835">
        <v>41364</v>
      </c>
      <c r="AK6324" s="831">
        <v>0</v>
      </c>
    </row>
    <row r="6325" spans="2:37">
      <c r="B6325" s="834" t="str">
        <f t="shared" si="275"/>
        <v>|||</v>
      </c>
      <c r="H6325" s="835">
        <f t="shared" si="276"/>
        <v>31</v>
      </c>
      <c r="AF6325" s="831" t="s">
        <v>6984</v>
      </c>
      <c r="AG6325" s="831" t="s">
        <v>130</v>
      </c>
      <c r="AH6325" s="831" t="s">
        <v>235</v>
      </c>
      <c r="AI6325" s="831">
        <v>0</v>
      </c>
      <c r="AJ6325" s="835">
        <v>41364</v>
      </c>
      <c r="AK6325" s="831">
        <v>0</v>
      </c>
    </row>
    <row r="6326" spans="2:37">
      <c r="B6326" s="834" t="str">
        <f t="shared" si="275"/>
        <v>|||</v>
      </c>
      <c r="H6326" s="835">
        <f t="shared" si="276"/>
        <v>31</v>
      </c>
      <c r="AF6326" s="831" t="s">
        <v>6985</v>
      </c>
      <c r="AG6326" s="831" t="s">
        <v>130</v>
      </c>
      <c r="AH6326" s="831" t="s">
        <v>238</v>
      </c>
      <c r="AI6326" s="831">
        <v>0</v>
      </c>
      <c r="AJ6326" s="835">
        <v>41364</v>
      </c>
      <c r="AK6326" s="831">
        <v>0</v>
      </c>
    </row>
    <row r="6327" spans="2:37">
      <c r="B6327" s="834" t="str">
        <f t="shared" si="275"/>
        <v>|||</v>
      </c>
      <c r="H6327" s="835">
        <f t="shared" si="276"/>
        <v>31</v>
      </c>
      <c r="AF6327" s="831" t="s">
        <v>6986</v>
      </c>
      <c r="AG6327" s="831" t="s">
        <v>130</v>
      </c>
      <c r="AH6327" s="831" t="s">
        <v>240</v>
      </c>
      <c r="AI6327" s="831">
        <v>0</v>
      </c>
      <c r="AJ6327" s="835">
        <v>41364</v>
      </c>
      <c r="AK6327" s="831">
        <v>85000000</v>
      </c>
    </row>
    <row r="6328" spans="2:37">
      <c r="B6328" s="834" t="str">
        <f t="shared" si="275"/>
        <v>|||</v>
      </c>
      <c r="H6328" s="835">
        <f t="shared" si="276"/>
        <v>31</v>
      </c>
      <c r="AF6328" s="831" t="s">
        <v>6987</v>
      </c>
      <c r="AG6328" s="831" t="s">
        <v>130</v>
      </c>
      <c r="AH6328" s="831" t="s">
        <v>241</v>
      </c>
      <c r="AI6328" s="831">
        <v>0</v>
      </c>
      <c r="AJ6328" s="835">
        <v>41364</v>
      </c>
      <c r="AK6328" s="831">
        <v>0</v>
      </c>
    </row>
    <row r="6329" spans="2:37">
      <c r="B6329" s="834" t="str">
        <f t="shared" si="275"/>
        <v>|||</v>
      </c>
      <c r="H6329" s="835">
        <f t="shared" si="276"/>
        <v>31</v>
      </c>
      <c r="AF6329" s="831" t="s">
        <v>6988</v>
      </c>
      <c r="AG6329" s="831" t="s">
        <v>130</v>
      </c>
      <c r="AH6329" s="831" t="s">
        <v>242</v>
      </c>
      <c r="AI6329" s="831">
        <v>0</v>
      </c>
      <c r="AJ6329" s="835">
        <v>41364</v>
      </c>
      <c r="AK6329" s="831">
        <v>0</v>
      </c>
    </row>
    <row r="6330" spans="2:37">
      <c r="B6330" s="834" t="str">
        <f t="shared" si="275"/>
        <v>|||</v>
      </c>
      <c r="H6330" s="835">
        <f t="shared" si="276"/>
        <v>31</v>
      </c>
      <c r="AF6330" s="831" t="s">
        <v>6989</v>
      </c>
      <c r="AG6330" s="831" t="s">
        <v>130</v>
      </c>
      <c r="AH6330" s="831" t="s">
        <v>244</v>
      </c>
      <c r="AI6330" s="831">
        <v>0</v>
      </c>
      <c r="AJ6330" s="835">
        <v>41364</v>
      </c>
      <c r="AK6330" s="831">
        <v>9763223</v>
      </c>
    </row>
    <row r="6331" spans="2:37">
      <c r="B6331" s="834" t="str">
        <f t="shared" si="275"/>
        <v>|||</v>
      </c>
      <c r="H6331" s="835">
        <f t="shared" si="276"/>
        <v>31</v>
      </c>
      <c r="AF6331" s="831" t="s">
        <v>6990</v>
      </c>
      <c r="AG6331" s="831" t="s">
        <v>130</v>
      </c>
      <c r="AH6331" s="831" t="s">
        <v>245</v>
      </c>
      <c r="AI6331" s="831">
        <v>0</v>
      </c>
      <c r="AJ6331" s="835">
        <v>41364</v>
      </c>
      <c r="AK6331" s="831">
        <v>6046166</v>
      </c>
    </row>
    <row r="6332" spans="2:37">
      <c r="B6332" s="834" t="str">
        <f t="shared" si="275"/>
        <v>|||</v>
      </c>
      <c r="H6332" s="835">
        <f t="shared" si="276"/>
        <v>31</v>
      </c>
      <c r="AF6332" s="831" t="s">
        <v>6991</v>
      </c>
      <c r="AG6332" s="831" t="s">
        <v>130</v>
      </c>
      <c r="AH6332" s="831" t="s">
        <v>145</v>
      </c>
      <c r="AI6332" s="831">
        <v>0</v>
      </c>
      <c r="AJ6332" s="835">
        <v>41394</v>
      </c>
      <c r="AK6332" s="831">
        <v>35630850</v>
      </c>
    </row>
    <row r="6333" spans="2:37">
      <c r="B6333" s="834" t="str">
        <f t="shared" si="275"/>
        <v>|||</v>
      </c>
      <c r="H6333" s="835">
        <f t="shared" si="276"/>
        <v>31</v>
      </c>
      <c r="AF6333" s="831" t="s">
        <v>6992</v>
      </c>
      <c r="AG6333" s="831" t="s">
        <v>130</v>
      </c>
      <c r="AH6333" s="831" t="s">
        <v>149</v>
      </c>
      <c r="AI6333" s="831">
        <v>0</v>
      </c>
      <c r="AJ6333" s="835">
        <v>41394</v>
      </c>
      <c r="AK6333" s="831">
        <v>0</v>
      </c>
    </row>
    <row r="6334" spans="2:37">
      <c r="B6334" s="834" t="str">
        <f t="shared" si="275"/>
        <v>|||</v>
      </c>
      <c r="H6334" s="835">
        <f t="shared" si="276"/>
        <v>31</v>
      </c>
      <c r="AF6334" s="831" t="s">
        <v>6993</v>
      </c>
      <c r="AG6334" s="831" t="s">
        <v>130</v>
      </c>
      <c r="AH6334" s="831" t="s">
        <v>153</v>
      </c>
      <c r="AI6334" s="831">
        <v>0</v>
      </c>
      <c r="AJ6334" s="835">
        <v>41394</v>
      </c>
      <c r="AK6334" s="831">
        <v>6303103</v>
      </c>
    </row>
    <row r="6335" spans="2:37">
      <c r="B6335" s="834" t="str">
        <f t="shared" si="275"/>
        <v>|||</v>
      </c>
      <c r="H6335" s="835">
        <f t="shared" si="276"/>
        <v>31</v>
      </c>
      <c r="AF6335" s="831" t="s">
        <v>6994</v>
      </c>
      <c r="AG6335" s="831" t="s">
        <v>130</v>
      </c>
      <c r="AH6335" s="831" t="s">
        <v>156</v>
      </c>
      <c r="AI6335" s="831">
        <v>0</v>
      </c>
      <c r="AJ6335" s="835">
        <v>41394</v>
      </c>
      <c r="AK6335" s="831">
        <v>0</v>
      </c>
    </row>
    <row r="6336" spans="2:37">
      <c r="B6336" s="834" t="str">
        <f t="shared" si="275"/>
        <v>|||</v>
      </c>
      <c r="H6336" s="835">
        <f t="shared" si="276"/>
        <v>31</v>
      </c>
      <c r="AF6336" s="831" t="s">
        <v>6995</v>
      </c>
      <c r="AG6336" s="831" t="s">
        <v>130</v>
      </c>
      <c r="AH6336" s="831" t="s">
        <v>162</v>
      </c>
      <c r="AI6336" s="831">
        <v>0</v>
      </c>
      <c r="AJ6336" s="835">
        <v>41394</v>
      </c>
      <c r="AK6336" s="831">
        <v>479771222</v>
      </c>
    </row>
    <row r="6337" spans="2:37">
      <c r="B6337" s="834" t="str">
        <f t="shared" si="275"/>
        <v>|||</v>
      </c>
      <c r="H6337" s="835">
        <f t="shared" si="276"/>
        <v>31</v>
      </c>
      <c r="AF6337" s="831" t="s">
        <v>6996</v>
      </c>
      <c r="AG6337" s="831" t="s">
        <v>130</v>
      </c>
      <c r="AH6337" s="831" t="s">
        <v>165</v>
      </c>
      <c r="AI6337" s="831">
        <v>0</v>
      </c>
      <c r="AJ6337" s="835">
        <v>41394</v>
      </c>
      <c r="AK6337" s="831">
        <v>-12137335</v>
      </c>
    </row>
    <row r="6338" spans="2:37">
      <c r="B6338" s="834" t="str">
        <f t="shared" si="275"/>
        <v>|||</v>
      </c>
      <c r="H6338" s="835">
        <f t="shared" si="276"/>
        <v>31</v>
      </c>
      <c r="AF6338" s="831" t="s">
        <v>6997</v>
      </c>
      <c r="AG6338" s="831" t="s">
        <v>130</v>
      </c>
      <c r="AH6338" s="831" t="s">
        <v>171</v>
      </c>
      <c r="AI6338" s="831">
        <v>0</v>
      </c>
      <c r="AJ6338" s="835">
        <v>41394</v>
      </c>
      <c r="AK6338" s="831">
        <v>2976119</v>
      </c>
    </row>
    <row r="6339" spans="2:37">
      <c r="B6339" s="834" t="str">
        <f t="shared" ref="B6339:B6402" si="277">C6339&amp;"|"&amp;D6339&amp;"|"&amp;E6339&amp;"|"&amp;F6339</f>
        <v>|||</v>
      </c>
      <c r="H6339" s="835">
        <f t="shared" si="276"/>
        <v>31</v>
      </c>
      <c r="AF6339" s="831" t="s">
        <v>6998</v>
      </c>
      <c r="AG6339" s="831" t="s">
        <v>130</v>
      </c>
      <c r="AH6339" s="831" t="s">
        <v>174</v>
      </c>
      <c r="AI6339" s="831">
        <v>0</v>
      </c>
      <c r="AJ6339" s="835">
        <v>41394</v>
      </c>
      <c r="AK6339" s="831">
        <v>0</v>
      </c>
    </row>
    <row r="6340" spans="2:37">
      <c r="B6340" s="834" t="str">
        <f t="shared" si="277"/>
        <v>|||</v>
      </c>
      <c r="H6340" s="835">
        <f t="shared" ref="H6340:H6403" si="278">EOMONTH(L6340,0)</f>
        <v>31</v>
      </c>
      <c r="AF6340" s="831" t="s">
        <v>6999</v>
      </c>
      <c r="AG6340" s="831" t="s">
        <v>130</v>
      </c>
      <c r="AH6340" s="831" t="s">
        <v>181</v>
      </c>
      <c r="AI6340" s="831">
        <v>0</v>
      </c>
      <c r="AJ6340" s="835">
        <v>41394</v>
      </c>
      <c r="AK6340" s="831">
        <v>49571846</v>
      </c>
    </row>
    <row r="6341" spans="2:37">
      <c r="B6341" s="834" t="str">
        <f t="shared" si="277"/>
        <v>|||</v>
      </c>
      <c r="H6341" s="835">
        <f t="shared" si="278"/>
        <v>31</v>
      </c>
      <c r="AF6341" s="831" t="s">
        <v>7000</v>
      </c>
      <c r="AG6341" s="831" t="s">
        <v>130</v>
      </c>
      <c r="AH6341" s="831" t="s">
        <v>184</v>
      </c>
      <c r="AI6341" s="831">
        <v>0</v>
      </c>
      <c r="AJ6341" s="835">
        <v>41394</v>
      </c>
      <c r="AK6341" s="831">
        <v>-12944470</v>
      </c>
    </row>
    <row r="6342" spans="2:37">
      <c r="B6342" s="834" t="str">
        <f t="shared" si="277"/>
        <v>|||</v>
      </c>
      <c r="H6342" s="835">
        <f t="shared" si="278"/>
        <v>31</v>
      </c>
      <c r="AF6342" s="831" t="s">
        <v>7001</v>
      </c>
      <c r="AG6342" s="831" t="s">
        <v>130</v>
      </c>
      <c r="AH6342" s="831" t="s">
        <v>187</v>
      </c>
      <c r="AI6342" s="831">
        <v>0</v>
      </c>
      <c r="AJ6342" s="835">
        <v>41394</v>
      </c>
      <c r="AK6342" s="831">
        <v>0</v>
      </c>
    </row>
    <row r="6343" spans="2:37">
      <c r="B6343" s="834" t="str">
        <f t="shared" si="277"/>
        <v>|||</v>
      </c>
      <c r="H6343" s="835">
        <f t="shared" si="278"/>
        <v>31</v>
      </c>
      <c r="AF6343" s="831" t="s">
        <v>7002</v>
      </c>
      <c r="AG6343" s="831" t="s">
        <v>130</v>
      </c>
      <c r="AH6343" s="831" t="s">
        <v>196</v>
      </c>
      <c r="AI6343" s="831">
        <v>0</v>
      </c>
      <c r="AJ6343" s="835">
        <v>41394</v>
      </c>
      <c r="AK6343" s="831">
        <v>8780980</v>
      </c>
    </row>
    <row r="6344" spans="2:37">
      <c r="B6344" s="834" t="str">
        <f t="shared" si="277"/>
        <v>|||</v>
      </c>
      <c r="H6344" s="835">
        <f t="shared" si="278"/>
        <v>31</v>
      </c>
      <c r="AF6344" s="831" t="s">
        <v>7003</v>
      </c>
      <c r="AG6344" s="831" t="s">
        <v>130</v>
      </c>
      <c r="AH6344" s="831" t="s">
        <v>197</v>
      </c>
      <c r="AI6344" s="831">
        <v>0</v>
      </c>
      <c r="AJ6344" s="835">
        <v>41394</v>
      </c>
      <c r="AK6344" s="831">
        <v>0</v>
      </c>
    </row>
    <row r="6345" spans="2:37">
      <c r="B6345" s="834" t="str">
        <f t="shared" si="277"/>
        <v>|||</v>
      </c>
      <c r="H6345" s="835">
        <f t="shared" si="278"/>
        <v>31</v>
      </c>
      <c r="AF6345" s="831" t="s">
        <v>7004</v>
      </c>
      <c r="AG6345" s="831" t="s">
        <v>130</v>
      </c>
      <c r="AH6345" s="831" t="s">
        <v>199</v>
      </c>
      <c r="AI6345" s="831">
        <v>0</v>
      </c>
      <c r="AJ6345" s="835">
        <v>41394</v>
      </c>
      <c r="AK6345" s="831">
        <v>0</v>
      </c>
    </row>
    <row r="6346" spans="2:37">
      <c r="B6346" s="834" t="str">
        <f t="shared" si="277"/>
        <v>|||</v>
      </c>
      <c r="H6346" s="835">
        <f t="shared" si="278"/>
        <v>31</v>
      </c>
      <c r="AF6346" s="831" t="s">
        <v>7005</v>
      </c>
      <c r="AG6346" s="831" t="s">
        <v>130</v>
      </c>
      <c r="AH6346" s="831" t="s">
        <v>201</v>
      </c>
      <c r="AI6346" s="831">
        <v>0</v>
      </c>
      <c r="AJ6346" s="835">
        <v>41394</v>
      </c>
      <c r="AK6346" s="831">
        <v>8377068</v>
      </c>
    </row>
    <row r="6347" spans="2:37">
      <c r="B6347" s="834" t="str">
        <f t="shared" si="277"/>
        <v>|||</v>
      </c>
      <c r="H6347" s="835">
        <f t="shared" si="278"/>
        <v>31</v>
      </c>
      <c r="AF6347" s="831" t="s">
        <v>7006</v>
      </c>
      <c r="AG6347" s="831" t="s">
        <v>130</v>
      </c>
      <c r="AH6347" s="831" t="s">
        <v>209</v>
      </c>
      <c r="AI6347" s="831">
        <v>0</v>
      </c>
      <c r="AJ6347" s="835">
        <v>41394</v>
      </c>
      <c r="AK6347" s="831">
        <v>46946408</v>
      </c>
    </row>
    <row r="6348" spans="2:37">
      <c r="B6348" s="834" t="str">
        <f t="shared" si="277"/>
        <v>|||</v>
      </c>
      <c r="H6348" s="835">
        <f t="shared" si="278"/>
        <v>31</v>
      </c>
      <c r="AF6348" s="831" t="s">
        <v>7007</v>
      </c>
      <c r="AG6348" s="831" t="s">
        <v>130</v>
      </c>
      <c r="AH6348" s="831" t="s">
        <v>211</v>
      </c>
      <c r="AI6348" s="831">
        <v>0</v>
      </c>
      <c r="AJ6348" s="835">
        <v>41394</v>
      </c>
      <c r="AK6348" s="831">
        <v>144702701</v>
      </c>
    </row>
    <row r="6349" spans="2:37">
      <c r="B6349" s="834" t="str">
        <f t="shared" si="277"/>
        <v>|||</v>
      </c>
      <c r="H6349" s="835">
        <f t="shared" si="278"/>
        <v>31</v>
      </c>
      <c r="AF6349" s="831" t="s">
        <v>7008</v>
      </c>
      <c r="AG6349" s="831" t="s">
        <v>130</v>
      </c>
      <c r="AH6349" s="831" t="s">
        <v>212</v>
      </c>
      <c r="AI6349" s="831">
        <v>0</v>
      </c>
      <c r="AJ6349" s="835">
        <v>41394</v>
      </c>
      <c r="AK6349" s="831">
        <v>5405786</v>
      </c>
    </row>
    <row r="6350" spans="2:37">
      <c r="B6350" s="834" t="str">
        <f t="shared" si="277"/>
        <v>|||</v>
      </c>
      <c r="H6350" s="835">
        <f t="shared" si="278"/>
        <v>31</v>
      </c>
      <c r="AF6350" s="831" t="s">
        <v>7009</v>
      </c>
      <c r="AG6350" s="831" t="s">
        <v>130</v>
      </c>
      <c r="AH6350" s="831" t="s">
        <v>216</v>
      </c>
      <c r="AI6350" s="831">
        <v>0</v>
      </c>
      <c r="AJ6350" s="835">
        <v>41394</v>
      </c>
      <c r="AK6350" s="831">
        <v>0</v>
      </c>
    </row>
    <row r="6351" spans="2:37">
      <c r="B6351" s="834" t="str">
        <f t="shared" si="277"/>
        <v>|||</v>
      </c>
      <c r="H6351" s="835">
        <f t="shared" si="278"/>
        <v>31</v>
      </c>
      <c r="AF6351" s="831" t="s">
        <v>7010</v>
      </c>
      <c r="AG6351" s="831" t="s">
        <v>130</v>
      </c>
      <c r="AH6351" s="831" t="s">
        <v>218</v>
      </c>
      <c r="AI6351" s="831">
        <v>0</v>
      </c>
      <c r="AJ6351" s="835">
        <v>41394</v>
      </c>
      <c r="AK6351" s="831">
        <v>107872456</v>
      </c>
    </row>
    <row r="6352" spans="2:37">
      <c r="B6352" s="834" t="str">
        <f t="shared" si="277"/>
        <v>|||</v>
      </c>
      <c r="H6352" s="835">
        <f t="shared" si="278"/>
        <v>31</v>
      </c>
      <c r="AF6352" s="831" t="s">
        <v>7011</v>
      </c>
      <c r="AG6352" s="831" t="s">
        <v>130</v>
      </c>
      <c r="AH6352" s="831" t="s">
        <v>220</v>
      </c>
      <c r="AI6352" s="831">
        <v>0</v>
      </c>
      <c r="AJ6352" s="835">
        <v>41394</v>
      </c>
      <c r="AK6352" s="831">
        <v>0</v>
      </c>
    </row>
    <row r="6353" spans="2:37">
      <c r="B6353" s="834" t="str">
        <f t="shared" si="277"/>
        <v>|||</v>
      </c>
      <c r="H6353" s="835">
        <f t="shared" si="278"/>
        <v>31</v>
      </c>
      <c r="AF6353" s="831" t="s">
        <v>7012</v>
      </c>
      <c r="AG6353" s="831" t="s">
        <v>130</v>
      </c>
      <c r="AH6353" s="831" t="s">
        <v>221</v>
      </c>
      <c r="AI6353" s="831">
        <v>0</v>
      </c>
      <c r="AJ6353" s="835">
        <v>41394</v>
      </c>
      <c r="AK6353" s="831">
        <v>9196583</v>
      </c>
    </row>
    <row r="6354" spans="2:37">
      <c r="B6354" s="834" t="str">
        <f t="shared" si="277"/>
        <v>|||</v>
      </c>
      <c r="H6354" s="835">
        <f t="shared" si="278"/>
        <v>31</v>
      </c>
      <c r="AF6354" s="831" t="s">
        <v>7013</v>
      </c>
      <c r="AG6354" s="831" t="s">
        <v>130</v>
      </c>
      <c r="AH6354" s="831" t="s">
        <v>228</v>
      </c>
      <c r="AI6354" s="831">
        <v>0</v>
      </c>
      <c r="AJ6354" s="835">
        <v>41394</v>
      </c>
      <c r="AK6354" s="831">
        <v>0</v>
      </c>
    </row>
    <row r="6355" spans="2:37">
      <c r="B6355" s="834" t="str">
        <f t="shared" si="277"/>
        <v>|||</v>
      </c>
      <c r="H6355" s="835">
        <f t="shared" si="278"/>
        <v>31</v>
      </c>
      <c r="AF6355" s="831" t="s">
        <v>7014</v>
      </c>
      <c r="AG6355" s="831" t="s">
        <v>130</v>
      </c>
      <c r="AH6355" s="831" t="s">
        <v>230</v>
      </c>
      <c r="AI6355" s="831">
        <v>0</v>
      </c>
      <c r="AJ6355" s="835">
        <v>41394</v>
      </c>
      <c r="AK6355" s="831">
        <v>0</v>
      </c>
    </row>
    <row r="6356" spans="2:37">
      <c r="B6356" s="834" t="str">
        <f t="shared" si="277"/>
        <v>|||</v>
      </c>
      <c r="H6356" s="835">
        <f t="shared" si="278"/>
        <v>31</v>
      </c>
      <c r="AF6356" s="831" t="s">
        <v>7015</v>
      </c>
      <c r="AG6356" s="831" t="s">
        <v>130</v>
      </c>
      <c r="AH6356" s="831" t="s">
        <v>231</v>
      </c>
      <c r="AI6356" s="831">
        <v>0</v>
      </c>
      <c r="AJ6356" s="835">
        <v>41394</v>
      </c>
      <c r="AK6356" s="831">
        <v>0</v>
      </c>
    </row>
    <row r="6357" spans="2:37">
      <c r="B6357" s="834" t="str">
        <f t="shared" si="277"/>
        <v>|||</v>
      </c>
      <c r="H6357" s="835">
        <f t="shared" si="278"/>
        <v>31</v>
      </c>
      <c r="AF6357" s="831" t="s">
        <v>7016</v>
      </c>
      <c r="AG6357" s="831" t="s">
        <v>130</v>
      </c>
      <c r="AH6357" s="831" t="s">
        <v>232</v>
      </c>
      <c r="AI6357" s="831">
        <v>0</v>
      </c>
      <c r="AJ6357" s="835">
        <v>41394</v>
      </c>
      <c r="AK6357" s="831">
        <v>140866409</v>
      </c>
    </row>
    <row r="6358" spans="2:37">
      <c r="B6358" s="834" t="str">
        <f t="shared" si="277"/>
        <v>|||</v>
      </c>
      <c r="H6358" s="835">
        <f t="shared" si="278"/>
        <v>31</v>
      </c>
      <c r="AF6358" s="831" t="s">
        <v>7017</v>
      </c>
      <c r="AG6358" s="831" t="s">
        <v>130</v>
      </c>
      <c r="AH6358" s="831" t="s">
        <v>116</v>
      </c>
      <c r="AI6358" s="831">
        <v>0</v>
      </c>
      <c r="AJ6358" s="835">
        <v>41394</v>
      </c>
      <c r="AK6358" s="831">
        <v>8011174</v>
      </c>
    </row>
    <row r="6359" spans="2:37">
      <c r="B6359" s="834" t="str">
        <f t="shared" si="277"/>
        <v>|||</v>
      </c>
      <c r="H6359" s="835">
        <f t="shared" si="278"/>
        <v>31</v>
      </c>
      <c r="AF6359" s="831" t="s">
        <v>7018</v>
      </c>
      <c r="AG6359" s="831" t="s">
        <v>130</v>
      </c>
      <c r="AH6359" s="831" t="s">
        <v>234</v>
      </c>
      <c r="AI6359" s="831">
        <v>0</v>
      </c>
      <c r="AJ6359" s="835">
        <v>41394</v>
      </c>
      <c r="AK6359" s="831">
        <v>0</v>
      </c>
    </row>
    <row r="6360" spans="2:37">
      <c r="B6360" s="834" t="str">
        <f t="shared" si="277"/>
        <v>|||</v>
      </c>
      <c r="H6360" s="835">
        <f t="shared" si="278"/>
        <v>31</v>
      </c>
      <c r="AF6360" s="831" t="s">
        <v>7019</v>
      </c>
      <c r="AG6360" s="831" t="s">
        <v>130</v>
      </c>
      <c r="AH6360" s="831" t="s">
        <v>235</v>
      </c>
      <c r="AI6360" s="831">
        <v>0</v>
      </c>
      <c r="AJ6360" s="835">
        <v>41394</v>
      </c>
      <c r="AK6360" s="831">
        <v>0</v>
      </c>
    </row>
    <row r="6361" spans="2:37">
      <c r="B6361" s="834" t="str">
        <f t="shared" si="277"/>
        <v>|||</v>
      </c>
      <c r="H6361" s="835">
        <f t="shared" si="278"/>
        <v>31</v>
      </c>
      <c r="AF6361" s="831" t="s">
        <v>7020</v>
      </c>
      <c r="AG6361" s="831" t="s">
        <v>130</v>
      </c>
      <c r="AH6361" s="831" t="s">
        <v>238</v>
      </c>
      <c r="AI6361" s="831">
        <v>0</v>
      </c>
      <c r="AJ6361" s="835">
        <v>41394</v>
      </c>
      <c r="AK6361" s="831">
        <v>0</v>
      </c>
    </row>
    <row r="6362" spans="2:37">
      <c r="B6362" s="834" t="str">
        <f t="shared" si="277"/>
        <v>|||</v>
      </c>
      <c r="H6362" s="835">
        <f t="shared" si="278"/>
        <v>31</v>
      </c>
      <c r="AF6362" s="831" t="s">
        <v>7021</v>
      </c>
      <c r="AG6362" s="831" t="s">
        <v>130</v>
      </c>
      <c r="AH6362" s="831" t="s">
        <v>240</v>
      </c>
      <c r="AI6362" s="831">
        <v>0</v>
      </c>
      <c r="AJ6362" s="835">
        <v>41394</v>
      </c>
      <c r="AK6362" s="831">
        <v>85000000</v>
      </c>
    </row>
    <row r="6363" spans="2:37">
      <c r="B6363" s="834" t="str">
        <f t="shared" si="277"/>
        <v>|||</v>
      </c>
      <c r="H6363" s="835">
        <f t="shared" si="278"/>
        <v>31</v>
      </c>
      <c r="AF6363" s="831" t="s">
        <v>7022</v>
      </c>
      <c r="AG6363" s="831" t="s">
        <v>130</v>
      </c>
      <c r="AH6363" s="831" t="s">
        <v>241</v>
      </c>
      <c r="AI6363" s="831">
        <v>0</v>
      </c>
      <c r="AJ6363" s="835">
        <v>41394</v>
      </c>
      <c r="AK6363" s="831">
        <v>0</v>
      </c>
    </row>
    <row r="6364" spans="2:37">
      <c r="B6364" s="834" t="str">
        <f t="shared" si="277"/>
        <v>|||</v>
      </c>
      <c r="H6364" s="835">
        <f t="shared" si="278"/>
        <v>31</v>
      </c>
      <c r="AF6364" s="831" t="s">
        <v>7023</v>
      </c>
      <c r="AG6364" s="831" t="s">
        <v>130</v>
      </c>
      <c r="AH6364" s="831" t="s">
        <v>242</v>
      </c>
      <c r="AI6364" s="831">
        <v>0</v>
      </c>
      <c r="AJ6364" s="835">
        <v>41394</v>
      </c>
      <c r="AK6364" s="831">
        <v>0</v>
      </c>
    </row>
    <row r="6365" spans="2:37">
      <c r="B6365" s="834" t="str">
        <f t="shared" si="277"/>
        <v>|||</v>
      </c>
      <c r="H6365" s="835">
        <f t="shared" si="278"/>
        <v>31</v>
      </c>
      <c r="AF6365" s="831" t="s">
        <v>7024</v>
      </c>
      <c r="AG6365" s="831" t="s">
        <v>130</v>
      </c>
      <c r="AH6365" s="831" t="s">
        <v>244</v>
      </c>
      <c r="AI6365" s="831">
        <v>0</v>
      </c>
      <c r="AJ6365" s="835">
        <v>41394</v>
      </c>
      <c r="AK6365" s="831">
        <v>9763223</v>
      </c>
    </row>
    <row r="6366" spans="2:37">
      <c r="B6366" s="834" t="str">
        <f t="shared" si="277"/>
        <v>|||</v>
      </c>
      <c r="H6366" s="835">
        <f t="shared" si="278"/>
        <v>31</v>
      </c>
      <c r="AF6366" s="831" t="s">
        <v>7025</v>
      </c>
      <c r="AG6366" s="831" t="s">
        <v>130</v>
      </c>
      <c r="AH6366" s="831" t="s">
        <v>245</v>
      </c>
      <c r="AI6366" s="831">
        <v>0</v>
      </c>
      <c r="AJ6366" s="835">
        <v>41394</v>
      </c>
      <c r="AK6366" s="831">
        <v>8564643</v>
      </c>
    </row>
    <row r="6367" spans="2:37">
      <c r="B6367" s="834" t="str">
        <f t="shared" si="277"/>
        <v>|||</v>
      </c>
      <c r="H6367" s="835">
        <f t="shared" si="278"/>
        <v>31</v>
      </c>
      <c r="AF6367" s="831" t="s">
        <v>7026</v>
      </c>
      <c r="AG6367" s="831" t="s">
        <v>130</v>
      </c>
      <c r="AH6367" s="831" t="s">
        <v>145</v>
      </c>
      <c r="AI6367" s="831">
        <v>0</v>
      </c>
      <c r="AJ6367" s="835">
        <v>41425</v>
      </c>
      <c r="AK6367" s="831">
        <v>32087343</v>
      </c>
    </row>
    <row r="6368" spans="2:37">
      <c r="B6368" s="834" t="str">
        <f t="shared" si="277"/>
        <v>|||</v>
      </c>
      <c r="H6368" s="835">
        <f t="shared" si="278"/>
        <v>31</v>
      </c>
      <c r="AF6368" s="831" t="s">
        <v>7027</v>
      </c>
      <c r="AG6368" s="831" t="s">
        <v>130</v>
      </c>
      <c r="AH6368" s="831" t="s">
        <v>149</v>
      </c>
      <c r="AI6368" s="831">
        <v>0</v>
      </c>
      <c r="AJ6368" s="835">
        <v>41425</v>
      </c>
      <c r="AK6368" s="831">
        <v>0</v>
      </c>
    </row>
    <row r="6369" spans="2:37">
      <c r="B6369" s="834" t="str">
        <f t="shared" si="277"/>
        <v>|||</v>
      </c>
      <c r="H6369" s="835">
        <f t="shared" si="278"/>
        <v>31</v>
      </c>
      <c r="AF6369" s="831" t="s">
        <v>7028</v>
      </c>
      <c r="AG6369" s="831" t="s">
        <v>130</v>
      </c>
      <c r="AH6369" s="831" t="s">
        <v>153</v>
      </c>
      <c r="AI6369" s="831">
        <v>0</v>
      </c>
      <c r="AJ6369" s="835">
        <v>41425</v>
      </c>
      <c r="AK6369" s="831">
        <v>12946872</v>
      </c>
    </row>
    <row r="6370" spans="2:37">
      <c r="B6370" s="834" t="str">
        <f t="shared" si="277"/>
        <v>|||</v>
      </c>
      <c r="H6370" s="835">
        <f t="shared" si="278"/>
        <v>31</v>
      </c>
      <c r="AF6370" s="831" t="s">
        <v>7029</v>
      </c>
      <c r="AG6370" s="831" t="s">
        <v>130</v>
      </c>
      <c r="AH6370" s="831" t="s">
        <v>156</v>
      </c>
      <c r="AI6370" s="831">
        <v>0</v>
      </c>
      <c r="AJ6370" s="835">
        <v>41425</v>
      </c>
      <c r="AK6370" s="831">
        <v>0</v>
      </c>
    </row>
    <row r="6371" spans="2:37">
      <c r="B6371" s="834" t="str">
        <f t="shared" si="277"/>
        <v>|||</v>
      </c>
      <c r="H6371" s="835">
        <f t="shared" si="278"/>
        <v>31</v>
      </c>
      <c r="AF6371" s="831" t="s">
        <v>7030</v>
      </c>
      <c r="AG6371" s="831" t="s">
        <v>130</v>
      </c>
      <c r="AH6371" s="831" t="s">
        <v>162</v>
      </c>
      <c r="AI6371" s="831">
        <v>0</v>
      </c>
      <c r="AJ6371" s="835">
        <v>41425</v>
      </c>
      <c r="AK6371" s="831">
        <v>505264542</v>
      </c>
    </row>
    <row r="6372" spans="2:37">
      <c r="B6372" s="834" t="str">
        <f t="shared" si="277"/>
        <v>|||</v>
      </c>
      <c r="H6372" s="835">
        <f t="shared" si="278"/>
        <v>31</v>
      </c>
      <c r="AF6372" s="831" t="s">
        <v>7031</v>
      </c>
      <c r="AG6372" s="831" t="s">
        <v>130</v>
      </c>
      <c r="AH6372" s="831" t="s">
        <v>165</v>
      </c>
      <c r="AI6372" s="831">
        <v>0</v>
      </c>
      <c r="AJ6372" s="835">
        <v>41425</v>
      </c>
      <c r="AK6372" s="831">
        <v>-12896676</v>
      </c>
    </row>
    <row r="6373" spans="2:37">
      <c r="B6373" s="834" t="str">
        <f t="shared" si="277"/>
        <v>|||</v>
      </c>
      <c r="H6373" s="835">
        <f t="shared" si="278"/>
        <v>31</v>
      </c>
      <c r="AF6373" s="831" t="s">
        <v>7032</v>
      </c>
      <c r="AG6373" s="831" t="s">
        <v>130</v>
      </c>
      <c r="AH6373" s="831" t="s">
        <v>171</v>
      </c>
      <c r="AI6373" s="831">
        <v>0</v>
      </c>
      <c r="AJ6373" s="835">
        <v>41425</v>
      </c>
      <c r="AK6373" s="831">
        <v>3278259</v>
      </c>
    </row>
    <row r="6374" spans="2:37">
      <c r="B6374" s="834" t="str">
        <f t="shared" si="277"/>
        <v>|||</v>
      </c>
      <c r="H6374" s="835">
        <f t="shared" si="278"/>
        <v>31</v>
      </c>
      <c r="AF6374" s="831" t="s">
        <v>7033</v>
      </c>
      <c r="AG6374" s="831" t="s">
        <v>130</v>
      </c>
      <c r="AH6374" s="831" t="s">
        <v>174</v>
      </c>
      <c r="AI6374" s="831">
        <v>0</v>
      </c>
      <c r="AJ6374" s="835">
        <v>41425</v>
      </c>
      <c r="AK6374" s="831">
        <v>0</v>
      </c>
    </row>
    <row r="6375" spans="2:37">
      <c r="B6375" s="834" t="str">
        <f t="shared" si="277"/>
        <v>|||</v>
      </c>
      <c r="H6375" s="835">
        <f t="shared" si="278"/>
        <v>31</v>
      </c>
      <c r="AF6375" s="831" t="s">
        <v>7034</v>
      </c>
      <c r="AG6375" s="831" t="s">
        <v>130</v>
      </c>
      <c r="AH6375" s="831" t="s">
        <v>181</v>
      </c>
      <c r="AI6375" s="831">
        <v>0</v>
      </c>
      <c r="AJ6375" s="835">
        <v>41425</v>
      </c>
      <c r="AK6375" s="831">
        <v>49834611</v>
      </c>
    </row>
    <row r="6376" spans="2:37">
      <c r="B6376" s="834" t="str">
        <f t="shared" si="277"/>
        <v>|||</v>
      </c>
      <c r="H6376" s="835">
        <f t="shared" si="278"/>
        <v>31</v>
      </c>
      <c r="AF6376" s="831" t="s">
        <v>7035</v>
      </c>
      <c r="AG6376" s="831" t="s">
        <v>130</v>
      </c>
      <c r="AH6376" s="831" t="s">
        <v>184</v>
      </c>
      <c r="AI6376" s="831">
        <v>0</v>
      </c>
      <c r="AJ6376" s="835">
        <v>41425</v>
      </c>
      <c r="AK6376" s="831">
        <v>-13326650</v>
      </c>
    </row>
    <row r="6377" spans="2:37">
      <c r="B6377" s="834" t="str">
        <f t="shared" si="277"/>
        <v>|||</v>
      </c>
      <c r="H6377" s="835">
        <f t="shared" si="278"/>
        <v>31</v>
      </c>
      <c r="AF6377" s="831" t="s">
        <v>7036</v>
      </c>
      <c r="AG6377" s="831" t="s">
        <v>130</v>
      </c>
      <c r="AH6377" s="831" t="s">
        <v>187</v>
      </c>
      <c r="AI6377" s="831">
        <v>0</v>
      </c>
      <c r="AJ6377" s="835">
        <v>41425</v>
      </c>
      <c r="AK6377" s="831">
        <v>0</v>
      </c>
    </row>
    <row r="6378" spans="2:37">
      <c r="B6378" s="834" t="str">
        <f t="shared" si="277"/>
        <v>|||</v>
      </c>
      <c r="H6378" s="835">
        <f t="shared" si="278"/>
        <v>31</v>
      </c>
      <c r="AF6378" s="831" t="s">
        <v>7037</v>
      </c>
      <c r="AG6378" s="831" t="s">
        <v>130</v>
      </c>
      <c r="AH6378" s="831" t="s">
        <v>196</v>
      </c>
      <c r="AI6378" s="831">
        <v>0</v>
      </c>
      <c r="AJ6378" s="835">
        <v>41425</v>
      </c>
      <c r="AK6378" s="831">
        <v>9165450</v>
      </c>
    </row>
    <row r="6379" spans="2:37">
      <c r="B6379" s="834" t="str">
        <f t="shared" si="277"/>
        <v>|||</v>
      </c>
      <c r="H6379" s="835">
        <f t="shared" si="278"/>
        <v>31</v>
      </c>
      <c r="AF6379" s="831" t="s">
        <v>7038</v>
      </c>
      <c r="AG6379" s="831" t="s">
        <v>130</v>
      </c>
      <c r="AH6379" s="831" t="s">
        <v>197</v>
      </c>
      <c r="AI6379" s="831">
        <v>0</v>
      </c>
      <c r="AJ6379" s="835">
        <v>41425</v>
      </c>
      <c r="AK6379" s="831">
        <v>0</v>
      </c>
    </row>
    <row r="6380" spans="2:37">
      <c r="B6380" s="834" t="str">
        <f t="shared" si="277"/>
        <v>|||</v>
      </c>
      <c r="H6380" s="835">
        <f t="shared" si="278"/>
        <v>31</v>
      </c>
      <c r="AF6380" s="831" t="s">
        <v>7039</v>
      </c>
      <c r="AG6380" s="831" t="s">
        <v>130</v>
      </c>
      <c r="AH6380" s="831" t="s">
        <v>199</v>
      </c>
      <c r="AI6380" s="831">
        <v>0</v>
      </c>
      <c r="AJ6380" s="835">
        <v>41425</v>
      </c>
      <c r="AK6380" s="831">
        <v>0</v>
      </c>
    </row>
    <row r="6381" spans="2:37">
      <c r="B6381" s="834" t="str">
        <f t="shared" si="277"/>
        <v>|||</v>
      </c>
      <c r="H6381" s="835">
        <f t="shared" si="278"/>
        <v>31</v>
      </c>
      <c r="AF6381" s="831" t="s">
        <v>7040</v>
      </c>
      <c r="AG6381" s="831" t="s">
        <v>130</v>
      </c>
      <c r="AH6381" s="831" t="s">
        <v>201</v>
      </c>
      <c r="AI6381" s="831">
        <v>0</v>
      </c>
      <c r="AJ6381" s="835">
        <v>41425</v>
      </c>
      <c r="AK6381" s="831">
        <v>8939225</v>
      </c>
    </row>
    <row r="6382" spans="2:37">
      <c r="B6382" s="834" t="str">
        <f t="shared" si="277"/>
        <v>|||</v>
      </c>
      <c r="H6382" s="835">
        <f t="shared" si="278"/>
        <v>31</v>
      </c>
      <c r="AF6382" s="831" t="s">
        <v>7041</v>
      </c>
      <c r="AG6382" s="831" t="s">
        <v>130</v>
      </c>
      <c r="AH6382" s="831" t="s">
        <v>209</v>
      </c>
      <c r="AI6382" s="831">
        <v>0</v>
      </c>
      <c r="AJ6382" s="835">
        <v>41425</v>
      </c>
      <c r="AK6382" s="831">
        <v>48008038</v>
      </c>
    </row>
    <row r="6383" spans="2:37">
      <c r="B6383" s="834" t="str">
        <f t="shared" si="277"/>
        <v>|||</v>
      </c>
      <c r="H6383" s="835">
        <f t="shared" si="278"/>
        <v>31</v>
      </c>
      <c r="AF6383" s="831" t="s">
        <v>7042</v>
      </c>
      <c r="AG6383" s="831" t="s">
        <v>130</v>
      </c>
      <c r="AH6383" s="831" t="s">
        <v>211</v>
      </c>
      <c r="AI6383" s="831">
        <v>0</v>
      </c>
      <c r="AJ6383" s="835">
        <v>41425</v>
      </c>
      <c r="AK6383" s="831">
        <v>151522352</v>
      </c>
    </row>
    <row r="6384" spans="2:37">
      <c r="B6384" s="834" t="str">
        <f t="shared" si="277"/>
        <v>|||</v>
      </c>
      <c r="H6384" s="835">
        <f t="shared" si="278"/>
        <v>31</v>
      </c>
      <c r="AF6384" s="831" t="s">
        <v>7043</v>
      </c>
      <c r="AG6384" s="831" t="s">
        <v>130</v>
      </c>
      <c r="AH6384" s="831" t="s">
        <v>212</v>
      </c>
      <c r="AI6384" s="831">
        <v>0</v>
      </c>
      <c r="AJ6384" s="835">
        <v>41425</v>
      </c>
      <c r="AK6384" s="831">
        <v>6884480</v>
      </c>
    </row>
    <row r="6385" spans="2:37">
      <c r="B6385" s="834" t="str">
        <f t="shared" si="277"/>
        <v>|||</v>
      </c>
      <c r="H6385" s="835">
        <f t="shared" si="278"/>
        <v>31</v>
      </c>
      <c r="AF6385" s="831" t="s">
        <v>7044</v>
      </c>
      <c r="AG6385" s="831" t="s">
        <v>130</v>
      </c>
      <c r="AH6385" s="831" t="s">
        <v>216</v>
      </c>
      <c r="AI6385" s="831">
        <v>0</v>
      </c>
      <c r="AJ6385" s="835">
        <v>41425</v>
      </c>
      <c r="AK6385" s="831">
        <v>0</v>
      </c>
    </row>
    <row r="6386" spans="2:37">
      <c r="B6386" s="834" t="str">
        <f t="shared" si="277"/>
        <v>|||</v>
      </c>
      <c r="H6386" s="835">
        <f t="shared" si="278"/>
        <v>31</v>
      </c>
      <c r="AF6386" s="831" t="s">
        <v>7045</v>
      </c>
      <c r="AG6386" s="831" t="s">
        <v>130</v>
      </c>
      <c r="AH6386" s="831" t="s">
        <v>218</v>
      </c>
      <c r="AI6386" s="831">
        <v>0</v>
      </c>
      <c r="AJ6386" s="835">
        <v>41425</v>
      </c>
      <c r="AK6386" s="831">
        <v>137160940</v>
      </c>
    </row>
    <row r="6387" spans="2:37">
      <c r="B6387" s="834" t="str">
        <f t="shared" si="277"/>
        <v>|||</v>
      </c>
      <c r="H6387" s="835">
        <f t="shared" si="278"/>
        <v>31</v>
      </c>
      <c r="AF6387" s="831" t="s">
        <v>7046</v>
      </c>
      <c r="AG6387" s="831" t="s">
        <v>130</v>
      </c>
      <c r="AH6387" s="831" t="s">
        <v>220</v>
      </c>
      <c r="AI6387" s="831">
        <v>0</v>
      </c>
      <c r="AJ6387" s="835">
        <v>41425</v>
      </c>
      <c r="AK6387" s="831">
        <v>0</v>
      </c>
    </row>
    <row r="6388" spans="2:37">
      <c r="B6388" s="834" t="str">
        <f t="shared" si="277"/>
        <v>|||</v>
      </c>
      <c r="H6388" s="835">
        <f t="shared" si="278"/>
        <v>31</v>
      </c>
      <c r="AF6388" s="831" t="s">
        <v>7047</v>
      </c>
      <c r="AG6388" s="831" t="s">
        <v>130</v>
      </c>
      <c r="AH6388" s="831" t="s">
        <v>221</v>
      </c>
      <c r="AI6388" s="831">
        <v>0</v>
      </c>
      <c r="AJ6388" s="835">
        <v>41425</v>
      </c>
      <c r="AK6388" s="831">
        <v>8541953</v>
      </c>
    </row>
    <row r="6389" spans="2:37">
      <c r="B6389" s="834" t="str">
        <f t="shared" si="277"/>
        <v>|||</v>
      </c>
      <c r="H6389" s="835">
        <f t="shared" si="278"/>
        <v>31</v>
      </c>
      <c r="AF6389" s="831" t="s">
        <v>7048</v>
      </c>
      <c r="AG6389" s="831" t="s">
        <v>130</v>
      </c>
      <c r="AH6389" s="831" t="s">
        <v>228</v>
      </c>
      <c r="AI6389" s="831">
        <v>0</v>
      </c>
      <c r="AJ6389" s="835">
        <v>41425</v>
      </c>
      <c r="AK6389" s="831">
        <v>0</v>
      </c>
    </row>
    <row r="6390" spans="2:37">
      <c r="B6390" s="834" t="str">
        <f t="shared" si="277"/>
        <v>|||</v>
      </c>
      <c r="H6390" s="835">
        <f t="shared" si="278"/>
        <v>31</v>
      </c>
      <c r="AF6390" s="831" t="s">
        <v>7049</v>
      </c>
      <c r="AG6390" s="831" t="s">
        <v>130</v>
      </c>
      <c r="AH6390" s="831" t="s">
        <v>230</v>
      </c>
      <c r="AI6390" s="831">
        <v>0</v>
      </c>
      <c r="AJ6390" s="835">
        <v>41425</v>
      </c>
      <c r="AK6390" s="831">
        <v>0</v>
      </c>
    </row>
    <row r="6391" spans="2:37">
      <c r="B6391" s="834" t="str">
        <f t="shared" si="277"/>
        <v>|||</v>
      </c>
      <c r="H6391" s="835">
        <f t="shared" si="278"/>
        <v>31</v>
      </c>
      <c r="AF6391" s="831" t="s">
        <v>7050</v>
      </c>
      <c r="AG6391" s="831" t="s">
        <v>130</v>
      </c>
      <c r="AH6391" s="831" t="s">
        <v>231</v>
      </c>
      <c r="AI6391" s="831">
        <v>0</v>
      </c>
      <c r="AJ6391" s="835">
        <v>41425</v>
      </c>
      <c r="AK6391" s="831">
        <v>0</v>
      </c>
    </row>
    <row r="6392" spans="2:37">
      <c r="B6392" s="834" t="str">
        <f t="shared" si="277"/>
        <v>|||</v>
      </c>
      <c r="H6392" s="835">
        <f t="shared" si="278"/>
        <v>31</v>
      </c>
      <c r="AF6392" s="831" t="s">
        <v>7051</v>
      </c>
      <c r="AG6392" s="831" t="s">
        <v>130</v>
      </c>
      <c r="AH6392" s="831" t="s">
        <v>232</v>
      </c>
      <c r="AI6392" s="831">
        <v>0</v>
      </c>
      <c r="AJ6392" s="835">
        <v>41425</v>
      </c>
      <c r="AK6392" s="831">
        <v>129512683</v>
      </c>
    </row>
    <row r="6393" spans="2:37">
      <c r="B6393" s="834" t="str">
        <f t="shared" si="277"/>
        <v>|||</v>
      </c>
      <c r="H6393" s="835">
        <f t="shared" si="278"/>
        <v>31</v>
      </c>
      <c r="AF6393" s="831" t="s">
        <v>7052</v>
      </c>
      <c r="AG6393" s="831" t="s">
        <v>130</v>
      </c>
      <c r="AH6393" s="831" t="s">
        <v>116</v>
      </c>
      <c r="AI6393" s="831">
        <v>0</v>
      </c>
      <c r="AJ6393" s="835">
        <v>41425</v>
      </c>
      <c r="AK6393" s="831">
        <v>8011174</v>
      </c>
    </row>
    <row r="6394" spans="2:37">
      <c r="B6394" s="834" t="str">
        <f t="shared" si="277"/>
        <v>|||</v>
      </c>
      <c r="H6394" s="835">
        <f t="shared" si="278"/>
        <v>31</v>
      </c>
      <c r="AF6394" s="831" t="s">
        <v>7053</v>
      </c>
      <c r="AG6394" s="831" t="s">
        <v>130</v>
      </c>
      <c r="AH6394" s="831" t="s">
        <v>234</v>
      </c>
      <c r="AI6394" s="831">
        <v>0</v>
      </c>
      <c r="AJ6394" s="835">
        <v>41425</v>
      </c>
      <c r="AK6394" s="831">
        <v>0</v>
      </c>
    </row>
    <row r="6395" spans="2:37">
      <c r="B6395" s="834" t="str">
        <f t="shared" si="277"/>
        <v>|||</v>
      </c>
      <c r="H6395" s="835">
        <f t="shared" si="278"/>
        <v>31</v>
      </c>
      <c r="AF6395" s="831" t="s">
        <v>7054</v>
      </c>
      <c r="AG6395" s="831" t="s">
        <v>130</v>
      </c>
      <c r="AH6395" s="831" t="s">
        <v>235</v>
      </c>
      <c r="AI6395" s="831">
        <v>0</v>
      </c>
      <c r="AJ6395" s="835">
        <v>41425</v>
      </c>
      <c r="AK6395" s="831">
        <v>0</v>
      </c>
    </row>
    <row r="6396" spans="2:37">
      <c r="B6396" s="834" t="str">
        <f t="shared" si="277"/>
        <v>|||</v>
      </c>
      <c r="H6396" s="835">
        <f t="shared" si="278"/>
        <v>31</v>
      </c>
      <c r="AF6396" s="831" t="s">
        <v>7055</v>
      </c>
      <c r="AG6396" s="831" t="s">
        <v>130</v>
      </c>
      <c r="AH6396" s="831" t="s">
        <v>238</v>
      </c>
      <c r="AI6396" s="831">
        <v>0</v>
      </c>
      <c r="AJ6396" s="835">
        <v>41425</v>
      </c>
      <c r="AK6396" s="831">
        <v>0</v>
      </c>
    </row>
    <row r="6397" spans="2:37">
      <c r="B6397" s="834" t="str">
        <f t="shared" si="277"/>
        <v>|||</v>
      </c>
      <c r="H6397" s="835">
        <f t="shared" si="278"/>
        <v>31</v>
      </c>
      <c r="AF6397" s="831" t="s">
        <v>7056</v>
      </c>
      <c r="AG6397" s="831" t="s">
        <v>130</v>
      </c>
      <c r="AH6397" s="831" t="s">
        <v>240</v>
      </c>
      <c r="AI6397" s="831">
        <v>0</v>
      </c>
      <c r="AJ6397" s="835">
        <v>41425</v>
      </c>
      <c r="AK6397" s="831">
        <v>85000000</v>
      </c>
    </row>
    <row r="6398" spans="2:37">
      <c r="B6398" s="834" t="str">
        <f t="shared" si="277"/>
        <v>|||</v>
      </c>
      <c r="H6398" s="835">
        <f t="shared" si="278"/>
        <v>31</v>
      </c>
      <c r="AF6398" s="831" t="s">
        <v>7057</v>
      </c>
      <c r="AG6398" s="831" t="s">
        <v>130</v>
      </c>
      <c r="AH6398" s="831" t="s">
        <v>241</v>
      </c>
      <c r="AI6398" s="831">
        <v>0</v>
      </c>
      <c r="AJ6398" s="835">
        <v>41425</v>
      </c>
      <c r="AK6398" s="831">
        <v>0</v>
      </c>
    </row>
    <row r="6399" spans="2:37">
      <c r="B6399" s="834" t="str">
        <f t="shared" si="277"/>
        <v>|||</v>
      </c>
      <c r="H6399" s="835">
        <f t="shared" si="278"/>
        <v>31</v>
      </c>
      <c r="AF6399" s="831" t="s">
        <v>7058</v>
      </c>
      <c r="AG6399" s="831" t="s">
        <v>130</v>
      </c>
      <c r="AH6399" s="831" t="s">
        <v>242</v>
      </c>
      <c r="AI6399" s="831">
        <v>0</v>
      </c>
      <c r="AJ6399" s="835">
        <v>41425</v>
      </c>
      <c r="AK6399" s="831">
        <v>0</v>
      </c>
    </row>
    <row r="6400" spans="2:37">
      <c r="B6400" s="834" t="str">
        <f t="shared" si="277"/>
        <v>|||</v>
      </c>
      <c r="H6400" s="835">
        <f t="shared" si="278"/>
        <v>31</v>
      </c>
      <c r="AF6400" s="831" t="s">
        <v>7059</v>
      </c>
      <c r="AG6400" s="831" t="s">
        <v>130</v>
      </c>
      <c r="AH6400" s="831" t="s">
        <v>244</v>
      </c>
      <c r="AI6400" s="831">
        <v>0</v>
      </c>
      <c r="AJ6400" s="835">
        <v>41425</v>
      </c>
      <c r="AK6400" s="831">
        <v>9763223</v>
      </c>
    </row>
    <row r="6401" spans="2:37">
      <c r="B6401" s="834" t="str">
        <f t="shared" si="277"/>
        <v>|||</v>
      </c>
      <c r="H6401" s="835">
        <f t="shared" si="278"/>
        <v>31</v>
      </c>
      <c r="AF6401" s="831" t="s">
        <v>7060</v>
      </c>
      <c r="AG6401" s="831" t="s">
        <v>130</v>
      </c>
      <c r="AH6401" s="831" t="s">
        <v>245</v>
      </c>
      <c r="AI6401" s="831">
        <v>0</v>
      </c>
      <c r="AJ6401" s="835">
        <v>41425</v>
      </c>
      <c r="AK6401" s="831">
        <v>10888133</v>
      </c>
    </row>
    <row r="6402" spans="2:37">
      <c r="B6402" s="834" t="str">
        <f t="shared" si="277"/>
        <v>|||</v>
      </c>
      <c r="H6402" s="835">
        <f t="shared" si="278"/>
        <v>31</v>
      </c>
      <c r="AF6402" s="831" t="s">
        <v>7061</v>
      </c>
      <c r="AG6402" s="831" t="s">
        <v>130</v>
      </c>
      <c r="AH6402" s="831" t="s">
        <v>145</v>
      </c>
      <c r="AI6402" s="831">
        <v>0</v>
      </c>
      <c r="AJ6402" s="835">
        <v>41455</v>
      </c>
      <c r="AK6402" s="831">
        <v>31579139</v>
      </c>
    </row>
    <row r="6403" spans="2:37">
      <c r="B6403" s="834" t="str">
        <f t="shared" ref="B6403:B6466" si="279">C6403&amp;"|"&amp;D6403&amp;"|"&amp;E6403&amp;"|"&amp;F6403</f>
        <v>|||</v>
      </c>
      <c r="H6403" s="835">
        <f t="shared" si="278"/>
        <v>31</v>
      </c>
      <c r="AF6403" s="831" t="s">
        <v>7062</v>
      </c>
      <c r="AG6403" s="831" t="s">
        <v>130</v>
      </c>
      <c r="AH6403" s="831" t="s">
        <v>149</v>
      </c>
      <c r="AI6403" s="831">
        <v>0</v>
      </c>
      <c r="AJ6403" s="835">
        <v>41455</v>
      </c>
      <c r="AK6403" s="831">
        <v>0</v>
      </c>
    </row>
    <row r="6404" spans="2:37">
      <c r="B6404" s="834" t="str">
        <f t="shared" si="279"/>
        <v>|||</v>
      </c>
      <c r="H6404" s="835">
        <f t="shared" ref="H6404:H6467" si="280">EOMONTH(L6404,0)</f>
        <v>31</v>
      </c>
      <c r="AF6404" s="831" t="s">
        <v>7063</v>
      </c>
      <c r="AG6404" s="831" t="s">
        <v>130</v>
      </c>
      <c r="AH6404" s="831" t="s">
        <v>153</v>
      </c>
      <c r="AI6404" s="831">
        <v>0</v>
      </c>
      <c r="AJ6404" s="835">
        <v>41455</v>
      </c>
      <c r="AK6404" s="831">
        <v>47489546</v>
      </c>
    </row>
    <row r="6405" spans="2:37">
      <c r="B6405" s="834" t="str">
        <f t="shared" si="279"/>
        <v>|||</v>
      </c>
      <c r="H6405" s="835">
        <f t="shared" si="280"/>
        <v>31</v>
      </c>
      <c r="AF6405" s="831" t="s">
        <v>7064</v>
      </c>
      <c r="AG6405" s="831" t="s">
        <v>130</v>
      </c>
      <c r="AH6405" s="831" t="s">
        <v>156</v>
      </c>
      <c r="AI6405" s="831">
        <v>0</v>
      </c>
      <c r="AJ6405" s="835">
        <v>41455</v>
      </c>
      <c r="AK6405" s="831">
        <v>0</v>
      </c>
    </row>
    <row r="6406" spans="2:37">
      <c r="B6406" s="834" t="str">
        <f t="shared" si="279"/>
        <v>|||</v>
      </c>
      <c r="H6406" s="835">
        <f t="shared" si="280"/>
        <v>31</v>
      </c>
      <c r="AF6406" s="831" t="s">
        <v>7065</v>
      </c>
      <c r="AG6406" s="831" t="s">
        <v>130</v>
      </c>
      <c r="AH6406" s="831" t="s">
        <v>162</v>
      </c>
      <c r="AI6406" s="831">
        <v>0</v>
      </c>
      <c r="AJ6406" s="835">
        <v>41455</v>
      </c>
      <c r="AK6406" s="831">
        <v>514798833</v>
      </c>
    </row>
    <row r="6407" spans="2:37">
      <c r="B6407" s="834" t="str">
        <f t="shared" si="279"/>
        <v>|||</v>
      </c>
      <c r="H6407" s="835">
        <f t="shared" si="280"/>
        <v>31</v>
      </c>
      <c r="AF6407" s="831" t="s">
        <v>7066</v>
      </c>
      <c r="AG6407" s="831" t="s">
        <v>130</v>
      </c>
      <c r="AH6407" s="831" t="s">
        <v>165</v>
      </c>
      <c r="AI6407" s="831">
        <v>0</v>
      </c>
      <c r="AJ6407" s="835">
        <v>41455</v>
      </c>
      <c r="AK6407" s="831">
        <v>-11546784</v>
      </c>
    </row>
    <row r="6408" spans="2:37">
      <c r="B6408" s="834" t="str">
        <f t="shared" si="279"/>
        <v>|||</v>
      </c>
      <c r="H6408" s="835">
        <f t="shared" si="280"/>
        <v>31</v>
      </c>
      <c r="AF6408" s="831" t="s">
        <v>7067</v>
      </c>
      <c r="AG6408" s="831" t="s">
        <v>130</v>
      </c>
      <c r="AH6408" s="831" t="s">
        <v>171</v>
      </c>
      <c r="AI6408" s="831">
        <v>0</v>
      </c>
      <c r="AJ6408" s="835">
        <v>41455</v>
      </c>
      <c r="AK6408" s="831">
        <v>3536018</v>
      </c>
    </row>
    <row r="6409" spans="2:37">
      <c r="B6409" s="834" t="str">
        <f t="shared" si="279"/>
        <v>|||</v>
      </c>
      <c r="H6409" s="835">
        <f t="shared" si="280"/>
        <v>31</v>
      </c>
      <c r="AF6409" s="831" t="s">
        <v>7068</v>
      </c>
      <c r="AG6409" s="831" t="s">
        <v>130</v>
      </c>
      <c r="AH6409" s="831" t="s">
        <v>174</v>
      </c>
      <c r="AI6409" s="831">
        <v>0</v>
      </c>
      <c r="AJ6409" s="835">
        <v>41455</v>
      </c>
      <c r="AK6409" s="831">
        <v>0</v>
      </c>
    </row>
    <row r="6410" spans="2:37">
      <c r="B6410" s="834" t="str">
        <f t="shared" si="279"/>
        <v>|||</v>
      </c>
      <c r="H6410" s="835">
        <f t="shared" si="280"/>
        <v>31</v>
      </c>
      <c r="AF6410" s="831" t="s">
        <v>7069</v>
      </c>
      <c r="AG6410" s="831" t="s">
        <v>130</v>
      </c>
      <c r="AH6410" s="831" t="s">
        <v>181</v>
      </c>
      <c r="AI6410" s="831">
        <v>0</v>
      </c>
      <c r="AJ6410" s="835">
        <v>41455</v>
      </c>
      <c r="AK6410" s="831">
        <v>49878141</v>
      </c>
    </row>
    <row r="6411" spans="2:37">
      <c r="B6411" s="834" t="str">
        <f t="shared" si="279"/>
        <v>|||</v>
      </c>
      <c r="H6411" s="835">
        <f t="shared" si="280"/>
        <v>31</v>
      </c>
      <c r="AF6411" s="831" t="s">
        <v>7070</v>
      </c>
      <c r="AG6411" s="831" t="s">
        <v>130</v>
      </c>
      <c r="AH6411" s="831" t="s">
        <v>184</v>
      </c>
      <c r="AI6411" s="831">
        <v>0</v>
      </c>
      <c r="AJ6411" s="835">
        <v>41455</v>
      </c>
      <c r="AK6411" s="831">
        <v>-13677590</v>
      </c>
    </row>
    <row r="6412" spans="2:37">
      <c r="B6412" s="834" t="str">
        <f t="shared" si="279"/>
        <v>|||</v>
      </c>
      <c r="H6412" s="835">
        <f t="shared" si="280"/>
        <v>31</v>
      </c>
      <c r="AF6412" s="831" t="s">
        <v>7071</v>
      </c>
      <c r="AG6412" s="831" t="s">
        <v>130</v>
      </c>
      <c r="AH6412" s="831" t="s">
        <v>187</v>
      </c>
      <c r="AI6412" s="831">
        <v>0</v>
      </c>
      <c r="AJ6412" s="835">
        <v>41455</v>
      </c>
      <c r="AK6412" s="831">
        <v>0</v>
      </c>
    </row>
    <row r="6413" spans="2:37">
      <c r="B6413" s="834" t="str">
        <f t="shared" si="279"/>
        <v>|||</v>
      </c>
      <c r="H6413" s="835">
        <f t="shared" si="280"/>
        <v>31</v>
      </c>
      <c r="AF6413" s="831" t="s">
        <v>7072</v>
      </c>
      <c r="AG6413" s="831" t="s">
        <v>130</v>
      </c>
      <c r="AH6413" s="831" t="s">
        <v>196</v>
      </c>
      <c r="AI6413" s="831">
        <v>0</v>
      </c>
      <c r="AJ6413" s="835">
        <v>41455</v>
      </c>
      <c r="AK6413" s="831">
        <v>9144890</v>
      </c>
    </row>
    <row r="6414" spans="2:37">
      <c r="B6414" s="834" t="str">
        <f t="shared" si="279"/>
        <v>|||</v>
      </c>
      <c r="H6414" s="835">
        <f t="shared" si="280"/>
        <v>31</v>
      </c>
      <c r="AF6414" s="831" t="s">
        <v>7073</v>
      </c>
      <c r="AG6414" s="831" t="s">
        <v>130</v>
      </c>
      <c r="AH6414" s="831" t="s">
        <v>197</v>
      </c>
      <c r="AI6414" s="831">
        <v>0</v>
      </c>
      <c r="AJ6414" s="835">
        <v>41455</v>
      </c>
      <c r="AK6414" s="831">
        <v>0</v>
      </c>
    </row>
    <row r="6415" spans="2:37">
      <c r="B6415" s="834" t="str">
        <f t="shared" si="279"/>
        <v>|||</v>
      </c>
      <c r="H6415" s="835">
        <f t="shared" si="280"/>
        <v>31</v>
      </c>
      <c r="AF6415" s="831" t="s">
        <v>7074</v>
      </c>
      <c r="AG6415" s="831" t="s">
        <v>130</v>
      </c>
      <c r="AH6415" s="831" t="s">
        <v>199</v>
      </c>
      <c r="AI6415" s="831">
        <v>0</v>
      </c>
      <c r="AJ6415" s="835">
        <v>41455</v>
      </c>
      <c r="AK6415" s="831">
        <v>0</v>
      </c>
    </row>
    <row r="6416" spans="2:37">
      <c r="B6416" s="834" t="str">
        <f t="shared" si="279"/>
        <v>|||</v>
      </c>
      <c r="H6416" s="835">
        <f t="shared" si="280"/>
        <v>31</v>
      </c>
      <c r="AF6416" s="831" t="s">
        <v>7075</v>
      </c>
      <c r="AG6416" s="831" t="s">
        <v>130</v>
      </c>
      <c r="AH6416" s="831" t="s">
        <v>201</v>
      </c>
      <c r="AI6416" s="831">
        <v>0</v>
      </c>
      <c r="AJ6416" s="835">
        <v>41455</v>
      </c>
      <c r="AK6416" s="831">
        <v>9899122</v>
      </c>
    </row>
    <row r="6417" spans="2:37">
      <c r="B6417" s="834" t="str">
        <f t="shared" si="279"/>
        <v>|||</v>
      </c>
      <c r="H6417" s="835">
        <f t="shared" si="280"/>
        <v>31</v>
      </c>
      <c r="AF6417" s="831" t="s">
        <v>7076</v>
      </c>
      <c r="AG6417" s="831" t="s">
        <v>130</v>
      </c>
      <c r="AH6417" s="831" t="s">
        <v>209</v>
      </c>
      <c r="AI6417" s="831">
        <v>0</v>
      </c>
      <c r="AJ6417" s="835">
        <v>41455</v>
      </c>
      <c r="AK6417" s="831">
        <v>52810440</v>
      </c>
    </row>
    <row r="6418" spans="2:37">
      <c r="B6418" s="834" t="str">
        <f t="shared" si="279"/>
        <v>|||</v>
      </c>
      <c r="H6418" s="835">
        <f t="shared" si="280"/>
        <v>31</v>
      </c>
      <c r="AF6418" s="831" t="s">
        <v>7077</v>
      </c>
      <c r="AG6418" s="831" t="s">
        <v>130</v>
      </c>
      <c r="AH6418" s="831" t="s">
        <v>211</v>
      </c>
      <c r="AI6418" s="831">
        <v>0</v>
      </c>
      <c r="AJ6418" s="835">
        <v>41455</v>
      </c>
      <c r="AK6418" s="831">
        <v>150425941</v>
      </c>
    </row>
    <row r="6419" spans="2:37">
      <c r="B6419" s="834" t="str">
        <f t="shared" si="279"/>
        <v>|||</v>
      </c>
      <c r="H6419" s="835">
        <f t="shared" si="280"/>
        <v>31</v>
      </c>
      <c r="AF6419" s="831" t="s">
        <v>7078</v>
      </c>
      <c r="AG6419" s="831" t="s">
        <v>130</v>
      </c>
      <c r="AH6419" s="831" t="s">
        <v>212</v>
      </c>
      <c r="AI6419" s="831">
        <v>0</v>
      </c>
      <c r="AJ6419" s="835">
        <v>41455</v>
      </c>
      <c r="AK6419" s="831">
        <v>7025865</v>
      </c>
    </row>
    <row r="6420" spans="2:37">
      <c r="B6420" s="834" t="str">
        <f t="shared" si="279"/>
        <v>|||</v>
      </c>
      <c r="H6420" s="835">
        <f t="shared" si="280"/>
        <v>31</v>
      </c>
      <c r="AF6420" s="831" t="s">
        <v>7079</v>
      </c>
      <c r="AG6420" s="831" t="s">
        <v>130</v>
      </c>
      <c r="AH6420" s="831" t="s">
        <v>216</v>
      </c>
      <c r="AI6420" s="831">
        <v>0</v>
      </c>
      <c r="AJ6420" s="835">
        <v>41455</v>
      </c>
      <c r="AK6420" s="831">
        <v>0</v>
      </c>
    </row>
    <row r="6421" spans="2:37">
      <c r="B6421" s="834" t="str">
        <f t="shared" si="279"/>
        <v>|||</v>
      </c>
      <c r="H6421" s="835">
        <f t="shared" si="280"/>
        <v>31</v>
      </c>
      <c r="AF6421" s="831" t="s">
        <v>7080</v>
      </c>
      <c r="AG6421" s="831" t="s">
        <v>130</v>
      </c>
      <c r="AH6421" s="831" t="s">
        <v>218</v>
      </c>
      <c r="AI6421" s="831">
        <v>0</v>
      </c>
      <c r="AJ6421" s="835">
        <v>41455</v>
      </c>
      <c r="AK6421" s="831">
        <v>127779160</v>
      </c>
    </row>
    <row r="6422" spans="2:37">
      <c r="B6422" s="834" t="str">
        <f t="shared" si="279"/>
        <v>|||</v>
      </c>
      <c r="H6422" s="835">
        <f t="shared" si="280"/>
        <v>31</v>
      </c>
      <c r="AF6422" s="831" t="s">
        <v>7081</v>
      </c>
      <c r="AG6422" s="831" t="s">
        <v>130</v>
      </c>
      <c r="AH6422" s="831" t="s">
        <v>220</v>
      </c>
      <c r="AI6422" s="831">
        <v>0</v>
      </c>
      <c r="AJ6422" s="835">
        <v>41455</v>
      </c>
      <c r="AK6422" s="831">
        <v>0</v>
      </c>
    </row>
    <row r="6423" spans="2:37">
      <c r="B6423" s="834" t="str">
        <f t="shared" si="279"/>
        <v>|||</v>
      </c>
      <c r="H6423" s="835">
        <f t="shared" si="280"/>
        <v>31</v>
      </c>
      <c r="AF6423" s="831" t="s">
        <v>7082</v>
      </c>
      <c r="AG6423" s="831" t="s">
        <v>130</v>
      </c>
      <c r="AH6423" s="831" t="s">
        <v>221</v>
      </c>
      <c r="AI6423" s="831">
        <v>0</v>
      </c>
      <c r="AJ6423" s="835">
        <v>41455</v>
      </c>
      <c r="AK6423" s="831">
        <v>8036174</v>
      </c>
    </row>
    <row r="6424" spans="2:37">
      <c r="B6424" s="834" t="str">
        <f t="shared" si="279"/>
        <v>|||</v>
      </c>
      <c r="H6424" s="835">
        <f t="shared" si="280"/>
        <v>31</v>
      </c>
      <c r="AF6424" s="831" t="s">
        <v>7083</v>
      </c>
      <c r="AG6424" s="831" t="s">
        <v>130</v>
      </c>
      <c r="AH6424" s="831" t="s">
        <v>228</v>
      </c>
      <c r="AI6424" s="831">
        <v>0</v>
      </c>
      <c r="AJ6424" s="835">
        <v>41455</v>
      </c>
      <c r="AK6424" s="831">
        <v>0</v>
      </c>
    </row>
    <row r="6425" spans="2:37">
      <c r="B6425" s="834" t="str">
        <f t="shared" si="279"/>
        <v>|||</v>
      </c>
      <c r="H6425" s="835">
        <f t="shared" si="280"/>
        <v>31</v>
      </c>
      <c r="AF6425" s="831" t="s">
        <v>7084</v>
      </c>
      <c r="AG6425" s="831" t="s">
        <v>130</v>
      </c>
      <c r="AH6425" s="831" t="s">
        <v>230</v>
      </c>
      <c r="AI6425" s="831">
        <v>0</v>
      </c>
      <c r="AJ6425" s="835">
        <v>41455</v>
      </c>
      <c r="AK6425" s="831">
        <v>0</v>
      </c>
    </row>
    <row r="6426" spans="2:37">
      <c r="B6426" s="834" t="str">
        <f t="shared" si="279"/>
        <v>|||</v>
      </c>
      <c r="H6426" s="835">
        <f t="shared" si="280"/>
        <v>31</v>
      </c>
      <c r="AF6426" s="831" t="s">
        <v>7085</v>
      </c>
      <c r="AG6426" s="831" t="s">
        <v>130</v>
      </c>
      <c r="AH6426" s="831" t="s">
        <v>231</v>
      </c>
      <c r="AI6426" s="831">
        <v>0</v>
      </c>
      <c r="AJ6426" s="835">
        <v>41455</v>
      </c>
      <c r="AK6426" s="831">
        <v>0</v>
      </c>
    </row>
    <row r="6427" spans="2:37">
      <c r="B6427" s="834" t="str">
        <f t="shared" si="279"/>
        <v>|||</v>
      </c>
      <c r="H6427" s="835">
        <f t="shared" si="280"/>
        <v>31</v>
      </c>
      <c r="AF6427" s="831" t="s">
        <v>7086</v>
      </c>
      <c r="AG6427" s="831" t="s">
        <v>130</v>
      </c>
      <c r="AH6427" s="831" t="s">
        <v>232</v>
      </c>
      <c r="AI6427" s="831">
        <v>0</v>
      </c>
      <c r="AJ6427" s="835">
        <v>41455</v>
      </c>
      <c r="AK6427" s="831">
        <v>178953224</v>
      </c>
    </row>
    <row r="6428" spans="2:37">
      <c r="B6428" s="834" t="str">
        <f t="shared" si="279"/>
        <v>|||</v>
      </c>
      <c r="H6428" s="835">
        <f t="shared" si="280"/>
        <v>31</v>
      </c>
      <c r="AF6428" s="831" t="s">
        <v>7087</v>
      </c>
      <c r="AG6428" s="831" t="s">
        <v>130</v>
      </c>
      <c r="AH6428" s="831" t="s">
        <v>116</v>
      </c>
      <c r="AI6428" s="831">
        <v>0</v>
      </c>
      <c r="AJ6428" s="835">
        <v>41455</v>
      </c>
      <c r="AK6428" s="831">
        <v>8010153</v>
      </c>
    </row>
    <row r="6429" spans="2:37">
      <c r="B6429" s="834" t="str">
        <f t="shared" si="279"/>
        <v>|||</v>
      </c>
      <c r="H6429" s="835">
        <f t="shared" si="280"/>
        <v>31</v>
      </c>
      <c r="AF6429" s="831" t="s">
        <v>7088</v>
      </c>
      <c r="AG6429" s="831" t="s">
        <v>130</v>
      </c>
      <c r="AH6429" s="831" t="s">
        <v>234</v>
      </c>
      <c r="AI6429" s="831">
        <v>0</v>
      </c>
      <c r="AJ6429" s="835">
        <v>41455</v>
      </c>
      <c r="AK6429" s="831">
        <v>0</v>
      </c>
    </row>
    <row r="6430" spans="2:37">
      <c r="B6430" s="834" t="str">
        <f t="shared" si="279"/>
        <v>|||</v>
      </c>
      <c r="H6430" s="835">
        <f t="shared" si="280"/>
        <v>31</v>
      </c>
      <c r="AF6430" s="831" t="s">
        <v>7089</v>
      </c>
      <c r="AG6430" s="831" t="s">
        <v>130</v>
      </c>
      <c r="AH6430" s="831" t="s">
        <v>235</v>
      </c>
      <c r="AI6430" s="831">
        <v>0</v>
      </c>
      <c r="AJ6430" s="835">
        <v>41455</v>
      </c>
      <c r="AK6430" s="831">
        <v>0</v>
      </c>
    </row>
    <row r="6431" spans="2:37">
      <c r="B6431" s="834" t="str">
        <f t="shared" si="279"/>
        <v>|||</v>
      </c>
      <c r="H6431" s="835">
        <f t="shared" si="280"/>
        <v>31</v>
      </c>
      <c r="AF6431" s="831" t="s">
        <v>7090</v>
      </c>
      <c r="AG6431" s="831" t="s">
        <v>130</v>
      </c>
      <c r="AH6431" s="831" t="s">
        <v>238</v>
      </c>
      <c r="AI6431" s="831">
        <v>0</v>
      </c>
      <c r="AJ6431" s="835">
        <v>41455</v>
      </c>
      <c r="AK6431" s="831">
        <v>0</v>
      </c>
    </row>
    <row r="6432" spans="2:37">
      <c r="B6432" s="834" t="str">
        <f t="shared" si="279"/>
        <v>|||</v>
      </c>
      <c r="H6432" s="835">
        <f t="shared" si="280"/>
        <v>31</v>
      </c>
      <c r="AF6432" s="831" t="s">
        <v>7091</v>
      </c>
      <c r="AG6432" s="831" t="s">
        <v>130</v>
      </c>
      <c r="AH6432" s="831" t="s">
        <v>240</v>
      </c>
      <c r="AI6432" s="831">
        <v>0</v>
      </c>
      <c r="AJ6432" s="835">
        <v>41455</v>
      </c>
      <c r="AK6432" s="831">
        <v>85000000</v>
      </c>
    </row>
    <row r="6433" spans="2:37">
      <c r="B6433" s="834" t="str">
        <f t="shared" si="279"/>
        <v>|||</v>
      </c>
      <c r="H6433" s="835">
        <f t="shared" si="280"/>
        <v>31</v>
      </c>
      <c r="AF6433" s="831" t="s">
        <v>7092</v>
      </c>
      <c r="AG6433" s="831" t="s">
        <v>130</v>
      </c>
      <c r="AH6433" s="831" t="s">
        <v>241</v>
      </c>
      <c r="AI6433" s="831">
        <v>0</v>
      </c>
      <c r="AJ6433" s="835">
        <v>41455</v>
      </c>
      <c r="AK6433" s="831">
        <v>0</v>
      </c>
    </row>
    <row r="6434" spans="2:37">
      <c r="B6434" s="834" t="str">
        <f t="shared" si="279"/>
        <v>|||</v>
      </c>
      <c r="H6434" s="835">
        <f t="shared" si="280"/>
        <v>31</v>
      </c>
      <c r="AF6434" s="831" t="s">
        <v>7093</v>
      </c>
      <c r="AG6434" s="831" t="s">
        <v>130</v>
      </c>
      <c r="AH6434" s="831" t="s">
        <v>242</v>
      </c>
      <c r="AI6434" s="831">
        <v>0</v>
      </c>
      <c r="AJ6434" s="835">
        <v>41455</v>
      </c>
      <c r="AK6434" s="831">
        <v>0</v>
      </c>
    </row>
    <row r="6435" spans="2:37">
      <c r="B6435" s="834" t="str">
        <f t="shared" si="279"/>
        <v>|||</v>
      </c>
      <c r="H6435" s="835">
        <f t="shared" si="280"/>
        <v>31</v>
      </c>
      <c r="AF6435" s="831" t="s">
        <v>7094</v>
      </c>
      <c r="AG6435" s="831" t="s">
        <v>130</v>
      </c>
      <c r="AH6435" s="831" t="s">
        <v>244</v>
      </c>
      <c r="AI6435" s="831">
        <v>0</v>
      </c>
      <c r="AJ6435" s="835">
        <v>41455</v>
      </c>
      <c r="AK6435" s="831">
        <v>9763223</v>
      </c>
    </row>
    <row r="6436" spans="2:37">
      <c r="B6436" s="834" t="str">
        <f t="shared" si="279"/>
        <v>|||</v>
      </c>
      <c r="H6436" s="835">
        <f t="shared" si="280"/>
        <v>31</v>
      </c>
      <c r="AF6436" s="831" t="s">
        <v>7095</v>
      </c>
      <c r="AG6436" s="831" t="s">
        <v>130</v>
      </c>
      <c r="AH6436" s="831" t="s">
        <v>245</v>
      </c>
      <c r="AI6436" s="831">
        <v>0</v>
      </c>
      <c r="AJ6436" s="835">
        <v>41455</v>
      </c>
      <c r="AK6436" s="831">
        <v>13297135</v>
      </c>
    </row>
    <row r="6437" spans="2:37">
      <c r="B6437" s="834" t="str">
        <f t="shared" si="279"/>
        <v>|||</v>
      </c>
      <c r="H6437" s="835">
        <f t="shared" si="280"/>
        <v>31</v>
      </c>
      <c r="AF6437" s="831" t="s">
        <v>7096</v>
      </c>
      <c r="AG6437" s="831" t="s">
        <v>130</v>
      </c>
      <c r="AH6437" s="831" t="s">
        <v>145</v>
      </c>
      <c r="AI6437" s="831">
        <v>0</v>
      </c>
      <c r="AJ6437" s="835">
        <v>41486</v>
      </c>
      <c r="AK6437" s="831">
        <v>38713702</v>
      </c>
    </row>
    <row r="6438" spans="2:37">
      <c r="B6438" s="834" t="str">
        <f t="shared" si="279"/>
        <v>|||</v>
      </c>
      <c r="H6438" s="835">
        <f t="shared" si="280"/>
        <v>31</v>
      </c>
      <c r="AF6438" s="831" t="s">
        <v>7097</v>
      </c>
      <c r="AG6438" s="831" t="s">
        <v>130</v>
      </c>
      <c r="AH6438" s="831" t="s">
        <v>149</v>
      </c>
      <c r="AI6438" s="831">
        <v>0</v>
      </c>
      <c r="AJ6438" s="835">
        <v>41486</v>
      </c>
      <c r="AK6438" s="831">
        <v>0</v>
      </c>
    </row>
    <row r="6439" spans="2:37">
      <c r="B6439" s="834" t="str">
        <f t="shared" si="279"/>
        <v>|||</v>
      </c>
      <c r="H6439" s="835">
        <f t="shared" si="280"/>
        <v>31</v>
      </c>
      <c r="AF6439" s="831" t="s">
        <v>7098</v>
      </c>
      <c r="AG6439" s="831" t="s">
        <v>130</v>
      </c>
      <c r="AH6439" s="831" t="s">
        <v>153</v>
      </c>
      <c r="AI6439" s="831">
        <v>0</v>
      </c>
      <c r="AJ6439" s="835">
        <v>41486</v>
      </c>
      <c r="AK6439" s="831">
        <v>42234163</v>
      </c>
    </row>
    <row r="6440" spans="2:37">
      <c r="B6440" s="834" t="str">
        <f t="shared" si="279"/>
        <v>|||</v>
      </c>
      <c r="H6440" s="835">
        <f t="shared" si="280"/>
        <v>31</v>
      </c>
      <c r="AF6440" s="831" t="s">
        <v>7099</v>
      </c>
      <c r="AG6440" s="831" t="s">
        <v>130</v>
      </c>
      <c r="AH6440" s="831" t="s">
        <v>156</v>
      </c>
      <c r="AI6440" s="831">
        <v>0</v>
      </c>
      <c r="AJ6440" s="835">
        <v>41486</v>
      </c>
      <c r="AK6440" s="831">
        <v>0</v>
      </c>
    </row>
    <row r="6441" spans="2:37">
      <c r="B6441" s="834" t="str">
        <f t="shared" si="279"/>
        <v>|||</v>
      </c>
      <c r="H6441" s="835">
        <f t="shared" si="280"/>
        <v>31</v>
      </c>
      <c r="AF6441" s="831" t="s">
        <v>7100</v>
      </c>
      <c r="AG6441" s="831" t="s">
        <v>130</v>
      </c>
      <c r="AH6441" s="831" t="s">
        <v>162</v>
      </c>
      <c r="AI6441" s="831">
        <v>0</v>
      </c>
      <c r="AJ6441" s="835">
        <v>41486</v>
      </c>
      <c r="AK6441" s="831">
        <v>530405930</v>
      </c>
    </row>
    <row r="6442" spans="2:37">
      <c r="B6442" s="834" t="str">
        <f t="shared" si="279"/>
        <v>|||</v>
      </c>
      <c r="H6442" s="835">
        <f t="shared" si="280"/>
        <v>31</v>
      </c>
      <c r="AF6442" s="831" t="s">
        <v>7101</v>
      </c>
      <c r="AG6442" s="831" t="s">
        <v>130</v>
      </c>
      <c r="AH6442" s="831" t="s">
        <v>165</v>
      </c>
      <c r="AI6442" s="831">
        <v>0</v>
      </c>
      <c r="AJ6442" s="835">
        <v>41486</v>
      </c>
      <c r="AK6442" s="831">
        <v>-11946675</v>
      </c>
    </row>
    <row r="6443" spans="2:37">
      <c r="B6443" s="834" t="str">
        <f t="shared" si="279"/>
        <v>|||</v>
      </c>
      <c r="H6443" s="835">
        <f t="shared" si="280"/>
        <v>31</v>
      </c>
      <c r="AF6443" s="831" t="s">
        <v>7102</v>
      </c>
      <c r="AG6443" s="831" t="s">
        <v>130</v>
      </c>
      <c r="AH6443" s="831" t="s">
        <v>171</v>
      </c>
      <c r="AI6443" s="831">
        <v>0</v>
      </c>
      <c r="AJ6443" s="835">
        <v>41486</v>
      </c>
      <c r="AK6443" s="831">
        <v>3450542</v>
      </c>
    </row>
    <row r="6444" spans="2:37">
      <c r="B6444" s="834" t="str">
        <f t="shared" si="279"/>
        <v>|||</v>
      </c>
      <c r="H6444" s="835">
        <f t="shared" si="280"/>
        <v>31</v>
      </c>
      <c r="AF6444" s="831" t="s">
        <v>7103</v>
      </c>
      <c r="AG6444" s="831" t="s">
        <v>130</v>
      </c>
      <c r="AH6444" s="831" t="s">
        <v>174</v>
      </c>
      <c r="AI6444" s="831">
        <v>0</v>
      </c>
      <c r="AJ6444" s="835">
        <v>41486</v>
      </c>
      <c r="AK6444" s="831">
        <v>0</v>
      </c>
    </row>
    <row r="6445" spans="2:37">
      <c r="B6445" s="834" t="str">
        <f t="shared" si="279"/>
        <v>|||</v>
      </c>
      <c r="H6445" s="835">
        <f t="shared" si="280"/>
        <v>31</v>
      </c>
      <c r="AF6445" s="831" t="s">
        <v>7104</v>
      </c>
      <c r="AG6445" s="831" t="s">
        <v>130</v>
      </c>
      <c r="AH6445" s="831" t="s">
        <v>181</v>
      </c>
      <c r="AI6445" s="831">
        <v>0</v>
      </c>
      <c r="AJ6445" s="835">
        <v>41486</v>
      </c>
      <c r="AK6445" s="831">
        <v>50349860</v>
      </c>
    </row>
    <row r="6446" spans="2:37">
      <c r="B6446" s="834" t="str">
        <f t="shared" si="279"/>
        <v>|||</v>
      </c>
      <c r="H6446" s="835">
        <f t="shared" si="280"/>
        <v>31</v>
      </c>
      <c r="AF6446" s="831" t="s">
        <v>7105</v>
      </c>
      <c r="AG6446" s="831" t="s">
        <v>130</v>
      </c>
      <c r="AH6446" s="831" t="s">
        <v>184</v>
      </c>
      <c r="AI6446" s="831">
        <v>0</v>
      </c>
      <c r="AJ6446" s="835">
        <v>41486</v>
      </c>
      <c r="AK6446" s="831">
        <v>-14077240</v>
      </c>
    </row>
    <row r="6447" spans="2:37">
      <c r="B6447" s="834" t="str">
        <f t="shared" si="279"/>
        <v>|||</v>
      </c>
      <c r="H6447" s="835">
        <f t="shared" si="280"/>
        <v>31</v>
      </c>
      <c r="AF6447" s="831" t="s">
        <v>7106</v>
      </c>
      <c r="AG6447" s="831" t="s">
        <v>130</v>
      </c>
      <c r="AH6447" s="831" t="s">
        <v>187</v>
      </c>
      <c r="AI6447" s="831">
        <v>0</v>
      </c>
      <c r="AJ6447" s="835">
        <v>41486</v>
      </c>
      <c r="AK6447" s="831">
        <v>0</v>
      </c>
    </row>
    <row r="6448" spans="2:37">
      <c r="B6448" s="834" t="str">
        <f t="shared" si="279"/>
        <v>|||</v>
      </c>
      <c r="H6448" s="835">
        <f t="shared" si="280"/>
        <v>31</v>
      </c>
      <c r="AF6448" s="831" t="s">
        <v>7107</v>
      </c>
      <c r="AG6448" s="831" t="s">
        <v>130</v>
      </c>
      <c r="AH6448" s="831" t="s">
        <v>196</v>
      </c>
      <c r="AI6448" s="831">
        <v>0</v>
      </c>
      <c r="AJ6448" s="835">
        <v>41486</v>
      </c>
      <c r="AK6448" s="831">
        <v>9050030</v>
      </c>
    </row>
    <row r="6449" spans="2:37">
      <c r="B6449" s="834" t="str">
        <f t="shared" si="279"/>
        <v>|||</v>
      </c>
      <c r="H6449" s="835">
        <f t="shared" si="280"/>
        <v>31</v>
      </c>
      <c r="AF6449" s="831" t="s">
        <v>7108</v>
      </c>
      <c r="AG6449" s="831" t="s">
        <v>130</v>
      </c>
      <c r="AH6449" s="831" t="s">
        <v>197</v>
      </c>
      <c r="AI6449" s="831">
        <v>0</v>
      </c>
      <c r="AJ6449" s="835">
        <v>41486</v>
      </c>
      <c r="AK6449" s="831">
        <v>0</v>
      </c>
    </row>
    <row r="6450" spans="2:37">
      <c r="B6450" s="834" t="str">
        <f t="shared" si="279"/>
        <v>|||</v>
      </c>
      <c r="H6450" s="835">
        <f t="shared" si="280"/>
        <v>31</v>
      </c>
      <c r="AF6450" s="831" t="s">
        <v>7109</v>
      </c>
      <c r="AG6450" s="831" t="s">
        <v>130</v>
      </c>
      <c r="AH6450" s="831" t="s">
        <v>199</v>
      </c>
      <c r="AI6450" s="831">
        <v>0</v>
      </c>
      <c r="AJ6450" s="835">
        <v>41486</v>
      </c>
      <c r="AK6450" s="831">
        <v>0</v>
      </c>
    </row>
    <row r="6451" spans="2:37">
      <c r="B6451" s="834" t="str">
        <f t="shared" si="279"/>
        <v>|||</v>
      </c>
      <c r="H6451" s="835">
        <f t="shared" si="280"/>
        <v>31</v>
      </c>
      <c r="AF6451" s="831" t="s">
        <v>7110</v>
      </c>
      <c r="AG6451" s="831" t="s">
        <v>130</v>
      </c>
      <c r="AH6451" s="831" t="s">
        <v>201</v>
      </c>
      <c r="AI6451" s="831">
        <v>0</v>
      </c>
      <c r="AJ6451" s="835">
        <v>41486</v>
      </c>
      <c r="AK6451" s="831">
        <v>10148016</v>
      </c>
    </row>
    <row r="6452" spans="2:37">
      <c r="B6452" s="834" t="str">
        <f t="shared" si="279"/>
        <v>|||</v>
      </c>
      <c r="H6452" s="835">
        <f t="shared" si="280"/>
        <v>31</v>
      </c>
      <c r="AF6452" s="831" t="s">
        <v>7111</v>
      </c>
      <c r="AG6452" s="831" t="s">
        <v>130</v>
      </c>
      <c r="AH6452" s="831" t="s">
        <v>209</v>
      </c>
      <c r="AI6452" s="831">
        <v>0</v>
      </c>
      <c r="AJ6452" s="835">
        <v>41486</v>
      </c>
      <c r="AK6452" s="831">
        <v>57995233</v>
      </c>
    </row>
    <row r="6453" spans="2:37">
      <c r="B6453" s="834" t="str">
        <f t="shared" si="279"/>
        <v>|||</v>
      </c>
      <c r="H6453" s="835">
        <f t="shared" si="280"/>
        <v>31</v>
      </c>
      <c r="AF6453" s="831" t="s">
        <v>7112</v>
      </c>
      <c r="AG6453" s="831" t="s">
        <v>130</v>
      </c>
      <c r="AH6453" s="831" t="s">
        <v>211</v>
      </c>
      <c r="AI6453" s="831">
        <v>0</v>
      </c>
      <c r="AJ6453" s="835">
        <v>41486</v>
      </c>
      <c r="AK6453" s="831">
        <v>153436655</v>
      </c>
    </row>
    <row r="6454" spans="2:37">
      <c r="B6454" s="834" t="str">
        <f t="shared" si="279"/>
        <v>|||</v>
      </c>
      <c r="H6454" s="835">
        <f t="shared" si="280"/>
        <v>31</v>
      </c>
      <c r="AF6454" s="831" t="s">
        <v>7113</v>
      </c>
      <c r="AG6454" s="831" t="s">
        <v>130</v>
      </c>
      <c r="AH6454" s="831" t="s">
        <v>212</v>
      </c>
      <c r="AI6454" s="831">
        <v>0</v>
      </c>
      <c r="AJ6454" s="835">
        <v>41486</v>
      </c>
      <c r="AK6454" s="831">
        <v>7124413</v>
      </c>
    </row>
    <row r="6455" spans="2:37">
      <c r="B6455" s="834" t="str">
        <f t="shared" si="279"/>
        <v>|||</v>
      </c>
      <c r="H6455" s="835">
        <f t="shared" si="280"/>
        <v>31</v>
      </c>
      <c r="AF6455" s="831" t="s">
        <v>7114</v>
      </c>
      <c r="AG6455" s="831" t="s">
        <v>130</v>
      </c>
      <c r="AH6455" s="831" t="s">
        <v>216</v>
      </c>
      <c r="AI6455" s="831">
        <v>0</v>
      </c>
      <c r="AJ6455" s="835">
        <v>41486</v>
      </c>
      <c r="AK6455" s="831">
        <v>0</v>
      </c>
    </row>
    <row r="6456" spans="2:37">
      <c r="B6456" s="834" t="str">
        <f t="shared" si="279"/>
        <v>|||</v>
      </c>
      <c r="H6456" s="835">
        <f t="shared" si="280"/>
        <v>31</v>
      </c>
      <c r="AF6456" s="831" t="s">
        <v>7115</v>
      </c>
      <c r="AG6456" s="831" t="s">
        <v>130</v>
      </c>
      <c r="AH6456" s="831" t="s">
        <v>218</v>
      </c>
      <c r="AI6456" s="831">
        <v>0</v>
      </c>
      <c r="AJ6456" s="835">
        <v>41486</v>
      </c>
      <c r="AK6456" s="831">
        <v>121294896</v>
      </c>
    </row>
    <row r="6457" spans="2:37">
      <c r="B6457" s="834" t="str">
        <f t="shared" si="279"/>
        <v>|||</v>
      </c>
      <c r="H6457" s="835">
        <f t="shared" si="280"/>
        <v>31</v>
      </c>
      <c r="AF6457" s="831" t="s">
        <v>7116</v>
      </c>
      <c r="AG6457" s="831" t="s">
        <v>130</v>
      </c>
      <c r="AH6457" s="831" t="s">
        <v>220</v>
      </c>
      <c r="AI6457" s="831">
        <v>0</v>
      </c>
      <c r="AJ6457" s="835">
        <v>41486</v>
      </c>
      <c r="AK6457" s="831">
        <v>0</v>
      </c>
    </row>
    <row r="6458" spans="2:37">
      <c r="B6458" s="834" t="str">
        <f t="shared" si="279"/>
        <v>|||</v>
      </c>
      <c r="H6458" s="835">
        <f t="shared" si="280"/>
        <v>31</v>
      </c>
      <c r="AF6458" s="831" t="s">
        <v>7117</v>
      </c>
      <c r="AG6458" s="831" t="s">
        <v>130</v>
      </c>
      <c r="AH6458" s="831" t="s">
        <v>221</v>
      </c>
      <c r="AI6458" s="831">
        <v>0</v>
      </c>
      <c r="AJ6458" s="835">
        <v>41486</v>
      </c>
      <c r="AK6458" s="831">
        <v>6963238</v>
      </c>
    </row>
    <row r="6459" spans="2:37">
      <c r="B6459" s="834" t="str">
        <f t="shared" si="279"/>
        <v>|||</v>
      </c>
      <c r="H6459" s="835">
        <f t="shared" si="280"/>
        <v>31</v>
      </c>
      <c r="AF6459" s="831" t="s">
        <v>7118</v>
      </c>
      <c r="AG6459" s="831" t="s">
        <v>130</v>
      </c>
      <c r="AH6459" s="831" t="s">
        <v>228</v>
      </c>
      <c r="AI6459" s="831">
        <v>0</v>
      </c>
      <c r="AJ6459" s="835">
        <v>41486</v>
      </c>
      <c r="AK6459" s="831">
        <v>0</v>
      </c>
    </row>
    <row r="6460" spans="2:37">
      <c r="B6460" s="834" t="str">
        <f t="shared" si="279"/>
        <v>|||</v>
      </c>
      <c r="H6460" s="835">
        <f t="shared" si="280"/>
        <v>31</v>
      </c>
      <c r="AF6460" s="831" t="s">
        <v>7119</v>
      </c>
      <c r="AG6460" s="831" t="s">
        <v>130</v>
      </c>
      <c r="AH6460" s="831" t="s">
        <v>230</v>
      </c>
      <c r="AI6460" s="831">
        <v>0</v>
      </c>
      <c r="AJ6460" s="835">
        <v>41486</v>
      </c>
      <c r="AK6460" s="831">
        <v>0</v>
      </c>
    </row>
    <row r="6461" spans="2:37">
      <c r="B6461" s="834" t="str">
        <f t="shared" si="279"/>
        <v>|||</v>
      </c>
      <c r="H6461" s="835">
        <f t="shared" si="280"/>
        <v>31</v>
      </c>
      <c r="AF6461" s="831" t="s">
        <v>7120</v>
      </c>
      <c r="AG6461" s="831" t="s">
        <v>130</v>
      </c>
      <c r="AH6461" s="831" t="s">
        <v>231</v>
      </c>
      <c r="AI6461" s="831">
        <v>0</v>
      </c>
      <c r="AJ6461" s="835">
        <v>41486</v>
      </c>
      <c r="AK6461" s="831">
        <v>0</v>
      </c>
    </row>
    <row r="6462" spans="2:37">
      <c r="B6462" s="834" t="str">
        <f t="shared" si="279"/>
        <v>|||</v>
      </c>
      <c r="H6462" s="835">
        <f t="shared" si="280"/>
        <v>31</v>
      </c>
      <c r="AF6462" s="831" t="s">
        <v>7121</v>
      </c>
      <c r="AG6462" s="831" t="s">
        <v>130</v>
      </c>
      <c r="AH6462" s="831" t="s">
        <v>232</v>
      </c>
      <c r="AI6462" s="831">
        <v>0</v>
      </c>
      <c r="AJ6462" s="835">
        <v>41486</v>
      </c>
      <c r="AK6462" s="831">
        <v>192616178</v>
      </c>
    </row>
    <row r="6463" spans="2:37">
      <c r="B6463" s="834" t="str">
        <f t="shared" si="279"/>
        <v>|||</v>
      </c>
      <c r="H6463" s="835">
        <f t="shared" si="280"/>
        <v>31</v>
      </c>
      <c r="AF6463" s="831" t="s">
        <v>7122</v>
      </c>
      <c r="AG6463" s="831" t="s">
        <v>130</v>
      </c>
      <c r="AH6463" s="831" t="s">
        <v>116</v>
      </c>
      <c r="AI6463" s="831">
        <v>0</v>
      </c>
      <c r="AJ6463" s="835">
        <v>41486</v>
      </c>
      <c r="AK6463" s="831">
        <v>8010153</v>
      </c>
    </row>
    <row r="6464" spans="2:37">
      <c r="B6464" s="834" t="str">
        <f t="shared" si="279"/>
        <v>|||</v>
      </c>
      <c r="H6464" s="835">
        <f t="shared" si="280"/>
        <v>31</v>
      </c>
      <c r="AF6464" s="831" t="s">
        <v>7123</v>
      </c>
      <c r="AG6464" s="831" t="s">
        <v>130</v>
      </c>
      <c r="AH6464" s="831" t="s">
        <v>234</v>
      </c>
      <c r="AI6464" s="831">
        <v>0</v>
      </c>
      <c r="AJ6464" s="835">
        <v>41486</v>
      </c>
      <c r="AK6464" s="831">
        <v>0</v>
      </c>
    </row>
    <row r="6465" spans="2:37">
      <c r="B6465" s="834" t="str">
        <f t="shared" si="279"/>
        <v>|||</v>
      </c>
      <c r="H6465" s="835">
        <f t="shared" si="280"/>
        <v>31</v>
      </c>
      <c r="AF6465" s="831" t="s">
        <v>7124</v>
      </c>
      <c r="AG6465" s="831" t="s">
        <v>130</v>
      </c>
      <c r="AH6465" s="831" t="s">
        <v>235</v>
      </c>
      <c r="AI6465" s="831">
        <v>0</v>
      </c>
      <c r="AJ6465" s="835">
        <v>41486</v>
      </c>
      <c r="AK6465" s="831">
        <v>0</v>
      </c>
    </row>
    <row r="6466" spans="2:37">
      <c r="B6466" s="834" t="str">
        <f t="shared" si="279"/>
        <v>|||</v>
      </c>
      <c r="H6466" s="835">
        <f t="shared" si="280"/>
        <v>31</v>
      </c>
      <c r="AF6466" s="831" t="s">
        <v>7125</v>
      </c>
      <c r="AG6466" s="831" t="s">
        <v>130</v>
      </c>
      <c r="AH6466" s="831" t="s">
        <v>238</v>
      </c>
      <c r="AI6466" s="831">
        <v>0</v>
      </c>
      <c r="AJ6466" s="835">
        <v>41486</v>
      </c>
      <c r="AK6466" s="831">
        <v>0</v>
      </c>
    </row>
    <row r="6467" spans="2:37">
      <c r="B6467" s="834" t="str">
        <f t="shared" ref="B6467:B6530" si="281">C6467&amp;"|"&amp;D6467&amp;"|"&amp;E6467&amp;"|"&amp;F6467</f>
        <v>|||</v>
      </c>
      <c r="H6467" s="835">
        <f t="shared" si="280"/>
        <v>31</v>
      </c>
      <c r="AF6467" s="831" t="s">
        <v>7126</v>
      </c>
      <c r="AG6467" s="831" t="s">
        <v>130</v>
      </c>
      <c r="AH6467" s="831" t="s">
        <v>240</v>
      </c>
      <c r="AI6467" s="831">
        <v>0</v>
      </c>
      <c r="AJ6467" s="835">
        <v>41486</v>
      </c>
      <c r="AK6467" s="831">
        <v>85000000</v>
      </c>
    </row>
    <row r="6468" spans="2:37">
      <c r="B6468" s="834" t="str">
        <f t="shared" si="281"/>
        <v>|||</v>
      </c>
      <c r="H6468" s="835">
        <f t="shared" ref="H6468:H6531" si="282">EOMONTH(L6468,0)</f>
        <v>31</v>
      </c>
      <c r="AF6468" s="831" t="s">
        <v>7127</v>
      </c>
      <c r="AG6468" s="831" t="s">
        <v>130</v>
      </c>
      <c r="AH6468" s="831" t="s">
        <v>241</v>
      </c>
      <c r="AI6468" s="831">
        <v>0</v>
      </c>
      <c r="AJ6468" s="835">
        <v>41486</v>
      </c>
      <c r="AK6468" s="831">
        <v>0</v>
      </c>
    </row>
    <row r="6469" spans="2:37">
      <c r="B6469" s="834" t="str">
        <f t="shared" si="281"/>
        <v>|||</v>
      </c>
      <c r="H6469" s="835">
        <f t="shared" si="282"/>
        <v>31</v>
      </c>
      <c r="AF6469" s="831" t="s">
        <v>7128</v>
      </c>
      <c r="AG6469" s="831" t="s">
        <v>130</v>
      </c>
      <c r="AH6469" s="831" t="s">
        <v>242</v>
      </c>
      <c r="AI6469" s="831">
        <v>0</v>
      </c>
      <c r="AJ6469" s="835">
        <v>41486</v>
      </c>
      <c r="AK6469" s="831">
        <v>0</v>
      </c>
    </row>
    <row r="6470" spans="2:37">
      <c r="B6470" s="834" t="str">
        <f t="shared" si="281"/>
        <v>|||</v>
      </c>
      <c r="H6470" s="835">
        <f t="shared" si="282"/>
        <v>31</v>
      </c>
      <c r="AF6470" s="831" t="s">
        <v>7129</v>
      </c>
      <c r="AG6470" s="831" t="s">
        <v>130</v>
      </c>
      <c r="AH6470" s="831" t="s">
        <v>244</v>
      </c>
      <c r="AI6470" s="831">
        <v>0</v>
      </c>
      <c r="AJ6470" s="835">
        <v>41486</v>
      </c>
      <c r="AK6470" s="831">
        <v>9763223</v>
      </c>
    </row>
    <row r="6471" spans="2:37">
      <c r="B6471" s="834" t="str">
        <f t="shared" si="281"/>
        <v>|||</v>
      </c>
      <c r="H6471" s="835">
        <f t="shared" si="282"/>
        <v>31</v>
      </c>
      <c r="AF6471" s="831" t="s">
        <v>7130</v>
      </c>
      <c r="AG6471" s="831" t="s">
        <v>130</v>
      </c>
      <c r="AH6471" s="831" t="s">
        <v>245</v>
      </c>
      <c r="AI6471" s="831">
        <v>0</v>
      </c>
      <c r="AJ6471" s="835">
        <v>41486</v>
      </c>
      <c r="AK6471" s="831">
        <v>16124339</v>
      </c>
    </row>
    <row r="6472" spans="2:37">
      <c r="B6472" s="834" t="str">
        <f t="shared" si="281"/>
        <v>|||</v>
      </c>
      <c r="H6472" s="835">
        <f t="shared" si="282"/>
        <v>31</v>
      </c>
      <c r="AF6472" s="831" t="s">
        <v>7131</v>
      </c>
      <c r="AG6472" s="831" t="s">
        <v>130</v>
      </c>
      <c r="AH6472" s="831" t="s">
        <v>145</v>
      </c>
      <c r="AI6472" s="831">
        <v>0</v>
      </c>
      <c r="AJ6472" s="835">
        <v>41517</v>
      </c>
      <c r="AK6472" s="831">
        <v>37670495</v>
      </c>
    </row>
    <row r="6473" spans="2:37">
      <c r="B6473" s="834" t="str">
        <f t="shared" si="281"/>
        <v>|||</v>
      </c>
      <c r="H6473" s="835">
        <f t="shared" si="282"/>
        <v>31</v>
      </c>
      <c r="AF6473" s="831" t="s">
        <v>7132</v>
      </c>
      <c r="AG6473" s="831" t="s">
        <v>130</v>
      </c>
      <c r="AH6473" s="831" t="s">
        <v>149</v>
      </c>
      <c r="AI6473" s="831">
        <v>0</v>
      </c>
      <c r="AJ6473" s="835">
        <v>41517</v>
      </c>
      <c r="AK6473" s="831">
        <v>0</v>
      </c>
    </row>
    <row r="6474" spans="2:37">
      <c r="B6474" s="834" t="str">
        <f t="shared" si="281"/>
        <v>|||</v>
      </c>
      <c r="H6474" s="835">
        <f t="shared" si="282"/>
        <v>31</v>
      </c>
      <c r="AF6474" s="831" t="s">
        <v>7133</v>
      </c>
      <c r="AG6474" s="831" t="s">
        <v>130</v>
      </c>
      <c r="AH6474" s="831" t="s">
        <v>153</v>
      </c>
      <c r="AI6474" s="831">
        <v>0</v>
      </c>
      <c r="AJ6474" s="835">
        <v>41517</v>
      </c>
      <c r="AK6474" s="831">
        <v>22943413</v>
      </c>
    </row>
    <row r="6475" spans="2:37">
      <c r="B6475" s="834" t="str">
        <f t="shared" si="281"/>
        <v>|||</v>
      </c>
      <c r="H6475" s="835">
        <f t="shared" si="282"/>
        <v>31</v>
      </c>
      <c r="AF6475" s="831" t="s">
        <v>7134</v>
      </c>
      <c r="AG6475" s="831" t="s">
        <v>130</v>
      </c>
      <c r="AH6475" s="831" t="s">
        <v>156</v>
      </c>
      <c r="AI6475" s="831">
        <v>0</v>
      </c>
      <c r="AJ6475" s="835">
        <v>41517</v>
      </c>
      <c r="AK6475" s="831">
        <v>0</v>
      </c>
    </row>
    <row r="6476" spans="2:37">
      <c r="B6476" s="834" t="str">
        <f t="shared" si="281"/>
        <v>|||</v>
      </c>
      <c r="H6476" s="835">
        <f t="shared" si="282"/>
        <v>31</v>
      </c>
      <c r="AF6476" s="831" t="s">
        <v>7135</v>
      </c>
      <c r="AG6476" s="831" t="s">
        <v>130</v>
      </c>
      <c r="AH6476" s="831" t="s">
        <v>162</v>
      </c>
      <c r="AI6476" s="831">
        <v>0</v>
      </c>
      <c r="AJ6476" s="835">
        <v>41517</v>
      </c>
      <c r="AK6476" s="831">
        <v>548671343</v>
      </c>
    </row>
    <row r="6477" spans="2:37">
      <c r="B6477" s="834" t="str">
        <f t="shared" si="281"/>
        <v>|||</v>
      </c>
      <c r="H6477" s="835">
        <f t="shared" si="282"/>
        <v>31</v>
      </c>
      <c r="AF6477" s="831" t="s">
        <v>7136</v>
      </c>
      <c r="AG6477" s="831" t="s">
        <v>130</v>
      </c>
      <c r="AH6477" s="831" t="s">
        <v>165</v>
      </c>
      <c r="AI6477" s="831">
        <v>0</v>
      </c>
      <c r="AJ6477" s="835">
        <v>41517</v>
      </c>
      <c r="AK6477" s="831">
        <v>-12472831</v>
      </c>
    </row>
    <row r="6478" spans="2:37">
      <c r="B6478" s="834" t="str">
        <f t="shared" si="281"/>
        <v>|||</v>
      </c>
      <c r="H6478" s="835">
        <f t="shared" si="282"/>
        <v>31</v>
      </c>
      <c r="AF6478" s="831" t="s">
        <v>7137</v>
      </c>
      <c r="AG6478" s="831" t="s">
        <v>130</v>
      </c>
      <c r="AH6478" s="831" t="s">
        <v>171</v>
      </c>
      <c r="AI6478" s="831">
        <v>0</v>
      </c>
      <c r="AJ6478" s="835">
        <v>41517</v>
      </c>
      <c r="AK6478" s="831">
        <v>3648987</v>
      </c>
    </row>
    <row r="6479" spans="2:37">
      <c r="B6479" s="834" t="str">
        <f t="shared" si="281"/>
        <v>|||</v>
      </c>
      <c r="H6479" s="835">
        <f t="shared" si="282"/>
        <v>31</v>
      </c>
      <c r="AF6479" s="831" t="s">
        <v>7138</v>
      </c>
      <c r="AG6479" s="831" t="s">
        <v>130</v>
      </c>
      <c r="AH6479" s="831" t="s">
        <v>174</v>
      </c>
      <c r="AI6479" s="831">
        <v>0</v>
      </c>
      <c r="AJ6479" s="835">
        <v>41517</v>
      </c>
      <c r="AK6479" s="831">
        <v>0</v>
      </c>
    </row>
    <row r="6480" spans="2:37">
      <c r="B6480" s="834" t="str">
        <f t="shared" si="281"/>
        <v>|||</v>
      </c>
      <c r="H6480" s="835">
        <f t="shared" si="282"/>
        <v>31</v>
      </c>
      <c r="AF6480" s="831" t="s">
        <v>7139</v>
      </c>
      <c r="AG6480" s="831" t="s">
        <v>130</v>
      </c>
      <c r="AH6480" s="831" t="s">
        <v>181</v>
      </c>
      <c r="AI6480" s="831">
        <v>0</v>
      </c>
      <c r="AJ6480" s="835">
        <v>41517</v>
      </c>
      <c r="AK6480" s="831">
        <v>50575873</v>
      </c>
    </row>
    <row r="6481" spans="2:37">
      <c r="B6481" s="834" t="str">
        <f t="shared" si="281"/>
        <v>|||</v>
      </c>
      <c r="H6481" s="835">
        <f t="shared" si="282"/>
        <v>31</v>
      </c>
      <c r="AF6481" s="831" t="s">
        <v>7140</v>
      </c>
      <c r="AG6481" s="831" t="s">
        <v>130</v>
      </c>
      <c r="AH6481" s="831" t="s">
        <v>184</v>
      </c>
      <c r="AI6481" s="831">
        <v>0</v>
      </c>
      <c r="AJ6481" s="835">
        <v>41517</v>
      </c>
      <c r="AK6481" s="831">
        <v>-14470640</v>
      </c>
    </row>
    <row r="6482" spans="2:37">
      <c r="B6482" s="834" t="str">
        <f t="shared" si="281"/>
        <v>|||</v>
      </c>
      <c r="H6482" s="835">
        <f t="shared" si="282"/>
        <v>31</v>
      </c>
      <c r="AF6482" s="831" t="s">
        <v>7141</v>
      </c>
      <c r="AG6482" s="831" t="s">
        <v>130</v>
      </c>
      <c r="AH6482" s="831" t="s">
        <v>187</v>
      </c>
      <c r="AI6482" s="831">
        <v>0</v>
      </c>
      <c r="AJ6482" s="835">
        <v>41517</v>
      </c>
      <c r="AK6482" s="831">
        <v>0</v>
      </c>
    </row>
    <row r="6483" spans="2:37">
      <c r="B6483" s="834" t="str">
        <f t="shared" si="281"/>
        <v>|||</v>
      </c>
      <c r="H6483" s="835">
        <f t="shared" si="282"/>
        <v>31</v>
      </c>
      <c r="AF6483" s="831" t="s">
        <v>7142</v>
      </c>
      <c r="AG6483" s="831" t="s">
        <v>130</v>
      </c>
      <c r="AH6483" s="831" t="s">
        <v>196</v>
      </c>
      <c r="AI6483" s="831">
        <v>0</v>
      </c>
      <c r="AJ6483" s="835">
        <v>41517</v>
      </c>
      <c r="AK6483" s="831">
        <v>10414280</v>
      </c>
    </row>
    <row r="6484" spans="2:37">
      <c r="B6484" s="834" t="str">
        <f t="shared" si="281"/>
        <v>|||</v>
      </c>
      <c r="H6484" s="835">
        <f t="shared" si="282"/>
        <v>31</v>
      </c>
      <c r="AF6484" s="831" t="s">
        <v>7143</v>
      </c>
      <c r="AG6484" s="831" t="s">
        <v>130</v>
      </c>
      <c r="AH6484" s="831" t="s">
        <v>197</v>
      </c>
      <c r="AI6484" s="831">
        <v>0</v>
      </c>
      <c r="AJ6484" s="835">
        <v>41517</v>
      </c>
      <c r="AK6484" s="831">
        <v>0</v>
      </c>
    </row>
    <row r="6485" spans="2:37">
      <c r="B6485" s="834" t="str">
        <f t="shared" si="281"/>
        <v>|||</v>
      </c>
      <c r="H6485" s="835">
        <f t="shared" si="282"/>
        <v>31</v>
      </c>
      <c r="AF6485" s="831" t="s">
        <v>7144</v>
      </c>
      <c r="AG6485" s="831" t="s">
        <v>130</v>
      </c>
      <c r="AH6485" s="831" t="s">
        <v>199</v>
      </c>
      <c r="AI6485" s="831">
        <v>0</v>
      </c>
      <c r="AJ6485" s="835">
        <v>41517</v>
      </c>
      <c r="AK6485" s="831">
        <v>0</v>
      </c>
    </row>
    <row r="6486" spans="2:37">
      <c r="B6486" s="834" t="str">
        <f t="shared" si="281"/>
        <v>|||</v>
      </c>
      <c r="H6486" s="835">
        <f t="shared" si="282"/>
        <v>31</v>
      </c>
      <c r="AF6486" s="831" t="s">
        <v>7145</v>
      </c>
      <c r="AG6486" s="831" t="s">
        <v>130</v>
      </c>
      <c r="AH6486" s="831" t="s">
        <v>201</v>
      </c>
      <c r="AI6486" s="831">
        <v>0</v>
      </c>
      <c r="AJ6486" s="835">
        <v>41517</v>
      </c>
      <c r="AK6486" s="831">
        <v>10433655</v>
      </c>
    </row>
    <row r="6487" spans="2:37">
      <c r="B6487" s="834" t="str">
        <f t="shared" si="281"/>
        <v>|||</v>
      </c>
      <c r="H6487" s="835">
        <f t="shared" si="282"/>
        <v>31</v>
      </c>
      <c r="AF6487" s="831" t="s">
        <v>7146</v>
      </c>
      <c r="AG6487" s="831" t="s">
        <v>130</v>
      </c>
      <c r="AH6487" s="831" t="s">
        <v>209</v>
      </c>
      <c r="AI6487" s="831">
        <v>0</v>
      </c>
      <c r="AJ6487" s="835">
        <v>41517</v>
      </c>
      <c r="AK6487" s="831">
        <v>56464834.759999998</v>
      </c>
    </row>
    <row r="6488" spans="2:37">
      <c r="B6488" s="834" t="str">
        <f t="shared" si="281"/>
        <v>|||</v>
      </c>
      <c r="H6488" s="835">
        <f t="shared" si="282"/>
        <v>31</v>
      </c>
      <c r="AF6488" s="831" t="s">
        <v>7147</v>
      </c>
      <c r="AG6488" s="831" t="s">
        <v>130</v>
      </c>
      <c r="AH6488" s="831" t="s">
        <v>211</v>
      </c>
      <c r="AI6488" s="831">
        <v>0</v>
      </c>
      <c r="AJ6488" s="835">
        <v>41517</v>
      </c>
      <c r="AK6488" s="831">
        <v>156659322.38999999</v>
      </c>
    </row>
    <row r="6489" spans="2:37">
      <c r="B6489" s="834" t="str">
        <f t="shared" si="281"/>
        <v>|||</v>
      </c>
      <c r="H6489" s="835">
        <f t="shared" si="282"/>
        <v>31</v>
      </c>
      <c r="AF6489" s="831" t="s">
        <v>7148</v>
      </c>
      <c r="AG6489" s="831" t="s">
        <v>130</v>
      </c>
      <c r="AH6489" s="831" t="s">
        <v>212</v>
      </c>
      <c r="AI6489" s="831">
        <v>0</v>
      </c>
      <c r="AJ6489" s="835">
        <v>41517</v>
      </c>
      <c r="AK6489" s="831">
        <v>7122004.5099999998</v>
      </c>
    </row>
    <row r="6490" spans="2:37">
      <c r="B6490" s="834" t="str">
        <f t="shared" si="281"/>
        <v>|||</v>
      </c>
      <c r="H6490" s="835">
        <f t="shared" si="282"/>
        <v>31</v>
      </c>
      <c r="AF6490" s="831" t="s">
        <v>7149</v>
      </c>
      <c r="AG6490" s="831" t="s">
        <v>130</v>
      </c>
      <c r="AH6490" s="831" t="s">
        <v>216</v>
      </c>
      <c r="AI6490" s="831">
        <v>0</v>
      </c>
      <c r="AJ6490" s="835">
        <v>41517</v>
      </c>
      <c r="AK6490" s="831">
        <v>0</v>
      </c>
    </row>
    <row r="6491" spans="2:37">
      <c r="B6491" s="834" t="str">
        <f t="shared" si="281"/>
        <v>|||</v>
      </c>
      <c r="H6491" s="835">
        <f t="shared" si="282"/>
        <v>31</v>
      </c>
      <c r="AF6491" s="831" t="s">
        <v>7150</v>
      </c>
      <c r="AG6491" s="831" t="s">
        <v>130</v>
      </c>
      <c r="AH6491" s="831" t="s">
        <v>218</v>
      </c>
      <c r="AI6491" s="831">
        <v>0</v>
      </c>
      <c r="AJ6491" s="835">
        <v>41517</v>
      </c>
      <c r="AK6491" s="831">
        <v>79795330</v>
      </c>
    </row>
    <row r="6492" spans="2:37">
      <c r="B6492" s="834" t="str">
        <f t="shared" si="281"/>
        <v>|||</v>
      </c>
      <c r="H6492" s="835">
        <f t="shared" si="282"/>
        <v>31</v>
      </c>
      <c r="AF6492" s="831" t="s">
        <v>7151</v>
      </c>
      <c r="AG6492" s="831" t="s">
        <v>130</v>
      </c>
      <c r="AH6492" s="831" t="s">
        <v>220</v>
      </c>
      <c r="AI6492" s="831">
        <v>0</v>
      </c>
      <c r="AJ6492" s="835">
        <v>41517</v>
      </c>
      <c r="AK6492" s="831">
        <v>0</v>
      </c>
    </row>
    <row r="6493" spans="2:37">
      <c r="B6493" s="834" t="str">
        <f t="shared" si="281"/>
        <v>|||</v>
      </c>
      <c r="H6493" s="835">
        <f t="shared" si="282"/>
        <v>31</v>
      </c>
      <c r="AF6493" s="831" t="s">
        <v>7152</v>
      </c>
      <c r="AG6493" s="831" t="s">
        <v>130</v>
      </c>
      <c r="AH6493" s="831" t="s">
        <v>221</v>
      </c>
      <c r="AI6493" s="831">
        <v>0</v>
      </c>
      <c r="AJ6493" s="835">
        <v>41517</v>
      </c>
      <c r="AK6493" s="831">
        <v>9168177</v>
      </c>
    </row>
    <row r="6494" spans="2:37">
      <c r="B6494" s="834" t="str">
        <f t="shared" si="281"/>
        <v>|||</v>
      </c>
      <c r="H6494" s="835">
        <f t="shared" si="282"/>
        <v>31</v>
      </c>
      <c r="AF6494" s="831" t="s">
        <v>7153</v>
      </c>
      <c r="AG6494" s="831" t="s">
        <v>130</v>
      </c>
      <c r="AH6494" s="831" t="s">
        <v>228</v>
      </c>
      <c r="AI6494" s="831">
        <v>0</v>
      </c>
      <c r="AJ6494" s="835">
        <v>41517</v>
      </c>
      <c r="AK6494" s="831">
        <v>0</v>
      </c>
    </row>
    <row r="6495" spans="2:37">
      <c r="B6495" s="834" t="str">
        <f t="shared" si="281"/>
        <v>|||</v>
      </c>
      <c r="H6495" s="835">
        <f t="shared" si="282"/>
        <v>31</v>
      </c>
      <c r="AF6495" s="831" t="s">
        <v>7154</v>
      </c>
      <c r="AG6495" s="831" t="s">
        <v>130</v>
      </c>
      <c r="AH6495" s="831" t="s">
        <v>230</v>
      </c>
      <c r="AI6495" s="831">
        <v>0</v>
      </c>
      <c r="AJ6495" s="835">
        <v>41517</v>
      </c>
      <c r="AK6495" s="831">
        <v>0</v>
      </c>
    </row>
    <row r="6496" spans="2:37">
      <c r="B6496" s="834" t="str">
        <f t="shared" si="281"/>
        <v>|||</v>
      </c>
      <c r="H6496" s="835">
        <f t="shared" si="282"/>
        <v>31</v>
      </c>
      <c r="AF6496" s="831" t="s">
        <v>7155</v>
      </c>
      <c r="AG6496" s="831" t="s">
        <v>130</v>
      </c>
      <c r="AH6496" s="831" t="s">
        <v>231</v>
      </c>
      <c r="AI6496" s="831">
        <v>0</v>
      </c>
      <c r="AJ6496" s="835">
        <v>41517</v>
      </c>
      <c r="AK6496" s="831">
        <v>0</v>
      </c>
    </row>
    <row r="6497" spans="2:37">
      <c r="B6497" s="834" t="str">
        <f t="shared" si="281"/>
        <v>|||</v>
      </c>
      <c r="H6497" s="835">
        <f t="shared" si="282"/>
        <v>31</v>
      </c>
      <c r="AF6497" s="831" t="s">
        <v>7156</v>
      </c>
      <c r="AG6497" s="831" t="s">
        <v>130</v>
      </c>
      <c r="AH6497" s="831" t="s">
        <v>232</v>
      </c>
      <c r="AI6497" s="831">
        <v>0</v>
      </c>
      <c r="AJ6497" s="835">
        <v>41517</v>
      </c>
      <c r="AK6497" s="831">
        <v>226320830</v>
      </c>
    </row>
    <row r="6498" spans="2:37">
      <c r="B6498" s="834" t="str">
        <f t="shared" si="281"/>
        <v>|||</v>
      </c>
      <c r="H6498" s="835">
        <f t="shared" si="282"/>
        <v>31</v>
      </c>
      <c r="AF6498" s="831" t="s">
        <v>7157</v>
      </c>
      <c r="AG6498" s="831" t="s">
        <v>130</v>
      </c>
      <c r="AH6498" s="831" t="s">
        <v>116</v>
      </c>
      <c r="AI6498" s="831">
        <v>0</v>
      </c>
      <c r="AJ6498" s="835">
        <v>41517</v>
      </c>
      <c r="AK6498" s="831">
        <v>8009132</v>
      </c>
    </row>
    <row r="6499" spans="2:37">
      <c r="B6499" s="834" t="str">
        <f t="shared" si="281"/>
        <v>|||</v>
      </c>
      <c r="H6499" s="835">
        <f t="shared" si="282"/>
        <v>31</v>
      </c>
      <c r="AF6499" s="831" t="s">
        <v>7158</v>
      </c>
      <c r="AG6499" s="831" t="s">
        <v>130</v>
      </c>
      <c r="AH6499" s="831" t="s">
        <v>234</v>
      </c>
      <c r="AI6499" s="831">
        <v>0</v>
      </c>
      <c r="AJ6499" s="835">
        <v>41517</v>
      </c>
      <c r="AK6499" s="831">
        <v>0</v>
      </c>
    </row>
    <row r="6500" spans="2:37">
      <c r="B6500" s="834" t="str">
        <f t="shared" si="281"/>
        <v>|||</v>
      </c>
      <c r="H6500" s="835">
        <f t="shared" si="282"/>
        <v>31</v>
      </c>
      <c r="AF6500" s="831" t="s">
        <v>7159</v>
      </c>
      <c r="AG6500" s="831" t="s">
        <v>130</v>
      </c>
      <c r="AH6500" s="831" t="s">
        <v>235</v>
      </c>
      <c r="AI6500" s="831">
        <v>0</v>
      </c>
      <c r="AJ6500" s="835">
        <v>41517</v>
      </c>
      <c r="AK6500" s="831">
        <v>0</v>
      </c>
    </row>
    <row r="6501" spans="2:37">
      <c r="B6501" s="834" t="str">
        <f t="shared" si="281"/>
        <v>|||</v>
      </c>
      <c r="H6501" s="835">
        <f t="shared" si="282"/>
        <v>31</v>
      </c>
      <c r="AF6501" s="831" t="s">
        <v>7160</v>
      </c>
      <c r="AG6501" s="831" t="s">
        <v>130</v>
      </c>
      <c r="AH6501" s="831" t="s">
        <v>238</v>
      </c>
      <c r="AI6501" s="831">
        <v>0</v>
      </c>
      <c r="AJ6501" s="835">
        <v>41517</v>
      </c>
      <c r="AK6501" s="831">
        <v>0</v>
      </c>
    </row>
    <row r="6502" spans="2:37">
      <c r="B6502" s="834" t="str">
        <f t="shared" si="281"/>
        <v>|||</v>
      </c>
      <c r="H6502" s="835">
        <f t="shared" si="282"/>
        <v>31</v>
      </c>
      <c r="AF6502" s="831" t="s">
        <v>7161</v>
      </c>
      <c r="AG6502" s="831" t="s">
        <v>130</v>
      </c>
      <c r="AH6502" s="831" t="s">
        <v>240</v>
      </c>
      <c r="AI6502" s="831">
        <v>0</v>
      </c>
      <c r="AJ6502" s="835">
        <v>41517</v>
      </c>
      <c r="AK6502" s="831">
        <v>85000000</v>
      </c>
    </row>
    <row r="6503" spans="2:37">
      <c r="B6503" s="834" t="str">
        <f t="shared" si="281"/>
        <v>|||</v>
      </c>
      <c r="H6503" s="835">
        <f t="shared" si="282"/>
        <v>31</v>
      </c>
      <c r="AF6503" s="831" t="s">
        <v>7162</v>
      </c>
      <c r="AG6503" s="831" t="s">
        <v>130</v>
      </c>
      <c r="AH6503" s="831" t="s">
        <v>241</v>
      </c>
      <c r="AI6503" s="831">
        <v>0</v>
      </c>
      <c r="AJ6503" s="835">
        <v>41517</v>
      </c>
      <c r="AK6503" s="831">
        <v>0</v>
      </c>
    </row>
    <row r="6504" spans="2:37">
      <c r="B6504" s="834" t="str">
        <f t="shared" si="281"/>
        <v>|||</v>
      </c>
      <c r="H6504" s="835">
        <f t="shared" si="282"/>
        <v>31</v>
      </c>
      <c r="AF6504" s="831" t="s">
        <v>7163</v>
      </c>
      <c r="AG6504" s="831" t="s">
        <v>130</v>
      </c>
      <c r="AH6504" s="831" t="s">
        <v>242</v>
      </c>
      <c r="AI6504" s="831">
        <v>0</v>
      </c>
      <c r="AJ6504" s="835">
        <v>41517</v>
      </c>
      <c r="AK6504" s="831">
        <v>0</v>
      </c>
    </row>
    <row r="6505" spans="2:37">
      <c r="B6505" s="834" t="str">
        <f t="shared" si="281"/>
        <v>|||</v>
      </c>
      <c r="H6505" s="835">
        <f t="shared" si="282"/>
        <v>31</v>
      </c>
      <c r="AF6505" s="831" t="s">
        <v>7164</v>
      </c>
      <c r="AG6505" s="831" t="s">
        <v>130</v>
      </c>
      <c r="AH6505" s="831" t="s">
        <v>244</v>
      </c>
      <c r="AI6505" s="831">
        <v>0</v>
      </c>
      <c r="AJ6505" s="835">
        <v>41517</v>
      </c>
      <c r="AK6505" s="831">
        <v>9763223</v>
      </c>
    </row>
    <row r="6506" spans="2:37">
      <c r="B6506" s="834" t="str">
        <f t="shared" si="281"/>
        <v>|||</v>
      </c>
      <c r="H6506" s="835">
        <f t="shared" si="282"/>
        <v>31</v>
      </c>
      <c r="AF6506" s="831" t="s">
        <v>7165</v>
      </c>
      <c r="AG6506" s="831" t="s">
        <v>130</v>
      </c>
      <c r="AH6506" s="831" t="s">
        <v>245</v>
      </c>
      <c r="AI6506" s="831">
        <v>0</v>
      </c>
      <c r="AJ6506" s="835">
        <v>41517</v>
      </c>
      <c r="AK6506" s="831">
        <v>19111721</v>
      </c>
    </row>
    <row r="6507" spans="2:37">
      <c r="B6507" s="834" t="str">
        <f t="shared" si="281"/>
        <v>|||</v>
      </c>
      <c r="H6507" s="835">
        <f t="shared" si="282"/>
        <v>31</v>
      </c>
      <c r="AF6507" s="831" t="s">
        <v>7166</v>
      </c>
      <c r="AG6507" s="831" t="s">
        <v>130</v>
      </c>
      <c r="AH6507" s="831" t="s">
        <v>145</v>
      </c>
      <c r="AI6507" s="831">
        <v>0</v>
      </c>
      <c r="AJ6507" s="835">
        <v>41547</v>
      </c>
      <c r="AK6507" s="831">
        <v>39744103</v>
      </c>
    </row>
    <row r="6508" spans="2:37">
      <c r="B6508" s="834" t="str">
        <f t="shared" si="281"/>
        <v>|||</v>
      </c>
      <c r="H6508" s="835">
        <f t="shared" si="282"/>
        <v>31</v>
      </c>
      <c r="AF6508" s="831" t="s">
        <v>7167</v>
      </c>
      <c r="AG6508" s="831" t="s">
        <v>130</v>
      </c>
      <c r="AH6508" s="831" t="s">
        <v>149</v>
      </c>
      <c r="AI6508" s="831">
        <v>0</v>
      </c>
      <c r="AJ6508" s="835">
        <v>41547</v>
      </c>
      <c r="AK6508" s="831">
        <v>0</v>
      </c>
    </row>
    <row r="6509" spans="2:37">
      <c r="B6509" s="834" t="str">
        <f t="shared" si="281"/>
        <v>|||</v>
      </c>
      <c r="H6509" s="835">
        <f t="shared" si="282"/>
        <v>31</v>
      </c>
      <c r="AF6509" s="831" t="s">
        <v>7168</v>
      </c>
      <c r="AG6509" s="831" t="s">
        <v>130</v>
      </c>
      <c r="AH6509" s="831" t="s">
        <v>153</v>
      </c>
      <c r="AI6509" s="831">
        <v>0</v>
      </c>
      <c r="AJ6509" s="835">
        <v>41547</v>
      </c>
      <c r="AK6509" s="831">
        <v>39087143</v>
      </c>
    </row>
    <row r="6510" spans="2:37">
      <c r="B6510" s="834" t="str">
        <f t="shared" si="281"/>
        <v>|||</v>
      </c>
      <c r="H6510" s="835">
        <f t="shared" si="282"/>
        <v>31</v>
      </c>
      <c r="AF6510" s="831" t="s">
        <v>7169</v>
      </c>
      <c r="AG6510" s="831" t="s">
        <v>130</v>
      </c>
      <c r="AH6510" s="831" t="s">
        <v>156</v>
      </c>
      <c r="AI6510" s="831">
        <v>0</v>
      </c>
      <c r="AJ6510" s="835">
        <v>41547</v>
      </c>
      <c r="AK6510" s="831">
        <v>0</v>
      </c>
    </row>
    <row r="6511" spans="2:37">
      <c r="B6511" s="834" t="str">
        <f t="shared" si="281"/>
        <v>|||</v>
      </c>
      <c r="H6511" s="835">
        <f t="shared" si="282"/>
        <v>31</v>
      </c>
      <c r="AF6511" s="831" t="s">
        <v>7170</v>
      </c>
      <c r="AG6511" s="831" t="s">
        <v>130</v>
      </c>
      <c r="AH6511" s="831" t="s">
        <v>162</v>
      </c>
      <c r="AI6511" s="831">
        <v>0</v>
      </c>
      <c r="AJ6511" s="835">
        <v>41547</v>
      </c>
      <c r="AK6511" s="831">
        <v>563989028</v>
      </c>
    </row>
    <row r="6512" spans="2:37">
      <c r="B6512" s="834" t="str">
        <f t="shared" si="281"/>
        <v>|||</v>
      </c>
      <c r="H6512" s="835">
        <f t="shared" si="282"/>
        <v>31</v>
      </c>
      <c r="AF6512" s="831" t="s">
        <v>7171</v>
      </c>
      <c r="AG6512" s="831" t="s">
        <v>130</v>
      </c>
      <c r="AH6512" s="831" t="s">
        <v>165</v>
      </c>
      <c r="AI6512" s="831">
        <v>0</v>
      </c>
      <c r="AJ6512" s="835">
        <v>41547</v>
      </c>
      <c r="AK6512" s="831">
        <v>-12882814</v>
      </c>
    </row>
    <row r="6513" spans="2:37">
      <c r="B6513" s="834" t="str">
        <f t="shared" si="281"/>
        <v>|||</v>
      </c>
      <c r="H6513" s="835">
        <f t="shared" si="282"/>
        <v>31</v>
      </c>
      <c r="AF6513" s="831" t="s">
        <v>7172</v>
      </c>
      <c r="AG6513" s="831" t="s">
        <v>130</v>
      </c>
      <c r="AH6513" s="831" t="s">
        <v>171</v>
      </c>
      <c r="AI6513" s="831">
        <v>0</v>
      </c>
      <c r="AJ6513" s="835">
        <v>41547</v>
      </c>
      <c r="AK6513" s="831">
        <v>3542594</v>
      </c>
    </row>
    <row r="6514" spans="2:37">
      <c r="B6514" s="834" t="str">
        <f t="shared" si="281"/>
        <v>|||</v>
      </c>
      <c r="H6514" s="835">
        <f t="shared" si="282"/>
        <v>31</v>
      </c>
      <c r="AF6514" s="831" t="s">
        <v>7173</v>
      </c>
      <c r="AG6514" s="831" t="s">
        <v>130</v>
      </c>
      <c r="AH6514" s="831" t="s">
        <v>174</v>
      </c>
      <c r="AI6514" s="831">
        <v>0</v>
      </c>
      <c r="AJ6514" s="835">
        <v>41547</v>
      </c>
      <c r="AK6514" s="831">
        <v>0</v>
      </c>
    </row>
    <row r="6515" spans="2:37">
      <c r="B6515" s="834" t="str">
        <f t="shared" si="281"/>
        <v>|||</v>
      </c>
      <c r="H6515" s="835">
        <f t="shared" si="282"/>
        <v>31</v>
      </c>
      <c r="AF6515" s="831" t="s">
        <v>7174</v>
      </c>
      <c r="AG6515" s="831" t="s">
        <v>130</v>
      </c>
      <c r="AH6515" s="831" t="s">
        <v>181</v>
      </c>
      <c r="AI6515" s="831">
        <v>0</v>
      </c>
      <c r="AJ6515" s="835">
        <v>41547</v>
      </c>
      <c r="AK6515" s="831">
        <v>50712996</v>
      </c>
    </row>
    <row r="6516" spans="2:37">
      <c r="B6516" s="834" t="str">
        <f t="shared" si="281"/>
        <v>|||</v>
      </c>
      <c r="H6516" s="835">
        <f t="shared" si="282"/>
        <v>31</v>
      </c>
      <c r="AF6516" s="831" t="s">
        <v>7175</v>
      </c>
      <c r="AG6516" s="831" t="s">
        <v>130</v>
      </c>
      <c r="AH6516" s="831" t="s">
        <v>184</v>
      </c>
      <c r="AI6516" s="831">
        <v>0</v>
      </c>
      <c r="AJ6516" s="835">
        <v>41547</v>
      </c>
      <c r="AK6516" s="831">
        <v>-14866320</v>
      </c>
    </row>
    <row r="6517" spans="2:37">
      <c r="B6517" s="834" t="str">
        <f t="shared" si="281"/>
        <v>|||</v>
      </c>
      <c r="H6517" s="835">
        <f t="shared" si="282"/>
        <v>31</v>
      </c>
      <c r="AF6517" s="831" t="s">
        <v>7176</v>
      </c>
      <c r="AG6517" s="831" t="s">
        <v>130</v>
      </c>
      <c r="AH6517" s="831" t="s">
        <v>187</v>
      </c>
      <c r="AI6517" s="831">
        <v>0</v>
      </c>
      <c r="AJ6517" s="835">
        <v>41547</v>
      </c>
      <c r="AK6517" s="831">
        <v>0</v>
      </c>
    </row>
    <row r="6518" spans="2:37">
      <c r="B6518" s="834" t="str">
        <f t="shared" si="281"/>
        <v>|||</v>
      </c>
      <c r="H6518" s="835">
        <f t="shared" si="282"/>
        <v>31</v>
      </c>
      <c r="AF6518" s="831" t="s">
        <v>7177</v>
      </c>
      <c r="AG6518" s="831" t="s">
        <v>130</v>
      </c>
      <c r="AH6518" s="831" t="s">
        <v>196</v>
      </c>
      <c r="AI6518" s="831">
        <v>0</v>
      </c>
      <c r="AJ6518" s="835">
        <v>41547</v>
      </c>
      <c r="AK6518" s="831">
        <v>11795200</v>
      </c>
    </row>
    <row r="6519" spans="2:37">
      <c r="B6519" s="834" t="str">
        <f t="shared" si="281"/>
        <v>|||</v>
      </c>
      <c r="H6519" s="835">
        <f t="shared" si="282"/>
        <v>31</v>
      </c>
      <c r="AF6519" s="831" t="s">
        <v>7178</v>
      </c>
      <c r="AG6519" s="831" t="s">
        <v>130</v>
      </c>
      <c r="AH6519" s="831" t="s">
        <v>197</v>
      </c>
      <c r="AI6519" s="831">
        <v>0</v>
      </c>
      <c r="AJ6519" s="835">
        <v>41547</v>
      </c>
      <c r="AK6519" s="831">
        <v>0</v>
      </c>
    </row>
    <row r="6520" spans="2:37">
      <c r="B6520" s="834" t="str">
        <f t="shared" si="281"/>
        <v>|||</v>
      </c>
      <c r="H6520" s="835">
        <f t="shared" si="282"/>
        <v>31</v>
      </c>
      <c r="AF6520" s="831" t="s">
        <v>7179</v>
      </c>
      <c r="AG6520" s="831" t="s">
        <v>130</v>
      </c>
      <c r="AH6520" s="831" t="s">
        <v>199</v>
      </c>
      <c r="AI6520" s="831">
        <v>0</v>
      </c>
      <c r="AJ6520" s="835">
        <v>41547</v>
      </c>
      <c r="AK6520" s="831">
        <v>0</v>
      </c>
    </row>
    <row r="6521" spans="2:37">
      <c r="B6521" s="834" t="str">
        <f t="shared" si="281"/>
        <v>|||</v>
      </c>
      <c r="H6521" s="835">
        <f t="shared" si="282"/>
        <v>31</v>
      </c>
      <c r="AF6521" s="831" t="s">
        <v>7180</v>
      </c>
      <c r="AG6521" s="831" t="s">
        <v>130</v>
      </c>
      <c r="AH6521" s="831" t="s">
        <v>201</v>
      </c>
      <c r="AI6521" s="831">
        <v>0</v>
      </c>
      <c r="AJ6521" s="835">
        <v>41547</v>
      </c>
      <c r="AK6521" s="831">
        <v>11673656</v>
      </c>
    </row>
    <row r="6522" spans="2:37">
      <c r="B6522" s="834" t="str">
        <f t="shared" si="281"/>
        <v>|||</v>
      </c>
      <c r="H6522" s="835">
        <f t="shared" si="282"/>
        <v>31</v>
      </c>
      <c r="AF6522" s="831" t="s">
        <v>7181</v>
      </c>
      <c r="AG6522" s="831" t="s">
        <v>130</v>
      </c>
      <c r="AH6522" s="831" t="s">
        <v>209</v>
      </c>
      <c r="AI6522" s="831">
        <v>0</v>
      </c>
      <c r="AJ6522" s="835">
        <v>41547</v>
      </c>
      <c r="AK6522" s="831">
        <v>56415931</v>
      </c>
    </row>
    <row r="6523" spans="2:37">
      <c r="B6523" s="834" t="str">
        <f t="shared" si="281"/>
        <v>|||</v>
      </c>
      <c r="H6523" s="835">
        <f t="shared" si="282"/>
        <v>31</v>
      </c>
      <c r="AF6523" s="831" t="s">
        <v>7182</v>
      </c>
      <c r="AG6523" s="831" t="s">
        <v>130</v>
      </c>
      <c r="AH6523" s="831" t="s">
        <v>211</v>
      </c>
      <c r="AI6523" s="831">
        <v>0</v>
      </c>
      <c r="AJ6523" s="835">
        <v>41547</v>
      </c>
      <c r="AK6523" s="831">
        <v>163547572</v>
      </c>
    </row>
    <row r="6524" spans="2:37">
      <c r="B6524" s="834" t="str">
        <f t="shared" si="281"/>
        <v>|||</v>
      </c>
      <c r="H6524" s="835">
        <f t="shared" si="282"/>
        <v>31</v>
      </c>
      <c r="AF6524" s="831" t="s">
        <v>7183</v>
      </c>
      <c r="AG6524" s="831" t="s">
        <v>130</v>
      </c>
      <c r="AH6524" s="831" t="s">
        <v>212</v>
      </c>
      <c r="AI6524" s="831">
        <v>0</v>
      </c>
      <c r="AJ6524" s="835">
        <v>41547</v>
      </c>
      <c r="AK6524" s="831">
        <v>7179185</v>
      </c>
    </row>
    <row r="6525" spans="2:37">
      <c r="B6525" s="834" t="str">
        <f t="shared" si="281"/>
        <v>|||</v>
      </c>
      <c r="H6525" s="835">
        <f t="shared" si="282"/>
        <v>31</v>
      </c>
      <c r="AF6525" s="831" t="s">
        <v>7184</v>
      </c>
      <c r="AG6525" s="831" t="s">
        <v>130</v>
      </c>
      <c r="AH6525" s="831" t="s">
        <v>216</v>
      </c>
      <c r="AI6525" s="831">
        <v>0</v>
      </c>
      <c r="AJ6525" s="835">
        <v>41547</v>
      </c>
      <c r="AK6525" s="831">
        <v>0</v>
      </c>
    </row>
    <row r="6526" spans="2:37">
      <c r="B6526" s="834" t="str">
        <f t="shared" si="281"/>
        <v>|||</v>
      </c>
      <c r="H6526" s="835">
        <f t="shared" si="282"/>
        <v>31</v>
      </c>
      <c r="AF6526" s="831" t="s">
        <v>7185</v>
      </c>
      <c r="AG6526" s="831" t="s">
        <v>130</v>
      </c>
      <c r="AH6526" s="831" t="s">
        <v>218</v>
      </c>
      <c r="AI6526" s="831">
        <v>0</v>
      </c>
      <c r="AJ6526" s="835">
        <v>41547</v>
      </c>
      <c r="AK6526" s="831">
        <v>83426670</v>
      </c>
    </row>
    <row r="6527" spans="2:37">
      <c r="B6527" s="834" t="str">
        <f t="shared" si="281"/>
        <v>|||</v>
      </c>
      <c r="H6527" s="835">
        <f t="shared" si="282"/>
        <v>31</v>
      </c>
      <c r="AF6527" s="831" t="s">
        <v>7186</v>
      </c>
      <c r="AG6527" s="831" t="s">
        <v>130</v>
      </c>
      <c r="AH6527" s="831" t="s">
        <v>220</v>
      </c>
      <c r="AI6527" s="831">
        <v>0</v>
      </c>
      <c r="AJ6527" s="835">
        <v>41547</v>
      </c>
      <c r="AK6527" s="831">
        <v>0</v>
      </c>
    </row>
    <row r="6528" spans="2:37">
      <c r="B6528" s="834" t="str">
        <f t="shared" si="281"/>
        <v>|||</v>
      </c>
      <c r="H6528" s="835">
        <f t="shared" si="282"/>
        <v>31</v>
      </c>
      <c r="AF6528" s="831" t="s">
        <v>7187</v>
      </c>
      <c r="AG6528" s="831" t="s">
        <v>130</v>
      </c>
      <c r="AH6528" s="831" t="s">
        <v>221</v>
      </c>
      <c r="AI6528" s="831">
        <v>0</v>
      </c>
      <c r="AJ6528" s="835">
        <v>41547</v>
      </c>
      <c r="AK6528" s="831">
        <v>9524893</v>
      </c>
    </row>
    <row r="6529" spans="2:37">
      <c r="B6529" s="834" t="str">
        <f t="shared" si="281"/>
        <v>|||</v>
      </c>
      <c r="H6529" s="835">
        <f t="shared" si="282"/>
        <v>31</v>
      </c>
      <c r="AF6529" s="831" t="s">
        <v>7188</v>
      </c>
      <c r="AG6529" s="831" t="s">
        <v>130</v>
      </c>
      <c r="AH6529" s="831" t="s">
        <v>228</v>
      </c>
      <c r="AI6529" s="831">
        <v>0</v>
      </c>
      <c r="AJ6529" s="835">
        <v>41547</v>
      </c>
      <c r="AK6529" s="831">
        <v>0</v>
      </c>
    </row>
    <row r="6530" spans="2:37">
      <c r="B6530" s="834" t="str">
        <f t="shared" si="281"/>
        <v>|||</v>
      </c>
      <c r="H6530" s="835">
        <f t="shared" si="282"/>
        <v>31</v>
      </c>
      <c r="AF6530" s="831" t="s">
        <v>7189</v>
      </c>
      <c r="AG6530" s="831" t="s">
        <v>130</v>
      </c>
      <c r="AH6530" s="831" t="s">
        <v>230</v>
      </c>
      <c r="AI6530" s="831">
        <v>0</v>
      </c>
      <c r="AJ6530" s="835">
        <v>41547</v>
      </c>
      <c r="AK6530" s="831">
        <v>0</v>
      </c>
    </row>
    <row r="6531" spans="2:37">
      <c r="B6531" s="834" t="str">
        <f t="shared" ref="B6531:B6594" si="283">C6531&amp;"|"&amp;D6531&amp;"|"&amp;E6531&amp;"|"&amp;F6531</f>
        <v>|||</v>
      </c>
      <c r="H6531" s="835">
        <f t="shared" si="282"/>
        <v>31</v>
      </c>
      <c r="AF6531" s="831" t="s">
        <v>7190</v>
      </c>
      <c r="AG6531" s="831" t="s">
        <v>130</v>
      </c>
      <c r="AH6531" s="831" t="s">
        <v>231</v>
      </c>
      <c r="AI6531" s="831">
        <v>0</v>
      </c>
      <c r="AJ6531" s="835">
        <v>41547</v>
      </c>
      <c r="AK6531" s="831">
        <v>0</v>
      </c>
    </row>
    <row r="6532" spans="2:37">
      <c r="B6532" s="834" t="str">
        <f t="shared" si="283"/>
        <v>|||</v>
      </c>
      <c r="H6532" s="835">
        <f t="shared" ref="H6532:H6595" si="284">EOMONTH(L6532,0)</f>
        <v>31</v>
      </c>
      <c r="AF6532" s="831" t="s">
        <v>7191</v>
      </c>
      <c r="AG6532" s="831" t="s">
        <v>130</v>
      </c>
      <c r="AH6532" s="831" t="s">
        <v>232</v>
      </c>
      <c r="AI6532" s="831">
        <v>0</v>
      </c>
      <c r="AJ6532" s="835">
        <v>41547</v>
      </c>
      <c r="AK6532" s="831">
        <v>247520545</v>
      </c>
    </row>
    <row r="6533" spans="2:37">
      <c r="B6533" s="834" t="str">
        <f t="shared" si="283"/>
        <v>|||</v>
      </c>
      <c r="H6533" s="835">
        <f t="shared" si="284"/>
        <v>31</v>
      </c>
      <c r="AF6533" s="831" t="s">
        <v>7192</v>
      </c>
      <c r="AG6533" s="831" t="s">
        <v>130</v>
      </c>
      <c r="AH6533" s="831" t="s">
        <v>116</v>
      </c>
      <c r="AI6533" s="831">
        <v>0</v>
      </c>
      <c r="AJ6533" s="835">
        <v>41547</v>
      </c>
      <c r="AK6533" s="831">
        <v>8010153</v>
      </c>
    </row>
    <row r="6534" spans="2:37">
      <c r="B6534" s="834" t="str">
        <f t="shared" si="283"/>
        <v>|||</v>
      </c>
      <c r="H6534" s="835">
        <f t="shared" si="284"/>
        <v>31</v>
      </c>
      <c r="AF6534" s="831" t="s">
        <v>7193</v>
      </c>
      <c r="AG6534" s="831" t="s">
        <v>130</v>
      </c>
      <c r="AH6534" s="831" t="s">
        <v>234</v>
      </c>
      <c r="AI6534" s="831">
        <v>0</v>
      </c>
      <c r="AJ6534" s="835">
        <v>41547</v>
      </c>
      <c r="AK6534" s="831">
        <v>0</v>
      </c>
    </row>
    <row r="6535" spans="2:37">
      <c r="B6535" s="834" t="str">
        <f t="shared" si="283"/>
        <v>|||</v>
      </c>
      <c r="H6535" s="835">
        <f t="shared" si="284"/>
        <v>31</v>
      </c>
      <c r="AF6535" s="831" t="s">
        <v>7194</v>
      </c>
      <c r="AG6535" s="831" t="s">
        <v>130</v>
      </c>
      <c r="AH6535" s="831" t="s">
        <v>235</v>
      </c>
      <c r="AI6535" s="831">
        <v>0</v>
      </c>
      <c r="AJ6535" s="835">
        <v>41547</v>
      </c>
      <c r="AK6535" s="831">
        <v>0</v>
      </c>
    </row>
    <row r="6536" spans="2:37">
      <c r="B6536" s="834" t="str">
        <f t="shared" si="283"/>
        <v>|||</v>
      </c>
      <c r="H6536" s="835">
        <f t="shared" si="284"/>
        <v>31</v>
      </c>
      <c r="AF6536" s="831" t="s">
        <v>7195</v>
      </c>
      <c r="AG6536" s="831" t="s">
        <v>130</v>
      </c>
      <c r="AH6536" s="831" t="s">
        <v>238</v>
      </c>
      <c r="AI6536" s="831">
        <v>0</v>
      </c>
      <c r="AJ6536" s="835">
        <v>41547</v>
      </c>
      <c r="AK6536" s="831">
        <v>0</v>
      </c>
    </row>
    <row r="6537" spans="2:37">
      <c r="B6537" s="834" t="str">
        <f t="shared" si="283"/>
        <v>|||</v>
      </c>
      <c r="H6537" s="835">
        <f t="shared" si="284"/>
        <v>31</v>
      </c>
      <c r="AF6537" s="831" t="s">
        <v>7196</v>
      </c>
      <c r="AG6537" s="831" t="s">
        <v>130</v>
      </c>
      <c r="AH6537" s="831" t="s">
        <v>240</v>
      </c>
      <c r="AI6537" s="831">
        <v>0</v>
      </c>
      <c r="AJ6537" s="835">
        <v>41547</v>
      </c>
      <c r="AK6537" s="831">
        <v>85000000</v>
      </c>
    </row>
    <row r="6538" spans="2:37">
      <c r="B6538" s="834" t="str">
        <f t="shared" si="283"/>
        <v>|||</v>
      </c>
      <c r="H6538" s="835">
        <f t="shared" si="284"/>
        <v>31</v>
      </c>
      <c r="AF6538" s="831" t="s">
        <v>7197</v>
      </c>
      <c r="AG6538" s="831" t="s">
        <v>130</v>
      </c>
      <c r="AH6538" s="831" t="s">
        <v>241</v>
      </c>
      <c r="AI6538" s="831">
        <v>0</v>
      </c>
      <c r="AJ6538" s="835">
        <v>41547</v>
      </c>
      <c r="AK6538" s="831">
        <v>0</v>
      </c>
    </row>
    <row r="6539" spans="2:37">
      <c r="B6539" s="834" t="str">
        <f t="shared" si="283"/>
        <v>|||</v>
      </c>
      <c r="H6539" s="835">
        <f t="shared" si="284"/>
        <v>31</v>
      </c>
      <c r="AF6539" s="831" t="s">
        <v>7198</v>
      </c>
      <c r="AG6539" s="831" t="s">
        <v>130</v>
      </c>
      <c r="AH6539" s="831" t="s">
        <v>242</v>
      </c>
      <c r="AI6539" s="831">
        <v>0</v>
      </c>
      <c r="AJ6539" s="835">
        <v>41547</v>
      </c>
      <c r="AK6539" s="831">
        <v>0</v>
      </c>
    </row>
    <row r="6540" spans="2:37">
      <c r="B6540" s="834" t="str">
        <f t="shared" si="283"/>
        <v>|||</v>
      </c>
      <c r="H6540" s="835">
        <f t="shared" si="284"/>
        <v>31</v>
      </c>
      <c r="AF6540" s="831" t="s">
        <v>7199</v>
      </c>
      <c r="AG6540" s="831" t="s">
        <v>130</v>
      </c>
      <c r="AH6540" s="831" t="s">
        <v>244</v>
      </c>
      <c r="AI6540" s="831">
        <v>0</v>
      </c>
      <c r="AJ6540" s="835">
        <v>41547</v>
      </c>
      <c r="AK6540" s="831">
        <v>9763223</v>
      </c>
    </row>
    <row r="6541" spans="2:37">
      <c r="B6541" s="834" t="str">
        <f t="shared" si="283"/>
        <v>|||</v>
      </c>
      <c r="H6541" s="835">
        <f t="shared" si="284"/>
        <v>31</v>
      </c>
      <c r="AF6541" s="831" t="s">
        <v>7200</v>
      </c>
      <c r="AG6541" s="831" t="s">
        <v>130</v>
      </c>
      <c r="AH6541" s="831" t="s">
        <v>245</v>
      </c>
      <c r="AI6541" s="831">
        <v>0</v>
      </c>
      <c r="AJ6541" s="835">
        <v>41547</v>
      </c>
      <c r="AK6541" s="831">
        <v>22407414</v>
      </c>
    </row>
    <row r="6542" spans="2:37">
      <c r="B6542" s="834" t="str">
        <f t="shared" si="283"/>
        <v>|||</v>
      </c>
      <c r="H6542" s="835">
        <f t="shared" si="284"/>
        <v>31</v>
      </c>
      <c r="AF6542" s="831" t="s">
        <v>7201</v>
      </c>
      <c r="AG6542" s="831" t="s">
        <v>130</v>
      </c>
      <c r="AH6542" s="831" t="s">
        <v>145</v>
      </c>
      <c r="AI6542" s="831">
        <v>0</v>
      </c>
      <c r="AJ6542" s="835">
        <v>41578</v>
      </c>
      <c r="AK6542" s="831">
        <v>45784715</v>
      </c>
    </row>
    <row r="6543" spans="2:37">
      <c r="B6543" s="834" t="str">
        <f t="shared" si="283"/>
        <v>|||</v>
      </c>
      <c r="H6543" s="835">
        <f t="shared" si="284"/>
        <v>31</v>
      </c>
      <c r="AF6543" s="831" t="s">
        <v>7202</v>
      </c>
      <c r="AG6543" s="831" t="s">
        <v>130</v>
      </c>
      <c r="AH6543" s="831" t="s">
        <v>149</v>
      </c>
      <c r="AI6543" s="831">
        <v>0</v>
      </c>
      <c r="AJ6543" s="835">
        <v>41578</v>
      </c>
      <c r="AK6543" s="831">
        <v>0</v>
      </c>
    </row>
    <row r="6544" spans="2:37">
      <c r="B6544" s="834" t="str">
        <f t="shared" si="283"/>
        <v>|||</v>
      </c>
      <c r="H6544" s="835">
        <f t="shared" si="284"/>
        <v>31</v>
      </c>
      <c r="AF6544" s="831" t="s">
        <v>7203</v>
      </c>
      <c r="AG6544" s="831" t="s">
        <v>130</v>
      </c>
      <c r="AH6544" s="831" t="s">
        <v>153</v>
      </c>
      <c r="AI6544" s="831">
        <v>0</v>
      </c>
      <c r="AJ6544" s="835">
        <v>41578</v>
      </c>
      <c r="AK6544" s="831">
        <v>47132406</v>
      </c>
    </row>
    <row r="6545" spans="2:37">
      <c r="B6545" s="834" t="str">
        <f t="shared" si="283"/>
        <v>|||</v>
      </c>
      <c r="H6545" s="835">
        <f t="shared" si="284"/>
        <v>31</v>
      </c>
      <c r="AF6545" s="831" t="s">
        <v>7204</v>
      </c>
      <c r="AG6545" s="831" t="s">
        <v>130</v>
      </c>
      <c r="AH6545" s="831" t="s">
        <v>156</v>
      </c>
      <c r="AI6545" s="831">
        <v>0</v>
      </c>
      <c r="AJ6545" s="835">
        <v>41578</v>
      </c>
      <c r="AK6545" s="831">
        <v>0</v>
      </c>
    </row>
    <row r="6546" spans="2:37">
      <c r="B6546" s="834" t="str">
        <f t="shared" si="283"/>
        <v>|||</v>
      </c>
      <c r="H6546" s="835">
        <f t="shared" si="284"/>
        <v>31</v>
      </c>
      <c r="AF6546" s="831" t="s">
        <v>7205</v>
      </c>
      <c r="AG6546" s="831" t="s">
        <v>130</v>
      </c>
      <c r="AH6546" s="831" t="s">
        <v>162</v>
      </c>
      <c r="AI6546" s="831">
        <v>0</v>
      </c>
      <c r="AJ6546" s="835">
        <v>41578</v>
      </c>
      <c r="AK6546" s="831">
        <v>580271359</v>
      </c>
    </row>
    <row r="6547" spans="2:37">
      <c r="B6547" s="834" t="str">
        <f t="shared" si="283"/>
        <v>|||</v>
      </c>
      <c r="H6547" s="835">
        <f t="shared" si="284"/>
        <v>31</v>
      </c>
      <c r="AF6547" s="831" t="s">
        <v>7206</v>
      </c>
      <c r="AG6547" s="831" t="s">
        <v>130</v>
      </c>
      <c r="AH6547" s="831" t="s">
        <v>165</v>
      </c>
      <c r="AI6547" s="831">
        <v>0</v>
      </c>
      <c r="AJ6547" s="835">
        <v>41578</v>
      </c>
      <c r="AK6547" s="831">
        <v>-13193791</v>
      </c>
    </row>
    <row r="6548" spans="2:37">
      <c r="B6548" s="834" t="str">
        <f t="shared" si="283"/>
        <v>|||</v>
      </c>
      <c r="H6548" s="835">
        <f t="shared" si="284"/>
        <v>31</v>
      </c>
      <c r="AF6548" s="831" t="s">
        <v>7207</v>
      </c>
      <c r="AG6548" s="831" t="s">
        <v>130</v>
      </c>
      <c r="AH6548" s="831" t="s">
        <v>171</v>
      </c>
      <c r="AI6548" s="831">
        <v>0</v>
      </c>
      <c r="AJ6548" s="835">
        <v>41578</v>
      </c>
      <c r="AK6548" s="831">
        <v>3553916</v>
      </c>
    </row>
    <row r="6549" spans="2:37">
      <c r="B6549" s="834" t="str">
        <f t="shared" si="283"/>
        <v>|||</v>
      </c>
      <c r="H6549" s="835">
        <f t="shared" si="284"/>
        <v>31</v>
      </c>
      <c r="AF6549" s="831" t="s">
        <v>7208</v>
      </c>
      <c r="AG6549" s="831" t="s">
        <v>130</v>
      </c>
      <c r="AH6549" s="831" t="s">
        <v>174</v>
      </c>
      <c r="AI6549" s="831">
        <v>0</v>
      </c>
      <c r="AJ6549" s="835">
        <v>41578</v>
      </c>
      <c r="AK6549" s="831">
        <v>0</v>
      </c>
    </row>
    <row r="6550" spans="2:37">
      <c r="B6550" s="834" t="str">
        <f t="shared" si="283"/>
        <v>|||</v>
      </c>
      <c r="H6550" s="835">
        <f t="shared" si="284"/>
        <v>31</v>
      </c>
      <c r="AF6550" s="831" t="s">
        <v>7209</v>
      </c>
      <c r="AG6550" s="831" t="s">
        <v>130</v>
      </c>
      <c r="AH6550" s="831" t="s">
        <v>181</v>
      </c>
      <c r="AI6550" s="831">
        <v>0</v>
      </c>
      <c r="AJ6550" s="835">
        <v>41578</v>
      </c>
      <c r="AK6550" s="831">
        <v>51860152</v>
      </c>
    </row>
    <row r="6551" spans="2:37">
      <c r="B6551" s="834" t="str">
        <f t="shared" si="283"/>
        <v>|||</v>
      </c>
      <c r="H6551" s="835">
        <f t="shared" si="284"/>
        <v>31</v>
      </c>
      <c r="AF6551" s="831" t="s">
        <v>7210</v>
      </c>
      <c r="AG6551" s="831" t="s">
        <v>130</v>
      </c>
      <c r="AH6551" s="831" t="s">
        <v>184</v>
      </c>
      <c r="AI6551" s="831">
        <v>0</v>
      </c>
      <c r="AJ6551" s="835">
        <v>41578</v>
      </c>
      <c r="AK6551" s="831">
        <v>-15241090</v>
      </c>
    </row>
    <row r="6552" spans="2:37">
      <c r="B6552" s="834" t="str">
        <f t="shared" si="283"/>
        <v>|||</v>
      </c>
      <c r="H6552" s="835">
        <f t="shared" si="284"/>
        <v>31</v>
      </c>
      <c r="AF6552" s="831" t="s">
        <v>7211</v>
      </c>
      <c r="AG6552" s="831" t="s">
        <v>130</v>
      </c>
      <c r="AH6552" s="831" t="s">
        <v>187</v>
      </c>
      <c r="AI6552" s="831">
        <v>0</v>
      </c>
      <c r="AJ6552" s="835">
        <v>41578</v>
      </c>
      <c r="AK6552" s="831">
        <v>0</v>
      </c>
    </row>
    <row r="6553" spans="2:37">
      <c r="B6553" s="834" t="str">
        <f t="shared" si="283"/>
        <v>|||</v>
      </c>
      <c r="H6553" s="835">
        <f t="shared" si="284"/>
        <v>31</v>
      </c>
      <c r="AF6553" s="831" t="s">
        <v>7212</v>
      </c>
      <c r="AG6553" s="831" t="s">
        <v>130</v>
      </c>
      <c r="AH6553" s="831" t="s">
        <v>196</v>
      </c>
      <c r="AI6553" s="831">
        <v>0</v>
      </c>
      <c r="AJ6553" s="835">
        <v>41578</v>
      </c>
      <c r="AK6553" s="831">
        <v>12778330</v>
      </c>
    </row>
    <row r="6554" spans="2:37">
      <c r="B6554" s="834" t="str">
        <f t="shared" si="283"/>
        <v>|||</v>
      </c>
      <c r="H6554" s="835">
        <f t="shared" si="284"/>
        <v>31</v>
      </c>
      <c r="AF6554" s="831" t="s">
        <v>7213</v>
      </c>
      <c r="AG6554" s="831" t="s">
        <v>130</v>
      </c>
      <c r="AH6554" s="831" t="s">
        <v>197</v>
      </c>
      <c r="AI6554" s="831">
        <v>0</v>
      </c>
      <c r="AJ6554" s="835">
        <v>41578</v>
      </c>
      <c r="AK6554" s="831">
        <v>0</v>
      </c>
    </row>
    <row r="6555" spans="2:37">
      <c r="B6555" s="834" t="str">
        <f t="shared" si="283"/>
        <v>|||</v>
      </c>
      <c r="H6555" s="835">
        <f t="shared" si="284"/>
        <v>31</v>
      </c>
      <c r="AF6555" s="831" t="s">
        <v>7214</v>
      </c>
      <c r="AG6555" s="831" t="s">
        <v>130</v>
      </c>
      <c r="AH6555" s="831" t="s">
        <v>199</v>
      </c>
      <c r="AI6555" s="831">
        <v>0</v>
      </c>
      <c r="AJ6555" s="835">
        <v>41578</v>
      </c>
      <c r="AK6555" s="831">
        <v>0</v>
      </c>
    </row>
    <row r="6556" spans="2:37">
      <c r="B6556" s="834" t="str">
        <f t="shared" si="283"/>
        <v>|||</v>
      </c>
      <c r="H6556" s="835">
        <f t="shared" si="284"/>
        <v>31</v>
      </c>
      <c r="AF6556" s="831" t="s">
        <v>7215</v>
      </c>
      <c r="AG6556" s="831" t="s">
        <v>130</v>
      </c>
      <c r="AH6556" s="831" t="s">
        <v>201</v>
      </c>
      <c r="AI6556" s="831">
        <v>0</v>
      </c>
      <c r="AJ6556" s="835">
        <v>41578</v>
      </c>
      <c r="AK6556" s="831">
        <v>10740408</v>
      </c>
    </row>
    <row r="6557" spans="2:37">
      <c r="B6557" s="834" t="str">
        <f t="shared" si="283"/>
        <v>|||</v>
      </c>
      <c r="H6557" s="835">
        <f t="shared" si="284"/>
        <v>31</v>
      </c>
      <c r="AF6557" s="831" t="s">
        <v>7216</v>
      </c>
      <c r="AG6557" s="831" t="s">
        <v>130</v>
      </c>
      <c r="AH6557" s="831" t="s">
        <v>209</v>
      </c>
      <c r="AI6557" s="831">
        <v>0</v>
      </c>
      <c r="AJ6557" s="835">
        <v>41578</v>
      </c>
      <c r="AK6557" s="831">
        <v>54497183</v>
      </c>
    </row>
    <row r="6558" spans="2:37">
      <c r="B6558" s="834" t="str">
        <f t="shared" si="283"/>
        <v>|||</v>
      </c>
      <c r="H6558" s="835">
        <f t="shared" si="284"/>
        <v>31</v>
      </c>
      <c r="AF6558" s="831" t="s">
        <v>7217</v>
      </c>
      <c r="AG6558" s="831" t="s">
        <v>130</v>
      </c>
      <c r="AH6558" s="831" t="s">
        <v>211</v>
      </c>
      <c r="AI6558" s="831">
        <v>0</v>
      </c>
      <c r="AJ6558" s="835">
        <v>41578</v>
      </c>
      <c r="AK6558" s="831">
        <v>178644982</v>
      </c>
    </row>
    <row r="6559" spans="2:37">
      <c r="B6559" s="834" t="str">
        <f t="shared" si="283"/>
        <v>|||</v>
      </c>
      <c r="H6559" s="835">
        <f t="shared" si="284"/>
        <v>31</v>
      </c>
      <c r="AF6559" s="831" t="s">
        <v>7218</v>
      </c>
      <c r="AG6559" s="831" t="s">
        <v>130</v>
      </c>
      <c r="AH6559" s="831" t="s">
        <v>212</v>
      </c>
      <c r="AI6559" s="831">
        <v>0</v>
      </c>
      <c r="AJ6559" s="835">
        <v>41578</v>
      </c>
      <c r="AK6559" s="831">
        <v>7620951</v>
      </c>
    </row>
    <row r="6560" spans="2:37">
      <c r="B6560" s="834" t="str">
        <f t="shared" si="283"/>
        <v>|||</v>
      </c>
      <c r="H6560" s="835">
        <f t="shared" si="284"/>
        <v>31</v>
      </c>
      <c r="AF6560" s="831" t="s">
        <v>7219</v>
      </c>
      <c r="AG6560" s="831" t="s">
        <v>130</v>
      </c>
      <c r="AH6560" s="831" t="s">
        <v>216</v>
      </c>
      <c r="AI6560" s="831">
        <v>0</v>
      </c>
      <c r="AJ6560" s="835">
        <v>41578</v>
      </c>
      <c r="AK6560" s="831">
        <v>0</v>
      </c>
    </row>
    <row r="6561" spans="2:37">
      <c r="B6561" s="834" t="str">
        <f t="shared" si="283"/>
        <v>|||</v>
      </c>
      <c r="H6561" s="835">
        <f t="shared" si="284"/>
        <v>31</v>
      </c>
      <c r="AF6561" s="831" t="s">
        <v>7220</v>
      </c>
      <c r="AG6561" s="831" t="s">
        <v>130</v>
      </c>
      <c r="AH6561" s="831" t="s">
        <v>218</v>
      </c>
      <c r="AI6561" s="831">
        <v>0</v>
      </c>
      <c r="AJ6561" s="835">
        <v>41578</v>
      </c>
      <c r="AK6561" s="831">
        <v>129081494</v>
      </c>
    </row>
    <row r="6562" spans="2:37">
      <c r="B6562" s="834" t="str">
        <f t="shared" si="283"/>
        <v>|||</v>
      </c>
      <c r="H6562" s="835">
        <f t="shared" si="284"/>
        <v>31</v>
      </c>
      <c r="AF6562" s="831" t="s">
        <v>7221</v>
      </c>
      <c r="AG6562" s="831" t="s">
        <v>130</v>
      </c>
      <c r="AH6562" s="831" t="s">
        <v>220</v>
      </c>
      <c r="AI6562" s="831">
        <v>0</v>
      </c>
      <c r="AJ6562" s="835">
        <v>41578</v>
      </c>
      <c r="AK6562" s="831">
        <v>0</v>
      </c>
    </row>
    <row r="6563" spans="2:37">
      <c r="B6563" s="834" t="str">
        <f t="shared" si="283"/>
        <v>|||</v>
      </c>
      <c r="H6563" s="835">
        <f t="shared" si="284"/>
        <v>31</v>
      </c>
      <c r="AF6563" s="831" t="s">
        <v>7222</v>
      </c>
      <c r="AG6563" s="831" t="s">
        <v>130</v>
      </c>
      <c r="AH6563" s="831" t="s">
        <v>221</v>
      </c>
      <c r="AI6563" s="831">
        <v>0</v>
      </c>
      <c r="AJ6563" s="835">
        <v>41578</v>
      </c>
      <c r="AK6563" s="831">
        <v>13322731</v>
      </c>
    </row>
    <row r="6564" spans="2:37">
      <c r="B6564" s="834" t="str">
        <f t="shared" si="283"/>
        <v>|||</v>
      </c>
      <c r="H6564" s="835">
        <f t="shared" si="284"/>
        <v>31</v>
      </c>
      <c r="AF6564" s="831" t="s">
        <v>7223</v>
      </c>
      <c r="AG6564" s="831" t="s">
        <v>130</v>
      </c>
      <c r="AH6564" s="831" t="s">
        <v>228</v>
      </c>
      <c r="AI6564" s="831">
        <v>0</v>
      </c>
      <c r="AJ6564" s="835">
        <v>41578</v>
      </c>
      <c r="AK6564" s="831">
        <v>0</v>
      </c>
    </row>
    <row r="6565" spans="2:37">
      <c r="B6565" s="834" t="str">
        <f t="shared" si="283"/>
        <v>|||</v>
      </c>
      <c r="H6565" s="835">
        <f t="shared" si="284"/>
        <v>31</v>
      </c>
      <c r="AF6565" s="831" t="s">
        <v>7224</v>
      </c>
      <c r="AG6565" s="831" t="s">
        <v>130</v>
      </c>
      <c r="AH6565" s="831" t="s">
        <v>230</v>
      </c>
      <c r="AI6565" s="831">
        <v>0</v>
      </c>
      <c r="AJ6565" s="835">
        <v>41578</v>
      </c>
      <c r="AK6565" s="831">
        <v>0</v>
      </c>
    </row>
    <row r="6566" spans="2:37">
      <c r="B6566" s="834" t="str">
        <f t="shared" si="283"/>
        <v>|||</v>
      </c>
      <c r="H6566" s="835">
        <f t="shared" si="284"/>
        <v>31</v>
      </c>
      <c r="AF6566" s="831" t="s">
        <v>7225</v>
      </c>
      <c r="AG6566" s="831" t="s">
        <v>130</v>
      </c>
      <c r="AH6566" s="831" t="s">
        <v>231</v>
      </c>
      <c r="AI6566" s="831">
        <v>0</v>
      </c>
      <c r="AJ6566" s="835">
        <v>41578</v>
      </c>
      <c r="AK6566" s="831">
        <v>0</v>
      </c>
    </row>
    <row r="6567" spans="2:37">
      <c r="B6567" s="834" t="str">
        <f t="shared" si="283"/>
        <v>|||</v>
      </c>
      <c r="H6567" s="835">
        <f t="shared" si="284"/>
        <v>31</v>
      </c>
      <c r="AF6567" s="831" t="s">
        <v>7226</v>
      </c>
      <c r="AG6567" s="831" t="s">
        <v>130</v>
      </c>
      <c r="AH6567" s="831" t="s">
        <v>232</v>
      </c>
      <c r="AI6567" s="831">
        <v>0</v>
      </c>
      <c r="AJ6567" s="835">
        <v>41578</v>
      </c>
      <c r="AK6567" s="831">
        <v>212218048</v>
      </c>
    </row>
    <row r="6568" spans="2:37">
      <c r="B6568" s="834" t="str">
        <f t="shared" si="283"/>
        <v>|||</v>
      </c>
      <c r="H6568" s="835">
        <f t="shared" si="284"/>
        <v>31</v>
      </c>
      <c r="AF6568" s="831" t="s">
        <v>7227</v>
      </c>
      <c r="AG6568" s="831" t="s">
        <v>130</v>
      </c>
      <c r="AH6568" s="831" t="s">
        <v>116</v>
      </c>
      <c r="AI6568" s="831">
        <v>0</v>
      </c>
      <c r="AJ6568" s="835">
        <v>41578</v>
      </c>
      <c r="AK6568" s="831">
        <v>8010153</v>
      </c>
    </row>
    <row r="6569" spans="2:37">
      <c r="B6569" s="834" t="str">
        <f t="shared" si="283"/>
        <v>|||</v>
      </c>
      <c r="H6569" s="835">
        <f t="shared" si="284"/>
        <v>31</v>
      </c>
      <c r="AF6569" s="831" t="s">
        <v>7228</v>
      </c>
      <c r="AG6569" s="831" t="s">
        <v>130</v>
      </c>
      <c r="AH6569" s="831" t="s">
        <v>234</v>
      </c>
      <c r="AI6569" s="831">
        <v>0</v>
      </c>
      <c r="AJ6569" s="835">
        <v>41578</v>
      </c>
      <c r="AK6569" s="831">
        <v>0</v>
      </c>
    </row>
    <row r="6570" spans="2:37">
      <c r="B6570" s="834" t="str">
        <f t="shared" si="283"/>
        <v>|||</v>
      </c>
      <c r="H6570" s="835">
        <f t="shared" si="284"/>
        <v>31</v>
      </c>
      <c r="AF6570" s="831" t="s">
        <v>7229</v>
      </c>
      <c r="AG6570" s="831" t="s">
        <v>130</v>
      </c>
      <c r="AH6570" s="831" t="s">
        <v>235</v>
      </c>
      <c r="AI6570" s="831">
        <v>0</v>
      </c>
      <c r="AJ6570" s="835">
        <v>41578</v>
      </c>
      <c r="AK6570" s="831">
        <v>0</v>
      </c>
    </row>
    <row r="6571" spans="2:37">
      <c r="B6571" s="834" t="str">
        <f t="shared" si="283"/>
        <v>|||</v>
      </c>
      <c r="H6571" s="835">
        <f t="shared" si="284"/>
        <v>31</v>
      </c>
      <c r="AF6571" s="831" t="s">
        <v>7230</v>
      </c>
      <c r="AG6571" s="831" t="s">
        <v>130</v>
      </c>
      <c r="AH6571" s="831" t="s">
        <v>238</v>
      </c>
      <c r="AI6571" s="831">
        <v>0</v>
      </c>
      <c r="AJ6571" s="835">
        <v>41578</v>
      </c>
      <c r="AK6571" s="831">
        <v>0</v>
      </c>
    </row>
    <row r="6572" spans="2:37">
      <c r="B6572" s="834" t="str">
        <f t="shared" si="283"/>
        <v>|||</v>
      </c>
      <c r="H6572" s="835">
        <f t="shared" si="284"/>
        <v>31</v>
      </c>
      <c r="AF6572" s="831" t="s">
        <v>7231</v>
      </c>
      <c r="AG6572" s="831" t="s">
        <v>130</v>
      </c>
      <c r="AH6572" s="831" t="s">
        <v>240</v>
      </c>
      <c r="AI6572" s="831">
        <v>0</v>
      </c>
      <c r="AJ6572" s="835">
        <v>41578</v>
      </c>
      <c r="AK6572" s="831">
        <v>85000000</v>
      </c>
    </row>
    <row r="6573" spans="2:37">
      <c r="B6573" s="834" t="str">
        <f t="shared" si="283"/>
        <v>|||</v>
      </c>
      <c r="H6573" s="835">
        <f t="shared" si="284"/>
        <v>31</v>
      </c>
      <c r="AF6573" s="831" t="s">
        <v>7232</v>
      </c>
      <c r="AG6573" s="831" t="s">
        <v>130</v>
      </c>
      <c r="AH6573" s="831" t="s">
        <v>241</v>
      </c>
      <c r="AI6573" s="831">
        <v>0</v>
      </c>
      <c r="AJ6573" s="835">
        <v>41578</v>
      </c>
      <c r="AK6573" s="831">
        <v>0</v>
      </c>
    </row>
    <row r="6574" spans="2:37">
      <c r="B6574" s="834" t="str">
        <f t="shared" si="283"/>
        <v>|||</v>
      </c>
      <c r="H6574" s="835">
        <f t="shared" si="284"/>
        <v>31</v>
      </c>
      <c r="AF6574" s="831" t="s">
        <v>7233</v>
      </c>
      <c r="AG6574" s="831" t="s">
        <v>130</v>
      </c>
      <c r="AH6574" s="831" t="s">
        <v>242</v>
      </c>
      <c r="AI6574" s="831">
        <v>0</v>
      </c>
      <c r="AJ6574" s="835">
        <v>41578</v>
      </c>
      <c r="AK6574" s="831">
        <v>0</v>
      </c>
    </row>
    <row r="6575" spans="2:37">
      <c r="B6575" s="834" t="str">
        <f t="shared" si="283"/>
        <v>|||</v>
      </c>
      <c r="H6575" s="835">
        <f t="shared" si="284"/>
        <v>31</v>
      </c>
      <c r="AF6575" s="831" t="s">
        <v>7234</v>
      </c>
      <c r="AG6575" s="831" t="s">
        <v>130</v>
      </c>
      <c r="AH6575" s="831" t="s">
        <v>244</v>
      </c>
      <c r="AI6575" s="831">
        <v>0</v>
      </c>
      <c r="AJ6575" s="835">
        <v>41578</v>
      </c>
      <c r="AK6575" s="831">
        <v>9763223</v>
      </c>
    </row>
    <row r="6576" spans="2:37">
      <c r="B6576" s="834" t="str">
        <f t="shared" si="283"/>
        <v>|||</v>
      </c>
      <c r="H6576" s="835">
        <f t="shared" si="284"/>
        <v>31</v>
      </c>
      <c r="AF6576" s="831" t="s">
        <v>7235</v>
      </c>
      <c r="AG6576" s="831" t="s">
        <v>130</v>
      </c>
      <c r="AH6576" s="831" t="s">
        <v>245</v>
      </c>
      <c r="AI6576" s="831">
        <v>0</v>
      </c>
      <c r="AJ6576" s="835">
        <v>41578</v>
      </c>
      <c r="AK6576" s="831">
        <v>25527640</v>
      </c>
    </row>
    <row r="6577" spans="2:37">
      <c r="B6577" s="834" t="str">
        <f t="shared" si="283"/>
        <v>|||</v>
      </c>
      <c r="H6577" s="835">
        <f t="shared" si="284"/>
        <v>31</v>
      </c>
      <c r="AF6577" s="831" t="s">
        <v>7236</v>
      </c>
      <c r="AG6577" s="831" t="s">
        <v>130</v>
      </c>
      <c r="AH6577" s="831" t="s">
        <v>145</v>
      </c>
      <c r="AI6577" s="831">
        <v>0</v>
      </c>
      <c r="AJ6577" s="835">
        <v>41608</v>
      </c>
      <c r="AK6577" s="831">
        <v>43628457.43</v>
      </c>
    </row>
    <row r="6578" spans="2:37">
      <c r="B6578" s="834" t="str">
        <f t="shared" si="283"/>
        <v>|||</v>
      </c>
      <c r="H6578" s="835">
        <f t="shared" si="284"/>
        <v>31</v>
      </c>
      <c r="AF6578" s="831" t="s">
        <v>7237</v>
      </c>
      <c r="AG6578" s="831" t="s">
        <v>130</v>
      </c>
      <c r="AH6578" s="831" t="s">
        <v>149</v>
      </c>
      <c r="AI6578" s="831">
        <v>0</v>
      </c>
      <c r="AJ6578" s="835">
        <v>41608</v>
      </c>
      <c r="AK6578" s="831">
        <v>0</v>
      </c>
    </row>
    <row r="6579" spans="2:37">
      <c r="B6579" s="834" t="str">
        <f t="shared" si="283"/>
        <v>|||</v>
      </c>
      <c r="H6579" s="835">
        <f t="shared" si="284"/>
        <v>31</v>
      </c>
      <c r="AF6579" s="831" t="s">
        <v>7238</v>
      </c>
      <c r="AG6579" s="831" t="s">
        <v>130</v>
      </c>
      <c r="AH6579" s="831" t="s">
        <v>153</v>
      </c>
      <c r="AI6579" s="831">
        <v>0</v>
      </c>
      <c r="AJ6579" s="835">
        <v>41608</v>
      </c>
      <c r="AK6579" s="831">
        <v>53146974.939999998</v>
      </c>
    </row>
    <row r="6580" spans="2:37">
      <c r="B6580" s="834" t="str">
        <f t="shared" si="283"/>
        <v>|||</v>
      </c>
      <c r="H6580" s="835">
        <f t="shared" si="284"/>
        <v>31</v>
      </c>
      <c r="AF6580" s="831" t="s">
        <v>7239</v>
      </c>
      <c r="AG6580" s="831" t="s">
        <v>130</v>
      </c>
      <c r="AH6580" s="831" t="s">
        <v>156</v>
      </c>
      <c r="AI6580" s="831">
        <v>0</v>
      </c>
      <c r="AJ6580" s="835">
        <v>41608</v>
      </c>
      <c r="AK6580" s="831">
        <v>0</v>
      </c>
    </row>
    <row r="6581" spans="2:37">
      <c r="B6581" s="834" t="str">
        <f t="shared" si="283"/>
        <v>|||</v>
      </c>
      <c r="H6581" s="835">
        <f t="shared" si="284"/>
        <v>31</v>
      </c>
      <c r="AF6581" s="831" t="s">
        <v>7240</v>
      </c>
      <c r="AG6581" s="831" t="s">
        <v>130</v>
      </c>
      <c r="AH6581" s="831" t="s">
        <v>162</v>
      </c>
      <c r="AI6581" s="831">
        <v>0</v>
      </c>
      <c r="AJ6581" s="835">
        <v>41608</v>
      </c>
      <c r="AK6581" s="831">
        <v>598049309.95000005</v>
      </c>
    </row>
    <row r="6582" spans="2:37">
      <c r="B6582" s="834" t="str">
        <f t="shared" si="283"/>
        <v>|||</v>
      </c>
      <c r="H6582" s="835">
        <f t="shared" si="284"/>
        <v>31</v>
      </c>
      <c r="AF6582" s="831" t="s">
        <v>7241</v>
      </c>
      <c r="AG6582" s="831" t="s">
        <v>130</v>
      </c>
      <c r="AH6582" s="831" t="s">
        <v>165</v>
      </c>
      <c r="AI6582" s="831">
        <v>0</v>
      </c>
      <c r="AJ6582" s="835">
        <v>41608</v>
      </c>
      <c r="AK6582" s="831">
        <v>-13734258.050000001</v>
      </c>
    </row>
    <row r="6583" spans="2:37">
      <c r="B6583" s="834" t="str">
        <f t="shared" si="283"/>
        <v>|||</v>
      </c>
      <c r="H6583" s="835">
        <f t="shared" si="284"/>
        <v>31</v>
      </c>
      <c r="AF6583" s="831" t="s">
        <v>7242</v>
      </c>
      <c r="AG6583" s="831" t="s">
        <v>130</v>
      </c>
      <c r="AH6583" s="831" t="s">
        <v>171</v>
      </c>
      <c r="AI6583" s="831">
        <v>0</v>
      </c>
      <c r="AJ6583" s="835">
        <v>41608</v>
      </c>
      <c r="AK6583" s="831">
        <v>3771112.8160000001</v>
      </c>
    </row>
    <row r="6584" spans="2:37">
      <c r="B6584" s="834" t="str">
        <f t="shared" si="283"/>
        <v>|||</v>
      </c>
      <c r="H6584" s="835">
        <f t="shared" si="284"/>
        <v>31</v>
      </c>
      <c r="AF6584" s="831" t="s">
        <v>7243</v>
      </c>
      <c r="AG6584" s="831" t="s">
        <v>130</v>
      </c>
      <c r="AH6584" s="831" t="s">
        <v>174</v>
      </c>
      <c r="AI6584" s="831">
        <v>0</v>
      </c>
      <c r="AJ6584" s="835">
        <v>41608</v>
      </c>
      <c r="AK6584" s="831">
        <v>0</v>
      </c>
    </row>
    <row r="6585" spans="2:37">
      <c r="B6585" s="834" t="str">
        <f t="shared" si="283"/>
        <v>|||</v>
      </c>
      <c r="H6585" s="835">
        <f t="shared" si="284"/>
        <v>31</v>
      </c>
      <c r="AF6585" s="831" t="s">
        <v>7244</v>
      </c>
      <c r="AG6585" s="831" t="s">
        <v>130</v>
      </c>
      <c r="AH6585" s="831" t="s">
        <v>181</v>
      </c>
      <c r="AI6585" s="831">
        <v>0</v>
      </c>
      <c r="AJ6585" s="835">
        <v>41608</v>
      </c>
      <c r="AK6585" s="831">
        <v>51884000.965000004</v>
      </c>
    </row>
    <row r="6586" spans="2:37">
      <c r="B6586" s="834" t="str">
        <f t="shared" si="283"/>
        <v>|||</v>
      </c>
      <c r="H6586" s="835">
        <f t="shared" si="284"/>
        <v>31</v>
      </c>
      <c r="AF6586" s="831" t="s">
        <v>7245</v>
      </c>
      <c r="AG6586" s="831" t="s">
        <v>130</v>
      </c>
      <c r="AH6586" s="831" t="s">
        <v>184</v>
      </c>
      <c r="AI6586" s="831">
        <v>0</v>
      </c>
      <c r="AJ6586" s="835">
        <v>41608</v>
      </c>
      <c r="AK6586" s="831">
        <v>-15651990</v>
      </c>
    </row>
    <row r="6587" spans="2:37">
      <c r="B6587" s="834" t="str">
        <f t="shared" si="283"/>
        <v>|||</v>
      </c>
      <c r="H6587" s="835">
        <f t="shared" si="284"/>
        <v>31</v>
      </c>
      <c r="AF6587" s="831" t="s">
        <v>7246</v>
      </c>
      <c r="AG6587" s="831" t="s">
        <v>130</v>
      </c>
      <c r="AH6587" s="831" t="s">
        <v>187</v>
      </c>
      <c r="AI6587" s="831">
        <v>0</v>
      </c>
      <c r="AJ6587" s="835">
        <v>41608</v>
      </c>
      <c r="AK6587" s="831">
        <v>0</v>
      </c>
    </row>
    <row r="6588" spans="2:37">
      <c r="B6588" s="834" t="str">
        <f t="shared" si="283"/>
        <v>|||</v>
      </c>
      <c r="H6588" s="835">
        <f t="shared" si="284"/>
        <v>31</v>
      </c>
      <c r="AF6588" s="831" t="s">
        <v>7247</v>
      </c>
      <c r="AG6588" s="831" t="s">
        <v>130</v>
      </c>
      <c r="AH6588" s="831" t="s">
        <v>196</v>
      </c>
      <c r="AI6588" s="831">
        <v>0</v>
      </c>
      <c r="AJ6588" s="835">
        <v>41608</v>
      </c>
      <c r="AK6588" s="831">
        <v>12684610</v>
      </c>
    </row>
    <row r="6589" spans="2:37">
      <c r="B6589" s="834" t="str">
        <f t="shared" si="283"/>
        <v>|||</v>
      </c>
      <c r="H6589" s="835">
        <f t="shared" si="284"/>
        <v>31</v>
      </c>
      <c r="AF6589" s="831" t="s">
        <v>7248</v>
      </c>
      <c r="AG6589" s="831" t="s">
        <v>130</v>
      </c>
      <c r="AH6589" s="831" t="s">
        <v>197</v>
      </c>
      <c r="AI6589" s="831">
        <v>0</v>
      </c>
      <c r="AJ6589" s="835">
        <v>41608</v>
      </c>
      <c r="AK6589" s="831">
        <v>0</v>
      </c>
    </row>
    <row r="6590" spans="2:37">
      <c r="B6590" s="834" t="str">
        <f t="shared" si="283"/>
        <v>|||</v>
      </c>
      <c r="H6590" s="835">
        <f t="shared" si="284"/>
        <v>31</v>
      </c>
      <c r="AF6590" s="831" t="s">
        <v>7249</v>
      </c>
      <c r="AG6590" s="831" t="s">
        <v>130</v>
      </c>
      <c r="AH6590" s="831" t="s">
        <v>199</v>
      </c>
      <c r="AI6590" s="831">
        <v>0</v>
      </c>
      <c r="AJ6590" s="835">
        <v>41608</v>
      </c>
      <c r="AK6590" s="831">
        <v>0</v>
      </c>
    </row>
    <row r="6591" spans="2:37">
      <c r="B6591" s="834" t="str">
        <f t="shared" si="283"/>
        <v>|||</v>
      </c>
      <c r="H6591" s="835">
        <f t="shared" si="284"/>
        <v>31</v>
      </c>
      <c r="AF6591" s="831" t="s">
        <v>7250</v>
      </c>
      <c r="AG6591" s="831" t="s">
        <v>130</v>
      </c>
      <c r="AH6591" s="831" t="s">
        <v>201</v>
      </c>
      <c r="AI6591" s="831">
        <v>0</v>
      </c>
      <c r="AJ6591" s="835">
        <v>41608</v>
      </c>
      <c r="AK6591" s="831">
        <v>10493304.039000001</v>
      </c>
    </row>
    <row r="6592" spans="2:37">
      <c r="B6592" s="834" t="str">
        <f t="shared" si="283"/>
        <v>|||</v>
      </c>
      <c r="H6592" s="835">
        <f t="shared" si="284"/>
        <v>31</v>
      </c>
      <c r="AF6592" s="831" t="s">
        <v>7251</v>
      </c>
      <c r="AG6592" s="831" t="s">
        <v>130</v>
      </c>
      <c r="AH6592" s="831" t="s">
        <v>209</v>
      </c>
      <c r="AI6592" s="831">
        <v>0</v>
      </c>
      <c r="AJ6592" s="835">
        <v>41608</v>
      </c>
      <c r="AK6592" s="831">
        <v>57945399.174999997</v>
      </c>
    </row>
    <row r="6593" spans="2:37">
      <c r="B6593" s="834" t="str">
        <f t="shared" si="283"/>
        <v>|||</v>
      </c>
      <c r="H6593" s="835">
        <f t="shared" si="284"/>
        <v>31</v>
      </c>
      <c r="AF6593" s="831" t="s">
        <v>7252</v>
      </c>
      <c r="AG6593" s="831" t="s">
        <v>130</v>
      </c>
      <c r="AH6593" s="831" t="s">
        <v>211</v>
      </c>
      <c r="AI6593" s="831">
        <v>0</v>
      </c>
      <c r="AJ6593" s="835">
        <v>41608</v>
      </c>
      <c r="AK6593" s="831">
        <v>186251855.646</v>
      </c>
    </row>
    <row r="6594" spans="2:37">
      <c r="B6594" s="834" t="str">
        <f t="shared" si="283"/>
        <v>|||</v>
      </c>
      <c r="H6594" s="835">
        <f t="shared" si="284"/>
        <v>31</v>
      </c>
      <c r="AF6594" s="831" t="s">
        <v>7253</v>
      </c>
      <c r="AG6594" s="831" t="s">
        <v>130</v>
      </c>
      <c r="AH6594" s="831" t="s">
        <v>212</v>
      </c>
      <c r="AI6594" s="831">
        <v>0</v>
      </c>
      <c r="AJ6594" s="835">
        <v>41608</v>
      </c>
      <c r="AK6594" s="831">
        <v>8315835.4249999998</v>
      </c>
    </row>
    <row r="6595" spans="2:37">
      <c r="B6595" s="834" t="str">
        <f t="shared" ref="B6595:B6658" si="285">C6595&amp;"|"&amp;D6595&amp;"|"&amp;E6595&amp;"|"&amp;F6595</f>
        <v>|||</v>
      </c>
      <c r="H6595" s="835">
        <f t="shared" si="284"/>
        <v>31</v>
      </c>
      <c r="AF6595" s="831" t="s">
        <v>7254</v>
      </c>
      <c r="AG6595" s="831" t="s">
        <v>130</v>
      </c>
      <c r="AH6595" s="831" t="s">
        <v>216</v>
      </c>
      <c r="AI6595" s="831">
        <v>0</v>
      </c>
      <c r="AJ6595" s="835">
        <v>41608</v>
      </c>
      <c r="AK6595" s="831">
        <v>0</v>
      </c>
    </row>
    <row r="6596" spans="2:37">
      <c r="B6596" s="834" t="str">
        <f t="shared" si="285"/>
        <v>|||</v>
      </c>
      <c r="H6596" s="835">
        <f t="shared" ref="H6596:H6659" si="286">EOMONTH(L6596,0)</f>
        <v>31</v>
      </c>
      <c r="AF6596" s="831" t="s">
        <v>7255</v>
      </c>
      <c r="AG6596" s="831" t="s">
        <v>130</v>
      </c>
      <c r="AH6596" s="831" t="s">
        <v>218</v>
      </c>
      <c r="AI6596" s="831">
        <v>0</v>
      </c>
      <c r="AJ6596" s="835">
        <v>41608</v>
      </c>
      <c r="AK6596" s="831">
        <v>144391053.59</v>
      </c>
    </row>
    <row r="6597" spans="2:37">
      <c r="B6597" s="834" t="str">
        <f t="shared" si="285"/>
        <v>|||</v>
      </c>
      <c r="H6597" s="835">
        <f t="shared" si="286"/>
        <v>31</v>
      </c>
      <c r="AF6597" s="831" t="s">
        <v>7256</v>
      </c>
      <c r="AG6597" s="831" t="s">
        <v>130</v>
      </c>
      <c r="AH6597" s="831" t="s">
        <v>220</v>
      </c>
      <c r="AI6597" s="831">
        <v>0</v>
      </c>
      <c r="AJ6597" s="835">
        <v>41608</v>
      </c>
      <c r="AK6597" s="831">
        <v>0</v>
      </c>
    </row>
    <row r="6598" spans="2:37">
      <c r="B6598" s="834" t="str">
        <f t="shared" si="285"/>
        <v>|||</v>
      </c>
      <c r="H6598" s="835">
        <f t="shared" si="286"/>
        <v>31</v>
      </c>
      <c r="AF6598" s="831" t="s">
        <v>7257</v>
      </c>
      <c r="AG6598" s="831" t="s">
        <v>130</v>
      </c>
      <c r="AH6598" s="831" t="s">
        <v>221</v>
      </c>
      <c r="AI6598" s="831">
        <v>0</v>
      </c>
      <c r="AJ6598" s="835">
        <v>41608</v>
      </c>
      <c r="AK6598" s="831">
        <v>10882071.438999999</v>
      </c>
    </row>
    <row r="6599" spans="2:37">
      <c r="B6599" s="834" t="str">
        <f t="shared" si="285"/>
        <v>|||</v>
      </c>
      <c r="H6599" s="835">
        <f t="shared" si="286"/>
        <v>31</v>
      </c>
      <c r="AF6599" s="831" t="s">
        <v>7258</v>
      </c>
      <c r="AG6599" s="831" t="s">
        <v>130</v>
      </c>
      <c r="AH6599" s="831" t="s">
        <v>228</v>
      </c>
      <c r="AI6599" s="831">
        <v>0</v>
      </c>
      <c r="AJ6599" s="835">
        <v>41608</v>
      </c>
      <c r="AK6599" s="831">
        <v>0</v>
      </c>
    </row>
    <row r="6600" spans="2:37">
      <c r="B6600" s="834" t="str">
        <f t="shared" si="285"/>
        <v>|||</v>
      </c>
      <c r="H6600" s="835">
        <f t="shared" si="286"/>
        <v>31</v>
      </c>
      <c r="AF6600" s="831" t="s">
        <v>7259</v>
      </c>
      <c r="AG6600" s="831" t="s">
        <v>130</v>
      </c>
      <c r="AH6600" s="831" t="s">
        <v>230</v>
      </c>
      <c r="AI6600" s="831">
        <v>0</v>
      </c>
      <c r="AJ6600" s="835">
        <v>41608</v>
      </c>
      <c r="AK6600" s="831">
        <v>0</v>
      </c>
    </row>
    <row r="6601" spans="2:37">
      <c r="B6601" s="834" t="str">
        <f t="shared" si="285"/>
        <v>|||</v>
      </c>
      <c r="H6601" s="835">
        <f t="shared" si="286"/>
        <v>31</v>
      </c>
      <c r="AF6601" s="831" t="s">
        <v>7260</v>
      </c>
      <c r="AG6601" s="831" t="s">
        <v>130</v>
      </c>
      <c r="AH6601" s="831" t="s">
        <v>231</v>
      </c>
      <c r="AI6601" s="831">
        <v>0</v>
      </c>
      <c r="AJ6601" s="835">
        <v>41608</v>
      </c>
      <c r="AK6601" s="831">
        <v>0</v>
      </c>
    </row>
    <row r="6602" spans="2:37">
      <c r="B6602" s="834" t="str">
        <f t="shared" si="285"/>
        <v>|||</v>
      </c>
      <c r="H6602" s="835">
        <f t="shared" si="286"/>
        <v>31</v>
      </c>
      <c r="AF6602" s="831" t="s">
        <v>7261</v>
      </c>
      <c r="AG6602" s="831" t="s">
        <v>130</v>
      </c>
      <c r="AH6602" s="831" t="s">
        <v>232</v>
      </c>
      <c r="AI6602" s="831">
        <v>0</v>
      </c>
      <c r="AJ6602" s="835">
        <v>41608</v>
      </c>
      <c r="AK6602" s="831">
        <v>205358234.58199999</v>
      </c>
    </row>
    <row r="6603" spans="2:37">
      <c r="B6603" s="834" t="str">
        <f t="shared" si="285"/>
        <v>|||</v>
      </c>
      <c r="H6603" s="835">
        <f t="shared" si="286"/>
        <v>31</v>
      </c>
      <c r="AF6603" s="831" t="s">
        <v>7262</v>
      </c>
      <c r="AG6603" s="831" t="s">
        <v>130</v>
      </c>
      <c r="AH6603" s="831" t="s">
        <v>116</v>
      </c>
      <c r="AI6603" s="831">
        <v>0</v>
      </c>
      <c r="AJ6603" s="835">
        <v>41608</v>
      </c>
      <c r="AK6603" s="831">
        <v>8009131.8899999997</v>
      </c>
    </row>
    <row r="6604" spans="2:37">
      <c r="B6604" s="834" t="str">
        <f t="shared" si="285"/>
        <v>|||</v>
      </c>
      <c r="H6604" s="835">
        <f t="shared" si="286"/>
        <v>31</v>
      </c>
      <c r="AF6604" s="831" t="s">
        <v>7263</v>
      </c>
      <c r="AG6604" s="831" t="s">
        <v>130</v>
      </c>
      <c r="AH6604" s="831" t="s">
        <v>234</v>
      </c>
      <c r="AI6604" s="831">
        <v>0</v>
      </c>
      <c r="AJ6604" s="835">
        <v>41608</v>
      </c>
      <c r="AK6604" s="831">
        <v>0</v>
      </c>
    </row>
    <row r="6605" spans="2:37">
      <c r="B6605" s="834" t="str">
        <f t="shared" si="285"/>
        <v>|||</v>
      </c>
      <c r="H6605" s="835">
        <f t="shared" si="286"/>
        <v>31</v>
      </c>
      <c r="AF6605" s="831" t="s">
        <v>7264</v>
      </c>
      <c r="AG6605" s="831" t="s">
        <v>130</v>
      </c>
      <c r="AH6605" s="831" t="s">
        <v>235</v>
      </c>
      <c r="AI6605" s="831">
        <v>0</v>
      </c>
      <c r="AJ6605" s="835">
        <v>41608</v>
      </c>
      <c r="AK6605" s="831">
        <v>0</v>
      </c>
    </row>
    <row r="6606" spans="2:37">
      <c r="B6606" s="834" t="str">
        <f t="shared" si="285"/>
        <v>|||</v>
      </c>
      <c r="H6606" s="835">
        <f t="shared" si="286"/>
        <v>31</v>
      </c>
      <c r="AF6606" s="831" t="s">
        <v>7265</v>
      </c>
      <c r="AG6606" s="831" t="s">
        <v>130</v>
      </c>
      <c r="AH6606" s="831" t="s">
        <v>238</v>
      </c>
      <c r="AI6606" s="831">
        <v>0</v>
      </c>
      <c r="AJ6606" s="835">
        <v>41608</v>
      </c>
      <c r="AK6606" s="831">
        <v>0</v>
      </c>
    </row>
    <row r="6607" spans="2:37">
      <c r="B6607" s="834" t="str">
        <f t="shared" si="285"/>
        <v>|||</v>
      </c>
      <c r="H6607" s="835">
        <f t="shared" si="286"/>
        <v>31</v>
      </c>
      <c r="AF6607" s="831" t="s">
        <v>7266</v>
      </c>
      <c r="AG6607" s="831" t="s">
        <v>130</v>
      </c>
      <c r="AH6607" s="831" t="s">
        <v>240</v>
      </c>
      <c r="AI6607" s="831">
        <v>0</v>
      </c>
      <c r="AJ6607" s="835">
        <v>41608</v>
      </c>
      <c r="AK6607" s="831">
        <v>85000000</v>
      </c>
    </row>
    <row r="6608" spans="2:37">
      <c r="B6608" s="834" t="str">
        <f t="shared" si="285"/>
        <v>|||</v>
      </c>
      <c r="H6608" s="835">
        <f t="shared" si="286"/>
        <v>31</v>
      </c>
      <c r="AF6608" s="831" t="s">
        <v>7267</v>
      </c>
      <c r="AG6608" s="831" t="s">
        <v>130</v>
      </c>
      <c r="AH6608" s="831" t="s">
        <v>241</v>
      </c>
      <c r="AI6608" s="831">
        <v>0</v>
      </c>
      <c r="AJ6608" s="835">
        <v>41608</v>
      </c>
      <c r="AK6608" s="831">
        <v>0</v>
      </c>
    </row>
    <row r="6609" spans="2:37">
      <c r="B6609" s="834" t="str">
        <f t="shared" si="285"/>
        <v>|||</v>
      </c>
      <c r="H6609" s="835">
        <f t="shared" si="286"/>
        <v>31</v>
      </c>
      <c r="AF6609" s="831" t="s">
        <v>7268</v>
      </c>
      <c r="AG6609" s="831" t="s">
        <v>130</v>
      </c>
      <c r="AH6609" s="831" t="s">
        <v>242</v>
      </c>
      <c r="AI6609" s="831">
        <v>0</v>
      </c>
      <c r="AJ6609" s="835">
        <v>41608</v>
      </c>
      <c r="AK6609" s="831">
        <v>0</v>
      </c>
    </row>
    <row r="6610" spans="2:37">
      <c r="B6610" s="834" t="str">
        <f t="shared" si="285"/>
        <v>|||</v>
      </c>
      <c r="H6610" s="835">
        <f t="shared" si="286"/>
        <v>31</v>
      </c>
      <c r="AF6610" s="831" t="s">
        <v>7269</v>
      </c>
      <c r="AG6610" s="831" t="s">
        <v>130</v>
      </c>
      <c r="AH6610" s="831" t="s">
        <v>244</v>
      </c>
      <c r="AI6610" s="831">
        <v>0</v>
      </c>
      <c r="AJ6610" s="835">
        <v>41608</v>
      </c>
      <c r="AK6610" s="831">
        <v>9763222.8560000006</v>
      </c>
    </row>
    <row r="6611" spans="2:37">
      <c r="B6611" s="834" t="str">
        <f t="shared" si="285"/>
        <v>|||</v>
      </c>
      <c r="H6611" s="835">
        <f t="shared" si="286"/>
        <v>31</v>
      </c>
      <c r="AF6611" s="831" t="s">
        <v>7270</v>
      </c>
      <c r="AG6611" s="831" t="s">
        <v>130</v>
      </c>
      <c r="AH6611" s="831" t="s">
        <v>245</v>
      </c>
      <c r="AI6611" s="831">
        <v>0</v>
      </c>
      <c r="AJ6611" s="835">
        <v>41608</v>
      </c>
      <c r="AK6611" s="831">
        <v>28354717</v>
      </c>
    </row>
    <row r="6612" spans="2:37">
      <c r="B6612" s="834" t="str">
        <f t="shared" si="285"/>
        <v>|||</v>
      </c>
      <c r="H6612" s="835">
        <f t="shared" si="286"/>
        <v>31</v>
      </c>
      <c r="AF6612" s="831" t="s">
        <v>7271</v>
      </c>
      <c r="AG6612" s="831" t="s">
        <v>130</v>
      </c>
      <c r="AH6612" s="831" t="s">
        <v>145</v>
      </c>
      <c r="AI6612" s="831">
        <v>0</v>
      </c>
      <c r="AJ6612" s="835">
        <v>41639</v>
      </c>
      <c r="AK6612" s="831">
        <v>42881258</v>
      </c>
    </row>
    <row r="6613" spans="2:37">
      <c r="B6613" s="834" t="str">
        <f t="shared" si="285"/>
        <v>|||</v>
      </c>
      <c r="H6613" s="835">
        <f t="shared" si="286"/>
        <v>31</v>
      </c>
      <c r="AF6613" s="831" t="s">
        <v>7272</v>
      </c>
      <c r="AG6613" s="831" t="s">
        <v>130</v>
      </c>
      <c r="AH6613" s="831" t="s">
        <v>149</v>
      </c>
      <c r="AI6613" s="831">
        <v>0</v>
      </c>
      <c r="AJ6613" s="835">
        <v>41639</v>
      </c>
      <c r="AK6613" s="831">
        <v>0</v>
      </c>
    </row>
    <row r="6614" spans="2:37">
      <c r="B6614" s="834" t="str">
        <f t="shared" si="285"/>
        <v>|||</v>
      </c>
      <c r="H6614" s="835">
        <f t="shared" si="286"/>
        <v>31</v>
      </c>
      <c r="AF6614" s="831" t="s">
        <v>7273</v>
      </c>
      <c r="AG6614" s="831" t="s">
        <v>130</v>
      </c>
      <c r="AH6614" s="831" t="s">
        <v>153</v>
      </c>
      <c r="AI6614" s="831">
        <v>0</v>
      </c>
      <c r="AJ6614" s="835">
        <v>41639</v>
      </c>
      <c r="AK6614" s="831">
        <v>68222882</v>
      </c>
    </row>
    <row r="6615" spans="2:37">
      <c r="B6615" s="834" t="str">
        <f t="shared" si="285"/>
        <v>|||</v>
      </c>
      <c r="H6615" s="835">
        <f t="shared" si="286"/>
        <v>31</v>
      </c>
      <c r="AF6615" s="831" t="s">
        <v>7274</v>
      </c>
      <c r="AG6615" s="831" t="s">
        <v>130</v>
      </c>
      <c r="AH6615" s="831" t="s">
        <v>156</v>
      </c>
      <c r="AI6615" s="831">
        <v>0</v>
      </c>
      <c r="AJ6615" s="835">
        <v>41639</v>
      </c>
      <c r="AK6615" s="831">
        <v>0</v>
      </c>
    </row>
    <row r="6616" spans="2:37">
      <c r="B6616" s="834" t="str">
        <f t="shared" si="285"/>
        <v>|||</v>
      </c>
      <c r="H6616" s="835">
        <f t="shared" si="286"/>
        <v>31</v>
      </c>
      <c r="AF6616" s="831" t="s">
        <v>7275</v>
      </c>
      <c r="AG6616" s="831" t="s">
        <v>130</v>
      </c>
      <c r="AH6616" s="831" t="s">
        <v>162</v>
      </c>
      <c r="AI6616" s="831">
        <v>0</v>
      </c>
      <c r="AJ6616" s="835">
        <v>41639</v>
      </c>
      <c r="AK6616" s="831">
        <v>627874260</v>
      </c>
    </row>
    <row r="6617" spans="2:37">
      <c r="B6617" s="834" t="str">
        <f t="shared" si="285"/>
        <v>|||</v>
      </c>
      <c r="H6617" s="835">
        <f t="shared" si="286"/>
        <v>31</v>
      </c>
      <c r="AF6617" s="831" t="s">
        <v>7276</v>
      </c>
      <c r="AG6617" s="831" t="s">
        <v>130</v>
      </c>
      <c r="AH6617" s="831" t="s">
        <v>165</v>
      </c>
      <c r="AI6617" s="831">
        <v>0</v>
      </c>
      <c r="AJ6617" s="835">
        <v>41639</v>
      </c>
      <c r="AK6617" s="831">
        <v>-13734258</v>
      </c>
    </row>
    <row r="6618" spans="2:37">
      <c r="B6618" s="834" t="str">
        <f t="shared" si="285"/>
        <v>|||</v>
      </c>
      <c r="H6618" s="835">
        <f t="shared" si="286"/>
        <v>31</v>
      </c>
      <c r="AF6618" s="831" t="s">
        <v>7277</v>
      </c>
      <c r="AG6618" s="831" t="s">
        <v>130</v>
      </c>
      <c r="AH6618" s="831" t="s">
        <v>171</v>
      </c>
      <c r="AI6618" s="831">
        <v>0</v>
      </c>
      <c r="AJ6618" s="835">
        <v>41639</v>
      </c>
      <c r="AK6618" s="831">
        <v>3187936.5630000001</v>
      </c>
    </row>
    <row r="6619" spans="2:37">
      <c r="B6619" s="834" t="str">
        <f t="shared" si="285"/>
        <v>|||</v>
      </c>
      <c r="H6619" s="835">
        <f t="shared" si="286"/>
        <v>31</v>
      </c>
      <c r="AF6619" s="831" t="s">
        <v>7278</v>
      </c>
      <c r="AG6619" s="831" t="s">
        <v>130</v>
      </c>
      <c r="AH6619" s="831" t="s">
        <v>174</v>
      </c>
      <c r="AI6619" s="831">
        <v>0</v>
      </c>
      <c r="AJ6619" s="835">
        <v>41639</v>
      </c>
      <c r="AK6619" s="831">
        <v>0</v>
      </c>
    </row>
    <row r="6620" spans="2:37">
      <c r="B6620" s="834" t="str">
        <f t="shared" si="285"/>
        <v>|||</v>
      </c>
      <c r="H6620" s="835">
        <f t="shared" si="286"/>
        <v>31</v>
      </c>
      <c r="AF6620" s="831" t="s">
        <v>7279</v>
      </c>
      <c r="AG6620" s="831" t="s">
        <v>130</v>
      </c>
      <c r="AH6620" s="831" t="s">
        <v>181</v>
      </c>
      <c r="AI6620" s="831">
        <v>0</v>
      </c>
      <c r="AJ6620" s="835">
        <v>41639</v>
      </c>
      <c r="AK6620" s="831">
        <v>61619059</v>
      </c>
    </row>
    <row r="6621" spans="2:37">
      <c r="B6621" s="834" t="str">
        <f t="shared" si="285"/>
        <v>|||</v>
      </c>
      <c r="H6621" s="835">
        <f t="shared" si="286"/>
        <v>31</v>
      </c>
      <c r="AF6621" s="831" t="s">
        <v>7280</v>
      </c>
      <c r="AG6621" s="831" t="s">
        <v>130</v>
      </c>
      <c r="AH6621" s="831" t="s">
        <v>184</v>
      </c>
      <c r="AI6621" s="831">
        <v>0</v>
      </c>
      <c r="AJ6621" s="835">
        <v>41639</v>
      </c>
      <c r="AK6621" s="831">
        <v>-16154140</v>
      </c>
    </row>
    <row r="6622" spans="2:37">
      <c r="B6622" s="834" t="str">
        <f t="shared" si="285"/>
        <v>|||</v>
      </c>
      <c r="H6622" s="835">
        <f t="shared" si="286"/>
        <v>31</v>
      </c>
      <c r="AF6622" s="831" t="s">
        <v>7281</v>
      </c>
      <c r="AG6622" s="831" t="s">
        <v>130</v>
      </c>
      <c r="AH6622" s="831" t="s">
        <v>187</v>
      </c>
      <c r="AI6622" s="831">
        <v>0</v>
      </c>
      <c r="AJ6622" s="835">
        <v>41639</v>
      </c>
      <c r="AK6622" s="831">
        <v>0</v>
      </c>
    </row>
    <row r="6623" spans="2:37">
      <c r="B6623" s="834" t="str">
        <f t="shared" si="285"/>
        <v>|||</v>
      </c>
      <c r="H6623" s="835">
        <f t="shared" si="286"/>
        <v>31</v>
      </c>
      <c r="AF6623" s="831" t="s">
        <v>7282</v>
      </c>
      <c r="AG6623" s="831" t="s">
        <v>130</v>
      </c>
      <c r="AH6623" s="831" t="s">
        <v>196</v>
      </c>
      <c r="AI6623" s="831">
        <v>0</v>
      </c>
      <c r="AJ6623" s="835">
        <v>41639</v>
      </c>
      <c r="AK6623" s="831">
        <v>3747970</v>
      </c>
    </row>
    <row r="6624" spans="2:37">
      <c r="B6624" s="834" t="str">
        <f t="shared" si="285"/>
        <v>|||</v>
      </c>
      <c r="H6624" s="835">
        <f t="shared" si="286"/>
        <v>31</v>
      </c>
      <c r="AF6624" s="831" t="s">
        <v>7283</v>
      </c>
      <c r="AG6624" s="831" t="s">
        <v>130</v>
      </c>
      <c r="AH6624" s="831" t="s">
        <v>197</v>
      </c>
      <c r="AI6624" s="831">
        <v>0</v>
      </c>
      <c r="AJ6624" s="835">
        <v>41639</v>
      </c>
      <c r="AK6624" s="831">
        <v>0</v>
      </c>
    </row>
    <row r="6625" spans="2:37">
      <c r="B6625" s="834" t="str">
        <f t="shared" si="285"/>
        <v>|||</v>
      </c>
      <c r="H6625" s="835">
        <f t="shared" si="286"/>
        <v>31</v>
      </c>
      <c r="AF6625" s="831" t="s">
        <v>7284</v>
      </c>
      <c r="AG6625" s="831" t="s">
        <v>130</v>
      </c>
      <c r="AH6625" s="831" t="s">
        <v>199</v>
      </c>
      <c r="AI6625" s="831">
        <v>0</v>
      </c>
      <c r="AJ6625" s="835">
        <v>41639</v>
      </c>
      <c r="AK6625" s="831">
        <v>0</v>
      </c>
    </row>
    <row r="6626" spans="2:37">
      <c r="B6626" s="834" t="str">
        <f t="shared" si="285"/>
        <v>|||</v>
      </c>
      <c r="H6626" s="835">
        <f t="shared" si="286"/>
        <v>31</v>
      </c>
      <c r="AF6626" s="831" t="s">
        <v>7285</v>
      </c>
      <c r="AG6626" s="831" t="s">
        <v>130</v>
      </c>
      <c r="AH6626" s="831" t="s">
        <v>201</v>
      </c>
      <c r="AI6626" s="831">
        <v>0</v>
      </c>
      <c r="AJ6626" s="835">
        <v>41639</v>
      </c>
      <c r="AK6626" s="831">
        <v>11870002</v>
      </c>
    </row>
    <row r="6627" spans="2:37">
      <c r="B6627" s="834" t="str">
        <f t="shared" si="285"/>
        <v>|||</v>
      </c>
      <c r="H6627" s="835">
        <f t="shared" si="286"/>
        <v>31</v>
      </c>
      <c r="AF6627" s="831" t="s">
        <v>7286</v>
      </c>
      <c r="AG6627" s="831" t="s">
        <v>130</v>
      </c>
      <c r="AH6627" s="831" t="s">
        <v>209</v>
      </c>
      <c r="AI6627" s="831">
        <v>0</v>
      </c>
      <c r="AJ6627" s="835">
        <v>41639</v>
      </c>
      <c r="AK6627" s="831">
        <v>60017014.578000002</v>
      </c>
    </row>
    <row r="6628" spans="2:37">
      <c r="B6628" s="834" t="str">
        <f t="shared" si="285"/>
        <v>|||</v>
      </c>
      <c r="H6628" s="835">
        <f t="shared" si="286"/>
        <v>31</v>
      </c>
      <c r="AF6628" s="831" t="s">
        <v>7287</v>
      </c>
      <c r="AG6628" s="831" t="s">
        <v>130</v>
      </c>
      <c r="AH6628" s="831" t="s">
        <v>211</v>
      </c>
      <c r="AI6628" s="831">
        <v>0</v>
      </c>
      <c r="AJ6628" s="835">
        <v>41639</v>
      </c>
      <c r="AK6628" s="831">
        <v>192735580</v>
      </c>
    </row>
    <row r="6629" spans="2:37">
      <c r="B6629" s="834" t="str">
        <f t="shared" si="285"/>
        <v>|||</v>
      </c>
      <c r="H6629" s="835">
        <f t="shared" si="286"/>
        <v>31</v>
      </c>
      <c r="AF6629" s="831" t="s">
        <v>7288</v>
      </c>
      <c r="AG6629" s="831" t="s">
        <v>130</v>
      </c>
      <c r="AH6629" s="831" t="s">
        <v>212</v>
      </c>
      <c r="AI6629" s="831">
        <v>0</v>
      </c>
      <c r="AJ6629" s="835">
        <v>41639</v>
      </c>
      <c r="AK6629" s="831">
        <v>8503077.8249999993</v>
      </c>
    </row>
    <row r="6630" spans="2:37">
      <c r="B6630" s="834" t="str">
        <f t="shared" si="285"/>
        <v>|||</v>
      </c>
      <c r="H6630" s="835">
        <f t="shared" si="286"/>
        <v>31</v>
      </c>
      <c r="AF6630" s="831" t="s">
        <v>7289</v>
      </c>
      <c r="AG6630" s="831" t="s">
        <v>130</v>
      </c>
      <c r="AH6630" s="831" t="s">
        <v>216</v>
      </c>
      <c r="AI6630" s="831">
        <v>0</v>
      </c>
      <c r="AJ6630" s="835">
        <v>41639</v>
      </c>
      <c r="AK6630" s="831">
        <v>0</v>
      </c>
    </row>
    <row r="6631" spans="2:37">
      <c r="B6631" s="834" t="str">
        <f t="shared" si="285"/>
        <v>|||</v>
      </c>
      <c r="H6631" s="835">
        <f t="shared" si="286"/>
        <v>31</v>
      </c>
      <c r="AF6631" s="831" t="s">
        <v>7290</v>
      </c>
      <c r="AG6631" s="831" t="s">
        <v>130</v>
      </c>
      <c r="AH6631" s="831" t="s">
        <v>218</v>
      </c>
      <c r="AI6631" s="831">
        <v>0</v>
      </c>
      <c r="AJ6631" s="835">
        <v>41639</v>
      </c>
      <c r="AK6631" s="831">
        <v>136996498.611</v>
      </c>
    </row>
    <row r="6632" spans="2:37">
      <c r="B6632" s="834" t="str">
        <f t="shared" si="285"/>
        <v>|||</v>
      </c>
      <c r="H6632" s="835">
        <f t="shared" si="286"/>
        <v>31</v>
      </c>
      <c r="AF6632" s="831" t="s">
        <v>7291</v>
      </c>
      <c r="AG6632" s="831" t="s">
        <v>130</v>
      </c>
      <c r="AH6632" s="831" t="s">
        <v>220</v>
      </c>
      <c r="AI6632" s="831">
        <v>0</v>
      </c>
      <c r="AJ6632" s="835">
        <v>41639</v>
      </c>
      <c r="AK6632" s="831">
        <v>0</v>
      </c>
    </row>
    <row r="6633" spans="2:37">
      <c r="B6633" s="834" t="str">
        <f t="shared" si="285"/>
        <v>|||</v>
      </c>
      <c r="H6633" s="835">
        <f t="shared" si="286"/>
        <v>31</v>
      </c>
      <c r="AF6633" s="831" t="s">
        <v>7292</v>
      </c>
      <c r="AG6633" s="831" t="s">
        <v>130</v>
      </c>
      <c r="AH6633" s="831" t="s">
        <v>221</v>
      </c>
      <c r="AI6633" s="831">
        <v>0</v>
      </c>
      <c r="AJ6633" s="835">
        <v>41639</v>
      </c>
      <c r="AK6633" s="831">
        <v>22595683.699999999</v>
      </c>
    </row>
    <row r="6634" spans="2:37">
      <c r="B6634" s="834" t="str">
        <f t="shared" si="285"/>
        <v>|||</v>
      </c>
      <c r="H6634" s="835">
        <f t="shared" si="286"/>
        <v>31</v>
      </c>
      <c r="AF6634" s="831" t="s">
        <v>7293</v>
      </c>
      <c r="AG6634" s="831" t="s">
        <v>130</v>
      </c>
      <c r="AH6634" s="831" t="s">
        <v>228</v>
      </c>
      <c r="AI6634" s="831">
        <v>0</v>
      </c>
      <c r="AJ6634" s="835">
        <v>41639</v>
      </c>
      <c r="AK6634" s="831">
        <v>0</v>
      </c>
    </row>
    <row r="6635" spans="2:37">
      <c r="B6635" s="834" t="str">
        <f t="shared" si="285"/>
        <v>|||</v>
      </c>
      <c r="H6635" s="835">
        <f t="shared" si="286"/>
        <v>31</v>
      </c>
      <c r="AF6635" s="831" t="s">
        <v>7294</v>
      </c>
      <c r="AG6635" s="831" t="s">
        <v>130</v>
      </c>
      <c r="AH6635" s="831" t="s">
        <v>230</v>
      </c>
      <c r="AI6635" s="831">
        <v>0</v>
      </c>
      <c r="AJ6635" s="835">
        <v>41639</v>
      </c>
      <c r="AK6635" s="831">
        <v>0</v>
      </c>
    </row>
    <row r="6636" spans="2:37">
      <c r="B6636" s="834" t="str">
        <f t="shared" si="285"/>
        <v>|||</v>
      </c>
      <c r="H6636" s="835">
        <f t="shared" si="286"/>
        <v>31</v>
      </c>
      <c r="AF6636" s="831" t="s">
        <v>7295</v>
      </c>
      <c r="AG6636" s="831" t="s">
        <v>130</v>
      </c>
      <c r="AH6636" s="831" t="s">
        <v>231</v>
      </c>
      <c r="AI6636" s="831">
        <v>0</v>
      </c>
      <c r="AJ6636" s="835">
        <v>41639</v>
      </c>
      <c r="AK6636" s="831">
        <v>0</v>
      </c>
    </row>
    <row r="6637" spans="2:37">
      <c r="B6637" s="834" t="str">
        <f t="shared" si="285"/>
        <v>|||</v>
      </c>
      <c r="H6637" s="835">
        <f t="shared" si="286"/>
        <v>31</v>
      </c>
      <c r="AF6637" s="831" t="s">
        <v>7296</v>
      </c>
      <c r="AG6637" s="831" t="s">
        <v>130</v>
      </c>
      <c r="AH6637" s="831" t="s">
        <v>232</v>
      </c>
      <c r="AI6637" s="831">
        <v>0</v>
      </c>
      <c r="AJ6637" s="835">
        <v>41639</v>
      </c>
      <c r="AK6637" s="831">
        <v>246567196</v>
      </c>
    </row>
    <row r="6638" spans="2:37">
      <c r="B6638" s="834" t="str">
        <f t="shared" si="285"/>
        <v>|||</v>
      </c>
      <c r="H6638" s="835">
        <f t="shared" si="286"/>
        <v>31</v>
      </c>
      <c r="AF6638" s="831" t="s">
        <v>7297</v>
      </c>
      <c r="AG6638" s="831" t="s">
        <v>130</v>
      </c>
      <c r="AH6638" s="831" t="s">
        <v>116</v>
      </c>
      <c r="AI6638" s="831">
        <v>0</v>
      </c>
      <c r="AJ6638" s="835">
        <v>41639</v>
      </c>
      <c r="AK6638" s="831">
        <v>8010153</v>
      </c>
    </row>
    <row r="6639" spans="2:37">
      <c r="B6639" s="834" t="str">
        <f t="shared" si="285"/>
        <v>|||</v>
      </c>
      <c r="H6639" s="835">
        <f t="shared" si="286"/>
        <v>31</v>
      </c>
      <c r="AF6639" s="831" t="s">
        <v>7298</v>
      </c>
      <c r="AG6639" s="831" t="s">
        <v>130</v>
      </c>
      <c r="AH6639" s="831" t="s">
        <v>234</v>
      </c>
      <c r="AI6639" s="831">
        <v>0</v>
      </c>
      <c r="AJ6639" s="835">
        <v>41639</v>
      </c>
      <c r="AK6639" s="831">
        <v>0</v>
      </c>
    </row>
    <row r="6640" spans="2:37">
      <c r="B6640" s="834" t="str">
        <f t="shared" si="285"/>
        <v>|||</v>
      </c>
      <c r="H6640" s="835">
        <f t="shared" si="286"/>
        <v>31</v>
      </c>
      <c r="AF6640" s="831" t="s">
        <v>7299</v>
      </c>
      <c r="AG6640" s="831" t="s">
        <v>130</v>
      </c>
      <c r="AH6640" s="831" t="s">
        <v>235</v>
      </c>
      <c r="AI6640" s="831">
        <v>0</v>
      </c>
      <c r="AJ6640" s="835">
        <v>41639</v>
      </c>
      <c r="AK6640" s="831">
        <v>0</v>
      </c>
    </row>
    <row r="6641" spans="2:37">
      <c r="B6641" s="834" t="str">
        <f t="shared" si="285"/>
        <v>|||</v>
      </c>
      <c r="H6641" s="835">
        <f t="shared" si="286"/>
        <v>31</v>
      </c>
      <c r="AF6641" s="831" t="s">
        <v>7300</v>
      </c>
      <c r="AG6641" s="831" t="s">
        <v>130</v>
      </c>
      <c r="AH6641" s="831" t="s">
        <v>238</v>
      </c>
      <c r="AI6641" s="831">
        <v>0</v>
      </c>
      <c r="AJ6641" s="835">
        <v>41639</v>
      </c>
      <c r="AK6641" s="831">
        <v>0</v>
      </c>
    </row>
    <row r="6642" spans="2:37">
      <c r="B6642" s="834" t="str">
        <f t="shared" si="285"/>
        <v>|||</v>
      </c>
      <c r="H6642" s="835">
        <f t="shared" si="286"/>
        <v>31</v>
      </c>
      <c r="AF6642" s="831" t="s">
        <v>7301</v>
      </c>
      <c r="AG6642" s="831" t="s">
        <v>130</v>
      </c>
      <c r="AH6642" s="831" t="s">
        <v>240</v>
      </c>
      <c r="AI6642" s="831">
        <v>0</v>
      </c>
      <c r="AJ6642" s="835">
        <v>41639</v>
      </c>
      <c r="AK6642" s="831">
        <v>85000000</v>
      </c>
    </row>
    <row r="6643" spans="2:37">
      <c r="B6643" s="834" t="str">
        <f t="shared" si="285"/>
        <v>|||</v>
      </c>
      <c r="H6643" s="835">
        <f t="shared" si="286"/>
        <v>31</v>
      </c>
      <c r="AF6643" s="831" t="s">
        <v>7302</v>
      </c>
      <c r="AG6643" s="831" t="s">
        <v>130</v>
      </c>
      <c r="AH6643" s="831" t="s">
        <v>241</v>
      </c>
      <c r="AI6643" s="831">
        <v>0</v>
      </c>
      <c r="AJ6643" s="835">
        <v>41639</v>
      </c>
      <c r="AK6643" s="831">
        <v>0</v>
      </c>
    </row>
    <row r="6644" spans="2:37">
      <c r="B6644" s="834" t="str">
        <f t="shared" si="285"/>
        <v>|||</v>
      </c>
      <c r="H6644" s="835">
        <f t="shared" si="286"/>
        <v>31</v>
      </c>
      <c r="AF6644" s="831" t="s">
        <v>7303</v>
      </c>
      <c r="AG6644" s="831" t="s">
        <v>130</v>
      </c>
      <c r="AH6644" s="831" t="s">
        <v>242</v>
      </c>
      <c r="AI6644" s="831">
        <v>0</v>
      </c>
      <c r="AJ6644" s="835">
        <v>41639</v>
      </c>
      <c r="AK6644" s="831">
        <v>0</v>
      </c>
    </row>
    <row r="6645" spans="2:37">
      <c r="B6645" s="834" t="str">
        <f t="shared" si="285"/>
        <v>|||</v>
      </c>
      <c r="H6645" s="835">
        <f t="shared" si="286"/>
        <v>31</v>
      </c>
      <c r="AF6645" s="831" t="s">
        <v>7304</v>
      </c>
      <c r="AG6645" s="831" t="s">
        <v>130</v>
      </c>
      <c r="AH6645" s="831" t="s">
        <v>244</v>
      </c>
      <c r="AI6645" s="831">
        <v>0</v>
      </c>
      <c r="AJ6645" s="835">
        <v>41639</v>
      </c>
      <c r="AK6645" s="831">
        <v>1913222.91</v>
      </c>
    </row>
    <row r="6646" spans="2:37">
      <c r="B6646" s="834" t="str">
        <f t="shared" si="285"/>
        <v>|||</v>
      </c>
      <c r="H6646" s="835">
        <f t="shared" si="286"/>
        <v>31</v>
      </c>
      <c r="AF6646" s="831" t="s">
        <v>7305</v>
      </c>
      <c r="AG6646" s="831" t="s">
        <v>130</v>
      </c>
      <c r="AH6646" s="831" t="s">
        <v>245</v>
      </c>
      <c r="AI6646" s="831">
        <v>0</v>
      </c>
      <c r="AJ6646" s="835">
        <v>41639</v>
      </c>
      <c r="AK6646" s="831">
        <v>27176543</v>
      </c>
    </row>
    <row r="6647" spans="2:37">
      <c r="B6647" s="834" t="str">
        <f t="shared" si="285"/>
        <v>|||</v>
      </c>
      <c r="H6647" s="835">
        <f t="shared" si="286"/>
        <v>31</v>
      </c>
      <c r="AF6647" s="831" t="s">
        <v>7306</v>
      </c>
      <c r="AG6647" s="831" t="s">
        <v>520</v>
      </c>
      <c r="AH6647" s="831" t="s">
        <v>291</v>
      </c>
      <c r="AI6647" s="831">
        <v>0</v>
      </c>
      <c r="AJ6647" s="835">
        <v>41305</v>
      </c>
      <c r="AK6647" s="831">
        <v>9321770</v>
      </c>
    </row>
    <row r="6648" spans="2:37">
      <c r="B6648" s="834" t="str">
        <f t="shared" si="285"/>
        <v>|||</v>
      </c>
      <c r="H6648" s="835">
        <f t="shared" si="286"/>
        <v>31</v>
      </c>
      <c r="AF6648" s="831" t="s">
        <v>7307</v>
      </c>
      <c r="AG6648" s="831" t="s">
        <v>520</v>
      </c>
      <c r="AH6648" s="831" t="s">
        <v>519</v>
      </c>
      <c r="AI6648" s="831">
        <v>0</v>
      </c>
      <c r="AJ6648" s="835">
        <v>41305</v>
      </c>
      <c r="AK6648" s="831">
        <v>230073740</v>
      </c>
    </row>
    <row r="6649" spans="2:37">
      <c r="B6649" s="834" t="str">
        <f t="shared" si="285"/>
        <v>|||</v>
      </c>
      <c r="H6649" s="835">
        <f t="shared" si="286"/>
        <v>31</v>
      </c>
      <c r="AF6649" s="831" t="s">
        <v>7308</v>
      </c>
      <c r="AG6649" s="831" t="s">
        <v>520</v>
      </c>
      <c r="AH6649" s="831" t="s">
        <v>94</v>
      </c>
      <c r="AI6649" s="831">
        <v>0</v>
      </c>
      <c r="AJ6649" s="835">
        <v>41305</v>
      </c>
      <c r="AK6649" s="831">
        <v>22213040</v>
      </c>
    </row>
    <row r="6650" spans="2:37">
      <c r="B6650" s="834" t="str">
        <f t="shared" si="285"/>
        <v>|||</v>
      </c>
      <c r="H6650" s="835">
        <f t="shared" si="286"/>
        <v>31</v>
      </c>
      <c r="AF6650" s="831" t="s">
        <v>7309</v>
      </c>
      <c r="AG6650" s="831" t="s">
        <v>520</v>
      </c>
      <c r="AH6650" s="831" t="s">
        <v>85</v>
      </c>
      <c r="AI6650" s="831">
        <v>0</v>
      </c>
      <c r="AJ6650" s="835">
        <v>41305</v>
      </c>
      <c r="AK6650" s="831">
        <v>47565440</v>
      </c>
    </row>
    <row r="6651" spans="2:37">
      <c r="B6651" s="834" t="str">
        <f t="shared" si="285"/>
        <v>|||</v>
      </c>
      <c r="H6651" s="835">
        <f t="shared" si="286"/>
        <v>31</v>
      </c>
      <c r="AF6651" s="831" t="s">
        <v>7310</v>
      </c>
      <c r="AG6651" s="831" t="s">
        <v>520</v>
      </c>
      <c r="AH6651" s="831" t="s">
        <v>90</v>
      </c>
      <c r="AI6651" s="831">
        <v>0</v>
      </c>
      <c r="AJ6651" s="835">
        <v>41305</v>
      </c>
      <c r="AK6651" s="831">
        <v>213207580</v>
      </c>
    </row>
    <row r="6652" spans="2:37">
      <c r="B6652" s="834" t="str">
        <f t="shared" si="285"/>
        <v>|||</v>
      </c>
      <c r="H6652" s="835">
        <f t="shared" si="286"/>
        <v>31</v>
      </c>
      <c r="AF6652" s="831" t="s">
        <v>7311</v>
      </c>
      <c r="AG6652" s="831" t="s">
        <v>520</v>
      </c>
      <c r="AH6652" s="831" t="s">
        <v>117</v>
      </c>
      <c r="AI6652" s="831">
        <v>0</v>
      </c>
      <c r="AJ6652" s="835">
        <v>41305</v>
      </c>
      <c r="AK6652" s="831">
        <v>4771630</v>
      </c>
    </row>
    <row r="6653" spans="2:37">
      <c r="B6653" s="834" t="str">
        <f t="shared" si="285"/>
        <v>|||</v>
      </c>
      <c r="H6653" s="835">
        <f t="shared" si="286"/>
        <v>31</v>
      </c>
      <c r="AF6653" s="831" t="s">
        <v>7312</v>
      </c>
      <c r="AG6653" s="831" t="s">
        <v>520</v>
      </c>
      <c r="AH6653" s="831" t="s">
        <v>525</v>
      </c>
      <c r="AI6653" s="831">
        <v>0</v>
      </c>
      <c r="AJ6653" s="835">
        <v>41305</v>
      </c>
      <c r="AK6653" s="831">
        <v>0</v>
      </c>
    </row>
    <row r="6654" spans="2:37">
      <c r="B6654" s="834" t="str">
        <f t="shared" si="285"/>
        <v>|||</v>
      </c>
      <c r="H6654" s="835">
        <f t="shared" si="286"/>
        <v>31</v>
      </c>
      <c r="AF6654" s="831" t="s">
        <v>7313</v>
      </c>
      <c r="AG6654" s="831" t="s">
        <v>520</v>
      </c>
      <c r="AH6654" s="831" t="s">
        <v>522</v>
      </c>
      <c r="AI6654" s="831">
        <v>0</v>
      </c>
      <c r="AJ6654" s="835">
        <v>41305</v>
      </c>
      <c r="AK6654" s="831">
        <v>0</v>
      </c>
    </row>
    <row r="6655" spans="2:37">
      <c r="B6655" s="834" t="str">
        <f t="shared" si="285"/>
        <v>|||</v>
      </c>
      <c r="H6655" s="835">
        <f t="shared" si="286"/>
        <v>31</v>
      </c>
      <c r="AF6655" s="831" t="s">
        <v>7314</v>
      </c>
      <c r="AG6655" s="831" t="s">
        <v>520</v>
      </c>
      <c r="AH6655" s="831" t="s">
        <v>523</v>
      </c>
      <c r="AI6655" s="831">
        <v>0</v>
      </c>
      <c r="AJ6655" s="835">
        <v>41305</v>
      </c>
      <c r="AK6655" s="831">
        <v>0</v>
      </c>
    </row>
    <row r="6656" spans="2:37">
      <c r="B6656" s="834" t="str">
        <f t="shared" si="285"/>
        <v>|||</v>
      </c>
      <c r="H6656" s="835">
        <f t="shared" si="286"/>
        <v>31</v>
      </c>
      <c r="AF6656" s="831" t="s">
        <v>7315</v>
      </c>
      <c r="AG6656" s="831" t="s">
        <v>520</v>
      </c>
      <c r="AH6656" s="831" t="s">
        <v>524</v>
      </c>
      <c r="AI6656" s="831">
        <v>0</v>
      </c>
      <c r="AJ6656" s="835">
        <v>41305</v>
      </c>
      <c r="AK6656" s="831">
        <v>0</v>
      </c>
    </row>
    <row r="6657" spans="2:37">
      <c r="B6657" s="834" t="str">
        <f t="shared" si="285"/>
        <v>|||</v>
      </c>
      <c r="H6657" s="835">
        <f t="shared" si="286"/>
        <v>31</v>
      </c>
      <c r="AF6657" s="831" t="s">
        <v>7316</v>
      </c>
      <c r="AG6657" s="831" t="s">
        <v>520</v>
      </c>
      <c r="AH6657" s="831" t="s">
        <v>521</v>
      </c>
      <c r="AI6657" s="831">
        <v>0</v>
      </c>
      <c r="AJ6657" s="835">
        <v>41305</v>
      </c>
      <c r="AK6657" s="831">
        <v>0</v>
      </c>
    </row>
    <row r="6658" spans="2:37">
      <c r="B6658" s="834" t="str">
        <f t="shared" si="285"/>
        <v>|||</v>
      </c>
      <c r="H6658" s="835">
        <f t="shared" si="286"/>
        <v>31</v>
      </c>
      <c r="AF6658" s="831" t="s">
        <v>7317</v>
      </c>
      <c r="AG6658" s="831" t="s">
        <v>520</v>
      </c>
      <c r="AH6658" s="831" t="s">
        <v>660</v>
      </c>
      <c r="AI6658" s="831">
        <v>0</v>
      </c>
      <c r="AJ6658" s="835">
        <v>41305</v>
      </c>
      <c r="AK6658" s="831">
        <v>0</v>
      </c>
    </row>
    <row r="6659" spans="2:37">
      <c r="B6659" s="834" t="str">
        <f t="shared" ref="B6659:B6722" si="287">C6659&amp;"|"&amp;D6659&amp;"|"&amp;E6659&amp;"|"&amp;F6659</f>
        <v>|||</v>
      </c>
      <c r="H6659" s="835">
        <f t="shared" si="286"/>
        <v>31</v>
      </c>
      <c r="AF6659" s="831" t="s">
        <v>7318</v>
      </c>
      <c r="AG6659" s="831" t="s">
        <v>520</v>
      </c>
      <c r="AH6659" s="831" t="s">
        <v>661</v>
      </c>
      <c r="AI6659" s="831">
        <v>0</v>
      </c>
      <c r="AJ6659" s="835">
        <v>41305</v>
      </c>
      <c r="AK6659" s="831">
        <v>0</v>
      </c>
    </row>
    <row r="6660" spans="2:37">
      <c r="B6660" s="834" t="str">
        <f t="shared" si="287"/>
        <v>|||</v>
      </c>
      <c r="H6660" s="835">
        <f t="shared" ref="H6660:H6723" si="288">EOMONTH(L6660,0)</f>
        <v>31</v>
      </c>
      <c r="AF6660" s="831" t="s">
        <v>7319</v>
      </c>
      <c r="AG6660" s="831" t="s">
        <v>520</v>
      </c>
      <c r="AH6660" s="831" t="s">
        <v>662</v>
      </c>
      <c r="AI6660" s="831">
        <v>0</v>
      </c>
      <c r="AJ6660" s="835">
        <v>41305</v>
      </c>
      <c r="AK6660" s="831">
        <v>0</v>
      </c>
    </row>
    <row r="6661" spans="2:37">
      <c r="B6661" s="834" t="str">
        <f t="shared" si="287"/>
        <v>|||</v>
      </c>
      <c r="H6661" s="835">
        <f t="shared" si="288"/>
        <v>31</v>
      </c>
      <c r="AF6661" s="831" t="s">
        <v>7320</v>
      </c>
      <c r="AG6661" s="831" t="s">
        <v>520</v>
      </c>
      <c r="AH6661" s="831" t="s">
        <v>291</v>
      </c>
      <c r="AI6661" s="831">
        <v>0</v>
      </c>
      <c r="AJ6661" s="835">
        <v>41333</v>
      </c>
      <c r="AK6661" s="831">
        <v>10121130</v>
      </c>
    </row>
    <row r="6662" spans="2:37">
      <c r="B6662" s="834" t="str">
        <f t="shared" si="287"/>
        <v>|||</v>
      </c>
      <c r="H6662" s="835">
        <f t="shared" si="288"/>
        <v>31</v>
      </c>
      <c r="AF6662" s="831" t="s">
        <v>7321</v>
      </c>
      <c r="AG6662" s="831" t="s">
        <v>520</v>
      </c>
      <c r="AH6662" s="831" t="s">
        <v>519</v>
      </c>
      <c r="AI6662" s="831">
        <v>0</v>
      </c>
      <c r="AJ6662" s="835">
        <v>41333</v>
      </c>
      <c r="AK6662" s="831">
        <v>239591510</v>
      </c>
    </row>
    <row r="6663" spans="2:37">
      <c r="B6663" s="834" t="str">
        <f t="shared" si="287"/>
        <v>|||</v>
      </c>
      <c r="H6663" s="835">
        <f t="shared" si="288"/>
        <v>31</v>
      </c>
      <c r="AF6663" s="831" t="s">
        <v>7322</v>
      </c>
      <c r="AG6663" s="831" t="s">
        <v>520</v>
      </c>
      <c r="AH6663" s="831" t="s">
        <v>94</v>
      </c>
      <c r="AI6663" s="831">
        <v>0</v>
      </c>
      <c r="AJ6663" s="835">
        <v>41333</v>
      </c>
      <c r="AK6663" s="831">
        <v>18022050</v>
      </c>
    </row>
    <row r="6664" spans="2:37">
      <c r="B6664" s="834" t="str">
        <f t="shared" si="287"/>
        <v>|||</v>
      </c>
      <c r="H6664" s="835">
        <f t="shared" si="288"/>
        <v>31</v>
      </c>
      <c r="AF6664" s="831" t="s">
        <v>7323</v>
      </c>
      <c r="AG6664" s="831" t="s">
        <v>520</v>
      </c>
      <c r="AH6664" s="831" t="s">
        <v>85</v>
      </c>
      <c r="AI6664" s="831">
        <v>0</v>
      </c>
      <c r="AJ6664" s="835">
        <v>41333</v>
      </c>
      <c r="AK6664" s="831">
        <v>48595220</v>
      </c>
    </row>
    <row r="6665" spans="2:37">
      <c r="B6665" s="834" t="str">
        <f t="shared" si="287"/>
        <v>|||</v>
      </c>
      <c r="H6665" s="835">
        <f t="shared" si="288"/>
        <v>31</v>
      </c>
      <c r="AF6665" s="831" t="s">
        <v>7324</v>
      </c>
      <c r="AG6665" s="831" t="s">
        <v>520</v>
      </c>
      <c r="AH6665" s="831" t="s">
        <v>90</v>
      </c>
      <c r="AI6665" s="831">
        <v>0</v>
      </c>
      <c r="AJ6665" s="835">
        <v>41333</v>
      </c>
      <c r="AK6665" s="831">
        <v>217073100</v>
      </c>
    </row>
    <row r="6666" spans="2:37">
      <c r="B6666" s="834" t="str">
        <f t="shared" si="287"/>
        <v>|||</v>
      </c>
      <c r="H6666" s="835">
        <f t="shared" si="288"/>
        <v>31</v>
      </c>
      <c r="AF6666" s="831" t="s">
        <v>7325</v>
      </c>
      <c r="AG6666" s="831" t="s">
        <v>520</v>
      </c>
      <c r="AH6666" s="831" t="s">
        <v>117</v>
      </c>
      <c r="AI6666" s="831">
        <v>0</v>
      </c>
      <c r="AJ6666" s="835">
        <v>41333</v>
      </c>
      <c r="AK6666" s="831">
        <v>6361870</v>
      </c>
    </row>
    <row r="6667" spans="2:37">
      <c r="B6667" s="834" t="str">
        <f t="shared" si="287"/>
        <v>|||</v>
      </c>
      <c r="H6667" s="835">
        <f t="shared" si="288"/>
        <v>31</v>
      </c>
      <c r="AF6667" s="831" t="s">
        <v>7326</v>
      </c>
      <c r="AG6667" s="831" t="s">
        <v>520</v>
      </c>
      <c r="AH6667" s="831" t="s">
        <v>525</v>
      </c>
      <c r="AI6667" s="831">
        <v>0</v>
      </c>
      <c r="AJ6667" s="835">
        <v>41333</v>
      </c>
      <c r="AK6667" s="831">
        <v>0</v>
      </c>
    </row>
    <row r="6668" spans="2:37">
      <c r="B6668" s="834" t="str">
        <f t="shared" si="287"/>
        <v>|||</v>
      </c>
      <c r="H6668" s="835">
        <f t="shared" si="288"/>
        <v>31</v>
      </c>
      <c r="AF6668" s="831" t="s">
        <v>7327</v>
      </c>
      <c r="AG6668" s="831" t="s">
        <v>520</v>
      </c>
      <c r="AH6668" s="831" t="s">
        <v>522</v>
      </c>
      <c r="AI6668" s="831">
        <v>0</v>
      </c>
      <c r="AJ6668" s="835">
        <v>41333</v>
      </c>
      <c r="AK6668" s="831">
        <v>0</v>
      </c>
    </row>
    <row r="6669" spans="2:37">
      <c r="B6669" s="834" t="str">
        <f t="shared" si="287"/>
        <v>|||</v>
      </c>
      <c r="H6669" s="835">
        <f t="shared" si="288"/>
        <v>31</v>
      </c>
      <c r="AF6669" s="831" t="s">
        <v>7328</v>
      </c>
      <c r="AG6669" s="831" t="s">
        <v>520</v>
      </c>
      <c r="AH6669" s="831" t="s">
        <v>523</v>
      </c>
      <c r="AI6669" s="831">
        <v>0</v>
      </c>
      <c r="AJ6669" s="835">
        <v>41333</v>
      </c>
      <c r="AK6669" s="831">
        <v>0</v>
      </c>
    </row>
    <row r="6670" spans="2:37">
      <c r="B6670" s="834" t="str">
        <f t="shared" si="287"/>
        <v>|||</v>
      </c>
      <c r="H6670" s="835">
        <f t="shared" si="288"/>
        <v>31</v>
      </c>
      <c r="AF6670" s="831" t="s">
        <v>7329</v>
      </c>
      <c r="AG6670" s="831" t="s">
        <v>520</v>
      </c>
      <c r="AH6670" s="831" t="s">
        <v>524</v>
      </c>
      <c r="AI6670" s="831">
        <v>0</v>
      </c>
      <c r="AJ6670" s="835">
        <v>41333</v>
      </c>
      <c r="AK6670" s="831">
        <v>0</v>
      </c>
    </row>
    <row r="6671" spans="2:37">
      <c r="B6671" s="834" t="str">
        <f t="shared" si="287"/>
        <v>|||</v>
      </c>
      <c r="H6671" s="835">
        <f t="shared" si="288"/>
        <v>31</v>
      </c>
      <c r="AF6671" s="831" t="s">
        <v>7330</v>
      </c>
      <c r="AG6671" s="831" t="s">
        <v>520</v>
      </c>
      <c r="AH6671" s="831" t="s">
        <v>521</v>
      </c>
      <c r="AI6671" s="831">
        <v>0</v>
      </c>
      <c r="AJ6671" s="835">
        <v>41333</v>
      </c>
      <c r="AK6671" s="831">
        <v>0</v>
      </c>
    </row>
    <row r="6672" spans="2:37">
      <c r="B6672" s="834" t="str">
        <f t="shared" si="287"/>
        <v>|||</v>
      </c>
      <c r="H6672" s="835">
        <f t="shared" si="288"/>
        <v>31</v>
      </c>
      <c r="AF6672" s="831" t="s">
        <v>7331</v>
      </c>
      <c r="AG6672" s="831" t="s">
        <v>520</v>
      </c>
      <c r="AH6672" s="831" t="s">
        <v>660</v>
      </c>
      <c r="AI6672" s="831">
        <v>0</v>
      </c>
      <c r="AJ6672" s="835">
        <v>41333</v>
      </c>
      <c r="AK6672" s="831">
        <v>0</v>
      </c>
    </row>
    <row r="6673" spans="2:37">
      <c r="B6673" s="834" t="str">
        <f t="shared" si="287"/>
        <v>|||</v>
      </c>
      <c r="H6673" s="835">
        <f t="shared" si="288"/>
        <v>31</v>
      </c>
      <c r="AF6673" s="831" t="s">
        <v>7332</v>
      </c>
      <c r="AG6673" s="831" t="s">
        <v>520</v>
      </c>
      <c r="AH6673" s="831" t="s">
        <v>661</v>
      </c>
      <c r="AI6673" s="831">
        <v>0</v>
      </c>
      <c r="AJ6673" s="835">
        <v>41333</v>
      </c>
      <c r="AK6673" s="831">
        <v>0</v>
      </c>
    </row>
    <row r="6674" spans="2:37">
      <c r="B6674" s="834" t="str">
        <f t="shared" si="287"/>
        <v>|||</v>
      </c>
      <c r="H6674" s="835">
        <f t="shared" si="288"/>
        <v>31</v>
      </c>
      <c r="AF6674" s="831" t="s">
        <v>7333</v>
      </c>
      <c r="AG6674" s="831" t="s">
        <v>520</v>
      </c>
      <c r="AH6674" s="831" t="s">
        <v>662</v>
      </c>
      <c r="AI6674" s="831">
        <v>0</v>
      </c>
      <c r="AJ6674" s="835">
        <v>41333</v>
      </c>
      <c r="AK6674" s="831">
        <v>0</v>
      </c>
    </row>
    <row r="6675" spans="2:37">
      <c r="B6675" s="834" t="str">
        <f t="shared" si="287"/>
        <v>|||</v>
      </c>
      <c r="H6675" s="835">
        <f t="shared" si="288"/>
        <v>31</v>
      </c>
      <c r="AF6675" s="831" t="s">
        <v>7334</v>
      </c>
      <c r="AG6675" s="831" t="s">
        <v>520</v>
      </c>
      <c r="AH6675" s="831" t="s">
        <v>291</v>
      </c>
      <c r="AI6675" s="831">
        <v>0</v>
      </c>
      <c r="AJ6675" s="835">
        <v>41364</v>
      </c>
      <c r="AK6675" s="831">
        <v>7791660</v>
      </c>
    </row>
    <row r="6676" spans="2:37">
      <c r="B6676" s="834" t="str">
        <f t="shared" si="287"/>
        <v>|||</v>
      </c>
      <c r="H6676" s="835">
        <f t="shared" si="288"/>
        <v>31</v>
      </c>
      <c r="AF6676" s="831" t="s">
        <v>7335</v>
      </c>
      <c r="AG6676" s="831" t="s">
        <v>520</v>
      </c>
      <c r="AH6676" s="831" t="s">
        <v>519</v>
      </c>
      <c r="AI6676" s="831">
        <v>0</v>
      </c>
      <c r="AJ6676" s="835">
        <v>41364</v>
      </c>
      <c r="AK6676" s="831">
        <v>252907060</v>
      </c>
    </row>
    <row r="6677" spans="2:37">
      <c r="B6677" s="834" t="str">
        <f t="shared" si="287"/>
        <v>|||</v>
      </c>
      <c r="H6677" s="835">
        <f t="shared" si="288"/>
        <v>31</v>
      </c>
      <c r="AF6677" s="831" t="s">
        <v>7336</v>
      </c>
      <c r="AG6677" s="831" t="s">
        <v>520</v>
      </c>
      <c r="AH6677" s="831" t="s">
        <v>94</v>
      </c>
      <c r="AI6677" s="831">
        <v>0</v>
      </c>
      <c r="AJ6677" s="835">
        <v>41364</v>
      </c>
      <c r="AK6677" s="831">
        <v>24460210</v>
      </c>
    </row>
    <row r="6678" spans="2:37">
      <c r="B6678" s="834" t="str">
        <f t="shared" si="287"/>
        <v>|||</v>
      </c>
      <c r="H6678" s="835">
        <f t="shared" si="288"/>
        <v>31</v>
      </c>
      <c r="AF6678" s="831" t="s">
        <v>7337</v>
      </c>
      <c r="AG6678" s="831" t="s">
        <v>520</v>
      </c>
      <c r="AH6678" s="831" t="s">
        <v>85</v>
      </c>
      <c r="AI6678" s="831">
        <v>0</v>
      </c>
      <c r="AJ6678" s="835">
        <v>41364</v>
      </c>
      <c r="AK6678" s="831">
        <v>49724500</v>
      </c>
    </row>
    <row r="6679" spans="2:37">
      <c r="B6679" s="834" t="str">
        <f t="shared" si="287"/>
        <v>|||</v>
      </c>
      <c r="H6679" s="835">
        <f t="shared" si="288"/>
        <v>31</v>
      </c>
      <c r="AF6679" s="831" t="s">
        <v>7338</v>
      </c>
      <c r="AG6679" s="831" t="s">
        <v>520</v>
      </c>
      <c r="AH6679" s="831" t="s">
        <v>90</v>
      </c>
      <c r="AI6679" s="831">
        <v>0</v>
      </c>
      <c r="AJ6679" s="835">
        <v>41364</v>
      </c>
      <c r="AK6679" s="831">
        <v>225760240</v>
      </c>
    </row>
    <row r="6680" spans="2:37">
      <c r="B6680" s="834" t="str">
        <f t="shared" si="287"/>
        <v>|||</v>
      </c>
      <c r="H6680" s="835">
        <f t="shared" si="288"/>
        <v>31</v>
      </c>
      <c r="AF6680" s="831" t="s">
        <v>7339</v>
      </c>
      <c r="AG6680" s="831" t="s">
        <v>520</v>
      </c>
      <c r="AH6680" s="831" t="s">
        <v>117</v>
      </c>
      <c r="AI6680" s="831">
        <v>0</v>
      </c>
      <c r="AJ6680" s="835">
        <v>41364</v>
      </c>
      <c r="AK6680" s="831">
        <v>5896550</v>
      </c>
    </row>
    <row r="6681" spans="2:37">
      <c r="B6681" s="834" t="str">
        <f t="shared" si="287"/>
        <v>|||</v>
      </c>
      <c r="H6681" s="835">
        <f t="shared" si="288"/>
        <v>31</v>
      </c>
      <c r="AF6681" s="831" t="s">
        <v>7340</v>
      </c>
      <c r="AG6681" s="831" t="s">
        <v>520</v>
      </c>
      <c r="AH6681" s="831" t="s">
        <v>525</v>
      </c>
      <c r="AI6681" s="831">
        <v>0</v>
      </c>
      <c r="AJ6681" s="835">
        <v>41364</v>
      </c>
      <c r="AK6681" s="831">
        <v>0</v>
      </c>
    </row>
    <row r="6682" spans="2:37">
      <c r="B6682" s="834" t="str">
        <f t="shared" si="287"/>
        <v>|||</v>
      </c>
      <c r="H6682" s="835">
        <f t="shared" si="288"/>
        <v>31</v>
      </c>
      <c r="AF6682" s="831" t="s">
        <v>7341</v>
      </c>
      <c r="AG6682" s="831" t="s">
        <v>520</v>
      </c>
      <c r="AH6682" s="831" t="s">
        <v>522</v>
      </c>
      <c r="AI6682" s="831">
        <v>0</v>
      </c>
      <c r="AJ6682" s="835">
        <v>41364</v>
      </c>
      <c r="AK6682" s="831">
        <v>0</v>
      </c>
    </row>
    <row r="6683" spans="2:37">
      <c r="B6683" s="834" t="str">
        <f t="shared" si="287"/>
        <v>|||</v>
      </c>
      <c r="H6683" s="835">
        <f t="shared" si="288"/>
        <v>31</v>
      </c>
      <c r="AF6683" s="831" t="s">
        <v>7342</v>
      </c>
      <c r="AG6683" s="831" t="s">
        <v>520</v>
      </c>
      <c r="AH6683" s="831" t="s">
        <v>523</v>
      </c>
      <c r="AI6683" s="831">
        <v>0</v>
      </c>
      <c r="AJ6683" s="835">
        <v>41364</v>
      </c>
      <c r="AK6683" s="831">
        <v>0</v>
      </c>
    </row>
    <row r="6684" spans="2:37">
      <c r="B6684" s="834" t="str">
        <f t="shared" si="287"/>
        <v>|||</v>
      </c>
      <c r="H6684" s="835">
        <f t="shared" si="288"/>
        <v>31</v>
      </c>
      <c r="AF6684" s="831" t="s">
        <v>7343</v>
      </c>
      <c r="AG6684" s="831" t="s">
        <v>520</v>
      </c>
      <c r="AH6684" s="831" t="s">
        <v>524</v>
      </c>
      <c r="AI6684" s="831">
        <v>0</v>
      </c>
      <c r="AJ6684" s="835">
        <v>41364</v>
      </c>
      <c r="AK6684" s="831">
        <v>0</v>
      </c>
    </row>
    <row r="6685" spans="2:37">
      <c r="B6685" s="834" t="str">
        <f t="shared" si="287"/>
        <v>|||</v>
      </c>
      <c r="H6685" s="835">
        <f t="shared" si="288"/>
        <v>31</v>
      </c>
      <c r="AF6685" s="831" t="s">
        <v>7344</v>
      </c>
      <c r="AG6685" s="831" t="s">
        <v>520</v>
      </c>
      <c r="AH6685" s="831" t="s">
        <v>521</v>
      </c>
      <c r="AI6685" s="831">
        <v>0</v>
      </c>
      <c r="AJ6685" s="835">
        <v>41364</v>
      </c>
      <c r="AK6685" s="831">
        <v>0</v>
      </c>
    </row>
    <row r="6686" spans="2:37">
      <c r="B6686" s="834" t="str">
        <f t="shared" si="287"/>
        <v>|||</v>
      </c>
      <c r="H6686" s="835">
        <f t="shared" si="288"/>
        <v>31</v>
      </c>
      <c r="AF6686" s="831" t="s">
        <v>7345</v>
      </c>
      <c r="AG6686" s="831" t="s">
        <v>520</v>
      </c>
      <c r="AH6686" s="831" t="s">
        <v>660</v>
      </c>
      <c r="AI6686" s="831">
        <v>0</v>
      </c>
      <c r="AJ6686" s="835">
        <v>41364</v>
      </c>
      <c r="AK6686" s="831">
        <v>0</v>
      </c>
    </row>
    <row r="6687" spans="2:37">
      <c r="B6687" s="834" t="str">
        <f t="shared" si="287"/>
        <v>|||</v>
      </c>
      <c r="H6687" s="835">
        <f t="shared" si="288"/>
        <v>31</v>
      </c>
      <c r="AF6687" s="831" t="s">
        <v>7346</v>
      </c>
      <c r="AG6687" s="831" t="s">
        <v>520</v>
      </c>
      <c r="AH6687" s="831" t="s">
        <v>661</v>
      </c>
      <c r="AI6687" s="831">
        <v>0</v>
      </c>
      <c r="AJ6687" s="835">
        <v>41364</v>
      </c>
      <c r="AK6687" s="831">
        <v>0</v>
      </c>
    </row>
    <row r="6688" spans="2:37">
      <c r="B6688" s="834" t="str">
        <f t="shared" si="287"/>
        <v>|||</v>
      </c>
      <c r="H6688" s="835">
        <f t="shared" si="288"/>
        <v>31</v>
      </c>
      <c r="AF6688" s="831" t="s">
        <v>7347</v>
      </c>
      <c r="AG6688" s="831" t="s">
        <v>520</v>
      </c>
      <c r="AH6688" s="831" t="s">
        <v>662</v>
      </c>
      <c r="AI6688" s="831">
        <v>0</v>
      </c>
      <c r="AJ6688" s="835">
        <v>41364</v>
      </c>
      <c r="AK6688" s="831">
        <v>0</v>
      </c>
    </row>
    <row r="6689" spans="2:37">
      <c r="B6689" s="834" t="str">
        <f t="shared" si="287"/>
        <v>|||</v>
      </c>
      <c r="H6689" s="835">
        <f t="shared" si="288"/>
        <v>31</v>
      </c>
      <c r="AF6689" s="831" t="s">
        <v>7348</v>
      </c>
      <c r="AG6689" s="831" t="s">
        <v>520</v>
      </c>
      <c r="AH6689" s="831" t="s">
        <v>291</v>
      </c>
      <c r="AI6689" s="831">
        <v>0</v>
      </c>
      <c r="AJ6689" s="835">
        <v>41394</v>
      </c>
      <c r="AK6689" s="831">
        <v>9280050</v>
      </c>
    </row>
    <row r="6690" spans="2:37">
      <c r="B6690" s="834" t="str">
        <f t="shared" si="287"/>
        <v>|||</v>
      </c>
      <c r="H6690" s="835">
        <f t="shared" si="288"/>
        <v>31</v>
      </c>
      <c r="AF6690" s="831" t="s">
        <v>7349</v>
      </c>
      <c r="AG6690" s="831" t="s">
        <v>520</v>
      </c>
      <c r="AH6690" s="831" t="s">
        <v>519</v>
      </c>
      <c r="AI6690" s="831">
        <v>0</v>
      </c>
      <c r="AJ6690" s="835">
        <v>41394</v>
      </c>
      <c r="AK6690" s="831">
        <v>265181550</v>
      </c>
    </row>
    <row r="6691" spans="2:37">
      <c r="B6691" s="834" t="str">
        <f t="shared" si="287"/>
        <v>|||</v>
      </c>
      <c r="H6691" s="835">
        <f t="shared" si="288"/>
        <v>31</v>
      </c>
      <c r="AF6691" s="831" t="s">
        <v>7350</v>
      </c>
      <c r="AG6691" s="831" t="s">
        <v>520</v>
      </c>
      <c r="AH6691" s="831" t="s">
        <v>94</v>
      </c>
      <c r="AI6691" s="831">
        <v>0</v>
      </c>
      <c r="AJ6691" s="835">
        <v>41394</v>
      </c>
      <c r="AK6691" s="831">
        <v>17737680</v>
      </c>
    </row>
    <row r="6692" spans="2:37">
      <c r="B6692" s="834" t="str">
        <f t="shared" si="287"/>
        <v>|||</v>
      </c>
      <c r="H6692" s="835">
        <f t="shared" si="288"/>
        <v>31</v>
      </c>
      <c r="AF6692" s="831" t="s">
        <v>7351</v>
      </c>
      <c r="AG6692" s="831" t="s">
        <v>520</v>
      </c>
      <c r="AH6692" s="831" t="s">
        <v>85</v>
      </c>
      <c r="AI6692" s="831">
        <v>0</v>
      </c>
      <c r="AJ6692" s="835">
        <v>41394</v>
      </c>
      <c r="AK6692" s="831">
        <v>50014720</v>
      </c>
    </row>
    <row r="6693" spans="2:37">
      <c r="B6693" s="834" t="str">
        <f t="shared" si="287"/>
        <v>|||</v>
      </c>
      <c r="H6693" s="835">
        <f t="shared" si="288"/>
        <v>31</v>
      </c>
      <c r="AF6693" s="831" t="s">
        <v>7352</v>
      </c>
      <c r="AG6693" s="831" t="s">
        <v>520</v>
      </c>
      <c r="AH6693" s="831" t="s">
        <v>90</v>
      </c>
      <c r="AI6693" s="831">
        <v>0</v>
      </c>
      <c r="AJ6693" s="835">
        <v>41394</v>
      </c>
      <c r="AK6693" s="831">
        <v>226657970</v>
      </c>
    </row>
    <row r="6694" spans="2:37">
      <c r="B6694" s="834" t="str">
        <f t="shared" si="287"/>
        <v>|||</v>
      </c>
      <c r="H6694" s="835">
        <f t="shared" si="288"/>
        <v>31</v>
      </c>
      <c r="AF6694" s="831" t="s">
        <v>7353</v>
      </c>
      <c r="AG6694" s="831" t="s">
        <v>520</v>
      </c>
      <c r="AH6694" s="831" t="s">
        <v>117</v>
      </c>
      <c r="AI6694" s="831">
        <v>0</v>
      </c>
      <c r="AJ6694" s="835">
        <v>41394</v>
      </c>
      <c r="AK6694" s="831">
        <v>6163070</v>
      </c>
    </row>
    <row r="6695" spans="2:37">
      <c r="B6695" s="834" t="str">
        <f t="shared" si="287"/>
        <v>|||</v>
      </c>
      <c r="H6695" s="835">
        <f t="shared" si="288"/>
        <v>31</v>
      </c>
      <c r="AF6695" s="831" t="s">
        <v>7354</v>
      </c>
      <c r="AG6695" s="831" t="s">
        <v>520</v>
      </c>
      <c r="AH6695" s="831" t="s">
        <v>525</v>
      </c>
      <c r="AI6695" s="831">
        <v>0</v>
      </c>
      <c r="AJ6695" s="835">
        <v>41394</v>
      </c>
      <c r="AK6695" s="831">
        <v>0</v>
      </c>
    </row>
    <row r="6696" spans="2:37">
      <c r="B6696" s="834" t="str">
        <f t="shared" si="287"/>
        <v>|||</v>
      </c>
      <c r="H6696" s="835">
        <f t="shared" si="288"/>
        <v>31</v>
      </c>
      <c r="AF6696" s="831" t="s">
        <v>7355</v>
      </c>
      <c r="AG6696" s="831" t="s">
        <v>520</v>
      </c>
      <c r="AH6696" s="831" t="s">
        <v>522</v>
      </c>
      <c r="AI6696" s="831">
        <v>0</v>
      </c>
      <c r="AJ6696" s="835">
        <v>41394</v>
      </c>
      <c r="AK6696" s="831">
        <v>0</v>
      </c>
    </row>
    <row r="6697" spans="2:37">
      <c r="B6697" s="834" t="str">
        <f t="shared" si="287"/>
        <v>|||</v>
      </c>
      <c r="H6697" s="835">
        <f t="shared" si="288"/>
        <v>31</v>
      </c>
      <c r="AF6697" s="831" t="s">
        <v>7356</v>
      </c>
      <c r="AG6697" s="831" t="s">
        <v>520</v>
      </c>
      <c r="AH6697" s="831" t="s">
        <v>523</v>
      </c>
      <c r="AI6697" s="831">
        <v>0</v>
      </c>
      <c r="AJ6697" s="835">
        <v>41394</v>
      </c>
      <c r="AK6697" s="831">
        <v>0</v>
      </c>
    </row>
    <row r="6698" spans="2:37">
      <c r="B6698" s="834" t="str">
        <f t="shared" si="287"/>
        <v>|||</v>
      </c>
      <c r="H6698" s="835">
        <f t="shared" si="288"/>
        <v>31</v>
      </c>
      <c r="AF6698" s="831" t="s">
        <v>7357</v>
      </c>
      <c r="AG6698" s="831" t="s">
        <v>520</v>
      </c>
      <c r="AH6698" s="831" t="s">
        <v>524</v>
      </c>
      <c r="AI6698" s="831">
        <v>0</v>
      </c>
      <c r="AJ6698" s="835">
        <v>41394</v>
      </c>
      <c r="AK6698" s="831">
        <v>0</v>
      </c>
    </row>
    <row r="6699" spans="2:37">
      <c r="B6699" s="834" t="str">
        <f t="shared" si="287"/>
        <v>|||</v>
      </c>
      <c r="H6699" s="835">
        <f t="shared" si="288"/>
        <v>31</v>
      </c>
      <c r="AF6699" s="831" t="s">
        <v>7358</v>
      </c>
      <c r="AG6699" s="831" t="s">
        <v>520</v>
      </c>
      <c r="AH6699" s="831" t="s">
        <v>521</v>
      </c>
      <c r="AI6699" s="831">
        <v>0</v>
      </c>
      <c r="AJ6699" s="835">
        <v>41394</v>
      </c>
      <c r="AK6699" s="831">
        <v>0</v>
      </c>
    </row>
    <row r="6700" spans="2:37">
      <c r="B6700" s="834" t="str">
        <f t="shared" si="287"/>
        <v>|||</v>
      </c>
      <c r="H6700" s="835">
        <f t="shared" si="288"/>
        <v>31</v>
      </c>
      <c r="AF6700" s="831" t="s">
        <v>7359</v>
      </c>
      <c r="AG6700" s="831" t="s">
        <v>520</v>
      </c>
      <c r="AH6700" s="831" t="s">
        <v>660</v>
      </c>
      <c r="AI6700" s="831">
        <v>0</v>
      </c>
      <c r="AJ6700" s="835">
        <v>41394</v>
      </c>
      <c r="AK6700" s="831">
        <v>0</v>
      </c>
    </row>
    <row r="6701" spans="2:37">
      <c r="B6701" s="834" t="str">
        <f t="shared" si="287"/>
        <v>|||</v>
      </c>
      <c r="H6701" s="835">
        <f t="shared" si="288"/>
        <v>31</v>
      </c>
      <c r="AF6701" s="831" t="s">
        <v>7360</v>
      </c>
      <c r="AG6701" s="831" t="s">
        <v>520</v>
      </c>
      <c r="AH6701" s="831" t="s">
        <v>661</v>
      </c>
      <c r="AI6701" s="831">
        <v>0</v>
      </c>
      <c r="AJ6701" s="835">
        <v>41394</v>
      </c>
      <c r="AK6701" s="831">
        <v>0</v>
      </c>
    </row>
    <row r="6702" spans="2:37">
      <c r="B6702" s="834" t="str">
        <f t="shared" si="287"/>
        <v>|||</v>
      </c>
      <c r="H6702" s="835">
        <f t="shared" si="288"/>
        <v>31</v>
      </c>
      <c r="AF6702" s="831" t="s">
        <v>7361</v>
      </c>
      <c r="AG6702" s="831" t="s">
        <v>520</v>
      </c>
      <c r="AH6702" s="831" t="s">
        <v>662</v>
      </c>
      <c r="AI6702" s="831">
        <v>0</v>
      </c>
      <c r="AJ6702" s="835">
        <v>41394</v>
      </c>
      <c r="AK6702" s="831">
        <v>0</v>
      </c>
    </row>
    <row r="6703" spans="2:37">
      <c r="B6703" s="834" t="str">
        <f t="shared" si="287"/>
        <v>|||</v>
      </c>
      <c r="H6703" s="835">
        <f t="shared" si="288"/>
        <v>31</v>
      </c>
      <c r="AF6703" s="831" t="s">
        <v>7362</v>
      </c>
      <c r="AG6703" s="831" t="s">
        <v>520</v>
      </c>
      <c r="AH6703" s="831" t="s">
        <v>291</v>
      </c>
      <c r="AI6703" s="831">
        <v>0</v>
      </c>
      <c r="AJ6703" s="835">
        <v>41425</v>
      </c>
      <c r="AK6703" s="831">
        <v>7625820</v>
      </c>
    </row>
    <row r="6704" spans="2:37">
      <c r="B6704" s="834" t="str">
        <f t="shared" si="287"/>
        <v>|||</v>
      </c>
      <c r="H6704" s="835">
        <f t="shared" si="288"/>
        <v>31</v>
      </c>
      <c r="AF6704" s="831" t="s">
        <v>7363</v>
      </c>
      <c r="AG6704" s="831" t="s">
        <v>520</v>
      </c>
      <c r="AH6704" s="831" t="s">
        <v>519</v>
      </c>
      <c r="AI6704" s="831">
        <v>0</v>
      </c>
      <c r="AJ6704" s="835">
        <v>41425</v>
      </c>
      <c r="AK6704" s="831">
        <v>279142090</v>
      </c>
    </row>
    <row r="6705" spans="2:37">
      <c r="B6705" s="834" t="str">
        <f t="shared" si="287"/>
        <v>|||</v>
      </c>
      <c r="H6705" s="835">
        <f t="shared" si="288"/>
        <v>31</v>
      </c>
      <c r="AF6705" s="831" t="s">
        <v>7364</v>
      </c>
      <c r="AG6705" s="831" t="s">
        <v>520</v>
      </c>
      <c r="AH6705" s="831" t="s">
        <v>94</v>
      </c>
      <c r="AI6705" s="831">
        <v>0</v>
      </c>
      <c r="AJ6705" s="835">
        <v>41425</v>
      </c>
      <c r="AK6705" s="831">
        <v>23506720</v>
      </c>
    </row>
    <row r="6706" spans="2:37">
      <c r="B6706" s="834" t="str">
        <f t="shared" si="287"/>
        <v>|||</v>
      </c>
      <c r="H6706" s="835">
        <f t="shared" si="288"/>
        <v>31</v>
      </c>
      <c r="AF6706" s="831" t="s">
        <v>7365</v>
      </c>
      <c r="AG6706" s="831" t="s">
        <v>520</v>
      </c>
      <c r="AH6706" s="831" t="s">
        <v>85</v>
      </c>
      <c r="AI6706" s="831">
        <v>0</v>
      </c>
      <c r="AJ6706" s="835">
        <v>41425</v>
      </c>
      <c r="AK6706" s="831">
        <v>51535690</v>
      </c>
    </row>
    <row r="6707" spans="2:37">
      <c r="B6707" s="834" t="str">
        <f t="shared" si="287"/>
        <v>|||</v>
      </c>
      <c r="H6707" s="835">
        <f t="shared" si="288"/>
        <v>31</v>
      </c>
      <c r="AF6707" s="831" t="s">
        <v>7366</v>
      </c>
      <c r="AG6707" s="831" t="s">
        <v>520</v>
      </c>
      <c r="AH6707" s="831" t="s">
        <v>90</v>
      </c>
      <c r="AI6707" s="831">
        <v>0</v>
      </c>
      <c r="AJ6707" s="835">
        <v>41425</v>
      </c>
      <c r="AK6707" s="831">
        <v>238650900</v>
      </c>
    </row>
    <row r="6708" spans="2:37">
      <c r="B6708" s="834" t="str">
        <f t="shared" si="287"/>
        <v>|||</v>
      </c>
      <c r="H6708" s="835">
        <f t="shared" si="288"/>
        <v>31</v>
      </c>
      <c r="AF6708" s="831" t="s">
        <v>7367</v>
      </c>
      <c r="AG6708" s="831" t="s">
        <v>520</v>
      </c>
      <c r="AH6708" s="831" t="s">
        <v>117</v>
      </c>
      <c r="AI6708" s="831">
        <v>0</v>
      </c>
      <c r="AJ6708" s="835">
        <v>41425</v>
      </c>
      <c r="AK6708" s="831">
        <v>6045610</v>
      </c>
    </row>
    <row r="6709" spans="2:37">
      <c r="B6709" s="834" t="str">
        <f t="shared" si="287"/>
        <v>|||</v>
      </c>
      <c r="H6709" s="835">
        <f t="shared" si="288"/>
        <v>31</v>
      </c>
      <c r="AF6709" s="831" t="s">
        <v>7368</v>
      </c>
      <c r="AG6709" s="831" t="s">
        <v>520</v>
      </c>
      <c r="AH6709" s="831" t="s">
        <v>525</v>
      </c>
      <c r="AI6709" s="831">
        <v>0</v>
      </c>
      <c r="AJ6709" s="835">
        <v>41425</v>
      </c>
      <c r="AK6709" s="831">
        <v>0</v>
      </c>
    </row>
    <row r="6710" spans="2:37">
      <c r="B6710" s="834" t="str">
        <f t="shared" si="287"/>
        <v>|||</v>
      </c>
      <c r="H6710" s="835">
        <f t="shared" si="288"/>
        <v>31</v>
      </c>
      <c r="AF6710" s="831" t="s">
        <v>7369</v>
      </c>
      <c r="AG6710" s="831" t="s">
        <v>520</v>
      </c>
      <c r="AH6710" s="831" t="s">
        <v>522</v>
      </c>
      <c r="AI6710" s="831">
        <v>0</v>
      </c>
      <c r="AJ6710" s="835">
        <v>41425</v>
      </c>
      <c r="AK6710" s="831">
        <v>0</v>
      </c>
    </row>
    <row r="6711" spans="2:37">
      <c r="B6711" s="834" t="str">
        <f t="shared" si="287"/>
        <v>|||</v>
      </c>
      <c r="H6711" s="835">
        <f t="shared" si="288"/>
        <v>31</v>
      </c>
      <c r="AF6711" s="831" t="s">
        <v>7370</v>
      </c>
      <c r="AG6711" s="831" t="s">
        <v>520</v>
      </c>
      <c r="AH6711" s="831" t="s">
        <v>523</v>
      </c>
      <c r="AI6711" s="831">
        <v>0</v>
      </c>
      <c r="AJ6711" s="835">
        <v>41425</v>
      </c>
      <c r="AK6711" s="831">
        <v>0</v>
      </c>
    </row>
    <row r="6712" spans="2:37">
      <c r="B6712" s="834" t="str">
        <f t="shared" si="287"/>
        <v>|||</v>
      </c>
      <c r="H6712" s="835">
        <f t="shared" si="288"/>
        <v>31</v>
      </c>
      <c r="AF6712" s="831" t="s">
        <v>7371</v>
      </c>
      <c r="AG6712" s="831" t="s">
        <v>520</v>
      </c>
      <c r="AH6712" s="831" t="s">
        <v>524</v>
      </c>
      <c r="AI6712" s="831">
        <v>0</v>
      </c>
      <c r="AJ6712" s="835">
        <v>41425</v>
      </c>
      <c r="AK6712" s="831">
        <v>0</v>
      </c>
    </row>
    <row r="6713" spans="2:37">
      <c r="B6713" s="834" t="str">
        <f t="shared" si="287"/>
        <v>|||</v>
      </c>
      <c r="H6713" s="835">
        <f t="shared" si="288"/>
        <v>31</v>
      </c>
      <c r="AF6713" s="831" t="s">
        <v>7372</v>
      </c>
      <c r="AG6713" s="831" t="s">
        <v>520</v>
      </c>
      <c r="AH6713" s="831" t="s">
        <v>521</v>
      </c>
      <c r="AI6713" s="831">
        <v>0</v>
      </c>
      <c r="AJ6713" s="835">
        <v>41425</v>
      </c>
      <c r="AK6713" s="831">
        <v>0</v>
      </c>
    </row>
    <row r="6714" spans="2:37">
      <c r="B6714" s="834" t="str">
        <f t="shared" si="287"/>
        <v>|||</v>
      </c>
      <c r="H6714" s="835">
        <f t="shared" si="288"/>
        <v>31</v>
      </c>
      <c r="AF6714" s="831" t="s">
        <v>7373</v>
      </c>
      <c r="AG6714" s="831" t="s">
        <v>520</v>
      </c>
      <c r="AH6714" s="831" t="s">
        <v>660</v>
      </c>
      <c r="AI6714" s="831">
        <v>0</v>
      </c>
      <c r="AJ6714" s="835">
        <v>41425</v>
      </c>
      <c r="AK6714" s="831">
        <v>0</v>
      </c>
    </row>
    <row r="6715" spans="2:37">
      <c r="B6715" s="834" t="str">
        <f t="shared" si="287"/>
        <v>|||</v>
      </c>
      <c r="H6715" s="835">
        <f t="shared" si="288"/>
        <v>31</v>
      </c>
      <c r="AF6715" s="831" t="s">
        <v>7374</v>
      </c>
      <c r="AG6715" s="831" t="s">
        <v>520</v>
      </c>
      <c r="AH6715" s="831" t="s">
        <v>661</v>
      </c>
      <c r="AI6715" s="831">
        <v>0</v>
      </c>
      <c r="AJ6715" s="835">
        <v>41425</v>
      </c>
      <c r="AK6715" s="831">
        <v>0</v>
      </c>
    </row>
    <row r="6716" spans="2:37">
      <c r="B6716" s="834" t="str">
        <f t="shared" si="287"/>
        <v>|||</v>
      </c>
      <c r="H6716" s="835">
        <f t="shared" si="288"/>
        <v>31</v>
      </c>
      <c r="AF6716" s="831" t="s">
        <v>7375</v>
      </c>
      <c r="AG6716" s="831" t="s">
        <v>520</v>
      </c>
      <c r="AH6716" s="831" t="s">
        <v>662</v>
      </c>
      <c r="AI6716" s="831">
        <v>0</v>
      </c>
      <c r="AJ6716" s="835">
        <v>41425</v>
      </c>
      <c r="AK6716" s="831">
        <v>0</v>
      </c>
    </row>
    <row r="6717" spans="2:37">
      <c r="B6717" s="834" t="str">
        <f t="shared" si="287"/>
        <v>|||</v>
      </c>
      <c r="H6717" s="835">
        <f t="shared" si="288"/>
        <v>31</v>
      </c>
      <c r="AF6717" s="831" t="s">
        <v>7376</v>
      </c>
      <c r="AG6717" s="831" t="s">
        <v>520</v>
      </c>
      <c r="AH6717" s="831" t="s">
        <v>291</v>
      </c>
      <c r="AI6717" s="831">
        <v>0</v>
      </c>
      <c r="AJ6717" s="835">
        <v>41455</v>
      </c>
      <c r="AK6717" s="831">
        <v>8532430</v>
      </c>
    </row>
    <row r="6718" spans="2:37">
      <c r="B6718" s="834" t="str">
        <f t="shared" si="287"/>
        <v>|||</v>
      </c>
      <c r="H6718" s="835">
        <f t="shared" si="288"/>
        <v>31</v>
      </c>
      <c r="AF6718" s="831" t="s">
        <v>7377</v>
      </c>
      <c r="AG6718" s="831" t="s">
        <v>520</v>
      </c>
      <c r="AH6718" s="831" t="s">
        <v>519</v>
      </c>
      <c r="AI6718" s="831">
        <v>0</v>
      </c>
      <c r="AJ6718" s="835">
        <v>41455</v>
      </c>
      <c r="AK6718" s="831">
        <v>284173710</v>
      </c>
    </row>
    <row r="6719" spans="2:37">
      <c r="B6719" s="834" t="str">
        <f t="shared" si="287"/>
        <v>|||</v>
      </c>
      <c r="H6719" s="835">
        <f t="shared" si="288"/>
        <v>31</v>
      </c>
      <c r="AF6719" s="831" t="s">
        <v>7378</v>
      </c>
      <c r="AG6719" s="831" t="s">
        <v>520</v>
      </c>
      <c r="AH6719" s="831" t="s">
        <v>94</v>
      </c>
      <c r="AI6719" s="831">
        <v>0</v>
      </c>
      <c r="AJ6719" s="835">
        <v>41455</v>
      </c>
      <c r="AK6719" s="831">
        <v>60905740</v>
      </c>
    </row>
    <row r="6720" spans="2:37">
      <c r="B6720" s="834" t="str">
        <f t="shared" si="287"/>
        <v>|||</v>
      </c>
      <c r="H6720" s="835">
        <f t="shared" si="288"/>
        <v>31</v>
      </c>
      <c r="AF6720" s="831" t="s">
        <v>7379</v>
      </c>
      <c r="AG6720" s="831" t="s">
        <v>520</v>
      </c>
      <c r="AH6720" s="831" t="s">
        <v>85</v>
      </c>
      <c r="AI6720" s="831">
        <v>0</v>
      </c>
      <c r="AJ6720" s="835">
        <v>41455</v>
      </c>
      <c r="AK6720" s="831">
        <v>54175590</v>
      </c>
    </row>
    <row r="6721" spans="2:37">
      <c r="B6721" s="834" t="str">
        <f t="shared" si="287"/>
        <v>|||</v>
      </c>
      <c r="H6721" s="835">
        <f t="shared" si="288"/>
        <v>31</v>
      </c>
      <c r="AF6721" s="831" t="s">
        <v>7380</v>
      </c>
      <c r="AG6721" s="831" t="s">
        <v>520</v>
      </c>
      <c r="AH6721" s="831" t="s">
        <v>90</v>
      </c>
      <c r="AI6721" s="831">
        <v>0</v>
      </c>
      <c r="AJ6721" s="835">
        <v>41455</v>
      </c>
      <c r="AK6721" s="831">
        <v>283697850</v>
      </c>
    </row>
    <row r="6722" spans="2:37">
      <c r="B6722" s="834" t="str">
        <f t="shared" si="287"/>
        <v>|||</v>
      </c>
      <c r="H6722" s="835">
        <f t="shared" si="288"/>
        <v>31</v>
      </c>
      <c r="AF6722" s="831" t="s">
        <v>7381</v>
      </c>
      <c r="AG6722" s="831" t="s">
        <v>520</v>
      </c>
      <c r="AH6722" s="831" t="s">
        <v>117</v>
      </c>
      <c r="AI6722" s="831">
        <v>0</v>
      </c>
      <c r="AJ6722" s="835">
        <v>41455</v>
      </c>
      <c r="AK6722" s="831">
        <v>5206260</v>
      </c>
    </row>
    <row r="6723" spans="2:37">
      <c r="B6723" s="834" t="str">
        <f t="shared" ref="B6723:B6786" si="289">C6723&amp;"|"&amp;D6723&amp;"|"&amp;E6723&amp;"|"&amp;F6723</f>
        <v>|||</v>
      </c>
      <c r="H6723" s="835">
        <f t="shared" si="288"/>
        <v>31</v>
      </c>
      <c r="AF6723" s="831" t="s">
        <v>7382</v>
      </c>
      <c r="AG6723" s="831" t="s">
        <v>520</v>
      </c>
      <c r="AH6723" s="831" t="s">
        <v>525</v>
      </c>
      <c r="AI6723" s="831">
        <v>0</v>
      </c>
      <c r="AJ6723" s="835">
        <v>41455</v>
      </c>
      <c r="AK6723" s="831">
        <v>0</v>
      </c>
    </row>
    <row r="6724" spans="2:37">
      <c r="B6724" s="834" t="str">
        <f t="shared" si="289"/>
        <v>|||</v>
      </c>
      <c r="H6724" s="835">
        <f t="shared" ref="H6724:H6787" si="290">EOMONTH(L6724,0)</f>
        <v>31</v>
      </c>
      <c r="AF6724" s="831" t="s">
        <v>7383</v>
      </c>
      <c r="AG6724" s="831" t="s">
        <v>520</v>
      </c>
      <c r="AH6724" s="831" t="s">
        <v>522</v>
      </c>
      <c r="AI6724" s="831">
        <v>0</v>
      </c>
      <c r="AJ6724" s="835">
        <v>41455</v>
      </c>
      <c r="AK6724" s="831">
        <v>0</v>
      </c>
    </row>
    <row r="6725" spans="2:37">
      <c r="B6725" s="834" t="str">
        <f t="shared" si="289"/>
        <v>|||</v>
      </c>
      <c r="H6725" s="835">
        <f t="shared" si="290"/>
        <v>31</v>
      </c>
      <c r="AF6725" s="831" t="s">
        <v>7384</v>
      </c>
      <c r="AG6725" s="831" t="s">
        <v>520</v>
      </c>
      <c r="AH6725" s="831" t="s">
        <v>523</v>
      </c>
      <c r="AI6725" s="831">
        <v>0</v>
      </c>
      <c r="AJ6725" s="835">
        <v>41455</v>
      </c>
      <c r="AK6725" s="831">
        <v>0</v>
      </c>
    </row>
    <row r="6726" spans="2:37">
      <c r="B6726" s="834" t="str">
        <f t="shared" si="289"/>
        <v>|||</v>
      </c>
      <c r="H6726" s="835">
        <f t="shared" si="290"/>
        <v>31</v>
      </c>
      <c r="AF6726" s="831" t="s">
        <v>7385</v>
      </c>
      <c r="AG6726" s="831" t="s">
        <v>520</v>
      </c>
      <c r="AH6726" s="831" t="s">
        <v>524</v>
      </c>
      <c r="AI6726" s="831">
        <v>0</v>
      </c>
      <c r="AJ6726" s="835">
        <v>41455</v>
      </c>
      <c r="AK6726" s="831">
        <v>0</v>
      </c>
    </row>
    <row r="6727" spans="2:37">
      <c r="B6727" s="834" t="str">
        <f t="shared" si="289"/>
        <v>|||</v>
      </c>
      <c r="H6727" s="835">
        <f t="shared" si="290"/>
        <v>31</v>
      </c>
      <c r="AF6727" s="831" t="s">
        <v>7386</v>
      </c>
      <c r="AG6727" s="831" t="s">
        <v>520</v>
      </c>
      <c r="AH6727" s="831" t="s">
        <v>521</v>
      </c>
      <c r="AI6727" s="831">
        <v>0</v>
      </c>
      <c r="AJ6727" s="835">
        <v>41455</v>
      </c>
      <c r="AK6727" s="831">
        <v>0</v>
      </c>
    </row>
    <row r="6728" spans="2:37">
      <c r="B6728" s="834" t="str">
        <f t="shared" si="289"/>
        <v>|||</v>
      </c>
      <c r="H6728" s="835">
        <f t="shared" si="290"/>
        <v>31</v>
      </c>
      <c r="AF6728" s="831" t="s">
        <v>7387</v>
      </c>
      <c r="AG6728" s="831" t="s">
        <v>520</v>
      </c>
      <c r="AH6728" s="831" t="s">
        <v>660</v>
      </c>
      <c r="AI6728" s="831">
        <v>0</v>
      </c>
      <c r="AJ6728" s="835">
        <v>41455</v>
      </c>
      <c r="AK6728" s="831">
        <v>0</v>
      </c>
    </row>
    <row r="6729" spans="2:37">
      <c r="B6729" s="834" t="str">
        <f t="shared" si="289"/>
        <v>|||</v>
      </c>
      <c r="H6729" s="835">
        <f t="shared" si="290"/>
        <v>31</v>
      </c>
      <c r="AF6729" s="831" t="s">
        <v>7388</v>
      </c>
      <c r="AG6729" s="831" t="s">
        <v>520</v>
      </c>
      <c r="AH6729" s="831" t="s">
        <v>661</v>
      </c>
      <c r="AI6729" s="831">
        <v>0</v>
      </c>
      <c r="AJ6729" s="835">
        <v>41455</v>
      </c>
      <c r="AK6729" s="831">
        <v>0</v>
      </c>
    </row>
    <row r="6730" spans="2:37">
      <c r="B6730" s="834" t="str">
        <f t="shared" si="289"/>
        <v>|||</v>
      </c>
      <c r="H6730" s="835">
        <f t="shared" si="290"/>
        <v>31</v>
      </c>
      <c r="AF6730" s="831" t="s">
        <v>7389</v>
      </c>
      <c r="AG6730" s="831" t="s">
        <v>520</v>
      </c>
      <c r="AH6730" s="831" t="s">
        <v>662</v>
      </c>
      <c r="AI6730" s="831">
        <v>0</v>
      </c>
      <c r="AJ6730" s="835">
        <v>41455</v>
      </c>
      <c r="AK6730" s="831">
        <v>0</v>
      </c>
    </row>
    <row r="6731" spans="2:37">
      <c r="B6731" s="834" t="str">
        <f t="shared" si="289"/>
        <v>|||</v>
      </c>
      <c r="H6731" s="835">
        <f t="shared" si="290"/>
        <v>31</v>
      </c>
      <c r="AF6731" s="831" t="s">
        <v>7390</v>
      </c>
      <c r="AG6731" s="831" t="s">
        <v>520</v>
      </c>
      <c r="AH6731" s="831" t="s">
        <v>291</v>
      </c>
      <c r="AI6731" s="831">
        <v>0</v>
      </c>
      <c r="AJ6731" s="835">
        <v>41486</v>
      </c>
      <c r="AK6731" s="831">
        <v>9975720</v>
      </c>
    </row>
    <row r="6732" spans="2:37">
      <c r="B6732" s="834" t="str">
        <f t="shared" si="289"/>
        <v>|||</v>
      </c>
      <c r="H6732" s="835">
        <f t="shared" si="290"/>
        <v>31</v>
      </c>
      <c r="AF6732" s="831" t="s">
        <v>7391</v>
      </c>
      <c r="AG6732" s="831" t="s">
        <v>520</v>
      </c>
      <c r="AH6732" s="831" t="s">
        <v>519</v>
      </c>
      <c r="AI6732" s="831">
        <v>0</v>
      </c>
      <c r="AJ6732" s="835">
        <v>41486</v>
      </c>
      <c r="AK6732" s="831">
        <v>293623750</v>
      </c>
    </row>
    <row r="6733" spans="2:37">
      <c r="B6733" s="834" t="str">
        <f t="shared" si="289"/>
        <v>|||</v>
      </c>
      <c r="H6733" s="835">
        <f t="shared" si="290"/>
        <v>31</v>
      </c>
      <c r="AF6733" s="831" t="s">
        <v>7392</v>
      </c>
      <c r="AG6733" s="831" t="s">
        <v>520</v>
      </c>
      <c r="AH6733" s="831" t="s">
        <v>94</v>
      </c>
      <c r="AI6733" s="831">
        <v>0</v>
      </c>
      <c r="AJ6733" s="835">
        <v>41486</v>
      </c>
      <c r="AK6733" s="831">
        <v>55540550</v>
      </c>
    </row>
    <row r="6734" spans="2:37">
      <c r="B6734" s="834" t="str">
        <f t="shared" si="289"/>
        <v>|||</v>
      </c>
      <c r="H6734" s="835">
        <f t="shared" si="290"/>
        <v>31</v>
      </c>
      <c r="AF6734" s="831" t="s">
        <v>7393</v>
      </c>
      <c r="AG6734" s="831" t="s">
        <v>520</v>
      </c>
      <c r="AH6734" s="831" t="s">
        <v>85</v>
      </c>
      <c r="AI6734" s="831">
        <v>0</v>
      </c>
      <c r="AJ6734" s="835">
        <v>41486</v>
      </c>
      <c r="AK6734" s="831">
        <v>56776400</v>
      </c>
    </row>
    <row r="6735" spans="2:37">
      <c r="B6735" s="834" t="str">
        <f t="shared" si="289"/>
        <v>|||</v>
      </c>
      <c r="H6735" s="835">
        <f t="shared" si="290"/>
        <v>31</v>
      </c>
      <c r="AF6735" s="831" t="s">
        <v>7394</v>
      </c>
      <c r="AG6735" s="831" t="s">
        <v>520</v>
      </c>
      <c r="AH6735" s="831" t="s">
        <v>90</v>
      </c>
      <c r="AI6735" s="831">
        <v>0</v>
      </c>
      <c r="AJ6735" s="835">
        <v>41486</v>
      </c>
      <c r="AK6735" s="831">
        <v>302525850</v>
      </c>
    </row>
    <row r="6736" spans="2:37">
      <c r="B6736" s="834" t="str">
        <f t="shared" si="289"/>
        <v>|||</v>
      </c>
      <c r="H6736" s="835">
        <f t="shared" si="290"/>
        <v>31</v>
      </c>
      <c r="AF6736" s="831" t="s">
        <v>7395</v>
      </c>
      <c r="AG6736" s="831" t="s">
        <v>520</v>
      </c>
      <c r="AH6736" s="831" t="s">
        <v>117</v>
      </c>
      <c r="AI6736" s="831">
        <v>0</v>
      </c>
      <c r="AJ6736" s="835">
        <v>41486</v>
      </c>
      <c r="AK6736" s="831">
        <v>5682620</v>
      </c>
    </row>
    <row r="6737" spans="2:37">
      <c r="B6737" s="834" t="str">
        <f t="shared" si="289"/>
        <v>|||</v>
      </c>
      <c r="H6737" s="835">
        <f t="shared" si="290"/>
        <v>31</v>
      </c>
      <c r="AF6737" s="831" t="s">
        <v>7396</v>
      </c>
      <c r="AG6737" s="831" t="s">
        <v>520</v>
      </c>
      <c r="AH6737" s="831" t="s">
        <v>525</v>
      </c>
      <c r="AI6737" s="831">
        <v>0</v>
      </c>
      <c r="AJ6737" s="835">
        <v>41486</v>
      </c>
      <c r="AK6737" s="831">
        <v>0</v>
      </c>
    </row>
    <row r="6738" spans="2:37">
      <c r="B6738" s="834" t="str">
        <f t="shared" si="289"/>
        <v>|||</v>
      </c>
      <c r="H6738" s="835">
        <f t="shared" si="290"/>
        <v>31</v>
      </c>
      <c r="AF6738" s="831" t="s">
        <v>7397</v>
      </c>
      <c r="AG6738" s="831" t="s">
        <v>520</v>
      </c>
      <c r="AH6738" s="831" t="s">
        <v>522</v>
      </c>
      <c r="AI6738" s="831">
        <v>0</v>
      </c>
      <c r="AJ6738" s="835">
        <v>41486</v>
      </c>
      <c r="AK6738" s="831">
        <v>0</v>
      </c>
    </row>
    <row r="6739" spans="2:37">
      <c r="B6739" s="834" t="str">
        <f t="shared" si="289"/>
        <v>|||</v>
      </c>
      <c r="H6739" s="835">
        <f t="shared" si="290"/>
        <v>31</v>
      </c>
      <c r="AF6739" s="831" t="s">
        <v>7398</v>
      </c>
      <c r="AG6739" s="831" t="s">
        <v>520</v>
      </c>
      <c r="AH6739" s="831" t="s">
        <v>523</v>
      </c>
      <c r="AI6739" s="831">
        <v>0</v>
      </c>
      <c r="AJ6739" s="835">
        <v>41486</v>
      </c>
      <c r="AK6739" s="831">
        <v>0</v>
      </c>
    </row>
    <row r="6740" spans="2:37">
      <c r="B6740" s="834" t="str">
        <f t="shared" si="289"/>
        <v>|||</v>
      </c>
      <c r="H6740" s="835">
        <f t="shared" si="290"/>
        <v>31</v>
      </c>
      <c r="AF6740" s="831" t="s">
        <v>7399</v>
      </c>
      <c r="AG6740" s="831" t="s">
        <v>520</v>
      </c>
      <c r="AH6740" s="831" t="s">
        <v>524</v>
      </c>
      <c r="AI6740" s="831">
        <v>0</v>
      </c>
      <c r="AJ6740" s="835">
        <v>41486</v>
      </c>
      <c r="AK6740" s="831">
        <v>0</v>
      </c>
    </row>
    <row r="6741" spans="2:37">
      <c r="B6741" s="834" t="str">
        <f t="shared" si="289"/>
        <v>|||</v>
      </c>
      <c r="H6741" s="835">
        <f t="shared" si="290"/>
        <v>31</v>
      </c>
      <c r="AF6741" s="831" t="s">
        <v>7400</v>
      </c>
      <c r="AG6741" s="831" t="s">
        <v>520</v>
      </c>
      <c r="AH6741" s="831" t="s">
        <v>521</v>
      </c>
      <c r="AI6741" s="831">
        <v>0</v>
      </c>
      <c r="AJ6741" s="835">
        <v>41486</v>
      </c>
      <c r="AK6741" s="831">
        <v>0</v>
      </c>
    </row>
    <row r="6742" spans="2:37">
      <c r="B6742" s="834" t="str">
        <f t="shared" si="289"/>
        <v>|||</v>
      </c>
      <c r="H6742" s="835">
        <f t="shared" si="290"/>
        <v>31</v>
      </c>
      <c r="AF6742" s="831" t="s">
        <v>7401</v>
      </c>
      <c r="AG6742" s="831" t="s">
        <v>520</v>
      </c>
      <c r="AH6742" s="831" t="s">
        <v>660</v>
      </c>
      <c r="AI6742" s="831">
        <v>0</v>
      </c>
      <c r="AJ6742" s="835">
        <v>41486</v>
      </c>
      <c r="AK6742" s="831">
        <v>0</v>
      </c>
    </row>
    <row r="6743" spans="2:37">
      <c r="B6743" s="834" t="str">
        <f t="shared" si="289"/>
        <v>|||</v>
      </c>
      <c r="H6743" s="835">
        <f t="shared" si="290"/>
        <v>31</v>
      </c>
      <c r="AF6743" s="831" t="s">
        <v>7402</v>
      </c>
      <c r="AG6743" s="831" t="s">
        <v>520</v>
      </c>
      <c r="AH6743" s="831" t="s">
        <v>661</v>
      </c>
      <c r="AI6743" s="831">
        <v>0</v>
      </c>
      <c r="AJ6743" s="835">
        <v>41486</v>
      </c>
      <c r="AK6743" s="831">
        <v>0</v>
      </c>
    </row>
    <row r="6744" spans="2:37">
      <c r="B6744" s="834" t="str">
        <f t="shared" si="289"/>
        <v>|||</v>
      </c>
      <c r="H6744" s="835">
        <f t="shared" si="290"/>
        <v>31</v>
      </c>
      <c r="AF6744" s="831" t="s">
        <v>7403</v>
      </c>
      <c r="AG6744" s="831" t="s">
        <v>520</v>
      </c>
      <c r="AH6744" s="831" t="s">
        <v>662</v>
      </c>
      <c r="AI6744" s="831">
        <v>0</v>
      </c>
      <c r="AJ6744" s="835">
        <v>41486</v>
      </c>
      <c r="AK6744" s="831">
        <v>0</v>
      </c>
    </row>
    <row r="6745" spans="2:37">
      <c r="B6745" s="834" t="str">
        <f t="shared" si="289"/>
        <v>|||</v>
      </c>
      <c r="H6745" s="835">
        <f t="shared" si="290"/>
        <v>31</v>
      </c>
      <c r="AF6745" s="831" t="s">
        <v>7404</v>
      </c>
      <c r="AG6745" s="831" t="s">
        <v>520</v>
      </c>
      <c r="AH6745" s="831" t="s">
        <v>291</v>
      </c>
      <c r="AI6745" s="831">
        <v>0</v>
      </c>
      <c r="AJ6745" s="835">
        <v>41517</v>
      </c>
      <c r="AK6745" s="831">
        <v>9431260</v>
      </c>
    </row>
    <row r="6746" spans="2:37">
      <c r="B6746" s="834" t="str">
        <f t="shared" si="289"/>
        <v>|||</v>
      </c>
      <c r="H6746" s="835">
        <f t="shared" si="290"/>
        <v>31</v>
      </c>
      <c r="AF6746" s="831" t="s">
        <v>7405</v>
      </c>
      <c r="AG6746" s="831" t="s">
        <v>520</v>
      </c>
      <c r="AH6746" s="831" t="s">
        <v>519</v>
      </c>
      <c r="AI6746" s="831">
        <v>0</v>
      </c>
      <c r="AJ6746" s="835">
        <v>41517</v>
      </c>
      <c r="AK6746" s="831">
        <v>304777760</v>
      </c>
    </row>
    <row r="6747" spans="2:37">
      <c r="B6747" s="834" t="str">
        <f t="shared" si="289"/>
        <v>|||</v>
      </c>
      <c r="H6747" s="835">
        <f t="shared" si="290"/>
        <v>31</v>
      </c>
      <c r="AF6747" s="831" t="s">
        <v>7406</v>
      </c>
      <c r="AG6747" s="831" t="s">
        <v>520</v>
      </c>
      <c r="AH6747" s="831" t="s">
        <v>94</v>
      </c>
      <c r="AI6747" s="831">
        <v>0</v>
      </c>
      <c r="AJ6747" s="835">
        <v>41517</v>
      </c>
      <c r="AK6747" s="831">
        <v>35767180</v>
      </c>
    </row>
    <row r="6748" spans="2:37">
      <c r="B6748" s="834" t="str">
        <f t="shared" si="289"/>
        <v>|||</v>
      </c>
      <c r="H6748" s="835">
        <f t="shared" si="290"/>
        <v>31</v>
      </c>
      <c r="AF6748" s="831" t="s">
        <v>7407</v>
      </c>
      <c r="AG6748" s="831" t="s">
        <v>520</v>
      </c>
      <c r="AH6748" s="831" t="s">
        <v>85</v>
      </c>
      <c r="AI6748" s="831">
        <v>0</v>
      </c>
      <c r="AJ6748" s="835">
        <v>41517</v>
      </c>
      <c r="AK6748" s="831">
        <v>56294650</v>
      </c>
    </row>
    <row r="6749" spans="2:37">
      <c r="B6749" s="834" t="str">
        <f t="shared" si="289"/>
        <v>|||</v>
      </c>
      <c r="H6749" s="835">
        <f t="shared" si="290"/>
        <v>31</v>
      </c>
      <c r="AF6749" s="831" t="s">
        <v>7408</v>
      </c>
      <c r="AG6749" s="831" t="s">
        <v>520</v>
      </c>
      <c r="AH6749" s="831" t="s">
        <v>90</v>
      </c>
      <c r="AI6749" s="831">
        <v>0</v>
      </c>
      <c r="AJ6749" s="835">
        <v>41517</v>
      </c>
      <c r="AK6749" s="831">
        <v>299349690</v>
      </c>
    </row>
    <row r="6750" spans="2:37">
      <c r="B6750" s="834" t="str">
        <f t="shared" si="289"/>
        <v>|||</v>
      </c>
      <c r="H6750" s="835">
        <f t="shared" si="290"/>
        <v>31</v>
      </c>
      <c r="AF6750" s="831" t="s">
        <v>7409</v>
      </c>
      <c r="AG6750" s="831" t="s">
        <v>520</v>
      </c>
      <c r="AH6750" s="831" t="s">
        <v>117</v>
      </c>
      <c r="AI6750" s="831">
        <v>0</v>
      </c>
      <c r="AJ6750" s="835">
        <v>41517</v>
      </c>
      <c r="AK6750" s="831">
        <v>6626840</v>
      </c>
    </row>
    <row r="6751" spans="2:37">
      <c r="B6751" s="834" t="str">
        <f t="shared" si="289"/>
        <v>|||</v>
      </c>
      <c r="H6751" s="835">
        <f t="shared" si="290"/>
        <v>31</v>
      </c>
      <c r="AF6751" s="831" t="s">
        <v>7410</v>
      </c>
      <c r="AG6751" s="831" t="s">
        <v>520</v>
      </c>
      <c r="AH6751" s="831" t="s">
        <v>525</v>
      </c>
      <c r="AI6751" s="831">
        <v>0</v>
      </c>
      <c r="AJ6751" s="835">
        <v>41517</v>
      </c>
      <c r="AK6751" s="831">
        <v>0</v>
      </c>
    </row>
    <row r="6752" spans="2:37">
      <c r="B6752" s="834" t="str">
        <f t="shared" si="289"/>
        <v>|||</v>
      </c>
      <c r="H6752" s="835">
        <f t="shared" si="290"/>
        <v>31</v>
      </c>
      <c r="AF6752" s="831" t="s">
        <v>7411</v>
      </c>
      <c r="AG6752" s="831" t="s">
        <v>520</v>
      </c>
      <c r="AH6752" s="831" t="s">
        <v>522</v>
      </c>
      <c r="AI6752" s="831">
        <v>0</v>
      </c>
      <c r="AJ6752" s="835">
        <v>41517</v>
      </c>
      <c r="AK6752" s="831">
        <v>0</v>
      </c>
    </row>
    <row r="6753" spans="2:37">
      <c r="B6753" s="834" t="str">
        <f t="shared" si="289"/>
        <v>|||</v>
      </c>
      <c r="H6753" s="835">
        <f t="shared" si="290"/>
        <v>31</v>
      </c>
      <c r="AF6753" s="831" t="s">
        <v>7412</v>
      </c>
      <c r="AG6753" s="831" t="s">
        <v>520</v>
      </c>
      <c r="AH6753" s="831" t="s">
        <v>523</v>
      </c>
      <c r="AI6753" s="831">
        <v>0</v>
      </c>
      <c r="AJ6753" s="835">
        <v>41517</v>
      </c>
      <c r="AK6753" s="831">
        <v>0</v>
      </c>
    </row>
    <row r="6754" spans="2:37">
      <c r="B6754" s="834" t="str">
        <f t="shared" si="289"/>
        <v>|||</v>
      </c>
      <c r="H6754" s="835">
        <f t="shared" si="290"/>
        <v>31</v>
      </c>
      <c r="AF6754" s="831" t="s">
        <v>7413</v>
      </c>
      <c r="AG6754" s="831" t="s">
        <v>520</v>
      </c>
      <c r="AH6754" s="831" t="s">
        <v>524</v>
      </c>
      <c r="AI6754" s="831">
        <v>0</v>
      </c>
      <c r="AJ6754" s="835">
        <v>41517</v>
      </c>
      <c r="AK6754" s="831">
        <v>0</v>
      </c>
    </row>
    <row r="6755" spans="2:37">
      <c r="B6755" s="834" t="str">
        <f t="shared" si="289"/>
        <v>|||</v>
      </c>
      <c r="H6755" s="835">
        <f t="shared" si="290"/>
        <v>31</v>
      </c>
      <c r="AF6755" s="831" t="s">
        <v>7414</v>
      </c>
      <c r="AG6755" s="831" t="s">
        <v>520</v>
      </c>
      <c r="AH6755" s="831" t="s">
        <v>521</v>
      </c>
      <c r="AI6755" s="831">
        <v>0</v>
      </c>
      <c r="AJ6755" s="835">
        <v>41517</v>
      </c>
      <c r="AK6755" s="831">
        <v>0</v>
      </c>
    </row>
    <row r="6756" spans="2:37">
      <c r="B6756" s="834" t="str">
        <f t="shared" si="289"/>
        <v>|||</v>
      </c>
      <c r="H6756" s="835">
        <f t="shared" si="290"/>
        <v>31</v>
      </c>
      <c r="AF6756" s="831" t="s">
        <v>7415</v>
      </c>
      <c r="AG6756" s="831" t="s">
        <v>520</v>
      </c>
      <c r="AH6756" s="831" t="s">
        <v>660</v>
      </c>
      <c r="AI6756" s="831">
        <v>0</v>
      </c>
      <c r="AJ6756" s="835">
        <v>41517</v>
      </c>
      <c r="AK6756" s="831">
        <v>0</v>
      </c>
    </row>
    <row r="6757" spans="2:37">
      <c r="B6757" s="834" t="str">
        <f t="shared" si="289"/>
        <v>|||</v>
      </c>
      <c r="H6757" s="835">
        <f t="shared" si="290"/>
        <v>31</v>
      </c>
      <c r="AF6757" s="831" t="s">
        <v>7416</v>
      </c>
      <c r="AG6757" s="831" t="s">
        <v>520</v>
      </c>
      <c r="AH6757" s="831" t="s">
        <v>661</v>
      </c>
      <c r="AI6757" s="831">
        <v>0</v>
      </c>
      <c r="AJ6757" s="835">
        <v>41517</v>
      </c>
      <c r="AK6757" s="831">
        <v>0</v>
      </c>
    </row>
    <row r="6758" spans="2:37">
      <c r="B6758" s="834" t="str">
        <f t="shared" si="289"/>
        <v>|||</v>
      </c>
      <c r="H6758" s="835">
        <f t="shared" si="290"/>
        <v>31</v>
      </c>
      <c r="AF6758" s="831" t="s">
        <v>7417</v>
      </c>
      <c r="AG6758" s="831" t="s">
        <v>520</v>
      </c>
      <c r="AH6758" s="831" t="s">
        <v>662</v>
      </c>
      <c r="AI6758" s="831">
        <v>0</v>
      </c>
      <c r="AJ6758" s="835">
        <v>41517</v>
      </c>
      <c r="AK6758" s="831">
        <v>0</v>
      </c>
    </row>
    <row r="6759" spans="2:37">
      <c r="B6759" s="834" t="str">
        <f t="shared" si="289"/>
        <v>|||</v>
      </c>
      <c r="H6759" s="835">
        <f t="shared" si="290"/>
        <v>31</v>
      </c>
      <c r="AF6759" s="831" t="s">
        <v>7418</v>
      </c>
      <c r="AG6759" s="831" t="s">
        <v>520</v>
      </c>
      <c r="AH6759" s="831" t="s">
        <v>291</v>
      </c>
      <c r="AI6759" s="831">
        <v>0</v>
      </c>
      <c r="AJ6759" s="835">
        <v>41547</v>
      </c>
      <c r="AK6759" s="831">
        <v>11222620</v>
      </c>
    </row>
    <row r="6760" spans="2:37">
      <c r="B6760" s="834" t="str">
        <f t="shared" si="289"/>
        <v>|||</v>
      </c>
      <c r="H6760" s="835">
        <f t="shared" si="290"/>
        <v>31</v>
      </c>
      <c r="AF6760" s="831" t="s">
        <v>7419</v>
      </c>
      <c r="AG6760" s="831" t="s">
        <v>520</v>
      </c>
      <c r="AH6760" s="831" t="s">
        <v>519</v>
      </c>
      <c r="AI6760" s="831">
        <v>0</v>
      </c>
      <c r="AJ6760" s="835">
        <v>41547</v>
      </c>
      <c r="AK6760" s="831">
        <v>312296660</v>
      </c>
    </row>
    <row r="6761" spans="2:37">
      <c r="B6761" s="834" t="str">
        <f t="shared" si="289"/>
        <v>|||</v>
      </c>
      <c r="H6761" s="835">
        <f t="shared" si="290"/>
        <v>31</v>
      </c>
      <c r="AF6761" s="831" t="s">
        <v>7420</v>
      </c>
      <c r="AG6761" s="831" t="s">
        <v>520</v>
      </c>
      <c r="AH6761" s="831" t="s">
        <v>94</v>
      </c>
      <c r="AI6761" s="831">
        <v>0</v>
      </c>
      <c r="AJ6761" s="835">
        <v>41547</v>
      </c>
      <c r="AK6761" s="831">
        <v>50266220</v>
      </c>
    </row>
    <row r="6762" spans="2:37">
      <c r="B6762" s="834" t="str">
        <f t="shared" si="289"/>
        <v>|||</v>
      </c>
      <c r="H6762" s="835">
        <f t="shared" si="290"/>
        <v>31</v>
      </c>
      <c r="AF6762" s="831" t="s">
        <v>7421</v>
      </c>
      <c r="AG6762" s="831" t="s">
        <v>520</v>
      </c>
      <c r="AH6762" s="831" t="s">
        <v>85</v>
      </c>
      <c r="AI6762" s="831">
        <v>0</v>
      </c>
      <c r="AJ6762" s="835">
        <v>41547</v>
      </c>
      <c r="AK6762" s="831">
        <v>58146530</v>
      </c>
    </row>
    <row r="6763" spans="2:37">
      <c r="B6763" s="834" t="str">
        <f t="shared" si="289"/>
        <v>|||</v>
      </c>
      <c r="H6763" s="835">
        <f t="shared" si="290"/>
        <v>31</v>
      </c>
      <c r="AF6763" s="831" t="s">
        <v>7422</v>
      </c>
      <c r="AG6763" s="831" t="s">
        <v>520</v>
      </c>
      <c r="AH6763" s="831" t="s">
        <v>90</v>
      </c>
      <c r="AI6763" s="831">
        <v>0</v>
      </c>
      <c r="AJ6763" s="835">
        <v>41547</v>
      </c>
      <c r="AK6763" s="831">
        <v>324181770</v>
      </c>
    </row>
    <row r="6764" spans="2:37">
      <c r="B6764" s="834" t="str">
        <f t="shared" si="289"/>
        <v>|||</v>
      </c>
      <c r="H6764" s="835">
        <f t="shared" si="290"/>
        <v>31</v>
      </c>
      <c r="AF6764" s="831" t="s">
        <v>7423</v>
      </c>
      <c r="AG6764" s="831" t="s">
        <v>520</v>
      </c>
      <c r="AH6764" s="831" t="s">
        <v>117</v>
      </c>
      <c r="AI6764" s="831">
        <v>0</v>
      </c>
      <c r="AJ6764" s="835">
        <v>41547</v>
      </c>
      <c r="AK6764" s="831">
        <v>6985210</v>
      </c>
    </row>
    <row r="6765" spans="2:37">
      <c r="B6765" s="834" t="str">
        <f t="shared" si="289"/>
        <v>|||</v>
      </c>
      <c r="H6765" s="835">
        <f t="shared" si="290"/>
        <v>31</v>
      </c>
      <c r="AF6765" s="831" t="s">
        <v>7424</v>
      </c>
      <c r="AG6765" s="831" t="s">
        <v>520</v>
      </c>
      <c r="AH6765" s="831" t="s">
        <v>525</v>
      </c>
      <c r="AI6765" s="831">
        <v>0</v>
      </c>
      <c r="AJ6765" s="835">
        <v>41547</v>
      </c>
      <c r="AK6765" s="831">
        <v>0</v>
      </c>
    </row>
    <row r="6766" spans="2:37">
      <c r="B6766" s="834" t="str">
        <f t="shared" si="289"/>
        <v>|||</v>
      </c>
      <c r="H6766" s="835">
        <f t="shared" si="290"/>
        <v>31</v>
      </c>
      <c r="AF6766" s="831" t="s">
        <v>7425</v>
      </c>
      <c r="AG6766" s="831" t="s">
        <v>520</v>
      </c>
      <c r="AH6766" s="831" t="s">
        <v>522</v>
      </c>
      <c r="AI6766" s="831">
        <v>0</v>
      </c>
      <c r="AJ6766" s="835">
        <v>41547</v>
      </c>
      <c r="AK6766" s="831">
        <v>0</v>
      </c>
    </row>
    <row r="6767" spans="2:37">
      <c r="B6767" s="834" t="str">
        <f t="shared" si="289"/>
        <v>|||</v>
      </c>
      <c r="H6767" s="835">
        <f t="shared" si="290"/>
        <v>31</v>
      </c>
      <c r="AF6767" s="831" t="s">
        <v>7426</v>
      </c>
      <c r="AG6767" s="831" t="s">
        <v>520</v>
      </c>
      <c r="AH6767" s="831" t="s">
        <v>523</v>
      </c>
      <c r="AI6767" s="831">
        <v>0</v>
      </c>
      <c r="AJ6767" s="835">
        <v>41547</v>
      </c>
      <c r="AK6767" s="831">
        <v>0</v>
      </c>
    </row>
    <row r="6768" spans="2:37">
      <c r="B6768" s="834" t="str">
        <f t="shared" si="289"/>
        <v>|||</v>
      </c>
      <c r="H6768" s="835">
        <f t="shared" si="290"/>
        <v>31</v>
      </c>
      <c r="AF6768" s="831" t="s">
        <v>7427</v>
      </c>
      <c r="AG6768" s="831" t="s">
        <v>520</v>
      </c>
      <c r="AH6768" s="831" t="s">
        <v>524</v>
      </c>
      <c r="AI6768" s="831">
        <v>0</v>
      </c>
      <c r="AJ6768" s="835">
        <v>41547</v>
      </c>
      <c r="AK6768" s="831">
        <v>0</v>
      </c>
    </row>
    <row r="6769" spans="2:37">
      <c r="B6769" s="834" t="str">
        <f t="shared" si="289"/>
        <v>|||</v>
      </c>
      <c r="H6769" s="835">
        <f t="shared" si="290"/>
        <v>31</v>
      </c>
      <c r="AF6769" s="831" t="s">
        <v>7428</v>
      </c>
      <c r="AG6769" s="831" t="s">
        <v>520</v>
      </c>
      <c r="AH6769" s="831" t="s">
        <v>521</v>
      </c>
      <c r="AI6769" s="831">
        <v>0</v>
      </c>
      <c r="AJ6769" s="835">
        <v>41547</v>
      </c>
      <c r="AK6769" s="831">
        <v>0</v>
      </c>
    </row>
    <row r="6770" spans="2:37">
      <c r="B6770" s="834" t="str">
        <f t="shared" si="289"/>
        <v>|||</v>
      </c>
      <c r="H6770" s="835">
        <f t="shared" si="290"/>
        <v>31</v>
      </c>
      <c r="AF6770" s="831" t="s">
        <v>7429</v>
      </c>
      <c r="AG6770" s="831" t="s">
        <v>520</v>
      </c>
      <c r="AH6770" s="831" t="s">
        <v>660</v>
      </c>
      <c r="AI6770" s="831">
        <v>0</v>
      </c>
      <c r="AJ6770" s="835">
        <v>41547</v>
      </c>
      <c r="AK6770" s="831">
        <v>0</v>
      </c>
    </row>
    <row r="6771" spans="2:37">
      <c r="B6771" s="834" t="str">
        <f t="shared" si="289"/>
        <v>|||</v>
      </c>
      <c r="H6771" s="835">
        <f t="shared" si="290"/>
        <v>31</v>
      </c>
      <c r="AF6771" s="831" t="s">
        <v>7430</v>
      </c>
      <c r="AG6771" s="831" t="s">
        <v>520</v>
      </c>
      <c r="AH6771" s="831" t="s">
        <v>661</v>
      </c>
      <c r="AI6771" s="831">
        <v>0</v>
      </c>
      <c r="AJ6771" s="835">
        <v>41547</v>
      </c>
      <c r="AK6771" s="831">
        <v>0</v>
      </c>
    </row>
    <row r="6772" spans="2:37">
      <c r="B6772" s="834" t="str">
        <f t="shared" si="289"/>
        <v>|||</v>
      </c>
      <c r="H6772" s="835">
        <f t="shared" si="290"/>
        <v>31</v>
      </c>
      <c r="AF6772" s="831" t="s">
        <v>7431</v>
      </c>
      <c r="AG6772" s="831" t="s">
        <v>520</v>
      </c>
      <c r="AH6772" s="831" t="s">
        <v>662</v>
      </c>
      <c r="AI6772" s="831">
        <v>0</v>
      </c>
      <c r="AJ6772" s="835">
        <v>41547</v>
      </c>
      <c r="AK6772" s="831">
        <v>0</v>
      </c>
    </row>
    <row r="6773" spans="2:37">
      <c r="B6773" s="834" t="str">
        <f t="shared" si="289"/>
        <v>|||</v>
      </c>
      <c r="H6773" s="835">
        <f t="shared" si="290"/>
        <v>31</v>
      </c>
      <c r="AF6773" s="831" t="s">
        <v>7432</v>
      </c>
      <c r="AG6773" s="831" t="s">
        <v>520</v>
      </c>
      <c r="AH6773" s="831" t="s">
        <v>291</v>
      </c>
      <c r="AI6773" s="831">
        <v>0</v>
      </c>
      <c r="AJ6773" s="835">
        <v>41578</v>
      </c>
      <c r="AK6773" s="831">
        <v>15643870</v>
      </c>
    </row>
    <row r="6774" spans="2:37">
      <c r="B6774" s="834" t="str">
        <f t="shared" si="289"/>
        <v>|||</v>
      </c>
      <c r="H6774" s="835">
        <f t="shared" si="290"/>
        <v>31</v>
      </c>
      <c r="AF6774" s="831" t="s">
        <v>7433</v>
      </c>
      <c r="AG6774" s="831" t="s">
        <v>520</v>
      </c>
      <c r="AH6774" s="831" t="s">
        <v>519</v>
      </c>
      <c r="AI6774" s="831">
        <v>0</v>
      </c>
      <c r="AJ6774" s="835">
        <v>41578</v>
      </c>
      <c r="AK6774" s="831">
        <v>322106640</v>
      </c>
    </row>
    <row r="6775" spans="2:37">
      <c r="B6775" s="834" t="str">
        <f t="shared" si="289"/>
        <v>|||</v>
      </c>
      <c r="H6775" s="835">
        <f t="shared" si="290"/>
        <v>31</v>
      </c>
      <c r="AF6775" s="831" t="s">
        <v>7434</v>
      </c>
      <c r="AG6775" s="831" t="s">
        <v>520</v>
      </c>
      <c r="AH6775" s="831" t="s">
        <v>94</v>
      </c>
      <c r="AI6775" s="831">
        <v>0</v>
      </c>
      <c r="AJ6775" s="835">
        <v>41578</v>
      </c>
      <c r="AK6775" s="831">
        <v>62304650</v>
      </c>
    </row>
    <row r="6776" spans="2:37">
      <c r="B6776" s="834" t="str">
        <f t="shared" si="289"/>
        <v>|||</v>
      </c>
      <c r="H6776" s="835">
        <f t="shared" si="290"/>
        <v>31</v>
      </c>
      <c r="AF6776" s="831" t="s">
        <v>7435</v>
      </c>
      <c r="AG6776" s="831" t="s">
        <v>520</v>
      </c>
      <c r="AH6776" s="831" t="s">
        <v>85</v>
      </c>
      <c r="AI6776" s="831">
        <v>0</v>
      </c>
      <c r="AJ6776" s="835">
        <v>41578</v>
      </c>
      <c r="AK6776" s="831">
        <v>63663680</v>
      </c>
    </row>
    <row r="6777" spans="2:37">
      <c r="B6777" s="834" t="str">
        <f t="shared" si="289"/>
        <v>|||</v>
      </c>
      <c r="H6777" s="835">
        <f t="shared" si="290"/>
        <v>31</v>
      </c>
      <c r="AF6777" s="831" t="s">
        <v>7436</v>
      </c>
      <c r="AG6777" s="831" t="s">
        <v>520</v>
      </c>
      <c r="AH6777" s="831" t="s">
        <v>90</v>
      </c>
      <c r="AI6777" s="831">
        <v>0</v>
      </c>
      <c r="AJ6777" s="835">
        <v>41578</v>
      </c>
      <c r="AK6777" s="831">
        <v>334772520</v>
      </c>
    </row>
    <row r="6778" spans="2:37">
      <c r="B6778" s="834" t="str">
        <f t="shared" si="289"/>
        <v>|||</v>
      </c>
      <c r="H6778" s="835">
        <f t="shared" si="290"/>
        <v>31</v>
      </c>
      <c r="AF6778" s="831" t="s">
        <v>7437</v>
      </c>
      <c r="AG6778" s="831" t="s">
        <v>520</v>
      </c>
      <c r="AH6778" s="831" t="s">
        <v>117</v>
      </c>
      <c r="AI6778" s="831">
        <v>0</v>
      </c>
      <c r="AJ6778" s="835">
        <v>41578</v>
      </c>
      <c r="AK6778" s="831">
        <v>10663970</v>
      </c>
    </row>
    <row r="6779" spans="2:37">
      <c r="B6779" s="834" t="str">
        <f t="shared" si="289"/>
        <v>|||</v>
      </c>
      <c r="H6779" s="835">
        <f t="shared" si="290"/>
        <v>31</v>
      </c>
      <c r="AF6779" s="831" t="s">
        <v>7438</v>
      </c>
      <c r="AG6779" s="831" t="s">
        <v>520</v>
      </c>
      <c r="AH6779" s="831" t="s">
        <v>525</v>
      </c>
      <c r="AI6779" s="831">
        <v>0</v>
      </c>
      <c r="AJ6779" s="835">
        <v>41578</v>
      </c>
      <c r="AK6779" s="831">
        <v>0</v>
      </c>
    </row>
    <row r="6780" spans="2:37">
      <c r="B6780" s="834" t="str">
        <f t="shared" si="289"/>
        <v>|||</v>
      </c>
      <c r="H6780" s="835">
        <f t="shared" si="290"/>
        <v>31</v>
      </c>
      <c r="AF6780" s="831" t="s">
        <v>7439</v>
      </c>
      <c r="AG6780" s="831" t="s">
        <v>520</v>
      </c>
      <c r="AH6780" s="831" t="s">
        <v>522</v>
      </c>
      <c r="AI6780" s="831">
        <v>0</v>
      </c>
      <c r="AJ6780" s="835">
        <v>41578</v>
      </c>
      <c r="AK6780" s="831">
        <v>0</v>
      </c>
    </row>
    <row r="6781" spans="2:37">
      <c r="B6781" s="834" t="str">
        <f t="shared" si="289"/>
        <v>|||</v>
      </c>
      <c r="H6781" s="835">
        <f t="shared" si="290"/>
        <v>31</v>
      </c>
      <c r="AF6781" s="831" t="s">
        <v>7440</v>
      </c>
      <c r="AG6781" s="831" t="s">
        <v>520</v>
      </c>
      <c r="AH6781" s="831" t="s">
        <v>523</v>
      </c>
      <c r="AI6781" s="831">
        <v>0</v>
      </c>
      <c r="AJ6781" s="835">
        <v>41578</v>
      </c>
      <c r="AK6781" s="831">
        <v>0</v>
      </c>
    </row>
    <row r="6782" spans="2:37">
      <c r="B6782" s="834" t="str">
        <f t="shared" si="289"/>
        <v>|||</v>
      </c>
      <c r="H6782" s="835">
        <f t="shared" si="290"/>
        <v>31</v>
      </c>
      <c r="AF6782" s="831" t="s">
        <v>7441</v>
      </c>
      <c r="AG6782" s="831" t="s">
        <v>520</v>
      </c>
      <c r="AH6782" s="831" t="s">
        <v>524</v>
      </c>
      <c r="AI6782" s="831">
        <v>0</v>
      </c>
      <c r="AJ6782" s="835">
        <v>41578</v>
      </c>
      <c r="AK6782" s="831">
        <v>0</v>
      </c>
    </row>
    <row r="6783" spans="2:37">
      <c r="B6783" s="834" t="str">
        <f t="shared" si="289"/>
        <v>|||</v>
      </c>
      <c r="H6783" s="835">
        <f t="shared" si="290"/>
        <v>31</v>
      </c>
      <c r="AF6783" s="831" t="s">
        <v>7442</v>
      </c>
      <c r="AG6783" s="831" t="s">
        <v>520</v>
      </c>
      <c r="AH6783" s="831" t="s">
        <v>521</v>
      </c>
      <c r="AI6783" s="831">
        <v>0</v>
      </c>
      <c r="AJ6783" s="835">
        <v>41578</v>
      </c>
      <c r="AK6783" s="831">
        <v>0</v>
      </c>
    </row>
    <row r="6784" spans="2:37">
      <c r="B6784" s="834" t="str">
        <f t="shared" si="289"/>
        <v>|||</v>
      </c>
      <c r="H6784" s="835">
        <f t="shared" si="290"/>
        <v>31</v>
      </c>
      <c r="AF6784" s="831" t="s">
        <v>7443</v>
      </c>
      <c r="AG6784" s="831" t="s">
        <v>520</v>
      </c>
      <c r="AH6784" s="831" t="s">
        <v>660</v>
      </c>
      <c r="AI6784" s="831">
        <v>0</v>
      </c>
      <c r="AJ6784" s="835">
        <v>41578</v>
      </c>
      <c r="AK6784" s="831">
        <v>0</v>
      </c>
    </row>
    <row r="6785" spans="2:37">
      <c r="B6785" s="834" t="str">
        <f t="shared" si="289"/>
        <v>|||</v>
      </c>
      <c r="H6785" s="835">
        <f t="shared" si="290"/>
        <v>31</v>
      </c>
      <c r="AF6785" s="831" t="s">
        <v>7444</v>
      </c>
      <c r="AG6785" s="831" t="s">
        <v>520</v>
      </c>
      <c r="AH6785" s="831" t="s">
        <v>661</v>
      </c>
      <c r="AI6785" s="831">
        <v>0</v>
      </c>
      <c r="AJ6785" s="835">
        <v>41578</v>
      </c>
      <c r="AK6785" s="831">
        <v>0</v>
      </c>
    </row>
    <row r="6786" spans="2:37">
      <c r="B6786" s="834" t="str">
        <f t="shared" si="289"/>
        <v>|||</v>
      </c>
      <c r="H6786" s="835">
        <f t="shared" si="290"/>
        <v>31</v>
      </c>
      <c r="AF6786" s="831" t="s">
        <v>7445</v>
      </c>
      <c r="AG6786" s="831" t="s">
        <v>520</v>
      </c>
      <c r="AH6786" s="831" t="s">
        <v>662</v>
      </c>
      <c r="AI6786" s="831">
        <v>0</v>
      </c>
      <c r="AJ6786" s="835">
        <v>41578</v>
      </c>
      <c r="AK6786" s="831">
        <v>0</v>
      </c>
    </row>
    <row r="6787" spans="2:37">
      <c r="B6787" s="834" t="str">
        <f t="shared" ref="B6787:B6850" si="291">C6787&amp;"|"&amp;D6787&amp;"|"&amp;E6787&amp;"|"&amp;F6787</f>
        <v>|||</v>
      </c>
      <c r="H6787" s="835">
        <f t="shared" si="290"/>
        <v>31</v>
      </c>
      <c r="AF6787" s="831" t="s">
        <v>7446</v>
      </c>
      <c r="AG6787" s="831" t="s">
        <v>520</v>
      </c>
      <c r="AH6787" s="831" t="s">
        <v>291</v>
      </c>
      <c r="AI6787" s="831">
        <v>0</v>
      </c>
      <c r="AJ6787" s="835">
        <v>41608</v>
      </c>
      <c r="AK6787" s="831">
        <v>14389140</v>
      </c>
    </row>
    <row r="6788" spans="2:37">
      <c r="B6788" s="834" t="str">
        <f t="shared" si="291"/>
        <v>|||</v>
      </c>
      <c r="H6788" s="835">
        <f t="shared" ref="H6788:H6851" si="292">EOMONTH(L6788,0)</f>
        <v>31</v>
      </c>
      <c r="AF6788" s="831" t="s">
        <v>7447</v>
      </c>
      <c r="AG6788" s="831" t="s">
        <v>520</v>
      </c>
      <c r="AH6788" s="831" t="s">
        <v>519</v>
      </c>
      <c r="AI6788" s="831">
        <v>0</v>
      </c>
      <c r="AJ6788" s="835">
        <v>41608</v>
      </c>
      <c r="AK6788" s="831">
        <v>331957760</v>
      </c>
    </row>
    <row r="6789" spans="2:37">
      <c r="B6789" s="834" t="str">
        <f t="shared" si="291"/>
        <v>|||</v>
      </c>
      <c r="H6789" s="835">
        <f t="shared" si="292"/>
        <v>31</v>
      </c>
      <c r="AF6789" s="831" t="s">
        <v>7448</v>
      </c>
      <c r="AG6789" s="831" t="s">
        <v>520</v>
      </c>
      <c r="AH6789" s="831" t="s">
        <v>94</v>
      </c>
      <c r="AI6789" s="831">
        <v>0</v>
      </c>
      <c r="AJ6789" s="835">
        <v>41608</v>
      </c>
      <c r="AK6789" s="831">
        <v>67705490</v>
      </c>
    </row>
    <row r="6790" spans="2:37">
      <c r="B6790" s="834" t="str">
        <f t="shared" si="291"/>
        <v>|||</v>
      </c>
      <c r="H6790" s="835">
        <f t="shared" si="292"/>
        <v>31</v>
      </c>
      <c r="AF6790" s="831" t="s">
        <v>7449</v>
      </c>
      <c r="AG6790" s="831" t="s">
        <v>520</v>
      </c>
      <c r="AH6790" s="831" t="s">
        <v>85</v>
      </c>
      <c r="AI6790" s="831">
        <v>0</v>
      </c>
      <c r="AJ6790" s="835">
        <v>41608</v>
      </c>
      <c r="AK6790" s="831">
        <v>70314360</v>
      </c>
    </row>
    <row r="6791" spans="2:37">
      <c r="B6791" s="834" t="str">
        <f t="shared" si="291"/>
        <v>|||</v>
      </c>
      <c r="H6791" s="835">
        <f t="shared" si="292"/>
        <v>31</v>
      </c>
      <c r="AF6791" s="831" t="s">
        <v>7450</v>
      </c>
      <c r="AG6791" s="831" t="s">
        <v>520</v>
      </c>
      <c r="AH6791" s="831" t="s">
        <v>90</v>
      </c>
      <c r="AI6791" s="831">
        <v>0</v>
      </c>
      <c r="AJ6791" s="835">
        <v>41608</v>
      </c>
      <c r="AK6791" s="831">
        <v>343271470</v>
      </c>
    </row>
    <row r="6792" spans="2:37">
      <c r="B6792" s="834" t="str">
        <f t="shared" si="291"/>
        <v>|||</v>
      </c>
      <c r="H6792" s="835">
        <f t="shared" si="292"/>
        <v>31</v>
      </c>
      <c r="AF6792" s="831" t="s">
        <v>7451</v>
      </c>
      <c r="AG6792" s="831" t="s">
        <v>520</v>
      </c>
      <c r="AH6792" s="831" t="s">
        <v>117</v>
      </c>
      <c r="AI6792" s="831">
        <v>0</v>
      </c>
      <c r="AJ6792" s="835">
        <v>41608</v>
      </c>
      <c r="AK6792" s="831">
        <v>8318790</v>
      </c>
    </row>
    <row r="6793" spans="2:37">
      <c r="B6793" s="834" t="str">
        <f t="shared" si="291"/>
        <v>|||</v>
      </c>
      <c r="H6793" s="835">
        <f t="shared" si="292"/>
        <v>31</v>
      </c>
      <c r="AF6793" s="831" t="s">
        <v>7452</v>
      </c>
      <c r="AG6793" s="831" t="s">
        <v>520</v>
      </c>
      <c r="AH6793" s="831" t="s">
        <v>525</v>
      </c>
      <c r="AI6793" s="831">
        <v>0</v>
      </c>
      <c r="AJ6793" s="835">
        <v>41608</v>
      </c>
      <c r="AK6793" s="831">
        <v>0</v>
      </c>
    </row>
    <row r="6794" spans="2:37">
      <c r="B6794" s="834" t="str">
        <f t="shared" si="291"/>
        <v>|||</v>
      </c>
      <c r="H6794" s="835">
        <f t="shared" si="292"/>
        <v>31</v>
      </c>
      <c r="AF6794" s="831" t="s">
        <v>7453</v>
      </c>
      <c r="AG6794" s="831" t="s">
        <v>520</v>
      </c>
      <c r="AH6794" s="831" t="s">
        <v>522</v>
      </c>
      <c r="AI6794" s="831">
        <v>0</v>
      </c>
      <c r="AJ6794" s="835">
        <v>41608</v>
      </c>
      <c r="AK6794" s="831">
        <v>0</v>
      </c>
    </row>
    <row r="6795" spans="2:37">
      <c r="B6795" s="834" t="str">
        <f t="shared" si="291"/>
        <v>|||</v>
      </c>
      <c r="H6795" s="835">
        <f t="shared" si="292"/>
        <v>31</v>
      </c>
      <c r="AF6795" s="831" t="s">
        <v>7454</v>
      </c>
      <c r="AG6795" s="831" t="s">
        <v>520</v>
      </c>
      <c r="AH6795" s="831" t="s">
        <v>523</v>
      </c>
      <c r="AI6795" s="831">
        <v>0</v>
      </c>
      <c r="AJ6795" s="835">
        <v>41608</v>
      </c>
      <c r="AK6795" s="831">
        <v>0</v>
      </c>
    </row>
    <row r="6796" spans="2:37">
      <c r="B6796" s="834" t="str">
        <f t="shared" si="291"/>
        <v>|||</v>
      </c>
      <c r="H6796" s="835">
        <f t="shared" si="292"/>
        <v>31</v>
      </c>
      <c r="AF6796" s="831" t="s">
        <v>7455</v>
      </c>
      <c r="AG6796" s="831" t="s">
        <v>520</v>
      </c>
      <c r="AH6796" s="831" t="s">
        <v>524</v>
      </c>
      <c r="AI6796" s="831">
        <v>0</v>
      </c>
      <c r="AJ6796" s="835">
        <v>41608</v>
      </c>
      <c r="AK6796" s="831">
        <v>0</v>
      </c>
    </row>
    <row r="6797" spans="2:37">
      <c r="B6797" s="834" t="str">
        <f t="shared" si="291"/>
        <v>|||</v>
      </c>
      <c r="H6797" s="835">
        <f t="shared" si="292"/>
        <v>31</v>
      </c>
      <c r="AF6797" s="831" t="s">
        <v>7456</v>
      </c>
      <c r="AG6797" s="831" t="s">
        <v>520</v>
      </c>
      <c r="AH6797" s="831" t="s">
        <v>521</v>
      </c>
      <c r="AI6797" s="831">
        <v>0</v>
      </c>
      <c r="AJ6797" s="835">
        <v>41608</v>
      </c>
      <c r="AK6797" s="831">
        <v>0</v>
      </c>
    </row>
    <row r="6798" spans="2:37">
      <c r="B6798" s="834" t="str">
        <f t="shared" si="291"/>
        <v>|||</v>
      </c>
      <c r="H6798" s="835">
        <f t="shared" si="292"/>
        <v>31</v>
      </c>
      <c r="AF6798" s="831" t="s">
        <v>7457</v>
      </c>
      <c r="AG6798" s="831" t="s">
        <v>520</v>
      </c>
      <c r="AH6798" s="831" t="s">
        <v>660</v>
      </c>
      <c r="AI6798" s="831">
        <v>0</v>
      </c>
      <c r="AJ6798" s="835">
        <v>41608</v>
      </c>
      <c r="AK6798" s="831">
        <v>0</v>
      </c>
    </row>
    <row r="6799" spans="2:37">
      <c r="B6799" s="834" t="str">
        <f t="shared" si="291"/>
        <v>|||</v>
      </c>
      <c r="H6799" s="835">
        <f t="shared" si="292"/>
        <v>31</v>
      </c>
      <c r="AF6799" s="831" t="s">
        <v>7458</v>
      </c>
      <c r="AG6799" s="831" t="s">
        <v>520</v>
      </c>
      <c r="AH6799" s="831" t="s">
        <v>661</v>
      </c>
      <c r="AI6799" s="831">
        <v>0</v>
      </c>
      <c r="AJ6799" s="835">
        <v>41608</v>
      </c>
      <c r="AK6799" s="831">
        <v>0</v>
      </c>
    </row>
    <row r="6800" spans="2:37">
      <c r="B6800" s="834" t="str">
        <f t="shared" si="291"/>
        <v>|||</v>
      </c>
      <c r="H6800" s="835">
        <f t="shared" si="292"/>
        <v>31</v>
      </c>
      <c r="AF6800" s="831" t="s">
        <v>7459</v>
      </c>
      <c r="AG6800" s="831" t="s">
        <v>520</v>
      </c>
      <c r="AH6800" s="831" t="s">
        <v>662</v>
      </c>
      <c r="AI6800" s="831">
        <v>0</v>
      </c>
      <c r="AJ6800" s="835">
        <v>41608</v>
      </c>
      <c r="AK6800" s="831">
        <v>0</v>
      </c>
    </row>
    <row r="6801" spans="2:37">
      <c r="B6801" s="834" t="str">
        <f t="shared" si="291"/>
        <v>|||</v>
      </c>
      <c r="H6801" s="835">
        <f t="shared" si="292"/>
        <v>31</v>
      </c>
      <c r="AF6801" s="831" t="s">
        <v>7460</v>
      </c>
      <c r="AG6801" s="831" t="s">
        <v>520</v>
      </c>
      <c r="AH6801" s="831" t="s">
        <v>291</v>
      </c>
      <c r="AI6801" s="831">
        <v>0</v>
      </c>
      <c r="AJ6801" s="835">
        <v>41639</v>
      </c>
      <c r="AK6801" s="831">
        <v>9947920</v>
      </c>
    </row>
    <row r="6802" spans="2:37">
      <c r="B6802" s="834" t="str">
        <f t="shared" si="291"/>
        <v>|||</v>
      </c>
      <c r="H6802" s="835">
        <f t="shared" si="292"/>
        <v>31</v>
      </c>
      <c r="AF6802" s="831" t="s">
        <v>7461</v>
      </c>
      <c r="AG6802" s="831" t="s">
        <v>520</v>
      </c>
      <c r="AH6802" s="831" t="s">
        <v>519</v>
      </c>
      <c r="AI6802" s="831">
        <v>0</v>
      </c>
      <c r="AJ6802" s="835">
        <v>41639</v>
      </c>
      <c r="AK6802" s="831">
        <v>350213030</v>
      </c>
    </row>
    <row r="6803" spans="2:37">
      <c r="B6803" s="834" t="str">
        <f t="shared" si="291"/>
        <v>|||</v>
      </c>
      <c r="H6803" s="835">
        <f t="shared" si="292"/>
        <v>31</v>
      </c>
      <c r="AF6803" s="831" t="s">
        <v>7462</v>
      </c>
      <c r="AG6803" s="831" t="s">
        <v>520</v>
      </c>
      <c r="AH6803" s="831" t="s">
        <v>94</v>
      </c>
      <c r="AI6803" s="831">
        <v>0</v>
      </c>
      <c r="AJ6803" s="835">
        <v>41639</v>
      </c>
      <c r="AK6803" s="831">
        <v>75635700</v>
      </c>
    </row>
    <row r="6804" spans="2:37">
      <c r="B6804" s="834" t="str">
        <f t="shared" si="291"/>
        <v>|||</v>
      </c>
      <c r="H6804" s="835">
        <f t="shared" si="292"/>
        <v>31</v>
      </c>
      <c r="AF6804" s="831" t="s">
        <v>7463</v>
      </c>
      <c r="AG6804" s="831" t="s">
        <v>520</v>
      </c>
      <c r="AH6804" s="831" t="s">
        <v>85</v>
      </c>
      <c r="AI6804" s="831">
        <v>0</v>
      </c>
      <c r="AJ6804" s="835">
        <v>41639</v>
      </c>
      <c r="AK6804" s="831">
        <v>72812930</v>
      </c>
    </row>
    <row r="6805" spans="2:37">
      <c r="B6805" s="834" t="str">
        <f t="shared" si="291"/>
        <v>|||</v>
      </c>
      <c r="H6805" s="835">
        <f t="shared" si="292"/>
        <v>31</v>
      </c>
      <c r="AF6805" s="831" t="s">
        <v>7464</v>
      </c>
      <c r="AG6805" s="831" t="s">
        <v>520</v>
      </c>
      <c r="AH6805" s="831" t="s">
        <v>90</v>
      </c>
      <c r="AI6805" s="831">
        <v>0</v>
      </c>
      <c r="AJ6805" s="835">
        <v>41639</v>
      </c>
      <c r="AK6805" s="831">
        <v>347950760</v>
      </c>
    </row>
    <row r="6806" spans="2:37">
      <c r="B6806" s="834" t="str">
        <f t="shared" si="291"/>
        <v>|||</v>
      </c>
      <c r="H6806" s="835">
        <f t="shared" si="292"/>
        <v>31</v>
      </c>
      <c r="AF6806" s="831" t="s">
        <v>7465</v>
      </c>
      <c r="AG6806" s="831" t="s">
        <v>520</v>
      </c>
      <c r="AH6806" s="831" t="s">
        <v>117</v>
      </c>
      <c r="AI6806" s="831">
        <v>0</v>
      </c>
      <c r="AJ6806" s="835">
        <v>41639</v>
      </c>
      <c r="AK6806" s="831">
        <v>7562990</v>
      </c>
    </row>
    <row r="6807" spans="2:37">
      <c r="B6807" s="834" t="str">
        <f t="shared" si="291"/>
        <v>|||</v>
      </c>
      <c r="H6807" s="835">
        <f t="shared" si="292"/>
        <v>31</v>
      </c>
      <c r="AF6807" s="831" t="s">
        <v>7466</v>
      </c>
      <c r="AG6807" s="831" t="s">
        <v>520</v>
      </c>
      <c r="AH6807" s="831" t="s">
        <v>525</v>
      </c>
      <c r="AI6807" s="831">
        <v>0</v>
      </c>
      <c r="AJ6807" s="835">
        <v>41639</v>
      </c>
      <c r="AK6807" s="831">
        <v>0</v>
      </c>
    </row>
    <row r="6808" spans="2:37">
      <c r="B6808" s="834" t="str">
        <f t="shared" si="291"/>
        <v>|||</v>
      </c>
      <c r="H6808" s="835">
        <f t="shared" si="292"/>
        <v>31</v>
      </c>
      <c r="AF6808" s="831" t="s">
        <v>7467</v>
      </c>
      <c r="AG6808" s="831" t="s">
        <v>520</v>
      </c>
      <c r="AH6808" s="831" t="s">
        <v>522</v>
      </c>
      <c r="AI6808" s="831">
        <v>0</v>
      </c>
      <c r="AJ6808" s="835">
        <v>41639</v>
      </c>
      <c r="AK6808" s="831">
        <v>0</v>
      </c>
    </row>
    <row r="6809" spans="2:37">
      <c r="B6809" s="834" t="str">
        <f t="shared" si="291"/>
        <v>|||</v>
      </c>
      <c r="H6809" s="835">
        <f t="shared" si="292"/>
        <v>31</v>
      </c>
      <c r="AF6809" s="831" t="s">
        <v>7468</v>
      </c>
      <c r="AG6809" s="831" t="s">
        <v>520</v>
      </c>
      <c r="AH6809" s="831" t="s">
        <v>523</v>
      </c>
      <c r="AI6809" s="831">
        <v>0</v>
      </c>
      <c r="AJ6809" s="835">
        <v>41639</v>
      </c>
      <c r="AK6809" s="831">
        <v>0</v>
      </c>
    </row>
    <row r="6810" spans="2:37">
      <c r="B6810" s="834" t="str">
        <f t="shared" si="291"/>
        <v>|||</v>
      </c>
      <c r="H6810" s="835">
        <f t="shared" si="292"/>
        <v>31</v>
      </c>
      <c r="AF6810" s="831" t="s">
        <v>7469</v>
      </c>
      <c r="AG6810" s="831" t="s">
        <v>520</v>
      </c>
      <c r="AH6810" s="831" t="s">
        <v>524</v>
      </c>
      <c r="AI6810" s="831">
        <v>0</v>
      </c>
      <c r="AJ6810" s="835">
        <v>41639</v>
      </c>
      <c r="AK6810" s="831">
        <v>0</v>
      </c>
    </row>
    <row r="6811" spans="2:37">
      <c r="B6811" s="834" t="str">
        <f t="shared" si="291"/>
        <v>|||</v>
      </c>
      <c r="H6811" s="835">
        <f t="shared" si="292"/>
        <v>31</v>
      </c>
      <c r="AF6811" s="831" t="s">
        <v>7470</v>
      </c>
      <c r="AG6811" s="831" t="s">
        <v>520</v>
      </c>
      <c r="AH6811" s="831" t="s">
        <v>521</v>
      </c>
      <c r="AI6811" s="831">
        <v>0</v>
      </c>
      <c r="AJ6811" s="835">
        <v>41639</v>
      </c>
      <c r="AK6811" s="831">
        <v>0</v>
      </c>
    </row>
    <row r="6812" spans="2:37">
      <c r="B6812" s="834" t="str">
        <f t="shared" si="291"/>
        <v>|||</v>
      </c>
      <c r="H6812" s="835">
        <f t="shared" si="292"/>
        <v>31</v>
      </c>
      <c r="AF6812" s="831" t="s">
        <v>7471</v>
      </c>
      <c r="AG6812" s="831" t="s">
        <v>520</v>
      </c>
      <c r="AH6812" s="831" t="s">
        <v>660</v>
      </c>
      <c r="AI6812" s="831">
        <v>0</v>
      </c>
      <c r="AJ6812" s="835">
        <v>41639</v>
      </c>
      <c r="AK6812" s="831">
        <v>0</v>
      </c>
    </row>
    <row r="6813" spans="2:37">
      <c r="B6813" s="834" t="str">
        <f t="shared" si="291"/>
        <v>|||</v>
      </c>
      <c r="H6813" s="835">
        <f t="shared" si="292"/>
        <v>31</v>
      </c>
      <c r="AF6813" s="831" t="s">
        <v>7472</v>
      </c>
      <c r="AG6813" s="831" t="s">
        <v>520</v>
      </c>
      <c r="AH6813" s="831" t="s">
        <v>661</v>
      </c>
      <c r="AI6813" s="831">
        <v>0</v>
      </c>
      <c r="AJ6813" s="835">
        <v>41639</v>
      </c>
      <c r="AK6813" s="831">
        <v>0</v>
      </c>
    </row>
    <row r="6814" spans="2:37">
      <c r="B6814" s="834" t="str">
        <f t="shared" si="291"/>
        <v>|||</v>
      </c>
      <c r="H6814" s="835">
        <f t="shared" si="292"/>
        <v>31</v>
      </c>
      <c r="AF6814" s="831" t="s">
        <v>7473</v>
      </c>
      <c r="AG6814" s="831" t="s">
        <v>520</v>
      </c>
      <c r="AH6814" s="831" t="s">
        <v>662</v>
      </c>
      <c r="AI6814" s="831">
        <v>0</v>
      </c>
      <c r="AJ6814" s="835">
        <v>41639</v>
      </c>
      <c r="AK6814" s="831">
        <v>0</v>
      </c>
    </row>
    <row r="6815" spans="2:37">
      <c r="B6815" s="834" t="str">
        <f t="shared" si="291"/>
        <v>|||</v>
      </c>
      <c r="H6815" s="835">
        <f t="shared" si="292"/>
        <v>31</v>
      </c>
      <c r="AF6815" s="831" t="s">
        <v>7474</v>
      </c>
      <c r="AG6815" s="831" t="s">
        <v>131</v>
      </c>
      <c r="AH6815" s="831" t="s">
        <v>138</v>
      </c>
      <c r="AI6815" s="831">
        <v>0</v>
      </c>
      <c r="AJ6815" s="835">
        <v>41305</v>
      </c>
      <c r="AK6815" s="831">
        <v>8677429</v>
      </c>
    </row>
    <row r="6816" spans="2:37">
      <c r="B6816" s="834" t="str">
        <f t="shared" si="291"/>
        <v>|||</v>
      </c>
      <c r="H6816" s="835">
        <f t="shared" si="292"/>
        <v>31</v>
      </c>
      <c r="AF6816" s="831" t="s">
        <v>7475</v>
      </c>
      <c r="AG6816" s="831" t="s">
        <v>131</v>
      </c>
      <c r="AH6816" s="831" t="s">
        <v>141</v>
      </c>
      <c r="AI6816" s="831">
        <v>0</v>
      </c>
      <c r="AJ6816" s="835">
        <v>41305</v>
      </c>
      <c r="AK6816" s="831">
        <v>798954</v>
      </c>
    </row>
    <row r="6817" spans="2:37">
      <c r="B6817" s="834" t="str">
        <f t="shared" si="291"/>
        <v>|||</v>
      </c>
      <c r="H6817" s="835">
        <f t="shared" si="292"/>
        <v>31</v>
      </c>
      <c r="AF6817" s="831" t="s">
        <v>7476</v>
      </c>
      <c r="AG6817" s="831" t="s">
        <v>131</v>
      </c>
      <c r="AH6817" s="831" t="s">
        <v>146</v>
      </c>
      <c r="AI6817" s="831">
        <v>0</v>
      </c>
      <c r="AJ6817" s="835">
        <v>41305</v>
      </c>
      <c r="AK6817" s="831">
        <v>-1248359</v>
      </c>
    </row>
    <row r="6818" spans="2:37">
      <c r="B6818" s="834" t="str">
        <f t="shared" si="291"/>
        <v>|||</v>
      </c>
      <c r="H6818" s="835">
        <f t="shared" si="292"/>
        <v>31</v>
      </c>
      <c r="AF6818" s="831" t="s">
        <v>7477</v>
      </c>
      <c r="AG6818" s="831" t="s">
        <v>131</v>
      </c>
      <c r="AH6818" s="831" t="s">
        <v>150</v>
      </c>
      <c r="AI6818" s="831">
        <v>0</v>
      </c>
      <c r="AJ6818" s="835">
        <v>41305</v>
      </c>
      <c r="AK6818" s="831">
        <v>-1084881</v>
      </c>
    </row>
    <row r="6819" spans="2:37">
      <c r="B6819" s="834" t="str">
        <f t="shared" si="291"/>
        <v>|||</v>
      </c>
      <c r="H6819" s="835">
        <f t="shared" si="292"/>
        <v>31</v>
      </c>
      <c r="AF6819" s="831" t="s">
        <v>7478</v>
      </c>
      <c r="AG6819" s="831" t="s">
        <v>131</v>
      </c>
      <c r="AH6819" s="831" t="s">
        <v>77</v>
      </c>
      <c r="AI6819" s="831">
        <v>0</v>
      </c>
      <c r="AJ6819" s="835">
        <v>41305</v>
      </c>
      <c r="AK6819" s="831">
        <v>-288004</v>
      </c>
    </row>
    <row r="6820" spans="2:37">
      <c r="B6820" s="834" t="str">
        <f t="shared" si="291"/>
        <v>|||</v>
      </c>
      <c r="H6820" s="835">
        <f t="shared" si="292"/>
        <v>31</v>
      </c>
      <c r="AF6820" s="831" t="s">
        <v>7479</v>
      </c>
      <c r="AG6820" s="831" t="s">
        <v>131</v>
      </c>
      <c r="AH6820" s="831" t="s">
        <v>167</v>
      </c>
      <c r="AI6820" s="831">
        <v>0</v>
      </c>
      <c r="AJ6820" s="835">
        <v>41305</v>
      </c>
      <c r="AK6820" s="831">
        <v>0</v>
      </c>
    </row>
    <row r="6821" spans="2:37">
      <c r="B6821" s="834" t="str">
        <f t="shared" si="291"/>
        <v>|||</v>
      </c>
      <c r="H6821" s="835">
        <f t="shared" si="292"/>
        <v>31</v>
      </c>
      <c r="AF6821" s="831" t="s">
        <v>7480</v>
      </c>
      <c r="AG6821" s="831" t="s">
        <v>131</v>
      </c>
      <c r="AH6821" s="831" t="s">
        <v>169</v>
      </c>
      <c r="AI6821" s="831">
        <v>0</v>
      </c>
      <c r="AJ6821" s="835">
        <v>41305</v>
      </c>
      <c r="AK6821" s="831">
        <v>111369</v>
      </c>
    </row>
    <row r="6822" spans="2:37">
      <c r="B6822" s="834" t="str">
        <f t="shared" si="291"/>
        <v>|||</v>
      </c>
      <c r="H6822" s="835">
        <f t="shared" si="292"/>
        <v>31</v>
      </c>
      <c r="AF6822" s="831" t="s">
        <v>7481</v>
      </c>
      <c r="AG6822" s="831" t="s">
        <v>131</v>
      </c>
      <c r="AH6822" s="831" t="s">
        <v>172</v>
      </c>
      <c r="AI6822" s="831">
        <v>0</v>
      </c>
      <c r="AJ6822" s="835">
        <v>41305</v>
      </c>
      <c r="AK6822" s="831">
        <v>64292</v>
      </c>
    </row>
    <row r="6823" spans="2:37">
      <c r="B6823" s="834" t="str">
        <f t="shared" si="291"/>
        <v>|||</v>
      </c>
      <c r="H6823" s="835">
        <f t="shared" si="292"/>
        <v>31</v>
      </c>
      <c r="AF6823" s="831" t="s">
        <v>7482</v>
      </c>
      <c r="AG6823" s="831" t="s">
        <v>131</v>
      </c>
      <c r="AH6823" s="831" t="s">
        <v>175</v>
      </c>
      <c r="AI6823" s="831">
        <v>0</v>
      </c>
      <c r="AJ6823" s="835">
        <v>41305</v>
      </c>
      <c r="AK6823" s="831">
        <v>385984</v>
      </c>
    </row>
    <row r="6824" spans="2:37">
      <c r="B6824" s="834" t="str">
        <f t="shared" si="291"/>
        <v>|||</v>
      </c>
      <c r="H6824" s="835">
        <f t="shared" si="292"/>
        <v>31</v>
      </c>
      <c r="AF6824" s="831" t="s">
        <v>7483</v>
      </c>
      <c r="AG6824" s="831" t="s">
        <v>131</v>
      </c>
      <c r="AH6824" s="831" t="s">
        <v>185</v>
      </c>
      <c r="AI6824" s="831">
        <v>0</v>
      </c>
      <c r="AJ6824" s="835">
        <v>41305</v>
      </c>
      <c r="AK6824" s="831">
        <v>-2528045</v>
      </c>
    </row>
    <row r="6825" spans="2:37">
      <c r="B6825" s="834" t="str">
        <f t="shared" si="291"/>
        <v>|||</v>
      </c>
      <c r="H6825" s="835">
        <f t="shared" si="292"/>
        <v>31</v>
      </c>
      <c r="AF6825" s="831" t="s">
        <v>7484</v>
      </c>
      <c r="AG6825" s="831" t="s">
        <v>131</v>
      </c>
      <c r="AH6825" s="831" t="s">
        <v>188</v>
      </c>
      <c r="AI6825" s="831">
        <v>0</v>
      </c>
      <c r="AJ6825" s="835">
        <v>41305</v>
      </c>
      <c r="AK6825" s="831">
        <v>-1618172</v>
      </c>
    </row>
    <row r="6826" spans="2:37">
      <c r="B6826" s="834" t="str">
        <f t="shared" si="291"/>
        <v>|||</v>
      </c>
      <c r="H6826" s="835">
        <f t="shared" si="292"/>
        <v>31</v>
      </c>
      <c r="AF6826" s="831" t="s">
        <v>7485</v>
      </c>
      <c r="AG6826" s="831" t="s">
        <v>131</v>
      </c>
      <c r="AH6826" s="831" t="s">
        <v>191</v>
      </c>
      <c r="AI6826" s="831">
        <v>0</v>
      </c>
      <c r="AJ6826" s="835">
        <v>41305</v>
      </c>
      <c r="AK6826" s="831">
        <v>-620756</v>
      </c>
    </row>
    <row r="6827" spans="2:37">
      <c r="B6827" s="834" t="str">
        <f t="shared" si="291"/>
        <v>|||</v>
      </c>
      <c r="H6827" s="835">
        <f t="shared" si="292"/>
        <v>31</v>
      </c>
      <c r="AF6827" s="831" t="s">
        <v>7486</v>
      </c>
      <c r="AG6827" s="831" t="s">
        <v>131</v>
      </c>
      <c r="AH6827" s="831" t="s">
        <v>198</v>
      </c>
      <c r="AI6827" s="831">
        <v>0</v>
      </c>
      <c r="AJ6827" s="835">
        <v>41305</v>
      </c>
      <c r="AK6827" s="831">
        <v>0</v>
      </c>
    </row>
    <row r="6828" spans="2:37">
      <c r="B6828" s="834" t="str">
        <f t="shared" si="291"/>
        <v>|||</v>
      </c>
      <c r="H6828" s="835">
        <f t="shared" si="292"/>
        <v>31</v>
      </c>
      <c r="AF6828" s="831" t="s">
        <v>7487</v>
      </c>
      <c r="AG6828" s="831" t="s">
        <v>131</v>
      </c>
      <c r="AH6828" s="831" t="s">
        <v>200</v>
      </c>
      <c r="AI6828" s="831">
        <v>0</v>
      </c>
      <c r="AJ6828" s="835">
        <v>41305</v>
      </c>
      <c r="AK6828" s="831">
        <v>0</v>
      </c>
    </row>
    <row r="6829" spans="2:37">
      <c r="B6829" s="834" t="str">
        <f t="shared" si="291"/>
        <v>|||</v>
      </c>
      <c r="H6829" s="835">
        <f t="shared" si="292"/>
        <v>31</v>
      </c>
      <c r="AF6829" s="831" t="s">
        <v>7488</v>
      </c>
      <c r="AG6829" s="831" t="s">
        <v>131</v>
      </c>
      <c r="AH6829" s="831" t="s">
        <v>205</v>
      </c>
      <c r="AI6829" s="831">
        <v>0</v>
      </c>
      <c r="AJ6829" s="835">
        <v>41305</v>
      </c>
      <c r="AK6829" s="831">
        <v>-529850</v>
      </c>
    </row>
    <row r="6830" spans="2:37">
      <c r="B6830" s="834" t="str">
        <f t="shared" si="291"/>
        <v>|||</v>
      </c>
      <c r="H6830" s="835">
        <f t="shared" si="292"/>
        <v>31</v>
      </c>
      <c r="AF6830" s="831" t="s">
        <v>7489</v>
      </c>
      <c r="AG6830" s="831" t="s">
        <v>131</v>
      </c>
      <c r="AH6830" s="831" t="s">
        <v>122</v>
      </c>
      <c r="AI6830" s="831">
        <v>0</v>
      </c>
      <c r="AJ6830" s="835">
        <v>41305</v>
      </c>
      <c r="AK6830" s="831">
        <v>0</v>
      </c>
    </row>
    <row r="6831" spans="2:37">
      <c r="B6831" s="834" t="str">
        <f t="shared" si="291"/>
        <v>|||</v>
      </c>
      <c r="H6831" s="835">
        <f t="shared" si="292"/>
        <v>31</v>
      </c>
      <c r="AF6831" s="831" t="s">
        <v>7490</v>
      </c>
      <c r="AG6831" s="831" t="s">
        <v>131</v>
      </c>
      <c r="AH6831" s="831" t="s">
        <v>213</v>
      </c>
      <c r="AI6831" s="831">
        <v>0</v>
      </c>
      <c r="AJ6831" s="835">
        <v>41305</v>
      </c>
      <c r="AK6831" s="831">
        <v>0</v>
      </c>
    </row>
    <row r="6832" spans="2:37">
      <c r="B6832" s="834" t="str">
        <f t="shared" si="291"/>
        <v>|||</v>
      </c>
      <c r="H6832" s="835">
        <f t="shared" si="292"/>
        <v>31</v>
      </c>
      <c r="AF6832" s="831" t="s">
        <v>7491</v>
      </c>
      <c r="AG6832" s="831" t="s">
        <v>131</v>
      </c>
      <c r="AH6832" s="831" t="s">
        <v>215</v>
      </c>
      <c r="AI6832" s="831">
        <v>0</v>
      </c>
      <c r="AJ6832" s="835">
        <v>41305</v>
      </c>
      <c r="AK6832" s="831">
        <v>0</v>
      </c>
    </row>
    <row r="6833" spans="2:37">
      <c r="B6833" s="834" t="str">
        <f t="shared" si="291"/>
        <v>|||</v>
      </c>
      <c r="H6833" s="835">
        <f t="shared" si="292"/>
        <v>31</v>
      </c>
      <c r="AF6833" s="831" t="s">
        <v>7492</v>
      </c>
      <c r="AG6833" s="831" t="s">
        <v>131</v>
      </c>
      <c r="AH6833" s="831" t="s">
        <v>217</v>
      </c>
      <c r="AI6833" s="831">
        <v>0</v>
      </c>
      <c r="AJ6833" s="835">
        <v>41305</v>
      </c>
      <c r="AK6833" s="831">
        <v>0</v>
      </c>
    </row>
    <row r="6834" spans="2:37">
      <c r="B6834" s="834" t="str">
        <f t="shared" si="291"/>
        <v>|||</v>
      </c>
      <c r="H6834" s="835">
        <f t="shared" si="292"/>
        <v>31</v>
      </c>
      <c r="AF6834" s="831" t="s">
        <v>7493</v>
      </c>
      <c r="AG6834" s="831" t="s">
        <v>131</v>
      </c>
      <c r="AH6834" s="831" t="s">
        <v>223</v>
      </c>
      <c r="AI6834" s="831">
        <v>0</v>
      </c>
      <c r="AJ6834" s="835">
        <v>41305</v>
      </c>
      <c r="AK6834" s="831">
        <v>0</v>
      </c>
    </row>
    <row r="6835" spans="2:37">
      <c r="B6835" s="834" t="str">
        <f t="shared" si="291"/>
        <v>|||</v>
      </c>
      <c r="H6835" s="835">
        <f t="shared" si="292"/>
        <v>31</v>
      </c>
      <c r="AF6835" s="831" t="s">
        <v>7494</v>
      </c>
      <c r="AG6835" s="831" t="s">
        <v>131</v>
      </c>
      <c r="AH6835" s="831" t="s">
        <v>224</v>
      </c>
      <c r="AI6835" s="831">
        <v>0</v>
      </c>
      <c r="AJ6835" s="835">
        <v>41305</v>
      </c>
      <c r="AK6835" s="831">
        <v>0</v>
      </c>
    </row>
    <row r="6836" spans="2:37">
      <c r="B6836" s="834" t="str">
        <f t="shared" si="291"/>
        <v>|||</v>
      </c>
      <c r="H6836" s="835">
        <f t="shared" si="292"/>
        <v>31</v>
      </c>
      <c r="AF6836" s="831" t="s">
        <v>7495</v>
      </c>
      <c r="AG6836" s="831" t="s">
        <v>131</v>
      </c>
      <c r="AH6836" s="831" t="s">
        <v>128</v>
      </c>
      <c r="AI6836" s="831">
        <v>0</v>
      </c>
      <c r="AJ6836" s="835">
        <v>41305</v>
      </c>
      <c r="AK6836" s="831">
        <v>8142910</v>
      </c>
    </row>
    <row r="6837" spans="2:37">
      <c r="B6837" s="834" t="str">
        <f t="shared" si="291"/>
        <v>|||</v>
      </c>
      <c r="H6837" s="835">
        <f t="shared" si="292"/>
        <v>31</v>
      </c>
      <c r="AF6837" s="831" t="s">
        <v>7496</v>
      </c>
      <c r="AG6837" s="831" t="s">
        <v>131</v>
      </c>
      <c r="AH6837" s="831" t="s">
        <v>3237</v>
      </c>
      <c r="AI6837" s="831">
        <v>0</v>
      </c>
      <c r="AJ6837" s="835">
        <v>41305</v>
      </c>
      <c r="AK6837" s="831">
        <v>0</v>
      </c>
    </row>
    <row r="6838" spans="2:37">
      <c r="B6838" s="834" t="str">
        <f t="shared" si="291"/>
        <v>|||</v>
      </c>
      <c r="H6838" s="835">
        <f t="shared" si="292"/>
        <v>31</v>
      </c>
      <c r="AF6838" s="831" t="s">
        <v>7497</v>
      </c>
      <c r="AG6838" s="831" t="s">
        <v>131</v>
      </c>
      <c r="AH6838" s="831" t="s">
        <v>3239</v>
      </c>
      <c r="AI6838" s="831">
        <v>0</v>
      </c>
      <c r="AJ6838" s="835">
        <v>41305</v>
      </c>
      <c r="AK6838" s="831">
        <v>0</v>
      </c>
    </row>
    <row r="6839" spans="2:37">
      <c r="B6839" s="834" t="str">
        <f t="shared" si="291"/>
        <v>|||</v>
      </c>
      <c r="H6839" s="835">
        <f t="shared" si="292"/>
        <v>31</v>
      </c>
      <c r="AF6839" s="831" t="s">
        <v>7498</v>
      </c>
      <c r="AG6839" s="831" t="s">
        <v>131</v>
      </c>
      <c r="AH6839" s="831" t="s">
        <v>138</v>
      </c>
      <c r="AI6839" s="831">
        <v>0</v>
      </c>
      <c r="AJ6839" s="835">
        <v>41333</v>
      </c>
      <c r="AK6839" s="831">
        <v>17327364</v>
      </c>
    </row>
    <row r="6840" spans="2:37">
      <c r="B6840" s="834" t="str">
        <f t="shared" si="291"/>
        <v>|||</v>
      </c>
      <c r="H6840" s="835">
        <f t="shared" si="292"/>
        <v>31</v>
      </c>
      <c r="AF6840" s="831" t="s">
        <v>7499</v>
      </c>
      <c r="AG6840" s="831" t="s">
        <v>131</v>
      </c>
      <c r="AH6840" s="831" t="s">
        <v>141</v>
      </c>
      <c r="AI6840" s="831">
        <v>0</v>
      </c>
      <c r="AJ6840" s="835">
        <v>41333</v>
      </c>
      <c r="AK6840" s="831">
        <v>1658384</v>
      </c>
    </row>
    <row r="6841" spans="2:37">
      <c r="B6841" s="834" t="str">
        <f t="shared" si="291"/>
        <v>|||</v>
      </c>
      <c r="H6841" s="835">
        <f t="shared" si="292"/>
        <v>31</v>
      </c>
      <c r="AF6841" s="831" t="s">
        <v>7500</v>
      </c>
      <c r="AG6841" s="831" t="s">
        <v>131</v>
      </c>
      <c r="AH6841" s="831" t="s">
        <v>146</v>
      </c>
      <c r="AI6841" s="831">
        <v>0</v>
      </c>
      <c r="AJ6841" s="835">
        <v>41333</v>
      </c>
      <c r="AK6841" s="831">
        <v>-2411614</v>
      </c>
    </row>
    <row r="6842" spans="2:37">
      <c r="B6842" s="834" t="str">
        <f t="shared" si="291"/>
        <v>|||</v>
      </c>
      <c r="H6842" s="835">
        <f t="shared" si="292"/>
        <v>31</v>
      </c>
      <c r="AF6842" s="831" t="s">
        <v>7501</v>
      </c>
      <c r="AG6842" s="831" t="s">
        <v>131</v>
      </c>
      <c r="AH6842" s="831" t="s">
        <v>150</v>
      </c>
      <c r="AI6842" s="831">
        <v>0</v>
      </c>
      <c r="AJ6842" s="835">
        <v>41333</v>
      </c>
      <c r="AK6842" s="831">
        <v>-2116900</v>
      </c>
    </row>
    <row r="6843" spans="2:37">
      <c r="B6843" s="834" t="str">
        <f t="shared" si="291"/>
        <v>|||</v>
      </c>
      <c r="H6843" s="835">
        <f t="shared" si="292"/>
        <v>31</v>
      </c>
      <c r="AF6843" s="831" t="s">
        <v>7502</v>
      </c>
      <c r="AG6843" s="831" t="s">
        <v>131</v>
      </c>
      <c r="AH6843" s="831" t="s">
        <v>77</v>
      </c>
      <c r="AI6843" s="831">
        <v>0</v>
      </c>
      <c r="AJ6843" s="835">
        <v>41333</v>
      </c>
      <c r="AK6843" s="831">
        <v>-876328</v>
      </c>
    </row>
    <row r="6844" spans="2:37">
      <c r="B6844" s="834" t="str">
        <f t="shared" si="291"/>
        <v>|||</v>
      </c>
      <c r="H6844" s="835">
        <f t="shared" si="292"/>
        <v>31</v>
      </c>
      <c r="AF6844" s="831" t="s">
        <v>7503</v>
      </c>
      <c r="AG6844" s="831" t="s">
        <v>131</v>
      </c>
      <c r="AH6844" s="831" t="s">
        <v>167</v>
      </c>
      <c r="AI6844" s="831">
        <v>0</v>
      </c>
      <c r="AJ6844" s="835">
        <v>41333</v>
      </c>
      <c r="AK6844" s="831">
        <v>0</v>
      </c>
    </row>
    <row r="6845" spans="2:37">
      <c r="B6845" s="834" t="str">
        <f t="shared" si="291"/>
        <v>|||</v>
      </c>
      <c r="H6845" s="835">
        <f t="shared" si="292"/>
        <v>31</v>
      </c>
      <c r="AF6845" s="831" t="s">
        <v>7504</v>
      </c>
      <c r="AG6845" s="831" t="s">
        <v>131</v>
      </c>
      <c r="AH6845" s="831" t="s">
        <v>169</v>
      </c>
      <c r="AI6845" s="831">
        <v>0</v>
      </c>
      <c r="AJ6845" s="835">
        <v>41333</v>
      </c>
      <c r="AK6845" s="831">
        <v>377497</v>
      </c>
    </row>
    <row r="6846" spans="2:37">
      <c r="B6846" s="834" t="str">
        <f t="shared" si="291"/>
        <v>|||</v>
      </c>
      <c r="H6846" s="835">
        <f t="shared" si="292"/>
        <v>31</v>
      </c>
      <c r="AF6846" s="831" t="s">
        <v>7505</v>
      </c>
      <c r="AG6846" s="831" t="s">
        <v>131</v>
      </c>
      <c r="AH6846" s="831" t="s">
        <v>172</v>
      </c>
      <c r="AI6846" s="831">
        <v>0</v>
      </c>
      <c r="AJ6846" s="835">
        <v>41333</v>
      </c>
      <c r="AK6846" s="831">
        <v>68037</v>
      </c>
    </row>
    <row r="6847" spans="2:37">
      <c r="B6847" s="834" t="str">
        <f t="shared" si="291"/>
        <v>|||</v>
      </c>
      <c r="H6847" s="835">
        <f t="shared" si="292"/>
        <v>31</v>
      </c>
      <c r="AF6847" s="831" t="s">
        <v>7506</v>
      </c>
      <c r="AG6847" s="831" t="s">
        <v>131</v>
      </c>
      <c r="AH6847" s="831" t="s">
        <v>175</v>
      </c>
      <c r="AI6847" s="831">
        <v>0</v>
      </c>
      <c r="AJ6847" s="835">
        <v>41333</v>
      </c>
      <c r="AK6847" s="831">
        <v>18647</v>
      </c>
    </row>
    <row r="6848" spans="2:37">
      <c r="B6848" s="834" t="str">
        <f t="shared" si="291"/>
        <v>|||</v>
      </c>
      <c r="H6848" s="835">
        <f t="shared" si="292"/>
        <v>31</v>
      </c>
      <c r="AF6848" s="831" t="s">
        <v>7507</v>
      </c>
      <c r="AG6848" s="831" t="s">
        <v>131</v>
      </c>
      <c r="AH6848" s="831" t="s">
        <v>185</v>
      </c>
      <c r="AI6848" s="831">
        <v>0</v>
      </c>
      <c r="AJ6848" s="835">
        <v>41333</v>
      </c>
      <c r="AK6848" s="831">
        <v>-5411343</v>
      </c>
    </row>
    <row r="6849" spans="2:37">
      <c r="B6849" s="834" t="str">
        <f t="shared" si="291"/>
        <v>|||</v>
      </c>
      <c r="H6849" s="835">
        <f t="shared" si="292"/>
        <v>31</v>
      </c>
      <c r="AF6849" s="831" t="s">
        <v>7508</v>
      </c>
      <c r="AG6849" s="831" t="s">
        <v>131</v>
      </c>
      <c r="AH6849" s="831" t="s">
        <v>188</v>
      </c>
      <c r="AI6849" s="831">
        <v>0</v>
      </c>
      <c r="AJ6849" s="835">
        <v>41333</v>
      </c>
      <c r="AK6849" s="831">
        <v>-2775689</v>
      </c>
    </row>
    <row r="6850" spans="2:37">
      <c r="B6850" s="834" t="str">
        <f t="shared" si="291"/>
        <v>|||</v>
      </c>
      <c r="H6850" s="835">
        <f t="shared" si="292"/>
        <v>31</v>
      </c>
      <c r="AF6850" s="831" t="s">
        <v>7509</v>
      </c>
      <c r="AG6850" s="831" t="s">
        <v>131</v>
      </c>
      <c r="AH6850" s="831" t="s">
        <v>191</v>
      </c>
      <c r="AI6850" s="831">
        <v>0</v>
      </c>
      <c r="AJ6850" s="835">
        <v>41333</v>
      </c>
      <c r="AK6850" s="831">
        <v>-1085840</v>
      </c>
    </row>
    <row r="6851" spans="2:37">
      <c r="B6851" s="834" t="str">
        <f t="shared" ref="B6851:B6914" si="293">C6851&amp;"|"&amp;D6851&amp;"|"&amp;E6851&amp;"|"&amp;F6851</f>
        <v>|||</v>
      </c>
      <c r="H6851" s="835">
        <f t="shared" si="292"/>
        <v>31</v>
      </c>
      <c r="AF6851" s="831" t="s">
        <v>7510</v>
      </c>
      <c r="AG6851" s="831" t="s">
        <v>131</v>
      </c>
      <c r="AH6851" s="831" t="s">
        <v>198</v>
      </c>
      <c r="AI6851" s="831">
        <v>0</v>
      </c>
      <c r="AJ6851" s="835">
        <v>41333</v>
      </c>
      <c r="AK6851" s="831">
        <v>0</v>
      </c>
    </row>
    <row r="6852" spans="2:37">
      <c r="B6852" s="834" t="str">
        <f t="shared" si="293"/>
        <v>|||</v>
      </c>
      <c r="H6852" s="835">
        <f t="shared" ref="H6852:H6915" si="294">EOMONTH(L6852,0)</f>
        <v>31</v>
      </c>
      <c r="AF6852" s="831" t="s">
        <v>7511</v>
      </c>
      <c r="AG6852" s="831" t="s">
        <v>131</v>
      </c>
      <c r="AH6852" s="831" t="s">
        <v>200</v>
      </c>
      <c r="AI6852" s="831">
        <v>0</v>
      </c>
      <c r="AJ6852" s="835">
        <v>41333</v>
      </c>
      <c r="AK6852" s="831">
        <v>0</v>
      </c>
    </row>
    <row r="6853" spans="2:37">
      <c r="B6853" s="834" t="str">
        <f t="shared" si="293"/>
        <v>|||</v>
      </c>
      <c r="H6853" s="835">
        <f t="shared" si="294"/>
        <v>31</v>
      </c>
      <c r="AF6853" s="831" t="s">
        <v>7512</v>
      </c>
      <c r="AG6853" s="831" t="s">
        <v>131</v>
      </c>
      <c r="AH6853" s="831" t="s">
        <v>205</v>
      </c>
      <c r="AI6853" s="831">
        <v>0</v>
      </c>
      <c r="AJ6853" s="835">
        <v>41333</v>
      </c>
      <c r="AK6853" s="831">
        <v>-954331</v>
      </c>
    </row>
    <row r="6854" spans="2:37">
      <c r="B6854" s="834" t="str">
        <f t="shared" si="293"/>
        <v>|||</v>
      </c>
      <c r="H6854" s="835">
        <f t="shared" si="294"/>
        <v>31</v>
      </c>
      <c r="AF6854" s="831" t="s">
        <v>7513</v>
      </c>
      <c r="AG6854" s="831" t="s">
        <v>131</v>
      </c>
      <c r="AH6854" s="831" t="s">
        <v>122</v>
      </c>
      <c r="AI6854" s="831">
        <v>0</v>
      </c>
      <c r="AJ6854" s="835">
        <v>41333</v>
      </c>
      <c r="AK6854" s="831">
        <v>0</v>
      </c>
    </row>
    <row r="6855" spans="2:37">
      <c r="B6855" s="834" t="str">
        <f t="shared" si="293"/>
        <v>|||</v>
      </c>
      <c r="H6855" s="835">
        <f t="shared" si="294"/>
        <v>31</v>
      </c>
      <c r="AF6855" s="831" t="s">
        <v>7514</v>
      </c>
      <c r="AG6855" s="831" t="s">
        <v>131</v>
      </c>
      <c r="AH6855" s="831" t="s">
        <v>213</v>
      </c>
      <c r="AI6855" s="831">
        <v>0</v>
      </c>
      <c r="AJ6855" s="835">
        <v>41333</v>
      </c>
      <c r="AK6855" s="831">
        <v>0</v>
      </c>
    </row>
    <row r="6856" spans="2:37">
      <c r="B6856" s="834" t="str">
        <f t="shared" si="293"/>
        <v>|||</v>
      </c>
      <c r="H6856" s="835">
        <f t="shared" si="294"/>
        <v>31</v>
      </c>
      <c r="AF6856" s="831" t="s">
        <v>7515</v>
      </c>
      <c r="AG6856" s="831" t="s">
        <v>131</v>
      </c>
      <c r="AH6856" s="831" t="s">
        <v>215</v>
      </c>
      <c r="AI6856" s="831">
        <v>0</v>
      </c>
      <c r="AJ6856" s="835">
        <v>41333</v>
      </c>
      <c r="AK6856" s="831">
        <v>0</v>
      </c>
    </row>
    <row r="6857" spans="2:37">
      <c r="B6857" s="834" t="str">
        <f t="shared" si="293"/>
        <v>|||</v>
      </c>
      <c r="H6857" s="835">
        <f t="shared" si="294"/>
        <v>31</v>
      </c>
      <c r="AF6857" s="831" t="s">
        <v>7516</v>
      </c>
      <c r="AG6857" s="831" t="s">
        <v>131</v>
      </c>
      <c r="AH6857" s="831" t="s">
        <v>217</v>
      </c>
      <c r="AI6857" s="831">
        <v>0</v>
      </c>
      <c r="AJ6857" s="835">
        <v>41333</v>
      </c>
      <c r="AK6857" s="831">
        <v>0</v>
      </c>
    </row>
    <row r="6858" spans="2:37">
      <c r="B6858" s="834" t="str">
        <f t="shared" si="293"/>
        <v>|||</v>
      </c>
      <c r="H6858" s="835">
        <f t="shared" si="294"/>
        <v>31</v>
      </c>
      <c r="AF6858" s="831" t="s">
        <v>7517</v>
      </c>
      <c r="AG6858" s="831" t="s">
        <v>131</v>
      </c>
      <c r="AH6858" s="831" t="s">
        <v>223</v>
      </c>
      <c r="AI6858" s="831">
        <v>0</v>
      </c>
      <c r="AJ6858" s="835">
        <v>41333</v>
      </c>
      <c r="AK6858" s="831">
        <v>0</v>
      </c>
    </row>
    <row r="6859" spans="2:37">
      <c r="B6859" s="834" t="str">
        <f t="shared" si="293"/>
        <v>|||</v>
      </c>
      <c r="H6859" s="835">
        <f t="shared" si="294"/>
        <v>31</v>
      </c>
      <c r="AF6859" s="831" t="s">
        <v>7518</v>
      </c>
      <c r="AG6859" s="831" t="s">
        <v>131</v>
      </c>
      <c r="AH6859" s="831" t="s">
        <v>224</v>
      </c>
      <c r="AI6859" s="831">
        <v>0</v>
      </c>
      <c r="AJ6859" s="835">
        <v>41333</v>
      </c>
      <c r="AK6859" s="831">
        <v>0</v>
      </c>
    </row>
    <row r="6860" spans="2:37">
      <c r="B6860" s="834" t="str">
        <f t="shared" si="293"/>
        <v>|||</v>
      </c>
      <c r="H6860" s="835">
        <f t="shared" si="294"/>
        <v>31</v>
      </c>
      <c r="AF6860" s="831" t="s">
        <v>7519</v>
      </c>
      <c r="AG6860" s="831" t="s">
        <v>131</v>
      </c>
      <c r="AH6860" s="831" t="s">
        <v>128</v>
      </c>
      <c r="AI6860" s="831">
        <v>0</v>
      </c>
      <c r="AJ6860" s="835">
        <v>41333</v>
      </c>
      <c r="AK6860" s="831">
        <v>0</v>
      </c>
    </row>
    <row r="6861" spans="2:37">
      <c r="B6861" s="834" t="str">
        <f t="shared" si="293"/>
        <v>|||</v>
      </c>
      <c r="H6861" s="835">
        <f t="shared" si="294"/>
        <v>31</v>
      </c>
      <c r="AF6861" s="831" t="s">
        <v>7520</v>
      </c>
      <c r="AG6861" s="831" t="s">
        <v>131</v>
      </c>
      <c r="AH6861" s="831" t="s">
        <v>3237</v>
      </c>
      <c r="AI6861" s="831">
        <v>0</v>
      </c>
      <c r="AJ6861" s="835">
        <v>41333</v>
      </c>
      <c r="AK6861" s="831">
        <v>0</v>
      </c>
    </row>
    <row r="6862" spans="2:37">
      <c r="B6862" s="834" t="str">
        <f t="shared" si="293"/>
        <v>|||</v>
      </c>
      <c r="H6862" s="835">
        <f t="shared" si="294"/>
        <v>31</v>
      </c>
      <c r="AF6862" s="831" t="s">
        <v>7521</v>
      </c>
      <c r="AG6862" s="831" t="s">
        <v>131</v>
      </c>
      <c r="AH6862" s="831" t="s">
        <v>3239</v>
      </c>
      <c r="AI6862" s="831">
        <v>0</v>
      </c>
      <c r="AJ6862" s="835">
        <v>41333</v>
      </c>
      <c r="AK6862" s="831">
        <v>0</v>
      </c>
    </row>
    <row r="6863" spans="2:37">
      <c r="B6863" s="834" t="str">
        <f t="shared" si="293"/>
        <v>|||</v>
      </c>
      <c r="H6863" s="835">
        <f t="shared" si="294"/>
        <v>31</v>
      </c>
      <c r="AF6863" s="831" t="s">
        <v>7522</v>
      </c>
      <c r="AG6863" s="831" t="s">
        <v>131</v>
      </c>
      <c r="AH6863" s="831" t="s">
        <v>138</v>
      </c>
      <c r="AI6863" s="831">
        <v>0</v>
      </c>
      <c r="AJ6863" s="835">
        <v>41364</v>
      </c>
      <c r="AK6863" s="831">
        <v>25399657</v>
      </c>
    </row>
    <row r="6864" spans="2:37">
      <c r="B6864" s="834" t="str">
        <f t="shared" si="293"/>
        <v>|||</v>
      </c>
      <c r="H6864" s="835">
        <f t="shared" si="294"/>
        <v>31</v>
      </c>
      <c r="AF6864" s="831" t="s">
        <v>7523</v>
      </c>
      <c r="AG6864" s="831" t="s">
        <v>131</v>
      </c>
      <c r="AH6864" s="831" t="s">
        <v>141</v>
      </c>
      <c r="AI6864" s="831">
        <v>0</v>
      </c>
      <c r="AJ6864" s="835">
        <v>41364</v>
      </c>
      <c r="AK6864" s="831">
        <v>2483508</v>
      </c>
    </row>
    <row r="6865" spans="2:37">
      <c r="B6865" s="834" t="str">
        <f t="shared" si="293"/>
        <v>|||</v>
      </c>
      <c r="H6865" s="835">
        <f t="shared" si="294"/>
        <v>31</v>
      </c>
      <c r="AF6865" s="831" t="s">
        <v>7524</v>
      </c>
      <c r="AG6865" s="831" t="s">
        <v>131</v>
      </c>
      <c r="AH6865" s="831" t="s">
        <v>146</v>
      </c>
      <c r="AI6865" s="831">
        <v>0</v>
      </c>
      <c r="AJ6865" s="835">
        <v>41364</v>
      </c>
      <c r="AK6865" s="831">
        <v>-3648303</v>
      </c>
    </row>
    <row r="6866" spans="2:37">
      <c r="B6866" s="834" t="str">
        <f t="shared" si="293"/>
        <v>|||</v>
      </c>
      <c r="H6866" s="835">
        <f t="shared" si="294"/>
        <v>31</v>
      </c>
      <c r="AF6866" s="831" t="s">
        <v>7525</v>
      </c>
      <c r="AG6866" s="831" t="s">
        <v>131</v>
      </c>
      <c r="AH6866" s="831" t="s">
        <v>150</v>
      </c>
      <c r="AI6866" s="831">
        <v>0</v>
      </c>
      <c r="AJ6866" s="835">
        <v>41364</v>
      </c>
      <c r="AK6866" s="831">
        <v>-3320289</v>
      </c>
    </row>
    <row r="6867" spans="2:37">
      <c r="B6867" s="834" t="str">
        <f t="shared" si="293"/>
        <v>|||</v>
      </c>
      <c r="H6867" s="835">
        <f t="shared" si="294"/>
        <v>31</v>
      </c>
      <c r="AF6867" s="831" t="s">
        <v>7526</v>
      </c>
      <c r="AG6867" s="831" t="s">
        <v>131</v>
      </c>
      <c r="AH6867" s="831" t="s">
        <v>77</v>
      </c>
      <c r="AI6867" s="831">
        <v>0</v>
      </c>
      <c r="AJ6867" s="835">
        <v>41364</v>
      </c>
      <c r="AK6867" s="831">
        <v>-1297653</v>
      </c>
    </row>
    <row r="6868" spans="2:37">
      <c r="B6868" s="834" t="str">
        <f t="shared" si="293"/>
        <v>|||</v>
      </c>
      <c r="H6868" s="835">
        <f t="shared" si="294"/>
        <v>31</v>
      </c>
      <c r="AF6868" s="831" t="s">
        <v>7527</v>
      </c>
      <c r="AG6868" s="831" t="s">
        <v>131</v>
      </c>
      <c r="AH6868" s="831" t="s">
        <v>167</v>
      </c>
      <c r="AI6868" s="831">
        <v>0</v>
      </c>
      <c r="AJ6868" s="835">
        <v>41364</v>
      </c>
      <c r="AK6868" s="831">
        <v>0</v>
      </c>
    </row>
    <row r="6869" spans="2:37">
      <c r="B6869" s="834" t="str">
        <f t="shared" si="293"/>
        <v>|||</v>
      </c>
      <c r="H6869" s="835">
        <f t="shared" si="294"/>
        <v>31</v>
      </c>
      <c r="AF6869" s="831" t="s">
        <v>7528</v>
      </c>
      <c r="AG6869" s="831" t="s">
        <v>131</v>
      </c>
      <c r="AH6869" s="831" t="s">
        <v>169</v>
      </c>
      <c r="AI6869" s="831">
        <v>0</v>
      </c>
      <c r="AJ6869" s="835">
        <v>41364</v>
      </c>
      <c r="AK6869" s="831">
        <v>519230</v>
      </c>
    </row>
    <row r="6870" spans="2:37">
      <c r="B6870" s="834" t="str">
        <f t="shared" si="293"/>
        <v>|||</v>
      </c>
      <c r="H6870" s="835">
        <f t="shared" si="294"/>
        <v>31</v>
      </c>
      <c r="AF6870" s="831" t="s">
        <v>7529</v>
      </c>
      <c r="AG6870" s="831" t="s">
        <v>131</v>
      </c>
      <c r="AH6870" s="831" t="s">
        <v>172</v>
      </c>
      <c r="AI6870" s="831">
        <v>0</v>
      </c>
      <c r="AJ6870" s="835">
        <v>41364</v>
      </c>
      <c r="AK6870" s="831">
        <v>76263</v>
      </c>
    </row>
    <row r="6871" spans="2:37">
      <c r="B6871" s="834" t="str">
        <f t="shared" si="293"/>
        <v>|||</v>
      </c>
      <c r="H6871" s="835">
        <f t="shared" si="294"/>
        <v>31</v>
      </c>
      <c r="AF6871" s="831" t="s">
        <v>7530</v>
      </c>
      <c r="AG6871" s="831" t="s">
        <v>131</v>
      </c>
      <c r="AH6871" s="831" t="s">
        <v>175</v>
      </c>
      <c r="AI6871" s="831">
        <v>0</v>
      </c>
      <c r="AJ6871" s="835">
        <v>41364</v>
      </c>
      <c r="AK6871" s="831">
        <v>1008149</v>
      </c>
    </row>
    <row r="6872" spans="2:37">
      <c r="B6872" s="834" t="str">
        <f t="shared" si="293"/>
        <v>|||</v>
      </c>
      <c r="H6872" s="835">
        <f t="shared" si="294"/>
        <v>31</v>
      </c>
      <c r="AF6872" s="831" t="s">
        <v>7531</v>
      </c>
      <c r="AG6872" s="831" t="s">
        <v>131</v>
      </c>
      <c r="AH6872" s="831" t="s">
        <v>185</v>
      </c>
      <c r="AI6872" s="831">
        <v>0</v>
      </c>
      <c r="AJ6872" s="835">
        <v>41364</v>
      </c>
      <c r="AK6872" s="831">
        <v>-8035835</v>
      </c>
    </row>
    <row r="6873" spans="2:37">
      <c r="B6873" s="834" t="str">
        <f t="shared" si="293"/>
        <v>|||</v>
      </c>
      <c r="H6873" s="835">
        <f t="shared" si="294"/>
        <v>31</v>
      </c>
      <c r="AF6873" s="831" t="s">
        <v>7532</v>
      </c>
      <c r="AG6873" s="831" t="s">
        <v>131</v>
      </c>
      <c r="AH6873" s="831" t="s">
        <v>188</v>
      </c>
      <c r="AI6873" s="831">
        <v>0</v>
      </c>
      <c r="AJ6873" s="835">
        <v>41364</v>
      </c>
      <c r="AK6873" s="831">
        <v>-4157752</v>
      </c>
    </row>
    <row r="6874" spans="2:37">
      <c r="B6874" s="834" t="str">
        <f t="shared" si="293"/>
        <v>|||</v>
      </c>
      <c r="H6874" s="835">
        <f t="shared" si="294"/>
        <v>31</v>
      </c>
      <c r="AF6874" s="831" t="s">
        <v>7533</v>
      </c>
      <c r="AG6874" s="831" t="s">
        <v>131</v>
      </c>
      <c r="AH6874" s="831" t="s">
        <v>191</v>
      </c>
      <c r="AI6874" s="831">
        <v>0</v>
      </c>
      <c r="AJ6874" s="835">
        <v>41364</v>
      </c>
      <c r="AK6874" s="831">
        <v>-1539397</v>
      </c>
    </row>
    <row r="6875" spans="2:37">
      <c r="B6875" s="834" t="str">
        <f t="shared" si="293"/>
        <v>|||</v>
      </c>
      <c r="H6875" s="835">
        <f t="shared" si="294"/>
        <v>31</v>
      </c>
      <c r="AF6875" s="831" t="s">
        <v>7534</v>
      </c>
      <c r="AG6875" s="831" t="s">
        <v>131</v>
      </c>
      <c r="AH6875" s="831" t="s">
        <v>198</v>
      </c>
      <c r="AI6875" s="831">
        <v>0</v>
      </c>
      <c r="AJ6875" s="835">
        <v>41364</v>
      </c>
      <c r="AK6875" s="831">
        <v>0</v>
      </c>
    </row>
    <row r="6876" spans="2:37">
      <c r="B6876" s="834" t="str">
        <f t="shared" si="293"/>
        <v>|||</v>
      </c>
      <c r="H6876" s="835">
        <f t="shared" si="294"/>
        <v>31</v>
      </c>
      <c r="AF6876" s="831" t="s">
        <v>7535</v>
      </c>
      <c r="AG6876" s="831" t="s">
        <v>131</v>
      </c>
      <c r="AH6876" s="831" t="s">
        <v>200</v>
      </c>
      <c r="AI6876" s="831">
        <v>0</v>
      </c>
      <c r="AJ6876" s="835">
        <v>41364</v>
      </c>
      <c r="AK6876" s="831">
        <v>0</v>
      </c>
    </row>
    <row r="6877" spans="2:37">
      <c r="B6877" s="834" t="str">
        <f t="shared" si="293"/>
        <v>|||</v>
      </c>
      <c r="H6877" s="835">
        <f t="shared" si="294"/>
        <v>31</v>
      </c>
      <c r="AF6877" s="831" t="s">
        <v>7536</v>
      </c>
      <c r="AG6877" s="831" t="s">
        <v>131</v>
      </c>
      <c r="AH6877" s="831" t="s">
        <v>205</v>
      </c>
      <c r="AI6877" s="831">
        <v>0</v>
      </c>
      <c r="AJ6877" s="835">
        <v>41364</v>
      </c>
      <c r="AK6877" s="831">
        <v>-1441412</v>
      </c>
    </row>
    <row r="6878" spans="2:37">
      <c r="B6878" s="834" t="str">
        <f t="shared" si="293"/>
        <v>|||</v>
      </c>
      <c r="H6878" s="835">
        <f t="shared" si="294"/>
        <v>31</v>
      </c>
      <c r="AF6878" s="831" t="s">
        <v>7537</v>
      </c>
      <c r="AG6878" s="831" t="s">
        <v>131</v>
      </c>
      <c r="AH6878" s="831" t="s">
        <v>122</v>
      </c>
      <c r="AI6878" s="831">
        <v>0</v>
      </c>
      <c r="AJ6878" s="835">
        <v>41364</v>
      </c>
      <c r="AK6878" s="831">
        <v>0</v>
      </c>
    </row>
    <row r="6879" spans="2:37">
      <c r="B6879" s="834" t="str">
        <f t="shared" si="293"/>
        <v>|||</v>
      </c>
      <c r="H6879" s="835">
        <f t="shared" si="294"/>
        <v>31</v>
      </c>
      <c r="AF6879" s="831" t="s">
        <v>7538</v>
      </c>
      <c r="AG6879" s="831" t="s">
        <v>131</v>
      </c>
      <c r="AH6879" s="831" t="s">
        <v>213</v>
      </c>
      <c r="AI6879" s="831">
        <v>0</v>
      </c>
      <c r="AJ6879" s="835">
        <v>41364</v>
      </c>
      <c r="AK6879" s="831">
        <v>0</v>
      </c>
    </row>
    <row r="6880" spans="2:37">
      <c r="B6880" s="834" t="str">
        <f t="shared" si="293"/>
        <v>|||</v>
      </c>
      <c r="H6880" s="835">
        <f t="shared" si="294"/>
        <v>31</v>
      </c>
      <c r="AF6880" s="831" t="s">
        <v>7539</v>
      </c>
      <c r="AG6880" s="831" t="s">
        <v>131</v>
      </c>
      <c r="AH6880" s="831" t="s">
        <v>215</v>
      </c>
      <c r="AI6880" s="831">
        <v>0</v>
      </c>
      <c r="AJ6880" s="835">
        <v>41364</v>
      </c>
      <c r="AK6880" s="831">
        <v>0</v>
      </c>
    </row>
    <row r="6881" spans="2:37">
      <c r="B6881" s="834" t="str">
        <f t="shared" si="293"/>
        <v>|||</v>
      </c>
      <c r="H6881" s="835">
        <f t="shared" si="294"/>
        <v>31</v>
      </c>
      <c r="AF6881" s="831" t="s">
        <v>7540</v>
      </c>
      <c r="AG6881" s="831" t="s">
        <v>131</v>
      </c>
      <c r="AH6881" s="831" t="s">
        <v>217</v>
      </c>
      <c r="AI6881" s="831">
        <v>0</v>
      </c>
      <c r="AJ6881" s="835">
        <v>41364</v>
      </c>
      <c r="AK6881" s="831">
        <v>0</v>
      </c>
    </row>
    <row r="6882" spans="2:37">
      <c r="B6882" s="834" t="str">
        <f t="shared" si="293"/>
        <v>|||</v>
      </c>
      <c r="H6882" s="835">
        <f t="shared" si="294"/>
        <v>31</v>
      </c>
      <c r="AF6882" s="831" t="s">
        <v>7541</v>
      </c>
      <c r="AG6882" s="831" t="s">
        <v>131</v>
      </c>
      <c r="AH6882" s="831" t="s">
        <v>223</v>
      </c>
      <c r="AI6882" s="831">
        <v>0</v>
      </c>
      <c r="AJ6882" s="835">
        <v>41364</v>
      </c>
      <c r="AK6882" s="831">
        <v>0</v>
      </c>
    </row>
    <row r="6883" spans="2:37">
      <c r="B6883" s="834" t="str">
        <f t="shared" si="293"/>
        <v>|||</v>
      </c>
      <c r="H6883" s="835">
        <f t="shared" si="294"/>
        <v>31</v>
      </c>
      <c r="AF6883" s="831" t="s">
        <v>7542</v>
      </c>
      <c r="AG6883" s="831" t="s">
        <v>131</v>
      </c>
      <c r="AH6883" s="831" t="s">
        <v>224</v>
      </c>
      <c r="AI6883" s="831">
        <v>0</v>
      </c>
      <c r="AJ6883" s="835">
        <v>41364</v>
      </c>
      <c r="AK6883" s="831">
        <v>0</v>
      </c>
    </row>
    <row r="6884" spans="2:37">
      <c r="B6884" s="834" t="str">
        <f t="shared" si="293"/>
        <v>|||</v>
      </c>
      <c r="H6884" s="835">
        <f t="shared" si="294"/>
        <v>31</v>
      </c>
      <c r="AF6884" s="831" t="s">
        <v>7543</v>
      </c>
      <c r="AG6884" s="831" t="s">
        <v>131</v>
      </c>
      <c r="AH6884" s="831" t="s">
        <v>128</v>
      </c>
      <c r="AI6884" s="831">
        <v>0</v>
      </c>
      <c r="AJ6884" s="835">
        <v>41364</v>
      </c>
      <c r="AK6884" s="831">
        <v>0</v>
      </c>
    </row>
    <row r="6885" spans="2:37">
      <c r="B6885" s="834" t="str">
        <f t="shared" si="293"/>
        <v>|||</v>
      </c>
      <c r="H6885" s="835">
        <f t="shared" si="294"/>
        <v>31</v>
      </c>
      <c r="AF6885" s="831" t="s">
        <v>7544</v>
      </c>
      <c r="AG6885" s="831" t="s">
        <v>131</v>
      </c>
      <c r="AH6885" s="831" t="s">
        <v>3237</v>
      </c>
      <c r="AI6885" s="831">
        <v>0</v>
      </c>
      <c r="AJ6885" s="835">
        <v>41364</v>
      </c>
      <c r="AK6885" s="831">
        <v>0</v>
      </c>
    </row>
    <row r="6886" spans="2:37">
      <c r="B6886" s="834" t="str">
        <f t="shared" si="293"/>
        <v>|||</v>
      </c>
      <c r="H6886" s="835">
        <f t="shared" si="294"/>
        <v>31</v>
      </c>
      <c r="AF6886" s="831" t="s">
        <v>7545</v>
      </c>
      <c r="AG6886" s="831" t="s">
        <v>131</v>
      </c>
      <c r="AH6886" s="831" t="s">
        <v>3239</v>
      </c>
      <c r="AI6886" s="831">
        <v>0</v>
      </c>
      <c r="AJ6886" s="835">
        <v>41364</v>
      </c>
      <c r="AK6886" s="831">
        <v>0</v>
      </c>
    </row>
    <row r="6887" spans="2:37">
      <c r="B6887" s="834" t="str">
        <f t="shared" si="293"/>
        <v>|||</v>
      </c>
      <c r="H6887" s="835">
        <f t="shared" si="294"/>
        <v>31</v>
      </c>
      <c r="AF6887" s="831" t="s">
        <v>7546</v>
      </c>
      <c r="AG6887" s="831" t="s">
        <v>131</v>
      </c>
      <c r="AH6887" s="831" t="s">
        <v>138</v>
      </c>
      <c r="AI6887" s="831">
        <v>0</v>
      </c>
      <c r="AJ6887" s="835">
        <v>41394</v>
      </c>
      <c r="AK6887" s="831">
        <v>35339217</v>
      </c>
    </row>
    <row r="6888" spans="2:37">
      <c r="B6888" s="834" t="str">
        <f t="shared" si="293"/>
        <v>|||</v>
      </c>
      <c r="H6888" s="835">
        <f t="shared" si="294"/>
        <v>31</v>
      </c>
      <c r="AF6888" s="831" t="s">
        <v>7547</v>
      </c>
      <c r="AG6888" s="831" t="s">
        <v>131</v>
      </c>
      <c r="AH6888" s="831" t="s">
        <v>141</v>
      </c>
      <c r="AI6888" s="831">
        <v>0</v>
      </c>
      <c r="AJ6888" s="835">
        <v>41394</v>
      </c>
      <c r="AK6888" s="831">
        <v>3490260</v>
      </c>
    </row>
    <row r="6889" spans="2:37">
      <c r="B6889" s="834" t="str">
        <f t="shared" si="293"/>
        <v>|||</v>
      </c>
      <c r="H6889" s="835">
        <f t="shared" si="294"/>
        <v>31</v>
      </c>
      <c r="AF6889" s="831" t="s">
        <v>7548</v>
      </c>
      <c r="AG6889" s="831" t="s">
        <v>131</v>
      </c>
      <c r="AH6889" s="831" t="s">
        <v>146</v>
      </c>
      <c r="AI6889" s="831">
        <v>0</v>
      </c>
      <c r="AJ6889" s="835">
        <v>41394</v>
      </c>
      <c r="AK6889" s="831">
        <v>-4941472</v>
      </c>
    </row>
    <row r="6890" spans="2:37">
      <c r="B6890" s="834" t="str">
        <f t="shared" si="293"/>
        <v>|||</v>
      </c>
      <c r="H6890" s="835">
        <f t="shared" si="294"/>
        <v>31</v>
      </c>
      <c r="AF6890" s="831" t="s">
        <v>7549</v>
      </c>
      <c r="AG6890" s="831" t="s">
        <v>131</v>
      </c>
      <c r="AH6890" s="831" t="s">
        <v>150</v>
      </c>
      <c r="AI6890" s="831">
        <v>0</v>
      </c>
      <c r="AJ6890" s="835">
        <v>41394</v>
      </c>
      <c r="AK6890" s="831">
        <v>-4684504</v>
      </c>
    </row>
    <row r="6891" spans="2:37">
      <c r="B6891" s="834" t="str">
        <f t="shared" si="293"/>
        <v>|||</v>
      </c>
      <c r="H6891" s="835">
        <f t="shared" si="294"/>
        <v>31</v>
      </c>
      <c r="AF6891" s="831" t="s">
        <v>7550</v>
      </c>
      <c r="AG6891" s="831" t="s">
        <v>131</v>
      </c>
      <c r="AH6891" s="831" t="s">
        <v>77</v>
      </c>
      <c r="AI6891" s="831">
        <v>0</v>
      </c>
      <c r="AJ6891" s="835">
        <v>41394</v>
      </c>
      <c r="AK6891" s="831">
        <v>-1635589</v>
      </c>
    </row>
    <row r="6892" spans="2:37">
      <c r="B6892" s="834" t="str">
        <f t="shared" si="293"/>
        <v>|||</v>
      </c>
      <c r="H6892" s="835">
        <f t="shared" si="294"/>
        <v>31</v>
      </c>
      <c r="AF6892" s="831" t="s">
        <v>7551</v>
      </c>
      <c r="AG6892" s="831" t="s">
        <v>131</v>
      </c>
      <c r="AH6892" s="831" t="s">
        <v>167</v>
      </c>
      <c r="AI6892" s="831">
        <v>0</v>
      </c>
      <c r="AJ6892" s="835">
        <v>41394</v>
      </c>
      <c r="AK6892" s="831">
        <v>0</v>
      </c>
    </row>
    <row r="6893" spans="2:37">
      <c r="B6893" s="834" t="str">
        <f t="shared" si="293"/>
        <v>|||</v>
      </c>
      <c r="H6893" s="835">
        <f t="shared" si="294"/>
        <v>31</v>
      </c>
      <c r="AF6893" s="831" t="s">
        <v>7552</v>
      </c>
      <c r="AG6893" s="831" t="s">
        <v>131</v>
      </c>
      <c r="AH6893" s="831" t="s">
        <v>169</v>
      </c>
      <c r="AI6893" s="831">
        <v>0</v>
      </c>
      <c r="AJ6893" s="835">
        <v>41394</v>
      </c>
      <c r="AK6893" s="831">
        <v>992723</v>
      </c>
    </row>
    <row r="6894" spans="2:37">
      <c r="B6894" s="834" t="str">
        <f t="shared" si="293"/>
        <v>|||</v>
      </c>
      <c r="H6894" s="835">
        <f t="shared" si="294"/>
        <v>31</v>
      </c>
      <c r="AF6894" s="831" t="s">
        <v>7553</v>
      </c>
      <c r="AG6894" s="831" t="s">
        <v>131</v>
      </c>
      <c r="AH6894" s="831" t="s">
        <v>172</v>
      </c>
      <c r="AI6894" s="831">
        <v>0</v>
      </c>
      <c r="AJ6894" s="835">
        <v>41394</v>
      </c>
      <c r="AK6894" s="831">
        <v>-55809</v>
      </c>
    </row>
    <row r="6895" spans="2:37">
      <c r="B6895" s="834" t="str">
        <f t="shared" si="293"/>
        <v>|||</v>
      </c>
      <c r="H6895" s="835">
        <f t="shared" si="294"/>
        <v>31</v>
      </c>
      <c r="AF6895" s="831" t="s">
        <v>7554</v>
      </c>
      <c r="AG6895" s="831" t="s">
        <v>131</v>
      </c>
      <c r="AH6895" s="831" t="s">
        <v>175</v>
      </c>
      <c r="AI6895" s="831">
        <v>0</v>
      </c>
      <c r="AJ6895" s="835">
        <v>41394</v>
      </c>
      <c r="AK6895" s="831">
        <v>707054</v>
      </c>
    </row>
    <row r="6896" spans="2:37">
      <c r="B6896" s="834" t="str">
        <f t="shared" si="293"/>
        <v>|||</v>
      </c>
      <c r="H6896" s="835">
        <f t="shared" si="294"/>
        <v>31</v>
      </c>
      <c r="AF6896" s="831" t="s">
        <v>7555</v>
      </c>
      <c r="AG6896" s="831" t="s">
        <v>131</v>
      </c>
      <c r="AH6896" s="831" t="s">
        <v>185</v>
      </c>
      <c r="AI6896" s="831">
        <v>0</v>
      </c>
      <c r="AJ6896" s="835">
        <v>41394</v>
      </c>
      <c r="AK6896" s="831">
        <v>-10670928</v>
      </c>
    </row>
    <row r="6897" spans="2:37">
      <c r="B6897" s="834" t="str">
        <f t="shared" si="293"/>
        <v>|||</v>
      </c>
      <c r="H6897" s="835">
        <f t="shared" si="294"/>
        <v>31</v>
      </c>
      <c r="AF6897" s="831" t="s">
        <v>7556</v>
      </c>
      <c r="AG6897" s="831" t="s">
        <v>131</v>
      </c>
      <c r="AH6897" s="831" t="s">
        <v>188</v>
      </c>
      <c r="AI6897" s="831">
        <v>0</v>
      </c>
      <c r="AJ6897" s="835">
        <v>41394</v>
      </c>
      <c r="AK6897" s="831">
        <v>-5821074</v>
      </c>
    </row>
    <row r="6898" spans="2:37">
      <c r="B6898" s="834" t="str">
        <f t="shared" si="293"/>
        <v>|||</v>
      </c>
      <c r="H6898" s="835">
        <f t="shared" si="294"/>
        <v>31</v>
      </c>
      <c r="AF6898" s="831" t="s">
        <v>7557</v>
      </c>
      <c r="AG6898" s="831" t="s">
        <v>131</v>
      </c>
      <c r="AH6898" s="831" t="s">
        <v>191</v>
      </c>
      <c r="AI6898" s="831">
        <v>0</v>
      </c>
      <c r="AJ6898" s="835">
        <v>41394</v>
      </c>
      <c r="AK6898" s="831">
        <v>-2014203</v>
      </c>
    </row>
    <row r="6899" spans="2:37">
      <c r="B6899" s="834" t="str">
        <f t="shared" si="293"/>
        <v>|||</v>
      </c>
      <c r="H6899" s="835">
        <f t="shared" si="294"/>
        <v>31</v>
      </c>
      <c r="AF6899" s="831" t="s">
        <v>7558</v>
      </c>
      <c r="AG6899" s="831" t="s">
        <v>131</v>
      </c>
      <c r="AH6899" s="831" t="s">
        <v>198</v>
      </c>
      <c r="AI6899" s="831">
        <v>0</v>
      </c>
      <c r="AJ6899" s="835">
        <v>41394</v>
      </c>
      <c r="AK6899" s="831">
        <v>0</v>
      </c>
    </row>
    <row r="6900" spans="2:37">
      <c r="B6900" s="834" t="str">
        <f t="shared" si="293"/>
        <v>|||</v>
      </c>
      <c r="H6900" s="835">
        <f t="shared" si="294"/>
        <v>31</v>
      </c>
      <c r="AF6900" s="831" t="s">
        <v>7559</v>
      </c>
      <c r="AG6900" s="831" t="s">
        <v>131</v>
      </c>
      <c r="AH6900" s="831" t="s">
        <v>200</v>
      </c>
      <c r="AI6900" s="831">
        <v>0</v>
      </c>
      <c r="AJ6900" s="835">
        <v>41394</v>
      </c>
      <c r="AK6900" s="831">
        <v>0</v>
      </c>
    </row>
    <row r="6901" spans="2:37">
      <c r="B6901" s="834" t="str">
        <f t="shared" si="293"/>
        <v>|||</v>
      </c>
      <c r="H6901" s="835">
        <f t="shared" si="294"/>
        <v>31</v>
      </c>
      <c r="AF6901" s="831" t="s">
        <v>7560</v>
      </c>
      <c r="AG6901" s="831" t="s">
        <v>131</v>
      </c>
      <c r="AH6901" s="831" t="s">
        <v>205</v>
      </c>
      <c r="AI6901" s="831">
        <v>0</v>
      </c>
      <c r="AJ6901" s="835">
        <v>41394</v>
      </c>
      <c r="AK6901" s="831">
        <v>-2141032</v>
      </c>
    </row>
    <row r="6902" spans="2:37">
      <c r="B6902" s="834" t="str">
        <f t="shared" si="293"/>
        <v>|||</v>
      </c>
      <c r="H6902" s="835">
        <f t="shared" si="294"/>
        <v>31</v>
      </c>
      <c r="AF6902" s="831" t="s">
        <v>7561</v>
      </c>
      <c r="AG6902" s="831" t="s">
        <v>131</v>
      </c>
      <c r="AH6902" s="831" t="s">
        <v>122</v>
      </c>
      <c r="AI6902" s="831">
        <v>0</v>
      </c>
      <c r="AJ6902" s="835">
        <v>41394</v>
      </c>
      <c r="AK6902" s="831">
        <v>0</v>
      </c>
    </row>
    <row r="6903" spans="2:37">
      <c r="B6903" s="834" t="str">
        <f t="shared" si="293"/>
        <v>|||</v>
      </c>
      <c r="H6903" s="835">
        <f t="shared" si="294"/>
        <v>31</v>
      </c>
      <c r="AF6903" s="831" t="s">
        <v>7562</v>
      </c>
      <c r="AG6903" s="831" t="s">
        <v>131</v>
      </c>
      <c r="AH6903" s="831" t="s">
        <v>213</v>
      </c>
      <c r="AI6903" s="831">
        <v>0</v>
      </c>
      <c r="AJ6903" s="835">
        <v>41394</v>
      </c>
      <c r="AK6903" s="831">
        <v>0</v>
      </c>
    </row>
    <row r="6904" spans="2:37">
      <c r="B6904" s="834" t="str">
        <f t="shared" si="293"/>
        <v>|||</v>
      </c>
      <c r="H6904" s="835">
        <f t="shared" si="294"/>
        <v>31</v>
      </c>
      <c r="AF6904" s="831" t="s">
        <v>7563</v>
      </c>
      <c r="AG6904" s="831" t="s">
        <v>131</v>
      </c>
      <c r="AH6904" s="831" t="s">
        <v>215</v>
      </c>
      <c r="AI6904" s="831">
        <v>0</v>
      </c>
      <c r="AJ6904" s="835">
        <v>41394</v>
      </c>
      <c r="AK6904" s="831">
        <v>0</v>
      </c>
    </row>
    <row r="6905" spans="2:37">
      <c r="B6905" s="834" t="str">
        <f t="shared" si="293"/>
        <v>|||</v>
      </c>
      <c r="H6905" s="835">
        <f t="shared" si="294"/>
        <v>31</v>
      </c>
      <c r="AF6905" s="831" t="s">
        <v>7564</v>
      </c>
      <c r="AG6905" s="831" t="s">
        <v>131</v>
      </c>
      <c r="AH6905" s="831" t="s">
        <v>217</v>
      </c>
      <c r="AI6905" s="831">
        <v>0</v>
      </c>
      <c r="AJ6905" s="835">
        <v>41394</v>
      </c>
      <c r="AK6905" s="831">
        <v>0</v>
      </c>
    </row>
    <row r="6906" spans="2:37">
      <c r="B6906" s="834" t="str">
        <f t="shared" si="293"/>
        <v>|||</v>
      </c>
      <c r="H6906" s="835">
        <f t="shared" si="294"/>
        <v>31</v>
      </c>
      <c r="AF6906" s="831" t="s">
        <v>7565</v>
      </c>
      <c r="AG6906" s="831" t="s">
        <v>131</v>
      </c>
      <c r="AH6906" s="831" t="s">
        <v>223</v>
      </c>
      <c r="AI6906" s="831">
        <v>0</v>
      </c>
      <c r="AJ6906" s="835">
        <v>41394</v>
      </c>
      <c r="AK6906" s="831">
        <v>0</v>
      </c>
    </row>
    <row r="6907" spans="2:37">
      <c r="B6907" s="834" t="str">
        <f t="shared" si="293"/>
        <v>|||</v>
      </c>
      <c r="H6907" s="835">
        <f t="shared" si="294"/>
        <v>31</v>
      </c>
      <c r="AF6907" s="831" t="s">
        <v>7566</v>
      </c>
      <c r="AG6907" s="831" t="s">
        <v>131</v>
      </c>
      <c r="AH6907" s="831" t="s">
        <v>224</v>
      </c>
      <c r="AI6907" s="831">
        <v>0</v>
      </c>
      <c r="AJ6907" s="835">
        <v>41394</v>
      </c>
      <c r="AK6907" s="831">
        <v>0</v>
      </c>
    </row>
    <row r="6908" spans="2:37">
      <c r="B6908" s="834" t="str">
        <f t="shared" si="293"/>
        <v>|||</v>
      </c>
      <c r="H6908" s="835">
        <f t="shared" si="294"/>
        <v>31</v>
      </c>
      <c r="AF6908" s="831" t="s">
        <v>7567</v>
      </c>
      <c r="AG6908" s="831" t="s">
        <v>131</v>
      </c>
      <c r="AH6908" s="831" t="s">
        <v>128</v>
      </c>
      <c r="AI6908" s="831">
        <v>0</v>
      </c>
      <c r="AJ6908" s="835">
        <v>41394</v>
      </c>
      <c r="AK6908" s="831">
        <v>0</v>
      </c>
    </row>
    <row r="6909" spans="2:37">
      <c r="B6909" s="834" t="str">
        <f t="shared" si="293"/>
        <v>|||</v>
      </c>
      <c r="H6909" s="835">
        <f t="shared" si="294"/>
        <v>31</v>
      </c>
      <c r="AF6909" s="831" t="s">
        <v>7568</v>
      </c>
      <c r="AG6909" s="831" t="s">
        <v>131</v>
      </c>
      <c r="AH6909" s="831" t="s">
        <v>3237</v>
      </c>
      <c r="AI6909" s="831">
        <v>0</v>
      </c>
      <c r="AJ6909" s="835">
        <v>41394</v>
      </c>
      <c r="AK6909" s="831">
        <v>0</v>
      </c>
    </row>
    <row r="6910" spans="2:37">
      <c r="B6910" s="834" t="str">
        <f t="shared" si="293"/>
        <v>|||</v>
      </c>
      <c r="H6910" s="835">
        <f t="shared" si="294"/>
        <v>31</v>
      </c>
      <c r="AF6910" s="831" t="s">
        <v>7569</v>
      </c>
      <c r="AG6910" s="831" t="s">
        <v>131</v>
      </c>
      <c r="AH6910" s="831" t="s">
        <v>3239</v>
      </c>
      <c r="AI6910" s="831">
        <v>0</v>
      </c>
      <c r="AJ6910" s="835">
        <v>41394</v>
      </c>
      <c r="AK6910" s="831">
        <v>0</v>
      </c>
    </row>
    <row r="6911" spans="2:37">
      <c r="B6911" s="834" t="str">
        <f t="shared" si="293"/>
        <v>|||</v>
      </c>
      <c r="H6911" s="835">
        <f t="shared" si="294"/>
        <v>31</v>
      </c>
      <c r="AF6911" s="831" t="s">
        <v>7570</v>
      </c>
      <c r="AG6911" s="831" t="s">
        <v>131</v>
      </c>
      <c r="AH6911" s="831" t="s">
        <v>138</v>
      </c>
      <c r="AI6911" s="831">
        <v>0</v>
      </c>
      <c r="AJ6911" s="835">
        <v>41425</v>
      </c>
      <c r="AK6911" s="831">
        <v>45178973</v>
      </c>
    </row>
    <row r="6912" spans="2:37">
      <c r="B6912" s="834" t="str">
        <f t="shared" si="293"/>
        <v>|||</v>
      </c>
      <c r="H6912" s="835">
        <f t="shared" si="294"/>
        <v>31</v>
      </c>
      <c r="AF6912" s="831" t="s">
        <v>7571</v>
      </c>
      <c r="AG6912" s="831" t="s">
        <v>131</v>
      </c>
      <c r="AH6912" s="831" t="s">
        <v>141</v>
      </c>
      <c r="AI6912" s="831">
        <v>0</v>
      </c>
      <c r="AJ6912" s="835">
        <v>41425</v>
      </c>
      <c r="AK6912" s="831">
        <v>4458258</v>
      </c>
    </row>
    <row r="6913" spans="2:37">
      <c r="B6913" s="834" t="str">
        <f t="shared" si="293"/>
        <v>|||</v>
      </c>
      <c r="H6913" s="835">
        <f t="shared" si="294"/>
        <v>31</v>
      </c>
      <c r="AF6913" s="831" t="s">
        <v>7572</v>
      </c>
      <c r="AG6913" s="831" t="s">
        <v>131</v>
      </c>
      <c r="AH6913" s="831" t="s">
        <v>146</v>
      </c>
      <c r="AI6913" s="831">
        <v>0</v>
      </c>
      <c r="AJ6913" s="835">
        <v>41425</v>
      </c>
      <c r="AK6913" s="831">
        <v>-6304240</v>
      </c>
    </row>
    <row r="6914" spans="2:37">
      <c r="B6914" s="834" t="str">
        <f t="shared" si="293"/>
        <v>|||</v>
      </c>
      <c r="H6914" s="835">
        <f t="shared" si="294"/>
        <v>31</v>
      </c>
      <c r="AF6914" s="831" t="s">
        <v>7573</v>
      </c>
      <c r="AG6914" s="831" t="s">
        <v>131</v>
      </c>
      <c r="AH6914" s="831" t="s">
        <v>150</v>
      </c>
      <c r="AI6914" s="831">
        <v>0</v>
      </c>
      <c r="AJ6914" s="835">
        <v>41425</v>
      </c>
      <c r="AK6914" s="831">
        <v>-6063515</v>
      </c>
    </row>
    <row r="6915" spans="2:37">
      <c r="B6915" s="834" t="str">
        <f t="shared" ref="B6915:B6978" si="295">C6915&amp;"|"&amp;D6915&amp;"|"&amp;E6915&amp;"|"&amp;F6915</f>
        <v>|||</v>
      </c>
      <c r="H6915" s="835">
        <f t="shared" si="294"/>
        <v>31</v>
      </c>
      <c r="AF6915" s="831" t="s">
        <v>7574</v>
      </c>
      <c r="AG6915" s="831" t="s">
        <v>131</v>
      </c>
      <c r="AH6915" s="831" t="s">
        <v>77</v>
      </c>
      <c r="AI6915" s="831">
        <v>0</v>
      </c>
      <c r="AJ6915" s="835">
        <v>41425</v>
      </c>
      <c r="AK6915" s="831">
        <v>-2326624</v>
      </c>
    </row>
    <row r="6916" spans="2:37">
      <c r="B6916" s="834" t="str">
        <f t="shared" si="295"/>
        <v>|||</v>
      </c>
      <c r="H6916" s="835">
        <f t="shared" ref="H6916:H6979" si="296">EOMONTH(L6916,0)</f>
        <v>31</v>
      </c>
      <c r="AF6916" s="831" t="s">
        <v>7575</v>
      </c>
      <c r="AG6916" s="831" t="s">
        <v>131</v>
      </c>
      <c r="AH6916" s="831" t="s">
        <v>167</v>
      </c>
      <c r="AI6916" s="831">
        <v>0</v>
      </c>
      <c r="AJ6916" s="835">
        <v>41425</v>
      </c>
      <c r="AK6916" s="831">
        <v>0</v>
      </c>
    </row>
    <row r="6917" spans="2:37">
      <c r="B6917" s="834" t="str">
        <f t="shared" si="295"/>
        <v>|||</v>
      </c>
      <c r="H6917" s="835">
        <f t="shared" si="296"/>
        <v>31</v>
      </c>
      <c r="AF6917" s="831" t="s">
        <v>7576</v>
      </c>
      <c r="AG6917" s="831" t="s">
        <v>131</v>
      </c>
      <c r="AH6917" s="831" t="s">
        <v>169</v>
      </c>
      <c r="AI6917" s="831">
        <v>0</v>
      </c>
      <c r="AJ6917" s="835">
        <v>41425</v>
      </c>
      <c r="AK6917" s="831">
        <v>1340798</v>
      </c>
    </row>
    <row r="6918" spans="2:37">
      <c r="B6918" s="834" t="str">
        <f t="shared" si="295"/>
        <v>|||</v>
      </c>
      <c r="H6918" s="835">
        <f t="shared" si="296"/>
        <v>31</v>
      </c>
      <c r="AF6918" s="831" t="s">
        <v>7577</v>
      </c>
      <c r="AG6918" s="831" t="s">
        <v>131</v>
      </c>
      <c r="AH6918" s="831" t="s">
        <v>172</v>
      </c>
      <c r="AI6918" s="831">
        <v>0</v>
      </c>
      <c r="AJ6918" s="835">
        <v>41425</v>
      </c>
      <c r="AK6918" s="831">
        <v>-104700</v>
      </c>
    </row>
    <row r="6919" spans="2:37">
      <c r="B6919" s="834" t="str">
        <f t="shared" si="295"/>
        <v>|||</v>
      </c>
      <c r="H6919" s="835">
        <f t="shared" si="296"/>
        <v>31</v>
      </c>
      <c r="AF6919" s="831" t="s">
        <v>7578</v>
      </c>
      <c r="AG6919" s="831" t="s">
        <v>131</v>
      </c>
      <c r="AH6919" s="831" t="s">
        <v>175</v>
      </c>
      <c r="AI6919" s="831">
        <v>0</v>
      </c>
      <c r="AJ6919" s="835">
        <v>41425</v>
      </c>
      <c r="AK6919" s="831">
        <v>990495</v>
      </c>
    </row>
    <row r="6920" spans="2:37">
      <c r="B6920" s="834" t="str">
        <f t="shared" si="295"/>
        <v>|||</v>
      </c>
      <c r="H6920" s="835">
        <f t="shared" si="296"/>
        <v>31</v>
      </c>
      <c r="AF6920" s="831" t="s">
        <v>7579</v>
      </c>
      <c r="AG6920" s="831" t="s">
        <v>131</v>
      </c>
      <c r="AH6920" s="831" t="s">
        <v>185</v>
      </c>
      <c r="AI6920" s="831">
        <v>0</v>
      </c>
      <c r="AJ6920" s="835">
        <v>41425</v>
      </c>
      <c r="AK6920" s="831">
        <v>-13375677</v>
      </c>
    </row>
    <row r="6921" spans="2:37">
      <c r="B6921" s="834" t="str">
        <f t="shared" si="295"/>
        <v>|||</v>
      </c>
      <c r="H6921" s="835">
        <f t="shared" si="296"/>
        <v>31</v>
      </c>
      <c r="AF6921" s="831" t="s">
        <v>7580</v>
      </c>
      <c r="AG6921" s="831" t="s">
        <v>131</v>
      </c>
      <c r="AH6921" s="831" t="s">
        <v>188</v>
      </c>
      <c r="AI6921" s="831">
        <v>0</v>
      </c>
      <c r="AJ6921" s="835">
        <v>41425</v>
      </c>
      <c r="AK6921" s="831">
        <v>-7682103</v>
      </c>
    </row>
    <row r="6922" spans="2:37">
      <c r="B6922" s="834" t="str">
        <f t="shared" si="295"/>
        <v>|||</v>
      </c>
      <c r="H6922" s="835">
        <f t="shared" si="296"/>
        <v>31</v>
      </c>
      <c r="AF6922" s="831" t="s">
        <v>7581</v>
      </c>
      <c r="AG6922" s="831" t="s">
        <v>131</v>
      </c>
      <c r="AH6922" s="831" t="s">
        <v>191</v>
      </c>
      <c r="AI6922" s="831">
        <v>0</v>
      </c>
      <c r="AJ6922" s="835">
        <v>41425</v>
      </c>
      <c r="AK6922" s="831">
        <v>-2501730</v>
      </c>
    </row>
    <row r="6923" spans="2:37">
      <c r="B6923" s="834" t="str">
        <f t="shared" si="295"/>
        <v>|||</v>
      </c>
      <c r="H6923" s="835">
        <f t="shared" si="296"/>
        <v>31</v>
      </c>
      <c r="AF6923" s="831" t="s">
        <v>7582</v>
      </c>
      <c r="AG6923" s="831" t="s">
        <v>131</v>
      </c>
      <c r="AH6923" s="831" t="s">
        <v>198</v>
      </c>
      <c r="AI6923" s="831">
        <v>0</v>
      </c>
      <c r="AJ6923" s="835">
        <v>41425</v>
      </c>
      <c r="AK6923" s="831">
        <v>0</v>
      </c>
    </row>
    <row r="6924" spans="2:37">
      <c r="B6924" s="834" t="str">
        <f t="shared" si="295"/>
        <v>|||</v>
      </c>
      <c r="H6924" s="835">
        <f t="shared" si="296"/>
        <v>31</v>
      </c>
      <c r="AF6924" s="831" t="s">
        <v>7583</v>
      </c>
      <c r="AG6924" s="831" t="s">
        <v>131</v>
      </c>
      <c r="AH6924" s="831" t="s">
        <v>200</v>
      </c>
      <c r="AI6924" s="831">
        <v>0</v>
      </c>
      <c r="AJ6924" s="835">
        <v>41425</v>
      </c>
      <c r="AK6924" s="831">
        <v>0</v>
      </c>
    </row>
    <row r="6925" spans="2:37">
      <c r="B6925" s="834" t="str">
        <f t="shared" si="295"/>
        <v>|||</v>
      </c>
      <c r="H6925" s="835">
        <f t="shared" si="296"/>
        <v>31</v>
      </c>
      <c r="AF6925" s="831" t="s">
        <v>7584</v>
      </c>
      <c r="AG6925" s="831" t="s">
        <v>131</v>
      </c>
      <c r="AH6925" s="831" t="s">
        <v>205</v>
      </c>
      <c r="AI6925" s="831">
        <v>0</v>
      </c>
      <c r="AJ6925" s="835">
        <v>41425</v>
      </c>
      <c r="AK6925" s="831">
        <v>-2721802</v>
      </c>
    </row>
    <row r="6926" spans="2:37">
      <c r="B6926" s="834" t="str">
        <f t="shared" si="295"/>
        <v>|||</v>
      </c>
      <c r="H6926" s="835">
        <f t="shared" si="296"/>
        <v>31</v>
      </c>
      <c r="AF6926" s="831" t="s">
        <v>7585</v>
      </c>
      <c r="AG6926" s="831" t="s">
        <v>131</v>
      </c>
      <c r="AH6926" s="831" t="s">
        <v>122</v>
      </c>
      <c r="AI6926" s="831">
        <v>0</v>
      </c>
      <c r="AJ6926" s="835">
        <v>41425</v>
      </c>
      <c r="AK6926" s="831">
        <v>0</v>
      </c>
    </row>
    <row r="6927" spans="2:37">
      <c r="B6927" s="834" t="str">
        <f t="shared" si="295"/>
        <v>|||</v>
      </c>
      <c r="H6927" s="835">
        <f t="shared" si="296"/>
        <v>31</v>
      </c>
      <c r="AF6927" s="831" t="s">
        <v>7586</v>
      </c>
      <c r="AG6927" s="831" t="s">
        <v>131</v>
      </c>
      <c r="AH6927" s="831" t="s">
        <v>213</v>
      </c>
      <c r="AI6927" s="831">
        <v>0</v>
      </c>
      <c r="AJ6927" s="835">
        <v>41425</v>
      </c>
      <c r="AK6927" s="831">
        <v>0</v>
      </c>
    </row>
    <row r="6928" spans="2:37">
      <c r="B6928" s="834" t="str">
        <f t="shared" si="295"/>
        <v>|||</v>
      </c>
      <c r="H6928" s="835">
        <f t="shared" si="296"/>
        <v>31</v>
      </c>
      <c r="AF6928" s="831" t="s">
        <v>7587</v>
      </c>
      <c r="AG6928" s="831" t="s">
        <v>131</v>
      </c>
      <c r="AH6928" s="831" t="s">
        <v>215</v>
      </c>
      <c r="AI6928" s="831">
        <v>0</v>
      </c>
      <c r="AJ6928" s="835">
        <v>41425</v>
      </c>
      <c r="AK6928" s="831">
        <v>0</v>
      </c>
    </row>
    <row r="6929" spans="2:37">
      <c r="B6929" s="834" t="str">
        <f t="shared" si="295"/>
        <v>|||</v>
      </c>
      <c r="H6929" s="835">
        <f t="shared" si="296"/>
        <v>31</v>
      </c>
      <c r="AF6929" s="831" t="s">
        <v>7588</v>
      </c>
      <c r="AG6929" s="831" t="s">
        <v>131</v>
      </c>
      <c r="AH6929" s="831" t="s">
        <v>217</v>
      </c>
      <c r="AI6929" s="831">
        <v>0</v>
      </c>
      <c r="AJ6929" s="835">
        <v>41425</v>
      </c>
      <c r="AK6929" s="831">
        <v>0</v>
      </c>
    </row>
    <row r="6930" spans="2:37">
      <c r="B6930" s="834" t="str">
        <f t="shared" si="295"/>
        <v>|||</v>
      </c>
      <c r="H6930" s="835">
        <f t="shared" si="296"/>
        <v>31</v>
      </c>
      <c r="AF6930" s="831" t="s">
        <v>7589</v>
      </c>
      <c r="AG6930" s="831" t="s">
        <v>131</v>
      </c>
      <c r="AH6930" s="831" t="s">
        <v>223</v>
      </c>
      <c r="AI6930" s="831">
        <v>0</v>
      </c>
      <c r="AJ6930" s="835">
        <v>41425</v>
      </c>
      <c r="AK6930" s="831">
        <v>0</v>
      </c>
    </row>
    <row r="6931" spans="2:37">
      <c r="B6931" s="834" t="str">
        <f t="shared" si="295"/>
        <v>|||</v>
      </c>
      <c r="H6931" s="835">
        <f t="shared" si="296"/>
        <v>31</v>
      </c>
      <c r="AF6931" s="831" t="s">
        <v>7590</v>
      </c>
      <c r="AG6931" s="831" t="s">
        <v>131</v>
      </c>
      <c r="AH6931" s="831" t="s">
        <v>224</v>
      </c>
      <c r="AI6931" s="831">
        <v>0</v>
      </c>
      <c r="AJ6931" s="835">
        <v>41425</v>
      </c>
      <c r="AK6931" s="831">
        <v>0</v>
      </c>
    </row>
    <row r="6932" spans="2:37">
      <c r="B6932" s="834" t="str">
        <f t="shared" si="295"/>
        <v>|||</v>
      </c>
      <c r="H6932" s="835">
        <f t="shared" si="296"/>
        <v>31</v>
      </c>
      <c r="AF6932" s="831" t="s">
        <v>7591</v>
      </c>
      <c r="AG6932" s="831" t="s">
        <v>131</v>
      </c>
      <c r="AH6932" s="831" t="s">
        <v>128</v>
      </c>
      <c r="AI6932" s="831">
        <v>0</v>
      </c>
      <c r="AJ6932" s="835">
        <v>41425</v>
      </c>
      <c r="AK6932" s="831">
        <v>0</v>
      </c>
    </row>
    <row r="6933" spans="2:37">
      <c r="B6933" s="834" t="str">
        <f t="shared" si="295"/>
        <v>|||</v>
      </c>
      <c r="H6933" s="835">
        <f t="shared" si="296"/>
        <v>31</v>
      </c>
      <c r="AF6933" s="831" t="s">
        <v>7592</v>
      </c>
      <c r="AG6933" s="831" t="s">
        <v>131</v>
      </c>
      <c r="AH6933" s="831" t="s">
        <v>3237</v>
      </c>
      <c r="AI6933" s="831">
        <v>0</v>
      </c>
      <c r="AJ6933" s="835">
        <v>41425</v>
      </c>
      <c r="AK6933" s="831">
        <v>0</v>
      </c>
    </row>
    <row r="6934" spans="2:37">
      <c r="B6934" s="834" t="str">
        <f t="shared" si="295"/>
        <v>|||</v>
      </c>
      <c r="H6934" s="835">
        <f t="shared" si="296"/>
        <v>31</v>
      </c>
      <c r="AF6934" s="831" t="s">
        <v>7593</v>
      </c>
      <c r="AG6934" s="831" t="s">
        <v>131</v>
      </c>
      <c r="AH6934" s="831" t="s">
        <v>3239</v>
      </c>
      <c r="AI6934" s="831">
        <v>0</v>
      </c>
      <c r="AJ6934" s="835">
        <v>41425</v>
      </c>
      <c r="AK6934" s="831">
        <v>0</v>
      </c>
    </row>
    <row r="6935" spans="2:37">
      <c r="B6935" s="834" t="str">
        <f t="shared" si="295"/>
        <v>|||</v>
      </c>
      <c r="H6935" s="835">
        <f t="shared" si="296"/>
        <v>31</v>
      </c>
      <c r="AF6935" s="831" t="s">
        <v>7594</v>
      </c>
      <c r="AG6935" s="831" t="s">
        <v>131</v>
      </c>
      <c r="AH6935" s="831" t="s">
        <v>138</v>
      </c>
      <c r="AI6935" s="831">
        <v>0</v>
      </c>
      <c r="AJ6935" s="835">
        <v>41455</v>
      </c>
      <c r="AK6935" s="831">
        <v>54969228</v>
      </c>
    </row>
    <row r="6936" spans="2:37">
      <c r="B6936" s="834" t="str">
        <f t="shared" si="295"/>
        <v>|||</v>
      </c>
      <c r="H6936" s="835">
        <f t="shared" si="296"/>
        <v>31</v>
      </c>
      <c r="AF6936" s="831" t="s">
        <v>7595</v>
      </c>
      <c r="AG6936" s="831" t="s">
        <v>131</v>
      </c>
      <c r="AH6936" s="831" t="s">
        <v>141</v>
      </c>
      <c r="AI6936" s="831">
        <v>0</v>
      </c>
      <c r="AJ6936" s="835">
        <v>41455</v>
      </c>
      <c r="AK6936" s="831">
        <v>5224471</v>
      </c>
    </row>
    <row r="6937" spans="2:37">
      <c r="B6937" s="834" t="str">
        <f t="shared" si="295"/>
        <v>|||</v>
      </c>
      <c r="H6937" s="835">
        <f t="shared" si="296"/>
        <v>31</v>
      </c>
      <c r="AF6937" s="831" t="s">
        <v>7596</v>
      </c>
      <c r="AG6937" s="831" t="s">
        <v>131</v>
      </c>
      <c r="AH6937" s="831" t="s">
        <v>146</v>
      </c>
      <c r="AI6937" s="831">
        <v>0</v>
      </c>
      <c r="AJ6937" s="835">
        <v>41455</v>
      </c>
      <c r="AK6937" s="831">
        <v>-7656055</v>
      </c>
    </row>
    <row r="6938" spans="2:37">
      <c r="B6938" s="834" t="str">
        <f t="shared" si="295"/>
        <v>|||</v>
      </c>
      <c r="H6938" s="835">
        <f t="shared" si="296"/>
        <v>31</v>
      </c>
      <c r="AF6938" s="831" t="s">
        <v>7597</v>
      </c>
      <c r="AG6938" s="831" t="s">
        <v>131</v>
      </c>
      <c r="AH6938" s="831" t="s">
        <v>150</v>
      </c>
      <c r="AI6938" s="831">
        <v>0</v>
      </c>
      <c r="AJ6938" s="835">
        <v>41455</v>
      </c>
      <c r="AK6938" s="831">
        <v>-7403910</v>
      </c>
    </row>
    <row r="6939" spans="2:37">
      <c r="B6939" s="834" t="str">
        <f t="shared" si="295"/>
        <v>|||</v>
      </c>
      <c r="H6939" s="835">
        <f t="shared" si="296"/>
        <v>31</v>
      </c>
      <c r="AF6939" s="831" t="s">
        <v>7598</v>
      </c>
      <c r="AG6939" s="831" t="s">
        <v>131</v>
      </c>
      <c r="AH6939" s="831" t="s">
        <v>77</v>
      </c>
      <c r="AI6939" s="831">
        <v>0</v>
      </c>
      <c r="AJ6939" s="835">
        <v>41455</v>
      </c>
      <c r="AK6939" s="831">
        <v>-2527252</v>
      </c>
    </row>
    <row r="6940" spans="2:37">
      <c r="B6940" s="834" t="str">
        <f t="shared" si="295"/>
        <v>|||</v>
      </c>
      <c r="H6940" s="835">
        <f t="shared" si="296"/>
        <v>31</v>
      </c>
      <c r="AF6940" s="831" t="s">
        <v>7599</v>
      </c>
      <c r="AG6940" s="831" t="s">
        <v>131</v>
      </c>
      <c r="AH6940" s="831" t="s">
        <v>167</v>
      </c>
      <c r="AI6940" s="831">
        <v>0</v>
      </c>
      <c r="AJ6940" s="835">
        <v>41455</v>
      </c>
      <c r="AK6940" s="831">
        <v>0</v>
      </c>
    </row>
    <row r="6941" spans="2:37">
      <c r="B6941" s="834" t="str">
        <f t="shared" si="295"/>
        <v>|||</v>
      </c>
      <c r="H6941" s="835">
        <f t="shared" si="296"/>
        <v>31</v>
      </c>
      <c r="AF6941" s="831" t="s">
        <v>7600</v>
      </c>
      <c r="AG6941" s="831" t="s">
        <v>131</v>
      </c>
      <c r="AH6941" s="831" t="s">
        <v>169</v>
      </c>
      <c r="AI6941" s="831">
        <v>0</v>
      </c>
      <c r="AJ6941" s="835">
        <v>41455</v>
      </c>
      <c r="AK6941" s="831">
        <v>1617005</v>
      </c>
    </row>
    <row r="6942" spans="2:37">
      <c r="B6942" s="834" t="str">
        <f t="shared" si="295"/>
        <v>|||</v>
      </c>
      <c r="H6942" s="835">
        <f t="shared" si="296"/>
        <v>31</v>
      </c>
      <c r="AF6942" s="831" t="s">
        <v>7601</v>
      </c>
      <c r="AG6942" s="831" t="s">
        <v>131</v>
      </c>
      <c r="AH6942" s="831" t="s">
        <v>172</v>
      </c>
      <c r="AI6942" s="831">
        <v>0</v>
      </c>
      <c r="AJ6942" s="835">
        <v>41455</v>
      </c>
      <c r="AK6942" s="831">
        <v>-187513</v>
      </c>
    </row>
    <row r="6943" spans="2:37">
      <c r="B6943" s="834" t="str">
        <f t="shared" si="295"/>
        <v>|||</v>
      </c>
      <c r="H6943" s="835">
        <f t="shared" si="296"/>
        <v>31</v>
      </c>
      <c r="AF6943" s="831" t="s">
        <v>7602</v>
      </c>
      <c r="AG6943" s="831" t="s">
        <v>131</v>
      </c>
      <c r="AH6943" s="831" t="s">
        <v>175</v>
      </c>
      <c r="AI6943" s="831">
        <v>0</v>
      </c>
      <c r="AJ6943" s="835">
        <v>41455</v>
      </c>
      <c r="AK6943" s="831">
        <v>1305810</v>
      </c>
    </row>
    <row r="6944" spans="2:37">
      <c r="B6944" s="834" t="str">
        <f t="shared" si="295"/>
        <v>|||</v>
      </c>
      <c r="H6944" s="835">
        <f t="shared" si="296"/>
        <v>31</v>
      </c>
      <c r="AF6944" s="831" t="s">
        <v>7603</v>
      </c>
      <c r="AG6944" s="831" t="s">
        <v>131</v>
      </c>
      <c r="AH6944" s="831" t="s">
        <v>185</v>
      </c>
      <c r="AI6944" s="831">
        <v>0</v>
      </c>
      <c r="AJ6944" s="835">
        <v>41455</v>
      </c>
      <c r="AK6944" s="831">
        <v>-16670653</v>
      </c>
    </row>
    <row r="6945" spans="2:37">
      <c r="B6945" s="834" t="str">
        <f t="shared" si="295"/>
        <v>|||</v>
      </c>
      <c r="H6945" s="835">
        <f t="shared" si="296"/>
        <v>31</v>
      </c>
      <c r="AF6945" s="831" t="s">
        <v>7604</v>
      </c>
      <c r="AG6945" s="831" t="s">
        <v>131</v>
      </c>
      <c r="AH6945" s="831" t="s">
        <v>188</v>
      </c>
      <c r="AI6945" s="831">
        <v>0</v>
      </c>
      <c r="AJ6945" s="835">
        <v>41455</v>
      </c>
      <c r="AK6945" s="831">
        <v>-9059437</v>
      </c>
    </row>
    <row r="6946" spans="2:37">
      <c r="B6946" s="834" t="str">
        <f t="shared" si="295"/>
        <v>|||</v>
      </c>
      <c r="H6946" s="835">
        <f t="shared" si="296"/>
        <v>31</v>
      </c>
      <c r="AF6946" s="831" t="s">
        <v>7605</v>
      </c>
      <c r="AG6946" s="831" t="s">
        <v>131</v>
      </c>
      <c r="AH6946" s="831" t="s">
        <v>191</v>
      </c>
      <c r="AI6946" s="831">
        <v>0</v>
      </c>
      <c r="AJ6946" s="835">
        <v>41455</v>
      </c>
      <c r="AK6946" s="831">
        <v>-2990495</v>
      </c>
    </row>
    <row r="6947" spans="2:37">
      <c r="B6947" s="834" t="str">
        <f t="shared" si="295"/>
        <v>|||</v>
      </c>
      <c r="H6947" s="835">
        <f t="shared" si="296"/>
        <v>31</v>
      </c>
      <c r="AF6947" s="831" t="s">
        <v>7606</v>
      </c>
      <c r="AG6947" s="831" t="s">
        <v>131</v>
      </c>
      <c r="AH6947" s="831" t="s">
        <v>198</v>
      </c>
      <c r="AI6947" s="831">
        <v>0</v>
      </c>
      <c r="AJ6947" s="835">
        <v>41455</v>
      </c>
      <c r="AK6947" s="831">
        <v>0</v>
      </c>
    </row>
    <row r="6948" spans="2:37">
      <c r="B6948" s="834" t="str">
        <f t="shared" si="295"/>
        <v>|||</v>
      </c>
      <c r="H6948" s="835">
        <f t="shared" si="296"/>
        <v>31</v>
      </c>
      <c r="AF6948" s="831" t="s">
        <v>7607</v>
      </c>
      <c r="AG6948" s="831" t="s">
        <v>131</v>
      </c>
      <c r="AH6948" s="831" t="s">
        <v>200</v>
      </c>
      <c r="AI6948" s="831">
        <v>0</v>
      </c>
      <c r="AJ6948" s="835">
        <v>41455</v>
      </c>
      <c r="AK6948" s="831">
        <v>0</v>
      </c>
    </row>
    <row r="6949" spans="2:37">
      <c r="B6949" s="834" t="str">
        <f t="shared" si="295"/>
        <v>|||</v>
      </c>
      <c r="H6949" s="835">
        <f t="shared" si="296"/>
        <v>31</v>
      </c>
      <c r="AF6949" s="831" t="s">
        <v>7608</v>
      </c>
      <c r="AG6949" s="831" t="s">
        <v>131</v>
      </c>
      <c r="AH6949" s="831" t="s">
        <v>205</v>
      </c>
      <c r="AI6949" s="831">
        <v>0</v>
      </c>
      <c r="AJ6949" s="835">
        <v>41455</v>
      </c>
      <c r="AK6949" s="831">
        <v>-3324066</v>
      </c>
    </row>
    <row r="6950" spans="2:37">
      <c r="B6950" s="834" t="str">
        <f t="shared" si="295"/>
        <v>|||</v>
      </c>
      <c r="H6950" s="835">
        <f t="shared" si="296"/>
        <v>31</v>
      </c>
      <c r="AF6950" s="831" t="s">
        <v>7609</v>
      </c>
      <c r="AG6950" s="831" t="s">
        <v>131</v>
      </c>
      <c r="AH6950" s="831" t="s">
        <v>122</v>
      </c>
      <c r="AI6950" s="831">
        <v>0</v>
      </c>
      <c r="AJ6950" s="835">
        <v>41455</v>
      </c>
      <c r="AK6950" s="831">
        <v>0</v>
      </c>
    </row>
    <row r="6951" spans="2:37">
      <c r="B6951" s="834" t="str">
        <f t="shared" si="295"/>
        <v>|||</v>
      </c>
      <c r="H6951" s="835">
        <f t="shared" si="296"/>
        <v>31</v>
      </c>
      <c r="AF6951" s="831" t="s">
        <v>7610</v>
      </c>
      <c r="AG6951" s="831" t="s">
        <v>131</v>
      </c>
      <c r="AH6951" s="831" t="s">
        <v>213</v>
      </c>
      <c r="AI6951" s="831">
        <v>0</v>
      </c>
      <c r="AJ6951" s="835">
        <v>41455</v>
      </c>
      <c r="AK6951" s="831">
        <v>0</v>
      </c>
    </row>
    <row r="6952" spans="2:37">
      <c r="B6952" s="834" t="str">
        <f t="shared" si="295"/>
        <v>|||</v>
      </c>
      <c r="H6952" s="835">
        <f t="shared" si="296"/>
        <v>31</v>
      </c>
      <c r="AF6952" s="831" t="s">
        <v>7611</v>
      </c>
      <c r="AG6952" s="831" t="s">
        <v>131</v>
      </c>
      <c r="AH6952" s="831" t="s">
        <v>215</v>
      </c>
      <c r="AI6952" s="831">
        <v>0</v>
      </c>
      <c r="AJ6952" s="835">
        <v>41455</v>
      </c>
      <c r="AK6952" s="831">
        <v>0</v>
      </c>
    </row>
    <row r="6953" spans="2:37">
      <c r="B6953" s="834" t="str">
        <f t="shared" si="295"/>
        <v>|||</v>
      </c>
      <c r="H6953" s="835">
        <f t="shared" si="296"/>
        <v>31</v>
      </c>
      <c r="AF6953" s="831" t="s">
        <v>7612</v>
      </c>
      <c r="AG6953" s="831" t="s">
        <v>131</v>
      </c>
      <c r="AH6953" s="831" t="s">
        <v>217</v>
      </c>
      <c r="AI6953" s="831">
        <v>0</v>
      </c>
      <c r="AJ6953" s="835">
        <v>41455</v>
      </c>
      <c r="AK6953" s="831">
        <v>0</v>
      </c>
    </row>
    <row r="6954" spans="2:37">
      <c r="B6954" s="834" t="str">
        <f t="shared" si="295"/>
        <v>|||</v>
      </c>
      <c r="H6954" s="835">
        <f t="shared" si="296"/>
        <v>31</v>
      </c>
      <c r="AF6954" s="831" t="s">
        <v>7613</v>
      </c>
      <c r="AG6954" s="831" t="s">
        <v>131</v>
      </c>
      <c r="AH6954" s="831" t="s">
        <v>223</v>
      </c>
      <c r="AI6954" s="831">
        <v>0</v>
      </c>
      <c r="AJ6954" s="835">
        <v>41455</v>
      </c>
      <c r="AK6954" s="831">
        <v>0</v>
      </c>
    </row>
    <row r="6955" spans="2:37">
      <c r="B6955" s="834" t="str">
        <f t="shared" si="295"/>
        <v>|||</v>
      </c>
      <c r="H6955" s="835">
        <f t="shared" si="296"/>
        <v>31</v>
      </c>
      <c r="AF6955" s="831" t="s">
        <v>7614</v>
      </c>
      <c r="AG6955" s="831" t="s">
        <v>131</v>
      </c>
      <c r="AH6955" s="831" t="s">
        <v>224</v>
      </c>
      <c r="AI6955" s="831">
        <v>0</v>
      </c>
      <c r="AJ6955" s="835">
        <v>41455</v>
      </c>
      <c r="AK6955" s="831">
        <v>0</v>
      </c>
    </row>
    <row r="6956" spans="2:37">
      <c r="B6956" s="834" t="str">
        <f t="shared" si="295"/>
        <v>|||</v>
      </c>
      <c r="H6956" s="835">
        <f t="shared" si="296"/>
        <v>31</v>
      </c>
      <c r="AF6956" s="831" t="s">
        <v>7615</v>
      </c>
      <c r="AG6956" s="831" t="s">
        <v>131</v>
      </c>
      <c r="AH6956" s="831" t="s">
        <v>128</v>
      </c>
      <c r="AI6956" s="831">
        <v>0</v>
      </c>
      <c r="AJ6956" s="835">
        <v>41455</v>
      </c>
      <c r="AK6956" s="831">
        <v>0</v>
      </c>
    </row>
    <row r="6957" spans="2:37">
      <c r="B6957" s="834" t="str">
        <f t="shared" si="295"/>
        <v>|||</v>
      </c>
      <c r="H6957" s="835">
        <f t="shared" si="296"/>
        <v>31</v>
      </c>
      <c r="AF6957" s="831" t="s">
        <v>7616</v>
      </c>
      <c r="AG6957" s="831" t="s">
        <v>131</v>
      </c>
      <c r="AH6957" s="831" t="s">
        <v>3237</v>
      </c>
      <c r="AI6957" s="831">
        <v>0</v>
      </c>
      <c r="AJ6957" s="835">
        <v>41455</v>
      </c>
      <c r="AK6957" s="831">
        <v>0</v>
      </c>
    </row>
    <row r="6958" spans="2:37">
      <c r="B6958" s="834" t="str">
        <f t="shared" si="295"/>
        <v>|||</v>
      </c>
      <c r="H6958" s="835">
        <f t="shared" si="296"/>
        <v>31</v>
      </c>
      <c r="AF6958" s="831" t="s">
        <v>7617</v>
      </c>
      <c r="AG6958" s="831" t="s">
        <v>131</v>
      </c>
      <c r="AH6958" s="831" t="s">
        <v>3239</v>
      </c>
      <c r="AI6958" s="831">
        <v>0</v>
      </c>
      <c r="AJ6958" s="835">
        <v>41455</v>
      </c>
      <c r="AK6958" s="831">
        <v>0</v>
      </c>
    </row>
    <row r="6959" spans="2:37">
      <c r="B6959" s="834" t="str">
        <f t="shared" si="295"/>
        <v>|||</v>
      </c>
      <c r="H6959" s="835">
        <f t="shared" si="296"/>
        <v>31</v>
      </c>
      <c r="AF6959" s="831" t="s">
        <v>7618</v>
      </c>
      <c r="AG6959" s="831" t="s">
        <v>131</v>
      </c>
      <c r="AH6959" s="831" t="s">
        <v>138</v>
      </c>
      <c r="AI6959" s="831">
        <v>0</v>
      </c>
      <c r="AJ6959" s="835">
        <v>41486</v>
      </c>
      <c r="AK6959" s="831">
        <v>65849844</v>
      </c>
    </row>
    <row r="6960" spans="2:37">
      <c r="B6960" s="834" t="str">
        <f t="shared" si="295"/>
        <v>|||</v>
      </c>
      <c r="H6960" s="835">
        <f t="shared" si="296"/>
        <v>31</v>
      </c>
      <c r="AF6960" s="831" t="s">
        <v>7619</v>
      </c>
      <c r="AG6960" s="831" t="s">
        <v>131</v>
      </c>
      <c r="AH6960" s="831" t="s">
        <v>141</v>
      </c>
      <c r="AI6960" s="831">
        <v>0</v>
      </c>
      <c r="AJ6960" s="835">
        <v>41486</v>
      </c>
      <c r="AK6960" s="831">
        <v>6129409</v>
      </c>
    </row>
    <row r="6961" spans="2:37">
      <c r="B6961" s="834" t="str">
        <f t="shared" si="295"/>
        <v>|||</v>
      </c>
      <c r="H6961" s="835">
        <f t="shared" si="296"/>
        <v>31</v>
      </c>
      <c r="AF6961" s="831" t="s">
        <v>7620</v>
      </c>
      <c r="AG6961" s="831" t="s">
        <v>131</v>
      </c>
      <c r="AH6961" s="831" t="s">
        <v>146</v>
      </c>
      <c r="AI6961" s="831">
        <v>0</v>
      </c>
      <c r="AJ6961" s="835">
        <v>41486</v>
      </c>
      <c r="AK6961" s="831">
        <v>-9209594</v>
      </c>
    </row>
    <row r="6962" spans="2:37">
      <c r="B6962" s="834" t="str">
        <f t="shared" si="295"/>
        <v>|||</v>
      </c>
      <c r="H6962" s="835">
        <f t="shared" si="296"/>
        <v>31</v>
      </c>
      <c r="AF6962" s="831" t="s">
        <v>7621</v>
      </c>
      <c r="AG6962" s="831" t="s">
        <v>131</v>
      </c>
      <c r="AH6962" s="831" t="s">
        <v>150</v>
      </c>
      <c r="AI6962" s="831">
        <v>0</v>
      </c>
      <c r="AJ6962" s="835">
        <v>41486</v>
      </c>
      <c r="AK6962" s="831">
        <v>-8787357</v>
      </c>
    </row>
    <row r="6963" spans="2:37">
      <c r="B6963" s="834" t="str">
        <f t="shared" si="295"/>
        <v>|||</v>
      </c>
      <c r="H6963" s="835">
        <f t="shared" si="296"/>
        <v>31</v>
      </c>
      <c r="AF6963" s="831" t="s">
        <v>7622</v>
      </c>
      <c r="AG6963" s="831" t="s">
        <v>131</v>
      </c>
      <c r="AH6963" s="831" t="s">
        <v>77</v>
      </c>
      <c r="AI6963" s="831">
        <v>0</v>
      </c>
      <c r="AJ6963" s="835">
        <v>41486</v>
      </c>
      <c r="AK6963" s="831">
        <v>-2868378</v>
      </c>
    </row>
    <row r="6964" spans="2:37">
      <c r="B6964" s="834" t="str">
        <f t="shared" si="295"/>
        <v>|||</v>
      </c>
      <c r="H6964" s="835">
        <f t="shared" si="296"/>
        <v>31</v>
      </c>
      <c r="AF6964" s="831" t="s">
        <v>7623</v>
      </c>
      <c r="AG6964" s="831" t="s">
        <v>131</v>
      </c>
      <c r="AH6964" s="831" t="s">
        <v>167</v>
      </c>
      <c r="AI6964" s="831">
        <v>0</v>
      </c>
      <c r="AJ6964" s="835">
        <v>41486</v>
      </c>
      <c r="AK6964" s="831">
        <v>0</v>
      </c>
    </row>
    <row r="6965" spans="2:37">
      <c r="B6965" s="834" t="str">
        <f t="shared" si="295"/>
        <v>|||</v>
      </c>
      <c r="H6965" s="835">
        <f t="shared" si="296"/>
        <v>31</v>
      </c>
      <c r="AF6965" s="831" t="s">
        <v>7624</v>
      </c>
      <c r="AG6965" s="831" t="s">
        <v>131</v>
      </c>
      <c r="AH6965" s="831" t="s">
        <v>169</v>
      </c>
      <c r="AI6965" s="831">
        <v>0</v>
      </c>
      <c r="AJ6965" s="835">
        <v>41486</v>
      </c>
      <c r="AK6965" s="831">
        <v>1934343</v>
      </c>
    </row>
    <row r="6966" spans="2:37">
      <c r="B6966" s="834" t="str">
        <f t="shared" si="295"/>
        <v>|||</v>
      </c>
      <c r="H6966" s="835">
        <f t="shared" si="296"/>
        <v>31</v>
      </c>
      <c r="AF6966" s="831" t="s">
        <v>7625</v>
      </c>
      <c r="AG6966" s="831" t="s">
        <v>131</v>
      </c>
      <c r="AH6966" s="831" t="s">
        <v>172</v>
      </c>
      <c r="AI6966" s="831">
        <v>0</v>
      </c>
      <c r="AJ6966" s="835">
        <v>41486</v>
      </c>
      <c r="AK6966" s="831">
        <v>-199528</v>
      </c>
    </row>
    <row r="6967" spans="2:37">
      <c r="B6967" s="834" t="str">
        <f t="shared" si="295"/>
        <v>|||</v>
      </c>
      <c r="H6967" s="835">
        <f t="shared" si="296"/>
        <v>31</v>
      </c>
      <c r="AF6967" s="831" t="s">
        <v>7626</v>
      </c>
      <c r="AG6967" s="831" t="s">
        <v>131</v>
      </c>
      <c r="AH6967" s="831" t="s">
        <v>175</v>
      </c>
      <c r="AI6967" s="831">
        <v>0</v>
      </c>
      <c r="AJ6967" s="835">
        <v>41486</v>
      </c>
      <c r="AK6967" s="831">
        <v>1202881</v>
      </c>
    </row>
    <row r="6968" spans="2:37">
      <c r="B6968" s="834" t="str">
        <f t="shared" si="295"/>
        <v>|||</v>
      </c>
      <c r="H6968" s="835">
        <f t="shared" si="296"/>
        <v>31</v>
      </c>
      <c r="AF6968" s="831" t="s">
        <v>7627</v>
      </c>
      <c r="AG6968" s="831" t="s">
        <v>131</v>
      </c>
      <c r="AH6968" s="831" t="s">
        <v>185</v>
      </c>
      <c r="AI6968" s="831">
        <v>0</v>
      </c>
      <c r="AJ6968" s="835">
        <v>41486</v>
      </c>
      <c r="AK6968" s="831">
        <v>-19483362</v>
      </c>
    </row>
    <row r="6969" spans="2:37">
      <c r="B6969" s="834" t="str">
        <f t="shared" si="295"/>
        <v>|||</v>
      </c>
      <c r="H6969" s="835">
        <f t="shared" si="296"/>
        <v>31</v>
      </c>
      <c r="AF6969" s="831" t="s">
        <v>7628</v>
      </c>
      <c r="AG6969" s="831" t="s">
        <v>131</v>
      </c>
      <c r="AH6969" s="831" t="s">
        <v>188</v>
      </c>
      <c r="AI6969" s="831">
        <v>0</v>
      </c>
      <c r="AJ6969" s="835">
        <v>41486</v>
      </c>
      <c r="AK6969" s="831">
        <v>-10897875</v>
      </c>
    </row>
    <row r="6970" spans="2:37">
      <c r="B6970" s="834" t="str">
        <f t="shared" si="295"/>
        <v>|||</v>
      </c>
      <c r="H6970" s="835">
        <f t="shared" si="296"/>
        <v>31</v>
      </c>
      <c r="AF6970" s="831" t="s">
        <v>7629</v>
      </c>
      <c r="AG6970" s="831" t="s">
        <v>131</v>
      </c>
      <c r="AH6970" s="831" t="s">
        <v>191</v>
      </c>
      <c r="AI6970" s="831">
        <v>0</v>
      </c>
      <c r="AJ6970" s="835">
        <v>41486</v>
      </c>
      <c r="AK6970" s="831">
        <v>-3514978</v>
      </c>
    </row>
    <row r="6971" spans="2:37">
      <c r="B6971" s="834" t="str">
        <f t="shared" si="295"/>
        <v>|||</v>
      </c>
      <c r="H6971" s="835">
        <f t="shared" si="296"/>
        <v>31</v>
      </c>
      <c r="AF6971" s="831" t="s">
        <v>7630</v>
      </c>
      <c r="AG6971" s="831" t="s">
        <v>131</v>
      </c>
      <c r="AH6971" s="831" t="s">
        <v>198</v>
      </c>
      <c r="AI6971" s="831">
        <v>0</v>
      </c>
      <c r="AJ6971" s="835">
        <v>41486</v>
      </c>
      <c r="AK6971" s="831">
        <v>0</v>
      </c>
    </row>
    <row r="6972" spans="2:37">
      <c r="B6972" s="834" t="str">
        <f t="shared" si="295"/>
        <v>|||</v>
      </c>
      <c r="H6972" s="835">
        <f t="shared" si="296"/>
        <v>31</v>
      </c>
      <c r="AF6972" s="831" t="s">
        <v>7631</v>
      </c>
      <c r="AG6972" s="831" t="s">
        <v>131</v>
      </c>
      <c r="AH6972" s="831" t="s">
        <v>200</v>
      </c>
      <c r="AI6972" s="831">
        <v>0</v>
      </c>
      <c r="AJ6972" s="835">
        <v>41486</v>
      </c>
      <c r="AK6972" s="831">
        <v>0</v>
      </c>
    </row>
    <row r="6973" spans="2:37">
      <c r="B6973" s="834" t="str">
        <f t="shared" si="295"/>
        <v>|||</v>
      </c>
      <c r="H6973" s="835">
        <f t="shared" si="296"/>
        <v>31</v>
      </c>
      <c r="AF6973" s="831" t="s">
        <v>7632</v>
      </c>
      <c r="AG6973" s="831" t="s">
        <v>131</v>
      </c>
      <c r="AH6973" s="831" t="s">
        <v>205</v>
      </c>
      <c r="AI6973" s="831">
        <v>0</v>
      </c>
      <c r="AJ6973" s="835">
        <v>41486</v>
      </c>
      <c r="AK6973" s="831">
        <v>-4031065</v>
      </c>
    </row>
    <row r="6974" spans="2:37">
      <c r="B6974" s="834" t="str">
        <f t="shared" si="295"/>
        <v>|||</v>
      </c>
      <c r="H6974" s="835">
        <f t="shared" si="296"/>
        <v>31</v>
      </c>
      <c r="AF6974" s="831" t="s">
        <v>7633</v>
      </c>
      <c r="AG6974" s="831" t="s">
        <v>131</v>
      </c>
      <c r="AH6974" s="831" t="s">
        <v>122</v>
      </c>
      <c r="AI6974" s="831">
        <v>0</v>
      </c>
      <c r="AJ6974" s="835">
        <v>41486</v>
      </c>
      <c r="AK6974" s="831">
        <v>0</v>
      </c>
    </row>
    <row r="6975" spans="2:37">
      <c r="B6975" s="834" t="str">
        <f t="shared" si="295"/>
        <v>|||</v>
      </c>
      <c r="H6975" s="835">
        <f t="shared" si="296"/>
        <v>31</v>
      </c>
      <c r="AF6975" s="831" t="s">
        <v>7634</v>
      </c>
      <c r="AG6975" s="831" t="s">
        <v>131</v>
      </c>
      <c r="AH6975" s="831" t="s">
        <v>213</v>
      </c>
      <c r="AI6975" s="831">
        <v>0</v>
      </c>
      <c r="AJ6975" s="835">
        <v>41486</v>
      </c>
      <c r="AK6975" s="831">
        <v>0</v>
      </c>
    </row>
    <row r="6976" spans="2:37">
      <c r="B6976" s="834" t="str">
        <f t="shared" si="295"/>
        <v>|||</v>
      </c>
      <c r="H6976" s="835">
        <f t="shared" si="296"/>
        <v>31</v>
      </c>
      <c r="AF6976" s="831" t="s">
        <v>7635</v>
      </c>
      <c r="AG6976" s="831" t="s">
        <v>131</v>
      </c>
      <c r="AH6976" s="831" t="s">
        <v>215</v>
      </c>
      <c r="AI6976" s="831">
        <v>0</v>
      </c>
      <c r="AJ6976" s="835">
        <v>41486</v>
      </c>
      <c r="AK6976" s="831">
        <v>0</v>
      </c>
    </row>
    <row r="6977" spans="2:37">
      <c r="B6977" s="834" t="str">
        <f t="shared" si="295"/>
        <v>|||</v>
      </c>
      <c r="H6977" s="835">
        <f t="shared" si="296"/>
        <v>31</v>
      </c>
      <c r="AF6977" s="831" t="s">
        <v>7636</v>
      </c>
      <c r="AG6977" s="831" t="s">
        <v>131</v>
      </c>
      <c r="AH6977" s="831" t="s">
        <v>217</v>
      </c>
      <c r="AI6977" s="831">
        <v>0</v>
      </c>
      <c r="AJ6977" s="835">
        <v>41486</v>
      </c>
      <c r="AK6977" s="831">
        <v>0</v>
      </c>
    </row>
    <row r="6978" spans="2:37">
      <c r="B6978" s="834" t="str">
        <f t="shared" si="295"/>
        <v>|||</v>
      </c>
      <c r="H6978" s="835">
        <f t="shared" si="296"/>
        <v>31</v>
      </c>
      <c r="AF6978" s="831" t="s">
        <v>7637</v>
      </c>
      <c r="AG6978" s="831" t="s">
        <v>131</v>
      </c>
      <c r="AH6978" s="831" t="s">
        <v>223</v>
      </c>
      <c r="AI6978" s="831">
        <v>0</v>
      </c>
      <c r="AJ6978" s="835">
        <v>41486</v>
      </c>
      <c r="AK6978" s="831">
        <v>0</v>
      </c>
    </row>
    <row r="6979" spans="2:37">
      <c r="B6979" s="834" t="str">
        <f t="shared" ref="B6979:B7042" si="297">C6979&amp;"|"&amp;D6979&amp;"|"&amp;E6979&amp;"|"&amp;F6979</f>
        <v>|||</v>
      </c>
      <c r="H6979" s="835">
        <f t="shared" si="296"/>
        <v>31</v>
      </c>
      <c r="AF6979" s="831" t="s">
        <v>7638</v>
      </c>
      <c r="AG6979" s="831" t="s">
        <v>131</v>
      </c>
      <c r="AH6979" s="831" t="s">
        <v>224</v>
      </c>
      <c r="AI6979" s="831">
        <v>0</v>
      </c>
      <c r="AJ6979" s="835">
        <v>41486</v>
      </c>
      <c r="AK6979" s="831">
        <v>0</v>
      </c>
    </row>
    <row r="6980" spans="2:37">
      <c r="B6980" s="834" t="str">
        <f t="shared" si="297"/>
        <v>|||</v>
      </c>
      <c r="H6980" s="835">
        <f t="shared" ref="H6980:H7043" si="298">EOMONTH(L6980,0)</f>
        <v>31</v>
      </c>
      <c r="AF6980" s="831" t="s">
        <v>7639</v>
      </c>
      <c r="AG6980" s="831" t="s">
        <v>131</v>
      </c>
      <c r="AH6980" s="831" t="s">
        <v>128</v>
      </c>
      <c r="AI6980" s="831">
        <v>0</v>
      </c>
      <c r="AJ6980" s="835">
        <v>41486</v>
      </c>
      <c r="AK6980" s="831">
        <v>0</v>
      </c>
    </row>
    <row r="6981" spans="2:37">
      <c r="B6981" s="834" t="str">
        <f t="shared" si="297"/>
        <v>|||</v>
      </c>
      <c r="H6981" s="835">
        <f t="shared" si="298"/>
        <v>31</v>
      </c>
      <c r="AF6981" s="831" t="s">
        <v>7640</v>
      </c>
      <c r="AG6981" s="831" t="s">
        <v>131</v>
      </c>
      <c r="AH6981" s="831" t="s">
        <v>3237</v>
      </c>
      <c r="AI6981" s="831">
        <v>0</v>
      </c>
      <c r="AJ6981" s="835">
        <v>41486</v>
      </c>
      <c r="AK6981" s="831">
        <v>0</v>
      </c>
    </row>
    <row r="6982" spans="2:37">
      <c r="B6982" s="834" t="str">
        <f t="shared" si="297"/>
        <v>|||</v>
      </c>
      <c r="H6982" s="835">
        <f t="shared" si="298"/>
        <v>31</v>
      </c>
      <c r="AF6982" s="831" t="s">
        <v>7641</v>
      </c>
      <c r="AG6982" s="831" t="s">
        <v>131</v>
      </c>
      <c r="AH6982" s="831" t="s">
        <v>3239</v>
      </c>
      <c r="AI6982" s="831">
        <v>0</v>
      </c>
      <c r="AJ6982" s="835">
        <v>41486</v>
      </c>
      <c r="AK6982" s="831">
        <v>0</v>
      </c>
    </row>
    <row r="6983" spans="2:37">
      <c r="B6983" s="834" t="str">
        <f t="shared" si="297"/>
        <v>|||</v>
      </c>
      <c r="H6983" s="835">
        <f t="shared" si="298"/>
        <v>31</v>
      </c>
      <c r="AF6983" s="831" t="s">
        <v>7642</v>
      </c>
      <c r="AG6983" s="831" t="s">
        <v>131</v>
      </c>
      <c r="AH6983" s="831" t="s">
        <v>138</v>
      </c>
      <c r="AI6983" s="831">
        <v>0</v>
      </c>
      <c r="AJ6983" s="835">
        <v>41517</v>
      </c>
      <c r="AK6983" s="831">
        <v>76351607</v>
      </c>
    </row>
    <row r="6984" spans="2:37">
      <c r="B6984" s="834" t="str">
        <f t="shared" si="297"/>
        <v>|||</v>
      </c>
      <c r="H6984" s="835">
        <f t="shared" si="298"/>
        <v>31</v>
      </c>
      <c r="AF6984" s="831" t="s">
        <v>7643</v>
      </c>
      <c r="AG6984" s="831" t="s">
        <v>131</v>
      </c>
      <c r="AH6984" s="831" t="s">
        <v>141</v>
      </c>
      <c r="AI6984" s="831">
        <v>0</v>
      </c>
      <c r="AJ6984" s="835">
        <v>41517</v>
      </c>
      <c r="AK6984" s="831">
        <v>7036944</v>
      </c>
    </row>
    <row r="6985" spans="2:37">
      <c r="B6985" s="834" t="str">
        <f t="shared" si="297"/>
        <v>|||</v>
      </c>
      <c r="H6985" s="835">
        <f t="shared" si="298"/>
        <v>31</v>
      </c>
      <c r="AF6985" s="831" t="s">
        <v>7644</v>
      </c>
      <c r="AG6985" s="831" t="s">
        <v>131</v>
      </c>
      <c r="AH6985" s="831" t="s">
        <v>146</v>
      </c>
      <c r="AI6985" s="831">
        <v>0</v>
      </c>
      <c r="AJ6985" s="835">
        <v>41517</v>
      </c>
      <c r="AK6985" s="831">
        <v>-10873354</v>
      </c>
    </row>
    <row r="6986" spans="2:37">
      <c r="B6986" s="834" t="str">
        <f t="shared" si="297"/>
        <v>|||</v>
      </c>
      <c r="H6986" s="835">
        <f t="shared" si="298"/>
        <v>31</v>
      </c>
      <c r="AF6986" s="831" t="s">
        <v>7645</v>
      </c>
      <c r="AG6986" s="831" t="s">
        <v>131</v>
      </c>
      <c r="AH6986" s="831" t="s">
        <v>150</v>
      </c>
      <c r="AI6986" s="831">
        <v>0</v>
      </c>
      <c r="AJ6986" s="835">
        <v>41517</v>
      </c>
      <c r="AK6986" s="831">
        <v>-10141080</v>
      </c>
    </row>
    <row r="6987" spans="2:37">
      <c r="B6987" s="834" t="str">
        <f t="shared" si="297"/>
        <v>|||</v>
      </c>
      <c r="H6987" s="835">
        <f t="shared" si="298"/>
        <v>31</v>
      </c>
      <c r="AF6987" s="831" t="s">
        <v>7646</v>
      </c>
      <c r="AG6987" s="831" t="s">
        <v>131</v>
      </c>
      <c r="AH6987" s="831" t="s">
        <v>77</v>
      </c>
      <c r="AI6987" s="831">
        <v>0</v>
      </c>
      <c r="AJ6987" s="835">
        <v>41517</v>
      </c>
      <c r="AK6987" s="831">
        <v>-3340396</v>
      </c>
    </row>
    <row r="6988" spans="2:37">
      <c r="B6988" s="834" t="str">
        <f t="shared" si="297"/>
        <v>|||</v>
      </c>
      <c r="H6988" s="835">
        <f t="shared" si="298"/>
        <v>31</v>
      </c>
      <c r="AF6988" s="831" t="s">
        <v>7647</v>
      </c>
      <c r="AG6988" s="831" t="s">
        <v>131</v>
      </c>
      <c r="AH6988" s="831" t="s">
        <v>167</v>
      </c>
      <c r="AI6988" s="831">
        <v>0</v>
      </c>
      <c r="AJ6988" s="835">
        <v>41517</v>
      </c>
      <c r="AK6988" s="831">
        <v>0</v>
      </c>
    </row>
    <row r="6989" spans="2:37">
      <c r="B6989" s="834" t="str">
        <f t="shared" si="297"/>
        <v>|||</v>
      </c>
      <c r="H6989" s="835">
        <f t="shared" si="298"/>
        <v>31</v>
      </c>
      <c r="AF6989" s="831" t="s">
        <v>7648</v>
      </c>
      <c r="AG6989" s="831" t="s">
        <v>131</v>
      </c>
      <c r="AH6989" s="831" t="s">
        <v>169</v>
      </c>
      <c r="AI6989" s="831">
        <v>0</v>
      </c>
      <c r="AJ6989" s="835">
        <v>41517</v>
      </c>
      <c r="AK6989" s="831">
        <v>2274377</v>
      </c>
    </row>
    <row r="6990" spans="2:37">
      <c r="B6990" s="834" t="str">
        <f t="shared" si="297"/>
        <v>|||</v>
      </c>
      <c r="H6990" s="835">
        <f t="shared" si="298"/>
        <v>31</v>
      </c>
      <c r="AF6990" s="831" t="s">
        <v>7649</v>
      </c>
      <c r="AG6990" s="831" t="s">
        <v>131</v>
      </c>
      <c r="AH6990" s="831" t="s">
        <v>172</v>
      </c>
      <c r="AI6990" s="831">
        <v>0</v>
      </c>
      <c r="AJ6990" s="835">
        <v>41517</v>
      </c>
      <c r="AK6990" s="831">
        <v>-248564</v>
      </c>
    </row>
    <row r="6991" spans="2:37">
      <c r="B6991" s="834" t="str">
        <f t="shared" si="297"/>
        <v>|||</v>
      </c>
      <c r="H6991" s="835">
        <f t="shared" si="298"/>
        <v>31</v>
      </c>
      <c r="AF6991" s="831" t="s">
        <v>7650</v>
      </c>
      <c r="AG6991" s="831" t="s">
        <v>131</v>
      </c>
      <c r="AH6991" s="831" t="s">
        <v>175</v>
      </c>
      <c r="AI6991" s="831">
        <v>0</v>
      </c>
      <c r="AJ6991" s="835">
        <v>41517</v>
      </c>
      <c r="AK6991" s="831">
        <v>1439912</v>
      </c>
    </row>
    <row r="6992" spans="2:37">
      <c r="B6992" s="834" t="str">
        <f t="shared" si="297"/>
        <v>|||</v>
      </c>
      <c r="H6992" s="835">
        <f t="shared" si="298"/>
        <v>31</v>
      </c>
      <c r="AF6992" s="831" t="s">
        <v>7651</v>
      </c>
      <c r="AG6992" s="831" t="s">
        <v>131</v>
      </c>
      <c r="AH6992" s="831" t="s">
        <v>185</v>
      </c>
      <c r="AI6992" s="831">
        <v>0</v>
      </c>
      <c r="AJ6992" s="835">
        <v>41517</v>
      </c>
      <c r="AK6992" s="831">
        <v>-22356366</v>
      </c>
    </row>
    <row r="6993" spans="2:37">
      <c r="B6993" s="834" t="str">
        <f t="shared" si="297"/>
        <v>|||</v>
      </c>
      <c r="H6993" s="835">
        <f t="shared" si="298"/>
        <v>31</v>
      </c>
      <c r="AF6993" s="831" t="s">
        <v>7652</v>
      </c>
      <c r="AG6993" s="831" t="s">
        <v>131</v>
      </c>
      <c r="AH6993" s="831" t="s">
        <v>188</v>
      </c>
      <c r="AI6993" s="831">
        <v>0</v>
      </c>
      <c r="AJ6993" s="835">
        <v>41517</v>
      </c>
      <c r="AK6993" s="831">
        <v>-12248058</v>
      </c>
    </row>
    <row r="6994" spans="2:37">
      <c r="B6994" s="834" t="str">
        <f t="shared" si="297"/>
        <v>|||</v>
      </c>
      <c r="H6994" s="835">
        <f t="shared" si="298"/>
        <v>31</v>
      </c>
      <c r="AF6994" s="831" t="s">
        <v>7653</v>
      </c>
      <c r="AG6994" s="831" t="s">
        <v>131</v>
      </c>
      <c r="AH6994" s="831" t="s">
        <v>191</v>
      </c>
      <c r="AI6994" s="831">
        <v>0</v>
      </c>
      <c r="AJ6994" s="835">
        <v>41517</v>
      </c>
      <c r="AK6994" s="831">
        <v>-4005392</v>
      </c>
    </row>
    <row r="6995" spans="2:37">
      <c r="B6995" s="834" t="str">
        <f t="shared" si="297"/>
        <v>|||</v>
      </c>
      <c r="H6995" s="835">
        <f t="shared" si="298"/>
        <v>31</v>
      </c>
      <c r="AF6995" s="831" t="s">
        <v>7654</v>
      </c>
      <c r="AG6995" s="831" t="s">
        <v>131</v>
      </c>
      <c r="AH6995" s="831" t="s">
        <v>198</v>
      </c>
      <c r="AI6995" s="831">
        <v>0</v>
      </c>
      <c r="AJ6995" s="835">
        <v>41517</v>
      </c>
      <c r="AK6995" s="831">
        <v>0</v>
      </c>
    </row>
    <row r="6996" spans="2:37">
      <c r="B6996" s="834" t="str">
        <f t="shared" si="297"/>
        <v>|||</v>
      </c>
      <c r="H6996" s="835">
        <f t="shared" si="298"/>
        <v>31</v>
      </c>
      <c r="AF6996" s="831" t="s">
        <v>7655</v>
      </c>
      <c r="AG6996" s="831" t="s">
        <v>131</v>
      </c>
      <c r="AH6996" s="831" t="s">
        <v>200</v>
      </c>
      <c r="AI6996" s="831">
        <v>0</v>
      </c>
      <c r="AJ6996" s="835">
        <v>41517</v>
      </c>
      <c r="AK6996" s="831">
        <v>0</v>
      </c>
    </row>
    <row r="6997" spans="2:37">
      <c r="B6997" s="834" t="str">
        <f t="shared" si="297"/>
        <v>|||</v>
      </c>
      <c r="H6997" s="835">
        <f t="shared" si="298"/>
        <v>31</v>
      </c>
      <c r="AF6997" s="831" t="s">
        <v>7656</v>
      </c>
      <c r="AG6997" s="831" t="s">
        <v>131</v>
      </c>
      <c r="AH6997" s="831" t="s">
        <v>205</v>
      </c>
      <c r="AI6997" s="831">
        <v>0</v>
      </c>
      <c r="AJ6997" s="835">
        <v>41517</v>
      </c>
      <c r="AK6997" s="831">
        <v>-4777911</v>
      </c>
    </row>
    <row r="6998" spans="2:37">
      <c r="B6998" s="834" t="str">
        <f t="shared" si="297"/>
        <v>|||</v>
      </c>
      <c r="H6998" s="835">
        <f t="shared" si="298"/>
        <v>31</v>
      </c>
      <c r="AF6998" s="831" t="s">
        <v>7657</v>
      </c>
      <c r="AG6998" s="831" t="s">
        <v>131</v>
      </c>
      <c r="AH6998" s="831" t="s">
        <v>122</v>
      </c>
      <c r="AI6998" s="831">
        <v>0</v>
      </c>
      <c r="AJ6998" s="835">
        <v>41517</v>
      </c>
      <c r="AK6998" s="831">
        <v>0</v>
      </c>
    </row>
    <row r="6999" spans="2:37">
      <c r="B6999" s="834" t="str">
        <f t="shared" si="297"/>
        <v>|||</v>
      </c>
      <c r="H6999" s="835">
        <f t="shared" si="298"/>
        <v>31</v>
      </c>
      <c r="AF6999" s="831" t="s">
        <v>7658</v>
      </c>
      <c r="AG6999" s="831" t="s">
        <v>131</v>
      </c>
      <c r="AH6999" s="831" t="s">
        <v>213</v>
      </c>
      <c r="AI6999" s="831">
        <v>0</v>
      </c>
      <c r="AJ6999" s="835">
        <v>41517</v>
      </c>
      <c r="AK6999" s="831">
        <v>0</v>
      </c>
    </row>
    <row r="7000" spans="2:37">
      <c r="B7000" s="834" t="str">
        <f t="shared" si="297"/>
        <v>|||</v>
      </c>
      <c r="H7000" s="835">
        <f t="shared" si="298"/>
        <v>31</v>
      </c>
      <c r="AF7000" s="831" t="s">
        <v>7659</v>
      </c>
      <c r="AG7000" s="831" t="s">
        <v>131</v>
      </c>
      <c r="AH7000" s="831" t="s">
        <v>215</v>
      </c>
      <c r="AI7000" s="831">
        <v>0</v>
      </c>
      <c r="AJ7000" s="835">
        <v>41517</v>
      </c>
      <c r="AK7000" s="831">
        <v>0</v>
      </c>
    </row>
    <row r="7001" spans="2:37">
      <c r="B7001" s="834" t="str">
        <f t="shared" si="297"/>
        <v>|||</v>
      </c>
      <c r="H7001" s="835">
        <f t="shared" si="298"/>
        <v>31</v>
      </c>
      <c r="AF7001" s="831" t="s">
        <v>7660</v>
      </c>
      <c r="AG7001" s="831" t="s">
        <v>131</v>
      </c>
      <c r="AH7001" s="831" t="s">
        <v>217</v>
      </c>
      <c r="AI7001" s="831">
        <v>0</v>
      </c>
      <c r="AJ7001" s="835">
        <v>41517</v>
      </c>
      <c r="AK7001" s="831">
        <v>0</v>
      </c>
    </row>
    <row r="7002" spans="2:37">
      <c r="B7002" s="834" t="str">
        <f t="shared" si="297"/>
        <v>|||</v>
      </c>
      <c r="H7002" s="835">
        <f t="shared" si="298"/>
        <v>31</v>
      </c>
      <c r="AF7002" s="831" t="s">
        <v>7661</v>
      </c>
      <c r="AG7002" s="831" t="s">
        <v>131</v>
      </c>
      <c r="AH7002" s="831" t="s">
        <v>223</v>
      </c>
      <c r="AI7002" s="831">
        <v>0</v>
      </c>
      <c r="AJ7002" s="835">
        <v>41517</v>
      </c>
      <c r="AK7002" s="831">
        <v>0</v>
      </c>
    </row>
    <row r="7003" spans="2:37">
      <c r="B7003" s="834" t="str">
        <f t="shared" si="297"/>
        <v>|||</v>
      </c>
      <c r="H7003" s="835">
        <f t="shared" si="298"/>
        <v>31</v>
      </c>
      <c r="AF7003" s="831" t="s">
        <v>7662</v>
      </c>
      <c r="AG7003" s="831" t="s">
        <v>131</v>
      </c>
      <c r="AH7003" s="831" t="s">
        <v>224</v>
      </c>
      <c r="AI7003" s="831">
        <v>0</v>
      </c>
      <c r="AJ7003" s="835">
        <v>41517</v>
      </c>
      <c r="AK7003" s="831">
        <v>0</v>
      </c>
    </row>
    <row r="7004" spans="2:37">
      <c r="B7004" s="834" t="str">
        <f t="shared" si="297"/>
        <v>|||</v>
      </c>
      <c r="H7004" s="835">
        <f t="shared" si="298"/>
        <v>31</v>
      </c>
      <c r="AF7004" s="831" t="s">
        <v>7663</v>
      </c>
      <c r="AG7004" s="831" t="s">
        <v>131</v>
      </c>
      <c r="AH7004" s="831" t="s">
        <v>128</v>
      </c>
      <c r="AI7004" s="831">
        <v>0</v>
      </c>
      <c r="AJ7004" s="835">
        <v>41517</v>
      </c>
      <c r="AK7004" s="831">
        <v>0</v>
      </c>
    </row>
    <row r="7005" spans="2:37">
      <c r="B7005" s="834" t="str">
        <f t="shared" si="297"/>
        <v>|||</v>
      </c>
      <c r="H7005" s="835">
        <f t="shared" si="298"/>
        <v>31</v>
      </c>
      <c r="AF7005" s="831" t="s">
        <v>7664</v>
      </c>
      <c r="AG7005" s="831" t="s">
        <v>131</v>
      </c>
      <c r="AH7005" s="831" t="s">
        <v>3237</v>
      </c>
      <c r="AI7005" s="831">
        <v>0</v>
      </c>
      <c r="AJ7005" s="835">
        <v>41517</v>
      </c>
      <c r="AK7005" s="831">
        <v>0</v>
      </c>
    </row>
    <row r="7006" spans="2:37">
      <c r="B7006" s="834" t="str">
        <f t="shared" si="297"/>
        <v>|||</v>
      </c>
      <c r="H7006" s="835">
        <f t="shared" si="298"/>
        <v>31</v>
      </c>
      <c r="AF7006" s="831" t="s">
        <v>7665</v>
      </c>
      <c r="AG7006" s="831" t="s">
        <v>131</v>
      </c>
      <c r="AH7006" s="831" t="s">
        <v>3239</v>
      </c>
      <c r="AI7006" s="831">
        <v>0</v>
      </c>
      <c r="AJ7006" s="835">
        <v>41517</v>
      </c>
      <c r="AK7006" s="831">
        <v>0</v>
      </c>
    </row>
    <row r="7007" spans="2:37">
      <c r="B7007" s="834" t="str">
        <f t="shared" si="297"/>
        <v>|||</v>
      </c>
      <c r="H7007" s="835">
        <f t="shared" si="298"/>
        <v>31</v>
      </c>
      <c r="AF7007" s="831" t="s">
        <v>7666</v>
      </c>
      <c r="AG7007" s="831" t="s">
        <v>131</v>
      </c>
      <c r="AH7007" s="831" t="s">
        <v>138</v>
      </c>
      <c r="AI7007" s="831">
        <v>0</v>
      </c>
      <c r="AJ7007" s="835">
        <v>41547</v>
      </c>
      <c r="AK7007" s="831">
        <v>87335450</v>
      </c>
    </row>
    <row r="7008" spans="2:37">
      <c r="B7008" s="834" t="str">
        <f t="shared" si="297"/>
        <v>|||</v>
      </c>
      <c r="H7008" s="835">
        <f t="shared" si="298"/>
        <v>31</v>
      </c>
      <c r="AF7008" s="831" t="s">
        <v>7667</v>
      </c>
      <c r="AG7008" s="831" t="s">
        <v>131</v>
      </c>
      <c r="AH7008" s="831" t="s">
        <v>141</v>
      </c>
      <c r="AI7008" s="831">
        <v>0</v>
      </c>
      <c r="AJ7008" s="835">
        <v>41547</v>
      </c>
      <c r="AK7008" s="831">
        <v>7978107</v>
      </c>
    </row>
    <row r="7009" spans="2:37">
      <c r="B7009" s="834" t="str">
        <f t="shared" si="297"/>
        <v>|||</v>
      </c>
      <c r="H7009" s="835">
        <f t="shared" si="298"/>
        <v>31</v>
      </c>
      <c r="AF7009" s="831" t="s">
        <v>7668</v>
      </c>
      <c r="AG7009" s="831" t="s">
        <v>131</v>
      </c>
      <c r="AH7009" s="831" t="s">
        <v>146</v>
      </c>
      <c r="AI7009" s="831">
        <v>0</v>
      </c>
      <c r="AJ7009" s="835">
        <v>41547</v>
      </c>
      <c r="AK7009" s="831">
        <v>-12517290</v>
      </c>
    </row>
    <row r="7010" spans="2:37">
      <c r="B7010" s="834" t="str">
        <f t="shared" si="297"/>
        <v>|||</v>
      </c>
      <c r="H7010" s="835">
        <f t="shared" si="298"/>
        <v>31</v>
      </c>
      <c r="AF7010" s="831" t="s">
        <v>7669</v>
      </c>
      <c r="AG7010" s="831" t="s">
        <v>131</v>
      </c>
      <c r="AH7010" s="831" t="s">
        <v>150</v>
      </c>
      <c r="AI7010" s="831">
        <v>0</v>
      </c>
      <c r="AJ7010" s="835">
        <v>41547</v>
      </c>
      <c r="AK7010" s="831">
        <v>-11525181</v>
      </c>
    </row>
    <row r="7011" spans="2:37">
      <c r="B7011" s="834" t="str">
        <f t="shared" si="297"/>
        <v>|||</v>
      </c>
      <c r="H7011" s="835">
        <f t="shared" si="298"/>
        <v>31</v>
      </c>
      <c r="AF7011" s="831" t="s">
        <v>7670</v>
      </c>
      <c r="AG7011" s="831" t="s">
        <v>131</v>
      </c>
      <c r="AH7011" s="831" t="s">
        <v>77</v>
      </c>
      <c r="AI7011" s="831">
        <v>0</v>
      </c>
      <c r="AJ7011" s="835">
        <v>41547</v>
      </c>
      <c r="AK7011" s="831">
        <v>-3714888</v>
      </c>
    </row>
    <row r="7012" spans="2:37">
      <c r="B7012" s="834" t="str">
        <f t="shared" si="297"/>
        <v>|||</v>
      </c>
      <c r="H7012" s="835">
        <f t="shared" si="298"/>
        <v>31</v>
      </c>
      <c r="AF7012" s="831" t="s">
        <v>7671</v>
      </c>
      <c r="AG7012" s="831" t="s">
        <v>131</v>
      </c>
      <c r="AH7012" s="831" t="s">
        <v>167</v>
      </c>
      <c r="AI7012" s="831">
        <v>0</v>
      </c>
      <c r="AJ7012" s="835">
        <v>41547</v>
      </c>
      <c r="AK7012" s="831">
        <v>0</v>
      </c>
    </row>
    <row r="7013" spans="2:37">
      <c r="B7013" s="834" t="str">
        <f t="shared" si="297"/>
        <v>|||</v>
      </c>
      <c r="H7013" s="835">
        <f t="shared" si="298"/>
        <v>31</v>
      </c>
      <c r="AF7013" s="831" t="s">
        <v>7672</v>
      </c>
      <c r="AG7013" s="831" t="s">
        <v>131</v>
      </c>
      <c r="AH7013" s="831" t="s">
        <v>169</v>
      </c>
      <c r="AI7013" s="831">
        <v>0</v>
      </c>
      <c r="AJ7013" s="835">
        <v>41547</v>
      </c>
      <c r="AK7013" s="831">
        <v>2618231</v>
      </c>
    </row>
    <row r="7014" spans="2:37">
      <c r="B7014" s="834" t="str">
        <f t="shared" si="297"/>
        <v>|||</v>
      </c>
      <c r="H7014" s="835">
        <f t="shared" si="298"/>
        <v>31</v>
      </c>
      <c r="AF7014" s="831" t="s">
        <v>7673</v>
      </c>
      <c r="AG7014" s="831" t="s">
        <v>131</v>
      </c>
      <c r="AH7014" s="831" t="s">
        <v>172</v>
      </c>
      <c r="AI7014" s="831">
        <v>0</v>
      </c>
      <c r="AJ7014" s="835">
        <v>41547</v>
      </c>
      <c r="AK7014" s="831">
        <v>-242922</v>
      </c>
    </row>
    <row r="7015" spans="2:37">
      <c r="B7015" s="834" t="str">
        <f t="shared" si="297"/>
        <v>|||</v>
      </c>
      <c r="H7015" s="835">
        <f t="shared" si="298"/>
        <v>31</v>
      </c>
      <c r="AF7015" s="831" t="s">
        <v>7674</v>
      </c>
      <c r="AG7015" s="831" t="s">
        <v>131</v>
      </c>
      <c r="AH7015" s="831" t="s">
        <v>175</v>
      </c>
      <c r="AI7015" s="831">
        <v>0</v>
      </c>
      <c r="AJ7015" s="835">
        <v>41547</v>
      </c>
      <c r="AK7015" s="831">
        <v>1416575</v>
      </c>
    </row>
    <row r="7016" spans="2:37">
      <c r="B7016" s="834" t="str">
        <f t="shared" si="297"/>
        <v>|||</v>
      </c>
      <c r="H7016" s="835">
        <f t="shared" si="298"/>
        <v>31</v>
      </c>
      <c r="AF7016" s="831" t="s">
        <v>7675</v>
      </c>
      <c r="AG7016" s="831" t="s">
        <v>131</v>
      </c>
      <c r="AH7016" s="831" t="s">
        <v>185</v>
      </c>
      <c r="AI7016" s="831">
        <v>0</v>
      </c>
      <c r="AJ7016" s="835">
        <v>41547</v>
      </c>
      <c r="AK7016" s="831">
        <v>-25223647</v>
      </c>
    </row>
    <row r="7017" spans="2:37">
      <c r="B7017" s="834" t="str">
        <f t="shared" si="297"/>
        <v>|||</v>
      </c>
      <c r="H7017" s="835">
        <f t="shared" si="298"/>
        <v>31</v>
      </c>
      <c r="AF7017" s="831" t="s">
        <v>7676</v>
      </c>
      <c r="AG7017" s="831" t="s">
        <v>131</v>
      </c>
      <c r="AH7017" s="831" t="s">
        <v>188</v>
      </c>
      <c r="AI7017" s="831">
        <v>0</v>
      </c>
      <c r="AJ7017" s="835">
        <v>41547</v>
      </c>
      <c r="AK7017" s="831">
        <v>-13617997</v>
      </c>
    </row>
    <row r="7018" spans="2:37">
      <c r="B7018" s="834" t="str">
        <f t="shared" si="297"/>
        <v>|||</v>
      </c>
      <c r="H7018" s="835">
        <f t="shared" si="298"/>
        <v>31</v>
      </c>
      <c r="AF7018" s="831" t="s">
        <v>7677</v>
      </c>
      <c r="AG7018" s="831" t="s">
        <v>131</v>
      </c>
      <c r="AH7018" s="831" t="s">
        <v>191</v>
      </c>
      <c r="AI7018" s="831">
        <v>0</v>
      </c>
      <c r="AJ7018" s="835">
        <v>41547</v>
      </c>
      <c r="AK7018" s="831">
        <v>-4497026</v>
      </c>
    </row>
    <row r="7019" spans="2:37">
      <c r="B7019" s="834" t="str">
        <f t="shared" si="297"/>
        <v>|||</v>
      </c>
      <c r="H7019" s="835">
        <f t="shared" si="298"/>
        <v>31</v>
      </c>
      <c r="AF7019" s="831" t="s">
        <v>7678</v>
      </c>
      <c r="AG7019" s="831" t="s">
        <v>131</v>
      </c>
      <c r="AH7019" s="831" t="s">
        <v>198</v>
      </c>
      <c r="AI7019" s="831">
        <v>0</v>
      </c>
      <c r="AJ7019" s="835">
        <v>41547</v>
      </c>
      <c r="AK7019" s="831">
        <v>0</v>
      </c>
    </row>
    <row r="7020" spans="2:37">
      <c r="B7020" s="834" t="str">
        <f t="shared" si="297"/>
        <v>|||</v>
      </c>
      <c r="H7020" s="835">
        <f t="shared" si="298"/>
        <v>31</v>
      </c>
      <c r="AF7020" s="831" t="s">
        <v>7679</v>
      </c>
      <c r="AG7020" s="831" t="s">
        <v>131</v>
      </c>
      <c r="AH7020" s="831" t="s">
        <v>200</v>
      </c>
      <c r="AI7020" s="831">
        <v>0</v>
      </c>
      <c r="AJ7020" s="835">
        <v>41547</v>
      </c>
      <c r="AK7020" s="831">
        <v>0</v>
      </c>
    </row>
    <row r="7021" spans="2:37">
      <c r="B7021" s="834" t="str">
        <f t="shared" si="297"/>
        <v>|||</v>
      </c>
      <c r="H7021" s="835">
        <f t="shared" si="298"/>
        <v>31</v>
      </c>
      <c r="AF7021" s="831" t="s">
        <v>7680</v>
      </c>
      <c r="AG7021" s="831" t="s">
        <v>131</v>
      </c>
      <c r="AH7021" s="831" t="s">
        <v>205</v>
      </c>
      <c r="AI7021" s="831">
        <v>0</v>
      </c>
      <c r="AJ7021" s="835">
        <v>41547</v>
      </c>
      <c r="AK7021" s="831">
        <v>-5601998</v>
      </c>
    </row>
    <row r="7022" spans="2:37">
      <c r="B7022" s="834" t="str">
        <f t="shared" si="297"/>
        <v>|||</v>
      </c>
      <c r="H7022" s="835">
        <f t="shared" si="298"/>
        <v>31</v>
      </c>
      <c r="AF7022" s="831" t="s">
        <v>7681</v>
      </c>
      <c r="AG7022" s="831" t="s">
        <v>131</v>
      </c>
      <c r="AH7022" s="831" t="s">
        <v>122</v>
      </c>
      <c r="AI7022" s="831">
        <v>0</v>
      </c>
      <c r="AJ7022" s="835">
        <v>41547</v>
      </c>
      <c r="AK7022" s="831">
        <v>0</v>
      </c>
    </row>
    <row r="7023" spans="2:37">
      <c r="B7023" s="834" t="str">
        <f t="shared" si="297"/>
        <v>|||</v>
      </c>
      <c r="H7023" s="835">
        <f t="shared" si="298"/>
        <v>31</v>
      </c>
      <c r="AF7023" s="831" t="s">
        <v>7682</v>
      </c>
      <c r="AG7023" s="831" t="s">
        <v>131</v>
      </c>
      <c r="AH7023" s="831" t="s">
        <v>213</v>
      </c>
      <c r="AI7023" s="831">
        <v>0</v>
      </c>
      <c r="AJ7023" s="835">
        <v>41547</v>
      </c>
      <c r="AK7023" s="831">
        <v>0</v>
      </c>
    </row>
    <row r="7024" spans="2:37">
      <c r="B7024" s="834" t="str">
        <f t="shared" si="297"/>
        <v>|||</v>
      </c>
      <c r="H7024" s="835">
        <f t="shared" si="298"/>
        <v>31</v>
      </c>
      <c r="AF7024" s="831" t="s">
        <v>7683</v>
      </c>
      <c r="AG7024" s="831" t="s">
        <v>131</v>
      </c>
      <c r="AH7024" s="831" t="s">
        <v>215</v>
      </c>
      <c r="AI7024" s="831">
        <v>0</v>
      </c>
      <c r="AJ7024" s="835">
        <v>41547</v>
      </c>
      <c r="AK7024" s="831">
        <v>0</v>
      </c>
    </row>
    <row r="7025" spans="2:37">
      <c r="B7025" s="834" t="str">
        <f t="shared" si="297"/>
        <v>|||</v>
      </c>
      <c r="H7025" s="835">
        <f t="shared" si="298"/>
        <v>31</v>
      </c>
      <c r="AF7025" s="831" t="s">
        <v>7684</v>
      </c>
      <c r="AG7025" s="831" t="s">
        <v>131</v>
      </c>
      <c r="AH7025" s="831" t="s">
        <v>217</v>
      </c>
      <c r="AI7025" s="831">
        <v>0</v>
      </c>
      <c r="AJ7025" s="835">
        <v>41547</v>
      </c>
      <c r="AK7025" s="831">
        <v>0</v>
      </c>
    </row>
    <row r="7026" spans="2:37">
      <c r="B7026" s="834" t="str">
        <f t="shared" si="297"/>
        <v>|||</v>
      </c>
      <c r="H7026" s="835">
        <f t="shared" si="298"/>
        <v>31</v>
      </c>
      <c r="AF7026" s="831" t="s">
        <v>7685</v>
      </c>
      <c r="AG7026" s="831" t="s">
        <v>131</v>
      </c>
      <c r="AH7026" s="831" t="s">
        <v>223</v>
      </c>
      <c r="AI7026" s="831">
        <v>0</v>
      </c>
      <c r="AJ7026" s="835">
        <v>41547</v>
      </c>
      <c r="AK7026" s="831">
        <v>0</v>
      </c>
    </row>
    <row r="7027" spans="2:37">
      <c r="B7027" s="834" t="str">
        <f t="shared" si="297"/>
        <v>|||</v>
      </c>
      <c r="H7027" s="835">
        <f t="shared" si="298"/>
        <v>31</v>
      </c>
      <c r="AF7027" s="831" t="s">
        <v>7686</v>
      </c>
      <c r="AG7027" s="831" t="s">
        <v>131</v>
      </c>
      <c r="AH7027" s="831" t="s">
        <v>224</v>
      </c>
      <c r="AI7027" s="831">
        <v>0</v>
      </c>
      <c r="AJ7027" s="835">
        <v>41547</v>
      </c>
      <c r="AK7027" s="831">
        <v>0</v>
      </c>
    </row>
    <row r="7028" spans="2:37">
      <c r="B7028" s="834" t="str">
        <f t="shared" si="297"/>
        <v>|||</v>
      </c>
      <c r="H7028" s="835">
        <f t="shared" si="298"/>
        <v>31</v>
      </c>
      <c r="AF7028" s="831" t="s">
        <v>7687</v>
      </c>
      <c r="AG7028" s="831" t="s">
        <v>131</v>
      </c>
      <c r="AH7028" s="831" t="s">
        <v>128</v>
      </c>
      <c r="AI7028" s="831">
        <v>0</v>
      </c>
      <c r="AJ7028" s="835">
        <v>41547</v>
      </c>
      <c r="AK7028" s="831">
        <v>0</v>
      </c>
    </row>
    <row r="7029" spans="2:37">
      <c r="B7029" s="834" t="str">
        <f t="shared" si="297"/>
        <v>|||</v>
      </c>
      <c r="H7029" s="835">
        <f t="shared" si="298"/>
        <v>31</v>
      </c>
      <c r="AF7029" s="831" t="s">
        <v>7688</v>
      </c>
      <c r="AG7029" s="831" t="s">
        <v>131</v>
      </c>
      <c r="AH7029" s="831" t="s">
        <v>3237</v>
      </c>
      <c r="AI7029" s="831">
        <v>0</v>
      </c>
      <c r="AJ7029" s="835">
        <v>41547</v>
      </c>
      <c r="AK7029" s="831">
        <v>0</v>
      </c>
    </row>
    <row r="7030" spans="2:37">
      <c r="B7030" s="834" t="str">
        <f t="shared" si="297"/>
        <v>|||</v>
      </c>
      <c r="H7030" s="835">
        <f t="shared" si="298"/>
        <v>31</v>
      </c>
      <c r="AF7030" s="831" t="s">
        <v>7689</v>
      </c>
      <c r="AG7030" s="831" t="s">
        <v>131</v>
      </c>
      <c r="AH7030" s="831" t="s">
        <v>3239</v>
      </c>
      <c r="AI7030" s="831">
        <v>0</v>
      </c>
      <c r="AJ7030" s="835">
        <v>41547</v>
      </c>
      <c r="AK7030" s="831">
        <v>0</v>
      </c>
    </row>
    <row r="7031" spans="2:37">
      <c r="B7031" s="834" t="str">
        <f t="shared" si="297"/>
        <v>|||</v>
      </c>
      <c r="H7031" s="835">
        <f t="shared" si="298"/>
        <v>31</v>
      </c>
      <c r="AF7031" s="831" t="s">
        <v>7690</v>
      </c>
      <c r="AG7031" s="831" t="s">
        <v>131</v>
      </c>
      <c r="AH7031" s="831" t="s">
        <v>138</v>
      </c>
      <c r="AI7031" s="831">
        <v>0</v>
      </c>
      <c r="AJ7031" s="835">
        <v>41578</v>
      </c>
      <c r="AK7031" s="831">
        <v>98577107</v>
      </c>
    </row>
    <row r="7032" spans="2:37">
      <c r="B7032" s="834" t="str">
        <f t="shared" si="297"/>
        <v>|||</v>
      </c>
      <c r="H7032" s="835">
        <f t="shared" si="298"/>
        <v>31</v>
      </c>
      <c r="AF7032" s="831" t="s">
        <v>7691</v>
      </c>
      <c r="AG7032" s="831" t="s">
        <v>131</v>
      </c>
      <c r="AH7032" s="831" t="s">
        <v>141</v>
      </c>
      <c r="AI7032" s="831">
        <v>0</v>
      </c>
      <c r="AJ7032" s="835">
        <v>41578</v>
      </c>
      <c r="AK7032" s="831">
        <v>8950567</v>
      </c>
    </row>
    <row r="7033" spans="2:37">
      <c r="B7033" s="834" t="str">
        <f t="shared" si="297"/>
        <v>|||</v>
      </c>
      <c r="H7033" s="835">
        <f t="shared" si="298"/>
        <v>31</v>
      </c>
      <c r="AF7033" s="831" t="s">
        <v>7692</v>
      </c>
      <c r="AG7033" s="831" t="s">
        <v>131</v>
      </c>
      <c r="AH7033" s="831" t="s">
        <v>146</v>
      </c>
      <c r="AI7033" s="831">
        <v>0</v>
      </c>
      <c r="AJ7033" s="835">
        <v>41578</v>
      </c>
      <c r="AK7033" s="831">
        <v>-14301253</v>
      </c>
    </row>
    <row r="7034" spans="2:37">
      <c r="B7034" s="834" t="str">
        <f t="shared" si="297"/>
        <v>|||</v>
      </c>
      <c r="H7034" s="835">
        <f t="shared" si="298"/>
        <v>31</v>
      </c>
      <c r="AF7034" s="831" t="s">
        <v>7693</v>
      </c>
      <c r="AG7034" s="831" t="s">
        <v>131</v>
      </c>
      <c r="AH7034" s="831" t="s">
        <v>150</v>
      </c>
      <c r="AI7034" s="831">
        <v>0</v>
      </c>
      <c r="AJ7034" s="835">
        <v>41578</v>
      </c>
      <c r="AK7034" s="831">
        <v>-13074575</v>
      </c>
    </row>
    <row r="7035" spans="2:37">
      <c r="B7035" s="834" t="str">
        <f t="shared" si="297"/>
        <v>|||</v>
      </c>
      <c r="H7035" s="835">
        <f t="shared" si="298"/>
        <v>31</v>
      </c>
      <c r="AF7035" s="831" t="s">
        <v>7694</v>
      </c>
      <c r="AG7035" s="831" t="s">
        <v>131</v>
      </c>
      <c r="AH7035" s="831" t="s">
        <v>77</v>
      </c>
      <c r="AI7035" s="831">
        <v>0</v>
      </c>
      <c r="AJ7035" s="835">
        <v>41578</v>
      </c>
      <c r="AK7035" s="831">
        <v>-4018222</v>
      </c>
    </row>
    <row r="7036" spans="2:37">
      <c r="B7036" s="834" t="str">
        <f t="shared" si="297"/>
        <v>|||</v>
      </c>
      <c r="H7036" s="835">
        <f t="shared" si="298"/>
        <v>31</v>
      </c>
      <c r="AF7036" s="831" t="s">
        <v>7695</v>
      </c>
      <c r="AG7036" s="831" t="s">
        <v>131</v>
      </c>
      <c r="AH7036" s="831" t="s">
        <v>167</v>
      </c>
      <c r="AI7036" s="831">
        <v>0</v>
      </c>
      <c r="AJ7036" s="835">
        <v>41578</v>
      </c>
      <c r="AK7036" s="831">
        <v>0</v>
      </c>
    </row>
    <row r="7037" spans="2:37">
      <c r="B7037" s="834" t="str">
        <f t="shared" si="297"/>
        <v>|||</v>
      </c>
      <c r="H7037" s="835">
        <f t="shared" si="298"/>
        <v>31</v>
      </c>
      <c r="AF7037" s="831" t="s">
        <v>7696</v>
      </c>
      <c r="AG7037" s="831" t="s">
        <v>131</v>
      </c>
      <c r="AH7037" s="831" t="s">
        <v>169</v>
      </c>
      <c r="AI7037" s="831">
        <v>0</v>
      </c>
      <c r="AJ7037" s="835">
        <v>41578</v>
      </c>
      <c r="AK7037" s="831">
        <v>3027406</v>
      </c>
    </row>
    <row r="7038" spans="2:37">
      <c r="B7038" s="834" t="str">
        <f t="shared" si="297"/>
        <v>|||</v>
      </c>
      <c r="H7038" s="835">
        <f t="shared" si="298"/>
        <v>31</v>
      </c>
      <c r="AF7038" s="831" t="s">
        <v>7697</v>
      </c>
      <c r="AG7038" s="831" t="s">
        <v>131</v>
      </c>
      <c r="AH7038" s="831" t="s">
        <v>172</v>
      </c>
      <c r="AI7038" s="831">
        <v>0</v>
      </c>
      <c r="AJ7038" s="835">
        <v>41578</v>
      </c>
      <c r="AK7038" s="831">
        <v>-274795</v>
      </c>
    </row>
    <row r="7039" spans="2:37">
      <c r="B7039" s="834" t="str">
        <f t="shared" si="297"/>
        <v>|||</v>
      </c>
      <c r="H7039" s="835">
        <f t="shared" si="298"/>
        <v>31</v>
      </c>
      <c r="AF7039" s="831" t="s">
        <v>7698</v>
      </c>
      <c r="AG7039" s="831" t="s">
        <v>131</v>
      </c>
      <c r="AH7039" s="831" t="s">
        <v>175</v>
      </c>
      <c r="AI7039" s="831">
        <v>0</v>
      </c>
      <c r="AJ7039" s="835">
        <v>41578</v>
      </c>
      <c r="AK7039" s="831">
        <v>1536966</v>
      </c>
    </row>
    <row r="7040" spans="2:37">
      <c r="B7040" s="834" t="str">
        <f t="shared" si="297"/>
        <v>|||</v>
      </c>
      <c r="H7040" s="835">
        <f t="shared" si="298"/>
        <v>31</v>
      </c>
      <c r="AF7040" s="831" t="s">
        <v>7699</v>
      </c>
      <c r="AG7040" s="831" t="s">
        <v>131</v>
      </c>
      <c r="AH7040" s="831" t="s">
        <v>185</v>
      </c>
      <c r="AI7040" s="831">
        <v>0</v>
      </c>
      <c r="AJ7040" s="835">
        <v>41578</v>
      </c>
      <c r="AK7040" s="831">
        <v>-28204988</v>
      </c>
    </row>
    <row r="7041" spans="2:37">
      <c r="B7041" s="834" t="str">
        <f t="shared" si="297"/>
        <v>|||</v>
      </c>
      <c r="H7041" s="835">
        <f t="shared" si="298"/>
        <v>31</v>
      </c>
      <c r="AF7041" s="831" t="s">
        <v>7700</v>
      </c>
      <c r="AG7041" s="831" t="s">
        <v>131</v>
      </c>
      <c r="AH7041" s="831" t="s">
        <v>188</v>
      </c>
      <c r="AI7041" s="831">
        <v>0</v>
      </c>
      <c r="AJ7041" s="835">
        <v>41578</v>
      </c>
      <c r="AK7041" s="831">
        <v>-15302168</v>
      </c>
    </row>
    <row r="7042" spans="2:37">
      <c r="B7042" s="834" t="str">
        <f t="shared" si="297"/>
        <v>|||</v>
      </c>
      <c r="H7042" s="835">
        <f t="shared" si="298"/>
        <v>31</v>
      </c>
      <c r="AF7042" s="831" t="s">
        <v>7701</v>
      </c>
      <c r="AG7042" s="831" t="s">
        <v>131</v>
      </c>
      <c r="AH7042" s="831" t="s">
        <v>191</v>
      </c>
      <c r="AI7042" s="831">
        <v>0</v>
      </c>
      <c r="AJ7042" s="835">
        <v>41578</v>
      </c>
      <c r="AK7042" s="831">
        <v>-5006433</v>
      </c>
    </row>
    <row r="7043" spans="2:37">
      <c r="B7043" s="834" t="str">
        <f t="shared" ref="B7043:B7106" si="299">C7043&amp;"|"&amp;D7043&amp;"|"&amp;E7043&amp;"|"&amp;F7043</f>
        <v>|||</v>
      </c>
      <c r="H7043" s="835">
        <f t="shared" si="298"/>
        <v>31</v>
      </c>
      <c r="AF7043" s="831" t="s">
        <v>7702</v>
      </c>
      <c r="AG7043" s="831" t="s">
        <v>131</v>
      </c>
      <c r="AH7043" s="831" t="s">
        <v>198</v>
      </c>
      <c r="AI7043" s="831">
        <v>0</v>
      </c>
      <c r="AJ7043" s="835">
        <v>41578</v>
      </c>
      <c r="AK7043" s="831">
        <v>0</v>
      </c>
    </row>
    <row r="7044" spans="2:37">
      <c r="B7044" s="834" t="str">
        <f t="shared" si="299"/>
        <v>|||</v>
      </c>
      <c r="H7044" s="835">
        <f t="shared" ref="H7044:H7107" si="300">EOMONTH(L7044,0)</f>
        <v>31</v>
      </c>
      <c r="AF7044" s="831" t="s">
        <v>7703</v>
      </c>
      <c r="AG7044" s="831" t="s">
        <v>131</v>
      </c>
      <c r="AH7044" s="831" t="s">
        <v>200</v>
      </c>
      <c r="AI7044" s="831">
        <v>0</v>
      </c>
      <c r="AJ7044" s="835">
        <v>41578</v>
      </c>
      <c r="AK7044" s="831">
        <v>0</v>
      </c>
    </row>
    <row r="7045" spans="2:37">
      <c r="B7045" s="834" t="str">
        <f t="shared" si="299"/>
        <v>|||</v>
      </c>
      <c r="H7045" s="835">
        <f t="shared" si="300"/>
        <v>31</v>
      </c>
      <c r="AF7045" s="831" t="s">
        <v>7704</v>
      </c>
      <c r="AG7045" s="831" t="s">
        <v>131</v>
      </c>
      <c r="AH7045" s="831" t="s">
        <v>205</v>
      </c>
      <c r="AI7045" s="831">
        <v>0</v>
      </c>
      <c r="AJ7045" s="835">
        <v>41578</v>
      </c>
      <c r="AK7045" s="831">
        <v>-6381971</v>
      </c>
    </row>
    <row r="7046" spans="2:37">
      <c r="B7046" s="834" t="str">
        <f t="shared" si="299"/>
        <v>|||</v>
      </c>
      <c r="H7046" s="835">
        <f t="shared" si="300"/>
        <v>31</v>
      </c>
      <c r="AF7046" s="831" t="s">
        <v>7705</v>
      </c>
      <c r="AG7046" s="831" t="s">
        <v>131</v>
      </c>
      <c r="AH7046" s="831" t="s">
        <v>122</v>
      </c>
      <c r="AI7046" s="831">
        <v>0</v>
      </c>
      <c r="AJ7046" s="835">
        <v>41578</v>
      </c>
      <c r="AK7046" s="831">
        <v>0</v>
      </c>
    </row>
    <row r="7047" spans="2:37">
      <c r="B7047" s="834" t="str">
        <f t="shared" si="299"/>
        <v>|||</v>
      </c>
      <c r="H7047" s="835">
        <f t="shared" si="300"/>
        <v>31</v>
      </c>
      <c r="AF7047" s="831" t="s">
        <v>7706</v>
      </c>
      <c r="AG7047" s="831" t="s">
        <v>131</v>
      </c>
      <c r="AH7047" s="831" t="s">
        <v>213</v>
      </c>
      <c r="AI7047" s="831">
        <v>0</v>
      </c>
      <c r="AJ7047" s="835">
        <v>41578</v>
      </c>
      <c r="AK7047" s="831">
        <v>0</v>
      </c>
    </row>
    <row r="7048" spans="2:37">
      <c r="B7048" s="834" t="str">
        <f t="shared" si="299"/>
        <v>|||</v>
      </c>
      <c r="H7048" s="835">
        <f t="shared" si="300"/>
        <v>31</v>
      </c>
      <c r="AF7048" s="831" t="s">
        <v>7707</v>
      </c>
      <c r="AG7048" s="831" t="s">
        <v>131</v>
      </c>
      <c r="AH7048" s="831" t="s">
        <v>215</v>
      </c>
      <c r="AI7048" s="831">
        <v>0</v>
      </c>
      <c r="AJ7048" s="835">
        <v>41578</v>
      </c>
      <c r="AK7048" s="831">
        <v>0</v>
      </c>
    </row>
    <row r="7049" spans="2:37">
      <c r="B7049" s="834" t="str">
        <f t="shared" si="299"/>
        <v>|||</v>
      </c>
      <c r="H7049" s="835">
        <f t="shared" si="300"/>
        <v>31</v>
      </c>
      <c r="AF7049" s="831" t="s">
        <v>7708</v>
      </c>
      <c r="AG7049" s="831" t="s">
        <v>131</v>
      </c>
      <c r="AH7049" s="831" t="s">
        <v>217</v>
      </c>
      <c r="AI7049" s="831">
        <v>0</v>
      </c>
      <c r="AJ7049" s="835">
        <v>41578</v>
      </c>
      <c r="AK7049" s="831">
        <v>0</v>
      </c>
    </row>
    <row r="7050" spans="2:37">
      <c r="B7050" s="834" t="str">
        <f t="shared" si="299"/>
        <v>|||</v>
      </c>
      <c r="H7050" s="835">
        <f t="shared" si="300"/>
        <v>31</v>
      </c>
      <c r="AF7050" s="831" t="s">
        <v>7709</v>
      </c>
      <c r="AG7050" s="831" t="s">
        <v>131</v>
      </c>
      <c r="AH7050" s="831" t="s">
        <v>223</v>
      </c>
      <c r="AI7050" s="831">
        <v>0</v>
      </c>
      <c r="AJ7050" s="835">
        <v>41578</v>
      </c>
      <c r="AK7050" s="831">
        <v>0</v>
      </c>
    </row>
    <row r="7051" spans="2:37">
      <c r="B7051" s="834" t="str">
        <f t="shared" si="299"/>
        <v>|||</v>
      </c>
      <c r="H7051" s="835">
        <f t="shared" si="300"/>
        <v>31</v>
      </c>
      <c r="AF7051" s="831" t="s">
        <v>7710</v>
      </c>
      <c r="AG7051" s="831" t="s">
        <v>131</v>
      </c>
      <c r="AH7051" s="831" t="s">
        <v>224</v>
      </c>
      <c r="AI7051" s="831">
        <v>0</v>
      </c>
      <c r="AJ7051" s="835">
        <v>41578</v>
      </c>
      <c r="AK7051" s="831">
        <v>0</v>
      </c>
    </row>
    <row r="7052" spans="2:37">
      <c r="B7052" s="834" t="str">
        <f t="shared" si="299"/>
        <v>|||</v>
      </c>
      <c r="H7052" s="835">
        <f t="shared" si="300"/>
        <v>31</v>
      </c>
      <c r="AF7052" s="831" t="s">
        <v>7711</v>
      </c>
      <c r="AG7052" s="831" t="s">
        <v>131</v>
      </c>
      <c r="AH7052" s="831" t="s">
        <v>128</v>
      </c>
      <c r="AI7052" s="831">
        <v>0</v>
      </c>
      <c r="AJ7052" s="835">
        <v>41578</v>
      </c>
      <c r="AK7052" s="831">
        <v>0</v>
      </c>
    </row>
    <row r="7053" spans="2:37">
      <c r="B7053" s="834" t="str">
        <f t="shared" si="299"/>
        <v>|||</v>
      </c>
      <c r="H7053" s="835">
        <f t="shared" si="300"/>
        <v>31</v>
      </c>
      <c r="AF7053" s="831" t="s">
        <v>7712</v>
      </c>
      <c r="AG7053" s="831" t="s">
        <v>131</v>
      </c>
      <c r="AH7053" s="831" t="s">
        <v>3237</v>
      </c>
      <c r="AI7053" s="831">
        <v>0</v>
      </c>
      <c r="AJ7053" s="835">
        <v>41578</v>
      </c>
      <c r="AK7053" s="831">
        <v>0</v>
      </c>
    </row>
    <row r="7054" spans="2:37">
      <c r="B7054" s="834" t="str">
        <f t="shared" si="299"/>
        <v>|||</v>
      </c>
      <c r="H7054" s="835">
        <f t="shared" si="300"/>
        <v>31</v>
      </c>
      <c r="AF7054" s="831" t="s">
        <v>7713</v>
      </c>
      <c r="AG7054" s="831" t="s">
        <v>131</v>
      </c>
      <c r="AH7054" s="831" t="s">
        <v>3239</v>
      </c>
      <c r="AI7054" s="831">
        <v>0</v>
      </c>
      <c r="AJ7054" s="835">
        <v>41578</v>
      </c>
      <c r="AK7054" s="831">
        <v>0</v>
      </c>
    </row>
    <row r="7055" spans="2:37">
      <c r="B7055" s="834" t="str">
        <f t="shared" si="299"/>
        <v>|||</v>
      </c>
      <c r="H7055" s="835">
        <f t="shared" si="300"/>
        <v>31</v>
      </c>
      <c r="AF7055" s="831" t="s">
        <v>7714</v>
      </c>
      <c r="AG7055" s="831" t="s">
        <v>131</v>
      </c>
      <c r="AH7055" s="831" t="s">
        <v>138</v>
      </c>
      <c r="AI7055" s="831">
        <v>0</v>
      </c>
      <c r="AJ7055" s="835">
        <v>41608</v>
      </c>
      <c r="AK7055" s="831">
        <v>109632257.43700001</v>
      </c>
    </row>
    <row r="7056" spans="2:37">
      <c r="B7056" s="834" t="str">
        <f t="shared" si="299"/>
        <v>|||</v>
      </c>
      <c r="H7056" s="835">
        <f t="shared" si="300"/>
        <v>31</v>
      </c>
      <c r="AF7056" s="831" t="s">
        <v>7715</v>
      </c>
      <c r="AG7056" s="831" t="s">
        <v>131</v>
      </c>
      <c r="AH7056" s="831" t="s">
        <v>141</v>
      </c>
      <c r="AI7056" s="831">
        <v>0</v>
      </c>
      <c r="AJ7056" s="835">
        <v>41608</v>
      </c>
      <c r="AK7056" s="831">
        <v>9908711.7990000006</v>
      </c>
    </row>
    <row r="7057" spans="2:37">
      <c r="B7057" s="834" t="str">
        <f t="shared" si="299"/>
        <v>|||</v>
      </c>
      <c r="H7057" s="835">
        <f t="shared" si="300"/>
        <v>31</v>
      </c>
      <c r="AF7057" s="831" t="s">
        <v>7716</v>
      </c>
      <c r="AG7057" s="831" t="s">
        <v>131</v>
      </c>
      <c r="AH7057" s="831" t="s">
        <v>146</v>
      </c>
      <c r="AI7057" s="831">
        <v>0</v>
      </c>
      <c r="AJ7057" s="835">
        <v>41608</v>
      </c>
      <c r="AK7057" s="831">
        <v>-16055542.386</v>
      </c>
    </row>
    <row r="7058" spans="2:37">
      <c r="B7058" s="834" t="str">
        <f t="shared" si="299"/>
        <v>|||</v>
      </c>
      <c r="H7058" s="835">
        <f t="shared" si="300"/>
        <v>31</v>
      </c>
      <c r="AF7058" s="831" t="s">
        <v>7717</v>
      </c>
      <c r="AG7058" s="831" t="s">
        <v>131</v>
      </c>
      <c r="AH7058" s="831" t="s">
        <v>150</v>
      </c>
      <c r="AI7058" s="831">
        <v>0</v>
      </c>
      <c r="AJ7058" s="835">
        <v>41608</v>
      </c>
      <c r="AK7058" s="831">
        <v>-14502707.278999999</v>
      </c>
    </row>
    <row r="7059" spans="2:37">
      <c r="B7059" s="834" t="str">
        <f t="shared" si="299"/>
        <v>|||</v>
      </c>
      <c r="H7059" s="835">
        <f t="shared" si="300"/>
        <v>31</v>
      </c>
      <c r="AF7059" s="831" t="s">
        <v>7718</v>
      </c>
      <c r="AG7059" s="831" t="s">
        <v>131</v>
      </c>
      <c r="AH7059" s="831" t="s">
        <v>77</v>
      </c>
      <c r="AI7059" s="831">
        <v>0</v>
      </c>
      <c r="AJ7059" s="835">
        <v>41608</v>
      </c>
      <c r="AK7059" s="831">
        <v>-4456956.8779999996</v>
      </c>
    </row>
    <row r="7060" spans="2:37">
      <c r="B7060" s="834" t="str">
        <f t="shared" si="299"/>
        <v>|||</v>
      </c>
      <c r="H7060" s="835">
        <f t="shared" si="300"/>
        <v>31</v>
      </c>
      <c r="AF7060" s="831" t="s">
        <v>7719</v>
      </c>
      <c r="AG7060" s="831" t="s">
        <v>131</v>
      </c>
      <c r="AH7060" s="831" t="s">
        <v>167</v>
      </c>
      <c r="AI7060" s="831">
        <v>0</v>
      </c>
      <c r="AJ7060" s="835">
        <v>41608</v>
      </c>
      <c r="AK7060" s="831">
        <v>0</v>
      </c>
    </row>
    <row r="7061" spans="2:37">
      <c r="B7061" s="834" t="str">
        <f t="shared" si="299"/>
        <v>|||</v>
      </c>
      <c r="H7061" s="835">
        <f t="shared" si="300"/>
        <v>31</v>
      </c>
      <c r="AF7061" s="831" t="s">
        <v>7720</v>
      </c>
      <c r="AG7061" s="831" t="s">
        <v>131</v>
      </c>
      <c r="AH7061" s="831" t="s">
        <v>169</v>
      </c>
      <c r="AI7061" s="831">
        <v>0</v>
      </c>
      <c r="AJ7061" s="835">
        <v>41608</v>
      </c>
      <c r="AK7061" s="831">
        <v>3453048.8130000001</v>
      </c>
    </row>
    <row r="7062" spans="2:37">
      <c r="B7062" s="834" t="str">
        <f t="shared" si="299"/>
        <v>|||</v>
      </c>
      <c r="H7062" s="835">
        <f t="shared" si="300"/>
        <v>31</v>
      </c>
      <c r="AF7062" s="831" t="s">
        <v>7721</v>
      </c>
      <c r="AG7062" s="831" t="s">
        <v>131</v>
      </c>
      <c r="AH7062" s="831" t="s">
        <v>172</v>
      </c>
      <c r="AI7062" s="831">
        <v>0</v>
      </c>
      <c r="AJ7062" s="835">
        <v>41608</v>
      </c>
      <c r="AK7062" s="831">
        <v>-306441</v>
      </c>
    </row>
    <row r="7063" spans="2:37">
      <c r="B7063" s="834" t="str">
        <f t="shared" si="299"/>
        <v>|||</v>
      </c>
      <c r="H7063" s="835">
        <f t="shared" si="300"/>
        <v>31</v>
      </c>
      <c r="AF7063" s="831" t="s">
        <v>7722</v>
      </c>
      <c r="AG7063" s="831" t="s">
        <v>131</v>
      </c>
      <c r="AH7063" s="831" t="s">
        <v>175</v>
      </c>
      <c r="AI7063" s="831">
        <v>0</v>
      </c>
      <c r="AJ7063" s="835">
        <v>41608</v>
      </c>
      <c r="AK7063" s="831">
        <v>1759778.652</v>
      </c>
    </row>
    <row r="7064" spans="2:37">
      <c r="B7064" s="834" t="str">
        <f t="shared" si="299"/>
        <v>|||</v>
      </c>
      <c r="H7064" s="835">
        <f t="shared" si="300"/>
        <v>31</v>
      </c>
      <c r="AF7064" s="831" t="s">
        <v>7723</v>
      </c>
      <c r="AG7064" s="831" t="s">
        <v>131</v>
      </c>
      <c r="AH7064" s="831" t="s">
        <v>185</v>
      </c>
      <c r="AI7064" s="831">
        <v>0</v>
      </c>
      <c r="AJ7064" s="835">
        <v>41608</v>
      </c>
      <c r="AK7064" s="831">
        <v>-31232319.879999999</v>
      </c>
    </row>
    <row r="7065" spans="2:37">
      <c r="B7065" s="834" t="str">
        <f t="shared" si="299"/>
        <v>|||</v>
      </c>
      <c r="H7065" s="835">
        <f t="shared" si="300"/>
        <v>31</v>
      </c>
      <c r="AF7065" s="831" t="s">
        <v>7724</v>
      </c>
      <c r="AG7065" s="831" t="s">
        <v>131</v>
      </c>
      <c r="AH7065" s="831" t="s">
        <v>188</v>
      </c>
      <c r="AI7065" s="831">
        <v>0</v>
      </c>
      <c r="AJ7065" s="835">
        <v>41608</v>
      </c>
      <c r="AK7065" s="831">
        <v>-17245207.350000001</v>
      </c>
    </row>
    <row r="7066" spans="2:37">
      <c r="B7066" s="834" t="str">
        <f t="shared" si="299"/>
        <v>|||</v>
      </c>
      <c r="H7066" s="835">
        <f t="shared" si="300"/>
        <v>31</v>
      </c>
      <c r="AF7066" s="831" t="s">
        <v>7725</v>
      </c>
      <c r="AG7066" s="831" t="s">
        <v>131</v>
      </c>
      <c r="AH7066" s="831" t="s">
        <v>191</v>
      </c>
      <c r="AI7066" s="831">
        <v>0</v>
      </c>
      <c r="AJ7066" s="835">
        <v>41608</v>
      </c>
      <c r="AK7066" s="831">
        <v>-5511068.8959999997</v>
      </c>
    </row>
    <row r="7067" spans="2:37">
      <c r="B7067" s="834" t="str">
        <f t="shared" si="299"/>
        <v>|||</v>
      </c>
      <c r="H7067" s="835">
        <f t="shared" si="300"/>
        <v>31</v>
      </c>
      <c r="AF7067" s="831" t="s">
        <v>7726</v>
      </c>
      <c r="AG7067" s="831" t="s">
        <v>131</v>
      </c>
      <c r="AH7067" s="831" t="s">
        <v>198</v>
      </c>
      <c r="AI7067" s="831">
        <v>0</v>
      </c>
      <c r="AJ7067" s="835">
        <v>41608</v>
      </c>
      <c r="AK7067" s="831">
        <v>0</v>
      </c>
    </row>
    <row r="7068" spans="2:37">
      <c r="B7068" s="834" t="str">
        <f t="shared" si="299"/>
        <v>|||</v>
      </c>
      <c r="H7068" s="835">
        <f t="shared" si="300"/>
        <v>31</v>
      </c>
      <c r="AF7068" s="831" t="s">
        <v>7727</v>
      </c>
      <c r="AG7068" s="831" t="s">
        <v>131</v>
      </c>
      <c r="AH7068" s="831" t="s">
        <v>200</v>
      </c>
      <c r="AI7068" s="831">
        <v>0</v>
      </c>
      <c r="AJ7068" s="835">
        <v>41608</v>
      </c>
      <c r="AK7068" s="831">
        <v>0</v>
      </c>
    </row>
    <row r="7069" spans="2:37">
      <c r="B7069" s="834" t="str">
        <f t="shared" si="299"/>
        <v>|||</v>
      </c>
      <c r="H7069" s="835">
        <f t="shared" si="300"/>
        <v>31</v>
      </c>
      <c r="AF7069" s="831" t="s">
        <v>7728</v>
      </c>
      <c r="AG7069" s="831" t="s">
        <v>131</v>
      </c>
      <c r="AH7069" s="831" t="s">
        <v>205</v>
      </c>
      <c r="AI7069" s="831">
        <v>0</v>
      </c>
      <c r="AJ7069" s="835">
        <v>41608</v>
      </c>
      <c r="AK7069" s="831">
        <v>-7088835</v>
      </c>
    </row>
    <row r="7070" spans="2:37">
      <c r="B7070" s="834" t="str">
        <f t="shared" si="299"/>
        <v>|||</v>
      </c>
      <c r="H7070" s="835">
        <f t="shared" si="300"/>
        <v>31</v>
      </c>
      <c r="AF7070" s="831" t="s">
        <v>7729</v>
      </c>
      <c r="AG7070" s="831" t="s">
        <v>131</v>
      </c>
      <c r="AH7070" s="831" t="s">
        <v>122</v>
      </c>
      <c r="AI7070" s="831">
        <v>0</v>
      </c>
      <c r="AJ7070" s="835">
        <v>41608</v>
      </c>
      <c r="AK7070" s="831">
        <v>0</v>
      </c>
    </row>
    <row r="7071" spans="2:37">
      <c r="B7071" s="834" t="str">
        <f t="shared" si="299"/>
        <v>|||</v>
      </c>
      <c r="H7071" s="835">
        <f t="shared" si="300"/>
        <v>31</v>
      </c>
      <c r="AF7071" s="831" t="s">
        <v>7730</v>
      </c>
      <c r="AG7071" s="831" t="s">
        <v>131</v>
      </c>
      <c r="AH7071" s="831" t="s">
        <v>213</v>
      </c>
      <c r="AI7071" s="831">
        <v>0</v>
      </c>
      <c r="AJ7071" s="835">
        <v>41608</v>
      </c>
      <c r="AK7071" s="831">
        <v>0</v>
      </c>
    </row>
    <row r="7072" spans="2:37">
      <c r="B7072" s="834" t="str">
        <f t="shared" si="299"/>
        <v>|||</v>
      </c>
      <c r="H7072" s="835">
        <f t="shared" si="300"/>
        <v>31</v>
      </c>
      <c r="AF7072" s="831" t="s">
        <v>7731</v>
      </c>
      <c r="AG7072" s="831" t="s">
        <v>131</v>
      </c>
      <c r="AH7072" s="831" t="s">
        <v>215</v>
      </c>
      <c r="AI7072" s="831">
        <v>0</v>
      </c>
      <c r="AJ7072" s="835">
        <v>41608</v>
      </c>
      <c r="AK7072" s="831">
        <v>0</v>
      </c>
    </row>
    <row r="7073" spans="2:37">
      <c r="B7073" s="834" t="str">
        <f t="shared" si="299"/>
        <v>|||</v>
      </c>
      <c r="H7073" s="835">
        <f t="shared" si="300"/>
        <v>31</v>
      </c>
      <c r="AF7073" s="831" t="s">
        <v>7732</v>
      </c>
      <c r="AG7073" s="831" t="s">
        <v>131</v>
      </c>
      <c r="AH7073" s="831" t="s">
        <v>217</v>
      </c>
      <c r="AI7073" s="831">
        <v>0</v>
      </c>
      <c r="AJ7073" s="835">
        <v>41608</v>
      </c>
      <c r="AK7073" s="831">
        <v>0</v>
      </c>
    </row>
    <row r="7074" spans="2:37">
      <c r="B7074" s="834" t="str">
        <f t="shared" si="299"/>
        <v>|||</v>
      </c>
      <c r="H7074" s="835">
        <f t="shared" si="300"/>
        <v>31</v>
      </c>
      <c r="AF7074" s="831" t="s">
        <v>7733</v>
      </c>
      <c r="AG7074" s="831" t="s">
        <v>131</v>
      </c>
      <c r="AH7074" s="831" t="s">
        <v>223</v>
      </c>
      <c r="AI7074" s="831">
        <v>0</v>
      </c>
      <c r="AJ7074" s="835">
        <v>41608</v>
      </c>
      <c r="AK7074" s="831">
        <v>0</v>
      </c>
    </row>
    <row r="7075" spans="2:37">
      <c r="B7075" s="834" t="str">
        <f t="shared" si="299"/>
        <v>|||</v>
      </c>
      <c r="H7075" s="835">
        <f t="shared" si="300"/>
        <v>31</v>
      </c>
      <c r="AF7075" s="831" t="s">
        <v>7734</v>
      </c>
      <c r="AG7075" s="831" t="s">
        <v>131</v>
      </c>
      <c r="AH7075" s="831" t="s">
        <v>224</v>
      </c>
      <c r="AI7075" s="831">
        <v>0</v>
      </c>
      <c r="AJ7075" s="835">
        <v>41608</v>
      </c>
      <c r="AK7075" s="831">
        <v>0</v>
      </c>
    </row>
    <row r="7076" spans="2:37">
      <c r="B7076" s="834" t="str">
        <f t="shared" si="299"/>
        <v>|||</v>
      </c>
      <c r="H7076" s="835">
        <f t="shared" si="300"/>
        <v>31</v>
      </c>
      <c r="AF7076" s="831" t="s">
        <v>7735</v>
      </c>
      <c r="AG7076" s="831" t="s">
        <v>131</v>
      </c>
      <c r="AH7076" s="831" t="s">
        <v>128</v>
      </c>
      <c r="AI7076" s="831">
        <v>0</v>
      </c>
      <c r="AJ7076" s="835">
        <v>41608</v>
      </c>
      <c r="AK7076" s="831">
        <v>0</v>
      </c>
    </row>
    <row r="7077" spans="2:37">
      <c r="B7077" s="834" t="str">
        <f t="shared" si="299"/>
        <v>|||</v>
      </c>
      <c r="H7077" s="835">
        <f t="shared" si="300"/>
        <v>31</v>
      </c>
      <c r="AF7077" s="831" t="s">
        <v>7736</v>
      </c>
      <c r="AG7077" s="831" t="s">
        <v>131</v>
      </c>
      <c r="AH7077" s="831" t="s">
        <v>3237</v>
      </c>
      <c r="AI7077" s="831">
        <v>0</v>
      </c>
      <c r="AJ7077" s="835">
        <v>41608</v>
      </c>
      <c r="AK7077" s="831">
        <v>0</v>
      </c>
    </row>
    <row r="7078" spans="2:37">
      <c r="B7078" s="834" t="str">
        <f t="shared" si="299"/>
        <v>|||</v>
      </c>
      <c r="H7078" s="835">
        <f t="shared" si="300"/>
        <v>31</v>
      </c>
      <c r="AF7078" s="831" t="s">
        <v>7737</v>
      </c>
      <c r="AG7078" s="831" t="s">
        <v>131</v>
      </c>
      <c r="AH7078" s="831" t="s">
        <v>3239</v>
      </c>
      <c r="AI7078" s="831">
        <v>0</v>
      </c>
      <c r="AJ7078" s="835">
        <v>41608</v>
      </c>
      <c r="AK7078" s="831">
        <v>0</v>
      </c>
    </row>
    <row r="7079" spans="2:37">
      <c r="B7079" s="834" t="str">
        <f t="shared" si="299"/>
        <v>|||</v>
      </c>
      <c r="H7079" s="835">
        <f t="shared" si="300"/>
        <v>31</v>
      </c>
      <c r="AF7079" s="831" t="s">
        <v>7738</v>
      </c>
      <c r="AG7079" s="831" t="s">
        <v>131</v>
      </c>
      <c r="AH7079" s="831" t="s">
        <v>138</v>
      </c>
      <c r="AI7079" s="831">
        <v>0</v>
      </c>
      <c r="AJ7079" s="835">
        <v>41639</v>
      </c>
      <c r="AK7079" s="831">
        <v>121812190.192</v>
      </c>
    </row>
    <row r="7080" spans="2:37">
      <c r="B7080" s="834" t="str">
        <f t="shared" si="299"/>
        <v>|||</v>
      </c>
      <c r="H7080" s="835">
        <f t="shared" si="300"/>
        <v>31</v>
      </c>
      <c r="AF7080" s="831" t="s">
        <v>7739</v>
      </c>
      <c r="AG7080" s="831" t="s">
        <v>131</v>
      </c>
      <c r="AH7080" s="831" t="s">
        <v>141</v>
      </c>
      <c r="AI7080" s="831">
        <v>0</v>
      </c>
      <c r="AJ7080" s="835">
        <v>41639</v>
      </c>
      <c r="AK7080" s="831">
        <v>11044698.571</v>
      </c>
    </row>
    <row r="7081" spans="2:37">
      <c r="B7081" s="834" t="str">
        <f t="shared" si="299"/>
        <v>|||</v>
      </c>
      <c r="H7081" s="835">
        <f t="shared" si="300"/>
        <v>31</v>
      </c>
      <c r="AF7081" s="831" t="s">
        <v>7740</v>
      </c>
      <c r="AG7081" s="831" t="s">
        <v>131</v>
      </c>
      <c r="AH7081" s="831" t="s">
        <v>146</v>
      </c>
      <c r="AI7081" s="831">
        <v>0</v>
      </c>
      <c r="AJ7081" s="835">
        <v>41639</v>
      </c>
      <c r="AK7081" s="831">
        <v>-18049983.890000001</v>
      </c>
    </row>
    <row r="7082" spans="2:37">
      <c r="B7082" s="834" t="str">
        <f t="shared" si="299"/>
        <v>|||</v>
      </c>
      <c r="H7082" s="835">
        <f t="shared" si="300"/>
        <v>31</v>
      </c>
      <c r="AF7082" s="831" t="s">
        <v>7741</v>
      </c>
      <c r="AG7082" s="831" t="s">
        <v>131</v>
      </c>
      <c r="AH7082" s="831" t="s">
        <v>150</v>
      </c>
      <c r="AI7082" s="831">
        <v>0</v>
      </c>
      <c r="AJ7082" s="835">
        <v>41639</v>
      </c>
      <c r="AK7082" s="831">
        <v>-16319541.637</v>
      </c>
    </row>
    <row r="7083" spans="2:37">
      <c r="B7083" s="834" t="str">
        <f t="shared" si="299"/>
        <v>|||</v>
      </c>
      <c r="H7083" s="835">
        <f t="shared" si="300"/>
        <v>31</v>
      </c>
      <c r="AF7083" s="831" t="s">
        <v>7742</v>
      </c>
      <c r="AG7083" s="831" t="s">
        <v>131</v>
      </c>
      <c r="AH7083" s="831" t="s">
        <v>77</v>
      </c>
      <c r="AI7083" s="831">
        <v>0</v>
      </c>
      <c r="AJ7083" s="835">
        <v>41639</v>
      </c>
      <c r="AK7083" s="831">
        <v>-4400746.8899999997</v>
      </c>
    </row>
    <row r="7084" spans="2:37">
      <c r="B7084" s="834" t="str">
        <f t="shared" si="299"/>
        <v>|||</v>
      </c>
      <c r="H7084" s="835">
        <f t="shared" si="300"/>
        <v>31</v>
      </c>
      <c r="AF7084" s="831" t="s">
        <v>7743</v>
      </c>
      <c r="AG7084" s="831" t="s">
        <v>131</v>
      </c>
      <c r="AH7084" s="831" t="s">
        <v>167</v>
      </c>
      <c r="AI7084" s="831">
        <v>0</v>
      </c>
      <c r="AJ7084" s="835">
        <v>41639</v>
      </c>
      <c r="AK7084" s="831">
        <v>0</v>
      </c>
    </row>
    <row r="7085" spans="2:37">
      <c r="B7085" s="834" t="str">
        <f t="shared" si="299"/>
        <v>|||</v>
      </c>
      <c r="H7085" s="835">
        <f t="shared" si="300"/>
        <v>31</v>
      </c>
      <c r="AF7085" s="831" t="s">
        <v>7744</v>
      </c>
      <c r="AG7085" s="831" t="s">
        <v>131</v>
      </c>
      <c r="AH7085" s="831" t="s">
        <v>169</v>
      </c>
      <c r="AI7085" s="831">
        <v>0</v>
      </c>
      <c r="AJ7085" s="835">
        <v>41639</v>
      </c>
      <c r="AK7085" s="831">
        <v>3887348</v>
      </c>
    </row>
    <row r="7086" spans="2:37">
      <c r="B7086" s="834" t="str">
        <f t="shared" si="299"/>
        <v>|||</v>
      </c>
      <c r="H7086" s="835">
        <f t="shared" si="300"/>
        <v>31</v>
      </c>
      <c r="AF7086" s="831" t="s">
        <v>7745</v>
      </c>
      <c r="AG7086" s="831" t="s">
        <v>131</v>
      </c>
      <c r="AH7086" s="831" t="s">
        <v>172</v>
      </c>
      <c r="AI7086" s="831">
        <v>0</v>
      </c>
      <c r="AJ7086" s="835">
        <v>41639</v>
      </c>
      <c r="AK7086" s="831">
        <v>-335918.97700000001</v>
      </c>
    </row>
    <row r="7087" spans="2:37">
      <c r="B7087" s="834" t="str">
        <f t="shared" si="299"/>
        <v>|||</v>
      </c>
      <c r="H7087" s="835">
        <f t="shared" si="300"/>
        <v>31</v>
      </c>
      <c r="AF7087" s="831" t="s">
        <v>7746</v>
      </c>
      <c r="AG7087" s="831" t="s">
        <v>131</v>
      </c>
      <c r="AH7087" s="831" t="s">
        <v>175</v>
      </c>
      <c r="AI7087" s="831">
        <v>0</v>
      </c>
      <c r="AJ7087" s="835">
        <v>41639</v>
      </c>
      <c r="AK7087" s="831">
        <v>1123287.8940000001</v>
      </c>
    </row>
    <row r="7088" spans="2:37">
      <c r="B7088" s="834" t="str">
        <f t="shared" si="299"/>
        <v>|||</v>
      </c>
      <c r="H7088" s="835">
        <f t="shared" si="300"/>
        <v>31</v>
      </c>
      <c r="AF7088" s="831" t="s">
        <v>7747</v>
      </c>
      <c r="AG7088" s="831" t="s">
        <v>131</v>
      </c>
      <c r="AH7088" s="831" t="s">
        <v>185</v>
      </c>
      <c r="AI7088" s="831">
        <v>0</v>
      </c>
      <c r="AJ7088" s="835">
        <v>41639</v>
      </c>
      <c r="AK7088" s="831">
        <v>-38864301</v>
      </c>
    </row>
    <row r="7089" spans="2:37">
      <c r="B7089" s="834" t="str">
        <f t="shared" si="299"/>
        <v>|||</v>
      </c>
      <c r="H7089" s="835">
        <f t="shared" si="300"/>
        <v>31</v>
      </c>
      <c r="AF7089" s="831" t="s">
        <v>7748</v>
      </c>
      <c r="AG7089" s="831" t="s">
        <v>131</v>
      </c>
      <c r="AH7089" s="831" t="s">
        <v>188</v>
      </c>
      <c r="AI7089" s="831">
        <v>0</v>
      </c>
      <c r="AJ7089" s="835">
        <v>41639</v>
      </c>
      <c r="AK7089" s="831">
        <v>-19387023.717</v>
      </c>
    </row>
    <row r="7090" spans="2:37">
      <c r="B7090" s="834" t="str">
        <f t="shared" si="299"/>
        <v>|||</v>
      </c>
      <c r="H7090" s="835">
        <f t="shared" si="300"/>
        <v>31</v>
      </c>
      <c r="AF7090" s="831" t="s">
        <v>7749</v>
      </c>
      <c r="AG7090" s="831" t="s">
        <v>131</v>
      </c>
      <c r="AH7090" s="831" t="s">
        <v>191</v>
      </c>
      <c r="AI7090" s="831">
        <v>0</v>
      </c>
      <c r="AJ7090" s="835">
        <v>41639</v>
      </c>
      <c r="AK7090" s="831">
        <v>-5855680.5899999999</v>
      </c>
    </row>
    <row r="7091" spans="2:37">
      <c r="B7091" s="834" t="str">
        <f t="shared" si="299"/>
        <v>|||</v>
      </c>
      <c r="H7091" s="835">
        <f t="shared" si="300"/>
        <v>31</v>
      </c>
      <c r="AF7091" s="831" t="s">
        <v>7750</v>
      </c>
      <c r="AG7091" s="831" t="s">
        <v>131</v>
      </c>
      <c r="AH7091" s="831" t="s">
        <v>198</v>
      </c>
      <c r="AI7091" s="831">
        <v>0</v>
      </c>
      <c r="AJ7091" s="835">
        <v>41639</v>
      </c>
      <c r="AK7091" s="831">
        <v>0</v>
      </c>
    </row>
    <row r="7092" spans="2:37">
      <c r="B7092" s="834" t="str">
        <f t="shared" si="299"/>
        <v>|||</v>
      </c>
      <c r="H7092" s="835">
        <f t="shared" si="300"/>
        <v>31</v>
      </c>
      <c r="AF7092" s="831" t="s">
        <v>7751</v>
      </c>
      <c r="AG7092" s="831" t="s">
        <v>131</v>
      </c>
      <c r="AH7092" s="831" t="s">
        <v>200</v>
      </c>
      <c r="AI7092" s="831">
        <v>0</v>
      </c>
      <c r="AJ7092" s="835">
        <v>41639</v>
      </c>
      <c r="AK7092" s="831">
        <v>0</v>
      </c>
    </row>
    <row r="7093" spans="2:37">
      <c r="B7093" s="834" t="str">
        <f t="shared" si="299"/>
        <v>|||</v>
      </c>
      <c r="H7093" s="835">
        <f t="shared" si="300"/>
        <v>31</v>
      </c>
      <c r="AF7093" s="831" t="s">
        <v>7752</v>
      </c>
      <c r="AG7093" s="831" t="s">
        <v>131</v>
      </c>
      <c r="AH7093" s="831" t="s">
        <v>205</v>
      </c>
      <c r="AI7093" s="831">
        <v>0</v>
      </c>
      <c r="AJ7093" s="835">
        <v>41639</v>
      </c>
      <c r="AK7093" s="831">
        <v>-7477786</v>
      </c>
    </row>
    <row r="7094" spans="2:37">
      <c r="B7094" s="834" t="str">
        <f t="shared" si="299"/>
        <v>|||</v>
      </c>
      <c r="H7094" s="835">
        <f t="shared" si="300"/>
        <v>31</v>
      </c>
      <c r="AF7094" s="831" t="s">
        <v>7753</v>
      </c>
      <c r="AG7094" s="831" t="s">
        <v>131</v>
      </c>
      <c r="AH7094" s="831" t="s">
        <v>122</v>
      </c>
      <c r="AI7094" s="831">
        <v>0</v>
      </c>
      <c r="AJ7094" s="835">
        <v>41639</v>
      </c>
      <c r="AK7094" s="831">
        <v>0</v>
      </c>
    </row>
    <row r="7095" spans="2:37">
      <c r="B7095" s="834" t="str">
        <f t="shared" si="299"/>
        <v>|||</v>
      </c>
      <c r="H7095" s="835">
        <f t="shared" si="300"/>
        <v>31</v>
      </c>
      <c r="AF7095" s="831" t="s">
        <v>7754</v>
      </c>
      <c r="AG7095" s="831" t="s">
        <v>131</v>
      </c>
      <c r="AH7095" s="831" t="s">
        <v>213</v>
      </c>
      <c r="AI7095" s="831">
        <v>0</v>
      </c>
      <c r="AJ7095" s="835">
        <v>41639</v>
      </c>
      <c r="AK7095" s="831">
        <v>0</v>
      </c>
    </row>
    <row r="7096" spans="2:37">
      <c r="B7096" s="834" t="str">
        <f t="shared" si="299"/>
        <v>|||</v>
      </c>
      <c r="H7096" s="835">
        <f t="shared" si="300"/>
        <v>31</v>
      </c>
      <c r="AF7096" s="831" t="s">
        <v>7755</v>
      </c>
      <c r="AG7096" s="831" t="s">
        <v>131</v>
      </c>
      <c r="AH7096" s="831" t="s">
        <v>215</v>
      </c>
      <c r="AI7096" s="831">
        <v>0</v>
      </c>
      <c r="AJ7096" s="835">
        <v>41639</v>
      </c>
      <c r="AK7096" s="831">
        <v>0</v>
      </c>
    </row>
    <row r="7097" spans="2:37">
      <c r="B7097" s="834" t="str">
        <f t="shared" si="299"/>
        <v>|||</v>
      </c>
      <c r="H7097" s="835">
        <f t="shared" si="300"/>
        <v>31</v>
      </c>
      <c r="AF7097" s="831" t="s">
        <v>7756</v>
      </c>
      <c r="AG7097" s="831" t="s">
        <v>131</v>
      </c>
      <c r="AH7097" s="831" t="s">
        <v>217</v>
      </c>
      <c r="AI7097" s="831">
        <v>0</v>
      </c>
      <c r="AJ7097" s="835">
        <v>41639</v>
      </c>
      <c r="AK7097" s="831">
        <v>0</v>
      </c>
    </row>
    <row r="7098" spans="2:37">
      <c r="B7098" s="834" t="str">
        <f t="shared" si="299"/>
        <v>|||</v>
      </c>
      <c r="H7098" s="835">
        <f t="shared" si="300"/>
        <v>31</v>
      </c>
      <c r="AF7098" s="831" t="s">
        <v>7757</v>
      </c>
      <c r="AG7098" s="831" t="s">
        <v>131</v>
      </c>
      <c r="AH7098" s="831" t="s">
        <v>223</v>
      </c>
      <c r="AI7098" s="831">
        <v>0</v>
      </c>
      <c r="AJ7098" s="835">
        <v>41639</v>
      </c>
      <c r="AK7098" s="831">
        <v>0</v>
      </c>
    </row>
    <row r="7099" spans="2:37">
      <c r="B7099" s="834" t="str">
        <f t="shared" si="299"/>
        <v>|||</v>
      </c>
      <c r="H7099" s="835">
        <f t="shared" si="300"/>
        <v>31</v>
      </c>
      <c r="AF7099" s="831" t="s">
        <v>7758</v>
      </c>
      <c r="AG7099" s="831" t="s">
        <v>131</v>
      </c>
      <c r="AH7099" s="831" t="s">
        <v>224</v>
      </c>
      <c r="AI7099" s="831">
        <v>0</v>
      </c>
      <c r="AJ7099" s="835">
        <v>41639</v>
      </c>
      <c r="AK7099" s="831">
        <v>0</v>
      </c>
    </row>
    <row r="7100" spans="2:37">
      <c r="B7100" s="834" t="str">
        <f t="shared" si="299"/>
        <v>|||</v>
      </c>
      <c r="H7100" s="835">
        <f t="shared" si="300"/>
        <v>31</v>
      </c>
      <c r="AF7100" s="831" t="s">
        <v>7759</v>
      </c>
      <c r="AG7100" s="831" t="s">
        <v>131</v>
      </c>
      <c r="AH7100" s="831" t="s">
        <v>128</v>
      </c>
      <c r="AI7100" s="831">
        <v>0</v>
      </c>
      <c r="AJ7100" s="835">
        <v>41639</v>
      </c>
      <c r="AK7100" s="831">
        <v>0</v>
      </c>
    </row>
    <row r="7101" spans="2:37">
      <c r="B7101" s="834" t="str">
        <f t="shared" si="299"/>
        <v>|||</v>
      </c>
      <c r="H7101" s="835">
        <f t="shared" si="300"/>
        <v>31</v>
      </c>
      <c r="AF7101" s="831" t="s">
        <v>7760</v>
      </c>
      <c r="AG7101" s="831" t="s">
        <v>131</v>
      </c>
      <c r="AH7101" s="831" t="s">
        <v>3237</v>
      </c>
      <c r="AI7101" s="831">
        <v>0</v>
      </c>
      <c r="AJ7101" s="835">
        <v>41639</v>
      </c>
      <c r="AK7101" s="831">
        <v>0</v>
      </c>
    </row>
    <row r="7102" spans="2:37">
      <c r="B7102" s="834" t="str">
        <f t="shared" si="299"/>
        <v>|||</v>
      </c>
      <c r="H7102" s="835">
        <f t="shared" si="300"/>
        <v>31</v>
      </c>
      <c r="AF7102" s="831" t="s">
        <v>7761</v>
      </c>
      <c r="AG7102" s="831" t="s">
        <v>131</v>
      </c>
      <c r="AH7102" s="831" t="s">
        <v>3239</v>
      </c>
      <c r="AI7102" s="831">
        <v>0</v>
      </c>
      <c r="AJ7102" s="835">
        <v>41639</v>
      </c>
      <c r="AK7102" s="831">
        <v>0</v>
      </c>
    </row>
    <row r="7103" spans="2:37">
      <c r="B7103" s="834" t="str">
        <f t="shared" si="299"/>
        <v>|||</v>
      </c>
      <c r="H7103" s="835">
        <f t="shared" si="300"/>
        <v>31</v>
      </c>
      <c r="AF7103" s="831" t="s">
        <v>7762</v>
      </c>
      <c r="AG7103" s="831" t="s">
        <v>132</v>
      </c>
      <c r="AH7103" s="831" t="s">
        <v>68</v>
      </c>
      <c r="AI7103" s="831">
        <v>0</v>
      </c>
      <c r="AJ7103" s="835">
        <v>41305</v>
      </c>
      <c r="AK7103" s="831">
        <v>415639828</v>
      </c>
    </row>
    <row r="7104" spans="2:37">
      <c r="B7104" s="834" t="str">
        <f t="shared" si="299"/>
        <v>|||</v>
      </c>
      <c r="H7104" s="835">
        <f t="shared" si="300"/>
        <v>31</v>
      </c>
      <c r="AF7104" s="831" t="s">
        <v>7763</v>
      </c>
      <c r="AG7104" s="831" t="s">
        <v>132</v>
      </c>
      <c r="AH7104" s="831" t="s">
        <v>73</v>
      </c>
      <c r="AI7104" s="831">
        <v>0</v>
      </c>
      <c r="AJ7104" s="835">
        <v>41305</v>
      </c>
      <c r="AK7104" s="831">
        <v>769193</v>
      </c>
    </row>
    <row r="7105" spans="2:37">
      <c r="B7105" s="834" t="str">
        <f t="shared" si="299"/>
        <v>|||</v>
      </c>
      <c r="H7105" s="835">
        <f t="shared" si="300"/>
        <v>31</v>
      </c>
      <c r="AF7105" s="831" t="s">
        <v>7764</v>
      </c>
      <c r="AG7105" s="831" t="s">
        <v>132</v>
      </c>
      <c r="AH7105" s="831" t="s">
        <v>147</v>
      </c>
      <c r="AI7105" s="831">
        <v>0</v>
      </c>
      <c r="AJ7105" s="835">
        <v>41305</v>
      </c>
      <c r="AK7105" s="831">
        <v>43267</v>
      </c>
    </row>
    <row r="7106" spans="2:37">
      <c r="B7106" s="834" t="str">
        <f t="shared" si="299"/>
        <v>|||</v>
      </c>
      <c r="H7106" s="835">
        <f t="shared" si="300"/>
        <v>31</v>
      </c>
      <c r="AF7106" s="831" t="s">
        <v>7765</v>
      </c>
      <c r="AG7106" s="831" t="s">
        <v>132</v>
      </c>
      <c r="AH7106" s="831" t="s">
        <v>151</v>
      </c>
      <c r="AI7106" s="831">
        <v>0</v>
      </c>
      <c r="AJ7106" s="835">
        <v>41305</v>
      </c>
      <c r="AK7106" s="831">
        <v>162437</v>
      </c>
    </row>
    <row r="7107" spans="2:37">
      <c r="B7107" s="834" t="str">
        <f t="shared" ref="B7107:B7170" si="301">C7107&amp;"|"&amp;D7107&amp;"|"&amp;E7107&amp;"|"&amp;F7107</f>
        <v>|||</v>
      </c>
      <c r="H7107" s="835">
        <f t="shared" si="300"/>
        <v>31</v>
      </c>
      <c r="AF7107" s="831" t="s">
        <v>7766</v>
      </c>
      <c r="AG7107" s="831" t="s">
        <v>132</v>
      </c>
      <c r="AH7107" s="831" t="s">
        <v>155</v>
      </c>
      <c r="AI7107" s="831">
        <v>0</v>
      </c>
      <c r="AJ7107" s="835">
        <v>41305</v>
      </c>
      <c r="AK7107" s="831">
        <v>100112</v>
      </c>
    </row>
    <row r="7108" spans="2:37">
      <c r="B7108" s="834" t="str">
        <f t="shared" si="301"/>
        <v>|||</v>
      </c>
      <c r="H7108" s="835">
        <f t="shared" ref="H7108:H7171" si="302">EOMONTH(L7108,0)</f>
        <v>31</v>
      </c>
      <c r="AF7108" s="831" t="s">
        <v>7767</v>
      </c>
      <c r="AG7108" s="831" t="s">
        <v>132</v>
      </c>
      <c r="AH7108" s="831" t="s">
        <v>158</v>
      </c>
      <c r="AI7108" s="831">
        <v>0</v>
      </c>
      <c r="AJ7108" s="835">
        <v>41305</v>
      </c>
      <c r="AK7108" s="831">
        <v>129827</v>
      </c>
    </row>
    <row r="7109" spans="2:37">
      <c r="B7109" s="834" t="str">
        <f t="shared" si="301"/>
        <v>|||</v>
      </c>
      <c r="H7109" s="835">
        <f t="shared" si="302"/>
        <v>31</v>
      </c>
      <c r="AF7109" s="831" t="s">
        <v>7768</v>
      </c>
      <c r="AG7109" s="831" t="s">
        <v>132</v>
      </c>
      <c r="AH7109" s="831" t="s">
        <v>160</v>
      </c>
      <c r="AI7109" s="831">
        <v>0</v>
      </c>
      <c r="AJ7109" s="835">
        <v>41305</v>
      </c>
      <c r="AK7109" s="831">
        <v>777734</v>
      </c>
    </row>
    <row r="7110" spans="2:37">
      <c r="B7110" s="834" t="str">
        <f t="shared" si="301"/>
        <v>|||</v>
      </c>
      <c r="H7110" s="835">
        <f t="shared" si="302"/>
        <v>31</v>
      </c>
      <c r="AF7110" s="831" t="s">
        <v>7769</v>
      </c>
      <c r="AG7110" s="831" t="s">
        <v>132</v>
      </c>
      <c r="AH7110" s="831" t="s">
        <v>161</v>
      </c>
      <c r="AI7110" s="831">
        <v>0</v>
      </c>
      <c r="AJ7110" s="835">
        <v>41305</v>
      </c>
      <c r="AK7110" s="831">
        <v>735966</v>
      </c>
    </row>
    <row r="7111" spans="2:37">
      <c r="B7111" s="834" t="str">
        <f t="shared" si="301"/>
        <v>|||</v>
      </c>
      <c r="H7111" s="835">
        <f t="shared" si="302"/>
        <v>31</v>
      </c>
      <c r="AF7111" s="831" t="s">
        <v>7770</v>
      </c>
      <c r="AG7111" s="831" t="s">
        <v>132</v>
      </c>
      <c r="AH7111" s="831" t="s">
        <v>170</v>
      </c>
      <c r="AI7111" s="831">
        <v>0</v>
      </c>
      <c r="AJ7111" s="835">
        <v>41305</v>
      </c>
      <c r="AK7111" s="831">
        <v>1859525</v>
      </c>
    </row>
    <row r="7112" spans="2:37">
      <c r="B7112" s="834" t="str">
        <f t="shared" si="301"/>
        <v>|||</v>
      </c>
      <c r="H7112" s="835">
        <f t="shared" si="302"/>
        <v>31</v>
      </c>
      <c r="AF7112" s="831" t="s">
        <v>7771</v>
      </c>
      <c r="AG7112" s="831" t="s">
        <v>132</v>
      </c>
      <c r="AH7112" s="831" t="s">
        <v>173</v>
      </c>
      <c r="AI7112" s="831">
        <v>0</v>
      </c>
      <c r="AJ7112" s="835">
        <v>41305</v>
      </c>
      <c r="AK7112" s="831">
        <v>137197</v>
      </c>
    </row>
    <row r="7113" spans="2:37">
      <c r="B7113" s="834" t="str">
        <f t="shared" si="301"/>
        <v>|||</v>
      </c>
      <c r="H7113" s="835">
        <f t="shared" si="302"/>
        <v>31</v>
      </c>
      <c r="AF7113" s="831" t="s">
        <v>7772</v>
      </c>
      <c r="AG7113" s="831" t="s">
        <v>132</v>
      </c>
      <c r="AH7113" s="831" t="s">
        <v>78</v>
      </c>
      <c r="AI7113" s="831">
        <v>0</v>
      </c>
      <c r="AJ7113" s="835">
        <v>41305</v>
      </c>
      <c r="AK7113" s="831">
        <v>696697</v>
      </c>
    </row>
    <row r="7114" spans="2:37">
      <c r="B7114" s="834" t="str">
        <f t="shared" si="301"/>
        <v>|||</v>
      </c>
      <c r="H7114" s="835">
        <f t="shared" si="302"/>
        <v>31</v>
      </c>
      <c r="AF7114" s="831" t="s">
        <v>7773</v>
      </c>
      <c r="AG7114" s="831" t="s">
        <v>132</v>
      </c>
      <c r="AH7114" s="831" t="s">
        <v>183</v>
      </c>
      <c r="AI7114" s="831">
        <v>0</v>
      </c>
      <c r="AJ7114" s="835">
        <v>41305</v>
      </c>
      <c r="AK7114" s="831">
        <v>0</v>
      </c>
    </row>
    <row r="7115" spans="2:37">
      <c r="B7115" s="834" t="str">
        <f t="shared" si="301"/>
        <v>|||</v>
      </c>
      <c r="H7115" s="835">
        <f t="shared" si="302"/>
        <v>31</v>
      </c>
      <c r="AF7115" s="831" t="s">
        <v>7774</v>
      </c>
      <c r="AG7115" s="831" t="s">
        <v>132</v>
      </c>
      <c r="AH7115" s="831" t="s">
        <v>186</v>
      </c>
      <c r="AI7115" s="831">
        <v>0</v>
      </c>
      <c r="AJ7115" s="835">
        <v>41305</v>
      </c>
      <c r="AK7115" s="831">
        <v>10229</v>
      </c>
    </row>
    <row r="7116" spans="2:37">
      <c r="B7116" s="834" t="str">
        <f t="shared" si="301"/>
        <v>|||</v>
      </c>
      <c r="H7116" s="835">
        <f t="shared" si="302"/>
        <v>31</v>
      </c>
      <c r="AF7116" s="831" t="s">
        <v>7775</v>
      </c>
      <c r="AG7116" s="831" t="s">
        <v>132</v>
      </c>
      <c r="AH7116" s="831" t="s">
        <v>189</v>
      </c>
      <c r="AI7116" s="831">
        <v>0</v>
      </c>
      <c r="AJ7116" s="835">
        <v>41305</v>
      </c>
      <c r="AK7116" s="831">
        <v>0</v>
      </c>
    </row>
    <row r="7117" spans="2:37">
      <c r="B7117" s="834" t="str">
        <f t="shared" si="301"/>
        <v>|||</v>
      </c>
      <c r="H7117" s="835">
        <f t="shared" si="302"/>
        <v>31</v>
      </c>
      <c r="AF7117" s="831" t="s">
        <v>7776</v>
      </c>
      <c r="AG7117" s="831" t="s">
        <v>132</v>
      </c>
      <c r="AH7117" s="831" t="s">
        <v>68</v>
      </c>
      <c r="AI7117" s="831">
        <v>0</v>
      </c>
      <c r="AJ7117" s="835">
        <v>41333</v>
      </c>
      <c r="AK7117" s="831">
        <v>430811319</v>
      </c>
    </row>
    <row r="7118" spans="2:37">
      <c r="B7118" s="834" t="str">
        <f t="shared" si="301"/>
        <v>|||</v>
      </c>
      <c r="H7118" s="835">
        <f t="shared" si="302"/>
        <v>31</v>
      </c>
      <c r="AF7118" s="831" t="s">
        <v>7777</v>
      </c>
      <c r="AG7118" s="831" t="s">
        <v>132</v>
      </c>
      <c r="AH7118" s="831" t="s">
        <v>73</v>
      </c>
      <c r="AI7118" s="831">
        <v>0</v>
      </c>
      <c r="AJ7118" s="835">
        <v>41333</v>
      </c>
      <c r="AK7118" s="831">
        <v>1112749</v>
      </c>
    </row>
    <row r="7119" spans="2:37">
      <c r="B7119" s="834" t="str">
        <f t="shared" si="301"/>
        <v>|||</v>
      </c>
      <c r="H7119" s="835">
        <f t="shared" si="302"/>
        <v>31</v>
      </c>
      <c r="AF7119" s="831" t="s">
        <v>7778</v>
      </c>
      <c r="AG7119" s="831" t="s">
        <v>132</v>
      </c>
      <c r="AH7119" s="831" t="s">
        <v>147</v>
      </c>
      <c r="AI7119" s="831">
        <v>0</v>
      </c>
      <c r="AJ7119" s="835">
        <v>41333</v>
      </c>
      <c r="AK7119" s="831">
        <v>308399</v>
      </c>
    </row>
    <row r="7120" spans="2:37">
      <c r="B7120" s="834" t="str">
        <f t="shared" si="301"/>
        <v>|||</v>
      </c>
      <c r="H7120" s="835">
        <f t="shared" si="302"/>
        <v>31</v>
      </c>
      <c r="AF7120" s="831" t="s">
        <v>7779</v>
      </c>
      <c r="AG7120" s="831" t="s">
        <v>132</v>
      </c>
      <c r="AH7120" s="831" t="s">
        <v>151</v>
      </c>
      <c r="AI7120" s="831">
        <v>0</v>
      </c>
      <c r="AJ7120" s="835">
        <v>41333</v>
      </c>
      <c r="AK7120" s="831">
        <v>78829</v>
      </c>
    </row>
    <row r="7121" spans="2:37">
      <c r="B7121" s="834" t="str">
        <f t="shared" si="301"/>
        <v>|||</v>
      </c>
      <c r="H7121" s="835">
        <f t="shared" si="302"/>
        <v>31</v>
      </c>
      <c r="AF7121" s="831" t="s">
        <v>7780</v>
      </c>
      <c r="AG7121" s="831" t="s">
        <v>132</v>
      </c>
      <c r="AH7121" s="831" t="s">
        <v>155</v>
      </c>
      <c r="AI7121" s="831">
        <v>0</v>
      </c>
      <c r="AJ7121" s="835">
        <v>41333</v>
      </c>
      <c r="AK7121" s="831">
        <v>124243</v>
      </c>
    </row>
    <row r="7122" spans="2:37">
      <c r="B7122" s="834" t="str">
        <f t="shared" si="301"/>
        <v>|||</v>
      </c>
      <c r="H7122" s="835">
        <f t="shared" si="302"/>
        <v>31</v>
      </c>
      <c r="AF7122" s="831" t="s">
        <v>7781</v>
      </c>
      <c r="AG7122" s="831" t="s">
        <v>132</v>
      </c>
      <c r="AH7122" s="831" t="s">
        <v>158</v>
      </c>
      <c r="AI7122" s="831">
        <v>0</v>
      </c>
      <c r="AJ7122" s="835">
        <v>41333</v>
      </c>
      <c r="AK7122" s="831">
        <v>202711</v>
      </c>
    </row>
    <row r="7123" spans="2:37">
      <c r="B7123" s="834" t="str">
        <f t="shared" si="301"/>
        <v>|||</v>
      </c>
      <c r="H7123" s="835">
        <f t="shared" si="302"/>
        <v>31</v>
      </c>
      <c r="AF7123" s="831" t="s">
        <v>7782</v>
      </c>
      <c r="AG7123" s="831" t="s">
        <v>132</v>
      </c>
      <c r="AH7123" s="831" t="s">
        <v>160</v>
      </c>
      <c r="AI7123" s="831">
        <v>0</v>
      </c>
      <c r="AJ7123" s="835">
        <v>41333</v>
      </c>
      <c r="AK7123" s="831">
        <v>410431</v>
      </c>
    </row>
    <row r="7124" spans="2:37">
      <c r="B7124" s="834" t="str">
        <f t="shared" si="301"/>
        <v>|||</v>
      </c>
      <c r="H7124" s="835">
        <f t="shared" si="302"/>
        <v>31</v>
      </c>
      <c r="AF7124" s="831" t="s">
        <v>7783</v>
      </c>
      <c r="AG7124" s="831" t="s">
        <v>132</v>
      </c>
      <c r="AH7124" s="831" t="s">
        <v>161</v>
      </c>
      <c r="AI7124" s="831">
        <v>0</v>
      </c>
      <c r="AJ7124" s="835">
        <v>41333</v>
      </c>
      <c r="AK7124" s="831">
        <v>1114184</v>
      </c>
    </row>
    <row r="7125" spans="2:37">
      <c r="B7125" s="834" t="str">
        <f t="shared" si="301"/>
        <v>|||</v>
      </c>
      <c r="H7125" s="835">
        <f t="shared" si="302"/>
        <v>31</v>
      </c>
      <c r="AF7125" s="831" t="s">
        <v>7784</v>
      </c>
      <c r="AG7125" s="831" t="s">
        <v>132</v>
      </c>
      <c r="AH7125" s="831" t="s">
        <v>170</v>
      </c>
      <c r="AI7125" s="831">
        <v>0</v>
      </c>
      <c r="AJ7125" s="835">
        <v>41333</v>
      </c>
      <c r="AK7125" s="831">
        <v>1727438</v>
      </c>
    </row>
    <row r="7126" spans="2:37">
      <c r="B7126" s="834" t="str">
        <f t="shared" si="301"/>
        <v>|||</v>
      </c>
      <c r="H7126" s="835">
        <f t="shared" si="302"/>
        <v>31</v>
      </c>
      <c r="AF7126" s="831" t="s">
        <v>7785</v>
      </c>
      <c r="AG7126" s="831" t="s">
        <v>132</v>
      </c>
      <c r="AH7126" s="831" t="s">
        <v>173</v>
      </c>
      <c r="AI7126" s="831">
        <v>0</v>
      </c>
      <c r="AJ7126" s="835">
        <v>41333</v>
      </c>
      <c r="AK7126" s="831">
        <v>168101</v>
      </c>
    </row>
    <row r="7127" spans="2:37">
      <c r="B7127" s="834" t="str">
        <f t="shared" si="301"/>
        <v>|||</v>
      </c>
      <c r="H7127" s="835">
        <f t="shared" si="302"/>
        <v>31</v>
      </c>
      <c r="AF7127" s="831" t="s">
        <v>7786</v>
      </c>
      <c r="AG7127" s="831" t="s">
        <v>132</v>
      </c>
      <c r="AH7127" s="831" t="s">
        <v>78</v>
      </c>
      <c r="AI7127" s="831">
        <v>0</v>
      </c>
      <c r="AJ7127" s="835">
        <v>41333</v>
      </c>
      <c r="AK7127" s="831">
        <v>752199</v>
      </c>
    </row>
    <row r="7128" spans="2:37">
      <c r="B7128" s="834" t="str">
        <f t="shared" si="301"/>
        <v>|||</v>
      </c>
      <c r="H7128" s="835">
        <f t="shared" si="302"/>
        <v>31</v>
      </c>
      <c r="AF7128" s="831" t="s">
        <v>7787</v>
      </c>
      <c r="AG7128" s="831" t="s">
        <v>132</v>
      </c>
      <c r="AH7128" s="831" t="s">
        <v>183</v>
      </c>
      <c r="AI7128" s="831">
        <v>0</v>
      </c>
      <c r="AJ7128" s="835">
        <v>41333</v>
      </c>
      <c r="AK7128" s="831">
        <v>0</v>
      </c>
    </row>
    <row r="7129" spans="2:37">
      <c r="B7129" s="834" t="str">
        <f t="shared" si="301"/>
        <v>|||</v>
      </c>
      <c r="H7129" s="835">
        <f t="shared" si="302"/>
        <v>31</v>
      </c>
      <c r="AF7129" s="831" t="s">
        <v>7788</v>
      </c>
      <c r="AG7129" s="831" t="s">
        <v>132</v>
      </c>
      <c r="AH7129" s="831" t="s">
        <v>186</v>
      </c>
      <c r="AI7129" s="831">
        <v>0</v>
      </c>
      <c r="AJ7129" s="835">
        <v>41333</v>
      </c>
      <c r="AK7129" s="831">
        <v>15035</v>
      </c>
    </row>
    <row r="7130" spans="2:37">
      <c r="B7130" s="834" t="str">
        <f t="shared" si="301"/>
        <v>|||</v>
      </c>
      <c r="H7130" s="835">
        <f t="shared" si="302"/>
        <v>31</v>
      </c>
      <c r="AF7130" s="831" t="s">
        <v>7789</v>
      </c>
      <c r="AG7130" s="831" t="s">
        <v>132</v>
      </c>
      <c r="AH7130" s="831" t="s">
        <v>189</v>
      </c>
      <c r="AI7130" s="831">
        <v>0</v>
      </c>
      <c r="AJ7130" s="835">
        <v>41333</v>
      </c>
      <c r="AK7130" s="831">
        <v>0</v>
      </c>
    </row>
    <row r="7131" spans="2:37">
      <c r="B7131" s="834" t="str">
        <f t="shared" si="301"/>
        <v>|||</v>
      </c>
      <c r="H7131" s="835">
        <f t="shared" si="302"/>
        <v>31</v>
      </c>
      <c r="AF7131" s="831" t="s">
        <v>7790</v>
      </c>
      <c r="AG7131" s="831" t="s">
        <v>132</v>
      </c>
      <c r="AH7131" s="831" t="s">
        <v>68</v>
      </c>
      <c r="AI7131" s="831">
        <v>0</v>
      </c>
      <c r="AJ7131" s="835">
        <v>41364</v>
      </c>
      <c r="AK7131" s="831">
        <v>450010427</v>
      </c>
    </row>
    <row r="7132" spans="2:37">
      <c r="B7132" s="834" t="str">
        <f t="shared" si="301"/>
        <v>|||</v>
      </c>
      <c r="H7132" s="835">
        <f t="shared" si="302"/>
        <v>31</v>
      </c>
      <c r="AF7132" s="831" t="s">
        <v>7791</v>
      </c>
      <c r="AG7132" s="831" t="s">
        <v>132</v>
      </c>
      <c r="AH7132" s="831" t="s">
        <v>73</v>
      </c>
      <c r="AI7132" s="831">
        <v>0</v>
      </c>
      <c r="AJ7132" s="835">
        <v>41364</v>
      </c>
      <c r="AK7132" s="831">
        <v>254951</v>
      </c>
    </row>
    <row r="7133" spans="2:37">
      <c r="B7133" s="834" t="str">
        <f t="shared" si="301"/>
        <v>|||</v>
      </c>
      <c r="H7133" s="835">
        <f t="shared" si="302"/>
        <v>31</v>
      </c>
      <c r="AF7133" s="831" t="s">
        <v>7792</v>
      </c>
      <c r="AG7133" s="831" t="s">
        <v>132</v>
      </c>
      <c r="AH7133" s="831" t="s">
        <v>147</v>
      </c>
      <c r="AI7133" s="831">
        <v>0</v>
      </c>
      <c r="AJ7133" s="835">
        <v>41364</v>
      </c>
      <c r="AK7133" s="831">
        <v>498917</v>
      </c>
    </row>
    <row r="7134" spans="2:37">
      <c r="B7134" s="834" t="str">
        <f t="shared" si="301"/>
        <v>|||</v>
      </c>
      <c r="H7134" s="835">
        <f t="shared" si="302"/>
        <v>31</v>
      </c>
      <c r="AF7134" s="831" t="s">
        <v>7793</v>
      </c>
      <c r="AG7134" s="831" t="s">
        <v>132</v>
      </c>
      <c r="AH7134" s="831" t="s">
        <v>151</v>
      </c>
      <c r="AI7134" s="831">
        <v>0</v>
      </c>
      <c r="AJ7134" s="835">
        <v>41364</v>
      </c>
      <c r="AK7134" s="831">
        <v>344672</v>
      </c>
    </row>
    <row r="7135" spans="2:37">
      <c r="B7135" s="834" t="str">
        <f t="shared" si="301"/>
        <v>|||</v>
      </c>
      <c r="H7135" s="835">
        <f t="shared" si="302"/>
        <v>31</v>
      </c>
      <c r="AF7135" s="831" t="s">
        <v>7794</v>
      </c>
      <c r="AG7135" s="831" t="s">
        <v>132</v>
      </c>
      <c r="AH7135" s="831" t="s">
        <v>155</v>
      </c>
      <c r="AI7135" s="831">
        <v>0</v>
      </c>
      <c r="AJ7135" s="835">
        <v>41364</v>
      </c>
      <c r="AK7135" s="831">
        <v>31834</v>
      </c>
    </row>
    <row r="7136" spans="2:37">
      <c r="B7136" s="834" t="str">
        <f t="shared" si="301"/>
        <v>|||</v>
      </c>
      <c r="H7136" s="835">
        <f t="shared" si="302"/>
        <v>31</v>
      </c>
      <c r="AF7136" s="831" t="s">
        <v>7795</v>
      </c>
      <c r="AG7136" s="831" t="s">
        <v>132</v>
      </c>
      <c r="AH7136" s="831" t="s">
        <v>158</v>
      </c>
      <c r="AI7136" s="831">
        <v>0</v>
      </c>
      <c r="AJ7136" s="835">
        <v>41364</v>
      </c>
      <c r="AK7136" s="831">
        <v>241208</v>
      </c>
    </row>
    <row r="7137" spans="2:37">
      <c r="B7137" s="834" t="str">
        <f t="shared" si="301"/>
        <v>|||</v>
      </c>
      <c r="H7137" s="835">
        <f t="shared" si="302"/>
        <v>31</v>
      </c>
      <c r="AF7137" s="831" t="s">
        <v>7796</v>
      </c>
      <c r="AG7137" s="831" t="s">
        <v>132</v>
      </c>
      <c r="AH7137" s="831" t="s">
        <v>160</v>
      </c>
      <c r="AI7137" s="831">
        <v>0</v>
      </c>
      <c r="AJ7137" s="835">
        <v>41364</v>
      </c>
      <c r="AK7137" s="831">
        <v>413451</v>
      </c>
    </row>
    <row r="7138" spans="2:37">
      <c r="B7138" s="834" t="str">
        <f t="shared" si="301"/>
        <v>|||</v>
      </c>
      <c r="H7138" s="835">
        <f t="shared" si="302"/>
        <v>31</v>
      </c>
      <c r="AF7138" s="831" t="s">
        <v>7797</v>
      </c>
      <c r="AG7138" s="831" t="s">
        <v>132</v>
      </c>
      <c r="AH7138" s="831" t="s">
        <v>161</v>
      </c>
      <c r="AI7138" s="831">
        <v>0</v>
      </c>
      <c r="AJ7138" s="835">
        <v>41364</v>
      </c>
      <c r="AK7138" s="831">
        <v>1144691</v>
      </c>
    </row>
    <row r="7139" spans="2:37">
      <c r="B7139" s="834" t="str">
        <f t="shared" si="301"/>
        <v>|||</v>
      </c>
      <c r="H7139" s="835">
        <f t="shared" si="302"/>
        <v>31</v>
      </c>
      <c r="AF7139" s="831" t="s">
        <v>7798</v>
      </c>
      <c r="AG7139" s="831" t="s">
        <v>132</v>
      </c>
      <c r="AH7139" s="831" t="s">
        <v>170</v>
      </c>
      <c r="AI7139" s="831">
        <v>0</v>
      </c>
      <c r="AJ7139" s="835">
        <v>41364</v>
      </c>
      <c r="AK7139" s="831">
        <v>1737314</v>
      </c>
    </row>
    <row r="7140" spans="2:37">
      <c r="B7140" s="834" t="str">
        <f t="shared" si="301"/>
        <v>|||</v>
      </c>
      <c r="H7140" s="835">
        <f t="shared" si="302"/>
        <v>31</v>
      </c>
      <c r="AF7140" s="831" t="s">
        <v>7799</v>
      </c>
      <c r="AG7140" s="831" t="s">
        <v>132</v>
      </c>
      <c r="AH7140" s="831" t="s">
        <v>173</v>
      </c>
      <c r="AI7140" s="831">
        <v>0</v>
      </c>
      <c r="AJ7140" s="835">
        <v>41364</v>
      </c>
      <c r="AK7140" s="831">
        <v>86069</v>
      </c>
    </row>
    <row r="7141" spans="2:37">
      <c r="B7141" s="834" t="str">
        <f t="shared" si="301"/>
        <v>|||</v>
      </c>
      <c r="H7141" s="835">
        <f t="shared" si="302"/>
        <v>31</v>
      </c>
      <c r="AF7141" s="831" t="s">
        <v>7800</v>
      </c>
      <c r="AG7141" s="831" t="s">
        <v>132</v>
      </c>
      <c r="AH7141" s="831" t="s">
        <v>78</v>
      </c>
      <c r="AI7141" s="831">
        <v>0</v>
      </c>
      <c r="AJ7141" s="835">
        <v>41364</v>
      </c>
      <c r="AK7141" s="831">
        <v>892107</v>
      </c>
    </row>
    <row r="7142" spans="2:37">
      <c r="B7142" s="834" t="str">
        <f t="shared" si="301"/>
        <v>|||</v>
      </c>
      <c r="H7142" s="835">
        <f t="shared" si="302"/>
        <v>31</v>
      </c>
      <c r="AF7142" s="831" t="s">
        <v>7801</v>
      </c>
      <c r="AG7142" s="831" t="s">
        <v>132</v>
      </c>
      <c r="AH7142" s="831" t="s">
        <v>183</v>
      </c>
      <c r="AI7142" s="831">
        <v>0</v>
      </c>
      <c r="AJ7142" s="835">
        <v>41364</v>
      </c>
      <c r="AK7142" s="831">
        <v>0</v>
      </c>
    </row>
    <row r="7143" spans="2:37">
      <c r="B7143" s="834" t="str">
        <f t="shared" si="301"/>
        <v>|||</v>
      </c>
      <c r="H7143" s="835">
        <f t="shared" si="302"/>
        <v>31</v>
      </c>
      <c r="AF7143" s="831" t="s">
        <v>7802</v>
      </c>
      <c r="AG7143" s="831" t="s">
        <v>132</v>
      </c>
      <c r="AH7143" s="831" t="s">
        <v>186</v>
      </c>
      <c r="AI7143" s="831">
        <v>0</v>
      </c>
      <c r="AJ7143" s="835">
        <v>41364</v>
      </c>
      <c r="AK7143" s="831">
        <v>-26535</v>
      </c>
    </row>
    <row r="7144" spans="2:37">
      <c r="B7144" s="834" t="str">
        <f t="shared" si="301"/>
        <v>|||</v>
      </c>
      <c r="H7144" s="835">
        <f t="shared" si="302"/>
        <v>31</v>
      </c>
      <c r="AF7144" s="831" t="s">
        <v>7803</v>
      </c>
      <c r="AG7144" s="831" t="s">
        <v>132</v>
      </c>
      <c r="AH7144" s="831" t="s">
        <v>189</v>
      </c>
      <c r="AI7144" s="831">
        <v>0</v>
      </c>
      <c r="AJ7144" s="835">
        <v>41364</v>
      </c>
      <c r="AK7144" s="831">
        <v>0</v>
      </c>
    </row>
    <row r="7145" spans="2:37">
      <c r="B7145" s="834" t="str">
        <f t="shared" si="301"/>
        <v>|||</v>
      </c>
      <c r="H7145" s="835">
        <f t="shared" si="302"/>
        <v>31</v>
      </c>
      <c r="AF7145" s="831" t="s">
        <v>7804</v>
      </c>
      <c r="AG7145" s="831" t="s">
        <v>132</v>
      </c>
      <c r="AH7145" s="831" t="s">
        <v>68</v>
      </c>
      <c r="AI7145" s="831">
        <v>0</v>
      </c>
      <c r="AJ7145" s="835">
        <v>41394</v>
      </c>
      <c r="AK7145" s="831">
        <v>473401302</v>
      </c>
    </row>
    <row r="7146" spans="2:37">
      <c r="B7146" s="834" t="str">
        <f t="shared" si="301"/>
        <v>|||</v>
      </c>
      <c r="H7146" s="835">
        <f t="shared" si="302"/>
        <v>31</v>
      </c>
      <c r="AF7146" s="831" t="s">
        <v>7805</v>
      </c>
      <c r="AG7146" s="831" t="s">
        <v>132</v>
      </c>
      <c r="AH7146" s="831" t="s">
        <v>73</v>
      </c>
      <c r="AI7146" s="831">
        <v>0</v>
      </c>
      <c r="AJ7146" s="835">
        <v>41394</v>
      </c>
      <c r="AK7146" s="831">
        <v>390860</v>
      </c>
    </row>
    <row r="7147" spans="2:37">
      <c r="B7147" s="834" t="str">
        <f t="shared" si="301"/>
        <v>|||</v>
      </c>
      <c r="H7147" s="835">
        <f t="shared" si="302"/>
        <v>31</v>
      </c>
      <c r="AF7147" s="831" t="s">
        <v>7806</v>
      </c>
      <c r="AG7147" s="831" t="s">
        <v>132</v>
      </c>
      <c r="AH7147" s="831" t="s">
        <v>147</v>
      </c>
      <c r="AI7147" s="831">
        <v>0</v>
      </c>
      <c r="AJ7147" s="835">
        <v>41394</v>
      </c>
      <c r="AK7147" s="831">
        <v>110242</v>
      </c>
    </row>
    <row r="7148" spans="2:37">
      <c r="B7148" s="834" t="str">
        <f t="shared" si="301"/>
        <v>|||</v>
      </c>
      <c r="H7148" s="835">
        <f t="shared" si="302"/>
        <v>31</v>
      </c>
      <c r="AF7148" s="831" t="s">
        <v>7807</v>
      </c>
      <c r="AG7148" s="831" t="s">
        <v>132</v>
      </c>
      <c r="AH7148" s="831" t="s">
        <v>151</v>
      </c>
      <c r="AI7148" s="831">
        <v>0</v>
      </c>
      <c r="AJ7148" s="835">
        <v>41394</v>
      </c>
      <c r="AK7148" s="831">
        <v>495843</v>
      </c>
    </row>
    <row r="7149" spans="2:37">
      <c r="B7149" s="834" t="str">
        <f t="shared" si="301"/>
        <v>|||</v>
      </c>
      <c r="H7149" s="835">
        <f t="shared" si="302"/>
        <v>31</v>
      </c>
      <c r="AF7149" s="831" t="s">
        <v>7808</v>
      </c>
      <c r="AG7149" s="831" t="s">
        <v>132</v>
      </c>
      <c r="AH7149" s="831" t="s">
        <v>155</v>
      </c>
      <c r="AI7149" s="831">
        <v>0</v>
      </c>
      <c r="AJ7149" s="835">
        <v>41394</v>
      </c>
      <c r="AK7149" s="831">
        <v>96644</v>
      </c>
    </row>
    <row r="7150" spans="2:37">
      <c r="B7150" s="834" t="str">
        <f t="shared" si="301"/>
        <v>|||</v>
      </c>
      <c r="H7150" s="835">
        <f t="shared" si="302"/>
        <v>31</v>
      </c>
      <c r="AF7150" s="831" t="s">
        <v>7809</v>
      </c>
      <c r="AG7150" s="831" t="s">
        <v>132</v>
      </c>
      <c r="AH7150" s="831" t="s">
        <v>158</v>
      </c>
      <c r="AI7150" s="831">
        <v>0</v>
      </c>
      <c r="AJ7150" s="835">
        <v>41394</v>
      </c>
      <c r="AK7150" s="831">
        <v>303431</v>
      </c>
    </row>
    <row r="7151" spans="2:37">
      <c r="B7151" s="834" t="str">
        <f t="shared" si="301"/>
        <v>|||</v>
      </c>
      <c r="H7151" s="835">
        <f t="shared" si="302"/>
        <v>31</v>
      </c>
      <c r="AF7151" s="831" t="s">
        <v>7810</v>
      </c>
      <c r="AG7151" s="831" t="s">
        <v>132</v>
      </c>
      <c r="AH7151" s="831" t="s">
        <v>160</v>
      </c>
      <c r="AI7151" s="831">
        <v>0</v>
      </c>
      <c r="AJ7151" s="835">
        <v>41394</v>
      </c>
      <c r="AK7151" s="831">
        <v>809110</v>
      </c>
    </row>
    <row r="7152" spans="2:37">
      <c r="B7152" s="834" t="str">
        <f t="shared" si="301"/>
        <v>|||</v>
      </c>
      <c r="H7152" s="835">
        <f t="shared" si="302"/>
        <v>31</v>
      </c>
      <c r="AF7152" s="831" t="s">
        <v>7811</v>
      </c>
      <c r="AG7152" s="831" t="s">
        <v>132</v>
      </c>
      <c r="AH7152" s="831" t="s">
        <v>161</v>
      </c>
      <c r="AI7152" s="831">
        <v>0</v>
      </c>
      <c r="AJ7152" s="835">
        <v>41394</v>
      </c>
      <c r="AK7152" s="831">
        <v>1368540</v>
      </c>
    </row>
    <row r="7153" spans="2:37">
      <c r="B7153" s="834" t="str">
        <f t="shared" si="301"/>
        <v>|||</v>
      </c>
      <c r="H7153" s="835">
        <f t="shared" si="302"/>
        <v>31</v>
      </c>
      <c r="AF7153" s="831" t="s">
        <v>7812</v>
      </c>
      <c r="AG7153" s="831" t="s">
        <v>132</v>
      </c>
      <c r="AH7153" s="831" t="s">
        <v>170</v>
      </c>
      <c r="AI7153" s="831">
        <v>0</v>
      </c>
      <c r="AJ7153" s="835">
        <v>41394</v>
      </c>
      <c r="AK7153" s="831">
        <v>1957070</v>
      </c>
    </row>
    <row r="7154" spans="2:37">
      <c r="B7154" s="834" t="str">
        <f t="shared" si="301"/>
        <v>|||</v>
      </c>
      <c r="H7154" s="835">
        <f t="shared" si="302"/>
        <v>31</v>
      </c>
      <c r="AF7154" s="831" t="s">
        <v>7813</v>
      </c>
      <c r="AG7154" s="831" t="s">
        <v>132</v>
      </c>
      <c r="AH7154" s="831" t="s">
        <v>173</v>
      </c>
      <c r="AI7154" s="831">
        <v>0</v>
      </c>
      <c r="AJ7154" s="835">
        <v>41394</v>
      </c>
      <c r="AK7154" s="831">
        <v>79471</v>
      </c>
    </row>
    <row r="7155" spans="2:37">
      <c r="B7155" s="834" t="str">
        <f t="shared" si="301"/>
        <v>|||</v>
      </c>
      <c r="H7155" s="835">
        <f t="shared" si="302"/>
        <v>31</v>
      </c>
      <c r="AF7155" s="831" t="s">
        <v>7814</v>
      </c>
      <c r="AG7155" s="831" t="s">
        <v>132</v>
      </c>
      <c r="AH7155" s="831" t="s">
        <v>78</v>
      </c>
      <c r="AI7155" s="831">
        <v>0</v>
      </c>
      <c r="AJ7155" s="835">
        <v>41394</v>
      </c>
      <c r="AK7155" s="831">
        <v>758708</v>
      </c>
    </row>
    <row r="7156" spans="2:37">
      <c r="B7156" s="834" t="str">
        <f t="shared" si="301"/>
        <v>|||</v>
      </c>
      <c r="H7156" s="835">
        <f t="shared" si="302"/>
        <v>31</v>
      </c>
      <c r="AF7156" s="831" t="s">
        <v>7815</v>
      </c>
      <c r="AG7156" s="831" t="s">
        <v>132</v>
      </c>
      <c r="AH7156" s="831" t="s">
        <v>183</v>
      </c>
      <c r="AI7156" s="831">
        <v>0</v>
      </c>
      <c r="AJ7156" s="835">
        <v>41394</v>
      </c>
      <c r="AK7156" s="831">
        <v>0</v>
      </c>
    </row>
    <row r="7157" spans="2:37">
      <c r="B7157" s="834" t="str">
        <f t="shared" si="301"/>
        <v>|||</v>
      </c>
      <c r="H7157" s="835">
        <f t="shared" si="302"/>
        <v>31</v>
      </c>
      <c r="AF7157" s="831" t="s">
        <v>7816</v>
      </c>
      <c r="AG7157" s="831" t="s">
        <v>132</v>
      </c>
      <c r="AH7157" s="831" t="s">
        <v>186</v>
      </c>
      <c r="AI7157" s="831">
        <v>0</v>
      </c>
      <c r="AJ7157" s="835">
        <v>41394</v>
      </c>
      <c r="AK7157" s="831">
        <v>-42899</v>
      </c>
    </row>
    <row r="7158" spans="2:37">
      <c r="B7158" s="834" t="str">
        <f t="shared" si="301"/>
        <v>|||</v>
      </c>
      <c r="H7158" s="835">
        <f t="shared" si="302"/>
        <v>31</v>
      </c>
      <c r="AF7158" s="831" t="s">
        <v>7817</v>
      </c>
      <c r="AG7158" s="831" t="s">
        <v>132</v>
      </c>
      <c r="AH7158" s="831" t="s">
        <v>189</v>
      </c>
      <c r="AI7158" s="831">
        <v>0</v>
      </c>
      <c r="AJ7158" s="835">
        <v>41394</v>
      </c>
      <c r="AK7158" s="831">
        <v>0</v>
      </c>
    </row>
    <row r="7159" spans="2:37">
      <c r="B7159" s="834" t="str">
        <f t="shared" si="301"/>
        <v>|||</v>
      </c>
      <c r="H7159" s="835">
        <f t="shared" si="302"/>
        <v>31</v>
      </c>
      <c r="AF7159" s="831" t="s">
        <v>7818</v>
      </c>
      <c r="AG7159" s="831" t="s">
        <v>132</v>
      </c>
      <c r="AH7159" s="831" t="s">
        <v>68</v>
      </c>
      <c r="AI7159" s="831">
        <v>0</v>
      </c>
      <c r="AJ7159" s="835">
        <v>41425</v>
      </c>
      <c r="AK7159" s="831">
        <v>499490531</v>
      </c>
    </row>
    <row r="7160" spans="2:37">
      <c r="B7160" s="834" t="str">
        <f t="shared" si="301"/>
        <v>|||</v>
      </c>
      <c r="H7160" s="835">
        <f t="shared" si="302"/>
        <v>31</v>
      </c>
      <c r="AF7160" s="831" t="s">
        <v>7819</v>
      </c>
      <c r="AG7160" s="831" t="s">
        <v>132</v>
      </c>
      <c r="AH7160" s="831" t="s">
        <v>73</v>
      </c>
      <c r="AI7160" s="831">
        <v>0</v>
      </c>
      <c r="AJ7160" s="835">
        <v>41425</v>
      </c>
      <c r="AK7160" s="831">
        <v>553818</v>
      </c>
    </row>
    <row r="7161" spans="2:37">
      <c r="B7161" s="834" t="str">
        <f t="shared" si="301"/>
        <v>|||</v>
      </c>
      <c r="H7161" s="835">
        <f t="shared" si="302"/>
        <v>31</v>
      </c>
      <c r="AF7161" s="831" t="s">
        <v>7820</v>
      </c>
      <c r="AG7161" s="831" t="s">
        <v>132</v>
      </c>
      <c r="AH7161" s="831" t="s">
        <v>147</v>
      </c>
      <c r="AI7161" s="831">
        <v>0</v>
      </c>
      <c r="AJ7161" s="835">
        <v>41425</v>
      </c>
      <c r="AK7161" s="831">
        <v>162600</v>
      </c>
    </row>
    <row r="7162" spans="2:37">
      <c r="B7162" s="834" t="str">
        <f t="shared" si="301"/>
        <v>|||</v>
      </c>
      <c r="H7162" s="835">
        <f t="shared" si="302"/>
        <v>31</v>
      </c>
      <c r="AF7162" s="831" t="s">
        <v>7821</v>
      </c>
      <c r="AG7162" s="831" t="s">
        <v>132</v>
      </c>
      <c r="AH7162" s="831" t="s">
        <v>151</v>
      </c>
      <c r="AI7162" s="831">
        <v>0</v>
      </c>
      <c r="AJ7162" s="835">
        <v>41425</v>
      </c>
      <c r="AK7162" s="831">
        <v>49826</v>
      </c>
    </row>
    <row r="7163" spans="2:37">
      <c r="B7163" s="834" t="str">
        <f t="shared" si="301"/>
        <v>|||</v>
      </c>
      <c r="H7163" s="835">
        <f t="shared" si="302"/>
        <v>31</v>
      </c>
      <c r="AF7163" s="831" t="s">
        <v>7822</v>
      </c>
      <c r="AG7163" s="831" t="s">
        <v>132</v>
      </c>
      <c r="AH7163" s="831" t="s">
        <v>155</v>
      </c>
      <c r="AI7163" s="831">
        <v>0</v>
      </c>
      <c r="AJ7163" s="835">
        <v>41425</v>
      </c>
      <c r="AK7163" s="831">
        <v>456275</v>
      </c>
    </row>
    <row r="7164" spans="2:37">
      <c r="B7164" s="834" t="str">
        <f t="shared" si="301"/>
        <v>|||</v>
      </c>
      <c r="H7164" s="835">
        <f t="shared" si="302"/>
        <v>31</v>
      </c>
      <c r="AF7164" s="831" t="s">
        <v>7823</v>
      </c>
      <c r="AG7164" s="831" t="s">
        <v>132</v>
      </c>
      <c r="AH7164" s="831" t="s">
        <v>158</v>
      </c>
      <c r="AI7164" s="831">
        <v>0</v>
      </c>
      <c r="AJ7164" s="835">
        <v>41425</v>
      </c>
      <c r="AK7164" s="831">
        <v>70661</v>
      </c>
    </row>
    <row r="7165" spans="2:37">
      <c r="B7165" s="834" t="str">
        <f t="shared" si="301"/>
        <v>|||</v>
      </c>
      <c r="H7165" s="835">
        <f t="shared" si="302"/>
        <v>31</v>
      </c>
      <c r="AF7165" s="831" t="s">
        <v>7824</v>
      </c>
      <c r="AG7165" s="831" t="s">
        <v>132</v>
      </c>
      <c r="AH7165" s="831" t="s">
        <v>160</v>
      </c>
      <c r="AI7165" s="831">
        <v>0</v>
      </c>
      <c r="AJ7165" s="835">
        <v>41425</v>
      </c>
      <c r="AK7165" s="831">
        <v>321211</v>
      </c>
    </row>
    <row r="7166" spans="2:37">
      <c r="B7166" s="834" t="str">
        <f t="shared" si="301"/>
        <v>|||</v>
      </c>
      <c r="H7166" s="835">
        <f t="shared" si="302"/>
        <v>31</v>
      </c>
      <c r="AF7166" s="831" t="s">
        <v>7825</v>
      </c>
      <c r="AG7166" s="831" t="s">
        <v>132</v>
      </c>
      <c r="AH7166" s="831" t="s">
        <v>161</v>
      </c>
      <c r="AI7166" s="831">
        <v>0</v>
      </c>
      <c r="AJ7166" s="835">
        <v>41425</v>
      </c>
      <c r="AK7166" s="831">
        <v>1425680</v>
      </c>
    </row>
    <row r="7167" spans="2:37">
      <c r="B7167" s="834" t="str">
        <f t="shared" si="301"/>
        <v>|||</v>
      </c>
      <c r="H7167" s="835">
        <f t="shared" si="302"/>
        <v>31</v>
      </c>
      <c r="AF7167" s="831" t="s">
        <v>7826</v>
      </c>
      <c r="AG7167" s="831" t="s">
        <v>132</v>
      </c>
      <c r="AH7167" s="831" t="s">
        <v>170</v>
      </c>
      <c r="AI7167" s="831">
        <v>0</v>
      </c>
      <c r="AJ7167" s="835">
        <v>41425</v>
      </c>
      <c r="AK7167" s="831">
        <v>1928050</v>
      </c>
    </row>
    <row r="7168" spans="2:37">
      <c r="B7168" s="834" t="str">
        <f t="shared" si="301"/>
        <v>|||</v>
      </c>
      <c r="H7168" s="835">
        <f t="shared" si="302"/>
        <v>31</v>
      </c>
      <c r="AF7168" s="831" t="s">
        <v>7827</v>
      </c>
      <c r="AG7168" s="831" t="s">
        <v>132</v>
      </c>
      <c r="AH7168" s="831" t="s">
        <v>173</v>
      </c>
      <c r="AI7168" s="831">
        <v>0</v>
      </c>
      <c r="AJ7168" s="835">
        <v>41425</v>
      </c>
      <c r="AK7168" s="831">
        <v>75232</v>
      </c>
    </row>
    <row r="7169" spans="2:37">
      <c r="B7169" s="834" t="str">
        <f t="shared" si="301"/>
        <v>|||</v>
      </c>
      <c r="H7169" s="835">
        <f t="shared" si="302"/>
        <v>31</v>
      </c>
      <c r="AF7169" s="831" t="s">
        <v>7828</v>
      </c>
      <c r="AG7169" s="831" t="s">
        <v>132</v>
      </c>
      <c r="AH7169" s="831" t="s">
        <v>78</v>
      </c>
      <c r="AI7169" s="831">
        <v>0</v>
      </c>
      <c r="AJ7169" s="835">
        <v>41425</v>
      </c>
      <c r="AK7169" s="831">
        <v>730658</v>
      </c>
    </row>
    <row r="7170" spans="2:37">
      <c r="B7170" s="834" t="str">
        <f t="shared" si="301"/>
        <v>|||</v>
      </c>
      <c r="H7170" s="835">
        <f t="shared" si="302"/>
        <v>31</v>
      </c>
      <c r="AF7170" s="831" t="s">
        <v>7829</v>
      </c>
      <c r="AG7170" s="831" t="s">
        <v>132</v>
      </c>
      <c r="AH7170" s="831" t="s">
        <v>183</v>
      </c>
      <c r="AI7170" s="831">
        <v>0</v>
      </c>
      <c r="AJ7170" s="835">
        <v>41425</v>
      </c>
      <c r="AK7170" s="831">
        <v>0</v>
      </c>
    </row>
    <row r="7171" spans="2:37">
      <c r="B7171" s="834" t="str">
        <f t="shared" ref="B7171:B7234" si="303">C7171&amp;"|"&amp;D7171&amp;"|"&amp;E7171&amp;"|"&amp;F7171</f>
        <v>|||</v>
      </c>
      <c r="H7171" s="835">
        <f t="shared" si="302"/>
        <v>31</v>
      </c>
      <c r="AF7171" s="831" t="s">
        <v>7830</v>
      </c>
      <c r="AG7171" s="831" t="s">
        <v>132</v>
      </c>
      <c r="AH7171" s="831" t="s">
        <v>186</v>
      </c>
      <c r="AI7171" s="831">
        <v>0</v>
      </c>
      <c r="AJ7171" s="835">
        <v>41425</v>
      </c>
      <c r="AK7171" s="831">
        <v>-64063</v>
      </c>
    </row>
    <row r="7172" spans="2:37">
      <c r="B7172" s="834" t="str">
        <f t="shared" si="303"/>
        <v>|||</v>
      </c>
      <c r="H7172" s="835">
        <f t="shared" ref="H7172:H7235" si="304">EOMONTH(L7172,0)</f>
        <v>31</v>
      </c>
      <c r="AF7172" s="831" t="s">
        <v>7831</v>
      </c>
      <c r="AG7172" s="831" t="s">
        <v>132</v>
      </c>
      <c r="AH7172" s="831" t="s">
        <v>189</v>
      </c>
      <c r="AI7172" s="831">
        <v>0</v>
      </c>
      <c r="AJ7172" s="835">
        <v>41425</v>
      </c>
      <c r="AK7172" s="831">
        <v>0</v>
      </c>
    </row>
    <row r="7173" spans="2:37">
      <c r="B7173" s="834" t="str">
        <f t="shared" si="303"/>
        <v>|||</v>
      </c>
      <c r="H7173" s="835">
        <f t="shared" si="304"/>
        <v>31</v>
      </c>
      <c r="AF7173" s="831" t="s">
        <v>7832</v>
      </c>
      <c r="AG7173" s="831" t="s">
        <v>132</v>
      </c>
      <c r="AH7173" s="831" t="s">
        <v>68</v>
      </c>
      <c r="AI7173" s="831">
        <v>0</v>
      </c>
      <c r="AJ7173" s="835">
        <v>41455</v>
      </c>
      <c r="AK7173" s="831">
        <v>510735961</v>
      </c>
    </row>
    <row r="7174" spans="2:37">
      <c r="B7174" s="834" t="str">
        <f t="shared" si="303"/>
        <v>|||</v>
      </c>
      <c r="H7174" s="835">
        <f t="shared" si="304"/>
        <v>31</v>
      </c>
      <c r="AF7174" s="831" t="s">
        <v>7833</v>
      </c>
      <c r="AG7174" s="831" t="s">
        <v>132</v>
      </c>
      <c r="AH7174" s="831" t="s">
        <v>73</v>
      </c>
      <c r="AI7174" s="831">
        <v>0</v>
      </c>
      <c r="AJ7174" s="835">
        <v>41455</v>
      </c>
      <c r="AK7174" s="831">
        <v>434106</v>
      </c>
    </row>
    <row r="7175" spans="2:37">
      <c r="B7175" s="834" t="str">
        <f t="shared" si="303"/>
        <v>|||</v>
      </c>
      <c r="H7175" s="835">
        <f t="shared" si="304"/>
        <v>31</v>
      </c>
      <c r="AF7175" s="831" t="s">
        <v>7834</v>
      </c>
      <c r="AG7175" s="831" t="s">
        <v>132</v>
      </c>
      <c r="AH7175" s="831" t="s">
        <v>147</v>
      </c>
      <c r="AI7175" s="831">
        <v>0</v>
      </c>
      <c r="AJ7175" s="835">
        <v>41455</v>
      </c>
      <c r="AK7175" s="831">
        <v>248206</v>
      </c>
    </row>
    <row r="7176" spans="2:37">
      <c r="B7176" s="834" t="str">
        <f t="shared" si="303"/>
        <v>|||</v>
      </c>
      <c r="H7176" s="835">
        <f t="shared" si="304"/>
        <v>31</v>
      </c>
      <c r="AF7176" s="831" t="s">
        <v>7835</v>
      </c>
      <c r="AG7176" s="831" t="s">
        <v>132</v>
      </c>
      <c r="AH7176" s="831" t="s">
        <v>151</v>
      </c>
      <c r="AI7176" s="831">
        <v>0</v>
      </c>
      <c r="AJ7176" s="835">
        <v>41455</v>
      </c>
      <c r="AK7176" s="831">
        <v>120854</v>
      </c>
    </row>
    <row r="7177" spans="2:37">
      <c r="B7177" s="834" t="str">
        <f t="shared" si="303"/>
        <v>|||</v>
      </c>
      <c r="H7177" s="835">
        <f t="shared" si="304"/>
        <v>31</v>
      </c>
      <c r="AF7177" s="831" t="s">
        <v>7836</v>
      </c>
      <c r="AG7177" s="831" t="s">
        <v>132</v>
      </c>
      <c r="AH7177" s="831" t="s">
        <v>155</v>
      </c>
      <c r="AI7177" s="831">
        <v>0</v>
      </c>
      <c r="AJ7177" s="835">
        <v>41455</v>
      </c>
      <c r="AK7177" s="831">
        <v>35899</v>
      </c>
    </row>
    <row r="7178" spans="2:37">
      <c r="B7178" s="834" t="str">
        <f t="shared" si="303"/>
        <v>|||</v>
      </c>
      <c r="H7178" s="835">
        <f t="shared" si="304"/>
        <v>31</v>
      </c>
      <c r="AF7178" s="831" t="s">
        <v>7837</v>
      </c>
      <c r="AG7178" s="831" t="s">
        <v>132</v>
      </c>
      <c r="AH7178" s="831" t="s">
        <v>158</v>
      </c>
      <c r="AI7178" s="831">
        <v>0</v>
      </c>
      <c r="AJ7178" s="835">
        <v>41455</v>
      </c>
      <c r="AK7178" s="831">
        <v>472189</v>
      </c>
    </row>
    <row r="7179" spans="2:37">
      <c r="B7179" s="834" t="str">
        <f t="shared" si="303"/>
        <v>|||</v>
      </c>
      <c r="H7179" s="835">
        <f t="shared" si="304"/>
        <v>31</v>
      </c>
      <c r="AF7179" s="831" t="s">
        <v>7838</v>
      </c>
      <c r="AG7179" s="831" t="s">
        <v>132</v>
      </c>
      <c r="AH7179" s="831" t="s">
        <v>160</v>
      </c>
      <c r="AI7179" s="831">
        <v>0</v>
      </c>
      <c r="AJ7179" s="835">
        <v>41455</v>
      </c>
      <c r="AK7179" s="831">
        <v>402409</v>
      </c>
    </row>
    <row r="7180" spans="2:37">
      <c r="B7180" s="834" t="str">
        <f t="shared" si="303"/>
        <v>|||</v>
      </c>
      <c r="H7180" s="835">
        <f t="shared" si="304"/>
        <v>31</v>
      </c>
      <c r="AF7180" s="831" t="s">
        <v>7839</v>
      </c>
      <c r="AG7180" s="831" t="s">
        <v>132</v>
      </c>
      <c r="AH7180" s="831" t="s">
        <v>161</v>
      </c>
      <c r="AI7180" s="831">
        <v>0</v>
      </c>
      <c r="AJ7180" s="835">
        <v>41455</v>
      </c>
      <c r="AK7180" s="831">
        <v>144842.06</v>
      </c>
    </row>
    <row r="7181" spans="2:37">
      <c r="B7181" s="834" t="str">
        <f t="shared" si="303"/>
        <v>|||</v>
      </c>
      <c r="H7181" s="835">
        <f t="shared" si="304"/>
        <v>31</v>
      </c>
      <c r="AF7181" s="831" t="s">
        <v>7840</v>
      </c>
      <c r="AG7181" s="831" t="s">
        <v>132</v>
      </c>
      <c r="AH7181" s="831" t="s">
        <v>170</v>
      </c>
      <c r="AI7181" s="831">
        <v>0</v>
      </c>
      <c r="AJ7181" s="835">
        <v>41455</v>
      </c>
      <c r="AK7181" s="831">
        <v>1893154.58</v>
      </c>
    </row>
    <row r="7182" spans="2:37">
      <c r="B7182" s="834" t="str">
        <f t="shared" si="303"/>
        <v>|||</v>
      </c>
      <c r="H7182" s="835">
        <f t="shared" si="304"/>
        <v>31</v>
      </c>
      <c r="AF7182" s="831" t="s">
        <v>7841</v>
      </c>
      <c r="AG7182" s="831" t="s">
        <v>132</v>
      </c>
      <c r="AH7182" s="831" t="s">
        <v>173</v>
      </c>
      <c r="AI7182" s="831">
        <v>0</v>
      </c>
      <c r="AJ7182" s="835">
        <v>41455</v>
      </c>
      <c r="AK7182" s="831">
        <v>15084.37</v>
      </c>
    </row>
    <row r="7183" spans="2:37">
      <c r="B7183" s="834" t="str">
        <f t="shared" si="303"/>
        <v>|||</v>
      </c>
      <c r="H7183" s="835">
        <f t="shared" si="304"/>
        <v>31</v>
      </c>
      <c r="AF7183" s="831" t="s">
        <v>7842</v>
      </c>
      <c r="AG7183" s="831" t="s">
        <v>132</v>
      </c>
      <c r="AH7183" s="831" t="s">
        <v>78</v>
      </c>
      <c r="AI7183" s="831">
        <v>0</v>
      </c>
      <c r="AJ7183" s="835">
        <v>41455</v>
      </c>
      <c r="AK7183" s="831">
        <v>296128</v>
      </c>
    </row>
    <row r="7184" spans="2:37">
      <c r="B7184" s="834" t="str">
        <f t="shared" si="303"/>
        <v>|||</v>
      </c>
      <c r="H7184" s="835">
        <f t="shared" si="304"/>
        <v>31</v>
      </c>
      <c r="AF7184" s="831" t="s">
        <v>7843</v>
      </c>
      <c r="AG7184" s="831" t="s">
        <v>132</v>
      </c>
      <c r="AH7184" s="831" t="s">
        <v>183</v>
      </c>
      <c r="AI7184" s="831">
        <v>0</v>
      </c>
      <c r="AJ7184" s="835">
        <v>41455</v>
      </c>
      <c r="AK7184" s="831">
        <v>0</v>
      </c>
    </row>
    <row r="7185" spans="2:37">
      <c r="B7185" s="834" t="str">
        <f t="shared" si="303"/>
        <v>|||</v>
      </c>
      <c r="H7185" s="835">
        <f t="shared" si="304"/>
        <v>31</v>
      </c>
      <c r="AF7185" s="831" t="s">
        <v>7844</v>
      </c>
      <c r="AG7185" s="831" t="s">
        <v>132</v>
      </c>
      <c r="AH7185" s="831" t="s">
        <v>186</v>
      </c>
      <c r="AI7185" s="831">
        <v>0</v>
      </c>
      <c r="AJ7185" s="835">
        <v>41455</v>
      </c>
      <c r="AK7185" s="831">
        <v>-76457</v>
      </c>
    </row>
    <row r="7186" spans="2:37">
      <c r="B7186" s="834" t="str">
        <f t="shared" si="303"/>
        <v>|||</v>
      </c>
      <c r="H7186" s="835">
        <f t="shared" si="304"/>
        <v>31</v>
      </c>
      <c r="AF7186" s="831" t="s">
        <v>7845</v>
      </c>
      <c r="AG7186" s="831" t="s">
        <v>132</v>
      </c>
      <c r="AH7186" s="831" t="s">
        <v>189</v>
      </c>
      <c r="AI7186" s="831">
        <v>0</v>
      </c>
      <c r="AJ7186" s="835">
        <v>41455</v>
      </c>
      <c r="AK7186" s="831">
        <v>0</v>
      </c>
    </row>
    <row r="7187" spans="2:37">
      <c r="B7187" s="834" t="str">
        <f t="shared" si="303"/>
        <v>|||</v>
      </c>
      <c r="H7187" s="835">
        <f t="shared" si="304"/>
        <v>31</v>
      </c>
      <c r="AF7187" s="831" t="s">
        <v>7846</v>
      </c>
      <c r="AG7187" s="831" t="s">
        <v>132</v>
      </c>
      <c r="AH7187" s="831" t="s">
        <v>68</v>
      </c>
      <c r="AI7187" s="831">
        <v>0</v>
      </c>
      <c r="AJ7187" s="835">
        <v>41486</v>
      </c>
      <c r="AK7187" s="831">
        <v>526515475</v>
      </c>
    </row>
    <row r="7188" spans="2:37">
      <c r="B7188" s="834" t="str">
        <f t="shared" si="303"/>
        <v>|||</v>
      </c>
      <c r="H7188" s="835">
        <f t="shared" si="304"/>
        <v>31</v>
      </c>
      <c r="AF7188" s="831" t="s">
        <v>7847</v>
      </c>
      <c r="AG7188" s="831" t="s">
        <v>132</v>
      </c>
      <c r="AH7188" s="831" t="s">
        <v>73</v>
      </c>
      <c r="AI7188" s="831">
        <v>0</v>
      </c>
      <c r="AJ7188" s="835">
        <v>41486</v>
      </c>
      <c r="AK7188" s="831">
        <v>451069</v>
      </c>
    </row>
    <row r="7189" spans="2:37">
      <c r="B7189" s="834" t="str">
        <f t="shared" si="303"/>
        <v>|||</v>
      </c>
      <c r="H7189" s="835">
        <f t="shared" si="304"/>
        <v>31</v>
      </c>
      <c r="AF7189" s="831" t="s">
        <v>7848</v>
      </c>
      <c r="AG7189" s="831" t="s">
        <v>132</v>
      </c>
      <c r="AH7189" s="831" t="s">
        <v>147</v>
      </c>
      <c r="AI7189" s="831">
        <v>0</v>
      </c>
      <c r="AJ7189" s="835">
        <v>41486</v>
      </c>
      <c r="AK7189" s="831">
        <v>118086.58900000001</v>
      </c>
    </row>
    <row r="7190" spans="2:37">
      <c r="B7190" s="834" t="str">
        <f t="shared" si="303"/>
        <v>|||</v>
      </c>
      <c r="H7190" s="835">
        <f t="shared" si="304"/>
        <v>31</v>
      </c>
      <c r="AF7190" s="831" t="s">
        <v>7849</v>
      </c>
      <c r="AG7190" s="831" t="s">
        <v>132</v>
      </c>
      <c r="AH7190" s="831" t="s">
        <v>151</v>
      </c>
      <c r="AI7190" s="831">
        <v>0</v>
      </c>
      <c r="AJ7190" s="835">
        <v>41486</v>
      </c>
      <c r="AK7190" s="831">
        <v>252154.959</v>
      </c>
    </row>
    <row r="7191" spans="2:37">
      <c r="B7191" s="834" t="str">
        <f t="shared" si="303"/>
        <v>|||</v>
      </c>
      <c r="H7191" s="835">
        <f t="shared" si="304"/>
        <v>31</v>
      </c>
      <c r="AF7191" s="831" t="s">
        <v>7850</v>
      </c>
      <c r="AG7191" s="831" t="s">
        <v>132</v>
      </c>
      <c r="AH7191" s="831" t="s">
        <v>155</v>
      </c>
      <c r="AI7191" s="831">
        <v>0</v>
      </c>
      <c r="AJ7191" s="835">
        <v>41486</v>
      </c>
      <c r="AK7191" s="831">
        <v>110579.406</v>
      </c>
    </row>
    <row r="7192" spans="2:37">
      <c r="B7192" s="834" t="str">
        <f t="shared" si="303"/>
        <v>|||</v>
      </c>
      <c r="H7192" s="835">
        <f t="shared" si="304"/>
        <v>31</v>
      </c>
      <c r="AF7192" s="831" t="s">
        <v>7851</v>
      </c>
      <c r="AG7192" s="831" t="s">
        <v>132</v>
      </c>
      <c r="AH7192" s="831" t="s">
        <v>158</v>
      </c>
      <c r="AI7192" s="831">
        <v>0</v>
      </c>
      <c r="AJ7192" s="835">
        <v>41486</v>
      </c>
      <c r="AK7192" s="831">
        <v>427613.17300000001</v>
      </c>
    </row>
    <row r="7193" spans="2:37">
      <c r="B7193" s="834" t="str">
        <f t="shared" si="303"/>
        <v>|||</v>
      </c>
      <c r="H7193" s="835">
        <f t="shared" si="304"/>
        <v>31</v>
      </c>
      <c r="AF7193" s="831" t="s">
        <v>7852</v>
      </c>
      <c r="AG7193" s="831" t="s">
        <v>132</v>
      </c>
      <c r="AH7193" s="831" t="s">
        <v>160</v>
      </c>
      <c r="AI7193" s="831">
        <v>0</v>
      </c>
      <c r="AJ7193" s="835">
        <v>41486</v>
      </c>
      <c r="AK7193" s="831">
        <v>362614.98</v>
      </c>
    </row>
    <row r="7194" spans="2:37">
      <c r="B7194" s="834" t="str">
        <f t="shared" si="303"/>
        <v>|||</v>
      </c>
      <c r="H7194" s="835">
        <f t="shared" si="304"/>
        <v>31</v>
      </c>
      <c r="AF7194" s="831" t="s">
        <v>7853</v>
      </c>
      <c r="AG7194" s="831" t="s">
        <v>132</v>
      </c>
      <c r="AH7194" s="831" t="s">
        <v>161</v>
      </c>
      <c r="AI7194" s="831">
        <v>0</v>
      </c>
      <c r="AJ7194" s="835">
        <v>41486</v>
      </c>
      <c r="AK7194" s="831">
        <v>181112.06</v>
      </c>
    </row>
    <row r="7195" spans="2:37">
      <c r="B7195" s="834" t="str">
        <f t="shared" si="303"/>
        <v>|||</v>
      </c>
      <c r="H7195" s="835">
        <f t="shared" si="304"/>
        <v>31</v>
      </c>
      <c r="AF7195" s="831" t="s">
        <v>7854</v>
      </c>
      <c r="AG7195" s="831" t="s">
        <v>132</v>
      </c>
      <c r="AH7195" s="831" t="s">
        <v>170</v>
      </c>
      <c r="AI7195" s="831">
        <v>0</v>
      </c>
      <c r="AJ7195" s="835">
        <v>41486</v>
      </c>
      <c r="AK7195" s="831">
        <v>1625517.46</v>
      </c>
    </row>
    <row r="7196" spans="2:37">
      <c r="B7196" s="834" t="str">
        <f t="shared" si="303"/>
        <v>|||</v>
      </c>
      <c r="H7196" s="835">
        <f t="shared" si="304"/>
        <v>31</v>
      </c>
      <c r="AF7196" s="831" t="s">
        <v>7855</v>
      </c>
      <c r="AG7196" s="831" t="s">
        <v>132</v>
      </c>
      <c r="AH7196" s="831" t="s">
        <v>173</v>
      </c>
      <c r="AI7196" s="831">
        <v>0</v>
      </c>
      <c r="AJ7196" s="835">
        <v>41486</v>
      </c>
      <c r="AK7196" s="831">
        <v>45081.120000000003</v>
      </c>
    </row>
    <row r="7197" spans="2:37">
      <c r="B7197" s="834" t="str">
        <f t="shared" si="303"/>
        <v>|||</v>
      </c>
      <c r="H7197" s="835">
        <f t="shared" si="304"/>
        <v>31</v>
      </c>
      <c r="AF7197" s="831" t="s">
        <v>7856</v>
      </c>
      <c r="AG7197" s="831" t="s">
        <v>132</v>
      </c>
      <c r="AH7197" s="831" t="s">
        <v>78</v>
      </c>
      <c r="AI7197" s="831">
        <v>0</v>
      </c>
      <c r="AJ7197" s="835">
        <v>41486</v>
      </c>
      <c r="AK7197" s="831">
        <v>316626</v>
      </c>
    </row>
    <row r="7198" spans="2:37">
      <c r="B7198" s="834" t="str">
        <f t="shared" si="303"/>
        <v>|||</v>
      </c>
      <c r="H7198" s="835">
        <f t="shared" si="304"/>
        <v>31</v>
      </c>
      <c r="AF7198" s="831" t="s">
        <v>7857</v>
      </c>
      <c r="AG7198" s="831" t="s">
        <v>132</v>
      </c>
      <c r="AH7198" s="831" t="s">
        <v>183</v>
      </c>
      <c r="AI7198" s="831">
        <v>0</v>
      </c>
      <c r="AJ7198" s="835">
        <v>41486</v>
      </c>
      <c r="AK7198" s="831">
        <v>1644732</v>
      </c>
    </row>
    <row r="7199" spans="2:37">
      <c r="B7199" s="834" t="str">
        <f t="shared" si="303"/>
        <v>|||</v>
      </c>
      <c r="H7199" s="835">
        <f t="shared" si="304"/>
        <v>31</v>
      </c>
      <c r="AF7199" s="831" t="s">
        <v>7858</v>
      </c>
      <c r="AG7199" s="831" t="s">
        <v>132</v>
      </c>
      <c r="AH7199" s="831" t="s">
        <v>186</v>
      </c>
      <c r="AI7199" s="831">
        <v>0</v>
      </c>
      <c r="AJ7199" s="835">
        <v>41486</v>
      </c>
      <c r="AK7199" s="831">
        <v>-42889</v>
      </c>
    </row>
    <row r="7200" spans="2:37">
      <c r="B7200" s="834" t="str">
        <f t="shared" si="303"/>
        <v>|||</v>
      </c>
      <c r="H7200" s="835">
        <f t="shared" si="304"/>
        <v>31</v>
      </c>
      <c r="AF7200" s="831" t="s">
        <v>7859</v>
      </c>
      <c r="AG7200" s="831" t="s">
        <v>132</v>
      </c>
      <c r="AH7200" s="831" t="s">
        <v>189</v>
      </c>
      <c r="AI7200" s="831">
        <v>0</v>
      </c>
      <c r="AJ7200" s="835">
        <v>41486</v>
      </c>
      <c r="AK7200" s="831">
        <v>0</v>
      </c>
    </row>
    <row r="7201" spans="2:37">
      <c r="B7201" s="834" t="str">
        <f t="shared" si="303"/>
        <v>|||</v>
      </c>
      <c r="H7201" s="835">
        <f t="shared" si="304"/>
        <v>31</v>
      </c>
      <c r="AF7201" s="831" t="s">
        <v>7860</v>
      </c>
      <c r="AG7201" s="831" t="s">
        <v>132</v>
      </c>
      <c r="AH7201" s="831" t="s">
        <v>68</v>
      </c>
      <c r="AI7201" s="831">
        <v>0</v>
      </c>
      <c r="AJ7201" s="835">
        <v>41517</v>
      </c>
      <c r="AK7201" s="831">
        <v>544420793.5</v>
      </c>
    </row>
    <row r="7202" spans="2:37">
      <c r="B7202" s="834" t="str">
        <f t="shared" si="303"/>
        <v>|||</v>
      </c>
      <c r="H7202" s="835">
        <f t="shared" si="304"/>
        <v>31</v>
      </c>
      <c r="AF7202" s="831" t="s">
        <v>7861</v>
      </c>
      <c r="AG7202" s="831" t="s">
        <v>132</v>
      </c>
      <c r="AH7202" s="831" t="s">
        <v>73</v>
      </c>
      <c r="AI7202" s="831">
        <v>0</v>
      </c>
      <c r="AJ7202" s="835">
        <v>41517</v>
      </c>
      <c r="AK7202" s="831">
        <v>628972.04</v>
      </c>
    </row>
    <row r="7203" spans="2:37">
      <c r="B7203" s="834" t="str">
        <f t="shared" si="303"/>
        <v>|||</v>
      </c>
      <c r="H7203" s="835">
        <f t="shared" si="304"/>
        <v>31</v>
      </c>
      <c r="AF7203" s="831" t="s">
        <v>7862</v>
      </c>
      <c r="AG7203" s="831" t="s">
        <v>132</v>
      </c>
      <c r="AH7203" s="831" t="s">
        <v>147</v>
      </c>
      <c r="AI7203" s="831">
        <v>0</v>
      </c>
      <c r="AJ7203" s="835">
        <v>41517</v>
      </c>
      <c r="AK7203" s="831">
        <v>303734.31</v>
      </c>
    </row>
    <row r="7204" spans="2:37">
      <c r="B7204" s="834" t="str">
        <f t="shared" si="303"/>
        <v>|||</v>
      </c>
      <c r="H7204" s="835">
        <f t="shared" si="304"/>
        <v>31</v>
      </c>
      <c r="AF7204" s="831" t="s">
        <v>7863</v>
      </c>
      <c r="AG7204" s="831" t="s">
        <v>132</v>
      </c>
      <c r="AH7204" s="831" t="s">
        <v>151</v>
      </c>
      <c r="AI7204" s="831">
        <v>0</v>
      </c>
      <c r="AJ7204" s="835">
        <v>41517</v>
      </c>
      <c r="AK7204" s="831">
        <v>106293.35</v>
      </c>
    </row>
    <row r="7205" spans="2:37">
      <c r="B7205" s="834" t="str">
        <f t="shared" si="303"/>
        <v>|||</v>
      </c>
      <c r="H7205" s="835">
        <f t="shared" si="304"/>
        <v>31</v>
      </c>
      <c r="AF7205" s="831" t="s">
        <v>7864</v>
      </c>
      <c r="AG7205" s="831" t="s">
        <v>132</v>
      </c>
      <c r="AH7205" s="831" t="s">
        <v>155</v>
      </c>
      <c r="AI7205" s="831">
        <v>0</v>
      </c>
      <c r="AJ7205" s="835">
        <v>41517</v>
      </c>
      <c r="AK7205" s="831">
        <v>233901.76</v>
      </c>
    </row>
    <row r="7206" spans="2:37">
      <c r="B7206" s="834" t="str">
        <f t="shared" si="303"/>
        <v>|||</v>
      </c>
      <c r="H7206" s="835">
        <f t="shared" si="304"/>
        <v>31</v>
      </c>
      <c r="AF7206" s="831" t="s">
        <v>7865</v>
      </c>
      <c r="AG7206" s="831" t="s">
        <v>132</v>
      </c>
      <c r="AH7206" s="831" t="s">
        <v>158</v>
      </c>
      <c r="AI7206" s="831">
        <v>0</v>
      </c>
      <c r="AJ7206" s="835">
        <v>41517</v>
      </c>
      <c r="AK7206" s="831">
        <v>106763.62</v>
      </c>
    </row>
    <row r="7207" spans="2:37">
      <c r="B7207" s="834" t="str">
        <f t="shared" si="303"/>
        <v>|||</v>
      </c>
      <c r="H7207" s="835">
        <f t="shared" si="304"/>
        <v>31</v>
      </c>
      <c r="AF7207" s="831" t="s">
        <v>7866</v>
      </c>
      <c r="AG7207" s="831" t="s">
        <v>132</v>
      </c>
      <c r="AH7207" s="831" t="s">
        <v>160</v>
      </c>
      <c r="AI7207" s="831">
        <v>0</v>
      </c>
      <c r="AJ7207" s="835">
        <v>41517</v>
      </c>
      <c r="AK7207" s="831">
        <v>735391.02</v>
      </c>
    </row>
    <row r="7208" spans="2:37">
      <c r="B7208" s="834" t="str">
        <f t="shared" si="303"/>
        <v>|||</v>
      </c>
      <c r="H7208" s="835">
        <f t="shared" si="304"/>
        <v>31</v>
      </c>
      <c r="AF7208" s="831" t="s">
        <v>7867</v>
      </c>
      <c r="AG7208" s="831" t="s">
        <v>132</v>
      </c>
      <c r="AH7208" s="831" t="s">
        <v>161</v>
      </c>
      <c r="AI7208" s="831">
        <v>0</v>
      </c>
      <c r="AJ7208" s="835">
        <v>41517</v>
      </c>
      <c r="AK7208" s="831">
        <v>154995.79</v>
      </c>
    </row>
    <row r="7209" spans="2:37">
      <c r="B7209" s="834" t="str">
        <f t="shared" si="303"/>
        <v>|||</v>
      </c>
      <c r="H7209" s="835">
        <f t="shared" si="304"/>
        <v>31</v>
      </c>
      <c r="AF7209" s="831" t="s">
        <v>7868</v>
      </c>
      <c r="AG7209" s="831" t="s">
        <v>132</v>
      </c>
      <c r="AH7209" s="831" t="s">
        <v>170</v>
      </c>
      <c r="AI7209" s="831">
        <v>0</v>
      </c>
      <c r="AJ7209" s="835">
        <v>41517</v>
      </c>
      <c r="AK7209" s="831">
        <v>1582428.42</v>
      </c>
    </row>
    <row r="7210" spans="2:37">
      <c r="B7210" s="834" t="str">
        <f t="shared" si="303"/>
        <v>|||</v>
      </c>
      <c r="H7210" s="835">
        <f t="shared" si="304"/>
        <v>31</v>
      </c>
      <c r="AF7210" s="831" t="s">
        <v>7869</v>
      </c>
      <c r="AG7210" s="831" t="s">
        <v>132</v>
      </c>
      <c r="AH7210" s="831" t="s">
        <v>173</v>
      </c>
      <c r="AI7210" s="831">
        <v>0</v>
      </c>
      <c r="AJ7210" s="835">
        <v>41517</v>
      </c>
      <c r="AK7210" s="831">
        <v>48057.96</v>
      </c>
    </row>
    <row r="7211" spans="2:37">
      <c r="B7211" s="834" t="str">
        <f t="shared" si="303"/>
        <v>|||</v>
      </c>
      <c r="H7211" s="835">
        <f t="shared" si="304"/>
        <v>31</v>
      </c>
      <c r="AF7211" s="831" t="s">
        <v>7870</v>
      </c>
      <c r="AG7211" s="831" t="s">
        <v>132</v>
      </c>
      <c r="AH7211" s="831" t="s">
        <v>78</v>
      </c>
      <c r="AI7211" s="831">
        <v>0</v>
      </c>
      <c r="AJ7211" s="835">
        <v>41517</v>
      </c>
      <c r="AK7211" s="831">
        <v>350010.45</v>
      </c>
    </row>
    <row r="7212" spans="2:37">
      <c r="B7212" s="834" t="str">
        <f t="shared" si="303"/>
        <v>|||</v>
      </c>
      <c r="H7212" s="835">
        <f t="shared" si="304"/>
        <v>31</v>
      </c>
      <c r="AF7212" s="831" t="s">
        <v>7871</v>
      </c>
      <c r="AG7212" s="831" t="s">
        <v>132</v>
      </c>
      <c r="AH7212" s="831" t="s">
        <v>183</v>
      </c>
      <c r="AI7212" s="831">
        <v>0</v>
      </c>
      <c r="AJ7212" s="835">
        <v>41517</v>
      </c>
      <c r="AK7212" s="831">
        <v>0</v>
      </c>
    </row>
    <row r="7213" spans="2:37">
      <c r="B7213" s="834" t="str">
        <f t="shared" si="303"/>
        <v>|||</v>
      </c>
      <c r="H7213" s="835">
        <f t="shared" si="304"/>
        <v>31</v>
      </c>
      <c r="AF7213" s="831" t="s">
        <v>7872</v>
      </c>
      <c r="AG7213" s="831" t="s">
        <v>132</v>
      </c>
      <c r="AH7213" s="831" t="s">
        <v>186</v>
      </c>
      <c r="AI7213" s="831">
        <v>0</v>
      </c>
      <c r="AJ7213" s="835">
        <v>41517</v>
      </c>
      <c r="AK7213" s="831">
        <v>-100257</v>
      </c>
    </row>
    <row r="7214" spans="2:37">
      <c r="B7214" s="834" t="str">
        <f t="shared" si="303"/>
        <v>|||</v>
      </c>
      <c r="H7214" s="835">
        <f t="shared" si="304"/>
        <v>31</v>
      </c>
      <c r="AF7214" s="831" t="s">
        <v>7873</v>
      </c>
      <c r="AG7214" s="831" t="s">
        <v>132</v>
      </c>
      <c r="AH7214" s="831" t="s">
        <v>189</v>
      </c>
      <c r="AI7214" s="831">
        <v>0</v>
      </c>
      <c r="AJ7214" s="835">
        <v>41517</v>
      </c>
      <c r="AK7214" s="831">
        <v>0</v>
      </c>
    </row>
    <row r="7215" spans="2:37">
      <c r="B7215" s="834" t="str">
        <f t="shared" si="303"/>
        <v>|||</v>
      </c>
      <c r="H7215" s="835">
        <f t="shared" si="304"/>
        <v>31</v>
      </c>
      <c r="AF7215" s="831" t="s">
        <v>7874</v>
      </c>
      <c r="AG7215" s="831" t="s">
        <v>132</v>
      </c>
      <c r="AH7215" s="831" t="s">
        <v>68</v>
      </c>
      <c r="AI7215" s="831">
        <v>0</v>
      </c>
      <c r="AJ7215" s="835">
        <v>41547</v>
      </c>
      <c r="AK7215" s="831">
        <v>559860239</v>
      </c>
    </row>
    <row r="7216" spans="2:37">
      <c r="B7216" s="834" t="str">
        <f t="shared" si="303"/>
        <v>|||</v>
      </c>
      <c r="H7216" s="835">
        <f t="shared" si="304"/>
        <v>31</v>
      </c>
      <c r="AF7216" s="831" t="s">
        <v>7875</v>
      </c>
      <c r="AG7216" s="831" t="s">
        <v>132</v>
      </c>
      <c r="AH7216" s="831" t="s">
        <v>73</v>
      </c>
      <c r="AI7216" s="831">
        <v>0</v>
      </c>
      <c r="AJ7216" s="835">
        <v>41547</v>
      </c>
      <c r="AK7216" s="831">
        <v>375355.97</v>
      </c>
    </row>
    <row r="7217" spans="2:37">
      <c r="B7217" s="834" t="str">
        <f t="shared" si="303"/>
        <v>|||</v>
      </c>
      <c r="H7217" s="835">
        <f t="shared" si="304"/>
        <v>31</v>
      </c>
      <c r="AF7217" s="831" t="s">
        <v>7876</v>
      </c>
      <c r="AG7217" s="831" t="s">
        <v>132</v>
      </c>
      <c r="AH7217" s="831" t="s">
        <v>147</v>
      </c>
      <c r="AI7217" s="831">
        <v>0</v>
      </c>
      <c r="AJ7217" s="835">
        <v>41547</v>
      </c>
      <c r="AK7217" s="831">
        <v>197027.89</v>
      </c>
    </row>
    <row r="7218" spans="2:37">
      <c r="B7218" s="834" t="str">
        <f t="shared" si="303"/>
        <v>|||</v>
      </c>
      <c r="H7218" s="835">
        <f t="shared" si="304"/>
        <v>31</v>
      </c>
      <c r="AF7218" s="831" t="s">
        <v>7877</v>
      </c>
      <c r="AG7218" s="831" t="s">
        <v>132</v>
      </c>
      <c r="AH7218" s="831" t="s">
        <v>151</v>
      </c>
      <c r="AI7218" s="831">
        <v>0</v>
      </c>
      <c r="AJ7218" s="835">
        <v>41547</v>
      </c>
      <c r="AK7218" s="831">
        <v>236986.36</v>
      </c>
    </row>
    <row r="7219" spans="2:37">
      <c r="B7219" s="834" t="str">
        <f t="shared" si="303"/>
        <v>|||</v>
      </c>
      <c r="H7219" s="835">
        <f t="shared" si="304"/>
        <v>31</v>
      </c>
      <c r="AF7219" s="831" t="s">
        <v>7878</v>
      </c>
      <c r="AG7219" s="831" t="s">
        <v>132</v>
      </c>
      <c r="AH7219" s="831" t="s">
        <v>155</v>
      </c>
      <c r="AI7219" s="831">
        <v>0</v>
      </c>
      <c r="AJ7219" s="835">
        <v>41547</v>
      </c>
      <c r="AK7219" s="831">
        <v>82636.22</v>
      </c>
    </row>
    <row r="7220" spans="2:37">
      <c r="B7220" s="834" t="str">
        <f t="shared" si="303"/>
        <v>|||</v>
      </c>
      <c r="H7220" s="835">
        <f t="shared" si="304"/>
        <v>31</v>
      </c>
      <c r="AF7220" s="831" t="s">
        <v>7879</v>
      </c>
      <c r="AG7220" s="831" t="s">
        <v>132</v>
      </c>
      <c r="AH7220" s="831" t="s">
        <v>158</v>
      </c>
      <c r="AI7220" s="831">
        <v>0</v>
      </c>
      <c r="AJ7220" s="835">
        <v>41547</v>
      </c>
      <c r="AK7220" s="831">
        <v>393388</v>
      </c>
    </row>
    <row r="7221" spans="2:37">
      <c r="B7221" s="834" t="str">
        <f t="shared" si="303"/>
        <v>|||</v>
      </c>
      <c r="H7221" s="835">
        <f t="shared" si="304"/>
        <v>31</v>
      </c>
      <c r="AF7221" s="831" t="s">
        <v>7880</v>
      </c>
      <c r="AG7221" s="831" t="s">
        <v>132</v>
      </c>
      <c r="AH7221" s="831" t="s">
        <v>160</v>
      </c>
      <c r="AI7221" s="831">
        <v>0</v>
      </c>
      <c r="AJ7221" s="835">
        <v>41547</v>
      </c>
      <c r="AK7221" s="831">
        <v>754601.7</v>
      </c>
    </row>
    <row r="7222" spans="2:37">
      <c r="B7222" s="834" t="str">
        <f t="shared" si="303"/>
        <v>|||</v>
      </c>
      <c r="H7222" s="835">
        <f t="shared" si="304"/>
        <v>31</v>
      </c>
      <c r="AF7222" s="831" t="s">
        <v>7881</v>
      </c>
      <c r="AG7222" s="831" t="s">
        <v>132</v>
      </c>
      <c r="AH7222" s="831" t="s">
        <v>161</v>
      </c>
      <c r="AI7222" s="831">
        <v>0</v>
      </c>
      <c r="AJ7222" s="835">
        <v>41547</v>
      </c>
      <c r="AK7222" s="831">
        <v>143896.32000000001</v>
      </c>
    </row>
    <row r="7223" spans="2:37">
      <c r="B7223" s="834" t="str">
        <f t="shared" si="303"/>
        <v>|||</v>
      </c>
      <c r="H7223" s="835">
        <f t="shared" si="304"/>
        <v>31</v>
      </c>
      <c r="AF7223" s="831" t="s">
        <v>7882</v>
      </c>
      <c r="AG7223" s="831" t="s">
        <v>132</v>
      </c>
      <c r="AH7223" s="831" t="s">
        <v>170</v>
      </c>
      <c r="AI7223" s="831">
        <v>0</v>
      </c>
      <c r="AJ7223" s="835">
        <v>41547</v>
      </c>
      <c r="AK7223" s="831">
        <v>1546294.03</v>
      </c>
    </row>
    <row r="7224" spans="2:37">
      <c r="B7224" s="834" t="str">
        <f t="shared" si="303"/>
        <v>|||</v>
      </c>
      <c r="H7224" s="835">
        <f t="shared" si="304"/>
        <v>31</v>
      </c>
      <c r="AF7224" s="831" t="s">
        <v>7883</v>
      </c>
      <c r="AG7224" s="831" t="s">
        <v>132</v>
      </c>
      <c r="AH7224" s="831" t="s">
        <v>173</v>
      </c>
      <c r="AI7224" s="831">
        <v>0</v>
      </c>
      <c r="AJ7224" s="835">
        <v>41547</v>
      </c>
      <c r="AK7224" s="831">
        <v>38054.03</v>
      </c>
    </row>
    <row r="7225" spans="2:37">
      <c r="B7225" s="834" t="str">
        <f t="shared" si="303"/>
        <v>|||</v>
      </c>
      <c r="H7225" s="835">
        <f t="shared" si="304"/>
        <v>31</v>
      </c>
      <c r="AF7225" s="831" t="s">
        <v>7884</v>
      </c>
      <c r="AG7225" s="831" t="s">
        <v>132</v>
      </c>
      <c r="AH7225" s="831" t="s">
        <v>78</v>
      </c>
      <c r="AI7225" s="831">
        <v>0</v>
      </c>
      <c r="AJ7225" s="835">
        <v>41547</v>
      </c>
      <c r="AK7225" s="831">
        <v>360548</v>
      </c>
    </row>
    <row r="7226" spans="2:37">
      <c r="B7226" s="834" t="str">
        <f t="shared" si="303"/>
        <v>|||</v>
      </c>
      <c r="H7226" s="835">
        <f t="shared" si="304"/>
        <v>31</v>
      </c>
      <c r="AF7226" s="831" t="s">
        <v>7885</v>
      </c>
      <c r="AG7226" s="831" t="s">
        <v>132</v>
      </c>
      <c r="AH7226" s="831" t="s">
        <v>183</v>
      </c>
      <c r="AI7226" s="831">
        <v>0</v>
      </c>
      <c r="AJ7226" s="835">
        <v>41547</v>
      </c>
      <c r="AK7226" s="831">
        <v>0</v>
      </c>
    </row>
    <row r="7227" spans="2:37">
      <c r="B7227" s="834" t="str">
        <f t="shared" si="303"/>
        <v>|||</v>
      </c>
      <c r="H7227" s="835">
        <f t="shared" si="304"/>
        <v>31</v>
      </c>
      <c r="AF7227" s="831" t="s">
        <v>7886</v>
      </c>
      <c r="AG7227" s="831" t="s">
        <v>132</v>
      </c>
      <c r="AH7227" s="831" t="s">
        <v>186</v>
      </c>
      <c r="AI7227" s="831">
        <v>0</v>
      </c>
      <c r="AJ7227" s="835">
        <v>41547</v>
      </c>
      <c r="AK7227" s="831">
        <v>-68008</v>
      </c>
    </row>
    <row r="7228" spans="2:37">
      <c r="B7228" s="834" t="str">
        <f t="shared" si="303"/>
        <v>|||</v>
      </c>
      <c r="H7228" s="835">
        <f t="shared" si="304"/>
        <v>31</v>
      </c>
      <c r="AF7228" s="831" t="s">
        <v>7887</v>
      </c>
      <c r="AG7228" s="831" t="s">
        <v>132</v>
      </c>
      <c r="AH7228" s="831" t="s">
        <v>189</v>
      </c>
      <c r="AI7228" s="831">
        <v>0</v>
      </c>
      <c r="AJ7228" s="835">
        <v>41547</v>
      </c>
      <c r="AK7228" s="831">
        <v>0</v>
      </c>
    </row>
    <row r="7229" spans="2:37">
      <c r="B7229" s="834" t="str">
        <f t="shared" si="303"/>
        <v>|||</v>
      </c>
      <c r="H7229" s="835">
        <f t="shared" si="304"/>
        <v>31</v>
      </c>
      <c r="AF7229" s="831" t="s">
        <v>7888</v>
      </c>
      <c r="AG7229" s="831" t="s">
        <v>132</v>
      </c>
      <c r="AH7229" s="831" t="s">
        <v>68</v>
      </c>
      <c r="AI7229" s="831">
        <v>0</v>
      </c>
      <c r="AJ7229" s="835">
        <v>41578</v>
      </c>
      <c r="AK7229" s="831">
        <v>575724258</v>
      </c>
    </row>
    <row r="7230" spans="2:37">
      <c r="B7230" s="834" t="str">
        <f t="shared" si="303"/>
        <v>|||</v>
      </c>
      <c r="H7230" s="835">
        <f t="shared" si="304"/>
        <v>31</v>
      </c>
      <c r="AF7230" s="831" t="s">
        <v>7889</v>
      </c>
      <c r="AG7230" s="831" t="s">
        <v>132</v>
      </c>
      <c r="AH7230" s="831" t="s">
        <v>73</v>
      </c>
      <c r="AI7230" s="831">
        <v>0</v>
      </c>
      <c r="AJ7230" s="835">
        <v>41578</v>
      </c>
      <c r="AK7230" s="831">
        <v>511696</v>
      </c>
    </row>
    <row r="7231" spans="2:37">
      <c r="B7231" s="834" t="str">
        <f t="shared" si="303"/>
        <v>|||</v>
      </c>
      <c r="H7231" s="835">
        <f t="shared" si="304"/>
        <v>31</v>
      </c>
      <c r="AF7231" s="831" t="s">
        <v>7890</v>
      </c>
      <c r="AG7231" s="831" t="s">
        <v>132</v>
      </c>
      <c r="AH7231" s="831" t="s">
        <v>147</v>
      </c>
      <c r="AI7231" s="831">
        <v>0</v>
      </c>
      <c r="AJ7231" s="835">
        <v>41578</v>
      </c>
      <c r="AK7231" s="831">
        <v>174962.34</v>
      </c>
    </row>
    <row r="7232" spans="2:37">
      <c r="B7232" s="834" t="str">
        <f t="shared" si="303"/>
        <v>|||</v>
      </c>
      <c r="H7232" s="835">
        <f t="shared" si="304"/>
        <v>31</v>
      </c>
      <c r="AF7232" s="831" t="s">
        <v>7891</v>
      </c>
      <c r="AG7232" s="831" t="s">
        <v>132</v>
      </c>
      <c r="AH7232" s="831" t="s">
        <v>151</v>
      </c>
      <c r="AI7232" s="831">
        <v>0</v>
      </c>
      <c r="AJ7232" s="835">
        <v>41578</v>
      </c>
      <c r="AK7232" s="831">
        <v>218186.73800000001</v>
      </c>
    </row>
    <row r="7233" spans="2:37">
      <c r="B7233" s="834" t="str">
        <f t="shared" si="303"/>
        <v>|||</v>
      </c>
      <c r="H7233" s="835">
        <f t="shared" si="304"/>
        <v>31</v>
      </c>
      <c r="AF7233" s="831" t="s">
        <v>7892</v>
      </c>
      <c r="AG7233" s="831" t="s">
        <v>132</v>
      </c>
      <c r="AH7233" s="831" t="s">
        <v>155</v>
      </c>
      <c r="AI7233" s="831">
        <v>0</v>
      </c>
      <c r="AJ7233" s="835">
        <v>41578</v>
      </c>
      <c r="AK7233" s="831">
        <v>132189.549</v>
      </c>
    </row>
    <row r="7234" spans="2:37">
      <c r="B7234" s="834" t="str">
        <f t="shared" si="303"/>
        <v>|||</v>
      </c>
      <c r="H7234" s="835">
        <f t="shared" si="304"/>
        <v>31</v>
      </c>
      <c r="AF7234" s="831" t="s">
        <v>7893</v>
      </c>
      <c r="AG7234" s="831" t="s">
        <v>132</v>
      </c>
      <c r="AH7234" s="831" t="s">
        <v>158</v>
      </c>
      <c r="AI7234" s="831">
        <v>0</v>
      </c>
      <c r="AJ7234" s="835">
        <v>41578</v>
      </c>
      <c r="AK7234" s="831">
        <v>286792.29599999997</v>
      </c>
    </row>
    <row r="7235" spans="2:37">
      <c r="B7235" s="834" t="str">
        <f t="shared" ref="B7235:B7298" si="305">C7235&amp;"|"&amp;D7235&amp;"|"&amp;E7235&amp;"|"&amp;F7235</f>
        <v>|||</v>
      </c>
      <c r="H7235" s="835">
        <f t="shared" si="304"/>
        <v>31</v>
      </c>
      <c r="AF7235" s="831" t="s">
        <v>7894</v>
      </c>
      <c r="AG7235" s="831" t="s">
        <v>132</v>
      </c>
      <c r="AH7235" s="831" t="s">
        <v>160</v>
      </c>
      <c r="AI7235" s="831">
        <v>0</v>
      </c>
      <c r="AJ7235" s="835">
        <v>41578</v>
      </c>
      <c r="AK7235" s="831">
        <v>687293.68</v>
      </c>
    </row>
    <row r="7236" spans="2:37">
      <c r="B7236" s="834" t="str">
        <f t="shared" si="305"/>
        <v>|||</v>
      </c>
      <c r="H7236" s="835">
        <f t="shared" ref="H7236:H7299" si="306">EOMONTH(L7236,0)</f>
        <v>31</v>
      </c>
      <c r="AF7236" s="831" t="s">
        <v>7895</v>
      </c>
      <c r="AG7236" s="831" t="s">
        <v>132</v>
      </c>
      <c r="AH7236" s="831" t="s">
        <v>161</v>
      </c>
      <c r="AI7236" s="831">
        <v>0</v>
      </c>
      <c r="AJ7236" s="835">
        <v>41578</v>
      </c>
      <c r="AK7236" s="831">
        <v>219126.32</v>
      </c>
    </row>
    <row r="7237" spans="2:37">
      <c r="B7237" s="834" t="str">
        <f t="shared" si="305"/>
        <v>|||</v>
      </c>
      <c r="H7237" s="835">
        <f t="shared" si="306"/>
        <v>31</v>
      </c>
      <c r="AF7237" s="831" t="s">
        <v>7896</v>
      </c>
      <c r="AG7237" s="831" t="s">
        <v>132</v>
      </c>
      <c r="AH7237" s="831" t="s">
        <v>170</v>
      </c>
      <c r="AI7237" s="831">
        <v>0</v>
      </c>
      <c r="AJ7237" s="835">
        <v>41578</v>
      </c>
      <c r="AK7237" s="831">
        <v>1924169.01</v>
      </c>
    </row>
    <row r="7238" spans="2:37">
      <c r="B7238" s="834" t="str">
        <f t="shared" si="305"/>
        <v>|||</v>
      </c>
      <c r="H7238" s="835">
        <f t="shared" si="306"/>
        <v>31</v>
      </c>
      <c r="AF7238" s="831" t="s">
        <v>7897</v>
      </c>
      <c r="AG7238" s="831" t="s">
        <v>132</v>
      </c>
      <c r="AH7238" s="831" t="s">
        <v>173</v>
      </c>
      <c r="AI7238" s="831">
        <v>0</v>
      </c>
      <c r="AJ7238" s="835">
        <v>41578</v>
      </c>
      <c r="AK7238" s="831">
        <v>25603.78</v>
      </c>
    </row>
    <row r="7239" spans="2:37">
      <c r="B7239" s="834" t="str">
        <f t="shared" si="305"/>
        <v>|||</v>
      </c>
      <c r="H7239" s="835">
        <f t="shared" si="306"/>
        <v>31</v>
      </c>
      <c r="AF7239" s="831" t="s">
        <v>7898</v>
      </c>
      <c r="AG7239" s="831" t="s">
        <v>132</v>
      </c>
      <c r="AH7239" s="831" t="s">
        <v>78</v>
      </c>
      <c r="AI7239" s="831">
        <v>0</v>
      </c>
      <c r="AJ7239" s="835">
        <v>41578</v>
      </c>
      <c r="AK7239" s="831">
        <v>367081</v>
      </c>
    </row>
    <row r="7240" spans="2:37">
      <c r="B7240" s="834" t="str">
        <f t="shared" si="305"/>
        <v>|||</v>
      </c>
      <c r="H7240" s="835">
        <f t="shared" si="306"/>
        <v>31</v>
      </c>
      <c r="AF7240" s="831" t="s">
        <v>7899</v>
      </c>
      <c r="AG7240" s="831" t="s">
        <v>132</v>
      </c>
      <c r="AH7240" s="831" t="s">
        <v>183</v>
      </c>
      <c r="AI7240" s="831">
        <v>0</v>
      </c>
      <c r="AJ7240" s="835">
        <v>41578</v>
      </c>
      <c r="AK7240" s="831">
        <v>0</v>
      </c>
    </row>
    <row r="7241" spans="2:37">
      <c r="B7241" s="834" t="str">
        <f t="shared" si="305"/>
        <v>|||</v>
      </c>
      <c r="H7241" s="835">
        <f t="shared" si="306"/>
        <v>31</v>
      </c>
      <c r="AF7241" s="831" t="s">
        <v>7900</v>
      </c>
      <c r="AG7241" s="831" t="s">
        <v>132</v>
      </c>
      <c r="AH7241" s="831" t="s">
        <v>186</v>
      </c>
      <c r="AI7241" s="831">
        <v>0</v>
      </c>
      <c r="AJ7241" s="835">
        <v>41578</v>
      </c>
      <c r="AK7241" s="831">
        <v>-55957.22</v>
      </c>
    </row>
    <row r="7242" spans="2:37">
      <c r="B7242" s="834" t="str">
        <f t="shared" si="305"/>
        <v>|||</v>
      </c>
      <c r="H7242" s="835">
        <f t="shared" si="306"/>
        <v>31</v>
      </c>
      <c r="AF7242" s="831" t="s">
        <v>7901</v>
      </c>
      <c r="AG7242" s="831" t="s">
        <v>132</v>
      </c>
      <c r="AH7242" s="831" t="s">
        <v>189</v>
      </c>
      <c r="AI7242" s="831">
        <v>0</v>
      </c>
      <c r="AJ7242" s="835">
        <v>41578</v>
      </c>
      <c r="AK7242" s="831">
        <v>0</v>
      </c>
    </row>
    <row r="7243" spans="2:37">
      <c r="B7243" s="834" t="str">
        <f t="shared" si="305"/>
        <v>|||</v>
      </c>
      <c r="H7243" s="835">
        <f t="shared" si="306"/>
        <v>31</v>
      </c>
      <c r="AF7243" s="831" t="s">
        <v>7902</v>
      </c>
      <c r="AG7243" s="831" t="s">
        <v>132</v>
      </c>
      <c r="AH7243" s="831" t="s">
        <v>68</v>
      </c>
      <c r="AI7243" s="831">
        <v>0</v>
      </c>
      <c r="AJ7243" s="835">
        <v>41608</v>
      </c>
      <c r="AK7243" s="831">
        <v>592666781.95299995</v>
      </c>
    </row>
    <row r="7244" spans="2:37">
      <c r="B7244" s="834" t="str">
        <f t="shared" si="305"/>
        <v>|||</v>
      </c>
      <c r="H7244" s="835">
        <f t="shared" si="306"/>
        <v>31</v>
      </c>
      <c r="AF7244" s="831" t="s">
        <v>7903</v>
      </c>
      <c r="AG7244" s="831" t="s">
        <v>132</v>
      </c>
      <c r="AH7244" s="831" t="s">
        <v>73</v>
      </c>
      <c r="AI7244" s="831">
        <v>0</v>
      </c>
      <c r="AJ7244" s="835">
        <v>41608</v>
      </c>
      <c r="AK7244" s="831">
        <v>60237.9</v>
      </c>
    </row>
    <row r="7245" spans="2:37">
      <c r="B7245" s="834" t="str">
        <f t="shared" si="305"/>
        <v>|||</v>
      </c>
      <c r="H7245" s="835">
        <f t="shared" si="306"/>
        <v>31</v>
      </c>
      <c r="AF7245" s="831" t="s">
        <v>7904</v>
      </c>
      <c r="AG7245" s="831" t="s">
        <v>132</v>
      </c>
      <c r="AH7245" s="831" t="s">
        <v>147</v>
      </c>
      <c r="AI7245" s="831">
        <v>0</v>
      </c>
      <c r="AJ7245" s="835">
        <v>41608</v>
      </c>
      <c r="AK7245" s="831">
        <v>231953.25599999999</v>
      </c>
    </row>
    <row r="7246" spans="2:37">
      <c r="B7246" s="834" t="str">
        <f t="shared" si="305"/>
        <v>|||</v>
      </c>
      <c r="H7246" s="835">
        <f t="shared" si="306"/>
        <v>31</v>
      </c>
      <c r="AF7246" s="831" t="s">
        <v>7905</v>
      </c>
      <c r="AG7246" s="831" t="s">
        <v>132</v>
      </c>
      <c r="AH7246" s="831" t="s">
        <v>151</v>
      </c>
      <c r="AI7246" s="831">
        <v>0</v>
      </c>
      <c r="AJ7246" s="835">
        <v>41608</v>
      </c>
      <c r="AK7246" s="831">
        <v>145666.796</v>
      </c>
    </row>
    <row r="7247" spans="2:37">
      <c r="B7247" s="834" t="str">
        <f t="shared" si="305"/>
        <v>|||</v>
      </c>
      <c r="H7247" s="835">
        <f t="shared" si="306"/>
        <v>31</v>
      </c>
      <c r="AF7247" s="831" t="s">
        <v>7906</v>
      </c>
      <c r="AG7247" s="831" t="s">
        <v>132</v>
      </c>
      <c r="AH7247" s="831" t="s">
        <v>155</v>
      </c>
      <c r="AI7247" s="831">
        <v>0</v>
      </c>
      <c r="AJ7247" s="835">
        <v>41608</v>
      </c>
      <c r="AK7247" s="831">
        <v>200250.28099999999</v>
      </c>
    </row>
    <row r="7248" spans="2:37">
      <c r="B7248" s="834" t="str">
        <f t="shared" si="305"/>
        <v>|||</v>
      </c>
      <c r="H7248" s="835">
        <f t="shared" si="306"/>
        <v>31</v>
      </c>
      <c r="AF7248" s="831" t="s">
        <v>7907</v>
      </c>
      <c r="AG7248" s="831" t="s">
        <v>132</v>
      </c>
      <c r="AH7248" s="831" t="s">
        <v>158</v>
      </c>
      <c r="AI7248" s="831">
        <v>0</v>
      </c>
      <c r="AJ7248" s="835">
        <v>41608</v>
      </c>
      <c r="AK7248" s="831">
        <v>208388.15400000001</v>
      </c>
    </row>
    <row r="7249" spans="2:37">
      <c r="B7249" s="834" t="str">
        <f t="shared" si="305"/>
        <v>|||</v>
      </c>
      <c r="H7249" s="835">
        <f t="shared" si="306"/>
        <v>31</v>
      </c>
      <c r="AF7249" s="831" t="s">
        <v>7908</v>
      </c>
      <c r="AG7249" s="831" t="s">
        <v>132</v>
      </c>
      <c r="AH7249" s="831" t="s">
        <v>160</v>
      </c>
      <c r="AI7249" s="831">
        <v>0</v>
      </c>
      <c r="AJ7249" s="835">
        <v>41608</v>
      </c>
      <c r="AK7249" s="831">
        <v>773638.55</v>
      </c>
    </row>
    <row r="7250" spans="2:37">
      <c r="B7250" s="834" t="str">
        <f t="shared" si="305"/>
        <v>|||</v>
      </c>
      <c r="H7250" s="835">
        <f t="shared" si="306"/>
        <v>31</v>
      </c>
      <c r="AF7250" s="831" t="s">
        <v>7909</v>
      </c>
      <c r="AG7250" s="831" t="s">
        <v>132</v>
      </c>
      <c r="AH7250" s="831" t="s">
        <v>161</v>
      </c>
      <c r="AI7250" s="831">
        <v>0</v>
      </c>
      <c r="AJ7250" s="835">
        <v>41608</v>
      </c>
      <c r="AK7250" s="831">
        <v>331997.57</v>
      </c>
    </row>
    <row r="7251" spans="2:37">
      <c r="B7251" s="834" t="str">
        <f t="shared" si="305"/>
        <v>|||</v>
      </c>
      <c r="H7251" s="835">
        <f t="shared" si="306"/>
        <v>31</v>
      </c>
      <c r="AF7251" s="831" t="s">
        <v>7910</v>
      </c>
      <c r="AG7251" s="831" t="s">
        <v>132</v>
      </c>
      <c r="AH7251" s="831" t="s">
        <v>170</v>
      </c>
      <c r="AI7251" s="831">
        <v>0</v>
      </c>
      <c r="AJ7251" s="835">
        <v>41608</v>
      </c>
      <c r="AK7251" s="831">
        <v>2706308.31</v>
      </c>
    </row>
    <row r="7252" spans="2:37">
      <c r="B7252" s="834" t="str">
        <f t="shared" si="305"/>
        <v>|||</v>
      </c>
      <c r="H7252" s="835">
        <f t="shared" si="306"/>
        <v>31</v>
      </c>
      <c r="AF7252" s="831" t="s">
        <v>7911</v>
      </c>
      <c r="AG7252" s="831" t="s">
        <v>132</v>
      </c>
      <c r="AH7252" s="831" t="s">
        <v>173</v>
      </c>
      <c r="AI7252" s="831">
        <v>0</v>
      </c>
      <c r="AJ7252" s="835">
        <v>41608</v>
      </c>
      <c r="AK7252" s="831">
        <v>384987.9</v>
      </c>
    </row>
    <row r="7253" spans="2:37">
      <c r="B7253" s="834" t="str">
        <f t="shared" si="305"/>
        <v>|||</v>
      </c>
      <c r="H7253" s="835">
        <f t="shared" si="306"/>
        <v>31</v>
      </c>
      <c r="AF7253" s="831" t="s">
        <v>7912</v>
      </c>
      <c r="AG7253" s="831" t="s">
        <v>132</v>
      </c>
      <c r="AH7253" s="831" t="s">
        <v>78</v>
      </c>
      <c r="AI7253" s="831">
        <v>0</v>
      </c>
      <c r="AJ7253" s="835">
        <v>41608</v>
      </c>
      <c r="AK7253" s="831">
        <v>339099.16</v>
      </c>
    </row>
    <row r="7254" spans="2:37">
      <c r="B7254" s="834" t="str">
        <f t="shared" si="305"/>
        <v>|||</v>
      </c>
      <c r="H7254" s="835">
        <f t="shared" si="306"/>
        <v>31</v>
      </c>
      <c r="AF7254" s="831" t="s">
        <v>7913</v>
      </c>
      <c r="AG7254" s="831" t="s">
        <v>132</v>
      </c>
      <c r="AH7254" s="831" t="s">
        <v>183</v>
      </c>
      <c r="AI7254" s="831">
        <v>0</v>
      </c>
      <c r="AJ7254" s="835">
        <v>41608</v>
      </c>
      <c r="AK7254" s="831">
        <v>0</v>
      </c>
    </row>
    <row r="7255" spans="2:37">
      <c r="B7255" s="834" t="str">
        <f t="shared" si="305"/>
        <v>|||</v>
      </c>
      <c r="H7255" s="835">
        <f t="shared" si="306"/>
        <v>31</v>
      </c>
      <c r="AF7255" s="831" t="s">
        <v>7914</v>
      </c>
      <c r="AG7255" s="831" t="s">
        <v>132</v>
      </c>
      <c r="AH7255" s="831" t="s">
        <v>186</v>
      </c>
      <c r="AI7255" s="831">
        <v>0</v>
      </c>
      <c r="AJ7255" s="835">
        <v>41608</v>
      </c>
      <c r="AK7255" s="831">
        <v>-83979.44</v>
      </c>
    </row>
    <row r="7256" spans="2:37">
      <c r="B7256" s="834" t="str">
        <f t="shared" si="305"/>
        <v>|||</v>
      </c>
      <c r="H7256" s="835">
        <f t="shared" si="306"/>
        <v>31</v>
      </c>
      <c r="AF7256" s="831" t="s">
        <v>7915</v>
      </c>
      <c r="AG7256" s="831" t="s">
        <v>132</v>
      </c>
      <c r="AH7256" s="831" t="s">
        <v>189</v>
      </c>
      <c r="AI7256" s="831">
        <v>0</v>
      </c>
      <c r="AJ7256" s="835">
        <v>41608</v>
      </c>
      <c r="AK7256" s="831">
        <v>0</v>
      </c>
    </row>
    <row r="7257" spans="2:37">
      <c r="B7257" s="834" t="str">
        <f t="shared" si="305"/>
        <v>|||</v>
      </c>
      <c r="H7257" s="835">
        <f t="shared" si="306"/>
        <v>31</v>
      </c>
      <c r="AF7257" s="831" t="s">
        <v>7916</v>
      </c>
      <c r="AG7257" s="831" t="s">
        <v>132</v>
      </c>
      <c r="AH7257" s="831" t="s">
        <v>68</v>
      </c>
      <c r="AI7257" s="831">
        <v>0</v>
      </c>
      <c r="AJ7257" s="835">
        <v>41639</v>
      </c>
      <c r="AK7257" s="831">
        <v>622214834</v>
      </c>
    </row>
    <row r="7258" spans="2:37">
      <c r="B7258" s="834" t="str">
        <f t="shared" si="305"/>
        <v>|||</v>
      </c>
      <c r="H7258" s="835">
        <f t="shared" si="306"/>
        <v>31</v>
      </c>
      <c r="AF7258" s="831" t="s">
        <v>7917</v>
      </c>
      <c r="AG7258" s="831" t="s">
        <v>132</v>
      </c>
      <c r="AH7258" s="831" t="s">
        <v>73</v>
      </c>
      <c r="AI7258" s="831">
        <v>0</v>
      </c>
      <c r="AJ7258" s="835">
        <v>41639</v>
      </c>
      <c r="AK7258" s="831">
        <v>444088.26</v>
      </c>
    </row>
    <row r="7259" spans="2:37">
      <c r="B7259" s="834" t="str">
        <f t="shared" si="305"/>
        <v>|||</v>
      </c>
      <c r="H7259" s="835">
        <f t="shared" si="306"/>
        <v>31</v>
      </c>
      <c r="AF7259" s="831" t="s">
        <v>7918</v>
      </c>
      <c r="AG7259" s="831" t="s">
        <v>132</v>
      </c>
      <c r="AH7259" s="831" t="s">
        <v>147</v>
      </c>
      <c r="AI7259" s="831">
        <v>0</v>
      </c>
      <c r="AJ7259" s="835">
        <v>41639</v>
      </c>
      <c r="AK7259" s="831">
        <v>134832.60500000001</v>
      </c>
    </row>
    <row r="7260" spans="2:37">
      <c r="B7260" s="834" t="str">
        <f t="shared" si="305"/>
        <v>|||</v>
      </c>
      <c r="H7260" s="835">
        <f t="shared" si="306"/>
        <v>31</v>
      </c>
      <c r="AF7260" s="831" t="s">
        <v>7919</v>
      </c>
      <c r="AG7260" s="831" t="s">
        <v>132</v>
      </c>
      <c r="AH7260" s="831" t="s">
        <v>151</v>
      </c>
      <c r="AI7260" s="831">
        <v>0</v>
      </c>
      <c r="AJ7260" s="835">
        <v>41639</v>
      </c>
      <c r="AK7260" s="831">
        <v>198198.818</v>
      </c>
    </row>
    <row r="7261" spans="2:37">
      <c r="B7261" s="834" t="str">
        <f t="shared" si="305"/>
        <v>|||</v>
      </c>
      <c r="H7261" s="835">
        <f t="shared" si="306"/>
        <v>31</v>
      </c>
      <c r="AF7261" s="831" t="s">
        <v>7920</v>
      </c>
      <c r="AG7261" s="831" t="s">
        <v>132</v>
      </c>
      <c r="AH7261" s="831" t="s">
        <v>155</v>
      </c>
      <c r="AI7261" s="831">
        <v>0</v>
      </c>
      <c r="AJ7261" s="835">
        <v>41639</v>
      </c>
      <c r="AK7261" s="831">
        <v>133216.50459999999</v>
      </c>
    </row>
    <row r="7262" spans="2:37">
      <c r="B7262" s="834" t="str">
        <f t="shared" si="305"/>
        <v>|||</v>
      </c>
      <c r="H7262" s="835">
        <f t="shared" si="306"/>
        <v>31</v>
      </c>
      <c r="AF7262" s="831" t="s">
        <v>7921</v>
      </c>
      <c r="AG7262" s="831" t="s">
        <v>132</v>
      </c>
      <c r="AH7262" s="831" t="s">
        <v>158</v>
      </c>
      <c r="AI7262" s="831">
        <v>0</v>
      </c>
      <c r="AJ7262" s="835">
        <v>41639</v>
      </c>
      <c r="AK7262" s="831">
        <v>318704.68900000001</v>
      </c>
    </row>
    <row r="7263" spans="2:37">
      <c r="B7263" s="834" t="str">
        <f t="shared" si="305"/>
        <v>|||</v>
      </c>
      <c r="H7263" s="835">
        <f t="shared" si="306"/>
        <v>31</v>
      </c>
      <c r="AF7263" s="831" t="s">
        <v>7922</v>
      </c>
      <c r="AG7263" s="831" t="s">
        <v>132</v>
      </c>
      <c r="AH7263" s="831" t="s">
        <v>160</v>
      </c>
      <c r="AI7263" s="831">
        <v>0</v>
      </c>
      <c r="AJ7263" s="835">
        <v>41639</v>
      </c>
      <c r="AK7263" s="831">
        <v>715291.56</v>
      </c>
    </row>
    <row r="7264" spans="2:37">
      <c r="B7264" s="834" t="str">
        <f t="shared" si="305"/>
        <v>|||</v>
      </c>
      <c r="H7264" s="835">
        <f t="shared" si="306"/>
        <v>31</v>
      </c>
      <c r="AF7264" s="831" t="s">
        <v>7923</v>
      </c>
      <c r="AG7264" s="831" t="s">
        <v>132</v>
      </c>
      <c r="AH7264" s="831" t="s">
        <v>161</v>
      </c>
      <c r="AI7264" s="831">
        <v>0</v>
      </c>
      <c r="AJ7264" s="835">
        <v>41639</v>
      </c>
      <c r="AK7264" s="831">
        <v>437972.26</v>
      </c>
    </row>
    <row r="7265" spans="2:37">
      <c r="B7265" s="834" t="str">
        <f t="shared" si="305"/>
        <v>|||</v>
      </c>
      <c r="H7265" s="835">
        <f t="shared" si="306"/>
        <v>31</v>
      </c>
      <c r="AF7265" s="831" t="s">
        <v>7924</v>
      </c>
      <c r="AG7265" s="831" t="s">
        <v>132</v>
      </c>
      <c r="AH7265" s="831" t="s">
        <v>170</v>
      </c>
      <c r="AI7265" s="831">
        <v>0</v>
      </c>
      <c r="AJ7265" s="835">
        <v>41639</v>
      </c>
      <c r="AK7265" s="831">
        <v>2898888.07</v>
      </c>
    </row>
    <row r="7266" spans="2:37">
      <c r="B7266" s="834" t="str">
        <f t="shared" si="305"/>
        <v>|||</v>
      </c>
      <c r="H7266" s="835">
        <f t="shared" si="306"/>
        <v>31</v>
      </c>
      <c r="AF7266" s="831" t="s">
        <v>7925</v>
      </c>
      <c r="AG7266" s="831" t="s">
        <v>132</v>
      </c>
      <c r="AH7266" s="831" t="s">
        <v>173</v>
      </c>
      <c r="AI7266" s="831">
        <v>0</v>
      </c>
      <c r="AJ7266" s="835">
        <v>41639</v>
      </c>
      <c r="AK7266" s="831">
        <v>25021.74</v>
      </c>
    </row>
    <row r="7267" spans="2:37">
      <c r="B7267" s="834" t="str">
        <f t="shared" si="305"/>
        <v>|||</v>
      </c>
      <c r="H7267" s="835">
        <f t="shared" si="306"/>
        <v>31</v>
      </c>
      <c r="AF7267" s="831" t="s">
        <v>7926</v>
      </c>
      <c r="AG7267" s="831" t="s">
        <v>132</v>
      </c>
      <c r="AH7267" s="831" t="s">
        <v>78</v>
      </c>
      <c r="AI7267" s="831">
        <v>0</v>
      </c>
      <c r="AJ7267" s="835">
        <v>41639</v>
      </c>
      <c r="AK7267" s="831">
        <v>353211.36</v>
      </c>
    </row>
    <row r="7268" spans="2:37">
      <c r="B7268" s="834" t="str">
        <f t="shared" si="305"/>
        <v>|||</v>
      </c>
      <c r="H7268" s="835">
        <f t="shared" si="306"/>
        <v>31</v>
      </c>
      <c r="AF7268" s="831" t="s">
        <v>7927</v>
      </c>
      <c r="AG7268" s="831" t="s">
        <v>132</v>
      </c>
      <c r="AH7268" s="831" t="s">
        <v>183</v>
      </c>
      <c r="AI7268" s="831">
        <v>0</v>
      </c>
      <c r="AJ7268" s="835">
        <v>41639</v>
      </c>
      <c r="AK7268" s="831">
        <v>0</v>
      </c>
    </row>
    <row r="7269" spans="2:37">
      <c r="B7269" s="834" t="str">
        <f t="shared" si="305"/>
        <v>|||</v>
      </c>
      <c r="H7269" s="835">
        <f t="shared" si="306"/>
        <v>31</v>
      </c>
      <c r="AF7269" s="831" t="s">
        <v>7928</v>
      </c>
      <c r="AG7269" s="831" t="s">
        <v>132</v>
      </c>
      <c r="AH7269" s="831" t="s">
        <v>186</v>
      </c>
      <c r="AI7269" s="831">
        <v>0</v>
      </c>
      <c r="AJ7269" s="835">
        <v>41639</v>
      </c>
      <c r="AK7269" s="831">
        <v>-72540.376000000004</v>
      </c>
    </row>
    <row r="7270" spans="2:37">
      <c r="B7270" s="834" t="str">
        <f t="shared" si="305"/>
        <v>|||</v>
      </c>
      <c r="H7270" s="835">
        <f t="shared" si="306"/>
        <v>31</v>
      </c>
      <c r="AF7270" s="831" t="s">
        <v>7929</v>
      </c>
      <c r="AG7270" s="831" t="s">
        <v>132</v>
      </c>
      <c r="AH7270" s="831" t="s">
        <v>189</v>
      </c>
      <c r="AI7270" s="831">
        <v>0</v>
      </c>
      <c r="AJ7270" s="835">
        <v>41639</v>
      </c>
      <c r="AK7270" s="831">
        <v>0</v>
      </c>
    </row>
    <row r="7271" spans="2:37">
      <c r="B7271" s="834" t="str">
        <f t="shared" si="305"/>
        <v>|||</v>
      </c>
      <c r="H7271" s="835">
        <f t="shared" si="306"/>
        <v>31</v>
      </c>
      <c r="AF7271" s="831" t="s">
        <v>7930</v>
      </c>
      <c r="AG7271" s="831" t="s">
        <v>133</v>
      </c>
      <c r="AH7271" s="831" t="s">
        <v>139</v>
      </c>
      <c r="AI7271" s="831">
        <v>0</v>
      </c>
      <c r="AJ7271" s="835">
        <v>41305</v>
      </c>
      <c r="AK7271" s="831">
        <v>123228</v>
      </c>
    </row>
    <row r="7272" spans="2:37">
      <c r="B7272" s="834" t="str">
        <f t="shared" si="305"/>
        <v>|||</v>
      </c>
      <c r="H7272" s="835">
        <f t="shared" si="306"/>
        <v>31</v>
      </c>
      <c r="AF7272" s="831" t="s">
        <v>7931</v>
      </c>
      <c r="AG7272" s="831" t="s">
        <v>133</v>
      </c>
      <c r="AH7272" s="831" t="s">
        <v>11</v>
      </c>
      <c r="AI7272" s="831">
        <v>0</v>
      </c>
      <c r="AJ7272" s="835">
        <v>41305</v>
      </c>
      <c r="AK7272" s="831">
        <v>125947</v>
      </c>
    </row>
    <row r="7273" spans="2:37">
      <c r="B7273" s="834" t="str">
        <f t="shared" si="305"/>
        <v>|||</v>
      </c>
      <c r="H7273" s="835">
        <f t="shared" si="306"/>
        <v>31</v>
      </c>
      <c r="AF7273" s="831" t="s">
        <v>7932</v>
      </c>
      <c r="AG7273" s="831" t="s">
        <v>133</v>
      </c>
      <c r="AH7273" s="831" t="s">
        <v>144</v>
      </c>
      <c r="AI7273" s="831">
        <v>0</v>
      </c>
      <c r="AJ7273" s="835">
        <v>41305</v>
      </c>
      <c r="AK7273" s="831">
        <v>128972</v>
      </c>
    </row>
    <row r="7274" spans="2:37">
      <c r="B7274" s="834" t="str">
        <f t="shared" si="305"/>
        <v>|||</v>
      </c>
      <c r="H7274" s="835">
        <f t="shared" si="306"/>
        <v>31</v>
      </c>
      <c r="AF7274" s="831" t="s">
        <v>7933</v>
      </c>
      <c r="AG7274" s="831" t="s">
        <v>133</v>
      </c>
      <c r="AH7274" s="831" t="s">
        <v>148</v>
      </c>
      <c r="AI7274" s="831">
        <v>0</v>
      </c>
      <c r="AJ7274" s="835">
        <v>41305</v>
      </c>
      <c r="AK7274" s="831">
        <v>34</v>
      </c>
    </row>
    <row r="7275" spans="2:37">
      <c r="B7275" s="834" t="str">
        <f t="shared" si="305"/>
        <v>|||</v>
      </c>
      <c r="H7275" s="835">
        <f t="shared" si="306"/>
        <v>31</v>
      </c>
      <c r="AF7275" s="831" t="s">
        <v>7934</v>
      </c>
      <c r="AG7275" s="831" t="s">
        <v>133</v>
      </c>
      <c r="AH7275" s="831" t="s">
        <v>152</v>
      </c>
      <c r="AI7275" s="831">
        <v>0</v>
      </c>
      <c r="AJ7275" s="835">
        <v>41305</v>
      </c>
      <c r="AK7275" s="831">
        <v>1522</v>
      </c>
    </row>
    <row r="7276" spans="2:37">
      <c r="B7276" s="834" t="str">
        <f t="shared" si="305"/>
        <v>|||</v>
      </c>
      <c r="H7276" s="835">
        <f t="shared" si="306"/>
        <v>31</v>
      </c>
      <c r="AF7276" s="831" t="s">
        <v>7935</v>
      </c>
      <c r="AG7276" s="831" t="s">
        <v>133</v>
      </c>
      <c r="AH7276" s="831" t="s">
        <v>12</v>
      </c>
      <c r="AI7276" s="831">
        <v>0</v>
      </c>
      <c r="AJ7276" s="835">
        <v>41305</v>
      </c>
      <c r="AK7276" s="831">
        <v>458</v>
      </c>
    </row>
    <row r="7277" spans="2:37">
      <c r="B7277" s="834" t="str">
        <f t="shared" si="305"/>
        <v>|||</v>
      </c>
      <c r="H7277" s="835">
        <f t="shared" si="306"/>
        <v>31</v>
      </c>
      <c r="AF7277" s="831" t="s">
        <v>7936</v>
      </c>
      <c r="AG7277" s="831" t="s">
        <v>133</v>
      </c>
      <c r="AH7277" s="831" t="s">
        <v>139</v>
      </c>
      <c r="AI7277" s="831">
        <v>0</v>
      </c>
      <c r="AJ7277" s="835">
        <v>41333</v>
      </c>
      <c r="AK7277" s="831">
        <v>124202</v>
      </c>
    </row>
    <row r="7278" spans="2:37">
      <c r="B7278" s="834" t="str">
        <f t="shared" si="305"/>
        <v>|||</v>
      </c>
      <c r="H7278" s="835">
        <f t="shared" si="306"/>
        <v>31</v>
      </c>
      <c r="AF7278" s="831" t="s">
        <v>7937</v>
      </c>
      <c r="AG7278" s="831" t="s">
        <v>133</v>
      </c>
      <c r="AH7278" s="831" t="s">
        <v>11</v>
      </c>
      <c r="AI7278" s="831">
        <v>0</v>
      </c>
      <c r="AJ7278" s="835">
        <v>41333</v>
      </c>
      <c r="AK7278" s="831">
        <v>127639</v>
      </c>
    </row>
    <row r="7279" spans="2:37">
      <c r="B7279" s="834" t="str">
        <f t="shared" si="305"/>
        <v>|||</v>
      </c>
      <c r="H7279" s="835">
        <f t="shared" si="306"/>
        <v>31</v>
      </c>
      <c r="AF7279" s="831" t="s">
        <v>7938</v>
      </c>
      <c r="AG7279" s="831" t="s">
        <v>133</v>
      </c>
      <c r="AH7279" s="831" t="s">
        <v>144</v>
      </c>
      <c r="AI7279" s="831">
        <v>0</v>
      </c>
      <c r="AJ7279" s="835">
        <v>41333</v>
      </c>
      <c r="AK7279" s="831">
        <v>130995</v>
      </c>
    </row>
    <row r="7280" spans="2:37">
      <c r="B7280" s="834" t="str">
        <f t="shared" si="305"/>
        <v>|||</v>
      </c>
      <c r="H7280" s="835">
        <f t="shared" si="306"/>
        <v>31</v>
      </c>
      <c r="AF7280" s="831" t="s">
        <v>7939</v>
      </c>
      <c r="AG7280" s="831" t="s">
        <v>133</v>
      </c>
      <c r="AH7280" s="831" t="s">
        <v>148</v>
      </c>
      <c r="AI7280" s="831">
        <v>0</v>
      </c>
      <c r="AJ7280" s="835">
        <v>41333</v>
      </c>
      <c r="AK7280" s="831">
        <v>36</v>
      </c>
    </row>
    <row r="7281" spans="2:37">
      <c r="B7281" s="834" t="str">
        <f t="shared" si="305"/>
        <v>|||</v>
      </c>
      <c r="H7281" s="835">
        <f t="shared" si="306"/>
        <v>31</v>
      </c>
      <c r="AF7281" s="831" t="s">
        <v>7940</v>
      </c>
      <c r="AG7281" s="831" t="s">
        <v>133</v>
      </c>
      <c r="AH7281" s="831" t="s">
        <v>152</v>
      </c>
      <c r="AI7281" s="831">
        <v>0</v>
      </c>
      <c r="AJ7281" s="835">
        <v>41333</v>
      </c>
      <c r="AK7281" s="831">
        <v>1537</v>
      </c>
    </row>
    <row r="7282" spans="2:37">
      <c r="B7282" s="834" t="str">
        <f t="shared" si="305"/>
        <v>|||</v>
      </c>
      <c r="H7282" s="835">
        <f t="shared" si="306"/>
        <v>31</v>
      </c>
      <c r="AF7282" s="831" t="s">
        <v>7941</v>
      </c>
      <c r="AG7282" s="831" t="s">
        <v>133</v>
      </c>
      <c r="AH7282" s="831" t="s">
        <v>12</v>
      </c>
      <c r="AI7282" s="831">
        <v>0</v>
      </c>
      <c r="AJ7282" s="835">
        <v>41333</v>
      </c>
      <c r="AK7282" s="831">
        <v>456</v>
      </c>
    </row>
    <row r="7283" spans="2:37">
      <c r="B7283" s="834" t="str">
        <f t="shared" si="305"/>
        <v>|||</v>
      </c>
      <c r="H7283" s="835">
        <f t="shared" si="306"/>
        <v>31</v>
      </c>
      <c r="AF7283" s="831" t="s">
        <v>7942</v>
      </c>
      <c r="AG7283" s="831" t="s">
        <v>133</v>
      </c>
      <c r="AH7283" s="831" t="s">
        <v>139</v>
      </c>
      <c r="AI7283" s="831">
        <v>0</v>
      </c>
      <c r="AJ7283" s="835">
        <v>41364</v>
      </c>
      <c r="AK7283" s="831">
        <v>125262</v>
      </c>
    </row>
    <row r="7284" spans="2:37">
      <c r="B7284" s="834" t="str">
        <f t="shared" si="305"/>
        <v>|||</v>
      </c>
      <c r="H7284" s="835">
        <f t="shared" si="306"/>
        <v>31</v>
      </c>
      <c r="AF7284" s="831" t="s">
        <v>7943</v>
      </c>
      <c r="AG7284" s="831" t="s">
        <v>133</v>
      </c>
      <c r="AH7284" s="831" t="s">
        <v>11</v>
      </c>
      <c r="AI7284" s="831">
        <v>0</v>
      </c>
      <c r="AJ7284" s="835">
        <v>41364</v>
      </c>
      <c r="AK7284" s="831">
        <v>129296</v>
      </c>
    </row>
    <row r="7285" spans="2:37">
      <c r="B7285" s="834" t="str">
        <f t="shared" si="305"/>
        <v>|||</v>
      </c>
      <c r="H7285" s="835">
        <f t="shared" si="306"/>
        <v>31</v>
      </c>
      <c r="AF7285" s="831" t="s">
        <v>7944</v>
      </c>
      <c r="AG7285" s="831" t="s">
        <v>133</v>
      </c>
      <c r="AH7285" s="831" t="s">
        <v>144</v>
      </c>
      <c r="AI7285" s="831">
        <v>0</v>
      </c>
      <c r="AJ7285" s="835">
        <v>41364</v>
      </c>
      <c r="AK7285" s="831">
        <v>133005</v>
      </c>
    </row>
    <row r="7286" spans="2:37">
      <c r="B7286" s="834" t="str">
        <f t="shared" si="305"/>
        <v>|||</v>
      </c>
      <c r="H7286" s="835">
        <f t="shared" si="306"/>
        <v>31</v>
      </c>
      <c r="AF7286" s="831" t="s">
        <v>7945</v>
      </c>
      <c r="AG7286" s="831" t="s">
        <v>133</v>
      </c>
      <c r="AH7286" s="831" t="s">
        <v>148</v>
      </c>
      <c r="AI7286" s="831">
        <v>0</v>
      </c>
      <c r="AJ7286" s="835">
        <v>41364</v>
      </c>
      <c r="AK7286" s="831">
        <v>36</v>
      </c>
    </row>
    <row r="7287" spans="2:37">
      <c r="B7287" s="834" t="str">
        <f t="shared" si="305"/>
        <v>|||</v>
      </c>
      <c r="H7287" s="835">
        <f t="shared" si="306"/>
        <v>31</v>
      </c>
      <c r="AF7287" s="831" t="s">
        <v>7946</v>
      </c>
      <c r="AG7287" s="831" t="s">
        <v>133</v>
      </c>
      <c r="AH7287" s="831" t="s">
        <v>152</v>
      </c>
      <c r="AI7287" s="831">
        <v>0</v>
      </c>
      <c r="AJ7287" s="835">
        <v>41364</v>
      </c>
      <c r="AK7287" s="831">
        <v>1554</v>
      </c>
    </row>
    <row r="7288" spans="2:37">
      <c r="B7288" s="834" t="str">
        <f t="shared" si="305"/>
        <v>|||</v>
      </c>
      <c r="H7288" s="835">
        <f t="shared" si="306"/>
        <v>31</v>
      </c>
      <c r="AF7288" s="831" t="s">
        <v>7947</v>
      </c>
      <c r="AG7288" s="831" t="s">
        <v>133</v>
      </c>
      <c r="AH7288" s="831" t="s">
        <v>12</v>
      </c>
      <c r="AI7288" s="831">
        <v>0</v>
      </c>
      <c r="AJ7288" s="835">
        <v>41364</v>
      </c>
      <c r="AK7288" s="831">
        <v>463</v>
      </c>
    </row>
    <row r="7289" spans="2:37">
      <c r="B7289" s="834" t="str">
        <f t="shared" si="305"/>
        <v>|||</v>
      </c>
      <c r="H7289" s="835">
        <f t="shared" si="306"/>
        <v>31</v>
      </c>
      <c r="AF7289" s="831" t="s">
        <v>7948</v>
      </c>
      <c r="AG7289" s="831" t="s">
        <v>133</v>
      </c>
      <c r="AH7289" s="831" t="s">
        <v>139</v>
      </c>
      <c r="AI7289" s="831">
        <v>0</v>
      </c>
      <c r="AJ7289" s="835">
        <v>41394</v>
      </c>
      <c r="AK7289" s="831">
        <v>126567</v>
      </c>
    </row>
    <row r="7290" spans="2:37">
      <c r="B7290" s="834" t="str">
        <f t="shared" si="305"/>
        <v>|||</v>
      </c>
      <c r="H7290" s="835">
        <f t="shared" si="306"/>
        <v>31</v>
      </c>
      <c r="AF7290" s="831" t="s">
        <v>7949</v>
      </c>
      <c r="AG7290" s="831" t="s">
        <v>133</v>
      </c>
      <c r="AH7290" s="831" t="s">
        <v>11</v>
      </c>
      <c r="AI7290" s="831">
        <v>0</v>
      </c>
      <c r="AJ7290" s="835">
        <v>41394</v>
      </c>
      <c r="AK7290" s="831">
        <v>132126</v>
      </c>
    </row>
    <row r="7291" spans="2:37">
      <c r="B7291" s="834" t="str">
        <f t="shared" si="305"/>
        <v>|||</v>
      </c>
      <c r="H7291" s="835">
        <f t="shared" si="306"/>
        <v>31</v>
      </c>
      <c r="AF7291" s="831" t="s">
        <v>7950</v>
      </c>
      <c r="AG7291" s="831" t="s">
        <v>133</v>
      </c>
      <c r="AH7291" s="831" t="s">
        <v>144</v>
      </c>
      <c r="AI7291" s="831">
        <v>0</v>
      </c>
      <c r="AJ7291" s="835">
        <v>41394</v>
      </c>
      <c r="AK7291" s="831">
        <v>135969</v>
      </c>
    </row>
    <row r="7292" spans="2:37">
      <c r="B7292" s="834" t="str">
        <f t="shared" si="305"/>
        <v>|||</v>
      </c>
      <c r="H7292" s="835">
        <f t="shared" si="306"/>
        <v>31</v>
      </c>
      <c r="AF7292" s="831" t="s">
        <v>7951</v>
      </c>
      <c r="AG7292" s="831" t="s">
        <v>133</v>
      </c>
      <c r="AH7292" s="831" t="s">
        <v>148</v>
      </c>
      <c r="AI7292" s="831">
        <v>0</v>
      </c>
      <c r="AJ7292" s="835">
        <v>41394</v>
      </c>
      <c r="AK7292" s="831">
        <v>37</v>
      </c>
    </row>
    <row r="7293" spans="2:37">
      <c r="B7293" s="834" t="str">
        <f t="shared" si="305"/>
        <v>|||</v>
      </c>
      <c r="H7293" s="835">
        <f t="shared" si="306"/>
        <v>31</v>
      </c>
      <c r="AF7293" s="831" t="s">
        <v>7952</v>
      </c>
      <c r="AG7293" s="831" t="s">
        <v>133</v>
      </c>
      <c r="AH7293" s="831" t="s">
        <v>152</v>
      </c>
      <c r="AI7293" s="831">
        <v>0</v>
      </c>
      <c r="AJ7293" s="835">
        <v>41394</v>
      </c>
      <c r="AK7293" s="831">
        <v>1565</v>
      </c>
    </row>
    <row r="7294" spans="2:37">
      <c r="B7294" s="834" t="str">
        <f t="shared" si="305"/>
        <v>|||</v>
      </c>
      <c r="H7294" s="835">
        <f t="shared" si="306"/>
        <v>31</v>
      </c>
      <c r="AF7294" s="831" t="s">
        <v>7953</v>
      </c>
      <c r="AG7294" s="831" t="s">
        <v>133</v>
      </c>
      <c r="AH7294" s="831" t="s">
        <v>12</v>
      </c>
      <c r="AI7294" s="831">
        <v>0</v>
      </c>
      <c r="AJ7294" s="835">
        <v>41394</v>
      </c>
      <c r="AK7294" s="831">
        <v>467</v>
      </c>
    </row>
    <row r="7295" spans="2:37">
      <c r="B7295" s="834" t="str">
        <f t="shared" si="305"/>
        <v>|||</v>
      </c>
      <c r="H7295" s="835">
        <f t="shared" si="306"/>
        <v>31</v>
      </c>
      <c r="AF7295" s="831" t="s">
        <v>7954</v>
      </c>
      <c r="AG7295" s="831" t="s">
        <v>133</v>
      </c>
      <c r="AH7295" s="831" t="s">
        <v>139</v>
      </c>
      <c r="AI7295" s="831">
        <v>0</v>
      </c>
      <c r="AJ7295" s="835">
        <v>41425</v>
      </c>
      <c r="AK7295" s="831">
        <v>127536</v>
      </c>
    </row>
    <row r="7296" spans="2:37">
      <c r="B7296" s="834" t="str">
        <f t="shared" si="305"/>
        <v>|||</v>
      </c>
      <c r="H7296" s="835">
        <f t="shared" si="306"/>
        <v>31</v>
      </c>
      <c r="AF7296" s="831" t="s">
        <v>7955</v>
      </c>
      <c r="AG7296" s="831" t="s">
        <v>133</v>
      </c>
      <c r="AH7296" s="831" t="s">
        <v>11</v>
      </c>
      <c r="AI7296" s="831">
        <v>0</v>
      </c>
      <c r="AJ7296" s="835">
        <v>41425</v>
      </c>
      <c r="AK7296" s="831">
        <v>135204</v>
      </c>
    </row>
    <row r="7297" spans="2:37">
      <c r="B7297" s="834" t="str">
        <f t="shared" si="305"/>
        <v>|||</v>
      </c>
      <c r="H7297" s="835">
        <f t="shared" si="306"/>
        <v>31</v>
      </c>
      <c r="AF7297" s="831" t="s">
        <v>7956</v>
      </c>
      <c r="AG7297" s="831" t="s">
        <v>133</v>
      </c>
      <c r="AH7297" s="831" t="s">
        <v>144</v>
      </c>
      <c r="AI7297" s="831">
        <v>0</v>
      </c>
      <c r="AJ7297" s="835">
        <v>41425</v>
      </c>
      <c r="AK7297" s="831">
        <v>139930</v>
      </c>
    </row>
    <row r="7298" spans="2:37">
      <c r="B7298" s="834" t="str">
        <f t="shared" si="305"/>
        <v>|||</v>
      </c>
      <c r="H7298" s="835">
        <f t="shared" si="306"/>
        <v>31</v>
      </c>
      <c r="AF7298" s="831" t="s">
        <v>7957</v>
      </c>
      <c r="AG7298" s="831" t="s">
        <v>133</v>
      </c>
      <c r="AH7298" s="831" t="s">
        <v>148</v>
      </c>
      <c r="AI7298" s="831">
        <v>0</v>
      </c>
      <c r="AJ7298" s="835">
        <v>41425</v>
      </c>
      <c r="AK7298" s="831">
        <v>37</v>
      </c>
    </row>
    <row r="7299" spans="2:37">
      <c r="B7299" s="834" t="str">
        <f t="shared" ref="B7299:B7362" si="307">C7299&amp;"|"&amp;D7299&amp;"|"&amp;E7299&amp;"|"&amp;F7299</f>
        <v>|||</v>
      </c>
      <c r="H7299" s="835">
        <f t="shared" si="306"/>
        <v>31</v>
      </c>
      <c r="AF7299" s="831" t="s">
        <v>7958</v>
      </c>
      <c r="AG7299" s="831" t="s">
        <v>133</v>
      </c>
      <c r="AH7299" s="831" t="s">
        <v>152</v>
      </c>
      <c r="AI7299" s="831">
        <v>0</v>
      </c>
      <c r="AJ7299" s="835">
        <v>41425</v>
      </c>
      <c r="AK7299" s="831">
        <v>1595</v>
      </c>
    </row>
    <row r="7300" spans="2:37">
      <c r="B7300" s="834" t="str">
        <f t="shared" si="307"/>
        <v>|||</v>
      </c>
      <c r="H7300" s="835">
        <f t="shared" ref="H7300:H7363" si="308">EOMONTH(L7300,0)</f>
        <v>31</v>
      </c>
      <c r="AF7300" s="831" t="s">
        <v>7959</v>
      </c>
      <c r="AG7300" s="831" t="s">
        <v>133</v>
      </c>
      <c r="AH7300" s="831" t="s">
        <v>12</v>
      </c>
      <c r="AI7300" s="831">
        <v>0</v>
      </c>
      <c r="AJ7300" s="835">
        <v>41425</v>
      </c>
      <c r="AK7300" s="831">
        <v>478</v>
      </c>
    </row>
    <row r="7301" spans="2:37">
      <c r="B7301" s="834" t="str">
        <f t="shared" si="307"/>
        <v>|||</v>
      </c>
      <c r="H7301" s="835">
        <f t="shared" si="308"/>
        <v>31</v>
      </c>
      <c r="AF7301" s="831" t="s">
        <v>7960</v>
      </c>
      <c r="AG7301" s="831" t="s">
        <v>133</v>
      </c>
      <c r="AH7301" s="831" t="s">
        <v>139</v>
      </c>
      <c r="AI7301" s="831">
        <v>0</v>
      </c>
      <c r="AJ7301" s="835">
        <v>41455</v>
      </c>
      <c r="AK7301" s="831">
        <v>128383</v>
      </c>
    </row>
    <row r="7302" spans="2:37">
      <c r="B7302" s="834" t="str">
        <f t="shared" si="307"/>
        <v>|||</v>
      </c>
      <c r="H7302" s="835">
        <f t="shared" si="308"/>
        <v>31</v>
      </c>
      <c r="AF7302" s="831" t="s">
        <v>7961</v>
      </c>
      <c r="AG7302" s="831" t="s">
        <v>133</v>
      </c>
      <c r="AH7302" s="831" t="s">
        <v>11</v>
      </c>
      <c r="AI7302" s="831">
        <v>0</v>
      </c>
      <c r="AJ7302" s="835">
        <v>41455</v>
      </c>
      <c r="AK7302" s="831">
        <v>136633</v>
      </c>
    </row>
    <row r="7303" spans="2:37">
      <c r="B7303" s="834" t="str">
        <f t="shared" si="307"/>
        <v>|||</v>
      </c>
      <c r="H7303" s="835">
        <f t="shared" si="308"/>
        <v>31</v>
      </c>
      <c r="AF7303" s="831" t="s">
        <v>7962</v>
      </c>
      <c r="AG7303" s="831" t="s">
        <v>133</v>
      </c>
      <c r="AH7303" s="831" t="s">
        <v>144</v>
      </c>
      <c r="AI7303" s="831">
        <v>0</v>
      </c>
      <c r="AJ7303" s="835">
        <v>41455</v>
      </c>
      <c r="AK7303" s="831">
        <v>142092</v>
      </c>
    </row>
    <row r="7304" spans="2:37">
      <c r="B7304" s="834" t="str">
        <f t="shared" si="307"/>
        <v>|||</v>
      </c>
      <c r="H7304" s="835">
        <f t="shared" si="308"/>
        <v>31</v>
      </c>
      <c r="AF7304" s="831" t="s">
        <v>7963</v>
      </c>
      <c r="AG7304" s="831" t="s">
        <v>133</v>
      </c>
      <c r="AH7304" s="831" t="s">
        <v>148</v>
      </c>
      <c r="AI7304" s="831">
        <v>0</v>
      </c>
      <c r="AJ7304" s="835">
        <v>41455</v>
      </c>
      <c r="AK7304" s="831">
        <v>37</v>
      </c>
    </row>
    <row r="7305" spans="2:37">
      <c r="B7305" s="834" t="str">
        <f t="shared" si="307"/>
        <v>|||</v>
      </c>
      <c r="H7305" s="835">
        <f t="shared" si="308"/>
        <v>31</v>
      </c>
      <c r="AF7305" s="831" t="s">
        <v>7964</v>
      </c>
      <c r="AG7305" s="831" t="s">
        <v>133</v>
      </c>
      <c r="AH7305" s="831" t="s">
        <v>152</v>
      </c>
      <c r="AI7305" s="831">
        <v>0</v>
      </c>
      <c r="AJ7305" s="835">
        <v>41455</v>
      </c>
      <c r="AK7305" s="831">
        <v>1630</v>
      </c>
    </row>
    <row r="7306" spans="2:37">
      <c r="B7306" s="834" t="str">
        <f t="shared" si="307"/>
        <v>|||</v>
      </c>
      <c r="H7306" s="835">
        <f t="shared" si="308"/>
        <v>31</v>
      </c>
      <c r="AF7306" s="831" t="s">
        <v>7965</v>
      </c>
      <c r="AG7306" s="831" t="s">
        <v>133</v>
      </c>
      <c r="AH7306" s="831" t="s">
        <v>12</v>
      </c>
      <c r="AI7306" s="831">
        <v>0</v>
      </c>
      <c r="AJ7306" s="835">
        <v>41455</v>
      </c>
      <c r="AK7306" s="831">
        <v>473</v>
      </c>
    </row>
    <row r="7307" spans="2:37">
      <c r="B7307" s="834" t="str">
        <f t="shared" si="307"/>
        <v>|||</v>
      </c>
      <c r="H7307" s="835">
        <f t="shared" si="308"/>
        <v>31</v>
      </c>
      <c r="AF7307" s="831" t="s">
        <v>7966</v>
      </c>
      <c r="AG7307" s="831" t="s">
        <v>133</v>
      </c>
      <c r="AH7307" s="831" t="s">
        <v>139</v>
      </c>
      <c r="AI7307" s="831">
        <v>0</v>
      </c>
      <c r="AJ7307" s="835">
        <v>41486</v>
      </c>
      <c r="AK7307" s="831">
        <v>129341</v>
      </c>
    </row>
    <row r="7308" spans="2:37">
      <c r="B7308" s="834" t="str">
        <f t="shared" si="307"/>
        <v>|||</v>
      </c>
      <c r="H7308" s="835">
        <f t="shared" si="308"/>
        <v>31</v>
      </c>
      <c r="AF7308" s="831" t="s">
        <v>7967</v>
      </c>
      <c r="AG7308" s="831" t="s">
        <v>133</v>
      </c>
      <c r="AH7308" s="831" t="s">
        <v>11</v>
      </c>
      <c r="AI7308" s="831">
        <v>0</v>
      </c>
      <c r="AJ7308" s="835">
        <v>41486</v>
      </c>
      <c r="AK7308" s="831">
        <v>138057</v>
      </c>
    </row>
    <row r="7309" spans="2:37">
      <c r="B7309" s="834" t="str">
        <f t="shared" si="307"/>
        <v>|||</v>
      </c>
      <c r="H7309" s="835">
        <f t="shared" si="308"/>
        <v>31</v>
      </c>
      <c r="AF7309" s="831" t="s">
        <v>7968</v>
      </c>
      <c r="AG7309" s="831" t="s">
        <v>133</v>
      </c>
      <c r="AH7309" s="831" t="s">
        <v>144</v>
      </c>
      <c r="AI7309" s="831">
        <v>0</v>
      </c>
      <c r="AJ7309" s="835">
        <v>41486</v>
      </c>
      <c r="AK7309" s="831">
        <v>145518</v>
      </c>
    </row>
    <row r="7310" spans="2:37">
      <c r="B7310" s="834" t="str">
        <f t="shared" si="307"/>
        <v>|||</v>
      </c>
      <c r="H7310" s="835">
        <f t="shared" si="308"/>
        <v>31</v>
      </c>
      <c r="AF7310" s="831" t="s">
        <v>7969</v>
      </c>
      <c r="AG7310" s="831" t="s">
        <v>133</v>
      </c>
      <c r="AH7310" s="831" t="s">
        <v>148</v>
      </c>
      <c r="AI7310" s="831">
        <v>0</v>
      </c>
      <c r="AJ7310" s="835">
        <v>41486</v>
      </c>
      <c r="AK7310" s="831">
        <v>37</v>
      </c>
    </row>
    <row r="7311" spans="2:37">
      <c r="B7311" s="834" t="str">
        <f t="shared" si="307"/>
        <v>|||</v>
      </c>
      <c r="H7311" s="835">
        <f t="shared" si="308"/>
        <v>31</v>
      </c>
      <c r="AF7311" s="831" t="s">
        <v>7970</v>
      </c>
      <c r="AG7311" s="831" t="s">
        <v>133</v>
      </c>
      <c r="AH7311" s="831" t="s">
        <v>152</v>
      </c>
      <c r="AI7311" s="831">
        <v>0</v>
      </c>
      <c r="AJ7311" s="835">
        <v>41486</v>
      </c>
      <c r="AK7311" s="831">
        <v>1682</v>
      </c>
    </row>
    <row r="7312" spans="2:37">
      <c r="B7312" s="834" t="str">
        <f t="shared" si="307"/>
        <v>|||</v>
      </c>
      <c r="H7312" s="835">
        <f t="shared" si="308"/>
        <v>31</v>
      </c>
      <c r="AF7312" s="831" t="s">
        <v>7971</v>
      </c>
      <c r="AG7312" s="831" t="s">
        <v>133</v>
      </c>
      <c r="AH7312" s="831" t="s">
        <v>12</v>
      </c>
      <c r="AI7312" s="831">
        <v>0</v>
      </c>
      <c r="AJ7312" s="835">
        <v>41486</v>
      </c>
      <c r="AK7312" s="831">
        <v>475</v>
      </c>
    </row>
    <row r="7313" spans="2:37">
      <c r="B7313" s="834" t="str">
        <f t="shared" si="307"/>
        <v>|||</v>
      </c>
      <c r="H7313" s="835">
        <f t="shared" si="308"/>
        <v>31</v>
      </c>
      <c r="AF7313" s="831" t="s">
        <v>7972</v>
      </c>
      <c r="AG7313" s="831" t="s">
        <v>133</v>
      </c>
      <c r="AH7313" s="831" t="s">
        <v>139</v>
      </c>
      <c r="AI7313" s="831">
        <v>0</v>
      </c>
      <c r="AJ7313" s="835">
        <v>41517</v>
      </c>
      <c r="AK7313" s="831">
        <v>130307</v>
      </c>
    </row>
    <row r="7314" spans="2:37">
      <c r="B7314" s="834" t="str">
        <f t="shared" si="307"/>
        <v>|||</v>
      </c>
      <c r="H7314" s="835">
        <f t="shared" si="308"/>
        <v>31</v>
      </c>
      <c r="AF7314" s="831" t="s">
        <v>7973</v>
      </c>
      <c r="AG7314" s="831" t="s">
        <v>133</v>
      </c>
      <c r="AH7314" s="831" t="s">
        <v>11</v>
      </c>
      <c r="AI7314" s="831">
        <v>0</v>
      </c>
      <c r="AJ7314" s="835">
        <v>41517</v>
      </c>
      <c r="AK7314" s="831">
        <v>139614</v>
      </c>
    </row>
    <row r="7315" spans="2:37">
      <c r="B7315" s="834" t="str">
        <f t="shared" si="307"/>
        <v>|||</v>
      </c>
      <c r="H7315" s="835">
        <f t="shared" si="308"/>
        <v>31</v>
      </c>
      <c r="AF7315" s="831" t="s">
        <v>7974</v>
      </c>
      <c r="AG7315" s="831" t="s">
        <v>133</v>
      </c>
      <c r="AH7315" s="831" t="s">
        <v>144</v>
      </c>
      <c r="AI7315" s="831">
        <v>0</v>
      </c>
      <c r="AJ7315" s="835">
        <v>41517</v>
      </c>
      <c r="AK7315" s="831">
        <v>147732</v>
      </c>
    </row>
    <row r="7316" spans="2:37">
      <c r="B7316" s="834" t="str">
        <f t="shared" si="307"/>
        <v>|||</v>
      </c>
      <c r="H7316" s="835">
        <f t="shared" si="308"/>
        <v>31</v>
      </c>
      <c r="AF7316" s="831" t="s">
        <v>7975</v>
      </c>
      <c r="AG7316" s="831" t="s">
        <v>133</v>
      </c>
      <c r="AH7316" s="831" t="s">
        <v>148</v>
      </c>
      <c r="AI7316" s="831">
        <v>0</v>
      </c>
      <c r="AJ7316" s="835">
        <v>41517</v>
      </c>
      <c r="AK7316" s="831">
        <v>37</v>
      </c>
    </row>
    <row r="7317" spans="2:37">
      <c r="B7317" s="834" t="str">
        <f t="shared" si="307"/>
        <v>|||</v>
      </c>
      <c r="H7317" s="835">
        <f t="shared" si="308"/>
        <v>31</v>
      </c>
      <c r="AF7317" s="831" t="s">
        <v>7976</v>
      </c>
      <c r="AG7317" s="831" t="s">
        <v>133</v>
      </c>
      <c r="AH7317" s="831" t="s">
        <v>152</v>
      </c>
      <c r="AI7317" s="831">
        <v>0</v>
      </c>
      <c r="AJ7317" s="835">
        <v>41517</v>
      </c>
      <c r="AK7317" s="831">
        <v>1718</v>
      </c>
    </row>
    <row r="7318" spans="2:37">
      <c r="B7318" s="834" t="str">
        <f t="shared" si="307"/>
        <v>|||</v>
      </c>
      <c r="H7318" s="835">
        <f t="shared" si="308"/>
        <v>31</v>
      </c>
      <c r="AF7318" s="831" t="s">
        <v>7977</v>
      </c>
      <c r="AG7318" s="831" t="s">
        <v>133</v>
      </c>
      <c r="AH7318" s="831" t="s">
        <v>12</v>
      </c>
      <c r="AI7318" s="831">
        <v>0</v>
      </c>
      <c r="AJ7318" s="835">
        <v>41517</v>
      </c>
      <c r="AK7318" s="831">
        <v>508</v>
      </c>
    </row>
    <row r="7319" spans="2:37">
      <c r="B7319" s="834" t="str">
        <f t="shared" si="307"/>
        <v>|||</v>
      </c>
      <c r="H7319" s="835">
        <f t="shared" si="308"/>
        <v>31</v>
      </c>
      <c r="AF7319" s="831" t="s">
        <v>7978</v>
      </c>
      <c r="AG7319" s="831" t="s">
        <v>133</v>
      </c>
      <c r="AH7319" s="831" t="s">
        <v>139</v>
      </c>
      <c r="AI7319" s="831">
        <v>0</v>
      </c>
      <c r="AJ7319" s="835">
        <v>41547</v>
      </c>
      <c r="AK7319" s="831">
        <v>131603</v>
      </c>
    </row>
    <row r="7320" spans="2:37">
      <c r="B7320" s="834" t="str">
        <f t="shared" si="307"/>
        <v>|||</v>
      </c>
      <c r="H7320" s="835">
        <f t="shared" si="308"/>
        <v>31</v>
      </c>
      <c r="AF7320" s="831" t="s">
        <v>7979</v>
      </c>
      <c r="AG7320" s="831" t="s">
        <v>133</v>
      </c>
      <c r="AH7320" s="831" t="s">
        <v>11</v>
      </c>
      <c r="AI7320" s="831">
        <v>0</v>
      </c>
      <c r="AJ7320" s="835">
        <v>41547</v>
      </c>
      <c r="AK7320" s="831">
        <v>141558</v>
      </c>
    </row>
    <row r="7321" spans="2:37">
      <c r="B7321" s="834" t="str">
        <f t="shared" si="307"/>
        <v>|||</v>
      </c>
      <c r="H7321" s="835">
        <f t="shared" si="308"/>
        <v>31</v>
      </c>
      <c r="AF7321" s="831" t="s">
        <v>7980</v>
      </c>
      <c r="AG7321" s="831" t="s">
        <v>133</v>
      </c>
      <c r="AH7321" s="831" t="s">
        <v>144</v>
      </c>
      <c r="AI7321" s="831">
        <v>0</v>
      </c>
      <c r="AJ7321" s="835">
        <v>41547</v>
      </c>
      <c r="AK7321" s="831">
        <v>150480</v>
      </c>
    </row>
    <row r="7322" spans="2:37">
      <c r="B7322" s="834" t="str">
        <f t="shared" si="307"/>
        <v>|||</v>
      </c>
      <c r="H7322" s="835">
        <f t="shared" si="308"/>
        <v>31</v>
      </c>
      <c r="AF7322" s="831" t="s">
        <v>7981</v>
      </c>
      <c r="AG7322" s="831" t="s">
        <v>133</v>
      </c>
      <c r="AH7322" s="831" t="s">
        <v>148</v>
      </c>
      <c r="AI7322" s="831">
        <v>0</v>
      </c>
      <c r="AJ7322" s="835">
        <v>41547</v>
      </c>
      <c r="AK7322" s="831">
        <v>37</v>
      </c>
    </row>
    <row r="7323" spans="2:37">
      <c r="B7323" s="834" t="str">
        <f t="shared" si="307"/>
        <v>|||</v>
      </c>
      <c r="H7323" s="835">
        <f t="shared" si="308"/>
        <v>31</v>
      </c>
      <c r="AF7323" s="831" t="s">
        <v>7982</v>
      </c>
      <c r="AG7323" s="831" t="s">
        <v>133</v>
      </c>
      <c r="AH7323" s="831" t="s">
        <v>152</v>
      </c>
      <c r="AI7323" s="831">
        <v>0</v>
      </c>
      <c r="AJ7323" s="835">
        <v>41547</v>
      </c>
      <c r="AK7323" s="831">
        <v>1758</v>
      </c>
    </row>
    <row r="7324" spans="2:37">
      <c r="B7324" s="834" t="str">
        <f t="shared" si="307"/>
        <v>|||</v>
      </c>
      <c r="H7324" s="835">
        <f t="shared" si="308"/>
        <v>31</v>
      </c>
      <c r="AF7324" s="831" t="s">
        <v>7983</v>
      </c>
      <c r="AG7324" s="831" t="s">
        <v>133</v>
      </c>
      <c r="AH7324" s="831" t="s">
        <v>12</v>
      </c>
      <c r="AI7324" s="831">
        <v>0</v>
      </c>
      <c r="AJ7324" s="835">
        <v>41547</v>
      </c>
      <c r="AK7324" s="831">
        <v>526</v>
      </c>
    </row>
    <row r="7325" spans="2:37">
      <c r="B7325" s="834" t="str">
        <f t="shared" si="307"/>
        <v>|||</v>
      </c>
      <c r="H7325" s="835">
        <f t="shared" si="308"/>
        <v>31</v>
      </c>
      <c r="AF7325" s="831" t="s">
        <v>7984</v>
      </c>
      <c r="AG7325" s="831" t="s">
        <v>133</v>
      </c>
      <c r="AH7325" s="831" t="s">
        <v>139</v>
      </c>
      <c r="AI7325" s="831">
        <v>0</v>
      </c>
      <c r="AJ7325" s="835">
        <v>41578</v>
      </c>
      <c r="AK7325" s="831">
        <v>142920</v>
      </c>
    </row>
    <row r="7326" spans="2:37">
      <c r="B7326" s="834" t="str">
        <f t="shared" si="307"/>
        <v>|||</v>
      </c>
      <c r="H7326" s="835">
        <f t="shared" si="308"/>
        <v>31</v>
      </c>
      <c r="AF7326" s="831" t="s">
        <v>7985</v>
      </c>
      <c r="AG7326" s="831" t="s">
        <v>133</v>
      </c>
      <c r="AH7326" s="831" t="s">
        <v>11</v>
      </c>
      <c r="AI7326" s="831">
        <v>0</v>
      </c>
      <c r="AJ7326" s="835">
        <v>41578</v>
      </c>
      <c r="AK7326" s="831">
        <v>143295</v>
      </c>
    </row>
    <row r="7327" spans="2:37">
      <c r="B7327" s="834" t="str">
        <f t="shared" si="307"/>
        <v>|||</v>
      </c>
      <c r="H7327" s="835">
        <f t="shared" si="308"/>
        <v>31</v>
      </c>
      <c r="AF7327" s="831" t="s">
        <v>7986</v>
      </c>
      <c r="AG7327" s="831" t="s">
        <v>133</v>
      </c>
      <c r="AH7327" s="831" t="s">
        <v>144</v>
      </c>
      <c r="AI7327" s="831">
        <v>0</v>
      </c>
      <c r="AJ7327" s="835">
        <v>41578</v>
      </c>
      <c r="AK7327" s="831">
        <v>153100</v>
      </c>
    </row>
    <row r="7328" spans="2:37">
      <c r="B7328" s="834" t="str">
        <f t="shared" si="307"/>
        <v>|||</v>
      </c>
      <c r="H7328" s="835">
        <f t="shared" si="308"/>
        <v>31</v>
      </c>
      <c r="AF7328" s="831" t="s">
        <v>7987</v>
      </c>
      <c r="AG7328" s="831" t="s">
        <v>133</v>
      </c>
      <c r="AH7328" s="831" t="s">
        <v>148</v>
      </c>
      <c r="AI7328" s="831">
        <v>0</v>
      </c>
      <c r="AJ7328" s="835">
        <v>41578</v>
      </c>
      <c r="AK7328" s="831">
        <v>37</v>
      </c>
    </row>
    <row r="7329" spans="2:37">
      <c r="B7329" s="834" t="str">
        <f t="shared" si="307"/>
        <v>|||</v>
      </c>
      <c r="H7329" s="835">
        <f t="shared" si="308"/>
        <v>31</v>
      </c>
      <c r="AF7329" s="831" t="s">
        <v>7988</v>
      </c>
      <c r="AG7329" s="831" t="s">
        <v>133</v>
      </c>
      <c r="AH7329" s="831" t="s">
        <v>152</v>
      </c>
      <c r="AI7329" s="831">
        <v>0</v>
      </c>
      <c r="AJ7329" s="835">
        <v>41578</v>
      </c>
      <c r="AK7329" s="831">
        <v>1773</v>
      </c>
    </row>
    <row r="7330" spans="2:37">
      <c r="B7330" s="834" t="str">
        <f t="shared" si="307"/>
        <v>|||</v>
      </c>
      <c r="H7330" s="835">
        <f t="shared" si="308"/>
        <v>31</v>
      </c>
      <c r="AF7330" s="831" t="s">
        <v>7989</v>
      </c>
      <c r="AG7330" s="831" t="s">
        <v>133</v>
      </c>
      <c r="AH7330" s="831" t="s">
        <v>12</v>
      </c>
      <c r="AI7330" s="831">
        <v>0</v>
      </c>
      <c r="AJ7330" s="835">
        <v>41578</v>
      </c>
      <c r="AK7330" s="831">
        <v>556</v>
      </c>
    </row>
    <row r="7331" spans="2:37">
      <c r="B7331" s="834" t="str">
        <f t="shared" si="307"/>
        <v>|||</v>
      </c>
      <c r="H7331" s="835">
        <f t="shared" si="308"/>
        <v>31</v>
      </c>
      <c r="AF7331" s="831" t="s">
        <v>7990</v>
      </c>
      <c r="AG7331" s="831" t="s">
        <v>133</v>
      </c>
      <c r="AH7331" s="831" t="s">
        <v>139</v>
      </c>
      <c r="AI7331" s="831">
        <v>0</v>
      </c>
      <c r="AJ7331" s="835">
        <v>41608</v>
      </c>
      <c r="AK7331" s="831">
        <v>153636</v>
      </c>
    </row>
    <row r="7332" spans="2:37">
      <c r="B7332" s="834" t="str">
        <f t="shared" si="307"/>
        <v>|||</v>
      </c>
      <c r="H7332" s="835">
        <f t="shared" si="308"/>
        <v>31</v>
      </c>
      <c r="AF7332" s="831" t="s">
        <v>7991</v>
      </c>
      <c r="AG7332" s="831" t="s">
        <v>133</v>
      </c>
      <c r="AH7332" s="831" t="s">
        <v>11</v>
      </c>
      <c r="AI7332" s="831">
        <v>0</v>
      </c>
      <c r="AJ7332" s="835">
        <v>41608</v>
      </c>
      <c r="AK7332" s="831">
        <v>145224</v>
      </c>
    </row>
    <row r="7333" spans="2:37">
      <c r="B7333" s="834" t="str">
        <f t="shared" si="307"/>
        <v>|||</v>
      </c>
      <c r="H7333" s="835">
        <f t="shared" si="308"/>
        <v>31</v>
      </c>
      <c r="AF7333" s="831" t="s">
        <v>7992</v>
      </c>
      <c r="AG7333" s="831" t="s">
        <v>133</v>
      </c>
      <c r="AH7333" s="831" t="s">
        <v>144</v>
      </c>
      <c r="AI7333" s="831">
        <v>0</v>
      </c>
      <c r="AJ7333" s="835">
        <v>41608</v>
      </c>
      <c r="AK7333" s="831">
        <v>155996</v>
      </c>
    </row>
    <row r="7334" spans="2:37">
      <c r="B7334" s="834" t="str">
        <f t="shared" si="307"/>
        <v>|||</v>
      </c>
      <c r="H7334" s="835">
        <f t="shared" si="308"/>
        <v>31</v>
      </c>
      <c r="AF7334" s="831" t="s">
        <v>7993</v>
      </c>
      <c r="AG7334" s="831" t="s">
        <v>133</v>
      </c>
      <c r="AH7334" s="831" t="s">
        <v>148</v>
      </c>
      <c r="AI7334" s="831">
        <v>0</v>
      </c>
      <c r="AJ7334" s="835">
        <v>41608</v>
      </c>
      <c r="AK7334" s="831">
        <v>37</v>
      </c>
    </row>
    <row r="7335" spans="2:37">
      <c r="B7335" s="834" t="str">
        <f t="shared" si="307"/>
        <v>|||</v>
      </c>
      <c r="H7335" s="835">
        <f t="shared" si="308"/>
        <v>31</v>
      </c>
      <c r="AF7335" s="831" t="s">
        <v>7994</v>
      </c>
      <c r="AG7335" s="831" t="s">
        <v>133</v>
      </c>
      <c r="AH7335" s="831" t="s">
        <v>152</v>
      </c>
      <c r="AI7335" s="831">
        <v>0</v>
      </c>
      <c r="AJ7335" s="835">
        <v>41608</v>
      </c>
      <c r="AK7335" s="831">
        <v>1824</v>
      </c>
    </row>
    <row r="7336" spans="2:37">
      <c r="B7336" s="834" t="str">
        <f t="shared" si="307"/>
        <v>|||</v>
      </c>
      <c r="H7336" s="835">
        <f t="shared" si="308"/>
        <v>31</v>
      </c>
      <c r="AF7336" s="831" t="s">
        <v>7995</v>
      </c>
      <c r="AG7336" s="831" t="s">
        <v>133</v>
      </c>
      <c r="AH7336" s="831" t="s">
        <v>12</v>
      </c>
      <c r="AI7336" s="831">
        <v>0</v>
      </c>
      <c r="AJ7336" s="835">
        <v>41608</v>
      </c>
      <c r="AK7336" s="831">
        <v>565</v>
      </c>
    </row>
    <row r="7337" spans="2:37">
      <c r="B7337" s="834" t="str">
        <f t="shared" si="307"/>
        <v>|||</v>
      </c>
      <c r="H7337" s="835">
        <f t="shared" si="308"/>
        <v>31</v>
      </c>
      <c r="AF7337" s="831" t="s">
        <v>7996</v>
      </c>
      <c r="AG7337" s="831" t="s">
        <v>133</v>
      </c>
      <c r="AH7337" s="831" t="s">
        <v>139</v>
      </c>
      <c r="AI7337" s="831">
        <v>0</v>
      </c>
      <c r="AJ7337" s="835">
        <v>41639</v>
      </c>
      <c r="AK7337" s="831">
        <v>166417</v>
      </c>
    </row>
    <row r="7338" spans="2:37">
      <c r="B7338" s="834" t="str">
        <f t="shared" si="307"/>
        <v>|||</v>
      </c>
      <c r="H7338" s="835">
        <f t="shared" si="308"/>
        <v>31</v>
      </c>
      <c r="AF7338" s="831" t="s">
        <v>7997</v>
      </c>
      <c r="AG7338" s="831" t="s">
        <v>133</v>
      </c>
      <c r="AH7338" s="831" t="s">
        <v>11</v>
      </c>
      <c r="AI7338" s="831">
        <v>0</v>
      </c>
      <c r="AJ7338" s="835">
        <v>41639</v>
      </c>
      <c r="AK7338" s="831">
        <v>147601</v>
      </c>
    </row>
    <row r="7339" spans="2:37">
      <c r="B7339" s="834" t="str">
        <f t="shared" si="307"/>
        <v>|||</v>
      </c>
      <c r="H7339" s="835">
        <f t="shared" si="308"/>
        <v>31</v>
      </c>
      <c r="AF7339" s="831" t="s">
        <v>7998</v>
      </c>
      <c r="AG7339" s="831" t="s">
        <v>133</v>
      </c>
      <c r="AH7339" s="831" t="s">
        <v>144</v>
      </c>
      <c r="AI7339" s="831">
        <v>0</v>
      </c>
      <c r="AJ7339" s="835">
        <v>41639</v>
      </c>
      <c r="AK7339" s="831">
        <v>160431</v>
      </c>
    </row>
    <row r="7340" spans="2:37">
      <c r="B7340" s="834" t="str">
        <f t="shared" si="307"/>
        <v>|||</v>
      </c>
      <c r="H7340" s="835">
        <f t="shared" si="308"/>
        <v>31</v>
      </c>
      <c r="AF7340" s="831" t="s">
        <v>7999</v>
      </c>
      <c r="AG7340" s="831" t="s">
        <v>133</v>
      </c>
      <c r="AH7340" s="831" t="s">
        <v>148</v>
      </c>
      <c r="AI7340" s="831">
        <v>0</v>
      </c>
      <c r="AJ7340" s="835">
        <v>41639</v>
      </c>
      <c r="AK7340" s="831">
        <v>41</v>
      </c>
    </row>
    <row r="7341" spans="2:37">
      <c r="B7341" s="834" t="str">
        <f t="shared" si="307"/>
        <v>|||</v>
      </c>
      <c r="H7341" s="835">
        <f t="shared" si="308"/>
        <v>31</v>
      </c>
      <c r="AF7341" s="831" t="s">
        <v>8000</v>
      </c>
      <c r="AG7341" s="831" t="s">
        <v>133</v>
      </c>
      <c r="AH7341" s="831" t="s">
        <v>152</v>
      </c>
      <c r="AI7341" s="831">
        <v>0</v>
      </c>
      <c r="AJ7341" s="835">
        <v>41639</v>
      </c>
      <c r="AK7341" s="831">
        <v>1859</v>
      </c>
    </row>
    <row r="7342" spans="2:37">
      <c r="B7342" s="834" t="str">
        <f t="shared" si="307"/>
        <v>|||</v>
      </c>
      <c r="H7342" s="835">
        <f t="shared" si="308"/>
        <v>31</v>
      </c>
      <c r="AF7342" s="831" t="s">
        <v>8001</v>
      </c>
      <c r="AG7342" s="831" t="s">
        <v>133</v>
      </c>
      <c r="AH7342" s="831" t="s">
        <v>12</v>
      </c>
      <c r="AI7342" s="831">
        <v>0</v>
      </c>
      <c r="AJ7342" s="835">
        <v>41639</v>
      </c>
      <c r="AK7342" s="831">
        <v>582</v>
      </c>
    </row>
    <row r="7343" spans="2:37">
      <c r="B7343" s="834" t="str">
        <f t="shared" si="307"/>
        <v>|||</v>
      </c>
      <c r="H7343" s="835">
        <f t="shared" si="308"/>
        <v>31</v>
      </c>
      <c r="AF7343" s="831" t="s">
        <v>8002</v>
      </c>
      <c r="AG7343" s="831" t="s">
        <v>2674</v>
      </c>
      <c r="AH7343" s="831" t="s">
        <v>546</v>
      </c>
      <c r="AI7343" s="831">
        <v>0</v>
      </c>
      <c r="AJ7343" s="835">
        <v>40574</v>
      </c>
      <c r="AK7343" s="831">
        <v>264292762</v>
      </c>
    </row>
    <row r="7344" spans="2:37">
      <c r="B7344" s="834" t="str">
        <f t="shared" si="307"/>
        <v>|||</v>
      </c>
      <c r="H7344" s="835">
        <f t="shared" si="308"/>
        <v>31</v>
      </c>
      <c r="AF7344" s="831" t="s">
        <v>8003</v>
      </c>
      <c r="AG7344" s="831" t="s">
        <v>2674</v>
      </c>
      <c r="AH7344" s="831" t="s">
        <v>370</v>
      </c>
      <c r="AI7344" s="831">
        <v>0</v>
      </c>
      <c r="AJ7344" s="835">
        <v>40574</v>
      </c>
      <c r="AK7344" s="831">
        <v>370198065</v>
      </c>
    </row>
    <row r="7345" spans="2:37">
      <c r="B7345" s="834" t="str">
        <f t="shared" si="307"/>
        <v>|||</v>
      </c>
      <c r="H7345" s="835">
        <f t="shared" si="308"/>
        <v>31</v>
      </c>
      <c r="AF7345" s="831" t="s">
        <v>8004</v>
      </c>
      <c r="AG7345" s="831" t="s">
        <v>2674</v>
      </c>
      <c r="AH7345" s="831" t="s">
        <v>126</v>
      </c>
      <c r="AI7345" s="831">
        <v>0</v>
      </c>
      <c r="AJ7345" s="835">
        <v>40574</v>
      </c>
      <c r="AK7345" s="831">
        <v>76907116</v>
      </c>
    </row>
    <row r="7346" spans="2:37">
      <c r="B7346" s="834" t="str">
        <f t="shared" si="307"/>
        <v>|||</v>
      </c>
      <c r="H7346" s="835">
        <f t="shared" si="308"/>
        <v>31</v>
      </c>
      <c r="AF7346" s="831" t="s">
        <v>8005</v>
      </c>
      <c r="AG7346" s="831" t="s">
        <v>2674</v>
      </c>
      <c r="AH7346" s="831" t="s">
        <v>268</v>
      </c>
      <c r="AI7346" s="831">
        <v>0</v>
      </c>
      <c r="AJ7346" s="835">
        <v>40574</v>
      </c>
      <c r="AK7346" s="831">
        <v>2054437</v>
      </c>
    </row>
    <row r="7347" spans="2:37">
      <c r="B7347" s="834" t="str">
        <f t="shared" si="307"/>
        <v>|||</v>
      </c>
      <c r="H7347" s="835">
        <f t="shared" si="308"/>
        <v>31</v>
      </c>
      <c r="AF7347" s="831" t="s">
        <v>8006</v>
      </c>
      <c r="AG7347" s="831" t="s">
        <v>2674</v>
      </c>
      <c r="AH7347" s="831" t="s">
        <v>547</v>
      </c>
      <c r="AI7347" s="831">
        <v>0</v>
      </c>
      <c r="AJ7347" s="835">
        <v>40574</v>
      </c>
      <c r="AK7347" s="831">
        <v>370198065</v>
      </c>
    </row>
    <row r="7348" spans="2:37">
      <c r="B7348" s="834" t="str">
        <f t="shared" si="307"/>
        <v>|||</v>
      </c>
      <c r="H7348" s="835">
        <f t="shared" si="308"/>
        <v>31</v>
      </c>
      <c r="AF7348" s="831" t="s">
        <v>8007</v>
      </c>
      <c r="AG7348" s="831" t="s">
        <v>2674</v>
      </c>
      <c r="AH7348" s="831" t="s">
        <v>548</v>
      </c>
      <c r="AI7348" s="831">
        <v>0</v>
      </c>
      <c r="AJ7348" s="835">
        <v>40574</v>
      </c>
      <c r="AK7348" s="831">
        <v>76907116</v>
      </c>
    </row>
    <row r="7349" spans="2:37">
      <c r="B7349" s="834" t="str">
        <f t="shared" si="307"/>
        <v>|||</v>
      </c>
      <c r="H7349" s="835">
        <f t="shared" si="308"/>
        <v>31</v>
      </c>
      <c r="AF7349" s="831" t="s">
        <v>8008</v>
      </c>
      <c r="AG7349" s="831" t="s">
        <v>2674</v>
      </c>
      <c r="AH7349" s="831" t="s">
        <v>549</v>
      </c>
      <c r="AI7349" s="831">
        <v>0</v>
      </c>
      <c r="AJ7349" s="835">
        <v>40574</v>
      </c>
      <c r="AK7349" s="831">
        <v>0</v>
      </c>
    </row>
    <row r="7350" spans="2:37">
      <c r="B7350" s="834" t="str">
        <f t="shared" si="307"/>
        <v>|||</v>
      </c>
      <c r="H7350" s="835">
        <f t="shared" si="308"/>
        <v>31</v>
      </c>
      <c r="AF7350" s="831" t="s">
        <v>8009</v>
      </c>
      <c r="AG7350" s="831" t="s">
        <v>2674</v>
      </c>
      <c r="AH7350" s="831" t="s">
        <v>192</v>
      </c>
      <c r="AI7350" s="831">
        <v>0</v>
      </c>
      <c r="AJ7350" s="835">
        <v>40574</v>
      </c>
      <c r="AK7350" s="831">
        <v>-7801104</v>
      </c>
    </row>
    <row r="7351" spans="2:37">
      <c r="B7351" s="834" t="str">
        <f t="shared" si="307"/>
        <v>|||</v>
      </c>
      <c r="H7351" s="835">
        <f t="shared" si="308"/>
        <v>31</v>
      </c>
      <c r="AF7351" s="831" t="s">
        <v>8010</v>
      </c>
      <c r="AG7351" s="831" t="s">
        <v>2674</v>
      </c>
      <c r="AH7351" s="831" t="s">
        <v>558</v>
      </c>
      <c r="AI7351" s="831">
        <v>0</v>
      </c>
      <c r="AJ7351" s="835">
        <v>40574</v>
      </c>
      <c r="AK7351" s="831">
        <v>293290949</v>
      </c>
    </row>
    <row r="7352" spans="2:37">
      <c r="B7352" s="834" t="str">
        <f t="shared" si="307"/>
        <v>|||</v>
      </c>
      <c r="H7352" s="835">
        <f t="shared" si="308"/>
        <v>31</v>
      </c>
      <c r="AF7352" s="831" t="s">
        <v>8011</v>
      </c>
      <c r="AG7352" s="831" t="s">
        <v>2674</v>
      </c>
      <c r="AH7352" s="831" t="s">
        <v>65</v>
      </c>
      <c r="AI7352" s="831">
        <v>0</v>
      </c>
      <c r="AJ7352" s="835">
        <v>40574</v>
      </c>
      <c r="AK7352" s="831">
        <v>7241811</v>
      </c>
    </row>
    <row r="7353" spans="2:37">
      <c r="B7353" s="834" t="str">
        <f t="shared" si="307"/>
        <v>|||</v>
      </c>
      <c r="H7353" s="835">
        <f t="shared" si="308"/>
        <v>31</v>
      </c>
      <c r="AF7353" s="831" t="s">
        <v>8012</v>
      </c>
      <c r="AG7353" s="831" t="s">
        <v>2674</v>
      </c>
      <c r="AH7353" s="831" t="s">
        <v>89</v>
      </c>
      <c r="AI7353" s="831">
        <v>0</v>
      </c>
      <c r="AJ7353" s="835">
        <v>40574</v>
      </c>
      <c r="AK7353" s="831">
        <v>0</v>
      </c>
    </row>
    <row r="7354" spans="2:37">
      <c r="B7354" s="834" t="str">
        <f t="shared" si="307"/>
        <v>|||</v>
      </c>
      <c r="H7354" s="835">
        <f t="shared" si="308"/>
        <v>31</v>
      </c>
      <c r="AF7354" s="831" t="s">
        <v>8013</v>
      </c>
      <c r="AG7354" s="831" t="s">
        <v>2674</v>
      </c>
      <c r="AH7354" s="831" t="s">
        <v>557</v>
      </c>
      <c r="AI7354" s="831">
        <v>0</v>
      </c>
      <c r="AJ7354" s="835">
        <v>40574</v>
      </c>
      <c r="AK7354" s="831">
        <v>0</v>
      </c>
    </row>
    <row r="7355" spans="2:37">
      <c r="B7355" s="834" t="str">
        <f t="shared" si="307"/>
        <v>|||</v>
      </c>
      <c r="H7355" s="835">
        <f t="shared" si="308"/>
        <v>31</v>
      </c>
      <c r="AF7355" s="831" t="s">
        <v>8014</v>
      </c>
      <c r="AG7355" s="831" t="s">
        <v>2674</v>
      </c>
      <c r="AH7355" s="831" t="s">
        <v>29</v>
      </c>
      <c r="AI7355" s="831">
        <v>0</v>
      </c>
      <c r="AJ7355" s="835">
        <v>40574</v>
      </c>
      <c r="AK7355" s="831">
        <v>0</v>
      </c>
    </row>
    <row r="7356" spans="2:37">
      <c r="B7356" s="834" t="str">
        <f t="shared" si="307"/>
        <v>|||</v>
      </c>
      <c r="H7356" s="835">
        <f t="shared" si="308"/>
        <v>31</v>
      </c>
      <c r="AF7356" s="831" t="s">
        <v>8015</v>
      </c>
      <c r="AG7356" s="831" t="s">
        <v>2674</v>
      </c>
      <c r="AH7356" s="831" t="s">
        <v>2688</v>
      </c>
      <c r="AI7356" s="831">
        <v>0</v>
      </c>
      <c r="AJ7356" s="835">
        <v>40574</v>
      </c>
      <c r="AK7356" s="831">
        <v>0</v>
      </c>
    </row>
    <row r="7357" spans="2:37">
      <c r="B7357" s="834" t="str">
        <f t="shared" si="307"/>
        <v>|||</v>
      </c>
      <c r="H7357" s="835">
        <f t="shared" si="308"/>
        <v>31</v>
      </c>
      <c r="AF7357" s="831" t="s">
        <v>8016</v>
      </c>
      <c r="AG7357" s="831" t="s">
        <v>2674</v>
      </c>
      <c r="AH7357" s="831" t="s">
        <v>556</v>
      </c>
      <c r="AI7357" s="831">
        <v>0</v>
      </c>
      <c r="AJ7357" s="835">
        <v>40574</v>
      </c>
      <c r="AK7357" s="831">
        <v>1373340</v>
      </c>
    </row>
    <row r="7358" spans="2:37">
      <c r="B7358" s="834" t="str">
        <f t="shared" si="307"/>
        <v>|||</v>
      </c>
      <c r="H7358" s="835">
        <f t="shared" si="308"/>
        <v>31</v>
      </c>
      <c r="AF7358" s="831" t="s">
        <v>8017</v>
      </c>
      <c r="AG7358" s="831" t="s">
        <v>2674</v>
      </c>
      <c r="AH7358" s="831" t="s">
        <v>555</v>
      </c>
      <c r="AI7358" s="831">
        <v>0</v>
      </c>
      <c r="AJ7358" s="835">
        <v>40574</v>
      </c>
      <c r="AK7358" s="831">
        <v>196094020</v>
      </c>
    </row>
    <row r="7359" spans="2:37">
      <c r="B7359" s="834" t="str">
        <f t="shared" si="307"/>
        <v>|||</v>
      </c>
      <c r="H7359" s="835">
        <f t="shared" si="308"/>
        <v>31</v>
      </c>
      <c r="AF7359" s="831" t="s">
        <v>8018</v>
      </c>
      <c r="AG7359" s="831" t="s">
        <v>2674</v>
      </c>
      <c r="AH7359" s="831" t="s">
        <v>554</v>
      </c>
      <c r="AI7359" s="831">
        <v>0</v>
      </c>
      <c r="AJ7359" s="835">
        <v>40574</v>
      </c>
      <c r="AK7359" s="831">
        <v>193456900</v>
      </c>
    </row>
    <row r="7360" spans="2:37">
      <c r="B7360" s="834" t="str">
        <f t="shared" si="307"/>
        <v>|||</v>
      </c>
      <c r="H7360" s="835">
        <f t="shared" si="308"/>
        <v>31</v>
      </c>
      <c r="AF7360" s="831" t="s">
        <v>8019</v>
      </c>
      <c r="AG7360" s="831" t="s">
        <v>2674</v>
      </c>
      <c r="AH7360" s="831" t="s">
        <v>553</v>
      </c>
      <c r="AI7360" s="831">
        <v>0</v>
      </c>
      <c r="AJ7360" s="835">
        <v>40574</v>
      </c>
      <c r="AK7360" s="831">
        <v>0</v>
      </c>
    </row>
    <row r="7361" spans="2:37">
      <c r="B7361" s="834" t="str">
        <f t="shared" si="307"/>
        <v>|||</v>
      </c>
      <c r="H7361" s="835">
        <f t="shared" si="308"/>
        <v>31</v>
      </c>
      <c r="AF7361" s="831" t="s">
        <v>8020</v>
      </c>
      <c r="AG7361" s="831" t="s">
        <v>2674</v>
      </c>
      <c r="AH7361" s="831" t="s">
        <v>552</v>
      </c>
      <c r="AI7361" s="831">
        <v>0</v>
      </c>
      <c r="AJ7361" s="835">
        <v>40574</v>
      </c>
      <c r="AK7361" s="831">
        <v>0</v>
      </c>
    </row>
    <row r="7362" spans="2:37">
      <c r="B7362" s="834" t="str">
        <f t="shared" si="307"/>
        <v>|||</v>
      </c>
      <c r="H7362" s="835">
        <f t="shared" si="308"/>
        <v>31</v>
      </c>
      <c r="AF7362" s="831" t="s">
        <v>8021</v>
      </c>
      <c r="AG7362" s="831" t="s">
        <v>2674</v>
      </c>
      <c r="AH7362" s="831" t="s">
        <v>551</v>
      </c>
      <c r="AI7362" s="831">
        <v>0</v>
      </c>
      <c r="AJ7362" s="835">
        <v>40574</v>
      </c>
      <c r="AK7362" s="831">
        <v>0</v>
      </c>
    </row>
    <row r="7363" spans="2:37">
      <c r="B7363" s="834" t="str">
        <f t="shared" ref="B7363:B7426" si="309">C7363&amp;"|"&amp;D7363&amp;"|"&amp;E7363&amp;"|"&amp;F7363</f>
        <v>|||</v>
      </c>
      <c r="H7363" s="835">
        <f t="shared" si="308"/>
        <v>31</v>
      </c>
      <c r="AF7363" s="831" t="s">
        <v>8022</v>
      </c>
      <c r="AG7363" s="831" t="s">
        <v>2674</v>
      </c>
      <c r="AH7363" s="831" t="s">
        <v>550</v>
      </c>
      <c r="AI7363" s="831">
        <v>0</v>
      </c>
      <c r="AJ7363" s="835">
        <v>40574</v>
      </c>
      <c r="AK7363" s="831">
        <v>0</v>
      </c>
    </row>
    <row r="7364" spans="2:37">
      <c r="B7364" s="834" t="str">
        <f t="shared" si="309"/>
        <v>|||</v>
      </c>
      <c r="H7364" s="835">
        <f t="shared" ref="H7364:H7427" si="310">EOMONTH(L7364,0)</f>
        <v>31</v>
      </c>
      <c r="AF7364" s="831" t="s">
        <v>8023</v>
      </c>
      <c r="AG7364" s="831" t="s">
        <v>2674</v>
      </c>
      <c r="AH7364" s="831" t="s">
        <v>562</v>
      </c>
      <c r="AI7364" s="831">
        <v>0</v>
      </c>
      <c r="AJ7364" s="835">
        <v>40574</v>
      </c>
      <c r="AK7364" s="831">
        <v>0.80300000000000005</v>
      </c>
    </row>
    <row r="7365" spans="2:37">
      <c r="B7365" s="834" t="str">
        <f t="shared" si="309"/>
        <v>|||</v>
      </c>
      <c r="H7365" s="835">
        <f t="shared" si="310"/>
        <v>31</v>
      </c>
      <c r="AF7365" s="831" t="s">
        <v>8024</v>
      </c>
      <c r="AG7365" s="831" t="s">
        <v>2674</v>
      </c>
      <c r="AH7365" s="831" t="s">
        <v>2698</v>
      </c>
      <c r="AI7365" s="831">
        <v>0</v>
      </c>
      <c r="AJ7365" s="835">
        <v>40574</v>
      </c>
      <c r="AK7365" s="831">
        <v>0.79700000000000004</v>
      </c>
    </row>
    <row r="7366" spans="2:37">
      <c r="B7366" s="834" t="str">
        <f t="shared" si="309"/>
        <v>|||</v>
      </c>
      <c r="H7366" s="835">
        <f t="shared" si="310"/>
        <v>31</v>
      </c>
      <c r="AF7366" s="831" t="s">
        <v>8025</v>
      </c>
      <c r="AG7366" s="831" t="s">
        <v>2674</v>
      </c>
      <c r="AH7366" s="831" t="s">
        <v>560</v>
      </c>
      <c r="AI7366" s="831">
        <v>0</v>
      </c>
      <c r="AJ7366" s="835">
        <v>40574</v>
      </c>
      <c r="AK7366" s="831">
        <v>0.80300000000000005</v>
      </c>
    </row>
    <row r="7367" spans="2:37">
      <c r="B7367" s="834" t="str">
        <f t="shared" si="309"/>
        <v>|||</v>
      </c>
      <c r="H7367" s="835">
        <f t="shared" si="310"/>
        <v>31</v>
      </c>
      <c r="AF7367" s="831" t="s">
        <v>8026</v>
      </c>
      <c r="AG7367" s="831" t="s">
        <v>2674</v>
      </c>
      <c r="AH7367" s="831" t="s">
        <v>559</v>
      </c>
      <c r="AI7367" s="831">
        <v>0</v>
      </c>
      <c r="AJ7367" s="835">
        <v>40574</v>
      </c>
      <c r="AK7367" s="831">
        <v>0.80200000000000005</v>
      </c>
    </row>
    <row r="7368" spans="2:37">
      <c r="B7368" s="834" t="str">
        <f t="shared" si="309"/>
        <v>|||</v>
      </c>
      <c r="H7368" s="835">
        <f t="shared" si="310"/>
        <v>31</v>
      </c>
      <c r="AF7368" s="831" t="s">
        <v>8027</v>
      </c>
      <c r="AG7368" s="831" t="s">
        <v>2674</v>
      </c>
      <c r="AH7368" s="831" t="s">
        <v>568</v>
      </c>
      <c r="AI7368" s="831">
        <v>0</v>
      </c>
      <c r="AJ7368" s="835">
        <v>40574</v>
      </c>
      <c r="AK7368" s="831">
        <v>0</v>
      </c>
    </row>
    <row r="7369" spans="2:37">
      <c r="B7369" s="834" t="str">
        <f t="shared" si="309"/>
        <v>|||</v>
      </c>
      <c r="H7369" s="835">
        <f t="shared" si="310"/>
        <v>31</v>
      </c>
      <c r="AF7369" s="831" t="s">
        <v>8028</v>
      </c>
      <c r="AG7369" s="831" t="s">
        <v>2674</v>
      </c>
      <c r="AH7369" s="831" t="s">
        <v>569</v>
      </c>
      <c r="AI7369" s="831">
        <v>0</v>
      </c>
      <c r="AJ7369" s="835">
        <v>40574</v>
      </c>
      <c r="AK7369" s="831">
        <v>0</v>
      </c>
    </row>
    <row r="7370" spans="2:37">
      <c r="B7370" s="834" t="str">
        <f t="shared" si="309"/>
        <v>|||</v>
      </c>
      <c r="H7370" s="835">
        <f t="shared" si="310"/>
        <v>31</v>
      </c>
      <c r="AF7370" s="831" t="s">
        <v>8029</v>
      </c>
      <c r="AG7370" s="831" t="s">
        <v>2674</v>
      </c>
      <c r="AH7370" s="831" t="s">
        <v>570</v>
      </c>
      <c r="AI7370" s="831">
        <v>0</v>
      </c>
      <c r="AJ7370" s="835">
        <v>40574</v>
      </c>
      <c r="AK7370" s="831">
        <v>0</v>
      </c>
    </row>
    <row r="7371" spans="2:37">
      <c r="B7371" s="834" t="str">
        <f t="shared" si="309"/>
        <v>|||</v>
      </c>
      <c r="H7371" s="835">
        <f t="shared" si="310"/>
        <v>31</v>
      </c>
      <c r="AF7371" s="831" t="s">
        <v>8030</v>
      </c>
      <c r="AG7371" s="831" t="s">
        <v>2674</v>
      </c>
      <c r="AH7371" s="831" t="s">
        <v>571</v>
      </c>
      <c r="AI7371" s="831">
        <v>0</v>
      </c>
      <c r="AJ7371" s="835">
        <v>40574</v>
      </c>
      <c r="AK7371" s="831">
        <v>0</v>
      </c>
    </row>
    <row r="7372" spans="2:37">
      <c r="B7372" s="834" t="str">
        <f t="shared" si="309"/>
        <v>|||</v>
      </c>
      <c r="H7372" s="835">
        <f t="shared" si="310"/>
        <v>31</v>
      </c>
      <c r="AF7372" s="831" t="s">
        <v>8031</v>
      </c>
      <c r="AG7372" s="831" t="s">
        <v>2674</v>
      </c>
      <c r="AH7372" s="831" t="s">
        <v>573</v>
      </c>
      <c r="AI7372" s="831">
        <v>0</v>
      </c>
      <c r="AJ7372" s="835">
        <v>40574</v>
      </c>
      <c r="AK7372" s="831">
        <v>0</v>
      </c>
    </row>
    <row r="7373" spans="2:37">
      <c r="B7373" s="834" t="str">
        <f t="shared" si="309"/>
        <v>|||</v>
      </c>
      <c r="H7373" s="835">
        <f t="shared" si="310"/>
        <v>31</v>
      </c>
      <c r="AF7373" s="831" t="s">
        <v>8032</v>
      </c>
      <c r="AG7373" s="831" t="s">
        <v>2674</v>
      </c>
      <c r="AH7373" s="831" t="s">
        <v>574</v>
      </c>
      <c r="AI7373" s="831">
        <v>0</v>
      </c>
      <c r="AJ7373" s="835">
        <v>40574</v>
      </c>
      <c r="AK7373" s="831">
        <v>0</v>
      </c>
    </row>
    <row r="7374" spans="2:37">
      <c r="B7374" s="834" t="str">
        <f t="shared" si="309"/>
        <v>|||</v>
      </c>
      <c r="H7374" s="835">
        <f t="shared" si="310"/>
        <v>31</v>
      </c>
      <c r="AF7374" s="831" t="s">
        <v>8033</v>
      </c>
      <c r="AG7374" s="831" t="s">
        <v>2674</v>
      </c>
      <c r="AH7374" s="831" t="s">
        <v>575</v>
      </c>
      <c r="AI7374" s="831">
        <v>0</v>
      </c>
      <c r="AJ7374" s="835">
        <v>40574</v>
      </c>
      <c r="AK7374" s="831">
        <v>0</v>
      </c>
    </row>
    <row r="7375" spans="2:37">
      <c r="B7375" s="834" t="str">
        <f t="shared" si="309"/>
        <v>|||</v>
      </c>
      <c r="H7375" s="835">
        <f t="shared" si="310"/>
        <v>31</v>
      </c>
      <c r="AF7375" s="831" t="s">
        <v>8034</v>
      </c>
      <c r="AG7375" s="831" t="s">
        <v>2674</v>
      </c>
      <c r="AH7375" s="831" t="s">
        <v>576</v>
      </c>
      <c r="AI7375" s="831">
        <v>0</v>
      </c>
      <c r="AJ7375" s="835">
        <v>40574</v>
      </c>
      <c r="AK7375" s="831">
        <v>0</v>
      </c>
    </row>
    <row r="7376" spans="2:37">
      <c r="B7376" s="834" t="str">
        <f t="shared" si="309"/>
        <v>|||</v>
      </c>
      <c r="H7376" s="835">
        <f t="shared" si="310"/>
        <v>31</v>
      </c>
      <c r="AF7376" s="831" t="s">
        <v>8035</v>
      </c>
      <c r="AG7376" s="831" t="s">
        <v>2674</v>
      </c>
      <c r="AH7376" s="831" t="s">
        <v>572</v>
      </c>
      <c r="AI7376" s="831">
        <v>0</v>
      </c>
      <c r="AJ7376" s="835">
        <v>40574</v>
      </c>
      <c r="AK7376" s="831">
        <v>0</v>
      </c>
    </row>
    <row r="7377" spans="2:37">
      <c r="B7377" s="834" t="str">
        <f t="shared" si="309"/>
        <v>|||</v>
      </c>
      <c r="H7377" s="835">
        <f t="shared" si="310"/>
        <v>31</v>
      </c>
      <c r="AF7377" s="831" t="s">
        <v>8036</v>
      </c>
      <c r="AG7377" s="831" t="s">
        <v>2674</v>
      </c>
      <c r="AH7377" s="831" t="s">
        <v>577</v>
      </c>
      <c r="AI7377" s="831">
        <v>0</v>
      </c>
      <c r="AJ7377" s="835">
        <v>40574</v>
      </c>
      <c r="AK7377" s="831">
        <v>0</v>
      </c>
    </row>
    <row r="7378" spans="2:37">
      <c r="B7378" s="834" t="str">
        <f t="shared" si="309"/>
        <v>|||</v>
      </c>
      <c r="H7378" s="835">
        <f t="shared" si="310"/>
        <v>31</v>
      </c>
      <c r="AF7378" s="831" t="s">
        <v>8037</v>
      </c>
      <c r="AG7378" s="831" t="s">
        <v>2674</v>
      </c>
      <c r="AH7378" s="831" t="s">
        <v>3042</v>
      </c>
      <c r="AI7378" s="831">
        <v>0</v>
      </c>
      <c r="AJ7378" s="835">
        <v>40574</v>
      </c>
      <c r="AK7378" s="831">
        <v>0</v>
      </c>
    </row>
    <row r="7379" spans="2:37">
      <c r="B7379" s="834" t="str">
        <f t="shared" si="309"/>
        <v>|||</v>
      </c>
      <c r="H7379" s="835">
        <f t="shared" si="310"/>
        <v>31</v>
      </c>
      <c r="AF7379" s="831" t="s">
        <v>8038</v>
      </c>
      <c r="AG7379" s="831" t="s">
        <v>2674</v>
      </c>
      <c r="AH7379" s="831" t="s">
        <v>3044</v>
      </c>
      <c r="AI7379" s="831">
        <v>0</v>
      </c>
      <c r="AJ7379" s="835">
        <v>40574</v>
      </c>
      <c r="AK7379" s="831">
        <v>0</v>
      </c>
    </row>
    <row r="7380" spans="2:37">
      <c r="B7380" s="834" t="str">
        <f t="shared" si="309"/>
        <v>|||</v>
      </c>
      <c r="H7380" s="835">
        <f t="shared" si="310"/>
        <v>31</v>
      </c>
      <c r="AF7380" s="831" t="s">
        <v>8039</v>
      </c>
      <c r="AG7380" s="831" t="s">
        <v>2674</v>
      </c>
      <c r="AH7380" s="831" t="s">
        <v>580</v>
      </c>
      <c r="AI7380" s="831">
        <v>0</v>
      </c>
      <c r="AJ7380" s="835">
        <v>40574</v>
      </c>
      <c r="AK7380" s="831">
        <v>0</v>
      </c>
    </row>
    <row r="7381" spans="2:37">
      <c r="B7381" s="834" t="str">
        <f t="shared" si="309"/>
        <v>|||</v>
      </c>
      <c r="H7381" s="835">
        <f t="shared" si="310"/>
        <v>31</v>
      </c>
      <c r="AF7381" s="831" t="s">
        <v>8040</v>
      </c>
      <c r="AG7381" s="831" t="s">
        <v>2674</v>
      </c>
      <c r="AH7381" s="831" t="s">
        <v>581</v>
      </c>
      <c r="AI7381" s="831">
        <v>0</v>
      </c>
      <c r="AJ7381" s="835">
        <v>40574</v>
      </c>
      <c r="AK7381" s="831">
        <v>0</v>
      </c>
    </row>
    <row r="7382" spans="2:37">
      <c r="B7382" s="834" t="str">
        <f t="shared" si="309"/>
        <v>|||</v>
      </c>
      <c r="H7382" s="835">
        <f t="shared" si="310"/>
        <v>31</v>
      </c>
      <c r="AF7382" s="831" t="s">
        <v>8041</v>
      </c>
      <c r="AG7382" s="831" t="s">
        <v>2674</v>
      </c>
      <c r="AH7382" s="831" t="s">
        <v>105</v>
      </c>
      <c r="AI7382" s="831">
        <v>0</v>
      </c>
      <c r="AJ7382" s="835">
        <v>40574</v>
      </c>
      <c r="AK7382" s="831">
        <v>159390499</v>
      </c>
    </row>
    <row r="7383" spans="2:37">
      <c r="B7383" s="834" t="str">
        <f t="shared" si="309"/>
        <v>|||</v>
      </c>
      <c r="H7383" s="835">
        <f t="shared" si="310"/>
        <v>31</v>
      </c>
      <c r="AF7383" s="831" t="s">
        <v>8042</v>
      </c>
      <c r="AG7383" s="831" t="s">
        <v>2674</v>
      </c>
      <c r="AH7383" s="831" t="s">
        <v>3049</v>
      </c>
      <c r="AI7383" s="831">
        <v>0</v>
      </c>
      <c r="AJ7383" s="835">
        <v>40574</v>
      </c>
      <c r="AK7383" s="831">
        <v>281599852</v>
      </c>
    </row>
    <row r="7384" spans="2:37">
      <c r="B7384" s="834" t="str">
        <f t="shared" si="309"/>
        <v>|||</v>
      </c>
      <c r="H7384" s="835">
        <f t="shared" si="310"/>
        <v>31</v>
      </c>
      <c r="AF7384" s="831" t="s">
        <v>8043</v>
      </c>
      <c r="AG7384" s="831" t="s">
        <v>2674</v>
      </c>
      <c r="AH7384" s="831" t="s">
        <v>103</v>
      </c>
      <c r="AI7384" s="831">
        <v>0</v>
      </c>
      <c r="AJ7384" s="835">
        <v>40574</v>
      </c>
      <c r="AK7384" s="831">
        <v>122209353</v>
      </c>
    </row>
    <row r="7385" spans="2:37">
      <c r="B7385" s="834" t="str">
        <f t="shared" si="309"/>
        <v>|||</v>
      </c>
      <c r="H7385" s="835">
        <f t="shared" si="310"/>
        <v>31</v>
      </c>
      <c r="AF7385" s="831" t="s">
        <v>8044</v>
      </c>
      <c r="AG7385" s="831" t="s">
        <v>2674</v>
      </c>
      <c r="AH7385" s="831" t="s">
        <v>182</v>
      </c>
      <c r="AI7385" s="831">
        <v>0</v>
      </c>
      <c r="AJ7385" s="835">
        <v>40574</v>
      </c>
      <c r="AK7385" s="831">
        <v>36222144</v>
      </c>
    </row>
    <row r="7386" spans="2:37">
      <c r="B7386" s="834" t="str">
        <f t="shared" si="309"/>
        <v>|||</v>
      </c>
      <c r="H7386" s="835">
        <f t="shared" si="310"/>
        <v>31</v>
      </c>
      <c r="AF7386" s="831" t="s">
        <v>8045</v>
      </c>
      <c r="AG7386" s="831" t="s">
        <v>2674</v>
      </c>
      <c r="AH7386" s="831" t="s">
        <v>6600</v>
      </c>
      <c r="AI7386" s="831">
        <v>0</v>
      </c>
      <c r="AJ7386" s="835">
        <v>40574</v>
      </c>
      <c r="AK7386" s="831">
        <v>0</v>
      </c>
    </row>
    <row r="7387" spans="2:37">
      <c r="B7387" s="834" t="str">
        <f t="shared" si="309"/>
        <v>|||</v>
      </c>
      <c r="H7387" s="835">
        <f t="shared" si="310"/>
        <v>31</v>
      </c>
      <c r="AF7387" s="831" t="s">
        <v>8046</v>
      </c>
      <c r="AG7387" s="831" t="s">
        <v>2674</v>
      </c>
      <c r="AH7387" s="831" t="s">
        <v>6602</v>
      </c>
      <c r="AI7387" s="831">
        <v>0</v>
      </c>
      <c r="AJ7387" s="835">
        <v>40574</v>
      </c>
      <c r="AK7387" s="831">
        <v>2054437</v>
      </c>
    </row>
    <row r="7388" spans="2:37">
      <c r="B7388" s="834" t="str">
        <f t="shared" si="309"/>
        <v>|||</v>
      </c>
      <c r="H7388" s="835">
        <f t="shared" si="310"/>
        <v>31</v>
      </c>
      <c r="AF7388" s="831" t="s">
        <v>8047</v>
      </c>
      <c r="AG7388" s="831" t="s">
        <v>2674</v>
      </c>
      <c r="AH7388" s="831" t="s">
        <v>650</v>
      </c>
      <c r="AI7388" s="831">
        <v>0</v>
      </c>
      <c r="AJ7388" s="835">
        <v>40574</v>
      </c>
      <c r="AK7388" s="831">
        <v>0</v>
      </c>
    </row>
    <row r="7389" spans="2:37">
      <c r="B7389" s="834" t="str">
        <f t="shared" si="309"/>
        <v>|||</v>
      </c>
      <c r="H7389" s="835">
        <f t="shared" si="310"/>
        <v>31</v>
      </c>
      <c r="AF7389" s="831" t="s">
        <v>8048</v>
      </c>
      <c r="AG7389" s="831" t="s">
        <v>2674</v>
      </c>
      <c r="AH7389" s="831" t="s">
        <v>655</v>
      </c>
      <c r="AI7389" s="831">
        <v>0</v>
      </c>
      <c r="AJ7389" s="835">
        <v>40574</v>
      </c>
      <c r="AK7389" s="831">
        <v>0</v>
      </c>
    </row>
    <row r="7390" spans="2:37">
      <c r="B7390" s="834" t="str">
        <f t="shared" si="309"/>
        <v>|||</v>
      </c>
      <c r="H7390" s="835">
        <f t="shared" si="310"/>
        <v>31</v>
      </c>
      <c r="AF7390" s="831" t="s">
        <v>8049</v>
      </c>
      <c r="AG7390" s="831" t="s">
        <v>2674</v>
      </c>
      <c r="AH7390" s="831" t="s">
        <v>546</v>
      </c>
      <c r="AI7390" s="831">
        <v>0</v>
      </c>
      <c r="AJ7390" s="835">
        <v>40602</v>
      </c>
      <c r="AK7390" s="831">
        <v>263014576</v>
      </c>
    </row>
    <row r="7391" spans="2:37">
      <c r="B7391" s="834" t="str">
        <f t="shared" si="309"/>
        <v>|||</v>
      </c>
      <c r="H7391" s="835">
        <f t="shared" si="310"/>
        <v>31</v>
      </c>
      <c r="AF7391" s="831" t="s">
        <v>8050</v>
      </c>
      <c r="AG7391" s="831" t="s">
        <v>2674</v>
      </c>
      <c r="AH7391" s="831" t="s">
        <v>370</v>
      </c>
      <c r="AI7391" s="831">
        <v>0</v>
      </c>
      <c r="AJ7391" s="835">
        <v>40602</v>
      </c>
      <c r="AK7391" s="831">
        <v>363978938</v>
      </c>
    </row>
    <row r="7392" spans="2:37">
      <c r="B7392" s="834" t="str">
        <f t="shared" si="309"/>
        <v>|||</v>
      </c>
      <c r="H7392" s="835">
        <f t="shared" si="310"/>
        <v>31</v>
      </c>
      <c r="AF7392" s="831" t="s">
        <v>8051</v>
      </c>
      <c r="AG7392" s="831" t="s">
        <v>2674</v>
      </c>
      <c r="AH7392" s="831" t="s">
        <v>126</v>
      </c>
      <c r="AI7392" s="831">
        <v>0</v>
      </c>
      <c r="AJ7392" s="835">
        <v>40602</v>
      </c>
      <c r="AK7392" s="831">
        <v>77494748</v>
      </c>
    </row>
    <row r="7393" spans="2:37">
      <c r="B7393" s="834" t="str">
        <f t="shared" si="309"/>
        <v>|||</v>
      </c>
      <c r="H7393" s="835">
        <f t="shared" si="310"/>
        <v>31</v>
      </c>
      <c r="AF7393" s="831" t="s">
        <v>8052</v>
      </c>
      <c r="AG7393" s="831" t="s">
        <v>2674</v>
      </c>
      <c r="AH7393" s="831" t="s">
        <v>268</v>
      </c>
      <c r="AI7393" s="831">
        <v>0</v>
      </c>
      <c r="AJ7393" s="835">
        <v>40602</v>
      </c>
      <c r="AK7393" s="831">
        <v>2642037</v>
      </c>
    </row>
    <row r="7394" spans="2:37">
      <c r="B7394" s="834" t="str">
        <f t="shared" si="309"/>
        <v>|||</v>
      </c>
      <c r="H7394" s="835">
        <f t="shared" si="310"/>
        <v>31</v>
      </c>
      <c r="AF7394" s="831" t="s">
        <v>8053</v>
      </c>
      <c r="AG7394" s="831" t="s">
        <v>2674</v>
      </c>
      <c r="AH7394" s="831" t="s">
        <v>547</v>
      </c>
      <c r="AI7394" s="831">
        <v>0</v>
      </c>
      <c r="AJ7394" s="835">
        <v>40602</v>
      </c>
      <c r="AK7394" s="831">
        <v>0</v>
      </c>
    </row>
    <row r="7395" spans="2:37">
      <c r="B7395" s="834" t="str">
        <f t="shared" si="309"/>
        <v>|||</v>
      </c>
      <c r="H7395" s="835">
        <f t="shared" si="310"/>
        <v>31</v>
      </c>
      <c r="AF7395" s="831" t="s">
        <v>8054</v>
      </c>
      <c r="AG7395" s="831" t="s">
        <v>2674</v>
      </c>
      <c r="AH7395" s="831" t="s">
        <v>548</v>
      </c>
      <c r="AI7395" s="831">
        <v>0</v>
      </c>
      <c r="AJ7395" s="835">
        <v>40602</v>
      </c>
      <c r="AK7395" s="831">
        <v>0</v>
      </c>
    </row>
    <row r="7396" spans="2:37">
      <c r="B7396" s="834" t="str">
        <f t="shared" si="309"/>
        <v>|||</v>
      </c>
      <c r="H7396" s="835">
        <f t="shared" si="310"/>
        <v>31</v>
      </c>
      <c r="AF7396" s="831" t="s">
        <v>8055</v>
      </c>
      <c r="AG7396" s="831" t="s">
        <v>2674</v>
      </c>
      <c r="AH7396" s="831" t="s">
        <v>549</v>
      </c>
      <c r="AI7396" s="831">
        <v>0</v>
      </c>
      <c r="AJ7396" s="835">
        <v>40602</v>
      </c>
      <c r="AK7396" s="831">
        <v>0</v>
      </c>
    </row>
    <row r="7397" spans="2:37">
      <c r="B7397" s="834" t="str">
        <f t="shared" si="309"/>
        <v>|||</v>
      </c>
      <c r="H7397" s="835">
        <f t="shared" si="310"/>
        <v>31</v>
      </c>
      <c r="AF7397" s="831" t="s">
        <v>8056</v>
      </c>
      <c r="AG7397" s="831" t="s">
        <v>2674</v>
      </c>
      <c r="AH7397" s="831" t="s">
        <v>192</v>
      </c>
      <c r="AI7397" s="831">
        <v>0</v>
      </c>
      <c r="AJ7397" s="835">
        <v>40602</v>
      </c>
      <c r="AK7397" s="831">
        <v>-7978389</v>
      </c>
    </row>
    <row r="7398" spans="2:37">
      <c r="B7398" s="834" t="str">
        <f t="shared" si="309"/>
        <v>|||</v>
      </c>
      <c r="H7398" s="835">
        <f t="shared" si="310"/>
        <v>31</v>
      </c>
      <c r="AF7398" s="831" t="s">
        <v>8057</v>
      </c>
      <c r="AG7398" s="831" t="s">
        <v>2674</v>
      </c>
      <c r="AH7398" s="831" t="s">
        <v>558</v>
      </c>
      <c r="AI7398" s="831">
        <v>0</v>
      </c>
      <c r="AJ7398" s="835">
        <v>40602</v>
      </c>
      <c r="AK7398" s="831">
        <v>286484190</v>
      </c>
    </row>
    <row r="7399" spans="2:37">
      <c r="B7399" s="834" t="str">
        <f t="shared" si="309"/>
        <v>|||</v>
      </c>
      <c r="H7399" s="835">
        <f t="shared" si="310"/>
        <v>31</v>
      </c>
      <c r="AF7399" s="831" t="s">
        <v>8058</v>
      </c>
      <c r="AG7399" s="831" t="s">
        <v>2674</v>
      </c>
      <c r="AH7399" s="831" t="s">
        <v>65</v>
      </c>
      <c r="AI7399" s="831">
        <v>0</v>
      </c>
      <c r="AJ7399" s="835">
        <v>40602</v>
      </c>
      <c r="AK7399" s="831">
        <v>13785740</v>
      </c>
    </row>
    <row r="7400" spans="2:37">
      <c r="B7400" s="834" t="str">
        <f t="shared" si="309"/>
        <v>|||</v>
      </c>
      <c r="H7400" s="835">
        <f t="shared" si="310"/>
        <v>31</v>
      </c>
      <c r="AF7400" s="831" t="s">
        <v>8059</v>
      </c>
      <c r="AG7400" s="831" t="s">
        <v>2674</v>
      </c>
      <c r="AH7400" s="831" t="s">
        <v>89</v>
      </c>
      <c r="AI7400" s="831">
        <v>0</v>
      </c>
      <c r="AJ7400" s="835">
        <v>40602</v>
      </c>
      <c r="AK7400" s="831">
        <v>0</v>
      </c>
    </row>
    <row r="7401" spans="2:37">
      <c r="B7401" s="834" t="str">
        <f t="shared" si="309"/>
        <v>|||</v>
      </c>
      <c r="H7401" s="835">
        <f t="shared" si="310"/>
        <v>31</v>
      </c>
      <c r="AF7401" s="831" t="s">
        <v>8060</v>
      </c>
      <c r="AG7401" s="831" t="s">
        <v>2674</v>
      </c>
      <c r="AH7401" s="831" t="s">
        <v>557</v>
      </c>
      <c r="AI7401" s="831">
        <v>0</v>
      </c>
      <c r="AJ7401" s="835">
        <v>40602</v>
      </c>
      <c r="AK7401" s="831">
        <v>0</v>
      </c>
    </row>
    <row r="7402" spans="2:37">
      <c r="B7402" s="834" t="str">
        <f t="shared" si="309"/>
        <v>|||</v>
      </c>
      <c r="H7402" s="835">
        <f t="shared" si="310"/>
        <v>31</v>
      </c>
      <c r="AF7402" s="831" t="s">
        <v>8061</v>
      </c>
      <c r="AG7402" s="831" t="s">
        <v>2674</v>
      </c>
      <c r="AH7402" s="831" t="s">
        <v>29</v>
      </c>
      <c r="AI7402" s="831">
        <v>0</v>
      </c>
      <c r="AJ7402" s="835">
        <v>40602</v>
      </c>
      <c r="AK7402" s="831">
        <v>0</v>
      </c>
    </row>
    <row r="7403" spans="2:37">
      <c r="B7403" s="834" t="str">
        <f t="shared" si="309"/>
        <v>|||</v>
      </c>
      <c r="H7403" s="835">
        <f t="shared" si="310"/>
        <v>31</v>
      </c>
      <c r="AF7403" s="831" t="s">
        <v>8062</v>
      </c>
      <c r="AG7403" s="831" t="s">
        <v>2674</v>
      </c>
      <c r="AH7403" s="831" t="s">
        <v>2688</v>
      </c>
      <c r="AI7403" s="831">
        <v>0</v>
      </c>
      <c r="AJ7403" s="835">
        <v>40602</v>
      </c>
      <c r="AK7403" s="831">
        <v>0</v>
      </c>
    </row>
    <row r="7404" spans="2:37">
      <c r="B7404" s="834" t="str">
        <f t="shared" si="309"/>
        <v>|||</v>
      </c>
      <c r="H7404" s="835">
        <f t="shared" si="310"/>
        <v>31</v>
      </c>
      <c r="AF7404" s="831" t="s">
        <v>8063</v>
      </c>
      <c r="AG7404" s="831" t="s">
        <v>2674</v>
      </c>
      <c r="AH7404" s="831" t="s">
        <v>556</v>
      </c>
      <c r="AI7404" s="831">
        <v>0</v>
      </c>
      <c r="AJ7404" s="835">
        <v>40602</v>
      </c>
      <c r="AK7404" s="831">
        <v>1373340</v>
      </c>
    </row>
    <row r="7405" spans="2:37">
      <c r="B7405" s="834" t="str">
        <f t="shared" si="309"/>
        <v>|||</v>
      </c>
      <c r="H7405" s="835">
        <f t="shared" si="310"/>
        <v>31</v>
      </c>
      <c r="AF7405" s="831" t="s">
        <v>8064</v>
      </c>
      <c r="AG7405" s="831" t="s">
        <v>2674</v>
      </c>
      <c r="AH7405" s="831" t="s">
        <v>555</v>
      </c>
      <c r="AI7405" s="831">
        <v>0</v>
      </c>
      <c r="AJ7405" s="835">
        <v>40602</v>
      </c>
      <c r="AK7405" s="831">
        <v>189264290</v>
      </c>
    </row>
    <row r="7406" spans="2:37">
      <c r="B7406" s="834" t="str">
        <f t="shared" si="309"/>
        <v>|||</v>
      </c>
      <c r="H7406" s="835">
        <f t="shared" si="310"/>
        <v>31</v>
      </c>
      <c r="AF7406" s="831" t="s">
        <v>8065</v>
      </c>
      <c r="AG7406" s="831" t="s">
        <v>2674</v>
      </c>
      <c r="AH7406" s="831" t="s">
        <v>554</v>
      </c>
      <c r="AI7406" s="831">
        <v>0</v>
      </c>
      <c r="AJ7406" s="835">
        <v>40602</v>
      </c>
      <c r="AK7406" s="831">
        <v>185754180</v>
      </c>
    </row>
    <row r="7407" spans="2:37">
      <c r="B7407" s="834" t="str">
        <f t="shared" si="309"/>
        <v>|||</v>
      </c>
      <c r="H7407" s="835">
        <f t="shared" si="310"/>
        <v>31</v>
      </c>
      <c r="AF7407" s="831" t="s">
        <v>8066</v>
      </c>
      <c r="AG7407" s="831" t="s">
        <v>2674</v>
      </c>
      <c r="AH7407" s="831" t="s">
        <v>553</v>
      </c>
      <c r="AI7407" s="831">
        <v>0</v>
      </c>
      <c r="AJ7407" s="835">
        <v>40602</v>
      </c>
      <c r="AK7407" s="831">
        <v>0</v>
      </c>
    </row>
    <row r="7408" spans="2:37">
      <c r="B7408" s="834" t="str">
        <f t="shared" si="309"/>
        <v>|||</v>
      </c>
      <c r="H7408" s="835">
        <f t="shared" si="310"/>
        <v>31</v>
      </c>
      <c r="AF7408" s="831" t="s">
        <v>8067</v>
      </c>
      <c r="AG7408" s="831" t="s">
        <v>2674</v>
      </c>
      <c r="AH7408" s="831" t="s">
        <v>552</v>
      </c>
      <c r="AI7408" s="831">
        <v>0</v>
      </c>
      <c r="AJ7408" s="835">
        <v>40602</v>
      </c>
      <c r="AK7408" s="831">
        <v>0</v>
      </c>
    </row>
    <row r="7409" spans="2:37">
      <c r="B7409" s="834" t="str">
        <f t="shared" si="309"/>
        <v>|||</v>
      </c>
      <c r="H7409" s="835">
        <f t="shared" si="310"/>
        <v>31</v>
      </c>
      <c r="AF7409" s="831" t="s">
        <v>8068</v>
      </c>
      <c r="AG7409" s="831" t="s">
        <v>2674</v>
      </c>
      <c r="AH7409" s="831" t="s">
        <v>551</v>
      </c>
      <c r="AI7409" s="831">
        <v>0</v>
      </c>
      <c r="AJ7409" s="835">
        <v>40602</v>
      </c>
      <c r="AK7409" s="831">
        <v>0</v>
      </c>
    </row>
    <row r="7410" spans="2:37">
      <c r="B7410" s="834" t="str">
        <f t="shared" si="309"/>
        <v>|||</v>
      </c>
      <c r="H7410" s="835">
        <f t="shared" si="310"/>
        <v>31</v>
      </c>
      <c r="AF7410" s="831" t="s">
        <v>8069</v>
      </c>
      <c r="AG7410" s="831" t="s">
        <v>2674</v>
      </c>
      <c r="AH7410" s="831" t="s">
        <v>550</v>
      </c>
      <c r="AI7410" s="831">
        <v>0</v>
      </c>
      <c r="AJ7410" s="835">
        <v>40602</v>
      </c>
      <c r="AK7410" s="831">
        <v>0</v>
      </c>
    </row>
    <row r="7411" spans="2:37">
      <c r="B7411" s="834" t="str">
        <f t="shared" si="309"/>
        <v>|||</v>
      </c>
      <c r="H7411" s="835">
        <f t="shared" si="310"/>
        <v>31</v>
      </c>
      <c r="AF7411" s="831" t="s">
        <v>8070</v>
      </c>
      <c r="AG7411" s="831" t="s">
        <v>2674</v>
      </c>
      <c r="AH7411" s="831" t="s">
        <v>562</v>
      </c>
      <c r="AI7411" s="831">
        <v>0</v>
      </c>
      <c r="AJ7411" s="835">
        <v>40602</v>
      </c>
      <c r="AK7411" s="831">
        <v>0.79500000000000004</v>
      </c>
    </row>
    <row r="7412" spans="2:37">
      <c r="B7412" s="834" t="str">
        <f t="shared" si="309"/>
        <v>|||</v>
      </c>
      <c r="H7412" s="835">
        <f t="shared" si="310"/>
        <v>31</v>
      </c>
      <c r="AF7412" s="831" t="s">
        <v>8071</v>
      </c>
      <c r="AG7412" s="831" t="s">
        <v>2674</v>
      </c>
      <c r="AH7412" s="831" t="s">
        <v>2698</v>
      </c>
      <c r="AI7412" s="831">
        <v>0</v>
      </c>
      <c r="AJ7412" s="835">
        <v>40602</v>
      </c>
      <c r="AK7412" s="831">
        <v>0.80300000000000005</v>
      </c>
    </row>
    <row r="7413" spans="2:37">
      <c r="B7413" s="834" t="str">
        <f t="shared" si="309"/>
        <v>|||</v>
      </c>
      <c r="H7413" s="835">
        <f t="shared" si="310"/>
        <v>31</v>
      </c>
      <c r="AF7413" s="831" t="s">
        <v>8072</v>
      </c>
      <c r="AG7413" s="831" t="s">
        <v>2674</v>
      </c>
      <c r="AH7413" s="831" t="s">
        <v>560</v>
      </c>
      <c r="AI7413" s="831">
        <v>0</v>
      </c>
      <c r="AJ7413" s="835">
        <v>40602</v>
      </c>
      <c r="AK7413" s="831">
        <v>0.79900000000000004</v>
      </c>
    </row>
    <row r="7414" spans="2:37">
      <c r="B7414" s="834" t="str">
        <f t="shared" si="309"/>
        <v>|||</v>
      </c>
      <c r="H7414" s="835">
        <f t="shared" si="310"/>
        <v>31</v>
      </c>
      <c r="AF7414" s="831" t="s">
        <v>8073</v>
      </c>
      <c r="AG7414" s="831" t="s">
        <v>2674</v>
      </c>
      <c r="AH7414" s="831" t="s">
        <v>559</v>
      </c>
      <c r="AI7414" s="831">
        <v>0</v>
      </c>
      <c r="AJ7414" s="835">
        <v>40602</v>
      </c>
      <c r="AK7414" s="831">
        <v>0.80074999999999996</v>
      </c>
    </row>
    <row r="7415" spans="2:37">
      <c r="B7415" s="834" t="str">
        <f t="shared" si="309"/>
        <v>|||</v>
      </c>
      <c r="H7415" s="835">
        <f t="shared" si="310"/>
        <v>31</v>
      </c>
      <c r="AF7415" s="831" t="s">
        <v>8074</v>
      </c>
      <c r="AG7415" s="831" t="s">
        <v>2674</v>
      </c>
      <c r="AH7415" s="831" t="s">
        <v>568</v>
      </c>
      <c r="AI7415" s="831">
        <v>0</v>
      </c>
      <c r="AJ7415" s="835">
        <v>40602</v>
      </c>
      <c r="AK7415" s="831">
        <v>0</v>
      </c>
    </row>
    <row r="7416" spans="2:37">
      <c r="B7416" s="834" t="str">
        <f t="shared" si="309"/>
        <v>|||</v>
      </c>
      <c r="H7416" s="835">
        <f t="shared" si="310"/>
        <v>31</v>
      </c>
      <c r="AF7416" s="831" t="s">
        <v>8075</v>
      </c>
      <c r="AG7416" s="831" t="s">
        <v>2674</v>
      </c>
      <c r="AH7416" s="831" t="s">
        <v>569</v>
      </c>
      <c r="AI7416" s="831">
        <v>0</v>
      </c>
      <c r="AJ7416" s="835">
        <v>40602</v>
      </c>
      <c r="AK7416" s="831">
        <v>0</v>
      </c>
    </row>
    <row r="7417" spans="2:37">
      <c r="B7417" s="834" t="str">
        <f t="shared" si="309"/>
        <v>|||</v>
      </c>
      <c r="H7417" s="835">
        <f t="shared" si="310"/>
        <v>31</v>
      </c>
      <c r="AF7417" s="831" t="s">
        <v>8076</v>
      </c>
      <c r="AG7417" s="831" t="s">
        <v>2674</v>
      </c>
      <c r="AH7417" s="831" t="s">
        <v>570</v>
      </c>
      <c r="AI7417" s="831">
        <v>0</v>
      </c>
      <c r="AJ7417" s="835">
        <v>40602</v>
      </c>
      <c r="AK7417" s="831">
        <v>0</v>
      </c>
    </row>
    <row r="7418" spans="2:37">
      <c r="B7418" s="834" t="str">
        <f t="shared" si="309"/>
        <v>|||</v>
      </c>
      <c r="H7418" s="835">
        <f t="shared" si="310"/>
        <v>31</v>
      </c>
      <c r="AF7418" s="831" t="s">
        <v>8077</v>
      </c>
      <c r="AG7418" s="831" t="s">
        <v>2674</v>
      </c>
      <c r="AH7418" s="831" t="s">
        <v>571</v>
      </c>
      <c r="AI7418" s="831">
        <v>0</v>
      </c>
      <c r="AJ7418" s="835">
        <v>40602</v>
      </c>
      <c r="AK7418" s="831">
        <v>0</v>
      </c>
    </row>
    <row r="7419" spans="2:37">
      <c r="B7419" s="834" t="str">
        <f t="shared" si="309"/>
        <v>|||</v>
      </c>
      <c r="H7419" s="835">
        <f t="shared" si="310"/>
        <v>31</v>
      </c>
      <c r="AF7419" s="831" t="s">
        <v>8078</v>
      </c>
      <c r="AG7419" s="831" t="s">
        <v>2674</v>
      </c>
      <c r="AH7419" s="831" t="s">
        <v>573</v>
      </c>
      <c r="AI7419" s="831">
        <v>0</v>
      </c>
      <c r="AJ7419" s="835">
        <v>40602</v>
      </c>
      <c r="AK7419" s="831">
        <v>0</v>
      </c>
    </row>
    <row r="7420" spans="2:37">
      <c r="B7420" s="834" t="str">
        <f t="shared" si="309"/>
        <v>|||</v>
      </c>
      <c r="H7420" s="835">
        <f t="shared" si="310"/>
        <v>31</v>
      </c>
      <c r="AF7420" s="831" t="s">
        <v>8079</v>
      </c>
      <c r="AG7420" s="831" t="s">
        <v>2674</v>
      </c>
      <c r="AH7420" s="831" t="s">
        <v>574</v>
      </c>
      <c r="AI7420" s="831">
        <v>0</v>
      </c>
      <c r="AJ7420" s="835">
        <v>40602</v>
      </c>
      <c r="AK7420" s="831">
        <v>0</v>
      </c>
    </row>
    <row r="7421" spans="2:37">
      <c r="B7421" s="834" t="str">
        <f t="shared" si="309"/>
        <v>|||</v>
      </c>
      <c r="H7421" s="835">
        <f t="shared" si="310"/>
        <v>31</v>
      </c>
      <c r="AF7421" s="831" t="s">
        <v>8080</v>
      </c>
      <c r="AG7421" s="831" t="s">
        <v>2674</v>
      </c>
      <c r="AH7421" s="831" t="s">
        <v>575</v>
      </c>
      <c r="AI7421" s="831">
        <v>0</v>
      </c>
      <c r="AJ7421" s="835">
        <v>40602</v>
      </c>
      <c r="AK7421" s="831">
        <v>0</v>
      </c>
    </row>
    <row r="7422" spans="2:37">
      <c r="B7422" s="834" t="str">
        <f t="shared" si="309"/>
        <v>|||</v>
      </c>
      <c r="H7422" s="835">
        <f t="shared" si="310"/>
        <v>31</v>
      </c>
      <c r="AF7422" s="831" t="s">
        <v>8081</v>
      </c>
      <c r="AG7422" s="831" t="s">
        <v>2674</v>
      </c>
      <c r="AH7422" s="831" t="s">
        <v>576</v>
      </c>
      <c r="AI7422" s="831">
        <v>0</v>
      </c>
      <c r="AJ7422" s="835">
        <v>40602</v>
      </c>
      <c r="AK7422" s="831">
        <v>0</v>
      </c>
    </row>
    <row r="7423" spans="2:37">
      <c r="B7423" s="834" t="str">
        <f t="shared" si="309"/>
        <v>|||</v>
      </c>
      <c r="H7423" s="835">
        <f t="shared" si="310"/>
        <v>31</v>
      </c>
      <c r="AF7423" s="831" t="s">
        <v>8082</v>
      </c>
      <c r="AG7423" s="831" t="s">
        <v>2674</v>
      </c>
      <c r="AH7423" s="831" t="s">
        <v>572</v>
      </c>
      <c r="AI7423" s="831">
        <v>0</v>
      </c>
      <c r="AJ7423" s="835">
        <v>40602</v>
      </c>
      <c r="AK7423" s="831">
        <v>0</v>
      </c>
    </row>
    <row r="7424" spans="2:37">
      <c r="B7424" s="834" t="str">
        <f t="shared" si="309"/>
        <v>|||</v>
      </c>
      <c r="H7424" s="835">
        <f t="shared" si="310"/>
        <v>31</v>
      </c>
      <c r="AF7424" s="831" t="s">
        <v>8083</v>
      </c>
      <c r="AG7424" s="831" t="s">
        <v>2674</v>
      </c>
      <c r="AH7424" s="831" t="s">
        <v>577</v>
      </c>
      <c r="AI7424" s="831">
        <v>0</v>
      </c>
      <c r="AJ7424" s="835">
        <v>40602</v>
      </c>
      <c r="AK7424" s="831">
        <v>0</v>
      </c>
    </row>
    <row r="7425" spans="2:37">
      <c r="B7425" s="834" t="str">
        <f t="shared" si="309"/>
        <v>|||</v>
      </c>
      <c r="H7425" s="835">
        <f t="shared" si="310"/>
        <v>31</v>
      </c>
      <c r="AF7425" s="831" t="s">
        <v>8084</v>
      </c>
      <c r="AG7425" s="831" t="s">
        <v>2674</v>
      </c>
      <c r="AH7425" s="831" t="s">
        <v>3042</v>
      </c>
      <c r="AI7425" s="831">
        <v>0</v>
      </c>
      <c r="AJ7425" s="835">
        <v>40602</v>
      </c>
      <c r="AK7425" s="831">
        <v>0</v>
      </c>
    </row>
    <row r="7426" spans="2:37">
      <c r="B7426" s="834" t="str">
        <f t="shared" si="309"/>
        <v>|||</v>
      </c>
      <c r="H7426" s="835">
        <f t="shared" si="310"/>
        <v>31</v>
      </c>
      <c r="AF7426" s="831" t="s">
        <v>8085</v>
      </c>
      <c r="AG7426" s="831" t="s">
        <v>2674</v>
      </c>
      <c r="AH7426" s="831" t="s">
        <v>3044</v>
      </c>
      <c r="AI7426" s="831">
        <v>0</v>
      </c>
      <c r="AJ7426" s="835">
        <v>40602</v>
      </c>
      <c r="AK7426" s="831">
        <v>0</v>
      </c>
    </row>
    <row r="7427" spans="2:37">
      <c r="B7427" s="834" t="str">
        <f t="shared" ref="B7427:B7490" si="311">C7427&amp;"|"&amp;D7427&amp;"|"&amp;E7427&amp;"|"&amp;F7427</f>
        <v>|||</v>
      </c>
      <c r="H7427" s="835">
        <f t="shared" si="310"/>
        <v>31</v>
      </c>
      <c r="AF7427" s="831" t="s">
        <v>8086</v>
      </c>
      <c r="AG7427" s="831" t="s">
        <v>2674</v>
      </c>
      <c r="AH7427" s="831" t="s">
        <v>580</v>
      </c>
      <c r="AI7427" s="831">
        <v>0</v>
      </c>
      <c r="AJ7427" s="835">
        <v>40602</v>
      </c>
      <c r="AK7427" s="831">
        <v>0</v>
      </c>
    </row>
    <row r="7428" spans="2:37">
      <c r="B7428" s="834" t="str">
        <f t="shared" si="311"/>
        <v>|||</v>
      </c>
      <c r="H7428" s="835">
        <f t="shared" ref="H7428:H7491" si="312">EOMONTH(L7428,0)</f>
        <v>31</v>
      </c>
      <c r="AF7428" s="831" t="s">
        <v>8087</v>
      </c>
      <c r="AG7428" s="831" t="s">
        <v>2674</v>
      </c>
      <c r="AH7428" s="831" t="s">
        <v>581</v>
      </c>
      <c r="AI7428" s="831">
        <v>0</v>
      </c>
      <c r="AJ7428" s="835">
        <v>40602</v>
      </c>
      <c r="AK7428" s="831">
        <v>0</v>
      </c>
    </row>
    <row r="7429" spans="2:37">
      <c r="B7429" s="834" t="str">
        <f t="shared" si="311"/>
        <v>|||</v>
      </c>
      <c r="H7429" s="835">
        <f t="shared" si="312"/>
        <v>31</v>
      </c>
      <c r="AF7429" s="831" t="s">
        <v>8088</v>
      </c>
      <c r="AG7429" s="831" t="s">
        <v>2674</v>
      </c>
      <c r="AH7429" s="831" t="s">
        <v>105</v>
      </c>
      <c r="AI7429" s="831">
        <v>0</v>
      </c>
      <c r="AJ7429" s="835">
        <v>40602</v>
      </c>
      <c r="AK7429" s="831">
        <v>150640265</v>
      </c>
    </row>
    <row r="7430" spans="2:37">
      <c r="B7430" s="834" t="str">
        <f t="shared" si="311"/>
        <v>|||</v>
      </c>
      <c r="H7430" s="835">
        <f t="shared" si="312"/>
        <v>31</v>
      </c>
      <c r="AF7430" s="831" t="s">
        <v>8089</v>
      </c>
      <c r="AG7430" s="831" t="s">
        <v>2674</v>
      </c>
      <c r="AH7430" s="831" t="s">
        <v>3049</v>
      </c>
      <c r="AI7430" s="831">
        <v>0</v>
      </c>
      <c r="AJ7430" s="835">
        <v>40602</v>
      </c>
      <c r="AK7430" s="831">
        <v>275715244</v>
      </c>
    </row>
    <row r="7431" spans="2:37">
      <c r="B7431" s="834" t="str">
        <f t="shared" si="311"/>
        <v>|||</v>
      </c>
      <c r="H7431" s="835">
        <f t="shared" si="312"/>
        <v>31</v>
      </c>
      <c r="AF7431" s="831" t="s">
        <v>8090</v>
      </c>
      <c r="AG7431" s="831" t="s">
        <v>2674</v>
      </c>
      <c r="AH7431" s="831" t="s">
        <v>103</v>
      </c>
      <c r="AI7431" s="831">
        <v>0</v>
      </c>
      <c r="AJ7431" s="835">
        <v>40602</v>
      </c>
      <c r="AK7431" s="831">
        <v>125074979</v>
      </c>
    </row>
    <row r="7432" spans="2:37">
      <c r="B7432" s="834" t="str">
        <f t="shared" si="311"/>
        <v>|||</v>
      </c>
      <c r="H7432" s="835">
        <f t="shared" si="312"/>
        <v>31</v>
      </c>
      <c r="AF7432" s="831" t="s">
        <v>8091</v>
      </c>
      <c r="AG7432" s="831" t="s">
        <v>2674</v>
      </c>
      <c r="AH7432" s="831" t="s">
        <v>182</v>
      </c>
      <c r="AI7432" s="831">
        <v>0</v>
      </c>
      <c r="AJ7432" s="835">
        <v>40602</v>
      </c>
      <c r="AK7432" s="831">
        <v>39345912</v>
      </c>
    </row>
    <row r="7433" spans="2:37">
      <c r="B7433" s="834" t="str">
        <f t="shared" si="311"/>
        <v>|||</v>
      </c>
      <c r="H7433" s="835">
        <f t="shared" si="312"/>
        <v>31</v>
      </c>
      <c r="AF7433" s="831" t="s">
        <v>8092</v>
      </c>
      <c r="AG7433" s="831" t="s">
        <v>2674</v>
      </c>
      <c r="AH7433" s="831" t="s">
        <v>6600</v>
      </c>
      <c r="AI7433" s="831">
        <v>0</v>
      </c>
      <c r="AJ7433" s="835">
        <v>40602</v>
      </c>
      <c r="AK7433" s="831">
        <v>0</v>
      </c>
    </row>
    <row r="7434" spans="2:37">
      <c r="B7434" s="834" t="str">
        <f t="shared" si="311"/>
        <v>|||</v>
      </c>
      <c r="H7434" s="835">
        <f t="shared" si="312"/>
        <v>31</v>
      </c>
      <c r="AF7434" s="831" t="s">
        <v>8093</v>
      </c>
      <c r="AG7434" s="831" t="s">
        <v>2674</v>
      </c>
      <c r="AH7434" s="831" t="s">
        <v>6602</v>
      </c>
      <c r="AI7434" s="831">
        <v>0</v>
      </c>
      <c r="AJ7434" s="835">
        <v>40602</v>
      </c>
      <c r="AK7434" s="831">
        <v>2642037</v>
      </c>
    </row>
    <row r="7435" spans="2:37">
      <c r="B7435" s="834" t="str">
        <f t="shared" si="311"/>
        <v>|||</v>
      </c>
      <c r="H7435" s="835">
        <f t="shared" si="312"/>
        <v>31</v>
      </c>
      <c r="AF7435" s="831" t="s">
        <v>8094</v>
      </c>
      <c r="AG7435" s="831" t="s">
        <v>2674</v>
      </c>
      <c r="AH7435" s="831" t="s">
        <v>650</v>
      </c>
      <c r="AI7435" s="831">
        <v>0</v>
      </c>
      <c r="AJ7435" s="835">
        <v>40602</v>
      </c>
      <c r="AK7435" s="831">
        <v>0</v>
      </c>
    </row>
    <row r="7436" spans="2:37">
      <c r="B7436" s="834" t="str">
        <f t="shared" si="311"/>
        <v>|||</v>
      </c>
      <c r="H7436" s="835">
        <f t="shared" si="312"/>
        <v>31</v>
      </c>
      <c r="AF7436" s="831" t="s">
        <v>8095</v>
      </c>
      <c r="AG7436" s="831" t="s">
        <v>2674</v>
      </c>
      <c r="AH7436" s="831" t="s">
        <v>655</v>
      </c>
      <c r="AI7436" s="831">
        <v>0</v>
      </c>
      <c r="AJ7436" s="835">
        <v>40602</v>
      </c>
      <c r="AK7436" s="831">
        <v>0</v>
      </c>
    </row>
    <row r="7437" spans="2:37">
      <c r="B7437" s="834" t="str">
        <f t="shared" si="311"/>
        <v>|||</v>
      </c>
      <c r="H7437" s="835">
        <f t="shared" si="312"/>
        <v>31</v>
      </c>
      <c r="AF7437" s="831" t="s">
        <v>8096</v>
      </c>
      <c r="AG7437" s="831" t="s">
        <v>2674</v>
      </c>
      <c r="AH7437" s="831" t="s">
        <v>546</v>
      </c>
      <c r="AI7437" s="831">
        <v>0</v>
      </c>
      <c r="AJ7437" s="835">
        <v>40633</v>
      </c>
      <c r="AK7437" s="831">
        <v>264562723</v>
      </c>
    </row>
    <row r="7438" spans="2:37">
      <c r="B7438" s="834" t="str">
        <f t="shared" si="311"/>
        <v>|||</v>
      </c>
      <c r="H7438" s="835">
        <f t="shared" si="312"/>
        <v>31</v>
      </c>
      <c r="AF7438" s="831" t="s">
        <v>8097</v>
      </c>
      <c r="AG7438" s="831" t="s">
        <v>2674</v>
      </c>
      <c r="AH7438" s="831" t="s">
        <v>370</v>
      </c>
      <c r="AI7438" s="831">
        <v>0</v>
      </c>
      <c r="AJ7438" s="835">
        <v>40633</v>
      </c>
      <c r="AK7438" s="831">
        <v>367912787</v>
      </c>
    </row>
    <row r="7439" spans="2:37">
      <c r="B7439" s="834" t="str">
        <f t="shared" si="311"/>
        <v>|||</v>
      </c>
      <c r="H7439" s="835">
        <f t="shared" si="312"/>
        <v>31</v>
      </c>
      <c r="AF7439" s="831" t="s">
        <v>8098</v>
      </c>
      <c r="AG7439" s="831" t="s">
        <v>2674</v>
      </c>
      <c r="AH7439" s="831" t="s">
        <v>126</v>
      </c>
      <c r="AI7439" s="831">
        <v>0</v>
      </c>
      <c r="AJ7439" s="835">
        <v>40633</v>
      </c>
      <c r="AK7439" s="831">
        <v>79026758</v>
      </c>
    </row>
    <row r="7440" spans="2:37">
      <c r="B7440" s="834" t="str">
        <f t="shared" si="311"/>
        <v>|||</v>
      </c>
      <c r="H7440" s="835">
        <f t="shared" si="312"/>
        <v>31</v>
      </c>
      <c r="AF7440" s="831" t="s">
        <v>8099</v>
      </c>
      <c r="AG7440" s="831" t="s">
        <v>2674</v>
      </c>
      <c r="AH7440" s="831" t="s">
        <v>268</v>
      </c>
      <c r="AI7440" s="831">
        <v>0</v>
      </c>
      <c r="AJ7440" s="835">
        <v>40633</v>
      </c>
      <c r="AK7440" s="831">
        <v>4571779</v>
      </c>
    </row>
    <row r="7441" spans="2:37">
      <c r="B7441" s="834" t="str">
        <f t="shared" si="311"/>
        <v>|||</v>
      </c>
      <c r="H7441" s="835">
        <f t="shared" si="312"/>
        <v>31</v>
      </c>
      <c r="AF7441" s="831" t="s">
        <v>8100</v>
      </c>
      <c r="AG7441" s="831" t="s">
        <v>2674</v>
      </c>
      <c r="AH7441" s="831" t="s">
        <v>547</v>
      </c>
      <c r="AI7441" s="831">
        <v>0</v>
      </c>
      <c r="AJ7441" s="835">
        <v>40633</v>
      </c>
      <c r="AK7441" s="831">
        <v>0</v>
      </c>
    </row>
    <row r="7442" spans="2:37">
      <c r="B7442" s="834" t="str">
        <f t="shared" si="311"/>
        <v>|||</v>
      </c>
      <c r="H7442" s="835">
        <f t="shared" si="312"/>
        <v>31</v>
      </c>
      <c r="AF7442" s="831" t="s">
        <v>8101</v>
      </c>
      <c r="AG7442" s="831" t="s">
        <v>2674</v>
      </c>
      <c r="AH7442" s="831" t="s">
        <v>548</v>
      </c>
      <c r="AI7442" s="831">
        <v>0</v>
      </c>
      <c r="AJ7442" s="835">
        <v>40633</v>
      </c>
      <c r="AK7442" s="831">
        <v>0</v>
      </c>
    </row>
    <row r="7443" spans="2:37">
      <c r="B7443" s="834" t="str">
        <f t="shared" si="311"/>
        <v>|||</v>
      </c>
      <c r="H7443" s="835">
        <f t="shared" si="312"/>
        <v>31</v>
      </c>
      <c r="AF7443" s="831" t="s">
        <v>8102</v>
      </c>
      <c r="AG7443" s="831" t="s">
        <v>2674</v>
      </c>
      <c r="AH7443" s="831" t="s">
        <v>549</v>
      </c>
      <c r="AI7443" s="831">
        <v>0</v>
      </c>
      <c r="AJ7443" s="835">
        <v>40633</v>
      </c>
      <c r="AK7443" s="831">
        <v>0</v>
      </c>
    </row>
    <row r="7444" spans="2:37">
      <c r="B7444" s="834" t="str">
        <f t="shared" si="311"/>
        <v>|||</v>
      </c>
      <c r="H7444" s="835">
        <f t="shared" si="312"/>
        <v>31</v>
      </c>
      <c r="AF7444" s="831" t="s">
        <v>8103</v>
      </c>
      <c r="AG7444" s="831" t="s">
        <v>2674</v>
      </c>
      <c r="AH7444" s="831" t="s">
        <v>192</v>
      </c>
      <c r="AI7444" s="831">
        <v>0</v>
      </c>
      <c r="AJ7444" s="835">
        <v>40633</v>
      </c>
      <c r="AK7444" s="831">
        <v>-8165163</v>
      </c>
    </row>
    <row r="7445" spans="2:37">
      <c r="B7445" s="834" t="str">
        <f t="shared" si="311"/>
        <v>|||</v>
      </c>
      <c r="H7445" s="835">
        <f t="shared" si="312"/>
        <v>31</v>
      </c>
      <c r="AF7445" s="831" t="s">
        <v>8104</v>
      </c>
      <c r="AG7445" s="831" t="s">
        <v>2674</v>
      </c>
      <c r="AH7445" s="831" t="s">
        <v>558</v>
      </c>
      <c r="AI7445" s="831">
        <v>0</v>
      </c>
      <c r="AJ7445" s="835">
        <v>40633</v>
      </c>
      <c r="AK7445" s="831">
        <v>288886029</v>
      </c>
    </row>
    <row r="7446" spans="2:37">
      <c r="B7446" s="834" t="str">
        <f t="shared" si="311"/>
        <v>|||</v>
      </c>
      <c r="H7446" s="835">
        <f t="shared" si="312"/>
        <v>31</v>
      </c>
      <c r="AF7446" s="831" t="s">
        <v>8105</v>
      </c>
      <c r="AG7446" s="831" t="s">
        <v>2674</v>
      </c>
      <c r="AH7446" s="831" t="s">
        <v>65</v>
      </c>
      <c r="AI7446" s="831">
        <v>0</v>
      </c>
      <c r="AJ7446" s="835">
        <v>40633</v>
      </c>
      <c r="AK7446" s="831">
        <v>20687938</v>
      </c>
    </row>
    <row r="7447" spans="2:37">
      <c r="B7447" s="834" t="str">
        <f t="shared" si="311"/>
        <v>|||</v>
      </c>
      <c r="H7447" s="835">
        <f t="shared" si="312"/>
        <v>31</v>
      </c>
      <c r="AF7447" s="831" t="s">
        <v>8106</v>
      </c>
      <c r="AG7447" s="831" t="s">
        <v>2674</v>
      </c>
      <c r="AH7447" s="831" t="s">
        <v>89</v>
      </c>
      <c r="AI7447" s="831">
        <v>0</v>
      </c>
      <c r="AJ7447" s="835">
        <v>40633</v>
      </c>
      <c r="AK7447" s="831">
        <v>0</v>
      </c>
    </row>
    <row r="7448" spans="2:37">
      <c r="B7448" s="834" t="str">
        <f t="shared" si="311"/>
        <v>|||</v>
      </c>
      <c r="H7448" s="835">
        <f t="shared" si="312"/>
        <v>31</v>
      </c>
      <c r="AF7448" s="831" t="s">
        <v>8107</v>
      </c>
      <c r="AG7448" s="831" t="s">
        <v>2674</v>
      </c>
      <c r="AH7448" s="831" t="s">
        <v>557</v>
      </c>
      <c r="AI7448" s="831">
        <v>0</v>
      </c>
      <c r="AJ7448" s="835">
        <v>40633</v>
      </c>
      <c r="AK7448" s="831">
        <v>0</v>
      </c>
    </row>
    <row r="7449" spans="2:37">
      <c r="B7449" s="834" t="str">
        <f t="shared" si="311"/>
        <v>|||</v>
      </c>
      <c r="H7449" s="835">
        <f t="shared" si="312"/>
        <v>31</v>
      </c>
      <c r="AF7449" s="831" t="s">
        <v>8108</v>
      </c>
      <c r="AG7449" s="831" t="s">
        <v>2674</v>
      </c>
      <c r="AH7449" s="831" t="s">
        <v>29</v>
      </c>
      <c r="AI7449" s="831">
        <v>0</v>
      </c>
      <c r="AJ7449" s="835">
        <v>40633</v>
      </c>
      <c r="AK7449" s="831">
        <v>0</v>
      </c>
    </row>
    <row r="7450" spans="2:37">
      <c r="B7450" s="834" t="str">
        <f t="shared" si="311"/>
        <v>|||</v>
      </c>
      <c r="H7450" s="835">
        <f t="shared" si="312"/>
        <v>31</v>
      </c>
      <c r="AF7450" s="831" t="s">
        <v>8109</v>
      </c>
      <c r="AG7450" s="831" t="s">
        <v>2674</v>
      </c>
      <c r="AH7450" s="831" t="s">
        <v>2688</v>
      </c>
      <c r="AI7450" s="831">
        <v>0</v>
      </c>
      <c r="AJ7450" s="835">
        <v>40633</v>
      </c>
      <c r="AK7450" s="831">
        <v>0</v>
      </c>
    </row>
    <row r="7451" spans="2:37">
      <c r="B7451" s="834" t="str">
        <f t="shared" si="311"/>
        <v>|||</v>
      </c>
      <c r="H7451" s="835">
        <f t="shared" si="312"/>
        <v>31</v>
      </c>
      <c r="AF7451" s="831" t="s">
        <v>8110</v>
      </c>
      <c r="AG7451" s="831" t="s">
        <v>2674</v>
      </c>
      <c r="AH7451" s="831" t="s">
        <v>556</v>
      </c>
      <c r="AI7451" s="831">
        <v>0</v>
      </c>
      <c r="AJ7451" s="835">
        <v>40633</v>
      </c>
      <c r="AK7451" s="831">
        <v>1373340</v>
      </c>
    </row>
    <row r="7452" spans="2:37">
      <c r="B7452" s="834" t="str">
        <f t="shared" si="311"/>
        <v>|||</v>
      </c>
      <c r="H7452" s="835">
        <f t="shared" si="312"/>
        <v>31</v>
      </c>
      <c r="AF7452" s="831" t="s">
        <v>8111</v>
      </c>
      <c r="AG7452" s="831" t="s">
        <v>2674</v>
      </c>
      <c r="AH7452" s="831" t="s">
        <v>555</v>
      </c>
      <c r="AI7452" s="831">
        <v>0</v>
      </c>
      <c r="AJ7452" s="835">
        <v>40633</v>
      </c>
      <c r="AK7452" s="831">
        <v>185250860</v>
      </c>
    </row>
    <row r="7453" spans="2:37">
      <c r="B7453" s="834" t="str">
        <f t="shared" si="311"/>
        <v>|||</v>
      </c>
      <c r="H7453" s="835">
        <f t="shared" si="312"/>
        <v>31</v>
      </c>
      <c r="AF7453" s="831" t="s">
        <v>8112</v>
      </c>
      <c r="AG7453" s="831" t="s">
        <v>2674</v>
      </c>
      <c r="AH7453" s="831" t="s">
        <v>554</v>
      </c>
      <c r="AI7453" s="831">
        <v>0</v>
      </c>
      <c r="AJ7453" s="835">
        <v>40633</v>
      </c>
      <c r="AK7453" s="831">
        <v>183534920</v>
      </c>
    </row>
    <row r="7454" spans="2:37">
      <c r="B7454" s="834" t="str">
        <f t="shared" si="311"/>
        <v>|||</v>
      </c>
      <c r="H7454" s="835">
        <f t="shared" si="312"/>
        <v>31</v>
      </c>
      <c r="AF7454" s="831" t="s">
        <v>8113</v>
      </c>
      <c r="AG7454" s="831" t="s">
        <v>2674</v>
      </c>
      <c r="AH7454" s="831" t="s">
        <v>553</v>
      </c>
      <c r="AI7454" s="831">
        <v>0</v>
      </c>
      <c r="AJ7454" s="835">
        <v>40633</v>
      </c>
      <c r="AK7454" s="831">
        <v>0</v>
      </c>
    </row>
    <row r="7455" spans="2:37">
      <c r="B7455" s="834" t="str">
        <f t="shared" si="311"/>
        <v>|||</v>
      </c>
      <c r="H7455" s="835">
        <f t="shared" si="312"/>
        <v>31</v>
      </c>
      <c r="AF7455" s="831" t="s">
        <v>8114</v>
      </c>
      <c r="AG7455" s="831" t="s">
        <v>2674</v>
      </c>
      <c r="AH7455" s="831" t="s">
        <v>552</v>
      </c>
      <c r="AI7455" s="831">
        <v>0</v>
      </c>
      <c r="AJ7455" s="835">
        <v>40633</v>
      </c>
      <c r="AK7455" s="831">
        <v>0</v>
      </c>
    </row>
    <row r="7456" spans="2:37">
      <c r="B7456" s="834" t="str">
        <f t="shared" si="311"/>
        <v>|||</v>
      </c>
      <c r="H7456" s="835">
        <f t="shared" si="312"/>
        <v>31</v>
      </c>
      <c r="AF7456" s="831" t="s">
        <v>8115</v>
      </c>
      <c r="AG7456" s="831" t="s">
        <v>2674</v>
      </c>
      <c r="AH7456" s="831" t="s">
        <v>551</v>
      </c>
      <c r="AI7456" s="831">
        <v>0</v>
      </c>
      <c r="AJ7456" s="835">
        <v>40633</v>
      </c>
      <c r="AK7456" s="831">
        <v>0</v>
      </c>
    </row>
    <row r="7457" spans="2:37">
      <c r="B7457" s="834" t="str">
        <f t="shared" si="311"/>
        <v>|||</v>
      </c>
      <c r="H7457" s="835">
        <f t="shared" si="312"/>
        <v>31</v>
      </c>
      <c r="AF7457" s="831" t="s">
        <v>8116</v>
      </c>
      <c r="AG7457" s="831" t="s">
        <v>2674</v>
      </c>
      <c r="AH7457" s="831" t="s">
        <v>550</v>
      </c>
      <c r="AI7457" s="831">
        <v>0</v>
      </c>
      <c r="AJ7457" s="835">
        <v>40633</v>
      </c>
      <c r="AK7457" s="831">
        <v>0</v>
      </c>
    </row>
    <row r="7458" spans="2:37">
      <c r="B7458" s="834" t="str">
        <f t="shared" si="311"/>
        <v>|||</v>
      </c>
      <c r="H7458" s="835">
        <f t="shared" si="312"/>
        <v>31</v>
      </c>
      <c r="AF7458" s="831" t="s">
        <v>8117</v>
      </c>
      <c r="AG7458" s="831" t="s">
        <v>2674</v>
      </c>
      <c r="AH7458" s="831" t="s">
        <v>562</v>
      </c>
      <c r="AI7458" s="831">
        <v>0</v>
      </c>
      <c r="AJ7458" s="835">
        <v>40633</v>
      </c>
      <c r="AK7458" s="831">
        <v>0.79500000000000004</v>
      </c>
    </row>
    <row r="7459" spans="2:37">
      <c r="B7459" s="834" t="str">
        <f t="shared" si="311"/>
        <v>|||</v>
      </c>
      <c r="H7459" s="835">
        <f t="shared" si="312"/>
        <v>31</v>
      </c>
      <c r="AF7459" s="831" t="s">
        <v>8118</v>
      </c>
      <c r="AG7459" s="831" t="s">
        <v>2674</v>
      </c>
      <c r="AH7459" s="831" t="s">
        <v>2698</v>
      </c>
      <c r="AI7459" s="831">
        <v>0</v>
      </c>
      <c r="AJ7459" s="835">
        <v>40633</v>
      </c>
      <c r="AK7459" s="831">
        <v>0.79500000000000004</v>
      </c>
    </row>
    <row r="7460" spans="2:37">
      <c r="B7460" s="834" t="str">
        <f t="shared" si="311"/>
        <v>|||</v>
      </c>
      <c r="H7460" s="835">
        <f t="shared" si="312"/>
        <v>31</v>
      </c>
      <c r="AF7460" s="831" t="s">
        <v>8119</v>
      </c>
      <c r="AG7460" s="831" t="s">
        <v>2674</v>
      </c>
      <c r="AH7460" s="831" t="s">
        <v>560</v>
      </c>
      <c r="AI7460" s="831">
        <v>0</v>
      </c>
      <c r="AJ7460" s="835">
        <v>40633</v>
      </c>
      <c r="AK7460" s="831">
        <v>0.79766666666666697</v>
      </c>
    </row>
    <row r="7461" spans="2:37">
      <c r="B7461" s="834" t="str">
        <f t="shared" si="311"/>
        <v>|||</v>
      </c>
      <c r="H7461" s="835">
        <f t="shared" si="312"/>
        <v>31</v>
      </c>
      <c r="AF7461" s="831" t="s">
        <v>8120</v>
      </c>
      <c r="AG7461" s="831" t="s">
        <v>2674</v>
      </c>
      <c r="AH7461" s="831" t="s">
        <v>559</v>
      </c>
      <c r="AI7461" s="831">
        <v>0</v>
      </c>
      <c r="AJ7461" s="835">
        <v>40633</v>
      </c>
      <c r="AK7461" s="831">
        <v>0.79949999999999999</v>
      </c>
    </row>
    <row r="7462" spans="2:37">
      <c r="B7462" s="834" t="str">
        <f t="shared" si="311"/>
        <v>|||</v>
      </c>
      <c r="H7462" s="835">
        <f t="shared" si="312"/>
        <v>31</v>
      </c>
      <c r="AF7462" s="831" t="s">
        <v>8121</v>
      </c>
      <c r="AG7462" s="831" t="s">
        <v>2674</v>
      </c>
      <c r="AH7462" s="831" t="s">
        <v>568</v>
      </c>
      <c r="AI7462" s="831">
        <v>0</v>
      </c>
      <c r="AJ7462" s="835">
        <v>40633</v>
      </c>
      <c r="AK7462" s="831">
        <v>0</v>
      </c>
    </row>
    <row r="7463" spans="2:37">
      <c r="B7463" s="834" t="str">
        <f t="shared" si="311"/>
        <v>|||</v>
      </c>
      <c r="H7463" s="835">
        <f t="shared" si="312"/>
        <v>31</v>
      </c>
      <c r="AF7463" s="831" t="s">
        <v>8122</v>
      </c>
      <c r="AG7463" s="831" t="s">
        <v>2674</v>
      </c>
      <c r="AH7463" s="831" t="s">
        <v>569</v>
      </c>
      <c r="AI7463" s="831">
        <v>0</v>
      </c>
      <c r="AJ7463" s="835">
        <v>40633</v>
      </c>
      <c r="AK7463" s="831">
        <v>0</v>
      </c>
    </row>
    <row r="7464" spans="2:37">
      <c r="B7464" s="834" t="str">
        <f t="shared" si="311"/>
        <v>|||</v>
      </c>
      <c r="H7464" s="835">
        <f t="shared" si="312"/>
        <v>31</v>
      </c>
      <c r="AF7464" s="831" t="s">
        <v>8123</v>
      </c>
      <c r="AG7464" s="831" t="s">
        <v>2674</v>
      </c>
      <c r="AH7464" s="831" t="s">
        <v>570</v>
      </c>
      <c r="AI7464" s="831">
        <v>0</v>
      </c>
      <c r="AJ7464" s="835">
        <v>40633</v>
      </c>
      <c r="AK7464" s="831">
        <v>0</v>
      </c>
    </row>
    <row r="7465" spans="2:37">
      <c r="B7465" s="834" t="str">
        <f t="shared" si="311"/>
        <v>|||</v>
      </c>
      <c r="H7465" s="835">
        <f t="shared" si="312"/>
        <v>31</v>
      </c>
      <c r="AF7465" s="831" t="s">
        <v>8124</v>
      </c>
      <c r="AG7465" s="831" t="s">
        <v>2674</v>
      </c>
      <c r="AH7465" s="831" t="s">
        <v>571</v>
      </c>
      <c r="AI7465" s="831">
        <v>0</v>
      </c>
      <c r="AJ7465" s="835">
        <v>40633</v>
      </c>
      <c r="AK7465" s="831">
        <v>0</v>
      </c>
    </row>
    <row r="7466" spans="2:37">
      <c r="B7466" s="834" t="str">
        <f t="shared" si="311"/>
        <v>|||</v>
      </c>
      <c r="H7466" s="835">
        <f t="shared" si="312"/>
        <v>31</v>
      </c>
      <c r="AF7466" s="831" t="s">
        <v>8125</v>
      </c>
      <c r="AG7466" s="831" t="s">
        <v>2674</v>
      </c>
      <c r="AH7466" s="831" t="s">
        <v>573</v>
      </c>
      <c r="AI7466" s="831">
        <v>0</v>
      </c>
      <c r="AJ7466" s="835">
        <v>40633</v>
      </c>
      <c r="AK7466" s="831">
        <v>0</v>
      </c>
    </row>
    <row r="7467" spans="2:37">
      <c r="B7467" s="834" t="str">
        <f t="shared" si="311"/>
        <v>|||</v>
      </c>
      <c r="H7467" s="835">
        <f t="shared" si="312"/>
        <v>31</v>
      </c>
      <c r="AF7467" s="831" t="s">
        <v>8126</v>
      </c>
      <c r="AG7467" s="831" t="s">
        <v>2674</v>
      </c>
      <c r="AH7467" s="831" t="s">
        <v>574</v>
      </c>
      <c r="AI7467" s="831">
        <v>0</v>
      </c>
      <c r="AJ7467" s="835">
        <v>40633</v>
      </c>
      <c r="AK7467" s="831">
        <v>0</v>
      </c>
    </row>
    <row r="7468" spans="2:37">
      <c r="B7468" s="834" t="str">
        <f t="shared" si="311"/>
        <v>|||</v>
      </c>
      <c r="H7468" s="835">
        <f t="shared" si="312"/>
        <v>31</v>
      </c>
      <c r="AF7468" s="831" t="s">
        <v>8127</v>
      </c>
      <c r="AG7468" s="831" t="s">
        <v>2674</v>
      </c>
      <c r="AH7468" s="831" t="s">
        <v>575</v>
      </c>
      <c r="AI7468" s="831">
        <v>0</v>
      </c>
      <c r="AJ7468" s="835">
        <v>40633</v>
      </c>
      <c r="AK7468" s="831">
        <v>0</v>
      </c>
    </row>
    <row r="7469" spans="2:37">
      <c r="B7469" s="834" t="str">
        <f t="shared" si="311"/>
        <v>|||</v>
      </c>
      <c r="H7469" s="835">
        <f t="shared" si="312"/>
        <v>31</v>
      </c>
      <c r="AF7469" s="831" t="s">
        <v>8128</v>
      </c>
      <c r="AG7469" s="831" t="s">
        <v>2674</v>
      </c>
      <c r="AH7469" s="831" t="s">
        <v>576</v>
      </c>
      <c r="AI7469" s="831">
        <v>0</v>
      </c>
      <c r="AJ7469" s="835">
        <v>40633</v>
      </c>
      <c r="AK7469" s="831">
        <v>0</v>
      </c>
    </row>
    <row r="7470" spans="2:37">
      <c r="B7470" s="834" t="str">
        <f t="shared" si="311"/>
        <v>|||</v>
      </c>
      <c r="H7470" s="835">
        <f t="shared" si="312"/>
        <v>31</v>
      </c>
      <c r="AF7470" s="831" t="s">
        <v>8129</v>
      </c>
      <c r="AG7470" s="831" t="s">
        <v>2674</v>
      </c>
      <c r="AH7470" s="831" t="s">
        <v>572</v>
      </c>
      <c r="AI7470" s="831">
        <v>0</v>
      </c>
      <c r="AJ7470" s="835">
        <v>40633</v>
      </c>
      <c r="AK7470" s="831">
        <v>0</v>
      </c>
    </row>
    <row r="7471" spans="2:37">
      <c r="B7471" s="834" t="str">
        <f t="shared" si="311"/>
        <v>|||</v>
      </c>
      <c r="H7471" s="835">
        <f t="shared" si="312"/>
        <v>31</v>
      </c>
      <c r="AF7471" s="831" t="s">
        <v>8130</v>
      </c>
      <c r="AG7471" s="831" t="s">
        <v>2674</v>
      </c>
      <c r="AH7471" s="831" t="s">
        <v>577</v>
      </c>
      <c r="AI7471" s="831">
        <v>0</v>
      </c>
      <c r="AJ7471" s="835">
        <v>40633</v>
      </c>
      <c r="AK7471" s="831">
        <v>0</v>
      </c>
    </row>
    <row r="7472" spans="2:37">
      <c r="B7472" s="834" t="str">
        <f t="shared" si="311"/>
        <v>|||</v>
      </c>
      <c r="H7472" s="835">
        <f t="shared" si="312"/>
        <v>31</v>
      </c>
      <c r="AF7472" s="831" t="s">
        <v>8131</v>
      </c>
      <c r="AG7472" s="831" t="s">
        <v>2674</v>
      </c>
      <c r="AH7472" s="831" t="s">
        <v>3042</v>
      </c>
      <c r="AI7472" s="831">
        <v>0</v>
      </c>
      <c r="AJ7472" s="835">
        <v>40633</v>
      </c>
      <c r="AK7472" s="831">
        <v>0</v>
      </c>
    </row>
    <row r="7473" spans="2:37">
      <c r="B7473" s="834" t="str">
        <f t="shared" si="311"/>
        <v>|||</v>
      </c>
      <c r="H7473" s="835">
        <f t="shared" si="312"/>
        <v>31</v>
      </c>
      <c r="AF7473" s="831" t="s">
        <v>8132</v>
      </c>
      <c r="AG7473" s="831" t="s">
        <v>2674</v>
      </c>
      <c r="AH7473" s="831" t="s">
        <v>3044</v>
      </c>
      <c r="AI7473" s="831">
        <v>0</v>
      </c>
      <c r="AJ7473" s="835">
        <v>40633</v>
      </c>
      <c r="AK7473" s="831">
        <v>0</v>
      </c>
    </row>
    <row r="7474" spans="2:37">
      <c r="B7474" s="834" t="str">
        <f t="shared" si="311"/>
        <v>|||</v>
      </c>
      <c r="H7474" s="835">
        <f t="shared" si="312"/>
        <v>31</v>
      </c>
      <c r="AF7474" s="831" t="s">
        <v>8133</v>
      </c>
      <c r="AG7474" s="831" t="s">
        <v>2674</v>
      </c>
      <c r="AH7474" s="831" t="s">
        <v>580</v>
      </c>
      <c r="AI7474" s="831">
        <v>0</v>
      </c>
      <c r="AJ7474" s="835">
        <v>40633</v>
      </c>
      <c r="AK7474" s="831">
        <v>0</v>
      </c>
    </row>
    <row r="7475" spans="2:37">
      <c r="B7475" s="834" t="str">
        <f t="shared" si="311"/>
        <v>|||</v>
      </c>
      <c r="H7475" s="835">
        <f t="shared" si="312"/>
        <v>31</v>
      </c>
      <c r="AF7475" s="831" t="s">
        <v>8134</v>
      </c>
      <c r="AG7475" s="831" t="s">
        <v>2674</v>
      </c>
      <c r="AH7475" s="831" t="s">
        <v>581</v>
      </c>
      <c r="AI7475" s="831">
        <v>0</v>
      </c>
      <c r="AJ7475" s="835">
        <v>40633</v>
      </c>
      <c r="AK7475" s="831">
        <v>0</v>
      </c>
    </row>
    <row r="7476" spans="2:37">
      <c r="B7476" s="834" t="str">
        <f t="shared" si="311"/>
        <v>|||</v>
      </c>
      <c r="H7476" s="835">
        <f t="shared" si="312"/>
        <v>31</v>
      </c>
      <c r="AF7476" s="831" t="s">
        <v>8135</v>
      </c>
      <c r="AG7476" s="831" t="s">
        <v>2674</v>
      </c>
      <c r="AH7476" s="831" t="s">
        <v>105</v>
      </c>
      <c r="AI7476" s="831">
        <v>0</v>
      </c>
      <c r="AJ7476" s="835">
        <v>40633</v>
      </c>
      <c r="AK7476" s="831">
        <v>148934220</v>
      </c>
    </row>
    <row r="7477" spans="2:37">
      <c r="B7477" s="834" t="str">
        <f t="shared" si="311"/>
        <v>|||</v>
      </c>
      <c r="H7477" s="835">
        <f t="shared" si="312"/>
        <v>31</v>
      </c>
      <c r="AF7477" s="831" t="s">
        <v>8136</v>
      </c>
      <c r="AG7477" s="831" t="s">
        <v>2674</v>
      </c>
      <c r="AH7477" s="831" t="s">
        <v>3049</v>
      </c>
      <c r="AI7477" s="831">
        <v>0</v>
      </c>
      <c r="AJ7477" s="835">
        <v>40633</v>
      </c>
      <c r="AK7477" s="831">
        <v>278661319</v>
      </c>
    </row>
    <row r="7478" spans="2:37">
      <c r="B7478" s="834" t="str">
        <f t="shared" si="311"/>
        <v>|||</v>
      </c>
      <c r="H7478" s="835">
        <f t="shared" si="312"/>
        <v>31</v>
      </c>
      <c r="AF7478" s="831" t="s">
        <v>8137</v>
      </c>
      <c r="AG7478" s="831" t="s">
        <v>2674</v>
      </c>
      <c r="AH7478" s="831" t="s">
        <v>103</v>
      </c>
      <c r="AI7478" s="831">
        <v>0</v>
      </c>
      <c r="AJ7478" s="835">
        <v>40633</v>
      </c>
      <c r="AK7478" s="831">
        <v>129727099</v>
      </c>
    </row>
    <row r="7479" spans="2:37">
      <c r="B7479" s="834" t="str">
        <f t="shared" si="311"/>
        <v>|||</v>
      </c>
      <c r="H7479" s="835">
        <f t="shared" si="312"/>
        <v>31</v>
      </c>
      <c r="AF7479" s="831" t="s">
        <v>8138</v>
      </c>
      <c r="AG7479" s="831" t="s">
        <v>2674</v>
      </c>
      <c r="AH7479" s="831" t="s">
        <v>182</v>
      </c>
      <c r="AI7479" s="831">
        <v>0</v>
      </c>
      <c r="AJ7479" s="835">
        <v>40633</v>
      </c>
      <c r="AK7479" s="831">
        <v>38999448</v>
      </c>
    </row>
    <row r="7480" spans="2:37">
      <c r="B7480" s="834" t="str">
        <f t="shared" si="311"/>
        <v>|||</v>
      </c>
      <c r="H7480" s="835">
        <f t="shared" si="312"/>
        <v>31</v>
      </c>
      <c r="AF7480" s="831" t="s">
        <v>8139</v>
      </c>
      <c r="AG7480" s="831" t="s">
        <v>2674</v>
      </c>
      <c r="AH7480" s="831" t="s">
        <v>6600</v>
      </c>
      <c r="AI7480" s="831">
        <v>0</v>
      </c>
      <c r="AJ7480" s="835">
        <v>40633</v>
      </c>
      <c r="AK7480" s="831">
        <v>0</v>
      </c>
    </row>
    <row r="7481" spans="2:37">
      <c r="B7481" s="834" t="str">
        <f t="shared" si="311"/>
        <v>|||</v>
      </c>
      <c r="H7481" s="835">
        <f t="shared" si="312"/>
        <v>31</v>
      </c>
      <c r="AF7481" s="831" t="s">
        <v>8140</v>
      </c>
      <c r="AG7481" s="831" t="s">
        <v>2674</v>
      </c>
      <c r="AH7481" s="831" t="s">
        <v>6602</v>
      </c>
      <c r="AI7481" s="831">
        <v>0</v>
      </c>
      <c r="AJ7481" s="835">
        <v>40633</v>
      </c>
      <c r="AK7481" s="831">
        <v>4571779</v>
      </c>
    </row>
    <row r="7482" spans="2:37">
      <c r="B7482" s="834" t="str">
        <f t="shared" si="311"/>
        <v>|||</v>
      </c>
      <c r="H7482" s="835">
        <f t="shared" si="312"/>
        <v>31</v>
      </c>
      <c r="AF7482" s="831" t="s">
        <v>8141</v>
      </c>
      <c r="AG7482" s="831" t="s">
        <v>2674</v>
      </c>
      <c r="AH7482" s="831" t="s">
        <v>650</v>
      </c>
      <c r="AI7482" s="831">
        <v>0</v>
      </c>
      <c r="AJ7482" s="835">
        <v>40633</v>
      </c>
      <c r="AK7482" s="831">
        <v>0</v>
      </c>
    </row>
    <row r="7483" spans="2:37">
      <c r="B7483" s="834" t="str">
        <f t="shared" si="311"/>
        <v>|||</v>
      </c>
      <c r="H7483" s="835">
        <f t="shared" si="312"/>
        <v>31</v>
      </c>
      <c r="AF7483" s="831" t="s">
        <v>8142</v>
      </c>
      <c r="AG7483" s="831" t="s">
        <v>2674</v>
      </c>
      <c r="AH7483" s="831" t="s">
        <v>655</v>
      </c>
      <c r="AI7483" s="831">
        <v>0</v>
      </c>
      <c r="AJ7483" s="835">
        <v>40633</v>
      </c>
      <c r="AK7483" s="831">
        <v>0</v>
      </c>
    </row>
    <row r="7484" spans="2:37">
      <c r="B7484" s="834" t="str">
        <f t="shared" si="311"/>
        <v>|||</v>
      </c>
      <c r="H7484" s="835">
        <f t="shared" si="312"/>
        <v>31</v>
      </c>
      <c r="AF7484" s="831" t="s">
        <v>8143</v>
      </c>
      <c r="AG7484" s="831" t="s">
        <v>2674</v>
      </c>
      <c r="AH7484" s="831" t="s">
        <v>546</v>
      </c>
      <c r="AI7484" s="831">
        <v>0</v>
      </c>
      <c r="AJ7484" s="835">
        <v>40663</v>
      </c>
      <c r="AK7484" s="831">
        <v>269079774</v>
      </c>
    </row>
    <row r="7485" spans="2:37">
      <c r="B7485" s="834" t="str">
        <f t="shared" si="311"/>
        <v>|||</v>
      </c>
      <c r="H7485" s="835">
        <f t="shared" si="312"/>
        <v>31</v>
      </c>
      <c r="AF7485" s="831" t="s">
        <v>8144</v>
      </c>
      <c r="AG7485" s="831" t="s">
        <v>2674</v>
      </c>
      <c r="AH7485" s="831" t="s">
        <v>370</v>
      </c>
      <c r="AI7485" s="831">
        <v>0</v>
      </c>
      <c r="AJ7485" s="835">
        <v>40663</v>
      </c>
      <c r="AK7485" s="831">
        <v>370447033</v>
      </c>
    </row>
    <row r="7486" spans="2:37">
      <c r="B7486" s="834" t="str">
        <f t="shared" si="311"/>
        <v>|||</v>
      </c>
      <c r="H7486" s="835">
        <f t="shared" si="312"/>
        <v>31</v>
      </c>
      <c r="AF7486" s="831" t="s">
        <v>8145</v>
      </c>
      <c r="AG7486" s="831" t="s">
        <v>2674</v>
      </c>
      <c r="AH7486" s="831" t="s">
        <v>126</v>
      </c>
      <c r="AI7486" s="831">
        <v>0</v>
      </c>
      <c r="AJ7486" s="835">
        <v>40663</v>
      </c>
      <c r="AK7486" s="831">
        <v>80375936</v>
      </c>
    </row>
    <row r="7487" spans="2:37">
      <c r="B7487" s="834" t="str">
        <f t="shared" si="311"/>
        <v>|||</v>
      </c>
      <c r="H7487" s="835">
        <f t="shared" si="312"/>
        <v>31</v>
      </c>
      <c r="AF7487" s="831" t="s">
        <v>8146</v>
      </c>
      <c r="AG7487" s="831" t="s">
        <v>2674</v>
      </c>
      <c r="AH7487" s="831" t="s">
        <v>268</v>
      </c>
      <c r="AI7487" s="831">
        <v>0</v>
      </c>
      <c r="AJ7487" s="835">
        <v>40663</v>
      </c>
      <c r="AK7487" s="831">
        <v>5921011</v>
      </c>
    </row>
    <row r="7488" spans="2:37">
      <c r="B7488" s="834" t="str">
        <f t="shared" si="311"/>
        <v>|||</v>
      </c>
      <c r="H7488" s="835">
        <f t="shared" si="312"/>
        <v>31</v>
      </c>
      <c r="AF7488" s="831" t="s">
        <v>8147</v>
      </c>
      <c r="AG7488" s="831" t="s">
        <v>2674</v>
      </c>
      <c r="AH7488" s="831" t="s">
        <v>547</v>
      </c>
      <c r="AI7488" s="831">
        <v>0</v>
      </c>
      <c r="AJ7488" s="835">
        <v>40663</v>
      </c>
      <c r="AK7488" s="831">
        <v>0</v>
      </c>
    </row>
    <row r="7489" spans="2:37">
      <c r="B7489" s="834" t="str">
        <f t="shared" si="311"/>
        <v>|||</v>
      </c>
      <c r="H7489" s="835">
        <f t="shared" si="312"/>
        <v>31</v>
      </c>
      <c r="AF7489" s="831" t="s">
        <v>8148</v>
      </c>
      <c r="AG7489" s="831" t="s">
        <v>2674</v>
      </c>
      <c r="AH7489" s="831" t="s">
        <v>548</v>
      </c>
      <c r="AI7489" s="831">
        <v>0</v>
      </c>
      <c r="AJ7489" s="835">
        <v>40663</v>
      </c>
      <c r="AK7489" s="831">
        <v>0</v>
      </c>
    </row>
    <row r="7490" spans="2:37">
      <c r="B7490" s="834" t="str">
        <f t="shared" si="311"/>
        <v>|||</v>
      </c>
      <c r="H7490" s="835">
        <f t="shared" si="312"/>
        <v>31</v>
      </c>
      <c r="AF7490" s="831" t="s">
        <v>8149</v>
      </c>
      <c r="AG7490" s="831" t="s">
        <v>2674</v>
      </c>
      <c r="AH7490" s="831" t="s">
        <v>549</v>
      </c>
      <c r="AI7490" s="831">
        <v>0</v>
      </c>
      <c r="AJ7490" s="835">
        <v>40663</v>
      </c>
      <c r="AK7490" s="831">
        <v>0</v>
      </c>
    </row>
    <row r="7491" spans="2:37">
      <c r="B7491" s="834" t="str">
        <f t="shared" ref="B7491:B7554" si="313">C7491&amp;"|"&amp;D7491&amp;"|"&amp;E7491&amp;"|"&amp;F7491</f>
        <v>|||</v>
      </c>
      <c r="H7491" s="835">
        <f t="shared" si="312"/>
        <v>31</v>
      </c>
      <c r="AF7491" s="831" t="s">
        <v>8150</v>
      </c>
      <c r="AG7491" s="831" t="s">
        <v>2674</v>
      </c>
      <c r="AH7491" s="831" t="s">
        <v>192</v>
      </c>
      <c r="AI7491" s="831">
        <v>0</v>
      </c>
      <c r="AJ7491" s="835">
        <v>40663</v>
      </c>
      <c r="AK7491" s="831">
        <v>-8438209</v>
      </c>
    </row>
    <row r="7492" spans="2:37">
      <c r="B7492" s="834" t="str">
        <f t="shared" si="313"/>
        <v>|||</v>
      </c>
      <c r="H7492" s="835">
        <f t="shared" ref="H7492:H7555" si="314">EOMONTH(L7492,0)</f>
        <v>31</v>
      </c>
      <c r="AF7492" s="831" t="s">
        <v>8151</v>
      </c>
      <c r="AG7492" s="831" t="s">
        <v>2674</v>
      </c>
      <c r="AH7492" s="831" t="s">
        <v>558</v>
      </c>
      <c r="AI7492" s="831">
        <v>0</v>
      </c>
      <c r="AJ7492" s="835">
        <v>40663</v>
      </c>
      <c r="AK7492" s="831">
        <v>290071097</v>
      </c>
    </row>
    <row r="7493" spans="2:37">
      <c r="B7493" s="834" t="str">
        <f t="shared" si="313"/>
        <v>|||</v>
      </c>
      <c r="H7493" s="835">
        <f t="shared" si="314"/>
        <v>31</v>
      </c>
      <c r="AF7493" s="831" t="s">
        <v>8152</v>
      </c>
      <c r="AG7493" s="831" t="s">
        <v>2674</v>
      </c>
      <c r="AH7493" s="831" t="s">
        <v>65</v>
      </c>
      <c r="AI7493" s="831">
        <v>0</v>
      </c>
      <c r="AJ7493" s="835">
        <v>40663</v>
      </c>
      <c r="AK7493" s="831">
        <v>27917692</v>
      </c>
    </row>
    <row r="7494" spans="2:37">
      <c r="B7494" s="834" t="str">
        <f t="shared" si="313"/>
        <v>|||</v>
      </c>
      <c r="H7494" s="835">
        <f t="shared" si="314"/>
        <v>31</v>
      </c>
      <c r="AF7494" s="831" t="s">
        <v>8153</v>
      </c>
      <c r="AG7494" s="831" t="s">
        <v>2674</v>
      </c>
      <c r="AH7494" s="831" t="s">
        <v>89</v>
      </c>
      <c r="AI7494" s="831">
        <v>0</v>
      </c>
      <c r="AJ7494" s="835">
        <v>40663</v>
      </c>
      <c r="AK7494" s="831">
        <v>0</v>
      </c>
    </row>
    <row r="7495" spans="2:37">
      <c r="B7495" s="834" t="str">
        <f t="shared" si="313"/>
        <v>|||</v>
      </c>
      <c r="H7495" s="835">
        <f t="shared" si="314"/>
        <v>31</v>
      </c>
      <c r="AF7495" s="831" t="s">
        <v>8154</v>
      </c>
      <c r="AG7495" s="831" t="s">
        <v>2674</v>
      </c>
      <c r="AH7495" s="831" t="s">
        <v>557</v>
      </c>
      <c r="AI7495" s="831">
        <v>0</v>
      </c>
      <c r="AJ7495" s="835">
        <v>40663</v>
      </c>
      <c r="AK7495" s="831">
        <v>0</v>
      </c>
    </row>
    <row r="7496" spans="2:37">
      <c r="B7496" s="834" t="str">
        <f t="shared" si="313"/>
        <v>|||</v>
      </c>
      <c r="H7496" s="835">
        <f t="shared" si="314"/>
        <v>31</v>
      </c>
      <c r="AF7496" s="831" t="s">
        <v>8155</v>
      </c>
      <c r="AG7496" s="831" t="s">
        <v>2674</v>
      </c>
      <c r="AH7496" s="831" t="s">
        <v>29</v>
      </c>
      <c r="AI7496" s="831">
        <v>0</v>
      </c>
      <c r="AJ7496" s="835">
        <v>40663</v>
      </c>
      <c r="AK7496" s="831">
        <v>0</v>
      </c>
    </row>
    <row r="7497" spans="2:37">
      <c r="B7497" s="834" t="str">
        <f t="shared" si="313"/>
        <v>|||</v>
      </c>
      <c r="H7497" s="835">
        <f t="shared" si="314"/>
        <v>31</v>
      </c>
      <c r="AF7497" s="831" t="s">
        <v>8156</v>
      </c>
      <c r="AG7497" s="831" t="s">
        <v>2674</v>
      </c>
      <c r="AH7497" s="831" t="s">
        <v>2688</v>
      </c>
      <c r="AI7497" s="831">
        <v>0</v>
      </c>
      <c r="AJ7497" s="835">
        <v>40663</v>
      </c>
      <c r="AK7497" s="831">
        <v>0</v>
      </c>
    </row>
    <row r="7498" spans="2:37">
      <c r="B7498" s="834" t="str">
        <f t="shared" si="313"/>
        <v>|||</v>
      </c>
      <c r="H7498" s="835">
        <f t="shared" si="314"/>
        <v>31</v>
      </c>
      <c r="AF7498" s="831" t="s">
        <v>8157</v>
      </c>
      <c r="AG7498" s="831" t="s">
        <v>2674</v>
      </c>
      <c r="AH7498" s="831" t="s">
        <v>556</v>
      </c>
      <c r="AI7498" s="831">
        <v>0</v>
      </c>
      <c r="AJ7498" s="835">
        <v>40663</v>
      </c>
      <c r="AK7498" s="831">
        <v>1373340</v>
      </c>
    </row>
    <row r="7499" spans="2:37">
      <c r="B7499" s="834" t="str">
        <f t="shared" si="313"/>
        <v>|||</v>
      </c>
      <c r="H7499" s="835">
        <f t="shared" si="314"/>
        <v>31</v>
      </c>
      <c r="AF7499" s="831" t="s">
        <v>8158</v>
      </c>
      <c r="AG7499" s="831" t="s">
        <v>2674</v>
      </c>
      <c r="AH7499" s="831" t="s">
        <v>555</v>
      </c>
      <c r="AI7499" s="831">
        <v>0</v>
      </c>
      <c r="AJ7499" s="835">
        <v>40663</v>
      </c>
      <c r="AK7499" s="831">
        <v>187367350</v>
      </c>
    </row>
    <row r="7500" spans="2:37">
      <c r="B7500" s="834" t="str">
        <f t="shared" si="313"/>
        <v>|||</v>
      </c>
      <c r="H7500" s="835">
        <f t="shared" si="314"/>
        <v>31</v>
      </c>
      <c r="AF7500" s="831" t="s">
        <v>8159</v>
      </c>
      <c r="AG7500" s="831" t="s">
        <v>2674</v>
      </c>
      <c r="AH7500" s="831" t="s">
        <v>554</v>
      </c>
      <c r="AI7500" s="831">
        <v>0</v>
      </c>
      <c r="AJ7500" s="835">
        <v>40663</v>
      </c>
      <c r="AK7500" s="831">
        <v>184550600</v>
      </c>
    </row>
    <row r="7501" spans="2:37">
      <c r="B7501" s="834" t="str">
        <f t="shared" si="313"/>
        <v>|||</v>
      </c>
      <c r="H7501" s="835">
        <f t="shared" si="314"/>
        <v>31</v>
      </c>
      <c r="AF7501" s="831" t="s">
        <v>8160</v>
      </c>
      <c r="AG7501" s="831" t="s">
        <v>2674</v>
      </c>
      <c r="AH7501" s="831" t="s">
        <v>553</v>
      </c>
      <c r="AI7501" s="831">
        <v>0</v>
      </c>
      <c r="AJ7501" s="835">
        <v>40663</v>
      </c>
      <c r="AK7501" s="831">
        <v>0</v>
      </c>
    </row>
    <row r="7502" spans="2:37">
      <c r="B7502" s="834" t="str">
        <f t="shared" si="313"/>
        <v>|||</v>
      </c>
      <c r="H7502" s="835">
        <f t="shared" si="314"/>
        <v>31</v>
      </c>
      <c r="AF7502" s="831" t="s">
        <v>8161</v>
      </c>
      <c r="AG7502" s="831" t="s">
        <v>2674</v>
      </c>
      <c r="AH7502" s="831" t="s">
        <v>552</v>
      </c>
      <c r="AI7502" s="831">
        <v>0</v>
      </c>
      <c r="AJ7502" s="835">
        <v>40663</v>
      </c>
      <c r="AK7502" s="831">
        <v>0</v>
      </c>
    </row>
    <row r="7503" spans="2:37">
      <c r="B7503" s="834" t="str">
        <f t="shared" si="313"/>
        <v>|||</v>
      </c>
      <c r="H7503" s="835">
        <f t="shared" si="314"/>
        <v>31</v>
      </c>
      <c r="AF7503" s="831" t="s">
        <v>8162</v>
      </c>
      <c r="AG7503" s="831" t="s">
        <v>2674</v>
      </c>
      <c r="AH7503" s="831" t="s">
        <v>551</v>
      </c>
      <c r="AI7503" s="831">
        <v>0</v>
      </c>
      <c r="AJ7503" s="835">
        <v>40663</v>
      </c>
      <c r="AK7503" s="831">
        <v>0</v>
      </c>
    </row>
    <row r="7504" spans="2:37">
      <c r="B7504" s="834" t="str">
        <f t="shared" si="313"/>
        <v>|||</v>
      </c>
      <c r="H7504" s="835">
        <f t="shared" si="314"/>
        <v>31</v>
      </c>
      <c r="AF7504" s="831" t="s">
        <v>8163</v>
      </c>
      <c r="AG7504" s="831" t="s">
        <v>2674</v>
      </c>
      <c r="AH7504" s="831" t="s">
        <v>550</v>
      </c>
      <c r="AI7504" s="831">
        <v>0</v>
      </c>
      <c r="AJ7504" s="835">
        <v>40663</v>
      </c>
      <c r="AK7504" s="831">
        <v>0</v>
      </c>
    </row>
    <row r="7505" spans="2:37">
      <c r="B7505" s="834" t="str">
        <f t="shared" si="313"/>
        <v>|||</v>
      </c>
      <c r="H7505" s="835">
        <f t="shared" si="314"/>
        <v>31</v>
      </c>
      <c r="AF7505" s="831" t="s">
        <v>8164</v>
      </c>
      <c r="AG7505" s="831" t="s">
        <v>2674</v>
      </c>
      <c r="AH7505" s="831" t="s">
        <v>562</v>
      </c>
      <c r="AI7505" s="831">
        <v>0</v>
      </c>
      <c r="AJ7505" s="835">
        <v>40663</v>
      </c>
      <c r="AK7505" s="831">
        <v>0.79054999999999997</v>
      </c>
    </row>
    <row r="7506" spans="2:37">
      <c r="B7506" s="834" t="str">
        <f t="shared" si="313"/>
        <v>|||</v>
      </c>
      <c r="H7506" s="835">
        <f t="shared" si="314"/>
        <v>31</v>
      </c>
      <c r="AF7506" s="831" t="s">
        <v>8165</v>
      </c>
      <c r="AG7506" s="831" t="s">
        <v>2674</v>
      </c>
      <c r="AH7506" s="831" t="s">
        <v>2698</v>
      </c>
      <c r="AI7506" s="831">
        <v>0</v>
      </c>
      <c r="AJ7506" s="835">
        <v>40663</v>
      </c>
      <c r="AK7506" s="831">
        <v>0.79500000000000004</v>
      </c>
    </row>
    <row r="7507" spans="2:37">
      <c r="B7507" s="834" t="str">
        <f t="shared" si="313"/>
        <v>|||</v>
      </c>
      <c r="H7507" s="835">
        <f t="shared" si="314"/>
        <v>31</v>
      </c>
      <c r="AF7507" s="831" t="s">
        <v>8166</v>
      </c>
      <c r="AG7507" s="831" t="s">
        <v>2674</v>
      </c>
      <c r="AH7507" s="831" t="s">
        <v>560</v>
      </c>
      <c r="AI7507" s="831">
        <v>0</v>
      </c>
      <c r="AJ7507" s="835">
        <v>40663</v>
      </c>
      <c r="AK7507" s="831">
        <v>0.79588749999999997</v>
      </c>
    </row>
    <row r="7508" spans="2:37">
      <c r="B7508" s="834" t="str">
        <f t="shared" si="313"/>
        <v>|||</v>
      </c>
      <c r="H7508" s="835">
        <f t="shared" si="314"/>
        <v>31</v>
      </c>
      <c r="AF7508" s="831" t="s">
        <v>8167</v>
      </c>
      <c r="AG7508" s="831" t="s">
        <v>2674</v>
      </c>
      <c r="AH7508" s="831" t="s">
        <v>559</v>
      </c>
      <c r="AI7508" s="831">
        <v>0</v>
      </c>
      <c r="AJ7508" s="835">
        <v>40663</v>
      </c>
      <c r="AK7508" s="831">
        <v>0.79871250000000005</v>
      </c>
    </row>
    <row r="7509" spans="2:37">
      <c r="B7509" s="834" t="str">
        <f t="shared" si="313"/>
        <v>|||</v>
      </c>
      <c r="H7509" s="835">
        <f t="shared" si="314"/>
        <v>31</v>
      </c>
      <c r="AF7509" s="831" t="s">
        <v>8168</v>
      </c>
      <c r="AG7509" s="831" t="s">
        <v>2674</v>
      </c>
      <c r="AH7509" s="831" t="s">
        <v>568</v>
      </c>
      <c r="AI7509" s="831">
        <v>0</v>
      </c>
      <c r="AJ7509" s="835">
        <v>40663</v>
      </c>
      <c r="AK7509" s="831">
        <v>0</v>
      </c>
    </row>
    <row r="7510" spans="2:37">
      <c r="B7510" s="834" t="str">
        <f t="shared" si="313"/>
        <v>|||</v>
      </c>
      <c r="H7510" s="835">
        <f t="shared" si="314"/>
        <v>31</v>
      </c>
      <c r="AF7510" s="831" t="s">
        <v>8169</v>
      </c>
      <c r="AG7510" s="831" t="s">
        <v>2674</v>
      </c>
      <c r="AH7510" s="831" t="s">
        <v>569</v>
      </c>
      <c r="AI7510" s="831">
        <v>0</v>
      </c>
      <c r="AJ7510" s="835">
        <v>40663</v>
      </c>
      <c r="AK7510" s="831">
        <v>0</v>
      </c>
    </row>
    <row r="7511" spans="2:37">
      <c r="B7511" s="834" t="str">
        <f t="shared" si="313"/>
        <v>|||</v>
      </c>
      <c r="H7511" s="835">
        <f t="shared" si="314"/>
        <v>31</v>
      </c>
      <c r="AF7511" s="831" t="s">
        <v>8170</v>
      </c>
      <c r="AG7511" s="831" t="s">
        <v>2674</v>
      </c>
      <c r="AH7511" s="831" t="s">
        <v>570</v>
      </c>
      <c r="AI7511" s="831">
        <v>0</v>
      </c>
      <c r="AJ7511" s="835">
        <v>40663</v>
      </c>
      <c r="AK7511" s="831">
        <v>0</v>
      </c>
    </row>
    <row r="7512" spans="2:37">
      <c r="B7512" s="834" t="str">
        <f t="shared" si="313"/>
        <v>|||</v>
      </c>
      <c r="H7512" s="835">
        <f t="shared" si="314"/>
        <v>31</v>
      </c>
      <c r="AF7512" s="831" t="s">
        <v>8171</v>
      </c>
      <c r="AG7512" s="831" t="s">
        <v>2674</v>
      </c>
      <c r="AH7512" s="831" t="s">
        <v>571</v>
      </c>
      <c r="AI7512" s="831">
        <v>0</v>
      </c>
      <c r="AJ7512" s="835">
        <v>40663</v>
      </c>
      <c r="AK7512" s="831">
        <v>0</v>
      </c>
    </row>
    <row r="7513" spans="2:37">
      <c r="B7513" s="834" t="str">
        <f t="shared" si="313"/>
        <v>|||</v>
      </c>
      <c r="H7513" s="835">
        <f t="shared" si="314"/>
        <v>31</v>
      </c>
      <c r="AF7513" s="831" t="s">
        <v>8172</v>
      </c>
      <c r="AG7513" s="831" t="s">
        <v>2674</v>
      </c>
      <c r="AH7513" s="831" t="s">
        <v>573</v>
      </c>
      <c r="AI7513" s="831">
        <v>0</v>
      </c>
      <c r="AJ7513" s="835">
        <v>40663</v>
      </c>
      <c r="AK7513" s="831">
        <v>0</v>
      </c>
    </row>
    <row r="7514" spans="2:37">
      <c r="B7514" s="834" t="str">
        <f t="shared" si="313"/>
        <v>|||</v>
      </c>
      <c r="H7514" s="835">
        <f t="shared" si="314"/>
        <v>31</v>
      </c>
      <c r="AF7514" s="831" t="s">
        <v>8173</v>
      </c>
      <c r="AG7514" s="831" t="s">
        <v>2674</v>
      </c>
      <c r="AH7514" s="831" t="s">
        <v>574</v>
      </c>
      <c r="AI7514" s="831">
        <v>0</v>
      </c>
      <c r="AJ7514" s="835">
        <v>40663</v>
      </c>
      <c r="AK7514" s="831">
        <v>0</v>
      </c>
    </row>
    <row r="7515" spans="2:37">
      <c r="B7515" s="834" t="str">
        <f t="shared" si="313"/>
        <v>|||</v>
      </c>
      <c r="H7515" s="835">
        <f t="shared" si="314"/>
        <v>31</v>
      </c>
      <c r="AF7515" s="831" t="s">
        <v>8174</v>
      </c>
      <c r="AG7515" s="831" t="s">
        <v>2674</v>
      </c>
      <c r="AH7515" s="831" t="s">
        <v>575</v>
      </c>
      <c r="AI7515" s="831">
        <v>0</v>
      </c>
      <c r="AJ7515" s="835">
        <v>40663</v>
      </c>
      <c r="AK7515" s="831">
        <v>0</v>
      </c>
    </row>
    <row r="7516" spans="2:37">
      <c r="B7516" s="834" t="str">
        <f t="shared" si="313"/>
        <v>|||</v>
      </c>
      <c r="H7516" s="835">
        <f t="shared" si="314"/>
        <v>31</v>
      </c>
      <c r="AF7516" s="831" t="s">
        <v>8175</v>
      </c>
      <c r="AG7516" s="831" t="s">
        <v>2674</v>
      </c>
      <c r="AH7516" s="831" t="s">
        <v>576</v>
      </c>
      <c r="AI7516" s="831">
        <v>0</v>
      </c>
      <c r="AJ7516" s="835">
        <v>40663</v>
      </c>
      <c r="AK7516" s="831">
        <v>0</v>
      </c>
    </row>
    <row r="7517" spans="2:37">
      <c r="B7517" s="834" t="str">
        <f t="shared" si="313"/>
        <v>|||</v>
      </c>
      <c r="H7517" s="835">
        <f t="shared" si="314"/>
        <v>31</v>
      </c>
      <c r="AF7517" s="831" t="s">
        <v>8176</v>
      </c>
      <c r="AG7517" s="831" t="s">
        <v>2674</v>
      </c>
      <c r="AH7517" s="831" t="s">
        <v>572</v>
      </c>
      <c r="AI7517" s="831">
        <v>0</v>
      </c>
      <c r="AJ7517" s="835">
        <v>40663</v>
      </c>
      <c r="AK7517" s="831">
        <v>0</v>
      </c>
    </row>
    <row r="7518" spans="2:37">
      <c r="B7518" s="834" t="str">
        <f t="shared" si="313"/>
        <v>|||</v>
      </c>
      <c r="H7518" s="835">
        <f t="shared" si="314"/>
        <v>31</v>
      </c>
      <c r="AF7518" s="831" t="s">
        <v>8177</v>
      </c>
      <c r="AG7518" s="831" t="s">
        <v>2674</v>
      </c>
      <c r="AH7518" s="831" t="s">
        <v>577</v>
      </c>
      <c r="AI7518" s="831">
        <v>0</v>
      </c>
      <c r="AJ7518" s="835">
        <v>40663</v>
      </c>
      <c r="AK7518" s="831">
        <v>0</v>
      </c>
    </row>
    <row r="7519" spans="2:37">
      <c r="B7519" s="834" t="str">
        <f t="shared" si="313"/>
        <v>|||</v>
      </c>
      <c r="H7519" s="835">
        <f t="shared" si="314"/>
        <v>31</v>
      </c>
      <c r="AF7519" s="831" t="s">
        <v>8178</v>
      </c>
      <c r="AG7519" s="831" t="s">
        <v>2674</v>
      </c>
      <c r="AH7519" s="831" t="s">
        <v>3042</v>
      </c>
      <c r="AI7519" s="831">
        <v>0</v>
      </c>
      <c r="AJ7519" s="835">
        <v>40663</v>
      </c>
      <c r="AK7519" s="831">
        <v>0</v>
      </c>
    </row>
    <row r="7520" spans="2:37">
      <c r="B7520" s="834" t="str">
        <f t="shared" si="313"/>
        <v>|||</v>
      </c>
      <c r="H7520" s="835">
        <f t="shared" si="314"/>
        <v>31</v>
      </c>
      <c r="AF7520" s="831" t="s">
        <v>8179</v>
      </c>
      <c r="AG7520" s="831" t="s">
        <v>2674</v>
      </c>
      <c r="AH7520" s="831" t="s">
        <v>3044</v>
      </c>
      <c r="AI7520" s="831">
        <v>0</v>
      </c>
      <c r="AJ7520" s="835">
        <v>40663</v>
      </c>
      <c r="AK7520" s="831">
        <v>0</v>
      </c>
    </row>
    <row r="7521" spans="2:37">
      <c r="B7521" s="834" t="str">
        <f t="shared" si="313"/>
        <v>|||</v>
      </c>
      <c r="H7521" s="835">
        <f t="shared" si="314"/>
        <v>31</v>
      </c>
      <c r="AF7521" s="831" t="s">
        <v>8180</v>
      </c>
      <c r="AG7521" s="831" t="s">
        <v>2674</v>
      </c>
      <c r="AH7521" s="831" t="s">
        <v>580</v>
      </c>
      <c r="AI7521" s="831">
        <v>0</v>
      </c>
      <c r="AJ7521" s="835">
        <v>40663</v>
      </c>
      <c r="AK7521" s="831">
        <v>0</v>
      </c>
    </row>
    <row r="7522" spans="2:37">
      <c r="B7522" s="834" t="str">
        <f t="shared" si="313"/>
        <v>|||</v>
      </c>
      <c r="H7522" s="835">
        <f t="shared" si="314"/>
        <v>31</v>
      </c>
      <c r="AF7522" s="831" t="s">
        <v>8181</v>
      </c>
      <c r="AG7522" s="831" t="s">
        <v>2674</v>
      </c>
      <c r="AH7522" s="831" t="s">
        <v>581</v>
      </c>
      <c r="AI7522" s="831">
        <v>0</v>
      </c>
      <c r="AJ7522" s="835">
        <v>40663</v>
      </c>
      <c r="AK7522" s="831">
        <v>0</v>
      </c>
    </row>
    <row r="7523" spans="2:37">
      <c r="B7523" s="834" t="str">
        <f t="shared" si="313"/>
        <v>|||</v>
      </c>
      <c r="H7523" s="835">
        <f t="shared" si="314"/>
        <v>31</v>
      </c>
      <c r="AF7523" s="831" t="s">
        <v>8182</v>
      </c>
      <c r="AG7523" s="831" t="s">
        <v>2674</v>
      </c>
      <c r="AH7523" s="831" t="s">
        <v>105</v>
      </c>
      <c r="AI7523" s="831">
        <v>0</v>
      </c>
      <c r="AJ7523" s="835">
        <v>40663</v>
      </c>
      <c r="AK7523" s="831">
        <v>148181124</v>
      </c>
    </row>
    <row r="7524" spans="2:37">
      <c r="B7524" s="834" t="str">
        <f t="shared" si="313"/>
        <v>|||</v>
      </c>
      <c r="H7524" s="835">
        <f t="shared" si="314"/>
        <v>31</v>
      </c>
      <c r="AF7524" s="831" t="s">
        <v>8183</v>
      </c>
      <c r="AG7524" s="831" t="s">
        <v>2674</v>
      </c>
      <c r="AH7524" s="831" t="s">
        <v>3049</v>
      </c>
      <c r="AI7524" s="831">
        <v>0</v>
      </c>
      <c r="AJ7524" s="835">
        <v>40663</v>
      </c>
      <c r="AK7524" s="831">
        <v>279320353</v>
      </c>
    </row>
    <row r="7525" spans="2:37">
      <c r="B7525" s="834" t="str">
        <f t="shared" si="313"/>
        <v>|||</v>
      </c>
      <c r="H7525" s="835">
        <f t="shared" si="314"/>
        <v>31</v>
      </c>
      <c r="AF7525" s="831" t="s">
        <v>8184</v>
      </c>
      <c r="AG7525" s="831" t="s">
        <v>2674</v>
      </c>
      <c r="AH7525" s="831" t="s">
        <v>103</v>
      </c>
      <c r="AI7525" s="831">
        <v>0</v>
      </c>
      <c r="AJ7525" s="835">
        <v>40663</v>
      </c>
      <c r="AK7525" s="831">
        <v>131139229</v>
      </c>
    </row>
    <row r="7526" spans="2:37">
      <c r="B7526" s="834" t="str">
        <f t="shared" si="313"/>
        <v>|||</v>
      </c>
      <c r="H7526" s="835">
        <f t="shared" si="314"/>
        <v>31</v>
      </c>
      <c r="AF7526" s="831" t="s">
        <v>8185</v>
      </c>
      <c r="AG7526" s="831" t="s">
        <v>2674</v>
      </c>
      <c r="AH7526" s="831" t="s">
        <v>182</v>
      </c>
      <c r="AI7526" s="831">
        <v>0</v>
      </c>
      <c r="AJ7526" s="835">
        <v>40663</v>
      </c>
      <c r="AK7526" s="831">
        <v>38843706</v>
      </c>
    </row>
    <row r="7527" spans="2:37">
      <c r="B7527" s="834" t="str">
        <f t="shared" si="313"/>
        <v>|||</v>
      </c>
      <c r="H7527" s="835">
        <f t="shared" si="314"/>
        <v>31</v>
      </c>
      <c r="AF7527" s="831" t="s">
        <v>8186</v>
      </c>
      <c r="AG7527" s="831" t="s">
        <v>2674</v>
      </c>
      <c r="AH7527" s="831" t="s">
        <v>6600</v>
      </c>
      <c r="AI7527" s="831">
        <v>0</v>
      </c>
      <c r="AJ7527" s="835">
        <v>40663</v>
      </c>
      <c r="AK7527" s="831">
        <v>0</v>
      </c>
    </row>
    <row r="7528" spans="2:37">
      <c r="B7528" s="834" t="str">
        <f t="shared" si="313"/>
        <v>|||</v>
      </c>
      <c r="H7528" s="835">
        <f t="shared" si="314"/>
        <v>31</v>
      </c>
      <c r="AF7528" s="831" t="s">
        <v>8187</v>
      </c>
      <c r="AG7528" s="831" t="s">
        <v>2674</v>
      </c>
      <c r="AH7528" s="831" t="s">
        <v>6602</v>
      </c>
      <c r="AI7528" s="831">
        <v>0</v>
      </c>
      <c r="AJ7528" s="835">
        <v>40663</v>
      </c>
      <c r="AK7528" s="831">
        <v>5921011</v>
      </c>
    </row>
    <row r="7529" spans="2:37">
      <c r="B7529" s="834" t="str">
        <f t="shared" si="313"/>
        <v>|||</v>
      </c>
      <c r="H7529" s="835">
        <f t="shared" si="314"/>
        <v>31</v>
      </c>
      <c r="AF7529" s="831" t="s">
        <v>8188</v>
      </c>
      <c r="AG7529" s="831" t="s">
        <v>2674</v>
      </c>
      <c r="AH7529" s="831" t="s">
        <v>650</v>
      </c>
      <c r="AI7529" s="831">
        <v>0</v>
      </c>
      <c r="AJ7529" s="835">
        <v>40663</v>
      </c>
      <c r="AK7529" s="831">
        <v>0</v>
      </c>
    </row>
    <row r="7530" spans="2:37">
      <c r="B7530" s="834" t="str">
        <f t="shared" si="313"/>
        <v>|||</v>
      </c>
      <c r="H7530" s="835">
        <f t="shared" si="314"/>
        <v>31</v>
      </c>
      <c r="AF7530" s="831" t="s">
        <v>8189</v>
      </c>
      <c r="AG7530" s="831" t="s">
        <v>2674</v>
      </c>
      <c r="AH7530" s="831" t="s">
        <v>655</v>
      </c>
      <c r="AI7530" s="831">
        <v>0</v>
      </c>
      <c r="AJ7530" s="835">
        <v>40663</v>
      </c>
      <c r="AK7530" s="831">
        <v>0</v>
      </c>
    </row>
    <row r="7531" spans="2:37">
      <c r="B7531" s="834" t="str">
        <f t="shared" si="313"/>
        <v>|||</v>
      </c>
      <c r="H7531" s="835">
        <f t="shared" si="314"/>
        <v>31</v>
      </c>
      <c r="AF7531" s="831" t="s">
        <v>8190</v>
      </c>
      <c r="AG7531" s="831" t="s">
        <v>2674</v>
      </c>
      <c r="AH7531" s="831" t="s">
        <v>546</v>
      </c>
      <c r="AI7531" s="831">
        <v>0</v>
      </c>
      <c r="AJ7531" s="835">
        <v>40694</v>
      </c>
      <c r="AK7531" s="831">
        <v>274114278</v>
      </c>
    </row>
    <row r="7532" spans="2:37">
      <c r="B7532" s="834" t="str">
        <f t="shared" si="313"/>
        <v>|||</v>
      </c>
      <c r="H7532" s="835">
        <f t="shared" si="314"/>
        <v>31</v>
      </c>
      <c r="AF7532" s="831" t="s">
        <v>8191</v>
      </c>
      <c r="AG7532" s="831" t="s">
        <v>2674</v>
      </c>
      <c r="AH7532" s="831" t="s">
        <v>370</v>
      </c>
      <c r="AI7532" s="831">
        <v>0</v>
      </c>
      <c r="AJ7532" s="835">
        <v>40694</v>
      </c>
      <c r="AK7532" s="831">
        <v>368782704</v>
      </c>
    </row>
    <row r="7533" spans="2:37">
      <c r="B7533" s="834" t="str">
        <f t="shared" si="313"/>
        <v>|||</v>
      </c>
      <c r="H7533" s="835">
        <f t="shared" si="314"/>
        <v>31</v>
      </c>
      <c r="AF7533" s="831" t="s">
        <v>8192</v>
      </c>
      <c r="AG7533" s="831" t="s">
        <v>2674</v>
      </c>
      <c r="AH7533" s="831" t="s">
        <v>126</v>
      </c>
      <c r="AI7533" s="831">
        <v>0</v>
      </c>
      <c r="AJ7533" s="835">
        <v>40694</v>
      </c>
      <c r="AK7533" s="831">
        <v>81811441</v>
      </c>
    </row>
    <row r="7534" spans="2:37">
      <c r="B7534" s="834" t="str">
        <f t="shared" si="313"/>
        <v>|||</v>
      </c>
      <c r="H7534" s="835">
        <f t="shared" si="314"/>
        <v>31</v>
      </c>
      <c r="AF7534" s="831" t="s">
        <v>8193</v>
      </c>
      <c r="AG7534" s="831" t="s">
        <v>2674</v>
      </c>
      <c r="AH7534" s="831" t="s">
        <v>268</v>
      </c>
      <c r="AI7534" s="831">
        <v>0</v>
      </c>
      <c r="AJ7534" s="835">
        <v>40694</v>
      </c>
      <c r="AK7534" s="831">
        <v>7356518</v>
      </c>
    </row>
    <row r="7535" spans="2:37">
      <c r="B7535" s="834" t="str">
        <f t="shared" si="313"/>
        <v>|||</v>
      </c>
      <c r="H7535" s="835">
        <f t="shared" si="314"/>
        <v>31</v>
      </c>
      <c r="AF7535" s="831" t="s">
        <v>8194</v>
      </c>
      <c r="AG7535" s="831" t="s">
        <v>2674</v>
      </c>
      <c r="AH7535" s="831" t="s">
        <v>547</v>
      </c>
      <c r="AI7535" s="831">
        <v>0</v>
      </c>
      <c r="AJ7535" s="835">
        <v>40694</v>
      </c>
      <c r="AK7535" s="831">
        <v>0</v>
      </c>
    </row>
    <row r="7536" spans="2:37">
      <c r="B7536" s="834" t="str">
        <f t="shared" si="313"/>
        <v>|||</v>
      </c>
      <c r="H7536" s="835">
        <f t="shared" si="314"/>
        <v>31</v>
      </c>
      <c r="AF7536" s="831" t="s">
        <v>8195</v>
      </c>
      <c r="AG7536" s="831" t="s">
        <v>2674</v>
      </c>
      <c r="AH7536" s="831" t="s">
        <v>548</v>
      </c>
      <c r="AI7536" s="831">
        <v>0</v>
      </c>
      <c r="AJ7536" s="835">
        <v>40694</v>
      </c>
      <c r="AK7536" s="831">
        <v>0</v>
      </c>
    </row>
    <row r="7537" spans="2:37">
      <c r="B7537" s="834" t="str">
        <f t="shared" si="313"/>
        <v>|||</v>
      </c>
      <c r="H7537" s="835">
        <f t="shared" si="314"/>
        <v>31</v>
      </c>
      <c r="AF7537" s="831" t="s">
        <v>8196</v>
      </c>
      <c r="AG7537" s="831" t="s">
        <v>2674</v>
      </c>
      <c r="AH7537" s="831" t="s">
        <v>549</v>
      </c>
      <c r="AI7537" s="831">
        <v>0</v>
      </c>
      <c r="AJ7537" s="835">
        <v>40694</v>
      </c>
      <c r="AK7537" s="831">
        <v>0</v>
      </c>
    </row>
    <row r="7538" spans="2:37">
      <c r="B7538" s="834" t="str">
        <f t="shared" si="313"/>
        <v>|||</v>
      </c>
      <c r="H7538" s="835">
        <f t="shared" si="314"/>
        <v>31</v>
      </c>
      <c r="AF7538" s="831" t="s">
        <v>8197</v>
      </c>
      <c r="AG7538" s="831" t="s">
        <v>2674</v>
      </c>
      <c r="AH7538" s="831" t="s">
        <v>192</v>
      </c>
      <c r="AI7538" s="831">
        <v>0</v>
      </c>
      <c r="AJ7538" s="835">
        <v>40694</v>
      </c>
      <c r="AK7538" s="831">
        <v>-8617455</v>
      </c>
    </row>
    <row r="7539" spans="2:37">
      <c r="B7539" s="834" t="str">
        <f t="shared" si="313"/>
        <v>|||</v>
      </c>
      <c r="H7539" s="835">
        <f t="shared" si="314"/>
        <v>31</v>
      </c>
      <c r="AF7539" s="831" t="s">
        <v>8198</v>
      </c>
      <c r="AG7539" s="831" t="s">
        <v>2674</v>
      </c>
      <c r="AH7539" s="831" t="s">
        <v>558</v>
      </c>
      <c r="AI7539" s="831">
        <v>0</v>
      </c>
      <c r="AJ7539" s="835">
        <v>40694</v>
      </c>
      <c r="AK7539" s="831">
        <v>286971263</v>
      </c>
    </row>
    <row r="7540" spans="2:37">
      <c r="B7540" s="834" t="str">
        <f t="shared" si="313"/>
        <v>|||</v>
      </c>
      <c r="H7540" s="835">
        <f t="shared" si="314"/>
        <v>31</v>
      </c>
      <c r="AF7540" s="831" t="s">
        <v>8199</v>
      </c>
      <c r="AG7540" s="831" t="s">
        <v>2674</v>
      </c>
      <c r="AH7540" s="831" t="s">
        <v>65</v>
      </c>
      <c r="AI7540" s="831">
        <v>0</v>
      </c>
      <c r="AJ7540" s="835">
        <v>40694</v>
      </c>
      <c r="AK7540" s="831">
        <v>35148671</v>
      </c>
    </row>
    <row r="7541" spans="2:37">
      <c r="B7541" s="834" t="str">
        <f t="shared" si="313"/>
        <v>|||</v>
      </c>
      <c r="H7541" s="835">
        <f t="shared" si="314"/>
        <v>31</v>
      </c>
      <c r="AF7541" s="831" t="s">
        <v>8200</v>
      </c>
      <c r="AG7541" s="831" t="s">
        <v>2674</v>
      </c>
      <c r="AH7541" s="831" t="s">
        <v>89</v>
      </c>
      <c r="AI7541" s="831">
        <v>0</v>
      </c>
      <c r="AJ7541" s="835">
        <v>40694</v>
      </c>
      <c r="AK7541" s="831">
        <v>0</v>
      </c>
    </row>
    <row r="7542" spans="2:37">
      <c r="B7542" s="834" t="str">
        <f t="shared" si="313"/>
        <v>|||</v>
      </c>
      <c r="H7542" s="835">
        <f t="shared" si="314"/>
        <v>31</v>
      </c>
      <c r="AF7542" s="831" t="s">
        <v>8201</v>
      </c>
      <c r="AG7542" s="831" t="s">
        <v>2674</v>
      </c>
      <c r="AH7542" s="831" t="s">
        <v>557</v>
      </c>
      <c r="AI7542" s="831">
        <v>0</v>
      </c>
      <c r="AJ7542" s="835">
        <v>40694</v>
      </c>
      <c r="AK7542" s="831">
        <v>0</v>
      </c>
    </row>
    <row r="7543" spans="2:37">
      <c r="B7543" s="834" t="str">
        <f t="shared" si="313"/>
        <v>|||</v>
      </c>
      <c r="H7543" s="835">
        <f t="shared" si="314"/>
        <v>31</v>
      </c>
      <c r="AF7543" s="831" t="s">
        <v>8202</v>
      </c>
      <c r="AG7543" s="831" t="s">
        <v>2674</v>
      </c>
      <c r="AH7543" s="831" t="s">
        <v>29</v>
      </c>
      <c r="AI7543" s="831">
        <v>0</v>
      </c>
      <c r="AJ7543" s="835">
        <v>40694</v>
      </c>
      <c r="AK7543" s="831">
        <v>0</v>
      </c>
    </row>
    <row r="7544" spans="2:37">
      <c r="B7544" s="834" t="str">
        <f t="shared" si="313"/>
        <v>|||</v>
      </c>
      <c r="H7544" s="835">
        <f t="shared" si="314"/>
        <v>31</v>
      </c>
      <c r="AF7544" s="831" t="s">
        <v>8203</v>
      </c>
      <c r="AG7544" s="831" t="s">
        <v>2674</v>
      </c>
      <c r="AH7544" s="831" t="s">
        <v>2688</v>
      </c>
      <c r="AI7544" s="831">
        <v>0</v>
      </c>
      <c r="AJ7544" s="835">
        <v>40694</v>
      </c>
      <c r="AK7544" s="831">
        <v>0</v>
      </c>
    </row>
    <row r="7545" spans="2:37">
      <c r="B7545" s="834" t="str">
        <f t="shared" si="313"/>
        <v>|||</v>
      </c>
      <c r="H7545" s="835">
        <f t="shared" si="314"/>
        <v>31</v>
      </c>
      <c r="AF7545" s="831" t="s">
        <v>8204</v>
      </c>
      <c r="AG7545" s="831" t="s">
        <v>2674</v>
      </c>
      <c r="AH7545" s="831" t="s">
        <v>556</v>
      </c>
      <c r="AI7545" s="831">
        <v>0</v>
      </c>
      <c r="AJ7545" s="835">
        <v>40694</v>
      </c>
      <c r="AK7545" s="831">
        <v>1373340</v>
      </c>
    </row>
    <row r="7546" spans="2:37">
      <c r="B7546" s="834" t="str">
        <f t="shared" si="313"/>
        <v>|||</v>
      </c>
      <c r="H7546" s="835">
        <f t="shared" si="314"/>
        <v>31</v>
      </c>
      <c r="AF7546" s="831" t="s">
        <v>8205</v>
      </c>
      <c r="AG7546" s="831" t="s">
        <v>2674</v>
      </c>
      <c r="AH7546" s="831" t="s">
        <v>555</v>
      </c>
      <c r="AI7546" s="831">
        <v>0</v>
      </c>
      <c r="AJ7546" s="835">
        <v>40694</v>
      </c>
      <c r="AK7546" s="831">
        <v>183128590</v>
      </c>
    </row>
    <row r="7547" spans="2:37">
      <c r="B7547" s="834" t="str">
        <f t="shared" si="313"/>
        <v>|||</v>
      </c>
      <c r="H7547" s="835">
        <f t="shared" si="314"/>
        <v>31</v>
      </c>
      <c r="AF7547" s="831" t="s">
        <v>8206</v>
      </c>
      <c r="AG7547" s="831" t="s">
        <v>2674</v>
      </c>
      <c r="AH7547" s="831" t="s">
        <v>554</v>
      </c>
      <c r="AI7547" s="831">
        <v>0</v>
      </c>
      <c r="AJ7547" s="835">
        <v>40694</v>
      </c>
      <c r="AK7547" s="831">
        <v>182082460</v>
      </c>
    </row>
    <row r="7548" spans="2:37">
      <c r="B7548" s="834" t="str">
        <f t="shared" si="313"/>
        <v>|||</v>
      </c>
      <c r="H7548" s="835">
        <f t="shared" si="314"/>
        <v>31</v>
      </c>
      <c r="AF7548" s="831" t="s">
        <v>8207</v>
      </c>
      <c r="AG7548" s="831" t="s">
        <v>2674</v>
      </c>
      <c r="AH7548" s="831" t="s">
        <v>553</v>
      </c>
      <c r="AI7548" s="831">
        <v>0</v>
      </c>
      <c r="AJ7548" s="835">
        <v>40694</v>
      </c>
      <c r="AK7548" s="831">
        <v>0</v>
      </c>
    </row>
    <row r="7549" spans="2:37">
      <c r="B7549" s="834" t="str">
        <f t="shared" si="313"/>
        <v>|||</v>
      </c>
      <c r="H7549" s="835">
        <f t="shared" si="314"/>
        <v>31</v>
      </c>
      <c r="AF7549" s="831" t="s">
        <v>8208</v>
      </c>
      <c r="AG7549" s="831" t="s">
        <v>2674</v>
      </c>
      <c r="AH7549" s="831" t="s">
        <v>552</v>
      </c>
      <c r="AI7549" s="831">
        <v>0</v>
      </c>
      <c r="AJ7549" s="835">
        <v>40694</v>
      </c>
      <c r="AK7549" s="831">
        <v>0</v>
      </c>
    </row>
    <row r="7550" spans="2:37">
      <c r="B7550" s="834" t="str">
        <f t="shared" si="313"/>
        <v>|||</v>
      </c>
      <c r="H7550" s="835">
        <f t="shared" si="314"/>
        <v>31</v>
      </c>
      <c r="AF7550" s="831" t="s">
        <v>8209</v>
      </c>
      <c r="AG7550" s="831" t="s">
        <v>2674</v>
      </c>
      <c r="AH7550" s="831" t="s">
        <v>551</v>
      </c>
      <c r="AI7550" s="831">
        <v>0</v>
      </c>
      <c r="AJ7550" s="835">
        <v>40694</v>
      </c>
      <c r="AK7550" s="831">
        <v>0</v>
      </c>
    </row>
    <row r="7551" spans="2:37">
      <c r="B7551" s="834" t="str">
        <f t="shared" si="313"/>
        <v>|||</v>
      </c>
      <c r="H7551" s="835">
        <f t="shared" si="314"/>
        <v>31</v>
      </c>
      <c r="AF7551" s="831" t="s">
        <v>8210</v>
      </c>
      <c r="AG7551" s="831" t="s">
        <v>2674</v>
      </c>
      <c r="AH7551" s="831" t="s">
        <v>550</v>
      </c>
      <c r="AI7551" s="831">
        <v>0</v>
      </c>
      <c r="AJ7551" s="835">
        <v>40694</v>
      </c>
      <c r="AK7551" s="831">
        <v>0</v>
      </c>
    </row>
    <row r="7552" spans="2:37">
      <c r="B7552" s="834" t="str">
        <f t="shared" si="313"/>
        <v>|||</v>
      </c>
      <c r="H7552" s="835">
        <f t="shared" si="314"/>
        <v>31</v>
      </c>
      <c r="AF7552" s="831" t="s">
        <v>8211</v>
      </c>
      <c r="AG7552" s="831" t="s">
        <v>2674</v>
      </c>
      <c r="AH7552" s="831" t="s">
        <v>562</v>
      </c>
      <c r="AI7552" s="831">
        <v>0</v>
      </c>
      <c r="AJ7552" s="835">
        <v>40694</v>
      </c>
      <c r="AK7552" s="831">
        <v>0.78885000000000005</v>
      </c>
    </row>
    <row r="7553" spans="2:37">
      <c r="B7553" s="834" t="str">
        <f t="shared" si="313"/>
        <v>|||</v>
      </c>
      <c r="H7553" s="835">
        <f t="shared" si="314"/>
        <v>31</v>
      </c>
      <c r="AF7553" s="831" t="s">
        <v>8212</v>
      </c>
      <c r="AG7553" s="831" t="s">
        <v>2674</v>
      </c>
      <c r="AH7553" s="831" t="s">
        <v>2698</v>
      </c>
      <c r="AI7553" s="831">
        <v>0</v>
      </c>
      <c r="AJ7553" s="835">
        <v>40694</v>
      </c>
      <c r="AK7553" s="831">
        <v>0.79054999999999997</v>
      </c>
    </row>
    <row r="7554" spans="2:37">
      <c r="B7554" s="834" t="str">
        <f t="shared" si="313"/>
        <v>|||</v>
      </c>
      <c r="H7554" s="835">
        <f t="shared" si="314"/>
        <v>31</v>
      </c>
      <c r="AF7554" s="831" t="s">
        <v>8213</v>
      </c>
      <c r="AG7554" s="831" t="s">
        <v>2674</v>
      </c>
      <c r="AH7554" s="831" t="s">
        <v>560</v>
      </c>
      <c r="AI7554" s="831">
        <v>0</v>
      </c>
      <c r="AJ7554" s="835">
        <v>40694</v>
      </c>
      <c r="AK7554" s="831">
        <v>0.79447999999999996</v>
      </c>
    </row>
    <row r="7555" spans="2:37">
      <c r="B7555" s="834" t="str">
        <f t="shared" ref="B7555:B7618" si="315">C7555&amp;"|"&amp;D7555&amp;"|"&amp;E7555&amp;"|"&amp;F7555</f>
        <v>|||</v>
      </c>
      <c r="H7555" s="835">
        <f t="shared" si="314"/>
        <v>31</v>
      </c>
      <c r="AF7555" s="831" t="s">
        <v>8214</v>
      </c>
      <c r="AG7555" s="831" t="s">
        <v>2674</v>
      </c>
      <c r="AH7555" s="831" t="s">
        <v>559</v>
      </c>
      <c r="AI7555" s="831">
        <v>0</v>
      </c>
      <c r="AJ7555" s="835">
        <v>40694</v>
      </c>
      <c r="AK7555" s="831">
        <v>0.79778333333333296</v>
      </c>
    </row>
    <row r="7556" spans="2:37">
      <c r="B7556" s="834" t="str">
        <f t="shared" si="315"/>
        <v>|||</v>
      </c>
      <c r="H7556" s="835">
        <f t="shared" ref="H7556:H7619" si="316">EOMONTH(L7556,0)</f>
        <v>31</v>
      </c>
      <c r="AF7556" s="831" t="s">
        <v>8215</v>
      </c>
      <c r="AG7556" s="831" t="s">
        <v>2674</v>
      </c>
      <c r="AH7556" s="831" t="s">
        <v>568</v>
      </c>
      <c r="AI7556" s="831">
        <v>0</v>
      </c>
      <c r="AJ7556" s="835">
        <v>40694</v>
      </c>
      <c r="AK7556" s="831">
        <v>0</v>
      </c>
    </row>
    <row r="7557" spans="2:37">
      <c r="B7557" s="834" t="str">
        <f t="shared" si="315"/>
        <v>|||</v>
      </c>
      <c r="H7557" s="835">
        <f t="shared" si="316"/>
        <v>31</v>
      </c>
      <c r="AF7557" s="831" t="s">
        <v>8216</v>
      </c>
      <c r="AG7557" s="831" t="s">
        <v>2674</v>
      </c>
      <c r="AH7557" s="831" t="s">
        <v>569</v>
      </c>
      <c r="AI7557" s="831">
        <v>0</v>
      </c>
      <c r="AJ7557" s="835">
        <v>40694</v>
      </c>
      <c r="AK7557" s="831">
        <v>0</v>
      </c>
    </row>
    <row r="7558" spans="2:37">
      <c r="B7558" s="834" t="str">
        <f t="shared" si="315"/>
        <v>|||</v>
      </c>
      <c r="H7558" s="835">
        <f t="shared" si="316"/>
        <v>31</v>
      </c>
      <c r="AF7558" s="831" t="s">
        <v>8217</v>
      </c>
      <c r="AG7558" s="831" t="s">
        <v>2674</v>
      </c>
      <c r="AH7558" s="831" t="s">
        <v>570</v>
      </c>
      <c r="AI7558" s="831">
        <v>0</v>
      </c>
      <c r="AJ7558" s="835">
        <v>40694</v>
      </c>
      <c r="AK7558" s="831">
        <v>0</v>
      </c>
    </row>
    <row r="7559" spans="2:37">
      <c r="B7559" s="834" t="str">
        <f t="shared" si="315"/>
        <v>|||</v>
      </c>
      <c r="H7559" s="835">
        <f t="shared" si="316"/>
        <v>31</v>
      </c>
      <c r="AF7559" s="831" t="s">
        <v>8218</v>
      </c>
      <c r="AG7559" s="831" t="s">
        <v>2674</v>
      </c>
      <c r="AH7559" s="831" t="s">
        <v>571</v>
      </c>
      <c r="AI7559" s="831">
        <v>0</v>
      </c>
      <c r="AJ7559" s="835">
        <v>40694</v>
      </c>
      <c r="AK7559" s="831">
        <v>0</v>
      </c>
    </row>
    <row r="7560" spans="2:37">
      <c r="B7560" s="834" t="str">
        <f t="shared" si="315"/>
        <v>|||</v>
      </c>
      <c r="H7560" s="835">
        <f t="shared" si="316"/>
        <v>31</v>
      </c>
      <c r="AF7560" s="831" t="s">
        <v>8219</v>
      </c>
      <c r="AG7560" s="831" t="s">
        <v>2674</v>
      </c>
      <c r="AH7560" s="831" t="s">
        <v>573</v>
      </c>
      <c r="AI7560" s="831">
        <v>0</v>
      </c>
      <c r="AJ7560" s="835">
        <v>40694</v>
      </c>
      <c r="AK7560" s="831">
        <v>0</v>
      </c>
    </row>
    <row r="7561" spans="2:37">
      <c r="B7561" s="834" t="str">
        <f t="shared" si="315"/>
        <v>|||</v>
      </c>
      <c r="H7561" s="835">
        <f t="shared" si="316"/>
        <v>31</v>
      </c>
      <c r="AF7561" s="831" t="s">
        <v>8220</v>
      </c>
      <c r="AG7561" s="831" t="s">
        <v>2674</v>
      </c>
      <c r="AH7561" s="831" t="s">
        <v>574</v>
      </c>
      <c r="AI7561" s="831">
        <v>0</v>
      </c>
      <c r="AJ7561" s="835">
        <v>40694</v>
      </c>
      <c r="AK7561" s="831">
        <v>0</v>
      </c>
    </row>
    <row r="7562" spans="2:37">
      <c r="B7562" s="834" t="str">
        <f t="shared" si="315"/>
        <v>|||</v>
      </c>
      <c r="H7562" s="835">
        <f t="shared" si="316"/>
        <v>31</v>
      </c>
      <c r="AF7562" s="831" t="s">
        <v>8221</v>
      </c>
      <c r="AG7562" s="831" t="s">
        <v>2674</v>
      </c>
      <c r="AH7562" s="831" t="s">
        <v>575</v>
      </c>
      <c r="AI7562" s="831">
        <v>0</v>
      </c>
      <c r="AJ7562" s="835">
        <v>40694</v>
      </c>
      <c r="AK7562" s="831">
        <v>0</v>
      </c>
    </row>
    <row r="7563" spans="2:37">
      <c r="B7563" s="834" t="str">
        <f t="shared" si="315"/>
        <v>|||</v>
      </c>
      <c r="H7563" s="835">
        <f t="shared" si="316"/>
        <v>31</v>
      </c>
      <c r="AF7563" s="831" t="s">
        <v>8222</v>
      </c>
      <c r="AG7563" s="831" t="s">
        <v>2674</v>
      </c>
      <c r="AH7563" s="831" t="s">
        <v>576</v>
      </c>
      <c r="AI7563" s="831">
        <v>0</v>
      </c>
      <c r="AJ7563" s="835">
        <v>40694</v>
      </c>
      <c r="AK7563" s="831">
        <v>0</v>
      </c>
    </row>
    <row r="7564" spans="2:37">
      <c r="B7564" s="834" t="str">
        <f t="shared" si="315"/>
        <v>|||</v>
      </c>
      <c r="H7564" s="835">
        <f t="shared" si="316"/>
        <v>31</v>
      </c>
      <c r="AF7564" s="831" t="s">
        <v>8223</v>
      </c>
      <c r="AG7564" s="831" t="s">
        <v>2674</v>
      </c>
      <c r="AH7564" s="831" t="s">
        <v>572</v>
      </c>
      <c r="AI7564" s="831">
        <v>0</v>
      </c>
      <c r="AJ7564" s="835">
        <v>40694</v>
      </c>
      <c r="AK7564" s="831">
        <v>0</v>
      </c>
    </row>
    <row r="7565" spans="2:37">
      <c r="B7565" s="834" t="str">
        <f t="shared" si="315"/>
        <v>|||</v>
      </c>
      <c r="H7565" s="835">
        <f t="shared" si="316"/>
        <v>31</v>
      </c>
      <c r="AF7565" s="831" t="s">
        <v>8224</v>
      </c>
      <c r="AG7565" s="831" t="s">
        <v>2674</v>
      </c>
      <c r="AH7565" s="831" t="s">
        <v>577</v>
      </c>
      <c r="AI7565" s="831">
        <v>0</v>
      </c>
      <c r="AJ7565" s="835">
        <v>40694</v>
      </c>
      <c r="AK7565" s="831">
        <v>0</v>
      </c>
    </row>
    <row r="7566" spans="2:37">
      <c r="B7566" s="834" t="str">
        <f t="shared" si="315"/>
        <v>|||</v>
      </c>
      <c r="H7566" s="835">
        <f t="shared" si="316"/>
        <v>31</v>
      </c>
      <c r="AF7566" s="831" t="s">
        <v>8225</v>
      </c>
      <c r="AG7566" s="831" t="s">
        <v>2674</v>
      </c>
      <c r="AH7566" s="831" t="s">
        <v>3042</v>
      </c>
      <c r="AI7566" s="831">
        <v>0</v>
      </c>
      <c r="AJ7566" s="835">
        <v>40694</v>
      </c>
      <c r="AK7566" s="831">
        <v>0</v>
      </c>
    </row>
    <row r="7567" spans="2:37">
      <c r="B7567" s="834" t="str">
        <f t="shared" si="315"/>
        <v>|||</v>
      </c>
      <c r="H7567" s="835">
        <f t="shared" si="316"/>
        <v>31</v>
      </c>
      <c r="AF7567" s="831" t="s">
        <v>8226</v>
      </c>
      <c r="AG7567" s="831" t="s">
        <v>2674</v>
      </c>
      <c r="AH7567" s="831" t="s">
        <v>3044</v>
      </c>
      <c r="AI7567" s="831">
        <v>0</v>
      </c>
      <c r="AJ7567" s="835">
        <v>40694</v>
      </c>
      <c r="AK7567" s="831">
        <v>0</v>
      </c>
    </row>
    <row r="7568" spans="2:37">
      <c r="B7568" s="834" t="str">
        <f t="shared" si="315"/>
        <v>|||</v>
      </c>
      <c r="H7568" s="835">
        <f t="shared" si="316"/>
        <v>31</v>
      </c>
      <c r="AF7568" s="831" t="s">
        <v>8227</v>
      </c>
      <c r="AG7568" s="831" t="s">
        <v>2674</v>
      </c>
      <c r="AH7568" s="831" t="s">
        <v>580</v>
      </c>
      <c r="AI7568" s="831">
        <v>0</v>
      </c>
      <c r="AJ7568" s="835">
        <v>40694</v>
      </c>
      <c r="AK7568" s="831">
        <v>0</v>
      </c>
    </row>
    <row r="7569" spans="2:37">
      <c r="B7569" s="834" t="str">
        <f t="shared" si="315"/>
        <v>|||</v>
      </c>
      <c r="H7569" s="835">
        <f t="shared" si="316"/>
        <v>31</v>
      </c>
      <c r="AF7569" s="831" t="s">
        <v>8228</v>
      </c>
      <c r="AG7569" s="831" t="s">
        <v>2674</v>
      </c>
      <c r="AH7569" s="831" t="s">
        <v>581</v>
      </c>
      <c r="AI7569" s="831">
        <v>0</v>
      </c>
      <c r="AJ7569" s="835">
        <v>40694</v>
      </c>
      <c r="AK7569" s="831">
        <v>0</v>
      </c>
    </row>
    <row r="7570" spans="2:37">
      <c r="B7570" s="834" t="str">
        <f t="shared" si="315"/>
        <v>|||</v>
      </c>
      <c r="H7570" s="835">
        <f t="shared" si="316"/>
        <v>31</v>
      </c>
      <c r="AF7570" s="831" t="s">
        <v>8229</v>
      </c>
      <c r="AG7570" s="831" t="s">
        <v>2674</v>
      </c>
      <c r="AH7570" s="831" t="s">
        <v>105</v>
      </c>
      <c r="AI7570" s="831">
        <v>0</v>
      </c>
      <c r="AJ7570" s="835">
        <v>40694</v>
      </c>
      <c r="AK7570" s="831">
        <v>146594690</v>
      </c>
    </row>
    <row r="7571" spans="2:37">
      <c r="B7571" s="834" t="str">
        <f t="shared" si="315"/>
        <v>|||</v>
      </c>
      <c r="H7571" s="835">
        <f t="shared" si="316"/>
        <v>31</v>
      </c>
      <c r="AF7571" s="831" t="s">
        <v>8230</v>
      </c>
      <c r="AG7571" s="831" t="s">
        <v>2674</v>
      </c>
      <c r="AH7571" s="831" t="s">
        <v>3049</v>
      </c>
      <c r="AI7571" s="831">
        <v>0</v>
      </c>
      <c r="AJ7571" s="835">
        <v>40694</v>
      </c>
      <c r="AK7571" s="831">
        <v>276101452</v>
      </c>
    </row>
    <row r="7572" spans="2:37">
      <c r="B7572" s="834" t="str">
        <f t="shared" si="315"/>
        <v>|||</v>
      </c>
      <c r="H7572" s="835">
        <f t="shared" si="316"/>
        <v>31</v>
      </c>
      <c r="AF7572" s="831" t="s">
        <v>8231</v>
      </c>
      <c r="AG7572" s="831" t="s">
        <v>2674</v>
      </c>
      <c r="AH7572" s="831" t="s">
        <v>103</v>
      </c>
      <c r="AI7572" s="831">
        <v>0</v>
      </c>
      <c r="AJ7572" s="835">
        <v>40694</v>
      </c>
      <c r="AK7572" s="831">
        <v>129506762</v>
      </c>
    </row>
    <row r="7573" spans="2:37">
      <c r="B7573" s="834" t="str">
        <f t="shared" si="315"/>
        <v>|||</v>
      </c>
      <c r="H7573" s="835">
        <f t="shared" si="316"/>
        <v>31</v>
      </c>
      <c r="AF7573" s="831" t="s">
        <v>8232</v>
      </c>
      <c r="AG7573" s="831" t="s">
        <v>2674</v>
      </c>
      <c r="AH7573" s="831" t="s">
        <v>182</v>
      </c>
      <c r="AI7573" s="831">
        <v>0</v>
      </c>
      <c r="AJ7573" s="835">
        <v>40694</v>
      </c>
      <c r="AK7573" s="831">
        <v>39661713.600000001</v>
      </c>
    </row>
    <row r="7574" spans="2:37">
      <c r="B7574" s="834" t="str">
        <f t="shared" si="315"/>
        <v>|||</v>
      </c>
      <c r="H7574" s="835">
        <f t="shared" si="316"/>
        <v>31</v>
      </c>
      <c r="AF7574" s="831" t="s">
        <v>8233</v>
      </c>
      <c r="AG7574" s="831" t="s">
        <v>2674</v>
      </c>
      <c r="AH7574" s="831" t="s">
        <v>6600</v>
      </c>
      <c r="AI7574" s="831">
        <v>0</v>
      </c>
      <c r="AJ7574" s="835">
        <v>40694</v>
      </c>
      <c r="AK7574" s="831">
        <v>0</v>
      </c>
    </row>
    <row r="7575" spans="2:37">
      <c r="B7575" s="834" t="str">
        <f t="shared" si="315"/>
        <v>|||</v>
      </c>
      <c r="H7575" s="835">
        <f t="shared" si="316"/>
        <v>31</v>
      </c>
      <c r="AF7575" s="831" t="s">
        <v>8234</v>
      </c>
      <c r="AG7575" s="831" t="s">
        <v>2674</v>
      </c>
      <c r="AH7575" s="831" t="s">
        <v>6602</v>
      </c>
      <c r="AI7575" s="831">
        <v>0</v>
      </c>
      <c r="AJ7575" s="835">
        <v>40694</v>
      </c>
      <c r="AK7575" s="831">
        <v>7356518</v>
      </c>
    </row>
    <row r="7576" spans="2:37">
      <c r="B7576" s="834" t="str">
        <f t="shared" si="315"/>
        <v>|||</v>
      </c>
      <c r="H7576" s="835">
        <f t="shared" si="316"/>
        <v>31</v>
      </c>
      <c r="AF7576" s="831" t="s">
        <v>8235</v>
      </c>
      <c r="AG7576" s="831" t="s">
        <v>2674</v>
      </c>
      <c r="AH7576" s="831" t="s">
        <v>650</v>
      </c>
      <c r="AI7576" s="831">
        <v>0</v>
      </c>
      <c r="AJ7576" s="835">
        <v>40694</v>
      </c>
      <c r="AK7576" s="831">
        <v>0</v>
      </c>
    </row>
    <row r="7577" spans="2:37">
      <c r="B7577" s="834" t="str">
        <f t="shared" si="315"/>
        <v>|||</v>
      </c>
      <c r="H7577" s="835">
        <f t="shared" si="316"/>
        <v>31</v>
      </c>
      <c r="AF7577" s="831" t="s">
        <v>8236</v>
      </c>
      <c r="AG7577" s="831" t="s">
        <v>2674</v>
      </c>
      <c r="AH7577" s="831" t="s">
        <v>655</v>
      </c>
      <c r="AI7577" s="831">
        <v>0</v>
      </c>
      <c r="AJ7577" s="835">
        <v>40694</v>
      </c>
      <c r="AK7577" s="831">
        <v>0</v>
      </c>
    </row>
    <row r="7578" spans="2:37">
      <c r="B7578" s="834" t="str">
        <f t="shared" si="315"/>
        <v>|||</v>
      </c>
      <c r="H7578" s="835">
        <f t="shared" si="316"/>
        <v>31</v>
      </c>
      <c r="AF7578" s="831" t="s">
        <v>8237</v>
      </c>
      <c r="AG7578" s="831" t="s">
        <v>2674</v>
      </c>
      <c r="AH7578" s="831" t="s">
        <v>546</v>
      </c>
      <c r="AI7578" s="831">
        <v>0</v>
      </c>
      <c r="AJ7578" s="835">
        <v>40724</v>
      </c>
      <c r="AK7578" s="831">
        <v>279113071</v>
      </c>
    </row>
    <row r="7579" spans="2:37">
      <c r="B7579" s="834" t="str">
        <f t="shared" si="315"/>
        <v>|||</v>
      </c>
      <c r="H7579" s="835">
        <f t="shared" si="316"/>
        <v>31</v>
      </c>
      <c r="AF7579" s="831" t="s">
        <v>8238</v>
      </c>
      <c r="AG7579" s="831" t="s">
        <v>2674</v>
      </c>
      <c r="AH7579" s="831" t="s">
        <v>370</v>
      </c>
      <c r="AI7579" s="831">
        <v>0</v>
      </c>
      <c r="AJ7579" s="835">
        <v>40724</v>
      </c>
      <c r="AK7579" s="831">
        <v>365347422</v>
      </c>
    </row>
    <row r="7580" spans="2:37">
      <c r="B7580" s="834" t="str">
        <f t="shared" si="315"/>
        <v>|||</v>
      </c>
      <c r="H7580" s="835">
        <f t="shared" si="316"/>
        <v>31</v>
      </c>
      <c r="AF7580" s="831" t="s">
        <v>8239</v>
      </c>
      <c r="AG7580" s="831" t="s">
        <v>2674</v>
      </c>
      <c r="AH7580" s="831" t="s">
        <v>126</v>
      </c>
      <c r="AI7580" s="831">
        <v>0</v>
      </c>
      <c r="AJ7580" s="835">
        <v>40724</v>
      </c>
      <c r="AK7580" s="831">
        <v>82878045</v>
      </c>
    </row>
    <row r="7581" spans="2:37">
      <c r="B7581" s="834" t="str">
        <f t="shared" si="315"/>
        <v>|||</v>
      </c>
      <c r="H7581" s="835">
        <f t="shared" si="316"/>
        <v>31</v>
      </c>
      <c r="AF7581" s="831" t="s">
        <v>8240</v>
      </c>
      <c r="AG7581" s="831" t="s">
        <v>2674</v>
      </c>
      <c r="AH7581" s="831" t="s">
        <v>268</v>
      </c>
      <c r="AI7581" s="831">
        <v>0</v>
      </c>
      <c r="AJ7581" s="835">
        <v>40724</v>
      </c>
      <c r="AK7581" s="831">
        <v>8423121</v>
      </c>
    </row>
    <row r="7582" spans="2:37">
      <c r="B7582" s="834" t="str">
        <f t="shared" si="315"/>
        <v>|||</v>
      </c>
      <c r="H7582" s="835">
        <f t="shared" si="316"/>
        <v>31</v>
      </c>
      <c r="AF7582" s="831" t="s">
        <v>8241</v>
      </c>
      <c r="AG7582" s="831" t="s">
        <v>2674</v>
      </c>
      <c r="AH7582" s="831" t="s">
        <v>547</v>
      </c>
      <c r="AI7582" s="831">
        <v>0</v>
      </c>
      <c r="AJ7582" s="835">
        <v>40724</v>
      </c>
      <c r="AK7582" s="831">
        <v>0</v>
      </c>
    </row>
    <row r="7583" spans="2:37">
      <c r="B7583" s="834" t="str">
        <f t="shared" si="315"/>
        <v>|||</v>
      </c>
      <c r="H7583" s="835">
        <f t="shared" si="316"/>
        <v>31</v>
      </c>
      <c r="AF7583" s="831" t="s">
        <v>8242</v>
      </c>
      <c r="AG7583" s="831" t="s">
        <v>2674</v>
      </c>
      <c r="AH7583" s="831" t="s">
        <v>548</v>
      </c>
      <c r="AI7583" s="831">
        <v>0</v>
      </c>
      <c r="AJ7583" s="835">
        <v>40724</v>
      </c>
      <c r="AK7583" s="831">
        <v>0</v>
      </c>
    </row>
    <row r="7584" spans="2:37">
      <c r="B7584" s="834" t="str">
        <f t="shared" si="315"/>
        <v>|||</v>
      </c>
      <c r="H7584" s="835">
        <f t="shared" si="316"/>
        <v>31</v>
      </c>
      <c r="AF7584" s="831" t="s">
        <v>8243</v>
      </c>
      <c r="AG7584" s="831" t="s">
        <v>2674</v>
      </c>
      <c r="AH7584" s="831" t="s">
        <v>549</v>
      </c>
      <c r="AI7584" s="831">
        <v>0</v>
      </c>
      <c r="AJ7584" s="835">
        <v>40724</v>
      </c>
      <c r="AK7584" s="831">
        <v>0</v>
      </c>
    </row>
    <row r="7585" spans="2:37">
      <c r="B7585" s="834" t="str">
        <f t="shared" si="315"/>
        <v>|||</v>
      </c>
      <c r="H7585" s="835">
        <f t="shared" si="316"/>
        <v>31</v>
      </c>
      <c r="AF7585" s="831" t="s">
        <v>8244</v>
      </c>
      <c r="AG7585" s="831" t="s">
        <v>2674</v>
      </c>
      <c r="AH7585" s="831" t="s">
        <v>192</v>
      </c>
      <c r="AI7585" s="831">
        <v>0</v>
      </c>
      <c r="AJ7585" s="835">
        <v>40724</v>
      </c>
      <c r="AK7585" s="831">
        <v>-7367371</v>
      </c>
    </row>
    <row r="7586" spans="2:37">
      <c r="B7586" s="834" t="str">
        <f t="shared" si="315"/>
        <v>|||</v>
      </c>
      <c r="H7586" s="835">
        <f t="shared" si="316"/>
        <v>31</v>
      </c>
      <c r="AF7586" s="831" t="s">
        <v>8245</v>
      </c>
      <c r="AG7586" s="831" t="s">
        <v>2674</v>
      </c>
      <c r="AH7586" s="831" t="s">
        <v>558</v>
      </c>
      <c r="AI7586" s="831">
        <v>0</v>
      </c>
      <c r="AJ7586" s="835">
        <v>40724</v>
      </c>
      <c r="AK7586" s="831">
        <v>282469377</v>
      </c>
    </row>
    <row r="7587" spans="2:37">
      <c r="B7587" s="834" t="str">
        <f t="shared" si="315"/>
        <v>|||</v>
      </c>
      <c r="H7587" s="835">
        <f t="shared" si="316"/>
        <v>31</v>
      </c>
      <c r="AF7587" s="831" t="s">
        <v>8246</v>
      </c>
      <c r="AG7587" s="831" t="s">
        <v>2674</v>
      </c>
      <c r="AH7587" s="831" t="s">
        <v>65</v>
      </c>
      <c r="AI7587" s="831">
        <v>0</v>
      </c>
      <c r="AJ7587" s="835">
        <v>40724</v>
      </c>
      <c r="AK7587" s="831">
        <v>42303861</v>
      </c>
    </row>
    <row r="7588" spans="2:37">
      <c r="B7588" s="834" t="str">
        <f t="shared" si="315"/>
        <v>|||</v>
      </c>
      <c r="H7588" s="835">
        <f t="shared" si="316"/>
        <v>31</v>
      </c>
      <c r="AF7588" s="831" t="s">
        <v>8247</v>
      </c>
      <c r="AG7588" s="831" t="s">
        <v>2674</v>
      </c>
      <c r="AH7588" s="831" t="s">
        <v>89</v>
      </c>
      <c r="AI7588" s="831">
        <v>0</v>
      </c>
      <c r="AJ7588" s="835">
        <v>40724</v>
      </c>
      <c r="AK7588" s="831">
        <v>0</v>
      </c>
    </row>
    <row r="7589" spans="2:37">
      <c r="B7589" s="834" t="str">
        <f t="shared" si="315"/>
        <v>|||</v>
      </c>
      <c r="H7589" s="835">
        <f t="shared" si="316"/>
        <v>31</v>
      </c>
      <c r="AF7589" s="831" t="s">
        <v>8248</v>
      </c>
      <c r="AG7589" s="831" t="s">
        <v>2674</v>
      </c>
      <c r="AH7589" s="831" t="s">
        <v>557</v>
      </c>
      <c r="AI7589" s="831">
        <v>0</v>
      </c>
      <c r="AJ7589" s="835">
        <v>40724</v>
      </c>
      <c r="AK7589" s="831">
        <v>0</v>
      </c>
    </row>
    <row r="7590" spans="2:37">
      <c r="B7590" s="834" t="str">
        <f t="shared" si="315"/>
        <v>|||</v>
      </c>
      <c r="H7590" s="835">
        <f t="shared" si="316"/>
        <v>31</v>
      </c>
      <c r="AF7590" s="831" t="s">
        <v>8249</v>
      </c>
      <c r="AG7590" s="831" t="s">
        <v>2674</v>
      </c>
      <c r="AH7590" s="831" t="s">
        <v>29</v>
      </c>
      <c r="AI7590" s="831">
        <v>0</v>
      </c>
      <c r="AJ7590" s="835">
        <v>40724</v>
      </c>
      <c r="AK7590" s="831">
        <v>0</v>
      </c>
    </row>
    <row r="7591" spans="2:37">
      <c r="B7591" s="834" t="str">
        <f t="shared" si="315"/>
        <v>|||</v>
      </c>
      <c r="H7591" s="835">
        <f t="shared" si="316"/>
        <v>31</v>
      </c>
      <c r="AF7591" s="831" t="s">
        <v>8250</v>
      </c>
      <c r="AG7591" s="831" t="s">
        <v>2674</v>
      </c>
      <c r="AH7591" s="831" t="s">
        <v>2688</v>
      </c>
      <c r="AI7591" s="831">
        <v>0</v>
      </c>
      <c r="AJ7591" s="835">
        <v>40724</v>
      </c>
      <c r="AK7591" s="831">
        <v>0</v>
      </c>
    </row>
    <row r="7592" spans="2:37">
      <c r="B7592" s="834" t="str">
        <f t="shared" si="315"/>
        <v>|||</v>
      </c>
      <c r="H7592" s="835">
        <f t="shared" si="316"/>
        <v>31</v>
      </c>
      <c r="AF7592" s="831" t="s">
        <v>8251</v>
      </c>
      <c r="AG7592" s="831" t="s">
        <v>2674</v>
      </c>
      <c r="AH7592" s="831" t="s">
        <v>556</v>
      </c>
      <c r="AI7592" s="831">
        <v>0</v>
      </c>
      <c r="AJ7592" s="835">
        <v>40724</v>
      </c>
      <c r="AK7592" s="831">
        <v>1373340</v>
      </c>
    </row>
    <row r="7593" spans="2:37">
      <c r="B7593" s="834" t="str">
        <f t="shared" si="315"/>
        <v>|||</v>
      </c>
      <c r="H7593" s="835">
        <f t="shared" si="316"/>
        <v>31</v>
      </c>
      <c r="AF7593" s="831" t="s">
        <v>8252</v>
      </c>
      <c r="AG7593" s="831" t="s">
        <v>2674</v>
      </c>
      <c r="AH7593" s="831" t="s">
        <v>555</v>
      </c>
      <c r="AI7593" s="831">
        <v>0</v>
      </c>
      <c r="AJ7593" s="835">
        <v>40724</v>
      </c>
      <c r="AK7593" s="831">
        <v>179918320</v>
      </c>
    </row>
    <row r="7594" spans="2:37">
      <c r="B7594" s="834" t="str">
        <f t="shared" si="315"/>
        <v>|||</v>
      </c>
      <c r="H7594" s="835">
        <f t="shared" si="316"/>
        <v>31</v>
      </c>
      <c r="AF7594" s="831" t="s">
        <v>8253</v>
      </c>
      <c r="AG7594" s="831" t="s">
        <v>2674</v>
      </c>
      <c r="AH7594" s="831" t="s">
        <v>554</v>
      </c>
      <c r="AI7594" s="831">
        <v>0</v>
      </c>
      <c r="AJ7594" s="835">
        <v>40724</v>
      </c>
      <c r="AK7594" s="831">
        <v>175338530</v>
      </c>
    </row>
    <row r="7595" spans="2:37">
      <c r="B7595" s="834" t="str">
        <f t="shared" si="315"/>
        <v>|||</v>
      </c>
      <c r="H7595" s="835">
        <f t="shared" si="316"/>
        <v>31</v>
      </c>
      <c r="AF7595" s="831" t="s">
        <v>8254</v>
      </c>
      <c r="AG7595" s="831" t="s">
        <v>2674</v>
      </c>
      <c r="AH7595" s="831" t="s">
        <v>553</v>
      </c>
      <c r="AI7595" s="831">
        <v>0</v>
      </c>
      <c r="AJ7595" s="835">
        <v>40724</v>
      </c>
      <c r="AK7595" s="831">
        <v>0</v>
      </c>
    </row>
    <row r="7596" spans="2:37">
      <c r="B7596" s="834" t="str">
        <f t="shared" si="315"/>
        <v>|||</v>
      </c>
      <c r="H7596" s="835">
        <f t="shared" si="316"/>
        <v>31</v>
      </c>
      <c r="AF7596" s="831" t="s">
        <v>8255</v>
      </c>
      <c r="AG7596" s="831" t="s">
        <v>2674</v>
      </c>
      <c r="AH7596" s="831" t="s">
        <v>552</v>
      </c>
      <c r="AI7596" s="831">
        <v>0</v>
      </c>
      <c r="AJ7596" s="835">
        <v>40724</v>
      </c>
      <c r="AK7596" s="831">
        <v>0</v>
      </c>
    </row>
    <row r="7597" spans="2:37">
      <c r="B7597" s="834" t="str">
        <f t="shared" si="315"/>
        <v>|||</v>
      </c>
      <c r="H7597" s="835">
        <f t="shared" si="316"/>
        <v>31</v>
      </c>
      <c r="AF7597" s="831" t="s">
        <v>8256</v>
      </c>
      <c r="AG7597" s="831" t="s">
        <v>2674</v>
      </c>
      <c r="AH7597" s="831" t="s">
        <v>551</v>
      </c>
      <c r="AI7597" s="831">
        <v>0</v>
      </c>
      <c r="AJ7597" s="835">
        <v>40724</v>
      </c>
      <c r="AK7597" s="831">
        <v>0</v>
      </c>
    </row>
    <row r="7598" spans="2:37">
      <c r="B7598" s="834" t="str">
        <f t="shared" si="315"/>
        <v>|||</v>
      </c>
      <c r="H7598" s="835">
        <f t="shared" si="316"/>
        <v>31</v>
      </c>
      <c r="AF7598" s="831" t="s">
        <v>8257</v>
      </c>
      <c r="AG7598" s="831" t="s">
        <v>2674</v>
      </c>
      <c r="AH7598" s="831" t="s">
        <v>550</v>
      </c>
      <c r="AI7598" s="831">
        <v>0</v>
      </c>
      <c r="AJ7598" s="835">
        <v>40724</v>
      </c>
      <c r="AK7598" s="831">
        <v>0</v>
      </c>
    </row>
    <row r="7599" spans="2:37">
      <c r="B7599" s="834" t="str">
        <f t="shared" si="315"/>
        <v>|||</v>
      </c>
      <c r="H7599" s="835">
        <f t="shared" si="316"/>
        <v>31</v>
      </c>
      <c r="AF7599" s="831" t="s">
        <v>8258</v>
      </c>
      <c r="AG7599" s="831" t="s">
        <v>2674</v>
      </c>
      <c r="AH7599" s="831" t="s">
        <v>562</v>
      </c>
      <c r="AI7599" s="831">
        <v>0</v>
      </c>
      <c r="AJ7599" s="835">
        <v>40724</v>
      </c>
      <c r="AK7599" s="831">
        <v>0.78605000000000003</v>
      </c>
    </row>
    <row r="7600" spans="2:37">
      <c r="B7600" s="834" t="str">
        <f t="shared" si="315"/>
        <v>|||</v>
      </c>
      <c r="H7600" s="835">
        <f t="shared" si="316"/>
        <v>31</v>
      </c>
      <c r="AF7600" s="831" t="s">
        <v>8259</v>
      </c>
      <c r="AG7600" s="831" t="s">
        <v>2674</v>
      </c>
      <c r="AH7600" s="831" t="s">
        <v>2698</v>
      </c>
      <c r="AI7600" s="831">
        <v>0</v>
      </c>
      <c r="AJ7600" s="835">
        <v>40724</v>
      </c>
      <c r="AK7600" s="831">
        <v>0.78885000000000005</v>
      </c>
    </row>
    <row r="7601" spans="2:37">
      <c r="B7601" s="834" t="str">
        <f t="shared" si="315"/>
        <v>|||</v>
      </c>
      <c r="H7601" s="835">
        <f t="shared" si="316"/>
        <v>31</v>
      </c>
      <c r="AF7601" s="831" t="s">
        <v>8260</v>
      </c>
      <c r="AG7601" s="831" t="s">
        <v>2674</v>
      </c>
      <c r="AH7601" s="831" t="s">
        <v>560</v>
      </c>
      <c r="AI7601" s="831">
        <v>0</v>
      </c>
      <c r="AJ7601" s="835">
        <v>40724</v>
      </c>
      <c r="AK7601" s="831">
        <v>0.79307499999999997</v>
      </c>
    </row>
    <row r="7602" spans="2:37">
      <c r="B7602" s="834" t="str">
        <f t="shared" si="315"/>
        <v>|||</v>
      </c>
      <c r="H7602" s="835">
        <f t="shared" si="316"/>
        <v>31</v>
      </c>
      <c r="AF7602" s="831" t="s">
        <v>8261</v>
      </c>
      <c r="AG7602" s="831" t="s">
        <v>2674</v>
      </c>
      <c r="AH7602" s="831" t="s">
        <v>559</v>
      </c>
      <c r="AI7602" s="831">
        <v>0</v>
      </c>
      <c r="AJ7602" s="835">
        <v>40724</v>
      </c>
      <c r="AK7602" s="831">
        <v>0.796620833333333</v>
      </c>
    </row>
    <row r="7603" spans="2:37">
      <c r="B7603" s="834" t="str">
        <f t="shared" si="315"/>
        <v>|||</v>
      </c>
      <c r="H7603" s="835">
        <f t="shared" si="316"/>
        <v>31</v>
      </c>
      <c r="AF7603" s="831" t="s">
        <v>8262</v>
      </c>
      <c r="AG7603" s="831" t="s">
        <v>2674</v>
      </c>
      <c r="AH7603" s="831" t="s">
        <v>568</v>
      </c>
      <c r="AI7603" s="831">
        <v>0</v>
      </c>
      <c r="AJ7603" s="835">
        <v>40724</v>
      </c>
      <c r="AK7603" s="831">
        <v>0</v>
      </c>
    </row>
    <row r="7604" spans="2:37">
      <c r="B7604" s="834" t="str">
        <f t="shared" si="315"/>
        <v>|||</v>
      </c>
      <c r="H7604" s="835">
        <f t="shared" si="316"/>
        <v>31</v>
      </c>
      <c r="AF7604" s="831" t="s">
        <v>8263</v>
      </c>
      <c r="AG7604" s="831" t="s">
        <v>2674</v>
      </c>
      <c r="AH7604" s="831" t="s">
        <v>569</v>
      </c>
      <c r="AI7604" s="831">
        <v>0</v>
      </c>
      <c r="AJ7604" s="835">
        <v>40724</v>
      </c>
      <c r="AK7604" s="831">
        <v>0</v>
      </c>
    </row>
    <row r="7605" spans="2:37">
      <c r="B7605" s="834" t="str">
        <f t="shared" si="315"/>
        <v>|||</v>
      </c>
      <c r="H7605" s="835">
        <f t="shared" si="316"/>
        <v>31</v>
      </c>
      <c r="AF7605" s="831" t="s">
        <v>8264</v>
      </c>
      <c r="AG7605" s="831" t="s">
        <v>2674</v>
      </c>
      <c r="AH7605" s="831" t="s">
        <v>570</v>
      </c>
      <c r="AI7605" s="831">
        <v>0</v>
      </c>
      <c r="AJ7605" s="835">
        <v>40724</v>
      </c>
      <c r="AK7605" s="831">
        <v>0</v>
      </c>
    </row>
    <row r="7606" spans="2:37">
      <c r="B7606" s="834" t="str">
        <f t="shared" si="315"/>
        <v>|||</v>
      </c>
      <c r="H7606" s="835">
        <f t="shared" si="316"/>
        <v>31</v>
      </c>
      <c r="AF7606" s="831" t="s">
        <v>8265</v>
      </c>
      <c r="AG7606" s="831" t="s">
        <v>2674</v>
      </c>
      <c r="AH7606" s="831" t="s">
        <v>571</v>
      </c>
      <c r="AI7606" s="831">
        <v>0</v>
      </c>
      <c r="AJ7606" s="835">
        <v>40724</v>
      </c>
      <c r="AK7606" s="831">
        <v>0</v>
      </c>
    </row>
    <row r="7607" spans="2:37">
      <c r="B7607" s="834" t="str">
        <f t="shared" si="315"/>
        <v>|||</v>
      </c>
      <c r="H7607" s="835">
        <f t="shared" si="316"/>
        <v>31</v>
      </c>
      <c r="AF7607" s="831" t="s">
        <v>8266</v>
      </c>
      <c r="AG7607" s="831" t="s">
        <v>2674</v>
      </c>
      <c r="AH7607" s="831" t="s">
        <v>573</v>
      </c>
      <c r="AI7607" s="831">
        <v>0</v>
      </c>
      <c r="AJ7607" s="835">
        <v>40724</v>
      </c>
      <c r="AK7607" s="831">
        <v>0</v>
      </c>
    </row>
    <row r="7608" spans="2:37">
      <c r="B7608" s="834" t="str">
        <f t="shared" si="315"/>
        <v>|||</v>
      </c>
      <c r="H7608" s="835">
        <f t="shared" si="316"/>
        <v>31</v>
      </c>
      <c r="AF7608" s="831" t="s">
        <v>8267</v>
      </c>
      <c r="AG7608" s="831" t="s">
        <v>2674</v>
      </c>
      <c r="AH7608" s="831" t="s">
        <v>574</v>
      </c>
      <c r="AI7608" s="831">
        <v>0</v>
      </c>
      <c r="AJ7608" s="835">
        <v>40724</v>
      </c>
      <c r="AK7608" s="831">
        <v>0</v>
      </c>
    </row>
    <row r="7609" spans="2:37">
      <c r="B7609" s="834" t="str">
        <f t="shared" si="315"/>
        <v>|||</v>
      </c>
      <c r="H7609" s="835">
        <f t="shared" si="316"/>
        <v>31</v>
      </c>
      <c r="AF7609" s="831" t="s">
        <v>8268</v>
      </c>
      <c r="AG7609" s="831" t="s">
        <v>2674</v>
      </c>
      <c r="AH7609" s="831" t="s">
        <v>575</v>
      </c>
      <c r="AI7609" s="831">
        <v>0</v>
      </c>
      <c r="AJ7609" s="835">
        <v>40724</v>
      </c>
      <c r="AK7609" s="831">
        <v>0</v>
      </c>
    </row>
    <row r="7610" spans="2:37">
      <c r="B7610" s="834" t="str">
        <f t="shared" si="315"/>
        <v>|||</v>
      </c>
      <c r="H7610" s="835">
        <f t="shared" si="316"/>
        <v>31</v>
      </c>
      <c r="AF7610" s="831" t="s">
        <v>8269</v>
      </c>
      <c r="AG7610" s="831" t="s">
        <v>2674</v>
      </c>
      <c r="AH7610" s="831" t="s">
        <v>576</v>
      </c>
      <c r="AI7610" s="831">
        <v>0</v>
      </c>
      <c r="AJ7610" s="835">
        <v>40724</v>
      </c>
      <c r="AK7610" s="831">
        <v>0</v>
      </c>
    </row>
    <row r="7611" spans="2:37">
      <c r="B7611" s="834" t="str">
        <f t="shared" si="315"/>
        <v>|||</v>
      </c>
      <c r="H7611" s="835">
        <f t="shared" si="316"/>
        <v>31</v>
      </c>
      <c r="AF7611" s="831" t="s">
        <v>8270</v>
      </c>
      <c r="AG7611" s="831" t="s">
        <v>2674</v>
      </c>
      <c r="AH7611" s="831" t="s">
        <v>572</v>
      </c>
      <c r="AI7611" s="831">
        <v>0</v>
      </c>
      <c r="AJ7611" s="835">
        <v>40724</v>
      </c>
      <c r="AK7611" s="831">
        <v>0</v>
      </c>
    </row>
    <row r="7612" spans="2:37">
      <c r="B7612" s="834" t="str">
        <f t="shared" si="315"/>
        <v>|||</v>
      </c>
      <c r="H7612" s="835">
        <f t="shared" si="316"/>
        <v>31</v>
      </c>
      <c r="AF7612" s="831" t="s">
        <v>8271</v>
      </c>
      <c r="AG7612" s="831" t="s">
        <v>2674</v>
      </c>
      <c r="AH7612" s="831" t="s">
        <v>577</v>
      </c>
      <c r="AI7612" s="831">
        <v>0</v>
      </c>
      <c r="AJ7612" s="835">
        <v>40724</v>
      </c>
      <c r="AK7612" s="831">
        <v>0</v>
      </c>
    </row>
    <row r="7613" spans="2:37">
      <c r="B7613" s="834" t="str">
        <f t="shared" si="315"/>
        <v>|||</v>
      </c>
      <c r="H7613" s="835">
        <f t="shared" si="316"/>
        <v>31</v>
      </c>
      <c r="AF7613" s="831" t="s">
        <v>8272</v>
      </c>
      <c r="AG7613" s="831" t="s">
        <v>2674</v>
      </c>
      <c r="AH7613" s="831" t="s">
        <v>3042</v>
      </c>
      <c r="AI7613" s="831">
        <v>0</v>
      </c>
      <c r="AJ7613" s="835">
        <v>40724</v>
      </c>
      <c r="AK7613" s="831">
        <v>0</v>
      </c>
    </row>
    <row r="7614" spans="2:37">
      <c r="B7614" s="834" t="str">
        <f t="shared" si="315"/>
        <v>|||</v>
      </c>
      <c r="H7614" s="835">
        <f t="shared" si="316"/>
        <v>31</v>
      </c>
      <c r="AF7614" s="831" t="s">
        <v>8273</v>
      </c>
      <c r="AG7614" s="831" t="s">
        <v>2674</v>
      </c>
      <c r="AH7614" s="831" t="s">
        <v>3044</v>
      </c>
      <c r="AI7614" s="831">
        <v>0</v>
      </c>
      <c r="AJ7614" s="835">
        <v>40724</v>
      </c>
      <c r="AK7614" s="831">
        <v>0</v>
      </c>
    </row>
    <row r="7615" spans="2:37">
      <c r="B7615" s="834" t="str">
        <f t="shared" si="315"/>
        <v>|||</v>
      </c>
      <c r="H7615" s="835">
        <f t="shared" si="316"/>
        <v>31</v>
      </c>
      <c r="AF7615" s="831" t="s">
        <v>8274</v>
      </c>
      <c r="AG7615" s="831" t="s">
        <v>2674</v>
      </c>
      <c r="AH7615" s="831" t="s">
        <v>580</v>
      </c>
      <c r="AI7615" s="831">
        <v>0</v>
      </c>
      <c r="AJ7615" s="835">
        <v>40724</v>
      </c>
      <c r="AK7615" s="831">
        <v>0</v>
      </c>
    </row>
    <row r="7616" spans="2:37">
      <c r="B7616" s="834" t="str">
        <f t="shared" si="315"/>
        <v>|||</v>
      </c>
      <c r="H7616" s="835">
        <f t="shared" si="316"/>
        <v>31</v>
      </c>
      <c r="AF7616" s="831" t="s">
        <v>8275</v>
      </c>
      <c r="AG7616" s="831" t="s">
        <v>2674</v>
      </c>
      <c r="AH7616" s="831" t="s">
        <v>581</v>
      </c>
      <c r="AI7616" s="831">
        <v>0</v>
      </c>
      <c r="AJ7616" s="835">
        <v>40724</v>
      </c>
      <c r="AK7616" s="831">
        <v>0</v>
      </c>
    </row>
    <row r="7617" spans="2:37">
      <c r="B7617" s="834" t="str">
        <f t="shared" si="315"/>
        <v>|||</v>
      </c>
      <c r="H7617" s="835">
        <f t="shared" si="316"/>
        <v>31</v>
      </c>
      <c r="AF7617" s="831" t="s">
        <v>8276</v>
      </c>
      <c r="AG7617" s="831" t="s">
        <v>2674</v>
      </c>
      <c r="AH7617" s="831" t="s">
        <v>105</v>
      </c>
      <c r="AI7617" s="831">
        <v>0</v>
      </c>
      <c r="AJ7617" s="835">
        <v>40724</v>
      </c>
      <c r="AK7617" s="831">
        <v>137931374</v>
      </c>
    </row>
    <row r="7618" spans="2:37">
      <c r="B7618" s="834" t="str">
        <f t="shared" si="315"/>
        <v>|||</v>
      </c>
      <c r="H7618" s="835">
        <f t="shared" si="316"/>
        <v>31</v>
      </c>
      <c r="AF7618" s="831" t="s">
        <v>8277</v>
      </c>
      <c r="AG7618" s="831" t="s">
        <v>2674</v>
      </c>
      <c r="AH7618" s="831" t="s">
        <v>3049</v>
      </c>
      <c r="AI7618" s="831">
        <v>0</v>
      </c>
      <c r="AJ7618" s="835">
        <v>40724</v>
      </c>
      <c r="AK7618" s="831">
        <v>271087968</v>
      </c>
    </row>
    <row r="7619" spans="2:37">
      <c r="B7619" s="834" t="str">
        <f t="shared" ref="B7619:B7682" si="317">C7619&amp;"|"&amp;D7619&amp;"|"&amp;E7619&amp;"|"&amp;F7619</f>
        <v>|||</v>
      </c>
      <c r="H7619" s="835">
        <f t="shared" si="316"/>
        <v>31</v>
      </c>
      <c r="AF7619" s="831" t="s">
        <v>8278</v>
      </c>
      <c r="AG7619" s="831" t="s">
        <v>2674</v>
      </c>
      <c r="AH7619" s="831" t="s">
        <v>103</v>
      </c>
      <c r="AI7619" s="831">
        <v>0</v>
      </c>
      <c r="AJ7619" s="835">
        <v>40724</v>
      </c>
      <c r="AK7619" s="831">
        <v>133156594</v>
      </c>
    </row>
    <row r="7620" spans="2:37">
      <c r="B7620" s="834" t="str">
        <f t="shared" si="317"/>
        <v>|||</v>
      </c>
      <c r="H7620" s="835">
        <f t="shared" ref="H7620:H7683" si="318">EOMONTH(L7620,0)</f>
        <v>31</v>
      </c>
      <c r="AF7620" s="831" t="s">
        <v>8279</v>
      </c>
      <c r="AG7620" s="831" t="s">
        <v>2674</v>
      </c>
      <c r="AH7620" s="831" t="s">
        <v>182</v>
      </c>
      <c r="AI7620" s="831">
        <v>0</v>
      </c>
      <c r="AJ7620" s="835">
        <v>40724</v>
      </c>
      <c r="AK7620" s="831">
        <v>40758046</v>
      </c>
    </row>
    <row r="7621" spans="2:37">
      <c r="B7621" s="834" t="str">
        <f t="shared" si="317"/>
        <v>|||</v>
      </c>
      <c r="H7621" s="835">
        <f t="shared" si="318"/>
        <v>31</v>
      </c>
      <c r="AF7621" s="831" t="s">
        <v>8280</v>
      </c>
      <c r="AG7621" s="831" t="s">
        <v>2674</v>
      </c>
      <c r="AH7621" s="831" t="s">
        <v>6600</v>
      </c>
      <c r="AI7621" s="831">
        <v>0</v>
      </c>
      <c r="AJ7621" s="835">
        <v>40724</v>
      </c>
      <c r="AK7621" s="831">
        <v>0</v>
      </c>
    </row>
    <row r="7622" spans="2:37">
      <c r="B7622" s="834" t="str">
        <f t="shared" si="317"/>
        <v>|||</v>
      </c>
      <c r="H7622" s="835">
        <f t="shared" si="318"/>
        <v>31</v>
      </c>
      <c r="AF7622" s="831" t="s">
        <v>8281</v>
      </c>
      <c r="AG7622" s="831" t="s">
        <v>2674</v>
      </c>
      <c r="AH7622" s="831" t="s">
        <v>6602</v>
      </c>
      <c r="AI7622" s="831">
        <v>0</v>
      </c>
      <c r="AJ7622" s="835">
        <v>40724</v>
      </c>
      <c r="AK7622" s="831">
        <v>8423121</v>
      </c>
    </row>
    <row r="7623" spans="2:37">
      <c r="B7623" s="834" t="str">
        <f t="shared" si="317"/>
        <v>|||</v>
      </c>
      <c r="H7623" s="835">
        <f t="shared" si="318"/>
        <v>31</v>
      </c>
      <c r="AF7623" s="831" t="s">
        <v>8282</v>
      </c>
      <c r="AG7623" s="831" t="s">
        <v>2674</v>
      </c>
      <c r="AH7623" s="831" t="s">
        <v>650</v>
      </c>
      <c r="AI7623" s="831">
        <v>0</v>
      </c>
      <c r="AJ7623" s="835">
        <v>40724</v>
      </c>
      <c r="AK7623" s="831">
        <v>0</v>
      </c>
    </row>
    <row r="7624" spans="2:37">
      <c r="B7624" s="834" t="str">
        <f t="shared" si="317"/>
        <v>|||</v>
      </c>
      <c r="H7624" s="835">
        <f t="shared" si="318"/>
        <v>31</v>
      </c>
      <c r="AF7624" s="831" t="s">
        <v>8283</v>
      </c>
      <c r="AG7624" s="831" t="s">
        <v>2674</v>
      </c>
      <c r="AH7624" s="831" t="s">
        <v>655</v>
      </c>
      <c r="AI7624" s="831">
        <v>0</v>
      </c>
      <c r="AJ7624" s="835">
        <v>40724</v>
      </c>
      <c r="AK7624" s="831">
        <v>0</v>
      </c>
    </row>
    <row r="7625" spans="2:37">
      <c r="B7625" s="834" t="str">
        <f t="shared" si="317"/>
        <v>|||</v>
      </c>
      <c r="H7625" s="835">
        <f t="shared" si="318"/>
        <v>31</v>
      </c>
      <c r="AF7625" s="831" t="s">
        <v>8284</v>
      </c>
      <c r="AG7625" s="831" t="s">
        <v>2674</v>
      </c>
      <c r="AH7625" s="831" t="s">
        <v>546</v>
      </c>
      <c r="AI7625" s="831">
        <v>0</v>
      </c>
      <c r="AJ7625" s="835">
        <v>40755</v>
      </c>
      <c r="AK7625" s="831">
        <v>278690620</v>
      </c>
    </row>
    <row r="7626" spans="2:37">
      <c r="B7626" s="834" t="str">
        <f t="shared" si="317"/>
        <v>|||</v>
      </c>
      <c r="H7626" s="835">
        <f t="shared" si="318"/>
        <v>31</v>
      </c>
      <c r="AF7626" s="831" t="s">
        <v>8285</v>
      </c>
      <c r="AG7626" s="831" t="s">
        <v>2674</v>
      </c>
      <c r="AH7626" s="831" t="s">
        <v>370</v>
      </c>
      <c r="AI7626" s="831">
        <v>0</v>
      </c>
      <c r="AJ7626" s="835">
        <v>40755</v>
      </c>
      <c r="AK7626" s="831">
        <v>359411554</v>
      </c>
    </row>
    <row r="7627" spans="2:37">
      <c r="B7627" s="834" t="str">
        <f t="shared" si="317"/>
        <v>|||</v>
      </c>
      <c r="H7627" s="835">
        <f t="shared" si="318"/>
        <v>31</v>
      </c>
      <c r="AF7627" s="831" t="s">
        <v>8286</v>
      </c>
      <c r="AG7627" s="831" t="s">
        <v>2674</v>
      </c>
      <c r="AH7627" s="831" t="s">
        <v>126</v>
      </c>
      <c r="AI7627" s="831">
        <v>0</v>
      </c>
      <c r="AJ7627" s="835">
        <v>40755</v>
      </c>
      <c r="AK7627" s="831">
        <v>84930011</v>
      </c>
    </row>
    <row r="7628" spans="2:37">
      <c r="B7628" s="834" t="str">
        <f t="shared" si="317"/>
        <v>|||</v>
      </c>
      <c r="H7628" s="835">
        <f t="shared" si="318"/>
        <v>31</v>
      </c>
      <c r="AF7628" s="831" t="s">
        <v>8287</v>
      </c>
      <c r="AG7628" s="831" t="s">
        <v>2674</v>
      </c>
      <c r="AH7628" s="831" t="s">
        <v>268</v>
      </c>
      <c r="AI7628" s="831">
        <v>0</v>
      </c>
      <c r="AJ7628" s="835">
        <v>40755</v>
      </c>
      <c r="AK7628" s="831">
        <v>10475087</v>
      </c>
    </row>
    <row r="7629" spans="2:37">
      <c r="B7629" s="834" t="str">
        <f t="shared" si="317"/>
        <v>|||</v>
      </c>
      <c r="H7629" s="835">
        <f t="shared" si="318"/>
        <v>31</v>
      </c>
      <c r="AF7629" s="831" t="s">
        <v>8288</v>
      </c>
      <c r="AG7629" s="831" t="s">
        <v>2674</v>
      </c>
      <c r="AH7629" s="831" t="s">
        <v>547</v>
      </c>
      <c r="AI7629" s="831">
        <v>0</v>
      </c>
      <c r="AJ7629" s="835">
        <v>40755</v>
      </c>
      <c r="AK7629" s="831">
        <v>0</v>
      </c>
    </row>
    <row r="7630" spans="2:37">
      <c r="B7630" s="834" t="str">
        <f t="shared" si="317"/>
        <v>|||</v>
      </c>
      <c r="H7630" s="835">
        <f t="shared" si="318"/>
        <v>31</v>
      </c>
      <c r="AF7630" s="831" t="s">
        <v>8289</v>
      </c>
      <c r="AG7630" s="831" t="s">
        <v>2674</v>
      </c>
      <c r="AH7630" s="831" t="s">
        <v>548</v>
      </c>
      <c r="AI7630" s="831">
        <v>0</v>
      </c>
      <c r="AJ7630" s="835">
        <v>40755</v>
      </c>
      <c r="AK7630" s="831">
        <v>0</v>
      </c>
    </row>
    <row r="7631" spans="2:37">
      <c r="B7631" s="834" t="str">
        <f t="shared" si="317"/>
        <v>|||</v>
      </c>
      <c r="H7631" s="835">
        <f t="shared" si="318"/>
        <v>31</v>
      </c>
      <c r="AF7631" s="831" t="s">
        <v>8290</v>
      </c>
      <c r="AG7631" s="831" t="s">
        <v>2674</v>
      </c>
      <c r="AH7631" s="831" t="s">
        <v>549</v>
      </c>
      <c r="AI7631" s="831">
        <v>0</v>
      </c>
      <c r="AJ7631" s="835">
        <v>40755</v>
      </c>
      <c r="AK7631" s="831">
        <v>0</v>
      </c>
    </row>
    <row r="7632" spans="2:37">
      <c r="B7632" s="834" t="str">
        <f t="shared" si="317"/>
        <v>|||</v>
      </c>
      <c r="H7632" s="835">
        <f t="shared" si="318"/>
        <v>31</v>
      </c>
      <c r="AF7632" s="831" t="s">
        <v>8291</v>
      </c>
      <c r="AG7632" s="831" t="s">
        <v>2674</v>
      </c>
      <c r="AH7632" s="831" t="s">
        <v>192</v>
      </c>
      <c r="AI7632" s="831">
        <v>0</v>
      </c>
      <c r="AJ7632" s="835">
        <v>40755</v>
      </c>
      <c r="AK7632" s="831">
        <v>-7502766</v>
      </c>
    </row>
    <row r="7633" spans="2:37">
      <c r="B7633" s="834" t="str">
        <f t="shared" si="317"/>
        <v>|||</v>
      </c>
      <c r="H7633" s="835">
        <f t="shared" si="318"/>
        <v>31</v>
      </c>
      <c r="AF7633" s="831" t="s">
        <v>8292</v>
      </c>
      <c r="AG7633" s="831" t="s">
        <v>2674</v>
      </c>
      <c r="AH7633" s="831" t="s">
        <v>558</v>
      </c>
      <c r="AI7633" s="831">
        <v>0</v>
      </c>
      <c r="AJ7633" s="835">
        <v>40755</v>
      </c>
      <c r="AK7633" s="831">
        <v>274481543</v>
      </c>
    </row>
    <row r="7634" spans="2:37">
      <c r="B7634" s="834" t="str">
        <f t="shared" si="317"/>
        <v>|||</v>
      </c>
      <c r="H7634" s="835">
        <f t="shared" si="318"/>
        <v>31</v>
      </c>
      <c r="AF7634" s="831" t="s">
        <v>8293</v>
      </c>
      <c r="AG7634" s="831" t="s">
        <v>2674</v>
      </c>
      <c r="AH7634" s="831" t="s">
        <v>65</v>
      </c>
      <c r="AI7634" s="831">
        <v>0</v>
      </c>
      <c r="AJ7634" s="835">
        <v>40755</v>
      </c>
      <c r="AK7634" s="831">
        <v>49640981</v>
      </c>
    </row>
    <row r="7635" spans="2:37">
      <c r="B7635" s="834" t="str">
        <f t="shared" si="317"/>
        <v>|||</v>
      </c>
      <c r="H7635" s="835">
        <f t="shared" si="318"/>
        <v>31</v>
      </c>
      <c r="AF7635" s="831" t="s">
        <v>8294</v>
      </c>
      <c r="AG7635" s="831" t="s">
        <v>2674</v>
      </c>
      <c r="AH7635" s="831" t="s">
        <v>89</v>
      </c>
      <c r="AI7635" s="831">
        <v>0</v>
      </c>
      <c r="AJ7635" s="835">
        <v>40755</v>
      </c>
      <c r="AK7635" s="831">
        <v>0</v>
      </c>
    </row>
    <row r="7636" spans="2:37">
      <c r="B7636" s="834" t="str">
        <f t="shared" si="317"/>
        <v>|||</v>
      </c>
      <c r="H7636" s="835">
        <f t="shared" si="318"/>
        <v>31</v>
      </c>
      <c r="AF7636" s="831" t="s">
        <v>8295</v>
      </c>
      <c r="AG7636" s="831" t="s">
        <v>2674</v>
      </c>
      <c r="AH7636" s="831" t="s">
        <v>557</v>
      </c>
      <c r="AI7636" s="831">
        <v>0</v>
      </c>
      <c r="AJ7636" s="835">
        <v>40755</v>
      </c>
      <c r="AK7636" s="831">
        <v>0</v>
      </c>
    </row>
    <row r="7637" spans="2:37">
      <c r="B7637" s="834" t="str">
        <f t="shared" si="317"/>
        <v>|||</v>
      </c>
      <c r="H7637" s="835">
        <f t="shared" si="318"/>
        <v>31</v>
      </c>
      <c r="AF7637" s="831" t="s">
        <v>8296</v>
      </c>
      <c r="AG7637" s="831" t="s">
        <v>2674</v>
      </c>
      <c r="AH7637" s="831" t="s">
        <v>29</v>
      </c>
      <c r="AI7637" s="831">
        <v>0</v>
      </c>
      <c r="AJ7637" s="835">
        <v>40755</v>
      </c>
      <c r="AK7637" s="831">
        <v>0</v>
      </c>
    </row>
    <row r="7638" spans="2:37">
      <c r="B7638" s="834" t="str">
        <f t="shared" si="317"/>
        <v>|||</v>
      </c>
      <c r="H7638" s="835">
        <f t="shared" si="318"/>
        <v>31</v>
      </c>
      <c r="AF7638" s="831" t="s">
        <v>8297</v>
      </c>
      <c r="AG7638" s="831" t="s">
        <v>2674</v>
      </c>
      <c r="AH7638" s="831" t="s">
        <v>2688</v>
      </c>
      <c r="AI7638" s="831">
        <v>0</v>
      </c>
      <c r="AJ7638" s="835">
        <v>40755</v>
      </c>
      <c r="AK7638" s="831">
        <v>0</v>
      </c>
    </row>
    <row r="7639" spans="2:37">
      <c r="B7639" s="834" t="str">
        <f t="shared" si="317"/>
        <v>|||</v>
      </c>
      <c r="H7639" s="835">
        <f t="shared" si="318"/>
        <v>31</v>
      </c>
      <c r="AF7639" s="831" t="s">
        <v>8298</v>
      </c>
      <c r="AG7639" s="831" t="s">
        <v>2674</v>
      </c>
      <c r="AH7639" s="831" t="s">
        <v>556</v>
      </c>
      <c r="AI7639" s="831">
        <v>0</v>
      </c>
      <c r="AJ7639" s="835">
        <v>40755</v>
      </c>
      <c r="AK7639" s="831">
        <v>1539603</v>
      </c>
    </row>
    <row r="7640" spans="2:37">
      <c r="B7640" s="834" t="str">
        <f t="shared" si="317"/>
        <v>|||</v>
      </c>
      <c r="H7640" s="835">
        <f t="shared" si="318"/>
        <v>31</v>
      </c>
      <c r="AF7640" s="831" t="s">
        <v>8299</v>
      </c>
      <c r="AG7640" s="831" t="s">
        <v>2674</v>
      </c>
      <c r="AH7640" s="831" t="s">
        <v>555</v>
      </c>
      <c r="AI7640" s="831">
        <v>0</v>
      </c>
      <c r="AJ7640" s="835">
        <v>40755</v>
      </c>
      <c r="AK7640" s="831">
        <v>179151930</v>
      </c>
    </row>
    <row r="7641" spans="2:37">
      <c r="B7641" s="834" t="str">
        <f t="shared" si="317"/>
        <v>|||</v>
      </c>
      <c r="H7641" s="835">
        <f t="shared" si="318"/>
        <v>31</v>
      </c>
      <c r="AF7641" s="831" t="s">
        <v>8300</v>
      </c>
      <c r="AG7641" s="831" t="s">
        <v>2674</v>
      </c>
      <c r="AH7641" s="831" t="s">
        <v>554</v>
      </c>
      <c r="AI7641" s="831">
        <v>0</v>
      </c>
      <c r="AJ7641" s="835">
        <v>40755</v>
      </c>
      <c r="AK7641" s="831">
        <v>172349400</v>
      </c>
    </row>
    <row r="7642" spans="2:37">
      <c r="B7642" s="834" t="str">
        <f t="shared" si="317"/>
        <v>|||</v>
      </c>
      <c r="H7642" s="835">
        <f t="shared" si="318"/>
        <v>31</v>
      </c>
      <c r="AF7642" s="831" t="s">
        <v>8301</v>
      </c>
      <c r="AG7642" s="831" t="s">
        <v>2674</v>
      </c>
      <c r="AH7642" s="831" t="s">
        <v>553</v>
      </c>
      <c r="AI7642" s="831">
        <v>0</v>
      </c>
      <c r="AJ7642" s="835">
        <v>40755</v>
      </c>
      <c r="AK7642" s="831">
        <v>0</v>
      </c>
    </row>
    <row r="7643" spans="2:37">
      <c r="B7643" s="834" t="str">
        <f t="shared" si="317"/>
        <v>|||</v>
      </c>
      <c r="H7643" s="835">
        <f t="shared" si="318"/>
        <v>31</v>
      </c>
      <c r="AF7643" s="831" t="s">
        <v>8302</v>
      </c>
      <c r="AG7643" s="831" t="s">
        <v>2674</v>
      </c>
      <c r="AH7643" s="831" t="s">
        <v>552</v>
      </c>
      <c r="AI7643" s="831">
        <v>0</v>
      </c>
      <c r="AJ7643" s="835">
        <v>40755</v>
      </c>
      <c r="AK7643" s="831">
        <v>0</v>
      </c>
    </row>
    <row r="7644" spans="2:37">
      <c r="B7644" s="834" t="str">
        <f t="shared" si="317"/>
        <v>|||</v>
      </c>
      <c r="H7644" s="835">
        <f t="shared" si="318"/>
        <v>31</v>
      </c>
      <c r="AF7644" s="831" t="s">
        <v>8303</v>
      </c>
      <c r="AG7644" s="831" t="s">
        <v>2674</v>
      </c>
      <c r="AH7644" s="831" t="s">
        <v>551</v>
      </c>
      <c r="AI7644" s="831">
        <v>0</v>
      </c>
      <c r="AJ7644" s="835">
        <v>40755</v>
      </c>
      <c r="AK7644" s="831">
        <v>0</v>
      </c>
    </row>
    <row r="7645" spans="2:37">
      <c r="B7645" s="834" t="str">
        <f t="shared" si="317"/>
        <v>|||</v>
      </c>
      <c r="H7645" s="835">
        <f t="shared" si="318"/>
        <v>31</v>
      </c>
      <c r="AF7645" s="831" t="s">
        <v>8304</v>
      </c>
      <c r="AG7645" s="831" t="s">
        <v>2674</v>
      </c>
      <c r="AH7645" s="831" t="s">
        <v>550</v>
      </c>
      <c r="AI7645" s="831">
        <v>0</v>
      </c>
      <c r="AJ7645" s="835">
        <v>40755</v>
      </c>
      <c r="AK7645" s="831">
        <v>0</v>
      </c>
    </row>
    <row r="7646" spans="2:37">
      <c r="B7646" s="834" t="str">
        <f t="shared" si="317"/>
        <v>|||</v>
      </c>
      <c r="H7646" s="835">
        <f t="shared" si="318"/>
        <v>31</v>
      </c>
      <c r="AF7646" s="831" t="s">
        <v>8305</v>
      </c>
      <c r="AG7646" s="831" t="s">
        <v>2674</v>
      </c>
      <c r="AH7646" s="831" t="s">
        <v>562</v>
      </c>
      <c r="AI7646" s="831">
        <v>0</v>
      </c>
      <c r="AJ7646" s="835">
        <v>40755</v>
      </c>
      <c r="AK7646" s="831">
        <v>0.78644999999999998</v>
      </c>
    </row>
    <row r="7647" spans="2:37">
      <c r="B7647" s="834" t="str">
        <f t="shared" si="317"/>
        <v>|||</v>
      </c>
      <c r="H7647" s="835">
        <f t="shared" si="318"/>
        <v>31</v>
      </c>
      <c r="AF7647" s="831" t="s">
        <v>8306</v>
      </c>
      <c r="AG7647" s="831" t="s">
        <v>2674</v>
      </c>
      <c r="AH7647" s="831" t="s">
        <v>2698</v>
      </c>
      <c r="AI7647" s="831">
        <v>0</v>
      </c>
      <c r="AJ7647" s="835">
        <v>40755</v>
      </c>
      <c r="AK7647" s="831">
        <v>0.78605000000000003</v>
      </c>
    </row>
    <row r="7648" spans="2:37">
      <c r="B7648" s="834" t="str">
        <f t="shared" si="317"/>
        <v>|||</v>
      </c>
      <c r="H7648" s="835">
        <f t="shared" si="318"/>
        <v>31</v>
      </c>
      <c r="AF7648" s="831" t="s">
        <v>8307</v>
      </c>
      <c r="AG7648" s="831" t="s">
        <v>2674</v>
      </c>
      <c r="AH7648" s="831" t="s">
        <v>560</v>
      </c>
      <c r="AI7648" s="831">
        <v>0</v>
      </c>
      <c r="AJ7648" s="835">
        <v>40755</v>
      </c>
      <c r="AK7648" s="831">
        <v>0.79212857142857096</v>
      </c>
    </row>
    <row r="7649" spans="2:37">
      <c r="B7649" s="834" t="str">
        <f t="shared" si="317"/>
        <v>|||</v>
      </c>
      <c r="H7649" s="835">
        <f t="shared" si="318"/>
        <v>31</v>
      </c>
      <c r="AF7649" s="831" t="s">
        <v>8308</v>
      </c>
      <c r="AG7649" s="831" t="s">
        <v>2674</v>
      </c>
      <c r="AH7649" s="831" t="s">
        <v>559</v>
      </c>
      <c r="AI7649" s="831">
        <v>0</v>
      </c>
      <c r="AJ7649" s="835">
        <v>40755</v>
      </c>
      <c r="AK7649" s="831">
        <v>0.79549166666666704</v>
      </c>
    </row>
    <row r="7650" spans="2:37">
      <c r="B7650" s="834" t="str">
        <f t="shared" si="317"/>
        <v>|||</v>
      </c>
      <c r="H7650" s="835">
        <f t="shared" si="318"/>
        <v>31</v>
      </c>
      <c r="AF7650" s="831" t="s">
        <v>8309</v>
      </c>
      <c r="AG7650" s="831" t="s">
        <v>2674</v>
      </c>
      <c r="AH7650" s="831" t="s">
        <v>568</v>
      </c>
      <c r="AI7650" s="831">
        <v>0</v>
      </c>
      <c r="AJ7650" s="835">
        <v>40755</v>
      </c>
      <c r="AK7650" s="831">
        <v>0</v>
      </c>
    </row>
    <row r="7651" spans="2:37">
      <c r="B7651" s="834" t="str">
        <f t="shared" si="317"/>
        <v>|||</v>
      </c>
      <c r="H7651" s="835">
        <f t="shared" si="318"/>
        <v>31</v>
      </c>
      <c r="AF7651" s="831" t="s">
        <v>8310</v>
      </c>
      <c r="AG7651" s="831" t="s">
        <v>2674</v>
      </c>
      <c r="AH7651" s="831" t="s">
        <v>569</v>
      </c>
      <c r="AI7651" s="831">
        <v>0</v>
      </c>
      <c r="AJ7651" s="835">
        <v>40755</v>
      </c>
      <c r="AK7651" s="831">
        <v>0</v>
      </c>
    </row>
    <row r="7652" spans="2:37">
      <c r="B7652" s="834" t="str">
        <f t="shared" si="317"/>
        <v>|||</v>
      </c>
      <c r="H7652" s="835">
        <f t="shared" si="318"/>
        <v>31</v>
      </c>
      <c r="AF7652" s="831" t="s">
        <v>8311</v>
      </c>
      <c r="AG7652" s="831" t="s">
        <v>2674</v>
      </c>
      <c r="AH7652" s="831" t="s">
        <v>570</v>
      </c>
      <c r="AI7652" s="831">
        <v>0</v>
      </c>
      <c r="AJ7652" s="835">
        <v>40755</v>
      </c>
      <c r="AK7652" s="831">
        <v>0</v>
      </c>
    </row>
    <row r="7653" spans="2:37">
      <c r="B7653" s="834" t="str">
        <f t="shared" si="317"/>
        <v>|||</v>
      </c>
      <c r="H7653" s="835">
        <f t="shared" si="318"/>
        <v>31</v>
      </c>
      <c r="AF7653" s="831" t="s">
        <v>8312</v>
      </c>
      <c r="AG7653" s="831" t="s">
        <v>2674</v>
      </c>
      <c r="AH7653" s="831" t="s">
        <v>571</v>
      </c>
      <c r="AI7653" s="831">
        <v>0</v>
      </c>
      <c r="AJ7653" s="835">
        <v>40755</v>
      </c>
      <c r="AK7653" s="831">
        <v>0</v>
      </c>
    </row>
    <row r="7654" spans="2:37">
      <c r="B7654" s="834" t="str">
        <f t="shared" si="317"/>
        <v>|||</v>
      </c>
      <c r="H7654" s="835">
        <f t="shared" si="318"/>
        <v>31</v>
      </c>
      <c r="AF7654" s="831" t="s">
        <v>8313</v>
      </c>
      <c r="AG7654" s="831" t="s">
        <v>2674</v>
      </c>
      <c r="AH7654" s="831" t="s">
        <v>573</v>
      </c>
      <c r="AI7654" s="831">
        <v>0</v>
      </c>
      <c r="AJ7654" s="835">
        <v>40755</v>
      </c>
      <c r="AK7654" s="831">
        <v>0</v>
      </c>
    </row>
    <row r="7655" spans="2:37">
      <c r="B7655" s="834" t="str">
        <f t="shared" si="317"/>
        <v>|||</v>
      </c>
      <c r="H7655" s="835">
        <f t="shared" si="318"/>
        <v>31</v>
      </c>
      <c r="AF7655" s="831" t="s">
        <v>8314</v>
      </c>
      <c r="AG7655" s="831" t="s">
        <v>2674</v>
      </c>
      <c r="AH7655" s="831" t="s">
        <v>574</v>
      </c>
      <c r="AI7655" s="831">
        <v>0</v>
      </c>
      <c r="AJ7655" s="835">
        <v>40755</v>
      </c>
      <c r="AK7655" s="831">
        <v>0</v>
      </c>
    </row>
    <row r="7656" spans="2:37">
      <c r="B7656" s="834" t="str">
        <f t="shared" si="317"/>
        <v>|||</v>
      </c>
      <c r="H7656" s="835">
        <f t="shared" si="318"/>
        <v>31</v>
      </c>
      <c r="AF7656" s="831" t="s">
        <v>8315</v>
      </c>
      <c r="AG7656" s="831" t="s">
        <v>2674</v>
      </c>
      <c r="AH7656" s="831" t="s">
        <v>575</v>
      </c>
      <c r="AI7656" s="831">
        <v>0</v>
      </c>
      <c r="AJ7656" s="835">
        <v>40755</v>
      </c>
      <c r="AK7656" s="831">
        <v>0</v>
      </c>
    </row>
    <row r="7657" spans="2:37">
      <c r="B7657" s="834" t="str">
        <f t="shared" si="317"/>
        <v>|||</v>
      </c>
      <c r="H7657" s="835">
        <f t="shared" si="318"/>
        <v>31</v>
      </c>
      <c r="AF7657" s="831" t="s">
        <v>8316</v>
      </c>
      <c r="AG7657" s="831" t="s">
        <v>2674</v>
      </c>
      <c r="AH7657" s="831" t="s">
        <v>576</v>
      </c>
      <c r="AI7657" s="831">
        <v>0</v>
      </c>
      <c r="AJ7657" s="835">
        <v>40755</v>
      </c>
      <c r="AK7657" s="831">
        <v>0</v>
      </c>
    </row>
    <row r="7658" spans="2:37">
      <c r="B7658" s="834" t="str">
        <f t="shared" si="317"/>
        <v>|||</v>
      </c>
      <c r="H7658" s="835">
        <f t="shared" si="318"/>
        <v>31</v>
      </c>
      <c r="AF7658" s="831" t="s">
        <v>8317</v>
      </c>
      <c r="AG7658" s="831" t="s">
        <v>2674</v>
      </c>
      <c r="AH7658" s="831" t="s">
        <v>572</v>
      </c>
      <c r="AI7658" s="831">
        <v>0</v>
      </c>
      <c r="AJ7658" s="835">
        <v>40755</v>
      </c>
      <c r="AK7658" s="831">
        <v>0</v>
      </c>
    </row>
    <row r="7659" spans="2:37">
      <c r="B7659" s="834" t="str">
        <f t="shared" si="317"/>
        <v>|||</v>
      </c>
      <c r="H7659" s="835">
        <f t="shared" si="318"/>
        <v>31</v>
      </c>
      <c r="AF7659" s="831" t="s">
        <v>8318</v>
      </c>
      <c r="AG7659" s="831" t="s">
        <v>2674</v>
      </c>
      <c r="AH7659" s="831" t="s">
        <v>577</v>
      </c>
      <c r="AI7659" s="831">
        <v>0</v>
      </c>
      <c r="AJ7659" s="835">
        <v>40755</v>
      </c>
      <c r="AK7659" s="831">
        <v>0</v>
      </c>
    </row>
    <row r="7660" spans="2:37">
      <c r="B7660" s="834" t="str">
        <f t="shared" si="317"/>
        <v>|||</v>
      </c>
      <c r="H7660" s="835">
        <f t="shared" si="318"/>
        <v>31</v>
      </c>
      <c r="AF7660" s="831" t="s">
        <v>8319</v>
      </c>
      <c r="AG7660" s="831" t="s">
        <v>2674</v>
      </c>
      <c r="AH7660" s="831" t="s">
        <v>3042</v>
      </c>
      <c r="AI7660" s="831">
        <v>0</v>
      </c>
      <c r="AJ7660" s="835">
        <v>40755</v>
      </c>
      <c r="AK7660" s="831">
        <v>0</v>
      </c>
    </row>
    <row r="7661" spans="2:37">
      <c r="B7661" s="834" t="str">
        <f t="shared" si="317"/>
        <v>|||</v>
      </c>
      <c r="H7661" s="835">
        <f t="shared" si="318"/>
        <v>31</v>
      </c>
      <c r="AF7661" s="831" t="s">
        <v>8320</v>
      </c>
      <c r="AG7661" s="831" t="s">
        <v>2674</v>
      </c>
      <c r="AH7661" s="831" t="s">
        <v>3044</v>
      </c>
      <c r="AI7661" s="831">
        <v>0</v>
      </c>
      <c r="AJ7661" s="835">
        <v>40755</v>
      </c>
      <c r="AK7661" s="831">
        <v>0</v>
      </c>
    </row>
    <row r="7662" spans="2:37">
      <c r="B7662" s="834" t="str">
        <f t="shared" si="317"/>
        <v>|||</v>
      </c>
      <c r="H7662" s="835">
        <f t="shared" si="318"/>
        <v>31</v>
      </c>
      <c r="AF7662" s="831" t="s">
        <v>8321</v>
      </c>
      <c r="AG7662" s="831" t="s">
        <v>2674</v>
      </c>
      <c r="AH7662" s="831" t="s">
        <v>580</v>
      </c>
      <c r="AI7662" s="831">
        <v>0</v>
      </c>
      <c r="AJ7662" s="835">
        <v>40755</v>
      </c>
      <c r="AK7662" s="831">
        <v>0</v>
      </c>
    </row>
    <row r="7663" spans="2:37">
      <c r="B7663" s="834" t="str">
        <f t="shared" si="317"/>
        <v>|||</v>
      </c>
      <c r="H7663" s="835">
        <f t="shared" si="318"/>
        <v>31</v>
      </c>
      <c r="AF7663" s="831" t="s">
        <v>8322</v>
      </c>
      <c r="AG7663" s="831" t="s">
        <v>2674</v>
      </c>
      <c r="AH7663" s="831" t="s">
        <v>581</v>
      </c>
      <c r="AI7663" s="831">
        <v>0</v>
      </c>
      <c r="AJ7663" s="835">
        <v>40755</v>
      </c>
      <c r="AK7663" s="831">
        <v>0</v>
      </c>
    </row>
    <row r="7664" spans="2:37">
      <c r="B7664" s="834" t="str">
        <f t="shared" si="317"/>
        <v>|||</v>
      </c>
      <c r="H7664" s="835">
        <f t="shared" si="318"/>
        <v>31</v>
      </c>
      <c r="AF7664" s="831" t="s">
        <v>8323</v>
      </c>
      <c r="AG7664" s="831" t="s">
        <v>2674</v>
      </c>
      <c r="AH7664" s="831" t="s">
        <v>105</v>
      </c>
      <c r="AI7664" s="831">
        <v>0</v>
      </c>
      <c r="AJ7664" s="835">
        <v>40755</v>
      </c>
      <c r="AK7664" s="831">
        <v>135949777</v>
      </c>
    </row>
    <row r="7665" spans="2:37">
      <c r="B7665" s="834" t="str">
        <f t="shared" si="317"/>
        <v>|||</v>
      </c>
      <c r="H7665" s="835">
        <f t="shared" si="318"/>
        <v>31</v>
      </c>
      <c r="AF7665" s="831" t="s">
        <v>8324</v>
      </c>
      <c r="AG7665" s="831" t="s">
        <v>2674</v>
      </c>
      <c r="AH7665" s="831" t="s">
        <v>3049</v>
      </c>
      <c r="AI7665" s="831">
        <v>0</v>
      </c>
      <c r="AJ7665" s="835">
        <v>40755</v>
      </c>
      <c r="AK7665" s="831">
        <v>264085098</v>
      </c>
    </row>
    <row r="7666" spans="2:37">
      <c r="B7666" s="834" t="str">
        <f t="shared" si="317"/>
        <v>|||</v>
      </c>
      <c r="H7666" s="835">
        <f t="shared" si="318"/>
        <v>31</v>
      </c>
      <c r="AF7666" s="831" t="s">
        <v>8325</v>
      </c>
      <c r="AG7666" s="831" t="s">
        <v>2674</v>
      </c>
      <c r="AH7666" s="831" t="s">
        <v>103</v>
      </c>
      <c r="AI7666" s="831">
        <v>0</v>
      </c>
      <c r="AJ7666" s="835">
        <v>40755</v>
      </c>
      <c r="AK7666" s="831">
        <v>128135321</v>
      </c>
    </row>
    <row r="7667" spans="2:37">
      <c r="B7667" s="834" t="str">
        <f t="shared" si="317"/>
        <v>|||</v>
      </c>
      <c r="H7667" s="835">
        <f t="shared" si="318"/>
        <v>31</v>
      </c>
      <c r="AF7667" s="831" t="s">
        <v>8326</v>
      </c>
      <c r="AG7667" s="831" t="s">
        <v>2674</v>
      </c>
      <c r="AH7667" s="831" t="s">
        <v>182</v>
      </c>
      <c r="AI7667" s="831">
        <v>0</v>
      </c>
      <c r="AJ7667" s="835">
        <v>40755</v>
      </c>
      <c r="AK7667" s="831">
        <v>40288181.142857097</v>
      </c>
    </row>
    <row r="7668" spans="2:37">
      <c r="B7668" s="834" t="str">
        <f t="shared" si="317"/>
        <v>|||</v>
      </c>
      <c r="H7668" s="835">
        <f t="shared" si="318"/>
        <v>31</v>
      </c>
      <c r="AF7668" s="831" t="s">
        <v>8327</v>
      </c>
      <c r="AG7668" s="831" t="s">
        <v>2674</v>
      </c>
      <c r="AH7668" s="831" t="s">
        <v>6600</v>
      </c>
      <c r="AI7668" s="831">
        <v>0</v>
      </c>
      <c r="AJ7668" s="835">
        <v>40755</v>
      </c>
      <c r="AK7668" s="831">
        <v>0</v>
      </c>
    </row>
    <row r="7669" spans="2:37">
      <c r="B7669" s="834" t="str">
        <f t="shared" si="317"/>
        <v>|||</v>
      </c>
      <c r="H7669" s="835">
        <f t="shared" si="318"/>
        <v>31</v>
      </c>
      <c r="AF7669" s="831" t="s">
        <v>8328</v>
      </c>
      <c r="AG7669" s="831" t="s">
        <v>2674</v>
      </c>
      <c r="AH7669" s="831" t="s">
        <v>6602</v>
      </c>
      <c r="AI7669" s="831">
        <v>0</v>
      </c>
      <c r="AJ7669" s="835">
        <v>40755</v>
      </c>
      <c r="AK7669" s="831">
        <v>10475087</v>
      </c>
    </row>
    <row r="7670" spans="2:37">
      <c r="B7670" s="834" t="str">
        <f t="shared" si="317"/>
        <v>|||</v>
      </c>
      <c r="H7670" s="835">
        <f t="shared" si="318"/>
        <v>31</v>
      </c>
      <c r="AF7670" s="831" t="s">
        <v>8329</v>
      </c>
      <c r="AG7670" s="831" t="s">
        <v>2674</v>
      </c>
      <c r="AH7670" s="831" t="s">
        <v>650</v>
      </c>
      <c r="AI7670" s="831">
        <v>0</v>
      </c>
      <c r="AJ7670" s="835">
        <v>40755</v>
      </c>
      <c r="AK7670" s="831">
        <v>0</v>
      </c>
    </row>
    <row r="7671" spans="2:37">
      <c r="B7671" s="834" t="str">
        <f t="shared" si="317"/>
        <v>|||</v>
      </c>
      <c r="H7671" s="835">
        <f t="shared" si="318"/>
        <v>31</v>
      </c>
      <c r="AF7671" s="831" t="s">
        <v>8330</v>
      </c>
      <c r="AG7671" s="831" t="s">
        <v>2674</v>
      </c>
      <c r="AH7671" s="831" t="s">
        <v>655</v>
      </c>
      <c r="AI7671" s="831">
        <v>0</v>
      </c>
      <c r="AJ7671" s="835">
        <v>40755</v>
      </c>
      <c r="AK7671" s="831">
        <v>0</v>
      </c>
    </row>
    <row r="7672" spans="2:37">
      <c r="B7672" s="834" t="str">
        <f t="shared" si="317"/>
        <v>|||</v>
      </c>
      <c r="H7672" s="835">
        <f t="shared" si="318"/>
        <v>31</v>
      </c>
      <c r="AF7672" s="831" t="s">
        <v>8331</v>
      </c>
      <c r="AG7672" s="831" t="s">
        <v>2674</v>
      </c>
      <c r="AH7672" s="831" t="s">
        <v>546</v>
      </c>
      <c r="AI7672" s="831">
        <v>0</v>
      </c>
      <c r="AJ7672" s="835">
        <v>40786</v>
      </c>
      <c r="AK7672" s="831">
        <v>282472612</v>
      </c>
    </row>
    <row r="7673" spans="2:37">
      <c r="B7673" s="834" t="str">
        <f t="shared" si="317"/>
        <v>|||</v>
      </c>
      <c r="H7673" s="835">
        <f t="shared" si="318"/>
        <v>31</v>
      </c>
      <c r="AF7673" s="831" t="s">
        <v>8332</v>
      </c>
      <c r="AG7673" s="831" t="s">
        <v>2674</v>
      </c>
      <c r="AH7673" s="831" t="s">
        <v>370</v>
      </c>
      <c r="AI7673" s="831">
        <v>0</v>
      </c>
      <c r="AJ7673" s="835">
        <v>40786</v>
      </c>
      <c r="AK7673" s="831">
        <v>365989560</v>
      </c>
    </row>
    <row r="7674" spans="2:37">
      <c r="B7674" s="834" t="str">
        <f t="shared" si="317"/>
        <v>|||</v>
      </c>
      <c r="H7674" s="835">
        <f t="shared" si="318"/>
        <v>31</v>
      </c>
      <c r="AF7674" s="831" t="s">
        <v>8333</v>
      </c>
      <c r="AG7674" s="831" t="s">
        <v>2674</v>
      </c>
      <c r="AH7674" s="831" t="s">
        <v>126</v>
      </c>
      <c r="AI7674" s="831">
        <v>0</v>
      </c>
      <c r="AJ7674" s="835">
        <v>40786</v>
      </c>
      <c r="AK7674" s="831">
        <v>86963635</v>
      </c>
    </row>
    <row r="7675" spans="2:37">
      <c r="B7675" s="834" t="str">
        <f t="shared" si="317"/>
        <v>|||</v>
      </c>
      <c r="H7675" s="835">
        <f t="shared" si="318"/>
        <v>31</v>
      </c>
      <c r="AF7675" s="831" t="s">
        <v>8334</v>
      </c>
      <c r="AG7675" s="831" t="s">
        <v>2674</v>
      </c>
      <c r="AH7675" s="831" t="s">
        <v>268</v>
      </c>
      <c r="AI7675" s="831">
        <v>0</v>
      </c>
      <c r="AJ7675" s="835">
        <v>40786</v>
      </c>
      <c r="AK7675" s="831">
        <v>12508357</v>
      </c>
    </row>
    <row r="7676" spans="2:37">
      <c r="B7676" s="834" t="str">
        <f t="shared" si="317"/>
        <v>|||</v>
      </c>
      <c r="H7676" s="835">
        <f t="shared" si="318"/>
        <v>31</v>
      </c>
      <c r="AF7676" s="831" t="s">
        <v>8335</v>
      </c>
      <c r="AG7676" s="831" t="s">
        <v>2674</v>
      </c>
      <c r="AH7676" s="831" t="s">
        <v>547</v>
      </c>
      <c r="AI7676" s="831">
        <v>0</v>
      </c>
      <c r="AJ7676" s="835">
        <v>40786</v>
      </c>
      <c r="AK7676" s="831">
        <v>0</v>
      </c>
    </row>
    <row r="7677" spans="2:37">
      <c r="B7677" s="834" t="str">
        <f t="shared" si="317"/>
        <v>|||</v>
      </c>
      <c r="H7677" s="835">
        <f t="shared" si="318"/>
        <v>31</v>
      </c>
      <c r="AF7677" s="831" t="s">
        <v>8336</v>
      </c>
      <c r="AG7677" s="831" t="s">
        <v>2674</v>
      </c>
      <c r="AH7677" s="831" t="s">
        <v>548</v>
      </c>
      <c r="AI7677" s="831">
        <v>0</v>
      </c>
      <c r="AJ7677" s="835">
        <v>40786</v>
      </c>
      <c r="AK7677" s="831">
        <v>0</v>
      </c>
    </row>
    <row r="7678" spans="2:37">
      <c r="B7678" s="834" t="str">
        <f t="shared" si="317"/>
        <v>|||</v>
      </c>
      <c r="H7678" s="835">
        <f t="shared" si="318"/>
        <v>31</v>
      </c>
      <c r="AF7678" s="831" t="s">
        <v>8337</v>
      </c>
      <c r="AG7678" s="831" t="s">
        <v>2674</v>
      </c>
      <c r="AH7678" s="831" t="s">
        <v>549</v>
      </c>
      <c r="AI7678" s="831">
        <v>0</v>
      </c>
      <c r="AJ7678" s="835">
        <v>40786</v>
      </c>
      <c r="AK7678" s="831">
        <v>0</v>
      </c>
    </row>
    <row r="7679" spans="2:37">
      <c r="B7679" s="834" t="str">
        <f t="shared" si="317"/>
        <v>|||</v>
      </c>
      <c r="H7679" s="835">
        <f t="shared" si="318"/>
        <v>31</v>
      </c>
      <c r="AF7679" s="831" t="s">
        <v>8338</v>
      </c>
      <c r="AG7679" s="831" t="s">
        <v>2674</v>
      </c>
      <c r="AH7679" s="831" t="s">
        <v>192</v>
      </c>
      <c r="AI7679" s="831">
        <v>0</v>
      </c>
      <c r="AJ7679" s="835">
        <v>40786</v>
      </c>
      <c r="AK7679" s="831">
        <v>-7686317</v>
      </c>
    </row>
    <row r="7680" spans="2:37">
      <c r="B7680" s="834" t="str">
        <f t="shared" si="317"/>
        <v>|||</v>
      </c>
      <c r="H7680" s="835">
        <f t="shared" si="318"/>
        <v>31</v>
      </c>
      <c r="AF7680" s="831" t="s">
        <v>8339</v>
      </c>
      <c r="AG7680" s="831" t="s">
        <v>2674</v>
      </c>
      <c r="AH7680" s="831" t="s">
        <v>558</v>
      </c>
      <c r="AI7680" s="831">
        <v>0</v>
      </c>
      <c r="AJ7680" s="835">
        <v>40786</v>
      </c>
      <c r="AK7680" s="831">
        <v>279025925</v>
      </c>
    </row>
    <row r="7681" spans="2:37">
      <c r="B7681" s="834" t="str">
        <f t="shared" si="317"/>
        <v>|||</v>
      </c>
      <c r="H7681" s="835">
        <f t="shared" si="318"/>
        <v>31</v>
      </c>
      <c r="AF7681" s="831" t="s">
        <v>8340</v>
      </c>
      <c r="AG7681" s="831" t="s">
        <v>2674</v>
      </c>
      <c r="AH7681" s="831" t="s">
        <v>65</v>
      </c>
      <c r="AI7681" s="831">
        <v>0</v>
      </c>
      <c r="AJ7681" s="835">
        <v>40786</v>
      </c>
      <c r="AK7681" s="831">
        <v>56552951</v>
      </c>
    </row>
    <row r="7682" spans="2:37">
      <c r="B7682" s="834" t="str">
        <f t="shared" si="317"/>
        <v>|||</v>
      </c>
      <c r="H7682" s="835">
        <f t="shared" si="318"/>
        <v>31</v>
      </c>
      <c r="AF7682" s="831" t="s">
        <v>8341</v>
      </c>
      <c r="AG7682" s="831" t="s">
        <v>2674</v>
      </c>
      <c r="AH7682" s="831" t="s">
        <v>89</v>
      </c>
      <c r="AI7682" s="831">
        <v>0</v>
      </c>
      <c r="AJ7682" s="835">
        <v>40786</v>
      </c>
      <c r="AK7682" s="831">
        <v>0</v>
      </c>
    </row>
    <row r="7683" spans="2:37">
      <c r="B7683" s="834" t="str">
        <f t="shared" ref="B7683:B7746" si="319">C7683&amp;"|"&amp;D7683&amp;"|"&amp;E7683&amp;"|"&amp;F7683</f>
        <v>|||</v>
      </c>
      <c r="H7683" s="835">
        <f t="shared" si="318"/>
        <v>31</v>
      </c>
      <c r="AF7683" s="831" t="s">
        <v>8342</v>
      </c>
      <c r="AG7683" s="831" t="s">
        <v>2674</v>
      </c>
      <c r="AH7683" s="831" t="s">
        <v>557</v>
      </c>
      <c r="AI7683" s="831">
        <v>0</v>
      </c>
      <c r="AJ7683" s="835">
        <v>40786</v>
      </c>
      <c r="AK7683" s="831">
        <v>0</v>
      </c>
    </row>
    <row r="7684" spans="2:37">
      <c r="B7684" s="834" t="str">
        <f t="shared" si="319"/>
        <v>|||</v>
      </c>
      <c r="H7684" s="835">
        <f t="shared" ref="H7684:H7747" si="320">EOMONTH(L7684,0)</f>
        <v>31</v>
      </c>
      <c r="AF7684" s="831" t="s">
        <v>8343</v>
      </c>
      <c r="AG7684" s="831" t="s">
        <v>2674</v>
      </c>
      <c r="AH7684" s="831" t="s">
        <v>29</v>
      </c>
      <c r="AI7684" s="831">
        <v>0</v>
      </c>
      <c r="AJ7684" s="835">
        <v>40786</v>
      </c>
      <c r="AK7684" s="831">
        <v>0</v>
      </c>
    </row>
    <row r="7685" spans="2:37">
      <c r="B7685" s="834" t="str">
        <f t="shared" si="319"/>
        <v>|||</v>
      </c>
      <c r="H7685" s="835">
        <f t="shared" si="320"/>
        <v>31</v>
      </c>
      <c r="AF7685" s="831" t="s">
        <v>8344</v>
      </c>
      <c r="AG7685" s="831" t="s">
        <v>2674</v>
      </c>
      <c r="AH7685" s="831" t="s">
        <v>2688</v>
      </c>
      <c r="AI7685" s="831">
        <v>0</v>
      </c>
      <c r="AJ7685" s="835">
        <v>40786</v>
      </c>
      <c r="AK7685" s="831">
        <v>0</v>
      </c>
    </row>
    <row r="7686" spans="2:37">
      <c r="B7686" s="834" t="str">
        <f t="shared" si="319"/>
        <v>|||</v>
      </c>
      <c r="H7686" s="835">
        <f t="shared" si="320"/>
        <v>31</v>
      </c>
      <c r="AF7686" s="831" t="s">
        <v>8345</v>
      </c>
      <c r="AG7686" s="831" t="s">
        <v>2674</v>
      </c>
      <c r="AH7686" s="831" t="s">
        <v>556</v>
      </c>
      <c r="AI7686" s="831">
        <v>0</v>
      </c>
      <c r="AJ7686" s="835">
        <v>40786</v>
      </c>
      <c r="AK7686" s="831">
        <v>0</v>
      </c>
    </row>
    <row r="7687" spans="2:37">
      <c r="B7687" s="834" t="str">
        <f t="shared" si="319"/>
        <v>|||</v>
      </c>
      <c r="H7687" s="835">
        <f t="shared" si="320"/>
        <v>31</v>
      </c>
      <c r="AF7687" s="831" t="s">
        <v>8346</v>
      </c>
      <c r="AG7687" s="831" t="s">
        <v>2674</v>
      </c>
      <c r="AH7687" s="831" t="s">
        <v>555</v>
      </c>
      <c r="AI7687" s="831">
        <v>0</v>
      </c>
      <c r="AJ7687" s="835">
        <v>40786</v>
      </c>
      <c r="AK7687" s="831">
        <v>179774290</v>
      </c>
    </row>
    <row r="7688" spans="2:37">
      <c r="B7688" s="834" t="str">
        <f t="shared" si="319"/>
        <v>|||</v>
      </c>
      <c r="H7688" s="835">
        <f t="shared" si="320"/>
        <v>31</v>
      </c>
      <c r="AF7688" s="831" t="s">
        <v>8347</v>
      </c>
      <c r="AG7688" s="831" t="s">
        <v>2674</v>
      </c>
      <c r="AH7688" s="831" t="s">
        <v>554</v>
      </c>
      <c r="AI7688" s="831">
        <v>0</v>
      </c>
      <c r="AJ7688" s="835">
        <v>40786</v>
      </c>
      <c r="AK7688" s="831">
        <v>175519670</v>
      </c>
    </row>
    <row r="7689" spans="2:37">
      <c r="B7689" s="834" t="str">
        <f t="shared" si="319"/>
        <v>|||</v>
      </c>
      <c r="H7689" s="835">
        <f t="shared" si="320"/>
        <v>31</v>
      </c>
      <c r="AF7689" s="831" t="s">
        <v>8348</v>
      </c>
      <c r="AG7689" s="831" t="s">
        <v>2674</v>
      </c>
      <c r="AH7689" s="831" t="s">
        <v>553</v>
      </c>
      <c r="AI7689" s="831">
        <v>0</v>
      </c>
      <c r="AJ7689" s="835">
        <v>40786</v>
      </c>
      <c r="AK7689" s="831">
        <v>0</v>
      </c>
    </row>
    <row r="7690" spans="2:37">
      <c r="B7690" s="834" t="str">
        <f t="shared" si="319"/>
        <v>|||</v>
      </c>
      <c r="H7690" s="835">
        <f t="shared" si="320"/>
        <v>31</v>
      </c>
      <c r="AF7690" s="831" t="s">
        <v>8349</v>
      </c>
      <c r="AG7690" s="831" t="s">
        <v>2674</v>
      </c>
      <c r="AH7690" s="831" t="s">
        <v>552</v>
      </c>
      <c r="AI7690" s="831">
        <v>0</v>
      </c>
      <c r="AJ7690" s="835">
        <v>40786</v>
      </c>
      <c r="AK7690" s="831">
        <v>0</v>
      </c>
    </row>
    <row r="7691" spans="2:37">
      <c r="B7691" s="834" t="str">
        <f t="shared" si="319"/>
        <v>|||</v>
      </c>
      <c r="H7691" s="835">
        <f t="shared" si="320"/>
        <v>31</v>
      </c>
      <c r="AF7691" s="831" t="s">
        <v>8350</v>
      </c>
      <c r="AG7691" s="831" t="s">
        <v>2674</v>
      </c>
      <c r="AH7691" s="831" t="s">
        <v>551</v>
      </c>
      <c r="AI7691" s="831">
        <v>0</v>
      </c>
      <c r="AJ7691" s="835">
        <v>40786</v>
      </c>
      <c r="AK7691" s="831">
        <v>0</v>
      </c>
    </row>
    <row r="7692" spans="2:37">
      <c r="B7692" s="834" t="str">
        <f t="shared" si="319"/>
        <v>|||</v>
      </c>
      <c r="H7692" s="835">
        <f t="shared" si="320"/>
        <v>31</v>
      </c>
      <c r="AF7692" s="831" t="s">
        <v>8351</v>
      </c>
      <c r="AG7692" s="831" t="s">
        <v>2674</v>
      </c>
      <c r="AH7692" s="831" t="s">
        <v>550</v>
      </c>
      <c r="AI7692" s="831">
        <v>0</v>
      </c>
      <c r="AJ7692" s="835">
        <v>40786</v>
      </c>
      <c r="AK7692" s="831">
        <v>0</v>
      </c>
    </row>
    <row r="7693" spans="2:37">
      <c r="B7693" s="834" t="str">
        <f t="shared" si="319"/>
        <v>|||</v>
      </c>
      <c r="H7693" s="835">
        <f t="shared" si="320"/>
        <v>31</v>
      </c>
      <c r="AF7693" s="831" t="s">
        <v>8352</v>
      </c>
      <c r="AG7693" s="831" t="s">
        <v>2674</v>
      </c>
      <c r="AH7693" s="831" t="s">
        <v>562</v>
      </c>
      <c r="AI7693" s="831">
        <v>0</v>
      </c>
      <c r="AJ7693" s="835">
        <v>40786</v>
      </c>
      <c r="AK7693" s="831">
        <v>0.78500000000000003</v>
      </c>
    </row>
    <row r="7694" spans="2:37">
      <c r="B7694" s="834" t="str">
        <f t="shared" si="319"/>
        <v>|||</v>
      </c>
      <c r="H7694" s="835">
        <f t="shared" si="320"/>
        <v>31</v>
      </c>
      <c r="AF7694" s="831" t="s">
        <v>8353</v>
      </c>
      <c r="AG7694" s="831" t="s">
        <v>2674</v>
      </c>
      <c r="AH7694" s="831" t="s">
        <v>2698</v>
      </c>
      <c r="AI7694" s="831">
        <v>0</v>
      </c>
      <c r="AJ7694" s="835">
        <v>40786</v>
      </c>
      <c r="AK7694" s="831">
        <v>0.78644999999999998</v>
      </c>
    </row>
    <row r="7695" spans="2:37">
      <c r="B7695" s="834" t="str">
        <f t="shared" si="319"/>
        <v>|||</v>
      </c>
      <c r="H7695" s="835">
        <f t="shared" si="320"/>
        <v>31</v>
      </c>
      <c r="AF7695" s="831" t="s">
        <v>8354</v>
      </c>
      <c r="AG7695" s="831" t="s">
        <v>2674</v>
      </c>
      <c r="AH7695" s="831" t="s">
        <v>560</v>
      </c>
      <c r="AI7695" s="831">
        <v>0</v>
      </c>
      <c r="AJ7695" s="835">
        <v>40786</v>
      </c>
      <c r="AK7695" s="831">
        <v>0.79123750000000004</v>
      </c>
    </row>
    <row r="7696" spans="2:37">
      <c r="B7696" s="834" t="str">
        <f t="shared" si="319"/>
        <v>|||</v>
      </c>
      <c r="H7696" s="835">
        <f t="shared" si="320"/>
        <v>31</v>
      </c>
      <c r="AF7696" s="831" t="s">
        <v>8355</v>
      </c>
      <c r="AG7696" s="831" t="s">
        <v>2674</v>
      </c>
      <c r="AH7696" s="831" t="s">
        <v>559</v>
      </c>
      <c r="AI7696" s="831">
        <v>0</v>
      </c>
      <c r="AJ7696" s="835">
        <v>40786</v>
      </c>
      <c r="AK7696" s="831">
        <v>0.79424166666666696</v>
      </c>
    </row>
    <row r="7697" spans="2:37">
      <c r="B7697" s="834" t="str">
        <f t="shared" si="319"/>
        <v>|||</v>
      </c>
      <c r="H7697" s="835">
        <f t="shared" si="320"/>
        <v>31</v>
      </c>
      <c r="AF7697" s="831" t="s">
        <v>8356</v>
      </c>
      <c r="AG7697" s="831" t="s">
        <v>2674</v>
      </c>
      <c r="AH7697" s="831" t="s">
        <v>568</v>
      </c>
      <c r="AI7697" s="831">
        <v>0</v>
      </c>
      <c r="AJ7697" s="835">
        <v>40786</v>
      </c>
      <c r="AK7697" s="831">
        <v>0</v>
      </c>
    </row>
    <row r="7698" spans="2:37">
      <c r="B7698" s="834" t="str">
        <f t="shared" si="319"/>
        <v>|||</v>
      </c>
      <c r="H7698" s="835">
        <f t="shared" si="320"/>
        <v>31</v>
      </c>
      <c r="AF7698" s="831" t="s">
        <v>8357</v>
      </c>
      <c r="AG7698" s="831" t="s">
        <v>2674</v>
      </c>
      <c r="AH7698" s="831" t="s">
        <v>569</v>
      </c>
      <c r="AI7698" s="831">
        <v>0</v>
      </c>
      <c r="AJ7698" s="835">
        <v>40786</v>
      </c>
      <c r="AK7698" s="831">
        <v>0</v>
      </c>
    </row>
    <row r="7699" spans="2:37">
      <c r="B7699" s="834" t="str">
        <f t="shared" si="319"/>
        <v>|||</v>
      </c>
      <c r="H7699" s="835">
        <f t="shared" si="320"/>
        <v>31</v>
      </c>
      <c r="AF7699" s="831" t="s">
        <v>8358</v>
      </c>
      <c r="AG7699" s="831" t="s">
        <v>2674</v>
      </c>
      <c r="AH7699" s="831" t="s">
        <v>570</v>
      </c>
      <c r="AI7699" s="831">
        <v>0</v>
      </c>
      <c r="AJ7699" s="835">
        <v>40786</v>
      </c>
      <c r="AK7699" s="831">
        <v>0</v>
      </c>
    </row>
    <row r="7700" spans="2:37">
      <c r="B7700" s="834" t="str">
        <f t="shared" si="319"/>
        <v>|||</v>
      </c>
      <c r="H7700" s="835">
        <f t="shared" si="320"/>
        <v>31</v>
      </c>
      <c r="AF7700" s="831" t="s">
        <v>8359</v>
      </c>
      <c r="AG7700" s="831" t="s">
        <v>2674</v>
      </c>
      <c r="AH7700" s="831" t="s">
        <v>571</v>
      </c>
      <c r="AI7700" s="831">
        <v>0</v>
      </c>
      <c r="AJ7700" s="835">
        <v>40786</v>
      </c>
      <c r="AK7700" s="831">
        <v>0</v>
      </c>
    </row>
    <row r="7701" spans="2:37">
      <c r="B7701" s="834" t="str">
        <f t="shared" si="319"/>
        <v>|||</v>
      </c>
      <c r="H7701" s="835">
        <f t="shared" si="320"/>
        <v>31</v>
      </c>
      <c r="AF7701" s="831" t="s">
        <v>8360</v>
      </c>
      <c r="AG7701" s="831" t="s">
        <v>2674</v>
      </c>
      <c r="AH7701" s="831" t="s">
        <v>573</v>
      </c>
      <c r="AI7701" s="831">
        <v>0</v>
      </c>
      <c r="AJ7701" s="835">
        <v>40786</v>
      </c>
      <c r="AK7701" s="831">
        <v>0</v>
      </c>
    </row>
    <row r="7702" spans="2:37">
      <c r="B7702" s="834" t="str">
        <f t="shared" si="319"/>
        <v>|||</v>
      </c>
      <c r="H7702" s="835">
        <f t="shared" si="320"/>
        <v>31</v>
      </c>
      <c r="AF7702" s="831" t="s">
        <v>8361</v>
      </c>
      <c r="AG7702" s="831" t="s">
        <v>2674</v>
      </c>
      <c r="AH7702" s="831" t="s">
        <v>574</v>
      </c>
      <c r="AI7702" s="831">
        <v>0</v>
      </c>
      <c r="AJ7702" s="835">
        <v>40786</v>
      </c>
      <c r="AK7702" s="831">
        <v>0</v>
      </c>
    </row>
    <row r="7703" spans="2:37">
      <c r="B7703" s="834" t="str">
        <f t="shared" si="319"/>
        <v>|||</v>
      </c>
      <c r="H7703" s="835">
        <f t="shared" si="320"/>
        <v>31</v>
      </c>
      <c r="AF7703" s="831" t="s">
        <v>8362</v>
      </c>
      <c r="AG7703" s="831" t="s">
        <v>2674</v>
      </c>
      <c r="AH7703" s="831" t="s">
        <v>575</v>
      </c>
      <c r="AI7703" s="831">
        <v>0</v>
      </c>
      <c r="AJ7703" s="835">
        <v>40786</v>
      </c>
      <c r="AK7703" s="831">
        <v>0</v>
      </c>
    </row>
    <row r="7704" spans="2:37">
      <c r="B7704" s="834" t="str">
        <f t="shared" si="319"/>
        <v>|||</v>
      </c>
      <c r="H7704" s="835">
        <f t="shared" si="320"/>
        <v>31</v>
      </c>
      <c r="AF7704" s="831" t="s">
        <v>8363</v>
      </c>
      <c r="AG7704" s="831" t="s">
        <v>2674</v>
      </c>
      <c r="AH7704" s="831" t="s">
        <v>576</v>
      </c>
      <c r="AI7704" s="831">
        <v>0</v>
      </c>
      <c r="AJ7704" s="835">
        <v>40786</v>
      </c>
      <c r="AK7704" s="831">
        <v>0</v>
      </c>
    </row>
    <row r="7705" spans="2:37">
      <c r="B7705" s="834" t="str">
        <f t="shared" si="319"/>
        <v>|||</v>
      </c>
      <c r="H7705" s="835">
        <f t="shared" si="320"/>
        <v>31</v>
      </c>
      <c r="AF7705" s="831" t="s">
        <v>8364</v>
      </c>
      <c r="AG7705" s="831" t="s">
        <v>2674</v>
      </c>
      <c r="AH7705" s="831" t="s">
        <v>572</v>
      </c>
      <c r="AI7705" s="831">
        <v>0</v>
      </c>
      <c r="AJ7705" s="835">
        <v>40786</v>
      </c>
      <c r="AK7705" s="831">
        <v>0</v>
      </c>
    </row>
    <row r="7706" spans="2:37">
      <c r="B7706" s="834" t="str">
        <f t="shared" si="319"/>
        <v>|||</v>
      </c>
      <c r="H7706" s="835">
        <f t="shared" si="320"/>
        <v>31</v>
      </c>
      <c r="AF7706" s="831" t="s">
        <v>8365</v>
      </c>
      <c r="AG7706" s="831" t="s">
        <v>2674</v>
      </c>
      <c r="AH7706" s="831" t="s">
        <v>577</v>
      </c>
      <c r="AI7706" s="831">
        <v>0</v>
      </c>
      <c r="AJ7706" s="835">
        <v>40786</v>
      </c>
      <c r="AK7706" s="831">
        <v>0</v>
      </c>
    </row>
    <row r="7707" spans="2:37">
      <c r="B7707" s="834" t="str">
        <f t="shared" si="319"/>
        <v>|||</v>
      </c>
      <c r="H7707" s="835">
        <f t="shared" si="320"/>
        <v>31</v>
      </c>
      <c r="AF7707" s="831" t="s">
        <v>8366</v>
      </c>
      <c r="AG7707" s="831" t="s">
        <v>2674</v>
      </c>
      <c r="AH7707" s="831" t="s">
        <v>3042</v>
      </c>
      <c r="AI7707" s="831">
        <v>0</v>
      </c>
      <c r="AJ7707" s="835">
        <v>40786</v>
      </c>
      <c r="AK7707" s="831">
        <v>0</v>
      </c>
    </row>
    <row r="7708" spans="2:37">
      <c r="B7708" s="834" t="str">
        <f t="shared" si="319"/>
        <v>|||</v>
      </c>
      <c r="H7708" s="835">
        <f t="shared" si="320"/>
        <v>31</v>
      </c>
      <c r="AF7708" s="831" t="s">
        <v>8367</v>
      </c>
      <c r="AG7708" s="831" t="s">
        <v>2674</v>
      </c>
      <c r="AH7708" s="831" t="s">
        <v>3044</v>
      </c>
      <c r="AI7708" s="831">
        <v>0</v>
      </c>
      <c r="AJ7708" s="835">
        <v>40786</v>
      </c>
      <c r="AK7708" s="831">
        <v>0</v>
      </c>
    </row>
    <row r="7709" spans="2:37">
      <c r="B7709" s="834" t="str">
        <f t="shared" si="319"/>
        <v>|||</v>
      </c>
      <c r="H7709" s="835">
        <f t="shared" si="320"/>
        <v>31</v>
      </c>
      <c r="AF7709" s="831" t="s">
        <v>8368</v>
      </c>
      <c r="AG7709" s="831" t="s">
        <v>2674</v>
      </c>
      <c r="AH7709" s="831" t="s">
        <v>580</v>
      </c>
      <c r="AI7709" s="831">
        <v>0</v>
      </c>
      <c r="AJ7709" s="835">
        <v>40786</v>
      </c>
      <c r="AK7709" s="831">
        <v>0</v>
      </c>
    </row>
    <row r="7710" spans="2:37">
      <c r="B7710" s="834" t="str">
        <f t="shared" si="319"/>
        <v>|||</v>
      </c>
      <c r="H7710" s="835">
        <f t="shared" si="320"/>
        <v>31</v>
      </c>
      <c r="AF7710" s="831" t="s">
        <v>8369</v>
      </c>
      <c r="AG7710" s="831" t="s">
        <v>2674</v>
      </c>
      <c r="AH7710" s="831" t="s">
        <v>581</v>
      </c>
      <c r="AI7710" s="831">
        <v>0</v>
      </c>
      <c r="AJ7710" s="835">
        <v>40786</v>
      </c>
      <c r="AK7710" s="831">
        <v>0</v>
      </c>
    </row>
    <row r="7711" spans="2:37">
      <c r="B7711" s="834" t="str">
        <f t="shared" si="319"/>
        <v>|||</v>
      </c>
      <c r="H7711" s="835">
        <f t="shared" si="320"/>
        <v>31</v>
      </c>
      <c r="AF7711" s="831" t="s">
        <v>8370</v>
      </c>
      <c r="AG7711" s="831" t="s">
        <v>2674</v>
      </c>
      <c r="AH7711" s="831" t="s">
        <v>105</v>
      </c>
      <c r="AI7711" s="831">
        <v>0</v>
      </c>
      <c r="AJ7711" s="835">
        <v>40786</v>
      </c>
      <c r="AK7711" s="831">
        <v>138029630</v>
      </c>
    </row>
    <row r="7712" spans="2:37">
      <c r="B7712" s="834" t="str">
        <f t="shared" si="319"/>
        <v>|||</v>
      </c>
      <c r="H7712" s="835">
        <f t="shared" si="320"/>
        <v>31</v>
      </c>
      <c r="AF7712" s="831" t="s">
        <v>8371</v>
      </c>
      <c r="AG7712" s="831" t="s">
        <v>2674</v>
      </c>
      <c r="AH7712" s="831" t="s">
        <v>3049</v>
      </c>
      <c r="AI7712" s="831">
        <v>0</v>
      </c>
      <c r="AJ7712" s="835">
        <v>40786</v>
      </c>
      <c r="AK7712" s="831">
        <v>269410121</v>
      </c>
    </row>
    <row r="7713" spans="2:37">
      <c r="B7713" s="834" t="str">
        <f t="shared" si="319"/>
        <v>|||</v>
      </c>
      <c r="H7713" s="835">
        <f t="shared" si="320"/>
        <v>31</v>
      </c>
      <c r="AF7713" s="831" t="s">
        <v>8372</v>
      </c>
      <c r="AG7713" s="831" t="s">
        <v>2674</v>
      </c>
      <c r="AH7713" s="831" t="s">
        <v>103</v>
      </c>
      <c r="AI7713" s="831">
        <v>0</v>
      </c>
      <c r="AJ7713" s="835">
        <v>40786</v>
      </c>
      <c r="AK7713" s="831">
        <v>131380491</v>
      </c>
    </row>
    <row r="7714" spans="2:37">
      <c r="B7714" s="834" t="str">
        <f t="shared" si="319"/>
        <v>|||</v>
      </c>
      <c r="H7714" s="835">
        <f t="shared" si="320"/>
        <v>31</v>
      </c>
      <c r="AF7714" s="831" t="s">
        <v>8373</v>
      </c>
      <c r="AG7714" s="831" t="s">
        <v>2674</v>
      </c>
      <c r="AH7714" s="831" t="s">
        <v>182</v>
      </c>
      <c r="AI7714" s="831">
        <v>0</v>
      </c>
      <c r="AJ7714" s="835">
        <v>40786</v>
      </c>
      <c r="AK7714" s="831">
        <v>39808810.5</v>
      </c>
    </row>
    <row r="7715" spans="2:37">
      <c r="B7715" s="834" t="str">
        <f t="shared" si="319"/>
        <v>|||</v>
      </c>
      <c r="H7715" s="835">
        <f t="shared" si="320"/>
        <v>31</v>
      </c>
      <c r="AF7715" s="831" t="s">
        <v>8374</v>
      </c>
      <c r="AG7715" s="831" t="s">
        <v>2674</v>
      </c>
      <c r="AH7715" s="831" t="s">
        <v>6600</v>
      </c>
      <c r="AI7715" s="831">
        <v>0</v>
      </c>
      <c r="AJ7715" s="835">
        <v>40786</v>
      </c>
      <c r="AK7715" s="831">
        <v>0</v>
      </c>
    </row>
    <row r="7716" spans="2:37">
      <c r="B7716" s="834" t="str">
        <f t="shared" si="319"/>
        <v>|||</v>
      </c>
      <c r="H7716" s="835">
        <f t="shared" si="320"/>
        <v>31</v>
      </c>
      <c r="AF7716" s="831" t="s">
        <v>8375</v>
      </c>
      <c r="AG7716" s="831" t="s">
        <v>2674</v>
      </c>
      <c r="AH7716" s="831" t="s">
        <v>6602</v>
      </c>
      <c r="AI7716" s="831">
        <v>0</v>
      </c>
      <c r="AJ7716" s="835">
        <v>40786</v>
      </c>
      <c r="AK7716" s="831">
        <v>12508357</v>
      </c>
    </row>
    <row r="7717" spans="2:37">
      <c r="B7717" s="834" t="str">
        <f t="shared" si="319"/>
        <v>|||</v>
      </c>
      <c r="H7717" s="835">
        <f t="shared" si="320"/>
        <v>31</v>
      </c>
      <c r="AF7717" s="831" t="s">
        <v>8376</v>
      </c>
      <c r="AG7717" s="831" t="s">
        <v>2674</v>
      </c>
      <c r="AH7717" s="831" t="s">
        <v>650</v>
      </c>
      <c r="AI7717" s="831">
        <v>0</v>
      </c>
      <c r="AJ7717" s="835">
        <v>40786</v>
      </c>
      <c r="AK7717" s="831">
        <v>0</v>
      </c>
    </row>
    <row r="7718" spans="2:37">
      <c r="B7718" s="834" t="str">
        <f t="shared" si="319"/>
        <v>|||</v>
      </c>
      <c r="H7718" s="835">
        <f t="shared" si="320"/>
        <v>31</v>
      </c>
      <c r="AF7718" s="831" t="s">
        <v>8377</v>
      </c>
      <c r="AG7718" s="831" t="s">
        <v>2674</v>
      </c>
      <c r="AH7718" s="831" t="s">
        <v>655</v>
      </c>
      <c r="AI7718" s="831">
        <v>0</v>
      </c>
      <c r="AJ7718" s="835">
        <v>40786</v>
      </c>
      <c r="AK7718" s="831">
        <v>0</v>
      </c>
    </row>
    <row r="7719" spans="2:37">
      <c r="B7719" s="834" t="str">
        <f t="shared" si="319"/>
        <v>|||</v>
      </c>
      <c r="H7719" s="835">
        <f t="shared" si="320"/>
        <v>31</v>
      </c>
      <c r="AF7719" s="831" t="s">
        <v>8378</v>
      </c>
      <c r="AG7719" s="831" t="s">
        <v>2674</v>
      </c>
      <c r="AH7719" s="831" t="s">
        <v>546</v>
      </c>
      <c r="AI7719" s="831">
        <v>0</v>
      </c>
      <c r="AJ7719" s="835">
        <v>40816</v>
      </c>
      <c r="AK7719" s="831">
        <v>285356916</v>
      </c>
    </row>
    <row r="7720" spans="2:37">
      <c r="B7720" s="834" t="str">
        <f t="shared" si="319"/>
        <v>|||</v>
      </c>
      <c r="H7720" s="835">
        <f t="shared" si="320"/>
        <v>31</v>
      </c>
      <c r="AF7720" s="831" t="s">
        <v>8379</v>
      </c>
      <c r="AG7720" s="831" t="s">
        <v>2674</v>
      </c>
      <c r="AH7720" s="831" t="s">
        <v>370</v>
      </c>
      <c r="AI7720" s="831">
        <v>0</v>
      </c>
      <c r="AJ7720" s="835">
        <v>40816</v>
      </c>
      <c r="AK7720" s="831">
        <v>352166681</v>
      </c>
    </row>
    <row r="7721" spans="2:37">
      <c r="B7721" s="834" t="str">
        <f t="shared" si="319"/>
        <v>|||</v>
      </c>
      <c r="H7721" s="835">
        <f t="shared" si="320"/>
        <v>31</v>
      </c>
      <c r="AF7721" s="831" t="s">
        <v>8380</v>
      </c>
      <c r="AG7721" s="831" t="s">
        <v>2674</v>
      </c>
      <c r="AH7721" s="831" t="s">
        <v>126</v>
      </c>
      <c r="AI7721" s="831">
        <v>0</v>
      </c>
      <c r="AJ7721" s="835">
        <v>40816</v>
      </c>
      <c r="AK7721" s="831">
        <v>81974768</v>
      </c>
    </row>
    <row r="7722" spans="2:37">
      <c r="B7722" s="834" t="str">
        <f t="shared" si="319"/>
        <v>|||</v>
      </c>
      <c r="H7722" s="835">
        <f t="shared" si="320"/>
        <v>31</v>
      </c>
      <c r="AF7722" s="831" t="s">
        <v>8381</v>
      </c>
      <c r="AG7722" s="831" t="s">
        <v>2674</v>
      </c>
      <c r="AH7722" s="831" t="s">
        <v>268</v>
      </c>
      <c r="AI7722" s="831">
        <v>0</v>
      </c>
      <c r="AJ7722" s="835">
        <v>40816</v>
      </c>
      <c r="AK7722" s="831">
        <v>13919728</v>
      </c>
    </row>
    <row r="7723" spans="2:37">
      <c r="B7723" s="834" t="str">
        <f t="shared" si="319"/>
        <v>|||</v>
      </c>
      <c r="H7723" s="835">
        <f t="shared" si="320"/>
        <v>31</v>
      </c>
      <c r="AF7723" s="831" t="s">
        <v>8382</v>
      </c>
      <c r="AG7723" s="831" t="s">
        <v>2674</v>
      </c>
      <c r="AH7723" s="831" t="s">
        <v>547</v>
      </c>
      <c r="AI7723" s="831">
        <v>0</v>
      </c>
      <c r="AJ7723" s="835">
        <v>40816</v>
      </c>
      <c r="AK7723" s="831">
        <v>0</v>
      </c>
    </row>
    <row r="7724" spans="2:37">
      <c r="B7724" s="834" t="str">
        <f t="shared" si="319"/>
        <v>|||</v>
      </c>
      <c r="H7724" s="835">
        <f t="shared" si="320"/>
        <v>31</v>
      </c>
      <c r="AF7724" s="831" t="s">
        <v>8383</v>
      </c>
      <c r="AG7724" s="831" t="s">
        <v>2674</v>
      </c>
      <c r="AH7724" s="831" t="s">
        <v>548</v>
      </c>
      <c r="AI7724" s="831">
        <v>0</v>
      </c>
      <c r="AJ7724" s="835">
        <v>40816</v>
      </c>
      <c r="AK7724" s="831">
        <v>0</v>
      </c>
    </row>
    <row r="7725" spans="2:37">
      <c r="B7725" s="834" t="str">
        <f t="shared" si="319"/>
        <v>|||</v>
      </c>
      <c r="H7725" s="835">
        <f t="shared" si="320"/>
        <v>31</v>
      </c>
      <c r="AF7725" s="831" t="s">
        <v>8384</v>
      </c>
      <c r="AG7725" s="831" t="s">
        <v>2674</v>
      </c>
      <c r="AH7725" s="831" t="s">
        <v>549</v>
      </c>
      <c r="AI7725" s="831">
        <v>0</v>
      </c>
      <c r="AJ7725" s="835">
        <v>40816</v>
      </c>
      <c r="AK7725" s="831">
        <v>0</v>
      </c>
    </row>
    <row r="7726" spans="2:37">
      <c r="B7726" s="834" t="str">
        <f t="shared" si="319"/>
        <v>|||</v>
      </c>
      <c r="H7726" s="835">
        <f t="shared" si="320"/>
        <v>31</v>
      </c>
      <c r="AF7726" s="831" t="s">
        <v>8385</v>
      </c>
      <c r="AG7726" s="831" t="s">
        <v>2674</v>
      </c>
      <c r="AH7726" s="831" t="s">
        <v>192</v>
      </c>
      <c r="AI7726" s="831">
        <v>0</v>
      </c>
      <c r="AJ7726" s="835">
        <v>40816</v>
      </c>
      <c r="AK7726" s="831">
        <v>-7650738</v>
      </c>
    </row>
    <row r="7727" spans="2:37">
      <c r="B7727" s="834" t="str">
        <f t="shared" si="319"/>
        <v>|||</v>
      </c>
      <c r="H7727" s="835">
        <f t="shared" si="320"/>
        <v>31</v>
      </c>
      <c r="AF7727" s="831" t="s">
        <v>8386</v>
      </c>
      <c r="AG7727" s="831" t="s">
        <v>2674</v>
      </c>
      <c r="AH7727" s="831" t="s">
        <v>558</v>
      </c>
      <c r="AI7727" s="831">
        <v>0</v>
      </c>
      <c r="AJ7727" s="835">
        <v>40816</v>
      </c>
      <c r="AK7727" s="831">
        <v>270191913</v>
      </c>
    </row>
    <row r="7728" spans="2:37">
      <c r="B7728" s="834" t="str">
        <f t="shared" si="319"/>
        <v>|||</v>
      </c>
      <c r="H7728" s="835">
        <f t="shared" si="320"/>
        <v>31</v>
      </c>
      <c r="AF7728" s="831" t="s">
        <v>8387</v>
      </c>
      <c r="AG7728" s="831" t="s">
        <v>2674</v>
      </c>
      <c r="AH7728" s="831" t="s">
        <v>65</v>
      </c>
      <c r="AI7728" s="831">
        <v>0</v>
      </c>
      <c r="AJ7728" s="835">
        <v>40816</v>
      </c>
      <c r="AK7728" s="831">
        <v>64206732</v>
      </c>
    </row>
    <row r="7729" spans="2:37">
      <c r="B7729" s="834" t="str">
        <f t="shared" si="319"/>
        <v>|||</v>
      </c>
      <c r="H7729" s="835">
        <f t="shared" si="320"/>
        <v>31</v>
      </c>
      <c r="AF7729" s="831" t="s">
        <v>8388</v>
      </c>
      <c r="AG7729" s="831" t="s">
        <v>2674</v>
      </c>
      <c r="AH7729" s="831" t="s">
        <v>89</v>
      </c>
      <c r="AI7729" s="831">
        <v>0</v>
      </c>
      <c r="AJ7729" s="835">
        <v>40816</v>
      </c>
      <c r="AK7729" s="831">
        <v>0</v>
      </c>
    </row>
    <row r="7730" spans="2:37">
      <c r="B7730" s="834" t="str">
        <f t="shared" si="319"/>
        <v>|||</v>
      </c>
      <c r="H7730" s="835">
        <f t="shared" si="320"/>
        <v>31</v>
      </c>
      <c r="AF7730" s="831" t="s">
        <v>8389</v>
      </c>
      <c r="AG7730" s="831" t="s">
        <v>2674</v>
      </c>
      <c r="AH7730" s="831" t="s">
        <v>557</v>
      </c>
      <c r="AI7730" s="831">
        <v>0</v>
      </c>
      <c r="AJ7730" s="835">
        <v>40816</v>
      </c>
      <c r="AK7730" s="831">
        <v>0</v>
      </c>
    </row>
    <row r="7731" spans="2:37">
      <c r="B7731" s="834" t="str">
        <f t="shared" si="319"/>
        <v>|||</v>
      </c>
      <c r="H7731" s="835">
        <f t="shared" si="320"/>
        <v>31</v>
      </c>
      <c r="AF7731" s="831" t="s">
        <v>8390</v>
      </c>
      <c r="AG7731" s="831" t="s">
        <v>2674</v>
      </c>
      <c r="AH7731" s="831" t="s">
        <v>29</v>
      </c>
      <c r="AI7731" s="831">
        <v>0</v>
      </c>
      <c r="AJ7731" s="835">
        <v>40816</v>
      </c>
      <c r="AK7731" s="831">
        <v>0</v>
      </c>
    </row>
    <row r="7732" spans="2:37">
      <c r="B7732" s="834" t="str">
        <f t="shared" si="319"/>
        <v>|||</v>
      </c>
      <c r="H7732" s="835">
        <f t="shared" si="320"/>
        <v>31</v>
      </c>
      <c r="AF7732" s="831" t="s">
        <v>8391</v>
      </c>
      <c r="AG7732" s="831" t="s">
        <v>2674</v>
      </c>
      <c r="AH7732" s="831" t="s">
        <v>2688</v>
      </c>
      <c r="AI7732" s="831">
        <v>0</v>
      </c>
      <c r="AJ7732" s="835">
        <v>40816</v>
      </c>
      <c r="AK7732" s="831">
        <v>0</v>
      </c>
    </row>
    <row r="7733" spans="2:37">
      <c r="B7733" s="834" t="str">
        <f t="shared" si="319"/>
        <v>|||</v>
      </c>
      <c r="H7733" s="835">
        <f t="shared" si="320"/>
        <v>31</v>
      </c>
      <c r="AF7733" s="831" t="s">
        <v>8392</v>
      </c>
      <c r="AG7733" s="831" t="s">
        <v>2674</v>
      </c>
      <c r="AH7733" s="831" t="s">
        <v>556</v>
      </c>
      <c r="AI7733" s="831">
        <v>0</v>
      </c>
      <c r="AJ7733" s="835">
        <v>40816</v>
      </c>
      <c r="AK7733" s="831">
        <v>0</v>
      </c>
    </row>
    <row r="7734" spans="2:37">
      <c r="B7734" s="834" t="str">
        <f t="shared" si="319"/>
        <v>|||</v>
      </c>
      <c r="H7734" s="835">
        <f t="shared" si="320"/>
        <v>31</v>
      </c>
      <c r="AF7734" s="831" t="s">
        <v>8393</v>
      </c>
      <c r="AG7734" s="831" t="s">
        <v>2674</v>
      </c>
      <c r="AH7734" s="831" t="s">
        <v>555</v>
      </c>
      <c r="AI7734" s="831">
        <v>0</v>
      </c>
      <c r="AJ7734" s="835">
        <v>40816</v>
      </c>
      <c r="AK7734" s="831">
        <v>172857830</v>
      </c>
    </row>
    <row r="7735" spans="2:37">
      <c r="B7735" s="834" t="str">
        <f t="shared" si="319"/>
        <v>|||</v>
      </c>
      <c r="H7735" s="835">
        <f t="shared" si="320"/>
        <v>31</v>
      </c>
      <c r="AF7735" s="831" t="s">
        <v>8394</v>
      </c>
      <c r="AG7735" s="831" t="s">
        <v>2674</v>
      </c>
      <c r="AH7735" s="831" t="s">
        <v>554</v>
      </c>
      <c r="AI7735" s="831">
        <v>0</v>
      </c>
      <c r="AJ7735" s="835">
        <v>40816</v>
      </c>
      <c r="AK7735" s="831">
        <v>169757150</v>
      </c>
    </row>
    <row r="7736" spans="2:37">
      <c r="B7736" s="834" t="str">
        <f t="shared" si="319"/>
        <v>|||</v>
      </c>
      <c r="H7736" s="835">
        <f t="shared" si="320"/>
        <v>31</v>
      </c>
      <c r="AF7736" s="831" t="s">
        <v>8395</v>
      </c>
      <c r="AG7736" s="831" t="s">
        <v>2674</v>
      </c>
      <c r="AH7736" s="831" t="s">
        <v>553</v>
      </c>
      <c r="AI7736" s="831">
        <v>0</v>
      </c>
      <c r="AJ7736" s="835">
        <v>40816</v>
      </c>
      <c r="AK7736" s="831">
        <v>0</v>
      </c>
    </row>
    <row r="7737" spans="2:37">
      <c r="B7737" s="834" t="str">
        <f t="shared" si="319"/>
        <v>|||</v>
      </c>
      <c r="H7737" s="835">
        <f t="shared" si="320"/>
        <v>31</v>
      </c>
      <c r="AF7737" s="831" t="s">
        <v>8396</v>
      </c>
      <c r="AG7737" s="831" t="s">
        <v>2674</v>
      </c>
      <c r="AH7737" s="831" t="s">
        <v>552</v>
      </c>
      <c r="AI7737" s="831">
        <v>0</v>
      </c>
      <c r="AJ7737" s="835">
        <v>40816</v>
      </c>
      <c r="AK7737" s="831">
        <v>0</v>
      </c>
    </row>
    <row r="7738" spans="2:37">
      <c r="B7738" s="834" t="str">
        <f t="shared" si="319"/>
        <v>|||</v>
      </c>
      <c r="H7738" s="835">
        <f t="shared" si="320"/>
        <v>31</v>
      </c>
      <c r="AF7738" s="831" t="s">
        <v>8397</v>
      </c>
      <c r="AG7738" s="831" t="s">
        <v>2674</v>
      </c>
      <c r="AH7738" s="831" t="s">
        <v>551</v>
      </c>
      <c r="AI7738" s="831">
        <v>0</v>
      </c>
      <c r="AJ7738" s="835">
        <v>40816</v>
      </c>
      <c r="AK7738" s="831">
        <v>0</v>
      </c>
    </row>
    <row r="7739" spans="2:37">
      <c r="B7739" s="834" t="str">
        <f t="shared" si="319"/>
        <v>|||</v>
      </c>
      <c r="H7739" s="835">
        <f t="shared" si="320"/>
        <v>31</v>
      </c>
      <c r="AF7739" s="831" t="s">
        <v>8398</v>
      </c>
      <c r="AG7739" s="831" t="s">
        <v>2674</v>
      </c>
      <c r="AH7739" s="831" t="s">
        <v>550</v>
      </c>
      <c r="AI7739" s="831">
        <v>0</v>
      </c>
      <c r="AJ7739" s="835">
        <v>40816</v>
      </c>
      <c r="AK7739" s="831">
        <v>86963635</v>
      </c>
    </row>
    <row r="7740" spans="2:37">
      <c r="B7740" s="834" t="str">
        <f t="shared" si="319"/>
        <v>|||</v>
      </c>
      <c r="H7740" s="835">
        <f t="shared" si="320"/>
        <v>31</v>
      </c>
      <c r="AF7740" s="831" t="s">
        <v>8399</v>
      </c>
      <c r="AG7740" s="831" t="s">
        <v>2674</v>
      </c>
      <c r="AH7740" s="831" t="s">
        <v>562</v>
      </c>
      <c r="AI7740" s="831">
        <v>0</v>
      </c>
      <c r="AJ7740" s="835">
        <v>40816</v>
      </c>
      <c r="AK7740" s="831">
        <v>0.78320000000000001</v>
      </c>
    </row>
    <row r="7741" spans="2:37">
      <c r="B7741" s="834" t="str">
        <f t="shared" si="319"/>
        <v>|||</v>
      </c>
      <c r="H7741" s="835">
        <f t="shared" si="320"/>
        <v>31</v>
      </c>
      <c r="AF7741" s="831" t="s">
        <v>8400</v>
      </c>
      <c r="AG7741" s="831" t="s">
        <v>2674</v>
      </c>
      <c r="AH7741" s="831" t="s">
        <v>2698</v>
      </c>
      <c r="AI7741" s="831">
        <v>0</v>
      </c>
      <c r="AJ7741" s="835">
        <v>40816</v>
      </c>
      <c r="AK7741" s="831">
        <v>0.78500000000000003</v>
      </c>
    </row>
    <row r="7742" spans="2:37">
      <c r="B7742" s="834" t="str">
        <f t="shared" si="319"/>
        <v>|||</v>
      </c>
      <c r="H7742" s="835">
        <f t="shared" si="320"/>
        <v>31</v>
      </c>
      <c r="AF7742" s="831" t="s">
        <v>8401</v>
      </c>
      <c r="AG7742" s="831" t="s">
        <v>2674</v>
      </c>
      <c r="AH7742" s="831" t="s">
        <v>560</v>
      </c>
      <c r="AI7742" s="831">
        <v>0</v>
      </c>
      <c r="AJ7742" s="835">
        <v>40816</v>
      </c>
      <c r="AK7742" s="831">
        <v>0.79034444444444396</v>
      </c>
    </row>
    <row r="7743" spans="2:37">
      <c r="B7743" s="834" t="str">
        <f t="shared" si="319"/>
        <v>|||</v>
      </c>
      <c r="H7743" s="835">
        <f t="shared" si="320"/>
        <v>31</v>
      </c>
      <c r="AF7743" s="831" t="s">
        <v>8402</v>
      </c>
      <c r="AG7743" s="831" t="s">
        <v>2674</v>
      </c>
      <c r="AH7743" s="831" t="s">
        <v>559</v>
      </c>
      <c r="AI7743" s="831">
        <v>0</v>
      </c>
      <c r="AJ7743" s="835">
        <v>40816</v>
      </c>
      <c r="AK7743" s="831">
        <v>0.79259166666666703</v>
      </c>
    </row>
    <row r="7744" spans="2:37">
      <c r="B7744" s="834" t="str">
        <f t="shared" si="319"/>
        <v>|||</v>
      </c>
      <c r="H7744" s="835">
        <f t="shared" si="320"/>
        <v>31</v>
      </c>
      <c r="AF7744" s="831" t="s">
        <v>8403</v>
      </c>
      <c r="AG7744" s="831" t="s">
        <v>2674</v>
      </c>
      <c r="AH7744" s="831" t="s">
        <v>568</v>
      </c>
      <c r="AI7744" s="831">
        <v>0</v>
      </c>
      <c r="AJ7744" s="835">
        <v>40816</v>
      </c>
      <c r="AK7744" s="831">
        <v>0</v>
      </c>
    </row>
    <row r="7745" spans="2:37">
      <c r="B7745" s="834" t="str">
        <f t="shared" si="319"/>
        <v>|||</v>
      </c>
      <c r="H7745" s="835">
        <f t="shared" si="320"/>
        <v>31</v>
      </c>
      <c r="AF7745" s="831" t="s">
        <v>8404</v>
      </c>
      <c r="AG7745" s="831" t="s">
        <v>2674</v>
      </c>
      <c r="AH7745" s="831" t="s">
        <v>569</v>
      </c>
      <c r="AI7745" s="831">
        <v>0</v>
      </c>
      <c r="AJ7745" s="835">
        <v>40816</v>
      </c>
      <c r="AK7745" s="831">
        <v>0</v>
      </c>
    </row>
    <row r="7746" spans="2:37">
      <c r="B7746" s="834" t="str">
        <f t="shared" si="319"/>
        <v>|||</v>
      </c>
      <c r="H7746" s="835">
        <f t="shared" si="320"/>
        <v>31</v>
      </c>
      <c r="AF7746" s="831" t="s">
        <v>8405</v>
      </c>
      <c r="AG7746" s="831" t="s">
        <v>2674</v>
      </c>
      <c r="AH7746" s="831" t="s">
        <v>570</v>
      </c>
      <c r="AI7746" s="831">
        <v>0</v>
      </c>
      <c r="AJ7746" s="835">
        <v>40816</v>
      </c>
      <c r="AK7746" s="831">
        <v>0</v>
      </c>
    </row>
    <row r="7747" spans="2:37">
      <c r="B7747" s="834" t="str">
        <f t="shared" ref="B7747:B7810" si="321">C7747&amp;"|"&amp;D7747&amp;"|"&amp;E7747&amp;"|"&amp;F7747</f>
        <v>|||</v>
      </c>
      <c r="H7747" s="835">
        <f t="shared" si="320"/>
        <v>31</v>
      </c>
      <c r="AF7747" s="831" t="s">
        <v>8406</v>
      </c>
      <c r="AG7747" s="831" t="s">
        <v>2674</v>
      </c>
      <c r="AH7747" s="831" t="s">
        <v>571</v>
      </c>
      <c r="AI7747" s="831">
        <v>0</v>
      </c>
      <c r="AJ7747" s="835">
        <v>40816</v>
      </c>
      <c r="AK7747" s="831">
        <v>0</v>
      </c>
    </row>
    <row r="7748" spans="2:37">
      <c r="B7748" s="834" t="str">
        <f t="shared" si="321"/>
        <v>|||</v>
      </c>
      <c r="H7748" s="835">
        <f t="shared" ref="H7748:H7811" si="322">EOMONTH(L7748,0)</f>
        <v>31</v>
      </c>
      <c r="AF7748" s="831" t="s">
        <v>8407</v>
      </c>
      <c r="AG7748" s="831" t="s">
        <v>2674</v>
      </c>
      <c r="AH7748" s="831" t="s">
        <v>573</v>
      </c>
      <c r="AI7748" s="831">
        <v>0</v>
      </c>
      <c r="AJ7748" s="835">
        <v>40816</v>
      </c>
      <c r="AK7748" s="831">
        <v>0</v>
      </c>
    </row>
    <row r="7749" spans="2:37">
      <c r="B7749" s="834" t="str">
        <f t="shared" si="321"/>
        <v>|||</v>
      </c>
      <c r="H7749" s="835">
        <f t="shared" si="322"/>
        <v>31</v>
      </c>
      <c r="AF7749" s="831" t="s">
        <v>8408</v>
      </c>
      <c r="AG7749" s="831" t="s">
        <v>2674</v>
      </c>
      <c r="AH7749" s="831" t="s">
        <v>574</v>
      </c>
      <c r="AI7749" s="831">
        <v>0</v>
      </c>
      <c r="AJ7749" s="835">
        <v>40816</v>
      </c>
      <c r="AK7749" s="831">
        <v>0</v>
      </c>
    </row>
    <row r="7750" spans="2:37">
      <c r="B7750" s="834" t="str">
        <f t="shared" si="321"/>
        <v>|||</v>
      </c>
      <c r="H7750" s="835">
        <f t="shared" si="322"/>
        <v>31</v>
      </c>
      <c r="AF7750" s="831" t="s">
        <v>8409</v>
      </c>
      <c r="AG7750" s="831" t="s">
        <v>2674</v>
      </c>
      <c r="AH7750" s="831" t="s">
        <v>575</v>
      </c>
      <c r="AI7750" s="831">
        <v>0</v>
      </c>
      <c r="AJ7750" s="835">
        <v>40816</v>
      </c>
      <c r="AK7750" s="831">
        <v>0</v>
      </c>
    </row>
    <row r="7751" spans="2:37">
      <c r="B7751" s="834" t="str">
        <f t="shared" si="321"/>
        <v>|||</v>
      </c>
      <c r="H7751" s="835">
        <f t="shared" si="322"/>
        <v>31</v>
      </c>
      <c r="AF7751" s="831" t="s">
        <v>8410</v>
      </c>
      <c r="AG7751" s="831" t="s">
        <v>2674</v>
      </c>
      <c r="AH7751" s="831" t="s">
        <v>576</v>
      </c>
      <c r="AI7751" s="831">
        <v>0</v>
      </c>
      <c r="AJ7751" s="835">
        <v>40816</v>
      </c>
      <c r="AK7751" s="831">
        <v>0</v>
      </c>
    </row>
    <row r="7752" spans="2:37">
      <c r="B7752" s="834" t="str">
        <f t="shared" si="321"/>
        <v>|||</v>
      </c>
      <c r="H7752" s="835">
        <f t="shared" si="322"/>
        <v>31</v>
      </c>
      <c r="AF7752" s="831" t="s">
        <v>8411</v>
      </c>
      <c r="AG7752" s="831" t="s">
        <v>2674</v>
      </c>
      <c r="AH7752" s="831" t="s">
        <v>572</v>
      </c>
      <c r="AI7752" s="831">
        <v>0</v>
      </c>
      <c r="AJ7752" s="835">
        <v>40816</v>
      </c>
      <c r="AK7752" s="831">
        <v>0</v>
      </c>
    </row>
    <row r="7753" spans="2:37">
      <c r="B7753" s="834" t="str">
        <f t="shared" si="321"/>
        <v>|||</v>
      </c>
      <c r="H7753" s="835">
        <f t="shared" si="322"/>
        <v>31</v>
      </c>
      <c r="AF7753" s="831" t="s">
        <v>8412</v>
      </c>
      <c r="AG7753" s="831" t="s">
        <v>2674</v>
      </c>
      <c r="AH7753" s="831" t="s">
        <v>577</v>
      </c>
      <c r="AI7753" s="831">
        <v>0</v>
      </c>
      <c r="AJ7753" s="835">
        <v>40816</v>
      </c>
      <c r="AK7753" s="831">
        <v>0</v>
      </c>
    </row>
    <row r="7754" spans="2:37">
      <c r="B7754" s="834" t="str">
        <f t="shared" si="321"/>
        <v>|||</v>
      </c>
      <c r="H7754" s="835">
        <f t="shared" si="322"/>
        <v>31</v>
      </c>
      <c r="AF7754" s="831" t="s">
        <v>8413</v>
      </c>
      <c r="AG7754" s="831" t="s">
        <v>2674</v>
      </c>
      <c r="AH7754" s="831" t="s">
        <v>3042</v>
      </c>
      <c r="AI7754" s="831">
        <v>0</v>
      </c>
      <c r="AJ7754" s="835">
        <v>40816</v>
      </c>
      <c r="AK7754" s="831">
        <v>0</v>
      </c>
    </row>
    <row r="7755" spans="2:37">
      <c r="B7755" s="834" t="str">
        <f t="shared" si="321"/>
        <v>|||</v>
      </c>
      <c r="H7755" s="835">
        <f t="shared" si="322"/>
        <v>31</v>
      </c>
      <c r="AF7755" s="831" t="s">
        <v>8414</v>
      </c>
      <c r="AG7755" s="831" t="s">
        <v>2674</v>
      </c>
      <c r="AH7755" s="831" t="s">
        <v>3044</v>
      </c>
      <c r="AI7755" s="831">
        <v>0</v>
      </c>
      <c r="AJ7755" s="835">
        <v>40816</v>
      </c>
      <c r="AK7755" s="831">
        <v>0</v>
      </c>
    </row>
    <row r="7756" spans="2:37">
      <c r="B7756" s="834" t="str">
        <f t="shared" si="321"/>
        <v>|||</v>
      </c>
      <c r="H7756" s="835">
        <f t="shared" si="322"/>
        <v>31</v>
      </c>
      <c r="AF7756" s="831" t="s">
        <v>8415</v>
      </c>
      <c r="AG7756" s="831" t="s">
        <v>2674</v>
      </c>
      <c r="AH7756" s="831" t="s">
        <v>580</v>
      </c>
      <c r="AI7756" s="831">
        <v>0</v>
      </c>
      <c r="AJ7756" s="835">
        <v>40816</v>
      </c>
      <c r="AK7756" s="831">
        <v>0</v>
      </c>
    </row>
    <row r="7757" spans="2:37">
      <c r="B7757" s="834" t="str">
        <f t="shared" si="321"/>
        <v>|||</v>
      </c>
      <c r="H7757" s="835">
        <f t="shared" si="322"/>
        <v>31</v>
      </c>
      <c r="AF7757" s="831" t="s">
        <v>8416</v>
      </c>
      <c r="AG7757" s="831" t="s">
        <v>2674</v>
      </c>
      <c r="AH7757" s="831" t="s">
        <v>581</v>
      </c>
      <c r="AI7757" s="831">
        <v>0</v>
      </c>
      <c r="AJ7757" s="835">
        <v>40816</v>
      </c>
      <c r="AK7757" s="831">
        <v>0</v>
      </c>
    </row>
    <row r="7758" spans="2:37">
      <c r="B7758" s="834" t="str">
        <f t="shared" si="321"/>
        <v>|||</v>
      </c>
      <c r="H7758" s="835">
        <f t="shared" si="322"/>
        <v>31</v>
      </c>
      <c r="AF7758" s="831" t="s">
        <v>8417</v>
      </c>
      <c r="AG7758" s="831" t="s">
        <v>2674</v>
      </c>
      <c r="AH7758" s="831" t="s">
        <v>105</v>
      </c>
      <c r="AI7758" s="831">
        <v>0</v>
      </c>
      <c r="AJ7758" s="835">
        <v>40816</v>
      </c>
      <c r="AK7758" s="831">
        <v>132297903</v>
      </c>
    </row>
    <row r="7759" spans="2:37">
      <c r="B7759" s="834" t="str">
        <f t="shared" si="321"/>
        <v>|||</v>
      </c>
      <c r="H7759" s="835">
        <f t="shared" si="322"/>
        <v>31</v>
      </c>
      <c r="AF7759" s="831" t="s">
        <v>8418</v>
      </c>
      <c r="AG7759" s="831" t="s">
        <v>2674</v>
      </c>
      <c r="AH7759" s="831" t="s">
        <v>3049</v>
      </c>
      <c r="AI7759" s="831">
        <v>0</v>
      </c>
      <c r="AJ7759" s="835">
        <v>40816</v>
      </c>
      <c r="AK7759" s="831">
        <v>260969223</v>
      </c>
    </row>
    <row r="7760" spans="2:37">
      <c r="B7760" s="834" t="str">
        <f t="shared" si="321"/>
        <v>|||</v>
      </c>
      <c r="H7760" s="835">
        <f t="shared" si="322"/>
        <v>31</v>
      </c>
      <c r="AF7760" s="831" t="s">
        <v>8419</v>
      </c>
      <c r="AG7760" s="831" t="s">
        <v>2674</v>
      </c>
      <c r="AH7760" s="831" t="s">
        <v>103</v>
      </c>
      <c r="AI7760" s="831">
        <v>0</v>
      </c>
      <c r="AJ7760" s="835">
        <v>40816</v>
      </c>
      <c r="AK7760" s="831">
        <v>128671320</v>
      </c>
    </row>
    <row r="7761" spans="2:37">
      <c r="B7761" s="834" t="str">
        <f t="shared" si="321"/>
        <v>|||</v>
      </c>
      <c r="H7761" s="835">
        <f t="shared" si="322"/>
        <v>31</v>
      </c>
      <c r="AF7761" s="831" t="s">
        <v>8420</v>
      </c>
      <c r="AG7761" s="831" t="s">
        <v>2674</v>
      </c>
      <c r="AH7761" s="831" t="s">
        <v>182</v>
      </c>
      <c r="AI7761" s="831">
        <v>0</v>
      </c>
      <c r="AJ7761" s="835">
        <v>40816</v>
      </c>
      <c r="AK7761" s="831">
        <v>40260330.666666701</v>
      </c>
    </row>
    <row r="7762" spans="2:37">
      <c r="B7762" s="834" t="str">
        <f t="shared" si="321"/>
        <v>|||</v>
      </c>
      <c r="H7762" s="835">
        <f t="shared" si="322"/>
        <v>31</v>
      </c>
      <c r="AF7762" s="831" t="s">
        <v>8421</v>
      </c>
      <c r="AG7762" s="831" t="s">
        <v>2674</v>
      </c>
      <c r="AH7762" s="831" t="s">
        <v>6600</v>
      </c>
      <c r="AI7762" s="831">
        <v>0</v>
      </c>
      <c r="AJ7762" s="835">
        <v>40816</v>
      </c>
      <c r="AK7762" s="831">
        <v>0</v>
      </c>
    </row>
    <row r="7763" spans="2:37">
      <c r="B7763" s="834" t="str">
        <f t="shared" si="321"/>
        <v>|||</v>
      </c>
      <c r="H7763" s="835">
        <f t="shared" si="322"/>
        <v>31</v>
      </c>
      <c r="AF7763" s="831" t="s">
        <v>8422</v>
      </c>
      <c r="AG7763" s="831" t="s">
        <v>2674</v>
      </c>
      <c r="AH7763" s="831" t="s">
        <v>6602</v>
      </c>
      <c r="AI7763" s="831">
        <v>0</v>
      </c>
      <c r="AJ7763" s="835">
        <v>40816</v>
      </c>
      <c r="AK7763" s="831">
        <v>13919728</v>
      </c>
    </row>
    <row r="7764" spans="2:37">
      <c r="B7764" s="834" t="str">
        <f t="shared" si="321"/>
        <v>|||</v>
      </c>
      <c r="H7764" s="835">
        <f t="shared" si="322"/>
        <v>31</v>
      </c>
      <c r="AF7764" s="831" t="s">
        <v>8423</v>
      </c>
      <c r="AG7764" s="831" t="s">
        <v>2674</v>
      </c>
      <c r="AH7764" s="831" t="s">
        <v>650</v>
      </c>
      <c r="AI7764" s="831">
        <v>0</v>
      </c>
      <c r="AJ7764" s="835">
        <v>40816</v>
      </c>
      <c r="AK7764" s="831">
        <v>0</v>
      </c>
    </row>
    <row r="7765" spans="2:37">
      <c r="B7765" s="834" t="str">
        <f t="shared" si="321"/>
        <v>|||</v>
      </c>
      <c r="H7765" s="835">
        <f t="shared" si="322"/>
        <v>31</v>
      </c>
      <c r="AF7765" s="831" t="s">
        <v>8424</v>
      </c>
      <c r="AG7765" s="831" t="s">
        <v>2674</v>
      </c>
      <c r="AH7765" s="831" t="s">
        <v>655</v>
      </c>
      <c r="AI7765" s="831">
        <v>0</v>
      </c>
      <c r="AJ7765" s="835">
        <v>40816</v>
      </c>
      <c r="AK7765" s="831">
        <v>0</v>
      </c>
    </row>
    <row r="7766" spans="2:37">
      <c r="B7766" s="834" t="str">
        <f t="shared" si="321"/>
        <v>|||</v>
      </c>
      <c r="H7766" s="835">
        <f t="shared" si="322"/>
        <v>31</v>
      </c>
      <c r="AF7766" s="831" t="s">
        <v>8425</v>
      </c>
      <c r="AG7766" s="831" t="s">
        <v>2674</v>
      </c>
      <c r="AH7766" s="831" t="s">
        <v>546</v>
      </c>
      <c r="AI7766" s="831">
        <v>0</v>
      </c>
      <c r="AJ7766" s="835">
        <v>40847</v>
      </c>
      <c r="AK7766" s="831">
        <v>288574261</v>
      </c>
    </row>
    <row r="7767" spans="2:37">
      <c r="B7767" s="834" t="str">
        <f t="shared" si="321"/>
        <v>|||</v>
      </c>
      <c r="H7767" s="835">
        <f t="shared" si="322"/>
        <v>31</v>
      </c>
      <c r="AF7767" s="831" t="s">
        <v>8426</v>
      </c>
      <c r="AG7767" s="831" t="s">
        <v>2674</v>
      </c>
      <c r="AH7767" s="831" t="s">
        <v>370</v>
      </c>
      <c r="AI7767" s="831">
        <v>0</v>
      </c>
      <c r="AJ7767" s="835">
        <v>40847</v>
      </c>
      <c r="AK7767" s="831">
        <v>360605373</v>
      </c>
    </row>
    <row r="7768" spans="2:37">
      <c r="B7768" s="834" t="str">
        <f t="shared" si="321"/>
        <v>|||</v>
      </c>
      <c r="H7768" s="835">
        <f t="shared" si="322"/>
        <v>31</v>
      </c>
      <c r="AF7768" s="831" t="s">
        <v>8427</v>
      </c>
      <c r="AG7768" s="831" t="s">
        <v>2674</v>
      </c>
      <c r="AH7768" s="831" t="s">
        <v>126</v>
      </c>
      <c r="AI7768" s="831">
        <v>0</v>
      </c>
      <c r="AJ7768" s="835">
        <v>40847</v>
      </c>
      <c r="AK7768" s="831">
        <v>83937276</v>
      </c>
    </row>
    <row r="7769" spans="2:37">
      <c r="B7769" s="834" t="str">
        <f t="shared" si="321"/>
        <v>|||</v>
      </c>
      <c r="H7769" s="835">
        <f t="shared" si="322"/>
        <v>31</v>
      </c>
      <c r="AF7769" s="831" t="s">
        <v>8428</v>
      </c>
      <c r="AG7769" s="831" t="s">
        <v>2674</v>
      </c>
      <c r="AH7769" s="831" t="s">
        <v>268</v>
      </c>
      <c r="AI7769" s="831">
        <v>0</v>
      </c>
      <c r="AJ7769" s="835">
        <v>40847</v>
      </c>
      <c r="AK7769" s="831">
        <v>15882353</v>
      </c>
    </row>
    <row r="7770" spans="2:37">
      <c r="B7770" s="834" t="str">
        <f t="shared" si="321"/>
        <v>|||</v>
      </c>
      <c r="H7770" s="835">
        <f t="shared" si="322"/>
        <v>31</v>
      </c>
      <c r="AF7770" s="831" t="s">
        <v>8429</v>
      </c>
      <c r="AG7770" s="831" t="s">
        <v>2674</v>
      </c>
      <c r="AH7770" s="831" t="s">
        <v>547</v>
      </c>
      <c r="AI7770" s="831">
        <v>0</v>
      </c>
      <c r="AJ7770" s="835">
        <v>40847</v>
      </c>
      <c r="AK7770" s="831">
        <v>0</v>
      </c>
    </row>
    <row r="7771" spans="2:37">
      <c r="B7771" s="834" t="str">
        <f t="shared" si="321"/>
        <v>|||</v>
      </c>
      <c r="H7771" s="835">
        <f t="shared" si="322"/>
        <v>31</v>
      </c>
      <c r="AF7771" s="831" t="s">
        <v>8430</v>
      </c>
      <c r="AG7771" s="831" t="s">
        <v>2674</v>
      </c>
      <c r="AH7771" s="831" t="s">
        <v>548</v>
      </c>
      <c r="AI7771" s="831">
        <v>0</v>
      </c>
      <c r="AJ7771" s="835">
        <v>40847</v>
      </c>
      <c r="AK7771" s="831">
        <v>0</v>
      </c>
    </row>
    <row r="7772" spans="2:37">
      <c r="B7772" s="834" t="str">
        <f t="shared" si="321"/>
        <v>|||</v>
      </c>
      <c r="H7772" s="835">
        <f t="shared" si="322"/>
        <v>31</v>
      </c>
      <c r="AF7772" s="831" t="s">
        <v>8431</v>
      </c>
      <c r="AG7772" s="831" t="s">
        <v>2674</v>
      </c>
      <c r="AH7772" s="831" t="s">
        <v>549</v>
      </c>
      <c r="AI7772" s="831">
        <v>0</v>
      </c>
      <c r="AJ7772" s="835">
        <v>40847</v>
      </c>
      <c r="AK7772" s="831">
        <v>0</v>
      </c>
    </row>
    <row r="7773" spans="2:37">
      <c r="B7773" s="834" t="str">
        <f t="shared" si="321"/>
        <v>|||</v>
      </c>
      <c r="H7773" s="835">
        <f t="shared" si="322"/>
        <v>31</v>
      </c>
      <c r="AF7773" s="831" t="s">
        <v>8432</v>
      </c>
      <c r="AG7773" s="831" t="s">
        <v>2674</v>
      </c>
      <c r="AH7773" s="831" t="s">
        <v>192</v>
      </c>
      <c r="AI7773" s="831">
        <v>0</v>
      </c>
      <c r="AJ7773" s="835">
        <v>40847</v>
      </c>
      <c r="AK7773" s="831">
        <v>-7780982</v>
      </c>
    </row>
    <row r="7774" spans="2:37">
      <c r="B7774" s="834" t="str">
        <f t="shared" si="321"/>
        <v>|||</v>
      </c>
      <c r="H7774" s="835">
        <f t="shared" si="322"/>
        <v>31</v>
      </c>
      <c r="AF7774" s="831" t="s">
        <v>8433</v>
      </c>
      <c r="AG7774" s="831" t="s">
        <v>2674</v>
      </c>
      <c r="AH7774" s="831" t="s">
        <v>558</v>
      </c>
      <c r="AI7774" s="831">
        <v>0</v>
      </c>
      <c r="AJ7774" s="835">
        <v>40847</v>
      </c>
      <c r="AK7774" s="831">
        <v>276668097</v>
      </c>
    </row>
    <row r="7775" spans="2:37">
      <c r="B7775" s="834" t="str">
        <f t="shared" si="321"/>
        <v>|||</v>
      </c>
      <c r="H7775" s="835">
        <f t="shared" si="322"/>
        <v>31</v>
      </c>
      <c r="AF7775" s="831" t="s">
        <v>8434</v>
      </c>
      <c r="AG7775" s="831" t="s">
        <v>2674</v>
      </c>
      <c r="AH7775" s="831" t="s">
        <v>65</v>
      </c>
      <c r="AI7775" s="831">
        <v>0</v>
      </c>
      <c r="AJ7775" s="835">
        <v>40847</v>
      </c>
      <c r="AK7775" s="831">
        <v>71450854</v>
      </c>
    </row>
    <row r="7776" spans="2:37">
      <c r="B7776" s="834" t="str">
        <f t="shared" si="321"/>
        <v>|||</v>
      </c>
      <c r="H7776" s="835">
        <f t="shared" si="322"/>
        <v>31</v>
      </c>
      <c r="AF7776" s="831" t="s">
        <v>8435</v>
      </c>
      <c r="AG7776" s="831" t="s">
        <v>2674</v>
      </c>
      <c r="AH7776" s="831" t="s">
        <v>89</v>
      </c>
      <c r="AI7776" s="831">
        <v>0</v>
      </c>
      <c r="AJ7776" s="835">
        <v>40847</v>
      </c>
      <c r="AK7776" s="831">
        <v>0</v>
      </c>
    </row>
    <row r="7777" spans="2:37">
      <c r="B7777" s="834" t="str">
        <f t="shared" si="321"/>
        <v>|||</v>
      </c>
      <c r="H7777" s="835">
        <f t="shared" si="322"/>
        <v>31</v>
      </c>
      <c r="AF7777" s="831" t="s">
        <v>8436</v>
      </c>
      <c r="AG7777" s="831" t="s">
        <v>2674</v>
      </c>
      <c r="AH7777" s="831" t="s">
        <v>557</v>
      </c>
      <c r="AI7777" s="831">
        <v>0</v>
      </c>
      <c r="AJ7777" s="835">
        <v>40847</v>
      </c>
      <c r="AK7777" s="831">
        <v>0</v>
      </c>
    </row>
    <row r="7778" spans="2:37">
      <c r="B7778" s="834" t="str">
        <f t="shared" si="321"/>
        <v>|||</v>
      </c>
      <c r="H7778" s="835">
        <f t="shared" si="322"/>
        <v>31</v>
      </c>
      <c r="AF7778" s="831" t="s">
        <v>8437</v>
      </c>
      <c r="AG7778" s="831" t="s">
        <v>2674</v>
      </c>
      <c r="AH7778" s="831" t="s">
        <v>29</v>
      </c>
      <c r="AI7778" s="831">
        <v>0</v>
      </c>
      <c r="AJ7778" s="835">
        <v>40847</v>
      </c>
      <c r="AK7778" s="831">
        <v>0</v>
      </c>
    </row>
    <row r="7779" spans="2:37">
      <c r="B7779" s="834" t="str">
        <f t="shared" si="321"/>
        <v>|||</v>
      </c>
      <c r="H7779" s="835">
        <f t="shared" si="322"/>
        <v>31</v>
      </c>
      <c r="AF7779" s="831" t="s">
        <v>8438</v>
      </c>
      <c r="AG7779" s="831" t="s">
        <v>2674</v>
      </c>
      <c r="AH7779" s="831" t="s">
        <v>2688</v>
      </c>
      <c r="AI7779" s="831">
        <v>0</v>
      </c>
      <c r="AJ7779" s="835">
        <v>40847</v>
      </c>
      <c r="AK7779" s="831">
        <v>0</v>
      </c>
    </row>
    <row r="7780" spans="2:37">
      <c r="B7780" s="834" t="str">
        <f t="shared" si="321"/>
        <v>|||</v>
      </c>
      <c r="H7780" s="835">
        <f t="shared" si="322"/>
        <v>31</v>
      </c>
      <c r="AF7780" s="831" t="s">
        <v>8439</v>
      </c>
      <c r="AG7780" s="831" t="s">
        <v>2674</v>
      </c>
      <c r="AH7780" s="831" t="s">
        <v>556</v>
      </c>
      <c r="AI7780" s="831">
        <v>0</v>
      </c>
      <c r="AJ7780" s="835">
        <v>40847</v>
      </c>
      <c r="AK7780" s="831">
        <v>0</v>
      </c>
    </row>
    <row r="7781" spans="2:37">
      <c r="B7781" s="834" t="str">
        <f t="shared" si="321"/>
        <v>|||</v>
      </c>
      <c r="H7781" s="835">
        <f t="shared" si="322"/>
        <v>31</v>
      </c>
      <c r="AF7781" s="831" t="s">
        <v>8440</v>
      </c>
      <c r="AG7781" s="831" t="s">
        <v>2674</v>
      </c>
      <c r="AH7781" s="831" t="s">
        <v>555</v>
      </c>
      <c r="AI7781" s="831">
        <v>0</v>
      </c>
      <c r="AJ7781" s="835">
        <v>40847</v>
      </c>
      <c r="AK7781" s="831">
        <v>179380830</v>
      </c>
    </row>
    <row r="7782" spans="2:37">
      <c r="B7782" s="834" t="str">
        <f t="shared" si="321"/>
        <v>|||</v>
      </c>
      <c r="H7782" s="835">
        <f t="shared" si="322"/>
        <v>31</v>
      </c>
      <c r="AF7782" s="831" t="s">
        <v>8441</v>
      </c>
      <c r="AG7782" s="831" t="s">
        <v>2674</v>
      </c>
      <c r="AH7782" s="831" t="s">
        <v>554</v>
      </c>
      <c r="AI7782" s="831">
        <v>0</v>
      </c>
      <c r="AJ7782" s="835">
        <v>40847</v>
      </c>
      <c r="AK7782" s="831">
        <v>176499570</v>
      </c>
    </row>
    <row r="7783" spans="2:37">
      <c r="B7783" s="834" t="str">
        <f t="shared" si="321"/>
        <v>|||</v>
      </c>
      <c r="H7783" s="835">
        <f t="shared" si="322"/>
        <v>31</v>
      </c>
      <c r="AF7783" s="831" t="s">
        <v>8442</v>
      </c>
      <c r="AG7783" s="831" t="s">
        <v>2674</v>
      </c>
      <c r="AH7783" s="831" t="s">
        <v>553</v>
      </c>
      <c r="AI7783" s="831">
        <v>0</v>
      </c>
      <c r="AJ7783" s="835">
        <v>40847</v>
      </c>
      <c r="AK7783" s="831">
        <v>0</v>
      </c>
    </row>
    <row r="7784" spans="2:37">
      <c r="B7784" s="834" t="str">
        <f t="shared" si="321"/>
        <v>|||</v>
      </c>
      <c r="H7784" s="835">
        <f t="shared" si="322"/>
        <v>31</v>
      </c>
      <c r="AF7784" s="831" t="s">
        <v>8443</v>
      </c>
      <c r="AG7784" s="831" t="s">
        <v>2674</v>
      </c>
      <c r="AH7784" s="831" t="s">
        <v>552</v>
      </c>
      <c r="AI7784" s="831">
        <v>0</v>
      </c>
      <c r="AJ7784" s="835">
        <v>40847</v>
      </c>
      <c r="AK7784" s="831">
        <v>0</v>
      </c>
    </row>
    <row r="7785" spans="2:37">
      <c r="B7785" s="834" t="str">
        <f t="shared" si="321"/>
        <v>|||</v>
      </c>
      <c r="H7785" s="835">
        <f t="shared" si="322"/>
        <v>31</v>
      </c>
      <c r="AF7785" s="831" t="s">
        <v>8444</v>
      </c>
      <c r="AG7785" s="831" t="s">
        <v>2674</v>
      </c>
      <c r="AH7785" s="831" t="s">
        <v>551</v>
      </c>
      <c r="AI7785" s="831">
        <v>0</v>
      </c>
      <c r="AJ7785" s="835">
        <v>40847</v>
      </c>
      <c r="AK7785" s="831">
        <v>0</v>
      </c>
    </row>
    <row r="7786" spans="2:37">
      <c r="B7786" s="834" t="str">
        <f t="shared" si="321"/>
        <v>|||</v>
      </c>
      <c r="H7786" s="835">
        <f t="shared" si="322"/>
        <v>31</v>
      </c>
      <c r="AF7786" s="831" t="s">
        <v>8445</v>
      </c>
      <c r="AG7786" s="831" t="s">
        <v>2674</v>
      </c>
      <c r="AH7786" s="831" t="s">
        <v>550</v>
      </c>
      <c r="AI7786" s="831">
        <v>0</v>
      </c>
      <c r="AJ7786" s="835">
        <v>40847</v>
      </c>
      <c r="AK7786" s="831">
        <v>0</v>
      </c>
    </row>
    <row r="7787" spans="2:37">
      <c r="B7787" s="834" t="str">
        <f t="shared" si="321"/>
        <v>|||</v>
      </c>
      <c r="H7787" s="835">
        <f t="shared" si="322"/>
        <v>31</v>
      </c>
      <c r="AF7787" s="831" t="s">
        <v>8446</v>
      </c>
      <c r="AG7787" s="831" t="s">
        <v>2674</v>
      </c>
      <c r="AH7787" s="831" t="s">
        <v>562</v>
      </c>
      <c r="AI7787" s="831">
        <v>0</v>
      </c>
      <c r="AJ7787" s="835">
        <v>40847</v>
      </c>
      <c r="AK7787" s="831">
        <v>0.78680000000000005</v>
      </c>
    </row>
    <row r="7788" spans="2:37">
      <c r="B7788" s="834" t="str">
        <f t="shared" si="321"/>
        <v>|||</v>
      </c>
      <c r="H7788" s="835">
        <f t="shared" si="322"/>
        <v>31</v>
      </c>
      <c r="AF7788" s="831" t="s">
        <v>8447</v>
      </c>
      <c r="AG7788" s="831" t="s">
        <v>2674</v>
      </c>
      <c r="AH7788" s="831" t="s">
        <v>2698</v>
      </c>
      <c r="AI7788" s="831">
        <v>0</v>
      </c>
      <c r="AJ7788" s="835">
        <v>40847</v>
      </c>
      <c r="AK7788" s="831">
        <v>0.78320000000000001</v>
      </c>
    </row>
    <row r="7789" spans="2:37">
      <c r="B7789" s="834" t="str">
        <f t="shared" si="321"/>
        <v>|||</v>
      </c>
      <c r="H7789" s="835">
        <f t="shared" si="322"/>
        <v>31</v>
      </c>
      <c r="AF7789" s="831" t="s">
        <v>8448</v>
      </c>
      <c r="AG7789" s="831" t="s">
        <v>2674</v>
      </c>
      <c r="AH7789" s="831" t="s">
        <v>560</v>
      </c>
      <c r="AI7789" s="831">
        <v>0</v>
      </c>
      <c r="AJ7789" s="835">
        <v>40847</v>
      </c>
      <c r="AK7789" s="831">
        <v>0.78998999999999997</v>
      </c>
    </row>
    <row r="7790" spans="2:37">
      <c r="B7790" s="834" t="str">
        <f t="shared" si="321"/>
        <v>|||</v>
      </c>
      <c r="H7790" s="835">
        <f t="shared" si="322"/>
        <v>31</v>
      </c>
      <c r="AF7790" s="831" t="s">
        <v>8449</v>
      </c>
      <c r="AG7790" s="831" t="s">
        <v>2674</v>
      </c>
      <c r="AH7790" s="831" t="s">
        <v>559</v>
      </c>
      <c r="AI7790" s="831">
        <v>0</v>
      </c>
      <c r="AJ7790" s="835">
        <v>40847</v>
      </c>
      <c r="AK7790" s="831">
        <v>0.79140833333333305</v>
      </c>
    </row>
    <row r="7791" spans="2:37">
      <c r="B7791" s="834" t="str">
        <f t="shared" si="321"/>
        <v>|||</v>
      </c>
      <c r="H7791" s="835">
        <f t="shared" si="322"/>
        <v>31</v>
      </c>
      <c r="AF7791" s="831" t="s">
        <v>8450</v>
      </c>
      <c r="AG7791" s="831" t="s">
        <v>2674</v>
      </c>
      <c r="AH7791" s="831" t="s">
        <v>568</v>
      </c>
      <c r="AI7791" s="831">
        <v>0</v>
      </c>
      <c r="AJ7791" s="835">
        <v>40847</v>
      </c>
      <c r="AK7791" s="831">
        <v>0</v>
      </c>
    </row>
    <row r="7792" spans="2:37">
      <c r="B7792" s="834" t="str">
        <f t="shared" si="321"/>
        <v>|||</v>
      </c>
      <c r="H7792" s="835">
        <f t="shared" si="322"/>
        <v>31</v>
      </c>
      <c r="AF7792" s="831" t="s">
        <v>8451</v>
      </c>
      <c r="AG7792" s="831" t="s">
        <v>2674</v>
      </c>
      <c r="AH7792" s="831" t="s">
        <v>569</v>
      </c>
      <c r="AI7792" s="831">
        <v>0</v>
      </c>
      <c r="AJ7792" s="835">
        <v>40847</v>
      </c>
      <c r="AK7792" s="831">
        <v>0</v>
      </c>
    </row>
    <row r="7793" spans="2:37">
      <c r="B7793" s="834" t="str">
        <f t="shared" si="321"/>
        <v>|||</v>
      </c>
      <c r="H7793" s="835">
        <f t="shared" si="322"/>
        <v>31</v>
      </c>
      <c r="AF7793" s="831" t="s">
        <v>8452</v>
      </c>
      <c r="AG7793" s="831" t="s">
        <v>2674</v>
      </c>
      <c r="AH7793" s="831" t="s">
        <v>570</v>
      </c>
      <c r="AI7793" s="831">
        <v>0</v>
      </c>
      <c r="AJ7793" s="835">
        <v>40847</v>
      </c>
      <c r="AK7793" s="831">
        <v>0</v>
      </c>
    </row>
    <row r="7794" spans="2:37">
      <c r="B7794" s="834" t="str">
        <f t="shared" si="321"/>
        <v>|||</v>
      </c>
      <c r="H7794" s="835">
        <f t="shared" si="322"/>
        <v>31</v>
      </c>
      <c r="AF7794" s="831" t="s">
        <v>8453</v>
      </c>
      <c r="AG7794" s="831" t="s">
        <v>2674</v>
      </c>
      <c r="AH7794" s="831" t="s">
        <v>571</v>
      </c>
      <c r="AI7794" s="831">
        <v>0</v>
      </c>
      <c r="AJ7794" s="835">
        <v>40847</v>
      </c>
      <c r="AK7794" s="831">
        <v>0</v>
      </c>
    </row>
    <row r="7795" spans="2:37">
      <c r="B7795" s="834" t="str">
        <f t="shared" si="321"/>
        <v>|||</v>
      </c>
      <c r="H7795" s="835">
        <f t="shared" si="322"/>
        <v>31</v>
      </c>
      <c r="AF7795" s="831" t="s">
        <v>8454</v>
      </c>
      <c r="AG7795" s="831" t="s">
        <v>2674</v>
      </c>
      <c r="AH7795" s="831" t="s">
        <v>573</v>
      </c>
      <c r="AI7795" s="831">
        <v>0</v>
      </c>
      <c r="AJ7795" s="835">
        <v>40847</v>
      </c>
      <c r="AK7795" s="831">
        <v>0</v>
      </c>
    </row>
    <row r="7796" spans="2:37">
      <c r="B7796" s="834" t="str">
        <f t="shared" si="321"/>
        <v>|||</v>
      </c>
      <c r="H7796" s="835">
        <f t="shared" si="322"/>
        <v>31</v>
      </c>
      <c r="AF7796" s="831" t="s">
        <v>8455</v>
      </c>
      <c r="AG7796" s="831" t="s">
        <v>2674</v>
      </c>
      <c r="AH7796" s="831" t="s">
        <v>574</v>
      </c>
      <c r="AI7796" s="831">
        <v>0</v>
      </c>
      <c r="AJ7796" s="835">
        <v>40847</v>
      </c>
      <c r="AK7796" s="831">
        <v>0</v>
      </c>
    </row>
    <row r="7797" spans="2:37">
      <c r="B7797" s="834" t="str">
        <f t="shared" si="321"/>
        <v>|||</v>
      </c>
      <c r="H7797" s="835">
        <f t="shared" si="322"/>
        <v>31</v>
      </c>
      <c r="AF7797" s="831" t="s">
        <v>8456</v>
      </c>
      <c r="AG7797" s="831" t="s">
        <v>2674</v>
      </c>
      <c r="AH7797" s="831" t="s">
        <v>575</v>
      </c>
      <c r="AI7797" s="831">
        <v>0</v>
      </c>
      <c r="AJ7797" s="835">
        <v>40847</v>
      </c>
      <c r="AK7797" s="831">
        <v>0</v>
      </c>
    </row>
    <row r="7798" spans="2:37">
      <c r="B7798" s="834" t="str">
        <f t="shared" si="321"/>
        <v>|||</v>
      </c>
      <c r="H7798" s="835">
        <f t="shared" si="322"/>
        <v>31</v>
      </c>
      <c r="AF7798" s="831" t="s">
        <v>8457</v>
      </c>
      <c r="AG7798" s="831" t="s">
        <v>2674</v>
      </c>
      <c r="AH7798" s="831" t="s">
        <v>576</v>
      </c>
      <c r="AI7798" s="831">
        <v>0</v>
      </c>
      <c r="AJ7798" s="835">
        <v>40847</v>
      </c>
      <c r="AK7798" s="831">
        <v>0</v>
      </c>
    </row>
    <row r="7799" spans="2:37">
      <c r="B7799" s="834" t="str">
        <f t="shared" si="321"/>
        <v>|||</v>
      </c>
      <c r="H7799" s="835">
        <f t="shared" si="322"/>
        <v>31</v>
      </c>
      <c r="AF7799" s="831" t="s">
        <v>8458</v>
      </c>
      <c r="AG7799" s="831" t="s">
        <v>2674</v>
      </c>
      <c r="AH7799" s="831" t="s">
        <v>572</v>
      </c>
      <c r="AI7799" s="831">
        <v>0</v>
      </c>
      <c r="AJ7799" s="835">
        <v>40847</v>
      </c>
      <c r="AK7799" s="831">
        <v>0</v>
      </c>
    </row>
    <row r="7800" spans="2:37">
      <c r="B7800" s="834" t="str">
        <f t="shared" si="321"/>
        <v>|||</v>
      </c>
      <c r="H7800" s="835">
        <f t="shared" si="322"/>
        <v>31</v>
      </c>
      <c r="AF7800" s="831" t="s">
        <v>8459</v>
      </c>
      <c r="AG7800" s="831" t="s">
        <v>2674</v>
      </c>
      <c r="AH7800" s="831" t="s">
        <v>577</v>
      </c>
      <c r="AI7800" s="831">
        <v>0</v>
      </c>
      <c r="AJ7800" s="835">
        <v>40847</v>
      </c>
      <c r="AK7800" s="831">
        <v>0</v>
      </c>
    </row>
    <row r="7801" spans="2:37">
      <c r="B7801" s="834" t="str">
        <f t="shared" si="321"/>
        <v>|||</v>
      </c>
      <c r="H7801" s="835">
        <f t="shared" si="322"/>
        <v>31</v>
      </c>
      <c r="AF7801" s="831" t="s">
        <v>8460</v>
      </c>
      <c r="AG7801" s="831" t="s">
        <v>2674</v>
      </c>
      <c r="AH7801" s="831" t="s">
        <v>3042</v>
      </c>
      <c r="AI7801" s="831">
        <v>0</v>
      </c>
      <c r="AJ7801" s="835">
        <v>40847</v>
      </c>
      <c r="AK7801" s="831">
        <v>0</v>
      </c>
    </row>
    <row r="7802" spans="2:37">
      <c r="B7802" s="834" t="str">
        <f t="shared" si="321"/>
        <v>|||</v>
      </c>
      <c r="H7802" s="835">
        <f t="shared" si="322"/>
        <v>31</v>
      </c>
      <c r="AF7802" s="831" t="s">
        <v>8461</v>
      </c>
      <c r="AG7802" s="831" t="s">
        <v>2674</v>
      </c>
      <c r="AH7802" s="831" t="s">
        <v>3044</v>
      </c>
      <c r="AI7802" s="831">
        <v>0</v>
      </c>
      <c r="AJ7802" s="835">
        <v>40847</v>
      </c>
      <c r="AK7802" s="831">
        <v>0</v>
      </c>
    </row>
    <row r="7803" spans="2:37">
      <c r="B7803" s="834" t="str">
        <f t="shared" si="321"/>
        <v>|||</v>
      </c>
      <c r="H7803" s="835">
        <f t="shared" si="322"/>
        <v>31</v>
      </c>
      <c r="AF7803" s="831" t="s">
        <v>8462</v>
      </c>
      <c r="AG7803" s="831" t="s">
        <v>2674</v>
      </c>
      <c r="AH7803" s="831" t="s">
        <v>580</v>
      </c>
      <c r="AI7803" s="831">
        <v>0</v>
      </c>
      <c r="AJ7803" s="835">
        <v>40847</v>
      </c>
      <c r="AK7803" s="831">
        <v>0</v>
      </c>
    </row>
    <row r="7804" spans="2:37">
      <c r="B7804" s="834" t="str">
        <f t="shared" si="321"/>
        <v>|||</v>
      </c>
      <c r="H7804" s="835">
        <f t="shared" si="322"/>
        <v>31</v>
      </c>
      <c r="AF7804" s="831" t="s">
        <v>8463</v>
      </c>
      <c r="AG7804" s="831" t="s">
        <v>2674</v>
      </c>
      <c r="AH7804" s="831" t="s">
        <v>581</v>
      </c>
      <c r="AI7804" s="831">
        <v>0</v>
      </c>
      <c r="AJ7804" s="835">
        <v>40847</v>
      </c>
      <c r="AK7804" s="831">
        <v>0</v>
      </c>
    </row>
    <row r="7805" spans="2:37">
      <c r="B7805" s="834" t="str">
        <f t="shared" si="321"/>
        <v>|||</v>
      </c>
      <c r="H7805" s="835">
        <f t="shared" si="322"/>
        <v>31</v>
      </c>
      <c r="AF7805" s="831" t="s">
        <v>8464</v>
      </c>
      <c r="AG7805" s="831" t="s">
        <v>2674</v>
      </c>
      <c r="AH7805" s="831" t="s">
        <v>105</v>
      </c>
      <c r="AI7805" s="831">
        <v>0</v>
      </c>
      <c r="AJ7805" s="835">
        <v>40847</v>
      </c>
      <c r="AK7805" s="831">
        <v>137625795</v>
      </c>
    </row>
    <row r="7806" spans="2:37">
      <c r="B7806" s="834" t="str">
        <f t="shared" si="321"/>
        <v>|||</v>
      </c>
      <c r="H7806" s="835">
        <f t="shared" si="322"/>
        <v>31</v>
      </c>
      <c r="AF7806" s="831" t="s">
        <v>8465</v>
      </c>
      <c r="AG7806" s="831" t="s">
        <v>2674</v>
      </c>
      <c r="AH7806" s="831" t="s">
        <v>3049</v>
      </c>
      <c r="AI7806" s="831">
        <v>0</v>
      </c>
      <c r="AJ7806" s="835">
        <v>40847</v>
      </c>
      <c r="AK7806" s="831">
        <v>266525520</v>
      </c>
    </row>
    <row r="7807" spans="2:37">
      <c r="B7807" s="834" t="str">
        <f t="shared" si="321"/>
        <v>|||</v>
      </c>
      <c r="H7807" s="835">
        <f t="shared" si="322"/>
        <v>31</v>
      </c>
      <c r="AF7807" s="831" t="s">
        <v>8466</v>
      </c>
      <c r="AG7807" s="831" t="s">
        <v>2674</v>
      </c>
      <c r="AH7807" s="831" t="s">
        <v>103</v>
      </c>
      <c r="AI7807" s="831">
        <v>0</v>
      </c>
      <c r="AJ7807" s="835">
        <v>40847</v>
      </c>
      <c r="AK7807" s="831">
        <v>128899725</v>
      </c>
    </row>
    <row r="7808" spans="2:37">
      <c r="B7808" s="834" t="str">
        <f t="shared" si="321"/>
        <v>|||</v>
      </c>
      <c r="H7808" s="835">
        <f t="shared" si="322"/>
        <v>31</v>
      </c>
      <c r="AF7808" s="831" t="s">
        <v>8467</v>
      </c>
      <c r="AG7808" s="831" t="s">
        <v>2674</v>
      </c>
      <c r="AH7808" s="831" t="s">
        <v>182</v>
      </c>
      <c r="AI7808" s="831">
        <v>0</v>
      </c>
      <c r="AJ7808" s="835">
        <v>40847</v>
      </c>
      <c r="AK7808" s="831">
        <v>40405236</v>
      </c>
    </row>
    <row r="7809" spans="2:37">
      <c r="B7809" s="834" t="str">
        <f t="shared" si="321"/>
        <v>|||</v>
      </c>
      <c r="H7809" s="835">
        <f t="shared" si="322"/>
        <v>31</v>
      </c>
      <c r="AF7809" s="831" t="s">
        <v>8468</v>
      </c>
      <c r="AG7809" s="831" t="s">
        <v>2674</v>
      </c>
      <c r="AH7809" s="831" t="s">
        <v>6600</v>
      </c>
      <c r="AI7809" s="831">
        <v>0</v>
      </c>
      <c r="AJ7809" s="835">
        <v>40847</v>
      </c>
      <c r="AK7809" s="831">
        <v>0</v>
      </c>
    </row>
    <row r="7810" spans="2:37">
      <c r="B7810" s="834" t="str">
        <f t="shared" si="321"/>
        <v>|||</v>
      </c>
      <c r="H7810" s="835">
        <f t="shared" si="322"/>
        <v>31</v>
      </c>
      <c r="AF7810" s="831" t="s">
        <v>8469</v>
      </c>
      <c r="AG7810" s="831" t="s">
        <v>2674</v>
      </c>
      <c r="AH7810" s="831" t="s">
        <v>6602</v>
      </c>
      <c r="AI7810" s="831">
        <v>0</v>
      </c>
      <c r="AJ7810" s="835">
        <v>40847</v>
      </c>
      <c r="AK7810" s="831">
        <v>15882353</v>
      </c>
    </row>
    <row r="7811" spans="2:37">
      <c r="B7811" s="834" t="str">
        <f t="shared" ref="B7811:B7874" si="323">C7811&amp;"|"&amp;D7811&amp;"|"&amp;E7811&amp;"|"&amp;F7811</f>
        <v>|||</v>
      </c>
      <c r="H7811" s="835">
        <f t="shared" si="322"/>
        <v>31</v>
      </c>
      <c r="AF7811" s="831" t="s">
        <v>8470</v>
      </c>
      <c r="AG7811" s="831" t="s">
        <v>2674</v>
      </c>
      <c r="AH7811" s="831" t="s">
        <v>650</v>
      </c>
      <c r="AI7811" s="831">
        <v>0</v>
      </c>
      <c r="AJ7811" s="835">
        <v>40847</v>
      </c>
      <c r="AK7811" s="831">
        <v>0</v>
      </c>
    </row>
    <row r="7812" spans="2:37">
      <c r="B7812" s="834" t="str">
        <f t="shared" si="323"/>
        <v>|||</v>
      </c>
      <c r="H7812" s="835">
        <f t="shared" ref="H7812:H7875" si="324">EOMONTH(L7812,0)</f>
        <v>31</v>
      </c>
      <c r="AF7812" s="831" t="s">
        <v>8471</v>
      </c>
      <c r="AG7812" s="831" t="s">
        <v>2674</v>
      </c>
      <c r="AH7812" s="831" t="s">
        <v>655</v>
      </c>
      <c r="AI7812" s="831">
        <v>0</v>
      </c>
      <c r="AJ7812" s="835">
        <v>40847</v>
      </c>
      <c r="AK7812" s="831">
        <v>0</v>
      </c>
    </row>
    <row r="7813" spans="2:37">
      <c r="B7813" s="834" t="str">
        <f t="shared" si="323"/>
        <v>|||</v>
      </c>
      <c r="H7813" s="835">
        <f t="shared" si="324"/>
        <v>31</v>
      </c>
      <c r="AF7813" s="831" t="s">
        <v>8472</v>
      </c>
      <c r="AG7813" s="831" t="s">
        <v>2674</v>
      </c>
      <c r="AH7813" s="831" t="s">
        <v>546</v>
      </c>
      <c r="AI7813" s="831">
        <v>0</v>
      </c>
      <c r="AJ7813" s="835">
        <v>40877</v>
      </c>
      <c r="AK7813" s="831">
        <v>289381710</v>
      </c>
    </row>
    <row r="7814" spans="2:37">
      <c r="B7814" s="834" t="str">
        <f t="shared" si="323"/>
        <v>|||</v>
      </c>
      <c r="H7814" s="835">
        <f t="shared" si="324"/>
        <v>31</v>
      </c>
      <c r="AF7814" s="831" t="s">
        <v>8473</v>
      </c>
      <c r="AG7814" s="831" t="s">
        <v>2674</v>
      </c>
      <c r="AH7814" s="831" t="s">
        <v>370</v>
      </c>
      <c r="AI7814" s="831">
        <v>0</v>
      </c>
      <c r="AJ7814" s="835">
        <v>40877</v>
      </c>
      <c r="AK7814" s="831">
        <v>366392838</v>
      </c>
    </row>
    <row r="7815" spans="2:37">
      <c r="B7815" s="834" t="str">
        <f t="shared" si="323"/>
        <v>|||</v>
      </c>
      <c r="H7815" s="835">
        <f t="shared" si="324"/>
        <v>31</v>
      </c>
      <c r="AF7815" s="831" t="s">
        <v>8474</v>
      </c>
      <c r="AG7815" s="831" t="s">
        <v>2674</v>
      </c>
      <c r="AH7815" s="831" t="s">
        <v>126</v>
      </c>
      <c r="AI7815" s="831">
        <v>0</v>
      </c>
      <c r="AJ7815" s="835">
        <v>40877</v>
      </c>
      <c r="AK7815" s="831">
        <v>85239205</v>
      </c>
    </row>
    <row r="7816" spans="2:37">
      <c r="B7816" s="834" t="str">
        <f t="shared" si="323"/>
        <v>|||</v>
      </c>
      <c r="H7816" s="835">
        <f t="shared" si="324"/>
        <v>31</v>
      </c>
      <c r="AF7816" s="831" t="s">
        <v>8475</v>
      </c>
      <c r="AG7816" s="831" t="s">
        <v>2674</v>
      </c>
      <c r="AH7816" s="831" t="s">
        <v>268</v>
      </c>
      <c r="AI7816" s="831">
        <v>0</v>
      </c>
      <c r="AJ7816" s="835">
        <v>40877</v>
      </c>
      <c r="AK7816" s="831">
        <v>17184281</v>
      </c>
    </row>
    <row r="7817" spans="2:37">
      <c r="B7817" s="834" t="str">
        <f t="shared" si="323"/>
        <v>|||</v>
      </c>
      <c r="H7817" s="835">
        <f t="shared" si="324"/>
        <v>31</v>
      </c>
      <c r="AF7817" s="831" t="s">
        <v>8476</v>
      </c>
      <c r="AG7817" s="831" t="s">
        <v>2674</v>
      </c>
      <c r="AH7817" s="831" t="s">
        <v>547</v>
      </c>
      <c r="AI7817" s="831">
        <v>0</v>
      </c>
      <c r="AJ7817" s="835">
        <v>40877</v>
      </c>
      <c r="AK7817" s="831">
        <v>0</v>
      </c>
    </row>
    <row r="7818" spans="2:37">
      <c r="B7818" s="834" t="str">
        <f t="shared" si="323"/>
        <v>|||</v>
      </c>
      <c r="H7818" s="835">
        <f t="shared" si="324"/>
        <v>31</v>
      </c>
      <c r="AF7818" s="831" t="s">
        <v>8477</v>
      </c>
      <c r="AG7818" s="831" t="s">
        <v>2674</v>
      </c>
      <c r="AH7818" s="831" t="s">
        <v>548</v>
      </c>
      <c r="AI7818" s="831">
        <v>0</v>
      </c>
      <c r="AJ7818" s="835">
        <v>40877</v>
      </c>
      <c r="AK7818" s="831">
        <v>0</v>
      </c>
    </row>
    <row r="7819" spans="2:37">
      <c r="B7819" s="834" t="str">
        <f t="shared" si="323"/>
        <v>|||</v>
      </c>
      <c r="H7819" s="835">
        <f t="shared" si="324"/>
        <v>31</v>
      </c>
      <c r="AF7819" s="831" t="s">
        <v>8478</v>
      </c>
      <c r="AG7819" s="831" t="s">
        <v>2674</v>
      </c>
      <c r="AH7819" s="831" t="s">
        <v>549</v>
      </c>
      <c r="AI7819" s="831">
        <v>0</v>
      </c>
      <c r="AJ7819" s="835">
        <v>40877</v>
      </c>
      <c r="AK7819" s="831">
        <v>0</v>
      </c>
    </row>
    <row r="7820" spans="2:37">
      <c r="B7820" s="834" t="str">
        <f t="shared" si="323"/>
        <v>|||</v>
      </c>
      <c r="H7820" s="835">
        <f t="shared" si="324"/>
        <v>31</v>
      </c>
      <c r="AF7820" s="831" t="s">
        <v>8479</v>
      </c>
      <c r="AG7820" s="831" t="s">
        <v>2674</v>
      </c>
      <c r="AH7820" s="831" t="s">
        <v>192</v>
      </c>
      <c r="AI7820" s="831">
        <v>0</v>
      </c>
      <c r="AJ7820" s="835">
        <v>40877</v>
      </c>
      <c r="AK7820" s="831">
        <v>-7771212</v>
      </c>
    </row>
    <row r="7821" spans="2:37">
      <c r="B7821" s="834" t="str">
        <f t="shared" si="323"/>
        <v>|||</v>
      </c>
      <c r="H7821" s="835">
        <f t="shared" si="324"/>
        <v>31</v>
      </c>
      <c r="AF7821" s="831" t="s">
        <v>8480</v>
      </c>
      <c r="AG7821" s="831" t="s">
        <v>2674</v>
      </c>
      <c r="AH7821" s="831" t="s">
        <v>558</v>
      </c>
      <c r="AI7821" s="831">
        <v>0</v>
      </c>
      <c r="AJ7821" s="835">
        <v>40877</v>
      </c>
      <c r="AK7821" s="831">
        <v>281153633</v>
      </c>
    </row>
    <row r="7822" spans="2:37">
      <c r="B7822" s="834" t="str">
        <f t="shared" si="323"/>
        <v>|||</v>
      </c>
      <c r="H7822" s="835">
        <f t="shared" si="324"/>
        <v>31</v>
      </c>
      <c r="AF7822" s="831" t="s">
        <v>8481</v>
      </c>
      <c r="AG7822" s="831" t="s">
        <v>2674</v>
      </c>
      <c r="AH7822" s="831" t="s">
        <v>65</v>
      </c>
      <c r="AI7822" s="831">
        <v>0</v>
      </c>
      <c r="AJ7822" s="835">
        <v>40877</v>
      </c>
      <c r="AK7822" s="831">
        <v>78760599</v>
      </c>
    </row>
    <row r="7823" spans="2:37">
      <c r="B7823" s="834" t="str">
        <f t="shared" si="323"/>
        <v>|||</v>
      </c>
      <c r="H7823" s="835">
        <f t="shared" si="324"/>
        <v>31</v>
      </c>
      <c r="AF7823" s="831" t="s">
        <v>8482</v>
      </c>
      <c r="AG7823" s="831" t="s">
        <v>2674</v>
      </c>
      <c r="AH7823" s="831" t="s">
        <v>89</v>
      </c>
      <c r="AI7823" s="831">
        <v>0</v>
      </c>
      <c r="AJ7823" s="835">
        <v>40877</v>
      </c>
      <c r="AK7823" s="831">
        <v>0</v>
      </c>
    </row>
    <row r="7824" spans="2:37">
      <c r="B7824" s="834" t="str">
        <f t="shared" si="323"/>
        <v>|||</v>
      </c>
      <c r="H7824" s="835">
        <f t="shared" si="324"/>
        <v>31</v>
      </c>
      <c r="AF7824" s="831" t="s">
        <v>8483</v>
      </c>
      <c r="AG7824" s="831" t="s">
        <v>2674</v>
      </c>
      <c r="AH7824" s="831" t="s">
        <v>557</v>
      </c>
      <c r="AI7824" s="831">
        <v>0</v>
      </c>
      <c r="AJ7824" s="835">
        <v>40877</v>
      </c>
      <c r="AK7824" s="831">
        <v>0</v>
      </c>
    </row>
    <row r="7825" spans="2:37">
      <c r="B7825" s="834" t="str">
        <f t="shared" si="323"/>
        <v>|||</v>
      </c>
      <c r="H7825" s="835">
        <f t="shared" si="324"/>
        <v>31</v>
      </c>
      <c r="AF7825" s="831" t="s">
        <v>8484</v>
      </c>
      <c r="AG7825" s="831" t="s">
        <v>2674</v>
      </c>
      <c r="AH7825" s="831" t="s">
        <v>29</v>
      </c>
      <c r="AI7825" s="831">
        <v>0</v>
      </c>
      <c r="AJ7825" s="835">
        <v>40877</v>
      </c>
      <c r="AK7825" s="831">
        <v>0</v>
      </c>
    </row>
    <row r="7826" spans="2:37">
      <c r="B7826" s="834" t="str">
        <f t="shared" si="323"/>
        <v>|||</v>
      </c>
      <c r="H7826" s="835">
        <f t="shared" si="324"/>
        <v>31</v>
      </c>
      <c r="AF7826" s="831" t="s">
        <v>8485</v>
      </c>
      <c r="AG7826" s="831" t="s">
        <v>2674</v>
      </c>
      <c r="AH7826" s="831" t="s">
        <v>2688</v>
      </c>
      <c r="AI7826" s="831">
        <v>0</v>
      </c>
      <c r="AJ7826" s="835">
        <v>40877</v>
      </c>
      <c r="AK7826" s="831">
        <v>0</v>
      </c>
    </row>
    <row r="7827" spans="2:37">
      <c r="B7827" s="834" t="str">
        <f t="shared" si="323"/>
        <v>|||</v>
      </c>
      <c r="H7827" s="835">
        <f t="shared" si="324"/>
        <v>31</v>
      </c>
      <c r="AF7827" s="831" t="s">
        <v>8486</v>
      </c>
      <c r="AG7827" s="831" t="s">
        <v>2674</v>
      </c>
      <c r="AH7827" s="831" t="s">
        <v>556</v>
      </c>
      <c r="AI7827" s="831">
        <v>0</v>
      </c>
      <c r="AJ7827" s="835">
        <v>40877</v>
      </c>
      <c r="AK7827" s="831">
        <v>0</v>
      </c>
    </row>
    <row r="7828" spans="2:37">
      <c r="B7828" s="834" t="str">
        <f t="shared" si="323"/>
        <v>|||</v>
      </c>
      <c r="H7828" s="835">
        <f t="shared" si="324"/>
        <v>31</v>
      </c>
      <c r="AF7828" s="831" t="s">
        <v>8487</v>
      </c>
      <c r="AG7828" s="831" t="s">
        <v>2674</v>
      </c>
      <c r="AH7828" s="831" t="s">
        <v>555</v>
      </c>
      <c r="AI7828" s="831">
        <v>0</v>
      </c>
      <c r="AJ7828" s="835">
        <v>40877</v>
      </c>
      <c r="AK7828" s="831">
        <v>183807570</v>
      </c>
    </row>
    <row r="7829" spans="2:37">
      <c r="B7829" s="834" t="str">
        <f t="shared" si="323"/>
        <v>|||</v>
      </c>
      <c r="H7829" s="835">
        <f t="shared" si="324"/>
        <v>31</v>
      </c>
      <c r="AF7829" s="831" t="s">
        <v>8488</v>
      </c>
      <c r="AG7829" s="831" t="s">
        <v>2674</v>
      </c>
      <c r="AH7829" s="831" t="s">
        <v>554</v>
      </c>
      <c r="AI7829" s="831">
        <v>0</v>
      </c>
      <c r="AJ7829" s="835">
        <v>40877</v>
      </c>
      <c r="AK7829" s="831">
        <v>180162630</v>
      </c>
    </row>
    <row r="7830" spans="2:37">
      <c r="B7830" s="834" t="str">
        <f t="shared" si="323"/>
        <v>|||</v>
      </c>
      <c r="H7830" s="835">
        <f t="shared" si="324"/>
        <v>31</v>
      </c>
      <c r="AF7830" s="831" t="s">
        <v>8489</v>
      </c>
      <c r="AG7830" s="831" t="s">
        <v>2674</v>
      </c>
      <c r="AH7830" s="831" t="s">
        <v>553</v>
      </c>
      <c r="AI7830" s="831">
        <v>0</v>
      </c>
      <c r="AJ7830" s="835">
        <v>40877</v>
      </c>
      <c r="AK7830" s="831">
        <v>0</v>
      </c>
    </row>
    <row r="7831" spans="2:37">
      <c r="B7831" s="834" t="str">
        <f t="shared" si="323"/>
        <v>|||</v>
      </c>
      <c r="H7831" s="835">
        <f t="shared" si="324"/>
        <v>31</v>
      </c>
      <c r="AF7831" s="831" t="s">
        <v>8490</v>
      </c>
      <c r="AG7831" s="831" t="s">
        <v>2674</v>
      </c>
      <c r="AH7831" s="831" t="s">
        <v>552</v>
      </c>
      <c r="AI7831" s="831">
        <v>0</v>
      </c>
      <c r="AJ7831" s="835">
        <v>40877</v>
      </c>
      <c r="AK7831" s="831">
        <v>0</v>
      </c>
    </row>
    <row r="7832" spans="2:37">
      <c r="B7832" s="834" t="str">
        <f t="shared" si="323"/>
        <v>|||</v>
      </c>
      <c r="H7832" s="835">
        <f t="shared" si="324"/>
        <v>31</v>
      </c>
      <c r="AF7832" s="831" t="s">
        <v>8491</v>
      </c>
      <c r="AG7832" s="831" t="s">
        <v>2674</v>
      </c>
      <c r="AH7832" s="831" t="s">
        <v>551</v>
      </c>
      <c r="AI7832" s="831">
        <v>0</v>
      </c>
      <c r="AJ7832" s="835">
        <v>40877</v>
      </c>
      <c r="AK7832" s="831">
        <v>0</v>
      </c>
    </row>
    <row r="7833" spans="2:37">
      <c r="B7833" s="834" t="str">
        <f t="shared" si="323"/>
        <v>|||</v>
      </c>
      <c r="H7833" s="835">
        <f t="shared" si="324"/>
        <v>31</v>
      </c>
      <c r="AF7833" s="831" t="s">
        <v>8492</v>
      </c>
      <c r="AG7833" s="831" t="s">
        <v>2674</v>
      </c>
      <c r="AH7833" s="831" t="s">
        <v>550</v>
      </c>
      <c r="AI7833" s="831">
        <v>0</v>
      </c>
      <c r="AJ7833" s="835">
        <v>40877</v>
      </c>
      <c r="AK7833" s="831">
        <v>83937276</v>
      </c>
    </row>
    <row r="7834" spans="2:37">
      <c r="B7834" s="834" t="str">
        <f t="shared" si="323"/>
        <v>|||</v>
      </c>
      <c r="H7834" s="835">
        <f t="shared" si="324"/>
        <v>31</v>
      </c>
      <c r="AF7834" s="831" t="s">
        <v>8493</v>
      </c>
      <c r="AG7834" s="831" t="s">
        <v>2674</v>
      </c>
      <c r="AH7834" s="831" t="s">
        <v>562</v>
      </c>
      <c r="AI7834" s="831">
        <v>0</v>
      </c>
      <c r="AJ7834" s="835">
        <v>40877</v>
      </c>
      <c r="AK7834" s="831">
        <v>0.78564999999999996</v>
      </c>
    </row>
    <row r="7835" spans="2:37">
      <c r="B7835" s="834" t="str">
        <f t="shared" si="323"/>
        <v>|||</v>
      </c>
      <c r="H7835" s="835">
        <f t="shared" si="324"/>
        <v>31</v>
      </c>
      <c r="AF7835" s="831" t="s">
        <v>8494</v>
      </c>
      <c r="AG7835" s="831" t="s">
        <v>2674</v>
      </c>
      <c r="AH7835" s="831" t="s">
        <v>2698</v>
      </c>
      <c r="AI7835" s="831">
        <v>0</v>
      </c>
      <c r="AJ7835" s="835">
        <v>40877</v>
      </c>
      <c r="AK7835" s="831">
        <v>0.78680000000000005</v>
      </c>
    </row>
    <row r="7836" spans="2:37">
      <c r="B7836" s="834" t="str">
        <f t="shared" si="323"/>
        <v>|||</v>
      </c>
      <c r="H7836" s="835">
        <f t="shared" si="324"/>
        <v>31</v>
      </c>
      <c r="AF7836" s="831" t="s">
        <v>8495</v>
      </c>
      <c r="AG7836" s="831" t="s">
        <v>2674</v>
      </c>
      <c r="AH7836" s="831" t="s">
        <v>560</v>
      </c>
      <c r="AI7836" s="831">
        <v>0</v>
      </c>
      <c r="AJ7836" s="835">
        <v>40877</v>
      </c>
      <c r="AK7836" s="831">
        <v>0.78959545454545399</v>
      </c>
    </row>
    <row r="7837" spans="2:37">
      <c r="B7837" s="834" t="str">
        <f t="shared" si="323"/>
        <v>|||</v>
      </c>
      <c r="H7837" s="835">
        <f t="shared" si="324"/>
        <v>31</v>
      </c>
      <c r="AF7837" s="831" t="s">
        <v>8496</v>
      </c>
      <c r="AG7837" s="831" t="s">
        <v>2674</v>
      </c>
      <c r="AH7837" s="831" t="s">
        <v>559</v>
      </c>
      <c r="AI7837" s="831">
        <v>0</v>
      </c>
      <c r="AJ7837" s="835">
        <v>40877</v>
      </c>
      <c r="AK7837" s="831">
        <v>0.79021249999999998</v>
      </c>
    </row>
    <row r="7838" spans="2:37">
      <c r="B7838" s="834" t="str">
        <f t="shared" si="323"/>
        <v>|||</v>
      </c>
      <c r="H7838" s="835">
        <f t="shared" si="324"/>
        <v>31</v>
      </c>
      <c r="AF7838" s="831" t="s">
        <v>8497</v>
      </c>
      <c r="AG7838" s="831" t="s">
        <v>2674</v>
      </c>
      <c r="AH7838" s="831" t="s">
        <v>568</v>
      </c>
      <c r="AI7838" s="831">
        <v>0</v>
      </c>
      <c r="AJ7838" s="835">
        <v>40877</v>
      </c>
      <c r="AK7838" s="831">
        <v>0</v>
      </c>
    </row>
    <row r="7839" spans="2:37">
      <c r="B7839" s="834" t="str">
        <f t="shared" si="323"/>
        <v>|||</v>
      </c>
      <c r="H7839" s="835">
        <f t="shared" si="324"/>
        <v>31</v>
      </c>
      <c r="AF7839" s="831" t="s">
        <v>8498</v>
      </c>
      <c r="AG7839" s="831" t="s">
        <v>2674</v>
      </c>
      <c r="AH7839" s="831" t="s">
        <v>569</v>
      </c>
      <c r="AI7839" s="831">
        <v>0</v>
      </c>
      <c r="AJ7839" s="835">
        <v>40877</v>
      </c>
      <c r="AK7839" s="831">
        <v>0</v>
      </c>
    </row>
    <row r="7840" spans="2:37">
      <c r="B7840" s="834" t="str">
        <f t="shared" si="323"/>
        <v>|||</v>
      </c>
      <c r="H7840" s="835">
        <f t="shared" si="324"/>
        <v>31</v>
      </c>
      <c r="AF7840" s="831" t="s">
        <v>8499</v>
      </c>
      <c r="AG7840" s="831" t="s">
        <v>2674</v>
      </c>
      <c r="AH7840" s="831" t="s">
        <v>570</v>
      </c>
      <c r="AI7840" s="831">
        <v>0</v>
      </c>
      <c r="AJ7840" s="835">
        <v>40877</v>
      </c>
      <c r="AK7840" s="831">
        <v>0</v>
      </c>
    </row>
    <row r="7841" spans="2:37">
      <c r="B7841" s="834" t="str">
        <f t="shared" si="323"/>
        <v>|||</v>
      </c>
      <c r="H7841" s="835">
        <f t="shared" si="324"/>
        <v>31</v>
      </c>
      <c r="AF7841" s="831" t="s">
        <v>8500</v>
      </c>
      <c r="AG7841" s="831" t="s">
        <v>2674</v>
      </c>
      <c r="AH7841" s="831" t="s">
        <v>571</v>
      </c>
      <c r="AI7841" s="831">
        <v>0</v>
      </c>
      <c r="AJ7841" s="835">
        <v>40877</v>
      </c>
      <c r="AK7841" s="831">
        <v>0</v>
      </c>
    </row>
    <row r="7842" spans="2:37">
      <c r="B7842" s="834" t="str">
        <f t="shared" si="323"/>
        <v>|||</v>
      </c>
      <c r="H7842" s="835">
        <f t="shared" si="324"/>
        <v>31</v>
      </c>
      <c r="AF7842" s="831" t="s">
        <v>8501</v>
      </c>
      <c r="AG7842" s="831" t="s">
        <v>2674</v>
      </c>
      <c r="AH7842" s="831" t="s">
        <v>573</v>
      </c>
      <c r="AI7842" s="831">
        <v>0</v>
      </c>
      <c r="AJ7842" s="835">
        <v>40877</v>
      </c>
      <c r="AK7842" s="831">
        <v>0</v>
      </c>
    </row>
    <row r="7843" spans="2:37">
      <c r="B7843" s="834" t="str">
        <f t="shared" si="323"/>
        <v>|||</v>
      </c>
      <c r="H7843" s="835">
        <f t="shared" si="324"/>
        <v>31</v>
      </c>
      <c r="AF7843" s="831" t="s">
        <v>8502</v>
      </c>
      <c r="AG7843" s="831" t="s">
        <v>2674</v>
      </c>
      <c r="AH7843" s="831" t="s">
        <v>574</v>
      </c>
      <c r="AI7843" s="831">
        <v>0</v>
      </c>
      <c r="AJ7843" s="835">
        <v>40877</v>
      </c>
      <c r="AK7843" s="831">
        <v>0</v>
      </c>
    </row>
    <row r="7844" spans="2:37">
      <c r="B7844" s="834" t="str">
        <f t="shared" si="323"/>
        <v>|||</v>
      </c>
      <c r="H7844" s="835">
        <f t="shared" si="324"/>
        <v>31</v>
      </c>
      <c r="AF7844" s="831" t="s">
        <v>8503</v>
      </c>
      <c r="AG7844" s="831" t="s">
        <v>2674</v>
      </c>
      <c r="AH7844" s="831" t="s">
        <v>575</v>
      </c>
      <c r="AI7844" s="831">
        <v>0</v>
      </c>
      <c r="AJ7844" s="835">
        <v>40877</v>
      </c>
      <c r="AK7844" s="831">
        <v>0</v>
      </c>
    </row>
    <row r="7845" spans="2:37">
      <c r="B7845" s="834" t="str">
        <f t="shared" si="323"/>
        <v>|||</v>
      </c>
      <c r="H7845" s="835">
        <f t="shared" si="324"/>
        <v>31</v>
      </c>
      <c r="AF7845" s="831" t="s">
        <v>8504</v>
      </c>
      <c r="AG7845" s="831" t="s">
        <v>2674</v>
      </c>
      <c r="AH7845" s="831" t="s">
        <v>576</v>
      </c>
      <c r="AI7845" s="831">
        <v>0</v>
      </c>
      <c r="AJ7845" s="835">
        <v>40877</v>
      </c>
      <c r="AK7845" s="831">
        <v>0</v>
      </c>
    </row>
    <row r="7846" spans="2:37">
      <c r="B7846" s="834" t="str">
        <f t="shared" si="323"/>
        <v>|||</v>
      </c>
      <c r="H7846" s="835">
        <f t="shared" si="324"/>
        <v>31</v>
      </c>
      <c r="AF7846" s="831" t="s">
        <v>8505</v>
      </c>
      <c r="AG7846" s="831" t="s">
        <v>2674</v>
      </c>
      <c r="AH7846" s="831" t="s">
        <v>572</v>
      </c>
      <c r="AI7846" s="831">
        <v>0</v>
      </c>
      <c r="AJ7846" s="835">
        <v>40877</v>
      </c>
      <c r="AK7846" s="831">
        <v>0</v>
      </c>
    </row>
    <row r="7847" spans="2:37">
      <c r="B7847" s="834" t="str">
        <f t="shared" si="323"/>
        <v>|||</v>
      </c>
      <c r="H7847" s="835">
        <f t="shared" si="324"/>
        <v>31</v>
      </c>
      <c r="AF7847" s="831" t="s">
        <v>8506</v>
      </c>
      <c r="AG7847" s="831" t="s">
        <v>2674</v>
      </c>
      <c r="AH7847" s="831" t="s">
        <v>577</v>
      </c>
      <c r="AI7847" s="831">
        <v>0</v>
      </c>
      <c r="AJ7847" s="835">
        <v>40877</v>
      </c>
      <c r="AK7847" s="831">
        <v>0</v>
      </c>
    </row>
    <row r="7848" spans="2:37">
      <c r="B7848" s="834" t="str">
        <f t="shared" si="323"/>
        <v>|||</v>
      </c>
      <c r="H7848" s="835">
        <f t="shared" si="324"/>
        <v>31</v>
      </c>
      <c r="AF7848" s="831" t="s">
        <v>8507</v>
      </c>
      <c r="AG7848" s="831" t="s">
        <v>2674</v>
      </c>
      <c r="AH7848" s="831" t="s">
        <v>3042</v>
      </c>
      <c r="AI7848" s="831">
        <v>0</v>
      </c>
      <c r="AJ7848" s="835">
        <v>40877</v>
      </c>
      <c r="AK7848" s="831">
        <v>0</v>
      </c>
    </row>
    <row r="7849" spans="2:37">
      <c r="B7849" s="834" t="str">
        <f t="shared" si="323"/>
        <v>|||</v>
      </c>
      <c r="H7849" s="835">
        <f t="shared" si="324"/>
        <v>31</v>
      </c>
      <c r="AF7849" s="831" t="s">
        <v>8508</v>
      </c>
      <c r="AG7849" s="831" t="s">
        <v>2674</v>
      </c>
      <c r="AH7849" s="831" t="s">
        <v>3044</v>
      </c>
      <c r="AI7849" s="831">
        <v>0</v>
      </c>
      <c r="AJ7849" s="835">
        <v>40877</v>
      </c>
      <c r="AK7849" s="831">
        <v>0</v>
      </c>
    </row>
    <row r="7850" spans="2:37">
      <c r="B7850" s="834" t="str">
        <f t="shared" si="323"/>
        <v>|||</v>
      </c>
      <c r="H7850" s="835">
        <f t="shared" si="324"/>
        <v>31</v>
      </c>
      <c r="AF7850" s="831" t="s">
        <v>8509</v>
      </c>
      <c r="AG7850" s="831" t="s">
        <v>2674</v>
      </c>
      <c r="AH7850" s="831" t="s">
        <v>580</v>
      </c>
      <c r="AI7850" s="831">
        <v>0</v>
      </c>
      <c r="AJ7850" s="835">
        <v>40877</v>
      </c>
      <c r="AK7850" s="831">
        <v>0</v>
      </c>
    </row>
    <row r="7851" spans="2:37">
      <c r="B7851" s="834" t="str">
        <f t="shared" si="323"/>
        <v>|||</v>
      </c>
      <c r="H7851" s="835">
        <f t="shared" si="324"/>
        <v>31</v>
      </c>
      <c r="AF7851" s="831" t="s">
        <v>8510</v>
      </c>
      <c r="AG7851" s="831" t="s">
        <v>2674</v>
      </c>
      <c r="AH7851" s="831" t="s">
        <v>581</v>
      </c>
      <c r="AI7851" s="831">
        <v>0</v>
      </c>
      <c r="AJ7851" s="835">
        <v>40877</v>
      </c>
      <c r="AK7851" s="831">
        <v>0</v>
      </c>
    </row>
    <row r="7852" spans="2:37">
      <c r="B7852" s="834" t="str">
        <f t="shared" si="323"/>
        <v>|||</v>
      </c>
      <c r="H7852" s="835">
        <f t="shared" si="324"/>
        <v>31</v>
      </c>
      <c r="AF7852" s="831" t="s">
        <v>8511</v>
      </c>
      <c r="AG7852" s="831" t="s">
        <v>2674</v>
      </c>
      <c r="AH7852" s="831" t="s">
        <v>105</v>
      </c>
      <c r="AI7852" s="831">
        <v>0</v>
      </c>
      <c r="AJ7852" s="835">
        <v>40877</v>
      </c>
      <c r="AK7852" s="831">
        <v>142027924</v>
      </c>
    </row>
    <row r="7853" spans="2:37">
      <c r="B7853" s="834" t="str">
        <f t="shared" si="323"/>
        <v>|||</v>
      </c>
      <c r="H7853" s="835">
        <f t="shared" si="324"/>
        <v>31</v>
      </c>
      <c r="AF7853" s="831" t="s">
        <v>8512</v>
      </c>
      <c r="AG7853" s="831" t="s">
        <v>2674</v>
      </c>
      <c r="AH7853" s="831" t="s">
        <v>3049</v>
      </c>
      <c r="AI7853" s="831">
        <v>0</v>
      </c>
      <c r="AJ7853" s="835">
        <v>40877</v>
      </c>
      <c r="AK7853" s="831">
        <v>270611958</v>
      </c>
    </row>
    <row r="7854" spans="2:37">
      <c r="B7854" s="834" t="str">
        <f t="shared" si="323"/>
        <v>|||</v>
      </c>
      <c r="H7854" s="835">
        <f t="shared" si="324"/>
        <v>31</v>
      </c>
      <c r="AF7854" s="831" t="s">
        <v>8513</v>
      </c>
      <c r="AG7854" s="831" t="s">
        <v>2674</v>
      </c>
      <c r="AH7854" s="831" t="s">
        <v>103</v>
      </c>
      <c r="AI7854" s="831">
        <v>0</v>
      </c>
      <c r="AJ7854" s="835">
        <v>40877</v>
      </c>
      <c r="AK7854" s="831">
        <v>128584034</v>
      </c>
    </row>
    <row r="7855" spans="2:37">
      <c r="B7855" s="834" t="str">
        <f t="shared" si="323"/>
        <v>|||</v>
      </c>
      <c r="H7855" s="835">
        <f t="shared" si="324"/>
        <v>31</v>
      </c>
      <c r="AF7855" s="831" t="s">
        <v>8514</v>
      </c>
      <c r="AG7855" s="831" t="s">
        <v>2674</v>
      </c>
      <c r="AH7855" s="831" t="s">
        <v>182</v>
      </c>
      <c r="AI7855" s="831">
        <v>0</v>
      </c>
      <c r="AJ7855" s="835">
        <v>40877</v>
      </c>
      <c r="AK7855" s="831">
        <v>40885193.454545498</v>
      </c>
    </row>
    <row r="7856" spans="2:37">
      <c r="B7856" s="834" t="str">
        <f t="shared" si="323"/>
        <v>|||</v>
      </c>
      <c r="H7856" s="835">
        <f t="shared" si="324"/>
        <v>31</v>
      </c>
      <c r="AF7856" s="831" t="s">
        <v>8515</v>
      </c>
      <c r="AG7856" s="831" t="s">
        <v>2674</v>
      </c>
      <c r="AH7856" s="831" t="s">
        <v>6600</v>
      </c>
      <c r="AI7856" s="831">
        <v>0</v>
      </c>
      <c r="AJ7856" s="835">
        <v>40877</v>
      </c>
      <c r="AK7856" s="831">
        <v>0</v>
      </c>
    </row>
    <row r="7857" spans="2:37">
      <c r="B7857" s="834" t="str">
        <f t="shared" si="323"/>
        <v>|||</v>
      </c>
      <c r="H7857" s="835">
        <f t="shared" si="324"/>
        <v>31</v>
      </c>
      <c r="AF7857" s="831" t="s">
        <v>8516</v>
      </c>
      <c r="AG7857" s="831" t="s">
        <v>2674</v>
      </c>
      <c r="AH7857" s="831" t="s">
        <v>6602</v>
      </c>
      <c r="AI7857" s="831">
        <v>0</v>
      </c>
      <c r="AJ7857" s="835">
        <v>40877</v>
      </c>
      <c r="AK7857" s="831">
        <v>17184281</v>
      </c>
    </row>
    <row r="7858" spans="2:37">
      <c r="B7858" s="834" t="str">
        <f t="shared" si="323"/>
        <v>|||</v>
      </c>
      <c r="H7858" s="835">
        <f t="shared" si="324"/>
        <v>31</v>
      </c>
      <c r="AF7858" s="831" t="s">
        <v>8517</v>
      </c>
      <c r="AG7858" s="831" t="s">
        <v>2674</v>
      </c>
      <c r="AH7858" s="831" t="s">
        <v>650</v>
      </c>
      <c r="AI7858" s="831">
        <v>0</v>
      </c>
      <c r="AJ7858" s="835">
        <v>40877</v>
      </c>
      <c r="AK7858" s="831">
        <v>0</v>
      </c>
    </row>
    <row r="7859" spans="2:37">
      <c r="B7859" s="834" t="str">
        <f t="shared" si="323"/>
        <v>|||</v>
      </c>
      <c r="H7859" s="835">
        <f t="shared" si="324"/>
        <v>31</v>
      </c>
      <c r="AF7859" s="831" t="s">
        <v>8518</v>
      </c>
      <c r="AG7859" s="831" t="s">
        <v>2674</v>
      </c>
      <c r="AH7859" s="831" t="s">
        <v>655</v>
      </c>
      <c r="AI7859" s="831">
        <v>0</v>
      </c>
      <c r="AJ7859" s="835">
        <v>40877</v>
      </c>
      <c r="AK7859" s="831">
        <v>0</v>
      </c>
    </row>
    <row r="7860" spans="2:37">
      <c r="B7860" s="834" t="str">
        <f t="shared" si="323"/>
        <v>|||</v>
      </c>
      <c r="H7860" s="835">
        <f t="shared" si="324"/>
        <v>31</v>
      </c>
      <c r="AF7860" s="831" t="s">
        <v>8519</v>
      </c>
      <c r="AG7860" s="831" t="s">
        <v>2674</v>
      </c>
      <c r="AH7860" s="831" t="s">
        <v>546</v>
      </c>
      <c r="AI7860" s="831">
        <v>0</v>
      </c>
      <c r="AJ7860" s="835">
        <v>40908</v>
      </c>
      <c r="AK7860" s="831">
        <v>297355050</v>
      </c>
    </row>
    <row r="7861" spans="2:37">
      <c r="B7861" s="834" t="str">
        <f t="shared" si="323"/>
        <v>|||</v>
      </c>
      <c r="H7861" s="835">
        <f t="shared" si="324"/>
        <v>31</v>
      </c>
      <c r="AF7861" s="831" t="s">
        <v>8520</v>
      </c>
      <c r="AG7861" s="831" t="s">
        <v>2674</v>
      </c>
      <c r="AH7861" s="831" t="s">
        <v>370</v>
      </c>
      <c r="AI7861" s="831">
        <v>0</v>
      </c>
      <c r="AJ7861" s="835">
        <v>40908</v>
      </c>
      <c r="AK7861" s="831">
        <v>383566617</v>
      </c>
    </row>
    <row r="7862" spans="2:37">
      <c r="B7862" s="834" t="str">
        <f t="shared" si="323"/>
        <v>|||</v>
      </c>
      <c r="H7862" s="835">
        <f t="shared" si="324"/>
        <v>31</v>
      </c>
      <c r="AF7862" s="831" t="s">
        <v>8521</v>
      </c>
      <c r="AG7862" s="831" t="s">
        <v>2674</v>
      </c>
      <c r="AH7862" s="831" t="s">
        <v>126</v>
      </c>
      <c r="AI7862" s="831">
        <v>0</v>
      </c>
      <c r="AJ7862" s="835">
        <v>40908</v>
      </c>
      <c r="AK7862" s="831">
        <v>85587715</v>
      </c>
    </row>
    <row r="7863" spans="2:37">
      <c r="B7863" s="834" t="str">
        <f t="shared" si="323"/>
        <v>|||</v>
      </c>
      <c r="H7863" s="835">
        <f t="shared" si="324"/>
        <v>31</v>
      </c>
      <c r="AF7863" s="831" t="s">
        <v>8522</v>
      </c>
      <c r="AG7863" s="831" t="s">
        <v>2674</v>
      </c>
      <c r="AH7863" s="831" t="s">
        <v>268</v>
      </c>
      <c r="AI7863" s="831">
        <v>0</v>
      </c>
      <c r="AJ7863" s="835">
        <v>40908</v>
      </c>
      <c r="AK7863" s="831">
        <v>17532791</v>
      </c>
    </row>
    <row r="7864" spans="2:37">
      <c r="B7864" s="834" t="str">
        <f t="shared" si="323"/>
        <v>|||</v>
      </c>
      <c r="H7864" s="835">
        <f t="shared" si="324"/>
        <v>31</v>
      </c>
      <c r="AF7864" s="831" t="s">
        <v>8523</v>
      </c>
      <c r="AG7864" s="831" t="s">
        <v>2674</v>
      </c>
      <c r="AH7864" s="831" t="s">
        <v>547</v>
      </c>
      <c r="AI7864" s="831">
        <v>0</v>
      </c>
      <c r="AJ7864" s="835">
        <v>40908</v>
      </c>
      <c r="AK7864" s="831">
        <v>0</v>
      </c>
    </row>
    <row r="7865" spans="2:37">
      <c r="B7865" s="834" t="str">
        <f t="shared" si="323"/>
        <v>|||</v>
      </c>
      <c r="H7865" s="835">
        <f t="shared" si="324"/>
        <v>31</v>
      </c>
      <c r="AF7865" s="831" t="s">
        <v>8524</v>
      </c>
      <c r="AG7865" s="831" t="s">
        <v>2674</v>
      </c>
      <c r="AH7865" s="831" t="s">
        <v>548</v>
      </c>
      <c r="AI7865" s="831">
        <v>0</v>
      </c>
      <c r="AJ7865" s="835">
        <v>40908</v>
      </c>
      <c r="AK7865" s="831">
        <v>0</v>
      </c>
    </row>
    <row r="7866" spans="2:37">
      <c r="B7866" s="834" t="str">
        <f t="shared" si="323"/>
        <v>|||</v>
      </c>
      <c r="H7866" s="835">
        <f t="shared" si="324"/>
        <v>31</v>
      </c>
      <c r="AF7866" s="831" t="s">
        <v>8525</v>
      </c>
      <c r="AG7866" s="831" t="s">
        <v>2674</v>
      </c>
      <c r="AH7866" s="831" t="s">
        <v>549</v>
      </c>
      <c r="AI7866" s="831">
        <v>0</v>
      </c>
      <c r="AJ7866" s="835">
        <v>40908</v>
      </c>
      <c r="AK7866" s="831">
        <v>0</v>
      </c>
    </row>
    <row r="7867" spans="2:37">
      <c r="B7867" s="834" t="str">
        <f t="shared" si="323"/>
        <v>|||</v>
      </c>
      <c r="H7867" s="835">
        <f t="shared" si="324"/>
        <v>31</v>
      </c>
      <c r="AF7867" s="831" t="s">
        <v>8526</v>
      </c>
      <c r="AG7867" s="831" t="s">
        <v>2674</v>
      </c>
      <c r="AH7867" s="831" t="s">
        <v>192</v>
      </c>
      <c r="AI7867" s="831">
        <v>0</v>
      </c>
      <c r="AJ7867" s="835">
        <v>40908</v>
      </c>
      <c r="AK7867" s="831">
        <v>-7815947</v>
      </c>
    </row>
    <row r="7868" spans="2:37">
      <c r="B7868" s="834" t="str">
        <f t="shared" si="323"/>
        <v>|||</v>
      </c>
      <c r="H7868" s="835">
        <f t="shared" si="324"/>
        <v>31</v>
      </c>
      <c r="AF7868" s="831" t="s">
        <v>8527</v>
      </c>
      <c r="AG7868" s="831" t="s">
        <v>2674</v>
      </c>
      <c r="AH7868" s="831" t="s">
        <v>558</v>
      </c>
      <c r="AI7868" s="831">
        <v>0</v>
      </c>
      <c r="AJ7868" s="835">
        <v>40908</v>
      </c>
      <c r="AK7868" s="831">
        <v>297978902</v>
      </c>
    </row>
    <row r="7869" spans="2:37">
      <c r="B7869" s="834" t="str">
        <f t="shared" si="323"/>
        <v>|||</v>
      </c>
      <c r="H7869" s="835">
        <f t="shared" si="324"/>
        <v>31</v>
      </c>
      <c r="AF7869" s="831" t="s">
        <v>8528</v>
      </c>
      <c r="AG7869" s="831" t="s">
        <v>2674</v>
      </c>
      <c r="AH7869" s="831" t="s">
        <v>65</v>
      </c>
      <c r="AI7869" s="831">
        <v>0</v>
      </c>
      <c r="AJ7869" s="835">
        <v>40908</v>
      </c>
      <c r="AK7869" s="831">
        <v>86309557</v>
      </c>
    </row>
    <row r="7870" spans="2:37">
      <c r="B7870" s="834" t="str">
        <f t="shared" si="323"/>
        <v>|||</v>
      </c>
      <c r="H7870" s="835">
        <f t="shared" si="324"/>
        <v>31</v>
      </c>
      <c r="AF7870" s="831" t="s">
        <v>8529</v>
      </c>
      <c r="AG7870" s="831" t="s">
        <v>2674</v>
      </c>
      <c r="AH7870" s="831" t="s">
        <v>89</v>
      </c>
      <c r="AI7870" s="831">
        <v>0</v>
      </c>
      <c r="AJ7870" s="835">
        <v>40908</v>
      </c>
      <c r="AK7870" s="831">
        <v>0</v>
      </c>
    </row>
    <row r="7871" spans="2:37">
      <c r="B7871" s="834" t="str">
        <f t="shared" si="323"/>
        <v>|||</v>
      </c>
      <c r="H7871" s="835">
        <f t="shared" si="324"/>
        <v>31</v>
      </c>
      <c r="AF7871" s="831" t="s">
        <v>8530</v>
      </c>
      <c r="AG7871" s="831" t="s">
        <v>2674</v>
      </c>
      <c r="AH7871" s="831" t="s">
        <v>557</v>
      </c>
      <c r="AI7871" s="831">
        <v>0</v>
      </c>
      <c r="AJ7871" s="835">
        <v>40908</v>
      </c>
      <c r="AK7871" s="831">
        <v>0</v>
      </c>
    </row>
    <row r="7872" spans="2:37">
      <c r="B7872" s="834" t="str">
        <f t="shared" si="323"/>
        <v>|||</v>
      </c>
      <c r="H7872" s="835">
        <f t="shared" si="324"/>
        <v>31</v>
      </c>
      <c r="AF7872" s="831" t="s">
        <v>8531</v>
      </c>
      <c r="AG7872" s="831" t="s">
        <v>2674</v>
      </c>
      <c r="AH7872" s="831" t="s">
        <v>29</v>
      </c>
      <c r="AI7872" s="831">
        <v>0</v>
      </c>
      <c r="AJ7872" s="835">
        <v>40908</v>
      </c>
      <c r="AK7872" s="831">
        <v>0</v>
      </c>
    </row>
    <row r="7873" spans="2:37">
      <c r="B7873" s="834" t="str">
        <f t="shared" si="323"/>
        <v>|||</v>
      </c>
      <c r="H7873" s="835">
        <f t="shared" si="324"/>
        <v>31</v>
      </c>
      <c r="AF7873" s="831" t="s">
        <v>8532</v>
      </c>
      <c r="AG7873" s="831" t="s">
        <v>2674</v>
      </c>
      <c r="AH7873" s="831" t="s">
        <v>2688</v>
      </c>
      <c r="AI7873" s="831">
        <v>0</v>
      </c>
      <c r="AJ7873" s="835">
        <v>40908</v>
      </c>
      <c r="AK7873" s="831">
        <v>0</v>
      </c>
    </row>
    <row r="7874" spans="2:37">
      <c r="B7874" s="834" t="str">
        <f t="shared" si="323"/>
        <v>|||</v>
      </c>
      <c r="H7874" s="835">
        <f t="shared" si="324"/>
        <v>31</v>
      </c>
      <c r="AF7874" s="831" t="s">
        <v>8533</v>
      </c>
      <c r="AG7874" s="831" t="s">
        <v>2674</v>
      </c>
      <c r="AH7874" s="831" t="s">
        <v>556</v>
      </c>
      <c r="AI7874" s="831">
        <v>0</v>
      </c>
      <c r="AJ7874" s="835">
        <v>40908</v>
      </c>
      <c r="AK7874" s="831">
        <v>0</v>
      </c>
    </row>
    <row r="7875" spans="2:37">
      <c r="B7875" s="834" t="str">
        <f t="shared" ref="B7875:B7938" si="325">C7875&amp;"|"&amp;D7875&amp;"|"&amp;E7875&amp;"|"&amp;F7875</f>
        <v>|||</v>
      </c>
      <c r="H7875" s="835">
        <f t="shared" si="324"/>
        <v>31</v>
      </c>
      <c r="AF7875" s="831" t="s">
        <v>8534</v>
      </c>
      <c r="AG7875" s="831" t="s">
        <v>2674</v>
      </c>
      <c r="AH7875" s="831" t="s">
        <v>555</v>
      </c>
      <c r="AI7875" s="831">
        <v>0</v>
      </c>
      <c r="AJ7875" s="835">
        <v>40908</v>
      </c>
      <c r="AK7875" s="831">
        <v>187553350</v>
      </c>
    </row>
    <row r="7876" spans="2:37">
      <c r="B7876" s="834" t="str">
        <f t="shared" si="325"/>
        <v>|||</v>
      </c>
      <c r="H7876" s="835">
        <f t="shared" ref="H7876:H7939" si="326">EOMONTH(L7876,0)</f>
        <v>31</v>
      </c>
      <c r="AF7876" s="831" t="s">
        <v>8535</v>
      </c>
      <c r="AG7876" s="831" t="s">
        <v>2674</v>
      </c>
      <c r="AH7876" s="831" t="s">
        <v>554</v>
      </c>
      <c r="AI7876" s="831">
        <v>0</v>
      </c>
      <c r="AJ7876" s="835">
        <v>40908</v>
      </c>
      <c r="AK7876" s="831">
        <v>179960240</v>
      </c>
    </row>
    <row r="7877" spans="2:37">
      <c r="B7877" s="834" t="str">
        <f t="shared" si="325"/>
        <v>|||</v>
      </c>
      <c r="H7877" s="835">
        <f t="shared" si="326"/>
        <v>31</v>
      </c>
      <c r="AF7877" s="831" t="s">
        <v>8536</v>
      </c>
      <c r="AG7877" s="831" t="s">
        <v>2674</v>
      </c>
      <c r="AH7877" s="831" t="s">
        <v>553</v>
      </c>
      <c r="AI7877" s="831">
        <v>0</v>
      </c>
      <c r="AJ7877" s="835">
        <v>40908</v>
      </c>
      <c r="AK7877" s="831">
        <v>0</v>
      </c>
    </row>
    <row r="7878" spans="2:37">
      <c r="B7878" s="834" t="str">
        <f t="shared" si="325"/>
        <v>|||</v>
      </c>
      <c r="H7878" s="835">
        <f t="shared" si="326"/>
        <v>31</v>
      </c>
      <c r="AF7878" s="831" t="s">
        <v>8537</v>
      </c>
      <c r="AG7878" s="831" t="s">
        <v>2674</v>
      </c>
      <c r="AH7878" s="831" t="s">
        <v>552</v>
      </c>
      <c r="AI7878" s="831">
        <v>0</v>
      </c>
      <c r="AJ7878" s="835">
        <v>40908</v>
      </c>
      <c r="AK7878" s="831">
        <v>0</v>
      </c>
    </row>
    <row r="7879" spans="2:37">
      <c r="B7879" s="834" t="str">
        <f t="shared" si="325"/>
        <v>|||</v>
      </c>
      <c r="H7879" s="835">
        <f t="shared" si="326"/>
        <v>31</v>
      </c>
      <c r="AF7879" s="831" t="s">
        <v>8538</v>
      </c>
      <c r="AG7879" s="831" t="s">
        <v>2674</v>
      </c>
      <c r="AH7879" s="831" t="s">
        <v>551</v>
      </c>
      <c r="AI7879" s="831">
        <v>0</v>
      </c>
      <c r="AJ7879" s="835">
        <v>40908</v>
      </c>
      <c r="AK7879" s="831">
        <v>0</v>
      </c>
    </row>
    <row r="7880" spans="2:37">
      <c r="B7880" s="834" t="str">
        <f t="shared" si="325"/>
        <v>|||</v>
      </c>
      <c r="H7880" s="835">
        <f t="shared" si="326"/>
        <v>31</v>
      </c>
      <c r="AF7880" s="831" t="s">
        <v>8539</v>
      </c>
      <c r="AG7880" s="831" t="s">
        <v>2674</v>
      </c>
      <c r="AH7880" s="831" t="s">
        <v>550</v>
      </c>
      <c r="AI7880" s="831">
        <v>0</v>
      </c>
      <c r="AJ7880" s="835">
        <v>40908</v>
      </c>
      <c r="AK7880" s="831">
        <v>0</v>
      </c>
    </row>
    <row r="7881" spans="2:37">
      <c r="B7881" s="834" t="str">
        <f t="shared" si="325"/>
        <v>|||</v>
      </c>
      <c r="H7881" s="835">
        <f t="shared" si="326"/>
        <v>31</v>
      </c>
      <c r="AF7881" s="831" t="s">
        <v>8540</v>
      </c>
      <c r="AG7881" s="831" t="s">
        <v>2674</v>
      </c>
      <c r="AH7881" s="831" t="s">
        <v>562</v>
      </c>
      <c r="AI7881" s="831">
        <v>0</v>
      </c>
      <c r="AJ7881" s="835">
        <v>40908</v>
      </c>
      <c r="AK7881" s="831">
        <v>0.78625</v>
      </c>
    </row>
    <row r="7882" spans="2:37">
      <c r="B7882" s="834" t="str">
        <f t="shared" si="325"/>
        <v>|||</v>
      </c>
      <c r="H7882" s="835">
        <f t="shared" si="326"/>
        <v>31</v>
      </c>
      <c r="AF7882" s="831" t="s">
        <v>8541</v>
      </c>
      <c r="AG7882" s="831" t="s">
        <v>2674</v>
      </c>
      <c r="AH7882" s="831" t="s">
        <v>2698</v>
      </c>
      <c r="AI7882" s="831">
        <v>0</v>
      </c>
      <c r="AJ7882" s="835">
        <v>40908</v>
      </c>
      <c r="AK7882" s="831">
        <v>0.78564999999999996</v>
      </c>
    </row>
    <row r="7883" spans="2:37">
      <c r="B7883" s="834" t="str">
        <f t="shared" si="325"/>
        <v>|||</v>
      </c>
      <c r="H7883" s="835">
        <f t="shared" si="326"/>
        <v>31</v>
      </c>
      <c r="AF7883" s="831" t="s">
        <v>8542</v>
      </c>
      <c r="AG7883" s="831" t="s">
        <v>2674</v>
      </c>
      <c r="AH7883" s="831" t="s">
        <v>560</v>
      </c>
      <c r="AI7883" s="831">
        <v>0</v>
      </c>
      <c r="AJ7883" s="835">
        <v>40908</v>
      </c>
      <c r="AK7883" s="831">
        <v>0.789316666666667</v>
      </c>
    </row>
    <row r="7884" spans="2:37">
      <c r="B7884" s="834" t="str">
        <f t="shared" si="325"/>
        <v>|||</v>
      </c>
      <c r="H7884" s="835">
        <f t="shared" si="326"/>
        <v>31</v>
      </c>
      <c r="AF7884" s="831" t="s">
        <v>8543</v>
      </c>
      <c r="AG7884" s="831" t="s">
        <v>2674</v>
      </c>
      <c r="AH7884" s="831" t="s">
        <v>559</v>
      </c>
      <c r="AI7884" s="831">
        <v>0</v>
      </c>
      <c r="AJ7884" s="835">
        <v>40908</v>
      </c>
      <c r="AK7884" s="831">
        <v>0.789316666666667</v>
      </c>
    </row>
    <row r="7885" spans="2:37">
      <c r="B7885" s="834" t="str">
        <f t="shared" si="325"/>
        <v>|||</v>
      </c>
      <c r="H7885" s="835">
        <f t="shared" si="326"/>
        <v>31</v>
      </c>
      <c r="AF7885" s="831" t="s">
        <v>8544</v>
      </c>
      <c r="AG7885" s="831" t="s">
        <v>2674</v>
      </c>
      <c r="AH7885" s="831" t="s">
        <v>568</v>
      </c>
      <c r="AI7885" s="831">
        <v>0</v>
      </c>
      <c r="AJ7885" s="835">
        <v>40908</v>
      </c>
      <c r="AK7885" s="831">
        <v>0</v>
      </c>
    </row>
    <row r="7886" spans="2:37">
      <c r="B7886" s="834" t="str">
        <f t="shared" si="325"/>
        <v>|||</v>
      </c>
      <c r="H7886" s="835">
        <f t="shared" si="326"/>
        <v>31</v>
      </c>
      <c r="AF7886" s="831" t="s">
        <v>8545</v>
      </c>
      <c r="AG7886" s="831" t="s">
        <v>2674</v>
      </c>
      <c r="AH7886" s="831" t="s">
        <v>569</v>
      </c>
      <c r="AI7886" s="831">
        <v>0</v>
      </c>
      <c r="AJ7886" s="835">
        <v>40908</v>
      </c>
      <c r="AK7886" s="831">
        <v>0</v>
      </c>
    </row>
    <row r="7887" spans="2:37">
      <c r="B7887" s="834" t="str">
        <f t="shared" si="325"/>
        <v>|||</v>
      </c>
      <c r="H7887" s="835">
        <f t="shared" si="326"/>
        <v>31</v>
      </c>
      <c r="AF7887" s="831" t="s">
        <v>8546</v>
      </c>
      <c r="AG7887" s="831" t="s">
        <v>2674</v>
      </c>
      <c r="AH7887" s="831" t="s">
        <v>570</v>
      </c>
      <c r="AI7887" s="831">
        <v>0</v>
      </c>
      <c r="AJ7887" s="835">
        <v>40908</v>
      </c>
      <c r="AK7887" s="831">
        <v>0</v>
      </c>
    </row>
    <row r="7888" spans="2:37">
      <c r="B7888" s="834" t="str">
        <f t="shared" si="325"/>
        <v>|||</v>
      </c>
      <c r="H7888" s="835">
        <f t="shared" si="326"/>
        <v>31</v>
      </c>
      <c r="AF7888" s="831" t="s">
        <v>8547</v>
      </c>
      <c r="AG7888" s="831" t="s">
        <v>2674</v>
      </c>
      <c r="AH7888" s="831" t="s">
        <v>571</v>
      </c>
      <c r="AI7888" s="831">
        <v>0</v>
      </c>
      <c r="AJ7888" s="835">
        <v>40908</v>
      </c>
      <c r="AK7888" s="831">
        <v>0</v>
      </c>
    </row>
    <row r="7889" spans="2:37">
      <c r="B7889" s="834" t="str">
        <f t="shared" si="325"/>
        <v>|||</v>
      </c>
      <c r="H7889" s="835">
        <f t="shared" si="326"/>
        <v>31</v>
      </c>
      <c r="AF7889" s="831" t="s">
        <v>8548</v>
      </c>
      <c r="AG7889" s="831" t="s">
        <v>2674</v>
      </c>
      <c r="AH7889" s="831" t="s">
        <v>573</v>
      </c>
      <c r="AI7889" s="831">
        <v>0</v>
      </c>
      <c r="AJ7889" s="835">
        <v>40908</v>
      </c>
      <c r="AK7889" s="831">
        <v>0</v>
      </c>
    </row>
    <row r="7890" spans="2:37">
      <c r="B7890" s="834" t="str">
        <f t="shared" si="325"/>
        <v>|||</v>
      </c>
      <c r="H7890" s="835">
        <f t="shared" si="326"/>
        <v>31</v>
      </c>
      <c r="AF7890" s="831" t="s">
        <v>8549</v>
      </c>
      <c r="AG7890" s="831" t="s">
        <v>2674</v>
      </c>
      <c r="AH7890" s="831" t="s">
        <v>574</v>
      </c>
      <c r="AI7890" s="831">
        <v>0</v>
      </c>
      <c r="AJ7890" s="835">
        <v>40908</v>
      </c>
      <c r="AK7890" s="831">
        <v>0</v>
      </c>
    </row>
    <row r="7891" spans="2:37">
      <c r="B7891" s="834" t="str">
        <f t="shared" si="325"/>
        <v>|||</v>
      </c>
      <c r="H7891" s="835">
        <f t="shared" si="326"/>
        <v>31</v>
      </c>
      <c r="AF7891" s="831" t="s">
        <v>8550</v>
      </c>
      <c r="AG7891" s="831" t="s">
        <v>2674</v>
      </c>
      <c r="AH7891" s="831" t="s">
        <v>575</v>
      </c>
      <c r="AI7891" s="831">
        <v>0</v>
      </c>
      <c r="AJ7891" s="835">
        <v>40908</v>
      </c>
      <c r="AK7891" s="831">
        <v>0</v>
      </c>
    </row>
    <row r="7892" spans="2:37">
      <c r="B7892" s="834" t="str">
        <f t="shared" si="325"/>
        <v>|||</v>
      </c>
      <c r="H7892" s="835">
        <f t="shared" si="326"/>
        <v>31</v>
      </c>
      <c r="AF7892" s="831" t="s">
        <v>8551</v>
      </c>
      <c r="AG7892" s="831" t="s">
        <v>2674</v>
      </c>
      <c r="AH7892" s="831" t="s">
        <v>576</v>
      </c>
      <c r="AI7892" s="831">
        <v>0</v>
      </c>
      <c r="AJ7892" s="835">
        <v>40908</v>
      </c>
      <c r="AK7892" s="831">
        <v>0</v>
      </c>
    </row>
    <row r="7893" spans="2:37">
      <c r="B7893" s="834" t="str">
        <f t="shared" si="325"/>
        <v>|||</v>
      </c>
      <c r="H7893" s="835">
        <f t="shared" si="326"/>
        <v>31</v>
      </c>
      <c r="AF7893" s="831" t="s">
        <v>8552</v>
      </c>
      <c r="AG7893" s="831" t="s">
        <v>2674</v>
      </c>
      <c r="AH7893" s="831" t="s">
        <v>572</v>
      </c>
      <c r="AI7893" s="831">
        <v>0</v>
      </c>
      <c r="AJ7893" s="835">
        <v>40908</v>
      </c>
      <c r="AK7893" s="831">
        <v>0</v>
      </c>
    </row>
    <row r="7894" spans="2:37">
      <c r="B7894" s="834" t="str">
        <f t="shared" si="325"/>
        <v>|||</v>
      </c>
      <c r="H7894" s="835">
        <f t="shared" si="326"/>
        <v>31</v>
      </c>
      <c r="AF7894" s="831" t="s">
        <v>8553</v>
      </c>
      <c r="AG7894" s="831" t="s">
        <v>2674</v>
      </c>
      <c r="AH7894" s="831" t="s">
        <v>577</v>
      </c>
      <c r="AI7894" s="831">
        <v>0</v>
      </c>
      <c r="AJ7894" s="835">
        <v>40908</v>
      </c>
      <c r="AK7894" s="831">
        <v>0</v>
      </c>
    </row>
    <row r="7895" spans="2:37">
      <c r="B7895" s="834" t="str">
        <f t="shared" si="325"/>
        <v>|||</v>
      </c>
      <c r="H7895" s="835">
        <f t="shared" si="326"/>
        <v>31</v>
      </c>
      <c r="AF7895" s="831" t="s">
        <v>8554</v>
      </c>
      <c r="AG7895" s="831" t="s">
        <v>2674</v>
      </c>
      <c r="AH7895" s="831" t="s">
        <v>3042</v>
      </c>
      <c r="AI7895" s="831">
        <v>0</v>
      </c>
      <c r="AJ7895" s="835">
        <v>40908</v>
      </c>
      <c r="AK7895" s="831">
        <v>0</v>
      </c>
    </row>
    <row r="7896" spans="2:37">
      <c r="B7896" s="834" t="str">
        <f t="shared" si="325"/>
        <v>|||</v>
      </c>
      <c r="H7896" s="835">
        <f t="shared" si="326"/>
        <v>31</v>
      </c>
      <c r="AF7896" s="831" t="s">
        <v>8555</v>
      </c>
      <c r="AG7896" s="831" t="s">
        <v>2674</v>
      </c>
      <c r="AH7896" s="831" t="s">
        <v>3044</v>
      </c>
      <c r="AI7896" s="831">
        <v>0</v>
      </c>
      <c r="AJ7896" s="835">
        <v>40908</v>
      </c>
      <c r="AK7896" s="831">
        <v>0</v>
      </c>
    </row>
    <row r="7897" spans="2:37">
      <c r="B7897" s="834" t="str">
        <f t="shared" si="325"/>
        <v>|||</v>
      </c>
      <c r="H7897" s="835">
        <f t="shared" si="326"/>
        <v>31</v>
      </c>
      <c r="AF7897" s="831" t="s">
        <v>8556</v>
      </c>
      <c r="AG7897" s="831" t="s">
        <v>2674</v>
      </c>
      <c r="AH7897" s="831" t="s">
        <v>580</v>
      </c>
      <c r="AI7897" s="831">
        <v>0</v>
      </c>
      <c r="AJ7897" s="835">
        <v>40908</v>
      </c>
      <c r="AK7897" s="831">
        <v>0</v>
      </c>
    </row>
    <row r="7898" spans="2:37">
      <c r="B7898" s="834" t="str">
        <f t="shared" si="325"/>
        <v>|||</v>
      </c>
      <c r="H7898" s="835">
        <f t="shared" si="326"/>
        <v>31</v>
      </c>
      <c r="AF7898" s="831" t="s">
        <v>8557</v>
      </c>
      <c r="AG7898" s="831" t="s">
        <v>2674</v>
      </c>
      <c r="AH7898" s="831" t="s">
        <v>581</v>
      </c>
      <c r="AI7898" s="831">
        <v>0</v>
      </c>
      <c r="AJ7898" s="835">
        <v>40908</v>
      </c>
      <c r="AK7898" s="831">
        <v>0</v>
      </c>
    </row>
    <row r="7899" spans="2:37">
      <c r="B7899" s="834" t="str">
        <f t="shared" si="325"/>
        <v>|||</v>
      </c>
      <c r="H7899" s="835">
        <f t="shared" si="326"/>
        <v>31</v>
      </c>
      <c r="AF7899" s="831" t="s">
        <v>8558</v>
      </c>
      <c r="AG7899" s="831" t="s">
        <v>2674</v>
      </c>
      <c r="AH7899" s="831" t="s">
        <v>105</v>
      </c>
      <c r="AI7899" s="831">
        <v>0</v>
      </c>
      <c r="AJ7899" s="835">
        <v>40908</v>
      </c>
      <c r="AK7899" s="831">
        <v>144926720</v>
      </c>
    </row>
    <row r="7900" spans="2:37">
      <c r="B7900" s="834" t="str">
        <f t="shared" si="325"/>
        <v>|||</v>
      </c>
      <c r="H7900" s="835">
        <f t="shared" si="326"/>
        <v>31</v>
      </c>
      <c r="AF7900" s="831" t="s">
        <v>8559</v>
      </c>
      <c r="AG7900" s="831" t="s">
        <v>2674</v>
      </c>
      <c r="AH7900" s="831" t="s">
        <v>3049</v>
      </c>
      <c r="AI7900" s="831">
        <v>0</v>
      </c>
      <c r="AJ7900" s="835">
        <v>40908</v>
      </c>
      <c r="AK7900" s="831">
        <v>285561180</v>
      </c>
    </row>
    <row r="7901" spans="2:37">
      <c r="B7901" s="834" t="str">
        <f t="shared" si="325"/>
        <v>|||</v>
      </c>
      <c r="H7901" s="835">
        <f t="shared" si="326"/>
        <v>31</v>
      </c>
      <c r="AF7901" s="831" t="s">
        <v>8560</v>
      </c>
      <c r="AG7901" s="831" t="s">
        <v>2674</v>
      </c>
      <c r="AH7901" s="831" t="s">
        <v>103</v>
      </c>
      <c r="AI7901" s="831">
        <v>0</v>
      </c>
      <c r="AJ7901" s="835">
        <v>40908</v>
      </c>
      <c r="AK7901" s="831">
        <v>140634460</v>
      </c>
    </row>
    <row r="7902" spans="2:37">
      <c r="B7902" s="834" t="str">
        <f t="shared" si="325"/>
        <v>|||</v>
      </c>
      <c r="H7902" s="835">
        <f t="shared" si="326"/>
        <v>31</v>
      </c>
      <c r="AF7902" s="831" t="s">
        <v>8561</v>
      </c>
      <c r="AG7902" s="831" t="s">
        <v>2674</v>
      </c>
      <c r="AH7902" s="831" t="s">
        <v>182</v>
      </c>
      <c r="AI7902" s="831">
        <v>0</v>
      </c>
      <c r="AJ7902" s="835">
        <v>40908</v>
      </c>
      <c r="AK7902" s="831">
        <v>42090951</v>
      </c>
    </row>
    <row r="7903" spans="2:37">
      <c r="B7903" s="834" t="str">
        <f t="shared" si="325"/>
        <v>|||</v>
      </c>
      <c r="H7903" s="835">
        <f t="shared" si="326"/>
        <v>31</v>
      </c>
      <c r="AF7903" s="831" t="s">
        <v>8562</v>
      </c>
      <c r="AG7903" s="831" t="s">
        <v>2674</v>
      </c>
      <c r="AH7903" s="831" t="s">
        <v>6600</v>
      </c>
      <c r="AI7903" s="831">
        <v>0</v>
      </c>
      <c r="AJ7903" s="835">
        <v>40908</v>
      </c>
      <c r="AK7903" s="831">
        <v>0</v>
      </c>
    </row>
    <row r="7904" spans="2:37">
      <c r="B7904" s="834" t="str">
        <f t="shared" si="325"/>
        <v>|||</v>
      </c>
      <c r="H7904" s="835">
        <f t="shared" si="326"/>
        <v>31</v>
      </c>
      <c r="AF7904" s="831" t="s">
        <v>8563</v>
      </c>
      <c r="AG7904" s="831" t="s">
        <v>2674</v>
      </c>
      <c r="AH7904" s="831" t="s">
        <v>6602</v>
      </c>
      <c r="AI7904" s="831">
        <v>0</v>
      </c>
      <c r="AJ7904" s="835">
        <v>40908</v>
      </c>
      <c r="AK7904" s="831">
        <v>17532791</v>
      </c>
    </row>
    <row r="7905" spans="2:37">
      <c r="B7905" s="834" t="str">
        <f t="shared" si="325"/>
        <v>|||</v>
      </c>
      <c r="H7905" s="835">
        <f t="shared" si="326"/>
        <v>31</v>
      </c>
      <c r="AF7905" s="831" t="s">
        <v>8564</v>
      </c>
      <c r="AG7905" s="831" t="s">
        <v>2674</v>
      </c>
      <c r="AH7905" s="831" t="s">
        <v>650</v>
      </c>
      <c r="AI7905" s="831">
        <v>0</v>
      </c>
      <c r="AJ7905" s="835">
        <v>40908</v>
      </c>
      <c r="AK7905" s="831">
        <v>0</v>
      </c>
    </row>
    <row r="7906" spans="2:37">
      <c r="B7906" s="834" t="str">
        <f t="shared" si="325"/>
        <v>|||</v>
      </c>
      <c r="H7906" s="835">
        <f t="shared" si="326"/>
        <v>31</v>
      </c>
      <c r="AF7906" s="831" t="s">
        <v>8565</v>
      </c>
      <c r="AG7906" s="831" t="s">
        <v>2674</v>
      </c>
      <c r="AH7906" s="831" t="s">
        <v>655</v>
      </c>
      <c r="AI7906" s="831">
        <v>0</v>
      </c>
      <c r="AJ7906" s="835">
        <v>40908</v>
      </c>
      <c r="AK7906" s="831">
        <v>0</v>
      </c>
    </row>
    <row r="7907" spans="2:37">
      <c r="B7907" s="834" t="str">
        <f t="shared" si="325"/>
        <v>|||</v>
      </c>
      <c r="H7907" s="835">
        <f t="shared" si="326"/>
        <v>31</v>
      </c>
      <c r="AF7907" s="831" t="s">
        <v>8566</v>
      </c>
      <c r="AG7907" s="831" t="s">
        <v>130</v>
      </c>
      <c r="AH7907" s="831" t="s">
        <v>145</v>
      </c>
      <c r="AI7907" s="831">
        <v>0</v>
      </c>
      <c r="AJ7907" s="835">
        <v>41670</v>
      </c>
      <c r="AK7907" s="831">
        <v>51655915</v>
      </c>
    </row>
    <row r="7908" spans="2:37">
      <c r="B7908" s="834" t="str">
        <f t="shared" si="325"/>
        <v>|||</v>
      </c>
      <c r="H7908" s="835">
        <f t="shared" si="326"/>
        <v>31</v>
      </c>
      <c r="AF7908" s="831" t="s">
        <v>8567</v>
      </c>
      <c r="AG7908" s="831" t="s">
        <v>130</v>
      </c>
      <c r="AH7908" s="831" t="s">
        <v>149</v>
      </c>
      <c r="AI7908" s="831">
        <v>0</v>
      </c>
      <c r="AJ7908" s="835">
        <v>41670</v>
      </c>
      <c r="AK7908" s="831">
        <v>0</v>
      </c>
    </row>
    <row r="7909" spans="2:37">
      <c r="B7909" s="834" t="str">
        <f t="shared" si="325"/>
        <v>|||</v>
      </c>
      <c r="H7909" s="835">
        <f t="shared" si="326"/>
        <v>31</v>
      </c>
      <c r="AF7909" s="831" t="s">
        <v>8568</v>
      </c>
      <c r="AG7909" s="831" t="s">
        <v>130</v>
      </c>
      <c r="AH7909" s="831" t="s">
        <v>153</v>
      </c>
      <c r="AI7909" s="831">
        <v>0</v>
      </c>
      <c r="AJ7909" s="835">
        <v>41670</v>
      </c>
      <c r="AK7909" s="831">
        <v>37659860</v>
      </c>
    </row>
    <row r="7910" spans="2:37">
      <c r="B7910" s="834" t="str">
        <f t="shared" si="325"/>
        <v>|||</v>
      </c>
      <c r="H7910" s="835">
        <f t="shared" si="326"/>
        <v>31</v>
      </c>
      <c r="AF7910" s="831" t="s">
        <v>8569</v>
      </c>
      <c r="AG7910" s="831" t="s">
        <v>130</v>
      </c>
      <c r="AH7910" s="831" t="s">
        <v>156</v>
      </c>
      <c r="AI7910" s="831">
        <v>0</v>
      </c>
      <c r="AJ7910" s="835">
        <v>41670</v>
      </c>
      <c r="AK7910" s="831">
        <v>0</v>
      </c>
    </row>
    <row r="7911" spans="2:37">
      <c r="B7911" s="834" t="str">
        <f t="shared" si="325"/>
        <v>|||</v>
      </c>
      <c r="H7911" s="835">
        <f t="shared" si="326"/>
        <v>31</v>
      </c>
      <c r="AF7911" s="831" t="s">
        <v>8570</v>
      </c>
      <c r="AG7911" s="831" t="s">
        <v>130</v>
      </c>
      <c r="AH7911" s="831" t="s">
        <v>162</v>
      </c>
      <c r="AI7911" s="831">
        <v>0</v>
      </c>
      <c r="AJ7911" s="835">
        <v>41670</v>
      </c>
      <c r="AK7911" s="831">
        <v>635618516</v>
      </c>
    </row>
    <row r="7912" spans="2:37">
      <c r="B7912" s="834" t="str">
        <f t="shared" si="325"/>
        <v>|||</v>
      </c>
      <c r="H7912" s="835">
        <f t="shared" si="326"/>
        <v>31</v>
      </c>
      <c r="AF7912" s="831" t="s">
        <v>8571</v>
      </c>
      <c r="AG7912" s="831" t="s">
        <v>130</v>
      </c>
      <c r="AH7912" s="831" t="s">
        <v>165</v>
      </c>
      <c r="AI7912" s="831">
        <v>0</v>
      </c>
      <c r="AJ7912" s="835">
        <v>41670</v>
      </c>
      <c r="AK7912" s="831">
        <v>-14010990</v>
      </c>
    </row>
    <row r="7913" spans="2:37">
      <c r="B7913" s="834" t="str">
        <f t="shared" si="325"/>
        <v>|||</v>
      </c>
      <c r="H7913" s="835">
        <f t="shared" si="326"/>
        <v>31</v>
      </c>
      <c r="AF7913" s="831" t="s">
        <v>8572</v>
      </c>
      <c r="AG7913" s="831" t="s">
        <v>130</v>
      </c>
      <c r="AH7913" s="831" t="s">
        <v>171</v>
      </c>
      <c r="AI7913" s="831">
        <v>0</v>
      </c>
      <c r="AJ7913" s="835">
        <v>41670</v>
      </c>
      <c r="AK7913" s="831">
        <v>3545312</v>
      </c>
    </row>
    <row r="7914" spans="2:37">
      <c r="B7914" s="834" t="str">
        <f t="shared" si="325"/>
        <v>|||</v>
      </c>
      <c r="H7914" s="835">
        <f t="shared" si="326"/>
        <v>31</v>
      </c>
      <c r="AF7914" s="831" t="s">
        <v>8573</v>
      </c>
      <c r="AG7914" s="831" t="s">
        <v>130</v>
      </c>
      <c r="AH7914" s="831" t="s">
        <v>174</v>
      </c>
      <c r="AI7914" s="831">
        <v>0</v>
      </c>
      <c r="AJ7914" s="835">
        <v>41670</v>
      </c>
      <c r="AK7914" s="831">
        <v>0</v>
      </c>
    </row>
    <row r="7915" spans="2:37">
      <c r="B7915" s="834" t="str">
        <f t="shared" si="325"/>
        <v>|||</v>
      </c>
      <c r="H7915" s="835">
        <f t="shared" si="326"/>
        <v>31</v>
      </c>
      <c r="AF7915" s="831" t="s">
        <v>8574</v>
      </c>
      <c r="AG7915" s="831" t="s">
        <v>130</v>
      </c>
      <c r="AH7915" s="831" t="s">
        <v>181</v>
      </c>
      <c r="AI7915" s="831">
        <v>0</v>
      </c>
      <c r="AJ7915" s="835">
        <v>41670</v>
      </c>
      <c r="AK7915" s="831">
        <v>61063253</v>
      </c>
    </row>
    <row r="7916" spans="2:37">
      <c r="B7916" s="834" t="str">
        <f t="shared" si="325"/>
        <v>|||</v>
      </c>
      <c r="H7916" s="835">
        <f t="shared" si="326"/>
        <v>31</v>
      </c>
      <c r="AF7916" s="831" t="s">
        <v>8575</v>
      </c>
      <c r="AG7916" s="831" t="s">
        <v>130</v>
      </c>
      <c r="AH7916" s="831" t="s">
        <v>184</v>
      </c>
      <c r="AI7916" s="831">
        <v>0</v>
      </c>
      <c r="AJ7916" s="835">
        <v>41670</v>
      </c>
      <c r="AK7916" s="831">
        <v>-16657170</v>
      </c>
    </row>
    <row r="7917" spans="2:37">
      <c r="B7917" s="834" t="str">
        <f t="shared" si="325"/>
        <v>|||</v>
      </c>
      <c r="H7917" s="835">
        <f t="shared" si="326"/>
        <v>31</v>
      </c>
      <c r="AF7917" s="831" t="s">
        <v>8576</v>
      </c>
      <c r="AG7917" s="831" t="s">
        <v>130</v>
      </c>
      <c r="AH7917" s="831" t="s">
        <v>187</v>
      </c>
      <c r="AI7917" s="831">
        <v>0</v>
      </c>
      <c r="AJ7917" s="835">
        <v>41670</v>
      </c>
      <c r="AK7917" s="831">
        <v>0</v>
      </c>
    </row>
    <row r="7918" spans="2:37">
      <c r="B7918" s="834" t="str">
        <f t="shared" si="325"/>
        <v>|||</v>
      </c>
      <c r="H7918" s="835">
        <f t="shared" si="326"/>
        <v>31</v>
      </c>
      <c r="AF7918" s="831" t="s">
        <v>8577</v>
      </c>
      <c r="AG7918" s="831" t="s">
        <v>130</v>
      </c>
      <c r="AH7918" s="831" t="s">
        <v>196</v>
      </c>
      <c r="AI7918" s="831">
        <v>0</v>
      </c>
      <c r="AJ7918" s="835">
        <v>41670</v>
      </c>
      <c r="AK7918" s="831">
        <v>4873870</v>
      </c>
    </row>
    <row r="7919" spans="2:37">
      <c r="B7919" s="834" t="str">
        <f t="shared" si="325"/>
        <v>|||</v>
      </c>
      <c r="H7919" s="835">
        <f t="shared" si="326"/>
        <v>31</v>
      </c>
      <c r="AF7919" s="831" t="s">
        <v>8578</v>
      </c>
      <c r="AG7919" s="831" t="s">
        <v>130</v>
      </c>
      <c r="AH7919" s="831" t="s">
        <v>197</v>
      </c>
      <c r="AI7919" s="831">
        <v>0</v>
      </c>
      <c r="AJ7919" s="835">
        <v>41670</v>
      </c>
      <c r="AK7919" s="831">
        <v>0</v>
      </c>
    </row>
    <row r="7920" spans="2:37">
      <c r="B7920" s="834" t="str">
        <f t="shared" si="325"/>
        <v>|||</v>
      </c>
      <c r="H7920" s="835">
        <f t="shared" si="326"/>
        <v>31</v>
      </c>
      <c r="AF7920" s="831" t="s">
        <v>8579</v>
      </c>
      <c r="AG7920" s="831" t="s">
        <v>130</v>
      </c>
      <c r="AH7920" s="831" t="s">
        <v>199</v>
      </c>
      <c r="AI7920" s="831">
        <v>0</v>
      </c>
      <c r="AJ7920" s="835">
        <v>41670</v>
      </c>
      <c r="AK7920" s="831">
        <v>0</v>
      </c>
    </row>
    <row r="7921" spans="2:37">
      <c r="B7921" s="834" t="str">
        <f t="shared" si="325"/>
        <v>|||</v>
      </c>
      <c r="H7921" s="835">
        <f t="shared" si="326"/>
        <v>31</v>
      </c>
      <c r="AF7921" s="831" t="s">
        <v>8580</v>
      </c>
      <c r="AG7921" s="831" t="s">
        <v>130</v>
      </c>
      <c r="AH7921" s="831" t="s">
        <v>201</v>
      </c>
      <c r="AI7921" s="831">
        <v>0</v>
      </c>
      <c r="AJ7921" s="835">
        <v>41670</v>
      </c>
      <c r="AK7921" s="831">
        <v>13971411</v>
      </c>
    </row>
    <row r="7922" spans="2:37">
      <c r="B7922" s="834" t="str">
        <f t="shared" si="325"/>
        <v>|||</v>
      </c>
      <c r="H7922" s="835">
        <f t="shared" si="326"/>
        <v>31</v>
      </c>
      <c r="AF7922" s="831" t="s">
        <v>8581</v>
      </c>
      <c r="AG7922" s="831" t="s">
        <v>130</v>
      </c>
      <c r="AH7922" s="831" t="s">
        <v>209</v>
      </c>
      <c r="AI7922" s="831">
        <v>0</v>
      </c>
      <c r="AJ7922" s="835">
        <v>41670</v>
      </c>
      <c r="AK7922" s="831">
        <v>60722844</v>
      </c>
    </row>
    <row r="7923" spans="2:37">
      <c r="B7923" s="834" t="str">
        <f t="shared" si="325"/>
        <v>|||</v>
      </c>
      <c r="H7923" s="835">
        <f t="shared" si="326"/>
        <v>31</v>
      </c>
      <c r="AF7923" s="831" t="s">
        <v>8582</v>
      </c>
      <c r="AG7923" s="831" t="s">
        <v>130</v>
      </c>
      <c r="AH7923" s="831" t="s">
        <v>211</v>
      </c>
      <c r="AI7923" s="831">
        <v>0</v>
      </c>
      <c r="AJ7923" s="835">
        <v>41670</v>
      </c>
      <c r="AK7923" s="831">
        <v>196773213.55000001</v>
      </c>
    </row>
    <row r="7924" spans="2:37">
      <c r="B7924" s="834" t="str">
        <f t="shared" si="325"/>
        <v>|||</v>
      </c>
      <c r="H7924" s="835">
        <f t="shared" si="326"/>
        <v>31</v>
      </c>
      <c r="AF7924" s="831" t="s">
        <v>8583</v>
      </c>
      <c r="AG7924" s="831" t="s">
        <v>130</v>
      </c>
      <c r="AH7924" s="831" t="s">
        <v>212</v>
      </c>
      <c r="AI7924" s="831">
        <v>0</v>
      </c>
      <c r="AJ7924" s="835">
        <v>41670</v>
      </c>
      <c r="AK7924" s="831">
        <v>8745556.8080000002</v>
      </c>
    </row>
    <row r="7925" spans="2:37">
      <c r="B7925" s="834" t="str">
        <f t="shared" si="325"/>
        <v>|||</v>
      </c>
      <c r="H7925" s="835">
        <f t="shared" si="326"/>
        <v>31</v>
      </c>
      <c r="AF7925" s="831" t="s">
        <v>8584</v>
      </c>
      <c r="AG7925" s="831" t="s">
        <v>130</v>
      </c>
      <c r="AH7925" s="831" t="s">
        <v>216</v>
      </c>
      <c r="AI7925" s="831">
        <v>0</v>
      </c>
      <c r="AJ7925" s="835">
        <v>41670</v>
      </c>
      <c r="AK7925" s="831">
        <v>0</v>
      </c>
    </row>
    <row r="7926" spans="2:37">
      <c r="B7926" s="834" t="str">
        <f t="shared" si="325"/>
        <v>|||</v>
      </c>
      <c r="H7926" s="835">
        <f t="shared" si="326"/>
        <v>31</v>
      </c>
      <c r="AF7926" s="831" t="s">
        <v>8585</v>
      </c>
      <c r="AG7926" s="831" t="s">
        <v>130</v>
      </c>
      <c r="AH7926" s="831" t="s">
        <v>218</v>
      </c>
      <c r="AI7926" s="831">
        <v>0</v>
      </c>
      <c r="AJ7926" s="835">
        <v>41670</v>
      </c>
      <c r="AK7926" s="831">
        <v>124243980</v>
      </c>
    </row>
    <row r="7927" spans="2:37">
      <c r="B7927" s="834" t="str">
        <f t="shared" si="325"/>
        <v>|||</v>
      </c>
      <c r="H7927" s="835">
        <f t="shared" si="326"/>
        <v>31</v>
      </c>
      <c r="AF7927" s="831" t="s">
        <v>8586</v>
      </c>
      <c r="AG7927" s="831" t="s">
        <v>130</v>
      </c>
      <c r="AH7927" s="831" t="s">
        <v>220</v>
      </c>
      <c r="AI7927" s="831">
        <v>0</v>
      </c>
      <c r="AJ7927" s="835">
        <v>41670</v>
      </c>
      <c r="AK7927" s="831">
        <v>0</v>
      </c>
    </row>
    <row r="7928" spans="2:37">
      <c r="B7928" s="834" t="str">
        <f t="shared" si="325"/>
        <v>|||</v>
      </c>
      <c r="H7928" s="835">
        <f t="shared" si="326"/>
        <v>31</v>
      </c>
      <c r="AF7928" s="831" t="s">
        <v>8587</v>
      </c>
      <c r="AG7928" s="831" t="s">
        <v>130</v>
      </c>
      <c r="AH7928" s="831" t="s">
        <v>221</v>
      </c>
      <c r="AI7928" s="831">
        <v>0</v>
      </c>
      <c r="AJ7928" s="835">
        <v>41670</v>
      </c>
      <c r="AK7928" s="831">
        <v>15847675</v>
      </c>
    </row>
    <row r="7929" spans="2:37">
      <c r="B7929" s="834" t="str">
        <f t="shared" si="325"/>
        <v>|||</v>
      </c>
      <c r="H7929" s="835">
        <f t="shared" si="326"/>
        <v>31</v>
      </c>
      <c r="AF7929" s="831" t="s">
        <v>8588</v>
      </c>
      <c r="AG7929" s="831" t="s">
        <v>130</v>
      </c>
      <c r="AH7929" s="831" t="s">
        <v>228</v>
      </c>
      <c r="AI7929" s="831">
        <v>0</v>
      </c>
      <c r="AJ7929" s="835">
        <v>41670</v>
      </c>
      <c r="AK7929" s="831">
        <v>0</v>
      </c>
    </row>
    <row r="7930" spans="2:37">
      <c r="B7930" s="834" t="str">
        <f t="shared" si="325"/>
        <v>|||</v>
      </c>
      <c r="H7930" s="835">
        <f t="shared" si="326"/>
        <v>31</v>
      </c>
      <c r="AF7930" s="831" t="s">
        <v>8589</v>
      </c>
      <c r="AG7930" s="831" t="s">
        <v>130</v>
      </c>
      <c r="AH7930" s="831" t="s">
        <v>230</v>
      </c>
      <c r="AI7930" s="831">
        <v>0</v>
      </c>
      <c r="AJ7930" s="835">
        <v>41670</v>
      </c>
      <c r="AK7930" s="831">
        <v>0</v>
      </c>
    </row>
    <row r="7931" spans="2:37">
      <c r="B7931" s="834" t="str">
        <f t="shared" si="325"/>
        <v>|||</v>
      </c>
      <c r="H7931" s="835">
        <f t="shared" si="326"/>
        <v>31</v>
      </c>
      <c r="AF7931" s="831" t="s">
        <v>8590</v>
      </c>
      <c r="AG7931" s="831" t="s">
        <v>130</v>
      </c>
      <c r="AH7931" s="831" t="s">
        <v>231</v>
      </c>
      <c r="AI7931" s="831">
        <v>0</v>
      </c>
      <c r="AJ7931" s="835">
        <v>41670</v>
      </c>
      <c r="AK7931" s="831">
        <v>0</v>
      </c>
    </row>
    <row r="7932" spans="2:37">
      <c r="B7932" s="834" t="str">
        <f t="shared" si="325"/>
        <v>|||</v>
      </c>
      <c r="H7932" s="835">
        <f t="shared" si="326"/>
        <v>31</v>
      </c>
      <c r="AF7932" s="831" t="s">
        <v>8591</v>
      </c>
      <c r="AG7932" s="831" t="s">
        <v>130</v>
      </c>
      <c r="AH7932" s="831" t="s">
        <v>232</v>
      </c>
      <c r="AI7932" s="831">
        <v>0</v>
      </c>
      <c r="AJ7932" s="835">
        <v>41670</v>
      </c>
      <c r="AK7932" s="831">
        <v>246274122</v>
      </c>
    </row>
    <row r="7933" spans="2:37">
      <c r="B7933" s="834" t="str">
        <f t="shared" si="325"/>
        <v>|||</v>
      </c>
      <c r="H7933" s="835">
        <f t="shared" si="326"/>
        <v>31</v>
      </c>
      <c r="AF7933" s="831" t="s">
        <v>8592</v>
      </c>
      <c r="AG7933" s="831" t="s">
        <v>130</v>
      </c>
      <c r="AH7933" s="831" t="s">
        <v>116</v>
      </c>
      <c r="AI7933" s="831">
        <v>0</v>
      </c>
      <c r="AJ7933" s="835">
        <v>41670</v>
      </c>
      <c r="AK7933" s="831">
        <v>8007090</v>
      </c>
    </row>
    <row r="7934" spans="2:37">
      <c r="B7934" s="834" t="str">
        <f t="shared" si="325"/>
        <v>|||</v>
      </c>
      <c r="H7934" s="835">
        <f t="shared" si="326"/>
        <v>31</v>
      </c>
      <c r="AF7934" s="831" t="s">
        <v>8593</v>
      </c>
      <c r="AG7934" s="831" t="s">
        <v>130</v>
      </c>
      <c r="AH7934" s="831" t="s">
        <v>234</v>
      </c>
      <c r="AI7934" s="831">
        <v>0</v>
      </c>
      <c r="AJ7934" s="835">
        <v>41670</v>
      </c>
      <c r="AK7934" s="831">
        <v>0</v>
      </c>
    </row>
    <row r="7935" spans="2:37">
      <c r="B7935" s="834" t="str">
        <f t="shared" si="325"/>
        <v>|||</v>
      </c>
      <c r="H7935" s="835">
        <f t="shared" si="326"/>
        <v>31</v>
      </c>
      <c r="AF7935" s="831" t="s">
        <v>8594</v>
      </c>
      <c r="AG7935" s="831" t="s">
        <v>130</v>
      </c>
      <c r="AH7935" s="831" t="s">
        <v>235</v>
      </c>
      <c r="AI7935" s="831">
        <v>0</v>
      </c>
      <c r="AJ7935" s="835">
        <v>41670</v>
      </c>
      <c r="AK7935" s="831">
        <v>0</v>
      </c>
    </row>
    <row r="7936" spans="2:37">
      <c r="B7936" s="834" t="str">
        <f t="shared" si="325"/>
        <v>|||</v>
      </c>
      <c r="H7936" s="835">
        <f t="shared" si="326"/>
        <v>31</v>
      </c>
      <c r="AF7936" s="831" t="s">
        <v>8595</v>
      </c>
      <c r="AG7936" s="831" t="s">
        <v>130</v>
      </c>
      <c r="AH7936" s="831" t="s">
        <v>238</v>
      </c>
      <c r="AI7936" s="831">
        <v>0</v>
      </c>
      <c r="AJ7936" s="835">
        <v>41670</v>
      </c>
      <c r="AK7936" s="831">
        <v>0</v>
      </c>
    </row>
    <row r="7937" spans="2:37">
      <c r="B7937" s="834" t="str">
        <f t="shared" si="325"/>
        <v>|||</v>
      </c>
      <c r="H7937" s="835">
        <f t="shared" si="326"/>
        <v>31</v>
      </c>
      <c r="AF7937" s="831" t="s">
        <v>8596</v>
      </c>
      <c r="AG7937" s="831" t="s">
        <v>130</v>
      </c>
      <c r="AH7937" s="831" t="s">
        <v>240</v>
      </c>
      <c r="AI7937" s="831">
        <v>0</v>
      </c>
      <c r="AJ7937" s="835">
        <v>41670</v>
      </c>
      <c r="AK7937" s="831">
        <v>85000000</v>
      </c>
    </row>
    <row r="7938" spans="2:37">
      <c r="B7938" s="834" t="str">
        <f t="shared" si="325"/>
        <v>|||</v>
      </c>
      <c r="H7938" s="835">
        <f t="shared" si="326"/>
        <v>31</v>
      </c>
      <c r="AF7938" s="831" t="s">
        <v>8597</v>
      </c>
      <c r="AG7938" s="831" t="s">
        <v>130</v>
      </c>
      <c r="AH7938" s="831" t="s">
        <v>241</v>
      </c>
      <c r="AI7938" s="831">
        <v>0</v>
      </c>
      <c r="AJ7938" s="835">
        <v>41670</v>
      </c>
      <c r="AK7938" s="831">
        <v>0</v>
      </c>
    </row>
    <row r="7939" spans="2:37">
      <c r="B7939" s="834" t="str">
        <f t="shared" ref="B7939:B8002" si="327">C7939&amp;"|"&amp;D7939&amp;"|"&amp;E7939&amp;"|"&amp;F7939</f>
        <v>|||</v>
      </c>
      <c r="H7939" s="835">
        <f t="shared" si="326"/>
        <v>31</v>
      </c>
      <c r="AF7939" s="831" t="s">
        <v>8598</v>
      </c>
      <c r="AG7939" s="831" t="s">
        <v>130</v>
      </c>
      <c r="AH7939" s="831" t="s">
        <v>242</v>
      </c>
      <c r="AI7939" s="831">
        <v>0</v>
      </c>
      <c r="AJ7939" s="835">
        <v>41670</v>
      </c>
      <c r="AK7939" s="831">
        <v>0</v>
      </c>
    </row>
    <row r="7940" spans="2:37">
      <c r="B7940" s="834" t="str">
        <f t="shared" si="327"/>
        <v>|||</v>
      </c>
      <c r="H7940" s="835">
        <f t="shared" ref="H7940:H8003" si="328">EOMONTH(L7940,0)</f>
        <v>31</v>
      </c>
      <c r="AF7940" s="831" t="s">
        <v>8599</v>
      </c>
      <c r="AG7940" s="831" t="s">
        <v>130</v>
      </c>
      <c r="AH7940" s="831" t="s">
        <v>244</v>
      </c>
      <c r="AI7940" s="831">
        <v>0</v>
      </c>
      <c r="AJ7940" s="835">
        <v>41670</v>
      </c>
      <c r="AK7940" s="831">
        <v>29089877</v>
      </c>
    </row>
    <row r="7941" spans="2:37">
      <c r="B7941" s="834" t="str">
        <f t="shared" si="327"/>
        <v>|||</v>
      </c>
      <c r="H7941" s="835">
        <f t="shared" si="328"/>
        <v>31</v>
      </c>
      <c r="AF7941" s="831" t="s">
        <v>8600</v>
      </c>
      <c r="AG7941" s="831" t="s">
        <v>130</v>
      </c>
      <c r="AH7941" s="831" t="s">
        <v>245</v>
      </c>
      <c r="AI7941" s="831">
        <v>0</v>
      </c>
      <c r="AJ7941" s="835">
        <v>41670</v>
      </c>
      <c r="AK7941" s="831">
        <v>3015619</v>
      </c>
    </row>
    <row r="7942" spans="2:37">
      <c r="B7942" s="834" t="str">
        <f t="shared" si="327"/>
        <v>|||</v>
      </c>
      <c r="H7942" s="835">
        <f t="shared" si="328"/>
        <v>31</v>
      </c>
      <c r="AF7942" s="831" t="s">
        <v>8601</v>
      </c>
      <c r="AG7942" s="831" t="s">
        <v>130</v>
      </c>
      <c r="AH7942" s="831" t="s">
        <v>145</v>
      </c>
      <c r="AI7942" s="831">
        <v>0</v>
      </c>
      <c r="AJ7942" s="835">
        <v>41698</v>
      </c>
      <c r="AK7942" s="831">
        <v>50755670</v>
      </c>
    </row>
    <row r="7943" spans="2:37">
      <c r="B7943" s="834" t="str">
        <f t="shared" si="327"/>
        <v>|||</v>
      </c>
      <c r="H7943" s="835">
        <f t="shared" si="328"/>
        <v>31</v>
      </c>
      <c r="AF7943" s="831" t="s">
        <v>8602</v>
      </c>
      <c r="AG7943" s="831" t="s">
        <v>130</v>
      </c>
      <c r="AH7943" s="831" t="s">
        <v>149</v>
      </c>
      <c r="AI7943" s="831">
        <v>0</v>
      </c>
      <c r="AJ7943" s="835">
        <v>41698</v>
      </c>
      <c r="AK7943" s="831">
        <v>0</v>
      </c>
    </row>
    <row r="7944" spans="2:37">
      <c r="B7944" s="834" t="str">
        <f t="shared" si="327"/>
        <v>|||</v>
      </c>
      <c r="H7944" s="835">
        <f t="shared" si="328"/>
        <v>31</v>
      </c>
      <c r="AF7944" s="831" t="s">
        <v>8603</v>
      </c>
      <c r="AG7944" s="831" t="s">
        <v>130</v>
      </c>
      <c r="AH7944" s="831" t="s">
        <v>153</v>
      </c>
      <c r="AI7944" s="831">
        <v>0</v>
      </c>
      <c r="AJ7944" s="835">
        <v>41698</v>
      </c>
      <c r="AK7944" s="831">
        <v>38801853</v>
      </c>
    </row>
    <row r="7945" spans="2:37">
      <c r="B7945" s="834" t="str">
        <f t="shared" si="327"/>
        <v>|||</v>
      </c>
      <c r="H7945" s="835">
        <f t="shared" si="328"/>
        <v>31</v>
      </c>
      <c r="AF7945" s="831" t="s">
        <v>8604</v>
      </c>
      <c r="AG7945" s="831" t="s">
        <v>130</v>
      </c>
      <c r="AH7945" s="831" t="s">
        <v>156</v>
      </c>
      <c r="AI7945" s="831">
        <v>0</v>
      </c>
      <c r="AJ7945" s="835">
        <v>41698</v>
      </c>
      <c r="AK7945" s="831">
        <v>0</v>
      </c>
    </row>
    <row r="7946" spans="2:37">
      <c r="B7946" s="834" t="str">
        <f t="shared" si="327"/>
        <v>|||</v>
      </c>
      <c r="H7946" s="835">
        <f t="shared" si="328"/>
        <v>31</v>
      </c>
      <c r="AF7946" s="831" t="s">
        <v>8605</v>
      </c>
      <c r="AG7946" s="831" t="s">
        <v>130</v>
      </c>
      <c r="AH7946" s="831" t="s">
        <v>162</v>
      </c>
      <c r="AI7946" s="831">
        <v>0</v>
      </c>
      <c r="AJ7946" s="835">
        <v>41698</v>
      </c>
      <c r="AK7946" s="831">
        <v>652795035</v>
      </c>
    </row>
    <row r="7947" spans="2:37">
      <c r="B7947" s="834" t="str">
        <f t="shared" si="327"/>
        <v>|||</v>
      </c>
      <c r="H7947" s="835">
        <f t="shared" si="328"/>
        <v>31</v>
      </c>
      <c r="AF7947" s="831" t="s">
        <v>8606</v>
      </c>
      <c r="AG7947" s="831" t="s">
        <v>130</v>
      </c>
      <c r="AH7947" s="831" t="s">
        <v>165</v>
      </c>
      <c r="AI7947" s="831">
        <v>0</v>
      </c>
      <c r="AJ7947" s="835">
        <v>41698</v>
      </c>
      <c r="AK7947" s="831">
        <v>-13506118</v>
      </c>
    </row>
    <row r="7948" spans="2:37">
      <c r="B7948" s="834" t="str">
        <f t="shared" si="327"/>
        <v>|||</v>
      </c>
      <c r="H7948" s="835">
        <f t="shared" si="328"/>
        <v>31</v>
      </c>
      <c r="AF7948" s="831" t="s">
        <v>8607</v>
      </c>
      <c r="AG7948" s="831" t="s">
        <v>130</v>
      </c>
      <c r="AH7948" s="831" t="s">
        <v>171</v>
      </c>
      <c r="AI7948" s="831">
        <v>0</v>
      </c>
      <c r="AJ7948" s="835">
        <v>41698</v>
      </c>
      <c r="AK7948" s="831">
        <v>3012159</v>
      </c>
    </row>
    <row r="7949" spans="2:37">
      <c r="B7949" s="834" t="str">
        <f t="shared" si="327"/>
        <v>|||</v>
      </c>
      <c r="H7949" s="835">
        <f t="shared" si="328"/>
        <v>31</v>
      </c>
      <c r="AF7949" s="831" t="s">
        <v>8608</v>
      </c>
      <c r="AG7949" s="831" t="s">
        <v>130</v>
      </c>
      <c r="AH7949" s="831" t="s">
        <v>174</v>
      </c>
      <c r="AI7949" s="831">
        <v>0</v>
      </c>
      <c r="AJ7949" s="835">
        <v>41698</v>
      </c>
      <c r="AK7949" s="831">
        <v>0</v>
      </c>
    </row>
    <row r="7950" spans="2:37">
      <c r="B7950" s="834" t="str">
        <f t="shared" si="327"/>
        <v>|||</v>
      </c>
      <c r="H7950" s="835">
        <f t="shared" si="328"/>
        <v>31</v>
      </c>
      <c r="AF7950" s="831" t="s">
        <v>8609</v>
      </c>
      <c r="AG7950" s="831" t="s">
        <v>130</v>
      </c>
      <c r="AH7950" s="831" t="s">
        <v>181</v>
      </c>
      <c r="AI7950" s="831">
        <v>0</v>
      </c>
      <c r="AJ7950" s="835">
        <v>41698</v>
      </c>
      <c r="AK7950" s="831">
        <v>61206167</v>
      </c>
    </row>
    <row r="7951" spans="2:37">
      <c r="B7951" s="834" t="str">
        <f t="shared" si="327"/>
        <v>|||</v>
      </c>
      <c r="H7951" s="835">
        <f t="shared" si="328"/>
        <v>31</v>
      </c>
      <c r="AF7951" s="831" t="s">
        <v>8610</v>
      </c>
      <c r="AG7951" s="831" t="s">
        <v>130</v>
      </c>
      <c r="AH7951" s="831" t="s">
        <v>184</v>
      </c>
      <c r="AI7951" s="831">
        <v>0</v>
      </c>
      <c r="AJ7951" s="835">
        <v>41698</v>
      </c>
      <c r="AK7951" s="831">
        <v>-16980620</v>
      </c>
    </row>
    <row r="7952" spans="2:37">
      <c r="B7952" s="834" t="str">
        <f t="shared" si="327"/>
        <v>|||</v>
      </c>
      <c r="H7952" s="835">
        <f t="shared" si="328"/>
        <v>31</v>
      </c>
      <c r="AF7952" s="831" t="s">
        <v>8611</v>
      </c>
      <c r="AG7952" s="831" t="s">
        <v>130</v>
      </c>
      <c r="AH7952" s="831" t="s">
        <v>187</v>
      </c>
      <c r="AI7952" s="831">
        <v>0</v>
      </c>
      <c r="AJ7952" s="835">
        <v>41698</v>
      </c>
      <c r="AK7952" s="831">
        <v>0</v>
      </c>
    </row>
    <row r="7953" spans="2:37">
      <c r="B7953" s="834" t="str">
        <f t="shared" si="327"/>
        <v>|||</v>
      </c>
      <c r="H7953" s="835">
        <f t="shared" si="328"/>
        <v>31</v>
      </c>
      <c r="AF7953" s="831" t="s">
        <v>8612</v>
      </c>
      <c r="AG7953" s="831" t="s">
        <v>130</v>
      </c>
      <c r="AH7953" s="831" t="s">
        <v>196</v>
      </c>
      <c r="AI7953" s="831">
        <v>0</v>
      </c>
      <c r="AJ7953" s="835">
        <v>41698</v>
      </c>
      <c r="AK7953" s="831">
        <v>4747060</v>
      </c>
    </row>
    <row r="7954" spans="2:37">
      <c r="B7954" s="834" t="str">
        <f t="shared" si="327"/>
        <v>|||</v>
      </c>
      <c r="H7954" s="835">
        <f t="shared" si="328"/>
        <v>31</v>
      </c>
      <c r="AF7954" s="831" t="s">
        <v>8613</v>
      </c>
      <c r="AG7954" s="831" t="s">
        <v>130</v>
      </c>
      <c r="AH7954" s="831" t="s">
        <v>197</v>
      </c>
      <c r="AI7954" s="831">
        <v>0</v>
      </c>
      <c r="AJ7954" s="835">
        <v>41698</v>
      </c>
      <c r="AK7954" s="831">
        <v>0</v>
      </c>
    </row>
    <row r="7955" spans="2:37">
      <c r="B7955" s="834" t="str">
        <f t="shared" si="327"/>
        <v>|||</v>
      </c>
      <c r="H7955" s="835">
        <f t="shared" si="328"/>
        <v>31</v>
      </c>
      <c r="AF7955" s="831" t="s">
        <v>8614</v>
      </c>
      <c r="AG7955" s="831" t="s">
        <v>130</v>
      </c>
      <c r="AH7955" s="831" t="s">
        <v>199</v>
      </c>
      <c r="AI7955" s="831">
        <v>0</v>
      </c>
      <c r="AJ7955" s="835">
        <v>41698</v>
      </c>
      <c r="AK7955" s="831">
        <v>0</v>
      </c>
    </row>
    <row r="7956" spans="2:37">
      <c r="B7956" s="834" t="str">
        <f t="shared" si="327"/>
        <v>|||</v>
      </c>
      <c r="H7956" s="835">
        <f t="shared" si="328"/>
        <v>31</v>
      </c>
      <c r="AF7956" s="831" t="s">
        <v>8615</v>
      </c>
      <c r="AG7956" s="831" t="s">
        <v>130</v>
      </c>
      <c r="AH7956" s="831" t="s">
        <v>201</v>
      </c>
      <c r="AI7956" s="831">
        <v>0</v>
      </c>
      <c r="AJ7956" s="835">
        <v>41698</v>
      </c>
      <c r="AK7956" s="831">
        <v>13590430</v>
      </c>
    </row>
    <row r="7957" spans="2:37">
      <c r="B7957" s="834" t="str">
        <f t="shared" si="327"/>
        <v>|||</v>
      </c>
      <c r="H7957" s="835">
        <f t="shared" si="328"/>
        <v>31</v>
      </c>
      <c r="AF7957" s="831" t="s">
        <v>8616</v>
      </c>
      <c r="AG7957" s="831" t="s">
        <v>130</v>
      </c>
      <c r="AH7957" s="831" t="s">
        <v>209</v>
      </c>
      <c r="AI7957" s="831">
        <v>0</v>
      </c>
      <c r="AJ7957" s="835">
        <v>41698</v>
      </c>
      <c r="AK7957" s="831">
        <v>59786285.57</v>
      </c>
    </row>
    <row r="7958" spans="2:37">
      <c r="B7958" s="834" t="str">
        <f t="shared" si="327"/>
        <v>|||</v>
      </c>
      <c r="H7958" s="835">
        <f t="shared" si="328"/>
        <v>31</v>
      </c>
      <c r="AF7958" s="831" t="s">
        <v>8617</v>
      </c>
      <c r="AG7958" s="831" t="s">
        <v>130</v>
      </c>
      <c r="AH7958" s="831" t="s">
        <v>211</v>
      </c>
      <c r="AI7958" s="831">
        <v>0</v>
      </c>
      <c r="AJ7958" s="835">
        <v>41698</v>
      </c>
      <c r="AK7958" s="831">
        <v>205800259.84999999</v>
      </c>
    </row>
    <row r="7959" spans="2:37">
      <c r="B7959" s="834" t="str">
        <f t="shared" si="327"/>
        <v>|||</v>
      </c>
      <c r="H7959" s="835">
        <f t="shared" si="328"/>
        <v>31</v>
      </c>
      <c r="AF7959" s="831" t="s">
        <v>8618</v>
      </c>
      <c r="AG7959" s="831" t="s">
        <v>130</v>
      </c>
      <c r="AH7959" s="831" t="s">
        <v>212</v>
      </c>
      <c r="AI7959" s="831">
        <v>0</v>
      </c>
      <c r="AJ7959" s="835">
        <v>41698</v>
      </c>
      <c r="AK7959" s="831">
        <v>9241549.7899999991</v>
      </c>
    </row>
    <row r="7960" spans="2:37">
      <c r="B7960" s="834" t="str">
        <f t="shared" si="327"/>
        <v>|||</v>
      </c>
      <c r="H7960" s="835">
        <f t="shared" si="328"/>
        <v>31</v>
      </c>
      <c r="AF7960" s="831" t="s">
        <v>8619</v>
      </c>
      <c r="AG7960" s="831" t="s">
        <v>130</v>
      </c>
      <c r="AH7960" s="831" t="s">
        <v>216</v>
      </c>
      <c r="AI7960" s="831">
        <v>0</v>
      </c>
      <c r="AJ7960" s="835">
        <v>41698</v>
      </c>
      <c r="AK7960" s="831">
        <v>0</v>
      </c>
    </row>
    <row r="7961" spans="2:37">
      <c r="B7961" s="834" t="str">
        <f t="shared" si="327"/>
        <v>|||</v>
      </c>
      <c r="H7961" s="835">
        <f t="shared" si="328"/>
        <v>31</v>
      </c>
      <c r="AF7961" s="831" t="s">
        <v>8620</v>
      </c>
      <c r="AG7961" s="831" t="s">
        <v>130</v>
      </c>
      <c r="AH7961" s="831" t="s">
        <v>218</v>
      </c>
      <c r="AI7961" s="831">
        <v>0</v>
      </c>
      <c r="AJ7961" s="835">
        <v>41698</v>
      </c>
      <c r="AK7961" s="831">
        <v>135514849</v>
      </c>
    </row>
    <row r="7962" spans="2:37">
      <c r="B7962" s="834" t="str">
        <f t="shared" si="327"/>
        <v>|||</v>
      </c>
      <c r="H7962" s="835">
        <f t="shared" si="328"/>
        <v>31</v>
      </c>
      <c r="AF7962" s="831" t="s">
        <v>8621</v>
      </c>
      <c r="AG7962" s="831" t="s">
        <v>130</v>
      </c>
      <c r="AH7962" s="831" t="s">
        <v>220</v>
      </c>
      <c r="AI7962" s="831">
        <v>0</v>
      </c>
      <c r="AJ7962" s="835">
        <v>41698</v>
      </c>
      <c r="AK7962" s="831">
        <v>0</v>
      </c>
    </row>
    <row r="7963" spans="2:37">
      <c r="B7963" s="834" t="str">
        <f t="shared" si="327"/>
        <v>|||</v>
      </c>
      <c r="H7963" s="835">
        <f t="shared" si="328"/>
        <v>31</v>
      </c>
      <c r="AF7963" s="831" t="s">
        <v>8622</v>
      </c>
      <c r="AG7963" s="831" t="s">
        <v>130</v>
      </c>
      <c r="AH7963" s="831" t="s">
        <v>221</v>
      </c>
      <c r="AI7963" s="831">
        <v>0</v>
      </c>
      <c r="AJ7963" s="835">
        <v>41698</v>
      </c>
      <c r="AK7963" s="831">
        <v>13875601</v>
      </c>
    </row>
    <row r="7964" spans="2:37">
      <c r="B7964" s="834" t="str">
        <f t="shared" si="327"/>
        <v>|||</v>
      </c>
      <c r="H7964" s="835">
        <f t="shared" si="328"/>
        <v>31</v>
      </c>
      <c r="AF7964" s="831" t="s">
        <v>8623</v>
      </c>
      <c r="AG7964" s="831" t="s">
        <v>130</v>
      </c>
      <c r="AH7964" s="831" t="s">
        <v>228</v>
      </c>
      <c r="AI7964" s="831">
        <v>0</v>
      </c>
      <c r="AJ7964" s="835">
        <v>41698</v>
      </c>
      <c r="AK7964" s="831">
        <v>0</v>
      </c>
    </row>
    <row r="7965" spans="2:37">
      <c r="B7965" s="834" t="str">
        <f t="shared" si="327"/>
        <v>|||</v>
      </c>
      <c r="H7965" s="835">
        <f t="shared" si="328"/>
        <v>31</v>
      </c>
      <c r="AF7965" s="831" t="s">
        <v>8624</v>
      </c>
      <c r="AG7965" s="831" t="s">
        <v>130</v>
      </c>
      <c r="AH7965" s="831" t="s">
        <v>230</v>
      </c>
      <c r="AI7965" s="831">
        <v>0</v>
      </c>
      <c r="AJ7965" s="835">
        <v>41698</v>
      </c>
      <c r="AK7965" s="831">
        <v>0</v>
      </c>
    </row>
    <row r="7966" spans="2:37">
      <c r="B7966" s="834" t="str">
        <f t="shared" si="327"/>
        <v>|||</v>
      </c>
      <c r="H7966" s="835">
        <f t="shared" si="328"/>
        <v>31</v>
      </c>
      <c r="AF7966" s="831" t="s">
        <v>8625</v>
      </c>
      <c r="AG7966" s="831" t="s">
        <v>130</v>
      </c>
      <c r="AH7966" s="831" t="s">
        <v>231</v>
      </c>
      <c r="AI7966" s="831">
        <v>0</v>
      </c>
      <c r="AJ7966" s="835">
        <v>41698</v>
      </c>
      <c r="AK7966" s="831">
        <v>0</v>
      </c>
    </row>
    <row r="7967" spans="2:37">
      <c r="B7967" s="834" t="str">
        <f t="shared" si="327"/>
        <v>|||</v>
      </c>
      <c r="H7967" s="835">
        <f t="shared" si="328"/>
        <v>31</v>
      </c>
      <c r="AF7967" s="831" t="s">
        <v>8626</v>
      </c>
      <c r="AG7967" s="831" t="s">
        <v>130</v>
      </c>
      <c r="AH7967" s="831" t="s">
        <v>232</v>
      </c>
      <c r="AI7967" s="831">
        <v>0</v>
      </c>
      <c r="AJ7967" s="835">
        <v>41698</v>
      </c>
      <c r="AK7967" s="831">
        <v>241578331</v>
      </c>
    </row>
    <row r="7968" spans="2:37">
      <c r="B7968" s="834" t="str">
        <f t="shared" si="327"/>
        <v>|||</v>
      </c>
      <c r="H7968" s="835">
        <f t="shared" si="328"/>
        <v>31</v>
      </c>
      <c r="AF7968" s="831" t="s">
        <v>8627</v>
      </c>
      <c r="AG7968" s="831" t="s">
        <v>130</v>
      </c>
      <c r="AH7968" s="831" t="s">
        <v>116</v>
      </c>
      <c r="AI7968" s="831">
        <v>0</v>
      </c>
      <c r="AJ7968" s="835">
        <v>41698</v>
      </c>
      <c r="AK7968" s="831">
        <v>8009132</v>
      </c>
    </row>
    <row r="7969" spans="2:37">
      <c r="B7969" s="834" t="str">
        <f t="shared" si="327"/>
        <v>|||</v>
      </c>
      <c r="H7969" s="835">
        <f t="shared" si="328"/>
        <v>31</v>
      </c>
      <c r="AF7969" s="831" t="s">
        <v>8628</v>
      </c>
      <c r="AG7969" s="831" t="s">
        <v>130</v>
      </c>
      <c r="AH7969" s="831" t="s">
        <v>234</v>
      </c>
      <c r="AI7969" s="831">
        <v>0</v>
      </c>
      <c r="AJ7969" s="835">
        <v>41698</v>
      </c>
      <c r="AK7969" s="831">
        <v>0</v>
      </c>
    </row>
    <row r="7970" spans="2:37">
      <c r="B7970" s="834" t="str">
        <f t="shared" si="327"/>
        <v>|||</v>
      </c>
      <c r="H7970" s="835">
        <f t="shared" si="328"/>
        <v>31</v>
      </c>
      <c r="AF7970" s="831" t="s">
        <v>8629</v>
      </c>
      <c r="AG7970" s="831" t="s">
        <v>130</v>
      </c>
      <c r="AH7970" s="831" t="s">
        <v>235</v>
      </c>
      <c r="AI7970" s="831">
        <v>0</v>
      </c>
      <c r="AJ7970" s="835">
        <v>41698</v>
      </c>
      <c r="AK7970" s="831">
        <v>0</v>
      </c>
    </row>
    <row r="7971" spans="2:37">
      <c r="B7971" s="834" t="str">
        <f t="shared" si="327"/>
        <v>|||</v>
      </c>
      <c r="H7971" s="835">
        <f t="shared" si="328"/>
        <v>31</v>
      </c>
      <c r="AF7971" s="831" t="s">
        <v>8630</v>
      </c>
      <c r="AG7971" s="831" t="s">
        <v>130</v>
      </c>
      <c r="AH7971" s="831" t="s">
        <v>238</v>
      </c>
      <c r="AI7971" s="831">
        <v>0</v>
      </c>
      <c r="AJ7971" s="835">
        <v>41698</v>
      </c>
      <c r="AK7971" s="831">
        <v>0</v>
      </c>
    </row>
    <row r="7972" spans="2:37">
      <c r="B7972" s="834" t="str">
        <f t="shared" si="327"/>
        <v>|||</v>
      </c>
      <c r="H7972" s="835">
        <f t="shared" si="328"/>
        <v>31</v>
      </c>
      <c r="AF7972" s="831" t="s">
        <v>8631</v>
      </c>
      <c r="AG7972" s="831" t="s">
        <v>130</v>
      </c>
      <c r="AH7972" s="831" t="s">
        <v>240</v>
      </c>
      <c r="AI7972" s="831">
        <v>0</v>
      </c>
      <c r="AJ7972" s="835">
        <v>41698</v>
      </c>
      <c r="AK7972" s="831">
        <v>85000000</v>
      </c>
    </row>
    <row r="7973" spans="2:37">
      <c r="B7973" s="834" t="str">
        <f t="shared" si="327"/>
        <v>|||</v>
      </c>
      <c r="H7973" s="835">
        <f t="shared" si="328"/>
        <v>31</v>
      </c>
      <c r="AF7973" s="831" t="s">
        <v>8632</v>
      </c>
      <c r="AG7973" s="831" t="s">
        <v>130</v>
      </c>
      <c r="AH7973" s="831" t="s">
        <v>241</v>
      </c>
      <c r="AI7973" s="831">
        <v>0</v>
      </c>
      <c r="AJ7973" s="835">
        <v>41698</v>
      </c>
      <c r="AK7973" s="831">
        <v>0</v>
      </c>
    </row>
    <row r="7974" spans="2:37">
      <c r="B7974" s="834" t="str">
        <f t="shared" si="327"/>
        <v>|||</v>
      </c>
      <c r="H7974" s="835">
        <f t="shared" si="328"/>
        <v>31</v>
      </c>
      <c r="AF7974" s="831" t="s">
        <v>8633</v>
      </c>
      <c r="AG7974" s="831" t="s">
        <v>130</v>
      </c>
      <c r="AH7974" s="831" t="s">
        <v>242</v>
      </c>
      <c r="AI7974" s="831">
        <v>0</v>
      </c>
      <c r="AJ7974" s="835">
        <v>41698</v>
      </c>
      <c r="AK7974" s="831">
        <v>0</v>
      </c>
    </row>
    <row r="7975" spans="2:37">
      <c r="B7975" s="834" t="str">
        <f t="shared" si="327"/>
        <v>|||</v>
      </c>
      <c r="H7975" s="835">
        <f t="shared" si="328"/>
        <v>31</v>
      </c>
      <c r="AF7975" s="831" t="s">
        <v>8634</v>
      </c>
      <c r="AG7975" s="831" t="s">
        <v>130</v>
      </c>
      <c r="AH7975" s="831" t="s">
        <v>244</v>
      </c>
      <c r="AI7975" s="831">
        <v>0</v>
      </c>
      <c r="AJ7975" s="835">
        <v>41698</v>
      </c>
      <c r="AK7975" s="831">
        <v>29089877</v>
      </c>
    </row>
    <row r="7976" spans="2:37">
      <c r="B7976" s="834" t="str">
        <f t="shared" si="327"/>
        <v>|||</v>
      </c>
      <c r="H7976" s="835">
        <f t="shared" si="328"/>
        <v>31</v>
      </c>
      <c r="AF7976" s="831" t="s">
        <v>8635</v>
      </c>
      <c r="AG7976" s="831" t="s">
        <v>130</v>
      </c>
      <c r="AH7976" s="831" t="s">
        <v>245</v>
      </c>
      <c r="AI7976" s="831">
        <v>0</v>
      </c>
      <c r="AJ7976" s="835">
        <v>41698</v>
      </c>
      <c r="AK7976" s="831">
        <v>6525751</v>
      </c>
    </row>
    <row r="7977" spans="2:37">
      <c r="B7977" s="834" t="str">
        <f t="shared" si="327"/>
        <v>|||</v>
      </c>
      <c r="H7977" s="835">
        <f t="shared" si="328"/>
        <v>31</v>
      </c>
      <c r="AF7977" s="831" t="s">
        <v>8636</v>
      </c>
      <c r="AG7977" s="831" t="s">
        <v>130</v>
      </c>
      <c r="AH7977" s="831" t="s">
        <v>145</v>
      </c>
      <c r="AI7977" s="831">
        <v>0</v>
      </c>
      <c r="AJ7977" s="835">
        <v>41729</v>
      </c>
      <c r="AK7977" s="831">
        <v>56901726</v>
      </c>
    </row>
    <row r="7978" spans="2:37">
      <c r="B7978" s="834" t="str">
        <f t="shared" si="327"/>
        <v>|||</v>
      </c>
      <c r="H7978" s="835">
        <f t="shared" si="328"/>
        <v>31</v>
      </c>
      <c r="AF7978" s="831" t="s">
        <v>8637</v>
      </c>
      <c r="AG7978" s="831" t="s">
        <v>130</v>
      </c>
      <c r="AH7978" s="831" t="s">
        <v>149</v>
      </c>
      <c r="AI7978" s="831">
        <v>0</v>
      </c>
      <c r="AJ7978" s="835">
        <v>41729</v>
      </c>
      <c r="AK7978" s="831">
        <v>0</v>
      </c>
    </row>
    <row r="7979" spans="2:37">
      <c r="B7979" s="834" t="str">
        <f t="shared" si="327"/>
        <v>|||</v>
      </c>
      <c r="H7979" s="835">
        <f t="shared" si="328"/>
        <v>31</v>
      </c>
      <c r="AF7979" s="831" t="s">
        <v>8638</v>
      </c>
      <c r="AG7979" s="831" t="s">
        <v>130</v>
      </c>
      <c r="AH7979" s="831" t="s">
        <v>153</v>
      </c>
      <c r="AI7979" s="831">
        <v>0</v>
      </c>
      <c r="AJ7979" s="835">
        <v>41729</v>
      </c>
      <c r="AK7979" s="831">
        <v>60053983</v>
      </c>
    </row>
    <row r="7980" spans="2:37">
      <c r="B7980" s="834" t="str">
        <f t="shared" si="327"/>
        <v>|||</v>
      </c>
      <c r="H7980" s="835">
        <f t="shared" si="328"/>
        <v>31</v>
      </c>
      <c r="AF7980" s="831" t="s">
        <v>8639</v>
      </c>
      <c r="AG7980" s="831" t="s">
        <v>130</v>
      </c>
      <c r="AH7980" s="831" t="s">
        <v>156</v>
      </c>
      <c r="AI7980" s="831">
        <v>0</v>
      </c>
      <c r="AJ7980" s="835">
        <v>41729</v>
      </c>
      <c r="AK7980" s="831">
        <v>0</v>
      </c>
    </row>
    <row r="7981" spans="2:37">
      <c r="B7981" s="834" t="str">
        <f t="shared" si="327"/>
        <v>|||</v>
      </c>
      <c r="H7981" s="835">
        <f t="shared" si="328"/>
        <v>31</v>
      </c>
      <c r="AF7981" s="831" t="s">
        <v>8640</v>
      </c>
      <c r="AG7981" s="831" t="s">
        <v>130</v>
      </c>
      <c r="AH7981" s="831" t="s">
        <v>162</v>
      </c>
      <c r="AI7981" s="831">
        <v>0</v>
      </c>
      <c r="AJ7981" s="835">
        <v>41729</v>
      </c>
      <c r="AK7981" s="831">
        <v>664153787</v>
      </c>
    </row>
    <row r="7982" spans="2:37">
      <c r="B7982" s="834" t="str">
        <f t="shared" si="327"/>
        <v>|||</v>
      </c>
      <c r="H7982" s="835">
        <f t="shared" si="328"/>
        <v>31</v>
      </c>
      <c r="AF7982" s="831" t="s">
        <v>8641</v>
      </c>
      <c r="AG7982" s="831" t="s">
        <v>130</v>
      </c>
      <c r="AH7982" s="831" t="s">
        <v>165</v>
      </c>
      <c r="AI7982" s="831">
        <v>0</v>
      </c>
      <c r="AJ7982" s="835">
        <v>41729</v>
      </c>
      <c r="AK7982" s="831">
        <v>-12498345</v>
      </c>
    </row>
    <row r="7983" spans="2:37">
      <c r="B7983" s="834" t="str">
        <f t="shared" si="327"/>
        <v>|||</v>
      </c>
      <c r="H7983" s="835">
        <f t="shared" si="328"/>
        <v>31</v>
      </c>
      <c r="AF7983" s="831" t="s">
        <v>8642</v>
      </c>
      <c r="AG7983" s="831" t="s">
        <v>130</v>
      </c>
      <c r="AH7983" s="831" t="s">
        <v>171</v>
      </c>
      <c r="AI7983" s="831">
        <v>0</v>
      </c>
      <c r="AJ7983" s="835">
        <v>41729</v>
      </c>
      <c r="AK7983" s="831">
        <v>2948232</v>
      </c>
    </row>
    <row r="7984" spans="2:37">
      <c r="B7984" s="834" t="str">
        <f t="shared" si="327"/>
        <v>|||</v>
      </c>
      <c r="H7984" s="835">
        <f t="shared" si="328"/>
        <v>31</v>
      </c>
      <c r="AF7984" s="831" t="s">
        <v>8643</v>
      </c>
      <c r="AG7984" s="831" t="s">
        <v>130</v>
      </c>
      <c r="AH7984" s="831" t="s">
        <v>174</v>
      </c>
      <c r="AI7984" s="831">
        <v>0</v>
      </c>
      <c r="AJ7984" s="835">
        <v>41729</v>
      </c>
      <c r="AK7984" s="831">
        <v>0</v>
      </c>
    </row>
    <row r="7985" spans="2:37">
      <c r="B7985" s="834" t="str">
        <f t="shared" si="327"/>
        <v>|||</v>
      </c>
      <c r="H7985" s="835">
        <f t="shared" si="328"/>
        <v>31</v>
      </c>
      <c r="AF7985" s="831" t="s">
        <v>8644</v>
      </c>
      <c r="AG7985" s="831" t="s">
        <v>130</v>
      </c>
      <c r="AH7985" s="831" t="s">
        <v>181</v>
      </c>
      <c r="AI7985" s="831">
        <v>0</v>
      </c>
      <c r="AJ7985" s="835">
        <v>41729</v>
      </c>
      <c r="AK7985" s="831">
        <v>61258780</v>
      </c>
    </row>
    <row r="7986" spans="2:37">
      <c r="B7986" s="834" t="str">
        <f t="shared" si="327"/>
        <v>|||</v>
      </c>
      <c r="H7986" s="835">
        <f t="shared" si="328"/>
        <v>31</v>
      </c>
      <c r="AF7986" s="831" t="s">
        <v>8645</v>
      </c>
      <c r="AG7986" s="831" t="s">
        <v>130</v>
      </c>
      <c r="AH7986" s="831" t="s">
        <v>184</v>
      </c>
      <c r="AI7986" s="831">
        <v>0</v>
      </c>
      <c r="AJ7986" s="835">
        <v>41729</v>
      </c>
      <c r="AK7986" s="831">
        <v>-17407360</v>
      </c>
    </row>
    <row r="7987" spans="2:37">
      <c r="B7987" s="834" t="str">
        <f t="shared" si="327"/>
        <v>|||</v>
      </c>
      <c r="H7987" s="835">
        <f t="shared" si="328"/>
        <v>31</v>
      </c>
      <c r="AF7987" s="831" t="s">
        <v>8646</v>
      </c>
      <c r="AG7987" s="831" t="s">
        <v>130</v>
      </c>
      <c r="AH7987" s="831" t="s">
        <v>187</v>
      </c>
      <c r="AI7987" s="831">
        <v>0</v>
      </c>
      <c r="AJ7987" s="835">
        <v>41729</v>
      </c>
      <c r="AK7987" s="831">
        <v>0</v>
      </c>
    </row>
    <row r="7988" spans="2:37">
      <c r="B7988" s="834" t="str">
        <f t="shared" si="327"/>
        <v>|||</v>
      </c>
      <c r="H7988" s="835">
        <f t="shared" si="328"/>
        <v>31</v>
      </c>
      <c r="AF7988" s="831" t="s">
        <v>8647</v>
      </c>
      <c r="AG7988" s="831" t="s">
        <v>130</v>
      </c>
      <c r="AH7988" s="831" t="s">
        <v>196</v>
      </c>
      <c r="AI7988" s="831">
        <v>0</v>
      </c>
      <c r="AJ7988" s="835">
        <v>41729</v>
      </c>
      <c r="AK7988" s="831">
        <v>5477610</v>
      </c>
    </row>
    <row r="7989" spans="2:37">
      <c r="B7989" s="834" t="str">
        <f t="shared" si="327"/>
        <v>|||</v>
      </c>
      <c r="H7989" s="835">
        <f t="shared" si="328"/>
        <v>31</v>
      </c>
      <c r="AF7989" s="831" t="s">
        <v>8648</v>
      </c>
      <c r="AG7989" s="831" t="s">
        <v>130</v>
      </c>
      <c r="AH7989" s="831" t="s">
        <v>197</v>
      </c>
      <c r="AI7989" s="831">
        <v>0</v>
      </c>
      <c r="AJ7989" s="835">
        <v>41729</v>
      </c>
      <c r="AK7989" s="831">
        <v>0</v>
      </c>
    </row>
    <row r="7990" spans="2:37">
      <c r="B7990" s="834" t="str">
        <f t="shared" si="327"/>
        <v>|||</v>
      </c>
      <c r="H7990" s="835">
        <f t="shared" si="328"/>
        <v>31</v>
      </c>
      <c r="AF7990" s="831" t="s">
        <v>8649</v>
      </c>
      <c r="AG7990" s="831" t="s">
        <v>130</v>
      </c>
      <c r="AH7990" s="831" t="s">
        <v>199</v>
      </c>
      <c r="AI7990" s="831">
        <v>0</v>
      </c>
      <c r="AJ7990" s="835">
        <v>41729</v>
      </c>
      <c r="AK7990" s="831">
        <v>0</v>
      </c>
    </row>
    <row r="7991" spans="2:37">
      <c r="B7991" s="834" t="str">
        <f t="shared" si="327"/>
        <v>|||</v>
      </c>
      <c r="H7991" s="835">
        <f t="shared" si="328"/>
        <v>31</v>
      </c>
      <c r="AF7991" s="831" t="s">
        <v>8650</v>
      </c>
      <c r="AG7991" s="831" t="s">
        <v>130</v>
      </c>
      <c r="AH7991" s="831" t="s">
        <v>201</v>
      </c>
      <c r="AI7991" s="831">
        <v>0</v>
      </c>
      <c r="AJ7991" s="835">
        <v>41729</v>
      </c>
      <c r="AK7991" s="831">
        <v>13414770</v>
      </c>
    </row>
    <row r="7992" spans="2:37">
      <c r="B7992" s="834" t="str">
        <f t="shared" si="327"/>
        <v>|||</v>
      </c>
      <c r="H7992" s="835">
        <f t="shared" si="328"/>
        <v>31</v>
      </c>
      <c r="AF7992" s="831" t="s">
        <v>8651</v>
      </c>
      <c r="AG7992" s="831" t="s">
        <v>130</v>
      </c>
      <c r="AH7992" s="831" t="s">
        <v>209</v>
      </c>
      <c r="AI7992" s="831">
        <v>0</v>
      </c>
      <c r="AJ7992" s="835">
        <v>41729</v>
      </c>
      <c r="AK7992" s="831">
        <v>64971851</v>
      </c>
    </row>
    <row r="7993" spans="2:37">
      <c r="B7993" s="834" t="str">
        <f t="shared" si="327"/>
        <v>|||</v>
      </c>
      <c r="H7993" s="835">
        <f t="shared" si="328"/>
        <v>31</v>
      </c>
      <c r="AF7993" s="831" t="s">
        <v>8652</v>
      </c>
      <c r="AG7993" s="831" t="s">
        <v>130</v>
      </c>
      <c r="AH7993" s="831" t="s">
        <v>211</v>
      </c>
      <c r="AI7993" s="831">
        <v>0</v>
      </c>
      <c r="AJ7993" s="835">
        <v>41729</v>
      </c>
      <c r="AK7993" s="831">
        <v>214338172</v>
      </c>
    </row>
    <row r="7994" spans="2:37">
      <c r="B7994" s="834" t="str">
        <f t="shared" si="327"/>
        <v>|||</v>
      </c>
      <c r="H7994" s="835">
        <f t="shared" si="328"/>
        <v>31</v>
      </c>
      <c r="AF7994" s="831" t="s">
        <v>8653</v>
      </c>
      <c r="AG7994" s="831" t="s">
        <v>130</v>
      </c>
      <c r="AH7994" s="831" t="s">
        <v>212</v>
      </c>
      <c r="AI7994" s="831">
        <v>0</v>
      </c>
      <c r="AJ7994" s="835">
        <v>41729</v>
      </c>
      <c r="AK7994" s="831">
        <v>8770359</v>
      </c>
    </row>
    <row r="7995" spans="2:37">
      <c r="B7995" s="834" t="str">
        <f t="shared" si="327"/>
        <v>|||</v>
      </c>
      <c r="H7995" s="835">
        <f t="shared" si="328"/>
        <v>31</v>
      </c>
      <c r="AF7995" s="831" t="s">
        <v>8654</v>
      </c>
      <c r="AG7995" s="831" t="s">
        <v>130</v>
      </c>
      <c r="AH7995" s="831" t="s">
        <v>216</v>
      </c>
      <c r="AI7995" s="831">
        <v>0</v>
      </c>
      <c r="AJ7995" s="835">
        <v>41729</v>
      </c>
      <c r="AK7995" s="831">
        <v>0</v>
      </c>
    </row>
    <row r="7996" spans="2:37">
      <c r="B7996" s="834" t="str">
        <f t="shared" si="327"/>
        <v>|||</v>
      </c>
      <c r="H7996" s="835">
        <f t="shared" si="328"/>
        <v>31</v>
      </c>
      <c r="AF7996" s="831" t="s">
        <v>8655</v>
      </c>
      <c r="AG7996" s="831" t="s">
        <v>130</v>
      </c>
      <c r="AH7996" s="831" t="s">
        <v>218</v>
      </c>
      <c r="AI7996" s="831">
        <v>0</v>
      </c>
      <c r="AJ7996" s="835">
        <v>41729</v>
      </c>
      <c r="AK7996" s="831">
        <v>154164030</v>
      </c>
    </row>
    <row r="7997" spans="2:37">
      <c r="B7997" s="834" t="str">
        <f t="shared" si="327"/>
        <v>|||</v>
      </c>
      <c r="H7997" s="835">
        <f t="shared" si="328"/>
        <v>31</v>
      </c>
      <c r="AF7997" s="831" t="s">
        <v>8656</v>
      </c>
      <c r="AG7997" s="831" t="s">
        <v>130</v>
      </c>
      <c r="AH7997" s="831" t="s">
        <v>220</v>
      </c>
      <c r="AI7997" s="831">
        <v>0</v>
      </c>
      <c r="AJ7997" s="835">
        <v>41729</v>
      </c>
      <c r="AK7997" s="831">
        <v>0</v>
      </c>
    </row>
    <row r="7998" spans="2:37">
      <c r="B7998" s="834" t="str">
        <f t="shared" si="327"/>
        <v>|||</v>
      </c>
      <c r="H7998" s="835">
        <f t="shared" si="328"/>
        <v>31</v>
      </c>
      <c r="AF7998" s="831" t="s">
        <v>8657</v>
      </c>
      <c r="AG7998" s="831" t="s">
        <v>130</v>
      </c>
      <c r="AH7998" s="831" t="s">
        <v>221</v>
      </c>
      <c r="AI7998" s="831">
        <v>0</v>
      </c>
      <c r="AJ7998" s="835">
        <v>41729</v>
      </c>
      <c r="AK7998" s="831">
        <v>10913953</v>
      </c>
    </row>
    <row r="7999" spans="2:37">
      <c r="B7999" s="834" t="str">
        <f t="shared" si="327"/>
        <v>|||</v>
      </c>
      <c r="H7999" s="835">
        <f t="shared" si="328"/>
        <v>31</v>
      </c>
      <c r="AF7999" s="831" t="s">
        <v>8658</v>
      </c>
      <c r="AG7999" s="831" t="s">
        <v>130</v>
      </c>
      <c r="AH7999" s="831" t="s">
        <v>228</v>
      </c>
      <c r="AI7999" s="831">
        <v>0</v>
      </c>
      <c r="AJ7999" s="835">
        <v>41729</v>
      </c>
      <c r="AK7999" s="831">
        <v>0</v>
      </c>
    </row>
    <row r="8000" spans="2:37">
      <c r="B8000" s="834" t="str">
        <f t="shared" si="327"/>
        <v>|||</v>
      </c>
      <c r="H8000" s="835">
        <f t="shared" si="328"/>
        <v>31</v>
      </c>
      <c r="AF8000" s="831" t="s">
        <v>8659</v>
      </c>
      <c r="AG8000" s="831" t="s">
        <v>130</v>
      </c>
      <c r="AH8000" s="831" t="s">
        <v>230</v>
      </c>
      <c r="AI8000" s="831">
        <v>0</v>
      </c>
      <c r="AJ8000" s="835">
        <v>41729</v>
      </c>
      <c r="AK8000" s="831">
        <v>0</v>
      </c>
    </row>
    <row r="8001" spans="2:37">
      <c r="B8001" s="834" t="str">
        <f t="shared" si="327"/>
        <v>|||</v>
      </c>
      <c r="H8001" s="835">
        <f t="shared" si="328"/>
        <v>31</v>
      </c>
      <c r="AF8001" s="831" t="s">
        <v>8660</v>
      </c>
      <c r="AG8001" s="831" t="s">
        <v>130</v>
      </c>
      <c r="AH8001" s="831" t="s">
        <v>231</v>
      </c>
      <c r="AI8001" s="831">
        <v>0</v>
      </c>
      <c r="AJ8001" s="835">
        <v>41729</v>
      </c>
      <c r="AK8001" s="831">
        <v>0</v>
      </c>
    </row>
    <row r="8002" spans="2:37">
      <c r="B8002" s="834" t="str">
        <f t="shared" si="327"/>
        <v>|||</v>
      </c>
      <c r="H8002" s="835">
        <f t="shared" si="328"/>
        <v>31</v>
      </c>
      <c r="AF8002" s="831" t="s">
        <v>8661</v>
      </c>
      <c r="AG8002" s="831" t="s">
        <v>130</v>
      </c>
      <c r="AH8002" s="831" t="s">
        <v>232</v>
      </c>
      <c r="AI8002" s="831">
        <v>0</v>
      </c>
      <c r="AJ8002" s="835">
        <v>41729</v>
      </c>
      <c r="AK8002" s="831">
        <v>248929917</v>
      </c>
    </row>
    <row r="8003" spans="2:37">
      <c r="B8003" s="834" t="str">
        <f t="shared" ref="B8003:B8066" si="329">C8003&amp;"|"&amp;D8003&amp;"|"&amp;E8003&amp;"|"&amp;F8003</f>
        <v>|||</v>
      </c>
      <c r="H8003" s="835">
        <f t="shared" si="328"/>
        <v>31</v>
      </c>
      <c r="AF8003" s="831" t="s">
        <v>8662</v>
      </c>
      <c r="AG8003" s="831" t="s">
        <v>130</v>
      </c>
      <c r="AH8003" s="831" t="s">
        <v>116</v>
      </c>
      <c r="AI8003" s="831">
        <v>0</v>
      </c>
      <c r="AJ8003" s="835">
        <v>41729</v>
      </c>
      <c r="AK8003" s="831">
        <v>8008111</v>
      </c>
    </row>
    <row r="8004" spans="2:37">
      <c r="B8004" s="834" t="str">
        <f t="shared" si="329"/>
        <v>|||</v>
      </c>
      <c r="H8004" s="835">
        <f t="shared" ref="H8004:H8067" si="330">EOMONTH(L8004,0)</f>
        <v>31</v>
      </c>
      <c r="AF8004" s="831" t="s">
        <v>8663</v>
      </c>
      <c r="AG8004" s="831" t="s">
        <v>130</v>
      </c>
      <c r="AH8004" s="831" t="s">
        <v>234</v>
      </c>
      <c r="AI8004" s="831">
        <v>0</v>
      </c>
      <c r="AJ8004" s="835">
        <v>41729</v>
      </c>
      <c r="AK8004" s="831">
        <v>0</v>
      </c>
    </row>
    <row r="8005" spans="2:37">
      <c r="B8005" s="834" t="str">
        <f t="shared" si="329"/>
        <v>|||</v>
      </c>
      <c r="H8005" s="835">
        <f t="shared" si="330"/>
        <v>31</v>
      </c>
      <c r="AF8005" s="831" t="s">
        <v>8664</v>
      </c>
      <c r="AG8005" s="831" t="s">
        <v>130</v>
      </c>
      <c r="AH8005" s="831" t="s">
        <v>235</v>
      </c>
      <c r="AI8005" s="831">
        <v>0</v>
      </c>
      <c r="AJ8005" s="835">
        <v>41729</v>
      </c>
      <c r="AK8005" s="831">
        <v>0</v>
      </c>
    </row>
    <row r="8006" spans="2:37">
      <c r="B8006" s="834" t="str">
        <f t="shared" si="329"/>
        <v>|||</v>
      </c>
      <c r="H8006" s="835">
        <f t="shared" si="330"/>
        <v>31</v>
      </c>
      <c r="AF8006" s="831" t="s">
        <v>8665</v>
      </c>
      <c r="AG8006" s="831" t="s">
        <v>130</v>
      </c>
      <c r="AH8006" s="831" t="s">
        <v>238</v>
      </c>
      <c r="AI8006" s="831">
        <v>0</v>
      </c>
      <c r="AJ8006" s="835">
        <v>41729</v>
      </c>
      <c r="AK8006" s="831">
        <v>0</v>
      </c>
    </row>
    <row r="8007" spans="2:37">
      <c r="B8007" s="834" t="str">
        <f t="shared" si="329"/>
        <v>|||</v>
      </c>
      <c r="H8007" s="835">
        <f t="shared" si="330"/>
        <v>31</v>
      </c>
      <c r="AF8007" s="831" t="s">
        <v>8666</v>
      </c>
      <c r="AG8007" s="831" t="s">
        <v>130</v>
      </c>
      <c r="AH8007" s="831" t="s">
        <v>240</v>
      </c>
      <c r="AI8007" s="831">
        <v>0</v>
      </c>
      <c r="AJ8007" s="835">
        <v>41729</v>
      </c>
      <c r="AK8007" s="831">
        <v>85000000</v>
      </c>
    </row>
    <row r="8008" spans="2:37">
      <c r="B8008" s="834" t="str">
        <f t="shared" si="329"/>
        <v>|||</v>
      </c>
      <c r="H8008" s="835">
        <f t="shared" si="330"/>
        <v>31</v>
      </c>
      <c r="AF8008" s="831" t="s">
        <v>8667</v>
      </c>
      <c r="AG8008" s="831" t="s">
        <v>130</v>
      </c>
      <c r="AH8008" s="831" t="s">
        <v>241</v>
      </c>
      <c r="AI8008" s="831">
        <v>0</v>
      </c>
      <c r="AJ8008" s="835">
        <v>41729</v>
      </c>
      <c r="AK8008" s="831">
        <v>0</v>
      </c>
    </row>
    <row r="8009" spans="2:37">
      <c r="B8009" s="834" t="str">
        <f t="shared" si="329"/>
        <v>|||</v>
      </c>
      <c r="H8009" s="835">
        <f t="shared" si="330"/>
        <v>31</v>
      </c>
      <c r="AF8009" s="831" t="s">
        <v>8668</v>
      </c>
      <c r="AG8009" s="831" t="s">
        <v>130</v>
      </c>
      <c r="AH8009" s="831" t="s">
        <v>242</v>
      </c>
      <c r="AI8009" s="831">
        <v>0</v>
      </c>
      <c r="AJ8009" s="835">
        <v>41729</v>
      </c>
      <c r="AK8009" s="831">
        <v>0</v>
      </c>
    </row>
    <row r="8010" spans="2:37">
      <c r="B8010" s="834" t="str">
        <f t="shared" si="329"/>
        <v>|||</v>
      </c>
      <c r="H8010" s="835">
        <f t="shared" si="330"/>
        <v>31</v>
      </c>
      <c r="AF8010" s="831" t="s">
        <v>8669</v>
      </c>
      <c r="AG8010" s="831" t="s">
        <v>130</v>
      </c>
      <c r="AH8010" s="831" t="s">
        <v>244</v>
      </c>
      <c r="AI8010" s="831">
        <v>0</v>
      </c>
      <c r="AJ8010" s="835">
        <v>41729</v>
      </c>
      <c r="AK8010" s="831">
        <v>29134582</v>
      </c>
    </row>
    <row r="8011" spans="2:37">
      <c r="B8011" s="834" t="str">
        <f t="shared" si="329"/>
        <v>|||</v>
      </c>
      <c r="H8011" s="835">
        <f t="shared" si="330"/>
        <v>31</v>
      </c>
      <c r="AF8011" s="831" t="s">
        <v>8670</v>
      </c>
      <c r="AG8011" s="831" t="s">
        <v>130</v>
      </c>
      <c r="AH8011" s="831" t="s">
        <v>245</v>
      </c>
      <c r="AI8011" s="831">
        <v>0</v>
      </c>
      <c r="AJ8011" s="835">
        <v>41729</v>
      </c>
      <c r="AK8011" s="831">
        <v>10072208</v>
      </c>
    </row>
    <row r="8012" spans="2:37">
      <c r="B8012" s="834" t="str">
        <f t="shared" si="329"/>
        <v>|||</v>
      </c>
      <c r="H8012" s="835">
        <f t="shared" si="330"/>
        <v>31</v>
      </c>
      <c r="AF8012" s="831" t="s">
        <v>8671</v>
      </c>
      <c r="AG8012" s="831" t="s">
        <v>130</v>
      </c>
      <c r="AH8012" s="831" t="s">
        <v>145</v>
      </c>
      <c r="AI8012" s="831">
        <v>0</v>
      </c>
      <c r="AJ8012" s="835">
        <v>41759</v>
      </c>
      <c r="AK8012" s="831">
        <v>51897193</v>
      </c>
    </row>
    <row r="8013" spans="2:37">
      <c r="B8013" s="834" t="str">
        <f t="shared" si="329"/>
        <v>|||</v>
      </c>
      <c r="H8013" s="835">
        <f t="shared" si="330"/>
        <v>31</v>
      </c>
      <c r="AF8013" s="831" t="s">
        <v>8672</v>
      </c>
      <c r="AG8013" s="831" t="s">
        <v>130</v>
      </c>
      <c r="AH8013" s="831" t="s">
        <v>149</v>
      </c>
      <c r="AI8013" s="831">
        <v>0</v>
      </c>
      <c r="AJ8013" s="835">
        <v>41759</v>
      </c>
      <c r="AK8013" s="831">
        <v>0</v>
      </c>
    </row>
    <row r="8014" spans="2:37">
      <c r="B8014" s="834" t="str">
        <f t="shared" si="329"/>
        <v>|||</v>
      </c>
      <c r="H8014" s="835">
        <f t="shared" si="330"/>
        <v>31</v>
      </c>
      <c r="AF8014" s="831" t="s">
        <v>8673</v>
      </c>
      <c r="AG8014" s="831" t="s">
        <v>130</v>
      </c>
      <c r="AH8014" s="831" t="s">
        <v>153</v>
      </c>
      <c r="AI8014" s="831">
        <v>0</v>
      </c>
      <c r="AJ8014" s="835">
        <v>41759</v>
      </c>
      <c r="AK8014" s="831">
        <v>38045166</v>
      </c>
    </row>
    <row r="8015" spans="2:37">
      <c r="B8015" s="834" t="str">
        <f t="shared" si="329"/>
        <v>|||</v>
      </c>
      <c r="H8015" s="835">
        <f t="shared" si="330"/>
        <v>31</v>
      </c>
      <c r="AF8015" s="831" t="s">
        <v>8674</v>
      </c>
      <c r="AG8015" s="831" t="s">
        <v>130</v>
      </c>
      <c r="AH8015" s="831" t="s">
        <v>156</v>
      </c>
      <c r="AI8015" s="831">
        <v>0</v>
      </c>
      <c r="AJ8015" s="835">
        <v>41759</v>
      </c>
      <c r="AK8015" s="831">
        <v>0</v>
      </c>
    </row>
    <row r="8016" spans="2:37">
      <c r="B8016" s="834" t="str">
        <f t="shared" si="329"/>
        <v>|||</v>
      </c>
      <c r="H8016" s="835">
        <f t="shared" si="330"/>
        <v>31</v>
      </c>
      <c r="AF8016" s="831" t="s">
        <v>8675</v>
      </c>
      <c r="AG8016" s="831" t="s">
        <v>130</v>
      </c>
      <c r="AH8016" s="831" t="s">
        <v>162</v>
      </c>
      <c r="AI8016" s="831">
        <v>0</v>
      </c>
      <c r="AJ8016" s="835">
        <v>41759</v>
      </c>
      <c r="AK8016" s="831">
        <v>695634421</v>
      </c>
    </row>
    <row r="8017" spans="2:37">
      <c r="B8017" s="834" t="str">
        <f t="shared" si="329"/>
        <v>|||</v>
      </c>
      <c r="H8017" s="835">
        <f t="shared" si="330"/>
        <v>31</v>
      </c>
      <c r="AF8017" s="831" t="s">
        <v>8676</v>
      </c>
      <c r="AG8017" s="831" t="s">
        <v>130</v>
      </c>
      <c r="AH8017" s="831" t="s">
        <v>165</v>
      </c>
      <c r="AI8017" s="831">
        <v>0</v>
      </c>
      <c r="AJ8017" s="835">
        <v>41759</v>
      </c>
      <c r="AK8017" s="831">
        <v>-13335656</v>
      </c>
    </row>
    <row r="8018" spans="2:37">
      <c r="B8018" s="834" t="str">
        <f t="shared" si="329"/>
        <v>|||</v>
      </c>
      <c r="H8018" s="835">
        <f t="shared" si="330"/>
        <v>31</v>
      </c>
      <c r="AF8018" s="831" t="s">
        <v>8677</v>
      </c>
      <c r="AG8018" s="831" t="s">
        <v>130</v>
      </c>
      <c r="AH8018" s="831" t="s">
        <v>171</v>
      </c>
      <c r="AI8018" s="831">
        <v>0</v>
      </c>
      <c r="AJ8018" s="835">
        <v>41759</v>
      </c>
      <c r="AK8018" s="831">
        <v>3577036</v>
      </c>
    </row>
    <row r="8019" spans="2:37">
      <c r="B8019" s="834" t="str">
        <f t="shared" si="329"/>
        <v>|||</v>
      </c>
      <c r="H8019" s="835">
        <f t="shared" si="330"/>
        <v>31</v>
      </c>
      <c r="AF8019" s="831" t="s">
        <v>8678</v>
      </c>
      <c r="AG8019" s="831" t="s">
        <v>130</v>
      </c>
      <c r="AH8019" s="831" t="s">
        <v>174</v>
      </c>
      <c r="AI8019" s="831">
        <v>0</v>
      </c>
      <c r="AJ8019" s="835">
        <v>41759</v>
      </c>
      <c r="AK8019" s="831">
        <v>0</v>
      </c>
    </row>
    <row r="8020" spans="2:37">
      <c r="B8020" s="834" t="str">
        <f t="shared" si="329"/>
        <v>|||</v>
      </c>
      <c r="H8020" s="835">
        <f t="shared" si="330"/>
        <v>31</v>
      </c>
      <c r="AF8020" s="831" t="s">
        <v>8679</v>
      </c>
      <c r="AG8020" s="831" t="s">
        <v>130</v>
      </c>
      <c r="AH8020" s="831" t="s">
        <v>181</v>
      </c>
      <c r="AI8020" s="831">
        <v>0</v>
      </c>
      <c r="AJ8020" s="835">
        <v>41759</v>
      </c>
      <c r="AK8020" s="831">
        <v>62525898</v>
      </c>
    </row>
    <row r="8021" spans="2:37">
      <c r="B8021" s="834" t="str">
        <f t="shared" si="329"/>
        <v>|||</v>
      </c>
      <c r="H8021" s="835">
        <f t="shared" si="330"/>
        <v>31</v>
      </c>
      <c r="AF8021" s="831" t="s">
        <v>8680</v>
      </c>
      <c r="AG8021" s="831" t="s">
        <v>130</v>
      </c>
      <c r="AH8021" s="831" t="s">
        <v>184</v>
      </c>
      <c r="AI8021" s="831">
        <v>0</v>
      </c>
      <c r="AJ8021" s="835">
        <v>41759</v>
      </c>
      <c r="AK8021" s="831">
        <v>-18880130</v>
      </c>
    </row>
    <row r="8022" spans="2:37">
      <c r="B8022" s="834" t="str">
        <f t="shared" si="329"/>
        <v>|||</v>
      </c>
      <c r="H8022" s="835">
        <f t="shared" si="330"/>
        <v>31</v>
      </c>
      <c r="AF8022" s="831" t="s">
        <v>8681</v>
      </c>
      <c r="AG8022" s="831" t="s">
        <v>130</v>
      </c>
      <c r="AH8022" s="831" t="s">
        <v>187</v>
      </c>
      <c r="AI8022" s="831">
        <v>0</v>
      </c>
      <c r="AJ8022" s="835">
        <v>41759</v>
      </c>
      <c r="AK8022" s="831">
        <v>0</v>
      </c>
    </row>
    <row r="8023" spans="2:37">
      <c r="B8023" s="834" t="str">
        <f t="shared" si="329"/>
        <v>|||</v>
      </c>
      <c r="H8023" s="835">
        <f t="shared" si="330"/>
        <v>31</v>
      </c>
      <c r="AF8023" s="831" t="s">
        <v>8682</v>
      </c>
      <c r="AG8023" s="831" t="s">
        <v>130</v>
      </c>
      <c r="AH8023" s="831" t="s">
        <v>196</v>
      </c>
      <c r="AI8023" s="831">
        <v>0</v>
      </c>
      <c r="AJ8023" s="835">
        <v>41759</v>
      </c>
      <c r="AK8023" s="831">
        <v>3997580</v>
      </c>
    </row>
    <row r="8024" spans="2:37">
      <c r="B8024" s="834" t="str">
        <f t="shared" si="329"/>
        <v>|||</v>
      </c>
      <c r="H8024" s="835">
        <f t="shared" si="330"/>
        <v>31</v>
      </c>
      <c r="AF8024" s="831" t="s">
        <v>8683</v>
      </c>
      <c r="AG8024" s="831" t="s">
        <v>130</v>
      </c>
      <c r="AH8024" s="831" t="s">
        <v>197</v>
      </c>
      <c r="AI8024" s="831">
        <v>0</v>
      </c>
      <c r="AJ8024" s="835">
        <v>41759</v>
      </c>
      <c r="AK8024" s="831">
        <v>0</v>
      </c>
    </row>
    <row r="8025" spans="2:37">
      <c r="B8025" s="834" t="str">
        <f t="shared" si="329"/>
        <v>|||</v>
      </c>
      <c r="H8025" s="835">
        <f t="shared" si="330"/>
        <v>31</v>
      </c>
      <c r="AF8025" s="831" t="s">
        <v>8684</v>
      </c>
      <c r="AG8025" s="831" t="s">
        <v>130</v>
      </c>
      <c r="AH8025" s="831" t="s">
        <v>199</v>
      </c>
      <c r="AI8025" s="831">
        <v>0</v>
      </c>
      <c r="AJ8025" s="835">
        <v>41759</v>
      </c>
      <c r="AK8025" s="831">
        <v>0</v>
      </c>
    </row>
    <row r="8026" spans="2:37">
      <c r="B8026" s="834" t="str">
        <f t="shared" si="329"/>
        <v>|||</v>
      </c>
      <c r="H8026" s="835">
        <f t="shared" si="330"/>
        <v>31</v>
      </c>
      <c r="AF8026" s="831" t="s">
        <v>8685</v>
      </c>
      <c r="AG8026" s="831" t="s">
        <v>130</v>
      </c>
      <c r="AH8026" s="831" t="s">
        <v>201</v>
      </c>
      <c r="AI8026" s="831">
        <v>0</v>
      </c>
      <c r="AJ8026" s="835">
        <v>41759</v>
      </c>
      <c r="AK8026" s="831">
        <v>14808038</v>
      </c>
    </row>
    <row r="8027" spans="2:37">
      <c r="B8027" s="834" t="str">
        <f t="shared" si="329"/>
        <v>|||</v>
      </c>
      <c r="H8027" s="835">
        <f t="shared" si="330"/>
        <v>31</v>
      </c>
      <c r="AF8027" s="831" t="s">
        <v>8686</v>
      </c>
      <c r="AG8027" s="831" t="s">
        <v>130</v>
      </c>
      <c r="AH8027" s="831" t="s">
        <v>209</v>
      </c>
      <c r="AI8027" s="831">
        <v>0</v>
      </c>
      <c r="AJ8027" s="835">
        <v>41759</v>
      </c>
      <c r="AK8027" s="831">
        <v>60789788</v>
      </c>
    </row>
    <row r="8028" spans="2:37">
      <c r="B8028" s="834" t="str">
        <f t="shared" si="329"/>
        <v>|||</v>
      </c>
      <c r="H8028" s="835">
        <f t="shared" si="330"/>
        <v>31</v>
      </c>
      <c r="AF8028" s="831" t="s">
        <v>8687</v>
      </c>
      <c r="AG8028" s="831" t="s">
        <v>130</v>
      </c>
      <c r="AH8028" s="831" t="s">
        <v>211</v>
      </c>
      <c r="AI8028" s="831">
        <v>0</v>
      </c>
      <c r="AJ8028" s="835">
        <v>41759</v>
      </c>
      <c r="AK8028" s="831">
        <v>222418168</v>
      </c>
    </row>
    <row r="8029" spans="2:37">
      <c r="B8029" s="834" t="str">
        <f t="shared" si="329"/>
        <v>|||</v>
      </c>
      <c r="H8029" s="835">
        <f t="shared" si="330"/>
        <v>31</v>
      </c>
      <c r="AF8029" s="831" t="s">
        <v>8688</v>
      </c>
      <c r="AG8029" s="831" t="s">
        <v>130</v>
      </c>
      <c r="AH8029" s="831" t="s">
        <v>212</v>
      </c>
      <c r="AI8029" s="831">
        <v>0</v>
      </c>
      <c r="AJ8029" s="835">
        <v>41759</v>
      </c>
      <c r="AK8029" s="831">
        <v>9291175</v>
      </c>
    </row>
    <row r="8030" spans="2:37">
      <c r="B8030" s="834" t="str">
        <f t="shared" si="329"/>
        <v>|||</v>
      </c>
      <c r="H8030" s="835">
        <f t="shared" si="330"/>
        <v>31</v>
      </c>
      <c r="AF8030" s="831" t="s">
        <v>8689</v>
      </c>
      <c r="AG8030" s="831" t="s">
        <v>130</v>
      </c>
      <c r="AH8030" s="831" t="s">
        <v>216</v>
      </c>
      <c r="AI8030" s="831">
        <v>0</v>
      </c>
      <c r="AJ8030" s="835">
        <v>41759</v>
      </c>
      <c r="AK8030" s="831">
        <v>0</v>
      </c>
    </row>
    <row r="8031" spans="2:37">
      <c r="B8031" s="834" t="str">
        <f t="shared" si="329"/>
        <v>|||</v>
      </c>
      <c r="H8031" s="835">
        <f t="shared" si="330"/>
        <v>31</v>
      </c>
      <c r="AF8031" s="831" t="s">
        <v>8690</v>
      </c>
      <c r="AG8031" s="831" t="s">
        <v>130</v>
      </c>
      <c r="AH8031" s="831" t="s">
        <v>218</v>
      </c>
      <c r="AI8031" s="831">
        <v>0</v>
      </c>
      <c r="AJ8031" s="835">
        <v>41759</v>
      </c>
      <c r="AK8031" s="831">
        <v>148492220</v>
      </c>
    </row>
    <row r="8032" spans="2:37">
      <c r="B8032" s="834" t="str">
        <f t="shared" si="329"/>
        <v>|||</v>
      </c>
      <c r="H8032" s="835">
        <f t="shared" si="330"/>
        <v>31</v>
      </c>
      <c r="AF8032" s="831" t="s">
        <v>8691</v>
      </c>
      <c r="AG8032" s="831" t="s">
        <v>130</v>
      </c>
      <c r="AH8032" s="831" t="s">
        <v>220</v>
      </c>
      <c r="AI8032" s="831">
        <v>0</v>
      </c>
      <c r="AJ8032" s="835">
        <v>41759</v>
      </c>
      <c r="AK8032" s="831">
        <v>0</v>
      </c>
    </row>
    <row r="8033" spans="2:37">
      <c r="B8033" s="834" t="str">
        <f t="shared" si="329"/>
        <v>|||</v>
      </c>
      <c r="H8033" s="835">
        <f t="shared" si="330"/>
        <v>31</v>
      </c>
      <c r="AF8033" s="831" t="s">
        <v>8692</v>
      </c>
      <c r="AG8033" s="831" t="s">
        <v>130</v>
      </c>
      <c r="AH8033" s="831" t="s">
        <v>221</v>
      </c>
      <c r="AI8033" s="831">
        <v>0</v>
      </c>
      <c r="AJ8033" s="835">
        <v>41759</v>
      </c>
      <c r="AK8033" s="831">
        <v>9655063</v>
      </c>
    </row>
    <row r="8034" spans="2:37">
      <c r="B8034" s="834" t="str">
        <f t="shared" si="329"/>
        <v>|||</v>
      </c>
      <c r="H8034" s="835">
        <f t="shared" si="330"/>
        <v>31</v>
      </c>
      <c r="AF8034" s="831" t="s">
        <v>8693</v>
      </c>
      <c r="AG8034" s="831" t="s">
        <v>130</v>
      </c>
      <c r="AH8034" s="831" t="s">
        <v>228</v>
      </c>
      <c r="AI8034" s="831">
        <v>0</v>
      </c>
      <c r="AJ8034" s="835">
        <v>41759</v>
      </c>
      <c r="AK8034" s="831">
        <v>0</v>
      </c>
    </row>
    <row r="8035" spans="2:37">
      <c r="B8035" s="834" t="str">
        <f t="shared" si="329"/>
        <v>|||</v>
      </c>
      <c r="H8035" s="835">
        <f t="shared" si="330"/>
        <v>31</v>
      </c>
      <c r="AF8035" s="831" t="s">
        <v>8694</v>
      </c>
      <c r="AG8035" s="831" t="s">
        <v>130</v>
      </c>
      <c r="AH8035" s="831" t="s">
        <v>230</v>
      </c>
      <c r="AI8035" s="831">
        <v>0</v>
      </c>
      <c r="AJ8035" s="835">
        <v>41759</v>
      </c>
      <c r="AK8035" s="831">
        <v>0</v>
      </c>
    </row>
    <row r="8036" spans="2:37">
      <c r="B8036" s="834" t="str">
        <f t="shared" si="329"/>
        <v>|||</v>
      </c>
      <c r="H8036" s="835">
        <f t="shared" si="330"/>
        <v>31</v>
      </c>
      <c r="AF8036" s="831" t="s">
        <v>8695</v>
      </c>
      <c r="AG8036" s="831" t="s">
        <v>130</v>
      </c>
      <c r="AH8036" s="831" t="s">
        <v>231</v>
      </c>
      <c r="AI8036" s="831">
        <v>0</v>
      </c>
      <c r="AJ8036" s="835">
        <v>41759</v>
      </c>
      <c r="AK8036" s="831">
        <v>0</v>
      </c>
    </row>
    <row r="8037" spans="2:37">
      <c r="B8037" s="834" t="str">
        <f t="shared" si="329"/>
        <v>|||</v>
      </c>
      <c r="H8037" s="835">
        <f t="shared" si="330"/>
        <v>31</v>
      </c>
      <c r="AF8037" s="831" t="s">
        <v>8696</v>
      </c>
      <c r="AG8037" s="831" t="s">
        <v>130</v>
      </c>
      <c r="AH8037" s="831" t="s">
        <v>232</v>
      </c>
      <c r="AI8037" s="831">
        <v>0</v>
      </c>
      <c r="AJ8037" s="835">
        <v>41759</v>
      </c>
      <c r="AK8037" s="831">
        <v>252459270</v>
      </c>
    </row>
    <row r="8038" spans="2:37">
      <c r="B8038" s="834" t="str">
        <f t="shared" si="329"/>
        <v>|||</v>
      </c>
      <c r="H8038" s="835">
        <f t="shared" si="330"/>
        <v>31</v>
      </c>
      <c r="AF8038" s="831" t="s">
        <v>8697</v>
      </c>
      <c r="AG8038" s="831" t="s">
        <v>130</v>
      </c>
      <c r="AH8038" s="831" t="s">
        <v>116</v>
      </c>
      <c r="AI8038" s="831">
        <v>0</v>
      </c>
      <c r="AJ8038" s="835">
        <v>41759</v>
      </c>
      <c r="AK8038" s="831">
        <v>8008111</v>
      </c>
    </row>
    <row r="8039" spans="2:37">
      <c r="B8039" s="834" t="str">
        <f t="shared" si="329"/>
        <v>|||</v>
      </c>
      <c r="H8039" s="835">
        <f t="shared" si="330"/>
        <v>31</v>
      </c>
      <c r="AF8039" s="831" t="s">
        <v>8698</v>
      </c>
      <c r="AG8039" s="831" t="s">
        <v>130</v>
      </c>
      <c r="AH8039" s="831" t="s">
        <v>234</v>
      </c>
      <c r="AI8039" s="831">
        <v>0</v>
      </c>
      <c r="AJ8039" s="835">
        <v>41759</v>
      </c>
      <c r="AK8039" s="831">
        <v>0</v>
      </c>
    </row>
    <row r="8040" spans="2:37">
      <c r="B8040" s="834" t="str">
        <f t="shared" si="329"/>
        <v>|||</v>
      </c>
      <c r="H8040" s="835">
        <f t="shared" si="330"/>
        <v>31</v>
      </c>
      <c r="AF8040" s="831" t="s">
        <v>8699</v>
      </c>
      <c r="AG8040" s="831" t="s">
        <v>130</v>
      </c>
      <c r="AH8040" s="831" t="s">
        <v>235</v>
      </c>
      <c r="AI8040" s="831">
        <v>0</v>
      </c>
      <c r="AJ8040" s="835">
        <v>41759</v>
      </c>
      <c r="AK8040" s="831">
        <v>0</v>
      </c>
    </row>
    <row r="8041" spans="2:37">
      <c r="B8041" s="834" t="str">
        <f t="shared" si="329"/>
        <v>|||</v>
      </c>
      <c r="H8041" s="835">
        <f t="shared" si="330"/>
        <v>31</v>
      </c>
      <c r="AF8041" s="831" t="s">
        <v>8700</v>
      </c>
      <c r="AG8041" s="831" t="s">
        <v>130</v>
      </c>
      <c r="AH8041" s="831" t="s">
        <v>238</v>
      </c>
      <c r="AI8041" s="831">
        <v>0</v>
      </c>
      <c r="AJ8041" s="835">
        <v>41759</v>
      </c>
      <c r="AK8041" s="831">
        <v>0</v>
      </c>
    </row>
    <row r="8042" spans="2:37">
      <c r="B8042" s="834" t="str">
        <f t="shared" si="329"/>
        <v>|||</v>
      </c>
      <c r="H8042" s="835">
        <f t="shared" si="330"/>
        <v>31</v>
      </c>
      <c r="AF8042" s="831" t="s">
        <v>8701</v>
      </c>
      <c r="AG8042" s="831" t="s">
        <v>130</v>
      </c>
      <c r="AH8042" s="831" t="s">
        <v>240</v>
      </c>
      <c r="AI8042" s="831">
        <v>0</v>
      </c>
      <c r="AJ8042" s="835">
        <v>41759</v>
      </c>
      <c r="AK8042" s="831">
        <v>85000000</v>
      </c>
    </row>
    <row r="8043" spans="2:37">
      <c r="B8043" s="834" t="str">
        <f t="shared" si="329"/>
        <v>|||</v>
      </c>
      <c r="H8043" s="835">
        <f t="shared" si="330"/>
        <v>31</v>
      </c>
      <c r="AF8043" s="831" t="s">
        <v>8702</v>
      </c>
      <c r="AG8043" s="831" t="s">
        <v>130</v>
      </c>
      <c r="AH8043" s="831" t="s">
        <v>241</v>
      </c>
      <c r="AI8043" s="831">
        <v>0</v>
      </c>
      <c r="AJ8043" s="835">
        <v>41759</v>
      </c>
      <c r="AK8043" s="831">
        <v>0</v>
      </c>
    </row>
    <row r="8044" spans="2:37">
      <c r="B8044" s="834" t="str">
        <f t="shared" si="329"/>
        <v>|||</v>
      </c>
      <c r="H8044" s="835">
        <f t="shared" si="330"/>
        <v>31</v>
      </c>
      <c r="AF8044" s="831" t="s">
        <v>8703</v>
      </c>
      <c r="AG8044" s="831" t="s">
        <v>130</v>
      </c>
      <c r="AH8044" s="831" t="s">
        <v>242</v>
      </c>
      <c r="AI8044" s="831">
        <v>0</v>
      </c>
      <c r="AJ8044" s="835">
        <v>41759</v>
      </c>
      <c r="AK8044" s="831">
        <v>0</v>
      </c>
    </row>
    <row r="8045" spans="2:37">
      <c r="B8045" s="834" t="str">
        <f t="shared" si="329"/>
        <v>|||</v>
      </c>
      <c r="H8045" s="835">
        <f t="shared" si="330"/>
        <v>31</v>
      </c>
      <c r="AF8045" s="831" t="s">
        <v>8704</v>
      </c>
      <c r="AG8045" s="831" t="s">
        <v>130</v>
      </c>
      <c r="AH8045" s="831" t="s">
        <v>244</v>
      </c>
      <c r="AI8045" s="831">
        <v>0</v>
      </c>
      <c r="AJ8045" s="835">
        <v>41759</v>
      </c>
      <c r="AK8045" s="831">
        <v>29134877</v>
      </c>
    </row>
    <row r="8046" spans="2:37">
      <c r="B8046" s="834" t="str">
        <f t="shared" si="329"/>
        <v>|||</v>
      </c>
      <c r="H8046" s="835">
        <f t="shared" si="330"/>
        <v>31</v>
      </c>
      <c r="AF8046" s="831" t="s">
        <v>8705</v>
      </c>
      <c r="AG8046" s="831" t="s">
        <v>130</v>
      </c>
      <c r="AH8046" s="831" t="s">
        <v>245</v>
      </c>
      <c r="AI8046" s="831">
        <v>0</v>
      </c>
      <c r="AJ8046" s="835">
        <v>41759</v>
      </c>
      <c r="AK8046" s="831">
        <v>13020874</v>
      </c>
    </row>
    <row r="8047" spans="2:37">
      <c r="B8047" s="834" t="str">
        <f t="shared" si="329"/>
        <v>|||</v>
      </c>
      <c r="H8047" s="835">
        <f t="shared" si="330"/>
        <v>31</v>
      </c>
      <c r="AF8047" s="831" t="s">
        <v>8706</v>
      </c>
      <c r="AG8047" s="831" t="s">
        <v>130</v>
      </c>
      <c r="AH8047" s="831" t="s">
        <v>145</v>
      </c>
      <c r="AI8047" s="831">
        <v>0</v>
      </c>
      <c r="AJ8047" s="835">
        <v>41790</v>
      </c>
      <c r="AK8047" s="831">
        <v>55948056</v>
      </c>
    </row>
    <row r="8048" spans="2:37">
      <c r="B8048" s="834" t="str">
        <f t="shared" si="329"/>
        <v>|||</v>
      </c>
      <c r="H8048" s="835">
        <f t="shared" si="330"/>
        <v>31</v>
      </c>
      <c r="AF8048" s="831" t="s">
        <v>8707</v>
      </c>
      <c r="AG8048" s="831" t="s">
        <v>130</v>
      </c>
      <c r="AH8048" s="831" t="s">
        <v>149</v>
      </c>
      <c r="AI8048" s="831">
        <v>0</v>
      </c>
      <c r="AJ8048" s="835">
        <v>41790</v>
      </c>
      <c r="AK8048" s="831">
        <v>0</v>
      </c>
    </row>
    <row r="8049" spans="2:37">
      <c r="B8049" s="834" t="str">
        <f t="shared" si="329"/>
        <v>|||</v>
      </c>
      <c r="H8049" s="835">
        <f t="shared" si="330"/>
        <v>31</v>
      </c>
      <c r="AF8049" s="831" t="s">
        <v>8708</v>
      </c>
      <c r="AG8049" s="831" t="s">
        <v>130</v>
      </c>
      <c r="AH8049" s="831" t="s">
        <v>153</v>
      </c>
      <c r="AI8049" s="831">
        <v>0</v>
      </c>
      <c r="AJ8049" s="835">
        <v>41790</v>
      </c>
      <c r="AK8049" s="831">
        <v>34798569</v>
      </c>
    </row>
    <row r="8050" spans="2:37">
      <c r="B8050" s="834" t="str">
        <f t="shared" si="329"/>
        <v>|||</v>
      </c>
      <c r="H8050" s="835">
        <f t="shared" si="330"/>
        <v>31</v>
      </c>
      <c r="AF8050" s="831" t="s">
        <v>8709</v>
      </c>
      <c r="AG8050" s="831" t="s">
        <v>130</v>
      </c>
      <c r="AH8050" s="831" t="s">
        <v>156</v>
      </c>
      <c r="AI8050" s="831">
        <v>0</v>
      </c>
      <c r="AJ8050" s="835">
        <v>41790</v>
      </c>
      <c r="AK8050" s="831">
        <v>0</v>
      </c>
    </row>
    <row r="8051" spans="2:37">
      <c r="B8051" s="834" t="str">
        <f t="shared" si="329"/>
        <v>|||</v>
      </c>
      <c r="H8051" s="835">
        <f t="shared" si="330"/>
        <v>31</v>
      </c>
      <c r="AF8051" s="831" t="s">
        <v>8710</v>
      </c>
      <c r="AG8051" s="831" t="s">
        <v>130</v>
      </c>
      <c r="AH8051" s="831" t="s">
        <v>162</v>
      </c>
      <c r="AI8051" s="831">
        <v>0</v>
      </c>
      <c r="AJ8051" s="835">
        <v>41790</v>
      </c>
      <c r="AK8051" s="831">
        <v>718268239</v>
      </c>
    </row>
    <row r="8052" spans="2:37">
      <c r="B8052" s="834" t="str">
        <f t="shared" si="329"/>
        <v>|||</v>
      </c>
      <c r="H8052" s="835">
        <f t="shared" si="330"/>
        <v>31</v>
      </c>
      <c r="AF8052" s="831" t="s">
        <v>8711</v>
      </c>
      <c r="AG8052" s="831" t="s">
        <v>130</v>
      </c>
      <c r="AH8052" s="831" t="s">
        <v>165</v>
      </c>
      <c r="AI8052" s="831">
        <v>0</v>
      </c>
      <c r="AJ8052" s="835">
        <v>41790</v>
      </c>
      <c r="AK8052" s="831">
        <v>-13258185</v>
      </c>
    </row>
    <row r="8053" spans="2:37">
      <c r="B8053" s="834" t="str">
        <f t="shared" si="329"/>
        <v>|||</v>
      </c>
      <c r="H8053" s="835">
        <f t="shared" si="330"/>
        <v>31</v>
      </c>
      <c r="AF8053" s="831" t="s">
        <v>8712</v>
      </c>
      <c r="AG8053" s="831" t="s">
        <v>130</v>
      </c>
      <c r="AH8053" s="831" t="s">
        <v>171</v>
      </c>
      <c r="AI8053" s="831">
        <v>0</v>
      </c>
      <c r="AJ8053" s="835">
        <v>41790</v>
      </c>
      <c r="AK8053" s="831">
        <v>4018013</v>
      </c>
    </row>
    <row r="8054" spans="2:37">
      <c r="B8054" s="834" t="str">
        <f t="shared" si="329"/>
        <v>|||</v>
      </c>
      <c r="H8054" s="835">
        <f t="shared" si="330"/>
        <v>31</v>
      </c>
      <c r="AF8054" s="831" t="s">
        <v>8713</v>
      </c>
      <c r="AG8054" s="831" t="s">
        <v>130</v>
      </c>
      <c r="AH8054" s="831" t="s">
        <v>174</v>
      </c>
      <c r="AI8054" s="831">
        <v>0</v>
      </c>
      <c r="AJ8054" s="835">
        <v>41790</v>
      </c>
      <c r="AK8054" s="831">
        <v>0</v>
      </c>
    </row>
    <row r="8055" spans="2:37">
      <c r="B8055" s="834" t="str">
        <f t="shared" si="329"/>
        <v>|||</v>
      </c>
      <c r="H8055" s="835">
        <f t="shared" si="330"/>
        <v>31</v>
      </c>
      <c r="AF8055" s="831" t="s">
        <v>8714</v>
      </c>
      <c r="AG8055" s="831" t="s">
        <v>130</v>
      </c>
      <c r="AH8055" s="831" t="s">
        <v>181</v>
      </c>
      <c r="AI8055" s="831">
        <v>0</v>
      </c>
      <c r="AJ8055" s="835">
        <v>41790</v>
      </c>
      <c r="AK8055" s="831">
        <v>61611575</v>
      </c>
    </row>
    <row r="8056" spans="2:37">
      <c r="B8056" s="834" t="str">
        <f t="shared" si="329"/>
        <v>|||</v>
      </c>
      <c r="H8056" s="835">
        <f t="shared" si="330"/>
        <v>31</v>
      </c>
      <c r="AF8056" s="831" t="s">
        <v>8715</v>
      </c>
      <c r="AG8056" s="831" t="s">
        <v>130</v>
      </c>
      <c r="AH8056" s="831" t="s">
        <v>184</v>
      </c>
      <c r="AI8056" s="831">
        <v>0</v>
      </c>
      <c r="AJ8056" s="835">
        <v>41790</v>
      </c>
      <c r="AK8056" s="831">
        <v>-18309180</v>
      </c>
    </row>
    <row r="8057" spans="2:37">
      <c r="B8057" s="834" t="str">
        <f t="shared" si="329"/>
        <v>|||</v>
      </c>
      <c r="H8057" s="835">
        <f t="shared" si="330"/>
        <v>31</v>
      </c>
      <c r="AF8057" s="831" t="s">
        <v>8716</v>
      </c>
      <c r="AG8057" s="831" t="s">
        <v>130</v>
      </c>
      <c r="AH8057" s="831" t="s">
        <v>187</v>
      </c>
      <c r="AI8057" s="831">
        <v>0</v>
      </c>
      <c r="AJ8057" s="835">
        <v>41790</v>
      </c>
      <c r="AK8057" s="831">
        <v>0</v>
      </c>
    </row>
    <row r="8058" spans="2:37">
      <c r="B8058" s="834" t="str">
        <f t="shared" si="329"/>
        <v>|||</v>
      </c>
      <c r="H8058" s="835">
        <f t="shared" si="330"/>
        <v>31</v>
      </c>
      <c r="AF8058" s="831" t="s">
        <v>8717</v>
      </c>
      <c r="AG8058" s="831" t="s">
        <v>130</v>
      </c>
      <c r="AH8058" s="831" t="s">
        <v>196</v>
      </c>
      <c r="AI8058" s="831">
        <v>0</v>
      </c>
      <c r="AJ8058" s="835">
        <v>41790</v>
      </c>
      <c r="AK8058" s="831">
        <v>4483010</v>
      </c>
    </row>
    <row r="8059" spans="2:37">
      <c r="B8059" s="834" t="str">
        <f t="shared" si="329"/>
        <v>|||</v>
      </c>
      <c r="H8059" s="835">
        <f t="shared" si="330"/>
        <v>31</v>
      </c>
      <c r="AF8059" s="831" t="s">
        <v>8718</v>
      </c>
      <c r="AG8059" s="831" t="s">
        <v>130</v>
      </c>
      <c r="AH8059" s="831" t="s">
        <v>197</v>
      </c>
      <c r="AI8059" s="831">
        <v>0</v>
      </c>
      <c r="AJ8059" s="835">
        <v>41790</v>
      </c>
      <c r="AK8059" s="831">
        <v>0</v>
      </c>
    </row>
    <row r="8060" spans="2:37">
      <c r="B8060" s="834" t="str">
        <f t="shared" si="329"/>
        <v>|||</v>
      </c>
      <c r="H8060" s="835">
        <f t="shared" si="330"/>
        <v>31</v>
      </c>
      <c r="AF8060" s="831" t="s">
        <v>8719</v>
      </c>
      <c r="AG8060" s="831" t="s">
        <v>130</v>
      </c>
      <c r="AH8060" s="831" t="s">
        <v>199</v>
      </c>
      <c r="AI8060" s="831">
        <v>0</v>
      </c>
      <c r="AJ8060" s="835">
        <v>41790</v>
      </c>
      <c r="AK8060" s="831">
        <v>0</v>
      </c>
    </row>
    <row r="8061" spans="2:37">
      <c r="B8061" s="834" t="str">
        <f t="shared" si="329"/>
        <v>|||</v>
      </c>
      <c r="H8061" s="835">
        <f t="shared" si="330"/>
        <v>31</v>
      </c>
      <c r="AF8061" s="831" t="s">
        <v>8720</v>
      </c>
      <c r="AG8061" s="831" t="s">
        <v>130</v>
      </c>
      <c r="AH8061" s="831" t="s">
        <v>201</v>
      </c>
      <c r="AI8061" s="831">
        <v>0</v>
      </c>
      <c r="AJ8061" s="835">
        <v>41790</v>
      </c>
      <c r="AK8061" s="831">
        <v>14932753</v>
      </c>
    </row>
    <row r="8062" spans="2:37">
      <c r="B8062" s="834" t="str">
        <f t="shared" si="329"/>
        <v>|||</v>
      </c>
      <c r="H8062" s="835">
        <f t="shared" si="330"/>
        <v>31</v>
      </c>
      <c r="AF8062" s="831" t="s">
        <v>8721</v>
      </c>
      <c r="AG8062" s="831" t="s">
        <v>130</v>
      </c>
      <c r="AH8062" s="831" t="s">
        <v>209</v>
      </c>
      <c r="AI8062" s="831">
        <v>0</v>
      </c>
      <c r="AJ8062" s="835">
        <v>41790</v>
      </c>
      <c r="AK8062" s="831">
        <v>66003838</v>
      </c>
    </row>
    <row r="8063" spans="2:37">
      <c r="B8063" s="834" t="str">
        <f t="shared" si="329"/>
        <v>|||</v>
      </c>
      <c r="H8063" s="835">
        <f t="shared" si="330"/>
        <v>31</v>
      </c>
      <c r="AF8063" s="831" t="s">
        <v>8722</v>
      </c>
      <c r="AG8063" s="831" t="s">
        <v>130</v>
      </c>
      <c r="AH8063" s="831" t="s">
        <v>211</v>
      </c>
      <c r="AI8063" s="831">
        <v>0</v>
      </c>
      <c r="AJ8063" s="835">
        <v>41790</v>
      </c>
      <c r="AK8063" s="831">
        <v>223468077</v>
      </c>
    </row>
    <row r="8064" spans="2:37">
      <c r="B8064" s="834" t="str">
        <f t="shared" si="329"/>
        <v>|||</v>
      </c>
      <c r="H8064" s="835">
        <f t="shared" si="330"/>
        <v>31</v>
      </c>
      <c r="AF8064" s="831" t="s">
        <v>8723</v>
      </c>
      <c r="AG8064" s="831" t="s">
        <v>130</v>
      </c>
      <c r="AH8064" s="831" t="s">
        <v>212</v>
      </c>
      <c r="AI8064" s="831">
        <v>0</v>
      </c>
      <c r="AJ8064" s="835">
        <v>41790</v>
      </c>
      <c r="AK8064" s="831">
        <v>9472271</v>
      </c>
    </row>
    <row r="8065" spans="2:37">
      <c r="B8065" s="834" t="str">
        <f t="shared" si="329"/>
        <v>|||</v>
      </c>
      <c r="H8065" s="835">
        <f t="shared" si="330"/>
        <v>31</v>
      </c>
      <c r="AF8065" s="831" t="s">
        <v>8724</v>
      </c>
      <c r="AG8065" s="831" t="s">
        <v>130</v>
      </c>
      <c r="AH8065" s="831" t="s">
        <v>216</v>
      </c>
      <c r="AI8065" s="831">
        <v>0</v>
      </c>
      <c r="AJ8065" s="835">
        <v>41790</v>
      </c>
      <c r="AK8065" s="831">
        <v>0</v>
      </c>
    </row>
    <row r="8066" spans="2:37">
      <c r="B8066" s="834" t="str">
        <f t="shared" si="329"/>
        <v>|||</v>
      </c>
      <c r="H8066" s="835">
        <f t="shared" si="330"/>
        <v>31</v>
      </c>
      <c r="AF8066" s="831" t="s">
        <v>8725</v>
      </c>
      <c r="AG8066" s="831" t="s">
        <v>130</v>
      </c>
      <c r="AH8066" s="831" t="s">
        <v>218</v>
      </c>
      <c r="AI8066" s="831">
        <v>0</v>
      </c>
      <c r="AJ8066" s="835">
        <v>41790</v>
      </c>
      <c r="AK8066" s="831">
        <v>160431230</v>
      </c>
    </row>
    <row r="8067" spans="2:37">
      <c r="B8067" s="834" t="str">
        <f t="shared" ref="B8067:B8130" si="331">C8067&amp;"|"&amp;D8067&amp;"|"&amp;E8067&amp;"|"&amp;F8067</f>
        <v>|||</v>
      </c>
      <c r="H8067" s="835">
        <f t="shared" si="330"/>
        <v>31</v>
      </c>
      <c r="AF8067" s="831" t="s">
        <v>8726</v>
      </c>
      <c r="AG8067" s="831" t="s">
        <v>130</v>
      </c>
      <c r="AH8067" s="831" t="s">
        <v>220</v>
      </c>
      <c r="AI8067" s="831">
        <v>0</v>
      </c>
      <c r="AJ8067" s="835">
        <v>41790</v>
      </c>
      <c r="AK8067" s="831">
        <v>0</v>
      </c>
    </row>
    <row r="8068" spans="2:37">
      <c r="B8068" s="834" t="str">
        <f t="shared" si="331"/>
        <v>|||</v>
      </c>
      <c r="H8068" s="835">
        <f t="shared" ref="H8068:H8131" si="332">EOMONTH(L8068,0)</f>
        <v>31</v>
      </c>
      <c r="AF8068" s="831" t="s">
        <v>8727</v>
      </c>
      <c r="AG8068" s="831" t="s">
        <v>130</v>
      </c>
      <c r="AH8068" s="831" t="s">
        <v>221</v>
      </c>
      <c r="AI8068" s="831">
        <v>0</v>
      </c>
      <c r="AJ8068" s="835">
        <v>41790</v>
      </c>
      <c r="AK8068" s="831">
        <v>12295205</v>
      </c>
    </row>
    <row r="8069" spans="2:37">
      <c r="B8069" s="834" t="str">
        <f t="shared" si="331"/>
        <v>|||</v>
      </c>
      <c r="H8069" s="835">
        <f t="shared" si="332"/>
        <v>31</v>
      </c>
      <c r="AF8069" s="831" t="s">
        <v>8728</v>
      </c>
      <c r="AG8069" s="831" t="s">
        <v>130</v>
      </c>
      <c r="AH8069" s="831" t="s">
        <v>228</v>
      </c>
      <c r="AI8069" s="831">
        <v>0</v>
      </c>
      <c r="AJ8069" s="835">
        <v>41790</v>
      </c>
      <c r="AK8069" s="831">
        <v>0</v>
      </c>
    </row>
    <row r="8070" spans="2:37">
      <c r="B8070" s="834" t="str">
        <f t="shared" si="331"/>
        <v>|||</v>
      </c>
      <c r="H8070" s="835">
        <f t="shared" si="332"/>
        <v>31</v>
      </c>
      <c r="AF8070" s="831" t="s">
        <v>8729</v>
      </c>
      <c r="AG8070" s="831" t="s">
        <v>130</v>
      </c>
      <c r="AH8070" s="831" t="s">
        <v>230</v>
      </c>
      <c r="AI8070" s="831">
        <v>0</v>
      </c>
      <c r="AJ8070" s="835">
        <v>41790</v>
      </c>
      <c r="AK8070" s="831">
        <v>0</v>
      </c>
    </row>
    <row r="8071" spans="2:37">
      <c r="B8071" s="834" t="str">
        <f t="shared" si="331"/>
        <v>|||</v>
      </c>
      <c r="H8071" s="835">
        <f t="shared" si="332"/>
        <v>31</v>
      </c>
      <c r="AF8071" s="831" t="s">
        <v>8730</v>
      </c>
      <c r="AG8071" s="831" t="s">
        <v>130</v>
      </c>
      <c r="AH8071" s="831" t="s">
        <v>231</v>
      </c>
      <c r="AI8071" s="831">
        <v>0</v>
      </c>
      <c r="AJ8071" s="835">
        <v>41790</v>
      </c>
      <c r="AK8071" s="831">
        <v>0</v>
      </c>
    </row>
    <row r="8072" spans="2:37">
      <c r="B8072" s="834" t="str">
        <f t="shared" si="331"/>
        <v>|||</v>
      </c>
      <c r="H8072" s="835">
        <f t="shared" si="332"/>
        <v>31</v>
      </c>
      <c r="AF8072" s="831" t="s">
        <v>8731</v>
      </c>
      <c r="AG8072" s="831" t="s">
        <v>130</v>
      </c>
      <c r="AH8072" s="831" t="s">
        <v>232</v>
      </c>
      <c r="AI8072" s="831">
        <v>0</v>
      </c>
      <c r="AJ8072" s="835">
        <v>41790</v>
      </c>
      <c r="AK8072" s="831">
        <v>251649349</v>
      </c>
    </row>
    <row r="8073" spans="2:37">
      <c r="B8073" s="834" t="str">
        <f t="shared" si="331"/>
        <v>|||</v>
      </c>
      <c r="H8073" s="835">
        <f t="shared" si="332"/>
        <v>31</v>
      </c>
      <c r="AF8073" s="831" t="s">
        <v>8732</v>
      </c>
      <c r="AG8073" s="831" t="s">
        <v>130</v>
      </c>
      <c r="AH8073" s="831" t="s">
        <v>116</v>
      </c>
      <c r="AI8073" s="831">
        <v>0</v>
      </c>
      <c r="AJ8073" s="835">
        <v>41790</v>
      </c>
      <c r="AK8073" s="831">
        <v>8009132</v>
      </c>
    </row>
    <row r="8074" spans="2:37">
      <c r="B8074" s="834" t="str">
        <f t="shared" si="331"/>
        <v>|||</v>
      </c>
      <c r="H8074" s="835">
        <f t="shared" si="332"/>
        <v>31</v>
      </c>
      <c r="AF8074" s="831" t="s">
        <v>8733</v>
      </c>
      <c r="AG8074" s="831" t="s">
        <v>130</v>
      </c>
      <c r="AH8074" s="831" t="s">
        <v>234</v>
      </c>
      <c r="AI8074" s="831">
        <v>0</v>
      </c>
      <c r="AJ8074" s="835">
        <v>41790</v>
      </c>
      <c r="AK8074" s="831">
        <v>0</v>
      </c>
    </row>
    <row r="8075" spans="2:37">
      <c r="B8075" s="834" t="str">
        <f t="shared" si="331"/>
        <v>|||</v>
      </c>
      <c r="H8075" s="835">
        <f t="shared" si="332"/>
        <v>31</v>
      </c>
      <c r="AF8075" s="831" t="s">
        <v>8734</v>
      </c>
      <c r="AG8075" s="831" t="s">
        <v>130</v>
      </c>
      <c r="AH8075" s="831" t="s">
        <v>235</v>
      </c>
      <c r="AI8075" s="831">
        <v>0</v>
      </c>
      <c r="AJ8075" s="835">
        <v>41790</v>
      </c>
      <c r="AK8075" s="831">
        <v>0</v>
      </c>
    </row>
    <row r="8076" spans="2:37">
      <c r="B8076" s="834" t="str">
        <f t="shared" si="331"/>
        <v>|||</v>
      </c>
      <c r="H8076" s="835">
        <f t="shared" si="332"/>
        <v>31</v>
      </c>
      <c r="AF8076" s="831" t="s">
        <v>8735</v>
      </c>
      <c r="AG8076" s="831" t="s">
        <v>130</v>
      </c>
      <c r="AH8076" s="831" t="s">
        <v>238</v>
      </c>
      <c r="AI8076" s="831">
        <v>0</v>
      </c>
      <c r="AJ8076" s="835">
        <v>41790</v>
      </c>
      <c r="AK8076" s="831">
        <v>0</v>
      </c>
    </row>
    <row r="8077" spans="2:37">
      <c r="B8077" s="834" t="str">
        <f t="shared" si="331"/>
        <v>|||</v>
      </c>
      <c r="H8077" s="835">
        <f t="shared" si="332"/>
        <v>31</v>
      </c>
      <c r="AF8077" s="831" t="s">
        <v>8736</v>
      </c>
      <c r="AG8077" s="831" t="s">
        <v>130</v>
      </c>
      <c r="AH8077" s="831" t="s">
        <v>240</v>
      </c>
      <c r="AI8077" s="831">
        <v>0</v>
      </c>
      <c r="AJ8077" s="835">
        <v>41790</v>
      </c>
      <c r="AK8077" s="831">
        <v>85000000</v>
      </c>
    </row>
    <row r="8078" spans="2:37">
      <c r="B8078" s="834" t="str">
        <f t="shared" si="331"/>
        <v>|||</v>
      </c>
      <c r="H8078" s="835">
        <f t="shared" si="332"/>
        <v>31</v>
      </c>
      <c r="AF8078" s="831" t="s">
        <v>8737</v>
      </c>
      <c r="AG8078" s="831" t="s">
        <v>130</v>
      </c>
      <c r="AH8078" s="831" t="s">
        <v>241</v>
      </c>
      <c r="AI8078" s="831">
        <v>0</v>
      </c>
      <c r="AJ8078" s="835">
        <v>41790</v>
      </c>
      <c r="AK8078" s="831">
        <v>0</v>
      </c>
    </row>
    <row r="8079" spans="2:37">
      <c r="B8079" s="834" t="str">
        <f t="shared" si="331"/>
        <v>|||</v>
      </c>
      <c r="H8079" s="835">
        <f t="shared" si="332"/>
        <v>31</v>
      </c>
      <c r="AF8079" s="831" t="s">
        <v>8738</v>
      </c>
      <c r="AG8079" s="831" t="s">
        <v>130</v>
      </c>
      <c r="AH8079" s="831" t="s">
        <v>242</v>
      </c>
      <c r="AI8079" s="831">
        <v>0</v>
      </c>
      <c r="AJ8079" s="835">
        <v>41790</v>
      </c>
      <c r="AK8079" s="831">
        <v>0</v>
      </c>
    </row>
    <row r="8080" spans="2:37">
      <c r="B8080" s="834" t="str">
        <f t="shared" si="331"/>
        <v>|||</v>
      </c>
      <c r="H8080" s="835">
        <f t="shared" si="332"/>
        <v>31</v>
      </c>
      <c r="AF8080" s="831" t="s">
        <v>8739</v>
      </c>
      <c r="AG8080" s="831" t="s">
        <v>130</v>
      </c>
      <c r="AH8080" s="831" t="s">
        <v>244</v>
      </c>
      <c r="AI8080" s="831">
        <v>0</v>
      </c>
      <c r="AJ8080" s="835">
        <v>41790</v>
      </c>
      <c r="AK8080" s="831">
        <v>29134877</v>
      </c>
    </row>
    <row r="8081" spans="2:37">
      <c r="B8081" s="834" t="str">
        <f t="shared" si="331"/>
        <v>|||</v>
      </c>
      <c r="H8081" s="835">
        <f t="shared" si="332"/>
        <v>31</v>
      </c>
      <c r="AF8081" s="831" t="s">
        <v>8740</v>
      </c>
      <c r="AG8081" s="831" t="s">
        <v>130</v>
      </c>
      <c r="AH8081" s="831" t="s">
        <v>245</v>
      </c>
      <c r="AI8081" s="831">
        <v>0</v>
      </c>
      <c r="AJ8081" s="835">
        <v>41790</v>
      </c>
      <c r="AK8081" s="831">
        <v>17028871</v>
      </c>
    </row>
    <row r="8082" spans="2:37">
      <c r="B8082" s="834" t="str">
        <f t="shared" si="331"/>
        <v>|||</v>
      </c>
      <c r="H8082" s="835">
        <f t="shared" si="332"/>
        <v>31</v>
      </c>
      <c r="AF8082" s="831" t="s">
        <v>8741</v>
      </c>
      <c r="AG8082" s="831" t="s">
        <v>130</v>
      </c>
      <c r="AH8082" s="831" t="s">
        <v>145</v>
      </c>
      <c r="AI8082" s="831">
        <v>0</v>
      </c>
      <c r="AJ8082" s="835">
        <v>41820</v>
      </c>
      <c r="AK8082" s="831">
        <v>62747002</v>
      </c>
    </row>
    <row r="8083" spans="2:37">
      <c r="B8083" s="834" t="str">
        <f t="shared" si="331"/>
        <v>|||</v>
      </c>
      <c r="H8083" s="835">
        <f t="shared" si="332"/>
        <v>31</v>
      </c>
      <c r="AF8083" s="831" t="s">
        <v>8742</v>
      </c>
      <c r="AG8083" s="831" t="s">
        <v>130</v>
      </c>
      <c r="AH8083" s="831" t="s">
        <v>149</v>
      </c>
      <c r="AI8083" s="831">
        <v>0</v>
      </c>
      <c r="AJ8083" s="835">
        <v>41820</v>
      </c>
      <c r="AK8083" s="831">
        <v>0</v>
      </c>
    </row>
    <row r="8084" spans="2:37">
      <c r="B8084" s="834" t="str">
        <f t="shared" si="331"/>
        <v>|||</v>
      </c>
      <c r="H8084" s="835">
        <f t="shared" si="332"/>
        <v>31</v>
      </c>
      <c r="AF8084" s="831" t="s">
        <v>8743</v>
      </c>
      <c r="AG8084" s="831" t="s">
        <v>130</v>
      </c>
      <c r="AH8084" s="831" t="s">
        <v>153</v>
      </c>
      <c r="AI8084" s="831">
        <v>0</v>
      </c>
      <c r="AJ8084" s="835">
        <v>41820</v>
      </c>
      <c r="AK8084" s="831">
        <v>63396904</v>
      </c>
    </row>
    <row r="8085" spans="2:37">
      <c r="B8085" s="834" t="str">
        <f t="shared" si="331"/>
        <v>|||</v>
      </c>
      <c r="H8085" s="835">
        <f t="shared" si="332"/>
        <v>31</v>
      </c>
      <c r="AF8085" s="831" t="s">
        <v>8744</v>
      </c>
      <c r="AG8085" s="831" t="s">
        <v>130</v>
      </c>
      <c r="AH8085" s="831" t="s">
        <v>156</v>
      </c>
      <c r="AI8085" s="831">
        <v>0</v>
      </c>
      <c r="AJ8085" s="835">
        <v>41820</v>
      </c>
      <c r="AK8085" s="831">
        <v>0</v>
      </c>
    </row>
    <row r="8086" spans="2:37">
      <c r="B8086" s="834" t="str">
        <f t="shared" si="331"/>
        <v>|||</v>
      </c>
      <c r="H8086" s="835">
        <f t="shared" si="332"/>
        <v>31</v>
      </c>
      <c r="AF8086" s="831" t="s">
        <v>8745</v>
      </c>
      <c r="AG8086" s="831" t="s">
        <v>130</v>
      </c>
      <c r="AH8086" s="831" t="s">
        <v>162</v>
      </c>
      <c r="AI8086" s="831">
        <v>0</v>
      </c>
      <c r="AJ8086" s="835">
        <v>41820</v>
      </c>
      <c r="AK8086" s="831">
        <v>728057591</v>
      </c>
    </row>
    <row r="8087" spans="2:37">
      <c r="B8087" s="834" t="str">
        <f t="shared" si="331"/>
        <v>|||</v>
      </c>
      <c r="H8087" s="835">
        <f t="shared" si="332"/>
        <v>31</v>
      </c>
      <c r="AF8087" s="831" t="s">
        <v>8746</v>
      </c>
      <c r="AG8087" s="831" t="s">
        <v>130</v>
      </c>
      <c r="AH8087" s="831" t="s">
        <v>165</v>
      </c>
      <c r="AI8087" s="831">
        <v>0</v>
      </c>
      <c r="AJ8087" s="835">
        <v>41820</v>
      </c>
      <c r="AK8087" s="831">
        <v>-11632261</v>
      </c>
    </row>
    <row r="8088" spans="2:37">
      <c r="B8088" s="834" t="str">
        <f t="shared" si="331"/>
        <v>|||</v>
      </c>
      <c r="H8088" s="835">
        <f t="shared" si="332"/>
        <v>31</v>
      </c>
      <c r="AF8088" s="831" t="s">
        <v>8747</v>
      </c>
      <c r="AG8088" s="831" t="s">
        <v>130</v>
      </c>
      <c r="AH8088" s="831" t="s">
        <v>171</v>
      </c>
      <c r="AI8088" s="831">
        <v>0</v>
      </c>
      <c r="AJ8088" s="835">
        <v>41820</v>
      </c>
      <c r="AK8088" s="831">
        <v>3403682</v>
      </c>
    </row>
    <row r="8089" spans="2:37">
      <c r="B8089" s="834" t="str">
        <f t="shared" si="331"/>
        <v>|||</v>
      </c>
      <c r="H8089" s="835">
        <f t="shared" si="332"/>
        <v>31</v>
      </c>
      <c r="AF8089" s="831" t="s">
        <v>8748</v>
      </c>
      <c r="AG8089" s="831" t="s">
        <v>130</v>
      </c>
      <c r="AH8089" s="831" t="s">
        <v>174</v>
      </c>
      <c r="AI8089" s="831">
        <v>0</v>
      </c>
      <c r="AJ8089" s="835">
        <v>41820</v>
      </c>
      <c r="AK8089" s="831">
        <v>0</v>
      </c>
    </row>
    <row r="8090" spans="2:37">
      <c r="B8090" s="834" t="str">
        <f t="shared" si="331"/>
        <v>|||</v>
      </c>
      <c r="H8090" s="835">
        <f t="shared" si="332"/>
        <v>31</v>
      </c>
      <c r="AF8090" s="831" t="s">
        <v>8749</v>
      </c>
      <c r="AG8090" s="831" t="s">
        <v>130</v>
      </c>
      <c r="AH8090" s="831" t="s">
        <v>181</v>
      </c>
      <c r="AI8090" s="831">
        <v>0</v>
      </c>
      <c r="AJ8090" s="835">
        <v>41820</v>
      </c>
      <c r="AK8090" s="831">
        <v>61847955</v>
      </c>
    </row>
    <row r="8091" spans="2:37">
      <c r="B8091" s="834" t="str">
        <f t="shared" si="331"/>
        <v>|||</v>
      </c>
      <c r="H8091" s="835">
        <f t="shared" si="332"/>
        <v>31</v>
      </c>
      <c r="AF8091" s="831" t="s">
        <v>8750</v>
      </c>
      <c r="AG8091" s="831" t="s">
        <v>130</v>
      </c>
      <c r="AH8091" s="831" t="s">
        <v>184</v>
      </c>
      <c r="AI8091" s="831">
        <v>0</v>
      </c>
      <c r="AJ8091" s="835">
        <v>41820</v>
      </c>
      <c r="AK8091" s="831">
        <v>-18790750</v>
      </c>
    </row>
    <row r="8092" spans="2:37">
      <c r="B8092" s="834" t="str">
        <f t="shared" si="331"/>
        <v>|||</v>
      </c>
      <c r="H8092" s="835">
        <f t="shared" si="332"/>
        <v>31</v>
      </c>
      <c r="AF8092" s="831" t="s">
        <v>8751</v>
      </c>
      <c r="AG8092" s="831" t="s">
        <v>130</v>
      </c>
      <c r="AH8092" s="831" t="s">
        <v>187</v>
      </c>
      <c r="AI8092" s="831">
        <v>0</v>
      </c>
      <c r="AJ8092" s="835">
        <v>41820</v>
      </c>
      <c r="AK8092" s="831">
        <v>0</v>
      </c>
    </row>
    <row r="8093" spans="2:37">
      <c r="B8093" s="834" t="str">
        <f t="shared" si="331"/>
        <v>|||</v>
      </c>
      <c r="H8093" s="835">
        <f t="shared" si="332"/>
        <v>31</v>
      </c>
      <c r="AF8093" s="831" t="s">
        <v>8752</v>
      </c>
      <c r="AG8093" s="831" t="s">
        <v>130</v>
      </c>
      <c r="AH8093" s="831" t="s">
        <v>196</v>
      </c>
      <c r="AI8093" s="831">
        <v>0</v>
      </c>
      <c r="AJ8093" s="835">
        <v>41820</v>
      </c>
      <c r="AK8093" s="831">
        <v>4350370</v>
      </c>
    </row>
    <row r="8094" spans="2:37">
      <c r="B8094" s="834" t="str">
        <f t="shared" si="331"/>
        <v>|||</v>
      </c>
      <c r="H8094" s="835">
        <f t="shared" si="332"/>
        <v>31</v>
      </c>
      <c r="AF8094" s="831" t="s">
        <v>8753</v>
      </c>
      <c r="AG8094" s="831" t="s">
        <v>130</v>
      </c>
      <c r="AH8094" s="831" t="s">
        <v>197</v>
      </c>
      <c r="AI8094" s="831">
        <v>0</v>
      </c>
      <c r="AJ8094" s="835">
        <v>41820</v>
      </c>
      <c r="AK8094" s="831">
        <v>0</v>
      </c>
    </row>
    <row r="8095" spans="2:37">
      <c r="B8095" s="834" t="str">
        <f t="shared" si="331"/>
        <v>|||</v>
      </c>
      <c r="H8095" s="835">
        <f t="shared" si="332"/>
        <v>31</v>
      </c>
      <c r="AF8095" s="831" t="s">
        <v>8754</v>
      </c>
      <c r="AG8095" s="831" t="s">
        <v>130</v>
      </c>
      <c r="AH8095" s="831" t="s">
        <v>199</v>
      </c>
      <c r="AI8095" s="831">
        <v>0</v>
      </c>
      <c r="AJ8095" s="835">
        <v>41820</v>
      </c>
      <c r="AK8095" s="831">
        <v>0</v>
      </c>
    </row>
    <row r="8096" spans="2:37">
      <c r="B8096" s="834" t="str">
        <f t="shared" si="331"/>
        <v>|||</v>
      </c>
      <c r="H8096" s="835">
        <f t="shared" si="332"/>
        <v>31</v>
      </c>
      <c r="AF8096" s="831" t="s">
        <v>8755</v>
      </c>
      <c r="AG8096" s="831" t="s">
        <v>130</v>
      </c>
      <c r="AH8096" s="831" t="s">
        <v>201</v>
      </c>
      <c r="AI8096" s="831">
        <v>0</v>
      </c>
      <c r="AJ8096" s="835">
        <v>41820</v>
      </c>
      <c r="AK8096" s="831">
        <v>17820453</v>
      </c>
    </row>
    <row r="8097" spans="2:37">
      <c r="B8097" s="834" t="str">
        <f t="shared" si="331"/>
        <v>|||</v>
      </c>
      <c r="H8097" s="835">
        <f t="shared" si="332"/>
        <v>31</v>
      </c>
      <c r="AF8097" s="831" t="s">
        <v>8756</v>
      </c>
      <c r="AG8097" s="831" t="s">
        <v>130</v>
      </c>
      <c r="AH8097" s="831" t="s">
        <v>209</v>
      </c>
      <c r="AI8097" s="831">
        <v>0</v>
      </c>
      <c r="AJ8097" s="835">
        <v>41820</v>
      </c>
      <c r="AK8097" s="831">
        <v>68180892</v>
      </c>
    </row>
    <row r="8098" spans="2:37">
      <c r="B8098" s="834" t="str">
        <f t="shared" si="331"/>
        <v>|||</v>
      </c>
      <c r="H8098" s="835">
        <f t="shared" si="332"/>
        <v>31</v>
      </c>
      <c r="AF8098" s="831" t="s">
        <v>8757</v>
      </c>
      <c r="AG8098" s="831" t="s">
        <v>130</v>
      </c>
      <c r="AH8098" s="831" t="s">
        <v>211</v>
      </c>
      <c r="AI8098" s="831">
        <v>0</v>
      </c>
      <c r="AJ8098" s="835">
        <v>41820</v>
      </c>
      <c r="AK8098" s="831">
        <v>230741340</v>
      </c>
    </row>
    <row r="8099" spans="2:37">
      <c r="B8099" s="834" t="str">
        <f t="shared" si="331"/>
        <v>|||</v>
      </c>
      <c r="H8099" s="835">
        <f t="shared" si="332"/>
        <v>31</v>
      </c>
      <c r="AF8099" s="831" t="s">
        <v>8758</v>
      </c>
      <c r="AG8099" s="831" t="s">
        <v>130</v>
      </c>
      <c r="AH8099" s="831" t="s">
        <v>212</v>
      </c>
      <c r="AI8099" s="831">
        <v>0</v>
      </c>
      <c r="AJ8099" s="835">
        <v>41820</v>
      </c>
      <c r="AK8099" s="831">
        <v>9874006</v>
      </c>
    </row>
    <row r="8100" spans="2:37">
      <c r="B8100" s="834" t="str">
        <f t="shared" si="331"/>
        <v>|||</v>
      </c>
      <c r="H8100" s="835">
        <f t="shared" si="332"/>
        <v>31</v>
      </c>
      <c r="AF8100" s="831" t="s">
        <v>8759</v>
      </c>
      <c r="AG8100" s="831" t="s">
        <v>130</v>
      </c>
      <c r="AH8100" s="831" t="s">
        <v>216</v>
      </c>
      <c r="AI8100" s="831">
        <v>0</v>
      </c>
      <c r="AJ8100" s="835">
        <v>41820</v>
      </c>
      <c r="AK8100" s="831">
        <v>0</v>
      </c>
    </row>
    <row r="8101" spans="2:37">
      <c r="B8101" s="834" t="str">
        <f t="shared" si="331"/>
        <v>|||</v>
      </c>
      <c r="H8101" s="835">
        <f t="shared" si="332"/>
        <v>31</v>
      </c>
      <c r="AF8101" s="831" t="s">
        <v>8760</v>
      </c>
      <c r="AG8101" s="831" t="s">
        <v>130</v>
      </c>
      <c r="AH8101" s="831" t="s">
        <v>218</v>
      </c>
      <c r="AI8101" s="831">
        <v>0</v>
      </c>
      <c r="AJ8101" s="835">
        <v>41820</v>
      </c>
      <c r="AK8101" s="831">
        <v>161573120</v>
      </c>
    </row>
    <row r="8102" spans="2:37">
      <c r="B8102" s="834" t="str">
        <f t="shared" si="331"/>
        <v>|||</v>
      </c>
      <c r="H8102" s="835">
        <f t="shared" si="332"/>
        <v>31</v>
      </c>
      <c r="AF8102" s="831" t="s">
        <v>8761</v>
      </c>
      <c r="AG8102" s="831" t="s">
        <v>130</v>
      </c>
      <c r="AH8102" s="831" t="s">
        <v>220</v>
      </c>
      <c r="AI8102" s="831">
        <v>0</v>
      </c>
      <c r="AJ8102" s="835">
        <v>41820</v>
      </c>
      <c r="AK8102" s="831">
        <v>0</v>
      </c>
    </row>
    <row r="8103" spans="2:37">
      <c r="B8103" s="834" t="str">
        <f t="shared" si="331"/>
        <v>|||</v>
      </c>
      <c r="H8103" s="835">
        <f t="shared" si="332"/>
        <v>31</v>
      </c>
      <c r="AF8103" s="831" t="s">
        <v>8762</v>
      </c>
      <c r="AG8103" s="831" t="s">
        <v>130</v>
      </c>
      <c r="AH8103" s="831" t="s">
        <v>221</v>
      </c>
      <c r="AI8103" s="831">
        <v>0</v>
      </c>
      <c r="AJ8103" s="835">
        <v>41820</v>
      </c>
      <c r="AK8103" s="831">
        <v>11505755</v>
      </c>
    </row>
    <row r="8104" spans="2:37">
      <c r="B8104" s="834" t="str">
        <f t="shared" si="331"/>
        <v>|||</v>
      </c>
      <c r="H8104" s="835">
        <f t="shared" si="332"/>
        <v>31</v>
      </c>
      <c r="AF8104" s="831" t="s">
        <v>8763</v>
      </c>
      <c r="AG8104" s="831" t="s">
        <v>130</v>
      </c>
      <c r="AH8104" s="831" t="s">
        <v>228</v>
      </c>
      <c r="AI8104" s="831">
        <v>0</v>
      </c>
      <c r="AJ8104" s="835">
        <v>41820</v>
      </c>
      <c r="AK8104" s="831">
        <v>0</v>
      </c>
    </row>
    <row r="8105" spans="2:37">
      <c r="B8105" s="834" t="str">
        <f t="shared" si="331"/>
        <v>|||</v>
      </c>
      <c r="H8105" s="835">
        <f t="shared" si="332"/>
        <v>31</v>
      </c>
      <c r="AF8105" s="831" t="s">
        <v>8764</v>
      </c>
      <c r="AG8105" s="831" t="s">
        <v>130</v>
      </c>
      <c r="AH8105" s="831" t="s">
        <v>230</v>
      </c>
      <c r="AI8105" s="831">
        <v>0</v>
      </c>
      <c r="AJ8105" s="835">
        <v>41820</v>
      </c>
      <c r="AK8105" s="831">
        <v>0</v>
      </c>
    </row>
    <row r="8106" spans="2:37">
      <c r="B8106" s="834" t="str">
        <f t="shared" si="331"/>
        <v>|||</v>
      </c>
      <c r="H8106" s="835">
        <f t="shared" si="332"/>
        <v>31</v>
      </c>
      <c r="AF8106" s="831" t="s">
        <v>8765</v>
      </c>
      <c r="AG8106" s="831" t="s">
        <v>130</v>
      </c>
      <c r="AH8106" s="831" t="s">
        <v>231</v>
      </c>
      <c r="AI8106" s="831">
        <v>0</v>
      </c>
      <c r="AJ8106" s="835">
        <v>41820</v>
      </c>
      <c r="AK8106" s="831">
        <v>0</v>
      </c>
    </row>
    <row r="8107" spans="2:37">
      <c r="B8107" s="834" t="str">
        <f t="shared" si="331"/>
        <v>|||</v>
      </c>
      <c r="H8107" s="835">
        <f t="shared" si="332"/>
        <v>31</v>
      </c>
      <c r="AF8107" s="831" t="s">
        <v>8766</v>
      </c>
      <c r="AG8107" s="831" t="s">
        <v>130</v>
      </c>
      <c r="AH8107" s="831" t="s">
        <v>232</v>
      </c>
      <c r="AI8107" s="831">
        <v>0</v>
      </c>
      <c r="AJ8107" s="835">
        <v>41820</v>
      </c>
      <c r="AK8107" s="831">
        <v>285954901</v>
      </c>
    </row>
    <row r="8108" spans="2:37">
      <c r="B8108" s="834" t="str">
        <f t="shared" si="331"/>
        <v>|||</v>
      </c>
      <c r="H8108" s="835">
        <f t="shared" si="332"/>
        <v>31</v>
      </c>
      <c r="AF8108" s="831" t="s">
        <v>8767</v>
      </c>
      <c r="AG8108" s="831" t="s">
        <v>130</v>
      </c>
      <c r="AH8108" s="831" t="s">
        <v>116</v>
      </c>
      <c r="AI8108" s="831">
        <v>0</v>
      </c>
      <c r="AJ8108" s="835">
        <v>41820</v>
      </c>
      <c r="AK8108" s="831">
        <v>8008111</v>
      </c>
    </row>
    <row r="8109" spans="2:37">
      <c r="B8109" s="834" t="str">
        <f t="shared" si="331"/>
        <v>|||</v>
      </c>
      <c r="H8109" s="835">
        <f t="shared" si="332"/>
        <v>31</v>
      </c>
      <c r="AF8109" s="831" t="s">
        <v>8768</v>
      </c>
      <c r="AG8109" s="831" t="s">
        <v>130</v>
      </c>
      <c r="AH8109" s="831" t="s">
        <v>234</v>
      </c>
      <c r="AI8109" s="831">
        <v>0</v>
      </c>
      <c r="AJ8109" s="835">
        <v>41820</v>
      </c>
      <c r="AK8109" s="831">
        <v>0</v>
      </c>
    </row>
    <row r="8110" spans="2:37">
      <c r="B8110" s="834" t="str">
        <f t="shared" si="331"/>
        <v>|||</v>
      </c>
      <c r="H8110" s="835">
        <f t="shared" si="332"/>
        <v>31</v>
      </c>
      <c r="AF8110" s="831" t="s">
        <v>8769</v>
      </c>
      <c r="AG8110" s="831" t="s">
        <v>130</v>
      </c>
      <c r="AH8110" s="831" t="s">
        <v>235</v>
      </c>
      <c r="AI8110" s="831">
        <v>0</v>
      </c>
      <c r="AJ8110" s="835">
        <v>41820</v>
      </c>
      <c r="AK8110" s="831">
        <v>0</v>
      </c>
    </row>
    <row r="8111" spans="2:37">
      <c r="B8111" s="834" t="str">
        <f t="shared" si="331"/>
        <v>|||</v>
      </c>
      <c r="H8111" s="835">
        <f t="shared" si="332"/>
        <v>31</v>
      </c>
      <c r="AF8111" s="831" t="s">
        <v>8770</v>
      </c>
      <c r="AG8111" s="831" t="s">
        <v>130</v>
      </c>
      <c r="AH8111" s="831" t="s">
        <v>238</v>
      </c>
      <c r="AI8111" s="831">
        <v>0</v>
      </c>
      <c r="AJ8111" s="835">
        <v>41820</v>
      </c>
      <c r="AK8111" s="831">
        <v>0</v>
      </c>
    </row>
    <row r="8112" spans="2:37">
      <c r="B8112" s="834" t="str">
        <f t="shared" si="331"/>
        <v>|||</v>
      </c>
      <c r="H8112" s="835">
        <f t="shared" si="332"/>
        <v>31</v>
      </c>
      <c r="AF8112" s="831" t="s">
        <v>8771</v>
      </c>
      <c r="AG8112" s="831" t="s">
        <v>130</v>
      </c>
      <c r="AH8112" s="831" t="s">
        <v>240</v>
      </c>
      <c r="AI8112" s="831">
        <v>0</v>
      </c>
      <c r="AJ8112" s="835">
        <v>41820</v>
      </c>
      <c r="AK8112" s="831">
        <v>85000000</v>
      </c>
    </row>
    <row r="8113" spans="2:37">
      <c r="B8113" s="834" t="str">
        <f t="shared" si="331"/>
        <v>|||</v>
      </c>
      <c r="H8113" s="835">
        <f t="shared" si="332"/>
        <v>31</v>
      </c>
      <c r="AF8113" s="831" t="s">
        <v>8772</v>
      </c>
      <c r="AG8113" s="831" t="s">
        <v>130</v>
      </c>
      <c r="AH8113" s="831" t="s">
        <v>241</v>
      </c>
      <c r="AI8113" s="831">
        <v>0</v>
      </c>
      <c r="AJ8113" s="835">
        <v>41820</v>
      </c>
      <c r="AK8113" s="831">
        <v>0</v>
      </c>
    </row>
    <row r="8114" spans="2:37">
      <c r="B8114" s="834" t="str">
        <f t="shared" si="331"/>
        <v>|||</v>
      </c>
      <c r="H8114" s="835">
        <f t="shared" si="332"/>
        <v>31</v>
      </c>
      <c r="AF8114" s="831" t="s">
        <v>8773</v>
      </c>
      <c r="AG8114" s="831" t="s">
        <v>130</v>
      </c>
      <c r="AH8114" s="831" t="s">
        <v>242</v>
      </c>
      <c r="AI8114" s="831">
        <v>0</v>
      </c>
      <c r="AJ8114" s="835">
        <v>41820</v>
      </c>
      <c r="AK8114" s="831">
        <v>0</v>
      </c>
    </row>
    <row r="8115" spans="2:37">
      <c r="B8115" s="834" t="str">
        <f t="shared" si="331"/>
        <v>|||</v>
      </c>
      <c r="H8115" s="835">
        <f t="shared" si="332"/>
        <v>31</v>
      </c>
      <c r="AF8115" s="831" t="s">
        <v>8774</v>
      </c>
      <c r="AG8115" s="831" t="s">
        <v>130</v>
      </c>
      <c r="AH8115" s="831" t="s">
        <v>244</v>
      </c>
      <c r="AI8115" s="831">
        <v>0</v>
      </c>
      <c r="AJ8115" s="835">
        <v>41820</v>
      </c>
      <c r="AK8115" s="831">
        <v>29134877</v>
      </c>
    </row>
    <row r="8116" spans="2:37">
      <c r="B8116" s="834" t="str">
        <f t="shared" si="331"/>
        <v>|||</v>
      </c>
      <c r="H8116" s="835">
        <f t="shared" si="332"/>
        <v>31</v>
      </c>
      <c r="AF8116" s="831" t="s">
        <v>8775</v>
      </c>
      <c r="AG8116" s="831" t="s">
        <v>130</v>
      </c>
      <c r="AH8116" s="831" t="s">
        <v>245</v>
      </c>
      <c r="AI8116" s="831">
        <v>0</v>
      </c>
      <c r="AJ8116" s="835">
        <v>41820</v>
      </c>
      <c r="AK8116" s="831">
        <v>21227944</v>
      </c>
    </row>
    <row r="8117" spans="2:37">
      <c r="B8117" s="834" t="str">
        <f t="shared" si="331"/>
        <v>|||</v>
      </c>
      <c r="H8117" s="835">
        <f t="shared" si="332"/>
        <v>31</v>
      </c>
      <c r="AF8117" s="831" t="s">
        <v>8776</v>
      </c>
      <c r="AG8117" s="831" t="s">
        <v>130</v>
      </c>
      <c r="AH8117" s="831" t="s">
        <v>145</v>
      </c>
      <c r="AI8117" s="831">
        <v>0</v>
      </c>
      <c r="AJ8117" s="835">
        <v>41851</v>
      </c>
      <c r="AK8117" s="831">
        <v>65095216</v>
      </c>
    </row>
    <row r="8118" spans="2:37">
      <c r="B8118" s="834" t="str">
        <f t="shared" si="331"/>
        <v>|||</v>
      </c>
      <c r="H8118" s="835">
        <f t="shared" si="332"/>
        <v>31</v>
      </c>
      <c r="AF8118" s="831" t="s">
        <v>8777</v>
      </c>
      <c r="AG8118" s="831" t="s">
        <v>130</v>
      </c>
      <c r="AH8118" s="831" t="s">
        <v>149</v>
      </c>
      <c r="AI8118" s="831">
        <v>0</v>
      </c>
      <c r="AJ8118" s="835">
        <v>41851</v>
      </c>
      <c r="AK8118" s="831">
        <v>0</v>
      </c>
    </row>
    <row r="8119" spans="2:37">
      <c r="B8119" s="834" t="str">
        <f t="shared" si="331"/>
        <v>|||</v>
      </c>
      <c r="H8119" s="835">
        <f t="shared" si="332"/>
        <v>31</v>
      </c>
      <c r="AF8119" s="831" t="s">
        <v>8778</v>
      </c>
      <c r="AG8119" s="831" t="s">
        <v>130</v>
      </c>
      <c r="AH8119" s="831" t="s">
        <v>153</v>
      </c>
      <c r="AI8119" s="831">
        <v>0</v>
      </c>
      <c r="AJ8119" s="835">
        <v>41851</v>
      </c>
      <c r="AK8119" s="831">
        <v>76427454</v>
      </c>
    </row>
    <row r="8120" spans="2:37">
      <c r="B8120" s="834" t="str">
        <f t="shared" si="331"/>
        <v>|||</v>
      </c>
      <c r="H8120" s="835">
        <f t="shared" si="332"/>
        <v>31</v>
      </c>
      <c r="AF8120" s="831" t="s">
        <v>8779</v>
      </c>
      <c r="AG8120" s="831" t="s">
        <v>130</v>
      </c>
      <c r="AH8120" s="831" t="s">
        <v>156</v>
      </c>
      <c r="AI8120" s="831">
        <v>0</v>
      </c>
      <c r="AJ8120" s="835">
        <v>41851</v>
      </c>
      <c r="AK8120" s="831">
        <v>0</v>
      </c>
    </row>
    <row r="8121" spans="2:37">
      <c r="B8121" s="834" t="str">
        <f t="shared" si="331"/>
        <v>|||</v>
      </c>
      <c r="H8121" s="835">
        <f t="shared" si="332"/>
        <v>31</v>
      </c>
      <c r="AF8121" s="831" t="s">
        <v>8780</v>
      </c>
      <c r="AG8121" s="831" t="s">
        <v>130</v>
      </c>
      <c r="AH8121" s="831" t="s">
        <v>162</v>
      </c>
      <c r="AI8121" s="831">
        <v>0</v>
      </c>
      <c r="AJ8121" s="835">
        <v>41851</v>
      </c>
      <c r="AK8121" s="831">
        <v>739176022</v>
      </c>
    </row>
    <row r="8122" spans="2:37">
      <c r="B8122" s="834" t="str">
        <f t="shared" si="331"/>
        <v>|||</v>
      </c>
      <c r="H8122" s="835">
        <f t="shared" si="332"/>
        <v>31</v>
      </c>
      <c r="AF8122" s="831" t="s">
        <v>8781</v>
      </c>
      <c r="AG8122" s="831" t="s">
        <v>130</v>
      </c>
      <c r="AH8122" s="831" t="s">
        <v>165</v>
      </c>
      <c r="AI8122" s="831">
        <v>0</v>
      </c>
      <c r="AJ8122" s="835">
        <v>41851</v>
      </c>
      <c r="AK8122" s="831">
        <v>-11408077</v>
      </c>
    </row>
    <row r="8123" spans="2:37">
      <c r="B8123" s="834" t="str">
        <f t="shared" si="331"/>
        <v>|||</v>
      </c>
      <c r="H8123" s="835">
        <f t="shared" si="332"/>
        <v>31</v>
      </c>
      <c r="AF8123" s="831" t="s">
        <v>8782</v>
      </c>
      <c r="AG8123" s="831" t="s">
        <v>130</v>
      </c>
      <c r="AH8123" s="831" t="s">
        <v>171</v>
      </c>
      <c r="AI8123" s="831">
        <v>0</v>
      </c>
      <c r="AJ8123" s="835">
        <v>41851</v>
      </c>
      <c r="AK8123" s="831">
        <v>3576172</v>
      </c>
    </row>
    <row r="8124" spans="2:37">
      <c r="B8124" s="834" t="str">
        <f t="shared" si="331"/>
        <v>|||</v>
      </c>
      <c r="H8124" s="835">
        <f t="shared" si="332"/>
        <v>31</v>
      </c>
      <c r="AF8124" s="831" t="s">
        <v>8783</v>
      </c>
      <c r="AG8124" s="831" t="s">
        <v>130</v>
      </c>
      <c r="AH8124" s="831" t="s">
        <v>174</v>
      </c>
      <c r="AI8124" s="831">
        <v>0</v>
      </c>
      <c r="AJ8124" s="835">
        <v>41851</v>
      </c>
      <c r="AK8124" s="831">
        <v>0</v>
      </c>
    </row>
    <row r="8125" spans="2:37">
      <c r="B8125" s="834" t="str">
        <f t="shared" si="331"/>
        <v>|||</v>
      </c>
      <c r="H8125" s="835">
        <f t="shared" si="332"/>
        <v>31</v>
      </c>
      <c r="AF8125" s="831" t="s">
        <v>8784</v>
      </c>
      <c r="AG8125" s="831" t="s">
        <v>130</v>
      </c>
      <c r="AH8125" s="831" t="s">
        <v>181</v>
      </c>
      <c r="AI8125" s="831">
        <v>0</v>
      </c>
      <c r="AJ8125" s="835">
        <v>41851</v>
      </c>
      <c r="AK8125" s="831">
        <v>61924950</v>
      </c>
    </row>
    <row r="8126" spans="2:37">
      <c r="B8126" s="834" t="str">
        <f t="shared" si="331"/>
        <v>|||</v>
      </c>
      <c r="H8126" s="835">
        <f t="shared" si="332"/>
        <v>31</v>
      </c>
      <c r="AF8126" s="831" t="s">
        <v>8785</v>
      </c>
      <c r="AG8126" s="831" t="s">
        <v>130</v>
      </c>
      <c r="AH8126" s="831" t="s">
        <v>184</v>
      </c>
      <c r="AI8126" s="831">
        <v>0</v>
      </c>
      <c r="AJ8126" s="835">
        <v>41851</v>
      </c>
      <c r="AK8126" s="831">
        <v>-19257870</v>
      </c>
    </row>
    <row r="8127" spans="2:37">
      <c r="B8127" s="834" t="str">
        <f t="shared" si="331"/>
        <v>|||</v>
      </c>
      <c r="H8127" s="835">
        <f t="shared" si="332"/>
        <v>31</v>
      </c>
      <c r="AF8127" s="831" t="s">
        <v>8786</v>
      </c>
      <c r="AG8127" s="831" t="s">
        <v>130</v>
      </c>
      <c r="AH8127" s="831" t="s">
        <v>187</v>
      </c>
      <c r="AI8127" s="831">
        <v>0</v>
      </c>
      <c r="AJ8127" s="835">
        <v>41851</v>
      </c>
      <c r="AK8127" s="831">
        <v>0</v>
      </c>
    </row>
    <row r="8128" spans="2:37">
      <c r="B8128" s="834" t="str">
        <f t="shared" si="331"/>
        <v>|||</v>
      </c>
      <c r="H8128" s="835">
        <f t="shared" si="332"/>
        <v>31</v>
      </c>
      <c r="AF8128" s="831" t="s">
        <v>8787</v>
      </c>
      <c r="AG8128" s="831" t="s">
        <v>130</v>
      </c>
      <c r="AH8128" s="831" t="s">
        <v>196</v>
      </c>
      <c r="AI8128" s="831">
        <v>0</v>
      </c>
      <c r="AJ8128" s="835">
        <v>41851</v>
      </c>
      <c r="AK8128" s="831">
        <v>4218340</v>
      </c>
    </row>
    <row r="8129" spans="2:37">
      <c r="B8129" s="834" t="str">
        <f t="shared" si="331"/>
        <v>|||</v>
      </c>
      <c r="H8129" s="835">
        <f t="shared" si="332"/>
        <v>31</v>
      </c>
      <c r="AF8129" s="831" t="s">
        <v>8788</v>
      </c>
      <c r="AG8129" s="831" t="s">
        <v>130</v>
      </c>
      <c r="AH8129" s="831" t="s">
        <v>197</v>
      </c>
      <c r="AI8129" s="831">
        <v>0</v>
      </c>
      <c r="AJ8129" s="835">
        <v>41851</v>
      </c>
      <c r="AK8129" s="831">
        <v>0</v>
      </c>
    </row>
    <row r="8130" spans="2:37">
      <c r="B8130" s="834" t="str">
        <f t="shared" si="331"/>
        <v>|||</v>
      </c>
      <c r="H8130" s="835">
        <f t="shared" si="332"/>
        <v>31</v>
      </c>
      <c r="AF8130" s="831" t="s">
        <v>8789</v>
      </c>
      <c r="AG8130" s="831" t="s">
        <v>130</v>
      </c>
      <c r="AH8130" s="831" t="s">
        <v>199</v>
      </c>
      <c r="AI8130" s="831">
        <v>0</v>
      </c>
      <c r="AJ8130" s="835">
        <v>41851</v>
      </c>
      <c r="AK8130" s="831">
        <v>0</v>
      </c>
    </row>
    <row r="8131" spans="2:37">
      <c r="B8131" s="834" t="str">
        <f t="shared" ref="B8131:B8194" si="333">C8131&amp;"|"&amp;D8131&amp;"|"&amp;E8131&amp;"|"&amp;F8131</f>
        <v>|||</v>
      </c>
      <c r="H8131" s="835">
        <f t="shared" si="332"/>
        <v>31</v>
      </c>
      <c r="AF8131" s="831" t="s">
        <v>8790</v>
      </c>
      <c r="AG8131" s="831" t="s">
        <v>130</v>
      </c>
      <c r="AH8131" s="831" t="s">
        <v>201</v>
      </c>
      <c r="AI8131" s="831">
        <v>0</v>
      </c>
      <c r="AJ8131" s="835">
        <v>41851</v>
      </c>
      <c r="AK8131" s="831">
        <v>17527338</v>
      </c>
    </row>
    <row r="8132" spans="2:37">
      <c r="B8132" s="834" t="str">
        <f t="shared" si="333"/>
        <v>|||</v>
      </c>
      <c r="H8132" s="835">
        <f t="shared" ref="H8132:H8195" si="334">EOMONTH(L8132,0)</f>
        <v>31</v>
      </c>
      <c r="AF8132" s="831" t="s">
        <v>8791</v>
      </c>
      <c r="AG8132" s="831" t="s">
        <v>130</v>
      </c>
      <c r="AH8132" s="831" t="s">
        <v>209</v>
      </c>
      <c r="AI8132" s="831">
        <v>0</v>
      </c>
      <c r="AJ8132" s="835">
        <v>41851</v>
      </c>
      <c r="AK8132" s="831">
        <v>70687928</v>
      </c>
    </row>
    <row r="8133" spans="2:37">
      <c r="B8133" s="834" t="str">
        <f t="shared" si="333"/>
        <v>|||</v>
      </c>
      <c r="H8133" s="835">
        <f t="shared" si="334"/>
        <v>31</v>
      </c>
      <c r="AF8133" s="831" t="s">
        <v>8792</v>
      </c>
      <c r="AG8133" s="831" t="s">
        <v>130</v>
      </c>
      <c r="AH8133" s="831" t="s">
        <v>211</v>
      </c>
      <c r="AI8133" s="831">
        <v>0</v>
      </c>
      <c r="AJ8133" s="835">
        <v>41851</v>
      </c>
      <c r="AK8133" s="831">
        <v>235378405</v>
      </c>
    </row>
    <row r="8134" spans="2:37">
      <c r="B8134" s="834" t="str">
        <f t="shared" si="333"/>
        <v>|||</v>
      </c>
      <c r="H8134" s="835">
        <f t="shared" si="334"/>
        <v>31</v>
      </c>
      <c r="AF8134" s="831" t="s">
        <v>8793</v>
      </c>
      <c r="AG8134" s="831" t="s">
        <v>130</v>
      </c>
      <c r="AH8134" s="831" t="s">
        <v>212</v>
      </c>
      <c r="AI8134" s="831">
        <v>0</v>
      </c>
      <c r="AJ8134" s="835">
        <v>41851</v>
      </c>
      <c r="AK8134" s="831">
        <v>10406339</v>
      </c>
    </row>
    <row r="8135" spans="2:37">
      <c r="B8135" s="834" t="str">
        <f t="shared" si="333"/>
        <v>|||</v>
      </c>
      <c r="H8135" s="835">
        <f t="shared" si="334"/>
        <v>31</v>
      </c>
      <c r="AF8135" s="831" t="s">
        <v>8794</v>
      </c>
      <c r="AG8135" s="831" t="s">
        <v>130</v>
      </c>
      <c r="AH8135" s="831" t="s">
        <v>216</v>
      </c>
      <c r="AI8135" s="831">
        <v>0</v>
      </c>
      <c r="AJ8135" s="835">
        <v>41851</v>
      </c>
      <c r="AK8135" s="831">
        <v>0</v>
      </c>
    </row>
    <row r="8136" spans="2:37">
      <c r="B8136" s="834" t="str">
        <f t="shared" si="333"/>
        <v>|||</v>
      </c>
      <c r="H8136" s="835">
        <f t="shared" si="334"/>
        <v>31</v>
      </c>
      <c r="AF8136" s="831" t="s">
        <v>8795</v>
      </c>
      <c r="AG8136" s="831" t="s">
        <v>130</v>
      </c>
      <c r="AH8136" s="831" t="s">
        <v>218</v>
      </c>
      <c r="AI8136" s="831">
        <v>0</v>
      </c>
      <c r="AJ8136" s="835">
        <v>41851</v>
      </c>
      <c r="AK8136" s="831">
        <v>176550460</v>
      </c>
    </row>
    <row r="8137" spans="2:37">
      <c r="B8137" s="834" t="str">
        <f t="shared" si="333"/>
        <v>|||</v>
      </c>
      <c r="H8137" s="835">
        <f t="shared" si="334"/>
        <v>31</v>
      </c>
      <c r="AF8137" s="831" t="s">
        <v>8796</v>
      </c>
      <c r="AG8137" s="831" t="s">
        <v>130</v>
      </c>
      <c r="AH8137" s="831" t="s">
        <v>220</v>
      </c>
      <c r="AI8137" s="831">
        <v>0</v>
      </c>
      <c r="AJ8137" s="835">
        <v>41851</v>
      </c>
      <c r="AK8137" s="831">
        <v>0</v>
      </c>
    </row>
    <row r="8138" spans="2:37">
      <c r="B8138" s="834" t="str">
        <f t="shared" si="333"/>
        <v>|||</v>
      </c>
      <c r="H8138" s="835">
        <f t="shared" si="334"/>
        <v>31</v>
      </c>
      <c r="AF8138" s="831" t="s">
        <v>8797</v>
      </c>
      <c r="AG8138" s="831" t="s">
        <v>130</v>
      </c>
      <c r="AH8138" s="831" t="s">
        <v>221</v>
      </c>
      <c r="AI8138" s="831">
        <v>0</v>
      </c>
      <c r="AJ8138" s="835">
        <v>41851</v>
      </c>
      <c r="AK8138" s="831">
        <v>10713987</v>
      </c>
    </row>
    <row r="8139" spans="2:37">
      <c r="B8139" s="834" t="str">
        <f t="shared" si="333"/>
        <v>|||</v>
      </c>
      <c r="H8139" s="835">
        <f t="shared" si="334"/>
        <v>31</v>
      </c>
      <c r="AF8139" s="831" t="s">
        <v>8798</v>
      </c>
      <c r="AG8139" s="831" t="s">
        <v>130</v>
      </c>
      <c r="AH8139" s="831" t="s">
        <v>228</v>
      </c>
      <c r="AI8139" s="831">
        <v>0</v>
      </c>
      <c r="AJ8139" s="835">
        <v>41851</v>
      </c>
      <c r="AK8139" s="831">
        <v>0</v>
      </c>
    </row>
    <row r="8140" spans="2:37">
      <c r="B8140" s="834" t="str">
        <f t="shared" si="333"/>
        <v>|||</v>
      </c>
      <c r="H8140" s="835">
        <f t="shared" si="334"/>
        <v>31</v>
      </c>
      <c r="AF8140" s="831" t="s">
        <v>8799</v>
      </c>
      <c r="AG8140" s="831" t="s">
        <v>130</v>
      </c>
      <c r="AH8140" s="831" t="s">
        <v>230</v>
      </c>
      <c r="AI8140" s="831">
        <v>0</v>
      </c>
      <c r="AJ8140" s="835">
        <v>41851</v>
      </c>
      <c r="AK8140" s="831">
        <v>0</v>
      </c>
    </row>
    <row r="8141" spans="2:37">
      <c r="B8141" s="834" t="str">
        <f t="shared" si="333"/>
        <v>|||</v>
      </c>
      <c r="H8141" s="835">
        <f t="shared" si="334"/>
        <v>31</v>
      </c>
      <c r="AF8141" s="831" t="s">
        <v>8800</v>
      </c>
      <c r="AG8141" s="831" t="s">
        <v>130</v>
      </c>
      <c r="AH8141" s="831" t="s">
        <v>231</v>
      </c>
      <c r="AI8141" s="831">
        <v>0</v>
      </c>
      <c r="AJ8141" s="835">
        <v>41851</v>
      </c>
      <c r="AK8141" s="831">
        <v>0</v>
      </c>
    </row>
    <row r="8142" spans="2:37">
      <c r="B8142" s="834" t="str">
        <f t="shared" si="333"/>
        <v>|||</v>
      </c>
      <c r="H8142" s="835">
        <f t="shared" si="334"/>
        <v>31</v>
      </c>
      <c r="AF8142" s="831" t="s">
        <v>8801</v>
      </c>
      <c r="AG8142" s="831" t="s">
        <v>130</v>
      </c>
      <c r="AH8142" s="831" t="s">
        <v>232</v>
      </c>
      <c r="AI8142" s="831">
        <v>0</v>
      </c>
      <c r="AJ8142" s="835">
        <v>41851</v>
      </c>
      <c r="AK8142" s="831">
        <v>279688249</v>
      </c>
    </row>
    <row r="8143" spans="2:37">
      <c r="B8143" s="834" t="str">
        <f t="shared" si="333"/>
        <v>|||</v>
      </c>
      <c r="H8143" s="835">
        <f t="shared" si="334"/>
        <v>31</v>
      </c>
      <c r="AF8143" s="831" t="s">
        <v>8802</v>
      </c>
      <c r="AG8143" s="831" t="s">
        <v>130</v>
      </c>
      <c r="AH8143" s="831" t="s">
        <v>116</v>
      </c>
      <c r="AI8143" s="831">
        <v>0</v>
      </c>
      <c r="AJ8143" s="835">
        <v>41851</v>
      </c>
      <c r="AK8143" s="831">
        <v>15849090</v>
      </c>
    </row>
    <row r="8144" spans="2:37">
      <c r="B8144" s="834" t="str">
        <f t="shared" si="333"/>
        <v>|||</v>
      </c>
      <c r="H8144" s="835">
        <f t="shared" si="334"/>
        <v>31</v>
      </c>
      <c r="AF8144" s="831" t="s">
        <v>8803</v>
      </c>
      <c r="AG8144" s="831" t="s">
        <v>130</v>
      </c>
      <c r="AH8144" s="831" t="s">
        <v>234</v>
      </c>
      <c r="AI8144" s="831">
        <v>0</v>
      </c>
      <c r="AJ8144" s="835">
        <v>41851</v>
      </c>
      <c r="AK8144" s="831">
        <v>0</v>
      </c>
    </row>
    <row r="8145" spans="2:37">
      <c r="B8145" s="834" t="str">
        <f t="shared" si="333"/>
        <v>|||</v>
      </c>
      <c r="H8145" s="835">
        <f t="shared" si="334"/>
        <v>31</v>
      </c>
      <c r="AF8145" s="831" t="s">
        <v>8804</v>
      </c>
      <c r="AG8145" s="831" t="s">
        <v>130</v>
      </c>
      <c r="AH8145" s="831" t="s">
        <v>235</v>
      </c>
      <c r="AI8145" s="831">
        <v>0</v>
      </c>
      <c r="AJ8145" s="835">
        <v>41851</v>
      </c>
      <c r="AK8145" s="831">
        <v>0</v>
      </c>
    </row>
    <row r="8146" spans="2:37">
      <c r="B8146" s="834" t="str">
        <f t="shared" si="333"/>
        <v>|||</v>
      </c>
      <c r="H8146" s="835">
        <f t="shared" si="334"/>
        <v>31</v>
      </c>
      <c r="AF8146" s="831" t="s">
        <v>8805</v>
      </c>
      <c r="AG8146" s="831" t="s">
        <v>130</v>
      </c>
      <c r="AH8146" s="831" t="s">
        <v>238</v>
      </c>
      <c r="AI8146" s="831">
        <v>0</v>
      </c>
      <c r="AJ8146" s="835">
        <v>41851</v>
      </c>
      <c r="AK8146" s="831">
        <v>0</v>
      </c>
    </row>
    <row r="8147" spans="2:37">
      <c r="B8147" s="834" t="str">
        <f t="shared" si="333"/>
        <v>|||</v>
      </c>
      <c r="H8147" s="835">
        <f t="shared" si="334"/>
        <v>31</v>
      </c>
      <c r="AF8147" s="831" t="s">
        <v>8806</v>
      </c>
      <c r="AG8147" s="831" t="s">
        <v>130</v>
      </c>
      <c r="AH8147" s="831" t="s">
        <v>240</v>
      </c>
      <c r="AI8147" s="831">
        <v>0</v>
      </c>
      <c r="AJ8147" s="835">
        <v>41851</v>
      </c>
      <c r="AK8147" s="831">
        <v>85000000</v>
      </c>
    </row>
    <row r="8148" spans="2:37">
      <c r="B8148" s="834" t="str">
        <f t="shared" si="333"/>
        <v>|||</v>
      </c>
      <c r="H8148" s="835">
        <f t="shared" si="334"/>
        <v>31</v>
      </c>
      <c r="AF8148" s="831" t="s">
        <v>8807</v>
      </c>
      <c r="AG8148" s="831" t="s">
        <v>130</v>
      </c>
      <c r="AH8148" s="831" t="s">
        <v>241</v>
      </c>
      <c r="AI8148" s="831">
        <v>0</v>
      </c>
      <c r="AJ8148" s="835">
        <v>41851</v>
      </c>
      <c r="AK8148" s="831">
        <v>0</v>
      </c>
    </row>
    <row r="8149" spans="2:37">
      <c r="B8149" s="834" t="str">
        <f t="shared" si="333"/>
        <v>|||</v>
      </c>
      <c r="H8149" s="835">
        <f t="shared" si="334"/>
        <v>31</v>
      </c>
      <c r="AF8149" s="831" t="s">
        <v>8808</v>
      </c>
      <c r="AG8149" s="831" t="s">
        <v>130</v>
      </c>
      <c r="AH8149" s="831" t="s">
        <v>242</v>
      </c>
      <c r="AI8149" s="831">
        <v>0</v>
      </c>
      <c r="AJ8149" s="835">
        <v>41851</v>
      </c>
      <c r="AK8149" s="831">
        <v>0</v>
      </c>
    </row>
    <row r="8150" spans="2:37">
      <c r="B8150" s="834" t="str">
        <f t="shared" si="333"/>
        <v>|||</v>
      </c>
      <c r="H8150" s="835">
        <f t="shared" si="334"/>
        <v>31</v>
      </c>
      <c r="AF8150" s="831" t="s">
        <v>8809</v>
      </c>
      <c r="AG8150" s="831" t="s">
        <v>130</v>
      </c>
      <c r="AH8150" s="831" t="s">
        <v>244</v>
      </c>
      <c r="AI8150" s="831">
        <v>0</v>
      </c>
      <c r="AJ8150" s="835">
        <v>41851</v>
      </c>
      <c r="AK8150" s="831">
        <v>29134877</v>
      </c>
    </row>
    <row r="8151" spans="2:37">
      <c r="B8151" s="834" t="str">
        <f t="shared" si="333"/>
        <v>|||</v>
      </c>
      <c r="H8151" s="835">
        <f t="shared" si="334"/>
        <v>31</v>
      </c>
      <c r="AF8151" s="831" t="s">
        <v>8810</v>
      </c>
      <c r="AG8151" s="831" t="s">
        <v>130</v>
      </c>
      <c r="AH8151" s="831" t="s">
        <v>245</v>
      </c>
      <c r="AI8151" s="831">
        <v>0</v>
      </c>
      <c r="AJ8151" s="835">
        <v>41851</v>
      </c>
      <c r="AK8151" s="831">
        <v>23870210</v>
      </c>
    </row>
    <row r="8152" spans="2:37">
      <c r="B8152" s="834" t="str">
        <f t="shared" si="333"/>
        <v>|||</v>
      </c>
      <c r="H8152" s="835">
        <f t="shared" si="334"/>
        <v>31</v>
      </c>
      <c r="AF8152" s="831" t="s">
        <v>8811</v>
      </c>
      <c r="AG8152" s="831" t="s">
        <v>130</v>
      </c>
      <c r="AH8152" s="831" t="s">
        <v>145</v>
      </c>
      <c r="AI8152" s="831">
        <v>0</v>
      </c>
      <c r="AJ8152" s="835">
        <v>41882</v>
      </c>
      <c r="AK8152" s="831">
        <v>62762341</v>
      </c>
    </row>
    <row r="8153" spans="2:37">
      <c r="B8153" s="834" t="str">
        <f t="shared" si="333"/>
        <v>|||</v>
      </c>
      <c r="H8153" s="835">
        <f t="shared" si="334"/>
        <v>31</v>
      </c>
      <c r="AF8153" s="831" t="s">
        <v>8812</v>
      </c>
      <c r="AG8153" s="831" t="s">
        <v>130</v>
      </c>
      <c r="AH8153" s="831" t="s">
        <v>149</v>
      </c>
      <c r="AI8153" s="831">
        <v>0</v>
      </c>
      <c r="AJ8153" s="835">
        <v>41882</v>
      </c>
      <c r="AK8153" s="831">
        <v>0</v>
      </c>
    </row>
    <row r="8154" spans="2:37">
      <c r="B8154" s="834" t="str">
        <f t="shared" si="333"/>
        <v>|||</v>
      </c>
      <c r="H8154" s="835">
        <f t="shared" si="334"/>
        <v>31</v>
      </c>
      <c r="AF8154" s="831" t="s">
        <v>8813</v>
      </c>
      <c r="AG8154" s="831" t="s">
        <v>130</v>
      </c>
      <c r="AH8154" s="831" t="s">
        <v>153</v>
      </c>
      <c r="AI8154" s="831">
        <v>0</v>
      </c>
      <c r="AJ8154" s="835">
        <v>41882</v>
      </c>
      <c r="AK8154" s="831">
        <v>80920752</v>
      </c>
    </row>
    <row r="8155" spans="2:37">
      <c r="B8155" s="834" t="str">
        <f t="shared" si="333"/>
        <v>|||</v>
      </c>
      <c r="H8155" s="835">
        <f t="shared" si="334"/>
        <v>31</v>
      </c>
      <c r="AF8155" s="831" t="s">
        <v>8814</v>
      </c>
      <c r="AG8155" s="831" t="s">
        <v>130</v>
      </c>
      <c r="AH8155" s="831" t="s">
        <v>156</v>
      </c>
      <c r="AI8155" s="831">
        <v>0</v>
      </c>
      <c r="AJ8155" s="835">
        <v>41882</v>
      </c>
      <c r="AK8155" s="831">
        <v>0</v>
      </c>
    </row>
    <row r="8156" spans="2:37">
      <c r="B8156" s="834" t="str">
        <f t="shared" si="333"/>
        <v>|||</v>
      </c>
      <c r="H8156" s="835">
        <f t="shared" si="334"/>
        <v>31</v>
      </c>
      <c r="AF8156" s="831" t="s">
        <v>8815</v>
      </c>
      <c r="AG8156" s="831" t="s">
        <v>130</v>
      </c>
      <c r="AH8156" s="831" t="s">
        <v>162</v>
      </c>
      <c r="AI8156" s="831">
        <v>0</v>
      </c>
      <c r="AJ8156" s="835">
        <v>41882</v>
      </c>
      <c r="AK8156" s="831">
        <v>752496052</v>
      </c>
    </row>
    <row r="8157" spans="2:37">
      <c r="B8157" s="834" t="str">
        <f t="shared" si="333"/>
        <v>|||</v>
      </c>
      <c r="H8157" s="835">
        <f t="shared" si="334"/>
        <v>31</v>
      </c>
      <c r="AF8157" s="831" t="s">
        <v>8816</v>
      </c>
      <c r="AG8157" s="831" t="s">
        <v>130</v>
      </c>
      <c r="AH8157" s="831" t="s">
        <v>165</v>
      </c>
      <c r="AI8157" s="831">
        <v>0</v>
      </c>
      <c r="AJ8157" s="835">
        <v>41882</v>
      </c>
      <c r="AK8157" s="831">
        <v>-11209860</v>
      </c>
    </row>
    <row r="8158" spans="2:37">
      <c r="B8158" s="834" t="str">
        <f t="shared" si="333"/>
        <v>|||</v>
      </c>
      <c r="H8158" s="835">
        <f t="shared" si="334"/>
        <v>31</v>
      </c>
      <c r="AF8158" s="831" t="s">
        <v>8817</v>
      </c>
      <c r="AG8158" s="831" t="s">
        <v>130</v>
      </c>
      <c r="AH8158" s="831" t="s">
        <v>171</v>
      </c>
      <c r="AI8158" s="831">
        <v>0</v>
      </c>
      <c r="AJ8158" s="835">
        <v>41882</v>
      </c>
      <c r="AK8158" s="831">
        <v>4147212</v>
      </c>
    </row>
    <row r="8159" spans="2:37">
      <c r="B8159" s="834" t="str">
        <f t="shared" si="333"/>
        <v>|||</v>
      </c>
      <c r="H8159" s="835">
        <f t="shared" si="334"/>
        <v>31</v>
      </c>
      <c r="AF8159" s="831" t="s">
        <v>8818</v>
      </c>
      <c r="AG8159" s="831" t="s">
        <v>130</v>
      </c>
      <c r="AH8159" s="831" t="s">
        <v>174</v>
      </c>
      <c r="AI8159" s="831">
        <v>0</v>
      </c>
      <c r="AJ8159" s="835">
        <v>41882</v>
      </c>
      <c r="AK8159" s="831">
        <v>0</v>
      </c>
    </row>
    <row r="8160" spans="2:37">
      <c r="B8160" s="834" t="str">
        <f t="shared" si="333"/>
        <v>|||</v>
      </c>
      <c r="H8160" s="835">
        <f t="shared" si="334"/>
        <v>31</v>
      </c>
      <c r="AF8160" s="831" t="s">
        <v>8819</v>
      </c>
      <c r="AG8160" s="831" t="s">
        <v>130</v>
      </c>
      <c r="AH8160" s="831" t="s">
        <v>181</v>
      </c>
      <c r="AI8160" s="831">
        <v>0</v>
      </c>
      <c r="AJ8160" s="835">
        <v>41882</v>
      </c>
      <c r="AK8160" s="831">
        <v>62281419</v>
      </c>
    </row>
    <row r="8161" spans="2:37">
      <c r="B8161" s="834" t="str">
        <f t="shared" si="333"/>
        <v>|||</v>
      </c>
      <c r="H8161" s="835">
        <f t="shared" si="334"/>
        <v>31</v>
      </c>
      <c r="AF8161" s="831" t="s">
        <v>8820</v>
      </c>
      <c r="AG8161" s="831" t="s">
        <v>130</v>
      </c>
      <c r="AH8161" s="831" t="s">
        <v>184</v>
      </c>
      <c r="AI8161" s="831">
        <v>0</v>
      </c>
      <c r="AJ8161" s="835">
        <v>41882</v>
      </c>
      <c r="AK8161" s="831">
        <v>-19740190</v>
      </c>
    </row>
    <row r="8162" spans="2:37">
      <c r="B8162" s="834" t="str">
        <f t="shared" si="333"/>
        <v>|||</v>
      </c>
      <c r="H8162" s="835">
        <f t="shared" si="334"/>
        <v>31</v>
      </c>
      <c r="AF8162" s="831" t="s">
        <v>8821</v>
      </c>
      <c r="AG8162" s="831" t="s">
        <v>130</v>
      </c>
      <c r="AH8162" s="831" t="s">
        <v>187</v>
      </c>
      <c r="AI8162" s="831">
        <v>0</v>
      </c>
      <c r="AJ8162" s="835">
        <v>41882</v>
      </c>
      <c r="AK8162" s="831">
        <v>0</v>
      </c>
    </row>
    <row r="8163" spans="2:37">
      <c r="B8163" s="834" t="str">
        <f t="shared" si="333"/>
        <v>|||</v>
      </c>
      <c r="H8163" s="835">
        <f t="shared" si="334"/>
        <v>31</v>
      </c>
      <c r="AF8163" s="831" t="s">
        <v>8822</v>
      </c>
      <c r="AG8163" s="831" t="s">
        <v>130</v>
      </c>
      <c r="AH8163" s="831" t="s">
        <v>196</v>
      </c>
      <c r="AI8163" s="831">
        <v>0</v>
      </c>
      <c r="AJ8163" s="835">
        <v>41882</v>
      </c>
      <c r="AK8163" s="831">
        <v>4129440</v>
      </c>
    </row>
    <row r="8164" spans="2:37">
      <c r="B8164" s="834" t="str">
        <f t="shared" si="333"/>
        <v>|||</v>
      </c>
      <c r="H8164" s="835">
        <f t="shared" si="334"/>
        <v>31</v>
      </c>
      <c r="AF8164" s="831" t="s">
        <v>8823</v>
      </c>
      <c r="AG8164" s="831" t="s">
        <v>130</v>
      </c>
      <c r="AH8164" s="831" t="s">
        <v>197</v>
      </c>
      <c r="AI8164" s="831">
        <v>0</v>
      </c>
      <c r="AJ8164" s="835">
        <v>41882</v>
      </c>
      <c r="AK8164" s="831">
        <v>0</v>
      </c>
    </row>
    <row r="8165" spans="2:37">
      <c r="B8165" s="834" t="str">
        <f t="shared" si="333"/>
        <v>|||</v>
      </c>
      <c r="H8165" s="835">
        <f t="shared" si="334"/>
        <v>31</v>
      </c>
      <c r="AF8165" s="831" t="s">
        <v>8824</v>
      </c>
      <c r="AG8165" s="831" t="s">
        <v>130</v>
      </c>
      <c r="AH8165" s="831" t="s">
        <v>199</v>
      </c>
      <c r="AI8165" s="831">
        <v>0</v>
      </c>
      <c r="AJ8165" s="835">
        <v>41882</v>
      </c>
      <c r="AK8165" s="831">
        <v>0</v>
      </c>
    </row>
    <row r="8166" spans="2:37">
      <c r="B8166" s="834" t="str">
        <f t="shared" si="333"/>
        <v>|||</v>
      </c>
      <c r="H8166" s="835">
        <f t="shared" si="334"/>
        <v>31</v>
      </c>
      <c r="AF8166" s="831" t="s">
        <v>8825</v>
      </c>
      <c r="AG8166" s="831" t="s">
        <v>130</v>
      </c>
      <c r="AH8166" s="831" t="s">
        <v>201</v>
      </c>
      <c r="AI8166" s="831">
        <v>0</v>
      </c>
      <c r="AJ8166" s="835">
        <v>41882</v>
      </c>
      <c r="AK8166" s="831">
        <v>19540707</v>
      </c>
    </row>
    <row r="8167" spans="2:37">
      <c r="B8167" s="834" t="str">
        <f t="shared" si="333"/>
        <v>|||</v>
      </c>
      <c r="H8167" s="835">
        <f t="shared" si="334"/>
        <v>31</v>
      </c>
      <c r="AF8167" s="831" t="s">
        <v>8826</v>
      </c>
      <c r="AG8167" s="831" t="s">
        <v>130</v>
      </c>
      <c r="AH8167" s="831" t="s">
        <v>209</v>
      </c>
      <c r="AI8167" s="831">
        <v>0</v>
      </c>
      <c r="AJ8167" s="835">
        <v>41882</v>
      </c>
      <c r="AK8167" s="831">
        <v>73489765</v>
      </c>
    </row>
    <row r="8168" spans="2:37">
      <c r="B8168" s="834" t="str">
        <f t="shared" si="333"/>
        <v>|||</v>
      </c>
      <c r="H8168" s="835">
        <f t="shared" si="334"/>
        <v>31</v>
      </c>
      <c r="AF8168" s="831" t="s">
        <v>8827</v>
      </c>
      <c r="AG8168" s="831" t="s">
        <v>130</v>
      </c>
      <c r="AH8168" s="831" t="s">
        <v>211</v>
      </c>
      <c r="AI8168" s="831">
        <v>0</v>
      </c>
      <c r="AJ8168" s="835">
        <v>41882</v>
      </c>
      <c r="AK8168" s="831">
        <v>235264440</v>
      </c>
    </row>
    <row r="8169" spans="2:37">
      <c r="B8169" s="834" t="str">
        <f t="shared" si="333"/>
        <v>|||</v>
      </c>
      <c r="H8169" s="835">
        <f t="shared" si="334"/>
        <v>31</v>
      </c>
      <c r="AF8169" s="831" t="s">
        <v>8828</v>
      </c>
      <c r="AG8169" s="831" t="s">
        <v>130</v>
      </c>
      <c r="AH8169" s="831" t="s">
        <v>212</v>
      </c>
      <c r="AI8169" s="831">
        <v>0</v>
      </c>
      <c r="AJ8169" s="835">
        <v>41882</v>
      </c>
      <c r="AK8169" s="831">
        <v>10223244</v>
      </c>
    </row>
    <row r="8170" spans="2:37">
      <c r="B8170" s="834" t="str">
        <f t="shared" si="333"/>
        <v>|||</v>
      </c>
      <c r="H8170" s="835">
        <f t="shared" si="334"/>
        <v>31</v>
      </c>
      <c r="AF8170" s="831" t="s">
        <v>8829</v>
      </c>
      <c r="AG8170" s="831" t="s">
        <v>130</v>
      </c>
      <c r="AH8170" s="831" t="s">
        <v>216</v>
      </c>
      <c r="AI8170" s="831">
        <v>0</v>
      </c>
      <c r="AJ8170" s="835">
        <v>41882</v>
      </c>
      <c r="AK8170" s="831">
        <v>0</v>
      </c>
    </row>
    <row r="8171" spans="2:37">
      <c r="B8171" s="834" t="str">
        <f t="shared" si="333"/>
        <v>|||</v>
      </c>
      <c r="H8171" s="835">
        <f t="shared" si="334"/>
        <v>31</v>
      </c>
      <c r="AF8171" s="831" t="s">
        <v>8830</v>
      </c>
      <c r="AG8171" s="831" t="s">
        <v>130</v>
      </c>
      <c r="AH8171" s="831" t="s">
        <v>218</v>
      </c>
      <c r="AI8171" s="831">
        <v>0</v>
      </c>
      <c r="AJ8171" s="835">
        <v>41882</v>
      </c>
      <c r="AK8171" s="831">
        <v>185445859.71900001</v>
      </c>
    </row>
    <row r="8172" spans="2:37">
      <c r="B8172" s="834" t="str">
        <f t="shared" si="333"/>
        <v>|||</v>
      </c>
      <c r="H8172" s="835">
        <f t="shared" si="334"/>
        <v>31</v>
      </c>
      <c r="AF8172" s="831" t="s">
        <v>8831</v>
      </c>
      <c r="AG8172" s="831" t="s">
        <v>130</v>
      </c>
      <c r="AH8172" s="831" t="s">
        <v>220</v>
      </c>
      <c r="AI8172" s="831">
        <v>0</v>
      </c>
      <c r="AJ8172" s="835">
        <v>41882</v>
      </c>
      <c r="AK8172" s="831">
        <v>0</v>
      </c>
    </row>
    <row r="8173" spans="2:37">
      <c r="B8173" s="834" t="str">
        <f t="shared" si="333"/>
        <v>|||</v>
      </c>
      <c r="H8173" s="835">
        <f t="shared" si="334"/>
        <v>31</v>
      </c>
      <c r="AF8173" s="831" t="s">
        <v>8832</v>
      </c>
      <c r="AG8173" s="831" t="s">
        <v>130</v>
      </c>
      <c r="AH8173" s="831" t="s">
        <v>221</v>
      </c>
      <c r="AI8173" s="831">
        <v>0</v>
      </c>
      <c r="AJ8173" s="835">
        <v>41882</v>
      </c>
      <c r="AK8173" s="831">
        <v>15826915</v>
      </c>
    </row>
    <row r="8174" spans="2:37">
      <c r="B8174" s="834" t="str">
        <f t="shared" si="333"/>
        <v>|||</v>
      </c>
      <c r="H8174" s="835">
        <f t="shared" si="334"/>
        <v>31</v>
      </c>
      <c r="AF8174" s="831" t="s">
        <v>8833</v>
      </c>
      <c r="AG8174" s="831" t="s">
        <v>130</v>
      </c>
      <c r="AH8174" s="831" t="s">
        <v>228</v>
      </c>
      <c r="AI8174" s="831">
        <v>0</v>
      </c>
      <c r="AJ8174" s="835">
        <v>41882</v>
      </c>
      <c r="AK8174" s="831">
        <v>0</v>
      </c>
    </row>
    <row r="8175" spans="2:37">
      <c r="B8175" s="834" t="str">
        <f t="shared" si="333"/>
        <v>|||</v>
      </c>
      <c r="H8175" s="835">
        <f t="shared" si="334"/>
        <v>31</v>
      </c>
      <c r="AF8175" s="831" t="s">
        <v>8834</v>
      </c>
      <c r="AG8175" s="831" t="s">
        <v>130</v>
      </c>
      <c r="AH8175" s="831" t="s">
        <v>230</v>
      </c>
      <c r="AI8175" s="831">
        <v>0</v>
      </c>
      <c r="AJ8175" s="835">
        <v>41882</v>
      </c>
      <c r="AK8175" s="831">
        <v>0</v>
      </c>
    </row>
    <row r="8176" spans="2:37">
      <c r="B8176" s="834" t="str">
        <f t="shared" si="333"/>
        <v>|||</v>
      </c>
      <c r="H8176" s="835">
        <f t="shared" si="334"/>
        <v>31</v>
      </c>
      <c r="AF8176" s="831" t="s">
        <v>8835</v>
      </c>
      <c r="AG8176" s="831" t="s">
        <v>130</v>
      </c>
      <c r="AH8176" s="831" t="s">
        <v>231</v>
      </c>
      <c r="AI8176" s="831">
        <v>0</v>
      </c>
      <c r="AJ8176" s="835">
        <v>41882</v>
      </c>
      <c r="AK8176" s="831">
        <v>0</v>
      </c>
    </row>
    <row r="8177" spans="2:37">
      <c r="B8177" s="834" t="str">
        <f t="shared" si="333"/>
        <v>|||</v>
      </c>
      <c r="H8177" s="835">
        <f t="shared" si="334"/>
        <v>31</v>
      </c>
      <c r="AF8177" s="831" t="s">
        <v>8836</v>
      </c>
      <c r="AG8177" s="831" t="s">
        <v>130</v>
      </c>
      <c r="AH8177" s="831" t="s">
        <v>232</v>
      </c>
      <c r="AI8177" s="831">
        <v>0</v>
      </c>
      <c r="AJ8177" s="835">
        <v>41882</v>
      </c>
      <c r="AK8177" s="831">
        <v>277400471.81</v>
      </c>
    </row>
    <row r="8178" spans="2:37">
      <c r="B8178" s="834" t="str">
        <f t="shared" si="333"/>
        <v>|||</v>
      </c>
      <c r="H8178" s="835">
        <f t="shared" si="334"/>
        <v>31</v>
      </c>
      <c r="AF8178" s="831" t="s">
        <v>8837</v>
      </c>
      <c r="AG8178" s="831" t="s">
        <v>130</v>
      </c>
      <c r="AH8178" s="831" t="s">
        <v>116</v>
      </c>
      <c r="AI8178" s="831">
        <v>0</v>
      </c>
      <c r="AJ8178" s="835">
        <v>41882</v>
      </c>
      <c r="AK8178" s="831">
        <v>15853131.888</v>
      </c>
    </row>
    <row r="8179" spans="2:37">
      <c r="B8179" s="834" t="str">
        <f t="shared" si="333"/>
        <v>|||</v>
      </c>
      <c r="H8179" s="835">
        <f t="shared" si="334"/>
        <v>31</v>
      </c>
      <c r="AF8179" s="831" t="s">
        <v>8838</v>
      </c>
      <c r="AG8179" s="831" t="s">
        <v>130</v>
      </c>
      <c r="AH8179" s="831" t="s">
        <v>234</v>
      </c>
      <c r="AI8179" s="831">
        <v>0</v>
      </c>
      <c r="AJ8179" s="835">
        <v>41882</v>
      </c>
      <c r="AK8179" s="831">
        <v>0</v>
      </c>
    </row>
    <row r="8180" spans="2:37">
      <c r="B8180" s="834" t="str">
        <f t="shared" si="333"/>
        <v>|||</v>
      </c>
      <c r="H8180" s="835">
        <f t="shared" si="334"/>
        <v>31</v>
      </c>
      <c r="AF8180" s="831" t="s">
        <v>8839</v>
      </c>
      <c r="AG8180" s="831" t="s">
        <v>130</v>
      </c>
      <c r="AH8180" s="831" t="s">
        <v>235</v>
      </c>
      <c r="AI8180" s="831">
        <v>0</v>
      </c>
      <c r="AJ8180" s="835">
        <v>41882</v>
      </c>
      <c r="AK8180" s="831">
        <v>0</v>
      </c>
    </row>
    <row r="8181" spans="2:37">
      <c r="B8181" s="834" t="str">
        <f t="shared" si="333"/>
        <v>|||</v>
      </c>
      <c r="H8181" s="835">
        <f t="shared" si="334"/>
        <v>31</v>
      </c>
      <c r="AF8181" s="831" t="s">
        <v>8840</v>
      </c>
      <c r="AG8181" s="831" t="s">
        <v>130</v>
      </c>
      <c r="AH8181" s="831" t="s">
        <v>238</v>
      </c>
      <c r="AI8181" s="831">
        <v>0</v>
      </c>
      <c r="AJ8181" s="835">
        <v>41882</v>
      </c>
      <c r="AK8181" s="831">
        <v>0</v>
      </c>
    </row>
    <row r="8182" spans="2:37">
      <c r="B8182" s="834" t="str">
        <f t="shared" si="333"/>
        <v>|||</v>
      </c>
      <c r="H8182" s="835">
        <f t="shared" si="334"/>
        <v>31</v>
      </c>
      <c r="AF8182" s="831" t="s">
        <v>8841</v>
      </c>
      <c r="AG8182" s="831" t="s">
        <v>130</v>
      </c>
      <c r="AH8182" s="831" t="s">
        <v>240</v>
      </c>
      <c r="AI8182" s="831">
        <v>0</v>
      </c>
      <c r="AJ8182" s="835">
        <v>41882</v>
      </c>
      <c r="AK8182" s="831">
        <v>85000000</v>
      </c>
    </row>
    <row r="8183" spans="2:37">
      <c r="B8183" s="834" t="str">
        <f t="shared" si="333"/>
        <v>|||</v>
      </c>
      <c r="H8183" s="835">
        <f t="shared" si="334"/>
        <v>31</v>
      </c>
      <c r="AF8183" s="831" t="s">
        <v>8842</v>
      </c>
      <c r="AG8183" s="831" t="s">
        <v>130</v>
      </c>
      <c r="AH8183" s="831" t="s">
        <v>241</v>
      </c>
      <c r="AI8183" s="831">
        <v>0</v>
      </c>
      <c r="AJ8183" s="835">
        <v>41882</v>
      </c>
      <c r="AK8183" s="831">
        <v>0</v>
      </c>
    </row>
    <row r="8184" spans="2:37">
      <c r="B8184" s="834" t="str">
        <f t="shared" si="333"/>
        <v>|||</v>
      </c>
      <c r="H8184" s="835">
        <f t="shared" si="334"/>
        <v>31</v>
      </c>
      <c r="AF8184" s="831" t="s">
        <v>8843</v>
      </c>
      <c r="AG8184" s="831" t="s">
        <v>130</v>
      </c>
      <c r="AH8184" s="831" t="s">
        <v>242</v>
      </c>
      <c r="AI8184" s="831">
        <v>0</v>
      </c>
      <c r="AJ8184" s="835">
        <v>41882</v>
      </c>
      <c r="AK8184" s="831">
        <v>0</v>
      </c>
    </row>
    <row r="8185" spans="2:37">
      <c r="B8185" s="834" t="str">
        <f t="shared" si="333"/>
        <v>|||</v>
      </c>
      <c r="H8185" s="835">
        <f t="shared" si="334"/>
        <v>31</v>
      </c>
      <c r="AF8185" s="831" t="s">
        <v>8844</v>
      </c>
      <c r="AG8185" s="831" t="s">
        <v>130</v>
      </c>
      <c r="AH8185" s="831" t="s">
        <v>244</v>
      </c>
      <c r="AI8185" s="831">
        <v>0</v>
      </c>
      <c r="AJ8185" s="835">
        <v>41882</v>
      </c>
      <c r="AK8185" s="831">
        <v>29134876.640000001</v>
      </c>
    </row>
    <row r="8186" spans="2:37">
      <c r="B8186" s="834" t="str">
        <f t="shared" si="333"/>
        <v>|||</v>
      </c>
      <c r="H8186" s="835">
        <f t="shared" si="334"/>
        <v>31</v>
      </c>
      <c r="AF8186" s="831" t="s">
        <v>8845</v>
      </c>
      <c r="AG8186" s="831" t="s">
        <v>130</v>
      </c>
      <c r="AH8186" s="831" t="s">
        <v>245</v>
      </c>
      <c r="AI8186" s="831">
        <v>0</v>
      </c>
      <c r="AJ8186" s="835">
        <v>41882</v>
      </c>
      <c r="AK8186" s="831">
        <v>27689169.390000001</v>
      </c>
    </row>
    <row r="8187" spans="2:37">
      <c r="B8187" s="834" t="str">
        <f t="shared" si="333"/>
        <v>|||</v>
      </c>
      <c r="H8187" s="835">
        <f t="shared" si="334"/>
        <v>31</v>
      </c>
      <c r="AF8187" s="831" t="s">
        <v>8846</v>
      </c>
      <c r="AG8187" s="831" t="s">
        <v>130</v>
      </c>
      <c r="AH8187" s="831" t="s">
        <v>145</v>
      </c>
      <c r="AI8187" s="831">
        <v>0</v>
      </c>
      <c r="AJ8187" s="835">
        <v>41912</v>
      </c>
      <c r="AK8187" s="831">
        <v>57443930</v>
      </c>
    </row>
    <row r="8188" spans="2:37">
      <c r="B8188" s="834" t="str">
        <f t="shared" si="333"/>
        <v>|||</v>
      </c>
      <c r="H8188" s="835">
        <f t="shared" si="334"/>
        <v>31</v>
      </c>
      <c r="AF8188" s="831" t="s">
        <v>8847</v>
      </c>
      <c r="AG8188" s="831" t="s">
        <v>130</v>
      </c>
      <c r="AH8188" s="831" t="s">
        <v>149</v>
      </c>
      <c r="AI8188" s="831">
        <v>0</v>
      </c>
      <c r="AJ8188" s="835">
        <v>41912</v>
      </c>
      <c r="AK8188" s="831">
        <v>0</v>
      </c>
    </row>
    <row r="8189" spans="2:37">
      <c r="B8189" s="834" t="str">
        <f t="shared" si="333"/>
        <v>|||</v>
      </c>
      <c r="H8189" s="835">
        <f t="shared" si="334"/>
        <v>31</v>
      </c>
      <c r="AF8189" s="831" t="s">
        <v>8848</v>
      </c>
      <c r="AG8189" s="831" t="s">
        <v>130</v>
      </c>
      <c r="AH8189" s="831" t="s">
        <v>153</v>
      </c>
      <c r="AI8189" s="831">
        <v>0</v>
      </c>
      <c r="AJ8189" s="835">
        <v>41912</v>
      </c>
      <c r="AK8189" s="831">
        <v>63358704</v>
      </c>
    </row>
    <row r="8190" spans="2:37">
      <c r="B8190" s="834" t="str">
        <f t="shared" si="333"/>
        <v>|||</v>
      </c>
      <c r="H8190" s="835">
        <f t="shared" si="334"/>
        <v>31</v>
      </c>
      <c r="AF8190" s="831" t="s">
        <v>8849</v>
      </c>
      <c r="AG8190" s="831" t="s">
        <v>130</v>
      </c>
      <c r="AH8190" s="831" t="s">
        <v>156</v>
      </c>
      <c r="AI8190" s="831">
        <v>0</v>
      </c>
      <c r="AJ8190" s="835">
        <v>41912</v>
      </c>
      <c r="AK8190" s="831">
        <v>0</v>
      </c>
    </row>
    <row r="8191" spans="2:37">
      <c r="B8191" s="834" t="str">
        <f t="shared" si="333"/>
        <v>|||</v>
      </c>
      <c r="H8191" s="835">
        <f t="shared" si="334"/>
        <v>31</v>
      </c>
      <c r="AF8191" s="831" t="s">
        <v>8850</v>
      </c>
      <c r="AG8191" s="831" t="s">
        <v>130</v>
      </c>
      <c r="AH8191" s="831" t="s">
        <v>162</v>
      </c>
      <c r="AI8191" s="831">
        <v>0</v>
      </c>
      <c r="AJ8191" s="835">
        <v>41912</v>
      </c>
      <c r="AK8191" s="831">
        <v>775508043</v>
      </c>
    </row>
    <row r="8192" spans="2:37">
      <c r="B8192" s="834" t="str">
        <f t="shared" si="333"/>
        <v>|||</v>
      </c>
      <c r="H8192" s="835">
        <f t="shared" si="334"/>
        <v>31</v>
      </c>
      <c r="AF8192" s="831" t="s">
        <v>8851</v>
      </c>
      <c r="AG8192" s="831" t="s">
        <v>130</v>
      </c>
      <c r="AH8192" s="831" t="s">
        <v>165</v>
      </c>
      <c r="AI8192" s="831">
        <v>0</v>
      </c>
      <c r="AJ8192" s="835">
        <v>41912</v>
      </c>
      <c r="AK8192" s="831">
        <v>-11006364</v>
      </c>
    </row>
    <row r="8193" spans="2:37">
      <c r="B8193" s="834" t="str">
        <f t="shared" si="333"/>
        <v>|||</v>
      </c>
      <c r="H8193" s="835">
        <f t="shared" si="334"/>
        <v>31</v>
      </c>
      <c r="AF8193" s="831" t="s">
        <v>8852</v>
      </c>
      <c r="AG8193" s="831" t="s">
        <v>130</v>
      </c>
      <c r="AH8193" s="831" t="s">
        <v>171</v>
      </c>
      <c r="AI8193" s="831">
        <v>0</v>
      </c>
      <c r="AJ8193" s="835">
        <v>41912</v>
      </c>
      <c r="AK8193" s="831">
        <v>3587965</v>
      </c>
    </row>
    <row r="8194" spans="2:37">
      <c r="B8194" s="834" t="str">
        <f t="shared" si="333"/>
        <v>|||</v>
      </c>
      <c r="H8194" s="835">
        <f t="shared" si="334"/>
        <v>31</v>
      </c>
      <c r="AF8194" s="831" t="s">
        <v>8853</v>
      </c>
      <c r="AG8194" s="831" t="s">
        <v>130</v>
      </c>
      <c r="AH8194" s="831" t="s">
        <v>174</v>
      </c>
      <c r="AI8194" s="831">
        <v>0</v>
      </c>
      <c r="AJ8194" s="835">
        <v>41912</v>
      </c>
      <c r="AK8194" s="831">
        <v>0</v>
      </c>
    </row>
    <row r="8195" spans="2:37">
      <c r="B8195" s="834" t="str">
        <f t="shared" ref="B8195:B8258" si="335">C8195&amp;"|"&amp;D8195&amp;"|"&amp;E8195&amp;"|"&amp;F8195</f>
        <v>|||</v>
      </c>
      <c r="H8195" s="835">
        <f t="shared" si="334"/>
        <v>31</v>
      </c>
      <c r="AF8195" s="831" t="s">
        <v>8854</v>
      </c>
      <c r="AG8195" s="831" t="s">
        <v>130</v>
      </c>
      <c r="AH8195" s="831" t="s">
        <v>181</v>
      </c>
      <c r="AI8195" s="831">
        <v>0</v>
      </c>
      <c r="AJ8195" s="835">
        <v>41912</v>
      </c>
      <c r="AK8195" s="831">
        <v>62268917</v>
      </c>
    </row>
    <row r="8196" spans="2:37">
      <c r="B8196" s="834" t="str">
        <f t="shared" si="335"/>
        <v>|||</v>
      </c>
      <c r="H8196" s="835">
        <f t="shared" ref="H8196:H8259" si="336">EOMONTH(L8196,0)</f>
        <v>31</v>
      </c>
      <c r="AF8196" s="831" t="s">
        <v>8855</v>
      </c>
      <c r="AG8196" s="831" t="s">
        <v>130</v>
      </c>
      <c r="AH8196" s="831" t="s">
        <v>184</v>
      </c>
      <c r="AI8196" s="831">
        <v>0</v>
      </c>
      <c r="AJ8196" s="835">
        <v>41912</v>
      </c>
      <c r="AK8196" s="831">
        <v>-20137570</v>
      </c>
    </row>
    <row r="8197" spans="2:37">
      <c r="B8197" s="834" t="str">
        <f t="shared" si="335"/>
        <v>|||</v>
      </c>
      <c r="H8197" s="835">
        <f t="shared" si="336"/>
        <v>31</v>
      </c>
      <c r="AF8197" s="831" t="s">
        <v>8856</v>
      </c>
      <c r="AG8197" s="831" t="s">
        <v>130</v>
      </c>
      <c r="AH8197" s="831" t="s">
        <v>187</v>
      </c>
      <c r="AI8197" s="831">
        <v>0</v>
      </c>
      <c r="AJ8197" s="835">
        <v>41912</v>
      </c>
      <c r="AK8197" s="831">
        <v>0</v>
      </c>
    </row>
    <row r="8198" spans="2:37">
      <c r="B8198" s="834" t="str">
        <f t="shared" si="335"/>
        <v>|||</v>
      </c>
      <c r="H8198" s="835">
        <f t="shared" si="336"/>
        <v>31</v>
      </c>
      <c r="AF8198" s="831" t="s">
        <v>8857</v>
      </c>
      <c r="AG8198" s="831" t="s">
        <v>130</v>
      </c>
      <c r="AH8198" s="831" t="s">
        <v>196</v>
      </c>
      <c r="AI8198" s="831">
        <v>0</v>
      </c>
      <c r="AJ8198" s="835">
        <v>41912</v>
      </c>
      <c r="AK8198" s="831">
        <v>4085880</v>
      </c>
    </row>
    <row r="8199" spans="2:37">
      <c r="B8199" s="834" t="str">
        <f t="shared" si="335"/>
        <v>|||</v>
      </c>
      <c r="H8199" s="835">
        <f t="shared" si="336"/>
        <v>31</v>
      </c>
      <c r="AF8199" s="831" t="s">
        <v>8858</v>
      </c>
      <c r="AG8199" s="831" t="s">
        <v>130</v>
      </c>
      <c r="AH8199" s="831" t="s">
        <v>197</v>
      </c>
      <c r="AI8199" s="831">
        <v>0</v>
      </c>
      <c r="AJ8199" s="835">
        <v>41912</v>
      </c>
      <c r="AK8199" s="831">
        <v>0</v>
      </c>
    </row>
    <row r="8200" spans="2:37">
      <c r="B8200" s="834" t="str">
        <f t="shared" si="335"/>
        <v>|||</v>
      </c>
      <c r="H8200" s="835">
        <f t="shared" si="336"/>
        <v>31</v>
      </c>
      <c r="AF8200" s="831" t="s">
        <v>8859</v>
      </c>
      <c r="AG8200" s="831" t="s">
        <v>130</v>
      </c>
      <c r="AH8200" s="831" t="s">
        <v>199</v>
      </c>
      <c r="AI8200" s="831">
        <v>0</v>
      </c>
      <c r="AJ8200" s="835">
        <v>41912</v>
      </c>
      <c r="AK8200" s="831">
        <v>0</v>
      </c>
    </row>
    <row r="8201" spans="2:37">
      <c r="B8201" s="834" t="str">
        <f t="shared" si="335"/>
        <v>|||</v>
      </c>
      <c r="H8201" s="835">
        <f t="shared" si="336"/>
        <v>31</v>
      </c>
      <c r="AF8201" s="831" t="s">
        <v>8860</v>
      </c>
      <c r="AG8201" s="831" t="s">
        <v>130</v>
      </c>
      <c r="AH8201" s="831" t="s">
        <v>201</v>
      </c>
      <c r="AI8201" s="831">
        <v>0</v>
      </c>
      <c r="AJ8201" s="835">
        <v>41912</v>
      </c>
      <c r="AK8201" s="831">
        <v>20629043</v>
      </c>
    </row>
    <row r="8202" spans="2:37">
      <c r="B8202" s="834" t="str">
        <f t="shared" si="335"/>
        <v>|||</v>
      </c>
      <c r="H8202" s="835">
        <f t="shared" si="336"/>
        <v>31</v>
      </c>
      <c r="AF8202" s="831" t="s">
        <v>8861</v>
      </c>
      <c r="AG8202" s="831" t="s">
        <v>130</v>
      </c>
      <c r="AH8202" s="831" t="s">
        <v>209</v>
      </c>
      <c r="AI8202" s="831">
        <v>0</v>
      </c>
      <c r="AJ8202" s="835">
        <v>41912</v>
      </c>
      <c r="AK8202" s="831">
        <v>76745809</v>
      </c>
    </row>
    <row r="8203" spans="2:37">
      <c r="B8203" s="834" t="str">
        <f t="shared" si="335"/>
        <v>|||</v>
      </c>
      <c r="H8203" s="835">
        <f t="shared" si="336"/>
        <v>31</v>
      </c>
      <c r="AF8203" s="831" t="s">
        <v>8862</v>
      </c>
      <c r="AG8203" s="831" t="s">
        <v>130</v>
      </c>
      <c r="AH8203" s="831" t="s">
        <v>211</v>
      </c>
      <c r="AI8203" s="831">
        <v>0</v>
      </c>
      <c r="AJ8203" s="835">
        <v>41912</v>
      </c>
      <c r="AK8203" s="831">
        <v>233853005</v>
      </c>
    </row>
    <row r="8204" spans="2:37">
      <c r="B8204" s="834" t="str">
        <f t="shared" si="335"/>
        <v>|||</v>
      </c>
      <c r="H8204" s="835">
        <f t="shared" si="336"/>
        <v>31</v>
      </c>
      <c r="AF8204" s="831" t="s">
        <v>8863</v>
      </c>
      <c r="AG8204" s="831" t="s">
        <v>130</v>
      </c>
      <c r="AH8204" s="831" t="s">
        <v>212</v>
      </c>
      <c r="AI8204" s="831">
        <v>0</v>
      </c>
      <c r="AJ8204" s="835">
        <v>41912</v>
      </c>
      <c r="AK8204" s="831">
        <v>10007789</v>
      </c>
    </row>
    <row r="8205" spans="2:37">
      <c r="B8205" s="834" t="str">
        <f t="shared" si="335"/>
        <v>|||</v>
      </c>
      <c r="H8205" s="835">
        <f t="shared" si="336"/>
        <v>31</v>
      </c>
      <c r="AF8205" s="831" t="s">
        <v>8864</v>
      </c>
      <c r="AG8205" s="831" t="s">
        <v>130</v>
      </c>
      <c r="AH8205" s="831" t="s">
        <v>216</v>
      </c>
      <c r="AI8205" s="831">
        <v>0</v>
      </c>
      <c r="AJ8205" s="835">
        <v>41912</v>
      </c>
      <c r="AK8205" s="831">
        <v>0</v>
      </c>
    </row>
    <row r="8206" spans="2:37">
      <c r="B8206" s="834" t="str">
        <f t="shared" si="335"/>
        <v>|||</v>
      </c>
      <c r="H8206" s="835">
        <f t="shared" si="336"/>
        <v>31</v>
      </c>
      <c r="AF8206" s="831" t="s">
        <v>8865</v>
      </c>
      <c r="AG8206" s="831" t="s">
        <v>130</v>
      </c>
      <c r="AH8206" s="831" t="s">
        <v>218</v>
      </c>
      <c r="AI8206" s="831">
        <v>0</v>
      </c>
      <c r="AJ8206" s="835">
        <v>41912</v>
      </c>
      <c r="AK8206" s="831">
        <v>195752500</v>
      </c>
    </row>
    <row r="8207" spans="2:37">
      <c r="B8207" s="834" t="str">
        <f t="shared" si="335"/>
        <v>|||</v>
      </c>
      <c r="H8207" s="835">
        <f t="shared" si="336"/>
        <v>31</v>
      </c>
      <c r="AF8207" s="831" t="s">
        <v>8866</v>
      </c>
      <c r="AG8207" s="831" t="s">
        <v>130</v>
      </c>
      <c r="AH8207" s="831" t="s">
        <v>220</v>
      </c>
      <c r="AI8207" s="831">
        <v>0</v>
      </c>
      <c r="AJ8207" s="835">
        <v>41912</v>
      </c>
      <c r="AK8207" s="831">
        <v>0</v>
      </c>
    </row>
    <row r="8208" spans="2:37">
      <c r="B8208" s="834" t="str">
        <f t="shared" si="335"/>
        <v>|||</v>
      </c>
      <c r="H8208" s="835">
        <f t="shared" si="336"/>
        <v>31</v>
      </c>
      <c r="AF8208" s="831" t="s">
        <v>8867</v>
      </c>
      <c r="AG8208" s="831" t="s">
        <v>130</v>
      </c>
      <c r="AH8208" s="831" t="s">
        <v>221</v>
      </c>
      <c r="AI8208" s="831">
        <v>0</v>
      </c>
      <c r="AJ8208" s="835">
        <v>41912</v>
      </c>
      <c r="AK8208" s="831">
        <v>16849240</v>
      </c>
    </row>
    <row r="8209" spans="2:37">
      <c r="B8209" s="834" t="str">
        <f t="shared" si="335"/>
        <v>|||</v>
      </c>
      <c r="H8209" s="835">
        <f t="shared" si="336"/>
        <v>31</v>
      </c>
      <c r="AF8209" s="831" t="s">
        <v>8868</v>
      </c>
      <c r="AG8209" s="831" t="s">
        <v>130</v>
      </c>
      <c r="AH8209" s="831" t="s">
        <v>228</v>
      </c>
      <c r="AI8209" s="831">
        <v>0</v>
      </c>
      <c r="AJ8209" s="835">
        <v>41912</v>
      </c>
      <c r="AK8209" s="831">
        <v>0</v>
      </c>
    </row>
    <row r="8210" spans="2:37">
      <c r="B8210" s="834" t="str">
        <f t="shared" si="335"/>
        <v>|||</v>
      </c>
      <c r="H8210" s="835">
        <f t="shared" si="336"/>
        <v>31</v>
      </c>
      <c r="AF8210" s="831" t="s">
        <v>8869</v>
      </c>
      <c r="AG8210" s="831" t="s">
        <v>130</v>
      </c>
      <c r="AH8210" s="831" t="s">
        <v>230</v>
      </c>
      <c r="AI8210" s="831">
        <v>0</v>
      </c>
      <c r="AJ8210" s="835">
        <v>41912</v>
      </c>
      <c r="AK8210" s="831">
        <v>0</v>
      </c>
    </row>
    <row r="8211" spans="2:37">
      <c r="B8211" s="834" t="str">
        <f t="shared" si="335"/>
        <v>|||</v>
      </c>
      <c r="H8211" s="835">
        <f t="shared" si="336"/>
        <v>31</v>
      </c>
      <c r="AF8211" s="831" t="s">
        <v>8870</v>
      </c>
      <c r="AG8211" s="831" t="s">
        <v>130</v>
      </c>
      <c r="AH8211" s="831" t="s">
        <v>231</v>
      </c>
      <c r="AI8211" s="831">
        <v>0</v>
      </c>
      <c r="AJ8211" s="835">
        <v>41912</v>
      </c>
      <c r="AK8211" s="831">
        <v>0</v>
      </c>
    </row>
    <row r="8212" spans="2:37">
      <c r="B8212" s="834" t="str">
        <f t="shared" si="335"/>
        <v>|||</v>
      </c>
      <c r="H8212" s="835">
        <f t="shared" si="336"/>
        <v>31</v>
      </c>
      <c r="AF8212" s="831" t="s">
        <v>8871</v>
      </c>
      <c r="AG8212" s="831" t="s">
        <v>130</v>
      </c>
      <c r="AH8212" s="831" t="s">
        <v>232</v>
      </c>
      <c r="AI8212" s="831">
        <v>0</v>
      </c>
      <c r="AJ8212" s="835">
        <v>41912</v>
      </c>
      <c r="AK8212" s="831">
        <v>260846848</v>
      </c>
    </row>
    <row r="8213" spans="2:37">
      <c r="B8213" s="834" t="str">
        <f t="shared" si="335"/>
        <v>|||</v>
      </c>
      <c r="H8213" s="835">
        <f t="shared" si="336"/>
        <v>31</v>
      </c>
      <c r="AF8213" s="831" t="s">
        <v>8872</v>
      </c>
      <c r="AG8213" s="831" t="s">
        <v>130</v>
      </c>
      <c r="AH8213" s="831" t="s">
        <v>116</v>
      </c>
      <c r="AI8213" s="831">
        <v>0</v>
      </c>
      <c r="AJ8213" s="835">
        <v>41912</v>
      </c>
      <c r="AK8213" s="831">
        <v>15853132</v>
      </c>
    </row>
    <row r="8214" spans="2:37">
      <c r="B8214" s="834" t="str">
        <f t="shared" si="335"/>
        <v>|||</v>
      </c>
      <c r="H8214" s="835">
        <f t="shared" si="336"/>
        <v>31</v>
      </c>
      <c r="AF8214" s="831" t="s">
        <v>8873</v>
      </c>
      <c r="AG8214" s="831" t="s">
        <v>130</v>
      </c>
      <c r="AH8214" s="831" t="s">
        <v>234</v>
      </c>
      <c r="AI8214" s="831">
        <v>0</v>
      </c>
      <c r="AJ8214" s="835">
        <v>41912</v>
      </c>
      <c r="AK8214" s="831">
        <v>0</v>
      </c>
    </row>
    <row r="8215" spans="2:37">
      <c r="B8215" s="834" t="str">
        <f t="shared" si="335"/>
        <v>|||</v>
      </c>
      <c r="H8215" s="835">
        <f t="shared" si="336"/>
        <v>31</v>
      </c>
      <c r="AF8215" s="831" t="s">
        <v>8874</v>
      </c>
      <c r="AG8215" s="831" t="s">
        <v>130</v>
      </c>
      <c r="AH8215" s="831" t="s">
        <v>235</v>
      </c>
      <c r="AI8215" s="831">
        <v>0</v>
      </c>
      <c r="AJ8215" s="835">
        <v>41912</v>
      </c>
      <c r="AK8215" s="831">
        <v>0</v>
      </c>
    </row>
    <row r="8216" spans="2:37">
      <c r="B8216" s="834" t="str">
        <f t="shared" si="335"/>
        <v>|||</v>
      </c>
      <c r="H8216" s="835">
        <f t="shared" si="336"/>
        <v>31</v>
      </c>
      <c r="AF8216" s="831" t="s">
        <v>8875</v>
      </c>
      <c r="AG8216" s="831" t="s">
        <v>130</v>
      </c>
      <c r="AH8216" s="831" t="s">
        <v>238</v>
      </c>
      <c r="AI8216" s="831">
        <v>0</v>
      </c>
      <c r="AJ8216" s="835">
        <v>41912</v>
      </c>
      <c r="AK8216" s="831">
        <v>0</v>
      </c>
    </row>
    <row r="8217" spans="2:37">
      <c r="B8217" s="834" t="str">
        <f t="shared" si="335"/>
        <v>|||</v>
      </c>
      <c r="H8217" s="835">
        <f t="shared" si="336"/>
        <v>31</v>
      </c>
      <c r="AF8217" s="831" t="s">
        <v>8876</v>
      </c>
      <c r="AG8217" s="831" t="s">
        <v>130</v>
      </c>
      <c r="AH8217" s="831" t="s">
        <v>240</v>
      </c>
      <c r="AI8217" s="831">
        <v>0</v>
      </c>
      <c r="AJ8217" s="835">
        <v>41912</v>
      </c>
      <c r="AK8217" s="831">
        <v>85000000</v>
      </c>
    </row>
    <row r="8218" spans="2:37">
      <c r="B8218" s="834" t="str">
        <f t="shared" si="335"/>
        <v>|||</v>
      </c>
      <c r="H8218" s="835">
        <f t="shared" si="336"/>
        <v>31</v>
      </c>
      <c r="AF8218" s="831" t="s">
        <v>8877</v>
      </c>
      <c r="AG8218" s="831" t="s">
        <v>130</v>
      </c>
      <c r="AH8218" s="831" t="s">
        <v>241</v>
      </c>
      <c r="AI8218" s="831">
        <v>0</v>
      </c>
      <c r="AJ8218" s="835">
        <v>41912</v>
      </c>
      <c r="AK8218" s="831">
        <v>0</v>
      </c>
    </row>
    <row r="8219" spans="2:37">
      <c r="B8219" s="834" t="str">
        <f t="shared" si="335"/>
        <v>|||</v>
      </c>
      <c r="H8219" s="835">
        <f t="shared" si="336"/>
        <v>31</v>
      </c>
      <c r="AF8219" s="831" t="s">
        <v>8878</v>
      </c>
      <c r="AG8219" s="831" t="s">
        <v>130</v>
      </c>
      <c r="AH8219" s="831" t="s">
        <v>242</v>
      </c>
      <c r="AI8219" s="831">
        <v>0</v>
      </c>
      <c r="AJ8219" s="835">
        <v>41912</v>
      </c>
      <c r="AK8219" s="831">
        <v>0</v>
      </c>
    </row>
    <row r="8220" spans="2:37">
      <c r="B8220" s="834" t="str">
        <f t="shared" si="335"/>
        <v>|||</v>
      </c>
      <c r="H8220" s="835">
        <f t="shared" si="336"/>
        <v>31</v>
      </c>
      <c r="AF8220" s="831" t="s">
        <v>8879</v>
      </c>
      <c r="AG8220" s="831" t="s">
        <v>130</v>
      </c>
      <c r="AH8220" s="831" t="s">
        <v>244</v>
      </c>
      <c r="AI8220" s="831">
        <v>0</v>
      </c>
      <c r="AJ8220" s="835">
        <v>41912</v>
      </c>
      <c r="AK8220" s="831">
        <v>29134877</v>
      </c>
    </row>
    <row r="8221" spans="2:37">
      <c r="B8221" s="834" t="str">
        <f t="shared" si="335"/>
        <v>|||</v>
      </c>
      <c r="H8221" s="835">
        <f t="shared" si="336"/>
        <v>31</v>
      </c>
      <c r="AF8221" s="831" t="s">
        <v>8880</v>
      </c>
      <c r="AG8221" s="831" t="s">
        <v>130</v>
      </c>
      <c r="AH8221" s="831" t="s">
        <v>245</v>
      </c>
      <c r="AI8221" s="831">
        <v>0</v>
      </c>
      <c r="AJ8221" s="835">
        <v>41912</v>
      </c>
      <c r="AK8221" s="831">
        <v>31695348</v>
      </c>
    </row>
    <row r="8222" spans="2:37">
      <c r="B8222" s="834" t="str">
        <f t="shared" si="335"/>
        <v>|||</v>
      </c>
      <c r="H8222" s="835">
        <f t="shared" si="336"/>
        <v>31</v>
      </c>
      <c r="AF8222" s="831" t="s">
        <v>8881</v>
      </c>
      <c r="AG8222" s="831" t="s">
        <v>130</v>
      </c>
      <c r="AH8222" s="831" t="s">
        <v>145</v>
      </c>
      <c r="AI8222" s="831">
        <v>0</v>
      </c>
      <c r="AJ8222" s="835">
        <v>41943</v>
      </c>
      <c r="AK8222" s="831">
        <v>61335489</v>
      </c>
    </row>
    <row r="8223" spans="2:37">
      <c r="B8223" s="834" t="str">
        <f t="shared" si="335"/>
        <v>|||</v>
      </c>
      <c r="H8223" s="835">
        <f t="shared" si="336"/>
        <v>31</v>
      </c>
      <c r="AF8223" s="831" t="s">
        <v>8882</v>
      </c>
      <c r="AG8223" s="831" t="s">
        <v>130</v>
      </c>
      <c r="AH8223" s="831" t="s">
        <v>149</v>
      </c>
      <c r="AI8223" s="831">
        <v>0</v>
      </c>
      <c r="AJ8223" s="835">
        <v>41943</v>
      </c>
      <c r="AK8223" s="831">
        <v>0</v>
      </c>
    </row>
    <row r="8224" spans="2:37">
      <c r="B8224" s="834" t="str">
        <f t="shared" si="335"/>
        <v>|||</v>
      </c>
      <c r="H8224" s="835">
        <f t="shared" si="336"/>
        <v>31</v>
      </c>
      <c r="AF8224" s="831" t="s">
        <v>8883</v>
      </c>
      <c r="AG8224" s="831" t="s">
        <v>130</v>
      </c>
      <c r="AH8224" s="831" t="s">
        <v>153</v>
      </c>
      <c r="AI8224" s="831">
        <v>0</v>
      </c>
      <c r="AJ8224" s="835">
        <v>41943</v>
      </c>
      <c r="AK8224" s="831">
        <v>85481117</v>
      </c>
    </row>
    <row r="8225" spans="2:37">
      <c r="B8225" s="834" t="str">
        <f t="shared" si="335"/>
        <v>|||</v>
      </c>
      <c r="H8225" s="835">
        <f t="shared" si="336"/>
        <v>31</v>
      </c>
      <c r="AF8225" s="831" t="s">
        <v>8884</v>
      </c>
      <c r="AG8225" s="831" t="s">
        <v>130</v>
      </c>
      <c r="AH8225" s="831" t="s">
        <v>156</v>
      </c>
      <c r="AI8225" s="831">
        <v>0</v>
      </c>
      <c r="AJ8225" s="835">
        <v>41943</v>
      </c>
      <c r="AK8225" s="831">
        <v>0</v>
      </c>
    </row>
    <row r="8226" spans="2:37">
      <c r="B8226" s="834" t="str">
        <f t="shared" si="335"/>
        <v>|||</v>
      </c>
      <c r="H8226" s="835">
        <f t="shared" si="336"/>
        <v>31</v>
      </c>
      <c r="AF8226" s="831" t="s">
        <v>8885</v>
      </c>
      <c r="AG8226" s="831" t="s">
        <v>130</v>
      </c>
      <c r="AH8226" s="831" t="s">
        <v>162</v>
      </c>
      <c r="AI8226" s="831">
        <v>0</v>
      </c>
      <c r="AJ8226" s="835">
        <v>41943</v>
      </c>
      <c r="AK8226" s="831">
        <v>788185615</v>
      </c>
    </row>
    <row r="8227" spans="2:37">
      <c r="B8227" s="834" t="str">
        <f t="shared" si="335"/>
        <v>|||</v>
      </c>
      <c r="H8227" s="835">
        <f t="shared" si="336"/>
        <v>31</v>
      </c>
      <c r="AF8227" s="831" t="s">
        <v>8886</v>
      </c>
      <c r="AG8227" s="831" t="s">
        <v>130</v>
      </c>
      <c r="AH8227" s="831" t="s">
        <v>165</v>
      </c>
      <c r="AI8227" s="831">
        <v>0</v>
      </c>
      <c r="AJ8227" s="835">
        <v>41943</v>
      </c>
      <c r="AK8227" s="831">
        <v>-11001950</v>
      </c>
    </row>
    <row r="8228" spans="2:37">
      <c r="B8228" s="834" t="str">
        <f t="shared" si="335"/>
        <v>|||</v>
      </c>
      <c r="H8228" s="835">
        <f t="shared" si="336"/>
        <v>31</v>
      </c>
      <c r="AF8228" s="831" t="s">
        <v>8887</v>
      </c>
      <c r="AG8228" s="831" t="s">
        <v>130</v>
      </c>
      <c r="AH8228" s="831" t="s">
        <v>171</v>
      </c>
      <c r="AI8228" s="831">
        <v>0</v>
      </c>
      <c r="AJ8228" s="835">
        <v>41943</v>
      </c>
      <c r="AK8228" s="831">
        <v>6241246</v>
      </c>
    </row>
    <row r="8229" spans="2:37">
      <c r="B8229" s="834" t="str">
        <f t="shared" si="335"/>
        <v>|||</v>
      </c>
      <c r="H8229" s="835">
        <f t="shared" si="336"/>
        <v>31</v>
      </c>
      <c r="AF8229" s="831" t="s">
        <v>8888</v>
      </c>
      <c r="AG8229" s="831" t="s">
        <v>130</v>
      </c>
      <c r="AH8229" s="831" t="s">
        <v>174</v>
      </c>
      <c r="AI8229" s="831">
        <v>0</v>
      </c>
      <c r="AJ8229" s="835">
        <v>41943</v>
      </c>
      <c r="AK8229" s="831">
        <v>0</v>
      </c>
    </row>
    <row r="8230" spans="2:37">
      <c r="B8230" s="834" t="str">
        <f t="shared" si="335"/>
        <v>|||</v>
      </c>
      <c r="H8230" s="835">
        <f t="shared" si="336"/>
        <v>31</v>
      </c>
      <c r="AF8230" s="831" t="s">
        <v>8889</v>
      </c>
      <c r="AG8230" s="831" t="s">
        <v>130</v>
      </c>
      <c r="AH8230" s="831" t="s">
        <v>181</v>
      </c>
      <c r="AI8230" s="831">
        <v>0</v>
      </c>
      <c r="AJ8230" s="835">
        <v>41943</v>
      </c>
      <c r="AK8230" s="831">
        <v>62543369</v>
      </c>
    </row>
    <row r="8231" spans="2:37">
      <c r="B8231" s="834" t="str">
        <f t="shared" si="335"/>
        <v>|||</v>
      </c>
      <c r="H8231" s="835">
        <f t="shared" si="336"/>
        <v>31</v>
      </c>
      <c r="AF8231" s="831" t="s">
        <v>8890</v>
      </c>
      <c r="AG8231" s="831" t="s">
        <v>130</v>
      </c>
      <c r="AH8231" s="831" t="s">
        <v>184</v>
      </c>
      <c r="AI8231" s="831">
        <v>0</v>
      </c>
      <c r="AJ8231" s="835">
        <v>41943</v>
      </c>
      <c r="AK8231" s="831">
        <v>-20597560</v>
      </c>
    </row>
    <row r="8232" spans="2:37">
      <c r="B8232" s="834" t="str">
        <f t="shared" si="335"/>
        <v>|||</v>
      </c>
      <c r="H8232" s="835">
        <f t="shared" si="336"/>
        <v>31</v>
      </c>
      <c r="AF8232" s="831" t="s">
        <v>8891</v>
      </c>
      <c r="AG8232" s="831" t="s">
        <v>130</v>
      </c>
      <c r="AH8232" s="831" t="s">
        <v>187</v>
      </c>
      <c r="AI8232" s="831">
        <v>0</v>
      </c>
      <c r="AJ8232" s="835">
        <v>41943</v>
      </c>
      <c r="AK8232" s="831">
        <v>0</v>
      </c>
    </row>
    <row r="8233" spans="2:37">
      <c r="B8233" s="834" t="str">
        <f t="shared" si="335"/>
        <v>|||</v>
      </c>
      <c r="H8233" s="835">
        <f t="shared" si="336"/>
        <v>31</v>
      </c>
      <c r="AF8233" s="831" t="s">
        <v>8892</v>
      </c>
      <c r="AG8233" s="831" t="s">
        <v>130</v>
      </c>
      <c r="AH8233" s="831" t="s">
        <v>196</v>
      </c>
      <c r="AI8233" s="831">
        <v>0</v>
      </c>
      <c r="AJ8233" s="835">
        <v>41943</v>
      </c>
      <c r="AK8233" s="831">
        <v>3963440</v>
      </c>
    </row>
    <row r="8234" spans="2:37">
      <c r="B8234" s="834" t="str">
        <f t="shared" si="335"/>
        <v>|||</v>
      </c>
      <c r="H8234" s="835">
        <f t="shared" si="336"/>
        <v>31</v>
      </c>
      <c r="AF8234" s="831" t="s">
        <v>8893</v>
      </c>
      <c r="AG8234" s="831" t="s">
        <v>130</v>
      </c>
      <c r="AH8234" s="831" t="s">
        <v>197</v>
      </c>
      <c r="AI8234" s="831">
        <v>0</v>
      </c>
      <c r="AJ8234" s="835">
        <v>41943</v>
      </c>
      <c r="AK8234" s="831">
        <v>0</v>
      </c>
    </row>
    <row r="8235" spans="2:37">
      <c r="B8235" s="834" t="str">
        <f t="shared" si="335"/>
        <v>|||</v>
      </c>
      <c r="H8235" s="835">
        <f t="shared" si="336"/>
        <v>31</v>
      </c>
      <c r="AF8235" s="831" t="s">
        <v>8894</v>
      </c>
      <c r="AG8235" s="831" t="s">
        <v>130</v>
      </c>
      <c r="AH8235" s="831" t="s">
        <v>199</v>
      </c>
      <c r="AI8235" s="831">
        <v>0</v>
      </c>
      <c r="AJ8235" s="835">
        <v>41943</v>
      </c>
      <c r="AK8235" s="831">
        <v>0</v>
      </c>
    </row>
    <row r="8236" spans="2:37">
      <c r="B8236" s="834" t="str">
        <f t="shared" si="335"/>
        <v>|||</v>
      </c>
      <c r="H8236" s="835">
        <f t="shared" si="336"/>
        <v>31</v>
      </c>
      <c r="AF8236" s="831" t="s">
        <v>8895</v>
      </c>
      <c r="AG8236" s="831" t="s">
        <v>130</v>
      </c>
      <c r="AH8236" s="831" t="s">
        <v>201</v>
      </c>
      <c r="AI8236" s="831">
        <v>0</v>
      </c>
      <c r="AJ8236" s="835">
        <v>41943</v>
      </c>
      <c r="AK8236" s="831">
        <v>23760451</v>
      </c>
    </row>
    <row r="8237" spans="2:37">
      <c r="B8237" s="834" t="str">
        <f t="shared" si="335"/>
        <v>|||</v>
      </c>
      <c r="H8237" s="835">
        <f t="shared" si="336"/>
        <v>31</v>
      </c>
      <c r="AF8237" s="831" t="s">
        <v>8896</v>
      </c>
      <c r="AG8237" s="831" t="s">
        <v>130</v>
      </c>
      <c r="AH8237" s="831" t="s">
        <v>209</v>
      </c>
      <c r="AI8237" s="831">
        <v>0</v>
      </c>
      <c r="AJ8237" s="835">
        <v>41943</v>
      </c>
      <c r="AK8237" s="831">
        <v>82036230</v>
      </c>
    </row>
    <row r="8238" spans="2:37">
      <c r="B8238" s="834" t="str">
        <f t="shared" si="335"/>
        <v>|||</v>
      </c>
      <c r="H8238" s="835">
        <f t="shared" si="336"/>
        <v>31</v>
      </c>
      <c r="AF8238" s="831" t="s">
        <v>8897</v>
      </c>
      <c r="AG8238" s="831" t="s">
        <v>130</v>
      </c>
      <c r="AH8238" s="831" t="s">
        <v>211</v>
      </c>
      <c r="AI8238" s="831">
        <v>0</v>
      </c>
      <c r="AJ8238" s="835">
        <v>41943</v>
      </c>
      <c r="AK8238" s="831">
        <v>239840230</v>
      </c>
    </row>
    <row r="8239" spans="2:37">
      <c r="B8239" s="834" t="str">
        <f t="shared" si="335"/>
        <v>|||</v>
      </c>
      <c r="H8239" s="835">
        <f t="shared" si="336"/>
        <v>31</v>
      </c>
      <c r="AF8239" s="831" t="s">
        <v>8898</v>
      </c>
      <c r="AG8239" s="831" t="s">
        <v>130</v>
      </c>
      <c r="AH8239" s="831" t="s">
        <v>212</v>
      </c>
      <c r="AI8239" s="831">
        <v>0</v>
      </c>
      <c r="AJ8239" s="835">
        <v>41943</v>
      </c>
      <c r="AK8239" s="831">
        <v>8943695</v>
      </c>
    </row>
    <row r="8240" spans="2:37">
      <c r="B8240" s="834" t="str">
        <f t="shared" si="335"/>
        <v>|||</v>
      </c>
      <c r="H8240" s="835">
        <f t="shared" si="336"/>
        <v>31</v>
      </c>
      <c r="AF8240" s="831" t="s">
        <v>8899</v>
      </c>
      <c r="AG8240" s="831" t="s">
        <v>130</v>
      </c>
      <c r="AH8240" s="831" t="s">
        <v>216</v>
      </c>
      <c r="AI8240" s="831">
        <v>0</v>
      </c>
      <c r="AJ8240" s="835">
        <v>41943</v>
      </c>
      <c r="AK8240" s="831">
        <v>0</v>
      </c>
    </row>
    <row r="8241" spans="2:37">
      <c r="B8241" s="834" t="str">
        <f t="shared" si="335"/>
        <v>|||</v>
      </c>
      <c r="H8241" s="835">
        <f t="shared" si="336"/>
        <v>31</v>
      </c>
      <c r="AF8241" s="831" t="s">
        <v>8900</v>
      </c>
      <c r="AG8241" s="831" t="s">
        <v>130</v>
      </c>
      <c r="AH8241" s="831" t="s">
        <v>218</v>
      </c>
      <c r="AI8241" s="831">
        <v>0</v>
      </c>
      <c r="AJ8241" s="835">
        <v>41943</v>
      </c>
      <c r="AK8241" s="831">
        <v>223202460</v>
      </c>
    </row>
    <row r="8242" spans="2:37">
      <c r="B8242" s="834" t="str">
        <f t="shared" si="335"/>
        <v>|||</v>
      </c>
      <c r="H8242" s="835">
        <f t="shared" si="336"/>
        <v>31</v>
      </c>
      <c r="AF8242" s="831" t="s">
        <v>8901</v>
      </c>
      <c r="AG8242" s="831" t="s">
        <v>130</v>
      </c>
      <c r="AH8242" s="831" t="s">
        <v>220</v>
      </c>
      <c r="AI8242" s="831">
        <v>0</v>
      </c>
      <c r="AJ8242" s="835">
        <v>41943</v>
      </c>
      <c r="AK8242" s="831">
        <v>0</v>
      </c>
    </row>
    <row r="8243" spans="2:37">
      <c r="B8243" s="834" t="str">
        <f t="shared" si="335"/>
        <v>|||</v>
      </c>
      <c r="H8243" s="835">
        <f t="shared" si="336"/>
        <v>31</v>
      </c>
      <c r="AF8243" s="831" t="s">
        <v>8902</v>
      </c>
      <c r="AG8243" s="831" t="s">
        <v>130</v>
      </c>
      <c r="AH8243" s="831" t="s">
        <v>221</v>
      </c>
      <c r="AI8243" s="831">
        <v>0</v>
      </c>
      <c r="AJ8243" s="835">
        <v>41943</v>
      </c>
      <c r="AK8243" s="831">
        <v>21860868</v>
      </c>
    </row>
    <row r="8244" spans="2:37">
      <c r="B8244" s="834" t="str">
        <f t="shared" si="335"/>
        <v>|||</v>
      </c>
      <c r="H8244" s="835">
        <f t="shared" si="336"/>
        <v>31</v>
      </c>
      <c r="AF8244" s="831" t="s">
        <v>8903</v>
      </c>
      <c r="AG8244" s="831" t="s">
        <v>130</v>
      </c>
      <c r="AH8244" s="831" t="s">
        <v>228</v>
      </c>
      <c r="AI8244" s="831">
        <v>0</v>
      </c>
      <c r="AJ8244" s="835">
        <v>41943</v>
      </c>
      <c r="AK8244" s="831">
        <v>0</v>
      </c>
    </row>
    <row r="8245" spans="2:37">
      <c r="B8245" s="834" t="str">
        <f t="shared" si="335"/>
        <v>|||</v>
      </c>
      <c r="H8245" s="835">
        <f t="shared" si="336"/>
        <v>31</v>
      </c>
      <c r="AF8245" s="831" t="s">
        <v>8904</v>
      </c>
      <c r="AG8245" s="831" t="s">
        <v>130</v>
      </c>
      <c r="AH8245" s="831" t="s">
        <v>230</v>
      </c>
      <c r="AI8245" s="831">
        <v>0</v>
      </c>
      <c r="AJ8245" s="835">
        <v>41943</v>
      </c>
      <c r="AK8245" s="831">
        <v>0</v>
      </c>
    </row>
    <row r="8246" spans="2:37">
      <c r="B8246" s="834" t="str">
        <f t="shared" si="335"/>
        <v>|||</v>
      </c>
      <c r="H8246" s="835">
        <f t="shared" si="336"/>
        <v>31</v>
      </c>
      <c r="AF8246" s="831" t="s">
        <v>8905</v>
      </c>
      <c r="AG8246" s="831" t="s">
        <v>130</v>
      </c>
      <c r="AH8246" s="831" t="s">
        <v>231</v>
      </c>
      <c r="AI8246" s="831">
        <v>0</v>
      </c>
      <c r="AJ8246" s="835">
        <v>41943</v>
      </c>
      <c r="AK8246" s="831">
        <v>0</v>
      </c>
    </row>
    <row r="8247" spans="2:37">
      <c r="B8247" s="834" t="str">
        <f t="shared" si="335"/>
        <v>|||</v>
      </c>
      <c r="H8247" s="835">
        <f t="shared" si="336"/>
        <v>31</v>
      </c>
      <c r="AF8247" s="831" t="s">
        <v>8906</v>
      </c>
      <c r="AG8247" s="831" t="s">
        <v>130</v>
      </c>
      <c r="AH8247" s="831" t="s">
        <v>232</v>
      </c>
      <c r="AI8247" s="831">
        <v>0</v>
      </c>
      <c r="AJ8247" s="835">
        <v>41943</v>
      </c>
      <c r="AK8247" s="831">
        <v>258794922</v>
      </c>
    </row>
    <row r="8248" spans="2:37">
      <c r="B8248" s="834" t="str">
        <f t="shared" si="335"/>
        <v>|||</v>
      </c>
      <c r="H8248" s="835">
        <f t="shared" si="336"/>
        <v>31</v>
      </c>
      <c r="AF8248" s="831" t="s">
        <v>8907</v>
      </c>
      <c r="AG8248" s="831" t="s">
        <v>130</v>
      </c>
      <c r="AH8248" s="831" t="s">
        <v>116</v>
      </c>
      <c r="AI8248" s="831">
        <v>0</v>
      </c>
      <c r="AJ8248" s="835">
        <v>41943</v>
      </c>
      <c r="AK8248" s="831">
        <v>15853132</v>
      </c>
    </row>
    <row r="8249" spans="2:37">
      <c r="B8249" s="834" t="str">
        <f t="shared" si="335"/>
        <v>|||</v>
      </c>
      <c r="H8249" s="835">
        <f t="shared" si="336"/>
        <v>31</v>
      </c>
      <c r="AF8249" s="831" t="s">
        <v>8908</v>
      </c>
      <c r="AG8249" s="831" t="s">
        <v>130</v>
      </c>
      <c r="AH8249" s="831" t="s">
        <v>234</v>
      </c>
      <c r="AI8249" s="831">
        <v>0</v>
      </c>
      <c r="AJ8249" s="835">
        <v>41943</v>
      </c>
      <c r="AK8249" s="831">
        <v>0</v>
      </c>
    </row>
    <row r="8250" spans="2:37">
      <c r="B8250" s="834" t="str">
        <f t="shared" si="335"/>
        <v>|||</v>
      </c>
      <c r="H8250" s="835">
        <f t="shared" si="336"/>
        <v>31</v>
      </c>
      <c r="AF8250" s="831" t="s">
        <v>8909</v>
      </c>
      <c r="AG8250" s="831" t="s">
        <v>130</v>
      </c>
      <c r="AH8250" s="831" t="s">
        <v>235</v>
      </c>
      <c r="AI8250" s="831">
        <v>0</v>
      </c>
      <c r="AJ8250" s="835">
        <v>41943</v>
      </c>
      <c r="AK8250" s="831">
        <v>0</v>
      </c>
    </row>
    <row r="8251" spans="2:37">
      <c r="B8251" s="834" t="str">
        <f t="shared" si="335"/>
        <v>|||</v>
      </c>
      <c r="H8251" s="835">
        <f t="shared" si="336"/>
        <v>31</v>
      </c>
      <c r="AF8251" s="831" t="s">
        <v>8910</v>
      </c>
      <c r="AG8251" s="831" t="s">
        <v>130</v>
      </c>
      <c r="AH8251" s="831" t="s">
        <v>238</v>
      </c>
      <c r="AI8251" s="831">
        <v>0</v>
      </c>
      <c r="AJ8251" s="835">
        <v>41943</v>
      </c>
      <c r="AK8251" s="831">
        <v>0</v>
      </c>
    </row>
    <row r="8252" spans="2:37">
      <c r="B8252" s="834" t="str">
        <f t="shared" si="335"/>
        <v>|||</v>
      </c>
      <c r="H8252" s="835">
        <f t="shared" si="336"/>
        <v>31</v>
      </c>
      <c r="AF8252" s="831" t="s">
        <v>8911</v>
      </c>
      <c r="AG8252" s="831" t="s">
        <v>130</v>
      </c>
      <c r="AH8252" s="831" t="s">
        <v>240</v>
      </c>
      <c r="AI8252" s="831">
        <v>0</v>
      </c>
      <c r="AJ8252" s="835">
        <v>41943</v>
      </c>
      <c r="AK8252" s="831">
        <v>85000000</v>
      </c>
    </row>
    <row r="8253" spans="2:37">
      <c r="B8253" s="834" t="str">
        <f t="shared" si="335"/>
        <v>|||</v>
      </c>
      <c r="H8253" s="835">
        <f t="shared" si="336"/>
        <v>31</v>
      </c>
      <c r="AF8253" s="831" t="s">
        <v>8912</v>
      </c>
      <c r="AG8253" s="831" t="s">
        <v>130</v>
      </c>
      <c r="AH8253" s="831" t="s">
        <v>241</v>
      </c>
      <c r="AI8253" s="831">
        <v>0</v>
      </c>
      <c r="AJ8253" s="835">
        <v>41943</v>
      </c>
      <c r="AK8253" s="831">
        <v>0</v>
      </c>
    </row>
    <row r="8254" spans="2:37">
      <c r="B8254" s="834" t="str">
        <f t="shared" si="335"/>
        <v>|||</v>
      </c>
      <c r="H8254" s="835">
        <f t="shared" si="336"/>
        <v>31</v>
      </c>
      <c r="AF8254" s="831" t="s">
        <v>8913</v>
      </c>
      <c r="AG8254" s="831" t="s">
        <v>130</v>
      </c>
      <c r="AH8254" s="831" t="s">
        <v>242</v>
      </c>
      <c r="AI8254" s="831">
        <v>0</v>
      </c>
      <c r="AJ8254" s="835">
        <v>41943</v>
      </c>
      <c r="AK8254" s="831">
        <v>0</v>
      </c>
    </row>
    <row r="8255" spans="2:37">
      <c r="B8255" s="834" t="str">
        <f t="shared" si="335"/>
        <v>|||</v>
      </c>
      <c r="H8255" s="835">
        <f t="shared" si="336"/>
        <v>31</v>
      </c>
      <c r="AF8255" s="831" t="s">
        <v>8914</v>
      </c>
      <c r="AG8255" s="831" t="s">
        <v>130</v>
      </c>
      <c r="AH8255" s="831" t="s">
        <v>244</v>
      </c>
      <c r="AI8255" s="831">
        <v>0</v>
      </c>
      <c r="AJ8255" s="835">
        <v>41943</v>
      </c>
      <c r="AK8255" s="831">
        <v>29134877</v>
      </c>
    </row>
    <row r="8256" spans="2:37">
      <c r="B8256" s="834" t="str">
        <f t="shared" si="335"/>
        <v>|||</v>
      </c>
      <c r="H8256" s="835">
        <f t="shared" si="336"/>
        <v>31</v>
      </c>
      <c r="AF8256" s="831" t="s">
        <v>8915</v>
      </c>
      <c r="AG8256" s="831" t="s">
        <v>130</v>
      </c>
      <c r="AH8256" s="831" t="s">
        <v>245</v>
      </c>
      <c r="AI8256" s="831">
        <v>0</v>
      </c>
      <c r="AJ8256" s="835">
        <v>41943</v>
      </c>
      <c r="AK8256" s="831">
        <v>35245162</v>
      </c>
    </row>
    <row r="8257" spans="2:37">
      <c r="B8257" s="834" t="str">
        <f t="shared" si="335"/>
        <v>|||</v>
      </c>
      <c r="H8257" s="835">
        <f t="shared" si="336"/>
        <v>31</v>
      </c>
      <c r="AF8257" s="831" t="s">
        <v>8916</v>
      </c>
      <c r="AG8257" s="831" t="s">
        <v>130</v>
      </c>
      <c r="AH8257" s="831" t="s">
        <v>145</v>
      </c>
      <c r="AI8257" s="831">
        <v>0</v>
      </c>
      <c r="AJ8257" s="835">
        <v>41973</v>
      </c>
      <c r="AK8257" s="831">
        <v>59871113</v>
      </c>
    </row>
    <row r="8258" spans="2:37">
      <c r="B8258" s="834" t="str">
        <f t="shared" si="335"/>
        <v>|||</v>
      </c>
      <c r="H8258" s="835">
        <f t="shared" si="336"/>
        <v>31</v>
      </c>
      <c r="AF8258" s="831" t="s">
        <v>8917</v>
      </c>
      <c r="AG8258" s="831" t="s">
        <v>130</v>
      </c>
      <c r="AH8258" s="831" t="s">
        <v>149</v>
      </c>
      <c r="AI8258" s="831">
        <v>0</v>
      </c>
      <c r="AJ8258" s="835">
        <v>41973</v>
      </c>
      <c r="AK8258" s="831">
        <v>0</v>
      </c>
    </row>
    <row r="8259" spans="2:37">
      <c r="B8259" s="834" t="str">
        <f t="shared" ref="B8259:B8322" si="337">C8259&amp;"|"&amp;D8259&amp;"|"&amp;E8259&amp;"|"&amp;F8259</f>
        <v>|||</v>
      </c>
      <c r="H8259" s="835">
        <f t="shared" si="336"/>
        <v>31</v>
      </c>
      <c r="AF8259" s="831" t="s">
        <v>8918</v>
      </c>
      <c r="AG8259" s="831" t="s">
        <v>130</v>
      </c>
      <c r="AH8259" s="831" t="s">
        <v>153</v>
      </c>
      <c r="AI8259" s="831">
        <v>0</v>
      </c>
      <c r="AJ8259" s="835">
        <v>41973</v>
      </c>
      <c r="AK8259" s="831">
        <v>70401295</v>
      </c>
    </row>
    <row r="8260" spans="2:37">
      <c r="B8260" s="834" t="str">
        <f t="shared" si="337"/>
        <v>|||</v>
      </c>
      <c r="H8260" s="835">
        <f t="shared" ref="H8260:H8323" si="338">EOMONTH(L8260,0)</f>
        <v>31</v>
      </c>
      <c r="AF8260" s="831" t="s">
        <v>8919</v>
      </c>
      <c r="AG8260" s="831" t="s">
        <v>130</v>
      </c>
      <c r="AH8260" s="831" t="s">
        <v>156</v>
      </c>
      <c r="AI8260" s="831">
        <v>0</v>
      </c>
      <c r="AJ8260" s="835">
        <v>41973</v>
      </c>
      <c r="AK8260" s="831">
        <v>0</v>
      </c>
    </row>
    <row r="8261" spans="2:37">
      <c r="B8261" s="834" t="str">
        <f t="shared" si="337"/>
        <v>|||</v>
      </c>
      <c r="H8261" s="835">
        <f t="shared" si="338"/>
        <v>31</v>
      </c>
      <c r="AF8261" s="831" t="s">
        <v>8920</v>
      </c>
      <c r="AG8261" s="831" t="s">
        <v>130</v>
      </c>
      <c r="AH8261" s="831" t="s">
        <v>162</v>
      </c>
      <c r="AI8261" s="831">
        <v>0</v>
      </c>
      <c r="AJ8261" s="835">
        <v>41973</v>
      </c>
      <c r="AK8261" s="831">
        <v>802902472</v>
      </c>
    </row>
    <row r="8262" spans="2:37">
      <c r="B8262" s="834" t="str">
        <f t="shared" si="337"/>
        <v>|||</v>
      </c>
      <c r="H8262" s="835">
        <f t="shared" si="338"/>
        <v>31</v>
      </c>
      <c r="AF8262" s="831" t="s">
        <v>8921</v>
      </c>
      <c r="AG8262" s="831" t="s">
        <v>130</v>
      </c>
      <c r="AH8262" s="831" t="s">
        <v>165</v>
      </c>
      <c r="AI8262" s="831">
        <v>0</v>
      </c>
      <c r="AJ8262" s="835">
        <v>41973</v>
      </c>
      <c r="AK8262" s="831">
        <v>-10647566</v>
      </c>
    </row>
    <row r="8263" spans="2:37">
      <c r="B8263" s="834" t="str">
        <f t="shared" si="337"/>
        <v>|||</v>
      </c>
      <c r="H8263" s="835">
        <f t="shared" si="338"/>
        <v>31</v>
      </c>
      <c r="AF8263" s="831" t="s">
        <v>8922</v>
      </c>
      <c r="AG8263" s="831" t="s">
        <v>130</v>
      </c>
      <c r="AH8263" s="831" t="s">
        <v>171</v>
      </c>
      <c r="AI8263" s="831">
        <v>0</v>
      </c>
      <c r="AJ8263" s="835">
        <v>41973</v>
      </c>
      <c r="AK8263" s="831">
        <v>7011219</v>
      </c>
    </row>
    <row r="8264" spans="2:37">
      <c r="B8264" s="834" t="str">
        <f t="shared" si="337"/>
        <v>|||</v>
      </c>
      <c r="H8264" s="835">
        <f t="shared" si="338"/>
        <v>31</v>
      </c>
      <c r="AF8264" s="831" t="s">
        <v>8923</v>
      </c>
      <c r="AG8264" s="831" t="s">
        <v>130</v>
      </c>
      <c r="AH8264" s="831" t="s">
        <v>174</v>
      </c>
      <c r="AI8264" s="831">
        <v>0</v>
      </c>
      <c r="AJ8264" s="835">
        <v>41973</v>
      </c>
      <c r="AK8264" s="831">
        <v>0</v>
      </c>
    </row>
    <row r="8265" spans="2:37">
      <c r="B8265" s="834" t="str">
        <f t="shared" si="337"/>
        <v>|||</v>
      </c>
      <c r="H8265" s="835">
        <f t="shared" si="338"/>
        <v>31</v>
      </c>
      <c r="AF8265" s="831" t="s">
        <v>8924</v>
      </c>
      <c r="AG8265" s="831" t="s">
        <v>130</v>
      </c>
      <c r="AH8265" s="831" t="s">
        <v>181</v>
      </c>
      <c r="AI8265" s="831">
        <v>0</v>
      </c>
      <c r="AJ8265" s="835">
        <v>41973</v>
      </c>
      <c r="AK8265" s="831">
        <v>62868953</v>
      </c>
    </row>
    <row r="8266" spans="2:37">
      <c r="B8266" s="834" t="str">
        <f t="shared" si="337"/>
        <v>|||</v>
      </c>
      <c r="H8266" s="835">
        <f t="shared" si="338"/>
        <v>31</v>
      </c>
      <c r="AF8266" s="831" t="s">
        <v>8925</v>
      </c>
      <c r="AG8266" s="831" t="s">
        <v>130</v>
      </c>
      <c r="AH8266" s="831" t="s">
        <v>184</v>
      </c>
      <c r="AI8266" s="831">
        <v>0</v>
      </c>
      <c r="AJ8266" s="835">
        <v>41973</v>
      </c>
      <c r="AK8266" s="831">
        <v>-21048450</v>
      </c>
    </row>
    <row r="8267" spans="2:37">
      <c r="B8267" s="834" t="str">
        <f t="shared" si="337"/>
        <v>|||</v>
      </c>
      <c r="H8267" s="835">
        <f t="shared" si="338"/>
        <v>31</v>
      </c>
      <c r="AF8267" s="831" t="s">
        <v>8926</v>
      </c>
      <c r="AG8267" s="831" t="s">
        <v>130</v>
      </c>
      <c r="AH8267" s="831" t="s">
        <v>187</v>
      </c>
      <c r="AI8267" s="831">
        <v>0</v>
      </c>
      <c r="AJ8267" s="835">
        <v>41973</v>
      </c>
      <c r="AK8267" s="831">
        <v>0</v>
      </c>
    </row>
    <row r="8268" spans="2:37">
      <c r="B8268" s="834" t="str">
        <f t="shared" si="337"/>
        <v>|||</v>
      </c>
      <c r="H8268" s="835">
        <f t="shared" si="338"/>
        <v>31</v>
      </c>
      <c r="AF8268" s="831" t="s">
        <v>8927</v>
      </c>
      <c r="AG8268" s="831" t="s">
        <v>130</v>
      </c>
      <c r="AH8268" s="831" t="s">
        <v>196</v>
      </c>
      <c r="AI8268" s="831">
        <v>0</v>
      </c>
      <c r="AJ8268" s="835">
        <v>41973</v>
      </c>
      <c r="AK8268" s="831">
        <v>3841100</v>
      </c>
    </row>
    <row r="8269" spans="2:37">
      <c r="B8269" s="834" t="str">
        <f t="shared" si="337"/>
        <v>|||</v>
      </c>
      <c r="H8269" s="835">
        <f t="shared" si="338"/>
        <v>31</v>
      </c>
      <c r="AF8269" s="831" t="s">
        <v>8928</v>
      </c>
      <c r="AG8269" s="831" t="s">
        <v>130</v>
      </c>
      <c r="AH8269" s="831" t="s">
        <v>197</v>
      </c>
      <c r="AI8269" s="831">
        <v>0</v>
      </c>
      <c r="AJ8269" s="835">
        <v>41973</v>
      </c>
      <c r="AK8269" s="831">
        <v>0</v>
      </c>
    </row>
    <row r="8270" spans="2:37">
      <c r="B8270" s="834" t="str">
        <f t="shared" si="337"/>
        <v>|||</v>
      </c>
      <c r="H8270" s="835">
        <f t="shared" si="338"/>
        <v>31</v>
      </c>
      <c r="AF8270" s="831" t="s">
        <v>8929</v>
      </c>
      <c r="AG8270" s="831" t="s">
        <v>130</v>
      </c>
      <c r="AH8270" s="831" t="s">
        <v>199</v>
      </c>
      <c r="AI8270" s="831">
        <v>0</v>
      </c>
      <c r="AJ8270" s="835">
        <v>41973</v>
      </c>
      <c r="AK8270" s="831">
        <v>0</v>
      </c>
    </row>
    <row r="8271" spans="2:37">
      <c r="B8271" s="834" t="str">
        <f t="shared" si="337"/>
        <v>|||</v>
      </c>
      <c r="H8271" s="835">
        <f t="shared" si="338"/>
        <v>31</v>
      </c>
      <c r="AF8271" s="831" t="s">
        <v>8930</v>
      </c>
      <c r="AG8271" s="831" t="s">
        <v>130</v>
      </c>
      <c r="AH8271" s="831" t="s">
        <v>201</v>
      </c>
      <c r="AI8271" s="831">
        <v>0</v>
      </c>
      <c r="AJ8271" s="835">
        <v>41973</v>
      </c>
      <c r="AK8271" s="831">
        <v>25502298</v>
      </c>
    </row>
    <row r="8272" spans="2:37">
      <c r="B8272" s="834" t="str">
        <f t="shared" si="337"/>
        <v>|||</v>
      </c>
      <c r="H8272" s="835">
        <f t="shared" si="338"/>
        <v>31</v>
      </c>
      <c r="AF8272" s="831" t="s">
        <v>8931</v>
      </c>
      <c r="AG8272" s="831" t="s">
        <v>130</v>
      </c>
      <c r="AH8272" s="831" t="s">
        <v>209</v>
      </c>
      <c r="AI8272" s="831">
        <v>0</v>
      </c>
      <c r="AJ8272" s="835">
        <v>41973</v>
      </c>
      <c r="AK8272" s="831">
        <v>76903677</v>
      </c>
    </row>
    <row r="8273" spans="2:37">
      <c r="B8273" s="834" t="str">
        <f t="shared" si="337"/>
        <v>|||</v>
      </c>
      <c r="H8273" s="835">
        <f t="shared" si="338"/>
        <v>31</v>
      </c>
      <c r="AF8273" s="831" t="s">
        <v>8932</v>
      </c>
      <c r="AG8273" s="831" t="s">
        <v>130</v>
      </c>
      <c r="AH8273" s="831" t="s">
        <v>211</v>
      </c>
      <c r="AI8273" s="831">
        <v>0</v>
      </c>
      <c r="AJ8273" s="835">
        <v>41973</v>
      </c>
      <c r="AK8273" s="831">
        <v>244570763</v>
      </c>
    </row>
    <row r="8274" spans="2:37">
      <c r="B8274" s="834" t="str">
        <f t="shared" si="337"/>
        <v>|||</v>
      </c>
      <c r="H8274" s="835">
        <f t="shared" si="338"/>
        <v>31</v>
      </c>
      <c r="AF8274" s="831" t="s">
        <v>8933</v>
      </c>
      <c r="AG8274" s="831" t="s">
        <v>130</v>
      </c>
      <c r="AH8274" s="831" t="s">
        <v>212</v>
      </c>
      <c r="AI8274" s="831">
        <v>0</v>
      </c>
      <c r="AJ8274" s="835">
        <v>41973</v>
      </c>
      <c r="AK8274" s="831">
        <v>10138899</v>
      </c>
    </row>
    <row r="8275" spans="2:37">
      <c r="B8275" s="834" t="str">
        <f t="shared" si="337"/>
        <v>|||</v>
      </c>
      <c r="H8275" s="835">
        <f t="shared" si="338"/>
        <v>31</v>
      </c>
      <c r="AF8275" s="831" t="s">
        <v>8934</v>
      </c>
      <c r="AG8275" s="831" t="s">
        <v>130</v>
      </c>
      <c r="AH8275" s="831" t="s">
        <v>216</v>
      </c>
      <c r="AI8275" s="831">
        <v>0</v>
      </c>
      <c r="AJ8275" s="835">
        <v>41973</v>
      </c>
      <c r="AK8275" s="831">
        <v>0</v>
      </c>
    </row>
    <row r="8276" spans="2:37">
      <c r="B8276" s="834" t="str">
        <f t="shared" si="337"/>
        <v>|||</v>
      </c>
      <c r="H8276" s="835">
        <f t="shared" si="338"/>
        <v>31</v>
      </c>
      <c r="AF8276" s="831" t="s">
        <v>8935</v>
      </c>
      <c r="AG8276" s="831" t="s">
        <v>130</v>
      </c>
      <c r="AH8276" s="831" t="s">
        <v>218</v>
      </c>
      <c r="AI8276" s="831">
        <v>0</v>
      </c>
      <c r="AJ8276" s="835">
        <v>41973</v>
      </c>
      <c r="AK8276" s="831">
        <v>217799830</v>
      </c>
    </row>
    <row r="8277" spans="2:37">
      <c r="B8277" s="834" t="str">
        <f t="shared" si="337"/>
        <v>|||</v>
      </c>
      <c r="H8277" s="835">
        <f t="shared" si="338"/>
        <v>31</v>
      </c>
      <c r="AF8277" s="831" t="s">
        <v>8936</v>
      </c>
      <c r="AG8277" s="831" t="s">
        <v>130</v>
      </c>
      <c r="AH8277" s="831" t="s">
        <v>220</v>
      </c>
      <c r="AI8277" s="831">
        <v>0</v>
      </c>
      <c r="AJ8277" s="835">
        <v>41973</v>
      </c>
      <c r="AK8277" s="831">
        <v>0</v>
      </c>
    </row>
    <row r="8278" spans="2:37">
      <c r="B8278" s="834" t="str">
        <f t="shared" si="337"/>
        <v>|||</v>
      </c>
      <c r="H8278" s="835">
        <f t="shared" si="338"/>
        <v>31</v>
      </c>
      <c r="AF8278" s="831" t="s">
        <v>8937</v>
      </c>
      <c r="AG8278" s="831" t="s">
        <v>130</v>
      </c>
      <c r="AH8278" s="831" t="s">
        <v>221</v>
      </c>
      <c r="AI8278" s="831">
        <v>0</v>
      </c>
      <c r="AJ8278" s="835">
        <v>41973</v>
      </c>
      <c r="AK8278" s="831">
        <v>26627367</v>
      </c>
    </row>
    <row r="8279" spans="2:37">
      <c r="B8279" s="834" t="str">
        <f t="shared" si="337"/>
        <v>|||</v>
      </c>
      <c r="H8279" s="835">
        <f t="shared" si="338"/>
        <v>31</v>
      </c>
      <c r="AF8279" s="831" t="s">
        <v>8938</v>
      </c>
      <c r="AG8279" s="831" t="s">
        <v>130</v>
      </c>
      <c r="AH8279" s="831" t="s">
        <v>228</v>
      </c>
      <c r="AI8279" s="831">
        <v>0</v>
      </c>
      <c r="AJ8279" s="835">
        <v>41973</v>
      </c>
      <c r="AK8279" s="831">
        <v>0</v>
      </c>
    </row>
    <row r="8280" spans="2:37">
      <c r="B8280" s="834" t="str">
        <f t="shared" si="337"/>
        <v>|||</v>
      </c>
      <c r="H8280" s="835">
        <f t="shared" si="338"/>
        <v>31</v>
      </c>
      <c r="AF8280" s="831" t="s">
        <v>8939</v>
      </c>
      <c r="AG8280" s="831" t="s">
        <v>130</v>
      </c>
      <c r="AH8280" s="831" t="s">
        <v>230</v>
      </c>
      <c r="AI8280" s="831">
        <v>0</v>
      </c>
      <c r="AJ8280" s="835">
        <v>41973</v>
      </c>
      <c r="AK8280" s="831">
        <v>0</v>
      </c>
    </row>
    <row r="8281" spans="2:37">
      <c r="B8281" s="834" t="str">
        <f t="shared" si="337"/>
        <v>|||</v>
      </c>
      <c r="H8281" s="835">
        <f t="shared" si="338"/>
        <v>31</v>
      </c>
      <c r="AF8281" s="831" t="s">
        <v>8940</v>
      </c>
      <c r="AG8281" s="831" t="s">
        <v>130</v>
      </c>
      <c r="AH8281" s="831" t="s">
        <v>231</v>
      </c>
      <c r="AI8281" s="831">
        <v>0</v>
      </c>
      <c r="AJ8281" s="835">
        <v>41973</v>
      </c>
      <c r="AK8281" s="831">
        <v>0</v>
      </c>
    </row>
    <row r="8282" spans="2:37">
      <c r="B8282" s="834" t="str">
        <f t="shared" si="337"/>
        <v>|||</v>
      </c>
      <c r="H8282" s="835">
        <f t="shared" si="338"/>
        <v>31</v>
      </c>
      <c r="AF8282" s="831" t="s">
        <v>8941</v>
      </c>
      <c r="AG8282" s="831" t="s">
        <v>130</v>
      </c>
      <c r="AH8282" s="831" t="s">
        <v>232</v>
      </c>
      <c r="AI8282" s="831">
        <v>0</v>
      </c>
      <c r="AJ8282" s="835">
        <v>41973</v>
      </c>
      <c r="AK8282" s="831">
        <v>255209101</v>
      </c>
    </row>
    <row r="8283" spans="2:37">
      <c r="B8283" s="834" t="str">
        <f t="shared" si="337"/>
        <v>|||</v>
      </c>
      <c r="H8283" s="835">
        <f t="shared" si="338"/>
        <v>31</v>
      </c>
      <c r="AF8283" s="831" t="s">
        <v>8942</v>
      </c>
      <c r="AG8283" s="831" t="s">
        <v>130</v>
      </c>
      <c r="AH8283" s="831" t="s">
        <v>116</v>
      </c>
      <c r="AI8283" s="831">
        <v>0</v>
      </c>
      <c r="AJ8283" s="835">
        <v>41973</v>
      </c>
      <c r="AK8283" s="831">
        <v>15853132</v>
      </c>
    </row>
    <row r="8284" spans="2:37">
      <c r="B8284" s="834" t="str">
        <f t="shared" si="337"/>
        <v>|||</v>
      </c>
      <c r="H8284" s="835">
        <f t="shared" si="338"/>
        <v>31</v>
      </c>
      <c r="AF8284" s="831" t="s">
        <v>8943</v>
      </c>
      <c r="AG8284" s="831" t="s">
        <v>130</v>
      </c>
      <c r="AH8284" s="831" t="s">
        <v>234</v>
      </c>
      <c r="AI8284" s="831">
        <v>0</v>
      </c>
      <c r="AJ8284" s="835">
        <v>41973</v>
      </c>
      <c r="AK8284" s="831">
        <v>0</v>
      </c>
    </row>
    <row r="8285" spans="2:37">
      <c r="B8285" s="834" t="str">
        <f t="shared" si="337"/>
        <v>|||</v>
      </c>
      <c r="H8285" s="835">
        <f t="shared" si="338"/>
        <v>31</v>
      </c>
      <c r="AF8285" s="831" t="s">
        <v>8944</v>
      </c>
      <c r="AG8285" s="831" t="s">
        <v>130</v>
      </c>
      <c r="AH8285" s="831" t="s">
        <v>235</v>
      </c>
      <c r="AI8285" s="831">
        <v>0</v>
      </c>
      <c r="AJ8285" s="835">
        <v>41973</v>
      </c>
      <c r="AK8285" s="831">
        <v>0</v>
      </c>
    </row>
    <row r="8286" spans="2:37">
      <c r="B8286" s="834" t="str">
        <f t="shared" si="337"/>
        <v>|||</v>
      </c>
      <c r="H8286" s="835">
        <f t="shared" si="338"/>
        <v>31</v>
      </c>
      <c r="AF8286" s="831" t="s">
        <v>8945</v>
      </c>
      <c r="AG8286" s="831" t="s">
        <v>130</v>
      </c>
      <c r="AH8286" s="831" t="s">
        <v>238</v>
      </c>
      <c r="AI8286" s="831">
        <v>0</v>
      </c>
      <c r="AJ8286" s="835">
        <v>41973</v>
      </c>
      <c r="AK8286" s="831">
        <v>0</v>
      </c>
    </row>
    <row r="8287" spans="2:37">
      <c r="B8287" s="834" t="str">
        <f t="shared" si="337"/>
        <v>|||</v>
      </c>
      <c r="H8287" s="835">
        <f t="shared" si="338"/>
        <v>31</v>
      </c>
      <c r="AF8287" s="831" t="s">
        <v>8946</v>
      </c>
      <c r="AG8287" s="831" t="s">
        <v>130</v>
      </c>
      <c r="AH8287" s="831" t="s">
        <v>240</v>
      </c>
      <c r="AI8287" s="831">
        <v>0</v>
      </c>
      <c r="AJ8287" s="835">
        <v>41973</v>
      </c>
      <c r="AK8287" s="831">
        <v>85000000</v>
      </c>
    </row>
    <row r="8288" spans="2:37">
      <c r="B8288" s="834" t="str">
        <f t="shared" si="337"/>
        <v>|||</v>
      </c>
      <c r="H8288" s="835">
        <f t="shared" si="338"/>
        <v>31</v>
      </c>
      <c r="AF8288" s="831" t="s">
        <v>8947</v>
      </c>
      <c r="AG8288" s="831" t="s">
        <v>130</v>
      </c>
      <c r="AH8288" s="831" t="s">
        <v>241</v>
      </c>
      <c r="AI8288" s="831">
        <v>0</v>
      </c>
      <c r="AJ8288" s="835">
        <v>41973</v>
      </c>
      <c r="AK8288" s="831">
        <v>0</v>
      </c>
    </row>
    <row r="8289" spans="2:37">
      <c r="B8289" s="834" t="str">
        <f t="shared" si="337"/>
        <v>|||</v>
      </c>
      <c r="H8289" s="835">
        <f t="shared" si="338"/>
        <v>31</v>
      </c>
      <c r="AF8289" s="831" t="s">
        <v>8948</v>
      </c>
      <c r="AG8289" s="831" t="s">
        <v>130</v>
      </c>
      <c r="AH8289" s="831" t="s">
        <v>242</v>
      </c>
      <c r="AI8289" s="831">
        <v>0</v>
      </c>
      <c r="AJ8289" s="835">
        <v>41973</v>
      </c>
      <c r="AK8289" s="831">
        <v>0</v>
      </c>
    </row>
    <row r="8290" spans="2:37">
      <c r="B8290" s="834" t="str">
        <f t="shared" si="337"/>
        <v>|||</v>
      </c>
      <c r="H8290" s="835">
        <f t="shared" si="338"/>
        <v>31</v>
      </c>
      <c r="AF8290" s="831" t="s">
        <v>8949</v>
      </c>
      <c r="AG8290" s="831" t="s">
        <v>130</v>
      </c>
      <c r="AH8290" s="831" t="s">
        <v>244</v>
      </c>
      <c r="AI8290" s="831">
        <v>0</v>
      </c>
      <c r="AJ8290" s="835">
        <v>41973</v>
      </c>
      <c r="AK8290" s="831">
        <v>29134877</v>
      </c>
    </row>
    <row r="8291" spans="2:37">
      <c r="B8291" s="834" t="str">
        <f t="shared" si="337"/>
        <v>|||</v>
      </c>
      <c r="H8291" s="835">
        <f t="shared" si="338"/>
        <v>31</v>
      </c>
      <c r="AF8291" s="831" t="s">
        <v>8950</v>
      </c>
      <c r="AG8291" s="831" t="s">
        <v>130</v>
      </c>
      <c r="AH8291" s="831" t="s">
        <v>245</v>
      </c>
      <c r="AI8291" s="831">
        <v>0</v>
      </c>
      <c r="AJ8291" s="835">
        <v>41973</v>
      </c>
      <c r="AK8291" s="831">
        <v>39464788</v>
      </c>
    </row>
    <row r="8292" spans="2:37">
      <c r="B8292" s="834" t="str">
        <f t="shared" si="337"/>
        <v>|||</v>
      </c>
      <c r="H8292" s="835">
        <f t="shared" si="338"/>
        <v>31</v>
      </c>
      <c r="AF8292" s="831" t="s">
        <v>8951</v>
      </c>
      <c r="AG8292" s="831" t="s">
        <v>130</v>
      </c>
      <c r="AH8292" s="831" t="s">
        <v>145</v>
      </c>
      <c r="AI8292" s="831">
        <v>0</v>
      </c>
      <c r="AJ8292" s="835">
        <v>42004</v>
      </c>
      <c r="AK8292" s="831">
        <v>59438303</v>
      </c>
    </row>
    <row r="8293" spans="2:37">
      <c r="B8293" s="834" t="str">
        <f t="shared" si="337"/>
        <v>|||</v>
      </c>
      <c r="H8293" s="835">
        <f t="shared" si="338"/>
        <v>31</v>
      </c>
      <c r="AF8293" s="831" t="s">
        <v>8952</v>
      </c>
      <c r="AG8293" s="831" t="s">
        <v>130</v>
      </c>
      <c r="AH8293" s="831" t="s">
        <v>149</v>
      </c>
      <c r="AI8293" s="831">
        <v>0</v>
      </c>
      <c r="AJ8293" s="835">
        <v>42004</v>
      </c>
      <c r="AK8293" s="831">
        <v>0</v>
      </c>
    </row>
    <row r="8294" spans="2:37">
      <c r="B8294" s="834" t="str">
        <f t="shared" si="337"/>
        <v>|||</v>
      </c>
      <c r="H8294" s="835">
        <f t="shared" si="338"/>
        <v>31</v>
      </c>
      <c r="AF8294" s="831" t="s">
        <v>8953</v>
      </c>
      <c r="AG8294" s="831" t="s">
        <v>130</v>
      </c>
      <c r="AH8294" s="831" t="s">
        <v>153</v>
      </c>
      <c r="AI8294" s="831">
        <v>0</v>
      </c>
      <c r="AJ8294" s="835">
        <v>42004</v>
      </c>
      <c r="AK8294" s="831">
        <v>95012802</v>
      </c>
    </row>
    <row r="8295" spans="2:37">
      <c r="B8295" s="834" t="str">
        <f t="shared" si="337"/>
        <v>|||</v>
      </c>
      <c r="H8295" s="835">
        <f t="shared" si="338"/>
        <v>31</v>
      </c>
      <c r="AF8295" s="831" t="s">
        <v>8954</v>
      </c>
      <c r="AG8295" s="831" t="s">
        <v>130</v>
      </c>
      <c r="AH8295" s="831" t="s">
        <v>156</v>
      </c>
      <c r="AI8295" s="831">
        <v>0</v>
      </c>
      <c r="AJ8295" s="835">
        <v>42004</v>
      </c>
      <c r="AK8295" s="831">
        <v>0</v>
      </c>
    </row>
    <row r="8296" spans="2:37">
      <c r="B8296" s="834" t="str">
        <f t="shared" si="337"/>
        <v>|||</v>
      </c>
      <c r="H8296" s="835">
        <f t="shared" si="338"/>
        <v>31</v>
      </c>
      <c r="AF8296" s="831" t="s">
        <v>8955</v>
      </c>
      <c r="AG8296" s="831" t="s">
        <v>130</v>
      </c>
      <c r="AH8296" s="831" t="s">
        <v>162</v>
      </c>
      <c r="AI8296" s="831">
        <v>0</v>
      </c>
      <c r="AJ8296" s="835">
        <v>42004</v>
      </c>
      <c r="AK8296" s="831">
        <v>821469927</v>
      </c>
    </row>
    <row r="8297" spans="2:37">
      <c r="B8297" s="834" t="str">
        <f t="shared" si="337"/>
        <v>|||</v>
      </c>
      <c r="H8297" s="835">
        <f t="shared" si="338"/>
        <v>31</v>
      </c>
      <c r="AF8297" s="831" t="s">
        <v>8956</v>
      </c>
      <c r="AG8297" s="831" t="s">
        <v>130</v>
      </c>
      <c r="AH8297" s="831" t="s">
        <v>165</v>
      </c>
      <c r="AI8297" s="831">
        <v>0</v>
      </c>
      <c r="AJ8297" s="835">
        <v>42004</v>
      </c>
      <c r="AK8297" s="831">
        <v>-9011880</v>
      </c>
    </row>
    <row r="8298" spans="2:37">
      <c r="B8298" s="834" t="str">
        <f t="shared" si="337"/>
        <v>|||</v>
      </c>
      <c r="H8298" s="835">
        <f t="shared" si="338"/>
        <v>31</v>
      </c>
      <c r="AF8298" s="831" t="s">
        <v>8957</v>
      </c>
      <c r="AG8298" s="831" t="s">
        <v>130</v>
      </c>
      <c r="AH8298" s="831" t="s">
        <v>171</v>
      </c>
      <c r="AI8298" s="831">
        <v>0</v>
      </c>
      <c r="AJ8298" s="835">
        <v>42004</v>
      </c>
      <c r="AK8298" s="831">
        <v>7516181</v>
      </c>
    </row>
    <row r="8299" spans="2:37">
      <c r="B8299" s="834" t="str">
        <f t="shared" si="337"/>
        <v>|||</v>
      </c>
      <c r="H8299" s="835">
        <f t="shared" si="338"/>
        <v>31</v>
      </c>
      <c r="AF8299" s="831" t="s">
        <v>8958</v>
      </c>
      <c r="AG8299" s="831" t="s">
        <v>130</v>
      </c>
      <c r="AH8299" s="831" t="s">
        <v>174</v>
      </c>
      <c r="AI8299" s="831">
        <v>0</v>
      </c>
      <c r="AJ8299" s="835">
        <v>42004</v>
      </c>
      <c r="AK8299" s="831">
        <v>0</v>
      </c>
    </row>
    <row r="8300" spans="2:37">
      <c r="B8300" s="834" t="str">
        <f t="shared" si="337"/>
        <v>|||</v>
      </c>
      <c r="H8300" s="835">
        <f t="shared" si="338"/>
        <v>31</v>
      </c>
      <c r="AF8300" s="831" t="s">
        <v>8959</v>
      </c>
      <c r="AG8300" s="831" t="s">
        <v>130</v>
      </c>
      <c r="AH8300" s="831" t="s">
        <v>181</v>
      </c>
      <c r="AI8300" s="831">
        <v>0</v>
      </c>
      <c r="AJ8300" s="835">
        <v>42004</v>
      </c>
      <c r="AK8300" s="831">
        <v>63600330</v>
      </c>
    </row>
    <row r="8301" spans="2:37">
      <c r="B8301" s="834" t="str">
        <f t="shared" si="337"/>
        <v>|||</v>
      </c>
      <c r="H8301" s="835">
        <f t="shared" si="338"/>
        <v>31</v>
      </c>
      <c r="AF8301" s="831" t="s">
        <v>8960</v>
      </c>
      <c r="AG8301" s="831" t="s">
        <v>130</v>
      </c>
      <c r="AH8301" s="831" t="s">
        <v>184</v>
      </c>
      <c r="AI8301" s="831">
        <v>0</v>
      </c>
      <c r="AJ8301" s="835">
        <v>42004</v>
      </c>
      <c r="AK8301" s="831">
        <v>-20966390</v>
      </c>
    </row>
    <row r="8302" spans="2:37">
      <c r="B8302" s="834" t="str">
        <f t="shared" si="337"/>
        <v>|||</v>
      </c>
      <c r="H8302" s="835">
        <f t="shared" si="338"/>
        <v>31</v>
      </c>
      <c r="AF8302" s="831" t="s">
        <v>8961</v>
      </c>
      <c r="AG8302" s="831" t="s">
        <v>130</v>
      </c>
      <c r="AH8302" s="831" t="s">
        <v>187</v>
      </c>
      <c r="AI8302" s="831">
        <v>0</v>
      </c>
      <c r="AJ8302" s="835">
        <v>42004</v>
      </c>
      <c r="AK8302" s="831">
        <v>0</v>
      </c>
    </row>
    <row r="8303" spans="2:37">
      <c r="B8303" s="834" t="str">
        <f t="shared" si="337"/>
        <v>|||</v>
      </c>
      <c r="H8303" s="835">
        <f t="shared" si="338"/>
        <v>31</v>
      </c>
      <c r="AF8303" s="831" t="s">
        <v>8962</v>
      </c>
      <c r="AG8303" s="831" t="s">
        <v>130</v>
      </c>
      <c r="AH8303" s="831" t="s">
        <v>196</v>
      </c>
      <c r="AI8303" s="831">
        <v>0</v>
      </c>
      <c r="AJ8303" s="835">
        <v>42004</v>
      </c>
      <c r="AK8303" s="831">
        <v>20868680</v>
      </c>
    </row>
    <row r="8304" spans="2:37">
      <c r="B8304" s="834" t="str">
        <f t="shared" si="337"/>
        <v>|||</v>
      </c>
      <c r="H8304" s="835">
        <f t="shared" si="338"/>
        <v>31</v>
      </c>
      <c r="AF8304" s="831" t="s">
        <v>8963</v>
      </c>
      <c r="AG8304" s="831" t="s">
        <v>130</v>
      </c>
      <c r="AH8304" s="831" t="s">
        <v>197</v>
      </c>
      <c r="AI8304" s="831">
        <v>0</v>
      </c>
      <c r="AJ8304" s="835">
        <v>42004</v>
      </c>
      <c r="AK8304" s="831">
        <v>0</v>
      </c>
    </row>
    <row r="8305" spans="2:37">
      <c r="B8305" s="834" t="str">
        <f t="shared" si="337"/>
        <v>|||</v>
      </c>
      <c r="H8305" s="835">
        <f t="shared" si="338"/>
        <v>31</v>
      </c>
      <c r="AF8305" s="831" t="s">
        <v>8964</v>
      </c>
      <c r="AG8305" s="831" t="s">
        <v>130</v>
      </c>
      <c r="AH8305" s="831" t="s">
        <v>199</v>
      </c>
      <c r="AI8305" s="831">
        <v>0</v>
      </c>
      <c r="AJ8305" s="835">
        <v>42004</v>
      </c>
      <c r="AK8305" s="831">
        <v>0</v>
      </c>
    </row>
    <row r="8306" spans="2:37">
      <c r="B8306" s="834" t="str">
        <f t="shared" si="337"/>
        <v>|||</v>
      </c>
      <c r="H8306" s="835">
        <f t="shared" si="338"/>
        <v>31</v>
      </c>
      <c r="AF8306" s="831" t="s">
        <v>8965</v>
      </c>
      <c r="AG8306" s="831" t="s">
        <v>130</v>
      </c>
      <c r="AH8306" s="831" t="s">
        <v>201</v>
      </c>
      <c r="AI8306" s="831">
        <v>0</v>
      </c>
      <c r="AJ8306" s="835">
        <v>42004</v>
      </c>
      <c r="AK8306" s="831">
        <v>5823069</v>
      </c>
    </row>
    <row r="8307" spans="2:37">
      <c r="B8307" s="834" t="str">
        <f t="shared" si="337"/>
        <v>|||</v>
      </c>
      <c r="H8307" s="835">
        <f t="shared" si="338"/>
        <v>31</v>
      </c>
      <c r="AF8307" s="831" t="s">
        <v>8966</v>
      </c>
      <c r="AG8307" s="831" t="s">
        <v>130</v>
      </c>
      <c r="AH8307" s="831" t="s">
        <v>209</v>
      </c>
      <c r="AI8307" s="831">
        <v>0</v>
      </c>
      <c r="AJ8307" s="835">
        <v>42004</v>
      </c>
      <c r="AK8307" s="831">
        <v>80417042</v>
      </c>
    </row>
    <row r="8308" spans="2:37">
      <c r="B8308" s="834" t="str">
        <f t="shared" si="337"/>
        <v>|||</v>
      </c>
      <c r="H8308" s="835">
        <f t="shared" si="338"/>
        <v>31</v>
      </c>
      <c r="AF8308" s="831" t="s">
        <v>8967</v>
      </c>
      <c r="AG8308" s="831" t="s">
        <v>130</v>
      </c>
      <c r="AH8308" s="831" t="s">
        <v>211</v>
      </c>
      <c r="AI8308" s="831">
        <v>0</v>
      </c>
      <c r="AJ8308" s="835">
        <v>42004</v>
      </c>
      <c r="AK8308" s="831">
        <v>248784184</v>
      </c>
    </row>
    <row r="8309" spans="2:37">
      <c r="B8309" s="834" t="str">
        <f t="shared" si="337"/>
        <v>|||</v>
      </c>
      <c r="H8309" s="835">
        <f t="shared" si="338"/>
        <v>31</v>
      </c>
      <c r="AF8309" s="831" t="s">
        <v>8968</v>
      </c>
      <c r="AG8309" s="831" t="s">
        <v>130</v>
      </c>
      <c r="AH8309" s="831" t="s">
        <v>212</v>
      </c>
      <c r="AI8309" s="831">
        <v>0</v>
      </c>
      <c r="AJ8309" s="835">
        <v>42004</v>
      </c>
      <c r="AK8309" s="831">
        <v>9985960</v>
      </c>
    </row>
    <row r="8310" spans="2:37">
      <c r="B8310" s="834" t="str">
        <f t="shared" si="337"/>
        <v>|||</v>
      </c>
      <c r="H8310" s="835">
        <f t="shared" si="338"/>
        <v>31</v>
      </c>
      <c r="AF8310" s="831" t="s">
        <v>8969</v>
      </c>
      <c r="AG8310" s="831" t="s">
        <v>130</v>
      </c>
      <c r="AH8310" s="831" t="s">
        <v>216</v>
      </c>
      <c r="AI8310" s="831">
        <v>0</v>
      </c>
      <c r="AJ8310" s="835">
        <v>42004</v>
      </c>
      <c r="AK8310" s="831">
        <v>0</v>
      </c>
    </row>
    <row r="8311" spans="2:37">
      <c r="B8311" s="834" t="str">
        <f t="shared" si="337"/>
        <v>|||</v>
      </c>
      <c r="H8311" s="835">
        <f t="shared" si="338"/>
        <v>31</v>
      </c>
      <c r="AF8311" s="831" t="s">
        <v>8970</v>
      </c>
      <c r="AG8311" s="831" t="s">
        <v>130</v>
      </c>
      <c r="AH8311" s="831" t="s">
        <v>218</v>
      </c>
      <c r="AI8311" s="831">
        <v>0</v>
      </c>
      <c r="AJ8311" s="835">
        <v>42004</v>
      </c>
      <c r="AK8311" s="831">
        <v>248299050</v>
      </c>
    </row>
    <row r="8312" spans="2:37">
      <c r="B8312" s="834" t="str">
        <f t="shared" si="337"/>
        <v>|||</v>
      </c>
      <c r="H8312" s="835">
        <f t="shared" si="338"/>
        <v>31</v>
      </c>
      <c r="AF8312" s="831" t="s">
        <v>8971</v>
      </c>
      <c r="AG8312" s="831" t="s">
        <v>130</v>
      </c>
      <c r="AH8312" s="831" t="s">
        <v>220</v>
      </c>
      <c r="AI8312" s="831">
        <v>0</v>
      </c>
      <c r="AJ8312" s="835">
        <v>42004</v>
      </c>
      <c r="AK8312" s="831">
        <v>0</v>
      </c>
    </row>
    <row r="8313" spans="2:37">
      <c r="B8313" s="834" t="str">
        <f t="shared" si="337"/>
        <v>|||</v>
      </c>
      <c r="H8313" s="835">
        <f t="shared" si="338"/>
        <v>31</v>
      </c>
      <c r="AF8313" s="831" t="s">
        <v>8972</v>
      </c>
      <c r="AG8313" s="831" t="s">
        <v>130</v>
      </c>
      <c r="AH8313" s="831" t="s">
        <v>221</v>
      </c>
      <c r="AI8313" s="831">
        <v>0</v>
      </c>
      <c r="AJ8313" s="835">
        <v>42004</v>
      </c>
      <c r="AK8313" s="831">
        <v>30867665</v>
      </c>
    </row>
    <row r="8314" spans="2:37">
      <c r="B8314" s="834" t="str">
        <f t="shared" si="337"/>
        <v>|||</v>
      </c>
      <c r="H8314" s="835">
        <f t="shared" si="338"/>
        <v>31</v>
      </c>
      <c r="AF8314" s="831" t="s">
        <v>8973</v>
      </c>
      <c r="AG8314" s="831" t="s">
        <v>130</v>
      </c>
      <c r="AH8314" s="831" t="s">
        <v>228</v>
      </c>
      <c r="AI8314" s="831">
        <v>0</v>
      </c>
      <c r="AJ8314" s="835">
        <v>42004</v>
      </c>
      <c r="AK8314" s="831">
        <v>0</v>
      </c>
    </row>
    <row r="8315" spans="2:37">
      <c r="B8315" s="834" t="str">
        <f t="shared" si="337"/>
        <v>|||</v>
      </c>
      <c r="H8315" s="835">
        <f t="shared" si="338"/>
        <v>31</v>
      </c>
      <c r="AF8315" s="831" t="s">
        <v>8974</v>
      </c>
      <c r="AG8315" s="831" t="s">
        <v>130</v>
      </c>
      <c r="AH8315" s="831" t="s">
        <v>230</v>
      </c>
      <c r="AI8315" s="831">
        <v>0</v>
      </c>
      <c r="AJ8315" s="835">
        <v>42004</v>
      </c>
      <c r="AK8315" s="831">
        <v>0</v>
      </c>
    </row>
    <row r="8316" spans="2:37">
      <c r="B8316" s="834" t="str">
        <f t="shared" si="337"/>
        <v>|||</v>
      </c>
      <c r="H8316" s="835">
        <f t="shared" si="338"/>
        <v>31</v>
      </c>
      <c r="AF8316" s="831" t="s">
        <v>8975</v>
      </c>
      <c r="AG8316" s="831" t="s">
        <v>130</v>
      </c>
      <c r="AH8316" s="831" t="s">
        <v>231</v>
      </c>
      <c r="AI8316" s="831">
        <v>0</v>
      </c>
      <c r="AJ8316" s="835">
        <v>42004</v>
      </c>
      <c r="AK8316" s="831">
        <v>0</v>
      </c>
    </row>
    <row r="8317" spans="2:37">
      <c r="B8317" s="834" t="str">
        <f t="shared" si="337"/>
        <v>|||</v>
      </c>
      <c r="H8317" s="835">
        <f t="shared" si="338"/>
        <v>31</v>
      </c>
      <c r="AF8317" s="831" t="s">
        <v>8976</v>
      </c>
      <c r="AG8317" s="831" t="s">
        <v>130</v>
      </c>
      <c r="AH8317" s="831" t="s">
        <v>232</v>
      </c>
      <c r="AI8317" s="831">
        <v>0</v>
      </c>
      <c r="AJ8317" s="835">
        <v>42004</v>
      </c>
      <c r="AK8317" s="831">
        <v>264198624</v>
      </c>
    </row>
    <row r="8318" spans="2:37">
      <c r="B8318" s="834" t="str">
        <f t="shared" si="337"/>
        <v>|||</v>
      </c>
      <c r="H8318" s="835">
        <f t="shared" si="338"/>
        <v>31</v>
      </c>
      <c r="AF8318" s="831" t="s">
        <v>8977</v>
      </c>
      <c r="AG8318" s="831" t="s">
        <v>130</v>
      </c>
      <c r="AH8318" s="831" t="s">
        <v>116</v>
      </c>
      <c r="AI8318" s="831">
        <v>0</v>
      </c>
      <c r="AJ8318" s="835">
        <v>42004</v>
      </c>
      <c r="AK8318" s="831">
        <v>15688000</v>
      </c>
    </row>
    <row r="8319" spans="2:37">
      <c r="B8319" s="834" t="str">
        <f t="shared" si="337"/>
        <v>|||</v>
      </c>
      <c r="H8319" s="835">
        <f t="shared" si="338"/>
        <v>31</v>
      </c>
      <c r="AF8319" s="831" t="s">
        <v>8978</v>
      </c>
      <c r="AG8319" s="831" t="s">
        <v>130</v>
      </c>
      <c r="AH8319" s="831" t="s">
        <v>234</v>
      </c>
      <c r="AI8319" s="831">
        <v>0</v>
      </c>
      <c r="AJ8319" s="835">
        <v>42004</v>
      </c>
      <c r="AK8319" s="831">
        <v>0</v>
      </c>
    </row>
    <row r="8320" spans="2:37">
      <c r="B8320" s="834" t="str">
        <f t="shared" si="337"/>
        <v>|||</v>
      </c>
      <c r="H8320" s="835">
        <f t="shared" si="338"/>
        <v>31</v>
      </c>
      <c r="AF8320" s="831" t="s">
        <v>8979</v>
      </c>
      <c r="AG8320" s="831" t="s">
        <v>130</v>
      </c>
      <c r="AH8320" s="831" t="s">
        <v>235</v>
      </c>
      <c r="AI8320" s="831">
        <v>0</v>
      </c>
      <c r="AJ8320" s="835">
        <v>42004</v>
      </c>
      <c r="AK8320" s="831">
        <v>0</v>
      </c>
    </row>
    <row r="8321" spans="2:37">
      <c r="B8321" s="834" t="str">
        <f t="shared" si="337"/>
        <v>|||</v>
      </c>
      <c r="H8321" s="835">
        <f t="shared" si="338"/>
        <v>31</v>
      </c>
      <c r="AF8321" s="831" t="s">
        <v>8980</v>
      </c>
      <c r="AG8321" s="831" t="s">
        <v>130</v>
      </c>
      <c r="AH8321" s="831" t="s">
        <v>238</v>
      </c>
      <c r="AI8321" s="831">
        <v>0</v>
      </c>
      <c r="AJ8321" s="835">
        <v>42004</v>
      </c>
      <c r="AK8321" s="831">
        <v>0</v>
      </c>
    </row>
    <row r="8322" spans="2:37">
      <c r="B8322" s="834" t="str">
        <f t="shared" si="337"/>
        <v>|||</v>
      </c>
      <c r="H8322" s="835">
        <f t="shared" si="338"/>
        <v>31</v>
      </c>
      <c r="AF8322" s="831" t="s">
        <v>8981</v>
      </c>
      <c r="AG8322" s="831" t="s">
        <v>130</v>
      </c>
      <c r="AH8322" s="831" t="s">
        <v>240</v>
      </c>
      <c r="AI8322" s="831">
        <v>0</v>
      </c>
      <c r="AJ8322" s="835">
        <v>42004</v>
      </c>
      <c r="AK8322" s="831">
        <v>85000000</v>
      </c>
    </row>
    <row r="8323" spans="2:37">
      <c r="B8323" s="834" t="str">
        <f t="shared" ref="B8323:B8386" si="339">C8323&amp;"|"&amp;D8323&amp;"|"&amp;E8323&amp;"|"&amp;F8323</f>
        <v>|||</v>
      </c>
      <c r="H8323" s="835">
        <f t="shared" si="338"/>
        <v>31</v>
      </c>
      <c r="AF8323" s="831" t="s">
        <v>8982</v>
      </c>
      <c r="AG8323" s="831" t="s">
        <v>130</v>
      </c>
      <c r="AH8323" s="831" t="s">
        <v>241</v>
      </c>
      <c r="AI8323" s="831">
        <v>0</v>
      </c>
      <c r="AJ8323" s="835">
        <v>42004</v>
      </c>
      <c r="AK8323" s="831">
        <v>0</v>
      </c>
    </row>
    <row r="8324" spans="2:37">
      <c r="B8324" s="834" t="str">
        <f t="shared" si="339"/>
        <v>|||</v>
      </c>
      <c r="H8324" s="835">
        <f t="shared" ref="H8324:H8387" si="340">EOMONTH(L8324,0)</f>
        <v>31</v>
      </c>
      <c r="AF8324" s="831" t="s">
        <v>8983</v>
      </c>
      <c r="AG8324" s="831" t="s">
        <v>130</v>
      </c>
      <c r="AH8324" s="831" t="s">
        <v>242</v>
      </c>
      <c r="AI8324" s="831">
        <v>0</v>
      </c>
      <c r="AJ8324" s="835">
        <v>42004</v>
      </c>
      <c r="AK8324" s="831">
        <v>0</v>
      </c>
    </row>
    <row r="8325" spans="2:37">
      <c r="B8325" s="834" t="str">
        <f t="shared" si="339"/>
        <v>|||</v>
      </c>
      <c r="H8325" s="835">
        <f t="shared" si="340"/>
        <v>31</v>
      </c>
      <c r="AF8325" s="831" t="s">
        <v>8984</v>
      </c>
      <c r="AG8325" s="831" t="s">
        <v>130</v>
      </c>
      <c r="AH8325" s="831" t="s">
        <v>244</v>
      </c>
      <c r="AI8325" s="831">
        <v>0</v>
      </c>
      <c r="AJ8325" s="835">
        <v>42004</v>
      </c>
      <c r="AK8325" s="831">
        <v>17368877</v>
      </c>
    </row>
    <row r="8326" spans="2:37">
      <c r="B8326" s="834" t="str">
        <f t="shared" si="339"/>
        <v>|||</v>
      </c>
      <c r="H8326" s="835">
        <f t="shared" si="340"/>
        <v>31</v>
      </c>
      <c r="AF8326" s="831" t="s">
        <v>8985</v>
      </c>
      <c r="AG8326" s="831" t="s">
        <v>130</v>
      </c>
      <c r="AH8326" s="831" t="s">
        <v>245</v>
      </c>
      <c r="AI8326" s="831">
        <v>0</v>
      </c>
      <c r="AJ8326" s="835">
        <v>42004</v>
      </c>
      <c r="AK8326" s="831">
        <v>43141620</v>
      </c>
    </row>
    <row r="8327" spans="2:37">
      <c r="B8327" s="834" t="str">
        <f t="shared" si="339"/>
        <v>|||</v>
      </c>
      <c r="H8327" s="835">
        <f t="shared" si="340"/>
        <v>31</v>
      </c>
      <c r="AF8327" s="831" t="s">
        <v>8986</v>
      </c>
      <c r="AG8327" s="831" t="s">
        <v>520</v>
      </c>
      <c r="AH8327" s="831" t="s">
        <v>291</v>
      </c>
      <c r="AI8327" s="831">
        <v>0</v>
      </c>
      <c r="AJ8327" s="835">
        <v>41670</v>
      </c>
      <c r="AK8327" s="831">
        <v>15466410</v>
      </c>
    </row>
    <row r="8328" spans="2:37">
      <c r="B8328" s="834" t="str">
        <f t="shared" si="339"/>
        <v>|||</v>
      </c>
      <c r="H8328" s="835">
        <f t="shared" si="340"/>
        <v>31</v>
      </c>
      <c r="AF8328" s="831" t="s">
        <v>8987</v>
      </c>
      <c r="AG8328" s="831" t="s">
        <v>520</v>
      </c>
      <c r="AH8328" s="831" t="s">
        <v>519</v>
      </c>
      <c r="AI8328" s="831">
        <v>0</v>
      </c>
      <c r="AJ8328" s="835">
        <v>41670</v>
      </c>
      <c r="AK8328" s="831">
        <v>353640890</v>
      </c>
    </row>
    <row r="8329" spans="2:37">
      <c r="B8329" s="834" t="str">
        <f t="shared" si="339"/>
        <v>|||</v>
      </c>
      <c r="H8329" s="835">
        <f t="shared" si="340"/>
        <v>31</v>
      </c>
      <c r="AF8329" s="831" t="s">
        <v>8988</v>
      </c>
      <c r="AG8329" s="831" t="s">
        <v>520</v>
      </c>
      <c r="AH8329" s="831" t="s">
        <v>94</v>
      </c>
      <c r="AI8329" s="831">
        <v>0</v>
      </c>
      <c r="AJ8329" s="835">
        <v>41670</v>
      </c>
      <c r="AK8329" s="831">
        <v>52528300</v>
      </c>
    </row>
    <row r="8330" spans="2:37">
      <c r="B8330" s="834" t="str">
        <f t="shared" si="339"/>
        <v>|||</v>
      </c>
      <c r="H8330" s="835">
        <f t="shared" si="340"/>
        <v>31</v>
      </c>
      <c r="AF8330" s="831" t="s">
        <v>8989</v>
      </c>
      <c r="AG8330" s="831" t="s">
        <v>520</v>
      </c>
      <c r="AH8330" s="831" t="s">
        <v>85</v>
      </c>
      <c r="AI8330" s="831">
        <v>0</v>
      </c>
      <c r="AJ8330" s="835">
        <v>41670</v>
      </c>
      <c r="AK8330" s="831">
        <v>76706840</v>
      </c>
    </row>
    <row r="8331" spans="2:37">
      <c r="B8331" s="834" t="str">
        <f t="shared" si="339"/>
        <v>|||</v>
      </c>
      <c r="H8331" s="835">
        <f t="shared" si="340"/>
        <v>31</v>
      </c>
      <c r="AF8331" s="831" t="s">
        <v>8990</v>
      </c>
      <c r="AG8331" s="831" t="s">
        <v>520</v>
      </c>
      <c r="AH8331" s="831" t="s">
        <v>90</v>
      </c>
      <c r="AI8331" s="831">
        <v>0</v>
      </c>
      <c r="AJ8331" s="835">
        <v>41670</v>
      </c>
      <c r="AK8331" s="831">
        <v>347817700</v>
      </c>
    </row>
    <row r="8332" spans="2:37">
      <c r="B8332" s="834" t="str">
        <f t="shared" si="339"/>
        <v>|||</v>
      </c>
      <c r="H8332" s="835">
        <f t="shared" si="340"/>
        <v>31</v>
      </c>
      <c r="AF8332" s="831" t="s">
        <v>8991</v>
      </c>
      <c r="AG8332" s="831" t="s">
        <v>520</v>
      </c>
      <c r="AH8332" s="831" t="s">
        <v>117</v>
      </c>
      <c r="AI8332" s="831">
        <v>0</v>
      </c>
      <c r="AJ8332" s="835">
        <v>41670</v>
      </c>
      <c r="AK8332" s="831">
        <v>7637710</v>
      </c>
    </row>
    <row r="8333" spans="2:37">
      <c r="B8333" s="834" t="str">
        <f t="shared" si="339"/>
        <v>|||</v>
      </c>
      <c r="H8333" s="835">
        <f t="shared" si="340"/>
        <v>31</v>
      </c>
      <c r="AF8333" s="831" t="s">
        <v>8992</v>
      </c>
      <c r="AG8333" s="831" t="s">
        <v>520</v>
      </c>
      <c r="AH8333" s="831" t="s">
        <v>525</v>
      </c>
      <c r="AI8333" s="831">
        <v>0</v>
      </c>
      <c r="AJ8333" s="835">
        <v>41670</v>
      </c>
      <c r="AK8333" s="831">
        <v>0</v>
      </c>
    </row>
    <row r="8334" spans="2:37">
      <c r="B8334" s="834" t="str">
        <f t="shared" si="339"/>
        <v>|||</v>
      </c>
      <c r="H8334" s="835">
        <f t="shared" si="340"/>
        <v>31</v>
      </c>
      <c r="AF8334" s="831" t="s">
        <v>8993</v>
      </c>
      <c r="AG8334" s="831" t="s">
        <v>520</v>
      </c>
      <c r="AH8334" s="831" t="s">
        <v>522</v>
      </c>
      <c r="AI8334" s="831">
        <v>0</v>
      </c>
      <c r="AJ8334" s="835">
        <v>41670</v>
      </c>
      <c r="AK8334" s="831">
        <v>0</v>
      </c>
    </row>
    <row r="8335" spans="2:37">
      <c r="B8335" s="834" t="str">
        <f t="shared" si="339"/>
        <v>|||</v>
      </c>
      <c r="H8335" s="835">
        <f t="shared" si="340"/>
        <v>31</v>
      </c>
      <c r="AF8335" s="831" t="s">
        <v>8994</v>
      </c>
      <c r="AG8335" s="831" t="s">
        <v>520</v>
      </c>
      <c r="AH8335" s="831" t="s">
        <v>523</v>
      </c>
      <c r="AI8335" s="831">
        <v>0</v>
      </c>
      <c r="AJ8335" s="835">
        <v>41670</v>
      </c>
      <c r="AK8335" s="831">
        <v>0</v>
      </c>
    </row>
    <row r="8336" spans="2:37">
      <c r="B8336" s="834" t="str">
        <f t="shared" si="339"/>
        <v>|||</v>
      </c>
      <c r="H8336" s="835">
        <f t="shared" si="340"/>
        <v>31</v>
      </c>
      <c r="AF8336" s="831" t="s">
        <v>8995</v>
      </c>
      <c r="AG8336" s="831" t="s">
        <v>520</v>
      </c>
      <c r="AH8336" s="831" t="s">
        <v>524</v>
      </c>
      <c r="AI8336" s="831">
        <v>0</v>
      </c>
      <c r="AJ8336" s="835">
        <v>41670</v>
      </c>
      <c r="AK8336" s="831">
        <v>0</v>
      </c>
    </row>
    <row r="8337" spans="2:37">
      <c r="B8337" s="834" t="str">
        <f t="shared" si="339"/>
        <v>|||</v>
      </c>
      <c r="H8337" s="835">
        <f t="shared" si="340"/>
        <v>31</v>
      </c>
      <c r="AF8337" s="831" t="s">
        <v>8996</v>
      </c>
      <c r="AG8337" s="831" t="s">
        <v>520</v>
      </c>
      <c r="AH8337" s="831" t="s">
        <v>521</v>
      </c>
      <c r="AI8337" s="831">
        <v>0</v>
      </c>
      <c r="AJ8337" s="835">
        <v>41670</v>
      </c>
      <c r="AK8337" s="831">
        <v>0</v>
      </c>
    </row>
    <row r="8338" spans="2:37">
      <c r="B8338" s="834" t="str">
        <f t="shared" si="339"/>
        <v>|||</v>
      </c>
      <c r="H8338" s="835">
        <f t="shared" si="340"/>
        <v>31</v>
      </c>
      <c r="AF8338" s="831" t="s">
        <v>8997</v>
      </c>
      <c r="AG8338" s="831" t="s">
        <v>520</v>
      </c>
      <c r="AH8338" s="831" t="s">
        <v>660</v>
      </c>
      <c r="AI8338" s="831">
        <v>0</v>
      </c>
      <c r="AJ8338" s="835">
        <v>41670</v>
      </c>
      <c r="AK8338" s="831">
        <v>0</v>
      </c>
    </row>
    <row r="8339" spans="2:37">
      <c r="B8339" s="834" t="str">
        <f t="shared" si="339"/>
        <v>|||</v>
      </c>
      <c r="H8339" s="835">
        <f t="shared" si="340"/>
        <v>31</v>
      </c>
      <c r="AF8339" s="831" t="s">
        <v>8998</v>
      </c>
      <c r="AG8339" s="831" t="s">
        <v>520</v>
      </c>
      <c r="AH8339" s="831" t="s">
        <v>661</v>
      </c>
      <c r="AI8339" s="831">
        <v>0</v>
      </c>
      <c r="AJ8339" s="835">
        <v>41670</v>
      </c>
      <c r="AK8339" s="831">
        <v>0</v>
      </c>
    </row>
    <row r="8340" spans="2:37">
      <c r="B8340" s="834" t="str">
        <f t="shared" si="339"/>
        <v>|||</v>
      </c>
      <c r="H8340" s="835">
        <f t="shared" si="340"/>
        <v>31</v>
      </c>
      <c r="AF8340" s="831" t="s">
        <v>8999</v>
      </c>
      <c r="AG8340" s="831" t="s">
        <v>520</v>
      </c>
      <c r="AH8340" s="831" t="s">
        <v>662</v>
      </c>
      <c r="AI8340" s="831">
        <v>0</v>
      </c>
      <c r="AJ8340" s="835">
        <v>41670</v>
      </c>
      <c r="AK8340" s="831">
        <v>0</v>
      </c>
    </row>
    <row r="8341" spans="2:37">
      <c r="B8341" s="834" t="str">
        <f t="shared" si="339"/>
        <v>|||</v>
      </c>
      <c r="H8341" s="835">
        <f t="shared" si="340"/>
        <v>31</v>
      </c>
      <c r="AF8341" s="831" t="s">
        <v>9000</v>
      </c>
      <c r="AG8341" s="831" t="s">
        <v>520</v>
      </c>
      <c r="AH8341" s="831" t="s">
        <v>291</v>
      </c>
      <c r="AI8341" s="831">
        <v>0</v>
      </c>
      <c r="AJ8341" s="835">
        <v>41698</v>
      </c>
      <c r="AK8341" s="831">
        <v>15128400</v>
      </c>
    </row>
    <row r="8342" spans="2:37">
      <c r="B8342" s="834" t="str">
        <f t="shared" si="339"/>
        <v>|||</v>
      </c>
      <c r="H8342" s="835">
        <f t="shared" si="340"/>
        <v>31</v>
      </c>
      <c r="AF8342" s="831" t="s">
        <v>9001</v>
      </c>
      <c r="AG8342" s="831" t="s">
        <v>520</v>
      </c>
      <c r="AH8342" s="831" t="s">
        <v>519</v>
      </c>
      <c r="AI8342" s="831">
        <v>0</v>
      </c>
      <c r="AJ8342" s="835">
        <v>41698</v>
      </c>
      <c r="AK8342" s="831">
        <v>365894344</v>
      </c>
    </row>
    <row r="8343" spans="2:37">
      <c r="B8343" s="834" t="str">
        <f t="shared" si="339"/>
        <v>|||</v>
      </c>
      <c r="H8343" s="835">
        <f t="shared" si="340"/>
        <v>31</v>
      </c>
      <c r="AF8343" s="831" t="s">
        <v>9002</v>
      </c>
      <c r="AG8343" s="831" t="s">
        <v>520</v>
      </c>
      <c r="AH8343" s="831" t="s">
        <v>94</v>
      </c>
      <c r="AI8343" s="831">
        <v>0</v>
      </c>
      <c r="AJ8343" s="835">
        <v>41698</v>
      </c>
      <c r="AK8343" s="831">
        <v>56443080</v>
      </c>
    </row>
    <row r="8344" spans="2:37">
      <c r="B8344" s="834" t="str">
        <f t="shared" si="339"/>
        <v>|||</v>
      </c>
      <c r="H8344" s="835">
        <f t="shared" si="340"/>
        <v>31</v>
      </c>
      <c r="AF8344" s="831" t="s">
        <v>9003</v>
      </c>
      <c r="AG8344" s="831" t="s">
        <v>520</v>
      </c>
      <c r="AH8344" s="831" t="s">
        <v>85</v>
      </c>
      <c r="AI8344" s="831">
        <v>0</v>
      </c>
      <c r="AJ8344" s="835">
        <v>41698</v>
      </c>
      <c r="AK8344" s="831">
        <v>80017980</v>
      </c>
    </row>
    <row r="8345" spans="2:37">
      <c r="B8345" s="834" t="str">
        <f t="shared" si="339"/>
        <v>|||</v>
      </c>
      <c r="H8345" s="835">
        <f t="shared" si="340"/>
        <v>31</v>
      </c>
      <c r="AF8345" s="831" t="s">
        <v>9004</v>
      </c>
      <c r="AG8345" s="831" t="s">
        <v>520</v>
      </c>
      <c r="AH8345" s="831" t="s">
        <v>90</v>
      </c>
      <c r="AI8345" s="831">
        <v>0</v>
      </c>
      <c r="AJ8345" s="835">
        <v>41698</v>
      </c>
      <c r="AK8345" s="831">
        <v>351044000</v>
      </c>
    </row>
    <row r="8346" spans="2:37">
      <c r="B8346" s="834" t="str">
        <f t="shared" si="339"/>
        <v>|||</v>
      </c>
      <c r="H8346" s="835">
        <f t="shared" si="340"/>
        <v>31</v>
      </c>
      <c r="AF8346" s="831" t="s">
        <v>9005</v>
      </c>
      <c r="AG8346" s="831" t="s">
        <v>520</v>
      </c>
      <c r="AH8346" s="831" t="s">
        <v>117</v>
      </c>
      <c r="AI8346" s="831">
        <v>0</v>
      </c>
      <c r="AJ8346" s="835">
        <v>41698</v>
      </c>
      <c r="AK8346" s="831">
        <v>8983150</v>
      </c>
    </row>
    <row r="8347" spans="2:37">
      <c r="B8347" s="834" t="str">
        <f t="shared" si="339"/>
        <v>|||</v>
      </c>
      <c r="H8347" s="835">
        <f t="shared" si="340"/>
        <v>31</v>
      </c>
      <c r="AF8347" s="831" t="s">
        <v>9006</v>
      </c>
      <c r="AG8347" s="831" t="s">
        <v>520</v>
      </c>
      <c r="AH8347" s="831" t="s">
        <v>525</v>
      </c>
      <c r="AI8347" s="831">
        <v>0</v>
      </c>
      <c r="AJ8347" s="835">
        <v>41698</v>
      </c>
      <c r="AK8347" s="831">
        <v>0</v>
      </c>
    </row>
    <row r="8348" spans="2:37">
      <c r="B8348" s="834" t="str">
        <f t="shared" si="339"/>
        <v>|||</v>
      </c>
      <c r="H8348" s="835">
        <f t="shared" si="340"/>
        <v>31</v>
      </c>
      <c r="AF8348" s="831" t="s">
        <v>9007</v>
      </c>
      <c r="AG8348" s="831" t="s">
        <v>520</v>
      </c>
      <c r="AH8348" s="831" t="s">
        <v>522</v>
      </c>
      <c r="AI8348" s="831">
        <v>0</v>
      </c>
      <c r="AJ8348" s="835">
        <v>41698</v>
      </c>
      <c r="AK8348" s="831">
        <v>0</v>
      </c>
    </row>
    <row r="8349" spans="2:37">
      <c r="B8349" s="834" t="str">
        <f t="shared" si="339"/>
        <v>|||</v>
      </c>
      <c r="H8349" s="835">
        <f t="shared" si="340"/>
        <v>31</v>
      </c>
      <c r="AF8349" s="831" t="s">
        <v>9008</v>
      </c>
      <c r="AG8349" s="831" t="s">
        <v>520</v>
      </c>
      <c r="AH8349" s="831" t="s">
        <v>523</v>
      </c>
      <c r="AI8349" s="831">
        <v>0</v>
      </c>
      <c r="AJ8349" s="835">
        <v>41698</v>
      </c>
      <c r="AK8349" s="831">
        <v>0</v>
      </c>
    </row>
    <row r="8350" spans="2:37">
      <c r="B8350" s="834" t="str">
        <f t="shared" si="339"/>
        <v>|||</v>
      </c>
      <c r="H8350" s="835">
        <f t="shared" si="340"/>
        <v>31</v>
      </c>
      <c r="AF8350" s="831" t="s">
        <v>9009</v>
      </c>
      <c r="AG8350" s="831" t="s">
        <v>520</v>
      </c>
      <c r="AH8350" s="831" t="s">
        <v>524</v>
      </c>
      <c r="AI8350" s="831">
        <v>0</v>
      </c>
      <c r="AJ8350" s="835">
        <v>41698</v>
      </c>
      <c r="AK8350" s="831">
        <v>0</v>
      </c>
    </row>
    <row r="8351" spans="2:37">
      <c r="B8351" s="834" t="str">
        <f t="shared" si="339"/>
        <v>|||</v>
      </c>
      <c r="H8351" s="835">
        <f t="shared" si="340"/>
        <v>31</v>
      </c>
      <c r="AF8351" s="831" t="s">
        <v>9010</v>
      </c>
      <c r="AG8351" s="831" t="s">
        <v>520</v>
      </c>
      <c r="AH8351" s="831" t="s">
        <v>521</v>
      </c>
      <c r="AI8351" s="831">
        <v>0</v>
      </c>
      <c r="AJ8351" s="835">
        <v>41698</v>
      </c>
      <c r="AK8351" s="831">
        <v>0</v>
      </c>
    </row>
    <row r="8352" spans="2:37">
      <c r="B8352" s="834" t="str">
        <f t="shared" si="339"/>
        <v>|||</v>
      </c>
      <c r="H8352" s="835">
        <f t="shared" si="340"/>
        <v>31</v>
      </c>
      <c r="AF8352" s="831" t="s">
        <v>9011</v>
      </c>
      <c r="AG8352" s="831" t="s">
        <v>520</v>
      </c>
      <c r="AH8352" s="831" t="s">
        <v>660</v>
      </c>
      <c r="AI8352" s="831">
        <v>0</v>
      </c>
      <c r="AJ8352" s="835">
        <v>41698</v>
      </c>
      <c r="AK8352" s="831">
        <v>0</v>
      </c>
    </row>
    <row r="8353" spans="2:37">
      <c r="B8353" s="834" t="str">
        <f t="shared" si="339"/>
        <v>|||</v>
      </c>
      <c r="H8353" s="835">
        <f t="shared" si="340"/>
        <v>31</v>
      </c>
      <c r="AF8353" s="831" t="s">
        <v>9012</v>
      </c>
      <c r="AG8353" s="831" t="s">
        <v>520</v>
      </c>
      <c r="AH8353" s="831" t="s">
        <v>661</v>
      </c>
      <c r="AI8353" s="831">
        <v>0</v>
      </c>
      <c r="AJ8353" s="835">
        <v>41698</v>
      </c>
      <c r="AK8353" s="831">
        <v>0</v>
      </c>
    </row>
    <row r="8354" spans="2:37">
      <c r="B8354" s="834" t="str">
        <f t="shared" si="339"/>
        <v>|||</v>
      </c>
      <c r="H8354" s="835">
        <f t="shared" si="340"/>
        <v>31</v>
      </c>
      <c r="AF8354" s="831" t="s">
        <v>9013</v>
      </c>
      <c r="AG8354" s="831" t="s">
        <v>520</v>
      </c>
      <c r="AH8354" s="831" t="s">
        <v>662</v>
      </c>
      <c r="AI8354" s="831">
        <v>0</v>
      </c>
      <c r="AJ8354" s="835">
        <v>41698</v>
      </c>
      <c r="AK8354" s="831">
        <v>0</v>
      </c>
    </row>
    <row r="8355" spans="2:37">
      <c r="B8355" s="834" t="str">
        <f t="shared" si="339"/>
        <v>|||</v>
      </c>
      <c r="H8355" s="835">
        <f t="shared" si="340"/>
        <v>31</v>
      </c>
      <c r="AF8355" s="831" t="s">
        <v>9014</v>
      </c>
      <c r="AG8355" s="831" t="s">
        <v>520</v>
      </c>
      <c r="AH8355" s="831" t="s">
        <v>291</v>
      </c>
      <c r="AI8355" s="831">
        <v>0</v>
      </c>
      <c r="AJ8355" s="835">
        <v>41729</v>
      </c>
      <c r="AK8355" s="831">
        <v>14795480</v>
      </c>
    </row>
    <row r="8356" spans="2:37">
      <c r="B8356" s="834" t="str">
        <f t="shared" si="339"/>
        <v>|||</v>
      </c>
      <c r="H8356" s="835">
        <f t="shared" si="340"/>
        <v>31</v>
      </c>
      <c r="AF8356" s="831" t="s">
        <v>9015</v>
      </c>
      <c r="AG8356" s="831" t="s">
        <v>520</v>
      </c>
      <c r="AH8356" s="831" t="s">
        <v>519</v>
      </c>
      <c r="AI8356" s="831">
        <v>0</v>
      </c>
      <c r="AJ8356" s="835">
        <v>41729</v>
      </c>
      <c r="AK8356" s="831">
        <v>372820830</v>
      </c>
    </row>
    <row r="8357" spans="2:37">
      <c r="B8357" s="834" t="str">
        <f t="shared" si="339"/>
        <v>|||</v>
      </c>
      <c r="H8357" s="835">
        <f t="shared" si="340"/>
        <v>31</v>
      </c>
      <c r="AF8357" s="831" t="s">
        <v>9016</v>
      </c>
      <c r="AG8357" s="831" t="s">
        <v>520</v>
      </c>
      <c r="AH8357" s="831" t="s">
        <v>94</v>
      </c>
      <c r="AI8357" s="831">
        <v>0</v>
      </c>
      <c r="AJ8357" s="835">
        <v>41729</v>
      </c>
      <c r="AK8357" s="831">
        <v>79173970</v>
      </c>
    </row>
    <row r="8358" spans="2:37">
      <c r="B8358" s="834" t="str">
        <f t="shared" si="339"/>
        <v>|||</v>
      </c>
      <c r="H8358" s="835">
        <f t="shared" si="340"/>
        <v>31</v>
      </c>
      <c r="AF8358" s="831" t="s">
        <v>9017</v>
      </c>
      <c r="AG8358" s="831" t="s">
        <v>520</v>
      </c>
      <c r="AH8358" s="831" t="s">
        <v>85</v>
      </c>
      <c r="AI8358" s="831">
        <v>0</v>
      </c>
      <c r="AJ8358" s="835">
        <v>41729</v>
      </c>
      <c r="AK8358" s="831">
        <v>84911830</v>
      </c>
    </row>
    <row r="8359" spans="2:37">
      <c r="B8359" s="834" t="str">
        <f t="shared" si="339"/>
        <v>|||</v>
      </c>
      <c r="H8359" s="835">
        <f t="shared" si="340"/>
        <v>31</v>
      </c>
      <c r="AF8359" s="831" t="s">
        <v>9018</v>
      </c>
      <c r="AG8359" s="831" t="s">
        <v>520</v>
      </c>
      <c r="AH8359" s="831" t="s">
        <v>90</v>
      </c>
      <c r="AI8359" s="831">
        <v>0</v>
      </c>
      <c r="AJ8359" s="835">
        <v>41729</v>
      </c>
      <c r="AK8359" s="831">
        <v>383083300</v>
      </c>
    </row>
    <row r="8360" spans="2:37">
      <c r="B8360" s="834" t="str">
        <f t="shared" si="339"/>
        <v>|||</v>
      </c>
      <c r="H8360" s="835">
        <f t="shared" si="340"/>
        <v>31</v>
      </c>
      <c r="AF8360" s="831" t="s">
        <v>9019</v>
      </c>
      <c r="AG8360" s="831" t="s">
        <v>520</v>
      </c>
      <c r="AH8360" s="831" t="s">
        <v>117</v>
      </c>
      <c r="AI8360" s="831">
        <v>0</v>
      </c>
      <c r="AJ8360" s="835">
        <v>41729</v>
      </c>
      <c r="AK8360" s="831">
        <v>8159540</v>
      </c>
    </row>
    <row r="8361" spans="2:37">
      <c r="B8361" s="834" t="str">
        <f t="shared" si="339"/>
        <v>|||</v>
      </c>
      <c r="H8361" s="835">
        <f t="shared" si="340"/>
        <v>31</v>
      </c>
      <c r="AF8361" s="831" t="s">
        <v>9020</v>
      </c>
      <c r="AG8361" s="831" t="s">
        <v>520</v>
      </c>
      <c r="AH8361" s="831" t="s">
        <v>525</v>
      </c>
      <c r="AI8361" s="831">
        <v>0</v>
      </c>
      <c r="AJ8361" s="835">
        <v>41729</v>
      </c>
      <c r="AK8361" s="831">
        <v>0</v>
      </c>
    </row>
    <row r="8362" spans="2:37">
      <c r="B8362" s="834" t="str">
        <f t="shared" si="339"/>
        <v>|||</v>
      </c>
      <c r="H8362" s="835">
        <f t="shared" si="340"/>
        <v>31</v>
      </c>
      <c r="AF8362" s="831" t="s">
        <v>9021</v>
      </c>
      <c r="AG8362" s="831" t="s">
        <v>520</v>
      </c>
      <c r="AH8362" s="831" t="s">
        <v>522</v>
      </c>
      <c r="AI8362" s="831">
        <v>0</v>
      </c>
      <c r="AJ8362" s="835">
        <v>41729</v>
      </c>
      <c r="AK8362" s="831">
        <v>0</v>
      </c>
    </row>
    <row r="8363" spans="2:37">
      <c r="B8363" s="834" t="str">
        <f t="shared" si="339"/>
        <v>|||</v>
      </c>
      <c r="H8363" s="835">
        <f t="shared" si="340"/>
        <v>31</v>
      </c>
      <c r="AF8363" s="831" t="s">
        <v>9022</v>
      </c>
      <c r="AG8363" s="831" t="s">
        <v>520</v>
      </c>
      <c r="AH8363" s="831" t="s">
        <v>523</v>
      </c>
      <c r="AI8363" s="831">
        <v>0</v>
      </c>
      <c r="AJ8363" s="835">
        <v>41729</v>
      </c>
      <c r="AK8363" s="831">
        <v>0</v>
      </c>
    </row>
    <row r="8364" spans="2:37">
      <c r="B8364" s="834" t="str">
        <f t="shared" si="339"/>
        <v>|||</v>
      </c>
      <c r="H8364" s="835">
        <f t="shared" si="340"/>
        <v>31</v>
      </c>
      <c r="AF8364" s="831" t="s">
        <v>9023</v>
      </c>
      <c r="AG8364" s="831" t="s">
        <v>520</v>
      </c>
      <c r="AH8364" s="831" t="s">
        <v>524</v>
      </c>
      <c r="AI8364" s="831">
        <v>0</v>
      </c>
      <c r="AJ8364" s="835">
        <v>41729</v>
      </c>
      <c r="AK8364" s="831">
        <v>0</v>
      </c>
    </row>
    <row r="8365" spans="2:37">
      <c r="B8365" s="834" t="str">
        <f t="shared" si="339"/>
        <v>|||</v>
      </c>
      <c r="H8365" s="835">
        <f t="shared" si="340"/>
        <v>31</v>
      </c>
      <c r="AF8365" s="831" t="s">
        <v>9024</v>
      </c>
      <c r="AG8365" s="831" t="s">
        <v>520</v>
      </c>
      <c r="AH8365" s="831" t="s">
        <v>521</v>
      </c>
      <c r="AI8365" s="831">
        <v>0</v>
      </c>
      <c r="AJ8365" s="835">
        <v>41729</v>
      </c>
      <c r="AK8365" s="831">
        <v>0</v>
      </c>
    </row>
    <row r="8366" spans="2:37">
      <c r="B8366" s="834" t="str">
        <f t="shared" si="339"/>
        <v>|||</v>
      </c>
      <c r="H8366" s="835">
        <f t="shared" si="340"/>
        <v>31</v>
      </c>
      <c r="AF8366" s="831" t="s">
        <v>9025</v>
      </c>
      <c r="AG8366" s="831" t="s">
        <v>520</v>
      </c>
      <c r="AH8366" s="831" t="s">
        <v>660</v>
      </c>
      <c r="AI8366" s="831">
        <v>0</v>
      </c>
      <c r="AJ8366" s="835">
        <v>41729</v>
      </c>
      <c r="AK8366" s="831">
        <v>0</v>
      </c>
    </row>
    <row r="8367" spans="2:37">
      <c r="B8367" s="834" t="str">
        <f t="shared" si="339"/>
        <v>|||</v>
      </c>
      <c r="H8367" s="835">
        <f t="shared" si="340"/>
        <v>31</v>
      </c>
      <c r="AF8367" s="831" t="s">
        <v>9026</v>
      </c>
      <c r="AG8367" s="831" t="s">
        <v>520</v>
      </c>
      <c r="AH8367" s="831" t="s">
        <v>661</v>
      </c>
      <c r="AI8367" s="831">
        <v>0</v>
      </c>
      <c r="AJ8367" s="835">
        <v>41729</v>
      </c>
      <c r="AK8367" s="831">
        <v>0</v>
      </c>
    </row>
    <row r="8368" spans="2:37">
      <c r="B8368" s="834" t="str">
        <f t="shared" si="339"/>
        <v>|||</v>
      </c>
      <c r="H8368" s="835">
        <f t="shared" si="340"/>
        <v>31</v>
      </c>
      <c r="AF8368" s="831" t="s">
        <v>9027</v>
      </c>
      <c r="AG8368" s="831" t="s">
        <v>520</v>
      </c>
      <c r="AH8368" s="831" t="s">
        <v>662</v>
      </c>
      <c r="AI8368" s="831">
        <v>0</v>
      </c>
      <c r="AJ8368" s="835">
        <v>41729</v>
      </c>
      <c r="AK8368" s="831">
        <v>0</v>
      </c>
    </row>
    <row r="8369" spans="2:37">
      <c r="B8369" s="834" t="str">
        <f t="shared" si="339"/>
        <v>|||</v>
      </c>
      <c r="H8369" s="835">
        <f t="shared" si="340"/>
        <v>31</v>
      </c>
      <c r="AF8369" s="831" t="s">
        <v>9028</v>
      </c>
      <c r="AG8369" s="831" t="s">
        <v>520</v>
      </c>
      <c r="AH8369" s="831" t="s">
        <v>291</v>
      </c>
      <c r="AI8369" s="831">
        <v>0</v>
      </c>
      <c r="AJ8369" s="835">
        <v>41759</v>
      </c>
      <c r="AK8369" s="831">
        <v>14499130</v>
      </c>
    </row>
    <row r="8370" spans="2:37">
      <c r="B8370" s="834" t="str">
        <f t="shared" si="339"/>
        <v>|||</v>
      </c>
      <c r="H8370" s="835">
        <f t="shared" si="340"/>
        <v>31</v>
      </c>
      <c r="AF8370" s="831" t="s">
        <v>9029</v>
      </c>
      <c r="AG8370" s="831" t="s">
        <v>520</v>
      </c>
      <c r="AH8370" s="831" t="s">
        <v>519</v>
      </c>
      <c r="AI8370" s="831">
        <v>0</v>
      </c>
      <c r="AJ8370" s="835">
        <v>41759</v>
      </c>
      <c r="AK8370" s="831">
        <v>393472632</v>
      </c>
    </row>
    <row r="8371" spans="2:37">
      <c r="B8371" s="834" t="str">
        <f t="shared" si="339"/>
        <v>|||</v>
      </c>
      <c r="H8371" s="835">
        <f t="shared" si="340"/>
        <v>31</v>
      </c>
      <c r="AF8371" s="831" t="s">
        <v>9030</v>
      </c>
      <c r="AG8371" s="831" t="s">
        <v>520</v>
      </c>
      <c r="AH8371" s="831" t="s">
        <v>94</v>
      </c>
      <c r="AI8371" s="831">
        <v>0</v>
      </c>
      <c r="AJ8371" s="835">
        <v>41759</v>
      </c>
      <c r="AK8371" s="831">
        <v>57061674</v>
      </c>
    </row>
    <row r="8372" spans="2:37">
      <c r="B8372" s="834" t="str">
        <f t="shared" si="339"/>
        <v>|||</v>
      </c>
      <c r="H8372" s="835">
        <f t="shared" si="340"/>
        <v>31</v>
      </c>
      <c r="AF8372" s="831" t="s">
        <v>9031</v>
      </c>
      <c r="AG8372" s="831" t="s">
        <v>520</v>
      </c>
      <c r="AH8372" s="831" t="s">
        <v>85</v>
      </c>
      <c r="AI8372" s="831">
        <v>0</v>
      </c>
      <c r="AJ8372" s="835">
        <v>41759</v>
      </c>
      <c r="AK8372" s="831">
        <v>88115730</v>
      </c>
    </row>
    <row r="8373" spans="2:37">
      <c r="B8373" s="834" t="str">
        <f t="shared" si="339"/>
        <v>|||</v>
      </c>
      <c r="H8373" s="835">
        <f t="shared" si="340"/>
        <v>31</v>
      </c>
      <c r="AF8373" s="831" t="s">
        <v>9032</v>
      </c>
      <c r="AG8373" s="831" t="s">
        <v>520</v>
      </c>
      <c r="AH8373" s="831" t="s">
        <v>90</v>
      </c>
      <c r="AI8373" s="831">
        <v>0</v>
      </c>
      <c r="AJ8373" s="835">
        <v>41759</v>
      </c>
      <c r="AK8373" s="831">
        <v>373671700</v>
      </c>
    </row>
    <row r="8374" spans="2:37">
      <c r="B8374" s="834" t="str">
        <f t="shared" si="339"/>
        <v>|||</v>
      </c>
      <c r="H8374" s="835">
        <f t="shared" si="340"/>
        <v>31</v>
      </c>
      <c r="AF8374" s="831" t="s">
        <v>9033</v>
      </c>
      <c r="AG8374" s="831" t="s">
        <v>520</v>
      </c>
      <c r="AH8374" s="831" t="s">
        <v>117</v>
      </c>
      <c r="AI8374" s="831">
        <v>0</v>
      </c>
      <c r="AJ8374" s="835">
        <v>41759</v>
      </c>
      <c r="AK8374" s="831">
        <v>9485020</v>
      </c>
    </row>
    <row r="8375" spans="2:37">
      <c r="B8375" s="834" t="str">
        <f t="shared" si="339"/>
        <v>|||</v>
      </c>
      <c r="H8375" s="835">
        <f t="shared" si="340"/>
        <v>31</v>
      </c>
      <c r="AF8375" s="831" t="s">
        <v>9034</v>
      </c>
      <c r="AG8375" s="831" t="s">
        <v>520</v>
      </c>
      <c r="AH8375" s="831" t="s">
        <v>525</v>
      </c>
      <c r="AI8375" s="831">
        <v>0</v>
      </c>
      <c r="AJ8375" s="835">
        <v>41759</v>
      </c>
      <c r="AK8375" s="831">
        <v>0</v>
      </c>
    </row>
    <row r="8376" spans="2:37">
      <c r="B8376" s="834" t="str">
        <f t="shared" si="339"/>
        <v>|||</v>
      </c>
      <c r="H8376" s="835">
        <f t="shared" si="340"/>
        <v>31</v>
      </c>
      <c r="AF8376" s="831" t="s">
        <v>9035</v>
      </c>
      <c r="AG8376" s="831" t="s">
        <v>520</v>
      </c>
      <c r="AH8376" s="831" t="s">
        <v>522</v>
      </c>
      <c r="AI8376" s="831">
        <v>0</v>
      </c>
      <c r="AJ8376" s="835">
        <v>41759</v>
      </c>
      <c r="AK8376" s="831">
        <v>0</v>
      </c>
    </row>
    <row r="8377" spans="2:37">
      <c r="B8377" s="834" t="str">
        <f t="shared" si="339"/>
        <v>|||</v>
      </c>
      <c r="H8377" s="835">
        <f t="shared" si="340"/>
        <v>31</v>
      </c>
      <c r="AF8377" s="831" t="s">
        <v>9036</v>
      </c>
      <c r="AG8377" s="831" t="s">
        <v>520</v>
      </c>
      <c r="AH8377" s="831" t="s">
        <v>523</v>
      </c>
      <c r="AI8377" s="831">
        <v>0</v>
      </c>
      <c r="AJ8377" s="835">
        <v>41759</v>
      </c>
      <c r="AK8377" s="831">
        <v>0</v>
      </c>
    </row>
    <row r="8378" spans="2:37">
      <c r="B8378" s="834" t="str">
        <f t="shared" si="339"/>
        <v>|||</v>
      </c>
      <c r="H8378" s="835">
        <f t="shared" si="340"/>
        <v>31</v>
      </c>
      <c r="AF8378" s="831" t="s">
        <v>9037</v>
      </c>
      <c r="AG8378" s="831" t="s">
        <v>520</v>
      </c>
      <c r="AH8378" s="831" t="s">
        <v>524</v>
      </c>
      <c r="AI8378" s="831">
        <v>0</v>
      </c>
      <c r="AJ8378" s="835">
        <v>41759</v>
      </c>
      <c r="AK8378" s="831">
        <v>0</v>
      </c>
    </row>
    <row r="8379" spans="2:37">
      <c r="B8379" s="834" t="str">
        <f t="shared" si="339"/>
        <v>|||</v>
      </c>
      <c r="H8379" s="835">
        <f t="shared" si="340"/>
        <v>31</v>
      </c>
      <c r="AF8379" s="831" t="s">
        <v>9038</v>
      </c>
      <c r="AG8379" s="831" t="s">
        <v>520</v>
      </c>
      <c r="AH8379" s="831" t="s">
        <v>521</v>
      </c>
      <c r="AI8379" s="831">
        <v>0</v>
      </c>
      <c r="AJ8379" s="835">
        <v>41759</v>
      </c>
      <c r="AK8379" s="831">
        <v>0</v>
      </c>
    </row>
    <row r="8380" spans="2:37">
      <c r="B8380" s="834" t="str">
        <f t="shared" si="339"/>
        <v>|||</v>
      </c>
      <c r="H8380" s="835">
        <f t="shared" si="340"/>
        <v>31</v>
      </c>
      <c r="AF8380" s="831" t="s">
        <v>9039</v>
      </c>
      <c r="AG8380" s="831" t="s">
        <v>520</v>
      </c>
      <c r="AH8380" s="831" t="s">
        <v>660</v>
      </c>
      <c r="AI8380" s="831">
        <v>0</v>
      </c>
      <c r="AJ8380" s="835">
        <v>41759</v>
      </c>
      <c r="AK8380" s="831">
        <v>0</v>
      </c>
    </row>
    <row r="8381" spans="2:37">
      <c r="B8381" s="834" t="str">
        <f t="shared" si="339"/>
        <v>|||</v>
      </c>
      <c r="H8381" s="835">
        <f t="shared" si="340"/>
        <v>31</v>
      </c>
      <c r="AF8381" s="831" t="s">
        <v>9040</v>
      </c>
      <c r="AG8381" s="831" t="s">
        <v>520</v>
      </c>
      <c r="AH8381" s="831" t="s">
        <v>661</v>
      </c>
      <c r="AI8381" s="831">
        <v>0</v>
      </c>
      <c r="AJ8381" s="835">
        <v>41759</v>
      </c>
      <c r="AK8381" s="831">
        <v>0</v>
      </c>
    </row>
    <row r="8382" spans="2:37">
      <c r="B8382" s="834" t="str">
        <f t="shared" si="339"/>
        <v>|||</v>
      </c>
      <c r="H8382" s="835">
        <f t="shared" si="340"/>
        <v>31</v>
      </c>
      <c r="AF8382" s="831" t="s">
        <v>9041</v>
      </c>
      <c r="AG8382" s="831" t="s">
        <v>520</v>
      </c>
      <c r="AH8382" s="831" t="s">
        <v>662</v>
      </c>
      <c r="AI8382" s="831">
        <v>0</v>
      </c>
      <c r="AJ8382" s="835">
        <v>41759</v>
      </c>
      <c r="AK8382" s="831">
        <v>0</v>
      </c>
    </row>
    <row r="8383" spans="2:37">
      <c r="B8383" s="834" t="str">
        <f t="shared" si="339"/>
        <v>|||</v>
      </c>
      <c r="H8383" s="835">
        <f t="shared" si="340"/>
        <v>31</v>
      </c>
      <c r="AF8383" s="831" t="s">
        <v>9042</v>
      </c>
      <c r="AG8383" s="831" t="s">
        <v>520</v>
      </c>
      <c r="AH8383" s="831" t="s">
        <v>291</v>
      </c>
      <c r="AI8383" s="831">
        <v>0</v>
      </c>
      <c r="AJ8383" s="835">
        <v>41790</v>
      </c>
      <c r="AK8383" s="831">
        <v>16231790</v>
      </c>
    </row>
    <row r="8384" spans="2:37">
      <c r="B8384" s="834" t="str">
        <f t="shared" si="339"/>
        <v>|||</v>
      </c>
      <c r="H8384" s="835">
        <f t="shared" si="340"/>
        <v>31</v>
      </c>
      <c r="AF8384" s="831" t="s">
        <v>9043</v>
      </c>
      <c r="AG8384" s="831" t="s">
        <v>520</v>
      </c>
      <c r="AH8384" s="831" t="s">
        <v>519</v>
      </c>
      <c r="AI8384" s="831">
        <v>0</v>
      </c>
      <c r="AJ8384" s="835">
        <v>41790</v>
      </c>
      <c r="AK8384" s="831">
        <v>402235719</v>
      </c>
    </row>
    <row r="8385" spans="2:37">
      <c r="B8385" s="834" t="str">
        <f t="shared" si="339"/>
        <v>|||</v>
      </c>
      <c r="H8385" s="835">
        <f t="shared" si="340"/>
        <v>31</v>
      </c>
      <c r="AF8385" s="831" t="s">
        <v>9044</v>
      </c>
      <c r="AG8385" s="831" t="s">
        <v>520</v>
      </c>
      <c r="AH8385" s="831" t="s">
        <v>94</v>
      </c>
      <c r="AI8385" s="831">
        <v>0</v>
      </c>
      <c r="AJ8385" s="835">
        <v>41790</v>
      </c>
      <c r="AK8385" s="831">
        <v>49692298</v>
      </c>
    </row>
    <row r="8386" spans="2:37">
      <c r="B8386" s="834" t="str">
        <f t="shared" si="339"/>
        <v>|||</v>
      </c>
      <c r="H8386" s="835">
        <f t="shared" si="340"/>
        <v>31</v>
      </c>
      <c r="AF8386" s="831" t="s">
        <v>9045</v>
      </c>
      <c r="AG8386" s="831" t="s">
        <v>520</v>
      </c>
      <c r="AH8386" s="831" t="s">
        <v>85</v>
      </c>
      <c r="AI8386" s="831">
        <v>0</v>
      </c>
      <c r="AJ8386" s="835">
        <v>41790</v>
      </c>
      <c r="AK8386" s="831">
        <v>89075330</v>
      </c>
    </row>
    <row r="8387" spans="2:37">
      <c r="B8387" s="834" t="str">
        <f t="shared" ref="B8387:B8450" si="341">C8387&amp;"|"&amp;D8387&amp;"|"&amp;E8387&amp;"|"&amp;F8387</f>
        <v>|||</v>
      </c>
      <c r="H8387" s="835">
        <f t="shared" si="340"/>
        <v>31</v>
      </c>
      <c r="AF8387" s="831" t="s">
        <v>9046</v>
      </c>
      <c r="AG8387" s="831" t="s">
        <v>520</v>
      </c>
      <c r="AH8387" s="831" t="s">
        <v>90</v>
      </c>
      <c r="AI8387" s="831">
        <v>0</v>
      </c>
      <c r="AJ8387" s="835">
        <v>41790</v>
      </c>
      <c r="AK8387" s="831">
        <v>376799510</v>
      </c>
    </row>
    <row r="8388" spans="2:37">
      <c r="B8388" s="834" t="str">
        <f t="shared" si="341"/>
        <v>|||</v>
      </c>
      <c r="H8388" s="835">
        <f t="shared" ref="H8388:H8451" si="342">EOMONTH(L8388,0)</f>
        <v>31</v>
      </c>
      <c r="AF8388" s="831" t="s">
        <v>9047</v>
      </c>
      <c r="AG8388" s="831" t="s">
        <v>520</v>
      </c>
      <c r="AH8388" s="831" t="s">
        <v>117</v>
      </c>
      <c r="AI8388" s="831">
        <v>0</v>
      </c>
      <c r="AJ8388" s="835">
        <v>41790</v>
      </c>
      <c r="AK8388" s="831">
        <v>10291060</v>
      </c>
    </row>
    <row r="8389" spans="2:37">
      <c r="B8389" s="834" t="str">
        <f t="shared" si="341"/>
        <v>|||</v>
      </c>
      <c r="H8389" s="835">
        <f t="shared" si="342"/>
        <v>31</v>
      </c>
      <c r="AF8389" s="831" t="s">
        <v>9048</v>
      </c>
      <c r="AG8389" s="831" t="s">
        <v>520</v>
      </c>
      <c r="AH8389" s="831" t="s">
        <v>525</v>
      </c>
      <c r="AI8389" s="831">
        <v>0</v>
      </c>
      <c r="AJ8389" s="835">
        <v>41790</v>
      </c>
      <c r="AK8389" s="831">
        <v>0</v>
      </c>
    </row>
    <row r="8390" spans="2:37">
      <c r="B8390" s="834" t="str">
        <f t="shared" si="341"/>
        <v>|||</v>
      </c>
      <c r="H8390" s="835">
        <f t="shared" si="342"/>
        <v>31</v>
      </c>
      <c r="AF8390" s="831" t="s">
        <v>9049</v>
      </c>
      <c r="AG8390" s="831" t="s">
        <v>520</v>
      </c>
      <c r="AH8390" s="831" t="s">
        <v>522</v>
      </c>
      <c r="AI8390" s="831">
        <v>0</v>
      </c>
      <c r="AJ8390" s="835">
        <v>41790</v>
      </c>
      <c r="AK8390" s="831">
        <v>0</v>
      </c>
    </row>
    <row r="8391" spans="2:37">
      <c r="B8391" s="834" t="str">
        <f t="shared" si="341"/>
        <v>|||</v>
      </c>
      <c r="H8391" s="835">
        <f t="shared" si="342"/>
        <v>31</v>
      </c>
      <c r="AF8391" s="831" t="s">
        <v>9050</v>
      </c>
      <c r="AG8391" s="831" t="s">
        <v>520</v>
      </c>
      <c r="AH8391" s="831" t="s">
        <v>523</v>
      </c>
      <c r="AI8391" s="831">
        <v>0</v>
      </c>
      <c r="AJ8391" s="835">
        <v>41790</v>
      </c>
      <c r="AK8391" s="831">
        <v>0</v>
      </c>
    </row>
    <row r="8392" spans="2:37">
      <c r="B8392" s="834" t="str">
        <f t="shared" si="341"/>
        <v>|||</v>
      </c>
      <c r="H8392" s="835">
        <f t="shared" si="342"/>
        <v>31</v>
      </c>
      <c r="AF8392" s="831" t="s">
        <v>9051</v>
      </c>
      <c r="AG8392" s="831" t="s">
        <v>520</v>
      </c>
      <c r="AH8392" s="831" t="s">
        <v>524</v>
      </c>
      <c r="AI8392" s="831">
        <v>0</v>
      </c>
      <c r="AJ8392" s="835">
        <v>41790</v>
      </c>
      <c r="AK8392" s="831">
        <v>0</v>
      </c>
    </row>
    <row r="8393" spans="2:37">
      <c r="B8393" s="834" t="str">
        <f t="shared" si="341"/>
        <v>|||</v>
      </c>
      <c r="H8393" s="835">
        <f t="shared" si="342"/>
        <v>31</v>
      </c>
      <c r="AF8393" s="831" t="s">
        <v>9052</v>
      </c>
      <c r="AG8393" s="831" t="s">
        <v>520</v>
      </c>
      <c r="AH8393" s="831" t="s">
        <v>521</v>
      </c>
      <c r="AI8393" s="831">
        <v>0</v>
      </c>
      <c r="AJ8393" s="835">
        <v>41790</v>
      </c>
      <c r="AK8393" s="831">
        <v>0</v>
      </c>
    </row>
    <row r="8394" spans="2:37">
      <c r="B8394" s="834" t="str">
        <f t="shared" si="341"/>
        <v>|||</v>
      </c>
      <c r="H8394" s="835">
        <f t="shared" si="342"/>
        <v>31</v>
      </c>
      <c r="AF8394" s="831" t="s">
        <v>9053</v>
      </c>
      <c r="AG8394" s="831" t="s">
        <v>520</v>
      </c>
      <c r="AH8394" s="831" t="s">
        <v>660</v>
      </c>
      <c r="AI8394" s="831">
        <v>0</v>
      </c>
      <c r="AJ8394" s="835">
        <v>41790</v>
      </c>
      <c r="AK8394" s="831">
        <v>0</v>
      </c>
    </row>
    <row r="8395" spans="2:37">
      <c r="B8395" s="834" t="str">
        <f t="shared" si="341"/>
        <v>|||</v>
      </c>
      <c r="H8395" s="835">
        <f t="shared" si="342"/>
        <v>31</v>
      </c>
      <c r="AF8395" s="831" t="s">
        <v>9054</v>
      </c>
      <c r="AG8395" s="831" t="s">
        <v>520</v>
      </c>
      <c r="AH8395" s="831" t="s">
        <v>661</v>
      </c>
      <c r="AI8395" s="831">
        <v>0</v>
      </c>
      <c r="AJ8395" s="835">
        <v>41790</v>
      </c>
      <c r="AK8395" s="831">
        <v>0</v>
      </c>
    </row>
    <row r="8396" spans="2:37">
      <c r="B8396" s="834" t="str">
        <f t="shared" si="341"/>
        <v>|||</v>
      </c>
      <c r="H8396" s="835">
        <f t="shared" si="342"/>
        <v>31</v>
      </c>
      <c r="AF8396" s="831" t="s">
        <v>9055</v>
      </c>
      <c r="AG8396" s="831" t="s">
        <v>520</v>
      </c>
      <c r="AH8396" s="831" t="s">
        <v>662</v>
      </c>
      <c r="AI8396" s="831">
        <v>0</v>
      </c>
      <c r="AJ8396" s="835">
        <v>41790</v>
      </c>
      <c r="AK8396" s="831">
        <v>0</v>
      </c>
    </row>
    <row r="8397" spans="2:37">
      <c r="B8397" s="834" t="str">
        <f t="shared" si="341"/>
        <v>|||</v>
      </c>
      <c r="H8397" s="835">
        <f t="shared" si="342"/>
        <v>31</v>
      </c>
      <c r="AF8397" s="831" t="s">
        <v>9056</v>
      </c>
      <c r="AG8397" s="831" t="s">
        <v>520</v>
      </c>
      <c r="AH8397" s="831" t="s">
        <v>291</v>
      </c>
      <c r="AI8397" s="831">
        <v>0</v>
      </c>
      <c r="AJ8397" s="835">
        <v>41820</v>
      </c>
      <c r="AK8397" s="831">
        <v>20754920</v>
      </c>
    </row>
    <row r="8398" spans="2:37">
      <c r="B8398" s="834" t="str">
        <f t="shared" si="341"/>
        <v>|||</v>
      </c>
      <c r="H8398" s="835">
        <f t="shared" si="342"/>
        <v>31</v>
      </c>
      <c r="AF8398" s="831" t="s">
        <v>9057</v>
      </c>
      <c r="AG8398" s="831" t="s">
        <v>520</v>
      </c>
      <c r="AH8398" s="831" t="s">
        <v>519</v>
      </c>
      <c r="AI8398" s="831">
        <v>0</v>
      </c>
      <c r="AJ8398" s="835">
        <v>41820</v>
      </c>
      <c r="AK8398" s="831">
        <v>408792170</v>
      </c>
    </row>
    <row r="8399" spans="2:37">
      <c r="B8399" s="834" t="str">
        <f t="shared" si="341"/>
        <v>|||</v>
      </c>
      <c r="H8399" s="835">
        <f t="shared" si="342"/>
        <v>31</v>
      </c>
      <c r="AF8399" s="831" t="s">
        <v>9058</v>
      </c>
      <c r="AG8399" s="831" t="s">
        <v>520</v>
      </c>
      <c r="AH8399" s="831" t="s">
        <v>94</v>
      </c>
      <c r="AI8399" s="831">
        <v>0</v>
      </c>
      <c r="AJ8399" s="835">
        <v>41820</v>
      </c>
      <c r="AK8399" s="831">
        <v>77586452</v>
      </c>
    </row>
    <row r="8400" spans="2:37">
      <c r="B8400" s="834" t="str">
        <f t="shared" si="341"/>
        <v>|||</v>
      </c>
      <c r="H8400" s="835">
        <f t="shared" si="342"/>
        <v>31</v>
      </c>
      <c r="AF8400" s="831" t="s">
        <v>9059</v>
      </c>
      <c r="AG8400" s="831" t="s">
        <v>520</v>
      </c>
      <c r="AH8400" s="831" t="s">
        <v>85</v>
      </c>
      <c r="AI8400" s="831">
        <v>0</v>
      </c>
      <c r="AJ8400" s="835">
        <v>41820</v>
      </c>
      <c r="AK8400" s="831">
        <v>91861280</v>
      </c>
    </row>
    <row r="8401" spans="2:37">
      <c r="B8401" s="834" t="str">
        <f t="shared" si="341"/>
        <v>|||</v>
      </c>
      <c r="H8401" s="835">
        <f t="shared" si="342"/>
        <v>31</v>
      </c>
      <c r="AF8401" s="831" t="s">
        <v>9060</v>
      </c>
      <c r="AG8401" s="831" t="s">
        <v>520</v>
      </c>
      <c r="AH8401" s="831" t="s">
        <v>90</v>
      </c>
      <c r="AI8401" s="831">
        <v>0</v>
      </c>
      <c r="AJ8401" s="835">
        <v>41820</v>
      </c>
      <c r="AK8401" s="831">
        <v>418287130</v>
      </c>
    </row>
    <row r="8402" spans="2:37">
      <c r="B8402" s="834" t="str">
        <f t="shared" si="341"/>
        <v>|||</v>
      </c>
      <c r="H8402" s="835">
        <f t="shared" si="342"/>
        <v>31</v>
      </c>
      <c r="AF8402" s="831" t="s">
        <v>9061</v>
      </c>
      <c r="AG8402" s="831" t="s">
        <v>520</v>
      </c>
      <c r="AH8402" s="831" t="s">
        <v>117</v>
      </c>
      <c r="AI8402" s="831">
        <v>0</v>
      </c>
      <c r="AJ8402" s="835">
        <v>41820</v>
      </c>
      <c r="AK8402" s="831">
        <v>8871160</v>
      </c>
    </row>
    <row r="8403" spans="2:37">
      <c r="B8403" s="834" t="str">
        <f t="shared" si="341"/>
        <v>|||</v>
      </c>
      <c r="H8403" s="835">
        <f t="shared" si="342"/>
        <v>31</v>
      </c>
      <c r="AF8403" s="831" t="s">
        <v>9062</v>
      </c>
      <c r="AG8403" s="831" t="s">
        <v>520</v>
      </c>
      <c r="AH8403" s="831" t="s">
        <v>525</v>
      </c>
      <c r="AI8403" s="831">
        <v>0</v>
      </c>
      <c r="AJ8403" s="835">
        <v>41820</v>
      </c>
      <c r="AK8403" s="831">
        <v>0</v>
      </c>
    </row>
    <row r="8404" spans="2:37">
      <c r="B8404" s="834" t="str">
        <f t="shared" si="341"/>
        <v>|||</v>
      </c>
      <c r="H8404" s="835">
        <f t="shared" si="342"/>
        <v>31</v>
      </c>
      <c r="AF8404" s="831" t="s">
        <v>9063</v>
      </c>
      <c r="AG8404" s="831" t="s">
        <v>520</v>
      </c>
      <c r="AH8404" s="831" t="s">
        <v>522</v>
      </c>
      <c r="AI8404" s="831">
        <v>0</v>
      </c>
      <c r="AJ8404" s="835">
        <v>41820</v>
      </c>
      <c r="AK8404" s="831">
        <v>0</v>
      </c>
    </row>
    <row r="8405" spans="2:37">
      <c r="B8405" s="834" t="str">
        <f t="shared" si="341"/>
        <v>|||</v>
      </c>
      <c r="H8405" s="835">
        <f t="shared" si="342"/>
        <v>31</v>
      </c>
      <c r="AF8405" s="831" t="s">
        <v>9064</v>
      </c>
      <c r="AG8405" s="831" t="s">
        <v>520</v>
      </c>
      <c r="AH8405" s="831" t="s">
        <v>523</v>
      </c>
      <c r="AI8405" s="831">
        <v>0</v>
      </c>
      <c r="AJ8405" s="835">
        <v>41820</v>
      </c>
      <c r="AK8405" s="831">
        <v>0</v>
      </c>
    </row>
    <row r="8406" spans="2:37">
      <c r="B8406" s="834" t="str">
        <f t="shared" si="341"/>
        <v>|||</v>
      </c>
      <c r="H8406" s="835">
        <f t="shared" si="342"/>
        <v>31</v>
      </c>
      <c r="AF8406" s="831" t="s">
        <v>9065</v>
      </c>
      <c r="AG8406" s="831" t="s">
        <v>520</v>
      </c>
      <c r="AH8406" s="831" t="s">
        <v>524</v>
      </c>
      <c r="AI8406" s="831">
        <v>0</v>
      </c>
      <c r="AJ8406" s="835">
        <v>41820</v>
      </c>
      <c r="AK8406" s="831">
        <v>0</v>
      </c>
    </row>
    <row r="8407" spans="2:37">
      <c r="B8407" s="834" t="str">
        <f t="shared" si="341"/>
        <v>|||</v>
      </c>
      <c r="H8407" s="835">
        <f t="shared" si="342"/>
        <v>31</v>
      </c>
      <c r="AF8407" s="831" t="s">
        <v>9066</v>
      </c>
      <c r="AG8407" s="831" t="s">
        <v>520</v>
      </c>
      <c r="AH8407" s="831" t="s">
        <v>521</v>
      </c>
      <c r="AI8407" s="831">
        <v>0</v>
      </c>
      <c r="AJ8407" s="835">
        <v>41820</v>
      </c>
      <c r="AK8407" s="831">
        <v>0</v>
      </c>
    </row>
    <row r="8408" spans="2:37">
      <c r="B8408" s="834" t="str">
        <f t="shared" si="341"/>
        <v>|||</v>
      </c>
      <c r="H8408" s="835">
        <f t="shared" si="342"/>
        <v>31</v>
      </c>
      <c r="AF8408" s="831" t="s">
        <v>9067</v>
      </c>
      <c r="AG8408" s="831" t="s">
        <v>520</v>
      </c>
      <c r="AH8408" s="831" t="s">
        <v>660</v>
      </c>
      <c r="AI8408" s="831">
        <v>0</v>
      </c>
      <c r="AJ8408" s="835">
        <v>41820</v>
      </c>
      <c r="AK8408" s="831">
        <v>0</v>
      </c>
    </row>
    <row r="8409" spans="2:37">
      <c r="B8409" s="834" t="str">
        <f t="shared" si="341"/>
        <v>|||</v>
      </c>
      <c r="H8409" s="835">
        <f t="shared" si="342"/>
        <v>31</v>
      </c>
      <c r="AF8409" s="831" t="s">
        <v>9068</v>
      </c>
      <c r="AG8409" s="831" t="s">
        <v>520</v>
      </c>
      <c r="AH8409" s="831" t="s">
        <v>661</v>
      </c>
      <c r="AI8409" s="831">
        <v>0</v>
      </c>
      <c r="AJ8409" s="835">
        <v>41820</v>
      </c>
      <c r="AK8409" s="831">
        <v>0</v>
      </c>
    </row>
    <row r="8410" spans="2:37">
      <c r="B8410" s="834" t="str">
        <f t="shared" si="341"/>
        <v>|||</v>
      </c>
      <c r="H8410" s="835">
        <f t="shared" si="342"/>
        <v>31</v>
      </c>
      <c r="AF8410" s="831" t="s">
        <v>9069</v>
      </c>
      <c r="AG8410" s="831" t="s">
        <v>520</v>
      </c>
      <c r="AH8410" s="831" t="s">
        <v>662</v>
      </c>
      <c r="AI8410" s="831">
        <v>0</v>
      </c>
      <c r="AJ8410" s="835">
        <v>41820</v>
      </c>
      <c r="AK8410" s="831">
        <v>0</v>
      </c>
    </row>
    <row r="8411" spans="2:37">
      <c r="B8411" s="834" t="str">
        <f t="shared" si="341"/>
        <v>|||</v>
      </c>
      <c r="H8411" s="835">
        <f t="shared" si="342"/>
        <v>31</v>
      </c>
      <c r="AF8411" s="831" t="s">
        <v>9070</v>
      </c>
      <c r="AG8411" s="831" t="s">
        <v>520</v>
      </c>
      <c r="AH8411" s="831" t="s">
        <v>291</v>
      </c>
      <c r="AI8411" s="831">
        <v>0</v>
      </c>
      <c r="AJ8411" s="835">
        <v>41851</v>
      </c>
      <c r="AK8411" s="831">
        <v>18492290</v>
      </c>
    </row>
    <row r="8412" spans="2:37">
      <c r="B8412" s="834" t="str">
        <f t="shared" si="341"/>
        <v>|||</v>
      </c>
      <c r="H8412" s="835">
        <f t="shared" si="342"/>
        <v>31</v>
      </c>
      <c r="AF8412" s="831" t="s">
        <v>9071</v>
      </c>
      <c r="AG8412" s="831" t="s">
        <v>520</v>
      </c>
      <c r="AH8412" s="831" t="s">
        <v>519</v>
      </c>
      <c r="AI8412" s="831">
        <v>0</v>
      </c>
      <c r="AJ8412" s="835">
        <v>41851</v>
      </c>
      <c r="AK8412" s="831">
        <v>413735873</v>
      </c>
    </row>
    <row r="8413" spans="2:37">
      <c r="B8413" s="834" t="str">
        <f t="shared" si="341"/>
        <v>|||</v>
      </c>
      <c r="H8413" s="835">
        <f t="shared" si="342"/>
        <v>31</v>
      </c>
      <c r="AF8413" s="831" t="s">
        <v>9072</v>
      </c>
      <c r="AG8413" s="831" t="s">
        <v>520</v>
      </c>
      <c r="AH8413" s="831" t="s">
        <v>94</v>
      </c>
      <c r="AI8413" s="831">
        <v>0</v>
      </c>
      <c r="AJ8413" s="835">
        <v>41851</v>
      </c>
      <c r="AK8413" s="831">
        <v>95442287</v>
      </c>
    </row>
    <row r="8414" spans="2:37">
      <c r="B8414" s="834" t="str">
        <f t="shared" si="341"/>
        <v>|||</v>
      </c>
      <c r="H8414" s="835">
        <f t="shared" si="342"/>
        <v>31</v>
      </c>
      <c r="AF8414" s="831" t="s">
        <v>9073</v>
      </c>
      <c r="AG8414" s="831" t="s">
        <v>520</v>
      </c>
      <c r="AH8414" s="831" t="s">
        <v>85</v>
      </c>
      <c r="AI8414" s="831">
        <v>0</v>
      </c>
      <c r="AJ8414" s="835">
        <v>41851</v>
      </c>
      <c r="AK8414" s="831">
        <v>93031100</v>
      </c>
    </row>
    <row r="8415" spans="2:37">
      <c r="B8415" s="834" t="str">
        <f t="shared" si="341"/>
        <v>|||</v>
      </c>
      <c r="H8415" s="835">
        <f t="shared" si="342"/>
        <v>31</v>
      </c>
      <c r="AF8415" s="831" t="s">
        <v>9074</v>
      </c>
      <c r="AG8415" s="831" t="s">
        <v>520</v>
      </c>
      <c r="AH8415" s="831" t="s">
        <v>90</v>
      </c>
      <c r="AI8415" s="831">
        <v>0</v>
      </c>
      <c r="AJ8415" s="835">
        <v>41851</v>
      </c>
      <c r="AK8415" s="831">
        <v>437838800</v>
      </c>
    </row>
    <row r="8416" spans="2:37">
      <c r="B8416" s="834" t="str">
        <f t="shared" si="341"/>
        <v>|||</v>
      </c>
      <c r="H8416" s="835">
        <f t="shared" si="342"/>
        <v>31</v>
      </c>
      <c r="AF8416" s="831" t="s">
        <v>9075</v>
      </c>
      <c r="AG8416" s="831" t="s">
        <v>520</v>
      </c>
      <c r="AH8416" s="831" t="s">
        <v>117</v>
      </c>
      <c r="AI8416" s="831">
        <v>0</v>
      </c>
      <c r="AJ8416" s="835">
        <v>41851</v>
      </c>
      <c r="AK8416" s="831">
        <v>9180930</v>
      </c>
    </row>
    <row r="8417" spans="2:37">
      <c r="B8417" s="834" t="str">
        <f t="shared" si="341"/>
        <v>|||</v>
      </c>
      <c r="H8417" s="835">
        <f t="shared" si="342"/>
        <v>31</v>
      </c>
      <c r="AF8417" s="831" t="s">
        <v>9076</v>
      </c>
      <c r="AG8417" s="831" t="s">
        <v>520</v>
      </c>
      <c r="AH8417" s="831" t="s">
        <v>525</v>
      </c>
      <c r="AI8417" s="831">
        <v>0</v>
      </c>
      <c r="AJ8417" s="835">
        <v>41851</v>
      </c>
      <c r="AK8417" s="831">
        <v>0</v>
      </c>
    </row>
    <row r="8418" spans="2:37">
      <c r="B8418" s="834" t="str">
        <f t="shared" si="341"/>
        <v>|||</v>
      </c>
      <c r="H8418" s="835">
        <f t="shared" si="342"/>
        <v>31</v>
      </c>
      <c r="AF8418" s="831" t="s">
        <v>9077</v>
      </c>
      <c r="AG8418" s="831" t="s">
        <v>520</v>
      </c>
      <c r="AH8418" s="831" t="s">
        <v>522</v>
      </c>
      <c r="AI8418" s="831">
        <v>0</v>
      </c>
      <c r="AJ8418" s="835">
        <v>41851</v>
      </c>
      <c r="AK8418" s="831">
        <v>0</v>
      </c>
    </row>
    <row r="8419" spans="2:37">
      <c r="B8419" s="834" t="str">
        <f t="shared" si="341"/>
        <v>|||</v>
      </c>
      <c r="H8419" s="835">
        <f t="shared" si="342"/>
        <v>31</v>
      </c>
      <c r="AF8419" s="831" t="s">
        <v>9078</v>
      </c>
      <c r="AG8419" s="831" t="s">
        <v>520</v>
      </c>
      <c r="AH8419" s="831" t="s">
        <v>523</v>
      </c>
      <c r="AI8419" s="831">
        <v>0</v>
      </c>
      <c r="AJ8419" s="835">
        <v>41851</v>
      </c>
      <c r="AK8419" s="831">
        <v>0</v>
      </c>
    </row>
    <row r="8420" spans="2:37">
      <c r="B8420" s="834" t="str">
        <f t="shared" si="341"/>
        <v>|||</v>
      </c>
      <c r="H8420" s="835">
        <f t="shared" si="342"/>
        <v>31</v>
      </c>
      <c r="AF8420" s="831" t="s">
        <v>9079</v>
      </c>
      <c r="AG8420" s="831" t="s">
        <v>520</v>
      </c>
      <c r="AH8420" s="831" t="s">
        <v>524</v>
      </c>
      <c r="AI8420" s="831">
        <v>0</v>
      </c>
      <c r="AJ8420" s="835">
        <v>41851</v>
      </c>
      <c r="AK8420" s="831">
        <v>0</v>
      </c>
    </row>
    <row r="8421" spans="2:37">
      <c r="B8421" s="834" t="str">
        <f t="shared" si="341"/>
        <v>|||</v>
      </c>
      <c r="H8421" s="835">
        <f t="shared" si="342"/>
        <v>31</v>
      </c>
      <c r="AF8421" s="831" t="s">
        <v>9080</v>
      </c>
      <c r="AG8421" s="831" t="s">
        <v>520</v>
      </c>
      <c r="AH8421" s="831" t="s">
        <v>521</v>
      </c>
      <c r="AI8421" s="831">
        <v>0</v>
      </c>
      <c r="AJ8421" s="835">
        <v>41851</v>
      </c>
      <c r="AK8421" s="831">
        <v>0</v>
      </c>
    </row>
    <row r="8422" spans="2:37">
      <c r="B8422" s="834" t="str">
        <f t="shared" si="341"/>
        <v>|||</v>
      </c>
      <c r="H8422" s="835">
        <f t="shared" si="342"/>
        <v>31</v>
      </c>
      <c r="AF8422" s="831" t="s">
        <v>9081</v>
      </c>
      <c r="AG8422" s="831" t="s">
        <v>520</v>
      </c>
      <c r="AH8422" s="831" t="s">
        <v>660</v>
      </c>
      <c r="AI8422" s="831">
        <v>0</v>
      </c>
      <c r="AJ8422" s="835">
        <v>41851</v>
      </c>
      <c r="AK8422" s="831">
        <v>0</v>
      </c>
    </row>
    <row r="8423" spans="2:37">
      <c r="B8423" s="834" t="str">
        <f t="shared" si="341"/>
        <v>|||</v>
      </c>
      <c r="H8423" s="835">
        <f t="shared" si="342"/>
        <v>31</v>
      </c>
      <c r="AF8423" s="831" t="s">
        <v>9082</v>
      </c>
      <c r="AG8423" s="831" t="s">
        <v>520</v>
      </c>
      <c r="AH8423" s="831" t="s">
        <v>661</v>
      </c>
      <c r="AI8423" s="831">
        <v>0</v>
      </c>
      <c r="AJ8423" s="835">
        <v>41851</v>
      </c>
      <c r="AK8423" s="831">
        <v>0</v>
      </c>
    </row>
    <row r="8424" spans="2:37">
      <c r="B8424" s="834" t="str">
        <f t="shared" si="341"/>
        <v>|||</v>
      </c>
      <c r="H8424" s="835">
        <f t="shared" si="342"/>
        <v>31</v>
      </c>
      <c r="AF8424" s="831" t="s">
        <v>9083</v>
      </c>
      <c r="AG8424" s="831" t="s">
        <v>520</v>
      </c>
      <c r="AH8424" s="831" t="s">
        <v>662</v>
      </c>
      <c r="AI8424" s="831">
        <v>0</v>
      </c>
      <c r="AJ8424" s="835">
        <v>41851</v>
      </c>
      <c r="AK8424" s="831">
        <v>0</v>
      </c>
    </row>
    <row r="8425" spans="2:37">
      <c r="B8425" s="834" t="str">
        <f t="shared" si="341"/>
        <v>|||</v>
      </c>
      <c r="H8425" s="835">
        <f t="shared" si="342"/>
        <v>31</v>
      </c>
      <c r="AF8425" s="831" t="s">
        <v>9084</v>
      </c>
      <c r="AG8425" s="831" t="s">
        <v>520</v>
      </c>
      <c r="AH8425" s="831" t="s">
        <v>291</v>
      </c>
      <c r="AI8425" s="831">
        <v>0</v>
      </c>
      <c r="AJ8425" s="835">
        <v>41882</v>
      </c>
      <c r="AK8425" s="831">
        <v>22233880</v>
      </c>
    </row>
    <row r="8426" spans="2:37">
      <c r="B8426" s="834" t="str">
        <f t="shared" si="341"/>
        <v>|||</v>
      </c>
      <c r="H8426" s="835">
        <f t="shared" si="342"/>
        <v>31</v>
      </c>
      <c r="AF8426" s="831" t="s">
        <v>9085</v>
      </c>
      <c r="AG8426" s="831" t="s">
        <v>520</v>
      </c>
      <c r="AH8426" s="831" t="s">
        <v>519</v>
      </c>
      <c r="AI8426" s="831">
        <v>0</v>
      </c>
      <c r="AJ8426" s="835">
        <v>41882</v>
      </c>
      <c r="AK8426" s="831">
        <v>419377229</v>
      </c>
    </row>
    <row r="8427" spans="2:37">
      <c r="B8427" s="834" t="str">
        <f t="shared" si="341"/>
        <v>|||</v>
      </c>
      <c r="H8427" s="835">
        <f t="shared" si="342"/>
        <v>31</v>
      </c>
      <c r="AF8427" s="831" t="s">
        <v>9086</v>
      </c>
      <c r="AG8427" s="831" t="s">
        <v>520</v>
      </c>
      <c r="AH8427" s="831" t="s">
        <v>94</v>
      </c>
      <c r="AI8427" s="831">
        <v>0</v>
      </c>
      <c r="AJ8427" s="835">
        <v>41882</v>
      </c>
      <c r="AK8427" s="831">
        <v>91790022</v>
      </c>
    </row>
    <row r="8428" spans="2:37">
      <c r="B8428" s="834" t="str">
        <f t="shared" si="341"/>
        <v>|||</v>
      </c>
      <c r="H8428" s="835">
        <f t="shared" si="342"/>
        <v>31</v>
      </c>
      <c r="AF8428" s="831" t="s">
        <v>9087</v>
      </c>
      <c r="AG8428" s="831" t="s">
        <v>520</v>
      </c>
      <c r="AH8428" s="831" t="s">
        <v>85</v>
      </c>
      <c r="AI8428" s="831">
        <v>0</v>
      </c>
      <c r="AJ8428" s="835">
        <v>41882</v>
      </c>
      <c r="AK8428" s="831">
        <v>94342800</v>
      </c>
    </row>
    <row r="8429" spans="2:37">
      <c r="B8429" s="834" t="str">
        <f t="shared" si="341"/>
        <v>|||</v>
      </c>
      <c r="H8429" s="835">
        <f t="shared" si="342"/>
        <v>31</v>
      </c>
      <c r="AF8429" s="831" t="s">
        <v>9088</v>
      </c>
      <c r="AG8429" s="831" t="s">
        <v>520</v>
      </c>
      <c r="AH8429" s="831" t="s">
        <v>90</v>
      </c>
      <c r="AI8429" s="831">
        <v>0</v>
      </c>
      <c r="AJ8429" s="835">
        <v>41882</v>
      </c>
      <c r="AK8429" s="831">
        <v>437950460</v>
      </c>
    </row>
    <row r="8430" spans="2:37">
      <c r="B8430" s="834" t="str">
        <f t="shared" si="341"/>
        <v>|||</v>
      </c>
      <c r="H8430" s="835">
        <f t="shared" si="342"/>
        <v>31</v>
      </c>
      <c r="AF8430" s="831" t="s">
        <v>9089</v>
      </c>
      <c r="AG8430" s="831" t="s">
        <v>520</v>
      </c>
      <c r="AH8430" s="831" t="s">
        <v>117</v>
      </c>
      <c r="AI8430" s="831">
        <v>0</v>
      </c>
      <c r="AJ8430" s="835">
        <v>41882</v>
      </c>
      <c r="AK8430" s="831">
        <v>11130320</v>
      </c>
    </row>
    <row r="8431" spans="2:37">
      <c r="B8431" s="834" t="str">
        <f t="shared" si="341"/>
        <v>|||</v>
      </c>
      <c r="H8431" s="835">
        <f t="shared" si="342"/>
        <v>31</v>
      </c>
      <c r="AF8431" s="831" t="s">
        <v>9090</v>
      </c>
      <c r="AG8431" s="831" t="s">
        <v>520</v>
      </c>
      <c r="AH8431" s="831" t="s">
        <v>525</v>
      </c>
      <c r="AI8431" s="831">
        <v>0</v>
      </c>
      <c r="AJ8431" s="835">
        <v>41882</v>
      </c>
      <c r="AK8431" s="831">
        <v>0</v>
      </c>
    </row>
    <row r="8432" spans="2:37">
      <c r="B8432" s="834" t="str">
        <f t="shared" si="341"/>
        <v>|||</v>
      </c>
      <c r="H8432" s="835">
        <f t="shared" si="342"/>
        <v>31</v>
      </c>
      <c r="AF8432" s="831" t="s">
        <v>9091</v>
      </c>
      <c r="AG8432" s="831" t="s">
        <v>520</v>
      </c>
      <c r="AH8432" s="831" t="s">
        <v>522</v>
      </c>
      <c r="AI8432" s="831">
        <v>0</v>
      </c>
      <c r="AJ8432" s="835">
        <v>41882</v>
      </c>
      <c r="AK8432" s="831">
        <v>0</v>
      </c>
    </row>
    <row r="8433" spans="2:37">
      <c r="B8433" s="834" t="str">
        <f t="shared" si="341"/>
        <v>|||</v>
      </c>
      <c r="H8433" s="835">
        <f t="shared" si="342"/>
        <v>31</v>
      </c>
      <c r="AF8433" s="831" t="s">
        <v>9092</v>
      </c>
      <c r="AG8433" s="831" t="s">
        <v>520</v>
      </c>
      <c r="AH8433" s="831" t="s">
        <v>523</v>
      </c>
      <c r="AI8433" s="831">
        <v>0</v>
      </c>
      <c r="AJ8433" s="835">
        <v>41882</v>
      </c>
      <c r="AK8433" s="831">
        <v>0</v>
      </c>
    </row>
    <row r="8434" spans="2:37">
      <c r="B8434" s="834" t="str">
        <f t="shared" si="341"/>
        <v>|||</v>
      </c>
      <c r="H8434" s="835">
        <f t="shared" si="342"/>
        <v>31</v>
      </c>
      <c r="AF8434" s="831" t="s">
        <v>9093</v>
      </c>
      <c r="AG8434" s="831" t="s">
        <v>520</v>
      </c>
      <c r="AH8434" s="831" t="s">
        <v>524</v>
      </c>
      <c r="AI8434" s="831">
        <v>0</v>
      </c>
      <c r="AJ8434" s="835">
        <v>41882</v>
      </c>
      <c r="AK8434" s="831">
        <v>0</v>
      </c>
    </row>
    <row r="8435" spans="2:37">
      <c r="B8435" s="834" t="str">
        <f t="shared" si="341"/>
        <v>|||</v>
      </c>
      <c r="H8435" s="835">
        <f t="shared" si="342"/>
        <v>31</v>
      </c>
      <c r="AF8435" s="831" t="s">
        <v>9094</v>
      </c>
      <c r="AG8435" s="831" t="s">
        <v>520</v>
      </c>
      <c r="AH8435" s="831" t="s">
        <v>521</v>
      </c>
      <c r="AI8435" s="831">
        <v>0</v>
      </c>
      <c r="AJ8435" s="835">
        <v>41882</v>
      </c>
      <c r="AK8435" s="831">
        <v>0</v>
      </c>
    </row>
    <row r="8436" spans="2:37">
      <c r="B8436" s="834" t="str">
        <f t="shared" si="341"/>
        <v>|||</v>
      </c>
      <c r="H8436" s="835">
        <f t="shared" si="342"/>
        <v>31</v>
      </c>
      <c r="AF8436" s="831" t="s">
        <v>9095</v>
      </c>
      <c r="AG8436" s="831" t="s">
        <v>520</v>
      </c>
      <c r="AH8436" s="831" t="s">
        <v>660</v>
      </c>
      <c r="AI8436" s="831">
        <v>0</v>
      </c>
      <c r="AJ8436" s="835">
        <v>41882</v>
      </c>
      <c r="AK8436" s="831">
        <v>0</v>
      </c>
    </row>
    <row r="8437" spans="2:37">
      <c r="B8437" s="834" t="str">
        <f t="shared" si="341"/>
        <v>|||</v>
      </c>
      <c r="H8437" s="835">
        <f t="shared" si="342"/>
        <v>31</v>
      </c>
      <c r="AF8437" s="831" t="s">
        <v>9096</v>
      </c>
      <c r="AG8437" s="831" t="s">
        <v>520</v>
      </c>
      <c r="AH8437" s="831" t="s">
        <v>661</v>
      </c>
      <c r="AI8437" s="831">
        <v>0</v>
      </c>
      <c r="AJ8437" s="835">
        <v>41882</v>
      </c>
      <c r="AK8437" s="831">
        <v>0</v>
      </c>
    </row>
    <row r="8438" spans="2:37">
      <c r="B8438" s="834" t="str">
        <f t="shared" si="341"/>
        <v>|||</v>
      </c>
      <c r="H8438" s="835">
        <f t="shared" si="342"/>
        <v>31</v>
      </c>
      <c r="AF8438" s="831" t="s">
        <v>9097</v>
      </c>
      <c r="AG8438" s="831" t="s">
        <v>520</v>
      </c>
      <c r="AH8438" s="831" t="s">
        <v>662</v>
      </c>
      <c r="AI8438" s="831">
        <v>0</v>
      </c>
      <c r="AJ8438" s="835">
        <v>41882</v>
      </c>
      <c r="AK8438" s="831">
        <v>0</v>
      </c>
    </row>
    <row r="8439" spans="2:37">
      <c r="B8439" s="834" t="str">
        <f t="shared" si="341"/>
        <v>|||</v>
      </c>
      <c r="H8439" s="835">
        <f t="shared" si="342"/>
        <v>31</v>
      </c>
      <c r="AF8439" s="831" t="s">
        <v>9098</v>
      </c>
      <c r="AG8439" s="831" t="s">
        <v>520</v>
      </c>
      <c r="AH8439" s="831" t="s">
        <v>291</v>
      </c>
      <c r="AI8439" s="831">
        <v>0</v>
      </c>
      <c r="AJ8439" s="835">
        <v>41912</v>
      </c>
      <c r="AK8439" s="831">
        <v>21448640</v>
      </c>
    </row>
    <row r="8440" spans="2:37">
      <c r="B8440" s="834" t="str">
        <f t="shared" si="341"/>
        <v>|||</v>
      </c>
      <c r="H8440" s="835">
        <f t="shared" si="342"/>
        <v>31</v>
      </c>
      <c r="AF8440" s="831" t="s">
        <v>9099</v>
      </c>
      <c r="AG8440" s="831" t="s">
        <v>520</v>
      </c>
      <c r="AH8440" s="831" t="s">
        <v>519</v>
      </c>
      <c r="AI8440" s="831">
        <v>0</v>
      </c>
      <c r="AJ8440" s="835">
        <v>41912</v>
      </c>
      <c r="AK8440" s="831">
        <v>428216750</v>
      </c>
    </row>
    <row r="8441" spans="2:37">
      <c r="B8441" s="834" t="str">
        <f t="shared" si="341"/>
        <v>|||</v>
      </c>
      <c r="H8441" s="835">
        <f t="shared" si="342"/>
        <v>31</v>
      </c>
      <c r="AF8441" s="831" t="s">
        <v>9100</v>
      </c>
      <c r="AG8441" s="831" t="s">
        <v>520</v>
      </c>
      <c r="AH8441" s="831" t="s">
        <v>94</v>
      </c>
      <c r="AI8441" s="831">
        <v>0</v>
      </c>
      <c r="AJ8441" s="835">
        <v>41912</v>
      </c>
      <c r="AK8441" s="831">
        <v>78474949</v>
      </c>
    </row>
    <row r="8442" spans="2:37">
      <c r="B8442" s="834" t="str">
        <f t="shared" si="341"/>
        <v>|||</v>
      </c>
      <c r="H8442" s="835">
        <f t="shared" si="342"/>
        <v>31</v>
      </c>
      <c r="AF8442" s="831" t="s">
        <v>9101</v>
      </c>
      <c r="AG8442" s="831" t="s">
        <v>520</v>
      </c>
      <c r="AH8442" s="831" t="s">
        <v>85</v>
      </c>
      <c r="AI8442" s="831">
        <v>0</v>
      </c>
      <c r="AJ8442" s="835">
        <v>41912</v>
      </c>
      <c r="AK8442" s="831">
        <v>94700650</v>
      </c>
    </row>
    <row r="8443" spans="2:37">
      <c r="B8443" s="834" t="str">
        <f t="shared" si="341"/>
        <v>|||</v>
      </c>
      <c r="H8443" s="835">
        <f t="shared" si="342"/>
        <v>31</v>
      </c>
      <c r="AF8443" s="831" t="s">
        <v>9102</v>
      </c>
      <c r="AG8443" s="831" t="s">
        <v>520</v>
      </c>
      <c r="AH8443" s="831" t="s">
        <v>90</v>
      </c>
      <c r="AI8443" s="831">
        <v>0</v>
      </c>
      <c r="AJ8443" s="835">
        <v>41912</v>
      </c>
      <c r="AK8443" s="831">
        <v>431703480</v>
      </c>
    </row>
    <row r="8444" spans="2:37">
      <c r="B8444" s="834" t="str">
        <f t="shared" si="341"/>
        <v>|||</v>
      </c>
      <c r="H8444" s="835">
        <f t="shared" si="342"/>
        <v>31</v>
      </c>
      <c r="AF8444" s="831" t="s">
        <v>9103</v>
      </c>
      <c r="AG8444" s="831" t="s">
        <v>520</v>
      </c>
      <c r="AH8444" s="831" t="s">
        <v>117</v>
      </c>
      <c r="AI8444" s="831">
        <v>0</v>
      </c>
      <c r="AJ8444" s="835">
        <v>41912</v>
      </c>
      <c r="AK8444" s="831">
        <v>10337330</v>
      </c>
    </row>
    <row r="8445" spans="2:37">
      <c r="B8445" s="834" t="str">
        <f t="shared" si="341"/>
        <v>|||</v>
      </c>
      <c r="H8445" s="835">
        <f t="shared" si="342"/>
        <v>31</v>
      </c>
      <c r="AF8445" s="831" t="s">
        <v>9104</v>
      </c>
      <c r="AG8445" s="831" t="s">
        <v>520</v>
      </c>
      <c r="AH8445" s="831" t="s">
        <v>525</v>
      </c>
      <c r="AI8445" s="831">
        <v>0</v>
      </c>
      <c r="AJ8445" s="835">
        <v>41912</v>
      </c>
      <c r="AK8445" s="831">
        <v>0</v>
      </c>
    </row>
    <row r="8446" spans="2:37">
      <c r="B8446" s="834" t="str">
        <f t="shared" si="341"/>
        <v>|||</v>
      </c>
      <c r="H8446" s="835">
        <f t="shared" si="342"/>
        <v>31</v>
      </c>
      <c r="AF8446" s="831" t="s">
        <v>9105</v>
      </c>
      <c r="AG8446" s="831" t="s">
        <v>520</v>
      </c>
      <c r="AH8446" s="831" t="s">
        <v>522</v>
      </c>
      <c r="AI8446" s="831">
        <v>0</v>
      </c>
      <c r="AJ8446" s="835">
        <v>41912</v>
      </c>
      <c r="AK8446" s="831">
        <v>0</v>
      </c>
    </row>
    <row r="8447" spans="2:37">
      <c r="B8447" s="834" t="str">
        <f t="shared" si="341"/>
        <v>|||</v>
      </c>
      <c r="H8447" s="835">
        <f t="shared" si="342"/>
        <v>31</v>
      </c>
      <c r="AF8447" s="831" t="s">
        <v>9106</v>
      </c>
      <c r="AG8447" s="831" t="s">
        <v>520</v>
      </c>
      <c r="AH8447" s="831" t="s">
        <v>523</v>
      </c>
      <c r="AI8447" s="831">
        <v>0</v>
      </c>
      <c r="AJ8447" s="835">
        <v>41912</v>
      </c>
      <c r="AK8447" s="831">
        <v>0</v>
      </c>
    </row>
    <row r="8448" spans="2:37">
      <c r="B8448" s="834" t="str">
        <f t="shared" si="341"/>
        <v>|||</v>
      </c>
      <c r="H8448" s="835">
        <f t="shared" si="342"/>
        <v>31</v>
      </c>
      <c r="AF8448" s="831" t="s">
        <v>9107</v>
      </c>
      <c r="AG8448" s="831" t="s">
        <v>520</v>
      </c>
      <c r="AH8448" s="831" t="s">
        <v>524</v>
      </c>
      <c r="AI8448" s="831">
        <v>0</v>
      </c>
      <c r="AJ8448" s="835">
        <v>41912</v>
      </c>
      <c r="AK8448" s="831">
        <v>0</v>
      </c>
    </row>
    <row r="8449" spans="2:37">
      <c r="B8449" s="834" t="str">
        <f t="shared" si="341"/>
        <v>|||</v>
      </c>
      <c r="H8449" s="835">
        <f t="shared" si="342"/>
        <v>31</v>
      </c>
      <c r="AF8449" s="831" t="s">
        <v>9108</v>
      </c>
      <c r="AG8449" s="831" t="s">
        <v>520</v>
      </c>
      <c r="AH8449" s="831" t="s">
        <v>521</v>
      </c>
      <c r="AI8449" s="831">
        <v>0</v>
      </c>
      <c r="AJ8449" s="835">
        <v>41912</v>
      </c>
      <c r="AK8449" s="831">
        <v>0</v>
      </c>
    </row>
    <row r="8450" spans="2:37">
      <c r="B8450" s="834" t="str">
        <f t="shared" si="341"/>
        <v>|||</v>
      </c>
      <c r="H8450" s="835">
        <f t="shared" si="342"/>
        <v>31</v>
      </c>
      <c r="AF8450" s="831" t="s">
        <v>9109</v>
      </c>
      <c r="AG8450" s="831" t="s">
        <v>520</v>
      </c>
      <c r="AH8450" s="831" t="s">
        <v>660</v>
      </c>
      <c r="AI8450" s="831">
        <v>0</v>
      </c>
      <c r="AJ8450" s="835">
        <v>41912</v>
      </c>
      <c r="AK8450" s="831">
        <v>0</v>
      </c>
    </row>
    <row r="8451" spans="2:37">
      <c r="B8451" s="834" t="str">
        <f t="shared" ref="B8451:B8514" si="343">C8451&amp;"|"&amp;D8451&amp;"|"&amp;E8451&amp;"|"&amp;F8451</f>
        <v>|||</v>
      </c>
      <c r="H8451" s="835">
        <f t="shared" si="342"/>
        <v>31</v>
      </c>
      <c r="AF8451" s="831" t="s">
        <v>9110</v>
      </c>
      <c r="AG8451" s="831" t="s">
        <v>520</v>
      </c>
      <c r="AH8451" s="831" t="s">
        <v>661</v>
      </c>
      <c r="AI8451" s="831">
        <v>0</v>
      </c>
      <c r="AJ8451" s="835">
        <v>41912</v>
      </c>
      <c r="AK8451" s="831">
        <v>0</v>
      </c>
    </row>
    <row r="8452" spans="2:37">
      <c r="B8452" s="834" t="str">
        <f t="shared" si="343"/>
        <v>|||</v>
      </c>
      <c r="H8452" s="835">
        <f t="shared" ref="H8452:H8515" si="344">EOMONTH(L8452,0)</f>
        <v>31</v>
      </c>
      <c r="AF8452" s="831" t="s">
        <v>9111</v>
      </c>
      <c r="AG8452" s="831" t="s">
        <v>520</v>
      </c>
      <c r="AH8452" s="831" t="s">
        <v>662</v>
      </c>
      <c r="AI8452" s="831">
        <v>0</v>
      </c>
      <c r="AJ8452" s="835">
        <v>41912</v>
      </c>
      <c r="AK8452" s="831">
        <v>0</v>
      </c>
    </row>
    <row r="8453" spans="2:37">
      <c r="B8453" s="834" t="str">
        <f t="shared" si="343"/>
        <v>|||</v>
      </c>
      <c r="H8453" s="835">
        <f t="shared" si="344"/>
        <v>31</v>
      </c>
      <c r="AF8453" s="831" t="s">
        <v>9112</v>
      </c>
      <c r="AG8453" s="831" t="s">
        <v>520</v>
      </c>
      <c r="AH8453" s="831" t="s">
        <v>291</v>
      </c>
      <c r="AI8453" s="831">
        <v>0</v>
      </c>
      <c r="AJ8453" s="835">
        <v>41943</v>
      </c>
      <c r="AK8453" s="831">
        <v>20178740</v>
      </c>
    </row>
    <row r="8454" spans="2:37">
      <c r="B8454" s="834" t="str">
        <f t="shared" si="343"/>
        <v>|||</v>
      </c>
      <c r="H8454" s="835">
        <f t="shared" si="344"/>
        <v>31</v>
      </c>
      <c r="AF8454" s="831" t="s">
        <v>9113</v>
      </c>
      <c r="AG8454" s="831" t="s">
        <v>520</v>
      </c>
      <c r="AH8454" s="831" t="s">
        <v>519</v>
      </c>
      <c r="AI8454" s="831">
        <v>0</v>
      </c>
      <c r="AJ8454" s="835">
        <v>41943</v>
      </c>
      <c r="AK8454" s="831">
        <v>439703460</v>
      </c>
    </row>
    <row r="8455" spans="2:37">
      <c r="B8455" s="834" t="str">
        <f t="shared" si="343"/>
        <v>|||</v>
      </c>
      <c r="H8455" s="835">
        <f t="shared" si="344"/>
        <v>31</v>
      </c>
      <c r="AF8455" s="831" t="s">
        <v>9114</v>
      </c>
      <c r="AG8455" s="831" t="s">
        <v>520</v>
      </c>
      <c r="AH8455" s="831" t="s">
        <v>94</v>
      </c>
      <c r="AI8455" s="831">
        <v>0</v>
      </c>
      <c r="AJ8455" s="835">
        <v>41943</v>
      </c>
      <c r="AK8455" s="831">
        <v>101071509</v>
      </c>
    </row>
    <row r="8456" spans="2:37">
      <c r="B8456" s="834" t="str">
        <f t="shared" si="343"/>
        <v>|||</v>
      </c>
      <c r="H8456" s="835">
        <f t="shared" si="344"/>
        <v>31</v>
      </c>
      <c r="AF8456" s="831" t="s">
        <v>9115</v>
      </c>
      <c r="AG8456" s="831" t="s">
        <v>520</v>
      </c>
      <c r="AH8456" s="831" t="s">
        <v>85</v>
      </c>
      <c r="AI8456" s="831">
        <v>0</v>
      </c>
      <c r="AJ8456" s="835">
        <v>41943</v>
      </c>
      <c r="AK8456" s="831">
        <v>96210040</v>
      </c>
    </row>
    <row r="8457" spans="2:37">
      <c r="B8457" s="834" t="str">
        <f t="shared" si="343"/>
        <v>|||</v>
      </c>
      <c r="H8457" s="835">
        <f t="shared" si="344"/>
        <v>31</v>
      </c>
      <c r="AF8457" s="831" t="s">
        <v>9116</v>
      </c>
      <c r="AG8457" s="831" t="s">
        <v>520</v>
      </c>
      <c r="AH8457" s="831" t="s">
        <v>90</v>
      </c>
      <c r="AI8457" s="831">
        <v>0</v>
      </c>
      <c r="AJ8457" s="835">
        <v>41943</v>
      </c>
      <c r="AK8457" s="831">
        <v>464101510</v>
      </c>
    </row>
    <row r="8458" spans="2:37">
      <c r="B8458" s="834" t="str">
        <f t="shared" si="343"/>
        <v>|||</v>
      </c>
      <c r="H8458" s="835">
        <f t="shared" si="344"/>
        <v>31</v>
      </c>
      <c r="AF8458" s="831" t="s">
        <v>9117</v>
      </c>
      <c r="AG8458" s="831" t="s">
        <v>520</v>
      </c>
      <c r="AH8458" s="831" t="s">
        <v>117</v>
      </c>
      <c r="AI8458" s="831">
        <v>0</v>
      </c>
      <c r="AJ8458" s="835">
        <v>41943</v>
      </c>
      <c r="AK8458" s="831">
        <v>10707590</v>
      </c>
    </row>
    <row r="8459" spans="2:37">
      <c r="B8459" s="834" t="str">
        <f t="shared" si="343"/>
        <v>|||</v>
      </c>
      <c r="H8459" s="835">
        <f t="shared" si="344"/>
        <v>31</v>
      </c>
      <c r="AF8459" s="831" t="s">
        <v>9118</v>
      </c>
      <c r="AG8459" s="831" t="s">
        <v>520</v>
      </c>
      <c r="AH8459" s="831" t="s">
        <v>525</v>
      </c>
      <c r="AI8459" s="831">
        <v>0</v>
      </c>
      <c r="AJ8459" s="835">
        <v>41943</v>
      </c>
      <c r="AK8459" s="831">
        <v>0</v>
      </c>
    </row>
    <row r="8460" spans="2:37">
      <c r="B8460" s="834" t="str">
        <f t="shared" si="343"/>
        <v>|||</v>
      </c>
      <c r="H8460" s="835">
        <f t="shared" si="344"/>
        <v>31</v>
      </c>
      <c r="AF8460" s="831" t="s">
        <v>9119</v>
      </c>
      <c r="AG8460" s="831" t="s">
        <v>520</v>
      </c>
      <c r="AH8460" s="831" t="s">
        <v>522</v>
      </c>
      <c r="AI8460" s="831">
        <v>0</v>
      </c>
      <c r="AJ8460" s="835">
        <v>41943</v>
      </c>
      <c r="AK8460" s="831">
        <v>0</v>
      </c>
    </row>
    <row r="8461" spans="2:37">
      <c r="B8461" s="834" t="str">
        <f t="shared" si="343"/>
        <v>|||</v>
      </c>
      <c r="H8461" s="835">
        <f t="shared" si="344"/>
        <v>31</v>
      </c>
      <c r="AF8461" s="831" t="s">
        <v>9120</v>
      </c>
      <c r="AG8461" s="831" t="s">
        <v>520</v>
      </c>
      <c r="AH8461" s="831" t="s">
        <v>523</v>
      </c>
      <c r="AI8461" s="831">
        <v>0</v>
      </c>
      <c r="AJ8461" s="835">
        <v>41943</v>
      </c>
      <c r="AK8461" s="831">
        <v>0</v>
      </c>
    </row>
    <row r="8462" spans="2:37">
      <c r="B8462" s="834" t="str">
        <f t="shared" si="343"/>
        <v>|||</v>
      </c>
      <c r="H8462" s="835">
        <f t="shared" si="344"/>
        <v>31</v>
      </c>
      <c r="AF8462" s="831" t="s">
        <v>9121</v>
      </c>
      <c r="AG8462" s="831" t="s">
        <v>520</v>
      </c>
      <c r="AH8462" s="831" t="s">
        <v>524</v>
      </c>
      <c r="AI8462" s="831">
        <v>0</v>
      </c>
      <c r="AJ8462" s="835">
        <v>41943</v>
      </c>
      <c r="AK8462" s="831">
        <v>0</v>
      </c>
    </row>
    <row r="8463" spans="2:37">
      <c r="B8463" s="834" t="str">
        <f t="shared" si="343"/>
        <v>|||</v>
      </c>
      <c r="H8463" s="835">
        <f t="shared" si="344"/>
        <v>31</v>
      </c>
      <c r="AF8463" s="831" t="s">
        <v>9122</v>
      </c>
      <c r="AG8463" s="831" t="s">
        <v>520</v>
      </c>
      <c r="AH8463" s="831" t="s">
        <v>521</v>
      </c>
      <c r="AI8463" s="831">
        <v>0</v>
      </c>
      <c r="AJ8463" s="835">
        <v>41943</v>
      </c>
      <c r="AK8463" s="831">
        <v>0</v>
      </c>
    </row>
    <row r="8464" spans="2:37">
      <c r="B8464" s="834" t="str">
        <f t="shared" si="343"/>
        <v>|||</v>
      </c>
      <c r="H8464" s="835">
        <f t="shared" si="344"/>
        <v>31</v>
      </c>
      <c r="AF8464" s="831" t="s">
        <v>9123</v>
      </c>
      <c r="AG8464" s="831" t="s">
        <v>520</v>
      </c>
      <c r="AH8464" s="831" t="s">
        <v>660</v>
      </c>
      <c r="AI8464" s="831">
        <v>0</v>
      </c>
      <c r="AJ8464" s="835">
        <v>41943</v>
      </c>
      <c r="AK8464" s="831">
        <v>0</v>
      </c>
    </row>
    <row r="8465" spans="2:37">
      <c r="B8465" s="834" t="str">
        <f t="shared" si="343"/>
        <v>|||</v>
      </c>
      <c r="H8465" s="835">
        <f t="shared" si="344"/>
        <v>31</v>
      </c>
      <c r="AF8465" s="831" t="s">
        <v>9124</v>
      </c>
      <c r="AG8465" s="831" t="s">
        <v>520</v>
      </c>
      <c r="AH8465" s="831" t="s">
        <v>661</v>
      </c>
      <c r="AI8465" s="831">
        <v>0</v>
      </c>
      <c r="AJ8465" s="835">
        <v>41943</v>
      </c>
      <c r="AK8465" s="831">
        <v>0</v>
      </c>
    </row>
    <row r="8466" spans="2:37">
      <c r="B8466" s="834" t="str">
        <f t="shared" si="343"/>
        <v>|||</v>
      </c>
      <c r="H8466" s="835">
        <f t="shared" si="344"/>
        <v>31</v>
      </c>
      <c r="AF8466" s="831" t="s">
        <v>9125</v>
      </c>
      <c r="AG8466" s="831" t="s">
        <v>520</v>
      </c>
      <c r="AH8466" s="831" t="s">
        <v>662</v>
      </c>
      <c r="AI8466" s="831">
        <v>0</v>
      </c>
      <c r="AJ8466" s="835">
        <v>41943</v>
      </c>
      <c r="AK8466" s="831">
        <v>0</v>
      </c>
    </row>
    <row r="8467" spans="2:37">
      <c r="B8467" s="834" t="str">
        <f t="shared" si="343"/>
        <v>|||</v>
      </c>
      <c r="H8467" s="835">
        <f t="shared" si="344"/>
        <v>31</v>
      </c>
      <c r="AF8467" s="831" t="s">
        <v>9126</v>
      </c>
      <c r="AG8467" s="831" t="s">
        <v>520</v>
      </c>
      <c r="AH8467" s="831" t="s">
        <v>291</v>
      </c>
      <c r="AI8467" s="831">
        <v>0</v>
      </c>
      <c r="AJ8467" s="835">
        <v>41973</v>
      </c>
      <c r="AK8467" s="831">
        <v>20352620</v>
      </c>
    </row>
    <row r="8468" spans="2:37">
      <c r="B8468" s="834" t="str">
        <f t="shared" si="343"/>
        <v>|||</v>
      </c>
      <c r="H8468" s="835">
        <f t="shared" si="344"/>
        <v>31</v>
      </c>
      <c r="AF8468" s="831" t="s">
        <v>9127</v>
      </c>
      <c r="AG8468" s="831" t="s">
        <v>520</v>
      </c>
      <c r="AH8468" s="831" t="s">
        <v>519</v>
      </c>
      <c r="AI8468" s="831">
        <v>0</v>
      </c>
      <c r="AJ8468" s="835">
        <v>41973</v>
      </c>
      <c r="AK8468" s="831">
        <v>451109530</v>
      </c>
    </row>
    <row r="8469" spans="2:37">
      <c r="B8469" s="834" t="str">
        <f t="shared" si="343"/>
        <v>|||</v>
      </c>
      <c r="H8469" s="835">
        <f t="shared" si="344"/>
        <v>31</v>
      </c>
      <c r="AF8469" s="831" t="s">
        <v>9128</v>
      </c>
      <c r="AG8469" s="831" t="s">
        <v>520</v>
      </c>
      <c r="AH8469" s="831" t="s">
        <v>94</v>
      </c>
      <c r="AI8469" s="831">
        <v>0</v>
      </c>
      <c r="AJ8469" s="835">
        <v>41973</v>
      </c>
      <c r="AK8469" s="831">
        <v>88228998</v>
      </c>
    </row>
    <row r="8470" spans="2:37">
      <c r="B8470" s="834" t="str">
        <f t="shared" si="343"/>
        <v>|||</v>
      </c>
      <c r="H8470" s="835">
        <f t="shared" si="344"/>
        <v>31</v>
      </c>
      <c r="AF8470" s="831" t="s">
        <v>9129</v>
      </c>
      <c r="AG8470" s="831" t="s">
        <v>520</v>
      </c>
      <c r="AH8470" s="831" t="s">
        <v>85</v>
      </c>
      <c r="AI8470" s="831">
        <v>0</v>
      </c>
      <c r="AJ8470" s="835">
        <v>41973</v>
      </c>
      <c r="AK8470" s="831">
        <v>95566430</v>
      </c>
    </row>
    <row r="8471" spans="2:37">
      <c r="B8471" s="834" t="str">
        <f t="shared" si="343"/>
        <v>|||</v>
      </c>
      <c r="H8471" s="835">
        <f t="shared" si="344"/>
        <v>31</v>
      </c>
      <c r="AF8471" s="831" t="s">
        <v>9130</v>
      </c>
      <c r="AG8471" s="831" t="s">
        <v>520</v>
      </c>
      <c r="AH8471" s="831" t="s">
        <v>90</v>
      </c>
      <c r="AI8471" s="831">
        <v>0</v>
      </c>
      <c r="AJ8471" s="835">
        <v>41973</v>
      </c>
      <c r="AK8471" s="831">
        <v>455113060</v>
      </c>
    </row>
    <row r="8472" spans="2:37">
      <c r="B8472" s="834" t="str">
        <f t="shared" si="343"/>
        <v>|||</v>
      </c>
      <c r="H8472" s="835">
        <f t="shared" si="344"/>
        <v>31</v>
      </c>
      <c r="AF8472" s="831" t="s">
        <v>9131</v>
      </c>
      <c r="AG8472" s="831" t="s">
        <v>520</v>
      </c>
      <c r="AH8472" s="831" t="s">
        <v>117</v>
      </c>
      <c r="AI8472" s="831">
        <v>0</v>
      </c>
      <c r="AJ8472" s="835">
        <v>41973</v>
      </c>
      <c r="AK8472" s="831">
        <v>12080070</v>
      </c>
    </row>
    <row r="8473" spans="2:37">
      <c r="B8473" s="834" t="str">
        <f t="shared" si="343"/>
        <v>|||</v>
      </c>
      <c r="H8473" s="835">
        <f t="shared" si="344"/>
        <v>31</v>
      </c>
      <c r="AF8473" s="831" t="s">
        <v>9132</v>
      </c>
      <c r="AG8473" s="831" t="s">
        <v>520</v>
      </c>
      <c r="AH8473" s="831" t="s">
        <v>525</v>
      </c>
      <c r="AI8473" s="831">
        <v>0</v>
      </c>
      <c r="AJ8473" s="835">
        <v>41973</v>
      </c>
      <c r="AK8473" s="831">
        <v>0</v>
      </c>
    </row>
    <row r="8474" spans="2:37">
      <c r="B8474" s="834" t="str">
        <f t="shared" si="343"/>
        <v>|||</v>
      </c>
      <c r="H8474" s="835">
        <f t="shared" si="344"/>
        <v>31</v>
      </c>
      <c r="AF8474" s="831" t="s">
        <v>9133</v>
      </c>
      <c r="AG8474" s="831" t="s">
        <v>520</v>
      </c>
      <c r="AH8474" s="831" t="s">
        <v>522</v>
      </c>
      <c r="AI8474" s="831">
        <v>0</v>
      </c>
      <c r="AJ8474" s="835">
        <v>41973</v>
      </c>
      <c r="AK8474" s="831">
        <v>0</v>
      </c>
    </row>
    <row r="8475" spans="2:37">
      <c r="B8475" s="834" t="str">
        <f t="shared" si="343"/>
        <v>|||</v>
      </c>
      <c r="H8475" s="835">
        <f t="shared" si="344"/>
        <v>31</v>
      </c>
      <c r="AF8475" s="831" t="s">
        <v>9134</v>
      </c>
      <c r="AG8475" s="831" t="s">
        <v>520</v>
      </c>
      <c r="AH8475" s="831" t="s">
        <v>523</v>
      </c>
      <c r="AI8475" s="831">
        <v>0</v>
      </c>
      <c r="AJ8475" s="835">
        <v>41973</v>
      </c>
      <c r="AK8475" s="831">
        <v>0</v>
      </c>
    </row>
    <row r="8476" spans="2:37">
      <c r="B8476" s="834" t="str">
        <f t="shared" si="343"/>
        <v>|||</v>
      </c>
      <c r="H8476" s="835">
        <f t="shared" si="344"/>
        <v>31</v>
      </c>
      <c r="AF8476" s="831" t="s">
        <v>9135</v>
      </c>
      <c r="AG8476" s="831" t="s">
        <v>520</v>
      </c>
      <c r="AH8476" s="831" t="s">
        <v>524</v>
      </c>
      <c r="AI8476" s="831">
        <v>0</v>
      </c>
      <c r="AJ8476" s="835">
        <v>41973</v>
      </c>
      <c r="AK8476" s="831">
        <v>0</v>
      </c>
    </row>
    <row r="8477" spans="2:37">
      <c r="B8477" s="834" t="str">
        <f t="shared" si="343"/>
        <v>|||</v>
      </c>
      <c r="H8477" s="835">
        <f t="shared" si="344"/>
        <v>31</v>
      </c>
      <c r="AF8477" s="831" t="s">
        <v>9136</v>
      </c>
      <c r="AG8477" s="831" t="s">
        <v>520</v>
      </c>
      <c r="AH8477" s="831" t="s">
        <v>521</v>
      </c>
      <c r="AI8477" s="831">
        <v>0</v>
      </c>
      <c r="AJ8477" s="835">
        <v>41973</v>
      </c>
      <c r="AK8477" s="831">
        <v>0</v>
      </c>
    </row>
    <row r="8478" spans="2:37">
      <c r="B8478" s="834" t="str">
        <f t="shared" si="343"/>
        <v>|||</v>
      </c>
      <c r="H8478" s="835">
        <f t="shared" si="344"/>
        <v>31</v>
      </c>
      <c r="AF8478" s="831" t="s">
        <v>9137</v>
      </c>
      <c r="AG8478" s="831" t="s">
        <v>520</v>
      </c>
      <c r="AH8478" s="831" t="s">
        <v>660</v>
      </c>
      <c r="AI8478" s="831">
        <v>0</v>
      </c>
      <c r="AJ8478" s="835">
        <v>41973</v>
      </c>
      <c r="AK8478" s="831">
        <v>0</v>
      </c>
    </row>
    <row r="8479" spans="2:37">
      <c r="B8479" s="834" t="str">
        <f t="shared" si="343"/>
        <v>|||</v>
      </c>
      <c r="H8479" s="835">
        <f t="shared" si="344"/>
        <v>31</v>
      </c>
      <c r="AF8479" s="831" t="s">
        <v>9138</v>
      </c>
      <c r="AG8479" s="831" t="s">
        <v>520</v>
      </c>
      <c r="AH8479" s="831" t="s">
        <v>661</v>
      </c>
      <c r="AI8479" s="831">
        <v>0</v>
      </c>
      <c r="AJ8479" s="835">
        <v>41973</v>
      </c>
      <c r="AK8479" s="831">
        <v>0</v>
      </c>
    </row>
    <row r="8480" spans="2:37">
      <c r="B8480" s="834" t="str">
        <f t="shared" si="343"/>
        <v>|||</v>
      </c>
      <c r="H8480" s="835">
        <f t="shared" si="344"/>
        <v>31</v>
      </c>
      <c r="AF8480" s="831" t="s">
        <v>9139</v>
      </c>
      <c r="AG8480" s="831" t="s">
        <v>520</v>
      </c>
      <c r="AH8480" s="831" t="s">
        <v>662</v>
      </c>
      <c r="AI8480" s="831">
        <v>0</v>
      </c>
      <c r="AJ8480" s="835">
        <v>41973</v>
      </c>
      <c r="AK8480" s="831">
        <v>0</v>
      </c>
    </row>
    <row r="8481" spans="2:37">
      <c r="B8481" s="834" t="str">
        <f t="shared" si="343"/>
        <v>|||</v>
      </c>
      <c r="H8481" s="835">
        <f t="shared" si="344"/>
        <v>31</v>
      </c>
      <c r="AF8481" s="831" t="s">
        <v>9140</v>
      </c>
      <c r="AG8481" s="831" t="s">
        <v>520</v>
      </c>
      <c r="AH8481" s="831" t="s">
        <v>291</v>
      </c>
      <c r="AI8481" s="831">
        <v>0</v>
      </c>
      <c r="AJ8481" s="835">
        <v>42004</v>
      </c>
      <c r="AK8481" s="831">
        <v>17419720</v>
      </c>
    </row>
    <row r="8482" spans="2:37">
      <c r="B8482" s="834" t="str">
        <f t="shared" si="343"/>
        <v>|||</v>
      </c>
      <c r="H8482" s="835">
        <f t="shared" si="344"/>
        <v>31</v>
      </c>
      <c r="AF8482" s="831" t="s">
        <v>9141</v>
      </c>
      <c r="AG8482" s="831" t="s">
        <v>520</v>
      </c>
      <c r="AH8482" s="831" t="s">
        <v>519</v>
      </c>
      <c r="AI8482" s="831">
        <v>0</v>
      </c>
      <c r="AJ8482" s="835">
        <v>42004</v>
      </c>
      <c r="AK8482" s="831">
        <v>461222828</v>
      </c>
    </row>
    <row r="8483" spans="2:37">
      <c r="B8483" s="834" t="str">
        <f t="shared" si="343"/>
        <v>|||</v>
      </c>
      <c r="H8483" s="835">
        <f t="shared" si="344"/>
        <v>31</v>
      </c>
      <c r="AF8483" s="831" t="s">
        <v>9142</v>
      </c>
      <c r="AG8483" s="831" t="s">
        <v>520</v>
      </c>
      <c r="AH8483" s="831" t="s">
        <v>94</v>
      </c>
      <c r="AI8483" s="831">
        <v>0</v>
      </c>
      <c r="AJ8483" s="835">
        <v>42004</v>
      </c>
      <c r="AK8483" s="831">
        <v>114989376</v>
      </c>
    </row>
    <row r="8484" spans="2:37">
      <c r="B8484" s="834" t="str">
        <f t="shared" si="343"/>
        <v>|||</v>
      </c>
      <c r="H8484" s="835">
        <f t="shared" si="344"/>
        <v>31</v>
      </c>
      <c r="AF8484" s="831" t="s">
        <v>9143</v>
      </c>
      <c r="AG8484" s="831" t="s">
        <v>520</v>
      </c>
      <c r="AH8484" s="831" t="s">
        <v>85</v>
      </c>
      <c r="AI8484" s="831">
        <v>0</v>
      </c>
      <c r="AJ8484" s="835">
        <v>42004</v>
      </c>
      <c r="AK8484" s="831">
        <v>106156610</v>
      </c>
    </row>
    <row r="8485" spans="2:37">
      <c r="B8485" s="834" t="str">
        <f t="shared" si="343"/>
        <v>|||</v>
      </c>
      <c r="H8485" s="835">
        <f t="shared" si="344"/>
        <v>31</v>
      </c>
      <c r="AF8485" s="831" t="s">
        <v>9144</v>
      </c>
      <c r="AG8485" s="831" t="s">
        <v>520</v>
      </c>
      <c r="AH8485" s="831" t="s">
        <v>90</v>
      </c>
      <c r="AI8485" s="831">
        <v>0</v>
      </c>
      <c r="AJ8485" s="835">
        <v>42004</v>
      </c>
      <c r="AK8485" s="831">
        <v>492436670</v>
      </c>
    </row>
    <row r="8486" spans="2:37">
      <c r="B8486" s="834" t="str">
        <f t="shared" si="343"/>
        <v>|||</v>
      </c>
      <c r="H8486" s="835">
        <f t="shared" si="344"/>
        <v>31</v>
      </c>
      <c r="AF8486" s="831" t="s">
        <v>9145</v>
      </c>
      <c r="AG8486" s="831" t="s">
        <v>520</v>
      </c>
      <c r="AH8486" s="831" t="s">
        <v>117</v>
      </c>
      <c r="AI8486" s="831">
        <v>0</v>
      </c>
      <c r="AJ8486" s="835">
        <v>42004</v>
      </c>
      <c r="AK8486" s="831">
        <v>10530160</v>
      </c>
    </row>
    <row r="8487" spans="2:37">
      <c r="B8487" s="834" t="str">
        <f t="shared" si="343"/>
        <v>|||</v>
      </c>
      <c r="H8487" s="835">
        <f t="shared" si="344"/>
        <v>31</v>
      </c>
      <c r="AF8487" s="831" t="s">
        <v>9146</v>
      </c>
      <c r="AG8487" s="831" t="s">
        <v>520</v>
      </c>
      <c r="AH8487" s="831" t="s">
        <v>525</v>
      </c>
      <c r="AI8487" s="831">
        <v>0</v>
      </c>
      <c r="AJ8487" s="835">
        <v>42004</v>
      </c>
      <c r="AK8487" s="831">
        <v>0</v>
      </c>
    </row>
    <row r="8488" spans="2:37">
      <c r="B8488" s="834" t="str">
        <f t="shared" si="343"/>
        <v>|||</v>
      </c>
      <c r="H8488" s="835">
        <f t="shared" si="344"/>
        <v>31</v>
      </c>
      <c r="AF8488" s="831" t="s">
        <v>9147</v>
      </c>
      <c r="AG8488" s="831" t="s">
        <v>520</v>
      </c>
      <c r="AH8488" s="831" t="s">
        <v>522</v>
      </c>
      <c r="AI8488" s="831">
        <v>0</v>
      </c>
      <c r="AJ8488" s="835">
        <v>42004</v>
      </c>
      <c r="AK8488" s="831">
        <v>0</v>
      </c>
    </row>
    <row r="8489" spans="2:37">
      <c r="B8489" s="834" t="str">
        <f t="shared" si="343"/>
        <v>|||</v>
      </c>
      <c r="H8489" s="835">
        <f t="shared" si="344"/>
        <v>31</v>
      </c>
      <c r="AF8489" s="831" t="s">
        <v>9148</v>
      </c>
      <c r="AG8489" s="831" t="s">
        <v>520</v>
      </c>
      <c r="AH8489" s="831" t="s">
        <v>523</v>
      </c>
      <c r="AI8489" s="831">
        <v>0</v>
      </c>
      <c r="AJ8489" s="835">
        <v>42004</v>
      </c>
      <c r="AK8489" s="831">
        <v>0</v>
      </c>
    </row>
    <row r="8490" spans="2:37">
      <c r="B8490" s="834" t="str">
        <f t="shared" si="343"/>
        <v>|||</v>
      </c>
      <c r="H8490" s="835">
        <f t="shared" si="344"/>
        <v>31</v>
      </c>
      <c r="AF8490" s="831" t="s">
        <v>9149</v>
      </c>
      <c r="AG8490" s="831" t="s">
        <v>520</v>
      </c>
      <c r="AH8490" s="831" t="s">
        <v>524</v>
      </c>
      <c r="AI8490" s="831">
        <v>0</v>
      </c>
      <c r="AJ8490" s="835">
        <v>42004</v>
      </c>
      <c r="AK8490" s="831">
        <v>0</v>
      </c>
    </row>
    <row r="8491" spans="2:37">
      <c r="B8491" s="834" t="str">
        <f t="shared" si="343"/>
        <v>|||</v>
      </c>
      <c r="H8491" s="835">
        <f t="shared" si="344"/>
        <v>31</v>
      </c>
      <c r="AF8491" s="831" t="s">
        <v>9150</v>
      </c>
      <c r="AG8491" s="831" t="s">
        <v>520</v>
      </c>
      <c r="AH8491" s="831" t="s">
        <v>521</v>
      </c>
      <c r="AI8491" s="831">
        <v>0</v>
      </c>
      <c r="AJ8491" s="835">
        <v>42004</v>
      </c>
      <c r="AK8491" s="831">
        <v>0</v>
      </c>
    </row>
    <row r="8492" spans="2:37">
      <c r="B8492" s="834" t="str">
        <f t="shared" si="343"/>
        <v>|||</v>
      </c>
      <c r="H8492" s="835">
        <f t="shared" si="344"/>
        <v>31</v>
      </c>
      <c r="AF8492" s="831" t="s">
        <v>9151</v>
      </c>
      <c r="AG8492" s="831" t="s">
        <v>520</v>
      </c>
      <c r="AH8492" s="831" t="s">
        <v>660</v>
      </c>
      <c r="AI8492" s="831">
        <v>0</v>
      </c>
      <c r="AJ8492" s="835">
        <v>42004</v>
      </c>
      <c r="AK8492" s="831">
        <v>0</v>
      </c>
    </row>
    <row r="8493" spans="2:37">
      <c r="B8493" s="834" t="str">
        <f t="shared" si="343"/>
        <v>|||</v>
      </c>
      <c r="H8493" s="835">
        <f t="shared" si="344"/>
        <v>31</v>
      </c>
      <c r="AF8493" s="831" t="s">
        <v>9152</v>
      </c>
      <c r="AG8493" s="831" t="s">
        <v>520</v>
      </c>
      <c r="AH8493" s="831" t="s">
        <v>661</v>
      </c>
      <c r="AI8493" s="831">
        <v>0</v>
      </c>
      <c r="AJ8493" s="835">
        <v>42004</v>
      </c>
      <c r="AK8493" s="831">
        <v>0</v>
      </c>
    </row>
    <row r="8494" spans="2:37">
      <c r="B8494" s="834" t="str">
        <f t="shared" si="343"/>
        <v>|||</v>
      </c>
      <c r="H8494" s="835">
        <f t="shared" si="344"/>
        <v>31</v>
      </c>
      <c r="AF8494" s="831" t="s">
        <v>9153</v>
      </c>
      <c r="AG8494" s="831" t="s">
        <v>520</v>
      </c>
      <c r="AH8494" s="831" t="s">
        <v>662</v>
      </c>
      <c r="AI8494" s="831">
        <v>0</v>
      </c>
      <c r="AJ8494" s="835">
        <v>42004</v>
      </c>
      <c r="AK8494" s="831">
        <v>0</v>
      </c>
    </row>
    <row r="8495" spans="2:37">
      <c r="B8495" s="834" t="str">
        <f t="shared" si="343"/>
        <v>|||</v>
      </c>
      <c r="H8495" s="835">
        <f t="shared" si="344"/>
        <v>31</v>
      </c>
      <c r="AF8495" s="831" t="s">
        <v>9154</v>
      </c>
      <c r="AG8495" s="831" t="s">
        <v>131</v>
      </c>
      <c r="AH8495" s="831" t="s">
        <v>138</v>
      </c>
      <c r="AI8495" s="831">
        <v>0</v>
      </c>
      <c r="AJ8495" s="835">
        <v>41670</v>
      </c>
      <c r="AK8495" s="831">
        <v>12427097</v>
      </c>
    </row>
    <row r="8496" spans="2:37">
      <c r="B8496" s="834" t="str">
        <f t="shared" si="343"/>
        <v>|||</v>
      </c>
      <c r="H8496" s="835">
        <f t="shared" si="344"/>
        <v>31</v>
      </c>
      <c r="AF8496" s="831" t="s">
        <v>9155</v>
      </c>
      <c r="AG8496" s="831" t="s">
        <v>131</v>
      </c>
      <c r="AH8496" s="831" t="s">
        <v>141</v>
      </c>
      <c r="AI8496" s="831">
        <v>0</v>
      </c>
      <c r="AJ8496" s="835">
        <v>41670</v>
      </c>
      <c r="AK8496" s="831">
        <v>841691</v>
      </c>
    </row>
    <row r="8497" spans="2:37">
      <c r="B8497" s="834" t="str">
        <f t="shared" si="343"/>
        <v>|||</v>
      </c>
      <c r="H8497" s="835">
        <f t="shared" si="344"/>
        <v>31</v>
      </c>
      <c r="AF8497" s="831" t="s">
        <v>9156</v>
      </c>
      <c r="AG8497" s="831" t="s">
        <v>131</v>
      </c>
      <c r="AH8497" s="831" t="s">
        <v>146</v>
      </c>
      <c r="AI8497" s="831">
        <v>0</v>
      </c>
      <c r="AJ8497" s="835">
        <v>41670</v>
      </c>
      <c r="AK8497" s="831">
        <v>-2062543</v>
      </c>
    </row>
    <row r="8498" spans="2:37">
      <c r="B8498" s="834" t="str">
        <f t="shared" si="343"/>
        <v>|||</v>
      </c>
      <c r="H8498" s="835">
        <f t="shared" si="344"/>
        <v>31</v>
      </c>
      <c r="AF8498" s="831" t="s">
        <v>9157</v>
      </c>
      <c r="AG8498" s="831" t="s">
        <v>131</v>
      </c>
      <c r="AH8498" s="831" t="s">
        <v>150</v>
      </c>
      <c r="AI8498" s="831">
        <v>0</v>
      </c>
      <c r="AJ8498" s="835">
        <v>41670</v>
      </c>
      <c r="AK8498" s="831">
        <v>-1804249</v>
      </c>
    </row>
    <row r="8499" spans="2:37">
      <c r="B8499" s="834" t="str">
        <f t="shared" si="343"/>
        <v>|||</v>
      </c>
      <c r="H8499" s="835">
        <f t="shared" si="344"/>
        <v>31</v>
      </c>
      <c r="AF8499" s="831" t="s">
        <v>9158</v>
      </c>
      <c r="AG8499" s="831" t="s">
        <v>131</v>
      </c>
      <c r="AH8499" s="831" t="s">
        <v>77</v>
      </c>
      <c r="AI8499" s="831">
        <v>0</v>
      </c>
      <c r="AJ8499" s="835">
        <v>41670</v>
      </c>
      <c r="AK8499" s="831">
        <v>-245003</v>
      </c>
    </row>
    <row r="8500" spans="2:37">
      <c r="B8500" s="834" t="str">
        <f t="shared" si="343"/>
        <v>|||</v>
      </c>
      <c r="H8500" s="835">
        <f t="shared" si="344"/>
        <v>31</v>
      </c>
      <c r="AF8500" s="831" t="s">
        <v>9159</v>
      </c>
      <c r="AG8500" s="831" t="s">
        <v>131</v>
      </c>
      <c r="AH8500" s="831" t="s">
        <v>167</v>
      </c>
      <c r="AI8500" s="831">
        <v>0</v>
      </c>
      <c r="AJ8500" s="835">
        <v>41670</v>
      </c>
      <c r="AK8500" s="831">
        <v>0</v>
      </c>
    </row>
    <row r="8501" spans="2:37">
      <c r="B8501" s="834" t="str">
        <f t="shared" si="343"/>
        <v>|||</v>
      </c>
      <c r="H8501" s="835">
        <f t="shared" si="344"/>
        <v>31</v>
      </c>
      <c r="AF8501" s="831" t="s">
        <v>9160</v>
      </c>
      <c r="AG8501" s="831" t="s">
        <v>131</v>
      </c>
      <c r="AH8501" s="831" t="s">
        <v>169</v>
      </c>
      <c r="AI8501" s="831">
        <v>0</v>
      </c>
      <c r="AJ8501" s="835">
        <v>41670</v>
      </c>
      <c r="AK8501" s="831">
        <v>355061</v>
      </c>
    </row>
    <row r="8502" spans="2:37">
      <c r="B8502" s="834" t="str">
        <f t="shared" si="343"/>
        <v>|||</v>
      </c>
      <c r="H8502" s="835">
        <f t="shared" si="344"/>
        <v>31</v>
      </c>
      <c r="AF8502" s="831" t="s">
        <v>9161</v>
      </c>
      <c r="AG8502" s="831" t="s">
        <v>131</v>
      </c>
      <c r="AH8502" s="831" t="s">
        <v>172</v>
      </c>
      <c r="AI8502" s="831">
        <v>0</v>
      </c>
      <c r="AJ8502" s="835">
        <v>41670</v>
      </c>
      <c r="AK8502" s="831">
        <v>-75839</v>
      </c>
    </row>
    <row r="8503" spans="2:37">
      <c r="B8503" s="834" t="str">
        <f t="shared" si="343"/>
        <v>|||</v>
      </c>
      <c r="H8503" s="835">
        <f t="shared" si="344"/>
        <v>31</v>
      </c>
      <c r="AF8503" s="831" t="s">
        <v>9162</v>
      </c>
      <c r="AG8503" s="831" t="s">
        <v>131</v>
      </c>
      <c r="AH8503" s="831" t="s">
        <v>175</v>
      </c>
      <c r="AI8503" s="831">
        <v>0</v>
      </c>
      <c r="AJ8503" s="835">
        <v>41670</v>
      </c>
      <c r="AK8503" s="831">
        <v>353105</v>
      </c>
    </row>
    <row r="8504" spans="2:37">
      <c r="B8504" s="834" t="str">
        <f t="shared" si="343"/>
        <v>|||</v>
      </c>
      <c r="H8504" s="835">
        <f t="shared" si="344"/>
        <v>31</v>
      </c>
      <c r="AF8504" s="831" t="s">
        <v>9163</v>
      </c>
      <c r="AG8504" s="831" t="s">
        <v>131</v>
      </c>
      <c r="AH8504" s="831" t="s">
        <v>185</v>
      </c>
      <c r="AI8504" s="831">
        <v>0</v>
      </c>
      <c r="AJ8504" s="835">
        <v>41670</v>
      </c>
      <c r="AK8504" s="831">
        <v>-3058630</v>
      </c>
    </row>
    <row r="8505" spans="2:37">
      <c r="B8505" s="834" t="str">
        <f t="shared" si="343"/>
        <v>|||</v>
      </c>
      <c r="H8505" s="835">
        <f t="shared" si="344"/>
        <v>31</v>
      </c>
      <c r="AF8505" s="831" t="s">
        <v>9164</v>
      </c>
      <c r="AG8505" s="831" t="s">
        <v>131</v>
      </c>
      <c r="AH8505" s="831" t="s">
        <v>188</v>
      </c>
      <c r="AI8505" s="831">
        <v>0</v>
      </c>
      <c r="AJ8505" s="835">
        <v>41670</v>
      </c>
      <c r="AK8505" s="831">
        <v>-2033576</v>
      </c>
    </row>
    <row r="8506" spans="2:37">
      <c r="B8506" s="834" t="str">
        <f t="shared" si="343"/>
        <v>|||</v>
      </c>
      <c r="H8506" s="835">
        <f t="shared" si="344"/>
        <v>31</v>
      </c>
      <c r="AF8506" s="831" t="s">
        <v>9165</v>
      </c>
      <c r="AG8506" s="831" t="s">
        <v>131</v>
      </c>
      <c r="AH8506" s="831" t="s">
        <v>191</v>
      </c>
      <c r="AI8506" s="831">
        <v>0</v>
      </c>
      <c r="AJ8506" s="835">
        <v>41670</v>
      </c>
      <c r="AK8506" s="831">
        <v>-547734</v>
      </c>
    </row>
    <row r="8507" spans="2:37">
      <c r="B8507" s="834" t="str">
        <f t="shared" si="343"/>
        <v>|||</v>
      </c>
      <c r="H8507" s="835">
        <f t="shared" si="344"/>
        <v>31</v>
      </c>
      <c r="AF8507" s="831" t="s">
        <v>9166</v>
      </c>
      <c r="AG8507" s="831" t="s">
        <v>131</v>
      </c>
      <c r="AH8507" s="831" t="s">
        <v>198</v>
      </c>
      <c r="AI8507" s="831">
        <v>0</v>
      </c>
      <c r="AJ8507" s="835">
        <v>41670</v>
      </c>
      <c r="AK8507" s="831">
        <v>0</v>
      </c>
    </row>
    <row r="8508" spans="2:37">
      <c r="B8508" s="834" t="str">
        <f t="shared" si="343"/>
        <v>|||</v>
      </c>
      <c r="H8508" s="835">
        <f t="shared" si="344"/>
        <v>31</v>
      </c>
      <c r="AF8508" s="831" t="s">
        <v>9167</v>
      </c>
      <c r="AG8508" s="831" t="s">
        <v>131</v>
      </c>
      <c r="AH8508" s="831" t="s">
        <v>200</v>
      </c>
      <c r="AI8508" s="831">
        <v>0</v>
      </c>
      <c r="AJ8508" s="835">
        <v>41670</v>
      </c>
      <c r="AK8508" s="831">
        <v>0</v>
      </c>
    </row>
    <row r="8509" spans="2:37">
      <c r="B8509" s="834" t="str">
        <f t="shared" si="343"/>
        <v>|||</v>
      </c>
      <c r="H8509" s="835">
        <f t="shared" si="344"/>
        <v>31</v>
      </c>
      <c r="AF8509" s="831" t="s">
        <v>9168</v>
      </c>
      <c r="AG8509" s="831" t="s">
        <v>131</v>
      </c>
      <c r="AH8509" s="831" t="s">
        <v>205</v>
      </c>
      <c r="AI8509" s="831">
        <v>0</v>
      </c>
      <c r="AJ8509" s="835">
        <v>41670</v>
      </c>
      <c r="AK8509" s="831">
        <v>-850559</v>
      </c>
    </row>
    <row r="8510" spans="2:37">
      <c r="B8510" s="834" t="str">
        <f t="shared" si="343"/>
        <v>|||</v>
      </c>
      <c r="H8510" s="835">
        <f t="shared" si="344"/>
        <v>31</v>
      </c>
      <c r="AF8510" s="831" t="s">
        <v>9169</v>
      </c>
      <c r="AG8510" s="831" t="s">
        <v>131</v>
      </c>
      <c r="AH8510" s="831" t="s">
        <v>122</v>
      </c>
      <c r="AI8510" s="831">
        <v>0</v>
      </c>
      <c r="AJ8510" s="835">
        <v>41670</v>
      </c>
      <c r="AK8510" s="831">
        <v>0</v>
      </c>
    </row>
    <row r="8511" spans="2:37">
      <c r="B8511" s="834" t="str">
        <f t="shared" si="343"/>
        <v>|||</v>
      </c>
      <c r="H8511" s="835">
        <f t="shared" si="344"/>
        <v>31</v>
      </c>
      <c r="AF8511" s="831" t="s">
        <v>9170</v>
      </c>
      <c r="AG8511" s="831" t="s">
        <v>131</v>
      </c>
      <c r="AH8511" s="831" t="s">
        <v>213</v>
      </c>
      <c r="AI8511" s="831">
        <v>0</v>
      </c>
      <c r="AJ8511" s="835">
        <v>41670</v>
      </c>
      <c r="AK8511" s="831">
        <v>0</v>
      </c>
    </row>
    <row r="8512" spans="2:37">
      <c r="B8512" s="834" t="str">
        <f t="shared" si="343"/>
        <v>|||</v>
      </c>
      <c r="H8512" s="835">
        <f t="shared" si="344"/>
        <v>31</v>
      </c>
      <c r="AF8512" s="831" t="s">
        <v>9171</v>
      </c>
      <c r="AG8512" s="831" t="s">
        <v>131</v>
      </c>
      <c r="AH8512" s="831" t="s">
        <v>215</v>
      </c>
      <c r="AI8512" s="831">
        <v>0</v>
      </c>
      <c r="AJ8512" s="835">
        <v>41670</v>
      </c>
      <c r="AK8512" s="831">
        <v>0</v>
      </c>
    </row>
    <row r="8513" spans="2:37">
      <c r="B8513" s="834" t="str">
        <f t="shared" si="343"/>
        <v>|||</v>
      </c>
      <c r="H8513" s="835">
        <f t="shared" si="344"/>
        <v>31</v>
      </c>
      <c r="AF8513" s="831" t="s">
        <v>9172</v>
      </c>
      <c r="AG8513" s="831" t="s">
        <v>131</v>
      </c>
      <c r="AH8513" s="831" t="s">
        <v>217</v>
      </c>
      <c r="AI8513" s="831">
        <v>0</v>
      </c>
      <c r="AJ8513" s="835">
        <v>41670</v>
      </c>
      <c r="AK8513" s="831">
        <v>0</v>
      </c>
    </row>
    <row r="8514" spans="2:37">
      <c r="B8514" s="834" t="str">
        <f t="shared" si="343"/>
        <v>|||</v>
      </c>
      <c r="H8514" s="835">
        <f t="shared" si="344"/>
        <v>31</v>
      </c>
      <c r="AF8514" s="831" t="s">
        <v>9173</v>
      </c>
      <c r="AG8514" s="831" t="s">
        <v>131</v>
      </c>
      <c r="AH8514" s="831" t="s">
        <v>223</v>
      </c>
      <c r="AI8514" s="831">
        <v>0</v>
      </c>
      <c r="AJ8514" s="835">
        <v>41670</v>
      </c>
      <c r="AK8514" s="831">
        <v>0</v>
      </c>
    </row>
    <row r="8515" spans="2:37">
      <c r="B8515" s="834" t="str">
        <f t="shared" ref="B8515:B8578" si="345">C8515&amp;"|"&amp;D8515&amp;"|"&amp;E8515&amp;"|"&amp;F8515</f>
        <v>|||</v>
      </c>
      <c r="H8515" s="835">
        <f t="shared" si="344"/>
        <v>31</v>
      </c>
      <c r="AF8515" s="831" t="s">
        <v>9174</v>
      </c>
      <c r="AG8515" s="831" t="s">
        <v>131</v>
      </c>
      <c r="AH8515" s="831" t="s">
        <v>224</v>
      </c>
      <c r="AI8515" s="831">
        <v>0</v>
      </c>
      <c r="AJ8515" s="835">
        <v>41670</v>
      </c>
      <c r="AK8515" s="831">
        <v>0</v>
      </c>
    </row>
    <row r="8516" spans="2:37">
      <c r="B8516" s="834" t="str">
        <f t="shared" si="345"/>
        <v>|||</v>
      </c>
      <c r="H8516" s="835">
        <f t="shared" ref="H8516:H8579" si="346">EOMONTH(L8516,0)</f>
        <v>31</v>
      </c>
      <c r="AF8516" s="831" t="s">
        <v>9175</v>
      </c>
      <c r="AG8516" s="831" t="s">
        <v>131</v>
      </c>
      <c r="AH8516" s="831" t="s">
        <v>128</v>
      </c>
      <c r="AI8516" s="831">
        <v>0</v>
      </c>
      <c r="AJ8516" s="835">
        <v>41670</v>
      </c>
      <c r="AK8516" s="831">
        <v>0</v>
      </c>
    </row>
    <row r="8517" spans="2:37">
      <c r="B8517" s="834" t="str">
        <f t="shared" si="345"/>
        <v>|||</v>
      </c>
      <c r="H8517" s="835">
        <f t="shared" si="346"/>
        <v>31</v>
      </c>
      <c r="AF8517" s="831" t="s">
        <v>9176</v>
      </c>
      <c r="AG8517" s="831" t="s">
        <v>131</v>
      </c>
      <c r="AH8517" s="831" t="s">
        <v>3237</v>
      </c>
      <c r="AI8517" s="831">
        <v>0</v>
      </c>
      <c r="AJ8517" s="835">
        <v>41670</v>
      </c>
      <c r="AK8517" s="831">
        <v>0</v>
      </c>
    </row>
    <row r="8518" spans="2:37">
      <c r="B8518" s="834" t="str">
        <f t="shared" si="345"/>
        <v>|||</v>
      </c>
      <c r="H8518" s="835">
        <f t="shared" si="346"/>
        <v>31</v>
      </c>
      <c r="AF8518" s="831" t="s">
        <v>9177</v>
      </c>
      <c r="AG8518" s="831" t="s">
        <v>131</v>
      </c>
      <c r="AH8518" s="831" t="s">
        <v>3239</v>
      </c>
      <c r="AI8518" s="831">
        <v>0</v>
      </c>
      <c r="AJ8518" s="835">
        <v>41670</v>
      </c>
      <c r="AK8518" s="831">
        <v>0</v>
      </c>
    </row>
    <row r="8519" spans="2:37">
      <c r="B8519" s="834" t="str">
        <f t="shared" si="345"/>
        <v>|||</v>
      </c>
      <c r="H8519" s="835">
        <f t="shared" si="346"/>
        <v>31</v>
      </c>
      <c r="AF8519" s="831" t="s">
        <v>9178</v>
      </c>
      <c r="AG8519" s="831" t="s">
        <v>131</v>
      </c>
      <c r="AH8519" s="831" t="s">
        <v>138</v>
      </c>
      <c r="AI8519" s="831">
        <v>0</v>
      </c>
      <c r="AJ8519" s="835">
        <v>41698</v>
      </c>
      <c r="AK8519" s="831">
        <v>25914255</v>
      </c>
    </row>
    <row r="8520" spans="2:37">
      <c r="B8520" s="834" t="str">
        <f t="shared" si="345"/>
        <v>|||</v>
      </c>
      <c r="H8520" s="835">
        <f t="shared" si="346"/>
        <v>31</v>
      </c>
      <c r="AF8520" s="831" t="s">
        <v>9179</v>
      </c>
      <c r="AG8520" s="831" t="s">
        <v>131</v>
      </c>
      <c r="AH8520" s="831" t="s">
        <v>141</v>
      </c>
      <c r="AI8520" s="831">
        <v>0</v>
      </c>
      <c r="AJ8520" s="835">
        <v>41698</v>
      </c>
      <c r="AK8520" s="831">
        <v>1781826</v>
      </c>
    </row>
    <row r="8521" spans="2:37">
      <c r="B8521" s="834" t="str">
        <f t="shared" si="345"/>
        <v>|||</v>
      </c>
      <c r="H8521" s="835">
        <f t="shared" si="346"/>
        <v>31</v>
      </c>
      <c r="AF8521" s="831" t="s">
        <v>9180</v>
      </c>
      <c r="AG8521" s="831" t="s">
        <v>131</v>
      </c>
      <c r="AH8521" s="831" t="s">
        <v>146</v>
      </c>
      <c r="AI8521" s="831">
        <v>0</v>
      </c>
      <c r="AJ8521" s="835">
        <v>41698</v>
      </c>
      <c r="AK8521" s="831">
        <v>-3882769</v>
      </c>
    </row>
    <row r="8522" spans="2:37">
      <c r="B8522" s="834" t="str">
        <f t="shared" si="345"/>
        <v>|||</v>
      </c>
      <c r="H8522" s="835">
        <f t="shared" si="346"/>
        <v>31</v>
      </c>
      <c r="AF8522" s="831" t="s">
        <v>9181</v>
      </c>
      <c r="AG8522" s="831" t="s">
        <v>131</v>
      </c>
      <c r="AH8522" s="831" t="s">
        <v>150</v>
      </c>
      <c r="AI8522" s="831">
        <v>0</v>
      </c>
      <c r="AJ8522" s="835">
        <v>41698</v>
      </c>
      <c r="AK8522" s="831">
        <v>-3486377</v>
      </c>
    </row>
    <row r="8523" spans="2:37">
      <c r="B8523" s="834" t="str">
        <f t="shared" si="345"/>
        <v>|||</v>
      </c>
      <c r="H8523" s="835">
        <f t="shared" si="346"/>
        <v>31</v>
      </c>
      <c r="AF8523" s="831" t="s">
        <v>9182</v>
      </c>
      <c r="AG8523" s="831" t="s">
        <v>131</v>
      </c>
      <c r="AH8523" s="831" t="s">
        <v>77</v>
      </c>
      <c r="AI8523" s="831">
        <v>0</v>
      </c>
      <c r="AJ8523" s="835">
        <v>41698</v>
      </c>
      <c r="AK8523" s="831">
        <v>-323517</v>
      </c>
    </row>
    <row r="8524" spans="2:37">
      <c r="B8524" s="834" t="str">
        <f t="shared" si="345"/>
        <v>|||</v>
      </c>
      <c r="H8524" s="835">
        <f t="shared" si="346"/>
        <v>31</v>
      </c>
      <c r="AF8524" s="831" t="s">
        <v>9183</v>
      </c>
      <c r="AG8524" s="831" t="s">
        <v>131</v>
      </c>
      <c r="AH8524" s="831" t="s">
        <v>167</v>
      </c>
      <c r="AI8524" s="831">
        <v>0</v>
      </c>
      <c r="AJ8524" s="835">
        <v>41698</v>
      </c>
      <c r="AK8524" s="831">
        <v>0</v>
      </c>
    </row>
    <row r="8525" spans="2:37">
      <c r="B8525" s="834" t="str">
        <f t="shared" si="345"/>
        <v>|||</v>
      </c>
      <c r="H8525" s="835">
        <f t="shared" si="346"/>
        <v>31</v>
      </c>
      <c r="AF8525" s="831" t="s">
        <v>9184</v>
      </c>
      <c r="AG8525" s="831" t="s">
        <v>131</v>
      </c>
      <c r="AH8525" s="831" t="s">
        <v>169</v>
      </c>
      <c r="AI8525" s="831">
        <v>0</v>
      </c>
      <c r="AJ8525" s="835">
        <v>41698</v>
      </c>
      <c r="AK8525" s="831">
        <v>701018</v>
      </c>
    </row>
    <row r="8526" spans="2:37">
      <c r="B8526" s="834" t="str">
        <f t="shared" si="345"/>
        <v>|||</v>
      </c>
      <c r="H8526" s="835">
        <f t="shared" si="346"/>
        <v>31</v>
      </c>
      <c r="AF8526" s="831" t="s">
        <v>9185</v>
      </c>
      <c r="AG8526" s="831" t="s">
        <v>131</v>
      </c>
      <c r="AH8526" s="831" t="s">
        <v>172</v>
      </c>
      <c r="AI8526" s="831">
        <v>0</v>
      </c>
      <c r="AJ8526" s="835">
        <v>41698</v>
      </c>
      <c r="AK8526" s="831">
        <v>-115905</v>
      </c>
    </row>
    <row r="8527" spans="2:37">
      <c r="B8527" s="834" t="str">
        <f t="shared" si="345"/>
        <v>|||</v>
      </c>
      <c r="H8527" s="835">
        <f t="shared" si="346"/>
        <v>31</v>
      </c>
      <c r="AF8527" s="831" t="s">
        <v>9186</v>
      </c>
      <c r="AG8527" s="831" t="s">
        <v>131</v>
      </c>
      <c r="AH8527" s="831" t="s">
        <v>175</v>
      </c>
      <c r="AI8527" s="831">
        <v>0</v>
      </c>
      <c r="AJ8527" s="835">
        <v>41698</v>
      </c>
      <c r="AK8527" s="831">
        <v>102216</v>
      </c>
    </row>
    <row r="8528" spans="2:37">
      <c r="B8528" s="834" t="str">
        <f t="shared" si="345"/>
        <v>|||</v>
      </c>
      <c r="H8528" s="835">
        <f t="shared" si="346"/>
        <v>31</v>
      </c>
      <c r="AF8528" s="831" t="s">
        <v>9187</v>
      </c>
      <c r="AG8528" s="831" t="s">
        <v>131</v>
      </c>
      <c r="AH8528" s="831" t="s">
        <v>185</v>
      </c>
      <c r="AI8528" s="831">
        <v>0</v>
      </c>
      <c r="AJ8528" s="835">
        <v>41698</v>
      </c>
      <c r="AK8528" s="831">
        <v>-6433210</v>
      </c>
    </row>
    <row r="8529" spans="2:37">
      <c r="B8529" s="834" t="str">
        <f t="shared" si="345"/>
        <v>|||</v>
      </c>
      <c r="H8529" s="835">
        <f t="shared" si="346"/>
        <v>31</v>
      </c>
      <c r="AF8529" s="831" t="s">
        <v>9188</v>
      </c>
      <c r="AG8529" s="831" t="s">
        <v>131</v>
      </c>
      <c r="AH8529" s="831" t="s">
        <v>188</v>
      </c>
      <c r="AI8529" s="831">
        <v>0</v>
      </c>
      <c r="AJ8529" s="835">
        <v>41698</v>
      </c>
      <c r="AK8529" s="831">
        <v>-3377427</v>
      </c>
    </row>
    <row r="8530" spans="2:37">
      <c r="B8530" s="834" t="str">
        <f t="shared" si="345"/>
        <v>|||</v>
      </c>
      <c r="H8530" s="835">
        <f t="shared" si="346"/>
        <v>31</v>
      </c>
      <c r="AF8530" s="831" t="s">
        <v>9189</v>
      </c>
      <c r="AG8530" s="831" t="s">
        <v>131</v>
      </c>
      <c r="AH8530" s="831" t="s">
        <v>191</v>
      </c>
      <c r="AI8530" s="831">
        <v>0</v>
      </c>
      <c r="AJ8530" s="835">
        <v>41698</v>
      </c>
      <c r="AK8530" s="831">
        <v>-1169160</v>
      </c>
    </row>
    <row r="8531" spans="2:37">
      <c r="B8531" s="834" t="str">
        <f t="shared" si="345"/>
        <v>|||</v>
      </c>
      <c r="H8531" s="835">
        <f t="shared" si="346"/>
        <v>31</v>
      </c>
      <c r="AF8531" s="831" t="s">
        <v>9190</v>
      </c>
      <c r="AG8531" s="831" t="s">
        <v>131</v>
      </c>
      <c r="AH8531" s="831" t="s">
        <v>198</v>
      </c>
      <c r="AI8531" s="831">
        <v>0</v>
      </c>
      <c r="AJ8531" s="835">
        <v>41698</v>
      </c>
      <c r="AK8531" s="831">
        <v>0</v>
      </c>
    </row>
    <row r="8532" spans="2:37">
      <c r="B8532" s="834" t="str">
        <f t="shared" si="345"/>
        <v>|||</v>
      </c>
      <c r="H8532" s="835">
        <f t="shared" si="346"/>
        <v>31</v>
      </c>
      <c r="AF8532" s="831" t="s">
        <v>9191</v>
      </c>
      <c r="AG8532" s="831" t="s">
        <v>131</v>
      </c>
      <c r="AH8532" s="831" t="s">
        <v>200</v>
      </c>
      <c r="AI8532" s="831">
        <v>0</v>
      </c>
      <c r="AJ8532" s="835">
        <v>41698</v>
      </c>
      <c r="AK8532" s="831">
        <v>0</v>
      </c>
    </row>
    <row r="8533" spans="2:37">
      <c r="B8533" s="834" t="str">
        <f t="shared" si="345"/>
        <v>|||</v>
      </c>
      <c r="H8533" s="835">
        <f t="shared" si="346"/>
        <v>31</v>
      </c>
      <c r="AF8533" s="831" t="s">
        <v>9192</v>
      </c>
      <c r="AG8533" s="831" t="s">
        <v>131</v>
      </c>
      <c r="AH8533" s="831" t="s">
        <v>205</v>
      </c>
      <c r="AI8533" s="831">
        <v>0</v>
      </c>
      <c r="AJ8533" s="835">
        <v>41698</v>
      </c>
      <c r="AK8533" s="831">
        <v>-1840655</v>
      </c>
    </row>
    <row r="8534" spans="2:37">
      <c r="B8534" s="834" t="str">
        <f t="shared" si="345"/>
        <v>|||</v>
      </c>
      <c r="H8534" s="835">
        <f t="shared" si="346"/>
        <v>31</v>
      </c>
      <c r="AF8534" s="831" t="s">
        <v>9193</v>
      </c>
      <c r="AG8534" s="831" t="s">
        <v>131</v>
      </c>
      <c r="AH8534" s="831" t="s">
        <v>122</v>
      </c>
      <c r="AI8534" s="831">
        <v>0</v>
      </c>
      <c r="AJ8534" s="835">
        <v>41698</v>
      </c>
      <c r="AK8534" s="831">
        <v>0</v>
      </c>
    </row>
    <row r="8535" spans="2:37">
      <c r="B8535" s="834" t="str">
        <f t="shared" si="345"/>
        <v>|||</v>
      </c>
      <c r="H8535" s="835">
        <f t="shared" si="346"/>
        <v>31</v>
      </c>
      <c r="AF8535" s="831" t="s">
        <v>9194</v>
      </c>
      <c r="AG8535" s="831" t="s">
        <v>131</v>
      </c>
      <c r="AH8535" s="831" t="s">
        <v>213</v>
      </c>
      <c r="AI8535" s="831">
        <v>0</v>
      </c>
      <c r="AJ8535" s="835">
        <v>41698</v>
      </c>
      <c r="AK8535" s="831">
        <v>0</v>
      </c>
    </row>
    <row r="8536" spans="2:37">
      <c r="B8536" s="834" t="str">
        <f t="shared" si="345"/>
        <v>|||</v>
      </c>
      <c r="H8536" s="835">
        <f t="shared" si="346"/>
        <v>31</v>
      </c>
      <c r="AF8536" s="831" t="s">
        <v>9195</v>
      </c>
      <c r="AG8536" s="831" t="s">
        <v>131</v>
      </c>
      <c r="AH8536" s="831" t="s">
        <v>215</v>
      </c>
      <c r="AI8536" s="831">
        <v>0</v>
      </c>
      <c r="AJ8536" s="835">
        <v>41698</v>
      </c>
      <c r="AK8536" s="831">
        <v>0</v>
      </c>
    </row>
    <row r="8537" spans="2:37">
      <c r="B8537" s="834" t="str">
        <f t="shared" si="345"/>
        <v>|||</v>
      </c>
      <c r="H8537" s="835">
        <f t="shared" si="346"/>
        <v>31</v>
      </c>
      <c r="AF8537" s="831" t="s">
        <v>9196</v>
      </c>
      <c r="AG8537" s="831" t="s">
        <v>131</v>
      </c>
      <c r="AH8537" s="831" t="s">
        <v>217</v>
      </c>
      <c r="AI8537" s="831">
        <v>0</v>
      </c>
      <c r="AJ8537" s="835">
        <v>41698</v>
      </c>
      <c r="AK8537" s="831">
        <v>0</v>
      </c>
    </row>
    <row r="8538" spans="2:37">
      <c r="B8538" s="834" t="str">
        <f t="shared" si="345"/>
        <v>|||</v>
      </c>
      <c r="H8538" s="835">
        <f t="shared" si="346"/>
        <v>31</v>
      </c>
      <c r="AF8538" s="831" t="s">
        <v>9197</v>
      </c>
      <c r="AG8538" s="831" t="s">
        <v>131</v>
      </c>
      <c r="AH8538" s="831" t="s">
        <v>223</v>
      </c>
      <c r="AI8538" s="831">
        <v>0</v>
      </c>
      <c r="AJ8538" s="835">
        <v>41698</v>
      </c>
      <c r="AK8538" s="831">
        <v>0</v>
      </c>
    </row>
    <row r="8539" spans="2:37">
      <c r="B8539" s="834" t="str">
        <f t="shared" si="345"/>
        <v>|||</v>
      </c>
      <c r="H8539" s="835">
        <f t="shared" si="346"/>
        <v>31</v>
      </c>
      <c r="AF8539" s="831" t="s">
        <v>9198</v>
      </c>
      <c r="AG8539" s="831" t="s">
        <v>131</v>
      </c>
      <c r="AH8539" s="831" t="s">
        <v>224</v>
      </c>
      <c r="AI8539" s="831">
        <v>0</v>
      </c>
      <c r="AJ8539" s="835">
        <v>41698</v>
      </c>
      <c r="AK8539" s="831">
        <v>0</v>
      </c>
    </row>
    <row r="8540" spans="2:37">
      <c r="B8540" s="834" t="str">
        <f t="shared" si="345"/>
        <v>|||</v>
      </c>
      <c r="H8540" s="835">
        <f t="shared" si="346"/>
        <v>31</v>
      </c>
      <c r="AF8540" s="831" t="s">
        <v>9199</v>
      </c>
      <c r="AG8540" s="831" t="s">
        <v>131</v>
      </c>
      <c r="AH8540" s="831" t="s">
        <v>128</v>
      </c>
      <c r="AI8540" s="831">
        <v>0</v>
      </c>
      <c r="AJ8540" s="835">
        <v>41698</v>
      </c>
      <c r="AK8540" s="831">
        <v>0</v>
      </c>
    </row>
    <row r="8541" spans="2:37">
      <c r="B8541" s="834" t="str">
        <f t="shared" si="345"/>
        <v>|||</v>
      </c>
      <c r="H8541" s="835">
        <f t="shared" si="346"/>
        <v>31</v>
      </c>
      <c r="AF8541" s="831" t="s">
        <v>9200</v>
      </c>
      <c r="AG8541" s="831" t="s">
        <v>131</v>
      </c>
      <c r="AH8541" s="831" t="s">
        <v>3237</v>
      </c>
      <c r="AI8541" s="831">
        <v>0</v>
      </c>
      <c r="AJ8541" s="835">
        <v>41698</v>
      </c>
      <c r="AK8541" s="831">
        <v>0</v>
      </c>
    </row>
    <row r="8542" spans="2:37">
      <c r="B8542" s="834" t="str">
        <f t="shared" si="345"/>
        <v>|||</v>
      </c>
      <c r="H8542" s="835">
        <f t="shared" si="346"/>
        <v>31</v>
      </c>
      <c r="AF8542" s="831" t="s">
        <v>9201</v>
      </c>
      <c r="AG8542" s="831" t="s">
        <v>131</v>
      </c>
      <c r="AH8542" s="831" t="s">
        <v>3239</v>
      </c>
      <c r="AI8542" s="831">
        <v>0</v>
      </c>
      <c r="AJ8542" s="835">
        <v>41698</v>
      </c>
      <c r="AK8542" s="831">
        <v>0</v>
      </c>
    </row>
    <row r="8543" spans="2:37">
      <c r="B8543" s="834" t="str">
        <f t="shared" si="345"/>
        <v>|||</v>
      </c>
      <c r="H8543" s="835">
        <f t="shared" si="346"/>
        <v>31</v>
      </c>
      <c r="AF8543" s="831" t="s">
        <v>9202</v>
      </c>
      <c r="AG8543" s="831" t="s">
        <v>131</v>
      </c>
      <c r="AH8543" s="831" t="s">
        <v>138</v>
      </c>
      <c r="AI8543" s="831">
        <v>0</v>
      </c>
      <c r="AJ8543" s="835">
        <v>41729</v>
      </c>
      <c r="AK8543" s="831">
        <v>35793752</v>
      </c>
    </row>
    <row r="8544" spans="2:37">
      <c r="B8544" s="834" t="str">
        <f t="shared" si="345"/>
        <v>|||</v>
      </c>
      <c r="H8544" s="835">
        <f t="shared" si="346"/>
        <v>31</v>
      </c>
      <c r="AF8544" s="831" t="s">
        <v>9203</v>
      </c>
      <c r="AG8544" s="831" t="s">
        <v>131</v>
      </c>
      <c r="AH8544" s="831" t="s">
        <v>141</v>
      </c>
      <c r="AI8544" s="831">
        <v>0</v>
      </c>
      <c r="AJ8544" s="835">
        <v>41729</v>
      </c>
      <c r="AK8544" s="831">
        <v>2657532</v>
      </c>
    </row>
    <row r="8545" spans="2:37">
      <c r="B8545" s="834" t="str">
        <f t="shared" si="345"/>
        <v>|||</v>
      </c>
      <c r="H8545" s="835">
        <f t="shared" si="346"/>
        <v>31</v>
      </c>
      <c r="AF8545" s="831" t="s">
        <v>9204</v>
      </c>
      <c r="AG8545" s="831" t="s">
        <v>131</v>
      </c>
      <c r="AH8545" s="831" t="s">
        <v>146</v>
      </c>
      <c r="AI8545" s="831">
        <v>0</v>
      </c>
      <c r="AJ8545" s="835">
        <v>41729</v>
      </c>
      <c r="AK8545" s="831">
        <v>-5922675</v>
      </c>
    </row>
    <row r="8546" spans="2:37">
      <c r="B8546" s="834" t="str">
        <f t="shared" si="345"/>
        <v>|||</v>
      </c>
      <c r="H8546" s="835">
        <f t="shared" si="346"/>
        <v>31</v>
      </c>
      <c r="AF8546" s="831" t="s">
        <v>9205</v>
      </c>
      <c r="AG8546" s="831" t="s">
        <v>131</v>
      </c>
      <c r="AH8546" s="831" t="s">
        <v>150</v>
      </c>
      <c r="AI8546" s="831">
        <v>0</v>
      </c>
      <c r="AJ8546" s="835">
        <v>41729</v>
      </c>
      <c r="AK8546" s="831">
        <v>-5422048</v>
      </c>
    </row>
    <row r="8547" spans="2:37">
      <c r="B8547" s="834" t="str">
        <f t="shared" si="345"/>
        <v>|||</v>
      </c>
      <c r="H8547" s="835">
        <f t="shared" si="346"/>
        <v>31</v>
      </c>
      <c r="AF8547" s="831" t="s">
        <v>9206</v>
      </c>
      <c r="AG8547" s="831" t="s">
        <v>131</v>
      </c>
      <c r="AH8547" s="831" t="s">
        <v>77</v>
      </c>
      <c r="AI8547" s="831">
        <v>0</v>
      </c>
      <c r="AJ8547" s="835">
        <v>41729</v>
      </c>
      <c r="AK8547" s="831">
        <v>-596722</v>
      </c>
    </row>
    <row r="8548" spans="2:37">
      <c r="B8548" s="834" t="str">
        <f t="shared" si="345"/>
        <v>|||</v>
      </c>
      <c r="H8548" s="835">
        <f t="shared" si="346"/>
        <v>31</v>
      </c>
      <c r="AF8548" s="831" t="s">
        <v>9207</v>
      </c>
      <c r="AG8548" s="831" t="s">
        <v>131</v>
      </c>
      <c r="AH8548" s="831" t="s">
        <v>167</v>
      </c>
      <c r="AI8548" s="831">
        <v>0</v>
      </c>
      <c r="AJ8548" s="835">
        <v>41729</v>
      </c>
      <c r="AK8548" s="831">
        <v>0</v>
      </c>
    </row>
    <row r="8549" spans="2:37">
      <c r="B8549" s="834" t="str">
        <f t="shared" si="345"/>
        <v>|||</v>
      </c>
      <c r="H8549" s="835">
        <f t="shared" si="346"/>
        <v>31</v>
      </c>
      <c r="AF8549" s="831" t="s">
        <v>9208</v>
      </c>
      <c r="AG8549" s="831" t="s">
        <v>131</v>
      </c>
      <c r="AH8549" s="831" t="s">
        <v>169</v>
      </c>
      <c r="AI8549" s="831">
        <v>0</v>
      </c>
      <c r="AJ8549" s="835">
        <v>41729</v>
      </c>
      <c r="AK8549" s="831">
        <v>1141998</v>
      </c>
    </row>
    <row r="8550" spans="2:37">
      <c r="B8550" s="834" t="str">
        <f t="shared" si="345"/>
        <v>|||</v>
      </c>
      <c r="H8550" s="835">
        <f t="shared" si="346"/>
        <v>31</v>
      </c>
      <c r="AF8550" s="831" t="s">
        <v>9209</v>
      </c>
      <c r="AG8550" s="831" t="s">
        <v>131</v>
      </c>
      <c r="AH8550" s="831" t="s">
        <v>172</v>
      </c>
      <c r="AI8550" s="831">
        <v>0</v>
      </c>
      <c r="AJ8550" s="835">
        <v>41729</v>
      </c>
      <c r="AK8550" s="831">
        <v>-126966</v>
      </c>
    </row>
    <row r="8551" spans="2:37">
      <c r="B8551" s="834" t="str">
        <f t="shared" si="345"/>
        <v>|||</v>
      </c>
      <c r="H8551" s="835">
        <f t="shared" si="346"/>
        <v>31</v>
      </c>
      <c r="AF8551" s="831" t="s">
        <v>9210</v>
      </c>
      <c r="AG8551" s="831" t="s">
        <v>131</v>
      </c>
      <c r="AH8551" s="831" t="s">
        <v>175</v>
      </c>
      <c r="AI8551" s="831">
        <v>0</v>
      </c>
      <c r="AJ8551" s="835">
        <v>41729</v>
      </c>
      <c r="AK8551" s="831">
        <v>817487</v>
      </c>
    </row>
    <row r="8552" spans="2:37">
      <c r="B8552" s="834" t="str">
        <f t="shared" si="345"/>
        <v>|||</v>
      </c>
      <c r="H8552" s="835">
        <f t="shared" si="346"/>
        <v>31</v>
      </c>
      <c r="AF8552" s="831" t="s">
        <v>9211</v>
      </c>
      <c r="AG8552" s="831" t="s">
        <v>131</v>
      </c>
      <c r="AH8552" s="831" t="s">
        <v>185</v>
      </c>
      <c r="AI8552" s="831">
        <v>0</v>
      </c>
      <c r="AJ8552" s="835">
        <v>41729</v>
      </c>
      <c r="AK8552" s="831">
        <v>-10068174</v>
      </c>
    </row>
    <row r="8553" spans="2:37">
      <c r="B8553" s="834" t="str">
        <f t="shared" si="345"/>
        <v>|||</v>
      </c>
      <c r="H8553" s="835">
        <f t="shared" si="346"/>
        <v>31</v>
      </c>
      <c r="AF8553" s="831" t="s">
        <v>9212</v>
      </c>
      <c r="AG8553" s="831" t="s">
        <v>131</v>
      </c>
      <c r="AH8553" s="831" t="s">
        <v>188</v>
      </c>
      <c r="AI8553" s="831">
        <v>0</v>
      </c>
      <c r="AJ8553" s="835">
        <v>41729</v>
      </c>
      <c r="AK8553" s="831">
        <v>-4938152</v>
      </c>
    </row>
    <row r="8554" spans="2:37">
      <c r="B8554" s="834" t="str">
        <f t="shared" si="345"/>
        <v>|||</v>
      </c>
      <c r="H8554" s="835">
        <f t="shared" si="346"/>
        <v>31</v>
      </c>
      <c r="AF8554" s="831" t="s">
        <v>9213</v>
      </c>
      <c r="AG8554" s="831" t="s">
        <v>131</v>
      </c>
      <c r="AH8554" s="831" t="s">
        <v>191</v>
      </c>
      <c r="AI8554" s="831">
        <v>0</v>
      </c>
      <c r="AJ8554" s="835">
        <v>41729</v>
      </c>
      <c r="AK8554" s="831">
        <v>-1751583</v>
      </c>
    </row>
    <row r="8555" spans="2:37">
      <c r="B8555" s="834" t="str">
        <f t="shared" si="345"/>
        <v>|||</v>
      </c>
      <c r="H8555" s="835">
        <f t="shared" si="346"/>
        <v>31</v>
      </c>
      <c r="AF8555" s="831" t="s">
        <v>9214</v>
      </c>
      <c r="AG8555" s="831" t="s">
        <v>131</v>
      </c>
      <c r="AH8555" s="831" t="s">
        <v>198</v>
      </c>
      <c r="AI8555" s="831">
        <v>0</v>
      </c>
      <c r="AJ8555" s="835">
        <v>41729</v>
      </c>
      <c r="AK8555" s="831">
        <v>0</v>
      </c>
    </row>
    <row r="8556" spans="2:37">
      <c r="B8556" s="834" t="str">
        <f t="shared" si="345"/>
        <v>|||</v>
      </c>
      <c r="H8556" s="835">
        <f t="shared" si="346"/>
        <v>31</v>
      </c>
      <c r="AF8556" s="831" t="s">
        <v>9215</v>
      </c>
      <c r="AG8556" s="831" t="s">
        <v>131</v>
      </c>
      <c r="AH8556" s="831" t="s">
        <v>200</v>
      </c>
      <c r="AI8556" s="831">
        <v>0</v>
      </c>
      <c r="AJ8556" s="835">
        <v>41729</v>
      </c>
      <c r="AK8556" s="831">
        <v>0</v>
      </c>
    </row>
    <row r="8557" spans="2:37">
      <c r="B8557" s="834" t="str">
        <f t="shared" si="345"/>
        <v>|||</v>
      </c>
      <c r="H8557" s="835">
        <f t="shared" si="346"/>
        <v>31</v>
      </c>
      <c r="AF8557" s="831" t="s">
        <v>9216</v>
      </c>
      <c r="AG8557" s="831" t="s">
        <v>131</v>
      </c>
      <c r="AH8557" s="831" t="s">
        <v>205</v>
      </c>
      <c r="AI8557" s="831">
        <v>0</v>
      </c>
      <c r="AJ8557" s="835">
        <v>41729</v>
      </c>
      <c r="AK8557" s="831">
        <v>-2705684</v>
      </c>
    </row>
    <row r="8558" spans="2:37">
      <c r="B8558" s="834" t="str">
        <f t="shared" si="345"/>
        <v>|||</v>
      </c>
      <c r="H8558" s="835">
        <f t="shared" si="346"/>
        <v>31</v>
      </c>
      <c r="AF8558" s="831" t="s">
        <v>9217</v>
      </c>
      <c r="AG8558" s="831" t="s">
        <v>131</v>
      </c>
      <c r="AH8558" s="831" t="s">
        <v>122</v>
      </c>
      <c r="AI8558" s="831">
        <v>0</v>
      </c>
      <c r="AJ8558" s="835">
        <v>41729</v>
      </c>
      <c r="AK8558" s="831">
        <v>0</v>
      </c>
    </row>
    <row r="8559" spans="2:37">
      <c r="B8559" s="834" t="str">
        <f t="shared" si="345"/>
        <v>|||</v>
      </c>
      <c r="H8559" s="835">
        <f t="shared" si="346"/>
        <v>31</v>
      </c>
      <c r="AF8559" s="831" t="s">
        <v>9218</v>
      </c>
      <c r="AG8559" s="831" t="s">
        <v>131</v>
      </c>
      <c r="AH8559" s="831" t="s">
        <v>213</v>
      </c>
      <c r="AI8559" s="831">
        <v>0</v>
      </c>
      <c r="AJ8559" s="835">
        <v>41729</v>
      </c>
      <c r="AK8559" s="831">
        <v>0</v>
      </c>
    </row>
    <row r="8560" spans="2:37">
      <c r="B8560" s="834" t="str">
        <f t="shared" si="345"/>
        <v>|||</v>
      </c>
      <c r="H8560" s="835">
        <f t="shared" si="346"/>
        <v>31</v>
      </c>
      <c r="AF8560" s="831" t="s">
        <v>9219</v>
      </c>
      <c r="AG8560" s="831" t="s">
        <v>131</v>
      </c>
      <c r="AH8560" s="831" t="s">
        <v>215</v>
      </c>
      <c r="AI8560" s="831">
        <v>0</v>
      </c>
      <c r="AJ8560" s="835">
        <v>41729</v>
      </c>
      <c r="AK8560" s="831">
        <v>0</v>
      </c>
    </row>
    <row r="8561" spans="2:37">
      <c r="B8561" s="834" t="str">
        <f t="shared" si="345"/>
        <v>|||</v>
      </c>
      <c r="H8561" s="835">
        <f t="shared" si="346"/>
        <v>31</v>
      </c>
      <c r="AF8561" s="831" t="s">
        <v>9220</v>
      </c>
      <c r="AG8561" s="831" t="s">
        <v>131</v>
      </c>
      <c r="AH8561" s="831" t="s">
        <v>217</v>
      </c>
      <c r="AI8561" s="831">
        <v>0</v>
      </c>
      <c r="AJ8561" s="835">
        <v>41729</v>
      </c>
      <c r="AK8561" s="831">
        <v>0</v>
      </c>
    </row>
    <row r="8562" spans="2:37">
      <c r="B8562" s="834" t="str">
        <f t="shared" si="345"/>
        <v>|||</v>
      </c>
      <c r="H8562" s="835">
        <f t="shared" si="346"/>
        <v>31</v>
      </c>
      <c r="AF8562" s="831" t="s">
        <v>9221</v>
      </c>
      <c r="AG8562" s="831" t="s">
        <v>131</v>
      </c>
      <c r="AH8562" s="831" t="s">
        <v>223</v>
      </c>
      <c r="AI8562" s="831">
        <v>0</v>
      </c>
      <c r="AJ8562" s="835">
        <v>41729</v>
      </c>
      <c r="AK8562" s="831">
        <v>0</v>
      </c>
    </row>
    <row r="8563" spans="2:37">
      <c r="B8563" s="834" t="str">
        <f t="shared" si="345"/>
        <v>|||</v>
      </c>
      <c r="H8563" s="835">
        <f t="shared" si="346"/>
        <v>31</v>
      </c>
      <c r="AF8563" s="831" t="s">
        <v>9222</v>
      </c>
      <c r="AG8563" s="831" t="s">
        <v>131</v>
      </c>
      <c r="AH8563" s="831" t="s">
        <v>224</v>
      </c>
      <c r="AI8563" s="831">
        <v>0</v>
      </c>
      <c r="AJ8563" s="835">
        <v>41729</v>
      </c>
      <c r="AK8563" s="831">
        <v>0</v>
      </c>
    </row>
    <row r="8564" spans="2:37">
      <c r="B8564" s="834" t="str">
        <f t="shared" si="345"/>
        <v>|||</v>
      </c>
      <c r="H8564" s="835">
        <f t="shared" si="346"/>
        <v>31</v>
      </c>
      <c r="AF8564" s="831" t="s">
        <v>9223</v>
      </c>
      <c r="AG8564" s="831" t="s">
        <v>131</v>
      </c>
      <c r="AH8564" s="831" t="s">
        <v>128</v>
      </c>
      <c r="AI8564" s="831">
        <v>0</v>
      </c>
      <c r="AJ8564" s="835">
        <v>41729</v>
      </c>
      <c r="AK8564" s="831">
        <v>0</v>
      </c>
    </row>
    <row r="8565" spans="2:37">
      <c r="B8565" s="834" t="str">
        <f t="shared" si="345"/>
        <v>|||</v>
      </c>
      <c r="H8565" s="835">
        <f t="shared" si="346"/>
        <v>31</v>
      </c>
      <c r="AF8565" s="831" t="s">
        <v>9224</v>
      </c>
      <c r="AG8565" s="831" t="s">
        <v>131</v>
      </c>
      <c r="AH8565" s="831" t="s">
        <v>3237</v>
      </c>
      <c r="AI8565" s="831">
        <v>0</v>
      </c>
      <c r="AJ8565" s="835">
        <v>41729</v>
      </c>
      <c r="AK8565" s="831">
        <v>0</v>
      </c>
    </row>
    <row r="8566" spans="2:37">
      <c r="B8566" s="834" t="str">
        <f t="shared" si="345"/>
        <v>|||</v>
      </c>
      <c r="H8566" s="835">
        <f t="shared" si="346"/>
        <v>31</v>
      </c>
      <c r="AF8566" s="831" t="s">
        <v>9225</v>
      </c>
      <c r="AG8566" s="831" t="s">
        <v>131</v>
      </c>
      <c r="AH8566" s="831" t="s">
        <v>3239</v>
      </c>
      <c r="AI8566" s="831">
        <v>0</v>
      </c>
      <c r="AJ8566" s="835">
        <v>41729</v>
      </c>
      <c r="AK8566" s="831">
        <v>0</v>
      </c>
    </row>
    <row r="8567" spans="2:37">
      <c r="B8567" s="834" t="str">
        <f t="shared" si="345"/>
        <v>|||</v>
      </c>
      <c r="H8567" s="835">
        <f t="shared" si="346"/>
        <v>31</v>
      </c>
      <c r="AF8567" s="831" t="s">
        <v>9226</v>
      </c>
      <c r="AG8567" s="831" t="s">
        <v>131</v>
      </c>
      <c r="AH8567" s="831" t="s">
        <v>138</v>
      </c>
      <c r="AI8567" s="831">
        <v>0</v>
      </c>
      <c r="AJ8567" s="835">
        <v>41759</v>
      </c>
      <c r="AK8567" s="831">
        <v>48502311</v>
      </c>
    </row>
    <row r="8568" spans="2:37">
      <c r="B8568" s="834" t="str">
        <f t="shared" si="345"/>
        <v>|||</v>
      </c>
      <c r="H8568" s="835">
        <f t="shared" si="346"/>
        <v>31</v>
      </c>
      <c r="AF8568" s="831" t="s">
        <v>9227</v>
      </c>
      <c r="AG8568" s="831" t="s">
        <v>131</v>
      </c>
      <c r="AH8568" s="831" t="s">
        <v>141</v>
      </c>
      <c r="AI8568" s="831">
        <v>0</v>
      </c>
      <c r="AJ8568" s="835">
        <v>41759</v>
      </c>
      <c r="AK8568" s="831">
        <v>3886188</v>
      </c>
    </row>
    <row r="8569" spans="2:37">
      <c r="B8569" s="834" t="str">
        <f t="shared" si="345"/>
        <v>|||</v>
      </c>
      <c r="H8569" s="835">
        <f t="shared" si="346"/>
        <v>31</v>
      </c>
      <c r="AF8569" s="831" t="s">
        <v>9228</v>
      </c>
      <c r="AG8569" s="831" t="s">
        <v>131</v>
      </c>
      <c r="AH8569" s="831" t="s">
        <v>146</v>
      </c>
      <c r="AI8569" s="831">
        <v>0</v>
      </c>
      <c r="AJ8569" s="835">
        <v>41759</v>
      </c>
      <c r="AK8569" s="831">
        <v>-8002229</v>
      </c>
    </row>
    <row r="8570" spans="2:37">
      <c r="B8570" s="834" t="str">
        <f t="shared" si="345"/>
        <v>|||</v>
      </c>
      <c r="H8570" s="835">
        <f t="shared" si="346"/>
        <v>31</v>
      </c>
      <c r="AF8570" s="831" t="s">
        <v>9229</v>
      </c>
      <c r="AG8570" s="831" t="s">
        <v>131</v>
      </c>
      <c r="AH8570" s="831" t="s">
        <v>150</v>
      </c>
      <c r="AI8570" s="831">
        <v>0</v>
      </c>
      <c r="AJ8570" s="835">
        <v>41759</v>
      </c>
      <c r="AK8570" s="831">
        <v>-7338050</v>
      </c>
    </row>
    <row r="8571" spans="2:37">
      <c r="B8571" s="834" t="str">
        <f t="shared" si="345"/>
        <v>|||</v>
      </c>
      <c r="H8571" s="835">
        <f t="shared" si="346"/>
        <v>31</v>
      </c>
      <c r="AF8571" s="831" t="s">
        <v>9230</v>
      </c>
      <c r="AG8571" s="831" t="s">
        <v>131</v>
      </c>
      <c r="AH8571" s="831" t="s">
        <v>77</v>
      </c>
      <c r="AI8571" s="831">
        <v>0</v>
      </c>
      <c r="AJ8571" s="835">
        <v>41759</v>
      </c>
      <c r="AK8571" s="831">
        <v>-560020</v>
      </c>
    </row>
    <row r="8572" spans="2:37">
      <c r="B8572" s="834" t="str">
        <f t="shared" si="345"/>
        <v>|||</v>
      </c>
      <c r="H8572" s="835">
        <f t="shared" si="346"/>
        <v>31</v>
      </c>
      <c r="AF8572" s="831" t="s">
        <v>9231</v>
      </c>
      <c r="AG8572" s="831" t="s">
        <v>131</v>
      </c>
      <c r="AH8572" s="831" t="s">
        <v>167</v>
      </c>
      <c r="AI8572" s="831">
        <v>0</v>
      </c>
      <c r="AJ8572" s="835">
        <v>41759</v>
      </c>
      <c r="AK8572" s="831">
        <v>0</v>
      </c>
    </row>
    <row r="8573" spans="2:37">
      <c r="B8573" s="834" t="str">
        <f t="shared" si="345"/>
        <v>|||</v>
      </c>
      <c r="H8573" s="835">
        <f t="shared" si="346"/>
        <v>31</v>
      </c>
      <c r="AF8573" s="831" t="s">
        <v>9232</v>
      </c>
      <c r="AG8573" s="831" t="s">
        <v>131</v>
      </c>
      <c r="AH8573" s="831" t="s">
        <v>169</v>
      </c>
      <c r="AI8573" s="831">
        <v>0</v>
      </c>
      <c r="AJ8573" s="835">
        <v>41759</v>
      </c>
      <c r="AK8573" s="831">
        <v>1556317</v>
      </c>
    </row>
    <row r="8574" spans="2:37">
      <c r="B8574" s="834" t="str">
        <f t="shared" si="345"/>
        <v>|||</v>
      </c>
      <c r="H8574" s="835">
        <f t="shared" si="346"/>
        <v>31</v>
      </c>
      <c r="AF8574" s="831" t="s">
        <v>9233</v>
      </c>
      <c r="AG8574" s="831" t="s">
        <v>131</v>
      </c>
      <c r="AH8574" s="831" t="s">
        <v>172</v>
      </c>
      <c r="AI8574" s="831">
        <v>0</v>
      </c>
      <c r="AJ8574" s="835">
        <v>41759</v>
      </c>
      <c r="AK8574" s="831">
        <v>-171141</v>
      </c>
    </row>
    <row r="8575" spans="2:37">
      <c r="B8575" s="834" t="str">
        <f t="shared" si="345"/>
        <v>|||</v>
      </c>
      <c r="H8575" s="835">
        <f t="shared" si="346"/>
        <v>31</v>
      </c>
      <c r="AF8575" s="831" t="s">
        <v>9234</v>
      </c>
      <c r="AG8575" s="831" t="s">
        <v>131</v>
      </c>
      <c r="AH8575" s="831" t="s">
        <v>175</v>
      </c>
      <c r="AI8575" s="831">
        <v>0</v>
      </c>
      <c r="AJ8575" s="835">
        <v>41759</v>
      </c>
      <c r="AK8575" s="831">
        <v>737998</v>
      </c>
    </row>
    <row r="8576" spans="2:37">
      <c r="B8576" s="834" t="str">
        <f t="shared" si="345"/>
        <v>|||</v>
      </c>
      <c r="H8576" s="835">
        <f t="shared" si="346"/>
        <v>31</v>
      </c>
      <c r="AF8576" s="831" t="s">
        <v>9235</v>
      </c>
      <c r="AG8576" s="831" t="s">
        <v>131</v>
      </c>
      <c r="AH8576" s="831" t="s">
        <v>185</v>
      </c>
      <c r="AI8576" s="831">
        <v>0</v>
      </c>
      <c r="AJ8576" s="835">
        <v>41759</v>
      </c>
      <c r="AK8576" s="831">
        <v>-13882702</v>
      </c>
    </row>
    <row r="8577" spans="2:37">
      <c r="B8577" s="834" t="str">
        <f t="shared" si="345"/>
        <v>|||</v>
      </c>
      <c r="H8577" s="835">
        <f t="shared" si="346"/>
        <v>31</v>
      </c>
      <c r="AF8577" s="831" t="s">
        <v>9236</v>
      </c>
      <c r="AG8577" s="831" t="s">
        <v>131</v>
      </c>
      <c r="AH8577" s="831" t="s">
        <v>188</v>
      </c>
      <c r="AI8577" s="831">
        <v>0</v>
      </c>
      <c r="AJ8577" s="835">
        <v>41759</v>
      </c>
      <c r="AK8577" s="831">
        <v>-6916881</v>
      </c>
    </row>
    <row r="8578" spans="2:37">
      <c r="B8578" s="834" t="str">
        <f t="shared" si="345"/>
        <v>|||</v>
      </c>
      <c r="H8578" s="835">
        <f t="shared" si="346"/>
        <v>31</v>
      </c>
      <c r="AF8578" s="831" t="s">
        <v>9237</v>
      </c>
      <c r="AG8578" s="831" t="s">
        <v>131</v>
      </c>
      <c r="AH8578" s="831" t="s">
        <v>191</v>
      </c>
      <c r="AI8578" s="831">
        <v>0</v>
      </c>
      <c r="AJ8578" s="835">
        <v>41759</v>
      </c>
      <c r="AK8578" s="831">
        <v>-2371664</v>
      </c>
    </row>
    <row r="8579" spans="2:37">
      <c r="B8579" s="834" t="str">
        <f t="shared" ref="B8579:B8642" si="347">C8579&amp;"|"&amp;D8579&amp;"|"&amp;E8579&amp;"|"&amp;F8579</f>
        <v>|||</v>
      </c>
      <c r="H8579" s="835">
        <f t="shared" si="346"/>
        <v>31</v>
      </c>
      <c r="AF8579" s="831" t="s">
        <v>9238</v>
      </c>
      <c r="AG8579" s="831" t="s">
        <v>131</v>
      </c>
      <c r="AH8579" s="831" t="s">
        <v>198</v>
      </c>
      <c r="AI8579" s="831">
        <v>0</v>
      </c>
      <c r="AJ8579" s="835">
        <v>41759</v>
      </c>
      <c r="AK8579" s="831">
        <v>0</v>
      </c>
    </row>
    <row r="8580" spans="2:37">
      <c r="B8580" s="834" t="str">
        <f t="shared" si="347"/>
        <v>|||</v>
      </c>
      <c r="H8580" s="835">
        <f t="shared" ref="H8580:H8643" si="348">EOMONTH(L8580,0)</f>
        <v>31</v>
      </c>
      <c r="AF8580" s="831" t="s">
        <v>9239</v>
      </c>
      <c r="AG8580" s="831" t="s">
        <v>131</v>
      </c>
      <c r="AH8580" s="831" t="s">
        <v>200</v>
      </c>
      <c r="AI8580" s="831">
        <v>0</v>
      </c>
      <c r="AJ8580" s="835">
        <v>41759</v>
      </c>
      <c r="AK8580" s="831">
        <v>0</v>
      </c>
    </row>
    <row r="8581" spans="2:37">
      <c r="B8581" s="834" t="str">
        <f t="shared" si="347"/>
        <v>|||</v>
      </c>
      <c r="H8581" s="835">
        <f t="shared" si="348"/>
        <v>31</v>
      </c>
      <c r="AF8581" s="831" t="s">
        <v>9240</v>
      </c>
      <c r="AG8581" s="831" t="s">
        <v>131</v>
      </c>
      <c r="AH8581" s="831" t="s">
        <v>205</v>
      </c>
      <c r="AI8581" s="831">
        <v>0</v>
      </c>
      <c r="AJ8581" s="835">
        <v>41759</v>
      </c>
      <c r="AK8581" s="831">
        <v>-3539295</v>
      </c>
    </row>
    <row r="8582" spans="2:37">
      <c r="B8582" s="834" t="str">
        <f t="shared" si="347"/>
        <v>|||</v>
      </c>
      <c r="H8582" s="835">
        <f t="shared" si="348"/>
        <v>31</v>
      </c>
      <c r="AF8582" s="831" t="s">
        <v>9241</v>
      </c>
      <c r="AG8582" s="831" t="s">
        <v>131</v>
      </c>
      <c r="AH8582" s="831" t="s">
        <v>122</v>
      </c>
      <c r="AI8582" s="831">
        <v>0</v>
      </c>
      <c r="AJ8582" s="835">
        <v>41759</v>
      </c>
      <c r="AK8582" s="831">
        <v>0</v>
      </c>
    </row>
    <row r="8583" spans="2:37">
      <c r="B8583" s="834" t="str">
        <f t="shared" si="347"/>
        <v>|||</v>
      </c>
      <c r="H8583" s="835">
        <f t="shared" si="348"/>
        <v>31</v>
      </c>
      <c r="AF8583" s="831" t="s">
        <v>9242</v>
      </c>
      <c r="AG8583" s="831" t="s">
        <v>131</v>
      </c>
      <c r="AH8583" s="831" t="s">
        <v>213</v>
      </c>
      <c r="AI8583" s="831">
        <v>0</v>
      </c>
      <c r="AJ8583" s="835">
        <v>41759</v>
      </c>
      <c r="AK8583" s="831">
        <v>0</v>
      </c>
    </row>
    <row r="8584" spans="2:37">
      <c r="B8584" s="834" t="str">
        <f t="shared" si="347"/>
        <v>|||</v>
      </c>
      <c r="H8584" s="835">
        <f t="shared" si="348"/>
        <v>31</v>
      </c>
      <c r="AF8584" s="831" t="s">
        <v>9243</v>
      </c>
      <c r="AG8584" s="831" t="s">
        <v>131</v>
      </c>
      <c r="AH8584" s="831" t="s">
        <v>215</v>
      </c>
      <c r="AI8584" s="831">
        <v>0</v>
      </c>
      <c r="AJ8584" s="835">
        <v>41759</v>
      </c>
      <c r="AK8584" s="831">
        <v>0</v>
      </c>
    </row>
    <row r="8585" spans="2:37">
      <c r="B8585" s="834" t="str">
        <f t="shared" si="347"/>
        <v>|||</v>
      </c>
      <c r="H8585" s="835">
        <f t="shared" si="348"/>
        <v>31</v>
      </c>
      <c r="AF8585" s="831" t="s">
        <v>9244</v>
      </c>
      <c r="AG8585" s="831" t="s">
        <v>131</v>
      </c>
      <c r="AH8585" s="831" t="s">
        <v>217</v>
      </c>
      <c r="AI8585" s="831">
        <v>0</v>
      </c>
      <c r="AJ8585" s="835">
        <v>41759</v>
      </c>
      <c r="AK8585" s="831">
        <v>0</v>
      </c>
    </row>
    <row r="8586" spans="2:37">
      <c r="B8586" s="834" t="str">
        <f t="shared" si="347"/>
        <v>|||</v>
      </c>
      <c r="H8586" s="835">
        <f t="shared" si="348"/>
        <v>31</v>
      </c>
      <c r="AF8586" s="831" t="s">
        <v>9245</v>
      </c>
      <c r="AG8586" s="831" t="s">
        <v>131</v>
      </c>
      <c r="AH8586" s="831" t="s">
        <v>223</v>
      </c>
      <c r="AI8586" s="831">
        <v>0</v>
      </c>
      <c r="AJ8586" s="835">
        <v>41759</v>
      </c>
      <c r="AK8586" s="831">
        <v>0</v>
      </c>
    </row>
    <row r="8587" spans="2:37">
      <c r="B8587" s="834" t="str">
        <f t="shared" si="347"/>
        <v>|||</v>
      </c>
      <c r="H8587" s="835">
        <f t="shared" si="348"/>
        <v>31</v>
      </c>
      <c r="AF8587" s="831" t="s">
        <v>9246</v>
      </c>
      <c r="AG8587" s="831" t="s">
        <v>131</v>
      </c>
      <c r="AH8587" s="831" t="s">
        <v>224</v>
      </c>
      <c r="AI8587" s="831">
        <v>0</v>
      </c>
      <c r="AJ8587" s="835">
        <v>41759</v>
      </c>
      <c r="AK8587" s="831">
        <v>0</v>
      </c>
    </row>
    <row r="8588" spans="2:37">
      <c r="B8588" s="834" t="str">
        <f t="shared" si="347"/>
        <v>|||</v>
      </c>
      <c r="H8588" s="835">
        <f t="shared" si="348"/>
        <v>31</v>
      </c>
      <c r="AF8588" s="831" t="s">
        <v>9247</v>
      </c>
      <c r="AG8588" s="831" t="s">
        <v>131</v>
      </c>
      <c r="AH8588" s="831" t="s">
        <v>128</v>
      </c>
      <c r="AI8588" s="831">
        <v>0</v>
      </c>
      <c r="AJ8588" s="835">
        <v>41759</v>
      </c>
      <c r="AK8588" s="831">
        <v>0</v>
      </c>
    </row>
    <row r="8589" spans="2:37">
      <c r="B8589" s="834" t="str">
        <f t="shared" si="347"/>
        <v>|||</v>
      </c>
      <c r="H8589" s="835">
        <f t="shared" si="348"/>
        <v>31</v>
      </c>
      <c r="AF8589" s="831" t="s">
        <v>9248</v>
      </c>
      <c r="AG8589" s="831" t="s">
        <v>131</v>
      </c>
      <c r="AH8589" s="831" t="s">
        <v>3237</v>
      </c>
      <c r="AI8589" s="831">
        <v>0</v>
      </c>
      <c r="AJ8589" s="835">
        <v>41759</v>
      </c>
      <c r="AK8589" s="831">
        <v>0</v>
      </c>
    </row>
    <row r="8590" spans="2:37">
      <c r="B8590" s="834" t="str">
        <f t="shared" si="347"/>
        <v>|||</v>
      </c>
      <c r="H8590" s="835">
        <f t="shared" si="348"/>
        <v>31</v>
      </c>
      <c r="AF8590" s="831" t="s">
        <v>9249</v>
      </c>
      <c r="AG8590" s="831" t="s">
        <v>131</v>
      </c>
      <c r="AH8590" s="831" t="s">
        <v>3239</v>
      </c>
      <c r="AI8590" s="831">
        <v>0</v>
      </c>
      <c r="AJ8590" s="835">
        <v>41759</v>
      </c>
      <c r="AK8590" s="831">
        <v>0</v>
      </c>
    </row>
    <row r="8591" spans="2:37">
      <c r="B8591" s="834" t="str">
        <f t="shared" si="347"/>
        <v>|||</v>
      </c>
      <c r="H8591" s="835">
        <f t="shared" si="348"/>
        <v>31</v>
      </c>
      <c r="AF8591" s="831" t="s">
        <v>9250</v>
      </c>
      <c r="AG8591" s="831" t="s">
        <v>131</v>
      </c>
      <c r="AH8591" s="831" t="s">
        <v>138</v>
      </c>
      <c r="AI8591" s="831">
        <v>0</v>
      </c>
      <c r="AJ8591" s="835">
        <v>41790</v>
      </c>
      <c r="AK8591" s="831">
        <v>61479942</v>
      </c>
    </row>
    <row r="8592" spans="2:37">
      <c r="B8592" s="834" t="str">
        <f t="shared" si="347"/>
        <v>|||</v>
      </c>
      <c r="H8592" s="835">
        <f t="shared" si="348"/>
        <v>31</v>
      </c>
      <c r="AF8592" s="831" t="s">
        <v>9251</v>
      </c>
      <c r="AG8592" s="831" t="s">
        <v>131</v>
      </c>
      <c r="AH8592" s="831" t="s">
        <v>141</v>
      </c>
      <c r="AI8592" s="831">
        <v>0</v>
      </c>
      <c r="AJ8592" s="835">
        <v>41790</v>
      </c>
      <c r="AK8592" s="831">
        <v>5094047</v>
      </c>
    </row>
    <row r="8593" spans="2:37">
      <c r="B8593" s="834" t="str">
        <f t="shared" si="347"/>
        <v>|||</v>
      </c>
      <c r="H8593" s="835">
        <f t="shared" si="348"/>
        <v>31</v>
      </c>
      <c r="AF8593" s="831" t="s">
        <v>9252</v>
      </c>
      <c r="AG8593" s="831" t="s">
        <v>131</v>
      </c>
      <c r="AH8593" s="831" t="s">
        <v>146</v>
      </c>
      <c r="AI8593" s="831">
        <v>0</v>
      </c>
      <c r="AJ8593" s="835">
        <v>41790</v>
      </c>
      <c r="AK8593" s="831">
        <v>-10132289</v>
      </c>
    </row>
    <row r="8594" spans="2:37">
      <c r="B8594" s="834" t="str">
        <f t="shared" si="347"/>
        <v>|||</v>
      </c>
      <c r="H8594" s="835">
        <f t="shared" si="348"/>
        <v>31</v>
      </c>
      <c r="AF8594" s="831" t="s">
        <v>9253</v>
      </c>
      <c r="AG8594" s="831" t="s">
        <v>131</v>
      </c>
      <c r="AH8594" s="831" t="s">
        <v>150</v>
      </c>
      <c r="AI8594" s="831">
        <v>0</v>
      </c>
      <c r="AJ8594" s="835">
        <v>41790</v>
      </c>
      <c r="AK8594" s="831">
        <v>-9354879</v>
      </c>
    </row>
    <row r="8595" spans="2:37">
      <c r="B8595" s="834" t="str">
        <f t="shared" si="347"/>
        <v>|||</v>
      </c>
      <c r="H8595" s="835">
        <f t="shared" si="348"/>
        <v>31</v>
      </c>
      <c r="AF8595" s="831" t="s">
        <v>9254</v>
      </c>
      <c r="AG8595" s="831" t="s">
        <v>131</v>
      </c>
      <c r="AH8595" s="831" t="s">
        <v>77</v>
      </c>
      <c r="AI8595" s="831">
        <v>0</v>
      </c>
      <c r="AJ8595" s="835">
        <v>41790</v>
      </c>
      <c r="AK8595" s="831">
        <v>-660077</v>
      </c>
    </row>
    <row r="8596" spans="2:37">
      <c r="B8596" s="834" t="str">
        <f t="shared" si="347"/>
        <v>|||</v>
      </c>
      <c r="H8596" s="835">
        <f t="shared" si="348"/>
        <v>31</v>
      </c>
      <c r="AF8596" s="831" t="s">
        <v>9255</v>
      </c>
      <c r="AG8596" s="831" t="s">
        <v>131</v>
      </c>
      <c r="AH8596" s="831" t="s">
        <v>167</v>
      </c>
      <c r="AI8596" s="831">
        <v>0</v>
      </c>
      <c r="AJ8596" s="835">
        <v>41790</v>
      </c>
      <c r="AK8596" s="831">
        <v>0</v>
      </c>
    </row>
    <row r="8597" spans="2:37">
      <c r="B8597" s="834" t="str">
        <f t="shared" si="347"/>
        <v>|||</v>
      </c>
      <c r="H8597" s="835">
        <f t="shared" si="348"/>
        <v>31</v>
      </c>
      <c r="AF8597" s="831" t="s">
        <v>9256</v>
      </c>
      <c r="AG8597" s="831" t="s">
        <v>131</v>
      </c>
      <c r="AH8597" s="831" t="s">
        <v>169</v>
      </c>
      <c r="AI8597" s="831">
        <v>0</v>
      </c>
      <c r="AJ8597" s="835">
        <v>41790</v>
      </c>
      <c r="AK8597" s="831">
        <v>1931926</v>
      </c>
    </row>
    <row r="8598" spans="2:37">
      <c r="B8598" s="834" t="str">
        <f t="shared" si="347"/>
        <v>|||</v>
      </c>
      <c r="H8598" s="835">
        <f t="shared" si="348"/>
        <v>31</v>
      </c>
      <c r="AF8598" s="831" t="s">
        <v>9257</v>
      </c>
      <c r="AG8598" s="831" t="s">
        <v>131</v>
      </c>
      <c r="AH8598" s="831" t="s">
        <v>172</v>
      </c>
      <c r="AI8598" s="831">
        <v>0</v>
      </c>
      <c r="AJ8598" s="835">
        <v>41790</v>
      </c>
      <c r="AK8598" s="831">
        <v>-167513</v>
      </c>
    </row>
    <row r="8599" spans="2:37">
      <c r="B8599" s="834" t="str">
        <f t="shared" si="347"/>
        <v>|||</v>
      </c>
      <c r="H8599" s="835">
        <f t="shared" si="348"/>
        <v>31</v>
      </c>
      <c r="AF8599" s="831" t="s">
        <v>9258</v>
      </c>
      <c r="AG8599" s="831" t="s">
        <v>131</v>
      </c>
      <c r="AH8599" s="831" t="s">
        <v>175</v>
      </c>
      <c r="AI8599" s="831">
        <v>0</v>
      </c>
      <c r="AJ8599" s="835">
        <v>41790</v>
      </c>
      <c r="AK8599" s="831">
        <v>1347459</v>
      </c>
    </row>
    <row r="8600" spans="2:37">
      <c r="B8600" s="834" t="str">
        <f t="shared" si="347"/>
        <v>|||</v>
      </c>
      <c r="H8600" s="835">
        <f t="shared" si="348"/>
        <v>31</v>
      </c>
      <c r="AF8600" s="831" t="s">
        <v>9259</v>
      </c>
      <c r="AG8600" s="831" t="s">
        <v>131</v>
      </c>
      <c r="AH8600" s="831" t="s">
        <v>185</v>
      </c>
      <c r="AI8600" s="831">
        <v>0</v>
      </c>
      <c r="AJ8600" s="835">
        <v>41790</v>
      </c>
      <c r="AK8600" s="831">
        <v>-17788504</v>
      </c>
    </row>
    <row r="8601" spans="2:37">
      <c r="B8601" s="834" t="str">
        <f t="shared" si="347"/>
        <v>|||</v>
      </c>
      <c r="H8601" s="835">
        <f t="shared" si="348"/>
        <v>31</v>
      </c>
      <c r="AF8601" s="831" t="s">
        <v>9260</v>
      </c>
      <c r="AG8601" s="831" t="s">
        <v>131</v>
      </c>
      <c r="AH8601" s="831" t="s">
        <v>188</v>
      </c>
      <c r="AI8601" s="831">
        <v>0</v>
      </c>
      <c r="AJ8601" s="835">
        <v>41790</v>
      </c>
      <c r="AK8601" s="831">
        <v>-8370062</v>
      </c>
    </row>
    <row r="8602" spans="2:37">
      <c r="B8602" s="834" t="str">
        <f t="shared" si="347"/>
        <v>|||</v>
      </c>
      <c r="H8602" s="835">
        <f t="shared" si="348"/>
        <v>31</v>
      </c>
      <c r="AF8602" s="831" t="s">
        <v>9261</v>
      </c>
      <c r="AG8602" s="831" t="s">
        <v>131</v>
      </c>
      <c r="AH8602" s="831" t="s">
        <v>191</v>
      </c>
      <c r="AI8602" s="831">
        <v>0</v>
      </c>
      <c r="AJ8602" s="835">
        <v>41790</v>
      </c>
      <c r="AK8602" s="831">
        <v>-3001596</v>
      </c>
    </row>
    <row r="8603" spans="2:37">
      <c r="B8603" s="834" t="str">
        <f t="shared" si="347"/>
        <v>|||</v>
      </c>
      <c r="H8603" s="835">
        <f t="shared" si="348"/>
        <v>31</v>
      </c>
      <c r="AF8603" s="831" t="s">
        <v>9262</v>
      </c>
      <c r="AG8603" s="831" t="s">
        <v>131</v>
      </c>
      <c r="AH8603" s="831" t="s">
        <v>198</v>
      </c>
      <c r="AI8603" s="831">
        <v>0</v>
      </c>
      <c r="AJ8603" s="835">
        <v>41790</v>
      </c>
      <c r="AK8603" s="831">
        <v>0</v>
      </c>
    </row>
    <row r="8604" spans="2:37">
      <c r="B8604" s="834" t="str">
        <f t="shared" si="347"/>
        <v>|||</v>
      </c>
      <c r="H8604" s="835">
        <f t="shared" si="348"/>
        <v>31</v>
      </c>
      <c r="AF8604" s="831" t="s">
        <v>9263</v>
      </c>
      <c r="AG8604" s="831" t="s">
        <v>131</v>
      </c>
      <c r="AH8604" s="831" t="s">
        <v>200</v>
      </c>
      <c r="AI8604" s="831">
        <v>0</v>
      </c>
      <c r="AJ8604" s="835">
        <v>41790</v>
      </c>
      <c r="AK8604" s="831">
        <v>0</v>
      </c>
    </row>
    <row r="8605" spans="2:37">
      <c r="B8605" s="834" t="str">
        <f t="shared" si="347"/>
        <v>|||</v>
      </c>
      <c r="H8605" s="835">
        <f t="shared" si="348"/>
        <v>31</v>
      </c>
      <c r="AF8605" s="831" t="s">
        <v>9264</v>
      </c>
      <c r="AG8605" s="831" t="s">
        <v>131</v>
      </c>
      <c r="AH8605" s="831" t="s">
        <v>205</v>
      </c>
      <c r="AI8605" s="831">
        <v>0</v>
      </c>
      <c r="AJ8605" s="835">
        <v>41790</v>
      </c>
      <c r="AK8605" s="831">
        <v>-4669738</v>
      </c>
    </row>
    <row r="8606" spans="2:37">
      <c r="B8606" s="834" t="str">
        <f t="shared" si="347"/>
        <v>|||</v>
      </c>
      <c r="H8606" s="835">
        <f t="shared" si="348"/>
        <v>31</v>
      </c>
      <c r="AF8606" s="831" t="s">
        <v>9265</v>
      </c>
      <c r="AG8606" s="831" t="s">
        <v>131</v>
      </c>
      <c r="AH8606" s="831" t="s">
        <v>122</v>
      </c>
      <c r="AI8606" s="831">
        <v>0</v>
      </c>
      <c r="AJ8606" s="835">
        <v>41790</v>
      </c>
      <c r="AK8606" s="831">
        <v>0</v>
      </c>
    </row>
    <row r="8607" spans="2:37">
      <c r="B8607" s="834" t="str">
        <f t="shared" si="347"/>
        <v>|||</v>
      </c>
      <c r="H8607" s="835">
        <f t="shared" si="348"/>
        <v>31</v>
      </c>
      <c r="AF8607" s="831" t="s">
        <v>9266</v>
      </c>
      <c r="AG8607" s="831" t="s">
        <v>131</v>
      </c>
      <c r="AH8607" s="831" t="s">
        <v>213</v>
      </c>
      <c r="AI8607" s="831">
        <v>0</v>
      </c>
      <c r="AJ8607" s="835">
        <v>41790</v>
      </c>
      <c r="AK8607" s="831">
        <v>0</v>
      </c>
    </row>
    <row r="8608" spans="2:37">
      <c r="B8608" s="834" t="str">
        <f t="shared" si="347"/>
        <v>|||</v>
      </c>
      <c r="H8608" s="835">
        <f t="shared" si="348"/>
        <v>31</v>
      </c>
      <c r="AF8608" s="831" t="s">
        <v>9267</v>
      </c>
      <c r="AG8608" s="831" t="s">
        <v>131</v>
      </c>
      <c r="AH8608" s="831" t="s">
        <v>215</v>
      </c>
      <c r="AI8608" s="831">
        <v>0</v>
      </c>
      <c r="AJ8608" s="835">
        <v>41790</v>
      </c>
      <c r="AK8608" s="831">
        <v>0</v>
      </c>
    </row>
    <row r="8609" spans="2:37">
      <c r="B8609" s="834" t="str">
        <f t="shared" si="347"/>
        <v>|||</v>
      </c>
      <c r="H8609" s="835">
        <f t="shared" si="348"/>
        <v>31</v>
      </c>
      <c r="AF8609" s="831" t="s">
        <v>9268</v>
      </c>
      <c r="AG8609" s="831" t="s">
        <v>131</v>
      </c>
      <c r="AH8609" s="831" t="s">
        <v>217</v>
      </c>
      <c r="AI8609" s="831">
        <v>0</v>
      </c>
      <c r="AJ8609" s="835">
        <v>41790</v>
      </c>
      <c r="AK8609" s="831">
        <v>0</v>
      </c>
    </row>
    <row r="8610" spans="2:37">
      <c r="B8610" s="834" t="str">
        <f t="shared" si="347"/>
        <v>|||</v>
      </c>
      <c r="H8610" s="835">
        <f t="shared" si="348"/>
        <v>31</v>
      </c>
      <c r="AF8610" s="831" t="s">
        <v>9269</v>
      </c>
      <c r="AG8610" s="831" t="s">
        <v>131</v>
      </c>
      <c r="AH8610" s="831" t="s">
        <v>223</v>
      </c>
      <c r="AI8610" s="831">
        <v>0</v>
      </c>
      <c r="AJ8610" s="835">
        <v>41790</v>
      </c>
      <c r="AK8610" s="831">
        <v>0</v>
      </c>
    </row>
    <row r="8611" spans="2:37">
      <c r="B8611" s="834" t="str">
        <f t="shared" si="347"/>
        <v>|||</v>
      </c>
      <c r="H8611" s="835">
        <f t="shared" si="348"/>
        <v>31</v>
      </c>
      <c r="AF8611" s="831" t="s">
        <v>9270</v>
      </c>
      <c r="AG8611" s="831" t="s">
        <v>131</v>
      </c>
      <c r="AH8611" s="831" t="s">
        <v>224</v>
      </c>
      <c r="AI8611" s="831">
        <v>0</v>
      </c>
      <c r="AJ8611" s="835">
        <v>41790</v>
      </c>
      <c r="AK8611" s="831">
        <v>0</v>
      </c>
    </row>
    <row r="8612" spans="2:37">
      <c r="B8612" s="834" t="str">
        <f t="shared" si="347"/>
        <v>|||</v>
      </c>
      <c r="H8612" s="835">
        <f t="shared" si="348"/>
        <v>31</v>
      </c>
      <c r="AF8612" s="831" t="s">
        <v>9271</v>
      </c>
      <c r="AG8612" s="831" t="s">
        <v>131</v>
      </c>
      <c r="AH8612" s="831" t="s">
        <v>128</v>
      </c>
      <c r="AI8612" s="831">
        <v>0</v>
      </c>
      <c r="AJ8612" s="835">
        <v>41790</v>
      </c>
      <c r="AK8612" s="831">
        <v>0</v>
      </c>
    </row>
    <row r="8613" spans="2:37">
      <c r="B8613" s="834" t="str">
        <f t="shared" si="347"/>
        <v>|||</v>
      </c>
      <c r="H8613" s="835">
        <f t="shared" si="348"/>
        <v>31</v>
      </c>
      <c r="AF8613" s="831" t="s">
        <v>9272</v>
      </c>
      <c r="AG8613" s="831" t="s">
        <v>131</v>
      </c>
      <c r="AH8613" s="831" t="s">
        <v>3237</v>
      </c>
      <c r="AI8613" s="831">
        <v>0</v>
      </c>
      <c r="AJ8613" s="835">
        <v>41790</v>
      </c>
      <c r="AK8613" s="831">
        <v>0</v>
      </c>
    </row>
    <row r="8614" spans="2:37">
      <c r="B8614" s="834" t="str">
        <f t="shared" si="347"/>
        <v>|||</v>
      </c>
      <c r="H8614" s="835">
        <f t="shared" si="348"/>
        <v>31</v>
      </c>
      <c r="AF8614" s="831" t="s">
        <v>9273</v>
      </c>
      <c r="AG8614" s="831" t="s">
        <v>131</v>
      </c>
      <c r="AH8614" s="831" t="s">
        <v>3239</v>
      </c>
      <c r="AI8614" s="831">
        <v>0</v>
      </c>
      <c r="AJ8614" s="835">
        <v>41790</v>
      </c>
      <c r="AK8614" s="831">
        <v>0</v>
      </c>
    </row>
    <row r="8615" spans="2:37">
      <c r="B8615" s="834" t="str">
        <f t="shared" si="347"/>
        <v>|||</v>
      </c>
      <c r="H8615" s="835">
        <f t="shared" si="348"/>
        <v>31</v>
      </c>
      <c r="AF8615" s="831" t="s">
        <v>9274</v>
      </c>
      <c r="AG8615" s="831" t="s">
        <v>131</v>
      </c>
      <c r="AH8615" s="831" t="s">
        <v>138</v>
      </c>
      <c r="AI8615" s="831">
        <v>0</v>
      </c>
      <c r="AJ8615" s="835">
        <v>41820</v>
      </c>
      <c r="AK8615" s="831">
        <v>75150591</v>
      </c>
    </row>
    <row r="8616" spans="2:37">
      <c r="B8616" s="834" t="str">
        <f t="shared" si="347"/>
        <v>|||</v>
      </c>
      <c r="H8616" s="835">
        <f t="shared" si="348"/>
        <v>31</v>
      </c>
      <c r="AF8616" s="831" t="s">
        <v>9275</v>
      </c>
      <c r="AG8616" s="831" t="s">
        <v>131</v>
      </c>
      <c r="AH8616" s="831" t="s">
        <v>141</v>
      </c>
      <c r="AI8616" s="831">
        <v>0</v>
      </c>
      <c r="AJ8616" s="835">
        <v>41820</v>
      </c>
      <c r="AK8616" s="831">
        <v>6119780</v>
      </c>
    </row>
    <row r="8617" spans="2:37">
      <c r="B8617" s="834" t="str">
        <f t="shared" si="347"/>
        <v>|||</v>
      </c>
      <c r="H8617" s="835">
        <f t="shared" si="348"/>
        <v>31</v>
      </c>
      <c r="AF8617" s="831" t="s">
        <v>9276</v>
      </c>
      <c r="AG8617" s="831" t="s">
        <v>131</v>
      </c>
      <c r="AH8617" s="831" t="s">
        <v>146</v>
      </c>
      <c r="AI8617" s="831">
        <v>0</v>
      </c>
      <c r="AJ8617" s="835">
        <v>41820</v>
      </c>
      <c r="AK8617" s="831">
        <v>-12347349</v>
      </c>
    </row>
    <row r="8618" spans="2:37">
      <c r="B8618" s="834" t="str">
        <f t="shared" si="347"/>
        <v>|||</v>
      </c>
      <c r="H8618" s="835">
        <f t="shared" si="348"/>
        <v>31</v>
      </c>
      <c r="AF8618" s="831" t="s">
        <v>9277</v>
      </c>
      <c r="AG8618" s="831" t="s">
        <v>131</v>
      </c>
      <c r="AH8618" s="831" t="s">
        <v>150</v>
      </c>
      <c r="AI8618" s="831">
        <v>0</v>
      </c>
      <c r="AJ8618" s="835">
        <v>41820</v>
      </c>
      <c r="AK8618" s="831">
        <v>-11430769</v>
      </c>
    </row>
    <row r="8619" spans="2:37">
      <c r="B8619" s="834" t="str">
        <f t="shared" si="347"/>
        <v>|||</v>
      </c>
      <c r="H8619" s="835">
        <f t="shared" si="348"/>
        <v>31</v>
      </c>
      <c r="AF8619" s="831" t="s">
        <v>9278</v>
      </c>
      <c r="AG8619" s="831" t="s">
        <v>131</v>
      </c>
      <c r="AH8619" s="831" t="s">
        <v>77</v>
      </c>
      <c r="AI8619" s="831">
        <v>0</v>
      </c>
      <c r="AJ8619" s="835">
        <v>41820</v>
      </c>
      <c r="AK8619" s="831">
        <v>-664842</v>
      </c>
    </row>
    <row r="8620" spans="2:37">
      <c r="B8620" s="834" t="str">
        <f t="shared" si="347"/>
        <v>|||</v>
      </c>
      <c r="H8620" s="835">
        <f t="shared" si="348"/>
        <v>31</v>
      </c>
      <c r="AF8620" s="831" t="s">
        <v>9279</v>
      </c>
      <c r="AG8620" s="831" t="s">
        <v>131</v>
      </c>
      <c r="AH8620" s="831" t="s">
        <v>167</v>
      </c>
      <c r="AI8620" s="831">
        <v>0</v>
      </c>
      <c r="AJ8620" s="835">
        <v>41820</v>
      </c>
      <c r="AK8620" s="831">
        <v>0</v>
      </c>
    </row>
    <row r="8621" spans="2:37">
      <c r="B8621" s="834" t="str">
        <f t="shared" si="347"/>
        <v>|||</v>
      </c>
      <c r="H8621" s="835">
        <f t="shared" si="348"/>
        <v>31</v>
      </c>
      <c r="AF8621" s="831" t="s">
        <v>9280</v>
      </c>
      <c r="AG8621" s="831" t="s">
        <v>131</v>
      </c>
      <c r="AH8621" s="831" t="s">
        <v>169</v>
      </c>
      <c r="AI8621" s="831">
        <v>0</v>
      </c>
      <c r="AJ8621" s="835">
        <v>41820</v>
      </c>
      <c r="AK8621" s="831">
        <v>2377380</v>
      </c>
    </row>
    <row r="8622" spans="2:37">
      <c r="B8622" s="834" t="str">
        <f t="shared" si="347"/>
        <v>|||</v>
      </c>
      <c r="H8622" s="835">
        <f t="shared" si="348"/>
        <v>31</v>
      </c>
      <c r="AF8622" s="831" t="s">
        <v>9281</v>
      </c>
      <c r="AG8622" s="831" t="s">
        <v>131</v>
      </c>
      <c r="AH8622" s="831" t="s">
        <v>172</v>
      </c>
      <c r="AI8622" s="831">
        <v>0</v>
      </c>
      <c r="AJ8622" s="835">
        <v>41820</v>
      </c>
      <c r="AK8622" s="831">
        <v>-160040</v>
      </c>
    </row>
    <row r="8623" spans="2:37">
      <c r="B8623" s="834" t="str">
        <f t="shared" si="347"/>
        <v>|||</v>
      </c>
      <c r="H8623" s="835">
        <f t="shared" si="348"/>
        <v>31</v>
      </c>
      <c r="AF8623" s="831" t="s">
        <v>9282</v>
      </c>
      <c r="AG8623" s="831" t="s">
        <v>131</v>
      </c>
      <c r="AH8623" s="831" t="s">
        <v>175</v>
      </c>
      <c r="AI8623" s="831">
        <v>0</v>
      </c>
      <c r="AJ8623" s="835">
        <v>41820</v>
      </c>
      <c r="AK8623" s="831">
        <v>924072</v>
      </c>
    </row>
    <row r="8624" spans="2:37">
      <c r="B8624" s="834" t="str">
        <f t="shared" si="347"/>
        <v>|||</v>
      </c>
      <c r="H8624" s="835">
        <f t="shared" si="348"/>
        <v>31</v>
      </c>
      <c r="AF8624" s="831" t="s">
        <v>9283</v>
      </c>
      <c r="AG8624" s="831" t="s">
        <v>131</v>
      </c>
      <c r="AH8624" s="831" t="s">
        <v>185</v>
      </c>
      <c r="AI8624" s="831">
        <v>0</v>
      </c>
      <c r="AJ8624" s="835">
        <v>41820</v>
      </c>
      <c r="AK8624" s="831">
        <v>-22048347</v>
      </c>
    </row>
    <row r="8625" spans="2:37">
      <c r="B8625" s="834" t="str">
        <f t="shared" si="347"/>
        <v>|||</v>
      </c>
      <c r="H8625" s="835">
        <f t="shared" si="348"/>
        <v>31</v>
      </c>
      <c r="AF8625" s="831" t="s">
        <v>9284</v>
      </c>
      <c r="AG8625" s="831" t="s">
        <v>131</v>
      </c>
      <c r="AH8625" s="831" t="s">
        <v>188</v>
      </c>
      <c r="AI8625" s="831">
        <v>0</v>
      </c>
      <c r="AJ8625" s="835">
        <v>41820</v>
      </c>
      <c r="AK8625" s="831">
        <v>-10172478</v>
      </c>
    </row>
    <row r="8626" spans="2:37">
      <c r="B8626" s="834" t="str">
        <f t="shared" si="347"/>
        <v>|||</v>
      </c>
      <c r="H8626" s="835">
        <f t="shared" si="348"/>
        <v>31</v>
      </c>
      <c r="AF8626" s="831" t="s">
        <v>9285</v>
      </c>
      <c r="AG8626" s="831" t="s">
        <v>131</v>
      </c>
      <c r="AH8626" s="831" t="s">
        <v>191</v>
      </c>
      <c r="AI8626" s="831">
        <v>0</v>
      </c>
      <c r="AJ8626" s="835">
        <v>41820</v>
      </c>
      <c r="AK8626" s="831">
        <v>-3625705</v>
      </c>
    </row>
    <row r="8627" spans="2:37">
      <c r="B8627" s="834" t="str">
        <f t="shared" si="347"/>
        <v>|||</v>
      </c>
      <c r="H8627" s="835">
        <f t="shared" si="348"/>
        <v>31</v>
      </c>
      <c r="AF8627" s="831" t="s">
        <v>9286</v>
      </c>
      <c r="AG8627" s="831" t="s">
        <v>131</v>
      </c>
      <c r="AH8627" s="831" t="s">
        <v>198</v>
      </c>
      <c r="AI8627" s="831">
        <v>0</v>
      </c>
      <c r="AJ8627" s="835">
        <v>41820</v>
      </c>
      <c r="AK8627" s="831">
        <v>0</v>
      </c>
    </row>
    <row r="8628" spans="2:37">
      <c r="B8628" s="834" t="str">
        <f t="shared" si="347"/>
        <v>|||</v>
      </c>
      <c r="H8628" s="835">
        <f t="shared" si="348"/>
        <v>31</v>
      </c>
      <c r="AF8628" s="831" t="s">
        <v>9287</v>
      </c>
      <c r="AG8628" s="831" t="s">
        <v>131</v>
      </c>
      <c r="AH8628" s="831" t="s">
        <v>200</v>
      </c>
      <c r="AI8628" s="831">
        <v>0</v>
      </c>
      <c r="AJ8628" s="835">
        <v>41820</v>
      </c>
      <c r="AK8628" s="831">
        <v>0</v>
      </c>
    </row>
    <row r="8629" spans="2:37">
      <c r="B8629" s="834" t="str">
        <f t="shared" si="347"/>
        <v>|||</v>
      </c>
      <c r="H8629" s="835">
        <f t="shared" si="348"/>
        <v>31</v>
      </c>
      <c r="AF8629" s="831" t="s">
        <v>9288</v>
      </c>
      <c r="AG8629" s="831" t="s">
        <v>131</v>
      </c>
      <c r="AH8629" s="831" t="s">
        <v>205</v>
      </c>
      <c r="AI8629" s="831">
        <v>0</v>
      </c>
      <c r="AJ8629" s="835">
        <v>41820</v>
      </c>
      <c r="AK8629" s="831">
        <v>-5495374</v>
      </c>
    </row>
    <row r="8630" spans="2:37">
      <c r="B8630" s="834" t="str">
        <f t="shared" si="347"/>
        <v>|||</v>
      </c>
      <c r="H8630" s="835">
        <f t="shared" si="348"/>
        <v>31</v>
      </c>
      <c r="AF8630" s="831" t="s">
        <v>9289</v>
      </c>
      <c r="AG8630" s="831" t="s">
        <v>131</v>
      </c>
      <c r="AH8630" s="831" t="s">
        <v>122</v>
      </c>
      <c r="AI8630" s="831">
        <v>0</v>
      </c>
      <c r="AJ8630" s="835">
        <v>41820</v>
      </c>
      <c r="AK8630" s="831">
        <v>0</v>
      </c>
    </row>
    <row r="8631" spans="2:37">
      <c r="B8631" s="834" t="str">
        <f t="shared" si="347"/>
        <v>|||</v>
      </c>
      <c r="H8631" s="835">
        <f t="shared" si="348"/>
        <v>31</v>
      </c>
      <c r="AF8631" s="831" t="s">
        <v>9290</v>
      </c>
      <c r="AG8631" s="831" t="s">
        <v>131</v>
      </c>
      <c r="AH8631" s="831" t="s">
        <v>213</v>
      </c>
      <c r="AI8631" s="831">
        <v>0</v>
      </c>
      <c r="AJ8631" s="835">
        <v>41820</v>
      </c>
      <c r="AK8631" s="831">
        <v>0</v>
      </c>
    </row>
    <row r="8632" spans="2:37">
      <c r="B8632" s="834" t="str">
        <f t="shared" si="347"/>
        <v>|||</v>
      </c>
      <c r="H8632" s="835">
        <f t="shared" si="348"/>
        <v>31</v>
      </c>
      <c r="AF8632" s="831" t="s">
        <v>9291</v>
      </c>
      <c r="AG8632" s="831" t="s">
        <v>131</v>
      </c>
      <c r="AH8632" s="831" t="s">
        <v>215</v>
      </c>
      <c r="AI8632" s="831">
        <v>0</v>
      </c>
      <c r="AJ8632" s="835">
        <v>41820</v>
      </c>
      <c r="AK8632" s="831">
        <v>0</v>
      </c>
    </row>
    <row r="8633" spans="2:37">
      <c r="B8633" s="834" t="str">
        <f t="shared" si="347"/>
        <v>|||</v>
      </c>
      <c r="H8633" s="835">
        <f t="shared" si="348"/>
        <v>31</v>
      </c>
      <c r="AF8633" s="831" t="s">
        <v>9292</v>
      </c>
      <c r="AG8633" s="831" t="s">
        <v>131</v>
      </c>
      <c r="AH8633" s="831" t="s">
        <v>217</v>
      </c>
      <c r="AI8633" s="831">
        <v>0</v>
      </c>
      <c r="AJ8633" s="835">
        <v>41820</v>
      </c>
      <c r="AK8633" s="831">
        <v>0</v>
      </c>
    </row>
    <row r="8634" spans="2:37">
      <c r="B8634" s="834" t="str">
        <f t="shared" si="347"/>
        <v>|||</v>
      </c>
      <c r="H8634" s="835">
        <f t="shared" si="348"/>
        <v>31</v>
      </c>
      <c r="AF8634" s="831" t="s">
        <v>9293</v>
      </c>
      <c r="AG8634" s="831" t="s">
        <v>131</v>
      </c>
      <c r="AH8634" s="831" t="s">
        <v>223</v>
      </c>
      <c r="AI8634" s="831">
        <v>0</v>
      </c>
      <c r="AJ8634" s="835">
        <v>41820</v>
      </c>
      <c r="AK8634" s="831">
        <v>0</v>
      </c>
    </row>
    <row r="8635" spans="2:37">
      <c r="B8635" s="834" t="str">
        <f t="shared" si="347"/>
        <v>|||</v>
      </c>
      <c r="H8635" s="835">
        <f t="shared" si="348"/>
        <v>31</v>
      </c>
      <c r="AF8635" s="831" t="s">
        <v>9294</v>
      </c>
      <c r="AG8635" s="831" t="s">
        <v>131</v>
      </c>
      <c r="AH8635" s="831" t="s">
        <v>224</v>
      </c>
      <c r="AI8635" s="831">
        <v>0</v>
      </c>
      <c r="AJ8635" s="835">
        <v>41820</v>
      </c>
      <c r="AK8635" s="831">
        <v>0</v>
      </c>
    </row>
    <row r="8636" spans="2:37">
      <c r="B8636" s="834" t="str">
        <f t="shared" si="347"/>
        <v>|||</v>
      </c>
      <c r="H8636" s="835">
        <f t="shared" si="348"/>
        <v>31</v>
      </c>
      <c r="AF8636" s="831" t="s">
        <v>9295</v>
      </c>
      <c r="AG8636" s="831" t="s">
        <v>131</v>
      </c>
      <c r="AH8636" s="831" t="s">
        <v>128</v>
      </c>
      <c r="AI8636" s="831">
        <v>0</v>
      </c>
      <c r="AJ8636" s="835">
        <v>41820</v>
      </c>
      <c r="AK8636" s="831">
        <v>0</v>
      </c>
    </row>
    <row r="8637" spans="2:37">
      <c r="B8637" s="834" t="str">
        <f t="shared" si="347"/>
        <v>|||</v>
      </c>
      <c r="H8637" s="835">
        <f t="shared" si="348"/>
        <v>31</v>
      </c>
      <c r="AF8637" s="831" t="s">
        <v>9296</v>
      </c>
      <c r="AG8637" s="831" t="s">
        <v>131</v>
      </c>
      <c r="AH8637" s="831" t="s">
        <v>3237</v>
      </c>
      <c r="AI8637" s="831">
        <v>0</v>
      </c>
      <c r="AJ8637" s="835">
        <v>41820</v>
      </c>
      <c r="AK8637" s="831">
        <v>0</v>
      </c>
    </row>
    <row r="8638" spans="2:37">
      <c r="B8638" s="834" t="str">
        <f t="shared" si="347"/>
        <v>|||</v>
      </c>
      <c r="H8638" s="835">
        <f t="shared" si="348"/>
        <v>31</v>
      </c>
      <c r="AF8638" s="831" t="s">
        <v>9297</v>
      </c>
      <c r="AG8638" s="831" t="s">
        <v>131</v>
      </c>
      <c r="AH8638" s="831" t="s">
        <v>3239</v>
      </c>
      <c r="AI8638" s="831">
        <v>0</v>
      </c>
      <c r="AJ8638" s="835">
        <v>41820</v>
      </c>
      <c r="AK8638" s="831">
        <v>0</v>
      </c>
    </row>
    <row r="8639" spans="2:37">
      <c r="B8639" s="834" t="str">
        <f t="shared" si="347"/>
        <v>|||</v>
      </c>
      <c r="H8639" s="835">
        <f t="shared" si="348"/>
        <v>31</v>
      </c>
      <c r="AF8639" s="831" t="s">
        <v>9298</v>
      </c>
      <c r="AG8639" s="831" t="s">
        <v>131</v>
      </c>
      <c r="AH8639" s="831" t="s">
        <v>138</v>
      </c>
      <c r="AI8639" s="831">
        <v>0</v>
      </c>
      <c r="AJ8639" s="835">
        <v>41851</v>
      </c>
      <c r="AK8639" s="831">
        <v>88935705</v>
      </c>
    </row>
    <row r="8640" spans="2:37">
      <c r="B8640" s="834" t="str">
        <f t="shared" si="347"/>
        <v>|||</v>
      </c>
      <c r="H8640" s="835">
        <f t="shared" si="348"/>
        <v>31</v>
      </c>
      <c r="AF8640" s="831" t="s">
        <v>9299</v>
      </c>
      <c r="AG8640" s="831" t="s">
        <v>131</v>
      </c>
      <c r="AH8640" s="831" t="s">
        <v>141</v>
      </c>
      <c r="AI8640" s="831">
        <v>0</v>
      </c>
      <c r="AJ8640" s="835">
        <v>41851</v>
      </c>
      <c r="AK8640" s="831">
        <v>7214487</v>
      </c>
    </row>
    <row r="8641" spans="2:37">
      <c r="B8641" s="834" t="str">
        <f t="shared" si="347"/>
        <v>|||</v>
      </c>
      <c r="H8641" s="835">
        <f t="shared" si="348"/>
        <v>31</v>
      </c>
      <c r="AF8641" s="831" t="s">
        <v>9300</v>
      </c>
      <c r="AG8641" s="831" t="s">
        <v>131</v>
      </c>
      <c r="AH8641" s="831" t="s">
        <v>146</v>
      </c>
      <c r="AI8641" s="831">
        <v>0</v>
      </c>
      <c r="AJ8641" s="835">
        <v>41851</v>
      </c>
      <c r="AK8641" s="831">
        <v>-14793131</v>
      </c>
    </row>
    <row r="8642" spans="2:37">
      <c r="B8642" s="834" t="str">
        <f t="shared" si="347"/>
        <v>|||</v>
      </c>
      <c r="H8642" s="835">
        <f t="shared" si="348"/>
        <v>31</v>
      </c>
      <c r="AF8642" s="831" t="s">
        <v>9301</v>
      </c>
      <c r="AG8642" s="831" t="s">
        <v>131</v>
      </c>
      <c r="AH8642" s="831" t="s">
        <v>150</v>
      </c>
      <c r="AI8642" s="831">
        <v>0</v>
      </c>
      <c r="AJ8642" s="835">
        <v>41851</v>
      </c>
      <c r="AK8642" s="831">
        <v>-13441912</v>
      </c>
    </row>
    <row r="8643" spans="2:37">
      <c r="B8643" s="834" t="str">
        <f t="shared" ref="B8643:B8706" si="349">C8643&amp;"|"&amp;D8643&amp;"|"&amp;E8643&amp;"|"&amp;F8643</f>
        <v>|||</v>
      </c>
      <c r="H8643" s="835">
        <f t="shared" si="348"/>
        <v>31</v>
      </c>
      <c r="AF8643" s="831" t="s">
        <v>9302</v>
      </c>
      <c r="AG8643" s="831" t="s">
        <v>131</v>
      </c>
      <c r="AH8643" s="831" t="s">
        <v>77</v>
      </c>
      <c r="AI8643" s="831">
        <v>0</v>
      </c>
      <c r="AJ8643" s="835">
        <v>41851</v>
      </c>
      <c r="AK8643" s="831">
        <v>-930470</v>
      </c>
    </row>
    <row r="8644" spans="2:37">
      <c r="B8644" s="834" t="str">
        <f t="shared" si="349"/>
        <v>|||</v>
      </c>
      <c r="H8644" s="835">
        <f t="shared" ref="H8644:H8707" si="350">EOMONTH(L8644,0)</f>
        <v>31</v>
      </c>
      <c r="AF8644" s="831" t="s">
        <v>9303</v>
      </c>
      <c r="AG8644" s="831" t="s">
        <v>131</v>
      </c>
      <c r="AH8644" s="831" t="s">
        <v>167</v>
      </c>
      <c r="AI8644" s="831">
        <v>0</v>
      </c>
      <c r="AJ8644" s="835">
        <v>41851</v>
      </c>
      <c r="AK8644" s="831">
        <v>0</v>
      </c>
    </row>
    <row r="8645" spans="2:37">
      <c r="B8645" s="834" t="str">
        <f t="shared" si="349"/>
        <v>|||</v>
      </c>
      <c r="H8645" s="835">
        <f t="shared" si="350"/>
        <v>31</v>
      </c>
      <c r="AF8645" s="831" t="s">
        <v>9304</v>
      </c>
      <c r="AG8645" s="831" t="s">
        <v>131</v>
      </c>
      <c r="AH8645" s="831" t="s">
        <v>169</v>
      </c>
      <c r="AI8645" s="831">
        <v>0</v>
      </c>
      <c r="AJ8645" s="835">
        <v>41851</v>
      </c>
      <c r="AK8645" s="831">
        <v>2896480</v>
      </c>
    </row>
    <row r="8646" spans="2:37">
      <c r="B8646" s="834" t="str">
        <f t="shared" si="349"/>
        <v>|||</v>
      </c>
      <c r="H8646" s="835">
        <f t="shared" si="350"/>
        <v>31</v>
      </c>
      <c r="AF8646" s="831" t="s">
        <v>9305</v>
      </c>
      <c r="AG8646" s="831" t="s">
        <v>131</v>
      </c>
      <c r="AH8646" s="831" t="s">
        <v>172</v>
      </c>
      <c r="AI8646" s="831">
        <v>0</v>
      </c>
      <c r="AJ8646" s="835">
        <v>41851</v>
      </c>
      <c r="AK8646" s="831">
        <v>-182386</v>
      </c>
    </row>
    <row r="8647" spans="2:37">
      <c r="B8647" s="834" t="str">
        <f t="shared" si="349"/>
        <v>|||</v>
      </c>
      <c r="H8647" s="835">
        <f t="shared" si="350"/>
        <v>31</v>
      </c>
      <c r="AF8647" s="831" t="s">
        <v>9306</v>
      </c>
      <c r="AG8647" s="831" t="s">
        <v>131</v>
      </c>
      <c r="AH8647" s="831" t="s">
        <v>175</v>
      </c>
      <c r="AI8647" s="831">
        <v>0</v>
      </c>
      <c r="AJ8647" s="835">
        <v>41851</v>
      </c>
      <c r="AK8647" s="831">
        <v>1253795</v>
      </c>
    </row>
    <row r="8648" spans="2:37">
      <c r="B8648" s="834" t="str">
        <f t="shared" si="349"/>
        <v>|||</v>
      </c>
      <c r="H8648" s="835">
        <f t="shared" si="350"/>
        <v>31</v>
      </c>
      <c r="AF8648" s="831" t="s">
        <v>9307</v>
      </c>
      <c r="AG8648" s="831" t="s">
        <v>131</v>
      </c>
      <c r="AH8648" s="831" t="s">
        <v>185</v>
      </c>
      <c r="AI8648" s="831">
        <v>0</v>
      </c>
      <c r="AJ8648" s="835">
        <v>41851</v>
      </c>
      <c r="AK8648" s="831">
        <v>-26294240</v>
      </c>
    </row>
    <row r="8649" spans="2:37">
      <c r="B8649" s="834" t="str">
        <f t="shared" si="349"/>
        <v>|||</v>
      </c>
      <c r="H8649" s="835">
        <f t="shared" si="350"/>
        <v>31</v>
      </c>
      <c r="AF8649" s="831" t="s">
        <v>9308</v>
      </c>
      <c r="AG8649" s="831" t="s">
        <v>131</v>
      </c>
      <c r="AH8649" s="831" t="s">
        <v>188</v>
      </c>
      <c r="AI8649" s="831">
        <v>0</v>
      </c>
      <c r="AJ8649" s="835">
        <v>41851</v>
      </c>
      <c r="AK8649" s="831">
        <v>-11812655</v>
      </c>
    </row>
    <row r="8650" spans="2:37">
      <c r="B8650" s="834" t="str">
        <f t="shared" si="349"/>
        <v>|||</v>
      </c>
      <c r="H8650" s="835">
        <f t="shared" si="350"/>
        <v>31</v>
      </c>
      <c r="AF8650" s="831" t="s">
        <v>9309</v>
      </c>
      <c r="AG8650" s="831" t="s">
        <v>131</v>
      </c>
      <c r="AH8650" s="831" t="s">
        <v>191</v>
      </c>
      <c r="AI8650" s="831">
        <v>0</v>
      </c>
      <c r="AJ8650" s="835">
        <v>41851</v>
      </c>
      <c r="AK8650" s="831">
        <v>-4237163</v>
      </c>
    </row>
    <row r="8651" spans="2:37">
      <c r="B8651" s="834" t="str">
        <f t="shared" si="349"/>
        <v>|||</v>
      </c>
      <c r="H8651" s="835">
        <f t="shared" si="350"/>
        <v>31</v>
      </c>
      <c r="AF8651" s="831" t="s">
        <v>9310</v>
      </c>
      <c r="AG8651" s="831" t="s">
        <v>131</v>
      </c>
      <c r="AH8651" s="831" t="s">
        <v>198</v>
      </c>
      <c r="AI8651" s="831">
        <v>0</v>
      </c>
      <c r="AJ8651" s="835">
        <v>41851</v>
      </c>
      <c r="AK8651" s="831">
        <v>0</v>
      </c>
    </row>
    <row r="8652" spans="2:37">
      <c r="B8652" s="834" t="str">
        <f t="shared" si="349"/>
        <v>|||</v>
      </c>
      <c r="H8652" s="835">
        <f t="shared" si="350"/>
        <v>31</v>
      </c>
      <c r="AF8652" s="831" t="s">
        <v>9311</v>
      </c>
      <c r="AG8652" s="831" t="s">
        <v>131</v>
      </c>
      <c r="AH8652" s="831" t="s">
        <v>200</v>
      </c>
      <c r="AI8652" s="831">
        <v>0</v>
      </c>
      <c r="AJ8652" s="835">
        <v>41851</v>
      </c>
      <c r="AK8652" s="831">
        <v>0</v>
      </c>
    </row>
    <row r="8653" spans="2:37">
      <c r="B8653" s="834" t="str">
        <f t="shared" si="349"/>
        <v>|||</v>
      </c>
      <c r="H8653" s="835">
        <f t="shared" si="350"/>
        <v>31</v>
      </c>
      <c r="AF8653" s="831" t="s">
        <v>9312</v>
      </c>
      <c r="AG8653" s="831" t="s">
        <v>131</v>
      </c>
      <c r="AH8653" s="831" t="s">
        <v>205</v>
      </c>
      <c r="AI8653" s="831">
        <v>0</v>
      </c>
      <c r="AJ8653" s="835">
        <v>41851</v>
      </c>
      <c r="AK8653" s="831">
        <v>-6599243</v>
      </c>
    </row>
    <row r="8654" spans="2:37">
      <c r="B8654" s="834" t="str">
        <f t="shared" si="349"/>
        <v>|||</v>
      </c>
      <c r="H8654" s="835">
        <f t="shared" si="350"/>
        <v>31</v>
      </c>
      <c r="AF8654" s="831" t="s">
        <v>9313</v>
      </c>
      <c r="AG8654" s="831" t="s">
        <v>131</v>
      </c>
      <c r="AH8654" s="831" t="s">
        <v>122</v>
      </c>
      <c r="AI8654" s="831">
        <v>0</v>
      </c>
      <c r="AJ8654" s="835">
        <v>41851</v>
      </c>
      <c r="AK8654" s="831">
        <v>0</v>
      </c>
    </row>
    <row r="8655" spans="2:37">
      <c r="B8655" s="834" t="str">
        <f t="shared" si="349"/>
        <v>|||</v>
      </c>
      <c r="H8655" s="835">
        <f t="shared" si="350"/>
        <v>31</v>
      </c>
      <c r="AF8655" s="831" t="s">
        <v>9314</v>
      </c>
      <c r="AG8655" s="831" t="s">
        <v>131</v>
      </c>
      <c r="AH8655" s="831" t="s">
        <v>213</v>
      </c>
      <c r="AI8655" s="831">
        <v>0</v>
      </c>
      <c r="AJ8655" s="835">
        <v>41851</v>
      </c>
      <c r="AK8655" s="831">
        <v>0</v>
      </c>
    </row>
    <row r="8656" spans="2:37">
      <c r="B8656" s="834" t="str">
        <f t="shared" si="349"/>
        <v>|||</v>
      </c>
      <c r="H8656" s="835">
        <f t="shared" si="350"/>
        <v>31</v>
      </c>
      <c r="AF8656" s="831" t="s">
        <v>9315</v>
      </c>
      <c r="AG8656" s="831" t="s">
        <v>131</v>
      </c>
      <c r="AH8656" s="831" t="s">
        <v>215</v>
      </c>
      <c r="AI8656" s="831">
        <v>0</v>
      </c>
      <c r="AJ8656" s="835">
        <v>41851</v>
      </c>
      <c r="AK8656" s="831">
        <v>0</v>
      </c>
    </row>
    <row r="8657" spans="2:37">
      <c r="B8657" s="834" t="str">
        <f t="shared" si="349"/>
        <v>|||</v>
      </c>
      <c r="H8657" s="835">
        <f t="shared" si="350"/>
        <v>31</v>
      </c>
      <c r="AF8657" s="831" t="s">
        <v>9316</v>
      </c>
      <c r="AG8657" s="831" t="s">
        <v>131</v>
      </c>
      <c r="AH8657" s="831" t="s">
        <v>217</v>
      </c>
      <c r="AI8657" s="831">
        <v>0</v>
      </c>
      <c r="AJ8657" s="835">
        <v>41851</v>
      </c>
      <c r="AK8657" s="831">
        <v>0</v>
      </c>
    </row>
    <row r="8658" spans="2:37">
      <c r="B8658" s="834" t="str">
        <f t="shared" si="349"/>
        <v>|||</v>
      </c>
      <c r="H8658" s="835">
        <f t="shared" si="350"/>
        <v>31</v>
      </c>
      <c r="AF8658" s="831" t="s">
        <v>9317</v>
      </c>
      <c r="AG8658" s="831" t="s">
        <v>131</v>
      </c>
      <c r="AH8658" s="831" t="s">
        <v>223</v>
      </c>
      <c r="AI8658" s="831">
        <v>0</v>
      </c>
      <c r="AJ8658" s="835">
        <v>41851</v>
      </c>
      <c r="AK8658" s="831">
        <v>0</v>
      </c>
    </row>
    <row r="8659" spans="2:37">
      <c r="B8659" s="834" t="str">
        <f t="shared" si="349"/>
        <v>|||</v>
      </c>
      <c r="H8659" s="835">
        <f t="shared" si="350"/>
        <v>31</v>
      </c>
      <c r="AF8659" s="831" t="s">
        <v>9318</v>
      </c>
      <c r="AG8659" s="831" t="s">
        <v>131</v>
      </c>
      <c r="AH8659" s="831" t="s">
        <v>224</v>
      </c>
      <c r="AI8659" s="831">
        <v>0</v>
      </c>
      <c r="AJ8659" s="835">
        <v>41851</v>
      </c>
      <c r="AK8659" s="831">
        <v>0</v>
      </c>
    </row>
    <row r="8660" spans="2:37">
      <c r="B8660" s="834" t="str">
        <f t="shared" si="349"/>
        <v>|||</v>
      </c>
      <c r="H8660" s="835">
        <f t="shared" si="350"/>
        <v>31</v>
      </c>
      <c r="AF8660" s="831" t="s">
        <v>9319</v>
      </c>
      <c r="AG8660" s="831" t="s">
        <v>131</v>
      </c>
      <c r="AH8660" s="831" t="s">
        <v>128</v>
      </c>
      <c r="AI8660" s="831">
        <v>0</v>
      </c>
      <c r="AJ8660" s="835">
        <v>41851</v>
      </c>
      <c r="AK8660" s="831">
        <v>0</v>
      </c>
    </row>
    <row r="8661" spans="2:37">
      <c r="B8661" s="834" t="str">
        <f t="shared" si="349"/>
        <v>|||</v>
      </c>
      <c r="H8661" s="835">
        <f t="shared" si="350"/>
        <v>31</v>
      </c>
      <c r="AF8661" s="831" t="s">
        <v>9320</v>
      </c>
      <c r="AG8661" s="831" t="s">
        <v>131</v>
      </c>
      <c r="AH8661" s="831" t="s">
        <v>3237</v>
      </c>
      <c r="AI8661" s="831">
        <v>0</v>
      </c>
      <c r="AJ8661" s="835">
        <v>41851</v>
      </c>
      <c r="AK8661" s="831">
        <v>0</v>
      </c>
    </row>
    <row r="8662" spans="2:37">
      <c r="B8662" s="834" t="str">
        <f t="shared" si="349"/>
        <v>|||</v>
      </c>
      <c r="H8662" s="835">
        <f t="shared" si="350"/>
        <v>31</v>
      </c>
      <c r="AF8662" s="831" t="s">
        <v>9321</v>
      </c>
      <c r="AG8662" s="831" t="s">
        <v>131</v>
      </c>
      <c r="AH8662" s="831" t="s">
        <v>3239</v>
      </c>
      <c r="AI8662" s="831">
        <v>0</v>
      </c>
      <c r="AJ8662" s="835">
        <v>41851</v>
      </c>
      <c r="AK8662" s="831">
        <v>0</v>
      </c>
    </row>
    <row r="8663" spans="2:37">
      <c r="B8663" s="834" t="str">
        <f t="shared" si="349"/>
        <v>|||</v>
      </c>
      <c r="H8663" s="835">
        <f t="shared" si="350"/>
        <v>31</v>
      </c>
      <c r="AF8663" s="831" t="s">
        <v>9322</v>
      </c>
      <c r="AG8663" s="831" t="s">
        <v>131</v>
      </c>
      <c r="AH8663" s="831" t="s">
        <v>138</v>
      </c>
      <c r="AI8663" s="831">
        <v>0</v>
      </c>
      <c r="AJ8663" s="835">
        <v>41882</v>
      </c>
      <c r="AK8663" s="831">
        <v>102551313.12899999</v>
      </c>
    </row>
    <row r="8664" spans="2:37">
      <c r="B8664" s="834" t="str">
        <f t="shared" si="349"/>
        <v>|||</v>
      </c>
      <c r="H8664" s="835">
        <f t="shared" si="350"/>
        <v>31</v>
      </c>
      <c r="AF8664" s="831" t="s">
        <v>9323</v>
      </c>
      <c r="AG8664" s="831" t="s">
        <v>131</v>
      </c>
      <c r="AH8664" s="831" t="s">
        <v>141</v>
      </c>
      <c r="AI8664" s="831">
        <v>0</v>
      </c>
      <c r="AJ8664" s="835">
        <v>41882</v>
      </c>
      <c r="AK8664" s="831">
        <v>8334997.5329999998</v>
      </c>
    </row>
    <row r="8665" spans="2:37">
      <c r="B8665" s="834" t="str">
        <f t="shared" si="349"/>
        <v>|||</v>
      </c>
      <c r="H8665" s="835">
        <f t="shared" si="350"/>
        <v>31</v>
      </c>
      <c r="AF8665" s="831" t="s">
        <v>9324</v>
      </c>
      <c r="AG8665" s="831" t="s">
        <v>131</v>
      </c>
      <c r="AH8665" s="831" t="s">
        <v>146</v>
      </c>
      <c r="AI8665" s="831">
        <v>0</v>
      </c>
      <c r="AJ8665" s="835">
        <v>41882</v>
      </c>
      <c r="AK8665" s="831">
        <v>-17344496.699999999</v>
      </c>
    </row>
    <row r="8666" spans="2:37">
      <c r="B8666" s="834" t="str">
        <f t="shared" si="349"/>
        <v>|||</v>
      </c>
      <c r="H8666" s="835">
        <f t="shared" si="350"/>
        <v>31</v>
      </c>
      <c r="AF8666" s="831" t="s">
        <v>9325</v>
      </c>
      <c r="AG8666" s="831" t="s">
        <v>131</v>
      </c>
      <c r="AH8666" s="831" t="s">
        <v>150</v>
      </c>
      <c r="AI8666" s="831">
        <v>0</v>
      </c>
      <c r="AJ8666" s="835">
        <v>41882</v>
      </c>
      <c r="AK8666" s="831">
        <v>-15685301.664000001</v>
      </c>
    </row>
    <row r="8667" spans="2:37">
      <c r="B8667" s="834" t="str">
        <f t="shared" si="349"/>
        <v>|||</v>
      </c>
      <c r="H8667" s="835">
        <f t="shared" si="350"/>
        <v>31</v>
      </c>
      <c r="AF8667" s="831" t="s">
        <v>9326</v>
      </c>
      <c r="AG8667" s="831" t="s">
        <v>131</v>
      </c>
      <c r="AH8667" s="831" t="s">
        <v>77</v>
      </c>
      <c r="AI8667" s="831">
        <v>0</v>
      </c>
      <c r="AJ8667" s="835">
        <v>41882</v>
      </c>
      <c r="AK8667" s="831">
        <v>-1094196.426</v>
      </c>
    </row>
    <row r="8668" spans="2:37">
      <c r="B8668" s="834" t="str">
        <f t="shared" si="349"/>
        <v>|||</v>
      </c>
      <c r="H8668" s="835">
        <f t="shared" si="350"/>
        <v>31</v>
      </c>
      <c r="AF8668" s="831" t="s">
        <v>9327</v>
      </c>
      <c r="AG8668" s="831" t="s">
        <v>131</v>
      </c>
      <c r="AH8668" s="831" t="s">
        <v>167</v>
      </c>
      <c r="AI8668" s="831">
        <v>0</v>
      </c>
      <c r="AJ8668" s="835">
        <v>41882</v>
      </c>
      <c r="AK8668" s="831">
        <v>0</v>
      </c>
    </row>
    <row r="8669" spans="2:37">
      <c r="B8669" s="834" t="str">
        <f t="shared" si="349"/>
        <v>|||</v>
      </c>
      <c r="H8669" s="835">
        <f t="shared" si="350"/>
        <v>31</v>
      </c>
      <c r="AF8669" s="831" t="s">
        <v>9328</v>
      </c>
      <c r="AG8669" s="831" t="s">
        <v>131</v>
      </c>
      <c r="AH8669" s="831" t="s">
        <v>169</v>
      </c>
      <c r="AI8669" s="831">
        <v>0</v>
      </c>
      <c r="AJ8669" s="835">
        <v>41882</v>
      </c>
      <c r="AK8669" s="831">
        <v>3337472.179</v>
      </c>
    </row>
    <row r="8670" spans="2:37">
      <c r="B8670" s="834" t="str">
        <f t="shared" si="349"/>
        <v>|||</v>
      </c>
      <c r="H8670" s="835">
        <f t="shared" si="350"/>
        <v>31</v>
      </c>
      <c r="AF8670" s="831" t="s">
        <v>9329</v>
      </c>
      <c r="AG8670" s="831" t="s">
        <v>131</v>
      </c>
      <c r="AH8670" s="831" t="s">
        <v>172</v>
      </c>
      <c r="AI8670" s="831">
        <v>0</v>
      </c>
      <c r="AJ8670" s="835">
        <v>41882</v>
      </c>
      <c r="AK8670" s="831">
        <v>-187939.318</v>
      </c>
    </row>
    <row r="8671" spans="2:37">
      <c r="B8671" s="834" t="str">
        <f t="shared" si="349"/>
        <v>|||</v>
      </c>
      <c r="H8671" s="835">
        <f t="shared" si="350"/>
        <v>31</v>
      </c>
      <c r="AF8671" s="831" t="s">
        <v>9330</v>
      </c>
      <c r="AG8671" s="831" t="s">
        <v>131</v>
      </c>
      <c r="AH8671" s="831" t="s">
        <v>175</v>
      </c>
      <c r="AI8671" s="831">
        <v>0</v>
      </c>
      <c r="AJ8671" s="835">
        <v>41882</v>
      </c>
      <c r="AK8671" s="831">
        <v>1880769.9990000001</v>
      </c>
    </row>
    <row r="8672" spans="2:37">
      <c r="B8672" s="834" t="str">
        <f t="shared" si="349"/>
        <v>|||</v>
      </c>
      <c r="H8672" s="835">
        <f t="shared" si="350"/>
        <v>31</v>
      </c>
      <c r="AF8672" s="831" t="s">
        <v>9331</v>
      </c>
      <c r="AG8672" s="831" t="s">
        <v>131</v>
      </c>
      <c r="AH8672" s="831" t="s">
        <v>185</v>
      </c>
      <c r="AI8672" s="831">
        <v>0</v>
      </c>
      <c r="AJ8672" s="835">
        <v>41882</v>
      </c>
      <c r="AK8672" s="831">
        <v>-30482951.186999999</v>
      </c>
    </row>
    <row r="8673" spans="2:37">
      <c r="B8673" s="834" t="str">
        <f t="shared" si="349"/>
        <v>|||</v>
      </c>
      <c r="H8673" s="835">
        <f t="shared" si="350"/>
        <v>31</v>
      </c>
      <c r="AF8673" s="831" t="s">
        <v>9332</v>
      </c>
      <c r="AG8673" s="831" t="s">
        <v>131</v>
      </c>
      <c r="AH8673" s="831" t="s">
        <v>188</v>
      </c>
      <c r="AI8673" s="831">
        <v>0</v>
      </c>
      <c r="AJ8673" s="835">
        <v>41882</v>
      </c>
      <c r="AK8673" s="831">
        <v>-13289994.287</v>
      </c>
    </row>
    <row r="8674" spans="2:37">
      <c r="B8674" s="834" t="str">
        <f t="shared" si="349"/>
        <v>|||</v>
      </c>
      <c r="H8674" s="835">
        <f t="shared" si="350"/>
        <v>31</v>
      </c>
      <c r="AF8674" s="831" t="s">
        <v>9333</v>
      </c>
      <c r="AG8674" s="831" t="s">
        <v>131</v>
      </c>
      <c r="AH8674" s="831" t="s">
        <v>191</v>
      </c>
      <c r="AI8674" s="831">
        <v>0</v>
      </c>
      <c r="AJ8674" s="835">
        <v>41882</v>
      </c>
      <c r="AK8674" s="831">
        <v>-4842578.1100000003</v>
      </c>
    </row>
    <row r="8675" spans="2:37">
      <c r="B8675" s="834" t="str">
        <f t="shared" si="349"/>
        <v>|||</v>
      </c>
      <c r="H8675" s="835">
        <f t="shared" si="350"/>
        <v>31</v>
      </c>
      <c r="AF8675" s="831" t="s">
        <v>9334</v>
      </c>
      <c r="AG8675" s="831" t="s">
        <v>131</v>
      </c>
      <c r="AH8675" s="831" t="s">
        <v>198</v>
      </c>
      <c r="AI8675" s="831">
        <v>0</v>
      </c>
      <c r="AJ8675" s="835">
        <v>41882</v>
      </c>
      <c r="AK8675" s="831">
        <v>0</v>
      </c>
    </row>
    <row r="8676" spans="2:37">
      <c r="B8676" s="834" t="str">
        <f t="shared" si="349"/>
        <v>|||</v>
      </c>
      <c r="H8676" s="835">
        <f t="shared" si="350"/>
        <v>31</v>
      </c>
      <c r="AF8676" s="831" t="s">
        <v>9335</v>
      </c>
      <c r="AG8676" s="831" t="s">
        <v>131</v>
      </c>
      <c r="AH8676" s="831" t="s">
        <v>200</v>
      </c>
      <c r="AI8676" s="831">
        <v>0</v>
      </c>
      <c r="AJ8676" s="835">
        <v>41882</v>
      </c>
      <c r="AK8676" s="831">
        <v>0</v>
      </c>
    </row>
    <row r="8677" spans="2:37">
      <c r="B8677" s="834" t="str">
        <f t="shared" si="349"/>
        <v>|||</v>
      </c>
      <c r="H8677" s="835">
        <f t="shared" si="350"/>
        <v>31</v>
      </c>
      <c r="AF8677" s="831" t="s">
        <v>9336</v>
      </c>
      <c r="AG8677" s="831" t="s">
        <v>131</v>
      </c>
      <c r="AH8677" s="831" t="s">
        <v>205</v>
      </c>
      <c r="AI8677" s="831">
        <v>0</v>
      </c>
      <c r="AJ8677" s="835">
        <v>41882</v>
      </c>
      <c r="AK8677" s="831">
        <v>-7676320.3799999999</v>
      </c>
    </row>
    <row r="8678" spans="2:37">
      <c r="B8678" s="834" t="str">
        <f t="shared" si="349"/>
        <v>|||</v>
      </c>
      <c r="H8678" s="835">
        <f t="shared" si="350"/>
        <v>31</v>
      </c>
      <c r="AF8678" s="831" t="s">
        <v>9337</v>
      </c>
      <c r="AG8678" s="831" t="s">
        <v>131</v>
      </c>
      <c r="AH8678" s="831" t="s">
        <v>122</v>
      </c>
      <c r="AI8678" s="831">
        <v>0</v>
      </c>
      <c r="AJ8678" s="835">
        <v>41882</v>
      </c>
      <c r="AK8678" s="831">
        <v>0</v>
      </c>
    </row>
    <row r="8679" spans="2:37">
      <c r="B8679" s="834" t="str">
        <f t="shared" si="349"/>
        <v>|||</v>
      </c>
      <c r="H8679" s="835">
        <f t="shared" si="350"/>
        <v>31</v>
      </c>
      <c r="AF8679" s="831" t="s">
        <v>9338</v>
      </c>
      <c r="AG8679" s="831" t="s">
        <v>131</v>
      </c>
      <c r="AH8679" s="831" t="s">
        <v>213</v>
      </c>
      <c r="AI8679" s="831">
        <v>0</v>
      </c>
      <c r="AJ8679" s="835">
        <v>41882</v>
      </c>
      <c r="AK8679" s="831">
        <v>0</v>
      </c>
    </row>
    <row r="8680" spans="2:37">
      <c r="B8680" s="834" t="str">
        <f t="shared" si="349"/>
        <v>|||</v>
      </c>
      <c r="H8680" s="835">
        <f t="shared" si="350"/>
        <v>31</v>
      </c>
      <c r="AF8680" s="831" t="s">
        <v>9339</v>
      </c>
      <c r="AG8680" s="831" t="s">
        <v>131</v>
      </c>
      <c r="AH8680" s="831" t="s">
        <v>215</v>
      </c>
      <c r="AI8680" s="831">
        <v>0</v>
      </c>
      <c r="AJ8680" s="835">
        <v>41882</v>
      </c>
      <c r="AK8680" s="831">
        <v>0</v>
      </c>
    </row>
    <row r="8681" spans="2:37">
      <c r="B8681" s="834" t="str">
        <f t="shared" si="349"/>
        <v>|||</v>
      </c>
      <c r="H8681" s="835">
        <f t="shared" si="350"/>
        <v>31</v>
      </c>
      <c r="AF8681" s="831" t="s">
        <v>9340</v>
      </c>
      <c r="AG8681" s="831" t="s">
        <v>131</v>
      </c>
      <c r="AH8681" s="831" t="s">
        <v>217</v>
      </c>
      <c r="AI8681" s="831">
        <v>0</v>
      </c>
      <c r="AJ8681" s="835">
        <v>41882</v>
      </c>
      <c r="AK8681" s="831">
        <v>0</v>
      </c>
    </row>
    <row r="8682" spans="2:37">
      <c r="B8682" s="834" t="str">
        <f t="shared" si="349"/>
        <v>|||</v>
      </c>
      <c r="H8682" s="835">
        <f t="shared" si="350"/>
        <v>31</v>
      </c>
      <c r="AF8682" s="831" t="s">
        <v>9341</v>
      </c>
      <c r="AG8682" s="831" t="s">
        <v>131</v>
      </c>
      <c r="AH8682" s="831" t="s">
        <v>223</v>
      </c>
      <c r="AI8682" s="831">
        <v>0</v>
      </c>
      <c r="AJ8682" s="835">
        <v>41882</v>
      </c>
      <c r="AK8682" s="831">
        <v>0</v>
      </c>
    </row>
    <row r="8683" spans="2:37">
      <c r="B8683" s="834" t="str">
        <f t="shared" si="349"/>
        <v>|||</v>
      </c>
      <c r="H8683" s="835">
        <f t="shared" si="350"/>
        <v>31</v>
      </c>
      <c r="AF8683" s="831" t="s">
        <v>9342</v>
      </c>
      <c r="AG8683" s="831" t="s">
        <v>131</v>
      </c>
      <c r="AH8683" s="831" t="s">
        <v>224</v>
      </c>
      <c r="AI8683" s="831">
        <v>0</v>
      </c>
      <c r="AJ8683" s="835">
        <v>41882</v>
      </c>
      <c r="AK8683" s="831">
        <v>0</v>
      </c>
    </row>
    <row r="8684" spans="2:37">
      <c r="B8684" s="834" t="str">
        <f t="shared" si="349"/>
        <v>|||</v>
      </c>
      <c r="H8684" s="835">
        <f t="shared" si="350"/>
        <v>31</v>
      </c>
      <c r="AF8684" s="831" t="s">
        <v>9343</v>
      </c>
      <c r="AG8684" s="831" t="s">
        <v>131</v>
      </c>
      <c r="AH8684" s="831" t="s">
        <v>128</v>
      </c>
      <c r="AI8684" s="831">
        <v>0</v>
      </c>
      <c r="AJ8684" s="835">
        <v>41882</v>
      </c>
      <c r="AK8684" s="831">
        <v>0</v>
      </c>
    </row>
    <row r="8685" spans="2:37">
      <c r="B8685" s="834" t="str">
        <f t="shared" si="349"/>
        <v>|||</v>
      </c>
      <c r="H8685" s="835">
        <f t="shared" si="350"/>
        <v>31</v>
      </c>
      <c r="AF8685" s="831" t="s">
        <v>9344</v>
      </c>
      <c r="AG8685" s="831" t="s">
        <v>131</v>
      </c>
      <c r="AH8685" s="831" t="s">
        <v>3237</v>
      </c>
      <c r="AI8685" s="831">
        <v>0</v>
      </c>
      <c r="AJ8685" s="835">
        <v>41882</v>
      </c>
      <c r="AK8685" s="831">
        <v>0</v>
      </c>
    </row>
    <row r="8686" spans="2:37">
      <c r="B8686" s="834" t="str">
        <f t="shared" si="349"/>
        <v>|||</v>
      </c>
      <c r="H8686" s="835">
        <f t="shared" si="350"/>
        <v>31</v>
      </c>
      <c r="AF8686" s="831" t="s">
        <v>9345</v>
      </c>
      <c r="AG8686" s="831" t="s">
        <v>131</v>
      </c>
      <c r="AH8686" s="831" t="s">
        <v>3239</v>
      </c>
      <c r="AI8686" s="831">
        <v>0</v>
      </c>
      <c r="AJ8686" s="835">
        <v>41882</v>
      </c>
      <c r="AK8686" s="831">
        <v>0</v>
      </c>
    </row>
    <row r="8687" spans="2:37">
      <c r="B8687" s="834" t="str">
        <f t="shared" si="349"/>
        <v>|||</v>
      </c>
      <c r="H8687" s="835">
        <f t="shared" si="350"/>
        <v>31</v>
      </c>
      <c r="AF8687" s="831" t="s">
        <v>9346</v>
      </c>
      <c r="AG8687" s="831" t="s">
        <v>131</v>
      </c>
      <c r="AH8687" s="831" t="s">
        <v>138</v>
      </c>
      <c r="AI8687" s="831">
        <v>0</v>
      </c>
      <c r="AJ8687" s="835">
        <v>41912</v>
      </c>
      <c r="AK8687" s="831">
        <v>117011273</v>
      </c>
    </row>
    <row r="8688" spans="2:37">
      <c r="B8688" s="834" t="str">
        <f t="shared" si="349"/>
        <v>|||</v>
      </c>
      <c r="H8688" s="835">
        <f t="shared" si="350"/>
        <v>31</v>
      </c>
      <c r="AF8688" s="831" t="s">
        <v>9347</v>
      </c>
      <c r="AG8688" s="831" t="s">
        <v>131</v>
      </c>
      <c r="AH8688" s="831" t="s">
        <v>141</v>
      </c>
      <c r="AI8688" s="831">
        <v>0</v>
      </c>
      <c r="AJ8688" s="835">
        <v>41912</v>
      </c>
      <c r="AK8688" s="831">
        <v>9632025</v>
      </c>
    </row>
    <row r="8689" spans="2:37">
      <c r="B8689" s="834" t="str">
        <f t="shared" si="349"/>
        <v>|||</v>
      </c>
      <c r="H8689" s="835">
        <f t="shared" si="350"/>
        <v>31</v>
      </c>
      <c r="AF8689" s="831" t="s">
        <v>9348</v>
      </c>
      <c r="AG8689" s="831" t="s">
        <v>131</v>
      </c>
      <c r="AH8689" s="831" t="s">
        <v>146</v>
      </c>
      <c r="AI8689" s="831">
        <v>0</v>
      </c>
      <c r="AJ8689" s="835">
        <v>41912</v>
      </c>
      <c r="AK8689" s="831">
        <v>-19832205</v>
      </c>
    </row>
    <row r="8690" spans="2:37">
      <c r="B8690" s="834" t="str">
        <f t="shared" si="349"/>
        <v>|||</v>
      </c>
      <c r="H8690" s="835">
        <f t="shared" si="350"/>
        <v>31</v>
      </c>
      <c r="AF8690" s="831" t="s">
        <v>9349</v>
      </c>
      <c r="AG8690" s="831" t="s">
        <v>131</v>
      </c>
      <c r="AH8690" s="831" t="s">
        <v>150</v>
      </c>
      <c r="AI8690" s="831">
        <v>0</v>
      </c>
      <c r="AJ8690" s="835">
        <v>41912</v>
      </c>
      <c r="AK8690" s="831">
        <v>-17605099</v>
      </c>
    </row>
    <row r="8691" spans="2:37">
      <c r="B8691" s="834" t="str">
        <f t="shared" si="349"/>
        <v>|||</v>
      </c>
      <c r="H8691" s="835">
        <f t="shared" si="350"/>
        <v>31</v>
      </c>
      <c r="AF8691" s="831" t="s">
        <v>9350</v>
      </c>
      <c r="AG8691" s="831" t="s">
        <v>131</v>
      </c>
      <c r="AH8691" s="831" t="s">
        <v>77</v>
      </c>
      <c r="AI8691" s="831">
        <v>0</v>
      </c>
      <c r="AJ8691" s="835">
        <v>41912</v>
      </c>
      <c r="AK8691" s="831">
        <v>-1341657</v>
      </c>
    </row>
    <row r="8692" spans="2:37">
      <c r="B8692" s="834" t="str">
        <f t="shared" si="349"/>
        <v>|||</v>
      </c>
      <c r="H8692" s="835">
        <f t="shared" si="350"/>
        <v>31</v>
      </c>
      <c r="AF8692" s="831" t="s">
        <v>9351</v>
      </c>
      <c r="AG8692" s="831" t="s">
        <v>131</v>
      </c>
      <c r="AH8692" s="831" t="s">
        <v>167</v>
      </c>
      <c r="AI8692" s="831">
        <v>0</v>
      </c>
      <c r="AJ8692" s="835">
        <v>41912</v>
      </c>
      <c r="AK8692" s="831">
        <v>0</v>
      </c>
    </row>
    <row r="8693" spans="2:37">
      <c r="B8693" s="834" t="str">
        <f t="shared" si="349"/>
        <v>|||</v>
      </c>
      <c r="H8693" s="835">
        <f t="shared" si="350"/>
        <v>31</v>
      </c>
      <c r="AF8693" s="831" t="s">
        <v>9352</v>
      </c>
      <c r="AG8693" s="831" t="s">
        <v>131</v>
      </c>
      <c r="AH8693" s="831" t="s">
        <v>169</v>
      </c>
      <c r="AI8693" s="831">
        <v>0</v>
      </c>
      <c r="AJ8693" s="835">
        <v>41912</v>
      </c>
      <c r="AK8693" s="831">
        <v>3813534</v>
      </c>
    </row>
    <row r="8694" spans="2:37">
      <c r="B8694" s="834" t="str">
        <f t="shared" si="349"/>
        <v>|||</v>
      </c>
      <c r="H8694" s="835">
        <f t="shared" si="350"/>
        <v>31</v>
      </c>
      <c r="AF8694" s="831" t="s">
        <v>9353</v>
      </c>
      <c r="AG8694" s="831" t="s">
        <v>131</v>
      </c>
      <c r="AH8694" s="831" t="s">
        <v>172</v>
      </c>
      <c r="AI8694" s="831">
        <v>0</v>
      </c>
      <c r="AJ8694" s="835">
        <v>41912</v>
      </c>
      <c r="AK8694" s="831">
        <v>-270622</v>
      </c>
    </row>
    <row r="8695" spans="2:37">
      <c r="B8695" s="834" t="str">
        <f t="shared" si="349"/>
        <v>|||</v>
      </c>
      <c r="H8695" s="835">
        <f t="shared" si="350"/>
        <v>31</v>
      </c>
      <c r="AF8695" s="831" t="s">
        <v>9354</v>
      </c>
      <c r="AG8695" s="831" t="s">
        <v>131</v>
      </c>
      <c r="AH8695" s="831" t="s">
        <v>175</v>
      </c>
      <c r="AI8695" s="831">
        <v>0</v>
      </c>
      <c r="AJ8695" s="835">
        <v>41912</v>
      </c>
      <c r="AK8695" s="831">
        <v>1515044</v>
      </c>
    </row>
    <row r="8696" spans="2:37">
      <c r="B8696" s="834" t="str">
        <f t="shared" si="349"/>
        <v>|||</v>
      </c>
      <c r="H8696" s="835">
        <f t="shared" si="350"/>
        <v>31</v>
      </c>
      <c r="AF8696" s="831" t="s">
        <v>9355</v>
      </c>
      <c r="AG8696" s="831" t="s">
        <v>131</v>
      </c>
      <c r="AH8696" s="831" t="s">
        <v>185</v>
      </c>
      <c r="AI8696" s="831">
        <v>0</v>
      </c>
      <c r="AJ8696" s="835">
        <v>41912</v>
      </c>
      <c r="AK8696" s="831">
        <v>-34658048</v>
      </c>
    </row>
    <row r="8697" spans="2:37">
      <c r="B8697" s="834" t="str">
        <f t="shared" si="349"/>
        <v>|||</v>
      </c>
      <c r="H8697" s="835">
        <f t="shared" si="350"/>
        <v>31</v>
      </c>
      <c r="AF8697" s="831" t="s">
        <v>9356</v>
      </c>
      <c r="AG8697" s="831" t="s">
        <v>131</v>
      </c>
      <c r="AH8697" s="831" t="s">
        <v>188</v>
      </c>
      <c r="AI8697" s="831">
        <v>0</v>
      </c>
      <c r="AJ8697" s="835">
        <v>41912</v>
      </c>
      <c r="AK8697" s="831">
        <v>-15003007</v>
      </c>
    </row>
    <row r="8698" spans="2:37">
      <c r="B8698" s="834" t="str">
        <f t="shared" si="349"/>
        <v>|||</v>
      </c>
      <c r="H8698" s="835">
        <f t="shared" si="350"/>
        <v>31</v>
      </c>
      <c r="AF8698" s="831" t="s">
        <v>9357</v>
      </c>
      <c r="AG8698" s="831" t="s">
        <v>131</v>
      </c>
      <c r="AH8698" s="831" t="s">
        <v>191</v>
      </c>
      <c r="AI8698" s="831">
        <v>0</v>
      </c>
      <c r="AJ8698" s="835">
        <v>41912</v>
      </c>
      <c r="AK8698" s="831">
        <v>-5442943</v>
      </c>
    </row>
    <row r="8699" spans="2:37">
      <c r="B8699" s="834" t="str">
        <f t="shared" si="349"/>
        <v>|||</v>
      </c>
      <c r="H8699" s="835">
        <f t="shared" si="350"/>
        <v>31</v>
      </c>
      <c r="AF8699" s="831" t="s">
        <v>9358</v>
      </c>
      <c r="AG8699" s="831" t="s">
        <v>131</v>
      </c>
      <c r="AH8699" s="831" t="s">
        <v>198</v>
      </c>
      <c r="AI8699" s="831">
        <v>0</v>
      </c>
      <c r="AJ8699" s="835">
        <v>41912</v>
      </c>
      <c r="AK8699" s="831">
        <v>0</v>
      </c>
    </row>
    <row r="8700" spans="2:37">
      <c r="B8700" s="834" t="str">
        <f t="shared" si="349"/>
        <v>|||</v>
      </c>
      <c r="H8700" s="835">
        <f t="shared" si="350"/>
        <v>31</v>
      </c>
      <c r="AF8700" s="831" t="s">
        <v>9359</v>
      </c>
      <c r="AG8700" s="831" t="s">
        <v>131</v>
      </c>
      <c r="AH8700" s="831" t="s">
        <v>200</v>
      </c>
      <c r="AI8700" s="831">
        <v>0</v>
      </c>
      <c r="AJ8700" s="835">
        <v>41912</v>
      </c>
      <c r="AK8700" s="831">
        <v>0</v>
      </c>
    </row>
    <row r="8701" spans="2:37">
      <c r="B8701" s="834" t="str">
        <f t="shared" si="349"/>
        <v>|||</v>
      </c>
      <c r="H8701" s="835">
        <f t="shared" si="350"/>
        <v>31</v>
      </c>
      <c r="AF8701" s="831" t="s">
        <v>9360</v>
      </c>
      <c r="AG8701" s="831" t="s">
        <v>131</v>
      </c>
      <c r="AH8701" s="831" t="s">
        <v>205</v>
      </c>
      <c r="AI8701" s="831">
        <v>0</v>
      </c>
      <c r="AJ8701" s="835">
        <v>41912</v>
      </c>
      <c r="AK8701" s="831">
        <v>-8806260</v>
      </c>
    </row>
    <row r="8702" spans="2:37">
      <c r="B8702" s="834" t="str">
        <f t="shared" si="349"/>
        <v>|||</v>
      </c>
      <c r="H8702" s="835">
        <f t="shared" si="350"/>
        <v>31</v>
      </c>
      <c r="AF8702" s="831" t="s">
        <v>9361</v>
      </c>
      <c r="AG8702" s="831" t="s">
        <v>131</v>
      </c>
      <c r="AH8702" s="831" t="s">
        <v>122</v>
      </c>
      <c r="AI8702" s="831">
        <v>0</v>
      </c>
      <c r="AJ8702" s="835">
        <v>41912</v>
      </c>
      <c r="AK8702" s="831">
        <v>0</v>
      </c>
    </row>
    <row r="8703" spans="2:37">
      <c r="B8703" s="834" t="str">
        <f t="shared" si="349"/>
        <v>|||</v>
      </c>
      <c r="H8703" s="835">
        <f t="shared" si="350"/>
        <v>31</v>
      </c>
      <c r="AF8703" s="831" t="s">
        <v>9362</v>
      </c>
      <c r="AG8703" s="831" t="s">
        <v>131</v>
      </c>
      <c r="AH8703" s="831" t="s">
        <v>213</v>
      </c>
      <c r="AI8703" s="831">
        <v>0</v>
      </c>
      <c r="AJ8703" s="835">
        <v>41912</v>
      </c>
      <c r="AK8703" s="831">
        <v>0</v>
      </c>
    </row>
    <row r="8704" spans="2:37">
      <c r="B8704" s="834" t="str">
        <f t="shared" si="349"/>
        <v>|||</v>
      </c>
      <c r="H8704" s="835">
        <f t="shared" si="350"/>
        <v>31</v>
      </c>
      <c r="AF8704" s="831" t="s">
        <v>9363</v>
      </c>
      <c r="AG8704" s="831" t="s">
        <v>131</v>
      </c>
      <c r="AH8704" s="831" t="s">
        <v>215</v>
      </c>
      <c r="AI8704" s="831">
        <v>0</v>
      </c>
      <c r="AJ8704" s="835">
        <v>41912</v>
      </c>
      <c r="AK8704" s="831">
        <v>0</v>
      </c>
    </row>
    <row r="8705" spans="2:37">
      <c r="B8705" s="834" t="str">
        <f t="shared" si="349"/>
        <v>|||</v>
      </c>
      <c r="H8705" s="835">
        <f t="shared" si="350"/>
        <v>31</v>
      </c>
      <c r="AF8705" s="831" t="s">
        <v>9364</v>
      </c>
      <c r="AG8705" s="831" t="s">
        <v>131</v>
      </c>
      <c r="AH8705" s="831" t="s">
        <v>217</v>
      </c>
      <c r="AI8705" s="831">
        <v>0</v>
      </c>
      <c r="AJ8705" s="835">
        <v>41912</v>
      </c>
      <c r="AK8705" s="831">
        <v>0</v>
      </c>
    </row>
    <row r="8706" spans="2:37">
      <c r="B8706" s="834" t="str">
        <f t="shared" si="349"/>
        <v>|||</v>
      </c>
      <c r="H8706" s="835">
        <f t="shared" si="350"/>
        <v>31</v>
      </c>
      <c r="AF8706" s="831" t="s">
        <v>9365</v>
      </c>
      <c r="AG8706" s="831" t="s">
        <v>131</v>
      </c>
      <c r="AH8706" s="831" t="s">
        <v>223</v>
      </c>
      <c r="AI8706" s="831">
        <v>0</v>
      </c>
      <c r="AJ8706" s="835">
        <v>41912</v>
      </c>
      <c r="AK8706" s="831">
        <v>0</v>
      </c>
    </row>
    <row r="8707" spans="2:37">
      <c r="B8707" s="834" t="str">
        <f t="shared" ref="B8707:B8770" si="351">C8707&amp;"|"&amp;D8707&amp;"|"&amp;E8707&amp;"|"&amp;F8707</f>
        <v>|||</v>
      </c>
      <c r="H8707" s="835">
        <f t="shared" si="350"/>
        <v>31</v>
      </c>
      <c r="AF8707" s="831" t="s">
        <v>9366</v>
      </c>
      <c r="AG8707" s="831" t="s">
        <v>131</v>
      </c>
      <c r="AH8707" s="831" t="s">
        <v>224</v>
      </c>
      <c r="AI8707" s="831">
        <v>0</v>
      </c>
      <c r="AJ8707" s="835">
        <v>41912</v>
      </c>
      <c r="AK8707" s="831">
        <v>0</v>
      </c>
    </row>
    <row r="8708" spans="2:37">
      <c r="B8708" s="834" t="str">
        <f t="shared" si="351"/>
        <v>|||</v>
      </c>
      <c r="H8708" s="835">
        <f t="shared" ref="H8708:H8771" si="352">EOMONTH(L8708,0)</f>
        <v>31</v>
      </c>
      <c r="AF8708" s="831" t="s">
        <v>9367</v>
      </c>
      <c r="AG8708" s="831" t="s">
        <v>131</v>
      </c>
      <c r="AH8708" s="831" t="s">
        <v>128</v>
      </c>
      <c r="AI8708" s="831">
        <v>0</v>
      </c>
      <c r="AJ8708" s="835">
        <v>41912</v>
      </c>
      <c r="AK8708" s="831">
        <v>0</v>
      </c>
    </row>
    <row r="8709" spans="2:37">
      <c r="B8709" s="834" t="str">
        <f t="shared" si="351"/>
        <v>|||</v>
      </c>
      <c r="H8709" s="835">
        <f t="shared" si="352"/>
        <v>31</v>
      </c>
      <c r="AF8709" s="831" t="s">
        <v>9368</v>
      </c>
      <c r="AG8709" s="831" t="s">
        <v>131</v>
      </c>
      <c r="AH8709" s="831" t="s">
        <v>3237</v>
      </c>
      <c r="AI8709" s="831">
        <v>0</v>
      </c>
      <c r="AJ8709" s="835">
        <v>41912</v>
      </c>
      <c r="AK8709" s="831">
        <v>0</v>
      </c>
    </row>
    <row r="8710" spans="2:37">
      <c r="B8710" s="834" t="str">
        <f t="shared" si="351"/>
        <v>|||</v>
      </c>
      <c r="H8710" s="835">
        <f t="shared" si="352"/>
        <v>31</v>
      </c>
      <c r="AF8710" s="831" t="s">
        <v>9369</v>
      </c>
      <c r="AG8710" s="831" t="s">
        <v>131</v>
      </c>
      <c r="AH8710" s="831" t="s">
        <v>3239</v>
      </c>
      <c r="AI8710" s="831">
        <v>0</v>
      </c>
      <c r="AJ8710" s="835">
        <v>41912</v>
      </c>
      <c r="AK8710" s="831">
        <v>0</v>
      </c>
    </row>
    <row r="8711" spans="2:37">
      <c r="B8711" s="834" t="str">
        <f t="shared" si="351"/>
        <v>|||</v>
      </c>
      <c r="H8711" s="835">
        <f t="shared" si="352"/>
        <v>31</v>
      </c>
      <c r="AF8711" s="831" t="s">
        <v>9370</v>
      </c>
      <c r="AG8711" s="831" t="s">
        <v>131</v>
      </c>
      <c r="AH8711" s="831" t="s">
        <v>138</v>
      </c>
      <c r="AI8711" s="831">
        <v>0</v>
      </c>
      <c r="AJ8711" s="835">
        <v>41943</v>
      </c>
      <c r="AK8711" s="831">
        <v>134037048</v>
      </c>
    </row>
    <row r="8712" spans="2:37">
      <c r="B8712" s="834" t="str">
        <f t="shared" si="351"/>
        <v>|||</v>
      </c>
      <c r="H8712" s="835">
        <f t="shared" si="352"/>
        <v>31</v>
      </c>
      <c r="AF8712" s="831" t="s">
        <v>9371</v>
      </c>
      <c r="AG8712" s="831" t="s">
        <v>131</v>
      </c>
      <c r="AH8712" s="831" t="s">
        <v>141</v>
      </c>
      <c r="AI8712" s="831">
        <v>0</v>
      </c>
      <c r="AJ8712" s="835">
        <v>41943</v>
      </c>
      <c r="AK8712" s="831">
        <v>10508289</v>
      </c>
    </row>
    <row r="8713" spans="2:37">
      <c r="B8713" s="834" t="str">
        <f t="shared" si="351"/>
        <v>|||</v>
      </c>
      <c r="H8713" s="835">
        <f t="shared" si="352"/>
        <v>31</v>
      </c>
      <c r="AF8713" s="831" t="s">
        <v>9372</v>
      </c>
      <c r="AG8713" s="831" t="s">
        <v>131</v>
      </c>
      <c r="AH8713" s="831" t="s">
        <v>146</v>
      </c>
      <c r="AI8713" s="831">
        <v>0</v>
      </c>
      <c r="AJ8713" s="835">
        <v>41943</v>
      </c>
      <c r="AK8713" s="831">
        <v>-22426663</v>
      </c>
    </row>
    <row r="8714" spans="2:37">
      <c r="B8714" s="834" t="str">
        <f t="shared" si="351"/>
        <v>|||</v>
      </c>
      <c r="H8714" s="835">
        <f t="shared" si="352"/>
        <v>31</v>
      </c>
      <c r="AF8714" s="831" t="s">
        <v>9373</v>
      </c>
      <c r="AG8714" s="831" t="s">
        <v>131</v>
      </c>
      <c r="AH8714" s="831" t="s">
        <v>150</v>
      </c>
      <c r="AI8714" s="831">
        <v>0</v>
      </c>
      <c r="AJ8714" s="835">
        <v>41943</v>
      </c>
      <c r="AK8714" s="831">
        <v>-19811418</v>
      </c>
    </row>
    <row r="8715" spans="2:37">
      <c r="B8715" s="834" t="str">
        <f t="shared" si="351"/>
        <v>|||</v>
      </c>
      <c r="H8715" s="835">
        <f t="shared" si="352"/>
        <v>31</v>
      </c>
      <c r="AF8715" s="831" t="s">
        <v>9374</v>
      </c>
      <c r="AG8715" s="831" t="s">
        <v>131</v>
      </c>
      <c r="AH8715" s="831" t="s">
        <v>77</v>
      </c>
      <c r="AI8715" s="831">
        <v>0</v>
      </c>
      <c r="AJ8715" s="835">
        <v>41943</v>
      </c>
      <c r="AK8715" s="831">
        <v>-1293814</v>
      </c>
    </row>
    <row r="8716" spans="2:37">
      <c r="B8716" s="834" t="str">
        <f t="shared" si="351"/>
        <v>|||</v>
      </c>
      <c r="H8716" s="835">
        <f t="shared" si="352"/>
        <v>31</v>
      </c>
      <c r="AF8716" s="831" t="s">
        <v>9375</v>
      </c>
      <c r="AG8716" s="831" t="s">
        <v>131</v>
      </c>
      <c r="AH8716" s="831" t="s">
        <v>167</v>
      </c>
      <c r="AI8716" s="831">
        <v>0</v>
      </c>
      <c r="AJ8716" s="835">
        <v>41943</v>
      </c>
      <c r="AK8716" s="831">
        <v>0</v>
      </c>
    </row>
    <row r="8717" spans="2:37">
      <c r="B8717" s="834" t="str">
        <f t="shared" si="351"/>
        <v>|||</v>
      </c>
      <c r="H8717" s="835">
        <f t="shared" si="352"/>
        <v>31</v>
      </c>
      <c r="AF8717" s="831" t="s">
        <v>9376</v>
      </c>
      <c r="AG8717" s="831" t="s">
        <v>131</v>
      </c>
      <c r="AH8717" s="831" t="s">
        <v>169</v>
      </c>
      <c r="AI8717" s="831">
        <v>0</v>
      </c>
      <c r="AJ8717" s="835">
        <v>41943</v>
      </c>
      <c r="AK8717" s="831">
        <v>4372155</v>
      </c>
    </row>
    <row r="8718" spans="2:37">
      <c r="B8718" s="834" t="str">
        <f t="shared" si="351"/>
        <v>|||</v>
      </c>
      <c r="H8718" s="835">
        <f t="shared" si="352"/>
        <v>31</v>
      </c>
      <c r="AF8718" s="831" t="s">
        <v>9377</v>
      </c>
      <c r="AG8718" s="831" t="s">
        <v>131</v>
      </c>
      <c r="AH8718" s="831" t="s">
        <v>172</v>
      </c>
      <c r="AI8718" s="831">
        <v>0</v>
      </c>
      <c r="AJ8718" s="835">
        <v>41943</v>
      </c>
      <c r="AK8718" s="831">
        <v>-300425</v>
      </c>
    </row>
    <row r="8719" spans="2:37">
      <c r="B8719" s="834" t="str">
        <f t="shared" si="351"/>
        <v>|||</v>
      </c>
      <c r="H8719" s="835">
        <f t="shared" si="352"/>
        <v>31</v>
      </c>
      <c r="AF8719" s="831" t="s">
        <v>9378</v>
      </c>
      <c r="AG8719" s="831" t="s">
        <v>131</v>
      </c>
      <c r="AH8719" s="831" t="s">
        <v>175</v>
      </c>
      <c r="AI8719" s="831">
        <v>0</v>
      </c>
      <c r="AJ8719" s="835">
        <v>41943</v>
      </c>
      <c r="AK8719" s="831">
        <v>-432906</v>
      </c>
    </row>
    <row r="8720" spans="2:37">
      <c r="B8720" s="834" t="str">
        <f t="shared" si="351"/>
        <v>|||</v>
      </c>
      <c r="H8720" s="835">
        <f t="shared" si="352"/>
        <v>31</v>
      </c>
      <c r="AF8720" s="831" t="s">
        <v>9379</v>
      </c>
      <c r="AG8720" s="831" t="s">
        <v>131</v>
      </c>
      <c r="AH8720" s="831" t="s">
        <v>185</v>
      </c>
      <c r="AI8720" s="831">
        <v>0</v>
      </c>
      <c r="AJ8720" s="835">
        <v>41943</v>
      </c>
      <c r="AK8720" s="831">
        <v>-39201557</v>
      </c>
    </row>
    <row r="8721" spans="2:37">
      <c r="B8721" s="834" t="str">
        <f t="shared" si="351"/>
        <v>|||</v>
      </c>
      <c r="H8721" s="835">
        <f t="shared" si="352"/>
        <v>31</v>
      </c>
      <c r="AF8721" s="831" t="s">
        <v>9380</v>
      </c>
      <c r="AG8721" s="831" t="s">
        <v>131</v>
      </c>
      <c r="AH8721" s="831" t="s">
        <v>188</v>
      </c>
      <c r="AI8721" s="831">
        <v>0</v>
      </c>
      <c r="AJ8721" s="835">
        <v>41943</v>
      </c>
      <c r="AK8721" s="831">
        <v>-16924965</v>
      </c>
    </row>
    <row r="8722" spans="2:37">
      <c r="B8722" s="834" t="str">
        <f t="shared" si="351"/>
        <v>|||</v>
      </c>
      <c r="H8722" s="835">
        <f t="shared" si="352"/>
        <v>31</v>
      </c>
      <c r="AF8722" s="831" t="s">
        <v>9381</v>
      </c>
      <c r="AG8722" s="831" t="s">
        <v>131</v>
      </c>
      <c r="AH8722" s="831" t="s">
        <v>191</v>
      </c>
      <c r="AI8722" s="831">
        <v>0</v>
      </c>
      <c r="AJ8722" s="835">
        <v>41943</v>
      </c>
      <c r="AK8722" s="831">
        <v>-6060703</v>
      </c>
    </row>
    <row r="8723" spans="2:37">
      <c r="B8723" s="834" t="str">
        <f t="shared" si="351"/>
        <v>|||</v>
      </c>
      <c r="H8723" s="835">
        <f t="shared" si="352"/>
        <v>31</v>
      </c>
      <c r="AF8723" s="831" t="s">
        <v>9382</v>
      </c>
      <c r="AG8723" s="831" t="s">
        <v>131</v>
      </c>
      <c r="AH8723" s="831" t="s">
        <v>198</v>
      </c>
      <c r="AI8723" s="831">
        <v>0</v>
      </c>
      <c r="AJ8723" s="835">
        <v>41943</v>
      </c>
      <c r="AK8723" s="831">
        <v>0</v>
      </c>
    </row>
    <row r="8724" spans="2:37">
      <c r="B8724" s="834" t="str">
        <f t="shared" si="351"/>
        <v>|||</v>
      </c>
      <c r="H8724" s="835">
        <f t="shared" si="352"/>
        <v>31</v>
      </c>
      <c r="AF8724" s="831" t="s">
        <v>9383</v>
      </c>
      <c r="AG8724" s="831" t="s">
        <v>131</v>
      </c>
      <c r="AH8724" s="831" t="s">
        <v>200</v>
      </c>
      <c r="AI8724" s="831">
        <v>0</v>
      </c>
      <c r="AJ8724" s="835">
        <v>41943</v>
      </c>
      <c r="AK8724" s="831">
        <v>0</v>
      </c>
    </row>
    <row r="8725" spans="2:37">
      <c r="B8725" s="834" t="str">
        <f t="shared" si="351"/>
        <v>|||</v>
      </c>
      <c r="H8725" s="835">
        <f t="shared" si="352"/>
        <v>31</v>
      </c>
      <c r="AF8725" s="831" t="s">
        <v>9384</v>
      </c>
      <c r="AG8725" s="831" t="s">
        <v>131</v>
      </c>
      <c r="AH8725" s="831" t="s">
        <v>205</v>
      </c>
      <c r="AI8725" s="831">
        <v>0</v>
      </c>
      <c r="AJ8725" s="835">
        <v>41943</v>
      </c>
      <c r="AK8725" s="831">
        <v>-9807508</v>
      </c>
    </row>
    <row r="8726" spans="2:37">
      <c r="B8726" s="834" t="str">
        <f t="shared" si="351"/>
        <v>|||</v>
      </c>
      <c r="H8726" s="835">
        <f t="shared" si="352"/>
        <v>31</v>
      </c>
      <c r="AF8726" s="831" t="s">
        <v>9385</v>
      </c>
      <c r="AG8726" s="831" t="s">
        <v>131</v>
      </c>
      <c r="AH8726" s="831" t="s">
        <v>122</v>
      </c>
      <c r="AI8726" s="831">
        <v>0</v>
      </c>
      <c r="AJ8726" s="835">
        <v>41943</v>
      </c>
      <c r="AK8726" s="831">
        <v>0</v>
      </c>
    </row>
    <row r="8727" spans="2:37">
      <c r="B8727" s="834" t="str">
        <f t="shared" si="351"/>
        <v>|||</v>
      </c>
      <c r="H8727" s="835">
        <f t="shared" si="352"/>
        <v>31</v>
      </c>
      <c r="AF8727" s="831" t="s">
        <v>9386</v>
      </c>
      <c r="AG8727" s="831" t="s">
        <v>131</v>
      </c>
      <c r="AH8727" s="831" t="s">
        <v>213</v>
      </c>
      <c r="AI8727" s="831">
        <v>0</v>
      </c>
      <c r="AJ8727" s="835">
        <v>41943</v>
      </c>
      <c r="AK8727" s="831">
        <v>0</v>
      </c>
    </row>
    <row r="8728" spans="2:37">
      <c r="B8728" s="834" t="str">
        <f t="shared" si="351"/>
        <v>|||</v>
      </c>
      <c r="H8728" s="835">
        <f t="shared" si="352"/>
        <v>31</v>
      </c>
      <c r="AF8728" s="831" t="s">
        <v>9387</v>
      </c>
      <c r="AG8728" s="831" t="s">
        <v>131</v>
      </c>
      <c r="AH8728" s="831" t="s">
        <v>215</v>
      </c>
      <c r="AI8728" s="831">
        <v>0</v>
      </c>
      <c r="AJ8728" s="835">
        <v>41943</v>
      </c>
      <c r="AK8728" s="831">
        <v>0</v>
      </c>
    </row>
    <row r="8729" spans="2:37">
      <c r="B8729" s="834" t="str">
        <f t="shared" si="351"/>
        <v>|||</v>
      </c>
      <c r="H8729" s="835">
        <f t="shared" si="352"/>
        <v>31</v>
      </c>
      <c r="AF8729" s="831" t="s">
        <v>9388</v>
      </c>
      <c r="AG8729" s="831" t="s">
        <v>131</v>
      </c>
      <c r="AH8729" s="831" t="s">
        <v>217</v>
      </c>
      <c r="AI8729" s="831">
        <v>0</v>
      </c>
      <c r="AJ8729" s="835">
        <v>41943</v>
      </c>
      <c r="AK8729" s="831">
        <v>0</v>
      </c>
    </row>
    <row r="8730" spans="2:37">
      <c r="B8730" s="834" t="str">
        <f t="shared" si="351"/>
        <v>|||</v>
      </c>
      <c r="H8730" s="835">
        <f t="shared" si="352"/>
        <v>31</v>
      </c>
      <c r="AF8730" s="831" t="s">
        <v>9389</v>
      </c>
      <c r="AG8730" s="831" t="s">
        <v>131</v>
      </c>
      <c r="AH8730" s="831" t="s">
        <v>223</v>
      </c>
      <c r="AI8730" s="831">
        <v>0</v>
      </c>
      <c r="AJ8730" s="835">
        <v>41943</v>
      </c>
      <c r="AK8730" s="831">
        <v>0</v>
      </c>
    </row>
    <row r="8731" spans="2:37">
      <c r="B8731" s="834" t="str">
        <f t="shared" si="351"/>
        <v>|||</v>
      </c>
      <c r="H8731" s="835">
        <f t="shared" si="352"/>
        <v>31</v>
      </c>
      <c r="AF8731" s="831" t="s">
        <v>9390</v>
      </c>
      <c r="AG8731" s="831" t="s">
        <v>131</v>
      </c>
      <c r="AH8731" s="831" t="s">
        <v>224</v>
      </c>
      <c r="AI8731" s="831">
        <v>0</v>
      </c>
      <c r="AJ8731" s="835">
        <v>41943</v>
      </c>
      <c r="AK8731" s="831">
        <v>0</v>
      </c>
    </row>
    <row r="8732" spans="2:37">
      <c r="B8732" s="834" t="str">
        <f t="shared" si="351"/>
        <v>|||</v>
      </c>
      <c r="H8732" s="835">
        <f t="shared" si="352"/>
        <v>31</v>
      </c>
      <c r="AF8732" s="831" t="s">
        <v>9391</v>
      </c>
      <c r="AG8732" s="831" t="s">
        <v>131</v>
      </c>
      <c r="AH8732" s="831" t="s">
        <v>128</v>
      </c>
      <c r="AI8732" s="831">
        <v>0</v>
      </c>
      <c r="AJ8732" s="835">
        <v>41943</v>
      </c>
      <c r="AK8732" s="831">
        <v>0</v>
      </c>
    </row>
    <row r="8733" spans="2:37">
      <c r="B8733" s="834" t="str">
        <f t="shared" si="351"/>
        <v>|||</v>
      </c>
      <c r="H8733" s="835">
        <f t="shared" si="352"/>
        <v>31</v>
      </c>
      <c r="AF8733" s="831" t="s">
        <v>9392</v>
      </c>
      <c r="AG8733" s="831" t="s">
        <v>131</v>
      </c>
      <c r="AH8733" s="831" t="s">
        <v>3237</v>
      </c>
      <c r="AI8733" s="831">
        <v>0</v>
      </c>
      <c r="AJ8733" s="835">
        <v>41943</v>
      </c>
      <c r="AK8733" s="831">
        <v>0</v>
      </c>
    </row>
    <row r="8734" spans="2:37">
      <c r="B8734" s="834" t="str">
        <f t="shared" si="351"/>
        <v>|||</v>
      </c>
      <c r="H8734" s="835">
        <f t="shared" si="352"/>
        <v>31</v>
      </c>
      <c r="AF8734" s="831" t="s">
        <v>9393</v>
      </c>
      <c r="AG8734" s="831" t="s">
        <v>131</v>
      </c>
      <c r="AH8734" s="831" t="s">
        <v>3239</v>
      </c>
      <c r="AI8734" s="831">
        <v>0</v>
      </c>
      <c r="AJ8734" s="835">
        <v>41943</v>
      </c>
      <c r="AK8734" s="831">
        <v>0</v>
      </c>
    </row>
    <row r="8735" spans="2:37">
      <c r="B8735" s="834" t="str">
        <f t="shared" si="351"/>
        <v>|||</v>
      </c>
      <c r="H8735" s="835">
        <f t="shared" si="352"/>
        <v>31</v>
      </c>
      <c r="AF8735" s="831" t="s">
        <v>9394</v>
      </c>
      <c r="AG8735" s="831" t="s">
        <v>131</v>
      </c>
      <c r="AH8735" s="831" t="s">
        <v>138</v>
      </c>
      <c r="AI8735" s="831">
        <v>0</v>
      </c>
      <c r="AJ8735" s="835">
        <v>41973</v>
      </c>
      <c r="AK8735" s="831">
        <v>148514422</v>
      </c>
    </row>
    <row r="8736" spans="2:37">
      <c r="B8736" s="834" t="str">
        <f t="shared" si="351"/>
        <v>|||</v>
      </c>
      <c r="H8736" s="835">
        <f t="shared" si="352"/>
        <v>31</v>
      </c>
      <c r="AF8736" s="831" t="s">
        <v>9395</v>
      </c>
      <c r="AG8736" s="831" t="s">
        <v>131</v>
      </c>
      <c r="AH8736" s="831" t="s">
        <v>141</v>
      </c>
      <c r="AI8736" s="831">
        <v>0</v>
      </c>
      <c r="AJ8736" s="835">
        <v>41973</v>
      </c>
      <c r="AK8736" s="831">
        <v>11786729</v>
      </c>
    </row>
    <row r="8737" spans="2:37">
      <c r="B8737" s="834" t="str">
        <f t="shared" si="351"/>
        <v>|||</v>
      </c>
      <c r="H8737" s="835">
        <f t="shared" si="352"/>
        <v>31</v>
      </c>
      <c r="AF8737" s="831" t="s">
        <v>9396</v>
      </c>
      <c r="AG8737" s="831" t="s">
        <v>131</v>
      </c>
      <c r="AH8737" s="831" t="s">
        <v>146</v>
      </c>
      <c r="AI8737" s="831">
        <v>0</v>
      </c>
      <c r="AJ8737" s="835">
        <v>41973</v>
      </c>
      <c r="AK8737" s="831">
        <v>-24995587</v>
      </c>
    </row>
    <row r="8738" spans="2:37">
      <c r="B8738" s="834" t="str">
        <f t="shared" si="351"/>
        <v>|||</v>
      </c>
      <c r="H8738" s="835">
        <f t="shared" si="352"/>
        <v>31</v>
      </c>
      <c r="AF8738" s="831" t="s">
        <v>9397</v>
      </c>
      <c r="AG8738" s="831" t="s">
        <v>131</v>
      </c>
      <c r="AH8738" s="831" t="s">
        <v>150</v>
      </c>
      <c r="AI8738" s="831">
        <v>0</v>
      </c>
      <c r="AJ8738" s="835">
        <v>41973</v>
      </c>
      <c r="AK8738" s="831">
        <v>-21888411</v>
      </c>
    </row>
    <row r="8739" spans="2:37">
      <c r="B8739" s="834" t="str">
        <f t="shared" si="351"/>
        <v>|||</v>
      </c>
      <c r="H8739" s="835">
        <f t="shared" si="352"/>
        <v>31</v>
      </c>
      <c r="AF8739" s="831" t="s">
        <v>9398</v>
      </c>
      <c r="AG8739" s="831" t="s">
        <v>131</v>
      </c>
      <c r="AH8739" s="831" t="s">
        <v>77</v>
      </c>
      <c r="AI8739" s="831">
        <v>0</v>
      </c>
      <c r="AJ8739" s="835">
        <v>41973</v>
      </c>
      <c r="AK8739" s="831">
        <v>-2225593</v>
      </c>
    </row>
    <row r="8740" spans="2:37">
      <c r="B8740" s="834" t="str">
        <f t="shared" si="351"/>
        <v>|||</v>
      </c>
      <c r="H8740" s="835">
        <f t="shared" si="352"/>
        <v>31</v>
      </c>
      <c r="AF8740" s="831" t="s">
        <v>9399</v>
      </c>
      <c r="AG8740" s="831" t="s">
        <v>131</v>
      </c>
      <c r="AH8740" s="831" t="s">
        <v>167</v>
      </c>
      <c r="AI8740" s="831">
        <v>0</v>
      </c>
      <c r="AJ8740" s="835">
        <v>41973</v>
      </c>
      <c r="AK8740" s="831">
        <v>0</v>
      </c>
    </row>
    <row r="8741" spans="2:37">
      <c r="B8741" s="834" t="str">
        <f t="shared" si="351"/>
        <v>|||</v>
      </c>
      <c r="H8741" s="835">
        <f t="shared" si="352"/>
        <v>31</v>
      </c>
      <c r="AF8741" s="831" t="s">
        <v>9400</v>
      </c>
      <c r="AG8741" s="831" t="s">
        <v>131</v>
      </c>
      <c r="AH8741" s="831" t="s">
        <v>169</v>
      </c>
      <c r="AI8741" s="831">
        <v>0</v>
      </c>
      <c r="AJ8741" s="835">
        <v>41973</v>
      </c>
      <c r="AK8741" s="831">
        <v>4671475</v>
      </c>
    </row>
    <row r="8742" spans="2:37">
      <c r="B8742" s="834" t="str">
        <f t="shared" si="351"/>
        <v>|||</v>
      </c>
      <c r="H8742" s="835">
        <f t="shared" si="352"/>
        <v>31</v>
      </c>
      <c r="AF8742" s="831" t="s">
        <v>9401</v>
      </c>
      <c r="AG8742" s="831" t="s">
        <v>131</v>
      </c>
      <c r="AH8742" s="831" t="s">
        <v>172</v>
      </c>
      <c r="AI8742" s="831">
        <v>0</v>
      </c>
      <c r="AJ8742" s="835">
        <v>41973</v>
      </c>
      <c r="AK8742" s="831">
        <v>-361526</v>
      </c>
    </row>
    <row r="8743" spans="2:37">
      <c r="B8743" s="834" t="str">
        <f t="shared" si="351"/>
        <v>|||</v>
      </c>
      <c r="H8743" s="835">
        <f t="shared" si="352"/>
        <v>31</v>
      </c>
      <c r="AF8743" s="831" t="s">
        <v>9402</v>
      </c>
      <c r="AG8743" s="831" t="s">
        <v>131</v>
      </c>
      <c r="AH8743" s="831" t="s">
        <v>175</v>
      </c>
      <c r="AI8743" s="831">
        <v>0</v>
      </c>
      <c r="AJ8743" s="835">
        <v>41973</v>
      </c>
      <c r="AK8743" s="831">
        <v>-429161</v>
      </c>
    </row>
    <row r="8744" spans="2:37">
      <c r="B8744" s="834" t="str">
        <f t="shared" si="351"/>
        <v>|||</v>
      </c>
      <c r="H8744" s="835">
        <f t="shared" si="352"/>
        <v>31</v>
      </c>
      <c r="AF8744" s="831" t="s">
        <v>9403</v>
      </c>
      <c r="AG8744" s="831" t="s">
        <v>131</v>
      </c>
      <c r="AH8744" s="831" t="s">
        <v>185</v>
      </c>
      <c r="AI8744" s="831">
        <v>0</v>
      </c>
      <c r="AJ8744" s="835">
        <v>41973</v>
      </c>
      <c r="AK8744" s="831">
        <v>-43772051</v>
      </c>
    </row>
    <row r="8745" spans="2:37">
      <c r="B8745" s="834" t="str">
        <f t="shared" si="351"/>
        <v>|||</v>
      </c>
      <c r="H8745" s="835">
        <f t="shared" si="352"/>
        <v>31</v>
      </c>
      <c r="AF8745" s="831" t="s">
        <v>9404</v>
      </c>
      <c r="AG8745" s="831" t="s">
        <v>131</v>
      </c>
      <c r="AH8745" s="831" t="s">
        <v>188</v>
      </c>
      <c r="AI8745" s="831">
        <v>0</v>
      </c>
      <c r="AJ8745" s="835">
        <v>41973</v>
      </c>
      <c r="AK8745" s="831">
        <v>-18375488</v>
      </c>
    </row>
    <row r="8746" spans="2:37">
      <c r="B8746" s="834" t="str">
        <f t="shared" si="351"/>
        <v>|||</v>
      </c>
      <c r="H8746" s="835">
        <f t="shared" si="352"/>
        <v>31</v>
      </c>
      <c r="AF8746" s="831" t="s">
        <v>9405</v>
      </c>
      <c r="AG8746" s="831" t="s">
        <v>131</v>
      </c>
      <c r="AH8746" s="831" t="s">
        <v>191</v>
      </c>
      <c r="AI8746" s="831">
        <v>0</v>
      </c>
      <c r="AJ8746" s="835">
        <v>41973</v>
      </c>
      <c r="AK8746" s="831">
        <v>-6860655</v>
      </c>
    </row>
    <row r="8747" spans="2:37">
      <c r="B8747" s="834" t="str">
        <f t="shared" si="351"/>
        <v>|||</v>
      </c>
      <c r="H8747" s="835">
        <f t="shared" si="352"/>
        <v>31</v>
      </c>
      <c r="AF8747" s="831" t="s">
        <v>9406</v>
      </c>
      <c r="AG8747" s="831" t="s">
        <v>131</v>
      </c>
      <c r="AH8747" s="831" t="s">
        <v>198</v>
      </c>
      <c r="AI8747" s="831">
        <v>0</v>
      </c>
      <c r="AJ8747" s="835">
        <v>41973</v>
      </c>
      <c r="AK8747" s="831">
        <v>0</v>
      </c>
    </row>
    <row r="8748" spans="2:37">
      <c r="B8748" s="834" t="str">
        <f t="shared" si="351"/>
        <v>|||</v>
      </c>
      <c r="H8748" s="835">
        <f t="shared" si="352"/>
        <v>31</v>
      </c>
      <c r="AF8748" s="831" t="s">
        <v>9407</v>
      </c>
      <c r="AG8748" s="831" t="s">
        <v>131</v>
      </c>
      <c r="AH8748" s="831" t="s">
        <v>200</v>
      </c>
      <c r="AI8748" s="831">
        <v>0</v>
      </c>
      <c r="AJ8748" s="835">
        <v>41973</v>
      </c>
      <c r="AK8748" s="831">
        <v>0</v>
      </c>
    </row>
    <row r="8749" spans="2:37">
      <c r="B8749" s="834" t="str">
        <f t="shared" si="351"/>
        <v>|||</v>
      </c>
      <c r="H8749" s="835">
        <f t="shared" si="352"/>
        <v>31</v>
      </c>
      <c r="AF8749" s="831" t="s">
        <v>9408</v>
      </c>
      <c r="AG8749" s="831" t="s">
        <v>131</v>
      </c>
      <c r="AH8749" s="831" t="s">
        <v>205</v>
      </c>
      <c r="AI8749" s="831">
        <v>0</v>
      </c>
      <c r="AJ8749" s="835">
        <v>41973</v>
      </c>
      <c r="AK8749" s="831">
        <v>-11050552</v>
      </c>
    </row>
    <row r="8750" spans="2:37">
      <c r="B8750" s="834" t="str">
        <f t="shared" si="351"/>
        <v>|||</v>
      </c>
      <c r="H8750" s="835">
        <f t="shared" si="352"/>
        <v>31</v>
      </c>
      <c r="AF8750" s="831" t="s">
        <v>9409</v>
      </c>
      <c r="AG8750" s="831" t="s">
        <v>131</v>
      </c>
      <c r="AH8750" s="831" t="s">
        <v>122</v>
      </c>
      <c r="AI8750" s="831">
        <v>0</v>
      </c>
      <c r="AJ8750" s="835">
        <v>41973</v>
      </c>
      <c r="AK8750" s="831">
        <v>0</v>
      </c>
    </row>
    <row r="8751" spans="2:37">
      <c r="B8751" s="834" t="str">
        <f t="shared" si="351"/>
        <v>|||</v>
      </c>
      <c r="H8751" s="835">
        <f t="shared" si="352"/>
        <v>31</v>
      </c>
      <c r="AF8751" s="831" t="s">
        <v>9410</v>
      </c>
      <c r="AG8751" s="831" t="s">
        <v>131</v>
      </c>
      <c r="AH8751" s="831" t="s">
        <v>213</v>
      </c>
      <c r="AI8751" s="831">
        <v>0</v>
      </c>
      <c r="AJ8751" s="835">
        <v>41973</v>
      </c>
      <c r="AK8751" s="831">
        <v>0</v>
      </c>
    </row>
    <row r="8752" spans="2:37">
      <c r="B8752" s="834" t="str">
        <f t="shared" si="351"/>
        <v>|||</v>
      </c>
      <c r="H8752" s="835">
        <f t="shared" si="352"/>
        <v>31</v>
      </c>
      <c r="AF8752" s="831" t="s">
        <v>9411</v>
      </c>
      <c r="AG8752" s="831" t="s">
        <v>131</v>
      </c>
      <c r="AH8752" s="831" t="s">
        <v>215</v>
      </c>
      <c r="AI8752" s="831">
        <v>0</v>
      </c>
      <c r="AJ8752" s="835">
        <v>41973</v>
      </c>
      <c r="AK8752" s="831">
        <v>0</v>
      </c>
    </row>
    <row r="8753" spans="2:37">
      <c r="B8753" s="834" t="str">
        <f t="shared" si="351"/>
        <v>|||</v>
      </c>
      <c r="H8753" s="835">
        <f t="shared" si="352"/>
        <v>31</v>
      </c>
      <c r="AF8753" s="831" t="s">
        <v>9412</v>
      </c>
      <c r="AG8753" s="831" t="s">
        <v>131</v>
      </c>
      <c r="AH8753" s="831" t="s">
        <v>217</v>
      </c>
      <c r="AI8753" s="831">
        <v>0</v>
      </c>
      <c r="AJ8753" s="835">
        <v>41973</v>
      </c>
      <c r="AK8753" s="831">
        <v>0</v>
      </c>
    </row>
    <row r="8754" spans="2:37">
      <c r="B8754" s="834" t="str">
        <f t="shared" si="351"/>
        <v>|||</v>
      </c>
      <c r="H8754" s="835">
        <f t="shared" si="352"/>
        <v>31</v>
      </c>
      <c r="AF8754" s="831" t="s">
        <v>9413</v>
      </c>
      <c r="AG8754" s="831" t="s">
        <v>131</v>
      </c>
      <c r="AH8754" s="831" t="s">
        <v>223</v>
      </c>
      <c r="AI8754" s="831">
        <v>0</v>
      </c>
      <c r="AJ8754" s="835">
        <v>41973</v>
      </c>
      <c r="AK8754" s="831">
        <v>0</v>
      </c>
    </row>
    <row r="8755" spans="2:37">
      <c r="B8755" s="834" t="str">
        <f t="shared" si="351"/>
        <v>|||</v>
      </c>
      <c r="H8755" s="835">
        <f t="shared" si="352"/>
        <v>31</v>
      </c>
      <c r="AF8755" s="831" t="s">
        <v>9414</v>
      </c>
      <c r="AG8755" s="831" t="s">
        <v>131</v>
      </c>
      <c r="AH8755" s="831" t="s">
        <v>224</v>
      </c>
      <c r="AI8755" s="831">
        <v>0</v>
      </c>
      <c r="AJ8755" s="835">
        <v>41973</v>
      </c>
      <c r="AK8755" s="831">
        <v>0</v>
      </c>
    </row>
    <row r="8756" spans="2:37">
      <c r="B8756" s="834" t="str">
        <f t="shared" si="351"/>
        <v>|||</v>
      </c>
      <c r="H8756" s="835">
        <f t="shared" si="352"/>
        <v>31</v>
      </c>
      <c r="AF8756" s="831" t="s">
        <v>9415</v>
      </c>
      <c r="AG8756" s="831" t="s">
        <v>131</v>
      </c>
      <c r="AH8756" s="831" t="s">
        <v>128</v>
      </c>
      <c r="AI8756" s="831">
        <v>0</v>
      </c>
      <c r="AJ8756" s="835">
        <v>41973</v>
      </c>
      <c r="AK8756" s="831">
        <v>0</v>
      </c>
    </row>
    <row r="8757" spans="2:37">
      <c r="B8757" s="834" t="str">
        <f t="shared" si="351"/>
        <v>|||</v>
      </c>
      <c r="H8757" s="835">
        <f t="shared" si="352"/>
        <v>31</v>
      </c>
      <c r="AF8757" s="831" t="s">
        <v>9416</v>
      </c>
      <c r="AG8757" s="831" t="s">
        <v>131</v>
      </c>
      <c r="AH8757" s="831" t="s">
        <v>3237</v>
      </c>
      <c r="AI8757" s="831">
        <v>0</v>
      </c>
      <c r="AJ8757" s="835">
        <v>41973</v>
      </c>
      <c r="AK8757" s="831">
        <v>0</v>
      </c>
    </row>
    <row r="8758" spans="2:37">
      <c r="B8758" s="834" t="str">
        <f t="shared" si="351"/>
        <v>|||</v>
      </c>
      <c r="H8758" s="835">
        <f t="shared" si="352"/>
        <v>31</v>
      </c>
      <c r="AF8758" s="831" t="s">
        <v>9417</v>
      </c>
      <c r="AG8758" s="831" t="s">
        <v>131</v>
      </c>
      <c r="AH8758" s="831" t="s">
        <v>3239</v>
      </c>
      <c r="AI8758" s="831">
        <v>0</v>
      </c>
      <c r="AJ8758" s="835">
        <v>41973</v>
      </c>
      <c r="AK8758" s="831">
        <v>0</v>
      </c>
    </row>
    <row r="8759" spans="2:37">
      <c r="B8759" s="834" t="str">
        <f t="shared" si="351"/>
        <v>|||</v>
      </c>
      <c r="H8759" s="835">
        <f t="shared" si="352"/>
        <v>31</v>
      </c>
      <c r="AF8759" s="831" t="s">
        <v>9418</v>
      </c>
      <c r="AG8759" s="831" t="s">
        <v>131</v>
      </c>
      <c r="AH8759" s="831" t="s">
        <v>138</v>
      </c>
      <c r="AI8759" s="831">
        <v>0</v>
      </c>
      <c r="AJ8759" s="835">
        <v>42004</v>
      </c>
      <c r="AK8759" s="831">
        <v>163468718</v>
      </c>
    </row>
    <row r="8760" spans="2:37">
      <c r="B8760" s="834" t="str">
        <f t="shared" si="351"/>
        <v>|||</v>
      </c>
      <c r="H8760" s="835">
        <f t="shared" si="352"/>
        <v>31</v>
      </c>
      <c r="AF8760" s="831" t="s">
        <v>9419</v>
      </c>
      <c r="AG8760" s="831" t="s">
        <v>131</v>
      </c>
      <c r="AH8760" s="831" t="s">
        <v>141</v>
      </c>
      <c r="AI8760" s="831">
        <v>0</v>
      </c>
      <c r="AJ8760" s="835">
        <v>42004</v>
      </c>
      <c r="AK8760" s="831">
        <v>13008346</v>
      </c>
    </row>
    <row r="8761" spans="2:37">
      <c r="B8761" s="834" t="str">
        <f t="shared" si="351"/>
        <v>|||</v>
      </c>
      <c r="H8761" s="835">
        <f t="shared" si="352"/>
        <v>31</v>
      </c>
      <c r="AF8761" s="831" t="s">
        <v>9420</v>
      </c>
      <c r="AG8761" s="831" t="s">
        <v>131</v>
      </c>
      <c r="AH8761" s="831" t="s">
        <v>146</v>
      </c>
      <c r="AI8761" s="831">
        <v>0</v>
      </c>
      <c r="AJ8761" s="835">
        <v>42004</v>
      </c>
      <c r="AK8761" s="831">
        <v>-27669061</v>
      </c>
    </row>
    <row r="8762" spans="2:37">
      <c r="B8762" s="834" t="str">
        <f t="shared" si="351"/>
        <v>|||</v>
      </c>
      <c r="H8762" s="835">
        <f t="shared" si="352"/>
        <v>31</v>
      </c>
      <c r="AF8762" s="831" t="s">
        <v>9421</v>
      </c>
      <c r="AG8762" s="831" t="s">
        <v>131</v>
      </c>
      <c r="AH8762" s="831" t="s">
        <v>150</v>
      </c>
      <c r="AI8762" s="831">
        <v>0</v>
      </c>
      <c r="AJ8762" s="835">
        <v>42004</v>
      </c>
      <c r="AK8762" s="831">
        <v>-24036306</v>
      </c>
    </row>
    <row r="8763" spans="2:37">
      <c r="B8763" s="834" t="str">
        <f t="shared" si="351"/>
        <v>|||</v>
      </c>
      <c r="H8763" s="835">
        <f t="shared" si="352"/>
        <v>31</v>
      </c>
      <c r="AF8763" s="831" t="s">
        <v>9422</v>
      </c>
      <c r="AG8763" s="831" t="s">
        <v>131</v>
      </c>
      <c r="AH8763" s="831" t="s">
        <v>77</v>
      </c>
      <c r="AI8763" s="831">
        <v>0</v>
      </c>
      <c r="AJ8763" s="835">
        <v>42004</v>
      </c>
      <c r="AK8763" s="831">
        <v>-3897665</v>
      </c>
    </row>
    <row r="8764" spans="2:37">
      <c r="B8764" s="834" t="str">
        <f t="shared" si="351"/>
        <v>|||</v>
      </c>
      <c r="H8764" s="835">
        <f t="shared" si="352"/>
        <v>31</v>
      </c>
      <c r="AF8764" s="831" t="s">
        <v>9423</v>
      </c>
      <c r="AG8764" s="831" t="s">
        <v>131</v>
      </c>
      <c r="AH8764" s="831" t="s">
        <v>167</v>
      </c>
      <c r="AI8764" s="831">
        <v>0</v>
      </c>
      <c r="AJ8764" s="835">
        <v>42004</v>
      </c>
      <c r="AK8764" s="831">
        <v>0</v>
      </c>
    </row>
    <row r="8765" spans="2:37">
      <c r="B8765" s="834" t="str">
        <f t="shared" si="351"/>
        <v>|||</v>
      </c>
      <c r="H8765" s="835">
        <f t="shared" si="352"/>
        <v>31</v>
      </c>
      <c r="AF8765" s="831" t="s">
        <v>9424</v>
      </c>
      <c r="AG8765" s="831" t="s">
        <v>131</v>
      </c>
      <c r="AH8765" s="831" t="s">
        <v>169</v>
      </c>
      <c r="AI8765" s="831">
        <v>0</v>
      </c>
      <c r="AJ8765" s="835">
        <v>42004</v>
      </c>
      <c r="AK8765" s="831">
        <v>5354449</v>
      </c>
    </row>
    <row r="8766" spans="2:37">
      <c r="B8766" s="834" t="str">
        <f t="shared" si="351"/>
        <v>|||</v>
      </c>
      <c r="H8766" s="835">
        <f t="shared" si="352"/>
        <v>31</v>
      </c>
      <c r="AF8766" s="831" t="s">
        <v>9425</v>
      </c>
      <c r="AG8766" s="831" t="s">
        <v>131</v>
      </c>
      <c r="AH8766" s="831" t="s">
        <v>172</v>
      </c>
      <c r="AI8766" s="831">
        <v>0</v>
      </c>
      <c r="AJ8766" s="835">
        <v>42004</v>
      </c>
      <c r="AK8766" s="831">
        <v>-520798</v>
      </c>
    </row>
    <row r="8767" spans="2:37">
      <c r="B8767" s="834" t="str">
        <f t="shared" si="351"/>
        <v>|||</v>
      </c>
      <c r="H8767" s="835">
        <f t="shared" si="352"/>
        <v>31</v>
      </c>
      <c r="AF8767" s="831" t="s">
        <v>9426</v>
      </c>
      <c r="AG8767" s="831" t="s">
        <v>131</v>
      </c>
      <c r="AH8767" s="831" t="s">
        <v>175</v>
      </c>
      <c r="AI8767" s="831">
        <v>0</v>
      </c>
      <c r="AJ8767" s="835">
        <v>42004</v>
      </c>
      <c r="AK8767" s="831">
        <v>-598675</v>
      </c>
    </row>
    <row r="8768" spans="2:37">
      <c r="B8768" s="834" t="str">
        <f t="shared" si="351"/>
        <v>|||</v>
      </c>
      <c r="H8768" s="835">
        <f t="shared" si="352"/>
        <v>31</v>
      </c>
      <c r="AF8768" s="831" t="s">
        <v>9427</v>
      </c>
      <c r="AG8768" s="831" t="s">
        <v>131</v>
      </c>
      <c r="AH8768" s="831" t="s">
        <v>185</v>
      </c>
      <c r="AI8768" s="831">
        <v>0</v>
      </c>
      <c r="AJ8768" s="835">
        <v>42004</v>
      </c>
      <c r="AK8768" s="831">
        <v>-50715110</v>
      </c>
    </row>
    <row r="8769" spans="2:37">
      <c r="B8769" s="834" t="str">
        <f t="shared" si="351"/>
        <v>|||</v>
      </c>
      <c r="H8769" s="835">
        <f t="shared" si="352"/>
        <v>31</v>
      </c>
      <c r="AF8769" s="831" t="s">
        <v>9428</v>
      </c>
      <c r="AG8769" s="831" t="s">
        <v>131</v>
      </c>
      <c r="AH8769" s="831" t="s">
        <v>188</v>
      </c>
      <c r="AI8769" s="831">
        <v>0</v>
      </c>
      <c r="AJ8769" s="835">
        <v>42004</v>
      </c>
      <c r="AK8769" s="831">
        <v>-20579421</v>
      </c>
    </row>
    <row r="8770" spans="2:37">
      <c r="B8770" s="834" t="str">
        <f t="shared" si="351"/>
        <v>|||</v>
      </c>
      <c r="H8770" s="835">
        <f t="shared" si="352"/>
        <v>31</v>
      </c>
      <c r="AF8770" s="831" t="s">
        <v>9429</v>
      </c>
      <c r="AG8770" s="831" t="s">
        <v>131</v>
      </c>
      <c r="AH8770" s="831" t="s">
        <v>191</v>
      </c>
      <c r="AI8770" s="831">
        <v>0</v>
      </c>
      <c r="AJ8770" s="835">
        <v>42004</v>
      </c>
      <c r="AK8770" s="831">
        <v>-7159507</v>
      </c>
    </row>
    <row r="8771" spans="2:37">
      <c r="B8771" s="834" t="str">
        <f t="shared" ref="B8771:B8834" si="353">C8771&amp;"|"&amp;D8771&amp;"|"&amp;E8771&amp;"|"&amp;F8771</f>
        <v>|||</v>
      </c>
      <c r="H8771" s="835">
        <f t="shared" si="352"/>
        <v>31</v>
      </c>
      <c r="AF8771" s="831" t="s">
        <v>9430</v>
      </c>
      <c r="AG8771" s="831" t="s">
        <v>131</v>
      </c>
      <c r="AH8771" s="831" t="s">
        <v>198</v>
      </c>
      <c r="AI8771" s="831">
        <v>0</v>
      </c>
      <c r="AJ8771" s="835">
        <v>42004</v>
      </c>
      <c r="AK8771" s="831">
        <v>0</v>
      </c>
    </row>
    <row r="8772" spans="2:37">
      <c r="B8772" s="834" t="str">
        <f t="shared" si="353"/>
        <v>|||</v>
      </c>
      <c r="H8772" s="835">
        <f t="shared" ref="H8772:H8835" si="354">EOMONTH(L8772,0)</f>
        <v>31</v>
      </c>
      <c r="AF8772" s="831" t="s">
        <v>9431</v>
      </c>
      <c r="AG8772" s="831" t="s">
        <v>131</v>
      </c>
      <c r="AH8772" s="831" t="s">
        <v>200</v>
      </c>
      <c r="AI8772" s="831">
        <v>0</v>
      </c>
      <c r="AJ8772" s="835">
        <v>42004</v>
      </c>
      <c r="AK8772" s="831">
        <v>0</v>
      </c>
    </row>
    <row r="8773" spans="2:37">
      <c r="B8773" s="834" t="str">
        <f t="shared" si="353"/>
        <v>|||</v>
      </c>
      <c r="H8773" s="835">
        <f t="shared" si="354"/>
        <v>31</v>
      </c>
      <c r="AF8773" s="831" t="s">
        <v>9432</v>
      </c>
      <c r="AG8773" s="831" t="s">
        <v>131</v>
      </c>
      <c r="AH8773" s="831" t="s">
        <v>205</v>
      </c>
      <c r="AI8773" s="831">
        <v>0</v>
      </c>
      <c r="AJ8773" s="835">
        <v>42004</v>
      </c>
      <c r="AK8773" s="831">
        <v>-11308678</v>
      </c>
    </row>
    <row r="8774" spans="2:37">
      <c r="B8774" s="834" t="str">
        <f t="shared" si="353"/>
        <v>|||</v>
      </c>
      <c r="H8774" s="835">
        <f t="shared" si="354"/>
        <v>31</v>
      </c>
      <c r="AF8774" s="831" t="s">
        <v>9433</v>
      </c>
      <c r="AG8774" s="831" t="s">
        <v>131</v>
      </c>
      <c r="AH8774" s="831" t="s">
        <v>122</v>
      </c>
      <c r="AI8774" s="831">
        <v>0</v>
      </c>
      <c r="AJ8774" s="835">
        <v>42004</v>
      </c>
      <c r="AK8774" s="831">
        <v>0</v>
      </c>
    </row>
    <row r="8775" spans="2:37">
      <c r="B8775" s="834" t="str">
        <f t="shared" si="353"/>
        <v>|||</v>
      </c>
      <c r="H8775" s="835">
        <f t="shared" si="354"/>
        <v>31</v>
      </c>
      <c r="AF8775" s="831" t="s">
        <v>9434</v>
      </c>
      <c r="AG8775" s="831" t="s">
        <v>131</v>
      </c>
      <c r="AH8775" s="831" t="s">
        <v>213</v>
      </c>
      <c r="AI8775" s="831">
        <v>0</v>
      </c>
      <c r="AJ8775" s="835">
        <v>42004</v>
      </c>
      <c r="AK8775" s="831">
        <v>0</v>
      </c>
    </row>
    <row r="8776" spans="2:37">
      <c r="B8776" s="834" t="str">
        <f t="shared" si="353"/>
        <v>|||</v>
      </c>
      <c r="H8776" s="835">
        <f t="shared" si="354"/>
        <v>31</v>
      </c>
      <c r="AF8776" s="831" t="s">
        <v>9435</v>
      </c>
      <c r="AG8776" s="831" t="s">
        <v>131</v>
      </c>
      <c r="AH8776" s="831" t="s">
        <v>215</v>
      </c>
      <c r="AI8776" s="831">
        <v>0</v>
      </c>
      <c r="AJ8776" s="835">
        <v>42004</v>
      </c>
      <c r="AK8776" s="831">
        <v>0</v>
      </c>
    </row>
    <row r="8777" spans="2:37">
      <c r="B8777" s="834" t="str">
        <f t="shared" si="353"/>
        <v>|||</v>
      </c>
      <c r="H8777" s="835">
        <f t="shared" si="354"/>
        <v>31</v>
      </c>
      <c r="AF8777" s="831" t="s">
        <v>9436</v>
      </c>
      <c r="AG8777" s="831" t="s">
        <v>131</v>
      </c>
      <c r="AH8777" s="831" t="s">
        <v>217</v>
      </c>
      <c r="AI8777" s="831">
        <v>0</v>
      </c>
      <c r="AJ8777" s="835">
        <v>42004</v>
      </c>
      <c r="AK8777" s="831">
        <v>0</v>
      </c>
    </row>
    <row r="8778" spans="2:37">
      <c r="B8778" s="834" t="str">
        <f t="shared" si="353"/>
        <v>|||</v>
      </c>
      <c r="H8778" s="835">
        <f t="shared" si="354"/>
        <v>31</v>
      </c>
      <c r="AF8778" s="831" t="s">
        <v>9437</v>
      </c>
      <c r="AG8778" s="831" t="s">
        <v>131</v>
      </c>
      <c r="AH8778" s="831" t="s">
        <v>223</v>
      </c>
      <c r="AI8778" s="831">
        <v>0</v>
      </c>
      <c r="AJ8778" s="835">
        <v>42004</v>
      </c>
      <c r="AK8778" s="831">
        <v>0</v>
      </c>
    </row>
    <row r="8779" spans="2:37">
      <c r="B8779" s="834" t="str">
        <f t="shared" si="353"/>
        <v>|||</v>
      </c>
      <c r="H8779" s="835">
        <f t="shared" si="354"/>
        <v>31</v>
      </c>
      <c r="AF8779" s="831" t="s">
        <v>9438</v>
      </c>
      <c r="AG8779" s="831" t="s">
        <v>131</v>
      </c>
      <c r="AH8779" s="831" t="s">
        <v>224</v>
      </c>
      <c r="AI8779" s="831">
        <v>0</v>
      </c>
      <c r="AJ8779" s="835">
        <v>42004</v>
      </c>
      <c r="AK8779" s="831">
        <v>0</v>
      </c>
    </row>
    <row r="8780" spans="2:37">
      <c r="B8780" s="834" t="str">
        <f t="shared" si="353"/>
        <v>|||</v>
      </c>
      <c r="H8780" s="835">
        <f t="shared" si="354"/>
        <v>31</v>
      </c>
      <c r="AF8780" s="831" t="s">
        <v>9439</v>
      </c>
      <c r="AG8780" s="831" t="s">
        <v>131</v>
      </c>
      <c r="AH8780" s="831" t="s">
        <v>128</v>
      </c>
      <c r="AI8780" s="831">
        <v>0</v>
      </c>
      <c r="AJ8780" s="835">
        <v>42004</v>
      </c>
      <c r="AK8780" s="831">
        <v>0</v>
      </c>
    </row>
    <row r="8781" spans="2:37">
      <c r="B8781" s="834" t="str">
        <f t="shared" si="353"/>
        <v>|||</v>
      </c>
      <c r="H8781" s="835">
        <f t="shared" si="354"/>
        <v>31</v>
      </c>
      <c r="AF8781" s="831" t="s">
        <v>9440</v>
      </c>
      <c r="AG8781" s="831" t="s">
        <v>131</v>
      </c>
      <c r="AH8781" s="831" t="s">
        <v>3237</v>
      </c>
      <c r="AI8781" s="831">
        <v>0</v>
      </c>
      <c r="AJ8781" s="835">
        <v>42004</v>
      </c>
      <c r="AK8781" s="831">
        <v>0</v>
      </c>
    </row>
    <row r="8782" spans="2:37">
      <c r="B8782" s="834" t="str">
        <f t="shared" si="353"/>
        <v>|||</v>
      </c>
      <c r="H8782" s="835">
        <f t="shared" si="354"/>
        <v>31</v>
      </c>
      <c r="AF8782" s="831" t="s">
        <v>9441</v>
      </c>
      <c r="AG8782" s="831" t="s">
        <v>131</v>
      </c>
      <c r="AH8782" s="831" t="s">
        <v>3239</v>
      </c>
      <c r="AI8782" s="831">
        <v>0</v>
      </c>
      <c r="AJ8782" s="835">
        <v>42004</v>
      </c>
      <c r="AK8782" s="831">
        <v>0</v>
      </c>
    </row>
    <row r="8783" spans="2:37">
      <c r="B8783" s="834" t="str">
        <f t="shared" si="353"/>
        <v>|||</v>
      </c>
      <c r="H8783" s="835">
        <f t="shared" si="354"/>
        <v>31</v>
      </c>
      <c r="AF8783" s="831" t="s">
        <v>9442</v>
      </c>
      <c r="AG8783" s="831" t="s">
        <v>132</v>
      </c>
      <c r="AH8783" s="831" t="s">
        <v>68</v>
      </c>
      <c r="AI8783" s="831">
        <v>0</v>
      </c>
      <c r="AJ8783" s="835">
        <v>41670</v>
      </c>
      <c r="AK8783" s="831">
        <v>629526274</v>
      </c>
    </row>
    <row r="8784" spans="2:37">
      <c r="B8784" s="834" t="str">
        <f t="shared" si="353"/>
        <v>|||</v>
      </c>
      <c r="H8784" s="835">
        <f t="shared" si="354"/>
        <v>31</v>
      </c>
      <c r="AF8784" s="831" t="s">
        <v>9443</v>
      </c>
      <c r="AG8784" s="831" t="s">
        <v>132</v>
      </c>
      <c r="AH8784" s="831" t="s">
        <v>73</v>
      </c>
      <c r="AI8784" s="831">
        <v>0</v>
      </c>
      <c r="AJ8784" s="835">
        <v>41670</v>
      </c>
      <c r="AK8784" s="831">
        <v>609931.53</v>
      </c>
    </row>
    <row r="8785" spans="2:37">
      <c r="B8785" s="834" t="str">
        <f t="shared" si="353"/>
        <v>|||</v>
      </c>
      <c r="H8785" s="835">
        <f t="shared" si="354"/>
        <v>31</v>
      </c>
      <c r="AF8785" s="831" t="s">
        <v>9444</v>
      </c>
      <c r="AG8785" s="831" t="s">
        <v>132</v>
      </c>
      <c r="AH8785" s="831" t="s">
        <v>147</v>
      </c>
      <c r="AI8785" s="831">
        <v>0</v>
      </c>
      <c r="AJ8785" s="835">
        <v>41670</v>
      </c>
      <c r="AK8785" s="831">
        <v>141185.66800000001</v>
      </c>
    </row>
    <row r="8786" spans="2:37">
      <c r="B8786" s="834" t="str">
        <f t="shared" si="353"/>
        <v>|||</v>
      </c>
      <c r="H8786" s="835">
        <f t="shared" si="354"/>
        <v>31</v>
      </c>
      <c r="AF8786" s="831" t="s">
        <v>9445</v>
      </c>
      <c r="AG8786" s="831" t="s">
        <v>132</v>
      </c>
      <c r="AH8786" s="831" t="s">
        <v>151</v>
      </c>
      <c r="AI8786" s="831">
        <v>0</v>
      </c>
      <c r="AJ8786" s="835">
        <v>41670</v>
      </c>
      <c r="AK8786" s="831">
        <v>120790.97500000001</v>
      </c>
    </row>
    <row r="8787" spans="2:37">
      <c r="B8787" s="834" t="str">
        <f t="shared" si="353"/>
        <v>|||</v>
      </c>
      <c r="H8787" s="835">
        <f t="shared" si="354"/>
        <v>31</v>
      </c>
      <c r="AF8787" s="831" t="s">
        <v>9446</v>
      </c>
      <c r="AG8787" s="831" t="s">
        <v>132</v>
      </c>
      <c r="AH8787" s="831" t="s">
        <v>155</v>
      </c>
      <c r="AI8787" s="831">
        <v>0</v>
      </c>
      <c r="AJ8787" s="835">
        <v>41670</v>
      </c>
      <c r="AK8787" s="831">
        <v>71049.232999999993</v>
      </c>
    </row>
    <row r="8788" spans="2:37">
      <c r="B8788" s="834" t="str">
        <f t="shared" si="353"/>
        <v>|||</v>
      </c>
      <c r="H8788" s="835">
        <f t="shared" si="354"/>
        <v>31</v>
      </c>
      <c r="AF8788" s="831" t="s">
        <v>9447</v>
      </c>
      <c r="AG8788" s="831" t="s">
        <v>132</v>
      </c>
      <c r="AH8788" s="831" t="s">
        <v>158</v>
      </c>
      <c r="AI8788" s="831">
        <v>0</v>
      </c>
      <c r="AJ8788" s="835">
        <v>41670</v>
      </c>
      <c r="AK8788" s="831">
        <v>418993.1</v>
      </c>
    </row>
    <row r="8789" spans="2:37">
      <c r="B8789" s="834" t="str">
        <f t="shared" si="353"/>
        <v>|||</v>
      </c>
      <c r="H8789" s="835">
        <f t="shared" si="354"/>
        <v>31</v>
      </c>
      <c r="AF8789" s="831" t="s">
        <v>9448</v>
      </c>
      <c r="AG8789" s="831" t="s">
        <v>132</v>
      </c>
      <c r="AH8789" s="831" t="s">
        <v>160</v>
      </c>
      <c r="AI8789" s="831">
        <v>0</v>
      </c>
      <c r="AJ8789" s="835">
        <v>41670</v>
      </c>
      <c r="AK8789" s="831">
        <v>787676.8</v>
      </c>
    </row>
    <row r="8790" spans="2:37">
      <c r="B8790" s="834" t="str">
        <f t="shared" si="353"/>
        <v>|||</v>
      </c>
      <c r="H8790" s="835">
        <f t="shared" si="354"/>
        <v>31</v>
      </c>
      <c r="AF8790" s="831" t="s">
        <v>9449</v>
      </c>
      <c r="AG8790" s="831" t="s">
        <v>132</v>
      </c>
      <c r="AH8790" s="831" t="s">
        <v>161</v>
      </c>
      <c r="AI8790" s="831">
        <v>0</v>
      </c>
      <c r="AJ8790" s="835">
        <v>41670</v>
      </c>
      <c r="AK8790" s="831">
        <v>454846.94</v>
      </c>
    </row>
    <row r="8791" spans="2:37">
      <c r="B8791" s="834" t="str">
        <f t="shared" si="353"/>
        <v>|||</v>
      </c>
      <c r="H8791" s="835">
        <f t="shared" si="354"/>
        <v>31</v>
      </c>
      <c r="AF8791" s="831" t="s">
        <v>9450</v>
      </c>
      <c r="AG8791" s="831" t="s">
        <v>132</v>
      </c>
      <c r="AH8791" s="831" t="s">
        <v>170</v>
      </c>
      <c r="AI8791" s="831">
        <v>0</v>
      </c>
      <c r="AJ8791" s="835">
        <v>41670</v>
      </c>
      <c r="AK8791" s="831">
        <v>3052968.32</v>
      </c>
    </row>
    <row r="8792" spans="2:37">
      <c r="B8792" s="834" t="str">
        <f t="shared" si="353"/>
        <v>|||</v>
      </c>
      <c r="H8792" s="835">
        <f t="shared" si="354"/>
        <v>31</v>
      </c>
      <c r="AF8792" s="831" t="s">
        <v>9451</v>
      </c>
      <c r="AG8792" s="831" t="s">
        <v>132</v>
      </c>
      <c r="AH8792" s="831" t="s">
        <v>173</v>
      </c>
      <c r="AI8792" s="831">
        <v>0</v>
      </c>
      <c r="AJ8792" s="835">
        <v>41670</v>
      </c>
      <c r="AK8792" s="831">
        <v>112248.47</v>
      </c>
    </row>
    <row r="8793" spans="2:37">
      <c r="B8793" s="834" t="str">
        <f t="shared" si="353"/>
        <v>|||</v>
      </c>
      <c r="H8793" s="835">
        <f t="shared" si="354"/>
        <v>31</v>
      </c>
      <c r="AF8793" s="831" t="s">
        <v>9452</v>
      </c>
      <c r="AG8793" s="831" t="s">
        <v>132</v>
      </c>
      <c r="AH8793" s="831" t="s">
        <v>78</v>
      </c>
      <c r="AI8793" s="831">
        <v>0</v>
      </c>
      <c r="AJ8793" s="835">
        <v>41670</v>
      </c>
      <c r="AK8793" s="831">
        <v>322551.26</v>
      </c>
    </row>
    <row r="8794" spans="2:37">
      <c r="B8794" s="834" t="str">
        <f t="shared" si="353"/>
        <v>|||</v>
      </c>
      <c r="H8794" s="835">
        <f t="shared" si="354"/>
        <v>31</v>
      </c>
      <c r="AF8794" s="831" t="s">
        <v>9453</v>
      </c>
      <c r="AG8794" s="831" t="s">
        <v>132</v>
      </c>
      <c r="AH8794" s="831" t="s">
        <v>183</v>
      </c>
      <c r="AI8794" s="831">
        <v>0</v>
      </c>
      <c r="AJ8794" s="835">
        <v>41670</v>
      </c>
      <c r="AK8794" s="831">
        <v>0</v>
      </c>
    </row>
    <row r="8795" spans="2:37">
      <c r="B8795" s="834" t="str">
        <f t="shared" si="353"/>
        <v>|||</v>
      </c>
      <c r="H8795" s="835">
        <f t="shared" si="354"/>
        <v>31</v>
      </c>
      <c r="AF8795" s="831" t="s">
        <v>9454</v>
      </c>
      <c r="AG8795" s="831" t="s">
        <v>132</v>
      </c>
      <c r="AH8795" s="831" t="s">
        <v>186</v>
      </c>
      <c r="AI8795" s="831">
        <v>0</v>
      </c>
      <c r="AJ8795" s="835">
        <v>41670</v>
      </c>
      <c r="AK8795" s="831">
        <v>20328.506000000001</v>
      </c>
    </row>
    <row r="8796" spans="2:37">
      <c r="B8796" s="834" t="str">
        <f t="shared" si="353"/>
        <v>|||</v>
      </c>
      <c r="H8796" s="835">
        <f t="shared" si="354"/>
        <v>31</v>
      </c>
      <c r="AF8796" s="831" t="s">
        <v>9455</v>
      </c>
      <c r="AG8796" s="831" t="s">
        <v>132</v>
      </c>
      <c r="AH8796" s="831" t="s">
        <v>189</v>
      </c>
      <c r="AI8796" s="831">
        <v>0</v>
      </c>
      <c r="AJ8796" s="835">
        <v>41670</v>
      </c>
      <c r="AK8796" s="831">
        <v>0</v>
      </c>
    </row>
    <row r="8797" spans="2:37">
      <c r="B8797" s="834" t="str">
        <f t="shared" si="353"/>
        <v>|||</v>
      </c>
      <c r="H8797" s="835">
        <f t="shared" si="354"/>
        <v>31</v>
      </c>
      <c r="AF8797" s="831" t="s">
        <v>9456</v>
      </c>
      <c r="AG8797" s="831" t="s">
        <v>132</v>
      </c>
      <c r="AH8797" s="831" t="s">
        <v>68</v>
      </c>
      <c r="AI8797" s="831">
        <v>0</v>
      </c>
      <c r="AJ8797" s="835">
        <v>41698</v>
      </c>
      <c r="AK8797" s="831">
        <v>645388939</v>
      </c>
    </row>
    <row r="8798" spans="2:37">
      <c r="B8798" s="834" t="str">
        <f t="shared" si="353"/>
        <v>|||</v>
      </c>
      <c r="H8798" s="835">
        <f t="shared" si="354"/>
        <v>31</v>
      </c>
      <c r="AF8798" s="831" t="s">
        <v>9457</v>
      </c>
      <c r="AG8798" s="831" t="s">
        <v>132</v>
      </c>
      <c r="AH8798" s="831" t="s">
        <v>73</v>
      </c>
      <c r="AI8798" s="831">
        <v>0</v>
      </c>
      <c r="AJ8798" s="835">
        <v>41698</v>
      </c>
      <c r="AK8798" s="831">
        <v>590187.05000000005</v>
      </c>
    </row>
    <row r="8799" spans="2:37">
      <c r="B8799" s="834" t="str">
        <f t="shared" si="353"/>
        <v>|||</v>
      </c>
      <c r="H8799" s="835">
        <f t="shared" si="354"/>
        <v>31</v>
      </c>
      <c r="AF8799" s="831" t="s">
        <v>9458</v>
      </c>
      <c r="AG8799" s="831" t="s">
        <v>132</v>
      </c>
      <c r="AH8799" s="831" t="s">
        <v>147</v>
      </c>
      <c r="AI8799" s="831">
        <v>0</v>
      </c>
      <c r="AJ8799" s="835">
        <v>41698</v>
      </c>
      <c r="AK8799" s="831">
        <v>285412.75300000003</v>
      </c>
    </row>
    <row r="8800" spans="2:37">
      <c r="B8800" s="834" t="str">
        <f t="shared" si="353"/>
        <v>|||</v>
      </c>
      <c r="H8800" s="835">
        <f t="shared" si="354"/>
        <v>31</v>
      </c>
      <c r="AF8800" s="831" t="s">
        <v>9459</v>
      </c>
      <c r="AG8800" s="831" t="s">
        <v>132</v>
      </c>
      <c r="AH8800" s="831" t="s">
        <v>151</v>
      </c>
      <c r="AI8800" s="831">
        <v>0</v>
      </c>
      <c r="AJ8800" s="835">
        <v>41698</v>
      </c>
      <c r="AK8800" s="831">
        <v>149396.95499999999</v>
      </c>
    </row>
    <row r="8801" spans="2:37">
      <c r="B8801" s="834" t="str">
        <f t="shared" si="353"/>
        <v>|||</v>
      </c>
      <c r="H8801" s="835">
        <f t="shared" si="354"/>
        <v>31</v>
      </c>
      <c r="AF8801" s="831" t="s">
        <v>9460</v>
      </c>
      <c r="AG8801" s="831" t="s">
        <v>132</v>
      </c>
      <c r="AH8801" s="831" t="s">
        <v>155</v>
      </c>
      <c r="AI8801" s="831">
        <v>0</v>
      </c>
      <c r="AJ8801" s="835">
        <v>41698</v>
      </c>
      <c r="AK8801" s="831">
        <v>88700.933000000005</v>
      </c>
    </row>
    <row r="8802" spans="2:37">
      <c r="B8802" s="834" t="str">
        <f t="shared" si="353"/>
        <v>|||</v>
      </c>
      <c r="H8802" s="835">
        <f t="shared" si="354"/>
        <v>31</v>
      </c>
      <c r="AF8802" s="831" t="s">
        <v>9461</v>
      </c>
      <c r="AG8802" s="831" t="s">
        <v>132</v>
      </c>
      <c r="AH8802" s="831" t="s">
        <v>158</v>
      </c>
      <c r="AI8802" s="831">
        <v>0</v>
      </c>
      <c r="AJ8802" s="835">
        <v>41698</v>
      </c>
      <c r="AK8802" s="831">
        <v>169510.7</v>
      </c>
    </row>
    <row r="8803" spans="2:37">
      <c r="B8803" s="834" t="str">
        <f t="shared" si="353"/>
        <v>|||</v>
      </c>
      <c r="H8803" s="835">
        <f t="shared" si="354"/>
        <v>31</v>
      </c>
      <c r="AF8803" s="831" t="s">
        <v>9462</v>
      </c>
      <c r="AG8803" s="831" t="s">
        <v>132</v>
      </c>
      <c r="AH8803" s="831" t="s">
        <v>160</v>
      </c>
      <c r="AI8803" s="831">
        <v>0</v>
      </c>
      <c r="AJ8803" s="835">
        <v>41698</v>
      </c>
      <c r="AK8803" s="831">
        <v>576399.99</v>
      </c>
    </row>
    <row r="8804" spans="2:37">
      <c r="B8804" s="834" t="str">
        <f t="shared" si="353"/>
        <v>|||</v>
      </c>
      <c r="H8804" s="835">
        <f t="shared" si="354"/>
        <v>31</v>
      </c>
      <c r="AF8804" s="831" t="s">
        <v>9463</v>
      </c>
      <c r="AG8804" s="831" t="s">
        <v>132</v>
      </c>
      <c r="AH8804" s="831" t="s">
        <v>161</v>
      </c>
      <c r="AI8804" s="831">
        <v>0</v>
      </c>
      <c r="AJ8804" s="835">
        <v>41698</v>
      </c>
      <c r="AK8804" s="831">
        <v>806147.21</v>
      </c>
    </row>
    <row r="8805" spans="2:37">
      <c r="B8805" s="834" t="str">
        <f t="shared" si="353"/>
        <v>|||</v>
      </c>
      <c r="H8805" s="835">
        <f t="shared" si="354"/>
        <v>31</v>
      </c>
      <c r="AF8805" s="831" t="s">
        <v>9464</v>
      </c>
      <c r="AG8805" s="831" t="s">
        <v>132</v>
      </c>
      <c r="AH8805" s="831" t="s">
        <v>170</v>
      </c>
      <c r="AI8805" s="831">
        <v>0</v>
      </c>
      <c r="AJ8805" s="835">
        <v>41698</v>
      </c>
      <c r="AK8805" s="831">
        <v>4317192.0999999996</v>
      </c>
    </row>
    <row r="8806" spans="2:37">
      <c r="B8806" s="834" t="str">
        <f t="shared" si="353"/>
        <v>|||</v>
      </c>
      <c r="H8806" s="835">
        <f t="shared" si="354"/>
        <v>31</v>
      </c>
      <c r="AF8806" s="831" t="s">
        <v>9465</v>
      </c>
      <c r="AG8806" s="831" t="s">
        <v>132</v>
      </c>
      <c r="AH8806" s="831" t="s">
        <v>173</v>
      </c>
      <c r="AI8806" s="831">
        <v>0</v>
      </c>
      <c r="AJ8806" s="835">
        <v>41698</v>
      </c>
      <c r="AK8806" s="831">
        <v>39632.949999999997</v>
      </c>
    </row>
    <row r="8807" spans="2:37">
      <c r="B8807" s="834" t="str">
        <f t="shared" si="353"/>
        <v>|||</v>
      </c>
      <c r="H8807" s="835">
        <f t="shared" si="354"/>
        <v>31</v>
      </c>
      <c r="AF8807" s="831" t="s">
        <v>9466</v>
      </c>
      <c r="AG8807" s="831" t="s">
        <v>132</v>
      </c>
      <c r="AH8807" s="831" t="s">
        <v>78</v>
      </c>
      <c r="AI8807" s="831">
        <v>0</v>
      </c>
      <c r="AJ8807" s="835">
        <v>41698</v>
      </c>
      <c r="AK8807" s="831">
        <v>383515.31</v>
      </c>
    </row>
    <row r="8808" spans="2:37">
      <c r="B8808" s="834" t="str">
        <f t="shared" si="353"/>
        <v>|||</v>
      </c>
      <c r="H8808" s="835">
        <f t="shared" si="354"/>
        <v>31</v>
      </c>
      <c r="AF8808" s="831" t="s">
        <v>9467</v>
      </c>
      <c r="AG8808" s="831" t="s">
        <v>132</v>
      </c>
      <c r="AH8808" s="831" t="s">
        <v>183</v>
      </c>
      <c r="AI8808" s="831">
        <v>0</v>
      </c>
      <c r="AJ8808" s="835">
        <v>41698</v>
      </c>
      <c r="AK8808" s="831">
        <v>0</v>
      </c>
    </row>
    <row r="8809" spans="2:37">
      <c r="B8809" s="834" t="str">
        <f t="shared" si="353"/>
        <v>|||</v>
      </c>
      <c r="H8809" s="835">
        <f t="shared" si="354"/>
        <v>31</v>
      </c>
      <c r="AF8809" s="831" t="s">
        <v>9468</v>
      </c>
      <c r="AG8809" s="831" t="s">
        <v>132</v>
      </c>
      <c r="AH8809" s="831" t="s">
        <v>186</v>
      </c>
      <c r="AI8809" s="831">
        <v>0</v>
      </c>
      <c r="AJ8809" s="835">
        <v>41698</v>
      </c>
      <c r="AK8809" s="831">
        <v>58340</v>
      </c>
    </row>
    <row r="8810" spans="2:37">
      <c r="B8810" s="834" t="str">
        <f t="shared" si="353"/>
        <v>|||</v>
      </c>
      <c r="H8810" s="835">
        <f t="shared" si="354"/>
        <v>31</v>
      </c>
      <c r="AF8810" s="831" t="s">
        <v>9469</v>
      </c>
      <c r="AG8810" s="831" t="s">
        <v>132</v>
      </c>
      <c r="AH8810" s="831" t="s">
        <v>189</v>
      </c>
      <c r="AI8810" s="831">
        <v>0</v>
      </c>
      <c r="AJ8810" s="835">
        <v>41698</v>
      </c>
      <c r="AK8810" s="831">
        <v>0</v>
      </c>
    </row>
    <row r="8811" spans="2:37">
      <c r="B8811" s="834" t="str">
        <f t="shared" si="353"/>
        <v>|||</v>
      </c>
      <c r="H8811" s="835">
        <f t="shared" si="354"/>
        <v>31</v>
      </c>
      <c r="AF8811" s="831" t="s">
        <v>9470</v>
      </c>
      <c r="AG8811" s="831" t="s">
        <v>132</v>
      </c>
      <c r="AH8811" s="831" t="s">
        <v>68</v>
      </c>
      <c r="AI8811" s="831">
        <v>0</v>
      </c>
      <c r="AJ8811" s="835">
        <v>41729</v>
      </c>
      <c r="AK8811" s="831">
        <v>655594570</v>
      </c>
    </row>
    <row r="8812" spans="2:37">
      <c r="B8812" s="834" t="str">
        <f t="shared" si="353"/>
        <v>|||</v>
      </c>
      <c r="H8812" s="835">
        <f t="shared" si="354"/>
        <v>31</v>
      </c>
      <c r="AF8812" s="831" t="s">
        <v>9471</v>
      </c>
      <c r="AG8812" s="831" t="s">
        <v>132</v>
      </c>
      <c r="AH8812" s="831" t="s">
        <v>73</v>
      </c>
      <c r="AI8812" s="831">
        <v>0</v>
      </c>
      <c r="AJ8812" s="835">
        <v>41729</v>
      </c>
      <c r="AK8812" s="831">
        <v>1639845</v>
      </c>
    </row>
    <row r="8813" spans="2:37">
      <c r="B8813" s="834" t="str">
        <f t="shared" si="353"/>
        <v>|||</v>
      </c>
      <c r="H8813" s="835">
        <f t="shared" si="354"/>
        <v>31</v>
      </c>
      <c r="AF8813" s="831" t="s">
        <v>9472</v>
      </c>
      <c r="AG8813" s="831" t="s">
        <v>132</v>
      </c>
      <c r="AH8813" s="831" t="s">
        <v>147</v>
      </c>
      <c r="AI8813" s="831">
        <v>0</v>
      </c>
      <c r="AJ8813" s="835">
        <v>41729</v>
      </c>
      <c r="AK8813" s="831">
        <v>210262</v>
      </c>
    </row>
    <row r="8814" spans="2:37">
      <c r="B8814" s="834" t="str">
        <f t="shared" si="353"/>
        <v>|||</v>
      </c>
      <c r="H8814" s="835">
        <f t="shared" si="354"/>
        <v>31</v>
      </c>
      <c r="AF8814" s="831" t="s">
        <v>9473</v>
      </c>
      <c r="AG8814" s="831" t="s">
        <v>132</v>
      </c>
      <c r="AH8814" s="831" t="s">
        <v>151</v>
      </c>
      <c r="AI8814" s="831">
        <v>0</v>
      </c>
      <c r="AJ8814" s="835">
        <v>41729</v>
      </c>
      <c r="AK8814" s="831">
        <v>256182</v>
      </c>
    </row>
    <row r="8815" spans="2:37">
      <c r="B8815" s="834" t="str">
        <f t="shared" si="353"/>
        <v>|||</v>
      </c>
      <c r="H8815" s="835">
        <f t="shared" si="354"/>
        <v>31</v>
      </c>
      <c r="AF8815" s="831" t="s">
        <v>9474</v>
      </c>
      <c r="AG8815" s="831" t="s">
        <v>132</v>
      </c>
      <c r="AH8815" s="831" t="s">
        <v>155</v>
      </c>
      <c r="AI8815" s="831">
        <v>0</v>
      </c>
      <c r="AJ8815" s="835">
        <v>41729</v>
      </c>
      <c r="AK8815" s="831">
        <v>133352</v>
      </c>
    </row>
    <row r="8816" spans="2:37">
      <c r="B8816" s="834" t="str">
        <f t="shared" si="353"/>
        <v>|||</v>
      </c>
      <c r="H8816" s="835">
        <f t="shared" si="354"/>
        <v>31</v>
      </c>
      <c r="AF8816" s="831" t="s">
        <v>9475</v>
      </c>
      <c r="AG8816" s="831" t="s">
        <v>132</v>
      </c>
      <c r="AH8816" s="831" t="s">
        <v>158</v>
      </c>
      <c r="AI8816" s="831">
        <v>0</v>
      </c>
      <c r="AJ8816" s="835">
        <v>41729</v>
      </c>
      <c r="AK8816" s="831">
        <v>186043</v>
      </c>
    </row>
    <row r="8817" spans="2:37">
      <c r="B8817" s="834" t="str">
        <f t="shared" si="353"/>
        <v>|||</v>
      </c>
      <c r="H8817" s="835">
        <f t="shared" si="354"/>
        <v>31</v>
      </c>
      <c r="AF8817" s="831" t="s">
        <v>9476</v>
      </c>
      <c r="AG8817" s="831" t="s">
        <v>132</v>
      </c>
      <c r="AH8817" s="831" t="s">
        <v>160</v>
      </c>
      <c r="AI8817" s="831">
        <v>0</v>
      </c>
      <c r="AJ8817" s="835">
        <v>41729</v>
      </c>
      <c r="AK8817" s="831">
        <v>591207.31000000006</v>
      </c>
    </row>
    <row r="8818" spans="2:37">
      <c r="B8818" s="834" t="str">
        <f t="shared" si="353"/>
        <v>|||</v>
      </c>
      <c r="H8818" s="835">
        <f t="shared" si="354"/>
        <v>31</v>
      </c>
      <c r="AF8818" s="831" t="s">
        <v>9477</v>
      </c>
      <c r="AG8818" s="831" t="s">
        <v>132</v>
      </c>
      <c r="AH8818" s="831" t="s">
        <v>161</v>
      </c>
      <c r="AI8818" s="831">
        <v>0</v>
      </c>
      <c r="AJ8818" s="835">
        <v>41729</v>
      </c>
      <c r="AK8818" s="831">
        <v>812485</v>
      </c>
    </row>
    <row r="8819" spans="2:37">
      <c r="B8819" s="834" t="str">
        <f t="shared" si="353"/>
        <v>|||</v>
      </c>
      <c r="H8819" s="835">
        <f t="shared" si="354"/>
        <v>31</v>
      </c>
      <c r="AF8819" s="831" t="s">
        <v>9478</v>
      </c>
      <c r="AG8819" s="831" t="s">
        <v>132</v>
      </c>
      <c r="AH8819" s="831" t="s">
        <v>170</v>
      </c>
      <c r="AI8819" s="831">
        <v>0</v>
      </c>
      <c r="AJ8819" s="835">
        <v>41729</v>
      </c>
      <c r="AK8819" s="831">
        <v>4290398</v>
      </c>
    </row>
    <row r="8820" spans="2:37">
      <c r="B8820" s="834" t="str">
        <f t="shared" si="353"/>
        <v>|||</v>
      </c>
      <c r="H8820" s="835">
        <f t="shared" si="354"/>
        <v>31</v>
      </c>
      <c r="AF8820" s="831" t="s">
        <v>9479</v>
      </c>
      <c r="AG8820" s="831" t="s">
        <v>132</v>
      </c>
      <c r="AH8820" s="831" t="s">
        <v>173</v>
      </c>
      <c r="AI8820" s="831">
        <v>0</v>
      </c>
      <c r="AJ8820" s="835">
        <v>41729</v>
      </c>
      <c r="AK8820" s="831">
        <v>48505</v>
      </c>
    </row>
    <row r="8821" spans="2:37">
      <c r="B8821" s="834" t="str">
        <f t="shared" si="353"/>
        <v>|||</v>
      </c>
      <c r="H8821" s="835">
        <f t="shared" si="354"/>
        <v>31</v>
      </c>
      <c r="AF8821" s="831" t="s">
        <v>9480</v>
      </c>
      <c r="AG8821" s="831" t="s">
        <v>132</v>
      </c>
      <c r="AH8821" s="831" t="s">
        <v>78</v>
      </c>
      <c r="AI8821" s="831">
        <v>0</v>
      </c>
      <c r="AJ8821" s="835">
        <v>41729</v>
      </c>
      <c r="AK8821" s="831">
        <v>390938</v>
      </c>
    </row>
    <row r="8822" spans="2:37">
      <c r="B8822" s="834" t="str">
        <f t="shared" si="353"/>
        <v>|||</v>
      </c>
      <c r="H8822" s="835">
        <f t="shared" si="354"/>
        <v>31</v>
      </c>
      <c r="AF8822" s="831" t="s">
        <v>9481</v>
      </c>
      <c r="AG8822" s="831" t="s">
        <v>132</v>
      </c>
      <c r="AH8822" s="831" t="s">
        <v>183</v>
      </c>
      <c r="AI8822" s="831">
        <v>0</v>
      </c>
      <c r="AJ8822" s="835">
        <v>41729</v>
      </c>
      <c r="AK8822" s="831">
        <v>0</v>
      </c>
    </row>
    <row r="8823" spans="2:37">
      <c r="B8823" s="834" t="str">
        <f t="shared" si="353"/>
        <v>|||</v>
      </c>
      <c r="H8823" s="835">
        <f t="shared" si="354"/>
        <v>31</v>
      </c>
      <c r="AF8823" s="831" t="s">
        <v>9482</v>
      </c>
      <c r="AG8823" s="831" t="s">
        <v>132</v>
      </c>
      <c r="AH8823" s="831" t="s">
        <v>186</v>
      </c>
      <c r="AI8823" s="831">
        <v>0</v>
      </c>
      <c r="AJ8823" s="835">
        <v>41729</v>
      </c>
      <c r="AK8823" s="831">
        <v>34249</v>
      </c>
    </row>
    <row r="8824" spans="2:37">
      <c r="B8824" s="834" t="str">
        <f t="shared" si="353"/>
        <v>|||</v>
      </c>
      <c r="H8824" s="835">
        <f t="shared" si="354"/>
        <v>31</v>
      </c>
      <c r="AF8824" s="831" t="s">
        <v>9483</v>
      </c>
      <c r="AG8824" s="831" t="s">
        <v>132</v>
      </c>
      <c r="AH8824" s="831" t="s">
        <v>189</v>
      </c>
      <c r="AI8824" s="831">
        <v>0</v>
      </c>
      <c r="AJ8824" s="835">
        <v>41729</v>
      </c>
      <c r="AK8824" s="831">
        <v>0</v>
      </c>
    </row>
    <row r="8825" spans="2:37">
      <c r="B8825" s="834" t="str">
        <f t="shared" si="353"/>
        <v>|||</v>
      </c>
      <c r="H8825" s="835">
        <f t="shared" si="354"/>
        <v>31</v>
      </c>
      <c r="AF8825" s="831" t="s">
        <v>9484</v>
      </c>
      <c r="AG8825" s="831" t="s">
        <v>132</v>
      </c>
      <c r="AH8825" s="831" t="s">
        <v>68</v>
      </c>
      <c r="AI8825" s="831">
        <v>0</v>
      </c>
      <c r="AJ8825" s="835">
        <v>41759</v>
      </c>
      <c r="AK8825" s="831">
        <v>687916278</v>
      </c>
    </row>
    <row r="8826" spans="2:37">
      <c r="B8826" s="834" t="str">
        <f t="shared" si="353"/>
        <v>|||</v>
      </c>
      <c r="H8826" s="835">
        <f t="shared" si="354"/>
        <v>31</v>
      </c>
      <c r="AF8826" s="831" t="s">
        <v>9485</v>
      </c>
      <c r="AG8826" s="831" t="s">
        <v>132</v>
      </c>
      <c r="AH8826" s="831" t="s">
        <v>73</v>
      </c>
      <c r="AI8826" s="831">
        <v>0</v>
      </c>
      <c r="AJ8826" s="835">
        <v>41759</v>
      </c>
      <c r="AK8826" s="831">
        <v>655356</v>
      </c>
    </row>
    <row r="8827" spans="2:37">
      <c r="B8827" s="834" t="str">
        <f t="shared" si="353"/>
        <v>|||</v>
      </c>
      <c r="H8827" s="835">
        <f t="shared" si="354"/>
        <v>31</v>
      </c>
      <c r="AF8827" s="831" t="s">
        <v>9486</v>
      </c>
      <c r="AG8827" s="831" t="s">
        <v>132</v>
      </c>
      <c r="AH8827" s="831" t="s">
        <v>147</v>
      </c>
      <c r="AI8827" s="831">
        <v>0</v>
      </c>
      <c r="AJ8827" s="835">
        <v>41759</v>
      </c>
      <c r="AK8827" s="831">
        <v>231638</v>
      </c>
    </row>
    <row r="8828" spans="2:37">
      <c r="B8828" s="834" t="str">
        <f t="shared" si="353"/>
        <v>|||</v>
      </c>
      <c r="H8828" s="835">
        <f t="shared" si="354"/>
        <v>31</v>
      </c>
      <c r="AF8828" s="831" t="s">
        <v>9487</v>
      </c>
      <c r="AG8828" s="831" t="s">
        <v>132</v>
      </c>
      <c r="AH8828" s="831" t="s">
        <v>151</v>
      </c>
      <c r="AI8828" s="831">
        <v>0</v>
      </c>
      <c r="AJ8828" s="835">
        <v>41759</v>
      </c>
      <c r="AK8828" s="831">
        <v>186346</v>
      </c>
    </row>
    <row r="8829" spans="2:37">
      <c r="B8829" s="834" t="str">
        <f t="shared" si="353"/>
        <v>|||</v>
      </c>
      <c r="H8829" s="835">
        <f t="shared" si="354"/>
        <v>31</v>
      </c>
      <c r="AF8829" s="831" t="s">
        <v>9488</v>
      </c>
      <c r="AG8829" s="831" t="s">
        <v>132</v>
      </c>
      <c r="AH8829" s="831" t="s">
        <v>155</v>
      </c>
      <c r="AI8829" s="831">
        <v>0</v>
      </c>
      <c r="AJ8829" s="835">
        <v>41759</v>
      </c>
      <c r="AK8829" s="831">
        <v>190481</v>
      </c>
    </row>
    <row r="8830" spans="2:37">
      <c r="B8830" s="834" t="str">
        <f t="shared" si="353"/>
        <v>|||</v>
      </c>
      <c r="H8830" s="835">
        <f t="shared" si="354"/>
        <v>31</v>
      </c>
      <c r="AF8830" s="831" t="s">
        <v>9489</v>
      </c>
      <c r="AG8830" s="831" t="s">
        <v>132</v>
      </c>
      <c r="AH8830" s="831" t="s">
        <v>158</v>
      </c>
      <c r="AI8830" s="831">
        <v>0</v>
      </c>
      <c r="AJ8830" s="835">
        <v>41759</v>
      </c>
      <c r="AK8830" s="831">
        <v>216370</v>
      </c>
    </row>
    <row r="8831" spans="2:37">
      <c r="B8831" s="834" t="str">
        <f t="shared" si="353"/>
        <v>|||</v>
      </c>
      <c r="H8831" s="835">
        <f t="shared" si="354"/>
        <v>31</v>
      </c>
      <c r="AF8831" s="831" t="s">
        <v>9490</v>
      </c>
      <c r="AG8831" s="831" t="s">
        <v>132</v>
      </c>
      <c r="AH8831" s="831" t="s">
        <v>160</v>
      </c>
      <c r="AI8831" s="831">
        <v>0</v>
      </c>
      <c r="AJ8831" s="835">
        <v>41759</v>
      </c>
      <c r="AK8831" s="831">
        <v>597722</v>
      </c>
    </row>
    <row r="8832" spans="2:37">
      <c r="B8832" s="834" t="str">
        <f t="shared" si="353"/>
        <v>|||</v>
      </c>
      <c r="H8832" s="835">
        <f t="shared" si="354"/>
        <v>31</v>
      </c>
      <c r="AF8832" s="831" t="s">
        <v>9491</v>
      </c>
      <c r="AG8832" s="831" t="s">
        <v>132</v>
      </c>
      <c r="AH8832" s="831" t="s">
        <v>161</v>
      </c>
      <c r="AI8832" s="831">
        <v>0</v>
      </c>
      <c r="AJ8832" s="835">
        <v>41759</v>
      </c>
      <c r="AK8832" s="831">
        <v>837641</v>
      </c>
    </row>
    <row r="8833" spans="2:37">
      <c r="B8833" s="834" t="str">
        <f t="shared" si="353"/>
        <v>|||</v>
      </c>
      <c r="H8833" s="835">
        <f t="shared" si="354"/>
        <v>31</v>
      </c>
      <c r="AF8833" s="831" t="s">
        <v>9492</v>
      </c>
      <c r="AG8833" s="831" t="s">
        <v>132</v>
      </c>
      <c r="AH8833" s="831" t="s">
        <v>170</v>
      </c>
      <c r="AI8833" s="831">
        <v>0</v>
      </c>
      <c r="AJ8833" s="835">
        <v>41759</v>
      </c>
      <c r="AK8833" s="831">
        <v>4312330</v>
      </c>
    </row>
    <row r="8834" spans="2:37">
      <c r="B8834" s="834" t="str">
        <f t="shared" si="353"/>
        <v>|||</v>
      </c>
      <c r="H8834" s="835">
        <f t="shared" si="354"/>
        <v>31</v>
      </c>
      <c r="AF8834" s="831" t="s">
        <v>9493</v>
      </c>
      <c r="AG8834" s="831" t="s">
        <v>132</v>
      </c>
      <c r="AH8834" s="831" t="s">
        <v>173</v>
      </c>
      <c r="AI8834" s="831">
        <v>0</v>
      </c>
      <c r="AJ8834" s="835">
        <v>41759</v>
      </c>
      <c r="AK8834" s="831">
        <v>99224</v>
      </c>
    </row>
    <row r="8835" spans="2:37">
      <c r="B8835" s="834" t="str">
        <f t="shared" ref="B8835:B8898" si="355">C8835&amp;"|"&amp;D8835&amp;"|"&amp;E8835&amp;"|"&amp;F8835</f>
        <v>|||</v>
      </c>
      <c r="H8835" s="835">
        <f t="shared" si="354"/>
        <v>31</v>
      </c>
      <c r="AF8835" s="831" t="s">
        <v>9494</v>
      </c>
      <c r="AG8835" s="831" t="s">
        <v>132</v>
      </c>
      <c r="AH8835" s="831" t="s">
        <v>78</v>
      </c>
      <c r="AI8835" s="831">
        <v>0</v>
      </c>
      <c r="AJ8835" s="835">
        <v>41759</v>
      </c>
      <c r="AK8835" s="831">
        <v>391035</v>
      </c>
    </row>
    <row r="8836" spans="2:37">
      <c r="B8836" s="834" t="str">
        <f t="shared" si="355"/>
        <v>|||</v>
      </c>
      <c r="H8836" s="835">
        <f t="shared" ref="H8836:H8899" si="356">EOMONTH(L8836,0)</f>
        <v>31</v>
      </c>
      <c r="AF8836" s="831" t="s">
        <v>9495</v>
      </c>
      <c r="AG8836" s="831" t="s">
        <v>132</v>
      </c>
      <c r="AH8836" s="831" t="s">
        <v>183</v>
      </c>
      <c r="AI8836" s="831">
        <v>0</v>
      </c>
      <c r="AJ8836" s="835">
        <v>41759</v>
      </c>
      <c r="AK8836" s="831">
        <v>0</v>
      </c>
    </row>
    <row r="8837" spans="2:37">
      <c r="B8837" s="834" t="str">
        <f t="shared" si="355"/>
        <v>|||</v>
      </c>
      <c r="H8837" s="835">
        <f t="shared" si="356"/>
        <v>31</v>
      </c>
      <c r="AF8837" s="831" t="s">
        <v>9496</v>
      </c>
      <c r="AG8837" s="831" t="s">
        <v>132</v>
      </c>
      <c r="AH8837" s="831" t="s">
        <v>186</v>
      </c>
      <c r="AI8837" s="831">
        <v>0</v>
      </c>
      <c r="AJ8837" s="835">
        <v>41759</v>
      </c>
      <c r="AK8837" s="831">
        <v>42147</v>
      </c>
    </row>
    <row r="8838" spans="2:37">
      <c r="B8838" s="834" t="str">
        <f t="shared" si="355"/>
        <v>|||</v>
      </c>
      <c r="H8838" s="835">
        <f t="shared" si="356"/>
        <v>31</v>
      </c>
      <c r="AF8838" s="831" t="s">
        <v>9497</v>
      </c>
      <c r="AG8838" s="831" t="s">
        <v>132</v>
      </c>
      <c r="AH8838" s="831" t="s">
        <v>189</v>
      </c>
      <c r="AI8838" s="831">
        <v>0</v>
      </c>
      <c r="AJ8838" s="835">
        <v>41759</v>
      </c>
      <c r="AK8838" s="831">
        <v>0</v>
      </c>
    </row>
    <row r="8839" spans="2:37">
      <c r="B8839" s="834" t="str">
        <f t="shared" si="355"/>
        <v>|||</v>
      </c>
      <c r="H8839" s="835">
        <f t="shared" si="356"/>
        <v>31</v>
      </c>
      <c r="AF8839" s="831" t="s">
        <v>9498</v>
      </c>
      <c r="AG8839" s="831" t="s">
        <v>132</v>
      </c>
      <c r="AH8839" s="831" t="s">
        <v>68</v>
      </c>
      <c r="AI8839" s="831">
        <v>0</v>
      </c>
      <c r="AJ8839" s="835">
        <v>41790</v>
      </c>
      <c r="AK8839" s="831">
        <v>710277553</v>
      </c>
    </row>
    <row r="8840" spans="2:37">
      <c r="B8840" s="834" t="str">
        <f t="shared" si="355"/>
        <v>|||</v>
      </c>
      <c r="H8840" s="835">
        <f t="shared" si="356"/>
        <v>31</v>
      </c>
      <c r="AF8840" s="831" t="s">
        <v>9499</v>
      </c>
      <c r="AG8840" s="831" t="s">
        <v>132</v>
      </c>
      <c r="AH8840" s="831" t="s">
        <v>73</v>
      </c>
      <c r="AI8840" s="831">
        <v>0</v>
      </c>
      <c r="AJ8840" s="835">
        <v>41790</v>
      </c>
      <c r="AK8840" s="831">
        <v>770049.23</v>
      </c>
    </row>
    <row r="8841" spans="2:37">
      <c r="B8841" s="834" t="str">
        <f t="shared" si="355"/>
        <v>|||</v>
      </c>
      <c r="H8841" s="835">
        <f t="shared" si="356"/>
        <v>31</v>
      </c>
      <c r="AF8841" s="831" t="s">
        <v>9500</v>
      </c>
      <c r="AG8841" s="831" t="s">
        <v>132</v>
      </c>
      <c r="AH8841" s="831" t="s">
        <v>147</v>
      </c>
      <c r="AI8841" s="831">
        <v>0</v>
      </c>
      <c r="AJ8841" s="835">
        <v>41790</v>
      </c>
      <c r="AK8841" s="831">
        <v>299959.18699999998</v>
      </c>
    </row>
    <row r="8842" spans="2:37">
      <c r="B8842" s="834" t="str">
        <f t="shared" si="355"/>
        <v>|||</v>
      </c>
      <c r="H8842" s="835">
        <f t="shared" si="356"/>
        <v>31</v>
      </c>
      <c r="AF8842" s="831" t="s">
        <v>9501</v>
      </c>
      <c r="AG8842" s="831" t="s">
        <v>132</v>
      </c>
      <c r="AH8842" s="831" t="s">
        <v>151</v>
      </c>
      <c r="AI8842" s="831">
        <v>0</v>
      </c>
      <c r="AJ8842" s="835">
        <v>41790</v>
      </c>
      <c r="AK8842" s="831">
        <v>213392.405</v>
      </c>
    </row>
    <row r="8843" spans="2:37">
      <c r="B8843" s="834" t="str">
        <f t="shared" si="355"/>
        <v>|||</v>
      </c>
      <c r="H8843" s="835">
        <f t="shared" si="356"/>
        <v>31</v>
      </c>
      <c r="AF8843" s="831" t="s">
        <v>9502</v>
      </c>
      <c r="AG8843" s="831" t="s">
        <v>132</v>
      </c>
      <c r="AH8843" s="831" t="s">
        <v>155</v>
      </c>
      <c r="AI8843" s="831">
        <v>0</v>
      </c>
      <c r="AJ8843" s="835">
        <v>41790</v>
      </c>
      <c r="AK8843" s="831">
        <v>136732.16500000001</v>
      </c>
    </row>
    <row r="8844" spans="2:37">
      <c r="B8844" s="834" t="str">
        <f t="shared" si="355"/>
        <v>|||</v>
      </c>
      <c r="H8844" s="835">
        <f t="shared" si="356"/>
        <v>31</v>
      </c>
      <c r="AF8844" s="831" t="s">
        <v>9503</v>
      </c>
      <c r="AG8844" s="831" t="s">
        <v>132</v>
      </c>
      <c r="AH8844" s="831" t="s">
        <v>158</v>
      </c>
      <c r="AI8844" s="831">
        <v>0</v>
      </c>
      <c r="AJ8844" s="835">
        <v>41790</v>
      </c>
      <c r="AK8844" s="831">
        <v>276487.76500000001</v>
      </c>
    </row>
    <row r="8845" spans="2:37">
      <c r="B8845" s="834" t="str">
        <f t="shared" si="355"/>
        <v>|||</v>
      </c>
      <c r="H8845" s="835">
        <f t="shared" si="356"/>
        <v>31</v>
      </c>
      <c r="AF8845" s="831" t="s">
        <v>9504</v>
      </c>
      <c r="AG8845" s="831" t="s">
        <v>132</v>
      </c>
      <c r="AH8845" s="831" t="s">
        <v>160</v>
      </c>
      <c r="AI8845" s="831">
        <v>0</v>
      </c>
      <c r="AJ8845" s="835">
        <v>41790</v>
      </c>
      <c r="AK8845" s="831">
        <v>510818.31</v>
      </c>
    </row>
    <row r="8846" spans="2:37">
      <c r="B8846" s="834" t="str">
        <f t="shared" si="355"/>
        <v>|||</v>
      </c>
      <c r="H8846" s="835">
        <f t="shared" si="356"/>
        <v>31</v>
      </c>
      <c r="AF8846" s="831" t="s">
        <v>9505</v>
      </c>
      <c r="AG8846" s="831" t="s">
        <v>132</v>
      </c>
      <c r="AH8846" s="831" t="s">
        <v>161</v>
      </c>
      <c r="AI8846" s="831">
        <v>0</v>
      </c>
      <c r="AJ8846" s="835">
        <v>41790</v>
      </c>
      <c r="AK8846" s="831">
        <v>1012713.2</v>
      </c>
    </row>
    <row r="8847" spans="2:37">
      <c r="B8847" s="834" t="str">
        <f t="shared" si="355"/>
        <v>|||</v>
      </c>
      <c r="H8847" s="835">
        <f t="shared" si="356"/>
        <v>31</v>
      </c>
      <c r="AF8847" s="831" t="s">
        <v>9506</v>
      </c>
      <c r="AG8847" s="831" t="s">
        <v>132</v>
      </c>
      <c r="AH8847" s="831" t="s">
        <v>170</v>
      </c>
      <c r="AI8847" s="831">
        <v>0</v>
      </c>
      <c r="AJ8847" s="835">
        <v>41790</v>
      </c>
      <c r="AK8847" s="831">
        <v>4260563.7300000004</v>
      </c>
    </row>
    <row r="8848" spans="2:37">
      <c r="B8848" s="834" t="str">
        <f t="shared" si="355"/>
        <v>|||</v>
      </c>
      <c r="H8848" s="835">
        <f t="shared" si="356"/>
        <v>31</v>
      </c>
      <c r="AF8848" s="831" t="s">
        <v>9507</v>
      </c>
      <c r="AG8848" s="831" t="s">
        <v>132</v>
      </c>
      <c r="AH8848" s="831" t="s">
        <v>173</v>
      </c>
      <c r="AI8848" s="831">
        <v>0</v>
      </c>
      <c r="AJ8848" s="835">
        <v>41790</v>
      </c>
      <c r="AK8848" s="831">
        <v>108410.77</v>
      </c>
    </row>
    <row r="8849" spans="2:37">
      <c r="B8849" s="834" t="str">
        <f t="shared" si="355"/>
        <v>|||</v>
      </c>
      <c r="H8849" s="835">
        <f t="shared" si="356"/>
        <v>31</v>
      </c>
      <c r="AF8849" s="831" t="s">
        <v>9508</v>
      </c>
      <c r="AG8849" s="831" t="s">
        <v>132</v>
      </c>
      <c r="AH8849" s="831" t="s">
        <v>78</v>
      </c>
      <c r="AI8849" s="831">
        <v>0</v>
      </c>
      <c r="AJ8849" s="835">
        <v>41790</v>
      </c>
      <c r="AK8849" s="831">
        <v>401559.73</v>
      </c>
    </row>
    <row r="8850" spans="2:37">
      <c r="B8850" s="834" t="str">
        <f t="shared" si="355"/>
        <v>|||</v>
      </c>
      <c r="H8850" s="835">
        <f t="shared" si="356"/>
        <v>31</v>
      </c>
      <c r="AF8850" s="831" t="s">
        <v>9509</v>
      </c>
      <c r="AG8850" s="831" t="s">
        <v>132</v>
      </c>
      <c r="AH8850" s="831" t="s">
        <v>183</v>
      </c>
      <c r="AI8850" s="831">
        <v>0</v>
      </c>
      <c r="AJ8850" s="835">
        <v>41790</v>
      </c>
      <c r="AK8850" s="831">
        <v>0</v>
      </c>
    </row>
    <row r="8851" spans="2:37">
      <c r="B8851" s="834" t="str">
        <f t="shared" si="355"/>
        <v>|||</v>
      </c>
      <c r="H8851" s="835">
        <f t="shared" si="356"/>
        <v>31</v>
      </c>
      <c r="AF8851" s="831" t="s">
        <v>9510</v>
      </c>
      <c r="AG8851" s="831" t="s">
        <v>132</v>
      </c>
      <c r="AH8851" s="831" t="s">
        <v>186</v>
      </c>
      <c r="AI8851" s="831">
        <v>0</v>
      </c>
      <c r="AJ8851" s="835">
        <v>41790</v>
      </c>
      <c r="AK8851" s="831">
        <v>86546</v>
      </c>
    </row>
    <row r="8852" spans="2:37">
      <c r="B8852" s="834" t="str">
        <f t="shared" si="355"/>
        <v>|||</v>
      </c>
      <c r="H8852" s="835">
        <f t="shared" si="356"/>
        <v>31</v>
      </c>
      <c r="AF8852" s="831" t="s">
        <v>9511</v>
      </c>
      <c r="AG8852" s="831" t="s">
        <v>132</v>
      </c>
      <c r="AH8852" s="831" t="s">
        <v>189</v>
      </c>
      <c r="AI8852" s="831">
        <v>0</v>
      </c>
      <c r="AJ8852" s="835">
        <v>41790</v>
      </c>
      <c r="AK8852" s="831">
        <v>0</v>
      </c>
    </row>
    <row r="8853" spans="2:37">
      <c r="B8853" s="834" t="str">
        <f t="shared" si="355"/>
        <v>|||</v>
      </c>
      <c r="H8853" s="835">
        <f t="shared" si="356"/>
        <v>31</v>
      </c>
      <c r="AF8853" s="831" t="s">
        <v>9512</v>
      </c>
      <c r="AG8853" s="831" t="s">
        <v>132</v>
      </c>
      <c r="AH8853" s="831" t="s">
        <v>68</v>
      </c>
      <c r="AI8853" s="831">
        <v>0</v>
      </c>
      <c r="AJ8853" s="835">
        <v>41820</v>
      </c>
      <c r="AK8853" s="831">
        <v>721416986</v>
      </c>
    </row>
    <row r="8854" spans="2:37">
      <c r="B8854" s="834" t="str">
        <f t="shared" si="355"/>
        <v>|||</v>
      </c>
      <c r="H8854" s="835">
        <f t="shared" si="356"/>
        <v>31</v>
      </c>
      <c r="AF8854" s="831" t="s">
        <v>9513</v>
      </c>
      <c r="AG8854" s="831" t="s">
        <v>132</v>
      </c>
      <c r="AH8854" s="831" t="s">
        <v>73</v>
      </c>
      <c r="AI8854" s="831">
        <v>0</v>
      </c>
      <c r="AJ8854" s="835">
        <v>41820</v>
      </c>
      <c r="AK8854" s="831">
        <v>984555</v>
      </c>
    </row>
    <row r="8855" spans="2:37">
      <c r="B8855" s="834" t="str">
        <f t="shared" si="355"/>
        <v>|||</v>
      </c>
      <c r="H8855" s="835">
        <f t="shared" si="356"/>
        <v>31</v>
      </c>
      <c r="AF8855" s="831" t="s">
        <v>9514</v>
      </c>
      <c r="AG8855" s="831" t="s">
        <v>132</v>
      </c>
      <c r="AH8855" s="831" t="s">
        <v>147</v>
      </c>
      <c r="AI8855" s="831">
        <v>0</v>
      </c>
      <c r="AJ8855" s="835">
        <v>41820</v>
      </c>
      <c r="AK8855" s="831">
        <v>375660</v>
      </c>
    </row>
    <row r="8856" spans="2:37">
      <c r="B8856" s="834" t="str">
        <f t="shared" si="355"/>
        <v>|||</v>
      </c>
      <c r="H8856" s="835">
        <f t="shared" si="356"/>
        <v>31</v>
      </c>
      <c r="AF8856" s="831" t="s">
        <v>9515</v>
      </c>
      <c r="AG8856" s="831" t="s">
        <v>132</v>
      </c>
      <c r="AH8856" s="831" t="s">
        <v>151</v>
      </c>
      <c r="AI8856" s="831">
        <v>0</v>
      </c>
      <c r="AJ8856" s="835">
        <v>41820</v>
      </c>
      <c r="AK8856" s="831">
        <v>211255</v>
      </c>
    </row>
    <row r="8857" spans="2:37">
      <c r="B8857" s="834" t="str">
        <f t="shared" si="355"/>
        <v>|||</v>
      </c>
      <c r="H8857" s="835">
        <f t="shared" si="356"/>
        <v>31</v>
      </c>
      <c r="AF8857" s="831" t="s">
        <v>9516</v>
      </c>
      <c r="AG8857" s="831" t="s">
        <v>132</v>
      </c>
      <c r="AH8857" s="831" t="s">
        <v>155</v>
      </c>
      <c r="AI8857" s="831">
        <v>0</v>
      </c>
      <c r="AJ8857" s="835">
        <v>41820</v>
      </c>
      <c r="AK8857" s="831">
        <v>141292</v>
      </c>
    </row>
    <row r="8858" spans="2:37">
      <c r="B8858" s="834" t="str">
        <f t="shared" si="355"/>
        <v>|||</v>
      </c>
      <c r="H8858" s="835">
        <f t="shared" si="356"/>
        <v>31</v>
      </c>
      <c r="AF8858" s="831" t="s">
        <v>9517</v>
      </c>
      <c r="AG8858" s="831" t="s">
        <v>132</v>
      </c>
      <c r="AH8858" s="831" t="s">
        <v>158</v>
      </c>
      <c r="AI8858" s="831">
        <v>0</v>
      </c>
      <c r="AJ8858" s="835">
        <v>41820</v>
      </c>
      <c r="AK8858" s="831">
        <v>290808.89</v>
      </c>
    </row>
    <row r="8859" spans="2:37">
      <c r="B8859" s="834" t="str">
        <f t="shared" si="355"/>
        <v>|||</v>
      </c>
      <c r="H8859" s="835">
        <f t="shared" si="356"/>
        <v>31</v>
      </c>
      <c r="AF8859" s="831" t="s">
        <v>9518</v>
      </c>
      <c r="AG8859" s="831" t="s">
        <v>132</v>
      </c>
      <c r="AH8859" s="831" t="s">
        <v>160</v>
      </c>
      <c r="AI8859" s="831">
        <v>0</v>
      </c>
      <c r="AJ8859" s="835">
        <v>41820</v>
      </c>
      <c r="AK8859" s="831">
        <v>301053</v>
      </c>
    </row>
    <row r="8860" spans="2:37">
      <c r="B8860" s="834" t="str">
        <f t="shared" si="355"/>
        <v>|||</v>
      </c>
      <c r="H8860" s="835">
        <f t="shared" si="356"/>
        <v>31</v>
      </c>
      <c r="AF8860" s="831" t="s">
        <v>9519</v>
      </c>
      <c r="AG8860" s="831" t="s">
        <v>132</v>
      </c>
      <c r="AH8860" s="831" t="s">
        <v>161</v>
      </c>
      <c r="AI8860" s="831">
        <v>0</v>
      </c>
      <c r="AJ8860" s="835">
        <v>41820</v>
      </c>
      <c r="AK8860" s="831">
        <v>6179.92</v>
      </c>
    </row>
    <row r="8861" spans="2:37">
      <c r="B8861" s="834" t="str">
        <f t="shared" si="355"/>
        <v>|||</v>
      </c>
      <c r="H8861" s="835">
        <f t="shared" si="356"/>
        <v>31</v>
      </c>
      <c r="AF8861" s="831" t="s">
        <v>9520</v>
      </c>
      <c r="AG8861" s="831" t="s">
        <v>132</v>
      </c>
      <c r="AH8861" s="831" t="s">
        <v>170</v>
      </c>
      <c r="AI8861" s="831">
        <v>0</v>
      </c>
      <c r="AJ8861" s="835">
        <v>41820</v>
      </c>
      <c r="AK8861" s="831">
        <v>4127941</v>
      </c>
    </row>
    <row r="8862" spans="2:37">
      <c r="B8862" s="834" t="str">
        <f t="shared" si="355"/>
        <v>|||</v>
      </c>
      <c r="H8862" s="835">
        <f t="shared" si="356"/>
        <v>31</v>
      </c>
      <c r="AF8862" s="831" t="s">
        <v>9521</v>
      </c>
      <c r="AG8862" s="831" t="s">
        <v>132</v>
      </c>
      <c r="AH8862" s="831" t="s">
        <v>173</v>
      </c>
      <c r="AI8862" s="831">
        <v>0</v>
      </c>
      <c r="AJ8862" s="835">
        <v>41820</v>
      </c>
      <c r="AK8862" s="831">
        <v>35674.94</v>
      </c>
    </row>
    <row r="8863" spans="2:37">
      <c r="B8863" s="834" t="str">
        <f t="shared" si="355"/>
        <v>|||</v>
      </c>
      <c r="H8863" s="835">
        <f t="shared" si="356"/>
        <v>31</v>
      </c>
      <c r="AF8863" s="831" t="s">
        <v>9522</v>
      </c>
      <c r="AG8863" s="831" t="s">
        <v>132</v>
      </c>
      <c r="AH8863" s="831" t="s">
        <v>78</v>
      </c>
      <c r="AI8863" s="831">
        <v>0</v>
      </c>
      <c r="AJ8863" s="835">
        <v>41820</v>
      </c>
      <c r="AK8863" s="831">
        <v>166185</v>
      </c>
    </row>
    <row r="8864" spans="2:37">
      <c r="B8864" s="834" t="str">
        <f t="shared" si="355"/>
        <v>|||</v>
      </c>
      <c r="H8864" s="835">
        <f t="shared" si="356"/>
        <v>31</v>
      </c>
      <c r="AF8864" s="831" t="s">
        <v>9523</v>
      </c>
      <c r="AG8864" s="831" t="s">
        <v>132</v>
      </c>
      <c r="AH8864" s="831" t="s">
        <v>183</v>
      </c>
      <c r="AI8864" s="831">
        <v>0</v>
      </c>
      <c r="AJ8864" s="835">
        <v>41820</v>
      </c>
      <c r="AK8864" s="831">
        <v>1630186</v>
      </c>
    </row>
    <row r="8865" spans="2:37">
      <c r="B8865" s="834" t="str">
        <f t="shared" si="355"/>
        <v>|||</v>
      </c>
      <c r="H8865" s="835">
        <f t="shared" si="356"/>
        <v>31</v>
      </c>
      <c r="AF8865" s="831" t="s">
        <v>9524</v>
      </c>
      <c r="AG8865" s="831" t="s">
        <v>132</v>
      </c>
      <c r="AH8865" s="831" t="s">
        <v>186</v>
      </c>
      <c r="AI8865" s="831">
        <v>0</v>
      </c>
      <c r="AJ8865" s="835">
        <v>41820</v>
      </c>
      <c r="AK8865" s="831">
        <v>-1604800</v>
      </c>
    </row>
    <row r="8866" spans="2:37">
      <c r="B8866" s="834" t="str">
        <f t="shared" si="355"/>
        <v>|||</v>
      </c>
      <c r="H8866" s="835">
        <f t="shared" si="356"/>
        <v>31</v>
      </c>
      <c r="AF8866" s="831" t="s">
        <v>9525</v>
      </c>
      <c r="AG8866" s="831" t="s">
        <v>132</v>
      </c>
      <c r="AH8866" s="831" t="s">
        <v>189</v>
      </c>
      <c r="AI8866" s="831">
        <v>0</v>
      </c>
      <c r="AJ8866" s="835">
        <v>41820</v>
      </c>
      <c r="AK8866" s="831">
        <v>0</v>
      </c>
    </row>
    <row r="8867" spans="2:37">
      <c r="B8867" s="834" t="str">
        <f t="shared" si="355"/>
        <v>|||</v>
      </c>
      <c r="H8867" s="835">
        <f t="shared" si="356"/>
        <v>31</v>
      </c>
      <c r="AF8867" s="831" t="s">
        <v>9526</v>
      </c>
      <c r="AG8867" s="831" t="s">
        <v>132</v>
      </c>
      <c r="AH8867" s="831" t="s">
        <v>68</v>
      </c>
      <c r="AI8867" s="831">
        <v>0</v>
      </c>
      <c r="AJ8867" s="835">
        <v>41851</v>
      </c>
      <c r="AK8867" s="831">
        <v>732628641</v>
      </c>
    </row>
    <row r="8868" spans="2:37">
      <c r="B8868" s="834" t="str">
        <f t="shared" si="355"/>
        <v>|||</v>
      </c>
      <c r="H8868" s="835">
        <f t="shared" si="356"/>
        <v>31</v>
      </c>
      <c r="AF8868" s="831" t="s">
        <v>9527</v>
      </c>
      <c r="AG8868" s="831" t="s">
        <v>132</v>
      </c>
      <c r="AH8868" s="831" t="s">
        <v>73</v>
      </c>
      <c r="AI8868" s="831">
        <v>0</v>
      </c>
      <c r="AJ8868" s="835">
        <v>41851</v>
      </c>
      <c r="AK8868" s="831">
        <v>665946</v>
      </c>
    </row>
    <row r="8869" spans="2:37">
      <c r="B8869" s="834" t="str">
        <f t="shared" si="355"/>
        <v>|||</v>
      </c>
      <c r="H8869" s="835">
        <f t="shared" si="356"/>
        <v>31</v>
      </c>
      <c r="AF8869" s="831" t="s">
        <v>9528</v>
      </c>
      <c r="AG8869" s="831" t="s">
        <v>132</v>
      </c>
      <c r="AH8869" s="831" t="s">
        <v>147</v>
      </c>
      <c r="AI8869" s="831">
        <v>0</v>
      </c>
      <c r="AJ8869" s="835">
        <v>41851</v>
      </c>
      <c r="AK8869" s="831">
        <v>464219.77</v>
      </c>
    </row>
    <row r="8870" spans="2:37">
      <c r="B8870" s="834" t="str">
        <f t="shared" si="355"/>
        <v>|||</v>
      </c>
      <c r="H8870" s="835">
        <f t="shared" si="356"/>
        <v>31</v>
      </c>
      <c r="AF8870" s="831" t="s">
        <v>9529</v>
      </c>
      <c r="AG8870" s="831" t="s">
        <v>132</v>
      </c>
      <c r="AH8870" s="831" t="s">
        <v>151</v>
      </c>
      <c r="AI8870" s="831">
        <v>0</v>
      </c>
      <c r="AJ8870" s="835">
        <v>41851</v>
      </c>
      <c r="AK8870" s="831">
        <v>147572.93</v>
      </c>
    </row>
    <row r="8871" spans="2:37">
      <c r="B8871" s="834" t="str">
        <f t="shared" si="355"/>
        <v>|||</v>
      </c>
      <c r="H8871" s="835">
        <f t="shared" si="356"/>
        <v>31</v>
      </c>
      <c r="AF8871" s="831" t="s">
        <v>9530</v>
      </c>
      <c r="AG8871" s="831" t="s">
        <v>132</v>
      </c>
      <c r="AH8871" s="831" t="s">
        <v>155</v>
      </c>
      <c r="AI8871" s="831">
        <v>0</v>
      </c>
      <c r="AJ8871" s="835">
        <v>41851</v>
      </c>
      <c r="AK8871" s="831">
        <v>271222.31</v>
      </c>
    </row>
    <row r="8872" spans="2:37">
      <c r="B8872" s="834" t="str">
        <f t="shared" si="355"/>
        <v>|||</v>
      </c>
      <c r="H8872" s="835">
        <f t="shared" si="356"/>
        <v>31</v>
      </c>
      <c r="AF8872" s="831" t="s">
        <v>9531</v>
      </c>
      <c r="AG8872" s="831" t="s">
        <v>132</v>
      </c>
      <c r="AH8872" s="831" t="s">
        <v>158</v>
      </c>
      <c r="AI8872" s="831">
        <v>0</v>
      </c>
      <c r="AJ8872" s="835">
        <v>41851</v>
      </c>
      <c r="AK8872" s="831">
        <v>271239.31</v>
      </c>
    </row>
    <row r="8873" spans="2:37">
      <c r="B8873" s="834" t="str">
        <f t="shared" si="355"/>
        <v>|||</v>
      </c>
      <c r="H8873" s="835">
        <f t="shared" si="356"/>
        <v>31</v>
      </c>
      <c r="AF8873" s="831" t="s">
        <v>9532</v>
      </c>
      <c r="AG8873" s="831" t="s">
        <v>132</v>
      </c>
      <c r="AH8873" s="831" t="s">
        <v>160</v>
      </c>
      <c r="AI8873" s="831">
        <v>0</v>
      </c>
      <c r="AJ8873" s="835">
        <v>41851</v>
      </c>
      <c r="AK8873" s="831">
        <v>394893.44</v>
      </c>
    </row>
    <row r="8874" spans="2:37">
      <c r="B8874" s="834" t="str">
        <f t="shared" si="355"/>
        <v>|||</v>
      </c>
      <c r="H8874" s="835">
        <f t="shared" si="356"/>
        <v>31</v>
      </c>
      <c r="AF8874" s="831" t="s">
        <v>9533</v>
      </c>
      <c r="AG8874" s="831" t="s">
        <v>132</v>
      </c>
      <c r="AH8874" s="831" t="s">
        <v>161</v>
      </c>
      <c r="AI8874" s="831">
        <v>0</v>
      </c>
      <c r="AJ8874" s="835">
        <v>41851</v>
      </c>
      <c r="AK8874" s="831">
        <v>16619.73</v>
      </c>
    </row>
    <row r="8875" spans="2:37">
      <c r="B8875" s="834" t="str">
        <f t="shared" si="355"/>
        <v>|||</v>
      </c>
      <c r="H8875" s="835">
        <f t="shared" si="356"/>
        <v>31</v>
      </c>
      <c r="AF8875" s="831" t="s">
        <v>9534</v>
      </c>
      <c r="AG8875" s="831" t="s">
        <v>132</v>
      </c>
      <c r="AH8875" s="831" t="s">
        <v>170</v>
      </c>
      <c r="AI8875" s="831">
        <v>0</v>
      </c>
      <c r="AJ8875" s="835">
        <v>41851</v>
      </c>
      <c r="AK8875" s="831">
        <v>4064630</v>
      </c>
    </row>
    <row r="8876" spans="2:37">
      <c r="B8876" s="834" t="str">
        <f t="shared" si="355"/>
        <v>|||</v>
      </c>
      <c r="H8876" s="835">
        <f t="shared" si="356"/>
        <v>31</v>
      </c>
      <c r="AF8876" s="831" t="s">
        <v>9535</v>
      </c>
      <c r="AG8876" s="831" t="s">
        <v>132</v>
      </c>
      <c r="AH8876" s="831" t="s">
        <v>173</v>
      </c>
      <c r="AI8876" s="831">
        <v>0</v>
      </c>
      <c r="AJ8876" s="835">
        <v>41851</v>
      </c>
      <c r="AK8876" s="831">
        <v>103973.73</v>
      </c>
    </row>
    <row r="8877" spans="2:37">
      <c r="B8877" s="834" t="str">
        <f t="shared" si="355"/>
        <v>|||</v>
      </c>
      <c r="H8877" s="835">
        <f t="shared" si="356"/>
        <v>31</v>
      </c>
      <c r="AF8877" s="831" t="s">
        <v>9536</v>
      </c>
      <c r="AG8877" s="831" t="s">
        <v>132</v>
      </c>
      <c r="AH8877" s="831" t="s">
        <v>78</v>
      </c>
      <c r="AI8877" s="831">
        <v>0</v>
      </c>
      <c r="AJ8877" s="835">
        <v>41851</v>
      </c>
      <c r="AK8877" s="831">
        <v>147063.4</v>
      </c>
    </row>
    <row r="8878" spans="2:37">
      <c r="B8878" s="834" t="str">
        <f t="shared" si="355"/>
        <v>|||</v>
      </c>
      <c r="H8878" s="835">
        <f t="shared" si="356"/>
        <v>31</v>
      </c>
      <c r="AF8878" s="831" t="s">
        <v>9537</v>
      </c>
      <c r="AG8878" s="831" t="s">
        <v>132</v>
      </c>
      <c r="AH8878" s="831" t="s">
        <v>183</v>
      </c>
      <c r="AI8878" s="831">
        <v>0</v>
      </c>
      <c r="AJ8878" s="835">
        <v>41851</v>
      </c>
      <c r="AK8878" s="831">
        <v>1629979</v>
      </c>
    </row>
    <row r="8879" spans="2:37">
      <c r="B8879" s="834" t="str">
        <f t="shared" si="355"/>
        <v>|||</v>
      </c>
      <c r="H8879" s="835">
        <f t="shared" si="356"/>
        <v>31</v>
      </c>
      <c r="AF8879" s="831" t="s">
        <v>9538</v>
      </c>
      <c r="AG8879" s="831" t="s">
        <v>132</v>
      </c>
      <c r="AH8879" s="831" t="s">
        <v>186</v>
      </c>
      <c r="AI8879" s="831">
        <v>0</v>
      </c>
      <c r="AJ8879" s="835">
        <v>41851</v>
      </c>
      <c r="AK8879" s="831">
        <v>121929</v>
      </c>
    </row>
    <row r="8880" spans="2:37">
      <c r="B8880" s="834" t="str">
        <f t="shared" si="355"/>
        <v>|||</v>
      </c>
      <c r="H8880" s="835">
        <f t="shared" si="356"/>
        <v>31</v>
      </c>
      <c r="AF8880" s="831" t="s">
        <v>9539</v>
      </c>
      <c r="AG8880" s="831" t="s">
        <v>132</v>
      </c>
      <c r="AH8880" s="831" t="s">
        <v>189</v>
      </c>
      <c r="AI8880" s="831">
        <v>0</v>
      </c>
      <c r="AJ8880" s="835">
        <v>41851</v>
      </c>
      <c r="AK8880" s="831">
        <v>0</v>
      </c>
    </row>
    <row r="8881" spans="2:37">
      <c r="B8881" s="834" t="str">
        <f t="shared" si="355"/>
        <v>|||</v>
      </c>
      <c r="H8881" s="835">
        <f t="shared" si="356"/>
        <v>31</v>
      </c>
      <c r="AF8881" s="831" t="s">
        <v>9540</v>
      </c>
      <c r="AG8881" s="831" t="s">
        <v>132</v>
      </c>
      <c r="AH8881" s="831" t="s">
        <v>68</v>
      </c>
      <c r="AI8881" s="831">
        <v>0</v>
      </c>
      <c r="AJ8881" s="835">
        <v>41882</v>
      </c>
      <c r="AK8881" s="831">
        <v>744770340.73599994</v>
      </c>
    </row>
    <row r="8882" spans="2:37">
      <c r="B8882" s="834" t="str">
        <f t="shared" si="355"/>
        <v>|||</v>
      </c>
      <c r="H8882" s="835">
        <f t="shared" si="356"/>
        <v>31</v>
      </c>
      <c r="AF8882" s="831" t="s">
        <v>9541</v>
      </c>
      <c r="AG8882" s="831" t="s">
        <v>132</v>
      </c>
      <c r="AH8882" s="831" t="s">
        <v>73</v>
      </c>
      <c r="AI8882" s="831">
        <v>0</v>
      </c>
      <c r="AJ8882" s="835">
        <v>41882</v>
      </c>
      <c r="AK8882" s="831">
        <v>1197929</v>
      </c>
    </row>
    <row r="8883" spans="2:37">
      <c r="B8883" s="834" t="str">
        <f t="shared" si="355"/>
        <v>|||</v>
      </c>
      <c r="H8883" s="835">
        <f t="shared" si="356"/>
        <v>31</v>
      </c>
      <c r="AF8883" s="831" t="s">
        <v>9542</v>
      </c>
      <c r="AG8883" s="831" t="s">
        <v>132</v>
      </c>
      <c r="AH8883" s="831" t="s">
        <v>147</v>
      </c>
      <c r="AI8883" s="831">
        <v>0</v>
      </c>
      <c r="AJ8883" s="835">
        <v>41882</v>
      </c>
      <c r="AK8883" s="831">
        <v>353819.59499999997</v>
      </c>
    </row>
    <row r="8884" spans="2:37">
      <c r="B8884" s="834" t="str">
        <f t="shared" si="355"/>
        <v>|||</v>
      </c>
      <c r="H8884" s="835">
        <f t="shared" si="356"/>
        <v>31</v>
      </c>
      <c r="AF8884" s="831" t="s">
        <v>9543</v>
      </c>
      <c r="AG8884" s="831" t="s">
        <v>132</v>
      </c>
      <c r="AH8884" s="831" t="s">
        <v>151</v>
      </c>
      <c r="AI8884" s="831">
        <v>0</v>
      </c>
      <c r="AJ8884" s="835">
        <v>41882</v>
      </c>
      <c r="AK8884" s="831">
        <v>373606.39</v>
      </c>
    </row>
    <row r="8885" spans="2:37">
      <c r="B8885" s="834" t="str">
        <f t="shared" si="355"/>
        <v>|||</v>
      </c>
      <c r="H8885" s="835">
        <f t="shared" si="356"/>
        <v>31</v>
      </c>
      <c r="AF8885" s="831" t="s">
        <v>9544</v>
      </c>
      <c r="AG8885" s="831" t="s">
        <v>132</v>
      </c>
      <c r="AH8885" s="831" t="s">
        <v>155</v>
      </c>
      <c r="AI8885" s="831">
        <v>0</v>
      </c>
      <c r="AJ8885" s="835">
        <v>41882</v>
      </c>
      <c r="AK8885" s="831">
        <v>116730.88400000001</v>
      </c>
    </row>
    <row r="8886" spans="2:37">
      <c r="B8886" s="834" t="str">
        <f t="shared" si="355"/>
        <v>|||</v>
      </c>
      <c r="H8886" s="835">
        <f t="shared" si="356"/>
        <v>31</v>
      </c>
      <c r="AF8886" s="831" t="s">
        <v>9545</v>
      </c>
      <c r="AG8886" s="831" t="s">
        <v>132</v>
      </c>
      <c r="AH8886" s="831" t="s">
        <v>158</v>
      </c>
      <c r="AI8886" s="831">
        <v>0</v>
      </c>
      <c r="AJ8886" s="835">
        <v>41882</v>
      </c>
      <c r="AK8886" s="831">
        <v>421120.125</v>
      </c>
    </row>
    <row r="8887" spans="2:37">
      <c r="B8887" s="834" t="str">
        <f t="shared" si="355"/>
        <v>|||</v>
      </c>
      <c r="H8887" s="835">
        <f t="shared" si="356"/>
        <v>31</v>
      </c>
      <c r="AF8887" s="831" t="s">
        <v>9546</v>
      </c>
      <c r="AG8887" s="831" t="s">
        <v>132</v>
      </c>
      <c r="AH8887" s="831" t="s">
        <v>160</v>
      </c>
      <c r="AI8887" s="831">
        <v>0</v>
      </c>
      <c r="AJ8887" s="835">
        <v>41882</v>
      </c>
      <c r="AK8887" s="831">
        <v>462674.37</v>
      </c>
    </row>
    <row r="8888" spans="2:37">
      <c r="B8888" s="834" t="str">
        <f t="shared" si="355"/>
        <v>|||</v>
      </c>
      <c r="H8888" s="835">
        <f t="shared" si="356"/>
        <v>31</v>
      </c>
      <c r="AF8888" s="831" t="s">
        <v>9547</v>
      </c>
      <c r="AG8888" s="831" t="s">
        <v>132</v>
      </c>
      <c r="AH8888" s="831" t="s">
        <v>161</v>
      </c>
      <c r="AI8888" s="831">
        <v>0</v>
      </c>
      <c r="AJ8888" s="835">
        <v>41882</v>
      </c>
      <c r="AK8888" s="831">
        <v>18409.73</v>
      </c>
    </row>
    <row r="8889" spans="2:37">
      <c r="B8889" s="834" t="str">
        <f t="shared" si="355"/>
        <v>|||</v>
      </c>
      <c r="H8889" s="835">
        <f t="shared" si="356"/>
        <v>31</v>
      </c>
      <c r="AF8889" s="831" t="s">
        <v>9548</v>
      </c>
      <c r="AG8889" s="831" t="s">
        <v>132</v>
      </c>
      <c r="AH8889" s="831" t="s">
        <v>170</v>
      </c>
      <c r="AI8889" s="831">
        <v>0</v>
      </c>
      <c r="AJ8889" s="835">
        <v>41882</v>
      </c>
      <c r="AK8889" s="831">
        <v>4470865.1900000004</v>
      </c>
    </row>
    <row r="8890" spans="2:37">
      <c r="B8890" s="834" t="str">
        <f t="shared" si="355"/>
        <v>|||</v>
      </c>
      <c r="H8890" s="835">
        <f t="shared" si="356"/>
        <v>31</v>
      </c>
      <c r="AF8890" s="831" t="s">
        <v>9549</v>
      </c>
      <c r="AG8890" s="831" t="s">
        <v>132</v>
      </c>
      <c r="AH8890" s="831" t="s">
        <v>173</v>
      </c>
      <c r="AI8890" s="831">
        <v>0</v>
      </c>
      <c r="AJ8890" s="835">
        <v>41882</v>
      </c>
      <c r="AK8890" s="831">
        <v>102590.54</v>
      </c>
    </row>
    <row r="8891" spans="2:37">
      <c r="B8891" s="834" t="str">
        <f t="shared" si="355"/>
        <v>|||</v>
      </c>
      <c r="H8891" s="835">
        <f t="shared" si="356"/>
        <v>31</v>
      </c>
      <c r="AF8891" s="831" t="s">
        <v>9550</v>
      </c>
      <c r="AG8891" s="831" t="s">
        <v>132</v>
      </c>
      <c r="AH8891" s="831" t="s">
        <v>78</v>
      </c>
      <c r="AI8891" s="831">
        <v>0</v>
      </c>
      <c r="AJ8891" s="835">
        <v>41882</v>
      </c>
      <c r="AK8891" s="831">
        <v>207965</v>
      </c>
    </row>
    <row r="8892" spans="2:37">
      <c r="B8892" s="834" t="str">
        <f t="shared" si="355"/>
        <v>|||</v>
      </c>
      <c r="H8892" s="835">
        <f t="shared" si="356"/>
        <v>31</v>
      </c>
      <c r="AF8892" s="831" t="s">
        <v>9551</v>
      </c>
      <c r="AG8892" s="831" t="s">
        <v>132</v>
      </c>
      <c r="AH8892" s="831" t="s">
        <v>183</v>
      </c>
      <c r="AI8892" s="831">
        <v>0</v>
      </c>
      <c r="AJ8892" s="835">
        <v>41882</v>
      </c>
      <c r="AK8892" s="831">
        <v>1630394</v>
      </c>
    </row>
    <row r="8893" spans="2:37">
      <c r="B8893" s="834" t="str">
        <f t="shared" si="355"/>
        <v>|||</v>
      </c>
      <c r="H8893" s="835">
        <f t="shared" si="356"/>
        <v>31</v>
      </c>
      <c r="AF8893" s="831" t="s">
        <v>9552</v>
      </c>
      <c r="AG8893" s="831" t="s">
        <v>132</v>
      </c>
      <c r="AH8893" s="831" t="s">
        <v>186</v>
      </c>
      <c r="AI8893" s="831">
        <v>0</v>
      </c>
      <c r="AJ8893" s="835">
        <v>41882</v>
      </c>
      <c r="AK8893" s="831">
        <v>17851.462</v>
      </c>
    </row>
    <row r="8894" spans="2:37">
      <c r="B8894" s="834" t="str">
        <f t="shared" si="355"/>
        <v>|||</v>
      </c>
      <c r="H8894" s="835">
        <f t="shared" si="356"/>
        <v>31</v>
      </c>
      <c r="AF8894" s="831" t="s">
        <v>9553</v>
      </c>
      <c r="AG8894" s="831" t="s">
        <v>132</v>
      </c>
      <c r="AH8894" s="831" t="s">
        <v>189</v>
      </c>
      <c r="AI8894" s="831">
        <v>0</v>
      </c>
      <c r="AJ8894" s="835">
        <v>41882</v>
      </c>
      <c r="AK8894" s="831">
        <v>0</v>
      </c>
    </row>
    <row r="8895" spans="2:37">
      <c r="B8895" s="834" t="str">
        <f t="shared" si="355"/>
        <v>|||</v>
      </c>
      <c r="H8895" s="835">
        <f t="shared" si="356"/>
        <v>31</v>
      </c>
      <c r="AF8895" s="831" t="s">
        <v>9554</v>
      </c>
      <c r="AG8895" s="831" t="s">
        <v>132</v>
      </c>
      <c r="AH8895" s="831" t="s">
        <v>68</v>
      </c>
      <c r="AI8895" s="831">
        <v>0</v>
      </c>
      <c r="AJ8895" s="835">
        <v>41912</v>
      </c>
      <c r="AK8895" s="831">
        <v>764809230</v>
      </c>
    </row>
    <row r="8896" spans="2:37">
      <c r="B8896" s="834" t="str">
        <f t="shared" si="355"/>
        <v>|||</v>
      </c>
      <c r="H8896" s="835">
        <f t="shared" si="356"/>
        <v>31</v>
      </c>
      <c r="AF8896" s="831" t="s">
        <v>9555</v>
      </c>
      <c r="AG8896" s="831" t="s">
        <v>132</v>
      </c>
      <c r="AH8896" s="831" t="s">
        <v>73</v>
      </c>
      <c r="AI8896" s="831">
        <v>0</v>
      </c>
      <c r="AJ8896" s="835">
        <v>41912</v>
      </c>
      <c r="AK8896" s="831">
        <v>3607911</v>
      </c>
    </row>
    <row r="8897" spans="2:37">
      <c r="B8897" s="834" t="str">
        <f t="shared" si="355"/>
        <v>|||</v>
      </c>
      <c r="H8897" s="835">
        <f t="shared" si="356"/>
        <v>31</v>
      </c>
      <c r="AF8897" s="831" t="s">
        <v>9556</v>
      </c>
      <c r="AG8897" s="831" t="s">
        <v>132</v>
      </c>
      <c r="AH8897" s="831" t="s">
        <v>147</v>
      </c>
      <c r="AI8897" s="831">
        <v>0</v>
      </c>
      <c r="AJ8897" s="835">
        <v>41912</v>
      </c>
      <c r="AK8897" s="831">
        <v>720281</v>
      </c>
    </row>
    <row r="8898" spans="2:37">
      <c r="B8898" s="834" t="str">
        <f t="shared" si="355"/>
        <v>|||</v>
      </c>
      <c r="H8898" s="835">
        <f t="shared" si="356"/>
        <v>31</v>
      </c>
      <c r="AF8898" s="831" t="s">
        <v>9557</v>
      </c>
      <c r="AG8898" s="831" t="s">
        <v>132</v>
      </c>
      <c r="AH8898" s="831" t="s">
        <v>151</v>
      </c>
      <c r="AI8898" s="831">
        <v>0</v>
      </c>
      <c r="AJ8898" s="835">
        <v>41912</v>
      </c>
      <c r="AK8898" s="831">
        <v>270905</v>
      </c>
    </row>
    <row r="8899" spans="2:37">
      <c r="B8899" s="834" t="str">
        <f t="shared" ref="B8899:B8962" si="357">C8899&amp;"|"&amp;D8899&amp;"|"&amp;E8899&amp;"|"&amp;F8899</f>
        <v>|||</v>
      </c>
      <c r="H8899" s="835">
        <f t="shared" si="356"/>
        <v>31</v>
      </c>
      <c r="AF8899" s="831" t="s">
        <v>9558</v>
      </c>
      <c r="AG8899" s="831" t="s">
        <v>132</v>
      </c>
      <c r="AH8899" s="831" t="s">
        <v>155</v>
      </c>
      <c r="AI8899" s="831">
        <v>0</v>
      </c>
      <c r="AJ8899" s="835">
        <v>41912</v>
      </c>
      <c r="AK8899" s="831">
        <v>358999</v>
      </c>
    </row>
    <row r="8900" spans="2:37">
      <c r="B8900" s="834" t="str">
        <f t="shared" si="357"/>
        <v>|||</v>
      </c>
      <c r="H8900" s="835">
        <f t="shared" ref="H8900:H8963" si="358">EOMONTH(L8900,0)</f>
        <v>31</v>
      </c>
      <c r="AF8900" s="831" t="s">
        <v>9559</v>
      </c>
      <c r="AG8900" s="831" t="s">
        <v>132</v>
      </c>
      <c r="AH8900" s="831" t="s">
        <v>158</v>
      </c>
      <c r="AI8900" s="831">
        <v>0</v>
      </c>
      <c r="AJ8900" s="835">
        <v>41912</v>
      </c>
      <c r="AK8900" s="831">
        <v>355411</v>
      </c>
    </row>
    <row r="8901" spans="2:37">
      <c r="B8901" s="834" t="str">
        <f t="shared" si="357"/>
        <v>|||</v>
      </c>
      <c r="H8901" s="835">
        <f t="shared" si="358"/>
        <v>31</v>
      </c>
      <c r="AF8901" s="831" t="s">
        <v>9560</v>
      </c>
      <c r="AG8901" s="831" t="s">
        <v>132</v>
      </c>
      <c r="AH8901" s="831" t="s">
        <v>160</v>
      </c>
      <c r="AI8901" s="831">
        <v>0</v>
      </c>
      <c r="AJ8901" s="835">
        <v>41912</v>
      </c>
      <c r="AK8901" s="831">
        <v>583339</v>
      </c>
    </row>
    <row r="8902" spans="2:37">
      <c r="B8902" s="834" t="str">
        <f t="shared" si="357"/>
        <v>|||</v>
      </c>
      <c r="H8902" s="835">
        <f t="shared" si="358"/>
        <v>31</v>
      </c>
      <c r="AF8902" s="831" t="s">
        <v>9561</v>
      </c>
      <c r="AG8902" s="831" t="s">
        <v>132</v>
      </c>
      <c r="AH8902" s="831" t="s">
        <v>161</v>
      </c>
      <c r="AI8902" s="831">
        <v>0</v>
      </c>
      <c r="AJ8902" s="835">
        <v>41912</v>
      </c>
      <c r="AK8902" s="831">
        <v>43440</v>
      </c>
    </row>
    <row r="8903" spans="2:37">
      <c r="B8903" s="834" t="str">
        <f t="shared" si="357"/>
        <v>|||</v>
      </c>
      <c r="H8903" s="835">
        <f t="shared" si="358"/>
        <v>31</v>
      </c>
      <c r="AF8903" s="831" t="s">
        <v>9562</v>
      </c>
      <c r="AG8903" s="831" t="s">
        <v>132</v>
      </c>
      <c r="AH8903" s="831" t="s">
        <v>170</v>
      </c>
      <c r="AI8903" s="831">
        <v>0</v>
      </c>
      <c r="AJ8903" s="835">
        <v>41912</v>
      </c>
      <c r="AK8903" s="831">
        <v>4272220.53</v>
      </c>
    </row>
    <row r="8904" spans="2:37">
      <c r="B8904" s="834" t="str">
        <f t="shared" si="357"/>
        <v>|||</v>
      </c>
      <c r="H8904" s="835">
        <f t="shared" si="358"/>
        <v>31</v>
      </c>
      <c r="AF8904" s="831" t="s">
        <v>9563</v>
      </c>
      <c r="AG8904" s="831" t="s">
        <v>132</v>
      </c>
      <c r="AH8904" s="831" t="s">
        <v>173</v>
      </c>
      <c r="AI8904" s="831">
        <v>0</v>
      </c>
      <c r="AJ8904" s="835">
        <v>41912</v>
      </c>
      <c r="AK8904" s="831">
        <v>246939.25</v>
      </c>
    </row>
    <row r="8905" spans="2:37">
      <c r="B8905" s="834" t="str">
        <f t="shared" si="357"/>
        <v>|||</v>
      </c>
      <c r="H8905" s="835">
        <f t="shared" si="358"/>
        <v>31</v>
      </c>
      <c r="AF8905" s="831" t="s">
        <v>9564</v>
      </c>
      <c r="AG8905" s="831" t="s">
        <v>132</v>
      </c>
      <c r="AH8905" s="831" t="s">
        <v>78</v>
      </c>
      <c r="AI8905" s="831">
        <v>0</v>
      </c>
      <c r="AJ8905" s="835">
        <v>41912</v>
      </c>
      <c r="AK8905" s="831">
        <v>239367</v>
      </c>
    </row>
    <row r="8906" spans="2:37">
      <c r="B8906" s="834" t="str">
        <f t="shared" si="357"/>
        <v>|||</v>
      </c>
      <c r="H8906" s="835">
        <f t="shared" si="358"/>
        <v>31</v>
      </c>
      <c r="AF8906" s="831" t="s">
        <v>9565</v>
      </c>
      <c r="AG8906" s="831" t="s">
        <v>132</v>
      </c>
      <c r="AH8906" s="831" t="s">
        <v>183</v>
      </c>
      <c r="AI8906" s="831">
        <v>0</v>
      </c>
      <c r="AJ8906" s="835">
        <v>41912</v>
      </c>
      <c r="AK8906" s="831">
        <v>1630394</v>
      </c>
    </row>
    <row r="8907" spans="2:37">
      <c r="B8907" s="834" t="str">
        <f t="shared" si="357"/>
        <v>|||</v>
      </c>
      <c r="H8907" s="835">
        <f t="shared" si="358"/>
        <v>31</v>
      </c>
      <c r="AF8907" s="831" t="s">
        <v>9566</v>
      </c>
      <c r="AG8907" s="831" t="s">
        <v>132</v>
      </c>
      <c r="AH8907" s="831" t="s">
        <v>186</v>
      </c>
      <c r="AI8907" s="831">
        <v>0</v>
      </c>
      <c r="AJ8907" s="835">
        <v>41912</v>
      </c>
      <c r="AK8907" s="831">
        <v>40478</v>
      </c>
    </row>
    <row r="8908" spans="2:37">
      <c r="B8908" s="834" t="str">
        <f t="shared" si="357"/>
        <v>|||</v>
      </c>
      <c r="H8908" s="835">
        <f t="shared" si="358"/>
        <v>31</v>
      </c>
      <c r="AF8908" s="831" t="s">
        <v>9567</v>
      </c>
      <c r="AG8908" s="831" t="s">
        <v>132</v>
      </c>
      <c r="AH8908" s="831" t="s">
        <v>189</v>
      </c>
      <c r="AI8908" s="831">
        <v>0</v>
      </c>
      <c r="AJ8908" s="835">
        <v>41912</v>
      </c>
      <c r="AK8908" s="831">
        <v>0</v>
      </c>
    </row>
    <row r="8909" spans="2:37">
      <c r="B8909" s="834" t="str">
        <f t="shared" si="357"/>
        <v>|||</v>
      </c>
      <c r="H8909" s="835">
        <f t="shared" si="358"/>
        <v>31</v>
      </c>
      <c r="AF8909" s="831" t="s">
        <v>9568</v>
      </c>
      <c r="AG8909" s="831" t="s">
        <v>132</v>
      </c>
      <c r="AH8909" s="831" t="s">
        <v>68</v>
      </c>
      <c r="AI8909" s="831">
        <v>0</v>
      </c>
      <c r="AJ8909" s="835">
        <v>41943</v>
      </c>
      <c r="AK8909" s="831">
        <v>776393214</v>
      </c>
    </row>
    <row r="8910" spans="2:37">
      <c r="B8910" s="834" t="str">
        <f t="shared" si="357"/>
        <v>|||</v>
      </c>
      <c r="H8910" s="835">
        <f t="shared" si="358"/>
        <v>31</v>
      </c>
      <c r="AF8910" s="831" t="s">
        <v>9569</v>
      </c>
      <c r="AG8910" s="831" t="s">
        <v>132</v>
      </c>
      <c r="AH8910" s="831" t="s">
        <v>73</v>
      </c>
      <c r="AI8910" s="831">
        <v>0</v>
      </c>
      <c r="AJ8910" s="835">
        <v>41943</v>
      </c>
      <c r="AK8910" s="831">
        <v>1561712</v>
      </c>
    </row>
    <row r="8911" spans="2:37">
      <c r="B8911" s="834" t="str">
        <f t="shared" si="357"/>
        <v>|||</v>
      </c>
      <c r="H8911" s="835">
        <f t="shared" si="358"/>
        <v>31</v>
      </c>
      <c r="AF8911" s="831" t="s">
        <v>9570</v>
      </c>
      <c r="AG8911" s="831" t="s">
        <v>132</v>
      </c>
      <c r="AH8911" s="831" t="s">
        <v>147</v>
      </c>
      <c r="AI8911" s="831">
        <v>0</v>
      </c>
      <c r="AJ8911" s="835">
        <v>41943</v>
      </c>
      <c r="AK8911" s="831">
        <v>3264504</v>
      </c>
    </row>
    <row r="8912" spans="2:37">
      <c r="B8912" s="834" t="str">
        <f t="shared" si="357"/>
        <v>|||</v>
      </c>
      <c r="H8912" s="835">
        <f t="shared" si="358"/>
        <v>31</v>
      </c>
      <c r="AF8912" s="831" t="s">
        <v>9571</v>
      </c>
      <c r="AG8912" s="831" t="s">
        <v>132</v>
      </c>
      <c r="AH8912" s="831" t="s">
        <v>151</v>
      </c>
      <c r="AI8912" s="831">
        <v>0</v>
      </c>
      <c r="AJ8912" s="835">
        <v>41943</v>
      </c>
      <c r="AK8912" s="831">
        <v>354387</v>
      </c>
    </row>
    <row r="8913" spans="2:37">
      <c r="B8913" s="834" t="str">
        <f t="shared" si="357"/>
        <v>|||</v>
      </c>
      <c r="H8913" s="835">
        <f t="shared" si="358"/>
        <v>31</v>
      </c>
      <c r="AF8913" s="831" t="s">
        <v>9572</v>
      </c>
      <c r="AG8913" s="831" t="s">
        <v>132</v>
      </c>
      <c r="AH8913" s="831" t="s">
        <v>155</v>
      </c>
      <c r="AI8913" s="831">
        <v>0</v>
      </c>
      <c r="AJ8913" s="835">
        <v>41943</v>
      </c>
      <c r="AK8913" s="831">
        <v>0</v>
      </c>
    </row>
    <row r="8914" spans="2:37">
      <c r="B8914" s="834" t="str">
        <f t="shared" si="357"/>
        <v>|||</v>
      </c>
      <c r="H8914" s="835">
        <f t="shared" si="358"/>
        <v>31</v>
      </c>
      <c r="AF8914" s="831" t="s">
        <v>9573</v>
      </c>
      <c r="AG8914" s="831" t="s">
        <v>132</v>
      </c>
      <c r="AH8914" s="831" t="s">
        <v>158</v>
      </c>
      <c r="AI8914" s="831">
        <v>0</v>
      </c>
      <c r="AJ8914" s="835">
        <v>41943</v>
      </c>
      <c r="AK8914" s="831">
        <v>0</v>
      </c>
    </row>
    <row r="8915" spans="2:37">
      <c r="B8915" s="834" t="str">
        <f t="shared" si="357"/>
        <v>|||</v>
      </c>
      <c r="H8915" s="835">
        <f t="shared" si="358"/>
        <v>31</v>
      </c>
      <c r="AF8915" s="831" t="s">
        <v>9574</v>
      </c>
      <c r="AG8915" s="831" t="s">
        <v>132</v>
      </c>
      <c r="AH8915" s="831" t="s">
        <v>160</v>
      </c>
      <c r="AI8915" s="831">
        <v>0</v>
      </c>
      <c r="AJ8915" s="835">
        <v>41943</v>
      </c>
      <c r="AK8915" s="831">
        <v>728971</v>
      </c>
    </row>
    <row r="8916" spans="2:37">
      <c r="B8916" s="834" t="str">
        <f t="shared" si="357"/>
        <v>|||</v>
      </c>
      <c r="H8916" s="835">
        <f t="shared" si="358"/>
        <v>31</v>
      </c>
      <c r="AF8916" s="831" t="s">
        <v>9575</v>
      </c>
      <c r="AG8916" s="831" t="s">
        <v>132</v>
      </c>
      <c r="AH8916" s="831" t="s">
        <v>161</v>
      </c>
      <c r="AI8916" s="831">
        <v>0</v>
      </c>
      <c r="AJ8916" s="835">
        <v>41943</v>
      </c>
      <c r="AK8916" s="831">
        <v>95876</v>
      </c>
    </row>
    <row r="8917" spans="2:37">
      <c r="B8917" s="834" t="str">
        <f t="shared" si="357"/>
        <v>|||</v>
      </c>
      <c r="H8917" s="835">
        <f t="shared" si="358"/>
        <v>31</v>
      </c>
      <c r="AF8917" s="831" t="s">
        <v>9576</v>
      </c>
      <c r="AG8917" s="831" t="s">
        <v>132</v>
      </c>
      <c r="AH8917" s="831" t="s">
        <v>170</v>
      </c>
      <c r="AI8917" s="831">
        <v>0</v>
      </c>
      <c r="AJ8917" s="835">
        <v>41943</v>
      </c>
      <c r="AK8917" s="831">
        <v>4346619.6900000004</v>
      </c>
    </row>
    <row r="8918" spans="2:37">
      <c r="B8918" s="834" t="str">
        <f t="shared" si="357"/>
        <v>|||</v>
      </c>
      <c r="H8918" s="835">
        <f t="shared" si="358"/>
        <v>31</v>
      </c>
      <c r="AF8918" s="831" t="s">
        <v>9577</v>
      </c>
      <c r="AG8918" s="831" t="s">
        <v>132</v>
      </c>
      <c r="AH8918" s="831" t="s">
        <v>173</v>
      </c>
      <c r="AI8918" s="831">
        <v>0</v>
      </c>
      <c r="AJ8918" s="835">
        <v>41943</v>
      </c>
      <c r="AK8918" s="831">
        <v>107508.36</v>
      </c>
    </row>
    <row r="8919" spans="2:37">
      <c r="B8919" s="834" t="str">
        <f t="shared" si="357"/>
        <v>|||</v>
      </c>
      <c r="H8919" s="835">
        <f t="shared" si="358"/>
        <v>31</v>
      </c>
      <c r="AF8919" s="831" t="s">
        <v>9578</v>
      </c>
      <c r="AG8919" s="831" t="s">
        <v>132</v>
      </c>
      <c r="AH8919" s="831" t="s">
        <v>78</v>
      </c>
      <c r="AI8919" s="831">
        <v>0</v>
      </c>
      <c r="AJ8919" s="835">
        <v>41943</v>
      </c>
      <c r="AK8919" s="831">
        <v>424641.99</v>
      </c>
    </row>
    <row r="8920" spans="2:37">
      <c r="B8920" s="834" t="str">
        <f t="shared" si="357"/>
        <v>|||</v>
      </c>
      <c r="H8920" s="835">
        <f t="shared" si="358"/>
        <v>31</v>
      </c>
      <c r="AF8920" s="831" t="s">
        <v>9579</v>
      </c>
      <c r="AG8920" s="831" t="s">
        <v>132</v>
      </c>
      <c r="AH8920" s="831" t="s">
        <v>183</v>
      </c>
      <c r="AI8920" s="831">
        <v>0</v>
      </c>
      <c r="AJ8920" s="835">
        <v>41943</v>
      </c>
      <c r="AK8920" s="831">
        <v>1630394</v>
      </c>
    </row>
    <row r="8921" spans="2:37">
      <c r="B8921" s="834" t="str">
        <f t="shared" si="357"/>
        <v>|||</v>
      </c>
      <c r="H8921" s="835">
        <f t="shared" si="358"/>
        <v>31</v>
      </c>
      <c r="AF8921" s="831" t="s">
        <v>9580</v>
      </c>
      <c r="AG8921" s="831" t="s">
        <v>132</v>
      </c>
      <c r="AH8921" s="831" t="s">
        <v>186</v>
      </c>
      <c r="AI8921" s="831">
        <v>0</v>
      </c>
      <c r="AJ8921" s="835">
        <v>41943</v>
      </c>
      <c r="AK8921" s="831">
        <v>0</v>
      </c>
    </row>
    <row r="8922" spans="2:37">
      <c r="B8922" s="834" t="str">
        <f t="shared" si="357"/>
        <v>|||</v>
      </c>
      <c r="H8922" s="835">
        <f t="shared" si="358"/>
        <v>31</v>
      </c>
      <c r="AF8922" s="831" t="s">
        <v>9581</v>
      </c>
      <c r="AG8922" s="831" t="s">
        <v>132</v>
      </c>
      <c r="AH8922" s="831" t="s">
        <v>189</v>
      </c>
      <c r="AI8922" s="831">
        <v>0</v>
      </c>
      <c r="AJ8922" s="835">
        <v>41943</v>
      </c>
      <c r="AK8922" s="831">
        <v>0</v>
      </c>
    </row>
    <row r="8923" spans="2:37">
      <c r="B8923" s="834" t="str">
        <f t="shared" si="357"/>
        <v>|||</v>
      </c>
      <c r="H8923" s="835">
        <f t="shared" si="358"/>
        <v>31</v>
      </c>
      <c r="AF8923" s="831" t="s">
        <v>9582</v>
      </c>
      <c r="AG8923" s="831" t="s">
        <v>132</v>
      </c>
      <c r="AH8923" s="831" t="s">
        <v>68</v>
      </c>
      <c r="AI8923" s="831">
        <v>0</v>
      </c>
      <c r="AJ8923" s="835">
        <v>41973</v>
      </c>
      <c r="AK8923" s="831">
        <v>790407558</v>
      </c>
    </row>
    <row r="8924" spans="2:37">
      <c r="B8924" s="834" t="str">
        <f t="shared" si="357"/>
        <v>|||</v>
      </c>
      <c r="H8924" s="835">
        <f t="shared" si="358"/>
        <v>31</v>
      </c>
      <c r="AF8924" s="831" t="s">
        <v>9583</v>
      </c>
      <c r="AG8924" s="831" t="s">
        <v>132</v>
      </c>
      <c r="AH8924" s="831" t="s">
        <v>73</v>
      </c>
      <c r="AI8924" s="831">
        <v>0</v>
      </c>
      <c r="AJ8924" s="835">
        <v>41973</v>
      </c>
      <c r="AK8924" s="831">
        <v>1974721</v>
      </c>
    </row>
    <row r="8925" spans="2:37">
      <c r="B8925" s="834" t="str">
        <f t="shared" si="357"/>
        <v>|||</v>
      </c>
      <c r="H8925" s="835">
        <f t="shared" si="358"/>
        <v>31</v>
      </c>
      <c r="AF8925" s="831" t="s">
        <v>9584</v>
      </c>
      <c r="AG8925" s="831" t="s">
        <v>132</v>
      </c>
      <c r="AH8925" s="831" t="s">
        <v>147</v>
      </c>
      <c r="AI8925" s="831">
        <v>0</v>
      </c>
      <c r="AJ8925" s="835">
        <v>41973</v>
      </c>
      <c r="AK8925" s="831">
        <v>635496</v>
      </c>
    </row>
    <row r="8926" spans="2:37">
      <c r="B8926" s="834" t="str">
        <f t="shared" si="357"/>
        <v>|||</v>
      </c>
      <c r="H8926" s="835">
        <f t="shared" si="358"/>
        <v>31</v>
      </c>
      <c r="AF8926" s="831" t="s">
        <v>9585</v>
      </c>
      <c r="AG8926" s="831" t="s">
        <v>132</v>
      </c>
      <c r="AH8926" s="831" t="s">
        <v>151</v>
      </c>
      <c r="AI8926" s="831">
        <v>0</v>
      </c>
      <c r="AJ8926" s="835">
        <v>41973</v>
      </c>
      <c r="AK8926" s="831">
        <v>3001495</v>
      </c>
    </row>
    <row r="8927" spans="2:37">
      <c r="B8927" s="834" t="str">
        <f t="shared" si="357"/>
        <v>|||</v>
      </c>
      <c r="H8927" s="835">
        <f t="shared" si="358"/>
        <v>31</v>
      </c>
      <c r="AF8927" s="831" t="s">
        <v>9586</v>
      </c>
      <c r="AG8927" s="831" t="s">
        <v>132</v>
      </c>
      <c r="AH8927" s="831" t="s">
        <v>155</v>
      </c>
      <c r="AI8927" s="831">
        <v>0</v>
      </c>
      <c r="AJ8927" s="835">
        <v>41973</v>
      </c>
      <c r="AK8927" s="831">
        <v>0</v>
      </c>
    </row>
    <row r="8928" spans="2:37">
      <c r="B8928" s="834" t="str">
        <f t="shared" si="357"/>
        <v>|||</v>
      </c>
      <c r="H8928" s="835">
        <f t="shared" si="358"/>
        <v>31</v>
      </c>
      <c r="AF8928" s="831" t="s">
        <v>9587</v>
      </c>
      <c r="AG8928" s="831" t="s">
        <v>132</v>
      </c>
      <c r="AH8928" s="831" t="s">
        <v>158</v>
      </c>
      <c r="AI8928" s="831">
        <v>0</v>
      </c>
      <c r="AJ8928" s="835">
        <v>41973</v>
      </c>
      <c r="AK8928" s="831">
        <v>0</v>
      </c>
    </row>
    <row r="8929" spans="2:37">
      <c r="B8929" s="834" t="str">
        <f t="shared" si="357"/>
        <v>|||</v>
      </c>
      <c r="H8929" s="835">
        <f t="shared" si="358"/>
        <v>31</v>
      </c>
      <c r="AF8929" s="831" t="s">
        <v>9588</v>
      </c>
      <c r="AG8929" s="831" t="s">
        <v>132</v>
      </c>
      <c r="AH8929" s="831" t="s">
        <v>160</v>
      </c>
      <c r="AI8929" s="831">
        <v>0</v>
      </c>
      <c r="AJ8929" s="835">
        <v>41973</v>
      </c>
      <c r="AK8929" s="831">
        <v>781991.32</v>
      </c>
    </row>
    <row r="8930" spans="2:37">
      <c r="B8930" s="834" t="str">
        <f t="shared" si="357"/>
        <v>|||</v>
      </c>
      <c r="H8930" s="835">
        <f t="shared" si="358"/>
        <v>31</v>
      </c>
      <c r="AF8930" s="831" t="s">
        <v>9589</v>
      </c>
      <c r="AG8930" s="831" t="s">
        <v>132</v>
      </c>
      <c r="AH8930" s="831" t="s">
        <v>161</v>
      </c>
      <c r="AI8930" s="831">
        <v>0</v>
      </c>
      <c r="AJ8930" s="835">
        <v>41973</v>
      </c>
      <c r="AK8930" s="831">
        <v>137703.07</v>
      </c>
    </row>
    <row r="8931" spans="2:37">
      <c r="B8931" s="834" t="str">
        <f t="shared" si="357"/>
        <v>|||</v>
      </c>
      <c r="H8931" s="835">
        <f t="shared" si="358"/>
        <v>31</v>
      </c>
      <c r="AF8931" s="831" t="s">
        <v>9590</v>
      </c>
      <c r="AG8931" s="831" t="s">
        <v>132</v>
      </c>
      <c r="AH8931" s="831" t="s">
        <v>170</v>
      </c>
      <c r="AI8931" s="831">
        <v>0</v>
      </c>
      <c r="AJ8931" s="835">
        <v>41973</v>
      </c>
      <c r="AK8931" s="831">
        <v>4375583</v>
      </c>
    </row>
    <row r="8932" spans="2:37">
      <c r="B8932" s="834" t="str">
        <f t="shared" si="357"/>
        <v>|||</v>
      </c>
      <c r="H8932" s="835">
        <f t="shared" si="358"/>
        <v>31</v>
      </c>
      <c r="AF8932" s="831" t="s">
        <v>9591</v>
      </c>
      <c r="AG8932" s="831" t="s">
        <v>132</v>
      </c>
      <c r="AH8932" s="831" t="s">
        <v>173</v>
      </c>
      <c r="AI8932" s="831">
        <v>0</v>
      </c>
      <c r="AJ8932" s="835">
        <v>41973</v>
      </c>
      <c r="AK8932" s="831">
        <v>137498.75</v>
      </c>
    </row>
    <row r="8933" spans="2:37">
      <c r="B8933" s="834" t="str">
        <f t="shared" si="357"/>
        <v>|||</v>
      </c>
      <c r="H8933" s="835">
        <f t="shared" si="358"/>
        <v>31</v>
      </c>
      <c r="AF8933" s="831" t="s">
        <v>9592</v>
      </c>
      <c r="AG8933" s="831" t="s">
        <v>132</v>
      </c>
      <c r="AH8933" s="831" t="s">
        <v>78</v>
      </c>
      <c r="AI8933" s="831">
        <v>0</v>
      </c>
      <c r="AJ8933" s="835">
        <v>41973</v>
      </c>
      <c r="AK8933" s="831">
        <v>469521</v>
      </c>
    </row>
    <row r="8934" spans="2:37">
      <c r="B8934" s="834" t="str">
        <f t="shared" si="357"/>
        <v>|||</v>
      </c>
      <c r="H8934" s="835">
        <f t="shared" si="358"/>
        <v>31</v>
      </c>
      <c r="AF8934" s="831" t="s">
        <v>9593</v>
      </c>
      <c r="AG8934" s="831" t="s">
        <v>132</v>
      </c>
      <c r="AH8934" s="831" t="s">
        <v>183</v>
      </c>
      <c r="AI8934" s="831">
        <v>0</v>
      </c>
      <c r="AJ8934" s="835">
        <v>41973</v>
      </c>
      <c r="AK8934" s="831">
        <v>1630394</v>
      </c>
    </row>
    <row r="8935" spans="2:37">
      <c r="B8935" s="834" t="str">
        <f t="shared" si="357"/>
        <v>|||</v>
      </c>
      <c r="H8935" s="835">
        <f t="shared" si="358"/>
        <v>31</v>
      </c>
      <c r="AF8935" s="831" t="s">
        <v>9594</v>
      </c>
      <c r="AG8935" s="831" t="s">
        <v>132</v>
      </c>
      <c r="AH8935" s="831" t="s">
        <v>186</v>
      </c>
      <c r="AI8935" s="831">
        <v>0</v>
      </c>
      <c r="AJ8935" s="835">
        <v>41973</v>
      </c>
      <c r="AK8935" s="831">
        <v>0</v>
      </c>
    </row>
    <row r="8936" spans="2:37">
      <c r="B8936" s="834" t="str">
        <f t="shared" si="357"/>
        <v>|||</v>
      </c>
      <c r="H8936" s="835">
        <f t="shared" si="358"/>
        <v>31</v>
      </c>
      <c r="AF8936" s="831" t="s">
        <v>9595</v>
      </c>
      <c r="AG8936" s="831" t="s">
        <v>132</v>
      </c>
      <c r="AH8936" s="831" t="s">
        <v>189</v>
      </c>
      <c r="AI8936" s="831">
        <v>0</v>
      </c>
      <c r="AJ8936" s="835">
        <v>41973</v>
      </c>
      <c r="AK8936" s="831">
        <v>0</v>
      </c>
    </row>
    <row r="8937" spans="2:37">
      <c r="B8937" s="834" t="str">
        <f t="shared" si="357"/>
        <v>|||</v>
      </c>
      <c r="H8937" s="835">
        <f t="shared" si="358"/>
        <v>31</v>
      </c>
      <c r="AF8937" s="831" t="s">
        <v>9596</v>
      </c>
      <c r="AG8937" s="831" t="s">
        <v>132</v>
      </c>
      <c r="AH8937" s="831" t="s">
        <v>68</v>
      </c>
      <c r="AI8937" s="831">
        <v>0</v>
      </c>
      <c r="AJ8937" s="835">
        <v>42004</v>
      </c>
      <c r="AK8937" s="831">
        <v>809578142</v>
      </c>
    </row>
    <row r="8938" spans="2:37">
      <c r="B8938" s="834" t="str">
        <f t="shared" si="357"/>
        <v>|||</v>
      </c>
      <c r="H8938" s="835">
        <f t="shared" si="358"/>
        <v>31</v>
      </c>
      <c r="AF8938" s="831" t="s">
        <v>9597</v>
      </c>
      <c r="AG8938" s="831" t="s">
        <v>132</v>
      </c>
      <c r="AH8938" s="831" t="s">
        <v>73</v>
      </c>
      <c r="AI8938" s="831">
        <v>0</v>
      </c>
      <c r="AJ8938" s="835">
        <v>42004</v>
      </c>
      <c r="AK8938" s="831">
        <v>1106711</v>
      </c>
    </row>
    <row r="8939" spans="2:37">
      <c r="B8939" s="834" t="str">
        <f t="shared" si="357"/>
        <v>|||</v>
      </c>
      <c r="H8939" s="835">
        <f t="shared" si="358"/>
        <v>31</v>
      </c>
      <c r="AF8939" s="831" t="s">
        <v>9598</v>
      </c>
      <c r="AG8939" s="831" t="s">
        <v>132</v>
      </c>
      <c r="AH8939" s="831" t="s">
        <v>147</v>
      </c>
      <c r="AI8939" s="831">
        <v>0</v>
      </c>
      <c r="AJ8939" s="835">
        <v>42004</v>
      </c>
      <c r="AK8939" s="831">
        <v>505203</v>
      </c>
    </row>
    <row r="8940" spans="2:37">
      <c r="B8940" s="834" t="str">
        <f t="shared" si="357"/>
        <v>|||</v>
      </c>
      <c r="H8940" s="835">
        <f t="shared" si="358"/>
        <v>31</v>
      </c>
      <c r="AF8940" s="831" t="s">
        <v>9599</v>
      </c>
      <c r="AG8940" s="831" t="s">
        <v>132</v>
      </c>
      <c r="AH8940" s="831" t="s">
        <v>151</v>
      </c>
      <c r="AI8940" s="831">
        <v>0</v>
      </c>
      <c r="AJ8940" s="835">
        <v>42004</v>
      </c>
      <c r="AK8940" s="831">
        <v>501358</v>
      </c>
    </row>
    <row r="8941" spans="2:37">
      <c r="B8941" s="834" t="str">
        <f t="shared" si="357"/>
        <v>|||</v>
      </c>
      <c r="H8941" s="835">
        <f t="shared" si="358"/>
        <v>31</v>
      </c>
      <c r="AF8941" s="831" t="s">
        <v>9600</v>
      </c>
      <c r="AG8941" s="831" t="s">
        <v>132</v>
      </c>
      <c r="AH8941" s="831" t="s">
        <v>155</v>
      </c>
      <c r="AI8941" s="831">
        <v>0</v>
      </c>
      <c r="AJ8941" s="835">
        <v>42004</v>
      </c>
      <c r="AK8941" s="831">
        <v>0</v>
      </c>
    </row>
    <row r="8942" spans="2:37">
      <c r="B8942" s="834" t="str">
        <f t="shared" si="357"/>
        <v>|||</v>
      </c>
      <c r="H8942" s="835">
        <f t="shared" si="358"/>
        <v>31</v>
      </c>
      <c r="AF8942" s="831" t="s">
        <v>9601</v>
      </c>
      <c r="AG8942" s="831" t="s">
        <v>132</v>
      </c>
      <c r="AH8942" s="831" t="s">
        <v>158</v>
      </c>
      <c r="AI8942" s="831">
        <v>0</v>
      </c>
      <c r="AJ8942" s="835">
        <v>42004</v>
      </c>
      <c r="AK8942" s="831">
        <v>0</v>
      </c>
    </row>
    <row r="8943" spans="2:37">
      <c r="B8943" s="834" t="str">
        <f t="shared" si="357"/>
        <v>|||</v>
      </c>
      <c r="H8943" s="835">
        <f t="shared" si="358"/>
        <v>31</v>
      </c>
      <c r="AF8943" s="831" t="s">
        <v>9602</v>
      </c>
      <c r="AG8943" s="831" t="s">
        <v>132</v>
      </c>
      <c r="AH8943" s="831" t="s">
        <v>160</v>
      </c>
      <c r="AI8943" s="831">
        <v>0</v>
      </c>
      <c r="AJ8943" s="835">
        <v>42004</v>
      </c>
      <c r="AK8943" s="831">
        <v>1064623</v>
      </c>
    </row>
    <row r="8944" spans="2:37">
      <c r="B8944" s="834" t="str">
        <f t="shared" si="357"/>
        <v>|||</v>
      </c>
      <c r="H8944" s="835">
        <f t="shared" si="358"/>
        <v>31</v>
      </c>
      <c r="AF8944" s="831" t="s">
        <v>9603</v>
      </c>
      <c r="AG8944" s="831" t="s">
        <v>132</v>
      </c>
      <c r="AH8944" s="831" t="s">
        <v>161</v>
      </c>
      <c r="AI8944" s="831">
        <v>0</v>
      </c>
      <c r="AJ8944" s="835">
        <v>42004</v>
      </c>
      <c r="AK8944" s="831">
        <v>148206</v>
      </c>
    </row>
    <row r="8945" spans="2:37">
      <c r="B8945" s="834" t="str">
        <f t="shared" si="357"/>
        <v>|||</v>
      </c>
      <c r="H8945" s="835">
        <f t="shared" si="358"/>
        <v>31</v>
      </c>
      <c r="AF8945" s="831" t="s">
        <v>9604</v>
      </c>
      <c r="AG8945" s="831" t="s">
        <v>132</v>
      </c>
      <c r="AH8945" s="831" t="s">
        <v>170</v>
      </c>
      <c r="AI8945" s="831">
        <v>0</v>
      </c>
      <c r="AJ8945" s="835">
        <v>42004</v>
      </c>
      <c r="AK8945" s="831">
        <v>4294699</v>
      </c>
    </row>
    <row r="8946" spans="2:37">
      <c r="B8946" s="834" t="str">
        <f t="shared" si="357"/>
        <v>|||</v>
      </c>
      <c r="H8946" s="835">
        <f t="shared" si="358"/>
        <v>31</v>
      </c>
      <c r="AF8946" s="831" t="s">
        <v>9605</v>
      </c>
      <c r="AG8946" s="831" t="s">
        <v>132</v>
      </c>
      <c r="AH8946" s="831" t="s">
        <v>173</v>
      </c>
      <c r="AI8946" s="831">
        <v>0</v>
      </c>
      <c r="AJ8946" s="835">
        <v>42004</v>
      </c>
      <c r="AK8946" s="831">
        <v>136867</v>
      </c>
    </row>
    <row r="8947" spans="2:37">
      <c r="B8947" s="834" t="str">
        <f t="shared" si="357"/>
        <v>|||</v>
      </c>
      <c r="H8947" s="835">
        <f t="shared" si="358"/>
        <v>31</v>
      </c>
      <c r="AF8947" s="831" t="s">
        <v>9606</v>
      </c>
      <c r="AG8947" s="831" t="s">
        <v>132</v>
      </c>
      <c r="AH8947" s="831" t="s">
        <v>78</v>
      </c>
      <c r="AI8947" s="831">
        <v>0</v>
      </c>
      <c r="AJ8947" s="835">
        <v>42004</v>
      </c>
      <c r="AK8947" s="831">
        <v>542505</v>
      </c>
    </row>
    <row r="8948" spans="2:37">
      <c r="B8948" s="834" t="str">
        <f t="shared" si="357"/>
        <v>|||</v>
      </c>
      <c r="H8948" s="835">
        <f t="shared" si="358"/>
        <v>31</v>
      </c>
      <c r="AF8948" s="831" t="s">
        <v>9607</v>
      </c>
      <c r="AG8948" s="831" t="s">
        <v>132</v>
      </c>
      <c r="AH8948" s="831" t="s">
        <v>183</v>
      </c>
      <c r="AI8948" s="831">
        <v>0</v>
      </c>
      <c r="AJ8948" s="835">
        <v>42004</v>
      </c>
      <c r="AK8948" s="831">
        <v>1630394</v>
      </c>
    </row>
    <row r="8949" spans="2:37">
      <c r="B8949" s="834" t="str">
        <f t="shared" si="357"/>
        <v>|||</v>
      </c>
      <c r="H8949" s="835">
        <f t="shared" si="358"/>
        <v>31</v>
      </c>
      <c r="AF8949" s="831" t="s">
        <v>9608</v>
      </c>
      <c r="AG8949" s="831" t="s">
        <v>132</v>
      </c>
      <c r="AH8949" s="831" t="s">
        <v>186</v>
      </c>
      <c r="AI8949" s="831">
        <v>0</v>
      </c>
      <c r="AJ8949" s="835">
        <v>42004</v>
      </c>
      <c r="AK8949" s="831">
        <v>0</v>
      </c>
    </row>
    <row r="8950" spans="2:37">
      <c r="B8950" s="834" t="str">
        <f t="shared" si="357"/>
        <v>|||</v>
      </c>
      <c r="H8950" s="835">
        <f t="shared" si="358"/>
        <v>31</v>
      </c>
      <c r="AF8950" s="831" t="s">
        <v>9609</v>
      </c>
      <c r="AG8950" s="831" t="s">
        <v>132</v>
      </c>
      <c r="AH8950" s="831" t="s">
        <v>189</v>
      </c>
      <c r="AI8950" s="831">
        <v>0</v>
      </c>
      <c r="AJ8950" s="835">
        <v>42004</v>
      </c>
      <c r="AK8950" s="831">
        <v>0</v>
      </c>
    </row>
    <row r="8951" spans="2:37">
      <c r="B8951" s="834" t="str">
        <f t="shared" si="357"/>
        <v>|||</v>
      </c>
      <c r="H8951" s="835">
        <f t="shared" si="358"/>
        <v>31</v>
      </c>
      <c r="AF8951" s="831" t="s">
        <v>9610</v>
      </c>
      <c r="AG8951" s="831" t="s">
        <v>133</v>
      </c>
      <c r="AH8951" s="831" t="s">
        <v>139</v>
      </c>
      <c r="AI8951" s="831">
        <v>0</v>
      </c>
      <c r="AJ8951" s="835">
        <v>41670</v>
      </c>
      <c r="AK8951" s="831">
        <v>176245</v>
      </c>
    </row>
    <row r="8952" spans="2:37">
      <c r="B8952" s="834" t="str">
        <f t="shared" si="357"/>
        <v>|||</v>
      </c>
      <c r="H8952" s="835">
        <f t="shared" si="358"/>
        <v>31</v>
      </c>
      <c r="AF8952" s="831" t="s">
        <v>9611</v>
      </c>
      <c r="AG8952" s="831" t="s">
        <v>133</v>
      </c>
      <c r="AH8952" s="831" t="s">
        <v>11</v>
      </c>
      <c r="AI8952" s="831">
        <v>0</v>
      </c>
      <c r="AJ8952" s="835">
        <v>41670</v>
      </c>
      <c r="AK8952" s="831">
        <v>149103</v>
      </c>
    </row>
    <row r="8953" spans="2:37">
      <c r="B8953" s="834" t="str">
        <f t="shared" si="357"/>
        <v>|||</v>
      </c>
      <c r="H8953" s="835">
        <f t="shared" si="358"/>
        <v>31</v>
      </c>
      <c r="AF8953" s="831" t="s">
        <v>9612</v>
      </c>
      <c r="AG8953" s="831" t="s">
        <v>133</v>
      </c>
      <c r="AH8953" s="831" t="s">
        <v>144</v>
      </c>
      <c r="AI8953" s="831">
        <v>0</v>
      </c>
      <c r="AJ8953" s="835">
        <v>41670</v>
      </c>
      <c r="AK8953" s="831">
        <v>162799</v>
      </c>
    </row>
    <row r="8954" spans="2:37">
      <c r="B8954" s="834" t="str">
        <f t="shared" si="357"/>
        <v>|||</v>
      </c>
      <c r="H8954" s="835">
        <f t="shared" si="358"/>
        <v>31</v>
      </c>
      <c r="AF8954" s="831" t="s">
        <v>9613</v>
      </c>
      <c r="AG8954" s="831" t="s">
        <v>133</v>
      </c>
      <c r="AH8954" s="831" t="s">
        <v>148</v>
      </c>
      <c r="AI8954" s="831">
        <v>0</v>
      </c>
      <c r="AJ8954" s="835">
        <v>41670</v>
      </c>
      <c r="AK8954" s="831">
        <v>41</v>
      </c>
    </row>
    <row r="8955" spans="2:37">
      <c r="B8955" s="834" t="str">
        <f t="shared" si="357"/>
        <v>|||</v>
      </c>
      <c r="H8955" s="835">
        <f t="shared" si="358"/>
        <v>31</v>
      </c>
      <c r="AF8955" s="831" t="s">
        <v>9614</v>
      </c>
      <c r="AG8955" s="831" t="s">
        <v>133</v>
      </c>
      <c r="AH8955" s="831" t="s">
        <v>152</v>
      </c>
      <c r="AI8955" s="831">
        <v>0</v>
      </c>
      <c r="AJ8955" s="835">
        <v>41670</v>
      </c>
      <c r="AK8955" s="831">
        <v>1888</v>
      </c>
    </row>
    <row r="8956" spans="2:37">
      <c r="B8956" s="834" t="str">
        <f t="shared" si="357"/>
        <v>|||</v>
      </c>
      <c r="H8956" s="835">
        <f t="shared" si="358"/>
        <v>31</v>
      </c>
      <c r="AF8956" s="831" t="s">
        <v>9615</v>
      </c>
      <c r="AG8956" s="831" t="s">
        <v>133</v>
      </c>
      <c r="AH8956" s="831" t="s">
        <v>12</v>
      </c>
      <c r="AI8956" s="831">
        <v>0</v>
      </c>
      <c r="AJ8956" s="835">
        <v>41670</v>
      </c>
      <c r="AK8956" s="831">
        <v>601</v>
      </c>
    </row>
    <row r="8957" spans="2:37">
      <c r="B8957" s="834" t="str">
        <f t="shared" si="357"/>
        <v>|||</v>
      </c>
      <c r="H8957" s="835">
        <f t="shared" si="358"/>
        <v>31</v>
      </c>
      <c r="AF8957" s="831" t="s">
        <v>9616</v>
      </c>
      <c r="AG8957" s="831" t="s">
        <v>133</v>
      </c>
      <c r="AH8957" s="831" t="s">
        <v>139</v>
      </c>
      <c r="AI8957" s="831">
        <v>0</v>
      </c>
      <c r="AJ8957" s="835">
        <v>41698</v>
      </c>
      <c r="AK8957" s="831">
        <v>186471</v>
      </c>
    </row>
    <row r="8958" spans="2:37">
      <c r="B8958" s="834" t="str">
        <f t="shared" si="357"/>
        <v>|||</v>
      </c>
      <c r="H8958" s="835">
        <f t="shared" si="358"/>
        <v>31</v>
      </c>
      <c r="AF8958" s="831" t="s">
        <v>9617</v>
      </c>
      <c r="AG8958" s="831" t="s">
        <v>133</v>
      </c>
      <c r="AH8958" s="831" t="s">
        <v>11</v>
      </c>
      <c r="AI8958" s="831">
        <v>0</v>
      </c>
      <c r="AJ8958" s="835">
        <v>41698</v>
      </c>
      <c r="AK8958" s="831">
        <v>150328</v>
      </c>
    </row>
    <row r="8959" spans="2:37">
      <c r="B8959" s="834" t="str">
        <f t="shared" si="357"/>
        <v>|||</v>
      </c>
      <c r="H8959" s="835">
        <f t="shared" si="358"/>
        <v>31</v>
      </c>
      <c r="AF8959" s="831" t="s">
        <v>9618</v>
      </c>
      <c r="AG8959" s="831" t="s">
        <v>133</v>
      </c>
      <c r="AH8959" s="831" t="s">
        <v>144</v>
      </c>
      <c r="AI8959" s="831">
        <v>0</v>
      </c>
      <c r="AJ8959" s="835">
        <v>41698</v>
      </c>
      <c r="AK8959" s="831">
        <v>165052</v>
      </c>
    </row>
    <row r="8960" spans="2:37">
      <c r="B8960" s="834" t="str">
        <f t="shared" si="357"/>
        <v>|||</v>
      </c>
      <c r="H8960" s="835">
        <f t="shared" si="358"/>
        <v>31</v>
      </c>
      <c r="AF8960" s="831" t="s">
        <v>9619</v>
      </c>
      <c r="AG8960" s="831" t="s">
        <v>133</v>
      </c>
      <c r="AH8960" s="831" t="s">
        <v>148</v>
      </c>
      <c r="AI8960" s="831">
        <v>0</v>
      </c>
      <c r="AJ8960" s="835">
        <v>41698</v>
      </c>
      <c r="AK8960" s="831">
        <v>42</v>
      </c>
    </row>
    <row r="8961" spans="2:37">
      <c r="B8961" s="834" t="str">
        <f t="shared" si="357"/>
        <v>|||</v>
      </c>
      <c r="H8961" s="835">
        <f t="shared" si="358"/>
        <v>31</v>
      </c>
      <c r="AF8961" s="831" t="s">
        <v>9620</v>
      </c>
      <c r="AG8961" s="831" t="s">
        <v>133</v>
      </c>
      <c r="AH8961" s="831" t="s">
        <v>152</v>
      </c>
      <c r="AI8961" s="831">
        <v>0</v>
      </c>
      <c r="AJ8961" s="835">
        <v>41698</v>
      </c>
      <c r="AK8961" s="831">
        <v>1911</v>
      </c>
    </row>
    <row r="8962" spans="2:37">
      <c r="B8962" s="834" t="str">
        <f t="shared" si="357"/>
        <v>|||</v>
      </c>
      <c r="H8962" s="835">
        <f t="shared" si="358"/>
        <v>31</v>
      </c>
      <c r="AF8962" s="831" t="s">
        <v>9621</v>
      </c>
      <c r="AG8962" s="831" t="s">
        <v>133</v>
      </c>
      <c r="AH8962" s="831" t="s">
        <v>12</v>
      </c>
      <c r="AI8962" s="831">
        <v>0</v>
      </c>
      <c r="AJ8962" s="835">
        <v>41698</v>
      </c>
      <c r="AK8962" s="831">
        <v>605</v>
      </c>
    </row>
    <row r="8963" spans="2:37">
      <c r="B8963" s="834" t="str">
        <f t="shared" ref="B8963:B9026" si="359">C8963&amp;"|"&amp;D8963&amp;"|"&amp;E8963&amp;"|"&amp;F8963</f>
        <v>|||</v>
      </c>
      <c r="H8963" s="835">
        <f t="shared" si="358"/>
        <v>31</v>
      </c>
      <c r="AF8963" s="831" t="s">
        <v>9622</v>
      </c>
      <c r="AG8963" s="831" t="s">
        <v>133</v>
      </c>
      <c r="AH8963" s="831" t="s">
        <v>139</v>
      </c>
      <c r="AI8963" s="831">
        <v>0</v>
      </c>
      <c r="AJ8963" s="835">
        <v>41729</v>
      </c>
      <c r="AK8963" s="831">
        <v>196247</v>
      </c>
    </row>
    <row r="8964" spans="2:37">
      <c r="B8964" s="834" t="str">
        <f t="shared" si="359"/>
        <v>|||</v>
      </c>
      <c r="H8964" s="835">
        <f t="shared" ref="H8964:H9027" si="360">EOMONTH(L8964,0)</f>
        <v>31</v>
      </c>
      <c r="AF8964" s="831" t="s">
        <v>9623</v>
      </c>
      <c r="AG8964" s="831" t="s">
        <v>133</v>
      </c>
      <c r="AH8964" s="831" t="s">
        <v>11</v>
      </c>
      <c r="AI8964" s="831">
        <v>0</v>
      </c>
      <c r="AJ8964" s="835">
        <v>41729</v>
      </c>
      <c r="AK8964" s="831">
        <v>151606</v>
      </c>
    </row>
    <row r="8965" spans="2:37">
      <c r="B8965" s="834" t="str">
        <f t="shared" si="359"/>
        <v>|||</v>
      </c>
      <c r="H8965" s="835">
        <f t="shared" si="360"/>
        <v>31</v>
      </c>
      <c r="AF8965" s="831" t="s">
        <v>9624</v>
      </c>
      <c r="AG8965" s="831" t="s">
        <v>133</v>
      </c>
      <c r="AH8965" s="831" t="s">
        <v>144</v>
      </c>
      <c r="AI8965" s="831">
        <v>0</v>
      </c>
      <c r="AJ8965" s="835">
        <v>41729</v>
      </c>
      <c r="AK8965" s="831">
        <v>167127</v>
      </c>
    </row>
    <row r="8966" spans="2:37">
      <c r="B8966" s="834" t="str">
        <f t="shared" si="359"/>
        <v>|||</v>
      </c>
      <c r="H8966" s="835">
        <f t="shared" si="360"/>
        <v>31</v>
      </c>
      <c r="AF8966" s="831" t="s">
        <v>9625</v>
      </c>
      <c r="AG8966" s="831" t="s">
        <v>133</v>
      </c>
      <c r="AH8966" s="831" t="s">
        <v>148</v>
      </c>
      <c r="AI8966" s="831">
        <v>0</v>
      </c>
      <c r="AJ8966" s="835">
        <v>41729</v>
      </c>
      <c r="AK8966" s="831">
        <v>43</v>
      </c>
    </row>
    <row r="8967" spans="2:37">
      <c r="B8967" s="834" t="str">
        <f t="shared" si="359"/>
        <v>|||</v>
      </c>
      <c r="H8967" s="835">
        <f t="shared" si="360"/>
        <v>31</v>
      </c>
      <c r="AF8967" s="831" t="s">
        <v>9626</v>
      </c>
      <c r="AG8967" s="831" t="s">
        <v>133</v>
      </c>
      <c r="AH8967" s="831" t="s">
        <v>152</v>
      </c>
      <c r="AI8967" s="831">
        <v>0</v>
      </c>
      <c r="AJ8967" s="835">
        <v>41729</v>
      </c>
      <c r="AK8967" s="831">
        <v>1931</v>
      </c>
    </row>
    <row r="8968" spans="2:37">
      <c r="B8968" s="834" t="str">
        <f t="shared" si="359"/>
        <v>|||</v>
      </c>
      <c r="H8968" s="835">
        <f t="shared" si="360"/>
        <v>31</v>
      </c>
      <c r="AF8968" s="831" t="s">
        <v>9627</v>
      </c>
      <c r="AG8968" s="831" t="s">
        <v>133</v>
      </c>
      <c r="AH8968" s="831" t="s">
        <v>12</v>
      </c>
      <c r="AI8968" s="831">
        <v>0</v>
      </c>
      <c r="AJ8968" s="835">
        <v>41729</v>
      </c>
      <c r="AK8968" s="831">
        <v>611</v>
      </c>
    </row>
    <row r="8969" spans="2:37">
      <c r="B8969" s="834" t="str">
        <f t="shared" si="359"/>
        <v>|||</v>
      </c>
      <c r="H8969" s="835">
        <f t="shared" si="360"/>
        <v>31</v>
      </c>
      <c r="AF8969" s="831" t="s">
        <v>9628</v>
      </c>
      <c r="AG8969" s="831" t="s">
        <v>133</v>
      </c>
      <c r="AH8969" s="831" t="s">
        <v>139</v>
      </c>
      <c r="AI8969" s="831">
        <v>0</v>
      </c>
      <c r="AJ8969" s="835">
        <v>41759</v>
      </c>
      <c r="AK8969" s="831">
        <v>208654</v>
      </c>
    </row>
    <row r="8970" spans="2:37">
      <c r="B8970" s="834" t="str">
        <f t="shared" si="359"/>
        <v>|||</v>
      </c>
      <c r="H8970" s="835">
        <f t="shared" si="360"/>
        <v>31</v>
      </c>
      <c r="AF8970" s="831" t="s">
        <v>9629</v>
      </c>
      <c r="AG8970" s="831" t="s">
        <v>133</v>
      </c>
      <c r="AH8970" s="831" t="s">
        <v>11</v>
      </c>
      <c r="AI8970" s="831">
        <v>0</v>
      </c>
      <c r="AJ8970" s="835">
        <v>41759</v>
      </c>
      <c r="AK8970" s="831">
        <v>154230</v>
      </c>
    </row>
    <row r="8971" spans="2:37">
      <c r="B8971" s="834" t="str">
        <f t="shared" si="359"/>
        <v>|||</v>
      </c>
      <c r="H8971" s="835">
        <f t="shared" si="360"/>
        <v>31</v>
      </c>
      <c r="AF8971" s="831" t="s">
        <v>9630</v>
      </c>
      <c r="AG8971" s="831" t="s">
        <v>133</v>
      </c>
      <c r="AH8971" s="831" t="s">
        <v>144</v>
      </c>
      <c r="AI8971" s="831">
        <v>0</v>
      </c>
      <c r="AJ8971" s="835">
        <v>41759</v>
      </c>
      <c r="AK8971" s="831">
        <v>171119</v>
      </c>
    </row>
    <row r="8972" spans="2:37">
      <c r="B8972" s="834" t="str">
        <f t="shared" si="359"/>
        <v>|||</v>
      </c>
      <c r="H8972" s="835">
        <f t="shared" si="360"/>
        <v>31</v>
      </c>
      <c r="AF8972" s="831" t="s">
        <v>9631</v>
      </c>
      <c r="AG8972" s="831" t="s">
        <v>133</v>
      </c>
      <c r="AH8972" s="831" t="s">
        <v>148</v>
      </c>
      <c r="AI8972" s="831">
        <v>0</v>
      </c>
      <c r="AJ8972" s="835">
        <v>41759</v>
      </c>
      <c r="AK8972" s="831">
        <v>43</v>
      </c>
    </row>
    <row r="8973" spans="2:37">
      <c r="B8973" s="834" t="str">
        <f t="shared" si="359"/>
        <v>|||</v>
      </c>
      <c r="H8973" s="835">
        <f t="shared" si="360"/>
        <v>31</v>
      </c>
      <c r="AF8973" s="831" t="s">
        <v>9632</v>
      </c>
      <c r="AG8973" s="831" t="s">
        <v>133</v>
      </c>
      <c r="AH8973" s="831" t="s">
        <v>152</v>
      </c>
      <c r="AI8973" s="831">
        <v>0</v>
      </c>
      <c r="AJ8973" s="835">
        <v>41759</v>
      </c>
      <c r="AK8973" s="831">
        <v>1957</v>
      </c>
    </row>
    <row r="8974" spans="2:37">
      <c r="B8974" s="834" t="str">
        <f t="shared" si="359"/>
        <v>|||</v>
      </c>
      <c r="H8974" s="835">
        <f t="shared" si="360"/>
        <v>31</v>
      </c>
      <c r="AF8974" s="831" t="s">
        <v>9633</v>
      </c>
      <c r="AG8974" s="831" t="s">
        <v>133</v>
      </c>
      <c r="AH8974" s="831" t="s">
        <v>12</v>
      </c>
      <c r="AI8974" s="831">
        <v>0</v>
      </c>
      <c r="AJ8974" s="835">
        <v>41759</v>
      </c>
      <c r="AK8974" s="831">
        <v>631</v>
      </c>
    </row>
    <row r="8975" spans="2:37">
      <c r="B8975" s="834" t="str">
        <f t="shared" si="359"/>
        <v>|||</v>
      </c>
      <c r="H8975" s="835">
        <f t="shared" si="360"/>
        <v>31</v>
      </c>
      <c r="AF8975" s="831" t="s">
        <v>9634</v>
      </c>
      <c r="AG8975" s="831" t="s">
        <v>133</v>
      </c>
      <c r="AH8975" s="831" t="s">
        <v>139</v>
      </c>
      <c r="AI8975" s="831">
        <v>0</v>
      </c>
      <c r="AJ8975" s="835">
        <v>41790</v>
      </c>
      <c r="AK8975" s="831">
        <v>219893</v>
      </c>
    </row>
    <row r="8976" spans="2:37">
      <c r="B8976" s="834" t="str">
        <f t="shared" si="359"/>
        <v>|||</v>
      </c>
      <c r="H8976" s="835">
        <f t="shared" si="360"/>
        <v>31</v>
      </c>
      <c r="AF8976" s="831" t="s">
        <v>9635</v>
      </c>
      <c r="AG8976" s="831" t="s">
        <v>133</v>
      </c>
      <c r="AH8976" s="831" t="s">
        <v>11</v>
      </c>
      <c r="AI8976" s="831">
        <v>0</v>
      </c>
      <c r="AJ8976" s="835">
        <v>41790</v>
      </c>
      <c r="AK8976" s="831">
        <v>156336</v>
      </c>
    </row>
    <row r="8977" spans="2:37">
      <c r="B8977" s="834" t="str">
        <f t="shared" si="359"/>
        <v>|||</v>
      </c>
      <c r="H8977" s="835">
        <f t="shared" si="360"/>
        <v>31</v>
      </c>
      <c r="AF8977" s="831" t="s">
        <v>9636</v>
      </c>
      <c r="AG8977" s="831" t="s">
        <v>133</v>
      </c>
      <c r="AH8977" s="831" t="s">
        <v>144</v>
      </c>
      <c r="AI8977" s="831">
        <v>0</v>
      </c>
      <c r="AJ8977" s="835">
        <v>41790</v>
      </c>
      <c r="AK8977" s="831">
        <v>174602</v>
      </c>
    </row>
    <row r="8978" spans="2:37">
      <c r="B8978" s="834" t="str">
        <f t="shared" si="359"/>
        <v>|||</v>
      </c>
      <c r="H8978" s="835">
        <f t="shared" si="360"/>
        <v>31</v>
      </c>
      <c r="AF8978" s="831" t="s">
        <v>9637</v>
      </c>
      <c r="AG8978" s="831" t="s">
        <v>133</v>
      </c>
      <c r="AH8978" s="831" t="s">
        <v>148</v>
      </c>
      <c r="AI8978" s="831">
        <v>0</v>
      </c>
      <c r="AJ8978" s="835">
        <v>41790</v>
      </c>
      <c r="AK8978" s="831">
        <v>43</v>
      </c>
    </row>
    <row r="8979" spans="2:37">
      <c r="B8979" s="834" t="str">
        <f t="shared" si="359"/>
        <v>|||</v>
      </c>
      <c r="H8979" s="835">
        <f t="shared" si="360"/>
        <v>31</v>
      </c>
      <c r="AF8979" s="831" t="s">
        <v>9638</v>
      </c>
      <c r="AG8979" s="831" t="s">
        <v>133</v>
      </c>
      <c r="AH8979" s="831" t="s">
        <v>152</v>
      </c>
      <c r="AI8979" s="831">
        <v>0</v>
      </c>
      <c r="AJ8979" s="835">
        <v>41790</v>
      </c>
      <c r="AK8979" s="831">
        <v>1993</v>
      </c>
    </row>
    <row r="8980" spans="2:37">
      <c r="B8980" s="834" t="str">
        <f t="shared" si="359"/>
        <v>|||</v>
      </c>
      <c r="H8980" s="835">
        <f t="shared" si="360"/>
        <v>31</v>
      </c>
      <c r="AF8980" s="831" t="s">
        <v>9639</v>
      </c>
      <c r="AG8980" s="831" t="s">
        <v>133</v>
      </c>
      <c r="AH8980" s="831" t="s">
        <v>12</v>
      </c>
      <c r="AI8980" s="831">
        <v>0</v>
      </c>
      <c r="AJ8980" s="835">
        <v>41790</v>
      </c>
      <c r="AK8980" s="831">
        <v>635</v>
      </c>
    </row>
    <row r="8981" spans="2:37">
      <c r="B8981" s="834" t="str">
        <f t="shared" si="359"/>
        <v>|||</v>
      </c>
      <c r="H8981" s="835">
        <f t="shared" si="360"/>
        <v>31</v>
      </c>
      <c r="AF8981" s="831" t="s">
        <v>9640</v>
      </c>
      <c r="AG8981" s="831" t="s">
        <v>133</v>
      </c>
      <c r="AH8981" s="831" t="s">
        <v>139</v>
      </c>
      <c r="AI8981" s="831">
        <v>0</v>
      </c>
      <c r="AJ8981" s="835">
        <v>41820</v>
      </c>
      <c r="AK8981" s="831">
        <v>228621</v>
      </c>
    </row>
    <row r="8982" spans="2:37">
      <c r="B8982" s="834" t="str">
        <f t="shared" si="359"/>
        <v>|||</v>
      </c>
      <c r="H8982" s="835">
        <f t="shared" si="360"/>
        <v>31</v>
      </c>
      <c r="AF8982" s="831" t="s">
        <v>9641</v>
      </c>
      <c r="AG8982" s="831" t="s">
        <v>133</v>
      </c>
      <c r="AH8982" s="831" t="s">
        <v>11</v>
      </c>
      <c r="AI8982" s="831">
        <v>0</v>
      </c>
      <c r="AJ8982" s="835">
        <v>41820</v>
      </c>
      <c r="AK8982" s="831">
        <v>156581</v>
      </c>
    </row>
    <row r="8983" spans="2:37">
      <c r="B8983" s="834" t="str">
        <f t="shared" si="359"/>
        <v>|||</v>
      </c>
      <c r="H8983" s="835">
        <f t="shared" si="360"/>
        <v>31</v>
      </c>
      <c r="AF8983" s="831" t="s">
        <v>9642</v>
      </c>
      <c r="AG8983" s="831" t="s">
        <v>133</v>
      </c>
      <c r="AH8983" s="831" t="s">
        <v>144</v>
      </c>
      <c r="AI8983" s="831">
        <v>0</v>
      </c>
      <c r="AJ8983" s="835">
        <v>41820</v>
      </c>
      <c r="AK8983" s="831">
        <v>175816</v>
      </c>
    </row>
    <row r="8984" spans="2:37">
      <c r="B8984" s="834" t="str">
        <f t="shared" si="359"/>
        <v>|||</v>
      </c>
      <c r="H8984" s="835">
        <f t="shared" si="360"/>
        <v>31</v>
      </c>
      <c r="AF8984" s="831" t="s">
        <v>9643</v>
      </c>
      <c r="AG8984" s="831" t="s">
        <v>133</v>
      </c>
      <c r="AH8984" s="831" t="s">
        <v>148</v>
      </c>
      <c r="AI8984" s="831">
        <v>0</v>
      </c>
      <c r="AJ8984" s="835">
        <v>41820</v>
      </c>
      <c r="AK8984" s="831">
        <v>43</v>
      </c>
    </row>
    <row r="8985" spans="2:37">
      <c r="B8985" s="834" t="str">
        <f t="shared" si="359"/>
        <v>|||</v>
      </c>
      <c r="H8985" s="835">
        <f t="shared" si="360"/>
        <v>31</v>
      </c>
      <c r="AF8985" s="831" t="s">
        <v>9644</v>
      </c>
      <c r="AG8985" s="831" t="s">
        <v>133</v>
      </c>
      <c r="AH8985" s="831" t="s">
        <v>152</v>
      </c>
      <c r="AI8985" s="831">
        <v>0</v>
      </c>
      <c r="AJ8985" s="835">
        <v>41820</v>
      </c>
      <c r="AK8985" s="831">
        <v>2020</v>
      </c>
    </row>
    <row r="8986" spans="2:37">
      <c r="B8986" s="834" t="str">
        <f t="shared" si="359"/>
        <v>|||</v>
      </c>
      <c r="H8986" s="835">
        <f t="shared" si="360"/>
        <v>31</v>
      </c>
      <c r="AF8986" s="831" t="s">
        <v>9645</v>
      </c>
      <c r="AG8986" s="831" t="s">
        <v>133</v>
      </c>
      <c r="AH8986" s="831" t="s">
        <v>12</v>
      </c>
      <c r="AI8986" s="831">
        <v>0</v>
      </c>
      <c r="AJ8986" s="835">
        <v>41820</v>
      </c>
      <c r="AK8986" s="831">
        <v>640</v>
      </c>
    </row>
    <row r="8987" spans="2:37">
      <c r="B8987" s="834" t="str">
        <f t="shared" si="359"/>
        <v>|||</v>
      </c>
      <c r="H8987" s="835">
        <f t="shared" si="360"/>
        <v>31</v>
      </c>
      <c r="AF8987" s="831" t="s">
        <v>9646</v>
      </c>
      <c r="AG8987" s="831" t="s">
        <v>133</v>
      </c>
      <c r="AH8987" s="831" t="s">
        <v>139</v>
      </c>
      <c r="AI8987" s="831">
        <v>0</v>
      </c>
      <c r="AJ8987" s="835">
        <v>41851</v>
      </c>
      <c r="AK8987" s="831">
        <v>238275</v>
      </c>
    </row>
    <row r="8988" spans="2:37">
      <c r="B8988" s="834" t="str">
        <f t="shared" si="359"/>
        <v>|||</v>
      </c>
      <c r="H8988" s="835">
        <f t="shared" si="360"/>
        <v>31</v>
      </c>
      <c r="AF8988" s="831" t="s">
        <v>9647</v>
      </c>
      <c r="AG8988" s="831" t="s">
        <v>133</v>
      </c>
      <c r="AH8988" s="831" t="s">
        <v>11</v>
      </c>
      <c r="AI8988" s="831">
        <v>0</v>
      </c>
      <c r="AJ8988" s="835">
        <v>41851</v>
      </c>
      <c r="AK8988" s="831">
        <v>157312</v>
      </c>
    </row>
    <row r="8989" spans="2:37">
      <c r="B8989" s="834" t="str">
        <f t="shared" si="359"/>
        <v>|||</v>
      </c>
      <c r="H8989" s="835">
        <f t="shared" si="360"/>
        <v>31</v>
      </c>
      <c r="AF8989" s="831" t="s">
        <v>9648</v>
      </c>
      <c r="AG8989" s="831" t="s">
        <v>133</v>
      </c>
      <c r="AH8989" s="831" t="s">
        <v>144</v>
      </c>
      <c r="AI8989" s="831">
        <v>0</v>
      </c>
      <c r="AJ8989" s="835">
        <v>41851</v>
      </c>
      <c r="AK8989" s="831">
        <v>177567</v>
      </c>
    </row>
    <row r="8990" spans="2:37">
      <c r="B8990" s="834" t="str">
        <f t="shared" si="359"/>
        <v>|||</v>
      </c>
      <c r="H8990" s="835">
        <f t="shared" si="360"/>
        <v>31</v>
      </c>
      <c r="AF8990" s="831" t="s">
        <v>9649</v>
      </c>
      <c r="AG8990" s="831" t="s">
        <v>133</v>
      </c>
      <c r="AH8990" s="831" t="s">
        <v>148</v>
      </c>
      <c r="AI8990" s="831">
        <v>0</v>
      </c>
      <c r="AJ8990" s="835">
        <v>41851</v>
      </c>
      <c r="AK8990" s="831">
        <v>43</v>
      </c>
    </row>
    <row r="8991" spans="2:37">
      <c r="B8991" s="834" t="str">
        <f t="shared" si="359"/>
        <v>|||</v>
      </c>
      <c r="H8991" s="835">
        <f t="shared" si="360"/>
        <v>31</v>
      </c>
      <c r="AF8991" s="831" t="s">
        <v>9650</v>
      </c>
      <c r="AG8991" s="831" t="s">
        <v>133</v>
      </c>
      <c r="AH8991" s="831" t="s">
        <v>152</v>
      </c>
      <c r="AI8991" s="831">
        <v>0</v>
      </c>
      <c r="AJ8991" s="835">
        <v>41851</v>
      </c>
      <c r="AK8991" s="831">
        <v>2043</v>
      </c>
    </row>
    <row r="8992" spans="2:37">
      <c r="B8992" s="834" t="str">
        <f t="shared" si="359"/>
        <v>|||</v>
      </c>
      <c r="H8992" s="835">
        <f t="shared" si="360"/>
        <v>31</v>
      </c>
      <c r="AF8992" s="831" t="s">
        <v>9651</v>
      </c>
      <c r="AG8992" s="831" t="s">
        <v>133</v>
      </c>
      <c r="AH8992" s="831" t="s">
        <v>12</v>
      </c>
      <c r="AI8992" s="831">
        <v>0</v>
      </c>
      <c r="AJ8992" s="835">
        <v>41851</v>
      </c>
      <c r="AK8992" s="831">
        <v>654</v>
      </c>
    </row>
    <row r="8993" spans="2:37">
      <c r="B8993" s="834" t="str">
        <f t="shared" si="359"/>
        <v>|||</v>
      </c>
      <c r="H8993" s="835">
        <f t="shared" si="360"/>
        <v>31</v>
      </c>
      <c r="AF8993" s="831" t="s">
        <v>9652</v>
      </c>
      <c r="AG8993" s="831" t="s">
        <v>133</v>
      </c>
      <c r="AH8993" s="831" t="s">
        <v>139</v>
      </c>
      <c r="AI8993" s="831">
        <v>0</v>
      </c>
      <c r="AJ8993" s="835">
        <v>41882</v>
      </c>
      <c r="AK8993" s="831">
        <v>248987</v>
      </c>
    </row>
    <row r="8994" spans="2:37">
      <c r="B8994" s="834" t="str">
        <f t="shared" si="359"/>
        <v>|||</v>
      </c>
      <c r="H8994" s="835">
        <f t="shared" si="360"/>
        <v>31</v>
      </c>
      <c r="AF8994" s="831" t="s">
        <v>9653</v>
      </c>
      <c r="AG8994" s="831" t="s">
        <v>133</v>
      </c>
      <c r="AH8994" s="831" t="s">
        <v>11</v>
      </c>
      <c r="AI8994" s="831">
        <v>0</v>
      </c>
      <c r="AJ8994" s="835">
        <v>41882</v>
      </c>
      <c r="AK8994" s="831">
        <v>158540</v>
      </c>
    </row>
    <row r="8995" spans="2:37">
      <c r="B8995" s="834" t="str">
        <f t="shared" si="359"/>
        <v>|||</v>
      </c>
      <c r="H8995" s="835">
        <f t="shared" si="360"/>
        <v>31</v>
      </c>
      <c r="AF8995" s="831" t="s">
        <v>9654</v>
      </c>
      <c r="AG8995" s="831" t="s">
        <v>133</v>
      </c>
      <c r="AH8995" s="831" t="s">
        <v>144</v>
      </c>
      <c r="AI8995" s="831">
        <v>0</v>
      </c>
      <c r="AJ8995" s="835">
        <v>41882</v>
      </c>
      <c r="AK8995" s="831">
        <v>176987</v>
      </c>
    </row>
    <row r="8996" spans="2:37">
      <c r="B8996" s="834" t="str">
        <f t="shared" si="359"/>
        <v>|||</v>
      </c>
      <c r="H8996" s="835">
        <f t="shared" si="360"/>
        <v>31</v>
      </c>
      <c r="AF8996" s="831" t="s">
        <v>9655</v>
      </c>
      <c r="AG8996" s="831" t="s">
        <v>133</v>
      </c>
      <c r="AH8996" s="831" t="s">
        <v>148</v>
      </c>
      <c r="AI8996" s="831">
        <v>0</v>
      </c>
      <c r="AJ8996" s="835">
        <v>41882</v>
      </c>
      <c r="AK8996" s="831">
        <v>43</v>
      </c>
    </row>
    <row r="8997" spans="2:37">
      <c r="B8997" s="834" t="str">
        <f t="shared" si="359"/>
        <v>|||</v>
      </c>
      <c r="H8997" s="835">
        <f t="shared" si="360"/>
        <v>31</v>
      </c>
      <c r="AF8997" s="831" t="s">
        <v>9656</v>
      </c>
      <c r="AG8997" s="831" t="s">
        <v>133</v>
      </c>
      <c r="AH8997" s="831" t="s">
        <v>152</v>
      </c>
      <c r="AI8997" s="831">
        <v>0</v>
      </c>
      <c r="AJ8997" s="835">
        <v>41882</v>
      </c>
      <c r="AK8997" s="831">
        <v>2070</v>
      </c>
    </row>
    <row r="8998" spans="2:37">
      <c r="B8998" s="834" t="str">
        <f t="shared" si="359"/>
        <v>|||</v>
      </c>
      <c r="H8998" s="835">
        <f t="shared" si="360"/>
        <v>31</v>
      </c>
      <c r="AF8998" s="831" t="s">
        <v>9657</v>
      </c>
      <c r="AG8998" s="831" t="s">
        <v>133</v>
      </c>
      <c r="AH8998" s="831" t="s">
        <v>12</v>
      </c>
      <c r="AI8998" s="831">
        <v>0</v>
      </c>
      <c r="AJ8998" s="835">
        <v>41882</v>
      </c>
      <c r="AK8998" s="831">
        <v>667</v>
      </c>
    </row>
    <row r="8999" spans="2:37">
      <c r="B8999" s="834" t="str">
        <f t="shared" si="359"/>
        <v>|||</v>
      </c>
      <c r="H8999" s="835">
        <f t="shared" si="360"/>
        <v>31</v>
      </c>
      <c r="AF8999" s="831" t="s">
        <v>9658</v>
      </c>
      <c r="AG8999" s="831" t="s">
        <v>133</v>
      </c>
      <c r="AH8999" s="831" t="s">
        <v>139</v>
      </c>
      <c r="AI8999" s="831">
        <v>0</v>
      </c>
      <c r="AJ8999" s="835">
        <v>41912</v>
      </c>
      <c r="AK8999" s="831">
        <v>264286</v>
      </c>
    </row>
    <row r="9000" spans="2:37">
      <c r="B9000" s="834" t="str">
        <f t="shared" si="359"/>
        <v>|||</v>
      </c>
      <c r="H9000" s="835">
        <f t="shared" si="360"/>
        <v>31</v>
      </c>
      <c r="AF9000" s="831" t="s">
        <v>9659</v>
      </c>
      <c r="AG9000" s="831" t="s">
        <v>133</v>
      </c>
      <c r="AH9000" s="831" t="s">
        <v>11</v>
      </c>
      <c r="AI9000" s="831">
        <v>0</v>
      </c>
      <c r="AJ9000" s="835">
        <v>41912</v>
      </c>
      <c r="AK9000" s="831">
        <v>159987</v>
      </c>
    </row>
    <row r="9001" spans="2:37">
      <c r="B9001" s="834" t="str">
        <f t="shared" si="359"/>
        <v>|||</v>
      </c>
      <c r="H9001" s="835">
        <f t="shared" si="360"/>
        <v>31</v>
      </c>
      <c r="AF9001" s="831" t="s">
        <v>9660</v>
      </c>
      <c r="AG9001" s="831" t="s">
        <v>133</v>
      </c>
      <c r="AH9001" s="831" t="s">
        <v>144</v>
      </c>
      <c r="AI9001" s="831">
        <v>0</v>
      </c>
      <c r="AJ9001" s="835">
        <v>41912</v>
      </c>
      <c r="AK9001" s="831">
        <v>180249</v>
      </c>
    </row>
    <row r="9002" spans="2:37">
      <c r="B9002" s="834" t="str">
        <f t="shared" si="359"/>
        <v>|||</v>
      </c>
      <c r="H9002" s="835">
        <f t="shared" si="360"/>
        <v>31</v>
      </c>
      <c r="AF9002" s="831" t="s">
        <v>9661</v>
      </c>
      <c r="AG9002" s="831" t="s">
        <v>133</v>
      </c>
      <c r="AH9002" s="831" t="s">
        <v>148</v>
      </c>
      <c r="AI9002" s="831">
        <v>0</v>
      </c>
      <c r="AJ9002" s="835">
        <v>41912</v>
      </c>
      <c r="AK9002" s="831">
        <v>43</v>
      </c>
    </row>
    <row r="9003" spans="2:37">
      <c r="B9003" s="834" t="str">
        <f t="shared" si="359"/>
        <v>|||</v>
      </c>
      <c r="H9003" s="835">
        <f t="shared" si="360"/>
        <v>31</v>
      </c>
      <c r="AF9003" s="831" t="s">
        <v>9662</v>
      </c>
      <c r="AG9003" s="831" t="s">
        <v>133</v>
      </c>
      <c r="AH9003" s="831" t="s">
        <v>152</v>
      </c>
      <c r="AI9003" s="831">
        <v>0</v>
      </c>
      <c r="AJ9003" s="835">
        <v>41912</v>
      </c>
      <c r="AK9003" s="831">
        <v>2111</v>
      </c>
    </row>
    <row r="9004" spans="2:37">
      <c r="B9004" s="834" t="str">
        <f t="shared" si="359"/>
        <v>|||</v>
      </c>
      <c r="H9004" s="835">
        <f t="shared" si="360"/>
        <v>31</v>
      </c>
      <c r="AF9004" s="831" t="s">
        <v>9663</v>
      </c>
      <c r="AG9004" s="831" t="s">
        <v>133</v>
      </c>
      <c r="AH9004" s="831" t="s">
        <v>12</v>
      </c>
      <c r="AI9004" s="831">
        <v>0</v>
      </c>
      <c r="AJ9004" s="835">
        <v>41912</v>
      </c>
      <c r="AK9004" s="831">
        <v>675</v>
      </c>
    </row>
    <row r="9005" spans="2:37">
      <c r="B9005" s="834" t="str">
        <f t="shared" si="359"/>
        <v>|||</v>
      </c>
      <c r="H9005" s="835">
        <f t="shared" si="360"/>
        <v>31</v>
      </c>
      <c r="AF9005" s="831" t="s">
        <v>9664</v>
      </c>
      <c r="AG9005" s="831" t="s">
        <v>133</v>
      </c>
      <c r="AH9005" s="831" t="s">
        <v>139</v>
      </c>
      <c r="AI9005" s="831">
        <v>0</v>
      </c>
      <c r="AJ9005" s="835">
        <v>41943</v>
      </c>
      <c r="AK9005" s="831">
        <v>322750</v>
      </c>
    </row>
    <row r="9006" spans="2:37">
      <c r="B9006" s="834" t="str">
        <f t="shared" si="359"/>
        <v>|||</v>
      </c>
      <c r="H9006" s="835">
        <f t="shared" si="360"/>
        <v>31</v>
      </c>
      <c r="AF9006" s="831" t="s">
        <v>9665</v>
      </c>
      <c r="AG9006" s="831" t="s">
        <v>133</v>
      </c>
      <c r="AH9006" s="831" t="s">
        <v>11</v>
      </c>
      <c r="AI9006" s="831">
        <v>0</v>
      </c>
      <c r="AJ9006" s="835">
        <v>41943</v>
      </c>
      <c r="AK9006" s="831">
        <v>159189</v>
      </c>
    </row>
    <row r="9007" spans="2:37">
      <c r="B9007" s="834" t="str">
        <f t="shared" si="359"/>
        <v>|||</v>
      </c>
      <c r="H9007" s="835">
        <f t="shared" si="360"/>
        <v>31</v>
      </c>
      <c r="AF9007" s="831" t="s">
        <v>9666</v>
      </c>
      <c r="AG9007" s="831" t="s">
        <v>133</v>
      </c>
      <c r="AH9007" s="831" t="s">
        <v>144</v>
      </c>
      <c r="AI9007" s="831">
        <v>0</v>
      </c>
      <c r="AJ9007" s="835">
        <v>41943</v>
      </c>
      <c r="AK9007" s="831">
        <v>176925</v>
      </c>
    </row>
    <row r="9008" spans="2:37">
      <c r="B9008" s="834" t="str">
        <f t="shared" si="359"/>
        <v>|||</v>
      </c>
      <c r="H9008" s="835">
        <f t="shared" si="360"/>
        <v>31</v>
      </c>
      <c r="AF9008" s="831" t="s">
        <v>9667</v>
      </c>
      <c r="AG9008" s="831" t="s">
        <v>133</v>
      </c>
      <c r="AH9008" s="831" t="s">
        <v>148</v>
      </c>
      <c r="AI9008" s="831">
        <v>0</v>
      </c>
      <c r="AJ9008" s="835">
        <v>41943</v>
      </c>
      <c r="AK9008" s="831">
        <v>43</v>
      </c>
    </row>
    <row r="9009" spans="2:37">
      <c r="B9009" s="834" t="str">
        <f t="shared" si="359"/>
        <v>|||</v>
      </c>
      <c r="H9009" s="835">
        <f t="shared" si="360"/>
        <v>31</v>
      </c>
      <c r="AF9009" s="831" t="s">
        <v>9668</v>
      </c>
      <c r="AG9009" s="831" t="s">
        <v>133</v>
      </c>
      <c r="AH9009" s="831" t="s">
        <v>152</v>
      </c>
      <c r="AI9009" s="831">
        <v>0</v>
      </c>
      <c r="AJ9009" s="835">
        <v>41943</v>
      </c>
      <c r="AK9009" s="831">
        <v>2133</v>
      </c>
    </row>
    <row r="9010" spans="2:37">
      <c r="B9010" s="834" t="str">
        <f t="shared" si="359"/>
        <v>|||</v>
      </c>
      <c r="H9010" s="835">
        <f t="shared" si="360"/>
        <v>31</v>
      </c>
      <c r="AF9010" s="831" t="s">
        <v>9669</v>
      </c>
      <c r="AG9010" s="831" t="s">
        <v>133</v>
      </c>
      <c r="AH9010" s="831" t="s">
        <v>12</v>
      </c>
      <c r="AI9010" s="831">
        <v>0</v>
      </c>
      <c r="AJ9010" s="835">
        <v>41943</v>
      </c>
      <c r="AK9010" s="831">
        <v>685</v>
      </c>
    </row>
    <row r="9011" spans="2:37">
      <c r="B9011" s="834" t="str">
        <f t="shared" si="359"/>
        <v>|||</v>
      </c>
      <c r="H9011" s="835">
        <f t="shared" si="360"/>
        <v>31</v>
      </c>
      <c r="AF9011" s="831" t="s">
        <v>9670</v>
      </c>
      <c r="AG9011" s="831" t="s">
        <v>133</v>
      </c>
      <c r="AH9011" s="831" t="s">
        <v>139</v>
      </c>
      <c r="AI9011" s="831">
        <v>0</v>
      </c>
      <c r="AJ9011" s="835">
        <v>41973</v>
      </c>
      <c r="AK9011" s="831">
        <v>327402</v>
      </c>
    </row>
    <row r="9012" spans="2:37">
      <c r="B9012" s="834" t="str">
        <f t="shared" si="359"/>
        <v>|||</v>
      </c>
      <c r="H9012" s="835">
        <f t="shared" si="360"/>
        <v>31</v>
      </c>
      <c r="AF9012" s="831" t="s">
        <v>9671</v>
      </c>
      <c r="AG9012" s="831" t="s">
        <v>133</v>
      </c>
      <c r="AH9012" s="831" t="s">
        <v>11</v>
      </c>
      <c r="AI9012" s="831">
        <v>0</v>
      </c>
      <c r="AJ9012" s="835">
        <v>41973</v>
      </c>
      <c r="AK9012" s="831">
        <v>158266</v>
      </c>
    </row>
    <row r="9013" spans="2:37">
      <c r="B9013" s="834" t="str">
        <f t="shared" si="359"/>
        <v>|||</v>
      </c>
      <c r="H9013" s="835">
        <f t="shared" si="360"/>
        <v>31</v>
      </c>
      <c r="AF9013" s="831" t="s">
        <v>9672</v>
      </c>
      <c r="AG9013" s="831" t="s">
        <v>133</v>
      </c>
      <c r="AH9013" s="831" t="s">
        <v>144</v>
      </c>
      <c r="AI9013" s="831">
        <v>0</v>
      </c>
      <c r="AJ9013" s="835">
        <v>41973</v>
      </c>
      <c r="AK9013" s="831">
        <v>179245</v>
      </c>
    </row>
    <row r="9014" spans="2:37">
      <c r="B9014" s="834" t="str">
        <f t="shared" si="359"/>
        <v>|||</v>
      </c>
      <c r="H9014" s="835">
        <f t="shared" si="360"/>
        <v>31</v>
      </c>
      <c r="AF9014" s="831" t="s">
        <v>9673</v>
      </c>
      <c r="AG9014" s="831" t="s">
        <v>133</v>
      </c>
      <c r="AH9014" s="831" t="s">
        <v>148</v>
      </c>
      <c r="AI9014" s="831">
        <v>0</v>
      </c>
      <c r="AJ9014" s="835">
        <v>41973</v>
      </c>
      <c r="AK9014" s="831">
        <v>44</v>
      </c>
    </row>
    <row r="9015" spans="2:37">
      <c r="B9015" s="834" t="str">
        <f t="shared" si="359"/>
        <v>|||</v>
      </c>
      <c r="H9015" s="835">
        <f t="shared" si="360"/>
        <v>31</v>
      </c>
      <c r="AF9015" s="831" t="s">
        <v>9674</v>
      </c>
      <c r="AG9015" s="831" t="s">
        <v>133</v>
      </c>
      <c r="AH9015" s="831" t="s">
        <v>152</v>
      </c>
      <c r="AI9015" s="831">
        <v>0</v>
      </c>
      <c r="AJ9015" s="835">
        <v>41973</v>
      </c>
      <c r="AK9015" s="831">
        <v>2187</v>
      </c>
    </row>
    <row r="9016" spans="2:37">
      <c r="B9016" s="834" t="str">
        <f t="shared" si="359"/>
        <v>|||</v>
      </c>
      <c r="H9016" s="835">
        <f t="shared" si="360"/>
        <v>31</v>
      </c>
      <c r="AF9016" s="831" t="s">
        <v>9675</v>
      </c>
      <c r="AG9016" s="831" t="s">
        <v>133</v>
      </c>
      <c r="AH9016" s="831" t="s">
        <v>12</v>
      </c>
      <c r="AI9016" s="831">
        <v>0</v>
      </c>
      <c r="AJ9016" s="835">
        <v>41973</v>
      </c>
      <c r="AK9016" s="831">
        <v>694</v>
      </c>
    </row>
    <row r="9017" spans="2:37">
      <c r="B9017" s="834" t="str">
        <f t="shared" si="359"/>
        <v>|||</v>
      </c>
      <c r="H9017" s="835">
        <f t="shared" si="360"/>
        <v>31</v>
      </c>
      <c r="AF9017" s="831" t="s">
        <v>9676</v>
      </c>
      <c r="AG9017" s="831" t="s">
        <v>133</v>
      </c>
      <c r="AH9017" s="831" t="s">
        <v>139</v>
      </c>
      <c r="AI9017" s="831">
        <v>0</v>
      </c>
      <c r="AJ9017" s="835">
        <v>42004</v>
      </c>
      <c r="AK9017" s="831">
        <v>333224</v>
      </c>
    </row>
    <row r="9018" spans="2:37">
      <c r="B9018" s="834" t="str">
        <f t="shared" si="359"/>
        <v>|||</v>
      </c>
      <c r="H9018" s="835">
        <f t="shared" si="360"/>
        <v>31</v>
      </c>
      <c r="AF9018" s="831" t="s">
        <v>9677</v>
      </c>
      <c r="AG9018" s="831" t="s">
        <v>133</v>
      </c>
      <c r="AH9018" s="831" t="s">
        <v>11</v>
      </c>
      <c r="AI9018" s="831">
        <v>0</v>
      </c>
      <c r="AJ9018" s="835">
        <v>42004</v>
      </c>
      <c r="AK9018" s="831">
        <v>157146</v>
      </c>
    </row>
    <row r="9019" spans="2:37">
      <c r="B9019" s="834" t="str">
        <f t="shared" si="359"/>
        <v>|||</v>
      </c>
      <c r="H9019" s="835">
        <f t="shared" si="360"/>
        <v>31</v>
      </c>
      <c r="AF9019" s="831" t="s">
        <v>9678</v>
      </c>
      <c r="AG9019" s="831" t="s">
        <v>133</v>
      </c>
      <c r="AH9019" s="831" t="s">
        <v>144</v>
      </c>
      <c r="AI9019" s="831">
        <v>0</v>
      </c>
      <c r="AJ9019" s="835">
        <v>42004</v>
      </c>
      <c r="AK9019" s="831">
        <v>178484</v>
      </c>
    </row>
    <row r="9020" spans="2:37">
      <c r="B9020" s="834" t="str">
        <f t="shared" si="359"/>
        <v>|||</v>
      </c>
      <c r="H9020" s="835">
        <f t="shared" si="360"/>
        <v>31</v>
      </c>
      <c r="AF9020" s="831" t="s">
        <v>9679</v>
      </c>
      <c r="AG9020" s="831" t="s">
        <v>133</v>
      </c>
      <c r="AH9020" s="831" t="s">
        <v>148</v>
      </c>
      <c r="AI9020" s="831">
        <v>0</v>
      </c>
      <c r="AJ9020" s="835">
        <v>42004</v>
      </c>
      <c r="AK9020" s="831">
        <v>44</v>
      </c>
    </row>
    <row r="9021" spans="2:37">
      <c r="B9021" s="834" t="str">
        <f t="shared" si="359"/>
        <v>|||</v>
      </c>
      <c r="H9021" s="835">
        <f t="shared" si="360"/>
        <v>31</v>
      </c>
      <c r="AF9021" s="831" t="s">
        <v>9680</v>
      </c>
      <c r="AG9021" s="831" t="s">
        <v>133</v>
      </c>
      <c r="AH9021" s="831" t="s">
        <v>152</v>
      </c>
      <c r="AI9021" s="831">
        <v>0</v>
      </c>
      <c r="AJ9021" s="835">
        <v>42004</v>
      </c>
      <c r="AK9021" s="831">
        <v>2184</v>
      </c>
    </row>
    <row r="9022" spans="2:37">
      <c r="B9022" s="834" t="str">
        <f t="shared" si="359"/>
        <v>|||</v>
      </c>
      <c r="H9022" s="835">
        <f t="shared" si="360"/>
        <v>31</v>
      </c>
      <c r="AF9022" s="831" t="s">
        <v>9681</v>
      </c>
      <c r="AG9022" s="831" t="s">
        <v>133</v>
      </c>
      <c r="AH9022" s="831" t="s">
        <v>12</v>
      </c>
      <c r="AI9022" s="831">
        <v>0</v>
      </c>
      <c r="AJ9022" s="835">
        <v>42004</v>
      </c>
      <c r="AK9022" s="831">
        <v>692</v>
      </c>
    </row>
    <row r="9023" spans="2:37">
      <c r="B9023" s="834" t="str">
        <f t="shared" si="359"/>
        <v>|||</v>
      </c>
      <c r="H9023" s="835">
        <f t="shared" si="360"/>
        <v>31</v>
      </c>
      <c r="AF9023" s="831" t="s">
        <v>9682</v>
      </c>
      <c r="AG9023" s="831" t="s">
        <v>2674</v>
      </c>
      <c r="AH9023" s="831" t="s">
        <v>546</v>
      </c>
      <c r="AI9023" s="831">
        <v>0</v>
      </c>
      <c r="AJ9023" s="835">
        <v>40939</v>
      </c>
      <c r="AK9023" s="831">
        <v>298273050</v>
      </c>
    </row>
    <row r="9024" spans="2:37">
      <c r="B9024" s="834" t="str">
        <f t="shared" si="359"/>
        <v>|||</v>
      </c>
      <c r="H9024" s="835">
        <f t="shared" si="360"/>
        <v>31</v>
      </c>
      <c r="AF9024" s="831" t="s">
        <v>9683</v>
      </c>
      <c r="AG9024" s="831" t="s">
        <v>2674</v>
      </c>
      <c r="AH9024" s="831" t="s">
        <v>370</v>
      </c>
      <c r="AI9024" s="831">
        <v>0</v>
      </c>
      <c r="AJ9024" s="835">
        <v>40939</v>
      </c>
      <c r="AK9024" s="831">
        <v>385233396</v>
      </c>
    </row>
    <row r="9025" spans="2:37">
      <c r="B9025" s="834" t="str">
        <f t="shared" si="359"/>
        <v>|||</v>
      </c>
      <c r="H9025" s="835">
        <f t="shared" si="360"/>
        <v>31</v>
      </c>
      <c r="AF9025" s="831" t="s">
        <v>9684</v>
      </c>
      <c r="AG9025" s="831" t="s">
        <v>2674</v>
      </c>
      <c r="AH9025" s="831" t="s">
        <v>126</v>
      </c>
      <c r="AI9025" s="831">
        <v>0</v>
      </c>
      <c r="AJ9025" s="835">
        <v>40939</v>
      </c>
      <c r="AK9025" s="831">
        <v>86953523</v>
      </c>
    </row>
    <row r="9026" spans="2:37">
      <c r="B9026" s="834" t="str">
        <f t="shared" si="359"/>
        <v>|||</v>
      </c>
      <c r="H9026" s="835">
        <f t="shared" si="360"/>
        <v>31</v>
      </c>
      <c r="AF9026" s="831" t="s">
        <v>9685</v>
      </c>
      <c r="AG9026" s="831" t="s">
        <v>2674</v>
      </c>
      <c r="AH9026" s="831" t="s">
        <v>268</v>
      </c>
      <c r="AI9026" s="831">
        <v>0</v>
      </c>
      <c r="AJ9026" s="835">
        <v>40939</v>
      </c>
      <c r="AK9026" s="831">
        <v>1366207</v>
      </c>
    </row>
    <row r="9027" spans="2:37">
      <c r="B9027" s="834" t="str">
        <f t="shared" ref="B9027:B9090" si="361">C9027&amp;"|"&amp;D9027&amp;"|"&amp;E9027&amp;"|"&amp;F9027</f>
        <v>|||</v>
      </c>
      <c r="H9027" s="835">
        <f t="shared" si="360"/>
        <v>31</v>
      </c>
      <c r="AF9027" s="831" t="s">
        <v>9686</v>
      </c>
      <c r="AG9027" s="831" t="s">
        <v>2674</v>
      </c>
      <c r="AH9027" s="831" t="s">
        <v>547</v>
      </c>
      <c r="AI9027" s="831">
        <v>0</v>
      </c>
      <c r="AJ9027" s="835">
        <v>40939</v>
      </c>
      <c r="AK9027" s="831">
        <v>385233396</v>
      </c>
    </row>
    <row r="9028" spans="2:37">
      <c r="B9028" s="834" t="str">
        <f t="shared" si="361"/>
        <v>|||</v>
      </c>
      <c r="H9028" s="835">
        <f t="shared" ref="H9028:H9091" si="362">EOMONTH(L9028,0)</f>
        <v>31</v>
      </c>
      <c r="AF9028" s="831" t="s">
        <v>9687</v>
      </c>
      <c r="AG9028" s="831" t="s">
        <v>2674</v>
      </c>
      <c r="AH9028" s="831" t="s">
        <v>548</v>
      </c>
      <c r="AI9028" s="831">
        <v>0</v>
      </c>
      <c r="AJ9028" s="835">
        <v>40939</v>
      </c>
      <c r="AK9028" s="831">
        <v>86953523</v>
      </c>
    </row>
    <row r="9029" spans="2:37">
      <c r="B9029" s="834" t="str">
        <f t="shared" si="361"/>
        <v>|||</v>
      </c>
      <c r="H9029" s="835">
        <f t="shared" si="362"/>
        <v>31</v>
      </c>
      <c r="AF9029" s="831" t="s">
        <v>9688</v>
      </c>
      <c r="AG9029" s="831" t="s">
        <v>2674</v>
      </c>
      <c r="AH9029" s="831" t="s">
        <v>549</v>
      </c>
      <c r="AI9029" s="831">
        <v>0</v>
      </c>
      <c r="AJ9029" s="835">
        <v>40939</v>
      </c>
      <c r="AK9029" s="831">
        <v>0</v>
      </c>
    </row>
    <row r="9030" spans="2:37">
      <c r="B9030" s="834" t="str">
        <f t="shared" si="361"/>
        <v>|||</v>
      </c>
      <c r="H9030" s="835">
        <f t="shared" si="362"/>
        <v>31</v>
      </c>
      <c r="AF9030" s="831" t="s">
        <v>9689</v>
      </c>
      <c r="AG9030" s="831" t="s">
        <v>2674</v>
      </c>
      <c r="AH9030" s="831" t="s">
        <v>192</v>
      </c>
      <c r="AI9030" s="831">
        <v>0</v>
      </c>
      <c r="AJ9030" s="835">
        <v>40939</v>
      </c>
      <c r="AK9030" s="831">
        <v>-7905116</v>
      </c>
    </row>
    <row r="9031" spans="2:37">
      <c r="B9031" s="834" t="str">
        <f t="shared" si="361"/>
        <v>|||</v>
      </c>
      <c r="H9031" s="835">
        <f t="shared" si="362"/>
        <v>31</v>
      </c>
      <c r="AF9031" s="831" t="s">
        <v>9690</v>
      </c>
      <c r="AG9031" s="831" t="s">
        <v>2674</v>
      </c>
      <c r="AH9031" s="831" t="s">
        <v>558</v>
      </c>
      <c r="AI9031" s="831">
        <v>0</v>
      </c>
      <c r="AJ9031" s="835">
        <v>40939</v>
      </c>
      <c r="AK9031" s="831">
        <v>298279873</v>
      </c>
    </row>
    <row r="9032" spans="2:37">
      <c r="B9032" s="834" t="str">
        <f t="shared" si="361"/>
        <v>|||</v>
      </c>
      <c r="H9032" s="835">
        <f t="shared" si="362"/>
        <v>31</v>
      </c>
      <c r="AF9032" s="831" t="s">
        <v>9691</v>
      </c>
      <c r="AG9032" s="831" t="s">
        <v>2674</v>
      </c>
      <c r="AH9032" s="831" t="s">
        <v>65</v>
      </c>
      <c r="AI9032" s="831">
        <v>0</v>
      </c>
      <c r="AJ9032" s="835">
        <v>40939</v>
      </c>
      <c r="AK9032" s="831">
        <v>7509925</v>
      </c>
    </row>
    <row r="9033" spans="2:37">
      <c r="B9033" s="834" t="str">
        <f t="shared" si="361"/>
        <v>|||</v>
      </c>
      <c r="H9033" s="835">
        <f t="shared" si="362"/>
        <v>31</v>
      </c>
      <c r="AF9033" s="831" t="s">
        <v>9692</v>
      </c>
      <c r="AG9033" s="831" t="s">
        <v>2674</v>
      </c>
      <c r="AH9033" s="831" t="s">
        <v>89</v>
      </c>
      <c r="AI9033" s="831">
        <v>0</v>
      </c>
      <c r="AJ9033" s="835">
        <v>40939</v>
      </c>
      <c r="AK9033" s="831">
        <v>118409</v>
      </c>
    </row>
    <row r="9034" spans="2:37">
      <c r="B9034" s="834" t="str">
        <f t="shared" si="361"/>
        <v>|||</v>
      </c>
      <c r="H9034" s="835">
        <f t="shared" si="362"/>
        <v>31</v>
      </c>
      <c r="AF9034" s="831" t="s">
        <v>9693</v>
      </c>
      <c r="AG9034" s="831" t="s">
        <v>2674</v>
      </c>
      <c r="AH9034" s="831" t="s">
        <v>557</v>
      </c>
      <c r="AI9034" s="831">
        <v>0</v>
      </c>
      <c r="AJ9034" s="835">
        <v>40939</v>
      </c>
      <c r="AK9034" s="831">
        <v>120075</v>
      </c>
    </row>
    <row r="9035" spans="2:37">
      <c r="B9035" s="834" t="str">
        <f t="shared" si="361"/>
        <v>|||</v>
      </c>
      <c r="H9035" s="835">
        <f t="shared" si="362"/>
        <v>31</v>
      </c>
      <c r="AF9035" s="831" t="s">
        <v>9694</v>
      </c>
      <c r="AG9035" s="831" t="s">
        <v>2674</v>
      </c>
      <c r="AH9035" s="831" t="s">
        <v>29</v>
      </c>
      <c r="AI9035" s="831">
        <v>0</v>
      </c>
      <c r="AJ9035" s="835">
        <v>40939</v>
      </c>
      <c r="AK9035" s="831">
        <v>2047729</v>
      </c>
    </row>
    <row r="9036" spans="2:37">
      <c r="B9036" s="834" t="str">
        <f t="shared" si="361"/>
        <v>|||</v>
      </c>
      <c r="H9036" s="835">
        <f t="shared" si="362"/>
        <v>31</v>
      </c>
      <c r="AF9036" s="831" t="s">
        <v>9695</v>
      </c>
      <c r="AG9036" s="831" t="s">
        <v>2674</v>
      </c>
      <c r="AH9036" s="831" t="s">
        <v>2688</v>
      </c>
      <c r="AI9036" s="831">
        <v>0</v>
      </c>
      <c r="AJ9036" s="835">
        <v>40939</v>
      </c>
      <c r="AK9036" s="831">
        <v>2343998</v>
      </c>
    </row>
    <row r="9037" spans="2:37">
      <c r="B9037" s="834" t="str">
        <f t="shared" si="361"/>
        <v>|||</v>
      </c>
      <c r="H9037" s="835">
        <f t="shared" si="362"/>
        <v>31</v>
      </c>
      <c r="AF9037" s="831" t="s">
        <v>9696</v>
      </c>
      <c r="AG9037" s="831" t="s">
        <v>2674</v>
      </c>
      <c r="AH9037" s="831" t="s">
        <v>556</v>
      </c>
      <c r="AI9037" s="831">
        <v>0</v>
      </c>
      <c r="AJ9037" s="835">
        <v>40939</v>
      </c>
      <c r="AK9037" s="831">
        <v>0</v>
      </c>
    </row>
    <row r="9038" spans="2:37">
      <c r="B9038" s="834" t="str">
        <f t="shared" si="361"/>
        <v>|||</v>
      </c>
      <c r="H9038" s="835">
        <f t="shared" si="362"/>
        <v>31</v>
      </c>
      <c r="AF9038" s="831" t="s">
        <v>9697</v>
      </c>
      <c r="AG9038" s="831" t="s">
        <v>2674</v>
      </c>
      <c r="AH9038" s="831" t="s">
        <v>555</v>
      </c>
      <c r="AI9038" s="831">
        <v>0</v>
      </c>
      <c r="AJ9038" s="835">
        <v>40939</v>
      </c>
      <c r="AK9038" s="831">
        <v>185335820</v>
      </c>
    </row>
    <row r="9039" spans="2:37">
      <c r="B9039" s="834" t="str">
        <f t="shared" si="361"/>
        <v>|||</v>
      </c>
      <c r="H9039" s="835">
        <f t="shared" si="362"/>
        <v>31</v>
      </c>
      <c r="AF9039" s="831" t="s">
        <v>9698</v>
      </c>
      <c r="AG9039" s="831" t="s">
        <v>2674</v>
      </c>
      <c r="AH9039" s="831" t="s">
        <v>554</v>
      </c>
      <c r="AI9039" s="831">
        <v>0</v>
      </c>
      <c r="AJ9039" s="835">
        <v>40939</v>
      </c>
      <c r="AK9039" s="831">
        <v>180412030</v>
      </c>
    </row>
    <row r="9040" spans="2:37">
      <c r="B9040" s="834" t="str">
        <f t="shared" si="361"/>
        <v>|||</v>
      </c>
      <c r="H9040" s="835">
        <f t="shared" si="362"/>
        <v>31</v>
      </c>
      <c r="AF9040" s="831" t="s">
        <v>9699</v>
      </c>
      <c r="AG9040" s="831" t="s">
        <v>2674</v>
      </c>
      <c r="AH9040" s="831" t="s">
        <v>553</v>
      </c>
      <c r="AI9040" s="831">
        <v>0</v>
      </c>
      <c r="AJ9040" s="835">
        <v>40939</v>
      </c>
      <c r="AK9040" s="831">
        <v>0</v>
      </c>
    </row>
    <row r="9041" spans="2:37">
      <c r="B9041" s="834" t="str">
        <f t="shared" si="361"/>
        <v>|||</v>
      </c>
      <c r="H9041" s="835">
        <f t="shared" si="362"/>
        <v>31</v>
      </c>
      <c r="AF9041" s="831" t="s">
        <v>9700</v>
      </c>
      <c r="AG9041" s="831" t="s">
        <v>2674</v>
      </c>
      <c r="AH9041" s="831" t="s">
        <v>552</v>
      </c>
      <c r="AI9041" s="831">
        <v>0</v>
      </c>
      <c r="AJ9041" s="835">
        <v>40939</v>
      </c>
      <c r="AK9041" s="831">
        <v>0</v>
      </c>
    </row>
    <row r="9042" spans="2:37">
      <c r="B9042" s="834" t="str">
        <f t="shared" si="361"/>
        <v>|||</v>
      </c>
      <c r="H9042" s="835">
        <f t="shared" si="362"/>
        <v>31</v>
      </c>
      <c r="AF9042" s="831" t="s">
        <v>9701</v>
      </c>
      <c r="AG9042" s="831" t="s">
        <v>2674</v>
      </c>
      <c r="AH9042" s="831" t="s">
        <v>551</v>
      </c>
      <c r="AI9042" s="831">
        <v>0</v>
      </c>
      <c r="AJ9042" s="835">
        <v>40939</v>
      </c>
      <c r="AK9042" s="831">
        <v>1990194</v>
      </c>
    </row>
    <row r="9043" spans="2:37">
      <c r="B9043" s="834" t="str">
        <f t="shared" si="361"/>
        <v>|||</v>
      </c>
      <c r="H9043" s="835">
        <f t="shared" si="362"/>
        <v>31</v>
      </c>
      <c r="AF9043" s="831" t="s">
        <v>9702</v>
      </c>
      <c r="AG9043" s="831" t="s">
        <v>2674</v>
      </c>
      <c r="AH9043" s="831" t="s">
        <v>550</v>
      </c>
      <c r="AI9043" s="831">
        <v>0</v>
      </c>
      <c r="AJ9043" s="835">
        <v>40939</v>
      </c>
      <c r="AK9043" s="831">
        <v>0</v>
      </c>
    </row>
    <row r="9044" spans="2:37">
      <c r="B9044" s="834" t="str">
        <f t="shared" si="361"/>
        <v>|||</v>
      </c>
      <c r="H9044" s="835">
        <f t="shared" si="362"/>
        <v>31</v>
      </c>
      <c r="AF9044" s="831" t="s">
        <v>9703</v>
      </c>
      <c r="AG9044" s="831" t="s">
        <v>2674</v>
      </c>
      <c r="AH9044" s="831" t="s">
        <v>562</v>
      </c>
      <c r="AI9044" s="831">
        <v>0</v>
      </c>
      <c r="AJ9044" s="835">
        <v>40939</v>
      </c>
      <c r="AK9044" s="831">
        <v>0.78615000000000002</v>
      </c>
    </row>
    <row r="9045" spans="2:37">
      <c r="B9045" s="834" t="str">
        <f t="shared" si="361"/>
        <v>|||</v>
      </c>
      <c r="H9045" s="835">
        <f t="shared" si="362"/>
        <v>31</v>
      </c>
      <c r="AF9045" s="831" t="s">
        <v>9704</v>
      </c>
      <c r="AG9045" s="831" t="s">
        <v>2674</v>
      </c>
      <c r="AH9045" s="831" t="s">
        <v>2698</v>
      </c>
      <c r="AI9045" s="831">
        <v>0</v>
      </c>
      <c r="AJ9045" s="835">
        <v>40939</v>
      </c>
      <c r="AK9045" s="831">
        <v>0.78625</v>
      </c>
    </row>
    <row r="9046" spans="2:37">
      <c r="B9046" s="834" t="str">
        <f t="shared" si="361"/>
        <v>|||</v>
      </c>
      <c r="H9046" s="835">
        <f t="shared" si="362"/>
        <v>31</v>
      </c>
      <c r="AF9046" s="831" t="s">
        <v>9705</v>
      </c>
      <c r="AG9046" s="831" t="s">
        <v>2674</v>
      </c>
      <c r="AH9046" s="831" t="s">
        <v>560</v>
      </c>
      <c r="AI9046" s="831">
        <v>0</v>
      </c>
      <c r="AJ9046" s="835">
        <v>40939</v>
      </c>
      <c r="AK9046" s="831">
        <v>0.78615000000000002</v>
      </c>
    </row>
    <row r="9047" spans="2:37">
      <c r="B9047" s="834" t="str">
        <f t="shared" si="361"/>
        <v>|||</v>
      </c>
      <c r="H9047" s="835">
        <f t="shared" si="362"/>
        <v>31</v>
      </c>
      <c r="AF9047" s="831" t="s">
        <v>9706</v>
      </c>
      <c r="AG9047" s="831" t="s">
        <v>2674</v>
      </c>
      <c r="AH9047" s="831" t="s">
        <v>559</v>
      </c>
      <c r="AI9047" s="831">
        <v>0</v>
      </c>
      <c r="AJ9047" s="835">
        <v>40939</v>
      </c>
      <c r="AK9047" s="831">
        <v>0.78791250000000002</v>
      </c>
    </row>
    <row r="9048" spans="2:37">
      <c r="B9048" s="834" t="str">
        <f t="shared" si="361"/>
        <v>|||</v>
      </c>
      <c r="H9048" s="835">
        <f t="shared" si="362"/>
        <v>31</v>
      </c>
      <c r="AF9048" s="831" t="s">
        <v>9707</v>
      </c>
      <c r="AG9048" s="831" t="s">
        <v>2674</v>
      </c>
      <c r="AH9048" s="831" t="s">
        <v>568</v>
      </c>
      <c r="AI9048" s="831">
        <v>0</v>
      </c>
      <c r="AJ9048" s="835">
        <v>40939</v>
      </c>
      <c r="AK9048" s="831">
        <v>0</v>
      </c>
    </row>
    <row r="9049" spans="2:37">
      <c r="B9049" s="834" t="str">
        <f t="shared" si="361"/>
        <v>|||</v>
      </c>
      <c r="H9049" s="835">
        <f t="shared" si="362"/>
        <v>31</v>
      </c>
      <c r="AF9049" s="831" t="s">
        <v>9708</v>
      </c>
      <c r="AG9049" s="831" t="s">
        <v>2674</v>
      </c>
      <c r="AH9049" s="831" t="s">
        <v>569</v>
      </c>
      <c r="AI9049" s="831">
        <v>0</v>
      </c>
      <c r="AJ9049" s="835">
        <v>40939</v>
      </c>
      <c r="AK9049" s="831">
        <v>0</v>
      </c>
    </row>
    <row r="9050" spans="2:37">
      <c r="B9050" s="834" t="str">
        <f t="shared" si="361"/>
        <v>|||</v>
      </c>
      <c r="H9050" s="835">
        <f t="shared" si="362"/>
        <v>31</v>
      </c>
      <c r="AF9050" s="831" t="s">
        <v>9709</v>
      </c>
      <c r="AG9050" s="831" t="s">
        <v>2674</v>
      </c>
      <c r="AH9050" s="831" t="s">
        <v>570</v>
      </c>
      <c r="AI9050" s="831">
        <v>0</v>
      </c>
      <c r="AJ9050" s="835">
        <v>40939</v>
      </c>
      <c r="AK9050" s="831">
        <v>0</v>
      </c>
    </row>
    <row r="9051" spans="2:37">
      <c r="B9051" s="834" t="str">
        <f t="shared" si="361"/>
        <v>|||</v>
      </c>
      <c r="H9051" s="835">
        <f t="shared" si="362"/>
        <v>31</v>
      </c>
      <c r="AF9051" s="831" t="s">
        <v>9710</v>
      </c>
      <c r="AG9051" s="831" t="s">
        <v>2674</v>
      </c>
      <c r="AH9051" s="831" t="s">
        <v>571</v>
      </c>
      <c r="AI9051" s="831">
        <v>0</v>
      </c>
      <c r="AJ9051" s="835">
        <v>40939</v>
      </c>
      <c r="AK9051" s="831">
        <v>0</v>
      </c>
    </row>
    <row r="9052" spans="2:37">
      <c r="B9052" s="834" t="str">
        <f t="shared" si="361"/>
        <v>|||</v>
      </c>
      <c r="H9052" s="835">
        <f t="shared" si="362"/>
        <v>31</v>
      </c>
      <c r="AF9052" s="831" t="s">
        <v>9711</v>
      </c>
      <c r="AG9052" s="831" t="s">
        <v>2674</v>
      </c>
      <c r="AH9052" s="831" t="s">
        <v>573</v>
      </c>
      <c r="AI9052" s="831">
        <v>0</v>
      </c>
      <c r="AJ9052" s="835">
        <v>40939</v>
      </c>
      <c r="AK9052" s="831">
        <v>0</v>
      </c>
    </row>
    <row r="9053" spans="2:37">
      <c r="B9053" s="834" t="str">
        <f t="shared" si="361"/>
        <v>|||</v>
      </c>
      <c r="H9053" s="835">
        <f t="shared" si="362"/>
        <v>31</v>
      </c>
      <c r="AF9053" s="831" t="s">
        <v>9712</v>
      </c>
      <c r="AG9053" s="831" t="s">
        <v>2674</v>
      </c>
      <c r="AH9053" s="831" t="s">
        <v>574</v>
      </c>
      <c r="AI9053" s="831">
        <v>0</v>
      </c>
      <c r="AJ9053" s="835">
        <v>40939</v>
      </c>
      <c r="AK9053" s="831">
        <v>0</v>
      </c>
    </row>
    <row r="9054" spans="2:37">
      <c r="B9054" s="834" t="str">
        <f t="shared" si="361"/>
        <v>|||</v>
      </c>
      <c r="H9054" s="835">
        <f t="shared" si="362"/>
        <v>31</v>
      </c>
      <c r="AF9054" s="831" t="s">
        <v>9713</v>
      </c>
      <c r="AG9054" s="831" t="s">
        <v>2674</v>
      </c>
      <c r="AH9054" s="831" t="s">
        <v>575</v>
      </c>
      <c r="AI9054" s="831">
        <v>0</v>
      </c>
      <c r="AJ9054" s="835">
        <v>40939</v>
      </c>
      <c r="AK9054" s="831">
        <v>0</v>
      </c>
    </row>
    <row r="9055" spans="2:37">
      <c r="B9055" s="834" t="str">
        <f t="shared" si="361"/>
        <v>|||</v>
      </c>
      <c r="H9055" s="835">
        <f t="shared" si="362"/>
        <v>31</v>
      </c>
      <c r="AF9055" s="831" t="s">
        <v>9714</v>
      </c>
      <c r="AG9055" s="831" t="s">
        <v>2674</v>
      </c>
      <c r="AH9055" s="831" t="s">
        <v>576</v>
      </c>
      <c r="AI9055" s="831">
        <v>0</v>
      </c>
      <c r="AJ9055" s="835">
        <v>40939</v>
      </c>
      <c r="AK9055" s="831">
        <v>0</v>
      </c>
    </row>
    <row r="9056" spans="2:37">
      <c r="B9056" s="834" t="str">
        <f t="shared" si="361"/>
        <v>|||</v>
      </c>
      <c r="H9056" s="835">
        <f t="shared" si="362"/>
        <v>31</v>
      </c>
      <c r="AF9056" s="831" t="s">
        <v>9715</v>
      </c>
      <c r="AG9056" s="831" t="s">
        <v>2674</v>
      </c>
      <c r="AH9056" s="831" t="s">
        <v>572</v>
      </c>
      <c r="AI9056" s="831">
        <v>0</v>
      </c>
      <c r="AJ9056" s="835">
        <v>40939</v>
      </c>
      <c r="AK9056" s="831">
        <v>0</v>
      </c>
    </row>
    <row r="9057" spans="2:37">
      <c r="B9057" s="834" t="str">
        <f t="shared" si="361"/>
        <v>|||</v>
      </c>
      <c r="H9057" s="835">
        <f t="shared" si="362"/>
        <v>31</v>
      </c>
      <c r="AF9057" s="831" t="s">
        <v>9716</v>
      </c>
      <c r="AG9057" s="831" t="s">
        <v>2674</v>
      </c>
      <c r="AH9057" s="831" t="s">
        <v>577</v>
      </c>
      <c r="AI9057" s="831">
        <v>0</v>
      </c>
      <c r="AJ9057" s="835">
        <v>40939</v>
      </c>
      <c r="AK9057" s="831">
        <v>0</v>
      </c>
    </row>
    <row r="9058" spans="2:37">
      <c r="B9058" s="834" t="str">
        <f t="shared" si="361"/>
        <v>|||</v>
      </c>
      <c r="H9058" s="835">
        <f t="shared" si="362"/>
        <v>31</v>
      </c>
      <c r="AF9058" s="831" t="s">
        <v>9717</v>
      </c>
      <c r="AG9058" s="831" t="s">
        <v>2674</v>
      </c>
      <c r="AH9058" s="831" t="s">
        <v>3042</v>
      </c>
      <c r="AI9058" s="831">
        <v>0</v>
      </c>
      <c r="AJ9058" s="835">
        <v>40939</v>
      </c>
      <c r="AK9058" s="831">
        <v>0</v>
      </c>
    </row>
    <row r="9059" spans="2:37">
      <c r="B9059" s="834" t="str">
        <f t="shared" si="361"/>
        <v>|||</v>
      </c>
      <c r="H9059" s="835">
        <f t="shared" si="362"/>
        <v>31</v>
      </c>
      <c r="AF9059" s="831" t="s">
        <v>9718</v>
      </c>
      <c r="AG9059" s="831" t="s">
        <v>2674</v>
      </c>
      <c r="AH9059" s="831" t="s">
        <v>3044</v>
      </c>
      <c r="AI9059" s="831">
        <v>0</v>
      </c>
      <c r="AJ9059" s="835">
        <v>40939</v>
      </c>
      <c r="AK9059" s="831">
        <v>0</v>
      </c>
    </row>
    <row r="9060" spans="2:37">
      <c r="B9060" s="834" t="str">
        <f t="shared" si="361"/>
        <v>|||</v>
      </c>
      <c r="H9060" s="835">
        <f t="shared" si="362"/>
        <v>31</v>
      </c>
      <c r="AF9060" s="831" t="s">
        <v>9719</v>
      </c>
      <c r="AG9060" s="831" t="s">
        <v>2674</v>
      </c>
      <c r="AH9060" s="831" t="s">
        <v>580</v>
      </c>
      <c r="AI9060" s="831">
        <v>0</v>
      </c>
      <c r="AJ9060" s="835">
        <v>40939</v>
      </c>
      <c r="AK9060" s="831">
        <v>0</v>
      </c>
    </row>
    <row r="9061" spans="2:37">
      <c r="B9061" s="834" t="str">
        <f t="shared" si="361"/>
        <v>|||</v>
      </c>
      <c r="H9061" s="835">
        <f t="shared" si="362"/>
        <v>31</v>
      </c>
      <c r="AF9061" s="831" t="s">
        <v>9720</v>
      </c>
      <c r="AG9061" s="831" t="s">
        <v>2674</v>
      </c>
      <c r="AH9061" s="831" t="s">
        <v>581</v>
      </c>
      <c r="AI9061" s="831">
        <v>0</v>
      </c>
      <c r="AJ9061" s="835">
        <v>40939</v>
      </c>
      <c r="AK9061" s="831">
        <v>0</v>
      </c>
    </row>
    <row r="9062" spans="2:37">
      <c r="B9062" s="834" t="str">
        <f t="shared" si="361"/>
        <v>|||</v>
      </c>
      <c r="H9062" s="835">
        <f t="shared" si="362"/>
        <v>31</v>
      </c>
      <c r="AF9062" s="831" t="s">
        <v>9721</v>
      </c>
      <c r="AG9062" s="831" t="s">
        <v>2674</v>
      </c>
      <c r="AH9062" s="831" t="s">
        <v>105</v>
      </c>
      <c r="AI9062" s="831">
        <v>0</v>
      </c>
      <c r="AJ9062" s="835">
        <v>40939</v>
      </c>
      <c r="AK9062" s="831">
        <v>144910991</v>
      </c>
    </row>
    <row r="9063" spans="2:37">
      <c r="B9063" s="834" t="str">
        <f t="shared" si="361"/>
        <v>|||</v>
      </c>
      <c r="H9063" s="835">
        <f t="shared" si="362"/>
        <v>31</v>
      </c>
      <c r="AF9063" s="831" t="s">
        <v>9722</v>
      </c>
      <c r="AG9063" s="831" t="s">
        <v>2674</v>
      </c>
      <c r="AH9063" s="831" t="s">
        <v>3049</v>
      </c>
      <c r="AI9063" s="831">
        <v>0</v>
      </c>
      <c r="AJ9063" s="835">
        <v>40939</v>
      </c>
      <c r="AK9063" s="831">
        <v>285149654</v>
      </c>
    </row>
    <row r="9064" spans="2:37">
      <c r="B9064" s="834" t="str">
        <f t="shared" si="361"/>
        <v>|||</v>
      </c>
      <c r="H9064" s="835">
        <f t="shared" si="362"/>
        <v>31</v>
      </c>
      <c r="AF9064" s="831" t="s">
        <v>9723</v>
      </c>
      <c r="AG9064" s="831" t="s">
        <v>2674</v>
      </c>
      <c r="AH9064" s="831" t="s">
        <v>103</v>
      </c>
      <c r="AI9064" s="831">
        <v>0</v>
      </c>
      <c r="AJ9064" s="835">
        <v>40939</v>
      </c>
      <c r="AK9064" s="831">
        <v>140238663</v>
      </c>
    </row>
    <row r="9065" spans="2:37">
      <c r="B9065" s="834" t="str">
        <f t="shared" si="361"/>
        <v>|||</v>
      </c>
      <c r="H9065" s="835">
        <f t="shared" si="362"/>
        <v>31</v>
      </c>
      <c r="AF9065" s="831" t="s">
        <v>9724</v>
      </c>
      <c r="AG9065" s="831" t="s">
        <v>2674</v>
      </c>
      <c r="AH9065" s="831" t="s">
        <v>182</v>
      </c>
      <c r="AI9065" s="831">
        <v>0</v>
      </c>
      <c r="AJ9065" s="835">
        <v>40939</v>
      </c>
      <c r="AK9065" s="831">
        <v>46370880</v>
      </c>
    </row>
    <row r="9066" spans="2:37">
      <c r="B9066" s="834" t="str">
        <f t="shared" si="361"/>
        <v>|||</v>
      </c>
      <c r="H9066" s="835">
        <f t="shared" si="362"/>
        <v>31</v>
      </c>
      <c r="AF9066" s="831" t="s">
        <v>9725</v>
      </c>
      <c r="AG9066" s="831" t="s">
        <v>2674</v>
      </c>
      <c r="AH9066" s="831" t="s">
        <v>6600</v>
      </c>
      <c r="AI9066" s="831">
        <v>0</v>
      </c>
      <c r="AJ9066" s="835">
        <v>40939</v>
      </c>
      <c r="AK9066" s="831">
        <v>0</v>
      </c>
    </row>
    <row r="9067" spans="2:37">
      <c r="B9067" s="834" t="str">
        <f t="shared" si="361"/>
        <v>|||</v>
      </c>
      <c r="H9067" s="835">
        <f t="shared" si="362"/>
        <v>31</v>
      </c>
      <c r="AF9067" s="831" t="s">
        <v>9726</v>
      </c>
      <c r="AG9067" s="831" t="s">
        <v>2674</v>
      </c>
      <c r="AH9067" s="831" t="s">
        <v>6602</v>
      </c>
      <c r="AI9067" s="831">
        <v>0</v>
      </c>
      <c r="AJ9067" s="835">
        <v>40939</v>
      </c>
      <c r="AK9067" s="831">
        <v>1366207</v>
      </c>
    </row>
    <row r="9068" spans="2:37">
      <c r="B9068" s="834" t="str">
        <f t="shared" si="361"/>
        <v>|||</v>
      </c>
      <c r="H9068" s="835">
        <f t="shared" si="362"/>
        <v>31</v>
      </c>
      <c r="AF9068" s="831" t="s">
        <v>9727</v>
      </c>
      <c r="AG9068" s="831" t="s">
        <v>2674</v>
      </c>
      <c r="AH9068" s="831" t="s">
        <v>650</v>
      </c>
      <c r="AI9068" s="831">
        <v>0</v>
      </c>
      <c r="AJ9068" s="835">
        <v>40939</v>
      </c>
      <c r="AK9068" s="831">
        <v>0</v>
      </c>
    </row>
    <row r="9069" spans="2:37">
      <c r="B9069" s="834" t="str">
        <f t="shared" si="361"/>
        <v>|||</v>
      </c>
      <c r="H9069" s="835">
        <f t="shared" si="362"/>
        <v>31</v>
      </c>
      <c r="AF9069" s="831" t="s">
        <v>9728</v>
      </c>
      <c r="AG9069" s="831" t="s">
        <v>2674</v>
      </c>
      <c r="AH9069" s="831" t="s">
        <v>655</v>
      </c>
      <c r="AI9069" s="831">
        <v>0</v>
      </c>
      <c r="AJ9069" s="835">
        <v>40939</v>
      </c>
      <c r="AK9069" s="831">
        <v>1888825</v>
      </c>
    </row>
    <row r="9070" spans="2:37">
      <c r="B9070" s="834" t="str">
        <f t="shared" si="361"/>
        <v>|||</v>
      </c>
      <c r="H9070" s="835">
        <f t="shared" si="362"/>
        <v>31</v>
      </c>
      <c r="AF9070" s="831" t="s">
        <v>9729</v>
      </c>
      <c r="AG9070" s="831" t="s">
        <v>2674</v>
      </c>
      <c r="AH9070" s="831" t="s">
        <v>546</v>
      </c>
      <c r="AI9070" s="831">
        <v>0</v>
      </c>
      <c r="AJ9070" s="835">
        <v>40968</v>
      </c>
      <c r="AK9070" s="831">
        <v>305990686</v>
      </c>
    </row>
    <row r="9071" spans="2:37">
      <c r="B9071" s="834" t="str">
        <f t="shared" si="361"/>
        <v>|||</v>
      </c>
      <c r="H9071" s="835">
        <f t="shared" si="362"/>
        <v>31</v>
      </c>
      <c r="AF9071" s="831" t="s">
        <v>9730</v>
      </c>
      <c r="AG9071" s="831" t="s">
        <v>2674</v>
      </c>
      <c r="AH9071" s="831" t="s">
        <v>370</v>
      </c>
      <c r="AI9071" s="831">
        <v>0</v>
      </c>
      <c r="AJ9071" s="835">
        <v>40968</v>
      </c>
      <c r="AK9071" s="831">
        <v>384086017</v>
      </c>
    </row>
    <row r="9072" spans="2:37">
      <c r="B9072" s="834" t="str">
        <f t="shared" si="361"/>
        <v>|||</v>
      </c>
      <c r="H9072" s="835">
        <f t="shared" si="362"/>
        <v>31</v>
      </c>
      <c r="AF9072" s="831" t="s">
        <v>9731</v>
      </c>
      <c r="AG9072" s="831" t="s">
        <v>2674</v>
      </c>
      <c r="AH9072" s="831" t="s">
        <v>126</v>
      </c>
      <c r="AI9072" s="831">
        <v>0</v>
      </c>
      <c r="AJ9072" s="835">
        <v>40968</v>
      </c>
      <c r="AK9072" s="831">
        <v>87906165</v>
      </c>
    </row>
    <row r="9073" spans="2:37">
      <c r="B9073" s="834" t="str">
        <f t="shared" si="361"/>
        <v>|||</v>
      </c>
      <c r="H9073" s="835">
        <f t="shared" si="362"/>
        <v>31</v>
      </c>
      <c r="AF9073" s="831" t="s">
        <v>9732</v>
      </c>
      <c r="AG9073" s="831" t="s">
        <v>2674</v>
      </c>
      <c r="AH9073" s="831" t="s">
        <v>268</v>
      </c>
      <c r="AI9073" s="831">
        <v>0</v>
      </c>
      <c r="AJ9073" s="835">
        <v>40968</v>
      </c>
      <c r="AK9073" s="831">
        <v>2318849</v>
      </c>
    </row>
    <row r="9074" spans="2:37">
      <c r="B9074" s="834" t="str">
        <f t="shared" si="361"/>
        <v>|||</v>
      </c>
      <c r="H9074" s="835">
        <f t="shared" si="362"/>
        <v>31</v>
      </c>
      <c r="AF9074" s="831" t="s">
        <v>9733</v>
      </c>
      <c r="AG9074" s="831" t="s">
        <v>2674</v>
      </c>
      <c r="AH9074" s="831" t="s">
        <v>547</v>
      </c>
      <c r="AI9074" s="831">
        <v>0</v>
      </c>
      <c r="AJ9074" s="835">
        <v>40968</v>
      </c>
      <c r="AK9074" s="831">
        <v>385233396</v>
      </c>
    </row>
    <row r="9075" spans="2:37">
      <c r="B9075" s="834" t="str">
        <f t="shared" si="361"/>
        <v>|||</v>
      </c>
      <c r="H9075" s="835">
        <f t="shared" si="362"/>
        <v>31</v>
      </c>
      <c r="AF9075" s="831" t="s">
        <v>9734</v>
      </c>
      <c r="AG9075" s="831" t="s">
        <v>2674</v>
      </c>
      <c r="AH9075" s="831" t="s">
        <v>548</v>
      </c>
      <c r="AI9075" s="831">
        <v>0</v>
      </c>
      <c r="AJ9075" s="835">
        <v>40968</v>
      </c>
      <c r="AK9075" s="831">
        <v>86953523</v>
      </c>
    </row>
    <row r="9076" spans="2:37">
      <c r="B9076" s="834" t="str">
        <f t="shared" si="361"/>
        <v>|||</v>
      </c>
      <c r="H9076" s="835">
        <f t="shared" si="362"/>
        <v>31</v>
      </c>
      <c r="AF9076" s="831" t="s">
        <v>9735</v>
      </c>
      <c r="AG9076" s="831" t="s">
        <v>2674</v>
      </c>
      <c r="AH9076" s="831" t="s">
        <v>549</v>
      </c>
      <c r="AI9076" s="831">
        <v>0</v>
      </c>
      <c r="AJ9076" s="835">
        <v>40968</v>
      </c>
      <c r="AK9076" s="831">
        <v>0</v>
      </c>
    </row>
    <row r="9077" spans="2:37">
      <c r="B9077" s="834" t="str">
        <f t="shared" si="361"/>
        <v>|||</v>
      </c>
      <c r="H9077" s="835">
        <f t="shared" si="362"/>
        <v>31</v>
      </c>
      <c r="AF9077" s="831" t="s">
        <v>9736</v>
      </c>
      <c r="AG9077" s="831" t="s">
        <v>2674</v>
      </c>
      <c r="AH9077" s="831" t="s">
        <v>192</v>
      </c>
      <c r="AI9077" s="831">
        <v>0</v>
      </c>
      <c r="AJ9077" s="835">
        <v>40968</v>
      </c>
      <c r="AK9077" s="831">
        <v>-8257242</v>
      </c>
    </row>
    <row r="9078" spans="2:37">
      <c r="B9078" s="834" t="str">
        <f t="shared" si="361"/>
        <v>|||</v>
      </c>
      <c r="H9078" s="835">
        <f t="shared" si="362"/>
        <v>31</v>
      </c>
      <c r="AF9078" s="831" t="s">
        <v>9737</v>
      </c>
      <c r="AG9078" s="831" t="s">
        <v>2674</v>
      </c>
      <c r="AH9078" s="831" t="s">
        <v>558</v>
      </c>
      <c r="AI9078" s="831">
        <v>0</v>
      </c>
      <c r="AJ9078" s="835">
        <v>40968</v>
      </c>
      <c r="AK9078" s="831">
        <v>296179852</v>
      </c>
    </row>
    <row r="9079" spans="2:37">
      <c r="B9079" s="834" t="str">
        <f t="shared" si="361"/>
        <v>|||</v>
      </c>
      <c r="H9079" s="835">
        <f t="shared" si="362"/>
        <v>31</v>
      </c>
      <c r="AF9079" s="831" t="s">
        <v>9738</v>
      </c>
      <c r="AG9079" s="831" t="s">
        <v>2674</v>
      </c>
      <c r="AH9079" s="831" t="s">
        <v>65</v>
      </c>
      <c r="AI9079" s="831">
        <v>0</v>
      </c>
      <c r="AJ9079" s="835">
        <v>40968</v>
      </c>
      <c r="AK9079" s="831">
        <v>15186582</v>
      </c>
    </row>
    <row r="9080" spans="2:37">
      <c r="B9080" s="834" t="str">
        <f t="shared" si="361"/>
        <v>|||</v>
      </c>
      <c r="H9080" s="835">
        <f t="shared" si="362"/>
        <v>31</v>
      </c>
      <c r="AF9080" s="831" t="s">
        <v>9739</v>
      </c>
      <c r="AG9080" s="831" t="s">
        <v>2674</v>
      </c>
      <c r="AH9080" s="831" t="s">
        <v>89</v>
      </c>
      <c r="AI9080" s="831">
        <v>0</v>
      </c>
      <c r="AJ9080" s="835">
        <v>40968</v>
      </c>
      <c r="AK9080" s="831">
        <v>118604</v>
      </c>
    </row>
    <row r="9081" spans="2:37">
      <c r="B9081" s="834" t="str">
        <f t="shared" si="361"/>
        <v>|||</v>
      </c>
      <c r="H9081" s="835">
        <f t="shared" si="362"/>
        <v>31</v>
      </c>
      <c r="AF9081" s="831" t="s">
        <v>9740</v>
      </c>
      <c r="AG9081" s="831" t="s">
        <v>2674</v>
      </c>
      <c r="AH9081" s="831" t="s">
        <v>557</v>
      </c>
      <c r="AI9081" s="831">
        <v>0</v>
      </c>
      <c r="AJ9081" s="835">
        <v>40968</v>
      </c>
      <c r="AK9081" s="831">
        <v>120308</v>
      </c>
    </row>
    <row r="9082" spans="2:37">
      <c r="B9082" s="834" t="str">
        <f t="shared" si="361"/>
        <v>|||</v>
      </c>
      <c r="H9082" s="835">
        <f t="shared" si="362"/>
        <v>31</v>
      </c>
      <c r="AF9082" s="831" t="s">
        <v>9741</v>
      </c>
      <c r="AG9082" s="831" t="s">
        <v>2674</v>
      </c>
      <c r="AH9082" s="831" t="s">
        <v>29</v>
      </c>
      <c r="AI9082" s="831">
        <v>0</v>
      </c>
      <c r="AJ9082" s="835">
        <v>40968</v>
      </c>
      <c r="AK9082" s="831">
        <v>2172159</v>
      </c>
    </row>
    <row r="9083" spans="2:37">
      <c r="B9083" s="834" t="str">
        <f t="shared" si="361"/>
        <v>|||</v>
      </c>
      <c r="H9083" s="835">
        <f t="shared" si="362"/>
        <v>31</v>
      </c>
      <c r="AF9083" s="831" t="s">
        <v>9742</v>
      </c>
      <c r="AG9083" s="831" t="s">
        <v>2674</v>
      </c>
      <c r="AH9083" s="831" t="s">
        <v>2688</v>
      </c>
      <c r="AI9083" s="831">
        <v>0</v>
      </c>
      <c r="AJ9083" s="835">
        <v>40968</v>
      </c>
      <c r="AK9083" s="831">
        <v>3150519</v>
      </c>
    </row>
    <row r="9084" spans="2:37">
      <c r="B9084" s="834" t="str">
        <f t="shared" si="361"/>
        <v>|||</v>
      </c>
      <c r="H9084" s="835">
        <f t="shared" si="362"/>
        <v>31</v>
      </c>
      <c r="AF9084" s="831" t="s">
        <v>9743</v>
      </c>
      <c r="AG9084" s="831" t="s">
        <v>2674</v>
      </c>
      <c r="AH9084" s="831" t="s">
        <v>556</v>
      </c>
      <c r="AI9084" s="831">
        <v>0</v>
      </c>
      <c r="AJ9084" s="835">
        <v>40968</v>
      </c>
      <c r="AK9084" s="831">
        <v>0</v>
      </c>
    </row>
    <row r="9085" spans="2:37">
      <c r="B9085" s="834" t="str">
        <f t="shared" si="361"/>
        <v>|||</v>
      </c>
      <c r="H9085" s="835">
        <f t="shared" si="362"/>
        <v>31</v>
      </c>
      <c r="AF9085" s="831" t="s">
        <v>9744</v>
      </c>
      <c r="AG9085" s="831" t="s">
        <v>2674</v>
      </c>
      <c r="AH9085" s="831" t="s">
        <v>555</v>
      </c>
      <c r="AI9085" s="831">
        <v>0</v>
      </c>
      <c r="AJ9085" s="835">
        <v>40968</v>
      </c>
      <c r="AK9085" s="831">
        <v>182799580</v>
      </c>
    </row>
    <row r="9086" spans="2:37">
      <c r="B9086" s="834" t="str">
        <f t="shared" si="361"/>
        <v>|||</v>
      </c>
      <c r="H9086" s="835">
        <f t="shared" si="362"/>
        <v>31</v>
      </c>
      <c r="AF9086" s="831" t="s">
        <v>9745</v>
      </c>
      <c r="AG9086" s="831" t="s">
        <v>2674</v>
      </c>
      <c r="AH9086" s="831" t="s">
        <v>554</v>
      </c>
      <c r="AI9086" s="831">
        <v>0</v>
      </c>
      <c r="AJ9086" s="835">
        <v>40968</v>
      </c>
      <c r="AK9086" s="831">
        <v>181830770</v>
      </c>
    </row>
    <row r="9087" spans="2:37">
      <c r="B9087" s="834" t="str">
        <f t="shared" si="361"/>
        <v>|||</v>
      </c>
      <c r="H9087" s="835">
        <f t="shared" si="362"/>
        <v>31</v>
      </c>
      <c r="AF9087" s="831" t="s">
        <v>9746</v>
      </c>
      <c r="AG9087" s="831" t="s">
        <v>2674</v>
      </c>
      <c r="AH9087" s="831" t="s">
        <v>553</v>
      </c>
      <c r="AI9087" s="831">
        <v>0</v>
      </c>
      <c r="AJ9087" s="835">
        <v>40968</v>
      </c>
      <c r="AK9087" s="831">
        <v>0</v>
      </c>
    </row>
    <row r="9088" spans="2:37">
      <c r="B9088" s="834" t="str">
        <f t="shared" si="361"/>
        <v>|||</v>
      </c>
      <c r="H9088" s="835">
        <f t="shared" si="362"/>
        <v>31</v>
      </c>
      <c r="AF9088" s="831" t="s">
        <v>9747</v>
      </c>
      <c r="AG9088" s="831" t="s">
        <v>2674</v>
      </c>
      <c r="AH9088" s="831" t="s">
        <v>552</v>
      </c>
      <c r="AI9088" s="831">
        <v>0</v>
      </c>
      <c r="AJ9088" s="835">
        <v>40968</v>
      </c>
      <c r="AK9088" s="831">
        <v>0</v>
      </c>
    </row>
    <row r="9089" spans="2:37">
      <c r="B9089" s="834" t="str">
        <f t="shared" si="361"/>
        <v>|||</v>
      </c>
      <c r="H9089" s="835">
        <f t="shared" si="362"/>
        <v>31</v>
      </c>
      <c r="AF9089" s="831" t="s">
        <v>9748</v>
      </c>
      <c r="AG9089" s="831" t="s">
        <v>2674</v>
      </c>
      <c r="AH9089" s="831" t="s">
        <v>551</v>
      </c>
      <c r="AI9089" s="831">
        <v>0</v>
      </c>
      <c r="AJ9089" s="835">
        <v>40968</v>
      </c>
      <c r="AK9089" s="831">
        <v>1974854</v>
      </c>
    </row>
    <row r="9090" spans="2:37">
      <c r="B9090" s="834" t="str">
        <f t="shared" si="361"/>
        <v>|||</v>
      </c>
      <c r="H9090" s="835">
        <f t="shared" si="362"/>
        <v>31</v>
      </c>
      <c r="AF9090" s="831" t="s">
        <v>9749</v>
      </c>
      <c r="AG9090" s="831" t="s">
        <v>2674</v>
      </c>
      <c r="AH9090" s="831" t="s">
        <v>550</v>
      </c>
      <c r="AI9090" s="831">
        <v>0</v>
      </c>
      <c r="AJ9090" s="835">
        <v>40968</v>
      </c>
      <c r="AK9090" s="831">
        <v>86953523</v>
      </c>
    </row>
    <row r="9091" spans="2:37">
      <c r="B9091" s="834" t="str">
        <f t="shared" ref="B9091:B9154" si="363">C9091&amp;"|"&amp;D9091&amp;"|"&amp;E9091&amp;"|"&amp;F9091</f>
        <v>|||</v>
      </c>
      <c r="H9091" s="835">
        <f t="shared" si="362"/>
        <v>31</v>
      </c>
      <c r="AF9091" s="831" t="s">
        <v>9750</v>
      </c>
      <c r="AG9091" s="831" t="s">
        <v>2674</v>
      </c>
      <c r="AH9091" s="831" t="s">
        <v>562</v>
      </c>
      <c r="AI9091" s="831">
        <v>0</v>
      </c>
      <c r="AJ9091" s="835">
        <v>40968</v>
      </c>
      <c r="AK9091" s="831">
        <v>0.78574999999999995</v>
      </c>
    </row>
    <row r="9092" spans="2:37">
      <c r="B9092" s="834" t="str">
        <f t="shared" si="363"/>
        <v>|||</v>
      </c>
      <c r="H9092" s="835">
        <f t="shared" ref="H9092:H9155" si="364">EOMONTH(L9092,0)</f>
        <v>31</v>
      </c>
      <c r="AF9092" s="831" t="s">
        <v>9751</v>
      </c>
      <c r="AG9092" s="831" t="s">
        <v>2674</v>
      </c>
      <c r="AH9092" s="831" t="s">
        <v>2698</v>
      </c>
      <c r="AI9092" s="831">
        <v>0</v>
      </c>
      <c r="AJ9092" s="835">
        <v>40968</v>
      </c>
      <c r="AK9092" s="831">
        <v>0.78615000000000002</v>
      </c>
    </row>
    <row r="9093" spans="2:37">
      <c r="B9093" s="834" t="str">
        <f t="shared" si="363"/>
        <v>|||</v>
      </c>
      <c r="H9093" s="835">
        <f t="shared" si="364"/>
        <v>31</v>
      </c>
      <c r="AF9093" s="831" t="s">
        <v>9752</v>
      </c>
      <c r="AG9093" s="831" t="s">
        <v>2674</v>
      </c>
      <c r="AH9093" s="831" t="s">
        <v>560</v>
      </c>
      <c r="AI9093" s="831">
        <v>0</v>
      </c>
      <c r="AJ9093" s="835">
        <v>40968</v>
      </c>
      <c r="AK9093" s="831">
        <v>0.78595000000000004</v>
      </c>
    </row>
    <row r="9094" spans="2:37">
      <c r="B9094" s="834" t="str">
        <f t="shared" si="363"/>
        <v>|||</v>
      </c>
      <c r="H9094" s="835">
        <f t="shared" si="364"/>
        <v>31</v>
      </c>
      <c r="AF9094" s="831" t="s">
        <v>9753</v>
      </c>
      <c r="AG9094" s="831" t="s">
        <v>2674</v>
      </c>
      <c r="AH9094" s="831" t="s">
        <v>559</v>
      </c>
      <c r="AI9094" s="831">
        <v>0</v>
      </c>
      <c r="AJ9094" s="835">
        <v>40968</v>
      </c>
      <c r="AK9094" s="831">
        <v>0.78714166666666696</v>
      </c>
    </row>
    <row r="9095" spans="2:37">
      <c r="B9095" s="834" t="str">
        <f t="shared" si="363"/>
        <v>|||</v>
      </c>
      <c r="H9095" s="835">
        <f t="shared" si="364"/>
        <v>31</v>
      </c>
      <c r="AF9095" s="831" t="s">
        <v>9754</v>
      </c>
      <c r="AG9095" s="831" t="s">
        <v>2674</v>
      </c>
      <c r="AH9095" s="831" t="s">
        <v>568</v>
      </c>
      <c r="AI9095" s="831">
        <v>0</v>
      </c>
      <c r="AJ9095" s="835">
        <v>40968</v>
      </c>
      <c r="AK9095" s="831">
        <v>0</v>
      </c>
    </row>
    <row r="9096" spans="2:37">
      <c r="B9096" s="834" t="str">
        <f t="shared" si="363"/>
        <v>|||</v>
      </c>
      <c r="H9096" s="835">
        <f t="shared" si="364"/>
        <v>31</v>
      </c>
      <c r="AF9096" s="831" t="s">
        <v>9755</v>
      </c>
      <c r="AG9096" s="831" t="s">
        <v>2674</v>
      </c>
      <c r="AH9096" s="831" t="s">
        <v>569</v>
      </c>
      <c r="AI9096" s="831">
        <v>0</v>
      </c>
      <c r="AJ9096" s="835">
        <v>40968</v>
      </c>
      <c r="AK9096" s="831">
        <v>0</v>
      </c>
    </row>
    <row r="9097" spans="2:37">
      <c r="B9097" s="834" t="str">
        <f t="shared" si="363"/>
        <v>|||</v>
      </c>
      <c r="H9097" s="835">
        <f t="shared" si="364"/>
        <v>31</v>
      </c>
      <c r="AF9097" s="831" t="s">
        <v>9756</v>
      </c>
      <c r="AG9097" s="831" t="s">
        <v>2674</v>
      </c>
      <c r="AH9097" s="831" t="s">
        <v>570</v>
      </c>
      <c r="AI9097" s="831">
        <v>0</v>
      </c>
      <c r="AJ9097" s="835">
        <v>40968</v>
      </c>
      <c r="AK9097" s="831">
        <v>0</v>
      </c>
    </row>
    <row r="9098" spans="2:37">
      <c r="B9098" s="834" t="str">
        <f t="shared" si="363"/>
        <v>|||</v>
      </c>
      <c r="H9098" s="835">
        <f t="shared" si="364"/>
        <v>31</v>
      </c>
      <c r="AF9098" s="831" t="s">
        <v>9757</v>
      </c>
      <c r="AG9098" s="831" t="s">
        <v>2674</v>
      </c>
      <c r="AH9098" s="831" t="s">
        <v>571</v>
      </c>
      <c r="AI9098" s="831">
        <v>0</v>
      </c>
      <c r="AJ9098" s="835">
        <v>40968</v>
      </c>
      <c r="AK9098" s="831">
        <v>0</v>
      </c>
    </row>
    <row r="9099" spans="2:37">
      <c r="B9099" s="834" t="str">
        <f t="shared" si="363"/>
        <v>|||</v>
      </c>
      <c r="H9099" s="835">
        <f t="shared" si="364"/>
        <v>31</v>
      </c>
      <c r="AF9099" s="831" t="s">
        <v>9758</v>
      </c>
      <c r="AG9099" s="831" t="s">
        <v>2674</v>
      </c>
      <c r="AH9099" s="831" t="s">
        <v>573</v>
      </c>
      <c r="AI9099" s="831">
        <v>0</v>
      </c>
      <c r="AJ9099" s="835">
        <v>40968</v>
      </c>
      <c r="AK9099" s="831">
        <v>0</v>
      </c>
    </row>
    <row r="9100" spans="2:37">
      <c r="B9100" s="834" t="str">
        <f t="shared" si="363"/>
        <v>|||</v>
      </c>
      <c r="H9100" s="835">
        <f t="shared" si="364"/>
        <v>31</v>
      </c>
      <c r="AF9100" s="831" t="s">
        <v>9759</v>
      </c>
      <c r="AG9100" s="831" t="s">
        <v>2674</v>
      </c>
      <c r="AH9100" s="831" t="s">
        <v>574</v>
      </c>
      <c r="AI9100" s="831">
        <v>0</v>
      </c>
      <c r="AJ9100" s="835">
        <v>40968</v>
      </c>
      <c r="AK9100" s="831">
        <v>0</v>
      </c>
    </row>
    <row r="9101" spans="2:37">
      <c r="B9101" s="834" t="str">
        <f t="shared" si="363"/>
        <v>|||</v>
      </c>
      <c r="H9101" s="835">
        <f t="shared" si="364"/>
        <v>31</v>
      </c>
      <c r="AF9101" s="831" t="s">
        <v>9760</v>
      </c>
      <c r="AG9101" s="831" t="s">
        <v>2674</v>
      </c>
      <c r="AH9101" s="831" t="s">
        <v>575</v>
      </c>
      <c r="AI9101" s="831">
        <v>0</v>
      </c>
      <c r="AJ9101" s="835">
        <v>40968</v>
      </c>
      <c r="AK9101" s="831">
        <v>0</v>
      </c>
    </row>
    <row r="9102" spans="2:37">
      <c r="B9102" s="834" t="str">
        <f t="shared" si="363"/>
        <v>|||</v>
      </c>
      <c r="H9102" s="835">
        <f t="shared" si="364"/>
        <v>31</v>
      </c>
      <c r="AF9102" s="831" t="s">
        <v>9761</v>
      </c>
      <c r="AG9102" s="831" t="s">
        <v>2674</v>
      </c>
      <c r="AH9102" s="831" t="s">
        <v>576</v>
      </c>
      <c r="AI9102" s="831">
        <v>0</v>
      </c>
      <c r="AJ9102" s="835">
        <v>40968</v>
      </c>
      <c r="AK9102" s="831">
        <v>0</v>
      </c>
    </row>
    <row r="9103" spans="2:37">
      <c r="B9103" s="834" t="str">
        <f t="shared" si="363"/>
        <v>|||</v>
      </c>
      <c r="H9103" s="835">
        <f t="shared" si="364"/>
        <v>31</v>
      </c>
      <c r="AF9103" s="831" t="s">
        <v>9762</v>
      </c>
      <c r="AG9103" s="831" t="s">
        <v>2674</v>
      </c>
      <c r="AH9103" s="831" t="s">
        <v>572</v>
      </c>
      <c r="AI9103" s="831">
        <v>0</v>
      </c>
      <c r="AJ9103" s="835">
        <v>40968</v>
      </c>
      <c r="AK9103" s="831">
        <v>0</v>
      </c>
    </row>
    <row r="9104" spans="2:37">
      <c r="B9104" s="834" t="str">
        <f t="shared" si="363"/>
        <v>|||</v>
      </c>
      <c r="H9104" s="835">
        <f t="shared" si="364"/>
        <v>31</v>
      </c>
      <c r="AF9104" s="831" t="s">
        <v>9763</v>
      </c>
      <c r="AG9104" s="831" t="s">
        <v>2674</v>
      </c>
      <c r="AH9104" s="831" t="s">
        <v>577</v>
      </c>
      <c r="AI9104" s="831">
        <v>0</v>
      </c>
      <c r="AJ9104" s="835">
        <v>40968</v>
      </c>
      <c r="AK9104" s="831">
        <v>0</v>
      </c>
    </row>
    <row r="9105" spans="2:37">
      <c r="B9105" s="834" t="str">
        <f t="shared" si="363"/>
        <v>|||</v>
      </c>
      <c r="H9105" s="835">
        <f t="shared" si="364"/>
        <v>31</v>
      </c>
      <c r="AF9105" s="831" t="s">
        <v>9764</v>
      </c>
      <c r="AG9105" s="831" t="s">
        <v>2674</v>
      </c>
      <c r="AH9105" s="831" t="s">
        <v>3042</v>
      </c>
      <c r="AI9105" s="831">
        <v>0</v>
      </c>
      <c r="AJ9105" s="835">
        <v>40968</v>
      </c>
      <c r="AK9105" s="831">
        <v>0</v>
      </c>
    </row>
    <row r="9106" spans="2:37">
      <c r="B9106" s="834" t="str">
        <f t="shared" si="363"/>
        <v>|||</v>
      </c>
      <c r="H9106" s="835">
        <f t="shared" si="364"/>
        <v>31</v>
      </c>
      <c r="AF9106" s="831" t="s">
        <v>9765</v>
      </c>
      <c r="AG9106" s="831" t="s">
        <v>2674</v>
      </c>
      <c r="AH9106" s="831" t="s">
        <v>3044</v>
      </c>
      <c r="AI9106" s="831">
        <v>0</v>
      </c>
      <c r="AJ9106" s="835">
        <v>40968</v>
      </c>
      <c r="AK9106" s="831">
        <v>0</v>
      </c>
    </row>
    <row r="9107" spans="2:37">
      <c r="B9107" s="834" t="str">
        <f t="shared" si="363"/>
        <v>|||</v>
      </c>
      <c r="H9107" s="835">
        <f t="shared" si="364"/>
        <v>31</v>
      </c>
      <c r="AF9107" s="831" t="s">
        <v>9766</v>
      </c>
      <c r="AG9107" s="831" t="s">
        <v>2674</v>
      </c>
      <c r="AH9107" s="831" t="s">
        <v>580</v>
      </c>
      <c r="AI9107" s="831">
        <v>0</v>
      </c>
      <c r="AJ9107" s="835">
        <v>40968</v>
      </c>
      <c r="AK9107" s="831">
        <v>0</v>
      </c>
    </row>
    <row r="9108" spans="2:37">
      <c r="B9108" s="834" t="str">
        <f t="shared" si="363"/>
        <v>|||</v>
      </c>
      <c r="H9108" s="835">
        <f t="shared" si="364"/>
        <v>31</v>
      </c>
      <c r="AF9108" s="831" t="s">
        <v>9767</v>
      </c>
      <c r="AG9108" s="831" t="s">
        <v>2674</v>
      </c>
      <c r="AH9108" s="831" t="s">
        <v>581</v>
      </c>
      <c r="AI9108" s="831">
        <v>0</v>
      </c>
      <c r="AJ9108" s="835">
        <v>40968</v>
      </c>
      <c r="AK9108" s="831">
        <v>0</v>
      </c>
    </row>
    <row r="9109" spans="2:37">
      <c r="B9109" s="834" t="str">
        <f t="shared" si="363"/>
        <v>|||</v>
      </c>
      <c r="H9109" s="835">
        <f t="shared" si="364"/>
        <v>31</v>
      </c>
      <c r="AF9109" s="831" t="s">
        <v>9768</v>
      </c>
      <c r="AG9109" s="831" t="s">
        <v>2674</v>
      </c>
      <c r="AH9109" s="831" t="s">
        <v>105</v>
      </c>
      <c r="AI9109" s="831">
        <v>0</v>
      </c>
      <c r="AJ9109" s="835">
        <v>40968</v>
      </c>
      <c r="AK9109" s="831">
        <v>144991884</v>
      </c>
    </row>
    <row r="9110" spans="2:37">
      <c r="B9110" s="834" t="str">
        <f t="shared" si="363"/>
        <v>|||</v>
      </c>
      <c r="H9110" s="835">
        <f t="shared" si="364"/>
        <v>31</v>
      </c>
      <c r="AF9110" s="831" t="s">
        <v>9769</v>
      </c>
      <c r="AG9110" s="831" t="s">
        <v>2674</v>
      </c>
      <c r="AH9110" s="831" t="s">
        <v>3049</v>
      </c>
      <c r="AI9110" s="831">
        <v>0</v>
      </c>
      <c r="AJ9110" s="835">
        <v>40968</v>
      </c>
      <c r="AK9110" s="831">
        <v>284085177</v>
      </c>
    </row>
    <row r="9111" spans="2:37">
      <c r="B9111" s="834" t="str">
        <f t="shared" si="363"/>
        <v>|||</v>
      </c>
      <c r="H9111" s="835">
        <f t="shared" si="364"/>
        <v>31</v>
      </c>
      <c r="AF9111" s="831" t="s">
        <v>9770</v>
      </c>
      <c r="AG9111" s="831" t="s">
        <v>2674</v>
      </c>
      <c r="AH9111" s="831" t="s">
        <v>103</v>
      </c>
      <c r="AI9111" s="831">
        <v>0</v>
      </c>
      <c r="AJ9111" s="835">
        <v>40968</v>
      </c>
      <c r="AK9111" s="831">
        <v>139093293</v>
      </c>
    </row>
    <row r="9112" spans="2:37">
      <c r="B9112" s="834" t="str">
        <f t="shared" si="363"/>
        <v>|||</v>
      </c>
      <c r="H9112" s="835">
        <f t="shared" si="364"/>
        <v>31</v>
      </c>
      <c r="AF9112" s="831" t="s">
        <v>9771</v>
      </c>
      <c r="AG9112" s="831" t="s">
        <v>2674</v>
      </c>
      <c r="AH9112" s="831" t="s">
        <v>182</v>
      </c>
      <c r="AI9112" s="831">
        <v>0</v>
      </c>
      <c r="AJ9112" s="835">
        <v>40968</v>
      </c>
      <c r="AK9112" s="831">
        <v>46604598</v>
      </c>
    </row>
    <row r="9113" spans="2:37">
      <c r="B9113" s="834" t="str">
        <f t="shared" si="363"/>
        <v>|||</v>
      </c>
      <c r="H9113" s="835">
        <f t="shared" si="364"/>
        <v>31</v>
      </c>
      <c r="AF9113" s="831" t="s">
        <v>9772</v>
      </c>
      <c r="AG9113" s="831" t="s">
        <v>2674</v>
      </c>
      <c r="AH9113" s="831" t="s">
        <v>6600</v>
      </c>
      <c r="AI9113" s="831">
        <v>0</v>
      </c>
      <c r="AJ9113" s="835">
        <v>40968</v>
      </c>
      <c r="AK9113" s="831">
        <v>0</v>
      </c>
    </row>
    <row r="9114" spans="2:37">
      <c r="B9114" s="834" t="str">
        <f t="shared" si="363"/>
        <v>|||</v>
      </c>
      <c r="H9114" s="835">
        <f t="shared" si="364"/>
        <v>31</v>
      </c>
      <c r="AF9114" s="831" t="s">
        <v>9773</v>
      </c>
      <c r="AG9114" s="831" t="s">
        <v>2674</v>
      </c>
      <c r="AH9114" s="831" t="s">
        <v>6602</v>
      </c>
      <c r="AI9114" s="831">
        <v>0</v>
      </c>
      <c r="AJ9114" s="835">
        <v>40968</v>
      </c>
      <c r="AK9114" s="831">
        <v>2318849</v>
      </c>
    </row>
    <row r="9115" spans="2:37">
      <c r="B9115" s="834" t="str">
        <f t="shared" si="363"/>
        <v>|||</v>
      </c>
      <c r="H9115" s="835">
        <f t="shared" si="364"/>
        <v>31</v>
      </c>
      <c r="AF9115" s="831" t="s">
        <v>9774</v>
      </c>
      <c r="AG9115" s="831" t="s">
        <v>2674</v>
      </c>
      <c r="AH9115" s="831" t="s">
        <v>650</v>
      </c>
      <c r="AI9115" s="831">
        <v>0</v>
      </c>
      <c r="AJ9115" s="835">
        <v>40968</v>
      </c>
      <c r="AK9115" s="831">
        <v>0</v>
      </c>
    </row>
    <row r="9116" spans="2:37">
      <c r="B9116" s="834" t="str">
        <f t="shared" si="363"/>
        <v>|||</v>
      </c>
      <c r="H9116" s="835">
        <f t="shared" si="364"/>
        <v>31</v>
      </c>
      <c r="AF9116" s="831" t="s">
        <v>9775</v>
      </c>
      <c r="AG9116" s="831" t="s">
        <v>2674</v>
      </c>
      <c r="AH9116" s="831" t="s">
        <v>655</v>
      </c>
      <c r="AI9116" s="831">
        <v>0</v>
      </c>
      <c r="AJ9116" s="835">
        <v>40968</v>
      </c>
      <c r="AK9116" s="831">
        <v>1959362</v>
      </c>
    </row>
    <row r="9117" spans="2:37">
      <c r="B9117" s="834" t="str">
        <f t="shared" si="363"/>
        <v>|||</v>
      </c>
      <c r="H9117" s="835">
        <f t="shared" si="364"/>
        <v>31</v>
      </c>
      <c r="AF9117" s="831" t="s">
        <v>9776</v>
      </c>
      <c r="AG9117" s="831" t="s">
        <v>2674</v>
      </c>
      <c r="AH9117" s="831" t="s">
        <v>546</v>
      </c>
      <c r="AI9117" s="831">
        <v>0</v>
      </c>
      <c r="AJ9117" s="835">
        <v>40999</v>
      </c>
      <c r="AK9117" s="831">
        <v>313604132</v>
      </c>
    </row>
    <row r="9118" spans="2:37">
      <c r="B9118" s="834" t="str">
        <f t="shared" si="363"/>
        <v>|||</v>
      </c>
      <c r="H9118" s="835">
        <f t="shared" si="364"/>
        <v>31</v>
      </c>
      <c r="AF9118" s="831" t="s">
        <v>9777</v>
      </c>
      <c r="AG9118" s="831" t="s">
        <v>2674</v>
      </c>
      <c r="AH9118" s="831" t="s">
        <v>370</v>
      </c>
      <c r="AI9118" s="831">
        <v>0</v>
      </c>
      <c r="AJ9118" s="835">
        <v>40999</v>
      </c>
      <c r="AK9118" s="831">
        <v>384040578</v>
      </c>
    </row>
    <row r="9119" spans="2:37">
      <c r="B9119" s="834" t="str">
        <f t="shared" si="363"/>
        <v>|||</v>
      </c>
      <c r="H9119" s="835">
        <f t="shared" si="364"/>
        <v>31</v>
      </c>
      <c r="AF9119" s="831" t="s">
        <v>9778</v>
      </c>
      <c r="AG9119" s="831" t="s">
        <v>2674</v>
      </c>
      <c r="AH9119" s="831" t="s">
        <v>126</v>
      </c>
      <c r="AI9119" s="831">
        <v>0</v>
      </c>
      <c r="AJ9119" s="835">
        <v>40999</v>
      </c>
      <c r="AK9119" s="831">
        <v>88043001</v>
      </c>
    </row>
    <row r="9120" spans="2:37">
      <c r="B9120" s="834" t="str">
        <f t="shared" si="363"/>
        <v>|||</v>
      </c>
      <c r="H9120" s="835">
        <f t="shared" si="364"/>
        <v>31</v>
      </c>
      <c r="AF9120" s="831" t="s">
        <v>9779</v>
      </c>
      <c r="AG9120" s="831" t="s">
        <v>2674</v>
      </c>
      <c r="AH9120" s="831" t="s">
        <v>268</v>
      </c>
      <c r="AI9120" s="831">
        <v>0</v>
      </c>
      <c r="AJ9120" s="835">
        <v>40999</v>
      </c>
      <c r="AK9120" s="831">
        <v>2455685</v>
      </c>
    </row>
    <row r="9121" spans="2:37">
      <c r="B9121" s="834" t="str">
        <f t="shared" si="363"/>
        <v>|||</v>
      </c>
      <c r="H9121" s="835">
        <f t="shared" si="364"/>
        <v>31</v>
      </c>
      <c r="AF9121" s="831" t="s">
        <v>9780</v>
      </c>
      <c r="AG9121" s="831" t="s">
        <v>2674</v>
      </c>
      <c r="AH9121" s="831" t="s">
        <v>547</v>
      </c>
      <c r="AI9121" s="831">
        <v>0</v>
      </c>
      <c r="AJ9121" s="835">
        <v>40999</v>
      </c>
      <c r="AK9121" s="831">
        <v>385233396</v>
      </c>
    </row>
    <row r="9122" spans="2:37">
      <c r="B9122" s="834" t="str">
        <f t="shared" si="363"/>
        <v>|||</v>
      </c>
      <c r="H9122" s="835">
        <f t="shared" si="364"/>
        <v>31</v>
      </c>
      <c r="AF9122" s="831" t="s">
        <v>9781</v>
      </c>
      <c r="AG9122" s="831" t="s">
        <v>2674</v>
      </c>
      <c r="AH9122" s="831" t="s">
        <v>548</v>
      </c>
      <c r="AI9122" s="831">
        <v>0</v>
      </c>
      <c r="AJ9122" s="835">
        <v>40999</v>
      </c>
      <c r="AK9122" s="831">
        <v>86953523</v>
      </c>
    </row>
    <row r="9123" spans="2:37">
      <c r="B9123" s="834" t="str">
        <f t="shared" si="363"/>
        <v>|||</v>
      </c>
      <c r="H9123" s="835">
        <f t="shared" si="364"/>
        <v>31</v>
      </c>
      <c r="AF9123" s="831" t="s">
        <v>9782</v>
      </c>
      <c r="AG9123" s="831" t="s">
        <v>2674</v>
      </c>
      <c r="AH9123" s="831" t="s">
        <v>549</v>
      </c>
      <c r="AI9123" s="831">
        <v>0</v>
      </c>
      <c r="AJ9123" s="835">
        <v>40999</v>
      </c>
      <c r="AK9123" s="831">
        <v>0</v>
      </c>
    </row>
    <row r="9124" spans="2:37">
      <c r="B9124" s="834" t="str">
        <f t="shared" si="363"/>
        <v>|||</v>
      </c>
      <c r="H9124" s="835">
        <f t="shared" si="364"/>
        <v>31</v>
      </c>
      <c r="AF9124" s="831" t="s">
        <v>9783</v>
      </c>
      <c r="AG9124" s="831" t="s">
        <v>2674</v>
      </c>
      <c r="AH9124" s="831" t="s">
        <v>192</v>
      </c>
      <c r="AI9124" s="831">
        <v>0</v>
      </c>
      <c r="AJ9124" s="835">
        <v>40999</v>
      </c>
      <c r="AK9124" s="831">
        <v>-8404190</v>
      </c>
    </row>
    <row r="9125" spans="2:37">
      <c r="B9125" s="834" t="str">
        <f t="shared" si="363"/>
        <v>|||</v>
      </c>
      <c r="H9125" s="835">
        <f t="shared" si="364"/>
        <v>31</v>
      </c>
      <c r="AF9125" s="831" t="s">
        <v>9784</v>
      </c>
      <c r="AG9125" s="831" t="s">
        <v>2674</v>
      </c>
      <c r="AH9125" s="831" t="s">
        <v>558</v>
      </c>
      <c r="AI9125" s="831">
        <v>0</v>
      </c>
      <c r="AJ9125" s="835">
        <v>40999</v>
      </c>
      <c r="AK9125" s="831">
        <v>295997577</v>
      </c>
    </row>
    <row r="9126" spans="2:37">
      <c r="B9126" s="834" t="str">
        <f t="shared" si="363"/>
        <v>|||</v>
      </c>
      <c r="H9126" s="835">
        <f t="shared" si="364"/>
        <v>31</v>
      </c>
      <c r="AF9126" s="831" t="s">
        <v>9785</v>
      </c>
      <c r="AG9126" s="831" t="s">
        <v>2674</v>
      </c>
      <c r="AH9126" s="831" t="s">
        <v>65</v>
      </c>
      <c r="AI9126" s="831">
        <v>0</v>
      </c>
      <c r="AJ9126" s="835">
        <v>40999</v>
      </c>
      <c r="AK9126" s="831">
        <v>21774914</v>
      </c>
    </row>
    <row r="9127" spans="2:37">
      <c r="B9127" s="834" t="str">
        <f t="shared" si="363"/>
        <v>|||</v>
      </c>
      <c r="H9127" s="835">
        <f t="shared" si="364"/>
        <v>31</v>
      </c>
      <c r="AF9127" s="831" t="s">
        <v>9786</v>
      </c>
      <c r="AG9127" s="831" t="s">
        <v>2674</v>
      </c>
      <c r="AH9127" s="831" t="s">
        <v>89</v>
      </c>
      <c r="AI9127" s="831">
        <v>0</v>
      </c>
      <c r="AJ9127" s="835">
        <v>40999</v>
      </c>
      <c r="AK9127" s="831">
        <v>119311</v>
      </c>
    </row>
    <row r="9128" spans="2:37">
      <c r="B9128" s="834" t="str">
        <f t="shared" si="363"/>
        <v>|||</v>
      </c>
      <c r="H9128" s="835">
        <f t="shared" si="364"/>
        <v>31</v>
      </c>
      <c r="AF9128" s="831" t="s">
        <v>9787</v>
      </c>
      <c r="AG9128" s="831" t="s">
        <v>2674</v>
      </c>
      <c r="AH9128" s="831" t="s">
        <v>557</v>
      </c>
      <c r="AI9128" s="831">
        <v>0</v>
      </c>
      <c r="AJ9128" s="835">
        <v>40999</v>
      </c>
      <c r="AK9128" s="831">
        <v>121023</v>
      </c>
    </row>
    <row r="9129" spans="2:37">
      <c r="B9129" s="834" t="str">
        <f t="shared" si="363"/>
        <v>|||</v>
      </c>
      <c r="H9129" s="835">
        <f t="shared" si="364"/>
        <v>31</v>
      </c>
      <c r="AF9129" s="831" t="s">
        <v>9788</v>
      </c>
      <c r="AG9129" s="831" t="s">
        <v>2674</v>
      </c>
      <c r="AH9129" s="831" t="s">
        <v>29</v>
      </c>
      <c r="AI9129" s="831">
        <v>0</v>
      </c>
      <c r="AJ9129" s="835">
        <v>40999</v>
      </c>
      <c r="AK9129" s="831">
        <v>2286625</v>
      </c>
    </row>
    <row r="9130" spans="2:37">
      <c r="B9130" s="834" t="str">
        <f t="shared" si="363"/>
        <v>|||</v>
      </c>
      <c r="H9130" s="835">
        <f t="shared" si="364"/>
        <v>31</v>
      </c>
      <c r="AF9130" s="831" t="s">
        <v>9789</v>
      </c>
      <c r="AG9130" s="831" t="s">
        <v>2674</v>
      </c>
      <c r="AH9130" s="831" t="s">
        <v>2688</v>
      </c>
      <c r="AI9130" s="831">
        <v>0</v>
      </c>
      <c r="AJ9130" s="835">
        <v>40999</v>
      </c>
      <c r="AK9130" s="831">
        <v>3267127</v>
      </c>
    </row>
    <row r="9131" spans="2:37">
      <c r="B9131" s="834" t="str">
        <f t="shared" si="363"/>
        <v>|||</v>
      </c>
      <c r="H9131" s="835">
        <f t="shared" si="364"/>
        <v>31</v>
      </c>
      <c r="AF9131" s="831" t="s">
        <v>9790</v>
      </c>
      <c r="AG9131" s="831" t="s">
        <v>2674</v>
      </c>
      <c r="AH9131" s="831" t="s">
        <v>556</v>
      </c>
      <c r="AI9131" s="831">
        <v>0</v>
      </c>
      <c r="AJ9131" s="835">
        <v>40999</v>
      </c>
      <c r="AK9131" s="831">
        <v>0</v>
      </c>
    </row>
    <row r="9132" spans="2:37">
      <c r="B9132" s="834" t="str">
        <f t="shared" si="363"/>
        <v>|||</v>
      </c>
      <c r="H9132" s="835">
        <f t="shared" si="364"/>
        <v>31</v>
      </c>
      <c r="AF9132" s="831" t="s">
        <v>9791</v>
      </c>
      <c r="AG9132" s="831" t="s">
        <v>2674</v>
      </c>
      <c r="AH9132" s="831" t="s">
        <v>555</v>
      </c>
      <c r="AI9132" s="831">
        <v>0</v>
      </c>
      <c r="AJ9132" s="835">
        <v>40999</v>
      </c>
      <c r="AK9132" s="831">
        <v>183193920</v>
      </c>
    </row>
    <row r="9133" spans="2:37">
      <c r="B9133" s="834" t="str">
        <f t="shared" si="363"/>
        <v>|||</v>
      </c>
      <c r="H9133" s="835">
        <f t="shared" si="364"/>
        <v>31</v>
      </c>
      <c r="AF9133" s="831" t="s">
        <v>9792</v>
      </c>
      <c r="AG9133" s="831" t="s">
        <v>2674</v>
      </c>
      <c r="AH9133" s="831" t="s">
        <v>554</v>
      </c>
      <c r="AI9133" s="831">
        <v>0</v>
      </c>
      <c r="AJ9133" s="835">
        <v>40999</v>
      </c>
      <c r="AK9133" s="831">
        <v>178122700</v>
      </c>
    </row>
    <row r="9134" spans="2:37">
      <c r="B9134" s="834" t="str">
        <f t="shared" si="363"/>
        <v>|||</v>
      </c>
      <c r="H9134" s="835">
        <f t="shared" si="364"/>
        <v>31</v>
      </c>
      <c r="AF9134" s="831" t="s">
        <v>9793</v>
      </c>
      <c r="AG9134" s="831" t="s">
        <v>2674</v>
      </c>
      <c r="AH9134" s="831" t="s">
        <v>553</v>
      </c>
      <c r="AI9134" s="831">
        <v>0</v>
      </c>
      <c r="AJ9134" s="835">
        <v>40999</v>
      </c>
      <c r="AK9134" s="831">
        <v>0</v>
      </c>
    </row>
    <row r="9135" spans="2:37">
      <c r="B9135" s="834" t="str">
        <f t="shared" si="363"/>
        <v>|||</v>
      </c>
      <c r="H9135" s="835">
        <f t="shared" si="364"/>
        <v>31</v>
      </c>
      <c r="AF9135" s="831" t="s">
        <v>9794</v>
      </c>
      <c r="AG9135" s="831" t="s">
        <v>2674</v>
      </c>
      <c r="AH9135" s="831" t="s">
        <v>552</v>
      </c>
      <c r="AI9135" s="831">
        <v>0</v>
      </c>
      <c r="AJ9135" s="835">
        <v>40999</v>
      </c>
      <c r="AK9135" s="831">
        <v>0</v>
      </c>
    </row>
    <row r="9136" spans="2:37">
      <c r="B9136" s="834" t="str">
        <f t="shared" si="363"/>
        <v>|||</v>
      </c>
      <c r="H9136" s="835">
        <f t="shared" si="364"/>
        <v>31</v>
      </c>
      <c r="AF9136" s="831" t="s">
        <v>9795</v>
      </c>
      <c r="AG9136" s="831" t="s">
        <v>2674</v>
      </c>
      <c r="AH9136" s="831" t="s">
        <v>551</v>
      </c>
      <c r="AI9136" s="831">
        <v>0</v>
      </c>
      <c r="AJ9136" s="835">
        <v>40999</v>
      </c>
      <c r="AK9136" s="831">
        <v>1975275</v>
      </c>
    </row>
    <row r="9137" spans="2:37">
      <c r="B9137" s="834" t="str">
        <f t="shared" si="363"/>
        <v>|||</v>
      </c>
      <c r="H9137" s="835">
        <f t="shared" si="364"/>
        <v>31</v>
      </c>
      <c r="AF9137" s="831" t="s">
        <v>9796</v>
      </c>
      <c r="AG9137" s="831" t="s">
        <v>2674</v>
      </c>
      <c r="AH9137" s="831" t="s">
        <v>550</v>
      </c>
      <c r="AI9137" s="831">
        <v>0</v>
      </c>
      <c r="AJ9137" s="835">
        <v>40999</v>
      </c>
      <c r="AK9137" s="831">
        <v>87906165</v>
      </c>
    </row>
    <row r="9138" spans="2:37">
      <c r="B9138" s="834" t="str">
        <f t="shared" si="363"/>
        <v>|||</v>
      </c>
      <c r="H9138" s="835">
        <f t="shared" si="364"/>
        <v>31</v>
      </c>
      <c r="AF9138" s="831" t="s">
        <v>9797</v>
      </c>
      <c r="AG9138" s="831" t="s">
        <v>2674</v>
      </c>
      <c r="AH9138" s="831" t="s">
        <v>562</v>
      </c>
      <c r="AI9138" s="831">
        <v>0</v>
      </c>
      <c r="AJ9138" s="835">
        <v>40999</v>
      </c>
      <c r="AK9138" s="831">
        <v>0.78610000000000002</v>
      </c>
    </row>
    <row r="9139" spans="2:37">
      <c r="B9139" s="834" t="str">
        <f t="shared" si="363"/>
        <v>|||</v>
      </c>
      <c r="H9139" s="835">
        <f t="shared" si="364"/>
        <v>31</v>
      </c>
      <c r="AF9139" s="831" t="s">
        <v>9798</v>
      </c>
      <c r="AG9139" s="831" t="s">
        <v>2674</v>
      </c>
      <c r="AH9139" s="831" t="s">
        <v>2698</v>
      </c>
      <c r="AI9139" s="831">
        <v>0</v>
      </c>
      <c r="AJ9139" s="835">
        <v>40999</v>
      </c>
      <c r="AK9139" s="831">
        <v>0.78574999999999995</v>
      </c>
    </row>
    <row r="9140" spans="2:37">
      <c r="B9140" s="834" t="str">
        <f t="shared" si="363"/>
        <v>|||</v>
      </c>
      <c r="H9140" s="835">
        <f t="shared" si="364"/>
        <v>31</v>
      </c>
      <c r="AF9140" s="831" t="s">
        <v>9799</v>
      </c>
      <c r="AG9140" s="831" t="s">
        <v>2674</v>
      </c>
      <c r="AH9140" s="831" t="s">
        <v>560</v>
      </c>
      <c r="AI9140" s="831">
        <v>0</v>
      </c>
      <c r="AJ9140" s="835">
        <v>40999</v>
      </c>
      <c r="AK9140" s="831">
        <v>0.78600000000000003</v>
      </c>
    </row>
    <row r="9141" spans="2:37">
      <c r="B9141" s="834" t="str">
        <f t="shared" si="363"/>
        <v>|||</v>
      </c>
      <c r="H9141" s="835">
        <f t="shared" si="364"/>
        <v>31</v>
      </c>
      <c r="AF9141" s="831" t="s">
        <v>9800</v>
      </c>
      <c r="AG9141" s="831" t="s">
        <v>2674</v>
      </c>
      <c r="AH9141" s="831" t="s">
        <v>559</v>
      </c>
      <c r="AI9141" s="831">
        <v>0</v>
      </c>
      <c r="AJ9141" s="835">
        <v>40999</v>
      </c>
      <c r="AK9141" s="831">
        <v>0.78639999999999999</v>
      </c>
    </row>
    <row r="9142" spans="2:37">
      <c r="B9142" s="834" t="str">
        <f t="shared" si="363"/>
        <v>|||</v>
      </c>
      <c r="H9142" s="835">
        <f t="shared" si="364"/>
        <v>31</v>
      </c>
      <c r="AF9142" s="831" t="s">
        <v>9801</v>
      </c>
      <c r="AG9142" s="831" t="s">
        <v>2674</v>
      </c>
      <c r="AH9142" s="831" t="s">
        <v>568</v>
      </c>
      <c r="AI9142" s="831">
        <v>0</v>
      </c>
      <c r="AJ9142" s="835">
        <v>40999</v>
      </c>
      <c r="AK9142" s="831">
        <v>0</v>
      </c>
    </row>
    <row r="9143" spans="2:37">
      <c r="B9143" s="834" t="str">
        <f t="shared" si="363"/>
        <v>|||</v>
      </c>
      <c r="H9143" s="835">
        <f t="shared" si="364"/>
        <v>31</v>
      </c>
      <c r="AF9143" s="831" t="s">
        <v>9802</v>
      </c>
      <c r="AG9143" s="831" t="s">
        <v>2674</v>
      </c>
      <c r="AH9143" s="831" t="s">
        <v>569</v>
      </c>
      <c r="AI9143" s="831">
        <v>0</v>
      </c>
      <c r="AJ9143" s="835">
        <v>40999</v>
      </c>
      <c r="AK9143" s="831">
        <v>0</v>
      </c>
    </row>
    <row r="9144" spans="2:37">
      <c r="B9144" s="834" t="str">
        <f t="shared" si="363"/>
        <v>|||</v>
      </c>
      <c r="H9144" s="835">
        <f t="shared" si="364"/>
        <v>31</v>
      </c>
      <c r="AF9144" s="831" t="s">
        <v>9803</v>
      </c>
      <c r="AG9144" s="831" t="s">
        <v>2674</v>
      </c>
      <c r="AH9144" s="831" t="s">
        <v>570</v>
      </c>
      <c r="AI9144" s="831">
        <v>0</v>
      </c>
      <c r="AJ9144" s="835">
        <v>40999</v>
      </c>
      <c r="AK9144" s="831">
        <v>0</v>
      </c>
    </row>
    <row r="9145" spans="2:37">
      <c r="B9145" s="834" t="str">
        <f t="shared" si="363"/>
        <v>|||</v>
      </c>
      <c r="H9145" s="835">
        <f t="shared" si="364"/>
        <v>31</v>
      </c>
      <c r="AF9145" s="831" t="s">
        <v>9804</v>
      </c>
      <c r="AG9145" s="831" t="s">
        <v>2674</v>
      </c>
      <c r="AH9145" s="831" t="s">
        <v>571</v>
      </c>
      <c r="AI9145" s="831">
        <v>0</v>
      </c>
      <c r="AJ9145" s="835">
        <v>40999</v>
      </c>
      <c r="AK9145" s="831">
        <v>0</v>
      </c>
    </row>
    <row r="9146" spans="2:37">
      <c r="B9146" s="834" t="str">
        <f t="shared" si="363"/>
        <v>|||</v>
      </c>
      <c r="H9146" s="835">
        <f t="shared" si="364"/>
        <v>31</v>
      </c>
      <c r="AF9146" s="831" t="s">
        <v>9805</v>
      </c>
      <c r="AG9146" s="831" t="s">
        <v>2674</v>
      </c>
      <c r="AH9146" s="831" t="s">
        <v>573</v>
      </c>
      <c r="AI9146" s="831">
        <v>0</v>
      </c>
      <c r="AJ9146" s="835">
        <v>40999</v>
      </c>
      <c r="AK9146" s="831">
        <v>0</v>
      </c>
    </row>
    <row r="9147" spans="2:37">
      <c r="B9147" s="834" t="str">
        <f t="shared" si="363"/>
        <v>|||</v>
      </c>
      <c r="H9147" s="835">
        <f t="shared" si="364"/>
        <v>31</v>
      </c>
      <c r="AF9147" s="831" t="s">
        <v>9806</v>
      </c>
      <c r="AG9147" s="831" t="s">
        <v>2674</v>
      </c>
      <c r="AH9147" s="831" t="s">
        <v>574</v>
      </c>
      <c r="AI9147" s="831">
        <v>0</v>
      </c>
      <c r="AJ9147" s="835">
        <v>40999</v>
      </c>
      <c r="AK9147" s="831">
        <v>0</v>
      </c>
    </row>
    <row r="9148" spans="2:37">
      <c r="B9148" s="834" t="str">
        <f t="shared" si="363"/>
        <v>|||</v>
      </c>
      <c r="H9148" s="835">
        <f t="shared" si="364"/>
        <v>31</v>
      </c>
      <c r="AF9148" s="831" t="s">
        <v>9807</v>
      </c>
      <c r="AG9148" s="831" t="s">
        <v>2674</v>
      </c>
      <c r="AH9148" s="831" t="s">
        <v>575</v>
      </c>
      <c r="AI9148" s="831">
        <v>0</v>
      </c>
      <c r="AJ9148" s="835">
        <v>40999</v>
      </c>
      <c r="AK9148" s="831">
        <v>0</v>
      </c>
    </row>
    <row r="9149" spans="2:37">
      <c r="B9149" s="834" t="str">
        <f t="shared" si="363"/>
        <v>|||</v>
      </c>
      <c r="H9149" s="835">
        <f t="shared" si="364"/>
        <v>31</v>
      </c>
      <c r="AF9149" s="831" t="s">
        <v>9808</v>
      </c>
      <c r="AG9149" s="831" t="s">
        <v>2674</v>
      </c>
      <c r="AH9149" s="831" t="s">
        <v>576</v>
      </c>
      <c r="AI9149" s="831">
        <v>0</v>
      </c>
      <c r="AJ9149" s="835">
        <v>40999</v>
      </c>
      <c r="AK9149" s="831">
        <v>0</v>
      </c>
    </row>
    <row r="9150" spans="2:37">
      <c r="B9150" s="834" t="str">
        <f t="shared" si="363"/>
        <v>|||</v>
      </c>
      <c r="H9150" s="835">
        <f t="shared" si="364"/>
        <v>31</v>
      </c>
      <c r="AF9150" s="831" t="s">
        <v>9809</v>
      </c>
      <c r="AG9150" s="831" t="s">
        <v>2674</v>
      </c>
      <c r="AH9150" s="831" t="s">
        <v>572</v>
      </c>
      <c r="AI9150" s="831">
        <v>0</v>
      </c>
      <c r="AJ9150" s="835">
        <v>40999</v>
      </c>
      <c r="AK9150" s="831">
        <v>0</v>
      </c>
    </row>
    <row r="9151" spans="2:37">
      <c r="B9151" s="834" t="str">
        <f t="shared" si="363"/>
        <v>|||</v>
      </c>
      <c r="H9151" s="835">
        <f t="shared" si="364"/>
        <v>31</v>
      </c>
      <c r="AF9151" s="831" t="s">
        <v>9810</v>
      </c>
      <c r="AG9151" s="831" t="s">
        <v>2674</v>
      </c>
      <c r="AH9151" s="831" t="s">
        <v>577</v>
      </c>
      <c r="AI9151" s="831">
        <v>0</v>
      </c>
      <c r="AJ9151" s="835">
        <v>40999</v>
      </c>
      <c r="AK9151" s="831">
        <v>0</v>
      </c>
    </row>
    <row r="9152" spans="2:37">
      <c r="B9152" s="834" t="str">
        <f t="shared" si="363"/>
        <v>|||</v>
      </c>
      <c r="H9152" s="835">
        <f t="shared" si="364"/>
        <v>31</v>
      </c>
      <c r="AF9152" s="831" t="s">
        <v>9811</v>
      </c>
      <c r="AG9152" s="831" t="s">
        <v>2674</v>
      </c>
      <c r="AH9152" s="831" t="s">
        <v>3042</v>
      </c>
      <c r="AI9152" s="831">
        <v>0</v>
      </c>
      <c r="AJ9152" s="835">
        <v>40999</v>
      </c>
      <c r="AK9152" s="831">
        <v>0</v>
      </c>
    </row>
    <row r="9153" spans="2:37">
      <c r="B9153" s="834" t="str">
        <f t="shared" si="363"/>
        <v>|||</v>
      </c>
      <c r="H9153" s="835">
        <f t="shared" si="364"/>
        <v>31</v>
      </c>
      <c r="AF9153" s="831" t="s">
        <v>9812</v>
      </c>
      <c r="AG9153" s="831" t="s">
        <v>2674</v>
      </c>
      <c r="AH9153" s="831" t="s">
        <v>3044</v>
      </c>
      <c r="AI9153" s="831">
        <v>0</v>
      </c>
      <c r="AJ9153" s="835">
        <v>40999</v>
      </c>
      <c r="AK9153" s="831">
        <v>0</v>
      </c>
    </row>
    <row r="9154" spans="2:37">
      <c r="B9154" s="834" t="str">
        <f t="shared" si="363"/>
        <v>|||</v>
      </c>
      <c r="H9154" s="835">
        <f t="shared" si="364"/>
        <v>31</v>
      </c>
      <c r="AF9154" s="831" t="s">
        <v>9813</v>
      </c>
      <c r="AG9154" s="831" t="s">
        <v>2674</v>
      </c>
      <c r="AH9154" s="831" t="s">
        <v>580</v>
      </c>
      <c r="AI9154" s="831">
        <v>0</v>
      </c>
      <c r="AJ9154" s="835">
        <v>40999</v>
      </c>
      <c r="AK9154" s="831">
        <v>0</v>
      </c>
    </row>
    <row r="9155" spans="2:37">
      <c r="B9155" s="834" t="str">
        <f t="shared" ref="B9155:B9218" si="365">C9155&amp;"|"&amp;D9155&amp;"|"&amp;E9155&amp;"|"&amp;F9155</f>
        <v>|||</v>
      </c>
      <c r="H9155" s="835">
        <f t="shared" si="364"/>
        <v>31</v>
      </c>
      <c r="AF9155" s="831" t="s">
        <v>9814</v>
      </c>
      <c r="AG9155" s="831" t="s">
        <v>2674</v>
      </c>
      <c r="AH9155" s="831" t="s">
        <v>581</v>
      </c>
      <c r="AI9155" s="831">
        <v>0</v>
      </c>
      <c r="AJ9155" s="835">
        <v>40999</v>
      </c>
      <c r="AK9155" s="831">
        <v>0</v>
      </c>
    </row>
    <row r="9156" spans="2:37">
      <c r="B9156" s="834" t="str">
        <f t="shared" si="365"/>
        <v>|||</v>
      </c>
      <c r="H9156" s="835">
        <f t="shared" ref="H9156:H9219" si="366">EOMONTH(L9156,0)</f>
        <v>31</v>
      </c>
      <c r="AF9156" s="831" t="s">
        <v>9815</v>
      </c>
      <c r="AG9156" s="831" t="s">
        <v>2674</v>
      </c>
      <c r="AH9156" s="831" t="s">
        <v>105</v>
      </c>
      <c r="AI9156" s="831">
        <v>0</v>
      </c>
      <c r="AJ9156" s="835">
        <v>40999</v>
      </c>
      <c r="AK9156" s="831">
        <v>138237650</v>
      </c>
    </row>
    <row r="9157" spans="2:37">
      <c r="B9157" s="834" t="str">
        <f t="shared" si="365"/>
        <v>|||</v>
      </c>
      <c r="H9157" s="835">
        <f t="shared" si="366"/>
        <v>31</v>
      </c>
      <c r="AF9157" s="831" t="s">
        <v>9816</v>
      </c>
      <c r="AG9157" s="831" t="s">
        <v>2674</v>
      </c>
      <c r="AH9157" s="831" t="s">
        <v>3049</v>
      </c>
      <c r="AI9157" s="831">
        <v>0</v>
      </c>
      <c r="AJ9157" s="835">
        <v>40999</v>
      </c>
      <c r="AK9157" s="831">
        <v>284249869</v>
      </c>
    </row>
    <row r="9158" spans="2:37">
      <c r="B9158" s="834" t="str">
        <f t="shared" si="365"/>
        <v>|||</v>
      </c>
      <c r="H9158" s="835">
        <f t="shared" si="366"/>
        <v>31</v>
      </c>
      <c r="AF9158" s="831" t="s">
        <v>9817</v>
      </c>
      <c r="AG9158" s="831" t="s">
        <v>2674</v>
      </c>
      <c r="AH9158" s="831" t="s">
        <v>103</v>
      </c>
      <c r="AI9158" s="831">
        <v>0</v>
      </c>
      <c r="AJ9158" s="835">
        <v>40999</v>
      </c>
      <c r="AK9158" s="831">
        <v>146012219</v>
      </c>
    </row>
    <row r="9159" spans="2:37">
      <c r="B9159" s="834" t="str">
        <f t="shared" si="365"/>
        <v>|||</v>
      </c>
      <c r="H9159" s="835">
        <f t="shared" si="366"/>
        <v>31</v>
      </c>
      <c r="AF9159" s="831" t="s">
        <v>9818</v>
      </c>
      <c r="AG9159" s="831" t="s">
        <v>2674</v>
      </c>
      <c r="AH9159" s="831" t="s">
        <v>182</v>
      </c>
      <c r="AI9159" s="831">
        <v>0</v>
      </c>
      <c r="AJ9159" s="835">
        <v>40999</v>
      </c>
      <c r="AK9159" s="831">
        <v>52164364</v>
      </c>
    </row>
    <row r="9160" spans="2:37">
      <c r="B9160" s="834" t="str">
        <f t="shared" si="365"/>
        <v>|||</v>
      </c>
      <c r="H9160" s="835">
        <f t="shared" si="366"/>
        <v>31</v>
      </c>
      <c r="AF9160" s="831" t="s">
        <v>9819</v>
      </c>
      <c r="AG9160" s="831" t="s">
        <v>2674</v>
      </c>
      <c r="AH9160" s="831" t="s">
        <v>6600</v>
      </c>
      <c r="AI9160" s="831">
        <v>0</v>
      </c>
      <c r="AJ9160" s="835">
        <v>40999</v>
      </c>
      <c r="AK9160" s="831">
        <v>0</v>
      </c>
    </row>
    <row r="9161" spans="2:37">
      <c r="B9161" s="834" t="str">
        <f t="shared" si="365"/>
        <v>|||</v>
      </c>
      <c r="H9161" s="835">
        <f t="shared" si="366"/>
        <v>31</v>
      </c>
      <c r="AF9161" s="831" t="s">
        <v>9820</v>
      </c>
      <c r="AG9161" s="831" t="s">
        <v>2674</v>
      </c>
      <c r="AH9161" s="831" t="s">
        <v>6602</v>
      </c>
      <c r="AI9161" s="831">
        <v>0</v>
      </c>
      <c r="AJ9161" s="835">
        <v>40999</v>
      </c>
      <c r="AK9161" s="831">
        <v>2455685</v>
      </c>
    </row>
    <row r="9162" spans="2:37">
      <c r="B9162" s="834" t="str">
        <f t="shared" si="365"/>
        <v>|||</v>
      </c>
      <c r="H9162" s="835">
        <f t="shared" si="366"/>
        <v>31</v>
      </c>
      <c r="AF9162" s="831" t="s">
        <v>9821</v>
      </c>
      <c r="AG9162" s="831" t="s">
        <v>2674</v>
      </c>
      <c r="AH9162" s="831" t="s">
        <v>650</v>
      </c>
      <c r="AI9162" s="831">
        <v>0</v>
      </c>
      <c r="AJ9162" s="835">
        <v>40999</v>
      </c>
      <c r="AK9162" s="831">
        <v>0</v>
      </c>
    </row>
    <row r="9163" spans="2:37">
      <c r="B9163" s="834" t="str">
        <f t="shared" si="365"/>
        <v>|||</v>
      </c>
      <c r="H9163" s="835">
        <f t="shared" si="366"/>
        <v>31</v>
      </c>
      <c r="AF9163" s="831" t="s">
        <v>9822</v>
      </c>
      <c r="AG9163" s="831" t="s">
        <v>2674</v>
      </c>
      <c r="AH9163" s="831" t="s">
        <v>655</v>
      </c>
      <c r="AI9163" s="831">
        <v>0</v>
      </c>
      <c r="AJ9163" s="835">
        <v>40999</v>
      </c>
      <c r="AK9163" s="831">
        <v>1916746</v>
      </c>
    </row>
    <row r="9164" spans="2:37">
      <c r="B9164" s="834" t="str">
        <f t="shared" si="365"/>
        <v>|||</v>
      </c>
      <c r="H9164" s="835">
        <f t="shared" si="366"/>
        <v>31</v>
      </c>
      <c r="AF9164" s="831" t="s">
        <v>9823</v>
      </c>
      <c r="AG9164" s="831" t="s">
        <v>130</v>
      </c>
      <c r="AH9164" s="831" t="s">
        <v>145</v>
      </c>
      <c r="AI9164" s="831">
        <v>1</v>
      </c>
      <c r="AJ9164" s="835">
        <v>42004</v>
      </c>
      <c r="AK9164" s="831">
        <v>84250000</v>
      </c>
    </row>
    <row r="9165" spans="2:37">
      <c r="B9165" s="834" t="str">
        <f t="shared" si="365"/>
        <v>|||</v>
      </c>
      <c r="H9165" s="835">
        <f t="shared" si="366"/>
        <v>31</v>
      </c>
      <c r="AF9165" s="831" t="s">
        <v>9824</v>
      </c>
      <c r="AG9165" s="831" t="s">
        <v>130</v>
      </c>
      <c r="AH9165" s="831" t="s">
        <v>149</v>
      </c>
      <c r="AI9165" s="831">
        <v>1</v>
      </c>
      <c r="AJ9165" s="835">
        <v>42004</v>
      </c>
      <c r="AK9165" s="831">
        <v>14361000</v>
      </c>
    </row>
    <row r="9166" spans="2:37">
      <c r="B9166" s="834" t="str">
        <f t="shared" si="365"/>
        <v>|||</v>
      </c>
      <c r="H9166" s="835">
        <f t="shared" si="366"/>
        <v>31</v>
      </c>
      <c r="AF9166" s="831" t="s">
        <v>9825</v>
      </c>
      <c r="AG9166" s="831" t="s">
        <v>130</v>
      </c>
      <c r="AH9166" s="831" t="s">
        <v>153</v>
      </c>
      <c r="AI9166" s="831">
        <v>1</v>
      </c>
      <c r="AJ9166" s="835">
        <v>42004</v>
      </c>
      <c r="AK9166" s="831">
        <v>55285000</v>
      </c>
    </row>
    <row r="9167" spans="2:37">
      <c r="B9167" s="834" t="str">
        <f t="shared" si="365"/>
        <v>|||</v>
      </c>
      <c r="H9167" s="835">
        <f t="shared" si="366"/>
        <v>31</v>
      </c>
      <c r="AF9167" s="831" t="s">
        <v>9826</v>
      </c>
      <c r="AG9167" s="831" t="s">
        <v>130</v>
      </c>
      <c r="AH9167" s="831" t="s">
        <v>156</v>
      </c>
      <c r="AI9167" s="831">
        <v>1</v>
      </c>
      <c r="AJ9167" s="835">
        <v>42004</v>
      </c>
      <c r="AK9167" s="831">
        <v>0</v>
      </c>
    </row>
    <row r="9168" spans="2:37">
      <c r="B9168" s="834" t="str">
        <f t="shared" si="365"/>
        <v>|||</v>
      </c>
      <c r="H9168" s="835">
        <f t="shared" si="366"/>
        <v>31</v>
      </c>
      <c r="AF9168" s="831" t="s">
        <v>9827</v>
      </c>
      <c r="AG9168" s="831" t="s">
        <v>130</v>
      </c>
      <c r="AH9168" s="831" t="s">
        <v>162</v>
      </c>
      <c r="AI9168" s="831">
        <v>1</v>
      </c>
      <c r="AJ9168" s="835">
        <v>42004</v>
      </c>
      <c r="AK9168" s="831">
        <v>828920000</v>
      </c>
    </row>
    <row r="9169" spans="2:37">
      <c r="B9169" s="834" t="str">
        <f t="shared" si="365"/>
        <v>|||</v>
      </c>
      <c r="H9169" s="835">
        <f t="shared" si="366"/>
        <v>31</v>
      </c>
      <c r="AF9169" s="831" t="s">
        <v>9828</v>
      </c>
      <c r="AG9169" s="831" t="s">
        <v>130</v>
      </c>
      <c r="AH9169" s="831" t="s">
        <v>165</v>
      </c>
      <c r="AI9169" s="831">
        <v>1</v>
      </c>
      <c r="AJ9169" s="835">
        <v>42004</v>
      </c>
      <c r="AK9169" s="831">
        <v>-9140000</v>
      </c>
    </row>
    <row r="9170" spans="2:37">
      <c r="B9170" s="834" t="str">
        <f t="shared" si="365"/>
        <v>|||</v>
      </c>
      <c r="H9170" s="835">
        <f t="shared" si="366"/>
        <v>31</v>
      </c>
      <c r="AF9170" s="831" t="s">
        <v>9829</v>
      </c>
      <c r="AG9170" s="831" t="s">
        <v>130</v>
      </c>
      <c r="AH9170" s="831" t="s">
        <v>171</v>
      </c>
      <c r="AI9170" s="831">
        <v>1</v>
      </c>
      <c r="AJ9170" s="835">
        <v>42004</v>
      </c>
      <c r="AK9170" s="831">
        <v>0</v>
      </c>
    </row>
    <row r="9171" spans="2:37">
      <c r="B9171" s="834" t="str">
        <f t="shared" si="365"/>
        <v>|||</v>
      </c>
      <c r="H9171" s="835">
        <f t="shared" si="366"/>
        <v>31</v>
      </c>
      <c r="AF9171" s="831" t="s">
        <v>9830</v>
      </c>
      <c r="AG9171" s="831" t="s">
        <v>130</v>
      </c>
      <c r="AH9171" s="831" t="s">
        <v>174</v>
      </c>
      <c r="AI9171" s="831">
        <v>1</v>
      </c>
      <c r="AJ9171" s="835">
        <v>42004</v>
      </c>
      <c r="AK9171" s="831">
        <v>0</v>
      </c>
    </row>
    <row r="9172" spans="2:37">
      <c r="B9172" s="834" t="str">
        <f t="shared" si="365"/>
        <v>|||</v>
      </c>
      <c r="H9172" s="835">
        <f t="shared" si="366"/>
        <v>31</v>
      </c>
      <c r="AF9172" s="831" t="s">
        <v>9831</v>
      </c>
      <c r="AG9172" s="831" t="s">
        <v>130</v>
      </c>
      <c r="AH9172" s="831" t="s">
        <v>181</v>
      </c>
      <c r="AI9172" s="831">
        <v>1</v>
      </c>
      <c r="AJ9172" s="835">
        <v>42004</v>
      </c>
      <c r="AK9172" s="831">
        <v>63786000</v>
      </c>
    </row>
    <row r="9173" spans="2:37">
      <c r="B9173" s="834" t="str">
        <f t="shared" si="365"/>
        <v>|||</v>
      </c>
      <c r="H9173" s="835">
        <f t="shared" si="366"/>
        <v>31</v>
      </c>
      <c r="AF9173" s="831" t="s">
        <v>9832</v>
      </c>
      <c r="AG9173" s="831" t="s">
        <v>130</v>
      </c>
      <c r="AH9173" s="831" t="s">
        <v>184</v>
      </c>
      <c r="AI9173" s="831">
        <v>1</v>
      </c>
      <c r="AJ9173" s="835">
        <v>42004</v>
      </c>
      <c r="AK9173" s="831">
        <v>-20967000</v>
      </c>
    </row>
    <row r="9174" spans="2:37">
      <c r="B9174" s="834" t="str">
        <f t="shared" si="365"/>
        <v>|||</v>
      </c>
      <c r="H9174" s="835">
        <f t="shared" si="366"/>
        <v>31</v>
      </c>
      <c r="AF9174" s="831" t="s">
        <v>9833</v>
      </c>
      <c r="AG9174" s="831" t="s">
        <v>130</v>
      </c>
      <c r="AH9174" s="831" t="s">
        <v>187</v>
      </c>
      <c r="AI9174" s="831">
        <v>1</v>
      </c>
      <c r="AJ9174" s="835">
        <v>42004</v>
      </c>
      <c r="AK9174" s="831">
        <v>0</v>
      </c>
    </row>
    <row r="9175" spans="2:37">
      <c r="B9175" s="834" t="str">
        <f t="shared" si="365"/>
        <v>|||</v>
      </c>
      <c r="H9175" s="835">
        <f t="shared" si="366"/>
        <v>31</v>
      </c>
      <c r="AF9175" s="831" t="s">
        <v>9834</v>
      </c>
      <c r="AG9175" s="831" t="s">
        <v>130</v>
      </c>
      <c r="AH9175" s="831" t="s">
        <v>196</v>
      </c>
      <c r="AI9175" s="831">
        <v>1</v>
      </c>
      <c r="AJ9175" s="835">
        <v>42004</v>
      </c>
      <c r="AK9175" s="831">
        <v>20869000</v>
      </c>
    </row>
    <row r="9176" spans="2:37">
      <c r="B9176" s="834" t="str">
        <f t="shared" si="365"/>
        <v>|||</v>
      </c>
      <c r="H9176" s="835">
        <f t="shared" si="366"/>
        <v>31</v>
      </c>
      <c r="AF9176" s="831" t="s">
        <v>9835</v>
      </c>
      <c r="AG9176" s="831" t="s">
        <v>130</v>
      </c>
      <c r="AH9176" s="831" t="s">
        <v>197</v>
      </c>
      <c r="AI9176" s="831">
        <v>1</v>
      </c>
      <c r="AJ9176" s="835">
        <v>42004</v>
      </c>
      <c r="AK9176" s="831">
        <v>0</v>
      </c>
    </row>
    <row r="9177" spans="2:37">
      <c r="B9177" s="834" t="str">
        <f t="shared" si="365"/>
        <v>|||</v>
      </c>
      <c r="H9177" s="835">
        <f t="shared" si="366"/>
        <v>31</v>
      </c>
      <c r="AF9177" s="831" t="s">
        <v>9836</v>
      </c>
      <c r="AG9177" s="831" t="s">
        <v>130</v>
      </c>
      <c r="AH9177" s="831" t="s">
        <v>199</v>
      </c>
      <c r="AI9177" s="831">
        <v>1</v>
      </c>
      <c r="AJ9177" s="835">
        <v>42004</v>
      </c>
      <c r="AK9177" s="831">
        <v>0</v>
      </c>
    </row>
    <row r="9178" spans="2:37">
      <c r="B9178" s="834" t="str">
        <f t="shared" si="365"/>
        <v>|||</v>
      </c>
      <c r="H9178" s="835">
        <f t="shared" si="366"/>
        <v>31</v>
      </c>
      <c r="AF9178" s="831" t="s">
        <v>9837</v>
      </c>
      <c r="AG9178" s="831" t="s">
        <v>130</v>
      </c>
      <c r="AH9178" s="831" t="s">
        <v>201</v>
      </c>
      <c r="AI9178" s="831">
        <v>1</v>
      </c>
      <c r="AJ9178" s="835">
        <v>42004</v>
      </c>
      <c r="AK9178" s="831">
        <v>4846000</v>
      </c>
    </row>
    <row r="9179" spans="2:37">
      <c r="B9179" s="834" t="str">
        <f t="shared" si="365"/>
        <v>|||</v>
      </c>
      <c r="H9179" s="835">
        <f t="shared" si="366"/>
        <v>31</v>
      </c>
      <c r="AF9179" s="831" t="s">
        <v>9838</v>
      </c>
      <c r="AG9179" s="831" t="s">
        <v>130</v>
      </c>
      <c r="AH9179" s="831" t="s">
        <v>209</v>
      </c>
      <c r="AI9179" s="831">
        <v>1</v>
      </c>
      <c r="AJ9179" s="835">
        <v>42004</v>
      </c>
      <c r="AK9179" s="831">
        <v>80017000</v>
      </c>
    </row>
    <row r="9180" spans="2:37">
      <c r="B9180" s="834" t="str">
        <f t="shared" si="365"/>
        <v>|||</v>
      </c>
      <c r="H9180" s="835">
        <f t="shared" si="366"/>
        <v>31</v>
      </c>
      <c r="AF9180" s="831" t="s">
        <v>9839</v>
      </c>
      <c r="AG9180" s="831" t="s">
        <v>130</v>
      </c>
      <c r="AH9180" s="831" t="s">
        <v>211</v>
      </c>
      <c r="AI9180" s="831">
        <v>1</v>
      </c>
      <c r="AJ9180" s="835">
        <v>42004</v>
      </c>
      <c r="AK9180" s="831">
        <v>258768000</v>
      </c>
    </row>
    <row r="9181" spans="2:37">
      <c r="B9181" s="834" t="str">
        <f t="shared" si="365"/>
        <v>|||</v>
      </c>
      <c r="H9181" s="835">
        <f t="shared" si="366"/>
        <v>31</v>
      </c>
      <c r="AF9181" s="831" t="s">
        <v>9840</v>
      </c>
      <c r="AG9181" s="831" t="s">
        <v>130</v>
      </c>
      <c r="AH9181" s="831" t="s">
        <v>212</v>
      </c>
      <c r="AI9181" s="831">
        <v>1</v>
      </c>
      <c r="AJ9181" s="835">
        <v>42004</v>
      </c>
      <c r="AK9181" s="831">
        <v>0</v>
      </c>
    </row>
    <row r="9182" spans="2:37">
      <c r="B9182" s="834" t="str">
        <f t="shared" si="365"/>
        <v>|||</v>
      </c>
      <c r="H9182" s="835">
        <f t="shared" si="366"/>
        <v>31</v>
      </c>
      <c r="AF9182" s="831" t="s">
        <v>9841</v>
      </c>
      <c r="AG9182" s="831" t="s">
        <v>130</v>
      </c>
      <c r="AH9182" s="831" t="s">
        <v>216</v>
      </c>
      <c r="AI9182" s="831">
        <v>1</v>
      </c>
      <c r="AJ9182" s="835">
        <v>42004</v>
      </c>
      <c r="AK9182" s="831">
        <v>0</v>
      </c>
    </row>
    <row r="9183" spans="2:37">
      <c r="B9183" s="834" t="str">
        <f t="shared" si="365"/>
        <v>|||</v>
      </c>
      <c r="H9183" s="835">
        <f t="shared" si="366"/>
        <v>31</v>
      </c>
      <c r="AF9183" s="831" t="s">
        <v>9842</v>
      </c>
      <c r="AG9183" s="831" t="s">
        <v>130</v>
      </c>
      <c r="AH9183" s="831" t="s">
        <v>218</v>
      </c>
      <c r="AI9183" s="831">
        <v>1</v>
      </c>
      <c r="AJ9183" s="835">
        <v>42004</v>
      </c>
      <c r="AK9183" s="831">
        <v>0</v>
      </c>
    </row>
    <row r="9184" spans="2:37">
      <c r="B9184" s="834" t="str">
        <f t="shared" si="365"/>
        <v>|||</v>
      </c>
      <c r="H9184" s="835">
        <f t="shared" si="366"/>
        <v>31</v>
      </c>
      <c r="AF9184" s="831" t="s">
        <v>9843</v>
      </c>
      <c r="AG9184" s="831" t="s">
        <v>130</v>
      </c>
      <c r="AH9184" s="831" t="s">
        <v>220</v>
      </c>
      <c r="AI9184" s="831">
        <v>1</v>
      </c>
      <c r="AJ9184" s="835">
        <v>42004</v>
      </c>
      <c r="AK9184" s="831">
        <v>209762000</v>
      </c>
    </row>
    <row r="9185" spans="2:37">
      <c r="B9185" s="834" t="str">
        <f t="shared" si="365"/>
        <v>|||</v>
      </c>
      <c r="H9185" s="835">
        <f t="shared" si="366"/>
        <v>31</v>
      </c>
      <c r="AF9185" s="831" t="s">
        <v>9844</v>
      </c>
      <c r="AG9185" s="831" t="s">
        <v>130</v>
      </c>
      <c r="AH9185" s="831" t="s">
        <v>221</v>
      </c>
      <c r="AI9185" s="831">
        <v>1</v>
      </c>
      <c r="AJ9185" s="835">
        <v>42004</v>
      </c>
      <c r="AK9185" s="831">
        <v>0</v>
      </c>
    </row>
    <row r="9186" spans="2:37">
      <c r="B9186" s="834" t="str">
        <f t="shared" si="365"/>
        <v>|||</v>
      </c>
      <c r="H9186" s="835">
        <f t="shared" si="366"/>
        <v>31</v>
      </c>
      <c r="AF9186" s="831" t="s">
        <v>9845</v>
      </c>
      <c r="AG9186" s="831" t="s">
        <v>130</v>
      </c>
      <c r="AH9186" s="831" t="s">
        <v>228</v>
      </c>
      <c r="AI9186" s="831">
        <v>1</v>
      </c>
      <c r="AJ9186" s="835">
        <v>42004</v>
      </c>
      <c r="AK9186" s="831">
        <v>0</v>
      </c>
    </row>
    <row r="9187" spans="2:37">
      <c r="B9187" s="834" t="str">
        <f t="shared" si="365"/>
        <v>|||</v>
      </c>
      <c r="H9187" s="835">
        <f t="shared" si="366"/>
        <v>31</v>
      </c>
      <c r="AF9187" s="831" t="s">
        <v>9846</v>
      </c>
      <c r="AG9187" s="831" t="s">
        <v>130</v>
      </c>
      <c r="AH9187" s="831" t="s">
        <v>230</v>
      </c>
      <c r="AI9187" s="831">
        <v>1</v>
      </c>
      <c r="AJ9187" s="835">
        <v>42004</v>
      </c>
      <c r="AK9187" s="831">
        <v>0</v>
      </c>
    </row>
    <row r="9188" spans="2:37">
      <c r="B9188" s="834" t="str">
        <f t="shared" si="365"/>
        <v>|||</v>
      </c>
      <c r="H9188" s="835">
        <f t="shared" si="366"/>
        <v>31</v>
      </c>
      <c r="AF9188" s="831" t="s">
        <v>9847</v>
      </c>
      <c r="AG9188" s="831" t="s">
        <v>130</v>
      </c>
      <c r="AH9188" s="831" t="s">
        <v>231</v>
      </c>
      <c r="AI9188" s="831">
        <v>1</v>
      </c>
      <c r="AJ9188" s="835">
        <v>42004</v>
      </c>
      <c r="AK9188" s="831">
        <v>59686000</v>
      </c>
    </row>
    <row r="9189" spans="2:37">
      <c r="B9189" s="834" t="str">
        <f t="shared" si="365"/>
        <v>|||</v>
      </c>
      <c r="H9189" s="835">
        <f t="shared" si="366"/>
        <v>31</v>
      </c>
      <c r="AF9189" s="831" t="s">
        <v>9848</v>
      </c>
      <c r="AG9189" s="831" t="s">
        <v>130</v>
      </c>
      <c r="AH9189" s="831" t="s">
        <v>232</v>
      </c>
      <c r="AI9189" s="831">
        <v>1</v>
      </c>
      <c r="AJ9189" s="835">
        <v>42004</v>
      </c>
      <c r="AK9189" s="831">
        <v>246904000</v>
      </c>
    </row>
    <row r="9190" spans="2:37">
      <c r="B9190" s="834" t="str">
        <f t="shared" si="365"/>
        <v>|||</v>
      </c>
      <c r="H9190" s="835">
        <f t="shared" si="366"/>
        <v>31</v>
      </c>
      <c r="AF9190" s="831" t="s">
        <v>9849</v>
      </c>
      <c r="AG9190" s="831" t="s">
        <v>130</v>
      </c>
      <c r="AH9190" s="831" t="s">
        <v>116</v>
      </c>
      <c r="AI9190" s="831">
        <v>1</v>
      </c>
      <c r="AJ9190" s="835">
        <v>42004</v>
      </c>
      <c r="AK9190" s="831">
        <v>15993000</v>
      </c>
    </row>
    <row r="9191" spans="2:37">
      <c r="B9191" s="834" t="str">
        <f t="shared" si="365"/>
        <v>|||</v>
      </c>
      <c r="H9191" s="835">
        <f t="shared" si="366"/>
        <v>31</v>
      </c>
      <c r="AF9191" s="831" t="s">
        <v>9850</v>
      </c>
      <c r="AG9191" s="831" t="s">
        <v>130</v>
      </c>
      <c r="AH9191" s="831" t="s">
        <v>234</v>
      </c>
      <c r="AI9191" s="831">
        <v>1</v>
      </c>
      <c r="AJ9191" s="835">
        <v>42004</v>
      </c>
      <c r="AK9191" s="831">
        <v>0</v>
      </c>
    </row>
    <row r="9192" spans="2:37">
      <c r="B9192" s="834" t="str">
        <f t="shared" si="365"/>
        <v>|||</v>
      </c>
      <c r="H9192" s="835">
        <f t="shared" si="366"/>
        <v>31</v>
      </c>
      <c r="AF9192" s="831" t="s">
        <v>9851</v>
      </c>
      <c r="AG9192" s="831" t="s">
        <v>130</v>
      </c>
      <c r="AH9192" s="831" t="s">
        <v>235</v>
      </c>
      <c r="AI9192" s="831">
        <v>1</v>
      </c>
      <c r="AJ9192" s="835">
        <v>42004</v>
      </c>
      <c r="AK9192" s="831">
        <v>25671000</v>
      </c>
    </row>
    <row r="9193" spans="2:37">
      <c r="B9193" s="834" t="str">
        <f t="shared" si="365"/>
        <v>|||</v>
      </c>
      <c r="H9193" s="835">
        <f t="shared" si="366"/>
        <v>31</v>
      </c>
      <c r="AF9193" s="831" t="s">
        <v>9852</v>
      </c>
      <c r="AG9193" s="831" t="s">
        <v>130</v>
      </c>
      <c r="AH9193" s="831" t="s">
        <v>238</v>
      </c>
      <c r="AI9193" s="831">
        <v>1</v>
      </c>
      <c r="AJ9193" s="835">
        <v>42004</v>
      </c>
      <c r="AK9193" s="831">
        <v>0</v>
      </c>
    </row>
    <row r="9194" spans="2:37">
      <c r="B9194" s="834" t="str">
        <f t="shared" si="365"/>
        <v>|||</v>
      </c>
      <c r="H9194" s="835">
        <f t="shared" si="366"/>
        <v>31</v>
      </c>
      <c r="AF9194" s="831" t="s">
        <v>9853</v>
      </c>
      <c r="AG9194" s="831" t="s">
        <v>130</v>
      </c>
      <c r="AH9194" s="831" t="s">
        <v>240</v>
      </c>
      <c r="AI9194" s="831">
        <v>1</v>
      </c>
      <c r="AJ9194" s="835">
        <v>42004</v>
      </c>
      <c r="AK9194" s="831">
        <v>85000000</v>
      </c>
    </row>
    <row r="9195" spans="2:37">
      <c r="B9195" s="834" t="str">
        <f t="shared" si="365"/>
        <v>|||</v>
      </c>
      <c r="H9195" s="835">
        <f t="shared" si="366"/>
        <v>31</v>
      </c>
      <c r="AF9195" s="831" t="s">
        <v>9854</v>
      </c>
      <c r="AG9195" s="831" t="s">
        <v>130</v>
      </c>
      <c r="AH9195" s="831" t="s">
        <v>241</v>
      </c>
      <c r="AI9195" s="831">
        <v>1</v>
      </c>
      <c r="AJ9195" s="835">
        <v>42004</v>
      </c>
      <c r="AK9195" s="831">
        <v>0</v>
      </c>
    </row>
    <row r="9196" spans="2:37">
      <c r="B9196" s="834" t="str">
        <f t="shared" si="365"/>
        <v>|||</v>
      </c>
      <c r="H9196" s="835">
        <f t="shared" si="366"/>
        <v>31</v>
      </c>
      <c r="AF9196" s="831" t="s">
        <v>9855</v>
      </c>
      <c r="AG9196" s="831" t="s">
        <v>130</v>
      </c>
      <c r="AH9196" s="831" t="s">
        <v>242</v>
      </c>
      <c r="AI9196" s="831">
        <v>1</v>
      </c>
      <c r="AJ9196" s="835">
        <v>42004</v>
      </c>
      <c r="AK9196" s="831">
        <v>0</v>
      </c>
    </row>
    <row r="9197" spans="2:37">
      <c r="B9197" s="834" t="str">
        <f t="shared" si="365"/>
        <v>|||</v>
      </c>
      <c r="H9197" s="835">
        <f t="shared" si="366"/>
        <v>31</v>
      </c>
      <c r="AF9197" s="831" t="s">
        <v>9856</v>
      </c>
      <c r="AG9197" s="831" t="s">
        <v>130</v>
      </c>
      <c r="AH9197" s="831" t="s">
        <v>244</v>
      </c>
      <c r="AI9197" s="831">
        <v>1</v>
      </c>
      <c r="AJ9197" s="835">
        <v>42004</v>
      </c>
      <c r="AK9197" s="831">
        <v>17369000</v>
      </c>
    </row>
    <row r="9198" spans="2:37">
      <c r="B9198" s="834" t="str">
        <f t="shared" si="365"/>
        <v>|||</v>
      </c>
      <c r="H9198" s="835">
        <f t="shared" si="366"/>
        <v>31</v>
      </c>
      <c r="AF9198" s="831" t="s">
        <v>9857</v>
      </c>
      <c r="AG9198" s="831" t="s">
        <v>130</v>
      </c>
      <c r="AH9198" s="831" t="s">
        <v>245</v>
      </c>
      <c r="AI9198" s="831">
        <v>1</v>
      </c>
      <c r="AJ9198" s="835">
        <v>42004</v>
      </c>
      <c r="AK9198" s="831">
        <v>43040000</v>
      </c>
    </row>
    <row r="9199" spans="2:37">
      <c r="B9199" s="834" t="str">
        <f t="shared" si="365"/>
        <v>|||</v>
      </c>
      <c r="H9199" s="835">
        <f t="shared" si="366"/>
        <v>31</v>
      </c>
      <c r="AF9199" s="831" t="s">
        <v>9858</v>
      </c>
      <c r="AG9199" s="831" t="s">
        <v>520</v>
      </c>
      <c r="AH9199" s="831" t="s">
        <v>291</v>
      </c>
      <c r="AI9199" s="831">
        <v>1</v>
      </c>
      <c r="AJ9199" s="835">
        <v>42004</v>
      </c>
      <c r="AK9199" s="831">
        <v>17419720</v>
      </c>
    </row>
    <row r="9200" spans="2:37">
      <c r="B9200" s="834" t="str">
        <f t="shared" si="365"/>
        <v>|||</v>
      </c>
      <c r="H9200" s="835">
        <f t="shared" si="366"/>
        <v>31</v>
      </c>
      <c r="AF9200" s="831" t="s">
        <v>9859</v>
      </c>
      <c r="AG9200" s="831" t="s">
        <v>520</v>
      </c>
      <c r="AH9200" s="831" t="s">
        <v>519</v>
      </c>
      <c r="AI9200" s="831">
        <v>1</v>
      </c>
      <c r="AJ9200" s="835">
        <v>42004</v>
      </c>
      <c r="AK9200" s="831">
        <v>463926980</v>
      </c>
    </row>
    <row r="9201" spans="2:37">
      <c r="B9201" s="834" t="str">
        <f t="shared" si="365"/>
        <v>|||</v>
      </c>
      <c r="H9201" s="835">
        <f t="shared" si="366"/>
        <v>31</v>
      </c>
      <c r="AF9201" s="831" t="s">
        <v>9860</v>
      </c>
      <c r="AG9201" s="831" t="s">
        <v>520</v>
      </c>
      <c r="AH9201" s="831" t="s">
        <v>94</v>
      </c>
      <c r="AI9201" s="831">
        <v>1</v>
      </c>
      <c r="AJ9201" s="835">
        <v>42004</v>
      </c>
      <c r="AK9201" s="831">
        <v>114989376</v>
      </c>
    </row>
    <row r="9202" spans="2:37">
      <c r="B9202" s="834" t="str">
        <f t="shared" si="365"/>
        <v>|||</v>
      </c>
      <c r="H9202" s="835">
        <f t="shared" si="366"/>
        <v>31</v>
      </c>
      <c r="AF9202" s="831" t="s">
        <v>9861</v>
      </c>
      <c r="AG9202" s="831" t="s">
        <v>520</v>
      </c>
      <c r="AH9202" s="831" t="s">
        <v>85</v>
      </c>
      <c r="AI9202" s="831">
        <v>1</v>
      </c>
      <c r="AJ9202" s="835">
        <v>42004</v>
      </c>
      <c r="AK9202" s="831">
        <v>106156610</v>
      </c>
    </row>
    <row r="9203" spans="2:37">
      <c r="B9203" s="834" t="str">
        <f t="shared" si="365"/>
        <v>|||</v>
      </c>
      <c r="H9203" s="835">
        <f t="shared" si="366"/>
        <v>31</v>
      </c>
      <c r="AF9203" s="831" t="s">
        <v>9862</v>
      </c>
      <c r="AG9203" s="831" t="s">
        <v>520</v>
      </c>
      <c r="AH9203" s="831" t="s">
        <v>90</v>
      </c>
      <c r="AI9203" s="831">
        <v>1</v>
      </c>
      <c r="AJ9203" s="835">
        <v>42004</v>
      </c>
      <c r="AK9203" s="831">
        <v>492436670</v>
      </c>
    </row>
    <row r="9204" spans="2:37">
      <c r="B9204" s="834" t="str">
        <f t="shared" si="365"/>
        <v>|||</v>
      </c>
      <c r="H9204" s="835">
        <f t="shared" si="366"/>
        <v>31</v>
      </c>
      <c r="AF9204" s="831" t="s">
        <v>9863</v>
      </c>
      <c r="AG9204" s="831" t="s">
        <v>520</v>
      </c>
      <c r="AH9204" s="831" t="s">
        <v>117</v>
      </c>
      <c r="AI9204" s="831">
        <v>1</v>
      </c>
      <c r="AJ9204" s="835">
        <v>42004</v>
      </c>
      <c r="AK9204" s="831">
        <v>5015255</v>
      </c>
    </row>
    <row r="9205" spans="2:37">
      <c r="B9205" s="834" t="str">
        <f t="shared" si="365"/>
        <v>|||</v>
      </c>
      <c r="H9205" s="835">
        <f t="shared" si="366"/>
        <v>31</v>
      </c>
      <c r="AF9205" s="831" t="s">
        <v>9864</v>
      </c>
      <c r="AG9205" s="831" t="s">
        <v>520</v>
      </c>
      <c r="AH9205" s="831" t="s">
        <v>525</v>
      </c>
      <c r="AI9205" s="831">
        <v>1</v>
      </c>
      <c r="AJ9205" s="835">
        <v>42004</v>
      </c>
      <c r="AK9205" s="831">
        <v>0</v>
      </c>
    </row>
    <row r="9206" spans="2:37">
      <c r="B9206" s="834" t="str">
        <f t="shared" si="365"/>
        <v>|||</v>
      </c>
      <c r="H9206" s="835">
        <f t="shared" si="366"/>
        <v>31</v>
      </c>
      <c r="AF9206" s="831" t="s">
        <v>9865</v>
      </c>
      <c r="AG9206" s="831" t="s">
        <v>520</v>
      </c>
      <c r="AH9206" s="831" t="s">
        <v>522</v>
      </c>
      <c r="AI9206" s="831">
        <v>1</v>
      </c>
      <c r="AJ9206" s="835">
        <v>42004</v>
      </c>
      <c r="AK9206" s="831">
        <v>0</v>
      </c>
    </row>
    <row r="9207" spans="2:37">
      <c r="B9207" s="834" t="str">
        <f t="shared" si="365"/>
        <v>|||</v>
      </c>
      <c r="H9207" s="835">
        <f t="shared" si="366"/>
        <v>31</v>
      </c>
      <c r="AF9207" s="831" t="s">
        <v>9866</v>
      </c>
      <c r="AG9207" s="831" t="s">
        <v>520</v>
      </c>
      <c r="AH9207" s="831" t="s">
        <v>523</v>
      </c>
      <c r="AI9207" s="831">
        <v>1</v>
      </c>
      <c r="AJ9207" s="835">
        <v>42004</v>
      </c>
      <c r="AK9207" s="831">
        <v>0</v>
      </c>
    </row>
    <row r="9208" spans="2:37">
      <c r="B9208" s="834" t="str">
        <f t="shared" si="365"/>
        <v>|||</v>
      </c>
      <c r="H9208" s="835">
        <f t="shared" si="366"/>
        <v>31</v>
      </c>
      <c r="AF9208" s="831" t="s">
        <v>9867</v>
      </c>
      <c r="AG9208" s="831" t="s">
        <v>520</v>
      </c>
      <c r="AH9208" s="831" t="s">
        <v>524</v>
      </c>
      <c r="AI9208" s="831">
        <v>1</v>
      </c>
      <c r="AJ9208" s="835">
        <v>42004</v>
      </c>
      <c r="AK9208" s="831">
        <v>0</v>
      </c>
    </row>
    <row r="9209" spans="2:37">
      <c r="B9209" s="834" t="str">
        <f t="shared" si="365"/>
        <v>|||</v>
      </c>
      <c r="H9209" s="835">
        <f t="shared" si="366"/>
        <v>31</v>
      </c>
      <c r="AF9209" s="831" t="s">
        <v>9868</v>
      </c>
      <c r="AG9209" s="831" t="s">
        <v>520</v>
      </c>
      <c r="AH9209" s="831" t="s">
        <v>521</v>
      </c>
      <c r="AI9209" s="831">
        <v>1</v>
      </c>
      <c r="AJ9209" s="835">
        <v>42004</v>
      </c>
      <c r="AK9209" s="831">
        <v>0</v>
      </c>
    </row>
    <row r="9210" spans="2:37">
      <c r="B9210" s="834" t="str">
        <f t="shared" si="365"/>
        <v>|||</v>
      </c>
      <c r="H9210" s="835">
        <f t="shared" si="366"/>
        <v>31</v>
      </c>
      <c r="AF9210" s="831" t="s">
        <v>9869</v>
      </c>
      <c r="AG9210" s="831" t="s">
        <v>520</v>
      </c>
      <c r="AH9210" s="831" t="s">
        <v>660</v>
      </c>
      <c r="AI9210" s="831">
        <v>1</v>
      </c>
      <c r="AJ9210" s="835">
        <v>42004</v>
      </c>
      <c r="AK9210" s="831">
        <v>0</v>
      </c>
    </row>
    <row r="9211" spans="2:37">
      <c r="B9211" s="834" t="str">
        <f t="shared" si="365"/>
        <v>|||</v>
      </c>
      <c r="H9211" s="835">
        <f t="shared" si="366"/>
        <v>31</v>
      </c>
      <c r="AF9211" s="831" t="s">
        <v>9870</v>
      </c>
      <c r="AG9211" s="831" t="s">
        <v>520</v>
      </c>
      <c r="AH9211" s="831" t="s">
        <v>661</v>
      </c>
      <c r="AI9211" s="831">
        <v>1</v>
      </c>
      <c r="AJ9211" s="835">
        <v>42004</v>
      </c>
      <c r="AK9211" s="831">
        <v>0</v>
      </c>
    </row>
    <row r="9212" spans="2:37">
      <c r="B9212" s="834" t="str">
        <f t="shared" si="365"/>
        <v>|||</v>
      </c>
      <c r="H9212" s="835">
        <f t="shared" si="366"/>
        <v>31</v>
      </c>
      <c r="AF9212" s="831" t="s">
        <v>9871</v>
      </c>
      <c r="AG9212" s="831" t="s">
        <v>520</v>
      </c>
      <c r="AH9212" s="831" t="s">
        <v>662</v>
      </c>
      <c r="AI9212" s="831">
        <v>1</v>
      </c>
      <c r="AJ9212" s="835">
        <v>42004</v>
      </c>
      <c r="AK9212" s="831">
        <v>0</v>
      </c>
    </row>
    <row r="9213" spans="2:37">
      <c r="B9213" s="834" t="str">
        <f t="shared" si="365"/>
        <v>|||</v>
      </c>
      <c r="H9213" s="835">
        <f t="shared" si="366"/>
        <v>31</v>
      </c>
      <c r="AF9213" s="831" t="s">
        <v>9872</v>
      </c>
      <c r="AG9213" s="831" t="s">
        <v>131</v>
      </c>
      <c r="AH9213" s="831" t="s">
        <v>138</v>
      </c>
      <c r="AI9213" s="831">
        <v>1</v>
      </c>
      <c r="AJ9213" s="835">
        <v>42004</v>
      </c>
      <c r="AK9213" s="831">
        <v>169636000</v>
      </c>
    </row>
    <row r="9214" spans="2:37">
      <c r="B9214" s="834" t="str">
        <f t="shared" si="365"/>
        <v>|||</v>
      </c>
      <c r="H9214" s="835">
        <f t="shared" si="366"/>
        <v>31</v>
      </c>
      <c r="AF9214" s="831" t="s">
        <v>9873</v>
      </c>
      <c r="AG9214" s="831" t="s">
        <v>131</v>
      </c>
      <c r="AH9214" s="831" t="s">
        <v>141</v>
      </c>
      <c r="AI9214" s="831">
        <v>1</v>
      </c>
      <c r="AJ9214" s="835">
        <v>42004</v>
      </c>
      <c r="AK9214" s="831">
        <v>177000</v>
      </c>
    </row>
    <row r="9215" spans="2:37">
      <c r="B9215" s="834" t="str">
        <f t="shared" si="365"/>
        <v>|||</v>
      </c>
      <c r="H9215" s="835">
        <f t="shared" si="366"/>
        <v>31</v>
      </c>
      <c r="AF9215" s="831" t="s">
        <v>9874</v>
      </c>
      <c r="AG9215" s="831" t="s">
        <v>131</v>
      </c>
      <c r="AH9215" s="831" t="s">
        <v>146</v>
      </c>
      <c r="AI9215" s="831">
        <v>1</v>
      </c>
      <c r="AJ9215" s="835">
        <v>42004</v>
      </c>
      <c r="AK9215" s="831">
        <v>-26908000</v>
      </c>
    </row>
    <row r="9216" spans="2:37">
      <c r="B9216" s="834" t="str">
        <f t="shared" si="365"/>
        <v>|||</v>
      </c>
      <c r="H9216" s="835">
        <f t="shared" si="366"/>
        <v>31</v>
      </c>
      <c r="AF9216" s="831" t="s">
        <v>9875</v>
      </c>
      <c r="AG9216" s="831" t="s">
        <v>131</v>
      </c>
      <c r="AH9216" s="831" t="s">
        <v>150</v>
      </c>
      <c r="AI9216" s="831">
        <v>1</v>
      </c>
      <c r="AJ9216" s="835">
        <v>42004</v>
      </c>
      <c r="AK9216" s="831">
        <v>-24797000</v>
      </c>
    </row>
    <row r="9217" spans="2:37">
      <c r="B9217" s="834" t="str">
        <f t="shared" si="365"/>
        <v>|||</v>
      </c>
      <c r="H9217" s="835">
        <f t="shared" si="366"/>
        <v>31</v>
      </c>
      <c r="AF9217" s="831" t="s">
        <v>9876</v>
      </c>
      <c r="AG9217" s="831" t="s">
        <v>131</v>
      </c>
      <c r="AH9217" s="831" t="s">
        <v>77</v>
      </c>
      <c r="AI9217" s="831">
        <v>1</v>
      </c>
      <c r="AJ9217" s="835">
        <v>42004</v>
      </c>
      <c r="AK9217" s="831">
        <v>3515000</v>
      </c>
    </row>
    <row r="9218" spans="2:37">
      <c r="B9218" s="834" t="str">
        <f t="shared" si="365"/>
        <v>|||</v>
      </c>
      <c r="H9218" s="835">
        <f t="shared" si="366"/>
        <v>31</v>
      </c>
      <c r="AF9218" s="831" t="s">
        <v>9877</v>
      </c>
      <c r="AG9218" s="831" t="s">
        <v>131</v>
      </c>
      <c r="AH9218" s="831" t="s">
        <v>167</v>
      </c>
      <c r="AI9218" s="831">
        <v>1</v>
      </c>
      <c r="AJ9218" s="835">
        <v>42004</v>
      </c>
      <c r="AK9218" s="831">
        <v>0</v>
      </c>
    </row>
    <row r="9219" spans="2:37">
      <c r="B9219" s="834" t="str">
        <f t="shared" ref="B9219:B9282" si="367">C9219&amp;"|"&amp;D9219&amp;"|"&amp;E9219&amp;"|"&amp;F9219</f>
        <v>|||</v>
      </c>
      <c r="H9219" s="835">
        <f t="shared" si="366"/>
        <v>31</v>
      </c>
      <c r="AF9219" s="831" t="s">
        <v>9878</v>
      </c>
      <c r="AG9219" s="831" t="s">
        <v>131</v>
      </c>
      <c r="AH9219" s="831" t="s">
        <v>169</v>
      </c>
      <c r="AI9219" s="831">
        <v>1</v>
      </c>
      <c r="AJ9219" s="835">
        <v>42004</v>
      </c>
      <c r="AK9219" s="831">
        <v>9158000</v>
      </c>
    </row>
    <row r="9220" spans="2:37">
      <c r="B9220" s="834" t="str">
        <f t="shared" si="367"/>
        <v>|||</v>
      </c>
      <c r="H9220" s="835">
        <f t="shared" ref="H9220:H9283" si="368">EOMONTH(L9220,0)</f>
        <v>31</v>
      </c>
      <c r="AF9220" s="831" t="s">
        <v>9879</v>
      </c>
      <c r="AG9220" s="831" t="s">
        <v>131</v>
      </c>
      <c r="AH9220" s="831" t="s">
        <v>172</v>
      </c>
      <c r="AI9220" s="831">
        <v>1</v>
      </c>
      <c r="AJ9220" s="835">
        <v>42004</v>
      </c>
      <c r="AK9220" s="831">
        <v>887000</v>
      </c>
    </row>
    <row r="9221" spans="2:37">
      <c r="B9221" s="834" t="str">
        <f t="shared" si="367"/>
        <v>|||</v>
      </c>
      <c r="H9221" s="835">
        <f t="shared" si="368"/>
        <v>31</v>
      </c>
      <c r="AF9221" s="831" t="s">
        <v>9880</v>
      </c>
      <c r="AG9221" s="831" t="s">
        <v>131</v>
      </c>
      <c r="AH9221" s="831" t="s">
        <v>175</v>
      </c>
      <c r="AI9221" s="831">
        <v>1</v>
      </c>
      <c r="AJ9221" s="835">
        <v>42004</v>
      </c>
      <c r="AK9221" s="831">
        <v>805000</v>
      </c>
    </row>
    <row r="9222" spans="2:37">
      <c r="B9222" s="834" t="str">
        <f t="shared" si="367"/>
        <v>|||</v>
      </c>
      <c r="H9222" s="835">
        <f t="shared" si="368"/>
        <v>31</v>
      </c>
      <c r="AF9222" s="831" t="s">
        <v>9881</v>
      </c>
      <c r="AG9222" s="831" t="s">
        <v>131</v>
      </c>
      <c r="AH9222" s="831" t="s">
        <v>185</v>
      </c>
      <c r="AI9222" s="831">
        <v>1</v>
      </c>
      <c r="AJ9222" s="835">
        <v>42004</v>
      </c>
      <c r="AK9222" s="831">
        <v>-51027000</v>
      </c>
    </row>
    <row r="9223" spans="2:37">
      <c r="B9223" s="834" t="str">
        <f t="shared" si="367"/>
        <v>|||</v>
      </c>
      <c r="H9223" s="835">
        <f t="shared" si="368"/>
        <v>31</v>
      </c>
      <c r="AF9223" s="831" t="s">
        <v>9882</v>
      </c>
      <c r="AG9223" s="831" t="s">
        <v>131</v>
      </c>
      <c r="AH9223" s="831" t="s">
        <v>188</v>
      </c>
      <c r="AI9223" s="831">
        <v>1</v>
      </c>
      <c r="AJ9223" s="835">
        <v>42004</v>
      </c>
      <c r="AK9223" s="831">
        <v>-20076000</v>
      </c>
    </row>
    <row r="9224" spans="2:37">
      <c r="B9224" s="834" t="str">
        <f t="shared" si="367"/>
        <v>|||</v>
      </c>
      <c r="H9224" s="835">
        <f t="shared" si="368"/>
        <v>31</v>
      </c>
      <c r="AF9224" s="831" t="s">
        <v>9883</v>
      </c>
      <c r="AG9224" s="831" t="s">
        <v>131</v>
      </c>
      <c r="AH9224" s="831" t="s">
        <v>191</v>
      </c>
      <c r="AI9224" s="831">
        <v>1</v>
      </c>
      <c r="AJ9224" s="835">
        <v>42004</v>
      </c>
      <c r="AK9224" s="831">
        <v>-7159000</v>
      </c>
    </row>
    <row r="9225" spans="2:37">
      <c r="B9225" s="834" t="str">
        <f t="shared" si="367"/>
        <v>|||</v>
      </c>
      <c r="H9225" s="835">
        <f t="shared" si="368"/>
        <v>31</v>
      </c>
      <c r="AF9225" s="831" t="s">
        <v>9884</v>
      </c>
      <c r="AG9225" s="831" t="s">
        <v>131</v>
      </c>
      <c r="AH9225" s="831" t="s">
        <v>198</v>
      </c>
      <c r="AI9225" s="831">
        <v>1</v>
      </c>
      <c r="AJ9225" s="835">
        <v>42004</v>
      </c>
      <c r="AK9225" s="831">
        <v>0</v>
      </c>
    </row>
    <row r="9226" spans="2:37">
      <c r="B9226" s="834" t="str">
        <f t="shared" si="367"/>
        <v>|||</v>
      </c>
      <c r="H9226" s="835">
        <f t="shared" si="368"/>
        <v>31</v>
      </c>
      <c r="AF9226" s="831" t="s">
        <v>9885</v>
      </c>
      <c r="AG9226" s="831" t="s">
        <v>131</v>
      </c>
      <c r="AH9226" s="831" t="s">
        <v>200</v>
      </c>
      <c r="AI9226" s="831">
        <v>1</v>
      </c>
      <c r="AJ9226" s="835">
        <v>42004</v>
      </c>
      <c r="AK9226" s="831">
        <v>0</v>
      </c>
    </row>
    <row r="9227" spans="2:37">
      <c r="B9227" s="834" t="str">
        <f t="shared" si="367"/>
        <v>|||</v>
      </c>
      <c r="H9227" s="835">
        <f t="shared" si="368"/>
        <v>31</v>
      </c>
      <c r="AF9227" s="831" t="s">
        <v>9886</v>
      </c>
      <c r="AG9227" s="831" t="s">
        <v>131</v>
      </c>
      <c r="AH9227" s="831" t="s">
        <v>205</v>
      </c>
      <c r="AI9227" s="831">
        <v>1</v>
      </c>
      <c r="AJ9227" s="835">
        <v>42004</v>
      </c>
      <c r="AK9227" s="831">
        <v>-11171000</v>
      </c>
    </row>
    <row r="9228" spans="2:37">
      <c r="B9228" s="834" t="str">
        <f t="shared" si="367"/>
        <v>|||</v>
      </c>
      <c r="H9228" s="835">
        <f t="shared" si="368"/>
        <v>31</v>
      </c>
      <c r="AF9228" s="831" t="s">
        <v>9887</v>
      </c>
      <c r="AG9228" s="831" t="s">
        <v>131</v>
      </c>
      <c r="AH9228" s="831" t="s">
        <v>122</v>
      </c>
      <c r="AI9228" s="831">
        <v>1</v>
      </c>
      <c r="AJ9228" s="835">
        <v>42004</v>
      </c>
      <c r="AK9228" s="831">
        <v>0</v>
      </c>
    </row>
    <row r="9229" spans="2:37">
      <c r="B9229" s="834" t="str">
        <f t="shared" si="367"/>
        <v>|||</v>
      </c>
      <c r="H9229" s="835">
        <f t="shared" si="368"/>
        <v>31</v>
      </c>
      <c r="AF9229" s="831" t="s">
        <v>9888</v>
      </c>
      <c r="AG9229" s="831" t="s">
        <v>131</v>
      </c>
      <c r="AH9229" s="831" t="s">
        <v>213</v>
      </c>
      <c r="AI9229" s="831">
        <v>1</v>
      </c>
      <c r="AJ9229" s="835">
        <v>42004</v>
      </c>
      <c r="AK9229" s="831">
        <v>0</v>
      </c>
    </row>
    <row r="9230" spans="2:37">
      <c r="B9230" s="834" t="str">
        <f t="shared" si="367"/>
        <v>|||</v>
      </c>
      <c r="H9230" s="835">
        <f t="shared" si="368"/>
        <v>31</v>
      </c>
      <c r="AF9230" s="831" t="s">
        <v>9889</v>
      </c>
      <c r="AG9230" s="831" t="s">
        <v>131</v>
      </c>
      <c r="AH9230" s="831" t="s">
        <v>215</v>
      </c>
      <c r="AI9230" s="831">
        <v>1</v>
      </c>
      <c r="AJ9230" s="835">
        <v>42004</v>
      </c>
      <c r="AK9230" s="831">
        <v>0</v>
      </c>
    </row>
    <row r="9231" spans="2:37">
      <c r="B9231" s="834" t="str">
        <f t="shared" si="367"/>
        <v>|||</v>
      </c>
      <c r="H9231" s="835">
        <f t="shared" si="368"/>
        <v>31</v>
      </c>
      <c r="AF9231" s="831" t="s">
        <v>9890</v>
      </c>
      <c r="AG9231" s="831" t="s">
        <v>131</v>
      </c>
      <c r="AH9231" s="831" t="s">
        <v>217</v>
      </c>
      <c r="AI9231" s="831">
        <v>1</v>
      </c>
      <c r="AJ9231" s="835">
        <v>42004</v>
      </c>
      <c r="AK9231" s="831">
        <v>0</v>
      </c>
    </row>
    <row r="9232" spans="2:37">
      <c r="B9232" s="834" t="str">
        <f t="shared" si="367"/>
        <v>|||</v>
      </c>
      <c r="H9232" s="835">
        <f t="shared" si="368"/>
        <v>31</v>
      </c>
      <c r="AF9232" s="831" t="s">
        <v>9891</v>
      </c>
      <c r="AG9232" s="831" t="s">
        <v>131</v>
      </c>
      <c r="AH9232" s="831" t="s">
        <v>223</v>
      </c>
      <c r="AI9232" s="831">
        <v>1</v>
      </c>
      <c r="AJ9232" s="835">
        <v>42004</v>
      </c>
      <c r="AK9232" s="831">
        <v>0</v>
      </c>
    </row>
    <row r="9233" spans="2:37">
      <c r="B9233" s="834" t="str">
        <f t="shared" si="367"/>
        <v>|||</v>
      </c>
      <c r="H9233" s="835">
        <f t="shared" si="368"/>
        <v>31</v>
      </c>
      <c r="AF9233" s="831" t="s">
        <v>9892</v>
      </c>
      <c r="AG9233" s="831" t="s">
        <v>131</v>
      </c>
      <c r="AH9233" s="831" t="s">
        <v>224</v>
      </c>
      <c r="AI9233" s="831">
        <v>1</v>
      </c>
      <c r="AJ9233" s="835">
        <v>42004</v>
      </c>
      <c r="AK9233" s="831">
        <v>0</v>
      </c>
    </row>
    <row r="9234" spans="2:37">
      <c r="B9234" s="834" t="str">
        <f t="shared" si="367"/>
        <v>|||</v>
      </c>
      <c r="H9234" s="835">
        <f t="shared" si="368"/>
        <v>31</v>
      </c>
      <c r="AF9234" s="831" t="s">
        <v>9893</v>
      </c>
      <c r="AG9234" s="831" t="s">
        <v>131</v>
      </c>
      <c r="AH9234" s="831" t="s">
        <v>128</v>
      </c>
      <c r="AI9234" s="831">
        <v>1</v>
      </c>
      <c r="AJ9234" s="835">
        <v>42004</v>
      </c>
      <c r="AK9234" s="831">
        <v>0</v>
      </c>
    </row>
    <row r="9235" spans="2:37">
      <c r="B9235" s="834" t="str">
        <f t="shared" si="367"/>
        <v>|||</v>
      </c>
      <c r="H9235" s="835">
        <f t="shared" si="368"/>
        <v>31</v>
      </c>
      <c r="AF9235" s="831" t="s">
        <v>9894</v>
      </c>
      <c r="AG9235" s="831" t="s">
        <v>131</v>
      </c>
      <c r="AH9235" s="831" t="s">
        <v>3237</v>
      </c>
      <c r="AI9235" s="831">
        <v>1</v>
      </c>
      <c r="AJ9235" s="835">
        <v>42004</v>
      </c>
      <c r="AK9235" s="831">
        <v>0</v>
      </c>
    </row>
    <row r="9236" spans="2:37">
      <c r="B9236" s="834" t="str">
        <f t="shared" si="367"/>
        <v>|||</v>
      </c>
      <c r="H9236" s="835">
        <f t="shared" si="368"/>
        <v>31</v>
      </c>
      <c r="AF9236" s="831" t="s">
        <v>9895</v>
      </c>
      <c r="AG9236" s="831" t="s">
        <v>131</v>
      </c>
      <c r="AH9236" s="831" t="s">
        <v>3239</v>
      </c>
      <c r="AI9236" s="831">
        <v>1</v>
      </c>
      <c r="AJ9236" s="835">
        <v>42004</v>
      </c>
      <c r="AK9236" s="831">
        <v>0</v>
      </c>
    </row>
    <row r="9237" spans="2:37">
      <c r="B9237" s="834" t="str">
        <f t="shared" si="367"/>
        <v>|||</v>
      </c>
      <c r="H9237" s="835">
        <f t="shared" si="368"/>
        <v>31</v>
      </c>
      <c r="AF9237" s="831" t="s">
        <v>9896</v>
      </c>
      <c r="AG9237" s="831" t="s">
        <v>132</v>
      </c>
      <c r="AH9237" s="831" t="s">
        <v>68</v>
      </c>
      <c r="AI9237" s="831">
        <v>1</v>
      </c>
      <c r="AJ9237" s="835">
        <v>42004</v>
      </c>
      <c r="AK9237" s="831">
        <v>815813352</v>
      </c>
    </row>
    <row r="9238" spans="2:37">
      <c r="B9238" s="834" t="str">
        <f t="shared" si="367"/>
        <v>|||</v>
      </c>
      <c r="H9238" s="835">
        <f t="shared" si="368"/>
        <v>31</v>
      </c>
      <c r="AF9238" s="831" t="s">
        <v>9897</v>
      </c>
      <c r="AG9238" s="831" t="s">
        <v>132</v>
      </c>
      <c r="AH9238" s="831" t="s">
        <v>73</v>
      </c>
      <c r="AI9238" s="831">
        <v>1</v>
      </c>
      <c r="AJ9238" s="835">
        <v>42004</v>
      </c>
      <c r="AK9238" s="831">
        <v>1221000</v>
      </c>
    </row>
    <row r="9239" spans="2:37">
      <c r="B9239" s="834" t="str">
        <f t="shared" si="367"/>
        <v>|||</v>
      </c>
      <c r="H9239" s="835">
        <f t="shared" si="368"/>
        <v>31</v>
      </c>
      <c r="AF9239" s="831" t="s">
        <v>9898</v>
      </c>
      <c r="AG9239" s="831" t="s">
        <v>132</v>
      </c>
      <c r="AH9239" s="831" t="s">
        <v>147</v>
      </c>
      <c r="AI9239" s="831">
        <v>1</v>
      </c>
      <c r="AJ9239" s="835">
        <v>42004</v>
      </c>
      <c r="AK9239" s="831">
        <v>390660</v>
      </c>
    </row>
    <row r="9240" spans="2:37">
      <c r="B9240" s="834" t="str">
        <f t="shared" si="367"/>
        <v>|||</v>
      </c>
      <c r="H9240" s="835">
        <f t="shared" si="368"/>
        <v>31</v>
      </c>
      <c r="AF9240" s="831" t="s">
        <v>9899</v>
      </c>
      <c r="AG9240" s="831" t="s">
        <v>132</v>
      </c>
      <c r="AH9240" s="831" t="s">
        <v>151</v>
      </c>
      <c r="AI9240" s="831">
        <v>1</v>
      </c>
      <c r="AJ9240" s="835">
        <v>42004</v>
      </c>
      <c r="AK9240" s="831">
        <v>847340</v>
      </c>
    </row>
    <row r="9241" spans="2:37">
      <c r="B9241" s="834" t="str">
        <f t="shared" si="367"/>
        <v>|||</v>
      </c>
      <c r="H9241" s="835">
        <f t="shared" si="368"/>
        <v>31</v>
      </c>
      <c r="AF9241" s="831" t="s">
        <v>9900</v>
      </c>
      <c r="AG9241" s="831" t="s">
        <v>132</v>
      </c>
      <c r="AH9241" s="831" t="s">
        <v>155</v>
      </c>
      <c r="AI9241" s="831">
        <v>1</v>
      </c>
      <c r="AJ9241" s="835">
        <v>42004</v>
      </c>
      <c r="AK9241" s="831">
        <v>3110890</v>
      </c>
    </row>
    <row r="9242" spans="2:37">
      <c r="B9242" s="834" t="str">
        <f t="shared" si="367"/>
        <v>|||</v>
      </c>
      <c r="H9242" s="835">
        <f t="shared" si="368"/>
        <v>31</v>
      </c>
      <c r="AF9242" s="831" t="s">
        <v>9901</v>
      </c>
      <c r="AG9242" s="831" t="s">
        <v>132</v>
      </c>
      <c r="AH9242" s="831" t="s">
        <v>158</v>
      </c>
      <c r="AI9242" s="831">
        <v>1</v>
      </c>
      <c r="AJ9242" s="835">
        <v>42004</v>
      </c>
      <c r="AK9242" s="831">
        <v>739760</v>
      </c>
    </row>
    <row r="9243" spans="2:37">
      <c r="B9243" s="834" t="str">
        <f t="shared" si="367"/>
        <v>|||</v>
      </c>
      <c r="H9243" s="835">
        <f t="shared" si="368"/>
        <v>31</v>
      </c>
      <c r="AF9243" s="831" t="s">
        <v>9902</v>
      </c>
      <c r="AG9243" s="831" t="s">
        <v>132</v>
      </c>
      <c r="AH9243" s="831" t="s">
        <v>160</v>
      </c>
      <c r="AI9243" s="831">
        <v>1</v>
      </c>
      <c r="AJ9243" s="835">
        <v>42004</v>
      </c>
      <c r="AK9243" s="831">
        <v>1152140</v>
      </c>
    </row>
    <row r="9244" spans="2:37">
      <c r="B9244" s="834" t="str">
        <f t="shared" si="367"/>
        <v>|||</v>
      </c>
      <c r="H9244" s="835">
        <f t="shared" si="368"/>
        <v>31</v>
      </c>
      <c r="AF9244" s="831" t="s">
        <v>9903</v>
      </c>
      <c r="AG9244" s="831" t="s">
        <v>132</v>
      </c>
      <c r="AH9244" s="831" t="s">
        <v>161</v>
      </c>
      <c r="AI9244" s="831">
        <v>1</v>
      </c>
      <c r="AJ9244" s="835">
        <v>42004</v>
      </c>
      <c r="AK9244" s="831">
        <v>596210</v>
      </c>
    </row>
    <row r="9245" spans="2:37">
      <c r="B9245" s="834" t="str">
        <f t="shared" si="367"/>
        <v>|||</v>
      </c>
      <c r="H9245" s="835">
        <f t="shared" si="368"/>
        <v>31</v>
      </c>
      <c r="AF9245" s="831" t="s">
        <v>9904</v>
      </c>
      <c r="AG9245" s="831" t="s">
        <v>132</v>
      </c>
      <c r="AH9245" s="831" t="s">
        <v>170</v>
      </c>
      <c r="AI9245" s="831">
        <v>1</v>
      </c>
      <c r="AJ9245" s="835">
        <v>42004</v>
      </c>
      <c r="AK9245" s="831">
        <v>4500918</v>
      </c>
    </row>
    <row r="9246" spans="2:37">
      <c r="B9246" s="834" t="str">
        <f t="shared" si="367"/>
        <v>|||</v>
      </c>
      <c r="H9246" s="835">
        <f t="shared" si="368"/>
        <v>31</v>
      </c>
      <c r="AF9246" s="831" t="s">
        <v>9905</v>
      </c>
      <c r="AG9246" s="831" t="s">
        <v>132</v>
      </c>
      <c r="AH9246" s="831" t="s">
        <v>173</v>
      </c>
      <c r="AI9246" s="831">
        <v>1</v>
      </c>
      <c r="AJ9246" s="835">
        <v>42004</v>
      </c>
      <c r="AK9246" s="831">
        <v>0</v>
      </c>
    </row>
    <row r="9247" spans="2:37">
      <c r="B9247" s="834" t="str">
        <f t="shared" si="367"/>
        <v>|||</v>
      </c>
      <c r="H9247" s="835">
        <f t="shared" si="368"/>
        <v>31</v>
      </c>
      <c r="AF9247" s="831" t="s">
        <v>9906</v>
      </c>
      <c r="AG9247" s="831" t="s">
        <v>132</v>
      </c>
      <c r="AH9247" s="831" t="s">
        <v>78</v>
      </c>
      <c r="AI9247" s="831">
        <v>1</v>
      </c>
      <c r="AJ9247" s="835">
        <v>42004</v>
      </c>
      <c r="AK9247" s="831">
        <v>547730</v>
      </c>
    </row>
    <row r="9248" spans="2:37">
      <c r="B9248" s="834" t="str">
        <f t="shared" si="367"/>
        <v>|||</v>
      </c>
      <c r="H9248" s="835">
        <f t="shared" si="368"/>
        <v>31</v>
      </c>
      <c r="AF9248" s="831" t="s">
        <v>9907</v>
      </c>
      <c r="AG9248" s="831" t="s">
        <v>132</v>
      </c>
      <c r="AH9248" s="831" t="s">
        <v>183</v>
      </c>
      <c r="AI9248" s="831">
        <v>1</v>
      </c>
      <c r="AJ9248" s="835">
        <v>42004</v>
      </c>
      <c r="AK9248" s="831">
        <v>11412135</v>
      </c>
    </row>
    <row r="9249" spans="2:37">
      <c r="B9249" s="834" t="str">
        <f t="shared" si="367"/>
        <v>|||</v>
      </c>
      <c r="H9249" s="835">
        <f t="shared" si="368"/>
        <v>31</v>
      </c>
      <c r="AF9249" s="831" t="s">
        <v>9908</v>
      </c>
      <c r="AG9249" s="831" t="s">
        <v>132</v>
      </c>
      <c r="AH9249" s="831" t="s">
        <v>186</v>
      </c>
      <c r="AI9249" s="831">
        <v>1</v>
      </c>
      <c r="AJ9249" s="835">
        <v>42004</v>
      </c>
      <c r="AK9249" s="831">
        <v>1182931</v>
      </c>
    </row>
    <row r="9250" spans="2:37">
      <c r="B9250" s="834" t="str">
        <f t="shared" si="367"/>
        <v>|||</v>
      </c>
      <c r="H9250" s="835">
        <f t="shared" si="368"/>
        <v>31</v>
      </c>
      <c r="AF9250" s="831" t="s">
        <v>9909</v>
      </c>
      <c r="AG9250" s="831" t="s">
        <v>132</v>
      </c>
      <c r="AH9250" s="831" t="s">
        <v>189</v>
      </c>
      <c r="AI9250" s="831">
        <v>1</v>
      </c>
      <c r="AJ9250" s="835">
        <v>42004</v>
      </c>
      <c r="AK9250" s="831">
        <v>0</v>
      </c>
    </row>
    <row r="9251" spans="2:37">
      <c r="B9251" s="834" t="str">
        <f t="shared" si="367"/>
        <v>|||</v>
      </c>
      <c r="H9251" s="835">
        <f t="shared" si="368"/>
        <v>31</v>
      </c>
      <c r="AF9251" s="831" t="s">
        <v>9910</v>
      </c>
      <c r="AG9251" s="831" t="s">
        <v>133</v>
      </c>
      <c r="AH9251" s="831" t="s">
        <v>139</v>
      </c>
      <c r="AI9251" s="831">
        <v>1</v>
      </c>
      <c r="AJ9251" s="835">
        <v>42004</v>
      </c>
      <c r="AK9251" s="831">
        <v>333224</v>
      </c>
    </row>
    <row r="9252" spans="2:37">
      <c r="B9252" s="834" t="str">
        <f t="shared" si="367"/>
        <v>|||</v>
      </c>
      <c r="H9252" s="835">
        <f t="shared" si="368"/>
        <v>31</v>
      </c>
      <c r="AF9252" s="831" t="s">
        <v>9911</v>
      </c>
      <c r="AG9252" s="831" t="s">
        <v>133</v>
      </c>
      <c r="AH9252" s="831" t="s">
        <v>11</v>
      </c>
      <c r="AI9252" s="831">
        <v>1</v>
      </c>
      <c r="AJ9252" s="835">
        <v>42004</v>
      </c>
      <c r="AK9252" s="831">
        <v>157146</v>
      </c>
    </row>
    <row r="9253" spans="2:37">
      <c r="B9253" s="834" t="str">
        <f t="shared" si="367"/>
        <v>|||</v>
      </c>
      <c r="H9253" s="835">
        <f t="shared" si="368"/>
        <v>31</v>
      </c>
      <c r="AF9253" s="831" t="s">
        <v>9912</v>
      </c>
      <c r="AG9253" s="831" t="s">
        <v>133</v>
      </c>
      <c r="AH9253" s="831" t="s">
        <v>144</v>
      </c>
      <c r="AI9253" s="831">
        <v>1</v>
      </c>
      <c r="AJ9253" s="835">
        <v>42004</v>
      </c>
      <c r="AK9253" s="831">
        <v>178484</v>
      </c>
    </row>
    <row r="9254" spans="2:37">
      <c r="B9254" s="834" t="str">
        <f t="shared" si="367"/>
        <v>|||</v>
      </c>
      <c r="H9254" s="835">
        <f t="shared" si="368"/>
        <v>31</v>
      </c>
      <c r="AF9254" s="831" t="s">
        <v>9913</v>
      </c>
      <c r="AG9254" s="831" t="s">
        <v>133</v>
      </c>
      <c r="AH9254" s="831" t="s">
        <v>148</v>
      </c>
      <c r="AI9254" s="831">
        <v>1</v>
      </c>
      <c r="AJ9254" s="835">
        <v>42004</v>
      </c>
      <c r="AK9254" s="831">
        <v>43</v>
      </c>
    </row>
    <row r="9255" spans="2:37">
      <c r="B9255" s="834" t="str">
        <f t="shared" si="367"/>
        <v>|||</v>
      </c>
      <c r="H9255" s="835">
        <f t="shared" si="368"/>
        <v>31</v>
      </c>
      <c r="AF9255" s="831" t="s">
        <v>9914</v>
      </c>
      <c r="AG9255" s="831" t="s">
        <v>133</v>
      </c>
      <c r="AH9255" s="831" t="s">
        <v>152</v>
      </c>
      <c r="AI9255" s="831">
        <v>1</v>
      </c>
      <c r="AJ9255" s="835">
        <v>42004</v>
      </c>
      <c r="AK9255" s="831">
        <v>2184</v>
      </c>
    </row>
    <row r="9256" spans="2:37">
      <c r="B9256" s="834" t="str">
        <f t="shared" si="367"/>
        <v>|||</v>
      </c>
      <c r="H9256" s="835">
        <f t="shared" si="368"/>
        <v>31</v>
      </c>
      <c r="AF9256" s="831" t="s">
        <v>9915</v>
      </c>
      <c r="AG9256" s="831" t="s">
        <v>133</v>
      </c>
      <c r="AH9256" s="831" t="s">
        <v>12</v>
      </c>
      <c r="AI9256" s="831">
        <v>1</v>
      </c>
      <c r="AJ9256" s="835">
        <v>42004</v>
      </c>
      <c r="AK9256" s="831">
        <v>675</v>
      </c>
    </row>
    <row r="9257" spans="2:37">
      <c r="B9257" s="834" t="str">
        <f t="shared" si="367"/>
        <v>|||</v>
      </c>
      <c r="H9257" s="835">
        <f t="shared" si="368"/>
        <v>31</v>
      </c>
      <c r="AF9257" s="831" t="s">
        <v>9916</v>
      </c>
      <c r="AG9257" s="831" t="s">
        <v>2674</v>
      </c>
      <c r="AH9257" s="831" t="s">
        <v>546</v>
      </c>
      <c r="AI9257" s="831">
        <v>0</v>
      </c>
      <c r="AJ9257" s="835">
        <v>41029</v>
      </c>
      <c r="AK9257" s="831">
        <v>328250821</v>
      </c>
    </row>
    <row r="9258" spans="2:37">
      <c r="B9258" s="834" t="str">
        <f t="shared" si="367"/>
        <v>|||</v>
      </c>
      <c r="H9258" s="835">
        <f t="shared" si="368"/>
        <v>31</v>
      </c>
      <c r="AF9258" s="831" t="s">
        <v>9917</v>
      </c>
      <c r="AG9258" s="831" t="s">
        <v>2674</v>
      </c>
      <c r="AH9258" s="831" t="s">
        <v>370</v>
      </c>
      <c r="AI9258" s="831">
        <v>0</v>
      </c>
      <c r="AJ9258" s="835">
        <v>41029</v>
      </c>
      <c r="AK9258" s="831">
        <v>392458755</v>
      </c>
    </row>
    <row r="9259" spans="2:37">
      <c r="B9259" s="834" t="str">
        <f t="shared" si="367"/>
        <v>|||</v>
      </c>
      <c r="H9259" s="835">
        <f t="shared" si="368"/>
        <v>31</v>
      </c>
      <c r="AF9259" s="831" t="s">
        <v>9918</v>
      </c>
      <c r="AG9259" s="831" t="s">
        <v>2674</v>
      </c>
      <c r="AH9259" s="831" t="s">
        <v>126</v>
      </c>
      <c r="AI9259" s="831">
        <v>0</v>
      </c>
      <c r="AJ9259" s="835">
        <v>41029</v>
      </c>
      <c r="AK9259" s="831">
        <v>89305184</v>
      </c>
    </row>
    <row r="9260" spans="2:37">
      <c r="B9260" s="834" t="str">
        <f t="shared" si="367"/>
        <v>|||</v>
      </c>
      <c r="H9260" s="835">
        <f t="shared" si="368"/>
        <v>31</v>
      </c>
      <c r="AF9260" s="831" t="s">
        <v>9919</v>
      </c>
      <c r="AG9260" s="831" t="s">
        <v>2674</v>
      </c>
      <c r="AH9260" s="831" t="s">
        <v>268</v>
      </c>
      <c r="AI9260" s="831">
        <v>0</v>
      </c>
      <c r="AJ9260" s="835">
        <v>41029</v>
      </c>
      <c r="AK9260" s="831">
        <v>3982260</v>
      </c>
    </row>
    <row r="9261" spans="2:37">
      <c r="B9261" s="834" t="str">
        <f t="shared" si="367"/>
        <v>|||</v>
      </c>
      <c r="H9261" s="835">
        <f t="shared" si="368"/>
        <v>31</v>
      </c>
      <c r="AF9261" s="831" t="s">
        <v>9920</v>
      </c>
      <c r="AG9261" s="831" t="s">
        <v>2674</v>
      </c>
      <c r="AH9261" s="831" t="s">
        <v>547</v>
      </c>
      <c r="AI9261" s="831">
        <v>0</v>
      </c>
      <c r="AJ9261" s="835">
        <v>41029</v>
      </c>
      <c r="AK9261" s="831">
        <v>0</v>
      </c>
    </row>
    <row r="9262" spans="2:37">
      <c r="B9262" s="834" t="str">
        <f t="shared" si="367"/>
        <v>|||</v>
      </c>
      <c r="H9262" s="835">
        <f t="shared" si="368"/>
        <v>31</v>
      </c>
      <c r="AF9262" s="831" t="s">
        <v>9921</v>
      </c>
      <c r="AG9262" s="831" t="s">
        <v>2674</v>
      </c>
      <c r="AH9262" s="831" t="s">
        <v>548</v>
      </c>
      <c r="AI9262" s="831">
        <v>0</v>
      </c>
      <c r="AJ9262" s="835">
        <v>41029</v>
      </c>
      <c r="AK9262" s="831">
        <v>0</v>
      </c>
    </row>
    <row r="9263" spans="2:37">
      <c r="B9263" s="834" t="str">
        <f t="shared" si="367"/>
        <v>|||</v>
      </c>
      <c r="H9263" s="835">
        <f t="shared" si="368"/>
        <v>31</v>
      </c>
      <c r="AF9263" s="831" t="s">
        <v>9922</v>
      </c>
      <c r="AG9263" s="831" t="s">
        <v>2674</v>
      </c>
      <c r="AH9263" s="831" t="s">
        <v>549</v>
      </c>
      <c r="AI9263" s="831">
        <v>0</v>
      </c>
      <c r="AJ9263" s="835">
        <v>41029</v>
      </c>
      <c r="AK9263" s="831">
        <v>0</v>
      </c>
    </row>
    <row r="9264" spans="2:37">
      <c r="B9264" s="834" t="str">
        <f t="shared" si="367"/>
        <v>|||</v>
      </c>
      <c r="H9264" s="835">
        <f t="shared" si="368"/>
        <v>31</v>
      </c>
      <c r="AF9264" s="831" t="s">
        <v>9923</v>
      </c>
      <c r="AG9264" s="831" t="s">
        <v>2674</v>
      </c>
      <c r="AH9264" s="831" t="s">
        <v>192</v>
      </c>
      <c r="AI9264" s="831">
        <v>0</v>
      </c>
      <c r="AJ9264" s="835">
        <v>41029</v>
      </c>
      <c r="AK9264" s="831">
        <v>-8730131</v>
      </c>
    </row>
    <row r="9265" spans="2:37">
      <c r="B9265" s="834" t="str">
        <f t="shared" si="367"/>
        <v>|||</v>
      </c>
      <c r="H9265" s="835">
        <f t="shared" si="368"/>
        <v>31</v>
      </c>
      <c r="AF9265" s="831" t="s">
        <v>9924</v>
      </c>
      <c r="AG9265" s="831" t="s">
        <v>2674</v>
      </c>
      <c r="AH9265" s="831" t="s">
        <v>558</v>
      </c>
      <c r="AI9265" s="831">
        <v>0</v>
      </c>
      <c r="AJ9265" s="835">
        <v>41029</v>
      </c>
      <c r="AK9265" s="831">
        <v>303153571</v>
      </c>
    </row>
    <row r="9266" spans="2:37">
      <c r="B9266" s="834" t="str">
        <f t="shared" si="367"/>
        <v>|||</v>
      </c>
      <c r="H9266" s="835">
        <f t="shared" si="368"/>
        <v>31</v>
      </c>
      <c r="AF9266" s="831" t="s">
        <v>9925</v>
      </c>
      <c r="AG9266" s="831" t="s">
        <v>2674</v>
      </c>
      <c r="AH9266" s="831" t="s">
        <v>65</v>
      </c>
      <c r="AI9266" s="831">
        <v>0</v>
      </c>
      <c r="AJ9266" s="835">
        <v>41029</v>
      </c>
      <c r="AK9266" s="831">
        <v>29960199</v>
      </c>
    </row>
    <row r="9267" spans="2:37">
      <c r="B9267" s="834" t="str">
        <f t="shared" si="367"/>
        <v>|||</v>
      </c>
      <c r="H9267" s="835">
        <f t="shared" si="368"/>
        <v>31</v>
      </c>
      <c r="AF9267" s="831" t="s">
        <v>9926</v>
      </c>
      <c r="AG9267" s="831" t="s">
        <v>2674</v>
      </c>
      <c r="AH9267" s="831" t="s">
        <v>89</v>
      </c>
      <c r="AI9267" s="831">
        <v>0</v>
      </c>
      <c r="AJ9267" s="835">
        <v>41029</v>
      </c>
      <c r="AK9267" s="831">
        <v>120684</v>
      </c>
    </row>
    <row r="9268" spans="2:37">
      <c r="B9268" s="834" t="str">
        <f t="shared" si="367"/>
        <v>|||</v>
      </c>
      <c r="H9268" s="835">
        <f t="shared" si="368"/>
        <v>31</v>
      </c>
      <c r="AF9268" s="831" t="s">
        <v>9927</v>
      </c>
      <c r="AG9268" s="831" t="s">
        <v>2674</v>
      </c>
      <c r="AH9268" s="831" t="s">
        <v>557</v>
      </c>
      <c r="AI9268" s="831">
        <v>0</v>
      </c>
      <c r="AJ9268" s="835">
        <v>41029</v>
      </c>
      <c r="AK9268" s="831">
        <v>122441</v>
      </c>
    </row>
    <row r="9269" spans="2:37">
      <c r="B9269" s="834" t="str">
        <f t="shared" si="367"/>
        <v>|||</v>
      </c>
      <c r="H9269" s="835">
        <f t="shared" si="368"/>
        <v>31</v>
      </c>
      <c r="AF9269" s="831" t="s">
        <v>9928</v>
      </c>
      <c r="AG9269" s="831" t="s">
        <v>2674</v>
      </c>
      <c r="AH9269" s="831" t="s">
        <v>29</v>
      </c>
      <c r="AI9269" s="831">
        <v>0</v>
      </c>
      <c r="AJ9269" s="835">
        <v>41029</v>
      </c>
      <c r="AK9269" s="831">
        <v>2386224</v>
      </c>
    </row>
    <row r="9270" spans="2:37">
      <c r="B9270" s="834" t="str">
        <f t="shared" si="367"/>
        <v>|||</v>
      </c>
      <c r="H9270" s="835">
        <f t="shared" si="368"/>
        <v>31</v>
      </c>
      <c r="AF9270" s="831" t="s">
        <v>9929</v>
      </c>
      <c r="AG9270" s="831" t="s">
        <v>2674</v>
      </c>
      <c r="AH9270" s="831" t="s">
        <v>2688</v>
      </c>
      <c r="AI9270" s="831">
        <v>0</v>
      </c>
      <c r="AJ9270" s="835">
        <v>41029</v>
      </c>
      <c r="AK9270" s="831">
        <v>3166295</v>
      </c>
    </row>
    <row r="9271" spans="2:37">
      <c r="B9271" s="834" t="str">
        <f t="shared" si="367"/>
        <v>|||</v>
      </c>
      <c r="H9271" s="835">
        <f t="shared" si="368"/>
        <v>31</v>
      </c>
      <c r="AF9271" s="831" t="s">
        <v>9930</v>
      </c>
      <c r="AG9271" s="831" t="s">
        <v>2674</v>
      </c>
      <c r="AH9271" s="831" t="s">
        <v>556</v>
      </c>
      <c r="AI9271" s="831">
        <v>0</v>
      </c>
      <c r="AJ9271" s="835">
        <v>41029</v>
      </c>
      <c r="AK9271" s="831">
        <v>0</v>
      </c>
    </row>
    <row r="9272" spans="2:37">
      <c r="B9272" s="834" t="str">
        <f t="shared" si="367"/>
        <v>|||</v>
      </c>
      <c r="H9272" s="835">
        <f t="shared" si="368"/>
        <v>31</v>
      </c>
      <c r="AF9272" s="831" t="s">
        <v>9931</v>
      </c>
      <c r="AG9272" s="831" t="s">
        <v>2674</v>
      </c>
      <c r="AH9272" s="831" t="s">
        <v>555</v>
      </c>
      <c r="AI9272" s="831">
        <v>0</v>
      </c>
      <c r="AJ9272" s="835">
        <v>41029</v>
      </c>
      <c r="AK9272" s="831">
        <v>185581360</v>
      </c>
    </row>
    <row r="9273" spans="2:37">
      <c r="B9273" s="834" t="str">
        <f t="shared" si="367"/>
        <v>|||</v>
      </c>
      <c r="H9273" s="835">
        <f t="shared" si="368"/>
        <v>31</v>
      </c>
      <c r="AF9273" s="831" t="s">
        <v>9932</v>
      </c>
      <c r="AG9273" s="831" t="s">
        <v>2674</v>
      </c>
      <c r="AH9273" s="831" t="s">
        <v>554</v>
      </c>
      <c r="AI9273" s="831">
        <v>0</v>
      </c>
      <c r="AJ9273" s="835">
        <v>41029</v>
      </c>
      <c r="AK9273" s="831">
        <v>176686640</v>
      </c>
    </row>
    <row r="9274" spans="2:37">
      <c r="B9274" s="834" t="str">
        <f t="shared" si="367"/>
        <v>|||</v>
      </c>
      <c r="H9274" s="835">
        <f t="shared" si="368"/>
        <v>31</v>
      </c>
      <c r="AF9274" s="831" t="s">
        <v>9933</v>
      </c>
      <c r="AG9274" s="831" t="s">
        <v>2674</v>
      </c>
      <c r="AH9274" s="831" t="s">
        <v>553</v>
      </c>
      <c r="AI9274" s="831">
        <v>0</v>
      </c>
      <c r="AJ9274" s="835">
        <v>41029</v>
      </c>
      <c r="AK9274" s="831">
        <v>0</v>
      </c>
    </row>
    <row r="9275" spans="2:37">
      <c r="B9275" s="834" t="str">
        <f t="shared" si="367"/>
        <v>|||</v>
      </c>
      <c r="H9275" s="835">
        <f t="shared" si="368"/>
        <v>31</v>
      </c>
      <c r="AF9275" s="831" t="s">
        <v>9934</v>
      </c>
      <c r="AG9275" s="831" t="s">
        <v>2674</v>
      </c>
      <c r="AH9275" s="831" t="s">
        <v>552</v>
      </c>
      <c r="AI9275" s="831">
        <v>0</v>
      </c>
      <c r="AJ9275" s="835">
        <v>41029</v>
      </c>
      <c r="AK9275" s="831">
        <v>0</v>
      </c>
    </row>
    <row r="9276" spans="2:37">
      <c r="B9276" s="834" t="str">
        <f t="shared" si="367"/>
        <v>|||</v>
      </c>
      <c r="H9276" s="835">
        <f t="shared" si="368"/>
        <v>31</v>
      </c>
      <c r="AF9276" s="831" t="s">
        <v>9935</v>
      </c>
      <c r="AG9276" s="831" t="s">
        <v>2674</v>
      </c>
      <c r="AH9276" s="831" t="s">
        <v>551</v>
      </c>
      <c r="AI9276" s="831">
        <v>0</v>
      </c>
      <c r="AJ9276" s="835">
        <v>41029</v>
      </c>
      <c r="AK9276" s="831">
        <v>2045595</v>
      </c>
    </row>
    <row r="9277" spans="2:37">
      <c r="B9277" s="834" t="str">
        <f t="shared" si="367"/>
        <v>|||</v>
      </c>
      <c r="H9277" s="835">
        <f t="shared" si="368"/>
        <v>31</v>
      </c>
      <c r="AF9277" s="831" t="s">
        <v>9936</v>
      </c>
      <c r="AG9277" s="831" t="s">
        <v>2674</v>
      </c>
      <c r="AH9277" s="831" t="s">
        <v>550</v>
      </c>
      <c r="AI9277" s="831">
        <v>0</v>
      </c>
      <c r="AJ9277" s="835">
        <v>41029</v>
      </c>
      <c r="AK9277" s="831">
        <v>0</v>
      </c>
    </row>
    <row r="9278" spans="2:37">
      <c r="B9278" s="834" t="str">
        <f t="shared" si="367"/>
        <v>|||</v>
      </c>
      <c r="H9278" s="835">
        <f t="shared" si="368"/>
        <v>31</v>
      </c>
      <c r="AF9278" s="831" t="s">
        <v>9937</v>
      </c>
      <c r="AG9278" s="831" t="s">
        <v>2674</v>
      </c>
      <c r="AH9278" s="831" t="s">
        <v>562</v>
      </c>
      <c r="AI9278" s="831">
        <v>0</v>
      </c>
      <c r="AJ9278" s="835">
        <v>41029</v>
      </c>
      <c r="AK9278" s="831">
        <v>0.78585000000000005</v>
      </c>
    </row>
    <row r="9279" spans="2:37">
      <c r="B9279" s="834" t="str">
        <f t="shared" si="367"/>
        <v>|||</v>
      </c>
      <c r="H9279" s="835">
        <f t="shared" si="368"/>
        <v>31</v>
      </c>
      <c r="AF9279" s="831" t="s">
        <v>9938</v>
      </c>
      <c r="AG9279" s="831" t="s">
        <v>2674</v>
      </c>
      <c r="AH9279" s="831" t="s">
        <v>2698</v>
      </c>
      <c r="AI9279" s="831">
        <v>0</v>
      </c>
      <c r="AJ9279" s="835">
        <v>41029</v>
      </c>
      <c r="AK9279" s="831">
        <v>0.78610000000000002</v>
      </c>
    </row>
    <row r="9280" spans="2:37">
      <c r="B9280" s="834" t="str">
        <f t="shared" si="367"/>
        <v>|||</v>
      </c>
      <c r="H9280" s="835">
        <f t="shared" si="368"/>
        <v>31</v>
      </c>
      <c r="AF9280" s="831" t="s">
        <v>9939</v>
      </c>
      <c r="AG9280" s="831" t="s">
        <v>2674</v>
      </c>
      <c r="AH9280" s="831" t="s">
        <v>560</v>
      </c>
      <c r="AI9280" s="831">
        <v>0</v>
      </c>
      <c r="AJ9280" s="835">
        <v>41029</v>
      </c>
      <c r="AK9280" s="831">
        <v>0.78596250000000001</v>
      </c>
    </row>
    <row r="9281" spans="2:37">
      <c r="B9281" s="834" t="str">
        <f t="shared" si="367"/>
        <v>|||</v>
      </c>
      <c r="H9281" s="835">
        <f t="shared" si="368"/>
        <v>31</v>
      </c>
      <c r="AF9281" s="831" t="s">
        <v>9940</v>
      </c>
      <c r="AG9281" s="831" t="s">
        <v>2674</v>
      </c>
      <c r="AH9281" s="831" t="s">
        <v>559</v>
      </c>
      <c r="AI9281" s="831">
        <v>0</v>
      </c>
      <c r="AJ9281" s="835">
        <v>41029</v>
      </c>
      <c r="AK9281" s="831">
        <v>0.78600833333333298</v>
      </c>
    </row>
    <row r="9282" spans="2:37">
      <c r="B9282" s="834" t="str">
        <f t="shared" si="367"/>
        <v>|||</v>
      </c>
      <c r="H9282" s="835">
        <f t="shared" si="368"/>
        <v>31</v>
      </c>
      <c r="AF9282" s="831" t="s">
        <v>9941</v>
      </c>
      <c r="AG9282" s="831" t="s">
        <v>2674</v>
      </c>
      <c r="AH9282" s="831" t="s">
        <v>568</v>
      </c>
      <c r="AI9282" s="831">
        <v>0</v>
      </c>
      <c r="AJ9282" s="835">
        <v>41029</v>
      </c>
      <c r="AK9282" s="831">
        <v>0</v>
      </c>
    </row>
    <row r="9283" spans="2:37">
      <c r="B9283" s="834" t="str">
        <f t="shared" ref="B9283:B9346" si="369">C9283&amp;"|"&amp;D9283&amp;"|"&amp;E9283&amp;"|"&amp;F9283</f>
        <v>|||</v>
      </c>
      <c r="H9283" s="835">
        <f t="shared" si="368"/>
        <v>31</v>
      </c>
      <c r="AF9283" s="831" t="s">
        <v>9942</v>
      </c>
      <c r="AG9283" s="831" t="s">
        <v>2674</v>
      </c>
      <c r="AH9283" s="831" t="s">
        <v>569</v>
      </c>
      <c r="AI9283" s="831">
        <v>0</v>
      </c>
      <c r="AJ9283" s="835">
        <v>41029</v>
      </c>
      <c r="AK9283" s="831">
        <v>0</v>
      </c>
    </row>
    <row r="9284" spans="2:37">
      <c r="B9284" s="834" t="str">
        <f t="shared" si="369"/>
        <v>|||</v>
      </c>
      <c r="H9284" s="835">
        <f t="shared" ref="H9284:H9347" si="370">EOMONTH(L9284,0)</f>
        <v>31</v>
      </c>
      <c r="AF9284" s="831" t="s">
        <v>9943</v>
      </c>
      <c r="AG9284" s="831" t="s">
        <v>2674</v>
      </c>
      <c r="AH9284" s="831" t="s">
        <v>570</v>
      </c>
      <c r="AI9284" s="831">
        <v>0</v>
      </c>
      <c r="AJ9284" s="835">
        <v>41029</v>
      </c>
      <c r="AK9284" s="831">
        <v>0</v>
      </c>
    </row>
    <row r="9285" spans="2:37">
      <c r="B9285" s="834" t="str">
        <f t="shared" si="369"/>
        <v>|||</v>
      </c>
      <c r="H9285" s="835">
        <f t="shared" si="370"/>
        <v>31</v>
      </c>
      <c r="AF9285" s="831" t="s">
        <v>9944</v>
      </c>
      <c r="AG9285" s="831" t="s">
        <v>2674</v>
      </c>
      <c r="AH9285" s="831" t="s">
        <v>571</v>
      </c>
      <c r="AI9285" s="831">
        <v>0</v>
      </c>
      <c r="AJ9285" s="835">
        <v>41029</v>
      </c>
      <c r="AK9285" s="831">
        <v>0</v>
      </c>
    </row>
    <row r="9286" spans="2:37">
      <c r="B9286" s="834" t="str">
        <f t="shared" si="369"/>
        <v>|||</v>
      </c>
      <c r="H9286" s="835">
        <f t="shared" si="370"/>
        <v>31</v>
      </c>
      <c r="AF9286" s="831" t="s">
        <v>9945</v>
      </c>
      <c r="AG9286" s="831" t="s">
        <v>2674</v>
      </c>
      <c r="AH9286" s="831" t="s">
        <v>573</v>
      </c>
      <c r="AI9286" s="831">
        <v>0</v>
      </c>
      <c r="AJ9286" s="835">
        <v>41029</v>
      </c>
      <c r="AK9286" s="831">
        <v>0</v>
      </c>
    </row>
    <row r="9287" spans="2:37">
      <c r="B9287" s="834" t="str">
        <f t="shared" si="369"/>
        <v>|||</v>
      </c>
      <c r="H9287" s="835">
        <f t="shared" si="370"/>
        <v>31</v>
      </c>
      <c r="AF9287" s="831" t="s">
        <v>9946</v>
      </c>
      <c r="AG9287" s="831" t="s">
        <v>2674</v>
      </c>
      <c r="AH9287" s="831" t="s">
        <v>574</v>
      </c>
      <c r="AI9287" s="831">
        <v>0</v>
      </c>
      <c r="AJ9287" s="835">
        <v>41029</v>
      </c>
      <c r="AK9287" s="831">
        <v>0</v>
      </c>
    </row>
    <row r="9288" spans="2:37">
      <c r="B9288" s="834" t="str">
        <f t="shared" si="369"/>
        <v>|||</v>
      </c>
      <c r="H9288" s="835">
        <f t="shared" si="370"/>
        <v>31</v>
      </c>
      <c r="AF9288" s="831" t="s">
        <v>9947</v>
      </c>
      <c r="AG9288" s="831" t="s">
        <v>2674</v>
      </c>
      <c r="AH9288" s="831" t="s">
        <v>575</v>
      </c>
      <c r="AI9288" s="831">
        <v>0</v>
      </c>
      <c r="AJ9288" s="835">
        <v>41029</v>
      </c>
      <c r="AK9288" s="831">
        <v>0</v>
      </c>
    </row>
    <row r="9289" spans="2:37">
      <c r="B9289" s="834" t="str">
        <f t="shared" si="369"/>
        <v>|||</v>
      </c>
      <c r="H9289" s="835">
        <f t="shared" si="370"/>
        <v>31</v>
      </c>
      <c r="AF9289" s="831" t="s">
        <v>9948</v>
      </c>
      <c r="AG9289" s="831" t="s">
        <v>2674</v>
      </c>
      <c r="AH9289" s="831" t="s">
        <v>576</v>
      </c>
      <c r="AI9289" s="831">
        <v>0</v>
      </c>
      <c r="AJ9289" s="835">
        <v>41029</v>
      </c>
      <c r="AK9289" s="831">
        <v>0</v>
      </c>
    </row>
    <row r="9290" spans="2:37">
      <c r="B9290" s="834" t="str">
        <f t="shared" si="369"/>
        <v>|||</v>
      </c>
      <c r="H9290" s="835">
        <f t="shared" si="370"/>
        <v>31</v>
      </c>
      <c r="AF9290" s="831" t="s">
        <v>9949</v>
      </c>
      <c r="AG9290" s="831" t="s">
        <v>2674</v>
      </c>
      <c r="AH9290" s="831" t="s">
        <v>572</v>
      </c>
      <c r="AI9290" s="831">
        <v>0</v>
      </c>
      <c r="AJ9290" s="835">
        <v>41029</v>
      </c>
      <c r="AK9290" s="831">
        <v>0</v>
      </c>
    </row>
    <row r="9291" spans="2:37">
      <c r="B9291" s="834" t="str">
        <f t="shared" si="369"/>
        <v>|||</v>
      </c>
      <c r="H9291" s="835">
        <f t="shared" si="370"/>
        <v>31</v>
      </c>
      <c r="AF9291" s="831" t="s">
        <v>9950</v>
      </c>
      <c r="AG9291" s="831" t="s">
        <v>2674</v>
      </c>
      <c r="AH9291" s="831" t="s">
        <v>577</v>
      </c>
      <c r="AI9291" s="831">
        <v>0</v>
      </c>
      <c r="AJ9291" s="835">
        <v>41029</v>
      </c>
      <c r="AK9291" s="831">
        <v>0</v>
      </c>
    </row>
    <row r="9292" spans="2:37">
      <c r="B9292" s="834" t="str">
        <f t="shared" si="369"/>
        <v>|||</v>
      </c>
      <c r="H9292" s="835">
        <f t="shared" si="370"/>
        <v>31</v>
      </c>
      <c r="AF9292" s="831" t="s">
        <v>9951</v>
      </c>
      <c r="AG9292" s="831" t="s">
        <v>2674</v>
      </c>
      <c r="AH9292" s="831" t="s">
        <v>3042</v>
      </c>
      <c r="AI9292" s="831">
        <v>0</v>
      </c>
      <c r="AJ9292" s="835">
        <v>41029</v>
      </c>
      <c r="AK9292" s="831">
        <v>0</v>
      </c>
    </row>
    <row r="9293" spans="2:37">
      <c r="B9293" s="834" t="str">
        <f t="shared" si="369"/>
        <v>|||</v>
      </c>
      <c r="H9293" s="835">
        <f t="shared" si="370"/>
        <v>31</v>
      </c>
      <c r="AF9293" s="831" t="s">
        <v>9952</v>
      </c>
      <c r="AG9293" s="831" t="s">
        <v>2674</v>
      </c>
      <c r="AH9293" s="831" t="s">
        <v>3044</v>
      </c>
      <c r="AI9293" s="831">
        <v>0</v>
      </c>
      <c r="AJ9293" s="835">
        <v>41029</v>
      </c>
      <c r="AK9293" s="831">
        <v>0</v>
      </c>
    </row>
    <row r="9294" spans="2:37">
      <c r="B9294" s="834" t="str">
        <f t="shared" si="369"/>
        <v>|||</v>
      </c>
      <c r="H9294" s="835">
        <f t="shared" si="370"/>
        <v>31</v>
      </c>
      <c r="AF9294" s="831" t="s">
        <v>9953</v>
      </c>
      <c r="AG9294" s="831" t="s">
        <v>2674</v>
      </c>
      <c r="AH9294" s="831" t="s">
        <v>580</v>
      </c>
      <c r="AI9294" s="831">
        <v>0</v>
      </c>
      <c r="AJ9294" s="835">
        <v>41029</v>
      </c>
      <c r="AK9294" s="831">
        <v>0</v>
      </c>
    </row>
    <row r="9295" spans="2:37">
      <c r="B9295" s="834" t="str">
        <f t="shared" si="369"/>
        <v>|||</v>
      </c>
      <c r="H9295" s="835">
        <f t="shared" si="370"/>
        <v>31</v>
      </c>
      <c r="AF9295" s="831" t="s">
        <v>9954</v>
      </c>
      <c r="AG9295" s="831" t="s">
        <v>2674</v>
      </c>
      <c r="AH9295" s="831" t="s">
        <v>581</v>
      </c>
      <c r="AI9295" s="831">
        <v>0</v>
      </c>
      <c r="AJ9295" s="835">
        <v>41029</v>
      </c>
      <c r="AK9295" s="831">
        <v>0</v>
      </c>
    </row>
    <row r="9296" spans="2:37">
      <c r="B9296" s="834" t="str">
        <f t="shared" si="369"/>
        <v>|||</v>
      </c>
      <c r="H9296" s="835">
        <f t="shared" si="370"/>
        <v>31</v>
      </c>
      <c r="AF9296" s="831" t="s">
        <v>9955</v>
      </c>
      <c r="AG9296" s="831" t="s">
        <v>2674</v>
      </c>
      <c r="AH9296" s="831" t="s">
        <v>105</v>
      </c>
      <c r="AI9296" s="831">
        <v>0</v>
      </c>
      <c r="AJ9296" s="835">
        <v>41029</v>
      </c>
      <c r="AK9296" s="831">
        <v>137663792</v>
      </c>
    </row>
    <row r="9297" spans="2:37">
      <c r="B9297" s="834" t="str">
        <f t="shared" si="369"/>
        <v>|||</v>
      </c>
      <c r="H9297" s="835">
        <f t="shared" si="370"/>
        <v>31</v>
      </c>
      <c r="AF9297" s="831" t="s">
        <v>9956</v>
      </c>
      <c r="AG9297" s="831" t="s">
        <v>2674</v>
      </c>
      <c r="AH9297" s="831" t="s">
        <v>3049</v>
      </c>
      <c r="AI9297" s="831">
        <v>0</v>
      </c>
      <c r="AJ9297" s="835">
        <v>41029</v>
      </c>
      <c r="AK9297" s="831">
        <v>291395518</v>
      </c>
    </row>
    <row r="9298" spans="2:37">
      <c r="B9298" s="834" t="str">
        <f t="shared" si="369"/>
        <v>|||</v>
      </c>
      <c r="H9298" s="835">
        <f t="shared" si="370"/>
        <v>31</v>
      </c>
      <c r="AF9298" s="831" t="s">
        <v>9957</v>
      </c>
      <c r="AG9298" s="831" t="s">
        <v>2674</v>
      </c>
      <c r="AH9298" s="831" t="s">
        <v>103</v>
      </c>
      <c r="AI9298" s="831">
        <v>0</v>
      </c>
      <c r="AJ9298" s="835">
        <v>41029</v>
      </c>
      <c r="AK9298" s="831">
        <v>153731726</v>
      </c>
    </row>
    <row r="9299" spans="2:37">
      <c r="B9299" s="834" t="str">
        <f t="shared" si="369"/>
        <v>|||</v>
      </c>
      <c r="H9299" s="835">
        <f t="shared" si="370"/>
        <v>31</v>
      </c>
      <c r="AF9299" s="831" t="s">
        <v>9958</v>
      </c>
      <c r="AG9299" s="831" t="s">
        <v>2674</v>
      </c>
      <c r="AH9299" s="831" t="s">
        <v>182</v>
      </c>
      <c r="AI9299" s="831">
        <v>0</v>
      </c>
      <c r="AJ9299" s="835">
        <v>41029</v>
      </c>
      <c r="AK9299" s="831">
        <v>51083520</v>
      </c>
    </row>
    <row r="9300" spans="2:37">
      <c r="B9300" s="834" t="str">
        <f t="shared" si="369"/>
        <v>|||</v>
      </c>
      <c r="H9300" s="835">
        <f t="shared" si="370"/>
        <v>31</v>
      </c>
      <c r="AF9300" s="831" t="s">
        <v>9959</v>
      </c>
      <c r="AG9300" s="831" t="s">
        <v>2674</v>
      </c>
      <c r="AH9300" s="831" t="s">
        <v>6600</v>
      </c>
      <c r="AI9300" s="831">
        <v>0</v>
      </c>
      <c r="AJ9300" s="835">
        <v>41029</v>
      </c>
      <c r="AK9300" s="831">
        <v>0</v>
      </c>
    </row>
    <row r="9301" spans="2:37">
      <c r="B9301" s="834" t="str">
        <f t="shared" si="369"/>
        <v>|||</v>
      </c>
      <c r="H9301" s="835">
        <f t="shared" si="370"/>
        <v>31</v>
      </c>
      <c r="AF9301" s="831" t="s">
        <v>9960</v>
      </c>
      <c r="AG9301" s="831" t="s">
        <v>2674</v>
      </c>
      <c r="AH9301" s="831" t="s">
        <v>6602</v>
      </c>
      <c r="AI9301" s="831">
        <v>0</v>
      </c>
      <c r="AJ9301" s="835">
        <v>41029</v>
      </c>
      <c r="AK9301" s="831">
        <v>3982260</v>
      </c>
    </row>
    <row r="9302" spans="2:37">
      <c r="B9302" s="834" t="str">
        <f t="shared" si="369"/>
        <v>|||</v>
      </c>
      <c r="H9302" s="835">
        <f t="shared" si="370"/>
        <v>31</v>
      </c>
      <c r="AF9302" s="831" t="s">
        <v>9961</v>
      </c>
      <c r="AG9302" s="831" t="s">
        <v>2674</v>
      </c>
      <c r="AH9302" s="831" t="s">
        <v>650</v>
      </c>
      <c r="AI9302" s="831">
        <v>0</v>
      </c>
      <c r="AJ9302" s="835">
        <v>41029</v>
      </c>
      <c r="AK9302" s="831">
        <v>0</v>
      </c>
    </row>
    <row r="9303" spans="2:37">
      <c r="B9303" s="834" t="str">
        <f t="shared" si="369"/>
        <v>|||</v>
      </c>
      <c r="H9303" s="835">
        <f t="shared" si="370"/>
        <v>31</v>
      </c>
      <c r="AF9303" s="831" t="s">
        <v>9962</v>
      </c>
      <c r="AG9303" s="831" t="s">
        <v>2674</v>
      </c>
      <c r="AH9303" s="831" t="s">
        <v>655</v>
      </c>
      <c r="AI9303" s="831">
        <v>0</v>
      </c>
      <c r="AJ9303" s="835">
        <v>41029</v>
      </c>
      <c r="AK9303" s="831">
        <v>1863413</v>
      </c>
    </row>
    <row r="9304" spans="2:37">
      <c r="B9304" s="834" t="str">
        <f t="shared" si="369"/>
        <v>|||</v>
      </c>
      <c r="H9304" s="835">
        <f t="shared" si="370"/>
        <v>31</v>
      </c>
      <c r="AF9304" s="831" t="s">
        <v>9963</v>
      </c>
      <c r="AG9304" s="831" t="s">
        <v>130</v>
      </c>
      <c r="AH9304" s="831" t="s">
        <v>145</v>
      </c>
      <c r="AI9304" s="831">
        <v>0</v>
      </c>
      <c r="AJ9304" s="835">
        <v>42035</v>
      </c>
      <c r="AK9304" s="831">
        <v>45486838</v>
      </c>
    </row>
    <row r="9305" spans="2:37">
      <c r="B9305" s="834" t="str">
        <f t="shared" si="369"/>
        <v>|||</v>
      </c>
      <c r="H9305" s="835">
        <f t="shared" si="370"/>
        <v>31</v>
      </c>
      <c r="AF9305" s="831" t="s">
        <v>9964</v>
      </c>
      <c r="AG9305" s="831" t="s">
        <v>130</v>
      </c>
      <c r="AH9305" s="831" t="s">
        <v>149</v>
      </c>
      <c r="AI9305" s="831">
        <v>0</v>
      </c>
      <c r="AJ9305" s="835">
        <v>42035</v>
      </c>
      <c r="AK9305" s="831">
        <v>14645297</v>
      </c>
    </row>
    <row r="9306" spans="2:37">
      <c r="B9306" s="834" t="str">
        <f t="shared" si="369"/>
        <v>|||</v>
      </c>
      <c r="H9306" s="835">
        <f t="shared" si="370"/>
        <v>31</v>
      </c>
      <c r="AF9306" s="831" t="s">
        <v>9965</v>
      </c>
      <c r="AG9306" s="831" t="s">
        <v>130</v>
      </c>
      <c r="AH9306" s="831" t="s">
        <v>153</v>
      </c>
      <c r="AI9306" s="831">
        <v>0</v>
      </c>
      <c r="AJ9306" s="835">
        <v>42035</v>
      </c>
      <c r="AK9306" s="831">
        <v>88043376</v>
      </c>
    </row>
    <row r="9307" spans="2:37">
      <c r="B9307" s="834" t="str">
        <f t="shared" si="369"/>
        <v>|||</v>
      </c>
      <c r="H9307" s="835">
        <f t="shared" si="370"/>
        <v>31</v>
      </c>
      <c r="AF9307" s="831" t="s">
        <v>9966</v>
      </c>
      <c r="AG9307" s="831" t="s">
        <v>130</v>
      </c>
      <c r="AH9307" s="831" t="s">
        <v>156</v>
      </c>
      <c r="AI9307" s="831">
        <v>0</v>
      </c>
      <c r="AJ9307" s="835">
        <v>42035</v>
      </c>
      <c r="AK9307" s="831">
        <v>0</v>
      </c>
    </row>
    <row r="9308" spans="2:37">
      <c r="B9308" s="834" t="str">
        <f t="shared" si="369"/>
        <v>|||</v>
      </c>
      <c r="H9308" s="835">
        <f t="shared" si="370"/>
        <v>31</v>
      </c>
      <c r="AF9308" s="831" t="s">
        <v>9967</v>
      </c>
      <c r="AG9308" s="831" t="s">
        <v>130</v>
      </c>
      <c r="AH9308" s="831" t="s">
        <v>162</v>
      </c>
      <c r="AI9308" s="831">
        <v>0</v>
      </c>
      <c r="AJ9308" s="835">
        <v>42035</v>
      </c>
      <c r="AK9308" s="831">
        <v>829753309</v>
      </c>
    </row>
    <row r="9309" spans="2:37">
      <c r="B9309" s="834" t="str">
        <f t="shared" si="369"/>
        <v>|||</v>
      </c>
      <c r="H9309" s="835">
        <f t="shared" si="370"/>
        <v>31</v>
      </c>
      <c r="AF9309" s="831" t="s">
        <v>9968</v>
      </c>
      <c r="AG9309" s="831" t="s">
        <v>130</v>
      </c>
      <c r="AH9309" s="831" t="s">
        <v>165</v>
      </c>
      <c r="AI9309" s="831">
        <v>0</v>
      </c>
      <c r="AJ9309" s="835">
        <v>42035</v>
      </c>
      <c r="AK9309" s="831">
        <v>-9765211</v>
      </c>
    </row>
    <row r="9310" spans="2:37">
      <c r="B9310" s="834" t="str">
        <f t="shared" si="369"/>
        <v>|||</v>
      </c>
      <c r="H9310" s="835">
        <f t="shared" si="370"/>
        <v>31</v>
      </c>
      <c r="AF9310" s="831" t="s">
        <v>9969</v>
      </c>
      <c r="AG9310" s="831" t="s">
        <v>130</v>
      </c>
      <c r="AH9310" s="831" t="s">
        <v>171</v>
      </c>
      <c r="AI9310" s="831">
        <v>0</v>
      </c>
      <c r="AJ9310" s="835">
        <v>42035</v>
      </c>
      <c r="AK9310" s="831">
        <v>7347959</v>
      </c>
    </row>
    <row r="9311" spans="2:37">
      <c r="B9311" s="834" t="str">
        <f t="shared" si="369"/>
        <v>|||</v>
      </c>
      <c r="H9311" s="835">
        <f t="shared" si="370"/>
        <v>31</v>
      </c>
      <c r="AF9311" s="831" t="s">
        <v>9970</v>
      </c>
      <c r="AG9311" s="831" t="s">
        <v>130</v>
      </c>
      <c r="AH9311" s="831" t="s">
        <v>174</v>
      </c>
      <c r="AI9311" s="831">
        <v>0</v>
      </c>
      <c r="AJ9311" s="835">
        <v>42035</v>
      </c>
      <c r="AK9311" s="831">
        <v>0</v>
      </c>
    </row>
    <row r="9312" spans="2:37">
      <c r="B9312" s="834" t="str">
        <f t="shared" si="369"/>
        <v>|||</v>
      </c>
      <c r="H9312" s="835">
        <f t="shared" si="370"/>
        <v>31</v>
      </c>
      <c r="AF9312" s="831" t="s">
        <v>9971</v>
      </c>
      <c r="AG9312" s="831" t="s">
        <v>130</v>
      </c>
      <c r="AH9312" s="831" t="s">
        <v>181</v>
      </c>
      <c r="AI9312" s="831">
        <v>0</v>
      </c>
      <c r="AJ9312" s="835">
        <v>42035</v>
      </c>
      <c r="AK9312" s="831">
        <v>63584391</v>
      </c>
    </row>
    <row r="9313" spans="2:37">
      <c r="B9313" s="834" t="str">
        <f t="shared" si="369"/>
        <v>|||</v>
      </c>
      <c r="H9313" s="835">
        <f t="shared" si="370"/>
        <v>31</v>
      </c>
      <c r="AF9313" s="831" t="s">
        <v>9972</v>
      </c>
      <c r="AG9313" s="831" t="s">
        <v>130</v>
      </c>
      <c r="AH9313" s="831" t="s">
        <v>184</v>
      </c>
      <c r="AI9313" s="831">
        <v>0</v>
      </c>
      <c r="AJ9313" s="835">
        <v>42035</v>
      </c>
      <c r="AK9313" s="831">
        <v>-21440660</v>
      </c>
    </row>
    <row r="9314" spans="2:37">
      <c r="B9314" s="834" t="str">
        <f t="shared" si="369"/>
        <v>|||</v>
      </c>
      <c r="H9314" s="835">
        <f t="shared" si="370"/>
        <v>31</v>
      </c>
      <c r="AF9314" s="831" t="s">
        <v>9973</v>
      </c>
      <c r="AG9314" s="831" t="s">
        <v>130</v>
      </c>
      <c r="AH9314" s="831" t="s">
        <v>187</v>
      </c>
      <c r="AI9314" s="831">
        <v>0</v>
      </c>
      <c r="AJ9314" s="835">
        <v>42035</v>
      </c>
      <c r="AK9314" s="831">
        <v>0</v>
      </c>
    </row>
    <row r="9315" spans="2:37">
      <c r="B9315" s="834" t="str">
        <f t="shared" si="369"/>
        <v>|||</v>
      </c>
      <c r="H9315" s="835">
        <f t="shared" si="370"/>
        <v>31</v>
      </c>
      <c r="AF9315" s="831" t="s">
        <v>9974</v>
      </c>
      <c r="AG9315" s="831" t="s">
        <v>130</v>
      </c>
      <c r="AH9315" s="831" t="s">
        <v>196</v>
      </c>
      <c r="AI9315" s="831">
        <v>0</v>
      </c>
      <c r="AJ9315" s="835">
        <v>42035</v>
      </c>
      <c r="AK9315" s="831">
        <v>20603000</v>
      </c>
    </row>
    <row r="9316" spans="2:37">
      <c r="B9316" s="834" t="str">
        <f t="shared" si="369"/>
        <v>|||</v>
      </c>
      <c r="H9316" s="835">
        <f t="shared" si="370"/>
        <v>31</v>
      </c>
      <c r="AF9316" s="831" t="s">
        <v>9975</v>
      </c>
      <c r="AG9316" s="831" t="s">
        <v>130</v>
      </c>
      <c r="AH9316" s="831" t="s">
        <v>197</v>
      </c>
      <c r="AI9316" s="831">
        <v>0</v>
      </c>
      <c r="AJ9316" s="835">
        <v>42035</v>
      </c>
      <c r="AK9316" s="831">
        <v>0</v>
      </c>
    </row>
    <row r="9317" spans="2:37">
      <c r="B9317" s="834" t="str">
        <f t="shared" si="369"/>
        <v>|||</v>
      </c>
      <c r="H9317" s="835">
        <f t="shared" si="370"/>
        <v>31</v>
      </c>
      <c r="AF9317" s="831" t="s">
        <v>9976</v>
      </c>
      <c r="AG9317" s="831" t="s">
        <v>130</v>
      </c>
      <c r="AH9317" s="831" t="s">
        <v>199</v>
      </c>
      <c r="AI9317" s="831">
        <v>0</v>
      </c>
      <c r="AJ9317" s="835">
        <v>42035</v>
      </c>
      <c r="AK9317" s="831">
        <v>0</v>
      </c>
    </row>
    <row r="9318" spans="2:37">
      <c r="B9318" s="834" t="str">
        <f t="shared" si="369"/>
        <v>|||</v>
      </c>
      <c r="H9318" s="835">
        <f t="shared" si="370"/>
        <v>31</v>
      </c>
      <c r="AF9318" s="831" t="s">
        <v>9977</v>
      </c>
      <c r="AG9318" s="831" t="s">
        <v>130</v>
      </c>
      <c r="AH9318" s="831" t="s">
        <v>201</v>
      </c>
      <c r="AI9318" s="831">
        <v>0</v>
      </c>
      <c r="AJ9318" s="835">
        <v>42035</v>
      </c>
      <c r="AK9318" s="831">
        <v>6350944</v>
      </c>
    </row>
    <row r="9319" spans="2:37">
      <c r="B9319" s="834" t="str">
        <f t="shared" si="369"/>
        <v>|||</v>
      </c>
      <c r="H9319" s="835">
        <f t="shared" si="370"/>
        <v>31</v>
      </c>
      <c r="AF9319" s="831" t="s">
        <v>9978</v>
      </c>
      <c r="AG9319" s="831" t="s">
        <v>130</v>
      </c>
      <c r="AH9319" s="831" t="s">
        <v>209</v>
      </c>
      <c r="AI9319" s="831">
        <v>0</v>
      </c>
      <c r="AJ9319" s="835">
        <v>42035</v>
      </c>
      <c r="AK9319" s="831">
        <v>81670429</v>
      </c>
    </row>
    <row r="9320" spans="2:37">
      <c r="B9320" s="834" t="str">
        <f t="shared" si="369"/>
        <v>|||</v>
      </c>
      <c r="H9320" s="835">
        <f t="shared" si="370"/>
        <v>31</v>
      </c>
      <c r="AF9320" s="831" t="s">
        <v>9979</v>
      </c>
      <c r="AG9320" s="831" t="s">
        <v>130</v>
      </c>
      <c r="AH9320" s="831" t="s">
        <v>211</v>
      </c>
      <c r="AI9320" s="831">
        <v>0</v>
      </c>
      <c r="AJ9320" s="835">
        <v>42035</v>
      </c>
      <c r="AK9320" s="831">
        <v>248976893</v>
      </c>
    </row>
    <row r="9321" spans="2:37">
      <c r="B9321" s="834" t="str">
        <f t="shared" si="369"/>
        <v>|||</v>
      </c>
      <c r="H9321" s="835">
        <f t="shared" si="370"/>
        <v>31</v>
      </c>
      <c r="AF9321" s="831" t="s">
        <v>9980</v>
      </c>
      <c r="AG9321" s="831" t="s">
        <v>130</v>
      </c>
      <c r="AH9321" s="831" t="s">
        <v>212</v>
      </c>
      <c r="AI9321" s="831">
        <v>0</v>
      </c>
      <c r="AJ9321" s="835">
        <v>42035</v>
      </c>
      <c r="AK9321" s="831">
        <v>9964437</v>
      </c>
    </row>
    <row r="9322" spans="2:37">
      <c r="B9322" s="834" t="str">
        <f t="shared" si="369"/>
        <v>|||</v>
      </c>
      <c r="H9322" s="835">
        <f t="shared" si="370"/>
        <v>31</v>
      </c>
      <c r="AF9322" s="831" t="s">
        <v>9981</v>
      </c>
      <c r="AG9322" s="831" t="s">
        <v>130</v>
      </c>
      <c r="AH9322" s="831" t="s">
        <v>216</v>
      </c>
      <c r="AI9322" s="831">
        <v>0</v>
      </c>
      <c r="AJ9322" s="835">
        <v>42035</v>
      </c>
      <c r="AK9322" s="831">
        <v>0</v>
      </c>
    </row>
    <row r="9323" spans="2:37">
      <c r="B9323" s="834" t="str">
        <f t="shared" si="369"/>
        <v>|||</v>
      </c>
      <c r="H9323" s="835">
        <f t="shared" si="370"/>
        <v>31</v>
      </c>
      <c r="AF9323" s="831" t="s">
        <v>9982</v>
      </c>
      <c r="AG9323" s="831" t="s">
        <v>130</v>
      </c>
      <c r="AH9323" s="831" t="s">
        <v>218</v>
      </c>
      <c r="AI9323" s="831">
        <v>0</v>
      </c>
      <c r="AJ9323" s="835">
        <v>42035</v>
      </c>
      <c r="AK9323" s="831">
        <v>10000000</v>
      </c>
    </row>
    <row r="9324" spans="2:37">
      <c r="B9324" s="834" t="str">
        <f t="shared" si="369"/>
        <v>|||</v>
      </c>
      <c r="H9324" s="835">
        <f t="shared" si="370"/>
        <v>31</v>
      </c>
      <c r="AF9324" s="831" t="s">
        <v>9983</v>
      </c>
      <c r="AG9324" s="831" t="s">
        <v>130</v>
      </c>
      <c r="AH9324" s="831" t="s">
        <v>220</v>
      </c>
      <c r="AI9324" s="831">
        <v>0</v>
      </c>
      <c r="AJ9324" s="835">
        <v>42035</v>
      </c>
      <c r="AK9324" s="831">
        <v>249759680</v>
      </c>
    </row>
    <row r="9325" spans="2:37">
      <c r="B9325" s="834" t="str">
        <f t="shared" si="369"/>
        <v>|||</v>
      </c>
      <c r="H9325" s="835">
        <f t="shared" si="370"/>
        <v>31</v>
      </c>
      <c r="AF9325" s="831" t="s">
        <v>9984</v>
      </c>
      <c r="AG9325" s="831" t="s">
        <v>130</v>
      </c>
      <c r="AH9325" s="831" t="s">
        <v>221</v>
      </c>
      <c r="AI9325" s="831">
        <v>0</v>
      </c>
      <c r="AJ9325" s="835">
        <v>42035</v>
      </c>
      <c r="AK9325" s="831">
        <v>0</v>
      </c>
    </row>
    <row r="9326" spans="2:37">
      <c r="B9326" s="834" t="str">
        <f t="shared" si="369"/>
        <v>|||</v>
      </c>
      <c r="H9326" s="835">
        <f t="shared" si="370"/>
        <v>31</v>
      </c>
      <c r="AF9326" s="831" t="s">
        <v>9985</v>
      </c>
      <c r="AG9326" s="831" t="s">
        <v>130</v>
      </c>
      <c r="AH9326" s="831" t="s">
        <v>228</v>
      </c>
      <c r="AI9326" s="831">
        <v>0</v>
      </c>
      <c r="AJ9326" s="835">
        <v>42035</v>
      </c>
      <c r="AK9326" s="831">
        <v>0</v>
      </c>
    </row>
    <row r="9327" spans="2:37">
      <c r="B9327" s="834" t="str">
        <f t="shared" si="369"/>
        <v>|||</v>
      </c>
      <c r="H9327" s="835">
        <f t="shared" si="370"/>
        <v>31</v>
      </c>
      <c r="AF9327" s="831" t="s">
        <v>9986</v>
      </c>
      <c r="AG9327" s="831" t="s">
        <v>130</v>
      </c>
      <c r="AH9327" s="831" t="s">
        <v>230</v>
      </c>
      <c r="AI9327" s="831">
        <v>0</v>
      </c>
      <c r="AJ9327" s="835">
        <v>42035</v>
      </c>
      <c r="AK9327" s="831">
        <v>0</v>
      </c>
    </row>
    <row r="9328" spans="2:37">
      <c r="B9328" s="834" t="str">
        <f t="shared" si="369"/>
        <v>|||</v>
      </c>
      <c r="H9328" s="835">
        <f t="shared" si="370"/>
        <v>31</v>
      </c>
      <c r="AF9328" s="831" t="s">
        <v>9987</v>
      </c>
      <c r="AG9328" s="831" t="s">
        <v>130</v>
      </c>
      <c r="AH9328" s="831" t="s">
        <v>231</v>
      </c>
      <c r="AI9328" s="831">
        <v>0</v>
      </c>
      <c r="AJ9328" s="835">
        <v>42035</v>
      </c>
      <c r="AK9328" s="831">
        <v>22000000</v>
      </c>
    </row>
    <row r="9329" spans="2:37">
      <c r="B9329" s="834" t="str">
        <f t="shared" si="369"/>
        <v>|||</v>
      </c>
      <c r="H9329" s="835">
        <f t="shared" si="370"/>
        <v>31</v>
      </c>
      <c r="AF9329" s="831" t="s">
        <v>9988</v>
      </c>
      <c r="AG9329" s="831" t="s">
        <v>130</v>
      </c>
      <c r="AH9329" s="831" t="s">
        <v>232</v>
      </c>
      <c r="AI9329" s="831">
        <v>0</v>
      </c>
      <c r="AJ9329" s="835">
        <v>42035</v>
      </c>
      <c r="AK9329" s="831">
        <v>240737994</v>
      </c>
    </row>
    <row r="9330" spans="2:37">
      <c r="B9330" s="834" t="str">
        <f t="shared" si="369"/>
        <v>|||</v>
      </c>
      <c r="H9330" s="835">
        <f t="shared" si="370"/>
        <v>31</v>
      </c>
      <c r="AF9330" s="831" t="s">
        <v>9989</v>
      </c>
      <c r="AG9330" s="831" t="s">
        <v>130</v>
      </c>
      <c r="AH9330" s="831" t="s">
        <v>116</v>
      </c>
      <c r="AI9330" s="831">
        <v>0</v>
      </c>
      <c r="AJ9330" s="835">
        <v>42035</v>
      </c>
      <c r="AK9330" s="831">
        <v>15688000</v>
      </c>
    </row>
    <row r="9331" spans="2:37">
      <c r="B9331" s="834" t="str">
        <f t="shared" si="369"/>
        <v>|||</v>
      </c>
      <c r="H9331" s="835">
        <f t="shared" si="370"/>
        <v>31</v>
      </c>
      <c r="AF9331" s="831" t="s">
        <v>9990</v>
      </c>
      <c r="AG9331" s="831" t="s">
        <v>130</v>
      </c>
      <c r="AH9331" s="831" t="s">
        <v>234</v>
      </c>
      <c r="AI9331" s="831">
        <v>0</v>
      </c>
      <c r="AJ9331" s="835">
        <v>42035</v>
      </c>
      <c r="AK9331" s="831">
        <v>0</v>
      </c>
    </row>
    <row r="9332" spans="2:37">
      <c r="B9332" s="834" t="str">
        <f t="shared" si="369"/>
        <v>|||</v>
      </c>
      <c r="H9332" s="835">
        <f t="shared" si="370"/>
        <v>31</v>
      </c>
      <c r="AF9332" s="831" t="s">
        <v>9991</v>
      </c>
      <c r="AG9332" s="831" t="s">
        <v>130</v>
      </c>
      <c r="AH9332" s="831" t="s">
        <v>235</v>
      </c>
      <c r="AI9332" s="831">
        <v>0</v>
      </c>
      <c r="AJ9332" s="835">
        <v>42035</v>
      </c>
      <c r="AK9332" s="831">
        <v>16951586</v>
      </c>
    </row>
    <row r="9333" spans="2:37">
      <c r="B9333" s="834" t="str">
        <f t="shared" si="369"/>
        <v>|||</v>
      </c>
      <c r="H9333" s="835">
        <f t="shared" si="370"/>
        <v>31</v>
      </c>
      <c r="AF9333" s="831" t="s">
        <v>9992</v>
      </c>
      <c r="AG9333" s="831" t="s">
        <v>130</v>
      </c>
      <c r="AH9333" s="831" t="s">
        <v>238</v>
      </c>
      <c r="AI9333" s="831">
        <v>0</v>
      </c>
      <c r="AJ9333" s="835">
        <v>42035</v>
      </c>
      <c r="AK9333" s="831">
        <v>0</v>
      </c>
    </row>
    <row r="9334" spans="2:37">
      <c r="B9334" s="834" t="str">
        <f t="shared" si="369"/>
        <v>|||</v>
      </c>
      <c r="H9334" s="835">
        <f t="shared" si="370"/>
        <v>31</v>
      </c>
      <c r="AF9334" s="831" t="s">
        <v>9993</v>
      </c>
      <c r="AG9334" s="831" t="s">
        <v>130</v>
      </c>
      <c r="AH9334" s="831" t="s">
        <v>240</v>
      </c>
      <c r="AI9334" s="831">
        <v>0</v>
      </c>
      <c r="AJ9334" s="835">
        <v>42035</v>
      </c>
      <c r="AK9334" s="831">
        <v>85000000</v>
      </c>
    </row>
    <row r="9335" spans="2:37">
      <c r="B9335" s="834" t="str">
        <f t="shared" si="369"/>
        <v>|||</v>
      </c>
      <c r="H9335" s="835">
        <f t="shared" si="370"/>
        <v>31</v>
      </c>
      <c r="AF9335" s="831" t="s">
        <v>9994</v>
      </c>
      <c r="AG9335" s="831" t="s">
        <v>130</v>
      </c>
      <c r="AH9335" s="831" t="s">
        <v>241</v>
      </c>
      <c r="AI9335" s="831">
        <v>0</v>
      </c>
      <c r="AJ9335" s="835">
        <v>42035</v>
      </c>
      <c r="AK9335" s="831">
        <v>0</v>
      </c>
    </row>
    <row r="9336" spans="2:37">
      <c r="B9336" s="834" t="str">
        <f t="shared" si="369"/>
        <v>|||</v>
      </c>
      <c r="H9336" s="835">
        <f t="shared" si="370"/>
        <v>31</v>
      </c>
      <c r="AF9336" s="831" t="s">
        <v>9995</v>
      </c>
      <c r="AG9336" s="831" t="s">
        <v>130</v>
      </c>
      <c r="AH9336" s="831" t="s">
        <v>242</v>
      </c>
      <c r="AI9336" s="831">
        <v>0</v>
      </c>
      <c r="AJ9336" s="835">
        <v>42035</v>
      </c>
      <c r="AK9336" s="831">
        <v>0</v>
      </c>
    </row>
    <row r="9337" spans="2:37">
      <c r="B9337" s="834" t="str">
        <f t="shared" si="369"/>
        <v>|||</v>
      </c>
      <c r="H9337" s="835">
        <f t="shared" si="370"/>
        <v>31</v>
      </c>
      <c r="AF9337" s="831" t="s">
        <v>9996</v>
      </c>
      <c r="AG9337" s="831" t="s">
        <v>130</v>
      </c>
      <c r="AH9337" s="831" t="s">
        <v>244</v>
      </c>
      <c r="AI9337" s="831">
        <v>0</v>
      </c>
      <c r="AJ9337" s="835">
        <v>42035</v>
      </c>
      <c r="AK9337" s="831">
        <v>60408286</v>
      </c>
    </row>
    <row r="9338" spans="2:37">
      <c r="B9338" s="834" t="str">
        <f t="shared" si="369"/>
        <v>|||</v>
      </c>
      <c r="H9338" s="835">
        <f t="shared" si="370"/>
        <v>31</v>
      </c>
      <c r="AF9338" s="831" t="s">
        <v>9997</v>
      </c>
      <c r="AG9338" s="831" t="s">
        <v>130</v>
      </c>
      <c r="AH9338" s="831" t="s">
        <v>245</v>
      </c>
      <c r="AI9338" s="831">
        <v>0</v>
      </c>
      <c r="AJ9338" s="835">
        <v>42035</v>
      </c>
      <c r="AK9338" s="831">
        <v>3451938</v>
      </c>
    </row>
    <row r="9339" spans="2:37">
      <c r="B9339" s="834" t="str">
        <f t="shared" si="369"/>
        <v>|||</v>
      </c>
      <c r="H9339" s="835">
        <f t="shared" si="370"/>
        <v>31</v>
      </c>
      <c r="AF9339" s="831" t="s">
        <v>9998</v>
      </c>
      <c r="AG9339" s="831" t="s">
        <v>130</v>
      </c>
      <c r="AH9339" s="831" t="s">
        <v>145</v>
      </c>
      <c r="AI9339" s="831">
        <v>0</v>
      </c>
      <c r="AJ9339" s="835">
        <v>42063</v>
      </c>
      <c r="AK9339" s="831">
        <v>94265068</v>
      </c>
    </row>
    <row r="9340" spans="2:37">
      <c r="B9340" s="834" t="str">
        <f t="shared" si="369"/>
        <v>|||</v>
      </c>
      <c r="H9340" s="835">
        <f t="shared" si="370"/>
        <v>31</v>
      </c>
      <c r="AF9340" s="831" t="s">
        <v>9999</v>
      </c>
      <c r="AG9340" s="831" t="s">
        <v>130</v>
      </c>
      <c r="AH9340" s="831" t="s">
        <v>149</v>
      </c>
      <c r="AI9340" s="831">
        <v>0</v>
      </c>
      <c r="AJ9340" s="835">
        <v>42063</v>
      </c>
      <c r="AK9340" s="831">
        <v>16434427</v>
      </c>
    </row>
    <row r="9341" spans="2:37">
      <c r="B9341" s="834" t="str">
        <f t="shared" si="369"/>
        <v>|||</v>
      </c>
      <c r="H9341" s="835">
        <f t="shared" si="370"/>
        <v>31</v>
      </c>
      <c r="AF9341" s="831" t="s">
        <v>10000</v>
      </c>
      <c r="AG9341" s="831" t="s">
        <v>130</v>
      </c>
      <c r="AH9341" s="831" t="s">
        <v>153</v>
      </c>
      <c r="AI9341" s="831">
        <v>0</v>
      </c>
      <c r="AJ9341" s="835">
        <v>42063</v>
      </c>
      <c r="AK9341" s="831">
        <v>97028883</v>
      </c>
    </row>
    <row r="9342" spans="2:37">
      <c r="B9342" s="834" t="str">
        <f t="shared" si="369"/>
        <v>|||</v>
      </c>
      <c r="H9342" s="835">
        <f t="shared" si="370"/>
        <v>31</v>
      </c>
      <c r="AF9342" s="831" t="s">
        <v>10001</v>
      </c>
      <c r="AG9342" s="831" t="s">
        <v>130</v>
      </c>
      <c r="AH9342" s="831" t="s">
        <v>156</v>
      </c>
      <c r="AI9342" s="831">
        <v>0</v>
      </c>
      <c r="AJ9342" s="835">
        <v>42063</v>
      </c>
      <c r="AK9342" s="831">
        <v>0</v>
      </c>
    </row>
    <row r="9343" spans="2:37">
      <c r="B9343" s="834" t="str">
        <f t="shared" si="369"/>
        <v>|||</v>
      </c>
      <c r="H9343" s="835">
        <f t="shared" si="370"/>
        <v>31</v>
      </c>
      <c r="AF9343" s="831" t="s">
        <v>10002</v>
      </c>
      <c r="AG9343" s="831" t="s">
        <v>130</v>
      </c>
      <c r="AH9343" s="831" t="s">
        <v>162</v>
      </c>
      <c r="AI9343" s="831">
        <v>0</v>
      </c>
      <c r="AJ9343" s="835">
        <v>42063</v>
      </c>
      <c r="AK9343" s="831">
        <v>965858339</v>
      </c>
    </row>
    <row r="9344" spans="2:37">
      <c r="B9344" s="834" t="str">
        <f t="shared" si="369"/>
        <v>|||</v>
      </c>
      <c r="H9344" s="835">
        <f t="shared" si="370"/>
        <v>31</v>
      </c>
      <c r="AF9344" s="831" t="s">
        <v>10003</v>
      </c>
      <c r="AG9344" s="831" t="s">
        <v>130</v>
      </c>
      <c r="AH9344" s="831" t="s">
        <v>165</v>
      </c>
      <c r="AI9344" s="831">
        <v>0</v>
      </c>
      <c r="AJ9344" s="835">
        <v>42063</v>
      </c>
      <c r="AK9344" s="831">
        <v>-13765211</v>
      </c>
    </row>
    <row r="9345" spans="2:37">
      <c r="B9345" s="834" t="str">
        <f t="shared" si="369"/>
        <v>|||</v>
      </c>
      <c r="H9345" s="835">
        <f t="shared" si="370"/>
        <v>31</v>
      </c>
      <c r="AF9345" s="831" t="s">
        <v>10004</v>
      </c>
      <c r="AG9345" s="831" t="s">
        <v>130</v>
      </c>
      <c r="AH9345" s="831" t="s">
        <v>171</v>
      </c>
      <c r="AI9345" s="831">
        <v>0</v>
      </c>
      <c r="AJ9345" s="835">
        <v>42063</v>
      </c>
      <c r="AK9345" s="831">
        <v>8213994</v>
      </c>
    </row>
    <row r="9346" spans="2:37">
      <c r="B9346" s="834" t="str">
        <f t="shared" si="369"/>
        <v>|||</v>
      </c>
      <c r="H9346" s="835">
        <f t="shared" si="370"/>
        <v>31</v>
      </c>
      <c r="AF9346" s="831" t="s">
        <v>10005</v>
      </c>
      <c r="AG9346" s="831" t="s">
        <v>130</v>
      </c>
      <c r="AH9346" s="831" t="s">
        <v>174</v>
      </c>
      <c r="AI9346" s="831">
        <v>0</v>
      </c>
      <c r="AJ9346" s="835">
        <v>42063</v>
      </c>
      <c r="AK9346" s="831">
        <v>0</v>
      </c>
    </row>
    <row r="9347" spans="2:37">
      <c r="B9347" s="834" t="str">
        <f t="shared" ref="B9347:B9410" si="371">C9347&amp;"|"&amp;D9347&amp;"|"&amp;E9347&amp;"|"&amp;F9347</f>
        <v>|||</v>
      </c>
      <c r="H9347" s="835">
        <f t="shared" si="370"/>
        <v>31</v>
      </c>
      <c r="AF9347" s="831" t="s">
        <v>10006</v>
      </c>
      <c r="AG9347" s="831" t="s">
        <v>130</v>
      </c>
      <c r="AH9347" s="831" t="s">
        <v>181</v>
      </c>
      <c r="AI9347" s="831">
        <v>0</v>
      </c>
      <c r="AJ9347" s="835">
        <v>42063</v>
      </c>
      <c r="AK9347" s="831">
        <v>64042093</v>
      </c>
    </row>
    <row r="9348" spans="2:37">
      <c r="B9348" s="834" t="str">
        <f t="shared" si="371"/>
        <v>|||</v>
      </c>
      <c r="H9348" s="835">
        <f t="shared" ref="H9348:H9411" si="372">EOMONTH(L9348,0)</f>
        <v>31</v>
      </c>
      <c r="AF9348" s="831" t="s">
        <v>10007</v>
      </c>
      <c r="AG9348" s="831" t="s">
        <v>130</v>
      </c>
      <c r="AH9348" s="831" t="s">
        <v>184</v>
      </c>
      <c r="AI9348" s="831">
        <v>0</v>
      </c>
      <c r="AJ9348" s="835">
        <v>42063</v>
      </c>
      <c r="AK9348" s="831">
        <v>-21921500</v>
      </c>
    </row>
    <row r="9349" spans="2:37">
      <c r="B9349" s="834" t="str">
        <f t="shared" si="371"/>
        <v>|||</v>
      </c>
      <c r="H9349" s="835">
        <f t="shared" si="372"/>
        <v>31</v>
      </c>
      <c r="AF9349" s="831" t="s">
        <v>10008</v>
      </c>
      <c r="AG9349" s="831" t="s">
        <v>130</v>
      </c>
      <c r="AH9349" s="831" t="s">
        <v>187</v>
      </c>
      <c r="AI9349" s="831">
        <v>0</v>
      </c>
      <c r="AJ9349" s="835">
        <v>42063</v>
      </c>
      <c r="AK9349" s="831">
        <v>0</v>
      </c>
    </row>
    <row r="9350" spans="2:37">
      <c r="B9350" s="834" t="str">
        <f t="shared" si="371"/>
        <v>|||</v>
      </c>
      <c r="H9350" s="835">
        <f t="shared" si="372"/>
        <v>31</v>
      </c>
      <c r="AF9350" s="831" t="s">
        <v>10009</v>
      </c>
      <c r="AG9350" s="831" t="s">
        <v>130</v>
      </c>
      <c r="AH9350" s="831" t="s">
        <v>196</v>
      </c>
      <c r="AI9350" s="831">
        <v>0</v>
      </c>
      <c r="AJ9350" s="835">
        <v>42063</v>
      </c>
      <c r="AK9350" s="831">
        <v>20977990</v>
      </c>
    </row>
    <row r="9351" spans="2:37">
      <c r="B9351" s="834" t="str">
        <f t="shared" si="371"/>
        <v>|||</v>
      </c>
      <c r="H9351" s="835">
        <f t="shared" si="372"/>
        <v>31</v>
      </c>
      <c r="AF9351" s="831" t="s">
        <v>10010</v>
      </c>
      <c r="AG9351" s="831" t="s">
        <v>130</v>
      </c>
      <c r="AH9351" s="831" t="s">
        <v>197</v>
      </c>
      <c r="AI9351" s="831">
        <v>0</v>
      </c>
      <c r="AJ9351" s="835">
        <v>42063</v>
      </c>
      <c r="AK9351" s="831">
        <v>0</v>
      </c>
    </row>
    <row r="9352" spans="2:37">
      <c r="B9352" s="834" t="str">
        <f t="shared" si="371"/>
        <v>|||</v>
      </c>
      <c r="H9352" s="835">
        <f t="shared" si="372"/>
        <v>31</v>
      </c>
      <c r="AF9352" s="831" t="s">
        <v>10011</v>
      </c>
      <c r="AG9352" s="831" t="s">
        <v>130</v>
      </c>
      <c r="AH9352" s="831" t="s">
        <v>199</v>
      </c>
      <c r="AI9352" s="831">
        <v>0</v>
      </c>
      <c r="AJ9352" s="835">
        <v>42063</v>
      </c>
      <c r="AK9352" s="831">
        <v>0</v>
      </c>
    </row>
    <row r="9353" spans="2:37">
      <c r="B9353" s="834" t="str">
        <f t="shared" si="371"/>
        <v>|||</v>
      </c>
      <c r="H9353" s="835">
        <f t="shared" si="372"/>
        <v>31</v>
      </c>
      <c r="AF9353" s="831" t="s">
        <v>10012</v>
      </c>
      <c r="AG9353" s="831" t="s">
        <v>130</v>
      </c>
      <c r="AH9353" s="831" t="s">
        <v>201</v>
      </c>
      <c r="AI9353" s="831">
        <v>0</v>
      </c>
      <c r="AJ9353" s="835">
        <v>42063</v>
      </c>
      <c r="AK9353" s="831">
        <v>22447644</v>
      </c>
    </row>
    <row r="9354" spans="2:37">
      <c r="B9354" s="834" t="str">
        <f t="shared" si="371"/>
        <v>|||</v>
      </c>
      <c r="H9354" s="835">
        <f t="shared" si="372"/>
        <v>31</v>
      </c>
      <c r="AF9354" s="831" t="s">
        <v>10013</v>
      </c>
      <c r="AG9354" s="831" t="s">
        <v>130</v>
      </c>
      <c r="AH9354" s="831" t="s">
        <v>209</v>
      </c>
      <c r="AI9354" s="831">
        <v>0</v>
      </c>
      <c r="AJ9354" s="835">
        <v>42063</v>
      </c>
      <c r="AK9354" s="831">
        <v>97467663</v>
      </c>
    </row>
    <row r="9355" spans="2:37">
      <c r="B9355" s="834" t="str">
        <f t="shared" si="371"/>
        <v>|||</v>
      </c>
      <c r="H9355" s="835">
        <f t="shared" si="372"/>
        <v>31</v>
      </c>
      <c r="AF9355" s="831" t="s">
        <v>10014</v>
      </c>
      <c r="AG9355" s="831" t="s">
        <v>130</v>
      </c>
      <c r="AH9355" s="831" t="s">
        <v>211</v>
      </c>
      <c r="AI9355" s="831">
        <v>0</v>
      </c>
      <c r="AJ9355" s="835">
        <v>42063</v>
      </c>
      <c r="AK9355" s="831">
        <v>266508784</v>
      </c>
    </row>
    <row r="9356" spans="2:37">
      <c r="B9356" s="834" t="str">
        <f t="shared" si="371"/>
        <v>|||</v>
      </c>
      <c r="H9356" s="835">
        <f t="shared" si="372"/>
        <v>31</v>
      </c>
      <c r="AF9356" s="831" t="s">
        <v>10015</v>
      </c>
      <c r="AG9356" s="831" t="s">
        <v>130</v>
      </c>
      <c r="AH9356" s="831" t="s">
        <v>212</v>
      </c>
      <c r="AI9356" s="831">
        <v>0</v>
      </c>
      <c r="AJ9356" s="835">
        <v>42063</v>
      </c>
      <c r="AK9356" s="831">
        <v>10890072</v>
      </c>
    </row>
    <row r="9357" spans="2:37">
      <c r="B9357" s="834" t="str">
        <f t="shared" si="371"/>
        <v>|||</v>
      </c>
      <c r="H9357" s="835">
        <f t="shared" si="372"/>
        <v>31</v>
      </c>
      <c r="AF9357" s="831" t="s">
        <v>10016</v>
      </c>
      <c r="AG9357" s="831" t="s">
        <v>130</v>
      </c>
      <c r="AH9357" s="831" t="s">
        <v>216</v>
      </c>
      <c r="AI9357" s="831">
        <v>0</v>
      </c>
      <c r="AJ9357" s="835">
        <v>42063</v>
      </c>
      <c r="AK9357" s="831">
        <v>0</v>
      </c>
    </row>
    <row r="9358" spans="2:37">
      <c r="B9358" s="834" t="str">
        <f t="shared" si="371"/>
        <v>|||</v>
      </c>
      <c r="H9358" s="835">
        <f t="shared" si="372"/>
        <v>31</v>
      </c>
      <c r="AF9358" s="831" t="s">
        <v>10017</v>
      </c>
      <c r="AG9358" s="831" t="s">
        <v>130</v>
      </c>
      <c r="AH9358" s="831" t="s">
        <v>218</v>
      </c>
      <c r="AI9358" s="831">
        <v>0</v>
      </c>
      <c r="AJ9358" s="835">
        <v>42063</v>
      </c>
      <c r="AK9358" s="831">
        <v>20000000</v>
      </c>
    </row>
    <row r="9359" spans="2:37">
      <c r="B9359" s="834" t="str">
        <f t="shared" si="371"/>
        <v>|||</v>
      </c>
      <c r="H9359" s="835">
        <f t="shared" si="372"/>
        <v>31</v>
      </c>
      <c r="AF9359" s="831" t="s">
        <v>10018</v>
      </c>
      <c r="AG9359" s="831" t="s">
        <v>130</v>
      </c>
      <c r="AH9359" s="831" t="s">
        <v>220</v>
      </c>
      <c r="AI9359" s="831">
        <v>0</v>
      </c>
      <c r="AJ9359" s="835">
        <v>42063</v>
      </c>
      <c r="AK9359" s="831">
        <v>332290080</v>
      </c>
    </row>
    <row r="9360" spans="2:37">
      <c r="B9360" s="834" t="str">
        <f t="shared" si="371"/>
        <v>|||</v>
      </c>
      <c r="H9360" s="835">
        <f t="shared" si="372"/>
        <v>31</v>
      </c>
      <c r="AF9360" s="831" t="s">
        <v>10019</v>
      </c>
      <c r="AG9360" s="831" t="s">
        <v>130</v>
      </c>
      <c r="AH9360" s="831" t="s">
        <v>221</v>
      </c>
      <c r="AI9360" s="831">
        <v>0</v>
      </c>
      <c r="AJ9360" s="835">
        <v>42063</v>
      </c>
      <c r="AK9360" s="831">
        <v>0</v>
      </c>
    </row>
    <row r="9361" spans="2:37">
      <c r="B9361" s="834" t="str">
        <f t="shared" si="371"/>
        <v>|||</v>
      </c>
      <c r="H9361" s="835">
        <f t="shared" si="372"/>
        <v>31</v>
      </c>
      <c r="AF9361" s="831" t="s">
        <v>10020</v>
      </c>
      <c r="AG9361" s="831" t="s">
        <v>130</v>
      </c>
      <c r="AH9361" s="831" t="s">
        <v>228</v>
      </c>
      <c r="AI9361" s="831">
        <v>0</v>
      </c>
      <c r="AJ9361" s="835">
        <v>42063</v>
      </c>
      <c r="AK9361" s="831">
        <v>0</v>
      </c>
    </row>
    <row r="9362" spans="2:37">
      <c r="B9362" s="834" t="str">
        <f t="shared" si="371"/>
        <v>|||</v>
      </c>
      <c r="H9362" s="835">
        <f t="shared" si="372"/>
        <v>31</v>
      </c>
      <c r="AF9362" s="831" t="s">
        <v>10021</v>
      </c>
      <c r="AG9362" s="831" t="s">
        <v>130</v>
      </c>
      <c r="AH9362" s="831" t="s">
        <v>230</v>
      </c>
      <c r="AI9362" s="831">
        <v>0</v>
      </c>
      <c r="AJ9362" s="835">
        <v>42063</v>
      </c>
      <c r="AK9362" s="831">
        <v>0</v>
      </c>
    </row>
    <row r="9363" spans="2:37">
      <c r="B9363" s="834" t="str">
        <f t="shared" si="371"/>
        <v>|||</v>
      </c>
      <c r="H9363" s="835">
        <f t="shared" si="372"/>
        <v>31</v>
      </c>
      <c r="AF9363" s="831" t="s">
        <v>10022</v>
      </c>
      <c r="AG9363" s="831" t="s">
        <v>130</v>
      </c>
      <c r="AH9363" s="831" t="s">
        <v>231</v>
      </c>
      <c r="AI9363" s="831">
        <v>0</v>
      </c>
      <c r="AJ9363" s="835">
        <v>42063</v>
      </c>
      <c r="AK9363" s="831">
        <v>22000000</v>
      </c>
    </row>
    <row r="9364" spans="2:37">
      <c r="B9364" s="834" t="str">
        <f t="shared" si="371"/>
        <v>|||</v>
      </c>
      <c r="H9364" s="835">
        <f t="shared" si="372"/>
        <v>31</v>
      </c>
      <c r="AF9364" s="831" t="s">
        <v>10023</v>
      </c>
      <c r="AG9364" s="831" t="s">
        <v>130</v>
      </c>
      <c r="AH9364" s="831" t="s">
        <v>232</v>
      </c>
      <c r="AI9364" s="831">
        <v>0</v>
      </c>
      <c r="AJ9364" s="835">
        <v>42063</v>
      </c>
      <c r="AK9364" s="831">
        <v>319514450</v>
      </c>
    </row>
    <row r="9365" spans="2:37">
      <c r="B9365" s="834" t="str">
        <f t="shared" si="371"/>
        <v>|||</v>
      </c>
      <c r="H9365" s="835">
        <f t="shared" si="372"/>
        <v>31</v>
      </c>
      <c r="AF9365" s="831" t="s">
        <v>10024</v>
      </c>
      <c r="AG9365" s="831" t="s">
        <v>130</v>
      </c>
      <c r="AH9365" s="831" t="s">
        <v>116</v>
      </c>
      <c r="AI9365" s="831">
        <v>0</v>
      </c>
      <c r="AJ9365" s="835">
        <v>42063</v>
      </c>
      <c r="AK9365" s="831">
        <v>20996000</v>
      </c>
    </row>
    <row r="9366" spans="2:37">
      <c r="B9366" s="834" t="str">
        <f t="shared" si="371"/>
        <v>|||</v>
      </c>
      <c r="H9366" s="835">
        <f t="shared" si="372"/>
        <v>31</v>
      </c>
      <c r="AF9366" s="831" t="s">
        <v>10025</v>
      </c>
      <c r="AG9366" s="831" t="s">
        <v>130</v>
      </c>
      <c r="AH9366" s="831" t="s">
        <v>234</v>
      </c>
      <c r="AI9366" s="831">
        <v>0</v>
      </c>
      <c r="AJ9366" s="835">
        <v>42063</v>
      </c>
      <c r="AK9366" s="831">
        <v>0</v>
      </c>
    </row>
    <row r="9367" spans="2:37">
      <c r="B9367" s="834" t="str">
        <f t="shared" si="371"/>
        <v>|||</v>
      </c>
      <c r="H9367" s="835">
        <f t="shared" si="372"/>
        <v>31</v>
      </c>
      <c r="AF9367" s="831" t="s">
        <v>10026</v>
      </c>
      <c r="AG9367" s="831" t="s">
        <v>130</v>
      </c>
      <c r="AH9367" s="831" t="s">
        <v>235</v>
      </c>
      <c r="AI9367" s="831">
        <v>0</v>
      </c>
      <c r="AJ9367" s="835">
        <v>42063</v>
      </c>
      <c r="AK9367" s="831">
        <v>20414148</v>
      </c>
    </row>
    <row r="9368" spans="2:37">
      <c r="B9368" s="834" t="str">
        <f t="shared" si="371"/>
        <v>|||</v>
      </c>
      <c r="H9368" s="835">
        <f t="shared" si="372"/>
        <v>31</v>
      </c>
      <c r="AF9368" s="831" t="s">
        <v>10027</v>
      </c>
      <c r="AG9368" s="831" t="s">
        <v>130</v>
      </c>
      <c r="AH9368" s="831" t="s">
        <v>238</v>
      </c>
      <c r="AI9368" s="831">
        <v>0</v>
      </c>
      <c r="AJ9368" s="835">
        <v>42063</v>
      </c>
      <c r="AK9368" s="831">
        <v>0</v>
      </c>
    </row>
    <row r="9369" spans="2:37">
      <c r="B9369" s="834" t="str">
        <f t="shared" si="371"/>
        <v>|||</v>
      </c>
      <c r="H9369" s="835">
        <f t="shared" si="372"/>
        <v>31</v>
      </c>
      <c r="AF9369" s="831" t="s">
        <v>10028</v>
      </c>
      <c r="AG9369" s="831" t="s">
        <v>130</v>
      </c>
      <c r="AH9369" s="831" t="s">
        <v>240</v>
      </c>
      <c r="AI9369" s="831">
        <v>0</v>
      </c>
      <c r="AJ9369" s="835">
        <v>42063</v>
      </c>
      <c r="AK9369" s="831">
        <v>85000000</v>
      </c>
    </row>
    <row r="9370" spans="2:37">
      <c r="B9370" s="834" t="str">
        <f t="shared" si="371"/>
        <v>|||</v>
      </c>
      <c r="H9370" s="835">
        <f t="shared" si="372"/>
        <v>31</v>
      </c>
      <c r="AF9370" s="831" t="s">
        <v>10029</v>
      </c>
      <c r="AG9370" s="831" t="s">
        <v>130</v>
      </c>
      <c r="AH9370" s="831" t="s">
        <v>241</v>
      </c>
      <c r="AI9370" s="831">
        <v>0</v>
      </c>
      <c r="AJ9370" s="835">
        <v>42063</v>
      </c>
      <c r="AK9370" s="831">
        <v>0</v>
      </c>
    </row>
    <row r="9371" spans="2:37">
      <c r="B9371" s="834" t="str">
        <f t="shared" si="371"/>
        <v>|||</v>
      </c>
      <c r="H9371" s="835">
        <f t="shared" si="372"/>
        <v>31</v>
      </c>
      <c r="AF9371" s="831" t="s">
        <v>10030</v>
      </c>
      <c r="AG9371" s="831" t="s">
        <v>130</v>
      </c>
      <c r="AH9371" s="831" t="s">
        <v>242</v>
      </c>
      <c r="AI9371" s="831">
        <v>0</v>
      </c>
      <c r="AJ9371" s="835">
        <v>42063</v>
      </c>
      <c r="AK9371" s="831">
        <v>0</v>
      </c>
    </row>
    <row r="9372" spans="2:37">
      <c r="B9372" s="834" t="str">
        <f t="shared" si="371"/>
        <v>|||</v>
      </c>
      <c r="H9372" s="835">
        <f t="shared" si="372"/>
        <v>31</v>
      </c>
      <c r="AF9372" s="831" t="s">
        <v>10031</v>
      </c>
      <c r="AG9372" s="831" t="s">
        <v>130</v>
      </c>
      <c r="AH9372" s="831" t="s">
        <v>244</v>
      </c>
      <c r="AI9372" s="831">
        <v>0</v>
      </c>
      <c r="AJ9372" s="835">
        <v>42063</v>
      </c>
      <c r="AK9372" s="831">
        <v>60408286</v>
      </c>
    </row>
    <row r="9373" spans="2:37">
      <c r="B9373" s="834" t="str">
        <f t="shared" si="371"/>
        <v>|||</v>
      </c>
      <c r="H9373" s="835">
        <f t="shared" si="372"/>
        <v>31</v>
      </c>
      <c r="AF9373" s="831" t="s">
        <v>10032</v>
      </c>
      <c r="AG9373" s="831" t="s">
        <v>130</v>
      </c>
      <c r="AH9373" s="831" t="s">
        <v>245</v>
      </c>
      <c r="AI9373" s="831">
        <v>0</v>
      </c>
      <c r="AJ9373" s="835">
        <v>42063</v>
      </c>
      <c r="AK9373" s="831">
        <v>-1907756</v>
      </c>
    </row>
    <row r="9374" spans="2:37">
      <c r="B9374" s="834" t="str">
        <f t="shared" si="371"/>
        <v>|||</v>
      </c>
      <c r="H9374" s="835">
        <f t="shared" si="372"/>
        <v>31</v>
      </c>
      <c r="AF9374" s="831" t="s">
        <v>10033</v>
      </c>
      <c r="AG9374" s="831" t="s">
        <v>130</v>
      </c>
      <c r="AH9374" s="831" t="s">
        <v>145</v>
      </c>
      <c r="AI9374" s="831">
        <v>0</v>
      </c>
      <c r="AJ9374" s="835">
        <v>42094</v>
      </c>
      <c r="AK9374" s="831">
        <v>55790358</v>
      </c>
    </row>
    <row r="9375" spans="2:37">
      <c r="B9375" s="834" t="str">
        <f t="shared" si="371"/>
        <v>|||</v>
      </c>
      <c r="H9375" s="835">
        <f t="shared" si="372"/>
        <v>31</v>
      </c>
      <c r="AF9375" s="831" t="s">
        <v>10034</v>
      </c>
      <c r="AG9375" s="831" t="s">
        <v>130</v>
      </c>
      <c r="AH9375" s="831" t="s">
        <v>149</v>
      </c>
      <c r="AI9375" s="831">
        <v>0</v>
      </c>
      <c r="AJ9375" s="835">
        <v>42094</v>
      </c>
      <c r="AK9375" s="831">
        <v>16049636</v>
      </c>
    </row>
    <row r="9376" spans="2:37">
      <c r="B9376" s="834" t="str">
        <f t="shared" si="371"/>
        <v>|||</v>
      </c>
      <c r="H9376" s="835">
        <f t="shared" si="372"/>
        <v>31</v>
      </c>
      <c r="AF9376" s="831" t="s">
        <v>10035</v>
      </c>
      <c r="AG9376" s="831" t="s">
        <v>130</v>
      </c>
      <c r="AH9376" s="831" t="s">
        <v>153</v>
      </c>
      <c r="AI9376" s="831">
        <v>0</v>
      </c>
      <c r="AJ9376" s="835">
        <v>42094</v>
      </c>
      <c r="AK9376" s="831">
        <v>93491993</v>
      </c>
    </row>
    <row r="9377" spans="2:37">
      <c r="B9377" s="834" t="str">
        <f t="shared" si="371"/>
        <v>|||</v>
      </c>
      <c r="H9377" s="835">
        <f t="shared" si="372"/>
        <v>31</v>
      </c>
      <c r="AF9377" s="831" t="s">
        <v>10036</v>
      </c>
      <c r="AG9377" s="831" t="s">
        <v>130</v>
      </c>
      <c r="AH9377" s="831" t="s">
        <v>156</v>
      </c>
      <c r="AI9377" s="831">
        <v>0</v>
      </c>
      <c r="AJ9377" s="835">
        <v>42094</v>
      </c>
      <c r="AK9377" s="831">
        <v>0</v>
      </c>
    </row>
    <row r="9378" spans="2:37">
      <c r="B9378" s="834" t="str">
        <f t="shared" si="371"/>
        <v>|||</v>
      </c>
      <c r="H9378" s="835">
        <f t="shared" si="372"/>
        <v>31</v>
      </c>
      <c r="AF9378" s="831" t="s">
        <v>10037</v>
      </c>
      <c r="AG9378" s="831" t="s">
        <v>130</v>
      </c>
      <c r="AH9378" s="831" t="s">
        <v>162</v>
      </c>
      <c r="AI9378" s="831">
        <v>0</v>
      </c>
      <c r="AJ9378" s="835">
        <v>42094</v>
      </c>
      <c r="AK9378" s="831">
        <v>925259190</v>
      </c>
    </row>
    <row r="9379" spans="2:37">
      <c r="B9379" s="834" t="str">
        <f t="shared" si="371"/>
        <v>|||</v>
      </c>
      <c r="H9379" s="835">
        <f t="shared" si="372"/>
        <v>31</v>
      </c>
      <c r="AF9379" s="831" t="s">
        <v>10038</v>
      </c>
      <c r="AG9379" s="831" t="s">
        <v>130</v>
      </c>
      <c r="AH9379" s="831" t="s">
        <v>165</v>
      </c>
      <c r="AI9379" s="831">
        <v>0</v>
      </c>
      <c r="AJ9379" s="835">
        <v>42094</v>
      </c>
      <c r="AK9379" s="831">
        <v>-15332196</v>
      </c>
    </row>
    <row r="9380" spans="2:37">
      <c r="B9380" s="834" t="str">
        <f t="shared" si="371"/>
        <v>|||</v>
      </c>
      <c r="H9380" s="835">
        <f t="shared" si="372"/>
        <v>31</v>
      </c>
      <c r="AF9380" s="831" t="s">
        <v>10039</v>
      </c>
      <c r="AG9380" s="831" t="s">
        <v>130</v>
      </c>
      <c r="AH9380" s="831" t="s">
        <v>171</v>
      </c>
      <c r="AI9380" s="831">
        <v>0</v>
      </c>
      <c r="AJ9380" s="835">
        <v>42094</v>
      </c>
      <c r="AK9380" s="831">
        <v>9171842</v>
      </c>
    </row>
    <row r="9381" spans="2:37">
      <c r="B9381" s="834" t="str">
        <f t="shared" si="371"/>
        <v>|||</v>
      </c>
      <c r="H9381" s="835">
        <f t="shared" si="372"/>
        <v>31</v>
      </c>
      <c r="AF9381" s="831" t="s">
        <v>10040</v>
      </c>
      <c r="AG9381" s="831" t="s">
        <v>130</v>
      </c>
      <c r="AH9381" s="831" t="s">
        <v>174</v>
      </c>
      <c r="AI9381" s="831">
        <v>0</v>
      </c>
      <c r="AJ9381" s="835">
        <v>42094</v>
      </c>
      <c r="AK9381" s="831">
        <v>0</v>
      </c>
    </row>
    <row r="9382" spans="2:37">
      <c r="B9382" s="834" t="str">
        <f t="shared" si="371"/>
        <v>|||</v>
      </c>
      <c r="H9382" s="835">
        <f t="shared" si="372"/>
        <v>31</v>
      </c>
      <c r="AF9382" s="831" t="s">
        <v>10041</v>
      </c>
      <c r="AG9382" s="831" t="s">
        <v>130</v>
      </c>
      <c r="AH9382" s="831" t="s">
        <v>181</v>
      </c>
      <c r="AI9382" s="831">
        <v>0</v>
      </c>
      <c r="AJ9382" s="835">
        <v>42094</v>
      </c>
      <c r="AK9382" s="831">
        <v>64105480</v>
      </c>
    </row>
    <row r="9383" spans="2:37">
      <c r="B9383" s="834" t="str">
        <f t="shared" si="371"/>
        <v>|||</v>
      </c>
      <c r="H9383" s="835">
        <f t="shared" si="372"/>
        <v>31</v>
      </c>
      <c r="AF9383" s="831" t="s">
        <v>10042</v>
      </c>
      <c r="AG9383" s="831" t="s">
        <v>130</v>
      </c>
      <c r="AH9383" s="831" t="s">
        <v>184</v>
      </c>
      <c r="AI9383" s="831">
        <v>0</v>
      </c>
      <c r="AJ9383" s="835">
        <v>42094</v>
      </c>
      <c r="AK9383" s="831">
        <v>-22418070</v>
      </c>
    </row>
    <row r="9384" spans="2:37">
      <c r="B9384" s="834" t="str">
        <f t="shared" si="371"/>
        <v>|||</v>
      </c>
      <c r="H9384" s="835">
        <f t="shared" si="372"/>
        <v>31</v>
      </c>
      <c r="AF9384" s="831" t="s">
        <v>10043</v>
      </c>
      <c r="AG9384" s="831" t="s">
        <v>130</v>
      </c>
      <c r="AH9384" s="831" t="s">
        <v>187</v>
      </c>
      <c r="AI9384" s="831">
        <v>0</v>
      </c>
      <c r="AJ9384" s="835">
        <v>42094</v>
      </c>
      <c r="AK9384" s="831">
        <v>0</v>
      </c>
    </row>
    <row r="9385" spans="2:37">
      <c r="B9385" s="834" t="str">
        <f t="shared" si="371"/>
        <v>|||</v>
      </c>
      <c r="H9385" s="835">
        <f t="shared" si="372"/>
        <v>31</v>
      </c>
      <c r="AF9385" s="831" t="s">
        <v>10044</v>
      </c>
      <c r="AG9385" s="831" t="s">
        <v>130</v>
      </c>
      <c r="AH9385" s="831" t="s">
        <v>196</v>
      </c>
      <c r="AI9385" s="831">
        <v>0</v>
      </c>
      <c r="AJ9385" s="835">
        <v>42094</v>
      </c>
      <c r="AK9385" s="831">
        <v>20720910</v>
      </c>
    </row>
    <row r="9386" spans="2:37">
      <c r="B9386" s="834" t="str">
        <f t="shared" si="371"/>
        <v>|||</v>
      </c>
      <c r="H9386" s="835">
        <f t="shared" si="372"/>
        <v>31</v>
      </c>
      <c r="AF9386" s="831" t="s">
        <v>10045</v>
      </c>
      <c r="AG9386" s="831" t="s">
        <v>130</v>
      </c>
      <c r="AH9386" s="831" t="s">
        <v>197</v>
      </c>
      <c r="AI9386" s="831">
        <v>0</v>
      </c>
      <c r="AJ9386" s="835">
        <v>42094</v>
      </c>
      <c r="AK9386" s="831">
        <v>0</v>
      </c>
    </row>
    <row r="9387" spans="2:37">
      <c r="B9387" s="834" t="str">
        <f t="shared" si="371"/>
        <v>|||</v>
      </c>
      <c r="H9387" s="835">
        <f t="shared" si="372"/>
        <v>31</v>
      </c>
      <c r="AF9387" s="831" t="s">
        <v>10046</v>
      </c>
      <c r="AG9387" s="831" t="s">
        <v>130</v>
      </c>
      <c r="AH9387" s="831" t="s">
        <v>199</v>
      </c>
      <c r="AI9387" s="831">
        <v>0</v>
      </c>
      <c r="AJ9387" s="835">
        <v>42094</v>
      </c>
      <c r="AK9387" s="831">
        <v>0</v>
      </c>
    </row>
    <row r="9388" spans="2:37">
      <c r="B9388" s="834" t="str">
        <f t="shared" si="371"/>
        <v>|||</v>
      </c>
      <c r="H9388" s="835">
        <f t="shared" si="372"/>
        <v>31</v>
      </c>
      <c r="AF9388" s="831" t="s">
        <v>10047</v>
      </c>
      <c r="AG9388" s="831" t="s">
        <v>130</v>
      </c>
      <c r="AH9388" s="831" t="s">
        <v>201</v>
      </c>
      <c r="AI9388" s="831">
        <v>0</v>
      </c>
      <c r="AJ9388" s="835">
        <v>42094</v>
      </c>
      <c r="AK9388" s="831">
        <v>14645336</v>
      </c>
    </row>
    <row r="9389" spans="2:37">
      <c r="B9389" s="834" t="str">
        <f t="shared" si="371"/>
        <v>|||</v>
      </c>
      <c r="H9389" s="835">
        <f t="shared" si="372"/>
        <v>31</v>
      </c>
      <c r="AF9389" s="831" t="s">
        <v>10048</v>
      </c>
      <c r="AG9389" s="831" t="s">
        <v>130</v>
      </c>
      <c r="AH9389" s="831" t="s">
        <v>209</v>
      </c>
      <c r="AI9389" s="831">
        <v>0</v>
      </c>
      <c r="AJ9389" s="835">
        <v>42094</v>
      </c>
      <c r="AK9389" s="831">
        <v>94813939</v>
      </c>
    </row>
    <row r="9390" spans="2:37">
      <c r="B9390" s="834" t="str">
        <f t="shared" si="371"/>
        <v>|||</v>
      </c>
      <c r="H9390" s="835">
        <f t="shared" si="372"/>
        <v>31</v>
      </c>
      <c r="AF9390" s="831" t="s">
        <v>10049</v>
      </c>
      <c r="AG9390" s="831" t="s">
        <v>130</v>
      </c>
      <c r="AH9390" s="831" t="s">
        <v>211</v>
      </c>
      <c r="AI9390" s="831">
        <v>0</v>
      </c>
      <c r="AJ9390" s="835">
        <v>42094</v>
      </c>
      <c r="AK9390" s="831">
        <v>250136895</v>
      </c>
    </row>
    <row r="9391" spans="2:37">
      <c r="B9391" s="834" t="str">
        <f t="shared" si="371"/>
        <v>|||</v>
      </c>
      <c r="H9391" s="835">
        <f t="shared" si="372"/>
        <v>31</v>
      </c>
      <c r="AF9391" s="831" t="s">
        <v>10050</v>
      </c>
      <c r="AG9391" s="831" t="s">
        <v>130</v>
      </c>
      <c r="AH9391" s="831" t="s">
        <v>212</v>
      </c>
      <c r="AI9391" s="831">
        <v>0</v>
      </c>
      <c r="AJ9391" s="835">
        <v>42094</v>
      </c>
      <c r="AK9391" s="831">
        <v>10229750</v>
      </c>
    </row>
    <row r="9392" spans="2:37">
      <c r="B9392" s="834" t="str">
        <f t="shared" si="371"/>
        <v>|||</v>
      </c>
      <c r="H9392" s="835">
        <f t="shared" si="372"/>
        <v>31</v>
      </c>
      <c r="AF9392" s="831" t="s">
        <v>10051</v>
      </c>
      <c r="AG9392" s="831" t="s">
        <v>130</v>
      </c>
      <c r="AH9392" s="831" t="s">
        <v>216</v>
      </c>
      <c r="AI9392" s="831">
        <v>0</v>
      </c>
      <c r="AJ9392" s="835">
        <v>42094</v>
      </c>
      <c r="AK9392" s="831">
        <v>0</v>
      </c>
    </row>
    <row r="9393" spans="2:37">
      <c r="B9393" s="834" t="str">
        <f t="shared" si="371"/>
        <v>|||</v>
      </c>
      <c r="H9393" s="835">
        <f t="shared" si="372"/>
        <v>31</v>
      </c>
      <c r="AF9393" s="831" t="s">
        <v>10052</v>
      </c>
      <c r="AG9393" s="831" t="s">
        <v>130</v>
      </c>
      <c r="AH9393" s="831" t="s">
        <v>218</v>
      </c>
      <c r="AI9393" s="831">
        <v>0</v>
      </c>
      <c r="AJ9393" s="835">
        <v>42094</v>
      </c>
      <c r="AK9393" s="831">
        <v>20000000</v>
      </c>
    </row>
    <row r="9394" spans="2:37">
      <c r="B9394" s="834" t="str">
        <f t="shared" si="371"/>
        <v>|||</v>
      </c>
      <c r="H9394" s="835">
        <f t="shared" si="372"/>
        <v>31</v>
      </c>
      <c r="AF9394" s="831" t="s">
        <v>10053</v>
      </c>
      <c r="AG9394" s="831" t="s">
        <v>130</v>
      </c>
      <c r="AH9394" s="831" t="s">
        <v>220</v>
      </c>
      <c r="AI9394" s="831">
        <v>0</v>
      </c>
      <c r="AJ9394" s="835">
        <v>42094</v>
      </c>
      <c r="AK9394" s="831">
        <v>275886170</v>
      </c>
    </row>
    <row r="9395" spans="2:37">
      <c r="B9395" s="834" t="str">
        <f t="shared" si="371"/>
        <v>|||</v>
      </c>
      <c r="H9395" s="835">
        <f t="shared" si="372"/>
        <v>31</v>
      </c>
      <c r="AF9395" s="831" t="s">
        <v>10054</v>
      </c>
      <c r="AG9395" s="831" t="s">
        <v>130</v>
      </c>
      <c r="AH9395" s="831" t="s">
        <v>221</v>
      </c>
      <c r="AI9395" s="831">
        <v>0</v>
      </c>
      <c r="AJ9395" s="835">
        <v>42094</v>
      </c>
      <c r="AK9395" s="831">
        <v>0</v>
      </c>
    </row>
    <row r="9396" spans="2:37">
      <c r="B9396" s="834" t="str">
        <f t="shared" si="371"/>
        <v>|||</v>
      </c>
      <c r="H9396" s="835">
        <f t="shared" si="372"/>
        <v>31</v>
      </c>
      <c r="AF9396" s="831" t="s">
        <v>10055</v>
      </c>
      <c r="AG9396" s="831" t="s">
        <v>130</v>
      </c>
      <c r="AH9396" s="831" t="s">
        <v>228</v>
      </c>
      <c r="AI9396" s="831">
        <v>0</v>
      </c>
      <c r="AJ9396" s="835">
        <v>42094</v>
      </c>
      <c r="AK9396" s="831">
        <v>0</v>
      </c>
    </row>
    <row r="9397" spans="2:37">
      <c r="B9397" s="834" t="str">
        <f t="shared" si="371"/>
        <v>|||</v>
      </c>
      <c r="H9397" s="835">
        <f t="shared" si="372"/>
        <v>31</v>
      </c>
      <c r="AF9397" s="831" t="s">
        <v>10056</v>
      </c>
      <c r="AG9397" s="831" t="s">
        <v>130</v>
      </c>
      <c r="AH9397" s="831" t="s">
        <v>230</v>
      </c>
      <c r="AI9397" s="831">
        <v>0</v>
      </c>
      <c r="AJ9397" s="835">
        <v>42094</v>
      </c>
      <c r="AK9397" s="831">
        <v>0</v>
      </c>
    </row>
    <row r="9398" spans="2:37">
      <c r="B9398" s="834" t="str">
        <f t="shared" si="371"/>
        <v>|||</v>
      </c>
      <c r="H9398" s="835">
        <f t="shared" si="372"/>
        <v>31</v>
      </c>
      <c r="AF9398" s="831" t="s">
        <v>10057</v>
      </c>
      <c r="AG9398" s="831" t="s">
        <v>130</v>
      </c>
      <c r="AH9398" s="831" t="s">
        <v>231</v>
      </c>
      <c r="AI9398" s="831">
        <v>0</v>
      </c>
      <c r="AJ9398" s="835">
        <v>42094</v>
      </c>
      <c r="AK9398" s="831">
        <v>22000000</v>
      </c>
    </row>
    <row r="9399" spans="2:37">
      <c r="B9399" s="834" t="str">
        <f t="shared" si="371"/>
        <v>|||</v>
      </c>
      <c r="H9399" s="835">
        <f t="shared" si="372"/>
        <v>31</v>
      </c>
      <c r="AF9399" s="831" t="s">
        <v>10058</v>
      </c>
      <c r="AG9399" s="831" t="s">
        <v>130</v>
      </c>
      <c r="AH9399" s="831" t="s">
        <v>232</v>
      </c>
      <c r="AI9399" s="831">
        <v>0</v>
      </c>
      <c r="AJ9399" s="835">
        <v>42094</v>
      </c>
      <c r="AK9399" s="831">
        <v>302673666</v>
      </c>
    </row>
    <row r="9400" spans="2:37">
      <c r="B9400" s="834" t="str">
        <f t="shared" si="371"/>
        <v>|||</v>
      </c>
      <c r="H9400" s="835">
        <f t="shared" si="372"/>
        <v>31</v>
      </c>
      <c r="AF9400" s="831" t="s">
        <v>10059</v>
      </c>
      <c r="AG9400" s="831" t="s">
        <v>130</v>
      </c>
      <c r="AH9400" s="831" t="s">
        <v>116</v>
      </c>
      <c r="AI9400" s="831">
        <v>0</v>
      </c>
      <c r="AJ9400" s="835">
        <v>42094</v>
      </c>
      <c r="AK9400" s="831">
        <v>20970000</v>
      </c>
    </row>
    <row r="9401" spans="2:37">
      <c r="B9401" s="834" t="str">
        <f t="shared" si="371"/>
        <v>|||</v>
      </c>
      <c r="H9401" s="835">
        <f t="shared" si="372"/>
        <v>31</v>
      </c>
      <c r="AF9401" s="831" t="s">
        <v>10060</v>
      </c>
      <c r="AG9401" s="831" t="s">
        <v>130</v>
      </c>
      <c r="AH9401" s="831" t="s">
        <v>234</v>
      </c>
      <c r="AI9401" s="831">
        <v>0</v>
      </c>
      <c r="AJ9401" s="835">
        <v>42094</v>
      </c>
      <c r="AK9401" s="831">
        <v>0</v>
      </c>
    </row>
    <row r="9402" spans="2:37">
      <c r="B9402" s="834" t="str">
        <f t="shared" si="371"/>
        <v>|||</v>
      </c>
      <c r="H9402" s="835">
        <f t="shared" si="372"/>
        <v>31</v>
      </c>
      <c r="AF9402" s="831" t="s">
        <v>10061</v>
      </c>
      <c r="AG9402" s="831" t="s">
        <v>130</v>
      </c>
      <c r="AH9402" s="831" t="s">
        <v>235</v>
      </c>
      <c r="AI9402" s="831">
        <v>0</v>
      </c>
      <c r="AJ9402" s="835">
        <v>42094</v>
      </c>
      <c r="AK9402" s="831">
        <v>16966925</v>
      </c>
    </row>
    <row r="9403" spans="2:37">
      <c r="B9403" s="834" t="str">
        <f t="shared" si="371"/>
        <v>|||</v>
      </c>
      <c r="H9403" s="835">
        <f t="shared" si="372"/>
        <v>31</v>
      </c>
      <c r="AF9403" s="831" t="s">
        <v>10062</v>
      </c>
      <c r="AG9403" s="831" t="s">
        <v>130</v>
      </c>
      <c r="AH9403" s="831" t="s">
        <v>238</v>
      </c>
      <c r="AI9403" s="831">
        <v>0</v>
      </c>
      <c r="AJ9403" s="835">
        <v>42094</v>
      </c>
      <c r="AK9403" s="831">
        <v>0</v>
      </c>
    </row>
    <row r="9404" spans="2:37">
      <c r="B9404" s="834" t="str">
        <f t="shared" si="371"/>
        <v>|||</v>
      </c>
      <c r="H9404" s="835">
        <f t="shared" si="372"/>
        <v>31</v>
      </c>
      <c r="AF9404" s="831" t="s">
        <v>10063</v>
      </c>
      <c r="AG9404" s="831" t="s">
        <v>130</v>
      </c>
      <c r="AH9404" s="831" t="s">
        <v>240</v>
      </c>
      <c r="AI9404" s="831">
        <v>0</v>
      </c>
      <c r="AJ9404" s="835">
        <v>42094</v>
      </c>
      <c r="AK9404" s="831">
        <v>85000000</v>
      </c>
    </row>
    <row r="9405" spans="2:37">
      <c r="B9405" s="834" t="str">
        <f t="shared" si="371"/>
        <v>|||</v>
      </c>
      <c r="H9405" s="835">
        <f t="shared" si="372"/>
        <v>31</v>
      </c>
      <c r="AF9405" s="831" t="s">
        <v>10064</v>
      </c>
      <c r="AG9405" s="831" t="s">
        <v>130</v>
      </c>
      <c r="AH9405" s="831" t="s">
        <v>241</v>
      </c>
      <c r="AI9405" s="831">
        <v>0</v>
      </c>
      <c r="AJ9405" s="835">
        <v>42094</v>
      </c>
      <c r="AK9405" s="831">
        <v>0</v>
      </c>
    </row>
    <row r="9406" spans="2:37">
      <c r="B9406" s="834" t="str">
        <f t="shared" si="371"/>
        <v>|||</v>
      </c>
      <c r="H9406" s="835">
        <f t="shared" si="372"/>
        <v>31</v>
      </c>
      <c r="AF9406" s="831" t="s">
        <v>10065</v>
      </c>
      <c r="AG9406" s="831" t="s">
        <v>130</v>
      </c>
      <c r="AH9406" s="831" t="s">
        <v>242</v>
      </c>
      <c r="AI9406" s="831">
        <v>0</v>
      </c>
      <c r="AJ9406" s="835">
        <v>42094</v>
      </c>
      <c r="AK9406" s="831">
        <v>0</v>
      </c>
    </row>
    <row r="9407" spans="2:37">
      <c r="B9407" s="834" t="str">
        <f t="shared" si="371"/>
        <v>|||</v>
      </c>
      <c r="H9407" s="835">
        <f t="shared" si="372"/>
        <v>31</v>
      </c>
      <c r="AF9407" s="831" t="s">
        <v>10066</v>
      </c>
      <c r="AG9407" s="831" t="s">
        <v>130</v>
      </c>
      <c r="AH9407" s="831" t="s">
        <v>244</v>
      </c>
      <c r="AI9407" s="831">
        <v>0</v>
      </c>
      <c r="AJ9407" s="835">
        <v>42094</v>
      </c>
      <c r="AK9407" s="831">
        <v>60408286</v>
      </c>
    </row>
    <row r="9408" spans="2:37">
      <c r="B9408" s="834" t="str">
        <f t="shared" si="371"/>
        <v>|||</v>
      </c>
      <c r="H9408" s="835">
        <f t="shared" si="372"/>
        <v>31</v>
      </c>
      <c r="AF9408" s="831" t="s">
        <v>10067</v>
      </c>
      <c r="AG9408" s="831" t="s">
        <v>130</v>
      </c>
      <c r="AH9408" s="831" t="s">
        <v>245</v>
      </c>
      <c r="AI9408" s="831">
        <v>0</v>
      </c>
      <c r="AJ9408" s="835">
        <v>42094</v>
      </c>
      <c r="AK9408" s="831">
        <v>2398848</v>
      </c>
    </row>
    <row r="9409" spans="2:37">
      <c r="B9409" s="834" t="str">
        <f t="shared" si="371"/>
        <v>|||</v>
      </c>
      <c r="H9409" s="835">
        <f t="shared" si="372"/>
        <v>31</v>
      </c>
      <c r="AF9409" s="831" t="s">
        <v>10068</v>
      </c>
      <c r="AG9409" s="831" t="s">
        <v>130</v>
      </c>
      <c r="AH9409" s="831" t="s">
        <v>145</v>
      </c>
      <c r="AI9409" s="831">
        <v>0</v>
      </c>
      <c r="AJ9409" s="835">
        <v>42124</v>
      </c>
      <c r="AK9409" s="831">
        <v>57764232</v>
      </c>
    </row>
    <row r="9410" spans="2:37">
      <c r="B9410" s="834" t="str">
        <f t="shared" si="371"/>
        <v>|||</v>
      </c>
      <c r="H9410" s="835">
        <f t="shared" si="372"/>
        <v>31</v>
      </c>
      <c r="AF9410" s="831" t="s">
        <v>10069</v>
      </c>
      <c r="AG9410" s="831" t="s">
        <v>130</v>
      </c>
      <c r="AH9410" s="831" t="s">
        <v>149</v>
      </c>
      <c r="AI9410" s="831">
        <v>0</v>
      </c>
      <c r="AJ9410" s="835">
        <v>42124</v>
      </c>
      <c r="AK9410" s="831">
        <v>4485917</v>
      </c>
    </row>
    <row r="9411" spans="2:37">
      <c r="B9411" s="834" t="str">
        <f t="shared" ref="B9411:B9474" si="373">C9411&amp;"|"&amp;D9411&amp;"|"&amp;E9411&amp;"|"&amp;F9411</f>
        <v>|||</v>
      </c>
      <c r="H9411" s="835">
        <f t="shared" si="372"/>
        <v>31</v>
      </c>
      <c r="AF9411" s="831" t="s">
        <v>10070</v>
      </c>
      <c r="AG9411" s="831" t="s">
        <v>130</v>
      </c>
      <c r="AH9411" s="831" t="s">
        <v>153</v>
      </c>
      <c r="AI9411" s="831">
        <v>0</v>
      </c>
      <c r="AJ9411" s="835">
        <v>42124</v>
      </c>
      <c r="AK9411" s="831">
        <v>139048093</v>
      </c>
    </row>
    <row r="9412" spans="2:37">
      <c r="B9412" s="834" t="str">
        <f t="shared" si="373"/>
        <v>|||</v>
      </c>
      <c r="H9412" s="835">
        <f t="shared" ref="H9412:H9475" si="374">EOMONTH(L9412,0)</f>
        <v>31</v>
      </c>
      <c r="AF9412" s="831" t="s">
        <v>10071</v>
      </c>
      <c r="AG9412" s="831" t="s">
        <v>130</v>
      </c>
      <c r="AH9412" s="831" t="s">
        <v>156</v>
      </c>
      <c r="AI9412" s="831">
        <v>0</v>
      </c>
      <c r="AJ9412" s="835">
        <v>42124</v>
      </c>
      <c r="AK9412" s="831">
        <v>0</v>
      </c>
    </row>
    <row r="9413" spans="2:37">
      <c r="B9413" s="834" t="str">
        <f t="shared" si="373"/>
        <v>|||</v>
      </c>
      <c r="H9413" s="835">
        <f t="shared" si="374"/>
        <v>31</v>
      </c>
      <c r="AF9413" s="831" t="s">
        <v>10072</v>
      </c>
      <c r="AG9413" s="831" t="s">
        <v>130</v>
      </c>
      <c r="AH9413" s="831" t="s">
        <v>162</v>
      </c>
      <c r="AI9413" s="831">
        <v>0</v>
      </c>
      <c r="AJ9413" s="835">
        <v>42124</v>
      </c>
      <c r="AK9413" s="831">
        <v>887135523</v>
      </c>
    </row>
    <row r="9414" spans="2:37">
      <c r="B9414" s="834" t="str">
        <f t="shared" si="373"/>
        <v>|||</v>
      </c>
      <c r="H9414" s="835">
        <f t="shared" si="374"/>
        <v>31</v>
      </c>
      <c r="AF9414" s="831" t="s">
        <v>10073</v>
      </c>
      <c r="AG9414" s="831" t="s">
        <v>130</v>
      </c>
      <c r="AH9414" s="831" t="s">
        <v>165</v>
      </c>
      <c r="AI9414" s="831">
        <v>0</v>
      </c>
      <c r="AJ9414" s="835">
        <v>42124</v>
      </c>
      <c r="AK9414" s="831">
        <v>-17978430</v>
      </c>
    </row>
    <row r="9415" spans="2:37">
      <c r="B9415" s="834" t="str">
        <f t="shared" si="373"/>
        <v>|||</v>
      </c>
      <c r="H9415" s="835">
        <f t="shared" si="374"/>
        <v>31</v>
      </c>
      <c r="AF9415" s="831" t="s">
        <v>10074</v>
      </c>
      <c r="AG9415" s="831" t="s">
        <v>130</v>
      </c>
      <c r="AH9415" s="831" t="s">
        <v>171</v>
      </c>
      <c r="AI9415" s="831">
        <v>0</v>
      </c>
      <c r="AJ9415" s="835">
        <v>42124</v>
      </c>
      <c r="AK9415" s="831">
        <v>8510263</v>
      </c>
    </row>
    <row r="9416" spans="2:37">
      <c r="B9416" s="834" t="str">
        <f t="shared" si="373"/>
        <v>|||</v>
      </c>
      <c r="H9416" s="835">
        <f t="shared" si="374"/>
        <v>31</v>
      </c>
      <c r="AF9416" s="831" t="s">
        <v>10075</v>
      </c>
      <c r="AG9416" s="831" t="s">
        <v>130</v>
      </c>
      <c r="AH9416" s="831" t="s">
        <v>174</v>
      </c>
      <c r="AI9416" s="831">
        <v>0</v>
      </c>
      <c r="AJ9416" s="835">
        <v>42124</v>
      </c>
      <c r="AK9416" s="831">
        <v>0</v>
      </c>
    </row>
    <row r="9417" spans="2:37">
      <c r="B9417" s="834" t="str">
        <f t="shared" si="373"/>
        <v>|||</v>
      </c>
      <c r="H9417" s="835">
        <f t="shared" si="374"/>
        <v>31</v>
      </c>
      <c r="AF9417" s="831" t="s">
        <v>10076</v>
      </c>
      <c r="AG9417" s="831" t="s">
        <v>130</v>
      </c>
      <c r="AH9417" s="831" t="s">
        <v>181</v>
      </c>
      <c r="AI9417" s="831">
        <v>0</v>
      </c>
      <c r="AJ9417" s="835">
        <v>42124</v>
      </c>
      <c r="AK9417" s="831">
        <v>64941190</v>
      </c>
    </row>
    <row r="9418" spans="2:37">
      <c r="B9418" s="834" t="str">
        <f t="shared" si="373"/>
        <v>|||</v>
      </c>
      <c r="H9418" s="835">
        <f t="shared" si="374"/>
        <v>31</v>
      </c>
      <c r="AF9418" s="831" t="s">
        <v>10077</v>
      </c>
      <c r="AG9418" s="831" t="s">
        <v>130</v>
      </c>
      <c r="AH9418" s="831" t="s">
        <v>184</v>
      </c>
      <c r="AI9418" s="831">
        <v>0</v>
      </c>
      <c r="AJ9418" s="835">
        <v>42124</v>
      </c>
      <c r="AK9418" s="831">
        <v>-22913490</v>
      </c>
    </row>
    <row r="9419" spans="2:37">
      <c r="B9419" s="834" t="str">
        <f t="shared" si="373"/>
        <v>|||</v>
      </c>
      <c r="H9419" s="835">
        <f t="shared" si="374"/>
        <v>31</v>
      </c>
      <c r="AF9419" s="831" t="s">
        <v>10078</v>
      </c>
      <c r="AG9419" s="831" t="s">
        <v>130</v>
      </c>
      <c r="AH9419" s="831" t="s">
        <v>187</v>
      </c>
      <c r="AI9419" s="831">
        <v>0</v>
      </c>
      <c r="AJ9419" s="835">
        <v>42124</v>
      </c>
      <c r="AK9419" s="831">
        <v>0</v>
      </c>
    </row>
    <row r="9420" spans="2:37">
      <c r="B9420" s="834" t="str">
        <f t="shared" si="373"/>
        <v>|||</v>
      </c>
      <c r="H9420" s="835">
        <f t="shared" si="374"/>
        <v>31</v>
      </c>
      <c r="AF9420" s="831" t="s">
        <v>10079</v>
      </c>
      <c r="AG9420" s="831" t="s">
        <v>130</v>
      </c>
      <c r="AH9420" s="831" t="s">
        <v>196</v>
      </c>
      <c r="AI9420" s="831">
        <v>0</v>
      </c>
      <c r="AJ9420" s="835">
        <v>42124</v>
      </c>
      <c r="AK9420" s="831">
        <v>20457540</v>
      </c>
    </row>
    <row r="9421" spans="2:37">
      <c r="B9421" s="834" t="str">
        <f t="shared" si="373"/>
        <v>|||</v>
      </c>
      <c r="H9421" s="835">
        <f t="shared" si="374"/>
        <v>31</v>
      </c>
      <c r="AF9421" s="831" t="s">
        <v>10080</v>
      </c>
      <c r="AG9421" s="831" t="s">
        <v>130</v>
      </c>
      <c r="AH9421" s="831" t="s">
        <v>197</v>
      </c>
      <c r="AI9421" s="831">
        <v>0</v>
      </c>
      <c r="AJ9421" s="835">
        <v>42124</v>
      </c>
      <c r="AK9421" s="831">
        <v>0</v>
      </c>
    </row>
    <row r="9422" spans="2:37">
      <c r="B9422" s="834" t="str">
        <f t="shared" si="373"/>
        <v>|||</v>
      </c>
      <c r="H9422" s="835">
        <f t="shared" si="374"/>
        <v>31</v>
      </c>
      <c r="AF9422" s="831" t="s">
        <v>10081</v>
      </c>
      <c r="AG9422" s="831" t="s">
        <v>130</v>
      </c>
      <c r="AH9422" s="831" t="s">
        <v>199</v>
      </c>
      <c r="AI9422" s="831">
        <v>0</v>
      </c>
      <c r="AJ9422" s="835">
        <v>42124</v>
      </c>
      <c r="AK9422" s="831">
        <v>0</v>
      </c>
    </row>
    <row r="9423" spans="2:37">
      <c r="B9423" s="834" t="str">
        <f t="shared" si="373"/>
        <v>|||</v>
      </c>
      <c r="H9423" s="835">
        <f t="shared" si="374"/>
        <v>31</v>
      </c>
      <c r="AF9423" s="831" t="s">
        <v>10082</v>
      </c>
      <c r="AG9423" s="831" t="s">
        <v>130</v>
      </c>
      <c r="AH9423" s="831" t="s">
        <v>201</v>
      </c>
      <c r="AI9423" s="831">
        <v>0</v>
      </c>
      <c r="AJ9423" s="835">
        <v>42124</v>
      </c>
      <c r="AK9423" s="831">
        <v>14531528</v>
      </c>
    </row>
    <row r="9424" spans="2:37">
      <c r="B9424" s="834" t="str">
        <f t="shared" si="373"/>
        <v>|||</v>
      </c>
      <c r="H9424" s="835">
        <f t="shared" si="374"/>
        <v>31</v>
      </c>
      <c r="AF9424" s="831" t="s">
        <v>10083</v>
      </c>
      <c r="AG9424" s="831" t="s">
        <v>130</v>
      </c>
      <c r="AH9424" s="831" t="s">
        <v>209</v>
      </c>
      <c r="AI9424" s="831">
        <v>0</v>
      </c>
      <c r="AJ9424" s="835">
        <v>42124</v>
      </c>
      <c r="AK9424" s="831">
        <v>89043519</v>
      </c>
    </row>
    <row r="9425" spans="2:37">
      <c r="B9425" s="834" t="str">
        <f t="shared" si="373"/>
        <v>|||</v>
      </c>
      <c r="H9425" s="835">
        <f t="shared" si="374"/>
        <v>31</v>
      </c>
      <c r="AF9425" s="831" t="s">
        <v>10084</v>
      </c>
      <c r="AG9425" s="831" t="s">
        <v>130</v>
      </c>
      <c r="AH9425" s="831" t="s">
        <v>211</v>
      </c>
      <c r="AI9425" s="831">
        <v>0</v>
      </c>
      <c r="AJ9425" s="835">
        <v>42124</v>
      </c>
      <c r="AK9425" s="831">
        <v>239405609</v>
      </c>
    </row>
    <row r="9426" spans="2:37">
      <c r="B9426" s="834" t="str">
        <f t="shared" si="373"/>
        <v>|||</v>
      </c>
      <c r="H9426" s="835">
        <f t="shared" si="374"/>
        <v>31</v>
      </c>
      <c r="AF9426" s="831" t="s">
        <v>10085</v>
      </c>
      <c r="AG9426" s="831" t="s">
        <v>130</v>
      </c>
      <c r="AH9426" s="831" t="s">
        <v>212</v>
      </c>
      <c r="AI9426" s="831">
        <v>0</v>
      </c>
      <c r="AJ9426" s="835">
        <v>42124</v>
      </c>
      <c r="AK9426" s="831">
        <v>9626567</v>
      </c>
    </row>
    <row r="9427" spans="2:37">
      <c r="B9427" s="834" t="str">
        <f t="shared" si="373"/>
        <v>|||</v>
      </c>
      <c r="H9427" s="835">
        <f t="shared" si="374"/>
        <v>31</v>
      </c>
      <c r="AF9427" s="831" t="s">
        <v>10086</v>
      </c>
      <c r="AG9427" s="831" t="s">
        <v>130</v>
      </c>
      <c r="AH9427" s="831" t="s">
        <v>216</v>
      </c>
      <c r="AI9427" s="831">
        <v>0</v>
      </c>
      <c r="AJ9427" s="835">
        <v>42124</v>
      </c>
      <c r="AK9427" s="831">
        <v>0</v>
      </c>
    </row>
    <row r="9428" spans="2:37">
      <c r="B9428" s="834" t="str">
        <f t="shared" si="373"/>
        <v>|||</v>
      </c>
      <c r="H9428" s="835">
        <f t="shared" si="374"/>
        <v>31</v>
      </c>
      <c r="AF9428" s="831" t="s">
        <v>10087</v>
      </c>
      <c r="AG9428" s="831" t="s">
        <v>130</v>
      </c>
      <c r="AH9428" s="831" t="s">
        <v>218</v>
      </c>
      <c r="AI9428" s="831">
        <v>0</v>
      </c>
      <c r="AJ9428" s="835">
        <v>42124</v>
      </c>
      <c r="AK9428" s="831">
        <v>20000000</v>
      </c>
    </row>
    <row r="9429" spans="2:37">
      <c r="B9429" s="834" t="str">
        <f t="shared" si="373"/>
        <v>|||</v>
      </c>
      <c r="H9429" s="835">
        <f t="shared" si="374"/>
        <v>31</v>
      </c>
      <c r="AF9429" s="831" t="s">
        <v>10088</v>
      </c>
      <c r="AG9429" s="831" t="s">
        <v>130</v>
      </c>
      <c r="AH9429" s="831" t="s">
        <v>220</v>
      </c>
      <c r="AI9429" s="831">
        <v>0</v>
      </c>
      <c r="AJ9429" s="835">
        <v>42124</v>
      </c>
      <c r="AK9429" s="831">
        <v>275936160</v>
      </c>
    </row>
    <row r="9430" spans="2:37">
      <c r="B9430" s="834" t="str">
        <f t="shared" si="373"/>
        <v>|||</v>
      </c>
      <c r="H9430" s="835">
        <f t="shared" si="374"/>
        <v>31</v>
      </c>
      <c r="AF9430" s="831" t="s">
        <v>10089</v>
      </c>
      <c r="AG9430" s="831" t="s">
        <v>130</v>
      </c>
      <c r="AH9430" s="831" t="s">
        <v>221</v>
      </c>
      <c r="AI9430" s="831">
        <v>0</v>
      </c>
      <c r="AJ9430" s="835">
        <v>42124</v>
      </c>
      <c r="AK9430" s="831">
        <v>0</v>
      </c>
    </row>
    <row r="9431" spans="2:37">
      <c r="B9431" s="834" t="str">
        <f t="shared" si="373"/>
        <v>|||</v>
      </c>
      <c r="H9431" s="835">
        <f t="shared" si="374"/>
        <v>31</v>
      </c>
      <c r="AF9431" s="831" t="s">
        <v>10090</v>
      </c>
      <c r="AG9431" s="831" t="s">
        <v>130</v>
      </c>
      <c r="AH9431" s="831" t="s">
        <v>228</v>
      </c>
      <c r="AI9431" s="831">
        <v>0</v>
      </c>
      <c r="AJ9431" s="835">
        <v>42124</v>
      </c>
      <c r="AK9431" s="831">
        <v>0</v>
      </c>
    </row>
    <row r="9432" spans="2:37">
      <c r="B9432" s="834" t="str">
        <f t="shared" si="373"/>
        <v>|||</v>
      </c>
      <c r="H9432" s="835">
        <f t="shared" si="374"/>
        <v>31</v>
      </c>
      <c r="AF9432" s="831" t="s">
        <v>10091</v>
      </c>
      <c r="AG9432" s="831" t="s">
        <v>130</v>
      </c>
      <c r="AH9432" s="831" t="s">
        <v>230</v>
      </c>
      <c r="AI9432" s="831">
        <v>0</v>
      </c>
      <c r="AJ9432" s="835">
        <v>42124</v>
      </c>
      <c r="AK9432" s="831">
        <v>0</v>
      </c>
    </row>
    <row r="9433" spans="2:37">
      <c r="B9433" s="834" t="str">
        <f t="shared" si="373"/>
        <v>|||</v>
      </c>
      <c r="H9433" s="835">
        <f t="shared" si="374"/>
        <v>31</v>
      </c>
      <c r="AF9433" s="831" t="s">
        <v>10092</v>
      </c>
      <c r="AG9433" s="831" t="s">
        <v>130</v>
      </c>
      <c r="AH9433" s="831" t="s">
        <v>231</v>
      </c>
      <c r="AI9433" s="831">
        <v>0</v>
      </c>
      <c r="AJ9433" s="835">
        <v>42124</v>
      </c>
      <c r="AK9433" s="831">
        <v>22000000</v>
      </c>
    </row>
    <row r="9434" spans="2:37">
      <c r="B9434" s="834" t="str">
        <f t="shared" si="373"/>
        <v>|||</v>
      </c>
      <c r="H9434" s="835">
        <f t="shared" si="374"/>
        <v>31</v>
      </c>
      <c r="AF9434" s="831" t="s">
        <v>10093</v>
      </c>
      <c r="AG9434" s="831" t="s">
        <v>130</v>
      </c>
      <c r="AH9434" s="831" t="s">
        <v>232</v>
      </c>
      <c r="AI9434" s="831">
        <v>0</v>
      </c>
      <c r="AJ9434" s="835">
        <v>42124</v>
      </c>
      <c r="AK9434" s="831">
        <v>312731412</v>
      </c>
    </row>
    <row r="9435" spans="2:37">
      <c r="B9435" s="834" t="str">
        <f t="shared" si="373"/>
        <v>|||</v>
      </c>
      <c r="H9435" s="835">
        <f t="shared" si="374"/>
        <v>31</v>
      </c>
      <c r="AF9435" s="831" t="s">
        <v>10094</v>
      </c>
      <c r="AG9435" s="831" t="s">
        <v>130</v>
      </c>
      <c r="AH9435" s="831" t="s">
        <v>116</v>
      </c>
      <c r="AI9435" s="831">
        <v>0</v>
      </c>
      <c r="AJ9435" s="835">
        <v>42124</v>
      </c>
      <c r="AK9435" s="831">
        <v>20974000</v>
      </c>
    </row>
    <row r="9436" spans="2:37">
      <c r="B9436" s="834" t="str">
        <f t="shared" si="373"/>
        <v>|||</v>
      </c>
      <c r="H9436" s="835">
        <f t="shared" si="374"/>
        <v>31</v>
      </c>
      <c r="AF9436" s="831" t="s">
        <v>10095</v>
      </c>
      <c r="AG9436" s="831" t="s">
        <v>130</v>
      </c>
      <c r="AH9436" s="831" t="s">
        <v>234</v>
      </c>
      <c r="AI9436" s="831">
        <v>0</v>
      </c>
      <c r="AJ9436" s="835">
        <v>42124</v>
      </c>
      <c r="AK9436" s="831">
        <v>0</v>
      </c>
    </row>
    <row r="9437" spans="2:37">
      <c r="B9437" s="834" t="str">
        <f t="shared" si="373"/>
        <v>|||</v>
      </c>
      <c r="H9437" s="835">
        <f t="shared" si="374"/>
        <v>31</v>
      </c>
      <c r="AF9437" s="831" t="s">
        <v>10096</v>
      </c>
      <c r="AG9437" s="831" t="s">
        <v>130</v>
      </c>
      <c r="AH9437" s="831" t="s">
        <v>235</v>
      </c>
      <c r="AI9437" s="831">
        <v>0</v>
      </c>
      <c r="AJ9437" s="835">
        <v>42124</v>
      </c>
      <c r="AK9437" s="831">
        <v>17366403</v>
      </c>
    </row>
    <row r="9438" spans="2:37">
      <c r="B9438" s="834" t="str">
        <f t="shared" si="373"/>
        <v>|||</v>
      </c>
      <c r="H9438" s="835">
        <f t="shared" si="374"/>
        <v>31</v>
      </c>
      <c r="AF9438" s="831" t="s">
        <v>10097</v>
      </c>
      <c r="AG9438" s="831" t="s">
        <v>130</v>
      </c>
      <c r="AH9438" s="831" t="s">
        <v>238</v>
      </c>
      <c r="AI9438" s="831">
        <v>0</v>
      </c>
      <c r="AJ9438" s="835">
        <v>42124</v>
      </c>
      <c r="AK9438" s="831">
        <v>0</v>
      </c>
    </row>
    <row r="9439" spans="2:37">
      <c r="B9439" s="834" t="str">
        <f t="shared" si="373"/>
        <v>|||</v>
      </c>
      <c r="H9439" s="835">
        <f t="shared" si="374"/>
        <v>31</v>
      </c>
      <c r="AF9439" s="831" t="s">
        <v>10098</v>
      </c>
      <c r="AG9439" s="831" t="s">
        <v>130</v>
      </c>
      <c r="AH9439" s="831" t="s">
        <v>240</v>
      </c>
      <c r="AI9439" s="831">
        <v>0</v>
      </c>
      <c r="AJ9439" s="835">
        <v>42124</v>
      </c>
      <c r="AK9439" s="831">
        <v>85000000</v>
      </c>
    </row>
    <row r="9440" spans="2:37">
      <c r="B9440" s="834" t="str">
        <f t="shared" si="373"/>
        <v>|||</v>
      </c>
      <c r="H9440" s="835">
        <f t="shared" si="374"/>
        <v>31</v>
      </c>
      <c r="AF9440" s="831" t="s">
        <v>10099</v>
      </c>
      <c r="AG9440" s="831" t="s">
        <v>130</v>
      </c>
      <c r="AH9440" s="831" t="s">
        <v>241</v>
      </c>
      <c r="AI9440" s="831">
        <v>0</v>
      </c>
      <c r="AJ9440" s="835">
        <v>42124</v>
      </c>
      <c r="AK9440" s="831">
        <v>0</v>
      </c>
    </row>
    <row r="9441" spans="2:37">
      <c r="B9441" s="834" t="str">
        <f t="shared" si="373"/>
        <v>|||</v>
      </c>
      <c r="H9441" s="835">
        <f t="shared" si="374"/>
        <v>31</v>
      </c>
      <c r="AF9441" s="831" t="s">
        <v>10100</v>
      </c>
      <c r="AG9441" s="831" t="s">
        <v>130</v>
      </c>
      <c r="AH9441" s="831" t="s">
        <v>242</v>
      </c>
      <c r="AI9441" s="831">
        <v>0</v>
      </c>
      <c r="AJ9441" s="835">
        <v>42124</v>
      </c>
      <c r="AK9441" s="831">
        <v>0</v>
      </c>
    </row>
    <row r="9442" spans="2:37">
      <c r="B9442" s="834" t="str">
        <f t="shared" si="373"/>
        <v>|||</v>
      </c>
      <c r="H9442" s="835">
        <f t="shared" si="374"/>
        <v>31</v>
      </c>
      <c r="AF9442" s="831" t="s">
        <v>10101</v>
      </c>
      <c r="AG9442" s="831" t="s">
        <v>130</v>
      </c>
      <c r="AH9442" s="831" t="s">
        <v>244</v>
      </c>
      <c r="AI9442" s="831">
        <v>0</v>
      </c>
      <c r="AJ9442" s="835">
        <v>42124</v>
      </c>
      <c r="AK9442" s="831">
        <v>60408679</v>
      </c>
    </row>
    <row r="9443" spans="2:37">
      <c r="B9443" s="834" t="str">
        <f t="shared" si="373"/>
        <v>|||</v>
      </c>
      <c r="H9443" s="835">
        <f t="shared" si="374"/>
        <v>31</v>
      </c>
      <c r="AF9443" s="831" t="s">
        <v>10102</v>
      </c>
      <c r="AG9443" s="831" t="s">
        <v>130</v>
      </c>
      <c r="AH9443" s="831" t="s">
        <v>245</v>
      </c>
      <c r="AI9443" s="831">
        <v>0</v>
      </c>
      <c r="AJ9443" s="835">
        <v>42124</v>
      </c>
      <c r="AK9443" s="831">
        <v>3490176</v>
      </c>
    </row>
    <row r="9444" spans="2:37">
      <c r="B9444" s="834" t="str">
        <f t="shared" si="373"/>
        <v>|||</v>
      </c>
      <c r="H9444" s="835">
        <f t="shared" si="374"/>
        <v>31</v>
      </c>
      <c r="AF9444" s="831" t="s">
        <v>10103</v>
      </c>
      <c r="AG9444" s="831" t="s">
        <v>520</v>
      </c>
      <c r="AH9444" s="831" t="s">
        <v>291</v>
      </c>
      <c r="AI9444" s="831">
        <v>0</v>
      </c>
      <c r="AJ9444" s="835">
        <v>42035</v>
      </c>
      <c r="AK9444" s="831">
        <v>18778690</v>
      </c>
    </row>
    <row r="9445" spans="2:37">
      <c r="B9445" s="834" t="str">
        <f t="shared" si="373"/>
        <v>|||</v>
      </c>
      <c r="H9445" s="835">
        <f t="shared" si="374"/>
        <v>31</v>
      </c>
      <c r="AF9445" s="831" t="s">
        <v>10104</v>
      </c>
      <c r="AG9445" s="831" t="s">
        <v>520</v>
      </c>
      <c r="AH9445" s="831" t="s">
        <v>519</v>
      </c>
      <c r="AI9445" s="831">
        <v>0</v>
      </c>
      <c r="AJ9445" s="835">
        <v>42035</v>
      </c>
      <c r="AK9445" s="831">
        <v>462127892</v>
      </c>
    </row>
    <row r="9446" spans="2:37">
      <c r="B9446" s="834" t="str">
        <f t="shared" si="373"/>
        <v>|||</v>
      </c>
      <c r="H9446" s="835">
        <f t="shared" si="374"/>
        <v>31</v>
      </c>
      <c r="AF9446" s="831" t="s">
        <v>10105</v>
      </c>
      <c r="AG9446" s="831" t="s">
        <v>520</v>
      </c>
      <c r="AH9446" s="831" t="s">
        <v>94</v>
      </c>
      <c r="AI9446" s="831">
        <v>0</v>
      </c>
      <c r="AJ9446" s="835">
        <v>42035</v>
      </c>
      <c r="AK9446" s="831">
        <v>98604780</v>
      </c>
    </row>
    <row r="9447" spans="2:37">
      <c r="B9447" s="834" t="str">
        <f t="shared" si="373"/>
        <v>|||</v>
      </c>
      <c r="H9447" s="835">
        <f t="shared" si="374"/>
        <v>31</v>
      </c>
      <c r="AF9447" s="831" t="s">
        <v>10106</v>
      </c>
      <c r="AG9447" s="831" t="s">
        <v>520</v>
      </c>
      <c r="AH9447" s="831" t="s">
        <v>85</v>
      </c>
      <c r="AI9447" s="831">
        <v>0</v>
      </c>
      <c r="AJ9447" s="835">
        <v>42035</v>
      </c>
      <c r="AK9447" s="831">
        <v>119632540</v>
      </c>
    </row>
    <row r="9448" spans="2:37">
      <c r="B9448" s="834" t="str">
        <f t="shared" si="373"/>
        <v>|||</v>
      </c>
      <c r="H9448" s="835">
        <f t="shared" si="374"/>
        <v>31</v>
      </c>
      <c r="AF9448" s="831" t="s">
        <v>10107</v>
      </c>
      <c r="AG9448" s="831" t="s">
        <v>520</v>
      </c>
      <c r="AH9448" s="831" t="s">
        <v>90</v>
      </c>
      <c r="AI9448" s="831">
        <v>0</v>
      </c>
      <c r="AJ9448" s="835">
        <v>42035</v>
      </c>
      <c r="AK9448" s="831">
        <v>492436670</v>
      </c>
    </row>
    <row r="9449" spans="2:37">
      <c r="B9449" s="834" t="str">
        <f t="shared" si="373"/>
        <v>|||</v>
      </c>
      <c r="H9449" s="835">
        <f t="shared" si="374"/>
        <v>31</v>
      </c>
      <c r="AF9449" s="831" t="s">
        <v>10108</v>
      </c>
      <c r="AG9449" s="831" t="s">
        <v>520</v>
      </c>
      <c r="AH9449" s="831" t="s">
        <v>117</v>
      </c>
      <c r="AI9449" s="831">
        <v>0</v>
      </c>
      <c r="AJ9449" s="835">
        <v>42035</v>
      </c>
      <c r="AK9449" s="831">
        <v>10405050</v>
      </c>
    </row>
    <row r="9450" spans="2:37">
      <c r="B9450" s="834" t="str">
        <f t="shared" si="373"/>
        <v>|||</v>
      </c>
      <c r="H9450" s="835">
        <f t="shared" si="374"/>
        <v>31</v>
      </c>
      <c r="AF9450" s="831" t="s">
        <v>10109</v>
      </c>
      <c r="AG9450" s="831" t="s">
        <v>520</v>
      </c>
      <c r="AH9450" s="831" t="s">
        <v>525</v>
      </c>
      <c r="AI9450" s="831">
        <v>0</v>
      </c>
      <c r="AJ9450" s="835">
        <v>42035</v>
      </c>
      <c r="AK9450" s="831">
        <v>0</v>
      </c>
    </row>
    <row r="9451" spans="2:37">
      <c r="B9451" s="834" t="str">
        <f t="shared" si="373"/>
        <v>|||</v>
      </c>
      <c r="H9451" s="835">
        <f t="shared" si="374"/>
        <v>31</v>
      </c>
      <c r="AF9451" s="831" t="s">
        <v>10110</v>
      </c>
      <c r="AG9451" s="831" t="s">
        <v>520</v>
      </c>
      <c r="AH9451" s="831" t="s">
        <v>522</v>
      </c>
      <c r="AI9451" s="831">
        <v>0</v>
      </c>
      <c r="AJ9451" s="835">
        <v>42035</v>
      </c>
      <c r="AK9451" s="831">
        <v>0</v>
      </c>
    </row>
    <row r="9452" spans="2:37">
      <c r="B9452" s="834" t="str">
        <f t="shared" si="373"/>
        <v>|||</v>
      </c>
      <c r="H9452" s="835">
        <f t="shared" si="374"/>
        <v>31</v>
      </c>
      <c r="AF9452" s="831" t="s">
        <v>10111</v>
      </c>
      <c r="AG9452" s="831" t="s">
        <v>520</v>
      </c>
      <c r="AH9452" s="831" t="s">
        <v>523</v>
      </c>
      <c r="AI9452" s="831">
        <v>0</v>
      </c>
      <c r="AJ9452" s="835">
        <v>42035</v>
      </c>
      <c r="AK9452" s="831">
        <v>0</v>
      </c>
    </row>
    <row r="9453" spans="2:37">
      <c r="B9453" s="834" t="str">
        <f t="shared" si="373"/>
        <v>|||</v>
      </c>
      <c r="H9453" s="835">
        <f t="shared" si="374"/>
        <v>31</v>
      </c>
      <c r="AF9453" s="831" t="s">
        <v>10112</v>
      </c>
      <c r="AG9453" s="831" t="s">
        <v>520</v>
      </c>
      <c r="AH9453" s="831" t="s">
        <v>524</v>
      </c>
      <c r="AI9453" s="831">
        <v>0</v>
      </c>
      <c r="AJ9453" s="835">
        <v>42035</v>
      </c>
      <c r="AK9453" s="831">
        <v>0</v>
      </c>
    </row>
    <row r="9454" spans="2:37">
      <c r="B9454" s="834" t="str">
        <f t="shared" si="373"/>
        <v>|||</v>
      </c>
      <c r="H9454" s="835">
        <f t="shared" si="374"/>
        <v>31</v>
      </c>
      <c r="AF9454" s="831" t="s">
        <v>10113</v>
      </c>
      <c r="AG9454" s="831" t="s">
        <v>520</v>
      </c>
      <c r="AH9454" s="831" t="s">
        <v>521</v>
      </c>
      <c r="AI9454" s="831">
        <v>0</v>
      </c>
      <c r="AJ9454" s="835">
        <v>42035</v>
      </c>
      <c r="AK9454" s="831">
        <v>0</v>
      </c>
    </row>
    <row r="9455" spans="2:37">
      <c r="B9455" s="834" t="str">
        <f t="shared" si="373"/>
        <v>|||</v>
      </c>
      <c r="H9455" s="835">
        <f t="shared" si="374"/>
        <v>31</v>
      </c>
      <c r="AF9455" s="831" t="s">
        <v>10114</v>
      </c>
      <c r="AG9455" s="831" t="s">
        <v>520</v>
      </c>
      <c r="AH9455" s="831" t="s">
        <v>660</v>
      </c>
      <c r="AI9455" s="831">
        <v>0</v>
      </c>
      <c r="AJ9455" s="835">
        <v>42035</v>
      </c>
      <c r="AK9455" s="831">
        <v>0</v>
      </c>
    </row>
    <row r="9456" spans="2:37">
      <c r="B9456" s="834" t="str">
        <f t="shared" si="373"/>
        <v>|||</v>
      </c>
      <c r="H9456" s="835">
        <f t="shared" si="374"/>
        <v>31</v>
      </c>
      <c r="AF9456" s="831" t="s">
        <v>10115</v>
      </c>
      <c r="AG9456" s="831" t="s">
        <v>520</v>
      </c>
      <c r="AH9456" s="831" t="s">
        <v>661</v>
      </c>
      <c r="AI9456" s="831">
        <v>0</v>
      </c>
      <c r="AJ9456" s="835">
        <v>42035</v>
      </c>
      <c r="AK9456" s="831">
        <v>0</v>
      </c>
    </row>
    <row r="9457" spans="2:37">
      <c r="B9457" s="834" t="str">
        <f t="shared" si="373"/>
        <v>|||</v>
      </c>
      <c r="H9457" s="835">
        <f t="shared" si="374"/>
        <v>31</v>
      </c>
      <c r="AF9457" s="831" t="s">
        <v>10116</v>
      </c>
      <c r="AG9457" s="831" t="s">
        <v>520</v>
      </c>
      <c r="AH9457" s="831" t="s">
        <v>662</v>
      </c>
      <c r="AI9457" s="831">
        <v>0</v>
      </c>
      <c r="AJ9457" s="835">
        <v>42035</v>
      </c>
      <c r="AK9457" s="831">
        <v>0</v>
      </c>
    </row>
    <row r="9458" spans="2:37">
      <c r="B9458" s="834" t="str">
        <f t="shared" si="373"/>
        <v>|||</v>
      </c>
      <c r="H9458" s="835">
        <f t="shared" si="374"/>
        <v>31</v>
      </c>
      <c r="AF9458" s="831" t="s">
        <v>10117</v>
      </c>
      <c r="AG9458" s="831" t="s">
        <v>520</v>
      </c>
      <c r="AH9458" s="831" t="s">
        <v>291</v>
      </c>
      <c r="AI9458" s="831">
        <v>0</v>
      </c>
      <c r="AJ9458" s="835">
        <v>42063</v>
      </c>
      <c r="AK9458" s="831">
        <v>57256850</v>
      </c>
    </row>
    <row r="9459" spans="2:37">
      <c r="B9459" s="834" t="str">
        <f t="shared" si="373"/>
        <v>|||</v>
      </c>
      <c r="H9459" s="835">
        <f t="shared" si="374"/>
        <v>31</v>
      </c>
      <c r="AF9459" s="831" t="s">
        <v>10118</v>
      </c>
      <c r="AG9459" s="831" t="s">
        <v>520</v>
      </c>
      <c r="AH9459" s="831" t="s">
        <v>519</v>
      </c>
      <c r="AI9459" s="831">
        <v>0</v>
      </c>
      <c r="AJ9459" s="835">
        <v>42063</v>
      </c>
      <c r="AK9459" s="831">
        <v>603777260</v>
      </c>
    </row>
    <row r="9460" spans="2:37">
      <c r="B9460" s="834" t="str">
        <f t="shared" si="373"/>
        <v>|||</v>
      </c>
      <c r="H9460" s="835">
        <f t="shared" si="374"/>
        <v>31</v>
      </c>
      <c r="AF9460" s="831" t="s">
        <v>10119</v>
      </c>
      <c r="AG9460" s="831" t="s">
        <v>520</v>
      </c>
      <c r="AH9460" s="831" t="s">
        <v>94</v>
      </c>
      <c r="AI9460" s="831">
        <v>0</v>
      </c>
      <c r="AJ9460" s="835">
        <v>42063</v>
      </c>
      <c r="AK9460" s="831">
        <v>110107809</v>
      </c>
    </row>
    <row r="9461" spans="2:37">
      <c r="B9461" s="834" t="str">
        <f t="shared" si="373"/>
        <v>|||</v>
      </c>
      <c r="H9461" s="835">
        <f t="shared" si="374"/>
        <v>31</v>
      </c>
      <c r="AF9461" s="831" t="s">
        <v>10120</v>
      </c>
      <c r="AG9461" s="831" t="s">
        <v>520</v>
      </c>
      <c r="AH9461" s="831" t="s">
        <v>85</v>
      </c>
      <c r="AI9461" s="831">
        <v>0</v>
      </c>
      <c r="AJ9461" s="835">
        <v>42063</v>
      </c>
      <c r="AK9461" s="831">
        <v>180896700</v>
      </c>
    </row>
    <row r="9462" spans="2:37">
      <c r="B9462" s="834" t="str">
        <f t="shared" si="373"/>
        <v>|||</v>
      </c>
      <c r="H9462" s="835">
        <f t="shared" si="374"/>
        <v>31</v>
      </c>
      <c r="AF9462" s="831" t="s">
        <v>10121</v>
      </c>
      <c r="AG9462" s="831" t="s">
        <v>520</v>
      </c>
      <c r="AH9462" s="831" t="s">
        <v>90</v>
      </c>
      <c r="AI9462" s="831">
        <v>0</v>
      </c>
      <c r="AJ9462" s="835">
        <v>42063</v>
      </c>
      <c r="AK9462" s="831">
        <v>659051530</v>
      </c>
    </row>
    <row r="9463" spans="2:37">
      <c r="B9463" s="834" t="str">
        <f t="shared" si="373"/>
        <v>|||</v>
      </c>
      <c r="H9463" s="835">
        <f t="shared" si="374"/>
        <v>31</v>
      </c>
      <c r="AF9463" s="831" t="s">
        <v>10122</v>
      </c>
      <c r="AG9463" s="831" t="s">
        <v>520</v>
      </c>
      <c r="AH9463" s="831" t="s">
        <v>117</v>
      </c>
      <c r="AI9463" s="831">
        <v>0</v>
      </c>
      <c r="AJ9463" s="835">
        <v>42063</v>
      </c>
      <c r="AK9463" s="831">
        <v>16216620</v>
      </c>
    </row>
    <row r="9464" spans="2:37">
      <c r="B9464" s="834" t="str">
        <f t="shared" si="373"/>
        <v>|||</v>
      </c>
      <c r="H9464" s="835">
        <f t="shared" si="374"/>
        <v>31</v>
      </c>
      <c r="AF9464" s="831" t="s">
        <v>10123</v>
      </c>
      <c r="AG9464" s="831" t="s">
        <v>520</v>
      </c>
      <c r="AH9464" s="831" t="s">
        <v>525</v>
      </c>
      <c r="AI9464" s="831">
        <v>0</v>
      </c>
      <c r="AJ9464" s="835">
        <v>42063</v>
      </c>
      <c r="AK9464" s="831">
        <v>0</v>
      </c>
    </row>
    <row r="9465" spans="2:37">
      <c r="B9465" s="834" t="str">
        <f t="shared" si="373"/>
        <v>|||</v>
      </c>
      <c r="H9465" s="835">
        <f t="shared" si="374"/>
        <v>31</v>
      </c>
      <c r="AF9465" s="831" t="s">
        <v>10124</v>
      </c>
      <c r="AG9465" s="831" t="s">
        <v>520</v>
      </c>
      <c r="AH9465" s="831" t="s">
        <v>522</v>
      </c>
      <c r="AI9465" s="831">
        <v>0</v>
      </c>
      <c r="AJ9465" s="835">
        <v>42063</v>
      </c>
      <c r="AK9465" s="831">
        <v>0</v>
      </c>
    </row>
    <row r="9466" spans="2:37">
      <c r="B9466" s="834" t="str">
        <f t="shared" si="373"/>
        <v>|||</v>
      </c>
      <c r="H9466" s="835">
        <f t="shared" si="374"/>
        <v>31</v>
      </c>
      <c r="AF9466" s="831" t="s">
        <v>10125</v>
      </c>
      <c r="AG9466" s="831" t="s">
        <v>520</v>
      </c>
      <c r="AH9466" s="831" t="s">
        <v>523</v>
      </c>
      <c r="AI9466" s="831">
        <v>0</v>
      </c>
      <c r="AJ9466" s="835">
        <v>42063</v>
      </c>
      <c r="AK9466" s="831">
        <v>0</v>
      </c>
    </row>
    <row r="9467" spans="2:37">
      <c r="B9467" s="834" t="str">
        <f t="shared" si="373"/>
        <v>|||</v>
      </c>
      <c r="H9467" s="835">
        <f t="shared" si="374"/>
        <v>31</v>
      </c>
      <c r="AF9467" s="831" t="s">
        <v>10126</v>
      </c>
      <c r="AG9467" s="831" t="s">
        <v>520</v>
      </c>
      <c r="AH9467" s="831" t="s">
        <v>524</v>
      </c>
      <c r="AI9467" s="831">
        <v>0</v>
      </c>
      <c r="AJ9467" s="835">
        <v>42063</v>
      </c>
      <c r="AK9467" s="831">
        <v>92382400</v>
      </c>
    </row>
    <row r="9468" spans="2:37">
      <c r="B9468" s="834" t="str">
        <f t="shared" si="373"/>
        <v>|||</v>
      </c>
      <c r="H9468" s="835">
        <f t="shared" si="374"/>
        <v>31</v>
      </c>
      <c r="AF9468" s="831" t="s">
        <v>10127</v>
      </c>
      <c r="AG9468" s="831" t="s">
        <v>520</v>
      </c>
      <c r="AH9468" s="831" t="s">
        <v>521</v>
      </c>
      <c r="AI9468" s="831">
        <v>0</v>
      </c>
      <c r="AJ9468" s="835">
        <v>42063</v>
      </c>
      <c r="AK9468" s="831">
        <v>0</v>
      </c>
    </row>
    <row r="9469" spans="2:37">
      <c r="B9469" s="834" t="str">
        <f t="shared" si="373"/>
        <v>|||</v>
      </c>
      <c r="H9469" s="835">
        <f t="shared" si="374"/>
        <v>31</v>
      </c>
      <c r="AF9469" s="831" t="s">
        <v>10128</v>
      </c>
      <c r="AG9469" s="831" t="s">
        <v>520</v>
      </c>
      <c r="AH9469" s="831" t="s">
        <v>660</v>
      </c>
      <c r="AI9469" s="831">
        <v>0</v>
      </c>
      <c r="AJ9469" s="835">
        <v>42063</v>
      </c>
      <c r="AK9469" s="831">
        <v>0</v>
      </c>
    </row>
    <row r="9470" spans="2:37">
      <c r="B9470" s="834" t="str">
        <f t="shared" si="373"/>
        <v>|||</v>
      </c>
      <c r="H9470" s="835">
        <f t="shared" si="374"/>
        <v>31</v>
      </c>
      <c r="AF9470" s="831" t="s">
        <v>10129</v>
      </c>
      <c r="AG9470" s="831" t="s">
        <v>520</v>
      </c>
      <c r="AH9470" s="831" t="s">
        <v>661</v>
      </c>
      <c r="AI9470" s="831">
        <v>0</v>
      </c>
      <c r="AJ9470" s="835">
        <v>42063</v>
      </c>
      <c r="AK9470" s="831">
        <v>0</v>
      </c>
    </row>
    <row r="9471" spans="2:37">
      <c r="B9471" s="834" t="str">
        <f t="shared" si="373"/>
        <v>|||</v>
      </c>
      <c r="H9471" s="835">
        <f t="shared" si="374"/>
        <v>31</v>
      </c>
      <c r="AF9471" s="831" t="s">
        <v>10130</v>
      </c>
      <c r="AG9471" s="831" t="s">
        <v>520</v>
      </c>
      <c r="AH9471" s="831" t="s">
        <v>662</v>
      </c>
      <c r="AI9471" s="831">
        <v>0</v>
      </c>
      <c r="AJ9471" s="835">
        <v>42063</v>
      </c>
      <c r="AK9471" s="831">
        <v>0</v>
      </c>
    </row>
    <row r="9472" spans="2:37">
      <c r="B9472" s="834" t="str">
        <f t="shared" si="373"/>
        <v>|||</v>
      </c>
      <c r="H9472" s="835">
        <f t="shared" si="374"/>
        <v>31</v>
      </c>
      <c r="AF9472" s="831" t="s">
        <v>10131</v>
      </c>
      <c r="AG9472" s="831" t="s">
        <v>520</v>
      </c>
      <c r="AH9472" s="831" t="s">
        <v>291</v>
      </c>
      <c r="AI9472" s="831">
        <v>0</v>
      </c>
      <c r="AJ9472" s="835">
        <v>42094</v>
      </c>
      <c r="AK9472" s="831">
        <v>103483050</v>
      </c>
    </row>
    <row r="9473" spans="2:37">
      <c r="B9473" s="834" t="str">
        <f t="shared" si="373"/>
        <v>|||</v>
      </c>
      <c r="H9473" s="835">
        <f t="shared" si="374"/>
        <v>31</v>
      </c>
      <c r="AF9473" s="831" t="s">
        <v>10132</v>
      </c>
      <c r="AG9473" s="831" t="s">
        <v>520</v>
      </c>
      <c r="AH9473" s="831" t="s">
        <v>519</v>
      </c>
      <c r="AI9473" s="831">
        <v>0</v>
      </c>
      <c r="AJ9473" s="835">
        <v>42094</v>
      </c>
      <c r="AK9473" s="831">
        <v>591723110</v>
      </c>
    </row>
    <row r="9474" spans="2:37">
      <c r="B9474" s="834" t="str">
        <f t="shared" si="373"/>
        <v>|||</v>
      </c>
      <c r="H9474" s="835">
        <f t="shared" si="374"/>
        <v>31</v>
      </c>
      <c r="AF9474" s="831" t="s">
        <v>10133</v>
      </c>
      <c r="AG9474" s="831" t="s">
        <v>520</v>
      </c>
      <c r="AH9474" s="831" t="s">
        <v>94</v>
      </c>
      <c r="AI9474" s="831">
        <v>0</v>
      </c>
      <c r="AJ9474" s="835">
        <v>42094</v>
      </c>
      <c r="AK9474" s="831">
        <v>99088494</v>
      </c>
    </row>
    <row r="9475" spans="2:37">
      <c r="B9475" s="834" t="str">
        <f t="shared" ref="B9475:B9538" si="375">C9475&amp;"|"&amp;D9475&amp;"|"&amp;E9475&amp;"|"&amp;F9475</f>
        <v>|||</v>
      </c>
      <c r="H9475" s="835">
        <f t="shared" si="374"/>
        <v>31</v>
      </c>
      <c r="AF9475" s="831" t="s">
        <v>10134</v>
      </c>
      <c r="AG9475" s="831" t="s">
        <v>520</v>
      </c>
      <c r="AH9475" s="831" t="s">
        <v>85</v>
      </c>
      <c r="AI9475" s="831">
        <v>0</v>
      </c>
      <c r="AJ9475" s="835">
        <v>42094</v>
      </c>
      <c r="AK9475" s="831">
        <v>183730950</v>
      </c>
    </row>
    <row r="9476" spans="2:37">
      <c r="B9476" s="834" t="str">
        <f t="shared" si="375"/>
        <v>|||</v>
      </c>
      <c r="H9476" s="835">
        <f t="shared" ref="H9476:H9539" si="376">EOMONTH(L9476,0)</f>
        <v>31</v>
      </c>
      <c r="AF9476" s="831" t="s">
        <v>10135</v>
      </c>
      <c r="AG9476" s="831" t="s">
        <v>520</v>
      </c>
      <c r="AH9476" s="831" t="s">
        <v>90</v>
      </c>
      <c r="AI9476" s="831">
        <v>0</v>
      </c>
      <c r="AJ9476" s="835">
        <v>42094</v>
      </c>
      <c r="AK9476" s="831">
        <v>585780840</v>
      </c>
    </row>
    <row r="9477" spans="2:37">
      <c r="B9477" s="834" t="str">
        <f t="shared" si="375"/>
        <v>|||</v>
      </c>
      <c r="H9477" s="835">
        <f t="shared" si="376"/>
        <v>31</v>
      </c>
      <c r="AF9477" s="831" t="s">
        <v>10136</v>
      </c>
      <c r="AG9477" s="831" t="s">
        <v>520</v>
      </c>
      <c r="AH9477" s="831" t="s">
        <v>117</v>
      </c>
      <c r="AI9477" s="831">
        <v>0</v>
      </c>
      <c r="AJ9477" s="835">
        <v>42094</v>
      </c>
      <c r="AK9477" s="831">
        <v>26936569</v>
      </c>
    </row>
    <row r="9478" spans="2:37">
      <c r="B9478" s="834" t="str">
        <f t="shared" si="375"/>
        <v>|||</v>
      </c>
      <c r="H9478" s="835">
        <f t="shared" si="376"/>
        <v>31</v>
      </c>
      <c r="AF9478" s="831" t="s">
        <v>10137</v>
      </c>
      <c r="AG9478" s="831" t="s">
        <v>520</v>
      </c>
      <c r="AH9478" s="831" t="s">
        <v>525</v>
      </c>
      <c r="AI9478" s="831">
        <v>0</v>
      </c>
      <c r="AJ9478" s="835">
        <v>42094</v>
      </c>
      <c r="AK9478" s="831">
        <v>0</v>
      </c>
    </row>
    <row r="9479" spans="2:37">
      <c r="B9479" s="834" t="str">
        <f t="shared" si="375"/>
        <v>|||</v>
      </c>
      <c r="H9479" s="835">
        <f t="shared" si="376"/>
        <v>31</v>
      </c>
      <c r="AF9479" s="831" t="s">
        <v>10138</v>
      </c>
      <c r="AG9479" s="831" t="s">
        <v>520</v>
      </c>
      <c r="AH9479" s="831" t="s">
        <v>522</v>
      </c>
      <c r="AI9479" s="831">
        <v>0</v>
      </c>
      <c r="AJ9479" s="835">
        <v>42094</v>
      </c>
      <c r="AK9479" s="831">
        <v>0</v>
      </c>
    </row>
    <row r="9480" spans="2:37">
      <c r="B9480" s="834" t="str">
        <f t="shared" si="375"/>
        <v>|||</v>
      </c>
      <c r="H9480" s="835">
        <f t="shared" si="376"/>
        <v>31</v>
      </c>
      <c r="AF9480" s="831" t="s">
        <v>10139</v>
      </c>
      <c r="AG9480" s="831" t="s">
        <v>520</v>
      </c>
      <c r="AH9480" s="831" t="s">
        <v>523</v>
      </c>
      <c r="AI9480" s="831">
        <v>0</v>
      </c>
      <c r="AJ9480" s="835">
        <v>42094</v>
      </c>
      <c r="AK9480" s="831">
        <v>0</v>
      </c>
    </row>
    <row r="9481" spans="2:37">
      <c r="B9481" s="834" t="str">
        <f t="shared" si="375"/>
        <v>|||</v>
      </c>
      <c r="H9481" s="835">
        <f t="shared" si="376"/>
        <v>31</v>
      </c>
      <c r="AF9481" s="831" t="s">
        <v>10140</v>
      </c>
      <c r="AG9481" s="831" t="s">
        <v>520</v>
      </c>
      <c r="AH9481" s="831" t="s">
        <v>524</v>
      </c>
      <c r="AI9481" s="831">
        <v>0</v>
      </c>
      <c r="AJ9481" s="835">
        <v>42094</v>
      </c>
      <c r="AK9481" s="831">
        <v>52425000</v>
      </c>
    </row>
    <row r="9482" spans="2:37">
      <c r="B9482" s="834" t="str">
        <f t="shared" si="375"/>
        <v>|||</v>
      </c>
      <c r="H9482" s="835">
        <f t="shared" si="376"/>
        <v>31</v>
      </c>
      <c r="AF9482" s="831" t="s">
        <v>10141</v>
      </c>
      <c r="AG9482" s="831" t="s">
        <v>520</v>
      </c>
      <c r="AH9482" s="831" t="s">
        <v>521</v>
      </c>
      <c r="AI9482" s="831">
        <v>0</v>
      </c>
      <c r="AJ9482" s="835">
        <v>42094</v>
      </c>
      <c r="AK9482" s="831">
        <v>0</v>
      </c>
    </row>
    <row r="9483" spans="2:37">
      <c r="B9483" s="834" t="str">
        <f t="shared" si="375"/>
        <v>|||</v>
      </c>
      <c r="H9483" s="835">
        <f t="shared" si="376"/>
        <v>31</v>
      </c>
      <c r="AF9483" s="831" t="s">
        <v>10142</v>
      </c>
      <c r="AG9483" s="831" t="s">
        <v>520</v>
      </c>
      <c r="AH9483" s="831" t="s">
        <v>660</v>
      </c>
      <c r="AI9483" s="831">
        <v>0</v>
      </c>
      <c r="AJ9483" s="835">
        <v>42094</v>
      </c>
      <c r="AK9483" s="831">
        <v>0</v>
      </c>
    </row>
    <row r="9484" spans="2:37">
      <c r="B9484" s="834" t="str">
        <f t="shared" si="375"/>
        <v>|||</v>
      </c>
      <c r="H9484" s="835">
        <f t="shared" si="376"/>
        <v>31</v>
      </c>
      <c r="AF9484" s="831" t="s">
        <v>10143</v>
      </c>
      <c r="AG9484" s="831" t="s">
        <v>520</v>
      </c>
      <c r="AH9484" s="831" t="s">
        <v>661</v>
      </c>
      <c r="AI9484" s="831">
        <v>0</v>
      </c>
      <c r="AJ9484" s="835">
        <v>42094</v>
      </c>
      <c r="AK9484" s="831">
        <v>0</v>
      </c>
    </row>
    <row r="9485" spans="2:37">
      <c r="B9485" s="834" t="str">
        <f t="shared" si="375"/>
        <v>|||</v>
      </c>
      <c r="H9485" s="835">
        <f t="shared" si="376"/>
        <v>31</v>
      </c>
      <c r="AF9485" s="831" t="s">
        <v>10144</v>
      </c>
      <c r="AG9485" s="831" t="s">
        <v>520</v>
      </c>
      <c r="AH9485" s="831" t="s">
        <v>662</v>
      </c>
      <c r="AI9485" s="831">
        <v>0</v>
      </c>
      <c r="AJ9485" s="835">
        <v>42094</v>
      </c>
      <c r="AK9485" s="831">
        <v>0</v>
      </c>
    </row>
    <row r="9486" spans="2:37">
      <c r="B9486" s="834" t="str">
        <f t="shared" si="375"/>
        <v>|||</v>
      </c>
      <c r="H9486" s="835">
        <f t="shared" si="376"/>
        <v>31</v>
      </c>
      <c r="AF9486" s="831" t="s">
        <v>10145</v>
      </c>
      <c r="AG9486" s="831" t="s">
        <v>520</v>
      </c>
      <c r="AH9486" s="831" t="s">
        <v>291</v>
      </c>
      <c r="AI9486" s="831">
        <v>0</v>
      </c>
      <c r="AJ9486" s="835">
        <v>42124</v>
      </c>
      <c r="AK9486" s="831">
        <v>159148000</v>
      </c>
    </row>
    <row r="9487" spans="2:37">
      <c r="B9487" s="834" t="str">
        <f t="shared" si="375"/>
        <v>|||</v>
      </c>
      <c r="H9487" s="835">
        <f t="shared" si="376"/>
        <v>31</v>
      </c>
      <c r="AF9487" s="831" t="s">
        <v>10146</v>
      </c>
      <c r="AG9487" s="831" t="s">
        <v>520</v>
      </c>
      <c r="AH9487" s="831" t="s">
        <v>519</v>
      </c>
      <c r="AI9487" s="831">
        <v>0</v>
      </c>
      <c r="AJ9487" s="835">
        <v>42124</v>
      </c>
      <c r="AK9487" s="831">
        <v>578885950</v>
      </c>
    </row>
    <row r="9488" spans="2:37">
      <c r="B9488" s="834" t="str">
        <f t="shared" si="375"/>
        <v>|||</v>
      </c>
      <c r="H9488" s="835">
        <f t="shared" si="376"/>
        <v>31</v>
      </c>
      <c r="AF9488" s="831" t="s">
        <v>10147</v>
      </c>
      <c r="AG9488" s="831" t="s">
        <v>520</v>
      </c>
      <c r="AH9488" s="831" t="s">
        <v>94</v>
      </c>
      <c r="AI9488" s="831">
        <v>0</v>
      </c>
      <c r="AJ9488" s="835">
        <v>42124</v>
      </c>
      <c r="AK9488" s="831">
        <v>43580457</v>
      </c>
    </row>
    <row r="9489" spans="2:37">
      <c r="B9489" s="834" t="str">
        <f t="shared" si="375"/>
        <v>|||</v>
      </c>
      <c r="H9489" s="835">
        <f t="shared" si="376"/>
        <v>31</v>
      </c>
      <c r="AF9489" s="831" t="s">
        <v>10148</v>
      </c>
      <c r="AG9489" s="831" t="s">
        <v>520</v>
      </c>
      <c r="AH9489" s="831" t="s">
        <v>85</v>
      </c>
      <c r="AI9489" s="831">
        <v>0</v>
      </c>
      <c r="AJ9489" s="835">
        <v>42124</v>
      </c>
      <c r="AK9489" s="831">
        <v>193150120</v>
      </c>
    </row>
    <row r="9490" spans="2:37">
      <c r="B9490" s="834" t="str">
        <f t="shared" si="375"/>
        <v>|||</v>
      </c>
      <c r="H9490" s="835">
        <f t="shared" si="376"/>
        <v>31</v>
      </c>
      <c r="AF9490" s="831" t="s">
        <v>10149</v>
      </c>
      <c r="AG9490" s="831" t="s">
        <v>520</v>
      </c>
      <c r="AH9490" s="831" t="s">
        <v>90</v>
      </c>
      <c r="AI9490" s="831">
        <v>0</v>
      </c>
      <c r="AJ9490" s="835">
        <v>42124</v>
      </c>
      <c r="AK9490" s="831">
        <v>585892570</v>
      </c>
    </row>
    <row r="9491" spans="2:37">
      <c r="B9491" s="834" t="str">
        <f t="shared" si="375"/>
        <v>|||</v>
      </c>
      <c r="H9491" s="835">
        <f t="shared" si="376"/>
        <v>31</v>
      </c>
      <c r="AF9491" s="831" t="s">
        <v>10150</v>
      </c>
      <c r="AG9491" s="831" t="s">
        <v>520</v>
      </c>
      <c r="AH9491" s="831" t="s">
        <v>117</v>
      </c>
      <c r="AI9491" s="831">
        <v>0</v>
      </c>
      <c r="AJ9491" s="835">
        <v>42124</v>
      </c>
      <c r="AK9491" s="831">
        <v>32006919</v>
      </c>
    </row>
    <row r="9492" spans="2:37">
      <c r="B9492" s="834" t="str">
        <f t="shared" si="375"/>
        <v>|||</v>
      </c>
      <c r="H9492" s="835">
        <f t="shared" si="376"/>
        <v>31</v>
      </c>
      <c r="AF9492" s="831" t="s">
        <v>10151</v>
      </c>
      <c r="AG9492" s="831" t="s">
        <v>520</v>
      </c>
      <c r="AH9492" s="831" t="s">
        <v>525</v>
      </c>
      <c r="AI9492" s="831">
        <v>0</v>
      </c>
      <c r="AJ9492" s="835">
        <v>42124</v>
      </c>
      <c r="AK9492" s="831">
        <v>0</v>
      </c>
    </row>
    <row r="9493" spans="2:37">
      <c r="B9493" s="834" t="str">
        <f t="shared" si="375"/>
        <v>|||</v>
      </c>
      <c r="H9493" s="835">
        <f t="shared" si="376"/>
        <v>31</v>
      </c>
      <c r="AF9493" s="831" t="s">
        <v>10152</v>
      </c>
      <c r="AG9493" s="831" t="s">
        <v>520</v>
      </c>
      <c r="AH9493" s="831" t="s">
        <v>522</v>
      </c>
      <c r="AI9493" s="831">
        <v>0</v>
      </c>
      <c r="AJ9493" s="835">
        <v>42124</v>
      </c>
      <c r="AK9493" s="831">
        <v>0</v>
      </c>
    </row>
    <row r="9494" spans="2:37">
      <c r="B9494" s="834" t="str">
        <f t="shared" si="375"/>
        <v>|||</v>
      </c>
      <c r="H9494" s="835">
        <f t="shared" si="376"/>
        <v>31</v>
      </c>
      <c r="AF9494" s="831" t="s">
        <v>10153</v>
      </c>
      <c r="AG9494" s="831" t="s">
        <v>520</v>
      </c>
      <c r="AH9494" s="831" t="s">
        <v>523</v>
      </c>
      <c r="AI9494" s="831">
        <v>0</v>
      </c>
      <c r="AJ9494" s="835">
        <v>42124</v>
      </c>
      <c r="AK9494" s="831">
        <v>15730500</v>
      </c>
    </row>
    <row r="9495" spans="2:37">
      <c r="B9495" s="834" t="str">
        <f t="shared" si="375"/>
        <v>|||</v>
      </c>
      <c r="H9495" s="835">
        <f t="shared" si="376"/>
        <v>31</v>
      </c>
      <c r="AF9495" s="831" t="s">
        <v>10154</v>
      </c>
      <c r="AG9495" s="831" t="s">
        <v>520</v>
      </c>
      <c r="AH9495" s="831" t="s">
        <v>524</v>
      </c>
      <c r="AI9495" s="831">
        <v>0</v>
      </c>
      <c r="AJ9495" s="835">
        <v>42124</v>
      </c>
      <c r="AK9495" s="831">
        <v>31461000</v>
      </c>
    </row>
    <row r="9496" spans="2:37">
      <c r="B9496" s="834" t="str">
        <f t="shared" si="375"/>
        <v>|||</v>
      </c>
      <c r="H9496" s="835">
        <f t="shared" si="376"/>
        <v>31</v>
      </c>
      <c r="AF9496" s="831" t="s">
        <v>10155</v>
      </c>
      <c r="AG9496" s="831" t="s">
        <v>520</v>
      </c>
      <c r="AH9496" s="831" t="s">
        <v>521</v>
      </c>
      <c r="AI9496" s="831">
        <v>0</v>
      </c>
      <c r="AJ9496" s="835">
        <v>42124</v>
      </c>
      <c r="AK9496" s="831">
        <v>0</v>
      </c>
    </row>
    <row r="9497" spans="2:37">
      <c r="B9497" s="834" t="str">
        <f t="shared" si="375"/>
        <v>|||</v>
      </c>
      <c r="H9497" s="835">
        <f t="shared" si="376"/>
        <v>31</v>
      </c>
      <c r="AF9497" s="831" t="s">
        <v>10156</v>
      </c>
      <c r="AG9497" s="831" t="s">
        <v>520</v>
      </c>
      <c r="AH9497" s="831" t="s">
        <v>660</v>
      </c>
      <c r="AI9497" s="831">
        <v>0</v>
      </c>
      <c r="AJ9497" s="835">
        <v>42124</v>
      </c>
      <c r="AK9497" s="831">
        <v>0</v>
      </c>
    </row>
    <row r="9498" spans="2:37">
      <c r="B9498" s="834" t="str">
        <f t="shared" si="375"/>
        <v>|||</v>
      </c>
      <c r="H9498" s="835">
        <f t="shared" si="376"/>
        <v>31</v>
      </c>
      <c r="AF9498" s="831" t="s">
        <v>10157</v>
      </c>
      <c r="AG9498" s="831" t="s">
        <v>520</v>
      </c>
      <c r="AH9498" s="831" t="s">
        <v>661</v>
      </c>
      <c r="AI9498" s="831">
        <v>0</v>
      </c>
      <c r="AJ9498" s="835">
        <v>42124</v>
      </c>
      <c r="AK9498" s="831">
        <v>0</v>
      </c>
    </row>
    <row r="9499" spans="2:37">
      <c r="B9499" s="834" t="str">
        <f t="shared" si="375"/>
        <v>|||</v>
      </c>
      <c r="H9499" s="835">
        <f t="shared" si="376"/>
        <v>31</v>
      </c>
      <c r="AF9499" s="831" t="s">
        <v>10158</v>
      </c>
      <c r="AG9499" s="831" t="s">
        <v>520</v>
      </c>
      <c r="AH9499" s="831" t="s">
        <v>662</v>
      </c>
      <c r="AI9499" s="831">
        <v>0</v>
      </c>
      <c r="AJ9499" s="835">
        <v>42124</v>
      </c>
      <c r="AK9499" s="831">
        <v>0</v>
      </c>
    </row>
    <row r="9500" spans="2:37">
      <c r="B9500" s="834" t="str">
        <f t="shared" si="375"/>
        <v>|||</v>
      </c>
      <c r="H9500" s="835">
        <f t="shared" si="376"/>
        <v>31</v>
      </c>
      <c r="AF9500" s="831" t="s">
        <v>10159</v>
      </c>
      <c r="AG9500" s="831" t="s">
        <v>131</v>
      </c>
      <c r="AH9500" s="831" t="s">
        <v>138</v>
      </c>
      <c r="AI9500" s="831">
        <v>0</v>
      </c>
      <c r="AJ9500" s="835">
        <v>42035</v>
      </c>
      <c r="AK9500" s="831">
        <v>15249445</v>
      </c>
    </row>
    <row r="9501" spans="2:37">
      <c r="B9501" s="834" t="str">
        <f t="shared" si="375"/>
        <v>|||</v>
      </c>
      <c r="H9501" s="835">
        <f t="shared" si="376"/>
        <v>31</v>
      </c>
      <c r="AF9501" s="831" t="s">
        <v>10160</v>
      </c>
      <c r="AG9501" s="831" t="s">
        <v>131</v>
      </c>
      <c r="AH9501" s="831" t="s">
        <v>141</v>
      </c>
      <c r="AI9501" s="831">
        <v>0</v>
      </c>
      <c r="AJ9501" s="835">
        <v>42035</v>
      </c>
      <c r="AK9501" s="831">
        <v>811517</v>
      </c>
    </row>
    <row r="9502" spans="2:37">
      <c r="B9502" s="834" t="str">
        <f t="shared" si="375"/>
        <v>|||</v>
      </c>
      <c r="H9502" s="835">
        <f t="shared" si="376"/>
        <v>31</v>
      </c>
      <c r="AF9502" s="831" t="s">
        <v>10161</v>
      </c>
      <c r="AG9502" s="831" t="s">
        <v>131</v>
      </c>
      <c r="AH9502" s="831" t="s">
        <v>146</v>
      </c>
      <c r="AI9502" s="831">
        <v>0</v>
      </c>
      <c r="AJ9502" s="835">
        <v>42035</v>
      </c>
      <c r="AK9502" s="831">
        <v>-2804230</v>
      </c>
    </row>
    <row r="9503" spans="2:37">
      <c r="B9503" s="834" t="str">
        <f t="shared" si="375"/>
        <v>|||</v>
      </c>
      <c r="H9503" s="835">
        <f t="shared" si="376"/>
        <v>31</v>
      </c>
      <c r="AF9503" s="831" t="s">
        <v>10162</v>
      </c>
      <c r="AG9503" s="831" t="s">
        <v>131</v>
      </c>
      <c r="AH9503" s="831" t="s">
        <v>150</v>
      </c>
      <c r="AI9503" s="831">
        <v>0</v>
      </c>
      <c r="AJ9503" s="835">
        <v>42035</v>
      </c>
      <c r="AK9503" s="831">
        <v>-2164500</v>
      </c>
    </row>
    <row r="9504" spans="2:37">
      <c r="B9504" s="834" t="str">
        <f t="shared" si="375"/>
        <v>|||</v>
      </c>
      <c r="H9504" s="835">
        <f t="shared" si="376"/>
        <v>31</v>
      </c>
      <c r="AF9504" s="831" t="s">
        <v>10163</v>
      </c>
      <c r="AG9504" s="831" t="s">
        <v>131</v>
      </c>
      <c r="AH9504" s="831" t="s">
        <v>77</v>
      </c>
      <c r="AI9504" s="831">
        <v>0</v>
      </c>
      <c r="AJ9504" s="835">
        <v>42035</v>
      </c>
      <c r="AK9504" s="831">
        <v>-625623</v>
      </c>
    </row>
    <row r="9505" spans="2:37">
      <c r="B9505" s="834" t="str">
        <f t="shared" si="375"/>
        <v>|||</v>
      </c>
      <c r="H9505" s="835">
        <f t="shared" si="376"/>
        <v>31</v>
      </c>
      <c r="AF9505" s="831" t="s">
        <v>10164</v>
      </c>
      <c r="AG9505" s="831" t="s">
        <v>131</v>
      </c>
      <c r="AH9505" s="831" t="s">
        <v>167</v>
      </c>
      <c r="AI9505" s="831">
        <v>0</v>
      </c>
      <c r="AJ9505" s="835">
        <v>42035</v>
      </c>
      <c r="AK9505" s="831">
        <v>0</v>
      </c>
    </row>
    <row r="9506" spans="2:37">
      <c r="B9506" s="834" t="str">
        <f t="shared" si="375"/>
        <v>|||</v>
      </c>
      <c r="H9506" s="835">
        <f t="shared" si="376"/>
        <v>31</v>
      </c>
      <c r="AF9506" s="831" t="s">
        <v>10165</v>
      </c>
      <c r="AG9506" s="831" t="s">
        <v>131</v>
      </c>
      <c r="AH9506" s="831" t="s">
        <v>169</v>
      </c>
      <c r="AI9506" s="831">
        <v>0</v>
      </c>
      <c r="AJ9506" s="835">
        <v>42035</v>
      </c>
      <c r="AK9506" s="831">
        <v>546345</v>
      </c>
    </row>
    <row r="9507" spans="2:37">
      <c r="B9507" s="834" t="str">
        <f t="shared" si="375"/>
        <v>|||</v>
      </c>
      <c r="H9507" s="835">
        <f t="shared" si="376"/>
        <v>31</v>
      </c>
      <c r="AF9507" s="831" t="s">
        <v>10166</v>
      </c>
      <c r="AG9507" s="831" t="s">
        <v>131</v>
      </c>
      <c r="AH9507" s="831" t="s">
        <v>172</v>
      </c>
      <c r="AI9507" s="831">
        <v>0</v>
      </c>
      <c r="AJ9507" s="835">
        <v>42035</v>
      </c>
      <c r="AK9507" s="831">
        <v>28908</v>
      </c>
    </row>
    <row r="9508" spans="2:37">
      <c r="B9508" s="834" t="str">
        <f t="shared" si="375"/>
        <v>|||</v>
      </c>
      <c r="H9508" s="835">
        <f t="shared" si="376"/>
        <v>31</v>
      </c>
      <c r="AF9508" s="831" t="s">
        <v>10167</v>
      </c>
      <c r="AG9508" s="831" t="s">
        <v>131</v>
      </c>
      <c r="AH9508" s="831" t="s">
        <v>175</v>
      </c>
      <c r="AI9508" s="831">
        <v>0</v>
      </c>
      <c r="AJ9508" s="835">
        <v>42035</v>
      </c>
      <c r="AK9508" s="831">
        <v>0</v>
      </c>
    </row>
    <row r="9509" spans="2:37">
      <c r="B9509" s="834" t="str">
        <f t="shared" si="375"/>
        <v>|||</v>
      </c>
      <c r="H9509" s="835">
        <f t="shared" si="376"/>
        <v>31</v>
      </c>
      <c r="AF9509" s="831" t="s">
        <v>10168</v>
      </c>
      <c r="AG9509" s="831" t="s">
        <v>131</v>
      </c>
      <c r="AH9509" s="831" t="s">
        <v>185</v>
      </c>
      <c r="AI9509" s="831">
        <v>0</v>
      </c>
      <c r="AJ9509" s="835">
        <v>42035</v>
      </c>
      <c r="AK9509" s="831">
        <v>-4344754</v>
      </c>
    </row>
    <row r="9510" spans="2:37">
      <c r="B9510" s="834" t="str">
        <f t="shared" si="375"/>
        <v>|||</v>
      </c>
      <c r="H9510" s="835">
        <f t="shared" si="376"/>
        <v>31</v>
      </c>
      <c r="AF9510" s="831" t="s">
        <v>10169</v>
      </c>
      <c r="AG9510" s="831" t="s">
        <v>131</v>
      </c>
      <c r="AH9510" s="831" t="s">
        <v>188</v>
      </c>
      <c r="AI9510" s="831">
        <v>0</v>
      </c>
      <c r="AJ9510" s="835">
        <v>42035</v>
      </c>
      <c r="AK9510" s="831">
        <v>-1776729</v>
      </c>
    </row>
    <row r="9511" spans="2:37">
      <c r="B9511" s="834" t="str">
        <f t="shared" si="375"/>
        <v>|||</v>
      </c>
      <c r="H9511" s="835">
        <f t="shared" si="376"/>
        <v>31</v>
      </c>
      <c r="AF9511" s="831" t="s">
        <v>10170</v>
      </c>
      <c r="AG9511" s="831" t="s">
        <v>131</v>
      </c>
      <c r="AH9511" s="831" t="s">
        <v>191</v>
      </c>
      <c r="AI9511" s="831">
        <v>0</v>
      </c>
      <c r="AJ9511" s="835">
        <v>42035</v>
      </c>
      <c r="AK9511" s="831">
        <v>-494952</v>
      </c>
    </row>
    <row r="9512" spans="2:37">
      <c r="B9512" s="834" t="str">
        <f t="shared" si="375"/>
        <v>|||</v>
      </c>
      <c r="H9512" s="835">
        <f t="shared" si="376"/>
        <v>31</v>
      </c>
      <c r="AF9512" s="831" t="s">
        <v>10171</v>
      </c>
      <c r="AG9512" s="831" t="s">
        <v>131</v>
      </c>
      <c r="AH9512" s="831" t="s">
        <v>198</v>
      </c>
      <c r="AI9512" s="831">
        <v>0</v>
      </c>
      <c r="AJ9512" s="835">
        <v>42035</v>
      </c>
      <c r="AK9512" s="831">
        <v>0</v>
      </c>
    </row>
    <row r="9513" spans="2:37">
      <c r="B9513" s="834" t="str">
        <f t="shared" si="375"/>
        <v>|||</v>
      </c>
      <c r="H9513" s="835">
        <f t="shared" si="376"/>
        <v>31</v>
      </c>
      <c r="AF9513" s="831" t="s">
        <v>10172</v>
      </c>
      <c r="AG9513" s="831" t="s">
        <v>131</v>
      </c>
      <c r="AH9513" s="831" t="s">
        <v>200</v>
      </c>
      <c r="AI9513" s="831">
        <v>0</v>
      </c>
      <c r="AJ9513" s="835">
        <v>42035</v>
      </c>
      <c r="AK9513" s="831">
        <v>0</v>
      </c>
    </row>
    <row r="9514" spans="2:37">
      <c r="B9514" s="834" t="str">
        <f t="shared" si="375"/>
        <v>|||</v>
      </c>
      <c r="H9514" s="835">
        <f t="shared" si="376"/>
        <v>31</v>
      </c>
      <c r="AF9514" s="831" t="s">
        <v>10173</v>
      </c>
      <c r="AG9514" s="831" t="s">
        <v>131</v>
      </c>
      <c r="AH9514" s="831" t="s">
        <v>205</v>
      </c>
      <c r="AI9514" s="831">
        <v>0</v>
      </c>
      <c r="AJ9514" s="835">
        <v>42035</v>
      </c>
      <c r="AK9514" s="831">
        <v>-973489</v>
      </c>
    </row>
    <row r="9515" spans="2:37">
      <c r="B9515" s="834" t="str">
        <f t="shared" si="375"/>
        <v>|||</v>
      </c>
      <c r="H9515" s="835">
        <f t="shared" si="376"/>
        <v>31</v>
      </c>
      <c r="AF9515" s="831" t="s">
        <v>10174</v>
      </c>
      <c r="AG9515" s="831" t="s">
        <v>131</v>
      </c>
      <c r="AH9515" s="831" t="s">
        <v>122</v>
      </c>
      <c r="AI9515" s="831">
        <v>0</v>
      </c>
      <c r="AJ9515" s="835">
        <v>42035</v>
      </c>
      <c r="AK9515" s="831">
        <v>0</v>
      </c>
    </row>
    <row r="9516" spans="2:37">
      <c r="B9516" s="834" t="str">
        <f t="shared" si="375"/>
        <v>|||</v>
      </c>
      <c r="H9516" s="835">
        <f t="shared" si="376"/>
        <v>31</v>
      </c>
      <c r="AF9516" s="831" t="s">
        <v>10175</v>
      </c>
      <c r="AG9516" s="831" t="s">
        <v>131</v>
      </c>
      <c r="AH9516" s="831" t="s">
        <v>213</v>
      </c>
      <c r="AI9516" s="831">
        <v>0</v>
      </c>
      <c r="AJ9516" s="835">
        <v>42035</v>
      </c>
      <c r="AK9516" s="831">
        <v>0</v>
      </c>
    </row>
    <row r="9517" spans="2:37">
      <c r="B9517" s="834" t="str">
        <f t="shared" si="375"/>
        <v>|||</v>
      </c>
      <c r="H9517" s="835">
        <f t="shared" si="376"/>
        <v>31</v>
      </c>
      <c r="AF9517" s="831" t="s">
        <v>10176</v>
      </c>
      <c r="AG9517" s="831" t="s">
        <v>131</v>
      </c>
      <c r="AH9517" s="831" t="s">
        <v>215</v>
      </c>
      <c r="AI9517" s="831">
        <v>0</v>
      </c>
      <c r="AJ9517" s="835">
        <v>42035</v>
      </c>
      <c r="AK9517" s="831">
        <v>0</v>
      </c>
    </row>
    <row r="9518" spans="2:37">
      <c r="B9518" s="834" t="str">
        <f t="shared" si="375"/>
        <v>|||</v>
      </c>
      <c r="H9518" s="835">
        <f t="shared" si="376"/>
        <v>31</v>
      </c>
      <c r="AF9518" s="831" t="s">
        <v>10177</v>
      </c>
      <c r="AG9518" s="831" t="s">
        <v>131</v>
      </c>
      <c r="AH9518" s="831" t="s">
        <v>217</v>
      </c>
      <c r="AI9518" s="831">
        <v>0</v>
      </c>
      <c r="AJ9518" s="835">
        <v>42035</v>
      </c>
      <c r="AK9518" s="831">
        <v>0</v>
      </c>
    </row>
    <row r="9519" spans="2:37">
      <c r="B9519" s="834" t="str">
        <f t="shared" si="375"/>
        <v>|||</v>
      </c>
      <c r="H9519" s="835">
        <f t="shared" si="376"/>
        <v>31</v>
      </c>
      <c r="AF9519" s="831" t="s">
        <v>10178</v>
      </c>
      <c r="AG9519" s="831" t="s">
        <v>131</v>
      </c>
      <c r="AH9519" s="831" t="s">
        <v>223</v>
      </c>
      <c r="AI9519" s="831">
        <v>0</v>
      </c>
      <c r="AJ9519" s="835">
        <v>42035</v>
      </c>
      <c r="AK9519" s="831">
        <v>0</v>
      </c>
    </row>
    <row r="9520" spans="2:37">
      <c r="B9520" s="834" t="str">
        <f t="shared" si="375"/>
        <v>|||</v>
      </c>
      <c r="H9520" s="835">
        <f t="shared" si="376"/>
        <v>31</v>
      </c>
      <c r="AF9520" s="831" t="s">
        <v>10179</v>
      </c>
      <c r="AG9520" s="831" t="s">
        <v>131</v>
      </c>
      <c r="AH9520" s="831" t="s">
        <v>224</v>
      </c>
      <c r="AI9520" s="831">
        <v>0</v>
      </c>
      <c r="AJ9520" s="835">
        <v>42035</v>
      </c>
      <c r="AK9520" s="831">
        <v>0</v>
      </c>
    </row>
    <row r="9521" spans="2:37">
      <c r="B9521" s="834" t="str">
        <f t="shared" si="375"/>
        <v>|||</v>
      </c>
      <c r="H9521" s="835">
        <f t="shared" si="376"/>
        <v>31</v>
      </c>
      <c r="AF9521" s="831" t="s">
        <v>10180</v>
      </c>
      <c r="AG9521" s="831" t="s">
        <v>131</v>
      </c>
      <c r="AH9521" s="831" t="s">
        <v>128</v>
      </c>
      <c r="AI9521" s="831">
        <v>0</v>
      </c>
      <c r="AJ9521" s="835">
        <v>42035</v>
      </c>
      <c r="AK9521" s="831">
        <v>11766000</v>
      </c>
    </row>
    <row r="9522" spans="2:37">
      <c r="B9522" s="834" t="str">
        <f t="shared" si="375"/>
        <v>|||</v>
      </c>
      <c r="H9522" s="835">
        <f t="shared" si="376"/>
        <v>31</v>
      </c>
      <c r="AF9522" s="831" t="s">
        <v>10181</v>
      </c>
      <c r="AG9522" s="831" t="s">
        <v>131</v>
      </c>
      <c r="AH9522" s="831" t="s">
        <v>3237</v>
      </c>
      <c r="AI9522" s="831">
        <v>0</v>
      </c>
      <c r="AJ9522" s="835">
        <v>42035</v>
      </c>
      <c r="AK9522" s="831">
        <v>0</v>
      </c>
    </row>
    <row r="9523" spans="2:37">
      <c r="B9523" s="834" t="str">
        <f t="shared" si="375"/>
        <v>|||</v>
      </c>
      <c r="H9523" s="835">
        <f t="shared" si="376"/>
        <v>31</v>
      </c>
      <c r="AF9523" s="831" t="s">
        <v>10182</v>
      </c>
      <c r="AG9523" s="831" t="s">
        <v>131</v>
      </c>
      <c r="AH9523" s="831" t="s">
        <v>3239</v>
      </c>
      <c r="AI9523" s="831">
        <v>0</v>
      </c>
      <c r="AJ9523" s="835">
        <v>42035</v>
      </c>
      <c r="AK9523" s="831">
        <v>0</v>
      </c>
    </row>
    <row r="9524" spans="2:37">
      <c r="B9524" s="834" t="str">
        <f t="shared" si="375"/>
        <v>|||</v>
      </c>
      <c r="H9524" s="835">
        <f t="shared" si="376"/>
        <v>31</v>
      </c>
      <c r="AF9524" s="831" t="s">
        <v>10183</v>
      </c>
      <c r="AG9524" s="831" t="s">
        <v>131</v>
      </c>
      <c r="AH9524" s="831" t="s">
        <v>138</v>
      </c>
      <c r="AI9524" s="831">
        <v>0</v>
      </c>
      <c r="AJ9524" s="835">
        <v>42063</v>
      </c>
      <c r="AK9524" s="831">
        <v>29059496</v>
      </c>
    </row>
    <row r="9525" spans="2:37">
      <c r="B9525" s="834" t="str">
        <f t="shared" si="375"/>
        <v>|||</v>
      </c>
      <c r="H9525" s="835">
        <f t="shared" si="376"/>
        <v>31</v>
      </c>
      <c r="AF9525" s="831" t="s">
        <v>10184</v>
      </c>
      <c r="AG9525" s="831" t="s">
        <v>131</v>
      </c>
      <c r="AH9525" s="831" t="s">
        <v>141</v>
      </c>
      <c r="AI9525" s="831">
        <v>0</v>
      </c>
      <c r="AJ9525" s="835">
        <v>42063</v>
      </c>
      <c r="AK9525" s="831">
        <v>1958245</v>
      </c>
    </row>
    <row r="9526" spans="2:37">
      <c r="B9526" s="834" t="str">
        <f t="shared" si="375"/>
        <v>|||</v>
      </c>
      <c r="H9526" s="835">
        <f t="shared" si="376"/>
        <v>31</v>
      </c>
      <c r="AF9526" s="831" t="s">
        <v>10185</v>
      </c>
      <c r="AG9526" s="831" t="s">
        <v>131</v>
      </c>
      <c r="AH9526" s="831" t="s">
        <v>146</v>
      </c>
      <c r="AI9526" s="831">
        <v>0</v>
      </c>
      <c r="AJ9526" s="835">
        <v>42063</v>
      </c>
      <c r="AK9526" s="831">
        <v>-5721917</v>
      </c>
    </row>
    <row r="9527" spans="2:37">
      <c r="B9527" s="834" t="str">
        <f t="shared" si="375"/>
        <v>|||</v>
      </c>
      <c r="H9527" s="835">
        <f t="shared" si="376"/>
        <v>31</v>
      </c>
      <c r="AF9527" s="831" t="s">
        <v>10186</v>
      </c>
      <c r="AG9527" s="831" t="s">
        <v>131</v>
      </c>
      <c r="AH9527" s="831" t="s">
        <v>150</v>
      </c>
      <c r="AI9527" s="831">
        <v>0</v>
      </c>
      <c r="AJ9527" s="835">
        <v>42063</v>
      </c>
      <c r="AK9527" s="831">
        <v>-3484687</v>
      </c>
    </row>
    <row r="9528" spans="2:37">
      <c r="B9528" s="834" t="str">
        <f t="shared" si="375"/>
        <v>|||</v>
      </c>
      <c r="H9528" s="835">
        <f t="shared" si="376"/>
        <v>31</v>
      </c>
      <c r="AF9528" s="831" t="s">
        <v>10187</v>
      </c>
      <c r="AG9528" s="831" t="s">
        <v>131</v>
      </c>
      <c r="AH9528" s="831" t="s">
        <v>77</v>
      </c>
      <c r="AI9528" s="831">
        <v>0</v>
      </c>
      <c r="AJ9528" s="835">
        <v>42063</v>
      </c>
      <c r="AK9528" s="831">
        <v>-4625623</v>
      </c>
    </row>
    <row r="9529" spans="2:37">
      <c r="B9529" s="834" t="str">
        <f t="shared" si="375"/>
        <v>|||</v>
      </c>
      <c r="H9529" s="835">
        <f t="shared" si="376"/>
        <v>31</v>
      </c>
      <c r="AF9529" s="831" t="s">
        <v>10188</v>
      </c>
      <c r="AG9529" s="831" t="s">
        <v>131</v>
      </c>
      <c r="AH9529" s="831" t="s">
        <v>167</v>
      </c>
      <c r="AI9529" s="831">
        <v>0</v>
      </c>
      <c r="AJ9529" s="835">
        <v>42063</v>
      </c>
      <c r="AK9529" s="831">
        <v>0</v>
      </c>
    </row>
    <row r="9530" spans="2:37">
      <c r="B9530" s="834" t="str">
        <f t="shared" si="375"/>
        <v>|||</v>
      </c>
      <c r="H9530" s="835">
        <f t="shared" si="376"/>
        <v>31</v>
      </c>
      <c r="AF9530" s="831" t="s">
        <v>10189</v>
      </c>
      <c r="AG9530" s="831" t="s">
        <v>131</v>
      </c>
      <c r="AH9530" s="831" t="s">
        <v>169</v>
      </c>
      <c r="AI9530" s="831">
        <v>0</v>
      </c>
      <c r="AJ9530" s="835">
        <v>42063</v>
      </c>
      <c r="AK9530" s="831">
        <v>2009844</v>
      </c>
    </row>
    <row r="9531" spans="2:37">
      <c r="B9531" s="834" t="str">
        <f t="shared" si="375"/>
        <v>|||</v>
      </c>
      <c r="H9531" s="835">
        <f t="shared" si="376"/>
        <v>31</v>
      </c>
      <c r="AF9531" s="831" t="s">
        <v>10190</v>
      </c>
      <c r="AG9531" s="831" t="s">
        <v>131</v>
      </c>
      <c r="AH9531" s="831" t="s">
        <v>172</v>
      </c>
      <c r="AI9531" s="831">
        <v>0</v>
      </c>
      <c r="AJ9531" s="835">
        <v>42063</v>
      </c>
      <c r="AK9531" s="831">
        <v>-5911598</v>
      </c>
    </row>
    <row r="9532" spans="2:37">
      <c r="B9532" s="834" t="str">
        <f t="shared" si="375"/>
        <v>|||</v>
      </c>
      <c r="H9532" s="835">
        <f t="shared" si="376"/>
        <v>31</v>
      </c>
      <c r="AF9532" s="831" t="s">
        <v>10191</v>
      </c>
      <c r="AG9532" s="831" t="s">
        <v>131</v>
      </c>
      <c r="AH9532" s="831" t="s">
        <v>175</v>
      </c>
      <c r="AI9532" s="831">
        <v>0</v>
      </c>
      <c r="AJ9532" s="835">
        <v>42063</v>
      </c>
      <c r="AK9532" s="831">
        <v>0</v>
      </c>
    </row>
    <row r="9533" spans="2:37">
      <c r="B9533" s="834" t="str">
        <f t="shared" si="375"/>
        <v>|||</v>
      </c>
      <c r="H9533" s="835">
        <f t="shared" si="376"/>
        <v>31</v>
      </c>
      <c r="AF9533" s="831" t="s">
        <v>10192</v>
      </c>
      <c r="AG9533" s="831" t="s">
        <v>131</v>
      </c>
      <c r="AH9533" s="831" t="s">
        <v>185</v>
      </c>
      <c r="AI9533" s="831">
        <v>0</v>
      </c>
      <c r="AJ9533" s="835">
        <v>42063</v>
      </c>
      <c r="AK9533" s="831">
        <v>-9638974</v>
      </c>
    </row>
    <row r="9534" spans="2:37">
      <c r="B9534" s="834" t="str">
        <f t="shared" si="375"/>
        <v>|||</v>
      </c>
      <c r="H9534" s="835">
        <f t="shared" si="376"/>
        <v>31</v>
      </c>
      <c r="AF9534" s="831" t="s">
        <v>10193</v>
      </c>
      <c r="AG9534" s="831" t="s">
        <v>131</v>
      </c>
      <c r="AH9534" s="831" t="s">
        <v>188</v>
      </c>
      <c r="AI9534" s="831">
        <v>0</v>
      </c>
      <c r="AJ9534" s="835">
        <v>42063</v>
      </c>
      <c r="AK9534" s="831">
        <v>-4535022</v>
      </c>
    </row>
    <row r="9535" spans="2:37">
      <c r="B9535" s="834" t="str">
        <f t="shared" si="375"/>
        <v>|||</v>
      </c>
      <c r="H9535" s="835">
        <f t="shared" si="376"/>
        <v>31</v>
      </c>
      <c r="AF9535" s="831" t="s">
        <v>10194</v>
      </c>
      <c r="AG9535" s="831" t="s">
        <v>131</v>
      </c>
      <c r="AH9535" s="831" t="s">
        <v>191</v>
      </c>
      <c r="AI9535" s="831">
        <v>0</v>
      </c>
      <c r="AJ9535" s="835">
        <v>42063</v>
      </c>
      <c r="AK9535" s="831">
        <v>-1017520</v>
      </c>
    </row>
    <row r="9536" spans="2:37">
      <c r="B9536" s="834" t="str">
        <f t="shared" si="375"/>
        <v>|||</v>
      </c>
      <c r="H9536" s="835">
        <f t="shared" si="376"/>
        <v>31</v>
      </c>
      <c r="AF9536" s="831" t="s">
        <v>10195</v>
      </c>
      <c r="AG9536" s="831" t="s">
        <v>131</v>
      </c>
      <c r="AH9536" s="831" t="s">
        <v>198</v>
      </c>
      <c r="AI9536" s="831">
        <v>0</v>
      </c>
      <c r="AJ9536" s="835">
        <v>42063</v>
      </c>
      <c r="AK9536" s="831">
        <v>0</v>
      </c>
    </row>
    <row r="9537" spans="2:37">
      <c r="B9537" s="834" t="str">
        <f t="shared" si="375"/>
        <v>|||</v>
      </c>
      <c r="H9537" s="835">
        <f t="shared" si="376"/>
        <v>31</v>
      </c>
      <c r="AF9537" s="831" t="s">
        <v>10196</v>
      </c>
      <c r="AG9537" s="831" t="s">
        <v>131</v>
      </c>
      <c r="AH9537" s="831" t="s">
        <v>200</v>
      </c>
      <c r="AI9537" s="831">
        <v>0</v>
      </c>
      <c r="AJ9537" s="835">
        <v>42063</v>
      </c>
      <c r="AK9537" s="831">
        <v>0</v>
      </c>
    </row>
    <row r="9538" spans="2:37">
      <c r="B9538" s="834" t="str">
        <f t="shared" si="375"/>
        <v>|||</v>
      </c>
      <c r="H9538" s="835">
        <f t="shared" si="376"/>
        <v>31</v>
      </c>
      <c r="AF9538" s="831" t="s">
        <v>10197</v>
      </c>
      <c r="AG9538" s="831" t="s">
        <v>131</v>
      </c>
      <c r="AH9538" s="831" t="s">
        <v>205</v>
      </c>
      <c r="AI9538" s="831">
        <v>0</v>
      </c>
      <c r="AJ9538" s="835">
        <v>42063</v>
      </c>
      <c r="AK9538" s="831">
        <v>0</v>
      </c>
    </row>
    <row r="9539" spans="2:37">
      <c r="B9539" s="834" t="str">
        <f t="shared" ref="B9539:B9602" si="377">C9539&amp;"|"&amp;D9539&amp;"|"&amp;E9539&amp;"|"&amp;F9539</f>
        <v>|||</v>
      </c>
      <c r="H9539" s="835">
        <f t="shared" si="376"/>
        <v>31</v>
      </c>
      <c r="AF9539" s="831" t="s">
        <v>10198</v>
      </c>
      <c r="AG9539" s="831" t="s">
        <v>131</v>
      </c>
      <c r="AH9539" s="831" t="s">
        <v>122</v>
      </c>
      <c r="AI9539" s="831">
        <v>0</v>
      </c>
      <c r="AJ9539" s="835">
        <v>42063</v>
      </c>
      <c r="AK9539" s="831">
        <v>0</v>
      </c>
    </row>
    <row r="9540" spans="2:37">
      <c r="B9540" s="834" t="str">
        <f t="shared" si="377"/>
        <v>|||</v>
      </c>
      <c r="H9540" s="835">
        <f t="shared" ref="H9540:H9603" si="378">EOMONTH(L9540,0)</f>
        <v>31</v>
      </c>
      <c r="AF9540" s="831" t="s">
        <v>10199</v>
      </c>
      <c r="AG9540" s="831" t="s">
        <v>131</v>
      </c>
      <c r="AH9540" s="831" t="s">
        <v>213</v>
      </c>
      <c r="AI9540" s="831">
        <v>0</v>
      </c>
      <c r="AJ9540" s="835">
        <v>42063</v>
      </c>
      <c r="AK9540" s="831">
        <v>0</v>
      </c>
    </row>
    <row r="9541" spans="2:37">
      <c r="B9541" s="834" t="str">
        <f t="shared" si="377"/>
        <v>|||</v>
      </c>
      <c r="H9541" s="835">
        <f t="shared" si="378"/>
        <v>31</v>
      </c>
      <c r="AF9541" s="831" t="s">
        <v>10200</v>
      </c>
      <c r="AG9541" s="831" t="s">
        <v>131</v>
      </c>
      <c r="AH9541" s="831" t="s">
        <v>215</v>
      </c>
      <c r="AI9541" s="831">
        <v>0</v>
      </c>
      <c r="AJ9541" s="835">
        <v>42063</v>
      </c>
      <c r="AK9541" s="831">
        <v>0</v>
      </c>
    </row>
    <row r="9542" spans="2:37">
      <c r="B9542" s="834" t="str">
        <f t="shared" si="377"/>
        <v>|||</v>
      </c>
      <c r="H9542" s="835">
        <f t="shared" si="378"/>
        <v>31</v>
      </c>
      <c r="AF9542" s="831" t="s">
        <v>10201</v>
      </c>
      <c r="AG9542" s="831" t="s">
        <v>131</v>
      </c>
      <c r="AH9542" s="831" t="s">
        <v>217</v>
      </c>
      <c r="AI9542" s="831">
        <v>0</v>
      </c>
      <c r="AJ9542" s="835">
        <v>42063</v>
      </c>
      <c r="AK9542" s="831">
        <v>0</v>
      </c>
    </row>
    <row r="9543" spans="2:37">
      <c r="B9543" s="834" t="str">
        <f t="shared" si="377"/>
        <v>|||</v>
      </c>
      <c r="H9543" s="835">
        <f t="shared" si="378"/>
        <v>31</v>
      </c>
      <c r="AF9543" s="831" t="s">
        <v>10202</v>
      </c>
      <c r="AG9543" s="831" t="s">
        <v>131</v>
      </c>
      <c r="AH9543" s="831" t="s">
        <v>223</v>
      </c>
      <c r="AI9543" s="831">
        <v>0</v>
      </c>
      <c r="AJ9543" s="835">
        <v>42063</v>
      </c>
      <c r="AK9543" s="831">
        <v>0</v>
      </c>
    </row>
    <row r="9544" spans="2:37">
      <c r="B9544" s="834" t="str">
        <f t="shared" si="377"/>
        <v>|||</v>
      </c>
      <c r="H9544" s="835">
        <f t="shared" si="378"/>
        <v>31</v>
      </c>
      <c r="AF9544" s="831" t="s">
        <v>10203</v>
      </c>
      <c r="AG9544" s="831" t="s">
        <v>131</v>
      </c>
      <c r="AH9544" s="831" t="s">
        <v>224</v>
      </c>
      <c r="AI9544" s="831">
        <v>0</v>
      </c>
      <c r="AJ9544" s="835">
        <v>42063</v>
      </c>
      <c r="AK9544" s="831">
        <v>0</v>
      </c>
    </row>
    <row r="9545" spans="2:37">
      <c r="B9545" s="834" t="str">
        <f t="shared" si="377"/>
        <v>|||</v>
      </c>
      <c r="H9545" s="835">
        <f t="shared" si="378"/>
        <v>31</v>
      </c>
      <c r="AF9545" s="831" t="s">
        <v>10204</v>
      </c>
      <c r="AG9545" s="831" t="s">
        <v>131</v>
      </c>
      <c r="AH9545" s="831" t="s">
        <v>128</v>
      </c>
      <c r="AI9545" s="831">
        <v>0</v>
      </c>
      <c r="AJ9545" s="835">
        <v>42063</v>
      </c>
      <c r="AK9545" s="831">
        <v>0</v>
      </c>
    </row>
    <row r="9546" spans="2:37">
      <c r="B9546" s="834" t="str">
        <f t="shared" si="377"/>
        <v>|||</v>
      </c>
      <c r="H9546" s="835">
        <f t="shared" si="378"/>
        <v>31</v>
      </c>
      <c r="AF9546" s="831" t="s">
        <v>10205</v>
      </c>
      <c r="AG9546" s="831" t="s">
        <v>131</v>
      </c>
      <c r="AH9546" s="831" t="s">
        <v>3237</v>
      </c>
      <c r="AI9546" s="831">
        <v>0</v>
      </c>
      <c r="AJ9546" s="835">
        <v>42063</v>
      </c>
      <c r="AK9546" s="831">
        <v>0</v>
      </c>
    </row>
    <row r="9547" spans="2:37">
      <c r="B9547" s="834" t="str">
        <f t="shared" si="377"/>
        <v>|||</v>
      </c>
      <c r="H9547" s="835">
        <f t="shared" si="378"/>
        <v>31</v>
      </c>
      <c r="AF9547" s="831" t="s">
        <v>10206</v>
      </c>
      <c r="AG9547" s="831" t="s">
        <v>131</v>
      </c>
      <c r="AH9547" s="831" t="s">
        <v>3239</v>
      </c>
      <c r="AI9547" s="831">
        <v>0</v>
      </c>
      <c r="AJ9547" s="835">
        <v>42063</v>
      </c>
      <c r="AK9547" s="831">
        <v>0</v>
      </c>
    </row>
    <row r="9548" spans="2:37">
      <c r="B9548" s="834" t="str">
        <f t="shared" si="377"/>
        <v>|||</v>
      </c>
      <c r="H9548" s="835">
        <f t="shared" si="378"/>
        <v>31</v>
      </c>
      <c r="AF9548" s="831" t="s">
        <v>10207</v>
      </c>
      <c r="AG9548" s="831" t="s">
        <v>131</v>
      </c>
      <c r="AH9548" s="831" t="s">
        <v>138</v>
      </c>
      <c r="AI9548" s="831">
        <v>0</v>
      </c>
      <c r="AJ9548" s="835">
        <v>42094</v>
      </c>
      <c r="AK9548" s="831">
        <v>46056640</v>
      </c>
    </row>
    <row r="9549" spans="2:37">
      <c r="B9549" s="834" t="str">
        <f t="shared" si="377"/>
        <v>|||</v>
      </c>
      <c r="H9549" s="835">
        <f t="shared" si="378"/>
        <v>31</v>
      </c>
      <c r="AF9549" s="831" t="s">
        <v>10208</v>
      </c>
      <c r="AG9549" s="831" t="s">
        <v>131</v>
      </c>
      <c r="AH9549" s="831" t="s">
        <v>141</v>
      </c>
      <c r="AI9549" s="831">
        <v>0</v>
      </c>
      <c r="AJ9549" s="835">
        <v>42094</v>
      </c>
      <c r="AK9549" s="831">
        <v>2458858</v>
      </c>
    </row>
    <row r="9550" spans="2:37">
      <c r="B9550" s="834" t="str">
        <f t="shared" si="377"/>
        <v>|||</v>
      </c>
      <c r="H9550" s="835">
        <f t="shared" si="378"/>
        <v>31</v>
      </c>
      <c r="AF9550" s="831" t="s">
        <v>10209</v>
      </c>
      <c r="AG9550" s="831" t="s">
        <v>131</v>
      </c>
      <c r="AH9550" s="831" t="s">
        <v>146</v>
      </c>
      <c r="AI9550" s="831">
        <v>0</v>
      </c>
      <c r="AJ9550" s="835">
        <v>42094</v>
      </c>
      <c r="AK9550" s="831">
        <v>-9020841</v>
      </c>
    </row>
    <row r="9551" spans="2:37">
      <c r="B9551" s="834" t="str">
        <f t="shared" si="377"/>
        <v>|||</v>
      </c>
      <c r="H9551" s="835">
        <f t="shared" si="378"/>
        <v>31</v>
      </c>
      <c r="AF9551" s="831" t="s">
        <v>10210</v>
      </c>
      <c r="AG9551" s="831" t="s">
        <v>131</v>
      </c>
      <c r="AH9551" s="831" t="s">
        <v>150</v>
      </c>
      <c r="AI9551" s="831">
        <v>0</v>
      </c>
      <c r="AJ9551" s="835">
        <v>42094</v>
      </c>
      <c r="AK9551" s="831">
        <v>-5629103</v>
      </c>
    </row>
    <row r="9552" spans="2:37">
      <c r="B9552" s="834" t="str">
        <f t="shared" si="377"/>
        <v>|||</v>
      </c>
      <c r="H9552" s="835">
        <f t="shared" si="378"/>
        <v>31</v>
      </c>
      <c r="AF9552" s="831" t="s">
        <v>10211</v>
      </c>
      <c r="AG9552" s="831" t="s">
        <v>131</v>
      </c>
      <c r="AH9552" s="831" t="s">
        <v>77</v>
      </c>
      <c r="AI9552" s="831">
        <v>0</v>
      </c>
      <c r="AJ9552" s="835">
        <v>42094</v>
      </c>
      <c r="AK9552" s="831">
        <v>-6192608</v>
      </c>
    </row>
    <row r="9553" spans="2:37">
      <c r="B9553" s="834" t="str">
        <f t="shared" si="377"/>
        <v>|||</v>
      </c>
      <c r="H9553" s="835">
        <f t="shared" si="378"/>
        <v>31</v>
      </c>
      <c r="AF9553" s="831" t="s">
        <v>10212</v>
      </c>
      <c r="AG9553" s="831" t="s">
        <v>131</v>
      </c>
      <c r="AH9553" s="831" t="s">
        <v>167</v>
      </c>
      <c r="AI9553" s="831">
        <v>0</v>
      </c>
      <c r="AJ9553" s="835">
        <v>42094</v>
      </c>
      <c r="AK9553" s="831">
        <v>0</v>
      </c>
    </row>
    <row r="9554" spans="2:37">
      <c r="B9554" s="834" t="str">
        <f t="shared" si="377"/>
        <v>|||</v>
      </c>
      <c r="H9554" s="835">
        <f t="shared" si="378"/>
        <v>31</v>
      </c>
      <c r="AF9554" s="831" t="s">
        <v>10213</v>
      </c>
      <c r="AG9554" s="831" t="s">
        <v>131</v>
      </c>
      <c r="AH9554" s="831" t="s">
        <v>169</v>
      </c>
      <c r="AI9554" s="831">
        <v>0</v>
      </c>
      <c r="AJ9554" s="835">
        <v>42094</v>
      </c>
      <c r="AK9554" s="831">
        <v>2680836</v>
      </c>
    </row>
    <row r="9555" spans="2:37">
      <c r="B9555" s="834" t="str">
        <f t="shared" si="377"/>
        <v>|||</v>
      </c>
      <c r="H9555" s="835">
        <f t="shared" si="378"/>
        <v>31</v>
      </c>
      <c r="AF9555" s="831" t="s">
        <v>10214</v>
      </c>
      <c r="AG9555" s="831" t="s">
        <v>131</v>
      </c>
      <c r="AH9555" s="831" t="s">
        <v>172</v>
      </c>
      <c r="AI9555" s="831">
        <v>0</v>
      </c>
      <c r="AJ9555" s="835">
        <v>42094</v>
      </c>
      <c r="AK9555" s="831">
        <v>-6495446</v>
      </c>
    </row>
    <row r="9556" spans="2:37">
      <c r="B9556" s="834" t="str">
        <f t="shared" si="377"/>
        <v>|||</v>
      </c>
      <c r="H9556" s="835">
        <f t="shared" si="378"/>
        <v>31</v>
      </c>
      <c r="AF9556" s="831" t="s">
        <v>10215</v>
      </c>
      <c r="AG9556" s="831" t="s">
        <v>131</v>
      </c>
      <c r="AH9556" s="831" t="s">
        <v>175</v>
      </c>
      <c r="AI9556" s="831">
        <v>0</v>
      </c>
      <c r="AJ9556" s="835">
        <v>42094</v>
      </c>
      <c r="AK9556" s="831">
        <v>0</v>
      </c>
    </row>
    <row r="9557" spans="2:37">
      <c r="B9557" s="834" t="str">
        <f t="shared" si="377"/>
        <v>|||</v>
      </c>
      <c r="H9557" s="835">
        <f t="shared" si="378"/>
        <v>31</v>
      </c>
      <c r="AF9557" s="831" t="s">
        <v>10216</v>
      </c>
      <c r="AG9557" s="831" t="s">
        <v>131</v>
      </c>
      <c r="AH9557" s="831" t="s">
        <v>185</v>
      </c>
      <c r="AI9557" s="831">
        <v>0</v>
      </c>
      <c r="AJ9557" s="835">
        <v>42094</v>
      </c>
      <c r="AK9557" s="831">
        <v>-13096902</v>
      </c>
    </row>
    <row r="9558" spans="2:37">
      <c r="B9558" s="834" t="str">
        <f t="shared" si="377"/>
        <v>|||</v>
      </c>
      <c r="H9558" s="835">
        <f t="shared" si="378"/>
        <v>31</v>
      </c>
      <c r="AF9558" s="831" t="s">
        <v>10217</v>
      </c>
      <c r="AG9558" s="831" t="s">
        <v>131</v>
      </c>
      <c r="AH9558" s="831" t="s">
        <v>188</v>
      </c>
      <c r="AI9558" s="831">
        <v>0</v>
      </c>
      <c r="AJ9558" s="835">
        <v>42094</v>
      </c>
      <c r="AK9558" s="831">
        <v>-6650971</v>
      </c>
    </row>
    <row r="9559" spans="2:37">
      <c r="B9559" s="834" t="str">
        <f t="shared" si="377"/>
        <v>|||</v>
      </c>
      <c r="H9559" s="835">
        <f t="shared" si="378"/>
        <v>31</v>
      </c>
      <c r="AF9559" s="831" t="s">
        <v>10218</v>
      </c>
      <c r="AG9559" s="831" t="s">
        <v>131</v>
      </c>
      <c r="AH9559" s="831" t="s">
        <v>191</v>
      </c>
      <c r="AI9559" s="831">
        <v>0</v>
      </c>
      <c r="AJ9559" s="835">
        <v>42094</v>
      </c>
      <c r="AK9559" s="831">
        <v>-1521614</v>
      </c>
    </row>
    <row r="9560" spans="2:37">
      <c r="B9560" s="834" t="str">
        <f t="shared" si="377"/>
        <v>|||</v>
      </c>
      <c r="H9560" s="835">
        <f t="shared" si="378"/>
        <v>31</v>
      </c>
      <c r="AF9560" s="831" t="s">
        <v>10219</v>
      </c>
      <c r="AG9560" s="831" t="s">
        <v>131</v>
      </c>
      <c r="AH9560" s="831" t="s">
        <v>198</v>
      </c>
      <c r="AI9560" s="831">
        <v>0</v>
      </c>
      <c r="AJ9560" s="835">
        <v>42094</v>
      </c>
      <c r="AK9560" s="831">
        <v>0</v>
      </c>
    </row>
    <row r="9561" spans="2:37">
      <c r="B9561" s="834" t="str">
        <f t="shared" si="377"/>
        <v>|||</v>
      </c>
      <c r="H9561" s="835">
        <f t="shared" si="378"/>
        <v>31</v>
      </c>
      <c r="AF9561" s="831" t="s">
        <v>10220</v>
      </c>
      <c r="AG9561" s="831" t="s">
        <v>131</v>
      </c>
      <c r="AH9561" s="831" t="s">
        <v>200</v>
      </c>
      <c r="AI9561" s="831">
        <v>0</v>
      </c>
      <c r="AJ9561" s="835">
        <v>42094</v>
      </c>
      <c r="AK9561" s="831">
        <v>0</v>
      </c>
    </row>
    <row r="9562" spans="2:37">
      <c r="B9562" s="834" t="str">
        <f t="shared" si="377"/>
        <v>|||</v>
      </c>
      <c r="H9562" s="835">
        <f t="shared" si="378"/>
        <v>31</v>
      </c>
      <c r="AF9562" s="831" t="s">
        <v>10221</v>
      </c>
      <c r="AG9562" s="831" t="s">
        <v>131</v>
      </c>
      <c r="AH9562" s="831" t="s">
        <v>205</v>
      </c>
      <c r="AI9562" s="831">
        <v>0</v>
      </c>
      <c r="AJ9562" s="835">
        <v>42094</v>
      </c>
      <c r="AK9562" s="831">
        <v>-190000</v>
      </c>
    </row>
    <row r="9563" spans="2:37">
      <c r="B9563" s="834" t="str">
        <f t="shared" si="377"/>
        <v>|||</v>
      </c>
      <c r="H9563" s="835">
        <f t="shared" si="378"/>
        <v>31</v>
      </c>
      <c r="AF9563" s="831" t="s">
        <v>10222</v>
      </c>
      <c r="AG9563" s="831" t="s">
        <v>131</v>
      </c>
      <c r="AH9563" s="831" t="s">
        <v>122</v>
      </c>
      <c r="AI9563" s="831">
        <v>0</v>
      </c>
      <c r="AJ9563" s="835">
        <v>42094</v>
      </c>
      <c r="AK9563" s="831">
        <v>0</v>
      </c>
    </row>
    <row r="9564" spans="2:37">
      <c r="B9564" s="834" t="str">
        <f t="shared" si="377"/>
        <v>|||</v>
      </c>
      <c r="H9564" s="835">
        <f t="shared" si="378"/>
        <v>31</v>
      </c>
      <c r="AF9564" s="831" t="s">
        <v>10223</v>
      </c>
      <c r="AG9564" s="831" t="s">
        <v>131</v>
      </c>
      <c r="AH9564" s="831" t="s">
        <v>213</v>
      </c>
      <c r="AI9564" s="831">
        <v>0</v>
      </c>
      <c r="AJ9564" s="835">
        <v>42094</v>
      </c>
      <c r="AK9564" s="831">
        <v>0</v>
      </c>
    </row>
    <row r="9565" spans="2:37">
      <c r="B9565" s="834" t="str">
        <f t="shared" si="377"/>
        <v>|||</v>
      </c>
      <c r="H9565" s="835">
        <f t="shared" si="378"/>
        <v>31</v>
      </c>
      <c r="AF9565" s="831" t="s">
        <v>10224</v>
      </c>
      <c r="AG9565" s="831" t="s">
        <v>131</v>
      </c>
      <c r="AH9565" s="831" t="s">
        <v>215</v>
      </c>
      <c r="AI9565" s="831">
        <v>0</v>
      </c>
      <c r="AJ9565" s="835">
        <v>42094</v>
      </c>
      <c r="AK9565" s="831">
        <v>0</v>
      </c>
    </row>
    <row r="9566" spans="2:37">
      <c r="B9566" s="834" t="str">
        <f t="shared" si="377"/>
        <v>|||</v>
      </c>
      <c r="H9566" s="835">
        <f t="shared" si="378"/>
        <v>31</v>
      </c>
      <c r="AF9566" s="831" t="s">
        <v>10225</v>
      </c>
      <c r="AG9566" s="831" t="s">
        <v>131</v>
      </c>
      <c r="AH9566" s="831" t="s">
        <v>217</v>
      </c>
      <c r="AI9566" s="831">
        <v>0</v>
      </c>
      <c r="AJ9566" s="835">
        <v>42094</v>
      </c>
      <c r="AK9566" s="831">
        <v>0</v>
      </c>
    </row>
    <row r="9567" spans="2:37">
      <c r="B9567" s="834" t="str">
        <f t="shared" si="377"/>
        <v>|||</v>
      </c>
      <c r="H9567" s="835">
        <f t="shared" si="378"/>
        <v>31</v>
      </c>
      <c r="AF9567" s="831" t="s">
        <v>10226</v>
      </c>
      <c r="AG9567" s="831" t="s">
        <v>131</v>
      </c>
      <c r="AH9567" s="831" t="s">
        <v>223</v>
      </c>
      <c r="AI9567" s="831">
        <v>0</v>
      </c>
      <c r="AJ9567" s="835">
        <v>42094</v>
      </c>
      <c r="AK9567" s="831">
        <v>0</v>
      </c>
    </row>
    <row r="9568" spans="2:37">
      <c r="B9568" s="834" t="str">
        <f t="shared" si="377"/>
        <v>|||</v>
      </c>
      <c r="H9568" s="835">
        <f t="shared" si="378"/>
        <v>31</v>
      </c>
      <c r="AF9568" s="831" t="s">
        <v>10227</v>
      </c>
      <c r="AG9568" s="831" t="s">
        <v>131</v>
      </c>
      <c r="AH9568" s="831" t="s">
        <v>224</v>
      </c>
      <c r="AI9568" s="831">
        <v>0</v>
      </c>
      <c r="AJ9568" s="835">
        <v>42094</v>
      </c>
      <c r="AK9568" s="831">
        <v>0</v>
      </c>
    </row>
    <row r="9569" spans="2:37">
      <c r="B9569" s="834" t="str">
        <f t="shared" si="377"/>
        <v>|||</v>
      </c>
      <c r="H9569" s="835">
        <f t="shared" si="378"/>
        <v>31</v>
      </c>
      <c r="AF9569" s="831" t="s">
        <v>10228</v>
      </c>
      <c r="AG9569" s="831" t="s">
        <v>131</v>
      </c>
      <c r="AH9569" s="831" t="s">
        <v>128</v>
      </c>
      <c r="AI9569" s="831">
        <v>0</v>
      </c>
      <c r="AJ9569" s="835">
        <v>42094</v>
      </c>
      <c r="AK9569" s="831">
        <v>0</v>
      </c>
    </row>
    <row r="9570" spans="2:37">
      <c r="B9570" s="834" t="str">
        <f t="shared" si="377"/>
        <v>|||</v>
      </c>
      <c r="H9570" s="835">
        <f t="shared" si="378"/>
        <v>31</v>
      </c>
      <c r="AF9570" s="831" t="s">
        <v>10229</v>
      </c>
      <c r="AG9570" s="831" t="s">
        <v>131</v>
      </c>
      <c r="AH9570" s="831" t="s">
        <v>3237</v>
      </c>
      <c r="AI9570" s="831">
        <v>0</v>
      </c>
      <c r="AJ9570" s="835">
        <v>42094</v>
      </c>
      <c r="AK9570" s="831">
        <v>0</v>
      </c>
    </row>
    <row r="9571" spans="2:37">
      <c r="B9571" s="834" t="str">
        <f t="shared" si="377"/>
        <v>|||</v>
      </c>
      <c r="H9571" s="835">
        <f t="shared" si="378"/>
        <v>31</v>
      </c>
      <c r="AF9571" s="831" t="s">
        <v>10230</v>
      </c>
      <c r="AG9571" s="831" t="s">
        <v>131</v>
      </c>
      <c r="AH9571" s="831" t="s">
        <v>3239</v>
      </c>
      <c r="AI9571" s="831">
        <v>0</v>
      </c>
      <c r="AJ9571" s="835">
        <v>42094</v>
      </c>
      <c r="AK9571" s="831">
        <v>0</v>
      </c>
    </row>
    <row r="9572" spans="2:37">
      <c r="B9572" s="834" t="str">
        <f t="shared" si="377"/>
        <v>|||</v>
      </c>
      <c r="H9572" s="835">
        <f t="shared" si="378"/>
        <v>31</v>
      </c>
      <c r="AF9572" s="831" t="s">
        <v>10231</v>
      </c>
      <c r="AG9572" s="831" t="s">
        <v>131</v>
      </c>
      <c r="AH9572" s="831" t="s">
        <v>138</v>
      </c>
      <c r="AI9572" s="831">
        <v>0</v>
      </c>
      <c r="AJ9572" s="835">
        <v>42124</v>
      </c>
      <c r="AK9572" s="831">
        <v>61730888</v>
      </c>
    </row>
    <row r="9573" spans="2:37">
      <c r="B9573" s="834" t="str">
        <f t="shared" si="377"/>
        <v>|||</v>
      </c>
      <c r="H9573" s="835">
        <f t="shared" si="378"/>
        <v>31</v>
      </c>
      <c r="AF9573" s="831" t="s">
        <v>10232</v>
      </c>
      <c r="AG9573" s="831" t="s">
        <v>131</v>
      </c>
      <c r="AH9573" s="831" t="s">
        <v>141</v>
      </c>
      <c r="AI9573" s="831">
        <v>0</v>
      </c>
      <c r="AJ9573" s="835">
        <v>42124</v>
      </c>
      <c r="AK9573" s="831">
        <v>2910041</v>
      </c>
    </row>
    <row r="9574" spans="2:37">
      <c r="B9574" s="834" t="str">
        <f t="shared" si="377"/>
        <v>|||</v>
      </c>
      <c r="H9574" s="835">
        <f t="shared" si="378"/>
        <v>31</v>
      </c>
      <c r="AF9574" s="831" t="s">
        <v>10233</v>
      </c>
      <c r="AG9574" s="831" t="s">
        <v>131</v>
      </c>
      <c r="AH9574" s="831" t="s">
        <v>146</v>
      </c>
      <c r="AI9574" s="831">
        <v>0</v>
      </c>
      <c r="AJ9574" s="835">
        <v>42124</v>
      </c>
      <c r="AK9574" s="831">
        <v>-12207218</v>
      </c>
    </row>
    <row r="9575" spans="2:37">
      <c r="B9575" s="834" t="str">
        <f t="shared" si="377"/>
        <v>|||</v>
      </c>
      <c r="H9575" s="835">
        <f t="shared" si="378"/>
        <v>31</v>
      </c>
      <c r="AF9575" s="831" t="s">
        <v>10234</v>
      </c>
      <c r="AG9575" s="831" t="s">
        <v>131</v>
      </c>
      <c r="AH9575" s="831" t="s">
        <v>150</v>
      </c>
      <c r="AI9575" s="831">
        <v>0</v>
      </c>
      <c r="AJ9575" s="835">
        <v>42124</v>
      </c>
      <c r="AK9575" s="831">
        <v>-7414151</v>
      </c>
    </row>
    <row r="9576" spans="2:37">
      <c r="B9576" s="834" t="str">
        <f t="shared" si="377"/>
        <v>|||</v>
      </c>
      <c r="H9576" s="835">
        <f t="shared" si="378"/>
        <v>31</v>
      </c>
      <c r="AF9576" s="831" t="s">
        <v>10235</v>
      </c>
      <c r="AG9576" s="831" t="s">
        <v>131</v>
      </c>
      <c r="AH9576" s="831" t="s">
        <v>77</v>
      </c>
      <c r="AI9576" s="831">
        <v>0</v>
      </c>
      <c r="AJ9576" s="835">
        <v>42124</v>
      </c>
      <c r="AK9576" s="831">
        <v>-8786866</v>
      </c>
    </row>
    <row r="9577" spans="2:37">
      <c r="B9577" s="834" t="str">
        <f t="shared" si="377"/>
        <v>|||</v>
      </c>
      <c r="H9577" s="835">
        <f t="shared" si="378"/>
        <v>31</v>
      </c>
      <c r="AF9577" s="831" t="s">
        <v>10236</v>
      </c>
      <c r="AG9577" s="831" t="s">
        <v>131</v>
      </c>
      <c r="AH9577" s="831" t="s">
        <v>167</v>
      </c>
      <c r="AI9577" s="831">
        <v>0</v>
      </c>
      <c r="AJ9577" s="835">
        <v>42124</v>
      </c>
      <c r="AK9577" s="831">
        <v>0</v>
      </c>
    </row>
    <row r="9578" spans="2:37">
      <c r="B9578" s="834" t="str">
        <f t="shared" si="377"/>
        <v>|||</v>
      </c>
      <c r="H9578" s="835">
        <f t="shared" si="378"/>
        <v>31</v>
      </c>
      <c r="AF9578" s="831" t="s">
        <v>10237</v>
      </c>
      <c r="AG9578" s="831" t="s">
        <v>131</v>
      </c>
      <c r="AH9578" s="831" t="s">
        <v>169</v>
      </c>
      <c r="AI9578" s="831">
        <v>0</v>
      </c>
      <c r="AJ9578" s="835">
        <v>42124</v>
      </c>
      <c r="AK9578" s="831">
        <v>3642222</v>
      </c>
    </row>
    <row r="9579" spans="2:37">
      <c r="B9579" s="834" t="str">
        <f t="shared" si="377"/>
        <v>|||</v>
      </c>
      <c r="H9579" s="835">
        <f t="shared" si="378"/>
        <v>31</v>
      </c>
      <c r="AF9579" s="831" t="s">
        <v>10238</v>
      </c>
      <c r="AG9579" s="831" t="s">
        <v>131</v>
      </c>
      <c r="AH9579" s="831" t="s">
        <v>172</v>
      </c>
      <c r="AI9579" s="831">
        <v>0</v>
      </c>
      <c r="AJ9579" s="835">
        <v>42124</v>
      </c>
      <c r="AK9579" s="831">
        <v>-6359886</v>
      </c>
    </row>
    <row r="9580" spans="2:37">
      <c r="B9580" s="834" t="str">
        <f t="shared" si="377"/>
        <v>|||</v>
      </c>
      <c r="H9580" s="835">
        <f t="shared" si="378"/>
        <v>31</v>
      </c>
      <c r="AF9580" s="831" t="s">
        <v>10239</v>
      </c>
      <c r="AG9580" s="831" t="s">
        <v>131</v>
      </c>
      <c r="AH9580" s="831" t="s">
        <v>175</v>
      </c>
      <c r="AI9580" s="831">
        <v>0</v>
      </c>
      <c r="AJ9580" s="835">
        <v>42124</v>
      </c>
      <c r="AK9580" s="831">
        <v>0</v>
      </c>
    </row>
    <row r="9581" spans="2:37">
      <c r="B9581" s="834" t="str">
        <f t="shared" si="377"/>
        <v>|||</v>
      </c>
      <c r="H9581" s="835">
        <f t="shared" si="378"/>
        <v>31</v>
      </c>
      <c r="AF9581" s="831" t="s">
        <v>10240</v>
      </c>
      <c r="AG9581" s="831" t="s">
        <v>131</v>
      </c>
      <c r="AH9581" s="831" t="s">
        <v>185</v>
      </c>
      <c r="AI9581" s="831">
        <v>0</v>
      </c>
      <c r="AJ9581" s="835">
        <v>42124</v>
      </c>
      <c r="AK9581" s="831">
        <v>-17967360</v>
      </c>
    </row>
    <row r="9582" spans="2:37">
      <c r="B9582" s="834" t="str">
        <f t="shared" si="377"/>
        <v>|||</v>
      </c>
      <c r="H9582" s="835">
        <f t="shared" si="378"/>
        <v>31</v>
      </c>
      <c r="AF9582" s="831" t="s">
        <v>10241</v>
      </c>
      <c r="AG9582" s="831" t="s">
        <v>131</v>
      </c>
      <c r="AH9582" s="831" t="s">
        <v>188</v>
      </c>
      <c r="AI9582" s="831">
        <v>0</v>
      </c>
      <c r="AJ9582" s="835">
        <v>42124</v>
      </c>
      <c r="AK9582" s="831">
        <v>-9563539</v>
      </c>
    </row>
    <row r="9583" spans="2:37">
      <c r="B9583" s="834" t="str">
        <f t="shared" si="377"/>
        <v>|||</v>
      </c>
      <c r="H9583" s="835">
        <f t="shared" si="378"/>
        <v>31</v>
      </c>
      <c r="AF9583" s="831" t="s">
        <v>10242</v>
      </c>
      <c r="AG9583" s="831" t="s">
        <v>131</v>
      </c>
      <c r="AH9583" s="831" t="s">
        <v>191</v>
      </c>
      <c r="AI9583" s="831">
        <v>0</v>
      </c>
      <c r="AJ9583" s="835">
        <v>42124</v>
      </c>
      <c r="AK9583" s="831">
        <v>-2035589</v>
      </c>
    </row>
    <row r="9584" spans="2:37">
      <c r="B9584" s="834" t="str">
        <f t="shared" si="377"/>
        <v>|||</v>
      </c>
      <c r="H9584" s="835">
        <f t="shared" si="378"/>
        <v>31</v>
      </c>
      <c r="AF9584" s="831" t="s">
        <v>10243</v>
      </c>
      <c r="AG9584" s="831" t="s">
        <v>131</v>
      </c>
      <c r="AH9584" s="831" t="s">
        <v>198</v>
      </c>
      <c r="AI9584" s="831">
        <v>0</v>
      </c>
      <c r="AJ9584" s="835">
        <v>42124</v>
      </c>
      <c r="AK9584" s="831">
        <v>0</v>
      </c>
    </row>
    <row r="9585" spans="2:37">
      <c r="B9585" s="834" t="str">
        <f t="shared" si="377"/>
        <v>|||</v>
      </c>
      <c r="H9585" s="835">
        <f t="shared" si="378"/>
        <v>31</v>
      </c>
      <c r="AF9585" s="831" t="s">
        <v>10244</v>
      </c>
      <c r="AG9585" s="831" t="s">
        <v>131</v>
      </c>
      <c r="AH9585" s="831" t="s">
        <v>200</v>
      </c>
      <c r="AI9585" s="831">
        <v>0</v>
      </c>
      <c r="AJ9585" s="835">
        <v>42124</v>
      </c>
      <c r="AK9585" s="831">
        <v>0</v>
      </c>
    </row>
    <row r="9586" spans="2:37">
      <c r="B9586" s="834" t="str">
        <f t="shared" si="377"/>
        <v>|||</v>
      </c>
      <c r="H9586" s="835">
        <f t="shared" si="378"/>
        <v>31</v>
      </c>
      <c r="AF9586" s="831" t="s">
        <v>10245</v>
      </c>
      <c r="AG9586" s="831" t="s">
        <v>131</v>
      </c>
      <c r="AH9586" s="831" t="s">
        <v>205</v>
      </c>
      <c r="AI9586" s="831">
        <v>0</v>
      </c>
      <c r="AJ9586" s="835">
        <v>42124</v>
      </c>
      <c r="AK9586" s="831">
        <v>-458365</v>
      </c>
    </row>
    <row r="9587" spans="2:37">
      <c r="B9587" s="834" t="str">
        <f t="shared" si="377"/>
        <v>|||</v>
      </c>
      <c r="H9587" s="835">
        <f t="shared" si="378"/>
        <v>31</v>
      </c>
      <c r="AF9587" s="831" t="s">
        <v>10246</v>
      </c>
      <c r="AG9587" s="831" t="s">
        <v>131</v>
      </c>
      <c r="AH9587" s="831" t="s">
        <v>122</v>
      </c>
      <c r="AI9587" s="831">
        <v>0</v>
      </c>
      <c r="AJ9587" s="835">
        <v>42124</v>
      </c>
      <c r="AK9587" s="831">
        <v>0</v>
      </c>
    </row>
    <row r="9588" spans="2:37">
      <c r="B9588" s="834" t="str">
        <f t="shared" si="377"/>
        <v>|||</v>
      </c>
      <c r="H9588" s="835">
        <f t="shared" si="378"/>
        <v>31</v>
      </c>
      <c r="AF9588" s="831" t="s">
        <v>10247</v>
      </c>
      <c r="AG9588" s="831" t="s">
        <v>131</v>
      </c>
      <c r="AH9588" s="831" t="s">
        <v>213</v>
      </c>
      <c r="AI9588" s="831">
        <v>0</v>
      </c>
      <c r="AJ9588" s="835">
        <v>42124</v>
      </c>
      <c r="AK9588" s="831">
        <v>0</v>
      </c>
    </row>
    <row r="9589" spans="2:37">
      <c r="B9589" s="834" t="str">
        <f t="shared" si="377"/>
        <v>|||</v>
      </c>
      <c r="H9589" s="835">
        <f t="shared" si="378"/>
        <v>31</v>
      </c>
      <c r="AF9589" s="831" t="s">
        <v>10248</v>
      </c>
      <c r="AG9589" s="831" t="s">
        <v>131</v>
      </c>
      <c r="AH9589" s="831" t="s">
        <v>215</v>
      </c>
      <c r="AI9589" s="831">
        <v>0</v>
      </c>
      <c r="AJ9589" s="835">
        <v>42124</v>
      </c>
      <c r="AK9589" s="831">
        <v>0</v>
      </c>
    </row>
    <row r="9590" spans="2:37">
      <c r="B9590" s="834" t="str">
        <f t="shared" si="377"/>
        <v>|||</v>
      </c>
      <c r="H9590" s="835">
        <f t="shared" si="378"/>
        <v>31</v>
      </c>
      <c r="AF9590" s="831" t="s">
        <v>10249</v>
      </c>
      <c r="AG9590" s="831" t="s">
        <v>131</v>
      </c>
      <c r="AH9590" s="831" t="s">
        <v>217</v>
      </c>
      <c r="AI9590" s="831">
        <v>0</v>
      </c>
      <c r="AJ9590" s="835">
        <v>42124</v>
      </c>
      <c r="AK9590" s="831">
        <v>0</v>
      </c>
    </row>
    <row r="9591" spans="2:37">
      <c r="B9591" s="834" t="str">
        <f t="shared" si="377"/>
        <v>|||</v>
      </c>
      <c r="H9591" s="835">
        <f t="shared" si="378"/>
        <v>31</v>
      </c>
      <c r="AF9591" s="831" t="s">
        <v>10250</v>
      </c>
      <c r="AG9591" s="831" t="s">
        <v>131</v>
      </c>
      <c r="AH9591" s="831" t="s">
        <v>223</v>
      </c>
      <c r="AI9591" s="831">
        <v>0</v>
      </c>
      <c r="AJ9591" s="835">
        <v>42124</v>
      </c>
      <c r="AK9591" s="831">
        <v>0</v>
      </c>
    </row>
    <row r="9592" spans="2:37">
      <c r="B9592" s="834" t="str">
        <f t="shared" si="377"/>
        <v>|||</v>
      </c>
      <c r="H9592" s="835">
        <f t="shared" si="378"/>
        <v>31</v>
      </c>
      <c r="AF9592" s="831" t="s">
        <v>10251</v>
      </c>
      <c r="AG9592" s="831" t="s">
        <v>131</v>
      </c>
      <c r="AH9592" s="831" t="s">
        <v>224</v>
      </c>
      <c r="AI9592" s="831">
        <v>0</v>
      </c>
      <c r="AJ9592" s="835">
        <v>42124</v>
      </c>
      <c r="AK9592" s="831">
        <v>0</v>
      </c>
    </row>
    <row r="9593" spans="2:37">
      <c r="B9593" s="834" t="str">
        <f t="shared" si="377"/>
        <v>|||</v>
      </c>
      <c r="H9593" s="835">
        <f t="shared" si="378"/>
        <v>31</v>
      </c>
      <c r="AF9593" s="831" t="s">
        <v>10252</v>
      </c>
      <c r="AG9593" s="831" t="s">
        <v>131</v>
      </c>
      <c r="AH9593" s="831" t="s">
        <v>128</v>
      </c>
      <c r="AI9593" s="831">
        <v>0</v>
      </c>
      <c r="AJ9593" s="835">
        <v>42124</v>
      </c>
      <c r="AK9593" s="831">
        <v>0</v>
      </c>
    </row>
    <row r="9594" spans="2:37">
      <c r="B9594" s="834" t="str">
        <f t="shared" si="377"/>
        <v>|||</v>
      </c>
      <c r="H9594" s="835">
        <f t="shared" si="378"/>
        <v>31</v>
      </c>
      <c r="AF9594" s="831" t="s">
        <v>10253</v>
      </c>
      <c r="AG9594" s="831" t="s">
        <v>131</v>
      </c>
      <c r="AH9594" s="831" t="s">
        <v>3237</v>
      </c>
      <c r="AI9594" s="831">
        <v>0</v>
      </c>
      <c r="AJ9594" s="835">
        <v>42124</v>
      </c>
      <c r="AK9594" s="831">
        <v>0</v>
      </c>
    </row>
    <row r="9595" spans="2:37">
      <c r="B9595" s="834" t="str">
        <f t="shared" si="377"/>
        <v>|||</v>
      </c>
      <c r="H9595" s="835">
        <f t="shared" si="378"/>
        <v>31</v>
      </c>
      <c r="AF9595" s="831" t="s">
        <v>10254</v>
      </c>
      <c r="AG9595" s="831" t="s">
        <v>131</v>
      </c>
      <c r="AH9595" s="831" t="s">
        <v>3239</v>
      </c>
      <c r="AI9595" s="831">
        <v>0</v>
      </c>
      <c r="AJ9595" s="835">
        <v>42124</v>
      </c>
      <c r="AK9595" s="831">
        <v>0</v>
      </c>
    </row>
    <row r="9596" spans="2:37">
      <c r="B9596" s="834" t="str">
        <f t="shared" si="377"/>
        <v>|||</v>
      </c>
      <c r="H9596" s="835">
        <f t="shared" si="378"/>
        <v>31</v>
      </c>
      <c r="AF9596" s="831" t="s">
        <v>10255</v>
      </c>
      <c r="AG9596" s="831" t="s">
        <v>132</v>
      </c>
      <c r="AH9596" s="831" t="s">
        <v>68</v>
      </c>
      <c r="AI9596" s="831">
        <v>0</v>
      </c>
      <c r="AJ9596" s="835">
        <v>42035</v>
      </c>
      <c r="AK9596" s="831">
        <v>814295530</v>
      </c>
    </row>
    <row r="9597" spans="2:37">
      <c r="B9597" s="834" t="str">
        <f t="shared" si="377"/>
        <v>|||</v>
      </c>
      <c r="H9597" s="835">
        <f t="shared" si="378"/>
        <v>31</v>
      </c>
      <c r="AF9597" s="831" t="s">
        <v>10256</v>
      </c>
      <c r="AG9597" s="831" t="s">
        <v>132</v>
      </c>
      <c r="AH9597" s="831" t="s">
        <v>73</v>
      </c>
      <c r="AI9597" s="831">
        <v>0</v>
      </c>
      <c r="AJ9597" s="835">
        <v>42035</v>
      </c>
      <c r="AK9597" s="831">
        <v>2264610</v>
      </c>
    </row>
    <row r="9598" spans="2:37">
      <c r="B9598" s="834" t="str">
        <f t="shared" si="377"/>
        <v>|||</v>
      </c>
      <c r="H9598" s="835">
        <f t="shared" si="378"/>
        <v>31</v>
      </c>
      <c r="AF9598" s="831" t="s">
        <v>10257</v>
      </c>
      <c r="AG9598" s="831" t="s">
        <v>132</v>
      </c>
      <c r="AH9598" s="831" t="s">
        <v>147</v>
      </c>
      <c r="AI9598" s="831">
        <v>0</v>
      </c>
      <c r="AJ9598" s="835">
        <v>42035</v>
      </c>
      <c r="AK9598" s="831">
        <v>2141423</v>
      </c>
    </row>
    <row r="9599" spans="2:37">
      <c r="B9599" s="834" t="str">
        <f t="shared" si="377"/>
        <v>|||</v>
      </c>
      <c r="H9599" s="835">
        <f t="shared" si="378"/>
        <v>31</v>
      </c>
      <c r="AF9599" s="831" t="s">
        <v>10258</v>
      </c>
      <c r="AG9599" s="831" t="s">
        <v>132</v>
      </c>
      <c r="AH9599" s="831" t="s">
        <v>151</v>
      </c>
      <c r="AI9599" s="831">
        <v>0</v>
      </c>
      <c r="AJ9599" s="835">
        <v>42035</v>
      </c>
      <c r="AK9599" s="831">
        <v>856971</v>
      </c>
    </row>
    <row r="9600" spans="2:37">
      <c r="B9600" s="834" t="str">
        <f t="shared" si="377"/>
        <v>|||</v>
      </c>
      <c r="H9600" s="835">
        <f t="shared" si="378"/>
        <v>31</v>
      </c>
      <c r="AF9600" s="831" t="s">
        <v>10259</v>
      </c>
      <c r="AG9600" s="831" t="s">
        <v>132</v>
      </c>
      <c r="AH9600" s="831" t="s">
        <v>155</v>
      </c>
      <c r="AI9600" s="831">
        <v>0</v>
      </c>
      <c r="AJ9600" s="835">
        <v>42035</v>
      </c>
      <c r="AK9600" s="831">
        <v>358010</v>
      </c>
    </row>
    <row r="9601" spans="2:37">
      <c r="B9601" s="834" t="str">
        <f t="shared" si="377"/>
        <v>|||</v>
      </c>
      <c r="H9601" s="835">
        <f t="shared" si="378"/>
        <v>31</v>
      </c>
      <c r="AF9601" s="831" t="s">
        <v>10260</v>
      </c>
      <c r="AG9601" s="831" t="s">
        <v>132</v>
      </c>
      <c r="AH9601" s="831" t="s">
        <v>158</v>
      </c>
      <c r="AI9601" s="831">
        <v>0</v>
      </c>
      <c r="AJ9601" s="835">
        <v>42035</v>
      </c>
      <c r="AK9601" s="831">
        <v>3559780</v>
      </c>
    </row>
    <row r="9602" spans="2:37">
      <c r="B9602" s="834" t="str">
        <f t="shared" si="377"/>
        <v>|||</v>
      </c>
      <c r="H9602" s="835">
        <f t="shared" si="378"/>
        <v>31</v>
      </c>
      <c r="AF9602" s="831" t="s">
        <v>10261</v>
      </c>
      <c r="AG9602" s="831" t="s">
        <v>132</v>
      </c>
      <c r="AH9602" s="831" t="s">
        <v>160</v>
      </c>
      <c r="AI9602" s="831">
        <v>0</v>
      </c>
      <c r="AJ9602" s="835">
        <v>42035</v>
      </c>
      <c r="AK9602" s="831">
        <v>130039</v>
      </c>
    </row>
    <row r="9603" spans="2:37">
      <c r="B9603" s="834" t="str">
        <f t="shared" ref="B9603:B9666" si="379">C9603&amp;"|"&amp;D9603&amp;"|"&amp;E9603&amp;"|"&amp;F9603</f>
        <v>|||</v>
      </c>
      <c r="H9603" s="835">
        <f t="shared" si="378"/>
        <v>31</v>
      </c>
      <c r="AF9603" s="831" t="s">
        <v>10262</v>
      </c>
      <c r="AG9603" s="831" t="s">
        <v>132</v>
      </c>
      <c r="AH9603" s="831" t="s">
        <v>161</v>
      </c>
      <c r="AI9603" s="831">
        <v>0</v>
      </c>
      <c r="AJ9603" s="835">
        <v>42035</v>
      </c>
      <c r="AK9603" s="831">
        <v>355260</v>
      </c>
    </row>
    <row r="9604" spans="2:37">
      <c r="B9604" s="834" t="str">
        <f t="shared" si="379"/>
        <v>|||</v>
      </c>
      <c r="H9604" s="835">
        <f t="shared" ref="H9604:H9667" si="380">EOMONTH(L9604,0)</f>
        <v>31</v>
      </c>
      <c r="AF9604" s="831" t="s">
        <v>10263</v>
      </c>
      <c r="AG9604" s="831" t="s">
        <v>132</v>
      </c>
      <c r="AH9604" s="831" t="s">
        <v>170</v>
      </c>
      <c r="AI9604" s="831">
        <v>0</v>
      </c>
      <c r="AJ9604" s="835">
        <v>42035</v>
      </c>
      <c r="AK9604" s="831">
        <v>4701055</v>
      </c>
    </row>
    <row r="9605" spans="2:37">
      <c r="B9605" s="834" t="str">
        <f t="shared" si="379"/>
        <v>|||</v>
      </c>
      <c r="H9605" s="835">
        <f t="shared" si="380"/>
        <v>31</v>
      </c>
      <c r="AF9605" s="831" t="s">
        <v>10264</v>
      </c>
      <c r="AG9605" s="831" t="s">
        <v>132</v>
      </c>
      <c r="AH9605" s="831" t="s">
        <v>173</v>
      </c>
      <c r="AI9605" s="831">
        <v>0</v>
      </c>
      <c r="AJ9605" s="835">
        <v>42035</v>
      </c>
      <c r="AK9605" s="831">
        <v>247460</v>
      </c>
    </row>
    <row r="9606" spans="2:37">
      <c r="B9606" s="834" t="str">
        <f t="shared" si="379"/>
        <v>|||</v>
      </c>
      <c r="H9606" s="835">
        <f t="shared" si="380"/>
        <v>31</v>
      </c>
      <c r="AF9606" s="831" t="s">
        <v>10265</v>
      </c>
      <c r="AG9606" s="831" t="s">
        <v>132</v>
      </c>
      <c r="AH9606" s="831" t="s">
        <v>78</v>
      </c>
      <c r="AI9606" s="831">
        <v>0</v>
      </c>
      <c r="AJ9606" s="835">
        <v>42035</v>
      </c>
      <c r="AK9606" s="831">
        <v>490192</v>
      </c>
    </row>
    <row r="9607" spans="2:37">
      <c r="B9607" s="834" t="str">
        <f t="shared" si="379"/>
        <v>|||</v>
      </c>
      <c r="H9607" s="835">
        <f t="shared" si="380"/>
        <v>31</v>
      </c>
      <c r="AF9607" s="831" t="s">
        <v>10266</v>
      </c>
      <c r="AG9607" s="831" t="s">
        <v>132</v>
      </c>
      <c r="AH9607" s="831" t="s">
        <v>183</v>
      </c>
      <c r="AI9607" s="831">
        <v>0</v>
      </c>
      <c r="AJ9607" s="835">
        <v>42035</v>
      </c>
      <c r="AK9607" s="831">
        <v>0</v>
      </c>
    </row>
    <row r="9608" spans="2:37">
      <c r="B9608" s="834" t="str">
        <f t="shared" si="379"/>
        <v>|||</v>
      </c>
      <c r="H9608" s="835">
        <f t="shared" si="380"/>
        <v>31</v>
      </c>
      <c r="AF9608" s="831" t="s">
        <v>10267</v>
      </c>
      <c r="AG9608" s="831" t="s">
        <v>132</v>
      </c>
      <c r="AH9608" s="831" t="s">
        <v>186</v>
      </c>
      <c r="AI9608" s="831">
        <v>0</v>
      </c>
      <c r="AJ9608" s="835">
        <v>42035</v>
      </c>
      <c r="AK9608" s="831">
        <v>0</v>
      </c>
    </row>
    <row r="9609" spans="2:37">
      <c r="B9609" s="834" t="str">
        <f t="shared" si="379"/>
        <v>|||</v>
      </c>
      <c r="H9609" s="835">
        <f t="shared" si="380"/>
        <v>31</v>
      </c>
      <c r="AF9609" s="831" t="s">
        <v>10268</v>
      </c>
      <c r="AG9609" s="831" t="s">
        <v>132</v>
      </c>
      <c r="AH9609" s="831" t="s">
        <v>189</v>
      </c>
      <c r="AI9609" s="831">
        <v>0</v>
      </c>
      <c r="AJ9609" s="835">
        <v>42035</v>
      </c>
      <c r="AK9609" s="831">
        <v>0</v>
      </c>
    </row>
    <row r="9610" spans="2:37">
      <c r="B9610" s="834" t="str">
        <f t="shared" si="379"/>
        <v>|||</v>
      </c>
      <c r="H9610" s="835">
        <f t="shared" si="380"/>
        <v>31</v>
      </c>
      <c r="AF9610" s="831" t="s">
        <v>10269</v>
      </c>
      <c r="AG9610" s="831" t="s">
        <v>132</v>
      </c>
      <c r="AH9610" s="831" t="s">
        <v>68</v>
      </c>
      <c r="AI9610" s="831">
        <v>0</v>
      </c>
      <c r="AJ9610" s="835">
        <v>42063</v>
      </c>
      <c r="AK9610" s="831">
        <v>936207678</v>
      </c>
    </row>
    <row r="9611" spans="2:37">
      <c r="B9611" s="834" t="str">
        <f t="shared" si="379"/>
        <v>|||</v>
      </c>
      <c r="H9611" s="835">
        <f t="shared" si="380"/>
        <v>31</v>
      </c>
      <c r="AF9611" s="831" t="s">
        <v>10270</v>
      </c>
      <c r="AG9611" s="831" t="s">
        <v>132</v>
      </c>
      <c r="AH9611" s="831" t="s">
        <v>73</v>
      </c>
      <c r="AI9611" s="831">
        <v>0</v>
      </c>
      <c r="AJ9611" s="835">
        <v>42063</v>
      </c>
      <c r="AK9611" s="831">
        <v>9458548</v>
      </c>
    </row>
    <row r="9612" spans="2:37">
      <c r="B9612" s="834" t="str">
        <f t="shared" si="379"/>
        <v>|||</v>
      </c>
      <c r="H9612" s="835">
        <f t="shared" si="380"/>
        <v>31</v>
      </c>
      <c r="AF9612" s="831" t="s">
        <v>10271</v>
      </c>
      <c r="AG9612" s="831" t="s">
        <v>132</v>
      </c>
      <c r="AH9612" s="831" t="s">
        <v>147</v>
      </c>
      <c r="AI9612" s="831">
        <v>0</v>
      </c>
      <c r="AJ9612" s="835">
        <v>42063</v>
      </c>
      <c r="AK9612" s="831">
        <v>1195934</v>
      </c>
    </row>
    <row r="9613" spans="2:37">
      <c r="B9613" s="834" t="str">
        <f t="shared" si="379"/>
        <v>|||</v>
      </c>
      <c r="H9613" s="835">
        <f t="shared" si="380"/>
        <v>31</v>
      </c>
      <c r="AF9613" s="831" t="s">
        <v>10272</v>
      </c>
      <c r="AG9613" s="831" t="s">
        <v>132</v>
      </c>
      <c r="AH9613" s="831" t="s">
        <v>151</v>
      </c>
      <c r="AI9613" s="831">
        <v>0</v>
      </c>
      <c r="AJ9613" s="835">
        <v>42063</v>
      </c>
      <c r="AK9613" s="831">
        <v>484856</v>
      </c>
    </row>
    <row r="9614" spans="2:37">
      <c r="B9614" s="834" t="str">
        <f t="shared" si="379"/>
        <v>|||</v>
      </c>
      <c r="H9614" s="835">
        <f t="shared" si="380"/>
        <v>31</v>
      </c>
      <c r="AF9614" s="831" t="s">
        <v>10273</v>
      </c>
      <c r="AG9614" s="831" t="s">
        <v>132</v>
      </c>
      <c r="AH9614" s="831" t="s">
        <v>155</v>
      </c>
      <c r="AI9614" s="831">
        <v>0</v>
      </c>
      <c r="AJ9614" s="835">
        <v>42063</v>
      </c>
      <c r="AK9614" s="831">
        <v>426058</v>
      </c>
    </row>
    <row r="9615" spans="2:37">
      <c r="B9615" s="834" t="str">
        <f t="shared" si="379"/>
        <v>|||</v>
      </c>
      <c r="H9615" s="835">
        <f t="shared" si="380"/>
        <v>31</v>
      </c>
      <c r="AF9615" s="831" t="s">
        <v>10274</v>
      </c>
      <c r="AG9615" s="831" t="s">
        <v>132</v>
      </c>
      <c r="AH9615" s="831" t="s">
        <v>158</v>
      </c>
      <c r="AI9615" s="831">
        <v>0</v>
      </c>
      <c r="AJ9615" s="835">
        <v>42063</v>
      </c>
      <c r="AK9615" s="831">
        <v>4616914</v>
      </c>
    </row>
    <row r="9616" spans="2:37">
      <c r="B9616" s="834" t="str">
        <f t="shared" si="379"/>
        <v>|||</v>
      </c>
      <c r="H9616" s="835">
        <f t="shared" si="380"/>
        <v>31</v>
      </c>
      <c r="AF9616" s="831" t="s">
        <v>10275</v>
      </c>
      <c r="AG9616" s="831" t="s">
        <v>132</v>
      </c>
      <c r="AH9616" s="831" t="s">
        <v>160</v>
      </c>
      <c r="AI9616" s="831">
        <v>0</v>
      </c>
      <c r="AJ9616" s="835">
        <v>42063</v>
      </c>
      <c r="AK9616" s="831">
        <v>1528953</v>
      </c>
    </row>
    <row r="9617" spans="2:37">
      <c r="B9617" s="834" t="str">
        <f t="shared" si="379"/>
        <v>|||</v>
      </c>
      <c r="H9617" s="835">
        <f t="shared" si="380"/>
        <v>31</v>
      </c>
      <c r="AF9617" s="831" t="s">
        <v>10276</v>
      </c>
      <c r="AG9617" s="831" t="s">
        <v>132</v>
      </c>
      <c r="AH9617" s="831" t="s">
        <v>161</v>
      </c>
      <c r="AI9617" s="831">
        <v>0</v>
      </c>
      <c r="AJ9617" s="835">
        <v>42063</v>
      </c>
      <c r="AK9617" s="831">
        <v>430906</v>
      </c>
    </row>
    <row r="9618" spans="2:37">
      <c r="B9618" s="834" t="str">
        <f t="shared" si="379"/>
        <v>|||</v>
      </c>
      <c r="H9618" s="835">
        <f t="shared" si="380"/>
        <v>31</v>
      </c>
      <c r="AF9618" s="831" t="s">
        <v>10277</v>
      </c>
      <c r="AG9618" s="831" t="s">
        <v>132</v>
      </c>
      <c r="AH9618" s="831" t="s">
        <v>170</v>
      </c>
      <c r="AI9618" s="831">
        <v>0</v>
      </c>
      <c r="AJ9618" s="835">
        <v>42063</v>
      </c>
      <c r="AK9618" s="831">
        <v>10042871</v>
      </c>
    </row>
    <row r="9619" spans="2:37">
      <c r="B9619" s="834" t="str">
        <f t="shared" si="379"/>
        <v>|||</v>
      </c>
      <c r="H9619" s="835">
        <f t="shared" si="380"/>
        <v>31</v>
      </c>
      <c r="AF9619" s="831" t="s">
        <v>10278</v>
      </c>
      <c r="AG9619" s="831" t="s">
        <v>132</v>
      </c>
      <c r="AH9619" s="831" t="s">
        <v>173</v>
      </c>
      <c r="AI9619" s="831">
        <v>0</v>
      </c>
      <c r="AJ9619" s="835">
        <v>42063</v>
      </c>
      <c r="AK9619" s="831">
        <v>757392</v>
      </c>
    </row>
    <row r="9620" spans="2:37">
      <c r="B9620" s="834" t="str">
        <f t="shared" si="379"/>
        <v>|||</v>
      </c>
      <c r="H9620" s="835">
        <f t="shared" si="380"/>
        <v>31</v>
      </c>
      <c r="AF9620" s="831" t="s">
        <v>10279</v>
      </c>
      <c r="AG9620" s="831" t="s">
        <v>132</v>
      </c>
      <c r="AH9620" s="831" t="s">
        <v>78</v>
      </c>
      <c r="AI9620" s="831">
        <v>0</v>
      </c>
      <c r="AJ9620" s="835">
        <v>42063</v>
      </c>
      <c r="AK9620" s="831">
        <v>708229</v>
      </c>
    </row>
    <row r="9621" spans="2:37">
      <c r="B9621" s="834" t="str">
        <f t="shared" si="379"/>
        <v>|||</v>
      </c>
      <c r="H9621" s="835">
        <f t="shared" si="380"/>
        <v>31</v>
      </c>
      <c r="AF9621" s="831" t="s">
        <v>10280</v>
      </c>
      <c r="AG9621" s="831" t="s">
        <v>132</v>
      </c>
      <c r="AH9621" s="831" t="s">
        <v>183</v>
      </c>
      <c r="AI9621" s="831">
        <v>0</v>
      </c>
      <c r="AJ9621" s="835">
        <v>42063</v>
      </c>
      <c r="AK9621" s="831">
        <v>0</v>
      </c>
    </row>
    <row r="9622" spans="2:37">
      <c r="B9622" s="834" t="str">
        <f t="shared" si="379"/>
        <v>|||</v>
      </c>
      <c r="H9622" s="835">
        <f t="shared" si="380"/>
        <v>31</v>
      </c>
      <c r="AF9622" s="831" t="s">
        <v>10281</v>
      </c>
      <c r="AG9622" s="831" t="s">
        <v>132</v>
      </c>
      <c r="AH9622" s="831" t="s">
        <v>186</v>
      </c>
      <c r="AI9622" s="831">
        <v>0</v>
      </c>
      <c r="AJ9622" s="835">
        <v>42063</v>
      </c>
      <c r="AK9622" s="831">
        <v>0</v>
      </c>
    </row>
    <row r="9623" spans="2:37">
      <c r="B9623" s="834" t="str">
        <f t="shared" si="379"/>
        <v>|||</v>
      </c>
      <c r="H9623" s="835">
        <f t="shared" si="380"/>
        <v>31</v>
      </c>
      <c r="AF9623" s="831" t="s">
        <v>10282</v>
      </c>
      <c r="AG9623" s="831" t="s">
        <v>132</v>
      </c>
      <c r="AH9623" s="831" t="s">
        <v>189</v>
      </c>
      <c r="AI9623" s="831">
        <v>0</v>
      </c>
      <c r="AJ9623" s="835">
        <v>42063</v>
      </c>
      <c r="AK9623" s="831">
        <v>0</v>
      </c>
    </row>
    <row r="9624" spans="2:37">
      <c r="B9624" s="834" t="str">
        <f t="shared" si="379"/>
        <v>|||</v>
      </c>
      <c r="H9624" s="835">
        <f t="shared" si="380"/>
        <v>31</v>
      </c>
      <c r="AF9624" s="831" t="s">
        <v>10283</v>
      </c>
      <c r="AG9624" s="831" t="s">
        <v>132</v>
      </c>
      <c r="AH9624" s="831" t="s">
        <v>68</v>
      </c>
      <c r="AI9624" s="831">
        <v>0</v>
      </c>
      <c r="AJ9624" s="835">
        <v>42094</v>
      </c>
      <c r="AK9624" s="831">
        <v>792041287</v>
      </c>
    </row>
    <row r="9625" spans="2:37">
      <c r="B9625" s="834" t="str">
        <f t="shared" si="379"/>
        <v>|||</v>
      </c>
      <c r="H9625" s="835">
        <f t="shared" si="380"/>
        <v>31</v>
      </c>
      <c r="AF9625" s="831" t="s">
        <v>10284</v>
      </c>
      <c r="AG9625" s="831" t="s">
        <v>132</v>
      </c>
      <c r="AH9625" s="831" t="s">
        <v>73</v>
      </c>
      <c r="AI9625" s="831">
        <v>0</v>
      </c>
      <c r="AJ9625" s="835">
        <v>42094</v>
      </c>
      <c r="AK9625" s="831">
        <v>34237687</v>
      </c>
    </row>
    <row r="9626" spans="2:37">
      <c r="B9626" s="834" t="str">
        <f t="shared" si="379"/>
        <v>|||</v>
      </c>
      <c r="H9626" s="835">
        <f t="shared" si="380"/>
        <v>31</v>
      </c>
      <c r="AF9626" s="831" t="s">
        <v>10285</v>
      </c>
      <c r="AG9626" s="831" t="s">
        <v>132</v>
      </c>
      <c r="AH9626" s="831" t="s">
        <v>147</v>
      </c>
      <c r="AI9626" s="831">
        <v>0</v>
      </c>
      <c r="AJ9626" s="835">
        <v>42094</v>
      </c>
      <c r="AK9626" s="831">
        <v>2257837</v>
      </c>
    </row>
    <row r="9627" spans="2:37">
      <c r="B9627" s="834" t="str">
        <f t="shared" si="379"/>
        <v>|||</v>
      </c>
      <c r="H9627" s="835">
        <f t="shared" si="380"/>
        <v>31</v>
      </c>
      <c r="AF9627" s="831" t="s">
        <v>10286</v>
      </c>
      <c r="AG9627" s="831" t="s">
        <v>132</v>
      </c>
      <c r="AH9627" s="831" t="s">
        <v>151</v>
      </c>
      <c r="AI9627" s="831">
        <v>0</v>
      </c>
      <c r="AJ9627" s="835">
        <v>42094</v>
      </c>
      <c r="AK9627" s="831">
        <v>1234837</v>
      </c>
    </row>
    <row r="9628" spans="2:37">
      <c r="B9628" s="834" t="str">
        <f t="shared" si="379"/>
        <v>|||</v>
      </c>
      <c r="H9628" s="835">
        <f t="shared" si="380"/>
        <v>31</v>
      </c>
      <c r="AF9628" s="831" t="s">
        <v>10287</v>
      </c>
      <c r="AG9628" s="831" t="s">
        <v>132</v>
      </c>
      <c r="AH9628" s="831" t="s">
        <v>155</v>
      </c>
      <c r="AI9628" s="831">
        <v>0</v>
      </c>
      <c r="AJ9628" s="835">
        <v>42094</v>
      </c>
      <c r="AK9628" s="831">
        <v>405697</v>
      </c>
    </row>
    <row r="9629" spans="2:37">
      <c r="B9629" s="834" t="str">
        <f t="shared" si="379"/>
        <v>|||</v>
      </c>
      <c r="H9629" s="835">
        <f t="shared" si="380"/>
        <v>31</v>
      </c>
      <c r="AF9629" s="831" t="s">
        <v>10288</v>
      </c>
      <c r="AG9629" s="831" t="s">
        <v>132</v>
      </c>
      <c r="AH9629" s="831" t="s">
        <v>158</v>
      </c>
      <c r="AI9629" s="831">
        <v>0</v>
      </c>
      <c r="AJ9629" s="835">
        <v>42094</v>
      </c>
      <c r="AK9629" s="831">
        <v>1017739</v>
      </c>
    </row>
    <row r="9630" spans="2:37">
      <c r="B9630" s="834" t="str">
        <f t="shared" si="379"/>
        <v>|||</v>
      </c>
      <c r="H9630" s="835">
        <f t="shared" si="380"/>
        <v>31</v>
      </c>
      <c r="AF9630" s="831" t="s">
        <v>10289</v>
      </c>
      <c r="AG9630" s="831" t="s">
        <v>132</v>
      </c>
      <c r="AH9630" s="831" t="s">
        <v>160</v>
      </c>
      <c r="AI9630" s="831">
        <v>0</v>
      </c>
      <c r="AJ9630" s="835">
        <v>42094</v>
      </c>
      <c r="AK9630" s="831">
        <v>5462709</v>
      </c>
    </row>
    <row r="9631" spans="2:37">
      <c r="B9631" s="834" t="str">
        <f t="shared" si="379"/>
        <v>|||</v>
      </c>
      <c r="H9631" s="835">
        <f t="shared" si="380"/>
        <v>31</v>
      </c>
      <c r="AF9631" s="831" t="s">
        <v>10290</v>
      </c>
      <c r="AG9631" s="831" t="s">
        <v>132</v>
      </c>
      <c r="AH9631" s="831" t="s">
        <v>161</v>
      </c>
      <c r="AI9631" s="831">
        <v>0</v>
      </c>
      <c r="AJ9631" s="835">
        <v>42094</v>
      </c>
      <c r="AK9631" s="831">
        <v>422429</v>
      </c>
    </row>
    <row r="9632" spans="2:37">
      <c r="B9632" s="834" t="str">
        <f t="shared" si="379"/>
        <v>|||</v>
      </c>
      <c r="H9632" s="835">
        <f t="shared" si="380"/>
        <v>31</v>
      </c>
      <c r="AF9632" s="831" t="s">
        <v>10291</v>
      </c>
      <c r="AG9632" s="831" t="s">
        <v>132</v>
      </c>
      <c r="AH9632" s="831" t="s">
        <v>170</v>
      </c>
      <c r="AI9632" s="831">
        <v>0</v>
      </c>
      <c r="AJ9632" s="835">
        <v>42094</v>
      </c>
      <c r="AK9632" s="831">
        <v>83871529</v>
      </c>
    </row>
    <row r="9633" spans="2:37">
      <c r="B9633" s="834" t="str">
        <f t="shared" si="379"/>
        <v>|||</v>
      </c>
      <c r="H9633" s="835">
        <f t="shared" si="380"/>
        <v>31</v>
      </c>
      <c r="AF9633" s="831" t="s">
        <v>10292</v>
      </c>
      <c r="AG9633" s="831" t="s">
        <v>132</v>
      </c>
      <c r="AH9633" s="831" t="s">
        <v>173</v>
      </c>
      <c r="AI9633" s="831">
        <v>0</v>
      </c>
      <c r="AJ9633" s="835">
        <v>42094</v>
      </c>
      <c r="AK9633" s="831">
        <v>3199173</v>
      </c>
    </row>
    <row r="9634" spans="2:37">
      <c r="B9634" s="834" t="str">
        <f t="shared" si="379"/>
        <v>|||</v>
      </c>
      <c r="H9634" s="835">
        <f t="shared" si="380"/>
        <v>31</v>
      </c>
      <c r="AF9634" s="831" t="s">
        <v>10293</v>
      </c>
      <c r="AG9634" s="831" t="s">
        <v>132</v>
      </c>
      <c r="AH9634" s="831" t="s">
        <v>78</v>
      </c>
      <c r="AI9634" s="831">
        <v>0</v>
      </c>
      <c r="AJ9634" s="835">
        <v>42094</v>
      </c>
      <c r="AK9634" s="831">
        <v>1108265</v>
      </c>
    </row>
    <row r="9635" spans="2:37">
      <c r="B9635" s="834" t="str">
        <f t="shared" si="379"/>
        <v>|||</v>
      </c>
      <c r="H9635" s="835">
        <f t="shared" si="380"/>
        <v>31</v>
      </c>
      <c r="AF9635" s="831" t="s">
        <v>10294</v>
      </c>
      <c r="AG9635" s="831" t="s">
        <v>132</v>
      </c>
      <c r="AH9635" s="831" t="s">
        <v>183</v>
      </c>
      <c r="AI9635" s="831">
        <v>0</v>
      </c>
      <c r="AJ9635" s="835">
        <v>42094</v>
      </c>
      <c r="AK9635" s="831">
        <v>0</v>
      </c>
    </row>
    <row r="9636" spans="2:37">
      <c r="B9636" s="834" t="str">
        <f t="shared" si="379"/>
        <v>|||</v>
      </c>
      <c r="H9636" s="835">
        <f t="shared" si="380"/>
        <v>31</v>
      </c>
      <c r="AF9636" s="831" t="s">
        <v>10295</v>
      </c>
      <c r="AG9636" s="831" t="s">
        <v>132</v>
      </c>
      <c r="AH9636" s="831" t="s">
        <v>186</v>
      </c>
      <c r="AI9636" s="831">
        <v>0</v>
      </c>
      <c r="AJ9636" s="835">
        <v>42094</v>
      </c>
      <c r="AK9636" s="831">
        <v>0</v>
      </c>
    </row>
    <row r="9637" spans="2:37">
      <c r="B9637" s="834" t="str">
        <f t="shared" si="379"/>
        <v>|||</v>
      </c>
      <c r="H9637" s="835">
        <f t="shared" si="380"/>
        <v>31</v>
      </c>
      <c r="AF9637" s="831" t="s">
        <v>10296</v>
      </c>
      <c r="AG9637" s="831" t="s">
        <v>132</v>
      </c>
      <c r="AH9637" s="831" t="s">
        <v>189</v>
      </c>
      <c r="AI9637" s="831">
        <v>0</v>
      </c>
      <c r="AJ9637" s="835">
        <v>42094</v>
      </c>
      <c r="AK9637" s="831">
        <v>0</v>
      </c>
    </row>
    <row r="9638" spans="2:37">
      <c r="B9638" s="834" t="str">
        <f t="shared" si="379"/>
        <v>|||</v>
      </c>
      <c r="H9638" s="835">
        <f t="shared" si="380"/>
        <v>31</v>
      </c>
      <c r="AF9638" s="831" t="s">
        <v>10297</v>
      </c>
      <c r="AG9638" s="831" t="s">
        <v>132</v>
      </c>
      <c r="AH9638" s="831" t="s">
        <v>68</v>
      </c>
      <c r="AI9638" s="831">
        <v>0</v>
      </c>
      <c r="AJ9638" s="835">
        <v>42124</v>
      </c>
      <c r="AK9638" s="831">
        <v>708847450</v>
      </c>
    </row>
    <row r="9639" spans="2:37">
      <c r="B9639" s="834" t="str">
        <f t="shared" si="379"/>
        <v>|||</v>
      </c>
      <c r="H9639" s="835">
        <f t="shared" si="380"/>
        <v>31</v>
      </c>
      <c r="AF9639" s="831" t="s">
        <v>10298</v>
      </c>
      <c r="AG9639" s="831" t="s">
        <v>132</v>
      </c>
      <c r="AH9639" s="831" t="s">
        <v>73</v>
      </c>
      <c r="AI9639" s="831">
        <v>0</v>
      </c>
      <c r="AJ9639" s="835">
        <v>42124</v>
      </c>
      <c r="AK9639" s="831">
        <v>10202464</v>
      </c>
    </row>
    <row r="9640" spans="2:37">
      <c r="B9640" s="834" t="str">
        <f t="shared" si="379"/>
        <v>|||</v>
      </c>
      <c r="H9640" s="835">
        <f t="shared" si="380"/>
        <v>31</v>
      </c>
      <c r="AF9640" s="831" t="s">
        <v>10299</v>
      </c>
      <c r="AG9640" s="831" t="s">
        <v>132</v>
      </c>
      <c r="AH9640" s="831" t="s">
        <v>147</v>
      </c>
      <c r="AI9640" s="831">
        <v>0</v>
      </c>
      <c r="AJ9640" s="835">
        <v>42124</v>
      </c>
      <c r="AK9640" s="831">
        <v>7646842</v>
      </c>
    </row>
    <row r="9641" spans="2:37">
      <c r="B9641" s="834" t="str">
        <f t="shared" si="379"/>
        <v>|||</v>
      </c>
      <c r="H9641" s="835">
        <f t="shared" si="380"/>
        <v>31</v>
      </c>
      <c r="AF9641" s="831" t="s">
        <v>10300</v>
      </c>
      <c r="AG9641" s="831" t="s">
        <v>132</v>
      </c>
      <c r="AH9641" s="831" t="s">
        <v>151</v>
      </c>
      <c r="AI9641" s="831">
        <v>0</v>
      </c>
      <c r="AJ9641" s="835">
        <v>42124</v>
      </c>
      <c r="AK9641" s="831">
        <v>2627845</v>
      </c>
    </row>
    <row r="9642" spans="2:37">
      <c r="B9642" s="834" t="str">
        <f t="shared" si="379"/>
        <v>|||</v>
      </c>
      <c r="H9642" s="835">
        <f t="shared" si="380"/>
        <v>31</v>
      </c>
      <c r="AF9642" s="831" t="s">
        <v>10301</v>
      </c>
      <c r="AG9642" s="831" t="s">
        <v>132</v>
      </c>
      <c r="AH9642" s="831" t="s">
        <v>155</v>
      </c>
      <c r="AI9642" s="831">
        <v>0</v>
      </c>
      <c r="AJ9642" s="835">
        <v>42124</v>
      </c>
      <c r="AK9642" s="831">
        <v>709758</v>
      </c>
    </row>
    <row r="9643" spans="2:37">
      <c r="B9643" s="834" t="str">
        <f t="shared" si="379"/>
        <v>|||</v>
      </c>
      <c r="H9643" s="835">
        <f t="shared" si="380"/>
        <v>31</v>
      </c>
      <c r="AF9643" s="831" t="s">
        <v>10302</v>
      </c>
      <c r="AG9643" s="831" t="s">
        <v>132</v>
      </c>
      <c r="AH9643" s="831" t="s">
        <v>158</v>
      </c>
      <c r="AI9643" s="831">
        <v>0</v>
      </c>
      <c r="AJ9643" s="835">
        <v>42124</v>
      </c>
      <c r="AK9643" s="831">
        <v>1107544</v>
      </c>
    </row>
    <row r="9644" spans="2:37">
      <c r="B9644" s="834" t="str">
        <f t="shared" si="379"/>
        <v>|||</v>
      </c>
      <c r="H9644" s="835">
        <f t="shared" si="380"/>
        <v>31</v>
      </c>
      <c r="AF9644" s="831" t="s">
        <v>10303</v>
      </c>
      <c r="AG9644" s="831" t="s">
        <v>132</v>
      </c>
      <c r="AH9644" s="831" t="s">
        <v>160</v>
      </c>
      <c r="AI9644" s="831">
        <v>0</v>
      </c>
      <c r="AJ9644" s="835">
        <v>42124</v>
      </c>
      <c r="AK9644" s="831">
        <v>5640877</v>
      </c>
    </row>
    <row r="9645" spans="2:37">
      <c r="B9645" s="834" t="str">
        <f t="shared" si="379"/>
        <v>|||</v>
      </c>
      <c r="H9645" s="835">
        <f t="shared" si="380"/>
        <v>31</v>
      </c>
      <c r="AF9645" s="831" t="s">
        <v>10304</v>
      </c>
      <c r="AG9645" s="831" t="s">
        <v>132</v>
      </c>
      <c r="AH9645" s="831" t="s">
        <v>161</v>
      </c>
      <c r="AI9645" s="831">
        <v>0</v>
      </c>
      <c r="AJ9645" s="835">
        <v>42124</v>
      </c>
      <c r="AK9645" s="831">
        <v>687356</v>
      </c>
    </row>
    <row r="9646" spans="2:37">
      <c r="B9646" s="834" t="str">
        <f t="shared" si="379"/>
        <v>|||</v>
      </c>
      <c r="H9646" s="835">
        <f t="shared" si="380"/>
        <v>31</v>
      </c>
      <c r="AF9646" s="831" t="s">
        <v>10305</v>
      </c>
      <c r="AG9646" s="831" t="s">
        <v>132</v>
      </c>
      <c r="AH9646" s="831" t="s">
        <v>170</v>
      </c>
      <c r="AI9646" s="831">
        <v>0</v>
      </c>
      <c r="AJ9646" s="835">
        <v>42124</v>
      </c>
      <c r="AK9646" s="831">
        <v>143619639</v>
      </c>
    </row>
    <row r="9647" spans="2:37">
      <c r="B9647" s="834" t="str">
        <f t="shared" si="379"/>
        <v>|||</v>
      </c>
      <c r="H9647" s="835">
        <f t="shared" si="380"/>
        <v>31</v>
      </c>
      <c r="AF9647" s="831" t="s">
        <v>10306</v>
      </c>
      <c r="AG9647" s="831" t="s">
        <v>132</v>
      </c>
      <c r="AH9647" s="831" t="s">
        <v>173</v>
      </c>
      <c r="AI9647" s="831">
        <v>0</v>
      </c>
      <c r="AJ9647" s="835">
        <v>42124</v>
      </c>
      <c r="AK9647" s="831">
        <v>4315965</v>
      </c>
    </row>
    <row r="9648" spans="2:37">
      <c r="B9648" s="834" t="str">
        <f t="shared" si="379"/>
        <v>|||</v>
      </c>
      <c r="H9648" s="835">
        <f t="shared" si="380"/>
        <v>31</v>
      </c>
      <c r="AF9648" s="831" t="s">
        <v>10307</v>
      </c>
      <c r="AG9648" s="831" t="s">
        <v>132</v>
      </c>
      <c r="AH9648" s="831" t="s">
        <v>78</v>
      </c>
      <c r="AI9648" s="831">
        <v>0</v>
      </c>
      <c r="AJ9648" s="835">
        <v>42124</v>
      </c>
      <c r="AK9648" s="831">
        <v>1729783</v>
      </c>
    </row>
    <row r="9649" spans="2:37">
      <c r="B9649" s="834" t="str">
        <f t="shared" si="379"/>
        <v>|||</v>
      </c>
      <c r="H9649" s="835">
        <f t="shared" si="380"/>
        <v>31</v>
      </c>
      <c r="AF9649" s="831" t="s">
        <v>10308</v>
      </c>
      <c r="AG9649" s="831" t="s">
        <v>132</v>
      </c>
      <c r="AH9649" s="831" t="s">
        <v>183</v>
      </c>
      <c r="AI9649" s="831">
        <v>0</v>
      </c>
      <c r="AJ9649" s="835">
        <v>42124</v>
      </c>
      <c r="AK9649" s="831">
        <v>0</v>
      </c>
    </row>
    <row r="9650" spans="2:37">
      <c r="B9650" s="834" t="str">
        <f t="shared" si="379"/>
        <v>|||</v>
      </c>
      <c r="H9650" s="835">
        <f t="shared" si="380"/>
        <v>31</v>
      </c>
      <c r="AF9650" s="831" t="s">
        <v>10309</v>
      </c>
      <c r="AG9650" s="831" t="s">
        <v>132</v>
      </c>
      <c r="AH9650" s="831" t="s">
        <v>186</v>
      </c>
      <c r="AI9650" s="831">
        <v>0</v>
      </c>
      <c r="AJ9650" s="835">
        <v>42124</v>
      </c>
      <c r="AK9650" s="831">
        <v>0</v>
      </c>
    </row>
    <row r="9651" spans="2:37">
      <c r="B9651" s="834" t="str">
        <f t="shared" si="379"/>
        <v>|||</v>
      </c>
      <c r="H9651" s="835">
        <f t="shared" si="380"/>
        <v>31</v>
      </c>
      <c r="AF9651" s="831" t="s">
        <v>10310</v>
      </c>
      <c r="AG9651" s="831" t="s">
        <v>132</v>
      </c>
      <c r="AH9651" s="831" t="s">
        <v>189</v>
      </c>
      <c r="AI9651" s="831">
        <v>0</v>
      </c>
      <c r="AJ9651" s="835">
        <v>42124</v>
      </c>
      <c r="AK9651" s="831">
        <v>0</v>
      </c>
    </row>
    <row r="9652" spans="2:37">
      <c r="B9652" s="834" t="str">
        <f t="shared" si="379"/>
        <v>|||</v>
      </c>
      <c r="H9652" s="835">
        <f t="shared" si="380"/>
        <v>31</v>
      </c>
      <c r="AF9652" s="831" t="s">
        <v>10311</v>
      </c>
      <c r="AG9652" s="831" t="s">
        <v>133</v>
      </c>
      <c r="AH9652" s="831" t="s">
        <v>139</v>
      </c>
      <c r="AI9652" s="831">
        <v>0</v>
      </c>
      <c r="AJ9652" s="835">
        <v>42035</v>
      </c>
      <c r="AK9652" s="831">
        <v>340873</v>
      </c>
    </row>
    <row r="9653" spans="2:37">
      <c r="B9653" s="834" t="str">
        <f t="shared" si="379"/>
        <v>|||</v>
      </c>
      <c r="H9653" s="835">
        <f t="shared" si="380"/>
        <v>31</v>
      </c>
      <c r="AF9653" s="831" t="s">
        <v>10312</v>
      </c>
      <c r="AG9653" s="831" t="s">
        <v>133</v>
      </c>
      <c r="AH9653" s="831" t="s">
        <v>11</v>
      </c>
      <c r="AI9653" s="831">
        <v>0</v>
      </c>
      <c r="AJ9653" s="835">
        <v>42035</v>
      </c>
      <c r="AK9653" s="831">
        <v>158062</v>
      </c>
    </row>
    <row r="9654" spans="2:37">
      <c r="B9654" s="834" t="str">
        <f t="shared" si="379"/>
        <v>|||</v>
      </c>
      <c r="H9654" s="835">
        <f t="shared" si="380"/>
        <v>31</v>
      </c>
      <c r="AF9654" s="831" t="s">
        <v>10313</v>
      </c>
      <c r="AG9654" s="831" t="s">
        <v>133</v>
      </c>
      <c r="AH9654" s="831" t="s">
        <v>144</v>
      </c>
      <c r="AI9654" s="831">
        <v>0</v>
      </c>
      <c r="AJ9654" s="835">
        <v>42035</v>
      </c>
      <c r="AK9654" s="831">
        <v>180227</v>
      </c>
    </row>
    <row r="9655" spans="2:37">
      <c r="B9655" s="834" t="str">
        <f t="shared" si="379"/>
        <v>|||</v>
      </c>
      <c r="H9655" s="835">
        <f t="shared" si="380"/>
        <v>31</v>
      </c>
      <c r="AF9655" s="831" t="s">
        <v>10314</v>
      </c>
      <c r="AG9655" s="831" t="s">
        <v>133</v>
      </c>
      <c r="AH9655" s="831" t="s">
        <v>148</v>
      </c>
      <c r="AI9655" s="831">
        <v>0</v>
      </c>
      <c r="AJ9655" s="835">
        <v>42035</v>
      </c>
      <c r="AK9655" s="831">
        <v>43</v>
      </c>
    </row>
    <row r="9656" spans="2:37">
      <c r="B9656" s="834" t="str">
        <f t="shared" si="379"/>
        <v>|||</v>
      </c>
      <c r="H9656" s="835">
        <f t="shared" si="380"/>
        <v>31</v>
      </c>
      <c r="AF9656" s="831" t="s">
        <v>10315</v>
      </c>
      <c r="AG9656" s="831" t="s">
        <v>133</v>
      </c>
      <c r="AH9656" s="831" t="s">
        <v>152</v>
      </c>
      <c r="AI9656" s="831">
        <v>0</v>
      </c>
      <c r="AJ9656" s="835">
        <v>42035</v>
      </c>
      <c r="AK9656" s="831">
        <v>2208</v>
      </c>
    </row>
    <row r="9657" spans="2:37">
      <c r="B9657" s="834" t="str">
        <f t="shared" si="379"/>
        <v>|||</v>
      </c>
      <c r="H9657" s="835">
        <f t="shared" si="380"/>
        <v>31</v>
      </c>
      <c r="AF9657" s="831" t="s">
        <v>10316</v>
      </c>
      <c r="AG9657" s="831" t="s">
        <v>133</v>
      </c>
      <c r="AH9657" s="831" t="s">
        <v>12</v>
      </c>
      <c r="AI9657" s="831">
        <v>0</v>
      </c>
      <c r="AJ9657" s="835">
        <v>42035</v>
      </c>
      <c r="AK9657" s="831">
        <v>698</v>
      </c>
    </row>
    <row r="9658" spans="2:37">
      <c r="B9658" s="834" t="str">
        <f t="shared" si="379"/>
        <v>|||</v>
      </c>
      <c r="H9658" s="835">
        <f t="shared" si="380"/>
        <v>31</v>
      </c>
      <c r="AF9658" s="831" t="s">
        <v>10317</v>
      </c>
      <c r="AG9658" s="831" t="s">
        <v>133</v>
      </c>
      <c r="AH9658" s="831" t="s">
        <v>139</v>
      </c>
      <c r="AI9658" s="831">
        <v>0</v>
      </c>
      <c r="AJ9658" s="835">
        <v>42063</v>
      </c>
      <c r="AK9658" s="831">
        <v>346119</v>
      </c>
    </row>
    <row r="9659" spans="2:37">
      <c r="B9659" s="834" t="str">
        <f t="shared" si="379"/>
        <v>|||</v>
      </c>
      <c r="H9659" s="835">
        <f t="shared" si="380"/>
        <v>31</v>
      </c>
      <c r="AF9659" s="831" t="s">
        <v>10318</v>
      </c>
      <c r="AG9659" s="831" t="s">
        <v>133</v>
      </c>
      <c r="AH9659" s="831" t="s">
        <v>11</v>
      </c>
      <c r="AI9659" s="831">
        <v>0</v>
      </c>
      <c r="AJ9659" s="835">
        <v>42063</v>
      </c>
      <c r="AK9659" s="831">
        <v>157073</v>
      </c>
    </row>
    <row r="9660" spans="2:37">
      <c r="B9660" s="834" t="str">
        <f t="shared" si="379"/>
        <v>|||</v>
      </c>
      <c r="H9660" s="835">
        <f t="shared" si="380"/>
        <v>31</v>
      </c>
      <c r="AF9660" s="831" t="s">
        <v>10319</v>
      </c>
      <c r="AG9660" s="831" t="s">
        <v>133</v>
      </c>
      <c r="AH9660" s="831" t="s">
        <v>144</v>
      </c>
      <c r="AI9660" s="831">
        <v>0</v>
      </c>
      <c r="AJ9660" s="835">
        <v>42063</v>
      </c>
      <c r="AK9660" s="831">
        <v>179494</v>
      </c>
    </row>
    <row r="9661" spans="2:37">
      <c r="B9661" s="834" t="str">
        <f t="shared" si="379"/>
        <v>|||</v>
      </c>
      <c r="H9661" s="835">
        <f t="shared" si="380"/>
        <v>31</v>
      </c>
      <c r="AF9661" s="831" t="s">
        <v>10320</v>
      </c>
      <c r="AG9661" s="831" t="s">
        <v>133</v>
      </c>
      <c r="AH9661" s="831" t="s">
        <v>148</v>
      </c>
      <c r="AI9661" s="831">
        <v>0</v>
      </c>
      <c r="AJ9661" s="835">
        <v>42063</v>
      </c>
      <c r="AK9661" s="831">
        <v>43</v>
      </c>
    </row>
    <row r="9662" spans="2:37">
      <c r="B9662" s="834" t="str">
        <f t="shared" si="379"/>
        <v>|||</v>
      </c>
      <c r="H9662" s="835">
        <f t="shared" si="380"/>
        <v>31</v>
      </c>
      <c r="AF9662" s="831" t="s">
        <v>10321</v>
      </c>
      <c r="AG9662" s="831" t="s">
        <v>133</v>
      </c>
      <c r="AH9662" s="831" t="s">
        <v>152</v>
      </c>
      <c r="AI9662" s="831">
        <v>0</v>
      </c>
      <c r="AJ9662" s="835">
        <v>42063</v>
      </c>
      <c r="AK9662" s="831">
        <v>2277</v>
      </c>
    </row>
    <row r="9663" spans="2:37">
      <c r="B9663" s="834" t="str">
        <f t="shared" si="379"/>
        <v>|||</v>
      </c>
      <c r="H9663" s="835">
        <f t="shared" si="380"/>
        <v>31</v>
      </c>
      <c r="AF9663" s="831" t="s">
        <v>10322</v>
      </c>
      <c r="AG9663" s="831" t="s">
        <v>133</v>
      </c>
      <c r="AH9663" s="831" t="s">
        <v>12</v>
      </c>
      <c r="AI9663" s="831">
        <v>0</v>
      </c>
      <c r="AJ9663" s="835">
        <v>42063</v>
      </c>
      <c r="AK9663" s="831">
        <v>706</v>
      </c>
    </row>
    <row r="9664" spans="2:37">
      <c r="B9664" s="834" t="str">
        <f t="shared" si="379"/>
        <v>|||</v>
      </c>
      <c r="H9664" s="835">
        <f t="shared" si="380"/>
        <v>31</v>
      </c>
      <c r="AF9664" s="831" t="s">
        <v>10323</v>
      </c>
      <c r="AG9664" s="831" t="s">
        <v>133</v>
      </c>
      <c r="AH9664" s="831" t="s">
        <v>139</v>
      </c>
      <c r="AI9664" s="831">
        <v>0</v>
      </c>
      <c r="AJ9664" s="835">
        <v>42094</v>
      </c>
      <c r="AK9664" s="831">
        <v>348646</v>
      </c>
    </row>
    <row r="9665" spans="2:37">
      <c r="B9665" s="834" t="str">
        <f t="shared" si="379"/>
        <v>|||</v>
      </c>
      <c r="H9665" s="835">
        <f t="shared" si="380"/>
        <v>31</v>
      </c>
      <c r="AF9665" s="831" t="s">
        <v>10324</v>
      </c>
      <c r="AG9665" s="831" t="s">
        <v>133</v>
      </c>
      <c r="AH9665" s="831" t="s">
        <v>11</v>
      </c>
      <c r="AI9665" s="831">
        <v>0</v>
      </c>
      <c r="AJ9665" s="835">
        <v>42094</v>
      </c>
      <c r="AK9665" s="831">
        <v>153039</v>
      </c>
    </row>
    <row r="9666" spans="2:37">
      <c r="B9666" s="834" t="str">
        <f t="shared" si="379"/>
        <v>|||</v>
      </c>
      <c r="H9666" s="835">
        <f t="shared" si="380"/>
        <v>31</v>
      </c>
      <c r="AF9666" s="831" t="s">
        <v>10325</v>
      </c>
      <c r="AG9666" s="831" t="s">
        <v>133</v>
      </c>
      <c r="AH9666" s="831" t="s">
        <v>144</v>
      </c>
      <c r="AI9666" s="831">
        <v>0</v>
      </c>
      <c r="AJ9666" s="835">
        <v>42094</v>
      </c>
      <c r="AK9666" s="831">
        <v>174874</v>
      </c>
    </row>
    <row r="9667" spans="2:37">
      <c r="B9667" s="834" t="str">
        <f t="shared" ref="B9667:B9730" si="381">C9667&amp;"|"&amp;D9667&amp;"|"&amp;E9667&amp;"|"&amp;F9667</f>
        <v>|||</v>
      </c>
      <c r="H9667" s="835">
        <f t="shared" si="380"/>
        <v>31</v>
      </c>
      <c r="AF9667" s="831" t="s">
        <v>10326</v>
      </c>
      <c r="AG9667" s="831" t="s">
        <v>133</v>
      </c>
      <c r="AH9667" s="831" t="s">
        <v>148</v>
      </c>
      <c r="AI9667" s="831">
        <v>0</v>
      </c>
      <c r="AJ9667" s="835">
        <v>42094</v>
      </c>
      <c r="AK9667" s="831">
        <v>43</v>
      </c>
    </row>
    <row r="9668" spans="2:37">
      <c r="B9668" s="834" t="str">
        <f t="shared" si="381"/>
        <v>|||</v>
      </c>
      <c r="H9668" s="835">
        <f t="shared" ref="H9668:H9731" si="382">EOMONTH(L9668,0)</f>
        <v>31</v>
      </c>
      <c r="AF9668" s="831" t="s">
        <v>10327</v>
      </c>
      <c r="AG9668" s="831" t="s">
        <v>133</v>
      </c>
      <c r="AH9668" s="831" t="s">
        <v>152</v>
      </c>
      <c r="AI9668" s="831">
        <v>0</v>
      </c>
      <c r="AJ9668" s="835">
        <v>42094</v>
      </c>
      <c r="AK9668" s="831">
        <v>2277</v>
      </c>
    </row>
    <row r="9669" spans="2:37">
      <c r="B9669" s="834" t="str">
        <f t="shared" si="381"/>
        <v>|||</v>
      </c>
      <c r="H9669" s="835">
        <f t="shared" si="382"/>
        <v>31</v>
      </c>
      <c r="AF9669" s="831" t="s">
        <v>10328</v>
      </c>
      <c r="AG9669" s="831" t="s">
        <v>133</v>
      </c>
      <c r="AH9669" s="831" t="s">
        <v>12</v>
      </c>
      <c r="AI9669" s="831">
        <v>0</v>
      </c>
      <c r="AJ9669" s="835">
        <v>42094</v>
      </c>
      <c r="AK9669" s="831">
        <v>722</v>
      </c>
    </row>
    <row r="9670" spans="2:37">
      <c r="B9670" s="834" t="str">
        <f t="shared" si="381"/>
        <v>|||</v>
      </c>
      <c r="H9670" s="835">
        <f t="shared" si="382"/>
        <v>31</v>
      </c>
      <c r="AF9670" s="831" t="s">
        <v>10329</v>
      </c>
      <c r="AG9670" s="831" t="s">
        <v>133</v>
      </c>
      <c r="AH9670" s="831" t="s">
        <v>139</v>
      </c>
      <c r="AI9670" s="831">
        <v>0</v>
      </c>
      <c r="AJ9670" s="835">
        <v>42124</v>
      </c>
      <c r="AK9670" s="831">
        <v>351082</v>
      </c>
    </row>
    <row r="9671" spans="2:37">
      <c r="B9671" s="834" t="str">
        <f t="shared" si="381"/>
        <v>|||</v>
      </c>
      <c r="H9671" s="835">
        <f t="shared" si="382"/>
        <v>31</v>
      </c>
      <c r="AF9671" s="831" t="s">
        <v>10330</v>
      </c>
      <c r="AG9671" s="831" t="s">
        <v>133</v>
      </c>
      <c r="AH9671" s="831" t="s">
        <v>11</v>
      </c>
      <c r="AI9671" s="831">
        <v>0</v>
      </c>
      <c r="AJ9671" s="835">
        <v>42124</v>
      </c>
      <c r="AK9671" s="831">
        <v>147391</v>
      </c>
    </row>
    <row r="9672" spans="2:37">
      <c r="B9672" s="834" t="str">
        <f t="shared" si="381"/>
        <v>|||</v>
      </c>
      <c r="H9672" s="835">
        <f t="shared" si="382"/>
        <v>31</v>
      </c>
      <c r="AF9672" s="831" t="s">
        <v>10331</v>
      </c>
      <c r="AG9672" s="831" t="s">
        <v>133</v>
      </c>
      <c r="AH9672" s="831" t="s">
        <v>144</v>
      </c>
      <c r="AI9672" s="831">
        <v>0</v>
      </c>
      <c r="AJ9672" s="835">
        <v>42124</v>
      </c>
      <c r="AK9672" s="831">
        <v>168436</v>
      </c>
    </row>
    <row r="9673" spans="2:37">
      <c r="B9673" s="834" t="str">
        <f t="shared" si="381"/>
        <v>|||</v>
      </c>
      <c r="H9673" s="835">
        <f t="shared" si="382"/>
        <v>31</v>
      </c>
      <c r="AF9673" s="831" t="s">
        <v>10332</v>
      </c>
      <c r="AG9673" s="831" t="s">
        <v>133</v>
      </c>
      <c r="AH9673" s="831" t="s">
        <v>148</v>
      </c>
      <c r="AI9673" s="831">
        <v>0</v>
      </c>
      <c r="AJ9673" s="835">
        <v>42124</v>
      </c>
      <c r="AK9673" s="831">
        <v>43</v>
      </c>
    </row>
    <row r="9674" spans="2:37">
      <c r="B9674" s="834" t="str">
        <f t="shared" si="381"/>
        <v>|||</v>
      </c>
      <c r="H9674" s="835">
        <f t="shared" si="382"/>
        <v>31</v>
      </c>
      <c r="AF9674" s="831" t="s">
        <v>10333</v>
      </c>
      <c r="AG9674" s="831" t="s">
        <v>133</v>
      </c>
      <c r="AH9674" s="831" t="s">
        <v>152</v>
      </c>
      <c r="AI9674" s="831">
        <v>0</v>
      </c>
      <c r="AJ9674" s="835">
        <v>42124</v>
      </c>
      <c r="AK9674" s="831">
        <v>2215</v>
      </c>
    </row>
    <row r="9675" spans="2:37">
      <c r="B9675" s="834" t="str">
        <f t="shared" si="381"/>
        <v>|||</v>
      </c>
      <c r="H9675" s="835">
        <f t="shared" si="382"/>
        <v>31</v>
      </c>
      <c r="AF9675" s="831" t="s">
        <v>10334</v>
      </c>
      <c r="AG9675" s="831" t="s">
        <v>133</v>
      </c>
      <c r="AH9675" s="831" t="s">
        <v>12</v>
      </c>
      <c r="AI9675" s="831">
        <v>0</v>
      </c>
      <c r="AJ9675" s="835">
        <v>42124</v>
      </c>
      <c r="AK9675" s="831">
        <v>717</v>
      </c>
    </row>
    <row r="9676" spans="2:37">
      <c r="B9676" s="834" t="str">
        <f t="shared" si="381"/>
        <v>|||</v>
      </c>
      <c r="H9676" s="835">
        <f t="shared" si="382"/>
        <v>31</v>
      </c>
      <c r="AF9676" s="831" t="s">
        <v>10335</v>
      </c>
      <c r="AG9676" s="831" t="s">
        <v>2674</v>
      </c>
      <c r="AH9676" s="831" t="s">
        <v>546</v>
      </c>
      <c r="AI9676" s="831">
        <v>0</v>
      </c>
      <c r="AJ9676" s="835">
        <v>41060</v>
      </c>
      <c r="AK9676" s="831">
        <v>339221349</v>
      </c>
    </row>
    <row r="9677" spans="2:37">
      <c r="B9677" s="834" t="str">
        <f t="shared" si="381"/>
        <v>|||</v>
      </c>
      <c r="H9677" s="835">
        <f t="shared" si="382"/>
        <v>31</v>
      </c>
      <c r="AF9677" s="831" t="s">
        <v>10336</v>
      </c>
      <c r="AG9677" s="831" t="s">
        <v>2674</v>
      </c>
      <c r="AH9677" s="831" t="s">
        <v>370</v>
      </c>
      <c r="AI9677" s="831">
        <v>0</v>
      </c>
      <c r="AJ9677" s="835">
        <v>41060</v>
      </c>
      <c r="AK9677" s="831">
        <v>412671638</v>
      </c>
    </row>
    <row r="9678" spans="2:37">
      <c r="B9678" s="834" t="str">
        <f t="shared" si="381"/>
        <v>|||</v>
      </c>
      <c r="H9678" s="835">
        <f t="shared" si="382"/>
        <v>31</v>
      </c>
      <c r="AF9678" s="831" t="s">
        <v>10337</v>
      </c>
      <c r="AG9678" s="831" t="s">
        <v>2674</v>
      </c>
      <c r="AH9678" s="831" t="s">
        <v>126</v>
      </c>
      <c r="AI9678" s="831">
        <v>0</v>
      </c>
      <c r="AJ9678" s="835">
        <v>41060</v>
      </c>
      <c r="AK9678" s="831">
        <v>90520261</v>
      </c>
    </row>
    <row r="9679" spans="2:37">
      <c r="B9679" s="834" t="str">
        <f t="shared" si="381"/>
        <v>|||</v>
      </c>
      <c r="H9679" s="835">
        <f t="shared" si="382"/>
        <v>31</v>
      </c>
      <c r="AF9679" s="831" t="s">
        <v>10338</v>
      </c>
      <c r="AG9679" s="831" t="s">
        <v>2674</v>
      </c>
      <c r="AH9679" s="831" t="s">
        <v>268</v>
      </c>
      <c r="AI9679" s="831">
        <v>0</v>
      </c>
      <c r="AJ9679" s="835">
        <v>41060</v>
      </c>
      <c r="AK9679" s="831">
        <v>5197337</v>
      </c>
    </row>
    <row r="9680" spans="2:37">
      <c r="B9680" s="834" t="str">
        <f t="shared" si="381"/>
        <v>|||</v>
      </c>
      <c r="H9680" s="835">
        <f t="shared" si="382"/>
        <v>31</v>
      </c>
      <c r="AF9680" s="831" t="s">
        <v>10339</v>
      </c>
      <c r="AG9680" s="831" t="s">
        <v>2674</v>
      </c>
      <c r="AH9680" s="831" t="s">
        <v>547</v>
      </c>
      <c r="AI9680" s="831">
        <v>0</v>
      </c>
      <c r="AJ9680" s="835">
        <v>41060</v>
      </c>
      <c r="AK9680" s="831">
        <v>0</v>
      </c>
    </row>
    <row r="9681" spans="2:37">
      <c r="B9681" s="834" t="str">
        <f t="shared" si="381"/>
        <v>|||</v>
      </c>
      <c r="H9681" s="835">
        <f t="shared" si="382"/>
        <v>31</v>
      </c>
      <c r="AF9681" s="831" t="s">
        <v>10340</v>
      </c>
      <c r="AG9681" s="831" t="s">
        <v>2674</v>
      </c>
      <c r="AH9681" s="831" t="s">
        <v>548</v>
      </c>
      <c r="AI9681" s="831">
        <v>0</v>
      </c>
      <c r="AJ9681" s="835">
        <v>41060</v>
      </c>
      <c r="AK9681" s="831">
        <v>0</v>
      </c>
    </row>
    <row r="9682" spans="2:37">
      <c r="B9682" s="834" t="str">
        <f t="shared" si="381"/>
        <v>|||</v>
      </c>
      <c r="H9682" s="835">
        <f t="shared" si="382"/>
        <v>31</v>
      </c>
      <c r="AF9682" s="831" t="s">
        <v>10341</v>
      </c>
      <c r="AG9682" s="831" t="s">
        <v>2674</v>
      </c>
      <c r="AH9682" s="831" t="s">
        <v>549</v>
      </c>
      <c r="AI9682" s="831">
        <v>0</v>
      </c>
      <c r="AJ9682" s="835">
        <v>41060</v>
      </c>
      <c r="AK9682" s="831">
        <v>0</v>
      </c>
    </row>
    <row r="9683" spans="2:37">
      <c r="B9683" s="834" t="str">
        <f t="shared" si="381"/>
        <v>|||</v>
      </c>
      <c r="H9683" s="835">
        <f t="shared" si="382"/>
        <v>31</v>
      </c>
      <c r="AF9683" s="831" t="s">
        <v>10342</v>
      </c>
      <c r="AG9683" s="831" t="s">
        <v>2674</v>
      </c>
      <c r="AH9683" s="831" t="s">
        <v>192</v>
      </c>
      <c r="AI9683" s="831">
        <v>0</v>
      </c>
      <c r="AJ9683" s="835">
        <v>41060</v>
      </c>
      <c r="AK9683" s="831">
        <v>-9254050</v>
      </c>
    </row>
    <row r="9684" spans="2:37">
      <c r="B9684" s="834" t="str">
        <f t="shared" si="381"/>
        <v>|||</v>
      </c>
      <c r="H9684" s="835">
        <f t="shared" si="382"/>
        <v>31</v>
      </c>
      <c r="AF9684" s="831" t="s">
        <v>10343</v>
      </c>
      <c r="AG9684" s="831" t="s">
        <v>2674</v>
      </c>
      <c r="AH9684" s="831" t="s">
        <v>558</v>
      </c>
      <c r="AI9684" s="831">
        <v>0</v>
      </c>
      <c r="AJ9684" s="835">
        <v>41060</v>
      </c>
      <c r="AK9684" s="831">
        <v>322151377</v>
      </c>
    </row>
    <row r="9685" spans="2:37">
      <c r="B9685" s="834" t="str">
        <f t="shared" si="381"/>
        <v>|||</v>
      </c>
      <c r="H9685" s="835">
        <f t="shared" si="382"/>
        <v>31</v>
      </c>
      <c r="AF9685" s="831" t="s">
        <v>10344</v>
      </c>
      <c r="AG9685" s="831" t="s">
        <v>2674</v>
      </c>
      <c r="AH9685" s="831" t="s">
        <v>65</v>
      </c>
      <c r="AI9685" s="831">
        <v>0</v>
      </c>
      <c r="AJ9685" s="835">
        <v>41060</v>
      </c>
      <c r="AK9685" s="831">
        <v>38110599</v>
      </c>
    </row>
    <row r="9686" spans="2:37">
      <c r="B9686" s="834" t="str">
        <f t="shared" si="381"/>
        <v>|||</v>
      </c>
      <c r="H9686" s="835">
        <f t="shared" si="382"/>
        <v>31</v>
      </c>
      <c r="AF9686" s="831" t="s">
        <v>10345</v>
      </c>
      <c r="AG9686" s="831" t="s">
        <v>2674</v>
      </c>
      <c r="AH9686" s="831" t="s">
        <v>89</v>
      </c>
      <c r="AI9686" s="831">
        <v>0</v>
      </c>
      <c r="AJ9686" s="835">
        <v>41060</v>
      </c>
      <c r="AK9686" s="831">
        <v>122430</v>
      </c>
    </row>
    <row r="9687" spans="2:37">
      <c r="B9687" s="834" t="str">
        <f t="shared" si="381"/>
        <v>|||</v>
      </c>
      <c r="H9687" s="835">
        <f t="shared" si="382"/>
        <v>31</v>
      </c>
      <c r="AF9687" s="831" t="s">
        <v>10346</v>
      </c>
      <c r="AG9687" s="831" t="s">
        <v>2674</v>
      </c>
      <c r="AH9687" s="831" t="s">
        <v>557</v>
      </c>
      <c r="AI9687" s="831">
        <v>0</v>
      </c>
      <c r="AJ9687" s="835">
        <v>41060</v>
      </c>
      <c r="AK9687" s="831">
        <v>124207</v>
      </c>
    </row>
    <row r="9688" spans="2:37">
      <c r="B9688" s="834" t="str">
        <f t="shared" si="381"/>
        <v>|||</v>
      </c>
      <c r="H9688" s="835">
        <f t="shared" si="382"/>
        <v>31</v>
      </c>
      <c r="AF9688" s="831" t="s">
        <v>10347</v>
      </c>
      <c r="AG9688" s="831" t="s">
        <v>2674</v>
      </c>
      <c r="AH9688" s="831" t="s">
        <v>29</v>
      </c>
      <c r="AI9688" s="831">
        <v>0</v>
      </c>
      <c r="AJ9688" s="835">
        <v>41060</v>
      </c>
      <c r="AK9688" s="831">
        <v>2528808</v>
      </c>
    </row>
    <row r="9689" spans="2:37">
      <c r="B9689" s="834" t="str">
        <f t="shared" si="381"/>
        <v>|||</v>
      </c>
      <c r="H9689" s="835">
        <f t="shared" si="382"/>
        <v>31</v>
      </c>
      <c r="AF9689" s="831" t="s">
        <v>10348</v>
      </c>
      <c r="AG9689" s="831" t="s">
        <v>2674</v>
      </c>
      <c r="AH9689" s="831" t="s">
        <v>2688</v>
      </c>
      <c r="AI9689" s="831">
        <v>0</v>
      </c>
      <c r="AJ9689" s="835">
        <v>41060</v>
      </c>
      <c r="AK9689" s="831">
        <v>3036435</v>
      </c>
    </row>
    <row r="9690" spans="2:37">
      <c r="B9690" s="834" t="str">
        <f t="shared" si="381"/>
        <v>|||</v>
      </c>
      <c r="H9690" s="835">
        <f t="shared" si="382"/>
        <v>31</v>
      </c>
      <c r="AF9690" s="831" t="s">
        <v>10349</v>
      </c>
      <c r="AG9690" s="831" t="s">
        <v>2674</v>
      </c>
      <c r="AH9690" s="831" t="s">
        <v>556</v>
      </c>
      <c r="AI9690" s="831">
        <v>0</v>
      </c>
      <c r="AJ9690" s="835">
        <v>41060</v>
      </c>
      <c r="AK9690" s="831">
        <v>0</v>
      </c>
    </row>
    <row r="9691" spans="2:37">
      <c r="B9691" s="834" t="str">
        <f t="shared" si="381"/>
        <v>|||</v>
      </c>
      <c r="H9691" s="835">
        <f t="shared" si="382"/>
        <v>31</v>
      </c>
      <c r="AF9691" s="831" t="s">
        <v>10350</v>
      </c>
      <c r="AG9691" s="831" t="s">
        <v>2674</v>
      </c>
      <c r="AH9691" s="831" t="s">
        <v>555</v>
      </c>
      <c r="AI9691" s="831">
        <v>0</v>
      </c>
      <c r="AJ9691" s="835">
        <v>41060</v>
      </c>
      <c r="AK9691" s="831">
        <v>196148980</v>
      </c>
    </row>
    <row r="9692" spans="2:37">
      <c r="B9692" s="834" t="str">
        <f t="shared" si="381"/>
        <v>|||</v>
      </c>
      <c r="H9692" s="835">
        <f t="shared" si="382"/>
        <v>31</v>
      </c>
      <c r="AF9692" s="831" t="s">
        <v>10351</v>
      </c>
      <c r="AG9692" s="831" t="s">
        <v>2674</v>
      </c>
      <c r="AH9692" s="831" t="s">
        <v>554</v>
      </c>
      <c r="AI9692" s="831">
        <v>0</v>
      </c>
      <c r="AJ9692" s="835">
        <v>41060</v>
      </c>
      <c r="AK9692" s="831">
        <v>194772980</v>
      </c>
    </row>
    <row r="9693" spans="2:37">
      <c r="B9693" s="834" t="str">
        <f t="shared" si="381"/>
        <v>|||</v>
      </c>
      <c r="H9693" s="835">
        <f t="shared" si="382"/>
        <v>31</v>
      </c>
      <c r="AF9693" s="831" t="s">
        <v>10352</v>
      </c>
      <c r="AG9693" s="831" t="s">
        <v>2674</v>
      </c>
      <c r="AH9693" s="831" t="s">
        <v>553</v>
      </c>
      <c r="AI9693" s="831">
        <v>0</v>
      </c>
      <c r="AJ9693" s="835">
        <v>41060</v>
      </c>
      <c r="AK9693" s="831">
        <v>0</v>
      </c>
    </row>
    <row r="9694" spans="2:37">
      <c r="B9694" s="834" t="str">
        <f t="shared" si="381"/>
        <v>|||</v>
      </c>
      <c r="H9694" s="835">
        <f t="shared" si="382"/>
        <v>31</v>
      </c>
      <c r="AF9694" s="831" t="s">
        <v>10353</v>
      </c>
      <c r="AG9694" s="831" t="s">
        <v>2674</v>
      </c>
      <c r="AH9694" s="831" t="s">
        <v>552</v>
      </c>
      <c r="AI9694" s="831">
        <v>0</v>
      </c>
      <c r="AJ9694" s="835">
        <v>41060</v>
      </c>
      <c r="AK9694" s="831">
        <v>0</v>
      </c>
    </row>
    <row r="9695" spans="2:37">
      <c r="B9695" s="834" t="str">
        <f t="shared" si="381"/>
        <v>|||</v>
      </c>
      <c r="H9695" s="835">
        <f t="shared" si="382"/>
        <v>31</v>
      </c>
      <c r="AF9695" s="831" t="s">
        <v>10354</v>
      </c>
      <c r="AG9695" s="831" t="s">
        <v>2674</v>
      </c>
      <c r="AH9695" s="831" t="s">
        <v>551</v>
      </c>
      <c r="AI9695" s="831">
        <v>0</v>
      </c>
      <c r="AJ9695" s="835">
        <v>41060</v>
      </c>
      <c r="AK9695" s="831">
        <v>2340522</v>
      </c>
    </row>
    <row r="9696" spans="2:37">
      <c r="B9696" s="834" t="str">
        <f t="shared" si="381"/>
        <v>|||</v>
      </c>
      <c r="H9696" s="835">
        <f t="shared" si="382"/>
        <v>31</v>
      </c>
      <c r="AF9696" s="831" t="s">
        <v>10355</v>
      </c>
      <c r="AG9696" s="831" t="s">
        <v>2674</v>
      </c>
      <c r="AH9696" s="831" t="s">
        <v>550</v>
      </c>
      <c r="AI9696" s="831">
        <v>0</v>
      </c>
      <c r="AJ9696" s="835">
        <v>41060</v>
      </c>
      <c r="AK9696" s="831">
        <v>0</v>
      </c>
    </row>
    <row r="9697" spans="2:37">
      <c r="B9697" s="834" t="str">
        <f t="shared" si="381"/>
        <v>|||</v>
      </c>
      <c r="H9697" s="835">
        <f t="shared" si="382"/>
        <v>31</v>
      </c>
      <c r="AF9697" s="831" t="s">
        <v>10356</v>
      </c>
      <c r="AG9697" s="831" t="s">
        <v>2674</v>
      </c>
      <c r="AH9697" s="831" t="s">
        <v>562</v>
      </c>
      <c r="AI9697" s="831">
        <v>0</v>
      </c>
      <c r="AJ9697" s="835">
        <v>41060</v>
      </c>
      <c r="AK9697" s="831">
        <v>0.78515000000000001</v>
      </c>
    </row>
    <row r="9698" spans="2:37">
      <c r="B9698" s="834" t="str">
        <f t="shared" si="381"/>
        <v>|||</v>
      </c>
      <c r="H9698" s="835">
        <f t="shared" si="382"/>
        <v>31</v>
      </c>
      <c r="AF9698" s="831" t="s">
        <v>10357</v>
      </c>
      <c r="AG9698" s="831" t="s">
        <v>2674</v>
      </c>
      <c r="AH9698" s="831" t="s">
        <v>2698</v>
      </c>
      <c r="AI9698" s="831">
        <v>0</v>
      </c>
      <c r="AJ9698" s="835">
        <v>41060</v>
      </c>
      <c r="AK9698" s="831">
        <v>0.78585000000000005</v>
      </c>
    </row>
    <row r="9699" spans="2:37">
      <c r="B9699" s="834" t="str">
        <f t="shared" si="381"/>
        <v>|||</v>
      </c>
      <c r="H9699" s="835">
        <f t="shared" si="382"/>
        <v>31</v>
      </c>
      <c r="AF9699" s="831" t="s">
        <v>10358</v>
      </c>
      <c r="AG9699" s="831" t="s">
        <v>2674</v>
      </c>
      <c r="AH9699" s="831" t="s">
        <v>560</v>
      </c>
      <c r="AI9699" s="831">
        <v>0</v>
      </c>
      <c r="AJ9699" s="835">
        <v>41060</v>
      </c>
      <c r="AK9699" s="831">
        <v>0.78580000000000005</v>
      </c>
    </row>
    <row r="9700" spans="2:37">
      <c r="B9700" s="834" t="str">
        <f t="shared" si="381"/>
        <v>|||</v>
      </c>
      <c r="H9700" s="835">
        <f t="shared" si="382"/>
        <v>31</v>
      </c>
      <c r="AF9700" s="831" t="s">
        <v>10359</v>
      </c>
      <c r="AG9700" s="831" t="s">
        <v>2674</v>
      </c>
      <c r="AH9700" s="831" t="s">
        <v>559</v>
      </c>
      <c r="AI9700" s="831">
        <v>0</v>
      </c>
      <c r="AJ9700" s="835">
        <v>41060</v>
      </c>
      <c r="AK9700" s="831">
        <v>0.78569999999999995</v>
      </c>
    </row>
    <row r="9701" spans="2:37">
      <c r="B9701" s="834" t="str">
        <f t="shared" si="381"/>
        <v>|||</v>
      </c>
      <c r="H9701" s="835">
        <f t="shared" si="382"/>
        <v>31</v>
      </c>
      <c r="AF9701" s="831" t="s">
        <v>10360</v>
      </c>
      <c r="AG9701" s="831" t="s">
        <v>2674</v>
      </c>
      <c r="AH9701" s="831" t="s">
        <v>568</v>
      </c>
      <c r="AI9701" s="831">
        <v>0</v>
      </c>
      <c r="AJ9701" s="835">
        <v>41060</v>
      </c>
      <c r="AK9701" s="831">
        <v>0</v>
      </c>
    </row>
    <row r="9702" spans="2:37">
      <c r="B9702" s="834" t="str">
        <f t="shared" si="381"/>
        <v>|||</v>
      </c>
      <c r="H9702" s="835">
        <f t="shared" si="382"/>
        <v>31</v>
      </c>
      <c r="AF9702" s="831" t="s">
        <v>10361</v>
      </c>
      <c r="AG9702" s="831" t="s">
        <v>2674</v>
      </c>
      <c r="AH9702" s="831" t="s">
        <v>569</v>
      </c>
      <c r="AI9702" s="831">
        <v>0</v>
      </c>
      <c r="AJ9702" s="835">
        <v>41060</v>
      </c>
      <c r="AK9702" s="831">
        <v>0</v>
      </c>
    </row>
    <row r="9703" spans="2:37">
      <c r="B9703" s="834" t="str">
        <f t="shared" si="381"/>
        <v>|||</v>
      </c>
      <c r="H9703" s="835">
        <f t="shared" si="382"/>
        <v>31</v>
      </c>
      <c r="AF9703" s="831" t="s">
        <v>10362</v>
      </c>
      <c r="AG9703" s="831" t="s">
        <v>2674</v>
      </c>
      <c r="AH9703" s="831" t="s">
        <v>570</v>
      </c>
      <c r="AI9703" s="831">
        <v>0</v>
      </c>
      <c r="AJ9703" s="835">
        <v>41060</v>
      </c>
      <c r="AK9703" s="831">
        <v>0</v>
      </c>
    </row>
    <row r="9704" spans="2:37">
      <c r="B9704" s="834" t="str">
        <f t="shared" si="381"/>
        <v>|||</v>
      </c>
      <c r="H9704" s="835">
        <f t="shared" si="382"/>
        <v>31</v>
      </c>
      <c r="AF9704" s="831" t="s">
        <v>10363</v>
      </c>
      <c r="AG9704" s="831" t="s">
        <v>2674</v>
      </c>
      <c r="AH9704" s="831" t="s">
        <v>571</v>
      </c>
      <c r="AI9704" s="831">
        <v>0</v>
      </c>
      <c r="AJ9704" s="835">
        <v>41060</v>
      </c>
      <c r="AK9704" s="831">
        <v>0</v>
      </c>
    </row>
    <row r="9705" spans="2:37">
      <c r="B9705" s="834" t="str">
        <f t="shared" si="381"/>
        <v>|||</v>
      </c>
      <c r="H9705" s="835">
        <f t="shared" si="382"/>
        <v>31</v>
      </c>
      <c r="AF9705" s="831" t="s">
        <v>10364</v>
      </c>
      <c r="AG9705" s="831" t="s">
        <v>2674</v>
      </c>
      <c r="AH9705" s="831" t="s">
        <v>573</v>
      </c>
      <c r="AI9705" s="831">
        <v>0</v>
      </c>
      <c r="AJ9705" s="835">
        <v>41060</v>
      </c>
      <c r="AK9705" s="831">
        <v>0</v>
      </c>
    </row>
    <row r="9706" spans="2:37">
      <c r="B9706" s="834" t="str">
        <f t="shared" si="381"/>
        <v>|||</v>
      </c>
      <c r="H9706" s="835">
        <f t="shared" si="382"/>
        <v>31</v>
      </c>
      <c r="AF9706" s="831" t="s">
        <v>10365</v>
      </c>
      <c r="AG9706" s="831" t="s">
        <v>2674</v>
      </c>
      <c r="AH9706" s="831" t="s">
        <v>574</v>
      </c>
      <c r="AI9706" s="831">
        <v>0</v>
      </c>
      <c r="AJ9706" s="835">
        <v>41060</v>
      </c>
      <c r="AK9706" s="831">
        <v>0</v>
      </c>
    </row>
    <row r="9707" spans="2:37">
      <c r="B9707" s="834" t="str">
        <f t="shared" si="381"/>
        <v>|||</v>
      </c>
      <c r="H9707" s="835">
        <f t="shared" si="382"/>
        <v>31</v>
      </c>
      <c r="AF9707" s="831" t="s">
        <v>10366</v>
      </c>
      <c r="AG9707" s="831" t="s">
        <v>2674</v>
      </c>
      <c r="AH9707" s="831" t="s">
        <v>575</v>
      </c>
      <c r="AI9707" s="831">
        <v>0</v>
      </c>
      <c r="AJ9707" s="835">
        <v>41060</v>
      </c>
      <c r="AK9707" s="831">
        <v>0</v>
      </c>
    </row>
    <row r="9708" spans="2:37">
      <c r="B9708" s="834" t="str">
        <f t="shared" si="381"/>
        <v>|||</v>
      </c>
      <c r="H9708" s="835">
        <f t="shared" si="382"/>
        <v>31</v>
      </c>
      <c r="AF9708" s="831" t="s">
        <v>10367</v>
      </c>
      <c r="AG9708" s="831" t="s">
        <v>2674</v>
      </c>
      <c r="AH9708" s="831" t="s">
        <v>576</v>
      </c>
      <c r="AI9708" s="831">
        <v>0</v>
      </c>
      <c r="AJ9708" s="835">
        <v>41060</v>
      </c>
      <c r="AK9708" s="831">
        <v>0</v>
      </c>
    </row>
    <row r="9709" spans="2:37">
      <c r="B9709" s="834" t="str">
        <f t="shared" si="381"/>
        <v>|||</v>
      </c>
      <c r="H9709" s="835">
        <f t="shared" si="382"/>
        <v>31</v>
      </c>
      <c r="AF9709" s="831" t="s">
        <v>10368</v>
      </c>
      <c r="AG9709" s="831" t="s">
        <v>2674</v>
      </c>
      <c r="AH9709" s="831" t="s">
        <v>572</v>
      </c>
      <c r="AI9709" s="831">
        <v>0</v>
      </c>
      <c r="AJ9709" s="835">
        <v>41060</v>
      </c>
      <c r="AK9709" s="831">
        <v>0</v>
      </c>
    </row>
    <row r="9710" spans="2:37">
      <c r="B9710" s="834" t="str">
        <f t="shared" si="381"/>
        <v>|||</v>
      </c>
      <c r="H9710" s="835">
        <f t="shared" si="382"/>
        <v>31</v>
      </c>
      <c r="AF9710" s="831" t="s">
        <v>10369</v>
      </c>
      <c r="AG9710" s="831" t="s">
        <v>2674</v>
      </c>
      <c r="AH9710" s="831" t="s">
        <v>577</v>
      </c>
      <c r="AI9710" s="831">
        <v>0</v>
      </c>
      <c r="AJ9710" s="835">
        <v>41060</v>
      </c>
      <c r="AK9710" s="831">
        <v>0</v>
      </c>
    </row>
    <row r="9711" spans="2:37">
      <c r="B9711" s="834" t="str">
        <f t="shared" si="381"/>
        <v>|||</v>
      </c>
      <c r="H9711" s="835">
        <f t="shared" si="382"/>
        <v>31</v>
      </c>
      <c r="AF9711" s="831" t="s">
        <v>10370</v>
      </c>
      <c r="AG9711" s="831" t="s">
        <v>2674</v>
      </c>
      <c r="AH9711" s="831" t="s">
        <v>3042</v>
      </c>
      <c r="AI9711" s="831">
        <v>0</v>
      </c>
      <c r="AJ9711" s="835">
        <v>41060</v>
      </c>
      <c r="AK9711" s="831">
        <v>0</v>
      </c>
    </row>
    <row r="9712" spans="2:37">
      <c r="B9712" s="834" t="str">
        <f t="shared" si="381"/>
        <v>|||</v>
      </c>
      <c r="H9712" s="835">
        <f t="shared" si="382"/>
        <v>31</v>
      </c>
      <c r="AF9712" s="831" t="s">
        <v>10371</v>
      </c>
      <c r="AG9712" s="831" t="s">
        <v>2674</v>
      </c>
      <c r="AH9712" s="831" t="s">
        <v>3044</v>
      </c>
      <c r="AI9712" s="831">
        <v>0</v>
      </c>
      <c r="AJ9712" s="835">
        <v>41060</v>
      </c>
      <c r="AK9712" s="831">
        <v>0</v>
      </c>
    </row>
    <row r="9713" spans="2:37">
      <c r="B9713" s="834" t="str">
        <f t="shared" si="381"/>
        <v>|||</v>
      </c>
      <c r="H9713" s="835">
        <f t="shared" si="382"/>
        <v>31</v>
      </c>
      <c r="AF9713" s="831" t="s">
        <v>10372</v>
      </c>
      <c r="AG9713" s="831" t="s">
        <v>2674</v>
      </c>
      <c r="AH9713" s="831" t="s">
        <v>580</v>
      </c>
      <c r="AI9713" s="831">
        <v>0</v>
      </c>
      <c r="AJ9713" s="835">
        <v>41060</v>
      </c>
      <c r="AK9713" s="831">
        <v>0</v>
      </c>
    </row>
    <row r="9714" spans="2:37">
      <c r="B9714" s="834" t="str">
        <f t="shared" si="381"/>
        <v>|||</v>
      </c>
      <c r="H9714" s="835">
        <f t="shared" si="382"/>
        <v>31</v>
      </c>
      <c r="AF9714" s="831" t="s">
        <v>10373</v>
      </c>
      <c r="AG9714" s="831" t="s">
        <v>2674</v>
      </c>
      <c r="AH9714" s="831" t="s">
        <v>581</v>
      </c>
      <c r="AI9714" s="831">
        <v>0</v>
      </c>
      <c r="AJ9714" s="835">
        <v>41060</v>
      </c>
      <c r="AK9714" s="831">
        <v>0</v>
      </c>
    </row>
    <row r="9715" spans="2:37">
      <c r="B9715" s="834" t="str">
        <f t="shared" si="381"/>
        <v>|||</v>
      </c>
      <c r="H9715" s="835">
        <f t="shared" si="382"/>
        <v>31</v>
      </c>
      <c r="AF9715" s="831" t="s">
        <v>10374</v>
      </c>
      <c r="AG9715" s="831" t="s">
        <v>2674</v>
      </c>
      <c r="AH9715" s="831" t="s">
        <v>105</v>
      </c>
      <c r="AI9715" s="831">
        <v>0</v>
      </c>
      <c r="AJ9715" s="835">
        <v>41060</v>
      </c>
      <c r="AK9715" s="831">
        <v>149985593</v>
      </c>
    </row>
    <row r="9716" spans="2:37">
      <c r="B9716" s="834" t="str">
        <f t="shared" si="381"/>
        <v>|||</v>
      </c>
      <c r="H9716" s="835">
        <f t="shared" si="382"/>
        <v>31</v>
      </c>
      <c r="AF9716" s="831" t="s">
        <v>10375</v>
      </c>
      <c r="AG9716" s="831" t="s">
        <v>2674</v>
      </c>
      <c r="AH9716" s="831" t="s">
        <v>3049</v>
      </c>
      <c r="AI9716" s="831">
        <v>0</v>
      </c>
      <c r="AJ9716" s="835">
        <v>41060</v>
      </c>
      <c r="AK9716" s="831">
        <v>309400000</v>
      </c>
    </row>
    <row r="9717" spans="2:37">
      <c r="B9717" s="834" t="str">
        <f t="shared" si="381"/>
        <v>|||</v>
      </c>
      <c r="H9717" s="835">
        <f t="shared" si="382"/>
        <v>31</v>
      </c>
      <c r="AF9717" s="831" t="s">
        <v>10376</v>
      </c>
      <c r="AG9717" s="831" t="s">
        <v>2674</v>
      </c>
      <c r="AH9717" s="831" t="s">
        <v>103</v>
      </c>
      <c r="AI9717" s="831">
        <v>0</v>
      </c>
      <c r="AJ9717" s="835">
        <v>41060</v>
      </c>
      <c r="AK9717" s="831">
        <v>159414407</v>
      </c>
    </row>
    <row r="9718" spans="2:37">
      <c r="B9718" s="834" t="str">
        <f t="shared" si="381"/>
        <v>|||</v>
      </c>
      <c r="H9718" s="835">
        <f t="shared" si="382"/>
        <v>31</v>
      </c>
      <c r="AF9718" s="831" t="s">
        <v>10377</v>
      </c>
      <c r="AG9718" s="831" t="s">
        <v>2674</v>
      </c>
      <c r="AH9718" s="831" t="s">
        <v>182</v>
      </c>
      <c r="AI9718" s="831">
        <v>0</v>
      </c>
      <c r="AJ9718" s="835">
        <v>41060</v>
      </c>
      <c r="AK9718" s="831">
        <v>50472969.600000001</v>
      </c>
    </row>
    <row r="9719" spans="2:37">
      <c r="B9719" s="834" t="str">
        <f t="shared" si="381"/>
        <v>|||</v>
      </c>
      <c r="H9719" s="835">
        <f t="shared" si="382"/>
        <v>31</v>
      </c>
      <c r="AF9719" s="831" t="s">
        <v>10378</v>
      </c>
      <c r="AG9719" s="831" t="s">
        <v>2674</v>
      </c>
      <c r="AH9719" s="831" t="s">
        <v>6600</v>
      </c>
      <c r="AI9719" s="831">
        <v>0</v>
      </c>
      <c r="AJ9719" s="835">
        <v>41060</v>
      </c>
      <c r="AK9719" s="831">
        <v>0</v>
      </c>
    </row>
    <row r="9720" spans="2:37">
      <c r="B9720" s="834" t="str">
        <f t="shared" si="381"/>
        <v>|||</v>
      </c>
      <c r="H9720" s="835">
        <f t="shared" si="382"/>
        <v>31</v>
      </c>
      <c r="AF9720" s="831" t="s">
        <v>10379</v>
      </c>
      <c r="AG9720" s="831" t="s">
        <v>2674</v>
      </c>
      <c r="AH9720" s="831" t="s">
        <v>6602</v>
      </c>
      <c r="AI9720" s="831">
        <v>0</v>
      </c>
      <c r="AJ9720" s="835">
        <v>41060</v>
      </c>
      <c r="AK9720" s="831">
        <v>5197337</v>
      </c>
    </row>
    <row r="9721" spans="2:37">
      <c r="B9721" s="834" t="str">
        <f t="shared" si="381"/>
        <v>|||</v>
      </c>
      <c r="H9721" s="835">
        <f t="shared" si="382"/>
        <v>31</v>
      </c>
      <c r="AF9721" s="831" t="s">
        <v>10380</v>
      </c>
      <c r="AG9721" s="831" t="s">
        <v>2674</v>
      </c>
      <c r="AH9721" s="831" t="s">
        <v>650</v>
      </c>
      <c r="AI9721" s="831">
        <v>0</v>
      </c>
      <c r="AJ9721" s="835">
        <v>41060</v>
      </c>
      <c r="AK9721" s="831">
        <v>0</v>
      </c>
    </row>
    <row r="9722" spans="2:37">
      <c r="B9722" s="834" t="str">
        <f t="shared" si="381"/>
        <v>|||</v>
      </c>
      <c r="H9722" s="835">
        <f t="shared" si="382"/>
        <v>31</v>
      </c>
      <c r="AF9722" s="831" t="s">
        <v>10381</v>
      </c>
      <c r="AG9722" s="831" t="s">
        <v>2674</v>
      </c>
      <c r="AH9722" s="831" t="s">
        <v>655</v>
      </c>
      <c r="AI9722" s="831">
        <v>0</v>
      </c>
      <c r="AJ9722" s="835">
        <v>41060</v>
      </c>
      <c r="AK9722" s="831">
        <v>2125799</v>
      </c>
    </row>
    <row r="9723" spans="2:37">
      <c r="B9723" s="834" t="str">
        <f t="shared" si="381"/>
        <v>|||</v>
      </c>
      <c r="H9723" s="835">
        <f t="shared" si="382"/>
        <v>31</v>
      </c>
      <c r="AF9723" s="831" t="s">
        <v>10382</v>
      </c>
      <c r="AG9723" s="831" t="s">
        <v>2674</v>
      </c>
      <c r="AH9723" s="831" t="s">
        <v>546</v>
      </c>
      <c r="AI9723" s="831">
        <v>0</v>
      </c>
      <c r="AJ9723" s="835">
        <v>41090</v>
      </c>
      <c r="AK9723" s="831">
        <v>342628450</v>
      </c>
    </row>
    <row r="9724" spans="2:37">
      <c r="B9724" s="834" t="str">
        <f t="shared" si="381"/>
        <v>|||</v>
      </c>
      <c r="H9724" s="835">
        <f t="shared" si="382"/>
        <v>31</v>
      </c>
      <c r="AF9724" s="831" t="s">
        <v>10383</v>
      </c>
      <c r="AG9724" s="831" t="s">
        <v>2674</v>
      </c>
      <c r="AH9724" s="831" t="s">
        <v>370</v>
      </c>
      <c r="AI9724" s="831">
        <v>0</v>
      </c>
      <c r="AJ9724" s="835">
        <v>41090</v>
      </c>
      <c r="AK9724" s="831">
        <v>422295379</v>
      </c>
    </row>
    <row r="9725" spans="2:37">
      <c r="B9725" s="834" t="str">
        <f t="shared" si="381"/>
        <v>|||</v>
      </c>
      <c r="H9725" s="835">
        <f t="shared" si="382"/>
        <v>31</v>
      </c>
      <c r="AF9725" s="831" t="s">
        <v>10384</v>
      </c>
      <c r="AG9725" s="831" t="s">
        <v>2674</v>
      </c>
      <c r="AH9725" s="831" t="s">
        <v>126</v>
      </c>
      <c r="AI9725" s="831">
        <v>0</v>
      </c>
      <c r="AJ9725" s="835">
        <v>41090</v>
      </c>
      <c r="AK9725" s="831">
        <v>91675016</v>
      </c>
    </row>
    <row r="9726" spans="2:37">
      <c r="B9726" s="834" t="str">
        <f t="shared" si="381"/>
        <v>|||</v>
      </c>
      <c r="H9726" s="835">
        <f t="shared" si="382"/>
        <v>31</v>
      </c>
      <c r="AF9726" s="831" t="s">
        <v>10385</v>
      </c>
      <c r="AG9726" s="831" t="s">
        <v>2674</v>
      </c>
      <c r="AH9726" s="831" t="s">
        <v>268</v>
      </c>
      <c r="AI9726" s="831">
        <v>0</v>
      </c>
      <c r="AJ9726" s="835">
        <v>41090</v>
      </c>
      <c r="AK9726" s="831">
        <v>6352093</v>
      </c>
    </row>
    <row r="9727" spans="2:37">
      <c r="B9727" s="834" t="str">
        <f t="shared" si="381"/>
        <v>|||</v>
      </c>
      <c r="H9727" s="835">
        <f t="shared" si="382"/>
        <v>31</v>
      </c>
      <c r="AF9727" s="831" t="s">
        <v>10386</v>
      </c>
      <c r="AG9727" s="831" t="s">
        <v>2674</v>
      </c>
      <c r="AH9727" s="831" t="s">
        <v>547</v>
      </c>
      <c r="AI9727" s="831">
        <v>0</v>
      </c>
      <c r="AJ9727" s="835">
        <v>41090</v>
      </c>
      <c r="AK9727" s="831">
        <v>0</v>
      </c>
    </row>
    <row r="9728" spans="2:37">
      <c r="B9728" s="834" t="str">
        <f t="shared" si="381"/>
        <v>|||</v>
      </c>
      <c r="H9728" s="835">
        <f t="shared" si="382"/>
        <v>31</v>
      </c>
      <c r="AF9728" s="831" t="s">
        <v>10387</v>
      </c>
      <c r="AG9728" s="831" t="s">
        <v>2674</v>
      </c>
      <c r="AH9728" s="831" t="s">
        <v>548</v>
      </c>
      <c r="AI9728" s="831">
        <v>0</v>
      </c>
      <c r="AJ9728" s="835">
        <v>41090</v>
      </c>
      <c r="AK9728" s="831">
        <v>0</v>
      </c>
    </row>
    <row r="9729" spans="2:37">
      <c r="B9729" s="834" t="str">
        <f t="shared" si="381"/>
        <v>|||</v>
      </c>
      <c r="H9729" s="835">
        <f t="shared" si="382"/>
        <v>31</v>
      </c>
      <c r="AF9729" s="831" t="s">
        <v>10388</v>
      </c>
      <c r="AG9729" s="831" t="s">
        <v>2674</v>
      </c>
      <c r="AH9729" s="831" t="s">
        <v>549</v>
      </c>
      <c r="AI9729" s="831">
        <v>0</v>
      </c>
      <c r="AJ9729" s="835">
        <v>41090</v>
      </c>
      <c r="AK9729" s="831">
        <v>0</v>
      </c>
    </row>
    <row r="9730" spans="2:37">
      <c r="B9730" s="834" t="str">
        <f t="shared" si="381"/>
        <v>|||</v>
      </c>
      <c r="H9730" s="835">
        <f t="shared" si="382"/>
        <v>31</v>
      </c>
      <c r="AF9730" s="831" t="s">
        <v>10389</v>
      </c>
      <c r="AG9730" s="831" t="s">
        <v>2674</v>
      </c>
      <c r="AH9730" s="831" t="s">
        <v>192</v>
      </c>
      <c r="AI9730" s="831">
        <v>0</v>
      </c>
      <c r="AJ9730" s="835">
        <v>41090</v>
      </c>
      <c r="AK9730" s="831">
        <v>-9357224</v>
      </c>
    </row>
    <row r="9731" spans="2:37">
      <c r="B9731" s="834" t="str">
        <f t="shared" ref="B9731:B9794" si="383">C9731&amp;"|"&amp;D9731&amp;"|"&amp;E9731&amp;"|"&amp;F9731</f>
        <v>|||</v>
      </c>
      <c r="H9731" s="835">
        <f t="shared" si="382"/>
        <v>31</v>
      </c>
      <c r="AF9731" s="831" t="s">
        <v>10390</v>
      </c>
      <c r="AG9731" s="831" t="s">
        <v>2674</v>
      </c>
      <c r="AH9731" s="831" t="s">
        <v>558</v>
      </c>
      <c r="AI9731" s="831">
        <v>0</v>
      </c>
      <c r="AJ9731" s="835">
        <v>41090</v>
      </c>
      <c r="AK9731" s="831">
        <v>330620363</v>
      </c>
    </row>
    <row r="9732" spans="2:37">
      <c r="B9732" s="834" t="str">
        <f t="shared" si="383"/>
        <v>|||</v>
      </c>
      <c r="H9732" s="835">
        <f t="shared" ref="H9732:H9795" si="384">EOMONTH(L9732,0)</f>
        <v>31</v>
      </c>
      <c r="AF9732" s="831" t="s">
        <v>10391</v>
      </c>
      <c r="AG9732" s="831" t="s">
        <v>2674</v>
      </c>
      <c r="AH9732" s="831" t="s">
        <v>65</v>
      </c>
      <c r="AI9732" s="831">
        <v>0</v>
      </c>
      <c r="AJ9732" s="835">
        <v>41090</v>
      </c>
      <c r="AK9732" s="831">
        <v>46070355</v>
      </c>
    </row>
    <row r="9733" spans="2:37">
      <c r="B9733" s="834" t="str">
        <f t="shared" si="383"/>
        <v>|||</v>
      </c>
      <c r="H9733" s="835">
        <f t="shared" si="384"/>
        <v>31</v>
      </c>
      <c r="AF9733" s="831" t="s">
        <v>10392</v>
      </c>
      <c r="AG9733" s="831" t="s">
        <v>2674</v>
      </c>
      <c r="AH9733" s="831" t="s">
        <v>89</v>
      </c>
      <c r="AI9733" s="831">
        <v>0</v>
      </c>
      <c r="AJ9733" s="835">
        <v>41090</v>
      </c>
      <c r="AK9733" s="831">
        <v>122094</v>
      </c>
    </row>
    <row r="9734" spans="2:37">
      <c r="B9734" s="834" t="str">
        <f t="shared" si="383"/>
        <v>|||</v>
      </c>
      <c r="H9734" s="835">
        <f t="shared" si="384"/>
        <v>31</v>
      </c>
      <c r="AF9734" s="831" t="s">
        <v>10393</v>
      </c>
      <c r="AG9734" s="831" t="s">
        <v>2674</v>
      </c>
      <c r="AH9734" s="831" t="s">
        <v>557</v>
      </c>
      <c r="AI9734" s="831">
        <v>0</v>
      </c>
      <c r="AJ9734" s="835">
        <v>41090</v>
      </c>
      <c r="AK9734" s="831">
        <v>123933</v>
      </c>
    </row>
    <row r="9735" spans="2:37">
      <c r="B9735" s="834" t="str">
        <f t="shared" si="383"/>
        <v>|||</v>
      </c>
      <c r="H9735" s="835">
        <f t="shared" si="384"/>
        <v>31</v>
      </c>
      <c r="AF9735" s="831" t="s">
        <v>10394</v>
      </c>
      <c r="AG9735" s="831" t="s">
        <v>2674</v>
      </c>
      <c r="AH9735" s="831" t="s">
        <v>29</v>
      </c>
      <c r="AI9735" s="831">
        <v>0</v>
      </c>
      <c r="AJ9735" s="835">
        <v>41090</v>
      </c>
      <c r="AK9735" s="831">
        <v>2579950</v>
      </c>
    </row>
    <row r="9736" spans="2:37">
      <c r="B9736" s="834" t="str">
        <f t="shared" si="383"/>
        <v>|||</v>
      </c>
      <c r="H9736" s="835">
        <f t="shared" si="384"/>
        <v>31</v>
      </c>
      <c r="AF9736" s="831" t="s">
        <v>10395</v>
      </c>
      <c r="AG9736" s="831" t="s">
        <v>2674</v>
      </c>
      <c r="AH9736" s="831" t="s">
        <v>2688</v>
      </c>
      <c r="AI9736" s="831">
        <v>0</v>
      </c>
      <c r="AJ9736" s="835">
        <v>41090</v>
      </c>
      <c r="AK9736" s="831">
        <v>2983420</v>
      </c>
    </row>
    <row r="9737" spans="2:37">
      <c r="B9737" s="834" t="str">
        <f t="shared" si="383"/>
        <v>|||</v>
      </c>
      <c r="H9737" s="835">
        <f t="shared" si="384"/>
        <v>31</v>
      </c>
      <c r="AF9737" s="831" t="s">
        <v>10396</v>
      </c>
      <c r="AG9737" s="831" t="s">
        <v>2674</v>
      </c>
      <c r="AH9737" s="831" t="s">
        <v>556</v>
      </c>
      <c r="AI9737" s="831">
        <v>0</v>
      </c>
      <c r="AJ9737" s="835">
        <v>41090</v>
      </c>
      <c r="AK9737" s="831">
        <v>0</v>
      </c>
    </row>
    <row r="9738" spans="2:37">
      <c r="B9738" s="834" t="str">
        <f t="shared" si="383"/>
        <v>|||</v>
      </c>
      <c r="H9738" s="835">
        <f t="shared" si="384"/>
        <v>31</v>
      </c>
      <c r="AF9738" s="831" t="s">
        <v>10397</v>
      </c>
      <c r="AG9738" s="831" t="s">
        <v>2674</v>
      </c>
      <c r="AH9738" s="831" t="s">
        <v>555</v>
      </c>
      <c r="AI9738" s="831">
        <v>0</v>
      </c>
      <c r="AJ9738" s="835">
        <v>41090</v>
      </c>
      <c r="AK9738" s="831">
        <v>197249400</v>
      </c>
    </row>
    <row r="9739" spans="2:37">
      <c r="B9739" s="834" t="str">
        <f t="shared" si="383"/>
        <v>|||</v>
      </c>
      <c r="H9739" s="835">
        <f t="shared" si="384"/>
        <v>31</v>
      </c>
      <c r="AF9739" s="831" t="s">
        <v>10398</v>
      </c>
      <c r="AG9739" s="831" t="s">
        <v>2674</v>
      </c>
      <c r="AH9739" s="831" t="s">
        <v>554</v>
      </c>
      <c r="AI9739" s="831">
        <v>0</v>
      </c>
      <c r="AJ9739" s="835">
        <v>41090</v>
      </c>
      <c r="AK9739" s="831">
        <v>196927620</v>
      </c>
    </row>
    <row r="9740" spans="2:37">
      <c r="B9740" s="834" t="str">
        <f t="shared" si="383"/>
        <v>|||</v>
      </c>
      <c r="H9740" s="835">
        <f t="shared" si="384"/>
        <v>31</v>
      </c>
      <c r="AF9740" s="831" t="s">
        <v>10399</v>
      </c>
      <c r="AG9740" s="831" t="s">
        <v>2674</v>
      </c>
      <c r="AH9740" s="831" t="s">
        <v>553</v>
      </c>
      <c r="AI9740" s="831">
        <v>0</v>
      </c>
      <c r="AJ9740" s="835">
        <v>41090</v>
      </c>
      <c r="AK9740" s="831">
        <v>0</v>
      </c>
    </row>
    <row r="9741" spans="2:37">
      <c r="B9741" s="834" t="str">
        <f t="shared" si="383"/>
        <v>|||</v>
      </c>
      <c r="H9741" s="835">
        <f t="shared" si="384"/>
        <v>31</v>
      </c>
      <c r="AF9741" s="831" t="s">
        <v>10400</v>
      </c>
      <c r="AG9741" s="831" t="s">
        <v>2674</v>
      </c>
      <c r="AH9741" s="831" t="s">
        <v>552</v>
      </c>
      <c r="AI9741" s="831">
        <v>0</v>
      </c>
      <c r="AJ9741" s="835">
        <v>41090</v>
      </c>
      <c r="AK9741" s="831">
        <v>0</v>
      </c>
    </row>
    <row r="9742" spans="2:37">
      <c r="B9742" s="834" t="str">
        <f t="shared" si="383"/>
        <v>|||</v>
      </c>
      <c r="H9742" s="835">
        <f t="shared" si="384"/>
        <v>31</v>
      </c>
      <c r="AF9742" s="831" t="s">
        <v>10401</v>
      </c>
      <c r="AG9742" s="831" t="s">
        <v>2674</v>
      </c>
      <c r="AH9742" s="831" t="s">
        <v>551</v>
      </c>
      <c r="AI9742" s="831">
        <v>0</v>
      </c>
      <c r="AJ9742" s="835">
        <v>41090</v>
      </c>
      <c r="AK9742" s="831">
        <v>2420279</v>
      </c>
    </row>
    <row r="9743" spans="2:37">
      <c r="B9743" s="834" t="str">
        <f t="shared" si="383"/>
        <v>|||</v>
      </c>
      <c r="H9743" s="835">
        <f t="shared" si="384"/>
        <v>31</v>
      </c>
      <c r="AF9743" s="831" t="s">
        <v>10402</v>
      </c>
      <c r="AG9743" s="831" t="s">
        <v>2674</v>
      </c>
      <c r="AH9743" s="831" t="s">
        <v>550</v>
      </c>
      <c r="AI9743" s="831">
        <v>0</v>
      </c>
      <c r="AJ9743" s="835">
        <v>41090</v>
      </c>
      <c r="AK9743" s="831">
        <v>90520261</v>
      </c>
    </row>
    <row r="9744" spans="2:37">
      <c r="B9744" s="834" t="str">
        <f t="shared" si="383"/>
        <v>|||</v>
      </c>
      <c r="H9744" s="835">
        <f t="shared" si="384"/>
        <v>31</v>
      </c>
      <c r="AF9744" s="831" t="s">
        <v>10403</v>
      </c>
      <c r="AG9744" s="831" t="s">
        <v>2674</v>
      </c>
      <c r="AH9744" s="831" t="s">
        <v>562</v>
      </c>
      <c r="AI9744" s="831">
        <v>0</v>
      </c>
      <c r="AJ9744" s="835">
        <v>41090</v>
      </c>
      <c r="AK9744" s="831">
        <v>0.78505000000000003</v>
      </c>
    </row>
    <row r="9745" spans="2:37">
      <c r="B9745" s="834" t="str">
        <f t="shared" si="383"/>
        <v>|||</v>
      </c>
      <c r="H9745" s="835">
        <f t="shared" si="384"/>
        <v>31</v>
      </c>
      <c r="AF9745" s="831" t="s">
        <v>10404</v>
      </c>
      <c r="AG9745" s="831" t="s">
        <v>2674</v>
      </c>
      <c r="AH9745" s="831" t="s">
        <v>2698</v>
      </c>
      <c r="AI9745" s="831">
        <v>0</v>
      </c>
      <c r="AJ9745" s="835">
        <v>41090</v>
      </c>
      <c r="AK9745" s="831">
        <v>0.78515000000000001</v>
      </c>
    </row>
    <row r="9746" spans="2:37">
      <c r="B9746" s="834" t="str">
        <f t="shared" si="383"/>
        <v>|||</v>
      </c>
      <c r="H9746" s="835">
        <f t="shared" si="384"/>
        <v>31</v>
      </c>
      <c r="AF9746" s="831" t="s">
        <v>10405</v>
      </c>
      <c r="AG9746" s="831" t="s">
        <v>2674</v>
      </c>
      <c r="AH9746" s="831" t="s">
        <v>560</v>
      </c>
      <c r="AI9746" s="831">
        <v>0</v>
      </c>
      <c r="AJ9746" s="835">
        <v>41090</v>
      </c>
      <c r="AK9746" s="831">
        <v>0.78567500000000001</v>
      </c>
    </row>
    <row r="9747" spans="2:37">
      <c r="B9747" s="834" t="str">
        <f t="shared" si="383"/>
        <v>|||</v>
      </c>
      <c r="H9747" s="835">
        <f t="shared" si="384"/>
        <v>31</v>
      </c>
      <c r="AF9747" s="831" t="s">
        <v>10406</v>
      </c>
      <c r="AG9747" s="831" t="s">
        <v>2674</v>
      </c>
      <c r="AH9747" s="831" t="s">
        <v>559</v>
      </c>
      <c r="AI9747" s="831">
        <v>0</v>
      </c>
      <c r="AJ9747" s="835">
        <v>41090</v>
      </c>
      <c r="AK9747" s="831">
        <v>0.78561666666666696</v>
      </c>
    </row>
    <row r="9748" spans="2:37">
      <c r="B9748" s="834" t="str">
        <f t="shared" si="383"/>
        <v>|||</v>
      </c>
      <c r="H9748" s="835">
        <f t="shared" si="384"/>
        <v>31</v>
      </c>
      <c r="AF9748" s="831" t="s">
        <v>10407</v>
      </c>
      <c r="AG9748" s="831" t="s">
        <v>2674</v>
      </c>
      <c r="AH9748" s="831" t="s">
        <v>568</v>
      </c>
      <c r="AI9748" s="831">
        <v>0</v>
      </c>
      <c r="AJ9748" s="835">
        <v>41090</v>
      </c>
      <c r="AK9748" s="831">
        <v>0</v>
      </c>
    </row>
    <row r="9749" spans="2:37">
      <c r="B9749" s="834" t="str">
        <f t="shared" si="383"/>
        <v>|||</v>
      </c>
      <c r="H9749" s="835">
        <f t="shared" si="384"/>
        <v>31</v>
      </c>
      <c r="AF9749" s="831" t="s">
        <v>10408</v>
      </c>
      <c r="AG9749" s="831" t="s">
        <v>2674</v>
      </c>
      <c r="AH9749" s="831" t="s">
        <v>569</v>
      </c>
      <c r="AI9749" s="831">
        <v>0</v>
      </c>
      <c r="AJ9749" s="835">
        <v>41090</v>
      </c>
      <c r="AK9749" s="831">
        <v>0</v>
      </c>
    </row>
    <row r="9750" spans="2:37">
      <c r="B9750" s="834" t="str">
        <f t="shared" si="383"/>
        <v>|||</v>
      </c>
      <c r="H9750" s="835">
        <f t="shared" si="384"/>
        <v>31</v>
      </c>
      <c r="AF9750" s="831" t="s">
        <v>10409</v>
      </c>
      <c r="AG9750" s="831" t="s">
        <v>2674</v>
      </c>
      <c r="AH9750" s="831" t="s">
        <v>570</v>
      </c>
      <c r="AI9750" s="831">
        <v>0</v>
      </c>
      <c r="AJ9750" s="835">
        <v>41090</v>
      </c>
      <c r="AK9750" s="831">
        <v>0</v>
      </c>
    </row>
    <row r="9751" spans="2:37">
      <c r="B9751" s="834" t="str">
        <f t="shared" si="383"/>
        <v>|||</v>
      </c>
      <c r="H9751" s="835">
        <f t="shared" si="384"/>
        <v>31</v>
      </c>
      <c r="AF9751" s="831" t="s">
        <v>10410</v>
      </c>
      <c r="AG9751" s="831" t="s">
        <v>2674</v>
      </c>
      <c r="AH9751" s="831" t="s">
        <v>571</v>
      </c>
      <c r="AI9751" s="831">
        <v>0</v>
      </c>
      <c r="AJ9751" s="835">
        <v>41090</v>
      </c>
      <c r="AK9751" s="831">
        <v>0</v>
      </c>
    </row>
    <row r="9752" spans="2:37">
      <c r="B9752" s="834" t="str">
        <f t="shared" si="383"/>
        <v>|||</v>
      </c>
      <c r="H9752" s="835">
        <f t="shared" si="384"/>
        <v>31</v>
      </c>
      <c r="AF9752" s="831" t="s">
        <v>10411</v>
      </c>
      <c r="AG9752" s="831" t="s">
        <v>2674</v>
      </c>
      <c r="AH9752" s="831" t="s">
        <v>573</v>
      </c>
      <c r="AI9752" s="831">
        <v>0</v>
      </c>
      <c r="AJ9752" s="835">
        <v>41090</v>
      </c>
      <c r="AK9752" s="831">
        <v>0</v>
      </c>
    </row>
    <row r="9753" spans="2:37">
      <c r="B9753" s="834" t="str">
        <f t="shared" si="383"/>
        <v>|||</v>
      </c>
      <c r="H9753" s="835">
        <f t="shared" si="384"/>
        <v>31</v>
      </c>
      <c r="AF9753" s="831" t="s">
        <v>10412</v>
      </c>
      <c r="AG9753" s="831" t="s">
        <v>2674</v>
      </c>
      <c r="AH9753" s="831" t="s">
        <v>574</v>
      </c>
      <c r="AI9753" s="831">
        <v>0</v>
      </c>
      <c r="AJ9753" s="835">
        <v>41090</v>
      </c>
      <c r="AK9753" s="831">
        <v>0</v>
      </c>
    </row>
    <row r="9754" spans="2:37">
      <c r="B9754" s="834" t="str">
        <f t="shared" si="383"/>
        <v>|||</v>
      </c>
      <c r="H9754" s="835">
        <f t="shared" si="384"/>
        <v>31</v>
      </c>
      <c r="AF9754" s="831" t="s">
        <v>10413</v>
      </c>
      <c r="AG9754" s="831" t="s">
        <v>2674</v>
      </c>
      <c r="AH9754" s="831" t="s">
        <v>575</v>
      </c>
      <c r="AI9754" s="831">
        <v>0</v>
      </c>
      <c r="AJ9754" s="835">
        <v>41090</v>
      </c>
      <c r="AK9754" s="831">
        <v>0</v>
      </c>
    </row>
    <row r="9755" spans="2:37">
      <c r="B9755" s="834" t="str">
        <f t="shared" si="383"/>
        <v>|||</v>
      </c>
      <c r="H9755" s="835">
        <f t="shared" si="384"/>
        <v>31</v>
      </c>
      <c r="AF9755" s="831" t="s">
        <v>10414</v>
      </c>
      <c r="AG9755" s="831" t="s">
        <v>2674</v>
      </c>
      <c r="AH9755" s="831" t="s">
        <v>576</v>
      </c>
      <c r="AI9755" s="831">
        <v>0</v>
      </c>
      <c r="AJ9755" s="835">
        <v>41090</v>
      </c>
      <c r="AK9755" s="831">
        <v>0</v>
      </c>
    </row>
    <row r="9756" spans="2:37">
      <c r="B9756" s="834" t="str">
        <f t="shared" si="383"/>
        <v>|||</v>
      </c>
      <c r="H9756" s="835">
        <f t="shared" si="384"/>
        <v>31</v>
      </c>
      <c r="AF9756" s="831" t="s">
        <v>10415</v>
      </c>
      <c r="AG9756" s="831" t="s">
        <v>2674</v>
      </c>
      <c r="AH9756" s="831" t="s">
        <v>572</v>
      </c>
      <c r="AI9756" s="831">
        <v>0</v>
      </c>
      <c r="AJ9756" s="835">
        <v>41090</v>
      </c>
      <c r="AK9756" s="831">
        <v>0</v>
      </c>
    </row>
    <row r="9757" spans="2:37">
      <c r="B9757" s="834" t="str">
        <f t="shared" si="383"/>
        <v>|||</v>
      </c>
      <c r="H9757" s="835">
        <f t="shared" si="384"/>
        <v>31</v>
      </c>
      <c r="AF9757" s="831" t="s">
        <v>10416</v>
      </c>
      <c r="AG9757" s="831" t="s">
        <v>2674</v>
      </c>
      <c r="AH9757" s="831" t="s">
        <v>577</v>
      </c>
      <c r="AI9757" s="831">
        <v>0</v>
      </c>
      <c r="AJ9757" s="835">
        <v>41090</v>
      </c>
      <c r="AK9757" s="831">
        <v>0</v>
      </c>
    </row>
    <row r="9758" spans="2:37">
      <c r="B9758" s="834" t="str">
        <f t="shared" si="383"/>
        <v>|||</v>
      </c>
      <c r="H9758" s="835">
        <f t="shared" si="384"/>
        <v>31</v>
      </c>
      <c r="AF9758" s="831" t="s">
        <v>10417</v>
      </c>
      <c r="AG9758" s="831" t="s">
        <v>2674</v>
      </c>
      <c r="AH9758" s="831" t="s">
        <v>3042</v>
      </c>
      <c r="AI9758" s="831">
        <v>0</v>
      </c>
      <c r="AJ9758" s="835">
        <v>41090</v>
      </c>
      <c r="AK9758" s="831">
        <v>0</v>
      </c>
    </row>
    <row r="9759" spans="2:37">
      <c r="B9759" s="834" t="str">
        <f t="shared" si="383"/>
        <v>|||</v>
      </c>
      <c r="H9759" s="835">
        <f t="shared" si="384"/>
        <v>31</v>
      </c>
      <c r="AF9759" s="831" t="s">
        <v>10418</v>
      </c>
      <c r="AG9759" s="831" t="s">
        <v>2674</v>
      </c>
      <c r="AH9759" s="831" t="s">
        <v>3044</v>
      </c>
      <c r="AI9759" s="831">
        <v>0</v>
      </c>
      <c r="AJ9759" s="835">
        <v>41090</v>
      </c>
      <c r="AK9759" s="831">
        <v>0</v>
      </c>
    </row>
    <row r="9760" spans="2:37">
      <c r="B9760" s="834" t="str">
        <f t="shared" si="383"/>
        <v>|||</v>
      </c>
      <c r="H9760" s="835">
        <f t="shared" si="384"/>
        <v>31</v>
      </c>
      <c r="AF9760" s="831" t="s">
        <v>10419</v>
      </c>
      <c r="AG9760" s="831" t="s">
        <v>2674</v>
      </c>
      <c r="AH9760" s="831" t="s">
        <v>580</v>
      </c>
      <c r="AI9760" s="831">
        <v>0</v>
      </c>
      <c r="AJ9760" s="835">
        <v>41090</v>
      </c>
      <c r="AK9760" s="831">
        <v>0</v>
      </c>
    </row>
    <row r="9761" spans="2:37">
      <c r="B9761" s="834" t="str">
        <f t="shared" si="383"/>
        <v>|||</v>
      </c>
      <c r="H9761" s="835">
        <f t="shared" si="384"/>
        <v>31</v>
      </c>
      <c r="AF9761" s="831" t="s">
        <v>10420</v>
      </c>
      <c r="AG9761" s="831" t="s">
        <v>2674</v>
      </c>
      <c r="AH9761" s="831" t="s">
        <v>581</v>
      </c>
      <c r="AI9761" s="831">
        <v>0</v>
      </c>
      <c r="AJ9761" s="835">
        <v>41090</v>
      </c>
      <c r="AK9761" s="831">
        <v>0</v>
      </c>
    </row>
    <row r="9762" spans="2:37">
      <c r="B9762" s="834" t="str">
        <f t="shared" si="383"/>
        <v>|||</v>
      </c>
      <c r="H9762" s="835">
        <f t="shared" si="384"/>
        <v>31</v>
      </c>
      <c r="AF9762" s="831" t="s">
        <v>10421</v>
      </c>
      <c r="AG9762" s="831" t="s">
        <v>2674</v>
      </c>
      <c r="AH9762" s="831" t="s">
        <v>105</v>
      </c>
      <c r="AI9762" s="831">
        <v>0</v>
      </c>
      <c r="AJ9762" s="835">
        <v>41090</v>
      </c>
      <c r="AK9762" s="831">
        <v>152917631</v>
      </c>
    </row>
    <row r="9763" spans="2:37">
      <c r="B9763" s="834" t="str">
        <f t="shared" si="383"/>
        <v>|||</v>
      </c>
      <c r="H9763" s="835">
        <f t="shared" si="384"/>
        <v>31</v>
      </c>
      <c r="AF9763" s="831" t="s">
        <v>10422</v>
      </c>
      <c r="AG9763" s="831" t="s">
        <v>2674</v>
      </c>
      <c r="AH9763" s="831" t="s">
        <v>3049</v>
      </c>
      <c r="AI9763" s="831">
        <v>0</v>
      </c>
      <c r="AJ9763" s="835">
        <v>41090</v>
      </c>
      <c r="AK9763" s="831">
        <v>317640148</v>
      </c>
    </row>
    <row r="9764" spans="2:37">
      <c r="B9764" s="834" t="str">
        <f t="shared" si="383"/>
        <v>|||</v>
      </c>
      <c r="H9764" s="835">
        <f t="shared" si="384"/>
        <v>31</v>
      </c>
      <c r="AF9764" s="831" t="s">
        <v>10423</v>
      </c>
      <c r="AG9764" s="831" t="s">
        <v>2674</v>
      </c>
      <c r="AH9764" s="831" t="s">
        <v>103</v>
      </c>
      <c r="AI9764" s="831">
        <v>0</v>
      </c>
      <c r="AJ9764" s="835">
        <v>41090</v>
      </c>
      <c r="AK9764" s="831">
        <v>164722517</v>
      </c>
    </row>
    <row r="9765" spans="2:37">
      <c r="B9765" s="834" t="str">
        <f t="shared" si="383"/>
        <v>|||</v>
      </c>
      <c r="H9765" s="835">
        <f t="shared" si="384"/>
        <v>31</v>
      </c>
      <c r="AF9765" s="831" t="s">
        <v>10424</v>
      </c>
      <c r="AG9765" s="831" t="s">
        <v>2674</v>
      </c>
      <c r="AH9765" s="831" t="s">
        <v>182</v>
      </c>
      <c r="AI9765" s="831">
        <v>0</v>
      </c>
      <c r="AJ9765" s="835">
        <v>41090</v>
      </c>
      <c r="AK9765" s="831">
        <v>51276754</v>
      </c>
    </row>
    <row r="9766" spans="2:37">
      <c r="B9766" s="834" t="str">
        <f t="shared" si="383"/>
        <v>|||</v>
      </c>
      <c r="H9766" s="835">
        <f t="shared" si="384"/>
        <v>31</v>
      </c>
      <c r="AF9766" s="831" t="s">
        <v>10425</v>
      </c>
      <c r="AG9766" s="831" t="s">
        <v>2674</v>
      </c>
      <c r="AH9766" s="831" t="s">
        <v>6600</v>
      </c>
      <c r="AI9766" s="831">
        <v>0</v>
      </c>
      <c r="AJ9766" s="835">
        <v>41090</v>
      </c>
      <c r="AK9766" s="831">
        <v>0</v>
      </c>
    </row>
    <row r="9767" spans="2:37">
      <c r="B9767" s="834" t="str">
        <f t="shared" si="383"/>
        <v>|||</v>
      </c>
      <c r="H9767" s="835">
        <f t="shared" si="384"/>
        <v>31</v>
      </c>
      <c r="AF9767" s="831" t="s">
        <v>10426</v>
      </c>
      <c r="AG9767" s="831" t="s">
        <v>2674</v>
      </c>
      <c r="AH9767" s="831" t="s">
        <v>6602</v>
      </c>
      <c r="AI9767" s="831">
        <v>0</v>
      </c>
      <c r="AJ9767" s="835">
        <v>41090</v>
      </c>
      <c r="AK9767" s="831">
        <v>6352093</v>
      </c>
    </row>
    <row r="9768" spans="2:37">
      <c r="B9768" s="834" t="str">
        <f t="shared" si="383"/>
        <v>|||</v>
      </c>
      <c r="H9768" s="835">
        <f t="shared" si="384"/>
        <v>31</v>
      </c>
      <c r="AF9768" s="831" t="s">
        <v>10427</v>
      </c>
      <c r="AG9768" s="831" t="s">
        <v>2674</v>
      </c>
      <c r="AH9768" s="831" t="s">
        <v>650</v>
      </c>
      <c r="AI9768" s="831">
        <v>0</v>
      </c>
      <c r="AJ9768" s="835">
        <v>41090</v>
      </c>
      <c r="AK9768" s="831">
        <v>0</v>
      </c>
    </row>
    <row r="9769" spans="2:37">
      <c r="B9769" s="834" t="str">
        <f t="shared" si="383"/>
        <v>|||</v>
      </c>
      <c r="H9769" s="835">
        <f t="shared" si="384"/>
        <v>31</v>
      </c>
      <c r="AF9769" s="831" t="s">
        <v>10428</v>
      </c>
      <c r="AG9769" s="831" t="s">
        <v>2674</v>
      </c>
      <c r="AH9769" s="831" t="s">
        <v>655</v>
      </c>
      <c r="AI9769" s="831">
        <v>0</v>
      </c>
      <c r="AJ9769" s="835">
        <v>41090</v>
      </c>
      <c r="AK9769" s="831">
        <v>2251978</v>
      </c>
    </row>
    <row r="9770" spans="2:37">
      <c r="B9770" s="834" t="str">
        <f t="shared" si="383"/>
        <v>|||</v>
      </c>
      <c r="H9770" s="835">
        <f t="shared" si="384"/>
        <v>31</v>
      </c>
      <c r="AF9770" s="831" t="s">
        <v>10429</v>
      </c>
      <c r="AG9770" s="831" t="s">
        <v>2674</v>
      </c>
      <c r="AH9770" s="831" t="s">
        <v>546</v>
      </c>
      <c r="AI9770" s="831">
        <v>0</v>
      </c>
      <c r="AJ9770" s="835">
        <v>41121</v>
      </c>
      <c r="AK9770" s="831">
        <v>350104350</v>
      </c>
    </row>
    <row r="9771" spans="2:37">
      <c r="B9771" s="834" t="str">
        <f t="shared" si="383"/>
        <v>|||</v>
      </c>
      <c r="H9771" s="835">
        <f t="shared" si="384"/>
        <v>31</v>
      </c>
      <c r="AF9771" s="831" t="s">
        <v>10430</v>
      </c>
      <c r="AG9771" s="831" t="s">
        <v>2674</v>
      </c>
      <c r="AH9771" s="831" t="s">
        <v>370</v>
      </c>
      <c r="AI9771" s="831">
        <v>0</v>
      </c>
      <c r="AJ9771" s="835">
        <v>41121</v>
      </c>
      <c r="AK9771" s="831">
        <v>438122032</v>
      </c>
    </row>
    <row r="9772" spans="2:37">
      <c r="B9772" s="834" t="str">
        <f t="shared" si="383"/>
        <v>|||</v>
      </c>
      <c r="H9772" s="835">
        <f t="shared" si="384"/>
        <v>31</v>
      </c>
      <c r="AF9772" s="831" t="s">
        <v>10431</v>
      </c>
      <c r="AG9772" s="831" t="s">
        <v>2674</v>
      </c>
      <c r="AH9772" s="831" t="s">
        <v>126</v>
      </c>
      <c r="AI9772" s="831">
        <v>0</v>
      </c>
      <c r="AJ9772" s="835">
        <v>41121</v>
      </c>
      <c r="AK9772" s="831">
        <v>93426827</v>
      </c>
    </row>
    <row r="9773" spans="2:37">
      <c r="B9773" s="834" t="str">
        <f t="shared" si="383"/>
        <v>|||</v>
      </c>
      <c r="H9773" s="835">
        <f t="shared" si="384"/>
        <v>31</v>
      </c>
      <c r="AF9773" s="831" t="s">
        <v>10432</v>
      </c>
      <c r="AG9773" s="831" t="s">
        <v>2674</v>
      </c>
      <c r="AH9773" s="831" t="s">
        <v>268</v>
      </c>
      <c r="AI9773" s="831">
        <v>0</v>
      </c>
      <c r="AJ9773" s="835">
        <v>41121</v>
      </c>
      <c r="AK9773" s="831">
        <v>8103905</v>
      </c>
    </row>
    <row r="9774" spans="2:37">
      <c r="B9774" s="834" t="str">
        <f t="shared" si="383"/>
        <v>|||</v>
      </c>
      <c r="H9774" s="835">
        <f t="shared" si="384"/>
        <v>31</v>
      </c>
      <c r="AF9774" s="831" t="s">
        <v>10433</v>
      </c>
      <c r="AG9774" s="831" t="s">
        <v>2674</v>
      </c>
      <c r="AH9774" s="831" t="s">
        <v>547</v>
      </c>
      <c r="AI9774" s="831">
        <v>0</v>
      </c>
      <c r="AJ9774" s="835">
        <v>41121</v>
      </c>
      <c r="AK9774" s="831">
        <v>0</v>
      </c>
    </row>
    <row r="9775" spans="2:37">
      <c r="B9775" s="834" t="str">
        <f t="shared" si="383"/>
        <v>|||</v>
      </c>
      <c r="H9775" s="835">
        <f t="shared" si="384"/>
        <v>31</v>
      </c>
      <c r="AF9775" s="831" t="s">
        <v>10434</v>
      </c>
      <c r="AG9775" s="831" t="s">
        <v>2674</v>
      </c>
      <c r="AH9775" s="831" t="s">
        <v>548</v>
      </c>
      <c r="AI9775" s="831">
        <v>0</v>
      </c>
      <c r="AJ9775" s="835">
        <v>41121</v>
      </c>
      <c r="AK9775" s="831">
        <v>0</v>
      </c>
    </row>
    <row r="9776" spans="2:37">
      <c r="B9776" s="834" t="str">
        <f t="shared" si="383"/>
        <v>|||</v>
      </c>
      <c r="H9776" s="835">
        <f t="shared" si="384"/>
        <v>31</v>
      </c>
      <c r="AF9776" s="831" t="s">
        <v>10435</v>
      </c>
      <c r="AG9776" s="831" t="s">
        <v>2674</v>
      </c>
      <c r="AH9776" s="831" t="s">
        <v>549</v>
      </c>
      <c r="AI9776" s="831">
        <v>0</v>
      </c>
      <c r="AJ9776" s="835">
        <v>41121</v>
      </c>
      <c r="AK9776" s="831">
        <v>0</v>
      </c>
    </row>
    <row r="9777" spans="2:37">
      <c r="B9777" s="834" t="str">
        <f t="shared" si="383"/>
        <v>|||</v>
      </c>
      <c r="H9777" s="835">
        <f t="shared" si="384"/>
        <v>31</v>
      </c>
      <c r="AF9777" s="831" t="s">
        <v>10436</v>
      </c>
      <c r="AG9777" s="831" t="s">
        <v>2674</v>
      </c>
      <c r="AH9777" s="831" t="s">
        <v>192</v>
      </c>
      <c r="AI9777" s="831">
        <v>0</v>
      </c>
      <c r="AJ9777" s="835">
        <v>41121</v>
      </c>
      <c r="AK9777" s="831">
        <v>-9691486</v>
      </c>
    </row>
    <row r="9778" spans="2:37">
      <c r="B9778" s="834" t="str">
        <f t="shared" si="383"/>
        <v>|||</v>
      </c>
      <c r="H9778" s="835">
        <f t="shared" si="384"/>
        <v>31</v>
      </c>
      <c r="AF9778" s="831" t="s">
        <v>10437</v>
      </c>
      <c r="AG9778" s="831" t="s">
        <v>2674</v>
      </c>
      <c r="AH9778" s="831" t="s">
        <v>558</v>
      </c>
      <c r="AI9778" s="831">
        <v>0</v>
      </c>
      <c r="AJ9778" s="835">
        <v>41121</v>
      </c>
      <c r="AK9778" s="831">
        <v>344695205</v>
      </c>
    </row>
    <row r="9779" spans="2:37">
      <c r="B9779" s="834" t="str">
        <f t="shared" si="383"/>
        <v>|||</v>
      </c>
      <c r="H9779" s="835">
        <f t="shared" si="384"/>
        <v>31</v>
      </c>
      <c r="AF9779" s="831" t="s">
        <v>10438</v>
      </c>
      <c r="AG9779" s="831" t="s">
        <v>2674</v>
      </c>
      <c r="AH9779" s="831" t="s">
        <v>65</v>
      </c>
      <c r="AI9779" s="831">
        <v>0</v>
      </c>
      <c r="AJ9779" s="835">
        <v>41121</v>
      </c>
      <c r="AK9779" s="831">
        <v>54573964</v>
      </c>
    </row>
    <row r="9780" spans="2:37">
      <c r="B9780" s="834" t="str">
        <f t="shared" si="383"/>
        <v>|||</v>
      </c>
      <c r="H9780" s="835">
        <f t="shared" si="384"/>
        <v>31</v>
      </c>
      <c r="AF9780" s="831" t="s">
        <v>10439</v>
      </c>
      <c r="AG9780" s="831" t="s">
        <v>2674</v>
      </c>
      <c r="AH9780" s="831" t="s">
        <v>89</v>
      </c>
      <c r="AI9780" s="831">
        <v>0</v>
      </c>
      <c r="AJ9780" s="835">
        <v>41121</v>
      </c>
      <c r="AK9780" s="831">
        <v>121835</v>
      </c>
    </row>
    <row r="9781" spans="2:37">
      <c r="B9781" s="834" t="str">
        <f t="shared" si="383"/>
        <v>|||</v>
      </c>
      <c r="H9781" s="835">
        <f t="shared" si="384"/>
        <v>31</v>
      </c>
      <c r="AF9781" s="831" t="s">
        <v>10440</v>
      </c>
      <c r="AG9781" s="831" t="s">
        <v>2674</v>
      </c>
      <c r="AH9781" s="831" t="s">
        <v>557</v>
      </c>
      <c r="AI9781" s="831">
        <v>0</v>
      </c>
      <c r="AJ9781" s="835">
        <v>41121</v>
      </c>
      <c r="AK9781" s="831">
        <v>123680</v>
      </c>
    </row>
    <row r="9782" spans="2:37">
      <c r="B9782" s="834" t="str">
        <f t="shared" si="383"/>
        <v>|||</v>
      </c>
      <c r="H9782" s="835">
        <f t="shared" si="384"/>
        <v>31</v>
      </c>
      <c r="AF9782" s="831" t="s">
        <v>10441</v>
      </c>
      <c r="AG9782" s="831" t="s">
        <v>2674</v>
      </c>
      <c r="AH9782" s="831" t="s">
        <v>29</v>
      </c>
      <c r="AI9782" s="831">
        <v>0</v>
      </c>
      <c r="AJ9782" s="835">
        <v>41121</v>
      </c>
      <c r="AK9782" s="831">
        <v>2520940</v>
      </c>
    </row>
    <row r="9783" spans="2:37">
      <c r="B9783" s="834" t="str">
        <f t="shared" si="383"/>
        <v>|||</v>
      </c>
      <c r="H9783" s="835">
        <f t="shared" si="384"/>
        <v>31</v>
      </c>
      <c r="AF9783" s="831" t="s">
        <v>10442</v>
      </c>
      <c r="AG9783" s="831" t="s">
        <v>2674</v>
      </c>
      <c r="AH9783" s="831" t="s">
        <v>2688</v>
      </c>
      <c r="AI9783" s="831">
        <v>0</v>
      </c>
      <c r="AJ9783" s="835">
        <v>41121</v>
      </c>
      <c r="AK9783" s="831">
        <v>2874987.63</v>
      </c>
    </row>
    <row r="9784" spans="2:37">
      <c r="B9784" s="834" t="str">
        <f t="shared" si="383"/>
        <v>|||</v>
      </c>
      <c r="H9784" s="835">
        <f t="shared" si="384"/>
        <v>31</v>
      </c>
      <c r="AF9784" s="831" t="s">
        <v>10443</v>
      </c>
      <c r="AG9784" s="831" t="s">
        <v>2674</v>
      </c>
      <c r="AH9784" s="831" t="s">
        <v>556</v>
      </c>
      <c r="AI9784" s="831">
        <v>0</v>
      </c>
      <c r="AJ9784" s="835">
        <v>41121</v>
      </c>
      <c r="AK9784" s="831">
        <v>0</v>
      </c>
    </row>
    <row r="9785" spans="2:37">
      <c r="B9785" s="834" t="str">
        <f t="shared" si="383"/>
        <v>|||</v>
      </c>
      <c r="H9785" s="835">
        <f t="shared" si="384"/>
        <v>31</v>
      </c>
      <c r="AF9785" s="831" t="s">
        <v>10444</v>
      </c>
      <c r="AG9785" s="831" t="s">
        <v>2674</v>
      </c>
      <c r="AH9785" s="831" t="s">
        <v>555</v>
      </c>
      <c r="AI9785" s="831">
        <v>0</v>
      </c>
      <c r="AJ9785" s="835">
        <v>41121</v>
      </c>
      <c r="AK9785" s="831">
        <v>212532560</v>
      </c>
    </row>
    <row r="9786" spans="2:37">
      <c r="B9786" s="834" t="str">
        <f t="shared" si="383"/>
        <v>|||</v>
      </c>
      <c r="H9786" s="835">
        <f t="shared" si="384"/>
        <v>31</v>
      </c>
      <c r="AF9786" s="831" t="s">
        <v>10445</v>
      </c>
      <c r="AG9786" s="831" t="s">
        <v>2674</v>
      </c>
      <c r="AH9786" s="831" t="s">
        <v>554</v>
      </c>
      <c r="AI9786" s="831">
        <v>0</v>
      </c>
      <c r="AJ9786" s="835">
        <v>41121</v>
      </c>
      <c r="AK9786" s="831">
        <v>206644050</v>
      </c>
    </row>
    <row r="9787" spans="2:37">
      <c r="B9787" s="834" t="str">
        <f t="shared" si="383"/>
        <v>|||</v>
      </c>
      <c r="H9787" s="835">
        <f t="shared" si="384"/>
        <v>31</v>
      </c>
      <c r="AF9787" s="831" t="s">
        <v>10446</v>
      </c>
      <c r="AG9787" s="831" t="s">
        <v>2674</v>
      </c>
      <c r="AH9787" s="831" t="s">
        <v>553</v>
      </c>
      <c r="AI9787" s="831">
        <v>0</v>
      </c>
      <c r="AJ9787" s="835">
        <v>41121</v>
      </c>
      <c r="AK9787" s="831">
        <v>0</v>
      </c>
    </row>
    <row r="9788" spans="2:37">
      <c r="B9788" s="834" t="str">
        <f t="shared" si="383"/>
        <v>|||</v>
      </c>
      <c r="H9788" s="835">
        <f t="shared" si="384"/>
        <v>31</v>
      </c>
      <c r="AF9788" s="831" t="s">
        <v>10447</v>
      </c>
      <c r="AG9788" s="831" t="s">
        <v>2674</v>
      </c>
      <c r="AH9788" s="831" t="s">
        <v>552</v>
      </c>
      <c r="AI9788" s="831">
        <v>0</v>
      </c>
      <c r="AJ9788" s="835">
        <v>41121</v>
      </c>
      <c r="AK9788" s="831">
        <v>0</v>
      </c>
    </row>
    <row r="9789" spans="2:37">
      <c r="B9789" s="834" t="str">
        <f t="shared" si="383"/>
        <v>|||</v>
      </c>
      <c r="H9789" s="835">
        <f t="shared" si="384"/>
        <v>31</v>
      </c>
      <c r="AF9789" s="831" t="s">
        <v>10448</v>
      </c>
      <c r="AG9789" s="831" t="s">
        <v>2674</v>
      </c>
      <c r="AH9789" s="831" t="s">
        <v>551</v>
      </c>
      <c r="AI9789" s="831">
        <v>0</v>
      </c>
      <c r="AJ9789" s="835">
        <v>41121</v>
      </c>
      <c r="AK9789" s="831">
        <v>2408186</v>
      </c>
    </row>
    <row r="9790" spans="2:37">
      <c r="B9790" s="834" t="str">
        <f t="shared" si="383"/>
        <v>|||</v>
      </c>
      <c r="H9790" s="835">
        <f t="shared" si="384"/>
        <v>31</v>
      </c>
      <c r="AF9790" s="831" t="s">
        <v>10449</v>
      </c>
      <c r="AG9790" s="831" t="s">
        <v>2674</v>
      </c>
      <c r="AH9790" s="831" t="s">
        <v>550</v>
      </c>
      <c r="AI9790" s="831">
        <v>0</v>
      </c>
      <c r="AJ9790" s="835">
        <v>41121</v>
      </c>
      <c r="AK9790" s="831">
        <v>91675016</v>
      </c>
    </row>
    <row r="9791" spans="2:37">
      <c r="B9791" s="834" t="str">
        <f t="shared" si="383"/>
        <v>|||</v>
      </c>
      <c r="H9791" s="835">
        <f t="shared" si="384"/>
        <v>31</v>
      </c>
      <c r="AF9791" s="831" t="s">
        <v>10450</v>
      </c>
      <c r="AG9791" s="831" t="s">
        <v>2674</v>
      </c>
      <c r="AH9791" s="831" t="s">
        <v>562</v>
      </c>
      <c r="AI9791" s="831">
        <v>0</v>
      </c>
      <c r="AJ9791" s="835">
        <v>41121</v>
      </c>
      <c r="AK9791" s="831">
        <v>0.78495000000000004</v>
      </c>
    </row>
    <row r="9792" spans="2:37">
      <c r="B9792" s="834" t="str">
        <f t="shared" si="383"/>
        <v>|||</v>
      </c>
      <c r="H9792" s="835">
        <f t="shared" si="384"/>
        <v>31</v>
      </c>
      <c r="AF9792" s="831" t="s">
        <v>10451</v>
      </c>
      <c r="AG9792" s="831" t="s">
        <v>2674</v>
      </c>
      <c r="AH9792" s="831" t="s">
        <v>2698</v>
      </c>
      <c r="AI9792" s="831">
        <v>0</v>
      </c>
      <c r="AJ9792" s="835">
        <v>41121</v>
      </c>
      <c r="AK9792" s="831">
        <v>0.78505000000000003</v>
      </c>
    </row>
    <row r="9793" spans="2:37">
      <c r="B9793" s="834" t="str">
        <f t="shared" si="383"/>
        <v>|||</v>
      </c>
      <c r="H9793" s="835">
        <f t="shared" si="384"/>
        <v>31</v>
      </c>
      <c r="AF9793" s="831" t="s">
        <v>10452</v>
      </c>
      <c r="AG9793" s="831" t="s">
        <v>2674</v>
      </c>
      <c r="AH9793" s="831" t="s">
        <v>560</v>
      </c>
      <c r="AI9793" s="831">
        <v>0</v>
      </c>
      <c r="AJ9793" s="835">
        <v>41121</v>
      </c>
      <c r="AK9793" s="831">
        <v>0.78557142857142903</v>
      </c>
    </row>
    <row r="9794" spans="2:37">
      <c r="B9794" s="834" t="str">
        <f t="shared" si="383"/>
        <v>|||</v>
      </c>
      <c r="H9794" s="835">
        <f t="shared" si="384"/>
        <v>31</v>
      </c>
      <c r="AF9794" s="831" t="s">
        <v>10453</v>
      </c>
      <c r="AG9794" s="831" t="s">
        <v>2674</v>
      </c>
      <c r="AH9794" s="831" t="s">
        <v>559</v>
      </c>
      <c r="AI9794" s="831">
        <v>0</v>
      </c>
      <c r="AJ9794" s="835">
        <v>41121</v>
      </c>
      <c r="AK9794" s="831">
        <v>0.78549166666666703</v>
      </c>
    </row>
    <row r="9795" spans="2:37">
      <c r="B9795" s="834" t="str">
        <f t="shared" ref="B9795:B9858" si="385">C9795&amp;"|"&amp;D9795&amp;"|"&amp;E9795&amp;"|"&amp;F9795</f>
        <v>|||</v>
      </c>
      <c r="H9795" s="835">
        <f t="shared" si="384"/>
        <v>31</v>
      </c>
      <c r="AF9795" s="831" t="s">
        <v>10454</v>
      </c>
      <c r="AG9795" s="831" t="s">
        <v>2674</v>
      </c>
      <c r="AH9795" s="831" t="s">
        <v>568</v>
      </c>
      <c r="AI9795" s="831">
        <v>0</v>
      </c>
      <c r="AJ9795" s="835">
        <v>41121</v>
      </c>
      <c r="AK9795" s="831">
        <v>0</v>
      </c>
    </row>
    <row r="9796" spans="2:37">
      <c r="B9796" s="834" t="str">
        <f t="shared" si="385"/>
        <v>|||</v>
      </c>
      <c r="H9796" s="835">
        <f t="shared" ref="H9796:H9859" si="386">EOMONTH(L9796,0)</f>
        <v>31</v>
      </c>
      <c r="AF9796" s="831" t="s">
        <v>10455</v>
      </c>
      <c r="AG9796" s="831" t="s">
        <v>2674</v>
      </c>
      <c r="AH9796" s="831" t="s">
        <v>569</v>
      </c>
      <c r="AI9796" s="831">
        <v>0</v>
      </c>
      <c r="AJ9796" s="835">
        <v>41121</v>
      </c>
      <c r="AK9796" s="831">
        <v>0</v>
      </c>
    </row>
    <row r="9797" spans="2:37">
      <c r="B9797" s="834" t="str">
        <f t="shared" si="385"/>
        <v>|||</v>
      </c>
      <c r="H9797" s="835">
        <f t="shared" si="386"/>
        <v>31</v>
      </c>
      <c r="AF9797" s="831" t="s">
        <v>10456</v>
      </c>
      <c r="AG9797" s="831" t="s">
        <v>2674</v>
      </c>
      <c r="AH9797" s="831" t="s">
        <v>570</v>
      </c>
      <c r="AI9797" s="831">
        <v>0</v>
      </c>
      <c r="AJ9797" s="835">
        <v>41121</v>
      </c>
      <c r="AK9797" s="831">
        <v>0</v>
      </c>
    </row>
    <row r="9798" spans="2:37">
      <c r="B9798" s="834" t="str">
        <f t="shared" si="385"/>
        <v>|||</v>
      </c>
      <c r="H9798" s="835">
        <f t="shared" si="386"/>
        <v>31</v>
      </c>
      <c r="AF9798" s="831" t="s">
        <v>10457</v>
      </c>
      <c r="AG9798" s="831" t="s">
        <v>2674</v>
      </c>
      <c r="AH9798" s="831" t="s">
        <v>571</v>
      </c>
      <c r="AI9798" s="831">
        <v>0</v>
      </c>
      <c r="AJ9798" s="835">
        <v>41121</v>
      </c>
      <c r="AK9798" s="831">
        <v>0</v>
      </c>
    </row>
    <row r="9799" spans="2:37">
      <c r="B9799" s="834" t="str">
        <f t="shared" si="385"/>
        <v>|||</v>
      </c>
      <c r="H9799" s="835">
        <f t="shared" si="386"/>
        <v>31</v>
      </c>
      <c r="AF9799" s="831" t="s">
        <v>10458</v>
      </c>
      <c r="AG9799" s="831" t="s">
        <v>2674</v>
      </c>
      <c r="AH9799" s="831" t="s">
        <v>573</v>
      </c>
      <c r="AI9799" s="831">
        <v>0</v>
      </c>
      <c r="AJ9799" s="835">
        <v>41121</v>
      </c>
      <c r="AK9799" s="831">
        <v>0</v>
      </c>
    </row>
    <row r="9800" spans="2:37">
      <c r="B9800" s="834" t="str">
        <f t="shared" si="385"/>
        <v>|||</v>
      </c>
      <c r="H9800" s="835">
        <f t="shared" si="386"/>
        <v>31</v>
      </c>
      <c r="AF9800" s="831" t="s">
        <v>10459</v>
      </c>
      <c r="AG9800" s="831" t="s">
        <v>2674</v>
      </c>
      <c r="AH9800" s="831" t="s">
        <v>574</v>
      </c>
      <c r="AI9800" s="831">
        <v>0</v>
      </c>
      <c r="AJ9800" s="835">
        <v>41121</v>
      </c>
      <c r="AK9800" s="831">
        <v>0</v>
      </c>
    </row>
    <row r="9801" spans="2:37">
      <c r="B9801" s="834" t="str">
        <f t="shared" si="385"/>
        <v>|||</v>
      </c>
      <c r="H9801" s="835">
        <f t="shared" si="386"/>
        <v>31</v>
      </c>
      <c r="AF9801" s="831" t="s">
        <v>10460</v>
      </c>
      <c r="AG9801" s="831" t="s">
        <v>2674</v>
      </c>
      <c r="AH9801" s="831" t="s">
        <v>575</v>
      </c>
      <c r="AI9801" s="831">
        <v>0</v>
      </c>
      <c r="AJ9801" s="835">
        <v>41121</v>
      </c>
      <c r="AK9801" s="831">
        <v>0</v>
      </c>
    </row>
    <row r="9802" spans="2:37">
      <c r="B9802" s="834" t="str">
        <f t="shared" si="385"/>
        <v>|||</v>
      </c>
      <c r="H9802" s="835">
        <f t="shared" si="386"/>
        <v>31</v>
      </c>
      <c r="AF9802" s="831" t="s">
        <v>10461</v>
      </c>
      <c r="AG9802" s="831" t="s">
        <v>2674</v>
      </c>
      <c r="AH9802" s="831" t="s">
        <v>576</v>
      </c>
      <c r="AI9802" s="831">
        <v>0</v>
      </c>
      <c r="AJ9802" s="835">
        <v>41121</v>
      </c>
      <c r="AK9802" s="831">
        <v>0</v>
      </c>
    </row>
    <row r="9803" spans="2:37">
      <c r="B9803" s="834" t="str">
        <f t="shared" si="385"/>
        <v>|||</v>
      </c>
      <c r="H9803" s="835">
        <f t="shared" si="386"/>
        <v>31</v>
      </c>
      <c r="AF9803" s="831" t="s">
        <v>10462</v>
      </c>
      <c r="AG9803" s="831" t="s">
        <v>2674</v>
      </c>
      <c r="AH9803" s="831" t="s">
        <v>572</v>
      </c>
      <c r="AI9803" s="831">
        <v>0</v>
      </c>
      <c r="AJ9803" s="835">
        <v>41121</v>
      </c>
      <c r="AK9803" s="831">
        <v>0</v>
      </c>
    </row>
    <row r="9804" spans="2:37">
      <c r="B9804" s="834" t="str">
        <f t="shared" si="385"/>
        <v>|||</v>
      </c>
      <c r="H9804" s="835">
        <f t="shared" si="386"/>
        <v>31</v>
      </c>
      <c r="AF9804" s="831" t="s">
        <v>10463</v>
      </c>
      <c r="AG9804" s="831" t="s">
        <v>2674</v>
      </c>
      <c r="AH9804" s="831" t="s">
        <v>577</v>
      </c>
      <c r="AI9804" s="831">
        <v>0</v>
      </c>
      <c r="AJ9804" s="835">
        <v>41121</v>
      </c>
      <c r="AK9804" s="831">
        <v>0</v>
      </c>
    </row>
    <row r="9805" spans="2:37">
      <c r="B9805" s="834" t="str">
        <f t="shared" si="385"/>
        <v>|||</v>
      </c>
      <c r="H9805" s="835">
        <f t="shared" si="386"/>
        <v>31</v>
      </c>
      <c r="AF9805" s="831" t="s">
        <v>10464</v>
      </c>
      <c r="AG9805" s="831" t="s">
        <v>2674</v>
      </c>
      <c r="AH9805" s="831" t="s">
        <v>3042</v>
      </c>
      <c r="AI9805" s="831">
        <v>0</v>
      </c>
      <c r="AJ9805" s="835">
        <v>41121</v>
      </c>
      <c r="AK9805" s="831">
        <v>0</v>
      </c>
    </row>
    <row r="9806" spans="2:37">
      <c r="B9806" s="834" t="str">
        <f t="shared" si="385"/>
        <v>|||</v>
      </c>
      <c r="H9806" s="835">
        <f t="shared" si="386"/>
        <v>31</v>
      </c>
      <c r="AF9806" s="831" t="s">
        <v>10465</v>
      </c>
      <c r="AG9806" s="831" t="s">
        <v>2674</v>
      </c>
      <c r="AH9806" s="831" t="s">
        <v>3044</v>
      </c>
      <c r="AI9806" s="831">
        <v>0</v>
      </c>
      <c r="AJ9806" s="835">
        <v>41121</v>
      </c>
      <c r="AK9806" s="831">
        <v>0</v>
      </c>
    </row>
    <row r="9807" spans="2:37">
      <c r="B9807" s="834" t="str">
        <f t="shared" si="385"/>
        <v>|||</v>
      </c>
      <c r="H9807" s="835">
        <f t="shared" si="386"/>
        <v>31</v>
      </c>
      <c r="AF9807" s="831" t="s">
        <v>10466</v>
      </c>
      <c r="AG9807" s="831" t="s">
        <v>2674</v>
      </c>
      <c r="AH9807" s="831" t="s">
        <v>580</v>
      </c>
      <c r="AI9807" s="831">
        <v>0</v>
      </c>
      <c r="AJ9807" s="835">
        <v>41121</v>
      </c>
      <c r="AK9807" s="831">
        <v>0</v>
      </c>
    </row>
    <row r="9808" spans="2:37">
      <c r="B9808" s="834" t="str">
        <f t="shared" si="385"/>
        <v>|||</v>
      </c>
      <c r="H9808" s="835">
        <f t="shared" si="386"/>
        <v>31</v>
      </c>
      <c r="AF9808" s="831" t="s">
        <v>10467</v>
      </c>
      <c r="AG9808" s="831" t="s">
        <v>2674</v>
      </c>
      <c r="AH9808" s="831" t="s">
        <v>581</v>
      </c>
      <c r="AI9808" s="831">
        <v>0</v>
      </c>
      <c r="AJ9808" s="835">
        <v>41121</v>
      </c>
      <c r="AK9808" s="831">
        <v>0</v>
      </c>
    </row>
    <row r="9809" spans="2:37">
      <c r="B9809" s="834" t="str">
        <f t="shared" si="385"/>
        <v>|||</v>
      </c>
      <c r="H9809" s="835">
        <f t="shared" si="386"/>
        <v>31</v>
      </c>
      <c r="AF9809" s="831" t="s">
        <v>10468</v>
      </c>
      <c r="AG9809" s="831" t="s">
        <v>2674</v>
      </c>
      <c r="AH9809" s="831" t="s">
        <v>105</v>
      </c>
      <c r="AI9809" s="831">
        <v>0</v>
      </c>
      <c r="AJ9809" s="835">
        <v>41121</v>
      </c>
      <c r="AK9809" s="831">
        <v>164564846</v>
      </c>
    </row>
    <row r="9810" spans="2:37">
      <c r="B9810" s="834" t="str">
        <f t="shared" si="385"/>
        <v>|||</v>
      </c>
      <c r="H9810" s="835">
        <f t="shared" si="386"/>
        <v>31</v>
      </c>
      <c r="AF9810" s="831" t="s">
        <v>10469</v>
      </c>
      <c r="AG9810" s="831" t="s">
        <v>2674</v>
      </c>
      <c r="AH9810" s="831" t="s">
        <v>3049</v>
      </c>
      <c r="AI9810" s="831">
        <v>0</v>
      </c>
      <c r="AJ9810" s="835">
        <v>41121</v>
      </c>
      <c r="AK9810" s="831">
        <v>330970241</v>
      </c>
    </row>
    <row r="9811" spans="2:37">
      <c r="B9811" s="834" t="str">
        <f t="shared" si="385"/>
        <v>|||</v>
      </c>
      <c r="H9811" s="835">
        <f t="shared" si="386"/>
        <v>31</v>
      </c>
      <c r="AF9811" s="831" t="s">
        <v>10470</v>
      </c>
      <c r="AG9811" s="831" t="s">
        <v>2674</v>
      </c>
      <c r="AH9811" s="831" t="s">
        <v>103</v>
      </c>
      <c r="AI9811" s="831">
        <v>0</v>
      </c>
      <c r="AJ9811" s="835">
        <v>41121</v>
      </c>
      <c r="AK9811" s="831">
        <v>166405395</v>
      </c>
    </row>
    <row r="9812" spans="2:37">
      <c r="B9812" s="834" t="str">
        <f t="shared" si="385"/>
        <v>|||</v>
      </c>
      <c r="H9812" s="835">
        <f t="shared" si="386"/>
        <v>31</v>
      </c>
      <c r="AF9812" s="831" t="s">
        <v>10471</v>
      </c>
      <c r="AG9812" s="831" t="s">
        <v>2674</v>
      </c>
      <c r="AH9812" s="831" t="s">
        <v>182</v>
      </c>
      <c r="AI9812" s="831">
        <v>0</v>
      </c>
      <c r="AJ9812" s="835">
        <v>41121</v>
      </c>
      <c r="AK9812" s="831">
        <v>50915117.142857097</v>
      </c>
    </row>
    <row r="9813" spans="2:37">
      <c r="B9813" s="834" t="str">
        <f t="shared" si="385"/>
        <v>|||</v>
      </c>
      <c r="H9813" s="835">
        <f t="shared" si="386"/>
        <v>31</v>
      </c>
      <c r="AF9813" s="831" t="s">
        <v>10472</v>
      </c>
      <c r="AG9813" s="831" t="s">
        <v>2674</v>
      </c>
      <c r="AH9813" s="831" t="s">
        <v>6600</v>
      </c>
      <c r="AI9813" s="831">
        <v>0</v>
      </c>
      <c r="AJ9813" s="835">
        <v>41121</v>
      </c>
      <c r="AK9813" s="831">
        <v>0</v>
      </c>
    </row>
    <row r="9814" spans="2:37">
      <c r="B9814" s="834" t="str">
        <f t="shared" si="385"/>
        <v>|||</v>
      </c>
      <c r="H9814" s="835">
        <f t="shared" si="386"/>
        <v>31</v>
      </c>
      <c r="AF9814" s="831" t="s">
        <v>10473</v>
      </c>
      <c r="AG9814" s="831" t="s">
        <v>2674</v>
      </c>
      <c r="AH9814" s="831" t="s">
        <v>6602</v>
      </c>
      <c r="AI9814" s="831">
        <v>0</v>
      </c>
      <c r="AJ9814" s="835">
        <v>41121</v>
      </c>
      <c r="AK9814" s="831">
        <v>8103905</v>
      </c>
    </row>
    <row r="9815" spans="2:37">
      <c r="B9815" s="834" t="str">
        <f t="shared" si="385"/>
        <v>|||</v>
      </c>
      <c r="H9815" s="835">
        <f t="shared" si="386"/>
        <v>31</v>
      </c>
      <c r="AF9815" s="831" t="s">
        <v>10474</v>
      </c>
      <c r="AG9815" s="831" t="s">
        <v>2674</v>
      </c>
      <c r="AH9815" s="831" t="s">
        <v>650</v>
      </c>
      <c r="AI9815" s="831">
        <v>0</v>
      </c>
      <c r="AJ9815" s="835">
        <v>41121</v>
      </c>
      <c r="AK9815" s="831">
        <v>0</v>
      </c>
    </row>
    <row r="9816" spans="2:37">
      <c r="B9816" s="834" t="str">
        <f t="shared" si="385"/>
        <v>|||</v>
      </c>
      <c r="H9816" s="835">
        <f t="shared" si="386"/>
        <v>31</v>
      </c>
      <c r="AF9816" s="831" t="s">
        <v>10475</v>
      </c>
      <c r="AG9816" s="831" t="s">
        <v>2674</v>
      </c>
      <c r="AH9816" s="831" t="s">
        <v>655</v>
      </c>
      <c r="AI9816" s="831">
        <v>0</v>
      </c>
      <c r="AJ9816" s="835">
        <v>41121</v>
      </c>
      <c r="AK9816" s="831">
        <v>2307351</v>
      </c>
    </row>
    <row r="9817" spans="2:37">
      <c r="B9817" s="834" t="str">
        <f t="shared" si="385"/>
        <v>|||</v>
      </c>
      <c r="H9817" s="835">
        <f t="shared" si="386"/>
        <v>31</v>
      </c>
      <c r="AF9817" s="831" t="s">
        <v>10476</v>
      </c>
      <c r="AG9817" s="831" t="s">
        <v>2674</v>
      </c>
      <c r="AH9817" s="831" t="s">
        <v>546</v>
      </c>
      <c r="AI9817" s="831">
        <v>0</v>
      </c>
      <c r="AJ9817" s="835">
        <v>41152</v>
      </c>
      <c r="AK9817" s="831">
        <v>362295244</v>
      </c>
    </row>
    <row r="9818" spans="2:37">
      <c r="B9818" s="834" t="str">
        <f t="shared" si="385"/>
        <v>|||</v>
      </c>
      <c r="H9818" s="835">
        <f t="shared" si="386"/>
        <v>31</v>
      </c>
      <c r="AF9818" s="831" t="s">
        <v>10477</v>
      </c>
      <c r="AG9818" s="831" t="s">
        <v>2674</v>
      </c>
      <c r="AH9818" s="831" t="s">
        <v>370</v>
      </c>
      <c r="AI9818" s="831">
        <v>0</v>
      </c>
      <c r="AJ9818" s="835">
        <v>41152</v>
      </c>
      <c r="AK9818" s="831">
        <v>452262206</v>
      </c>
    </row>
    <row r="9819" spans="2:37">
      <c r="B9819" s="834" t="str">
        <f t="shared" si="385"/>
        <v>|||</v>
      </c>
      <c r="H9819" s="835">
        <f t="shared" si="386"/>
        <v>31</v>
      </c>
      <c r="AF9819" s="831" t="s">
        <v>10478</v>
      </c>
      <c r="AG9819" s="831" t="s">
        <v>2674</v>
      </c>
      <c r="AH9819" s="831" t="s">
        <v>126</v>
      </c>
      <c r="AI9819" s="831">
        <v>0</v>
      </c>
      <c r="AJ9819" s="835">
        <v>41152</v>
      </c>
      <c r="AK9819" s="831">
        <v>95414973</v>
      </c>
    </row>
    <row r="9820" spans="2:37">
      <c r="B9820" s="834" t="str">
        <f t="shared" si="385"/>
        <v>|||</v>
      </c>
      <c r="H9820" s="835">
        <f t="shared" si="386"/>
        <v>31</v>
      </c>
      <c r="AF9820" s="831" t="s">
        <v>10479</v>
      </c>
      <c r="AG9820" s="831" t="s">
        <v>2674</v>
      </c>
      <c r="AH9820" s="831" t="s">
        <v>268</v>
      </c>
      <c r="AI9820" s="831">
        <v>0</v>
      </c>
      <c r="AJ9820" s="835">
        <v>41152</v>
      </c>
      <c r="AK9820" s="831">
        <v>10092049</v>
      </c>
    </row>
    <row r="9821" spans="2:37">
      <c r="B9821" s="834" t="str">
        <f t="shared" si="385"/>
        <v>|||</v>
      </c>
      <c r="H9821" s="835">
        <f t="shared" si="386"/>
        <v>31</v>
      </c>
      <c r="AF9821" s="831" t="s">
        <v>10480</v>
      </c>
      <c r="AG9821" s="831" t="s">
        <v>2674</v>
      </c>
      <c r="AH9821" s="831" t="s">
        <v>547</v>
      </c>
      <c r="AI9821" s="831">
        <v>0</v>
      </c>
      <c r="AJ9821" s="835">
        <v>41152</v>
      </c>
      <c r="AK9821" s="831">
        <v>0</v>
      </c>
    </row>
    <row r="9822" spans="2:37">
      <c r="B9822" s="834" t="str">
        <f t="shared" si="385"/>
        <v>|||</v>
      </c>
      <c r="H9822" s="835">
        <f t="shared" si="386"/>
        <v>31</v>
      </c>
      <c r="AF9822" s="831" t="s">
        <v>10481</v>
      </c>
      <c r="AG9822" s="831" t="s">
        <v>2674</v>
      </c>
      <c r="AH9822" s="831" t="s">
        <v>548</v>
      </c>
      <c r="AI9822" s="831">
        <v>0</v>
      </c>
      <c r="AJ9822" s="835">
        <v>41152</v>
      </c>
      <c r="AK9822" s="831">
        <v>0</v>
      </c>
    </row>
    <row r="9823" spans="2:37">
      <c r="B9823" s="834" t="str">
        <f t="shared" si="385"/>
        <v>|||</v>
      </c>
      <c r="H9823" s="835">
        <f t="shared" si="386"/>
        <v>31</v>
      </c>
      <c r="AF9823" s="831" t="s">
        <v>10482</v>
      </c>
      <c r="AG9823" s="831" t="s">
        <v>2674</v>
      </c>
      <c r="AH9823" s="831" t="s">
        <v>549</v>
      </c>
      <c r="AI9823" s="831">
        <v>0</v>
      </c>
      <c r="AJ9823" s="835">
        <v>41152</v>
      </c>
      <c r="AK9823" s="831">
        <v>0</v>
      </c>
    </row>
    <row r="9824" spans="2:37">
      <c r="B9824" s="834" t="str">
        <f t="shared" si="385"/>
        <v>|||</v>
      </c>
      <c r="H9824" s="835">
        <f t="shared" si="386"/>
        <v>31</v>
      </c>
      <c r="AF9824" s="831" t="s">
        <v>10483</v>
      </c>
      <c r="AG9824" s="831" t="s">
        <v>2674</v>
      </c>
      <c r="AH9824" s="831" t="s">
        <v>192</v>
      </c>
      <c r="AI9824" s="831">
        <v>0</v>
      </c>
      <c r="AJ9824" s="835">
        <v>41152</v>
      </c>
      <c r="AK9824" s="831">
        <v>-9148265</v>
      </c>
    </row>
    <row r="9825" spans="2:37">
      <c r="B9825" s="834" t="str">
        <f t="shared" si="385"/>
        <v>|||</v>
      </c>
      <c r="H9825" s="835">
        <f t="shared" si="386"/>
        <v>31</v>
      </c>
      <c r="AF9825" s="831" t="s">
        <v>10484</v>
      </c>
      <c r="AG9825" s="831" t="s">
        <v>2674</v>
      </c>
      <c r="AH9825" s="831" t="s">
        <v>558</v>
      </c>
      <c r="AI9825" s="831">
        <v>0</v>
      </c>
      <c r="AJ9825" s="835">
        <v>41152</v>
      </c>
      <c r="AK9825" s="831">
        <v>356847233</v>
      </c>
    </row>
    <row r="9826" spans="2:37">
      <c r="B9826" s="834" t="str">
        <f t="shared" si="385"/>
        <v>|||</v>
      </c>
      <c r="H9826" s="835">
        <f t="shared" si="386"/>
        <v>31</v>
      </c>
      <c r="AF9826" s="831" t="s">
        <v>10485</v>
      </c>
      <c r="AG9826" s="831" t="s">
        <v>2674</v>
      </c>
      <c r="AH9826" s="831" t="s">
        <v>65</v>
      </c>
      <c r="AI9826" s="831">
        <v>0</v>
      </c>
      <c r="AJ9826" s="835">
        <v>41152</v>
      </c>
      <c r="AK9826" s="831">
        <v>63143485</v>
      </c>
    </row>
    <row r="9827" spans="2:37">
      <c r="B9827" s="834" t="str">
        <f t="shared" si="385"/>
        <v>|||</v>
      </c>
      <c r="H9827" s="835">
        <f t="shared" si="386"/>
        <v>31</v>
      </c>
      <c r="AF9827" s="831" t="s">
        <v>10486</v>
      </c>
      <c r="AG9827" s="831" t="s">
        <v>2674</v>
      </c>
      <c r="AH9827" s="831" t="s">
        <v>89</v>
      </c>
      <c r="AI9827" s="831">
        <v>0</v>
      </c>
      <c r="AJ9827" s="835">
        <v>41152</v>
      </c>
      <c r="AK9827" s="831">
        <v>122109</v>
      </c>
    </row>
    <row r="9828" spans="2:37">
      <c r="B9828" s="834" t="str">
        <f t="shared" si="385"/>
        <v>|||</v>
      </c>
      <c r="H9828" s="835">
        <f t="shared" si="386"/>
        <v>31</v>
      </c>
      <c r="AF9828" s="831" t="s">
        <v>10487</v>
      </c>
      <c r="AG9828" s="831" t="s">
        <v>2674</v>
      </c>
      <c r="AH9828" s="831" t="s">
        <v>557</v>
      </c>
      <c r="AI9828" s="831">
        <v>0</v>
      </c>
      <c r="AJ9828" s="835">
        <v>41152</v>
      </c>
      <c r="AK9828" s="831">
        <v>123973</v>
      </c>
    </row>
    <row r="9829" spans="2:37">
      <c r="B9829" s="834" t="str">
        <f t="shared" si="385"/>
        <v>|||</v>
      </c>
      <c r="H9829" s="835">
        <f t="shared" si="386"/>
        <v>31</v>
      </c>
      <c r="AF9829" s="831" t="s">
        <v>10488</v>
      </c>
      <c r="AG9829" s="831" t="s">
        <v>2674</v>
      </c>
      <c r="AH9829" s="831" t="s">
        <v>29</v>
      </c>
      <c r="AI9829" s="831">
        <v>0</v>
      </c>
      <c r="AJ9829" s="835">
        <v>41152</v>
      </c>
      <c r="AK9829" s="831">
        <v>2024314</v>
      </c>
    </row>
    <row r="9830" spans="2:37">
      <c r="B9830" s="834" t="str">
        <f t="shared" si="385"/>
        <v>|||</v>
      </c>
      <c r="H9830" s="835">
        <f t="shared" si="386"/>
        <v>31</v>
      </c>
      <c r="AF9830" s="831" t="s">
        <v>10489</v>
      </c>
      <c r="AG9830" s="831" t="s">
        <v>2674</v>
      </c>
      <c r="AH9830" s="831" t="s">
        <v>2688</v>
      </c>
      <c r="AI9830" s="831">
        <v>0</v>
      </c>
      <c r="AJ9830" s="835">
        <v>41152</v>
      </c>
      <c r="AK9830" s="831">
        <v>2600544</v>
      </c>
    </row>
    <row r="9831" spans="2:37">
      <c r="B9831" s="834" t="str">
        <f t="shared" si="385"/>
        <v>|||</v>
      </c>
      <c r="H9831" s="835">
        <f t="shared" si="386"/>
        <v>31</v>
      </c>
      <c r="AF9831" s="831" t="s">
        <v>10490</v>
      </c>
      <c r="AG9831" s="831" t="s">
        <v>2674</v>
      </c>
      <c r="AH9831" s="831" t="s">
        <v>556</v>
      </c>
      <c r="AI9831" s="831">
        <v>0</v>
      </c>
      <c r="AJ9831" s="835">
        <v>41152</v>
      </c>
      <c r="AK9831" s="831">
        <v>902857</v>
      </c>
    </row>
    <row r="9832" spans="2:37">
      <c r="B9832" s="834" t="str">
        <f t="shared" si="385"/>
        <v>|||</v>
      </c>
      <c r="H9832" s="835">
        <f t="shared" si="386"/>
        <v>31</v>
      </c>
      <c r="AF9832" s="831" t="s">
        <v>10491</v>
      </c>
      <c r="AG9832" s="831" t="s">
        <v>2674</v>
      </c>
      <c r="AH9832" s="831" t="s">
        <v>555</v>
      </c>
      <c r="AI9832" s="831">
        <v>0</v>
      </c>
      <c r="AJ9832" s="835">
        <v>41152</v>
      </c>
      <c r="AK9832" s="831">
        <v>221766870</v>
      </c>
    </row>
    <row r="9833" spans="2:37">
      <c r="B9833" s="834" t="str">
        <f t="shared" si="385"/>
        <v>|||</v>
      </c>
      <c r="H9833" s="835">
        <f t="shared" si="386"/>
        <v>31</v>
      </c>
      <c r="AF9833" s="831" t="s">
        <v>10492</v>
      </c>
      <c r="AG9833" s="831" t="s">
        <v>2674</v>
      </c>
      <c r="AH9833" s="831" t="s">
        <v>554</v>
      </c>
      <c r="AI9833" s="831">
        <v>0</v>
      </c>
      <c r="AJ9833" s="835">
        <v>41152</v>
      </c>
      <c r="AK9833" s="831">
        <v>217001920</v>
      </c>
    </row>
    <row r="9834" spans="2:37">
      <c r="B9834" s="834" t="str">
        <f t="shared" si="385"/>
        <v>|||</v>
      </c>
      <c r="H9834" s="835">
        <f t="shared" si="386"/>
        <v>31</v>
      </c>
      <c r="AF9834" s="831" t="s">
        <v>10493</v>
      </c>
      <c r="AG9834" s="831" t="s">
        <v>2674</v>
      </c>
      <c r="AH9834" s="831" t="s">
        <v>553</v>
      </c>
      <c r="AI9834" s="831">
        <v>0</v>
      </c>
      <c r="AJ9834" s="835">
        <v>41152</v>
      </c>
      <c r="AK9834" s="831">
        <v>0</v>
      </c>
    </row>
    <row r="9835" spans="2:37">
      <c r="B9835" s="834" t="str">
        <f t="shared" si="385"/>
        <v>|||</v>
      </c>
      <c r="H9835" s="835">
        <f t="shared" si="386"/>
        <v>31</v>
      </c>
      <c r="AF9835" s="831" t="s">
        <v>10494</v>
      </c>
      <c r="AG9835" s="831" t="s">
        <v>2674</v>
      </c>
      <c r="AH9835" s="831" t="s">
        <v>552</v>
      </c>
      <c r="AI9835" s="831">
        <v>0</v>
      </c>
      <c r="AJ9835" s="835">
        <v>41152</v>
      </c>
      <c r="AK9835" s="831">
        <v>0</v>
      </c>
    </row>
    <row r="9836" spans="2:37">
      <c r="B9836" s="834" t="str">
        <f t="shared" si="385"/>
        <v>|||</v>
      </c>
      <c r="H9836" s="835">
        <f t="shared" si="386"/>
        <v>31</v>
      </c>
      <c r="AF9836" s="831" t="s">
        <v>10495</v>
      </c>
      <c r="AG9836" s="831" t="s">
        <v>2674</v>
      </c>
      <c r="AH9836" s="831" t="s">
        <v>551</v>
      </c>
      <c r="AI9836" s="831">
        <v>0</v>
      </c>
      <c r="AJ9836" s="835">
        <v>41152</v>
      </c>
      <c r="AK9836" s="831">
        <v>1690236</v>
      </c>
    </row>
    <row r="9837" spans="2:37">
      <c r="B9837" s="834" t="str">
        <f t="shared" si="385"/>
        <v>|||</v>
      </c>
      <c r="H9837" s="835">
        <f t="shared" si="386"/>
        <v>31</v>
      </c>
      <c r="AF9837" s="831" t="s">
        <v>10496</v>
      </c>
      <c r="AG9837" s="831" t="s">
        <v>2674</v>
      </c>
      <c r="AH9837" s="831" t="s">
        <v>550</v>
      </c>
      <c r="AI9837" s="831">
        <v>0</v>
      </c>
      <c r="AJ9837" s="835">
        <v>41152</v>
      </c>
      <c r="AK9837" s="831">
        <v>93426827</v>
      </c>
    </row>
    <row r="9838" spans="2:37">
      <c r="B9838" s="834" t="str">
        <f t="shared" si="385"/>
        <v>|||</v>
      </c>
      <c r="H9838" s="835">
        <f t="shared" si="386"/>
        <v>31</v>
      </c>
      <c r="AF9838" s="831" t="s">
        <v>10497</v>
      </c>
      <c r="AG9838" s="831" t="s">
        <v>2674</v>
      </c>
      <c r="AH9838" s="831" t="s">
        <v>562</v>
      </c>
      <c r="AI9838" s="831">
        <v>0</v>
      </c>
      <c r="AJ9838" s="835">
        <v>41152</v>
      </c>
      <c r="AK9838" s="831">
        <v>0.78449999999999998</v>
      </c>
    </row>
    <row r="9839" spans="2:37">
      <c r="B9839" s="834" t="str">
        <f t="shared" si="385"/>
        <v>|||</v>
      </c>
      <c r="H9839" s="835">
        <f t="shared" si="386"/>
        <v>31</v>
      </c>
      <c r="AF9839" s="831" t="s">
        <v>10498</v>
      </c>
      <c r="AG9839" s="831" t="s">
        <v>2674</v>
      </c>
      <c r="AH9839" s="831" t="s">
        <v>2698</v>
      </c>
      <c r="AI9839" s="831">
        <v>0</v>
      </c>
      <c r="AJ9839" s="835">
        <v>41152</v>
      </c>
      <c r="AK9839" s="831">
        <v>0.78495000000000004</v>
      </c>
    </row>
    <row r="9840" spans="2:37">
      <c r="B9840" s="834" t="str">
        <f t="shared" si="385"/>
        <v>|||</v>
      </c>
      <c r="H9840" s="835">
        <f t="shared" si="386"/>
        <v>31</v>
      </c>
      <c r="AF9840" s="831" t="s">
        <v>10499</v>
      </c>
      <c r="AG9840" s="831" t="s">
        <v>2674</v>
      </c>
      <c r="AH9840" s="831" t="s">
        <v>560</v>
      </c>
      <c r="AI9840" s="831">
        <v>0</v>
      </c>
      <c r="AJ9840" s="835">
        <v>41152</v>
      </c>
      <c r="AK9840" s="831">
        <v>0.78543750000000001</v>
      </c>
    </row>
    <row r="9841" spans="2:37">
      <c r="B9841" s="834" t="str">
        <f t="shared" si="385"/>
        <v>|||</v>
      </c>
      <c r="H9841" s="835">
        <f t="shared" si="386"/>
        <v>31</v>
      </c>
      <c r="AF9841" s="831" t="s">
        <v>10500</v>
      </c>
      <c r="AG9841" s="831" t="s">
        <v>2674</v>
      </c>
      <c r="AH9841" s="831" t="s">
        <v>559</v>
      </c>
      <c r="AI9841" s="831">
        <v>0</v>
      </c>
      <c r="AJ9841" s="835">
        <v>41152</v>
      </c>
      <c r="AK9841" s="831">
        <v>0.78544999999999998</v>
      </c>
    </row>
    <row r="9842" spans="2:37">
      <c r="B9842" s="834" t="str">
        <f t="shared" si="385"/>
        <v>|||</v>
      </c>
      <c r="H9842" s="835">
        <f t="shared" si="386"/>
        <v>31</v>
      </c>
      <c r="AF9842" s="831" t="s">
        <v>10501</v>
      </c>
      <c r="AG9842" s="831" t="s">
        <v>2674</v>
      </c>
      <c r="AH9842" s="831" t="s">
        <v>568</v>
      </c>
      <c r="AI9842" s="831">
        <v>0</v>
      </c>
      <c r="AJ9842" s="835">
        <v>41152</v>
      </c>
      <c r="AK9842" s="831">
        <v>0</v>
      </c>
    </row>
    <row r="9843" spans="2:37">
      <c r="B9843" s="834" t="str">
        <f t="shared" si="385"/>
        <v>|||</v>
      </c>
      <c r="H9843" s="835">
        <f t="shared" si="386"/>
        <v>31</v>
      </c>
      <c r="AF9843" s="831" t="s">
        <v>10502</v>
      </c>
      <c r="AG9843" s="831" t="s">
        <v>2674</v>
      </c>
      <c r="AH9843" s="831" t="s">
        <v>569</v>
      </c>
      <c r="AI9843" s="831">
        <v>0</v>
      </c>
      <c r="AJ9843" s="835">
        <v>41152</v>
      </c>
      <c r="AK9843" s="831">
        <v>0</v>
      </c>
    </row>
    <row r="9844" spans="2:37">
      <c r="B9844" s="834" t="str">
        <f t="shared" si="385"/>
        <v>|||</v>
      </c>
      <c r="H9844" s="835">
        <f t="shared" si="386"/>
        <v>31</v>
      </c>
      <c r="AF9844" s="831" t="s">
        <v>10503</v>
      </c>
      <c r="AG9844" s="831" t="s">
        <v>2674</v>
      </c>
      <c r="AH9844" s="831" t="s">
        <v>570</v>
      </c>
      <c r="AI9844" s="831">
        <v>0</v>
      </c>
      <c r="AJ9844" s="835">
        <v>41152</v>
      </c>
      <c r="AK9844" s="831">
        <v>0</v>
      </c>
    </row>
    <row r="9845" spans="2:37">
      <c r="B9845" s="834" t="str">
        <f t="shared" si="385"/>
        <v>|||</v>
      </c>
      <c r="H9845" s="835">
        <f t="shared" si="386"/>
        <v>31</v>
      </c>
      <c r="AF9845" s="831" t="s">
        <v>10504</v>
      </c>
      <c r="AG9845" s="831" t="s">
        <v>2674</v>
      </c>
      <c r="AH9845" s="831" t="s">
        <v>571</v>
      </c>
      <c r="AI9845" s="831">
        <v>0</v>
      </c>
      <c r="AJ9845" s="835">
        <v>41152</v>
      </c>
      <c r="AK9845" s="831">
        <v>0</v>
      </c>
    </row>
    <row r="9846" spans="2:37">
      <c r="B9846" s="834" t="str">
        <f t="shared" si="385"/>
        <v>|||</v>
      </c>
      <c r="H9846" s="835">
        <f t="shared" si="386"/>
        <v>31</v>
      </c>
      <c r="AF9846" s="831" t="s">
        <v>10505</v>
      </c>
      <c r="AG9846" s="831" t="s">
        <v>2674</v>
      </c>
      <c r="AH9846" s="831" t="s">
        <v>573</v>
      </c>
      <c r="AI9846" s="831">
        <v>0</v>
      </c>
      <c r="AJ9846" s="835">
        <v>41152</v>
      </c>
      <c r="AK9846" s="831">
        <v>0</v>
      </c>
    </row>
    <row r="9847" spans="2:37">
      <c r="B9847" s="834" t="str">
        <f t="shared" si="385"/>
        <v>|||</v>
      </c>
      <c r="H9847" s="835">
        <f t="shared" si="386"/>
        <v>31</v>
      </c>
      <c r="AF9847" s="831" t="s">
        <v>10506</v>
      </c>
      <c r="AG9847" s="831" t="s">
        <v>2674</v>
      </c>
      <c r="AH9847" s="831" t="s">
        <v>574</v>
      </c>
      <c r="AI9847" s="831">
        <v>0</v>
      </c>
      <c r="AJ9847" s="835">
        <v>41152</v>
      </c>
      <c r="AK9847" s="831">
        <v>0</v>
      </c>
    </row>
    <row r="9848" spans="2:37">
      <c r="B9848" s="834" t="str">
        <f t="shared" si="385"/>
        <v>|||</v>
      </c>
      <c r="H9848" s="835">
        <f t="shared" si="386"/>
        <v>31</v>
      </c>
      <c r="AF9848" s="831" t="s">
        <v>10507</v>
      </c>
      <c r="AG9848" s="831" t="s">
        <v>2674</v>
      </c>
      <c r="AH9848" s="831" t="s">
        <v>575</v>
      </c>
      <c r="AI9848" s="831">
        <v>0</v>
      </c>
      <c r="AJ9848" s="835">
        <v>41152</v>
      </c>
      <c r="AK9848" s="831">
        <v>0</v>
      </c>
    </row>
    <row r="9849" spans="2:37">
      <c r="B9849" s="834" t="str">
        <f t="shared" si="385"/>
        <v>|||</v>
      </c>
      <c r="H9849" s="835">
        <f t="shared" si="386"/>
        <v>31</v>
      </c>
      <c r="AF9849" s="831" t="s">
        <v>10508</v>
      </c>
      <c r="AG9849" s="831" t="s">
        <v>2674</v>
      </c>
      <c r="AH9849" s="831" t="s">
        <v>576</v>
      </c>
      <c r="AI9849" s="831">
        <v>0</v>
      </c>
      <c r="AJ9849" s="835">
        <v>41152</v>
      </c>
      <c r="AK9849" s="831">
        <v>0</v>
      </c>
    </row>
    <row r="9850" spans="2:37">
      <c r="B9850" s="834" t="str">
        <f t="shared" si="385"/>
        <v>|||</v>
      </c>
      <c r="H9850" s="835">
        <f t="shared" si="386"/>
        <v>31</v>
      </c>
      <c r="AF9850" s="831" t="s">
        <v>10509</v>
      </c>
      <c r="AG9850" s="831" t="s">
        <v>2674</v>
      </c>
      <c r="AH9850" s="831" t="s">
        <v>572</v>
      </c>
      <c r="AI9850" s="831">
        <v>0</v>
      </c>
      <c r="AJ9850" s="835">
        <v>41152</v>
      </c>
      <c r="AK9850" s="831">
        <v>0</v>
      </c>
    </row>
    <row r="9851" spans="2:37">
      <c r="B9851" s="834" t="str">
        <f t="shared" si="385"/>
        <v>|||</v>
      </c>
      <c r="H9851" s="835">
        <f t="shared" si="386"/>
        <v>31</v>
      </c>
      <c r="AF9851" s="831" t="s">
        <v>10510</v>
      </c>
      <c r="AG9851" s="831" t="s">
        <v>2674</v>
      </c>
      <c r="AH9851" s="831" t="s">
        <v>577</v>
      </c>
      <c r="AI9851" s="831">
        <v>0</v>
      </c>
      <c r="AJ9851" s="835">
        <v>41152</v>
      </c>
      <c r="AK9851" s="831">
        <v>0</v>
      </c>
    </row>
    <row r="9852" spans="2:37">
      <c r="B9852" s="834" t="str">
        <f t="shared" si="385"/>
        <v>|||</v>
      </c>
      <c r="H9852" s="835">
        <f t="shared" si="386"/>
        <v>31</v>
      </c>
      <c r="AF9852" s="831" t="s">
        <v>10511</v>
      </c>
      <c r="AG9852" s="831" t="s">
        <v>2674</v>
      </c>
      <c r="AH9852" s="831" t="s">
        <v>3042</v>
      </c>
      <c r="AI9852" s="831">
        <v>0</v>
      </c>
      <c r="AJ9852" s="835">
        <v>41152</v>
      </c>
      <c r="AK9852" s="831">
        <v>0</v>
      </c>
    </row>
    <row r="9853" spans="2:37">
      <c r="B9853" s="834" t="str">
        <f t="shared" si="385"/>
        <v>|||</v>
      </c>
      <c r="H9853" s="835">
        <f t="shared" si="386"/>
        <v>31</v>
      </c>
      <c r="AF9853" s="831" t="s">
        <v>10512</v>
      </c>
      <c r="AG9853" s="831" t="s">
        <v>2674</v>
      </c>
      <c r="AH9853" s="831" t="s">
        <v>3044</v>
      </c>
      <c r="AI9853" s="831">
        <v>0</v>
      </c>
      <c r="AJ9853" s="835">
        <v>41152</v>
      </c>
      <c r="AK9853" s="831">
        <v>0</v>
      </c>
    </row>
    <row r="9854" spans="2:37">
      <c r="B9854" s="834" t="str">
        <f t="shared" si="385"/>
        <v>|||</v>
      </c>
      <c r="H9854" s="835">
        <f t="shared" si="386"/>
        <v>31</v>
      </c>
      <c r="AF9854" s="831" t="s">
        <v>10513</v>
      </c>
      <c r="AG9854" s="831" t="s">
        <v>2674</v>
      </c>
      <c r="AH9854" s="831" t="s">
        <v>580</v>
      </c>
      <c r="AI9854" s="831">
        <v>0</v>
      </c>
      <c r="AJ9854" s="835">
        <v>41152</v>
      </c>
      <c r="AK9854" s="831">
        <v>0</v>
      </c>
    </row>
    <row r="9855" spans="2:37">
      <c r="B9855" s="834" t="str">
        <f t="shared" si="385"/>
        <v>|||</v>
      </c>
      <c r="H9855" s="835">
        <f t="shared" si="386"/>
        <v>31</v>
      </c>
      <c r="AF9855" s="831" t="s">
        <v>10514</v>
      </c>
      <c r="AG9855" s="831" t="s">
        <v>2674</v>
      </c>
      <c r="AH9855" s="831" t="s">
        <v>581</v>
      </c>
      <c r="AI9855" s="831">
        <v>0</v>
      </c>
      <c r="AJ9855" s="835">
        <v>41152</v>
      </c>
      <c r="AK9855" s="831">
        <v>0</v>
      </c>
    </row>
    <row r="9856" spans="2:37">
      <c r="B9856" s="834" t="str">
        <f t="shared" si="385"/>
        <v>|||</v>
      </c>
      <c r="H9856" s="835">
        <f t="shared" si="386"/>
        <v>31</v>
      </c>
      <c r="AF9856" s="831" t="s">
        <v>10515</v>
      </c>
      <c r="AG9856" s="831" t="s">
        <v>2674</v>
      </c>
      <c r="AH9856" s="831" t="s">
        <v>105</v>
      </c>
      <c r="AI9856" s="831">
        <v>0</v>
      </c>
      <c r="AJ9856" s="835">
        <v>41152</v>
      </c>
      <c r="AK9856" s="831">
        <v>180384094</v>
      </c>
    </row>
    <row r="9857" spans="2:37">
      <c r="B9857" s="834" t="str">
        <f t="shared" si="385"/>
        <v>|||</v>
      </c>
      <c r="H9857" s="835">
        <f t="shared" si="386"/>
        <v>31</v>
      </c>
      <c r="AF9857" s="831" t="s">
        <v>10516</v>
      </c>
      <c r="AG9857" s="831" t="s">
        <v>2674</v>
      </c>
      <c r="AH9857" s="831" t="s">
        <v>3049</v>
      </c>
      <c r="AI9857" s="831">
        <v>0</v>
      </c>
      <c r="AJ9857" s="835">
        <v>41152</v>
      </c>
      <c r="AK9857" s="831">
        <v>343993651</v>
      </c>
    </row>
    <row r="9858" spans="2:37">
      <c r="B9858" s="834" t="str">
        <f t="shared" si="385"/>
        <v>|||</v>
      </c>
      <c r="H9858" s="835">
        <f t="shared" si="386"/>
        <v>31</v>
      </c>
      <c r="AF9858" s="831" t="s">
        <v>10517</v>
      </c>
      <c r="AG9858" s="831" t="s">
        <v>2674</v>
      </c>
      <c r="AH9858" s="831" t="s">
        <v>103</v>
      </c>
      <c r="AI9858" s="831">
        <v>0</v>
      </c>
      <c r="AJ9858" s="835">
        <v>41152</v>
      </c>
      <c r="AK9858" s="831">
        <v>163609557</v>
      </c>
    </row>
    <row r="9859" spans="2:37">
      <c r="B9859" s="834" t="str">
        <f t="shared" ref="B9859:B9922" si="387">C9859&amp;"|"&amp;D9859&amp;"|"&amp;E9859&amp;"|"&amp;F9859</f>
        <v>|||</v>
      </c>
      <c r="H9859" s="835">
        <f t="shared" si="386"/>
        <v>31</v>
      </c>
      <c r="AF9859" s="831" t="s">
        <v>10518</v>
      </c>
      <c r="AG9859" s="831" t="s">
        <v>2674</v>
      </c>
      <c r="AH9859" s="831" t="s">
        <v>182</v>
      </c>
      <c r="AI9859" s="831">
        <v>0</v>
      </c>
      <c r="AJ9859" s="835">
        <v>41152</v>
      </c>
      <c r="AK9859" s="831">
        <v>50326770</v>
      </c>
    </row>
    <row r="9860" spans="2:37">
      <c r="B9860" s="834" t="str">
        <f t="shared" si="387"/>
        <v>|||</v>
      </c>
      <c r="H9860" s="835">
        <f t="shared" ref="H9860:H9923" si="388">EOMONTH(L9860,0)</f>
        <v>31</v>
      </c>
      <c r="AF9860" s="831" t="s">
        <v>10519</v>
      </c>
      <c r="AG9860" s="831" t="s">
        <v>2674</v>
      </c>
      <c r="AH9860" s="831" t="s">
        <v>6600</v>
      </c>
      <c r="AI9860" s="831">
        <v>0</v>
      </c>
      <c r="AJ9860" s="835">
        <v>41152</v>
      </c>
      <c r="AK9860" s="831">
        <v>0</v>
      </c>
    </row>
    <row r="9861" spans="2:37">
      <c r="B9861" s="834" t="str">
        <f t="shared" si="387"/>
        <v>|||</v>
      </c>
      <c r="H9861" s="835">
        <f t="shared" si="388"/>
        <v>31</v>
      </c>
      <c r="AF9861" s="831" t="s">
        <v>10520</v>
      </c>
      <c r="AG9861" s="831" t="s">
        <v>2674</v>
      </c>
      <c r="AH9861" s="831" t="s">
        <v>6602</v>
      </c>
      <c r="AI9861" s="831">
        <v>0</v>
      </c>
      <c r="AJ9861" s="835">
        <v>41152</v>
      </c>
      <c r="AK9861" s="831">
        <v>10092049</v>
      </c>
    </row>
    <row r="9862" spans="2:37">
      <c r="B9862" s="834" t="str">
        <f t="shared" si="387"/>
        <v>|||</v>
      </c>
      <c r="H9862" s="835">
        <f t="shared" si="388"/>
        <v>31</v>
      </c>
      <c r="AF9862" s="831" t="s">
        <v>10521</v>
      </c>
      <c r="AG9862" s="831" t="s">
        <v>2674</v>
      </c>
      <c r="AH9862" s="831" t="s">
        <v>650</v>
      </c>
      <c r="AI9862" s="831">
        <v>0</v>
      </c>
      <c r="AJ9862" s="835">
        <v>41152</v>
      </c>
      <c r="AK9862" s="831">
        <v>0</v>
      </c>
    </row>
    <row r="9863" spans="2:37">
      <c r="B9863" s="834" t="str">
        <f t="shared" si="387"/>
        <v>|||</v>
      </c>
      <c r="H9863" s="835">
        <f t="shared" si="388"/>
        <v>31</v>
      </c>
      <c r="AF9863" s="831" t="s">
        <v>10522</v>
      </c>
      <c r="AG9863" s="831" t="s">
        <v>2674</v>
      </c>
      <c r="AH9863" s="831" t="s">
        <v>655</v>
      </c>
      <c r="AI9863" s="831">
        <v>0</v>
      </c>
      <c r="AJ9863" s="835">
        <v>41152</v>
      </c>
      <c r="AK9863" s="831">
        <v>1649423</v>
      </c>
    </row>
    <row r="9864" spans="2:37">
      <c r="B9864" s="834" t="str">
        <f t="shared" si="387"/>
        <v>|||</v>
      </c>
      <c r="H9864" s="835">
        <f t="shared" si="388"/>
        <v>31</v>
      </c>
      <c r="AF9864" s="831" t="s">
        <v>10523</v>
      </c>
      <c r="AG9864" s="831" t="s">
        <v>2674</v>
      </c>
      <c r="AH9864" s="831" t="s">
        <v>546</v>
      </c>
      <c r="AI9864" s="831">
        <v>0</v>
      </c>
      <c r="AJ9864" s="835">
        <v>41182</v>
      </c>
      <c r="AK9864" s="831">
        <v>367084945</v>
      </c>
    </row>
    <row r="9865" spans="2:37">
      <c r="B9865" s="834" t="str">
        <f t="shared" si="387"/>
        <v>|||</v>
      </c>
      <c r="H9865" s="835">
        <f t="shared" si="388"/>
        <v>31</v>
      </c>
      <c r="AF9865" s="831" t="s">
        <v>10524</v>
      </c>
      <c r="AG9865" s="831" t="s">
        <v>2674</v>
      </c>
      <c r="AH9865" s="831" t="s">
        <v>370</v>
      </c>
      <c r="AI9865" s="831">
        <v>0</v>
      </c>
      <c r="AJ9865" s="835">
        <v>41182</v>
      </c>
      <c r="AK9865" s="831">
        <v>456586970</v>
      </c>
    </row>
    <row r="9866" spans="2:37">
      <c r="B9866" s="834" t="str">
        <f t="shared" si="387"/>
        <v>|||</v>
      </c>
      <c r="H9866" s="835">
        <f t="shared" si="388"/>
        <v>31</v>
      </c>
      <c r="AF9866" s="831" t="s">
        <v>10525</v>
      </c>
      <c r="AG9866" s="831" t="s">
        <v>2674</v>
      </c>
      <c r="AH9866" s="831" t="s">
        <v>126</v>
      </c>
      <c r="AI9866" s="831">
        <v>0</v>
      </c>
      <c r="AJ9866" s="835">
        <v>41182</v>
      </c>
      <c r="AK9866" s="831">
        <v>97409403</v>
      </c>
    </row>
    <row r="9867" spans="2:37">
      <c r="B9867" s="834" t="str">
        <f t="shared" si="387"/>
        <v>|||</v>
      </c>
      <c r="H9867" s="835">
        <f t="shared" si="388"/>
        <v>31</v>
      </c>
      <c r="AF9867" s="831" t="s">
        <v>10526</v>
      </c>
      <c r="AG9867" s="831" t="s">
        <v>2674</v>
      </c>
      <c r="AH9867" s="831" t="s">
        <v>268</v>
      </c>
      <c r="AI9867" s="831">
        <v>0</v>
      </c>
      <c r="AJ9867" s="835">
        <v>41182</v>
      </c>
      <c r="AK9867" s="831">
        <v>12086480</v>
      </c>
    </row>
    <row r="9868" spans="2:37">
      <c r="B9868" s="834" t="str">
        <f t="shared" si="387"/>
        <v>|||</v>
      </c>
      <c r="H9868" s="835">
        <f t="shared" si="388"/>
        <v>31</v>
      </c>
      <c r="AF9868" s="831" t="s">
        <v>10527</v>
      </c>
      <c r="AG9868" s="831" t="s">
        <v>2674</v>
      </c>
      <c r="AH9868" s="831" t="s">
        <v>547</v>
      </c>
      <c r="AI9868" s="831">
        <v>0</v>
      </c>
      <c r="AJ9868" s="835">
        <v>41182</v>
      </c>
      <c r="AK9868" s="831">
        <v>0</v>
      </c>
    </row>
    <row r="9869" spans="2:37">
      <c r="B9869" s="834" t="str">
        <f t="shared" si="387"/>
        <v>|||</v>
      </c>
      <c r="H9869" s="835">
        <f t="shared" si="388"/>
        <v>31</v>
      </c>
      <c r="AF9869" s="831" t="s">
        <v>10528</v>
      </c>
      <c r="AG9869" s="831" t="s">
        <v>2674</v>
      </c>
      <c r="AH9869" s="831" t="s">
        <v>548</v>
      </c>
      <c r="AI9869" s="831">
        <v>0</v>
      </c>
      <c r="AJ9869" s="835">
        <v>41182</v>
      </c>
      <c r="AK9869" s="831">
        <v>0</v>
      </c>
    </row>
    <row r="9870" spans="2:37">
      <c r="B9870" s="834" t="str">
        <f t="shared" si="387"/>
        <v>|||</v>
      </c>
      <c r="H9870" s="835">
        <f t="shared" si="388"/>
        <v>31</v>
      </c>
      <c r="AF9870" s="831" t="s">
        <v>10529</v>
      </c>
      <c r="AG9870" s="831" t="s">
        <v>2674</v>
      </c>
      <c r="AH9870" s="831" t="s">
        <v>549</v>
      </c>
      <c r="AI9870" s="831">
        <v>0</v>
      </c>
      <c r="AJ9870" s="835">
        <v>41182</v>
      </c>
      <c r="AK9870" s="831">
        <v>0</v>
      </c>
    </row>
    <row r="9871" spans="2:37">
      <c r="B9871" s="834" t="str">
        <f t="shared" si="387"/>
        <v>|||</v>
      </c>
      <c r="H9871" s="835">
        <f t="shared" si="388"/>
        <v>31</v>
      </c>
      <c r="AF9871" s="831" t="s">
        <v>10530</v>
      </c>
      <c r="AG9871" s="831" t="s">
        <v>2674</v>
      </c>
      <c r="AH9871" s="831" t="s">
        <v>192</v>
      </c>
      <c r="AI9871" s="831">
        <v>0</v>
      </c>
      <c r="AJ9871" s="835">
        <v>41182</v>
      </c>
      <c r="AK9871" s="831">
        <v>-9429800</v>
      </c>
    </row>
    <row r="9872" spans="2:37">
      <c r="B9872" s="834" t="str">
        <f t="shared" si="387"/>
        <v>|||</v>
      </c>
      <c r="H9872" s="835">
        <f t="shared" si="388"/>
        <v>31</v>
      </c>
      <c r="AF9872" s="831" t="s">
        <v>10531</v>
      </c>
      <c r="AG9872" s="831" t="s">
        <v>2674</v>
      </c>
      <c r="AH9872" s="831" t="s">
        <v>558</v>
      </c>
      <c r="AI9872" s="831">
        <v>0</v>
      </c>
      <c r="AJ9872" s="835">
        <v>41182</v>
      </c>
      <c r="AK9872" s="831">
        <v>359177567</v>
      </c>
    </row>
    <row r="9873" spans="2:37">
      <c r="B9873" s="834" t="str">
        <f t="shared" si="387"/>
        <v>|||</v>
      </c>
      <c r="H9873" s="835">
        <f t="shared" si="388"/>
        <v>31</v>
      </c>
      <c r="AF9873" s="831" t="s">
        <v>10532</v>
      </c>
      <c r="AG9873" s="831" t="s">
        <v>2674</v>
      </c>
      <c r="AH9873" s="831" t="s">
        <v>65</v>
      </c>
      <c r="AI9873" s="831">
        <v>0</v>
      </c>
      <c r="AJ9873" s="835">
        <v>41182</v>
      </c>
      <c r="AK9873" s="831">
        <v>71268198</v>
      </c>
    </row>
    <row r="9874" spans="2:37">
      <c r="B9874" s="834" t="str">
        <f t="shared" si="387"/>
        <v>|||</v>
      </c>
      <c r="H9874" s="835">
        <f t="shared" si="388"/>
        <v>31</v>
      </c>
      <c r="AF9874" s="831" t="s">
        <v>10533</v>
      </c>
      <c r="AG9874" s="831" t="s">
        <v>2674</v>
      </c>
      <c r="AH9874" s="831" t="s">
        <v>89</v>
      </c>
      <c r="AI9874" s="831">
        <v>0</v>
      </c>
      <c r="AJ9874" s="835">
        <v>41182</v>
      </c>
      <c r="AK9874" s="831">
        <v>122822</v>
      </c>
    </row>
    <row r="9875" spans="2:37">
      <c r="B9875" s="834" t="str">
        <f t="shared" si="387"/>
        <v>|||</v>
      </c>
      <c r="H9875" s="835">
        <f t="shared" si="388"/>
        <v>31</v>
      </c>
      <c r="AF9875" s="831" t="s">
        <v>10534</v>
      </c>
      <c r="AG9875" s="831" t="s">
        <v>2674</v>
      </c>
      <c r="AH9875" s="831" t="s">
        <v>557</v>
      </c>
      <c r="AI9875" s="831">
        <v>0</v>
      </c>
      <c r="AJ9875" s="835">
        <v>41182</v>
      </c>
      <c r="AK9875" s="831">
        <v>124710</v>
      </c>
    </row>
    <row r="9876" spans="2:37">
      <c r="B9876" s="834" t="str">
        <f t="shared" si="387"/>
        <v>|||</v>
      </c>
      <c r="H9876" s="835">
        <f t="shared" si="388"/>
        <v>31</v>
      </c>
      <c r="AF9876" s="831" t="s">
        <v>10535</v>
      </c>
      <c r="AG9876" s="831" t="s">
        <v>2674</v>
      </c>
      <c r="AH9876" s="831" t="s">
        <v>29</v>
      </c>
      <c r="AI9876" s="831">
        <v>0</v>
      </c>
      <c r="AJ9876" s="835">
        <v>41182</v>
      </c>
      <c r="AK9876" s="831">
        <v>2101787</v>
      </c>
    </row>
    <row r="9877" spans="2:37">
      <c r="B9877" s="834" t="str">
        <f t="shared" si="387"/>
        <v>|||</v>
      </c>
      <c r="H9877" s="835">
        <f t="shared" si="388"/>
        <v>31</v>
      </c>
      <c r="AF9877" s="831" t="s">
        <v>10536</v>
      </c>
      <c r="AG9877" s="831" t="s">
        <v>2674</v>
      </c>
      <c r="AH9877" s="831" t="s">
        <v>2688</v>
      </c>
      <c r="AI9877" s="831">
        <v>0</v>
      </c>
      <c r="AJ9877" s="835">
        <v>41182</v>
      </c>
      <c r="AK9877" s="831">
        <v>2502472</v>
      </c>
    </row>
    <row r="9878" spans="2:37">
      <c r="B9878" s="834" t="str">
        <f t="shared" si="387"/>
        <v>|||</v>
      </c>
      <c r="H9878" s="835">
        <f t="shared" si="388"/>
        <v>31</v>
      </c>
      <c r="AF9878" s="831" t="s">
        <v>10537</v>
      </c>
      <c r="AG9878" s="831" t="s">
        <v>2674</v>
      </c>
      <c r="AH9878" s="831" t="s">
        <v>556</v>
      </c>
      <c r="AI9878" s="831">
        <v>0</v>
      </c>
      <c r="AJ9878" s="835">
        <v>41182</v>
      </c>
      <c r="AK9878" s="831">
        <v>902857</v>
      </c>
    </row>
    <row r="9879" spans="2:37">
      <c r="B9879" s="834" t="str">
        <f t="shared" si="387"/>
        <v>|||</v>
      </c>
      <c r="H9879" s="835">
        <f t="shared" si="388"/>
        <v>31</v>
      </c>
      <c r="AF9879" s="831" t="s">
        <v>10538</v>
      </c>
      <c r="AG9879" s="831" t="s">
        <v>2674</v>
      </c>
      <c r="AH9879" s="831" t="s">
        <v>555</v>
      </c>
      <c r="AI9879" s="831">
        <v>0</v>
      </c>
      <c r="AJ9879" s="835">
        <v>41182</v>
      </c>
      <c r="AK9879" s="831">
        <v>230223270</v>
      </c>
    </row>
    <row r="9880" spans="2:37">
      <c r="B9880" s="834" t="str">
        <f t="shared" si="387"/>
        <v>|||</v>
      </c>
      <c r="H9880" s="835">
        <f t="shared" si="388"/>
        <v>31</v>
      </c>
      <c r="AF9880" s="831" t="s">
        <v>10539</v>
      </c>
      <c r="AG9880" s="831" t="s">
        <v>2674</v>
      </c>
      <c r="AH9880" s="831" t="s">
        <v>554</v>
      </c>
      <c r="AI9880" s="831">
        <v>0</v>
      </c>
      <c r="AJ9880" s="835">
        <v>41182</v>
      </c>
      <c r="AK9880" s="831">
        <v>219562790</v>
      </c>
    </row>
    <row r="9881" spans="2:37">
      <c r="B9881" s="834" t="str">
        <f t="shared" si="387"/>
        <v>|||</v>
      </c>
      <c r="H9881" s="835">
        <f t="shared" si="388"/>
        <v>31</v>
      </c>
      <c r="AF9881" s="831" t="s">
        <v>10540</v>
      </c>
      <c r="AG9881" s="831" t="s">
        <v>2674</v>
      </c>
      <c r="AH9881" s="831" t="s">
        <v>553</v>
      </c>
      <c r="AI9881" s="831">
        <v>0</v>
      </c>
      <c r="AJ9881" s="835">
        <v>41182</v>
      </c>
      <c r="AK9881" s="831">
        <v>0</v>
      </c>
    </row>
    <row r="9882" spans="2:37">
      <c r="B9882" s="834" t="str">
        <f t="shared" si="387"/>
        <v>|||</v>
      </c>
      <c r="H9882" s="835">
        <f t="shared" si="388"/>
        <v>31</v>
      </c>
      <c r="AF9882" s="831" t="s">
        <v>10541</v>
      </c>
      <c r="AG9882" s="831" t="s">
        <v>2674</v>
      </c>
      <c r="AH9882" s="831" t="s">
        <v>552</v>
      </c>
      <c r="AI9882" s="831">
        <v>0</v>
      </c>
      <c r="AJ9882" s="835">
        <v>41182</v>
      </c>
      <c r="AK9882" s="831">
        <v>0</v>
      </c>
    </row>
    <row r="9883" spans="2:37">
      <c r="B9883" s="834" t="str">
        <f t="shared" si="387"/>
        <v>|||</v>
      </c>
      <c r="H9883" s="835">
        <f t="shared" si="388"/>
        <v>31</v>
      </c>
      <c r="AF9883" s="831" t="s">
        <v>10542</v>
      </c>
      <c r="AG9883" s="831" t="s">
        <v>2674</v>
      </c>
      <c r="AH9883" s="831" t="s">
        <v>551</v>
      </c>
      <c r="AI9883" s="831">
        <v>0</v>
      </c>
      <c r="AJ9883" s="835">
        <v>41182</v>
      </c>
      <c r="AK9883" s="831">
        <v>1960032</v>
      </c>
    </row>
    <row r="9884" spans="2:37">
      <c r="B9884" s="834" t="str">
        <f t="shared" si="387"/>
        <v>|||</v>
      </c>
      <c r="H9884" s="835">
        <f t="shared" si="388"/>
        <v>31</v>
      </c>
      <c r="AF9884" s="831" t="s">
        <v>10543</v>
      </c>
      <c r="AG9884" s="831" t="s">
        <v>2674</v>
      </c>
      <c r="AH9884" s="831" t="s">
        <v>550</v>
      </c>
      <c r="AI9884" s="831">
        <v>0</v>
      </c>
      <c r="AJ9884" s="835">
        <v>41182</v>
      </c>
      <c r="AK9884" s="831">
        <v>95414973</v>
      </c>
    </row>
    <row r="9885" spans="2:37">
      <c r="B9885" s="834" t="str">
        <f t="shared" si="387"/>
        <v>|||</v>
      </c>
      <c r="H9885" s="835">
        <f t="shared" si="388"/>
        <v>31</v>
      </c>
      <c r="AF9885" s="831" t="s">
        <v>10544</v>
      </c>
      <c r="AG9885" s="831" t="s">
        <v>2674</v>
      </c>
      <c r="AH9885" s="831" t="s">
        <v>562</v>
      </c>
      <c r="AI9885" s="831">
        <v>0</v>
      </c>
      <c r="AJ9885" s="835">
        <v>41182</v>
      </c>
      <c r="AK9885" s="831">
        <v>0.78464999999999996</v>
      </c>
    </row>
    <row r="9886" spans="2:37">
      <c r="B9886" s="834" t="str">
        <f t="shared" si="387"/>
        <v>|||</v>
      </c>
      <c r="H9886" s="835">
        <f t="shared" si="388"/>
        <v>31</v>
      </c>
      <c r="AF9886" s="831" t="s">
        <v>10545</v>
      </c>
      <c r="AG9886" s="831" t="s">
        <v>2674</v>
      </c>
      <c r="AH9886" s="831" t="s">
        <v>2698</v>
      </c>
      <c r="AI9886" s="831">
        <v>0</v>
      </c>
      <c r="AJ9886" s="835">
        <v>41182</v>
      </c>
      <c r="AK9886" s="831">
        <v>0.78449999999999998</v>
      </c>
    </row>
    <row r="9887" spans="2:37">
      <c r="B9887" s="834" t="str">
        <f t="shared" si="387"/>
        <v>|||</v>
      </c>
      <c r="H9887" s="835">
        <f t="shared" si="388"/>
        <v>31</v>
      </c>
      <c r="AF9887" s="831" t="s">
        <v>10546</v>
      </c>
      <c r="AG9887" s="831" t="s">
        <v>2674</v>
      </c>
      <c r="AH9887" s="831" t="s">
        <v>560</v>
      </c>
      <c r="AI9887" s="831">
        <v>0</v>
      </c>
      <c r="AJ9887" s="835">
        <v>41182</v>
      </c>
      <c r="AK9887" s="831">
        <v>0.78534999999999999</v>
      </c>
    </row>
    <row r="9888" spans="2:37">
      <c r="B9888" s="834" t="str">
        <f t="shared" si="387"/>
        <v>|||</v>
      </c>
      <c r="H9888" s="835">
        <f t="shared" si="388"/>
        <v>31</v>
      </c>
      <c r="AF9888" s="831" t="s">
        <v>10547</v>
      </c>
      <c r="AG9888" s="831" t="s">
        <v>2674</v>
      </c>
      <c r="AH9888" s="831" t="s">
        <v>559</v>
      </c>
      <c r="AI9888" s="831">
        <v>0</v>
      </c>
      <c r="AJ9888" s="835">
        <v>41182</v>
      </c>
      <c r="AK9888" s="831">
        <v>0.785570833333333</v>
      </c>
    </row>
    <row r="9889" spans="2:37">
      <c r="B9889" s="834" t="str">
        <f t="shared" si="387"/>
        <v>|||</v>
      </c>
      <c r="H9889" s="835">
        <f t="shared" si="388"/>
        <v>31</v>
      </c>
      <c r="AF9889" s="831" t="s">
        <v>10548</v>
      </c>
      <c r="AG9889" s="831" t="s">
        <v>2674</v>
      </c>
      <c r="AH9889" s="831" t="s">
        <v>568</v>
      </c>
      <c r="AI9889" s="831">
        <v>0</v>
      </c>
      <c r="AJ9889" s="835">
        <v>41182</v>
      </c>
      <c r="AK9889" s="831">
        <v>0</v>
      </c>
    </row>
    <row r="9890" spans="2:37">
      <c r="B9890" s="834" t="str">
        <f t="shared" si="387"/>
        <v>|||</v>
      </c>
      <c r="H9890" s="835">
        <f t="shared" si="388"/>
        <v>31</v>
      </c>
      <c r="AF9890" s="831" t="s">
        <v>10549</v>
      </c>
      <c r="AG9890" s="831" t="s">
        <v>2674</v>
      </c>
      <c r="AH9890" s="831" t="s">
        <v>569</v>
      </c>
      <c r="AI9890" s="831">
        <v>0</v>
      </c>
      <c r="AJ9890" s="835">
        <v>41182</v>
      </c>
      <c r="AK9890" s="831">
        <v>0</v>
      </c>
    </row>
    <row r="9891" spans="2:37">
      <c r="B9891" s="834" t="str">
        <f t="shared" si="387"/>
        <v>|||</v>
      </c>
      <c r="H9891" s="835">
        <f t="shared" si="388"/>
        <v>31</v>
      </c>
      <c r="AF9891" s="831" t="s">
        <v>10550</v>
      </c>
      <c r="AG9891" s="831" t="s">
        <v>2674</v>
      </c>
      <c r="AH9891" s="831" t="s">
        <v>570</v>
      </c>
      <c r="AI9891" s="831">
        <v>0</v>
      </c>
      <c r="AJ9891" s="835">
        <v>41182</v>
      </c>
      <c r="AK9891" s="831">
        <v>0</v>
      </c>
    </row>
    <row r="9892" spans="2:37">
      <c r="B9892" s="834" t="str">
        <f t="shared" si="387"/>
        <v>|||</v>
      </c>
      <c r="H9892" s="835">
        <f t="shared" si="388"/>
        <v>31</v>
      </c>
      <c r="AF9892" s="831" t="s">
        <v>10551</v>
      </c>
      <c r="AG9892" s="831" t="s">
        <v>2674</v>
      </c>
      <c r="AH9892" s="831" t="s">
        <v>571</v>
      </c>
      <c r="AI9892" s="831">
        <v>0</v>
      </c>
      <c r="AJ9892" s="835">
        <v>41182</v>
      </c>
      <c r="AK9892" s="831">
        <v>0</v>
      </c>
    </row>
    <row r="9893" spans="2:37">
      <c r="B9893" s="834" t="str">
        <f t="shared" si="387"/>
        <v>|||</v>
      </c>
      <c r="H9893" s="835">
        <f t="shared" si="388"/>
        <v>31</v>
      </c>
      <c r="AF9893" s="831" t="s">
        <v>10552</v>
      </c>
      <c r="AG9893" s="831" t="s">
        <v>2674</v>
      </c>
      <c r="AH9893" s="831" t="s">
        <v>573</v>
      </c>
      <c r="AI9893" s="831">
        <v>0</v>
      </c>
      <c r="AJ9893" s="835">
        <v>41182</v>
      </c>
      <c r="AK9893" s="831">
        <v>0</v>
      </c>
    </row>
    <row r="9894" spans="2:37">
      <c r="B9894" s="834" t="str">
        <f t="shared" si="387"/>
        <v>|||</v>
      </c>
      <c r="H9894" s="835">
        <f t="shared" si="388"/>
        <v>31</v>
      </c>
      <c r="AF9894" s="831" t="s">
        <v>10553</v>
      </c>
      <c r="AG9894" s="831" t="s">
        <v>2674</v>
      </c>
      <c r="AH9894" s="831" t="s">
        <v>574</v>
      </c>
      <c r="AI9894" s="831">
        <v>0</v>
      </c>
      <c r="AJ9894" s="835">
        <v>41182</v>
      </c>
      <c r="AK9894" s="831">
        <v>0</v>
      </c>
    </row>
    <row r="9895" spans="2:37">
      <c r="B9895" s="834" t="str">
        <f t="shared" si="387"/>
        <v>|||</v>
      </c>
      <c r="H9895" s="835">
        <f t="shared" si="388"/>
        <v>31</v>
      </c>
      <c r="AF9895" s="831" t="s">
        <v>10554</v>
      </c>
      <c r="AG9895" s="831" t="s">
        <v>2674</v>
      </c>
      <c r="AH9895" s="831" t="s">
        <v>575</v>
      </c>
      <c r="AI9895" s="831">
        <v>0</v>
      </c>
      <c r="AJ9895" s="835">
        <v>41182</v>
      </c>
      <c r="AK9895" s="831">
        <v>0</v>
      </c>
    </row>
    <row r="9896" spans="2:37">
      <c r="B9896" s="834" t="str">
        <f t="shared" si="387"/>
        <v>|||</v>
      </c>
      <c r="H9896" s="835">
        <f t="shared" si="388"/>
        <v>31</v>
      </c>
      <c r="AF9896" s="831" t="s">
        <v>10555</v>
      </c>
      <c r="AG9896" s="831" t="s">
        <v>2674</v>
      </c>
      <c r="AH9896" s="831" t="s">
        <v>576</v>
      </c>
      <c r="AI9896" s="831">
        <v>0</v>
      </c>
      <c r="AJ9896" s="835">
        <v>41182</v>
      </c>
      <c r="AK9896" s="831">
        <v>0</v>
      </c>
    </row>
    <row r="9897" spans="2:37">
      <c r="B9897" s="834" t="str">
        <f t="shared" si="387"/>
        <v>|||</v>
      </c>
      <c r="H9897" s="835">
        <f t="shared" si="388"/>
        <v>31</v>
      </c>
      <c r="AF9897" s="831" t="s">
        <v>10556</v>
      </c>
      <c r="AG9897" s="831" t="s">
        <v>2674</v>
      </c>
      <c r="AH9897" s="831" t="s">
        <v>572</v>
      </c>
      <c r="AI9897" s="831">
        <v>0</v>
      </c>
      <c r="AJ9897" s="835">
        <v>41182</v>
      </c>
      <c r="AK9897" s="831">
        <v>0</v>
      </c>
    </row>
    <row r="9898" spans="2:37">
      <c r="B9898" s="834" t="str">
        <f t="shared" si="387"/>
        <v>|||</v>
      </c>
      <c r="H9898" s="835">
        <f t="shared" si="388"/>
        <v>31</v>
      </c>
      <c r="AF9898" s="831" t="s">
        <v>10557</v>
      </c>
      <c r="AG9898" s="831" t="s">
        <v>2674</v>
      </c>
      <c r="AH9898" s="831" t="s">
        <v>577</v>
      </c>
      <c r="AI9898" s="831">
        <v>0</v>
      </c>
      <c r="AJ9898" s="835">
        <v>41182</v>
      </c>
      <c r="AK9898" s="831">
        <v>0</v>
      </c>
    </row>
    <row r="9899" spans="2:37">
      <c r="B9899" s="834" t="str">
        <f t="shared" si="387"/>
        <v>|||</v>
      </c>
      <c r="H9899" s="835">
        <f t="shared" si="388"/>
        <v>31</v>
      </c>
      <c r="AF9899" s="831" t="s">
        <v>10558</v>
      </c>
      <c r="AG9899" s="831" t="s">
        <v>2674</v>
      </c>
      <c r="AH9899" s="831" t="s">
        <v>3042</v>
      </c>
      <c r="AI9899" s="831">
        <v>0</v>
      </c>
      <c r="AJ9899" s="835">
        <v>41182</v>
      </c>
      <c r="AK9899" s="831">
        <v>0</v>
      </c>
    </row>
    <row r="9900" spans="2:37">
      <c r="B9900" s="834" t="str">
        <f t="shared" si="387"/>
        <v>|||</v>
      </c>
      <c r="H9900" s="835">
        <f t="shared" si="388"/>
        <v>31</v>
      </c>
      <c r="AF9900" s="831" t="s">
        <v>10559</v>
      </c>
      <c r="AG9900" s="831" t="s">
        <v>2674</v>
      </c>
      <c r="AH9900" s="831" t="s">
        <v>3044</v>
      </c>
      <c r="AI9900" s="831">
        <v>0</v>
      </c>
      <c r="AJ9900" s="835">
        <v>41182</v>
      </c>
      <c r="AK9900" s="831">
        <v>0</v>
      </c>
    </row>
    <row r="9901" spans="2:37">
      <c r="B9901" s="834" t="str">
        <f t="shared" si="387"/>
        <v>|||</v>
      </c>
      <c r="H9901" s="835">
        <f t="shared" si="388"/>
        <v>31</v>
      </c>
      <c r="AF9901" s="831" t="s">
        <v>10560</v>
      </c>
      <c r="AG9901" s="831" t="s">
        <v>2674</v>
      </c>
      <c r="AH9901" s="831" t="s">
        <v>580</v>
      </c>
      <c r="AI9901" s="831">
        <v>0</v>
      </c>
      <c r="AJ9901" s="835">
        <v>41182</v>
      </c>
      <c r="AK9901" s="831">
        <v>0</v>
      </c>
    </row>
    <row r="9902" spans="2:37">
      <c r="B9902" s="834" t="str">
        <f t="shared" si="387"/>
        <v>|||</v>
      </c>
      <c r="H9902" s="835">
        <f t="shared" si="388"/>
        <v>31</v>
      </c>
      <c r="AF9902" s="831" t="s">
        <v>10561</v>
      </c>
      <c r="AG9902" s="831" t="s">
        <v>2674</v>
      </c>
      <c r="AH9902" s="831" t="s">
        <v>581</v>
      </c>
      <c r="AI9902" s="831">
        <v>0</v>
      </c>
      <c r="AJ9902" s="835">
        <v>41182</v>
      </c>
      <c r="AK9902" s="831">
        <v>0</v>
      </c>
    </row>
    <row r="9903" spans="2:37">
      <c r="B9903" s="834" t="str">
        <f t="shared" si="387"/>
        <v>|||</v>
      </c>
      <c r="H9903" s="835">
        <f t="shared" si="388"/>
        <v>31</v>
      </c>
      <c r="AF9903" s="831" t="s">
        <v>10562</v>
      </c>
      <c r="AG9903" s="831" t="s">
        <v>2674</v>
      </c>
      <c r="AH9903" s="831" t="s">
        <v>105</v>
      </c>
      <c r="AI9903" s="831">
        <v>0</v>
      </c>
      <c r="AJ9903" s="835">
        <v>41182</v>
      </c>
      <c r="AK9903" s="831">
        <v>185303362</v>
      </c>
    </row>
    <row r="9904" spans="2:37">
      <c r="B9904" s="834" t="str">
        <f t="shared" si="387"/>
        <v>|||</v>
      </c>
      <c r="H9904" s="835">
        <f t="shared" si="388"/>
        <v>31</v>
      </c>
      <c r="AF9904" s="831" t="s">
        <v>10563</v>
      </c>
      <c r="AG9904" s="831" t="s">
        <v>2674</v>
      </c>
      <c r="AH9904" s="831" t="s">
        <v>3049</v>
      </c>
      <c r="AI9904" s="831">
        <v>0</v>
      </c>
      <c r="AJ9904" s="835">
        <v>41182</v>
      </c>
      <c r="AK9904" s="831">
        <v>347265603</v>
      </c>
    </row>
    <row r="9905" spans="2:37">
      <c r="B9905" s="834" t="str">
        <f t="shared" si="387"/>
        <v>|||</v>
      </c>
      <c r="H9905" s="835">
        <f t="shared" si="388"/>
        <v>31</v>
      </c>
      <c r="AF9905" s="831" t="s">
        <v>10564</v>
      </c>
      <c r="AG9905" s="831" t="s">
        <v>2674</v>
      </c>
      <c r="AH9905" s="831" t="s">
        <v>103</v>
      </c>
      <c r="AI9905" s="831">
        <v>0</v>
      </c>
      <c r="AJ9905" s="835">
        <v>41182</v>
      </c>
      <c r="AK9905" s="831">
        <v>161962241</v>
      </c>
    </row>
    <row r="9906" spans="2:37">
      <c r="B9906" s="834" t="str">
        <f t="shared" si="387"/>
        <v>|||</v>
      </c>
      <c r="H9906" s="835">
        <f t="shared" si="388"/>
        <v>31</v>
      </c>
      <c r="AF9906" s="831" t="s">
        <v>10565</v>
      </c>
      <c r="AG9906" s="831" t="s">
        <v>2674</v>
      </c>
      <c r="AH9906" s="831" t="s">
        <v>182</v>
      </c>
      <c r="AI9906" s="831">
        <v>0</v>
      </c>
      <c r="AJ9906" s="835">
        <v>41182</v>
      </c>
      <c r="AK9906" s="831">
        <v>49982530.666666701</v>
      </c>
    </row>
    <row r="9907" spans="2:37">
      <c r="B9907" s="834" t="str">
        <f t="shared" si="387"/>
        <v>|||</v>
      </c>
      <c r="H9907" s="835">
        <f t="shared" si="388"/>
        <v>31</v>
      </c>
      <c r="AF9907" s="831" t="s">
        <v>10566</v>
      </c>
      <c r="AG9907" s="831" t="s">
        <v>2674</v>
      </c>
      <c r="AH9907" s="831" t="s">
        <v>6600</v>
      </c>
      <c r="AI9907" s="831">
        <v>0</v>
      </c>
      <c r="AJ9907" s="835">
        <v>41182</v>
      </c>
      <c r="AK9907" s="831">
        <v>0</v>
      </c>
    </row>
    <row r="9908" spans="2:37">
      <c r="B9908" s="834" t="str">
        <f t="shared" si="387"/>
        <v>|||</v>
      </c>
      <c r="H9908" s="835">
        <f t="shared" si="388"/>
        <v>31</v>
      </c>
      <c r="AF9908" s="831" t="s">
        <v>10567</v>
      </c>
      <c r="AG9908" s="831" t="s">
        <v>2674</v>
      </c>
      <c r="AH9908" s="831" t="s">
        <v>6602</v>
      </c>
      <c r="AI9908" s="831">
        <v>0</v>
      </c>
      <c r="AJ9908" s="835">
        <v>41182</v>
      </c>
      <c r="AK9908" s="831">
        <v>12086480</v>
      </c>
    </row>
    <row r="9909" spans="2:37">
      <c r="B9909" s="834" t="str">
        <f t="shared" si="387"/>
        <v>|||</v>
      </c>
      <c r="H9909" s="835">
        <f t="shared" si="388"/>
        <v>31</v>
      </c>
      <c r="AF9909" s="831" t="s">
        <v>10568</v>
      </c>
      <c r="AG9909" s="831" t="s">
        <v>2674</v>
      </c>
      <c r="AH9909" s="831" t="s">
        <v>650</v>
      </c>
      <c r="AI9909" s="831">
        <v>0</v>
      </c>
      <c r="AJ9909" s="835">
        <v>41182</v>
      </c>
      <c r="AK9909" s="831">
        <v>0</v>
      </c>
    </row>
    <row r="9910" spans="2:37">
      <c r="B9910" s="834" t="str">
        <f t="shared" si="387"/>
        <v>|||</v>
      </c>
      <c r="H9910" s="835">
        <f t="shared" si="388"/>
        <v>31</v>
      </c>
      <c r="AF9910" s="831" t="s">
        <v>10569</v>
      </c>
      <c r="AG9910" s="831" t="s">
        <v>2674</v>
      </c>
      <c r="AH9910" s="831" t="s">
        <v>655</v>
      </c>
      <c r="AI9910" s="831">
        <v>0</v>
      </c>
      <c r="AJ9910" s="835">
        <v>41182</v>
      </c>
      <c r="AK9910" s="831">
        <v>1640278</v>
      </c>
    </row>
    <row r="9911" spans="2:37">
      <c r="B9911" s="834" t="str">
        <f t="shared" si="387"/>
        <v>|||</v>
      </c>
      <c r="H9911" s="835">
        <f t="shared" si="388"/>
        <v>31</v>
      </c>
      <c r="AF9911" s="831" t="s">
        <v>10570</v>
      </c>
      <c r="AG9911" s="831" t="s">
        <v>2674</v>
      </c>
      <c r="AH9911" s="831" t="s">
        <v>546</v>
      </c>
      <c r="AI9911" s="831">
        <v>0</v>
      </c>
      <c r="AJ9911" s="835">
        <v>41213</v>
      </c>
      <c r="AK9911" s="831">
        <v>376404251</v>
      </c>
    </row>
    <row r="9912" spans="2:37">
      <c r="B9912" s="834" t="str">
        <f t="shared" si="387"/>
        <v>|||</v>
      </c>
      <c r="H9912" s="835">
        <f t="shared" si="388"/>
        <v>31</v>
      </c>
      <c r="AF9912" s="831" t="s">
        <v>10571</v>
      </c>
      <c r="AG9912" s="831" t="s">
        <v>2674</v>
      </c>
      <c r="AH9912" s="831" t="s">
        <v>370</v>
      </c>
      <c r="AI9912" s="831">
        <v>0</v>
      </c>
      <c r="AJ9912" s="835">
        <v>41213</v>
      </c>
      <c r="AK9912" s="831">
        <v>453336865</v>
      </c>
    </row>
    <row r="9913" spans="2:37">
      <c r="B9913" s="834" t="str">
        <f t="shared" si="387"/>
        <v>|||</v>
      </c>
      <c r="H9913" s="835">
        <f t="shared" si="388"/>
        <v>31</v>
      </c>
      <c r="AF9913" s="831" t="s">
        <v>10572</v>
      </c>
      <c r="AG9913" s="831" t="s">
        <v>2674</v>
      </c>
      <c r="AH9913" s="831" t="s">
        <v>126</v>
      </c>
      <c r="AI9913" s="831">
        <v>0</v>
      </c>
      <c r="AJ9913" s="835">
        <v>41213</v>
      </c>
      <c r="AK9913" s="831">
        <v>99431431</v>
      </c>
    </row>
    <row r="9914" spans="2:37">
      <c r="B9914" s="834" t="str">
        <f t="shared" si="387"/>
        <v>|||</v>
      </c>
      <c r="H9914" s="835">
        <f t="shared" si="388"/>
        <v>31</v>
      </c>
      <c r="AF9914" s="831" t="s">
        <v>10573</v>
      </c>
      <c r="AG9914" s="831" t="s">
        <v>2674</v>
      </c>
      <c r="AH9914" s="831" t="s">
        <v>268</v>
      </c>
      <c r="AI9914" s="831">
        <v>0</v>
      </c>
      <c r="AJ9914" s="835">
        <v>41213</v>
      </c>
      <c r="AK9914" s="831">
        <v>14108507</v>
      </c>
    </row>
    <row r="9915" spans="2:37">
      <c r="B9915" s="834" t="str">
        <f t="shared" si="387"/>
        <v>|||</v>
      </c>
      <c r="H9915" s="835">
        <f t="shared" si="388"/>
        <v>31</v>
      </c>
      <c r="AF9915" s="831" t="s">
        <v>10574</v>
      </c>
      <c r="AG9915" s="831" t="s">
        <v>2674</v>
      </c>
      <c r="AH9915" s="831" t="s">
        <v>547</v>
      </c>
      <c r="AI9915" s="831">
        <v>0</v>
      </c>
      <c r="AJ9915" s="835">
        <v>41213</v>
      </c>
      <c r="AK9915" s="831">
        <v>0</v>
      </c>
    </row>
    <row r="9916" spans="2:37">
      <c r="B9916" s="834" t="str">
        <f t="shared" si="387"/>
        <v>|||</v>
      </c>
      <c r="H9916" s="835">
        <f t="shared" si="388"/>
        <v>31</v>
      </c>
      <c r="AF9916" s="831" t="s">
        <v>10575</v>
      </c>
      <c r="AG9916" s="831" t="s">
        <v>2674</v>
      </c>
      <c r="AH9916" s="831" t="s">
        <v>548</v>
      </c>
      <c r="AI9916" s="831">
        <v>0</v>
      </c>
      <c r="AJ9916" s="835">
        <v>41213</v>
      </c>
      <c r="AK9916" s="831">
        <v>0</v>
      </c>
    </row>
    <row r="9917" spans="2:37">
      <c r="B9917" s="834" t="str">
        <f t="shared" si="387"/>
        <v>|||</v>
      </c>
      <c r="H9917" s="835">
        <f t="shared" si="388"/>
        <v>31</v>
      </c>
      <c r="AF9917" s="831" t="s">
        <v>10576</v>
      </c>
      <c r="AG9917" s="831" t="s">
        <v>2674</v>
      </c>
      <c r="AH9917" s="831" t="s">
        <v>549</v>
      </c>
      <c r="AI9917" s="831">
        <v>0</v>
      </c>
      <c r="AJ9917" s="835">
        <v>41213</v>
      </c>
      <c r="AK9917" s="831">
        <v>0</v>
      </c>
    </row>
    <row r="9918" spans="2:37">
      <c r="B9918" s="834" t="str">
        <f t="shared" si="387"/>
        <v>|||</v>
      </c>
      <c r="H9918" s="835">
        <f t="shared" si="388"/>
        <v>31</v>
      </c>
      <c r="AF9918" s="831" t="s">
        <v>10577</v>
      </c>
      <c r="AG9918" s="831" t="s">
        <v>2674</v>
      </c>
      <c r="AH9918" s="831" t="s">
        <v>192</v>
      </c>
      <c r="AI9918" s="831">
        <v>0</v>
      </c>
      <c r="AJ9918" s="835">
        <v>41213</v>
      </c>
      <c r="AK9918" s="831">
        <v>-9860253</v>
      </c>
    </row>
    <row r="9919" spans="2:37">
      <c r="B9919" s="834" t="str">
        <f t="shared" si="387"/>
        <v>|||</v>
      </c>
      <c r="H9919" s="835">
        <f t="shared" si="388"/>
        <v>31</v>
      </c>
      <c r="AF9919" s="831" t="s">
        <v>10578</v>
      </c>
      <c r="AG9919" s="831" t="s">
        <v>2674</v>
      </c>
      <c r="AH9919" s="831" t="s">
        <v>558</v>
      </c>
      <c r="AI9919" s="831">
        <v>0</v>
      </c>
      <c r="AJ9919" s="835">
        <v>41213</v>
      </c>
      <c r="AK9919" s="831">
        <v>353905434</v>
      </c>
    </row>
    <row r="9920" spans="2:37">
      <c r="B9920" s="834" t="str">
        <f t="shared" si="387"/>
        <v>|||</v>
      </c>
      <c r="H9920" s="835">
        <f t="shared" si="388"/>
        <v>31</v>
      </c>
      <c r="AF9920" s="831" t="s">
        <v>10579</v>
      </c>
      <c r="AG9920" s="831" t="s">
        <v>2674</v>
      </c>
      <c r="AH9920" s="831" t="s">
        <v>65</v>
      </c>
      <c r="AI9920" s="831">
        <v>0</v>
      </c>
      <c r="AJ9920" s="835">
        <v>41213</v>
      </c>
      <c r="AK9920" s="831">
        <v>80308330</v>
      </c>
    </row>
    <row r="9921" spans="2:37">
      <c r="B9921" s="834" t="str">
        <f t="shared" si="387"/>
        <v>|||</v>
      </c>
      <c r="H9921" s="835">
        <f t="shared" si="388"/>
        <v>31</v>
      </c>
      <c r="AF9921" s="831" t="s">
        <v>10580</v>
      </c>
      <c r="AG9921" s="831" t="s">
        <v>2674</v>
      </c>
      <c r="AH9921" s="831" t="s">
        <v>89</v>
      </c>
      <c r="AI9921" s="831">
        <v>0</v>
      </c>
      <c r="AJ9921" s="835">
        <v>41213</v>
      </c>
      <c r="AK9921" s="831">
        <v>123024</v>
      </c>
    </row>
    <row r="9922" spans="2:37">
      <c r="B9922" s="834" t="str">
        <f t="shared" si="387"/>
        <v>|||</v>
      </c>
      <c r="H9922" s="835">
        <f t="shared" si="388"/>
        <v>31</v>
      </c>
      <c r="AF9922" s="831" t="s">
        <v>10581</v>
      </c>
      <c r="AG9922" s="831" t="s">
        <v>2674</v>
      </c>
      <c r="AH9922" s="831" t="s">
        <v>557</v>
      </c>
      <c r="AI9922" s="831">
        <v>0</v>
      </c>
      <c r="AJ9922" s="835">
        <v>41213</v>
      </c>
      <c r="AK9922" s="831">
        <v>124999</v>
      </c>
    </row>
    <row r="9923" spans="2:37">
      <c r="B9923" s="834" t="str">
        <f t="shared" ref="B9923:B9986" si="389">C9923&amp;"|"&amp;D9923&amp;"|"&amp;E9923&amp;"|"&amp;F9923</f>
        <v>|||</v>
      </c>
      <c r="H9923" s="835">
        <f t="shared" si="388"/>
        <v>31</v>
      </c>
      <c r="AF9923" s="831" t="s">
        <v>10582</v>
      </c>
      <c r="AG9923" s="831" t="s">
        <v>2674</v>
      </c>
      <c r="AH9923" s="831" t="s">
        <v>29</v>
      </c>
      <c r="AI9923" s="831">
        <v>0</v>
      </c>
      <c r="AJ9923" s="835">
        <v>41213</v>
      </c>
      <c r="AK9923" s="831">
        <v>2261339</v>
      </c>
    </row>
    <row r="9924" spans="2:37">
      <c r="B9924" s="834" t="str">
        <f t="shared" si="389"/>
        <v>|||</v>
      </c>
      <c r="H9924" s="835">
        <f t="shared" ref="H9924:H9987" si="390">EOMONTH(L9924,0)</f>
        <v>31</v>
      </c>
      <c r="AF9924" s="831" t="s">
        <v>10583</v>
      </c>
      <c r="AG9924" s="831" t="s">
        <v>2674</v>
      </c>
      <c r="AH9924" s="831" t="s">
        <v>2688</v>
      </c>
      <c r="AI9924" s="831">
        <v>0</v>
      </c>
      <c r="AJ9924" s="835">
        <v>41213</v>
      </c>
      <c r="AK9924" s="831">
        <v>2480728</v>
      </c>
    </row>
    <row r="9925" spans="2:37">
      <c r="B9925" s="834" t="str">
        <f t="shared" si="389"/>
        <v>|||</v>
      </c>
      <c r="H9925" s="835">
        <f t="shared" si="390"/>
        <v>31</v>
      </c>
      <c r="AF9925" s="831" t="s">
        <v>10584</v>
      </c>
      <c r="AG9925" s="831" t="s">
        <v>2674</v>
      </c>
      <c r="AH9925" s="831" t="s">
        <v>556</v>
      </c>
      <c r="AI9925" s="831">
        <v>0</v>
      </c>
      <c r="AJ9925" s="835">
        <v>41213</v>
      </c>
      <c r="AK9925" s="831">
        <v>902857</v>
      </c>
    </row>
    <row r="9926" spans="2:37">
      <c r="B9926" s="834" t="str">
        <f t="shared" si="389"/>
        <v>|||</v>
      </c>
      <c r="H9926" s="835">
        <f t="shared" si="390"/>
        <v>31</v>
      </c>
      <c r="AF9926" s="831" t="s">
        <v>10585</v>
      </c>
      <c r="AG9926" s="831" t="s">
        <v>2674</v>
      </c>
      <c r="AH9926" s="831" t="s">
        <v>555</v>
      </c>
      <c r="AI9926" s="831">
        <v>0</v>
      </c>
      <c r="AJ9926" s="835">
        <v>41213</v>
      </c>
      <c r="AK9926" s="831">
        <v>223326560</v>
      </c>
    </row>
    <row r="9927" spans="2:37">
      <c r="B9927" s="834" t="str">
        <f t="shared" si="389"/>
        <v>|||</v>
      </c>
      <c r="H9927" s="835">
        <f t="shared" si="390"/>
        <v>31</v>
      </c>
      <c r="AF9927" s="831" t="s">
        <v>10586</v>
      </c>
      <c r="AG9927" s="831" t="s">
        <v>2674</v>
      </c>
      <c r="AH9927" s="831" t="s">
        <v>554</v>
      </c>
      <c r="AI9927" s="831">
        <v>0</v>
      </c>
      <c r="AJ9927" s="835">
        <v>41213</v>
      </c>
      <c r="AK9927" s="831">
        <v>217988230</v>
      </c>
    </row>
    <row r="9928" spans="2:37">
      <c r="B9928" s="834" t="str">
        <f t="shared" si="389"/>
        <v>|||</v>
      </c>
      <c r="H9928" s="835">
        <f t="shared" si="390"/>
        <v>31</v>
      </c>
      <c r="AF9928" s="831" t="s">
        <v>10587</v>
      </c>
      <c r="AG9928" s="831" t="s">
        <v>2674</v>
      </c>
      <c r="AH9928" s="831" t="s">
        <v>553</v>
      </c>
      <c r="AI9928" s="831">
        <v>0</v>
      </c>
      <c r="AJ9928" s="835">
        <v>41213</v>
      </c>
      <c r="AK9928" s="831">
        <v>0</v>
      </c>
    </row>
    <row r="9929" spans="2:37">
      <c r="B9929" s="834" t="str">
        <f t="shared" si="389"/>
        <v>|||</v>
      </c>
      <c r="H9929" s="835">
        <f t="shared" si="390"/>
        <v>31</v>
      </c>
      <c r="AF9929" s="831" t="s">
        <v>10588</v>
      </c>
      <c r="AG9929" s="831" t="s">
        <v>2674</v>
      </c>
      <c r="AH9929" s="831" t="s">
        <v>552</v>
      </c>
      <c r="AI9929" s="831">
        <v>0</v>
      </c>
      <c r="AJ9929" s="835">
        <v>41213</v>
      </c>
      <c r="AK9929" s="831">
        <v>0</v>
      </c>
    </row>
    <row r="9930" spans="2:37">
      <c r="B9930" s="834" t="str">
        <f t="shared" si="389"/>
        <v>|||</v>
      </c>
      <c r="H9930" s="835">
        <f t="shared" si="390"/>
        <v>31</v>
      </c>
      <c r="AF9930" s="831" t="s">
        <v>10589</v>
      </c>
      <c r="AG9930" s="831" t="s">
        <v>2674</v>
      </c>
      <c r="AH9930" s="831" t="s">
        <v>551</v>
      </c>
      <c r="AI9930" s="831">
        <v>0</v>
      </c>
      <c r="AJ9930" s="835">
        <v>41213</v>
      </c>
      <c r="AK9930" s="831">
        <v>2033933</v>
      </c>
    </row>
    <row r="9931" spans="2:37">
      <c r="B9931" s="834" t="str">
        <f t="shared" si="389"/>
        <v>|||</v>
      </c>
      <c r="H9931" s="835">
        <f t="shared" si="390"/>
        <v>31</v>
      </c>
      <c r="AF9931" s="831" t="s">
        <v>10590</v>
      </c>
      <c r="AG9931" s="831" t="s">
        <v>2674</v>
      </c>
      <c r="AH9931" s="831" t="s">
        <v>550</v>
      </c>
      <c r="AI9931" s="831">
        <v>0</v>
      </c>
      <c r="AJ9931" s="835">
        <v>41213</v>
      </c>
      <c r="AK9931" s="831">
        <v>97409403</v>
      </c>
    </row>
    <row r="9932" spans="2:37">
      <c r="B9932" s="834" t="str">
        <f t="shared" si="389"/>
        <v>|||</v>
      </c>
      <c r="H9932" s="835">
        <f t="shared" si="390"/>
        <v>31</v>
      </c>
      <c r="AF9932" s="831" t="s">
        <v>10591</v>
      </c>
      <c r="AG9932" s="831" t="s">
        <v>2674</v>
      </c>
      <c r="AH9932" s="831" t="s">
        <v>562</v>
      </c>
      <c r="AI9932" s="831">
        <v>0</v>
      </c>
      <c r="AJ9932" s="835">
        <v>41213</v>
      </c>
      <c r="AK9932" s="831">
        <v>0.78434999999999999</v>
      </c>
    </row>
    <row r="9933" spans="2:37">
      <c r="B9933" s="834" t="str">
        <f t="shared" si="389"/>
        <v>|||</v>
      </c>
      <c r="H9933" s="835">
        <f t="shared" si="390"/>
        <v>31</v>
      </c>
      <c r="AF9933" s="831" t="s">
        <v>10592</v>
      </c>
      <c r="AG9933" s="831" t="s">
        <v>2674</v>
      </c>
      <c r="AH9933" s="831" t="s">
        <v>2698</v>
      </c>
      <c r="AI9933" s="831">
        <v>0</v>
      </c>
      <c r="AJ9933" s="835">
        <v>41213</v>
      </c>
      <c r="AK9933" s="831">
        <v>0.78464999999999996</v>
      </c>
    </row>
    <row r="9934" spans="2:37">
      <c r="B9934" s="834" t="str">
        <f t="shared" si="389"/>
        <v>|||</v>
      </c>
      <c r="H9934" s="835">
        <f t="shared" si="390"/>
        <v>31</v>
      </c>
      <c r="AF9934" s="831" t="s">
        <v>10593</v>
      </c>
      <c r="AG9934" s="831" t="s">
        <v>2674</v>
      </c>
      <c r="AH9934" s="831" t="s">
        <v>560</v>
      </c>
      <c r="AI9934" s="831">
        <v>0</v>
      </c>
      <c r="AJ9934" s="835">
        <v>41213</v>
      </c>
      <c r="AK9934" s="831">
        <v>0.78525</v>
      </c>
    </row>
    <row r="9935" spans="2:37">
      <c r="B9935" s="834" t="str">
        <f t="shared" si="389"/>
        <v>|||</v>
      </c>
      <c r="H9935" s="835">
        <f t="shared" si="390"/>
        <v>31</v>
      </c>
      <c r="AF9935" s="831" t="s">
        <v>10594</v>
      </c>
      <c r="AG9935" s="831" t="s">
        <v>2674</v>
      </c>
      <c r="AH9935" s="831" t="s">
        <v>559</v>
      </c>
      <c r="AI9935" s="831">
        <v>0</v>
      </c>
      <c r="AJ9935" s="835">
        <v>41213</v>
      </c>
      <c r="AK9935" s="831">
        <v>0.78536666666666699</v>
      </c>
    </row>
    <row r="9936" spans="2:37">
      <c r="B9936" s="834" t="str">
        <f t="shared" si="389"/>
        <v>|||</v>
      </c>
      <c r="H9936" s="835">
        <f t="shared" si="390"/>
        <v>31</v>
      </c>
      <c r="AF9936" s="831" t="s">
        <v>10595</v>
      </c>
      <c r="AG9936" s="831" t="s">
        <v>2674</v>
      </c>
      <c r="AH9936" s="831" t="s">
        <v>568</v>
      </c>
      <c r="AI9936" s="831">
        <v>0</v>
      </c>
      <c r="AJ9936" s="835">
        <v>41213</v>
      </c>
      <c r="AK9936" s="831">
        <v>0</v>
      </c>
    </row>
    <row r="9937" spans="2:37">
      <c r="B9937" s="834" t="str">
        <f t="shared" si="389"/>
        <v>|||</v>
      </c>
      <c r="H9937" s="835">
        <f t="shared" si="390"/>
        <v>31</v>
      </c>
      <c r="AF9937" s="831" t="s">
        <v>10596</v>
      </c>
      <c r="AG9937" s="831" t="s">
        <v>2674</v>
      </c>
      <c r="AH9937" s="831" t="s">
        <v>569</v>
      </c>
      <c r="AI9937" s="831">
        <v>0</v>
      </c>
      <c r="AJ9937" s="835">
        <v>41213</v>
      </c>
      <c r="AK9937" s="831">
        <v>0</v>
      </c>
    </row>
    <row r="9938" spans="2:37">
      <c r="B9938" s="834" t="str">
        <f t="shared" si="389"/>
        <v>|||</v>
      </c>
      <c r="H9938" s="835">
        <f t="shared" si="390"/>
        <v>31</v>
      </c>
      <c r="AF9938" s="831" t="s">
        <v>10597</v>
      </c>
      <c r="AG9938" s="831" t="s">
        <v>2674</v>
      </c>
      <c r="AH9938" s="831" t="s">
        <v>570</v>
      </c>
      <c r="AI9938" s="831">
        <v>0</v>
      </c>
      <c r="AJ9938" s="835">
        <v>41213</v>
      </c>
      <c r="AK9938" s="831">
        <v>0</v>
      </c>
    </row>
    <row r="9939" spans="2:37">
      <c r="B9939" s="834" t="str">
        <f t="shared" si="389"/>
        <v>|||</v>
      </c>
      <c r="H9939" s="835">
        <f t="shared" si="390"/>
        <v>31</v>
      </c>
      <c r="AF9939" s="831" t="s">
        <v>10598</v>
      </c>
      <c r="AG9939" s="831" t="s">
        <v>2674</v>
      </c>
      <c r="AH9939" s="831" t="s">
        <v>571</v>
      </c>
      <c r="AI9939" s="831">
        <v>0</v>
      </c>
      <c r="AJ9939" s="835">
        <v>41213</v>
      </c>
      <c r="AK9939" s="831">
        <v>0</v>
      </c>
    </row>
    <row r="9940" spans="2:37">
      <c r="B9940" s="834" t="str">
        <f t="shared" si="389"/>
        <v>|||</v>
      </c>
      <c r="H9940" s="835">
        <f t="shared" si="390"/>
        <v>31</v>
      </c>
      <c r="AF9940" s="831" t="s">
        <v>10599</v>
      </c>
      <c r="AG9940" s="831" t="s">
        <v>2674</v>
      </c>
      <c r="AH9940" s="831" t="s">
        <v>573</v>
      </c>
      <c r="AI9940" s="831">
        <v>0</v>
      </c>
      <c r="AJ9940" s="835">
        <v>41213</v>
      </c>
      <c r="AK9940" s="831">
        <v>0</v>
      </c>
    </row>
    <row r="9941" spans="2:37">
      <c r="B9941" s="834" t="str">
        <f t="shared" si="389"/>
        <v>|||</v>
      </c>
      <c r="H9941" s="835">
        <f t="shared" si="390"/>
        <v>31</v>
      </c>
      <c r="AF9941" s="831" t="s">
        <v>10600</v>
      </c>
      <c r="AG9941" s="831" t="s">
        <v>2674</v>
      </c>
      <c r="AH9941" s="831" t="s">
        <v>574</v>
      </c>
      <c r="AI9941" s="831">
        <v>0</v>
      </c>
      <c r="AJ9941" s="835">
        <v>41213</v>
      </c>
      <c r="AK9941" s="831">
        <v>0</v>
      </c>
    </row>
    <row r="9942" spans="2:37">
      <c r="B9942" s="834" t="str">
        <f t="shared" si="389"/>
        <v>|||</v>
      </c>
      <c r="H9942" s="835">
        <f t="shared" si="390"/>
        <v>31</v>
      </c>
      <c r="AF9942" s="831" t="s">
        <v>10601</v>
      </c>
      <c r="AG9942" s="831" t="s">
        <v>2674</v>
      </c>
      <c r="AH9942" s="831" t="s">
        <v>575</v>
      </c>
      <c r="AI9942" s="831">
        <v>0</v>
      </c>
      <c r="AJ9942" s="835">
        <v>41213</v>
      </c>
      <c r="AK9942" s="831">
        <v>0</v>
      </c>
    </row>
    <row r="9943" spans="2:37">
      <c r="B9943" s="834" t="str">
        <f t="shared" si="389"/>
        <v>|||</v>
      </c>
      <c r="H9943" s="835">
        <f t="shared" si="390"/>
        <v>31</v>
      </c>
      <c r="AF9943" s="831" t="s">
        <v>10602</v>
      </c>
      <c r="AG9943" s="831" t="s">
        <v>2674</v>
      </c>
      <c r="AH9943" s="831" t="s">
        <v>576</v>
      </c>
      <c r="AI9943" s="831">
        <v>0</v>
      </c>
      <c r="AJ9943" s="835">
        <v>41213</v>
      </c>
      <c r="AK9943" s="831">
        <v>0</v>
      </c>
    </row>
    <row r="9944" spans="2:37">
      <c r="B9944" s="834" t="str">
        <f t="shared" si="389"/>
        <v>|||</v>
      </c>
      <c r="H9944" s="835">
        <f t="shared" si="390"/>
        <v>31</v>
      </c>
      <c r="AF9944" s="831" t="s">
        <v>10603</v>
      </c>
      <c r="AG9944" s="831" t="s">
        <v>2674</v>
      </c>
      <c r="AH9944" s="831" t="s">
        <v>572</v>
      </c>
      <c r="AI9944" s="831">
        <v>0</v>
      </c>
      <c r="AJ9944" s="835">
        <v>41213</v>
      </c>
      <c r="AK9944" s="831">
        <v>0</v>
      </c>
    </row>
    <row r="9945" spans="2:37">
      <c r="B9945" s="834" t="str">
        <f t="shared" si="389"/>
        <v>|||</v>
      </c>
      <c r="H9945" s="835">
        <f t="shared" si="390"/>
        <v>31</v>
      </c>
      <c r="AF9945" s="831" t="s">
        <v>10604</v>
      </c>
      <c r="AG9945" s="831" t="s">
        <v>2674</v>
      </c>
      <c r="AH9945" s="831" t="s">
        <v>577</v>
      </c>
      <c r="AI9945" s="831">
        <v>0</v>
      </c>
      <c r="AJ9945" s="835">
        <v>41213</v>
      </c>
      <c r="AK9945" s="831">
        <v>0</v>
      </c>
    </row>
    <row r="9946" spans="2:37">
      <c r="B9946" s="834" t="str">
        <f t="shared" si="389"/>
        <v>|||</v>
      </c>
      <c r="H9946" s="835">
        <f t="shared" si="390"/>
        <v>31</v>
      </c>
      <c r="AF9946" s="831" t="s">
        <v>10605</v>
      </c>
      <c r="AG9946" s="831" t="s">
        <v>2674</v>
      </c>
      <c r="AH9946" s="831" t="s">
        <v>3042</v>
      </c>
      <c r="AI9946" s="831">
        <v>0</v>
      </c>
      <c r="AJ9946" s="835">
        <v>41213</v>
      </c>
      <c r="AK9946" s="831">
        <v>0</v>
      </c>
    </row>
    <row r="9947" spans="2:37">
      <c r="B9947" s="834" t="str">
        <f t="shared" si="389"/>
        <v>|||</v>
      </c>
      <c r="H9947" s="835">
        <f t="shared" si="390"/>
        <v>31</v>
      </c>
      <c r="AF9947" s="831" t="s">
        <v>10606</v>
      </c>
      <c r="AG9947" s="831" t="s">
        <v>2674</v>
      </c>
      <c r="AH9947" s="831" t="s">
        <v>3044</v>
      </c>
      <c r="AI9947" s="831">
        <v>0</v>
      </c>
      <c r="AJ9947" s="835">
        <v>41213</v>
      </c>
      <c r="AK9947" s="831">
        <v>0</v>
      </c>
    </row>
    <row r="9948" spans="2:37">
      <c r="B9948" s="834" t="str">
        <f t="shared" si="389"/>
        <v>|||</v>
      </c>
      <c r="H9948" s="835">
        <f t="shared" si="390"/>
        <v>31</v>
      </c>
      <c r="AF9948" s="831" t="s">
        <v>10607</v>
      </c>
      <c r="AG9948" s="831" t="s">
        <v>2674</v>
      </c>
      <c r="AH9948" s="831" t="s">
        <v>580</v>
      </c>
      <c r="AI9948" s="831">
        <v>0</v>
      </c>
      <c r="AJ9948" s="835">
        <v>41213</v>
      </c>
      <c r="AK9948" s="831">
        <v>0</v>
      </c>
    </row>
    <row r="9949" spans="2:37">
      <c r="B9949" s="834" t="str">
        <f t="shared" si="389"/>
        <v>|||</v>
      </c>
      <c r="H9949" s="835">
        <f t="shared" si="390"/>
        <v>31</v>
      </c>
      <c r="AF9949" s="831" t="s">
        <v>10608</v>
      </c>
      <c r="AG9949" s="831" t="s">
        <v>2674</v>
      </c>
      <c r="AH9949" s="831" t="s">
        <v>581</v>
      </c>
      <c r="AI9949" s="831">
        <v>0</v>
      </c>
      <c r="AJ9949" s="835">
        <v>41213</v>
      </c>
      <c r="AK9949" s="831">
        <v>0</v>
      </c>
    </row>
    <row r="9950" spans="2:37">
      <c r="B9950" s="834" t="str">
        <f t="shared" si="389"/>
        <v>|||</v>
      </c>
      <c r="H9950" s="835">
        <f t="shared" si="390"/>
        <v>31</v>
      </c>
      <c r="AF9950" s="831" t="s">
        <v>10609</v>
      </c>
      <c r="AG9950" s="831" t="s">
        <v>2674</v>
      </c>
      <c r="AH9950" s="831" t="s">
        <v>105</v>
      </c>
      <c r="AI9950" s="831">
        <v>0</v>
      </c>
      <c r="AJ9950" s="835">
        <v>41213</v>
      </c>
      <c r="AK9950" s="831">
        <v>184676086</v>
      </c>
    </row>
    <row r="9951" spans="2:37">
      <c r="B9951" s="834" t="str">
        <f t="shared" si="389"/>
        <v>|||</v>
      </c>
      <c r="H9951" s="835">
        <f t="shared" si="390"/>
        <v>31</v>
      </c>
      <c r="AF9951" s="831" t="s">
        <v>10610</v>
      </c>
      <c r="AG9951" s="831" t="s">
        <v>2674</v>
      </c>
      <c r="AH9951" s="831" t="s">
        <v>3049</v>
      </c>
      <c r="AI9951" s="831">
        <v>0</v>
      </c>
      <c r="AJ9951" s="835">
        <v>41213</v>
      </c>
      <c r="AK9951" s="831">
        <v>342133447</v>
      </c>
    </row>
    <row r="9952" spans="2:37">
      <c r="B9952" s="834" t="str">
        <f t="shared" si="389"/>
        <v>|||</v>
      </c>
      <c r="H9952" s="835">
        <f t="shared" si="390"/>
        <v>31</v>
      </c>
      <c r="AF9952" s="831" t="s">
        <v>10611</v>
      </c>
      <c r="AG9952" s="831" t="s">
        <v>2674</v>
      </c>
      <c r="AH9952" s="831" t="s">
        <v>103</v>
      </c>
      <c r="AI9952" s="831">
        <v>0</v>
      </c>
      <c r="AJ9952" s="835">
        <v>41213</v>
      </c>
      <c r="AK9952" s="831">
        <v>157457361</v>
      </c>
    </row>
    <row r="9953" spans="2:37">
      <c r="B9953" s="834" t="str">
        <f t="shared" si="389"/>
        <v>|||</v>
      </c>
      <c r="H9953" s="835">
        <f t="shared" si="390"/>
        <v>31</v>
      </c>
      <c r="AF9953" s="831" t="s">
        <v>10612</v>
      </c>
      <c r="AG9953" s="831" t="s">
        <v>2674</v>
      </c>
      <c r="AH9953" s="831" t="s">
        <v>182</v>
      </c>
      <c r="AI9953" s="831">
        <v>0</v>
      </c>
      <c r="AJ9953" s="835">
        <v>41213</v>
      </c>
      <c r="AK9953" s="831">
        <v>49941625.200000003</v>
      </c>
    </row>
    <row r="9954" spans="2:37">
      <c r="B9954" s="834" t="str">
        <f t="shared" si="389"/>
        <v>|||</v>
      </c>
      <c r="H9954" s="835">
        <f t="shared" si="390"/>
        <v>31</v>
      </c>
      <c r="AF9954" s="831" t="s">
        <v>10613</v>
      </c>
      <c r="AG9954" s="831" t="s">
        <v>2674</v>
      </c>
      <c r="AH9954" s="831" t="s">
        <v>6600</v>
      </c>
      <c r="AI9954" s="831">
        <v>0</v>
      </c>
      <c r="AJ9954" s="835">
        <v>41213</v>
      </c>
      <c r="AK9954" s="831">
        <v>0</v>
      </c>
    </row>
    <row r="9955" spans="2:37">
      <c r="B9955" s="834" t="str">
        <f t="shared" si="389"/>
        <v>|||</v>
      </c>
      <c r="H9955" s="835">
        <f t="shared" si="390"/>
        <v>31</v>
      </c>
      <c r="AF9955" s="831" t="s">
        <v>10614</v>
      </c>
      <c r="AG9955" s="831" t="s">
        <v>2674</v>
      </c>
      <c r="AH9955" s="831" t="s">
        <v>6602</v>
      </c>
      <c r="AI9955" s="831">
        <v>0</v>
      </c>
      <c r="AJ9955" s="835">
        <v>41213</v>
      </c>
      <c r="AK9955" s="831">
        <v>14108507</v>
      </c>
    </row>
    <row r="9956" spans="2:37">
      <c r="B9956" s="834" t="str">
        <f t="shared" si="389"/>
        <v>|||</v>
      </c>
      <c r="H9956" s="835">
        <f t="shared" si="390"/>
        <v>31</v>
      </c>
      <c r="AF9956" s="831" t="s">
        <v>10615</v>
      </c>
      <c r="AG9956" s="831" t="s">
        <v>2674</v>
      </c>
      <c r="AH9956" s="831" t="s">
        <v>650</v>
      </c>
      <c r="AI9956" s="831">
        <v>0</v>
      </c>
      <c r="AJ9956" s="835">
        <v>41213</v>
      </c>
      <c r="AK9956" s="831">
        <v>0</v>
      </c>
    </row>
    <row r="9957" spans="2:37">
      <c r="B9957" s="834" t="str">
        <f t="shared" si="389"/>
        <v>|||</v>
      </c>
      <c r="H9957" s="835">
        <f t="shared" si="390"/>
        <v>31</v>
      </c>
      <c r="AF9957" s="831" t="s">
        <v>10616</v>
      </c>
      <c r="AG9957" s="831" t="s">
        <v>2674</v>
      </c>
      <c r="AH9957" s="831" t="s">
        <v>655</v>
      </c>
      <c r="AI9957" s="831">
        <v>0</v>
      </c>
      <c r="AJ9957" s="835">
        <v>41213</v>
      </c>
      <c r="AK9957" s="831">
        <v>1927116</v>
      </c>
    </row>
    <row r="9958" spans="2:37">
      <c r="B9958" s="834" t="str">
        <f t="shared" si="389"/>
        <v>|||</v>
      </c>
      <c r="H9958" s="835">
        <f t="shared" si="390"/>
        <v>31</v>
      </c>
      <c r="AF9958" s="831" t="s">
        <v>10617</v>
      </c>
      <c r="AG9958" s="831" t="s">
        <v>2674</v>
      </c>
      <c r="AH9958" s="831" t="s">
        <v>546</v>
      </c>
      <c r="AI9958" s="831">
        <v>0</v>
      </c>
      <c r="AJ9958" s="835">
        <v>41243</v>
      </c>
      <c r="AK9958" s="831">
        <v>394083786</v>
      </c>
    </row>
    <row r="9959" spans="2:37">
      <c r="B9959" s="834" t="str">
        <f t="shared" si="389"/>
        <v>|||</v>
      </c>
      <c r="H9959" s="835">
        <f t="shared" si="390"/>
        <v>31</v>
      </c>
      <c r="AF9959" s="831" t="s">
        <v>10618</v>
      </c>
      <c r="AG9959" s="831" t="s">
        <v>2674</v>
      </c>
      <c r="AH9959" s="831" t="s">
        <v>370</v>
      </c>
      <c r="AI9959" s="831">
        <v>0</v>
      </c>
      <c r="AJ9959" s="835">
        <v>41243</v>
      </c>
      <c r="AK9959" s="831">
        <v>468781857</v>
      </c>
    </row>
    <row r="9960" spans="2:37">
      <c r="B9960" s="834" t="str">
        <f t="shared" si="389"/>
        <v>|||</v>
      </c>
      <c r="H9960" s="835">
        <f t="shared" si="390"/>
        <v>31</v>
      </c>
      <c r="AF9960" s="831" t="s">
        <v>10619</v>
      </c>
      <c r="AG9960" s="831" t="s">
        <v>2674</v>
      </c>
      <c r="AH9960" s="831" t="s">
        <v>126</v>
      </c>
      <c r="AI9960" s="831">
        <v>0</v>
      </c>
      <c r="AJ9960" s="835">
        <v>41243</v>
      </c>
      <c r="AK9960" s="831">
        <v>101856827</v>
      </c>
    </row>
    <row r="9961" spans="2:37">
      <c r="B9961" s="834" t="str">
        <f t="shared" si="389"/>
        <v>|||</v>
      </c>
      <c r="H9961" s="835">
        <f t="shared" si="390"/>
        <v>31</v>
      </c>
      <c r="AF9961" s="831" t="s">
        <v>10620</v>
      </c>
      <c r="AG9961" s="831" t="s">
        <v>2674</v>
      </c>
      <c r="AH9961" s="831" t="s">
        <v>268</v>
      </c>
      <c r="AI9961" s="831">
        <v>0</v>
      </c>
      <c r="AJ9961" s="835">
        <v>41243</v>
      </c>
      <c r="AK9961" s="831">
        <v>16533903</v>
      </c>
    </row>
    <row r="9962" spans="2:37">
      <c r="B9962" s="834" t="str">
        <f t="shared" si="389"/>
        <v>|||</v>
      </c>
      <c r="H9962" s="835">
        <f t="shared" si="390"/>
        <v>31</v>
      </c>
      <c r="AF9962" s="831" t="s">
        <v>10621</v>
      </c>
      <c r="AG9962" s="831" t="s">
        <v>2674</v>
      </c>
      <c r="AH9962" s="831" t="s">
        <v>547</v>
      </c>
      <c r="AI9962" s="831">
        <v>0</v>
      </c>
      <c r="AJ9962" s="835">
        <v>41243</v>
      </c>
      <c r="AK9962" s="831">
        <v>0</v>
      </c>
    </row>
    <row r="9963" spans="2:37">
      <c r="B9963" s="834" t="str">
        <f t="shared" si="389"/>
        <v>|||</v>
      </c>
      <c r="H9963" s="835">
        <f t="shared" si="390"/>
        <v>31</v>
      </c>
      <c r="AF9963" s="831" t="s">
        <v>10622</v>
      </c>
      <c r="AG9963" s="831" t="s">
        <v>2674</v>
      </c>
      <c r="AH9963" s="831" t="s">
        <v>548</v>
      </c>
      <c r="AI9963" s="831">
        <v>0</v>
      </c>
      <c r="AJ9963" s="835">
        <v>41243</v>
      </c>
      <c r="AK9963" s="831">
        <v>0</v>
      </c>
    </row>
    <row r="9964" spans="2:37">
      <c r="B9964" s="834" t="str">
        <f t="shared" si="389"/>
        <v>|||</v>
      </c>
      <c r="H9964" s="835">
        <f t="shared" si="390"/>
        <v>31</v>
      </c>
      <c r="AF9964" s="831" t="s">
        <v>10623</v>
      </c>
      <c r="AG9964" s="831" t="s">
        <v>2674</v>
      </c>
      <c r="AH9964" s="831" t="s">
        <v>549</v>
      </c>
      <c r="AI9964" s="831">
        <v>0</v>
      </c>
      <c r="AJ9964" s="835">
        <v>41243</v>
      </c>
      <c r="AK9964" s="831">
        <v>0</v>
      </c>
    </row>
    <row r="9965" spans="2:37">
      <c r="B9965" s="834" t="str">
        <f t="shared" si="389"/>
        <v>|||</v>
      </c>
      <c r="H9965" s="835">
        <f t="shared" si="390"/>
        <v>31</v>
      </c>
      <c r="AF9965" s="831" t="s">
        <v>10624</v>
      </c>
      <c r="AG9965" s="831" t="s">
        <v>2674</v>
      </c>
      <c r="AH9965" s="831" t="s">
        <v>192</v>
      </c>
      <c r="AI9965" s="831">
        <v>0</v>
      </c>
      <c r="AJ9965" s="835">
        <v>41243</v>
      </c>
      <c r="AK9965" s="831">
        <v>-10079693</v>
      </c>
    </row>
    <row r="9966" spans="2:37">
      <c r="B9966" s="834" t="str">
        <f t="shared" si="389"/>
        <v>|||</v>
      </c>
      <c r="H9966" s="835">
        <f t="shared" si="390"/>
        <v>31</v>
      </c>
      <c r="AF9966" s="831" t="s">
        <v>10625</v>
      </c>
      <c r="AG9966" s="831" t="s">
        <v>2674</v>
      </c>
      <c r="AH9966" s="831" t="s">
        <v>558</v>
      </c>
      <c r="AI9966" s="831">
        <v>0</v>
      </c>
      <c r="AJ9966" s="835">
        <v>41243</v>
      </c>
      <c r="AK9966" s="831">
        <v>366925030</v>
      </c>
    </row>
    <row r="9967" spans="2:37">
      <c r="B9967" s="834" t="str">
        <f t="shared" si="389"/>
        <v>|||</v>
      </c>
      <c r="H9967" s="835">
        <f t="shared" si="390"/>
        <v>31</v>
      </c>
      <c r="AF9967" s="831" t="s">
        <v>10626</v>
      </c>
      <c r="AG9967" s="831" t="s">
        <v>2674</v>
      </c>
      <c r="AH9967" s="831" t="s">
        <v>65</v>
      </c>
      <c r="AI9967" s="831">
        <v>0</v>
      </c>
      <c r="AJ9967" s="835">
        <v>41243</v>
      </c>
      <c r="AK9967" s="831">
        <v>89510969</v>
      </c>
    </row>
    <row r="9968" spans="2:37">
      <c r="B9968" s="834" t="str">
        <f t="shared" si="389"/>
        <v>|||</v>
      </c>
      <c r="H9968" s="835">
        <f t="shared" si="390"/>
        <v>31</v>
      </c>
      <c r="AF9968" s="831" t="s">
        <v>10627</v>
      </c>
      <c r="AG9968" s="831" t="s">
        <v>2674</v>
      </c>
      <c r="AH9968" s="831" t="s">
        <v>89</v>
      </c>
      <c r="AI9968" s="831">
        <v>0</v>
      </c>
      <c r="AJ9968" s="835">
        <v>41243</v>
      </c>
      <c r="AK9968" s="831">
        <v>123534</v>
      </c>
    </row>
    <row r="9969" spans="2:37">
      <c r="B9969" s="834" t="str">
        <f t="shared" si="389"/>
        <v>|||</v>
      </c>
      <c r="H9969" s="835">
        <f t="shared" si="390"/>
        <v>31</v>
      </c>
      <c r="AF9969" s="831" t="s">
        <v>10628</v>
      </c>
      <c r="AG9969" s="831" t="s">
        <v>2674</v>
      </c>
      <c r="AH9969" s="831" t="s">
        <v>557</v>
      </c>
      <c r="AI9969" s="831">
        <v>0</v>
      </c>
      <c r="AJ9969" s="835">
        <v>41243</v>
      </c>
      <c r="AK9969" s="831">
        <v>125715</v>
      </c>
    </row>
    <row r="9970" spans="2:37">
      <c r="B9970" s="834" t="str">
        <f t="shared" si="389"/>
        <v>|||</v>
      </c>
      <c r="H9970" s="835">
        <f t="shared" si="390"/>
        <v>31</v>
      </c>
      <c r="AF9970" s="831" t="s">
        <v>10629</v>
      </c>
      <c r="AG9970" s="831" t="s">
        <v>2674</v>
      </c>
      <c r="AH9970" s="831" t="s">
        <v>29</v>
      </c>
      <c r="AI9970" s="831">
        <v>0</v>
      </c>
      <c r="AJ9970" s="835">
        <v>41243</v>
      </c>
      <c r="AK9970" s="831">
        <v>2094921</v>
      </c>
    </row>
    <row r="9971" spans="2:37">
      <c r="B9971" s="834" t="str">
        <f t="shared" si="389"/>
        <v>|||</v>
      </c>
      <c r="H9971" s="835">
        <f t="shared" si="390"/>
        <v>31</v>
      </c>
      <c r="AF9971" s="831" t="s">
        <v>10630</v>
      </c>
      <c r="AG9971" s="831" t="s">
        <v>2674</v>
      </c>
      <c r="AH9971" s="831" t="s">
        <v>2688</v>
      </c>
      <c r="AI9971" s="831">
        <v>0</v>
      </c>
      <c r="AJ9971" s="835">
        <v>41243</v>
      </c>
      <c r="AK9971" s="831">
        <v>2867819</v>
      </c>
    </row>
    <row r="9972" spans="2:37">
      <c r="B9972" s="834" t="str">
        <f t="shared" si="389"/>
        <v>|||</v>
      </c>
      <c r="H9972" s="835">
        <f t="shared" si="390"/>
        <v>31</v>
      </c>
      <c r="AF9972" s="831" t="s">
        <v>10631</v>
      </c>
      <c r="AG9972" s="831" t="s">
        <v>2674</v>
      </c>
      <c r="AH9972" s="831" t="s">
        <v>556</v>
      </c>
      <c r="AI9972" s="831">
        <v>0</v>
      </c>
      <c r="AJ9972" s="835">
        <v>41243</v>
      </c>
      <c r="AK9972" s="831">
        <v>902857</v>
      </c>
    </row>
    <row r="9973" spans="2:37">
      <c r="B9973" s="834" t="str">
        <f t="shared" si="389"/>
        <v>|||</v>
      </c>
      <c r="H9973" s="835">
        <f t="shared" si="390"/>
        <v>31</v>
      </c>
      <c r="AF9973" s="831" t="s">
        <v>10632</v>
      </c>
      <c r="AG9973" s="831" t="s">
        <v>2674</v>
      </c>
      <c r="AH9973" s="831" t="s">
        <v>555</v>
      </c>
      <c r="AI9973" s="831">
        <v>0</v>
      </c>
      <c r="AJ9973" s="835">
        <v>41243</v>
      </c>
      <c r="AK9973" s="831">
        <v>236413970</v>
      </c>
    </row>
    <row r="9974" spans="2:37">
      <c r="B9974" s="834" t="str">
        <f t="shared" si="389"/>
        <v>|||</v>
      </c>
      <c r="H9974" s="835">
        <f t="shared" si="390"/>
        <v>31</v>
      </c>
      <c r="AF9974" s="831" t="s">
        <v>10633</v>
      </c>
      <c r="AG9974" s="831" t="s">
        <v>2674</v>
      </c>
      <c r="AH9974" s="831" t="s">
        <v>554</v>
      </c>
      <c r="AI9974" s="831">
        <v>0</v>
      </c>
      <c r="AJ9974" s="835">
        <v>41243</v>
      </c>
      <c r="AK9974" s="831">
        <v>238298670</v>
      </c>
    </row>
    <row r="9975" spans="2:37">
      <c r="B9975" s="834" t="str">
        <f t="shared" si="389"/>
        <v>|||</v>
      </c>
      <c r="H9975" s="835">
        <f t="shared" si="390"/>
        <v>31</v>
      </c>
      <c r="AF9975" s="831" t="s">
        <v>10634</v>
      </c>
      <c r="AG9975" s="831" t="s">
        <v>2674</v>
      </c>
      <c r="AH9975" s="831" t="s">
        <v>553</v>
      </c>
      <c r="AI9975" s="831">
        <v>0</v>
      </c>
      <c r="AJ9975" s="835">
        <v>41243</v>
      </c>
      <c r="AK9975" s="831">
        <v>0</v>
      </c>
    </row>
    <row r="9976" spans="2:37">
      <c r="B9976" s="834" t="str">
        <f t="shared" si="389"/>
        <v>|||</v>
      </c>
      <c r="H9976" s="835">
        <f t="shared" si="390"/>
        <v>31</v>
      </c>
      <c r="AF9976" s="831" t="s">
        <v>10635</v>
      </c>
      <c r="AG9976" s="831" t="s">
        <v>2674</v>
      </c>
      <c r="AH9976" s="831" t="s">
        <v>552</v>
      </c>
      <c r="AI9976" s="831">
        <v>0</v>
      </c>
      <c r="AJ9976" s="835">
        <v>41243</v>
      </c>
      <c r="AK9976" s="831">
        <v>0</v>
      </c>
    </row>
    <row r="9977" spans="2:37">
      <c r="B9977" s="834" t="str">
        <f t="shared" si="389"/>
        <v>|||</v>
      </c>
      <c r="H9977" s="835">
        <f t="shared" si="390"/>
        <v>31</v>
      </c>
      <c r="AF9977" s="831" t="s">
        <v>10636</v>
      </c>
      <c r="AG9977" s="831" t="s">
        <v>2674</v>
      </c>
      <c r="AH9977" s="831" t="s">
        <v>551</v>
      </c>
      <c r="AI9977" s="831">
        <v>0</v>
      </c>
      <c r="AJ9977" s="835">
        <v>41243</v>
      </c>
      <c r="AK9977" s="831">
        <v>1916351</v>
      </c>
    </row>
    <row r="9978" spans="2:37">
      <c r="B9978" s="834" t="str">
        <f t="shared" si="389"/>
        <v>|||</v>
      </c>
      <c r="H9978" s="835">
        <f t="shared" si="390"/>
        <v>31</v>
      </c>
      <c r="AF9978" s="831" t="s">
        <v>10637</v>
      </c>
      <c r="AG9978" s="831" t="s">
        <v>2674</v>
      </c>
      <c r="AH9978" s="831" t="s">
        <v>550</v>
      </c>
      <c r="AI9978" s="831">
        <v>0</v>
      </c>
      <c r="AJ9978" s="835">
        <v>41243</v>
      </c>
      <c r="AK9978" s="831">
        <v>99431431</v>
      </c>
    </row>
    <row r="9979" spans="2:37">
      <c r="B9979" s="834" t="str">
        <f t="shared" si="389"/>
        <v>|||</v>
      </c>
      <c r="H9979" s="835">
        <f t="shared" si="390"/>
        <v>31</v>
      </c>
      <c r="AF9979" s="831" t="s">
        <v>10638</v>
      </c>
      <c r="AG9979" s="831" t="s">
        <v>2674</v>
      </c>
      <c r="AH9979" s="831" t="s">
        <v>562</v>
      </c>
      <c r="AI9979" s="831">
        <v>0</v>
      </c>
      <c r="AJ9979" s="835">
        <v>41243</v>
      </c>
      <c r="AK9979" s="831">
        <v>0.78415000000000001</v>
      </c>
    </row>
    <row r="9980" spans="2:37">
      <c r="B9980" s="834" t="str">
        <f t="shared" si="389"/>
        <v>|||</v>
      </c>
      <c r="H9980" s="835">
        <f t="shared" si="390"/>
        <v>31</v>
      </c>
      <c r="AF9980" s="831" t="s">
        <v>10639</v>
      </c>
      <c r="AG9980" s="831" t="s">
        <v>2674</v>
      </c>
      <c r="AH9980" s="831" t="s">
        <v>2698</v>
      </c>
      <c r="AI9980" s="831">
        <v>0</v>
      </c>
      <c r="AJ9980" s="835">
        <v>41243</v>
      </c>
      <c r="AK9980" s="831">
        <v>0.78434999999999999</v>
      </c>
    </row>
    <row r="9981" spans="2:37">
      <c r="B9981" s="834" t="str">
        <f t="shared" si="389"/>
        <v>|||</v>
      </c>
      <c r="H9981" s="835">
        <f t="shared" si="390"/>
        <v>31</v>
      </c>
      <c r="AF9981" s="831" t="s">
        <v>10640</v>
      </c>
      <c r="AG9981" s="831" t="s">
        <v>2674</v>
      </c>
      <c r="AH9981" s="831" t="s">
        <v>560</v>
      </c>
      <c r="AI9981" s="831">
        <v>0</v>
      </c>
      <c r="AJ9981" s="835">
        <v>41243</v>
      </c>
      <c r="AK9981" s="831">
        <v>0.78515000000000001</v>
      </c>
    </row>
    <row r="9982" spans="2:37">
      <c r="B9982" s="834" t="str">
        <f t="shared" si="389"/>
        <v>|||</v>
      </c>
      <c r="H9982" s="835">
        <f t="shared" si="390"/>
        <v>31</v>
      </c>
      <c r="AF9982" s="831" t="s">
        <v>10641</v>
      </c>
      <c r="AG9982" s="831" t="s">
        <v>2674</v>
      </c>
      <c r="AH9982" s="831" t="s">
        <v>559</v>
      </c>
      <c r="AI9982" s="831">
        <v>0</v>
      </c>
      <c r="AJ9982" s="835">
        <v>41243</v>
      </c>
      <c r="AK9982" s="831">
        <v>0.78524166666666695</v>
      </c>
    </row>
    <row r="9983" spans="2:37">
      <c r="B9983" s="834" t="str">
        <f t="shared" si="389"/>
        <v>|||</v>
      </c>
      <c r="H9983" s="835">
        <f t="shared" si="390"/>
        <v>31</v>
      </c>
      <c r="AF9983" s="831" t="s">
        <v>10642</v>
      </c>
      <c r="AG9983" s="831" t="s">
        <v>2674</v>
      </c>
      <c r="AH9983" s="831" t="s">
        <v>568</v>
      </c>
      <c r="AI9983" s="831">
        <v>0</v>
      </c>
      <c r="AJ9983" s="835">
        <v>41243</v>
      </c>
      <c r="AK9983" s="831">
        <v>0</v>
      </c>
    </row>
    <row r="9984" spans="2:37">
      <c r="B9984" s="834" t="str">
        <f t="shared" si="389"/>
        <v>|||</v>
      </c>
      <c r="H9984" s="835">
        <f t="shared" si="390"/>
        <v>31</v>
      </c>
      <c r="AF9984" s="831" t="s">
        <v>10643</v>
      </c>
      <c r="AG9984" s="831" t="s">
        <v>2674</v>
      </c>
      <c r="AH9984" s="831" t="s">
        <v>569</v>
      </c>
      <c r="AI9984" s="831">
        <v>0</v>
      </c>
      <c r="AJ9984" s="835">
        <v>41243</v>
      </c>
      <c r="AK9984" s="831">
        <v>0</v>
      </c>
    </row>
    <row r="9985" spans="2:37">
      <c r="B9985" s="834" t="str">
        <f t="shared" si="389"/>
        <v>|||</v>
      </c>
      <c r="H9985" s="835">
        <f t="shared" si="390"/>
        <v>31</v>
      </c>
      <c r="AF9985" s="831" t="s">
        <v>10644</v>
      </c>
      <c r="AG9985" s="831" t="s">
        <v>2674</v>
      </c>
      <c r="AH9985" s="831" t="s">
        <v>570</v>
      </c>
      <c r="AI9985" s="831">
        <v>0</v>
      </c>
      <c r="AJ9985" s="835">
        <v>41243</v>
      </c>
      <c r="AK9985" s="831">
        <v>0</v>
      </c>
    </row>
    <row r="9986" spans="2:37">
      <c r="B9986" s="834" t="str">
        <f t="shared" si="389"/>
        <v>|||</v>
      </c>
      <c r="H9986" s="835">
        <f t="shared" si="390"/>
        <v>31</v>
      </c>
      <c r="AF9986" s="831" t="s">
        <v>10645</v>
      </c>
      <c r="AG9986" s="831" t="s">
        <v>2674</v>
      </c>
      <c r="AH9986" s="831" t="s">
        <v>571</v>
      </c>
      <c r="AI9986" s="831">
        <v>0</v>
      </c>
      <c r="AJ9986" s="835">
        <v>41243</v>
      </c>
      <c r="AK9986" s="831">
        <v>0</v>
      </c>
    </row>
    <row r="9987" spans="2:37">
      <c r="B9987" s="834" t="str">
        <f t="shared" ref="B9987:B10000" si="391">C9987&amp;"|"&amp;D9987&amp;"|"&amp;E9987&amp;"|"&amp;F9987</f>
        <v>|||</v>
      </c>
      <c r="H9987" s="835">
        <f t="shared" si="390"/>
        <v>31</v>
      </c>
      <c r="AF9987" s="831" t="s">
        <v>10646</v>
      </c>
      <c r="AG9987" s="831" t="s">
        <v>2674</v>
      </c>
      <c r="AH9987" s="831" t="s">
        <v>573</v>
      </c>
      <c r="AI9987" s="831">
        <v>0</v>
      </c>
      <c r="AJ9987" s="835">
        <v>41243</v>
      </c>
      <c r="AK9987" s="831">
        <v>0</v>
      </c>
    </row>
    <row r="9988" spans="2:37">
      <c r="B9988" s="834" t="str">
        <f t="shared" si="391"/>
        <v>|||</v>
      </c>
      <c r="H9988" s="835">
        <f t="shared" ref="H9988:H10000" si="392">EOMONTH(L9988,0)</f>
        <v>31</v>
      </c>
      <c r="AF9988" s="831" t="s">
        <v>10647</v>
      </c>
      <c r="AG9988" s="831" t="s">
        <v>2674</v>
      </c>
      <c r="AH9988" s="831" t="s">
        <v>574</v>
      </c>
      <c r="AI9988" s="831">
        <v>0</v>
      </c>
      <c r="AJ9988" s="835">
        <v>41243</v>
      </c>
      <c r="AK9988" s="831">
        <v>0</v>
      </c>
    </row>
    <row r="9989" spans="2:37">
      <c r="B9989" s="834" t="str">
        <f t="shared" si="391"/>
        <v>|||</v>
      </c>
      <c r="H9989" s="835">
        <f t="shared" si="392"/>
        <v>31</v>
      </c>
      <c r="AF9989" s="831" t="s">
        <v>10648</v>
      </c>
      <c r="AG9989" s="831" t="s">
        <v>2674</v>
      </c>
      <c r="AH9989" s="831" t="s">
        <v>575</v>
      </c>
      <c r="AI9989" s="831">
        <v>0</v>
      </c>
      <c r="AJ9989" s="835">
        <v>41243</v>
      </c>
      <c r="AK9989" s="831">
        <v>0</v>
      </c>
    </row>
    <row r="9990" spans="2:37">
      <c r="B9990" s="834" t="str">
        <f t="shared" si="391"/>
        <v>|||</v>
      </c>
      <c r="H9990" s="835">
        <f t="shared" si="392"/>
        <v>31</v>
      </c>
      <c r="AF9990" s="831" t="s">
        <v>10649</v>
      </c>
      <c r="AG9990" s="831" t="s">
        <v>2674</v>
      </c>
      <c r="AH9990" s="831" t="s">
        <v>576</v>
      </c>
      <c r="AI9990" s="831">
        <v>0</v>
      </c>
      <c r="AJ9990" s="835">
        <v>41243</v>
      </c>
      <c r="AK9990" s="831">
        <v>0</v>
      </c>
    </row>
    <row r="9991" spans="2:37">
      <c r="B9991" s="834" t="str">
        <f t="shared" si="391"/>
        <v>|||</v>
      </c>
      <c r="H9991" s="835">
        <f t="shared" si="392"/>
        <v>31</v>
      </c>
      <c r="AF9991" s="831" t="s">
        <v>10650</v>
      </c>
      <c r="AG9991" s="831" t="s">
        <v>2674</v>
      </c>
      <c r="AH9991" s="831" t="s">
        <v>572</v>
      </c>
      <c r="AI9991" s="831">
        <v>0</v>
      </c>
      <c r="AJ9991" s="835">
        <v>41243</v>
      </c>
      <c r="AK9991" s="831">
        <v>0</v>
      </c>
    </row>
    <row r="9992" spans="2:37">
      <c r="B9992" s="834" t="str">
        <f t="shared" si="391"/>
        <v>|||</v>
      </c>
      <c r="H9992" s="835">
        <f t="shared" si="392"/>
        <v>31</v>
      </c>
      <c r="AF9992" s="831" t="s">
        <v>10651</v>
      </c>
      <c r="AG9992" s="831" t="s">
        <v>2674</v>
      </c>
      <c r="AH9992" s="831" t="s">
        <v>577</v>
      </c>
      <c r="AI9992" s="831">
        <v>0</v>
      </c>
      <c r="AJ9992" s="835">
        <v>41243</v>
      </c>
      <c r="AK9992" s="831">
        <v>0</v>
      </c>
    </row>
    <row r="9993" spans="2:37">
      <c r="B9993" s="834" t="str">
        <f t="shared" si="391"/>
        <v>|||</v>
      </c>
      <c r="H9993" s="835">
        <f t="shared" si="392"/>
        <v>31</v>
      </c>
      <c r="AF9993" s="831" t="s">
        <v>10652</v>
      </c>
      <c r="AG9993" s="831" t="s">
        <v>2674</v>
      </c>
      <c r="AH9993" s="831" t="s">
        <v>3042</v>
      </c>
      <c r="AI9993" s="831">
        <v>0</v>
      </c>
      <c r="AJ9993" s="835">
        <v>41243</v>
      </c>
      <c r="AK9993" s="831">
        <v>0</v>
      </c>
    </row>
    <row r="9994" spans="2:37">
      <c r="B9994" s="834" t="str">
        <f t="shared" si="391"/>
        <v>|||</v>
      </c>
      <c r="H9994" s="835">
        <f t="shared" si="392"/>
        <v>31</v>
      </c>
      <c r="AF9994" s="831" t="s">
        <v>10653</v>
      </c>
      <c r="AG9994" s="831" t="s">
        <v>2674</v>
      </c>
      <c r="AH9994" s="831" t="s">
        <v>3044</v>
      </c>
      <c r="AI9994" s="831">
        <v>0</v>
      </c>
      <c r="AJ9994" s="835">
        <v>41243</v>
      </c>
      <c r="AK9994" s="831">
        <v>0</v>
      </c>
    </row>
    <row r="9995" spans="2:37">
      <c r="B9995" s="834" t="str">
        <f t="shared" si="391"/>
        <v>|||</v>
      </c>
      <c r="H9995" s="835">
        <f t="shared" si="392"/>
        <v>31</v>
      </c>
      <c r="AF9995" s="831" t="s">
        <v>10654</v>
      </c>
      <c r="AG9995" s="831" t="s">
        <v>2674</v>
      </c>
      <c r="AH9995" s="831" t="s">
        <v>580</v>
      </c>
      <c r="AI9995" s="831">
        <v>0</v>
      </c>
      <c r="AJ9995" s="835">
        <v>41243</v>
      </c>
      <c r="AK9995" s="831">
        <v>0</v>
      </c>
    </row>
    <row r="9996" spans="2:37">
      <c r="B9996" s="834" t="str">
        <f t="shared" si="391"/>
        <v>|||</v>
      </c>
      <c r="H9996" s="835">
        <f t="shared" si="392"/>
        <v>31</v>
      </c>
      <c r="AF9996" s="831" t="s">
        <v>10655</v>
      </c>
      <c r="AG9996" s="831" t="s">
        <v>2674</v>
      </c>
      <c r="AH9996" s="831" t="s">
        <v>581</v>
      </c>
      <c r="AI9996" s="831">
        <v>0</v>
      </c>
      <c r="AJ9996" s="835">
        <v>41243</v>
      </c>
      <c r="AK9996" s="831">
        <v>0</v>
      </c>
    </row>
    <row r="9997" spans="2:37">
      <c r="B9997" s="834" t="str">
        <f t="shared" si="391"/>
        <v>|||</v>
      </c>
      <c r="H9997" s="835">
        <f t="shared" si="392"/>
        <v>31</v>
      </c>
      <c r="AF9997" s="831" t="s">
        <v>10656</v>
      </c>
      <c r="AG9997" s="831" t="s">
        <v>2674</v>
      </c>
      <c r="AH9997" s="831" t="s">
        <v>105</v>
      </c>
      <c r="AI9997" s="831">
        <v>0</v>
      </c>
      <c r="AJ9997" s="835">
        <v>41243</v>
      </c>
      <c r="AK9997" s="831">
        <v>202127506</v>
      </c>
    </row>
    <row r="9998" spans="2:37">
      <c r="B9998" s="834" t="str">
        <f t="shared" si="391"/>
        <v>|||</v>
      </c>
      <c r="H9998" s="835">
        <f t="shared" si="392"/>
        <v>31</v>
      </c>
      <c r="AF9998" s="831" t="s">
        <v>10657</v>
      </c>
      <c r="AG9998" s="831" t="s">
        <v>2674</v>
      </c>
      <c r="AH9998" s="831" t="s">
        <v>3049</v>
      </c>
      <c r="AI9998" s="831">
        <v>0</v>
      </c>
      <c r="AJ9998" s="835">
        <v>41243</v>
      </c>
      <c r="AK9998" s="831">
        <v>355103629</v>
      </c>
    </row>
    <row r="9999" spans="2:37">
      <c r="B9999" s="834" t="str">
        <f t="shared" si="391"/>
        <v>|||</v>
      </c>
      <c r="H9999" s="835">
        <f t="shared" si="392"/>
        <v>31</v>
      </c>
      <c r="AF9999" s="831" t="s">
        <v>10658</v>
      </c>
      <c r="AG9999" s="831" t="s">
        <v>2674</v>
      </c>
      <c r="AH9999" s="831" t="s">
        <v>103</v>
      </c>
      <c r="AI9999" s="831">
        <v>0</v>
      </c>
      <c r="AJ9999" s="835">
        <v>41243</v>
      </c>
      <c r="AK9999" s="831">
        <v>152976123</v>
      </c>
    </row>
    <row r="10000" spans="2:37">
      <c r="B10000" s="834" t="str">
        <f t="shared" si="391"/>
        <v>|||</v>
      </c>
      <c r="H10000" s="835">
        <f t="shared" si="392"/>
        <v>31</v>
      </c>
      <c r="AF10000" s="831" t="s">
        <v>10659</v>
      </c>
      <c r="AG10000" s="831" t="s">
        <v>2674</v>
      </c>
      <c r="AH10000" s="831" t="s">
        <v>182</v>
      </c>
      <c r="AI10000" s="831">
        <v>0</v>
      </c>
      <c r="AJ10000" s="835">
        <v>41243</v>
      </c>
      <c r="AK10000" s="831">
        <v>50142446.181818202</v>
      </c>
    </row>
    <row r="10001" spans="2:37">
      <c r="B10001" s="834" t="str">
        <f t="shared" ref="B10001:B10064" si="393">C10001&amp;"|"&amp;D10001&amp;"|"&amp;E10001&amp;"|"&amp;F10001</f>
        <v>|||</v>
      </c>
      <c r="H10001" s="835">
        <f t="shared" ref="H10001:H10064" si="394">EOMONTH(L10001,0)</f>
        <v>31</v>
      </c>
      <c r="AF10001" s="831" t="s">
        <v>10660</v>
      </c>
      <c r="AG10001" s="831" t="s">
        <v>2674</v>
      </c>
      <c r="AH10001" s="831" t="s">
        <v>6600</v>
      </c>
      <c r="AI10001" s="831">
        <v>0</v>
      </c>
      <c r="AJ10001" s="835">
        <v>41243</v>
      </c>
      <c r="AK10001" s="831">
        <v>0</v>
      </c>
    </row>
    <row r="10002" spans="2:37">
      <c r="B10002" s="834" t="str">
        <f t="shared" si="393"/>
        <v>|||</v>
      </c>
      <c r="H10002" s="835">
        <f t="shared" si="394"/>
        <v>31</v>
      </c>
      <c r="AF10002" s="831" t="s">
        <v>10661</v>
      </c>
      <c r="AG10002" s="831" t="s">
        <v>2674</v>
      </c>
      <c r="AH10002" s="831" t="s">
        <v>6602</v>
      </c>
      <c r="AI10002" s="831">
        <v>0</v>
      </c>
      <c r="AJ10002" s="835">
        <v>41243</v>
      </c>
      <c r="AK10002" s="831">
        <v>16533903</v>
      </c>
    </row>
    <row r="10003" spans="2:37">
      <c r="B10003" s="834" t="str">
        <f t="shared" si="393"/>
        <v>|||</v>
      </c>
      <c r="H10003" s="835">
        <f t="shared" si="394"/>
        <v>31</v>
      </c>
      <c r="AF10003" s="831" t="s">
        <v>10662</v>
      </c>
      <c r="AG10003" s="831" t="s">
        <v>2674</v>
      </c>
      <c r="AH10003" s="831" t="s">
        <v>650</v>
      </c>
      <c r="AI10003" s="831">
        <v>0</v>
      </c>
      <c r="AJ10003" s="835">
        <v>41243</v>
      </c>
      <c r="AK10003" s="831">
        <v>0</v>
      </c>
    </row>
    <row r="10004" spans="2:37">
      <c r="B10004" s="834" t="str">
        <f t="shared" si="393"/>
        <v>|||</v>
      </c>
      <c r="H10004" s="835">
        <f t="shared" si="394"/>
        <v>31</v>
      </c>
      <c r="AF10004" s="831" t="s">
        <v>10663</v>
      </c>
      <c r="AG10004" s="831" t="s">
        <v>2674</v>
      </c>
      <c r="AH10004" s="831" t="s">
        <v>655</v>
      </c>
      <c r="AI10004" s="831">
        <v>0</v>
      </c>
      <c r="AJ10004" s="835">
        <v>41243</v>
      </c>
      <c r="AK10004" s="831">
        <v>1720042</v>
      </c>
    </row>
    <row r="10005" spans="2:37">
      <c r="B10005" s="834" t="str">
        <f t="shared" si="393"/>
        <v>|||</v>
      </c>
      <c r="H10005" s="835">
        <f t="shared" si="394"/>
        <v>31</v>
      </c>
      <c r="AF10005" s="831" t="s">
        <v>10664</v>
      </c>
      <c r="AG10005" s="831" t="s">
        <v>2674</v>
      </c>
      <c r="AH10005" s="831" t="s">
        <v>546</v>
      </c>
      <c r="AI10005" s="831">
        <v>0</v>
      </c>
      <c r="AJ10005" s="835">
        <v>41274</v>
      </c>
      <c r="AK10005" s="831">
        <v>412125624</v>
      </c>
    </row>
    <row r="10006" spans="2:37">
      <c r="B10006" s="834" t="str">
        <f t="shared" si="393"/>
        <v>|||</v>
      </c>
      <c r="H10006" s="835">
        <f t="shared" si="394"/>
        <v>31</v>
      </c>
      <c r="AF10006" s="831" t="s">
        <v>10665</v>
      </c>
      <c r="AG10006" s="831" t="s">
        <v>2674</v>
      </c>
      <c r="AH10006" s="831" t="s">
        <v>370</v>
      </c>
      <c r="AI10006" s="831">
        <v>0</v>
      </c>
      <c r="AJ10006" s="835">
        <v>41274</v>
      </c>
      <c r="AK10006" s="831">
        <v>515268910</v>
      </c>
    </row>
    <row r="10007" spans="2:37">
      <c r="B10007" s="834" t="str">
        <f t="shared" si="393"/>
        <v>|||</v>
      </c>
      <c r="H10007" s="835">
        <f t="shared" si="394"/>
        <v>31</v>
      </c>
      <c r="AF10007" s="831" t="s">
        <v>10666</v>
      </c>
      <c r="AG10007" s="831" t="s">
        <v>2674</v>
      </c>
      <c r="AH10007" s="831" t="s">
        <v>126</v>
      </c>
      <c r="AI10007" s="831">
        <v>0</v>
      </c>
      <c r="AJ10007" s="835">
        <v>41274</v>
      </c>
      <c r="AK10007" s="831">
        <v>101162875</v>
      </c>
    </row>
    <row r="10008" spans="2:37">
      <c r="B10008" s="834" t="str">
        <f t="shared" si="393"/>
        <v>|||</v>
      </c>
      <c r="H10008" s="835">
        <f t="shared" si="394"/>
        <v>31</v>
      </c>
      <c r="AF10008" s="831" t="s">
        <v>10667</v>
      </c>
      <c r="AG10008" s="831" t="s">
        <v>2674</v>
      </c>
      <c r="AH10008" s="831" t="s">
        <v>268</v>
      </c>
      <c r="AI10008" s="831">
        <v>0</v>
      </c>
      <c r="AJ10008" s="835">
        <v>41274</v>
      </c>
      <c r="AK10008" s="831">
        <v>15839951</v>
      </c>
    </row>
    <row r="10009" spans="2:37">
      <c r="B10009" s="834" t="str">
        <f t="shared" si="393"/>
        <v>|||</v>
      </c>
      <c r="H10009" s="835">
        <f t="shared" si="394"/>
        <v>31</v>
      </c>
      <c r="AF10009" s="831" t="s">
        <v>10668</v>
      </c>
      <c r="AG10009" s="831" t="s">
        <v>2674</v>
      </c>
      <c r="AH10009" s="831" t="s">
        <v>547</v>
      </c>
      <c r="AI10009" s="831">
        <v>0</v>
      </c>
      <c r="AJ10009" s="835">
        <v>41274</v>
      </c>
      <c r="AK10009" s="831">
        <v>0</v>
      </c>
    </row>
    <row r="10010" spans="2:37">
      <c r="B10010" s="834" t="str">
        <f t="shared" si="393"/>
        <v>|||</v>
      </c>
      <c r="H10010" s="835">
        <f t="shared" si="394"/>
        <v>31</v>
      </c>
      <c r="AF10010" s="831" t="s">
        <v>10669</v>
      </c>
      <c r="AG10010" s="831" t="s">
        <v>2674</v>
      </c>
      <c r="AH10010" s="831" t="s">
        <v>548</v>
      </c>
      <c r="AI10010" s="831">
        <v>0</v>
      </c>
      <c r="AJ10010" s="835">
        <v>41274</v>
      </c>
      <c r="AK10010" s="831">
        <v>0</v>
      </c>
    </row>
    <row r="10011" spans="2:37">
      <c r="B10011" s="834" t="str">
        <f t="shared" si="393"/>
        <v>|||</v>
      </c>
      <c r="H10011" s="835">
        <f t="shared" si="394"/>
        <v>31</v>
      </c>
      <c r="AF10011" s="831" t="s">
        <v>10670</v>
      </c>
      <c r="AG10011" s="831" t="s">
        <v>2674</v>
      </c>
      <c r="AH10011" s="831" t="s">
        <v>549</v>
      </c>
      <c r="AI10011" s="831">
        <v>0</v>
      </c>
      <c r="AJ10011" s="835">
        <v>41274</v>
      </c>
      <c r="AK10011" s="831">
        <v>0</v>
      </c>
    </row>
    <row r="10012" spans="2:37">
      <c r="B10012" s="834" t="str">
        <f t="shared" si="393"/>
        <v>|||</v>
      </c>
      <c r="H10012" s="835">
        <f t="shared" si="394"/>
        <v>31</v>
      </c>
      <c r="AF10012" s="831" t="s">
        <v>10671</v>
      </c>
      <c r="AG10012" s="831" t="s">
        <v>2674</v>
      </c>
      <c r="AH10012" s="831" t="s">
        <v>192</v>
      </c>
      <c r="AI10012" s="831">
        <v>0</v>
      </c>
      <c r="AJ10012" s="835">
        <v>41274</v>
      </c>
      <c r="AK10012" s="831">
        <v>-10390612</v>
      </c>
    </row>
    <row r="10013" spans="2:37">
      <c r="B10013" s="834" t="str">
        <f t="shared" si="393"/>
        <v>|||</v>
      </c>
      <c r="H10013" s="835">
        <f t="shared" si="394"/>
        <v>31</v>
      </c>
      <c r="AF10013" s="831" t="s">
        <v>10672</v>
      </c>
      <c r="AG10013" s="831" t="s">
        <v>2674</v>
      </c>
      <c r="AH10013" s="831" t="s">
        <v>558</v>
      </c>
      <c r="AI10013" s="831">
        <v>0</v>
      </c>
      <c r="AJ10013" s="835">
        <v>41274</v>
      </c>
      <c r="AK10013" s="831">
        <v>414106035</v>
      </c>
    </row>
    <row r="10014" spans="2:37">
      <c r="B10014" s="834" t="str">
        <f t="shared" si="393"/>
        <v>|||</v>
      </c>
      <c r="H10014" s="835">
        <f t="shared" si="394"/>
        <v>31</v>
      </c>
      <c r="AF10014" s="831" t="s">
        <v>10673</v>
      </c>
      <c r="AG10014" s="831" t="s">
        <v>2674</v>
      </c>
      <c r="AH10014" s="831" t="s">
        <v>65</v>
      </c>
      <c r="AI10014" s="831">
        <v>0</v>
      </c>
      <c r="AJ10014" s="835">
        <v>41274</v>
      </c>
      <c r="AK10014" s="831">
        <v>98876380</v>
      </c>
    </row>
    <row r="10015" spans="2:37">
      <c r="B10015" s="834" t="str">
        <f t="shared" si="393"/>
        <v>|||</v>
      </c>
      <c r="H10015" s="835">
        <f t="shared" si="394"/>
        <v>31</v>
      </c>
      <c r="AF10015" s="831" t="s">
        <v>10674</v>
      </c>
      <c r="AG10015" s="831" t="s">
        <v>2674</v>
      </c>
      <c r="AH10015" s="831" t="s">
        <v>89</v>
      </c>
      <c r="AI10015" s="831">
        <v>0</v>
      </c>
      <c r="AJ10015" s="835">
        <v>41274</v>
      </c>
      <c r="AK10015" s="831">
        <v>124397</v>
      </c>
    </row>
    <row r="10016" spans="2:37">
      <c r="B10016" s="834" t="str">
        <f t="shared" si="393"/>
        <v>|||</v>
      </c>
      <c r="H10016" s="835">
        <f t="shared" si="394"/>
        <v>31</v>
      </c>
      <c r="AF10016" s="831" t="s">
        <v>10675</v>
      </c>
      <c r="AG10016" s="831" t="s">
        <v>2674</v>
      </c>
      <c r="AH10016" s="831" t="s">
        <v>557</v>
      </c>
      <c r="AI10016" s="831">
        <v>0</v>
      </c>
      <c r="AJ10016" s="835">
        <v>41274</v>
      </c>
      <c r="AK10016" s="831">
        <v>127200</v>
      </c>
    </row>
    <row r="10017" spans="2:37">
      <c r="B10017" s="834" t="str">
        <f t="shared" si="393"/>
        <v>|||</v>
      </c>
      <c r="H10017" s="835">
        <f t="shared" si="394"/>
        <v>31</v>
      </c>
      <c r="AF10017" s="831" t="s">
        <v>10676</v>
      </c>
      <c r="AG10017" s="831" t="s">
        <v>2674</v>
      </c>
      <c r="AH10017" s="831" t="s">
        <v>29</v>
      </c>
      <c r="AI10017" s="831">
        <v>0</v>
      </c>
      <c r="AJ10017" s="835">
        <v>41274</v>
      </c>
      <c r="AK10017" s="831">
        <v>1921756</v>
      </c>
    </row>
    <row r="10018" spans="2:37">
      <c r="B10018" s="834" t="str">
        <f t="shared" si="393"/>
        <v>|||</v>
      </c>
      <c r="H10018" s="835">
        <f t="shared" si="394"/>
        <v>31</v>
      </c>
      <c r="AF10018" s="831" t="s">
        <v>10677</v>
      </c>
      <c r="AG10018" s="831" t="s">
        <v>2674</v>
      </c>
      <c r="AH10018" s="831" t="s">
        <v>2688</v>
      </c>
      <c r="AI10018" s="831">
        <v>0</v>
      </c>
      <c r="AJ10018" s="835">
        <v>41274</v>
      </c>
      <c r="AK10018" s="831">
        <v>2457254</v>
      </c>
    </row>
    <row r="10019" spans="2:37">
      <c r="B10019" s="834" t="str">
        <f t="shared" si="393"/>
        <v>|||</v>
      </c>
      <c r="H10019" s="835">
        <f t="shared" si="394"/>
        <v>31</v>
      </c>
      <c r="AF10019" s="831" t="s">
        <v>10678</v>
      </c>
      <c r="AG10019" s="831" t="s">
        <v>2674</v>
      </c>
      <c r="AH10019" s="831" t="s">
        <v>556</v>
      </c>
      <c r="AI10019" s="831">
        <v>0</v>
      </c>
      <c r="AJ10019" s="835">
        <v>41274</v>
      </c>
      <c r="AK10019" s="831">
        <v>902857</v>
      </c>
    </row>
    <row r="10020" spans="2:37">
      <c r="B10020" s="834" t="str">
        <f t="shared" si="393"/>
        <v>|||</v>
      </c>
      <c r="H10020" s="835">
        <f t="shared" si="394"/>
        <v>31</v>
      </c>
      <c r="AF10020" s="831" t="s">
        <v>10679</v>
      </c>
      <c r="AG10020" s="831" t="s">
        <v>2674</v>
      </c>
      <c r="AH10020" s="831" t="s">
        <v>555</v>
      </c>
      <c r="AI10020" s="831">
        <v>0</v>
      </c>
      <c r="AJ10020" s="835">
        <v>41274</v>
      </c>
      <c r="AK10020" s="831">
        <v>274948010</v>
      </c>
    </row>
    <row r="10021" spans="2:37">
      <c r="B10021" s="834" t="str">
        <f t="shared" si="393"/>
        <v>|||</v>
      </c>
      <c r="H10021" s="835">
        <f t="shared" si="394"/>
        <v>31</v>
      </c>
      <c r="AF10021" s="831" t="s">
        <v>10680</v>
      </c>
      <c r="AG10021" s="831" t="s">
        <v>2674</v>
      </c>
      <c r="AH10021" s="831" t="s">
        <v>554</v>
      </c>
      <c r="AI10021" s="831">
        <v>0</v>
      </c>
      <c r="AJ10021" s="835">
        <v>41274</v>
      </c>
      <c r="AK10021" s="831">
        <v>273069880</v>
      </c>
    </row>
    <row r="10022" spans="2:37">
      <c r="B10022" s="834" t="str">
        <f t="shared" si="393"/>
        <v>|||</v>
      </c>
      <c r="H10022" s="835">
        <f t="shared" si="394"/>
        <v>31</v>
      </c>
      <c r="AF10022" s="831" t="s">
        <v>10681</v>
      </c>
      <c r="AG10022" s="831" t="s">
        <v>2674</v>
      </c>
      <c r="AH10022" s="831" t="s">
        <v>553</v>
      </c>
      <c r="AI10022" s="831">
        <v>0</v>
      </c>
      <c r="AJ10022" s="835">
        <v>41274</v>
      </c>
      <c r="AK10022" s="831">
        <v>0</v>
      </c>
    </row>
    <row r="10023" spans="2:37">
      <c r="B10023" s="834" t="str">
        <f t="shared" si="393"/>
        <v>|||</v>
      </c>
      <c r="H10023" s="835">
        <f t="shared" si="394"/>
        <v>31</v>
      </c>
      <c r="AF10023" s="831" t="s">
        <v>10682</v>
      </c>
      <c r="AG10023" s="831" t="s">
        <v>2674</v>
      </c>
      <c r="AH10023" s="831" t="s">
        <v>552</v>
      </c>
      <c r="AI10023" s="831">
        <v>0</v>
      </c>
      <c r="AJ10023" s="835">
        <v>41274</v>
      </c>
      <c r="AK10023" s="831">
        <v>0</v>
      </c>
    </row>
    <row r="10024" spans="2:37">
      <c r="B10024" s="834" t="str">
        <f t="shared" si="393"/>
        <v>|||</v>
      </c>
      <c r="H10024" s="835">
        <f t="shared" si="394"/>
        <v>31</v>
      </c>
      <c r="AF10024" s="831" t="s">
        <v>10683</v>
      </c>
      <c r="AG10024" s="831" t="s">
        <v>2674</v>
      </c>
      <c r="AH10024" s="831" t="s">
        <v>551</v>
      </c>
      <c r="AI10024" s="831">
        <v>0</v>
      </c>
      <c r="AJ10024" s="835">
        <v>41274</v>
      </c>
      <c r="AK10024" s="831">
        <v>1740472</v>
      </c>
    </row>
    <row r="10025" spans="2:37">
      <c r="B10025" s="834" t="str">
        <f t="shared" si="393"/>
        <v>|||</v>
      </c>
      <c r="H10025" s="835">
        <f t="shared" si="394"/>
        <v>31</v>
      </c>
      <c r="AF10025" s="831" t="s">
        <v>10684</v>
      </c>
      <c r="AG10025" s="831" t="s">
        <v>2674</v>
      </c>
      <c r="AH10025" s="831" t="s">
        <v>550</v>
      </c>
      <c r="AI10025" s="831">
        <v>0</v>
      </c>
      <c r="AJ10025" s="835">
        <v>41274</v>
      </c>
      <c r="AK10025" s="831">
        <v>101856827</v>
      </c>
    </row>
    <row r="10026" spans="2:37">
      <c r="B10026" s="834" t="str">
        <f t="shared" si="393"/>
        <v>|||</v>
      </c>
      <c r="H10026" s="835">
        <f t="shared" si="394"/>
        <v>31</v>
      </c>
      <c r="AF10026" s="831" t="s">
        <v>10685</v>
      </c>
      <c r="AG10026" s="831" t="s">
        <v>2674</v>
      </c>
      <c r="AH10026" s="831" t="s">
        <v>562</v>
      </c>
      <c r="AI10026" s="831">
        <v>0</v>
      </c>
      <c r="AJ10026" s="835">
        <v>41274</v>
      </c>
      <c r="AK10026" s="831">
        <v>0.78400000000000003</v>
      </c>
    </row>
    <row r="10027" spans="2:37">
      <c r="B10027" s="834" t="str">
        <f t="shared" si="393"/>
        <v>|||</v>
      </c>
      <c r="H10027" s="835">
        <f t="shared" si="394"/>
        <v>31</v>
      </c>
      <c r="AF10027" s="831" t="s">
        <v>10686</v>
      </c>
      <c r="AG10027" s="831" t="s">
        <v>2674</v>
      </c>
      <c r="AH10027" s="831" t="s">
        <v>2698</v>
      </c>
      <c r="AI10027" s="831">
        <v>0</v>
      </c>
      <c r="AJ10027" s="835">
        <v>41274</v>
      </c>
      <c r="AK10027" s="831">
        <v>0.78415000000000001</v>
      </c>
    </row>
    <row r="10028" spans="2:37">
      <c r="B10028" s="834" t="str">
        <f t="shared" si="393"/>
        <v>|||</v>
      </c>
      <c r="H10028" s="835">
        <f t="shared" si="394"/>
        <v>31</v>
      </c>
      <c r="AF10028" s="831" t="s">
        <v>10687</v>
      </c>
      <c r="AG10028" s="831" t="s">
        <v>2674</v>
      </c>
      <c r="AH10028" s="831" t="s">
        <v>560</v>
      </c>
      <c r="AI10028" s="831">
        <v>0</v>
      </c>
      <c r="AJ10028" s="835">
        <v>41274</v>
      </c>
      <c r="AK10028" s="831">
        <v>0.78505416666666705</v>
      </c>
    </row>
    <row r="10029" spans="2:37">
      <c r="B10029" s="834" t="str">
        <f t="shared" si="393"/>
        <v>|||</v>
      </c>
      <c r="H10029" s="835">
        <f t="shared" si="394"/>
        <v>31</v>
      </c>
      <c r="AF10029" s="831" t="s">
        <v>10688</v>
      </c>
      <c r="AG10029" s="831" t="s">
        <v>2674</v>
      </c>
      <c r="AH10029" s="831" t="s">
        <v>559</v>
      </c>
      <c r="AI10029" s="831">
        <v>0</v>
      </c>
      <c r="AJ10029" s="835">
        <v>41274</v>
      </c>
      <c r="AK10029" s="831">
        <v>0.78505416666666705</v>
      </c>
    </row>
    <row r="10030" spans="2:37">
      <c r="B10030" s="834" t="str">
        <f t="shared" si="393"/>
        <v>|||</v>
      </c>
      <c r="H10030" s="835">
        <f t="shared" si="394"/>
        <v>31</v>
      </c>
      <c r="AF10030" s="831" t="s">
        <v>10689</v>
      </c>
      <c r="AG10030" s="831" t="s">
        <v>2674</v>
      </c>
      <c r="AH10030" s="831" t="s">
        <v>568</v>
      </c>
      <c r="AI10030" s="831">
        <v>0</v>
      </c>
      <c r="AJ10030" s="835">
        <v>41274</v>
      </c>
      <c r="AK10030" s="831">
        <v>0</v>
      </c>
    </row>
    <row r="10031" spans="2:37">
      <c r="B10031" s="834" t="str">
        <f t="shared" si="393"/>
        <v>|||</v>
      </c>
      <c r="H10031" s="835">
        <f t="shared" si="394"/>
        <v>31</v>
      </c>
      <c r="AF10031" s="831" t="s">
        <v>10690</v>
      </c>
      <c r="AG10031" s="831" t="s">
        <v>2674</v>
      </c>
      <c r="AH10031" s="831" t="s">
        <v>569</v>
      </c>
      <c r="AI10031" s="831">
        <v>0</v>
      </c>
      <c r="AJ10031" s="835">
        <v>41274</v>
      </c>
      <c r="AK10031" s="831">
        <v>0</v>
      </c>
    </row>
    <row r="10032" spans="2:37">
      <c r="B10032" s="834" t="str">
        <f t="shared" si="393"/>
        <v>|||</v>
      </c>
      <c r="H10032" s="835">
        <f t="shared" si="394"/>
        <v>31</v>
      </c>
      <c r="AF10032" s="831" t="s">
        <v>10691</v>
      </c>
      <c r="AG10032" s="831" t="s">
        <v>2674</v>
      </c>
      <c r="AH10032" s="831" t="s">
        <v>570</v>
      </c>
      <c r="AI10032" s="831">
        <v>0</v>
      </c>
      <c r="AJ10032" s="835">
        <v>41274</v>
      </c>
      <c r="AK10032" s="831">
        <v>0</v>
      </c>
    </row>
    <row r="10033" spans="2:37">
      <c r="B10033" s="834" t="str">
        <f t="shared" si="393"/>
        <v>|||</v>
      </c>
      <c r="H10033" s="835">
        <f t="shared" si="394"/>
        <v>31</v>
      </c>
      <c r="AF10033" s="831" t="s">
        <v>10692</v>
      </c>
      <c r="AG10033" s="831" t="s">
        <v>2674</v>
      </c>
      <c r="AH10033" s="831" t="s">
        <v>571</v>
      </c>
      <c r="AI10033" s="831">
        <v>0</v>
      </c>
      <c r="AJ10033" s="835">
        <v>41274</v>
      </c>
      <c r="AK10033" s="831">
        <v>0</v>
      </c>
    </row>
    <row r="10034" spans="2:37">
      <c r="B10034" s="834" t="str">
        <f t="shared" si="393"/>
        <v>|||</v>
      </c>
      <c r="H10034" s="835">
        <f t="shared" si="394"/>
        <v>31</v>
      </c>
      <c r="AF10034" s="831" t="s">
        <v>10693</v>
      </c>
      <c r="AG10034" s="831" t="s">
        <v>2674</v>
      </c>
      <c r="AH10034" s="831" t="s">
        <v>573</v>
      </c>
      <c r="AI10034" s="831">
        <v>0</v>
      </c>
      <c r="AJ10034" s="835">
        <v>41274</v>
      </c>
      <c r="AK10034" s="831">
        <v>0</v>
      </c>
    </row>
    <row r="10035" spans="2:37">
      <c r="B10035" s="834" t="str">
        <f t="shared" si="393"/>
        <v>|||</v>
      </c>
      <c r="H10035" s="835">
        <f t="shared" si="394"/>
        <v>31</v>
      </c>
      <c r="AF10035" s="831" t="s">
        <v>10694</v>
      </c>
      <c r="AG10035" s="831" t="s">
        <v>2674</v>
      </c>
      <c r="AH10035" s="831" t="s">
        <v>574</v>
      </c>
      <c r="AI10035" s="831">
        <v>0</v>
      </c>
      <c r="AJ10035" s="835">
        <v>41274</v>
      </c>
      <c r="AK10035" s="831">
        <v>0</v>
      </c>
    </row>
    <row r="10036" spans="2:37">
      <c r="B10036" s="834" t="str">
        <f t="shared" si="393"/>
        <v>|||</v>
      </c>
      <c r="H10036" s="835">
        <f t="shared" si="394"/>
        <v>31</v>
      </c>
      <c r="AF10036" s="831" t="s">
        <v>10695</v>
      </c>
      <c r="AG10036" s="831" t="s">
        <v>2674</v>
      </c>
      <c r="AH10036" s="831" t="s">
        <v>575</v>
      </c>
      <c r="AI10036" s="831">
        <v>0</v>
      </c>
      <c r="AJ10036" s="835">
        <v>41274</v>
      </c>
      <c r="AK10036" s="831">
        <v>0</v>
      </c>
    </row>
    <row r="10037" spans="2:37">
      <c r="B10037" s="834" t="str">
        <f t="shared" si="393"/>
        <v>|||</v>
      </c>
      <c r="H10037" s="835">
        <f t="shared" si="394"/>
        <v>31</v>
      </c>
      <c r="AF10037" s="831" t="s">
        <v>10696</v>
      </c>
      <c r="AG10037" s="831" t="s">
        <v>2674</v>
      </c>
      <c r="AH10037" s="831" t="s">
        <v>576</v>
      </c>
      <c r="AI10037" s="831">
        <v>0</v>
      </c>
      <c r="AJ10037" s="835">
        <v>41274</v>
      </c>
      <c r="AK10037" s="831">
        <v>0</v>
      </c>
    </row>
    <row r="10038" spans="2:37">
      <c r="B10038" s="834" t="str">
        <f t="shared" si="393"/>
        <v>|||</v>
      </c>
      <c r="H10038" s="835">
        <f t="shared" si="394"/>
        <v>31</v>
      </c>
      <c r="AF10038" s="831" t="s">
        <v>10697</v>
      </c>
      <c r="AG10038" s="831" t="s">
        <v>2674</v>
      </c>
      <c r="AH10038" s="831" t="s">
        <v>572</v>
      </c>
      <c r="AI10038" s="831">
        <v>0</v>
      </c>
      <c r="AJ10038" s="835">
        <v>41274</v>
      </c>
      <c r="AK10038" s="831">
        <v>0</v>
      </c>
    </row>
    <row r="10039" spans="2:37">
      <c r="B10039" s="834" t="str">
        <f t="shared" si="393"/>
        <v>|||</v>
      </c>
      <c r="H10039" s="835">
        <f t="shared" si="394"/>
        <v>31</v>
      </c>
      <c r="AF10039" s="831" t="s">
        <v>10698</v>
      </c>
      <c r="AG10039" s="831" t="s">
        <v>2674</v>
      </c>
      <c r="AH10039" s="831" t="s">
        <v>577</v>
      </c>
      <c r="AI10039" s="831">
        <v>0</v>
      </c>
      <c r="AJ10039" s="835">
        <v>41274</v>
      </c>
      <c r="AK10039" s="831">
        <v>0</v>
      </c>
    </row>
    <row r="10040" spans="2:37">
      <c r="B10040" s="834" t="str">
        <f t="shared" si="393"/>
        <v>|||</v>
      </c>
      <c r="H10040" s="835">
        <f t="shared" si="394"/>
        <v>31</v>
      </c>
      <c r="AF10040" s="831" t="s">
        <v>10699</v>
      </c>
      <c r="AG10040" s="831" t="s">
        <v>2674</v>
      </c>
      <c r="AH10040" s="831" t="s">
        <v>3042</v>
      </c>
      <c r="AI10040" s="831">
        <v>0</v>
      </c>
      <c r="AJ10040" s="835">
        <v>41274</v>
      </c>
      <c r="AK10040" s="831">
        <v>0</v>
      </c>
    </row>
    <row r="10041" spans="2:37">
      <c r="B10041" s="834" t="str">
        <f t="shared" si="393"/>
        <v>|||</v>
      </c>
      <c r="H10041" s="835">
        <f t="shared" si="394"/>
        <v>31</v>
      </c>
      <c r="AF10041" s="831" t="s">
        <v>10700</v>
      </c>
      <c r="AG10041" s="831" t="s">
        <v>2674</v>
      </c>
      <c r="AH10041" s="831" t="s">
        <v>3044</v>
      </c>
      <c r="AI10041" s="831">
        <v>0</v>
      </c>
      <c r="AJ10041" s="835">
        <v>41274</v>
      </c>
      <c r="AK10041" s="831">
        <v>0</v>
      </c>
    </row>
    <row r="10042" spans="2:37">
      <c r="B10042" s="834" t="str">
        <f t="shared" si="393"/>
        <v>|||</v>
      </c>
      <c r="H10042" s="835">
        <f t="shared" si="394"/>
        <v>31</v>
      </c>
      <c r="AF10042" s="831" t="s">
        <v>10701</v>
      </c>
      <c r="AG10042" s="831" t="s">
        <v>2674</v>
      </c>
      <c r="AH10042" s="831" t="s">
        <v>580</v>
      </c>
      <c r="AI10042" s="831">
        <v>0</v>
      </c>
      <c r="AJ10042" s="835">
        <v>41274</v>
      </c>
      <c r="AK10042" s="831">
        <v>0</v>
      </c>
    </row>
    <row r="10043" spans="2:37">
      <c r="B10043" s="834" t="str">
        <f t="shared" si="393"/>
        <v>|||</v>
      </c>
      <c r="H10043" s="835">
        <f t="shared" si="394"/>
        <v>31</v>
      </c>
      <c r="AF10043" s="831" t="s">
        <v>10702</v>
      </c>
      <c r="AG10043" s="831" t="s">
        <v>2674</v>
      </c>
      <c r="AH10043" s="831" t="s">
        <v>581</v>
      </c>
      <c r="AI10043" s="831">
        <v>0</v>
      </c>
      <c r="AJ10043" s="835">
        <v>41274</v>
      </c>
      <c r="AK10043" s="831">
        <v>0</v>
      </c>
    </row>
    <row r="10044" spans="2:37">
      <c r="B10044" s="834" t="str">
        <f t="shared" si="393"/>
        <v>|||</v>
      </c>
      <c r="H10044" s="835">
        <f t="shared" si="394"/>
        <v>31</v>
      </c>
      <c r="AF10044" s="831" t="s">
        <v>10703</v>
      </c>
      <c r="AG10044" s="831" t="s">
        <v>2674</v>
      </c>
      <c r="AH10044" s="831" t="s">
        <v>105</v>
      </c>
      <c r="AI10044" s="831">
        <v>0</v>
      </c>
      <c r="AJ10044" s="835">
        <v>41274</v>
      </c>
      <c r="AK10044" s="831">
        <v>237580126</v>
      </c>
    </row>
    <row r="10045" spans="2:37">
      <c r="B10045" s="834" t="str">
        <f t="shared" si="393"/>
        <v>|||</v>
      </c>
      <c r="H10045" s="835">
        <f t="shared" si="394"/>
        <v>31</v>
      </c>
      <c r="AF10045" s="831" t="s">
        <v>10704</v>
      </c>
      <c r="AG10045" s="831" t="s">
        <v>2674</v>
      </c>
      <c r="AH10045" s="831" t="s">
        <v>3049</v>
      </c>
      <c r="AI10045" s="831">
        <v>0</v>
      </c>
      <c r="AJ10045" s="835">
        <v>41274</v>
      </c>
      <c r="AK10045" s="831">
        <v>400647257</v>
      </c>
    </row>
    <row r="10046" spans="2:37">
      <c r="B10046" s="834" t="str">
        <f t="shared" si="393"/>
        <v>|||</v>
      </c>
      <c r="H10046" s="835">
        <f t="shared" si="394"/>
        <v>31</v>
      </c>
      <c r="AF10046" s="831" t="s">
        <v>10705</v>
      </c>
      <c r="AG10046" s="831" t="s">
        <v>2674</v>
      </c>
      <c r="AH10046" s="831" t="s">
        <v>103</v>
      </c>
      <c r="AI10046" s="831">
        <v>0</v>
      </c>
      <c r="AJ10046" s="835">
        <v>41274</v>
      </c>
      <c r="AK10046" s="831">
        <v>163067131</v>
      </c>
    </row>
    <row r="10047" spans="2:37">
      <c r="B10047" s="834" t="str">
        <f t="shared" si="393"/>
        <v>|||</v>
      </c>
      <c r="H10047" s="835">
        <f t="shared" si="394"/>
        <v>31</v>
      </c>
      <c r="AF10047" s="831" t="s">
        <v>10706</v>
      </c>
      <c r="AG10047" s="831" t="s">
        <v>2674</v>
      </c>
      <c r="AH10047" s="831" t="s">
        <v>182</v>
      </c>
      <c r="AI10047" s="831">
        <v>0</v>
      </c>
      <c r="AJ10047" s="835">
        <v>41274</v>
      </c>
      <c r="AK10047" s="831">
        <v>53318071</v>
      </c>
    </row>
    <row r="10048" spans="2:37">
      <c r="B10048" s="834" t="str">
        <f t="shared" si="393"/>
        <v>|||</v>
      </c>
      <c r="H10048" s="835">
        <f t="shared" si="394"/>
        <v>31</v>
      </c>
      <c r="AF10048" s="831" t="s">
        <v>10707</v>
      </c>
      <c r="AG10048" s="831" t="s">
        <v>2674</v>
      </c>
      <c r="AH10048" s="831" t="s">
        <v>6600</v>
      </c>
      <c r="AI10048" s="831">
        <v>0</v>
      </c>
      <c r="AJ10048" s="835">
        <v>41274</v>
      </c>
      <c r="AK10048" s="831">
        <v>0</v>
      </c>
    </row>
    <row r="10049" spans="2:37">
      <c r="B10049" s="834" t="str">
        <f t="shared" si="393"/>
        <v>|||</v>
      </c>
      <c r="H10049" s="835">
        <f t="shared" si="394"/>
        <v>31</v>
      </c>
      <c r="AF10049" s="831" t="s">
        <v>10708</v>
      </c>
      <c r="AG10049" s="831" t="s">
        <v>2674</v>
      </c>
      <c r="AH10049" s="831" t="s">
        <v>6602</v>
      </c>
      <c r="AI10049" s="831">
        <v>0</v>
      </c>
      <c r="AJ10049" s="835">
        <v>41274</v>
      </c>
      <c r="AK10049" s="831">
        <v>15839951</v>
      </c>
    </row>
    <row r="10050" spans="2:37">
      <c r="B10050" s="834" t="str">
        <f t="shared" si="393"/>
        <v>|||</v>
      </c>
      <c r="H10050" s="835">
        <f t="shared" si="394"/>
        <v>31</v>
      </c>
      <c r="AF10050" s="831" t="s">
        <v>10709</v>
      </c>
      <c r="AG10050" s="831" t="s">
        <v>2674</v>
      </c>
      <c r="AH10050" s="831" t="s">
        <v>650</v>
      </c>
      <c r="AI10050" s="831">
        <v>0</v>
      </c>
      <c r="AJ10050" s="835">
        <v>41274</v>
      </c>
      <c r="AK10050" s="831">
        <v>0</v>
      </c>
    </row>
    <row r="10051" spans="2:37">
      <c r="B10051" s="834" t="str">
        <f t="shared" si="393"/>
        <v>|||</v>
      </c>
      <c r="H10051" s="835">
        <f t="shared" si="394"/>
        <v>31</v>
      </c>
      <c r="AF10051" s="831" t="s">
        <v>10710</v>
      </c>
      <c r="AG10051" s="831" t="s">
        <v>2674</v>
      </c>
      <c r="AH10051" s="831" t="s">
        <v>655</v>
      </c>
      <c r="AI10051" s="831">
        <v>0</v>
      </c>
      <c r="AJ10051" s="835">
        <v>41274</v>
      </c>
      <c r="AK10051" s="831">
        <v>1622276</v>
      </c>
    </row>
    <row r="10052" spans="2:37">
      <c r="B10052" s="834" t="str">
        <f t="shared" si="393"/>
        <v>|||</v>
      </c>
      <c r="H10052" s="835">
        <f t="shared" si="394"/>
        <v>31</v>
      </c>
      <c r="AF10052" s="831" t="s">
        <v>10711</v>
      </c>
      <c r="AG10052" s="831" t="s">
        <v>2674</v>
      </c>
      <c r="AH10052" s="831" t="s">
        <v>546</v>
      </c>
      <c r="AI10052" s="831">
        <v>0</v>
      </c>
      <c r="AJ10052" s="835">
        <v>41305</v>
      </c>
      <c r="AK10052" s="831">
        <v>421051783</v>
      </c>
    </row>
    <row r="10053" spans="2:37">
      <c r="B10053" s="834" t="str">
        <f t="shared" si="393"/>
        <v>|||</v>
      </c>
      <c r="H10053" s="835">
        <f t="shared" si="394"/>
        <v>31</v>
      </c>
      <c r="AF10053" s="831" t="s">
        <v>10712</v>
      </c>
      <c r="AG10053" s="831" t="s">
        <v>2674</v>
      </c>
      <c r="AH10053" s="831" t="s">
        <v>370</v>
      </c>
      <c r="AI10053" s="831">
        <v>0</v>
      </c>
      <c r="AJ10053" s="835">
        <v>41305</v>
      </c>
      <c r="AK10053" s="831">
        <v>511487760</v>
      </c>
    </row>
    <row r="10054" spans="2:37">
      <c r="B10054" s="834" t="str">
        <f t="shared" si="393"/>
        <v>|||</v>
      </c>
      <c r="H10054" s="835">
        <f t="shared" si="394"/>
        <v>31</v>
      </c>
      <c r="AF10054" s="831" t="s">
        <v>10713</v>
      </c>
      <c r="AG10054" s="831" t="s">
        <v>2674</v>
      </c>
      <c r="AH10054" s="831" t="s">
        <v>126</v>
      </c>
      <c r="AI10054" s="831">
        <v>0</v>
      </c>
      <c r="AJ10054" s="835">
        <v>41305</v>
      </c>
      <c r="AK10054" s="831">
        <v>96883184</v>
      </c>
    </row>
    <row r="10055" spans="2:37">
      <c r="B10055" s="834" t="str">
        <f t="shared" si="393"/>
        <v>|||</v>
      </c>
      <c r="H10055" s="835">
        <f t="shared" si="394"/>
        <v>31</v>
      </c>
      <c r="AF10055" s="831" t="s">
        <v>10714</v>
      </c>
      <c r="AG10055" s="831" t="s">
        <v>2674</v>
      </c>
      <c r="AH10055" s="831" t="s">
        <v>268</v>
      </c>
      <c r="AI10055" s="831">
        <v>0</v>
      </c>
      <c r="AJ10055" s="835">
        <v>41305</v>
      </c>
      <c r="AK10055" s="831">
        <v>2119961</v>
      </c>
    </row>
    <row r="10056" spans="2:37">
      <c r="B10056" s="834" t="str">
        <f t="shared" si="393"/>
        <v>|||</v>
      </c>
      <c r="H10056" s="835">
        <f t="shared" si="394"/>
        <v>31</v>
      </c>
      <c r="AF10056" s="831" t="s">
        <v>10715</v>
      </c>
      <c r="AG10056" s="831" t="s">
        <v>2674</v>
      </c>
      <c r="AH10056" s="831" t="s">
        <v>547</v>
      </c>
      <c r="AI10056" s="831">
        <v>0</v>
      </c>
      <c r="AJ10056" s="835">
        <v>41305</v>
      </c>
      <c r="AK10056" s="831">
        <v>511487760</v>
      </c>
    </row>
    <row r="10057" spans="2:37">
      <c r="B10057" s="834" t="str">
        <f t="shared" si="393"/>
        <v>|||</v>
      </c>
      <c r="H10057" s="835">
        <f t="shared" si="394"/>
        <v>31</v>
      </c>
      <c r="AF10057" s="831" t="s">
        <v>10716</v>
      </c>
      <c r="AG10057" s="831" t="s">
        <v>2674</v>
      </c>
      <c r="AH10057" s="831" t="s">
        <v>548</v>
      </c>
      <c r="AI10057" s="831">
        <v>0</v>
      </c>
      <c r="AJ10057" s="835">
        <v>41305</v>
      </c>
      <c r="AK10057" s="831">
        <v>96883184</v>
      </c>
    </row>
    <row r="10058" spans="2:37">
      <c r="B10058" s="834" t="str">
        <f t="shared" si="393"/>
        <v>|||</v>
      </c>
      <c r="H10058" s="835">
        <f t="shared" si="394"/>
        <v>31</v>
      </c>
      <c r="AF10058" s="831" t="s">
        <v>10717</v>
      </c>
      <c r="AG10058" s="831" t="s">
        <v>2674</v>
      </c>
      <c r="AH10058" s="831" t="s">
        <v>549</v>
      </c>
      <c r="AI10058" s="831">
        <v>0</v>
      </c>
      <c r="AJ10058" s="835">
        <v>41305</v>
      </c>
      <c r="AK10058" s="831">
        <v>0</v>
      </c>
    </row>
    <row r="10059" spans="2:37">
      <c r="B10059" s="834" t="str">
        <f t="shared" si="393"/>
        <v>|||</v>
      </c>
      <c r="H10059" s="835">
        <f t="shared" si="394"/>
        <v>31</v>
      </c>
      <c r="AF10059" s="831" t="s">
        <v>10718</v>
      </c>
      <c r="AG10059" s="831" t="s">
        <v>2674</v>
      </c>
      <c r="AH10059" s="831" t="s">
        <v>192</v>
      </c>
      <c r="AI10059" s="831">
        <v>0</v>
      </c>
      <c r="AJ10059" s="835">
        <v>41305</v>
      </c>
      <c r="AK10059" s="831">
        <v>-10696839</v>
      </c>
    </row>
    <row r="10060" spans="2:37">
      <c r="B10060" s="834" t="str">
        <f t="shared" si="393"/>
        <v>|||</v>
      </c>
      <c r="H10060" s="835">
        <f t="shared" si="394"/>
        <v>31</v>
      </c>
      <c r="AF10060" s="831" t="s">
        <v>10719</v>
      </c>
      <c r="AG10060" s="831" t="s">
        <v>2674</v>
      </c>
      <c r="AH10060" s="831" t="s">
        <v>558</v>
      </c>
      <c r="AI10060" s="831">
        <v>0</v>
      </c>
      <c r="AJ10060" s="835">
        <v>41305</v>
      </c>
      <c r="AK10060" s="831">
        <v>414604576</v>
      </c>
    </row>
    <row r="10061" spans="2:37">
      <c r="B10061" s="834" t="str">
        <f t="shared" si="393"/>
        <v>|||</v>
      </c>
      <c r="H10061" s="835">
        <f t="shared" si="394"/>
        <v>31</v>
      </c>
      <c r="AF10061" s="831" t="s">
        <v>10720</v>
      </c>
      <c r="AG10061" s="831" t="s">
        <v>2674</v>
      </c>
      <c r="AH10061" s="831" t="s">
        <v>65</v>
      </c>
      <c r="AI10061" s="831">
        <v>0</v>
      </c>
      <c r="AJ10061" s="835">
        <v>41305</v>
      </c>
      <c r="AK10061" s="831">
        <v>9476383</v>
      </c>
    </row>
    <row r="10062" spans="2:37">
      <c r="B10062" s="834" t="str">
        <f t="shared" si="393"/>
        <v>|||</v>
      </c>
      <c r="H10062" s="835">
        <f t="shared" si="394"/>
        <v>31</v>
      </c>
      <c r="AF10062" s="831" t="s">
        <v>10721</v>
      </c>
      <c r="AG10062" s="831" t="s">
        <v>2674</v>
      </c>
      <c r="AH10062" s="831" t="s">
        <v>89</v>
      </c>
      <c r="AI10062" s="831">
        <v>0</v>
      </c>
      <c r="AJ10062" s="835">
        <v>41305</v>
      </c>
      <c r="AK10062" s="831">
        <v>125947</v>
      </c>
    </row>
    <row r="10063" spans="2:37">
      <c r="B10063" s="834" t="str">
        <f t="shared" si="393"/>
        <v>|||</v>
      </c>
      <c r="H10063" s="835">
        <f t="shared" si="394"/>
        <v>31</v>
      </c>
      <c r="AF10063" s="831" t="s">
        <v>10722</v>
      </c>
      <c r="AG10063" s="831" t="s">
        <v>2674</v>
      </c>
      <c r="AH10063" s="831" t="s">
        <v>557</v>
      </c>
      <c r="AI10063" s="831">
        <v>0</v>
      </c>
      <c r="AJ10063" s="835">
        <v>41305</v>
      </c>
      <c r="AK10063" s="831">
        <v>128972</v>
      </c>
    </row>
    <row r="10064" spans="2:37">
      <c r="B10064" s="834" t="str">
        <f t="shared" si="393"/>
        <v>|||</v>
      </c>
      <c r="H10064" s="835">
        <f t="shared" si="394"/>
        <v>31</v>
      </c>
      <c r="AF10064" s="831" t="s">
        <v>10723</v>
      </c>
      <c r="AG10064" s="831" t="s">
        <v>2674</v>
      </c>
      <c r="AH10064" s="831" t="s">
        <v>29</v>
      </c>
      <c r="AI10064" s="831">
        <v>0</v>
      </c>
      <c r="AJ10064" s="835">
        <v>41305</v>
      </c>
      <c r="AK10064" s="831">
        <v>1949343</v>
      </c>
    </row>
    <row r="10065" spans="2:37">
      <c r="B10065" s="834" t="str">
        <f t="shared" ref="B10065:B10128" si="395">C10065&amp;"|"&amp;D10065&amp;"|"&amp;E10065&amp;"|"&amp;F10065</f>
        <v>|||</v>
      </c>
      <c r="H10065" s="835">
        <f t="shared" ref="H10065:H10128" si="396">EOMONTH(L10065,0)</f>
        <v>31</v>
      </c>
      <c r="AF10065" s="831" t="s">
        <v>10724</v>
      </c>
      <c r="AG10065" s="831" t="s">
        <v>2674</v>
      </c>
      <c r="AH10065" s="831" t="s">
        <v>2688</v>
      </c>
      <c r="AI10065" s="831">
        <v>0</v>
      </c>
      <c r="AJ10065" s="835">
        <v>41305</v>
      </c>
      <c r="AK10065" s="831">
        <v>2693419</v>
      </c>
    </row>
    <row r="10066" spans="2:37">
      <c r="B10066" s="834" t="str">
        <f t="shared" si="395"/>
        <v>|||</v>
      </c>
      <c r="H10066" s="835">
        <f t="shared" si="396"/>
        <v>31</v>
      </c>
      <c r="AF10066" s="831" t="s">
        <v>10725</v>
      </c>
      <c r="AG10066" s="831" t="s">
        <v>2674</v>
      </c>
      <c r="AH10066" s="831" t="s">
        <v>556</v>
      </c>
      <c r="AI10066" s="831">
        <v>0</v>
      </c>
      <c r="AJ10066" s="835">
        <v>41305</v>
      </c>
      <c r="AK10066" s="831">
        <v>902857</v>
      </c>
    </row>
    <row r="10067" spans="2:37">
      <c r="B10067" s="834" t="str">
        <f t="shared" si="395"/>
        <v>|||</v>
      </c>
      <c r="H10067" s="835">
        <f t="shared" si="396"/>
        <v>31</v>
      </c>
      <c r="AF10067" s="831" t="s">
        <v>10726</v>
      </c>
      <c r="AG10067" s="831" t="s">
        <v>2674</v>
      </c>
      <c r="AH10067" s="831" t="s">
        <v>555</v>
      </c>
      <c r="AI10067" s="831">
        <v>0</v>
      </c>
      <c r="AJ10067" s="835">
        <v>41305</v>
      </c>
      <c r="AK10067" s="831">
        <v>261608550</v>
      </c>
    </row>
    <row r="10068" spans="2:37">
      <c r="B10068" s="834" t="str">
        <f t="shared" si="395"/>
        <v>|||</v>
      </c>
      <c r="H10068" s="835">
        <f t="shared" si="396"/>
        <v>31</v>
      </c>
      <c r="AF10068" s="831" t="s">
        <v>10727</v>
      </c>
      <c r="AG10068" s="831" t="s">
        <v>2674</v>
      </c>
      <c r="AH10068" s="831" t="s">
        <v>554</v>
      </c>
      <c r="AI10068" s="831">
        <v>0</v>
      </c>
      <c r="AJ10068" s="835">
        <v>41305</v>
      </c>
      <c r="AK10068" s="831">
        <v>265544650</v>
      </c>
    </row>
    <row r="10069" spans="2:37">
      <c r="B10069" s="834" t="str">
        <f t="shared" si="395"/>
        <v>|||</v>
      </c>
      <c r="H10069" s="835">
        <f t="shared" si="396"/>
        <v>31</v>
      </c>
      <c r="AF10069" s="831" t="s">
        <v>10728</v>
      </c>
      <c r="AG10069" s="831" t="s">
        <v>2674</v>
      </c>
      <c r="AH10069" s="831" t="s">
        <v>553</v>
      </c>
      <c r="AI10069" s="831">
        <v>0</v>
      </c>
      <c r="AJ10069" s="835">
        <v>41305</v>
      </c>
      <c r="AK10069" s="831">
        <v>0</v>
      </c>
    </row>
    <row r="10070" spans="2:37">
      <c r="B10070" s="834" t="str">
        <f t="shared" si="395"/>
        <v>|||</v>
      </c>
      <c r="H10070" s="835">
        <f t="shared" si="396"/>
        <v>31</v>
      </c>
      <c r="AF10070" s="831" t="s">
        <v>10729</v>
      </c>
      <c r="AG10070" s="831" t="s">
        <v>2674</v>
      </c>
      <c r="AH10070" s="831" t="s">
        <v>552</v>
      </c>
      <c r="AI10070" s="831">
        <v>0</v>
      </c>
      <c r="AJ10070" s="835">
        <v>41305</v>
      </c>
      <c r="AK10070" s="831">
        <v>0</v>
      </c>
    </row>
    <row r="10071" spans="2:37">
      <c r="B10071" s="834" t="str">
        <f t="shared" si="395"/>
        <v>|||</v>
      </c>
      <c r="H10071" s="835">
        <f t="shared" si="396"/>
        <v>31</v>
      </c>
      <c r="AF10071" s="831" t="s">
        <v>10730</v>
      </c>
      <c r="AG10071" s="831" t="s">
        <v>2674</v>
      </c>
      <c r="AH10071" s="831" t="s">
        <v>551</v>
      </c>
      <c r="AI10071" s="831">
        <v>0</v>
      </c>
      <c r="AJ10071" s="835">
        <v>41305</v>
      </c>
      <c r="AK10071" s="831">
        <v>1906076</v>
      </c>
    </row>
    <row r="10072" spans="2:37">
      <c r="B10072" s="834" t="str">
        <f t="shared" si="395"/>
        <v>|||</v>
      </c>
      <c r="H10072" s="835">
        <f t="shared" si="396"/>
        <v>31</v>
      </c>
      <c r="AF10072" s="831" t="s">
        <v>10731</v>
      </c>
      <c r="AG10072" s="831" t="s">
        <v>2674</v>
      </c>
      <c r="AH10072" s="831" t="s">
        <v>550</v>
      </c>
      <c r="AI10072" s="831">
        <v>0</v>
      </c>
      <c r="AJ10072" s="835">
        <v>41305</v>
      </c>
      <c r="AK10072" s="831">
        <v>101162875</v>
      </c>
    </row>
    <row r="10073" spans="2:37">
      <c r="B10073" s="834" t="str">
        <f t="shared" si="395"/>
        <v>|||</v>
      </c>
      <c r="H10073" s="835">
        <f t="shared" si="396"/>
        <v>31</v>
      </c>
      <c r="AF10073" s="831" t="s">
        <v>10732</v>
      </c>
      <c r="AG10073" s="831" t="s">
        <v>2674</v>
      </c>
      <c r="AH10073" s="831" t="s">
        <v>562</v>
      </c>
      <c r="AI10073" s="831">
        <v>0</v>
      </c>
      <c r="AJ10073" s="835">
        <v>41305</v>
      </c>
      <c r="AK10073" s="831">
        <v>0.78385000000000005</v>
      </c>
    </row>
    <row r="10074" spans="2:37">
      <c r="B10074" s="834" t="str">
        <f t="shared" si="395"/>
        <v>|||</v>
      </c>
      <c r="H10074" s="835">
        <f t="shared" si="396"/>
        <v>31</v>
      </c>
      <c r="AF10074" s="831" t="s">
        <v>10733</v>
      </c>
      <c r="AG10074" s="831" t="s">
        <v>2674</v>
      </c>
      <c r="AH10074" s="831" t="s">
        <v>2698</v>
      </c>
      <c r="AI10074" s="831">
        <v>0</v>
      </c>
      <c r="AJ10074" s="835">
        <v>41305</v>
      </c>
      <c r="AK10074" s="831">
        <v>0.78400000000000003</v>
      </c>
    </row>
    <row r="10075" spans="2:37">
      <c r="B10075" s="834" t="str">
        <f t="shared" si="395"/>
        <v>|||</v>
      </c>
      <c r="H10075" s="835">
        <f t="shared" si="396"/>
        <v>31</v>
      </c>
      <c r="AF10075" s="831" t="s">
        <v>10734</v>
      </c>
      <c r="AG10075" s="831" t="s">
        <v>2674</v>
      </c>
      <c r="AH10075" s="831" t="s">
        <v>560</v>
      </c>
      <c r="AI10075" s="831">
        <v>0</v>
      </c>
      <c r="AJ10075" s="835">
        <v>41305</v>
      </c>
      <c r="AK10075" s="831">
        <v>0.78385000000000005</v>
      </c>
    </row>
    <row r="10076" spans="2:37">
      <c r="B10076" s="834" t="str">
        <f t="shared" si="395"/>
        <v>|||</v>
      </c>
      <c r="H10076" s="835">
        <f t="shared" si="396"/>
        <v>31</v>
      </c>
      <c r="AF10076" s="831" t="s">
        <v>10735</v>
      </c>
      <c r="AG10076" s="831" t="s">
        <v>2674</v>
      </c>
      <c r="AH10076" s="831" t="s">
        <v>559</v>
      </c>
      <c r="AI10076" s="831">
        <v>0</v>
      </c>
      <c r="AJ10076" s="835">
        <v>41305</v>
      </c>
      <c r="AK10076" s="831">
        <v>0.78486250000000002</v>
      </c>
    </row>
    <row r="10077" spans="2:37">
      <c r="B10077" s="834" t="str">
        <f t="shared" si="395"/>
        <v>|||</v>
      </c>
      <c r="H10077" s="835">
        <f t="shared" si="396"/>
        <v>31</v>
      </c>
      <c r="AF10077" s="831" t="s">
        <v>10736</v>
      </c>
      <c r="AG10077" s="831" t="s">
        <v>2674</v>
      </c>
      <c r="AH10077" s="831" t="s">
        <v>568</v>
      </c>
      <c r="AI10077" s="831">
        <v>0</v>
      </c>
      <c r="AJ10077" s="835">
        <v>41305</v>
      </c>
      <c r="AK10077" s="831">
        <v>373888864.66666698</v>
      </c>
    </row>
    <row r="10078" spans="2:37">
      <c r="B10078" s="834" t="str">
        <f t="shared" si="395"/>
        <v>|||</v>
      </c>
      <c r="H10078" s="835">
        <f t="shared" si="396"/>
        <v>31</v>
      </c>
      <c r="AF10078" s="831" t="s">
        <v>10737</v>
      </c>
      <c r="AG10078" s="831" t="s">
        <v>2674</v>
      </c>
      <c r="AH10078" s="831" t="s">
        <v>569</v>
      </c>
      <c r="AI10078" s="831">
        <v>0</v>
      </c>
      <c r="AJ10078" s="835">
        <v>41305</v>
      </c>
      <c r="AK10078" s="831">
        <v>458979290.77777803</v>
      </c>
    </row>
    <row r="10079" spans="2:37">
      <c r="B10079" s="834" t="str">
        <f t="shared" si="395"/>
        <v>|||</v>
      </c>
      <c r="H10079" s="835">
        <f t="shared" si="396"/>
        <v>31</v>
      </c>
      <c r="AF10079" s="831" t="s">
        <v>10738</v>
      </c>
      <c r="AG10079" s="831" t="s">
        <v>2674</v>
      </c>
      <c r="AH10079" s="831" t="s">
        <v>570</v>
      </c>
      <c r="AI10079" s="831">
        <v>0</v>
      </c>
      <c r="AJ10079" s="835">
        <v>41305</v>
      </c>
      <c r="AK10079" s="831">
        <v>96420088.555555597</v>
      </c>
    </row>
    <row r="10080" spans="2:37">
      <c r="B10080" s="834" t="str">
        <f t="shared" si="395"/>
        <v>|||</v>
      </c>
      <c r="H10080" s="835">
        <f t="shared" si="396"/>
        <v>31</v>
      </c>
      <c r="AF10080" s="831" t="s">
        <v>10739</v>
      </c>
      <c r="AG10080" s="831" t="s">
        <v>2674</v>
      </c>
      <c r="AH10080" s="831" t="s">
        <v>571</v>
      </c>
      <c r="AI10080" s="831">
        <v>0</v>
      </c>
      <c r="AJ10080" s="835">
        <v>41305</v>
      </c>
      <c r="AK10080" s="831">
        <v>187471539.444444</v>
      </c>
    </row>
    <row r="10081" spans="2:37">
      <c r="B10081" s="834" t="str">
        <f t="shared" si="395"/>
        <v>|||</v>
      </c>
      <c r="H10081" s="835">
        <f t="shared" si="396"/>
        <v>31</v>
      </c>
      <c r="AF10081" s="831" t="s">
        <v>10740</v>
      </c>
      <c r="AG10081" s="831" t="s">
        <v>2674</v>
      </c>
      <c r="AH10081" s="831" t="s">
        <v>573</v>
      </c>
      <c r="AI10081" s="831">
        <v>0</v>
      </c>
      <c r="AJ10081" s="835">
        <v>41305</v>
      </c>
      <c r="AK10081" s="831">
        <v>513378335</v>
      </c>
    </row>
    <row r="10082" spans="2:37">
      <c r="B10082" s="834" t="str">
        <f t="shared" si="395"/>
        <v>|||</v>
      </c>
      <c r="H10082" s="835">
        <f t="shared" si="396"/>
        <v>31</v>
      </c>
      <c r="AF10082" s="831" t="s">
        <v>10741</v>
      </c>
      <c r="AG10082" s="831" t="s">
        <v>2674</v>
      </c>
      <c r="AH10082" s="831" t="s">
        <v>574</v>
      </c>
      <c r="AI10082" s="831">
        <v>0</v>
      </c>
      <c r="AJ10082" s="835">
        <v>41305</v>
      </c>
      <c r="AK10082" s="831">
        <v>416588703.5</v>
      </c>
    </row>
    <row r="10083" spans="2:37">
      <c r="B10083" s="834" t="str">
        <f t="shared" si="395"/>
        <v>|||</v>
      </c>
      <c r="H10083" s="835">
        <f t="shared" si="396"/>
        <v>31</v>
      </c>
      <c r="AF10083" s="831" t="s">
        <v>10742</v>
      </c>
      <c r="AG10083" s="831" t="s">
        <v>2674</v>
      </c>
      <c r="AH10083" s="831" t="s">
        <v>575</v>
      </c>
      <c r="AI10083" s="831">
        <v>0</v>
      </c>
      <c r="AJ10083" s="835">
        <v>41305</v>
      </c>
      <c r="AK10083" s="831">
        <v>99023029.5</v>
      </c>
    </row>
    <row r="10084" spans="2:37">
      <c r="B10084" s="834" t="str">
        <f t="shared" si="395"/>
        <v>|||</v>
      </c>
      <c r="H10084" s="835">
        <f t="shared" si="396"/>
        <v>31</v>
      </c>
      <c r="AF10084" s="831" t="s">
        <v>10743</v>
      </c>
      <c r="AG10084" s="831" t="s">
        <v>2674</v>
      </c>
      <c r="AH10084" s="831" t="s">
        <v>576</v>
      </c>
      <c r="AI10084" s="831">
        <v>0</v>
      </c>
      <c r="AJ10084" s="835">
        <v>41305</v>
      </c>
      <c r="AK10084" s="831">
        <v>233642368.5</v>
      </c>
    </row>
    <row r="10085" spans="2:37">
      <c r="B10085" s="834" t="str">
        <f t="shared" si="395"/>
        <v>|||</v>
      </c>
      <c r="H10085" s="835">
        <f t="shared" si="396"/>
        <v>31</v>
      </c>
      <c r="AF10085" s="831" t="s">
        <v>10744</v>
      </c>
      <c r="AG10085" s="831" t="s">
        <v>2674</v>
      </c>
      <c r="AH10085" s="831" t="s">
        <v>572</v>
      </c>
      <c r="AI10085" s="831">
        <v>0</v>
      </c>
      <c r="AJ10085" s="835">
        <v>41305</v>
      </c>
      <c r="AK10085" s="831">
        <v>0</v>
      </c>
    </row>
    <row r="10086" spans="2:37">
      <c r="B10086" s="834" t="str">
        <f t="shared" si="395"/>
        <v>|||</v>
      </c>
      <c r="H10086" s="835">
        <f t="shared" si="396"/>
        <v>31</v>
      </c>
      <c r="AF10086" s="831" t="s">
        <v>10745</v>
      </c>
      <c r="AG10086" s="831" t="s">
        <v>2674</v>
      </c>
      <c r="AH10086" s="831" t="s">
        <v>577</v>
      </c>
      <c r="AI10086" s="831">
        <v>0</v>
      </c>
      <c r="AJ10086" s="835">
        <v>41305</v>
      </c>
      <c r="AK10086" s="831">
        <v>0</v>
      </c>
    </row>
    <row r="10087" spans="2:37">
      <c r="B10087" s="834" t="str">
        <f t="shared" si="395"/>
        <v>|||</v>
      </c>
      <c r="H10087" s="835">
        <f t="shared" si="396"/>
        <v>31</v>
      </c>
      <c r="AF10087" s="831" t="s">
        <v>10746</v>
      </c>
      <c r="AG10087" s="831" t="s">
        <v>2674</v>
      </c>
      <c r="AH10087" s="831" t="s">
        <v>3042</v>
      </c>
      <c r="AI10087" s="831">
        <v>0</v>
      </c>
      <c r="AJ10087" s="835">
        <v>41305</v>
      </c>
      <c r="AK10087" s="831">
        <v>0</v>
      </c>
    </row>
    <row r="10088" spans="2:37">
      <c r="B10088" s="834" t="str">
        <f t="shared" si="395"/>
        <v>|||</v>
      </c>
      <c r="H10088" s="835">
        <f t="shared" si="396"/>
        <v>31</v>
      </c>
      <c r="AF10088" s="831" t="s">
        <v>10747</v>
      </c>
      <c r="AG10088" s="831" t="s">
        <v>2674</v>
      </c>
      <c r="AH10088" s="831" t="s">
        <v>3044</v>
      </c>
      <c r="AI10088" s="831">
        <v>0</v>
      </c>
      <c r="AJ10088" s="835">
        <v>41305</v>
      </c>
      <c r="AK10088" s="831">
        <v>0</v>
      </c>
    </row>
    <row r="10089" spans="2:37">
      <c r="B10089" s="834" t="str">
        <f t="shared" si="395"/>
        <v>|||</v>
      </c>
      <c r="H10089" s="835">
        <f t="shared" si="396"/>
        <v>31</v>
      </c>
      <c r="AF10089" s="831" t="s">
        <v>10748</v>
      </c>
      <c r="AG10089" s="831" t="s">
        <v>2674</v>
      </c>
      <c r="AH10089" s="831" t="s">
        <v>580</v>
      </c>
      <c r="AI10089" s="831">
        <v>0</v>
      </c>
      <c r="AJ10089" s="835">
        <v>41305</v>
      </c>
      <c r="AK10089" s="831">
        <v>0</v>
      </c>
    </row>
    <row r="10090" spans="2:37">
      <c r="B10090" s="834" t="str">
        <f t="shared" si="395"/>
        <v>|||</v>
      </c>
      <c r="H10090" s="835">
        <f t="shared" si="396"/>
        <v>31</v>
      </c>
      <c r="AF10090" s="831" t="s">
        <v>10749</v>
      </c>
      <c r="AG10090" s="831" t="s">
        <v>2674</v>
      </c>
      <c r="AH10090" s="831" t="s">
        <v>581</v>
      </c>
      <c r="AI10090" s="831">
        <v>0</v>
      </c>
      <c r="AJ10090" s="835">
        <v>41305</v>
      </c>
      <c r="AK10090" s="831">
        <v>0</v>
      </c>
    </row>
    <row r="10091" spans="2:37">
      <c r="B10091" s="834" t="str">
        <f t="shared" si="395"/>
        <v>|||</v>
      </c>
      <c r="H10091" s="835">
        <f t="shared" si="396"/>
        <v>31</v>
      </c>
      <c r="AF10091" s="831" t="s">
        <v>10750</v>
      </c>
      <c r="AG10091" s="831" t="s">
        <v>2674</v>
      </c>
      <c r="AH10091" s="831" t="s">
        <v>105</v>
      </c>
      <c r="AI10091" s="831">
        <v>0</v>
      </c>
      <c r="AJ10091" s="835">
        <v>41305</v>
      </c>
      <c r="AK10091" s="831">
        <v>229704611</v>
      </c>
    </row>
    <row r="10092" spans="2:37">
      <c r="B10092" s="834" t="str">
        <f t="shared" si="395"/>
        <v>|||</v>
      </c>
      <c r="H10092" s="835">
        <f t="shared" si="396"/>
        <v>31</v>
      </c>
      <c r="AF10092" s="831" t="s">
        <v>10751</v>
      </c>
      <c r="AG10092" s="831" t="s">
        <v>2674</v>
      </c>
      <c r="AH10092" s="831" t="s">
        <v>3049</v>
      </c>
      <c r="AI10092" s="831">
        <v>0</v>
      </c>
      <c r="AJ10092" s="835">
        <v>41305</v>
      </c>
      <c r="AK10092" s="831">
        <v>400579663</v>
      </c>
    </row>
    <row r="10093" spans="2:37">
      <c r="B10093" s="834" t="str">
        <f t="shared" si="395"/>
        <v>|||</v>
      </c>
      <c r="H10093" s="835">
        <f t="shared" si="396"/>
        <v>31</v>
      </c>
      <c r="AF10093" s="831" t="s">
        <v>10752</v>
      </c>
      <c r="AG10093" s="831" t="s">
        <v>2674</v>
      </c>
      <c r="AH10093" s="831" t="s">
        <v>103</v>
      </c>
      <c r="AI10093" s="831">
        <v>0</v>
      </c>
      <c r="AJ10093" s="835">
        <v>41305</v>
      </c>
      <c r="AK10093" s="831">
        <v>170875052</v>
      </c>
    </row>
    <row r="10094" spans="2:37">
      <c r="B10094" s="834" t="str">
        <f t="shared" si="395"/>
        <v>|||</v>
      </c>
      <c r="H10094" s="835">
        <f t="shared" si="396"/>
        <v>31</v>
      </c>
      <c r="AF10094" s="831" t="s">
        <v>10753</v>
      </c>
      <c r="AG10094" s="831" t="s">
        <v>2674</v>
      </c>
      <c r="AH10094" s="831" t="s">
        <v>182</v>
      </c>
      <c r="AI10094" s="831">
        <v>0</v>
      </c>
      <c r="AJ10094" s="835">
        <v>41305</v>
      </c>
      <c r="AK10094" s="831">
        <v>57203676</v>
      </c>
    </row>
    <row r="10095" spans="2:37">
      <c r="B10095" s="834" t="str">
        <f t="shared" si="395"/>
        <v>|||</v>
      </c>
      <c r="H10095" s="835">
        <f t="shared" si="396"/>
        <v>31</v>
      </c>
      <c r="AF10095" s="831" t="s">
        <v>10754</v>
      </c>
      <c r="AG10095" s="831" t="s">
        <v>2674</v>
      </c>
      <c r="AH10095" s="831" t="s">
        <v>6600</v>
      </c>
      <c r="AI10095" s="831">
        <v>0</v>
      </c>
      <c r="AJ10095" s="835">
        <v>41305</v>
      </c>
      <c r="AK10095" s="831">
        <v>0</v>
      </c>
    </row>
    <row r="10096" spans="2:37">
      <c r="B10096" s="834" t="str">
        <f t="shared" si="395"/>
        <v>|||</v>
      </c>
      <c r="H10096" s="835">
        <f t="shared" si="396"/>
        <v>31</v>
      </c>
      <c r="AF10096" s="831" t="s">
        <v>10755</v>
      </c>
      <c r="AG10096" s="831" t="s">
        <v>2674</v>
      </c>
      <c r="AH10096" s="831" t="s">
        <v>6602</v>
      </c>
      <c r="AI10096" s="831">
        <v>0</v>
      </c>
      <c r="AJ10096" s="835">
        <v>41305</v>
      </c>
      <c r="AK10096" s="831">
        <v>2119961</v>
      </c>
    </row>
    <row r="10097" spans="2:37">
      <c r="B10097" s="834" t="str">
        <f t="shared" si="395"/>
        <v>|||</v>
      </c>
      <c r="H10097" s="835">
        <f t="shared" si="396"/>
        <v>31</v>
      </c>
      <c r="AF10097" s="831" t="s">
        <v>10756</v>
      </c>
      <c r="AG10097" s="831" t="s">
        <v>2674</v>
      </c>
      <c r="AH10097" s="831" t="s">
        <v>650</v>
      </c>
      <c r="AI10097" s="831">
        <v>0</v>
      </c>
      <c r="AJ10097" s="835">
        <v>41305</v>
      </c>
      <c r="AK10097" s="831">
        <v>162276642.66666701</v>
      </c>
    </row>
    <row r="10098" spans="2:37">
      <c r="B10098" s="834" t="str">
        <f t="shared" si="395"/>
        <v>|||</v>
      </c>
      <c r="H10098" s="835">
        <f t="shared" si="396"/>
        <v>31</v>
      </c>
      <c r="AF10098" s="831" t="s">
        <v>10757</v>
      </c>
      <c r="AG10098" s="831" t="s">
        <v>2674</v>
      </c>
      <c r="AH10098" s="831" t="s">
        <v>655</v>
      </c>
      <c r="AI10098" s="831">
        <v>0</v>
      </c>
      <c r="AJ10098" s="835">
        <v>41305</v>
      </c>
      <c r="AK10098" s="831">
        <v>1743639</v>
      </c>
    </row>
    <row r="10099" spans="2:37">
      <c r="B10099" s="834" t="str">
        <f t="shared" si="395"/>
        <v>|||</v>
      </c>
      <c r="H10099" s="835">
        <f t="shared" si="396"/>
        <v>31</v>
      </c>
      <c r="AF10099" s="831" t="s">
        <v>10758</v>
      </c>
      <c r="AG10099" s="831" t="s">
        <v>2674</v>
      </c>
      <c r="AH10099" s="831" t="s">
        <v>546</v>
      </c>
      <c r="AI10099" s="831">
        <v>0</v>
      </c>
      <c r="AJ10099" s="835">
        <v>41333</v>
      </c>
      <c r="AK10099" s="831">
        <v>436810603</v>
      </c>
    </row>
    <row r="10100" spans="2:37">
      <c r="B10100" s="834" t="str">
        <f t="shared" si="395"/>
        <v>|||</v>
      </c>
      <c r="H10100" s="835">
        <f t="shared" si="396"/>
        <v>31</v>
      </c>
      <c r="AF10100" s="831" t="s">
        <v>10759</v>
      </c>
      <c r="AG10100" s="831" t="s">
        <v>2674</v>
      </c>
      <c r="AH10100" s="831" t="s">
        <v>370</v>
      </c>
      <c r="AI10100" s="831">
        <v>0</v>
      </c>
      <c r="AJ10100" s="835">
        <v>41333</v>
      </c>
      <c r="AK10100" s="831">
        <v>522076176</v>
      </c>
    </row>
    <row r="10101" spans="2:37">
      <c r="B10101" s="834" t="str">
        <f t="shared" si="395"/>
        <v>|||</v>
      </c>
      <c r="H10101" s="835">
        <f t="shared" si="396"/>
        <v>31</v>
      </c>
      <c r="AF10101" s="831" t="s">
        <v>10760</v>
      </c>
      <c r="AG10101" s="831" t="s">
        <v>2674</v>
      </c>
      <c r="AH10101" s="831" t="s">
        <v>126</v>
      </c>
      <c r="AI10101" s="831">
        <v>0</v>
      </c>
      <c r="AJ10101" s="835">
        <v>41333</v>
      </c>
      <c r="AK10101" s="831">
        <v>98581107</v>
      </c>
    </row>
    <row r="10102" spans="2:37">
      <c r="B10102" s="834" t="str">
        <f t="shared" si="395"/>
        <v>|||</v>
      </c>
      <c r="H10102" s="835">
        <f t="shared" si="396"/>
        <v>31</v>
      </c>
      <c r="AF10102" s="831" t="s">
        <v>10761</v>
      </c>
      <c r="AG10102" s="831" t="s">
        <v>2674</v>
      </c>
      <c r="AH10102" s="831" t="s">
        <v>268</v>
      </c>
      <c r="AI10102" s="831">
        <v>0</v>
      </c>
      <c r="AJ10102" s="835">
        <v>41333</v>
      </c>
      <c r="AK10102" s="831">
        <v>3817884</v>
      </c>
    </row>
    <row r="10103" spans="2:37">
      <c r="B10103" s="834" t="str">
        <f t="shared" si="395"/>
        <v>|||</v>
      </c>
      <c r="H10103" s="835">
        <f t="shared" si="396"/>
        <v>31</v>
      </c>
      <c r="AF10103" s="831" t="s">
        <v>10762</v>
      </c>
      <c r="AG10103" s="831" t="s">
        <v>2674</v>
      </c>
      <c r="AH10103" s="831" t="s">
        <v>547</v>
      </c>
      <c r="AI10103" s="831">
        <v>0</v>
      </c>
      <c r="AJ10103" s="835">
        <v>41333</v>
      </c>
      <c r="AK10103" s="831">
        <v>511487760</v>
      </c>
    </row>
    <row r="10104" spans="2:37">
      <c r="B10104" s="834" t="str">
        <f t="shared" si="395"/>
        <v>|||</v>
      </c>
      <c r="H10104" s="835">
        <f t="shared" si="396"/>
        <v>31</v>
      </c>
      <c r="AF10104" s="831" t="s">
        <v>10763</v>
      </c>
      <c r="AG10104" s="831" t="s">
        <v>2674</v>
      </c>
      <c r="AH10104" s="831" t="s">
        <v>548</v>
      </c>
      <c r="AI10104" s="831">
        <v>0</v>
      </c>
      <c r="AJ10104" s="835">
        <v>41333</v>
      </c>
      <c r="AK10104" s="831">
        <v>96883184</v>
      </c>
    </row>
    <row r="10105" spans="2:37">
      <c r="B10105" s="834" t="str">
        <f t="shared" si="395"/>
        <v>|||</v>
      </c>
      <c r="H10105" s="835">
        <f t="shared" si="396"/>
        <v>31</v>
      </c>
      <c r="AF10105" s="831" t="s">
        <v>10764</v>
      </c>
      <c r="AG10105" s="831" t="s">
        <v>2674</v>
      </c>
      <c r="AH10105" s="831" t="s">
        <v>549</v>
      </c>
      <c r="AI10105" s="831">
        <v>0</v>
      </c>
      <c r="AJ10105" s="835">
        <v>41333</v>
      </c>
      <c r="AK10105" s="831">
        <v>0</v>
      </c>
    </row>
    <row r="10106" spans="2:37">
      <c r="B10106" s="834" t="str">
        <f t="shared" si="395"/>
        <v>|||</v>
      </c>
      <c r="H10106" s="835">
        <f t="shared" si="396"/>
        <v>31</v>
      </c>
      <c r="AF10106" s="831" t="s">
        <v>10765</v>
      </c>
      <c r="AG10106" s="831" t="s">
        <v>2674</v>
      </c>
      <c r="AH10106" s="831" t="s">
        <v>192</v>
      </c>
      <c r="AI10106" s="831">
        <v>0</v>
      </c>
      <c r="AJ10106" s="835">
        <v>41333</v>
      </c>
      <c r="AK10106" s="831">
        <v>-11285954</v>
      </c>
    </row>
    <row r="10107" spans="2:37">
      <c r="B10107" s="834" t="str">
        <f t="shared" si="395"/>
        <v>|||</v>
      </c>
      <c r="H10107" s="835">
        <f t="shared" si="396"/>
        <v>31</v>
      </c>
      <c r="AF10107" s="831" t="s">
        <v>10766</v>
      </c>
      <c r="AG10107" s="831" t="s">
        <v>2674</v>
      </c>
      <c r="AH10107" s="831" t="s">
        <v>558</v>
      </c>
      <c r="AI10107" s="831">
        <v>0</v>
      </c>
      <c r="AJ10107" s="835">
        <v>41333</v>
      </c>
      <c r="AK10107" s="831">
        <v>423495069</v>
      </c>
    </row>
    <row r="10108" spans="2:37">
      <c r="B10108" s="834" t="str">
        <f t="shared" si="395"/>
        <v>|||</v>
      </c>
      <c r="H10108" s="835">
        <f t="shared" si="396"/>
        <v>31</v>
      </c>
      <c r="AF10108" s="831" t="s">
        <v>10767</v>
      </c>
      <c r="AG10108" s="831" t="s">
        <v>2674</v>
      </c>
      <c r="AH10108" s="831" t="s">
        <v>65</v>
      </c>
      <c r="AI10108" s="831">
        <v>0</v>
      </c>
      <c r="AJ10108" s="835">
        <v>41333</v>
      </c>
      <c r="AK10108" s="831">
        <v>18985748</v>
      </c>
    </row>
    <row r="10109" spans="2:37">
      <c r="B10109" s="834" t="str">
        <f t="shared" si="395"/>
        <v>|||</v>
      </c>
      <c r="H10109" s="835">
        <f t="shared" si="396"/>
        <v>31</v>
      </c>
      <c r="AF10109" s="831" t="s">
        <v>10768</v>
      </c>
      <c r="AG10109" s="831" t="s">
        <v>2674</v>
      </c>
      <c r="AH10109" s="831" t="s">
        <v>89</v>
      </c>
      <c r="AI10109" s="831">
        <v>0</v>
      </c>
      <c r="AJ10109" s="835">
        <v>41333</v>
      </c>
      <c r="AK10109" s="831">
        <v>127639</v>
      </c>
    </row>
    <row r="10110" spans="2:37">
      <c r="B10110" s="834" t="str">
        <f t="shared" si="395"/>
        <v>|||</v>
      </c>
      <c r="H10110" s="835">
        <f t="shared" si="396"/>
        <v>31</v>
      </c>
      <c r="AF10110" s="831" t="s">
        <v>10769</v>
      </c>
      <c r="AG10110" s="831" t="s">
        <v>2674</v>
      </c>
      <c r="AH10110" s="831" t="s">
        <v>557</v>
      </c>
      <c r="AI10110" s="831">
        <v>0</v>
      </c>
      <c r="AJ10110" s="835">
        <v>41333</v>
      </c>
      <c r="AK10110" s="831">
        <v>130995</v>
      </c>
    </row>
    <row r="10111" spans="2:37">
      <c r="B10111" s="834" t="str">
        <f t="shared" si="395"/>
        <v>|||</v>
      </c>
      <c r="H10111" s="835">
        <f t="shared" si="396"/>
        <v>31</v>
      </c>
      <c r="AF10111" s="831" t="s">
        <v>10770</v>
      </c>
      <c r="AG10111" s="831" t="s">
        <v>2674</v>
      </c>
      <c r="AH10111" s="831" t="s">
        <v>29</v>
      </c>
      <c r="AI10111" s="831">
        <v>0</v>
      </c>
      <c r="AJ10111" s="835">
        <v>41333</v>
      </c>
      <c r="AK10111" s="831">
        <v>2238797</v>
      </c>
    </row>
    <row r="10112" spans="2:37">
      <c r="B10112" s="834" t="str">
        <f t="shared" si="395"/>
        <v>|||</v>
      </c>
      <c r="H10112" s="835">
        <f t="shared" si="396"/>
        <v>31</v>
      </c>
      <c r="AF10112" s="831" t="s">
        <v>10771</v>
      </c>
      <c r="AG10112" s="831" t="s">
        <v>2674</v>
      </c>
      <c r="AH10112" s="831" t="s">
        <v>2688</v>
      </c>
      <c r="AI10112" s="831">
        <v>0</v>
      </c>
      <c r="AJ10112" s="835">
        <v>41333</v>
      </c>
      <c r="AK10112" s="831">
        <v>2647738</v>
      </c>
    </row>
    <row r="10113" spans="2:37">
      <c r="B10113" s="834" t="str">
        <f t="shared" si="395"/>
        <v>|||</v>
      </c>
      <c r="H10113" s="835">
        <f t="shared" si="396"/>
        <v>31</v>
      </c>
      <c r="AF10113" s="831" t="s">
        <v>10772</v>
      </c>
      <c r="AG10113" s="831" t="s">
        <v>2674</v>
      </c>
      <c r="AH10113" s="831" t="s">
        <v>556</v>
      </c>
      <c r="AI10113" s="831">
        <v>0</v>
      </c>
      <c r="AJ10113" s="835">
        <v>41333</v>
      </c>
      <c r="AK10113" s="831">
        <v>902857</v>
      </c>
    </row>
    <row r="10114" spans="2:37">
      <c r="B10114" s="834" t="str">
        <f t="shared" si="395"/>
        <v>|||</v>
      </c>
      <c r="H10114" s="835">
        <f t="shared" si="396"/>
        <v>31</v>
      </c>
      <c r="AF10114" s="831" t="s">
        <v>10773</v>
      </c>
      <c r="AG10114" s="831" t="s">
        <v>2674</v>
      </c>
      <c r="AH10114" s="831" t="s">
        <v>555</v>
      </c>
      <c r="AI10114" s="831">
        <v>0</v>
      </c>
      <c r="AJ10114" s="835">
        <v>41333</v>
      </c>
      <c r="AK10114" s="831">
        <v>267734690</v>
      </c>
    </row>
    <row r="10115" spans="2:37">
      <c r="B10115" s="834" t="str">
        <f t="shared" si="395"/>
        <v>|||</v>
      </c>
      <c r="H10115" s="835">
        <f t="shared" si="396"/>
        <v>31</v>
      </c>
      <c r="AF10115" s="831" t="s">
        <v>10774</v>
      </c>
      <c r="AG10115" s="831" t="s">
        <v>2674</v>
      </c>
      <c r="AH10115" s="831" t="s">
        <v>554</v>
      </c>
      <c r="AI10115" s="831">
        <v>0</v>
      </c>
      <c r="AJ10115" s="835">
        <v>41333</v>
      </c>
      <c r="AK10115" s="831">
        <v>272030190</v>
      </c>
    </row>
    <row r="10116" spans="2:37">
      <c r="B10116" s="834" t="str">
        <f t="shared" si="395"/>
        <v>|||</v>
      </c>
      <c r="H10116" s="835">
        <f t="shared" si="396"/>
        <v>31</v>
      </c>
      <c r="AF10116" s="831" t="s">
        <v>10775</v>
      </c>
      <c r="AG10116" s="831" t="s">
        <v>2674</v>
      </c>
      <c r="AH10116" s="831" t="s">
        <v>553</v>
      </c>
      <c r="AI10116" s="831">
        <v>0</v>
      </c>
      <c r="AJ10116" s="835">
        <v>41333</v>
      </c>
      <c r="AK10116" s="831">
        <v>0</v>
      </c>
    </row>
    <row r="10117" spans="2:37">
      <c r="B10117" s="834" t="str">
        <f t="shared" si="395"/>
        <v>|||</v>
      </c>
      <c r="H10117" s="835">
        <f t="shared" si="396"/>
        <v>31</v>
      </c>
      <c r="AF10117" s="831" t="s">
        <v>10776</v>
      </c>
      <c r="AG10117" s="831" t="s">
        <v>2674</v>
      </c>
      <c r="AH10117" s="831" t="s">
        <v>552</v>
      </c>
      <c r="AI10117" s="831">
        <v>0</v>
      </c>
      <c r="AJ10117" s="835">
        <v>41333</v>
      </c>
      <c r="AK10117" s="831">
        <v>0</v>
      </c>
    </row>
    <row r="10118" spans="2:37">
      <c r="B10118" s="834" t="str">
        <f t="shared" si="395"/>
        <v>|||</v>
      </c>
      <c r="H10118" s="835">
        <f t="shared" si="396"/>
        <v>31</v>
      </c>
      <c r="AF10118" s="831" t="s">
        <v>10777</v>
      </c>
      <c r="AG10118" s="831" t="s">
        <v>2674</v>
      </c>
      <c r="AH10118" s="831" t="s">
        <v>551</v>
      </c>
      <c r="AI10118" s="831">
        <v>0</v>
      </c>
      <c r="AJ10118" s="835">
        <v>41333</v>
      </c>
      <c r="AK10118" s="831">
        <v>1930398</v>
      </c>
    </row>
    <row r="10119" spans="2:37">
      <c r="B10119" s="834" t="str">
        <f t="shared" si="395"/>
        <v>|||</v>
      </c>
      <c r="H10119" s="835">
        <f t="shared" si="396"/>
        <v>31</v>
      </c>
      <c r="AF10119" s="831" t="s">
        <v>10778</v>
      </c>
      <c r="AG10119" s="831" t="s">
        <v>2674</v>
      </c>
      <c r="AH10119" s="831" t="s">
        <v>550</v>
      </c>
      <c r="AI10119" s="831">
        <v>0</v>
      </c>
      <c r="AJ10119" s="835">
        <v>41333</v>
      </c>
      <c r="AK10119" s="831">
        <v>96883184</v>
      </c>
    </row>
    <row r="10120" spans="2:37">
      <c r="B10120" s="834" t="str">
        <f t="shared" si="395"/>
        <v>|||</v>
      </c>
      <c r="H10120" s="835">
        <f t="shared" si="396"/>
        <v>31</v>
      </c>
      <c r="AF10120" s="831" t="s">
        <v>10779</v>
      </c>
      <c r="AG10120" s="831" t="s">
        <v>2674</v>
      </c>
      <c r="AH10120" s="831" t="s">
        <v>562</v>
      </c>
      <c r="AI10120" s="831">
        <v>0</v>
      </c>
      <c r="AJ10120" s="835">
        <v>41333</v>
      </c>
      <c r="AK10120" s="831">
        <v>0.78434999999999999</v>
      </c>
    </row>
    <row r="10121" spans="2:37">
      <c r="B10121" s="834" t="str">
        <f t="shared" si="395"/>
        <v>|||</v>
      </c>
      <c r="H10121" s="835">
        <f t="shared" si="396"/>
        <v>31</v>
      </c>
      <c r="AF10121" s="831" t="s">
        <v>10780</v>
      </c>
      <c r="AG10121" s="831" t="s">
        <v>2674</v>
      </c>
      <c r="AH10121" s="831" t="s">
        <v>2698</v>
      </c>
      <c r="AI10121" s="831">
        <v>0</v>
      </c>
      <c r="AJ10121" s="835">
        <v>41333</v>
      </c>
      <c r="AK10121" s="831">
        <v>0.78385000000000005</v>
      </c>
    </row>
    <row r="10122" spans="2:37">
      <c r="B10122" s="834" t="str">
        <f t="shared" si="395"/>
        <v>|||</v>
      </c>
      <c r="H10122" s="835">
        <f t="shared" si="396"/>
        <v>31</v>
      </c>
      <c r="AF10122" s="831" t="s">
        <v>10781</v>
      </c>
      <c r="AG10122" s="831" t="s">
        <v>2674</v>
      </c>
      <c r="AH10122" s="831" t="s">
        <v>560</v>
      </c>
      <c r="AI10122" s="831">
        <v>0</v>
      </c>
      <c r="AJ10122" s="835">
        <v>41333</v>
      </c>
      <c r="AK10122" s="831">
        <v>0.78410000000000002</v>
      </c>
    </row>
    <row r="10123" spans="2:37">
      <c r="B10123" s="834" t="str">
        <f t="shared" si="395"/>
        <v>|||</v>
      </c>
      <c r="H10123" s="835">
        <f t="shared" si="396"/>
        <v>31</v>
      </c>
      <c r="AF10123" s="831" t="s">
        <v>10782</v>
      </c>
      <c r="AG10123" s="831" t="s">
        <v>2674</v>
      </c>
      <c r="AH10123" s="831" t="s">
        <v>559</v>
      </c>
      <c r="AI10123" s="831">
        <v>0</v>
      </c>
      <c r="AJ10123" s="835">
        <v>41333</v>
      </c>
      <c r="AK10123" s="831">
        <v>0.78474583333333303</v>
      </c>
    </row>
    <row r="10124" spans="2:37">
      <c r="B10124" s="834" t="str">
        <f t="shared" si="395"/>
        <v>|||</v>
      </c>
      <c r="H10124" s="835">
        <f t="shared" si="396"/>
        <v>31</v>
      </c>
      <c r="AF10124" s="831" t="s">
        <v>10783</v>
      </c>
      <c r="AG10124" s="831" t="s">
        <v>2674</v>
      </c>
      <c r="AH10124" s="831" t="s">
        <v>568</v>
      </c>
      <c r="AI10124" s="831">
        <v>0</v>
      </c>
      <c r="AJ10124" s="835">
        <v>41333</v>
      </c>
      <c r="AK10124" s="831">
        <v>380181038.5</v>
      </c>
    </row>
    <row r="10125" spans="2:37">
      <c r="B10125" s="834" t="str">
        <f t="shared" si="395"/>
        <v>|||</v>
      </c>
      <c r="H10125" s="835">
        <f t="shared" si="396"/>
        <v>31</v>
      </c>
      <c r="AF10125" s="831" t="s">
        <v>10784</v>
      </c>
      <c r="AG10125" s="831" t="s">
        <v>2674</v>
      </c>
      <c r="AH10125" s="831" t="s">
        <v>569</v>
      </c>
      <c r="AI10125" s="831">
        <v>0</v>
      </c>
      <c r="AJ10125" s="835">
        <v>41333</v>
      </c>
      <c r="AK10125" s="831">
        <v>465288979.30000001</v>
      </c>
    </row>
    <row r="10126" spans="2:37">
      <c r="B10126" s="834" t="str">
        <f t="shared" si="395"/>
        <v>|||</v>
      </c>
      <c r="H10126" s="835">
        <f t="shared" si="396"/>
        <v>31</v>
      </c>
      <c r="AF10126" s="831" t="s">
        <v>10785</v>
      </c>
      <c r="AG10126" s="831" t="s">
        <v>2674</v>
      </c>
      <c r="AH10126" s="831" t="s">
        <v>570</v>
      </c>
      <c r="AI10126" s="831">
        <v>0</v>
      </c>
      <c r="AJ10126" s="835">
        <v>41333</v>
      </c>
      <c r="AK10126" s="831">
        <v>96636190.400000006</v>
      </c>
    </row>
    <row r="10127" spans="2:37">
      <c r="B10127" s="834" t="str">
        <f t="shared" si="395"/>
        <v>|||</v>
      </c>
      <c r="H10127" s="835">
        <f t="shared" si="396"/>
        <v>31</v>
      </c>
      <c r="AF10127" s="831" t="s">
        <v>10786</v>
      </c>
      <c r="AG10127" s="831" t="s">
        <v>2674</v>
      </c>
      <c r="AH10127" s="831" t="s">
        <v>571</v>
      </c>
      <c r="AI10127" s="831">
        <v>0</v>
      </c>
      <c r="AJ10127" s="835">
        <v>41333</v>
      </c>
      <c r="AK10127" s="831">
        <v>192024019</v>
      </c>
    </row>
    <row r="10128" spans="2:37">
      <c r="B10128" s="834" t="str">
        <f t="shared" si="395"/>
        <v>|||</v>
      </c>
      <c r="H10128" s="835">
        <f t="shared" si="396"/>
        <v>31</v>
      </c>
      <c r="AF10128" s="831" t="s">
        <v>10787</v>
      </c>
      <c r="AG10128" s="831" t="s">
        <v>2674</v>
      </c>
      <c r="AH10128" s="831" t="s">
        <v>573</v>
      </c>
      <c r="AI10128" s="831">
        <v>0</v>
      </c>
      <c r="AJ10128" s="835">
        <v>41333</v>
      </c>
      <c r="AK10128" s="831">
        <v>516277615.33333302</v>
      </c>
    </row>
    <row r="10129" spans="2:37">
      <c r="B10129" s="834" t="str">
        <f t="shared" ref="B10129:B10192" si="397">C10129&amp;"|"&amp;D10129&amp;"|"&amp;E10129&amp;"|"&amp;F10129</f>
        <v>|||</v>
      </c>
      <c r="H10129" s="835">
        <f t="shared" ref="H10129:H10192" si="398">EOMONTH(L10129,0)</f>
        <v>31</v>
      </c>
      <c r="AF10129" s="831" t="s">
        <v>10788</v>
      </c>
      <c r="AG10129" s="831" t="s">
        <v>2674</v>
      </c>
      <c r="AH10129" s="831" t="s">
        <v>574</v>
      </c>
      <c r="AI10129" s="831">
        <v>0</v>
      </c>
      <c r="AJ10129" s="835">
        <v>41333</v>
      </c>
      <c r="AK10129" s="831">
        <v>423329336.66666698</v>
      </c>
    </row>
    <row r="10130" spans="2:37">
      <c r="B10130" s="834" t="str">
        <f t="shared" si="397"/>
        <v>|||</v>
      </c>
      <c r="H10130" s="835">
        <f t="shared" si="398"/>
        <v>31</v>
      </c>
      <c r="AF10130" s="831" t="s">
        <v>10789</v>
      </c>
      <c r="AG10130" s="831" t="s">
        <v>2674</v>
      </c>
      <c r="AH10130" s="831" t="s">
        <v>575</v>
      </c>
      <c r="AI10130" s="831">
        <v>0</v>
      </c>
      <c r="AJ10130" s="835">
        <v>41333</v>
      </c>
      <c r="AK10130" s="831">
        <v>98875722</v>
      </c>
    </row>
    <row r="10131" spans="2:37">
      <c r="B10131" s="834" t="str">
        <f t="shared" si="397"/>
        <v>|||</v>
      </c>
      <c r="H10131" s="835">
        <f t="shared" si="398"/>
        <v>31</v>
      </c>
      <c r="AF10131" s="831" t="s">
        <v>10790</v>
      </c>
      <c r="AG10131" s="831" t="s">
        <v>2674</v>
      </c>
      <c r="AH10131" s="831" t="s">
        <v>576</v>
      </c>
      <c r="AI10131" s="831">
        <v>0</v>
      </c>
      <c r="AJ10131" s="835">
        <v>41333</v>
      </c>
      <c r="AK10131" s="831">
        <v>233427024</v>
      </c>
    </row>
    <row r="10132" spans="2:37">
      <c r="B10132" s="834" t="str">
        <f t="shared" si="397"/>
        <v>|||</v>
      </c>
      <c r="H10132" s="835">
        <f t="shared" si="398"/>
        <v>31</v>
      </c>
      <c r="AF10132" s="831" t="s">
        <v>10791</v>
      </c>
      <c r="AG10132" s="831" t="s">
        <v>2674</v>
      </c>
      <c r="AH10132" s="831" t="s">
        <v>572</v>
      </c>
      <c r="AI10132" s="831">
        <v>0</v>
      </c>
      <c r="AJ10132" s="835">
        <v>41333</v>
      </c>
      <c r="AK10132" s="831">
        <v>0</v>
      </c>
    </row>
    <row r="10133" spans="2:37">
      <c r="B10133" s="834" t="str">
        <f t="shared" si="397"/>
        <v>|||</v>
      </c>
      <c r="H10133" s="835">
        <f t="shared" si="398"/>
        <v>31</v>
      </c>
      <c r="AF10133" s="831" t="s">
        <v>10792</v>
      </c>
      <c r="AG10133" s="831" t="s">
        <v>2674</v>
      </c>
      <c r="AH10133" s="831" t="s">
        <v>577</v>
      </c>
      <c r="AI10133" s="831">
        <v>0</v>
      </c>
      <c r="AJ10133" s="835">
        <v>41333</v>
      </c>
      <c r="AK10133" s="831">
        <v>0</v>
      </c>
    </row>
    <row r="10134" spans="2:37">
      <c r="B10134" s="834" t="str">
        <f t="shared" si="397"/>
        <v>|||</v>
      </c>
      <c r="H10134" s="835">
        <f t="shared" si="398"/>
        <v>31</v>
      </c>
      <c r="AF10134" s="831" t="s">
        <v>10793</v>
      </c>
      <c r="AG10134" s="831" t="s">
        <v>2674</v>
      </c>
      <c r="AH10134" s="831" t="s">
        <v>3042</v>
      </c>
      <c r="AI10134" s="831">
        <v>0</v>
      </c>
      <c r="AJ10134" s="835">
        <v>41333</v>
      </c>
      <c r="AK10134" s="831">
        <v>0</v>
      </c>
    </row>
    <row r="10135" spans="2:37">
      <c r="B10135" s="834" t="str">
        <f t="shared" si="397"/>
        <v>|||</v>
      </c>
      <c r="H10135" s="835">
        <f t="shared" si="398"/>
        <v>31</v>
      </c>
      <c r="AF10135" s="831" t="s">
        <v>10794</v>
      </c>
      <c r="AG10135" s="831" t="s">
        <v>2674</v>
      </c>
      <c r="AH10135" s="831" t="s">
        <v>3044</v>
      </c>
      <c r="AI10135" s="831">
        <v>0</v>
      </c>
      <c r="AJ10135" s="835">
        <v>41333</v>
      </c>
      <c r="AK10135" s="831">
        <v>0</v>
      </c>
    </row>
    <row r="10136" spans="2:37">
      <c r="B10136" s="834" t="str">
        <f t="shared" si="397"/>
        <v>|||</v>
      </c>
      <c r="H10136" s="835">
        <f t="shared" si="398"/>
        <v>31</v>
      </c>
      <c r="AF10136" s="831" t="s">
        <v>10795</v>
      </c>
      <c r="AG10136" s="831" t="s">
        <v>2674</v>
      </c>
      <c r="AH10136" s="831" t="s">
        <v>580</v>
      </c>
      <c r="AI10136" s="831">
        <v>0</v>
      </c>
      <c r="AJ10136" s="835">
        <v>41333</v>
      </c>
      <c r="AK10136" s="831">
        <v>0</v>
      </c>
    </row>
    <row r="10137" spans="2:37">
      <c r="B10137" s="834" t="str">
        <f t="shared" si="397"/>
        <v>|||</v>
      </c>
      <c r="H10137" s="835">
        <f t="shared" si="398"/>
        <v>31</v>
      </c>
      <c r="AF10137" s="831" t="s">
        <v>10796</v>
      </c>
      <c r="AG10137" s="831" t="s">
        <v>2674</v>
      </c>
      <c r="AH10137" s="831" t="s">
        <v>581</v>
      </c>
      <c r="AI10137" s="831">
        <v>0</v>
      </c>
      <c r="AJ10137" s="835">
        <v>41333</v>
      </c>
      <c r="AK10137" s="831">
        <v>0</v>
      </c>
    </row>
    <row r="10138" spans="2:37">
      <c r="B10138" s="834" t="str">
        <f t="shared" si="397"/>
        <v>|||</v>
      </c>
      <c r="H10138" s="835">
        <f t="shared" si="398"/>
        <v>31</v>
      </c>
      <c r="AF10138" s="831" t="s">
        <v>10797</v>
      </c>
      <c r="AG10138" s="831" t="s">
        <v>2674</v>
      </c>
      <c r="AH10138" s="831" t="s">
        <v>105</v>
      </c>
      <c r="AI10138" s="831">
        <v>0</v>
      </c>
      <c r="AJ10138" s="835">
        <v>41333</v>
      </c>
      <c r="AK10138" s="831">
        <v>232996335</v>
      </c>
    </row>
    <row r="10139" spans="2:37">
      <c r="B10139" s="834" t="str">
        <f t="shared" si="397"/>
        <v>|||</v>
      </c>
      <c r="H10139" s="835">
        <f t="shared" si="398"/>
        <v>31</v>
      </c>
      <c r="AF10139" s="831" t="s">
        <v>10798</v>
      </c>
      <c r="AG10139" s="831" t="s">
        <v>2674</v>
      </c>
      <c r="AH10139" s="831" t="s">
        <v>3049</v>
      </c>
      <c r="AI10139" s="831">
        <v>0</v>
      </c>
      <c r="AJ10139" s="835">
        <v>41333</v>
      </c>
      <c r="AK10139" s="831">
        <v>409742104</v>
      </c>
    </row>
    <row r="10140" spans="2:37">
      <c r="B10140" s="834" t="str">
        <f t="shared" si="397"/>
        <v>|||</v>
      </c>
      <c r="H10140" s="835">
        <f t="shared" si="398"/>
        <v>31</v>
      </c>
      <c r="AF10140" s="831" t="s">
        <v>10799</v>
      </c>
      <c r="AG10140" s="831" t="s">
        <v>2674</v>
      </c>
      <c r="AH10140" s="831" t="s">
        <v>103</v>
      </c>
      <c r="AI10140" s="831">
        <v>0</v>
      </c>
      <c r="AJ10140" s="835">
        <v>41333</v>
      </c>
      <c r="AK10140" s="831">
        <v>176745769</v>
      </c>
    </row>
    <row r="10141" spans="2:37">
      <c r="B10141" s="834" t="str">
        <f t="shared" si="397"/>
        <v>|||</v>
      </c>
      <c r="H10141" s="835">
        <f t="shared" si="398"/>
        <v>31</v>
      </c>
      <c r="AF10141" s="831" t="s">
        <v>10800</v>
      </c>
      <c r="AG10141" s="831" t="s">
        <v>2674</v>
      </c>
      <c r="AH10141" s="831" t="s">
        <v>182</v>
      </c>
      <c r="AI10141" s="831">
        <v>0</v>
      </c>
      <c r="AJ10141" s="835">
        <v>41333</v>
      </c>
      <c r="AK10141" s="831">
        <v>55637232</v>
      </c>
    </row>
    <row r="10142" spans="2:37">
      <c r="B10142" s="834" t="str">
        <f t="shared" si="397"/>
        <v>|||</v>
      </c>
      <c r="H10142" s="835">
        <f t="shared" si="398"/>
        <v>31</v>
      </c>
      <c r="AF10142" s="831" t="s">
        <v>10801</v>
      </c>
      <c r="AG10142" s="831" t="s">
        <v>2674</v>
      </c>
      <c r="AH10142" s="831" t="s">
        <v>6600</v>
      </c>
      <c r="AI10142" s="831">
        <v>0</v>
      </c>
      <c r="AJ10142" s="835">
        <v>41333</v>
      </c>
      <c r="AK10142" s="831">
        <v>0</v>
      </c>
    </row>
    <row r="10143" spans="2:37">
      <c r="B10143" s="834" t="str">
        <f t="shared" si="397"/>
        <v>|||</v>
      </c>
      <c r="H10143" s="835">
        <f t="shared" si="398"/>
        <v>31</v>
      </c>
      <c r="AF10143" s="831" t="s">
        <v>10802</v>
      </c>
      <c r="AG10143" s="831" t="s">
        <v>2674</v>
      </c>
      <c r="AH10143" s="831" t="s">
        <v>6602</v>
      </c>
      <c r="AI10143" s="831">
        <v>0</v>
      </c>
      <c r="AJ10143" s="835">
        <v>41333</v>
      </c>
      <c r="AK10143" s="831">
        <v>3817884</v>
      </c>
    </row>
    <row r="10144" spans="2:37">
      <c r="B10144" s="834" t="str">
        <f t="shared" si="397"/>
        <v>|||</v>
      </c>
      <c r="H10144" s="835">
        <f t="shared" si="398"/>
        <v>31</v>
      </c>
      <c r="AF10144" s="831" t="s">
        <v>10803</v>
      </c>
      <c r="AG10144" s="831" t="s">
        <v>2674</v>
      </c>
      <c r="AH10144" s="831" t="s">
        <v>650</v>
      </c>
      <c r="AI10144" s="831">
        <v>0</v>
      </c>
      <c r="AJ10144" s="835">
        <v>41333</v>
      </c>
      <c r="AK10144" s="831">
        <v>163723555.30000001</v>
      </c>
    </row>
    <row r="10145" spans="2:37">
      <c r="B10145" s="834" t="str">
        <f t="shared" si="397"/>
        <v>|||</v>
      </c>
      <c r="H10145" s="835">
        <f t="shared" si="398"/>
        <v>31</v>
      </c>
      <c r="AF10145" s="831" t="s">
        <v>10804</v>
      </c>
      <c r="AG10145" s="831" t="s">
        <v>2674</v>
      </c>
      <c r="AH10145" s="831" t="s">
        <v>655</v>
      </c>
      <c r="AI10145" s="831">
        <v>0</v>
      </c>
      <c r="AJ10145" s="835">
        <v>41333</v>
      </c>
      <c r="AK10145" s="831">
        <v>1851569</v>
      </c>
    </row>
    <row r="10146" spans="2:37">
      <c r="B10146" s="834" t="str">
        <f t="shared" si="397"/>
        <v>|||</v>
      </c>
      <c r="H10146" s="835">
        <f t="shared" si="398"/>
        <v>31</v>
      </c>
      <c r="AF10146" s="831" t="s">
        <v>10805</v>
      </c>
      <c r="AG10146" s="831" t="s">
        <v>2674</v>
      </c>
      <c r="AH10146" s="831" t="s">
        <v>546</v>
      </c>
      <c r="AI10146" s="831">
        <v>0</v>
      </c>
      <c r="AJ10146" s="835">
        <v>41364</v>
      </c>
      <c r="AK10146" s="831">
        <v>455655641</v>
      </c>
    </row>
    <row r="10147" spans="2:37">
      <c r="B10147" s="834" t="str">
        <f t="shared" si="397"/>
        <v>|||</v>
      </c>
      <c r="H10147" s="835">
        <f t="shared" si="398"/>
        <v>31</v>
      </c>
      <c r="AF10147" s="831" t="s">
        <v>10806</v>
      </c>
      <c r="AG10147" s="831" t="s">
        <v>2674</v>
      </c>
      <c r="AH10147" s="831" t="s">
        <v>370</v>
      </c>
      <c r="AI10147" s="831">
        <v>0</v>
      </c>
      <c r="AJ10147" s="835">
        <v>41364</v>
      </c>
      <c r="AK10147" s="831">
        <v>548973661</v>
      </c>
    </row>
    <row r="10148" spans="2:37">
      <c r="B10148" s="834" t="str">
        <f t="shared" si="397"/>
        <v>|||</v>
      </c>
      <c r="H10148" s="835">
        <f t="shared" si="398"/>
        <v>31</v>
      </c>
      <c r="AF10148" s="831" t="s">
        <v>10807</v>
      </c>
      <c r="AG10148" s="831" t="s">
        <v>2674</v>
      </c>
      <c r="AH10148" s="831" t="s">
        <v>126</v>
      </c>
      <c r="AI10148" s="831">
        <v>0</v>
      </c>
      <c r="AJ10148" s="835">
        <v>41364</v>
      </c>
      <c r="AK10148" s="831">
        <v>100809389</v>
      </c>
    </row>
    <row r="10149" spans="2:37">
      <c r="B10149" s="834" t="str">
        <f t="shared" si="397"/>
        <v>|||</v>
      </c>
      <c r="H10149" s="835">
        <f t="shared" si="398"/>
        <v>31</v>
      </c>
      <c r="AF10149" s="831" t="s">
        <v>10808</v>
      </c>
      <c r="AG10149" s="831" t="s">
        <v>2674</v>
      </c>
      <c r="AH10149" s="831" t="s">
        <v>268</v>
      </c>
      <c r="AI10149" s="831">
        <v>0</v>
      </c>
      <c r="AJ10149" s="835">
        <v>41364</v>
      </c>
      <c r="AK10149" s="831">
        <v>6046166</v>
      </c>
    </row>
    <row r="10150" spans="2:37">
      <c r="B10150" s="834" t="str">
        <f t="shared" si="397"/>
        <v>|||</v>
      </c>
      <c r="H10150" s="835">
        <f t="shared" si="398"/>
        <v>31</v>
      </c>
      <c r="AF10150" s="831" t="s">
        <v>10809</v>
      </c>
      <c r="AG10150" s="831" t="s">
        <v>2674</v>
      </c>
      <c r="AH10150" s="831" t="s">
        <v>547</v>
      </c>
      <c r="AI10150" s="831">
        <v>0</v>
      </c>
      <c r="AJ10150" s="835">
        <v>41364</v>
      </c>
      <c r="AK10150" s="831">
        <v>511487760</v>
      </c>
    </row>
    <row r="10151" spans="2:37">
      <c r="B10151" s="834" t="str">
        <f t="shared" si="397"/>
        <v>|||</v>
      </c>
      <c r="H10151" s="835">
        <f t="shared" si="398"/>
        <v>31</v>
      </c>
      <c r="AF10151" s="831" t="s">
        <v>10810</v>
      </c>
      <c r="AG10151" s="831" t="s">
        <v>2674</v>
      </c>
      <c r="AH10151" s="831" t="s">
        <v>548</v>
      </c>
      <c r="AI10151" s="831">
        <v>0</v>
      </c>
      <c r="AJ10151" s="835">
        <v>41364</v>
      </c>
      <c r="AK10151" s="831">
        <v>96883184</v>
      </c>
    </row>
    <row r="10152" spans="2:37">
      <c r="B10152" s="834" t="str">
        <f t="shared" si="397"/>
        <v>|||</v>
      </c>
      <c r="H10152" s="835">
        <f t="shared" si="398"/>
        <v>31</v>
      </c>
      <c r="AF10152" s="831" t="s">
        <v>10811</v>
      </c>
      <c r="AG10152" s="831" t="s">
        <v>2674</v>
      </c>
      <c r="AH10152" s="831" t="s">
        <v>549</v>
      </c>
      <c r="AI10152" s="831">
        <v>0</v>
      </c>
      <c r="AJ10152" s="835">
        <v>41364</v>
      </c>
      <c r="AK10152" s="831">
        <v>0</v>
      </c>
    </row>
    <row r="10153" spans="2:37">
      <c r="B10153" s="834" t="str">
        <f t="shared" si="397"/>
        <v>|||</v>
      </c>
      <c r="H10153" s="835">
        <f t="shared" si="398"/>
        <v>31</v>
      </c>
      <c r="AF10153" s="831" t="s">
        <v>10812</v>
      </c>
      <c r="AG10153" s="831" t="s">
        <v>2674</v>
      </c>
      <c r="AH10153" s="831" t="s">
        <v>192</v>
      </c>
      <c r="AI10153" s="831">
        <v>0</v>
      </c>
      <c r="AJ10153" s="835">
        <v>41364</v>
      </c>
      <c r="AK10153" s="831">
        <v>-11725074</v>
      </c>
    </row>
    <row r="10154" spans="2:37">
      <c r="B10154" s="834" t="str">
        <f t="shared" si="397"/>
        <v>|||</v>
      </c>
      <c r="H10154" s="835">
        <f t="shared" si="398"/>
        <v>31</v>
      </c>
      <c r="AF10154" s="831" t="s">
        <v>10813</v>
      </c>
      <c r="AG10154" s="831" t="s">
        <v>2674</v>
      </c>
      <c r="AH10154" s="831" t="s">
        <v>558</v>
      </c>
      <c r="AI10154" s="831">
        <v>0</v>
      </c>
      <c r="AJ10154" s="835">
        <v>41364</v>
      </c>
      <c r="AK10154" s="831">
        <v>448164272</v>
      </c>
    </row>
    <row r="10155" spans="2:37">
      <c r="B10155" s="834" t="str">
        <f t="shared" si="397"/>
        <v>|||</v>
      </c>
      <c r="H10155" s="835">
        <f t="shared" si="398"/>
        <v>31</v>
      </c>
      <c r="AF10155" s="831" t="s">
        <v>10814</v>
      </c>
      <c r="AG10155" s="831" t="s">
        <v>2674</v>
      </c>
      <c r="AH10155" s="831" t="s">
        <v>65</v>
      </c>
      <c r="AI10155" s="831">
        <v>0</v>
      </c>
      <c r="AJ10155" s="835">
        <v>41364</v>
      </c>
      <c r="AK10155" s="831">
        <v>27883165</v>
      </c>
    </row>
    <row r="10156" spans="2:37">
      <c r="B10156" s="834" t="str">
        <f t="shared" si="397"/>
        <v>|||</v>
      </c>
      <c r="H10156" s="835">
        <f t="shared" si="398"/>
        <v>31</v>
      </c>
      <c r="AF10156" s="831" t="s">
        <v>10815</v>
      </c>
      <c r="AG10156" s="831" t="s">
        <v>2674</v>
      </c>
      <c r="AH10156" s="831" t="s">
        <v>89</v>
      </c>
      <c r="AI10156" s="831">
        <v>0</v>
      </c>
      <c r="AJ10156" s="835">
        <v>41364</v>
      </c>
      <c r="AK10156" s="831">
        <v>129296</v>
      </c>
    </row>
    <row r="10157" spans="2:37">
      <c r="B10157" s="834" t="str">
        <f t="shared" si="397"/>
        <v>|||</v>
      </c>
      <c r="H10157" s="835">
        <f t="shared" si="398"/>
        <v>31</v>
      </c>
      <c r="AF10157" s="831" t="s">
        <v>10816</v>
      </c>
      <c r="AG10157" s="831" t="s">
        <v>2674</v>
      </c>
      <c r="AH10157" s="831" t="s">
        <v>557</v>
      </c>
      <c r="AI10157" s="831">
        <v>0</v>
      </c>
      <c r="AJ10157" s="835">
        <v>41364</v>
      </c>
      <c r="AK10157" s="831">
        <v>133005</v>
      </c>
    </row>
    <row r="10158" spans="2:37">
      <c r="B10158" s="834" t="str">
        <f t="shared" si="397"/>
        <v>|||</v>
      </c>
      <c r="H10158" s="835">
        <f t="shared" si="398"/>
        <v>31</v>
      </c>
      <c r="AF10158" s="831" t="s">
        <v>10817</v>
      </c>
      <c r="AG10158" s="831" t="s">
        <v>2674</v>
      </c>
      <c r="AH10158" s="831" t="s">
        <v>29</v>
      </c>
      <c r="AI10158" s="831">
        <v>0</v>
      </c>
      <c r="AJ10158" s="835">
        <v>41364</v>
      </c>
      <c r="AK10158" s="831">
        <v>2674773</v>
      </c>
    </row>
    <row r="10159" spans="2:37">
      <c r="B10159" s="834" t="str">
        <f t="shared" si="397"/>
        <v>|||</v>
      </c>
      <c r="H10159" s="835">
        <f t="shared" si="398"/>
        <v>31</v>
      </c>
      <c r="AF10159" s="831" t="s">
        <v>10818</v>
      </c>
      <c r="AG10159" s="831" t="s">
        <v>2674</v>
      </c>
      <c r="AH10159" s="831" t="s">
        <v>2688</v>
      </c>
      <c r="AI10159" s="831">
        <v>0</v>
      </c>
      <c r="AJ10159" s="835">
        <v>41364</v>
      </c>
      <c r="AK10159" s="831">
        <v>2715490</v>
      </c>
    </row>
    <row r="10160" spans="2:37">
      <c r="B10160" s="834" t="str">
        <f t="shared" si="397"/>
        <v>|||</v>
      </c>
      <c r="H10160" s="835">
        <f t="shared" si="398"/>
        <v>31</v>
      </c>
      <c r="AF10160" s="831" t="s">
        <v>10819</v>
      </c>
      <c r="AG10160" s="831" t="s">
        <v>2674</v>
      </c>
      <c r="AH10160" s="831" t="s">
        <v>556</v>
      </c>
      <c r="AI10160" s="831">
        <v>0</v>
      </c>
      <c r="AJ10160" s="835">
        <v>41364</v>
      </c>
      <c r="AK10160" s="831">
        <v>902857</v>
      </c>
    </row>
    <row r="10161" spans="2:37">
      <c r="B10161" s="834" t="str">
        <f t="shared" si="397"/>
        <v>|||</v>
      </c>
      <c r="H10161" s="835">
        <f t="shared" si="398"/>
        <v>31</v>
      </c>
      <c r="AF10161" s="831" t="s">
        <v>10820</v>
      </c>
      <c r="AG10161" s="831" t="s">
        <v>2674</v>
      </c>
      <c r="AH10161" s="831" t="s">
        <v>555</v>
      </c>
      <c r="AI10161" s="831">
        <v>0</v>
      </c>
      <c r="AJ10161" s="835">
        <v>41364</v>
      </c>
      <c r="AK10161" s="831">
        <v>285158930</v>
      </c>
    </row>
    <row r="10162" spans="2:37">
      <c r="B10162" s="834" t="str">
        <f t="shared" si="397"/>
        <v>|||</v>
      </c>
      <c r="H10162" s="835">
        <f t="shared" si="398"/>
        <v>31</v>
      </c>
      <c r="AF10162" s="831" t="s">
        <v>10821</v>
      </c>
      <c r="AG10162" s="831" t="s">
        <v>2674</v>
      </c>
      <c r="AH10162" s="831" t="s">
        <v>554</v>
      </c>
      <c r="AI10162" s="831">
        <v>0</v>
      </c>
      <c r="AJ10162" s="835">
        <v>41364</v>
      </c>
      <c r="AK10162" s="831">
        <v>281381290</v>
      </c>
    </row>
    <row r="10163" spans="2:37">
      <c r="B10163" s="834" t="str">
        <f t="shared" si="397"/>
        <v>|||</v>
      </c>
      <c r="H10163" s="835">
        <f t="shared" si="398"/>
        <v>31</v>
      </c>
      <c r="AF10163" s="831" t="s">
        <v>10822</v>
      </c>
      <c r="AG10163" s="831" t="s">
        <v>2674</v>
      </c>
      <c r="AH10163" s="831" t="s">
        <v>553</v>
      </c>
      <c r="AI10163" s="831">
        <v>0</v>
      </c>
      <c r="AJ10163" s="835">
        <v>41364</v>
      </c>
      <c r="AK10163" s="831">
        <v>0</v>
      </c>
    </row>
    <row r="10164" spans="2:37">
      <c r="B10164" s="834" t="str">
        <f t="shared" si="397"/>
        <v>|||</v>
      </c>
      <c r="H10164" s="835">
        <f t="shared" si="398"/>
        <v>31</v>
      </c>
      <c r="AF10164" s="831" t="s">
        <v>10823</v>
      </c>
      <c r="AG10164" s="831" t="s">
        <v>2674</v>
      </c>
      <c r="AH10164" s="831" t="s">
        <v>552</v>
      </c>
      <c r="AI10164" s="831">
        <v>0</v>
      </c>
      <c r="AJ10164" s="835">
        <v>41364</v>
      </c>
      <c r="AK10164" s="831">
        <v>0</v>
      </c>
    </row>
    <row r="10165" spans="2:37">
      <c r="B10165" s="834" t="str">
        <f t="shared" si="397"/>
        <v>|||</v>
      </c>
      <c r="H10165" s="835">
        <f t="shared" si="398"/>
        <v>31</v>
      </c>
      <c r="AF10165" s="831" t="s">
        <v>10824</v>
      </c>
      <c r="AG10165" s="831" t="s">
        <v>2674</v>
      </c>
      <c r="AH10165" s="831" t="s">
        <v>551</v>
      </c>
      <c r="AI10165" s="831">
        <v>0</v>
      </c>
      <c r="AJ10165" s="835">
        <v>41364</v>
      </c>
      <c r="AK10165" s="831">
        <v>2175856</v>
      </c>
    </row>
    <row r="10166" spans="2:37">
      <c r="B10166" s="834" t="str">
        <f t="shared" si="397"/>
        <v>|||</v>
      </c>
      <c r="H10166" s="835">
        <f t="shared" si="398"/>
        <v>31</v>
      </c>
      <c r="AF10166" s="831" t="s">
        <v>10825</v>
      </c>
      <c r="AG10166" s="831" t="s">
        <v>2674</v>
      </c>
      <c r="AH10166" s="831" t="s">
        <v>550</v>
      </c>
      <c r="AI10166" s="831">
        <v>0</v>
      </c>
      <c r="AJ10166" s="835">
        <v>41364</v>
      </c>
      <c r="AK10166" s="831">
        <v>98581107</v>
      </c>
    </row>
    <row r="10167" spans="2:37">
      <c r="B10167" s="834" t="str">
        <f t="shared" si="397"/>
        <v>|||</v>
      </c>
      <c r="H10167" s="835">
        <f t="shared" si="398"/>
        <v>31</v>
      </c>
      <c r="AF10167" s="831" t="s">
        <v>10826</v>
      </c>
      <c r="AG10167" s="831" t="s">
        <v>2674</v>
      </c>
      <c r="AH10167" s="831" t="s">
        <v>562</v>
      </c>
      <c r="AI10167" s="831">
        <v>0</v>
      </c>
      <c r="AJ10167" s="835">
        <v>41364</v>
      </c>
      <c r="AK10167" s="831">
        <v>0.78425</v>
      </c>
    </row>
    <row r="10168" spans="2:37">
      <c r="B10168" s="834" t="str">
        <f t="shared" si="397"/>
        <v>|||</v>
      </c>
      <c r="H10168" s="835">
        <f t="shared" si="398"/>
        <v>31</v>
      </c>
      <c r="AF10168" s="831" t="s">
        <v>10827</v>
      </c>
      <c r="AG10168" s="831" t="s">
        <v>2674</v>
      </c>
      <c r="AH10168" s="831" t="s">
        <v>2698</v>
      </c>
      <c r="AI10168" s="831">
        <v>0</v>
      </c>
      <c r="AJ10168" s="835">
        <v>41364</v>
      </c>
      <c r="AK10168" s="831">
        <v>0.78434999999999999</v>
      </c>
    </row>
    <row r="10169" spans="2:37">
      <c r="B10169" s="834" t="str">
        <f t="shared" si="397"/>
        <v>|||</v>
      </c>
      <c r="H10169" s="835">
        <f t="shared" si="398"/>
        <v>31</v>
      </c>
      <c r="AF10169" s="831" t="s">
        <v>10828</v>
      </c>
      <c r="AG10169" s="831" t="s">
        <v>2674</v>
      </c>
      <c r="AH10169" s="831" t="s">
        <v>560</v>
      </c>
      <c r="AI10169" s="831">
        <v>0</v>
      </c>
      <c r="AJ10169" s="835">
        <v>41364</v>
      </c>
      <c r="AK10169" s="831">
        <v>0.78415000000000001</v>
      </c>
    </row>
    <row r="10170" spans="2:37">
      <c r="B10170" s="834" t="str">
        <f t="shared" si="397"/>
        <v>|||</v>
      </c>
      <c r="H10170" s="835">
        <f t="shared" si="398"/>
        <v>31</v>
      </c>
      <c r="AF10170" s="831" t="s">
        <v>10829</v>
      </c>
      <c r="AG10170" s="831" t="s">
        <v>2674</v>
      </c>
      <c r="AH10170" s="831" t="s">
        <v>559</v>
      </c>
      <c r="AI10170" s="831">
        <v>0</v>
      </c>
      <c r="AJ10170" s="835">
        <v>41364</v>
      </c>
      <c r="AK10170" s="831">
        <v>0.78459166666666702</v>
      </c>
    </row>
    <row r="10171" spans="2:37">
      <c r="B10171" s="834" t="str">
        <f t="shared" si="397"/>
        <v>|||</v>
      </c>
      <c r="H10171" s="835">
        <f t="shared" si="398"/>
        <v>31</v>
      </c>
      <c r="AF10171" s="831" t="s">
        <v>10830</v>
      </c>
      <c r="AG10171" s="831" t="s">
        <v>2674</v>
      </c>
      <c r="AH10171" s="831" t="s">
        <v>568</v>
      </c>
      <c r="AI10171" s="831">
        <v>0</v>
      </c>
      <c r="AJ10171" s="835">
        <v>41364</v>
      </c>
      <c r="AK10171" s="831">
        <v>387042366</v>
      </c>
    </row>
    <row r="10172" spans="2:37">
      <c r="B10172" s="834" t="str">
        <f t="shared" si="397"/>
        <v>|||</v>
      </c>
      <c r="H10172" s="835">
        <f t="shared" si="398"/>
        <v>31</v>
      </c>
      <c r="AF10172" s="831" t="s">
        <v>10831</v>
      </c>
      <c r="AG10172" s="831" t="s">
        <v>2674</v>
      </c>
      <c r="AH10172" s="831" t="s">
        <v>569</v>
      </c>
      <c r="AI10172" s="831">
        <v>0</v>
      </c>
      <c r="AJ10172" s="835">
        <v>41364</v>
      </c>
      <c r="AK10172" s="831">
        <v>472896677.63636398</v>
      </c>
    </row>
    <row r="10173" spans="2:37">
      <c r="B10173" s="834" t="str">
        <f t="shared" si="397"/>
        <v>|||</v>
      </c>
      <c r="H10173" s="835">
        <f t="shared" si="398"/>
        <v>31</v>
      </c>
      <c r="AF10173" s="831" t="s">
        <v>10832</v>
      </c>
      <c r="AG10173" s="831" t="s">
        <v>2674</v>
      </c>
      <c r="AH10173" s="831" t="s">
        <v>570</v>
      </c>
      <c r="AI10173" s="831">
        <v>0</v>
      </c>
      <c r="AJ10173" s="835">
        <v>41364</v>
      </c>
      <c r="AK10173" s="831">
        <v>97015572.090909094</v>
      </c>
    </row>
    <row r="10174" spans="2:37">
      <c r="B10174" s="834" t="str">
        <f t="shared" si="397"/>
        <v>|||</v>
      </c>
      <c r="H10174" s="835">
        <f t="shared" si="398"/>
        <v>31</v>
      </c>
      <c r="AF10174" s="831" t="s">
        <v>10833</v>
      </c>
      <c r="AG10174" s="831" t="s">
        <v>2674</v>
      </c>
      <c r="AH10174" s="831" t="s">
        <v>571</v>
      </c>
      <c r="AI10174" s="831">
        <v>0</v>
      </c>
      <c r="AJ10174" s="835">
        <v>41364</v>
      </c>
      <c r="AK10174" s="831">
        <v>197450778.090909</v>
      </c>
    </row>
    <row r="10175" spans="2:37">
      <c r="B10175" s="834" t="str">
        <f t="shared" si="397"/>
        <v>|||</v>
      </c>
      <c r="H10175" s="835">
        <f t="shared" si="398"/>
        <v>31</v>
      </c>
      <c r="AF10175" s="831" t="s">
        <v>10834</v>
      </c>
      <c r="AG10175" s="831" t="s">
        <v>2674</v>
      </c>
      <c r="AH10175" s="831" t="s">
        <v>573</v>
      </c>
      <c r="AI10175" s="831">
        <v>0</v>
      </c>
      <c r="AJ10175" s="835">
        <v>41364</v>
      </c>
      <c r="AK10175" s="831">
        <v>524451626.75</v>
      </c>
    </row>
    <row r="10176" spans="2:37">
      <c r="B10176" s="834" t="str">
        <f t="shared" si="397"/>
        <v>|||</v>
      </c>
      <c r="H10176" s="835">
        <f t="shared" si="398"/>
        <v>31</v>
      </c>
      <c r="AF10176" s="831" t="s">
        <v>10835</v>
      </c>
      <c r="AG10176" s="831" t="s">
        <v>2674</v>
      </c>
      <c r="AH10176" s="831" t="s">
        <v>574</v>
      </c>
      <c r="AI10176" s="831">
        <v>0</v>
      </c>
      <c r="AJ10176" s="835">
        <v>41364</v>
      </c>
      <c r="AK10176" s="831">
        <v>431410912.75</v>
      </c>
    </row>
    <row r="10177" spans="2:37">
      <c r="B10177" s="834" t="str">
        <f t="shared" si="397"/>
        <v>|||</v>
      </c>
      <c r="H10177" s="835">
        <f t="shared" si="398"/>
        <v>31</v>
      </c>
      <c r="AF10177" s="831" t="s">
        <v>10836</v>
      </c>
      <c r="AG10177" s="831" t="s">
        <v>2674</v>
      </c>
      <c r="AH10177" s="831" t="s">
        <v>575</v>
      </c>
      <c r="AI10177" s="831">
        <v>0</v>
      </c>
      <c r="AJ10177" s="835">
        <v>41364</v>
      </c>
      <c r="AK10177" s="831">
        <v>99359138.75</v>
      </c>
    </row>
    <row r="10178" spans="2:37">
      <c r="B10178" s="834" t="str">
        <f t="shared" si="397"/>
        <v>|||</v>
      </c>
      <c r="H10178" s="835">
        <f t="shared" si="398"/>
        <v>31</v>
      </c>
      <c r="AF10178" s="831" t="s">
        <v>10837</v>
      </c>
      <c r="AG10178" s="831" t="s">
        <v>2674</v>
      </c>
      <c r="AH10178" s="831" t="s">
        <v>576</v>
      </c>
      <c r="AI10178" s="831">
        <v>0</v>
      </c>
      <c r="AJ10178" s="835">
        <v>41364</v>
      </c>
      <c r="AK10178" s="831">
        <v>237999860.25</v>
      </c>
    </row>
    <row r="10179" spans="2:37">
      <c r="B10179" s="834" t="str">
        <f t="shared" si="397"/>
        <v>|||</v>
      </c>
      <c r="H10179" s="835">
        <f t="shared" si="398"/>
        <v>31</v>
      </c>
      <c r="AF10179" s="831" t="s">
        <v>10838</v>
      </c>
      <c r="AG10179" s="831" t="s">
        <v>2674</v>
      </c>
      <c r="AH10179" s="831" t="s">
        <v>572</v>
      </c>
      <c r="AI10179" s="831">
        <v>0</v>
      </c>
      <c r="AJ10179" s="835">
        <v>41364</v>
      </c>
      <c r="AK10179" s="831">
        <v>0</v>
      </c>
    </row>
    <row r="10180" spans="2:37">
      <c r="B10180" s="834" t="str">
        <f t="shared" si="397"/>
        <v>|||</v>
      </c>
      <c r="H10180" s="835">
        <f t="shared" si="398"/>
        <v>31</v>
      </c>
      <c r="AF10180" s="831" t="s">
        <v>10839</v>
      </c>
      <c r="AG10180" s="831" t="s">
        <v>2674</v>
      </c>
      <c r="AH10180" s="831" t="s">
        <v>577</v>
      </c>
      <c r="AI10180" s="831">
        <v>0</v>
      </c>
      <c r="AJ10180" s="835">
        <v>41364</v>
      </c>
      <c r="AK10180" s="831">
        <v>0</v>
      </c>
    </row>
    <row r="10181" spans="2:37">
      <c r="B10181" s="834" t="str">
        <f t="shared" si="397"/>
        <v>|||</v>
      </c>
      <c r="H10181" s="835">
        <f t="shared" si="398"/>
        <v>31</v>
      </c>
      <c r="AF10181" s="831" t="s">
        <v>10840</v>
      </c>
      <c r="AG10181" s="831" t="s">
        <v>2674</v>
      </c>
      <c r="AH10181" s="831" t="s">
        <v>3042</v>
      </c>
      <c r="AI10181" s="831">
        <v>0</v>
      </c>
      <c r="AJ10181" s="835">
        <v>41364</v>
      </c>
      <c r="AK10181" s="831">
        <v>0</v>
      </c>
    </row>
    <row r="10182" spans="2:37">
      <c r="B10182" s="834" t="str">
        <f t="shared" si="397"/>
        <v>|||</v>
      </c>
      <c r="H10182" s="835">
        <f t="shared" si="398"/>
        <v>31</v>
      </c>
      <c r="AF10182" s="831" t="s">
        <v>10841</v>
      </c>
      <c r="AG10182" s="831" t="s">
        <v>2674</v>
      </c>
      <c r="AH10182" s="831" t="s">
        <v>3044</v>
      </c>
      <c r="AI10182" s="831">
        <v>0</v>
      </c>
      <c r="AJ10182" s="835">
        <v>41364</v>
      </c>
      <c r="AK10182" s="831">
        <v>0</v>
      </c>
    </row>
    <row r="10183" spans="2:37">
      <c r="B10183" s="834" t="str">
        <f t="shared" si="397"/>
        <v>|||</v>
      </c>
      <c r="H10183" s="835">
        <f t="shared" si="398"/>
        <v>31</v>
      </c>
      <c r="AF10183" s="831" t="s">
        <v>10842</v>
      </c>
      <c r="AG10183" s="831" t="s">
        <v>2674</v>
      </c>
      <c r="AH10183" s="831" t="s">
        <v>580</v>
      </c>
      <c r="AI10183" s="831">
        <v>0</v>
      </c>
      <c r="AJ10183" s="835">
        <v>41364</v>
      </c>
      <c r="AK10183" s="831">
        <v>0</v>
      </c>
    </row>
    <row r="10184" spans="2:37">
      <c r="B10184" s="834" t="str">
        <f t="shared" si="397"/>
        <v>|||</v>
      </c>
      <c r="H10184" s="835">
        <f t="shared" si="398"/>
        <v>31</v>
      </c>
      <c r="AF10184" s="831" t="s">
        <v>10843</v>
      </c>
      <c r="AG10184" s="831" t="s">
        <v>2674</v>
      </c>
      <c r="AH10184" s="831" t="s">
        <v>581</v>
      </c>
      <c r="AI10184" s="831">
        <v>0</v>
      </c>
      <c r="AJ10184" s="835">
        <v>41364</v>
      </c>
      <c r="AK10184" s="831">
        <v>0</v>
      </c>
    </row>
    <row r="10185" spans="2:37">
      <c r="B10185" s="834" t="str">
        <f t="shared" si="397"/>
        <v>|||</v>
      </c>
      <c r="H10185" s="835">
        <f t="shared" si="398"/>
        <v>31</v>
      </c>
      <c r="AF10185" s="831" t="s">
        <v>10844</v>
      </c>
      <c r="AG10185" s="831" t="s">
        <v>2674</v>
      </c>
      <c r="AH10185" s="831" t="s">
        <v>105</v>
      </c>
      <c r="AI10185" s="831">
        <v>0</v>
      </c>
      <c r="AJ10185" s="835">
        <v>41364</v>
      </c>
      <c r="AK10185" s="831">
        <v>251718369</v>
      </c>
    </row>
    <row r="10186" spans="2:37">
      <c r="B10186" s="834" t="str">
        <f t="shared" si="397"/>
        <v>|||</v>
      </c>
      <c r="H10186" s="835">
        <f t="shared" si="398"/>
        <v>31</v>
      </c>
      <c r="AF10186" s="831" t="s">
        <v>10845</v>
      </c>
      <c r="AG10186" s="831" t="s">
        <v>2674</v>
      </c>
      <c r="AH10186" s="831" t="s">
        <v>3049</v>
      </c>
      <c r="AI10186" s="831">
        <v>0</v>
      </c>
      <c r="AJ10186" s="835">
        <v>41364</v>
      </c>
      <c r="AK10186" s="831">
        <v>433573874</v>
      </c>
    </row>
    <row r="10187" spans="2:37">
      <c r="B10187" s="834" t="str">
        <f t="shared" si="397"/>
        <v>|||</v>
      </c>
      <c r="H10187" s="835">
        <f t="shared" si="398"/>
        <v>31</v>
      </c>
      <c r="AF10187" s="831" t="s">
        <v>10846</v>
      </c>
      <c r="AG10187" s="831" t="s">
        <v>2674</v>
      </c>
      <c r="AH10187" s="831" t="s">
        <v>103</v>
      </c>
      <c r="AI10187" s="831">
        <v>0</v>
      </c>
      <c r="AJ10187" s="835">
        <v>41364</v>
      </c>
      <c r="AK10187" s="831">
        <v>181855505</v>
      </c>
    </row>
    <row r="10188" spans="2:37">
      <c r="B10188" s="834" t="str">
        <f t="shared" si="397"/>
        <v>|||</v>
      </c>
      <c r="H10188" s="835">
        <f t="shared" si="398"/>
        <v>31</v>
      </c>
      <c r="AF10188" s="831" t="s">
        <v>10847</v>
      </c>
      <c r="AG10188" s="831" t="s">
        <v>2674</v>
      </c>
      <c r="AH10188" s="831" t="s">
        <v>182</v>
      </c>
      <c r="AI10188" s="831">
        <v>0</v>
      </c>
      <c r="AJ10188" s="835">
        <v>41364</v>
      </c>
      <c r="AK10188" s="831">
        <v>54931936</v>
      </c>
    </row>
    <row r="10189" spans="2:37">
      <c r="B10189" s="834" t="str">
        <f t="shared" si="397"/>
        <v>|||</v>
      </c>
      <c r="H10189" s="835">
        <f t="shared" si="398"/>
        <v>31</v>
      </c>
      <c r="AF10189" s="831" t="s">
        <v>10848</v>
      </c>
      <c r="AG10189" s="831" t="s">
        <v>2674</v>
      </c>
      <c r="AH10189" s="831" t="s">
        <v>6600</v>
      </c>
      <c r="AI10189" s="831">
        <v>0</v>
      </c>
      <c r="AJ10189" s="835">
        <v>41364</v>
      </c>
      <c r="AK10189" s="831">
        <v>0</v>
      </c>
    </row>
    <row r="10190" spans="2:37">
      <c r="B10190" s="834" t="str">
        <f t="shared" si="397"/>
        <v>|||</v>
      </c>
      <c r="H10190" s="835">
        <f t="shared" si="398"/>
        <v>31</v>
      </c>
      <c r="AF10190" s="831" t="s">
        <v>10849</v>
      </c>
      <c r="AG10190" s="831" t="s">
        <v>2674</v>
      </c>
      <c r="AH10190" s="831" t="s">
        <v>6602</v>
      </c>
      <c r="AI10190" s="831">
        <v>0</v>
      </c>
      <c r="AJ10190" s="835">
        <v>41364</v>
      </c>
      <c r="AK10190" s="831">
        <v>6046166</v>
      </c>
    </row>
    <row r="10191" spans="2:37">
      <c r="B10191" s="834" t="str">
        <f t="shared" si="397"/>
        <v>|||</v>
      </c>
      <c r="H10191" s="835">
        <f t="shared" si="398"/>
        <v>31</v>
      </c>
      <c r="AF10191" s="831" t="s">
        <v>10850</v>
      </c>
      <c r="AG10191" s="831" t="s">
        <v>2674</v>
      </c>
      <c r="AH10191" s="831" t="s">
        <v>650</v>
      </c>
      <c r="AI10191" s="831">
        <v>0</v>
      </c>
      <c r="AJ10191" s="835">
        <v>41364</v>
      </c>
      <c r="AK10191" s="831">
        <v>165371914.36363599</v>
      </c>
    </row>
    <row r="10192" spans="2:37">
      <c r="B10192" s="834" t="str">
        <f t="shared" si="397"/>
        <v>|||</v>
      </c>
      <c r="H10192" s="835">
        <f t="shared" si="398"/>
        <v>31</v>
      </c>
      <c r="AF10192" s="831" t="s">
        <v>10851</v>
      </c>
      <c r="AG10192" s="831" t="s">
        <v>2674</v>
      </c>
      <c r="AH10192" s="831" t="s">
        <v>655</v>
      </c>
      <c r="AI10192" s="831">
        <v>0</v>
      </c>
      <c r="AJ10192" s="835">
        <v>41364</v>
      </c>
      <c r="AK10192" s="831">
        <v>1831184</v>
      </c>
    </row>
    <row r="10193" spans="2:37">
      <c r="B10193" s="834" t="str">
        <f t="shared" ref="B10193:B10256" si="399">C10193&amp;"|"&amp;D10193&amp;"|"&amp;E10193&amp;"|"&amp;F10193</f>
        <v>|||</v>
      </c>
      <c r="H10193" s="835">
        <f t="shared" ref="H10193:H10256" si="400">EOMONTH(L10193,0)</f>
        <v>31</v>
      </c>
      <c r="AF10193" s="831" t="s">
        <v>10852</v>
      </c>
      <c r="AG10193" s="831" t="s">
        <v>2674</v>
      </c>
      <c r="AH10193" s="831" t="s">
        <v>546</v>
      </c>
      <c r="AI10193" s="831">
        <v>0</v>
      </c>
      <c r="AJ10193" s="835">
        <v>41394</v>
      </c>
      <c r="AK10193" s="831">
        <v>479771222</v>
      </c>
    </row>
    <row r="10194" spans="2:37">
      <c r="B10194" s="834" t="str">
        <f t="shared" si="399"/>
        <v>|||</v>
      </c>
      <c r="H10194" s="835">
        <f t="shared" si="400"/>
        <v>31</v>
      </c>
      <c r="AF10194" s="831" t="s">
        <v>10853</v>
      </c>
      <c r="AG10194" s="831" t="s">
        <v>2674</v>
      </c>
      <c r="AH10194" s="831" t="s">
        <v>370</v>
      </c>
      <c r="AI10194" s="831">
        <v>0</v>
      </c>
      <c r="AJ10194" s="835">
        <v>41394</v>
      </c>
      <c r="AK10194" s="831">
        <v>566329383</v>
      </c>
    </row>
    <row r="10195" spans="2:37">
      <c r="B10195" s="834" t="str">
        <f t="shared" si="399"/>
        <v>|||</v>
      </c>
      <c r="H10195" s="835">
        <f t="shared" si="400"/>
        <v>31</v>
      </c>
      <c r="AF10195" s="831" t="s">
        <v>10854</v>
      </c>
      <c r="AG10195" s="831" t="s">
        <v>2674</v>
      </c>
      <c r="AH10195" s="831" t="s">
        <v>126</v>
      </c>
      <c r="AI10195" s="831">
        <v>0</v>
      </c>
      <c r="AJ10195" s="835">
        <v>41394</v>
      </c>
      <c r="AK10195" s="831">
        <v>103327866</v>
      </c>
    </row>
    <row r="10196" spans="2:37">
      <c r="B10196" s="834" t="str">
        <f t="shared" si="399"/>
        <v>|||</v>
      </c>
      <c r="H10196" s="835">
        <f t="shared" si="400"/>
        <v>31</v>
      </c>
      <c r="AF10196" s="831" t="s">
        <v>10855</v>
      </c>
      <c r="AG10196" s="831" t="s">
        <v>2674</v>
      </c>
      <c r="AH10196" s="831" t="s">
        <v>268</v>
      </c>
      <c r="AI10196" s="831">
        <v>0</v>
      </c>
      <c r="AJ10196" s="835">
        <v>41394</v>
      </c>
      <c r="AK10196" s="831">
        <v>8564643</v>
      </c>
    </row>
    <row r="10197" spans="2:37">
      <c r="B10197" s="834" t="str">
        <f t="shared" si="399"/>
        <v>|||</v>
      </c>
      <c r="H10197" s="835">
        <f t="shared" si="400"/>
        <v>31</v>
      </c>
      <c r="AF10197" s="831" t="s">
        <v>10856</v>
      </c>
      <c r="AG10197" s="831" t="s">
        <v>2674</v>
      </c>
      <c r="AH10197" s="831" t="s">
        <v>547</v>
      </c>
      <c r="AI10197" s="831">
        <v>0</v>
      </c>
      <c r="AJ10197" s="835">
        <v>41394</v>
      </c>
      <c r="AK10197" s="831">
        <v>511487760</v>
      </c>
    </row>
    <row r="10198" spans="2:37">
      <c r="B10198" s="834" t="str">
        <f t="shared" si="399"/>
        <v>|||</v>
      </c>
      <c r="H10198" s="835">
        <f t="shared" si="400"/>
        <v>31</v>
      </c>
      <c r="AF10198" s="831" t="s">
        <v>10857</v>
      </c>
      <c r="AG10198" s="831" t="s">
        <v>2674</v>
      </c>
      <c r="AH10198" s="831" t="s">
        <v>548</v>
      </c>
      <c r="AI10198" s="831">
        <v>0</v>
      </c>
      <c r="AJ10198" s="835">
        <v>41394</v>
      </c>
      <c r="AK10198" s="831">
        <v>96883184</v>
      </c>
    </row>
    <row r="10199" spans="2:37">
      <c r="B10199" s="834" t="str">
        <f t="shared" si="399"/>
        <v>|||</v>
      </c>
      <c r="H10199" s="835">
        <f t="shared" si="400"/>
        <v>31</v>
      </c>
      <c r="AF10199" s="831" t="s">
        <v>10858</v>
      </c>
      <c r="AG10199" s="831" t="s">
        <v>2674</v>
      </c>
      <c r="AH10199" s="831" t="s">
        <v>549</v>
      </c>
      <c r="AI10199" s="831">
        <v>0</v>
      </c>
      <c r="AJ10199" s="835">
        <v>41394</v>
      </c>
      <c r="AK10199" s="831">
        <v>0</v>
      </c>
    </row>
    <row r="10200" spans="2:37">
      <c r="B10200" s="834" t="str">
        <f t="shared" si="399"/>
        <v>|||</v>
      </c>
      <c r="H10200" s="835">
        <f t="shared" si="400"/>
        <v>31</v>
      </c>
      <c r="AF10200" s="831" t="s">
        <v>10859</v>
      </c>
      <c r="AG10200" s="831" t="s">
        <v>2674</v>
      </c>
      <c r="AH10200" s="831" t="s">
        <v>192</v>
      </c>
      <c r="AI10200" s="831">
        <v>0</v>
      </c>
      <c r="AJ10200" s="835">
        <v>41394</v>
      </c>
      <c r="AK10200" s="831">
        <v>-12137335</v>
      </c>
    </row>
    <row r="10201" spans="2:37">
      <c r="B10201" s="834" t="str">
        <f t="shared" si="399"/>
        <v>|||</v>
      </c>
      <c r="H10201" s="835">
        <f t="shared" si="400"/>
        <v>31</v>
      </c>
      <c r="AF10201" s="831" t="s">
        <v>10860</v>
      </c>
      <c r="AG10201" s="831" t="s">
        <v>2674</v>
      </c>
      <c r="AH10201" s="831" t="s">
        <v>558</v>
      </c>
      <c r="AI10201" s="831">
        <v>0</v>
      </c>
      <c r="AJ10201" s="835">
        <v>41394</v>
      </c>
      <c r="AK10201" s="831">
        <v>463001517</v>
      </c>
    </row>
    <row r="10202" spans="2:37">
      <c r="B10202" s="834" t="str">
        <f t="shared" si="399"/>
        <v>|||</v>
      </c>
      <c r="H10202" s="835">
        <f t="shared" si="400"/>
        <v>31</v>
      </c>
      <c r="AF10202" s="831" t="s">
        <v>10861</v>
      </c>
      <c r="AG10202" s="831" t="s">
        <v>2674</v>
      </c>
      <c r="AH10202" s="831" t="s">
        <v>65</v>
      </c>
      <c r="AI10202" s="831">
        <v>0</v>
      </c>
      <c r="AJ10202" s="835">
        <v>41394</v>
      </c>
      <c r="AK10202" s="831">
        <v>38829477</v>
      </c>
    </row>
    <row r="10203" spans="2:37">
      <c r="B10203" s="834" t="str">
        <f t="shared" si="399"/>
        <v>|||</v>
      </c>
      <c r="H10203" s="835">
        <f t="shared" si="400"/>
        <v>31</v>
      </c>
      <c r="AF10203" s="831" t="s">
        <v>10862</v>
      </c>
      <c r="AG10203" s="831" t="s">
        <v>2674</v>
      </c>
      <c r="AH10203" s="831" t="s">
        <v>89</v>
      </c>
      <c r="AI10203" s="831">
        <v>0</v>
      </c>
      <c r="AJ10203" s="835">
        <v>41394</v>
      </c>
      <c r="AK10203" s="831">
        <v>132126</v>
      </c>
    </row>
    <row r="10204" spans="2:37">
      <c r="B10204" s="834" t="str">
        <f t="shared" si="399"/>
        <v>|||</v>
      </c>
      <c r="H10204" s="835">
        <f t="shared" si="400"/>
        <v>31</v>
      </c>
      <c r="AF10204" s="831" t="s">
        <v>10863</v>
      </c>
      <c r="AG10204" s="831" t="s">
        <v>2674</v>
      </c>
      <c r="AH10204" s="831" t="s">
        <v>557</v>
      </c>
      <c r="AI10204" s="831">
        <v>0</v>
      </c>
      <c r="AJ10204" s="835">
        <v>41394</v>
      </c>
      <c r="AK10204" s="831">
        <v>135969</v>
      </c>
    </row>
    <row r="10205" spans="2:37">
      <c r="B10205" s="834" t="str">
        <f t="shared" si="399"/>
        <v>|||</v>
      </c>
      <c r="H10205" s="835">
        <f t="shared" si="400"/>
        <v>31</v>
      </c>
      <c r="AF10205" s="831" t="s">
        <v>10864</v>
      </c>
      <c r="AG10205" s="831" t="s">
        <v>2674</v>
      </c>
      <c r="AH10205" s="831" t="s">
        <v>29</v>
      </c>
      <c r="AI10205" s="831">
        <v>0</v>
      </c>
      <c r="AJ10205" s="835">
        <v>41394</v>
      </c>
      <c r="AK10205" s="831">
        <v>3183810</v>
      </c>
    </row>
    <row r="10206" spans="2:37">
      <c r="B10206" s="834" t="str">
        <f t="shared" si="399"/>
        <v>|||</v>
      </c>
      <c r="H10206" s="835">
        <f t="shared" si="400"/>
        <v>31</v>
      </c>
      <c r="AF10206" s="831" t="s">
        <v>10865</v>
      </c>
      <c r="AG10206" s="831" t="s">
        <v>2674</v>
      </c>
      <c r="AH10206" s="831" t="s">
        <v>2688</v>
      </c>
      <c r="AI10206" s="831">
        <v>0</v>
      </c>
      <c r="AJ10206" s="835">
        <v>41394</v>
      </c>
      <c r="AK10206" s="831">
        <v>2795249</v>
      </c>
    </row>
    <row r="10207" spans="2:37">
      <c r="B10207" s="834" t="str">
        <f t="shared" si="399"/>
        <v>|||</v>
      </c>
      <c r="H10207" s="835">
        <f t="shared" si="400"/>
        <v>31</v>
      </c>
      <c r="AF10207" s="831" t="s">
        <v>10866</v>
      </c>
      <c r="AG10207" s="831" t="s">
        <v>2674</v>
      </c>
      <c r="AH10207" s="831" t="s">
        <v>556</v>
      </c>
      <c r="AI10207" s="831">
        <v>0</v>
      </c>
      <c r="AJ10207" s="835">
        <v>41394</v>
      </c>
      <c r="AK10207" s="831">
        <v>902857</v>
      </c>
    </row>
    <row r="10208" spans="2:37">
      <c r="B10208" s="834" t="str">
        <f t="shared" si="399"/>
        <v>|||</v>
      </c>
      <c r="H10208" s="835">
        <f t="shared" si="400"/>
        <v>31</v>
      </c>
      <c r="AF10208" s="831" t="s">
        <v>10867</v>
      </c>
      <c r="AG10208" s="831" t="s">
        <v>2674</v>
      </c>
      <c r="AH10208" s="831" t="s">
        <v>555</v>
      </c>
      <c r="AI10208" s="831">
        <v>0</v>
      </c>
      <c r="AJ10208" s="835">
        <v>41394</v>
      </c>
      <c r="AK10208" s="831">
        <v>292199280</v>
      </c>
    </row>
    <row r="10209" spans="2:37">
      <c r="B10209" s="834" t="str">
        <f t="shared" si="399"/>
        <v>|||</v>
      </c>
      <c r="H10209" s="835">
        <f t="shared" si="400"/>
        <v>31</v>
      </c>
      <c r="AF10209" s="831" t="s">
        <v>10868</v>
      </c>
      <c r="AG10209" s="831" t="s">
        <v>2674</v>
      </c>
      <c r="AH10209" s="831" t="s">
        <v>554</v>
      </c>
      <c r="AI10209" s="831">
        <v>0</v>
      </c>
      <c r="AJ10209" s="835">
        <v>41394</v>
      </c>
      <c r="AK10209" s="831">
        <v>282835760</v>
      </c>
    </row>
    <row r="10210" spans="2:37">
      <c r="B10210" s="834" t="str">
        <f t="shared" si="399"/>
        <v>|||</v>
      </c>
      <c r="H10210" s="835">
        <f t="shared" si="400"/>
        <v>31</v>
      </c>
      <c r="AF10210" s="831" t="s">
        <v>10869</v>
      </c>
      <c r="AG10210" s="831" t="s">
        <v>2674</v>
      </c>
      <c r="AH10210" s="831" t="s">
        <v>553</v>
      </c>
      <c r="AI10210" s="831">
        <v>0</v>
      </c>
      <c r="AJ10210" s="835">
        <v>41394</v>
      </c>
      <c r="AK10210" s="831">
        <v>0</v>
      </c>
    </row>
    <row r="10211" spans="2:37">
      <c r="B10211" s="834" t="str">
        <f t="shared" si="399"/>
        <v>|||</v>
      </c>
      <c r="H10211" s="835">
        <f t="shared" si="400"/>
        <v>31</v>
      </c>
      <c r="AF10211" s="831" t="s">
        <v>10870</v>
      </c>
      <c r="AG10211" s="831" t="s">
        <v>2674</v>
      </c>
      <c r="AH10211" s="831" t="s">
        <v>552</v>
      </c>
      <c r="AI10211" s="831">
        <v>0</v>
      </c>
      <c r="AJ10211" s="835">
        <v>41394</v>
      </c>
      <c r="AK10211" s="831">
        <v>0</v>
      </c>
    </row>
    <row r="10212" spans="2:37">
      <c r="B10212" s="834" t="str">
        <f t="shared" si="399"/>
        <v>|||</v>
      </c>
      <c r="H10212" s="835">
        <f t="shared" si="400"/>
        <v>31</v>
      </c>
      <c r="AF10212" s="831" t="s">
        <v>10871</v>
      </c>
      <c r="AG10212" s="831" t="s">
        <v>2674</v>
      </c>
      <c r="AH10212" s="831" t="s">
        <v>551</v>
      </c>
      <c r="AI10212" s="831">
        <v>0</v>
      </c>
      <c r="AJ10212" s="835">
        <v>41394</v>
      </c>
      <c r="AK10212" s="831">
        <v>3073568</v>
      </c>
    </row>
    <row r="10213" spans="2:37">
      <c r="B10213" s="834" t="str">
        <f t="shared" si="399"/>
        <v>|||</v>
      </c>
      <c r="H10213" s="835">
        <f t="shared" si="400"/>
        <v>31</v>
      </c>
      <c r="AF10213" s="831" t="s">
        <v>10872</v>
      </c>
      <c r="AG10213" s="831" t="s">
        <v>2674</v>
      </c>
      <c r="AH10213" s="831" t="s">
        <v>550</v>
      </c>
      <c r="AI10213" s="831">
        <v>0</v>
      </c>
      <c r="AJ10213" s="835">
        <v>41394</v>
      </c>
      <c r="AK10213" s="831">
        <v>100809389</v>
      </c>
    </row>
    <row r="10214" spans="2:37">
      <c r="B10214" s="834" t="str">
        <f t="shared" si="399"/>
        <v>|||</v>
      </c>
      <c r="H10214" s="835">
        <f t="shared" si="400"/>
        <v>31</v>
      </c>
      <c r="AF10214" s="831" t="s">
        <v>10873</v>
      </c>
      <c r="AG10214" s="831" t="s">
        <v>2674</v>
      </c>
      <c r="AH10214" s="831" t="s">
        <v>562</v>
      </c>
      <c r="AI10214" s="831">
        <v>0</v>
      </c>
      <c r="AJ10214" s="835">
        <v>41394</v>
      </c>
      <c r="AK10214" s="831">
        <v>0.78405000000000002</v>
      </c>
    </row>
    <row r="10215" spans="2:37">
      <c r="B10215" s="834" t="str">
        <f t="shared" si="399"/>
        <v>|||</v>
      </c>
      <c r="H10215" s="835">
        <f t="shared" si="400"/>
        <v>31</v>
      </c>
      <c r="AF10215" s="831" t="s">
        <v>10874</v>
      </c>
      <c r="AG10215" s="831" t="s">
        <v>2674</v>
      </c>
      <c r="AH10215" s="831" t="s">
        <v>2698</v>
      </c>
      <c r="AI10215" s="831">
        <v>0</v>
      </c>
      <c r="AJ10215" s="835">
        <v>41394</v>
      </c>
      <c r="AK10215" s="831">
        <v>0.78425</v>
      </c>
    </row>
    <row r="10216" spans="2:37">
      <c r="B10216" s="834" t="str">
        <f t="shared" si="399"/>
        <v>|||</v>
      </c>
      <c r="H10216" s="835">
        <f t="shared" si="400"/>
        <v>31</v>
      </c>
      <c r="AF10216" s="831" t="s">
        <v>10875</v>
      </c>
      <c r="AG10216" s="831" t="s">
        <v>2674</v>
      </c>
      <c r="AH10216" s="831" t="s">
        <v>560</v>
      </c>
      <c r="AI10216" s="831">
        <v>0</v>
      </c>
      <c r="AJ10216" s="835">
        <v>41394</v>
      </c>
      <c r="AK10216" s="831">
        <v>0.78412499999999996</v>
      </c>
    </row>
    <row r="10217" spans="2:37">
      <c r="B10217" s="834" t="str">
        <f t="shared" si="399"/>
        <v>|||</v>
      </c>
      <c r="H10217" s="835">
        <f t="shared" si="400"/>
        <v>31</v>
      </c>
      <c r="AF10217" s="831" t="s">
        <v>10876</v>
      </c>
      <c r="AG10217" s="831" t="s">
        <v>2674</v>
      </c>
      <c r="AH10217" s="831" t="s">
        <v>559</v>
      </c>
      <c r="AI10217" s="831">
        <v>0</v>
      </c>
      <c r="AJ10217" s="835">
        <v>41394</v>
      </c>
      <c r="AK10217" s="831">
        <v>0.78444166666666704</v>
      </c>
    </row>
    <row r="10218" spans="2:37">
      <c r="B10218" s="834" t="str">
        <f t="shared" si="399"/>
        <v>|||</v>
      </c>
      <c r="H10218" s="835">
        <f t="shared" si="400"/>
        <v>31</v>
      </c>
      <c r="AF10218" s="831" t="s">
        <v>10877</v>
      </c>
      <c r="AG10218" s="831" t="s">
        <v>2674</v>
      </c>
      <c r="AH10218" s="831" t="s">
        <v>568</v>
      </c>
      <c r="AI10218" s="831">
        <v>0</v>
      </c>
      <c r="AJ10218" s="835">
        <v>41394</v>
      </c>
      <c r="AK10218" s="831">
        <v>394769770.66666698</v>
      </c>
    </row>
    <row r="10219" spans="2:37">
      <c r="B10219" s="834" t="str">
        <f t="shared" si="399"/>
        <v>|||</v>
      </c>
      <c r="H10219" s="835">
        <f t="shared" si="400"/>
        <v>31</v>
      </c>
      <c r="AF10219" s="831" t="s">
        <v>10878</v>
      </c>
      <c r="AG10219" s="831" t="s">
        <v>2674</v>
      </c>
      <c r="AH10219" s="831" t="s">
        <v>569</v>
      </c>
      <c r="AI10219" s="831">
        <v>0</v>
      </c>
      <c r="AJ10219" s="835">
        <v>41394</v>
      </c>
      <c r="AK10219" s="831">
        <v>480682736.41666698</v>
      </c>
    </row>
    <row r="10220" spans="2:37">
      <c r="B10220" s="834" t="str">
        <f t="shared" si="399"/>
        <v>|||</v>
      </c>
      <c r="H10220" s="835">
        <f t="shared" si="400"/>
        <v>31</v>
      </c>
      <c r="AF10220" s="831" t="s">
        <v>10879</v>
      </c>
      <c r="AG10220" s="831" t="s">
        <v>2674</v>
      </c>
      <c r="AH10220" s="831" t="s">
        <v>570</v>
      </c>
      <c r="AI10220" s="831">
        <v>0</v>
      </c>
      <c r="AJ10220" s="835">
        <v>41394</v>
      </c>
      <c r="AK10220" s="831">
        <v>97541596.583333299</v>
      </c>
    </row>
    <row r="10221" spans="2:37">
      <c r="B10221" s="834" t="str">
        <f t="shared" si="399"/>
        <v>|||</v>
      </c>
      <c r="H10221" s="835">
        <f t="shared" si="400"/>
        <v>31</v>
      </c>
      <c r="AF10221" s="831" t="s">
        <v>10880</v>
      </c>
      <c r="AG10221" s="831" t="s">
        <v>2674</v>
      </c>
      <c r="AH10221" s="831" t="s">
        <v>571</v>
      </c>
      <c r="AI10221" s="831">
        <v>0</v>
      </c>
      <c r="AJ10221" s="835">
        <v>41394</v>
      </c>
      <c r="AK10221" s="831">
        <v>202392383.16666701</v>
      </c>
    </row>
    <row r="10222" spans="2:37">
      <c r="B10222" s="834" t="str">
        <f t="shared" si="399"/>
        <v>|||</v>
      </c>
      <c r="H10222" s="835">
        <f t="shared" si="400"/>
        <v>31</v>
      </c>
      <c r="AF10222" s="831" t="s">
        <v>10881</v>
      </c>
      <c r="AG10222" s="831" t="s">
        <v>2674</v>
      </c>
      <c r="AH10222" s="831" t="s">
        <v>573</v>
      </c>
      <c r="AI10222" s="831">
        <v>0</v>
      </c>
      <c r="AJ10222" s="835">
        <v>41394</v>
      </c>
      <c r="AK10222" s="831">
        <v>532827178</v>
      </c>
    </row>
    <row r="10223" spans="2:37">
      <c r="B10223" s="834" t="str">
        <f t="shared" si="399"/>
        <v>|||</v>
      </c>
      <c r="H10223" s="835">
        <f t="shared" si="400"/>
        <v>31</v>
      </c>
      <c r="AF10223" s="831" t="s">
        <v>10882</v>
      </c>
      <c r="AG10223" s="831" t="s">
        <v>2674</v>
      </c>
      <c r="AH10223" s="831" t="s">
        <v>574</v>
      </c>
      <c r="AI10223" s="831">
        <v>0</v>
      </c>
      <c r="AJ10223" s="835">
        <v>41394</v>
      </c>
      <c r="AK10223" s="831">
        <v>441082974.60000002</v>
      </c>
    </row>
    <row r="10224" spans="2:37">
      <c r="B10224" s="834" t="str">
        <f t="shared" si="399"/>
        <v>|||</v>
      </c>
      <c r="H10224" s="835">
        <f t="shared" si="400"/>
        <v>31</v>
      </c>
      <c r="AF10224" s="831" t="s">
        <v>10883</v>
      </c>
      <c r="AG10224" s="831" t="s">
        <v>2674</v>
      </c>
      <c r="AH10224" s="831" t="s">
        <v>575</v>
      </c>
      <c r="AI10224" s="831">
        <v>0</v>
      </c>
      <c r="AJ10224" s="835">
        <v>41394</v>
      </c>
      <c r="AK10224" s="831">
        <v>100152884.2</v>
      </c>
    </row>
    <row r="10225" spans="2:37">
      <c r="B10225" s="834" t="str">
        <f t="shared" si="399"/>
        <v>|||</v>
      </c>
      <c r="H10225" s="835">
        <f t="shared" si="400"/>
        <v>31</v>
      </c>
      <c r="AF10225" s="831" t="s">
        <v>10884</v>
      </c>
      <c r="AG10225" s="831" t="s">
        <v>2674</v>
      </c>
      <c r="AH10225" s="831" t="s">
        <v>576</v>
      </c>
      <c r="AI10225" s="831">
        <v>0</v>
      </c>
      <c r="AJ10225" s="835">
        <v>41394</v>
      </c>
      <c r="AK10225" s="831">
        <v>241749896</v>
      </c>
    </row>
    <row r="10226" spans="2:37">
      <c r="B10226" s="834" t="str">
        <f t="shared" si="399"/>
        <v>|||</v>
      </c>
      <c r="H10226" s="835">
        <f t="shared" si="400"/>
        <v>31</v>
      </c>
      <c r="AF10226" s="831" t="s">
        <v>10885</v>
      </c>
      <c r="AG10226" s="831" t="s">
        <v>2674</v>
      </c>
      <c r="AH10226" s="831" t="s">
        <v>572</v>
      </c>
      <c r="AI10226" s="831">
        <v>0</v>
      </c>
      <c r="AJ10226" s="835">
        <v>41394</v>
      </c>
      <c r="AK10226" s="831">
        <v>24404594</v>
      </c>
    </row>
    <row r="10227" spans="2:37">
      <c r="B10227" s="834" t="str">
        <f t="shared" si="399"/>
        <v>|||</v>
      </c>
      <c r="H10227" s="835">
        <f t="shared" si="400"/>
        <v>31</v>
      </c>
      <c r="AF10227" s="831" t="s">
        <v>10886</v>
      </c>
      <c r="AG10227" s="831" t="s">
        <v>2674</v>
      </c>
      <c r="AH10227" s="831" t="s">
        <v>577</v>
      </c>
      <c r="AI10227" s="831">
        <v>0</v>
      </c>
      <c r="AJ10227" s="835">
        <v>41394</v>
      </c>
      <c r="AK10227" s="831">
        <v>137705857</v>
      </c>
    </row>
    <row r="10228" spans="2:37">
      <c r="B10228" s="834" t="str">
        <f t="shared" si="399"/>
        <v>|||</v>
      </c>
      <c r="H10228" s="835">
        <f t="shared" si="400"/>
        <v>31</v>
      </c>
      <c r="AF10228" s="831" t="s">
        <v>10887</v>
      </c>
      <c r="AG10228" s="831" t="s">
        <v>2674</v>
      </c>
      <c r="AH10228" s="831" t="s">
        <v>3042</v>
      </c>
      <c r="AI10228" s="831">
        <v>0</v>
      </c>
      <c r="AJ10228" s="835">
        <v>41394</v>
      </c>
      <c r="AK10228" s="831">
        <v>-34403926</v>
      </c>
    </row>
    <row r="10229" spans="2:37">
      <c r="B10229" s="834" t="str">
        <f t="shared" si="399"/>
        <v>|||</v>
      </c>
      <c r="H10229" s="835">
        <f t="shared" si="400"/>
        <v>31</v>
      </c>
      <c r="AF10229" s="831" t="s">
        <v>10888</v>
      </c>
      <c r="AG10229" s="831" t="s">
        <v>2674</v>
      </c>
      <c r="AH10229" s="831" t="s">
        <v>3044</v>
      </c>
      <c r="AI10229" s="831">
        <v>0</v>
      </c>
      <c r="AJ10229" s="835">
        <v>41394</v>
      </c>
      <c r="AK10229" s="831">
        <v>-4759976</v>
      </c>
    </row>
    <row r="10230" spans="2:37">
      <c r="B10230" s="834" t="str">
        <f t="shared" si="399"/>
        <v>|||</v>
      </c>
      <c r="H10230" s="835">
        <f t="shared" si="400"/>
        <v>31</v>
      </c>
      <c r="AF10230" s="831" t="s">
        <v>10889</v>
      </c>
      <c r="AG10230" s="831" t="s">
        <v>2674</v>
      </c>
      <c r="AH10230" s="831" t="s">
        <v>580</v>
      </c>
      <c r="AI10230" s="831">
        <v>0</v>
      </c>
      <c r="AJ10230" s="835">
        <v>41394</v>
      </c>
      <c r="AK10230" s="831">
        <v>-71824276</v>
      </c>
    </row>
    <row r="10231" spans="2:37">
      <c r="B10231" s="834" t="str">
        <f t="shared" si="399"/>
        <v>|||</v>
      </c>
      <c r="H10231" s="835">
        <f t="shared" si="400"/>
        <v>31</v>
      </c>
      <c r="AF10231" s="831" t="s">
        <v>10890</v>
      </c>
      <c r="AG10231" s="831" t="s">
        <v>2674</v>
      </c>
      <c r="AH10231" s="831" t="s">
        <v>581</v>
      </c>
      <c r="AI10231" s="831">
        <v>0</v>
      </c>
      <c r="AJ10231" s="835">
        <v>41394</v>
      </c>
      <c r="AK10231" s="831">
        <v>4094604</v>
      </c>
    </row>
    <row r="10232" spans="2:37">
      <c r="B10232" s="834" t="str">
        <f t="shared" si="399"/>
        <v>|||</v>
      </c>
      <c r="H10232" s="835">
        <f t="shared" si="400"/>
        <v>31</v>
      </c>
      <c r="AF10232" s="831" t="s">
        <v>10891</v>
      </c>
      <c r="AG10232" s="831" t="s">
        <v>2674</v>
      </c>
      <c r="AH10232" s="831" t="s">
        <v>105</v>
      </c>
      <c r="AI10232" s="831">
        <v>0</v>
      </c>
      <c r="AJ10232" s="835">
        <v>41394</v>
      </c>
      <c r="AK10232" s="831">
        <v>256750039</v>
      </c>
    </row>
    <row r="10233" spans="2:37">
      <c r="B10233" s="834" t="str">
        <f t="shared" si="399"/>
        <v>|||</v>
      </c>
      <c r="H10233" s="835">
        <f t="shared" si="400"/>
        <v>31</v>
      </c>
      <c r="AF10233" s="831" t="s">
        <v>10892</v>
      </c>
      <c r="AG10233" s="831" t="s">
        <v>2674</v>
      </c>
      <c r="AH10233" s="831" t="s">
        <v>3049</v>
      </c>
      <c r="AI10233" s="831">
        <v>0</v>
      </c>
      <c r="AJ10233" s="835">
        <v>41394</v>
      </c>
      <c r="AK10233" s="831">
        <v>448399148</v>
      </c>
    </row>
    <row r="10234" spans="2:37">
      <c r="B10234" s="834" t="str">
        <f t="shared" si="399"/>
        <v>|||</v>
      </c>
      <c r="H10234" s="835">
        <f t="shared" si="400"/>
        <v>31</v>
      </c>
      <c r="AF10234" s="831" t="s">
        <v>10893</v>
      </c>
      <c r="AG10234" s="831" t="s">
        <v>2674</v>
      </c>
      <c r="AH10234" s="831" t="s">
        <v>103</v>
      </c>
      <c r="AI10234" s="831">
        <v>0</v>
      </c>
      <c r="AJ10234" s="835">
        <v>41394</v>
      </c>
      <c r="AK10234" s="831">
        <v>191649109</v>
      </c>
    </row>
    <row r="10235" spans="2:37">
      <c r="B10235" s="834" t="str">
        <f t="shared" si="399"/>
        <v>|||</v>
      </c>
      <c r="H10235" s="835">
        <f t="shared" si="400"/>
        <v>31</v>
      </c>
      <c r="AF10235" s="831" t="s">
        <v>10894</v>
      </c>
      <c r="AG10235" s="831" t="s">
        <v>2674</v>
      </c>
      <c r="AH10235" s="831" t="s">
        <v>182</v>
      </c>
      <c r="AI10235" s="831">
        <v>0</v>
      </c>
      <c r="AJ10235" s="835">
        <v>41394</v>
      </c>
      <c r="AK10235" s="831">
        <v>55518615</v>
      </c>
    </row>
    <row r="10236" spans="2:37">
      <c r="B10236" s="834" t="str">
        <f t="shared" si="399"/>
        <v>|||</v>
      </c>
      <c r="H10236" s="835">
        <f t="shared" si="400"/>
        <v>31</v>
      </c>
      <c r="AF10236" s="831" t="s">
        <v>10895</v>
      </c>
      <c r="AG10236" s="831" t="s">
        <v>2674</v>
      </c>
      <c r="AH10236" s="831" t="s">
        <v>6600</v>
      </c>
      <c r="AI10236" s="831">
        <v>0</v>
      </c>
      <c r="AJ10236" s="835">
        <v>41394</v>
      </c>
      <c r="AK10236" s="831">
        <v>24404594</v>
      </c>
    </row>
    <row r="10237" spans="2:37">
      <c r="B10237" s="834" t="str">
        <f t="shared" si="399"/>
        <v>|||</v>
      </c>
      <c r="H10237" s="835">
        <f t="shared" si="400"/>
        <v>31</v>
      </c>
      <c r="AF10237" s="831" t="s">
        <v>10896</v>
      </c>
      <c r="AG10237" s="831" t="s">
        <v>2674</v>
      </c>
      <c r="AH10237" s="831" t="s">
        <v>6602</v>
      </c>
      <c r="AI10237" s="831">
        <v>0</v>
      </c>
      <c r="AJ10237" s="835">
        <v>41394</v>
      </c>
      <c r="AK10237" s="831">
        <v>8564643</v>
      </c>
    </row>
    <row r="10238" spans="2:37">
      <c r="B10238" s="834" t="str">
        <f t="shared" si="399"/>
        <v>|||</v>
      </c>
      <c r="H10238" s="835">
        <f t="shared" si="400"/>
        <v>31</v>
      </c>
      <c r="AF10238" s="831" t="s">
        <v>10897</v>
      </c>
      <c r="AG10238" s="831" t="s">
        <v>2674</v>
      </c>
      <c r="AH10238" s="831" t="s">
        <v>650</v>
      </c>
      <c r="AI10238" s="831">
        <v>0</v>
      </c>
      <c r="AJ10238" s="835">
        <v>41394</v>
      </c>
      <c r="AK10238" s="831">
        <v>167561680.58333299</v>
      </c>
    </row>
    <row r="10239" spans="2:37">
      <c r="B10239" s="834" t="str">
        <f t="shared" si="399"/>
        <v>|||</v>
      </c>
      <c r="H10239" s="835">
        <f t="shared" si="400"/>
        <v>31</v>
      </c>
      <c r="AF10239" s="831" t="s">
        <v>10898</v>
      </c>
      <c r="AG10239" s="831" t="s">
        <v>2674</v>
      </c>
      <c r="AH10239" s="831" t="s">
        <v>655</v>
      </c>
      <c r="AI10239" s="831">
        <v>0</v>
      </c>
      <c r="AJ10239" s="835">
        <v>41394</v>
      </c>
      <c r="AK10239" s="831">
        <v>2577725</v>
      </c>
    </row>
    <row r="10240" spans="2:37">
      <c r="B10240" s="834" t="str">
        <f t="shared" si="399"/>
        <v>|||</v>
      </c>
      <c r="H10240" s="835">
        <f t="shared" si="400"/>
        <v>31</v>
      </c>
      <c r="AF10240" s="831" t="s">
        <v>10899</v>
      </c>
      <c r="AG10240" s="831" t="s">
        <v>2674</v>
      </c>
      <c r="AH10240" s="831" t="s">
        <v>546</v>
      </c>
      <c r="AI10240" s="831">
        <v>0</v>
      </c>
      <c r="AJ10240" s="835">
        <v>41425</v>
      </c>
      <c r="AK10240" s="831">
        <v>505264542</v>
      </c>
    </row>
    <row r="10241" spans="2:37">
      <c r="B10241" s="834" t="str">
        <f t="shared" si="399"/>
        <v>|||</v>
      </c>
      <c r="H10241" s="835">
        <f t="shared" si="400"/>
        <v>31</v>
      </c>
      <c r="AF10241" s="831" t="s">
        <v>10900</v>
      </c>
      <c r="AG10241" s="831" t="s">
        <v>2674</v>
      </c>
      <c r="AH10241" s="831" t="s">
        <v>370</v>
      </c>
      <c r="AI10241" s="831">
        <v>0</v>
      </c>
      <c r="AJ10241" s="835">
        <v>41425</v>
      </c>
      <c r="AK10241" s="831">
        <v>595292976</v>
      </c>
    </row>
    <row r="10242" spans="2:37">
      <c r="B10242" s="834" t="str">
        <f t="shared" si="399"/>
        <v>|||</v>
      </c>
      <c r="H10242" s="835">
        <f t="shared" si="400"/>
        <v>31</v>
      </c>
      <c r="AF10242" s="831" t="s">
        <v>10901</v>
      </c>
      <c r="AG10242" s="831" t="s">
        <v>2674</v>
      </c>
      <c r="AH10242" s="831" t="s">
        <v>126</v>
      </c>
      <c r="AI10242" s="831">
        <v>0</v>
      </c>
      <c r="AJ10242" s="835">
        <v>41425</v>
      </c>
      <c r="AK10242" s="831">
        <v>105651356</v>
      </c>
    </row>
    <row r="10243" spans="2:37">
      <c r="B10243" s="834" t="str">
        <f t="shared" si="399"/>
        <v>|||</v>
      </c>
      <c r="H10243" s="835">
        <f t="shared" si="400"/>
        <v>31</v>
      </c>
      <c r="AF10243" s="831" t="s">
        <v>10902</v>
      </c>
      <c r="AG10243" s="831" t="s">
        <v>2674</v>
      </c>
      <c r="AH10243" s="831" t="s">
        <v>268</v>
      </c>
      <c r="AI10243" s="831">
        <v>0</v>
      </c>
      <c r="AJ10243" s="835">
        <v>41425</v>
      </c>
      <c r="AK10243" s="831">
        <v>10888133</v>
      </c>
    </row>
    <row r="10244" spans="2:37">
      <c r="B10244" s="834" t="str">
        <f t="shared" si="399"/>
        <v>|||</v>
      </c>
      <c r="H10244" s="835">
        <f t="shared" si="400"/>
        <v>31</v>
      </c>
      <c r="AF10244" s="831" t="s">
        <v>10903</v>
      </c>
      <c r="AG10244" s="831" t="s">
        <v>2674</v>
      </c>
      <c r="AH10244" s="831" t="s">
        <v>547</v>
      </c>
      <c r="AI10244" s="831">
        <v>0</v>
      </c>
      <c r="AJ10244" s="835">
        <v>41425</v>
      </c>
      <c r="AK10244" s="831">
        <v>511487760</v>
      </c>
    </row>
    <row r="10245" spans="2:37">
      <c r="B10245" s="834" t="str">
        <f t="shared" si="399"/>
        <v>|||</v>
      </c>
      <c r="H10245" s="835">
        <f t="shared" si="400"/>
        <v>31</v>
      </c>
      <c r="AF10245" s="831" t="s">
        <v>10904</v>
      </c>
      <c r="AG10245" s="831" t="s">
        <v>2674</v>
      </c>
      <c r="AH10245" s="831" t="s">
        <v>548</v>
      </c>
      <c r="AI10245" s="831">
        <v>0</v>
      </c>
      <c r="AJ10245" s="835">
        <v>41425</v>
      </c>
      <c r="AK10245" s="831">
        <v>96883184</v>
      </c>
    </row>
    <row r="10246" spans="2:37">
      <c r="B10246" s="834" t="str">
        <f t="shared" si="399"/>
        <v>|||</v>
      </c>
      <c r="H10246" s="835">
        <f t="shared" si="400"/>
        <v>31</v>
      </c>
      <c r="AF10246" s="831" t="s">
        <v>10905</v>
      </c>
      <c r="AG10246" s="831" t="s">
        <v>2674</v>
      </c>
      <c r="AH10246" s="831" t="s">
        <v>549</v>
      </c>
      <c r="AI10246" s="831">
        <v>0</v>
      </c>
      <c r="AJ10246" s="835">
        <v>41425</v>
      </c>
      <c r="AK10246" s="831">
        <v>339221349</v>
      </c>
    </row>
    <row r="10247" spans="2:37">
      <c r="B10247" s="834" t="str">
        <f t="shared" si="399"/>
        <v>|||</v>
      </c>
      <c r="H10247" s="835">
        <f t="shared" si="400"/>
        <v>31</v>
      </c>
      <c r="AF10247" s="831" t="s">
        <v>10906</v>
      </c>
      <c r="AG10247" s="831" t="s">
        <v>2674</v>
      </c>
      <c r="AH10247" s="831" t="s">
        <v>192</v>
      </c>
      <c r="AI10247" s="831">
        <v>0</v>
      </c>
      <c r="AJ10247" s="835">
        <v>41425</v>
      </c>
      <c r="AK10247" s="831">
        <v>-12896676</v>
      </c>
    </row>
    <row r="10248" spans="2:37">
      <c r="B10248" s="834" t="str">
        <f t="shared" si="399"/>
        <v>|||</v>
      </c>
      <c r="H10248" s="835">
        <f t="shared" si="400"/>
        <v>31</v>
      </c>
      <c r="AF10248" s="831" t="s">
        <v>10907</v>
      </c>
      <c r="AG10248" s="831" t="s">
        <v>2674</v>
      </c>
      <c r="AH10248" s="831" t="s">
        <v>558</v>
      </c>
      <c r="AI10248" s="831">
        <v>0</v>
      </c>
      <c r="AJ10248" s="835">
        <v>41425</v>
      </c>
      <c r="AK10248" s="831">
        <v>489641620</v>
      </c>
    </row>
    <row r="10249" spans="2:37">
      <c r="B10249" s="834" t="str">
        <f t="shared" si="399"/>
        <v>|||</v>
      </c>
      <c r="H10249" s="835">
        <f t="shared" si="400"/>
        <v>31</v>
      </c>
      <c r="AF10249" s="831" t="s">
        <v>10908</v>
      </c>
      <c r="AG10249" s="831" t="s">
        <v>2674</v>
      </c>
      <c r="AH10249" s="831" t="s">
        <v>65</v>
      </c>
      <c r="AI10249" s="831">
        <v>0</v>
      </c>
      <c r="AJ10249" s="835">
        <v>41425</v>
      </c>
      <c r="AK10249" s="831">
        <v>49637231</v>
      </c>
    </row>
    <row r="10250" spans="2:37">
      <c r="B10250" s="834" t="str">
        <f t="shared" si="399"/>
        <v>|||</v>
      </c>
      <c r="H10250" s="835">
        <f t="shared" si="400"/>
        <v>31</v>
      </c>
      <c r="AF10250" s="831" t="s">
        <v>10909</v>
      </c>
      <c r="AG10250" s="831" t="s">
        <v>2674</v>
      </c>
      <c r="AH10250" s="831" t="s">
        <v>89</v>
      </c>
      <c r="AI10250" s="831">
        <v>0</v>
      </c>
      <c r="AJ10250" s="835">
        <v>41425</v>
      </c>
      <c r="AK10250" s="831">
        <v>135204</v>
      </c>
    </row>
    <row r="10251" spans="2:37">
      <c r="B10251" s="834" t="str">
        <f t="shared" si="399"/>
        <v>|||</v>
      </c>
      <c r="H10251" s="835">
        <f t="shared" si="400"/>
        <v>31</v>
      </c>
      <c r="AF10251" s="831" t="s">
        <v>10910</v>
      </c>
      <c r="AG10251" s="831" t="s">
        <v>2674</v>
      </c>
      <c r="AH10251" s="831" t="s">
        <v>557</v>
      </c>
      <c r="AI10251" s="831">
        <v>0</v>
      </c>
      <c r="AJ10251" s="835">
        <v>41425</v>
      </c>
      <c r="AK10251" s="831">
        <v>139930</v>
      </c>
    </row>
    <row r="10252" spans="2:37">
      <c r="B10252" s="834" t="str">
        <f t="shared" si="399"/>
        <v>|||</v>
      </c>
      <c r="H10252" s="835">
        <f t="shared" si="400"/>
        <v>31</v>
      </c>
      <c r="AF10252" s="831" t="s">
        <v>10911</v>
      </c>
      <c r="AG10252" s="831" t="s">
        <v>2674</v>
      </c>
      <c r="AH10252" s="831" t="s">
        <v>29</v>
      </c>
      <c r="AI10252" s="831">
        <v>0</v>
      </c>
      <c r="AJ10252" s="835">
        <v>41425</v>
      </c>
      <c r="AK10252" s="831">
        <v>2486253</v>
      </c>
    </row>
    <row r="10253" spans="2:37">
      <c r="B10253" s="834" t="str">
        <f t="shared" si="399"/>
        <v>|||</v>
      </c>
      <c r="H10253" s="835">
        <f t="shared" si="400"/>
        <v>31</v>
      </c>
      <c r="AF10253" s="831" t="s">
        <v>10912</v>
      </c>
      <c r="AG10253" s="831" t="s">
        <v>2674</v>
      </c>
      <c r="AH10253" s="831" t="s">
        <v>2688</v>
      </c>
      <c r="AI10253" s="831">
        <v>0</v>
      </c>
      <c r="AJ10253" s="835">
        <v>41425</v>
      </c>
      <c r="AK10253" s="831">
        <v>2733940</v>
      </c>
    </row>
    <row r="10254" spans="2:37">
      <c r="B10254" s="834" t="str">
        <f t="shared" si="399"/>
        <v>|||</v>
      </c>
      <c r="H10254" s="835">
        <f t="shared" si="400"/>
        <v>31</v>
      </c>
      <c r="AF10254" s="831" t="s">
        <v>10913</v>
      </c>
      <c r="AG10254" s="831" t="s">
        <v>2674</v>
      </c>
      <c r="AH10254" s="831" t="s">
        <v>556</v>
      </c>
      <c r="AI10254" s="831">
        <v>0</v>
      </c>
      <c r="AJ10254" s="835">
        <v>41425</v>
      </c>
      <c r="AK10254" s="831">
        <v>902857</v>
      </c>
    </row>
    <row r="10255" spans="2:37">
      <c r="B10255" s="834" t="str">
        <f t="shared" si="399"/>
        <v>|||</v>
      </c>
      <c r="H10255" s="835">
        <f t="shared" si="400"/>
        <v>31</v>
      </c>
      <c r="AF10255" s="831" t="s">
        <v>10914</v>
      </c>
      <c r="AG10255" s="831" t="s">
        <v>2674</v>
      </c>
      <c r="AH10255" s="831" t="s">
        <v>555</v>
      </c>
      <c r="AI10255" s="831">
        <v>0</v>
      </c>
      <c r="AJ10255" s="835">
        <v>41425</v>
      </c>
      <c r="AK10255" s="831">
        <v>310274630</v>
      </c>
    </row>
    <row r="10256" spans="2:37">
      <c r="B10256" s="834" t="str">
        <f t="shared" si="399"/>
        <v>|||</v>
      </c>
      <c r="H10256" s="835">
        <f t="shared" si="400"/>
        <v>31</v>
      </c>
      <c r="AF10256" s="831" t="s">
        <v>10915</v>
      </c>
      <c r="AG10256" s="831" t="s">
        <v>2674</v>
      </c>
      <c r="AH10256" s="831" t="s">
        <v>554</v>
      </c>
      <c r="AI10256" s="831">
        <v>0</v>
      </c>
      <c r="AJ10256" s="835">
        <v>41425</v>
      </c>
      <c r="AK10256" s="831">
        <v>296232200</v>
      </c>
    </row>
    <row r="10257" spans="2:37">
      <c r="B10257" s="834" t="str">
        <f t="shared" ref="B10257:B10320" si="401">C10257&amp;"|"&amp;D10257&amp;"|"&amp;E10257&amp;"|"&amp;F10257</f>
        <v>|||</v>
      </c>
      <c r="H10257" s="835">
        <f t="shared" ref="H10257:H10320" si="402">EOMONTH(L10257,0)</f>
        <v>31</v>
      </c>
      <c r="AF10257" s="831" t="s">
        <v>10916</v>
      </c>
      <c r="AG10257" s="831" t="s">
        <v>2674</v>
      </c>
      <c r="AH10257" s="831" t="s">
        <v>553</v>
      </c>
      <c r="AI10257" s="831">
        <v>0</v>
      </c>
      <c r="AJ10257" s="835">
        <v>41425</v>
      </c>
      <c r="AK10257" s="831">
        <v>0</v>
      </c>
    </row>
    <row r="10258" spans="2:37">
      <c r="B10258" s="834" t="str">
        <f t="shared" si="401"/>
        <v>|||</v>
      </c>
      <c r="H10258" s="835">
        <f t="shared" si="402"/>
        <v>31</v>
      </c>
      <c r="AF10258" s="831" t="s">
        <v>10917</v>
      </c>
      <c r="AG10258" s="831" t="s">
        <v>2674</v>
      </c>
      <c r="AH10258" s="831" t="s">
        <v>552</v>
      </c>
      <c r="AI10258" s="831">
        <v>0</v>
      </c>
      <c r="AJ10258" s="835">
        <v>41425</v>
      </c>
      <c r="AK10258" s="831">
        <v>0</v>
      </c>
    </row>
    <row r="10259" spans="2:37">
      <c r="B10259" s="834" t="str">
        <f t="shared" si="401"/>
        <v>|||</v>
      </c>
      <c r="H10259" s="835">
        <f t="shared" si="402"/>
        <v>31</v>
      </c>
      <c r="AF10259" s="831" t="s">
        <v>10918</v>
      </c>
      <c r="AG10259" s="831" t="s">
        <v>2674</v>
      </c>
      <c r="AH10259" s="831" t="s">
        <v>551</v>
      </c>
      <c r="AI10259" s="831">
        <v>0</v>
      </c>
      <c r="AJ10259" s="835">
        <v>41425</v>
      </c>
      <c r="AK10259" s="831">
        <v>2323653</v>
      </c>
    </row>
    <row r="10260" spans="2:37">
      <c r="B10260" s="834" t="str">
        <f t="shared" si="401"/>
        <v>|||</v>
      </c>
      <c r="H10260" s="835">
        <f t="shared" si="402"/>
        <v>31</v>
      </c>
      <c r="AF10260" s="831" t="s">
        <v>10919</v>
      </c>
      <c r="AG10260" s="831" t="s">
        <v>2674</v>
      </c>
      <c r="AH10260" s="831" t="s">
        <v>550</v>
      </c>
      <c r="AI10260" s="831">
        <v>0</v>
      </c>
      <c r="AJ10260" s="835">
        <v>41425</v>
      </c>
      <c r="AK10260" s="831">
        <v>103327866</v>
      </c>
    </row>
    <row r="10261" spans="2:37">
      <c r="B10261" s="834" t="str">
        <f t="shared" si="401"/>
        <v>|||</v>
      </c>
      <c r="H10261" s="835">
        <f t="shared" si="402"/>
        <v>31</v>
      </c>
      <c r="AF10261" s="831" t="s">
        <v>10920</v>
      </c>
      <c r="AG10261" s="831" t="s">
        <v>2674</v>
      </c>
      <c r="AH10261" s="831" t="s">
        <v>562</v>
      </c>
      <c r="AI10261" s="831">
        <v>0</v>
      </c>
      <c r="AJ10261" s="835">
        <v>41425</v>
      </c>
      <c r="AK10261" s="831">
        <v>0.78405000000000002</v>
      </c>
    </row>
    <row r="10262" spans="2:37">
      <c r="B10262" s="834" t="str">
        <f t="shared" si="401"/>
        <v>|||</v>
      </c>
      <c r="H10262" s="835">
        <f t="shared" si="402"/>
        <v>31</v>
      </c>
      <c r="AF10262" s="831" t="s">
        <v>10921</v>
      </c>
      <c r="AG10262" s="831" t="s">
        <v>2674</v>
      </c>
      <c r="AH10262" s="831" t="s">
        <v>2698</v>
      </c>
      <c r="AI10262" s="831">
        <v>0</v>
      </c>
      <c r="AJ10262" s="835">
        <v>41425</v>
      </c>
      <c r="AK10262" s="831">
        <v>0.78405000000000002</v>
      </c>
    </row>
    <row r="10263" spans="2:37">
      <c r="B10263" s="834" t="str">
        <f t="shared" si="401"/>
        <v>|||</v>
      </c>
      <c r="H10263" s="835">
        <f t="shared" si="402"/>
        <v>31</v>
      </c>
      <c r="AF10263" s="831" t="s">
        <v>10922</v>
      </c>
      <c r="AG10263" s="831" t="s">
        <v>2674</v>
      </c>
      <c r="AH10263" s="831" t="s">
        <v>560</v>
      </c>
      <c r="AI10263" s="831">
        <v>0</v>
      </c>
      <c r="AJ10263" s="835">
        <v>41425</v>
      </c>
      <c r="AK10263" s="831">
        <v>0.78410999999999997</v>
      </c>
    </row>
    <row r="10264" spans="2:37">
      <c r="B10264" s="834" t="str">
        <f t="shared" si="401"/>
        <v>|||</v>
      </c>
      <c r="H10264" s="835">
        <f t="shared" si="402"/>
        <v>31</v>
      </c>
      <c r="AF10264" s="831" t="s">
        <v>10923</v>
      </c>
      <c r="AG10264" s="831" t="s">
        <v>2674</v>
      </c>
      <c r="AH10264" s="831" t="s">
        <v>559</v>
      </c>
      <c r="AI10264" s="831">
        <v>0</v>
      </c>
      <c r="AJ10264" s="835">
        <v>41425</v>
      </c>
      <c r="AK10264" s="831">
        <v>0.78434999999999999</v>
      </c>
    </row>
    <row r="10265" spans="2:37">
      <c r="B10265" s="834" t="str">
        <f t="shared" si="401"/>
        <v>|||</v>
      </c>
      <c r="H10265" s="835">
        <f t="shared" si="402"/>
        <v>31</v>
      </c>
      <c r="AF10265" s="831" t="s">
        <v>10924</v>
      </c>
      <c r="AG10265" s="831" t="s">
        <v>2674</v>
      </c>
      <c r="AH10265" s="831" t="s">
        <v>568</v>
      </c>
      <c r="AI10265" s="831">
        <v>0</v>
      </c>
      <c r="AJ10265" s="835">
        <v>41425</v>
      </c>
      <c r="AK10265" s="831">
        <v>403269368.46153802</v>
      </c>
    </row>
    <row r="10266" spans="2:37">
      <c r="B10266" s="834" t="str">
        <f t="shared" si="401"/>
        <v>|||</v>
      </c>
      <c r="H10266" s="835">
        <f t="shared" si="402"/>
        <v>31</v>
      </c>
      <c r="AF10266" s="831" t="s">
        <v>10925</v>
      </c>
      <c r="AG10266" s="831" t="s">
        <v>2674</v>
      </c>
      <c r="AH10266" s="831" t="s">
        <v>569</v>
      </c>
      <c r="AI10266" s="831">
        <v>0</v>
      </c>
      <c r="AJ10266" s="835">
        <v>41425</v>
      </c>
      <c r="AK10266" s="831">
        <v>489498908.69230801</v>
      </c>
    </row>
    <row r="10267" spans="2:37">
      <c r="B10267" s="834" t="str">
        <f t="shared" si="401"/>
        <v>|||</v>
      </c>
      <c r="H10267" s="835">
        <f t="shared" si="402"/>
        <v>31</v>
      </c>
      <c r="AF10267" s="831" t="s">
        <v>10926</v>
      </c>
      <c r="AG10267" s="831" t="s">
        <v>2674</v>
      </c>
      <c r="AH10267" s="831" t="s">
        <v>570</v>
      </c>
      <c r="AI10267" s="831">
        <v>0</v>
      </c>
      <c r="AJ10267" s="835">
        <v>41425</v>
      </c>
      <c r="AK10267" s="831">
        <v>98165424.230769202</v>
      </c>
    </row>
    <row r="10268" spans="2:37">
      <c r="B10268" s="834" t="str">
        <f t="shared" si="401"/>
        <v>|||</v>
      </c>
      <c r="H10268" s="835">
        <f t="shared" si="402"/>
        <v>31</v>
      </c>
      <c r="AF10268" s="831" t="s">
        <v>10927</v>
      </c>
      <c r="AG10268" s="831" t="s">
        <v>2674</v>
      </c>
      <c r="AH10268" s="831" t="s">
        <v>571</v>
      </c>
      <c r="AI10268" s="831">
        <v>0</v>
      </c>
      <c r="AJ10268" s="835">
        <v>41425</v>
      </c>
      <c r="AK10268" s="831">
        <v>207953338.07692301</v>
      </c>
    </row>
    <row r="10269" spans="2:37">
      <c r="B10269" s="834" t="str">
        <f t="shared" si="401"/>
        <v>|||</v>
      </c>
      <c r="H10269" s="835">
        <f t="shared" si="402"/>
        <v>31</v>
      </c>
      <c r="AF10269" s="831" t="s">
        <v>10928</v>
      </c>
      <c r="AG10269" s="831" t="s">
        <v>2674</v>
      </c>
      <c r="AH10269" s="831" t="s">
        <v>573</v>
      </c>
      <c r="AI10269" s="831">
        <v>0</v>
      </c>
      <c r="AJ10269" s="835">
        <v>41425</v>
      </c>
      <c r="AK10269" s="831">
        <v>543238144.33333302</v>
      </c>
    </row>
    <row r="10270" spans="2:37">
      <c r="B10270" s="834" t="str">
        <f t="shared" si="401"/>
        <v>|||</v>
      </c>
      <c r="H10270" s="835">
        <f t="shared" si="402"/>
        <v>31</v>
      </c>
      <c r="AF10270" s="831" t="s">
        <v>10929</v>
      </c>
      <c r="AG10270" s="831" t="s">
        <v>2674</v>
      </c>
      <c r="AH10270" s="831" t="s">
        <v>574</v>
      </c>
      <c r="AI10270" s="831">
        <v>0</v>
      </c>
      <c r="AJ10270" s="835">
        <v>41425</v>
      </c>
      <c r="AK10270" s="831">
        <v>451779902.5</v>
      </c>
    </row>
    <row r="10271" spans="2:37">
      <c r="B10271" s="834" t="str">
        <f t="shared" si="401"/>
        <v>|||</v>
      </c>
      <c r="H10271" s="835">
        <f t="shared" si="402"/>
        <v>31</v>
      </c>
      <c r="AF10271" s="831" t="s">
        <v>10930</v>
      </c>
      <c r="AG10271" s="831" t="s">
        <v>2674</v>
      </c>
      <c r="AH10271" s="831" t="s">
        <v>575</v>
      </c>
      <c r="AI10271" s="831">
        <v>0</v>
      </c>
      <c r="AJ10271" s="835">
        <v>41425</v>
      </c>
      <c r="AK10271" s="831">
        <v>101069296.166667</v>
      </c>
    </row>
    <row r="10272" spans="2:37">
      <c r="B10272" s="834" t="str">
        <f t="shared" si="401"/>
        <v>|||</v>
      </c>
      <c r="H10272" s="835">
        <f t="shared" si="402"/>
        <v>31</v>
      </c>
      <c r="AF10272" s="831" t="s">
        <v>10931</v>
      </c>
      <c r="AG10272" s="831" t="s">
        <v>2674</v>
      </c>
      <c r="AH10272" s="831" t="s">
        <v>576</v>
      </c>
      <c r="AI10272" s="831">
        <v>0</v>
      </c>
      <c r="AJ10272" s="835">
        <v>41425</v>
      </c>
      <c r="AK10272" s="831">
        <v>247239046.16666701</v>
      </c>
    </row>
    <row r="10273" spans="2:37">
      <c r="B10273" s="834" t="str">
        <f t="shared" si="401"/>
        <v>|||</v>
      </c>
      <c r="H10273" s="835">
        <f t="shared" si="402"/>
        <v>31</v>
      </c>
      <c r="AF10273" s="831" t="s">
        <v>10932</v>
      </c>
      <c r="AG10273" s="831" t="s">
        <v>2674</v>
      </c>
      <c r="AH10273" s="831" t="s">
        <v>572</v>
      </c>
      <c r="AI10273" s="831">
        <v>0</v>
      </c>
      <c r="AJ10273" s="835">
        <v>41425</v>
      </c>
      <c r="AK10273" s="831">
        <v>21530747</v>
      </c>
    </row>
    <row r="10274" spans="2:37">
      <c r="B10274" s="834" t="str">
        <f t="shared" si="401"/>
        <v>|||</v>
      </c>
      <c r="H10274" s="835">
        <f t="shared" si="402"/>
        <v>31</v>
      </c>
      <c r="AF10274" s="831" t="s">
        <v>10933</v>
      </c>
      <c r="AG10274" s="831" t="s">
        <v>2674</v>
      </c>
      <c r="AH10274" s="831" t="s">
        <v>577</v>
      </c>
      <c r="AI10274" s="831">
        <v>0</v>
      </c>
      <c r="AJ10274" s="835">
        <v>41425</v>
      </c>
      <c r="AK10274" s="831">
        <v>110403012</v>
      </c>
    </row>
    <row r="10275" spans="2:37">
      <c r="B10275" s="834" t="str">
        <f t="shared" si="401"/>
        <v>|||</v>
      </c>
      <c r="H10275" s="835">
        <f t="shared" si="402"/>
        <v>31</v>
      </c>
      <c r="AF10275" s="831" t="s">
        <v>10934</v>
      </c>
      <c r="AG10275" s="831" t="s">
        <v>2674</v>
      </c>
      <c r="AH10275" s="831" t="s">
        <v>3042</v>
      </c>
      <c r="AI10275" s="831">
        <v>0</v>
      </c>
      <c r="AJ10275" s="835">
        <v>41425</v>
      </c>
      <c r="AK10275" s="831">
        <v>-27020607</v>
      </c>
    </row>
    <row r="10276" spans="2:37">
      <c r="B10276" s="834" t="str">
        <f t="shared" si="401"/>
        <v>|||</v>
      </c>
      <c r="H10276" s="835">
        <f t="shared" si="402"/>
        <v>31</v>
      </c>
      <c r="AF10276" s="831" t="s">
        <v>10935</v>
      </c>
      <c r="AG10276" s="831" t="s">
        <v>2674</v>
      </c>
      <c r="AH10276" s="831" t="s">
        <v>3044</v>
      </c>
      <c r="AI10276" s="831">
        <v>0</v>
      </c>
      <c r="AJ10276" s="835">
        <v>41425</v>
      </c>
      <c r="AK10276" s="831">
        <v>-4070350</v>
      </c>
    </row>
    <row r="10277" spans="2:37">
      <c r="B10277" s="834" t="str">
        <f t="shared" si="401"/>
        <v>|||</v>
      </c>
      <c r="H10277" s="835">
        <f t="shared" si="402"/>
        <v>31</v>
      </c>
      <c r="AF10277" s="831" t="s">
        <v>10936</v>
      </c>
      <c r="AG10277" s="831" t="s">
        <v>2674</v>
      </c>
      <c r="AH10277" s="831" t="s">
        <v>580</v>
      </c>
      <c r="AI10277" s="831">
        <v>0</v>
      </c>
      <c r="AJ10277" s="835">
        <v>41425</v>
      </c>
      <c r="AK10277" s="831">
        <v>-55847177</v>
      </c>
    </row>
    <row r="10278" spans="2:37">
      <c r="B10278" s="834" t="str">
        <f t="shared" si="401"/>
        <v>|||</v>
      </c>
      <c r="H10278" s="835">
        <f t="shared" si="402"/>
        <v>31</v>
      </c>
      <c r="AF10278" s="831" t="s">
        <v>10937</v>
      </c>
      <c r="AG10278" s="831" t="s">
        <v>2674</v>
      </c>
      <c r="AH10278" s="831" t="s">
        <v>581</v>
      </c>
      <c r="AI10278" s="831">
        <v>0</v>
      </c>
      <c r="AJ10278" s="835">
        <v>41425</v>
      </c>
      <c r="AK10278" s="831">
        <v>3833349</v>
      </c>
    </row>
    <row r="10279" spans="2:37">
      <c r="B10279" s="834" t="str">
        <f t="shared" si="401"/>
        <v>|||</v>
      </c>
      <c r="H10279" s="835">
        <f t="shared" si="402"/>
        <v>31</v>
      </c>
      <c r="AF10279" s="831" t="s">
        <v>10938</v>
      </c>
      <c r="AG10279" s="831" t="s">
        <v>2674</v>
      </c>
      <c r="AH10279" s="831" t="s">
        <v>105</v>
      </c>
      <c r="AI10279" s="831">
        <v>0</v>
      </c>
      <c r="AJ10279" s="835">
        <v>41425</v>
      </c>
      <c r="AK10279" s="831">
        <v>274684797</v>
      </c>
    </row>
    <row r="10280" spans="2:37">
      <c r="B10280" s="834" t="str">
        <f t="shared" si="401"/>
        <v>|||</v>
      </c>
      <c r="H10280" s="835">
        <f t="shared" si="402"/>
        <v>31</v>
      </c>
      <c r="AF10280" s="831" t="s">
        <v>10939</v>
      </c>
      <c r="AG10280" s="831" t="s">
        <v>2674</v>
      </c>
      <c r="AH10280" s="831" t="s">
        <v>3049</v>
      </c>
      <c r="AI10280" s="831">
        <v>0</v>
      </c>
      <c r="AJ10280" s="835">
        <v>41425</v>
      </c>
      <c r="AK10280" s="831">
        <v>474215187</v>
      </c>
    </row>
    <row r="10281" spans="2:37">
      <c r="B10281" s="834" t="str">
        <f t="shared" si="401"/>
        <v>|||</v>
      </c>
      <c r="H10281" s="835">
        <f t="shared" si="402"/>
        <v>31</v>
      </c>
      <c r="AF10281" s="831" t="s">
        <v>10940</v>
      </c>
      <c r="AG10281" s="831" t="s">
        <v>2674</v>
      </c>
      <c r="AH10281" s="831" t="s">
        <v>103</v>
      </c>
      <c r="AI10281" s="831">
        <v>0</v>
      </c>
      <c r="AJ10281" s="835">
        <v>41425</v>
      </c>
      <c r="AK10281" s="831">
        <v>199530390</v>
      </c>
    </row>
    <row r="10282" spans="2:37">
      <c r="B10282" s="834" t="str">
        <f t="shared" si="401"/>
        <v>|||</v>
      </c>
      <c r="H10282" s="835">
        <f t="shared" si="402"/>
        <v>31</v>
      </c>
      <c r="AF10282" s="831" t="s">
        <v>10941</v>
      </c>
      <c r="AG10282" s="831" t="s">
        <v>2674</v>
      </c>
      <c r="AH10282" s="831" t="s">
        <v>182</v>
      </c>
      <c r="AI10282" s="831">
        <v>0</v>
      </c>
      <c r="AJ10282" s="835">
        <v>41425</v>
      </c>
      <c r="AK10282" s="831">
        <v>56542824</v>
      </c>
    </row>
    <row r="10283" spans="2:37">
      <c r="B10283" s="834" t="str">
        <f t="shared" si="401"/>
        <v>|||</v>
      </c>
      <c r="H10283" s="835">
        <f t="shared" si="402"/>
        <v>31</v>
      </c>
      <c r="AF10283" s="831" t="s">
        <v>10942</v>
      </c>
      <c r="AG10283" s="831" t="s">
        <v>2674</v>
      </c>
      <c r="AH10283" s="831" t="s">
        <v>6600</v>
      </c>
      <c r="AI10283" s="831">
        <v>0</v>
      </c>
      <c r="AJ10283" s="835">
        <v>41425</v>
      </c>
      <c r="AK10283" s="831">
        <v>21530747</v>
      </c>
    </row>
    <row r="10284" spans="2:37">
      <c r="B10284" s="834" t="str">
        <f t="shared" si="401"/>
        <v>|||</v>
      </c>
      <c r="H10284" s="835">
        <f t="shared" si="402"/>
        <v>31</v>
      </c>
      <c r="AF10284" s="831" t="s">
        <v>10943</v>
      </c>
      <c r="AG10284" s="831" t="s">
        <v>2674</v>
      </c>
      <c r="AH10284" s="831" t="s">
        <v>6602</v>
      </c>
      <c r="AI10284" s="831">
        <v>0</v>
      </c>
      <c r="AJ10284" s="835">
        <v>41425</v>
      </c>
      <c r="AK10284" s="831">
        <v>10888133</v>
      </c>
    </row>
    <row r="10285" spans="2:37">
      <c r="B10285" s="834" t="str">
        <f t="shared" si="401"/>
        <v>|||</v>
      </c>
      <c r="H10285" s="835">
        <f t="shared" si="402"/>
        <v>31</v>
      </c>
      <c r="AF10285" s="831" t="s">
        <v>10944</v>
      </c>
      <c r="AG10285" s="831" t="s">
        <v>2674</v>
      </c>
      <c r="AH10285" s="831" t="s">
        <v>650</v>
      </c>
      <c r="AI10285" s="831">
        <v>0</v>
      </c>
      <c r="AJ10285" s="835">
        <v>41425</v>
      </c>
      <c r="AK10285" s="831">
        <v>170020812.07692301</v>
      </c>
    </row>
    <row r="10286" spans="2:37">
      <c r="B10286" s="834" t="str">
        <f t="shared" si="401"/>
        <v>|||</v>
      </c>
      <c r="H10286" s="835">
        <f t="shared" si="402"/>
        <v>31</v>
      </c>
      <c r="AF10286" s="831" t="s">
        <v>10945</v>
      </c>
      <c r="AG10286" s="831" t="s">
        <v>2674</v>
      </c>
      <c r="AH10286" s="831" t="s">
        <v>655</v>
      </c>
      <c r="AI10286" s="831">
        <v>0</v>
      </c>
      <c r="AJ10286" s="835">
        <v>41425</v>
      </c>
      <c r="AK10286" s="831">
        <v>2273827</v>
      </c>
    </row>
    <row r="10287" spans="2:37">
      <c r="B10287" s="834" t="str">
        <f t="shared" si="401"/>
        <v>|||</v>
      </c>
      <c r="H10287" s="835">
        <f t="shared" si="402"/>
        <v>31</v>
      </c>
      <c r="AF10287" s="831" t="s">
        <v>10946</v>
      </c>
      <c r="AG10287" s="831" t="s">
        <v>2674</v>
      </c>
      <c r="AH10287" s="831" t="s">
        <v>546</v>
      </c>
      <c r="AI10287" s="831">
        <v>0</v>
      </c>
      <c r="AJ10287" s="835">
        <v>41455</v>
      </c>
      <c r="AK10287" s="831">
        <v>514798833</v>
      </c>
    </row>
    <row r="10288" spans="2:37">
      <c r="B10288" s="834" t="str">
        <f t="shared" si="401"/>
        <v>|||</v>
      </c>
      <c r="H10288" s="835">
        <f t="shared" si="402"/>
        <v>31</v>
      </c>
      <c r="AF10288" s="831" t="s">
        <v>10947</v>
      </c>
      <c r="AG10288" s="831" t="s">
        <v>2674</v>
      </c>
      <c r="AH10288" s="831" t="s">
        <v>370</v>
      </c>
      <c r="AI10288" s="831">
        <v>0</v>
      </c>
      <c r="AJ10288" s="835">
        <v>41455</v>
      </c>
      <c r="AK10288" s="831">
        <v>641101315</v>
      </c>
    </row>
    <row r="10289" spans="2:37">
      <c r="B10289" s="834" t="str">
        <f t="shared" si="401"/>
        <v>|||</v>
      </c>
      <c r="H10289" s="835">
        <f t="shared" si="402"/>
        <v>31</v>
      </c>
      <c r="AF10289" s="831" t="s">
        <v>10948</v>
      </c>
      <c r="AG10289" s="831" t="s">
        <v>2674</v>
      </c>
      <c r="AH10289" s="831" t="s">
        <v>126</v>
      </c>
      <c r="AI10289" s="831">
        <v>0</v>
      </c>
      <c r="AJ10289" s="835">
        <v>41455</v>
      </c>
      <c r="AK10289" s="831">
        <v>108060358</v>
      </c>
    </row>
    <row r="10290" spans="2:37">
      <c r="B10290" s="834" t="str">
        <f t="shared" si="401"/>
        <v>|||</v>
      </c>
      <c r="H10290" s="835">
        <f t="shared" si="402"/>
        <v>31</v>
      </c>
      <c r="AF10290" s="831" t="s">
        <v>10949</v>
      </c>
      <c r="AG10290" s="831" t="s">
        <v>2674</v>
      </c>
      <c r="AH10290" s="831" t="s">
        <v>268</v>
      </c>
      <c r="AI10290" s="831">
        <v>0</v>
      </c>
      <c r="AJ10290" s="835">
        <v>41455</v>
      </c>
      <c r="AK10290" s="831">
        <v>13297133</v>
      </c>
    </row>
    <row r="10291" spans="2:37">
      <c r="B10291" s="834" t="str">
        <f t="shared" si="401"/>
        <v>|||</v>
      </c>
      <c r="H10291" s="835">
        <f t="shared" si="402"/>
        <v>31</v>
      </c>
      <c r="AF10291" s="831" t="s">
        <v>10950</v>
      </c>
      <c r="AG10291" s="831" t="s">
        <v>2674</v>
      </c>
      <c r="AH10291" s="831" t="s">
        <v>547</v>
      </c>
      <c r="AI10291" s="831">
        <v>0</v>
      </c>
      <c r="AJ10291" s="835">
        <v>41455</v>
      </c>
      <c r="AK10291" s="831">
        <v>511487760</v>
      </c>
    </row>
    <row r="10292" spans="2:37">
      <c r="B10292" s="834" t="str">
        <f t="shared" si="401"/>
        <v>|||</v>
      </c>
      <c r="H10292" s="835">
        <f t="shared" si="402"/>
        <v>31</v>
      </c>
      <c r="AF10292" s="831" t="s">
        <v>10951</v>
      </c>
      <c r="AG10292" s="831" t="s">
        <v>2674</v>
      </c>
      <c r="AH10292" s="831" t="s">
        <v>548</v>
      </c>
      <c r="AI10292" s="831">
        <v>0</v>
      </c>
      <c r="AJ10292" s="835">
        <v>41455</v>
      </c>
      <c r="AK10292" s="831">
        <v>96883184</v>
      </c>
    </row>
    <row r="10293" spans="2:37">
      <c r="B10293" s="834" t="str">
        <f t="shared" si="401"/>
        <v>|||</v>
      </c>
      <c r="H10293" s="835">
        <f t="shared" si="402"/>
        <v>31</v>
      </c>
      <c r="AF10293" s="831" t="s">
        <v>10952</v>
      </c>
      <c r="AG10293" s="831" t="s">
        <v>2674</v>
      </c>
      <c r="AH10293" s="831" t="s">
        <v>549</v>
      </c>
      <c r="AI10293" s="831">
        <v>0</v>
      </c>
      <c r="AJ10293" s="835">
        <v>41455</v>
      </c>
      <c r="AK10293" s="831">
        <v>342628450</v>
      </c>
    </row>
    <row r="10294" spans="2:37">
      <c r="B10294" s="834" t="str">
        <f t="shared" si="401"/>
        <v>|||</v>
      </c>
      <c r="H10294" s="835">
        <f t="shared" si="402"/>
        <v>31</v>
      </c>
      <c r="AF10294" s="831" t="s">
        <v>10953</v>
      </c>
      <c r="AG10294" s="831" t="s">
        <v>2674</v>
      </c>
      <c r="AH10294" s="831" t="s">
        <v>192</v>
      </c>
      <c r="AI10294" s="831">
        <v>0</v>
      </c>
      <c r="AJ10294" s="835">
        <v>41455</v>
      </c>
      <c r="AK10294" s="831">
        <v>-11546784</v>
      </c>
    </row>
    <row r="10295" spans="2:37">
      <c r="B10295" s="834" t="str">
        <f t="shared" si="401"/>
        <v>|||</v>
      </c>
      <c r="H10295" s="835">
        <f t="shared" si="402"/>
        <v>31</v>
      </c>
      <c r="AF10295" s="831" t="s">
        <v>10954</v>
      </c>
      <c r="AG10295" s="831" t="s">
        <v>2674</v>
      </c>
      <c r="AH10295" s="831" t="s">
        <v>558</v>
      </c>
      <c r="AI10295" s="831">
        <v>0</v>
      </c>
      <c r="AJ10295" s="835">
        <v>41455</v>
      </c>
      <c r="AK10295" s="831">
        <v>533040957</v>
      </c>
    </row>
    <row r="10296" spans="2:37">
      <c r="B10296" s="834" t="str">
        <f t="shared" si="401"/>
        <v>|||</v>
      </c>
      <c r="H10296" s="835">
        <f t="shared" si="402"/>
        <v>31</v>
      </c>
      <c r="AF10296" s="831" t="s">
        <v>10955</v>
      </c>
      <c r="AG10296" s="831" t="s">
        <v>2674</v>
      </c>
      <c r="AH10296" s="831" t="s">
        <v>65</v>
      </c>
      <c r="AI10296" s="831">
        <v>0</v>
      </c>
      <c r="AJ10296" s="835">
        <v>41455</v>
      </c>
      <c r="AK10296" s="831">
        <v>60193699</v>
      </c>
    </row>
    <row r="10297" spans="2:37">
      <c r="B10297" s="834" t="str">
        <f t="shared" si="401"/>
        <v>|||</v>
      </c>
      <c r="H10297" s="835">
        <f t="shared" si="402"/>
        <v>31</v>
      </c>
      <c r="AF10297" s="831" t="s">
        <v>10956</v>
      </c>
      <c r="AG10297" s="831" t="s">
        <v>2674</v>
      </c>
      <c r="AH10297" s="831" t="s">
        <v>89</v>
      </c>
      <c r="AI10297" s="831">
        <v>0</v>
      </c>
      <c r="AJ10297" s="835">
        <v>41455</v>
      </c>
      <c r="AK10297" s="831">
        <v>136633</v>
      </c>
    </row>
    <row r="10298" spans="2:37">
      <c r="B10298" s="834" t="str">
        <f t="shared" si="401"/>
        <v>|||</v>
      </c>
      <c r="H10298" s="835">
        <f t="shared" si="402"/>
        <v>31</v>
      </c>
      <c r="AF10298" s="831" t="s">
        <v>10957</v>
      </c>
      <c r="AG10298" s="831" t="s">
        <v>2674</v>
      </c>
      <c r="AH10298" s="831" t="s">
        <v>557</v>
      </c>
      <c r="AI10298" s="831">
        <v>0</v>
      </c>
      <c r="AJ10298" s="835">
        <v>41455</v>
      </c>
      <c r="AK10298" s="831">
        <v>142092</v>
      </c>
    </row>
    <row r="10299" spans="2:37">
      <c r="B10299" s="834" t="str">
        <f t="shared" si="401"/>
        <v>|||</v>
      </c>
      <c r="H10299" s="835">
        <f t="shared" si="402"/>
        <v>31</v>
      </c>
      <c r="AF10299" s="831" t="s">
        <v>10958</v>
      </c>
      <c r="AG10299" s="831" t="s">
        <v>2674</v>
      </c>
      <c r="AH10299" s="831" t="s">
        <v>29</v>
      </c>
      <c r="AI10299" s="831">
        <v>0</v>
      </c>
      <c r="AJ10299" s="835">
        <v>41455</v>
      </c>
      <c r="AK10299" s="831">
        <v>1424399.06</v>
      </c>
    </row>
    <row r="10300" spans="2:37">
      <c r="B10300" s="834" t="str">
        <f t="shared" si="401"/>
        <v>|||</v>
      </c>
      <c r="H10300" s="835">
        <f t="shared" si="402"/>
        <v>31</v>
      </c>
      <c r="AF10300" s="831" t="s">
        <v>10959</v>
      </c>
      <c r="AG10300" s="831" t="s">
        <v>2674</v>
      </c>
      <c r="AH10300" s="831" t="s">
        <v>2688</v>
      </c>
      <c r="AI10300" s="831">
        <v>0</v>
      </c>
      <c r="AJ10300" s="835">
        <v>41455</v>
      </c>
      <c r="AK10300" s="831">
        <v>2204366.9500000002</v>
      </c>
    </row>
    <row r="10301" spans="2:37">
      <c r="B10301" s="834" t="str">
        <f t="shared" si="401"/>
        <v>|||</v>
      </c>
      <c r="H10301" s="835">
        <f t="shared" si="402"/>
        <v>31</v>
      </c>
      <c r="AF10301" s="831" t="s">
        <v>10960</v>
      </c>
      <c r="AG10301" s="831" t="s">
        <v>2674</v>
      </c>
      <c r="AH10301" s="831" t="s">
        <v>556</v>
      </c>
      <c r="AI10301" s="831">
        <v>0</v>
      </c>
      <c r="AJ10301" s="835">
        <v>41455</v>
      </c>
      <c r="AK10301" s="831">
        <v>902857</v>
      </c>
    </row>
    <row r="10302" spans="2:37">
      <c r="B10302" s="834" t="str">
        <f t="shared" si="401"/>
        <v>|||</v>
      </c>
      <c r="H10302" s="835">
        <f t="shared" si="402"/>
        <v>31</v>
      </c>
      <c r="AF10302" s="831" t="s">
        <v>10961</v>
      </c>
      <c r="AG10302" s="831" t="s">
        <v>2674</v>
      </c>
      <c r="AH10302" s="831" t="s">
        <v>555</v>
      </c>
      <c r="AI10302" s="831">
        <v>0</v>
      </c>
      <c r="AJ10302" s="835">
        <v>41455</v>
      </c>
      <c r="AK10302" s="831">
        <v>353611880</v>
      </c>
    </row>
    <row r="10303" spans="2:37">
      <c r="B10303" s="834" t="str">
        <f t="shared" si="401"/>
        <v>|||</v>
      </c>
      <c r="H10303" s="835">
        <f t="shared" si="402"/>
        <v>31</v>
      </c>
      <c r="AF10303" s="831" t="s">
        <v>10962</v>
      </c>
      <c r="AG10303" s="831" t="s">
        <v>2674</v>
      </c>
      <c r="AH10303" s="831" t="s">
        <v>554</v>
      </c>
      <c r="AI10303" s="831">
        <v>0</v>
      </c>
      <c r="AJ10303" s="835">
        <v>41455</v>
      </c>
      <c r="AK10303" s="831">
        <v>343079700</v>
      </c>
    </row>
    <row r="10304" spans="2:37">
      <c r="B10304" s="834" t="str">
        <f t="shared" si="401"/>
        <v>|||</v>
      </c>
      <c r="H10304" s="835">
        <f t="shared" si="402"/>
        <v>31</v>
      </c>
      <c r="AF10304" s="831" t="s">
        <v>10963</v>
      </c>
      <c r="AG10304" s="831" t="s">
        <v>2674</v>
      </c>
      <c r="AH10304" s="831" t="s">
        <v>553</v>
      </c>
      <c r="AI10304" s="831">
        <v>0</v>
      </c>
      <c r="AJ10304" s="835">
        <v>41455</v>
      </c>
      <c r="AK10304" s="831">
        <v>0</v>
      </c>
    </row>
    <row r="10305" spans="2:37">
      <c r="B10305" s="834" t="str">
        <f t="shared" si="401"/>
        <v>|||</v>
      </c>
      <c r="H10305" s="835">
        <f t="shared" si="402"/>
        <v>31</v>
      </c>
      <c r="AF10305" s="831" t="s">
        <v>10964</v>
      </c>
      <c r="AG10305" s="831" t="s">
        <v>2674</v>
      </c>
      <c r="AH10305" s="831" t="s">
        <v>552</v>
      </c>
      <c r="AI10305" s="831">
        <v>0</v>
      </c>
      <c r="AJ10305" s="835">
        <v>41455</v>
      </c>
      <c r="AK10305" s="831">
        <v>0</v>
      </c>
    </row>
    <row r="10306" spans="2:37">
      <c r="B10306" s="834" t="str">
        <f t="shared" si="401"/>
        <v>|||</v>
      </c>
      <c r="H10306" s="835">
        <f t="shared" si="402"/>
        <v>31</v>
      </c>
      <c r="AF10306" s="831" t="s">
        <v>10965</v>
      </c>
      <c r="AG10306" s="831" t="s">
        <v>2674</v>
      </c>
      <c r="AH10306" s="831" t="s">
        <v>551</v>
      </c>
      <c r="AI10306" s="831">
        <v>0</v>
      </c>
      <c r="AJ10306" s="835">
        <v>41455</v>
      </c>
      <c r="AK10306" s="831">
        <v>1176193.06</v>
      </c>
    </row>
    <row r="10307" spans="2:37">
      <c r="B10307" s="834" t="str">
        <f t="shared" si="401"/>
        <v>|||</v>
      </c>
      <c r="H10307" s="835">
        <f t="shared" si="402"/>
        <v>31</v>
      </c>
      <c r="AF10307" s="831" t="s">
        <v>10966</v>
      </c>
      <c r="AG10307" s="831" t="s">
        <v>2674</v>
      </c>
      <c r="AH10307" s="831" t="s">
        <v>550</v>
      </c>
      <c r="AI10307" s="831">
        <v>0</v>
      </c>
      <c r="AJ10307" s="835">
        <v>41455</v>
      </c>
      <c r="AK10307" s="831">
        <v>105651356</v>
      </c>
    </row>
    <row r="10308" spans="2:37">
      <c r="B10308" s="834" t="str">
        <f t="shared" si="401"/>
        <v>|||</v>
      </c>
      <c r="H10308" s="835">
        <f t="shared" si="402"/>
        <v>31</v>
      </c>
      <c r="AF10308" s="831" t="s">
        <v>10967</v>
      </c>
      <c r="AG10308" s="831" t="s">
        <v>2674</v>
      </c>
      <c r="AH10308" s="831" t="s">
        <v>562</v>
      </c>
      <c r="AI10308" s="831">
        <v>0</v>
      </c>
      <c r="AJ10308" s="835">
        <v>41455</v>
      </c>
      <c r="AK10308" s="831">
        <v>0.78395000000000004</v>
      </c>
    </row>
    <row r="10309" spans="2:37">
      <c r="B10309" s="834" t="str">
        <f t="shared" si="401"/>
        <v>|||</v>
      </c>
      <c r="H10309" s="835">
        <f t="shared" si="402"/>
        <v>31</v>
      </c>
      <c r="AF10309" s="831" t="s">
        <v>10968</v>
      </c>
      <c r="AG10309" s="831" t="s">
        <v>2674</v>
      </c>
      <c r="AH10309" s="831" t="s">
        <v>2698</v>
      </c>
      <c r="AI10309" s="831">
        <v>0</v>
      </c>
      <c r="AJ10309" s="835">
        <v>41455</v>
      </c>
      <c r="AK10309" s="831">
        <v>0.78405000000000002</v>
      </c>
    </row>
    <row r="10310" spans="2:37">
      <c r="B10310" s="834" t="str">
        <f t="shared" si="401"/>
        <v>|||</v>
      </c>
      <c r="H10310" s="835">
        <f t="shared" si="402"/>
        <v>31</v>
      </c>
      <c r="AF10310" s="831" t="s">
        <v>10969</v>
      </c>
      <c r="AG10310" s="831" t="s">
        <v>2674</v>
      </c>
      <c r="AH10310" s="831" t="s">
        <v>560</v>
      </c>
      <c r="AI10310" s="831">
        <v>0</v>
      </c>
      <c r="AJ10310" s="835">
        <v>41455</v>
      </c>
      <c r="AK10310" s="831">
        <v>0.78408333333333302</v>
      </c>
    </row>
    <row r="10311" spans="2:37">
      <c r="B10311" s="834" t="str">
        <f t="shared" si="401"/>
        <v>|||</v>
      </c>
      <c r="H10311" s="835">
        <f t="shared" si="402"/>
        <v>31</v>
      </c>
      <c r="AF10311" s="831" t="s">
        <v>10970</v>
      </c>
      <c r="AG10311" s="831" t="s">
        <v>2674</v>
      </c>
      <c r="AH10311" s="831" t="s">
        <v>559</v>
      </c>
      <c r="AI10311" s="831">
        <v>0</v>
      </c>
      <c r="AJ10311" s="835">
        <v>41455</v>
      </c>
      <c r="AK10311" s="831">
        <v>0.78425833333333295</v>
      </c>
    </row>
    <row r="10312" spans="2:37">
      <c r="B10312" s="834" t="str">
        <f t="shared" si="401"/>
        <v>|||</v>
      </c>
      <c r="H10312" s="835">
        <f t="shared" si="402"/>
        <v>31</v>
      </c>
      <c r="AF10312" s="831" t="s">
        <v>10971</v>
      </c>
      <c r="AG10312" s="831" t="s">
        <v>2674</v>
      </c>
      <c r="AH10312" s="831" t="s">
        <v>568</v>
      </c>
      <c r="AI10312" s="831">
        <v>0</v>
      </c>
      <c r="AJ10312" s="835">
        <v>41455</v>
      </c>
      <c r="AK10312" s="831">
        <v>416775328.76923102</v>
      </c>
    </row>
    <row r="10313" spans="2:37">
      <c r="B10313" s="834" t="str">
        <f t="shared" si="401"/>
        <v>|||</v>
      </c>
      <c r="H10313" s="835">
        <f t="shared" si="402"/>
        <v>31</v>
      </c>
      <c r="AF10313" s="831" t="s">
        <v>10972</v>
      </c>
      <c r="AG10313" s="831" t="s">
        <v>2674</v>
      </c>
      <c r="AH10313" s="831" t="s">
        <v>569</v>
      </c>
      <c r="AI10313" s="831">
        <v>0</v>
      </c>
      <c r="AJ10313" s="835">
        <v>41455</v>
      </c>
      <c r="AK10313" s="831">
        <v>507070422.30769199</v>
      </c>
    </row>
    <row r="10314" spans="2:37">
      <c r="B10314" s="834" t="str">
        <f t="shared" si="401"/>
        <v>|||</v>
      </c>
      <c r="H10314" s="835">
        <f t="shared" si="402"/>
        <v>31</v>
      </c>
      <c r="AF10314" s="831" t="s">
        <v>10973</v>
      </c>
      <c r="AG10314" s="831" t="s">
        <v>2674</v>
      </c>
      <c r="AH10314" s="831" t="s">
        <v>570</v>
      </c>
      <c r="AI10314" s="831">
        <v>0</v>
      </c>
      <c r="AJ10314" s="835">
        <v>41455</v>
      </c>
      <c r="AK10314" s="831">
        <v>99514662.461538494</v>
      </c>
    </row>
    <row r="10315" spans="2:37">
      <c r="B10315" s="834" t="str">
        <f t="shared" si="401"/>
        <v>|||</v>
      </c>
      <c r="H10315" s="835">
        <f t="shared" si="402"/>
        <v>31</v>
      </c>
      <c r="AF10315" s="831" t="s">
        <v>10974</v>
      </c>
      <c r="AG10315" s="831" t="s">
        <v>2674</v>
      </c>
      <c r="AH10315" s="831" t="s">
        <v>571</v>
      </c>
      <c r="AI10315" s="831">
        <v>0</v>
      </c>
      <c r="AJ10315" s="835">
        <v>41455</v>
      </c>
      <c r="AK10315" s="831">
        <v>220626949.153846</v>
      </c>
    </row>
    <row r="10316" spans="2:37">
      <c r="B10316" s="834" t="str">
        <f t="shared" si="401"/>
        <v>|||</v>
      </c>
      <c r="H10316" s="835">
        <f t="shared" si="402"/>
        <v>31</v>
      </c>
      <c r="AF10316" s="831" t="s">
        <v>10975</v>
      </c>
      <c r="AG10316" s="831" t="s">
        <v>2674</v>
      </c>
      <c r="AH10316" s="831" t="s">
        <v>573</v>
      </c>
      <c r="AI10316" s="831">
        <v>0</v>
      </c>
      <c r="AJ10316" s="835">
        <v>41455</v>
      </c>
      <c r="AK10316" s="831">
        <v>557218597.28571403</v>
      </c>
    </row>
    <row r="10317" spans="2:37">
      <c r="B10317" s="834" t="str">
        <f t="shared" si="401"/>
        <v>|||</v>
      </c>
      <c r="H10317" s="835">
        <f t="shared" si="402"/>
        <v>31</v>
      </c>
      <c r="AF10317" s="831" t="s">
        <v>10976</v>
      </c>
      <c r="AG10317" s="831" t="s">
        <v>2674</v>
      </c>
      <c r="AH10317" s="831" t="s">
        <v>574</v>
      </c>
      <c r="AI10317" s="831">
        <v>0</v>
      </c>
      <c r="AJ10317" s="835">
        <v>41455</v>
      </c>
      <c r="AK10317" s="831">
        <v>460782606.85714298</v>
      </c>
    </row>
    <row r="10318" spans="2:37">
      <c r="B10318" s="834" t="str">
        <f t="shared" si="401"/>
        <v>|||</v>
      </c>
      <c r="H10318" s="835">
        <f t="shared" si="402"/>
        <v>31</v>
      </c>
      <c r="AF10318" s="831" t="s">
        <v>10977</v>
      </c>
      <c r="AG10318" s="831" t="s">
        <v>2674</v>
      </c>
      <c r="AH10318" s="831" t="s">
        <v>575</v>
      </c>
      <c r="AI10318" s="831">
        <v>0</v>
      </c>
      <c r="AJ10318" s="835">
        <v>41455</v>
      </c>
      <c r="AK10318" s="831">
        <v>102068019.285714</v>
      </c>
    </row>
    <row r="10319" spans="2:37">
      <c r="B10319" s="834" t="str">
        <f t="shared" si="401"/>
        <v>|||</v>
      </c>
      <c r="H10319" s="835">
        <f t="shared" si="402"/>
        <v>31</v>
      </c>
      <c r="AF10319" s="831" t="s">
        <v>10978</v>
      </c>
      <c r="AG10319" s="831" t="s">
        <v>2674</v>
      </c>
      <c r="AH10319" s="831" t="s">
        <v>576</v>
      </c>
      <c r="AI10319" s="831">
        <v>0</v>
      </c>
      <c r="AJ10319" s="835">
        <v>41455</v>
      </c>
      <c r="AK10319" s="831">
        <v>256882402</v>
      </c>
    </row>
    <row r="10320" spans="2:37">
      <c r="B10320" s="834" t="str">
        <f t="shared" si="401"/>
        <v>|||</v>
      </c>
      <c r="H10320" s="835">
        <f t="shared" si="402"/>
        <v>31</v>
      </c>
      <c r="AF10320" s="831" t="s">
        <v>10979</v>
      </c>
      <c r="AG10320" s="831" t="s">
        <v>2674</v>
      </c>
      <c r="AH10320" s="831" t="s">
        <v>572</v>
      </c>
      <c r="AI10320" s="831">
        <v>0</v>
      </c>
      <c r="AJ10320" s="835">
        <v>41455</v>
      </c>
      <c r="AK10320" s="831">
        <v>22784991</v>
      </c>
    </row>
    <row r="10321" spans="2:37">
      <c r="B10321" s="834" t="str">
        <f t="shared" ref="B10321:B10384" si="403">C10321&amp;"|"&amp;D10321&amp;"|"&amp;E10321&amp;"|"&amp;F10321</f>
        <v>|||</v>
      </c>
      <c r="H10321" s="835">
        <f t="shared" ref="H10321:H10384" si="404">EOMONTH(L10321,0)</f>
        <v>31</v>
      </c>
      <c r="AF10321" s="831" t="s">
        <v>10980</v>
      </c>
      <c r="AG10321" s="831" t="s">
        <v>2674</v>
      </c>
      <c r="AH10321" s="831" t="s">
        <v>577</v>
      </c>
      <c r="AI10321" s="831">
        <v>0</v>
      </c>
      <c r="AJ10321" s="835">
        <v>41455</v>
      </c>
      <c r="AK10321" s="831">
        <v>112999724</v>
      </c>
    </row>
    <row r="10322" spans="2:37">
      <c r="B10322" s="834" t="str">
        <f t="shared" si="403"/>
        <v>|||</v>
      </c>
      <c r="H10322" s="835">
        <f t="shared" si="404"/>
        <v>31</v>
      </c>
      <c r="AF10322" s="831" t="s">
        <v>10981</v>
      </c>
      <c r="AG10322" s="831" t="s">
        <v>2674</v>
      </c>
      <c r="AH10322" s="831" t="s">
        <v>3042</v>
      </c>
      <c r="AI10322" s="831">
        <v>0</v>
      </c>
      <c r="AJ10322" s="835">
        <v>41455</v>
      </c>
      <c r="AK10322" s="831">
        <v>-27618860</v>
      </c>
    </row>
    <row r="10323" spans="2:37">
      <c r="B10323" s="834" t="str">
        <f t="shared" si="403"/>
        <v>|||</v>
      </c>
      <c r="H10323" s="835">
        <f t="shared" si="404"/>
        <v>31</v>
      </c>
      <c r="AF10323" s="831" t="s">
        <v>10982</v>
      </c>
      <c r="AG10323" s="831" t="s">
        <v>2674</v>
      </c>
      <c r="AH10323" s="831" t="s">
        <v>3044</v>
      </c>
      <c r="AI10323" s="831">
        <v>0</v>
      </c>
      <c r="AJ10323" s="835">
        <v>41455</v>
      </c>
      <c r="AK10323" s="831">
        <v>-4183071</v>
      </c>
    </row>
    <row r="10324" spans="2:37">
      <c r="B10324" s="834" t="str">
        <f t="shared" si="403"/>
        <v>|||</v>
      </c>
      <c r="H10324" s="835">
        <f t="shared" si="404"/>
        <v>31</v>
      </c>
      <c r="AF10324" s="831" t="s">
        <v>10983</v>
      </c>
      <c r="AG10324" s="831" t="s">
        <v>2674</v>
      </c>
      <c r="AH10324" s="831" t="s">
        <v>580</v>
      </c>
      <c r="AI10324" s="831">
        <v>0</v>
      </c>
      <c r="AJ10324" s="835">
        <v>41455</v>
      </c>
      <c r="AK10324" s="831">
        <v>-56400279</v>
      </c>
    </row>
    <row r="10325" spans="2:37">
      <c r="B10325" s="834" t="str">
        <f t="shared" si="403"/>
        <v>|||</v>
      </c>
      <c r="H10325" s="835">
        <f t="shared" si="404"/>
        <v>31</v>
      </c>
      <c r="AF10325" s="831" t="s">
        <v>10984</v>
      </c>
      <c r="AG10325" s="831" t="s">
        <v>2674</v>
      </c>
      <c r="AH10325" s="831" t="s">
        <v>581</v>
      </c>
      <c r="AI10325" s="831">
        <v>0</v>
      </c>
      <c r="AJ10325" s="835">
        <v>41455</v>
      </c>
      <c r="AK10325" s="831">
        <v>4204371</v>
      </c>
    </row>
    <row r="10326" spans="2:37">
      <c r="B10326" s="834" t="str">
        <f t="shared" si="403"/>
        <v>|||</v>
      </c>
      <c r="H10326" s="835">
        <f t="shared" si="404"/>
        <v>31</v>
      </c>
      <c r="AF10326" s="831" t="s">
        <v>10985</v>
      </c>
      <c r="AG10326" s="831" t="s">
        <v>2674</v>
      </c>
      <c r="AH10326" s="831" t="s">
        <v>105</v>
      </c>
      <c r="AI10326" s="831">
        <v>0</v>
      </c>
      <c r="AJ10326" s="835">
        <v>41455</v>
      </c>
      <c r="AK10326" s="831">
        <v>314742537</v>
      </c>
    </row>
    <row r="10327" spans="2:37">
      <c r="B10327" s="834" t="str">
        <f t="shared" si="403"/>
        <v>|||</v>
      </c>
      <c r="H10327" s="835">
        <f t="shared" si="404"/>
        <v>31</v>
      </c>
      <c r="AF10327" s="831" t="s">
        <v>10986</v>
      </c>
      <c r="AG10327" s="831" t="s">
        <v>2674</v>
      </c>
      <c r="AH10327" s="831" t="s">
        <v>3049</v>
      </c>
      <c r="AI10327" s="831">
        <v>0</v>
      </c>
      <c r="AJ10327" s="835">
        <v>41455</v>
      </c>
      <c r="AK10327" s="831">
        <v>517978918</v>
      </c>
    </row>
    <row r="10328" spans="2:37">
      <c r="B10328" s="834" t="str">
        <f t="shared" si="403"/>
        <v>|||</v>
      </c>
      <c r="H10328" s="835">
        <f t="shared" si="404"/>
        <v>31</v>
      </c>
      <c r="AF10328" s="831" t="s">
        <v>10987</v>
      </c>
      <c r="AG10328" s="831" t="s">
        <v>2674</v>
      </c>
      <c r="AH10328" s="831" t="s">
        <v>103</v>
      </c>
      <c r="AI10328" s="831">
        <v>0</v>
      </c>
      <c r="AJ10328" s="835">
        <v>41455</v>
      </c>
      <c r="AK10328" s="831">
        <v>203236381</v>
      </c>
    </row>
    <row r="10329" spans="2:37">
      <c r="B10329" s="834" t="str">
        <f t="shared" si="403"/>
        <v>|||</v>
      </c>
      <c r="H10329" s="835">
        <f t="shared" si="404"/>
        <v>31</v>
      </c>
      <c r="AF10329" s="831" t="s">
        <v>10988</v>
      </c>
      <c r="AG10329" s="831" t="s">
        <v>2674</v>
      </c>
      <c r="AH10329" s="831" t="s">
        <v>182</v>
      </c>
      <c r="AI10329" s="831">
        <v>0</v>
      </c>
      <c r="AJ10329" s="835">
        <v>41455</v>
      </c>
      <c r="AK10329" s="831">
        <v>57441170</v>
      </c>
    </row>
    <row r="10330" spans="2:37">
      <c r="B10330" s="834" t="str">
        <f t="shared" si="403"/>
        <v>|||</v>
      </c>
      <c r="H10330" s="835">
        <f t="shared" si="404"/>
        <v>31</v>
      </c>
      <c r="AF10330" s="831" t="s">
        <v>10989</v>
      </c>
      <c r="AG10330" s="831" t="s">
        <v>2674</v>
      </c>
      <c r="AH10330" s="831" t="s">
        <v>6600</v>
      </c>
      <c r="AI10330" s="831">
        <v>0</v>
      </c>
      <c r="AJ10330" s="835">
        <v>41455</v>
      </c>
      <c r="AK10330" s="831">
        <v>22784991</v>
      </c>
    </row>
    <row r="10331" spans="2:37">
      <c r="B10331" s="834" t="str">
        <f t="shared" si="403"/>
        <v>|||</v>
      </c>
      <c r="H10331" s="835">
        <f t="shared" si="404"/>
        <v>31</v>
      </c>
      <c r="AF10331" s="831" t="s">
        <v>10990</v>
      </c>
      <c r="AG10331" s="831" t="s">
        <v>2674</v>
      </c>
      <c r="AH10331" s="831" t="s">
        <v>6602</v>
      </c>
      <c r="AI10331" s="831">
        <v>0</v>
      </c>
      <c r="AJ10331" s="835">
        <v>41455</v>
      </c>
      <c r="AK10331" s="831">
        <v>13297133</v>
      </c>
    </row>
    <row r="10332" spans="2:37">
      <c r="B10332" s="834" t="str">
        <f t="shared" si="403"/>
        <v>|||</v>
      </c>
      <c r="H10332" s="835">
        <f t="shared" si="404"/>
        <v>31</v>
      </c>
      <c r="AF10332" s="831" t="s">
        <v>10991</v>
      </c>
      <c r="AG10332" s="831" t="s">
        <v>2674</v>
      </c>
      <c r="AH10332" s="831" t="s">
        <v>650</v>
      </c>
      <c r="AI10332" s="831">
        <v>0</v>
      </c>
      <c r="AJ10332" s="835">
        <v>41455</v>
      </c>
      <c r="AK10332" s="831">
        <v>173391733.153846</v>
      </c>
    </row>
    <row r="10333" spans="2:37">
      <c r="B10333" s="834" t="str">
        <f t="shared" si="403"/>
        <v>|||</v>
      </c>
      <c r="H10333" s="835">
        <f t="shared" si="404"/>
        <v>31</v>
      </c>
      <c r="AF10333" s="831" t="s">
        <v>10992</v>
      </c>
      <c r="AG10333" s="831" t="s">
        <v>2674</v>
      </c>
      <c r="AH10333" s="831" t="s">
        <v>655</v>
      </c>
      <c r="AI10333" s="831">
        <v>0</v>
      </c>
      <c r="AJ10333" s="835">
        <v>41455</v>
      </c>
      <c r="AK10333" s="831">
        <v>1055339.06</v>
      </c>
    </row>
    <row r="10334" spans="2:37">
      <c r="B10334" s="834" t="str">
        <f t="shared" si="403"/>
        <v>|||</v>
      </c>
      <c r="H10334" s="835">
        <f t="shared" si="404"/>
        <v>31</v>
      </c>
      <c r="AF10334" s="831" t="s">
        <v>10993</v>
      </c>
      <c r="AG10334" s="831" t="s">
        <v>2674</v>
      </c>
      <c r="AH10334" s="831" t="s">
        <v>546</v>
      </c>
      <c r="AI10334" s="831">
        <v>0</v>
      </c>
      <c r="AJ10334" s="835">
        <v>41486</v>
      </c>
      <c r="AK10334" s="831">
        <v>530405930</v>
      </c>
    </row>
    <row r="10335" spans="2:37">
      <c r="B10335" s="834" t="str">
        <f t="shared" si="403"/>
        <v>|||</v>
      </c>
      <c r="H10335" s="835">
        <f t="shared" si="404"/>
        <v>31</v>
      </c>
      <c r="AF10335" s="831" t="s">
        <v>10994</v>
      </c>
      <c r="AG10335" s="831" t="s">
        <v>2674</v>
      </c>
      <c r="AH10335" s="831" t="s">
        <v>370</v>
      </c>
      <c r="AI10335" s="831">
        <v>0</v>
      </c>
      <c r="AJ10335" s="835">
        <v>41486</v>
      </c>
      <c r="AK10335" s="831">
        <v>658328328</v>
      </c>
    </row>
    <row r="10336" spans="2:37">
      <c r="B10336" s="834" t="str">
        <f t="shared" si="403"/>
        <v>|||</v>
      </c>
      <c r="H10336" s="835">
        <f t="shared" si="404"/>
        <v>31</v>
      </c>
      <c r="AF10336" s="831" t="s">
        <v>10995</v>
      </c>
      <c r="AG10336" s="831" t="s">
        <v>2674</v>
      </c>
      <c r="AH10336" s="831" t="s">
        <v>126</v>
      </c>
      <c r="AI10336" s="831">
        <v>0</v>
      </c>
      <c r="AJ10336" s="835">
        <v>41486</v>
      </c>
      <c r="AK10336" s="831">
        <v>110887562</v>
      </c>
    </row>
    <row r="10337" spans="2:37">
      <c r="B10337" s="834" t="str">
        <f t="shared" si="403"/>
        <v>|||</v>
      </c>
      <c r="H10337" s="835">
        <f t="shared" si="404"/>
        <v>31</v>
      </c>
      <c r="AF10337" s="831" t="s">
        <v>10996</v>
      </c>
      <c r="AG10337" s="831" t="s">
        <v>2674</v>
      </c>
      <c r="AH10337" s="831" t="s">
        <v>268</v>
      </c>
      <c r="AI10337" s="831">
        <v>0</v>
      </c>
      <c r="AJ10337" s="835">
        <v>41486</v>
      </c>
      <c r="AK10337" s="831">
        <v>16124340</v>
      </c>
    </row>
    <row r="10338" spans="2:37">
      <c r="B10338" s="834" t="str">
        <f t="shared" si="403"/>
        <v>|||</v>
      </c>
      <c r="H10338" s="835">
        <f t="shared" si="404"/>
        <v>31</v>
      </c>
      <c r="AF10338" s="831" t="s">
        <v>10997</v>
      </c>
      <c r="AG10338" s="831" t="s">
        <v>2674</v>
      </c>
      <c r="AH10338" s="831" t="s">
        <v>547</v>
      </c>
      <c r="AI10338" s="831">
        <v>0</v>
      </c>
      <c r="AJ10338" s="835">
        <v>41486</v>
      </c>
      <c r="AK10338" s="831">
        <v>511487760</v>
      </c>
    </row>
    <row r="10339" spans="2:37">
      <c r="B10339" s="834" t="str">
        <f t="shared" si="403"/>
        <v>|||</v>
      </c>
      <c r="H10339" s="835">
        <f t="shared" si="404"/>
        <v>31</v>
      </c>
      <c r="AF10339" s="831" t="s">
        <v>10998</v>
      </c>
      <c r="AG10339" s="831" t="s">
        <v>2674</v>
      </c>
      <c r="AH10339" s="831" t="s">
        <v>548</v>
      </c>
      <c r="AI10339" s="831">
        <v>0</v>
      </c>
      <c r="AJ10339" s="835">
        <v>41486</v>
      </c>
      <c r="AK10339" s="831">
        <v>96883184</v>
      </c>
    </row>
    <row r="10340" spans="2:37">
      <c r="B10340" s="834" t="str">
        <f t="shared" si="403"/>
        <v>|||</v>
      </c>
      <c r="H10340" s="835">
        <f t="shared" si="404"/>
        <v>31</v>
      </c>
      <c r="AF10340" s="831" t="s">
        <v>10999</v>
      </c>
      <c r="AG10340" s="831" t="s">
        <v>2674</v>
      </c>
      <c r="AH10340" s="831" t="s">
        <v>549</v>
      </c>
      <c r="AI10340" s="831">
        <v>0</v>
      </c>
      <c r="AJ10340" s="835">
        <v>41486</v>
      </c>
      <c r="AK10340" s="831">
        <v>350104350</v>
      </c>
    </row>
    <row r="10341" spans="2:37">
      <c r="B10341" s="834" t="str">
        <f t="shared" si="403"/>
        <v>|||</v>
      </c>
      <c r="H10341" s="835">
        <f t="shared" si="404"/>
        <v>31</v>
      </c>
      <c r="AF10341" s="831" t="s">
        <v>11000</v>
      </c>
      <c r="AG10341" s="831" t="s">
        <v>2674</v>
      </c>
      <c r="AH10341" s="831" t="s">
        <v>192</v>
      </c>
      <c r="AI10341" s="831">
        <v>0</v>
      </c>
      <c r="AJ10341" s="835">
        <v>41486</v>
      </c>
      <c r="AK10341" s="831">
        <v>-11946675</v>
      </c>
    </row>
    <row r="10342" spans="2:37">
      <c r="B10342" s="834" t="str">
        <f t="shared" si="403"/>
        <v>|||</v>
      </c>
      <c r="H10342" s="835">
        <f t="shared" si="404"/>
        <v>31</v>
      </c>
      <c r="AF10342" s="831" t="s">
        <v>11001</v>
      </c>
      <c r="AG10342" s="831" t="s">
        <v>2674</v>
      </c>
      <c r="AH10342" s="831" t="s">
        <v>558</v>
      </c>
      <c r="AI10342" s="831">
        <v>0</v>
      </c>
      <c r="AJ10342" s="835">
        <v>41486</v>
      </c>
      <c r="AK10342" s="831">
        <v>547440766</v>
      </c>
    </row>
    <row r="10343" spans="2:37">
      <c r="B10343" s="834" t="str">
        <f t="shared" si="403"/>
        <v>|||</v>
      </c>
      <c r="H10343" s="835">
        <f t="shared" si="404"/>
        <v>31</v>
      </c>
      <c r="AF10343" s="831" t="s">
        <v>11002</v>
      </c>
      <c r="AG10343" s="831" t="s">
        <v>2674</v>
      </c>
      <c r="AH10343" s="831" t="s">
        <v>65</v>
      </c>
      <c r="AI10343" s="831">
        <v>0</v>
      </c>
      <c r="AJ10343" s="835">
        <v>41486</v>
      </c>
      <c r="AK10343" s="831">
        <v>71979253</v>
      </c>
    </row>
    <row r="10344" spans="2:37">
      <c r="B10344" s="834" t="str">
        <f t="shared" si="403"/>
        <v>|||</v>
      </c>
      <c r="H10344" s="835">
        <f t="shared" si="404"/>
        <v>31</v>
      </c>
      <c r="AF10344" s="831" t="s">
        <v>11003</v>
      </c>
      <c r="AG10344" s="831" t="s">
        <v>2674</v>
      </c>
      <c r="AH10344" s="831" t="s">
        <v>89</v>
      </c>
      <c r="AI10344" s="831">
        <v>0</v>
      </c>
      <c r="AJ10344" s="835">
        <v>41486</v>
      </c>
      <c r="AK10344" s="831">
        <v>138057</v>
      </c>
    </row>
    <row r="10345" spans="2:37">
      <c r="B10345" s="834" t="str">
        <f t="shared" si="403"/>
        <v>|||</v>
      </c>
      <c r="H10345" s="835">
        <f t="shared" si="404"/>
        <v>31</v>
      </c>
      <c r="AF10345" s="831" t="s">
        <v>11004</v>
      </c>
      <c r="AG10345" s="831" t="s">
        <v>2674</v>
      </c>
      <c r="AH10345" s="831" t="s">
        <v>557</v>
      </c>
      <c r="AI10345" s="831">
        <v>0</v>
      </c>
      <c r="AJ10345" s="835">
        <v>41486</v>
      </c>
      <c r="AK10345" s="831">
        <v>145518</v>
      </c>
    </row>
    <row r="10346" spans="2:37">
      <c r="B10346" s="834" t="str">
        <f t="shared" si="403"/>
        <v>|||</v>
      </c>
      <c r="H10346" s="835">
        <f t="shared" si="404"/>
        <v>31</v>
      </c>
      <c r="AF10346" s="831" t="s">
        <v>11005</v>
      </c>
      <c r="AG10346" s="831" t="s">
        <v>2674</v>
      </c>
      <c r="AH10346" s="831" t="s">
        <v>29</v>
      </c>
      <c r="AI10346" s="831">
        <v>0</v>
      </c>
      <c r="AJ10346" s="835">
        <v>41486</v>
      </c>
      <c r="AK10346" s="831">
        <v>1452161.1669999999</v>
      </c>
    </row>
    <row r="10347" spans="2:37">
      <c r="B10347" s="834" t="str">
        <f t="shared" si="403"/>
        <v>|||</v>
      </c>
      <c r="H10347" s="835">
        <f t="shared" si="404"/>
        <v>31</v>
      </c>
      <c r="AF10347" s="831" t="s">
        <v>11006</v>
      </c>
      <c r="AG10347" s="831" t="s">
        <v>2674</v>
      </c>
      <c r="AH10347" s="831" t="s">
        <v>2688</v>
      </c>
      <c r="AI10347" s="831">
        <v>0</v>
      </c>
      <c r="AJ10347" s="835">
        <v>41486</v>
      </c>
      <c r="AK10347" s="831">
        <v>1987224.58</v>
      </c>
    </row>
    <row r="10348" spans="2:37">
      <c r="B10348" s="834" t="str">
        <f t="shared" si="403"/>
        <v>|||</v>
      </c>
      <c r="H10348" s="835">
        <f t="shared" si="404"/>
        <v>31</v>
      </c>
      <c r="AF10348" s="831" t="s">
        <v>11007</v>
      </c>
      <c r="AG10348" s="831" t="s">
        <v>2674</v>
      </c>
      <c r="AH10348" s="831" t="s">
        <v>556</v>
      </c>
      <c r="AI10348" s="831">
        <v>0</v>
      </c>
      <c r="AJ10348" s="835">
        <v>41486</v>
      </c>
      <c r="AK10348" s="831">
        <v>2547589</v>
      </c>
    </row>
    <row r="10349" spans="2:37">
      <c r="B10349" s="834" t="str">
        <f t="shared" si="403"/>
        <v>|||</v>
      </c>
      <c r="H10349" s="835">
        <f t="shared" si="404"/>
        <v>31</v>
      </c>
      <c r="AF10349" s="831" t="s">
        <v>11008</v>
      </c>
      <c r="AG10349" s="831" t="s">
        <v>2674</v>
      </c>
      <c r="AH10349" s="831" t="s">
        <v>555</v>
      </c>
      <c r="AI10349" s="831">
        <v>0</v>
      </c>
      <c r="AJ10349" s="835">
        <v>41486</v>
      </c>
      <c r="AK10349" s="831">
        <v>359140020</v>
      </c>
    </row>
    <row r="10350" spans="2:37">
      <c r="B10350" s="834" t="str">
        <f t="shared" si="403"/>
        <v>|||</v>
      </c>
      <c r="H10350" s="835">
        <f t="shared" si="404"/>
        <v>31</v>
      </c>
      <c r="AF10350" s="831" t="s">
        <v>11009</v>
      </c>
      <c r="AG10350" s="831" t="s">
        <v>2674</v>
      </c>
      <c r="AH10350" s="831" t="s">
        <v>554</v>
      </c>
      <c r="AI10350" s="831">
        <v>0</v>
      </c>
      <c r="AJ10350" s="835">
        <v>41486</v>
      </c>
      <c r="AK10350" s="831">
        <v>364984870</v>
      </c>
    </row>
    <row r="10351" spans="2:37">
      <c r="B10351" s="834" t="str">
        <f t="shared" si="403"/>
        <v>|||</v>
      </c>
      <c r="H10351" s="835">
        <f t="shared" si="404"/>
        <v>31</v>
      </c>
      <c r="AF10351" s="831" t="s">
        <v>11010</v>
      </c>
      <c r="AG10351" s="831" t="s">
        <v>2674</v>
      </c>
      <c r="AH10351" s="831" t="s">
        <v>553</v>
      </c>
      <c r="AI10351" s="831">
        <v>0</v>
      </c>
      <c r="AJ10351" s="835">
        <v>41486</v>
      </c>
      <c r="AK10351" s="831">
        <v>0</v>
      </c>
    </row>
    <row r="10352" spans="2:37">
      <c r="B10352" s="834" t="str">
        <f t="shared" si="403"/>
        <v>|||</v>
      </c>
      <c r="H10352" s="835">
        <f t="shared" si="404"/>
        <v>31</v>
      </c>
      <c r="AF10352" s="831" t="s">
        <v>11011</v>
      </c>
      <c r="AG10352" s="831" t="s">
        <v>2674</v>
      </c>
      <c r="AH10352" s="831" t="s">
        <v>552</v>
      </c>
      <c r="AI10352" s="831">
        <v>0</v>
      </c>
      <c r="AJ10352" s="835">
        <v>41486</v>
      </c>
      <c r="AK10352" s="831">
        <v>0</v>
      </c>
    </row>
    <row r="10353" spans="2:37">
      <c r="B10353" s="834" t="str">
        <f t="shared" si="403"/>
        <v>|||</v>
      </c>
      <c r="H10353" s="835">
        <f t="shared" si="404"/>
        <v>31</v>
      </c>
      <c r="AF10353" s="831" t="s">
        <v>11012</v>
      </c>
      <c r="AG10353" s="831" t="s">
        <v>2674</v>
      </c>
      <c r="AH10353" s="831" t="s">
        <v>551</v>
      </c>
      <c r="AI10353" s="831">
        <v>0</v>
      </c>
      <c r="AJ10353" s="835">
        <v>41486</v>
      </c>
      <c r="AK10353" s="831">
        <v>1334074.578</v>
      </c>
    </row>
    <row r="10354" spans="2:37">
      <c r="B10354" s="834" t="str">
        <f t="shared" si="403"/>
        <v>|||</v>
      </c>
      <c r="H10354" s="835">
        <f t="shared" si="404"/>
        <v>31</v>
      </c>
      <c r="AF10354" s="831" t="s">
        <v>11013</v>
      </c>
      <c r="AG10354" s="831" t="s">
        <v>2674</v>
      </c>
      <c r="AH10354" s="831" t="s">
        <v>550</v>
      </c>
      <c r="AI10354" s="831">
        <v>0</v>
      </c>
      <c r="AJ10354" s="835">
        <v>41486</v>
      </c>
      <c r="AK10354" s="831">
        <v>108060358</v>
      </c>
    </row>
    <row r="10355" spans="2:37">
      <c r="B10355" s="834" t="str">
        <f t="shared" si="403"/>
        <v>|||</v>
      </c>
      <c r="H10355" s="835">
        <f t="shared" si="404"/>
        <v>31</v>
      </c>
      <c r="AF10355" s="831" t="s">
        <v>11014</v>
      </c>
      <c r="AG10355" s="831" t="s">
        <v>2674</v>
      </c>
      <c r="AH10355" s="831" t="s">
        <v>562</v>
      </c>
      <c r="AI10355" s="831">
        <v>0</v>
      </c>
      <c r="AJ10355" s="835">
        <v>41486</v>
      </c>
      <c r="AK10355" s="831">
        <v>0.78374999999999995</v>
      </c>
    </row>
    <row r="10356" spans="2:37">
      <c r="B10356" s="834" t="str">
        <f t="shared" si="403"/>
        <v>|||</v>
      </c>
      <c r="H10356" s="835">
        <f t="shared" si="404"/>
        <v>31</v>
      </c>
      <c r="AF10356" s="831" t="s">
        <v>11015</v>
      </c>
      <c r="AG10356" s="831" t="s">
        <v>2674</v>
      </c>
      <c r="AH10356" s="831" t="s">
        <v>2698</v>
      </c>
      <c r="AI10356" s="831">
        <v>0</v>
      </c>
      <c r="AJ10356" s="835">
        <v>41486</v>
      </c>
      <c r="AK10356" s="831">
        <v>0.78395000000000004</v>
      </c>
    </row>
    <row r="10357" spans="2:37">
      <c r="B10357" s="834" t="str">
        <f t="shared" si="403"/>
        <v>|||</v>
      </c>
      <c r="H10357" s="835">
        <f t="shared" si="404"/>
        <v>31</v>
      </c>
      <c r="AF10357" s="831" t="s">
        <v>11016</v>
      </c>
      <c r="AG10357" s="831" t="s">
        <v>2674</v>
      </c>
      <c r="AH10357" s="831" t="s">
        <v>560</v>
      </c>
      <c r="AI10357" s="831">
        <v>0</v>
      </c>
      <c r="AJ10357" s="835">
        <v>41486</v>
      </c>
      <c r="AK10357" s="831">
        <v>0.78403571428571395</v>
      </c>
    </row>
    <row r="10358" spans="2:37">
      <c r="B10358" s="834" t="str">
        <f t="shared" si="403"/>
        <v>|||</v>
      </c>
      <c r="H10358" s="835">
        <f t="shared" si="404"/>
        <v>31</v>
      </c>
      <c r="AF10358" s="831" t="s">
        <v>11017</v>
      </c>
      <c r="AG10358" s="831" t="s">
        <v>2674</v>
      </c>
      <c r="AH10358" s="831" t="s">
        <v>559</v>
      </c>
      <c r="AI10358" s="831">
        <v>0</v>
      </c>
      <c r="AJ10358" s="835">
        <v>41486</v>
      </c>
      <c r="AK10358" s="831">
        <v>0.78415833333333296</v>
      </c>
    </row>
    <row r="10359" spans="2:37">
      <c r="B10359" s="834" t="str">
        <f t="shared" si="403"/>
        <v>|||</v>
      </c>
      <c r="H10359" s="835">
        <f t="shared" si="404"/>
        <v>31</v>
      </c>
      <c r="AF10359" s="831" t="s">
        <v>11018</v>
      </c>
      <c r="AG10359" s="831" t="s">
        <v>2674</v>
      </c>
      <c r="AH10359" s="831" t="s">
        <v>568</v>
      </c>
      <c r="AI10359" s="831">
        <v>0</v>
      </c>
      <c r="AJ10359" s="835">
        <v>41486</v>
      </c>
      <c r="AK10359" s="831">
        <v>431219750.30769199</v>
      </c>
    </row>
    <row r="10360" spans="2:37">
      <c r="B10360" s="834" t="str">
        <f t="shared" si="403"/>
        <v>|||</v>
      </c>
      <c r="H10360" s="835">
        <f t="shared" si="404"/>
        <v>31</v>
      </c>
      <c r="AF10360" s="831" t="s">
        <v>11019</v>
      </c>
      <c r="AG10360" s="831" t="s">
        <v>2674</v>
      </c>
      <c r="AH10360" s="831" t="s">
        <v>569</v>
      </c>
      <c r="AI10360" s="831">
        <v>0</v>
      </c>
      <c r="AJ10360" s="835">
        <v>41486</v>
      </c>
      <c r="AK10360" s="831">
        <v>525226803</v>
      </c>
    </row>
    <row r="10361" spans="2:37">
      <c r="B10361" s="834" t="str">
        <f t="shared" si="403"/>
        <v>|||</v>
      </c>
      <c r="H10361" s="835">
        <f t="shared" si="404"/>
        <v>31</v>
      </c>
      <c r="AF10361" s="831" t="s">
        <v>11020</v>
      </c>
      <c r="AG10361" s="831" t="s">
        <v>2674</v>
      </c>
      <c r="AH10361" s="831" t="s">
        <v>570</v>
      </c>
      <c r="AI10361" s="831">
        <v>0</v>
      </c>
      <c r="AJ10361" s="835">
        <v>41486</v>
      </c>
      <c r="AK10361" s="831">
        <v>100992550.615385</v>
      </c>
    </row>
    <row r="10362" spans="2:37">
      <c r="B10362" s="834" t="str">
        <f t="shared" si="403"/>
        <v>|||</v>
      </c>
      <c r="H10362" s="835">
        <f t="shared" si="404"/>
        <v>31</v>
      </c>
      <c r="AF10362" s="831" t="s">
        <v>11021</v>
      </c>
      <c r="AG10362" s="831" t="s">
        <v>2674</v>
      </c>
      <c r="AH10362" s="831" t="s">
        <v>571</v>
      </c>
      <c r="AI10362" s="831">
        <v>0</v>
      </c>
      <c r="AJ10362" s="835">
        <v>41486</v>
      </c>
      <c r="AK10362" s="831">
        <v>233627225.76923099</v>
      </c>
    </row>
    <row r="10363" spans="2:37">
      <c r="B10363" s="834" t="str">
        <f t="shared" si="403"/>
        <v>|||</v>
      </c>
      <c r="H10363" s="835">
        <f t="shared" si="404"/>
        <v>31</v>
      </c>
      <c r="AF10363" s="831" t="s">
        <v>11022</v>
      </c>
      <c r="AG10363" s="831" t="s">
        <v>2674</v>
      </c>
      <c r="AH10363" s="831" t="s">
        <v>573</v>
      </c>
      <c r="AI10363" s="831">
        <v>0</v>
      </c>
      <c r="AJ10363" s="835">
        <v>41486</v>
      </c>
      <c r="AK10363" s="831">
        <v>569857313.625</v>
      </c>
    </row>
    <row r="10364" spans="2:37">
      <c r="B10364" s="834" t="str">
        <f t="shared" si="403"/>
        <v>|||</v>
      </c>
      <c r="H10364" s="835">
        <f t="shared" si="404"/>
        <v>31</v>
      </c>
      <c r="AF10364" s="831" t="s">
        <v>11023</v>
      </c>
      <c r="AG10364" s="831" t="s">
        <v>2674</v>
      </c>
      <c r="AH10364" s="831" t="s">
        <v>574</v>
      </c>
      <c r="AI10364" s="831">
        <v>0</v>
      </c>
      <c r="AJ10364" s="835">
        <v>41486</v>
      </c>
      <c r="AK10364" s="831">
        <v>469485522.25</v>
      </c>
    </row>
    <row r="10365" spans="2:37">
      <c r="B10365" s="834" t="str">
        <f t="shared" si="403"/>
        <v>|||</v>
      </c>
      <c r="H10365" s="835">
        <f t="shared" si="404"/>
        <v>31</v>
      </c>
      <c r="AF10365" s="831" t="s">
        <v>11024</v>
      </c>
      <c r="AG10365" s="831" t="s">
        <v>2674</v>
      </c>
      <c r="AH10365" s="831" t="s">
        <v>575</v>
      </c>
      <c r="AI10365" s="831">
        <v>0</v>
      </c>
      <c r="AJ10365" s="835">
        <v>41486</v>
      </c>
      <c r="AK10365" s="831">
        <v>103170462.125</v>
      </c>
    </row>
    <row r="10366" spans="2:37">
      <c r="B10366" s="834" t="str">
        <f t="shared" si="403"/>
        <v>|||</v>
      </c>
      <c r="H10366" s="835">
        <f t="shared" si="404"/>
        <v>31</v>
      </c>
      <c r="AF10366" s="831" t="s">
        <v>11025</v>
      </c>
      <c r="AG10366" s="831" t="s">
        <v>2674</v>
      </c>
      <c r="AH10366" s="831" t="s">
        <v>576</v>
      </c>
      <c r="AI10366" s="831">
        <v>0</v>
      </c>
      <c r="AJ10366" s="835">
        <v>41486</v>
      </c>
      <c r="AK10366" s="831">
        <v>265012255.125</v>
      </c>
    </row>
    <row r="10367" spans="2:37">
      <c r="B10367" s="834" t="str">
        <f t="shared" si="403"/>
        <v>|||</v>
      </c>
      <c r="H10367" s="835">
        <f t="shared" si="404"/>
        <v>31</v>
      </c>
      <c r="AF10367" s="831" t="s">
        <v>11026</v>
      </c>
      <c r="AG10367" s="831" t="s">
        <v>2674</v>
      </c>
      <c r="AH10367" s="831" t="s">
        <v>572</v>
      </c>
      <c r="AI10367" s="831">
        <v>0</v>
      </c>
      <c r="AJ10367" s="835">
        <v>41486</v>
      </c>
      <c r="AK10367" s="831">
        <v>23860386</v>
      </c>
    </row>
    <row r="10368" spans="2:37">
      <c r="B10368" s="834" t="str">
        <f t="shared" si="403"/>
        <v>|||</v>
      </c>
      <c r="H10368" s="835">
        <f t="shared" si="404"/>
        <v>31</v>
      </c>
      <c r="AF10368" s="831" t="s">
        <v>11027</v>
      </c>
      <c r="AG10368" s="831" t="s">
        <v>2674</v>
      </c>
      <c r="AH10368" s="831" t="s">
        <v>577</v>
      </c>
      <c r="AI10368" s="831">
        <v>0</v>
      </c>
      <c r="AJ10368" s="835">
        <v>41486</v>
      </c>
      <c r="AK10368" s="831">
        <v>116281669</v>
      </c>
    </row>
    <row r="10369" spans="2:37">
      <c r="B10369" s="834" t="str">
        <f t="shared" si="403"/>
        <v>|||</v>
      </c>
      <c r="H10369" s="835">
        <f t="shared" si="404"/>
        <v>31</v>
      </c>
      <c r="AF10369" s="831" t="s">
        <v>11028</v>
      </c>
      <c r="AG10369" s="831" t="s">
        <v>2674</v>
      </c>
      <c r="AH10369" s="831" t="s">
        <v>3042</v>
      </c>
      <c r="AI10369" s="831">
        <v>0</v>
      </c>
      <c r="AJ10369" s="835">
        <v>41486</v>
      </c>
      <c r="AK10369" s="831">
        <v>-28313674</v>
      </c>
    </row>
    <row r="10370" spans="2:37">
      <c r="B10370" s="834" t="str">
        <f t="shared" si="403"/>
        <v>|||</v>
      </c>
      <c r="H10370" s="835">
        <f t="shared" si="404"/>
        <v>31</v>
      </c>
      <c r="AF10370" s="831" t="s">
        <v>11029</v>
      </c>
      <c r="AG10370" s="831" t="s">
        <v>2674</v>
      </c>
      <c r="AH10370" s="831" t="s">
        <v>3044</v>
      </c>
      <c r="AI10370" s="831">
        <v>0</v>
      </c>
      <c r="AJ10370" s="835">
        <v>41486</v>
      </c>
      <c r="AK10370" s="831">
        <v>-4195755</v>
      </c>
    </row>
    <row r="10371" spans="2:37">
      <c r="B10371" s="834" t="str">
        <f t="shared" si="403"/>
        <v>|||</v>
      </c>
      <c r="H10371" s="835">
        <f t="shared" si="404"/>
        <v>31</v>
      </c>
      <c r="AF10371" s="831" t="s">
        <v>11030</v>
      </c>
      <c r="AG10371" s="831" t="s">
        <v>2674</v>
      </c>
      <c r="AH10371" s="831" t="s">
        <v>580</v>
      </c>
      <c r="AI10371" s="831">
        <v>0</v>
      </c>
      <c r="AJ10371" s="835">
        <v>41486</v>
      </c>
      <c r="AK10371" s="831">
        <v>-57513801</v>
      </c>
    </row>
    <row r="10372" spans="2:37">
      <c r="B10372" s="834" t="str">
        <f t="shared" si="403"/>
        <v>|||</v>
      </c>
      <c r="H10372" s="835">
        <f t="shared" si="404"/>
        <v>31</v>
      </c>
      <c r="AF10372" s="831" t="s">
        <v>11031</v>
      </c>
      <c r="AG10372" s="831" t="s">
        <v>2674</v>
      </c>
      <c r="AH10372" s="831" t="s">
        <v>581</v>
      </c>
      <c r="AI10372" s="831">
        <v>0</v>
      </c>
      <c r="AJ10372" s="835">
        <v>41486</v>
      </c>
      <c r="AK10372" s="831">
        <v>4189789</v>
      </c>
    </row>
    <row r="10373" spans="2:37">
      <c r="B10373" s="834" t="str">
        <f t="shared" si="403"/>
        <v>|||</v>
      </c>
      <c r="H10373" s="835">
        <f t="shared" si="404"/>
        <v>31</v>
      </c>
      <c r="AF10373" s="831" t="s">
        <v>11032</v>
      </c>
      <c r="AG10373" s="831" t="s">
        <v>2674</v>
      </c>
      <c r="AH10373" s="831" t="s">
        <v>105</v>
      </c>
      <c r="AI10373" s="831">
        <v>0</v>
      </c>
      <c r="AJ10373" s="835">
        <v>41486</v>
      </c>
      <c r="AK10373" s="831">
        <v>321921227</v>
      </c>
    </row>
    <row r="10374" spans="2:37">
      <c r="B10374" s="834" t="str">
        <f t="shared" si="403"/>
        <v>|||</v>
      </c>
      <c r="H10374" s="835">
        <f t="shared" si="404"/>
        <v>31</v>
      </c>
      <c r="AF10374" s="831" t="s">
        <v>11033</v>
      </c>
      <c r="AG10374" s="831" t="s">
        <v>2674</v>
      </c>
      <c r="AH10374" s="831" t="s">
        <v>3049</v>
      </c>
      <c r="AI10374" s="831">
        <v>0</v>
      </c>
      <c r="AJ10374" s="835">
        <v>41486</v>
      </c>
      <c r="AK10374" s="831">
        <v>533353115</v>
      </c>
    </row>
    <row r="10375" spans="2:37">
      <c r="B10375" s="834" t="str">
        <f t="shared" si="403"/>
        <v>|||</v>
      </c>
      <c r="H10375" s="835">
        <f t="shared" si="404"/>
        <v>31</v>
      </c>
      <c r="AF10375" s="831" t="s">
        <v>11034</v>
      </c>
      <c r="AG10375" s="831" t="s">
        <v>2674</v>
      </c>
      <c r="AH10375" s="831" t="s">
        <v>103</v>
      </c>
      <c r="AI10375" s="831">
        <v>0</v>
      </c>
      <c r="AJ10375" s="835">
        <v>41486</v>
      </c>
      <c r="AK10375" s="831">
        <v>211431888</v>
      </c>
    </row>
    <row r="10376" spans="2:37">
      <c r="B10376" s="834" t="str">
        <f t="shared" si="403"/>
        <v>|||</v>
      </c>
      <c r="H10376" s="835">
        <f t="shared" si="404"/>
        <v>31</v>
      </c>
      <c r="AF10376" s="831" t="s">
        <v>11035</v>
      </c>
      <c r="AG10376" s="831" t="s">
        <v>2674</v>
      </c>
      <c r="AH10376" s="831" t="s">
        <v>182</v>
      </c>
      <c r="AI10376" s="831">
        <v>0</v>
      </c>
      <c r="AJ10376" s="835">
        <v>41486</v>
      </c>
      <c r="AK10376" s="831">
        <v>58107797.142857097</v>
      </c>
    </row>
    <row r="10377" spans="2:37">
      <c r="B10377" s="834" t="str">
        <f t="shared" si="403"/>
        <v>|||</v>
      </c>
      <c r="H10377" s="835">
        <f t="shared" si="404"/>
        <v>31</v>
      </c>
      <c r="AF10377" s="831" t="s">
        <v>11036</v>
      </c>
      <c r="AG10377" s="831" t="s">
        <v>2674</v>
      </c>
      <c r="AH10377" s="831" t="s">
        <v>6600</v>
      </c>
      <c r="AI10377" s="831">
        <v>0</v>
      </c>
      <c r="AJ10377" s="835">
        <v>41486</v>
      </c>
      <c r="AK10377" s="831">
        <v>23860386</v>
      </c>
    </row>
    <row r="10378" spans="2:37">
      <c r="B10378" s="834" t="str">
        <f t="shared" si="403"/>
        <v>|||</v>
      </c>
      <c r="H10378" s="835">
        <f t="shared" si="404"/>
        <v>31</v>
      </c>
      <c r="AF10378" s="831" t="s">
        <v>11037</v>
      </c>
      <c r="AG10378" s="831" t="s">
        <v>2674</v>
      </c>
      <c r="AH10378" s="831" t="s">
        <v>6602</v>
      </c>
      <c r="AI10378" s="831">
        <v>0</v>
      </c>
      <c r="AJ10378" s="835">
        <v>41486</v>
      </c>
      <c r="AK10378" s="831">
        <v>16124340</v>
      </c>
    </row>
    <row r="10379" spans="2:37">
      <c r="B10379" s="834" t="str">
        <f t="shared" si="403"/>
        <v>|||</v>
      </c>
      <c r="H10379" s="835">
        <f t="shared" si="404"/>
        <v>31</v>
      </c>
      <c r="AF10379" s="831" t="s">
        <v>11038</v>
      </c>
      <c r="AG10379" s="831" t="s">
        <v>2674</v>
      </c>
      <c r="AH10379" s="831" t="s">
        <v>650</v>
      </c>
      <c r="AI10379" s="831">
        <v>0</v>
      </c>
      <c r="AJ10379" s="835">
        <v>41486</v>
      </c>
      <c r="AK10379" s="831">
        <v>176984761.69230801</v>
      </c>
    </row>
    <row r="10380" spans="2:37">
      <c r="B10380" s="834" t="str">
        <f t="shared" si="403"/>
        <v>|||</v>
      </c>
      <c r="H10380" s="835">
        <f t="shared" si="404"/>
        <v>31</v>
      </c>
      <c r="AF10380" s="831" t="s">
        <v>11039</v>
      </c>
      <c r="AG10380" s="831" t="s">
        <v>2674</v>
      </c>
      <c r="AH10380" s="831" t="s">
        <v>655</v>
      </c>
      <c r="AI10380" s="831">
        <v>0</v>
      </c>
      <c r="AJ10380" s="835">
        <v>41486</v>
      </c>
      <c r="AK10380" s="831">
        <v>1081919.6189999999</v>
      </c>
    </row>
    <row r="10381" spans="2:37">
      <c r="B10381" s="834" t="str">
        <f t="shared" si="403"/>
        <v>|||</v>
      </c>
      <c r="H10381" s="835">
        <f t="shared" si="404"/>
        <v>31</v>
      </c>
      <c r="AF10381" s="831" t="s">
        <v>11040</v>
      </c>
      <c r="AG10381" s="831" t="s">
        <v>2674</v>
      </c>
      <c r="AH10381" s="831" t="s">
        <v>546</v>
      </c>
      <c r="AI10381" s="831">
        <v>0</v>
      </c>
      <c r="AJ10381" s="835">
        <v>41517</v>
      </c>
      <c r="AK10381" s="831">
        <v>548671343</v>
      </c>
    </row>
    <row r="10382" spans="2:37">
      <c r="B10382" s="834" t="str">
        <f t="shared" si="403"/>
        <v>|||</v>
      </c>
      <c r="H10382" s="835">
        <f t="shared" si="404"/>
        <v>31</v>
      </c>
      <c r="AF10382" s="831" t="s">
        <v>11041</v>
      </c>
      <c r="AG10382" s="831" t="s">
        <v>2674</v>
      </c>
      <c r="AH10382" s="831" t="s">
        <v>370</v>
      </c>
      <c r="AI10382" s="831">
        <v>0</v>
      </c>
      <c r="AJ10382" s="835">
        <v>41517</v>
      </c>
      <c r="AK10382" s="831">
        <v>657414575</v>
      </c>
    </row>
    <row r="10383" spans="2:37">
      <c r="B10383" s="834" t="str">
        <f t="shared" si="403"/>
        <v>|||</v>
      </c>
      <c r="H10383" s="835">
        <f t="shared" si="404"/>
        <v>31</v>
      </c>
      <c r="AF10383" s="831" t="s">
        <v>11042</v>
      </c>
      <c r="AG10383" s="831" t="s">
        <v>2674</v>
      </c>
      <c r="AH10383" s="831" t="s">
        <v>126</v>
      </c>
      <c r="AI10383" s="831">
        <v>0</v>
      </c>
      <c r="AJ10383" s="835">
        <v>41517</v>
      </c>
      <c r="AK10383" s="831">
        <v>113874944</v>
      </c>
    </row>
    <row r="10384" spans="2:37">
      <c r="B10384" s="834" t="str">
        <f t="shared" si="403"/>
        <v>|||</v>
      </c>
      <c r="H10384" s="835">
        <f t="shared" si="404"/>
        <v>31</v>
      </c>
      <c r="AF10384" s="831" t="s">
        <v>11043</v>
      </c>
      <c r="AG10384" s="831" t="s">
        <v>2674</v>
      </c>
      <c r="AH10384" s="831" t="s">
        <v>268</v>
      </c>
      <c r="AI10384" s="831">
        <v>0</v>
      </c>
      <c r="AJ10384" s="835">
        <v>41517</v>
      </c>
      <c r="AK10384" s="831">
        <v>19111719</v>
      </c>
    </row>
    <row r="10385" spans="2:37">
      <c r="B10385" s="834" t="str">
        <f t="shared" ref="B10385:B10448" si="405">C10385&amp;"|"&amp;D10385&amp;"|"&amp;E10385&amp;"|"&amp;F10385</f>
        <v>|||</v>
      </c>
      <c r="H10385" s="835">
        <f t="shared" ref="H10385:H10448" si="406">EOMONTH(L10385,0)</f>
        <v>31</v>
      </c>
      <c r="AF10385" s="831" t="s">
        <v>11044</v>
      </c>
      <c r="AG10385" s="831" t="s">
        <v>2674</v>
      </c>
      <c r="AH10385" s="831" t="s">
        <v>547</v>
      </c>
      <c r="AI10385" s="831">
        <v>0</v>
      </c>
      <c r="AJ10385" s="835">
        <v>41517</v>
      </c>
      <c r="AK10385" s="831">
        <v>511487760</v>
      </c>
    </row>
    <row r="10386" spans="2:37">
      <c r="B10386" s="834" t="str">
        <f t="shared" si="405"/>
        <v>|||</v>
      </c>
      <c r="H10386" s="835">
        <f t="shared" si="406"/>
        <v>31</v>
      </c>
      <c r="AF10386" s="831" t="s">
        <v>11045</v>
      </c>
      <c r="AG10386" s="831" t="s">
        <v>2674</v>
      </c>
      <c r="AH10386" s="831" t="s">
        <v>548</v>
      </c>
      <c r="AI10386" s="831">
        <v>0</v>
      </c>
      <c r="AJ10386" s="835">
        <v>41517</v>
      </c>
      <c r="AK10386" s="831">
        <v>96883184</v>
      </c>
    </row>
    <row r="10387" spans="2:37">
      <c r="B10387" s="834" t="str">
        <f t="shared" si="405"/>
        <v>|||</v>
      </c>
      <c r="H10387" s="835">
        <f t="shared" si="406"/>
        <v>31</v>
      </c>
      <c r="AF10387" s="831" t="s">
        <v>11046</v>
      </c>
      <c r="AG10387" s="831" t="s">
        <v>2674</v>
      </c>
      <c r="AH10387" s="831" t="s">
        <v>549</v>
      </c>
      <c r="AI10387" s="831">
        <v>0</v>
      </c>
      <c r="AJ10387" s="835">
        <v>41517</v>
      </c>
      <c r="AK10387" s="831">
        <v>362295244</v>
      </c>
    </row>
    <row r="10388" spans="2:37">
      <c r="B10388" s="834" t="str">
        <f t="shared" si="405"/>
        <v>|||</v>
      </c>
      <c r="H10388" s="835">
        <f t="shared" si="406"/>
        <v>31</v>
      </c>
      <c r="AF10388" s="831" t="s">
        <v>11047</v>
      </c>
      <c r="AG10388" s="831" t="s">
        <v>2674</v>
      </c>
      <c r="AH10388" s="831" t="s">
        <v>192</v>
      </c>
      <c r="AI10388" s="831">
        <v>0</v>
      </c>
      <c r="AJ10388" s="835">
        <v>41517</v>
      </c>
      <c r="AK10388" s="831">
        <v>-12472831</v>
      </c>
    </row>
    <row r="10389" spans="2:37">
      <c r="B10389" s="834" t="str">
        <f t="shared" si="405"/>
        <v>|||</v>
      </c>
      <c r="H10389" s="835">
        <f t="shared" si="406"/>
        <v>31</v>
      </c>
      <c r="AF10389" s="831" t="s">
        <v>11048</v>
      </c>
      <c r="AG10389" s="831" t="s">
        <v>2674</v>
      </c>
      <c r="AH10389" s="831" t="s">
        <v>558</v>
      </c>
      <c r="AI10389" s="831">
        <v>0</v>
      </c>
      <c r="AJ10389" s="835">
        <v>41517</v>
      </c>
      <c r="AK10389" s="831">
        <v>543539630.65999997</v>
      </c>
    </row>
    <row r="10390" spans="2:37">
      <c r="B10390" s="834" t="str">
        <f t="shared" si="405"/>
        <v>|||</v>
      </c>
      <c r="H10390" s="835">
        <f t="shared" si="406"/>
        <v>31</v>
      </c>
      <c r="AF10390" s="831" t="s">
        <v>11049</v>
      </c>
      <c r="AG10390" s="831" t="s">
        <v>2674</v>
      </c>
      <c r="AH10390" s="831" t="s">
        <v>65</v>
      </c>
      <c r="AI10390" s="831">
        <v>0</v>
      </c>
      <c r="AJ10390" s="835">
        <v>41517</v>
      </c>
      <c r="AK10390" s="831">
        <v>83388551</v>
      </c>
    </row>
    <row r="10391" spans="2:37">
      <c r="B10391" s="834" t="str">
        <f t="shared" si="405"/>
        <v>|||</v>
      </c>
      <c r="H10391" s="835">
        <f t="shared" si="406"/>
        <v>31</v>
      </c>
      <c r="AF10391" s="831" t="s">
        <v>11050</v>
      </c>
      <c r="AG10391" s="831" t="s">
        <v>2674</v>
      </c>
      <c r="AH10391" s="831" t="s">
        <v>89</v>
      </c>
      <c r="AI10391" s="831">
        <v>0</v>
      </c>
      <c r="AJ10391" s="835">
        <v>41517</v>
      </c>
      <c r="AK10391" s="831">
        <v>139614</v>
      </c>
    </row>
    <row r="10392" spans="2:37">
      <c r="B10392" s="834" t="str">
        <f t="shared" si="405"/>
        <v>|||</v>
      </c>
      <c r="H10392" s="835">
        <f t="shared" si="406"/>
        <v>31</v>
      </c>
      <c r="AF10392" s="831" t="s">
        <v>11051</v>
      </c>
      <c r="AG10392" s="831" t="s">
        <v>2674</v>
      </c>
      <c r="AH10392" s="831" t="s">
        <v>557</v>
      </c>
      <c r="AI10392" s="831">
        <v>0</v>
      </c>
      <c r="AJ10392" s="835">
        <v>41517</v>
      </c>
      <c r="AK10392" s="831">
        <v>147732</v>
      </c>
    </row>
    <row r="10393" spans="2:37">
      <c r="B10393" s="834" t="str">
        <f t="shared" si="405"/>
        <v>|||</v>
      </c>
      <c r="H10393" s="835">
        <f t="shared" si="406"/>
        <v>31</v>
      </c>
      <c r="AF10393" s="831" t="s">
        <v>11052</v>
      </c>
      <c r="AG10393" s="831" t="s">
        <v>2674</v>
      </c>
      <c r="AH10393" s="831" t="s">
        <v>29</v>
      </c>
      <c r="AI10393" s="831">
        <v>0</v>
      </c>
      <c r="AJ10393" s="835">
        <v>41517</v>
      </c>
      <c r="AK10393" s="831">
        <v>1641079.85</v>
      </c>
    </row>
    <row r="10394" spans="2:37">
      <c r="B10394" s="834" t="str">
        <f t="shared" si="405"/>
        <v>|||</v>
      </c>
      <c r="H10394" s="835">
        <f t="shared" si="406"/>
        <v>31</v>
      </c>
      <c r="AF10394" s="831" t="s">
        <v>11053</v>
      </c>
      <c r="AG10394" s="831" t="s">
        <v>2674</v>
      </c>
      <c r="AH10394" s="831" t="s">
        <v>2688</v>
      </c>
      <c r="AI10394" s="831">
        <v>0</v>
      </c>
      <c r="AJ10394" s="835">
        <v>41517</v>
      </c>
      <c r="AK10394" s="831">
        <v>1980496.83</v>
      </c>
    </row>
    <row r="10395" spans="2:37">
      <c r="B10395" s="834" t="str">
        <f t="shared" si="405"/>
        <v>|||</v>
      </c>
      <c r="H10395" s="835">
        <f t="shared" si="406"/>
        <v>31</v>
      </c>
      <c r="AF10395" s="831" t="s">
        <v>11054</v>
      </c>
      <c r="AG10395" s="831" t="s">
        <v>2674</v>
      </c>
      <c r="AH10395" s="831" t="s">
        <v>556</v>
      </c>
      <c r="AI10395" s="831">
        <v>0</v>
      </c>
      <c r="AJ10395" s="835">
        <v>41517</v>
      </c>
      <c r="AK10395" s="831">
        <v>1644732</v>
      </c>
    </row>
    <row r="10396" spans="2:37">
      <c r="B10396" s="834" t="str">
        <f t="shared" si="405"/>
        <v>|||</v>
      </c>
      <c r="H10396" s="835">
        <f t="shared" si="406"/>
        <v>31</v>
      </c>
      <c r="AF10396" s="831" t="s">
        <v>11055</v>
      </c>
      <c r="AG10396" s="831" t="s">
        <v>2674</v>
      </c>
      <c r="AH10396" s="831" t="s">
        <v>555</v>
      </c>
      <c r="AI10396" s="831">
        <v>0</v>
      </c>
      <c r="AJ10396" s="835">
        <v>41517</v>
      </c>
      <c r="AK10396" s="831">
        <v>349976200</v>
      </c>
    </row>
    <row r="10397" spans="2:37">
      <c r="B10397" s="834" t="str">
        <f t="shared" si="405"/>
        <v>|||</v>
      </c>
      <c r="H10397" s="835">
        <f t="shared" si="406"/>
        <v>31</v>
      </c>
      <c r="AF10397" s="831" t="s">
        <v>11056</v>
      </c>
      <c r="AG10397" s="831" t="s">
        <v>2674</v>
      </c>
      <c r="AH10397" s="831" t="s">
        <v>554</v>
      </c>
      <c r="AI10397" s="831">
        <v>0</v>
      </c>
      <c r="AJ10397" s="835">
        <v>41517</v>
      </c>
      <c r="AK10397" s="831">
        <v>362271180</v>
      </c>
    </row>
    <row r="10398" spans="2:37">
      <c r="B10398" s="834" t="str">
        <f t="shared" si="405"/>
        <v>|||</v>
      </c>
      <c r="H10398" s="835">
        <f t="shared" si="406"/>
        <v>31</v>
      </c>
      <c r="AF10398" s="831" t="s">
        <v>11057</v>
      </c>
      <c r="AG10398" s="831" t="s">
        <v>2674</v>
      </c>
      <c r="AH10398" s="831" t="s">
        <v>553</v>
      </c>
      <c r="AI10398" s="831">
        <v>0</v>
      </c>
      <c r="AJ10398" s="835">
        <v>41517</v>
      </c>
      <c r="AK10398" s="831">
        <v>0</v>
      </c>
    </row>
    <row r="10399" spans="2:37">
      <c r="B10399" s="834" t="str">
        <f t="shared" si="405"/>
        <v>|||</v>
      </c>
      <c r="H10399" s="835">
        <f t="shared" si="406"/>
        <v>31</v>
      </c>
      <c r="AF10399" s="831" t="s">
        <v>11058</v>
      </c>
      <c r="AG10399" s="831" t="s">
        <v>2674</v>
      </c>
      <c r="AH10399" s="831" t="s">
        <v>552</v>
      </c>
      <c r="AI10399" s="831">
        <v>0</v>
      </c>
      <c r="AJ10399" s="835">
        <v>41517</v>
      </c>
      <c r="AK10399" s="831">
        <v>0</v>
      </c>
    </row>
    <row r="10400" spans="2:37">
      <c r="B10400" s="834" t="str">
        <f t="shared" si="405"/>
        <v>|||</v>
      </c>
      <c r="H10400" s="835">
        <f t="shared" si="406"/>
        <v>31</v>
      </c>
      <c r="AF10400" s="831" t="s">
        <v>11059</v>
      </c>
      <c r="AG10400" s="831" t="s">
        <v>2674</v>
      </c>
      <c r="AH10400" s="831" t="s">
        <v>551</v>
      </c>
      <c r="AI10400" s="831">
        <v>0</v>
      </c>
      <c r="AJ10400" s="835">
        <v>41517</v>
      </c>
      <c r="AK10400" s="831">
        <v>1337345.54</v>
      </c>
    </row>
    <row r="10401" spans="2:37">
      <c r="B10401" s="834" t="str">
        <f t="shared" si="405"/>
        <v>|||</v>
      </c>
      <c r="H10401" s="835">
        <f t="shared" si="406"/>
        <v>31</v>
      </c>
      <c r="AF10401" s="831" t="s">
        <v>11060</v>
      </c>
      <c r="AG10401" s="831" t="s">
        <v>2674</v>
      </c>
      <c r="AH10401" s="831" t="s">
        <v>550</v>
      </c>
      <c r="AI10401" s="831">
        <v>0</v>
      </c>
      <c r="AJ10401" s="835">
        <v>41517</v>
      </c>
      <c r="AK10401" s="831">
        <v>110887562</v>
      </c>
    </row>
    <row r="10402" spans="2:37">
      <c r="B10402" s="834" t="str">
        <f t="shared" si="405"/>
        <v>|||</v>
      </c>
      <c r="H10402" s="835">
        <f t="shared" si="406"/>
        <v>31</v>
      </c>
      <c r="AF10402" s="831" t="s">
        <v>11061</v>
      </c>
      <c r="AG10402" s="831" t="s">
        <v>2674</v>
      </c>
      <c r="AH10402" s="831" t="s">
        <v>562</v>
      </c>
      <c r="AI10402" s="831">
        <v>0</v>
      </c>
      <c r="AJ10402" s="835">
        <v>41517</v>
      </c>
      <c r="AK10402" s="831">
        <v>0.78385000000000005</v>
      </c>
    </row>
    <row r="10403" spans="2:37">
      <c r="B10403" s="834" t="str">
        <f t="shared" si="405"/>
        <v>|||</v>
      </c>
      <c r="H10403" s="835">
        <f t="shared" si="406"/>
        <v>31</v>
      </c>
      <c r="AF10403" s="831" t="s">
        <v>11062</v>
      </c>
      <c r="AG10403" s="831" t="s">
        <v>2674</v>
      </c>
      <c r="AH10403" s="831" t="s">
        <v>2698</v>
      </c>
      <c r="AI10403" s="831">
        <v>0</v>
      </c>
      <c r="AJ10403" s="835">
        <v>41517</v>
      </c>
      <c r="AK10403" s="831">
        <v>0.78374999999999995</v>
      </c>
    </row>
    <row r="10404" spans="2:37">
      <c r="B10404" s="834" t="str">
        <f t="shared" si="405"/>
        <v>|||</v>
      </c>
      <c r="H10404" s="835">
        <f t="shared" si="406"/>
        <v>31</v>
      </c>
      <c r="AF10404" s="831" t="s">
        <v>11063</v>
      </c>
      <c r="AG10404" s="831" t="s">
        <v>2674</v>
      </c>
      <c r="AH10404" s="831" t="s">
        <v>560</v>
      </c>
      <c r="AI10404" s="831">
        <v>0</v>
      </c>
      <c r="AJ10404" s="835">
        <v>41517</v>
      </c>
      <c r="AK10404" s="831">
        <v>0.7840125</v>
      </c>
    </row>
    <row r="10405" spans="2:37">
      <c r="B10405" s="834" t="str">
        <f t="shared" si="405"/>
        <v>|||</v>
      </c>
      <c r="H10405" s="835">
        <f t="shared" si="406"/>
        <v>31</v>
      </c>
      <c r="AF10405" s="831" t="s">
        <v>11064</v>
      </c>
      <c r="AG10405" s="831" t="s">
        <v>2674</v>
      </c>
      <c r="AH10405" s="831" t="s">
        <v>559</v>
      </c>
      <c r="AI10405" s="831">
        <v>0</v>
      </c>
      <c r="AJ10405" s="835">
        <v>41517</v>
      </c>
      <c r="AK10405" s="831">
        <v>0.78410416666666705</v>
      </c>
    </row>
    <row r="10406" spans="2:37">
      <c r="B10406" s="834" t="str">
        <f t="shared" si="405"/>
        <v>|||</v>
      </c>
      <c r="H10406" s="835">
        <f t="shared" si="406"/>
        <v>31</v>
      </c>
      <c r="AF10406" s="831" t="s">
        <v>11065</v>
      </c>
      <c r="AG10406" s="831" t="s">
        <v>2674</v>
      </c>
      <c r="AH10406" s="831" t="s">
        <v>568</v>
      </c>
      <c r="AI10406" s="831">
        <v>0</v>
      </c>
      <c r="AJ10406" s="835">
        <v>41517</v>
      </c>
      <c r="AK10406" s="831">
        <v>446494134.384615</v>
      </c>
    </row>
    <row r="10407" spans="2:37">
      <c r="B10407" s="834" t="str">
        <f t="shared" si="405"/>
        <v>|||</v>
      </c>
      <c r="H10407" s="835">
        <f t="shared" si="406"/>
        <v>31</v>
      </c>
      <c r="AF10407" s="831" t="s">
        <v>11066</v>
      </c>
      <c r="AG10407" s="831" t="s">
        <v>2674</v>
      </c>
      <c r="AH10407" s="831" t="s">
        <v>569</v>
      </c>
      <c r="AI10407" s="831">
        <v>0</v>
      </c>
      <c r="AJ10407" s="835">
        <v>41517</v>
      </c>
      <c r="AK10407" s="831">
        <v>542095460.15384603</v>
      </c>
    </row>
    <row r="10408" spans="2:37">
      <c r="B10408" s="834" t="str">
        <f t="shared" si="405"/>
        <v>|||</v>
      </c>
      <c r="H10408" s="835">
        <f t="shared" si="406"/>
        <v>31</v>
      </c>
      <c r="AF10408" s="831" t="s">
        <v>11067</v>
      </c>
      <c r="AG10408" s="831" t="s">
        <v>2674</v>
      </c>
      <c r="AH10408" s="831" t="s">
        <v>570</v>
      </c>
      <c r="AI10408" s="831">
        <v>0</v>
      </c>
      <c r="AJ10408" s="835">
        <v>41517</v>
      </c>
      <c r="AK10408" s="831">
        <v>102565482.69230799</v>
      </c>
    </row>
    <row r="10409" spans="2:37">
      <c r="B10409" s="834" t="str">
        <f t="shared" si="405"/>
        <v>|||</v>
      </c>
      <c r="H10409" s="835">
        <f t="shared" si="406"/>
        <v>31</v>
      </c>
      <c r="AF10409" s="831" t="s">
        <v>11068</v>
      </c>
      <c r="AG10409" s="831" t="s">
        <v>2674</v>
      </c>
      <c r="AH10409" s="831" t="s">
        <v>571</v>
      </c>
      <c r="AI10409" s="831">
        <v>0</v>
      </c>
      <c r="AJ10409" s="835">
        <v>41517</v>
      </c>
      <c r="AK10409" s="831">
        <v>245131875.46153799</v>
      </c>
    </row>
    <row r="10410" spans="2:37">
      <c r="B10410" s="834" t="str">
        <f t="shared" si="405"/>
        <v>|||</v>
      </c>
      <c r="H10410" s="835">
        <f t="shared" si="406"/>
        <v>31</v>
      </c>
      <c r="AF10410" s="831" t="s">
        <v>11069</v>
      </c>
      <c r="AG10410" s="831" t="s">
        <v>2674</v>
      </c>
      <c r="AH10410" s="831" t="s">
        <v>573</v>
      </c>
      <c r="AI10410" s="831">
        <v>0</v>
      </c>
      <c r="AJ10410" s="835">
        <v>41517</v>
      </c>
      <c r="AK10410" s="831">
        <v>579585898.22222197</v>
      </c>
    </row>
    <row r="10411" spans="2:37">
      <c r="B10411" s="834" t="str">
        <f t="shared" si="405"/>
        <v>|||</v>
      </c>
      <c r="H10411" s="835">
        <f t="shared" si="406"/>
        <v>31</v>
      </c>
      <c r="AF10411" s="831" t="s">
        <v>11070</v>
      </c>
      <c r="AG10411" s="831" t="s">
        <v>2674</v>
      </c>
      <c r="AH10411" s="831" t="s">
        <v>574</v>
      </c>
      <c r="AI10411" s="831">
        <v>0</v>
      </c>
      <c r="AJ10411" s="835">
        <v>41517</v>
      </c>
      <c r="AK10411" s="831">
        <v>478283946.77777803</v>
      </c>
    </row>
    <row r="10412" spans="2:37">
      <c r="B10412" s="834" t="str">
        <f t="shared" si="405"/>
        <v>|||</v>
      </c>
      <c r="H10412" s="835">
        <f t="shared" si="406"/>
        <v>31</v>
      </c>
      <c r="AF10412" s="831" t="s">
        <v>11071</v>
      </c>
      <c r="AG10412" s="831" t="s">
        <v>2674</v>
      </c>
      <c r="AH10412" s="831" t="s">
        <v>575</v>
      </c>
      <c r="AI10412" s="831">
        <v>0</v>
      </c>
      <c r="AJ10412" s="835">
        <v>41517</v>
      </c>
      <c r="AK10412" s="831">
        <v>104359849</v>
      </c>
    </row>
    <row r="10413" spans="2:37">
      <c r="B10413" s="834" t="str">
        <f t="shared" si="405"/>
        <v>|||</v>
      </c>
      <c r="H10413" s="835">
        <f t="shared" si="406"/>
        <v>31</v>
      </c>
      <c r="AF10413" s="831" t="s">
        <v>11072</v>
      </c>
      <c r="AG10413" s="831" t="s">
        <v>2674</v>
      </c>
      <c r="AH10413" s="831" t="s">
        <v>576</v>
      </c>
      <c r="AI10413" s="831">
        <v>0</v>
      </c>
      <c r="AJ10413" s="835">
        <v>41517</v>
      </c>
      <c r="AK10413" s="831">
        <v>270469259.22222197</v>
      </c>
    </row>
    <row r="10414" spans="2:37">
      <c r="B10414" s="834" t="str">
        <f t="shared" si="405"/>
        <v>|||</v>
      </c>
      <c r="H10414" s="835">
        <f t="shared" si="406"/>
        <v>31</v>
      </c>
      <c r="AF10414" s="831" t="s">
        <v>11073</v>
      </c>
      <c r="AG10414" s="831" t="s">
        <v>2674</v>
      </c>
      <c r="AH10414" s="831" t="s">
        <v>572</v>
      </c>
      <c r="AI10414" s="831">
        <v>0</v>
      </c>
      <c r="AJ10414" s="835">
        <v>41517</v>
      </c>
      <c r="AK10414" s="831">
        <v>24859621</v>
      </c>
    </row>
    <row r="10415" spans="2:37">
      <c r="B10415" s="834" t="str">
        <f t="shared" si="405"/>
        <v>|||</v>
      </c>
      <c r="H10415" s="835">
        <f t="shared" si="406"/>
        <v>31</v>
      </c>
      <c r="AF10415" s="831" t="s">
        <v>11074</v>
      </c>
      <c r="AG10415" s="831" t="s">
        <v>2674</v>
      </c>
      <c r="AH10415" s="831" t="s">
        <v>577</v>
      </c>
      <c r="AI10415" s="831">
        <v>0</v>
      </c>
      <c r="AJ10415" s="835">
        <v>41517</v>
      </c>
      <c r="AK10415" s="831">
        <v>119121446</v>
      </c>
    </row>
    <row r="10416" spans="2:37">
      <c r="B10416" s="834" t="str">
        <f t="shared" si="405"/>
        <v>|||</v>
      </c>
      <c r="H10416" s="835">
        <f t="shared" si="406"/>
        <v>31</v>
      </c>
      <c r="AF10416" s="831" t="s">
        <v>11075</v>
      </c>
      <c r="AG10416" s="831" t="s">
        <v>2674</v>
      </c>
      <c r="AH10416" s="831" t="s">
        <v>3042</v>
      </c>
      <c r="AI10416" s="831">
        <v>0</v>
      </c>
      <c r="AJ10416" s="835">
        <v>41517</v>
      </c>
      <c r="AK10416" s="831">
        <v>-29143089</v>
      </c>
    </row>
    <row r="10417" spans="2:37">
      <c r="B10417" s="834" t="str">
        <f t="shared" si="405"/>
        <v>|||</v>
      </c>
      <c r="H10417" s="835">
        <f t="shared" si="406"/>
        <v>31</v>
      </c>
      <c r="AF10417" s="831" t="s">
        <v>11076</v>
      </c>
      <c r="AG10417" s="831" t="s">
        <v>2674</v>
      </c>
      <c r="AH10417" s="831" t="s">
        <v>3044</v>
      </c>
      <c r="AI10417" s="831">
        <v>0</v>
      </c>
      <c r="AJ10417" s="835">
        <v>41517</v>
      </c>
      <c r="AK10417" s="831">
        <v>-4417525</v>
      </c>
    </row>
    <row r="10418" spans="2:37">
      <c r="B10418" s="834" t="str">
        <f t="shared" si="405"/>
        <v>|||</v>
      </c>
      <c r="H10418" s="835">
        <f t="shared" si="406"/>
        <v>31</v>
      </c>
      <c r="AF10418" s="831" t="s">
        <v>11077</v>
      </c>
      <c r="AG10418" s="831" t="s">
        <v>2674</v>
      </c>
      <c r="AH10418" s="831" t="s">
        <v>580</v>
      </c>
      <c r="AI10418" s="831">
        <v>0</v>
      </c>
      <c r="AJ10418" s="835">
        <v>41517</v>
      </c>
      <c r="AK10418" s="831">
        <v>-58376707</v>
      </c>
    </row>
    <row r="10419" spans="2:37">
      <c r="B10419" s="834" t="str">
        <f t="shared" si="405"/>
        <v>|||</v>
      </c>
      <c r="H10419" s="835">
        <f t="shared" si="406"/>
        <v>31</v>
      </c>
      <c r="AF10419" s="831" t="s">
        <v>11078</v>
      </c>
      <c r="AG10419" s="831" t="s">
        <v>2674</v>
      </c>
      <c r="AH10419" s="831" t="s">
        <v>581</v>
      </c>
      <c r="AI10419" s="831">
        <v>0</v>
      </c>
      <c r="AJ10419" s="835">
        <v>41517</v>
      </c>
      <c r="AK10419" s="831">
        <v>4578677</v>
      </c>
    </row>
    <row r="10420" spans="2:37">
      <c r="B10420" s="834" t="str">
        <f t="shared" si="405"/>
        <v>|||</v>
      </c>
      <c r="H10420" s="835">
        <f t="shared" si="406"/>
        <v>31</v>
      </c>
      <c r="AF10420" s="831" t="s">
        <v>11079</v>
      </c>
      <c r="AG10420" s="831" t="s">
        <v>2674</v>
      </c>
      <c r="AH10420" s="831" t="s">
        <v>105</v>
      </c>
      <c r="AI10420" s="831">
        <v>0</v>
      </c>
      <c r="AJ10420" s="835">
        <v>41517</v>
      </c>
      <c r="AK10420" s="831">
        <v>314125292</v>
      </c>
    </row>
    <row r="10421" spans="2:37">
      <c r="B10421" s="834" t="str">
        <f t="shared" si="405"/>
        <v>|||</v>
      </c>
      <c r="H10421" s="835">
        <f t="shared" si="406"/>
        <v>31</v>
      </c>
      <c r="AF10421" s="831" t="s">
        <v>11080</v>
      </c>
      <c r="AG10421" s="831" t="s">
        <v>2674</v>
      </c>
      <c r="AH10421" s="831" t="s">
        <v>3049</v>
      </c>
      <c r="AI10421" s="831">
        <v>0</v>
      </c>
      <c r="AJ10421" s="835">
        <v>41517</v>
      </c>
      <c r="AK10421" s="831">
        <v>527249449.14999998</v>
      </c>
    </row>
    <row r="10422" spans="2:37">
      <c r="B10422" s="834" t="str">
        <f t="shared" si="405"/>
        <v>|||</v>
      </c>
      <c r="H10422" s="835">
        <f t="shared" si="406"/>
        <v>31</v>
      </c>
      <c r="AF10422" s="831" t="s">
        <v>11081</v>
      </c>
      <c r="AG10422" s="831" t="s">
        <v>2674</v>
      </c>
      <c r="AH10422" s="831" t="s">
        <v>103</v>
      </c>
      <c r="AI10422" s="831">
        <v>0</v>
      </c>
      <c r="AJ10422" s="835">
        <v>41517</v>
      </c>
      <c r="AK10422" s="831">
        <v>213124157.15000001</v>
      </c>
    </row>
    <row r="10423" spans="2:37">
      <c r="B10423" s="834" t="str">
        <f t="shared" si="405"/>
        <v>|||</v>
      </c>
      <c r="H10423" s="835">
        <f t="shared" si="406"/>
        <v>31</v>
      </c>
      <c r="AF10423" s="831" t="s">
        <v>11082</v>
      </c>
      <c r="AG10423" s="831" t="s">
        <v>2674</v>
      </c>
      <c r="AH10423" s="831" t="s">
        <v>182</v>
      </c>
      <c r="AI10423" s="831">
        <v>0</v>
      </c>
      <c r="AJ10423" s="835">
        <v>41517</v>
      </c>
      <c r="AK10423" s="831">
        <v>57914724</v>
      </c>
    </row>
    <row r="10424" spans="2:37">
      <c r="B10424" s="834" t="str">
        <f t="shared" si="405"/>
        <v>|||</v>
      </c>
      <c r="H10424" s="835">
        <f t="shared" si="406"/>
        <v>31</v>
      </c>
      <c r="AF10424" s="831" t="s">
        <v>11083</v>
      </c>
      <c r="AG10424" s="831" t="s">
        <v>2674</v>
      </c>
      <c r="AH10424" s="831" t="s">
        <v>6600</v>
      </c>
      <c r="AI10424" s="831">
        <v>0</v>
      </c>
      <c r="AJ10424" s="835">
        <v>41517</v>
      </c>
      <c r="AK10424" s="831">
        <v>24859621</v>
      </c>
    </row>
    <row r="10425" spans="2:37">
      <c r="B10425" s="834" t="str">
        <f t="shared" si="405"/>
        <v>|||</v>
      </c>
      <c r="H10425" s="835">
        <f t="shared" si="406"/>
        <v>31</v>
      </c>
      <c r="AF10425" s="831" t="s">
        <v>11084</v>
      </c>
      <c r="AG10425" s="831" t="s">
        <v>2674</v>
      </c>
      <c r="AH10425" s="831" t="s">
        <v>6602</v>
      </c>
      <c r="AI10425" s="831">
        <v>0</v>
      </c>
      <c r="AJ10425" s="835">
        <v>41517</v>
      </c>
      <c r="AK10425" s="831">
        <v>19111719</v>
      </c>
    </row>
    <row r="10426" spans="2:37">
      <c r="B10426" s="834" t="str">
        <f t="shared" si="405"/>
        <v>|||</v>
      </c>
      <c r="H10426" s="835">
        <f t="shared" si="406"/>
        <v>31</v>
      </c>
      <c r="AF10426" s="831" t="s">
        <v>11085</v>
      </c>
      <c r="AG10426" s="831" t="s">
        <v>2674</v>
      </c>
      <c r="AH10426" s="831" t="s">
        <v>650</v>
      </c>
      <c r="AI10426" s="831">
        <v>0</v>
      </c>
      <c r="AJ10426" s="835">
        <v>41517</v>
      </c>
      <c r="AK10426" s="831">
        <v>180578512.62692299</v>
      </c>
    </row>
    <row r="10427" spans="2:37">
      <c r="B10427" s="834" t="str">
        <f t="shared" si="405"/>
        <v>|||</v>
      </c>
      <c r="H10427" s="835">
        <f t="shared" si="406"/>
        <v>31</v>
      </c>
      <c r="AF10427" s="831" t="s">
        <v>11086</v>
      </c>
      <c r="AG10427" s="831" t="s">
        <v>2674</v>
      </c>
      <c r="AH10427" s="831" t="s">
        <v>655</v>
      </c>
      <c r="AI10427" s="831">
        <v>0</v>
      </c>
      <c r="AJ10427" s="835">
        <v>41517</v>
      </c>
      <c r="AK10427" s="831">
        <v>1231052.19</v>
      </c>
    </row>
    <row r="10428" spans="2:37">
      <c r="B10428" s="834" t="str">
        <f t="shared" si="405"/>
        <v>|||</v>
      </c>
      <c r="H10428" s="835">
        <f t="shared" si="406"/>
        <v>31</v>
      </c>
      <c r="AF10428" s="831" t="s">
        <v>11087</v>
      </c>
      <c r="AG10428" s="831" t="s">
        <v>2674</v>
      </c>
      <c r="AH10428" s="831" t="s">
        <v>546</v>
      </c>
      <c r="AI10428" s="831">
        <v>0</v>
      </c>
      <c r="AJ10428" s="835">
        <v>41547</v>
      </c>
      <c r="AK10428" s="831">
        <v>563989028</v>
      </c>
    </row>
    <row r="10429" spans="2:37">
      <c r="B10429" s="834" t="str">
        <f t="shared" si="405"/>
        <v>|||</v>
      </c>
      <c r="H10429" s="835">
        <f t="shared" si="406"/>
        <v>31</v>
      </c>
      <c r="AF10429" s="831" t="s">
        <v>11088</v>
      </c>
      <c r="AG10429" s="831" t="s">
        <v>2674</v>
      </c>
      <c r="AH10429" s="831" t="s">
        <v>370</v>
      </c>
      <c r="AI10429" s="831">
        <v>0</v>
      </c>
      <c r="AJ10429" s="835">
        <v>41547</v>
      </c>
      <c r="AK10429" s="831">
        <v>692795586</v>
      </c>
    </row>
    <row r="10430" spans="2:37">
      <c r="B10430" s="834" t="str">
        <f t="shared" si="405"/>
        <v>|||</v>
      </c>
      <c r="H10430" s="835">
        <f t="shared" si="406"/>
        <v>31</v>
      </c>
      <c r="AF10430" s="831" t="s">
        <v>11089</v>
      </c>
      <c r="AG10430" s="831" t="s">
        <v>2674</v>
      </c>
      <c r="AH10430" s="831" t="s">
        <v>126</v>
      </c>
      <c r="AI10430" s="831">
        <v>0</v>
      </c>
      <c r="AJ10430" s="835">
        <v>41547</v>
      </c>
      <c r="AK10430" s="831">
        <v>117170637</v>
      </c>
    </row>
    <row r="10431" spans="2:37">
      <c r="B10431" s="834" t="str">
        <f t="shared" si="405"/>
        <v>|||</v>
      </c>
      <c r="H10431" s="835">
        <f t="shared" si="406"/>
        <v>31</v>
      </c>
      <c r="AF10431" s="831" t="s">
        <v>11090</v>
      </c>
      <c r="AG10431" s="831" t="s">
        <v>2674</v>
      </c>
      <c r="AH10431" s="831" t="s">
        <v>268</v>
      </c>
      <c r="AI10431" s="831">
        <v>0</v>
      </c>
      <c r="AJ10431" s="835">
        <v>41547</v>
      </c>
      <c r="AK10431" s="831">
        <v>22407414</v>
      </c>
    </row>
    <row r="10432" spans="2:37">
      <c r="B10432" s="834" t="str">
        <f t="shared" si="405"/>
        <v>|||</v>
      </c>
      <c r="H10432" s="835">
        <f t="shared" si="406"/>
        <v>31</v>
      </c>
      <c r="AF10432" s="831" t="s">
        <v>11091</v>
      </c>
      <c r="AG10432" s="831" t="s">
        <v>2674</v>
      </c>
      <c r="AH10432" s="831" t="s">
        <v>547</v>
      </c>
      <c r="AI10432" s="831">
        <v>0</v>
      </c>
      <c r="AJ10432" s="835">
        <v>41547</v>
      </c>
      <c r="AK10432" s="831">
        <v>511487760</v>
      </c>
    </row>
    <row r="10433" spans="2:37">
      <c r="B10433" s="834" t="str">
        <f t="shared" si="405"/>
        <v>|||</v>
      </c>
      <c r="H10433" s="835">
        <f t="shared" si="406"/>
        <v>31</v>
      </c>
      <c r="AF10433" s="831" t="s">
        <v>11092</v>
      </c>
      <c r="AG10433" s="831" t="s">
        <v>2674</v>
      </c>
      <c r="AH10433" s="831" t="s">
        <v>548</v>
      </c>
      <c r="AI10433" s="831">
        <v>0</v>
      </c>
      <c r="AJ10433" s="835">
        <v>41547</v>
      </c>
      <c r="AK10433" s="831">
        <v>96883184</v>
      </c>
    </row>
    <row r="10434" spans="2:37">
      <c r="B10434" s="834" t="str">
        <f t="shared" si="405"/>
        <v>|||</v>
      </c>
      <c r="H10434" s="835">
        <f t="shared" si="406"/>
        <v>31</v>
      </c>
      <c r="AF10434" s="831" t="s">
        <v>11093</v>
      </c>
      <c r="AG10434" s="831" t="s">
        <v>2674</v>
      </c>
      <c r="AH10434" s="831" t="s">
        <v>549</v>
      </c>
      <c r="AI10434" s="831">
        <v>0</v>
      </c>
      <c r="AJ10434" s="835">
        <v>41547</v>
      </c>
      <c r="AK10434" s="831">
        <v>367084945</v>
      </c>
    </row>
    <row r="10435" spans="2:37">
      <c r="B10435" s="834" t="str">
        <f t="shared" si="405"/>
        <v>|||</v>
      </c>
      <c r="H10435" s="835">
        <f t="shared" si="406"/>
        <v>31</v>
      </c>
      <c r="AF10435" s="831" t="s">
        <v>11094</v>
      </c>
      <c r="AG10435" s="831" t="s">
        <v>2674</v>
      </c>
      <c r="AH10435" s="831" t="s">
        <v>192</v>
      </c>
      <c r="AI10435" s="831">
        <v>0</v>
      </c>
      <c r="AJ10435" s="835">
        <v>41547</v>
      </c>
      <c r="AK10435" s="831">
        <v>-12882814</v>
      </c>
    </row>
    <row r="10436" spans="2:37">
      <c r="B10436" s="834" t="str">
        <f t="shared" si="405"/>
        <v>|||</v>
      </c>
      <c r="H10436" s="835">
        <f t="shared" si="406"/>
        <v>31</v>
      </c>
      <c r="AF10436" s="831" t="s">
        <v>11095</v>
      </c>
      <c r="AG10436" s="831" t="s">
        <v>2674</v>
      </c>
      <c r="AH10436" s="831" t="s">
        <v>558</v>
      </c>
      <c r="AI10436" s="831">
        <v>0</v>
      </c>
      <c r="AJ10436" s="835">
        <v>41547</v>
      </c>
      <c r="AK10436" s="831">
        <v>575624949</v>
      </c>
    </row>
    <row r="10437" spans="2:37">
      <c r="B10437" s="834" t="str">
        <f t="shared" si="405"/>
        <v>|||</v>
      </c>
      <c r="H10437" s="835">
        <f t="shared" si="406"/>
        <v>31</v>
      </c>
      <c r="AF10437" s="831" t="s">
        <v>11096</v>
      </c>
      <c r="AG10437" s="831" t="s">
        <v>2674</v>
      </c>
      <c r="AH10437" s="831" t="s">
        <v>65</v>
      </c>
      <c r="AI10437" s="831">
        <v>0</v>
      </c>
      <c r="AJ10437" s="835">
        <v>41547</v>
      </c>
      <c r="AK10437" s="831">
        <v>95313557</v>
      </c>
    </row>
    <row r="10438" spans="2:37">
      <c r="B10438" s="834" t="str">
        <f t="shared" si="405"/>
        <v>|||</v>
      </c>
      <c r="H10438" s="835">
        <f t="shared" si="406"/>
        <v>31</v>
      </c>
      <c r="AF10438" s="831" t="s">
        <v>11097</v>
      </c>
      <c r="AG10438" s="831" t="s">
        <v>2674</v>
      </c>
      <c r="AH10438" s="831" t="s">
        <v>89</v>
      </c>
      <c r="AI10438" s="831">
        <v>0</v>
      </c>
      <c r="AJ10438" s="835">
        <v>41547</v>
      </c>
      <c r="AK10438" s="831">
        <v>141558</v>
      </c>
    </row>
    <row r="10439" spans="2:37">
      <c r="B10439" s="834" t="str">
        <f t="shared" si="405"/>
        <v>|||</v>
      </c>
      <c r="H10439" s="835">
        <f t="shared" si="406"/>
        <v>31</v>
      </c>
      <c r="AF10439" s="831" t="s">
        <v>11098</v>
      </c>
      <c r="AG10439" s="831" t="s">
        <v>2674</v>
      </c>
      <c r="AH10439" s="831" t="s">
        <v>557</v>
      </c>
      <c r="AI10439" s="831">
        <v>0</v>
      </c>
      <c r="AJ10439" s="835">
        <v>41547</v>
      </c>
      <c r="AK10439" s="831">
        <v>150480</v>
      </c>
    </row>
    <row r="10440" spans="2:37">
      <c r="B10440" s="834" t="str">
        <f t="shared" si="405"/>
        <v>|||</v>
      </c>
      <c r="H10440" s="835">
        <f t="shared" si="406"/>
        <v>31</v>
      </c>
      <c r="AF10440" s="831" t="s">
        <v>11099</v>
      </c>
      <c r="AG10440" s="831" t="s">
        <v>2674</v>
      </c>
      <c r="AH10440" s="831" t="s">
        <v>29</v>
      </c>
      <c r="AI10440" s="831">
        <v>0</v>
      </c>
      <c r="AJ10440" s="835">
        <v>41547</v>
      </c>
      <c r="AK10440" s="831">
        <v>1808536.49</v>
      </c>
    </row>
    <row r="10441" spans="2:37">
      <c r="B10441" s="834" t="str">
        <f t="shared" si="405"/>
        <v>|||</v>
      </c>
      <c r="H10441" s="835">
        <f t="shared" si="406"/>
        <v>31</v>
      </c>
      <c r="AF10441" s="831" t="s">
        <v>11100</v>
      </c>
      <c r="AG10441" s="831" t="s">
        <v>2674</v>
      </c>
      <c r="AH10441" s="831" t="s">
        <v>2688</v>
      </c>
      <c r="AI10441" s="831">
        <v>0</v>
      </c>
      <c r="AJ10441" s="835">
        <v>41547</v>
      </c>
      <c r="AK10441" s="831">
        <v>1944896.06</v>
      </c>
    </row>
    <row r="10442" spans="2:37">
      <c r="B10442" s="834" t="str">
        <f t="shared" si="405"/>
        <v>|||</v>
      </c>
      <c r="H10442" s="835">
        <f t="shared" si="406"/>
        <v>31</v>
      </c>
      <c r="AF10442" s="831" t="s">
        <v>11101</v>
      </c>
      <c r="AG10442" s="831" t="s">
        <v>2674</v>
      </c>
      <c r="AH10442" s="831" t="s">
        <v>556</v>
      </c>
      <c r="AI10442" s="831">
        <v>0</v>
      </c>
      <c r="AJ10442" s="835">
        <v>41547</v>
      </c>
      <c r="AK10442" s="831">
        <v>1644732</v>
      </c>
    </row>
    <row r="10443" spans="2:37">
      <c r="B10443" s="834" t="str">
        <f t="shared" si="405"/>
        <v>|||</v>
      </c>
      <c r="H10443" s="835">
        <f t="shared" si="406"/>
        <v>31</v>
      </c>
      <c r="AF10443" s="831" t="s">
        <v>11102</v>
      </c>
      <c r="AG10443" s="831" t="s">
        <v>2674</v>
      </c>
      <c r="AH10443" s="831" t="s">
        <v>555</v>
      </c>
      <c r="AI10443" s="831">
        <v>0</v>
      </c>
      <c r="AJ10443" s="835">
        <v>41547</v>
      </c>
      <c r="AK10443" s="831">
        <v>373785500</v>
      </c>
    </row>
    <row r="10444" spans="2:37">
      <c r="B10444" s="834" t="str">
        <f t="shared" si="405"/>
        <v>|||</v>
      </c>
      <c r="H10444" s="835">
        <f t="shared" si="406"/>
        <v>31</v>
      </c>
      <c r="AF10444" s="831" t="s">
        <v>11103</v>
      </c>
      <c r="AG10444" s="831" t="s">
        <v>2674</v>
      </c>
      <c r="AH10444" s="831" t="s">
        <v>554</v>
      </c>
      <c r="AI10444" s="831">
        <v>0</v>
      </c>
      <c r="AJ10444" s="835">
        <v>41547</v>
      </c>
      <c r="AK10444" s="831">
        <v>389313510</v>
      </c>
    </row>
    <row r="10445" spans="2:37">
      <c r="B10445" s="834" t="str">
        <f t="shared" si="405"/>
        <v>|||</v>
      </c>
      <c r="H10445" s="835">
        <f t="shared" si="406"/>
        <v>31</v>
      </c>
      <c r="AF10445" s="831" t="s">
        <v>11104</v>
      </c>
      <c r="AG10445" s="831" t="s">
        <v>2674</v>
      </c>
      <c r="AH10445" s="831" t="s">
        <v>553</v>
      </c>
      <c r="AI10445" s="831">
        <v>0</v>
      </c>
      <c r="AJ10445" s="835">
        <v>41547</v>
      </c>
      <c r="AK10445" s="831">
        <v>0</v>
      </c>
    </row>
    <row r="10446" spans="2:37">
      <c r="B10446" s="834" t="str">
        <f t="shared" si="405"/>
        <v>|||</v>
      </c>
      <c r="H10446" s="835">
        <f t="shared" si="406"/>
        <v>31</v>
      </c>
      <c r="AF10446" s="831" t="s">
        <v>11105</v>
      </c>
      <c r="AG10446" s="831" t="s">
        <v>2674</v>
      </c>
      <c r="AH10446" s="831" t="s">
        <v>552</v>
      </c>
      <c r="AI10446" s="831">
        <v>0</v>
      </c>
      <c r="AJ10446" s="835">
        <v>41547</v>
      </c>
      <c r="AK10446" s="831">
        <v>0</v>
      </c>
    </row>
    <row r="10447" spans="2:37">
      <c r="B10447" s="834" t="str">
        <f t="shared" si="405"/>
        <v>|||</v>
      </c>
      <c r="H10447" s="835">
        <f t="shared" si="406"/>
        <v>31</v>
      </c>
      <c r="AF10447" s="831" t="s">
        <v>11106</v>
      </c>
      <c r="AG10447" s="831" t="s">
        <v>2674</v>
      </c>
      <c r="AH10447" s="831" t="s">
        <v>551</v>
      </c>
      <c r="AI10447" s="831">
        <v>0</v>
      </c>
      <c r="AJ10447" s="835">
        <v>41547</v>
      </c>
      <c r="AK10447" s="831">
        <v>1611508.6</v>
      </c>
    </row>
    <row r="10448" spans="2:37">
      <c r="B10448" s="834" t="str">
        <f t="shared" si="405"/>
        <v>|||</v>
      </c>
      <c r="H10448" s="835">
        <f t="shared" si="406"/>
        <v>31</v>
      </c>
      <c r="AF10448" s="831" t="s">
        <v>11107</v>
      </c>
      <c r="AG10448" s="831" t="s">
        <v>2674</v>
      </c>
      <c r="AH10448" s="831" t="s">
        <v>550</v>
      </c>
      <c r="AI10448" s="831">
        <v>0</v>
      </c>
      <c r="AJ10448" s="835">
        <v>41547</v>
      </c>
      <c r="AK10448" s="831">
        <v>113874944</v>
      </c>
    </row>
    <row r="10449" spans="2:37">
      <c r="B10449" s="834" t="str">
        <f t="shared" ref="B10449:B10512" si="407">C10449&amp;"|"&amp;D10449&amp;"|"&amp;E10449&amp;"|"&amp;F10449</f>
        <v>|||</v>
      </c>
      <c r="H10449" s="835">
        <f t="shared" ref="H10449:H10512" si="408">EOMONTH(L10449,0)</f>
        <v>31</v>
      </c>
      <c r="AF10449" s="831" t="s">
        <v>11108</v>
      </c>
      <c r="AG10449" s="831" t="s">
        <v>2674</v>
      </c>
      <c r="AH10449" s="831" t="s">
        <v>562</v>
      </c>
      <c r="AI10449" s="831">
        <v>0</v>
      </c>
      <c r="AJ10449" s="835">
        <v>41547</v>
      </c>
      <c r="AK10449" s="831">
        <v>0.78395000000000004</v>
      </c>
    </row>
    <row r="10450" spans="2:37">
      <c r="B10450" s="834" t="str">
        <f t="shared" si="407"/>
        <v>|||</v>
      </c>
      <c r="H10450" s="835">
        <f t="shared" si="408"/>
        <v>31</v>
      </c>
      <c r="AF10450" s="831" t="s">
        <v>11109</v>
      </c>
      <c r="AG10450" s="831" t="s">
        <v>2674</v>
      </c>
      <c r="AH10450" s="831" t="s">
        <v>2698</v>
      </c>
      <c r="AI10450" s="831">
        <v>0</v>
      </c>
      <c r="AJ10450" s="835">
        <v>41547</v>
      </c>
      <c r="AK10450" s="831">
        <v>0.78385000000000005</v>
      </c>
    </row>
    <row r="10451" spans="2:37">
      <c r="B10451" s="834" t="str">
        <f t="shared" si="407"/>
        <v>|||</v>
      </c>
      <c r="H10451" s="835">
        <f t="shared" si="408"/>
        <v>31</v>
      </c>
      <c r="AF10451" s="831" t="s">
        <v>11110</v>
      </c>
      <c r="AG10451" s="831" t="s">
        <v>2674</v>
      </c>
      <c r="AH10451" s="831" t="s">
        <v>560</v>
      </c>
      <c r="AI10451" s="831">
        <v>0</v>
      </c>
      <c r="AJ10451" s="835">
        <v>41547</v>
      </c>
      <c r="AK10451" s="831">
        <v>0.78400555555555596</v>
      </c>
    </row>
    <row r="10452" spans="2:37">
      <c r="B10452" s="834" t="str">
        <f t="shared" si="407"/>
        <v>|||</v>
      </c>
      <c r="H10452" s="835">
        <f t="shared" si="408"/>
        <v>31</v>
      </c>
      <c r="AF10452" s="831" t="s">
        <v>11111</v>
      </c>
      <c r="AG10452" s="831" t="s">
        <v>2674</v>
      </c>
      <c r="AH10452" s="831" t="s">
        <v>559</v>
      </c>
      <c r="AI10452" s="831">
        <v>0</v>
      </c>
      <c r="AJ10452" s="835">
        <v>41547</v>
      </c>
      <c r="AK10452" s="831">
        <v>0.784045833333333</v>
      </c>
    </row>
    <row r="10453" spans="2:37">
      <c r="B10453" s="834" t="str">
        <f t="shared" si="407"/>
        <v>|||</v>
      </c>
      <c r="H10453" s="835">
        <f t="shared" si="408"/>
        <v>31</v>
      </c>
      <c r="AF10453" s="831" t="s">
        <v>11112</v>
      </c>
      <c r="AG10453" s="831" t="s">
        <v>2674</v>
      </c>
      <c r="AH10453" s="831" t="s">
        <v>568</v>
      </c>
      <c r="AI10453" s="831">
        <v>0</v>
      </c>
      <c r="AJ10453" s="835">
        <v>41547</v>
      </c>
      <c r="AK10453" s="831">
        <v>462009040.84615397</v>
      </c>
    </row>
    <row r="10454" spans="2:37">
      <c r="B10454" s="834" t="str">
        <f t="shared" si="407"/>
        <v>|||</v>
      </c>
      <c r="H10454" s="835">
        <f t="shared" si="408"/>
        <v>31</v>
      </c>
      <c r="AF10454" s="831" t="s">
        <v>11113</v>
      </c>
      <c r="AG10454" s="831" t="s">
        <v>2674</v>
      </c>
      <c r="AH10454" s="831" t="s">
        <v>569</v>
      </c>
      <c r="AI10454" s="831">
        <v>0</v>
      </c>
      <c r="AJ10454" s="835">
        <v>41547</v>
      </c>
      <c r="AK10454" s="831">
        <v>560598027.84615397</v>
      </c>
    </row>
    <row r="10455" spans="2:37">
      <c r="B10455" s="834" t="str">
        <f t="shared" si="407"/>
        <v>|||</v>
      </c>
      <c r="H10455" s="835">
        <f t="shared" si="408"/>
        <v>31</v>
      </c>
      <c r="AF10455" s="831" t="s">
        <v>11114</v>
      </c>
      <c r="AG10455" s="831" t="s">
        <v>2674</v>
      </c>
      <c r="AH10455" s="831" t="s">
        <v>570</v>
      </c>
      <c r="AI10455" s="831">
        <v>0</v>
      </c>
      <c r="AJ10455" s="835">
        <v>41547</v>
      </c>
      <c r="AK10455" s="831">
        <v>104238995.30769201</v>
      </c>
    </row>
    <row r="10456" spans="2:37">
      <c r="B10456" s="834" t="str">
        <f t="shared" si="407"/>
        <v>|||</v>
      </c>
      <c r="H10456" s="835">
        <f t="shared" si="408"/>
        <v>31</v>
      </c>
      <c r="AF10456" s="831" t="s">
        <v>11115</v>
      </c>
      <c r="AG10456" s="831" t="s">
        <v>2674</v>
      </c>
      <c r="AH10456" s="831" t="s">
        <v>571</v>
      </c>
      <c r="AI10456" s="831">
        <v>0</v>
      </c>
      <c r="AJ10456" s="835">
        <v>41547</v>
      </c>
      <c r="AK10456" s="831">
        <v>257329819.615385</v>
      </c>
    </row>
    <row r="10457" spans="2:37">
      <c r="B10457" s="834" t="str">
        <f t="shared" si="407"/>
        <v>|||</v>
      </c>
      <c r="H10457" s="835">
        <f t="shared" si="408"/>
        <v>31</v>
      </c>
      <c r="AF10457" s="831" t="s">
        <v>11116</v>
      </c>
      <c r="AG10457" s="831" t="s">
        <v>2674</v>
      </c>
      <c r="AH10457" s="831" t="s">
        <v>573</v>
      </c>
      <c r="AI10457" s="831">
        <v>0</v>
      </c>
      <c r="AJ10457" s="835">
        <v>41547</v>
      </c>
      <c r="AK10457" s="831">
        <v>590906867</v>
      </c>
    </row>
    <row r="10458" spans="2:37">
      <c r="B10458" s="834" t="str">
        <f t="shared" si="407"/>
        <v>|||</v>
      </c>
      <c r="H10458" s="835">
        <f t="shared" si="408"/>
        <v>31</v>
      </c>
      <c r="AF10458" s="831" t="s">
        <v>11117</v>
      </c>
      <c r="AG10458" s="831" t="s">
        <v>2674</v>
      </c>
      <c r="AH10458" s="831" t="s">
        <v>574</v>
      </c>
      <c r="AI10458" s="831">
        <v>0</v>
      </c>
      <c r="AJ10458" s="835">
        <v>41547</v>
      </c>
      <c r="AK10458" s="831">
        <v>486854454.89999998</v>
      </c>
    </row>
    <row r="10459" spans="2:37">
      <c r="B10459" s="834" t="str">
        <f t="shared" si="407"/>
        <v>|||</v>
      </c>
      <c r="H10459" s="835">
        <f t="shared" si="408"/>
        <v>31</v>
      </c>
      <c r="AF10459" s="831" t="s">
        <v>11118</v>
      </c>
      <c r="AG10459" s="831" t="s">
        <v>2674</v>
      </c>
      <c r="AH10459" s="831" t="s">
        <v>575</v>
      </c>
      <c r="AI10459" s="831">
        <v>0</v>
      </c>
      <c r="AJ10459" s="835">
        <v>41547</v>
      </c>
      <c r="AK10459" s="831">
        <v>105640927.8</v>
      </c>
    </row>
    <row r="10460" spans="2:37">
      <c r="B10460" s="834" t="str">
        <f t="shared" si="407"/>
        <v>|||</v>
      </c>
      <c r="H10460" s="835">
        <f t="shared" si="408"/>
        <v>31</v>
      </c>
      <c r="AF10460" s="831" t="s">
        <v>11119</v>
      </c>
      <c r="AG10460" s="831" t="s">
        <v>2674</v>
      </c>
      <c r="AH10460" s="831" t="s">
        <v>576</v>
      </c>
      <c r="AI10460" s="831">
        <v>0</v>
      </c>
      <c r="AJ10460" s="835">
        <v>41547</v>
      </c>
      <c r="AK10460" s="831">
        <v>277318070.10000002</v>
      </c>
    </row>
    <row r="10461" spans="2:37">
      <c r="B10461" s="834" t="str">
        <f t="shared" si="407"/>
        <v>|||</v>
      </c>
      <c r="H10461" s="835">
        <f t="shared" si="408"/>
        <v>31</v>
      </c>
      <c r="AF10461" s="831" t="s">
        <v>11120</v>
      </c>
      <c r="AG10461" s="831" t="s">
        <v>2674</v>
      </c>
      <c r="AH10461" s="831" t="s">
        <v>572</v>
      </c>
      <c r="AI10461" s="831">
        <v>0</v>
      </c>
      <c r="AJ10461" s="835">
        <v>41547</v>
      </c>
      <c r="AK10461" s="831">
        <v>26160885</v>
      </c>
    </row>
    <row r="10462" spans="2:37">
      <c r="B10462" s="834" t="str">
        <f t="shared" si="407"/>
        <v>|||</v>
      </c>
      <c r="H10462" s="835">
        <f t="shared" si="408"/>
        <v>31</v>
      </c>
      <c r="AF10462" s="831" t="s">
        <v>11121</v>
      </c>
      <c r="AG10462" s="831" t="s">
        <v>2674</v>
      </c>
      <c r="AH10462" s="831" t="s">
        <v>577</v>
      </c>
      <c r="AI10462" s="831">
        <v>0</v>
      </c>
      <c r="AJ10462" s="835">
        <v>41547</v>
      </c>
      <c r="AK10462" s="831">
        <v>122921739</v>
      </c>
    </row>
    <row r="10463" spans="2:37">
      <c r="B10463" s="834" t="str">
        <f t="shared" si="407"/>
        <v>|||</v>
      </c>
      <c r="H10463" s="835">
        <f t="shared" si="408"/>
        <v>31</v>
      </c>
      <c r="AF10463" s="831" t="s">
        <v>11122</v>
      </c>
      <c r="AG10463" s="831" t="s">
        <v>2674</v>
      </c>
      <c r="AH10463" s="831" t="s">
        <v>3042</v>
      </c>
      <c r="AI10463" s="831">
        <v>0</v>
      </c>
      <c r="AJ10463" s="835">
        <v>41547</v>
      </c>
      <c r="AK10463" s="831">
        <v>-30135210</v>
      </c>
    </row>
    <row r="10464" spans="2:37">
      <c r="B10464" s="834" t="str">
        <f t="shared" si="407"/>
        <v>|||</v>
      </c>
      <c r="H10464" s="835">
        <f t="shared" si="408"/>
        <v>31</v>
      </c>
      <c r="AF10464" s="831" t="s">
        <v>11123</v>
      </c>
      <c r="AG10464" s="831" t="s">
        <v>2674</v>
      </c>
      <c r="AH10464" s="831" t="s">
        <v>3044</v>
      </c>
      <c r="AI10464" s="831">
        <v>0</v>
      </c>
      <c r="AJ10464" s="835">
        <v>41547</v>
      </c>
      <c r="AK10464" s="831">
        <v>-4515854</v>
      </c>
    </row>
    <row r="10465" spans="2:37">
      <c r="B10465" s="834" t="str">
        <f t="shared" si="407"/>
        <v>|||</v>
      </c>
      <c r="H10465" s="835">
        <f t="shared" si="408"/>
        <v>31</v>
      </c>
      <c r="AF10465" s="831" t="s">
        <v>11124</v>
      </c>
      <c r="AG10465" s="831" t="s">
        <v>2674</v>
      </c>
      <c r="AH10465" s="831" t="s">
        <v>580</v>
      </c>
      <c r="AI10465" s="831">
        <v>0</v>
      </c>
      <c r="AJ10465" s="835">
        <v>41547</v>
      </c>
      <c r="AK10465" s="831">
        <v>-59169843</v>
      </c>
    </row>
    <row r="10466" spans="2:37">
      <c r="B10466" s="834" t="str">
        <f t="shared" si="407"/>
        <v>|||</v>
      </c>
      <c r="H10466" s="835">
        <f t="shared" si="408"/>
        <v>31</v>
      </c>
      <c r="AF10466" s="831" t="s">
        <v>11125</v>
      </c>
      <c r="AG10466" s="831" t="s">
        <v>2674</v>
      </c>
      <c r="AH10466" s="831" t="s">
        <v>581</v>
      </c>
      <c r="AI10466" s="831">
        <v>0</v>
      </c>
      <c r="AJ10466" s="835">
        <v>41547</v>
      </c>
      <c r="AK10466" s="831">
        <v>4375184</v>
      </c>
    </row>
    <row r="10467" spans="2:37">
      <c r="B10467" s="834" t="str">
        <f t="shared" si="407"/>
        <v>|||</v>
      </c>
      <c r="H10467" s="835">
        <f t="shared" si="408"/>
        <v>31</v>
      </c>
      <c r="AF10467" s="831" t="s">
        <v>11126</v>
      </c>
      <c r="AG10467" s="831" t="s">
        <v>2674</v>
      </c>
      <c r="AH10467" s="831" t="s">
        <v>105</v>
      </c>
      <c r="AI10467" s="831">
        <v>0</v>
      </c>
      <c r="AJ10467" s="835">
        <v>41547</v>
      </c>
      <c r="AK10467" s="831">
        <v>338957368</v>
      </c>
    </row>
    <row r="10468" spans="2:37">
      <c r="B10468" s="834" t="str">
        <f t="shared" si="407"/>
        <v>|||</v>
      </c>
      <c r="H10468" s="835">
        <f t="shared" si="408"/>
        <v>31</v>
      </c>
      <c r="AF10468" s="831" t="s">
        <v>11127</v>
      </c>
      <c r="AG10468" s="831" t="s">
        <v>2674</v>
      </c>
      <c r="AH10468" s="831" t="s">
        <v>3049</v>
      </c>
      <c r="AI10468" s="831">
        <v>0</v>
      </c>
      <c r="AJ10468" s="835">
        <v>41547</v>
      </c>
      <c r="AK10468" s="831">
        <v>558920871</v>
      </c>
    </row>
    <row r="10469" spans="2:37">
      <c r="B10469" s="834" t="str">
        <f t="shared" si="407"/>
        <v>|||</v>
      </c>
      <c r="H10469" s="835">
        <f t="shared" si="408"/>
        <v>31</v>
      </c>
      <c r="AF10469" s="831" t="s">
        <v>11128</v>
      </c>
      <c r="AG10469" s="831" t="s">
        <v>2674</v>
      </c>
      <c r="AH10469" s="831" t="s">
        <v>103</v>
      </c>
      <c r="AI10469" s="831">
        <v>0</v>
      </c>
      <c r="AJ10469" s="835">
        <v>41547</v>
      </c>
      <c r="AK10469" s="831">
        <v>219963503</v>
      </c>
    </row>
    <row r="10470" spans="2:37">
      <c r="B10470" s="834" t="str">
        <f t="shared" si="407"/>
        <v>|||</v>
      </c>
      <c r="H10470" s="835">
        <f t="shared" si="408"/>
        <v>31</v>
      </c>
      <c r="AF10470" s="831" t="s">
        <v>11129</v>
      </c>
      <c r="AG10470" s="831" t="s">
        <v>2674</v>
      </c>
      <c r="AH10470" s="831" t="s">
        <v>182</v>
      </c>
      <c r="AI10470" s="831">
        <v>0</v>
      </c>
      <c r="AJ10470" s="835">
        <v>41547</v>
      </c>
      <c r="AK10470" s="831">
        <v>57784893.333333299</v>
      </c>
    </row>
    <row r="10471" spans="2:37">
      <c r="B10471" s="834" t="str">
        <f t="shared" si="407"/>
        <v>|||</v>
      </c>
      <c r="H10471" s="835">
        <f t="shared" si="408"/>
        <v>31</v>
      </c>
      <c r="AF10471" s="831" t="s">
        <v>11130</v>
      </c>
      <c r="AG10471" s="831" t="s">
        <v>2674</v>
      </c>
      <c r="AH10471" s="831" t="s">
        <v>6600</v>
      </c>
      <c r="AI10471" s="831">
        <v>0</v>
      </c>
      <c r="AJ10471" s="835">
        <v>41547</v>
      </c>
      <c r="AK10471" s="831">
        <v>26160885</v>
      </c>
    </row>
    <row r="10472" spans="2:37">
      <c r="B10472" s="834" t="str">
        <f t="shared" si="407"/>
        <v>|||</v>
      </c>
      <c r="H10472" s="835">
        <f t="shared" si="408"/>
        <v>31</v>
      </c>
      <c r="AF10472" s="831" t="s">
        <v>11131</v>
      </c>
      <c r="AG10472" s="831" t="s">
        <v>2674</v>
      </c>
      <c r="AH10472" s="831" t="s">
        <v>6602</v>
      </c>
      <c r="AI10472" s="831">
        <v>0</v>
      </c>
      <c r="AJ10472" s="835">
        <v>41547</v>
      </c>
      <c r="AK10472" s="831">
        <v>22407414</v>
      </c>
    </row>
    <row r="10473" spans="2:37">
      <c r="B10473" s="834" t="str">
        <f t="shared" si="407"/>
        <v>|||</v>
      </c>
      <c r="H10473" s="835">
        <f t="shared" si="408"/>
        <v>31</v>
      </c>
      <c r="AF10473" s="831" t="s">
        <v>11132</v>
      </c>
      <c r="AG10473" s="831" t="s">
        <v>2674</v>
      </c>
      <c r="AH10473" s="831" t="s">
        <v>650</v>
      </c>
      <c r="AI10473" s="831">
        <v>0</v>
      </c>
      <c r="AJ10473" s="835">
        <v>41547</v>
      </c>
      <c r="AK10473" s="831">
        <v>184913431.55000001</v>
      </c>
    </row>
    <row r="10474" spans="2:37">
      <c r="B10474" s="834" t="str">
        <f t="shared" si="407"/>
        <v>|||</v>
      </c>
      <c r="H10474" s="835">
        <f t="shared" si="408"/>
        <v>31</v>
      </c>
      <c r="AF10474" s="831" t="s">
        <v>11133</v>
      </c>
      <c r="AG10474" s="831" t="s">
        <v>2674</v>
      </c>
      <c r="AH10474" s="831" t="s">
        <v>655</v>
      </c>
      <c r="AI10474" s="831">
        <v>0</v>
      </c>
      <c r="AJ10474" s="835">
        <v>41547</v>
      </c>
      <c r="AK10474" s="831">
        <v>1374522.24</v>
      </c>
    </row>
    <row r="10475" spans="2:37">
      <c r="B10475" s="834" t="str">
        <f t="shared" si="407"/>
        <v>|||</v>
      </c>
      <c r="H10475" s="835">
        <f t="shared" si="408"/>
        <v>31</v>
      </c>
      <c r="AF10475" s="831" t="s">
        <v>11134</v>
      </c>
      <c r="AG10475" s="831" t="s">
        <v>2674</v>
      </c>
      <c r="AH10475" s="831" t="s">
        <v>546</v>
      </c>
      <c r="AI10475" s="831">
        <v>0</v>
      </c>
      <c r="AJ10475" s="835">
        <v>41578</v>
      </c>
      <c r="AK10475" s="831">
        <v>580271359</v>
      </c>
    </row>
    <row r="10476" spans="2:37">
      <c r="B10476" s="834" t="str">
        <f t="shared" si="407"/>
        <v>|||</v>
      </c>
      <c r="H10476" s="835">
        <f t="shared" si="408"/>
        <v>31</v>
      </c>
      <c r="AF10476" s="831" t="s">
        <v>11135</v>
      </c>
      <c r="AG10476" s="831" t="s">
        <v>2674</v>
      </c>
      <c r="AH10476" s="831" t="s">
        <v>370</v>
      </c>
      <c r="AI10476" s="831">
        <v>0</v>
      </c>
      <c r="AJ10476" s="835">
        <v>41578</v>
      </c>
      <c r="AK10476" s="831">
        <v>723686405</v>
      </c>
    </row>
    <row r="10477" spans="2:37">
      <c r="B10477" s="834" t="str">
        <f t="shared" si="407"/>
        <v>|||</v>
      </c>
      <c r="H10477" s="835">
        <f t="shared" si="408"/>
        <v>31</v>
      </c>
      <c r="AF10477" s="831" t="s">
        <v>11136</v>
      </c>
      <c r="AG10477" s="831" t="s">
        <v>2674</v>
      </c>
      <c r="AH10477" s="831" t="s">
        <v>126</v>
      </c>
      <c r="AI10477" s="831">
        <v>0</v>
      </c>
      <c r="AJ10477" s="835">
        <v>41578</v>
      </c>
      <c r="AK10477" s="831">
        <v>120290863</v>
      </c>
    </row>
    <row r="10478" spans="2:37">
      <c r="B10478" s="834" t="str">
        <f t="shared" si="407"/>
        <v>|||</v>
      </c>
      <c r="H10478" s="835">
        <f t="shared" si="408"/>
        <v>31</v>
      </c>
      <c r="AF10478" s="831" t="s">
        <v>11137</v>
      </c>
      <c r="AG10478" s="831" t="s">
        <v>2674</v>
      </c>
      <c r="AH10478" s="831" t="s">
        <v>268</v>
      </c>
      <c r="AI10478" s="831">
        <v>0</v>
      </c>
      <c r="AJ10478" s="835">
        <v>41578</v>
      </c>
      <c r="AK10478" s="831">
        <v>25527641</v>
      </c>
    </row>
    <row r="10479" spans="2:37">
      <c r="B10479" s="834" t="str">
        <f t="shared" si="407"/>
        <v>|||</v>
      </c>
      <c r="H10479" s="835">
        <f t="shared" si="408"/>
        <v>31</v>
      </c>
      <c r="AF10479" s="831" t="s">
        <v>11138</v>
      </c>
      <c r="AG10479" s="831" t="s">
        <v>2674</v>
      </c>
      <c r="AH10479" s="831" t="s">
        <v>547</v>
      </c>
      <c r="AI10479" s="831">
        <v>0</v>
      </c>
      <c r="AJ10479" s="835">
        <v>41578</v>
      </c>
      <c r="AK10479" s="831">
        <v>511487760</v>
      </c>
    </row>
    <row r="10480" spans="2:37">
      <c r="B10480" s="834" t="str">
        <f t="shared" si="407"/>
        <v>|||</v>
      </c>
      <c r="H10480" s="835">
        <f t="shared" si="408"/>
        <v>31</v>
      </c>
      <c r="AF10480" s="831" t="s">
        <v>11139</v>
      </c>
      <c r="AG10480" s="831" t="s">
        <v>2674</v>
      </c>
      <c r="AH10480" s="831" t="s">
        <v>548</v>
      </c>
      <c r="AI10480" s="831">
        <v>0</v>
      </c>
      <c r="AJ10480" s="835">
        <v>41578</v>
      </c>
      <c r="AK10480" s="831">
        <v>96883184</v>
      </c>
    </row>
    <row r="10481" spans="2:37">
      <c r="B10481" s="834" t="str">
        <f t="shared" si="407"/>
        <v>|||</v>
      </c>
      <c r="H10481" s="835">
        <f t="shared" si="408"/>
        <v>31</v>
      </c>
      <c r="AF10481" s="831" t="s">
        <v>11140</v>
      </c>
      <c r="AG10481" s="831" t="s">
        <v>2674</v>
      </c>
      <c r="AH10481" s="831" t="s">
        <v>549</v>
      </c>
      <c r="AI10481" s="831">
        <v>0</v>
      </c>
      <c r="AJ10481" s="835">
        <v>41578</v>
      </c>
      <c r="AK10481" s="831">
        <v>376404251</v>
      </c>
    </row>
    <row r="10482" spans="2:37">
      <c r="B10482" s="834" t="str">
        <f t="shared" si="407"/>
        <v>|||</v>
      </c>
      <c r="H10482" s="835">
        <f t="shared" si="408"/>
        <v>31</v>
      </c>
      <c r="AF10482" s="831" t="s">
        <v>11141</v>
      </c>
      <c r="AG10482" s="831" t="s">
        <v>2674</v>
      </c>
      <c r="AH10482" s="831" t="s">
        <v>192</v>
      </c>
      <c r="AI10482" s="831">
        <v>0</v>
      </c>
      <c r="AJ10482" s="835">
        <v>41578</v>
      </c>
      <c r="AK10482" s="831">
        <v>-13193791</v>
      </c>
    </row>
    <row r="10483" spans="2:37">
      <c r="B10483" s="834" t="str">
        <f t="shared" si="407"/>
        <v>|||</v>
      </c>
      <c r="H10483" s="835">
        <f t="shared" si="408"/>
        <v>31</v>
      </c>
      <c r="AF10483" s="831" t="s">
        <v>11142</v>
      </c>
      <c r="AG10483" s="831" t="s">
        <v>2674</v>
      </c>
      <c r="AH10483" s="831" t="s">
        <v>558</v>
      </c>
      <c r="AI10483" s="831">
        <v>0</v>
      </c>
      <c r="AJ10483" s="835">
        <v>41578</v>
      </c>
      <c r="AK10483" s="831">
        <v>603395542</v>
      </c>
    </row>
    <row r="10484" spans="2:37">
      <c r="B10484" s="834" t="str">
        <f t="shared" si="407"/>
        <v>|||</v>
      </c>
      <c r="H10484" s="835">
        <f t="shared" si="408"/>
        <v>31</v>
      </c>
      <c r="AF10484" s="831" t="s">
        <v>11143</v>
      </c>
      <c r="AG10484" s="831" t="s">
        <v>2674</v>
      </c>
      <c r="AH10484" s="831" t="s">
        <v>65</v>
      </c>
      <c r="AI10484" s="831">
        <v>0</v>
      </c>
      <c r="AJ10484" s="835">
        <v>41578</v>
      </c>
      <c r="AK10484" s="831">
        <v>107527674</v>
      </c>
    </row>
    <row r="10485" spans="2:37">
      <c r="B10485" s="834" t="str">
        <f t="shared" si="407"/>
        <v>|||</v>
      </c>
      <c r="H10485" s="835">
        <f t="shared" si="408"/>
        <v>31</v>
      </c>
      <c r="AF10485" s="831" t="s">
        <v>11144</v>
      </c>
      <c r="AG10485" s="831" t="s">
        <v>2674</v>
      </c>
      <c r="AH10485" s="831" t="s">
        <v>89</v>
      </c>
      <c r="AI10485" s="831">
        <v>0</v>
      </c>
      <c r="AJ10485" s="835">
        <v>41578</v>
      </c>
      <c r="AK10485" s="831">
        <v>143295</v>
      </c>
    </row>
    <row r="10486" spans="2:37">
      <c r="B10486" s="834" t="str">
        <f t="shared" si="407"/>
        <v>|||</v>
      </c>
      <c r="H10486" s="835">
        <f t="shared" si="408"/>
        <v>31</v>
      </c>
      <c r="AF10486" s="831" t="s">
        <v>11145</v>
      </c>
      <c r="AG10486" s="831" t="s">
        <v>2674</v>
      </c>
      <c r="AH10486" s="831" t="s">
        <v>557</v>
      </c>
      <c r="AI10486" s="831">
        <v>0</v>
      </c>
      <c r="AJ10486" s="835">
        <v>41578</v>
      </c>
      <c r="AK10486" s="831">
        <v>153100</v>
      </c>
    </row>
    <row r="10487" spans="2:37">
      <c r="B10487" s="834" t="str">
        <f t="shared" si="407"/>
        <v>|||</v>
      </c>
      <c r="H10487" s="835">
        <f t="shared" si="408"/>
        <v>31</v>
      </c>
      <c r="AF10487" s="831" t="s">
        <v>11146</v>
      </c>
      <c r="AG10487" s="831" t="s">
        <v>2674</v>
      </c>
      <c r="AH10487" s="831" t="s">
        <v>29</v>
      </c>
      <c r="AI10487" s="831">
        <v>0</v>
      </c>
      <c r="AJ10487" s="835">
        <v>41578</v>
      </c>
      <c r="AK10487" s="831">
        <v>1718550.923</v>
      </c>
    </row>
    <row r="10488" spans="2:37">
      <c r="B10488" s="834" t="str">
        <f t="shared" si="407"/>
        <v>|||</v>
      </c>
      <c r="H10488" s="835">
        <f t="shared" si="408"/>
        <v>31</v>
      </c>
      <c r="AF10488" s="831" t="s">
        <v>11147</v>
      </c>
      <c r="AG10488" s="831" t="s">
        <v>2674</v>
      </c>
      <c r="AH10488" s="831" t="s">
        <v>2688</v>
      </c>
      <c r="AI10488" s="831">
        <v>0</v>
      </c>
      <c r="AJ10488" s="835">
        <v>41578</v>
      </c>
      <c r="AK10488" s="831">
        <v>2316853.79</v>
      </c>
    </row>
    <row r="10489" spans="2:37">
      <c r="B10489" s="834" t="str">
        <f t="shared" si="407"/>
        <v>|||</v>
      </c>
      <c r="H10489" s="835">
        <f t="shared" si="408"/>
        <v>31</v>
      </c>
      <c r="AF10489" s="831" t="s">
        <v>11148</v>
      </c>
      <c r="AG10489" s="831" t="s">
        <v>2674</v>
      </c>
      <c r="AH10489" s="831" t="s">
        <v>556</v>
      </c>
      <c r="AI10489" s="831">
        <v>0</v>
      </c>
      <c r="AJ10489" s="835">
        <v>41578</v>
      </c>
      <c r="AK10489" s="831">
        <v>1644732</v>
      </c>
    </row>
    <row r="10490" spans="2:37">
      <c r="B10490" s="834" t="str">
        <f t="shared" si="407"/>
        <v>|||</v>
      </c>
      <c r="H10490" s="835">
        <f t="shared" si="408"/>
        <v>31</v>
      </c>
      <c r="AF10490" s="831" t="s">
        <v>11149</v>
      </c>
      <c r="AG10490" s="831" t="s">
        <v>2674</v>
      </c>
      <c r="AH10490" s="831" t="s">
        <v>555</v>
      </c>
      <c r="AI10490" s="831">
        <v>0</v>
      </c>
      <c r="AJ10490" s="835">
        <v>41578</v>
      </c>
      <c r="AK10490" s="831">
        <v>400055160</v>
      </c>
    </row>
    <row r="10491" spans="2:37">
      <c r="B10491" s="834" t="str">
        <f t="shared" si="407"/>
        <v>|||</v>
      </c>
      <c r="H10491" s="835">
        <f t="shared" si="408"/>
        <v>31</v>
      </c>
      <c r="AF10491" s="831" t="s">
        <v>11150</v>
      </c>
      <c r="AG10491" s="831" t="s">
        <v>2674</v>
      </c>
      <c r="AH10491" s="831" t="s">
        <v>554</v>
      </c>
      <c r="AI10491" s="831">
        <v>0</v>
      </c>
      <c r="AJ10491" s="835">
        <v>41578</v>
      </c>
      <c r="AK10491" s="831">
        <v>409100170</v>
      </c>
    </row>
    <row r="10492" spans="2:37">
      <c r="B10492" s="834" t="str">
        <f t="shared" si="407"/>
        <v>|||</v>
      </c>
      <c r="H10492" s="835">
        <f t="shared" si="408"/>
        <v>31</v>
      </c>
      <c r="AF10492" s="831" t="s">
        <v>11151</v>
      </c>
      <c r="AG10492" s="831" t="s">
        <v>2674</v>
      </c>
      <c r="AH10492" s="831" t="s">
        <v>553</v>
      </c>
      <c r="AI10492" s="831">
        <v>0</v>
      </c>
      <c r="AJ10492" s="835">
        <v>41578</v>
      </c>
      <c r="AK10492" s="831">
        <v>0</v>
      </c>
    </row>
    <row r="10493" spans="2:37">
      <c r="B10493" s="834" t="str">
        <f t="shared" si="407"/>
        <v>|||</v>
      </c>
      <c r="H10493" s="835">
        <f t="shared" si="408"/>
        <v>31</v>
      </c>
      <c r="AF10493" s="831" t="s">
        <v>11152</v>
      </c>
      <c r="AG10493" s="831" t="s">
        <v>2674</v>
      </c>
      <c r="AH10493" s="831" t="s">
        <v>552</v>
      </c>
      <c r="AI10493" s="831">
        <v>0</v>
      </c>
      <c r="AJ10493" s="835">
        <v>41578</v>
      </c>
      <c r="AK10493" s="831">
        <v>0</v>
      </c>
    </row>
    <row r="10494" spans="2:37">
      <c r="B10494" s="834" t="str">
        <f t="shared" si="407"/>
        <v>|||</v>
      </c>
      <c r="H10494" s="835">
        <f t="shared" si="408"/>
        <v>31</v>
      </c>
      <c r="AF10494" s="831" t="s">
        <v>11153</v>
      </c>
      <c r="AG10494" s="831" t="s">
        <v>2674</v>
      </c>
      <c r="AH10494" s="831" t="s">
        <v>551</v>
      </c>
      <c r="AI10494" s="831">
        <v>0</v>
      </c>
      <c r="AJ10494" s="835">
        <v>41578</v>
      </c>
      <c r="AK10494" s="831">
        <v>1543588.5830000001</v>
      </c>
    </row>
    <row r="10495" spans="2:37">
      <c r="B10495" s="834" t="str">
        <f t="shared" si="407"/>
        <v>|||</v>
      </c>
      <c r="H10495" s="835">
        <f t="shared" si="408"/>
        <v>31</v>
      </c>
      <c r="AF10495" s="831" t="s">
        <v>11154</v>
      </c>
      <c r="AG10495" s="831" t="s">
        <v>2674</v>
      </c>
      <c r="AH10495" s="831" t="s">
        <v>550</v>
      </c>
      <c r="AI10495" s="831">
        <v>0</v>
      </c>
      <c r="AJ10495" s="835">
        <v>41578</v>
      </c>
      <c r="AK10495" s="831">
        <v>117170637</v>
      </c>
    </row>
    <row r="10496" spans="2:37">
      <c r="B10496" s="834" t="str">
        <f t="shared" si="407"/>
        <v>|||</v>
      </c>
      <c r="H10496" s="835">
        <f t="shared" si="408"/>
        <v>31</v>
      </c>
      <c r="AF10496" s="831" t="s">
        <v>11155</v>
      </c>
      <c r="AG10496" s="831" t="s">
        <v>2674</v>
      </c>
      <c r="AH10496" s="831" t="s">
        <v>562</v>
      </c>
      <c r="AI10496" s="831">
        <v>0</v>
      </c>
      <c r="AJ10496" s="835">
        <v>41578</v>
      </c>
      <c r="AK10496" s="831">
        <v>0.78395000000000004</v>
      </c>
    </row>
    <row r="10497" spans="2:37">
      <c r="B10497" s="834" t="str">
        <f t="shared" si="407"/>
        <v>|||</v>
      </c>
      <c r="H10497" s="835">
        <f t="shared" si="408"/>
        <v>31</v>
      </c>
      <c r="AF10497" s="831" t="s">
        <v>11156</v>
      </c>
      <c r="AG10497" s="831" t="s">
        <v>2674</v>
      </c>
      <c r="AH10497" s="831" t="s">
        <v>2698</v>
      </c>
      <c r="AI10497" s="831">
        <v>0</v>
      </c>
      <c r="AJ10497" s="835">
        <v>41578</v>
      </c>
      <c r="AK10497" s="831">
        <v>0.78395000000000004</v>
      </c>
    </row>
    <row r="10498" spans="2:37">
      <c r="B10498" s="834" t="str">
        <f t="shared" si="407"/>
        <v>|||</v>
      </c>
      <c r="H10498" s="835">
        <f t="shared" si="408"/>
        <v>31</v>
      </c>
      <c r="AF10498" s="831" t="s">
        <v>11157</v>
      </c>
      <c r="AG10498" s="831" t="s">
        <v>2674</v>
      </c>
      <c r="AH10498" s="831" t="s">
        <v>560</v>
      </c>
      <c r="AI10498" s="831">
        <v>0</v>
      </c>
      <c r="AJ10498" s="835">
        <v>41578</v>
      </c>
      <c r="AK10498" s="831">
        <v>0.78400000000000003</v>
      </c>
    </row>
    <row r="10499" spans="2:37">
      <c r="B10499" s="834" t="str">
        <f t="shared" si="407"/>
        <v>|||</v>
      </c>
      <c r="H10499" s="835">
        <f t="shared" si="408"/>
        <v>31</v>
      </c>
      <c r="AF10499" s="831" t="s">
        <v>11158</v>
      </c>
      <c r="AG10499" s="831" t="s">
        <v>2674</v>
      </c>
      <c r="AH10499" s="831" t="s">
        <v>559</v>
      </c>
      <c r="AI10499" s="831">
        <v>0</v>
      </c>
      <c r="AJ10499" s="835">
        <v>41578</v>
      </c>
      <c r="AK10499" s="831">
        <v>0.7840125</v>
      </c>
    </row>
    <row r="10500" spans="2:37">
      <c r="B10500" s="834" t="str">
        <f t="shared" si="407"/>
        <v>|||</v>
      </c>
      <c r="H10500" s="835">
        <f t="shared" si="408"/>
        <v>31</v>
      </c>
      <c r="AF10500" s="831" t="s">
        <v>11159</v>
      </c>
      <c r="AG10500" s="831" t="s">
        <v>2674</v>
      </c>
      <c r="AH10500" s="831" t="s">
        <v>568</v>
      </c>
      <c r="AI10500" s="831">
        <v>0</v>
      </c>
      <c r="AJ10500" s="835">
        <v>41578</v>
      </c>
      <c r="AK10500" s="831">
        <v>478407995.76923102</v>
      </c>
    </row>
    <row r="10501" spans="2:37">
      <c r="B10501" s="834" t="str">
        <f t="shared" si="407"/>
        <v>|||</v>
      </c>
      <c r="H10501" s="835">
        <f t="shared" si="408"/>
        <v>31</v>
      </c>
      <c r="AF10501" s="831" t="s">
        <v>11160</v>
      </c>
      <c r="AG10501" s="831" t="s">
        <v>2674</v>
      </c>
      <c r="AH10501" s="831" t="s">
        <v>569</v>
      </c>
      <c r="AI10501" s="831">
        <v>0</v>
      </c>
      <c r="AJ10501" s="835">
        <v>41578</v>
      </c>
      <c r="AK10501" s="831">
        <v>581144138.23076904</v>
      </c>
    </row>
    <row r="10502" spans="2:37">
      <c r="B10502" s="834" t="str">
        <f t="shared" si="407"/>
        <v>|||</v>
      </c>
      <c r="H10502" s="835">
        <f t="shared" si="408"/>
        <v>31</v>
      </c>
      <c r="AF10502" s="831" t="s">
        <v>11161</v>
      </c>
      <c r="AG10502" s="831" t="s">
        <v>2674</v>
      </c>
      <c r="AH10502" s="831" t="s">
        <v>570</v>
      </c>
      <c r="AI10502" s="831">
        <v>0</v>
      </c>
      <c r="AJ10502" s="835">
        <v>41578</v>
      </c>
      <c r="AK10502" s="831">
        <v>105999107.615385</v>
      </c>
    </row>
    <row r="10503" spans="2:37">
      <c r="B10503" s="834" t="str">
        <f t="shared" si="407"/>
        <v>|||</v>
      </c>
      <c r="H10503" s="835">
        <f t="shared" si="408"/>
        <v>31</v>
      </c>
      <c r="AF10503" s="831" t="s">
        <v>11162</v>
      </c>
      <c r="AG10503" s="831" t="s">
        <v>2674</v>
      </c>
      <c r="AH10503" s="831" t="s">
        <v>571</v>
      </c>
      <c r="AI10503" s="831">
        <v>0</v>
      </c>
      <c r="AJ10503" s="835">
        <v>41578</v>
      </c>
      <c r="AK10503" s="831">
        <v>269945691.384615</v>
      </c>
    </row>
    <row r="10504" spans="2:37">
      <c r="B10504" s="834" t="str">
        <f t="shared" si="407"/>
        <v>|||</v>
      </c>
      <c r="H10504" s="835">
        <f t="shared" si="408"/>
        <v>31</v>
      </c>
      <c r="AF10504" s="831" t="s">
        <v>11163</v>
      </c>
      <c r="AG10504" s="831" t="s">
        <v>2674</v>
      </c>
      <c r="AH10504" s="831" t="s">
        <v>573</v>
      </c>
      <c r="AI10504" s="831">
        <v>0</v>
      </c>
      <c r="AJ10504" s="835">
        <v>41578</v>
      </c>
      <c r="AK10504" s="831">
        <v>602977734.090909</v>
      </c>
    </row>
    <row r="10505" spans="2:37">
      <c r="B10505" s="834" t="str">
        <f t="shared" si="407"/>
        <v>|||</v>
      </c>
      <c r="H10505" s="835">
        <f t="shared" si="408"/>
        <v>31</v>
      </c>
      <c r="AF10505" s="831" t="s">
        <v>11164</v>
      </c>
      <c r="AG10505" s="831" t="s">
        <v>2674</v>
      </c>
      <c r="AH10505" s="831" t="s">
        <v>574</v>
      </c>
      <c r="AI10505" s="831">
        <v>0</v>
      </c>
      <c r="AJ10505" s="835">
        <v>41578</v>
      </c>
      <c r="AK10505" s="831">
        <v>495346900.72727299</v>
      </c>
    </row>
    <row r="10506" spans="2:37">
      <c r="B10506" s="834" t="str">
        <f t="shared" si="407"/>
        <v>|||</v>
      </c>
      <c r="H10506" s="835">
        <f t="shared" si="408"/>
        <v>31</v>
      </c>
      <c r="AF10506" s="831" t="s">
        <v>11165</v>
      </c>
      <c r="AG10506" s="831" t="s">
        <v>2674</v>
      </c>
      <c r="AH10506" s="831" t="s">
        <v>575</v>
      </c>
      <c r="AI10506" s="831">
        <v>0</v>
      </c>
      <c r="AJ10506" s="835">
        <v>41578</v>
      </c>
      <c r="AK10506" s="831">
        <v>106972740.090909</v>
      </c>
    </row>
    <row r="10507" spans="2:37">
      <c r="B10507" s="834" t="str">
        <f t="shared" si="407"/>
        <v>|||</v>
      </c>
      <c r="H10507" s="835">
        <f t="shared" si="408"/>
        <v>31</v>
      </c>
      <c r="AF10507" s="831" t="s">
        <v>11166</v>
      </c>
      <c r="AG10507" s="831" t="s">
        <v>2674</v>
      </c>
      <c r="AH10507" s="831" t="s">
        <v>576</v>
      </c>
      <c r="AI10507" s="831">
        <v>0</v>
      </c>
      <c r="AJ10507" s="835">
        <v>41578</v>
      </c>
      <c r="AK10507" s="831">
        <v>283862763.27272701</v>
      </c>
    </row>
    <row r="10508" spans="2:37">
      <c r="B10508" s="834" t="str">
        <f t="shared" si="407"/>
        <v>|||</v>
      </c>
      <c r="H10508" s="835">
        <f t="shared" si="408"/>
        <v>31</v>
      </c>
      <c r="AF10508" s="831" t="s">
        <v>11167</v>
      </c>
      <c r="AG10508" s="831" t="s">
        <v>2674</v>
      </c>
      <c r="AH10508" s="831" t="s">
        <v>572</v>
      </c>
      <c r="AI10508" s="831">
        <v>0</v>
      </c>
      <c r="AJ10508" s="835">
        <v>41578</v>
      </c>
      <c r="AK10508" s="831">
        <v>27259085</v>
      </c>
    </row>
    <row r="10509" spans="2:37">
      <c r="B10509" s="834" t="str">
        <f t="shared" si="407"/>
        <v>|||</v>
      </c>
      <c r="H10509" s="835">
        <f t="shared" si="408"/>
        <v>31</v>
      </c>
      <c r="AF10509" s="831" t="s">
        <v>11168</v>
      </c>
      <c r="AG10509" s="831" t="s">
        <v>2674</v>
      </c>
      <c r="AH10509" s="831" t="s">
        <v>577</v>
      </c>
      <c r="AI10509" s="831">
        <v>0</v>
      </c>
      <c r="AJ10509" s="835">
        <v>41578</v>
      </c>
      <c r="AK10509" s="831">
        <v>126095724</v>
      </c>
    </row>
    <row r="10510" spans="2:37">
      <c r="B10510" s="834" t="str">
        <f t="shared" si="407"/>
        <v>|||</v>
      </c>
      <c r="H10510" s="835">
        <f t="shared" si="408"/>
        <v>31</v>
      </c>
      <c r="AF10510" s="831" t="s">
        <v>11169</v>
      </c>
      <c r="AG10510" s="831" t="s">
        <v>2674</v>
      </c>
      <c r="AH10510" s="831" t="s">
        <v>3042</v>
      </c>
      <c r="AI10510" s="831">
        <v>0</v>
      </c>
      <c r="AJ10510" s="835">
        <v>41578</v>
      </c>
      <c r="AK10510" s="831">
        <v>-31522962</v>
      </c>
    </row>
    <row r="10511" spans="2:37">
      <c r="B10511" s="834" t="str">
        <f t="shared" si="407"/>
        <v>|||</v>
      </c>
      <c r="H10511" s="835">
        <f t="shared" si="408"/>
        <v>31</v>
      </c>
      <c r="AF10511" s="831" t="s">
        <v>11170</v>
      </c>
      <c r="AG10511" s="831" t="s">
        <v>2674</v>
      </c>
      <c r="AH10511" s="831" t="s">
        <v>3044</v>
      </c>
      <c r="AI10511" s="831">
        <v>0</v>
      </c>
      <c r="AJ10511" s="835">
        <v>41578</v>
      </c>
      <c r="AK10511" s="831">
        <v>-4397277</v>
      </c>
    </row>
    <row r="10512" spans="2:37">
      <c r="B10512" s="834" t="str">
        <f t="shared" si="407"/>
        <v>|||</v>
      </c>
      <c r="H10512" s="835">
        <f t="shared" si="408"/>
        <v>31</v>
      </c>
      <c r="AF10512" s="831" t="s">
        <v>11171</v>
      </c>
      <c r="AG10512" s="831" t="s">
        <v>2674</v>
      </c>
      <c r="AH10512" s="831" t="s">
        <v>580</v>
      </c>
      <c r="AI10512" s="831">
        <v>0</v>
      </c>
      <c r="AJ10512" s="835">
        <v>41578</v>
      </c>
      <c r="AK10512" s="831">
        <v>-60213639</v>
      </c>
    </row>
    <row r="10513" spans="2:37">
      <c r="B10513" s="834" t="str">
        <f t="shared" ref="B10513:B10576" si="409">C10513&amp;"|"&amp;D10513&amp;"|"&amp;E10513&amp;"|"&amp;F10513</f>
        <v>|||</v>
      </c>
      <c r="H10513" s="835">
        <f t="shared" ref="H10513:H10576" si="410">EOMONTH(L10513,0)</f>
        <v>31</v>
      </c>
      <c r="AF10513" s="831" t="s">
        <v>11172</v>
      </c>
      <c r="AG10513" s="831" t="s">
        <v>2674</v>
      </c>
      <c r="AH10513" s="831" t="s">
        <v>581</v>
      </c>
      <c r="AI10513" s="831">
        <v>0</v>
      </c>
      <c r="AJ10513" s="835">
        <v>41578</v>
      </c>
      <c r="AK10513" s="831">
        <v>4896268</v>
      </c>
    </row>
    <row r="10514" spans="2:37">
      <c r="B10514" s="834" t="str">
        <f t="shared" si="409"/>
        <v>|||</v>
      </c>
      <c r="H10514" s="835">
        <f t="shared" si="410"/>
        <v>31</v>
      </c>
      <c r="AF10514" s="831" t="s">
        <v>11173</v>
      </c>
      <c r="AG10514" s="831" t="s">
        <v>2674</v>
      </c>
      <c r="AH10514" s="831" t="s">
        <v>105</v>
      </c>
      <c r="AI10514" s="831">
        <v>0</v>
      </c>
      <c r="AJ10514" s="835">
        <v>41578</v>
      </c>
      <c r="AK10514" s="831">
        <v>349309695</v>
      </c>
    </row>
    <row r="10515" spans="2:37">
      <c r="B10515" s="834" t="str">
        <f t="shared" si="409"/>
        <v>|||</v>
      </c>
      <c r="H10515" s="835">
        <f t="shared" si="410"/>
        <v>31</v>
      </c>
      <c r="AF10515" s="831" t="s">
        <v>11174</v>
      </c>
      <c r="AG10515" s="831" t="s">
        <v>2674</v>
      </c>
      <c r="AH10515" s="831" t="s">
        <v>3049</v>
      </c>
      <c r="AI10515" s="831">
        <v>0</v>
      </c>
      <c r="AJ10515" s="835">
        <v>41578</v>
      </c>
      <c r="AK10515" s="831">
        <v>582451860</v>
      </c>
    </row>
    <row r="10516" spans="2:37">
      <c r="B10516" s="834" t="str">
        <f t="shared" si="409"/>
        <v>|||</v>
      </c>
      <c r="H10516" s="835">
        <f t="shared" si="410"/>
        <v>31</v>
      </c>
      <c r="AF10516" s="831" t="s">
        <v>11175</v>
      </c>
      <c r="AG10516" s="831" t="s">
        <v>2674</v>
      </c>
      <c r="AH10516" s="831" t="s">
        <v>103</v>
      </c>
      <c r="AI10516" s="831">
        <v>0</v>
      </c>
      <c r="AJ10516" s="835">
        <v>41578</v>
      </c>
      <c r="AK10516" s="831">
        <v>233142165</v>
      </c>
    </row>
    <row r="10517" spans="2:37">
      <c r="B10517" s="834" t="str">
        <f t="shared" si="409"/>
        <v>|||</v>
      </c>
      <c r="H10517" s="835">
        <f t="shared" si="410"/>
        <v>31</v>
      </c>
      <c r="AF10517" s="831" t="s">
        <v>11176</v>
      </c>
      <c r="AG10517" s="831" t="s">
        <v>2674</v>
      </c>
      <c r="AH10517" s="831" t="s">
        <v>182</v>
      </c>
      <c r="AI10517" s="831">
        <v>0</v>
      </c>
      <c r="AJ10517" s="835">
        <v>41578</v>
      </c>
      <c r="AK10517" s="831">
        <v>58216306.799999997</v>
      </c>
    </row>
    <row r="10518" spans="2:37">
      <c r="B10518" s="834" t="str">
        <f t="shared" si="409"/>
        <v>|||</v>
      </c>
      <c r="H10518" s="835">
        <f t="shared" si="410"/>
        <v>31</v>
      </c>
      <c r="AF10518" s="831" t="s">
        <v>11177</v>
      </c>
      <c r="AG10518" s="831" t="s">
        <v>2674</v>
      </c>
      <c r="AH10518" s="831" t="s">
        <v>6600</v>
      </c>
      <c r="AI10518" s="831">
        <v>0</v>
      </c>
      <c r="AJ10518" s="835">
        <v>41578</v>
      </c>
      <c r="AK10518" s="831">
        <v>27259085</v>
      </c>
    </row>
    <row r="10519" spans="2:37">
      <c r="B10519" s="834" t="str">
        <f t="shared" si="409"/>
        <v>|||</v>
      </c>
      <c r="H10519" s="835">
        <f t="shared" si="410"/>
        <v>31</v>
      </c>
      <c r="AF10519" s="831" t="s">
        <v>11178</v>
      </c>
      <c r="AG10519" s="831" t="s">
        <v>2674</v>
      </c>
      <c r="AH10519" s="831" t="s">
        <v>6602</v>
      </c>
      <c r="AI10519" s="831">
        <v>0</v>
      </c>
      <c r="AJ10519" s="835">
        <v>41578</v>
      </c>
      <c r="AK10519" s="831">
        <v>25527641</v>
      </c>
    </row>
    <row r="10520" spans="2:37">
      <c r="B10520" s="834" t="str">
        <f t="shared" si="409"/>
        <v>|||</v>
      </c>
      <c r="H10520" s="835">
        <f t="shared" si="410"/>
        <v>31</v>
      </c>
      <c r="AF10520" s="831" t="s">
        <v>11179</v>
      </c>
      <c r="AG10520" s="831" t="s">
        <v>2674</v>
      </c>
      <c r="AH10520" s="831" t="s">
        <v>650</v>
      </c>
      <c r="AI10520" s="831">
        <v>0</v>
      </c>
      <c r="AJ10520" s="835">
        <v>41578</v>
      </c>
      <c r="AK10520" s="831">
        <v>190388810.319231</v>
      </c>
    </row>
    <row r="10521" spans="2:37">
      <c r="B10521" s="834" t="str">
        <f t="shared" si="409"/>
        <v>|||</v>
      </c>
      <c r="H10521" s="835">
        <f t="shared" si="410"/>
        <v>31</v>
      </c>
      <c r="AF10521" s="831" t="s">
        <v>11180</v>
      </c>
      <c r="AG10521" s="831" t="s">
        <v>2674</v>
      </c>
      <c r="AH10521" s="831" t="s">
        <v>655</v>
      </c>
      <c r="AI10521" s="831">
        <v>0</v>
      </c>
      <c r="AJ10521" s="835">
        <v>41578</v>
      </c>
      <c r="AK10521" s="831">
        <v>1325401.845</v>
      </c>
    </row>
    <row r="10522" spans="2:37">
      <c r="B10522" s="834" t="str">
        <f t="shared" si="409"/>
        <v>|||</v>
      </c>
      <c r="H10522" s="835">
        <f t="shared" si="410"/>
        <v>31</v>
      </c>
      <c r="AF10522" s="831" t="s">
        <v>11181</v>
      </c>
      <c r="AG10522" s="831" t="s">
        <v>2674</v>
      </c>
      <c r="AH10522" s="831" t="s">
        <v>546</v>
      </c>
      <c r="AI10522" s="831">
        <v>0</v>
      </c>
      <c r="AJ10522" s="835">
        <v>41608</v>
      </c>
      <c r="AK10522" s="831">
        <v>598049309.95000005</v>
      </c>
    </row>
    <row r="10523" spans="2:37">
      <c r="B10523" s="834" t="str">
        <f t="shared" si="409"/>
        <v>|||</v>
      </c>
      <c r="H10523" s="835">
        <f t="shared" si="410"/>
        <v>31</v>
      </c>
      <c r="AF10523" s="831" t="s">
        <v>11182</v>
      </c>
      <c r="AG10523" s="831" t="s">
        <v>2674</v>
      </c>
      <c r="AH10523" s="831" t="s">
        <v>370</v>
      </c>
      <c r="AI10523" s="831">
        <v>0</v>
      </c>
      <c r="AJ10523" s="835">
        <v>41608</v>
      </c>
      <c r="AK10523" s="831">
        <v>744271522.09000003</v>
      </c>
    </row>
    <row r="10524" spans="2:37">
      <c r="B10524" s="834" t="str">
        <f t="shared" si="409"/>
        <v>|||</v>
      </c>
      <c r="H10524" s="835">
        <f t="shared" si="410"/>
        <v>31</v>
      </c>
      <c r="AF10524" s="831" t="s">
        <v>11183</v>
      </c>
      <c r="AG10524" s="831" t="s">
        <v>2674</v>
      </c>
      <c r="AH10524" s="831" t="s">
        <v>126</v>
      </c>
      <c r="AI10524" s="831">
        <v>0</v>
      </c>
      <c r="AJ10524" s="835">
        <v>41608</v>
      </c>
      <c r="AK10524" s="831">
        <v>123117939.85600001</v>
      </c>
    </row>
    <row r="10525" spans="2:37">
      <c r="B10525" s="834" t="str">
        <f t="shared" si="409"/>
        <v>|||</v>
      </c>
      <c r="H10525" s="835">
        <f t="shared" si="410"/>
        <v>31</v>
      </c>
      <c r="AF10525" s="831" t="s">
        <v>11184</v>
      </c>
      <c r="AG10525" s="831" t="s">
        <v>2674</v>
      </c>
      <c r="AH10525" s="831" t="s">
        <v>268</v>
      </c>
      <c r="AI10525" s="831">
        <v>0</v>
      </c>
      <c r="AJ10525" s="835">
        <v>41608</v>
      </c>
      <c r="AK10525" s="831">
        <v>28354718.032000002</v>
      </c>
    </row>
    <row r="10526" spans="2:37">
      <c r="B10526" s="834" t="str">
        <f t="shared" si="409"/>
        <v>|||</v>
      </c>
      <c r="H10526" s="835">
        <f t="shared" si="410"/>
        <v>31</v>
      </c>
      <c r="AF10526" s="831" t="s">
        <v>11185</v>
      </c>
      <c r="AG10526" s="831" t="s">
        <v>2674</v>
      </c>
      <c r="AH10526" s="831" t="s">
        <v>547</v>
      </c>
      <c r="AI10526" s="831">
        <v>0</v>
      </c>
      <c r="AJ10526" s="835">
        <v>41608</v>
      </c>
      <c r="AK10526" s="831">
        <v>511487760</v>
      </c>
    </row>
    <row r="10527" spans="2:37">
      <c r="B10527" s="834" t="str">
        <f t="shared" si="409"/>
        <v>|||</v>
      </c>
      <c r="H10527" s="835">
        <f t="shared" si="410"/>
        <v>31</v>
      </c>
      <c r="AF10527" s="831" t="s">
        <v>11186</v>
      </c>
      <c r="AG10527" s="831" t="s">
        <v>2674</v>
      </c>
      <c r="AH10527" s="831" t="s">
        <v>548</v>
      </c>
      <c r="AI10527" s="831">
        <v>0</v>
      </c>
      <c r="AJ10527" s="835">
        <v>41608</v>
      </c>
      <c r="AK10527" s="831">
        <v>96883184</v>
      </c>
    </row>
    <row r="10528" spans="2:37">
      <c r="B10528" s="834" t="str">
        <f t="shared" si="409"/>
        <v>|||</v>
      </c>
      <c r="H10528" s="835">
        <f t="shared" si="410"/>
        <v>31</v>
      </c>
      <c r="AF10528" s="831" t="s">
        <v>11187</v>
      </c>
      <c r="AG10528" s="831" t="s">
        <v>2674</v>
      </c>
      <c r="AH10528" s="831" t="s">
        <v>549</v>
      </c>
      <c r="AI10528" s="831">
        <v>0</v>
      </c>
      <c r="AJ10528" s="835">
        <v>41608</v>
      </c>
      <c r="AK10528" s="831">
        <v>394083786</v>
      </c>
    </row>
    <row r="10529" spans="2:37">
      <c r="B10529" s="834" t="str">
        <f t="shared" si="409"/>
        <v>|||</v>
      </c>
      <c r="H10529" s="835">
        <f t="shared" si="410"/>
        <v>31</v>
      </c>
      <c r="AF10529" s="831" t="s">
        <v>11188</v>
      </c>
      <c r="AG10529" s="831" t="s">
        <v>2674</v>
      </c>
      <c r="AH10529" s="831" t="s">
        <v>192</v>
      </c>
      <c r="AI10529" s="831">
        <v>0</v>
      </c>
      <c r="AJ10529" s="835">
        <v>41608</v>
      </c>
      <c r="AK10529" s="831">
        <v>-13734258.050000001</v>
      </c>
    </row>
    <row r="10530" spans="2:37">
      <c r="B10530" s="834" t="str">
        <f t="shared" si="409"/>
        <v>|||</v>
      </c>
      <c r="H10530" s="835">
        <f t="shared" si="410"/>
        <v>31</v>
      </c>
      <c r="AF10530" s="831" t="s">
        <v>11189</v>
      </c>
      <c r="AG10530" s="831" t="s">
        <v>2674</v>
      </c>
      <c r="AH10530" s="831" t="s">
        <v>558</v>
      </c>
      <c r="AI10530" s="831">
        <v>0</v>
      </c>
      <c r="AJ10530" s="835">
        <v>41608</v>
      </c>
      <c r="AK10530" s="831">
        <v>621153581.74699998</v>
      </c>
    </row>
    <row r="10531" spans="2:37">
      <c r="B10531" s="834" t="str">
        <f t="shared" si="409"/>
        <v>|||</v>
      </c>
      <c r="H10531" s="835">
        <f t="shared" si="410"/>
        <v>31</v>
      </c>
      <c r="AF10531" s="831" t="s">
        <v>11190</v>
      </c>
      <c r="AG10531" s="831" t="s">
        <v>2674</v>
      </c>
      <c r="AH10531" s="831" t="s">
        <v>65</v>
      </c>
      <c r="AI10531" s="831">
        <v>0</v>
      </c>
      <c r="AJ10531" s="835">
        <v>41608</v>
      </c>
      <c r="AK10531" s="831">
        <v>119540969.236</v>
      </c>
    </row>
    <row r="10532" spans="2:37">
      <c r="B10532" s="834" t="str">
        <f t="shared" si="409"/>
        <v>|||</v>
      </c>
      <c r="H10532" s="835">
        <f t="shared" si="410"/>
        <v>31</v>
      </c>
      <c r="AF10532" s="831" t="s">
        <v>11191</v>
      </c>
      <c r="AG10532" s="831" t="s">
        <v>2674</v>
      </c>
      <c r="AH10532" s="831" t="s">
        <v>89</v>
      </c>
      <c r="AI10532" s="831">
        <v>0</v>
      </c>
      <c r="AJ10532" s="835">
        <v>41608</v>
      </c>
      <c r="AK10532" s="831">
        <v>145224</v>
      </c>
    </row>
    <row r="10533" spans="2:37">
      <c r="B10533" s="834" t="str">
        <f t="shared" si="409"/>
        <v>|||</v>
      </c>
      <c r="H10533" s="835">
        <f t="shared" si="410"/>
        <v>31</v>
      </c>
      <c r="AF10533" s="831" t="s">
        <v>11192</v>
      </c>
      <c r="AG10533" s="831" t="s">
        <v>2674</v>
      </c>
      <c r="AH10533" s="831" t="s">
        <v>557</v>
      </c>
      <c r="AI10533" s="831">
        <v>0</v>
      </c>
      <c r="AJ10533" s="835">
        <v>41608</v>
      </c>
      <c r="AK10533" s="831">
        <v>155996</v>
      </c>
    </row>
    <row r="10534" spans="2:37">
      <c r="B10534" s="834" t="str">
        <f t="shared" si="409"/>
        <v>|||</v>
      </c>
      <c r="H10534" s="835">
        <f t="shared" si="410"/>
        <v>31</v>
      </c>
      <c r="AF10534" s="831" t="s">
        <v>11193</v>
      </c>
      <c r="AG10534" s="831" t="s">
        <v>2674</v>
      </c>
      <c r="AH10534" s="831" t="s">
        <v>29</v>
      </c>
      <c r="AI10534" s="831">
        <v>0</v>
      </c>
      <c r="AJ10534" s="835">
        <v>41608</v>
      </c>
      <c r="AK10534" s="831">
        <v>1891894.6070000001</v>
      </c>
    </row>
    <row r="10535" spans="2:37">
      <c r="B10535" s="834" t="str">
        <f t="shared" si="409"/>
        <v>|||</v>
      </c>
      <c r="H10535" s="835">
        <f t="shared" si="410"/>
        <v>31</v>
      </c>
      <c r="AF10535" s="831" t="s">
        <v>11194</v>
      </c>
      <c r="AG10535" s="831" t="s">
        <v>2674</v>
      </c>
      <c r="AH10535" s="831" t="s">
        <v>2688</v>
      </c>
      <c r="AI10535" s="831">
        <v>0</v>
      </c>
      <c r="AJ10535" s="835">
        <v>41608</v>
      </c>
      <c r="AK10535" s="831">
        <v>3430395.37</v>
      </c>
    </row>
    <row r="10536" spans="2:37">
      <c r="B10536" s="834" t="str">
        <f t="shared" si="409"/>
        <v>|||</v>
      </c>
      <c r="H10536" s="835">
        <f t="shared" si="410"/>
        <v>31</v>
      </c>
      <c r="AF10536" s="831" t="s">
        <v>11195</v>
      </c>
      <c r="AG10536" s="831" t="s">
        <v>2674</v>
      </c>
      <c r="AH10536" s="831" t="s">
        <v>556</v>
      </c>
      <c r="AI10536" s="831">
        <v>0</v>
      </c>
      <c r="AJ10536" s="835">
        <v>41608</v>
      </c>
      <c r="AK10536" s="831">
        <v>1644732</v>
      </c>
    </row>
    <row r="10537" spans="2:37">
      <c r="B10537" s="834" t="str">
        <f t="shared" si="409"/>
        <v>|||</v>
      </c>
      <c r="H10537" s="835">
        <f t="shared" si="410"/>
        <v>31</v>
      </c>
      <c r="AF10537" s="831" t="s">
        <v>11196</v>
      </c>
      <c r="AG10537" s="831" t="s">
        <v>2674</v>
      </c>
      <c r="AH10537" s="831" t="s">
        <v>555</v>
      </c>
      <c r="AI10537" s="831">
        <v>0</v>
      </c>
      <c r="AJ10537" s="835">
        <v>41608</v>
      </c>
      <c r="AK10537" s="831">
        <v>414052390</v>
      </c>
    </row>
    <row r="10538" spans="2:37">
      <c r="B10538" s="834" t="str">
        <f t="shared" si="409"/>
        <v>|||</v>
      </c>
      <c r="H10538" s="835">
        <f t="shared" si="410"/>
        <v>31</v>
      </c>
      <c r="AF10538" s="831" t="s">
        <v>11197</v>
      </c>
      <c r="AG10538" s="831" t="s">
        <v>2674</v>
      </c>
      <c r="AH10538" s="831" t="s">
        <v>554</v>
      </c>
      <c r="AI10538" s="831">
        <v>0</v>
      </c>
      <c r="AJ10538" s="835">
        <v>41608</v>
      </c>
      <c r="AK10538" s="831">
        <v>421904620</v>
      </c>
    </row>
    <row r="10539" spans="2:37">
      <c r="B10539" s="834" t="str">
        <f t="shared" si="409"/>
        <v>|||</v>
      </c>
      <c r="H10539" s="835">
        <f t="shared" si="410"/>
        <v>31</v>
      </c>
      <c r="AF10539" s="831" t="s">
        <v>11198</v>
      </c>
      <c r="AG10539" s="831" t="s">
        <v>2674</v>
      </c>
      <c r="AH10539" s="831" t="s">
        <v>553</v>
      </c>
      <c r="AI10539" s="831">
        <v>0</v>
      </c>
      <c r="AJ10539" s="835">
        <v>41608</v>
      </c>
      <c r="AK10539" s="831">
        <v>0</v>
      </c>
    </row>
    <row r="10540" spans="2:37">
      <c r="B10540" s="834" t="str">
        <f t="shared" si="409"/>
        <v>|||</v>
      </c>
      <c r="H10540" s="835">
        <f t="shared" si="410"/>
        <v>31</v>
      </c>
      <c r="AF10540" s="831" t="s">
        <v>11199</v>
      </c>
      <c r="AG10540" s="831" t="s">
        <v>2674</v>
      </c>
      <c r="AH10540" s="831" t="s">
        <v>552</v>
      </c>
      <c r="AI10540" s="831">
        <v>0</v>
      </c>
      <c r="AJ10540" s="835">
        <v>41608</v>
      </c>
      <c r="AK10540" s="831">
        <v>0</v>
      </c>
    </row>
    <row r="10541" spans="2:37">
      <c r="B10541" s="834" t="str">
        <f t="shared" si="409"/>
        <v>|||</v>
      </c>
      <c r="H10541" s="835">
        <f t="shared" si="410"/>
        <v>31</v>
      </c>
      <c r="AF10541" s="831" t="s">
        <v>11200</v>
      </c>
      <c r="AG10541" s="831" t="s">
        <v>2674</v>
      </c>
      <c r="AH10541" s="831" t="s">
        <v>551</v>
      </c>
      <c r="AI10541" s="831">
        <v>0</v>
      </c>
      <c r="AJ10541" s="835">
        <v>41608</v>
      </c>
      <c r="AK10541" s="831">
        <v>1659941.351</v>
      </c>
    </row>
    <row r="10542" spans="2:37">
      <c r="B10542" s="834" t="str">
        <f t="shared" si="409"/>
        <v>|||</v>
      </c>
      <c r="H10542" s="835">
        <f t="shared" si="410"/>
        <v>31</v>
      </c>
      <c r="AF10542" s="831" t="s">
        <v>11201</v>
      </c>
      <c r="AG10542" s="831" t="s">
        <v>2674</v>
      </c>
      <c r="AH10542" s="831" t="s">
        <v>550</v>
      </c>
      <c r="AI10542" s="831">
        <v>0</v>
      </c>
      <c r="AJ10542" s="835">
        <v>41608</v>
      </c>
      <c r="AK10542" s="831">
        <v>120290863</v>
      </c>
    </row>
    <row r="10543" spans="2:37">
      <c r="B10543" s="834" t="str">
        <f t="shared" si="409"/>
        <v>|||</v>
      </c>
      <c r="H10543" s="835">
        <f t="shared" si="410"/>
        <v>31</v>
      </c>
      <c r="AF10543" s="831" t="s">
        <v>11202</v>
      </c>
      <c r="AG10543" s="831" t="s">
        <v>2674</v>
      </c>
      <c r="AH10543" s="831" t="s">
        <v>562</v>
      </c>
      <c r="AI10543" s="831">
        <v>0</v>
      </c>
      <c r="AJ10543" s="835">
        <v>41608</v>
      </c>
      <c r="AK10543" s="831">
        <v>0.78385000000000005</v>
      </c>
    </row>
    <row r="10544" spans="2:37">
      <c r="B10544" s="834" t="str">
        <f t="shared" si="409"/>
        <v>|||</v>
      </c>
      <c r="H10544" s="835">
        <f t="shared" si="410"/>
        <v>31</v>
      </c>
      <c r="AF10544" s="831" t="s">
        <v>11203</v>
      </c>
      <c r="AG10544" s="831" t="s">
        <v>2674</v>
      </c>
      <c r="AH10544" s="831" t="s">
        <v>2698</v>
      </c>
      <c r="AI10544" s="831">
        <v>0</v>
      </c>
      <c r="AJ10544" s="835">
        <v>41608</v>
      </c>
      <c r="AK10544" s="831">
        <v>0.78395000000000004</v>
      </c>
    </row>
    <row r="10545" spans="2:37">
      <c r="B10545" s="834" t="str">
        <f t="shared" si="409"/>
        <v>|||</v>
      </c>
      <c r="H10545" s="835">
        <f t="shared" si="410"/>
        <v>31</v>
      </c>
      <c r="AF10545" s="831" t="s">
        <v>11204</v>
      </c>
      <c r="AG10545" s="831" t="s">
        <v>2674</v>
      </c>
      <c r="AH10545" s="831" t="s">
        <v>560</v>
      </c>
      <c r="AI10545" s="831">
        <v>0</v>
      </c>
      <c r="AJ10545" s="835">
        <v>41608</v>
      </c>
      <c r="AK10545" s="831">
        <v>0.78398636363636398</v>
      </c>
    </row>
    <row r="10546" spans="2:37">
      <c r="B10546" s="834" t="str">
        <f t="shared" si="409"/>
        <v>|||</v>
      </c>
      <c r="H10546" s="835">
        <f t="shared" si="410"/>
        <v>31</v>
      </c>
      <c r="AF10546" s="831" t="s">
        <v>11205</v>
      </c>
      <c r="AG10546" s="831" t="s">
        <v>2674</v>
      </c>
      <c r="AH10546" s="831" t="s">
        <v>559</v>
      </c>
      <c r="AI10546" s="831">
        <v>0</v>
      </c>
      <c r="AJ10546" s="835">
        <v>41608</v>
      </c>
      <c r="AK10546" s="831">
        <v>0.78398749999999995</v>
      </c>
    </row>
    <row r="10547" spans="2:37">
      <c r="B10547" s="834" t="str">
        <f t="shared" si="409"/>
        <v>|||</v>
      </c>
      <c r="H10547" s="835">
        <f t="shared" si="410"/>
        <v>31</v>
      </c>
      <c r="AF10547" s="831" t="s">
        <v>11206</v>
      </c>
      <c r="AG10547" s="831" t="s">
        <v>2674</v>
      </c>
      <c r="AH10547" s="831" t="s">
        <v>568</v>
      </c>
      <c r="AI10547" s="831">
        <v>0</v>
      </c>
      <c r="AJ10547" s="835">
        <v>41608</v>
      </c>
      <c r="AK10547" s="831">
        <v>495457615.68846202</v>
      </c>
    </row>
    <row r="10548" spans="2:37">
      <c r="B10548" s="834" t="str">
        <f t="shared" si="409"/>
        <v>|||</v>
      </c>
      <c r="H10548" s="835">
        <f t="shared" si="410"/>
        <v>31</v>
      </c>
      <c r="AF10548" s="831" t="s">
        <v>11207</v>
      </c>
      <c r="AG10548" s="831" t="s">
        <v>2674</v>
      </c>
      <c r="AH10548" s="831" t="s">
        <v>569</v>
      </c>
      <c r="AI10548" s="831">
        <v>0</v>
      </c>
      <c r="AJ10548" s="835">
        <v>41608</v>
      </c>
      <c r="AK10548" s="831">
        <v>603523727.237692</v>
      </c>
    </row>
    <row r="10549" spans="2:37">
      <c r="B10549" s="834" t="str">
        <f t="shared" si="409"/>
        <v>|||</v>
      </c>
      <c r="H10549" s="835">
        <f t="shared" si="410"/>
        <v>31</v>
      </c>
      <c r="AF10549" s="831" t="s">
        <v>11208</v>
      </c>
      <c r="AG10549" s="831" t="s">
        <v>2674</v>
      </c>
      <c r="AH10549" s="831" t="s">
        <v>570</v>
      </c>
      <c r="AI10549" s="831">
        <v>0</v>
      </c>
      <c r="AJ10549" s="835">
        <v>41608</v>
      </c>
      <c r="AK10549" s="831">
        <v>107821146.758154</v>
      </c>
    </row>
    <row r="10550" spans="2:37">
      <c r="B10550" s="834" t="str">
        <f t="shared" si="409"/>
        <v>|||</v>
      </c>
      <c r="H10550" s="835">
        <f t="shared" si="410"/>
        <v>31</v>
      </c>
      <c r="AF10550" s="831" t="s">
        <v>11209</v>
      </c>
      <c r="AG10550" s="831" t="s">
        <v>2674</v>
      </c>
      <c r="AH10550" s="831" t="s">
        <v>571</v>
      </c>
      <c r="AI10550" s="831">
        <v>0</v>
      </c>
      <c r="AJ10550" s="835">
        <v>41608</v>
      </c>
      <c r="AK10550" s="831">
        <v>283259717.08169198</v>
      </c>
    </row>
    <row r="10551" spans="2:37">
      <c r="B10551" s="834" t="str">
        <f t="shared" si="409"/>
        <v>|||</v>
      </c>
      <c r="H10551" s="835">
        <f t="shared" si="410"/>
        <v>31</v>
      </c>
      <c r="AF10551" s="831" t="s">
        <v>11210</v>
      </c>
      <c r="AG10551" s="831" t="s">
        <v>2674</v>
      </c>
      <c r="AH10551" s="831" t="s">
        <v>573</v>
      </c>
      <c r="AI10551" s="831">
        <v>0</v>
      </c>
      <c r="AJ10551" s="835">
        <v>41608</v>
      </c>
      <c r="AK10551" s="831">
        <v>614752216.42416704</v>
      </c>
    </row>
    <row r="10552" spans="2:37">
      <c r="B10552" s="834" t="str">
        <f t="shared" si="409"/>
        <v>|||</v>
      </c>
      <c r="H10552" s="835">
        <f t="shared" si="410"/>
        <v>31</v>
      </c>
      <c r="AF10552" s="831" t="s">
        <v>11211</v>
      </c>
      <c r="AG10552" s="831" t="s">
        <v>2674</v>
      </c>
      <c r="AH10552" s="831" t="s">
        <v>574</v>
      </c>
      <c r="AI10552" s="831">
        <v>0</v>
      </c>
      <c r="AJ10552" s="835">
        <v>41608</v>
      </c>
      <c r="AK10552" s="831">
        <v>503905434.82916701</v>
      </c>
    </row>
    <row r="10553" spans="2:37">
      <c r="B10553" s="834" t="str">
        <f t="shared" si="409"/>
        <v>|||</v>
      </c>
      <c r="H10553" s="835">
        <f t="shared" si="410"/>
        <v>31</v>
      </c>
      <c r="AF10553" s="831" t="s">
        <v>11212</v>
      </c>
      <c r="AG10553" s="831" t="s">
        <v>2674</v>
      </c>
      <c r="AH10553" s="831" t="s">
        <v>575</v>
      </c>
      <c r="AI10553" s="831">
        <v>0</v>
      </c>
      <c r="AJ10553" s="835">
        <v>41608</v>
      </c>
      <c r="AK10553" s="831">
        <v>108318173.404667</v>
      </c>
    </row>
    <row r="10554" spans="2:37">
      <c r="B10554" s="834" t="str">
        <f t="shared" si="409"/>
        <v>|||</v>
      </c>
      <c r="H10554" s="835">
        <f t="shared" si="410"/>
        <v>31</v>
      </c>
      <c r="AF10554" s="831" t="s">
        <v>11213</v>
      </c>
      <c r="AG10554" s="831" t="s">
        <v>2674</v>
      </c>
      <c r="AH10554" s="831" t="s">
        <v>576</v>
      </c>
      <c r="AI10554" s="831">
        <v>0</v>
      </c>
      <c r="AJ10554" s="835">
        <v>41608</v>
      </c>
      <c r="AK10554" s="831">
        <v>290020734.67183298</v>
      </c>
    </row>
    <row r="10555" spans="2:37">
      <c r="B10555" s="834" t="str">
        <f t="shared" si="409"/>
        <v>|||</v>
      </c>
      <c r="H10555" s="835">
        <f t="shared" si="410"/>
        <v>31</v>
      </c>
      <c r="AF10555" s="831" t="s">
        <v>11214</v>
      </c>
      <c r="AG10555" s="831" t="s">
        <v>2674</v>
      </c>
      <c r="AH10555" s="831" t="s">
        <v>572</v>
      </c>
      <c r="AI10555" s="831">
        <v>0</v>
      </c>
      <c r="AJ10555" s="835">
        <v>41608</v>
      </c>
      <c r="AK10555" s="831">
        <v>27660766.032000002</v>
      </c>
    </row>
    <row r="10556" spans="2:37">
      <c r="B10556" s="834" t="str">
        <f t="shared" si="409"/>
        <v>|||</v>
      </c>
      <c r="H10556" s="835">
        <f t="shared" si="410"/>
        <v>31</v>
      </c>
      <c r="AF10556" s="831" t="s">
        <v>11215</v>
      </c>
      <c r="AG10556" s="831" t="s">
        <v>2674</v>
      </c>
      <c r="AH10556" s="831" t="s">
        <v>577</v>
      </c>
      <c r="AI10556" s="831">
        <v>0</v>
      </c>
      <c r="AJ10556" s="835">
        <v>41608</v>
      </c>
      <c r="AK10556" s="831">
        <v>128906380.236</v>
      </c>
    </row>
    <row r="10557" spans="2:37">
      <c r="B10557" s="834" t="str">
        <f t="shared" si="409"/>
        <v>|||</v>
      </c>
      <c r="H10557" s="835">
        <f t="shared" si="410"/>
        <v>31</v>
      </c>
      <c r="AF10557" s="831" t="s">
        <v>11216</v>
      </c>
      <c r="AG10557" s="831" t="s">
        <v>2674</v>
      </c>
      <c r="AH10557" s="831" t="s">
        <v>3042</v>
      </c>
      <c r="AI10557" s="831">
        <v>0</v>
      </c>
      <c r="AJ10557" s="835">
        <v>41608</v>
      </c>
      <c r="AK10557" s="831">
        <v>-32754423.664999999</v>
      </c>
    </row>
    <row r="10558" spans="2:37">
      <c r="B10558" s="834" t="str">
        <f t="shared" si="409"/>
        <v>|||</v>
      </c>
      <c r="H10558" s="835">
        <f t="shared" si="410"/>
        <v>31</v>
      </c>
      <c r="AF10558" s="831" t="s">
        <v>11217</v>
      </c>
      <c r="AG10558" s="831" t="s">
        <v>2674</v>
      </c>
      <c r="AH10558" s="831" t="s">
        <v>3044</v>
      </c>
      <c r="AI10558" s="831">
        <v>0</v>
      </c>
      <c r="AJ10558" s="835">
        <v>41608</v>
      </c>
      <c r="AK10558" s="831">
        <v>-4752350.8779999996</v>
      </c>
    </row>
    <row r="10559" spans="2:37">
      <c r="B10559" s="834" t="str">
        <f t="shared" si="409"/>
        <v>|||</v>
      </c>
      <c r="H10559" s="835">
        <f t="shared" si="410"/>
        <v>31</v>
      </c>
      <c r="AF10559" s="831" t="s">
        <v>11218</v>
      </c>
      <c r="AG10559" s="831" t="s">
        <v>2674</v>
      </c>
      <c r="AH10559" s="831" t="s">
        <v>580</v>
      </c>
      <c r="AI10559" s="831">
        <v>0</v>
      </c>
      <c r="AJ10559" s="835">
        <v>41608</v>
      </c>
      <c r="AK10559" s="831">
        <v>-61342758.126000002</v>
      </c>
    </row>
    <row r="10560" spans="2:37">
      <c r="B10560" s="834" t="str">
        <f t="shared" si="409"/>
        <v>|||</v>
      </c>
      <c r="H10560" s="835">
        <f t="shared" si="410"/>
        <v>31</v>
      </c>
      <c r="AF10560" s="831" t="s">
        <v>11219</v>
      </c>
      <c r="AG10560" s="831" t="s">
        <v>2674</v>
      </c>
      <c r="AH10560" s="831" t="s">
        <v>581</v>
      </c>
      <c r="AI10560" s="831">
        <v>0</v>
      </c>
      <c r="AJ10560" s="835">
        <v>41608</v>
      </c>
      <c r="AK10560" s="831">
        <v>5348437.4649999999</v>
      </c>
    </row>
    <row r="10561" spans="2:37">
      <c r="B10561" s="834" t="str">
        <f t="shared" si="409"/>
        <v>|||</v>
      </c>
      <c r="H10561" s="835">
        <f t="shared" si="410"/>
        <v>31</v>
      </c>
      <c r="AF10561" s="831" t="s">
        <v>11220</v>
      </c>
      <c r="AG10561" s="831" t="s">
        <v>2674</v>
      </c>
      <c r="AH10561" s="831" t="s">
        <v>105</v>
      </c>
      <c r="AI10561" s="831">
        <v>0</v>
      </c>
      <c r="AJ10561" s="835">
        <v>41608</v>
      </c>
      <c r="AK10561" s="831">
        <v>357758420.06199998</v>
      </c>
    </row>
    <row r="10562" spans="2:37">
      <c r="B10562" s="834" t="str">
        <f t="shared" si="409"/>
        <v>|||</v>
      </c>
      <c r="H10562" s="835">
        <f t="shared" si="410"/>
        <v>31</v>
      </c>
      <c r="AF10562" s="831" t="s">
        <v>11221</v>
      </c>
      <c r="AG10562" s="831" t="s">
        <v>2674</v>
      </c>
      <c r="AH10562" s="831" t="s">
        <v>3049</v>
      </c>
      <c r="AI10562" s="831">
        <v>0</v>
      </c>
      <c r="AJ10562" s="835">
        <v>41608</v>
      </c>
      <c r="AK10562" s="831">
        <v>601955674.88300002</v>
      </c>
    </row>
    <row r="10563" spans="2:37">
      <c r="B10563" s="834" t="str">
        <f t="shared" si="409"/>
        <v>|||</v>
      </c>
      <c r="H10563" s="835">
        <f t="shared" si="410"/>
        <v>31</v>
      </c>
      <c r="AF10563" s="831" t="s">
        <v>11222</v>
      </c>
      <c r="AG10563" s="831" t="s">
        <v>2674</v>
      </c>
      <c r="AH10563" s="831" t="s">
        <v>103</v>
      </c>
      <c r="AI10563" s="831">
        <v>0</v>
      </c>
      <c r="AJ10563" s="835">
        <v>41608</v>
      </c>
      <c r="AK10563" s="831">
        <v>244197254.82100001</v>
      </c>
    </row>
    <row r="10564" spans="2:37">
      <c r="B10564" s="834" t="str">
        <f t="shared" si="409"/>
        <v>|||</v>
      </c>
      <c r="H10564" s="835">
        <f t="shared" si="410"/>
        <v>31</v>
      </c>
      <c r="AF10564" s="831" t="s">
        <v>11223</v>
      </c>
      <c r="AG10564" s="831" t="s">
        <v>2674</v>
      </c>
      <c r="AH10564" s="831" t="s">
        <v>182</v>
      </c>
      <c r="AI10564" s="831">
        <v>0</v>
      </c>
      <c r="AJ10564" s="835">
        <v>41608</v>
      </c>
      <c r="AK10564" s="831">
        <v>58896650.319272697</v>
      </c>
    </row>
    <row r="10565" spans="2:37">
      <c r="B10565" s="834" t="str">
        <f t="shared" si="409"/>
        <v>|||</v>
      </c>
      <c r="H10565" s="835">
        <f t="shared" si="410"/>
        <v>31</v>
      </c>
      <c r="AF10565" s="831" t="s">
        <v>11224</v>
      </c>
      <c r="AG10565" s="831" t="s">
        <v>2674</v>
      </c>
      <c r="AH10565" s="831" t="s">
        <v>6600</v>
      </c>
      <c r="AI10565" s="831">
        <v>0</v>
      </c>
      <c r="AJ10565" s="835">
        <v>41608</v>
      </c>
      <c r="AK10565" s="831">
        <v>27660766.032000002</v>
      </c>
    </row>
    <row r="10566" spans="2:37">
      <c r="B10566" s="834" t="str">
        <f t="shared" si="409"/>
        <v>|||</v>
      </c>
      <c r="H10566" s="835">
        <f t="shared" si="410"/>
        <v>31</v>
      </c>
      <c r="AF10566" s="831" t="s">
        <v>11225</v>
      </c>
      <c r="AG10566" s="831" t="s">
        <v>2674</v>
      </c>
      <c r="AH10566" s="831" t="s">
        <v>6602</v>
      </c>
      <c r="AI10566" s="831">
        <v>0</v>
      </c>
      <c r="AJ10566" s="835">
        <v>41608</v>
      </c>
      <c r="AK10566" s="831">
        <v>28354718.032000002</v>
      </c>
    </row>
    <row r="10567" spans="2:37">
      <c r="B10567" s="834" t="str">
        <f t="shared" si="409"/>
        <v>|||</v>
      </c>
      <c r="H10567" s="835">
        <f t="shared" si="410"/>
        <v>31</v>
      </c>
      <c r="AF10567" s="831" t="s">
        <v>11226</v>
      </c>
      <c r="AG10567" s="831" t="s">
        <v>2674</v>
      </c>
      <c r="AH10567" s="831" t="s">
        <v>650</v>
      </c>
      <c r="AI10567" s="831">
        <v>0</v>
      </c>
      <c r="AJ10567" s="835">
        <v>41608</v>
      </c>
      <c r="AK10567" s="831">
        <v>197061109.843923</v>
      </c>
    </row>
    <row r="10568" spans="2:37">
      <c r="B10568" s="834" t="str">
        <f t="shared" si="409"/>
        <v>|||</v>
      </c>
      <c r="H10568" s="835">
        <f t="shared" si="410"/>
        <v>31</v>
      </c>
      <c r="AF10568" s="831" t="s">
        <v>11227</v>
      </c>
      <c r="AG10568" s="831" t="s">
        <v>2674</v>
      </c>
      <c r="AH10568" s="831" t="s">
        <v>655</v>
      </c>
      <c r="AI10568" s="831">
        <v>0</v>
      </c>
      <c r="AJ10568" s="835">
        <v>41608</v>
      </c>
      <c r="AK10568" s="831">
        <v>1514274.5549999999</v>
      </c>
    </row>
    <row r="10569" spans="2:37">
      <c r="B10569" s="834" t="str">
        <f t="shared" si="409"/>
        <v>|||</v>
      </c>
      <c r="H10569" s="835">
        <f t="shared" si="410"/>
        <v>31</v>
      </c>
      <c r="AF10569" s="831" t="s">
        <v>11228</v>
      </c>
      <c r="AG10569" s="831" t="s">
        <v>2674</v>
      </c>
      <c r="AH10569" s="831" t="s">
        <v>546</v>
      </c>
      <c r="AI10569" s="831">
        <v>0</v>
      </c>
      <c r="AJ10569" s="835">
        <v>41639</v>
      </c>
      <c r="AK10569" s="831">
        <v>627874260</v>
      </c>
    </row>
    <row r="10570" spans="2:37">
      <c r="B10570" s="834" t="str">
        <f t="shared" si="409"/>
        <v>|||</v>
      </c>
      <c r="H10570" s="835">
        <f t="shared" si="410"/>
        <v>31</v>
      </c>
      <c r="AF10570" s="831" t="s">
        <v>11229</v>
      </c>
      <c r="AG10570" s="831" t="s">
        <v>2674</v>
      </c>
      <c r="AH10570" s="831" t="s">
        <v>370</v>
      </c>
      <c r="AI10570" s="831">
        <v>0</v>
      </c>
      <c r="AJ10570" s="835">
        <v>41639</v>
      </c>
      <c r="AK10570" s="831">
        <v>789514969.56299996</v>
      </c>
    </row>
    <row r="10571" spans="2:37">
      <c r="B10571" s="834" t="str">
        <f t="shared" si="409"/>
        <v>|||</v>
      </c>
      <c r="H10571" s="835">
        <f t="shared" si="410"/>
        <v>31</v>
      </c>
      <c r="AF10571" s="831" t="s">
        <v>11230</v>
      </c>
      <c r="AG10571" s="831" t="s">
        <v>2674</v>
      </c>
      <c r="AH10571" s="831" t="s">
        <v>126</v>
      </c>
      <c r="AI10571" s="831">
        <v>0</v>
      </c>
      <c r="AJ10571" s="835">
        <v>41639</v>
      </c>
      <c r="AK10571" s="831">
        <v>114089765.91</v>
      </c>
    </row>
    <row r="10572" spans="2:37">
      <c r="B10572" s="834" t="str">
        <f t="shared" si="409"/>
        <v>|||</v>
      </c>
      <c r="H10572" s="835">
        <f t="shared" si="410"/>
        <v>31</v>
      </c>
      <c r="AF10572" s="831" t="s">
        <v>11231</v>
      </c>
      <c r="AG10572" s="831" t="s">
        <v>2674</v>
      </c>
      <c r="AH10572" s="831" t="s">
        <v>268</v>
      </c>
      <c r="AI10572" s="831">
        <v>0</v>
      </c>
      <c r="AJ10572" s="835">
        <v>41639</v>
      </c>
      <c r="AK10572" s="831">
        <v>27176541.956</v>
      </c>
    </row>
    <row r="10573" spans="2:37">
      <c r="B10573" s="834" t="str">
        <f t="shared" si="409"/>
        <v>|||</v>
      </c>
      <c r="H10573" s="835">
        <f t="shared" si="410"/>
        <v>31</v>
      </c>
      <c r="AF10573" s="831" t="s">
        <v>11232</v>
      </c>
      <c r="AG10573" s="831" t="s">
        <v>2674</v>
      </c>
      <c r="AH10573" s="831" t="s">
        <v>547</v>
      </c>
      <c r="AI10573" s="831">
        <v>0</v>
      </c>
      <c r="AJ10573" s="835">
        <v>41639</v>
      </c>
      <c r="AK10573" s="831">
        <v>511487760</v>
      </c>
    </row>
    <row r="10574" spans="2:37">
      <c r="B10574" s="834" t="str">
        <f t="shared" si="409"/>
        <v>|||</v>
      </c>
      <c r="H10574" s="835">
        <f t="shared" si="410"/>
        <v>31</v>
      </c>
      <c r="AF10574" s="831" t="s">
        <v>11233</v>
      </c>
      <c r="AG10574" s="831" t="s">
        <v>2674</v>
      </c>
      <c r="AH10574" s="831" t="s">
        <v>548</v>
      </c>
      <c r="AI10574" s="831">
        <v>0</v>
      </c>
      <c r="AJ10574" s="835">
        <v>41639</v>
      </c>
      <c r="AK10574" s="831">
        <v>96883184</v>
      </c>
    </row>
    <row r="10575" spans="2:37">
      <c r="B10575" s="834" t="str">
        <f t="shared" si="409"/>
        <v>|||</v>
      </c>
      <c r="H10575" s="835">
        <f t="shared" si="410"/>
        <v>31</v>
      </c>
      <c r="AF10575" s="831" t="s">
        <v>11234</v>
      </c>
      <c r="AG10575" s="831" t="s">
        <v>2674</v>
      </c>
      <c r="AH10575" s="831" t="s">
        <v>549</v>
      </c>
      <c r="AI10575" s="831">
        <v>0</v>
      </c>
      <c r="AJ10575" s="835">
        <v>41639</v>
      </c>
      <c r="AK10575" s="831">
        <v>412125624</v>
      </c>
    </row>
    <row r="10576" spans="2:37">
      <c r="B10576" s="834" t="str">
        <f t="shared" si="409"/>
        <v>|||</v>
      </c>
      <c r="H10576" s="835">
        <f t="shared" si="410"/>
        <v>31</v>
      </c>
      <c r="AF10576" s="831" t="s">
        <v>11235</v>
      </c>
      <c r="AG10576" s="831" t="s">
        <v>2674</v>
      </c>
      <c r="AH10576" s="831" t="s">
        <v>192</v>
      </c>
      <c r="AI10576" s="831">
        <v>0</v>
      </c>
      <c r="AJ10576" s="835">
        <v>41639</v>
      </c>
      <c r="AK10576" s="831">
        <v>-13734258</v>
      </c>
    </row>
    <row r="10577" spans="2:37">
      <c r="B10577" s="834" t="str">
        <f t="shared" ref="B10577:B10640" si="411">C10577&amp;"|"&amp;D10577&amp;"|"&amp;E10577&amp;"|"&amp;F10577</f>
        <v>|||</v>
      </c>
      <c r="H10577" s="835">
        <f t="shared" ref="H10577:H10640" si="412">EOMONTH(L10577,0)</f>
        <v>31</v>
      </c>
      <c r="AF10577" s="831" t="s">
        <v>11236</v>
      </c>
      <c r="AG10577" s="831" t="s">
        <v>2674</v>
      </c>
      <c r="AH10577" s="831" t="s">
        <v>558</v>
      </c>
      <c r="AI10577" s="831">
        <v>0</v>
      </c>
      <c r="AJ10577" s="835">
        <v>41639</v>
      </c>
      <c r="AK10577" s="831">
        <v>675425203.71399999</v>
      </c>
    </row>
    <row r="10578" spans="2:37">
      <c r="B10578" s="834" t="str">
        <f t="shared" si="411"/>
        <v>|||</v>
      </c>
      <c r="H10578" s="835">
        <f t="shared" si="412"/>
        <v>31</v>
      </c>
      <c r="AF10578" s="831" t="s">
        <v>11237</v>
      </c>
      <c r="AG10578" s="831" t="s">
        <v>2674</v>
      </c>
      <c r="AH10578" s="831" t="s">
        <v>65</v>
      </c>
      <c r="AI10578" s="831">
        <v>0</v>
      </c>
      <c r="AJ10578" s="835">
        <v>41639</v>
      </c>
      <c r="AK10578" s="831">
        <v>132856888.763</v>
      </c>
    </row>
    <row r="10579" spans="2:37">
      <c r="B10579" s="834" t="str">
        <f t="shared" si="411"/>
        <v>|||</v>
      </c>
      <c r="H10579" s="835">
        <f t="shared" si="412"/>
        <v>31</v>
      </c>
      <c r="AF10579" s="831" t="s">
        <v>11238</v>
      </c>
      <c r="AG10579" s="831" t="s">
        <v>2674</v>
      </c>
      <c r="AH10579" s="831" t="s">
        <v>89</v>
      </c>
      <c r="AI10579" s="831">
        <v>0</v>
      </c>
      <c r="AJ10579" s="835">
        <v>41639</v>
      </c>
      <c r="AK10579" s="831">
        <v>147601</v>
      </c>
    </row>
    <row r="10580" spans="2:37">
      <c r="B10580" s="834" t="str">
        <f t="shared" si="411"/>
        <v>|||</v>
      </c>
      <c r="H10580" s="835">
        <f t="shared" si="412"/>
        <v>31</v>
      </c>
      <c r="AF10580" s="831" t="s">
        <v>11239</v>
      </c>
      <c r="AG10580" s="831" t="s">
        <v>2674</v>
      </c>
      <c r="AH10580" s="831" t="s">
        <v>557</v>
      </c>
      <c r="AI10580" s="831">
        <v>0</v>
      </c>
      <c r="AJ10580" s="835">
        <v>41639</v>
      </c>
      <c r="AK10580" s="831">
        <v>160431</v>
      </c>
    </row>
    <row r="10581" spans="2:37">
      <c r="B10581" s="834" t="str">
        <f t="shared" si="411"/>
        <v>|||</v>
      </c>
      <c r="H10581" s="835">
        <f t="shared" si="412"/>
        <v>31</v>
      </c>
      <c r="AF10581" s="831" t="s">
        <v>11240</v>
      </c>
      <c r="AG10581" s="831" t="s">
        <v>2674</v>
      </c>
      <c r="AH10581" s="831" t="s">
        <v>29</v>
      </c>
      <c r="AI10581" s="831">
        <v>0</v>
      </c>
      <c r="AJ10581" s="835">
        <v>41639</v>
      </c>
      <c r="AK10581" s="831">
        <v>1938216.4365999999</v>
      </c>
    </row>
    <row r="10582" spans="2:37">
      <c r="B10582" s="834" t="str">
        <f t="shared" si="411"/>
        <v>|||</v>
      </c>
      <c r="H10582" s="835">
        <f t="shared" si="412"/>
        <v>31</v>
      </c>
      <c r="AF10582" s="831" t="s">
        <v>11241</v>
      </c>
      <c r="AG10582" s="831" t="s">
        <v>2674</v>
      </c>
      <c r="AH10582" s="831" t="s">
        <v>2688</v>
      </c>
      <c r="AI10582" s="831">
        <v>0</v>
      </c>
      <c r="AJ10582" s="835">
        <v>41639</v>
      </c>
      <c r="AK10582" s="831">
        <v>3277121.17</v>
      </c>
    </row>
    <row r="10583" spans="2:37">
      <c r="B10583" s="834" t="str">
        <f t="shared" si="411"/>
        <v>|||</v>
      </c>
      <c r="H10583" s="835">
        <f t="shared" si="412"/>
        <v>31</v>
      </c>
      <c r="AF10583" s="831" t="s">
        <v>11242</v>
      </c>
      <c r="AG10583" s="831" t="s">
        <v>2674</v>
      </c>
      <c r="AH10583" s="831" t="s">
        <v>556</v>
      </c>
      <c r="AI10583" s="831">
        <v>0</v>
      </c>
      <c r="AJ10583" s="835">
        <v>41639</v>
      </c>
      <c r="AK10583" s="831">
        <v>1644732</v>
      </c>
    </row>
    <row r="10584" spans="2:37">
      <c r="B10584" s="834" t="str">
        <f t="shared" si="411"/>
        <v>|||</v>
      </c>
      <c r="H10584" s="835">
        <f t="shared" si="412"/>
        <v>31</v>
      </c>
      <c r="AF10584" s="831" t="s">
        <v>11243</v>
      </c>
      <c r="AG10584" s="831" t="s">
        <v>2674</v>
      </c>
      <c r="AH10584" s="831" t="s">
        <v>555</v>
      </c>
      <c r="AI10584" s="831">
        <v>0</v>
      </c>
      <c r="AJ10584" s="835">
        <v>41639</v>
      </c>
      <c r="AK10584" s="831">
        <v>435796650</v>
      </c>
    </row>
    <row r="10585" spans="2:37">
      <c r="B10585" s="834" t="str">
        <f t="shared" si="411"/>
        <v>|||</v>
      </c>
      <c r="H10585" s="835">
        <f t="shared" si="412"/>
        <v>31</v>
      </c>
      <c r="AF10585" s="831" t="s">
        <v>11244</v>
      </c>
      <c r="AG10585" s="831" t="s">
        <v>2674</v>
      </c>
      <c r="AH10585" s="831" t="s">
        <v>554</v>
      </c>
      <c r="AI10585" s="831">
        <v>0</v>
      </c>
      <c r="AJ10585" s="835">
        <v>41639</v>
      </c>
      <c r="AK10585" s="831">
        <v>428326680</v>
      </c>
    </row>
    <row r="10586" spans="2:37">
      <c r="B10586" s="834" t="str">
        <f t="shared" si="411"/>
        <v>|||</v>
      </c>
      <c r="H10586" s="835">
        <f t="shared" si="412"/>
        <v>31</v>
      </c>
      <c r="AF10586" s="831" t="s">
        <v>11245</v>
      </c>
      <c r="AG10586" s="831" t="s">
        <v>2674</v>
      </c>
      <c r="AH10586" s="831" t="s">
        <v>553</v>
      </c>
      <c r="AI10586" s="831">
        <v>0</v>
      </c>
      <c r="AJ10586" s="835">
        <v>41639</v>
      </c>
      <c r="AK10586" s="831">
        <v>0</v>
      </c>
    </row>
    <row r="10587" spans="2:37">
      <c r="B10587" s="834" t="str">
        <f t="shared" si="411"/>
        <v>|||</v>
      </c>
      <c r="H10587" s="835">
        <f t="shared" si="412"/>
        <v>31</v>
      </c>
      <c r="AF10587" s="831" t="s">
        <v>11246</v>
      </c>
      <c r="AG10587" s="831" t="s">
        <v>2674</v>
      </c>
      <c r="AH10587" s="831" t="s">
        <v>552</v>
      </c>
      <c r="AI10587" s="831">
        <v>0</v>
      </c>
      <c r="AJ10587" s="835">
        <v>41639</v>
      </c>
      <c r="AK10587" s="831">
        <v>0</v>
      </c>
    </row>
    <row r="10588" spans="2:37">
      <c r="B10588" s="834" t="str">
        <f t="shared" si="411"/>
        <v>|||</v>
      </c>
      <c r="H10588" s="835">
        <f t="shared" si="412"/>
        <v>31</v>
      </c>
      <c r="AF10588" s="831" t="s">
        <v>11247</v>
      </c>
      <c r="AG10588" s="831" t="s">
        <v>2674</v>
      </c>
      <c r="AH10588" s="831" t="s">
        <v>551</v>
      </c>
      <c r="AI10588" s="831">
        <v>0</v>
      </c>
      <c r="AJ10588" s="835">
        <v>41639</v>
      </c>
      <c r="AK10588" s="831">
        <v>1803383.8315999999</v>
      </c>
    </row>
    <row r="10589" spans="2:37">
      <c r="B10589" s="834" t="str">
        <f t="shared" si="411"/>
        <v>|||</v>
      </c>
      <c r="H10589" s="835">
        <f t="shared" si="412"/>
        <v>31</v>
      </c>
      <c r="AF10589" s="831" t="s">
        <v>11248</v>
      </c>
      <c r="AG10589" s="831" t="s">
        <v>2674</v>
      </c>
      <c r="AH10589" s="831" t="s">
        <v>550</v>
      </c>
      <c r="AI10589" s="831">
        <v>0</v>
      </c>
      <c r="AJ10589" s="835">
        <v>41639</v>
      </c>
      <c r="AK10589" s="831">
        <v>123117939.85600001</v>
      </c>
    </row>
    <row r="10590" spans="2:37">
      <c r="B10590" s="834" t="str">
        <f t="shared" si="411"/>
        <v>|||</v>
      </c>
      <c r="H10590" s="835">
        <f t="shared" si="412"/>
        <v>31</v>
      </c>
      <c r="AF10590" s="831" t="s">
        <v>11249</v>
      </c>
      <c r="AG10590" s="831" t="s">
        <v>2674</v>
      </c>
      <c r="AH10590" s="831" t="s">
        <v>562</v>
      </c>
      <c r="AI10590" s="831">
        <v>0</v>
      </c>
      <c r="AJ10590" s="835">
        <v>41639</v>
      </c>
      <c r="AK10590" s="831">
        <v>0.78334999999999999</v>
      </c>
    </row>
    <row r="10591" spans="2:37">
      <c r="B10591" s="834" t="str">
        <f t="shared" si="411"/>
        <v>|||</v>
      </c>
      <c r="H10591" s="835">
        <f t="shared" si="412"/>
        <v>31</v>
      </c>
      <c r="AF10591" s="831" t="s">
        <v>11250</v>
      </c>
      <c r="AG10591" s="831" t="s">
        <v>2674</v>
      </c>
      <c r="AH10591" s="831" t="s">
        <v>2698</v>
      </c>
      <c r="AI10591" s="831">
        <v>0</v>
      </c>
      <c r="AJ10591" s="835">
        <v>41639</v>
      </c>
      <c r="AK10591" s="831">
        <v>0.78385000000000005</v>
      </c>
    </row>
    <row r="10592" spans="2:37">
      <c r="B10592" s="834" t="str">
        <f t="shared" si="411"/>
        <v>|||</v>
      </c>
      <c r="H10592" s="835">
        <f t="shared" si="412"/>
        <v>31</v>
      </c>
      <c r="AF10592" s="831" t="s">
        <v>11251</v>
      </c>
      <c r="AG10592" s="831" t="s">
        <v>2674</v>
      </c>
      <c r="AH10592" s="831" t="s">
        <v>560</v>
      </c>
      <c r="AI10592" s="831">
        <v>0</v>
      </c>
      <c r="AJ10592" s="835">
        <v>41639</v>
      </c>
      <c r="AK10592" s="831">
        <v>0.78393333333333304</v>
      </c>
    </row>
    <row r="10593" spans="2:37">
      <c r="B10593" s="834" t="str">
        <f t="shared" si="411"/>
        <v>|||</v>
      </c>
      <c r="H10593" s="835">
        <f t="shared" si="412"/>
        <v>31</v>
      </c>
      <c r="AF10593" s="831" t="s">
        <v>11252</v>
      </c>
      <c r="AG10593" s="831" t="s">
        <v>2674</v>
      </c>
      <c r="AH10593" s="831" t="s">
        <v>559</v>
      </c>
      <c r="AI10593" s="831">
        <v>0</v>
      </c>
      <c r="AJ10593" s="835">
        <v>41639</v>
      </c>
      <c r="AK10593" s="831">
        <v>0.78393333333333304</v>
      </c>
    </row>
    <row r="10594" spans="2:37">
      <c r="B10594" s="834" t="str">
        <f t="shared" si="411"/>
        <v>|||</v>
      </c>
      <c r="H10594" s="835">
        <f t="shared" si="412"/>
        <v>31</v>
      </c>
      <c r="AF10594" s="831" t="s">
        <v>11253</v>
      </c>
      <c r="AG10594" s="831" t="s">
        <v>2674</v>
      </c>
      <c r="AH10594" s="831" t="s">
        <v>568</v>
      </c>
      <c r="AI10594" s="831">
        <v>0</v>
      </c>
      <c r="AJ10594" s="835">
        <v>41639</v>
      </c>
      <c r="AK10594" s="831">
        <v>513441498.303846</v>
      </c>
    </row>
    <row r="10595" spans="2:37">
      <c r="B10595" s="834" t="str">
        <f t="shared" si="411"/>
        <v>|||</v>
      </c>
      <c r="H10595" s="835">
        <f t="shared" si="412"/>
        <v>31</v>
      </c>
      <c r="AF10595" s="831" t="s">
        <v>11254</v>
      </c>
      <c r="AG10595" s="831" t="s">
        <v>2674</v>
      </c>
      <c r="AH10595" s="831" t="s">
        <v>569</v>
      </c>
      <c r="AI10595" s="831">
        <v>0</v>
      </c>
      <c r="AJ10595" s="835">
        <v>41639</v>
      </c>
      <c r="AK10595" s="831">
        <v>628195505.12715399</v>
      </c>
    </row>
    <row r="10596" spans="2:37">
      <c r="B10596" s="834" t="str">
        <f t="shared" si="411"/>
        <v>|||</v>
      </c>
      <c r="H10596" s="835">
        <f t="shared" si="412"/>
        <v>31</v>
      </c>
      <c r="AF10596" s="831" t="s">
        <v>11255</v>
      </c>
      <c r="AG10596" s="831" t="s">
        <v>2674</v>
      </c>
      <c r="AH10596" s="831" t="s">
        <v>570</v>
      </c>
      <c r="AI10596" s="831">
        <v>0</v>
      </c>
      <c r="AJ10596" s="835">
        <v>41639</v>
      </c>
      <c r="AK10596" s="831">
        <v>108762142.05892301</v>
      </c>
    </row>
    <row r="10597" spans="2:37">
      <c r="B10597" s="834" t="str">
        <f t="shared" si="411"/>
        <v>|||</v>
      </c>
      <c r="H10597" s="835">
        <f t="shared" si="412"/>
        <v>31</v>
      </c>
      <c r="AF10597" s="831" t="s">
        <v>11256</v>
      </c>
      <c r="AG10597" s="831" t="s">
        <v>2674</v>
      </c>
      <c r="AH10597" s="831" t="s">
        <v>571</v>
      </c>
      <c r="AI10597" s="831">
        <v>0</v>
      </c>
      <c r="AJ10597" s="835">
        <v>41639</v>
      </c>
      <c r="AK10597" s="831">
        <v>297832512.590231</v>
      </c>
    </row>
    <row r="10598" spans="2:37">
      <c r="B10598" s="834" t="str">
        <f t="shared" si="411"/>
        <v>|||</v>
      </c>
      <c r="H10598" s="835">
        <f t="shared" si="412"/>
        <v>31</v>
      </c>
      <c r="AF10598" s="831" t="s">
        <v>11257</v>
      </c>
      <c r="AG10598" s="831" t="s">
        <v>2674</v>
      </c>
      <c r="AH10598" s="831" t="s">
        <v>573</v>
      </c>
      <c r="AI10598" s="831">
        <v>0</v>
      </c>
      <c r="AJ10598" s="835">
        <v>41639</v>
      </c>
      <c r="AK10598" s="831">
        <v>628195505.12715399</v>
      </c>
    </row>
    <row r="10599" spans="2:37">
      <c r="B10599" s="834" t="str">
        <f t="shared" si="411"/>
        <v>|||</v>
      </c>
      <c r="H10599" s="835">
        <f t="shared" si="412"/>
        <v>31</v>
      </c>
      <c r="AF10599" s="831" t="s">
        <v>11258</v>
      </c>
      <c r="AG10599" s="831" t="s">
        <v>2674</v>
      </c>
      <c r="AH10599" s="831" t="s">
        <v>574</v>
      </c>
      <c r="AI10599" s="831">
        <v>0</v>
      </c>
      <c r="AJ10599" s="835">
        <v>41639</v>
      </c>
      <c r="AK10599" s="831">
        <v>513441498.303846</v>
      </c>
    </row>
    <row r="10600" spans="2:37">
      <c r="B10600" s="834" t="str">
        <f t="shared" si="411"/>
        <v>|||</v>
      </c>
      <c r="H10600" s="835">
        <f t="shared" si="412"/>
        <v>31</v>
      </c>
      <c r="AF10600" s="831" t="s">
        <v>11259</v>
      </c>
      <c r="AG10600" s="831" t="s">
        <v>2674</v>
      </c>
      <c r="AH10600" s="831" t="s">
        <v>575</v>
      </c>
      <c r="AI10600" s="831">
        <v>0</v>
      </c>
      <c r="AJ10600" s="835">
        <v>41639</v>
      </c>
      <c r="AK10600" s="831">
        <v>108762142.05892301</v>
      </c>
    </row>
    <row r="10601" spans="2:37">
      <c r="B10601" s="834" t="str">
        <f t="shared" si="411"/>
        <v>|||</v>
      </c>
      <c r="H10601" s="835">
        <f t="shared" si="412"/>
        <v>31</v>
      </c>
      <c r="AF10601" s="831" t="s">
        <v>11260</v>
      </c>
      <c r="AG10601" s="831" t="s">
        <v>2674</v>
      </c>
      <c r="AH10601" s="831" t="s">
        <v>576</v>
      </c>
      <c r="AI10601" s="831">
        <v>0</v>
      </c>
      <c r="AJ10601" s="835">
        <v>41639</v>
      </c>
      <c r="AK10601" s="831">
        <v>297832512.590231</v>
      </c>
    </row>
    <row r="10602" spans="2:37">
      <c r="B10602" s="834" t="str">
        <f t="shared" si="411"/>
        <v>|||</v>
      </c>
      <c r="H10602" s="835">
        <f t="shared" si="412"/>
        <v>31</v>
      </c>
      <c r="AF10602" s="831" t="s">
        <v>11261</v>
      </c>
      <c r="AG10602" s="831" t="s">
        <v>2674</v>
      </c>
      <c r="AH10602" s="831" t="s">
        <v>572</v>
      </c>
      <c r="AI10602" s="831">
        <v>0</v>
      </c>
      <c r="AJ10602" s="835">
        <v>41639</v>
      </c>
      <c r="AK10602" s="831">
        <v>27176541.956</v>
      </c>
    </row>
    <row r="10603" spans="2:37">
      <c r="B10603" s="834" t="str">
        <f t="shared" si="411"/>
        <v>|||</v>
      </c>
      <c r="H10603" s="835">
        <f t="shared" si="412"/>
        <v>31</v>
      </c>
      <c r="AF10603" s="831" t="s">
        <v>11262</v>
      </c>
      <c r="AG10603" s="831" t="s">
        <v>2674</v>
      </c>
      <c r="AH10603" s="831" t="s">
        <v>577</v>
      </c>
      <c r="AI10603" s="831">
        <v>0</v>
      </c>
      <c r="AJ10603" s="835">
        <v>41639</v>
      </c>
      <c r="AK10603" s="831">
        <v>132856888.763</v>
      </c>
    </row>
    <row r="10604" spans="2:37">
      <c r="B10604" s="834" t="str">
        <f t="shared" si="411"/>
        <v>|||</v>
      </c>
      <c r="H10604" s="835">
        <f t="shared" si="412"/>
        <v>31</v>
      </c>
      <c r="AF10604" s="831" t="s">
        <v>11263</v>
      </c>
      <c r="AG10604" s="831" t="s">
        <v>2674</v>
      </c>
      <c r="AH10604" s="831" t="s">
        <v>3042</v>
      </c>
      <c r="AI10604" s="831">
        <v>0</v>
      </c>
      <c r="AJ10604" s="835">
        <v>41639</v>
      </c>
      <c r="AK10604" s="831">
        <v>-34369525.527000003</v>
      </c>
    </row>
    <row r="10605" spans="2:37">
      <c r="B10605" s="834" t="str">
        <f t="shared" si="411"/>
        <v>|||</v>
      </c>
      <c r="H10605" s="835">
        <f t="shared" si="412"/>
        <v>31</v>
      </c>
      <c r="AF10605" s="831" t="s">
        <v>11264</v>
      </c>
      <c r="AG10605" s="831" t="s">
        <v>2674</v>
      </c>
      <c r="AH10605" s="831" t="s">
        <v>3044</v>
      </c>
      <c r="AI10605" s="831">
        <v>0</v>
      </c>
      <c r="AJ10605" s="835">
        <v>41639</v>
      </c>
      <c r="AK10605" s="831">
        <v>-4400746.8899999997</v>
      </c>
    </row>
    <row r="10606" spans="2:37">
      <c r="B10606" s="834" t="str">
        <f t="shared" si="411"/>
        <v>|||</v>
      </c>
      <c r="H10606" s="835">
        <f t="shared" si="412"/>
        <v>31</v>
      </c>
      <c r="AF10606" s="831" t="s">
        <v>11265</v>
      </c>
      <c r="AG10606" s="831" t="s">
        <v>2674</v>
      </c>
      <c r="AH10606" s="831" t="s">
        <v>580</v>
      </c>
      <c r="AI10606" s="831">
        <v>0</v>
      </c>
      <c r="AJ10606" s="835">
        <v>41639</v>
      </c>
      <c r="AK10606" s="831">
        <v>-64107005.306999996</v>
      </c>
    </row>
    <row r="10607" spans="2:37">
      <c r="B10607" s="834" t="str">
        <f t="shared" si="411"/>
        <v>|||</v>
      </c>
      <c r="H10607" s="835">
        <f t="shared" si="412"/>
        <v>31</v>
      </c>
      <c r="AF10607" s="831" t="s">
        <v>11266</v>
      </c>
      <c r="AG10607" s="831" t="s">
        <v>2674</v>
      </c>
      <c r="AH10607" s="831" t="s">
        <v>581</v>
      </c>
      <c r="AI10607" s="831">
        <v>0</v>
      </c>
      <c r="AJ10607" s="835">
        <v>41639</v>
      </c>
      <c r="AK10607" s="831">
        <v>5010635.8940000003</v>
      </c>
    </row>
    <row r="10608" spans="2:37">
      <c r="B10608" s="834" t="str">
        <f t="shared" si="411"/>
        <v>|||</v>
      </c>
      <c r="H10608" s="835">
        <f t="shared" si="412"/>
        <v>31</v>
      </c>
      <c r="AF10608" s="831" t="s">
        <v>11267</v>
      </c>
      <c r="AG10608" s="831" t="s">
        <v>2674</v>
      </c>
      <c r="AH10608" s="831" t="s">
        <v>105</v>
      </c>
      <c r="AI10608" s="831">
        <v>0</v>
      </c>
      <c r="AJ10608" s="835">
        <v>41639</v>
      </c>
      <c r="AK10608" s="831">
        <v>391573847.611</v>
      </c>
    </row>
    <row r="10609" spans="2:37">
      <c r="B10609" s="834" t="str">
        <f t="shared" si="411"/>
        <v>|||</v>
      </c>
      <c r="H10609" s="835">
        <f t="shared" si="412"/>
        <v>31</v>
      </c>
      <c r="AF10609" s="831" t="s">
        <v>11268</v>
      </c>
      <c r="AG10609" s="831" t="s">
        <v>2674</v>
      </c>
      <c r="AH10609" s="831" t="s">
        <v>3049</v>
      </c>
      <c r="AI10609" s="831">
        <v>0</v>
      </c>
      <c r="AJ10609" s="835">
        <v>41639</v>
      </c>
      <c r="AK10609" s="831">
        <v>644326442.18900001</v>
      </c>
    </row>
    <row r="10610" spans="2:37">
      <c r="B10610" s="834" t="str">
        <f t="shared" si="411"/>
        <v>|||</v>
      </c>
      <c r="H10610" s="835">
        <f t="shared" si="412"/>
        <v>31</v>
      </c>
      <c r="AF10610" s="831" t="s">
        <v>11269</v>
      </c>
      <c r="AG10610" s="831" t="s">
        <v>2674</v>
      </c>
      <c r="AH10610" s="831" t="s">
        <v>103</v>
      </c>
      <c r="AI10610" s="831">
        <v>0</v>
      </c>
      <c r="AJ10610" s="835">
        <v>41639</v>
      </c>
      <c r="AK10610" s="831">
        <v>252752594.57800001</v>
      </c>
    </row>
    <row r="10611" spans="2:37">
      <c r="B10611" s="834" t="str">
        <f t="shared" si="411"/>
        <v>|||</v>
      </c>
      <c r="H10611" s="835">
        <f t="shared" si="412"/>
        <v>31</v>
      </c>
      <c r="AF10611" s="831" t="s">
        <v>11270</v>
      </c>
      <c r="AG10611" s="831" t="s">
        <v>2674</v>
      </c>
      <c r="AH10611" s="831" t="s">
        <v>182</v>
      </c>
      <c r="AI10611" s="831">
        <v>0</v>
      </c>
      <c r="AJ10611" s="835">
        <v>41639</v>
      </c>
      <c r="AK10611" s="831">
        <v>64107005.306999996</v>
      </c>
    </row>
    <row r="10612" spans="2:37">
      <c r="B10612" s="834" t="str">
        <f t="shared" si="411"/>
        <v>|||</v>
      </c>
      <c r="H10612" s="835">
        <f t="shared" si="412"/>
        <v>31</v>
      </c>
      <c r="AF10612" s="831" t="s">
        <v>11271</v>
      </c>
      <c r="AG10612" s="831" t="s">
        <v>2674</v>
      </c>
      <c r="AH10612" s="831" t="s">
        <v>6600</v>
      </c>
      <c r="AI10612" s="831">
        <v>0</v>
      </c>
      <c r="AJ10612" s="835">
        <v>41639</v>
      </c>
      <c r="AK10612" s="831">
        <v>27176541.956</v>
      </c>
    </row>
    <row r="10613" spans="2:37">
      <c r="B10613" s="834" t="str">
        <f t="shared" si="411"/>
        <v>|||</v>
      </c>
      <c r="H10613" s="835">
        <f t="shared" si="412"/>
        <v>31</v>
      </c>
      <c r="AF10613" s="831" t="s">
        <v>11272</v>
      </c>
      <c r="AG10613" s="831" t="s">
        <v>2674</v>
      </c>
      <c r="AH10613" s="831" t="s">
        <v>6602</v>
      </c>
      <c r="AI10613" s="831">
        <v>0</v>
      </c>
      <c r="AJ10613" s="835">
        <v>41639</v>
      </c>
      <c r="AK10613" s="831">
        <v>27176541.956</v>
      </c>
    </row>
    <row r="10614" spans="2:37">
      <c r="B10614" s="834" t="str">
        <f t="shared" si="411"/>
        <v>|||</v>
      </c>
      <c r="H10614" s="835">
        <f t="shared" si="412"/>
        <v>31</v>
      </c>
      <c r="AF10614" s="831" t="s">
        <v>11273</v>
      </c>
      <c r="AG10614" s="831" t="s">
        <v>2674</v>
      </c>
      <c r="AH10614" s="831" t="s">
        <v>650</v>
      </c>
      <c r="AI10614" s="831">
        <v>0</v>
      </c>
      <c r="AJ10614" s="835">
        <v>41639</v>
      </c>
      <c r="AK10614" s="831">
        <v>204736223.04223099</v>
      </c>
    </row>
    <row r="10615" spans="2:37">
      <c r="B10615" s="834" t="str">
        <f t="shared" si="411"/>
        <v>|||</v>
      </c>
      <c r="H10615" s="835">
        <f t="shared" si="412"/>
        <v>31</v>
      </c>
      <c r="AF10615" s="831" t="s">
        <v>11274</v>
      </c>
      <c r="AG10615" s="831" t="s">
        <v>2674</v>
      </c>
      <c r="AH10615" s="831" t="s">
        <v>655</v>
      </c>
      <c r="AI10615" s="831">
        <v>0</v>
      </c>
      <c r="AJ10615" s="835">
        <v>41639</v>
      </c>
      <c r="AK10615" s="831">
        <v>1605185.0135999999</v>
      </c>
    </row>
    <row r="10616" spans="2:37">
      <c r="B10616" s="834" t="str">
        <f t="shared" si="411"/>
        <v>|||</v>
      </c>
      <c r="H10616" s="835">
        <f t="shared" si="412"/>
        <v>31</v>
      </c>
      <c r="AF10616" s="831" t="s">
        <v>11275</v>
      </c>
      <c r="AG10616" s="831" t="s">
        <v>2674</v>
      </c>
      <c r="AH10616" s="831" t="s">
        <v>546</v>
      </c>
      <c r="AI10616" s="831">
        <v>0</v>
      </c>
      <c r="AJ10616" s="835">
        <v>41670</v>
      </c>
      <c r="AK10616" s="831">
        <v>635618516</v>
      </c>
    </row>
    <row r="10617" spans="2:37">
      <c r="B10617" s="834" t="str">
        <f t="shared" si="411"/>
        <v>|||</v>
      </c>
      <c r="H10617" s="835">
        <f t="shared" si="412"/>
        <v>31</v>
      </c>
      <c r="AF10617" s="831" t="s">
        <v>11276</v>
      </c>
      <c r="AG10617" s="831" t="s">
        <v>2674</v>
      </c>
      <c r="AH10617" s="831" t="s">
        <v>370</v>
      </c>
      <c r="AI10617" s="831">
        <v>0</v>
      </c>
      <c r="AJ10617" s="835">
        <v>41670</v>
      </c>
      <c r="AK10617" s="831">
        <v>777719977</v>
      </c>
    </row>
    <row r="10618" spans="2:37">
      <c r="B10618" s="834" t="str">
        <f t="shared" si="411"/>
        <v>|||</v>
      </c>
      <c r="H10618" s="835">
        <f t="shared" si="412"/>
        <v>31</v>
      </c>
      <c r="AF10618" s="831" t="s">
        <v>11277</v>
      </c>
      <c r="AG10618" s="831" t="s">
        <v>2674</v>
      </c>
      <c r="AH10618" s="831" t="s">
        <v>126</v>
      </c>
      <c r="AI10618" s="831">
        <v>0</v>
      </c>
      <c r="AJ10618" s="835">
        <v>41670</v>
      </c>
      <c r="AK10618" s="831">
        <v>117105496</v>
      </c>
    </row>
    <row r="10619" spans="2:37">
      <c r="B10619" s="834" t="str">
        <f t="shared" si="411"/>
        <v>|||</v>
      </c>
      <c r="H10619" s="835">
        <f t="shared" si="412"/>
        <v>31</v>
      </c>
      <c r="AF10619" s="831" t="s">
        <v>11278</v>
      </c>
      <c r="AG10619" s="831" t="s">
        <v>2674</v>
      </c>
      <c r="AH10619" s="831" t="s">
        <v>268</v>
      </c>
      <c r="AI10619" s="831">
        <v>0</v>
      </c>
      <c r="AJ10619" s="835">
        <v>41670</v>
      </c>
      <c r="AK10619" s="831">
        <v>3298821</v>
      </c>
    </row>
    <row r="10620" spans="2:37">
      <c r="B10620" s="834" t="str">
        <f t="shared" si="411"/>
        <v>|||</v>
      </c>
      <c r="H10620" s="835">
        <f t="shared" si="412"/>
        <v>31</v>
      </c>
      <c r="AF10620" s="831" t="s">
        <v>11279</v>
      </c>
      <c r="AG10620" s="831" t="s">
        <v>2674</v>
      </c>
      <c r="AH10620" s="831" t="s">
        <v>547</v>
      </c>
      <c r="AI10620" s="831">
        <v>0</v>
      </c>
      <c r="AJ10620" s="835">
        <v>41670</v>
      </c>
      <c r="AK10620" s="831">
        <v>777719977</v>
      </c>
    </row>
    <row r="10621" spans="2:37">
      <c r="B10621" s="834" t="str">
        <f t="shared" si="411"/>
        <v>|||</v>
      </c>
      <c r="H10621" s="835">
        <f t="shared" si="412"/>
        <v>31</v>
      </c>
      <c r="AF10621" s="831" t="s">
        <v>11280</v>
      </c>
      <c r="AG10621" s="831" t="s">
        <v>2674</v>
      </c>
      <c r="AH10621" s="831" t="s">
        <v>548</v>
      </c>
      <c r="AI10621" s="831">
        <v>0</v>
      </c>
      <c r="AJ10621" s="835">
        <v>41670</v>
      </c>
      <c r="AK10621" s="831">
        <v>117105496</v>
      </c>
    </row>
    <row r="10622" spans="2:37">
      <c r="B10622" s="834" t="str">
        <f t="shared" si="411"/>
        <v>|||</v>
      </c>
      <c r="H10622" s="835">
        <f t="shared" si="412"/>
        <v>31</v>
      </c>
      <c r="AF10622" s="831" t="s">
        <v>11281</v>
      </c>
      <c r="AG10622" s="831" t="s">
        <v>2674</v>
      </c>
      <c r="AH10622" s="831" t="s">
        <v>549</v>
      </c>
      <c r="AI10622" s="831">
        <v>0</v>
      </c>
      <c r="AJ10622" s="835">
        <v>41670</v>
      </c>
      <c r="AK10622" s="831">
        <v>421051783</v>
      </c>
    </row>
    <row r="10623" spans="2:37">
      <c r="B10623" s="834" t="str">
        <f t="shared" si="411"/>
        <v>|||</v>
      </c>
      <c r="H10623" s="835">
        <f t="shared" si="412"/>
        <v>31</v>
      </c>
      <c r="AF10623" s="831" t="s">
        <v>11282</v>
      </c>
      <c r="AG10623" s="831" t="s">
        <v>2674</v>
      </c>
      <c r="AH10623" s="831" t="s">
        <v>192</v>
      </c>
      <c r="AI10623" s="831">
        <v>0</v>
      </c>
      <c r="AJ10623" s="835">
        <v>41670</v>
      </c>
      <c r="AK10623" s="831">
        <v>-14010990</v>
      </c>
    </row>
    <row r="10624" spans="2:37">
      <c r="B10624" s="834" t="str">
        <f t="shared" si="411"/>
        <v>|||</v>
      </c>
      <c r="H10624" s="835">
        <f t="shared" si="412"/>
        <v>31</v>
      </c>
      <c r="AF10624" s="831" t="s">
        <v>11283</v>
      </c>
      <c r="AG10624" s="831" t="s">
        <v>2674</v>
      </c>
      <c r="AH10624" s="831" t="s">
        <v>558</v>
      </c>
      <c r="AI10624" s="831">
        <v>0</v>
      </c>
      <c r="AJ10624" s="835">
        <v>41670</v>
      </c>
      <c r="AK10624" s="831">
        <v>660614481.35800004</v>
      </c>
    </row>
    <row r="10625" spans="2:37">
      <c r="B10625" s="834" t="str">
        <f t="shared" si="411"/>
        <v>|||</v>
      </c>
      <c r="H10625" s="835">
        <f t="shared" si="412"/>
        <v>31</v>
      </c>
      <c r="AF10625" s="831" t="s">
        <v>11284</v>
      </c>
      <c r="AG10625" s="831" t="s">
        <v>2674</v>
      </c>
      <c r="AH10625" s="831" t="s">
        <v>65</v>
      </c>
      <c r="AI10625" s="831">
        <v>0</v>
      </c>
      <c r="AJ10625" s="835">
        <v>41670</v>
      </c>
      <c r="AK10625" s="831">
        <v>13268788</v>
      </c>
    </row>
    <row r="10626" spans="2:37">
      <c r="B10626" s="834" t="str">
        <f t="shared" si="411"/>
        <v>|||</v>
      </c>
      <c r="H10626" s="835">
        <f t="shared" si="412"/>
        <v>31</v>
      </c>
      <c r="AF10626" s="831" t="s">
        <v>11285</v>
      </c>
      <c r="AG10626" s="831" t="s">
        <v>2674</v>
      </c>
      <c r="AH10626" s="831" t="s">
        <v>89</v>
      </c>
      <c r="AI10626" s="831">
        <v>0</v>
      </c>
      <c r="AJ10626" s="835">
        <v>41670</v>
      </c>
      <c r="AK10626" s="831">
        <v>149103</v>
      </c>
    </row>
    <row r="10627" spans="2:37">
      <c r="B10627" s="834" t="str">
        <f t="shared" si="411"/>
        <v>|||</v>
      </c>
      <c r="H10627" s="835">
        <f t="shared" si="412"/>
        <v>31</v>
      </c>
      <c r="AF10627" s="831" t="s">
        <v>11286</v>
      </c>
      <c r="AG10627" s="831" t="s">
        <v>2674</v>
      </c>
      <c r="AH10627" s="831" t="s">
        <v>557</v>
      </c>
      <c r="AI10627" s="831">
        <v>0</v>
      </c>
      <c r="AJ10627" s="835">
        <v>41670</v>
      </c>
      <c r="AK10627" s="831">
        <v>162799</v>
      </c>
    </row>
    <row r="10628" spans="2:37">
      <c r="B10628" s="834" t="str">
        <f t="shared" si="411"/>
        <v>|||</v>
      </c>
      <c r="H10628" s="835">
        <f t="shared" si="412"/>
        <v>31</v>
      </c>
      <c r="AF10628" s="831" t="s">
        <v>11287</v>
      </c>
      <c r="AG10628" s="831" t="s">
        <v>2674</v>
      </c>
      <c r="AH10628" s="831" t="s">
        <v>29</v>
      </c>
      <c r="AI10628" s="831">
        <v>0</v>
      </c>
      <c r="AJ10628" s="835">
        <v>41670</v>
      </c>
      <c r="AK10628" s="831">
        <v>1994542.716</v>
      </c>
    </row>
    <row r="10629" spans="2:37">
      <c r="B10629" s="834" t="str">
        <f t="shared" si="411"/>
        <v>|||</v>
      </c>
      <c r="H10629" s="835">
        <f t="shared" si="412"/>
        <v>31</v>
      </c>
      <c r="AF10629" s="831" t="s">
        <v>11288</v>
      </c>
      <c r="AG10629" s="831" t="s">
        <v>2674</v>
      </c>
      <c r="AH10629" s="831" t="s">
        <v>2688</v>
      </c>
      <c r="AI10629" s="831">
        <v>0</v>
      </c>
      <c r="AJ10629" s="835">
        <v>41670</v>
      </c>
      <c r="AK10629" s="831">
        <v>3487768.05</v>
      </c>
    </row>
    <row r="10630" spans="2:37">
      <c r="B10630" s="834" t="str">
        <f t="shared" si="411"/>
        <v>|||</v>
      </c>
      <c r="H10630" s="835">
        <f t="shared" si="412"/>
        <v>31</v>
      </c>
      <c r="AF10630" s="831" t="s">
        <v>11289</v>
      </c>
      <c r="AG10630" s="831" t="s">
        <v>2674</v>
      </c>
      <c r="AH10630" s="831" t="s">
        <v>556</v>
      </c>
      <c r="AI10630" s="831">
        <v>0</v>
      </c>
      <c r="AJ10630" s="835">
        <v>41670</v>
      </c>
      <c r="AK10630" s="831">
        <v>1644732</v>
      </c>
    </row>
    <row r="10631" spans="2:37">
      <c r="B10631" s="834" t="str">
        <f t="shared" si="411"/>
        <v>|||</v>
      </c>
      <c r="H10631" s="835">
        <f t="shared" si="412"/>
        <v>31</v>
      </c>
      <c r="AF10631" s="831" t="s">
        <v>11290</v>
      </c>
      <c r="AG10631" s="831" t="s">
        <v>2674</v>
      </c>
      <c r="AH10631" s="831" t="s">
        <v>555</v>
      </c>
      <c r="AI10631" s="831">
        <v>0</v>
      </c>
      <c r="AJ10631" s="835">
        <v>41670</v>
      </c>
      <c r="AK10631" s="831">
        <v>421635600</v>
      </c>
    </row>
    <row r="10632" spans="2:37">
      <c r="B10632" s="834" t="str">
        <f t="shared" si="411"/>
        <v>|||</v>
      </c>
      <c r="H10632" s="835">
        <f t="shared" si="412"/>
        <v>31</v>
      </c>
      <c r="AF10632" s="831" t="s">
        <v>11291</v>
      </c>
      <c r="AG10632" s="831" t="s">
        <v>2674</v>
      </c>
      <c r="AH10632" s="831" t="s">
        <v>554</v>
      </c>
      <c r="AI10632" s="831">
        <v>0</v>
      </c>
      <c r="AJ10632" s="835">
        <v>41670</v>
      </c>
      <c r="AK10632" s="831">
        <v>432162250</v>
      </c>
    </row>
    <row r="10633" spans="2:37">
      <c r="B10633" s="834" t="str">
        <f t="shared" si="411"/>
        <v>|||</v>
      </c>
      <c r="H10633" s="835">
        <f t="shared" si="412"/>
        <v>31</v>
      </c>
      <c r="AF10633" s="831" t="s">
        <v>11292</v>
      </c>
      <c r="AG10633" s="831" t="s">
        <v>2674</v>
      </c>
      <c r="AH10633" s="831" t="s">
        <v>553</v>
      </c>
      <c r="AI10633" s="831">
        <v>0</v>
      </c>
      <c r="AJ10633" s="835">
        <v>41670</v>
      </c>
      <c r="AK10633" s="831">
        <v>0</v>
      </c>
    </row>
    <row r="10634" spans="2:37">
      <c r="B10634" s="834" t="str">
        <f t="shared" si="411"/>
        <v>|||</v>
      </c>
      <c r="H10634" s="835">
        <f t="shared" si="412"/>
        <v>31</v>
      </c>
      <c r="AF10634" s="831" t="s">
        <v>11293</v>
      </c>
      <c r="AG10634" s="831" t="s">
        <v>2674</v>
      </c>
      <c r="AH10634" s="831" t="s">
        <v>552</v>
      </c>
      <c r="AI10634" s="831">
        <v>0</v>
      </c>
      <c r="AJ10634" s="835">
        <v>41670</v>
      </c>
      <c r="AK10634" s="831">
        <v>0</v>
      </c>
    </row>
    <row r="10635" spans="2:37">
      <c r="B10635" s="834" t="str">
        <f t="shared" si="411"/>
        <v>|||</v>
      </c>
      <c r="H10635" s="835">
        <f t="shared" si="412"/>
        <v>31</v>
      </c>
      <c r="AF10635" s="831" t="s">
        <v>11294</v>
      </c>
      <c r="AG10635" s="831" t="s">
        <v>2674</v>
      </c>
      <c r="AH10635" s="831" t="s">
        <v>551</v>
      </c>
      <c r="AI10635" s="831">
        <v>0</v>
      </c>
      <c r="AJ10635" s="835">
        <v>41670</v>
      </c>
      <c r="AK10635" s="831">
        <v>1853357.048</v>
      </c>
    </row>
    <row r="10636" spans="2:37">
      <c r="B10636" s="834" t="str">
        <f t="shared" si="411"/>
        <v>|||</v>
      </c>
      <c r="H10636" s="835">
        <f t="shared" si="412"/>
        <v>31</v>
      </c>
      <c r="AF10636" s="831" t="s">
        <v>11295</v>
      </c>
      <c r="AG10636" s="831" t="s">
        <v>2674</v>
      </c>
      <c r="AH10636" s="831" t="s">
        <v>550</v>
      </c>
      <c r="AI10636" s="831">
        <v>0</v>
      </c>
      <c r="AJ10636" s="835">
        <v>41670</v>
      </c>
      <c r="AK10636" s="831">
        <v>114089765.91</v>
      </c>
    </row>
    <row r="10637" spans="2:37">
      <c r="B10637" s="834" t="str">
        <f t="shared" si="411"/>
        <v>|||</v>
      </c>
      <c r="H10637" s="835">
        <f t="shared" si="412"/>
        <v>31</v>
      </c>
      <c r="AF10637" s="831" t="s">
        <v>11296</v>
      </c>
      <c r="AG10637" s="831" t="s">
        <v>2674</v>
      </c>
      <c r="AH10637" s="831" t="s">
        <v>562</v>
      </c>
      <c r="AI10637" s="831">
        <v>0</v>
      </c>
      <c r="AJ10637" s="835">
        <v>41670</v>
      </c>
      <c r="AK10637" s="831">
        <v>0.78364999999999996</v>
      </c>
    </row>
    <row r="10638" spans="2:37">
      <c r="B10638" s="834" t="str">
        <f t="shared" si="411"/>
        <v>|||</v>
      </c>
      <c r="H10638" s="835">
        <f t="shared" si="412"/>
        <v>31</v>
      </c>
      <c r="AF10638" s="831" t="s">
        <v>11297</v>
      </c>
      <c r="AG10638" s="831" t="s">
        <v>2674</v>
      </c>
      <c r="AH10638" s="831" t="s">
        <v>2698</v>
      </c>
      <c r="AI10638" s="831">
        <v>0</v>
      </c>
      <c r="AJ10638" s="835">
        <v>41670</v>
      </c>
      <c r="AK10638" s="831">
        <v>0.78334999999999999</v>
      </c>
    </row>
    <row r="10639" spans="2:37">
      <c r="B10639" s="834" t="str">
        <f t="shared" si="411"/>
        <v>|||</v>
      </c>
      <c r="H10639" s="835">
        <f t="shared" si="412"/>
        <v>31</v>
      </c>
      <c r="AF10639" s="831" t="s">
        <v>11298</v>
      </c>
      <c r="AG10639" s="831" t="s">
        <v>2674</v>
      </c>
      <c r="AH10639" s="831" t="s">
        <v>560</v>
      </c>
      <c r="AI10639" s="831">
        <v>0</v>
      </c>
      <c r="AJ10639" s="835">
        <v>41670</v>
      </c>
      <c r="AK10639" s="831">
        <v>0.78364999999999996</v>
      </c>
    </row>
    <row r="10640" spans="2:37">
      <c r="B10640" s="834" t="str">
        <f t="shared" si="411"/>
        <v>|||</v>
      </c>
      <c r="H10640" s="835">
        <f t="shared" si="412"/>
        <v>31</v>
      </c>
      <c r="AF10640" s="831" t="s">
        <v>11299</v>
      </c>
      <c r="AG10640" s="831" t="s">
        <v>2674</v>
      </c>
      <c r="AH10640" s="831" t="s">
        <v>559</v>
      </c>
      <c r="AI10640" s="831">
        <v>0</v>
      </c>
      <c r="AJ10640" s="835">
        <v>41670</v>
      </c>
      <c r="AK10640" s="831">
        <v>0.78391666666666604</v>
      </c>
    </row>
    <row r="10641" spans="2:37">
      <c r="B10641" s="834" t="str">
        <f t="shared" ref="B10641:B10704" si="413">C10641&amp;"|"&amp;D10641&amp;"|"&amp;E10641&amp;"|"&amp;F10641</f>
        <v>|||</v>
      </c>
      <c r="H10641" s="835">
        <f t="shared" ref="H10641:H10704" si="414">EOMONTH(L10641,0)</f>
        <v>31</v>
      </c>
      <c r="AF10641" s="831" t="s">
        <v>11300</v>
      </c>
      <c r="AG10641" s="831" t="s">
        <v>2674</v>
      </c>
      <c r="AH10641" s="831" t="s">
        <v>568</v>
      </c>
      <c r="AI10641" s="831">
        <v>0</v>
      </c>
      <c r="AJ10641" s="835">
        <v>41670</v>
      </c>
      <c r="AK10641" s="831">
        <v>530633259.22692299</v>
      </c>
    </row>
    <row r="10642" spans="2:37">
      <c r="B10642" s="834" t="str">
        <f t="shared" si="413"/>
        <v>|||</v>
      </c>
      <c r="H10642" s="835">
        <f t="shared" si="414"/>
        <v>31</v>
      </c>
      <c r="AF10642" s="831" t="s">
        <v>11301</v>
      </c>
      <c r="AG10642" s="831" t="s">
        <v>2674</v>
      </c>
      <c r="AH10642" s="831" t="s">
        <v>569</v>
      </c>
      <c r="AI10642" s="831">
        <v>0</v>
      </c>
      <c r="AJ10642" s="835">
        <v>41670</v>
      </c>
      <c r="AK10642" s="831">
        <v>648384048.74253798</v>
      </c>
    </row>
    <row r="10643" spans="2:37">
      <c r="B10643" s="834" t="str">
        <f t="shared" si="413"/>
        <v>|||</v>
      </c>
      <c r="H10643" s="835">
        <f t="shared" si="414"/>
        <v>31</v>
      </c>
      <c r="AF10643" s="831" t="s">
        <v>11302</v>
      </c>
      <c r="AG10643" s="831" t="s">
        <v>2674</v>
      </c>
      <c r="AH10643" s="831" t="s">
        <v>570</v>
      </c>
      <c r="AI10643" s="831">
        <v>0</v>
      </c>
      <c r="AJ10643" s="835">
        <v>41670</v>
      </c>
      <c r="AK10643" s="831">
        <v>109988497.52046201</v>
      </c>
    </row>
    <row r="10644" spans="2:37">
      <c r="B10644" s="834" t="str">
        <f t="shared" si="413"/>
        <v>|||</v>
      </c>
      <c r="H10644" s="835">
        <f t="shared" si="414"/>
        <v>31</v>
      </c>
      <c r="AF10644" s="831" t="s">
        <v>11303</v>
      </c>
      <c r="AG10644" s="831" t="s">
        <v>2674</v>
      </c>
      <c r="AH10644" s="831" t="s">
        <v>571</v>
      </c>
      <c r="AI10644" s="831">
        <v>0</v>
      </c>
      <c r="AJ10644" s="835">
        <v>41670</v>
      </c>
      <c r="AK10644" s="831">
        <v>308674440.74407703</v>
      </c>
    </row>
    <row r="10645" spans="2:37">
      <c r="B10645" s="834" t="str">
        <f t="shared" si="413"/>
        <v>|||</v>
      </c>
      <c r="H10645" s="835">
        <f t="shared" si="414"/>
        <v>31</v>
      </c>
      <c r="AF10645" s="831" t="s">
        <v>11304</v>
      </c>
      <c r="AG10645" s="831" t="s">
        <v>2674</v>
      </c>
      <c r="AH10645" s="831" t="s">
        <v>573</v>
      </c>
      <c r="AI10645" s="831">
        <v>0</v>
      </c>
      <c r="AJ10645" s="835">
        <v>41670</v>
      </c>
      <c r="AK10645" s="831">
        <v>783617473.28149998</v>
      </c>
    </row>
    <row r="10646" spans="2:37">
      <c r="B10646" s="834" t="str">
        <f t="shared" si="413"/>
        <v>|||</v>
      </c>
      <c r="H10646" s="835">
        <f t="shared" si="414"/>
        <v>31</v>
      </c>
      <c r="AF10646" s="831" t="s">
        <v>11305</v>
      </c>
      <c r="AG10646" s="831" t="s">
        <v>2674</v>
      </c>
      <c r="AH10646" s="831" t="s">
        <v>574</v>
      </c>
      <c r="AI10646" s="831">
        <v>0</v>
      </c>
      <c r="AJ10646" s="835">
        <v>41670</v>
      </c>
      <c r="AK10646" s="831">
        <v>631746388</v>
      </c>
    </row>
    <row r="10647" spans="2:37">
      <c r="B10647" s="834" t="str">
        <f t="shared" si="413"/>
        <v>|||</v>
      </c>
      <c r="H10647" s="835">
        <f t="shared" si="414"/>
        <v>31</v>
      </c>
      <c r="AF10647" s="831" t="s">
        <v>11306</v>
      </c>
      <c r="AG10647" s="831" t="s">
        <v>2674</v>
      </c>
      <c r="AH10647" s="831" t="s">
        <v>575</v>
      </c>
      <c r="AI10647" s="831">
        <v>0</v>
      </c>
      <c r="AJ10647" s="835">
        <v>41670</v>
      </c>
      <c r="AK10647" s="831">
        <v>115597630.955</v>
      </c>
    </row>
    <row r="10648" spans="2:37">
      <c r="B10648" s="834" t="str">
        <f t="shared" si="413"/>
        <v>|||</v>
      </c>
      <c r="H10648" s="835">
        <f t="shared" si="414"/>
        <v>31</v>
      </c>
      <c r="AF10648" s="831" t="s">
        <v>11307</v>
      </c>
      <c r="AG10648" s="831" t="s">
        <v>2674</v>
      </c>
      <c r="AH10648" s="831" t="s">
        <v>576</v>
      </c>
      <c r="AI10648" s="831">
        <v>0</v>
      </c>
      <c r="AJ10648" s="835">
        <v>41670</v>
      </c>
      <c r="AK10648" s="831">
        <v>385049519.80549997</v>
      </c>
    </row>
    <row r="10649" spans="2:37">
      <c r="B10649" s="834" t="str">
        <f t="shared" si="413"/>
        <v>|||</v>
      </c>
      <c r="H10649" s="835">
        <f t="shared" si="414"/>
        <v>31</v>
      </c>
      <c r="AF10649" s="831" t="s">
        <v>11308</v>
      </c>
      <c r="AG10649" s="831" t="s">
        <v>2674</v>
      </c>
      <c r="AH10649" s="831" t="s">
        <v>572</v>
      </c>
      <c r="AI10649" s="831">
        <v>0</v>
      </c>
      <c r="AJ10649" s="835">
        <v>41670</v>
      </c>
      <c r="AK10649" s="831">
        <v>28355401.956</v>
      </c>
    </row>
    <row r="10650" spans="2:37">
      <c r="B10650" s="834" t="str">
        <f t="shared" si="413"/>
        <v>|||</v>
      </c>
      <c r="H10650" s="835">
        <f t="shared" si="414"/>
        <v>31</v>
      </c>
      <c r="AF10650" s="831" t="s">
        <v>11309</v>
      </c>
      <c r="AG10650" s="831" t="s">
        <v>2674</v>
      </c>
      <c r="AH10650" s="831" t="s">
        <v>577</v>
      </c>
      <c r="AI10650" s="831">
        <v>0</v>
      </c>
      <c r="AJ10650" s="835">
        <v>41670</v>
      </c>
      <c r="AK10650" s="831">
        <v>136649293.76300001</v>
      </c>
    </row>
    <row r="10651" spans="2:37">
      <c r="B10651" s="834" t="str">
        <f t="shared" si="413"/>
        <v>|||</v>
      </c>
      <c r="H10651" s="835">
        <f t="shared" si="414"/>
        <v>31</v>
      </c>
      <c r="AF10651" s="831" t="s">
        <v>11310</v>
      </c>
      <c r="AG10651" s="831" t="s">
        <v>2674</v>
      </c>
      <c r="AH10651" s="831" t="s">
        <v>3042</v>
      </c>
      <c r="AI10651" s="831">
        <v>0</v>
      </c>
      <c r="AJ10651" s="835">
        <v>41670</v>
      </c>
      <c r="AK10651" s="831">
        <v>-35903077.527000003</v>
      </c>
    </row>
    <row r="10652" spans="2:37">
      <c r="B10652" s="834" t="str">
        <f t="shared" si="413"/>
        <v>|||</v>
      </c>
      <c r="H10652" s="835">
        <f t="shared" si="414"/>
        <v>31</v>
      </c>
      <c r="AF10652" s="831" t="s">
        <v>11311</v>
      </c>
      <c r="AG10652" s="831" t="s">
        <v>2674</v>
      </c>
      <c r="AH10652" s="831" t="s">
        <v>3044</v>
      </c>
      <c r="AI10652" s="831">
        <v>0</v>
      </c>
      <c r="AJ10652" s="835">
        <v>41670</v>
      </c>
      <c r="AK10652" s="831">
        <v>-4357745.8899999997</v>
      </c>
    </row>
    <row r="10653" spans="2:37">
      <c r="B10653" s="834" t="str">
        <f t="shared" si="413"/>
        <v>|||</v>
      </c>
      <c r="H10653" s="835">
        <f t="shared" si="414"/>
        <v>31</v>
      </c>
      <c r="AF10653" s="831" t="s">
        <v>11312</v>
      </c>
      <c r="AG10653" s="831" t="s">
        <v>2674</v>
      </c>
      <c r="AH10653" s="831" t="s">
        <v>580</v>
      </c>
      <c r="AI10653" s="831">
        <v>0</v>
      </c>
      <c r="AJ10653" s="835">
        <v>41670</v>
      </c>
      <c r="AK10653" s="831">
        <v>-64979972.306999996</v>
      </c>
    </row>
    <row r="10654" spans="2:37">
      <c r="B10654" s="834" t="str">
        <f t="shared" si="413"/>
        <v>|||</v>
      </c>
      <c r="H10654" s="835">
        <f t="shared" si="414"/>
        <v>31</v>
      </c>
      <c r="AF10654" s="831" t="s">
        <v>11313</v>
      </c>
      <c r="AG10654" s="831" t="s">
        <v>2674</v>
      </c>
      <c r="AH10654" s="831" t="s">
        <v>581</v>
      </c>
      <c r="AI10654" s="831">
        <v>0</v>
      </c>
      <c r="AJ10654" s="835">
        <v>41670</v>
      </c>
      <c r="AK10654" s="831">
        <v>5221448.8940000003</v>
      </c>
    </row>
    <row r="10655" spans="2:37">
      <c r="B10655" s="834" t="str">
        <f t="shared" si="413"/>
        <v>|||</v>
      </c>
      <c r="H10655" s="835">
        <f t="shared" si="414"/>
        <v>31</v>
      </c>
      <c r="AF10655" s="831" t="s">
        <v>11314</v>
      </c>
      <c r="AG10655" s="831" t="s">
        <v>2674</v>
      </c>
      <c r="AH10655" s="831" t="s">
        <v>105</v>
      </c>
      <c r="AI10655" s="831">
        <v>0</v>
      </c>
      <c r="AJ10655" s="835">
        <v>41670</v>
      </c>
      <c r="AK10655" s="831">
        <v>378525192</v>
      </c>
    </row>
    <row r="10656" spans="2:37">
      <c r="B10656" s="834" t="str">
        <f t="shared" si="413"/>
        <v>|||</v>
      </c>
      <c r="H10656" s="835">
        <f t="shared" si="414"/>
        <v>31</v>
      </c>
      <c r="AF10656" s="831" t="s">
        <v>11315</v>
      </c>
      <c r="AG10656" s="831" t="s">
        <v>2674</v>
      </c>
      <c r="AH10656" s="831" t="s">
        <v>3049</v>
      </c>
      <c r="AI10656" s="831">
        <v>0</v>
      </c>
      <c r="AJ10656" s="835">
        <v>41670</v>
      </c>
      <c r="AK10656" s="831">
        <v>636021249.54999995</v>
      </c>
    </row>
    <row r="10657" spans="2:37">
      <c r="B10657" s="834" t="str">
        <f t="shared" si="413"/>
        <v>|||</v>
      </c>
      <c r="H10657" s="835">
        <f t="shared" si="414"/>
        <v>31</v>
      </c>
      <c r="AF10657" s="831" t="s">
        <v>11316</v>
      </c>
      <c r="AG10657" s="831" t="s">
        <v>2674</v>
      </c>
      <c r="AH10657" s="831" t="s">
        <v>103</v>
      </c>
      <c r="AI10657" s="831">
        <v>0</v>
      </c>
      <c r="AJ10657" s="835">
        <v>41670</v>
      </c>
      <c r="AK10657" s="831">
        <v>257496057.55000001</v>
      </c>
    </row>
    <row r="10658" spans="2:37">
      <c r="B10658" s="834" t="str">
        <f t="shared" si="413"/>
        <v>|||</v>
      </c>
      <c r="H10658" s="835">
        <f t="shared" si="414"/>
        <v>31</v>
      </c>
      <c r="AF10658" s="831" t="s">
        <v>11317</v>
      </c>
      <c r="AG10658" s="831" t="s">
        <v>2674</v>
      </c>
      <c r="AH10658" s="831" t="s">
        <v>182</v>
      </c>
      <c r="AI10658" s="831">
        <v>0</v>
      </c>
      <c r="AJ10658" s="835">
        <v>41670</v>
      </c>
      <c r="AK10658" s="831">
        <v>67679280</v>
      </c>
    </row>
    <row r="10659" spans="2:37">
      <c r="B10659" s="834" t="str">
        <f t="shared" si="413"/>
        <v>|||</v>
      </c>
      <c r="H10659" s="835">
        <f t="shared" si="414"/>
        <v>31</v>
      </c>
      <c r="AF10659" s="831" t="s">
        <v>11318</v>
      </c>
      <c r="AG10659" s="831" t="s">
        <v>2674</v>
      </c>
      <c r="AH10659" s="831" t="s">
        <v>6600</v>
      </c>
      <c r="AI10659" s="831">
        <v>0</v>
      </c>
      <c r="AJ10659" s="835">
        <v>41670</v>
      </c>
      <c r="AK10659" s="831">
        <v>28355401.956</v>
      </c>
    </row>
    <row r="10660" spans="2:37">
      <c r="B10660" s="834" t="str">
        <f t="shared" si="413"/>
        <v>|||</v>
      </c>
      <c r="H10660" s="835">
        <f t="shared" si="414"/>
        <v>31</v>
      </c>
      <c r="AF10660" s="831" t="s">
        <v>11319</v>
      </c>
      <c r="AG10660" s="831" t="s">
        <v>2674</v>
      </c>
      <c r="AH10660" s="831" t="s">
        <v>6602</v>
      </c>
      <c r="AI10660" s="831">
        <v>0</v>
      </c>
      <c r="AJ10660" s="835">
        <v>41670</v>
      </c>
      <c r="AK10660" s="831">
        <v>3298821</v>
      </c>
    </row>
    <row r="10661" spans="2:37">
      <c r="B10661" s="834" t="str">
        <f t="shared" si="413"/>
        <v>|||</v>
      </c>
      <c r="H10661" s="835">
        <f t="shared" si="414"/>
        <v>31</v>
      </c>
      <c r="AF10661" s="831" t="s">
        <v>11320</v>
      </c>
      <c r="AG10661" s="831" t="s">
        <v>2674</v>
      </c>
      <c r="AH10661" s="831" t="s">
        <v>650</v>
      </c>
      <c r="AI10661" s="831">
        <v>0</v>
      </c>
      <c r="AJ10661" s="835">
        <v>41670</v>
      </c>
      <c r="AK10661" s="831">
        <v>211999986.623</v>
      </c>
    </row>
    <row r="10662" spans="2:37">
      <c r="B10662" s="834" t="str">
        <f t="shared" si="413"/>
        <v>|||</v>
      </c>
      <c r="H10662" s="835">
        <f t="shared" si="414"/>
        <v>31</v>
      </c>
      <c r="AF10662" s="831" t="s">
        <v>11321</v>
      </c>
      <c r="AG10662" s="831" t="s">
        <v>2674</v>
      </c>
      <c r="AH10662" s="831" t="s">
        <v>655</v>
      </c>
      <c r="AI10662" s="831">
        <v>0</v>
      </c>
      <c r="AJ10662" s="835">
        <v>41670</v>
      </c>
      <c r="AK10662" s="831">
        <v>1732566.0730000001</v>
      </c>
    </row>
    <row r="10663" spans="2:37">
      <c r="B10663" s="834" t="str">
        <f t="shared" si="413"/>
        <v>|||</v>
      </c>
      <c r="H10663" s="835">
        <f t="shared" si="414"/>
        <v>31</v>
      </c>
      <c r="AF10663" s="831" t="s">
        <v>11322</v>
      </c>
      <c r="AG10663" s="831" t="s">
        <v>2674</v>
      </c>
      <c r="AH10663" s="831" t="s">
        <v>546</v>
      </c>
      <c r="AI10663" s="831">
        <v>0</v>
      </c>
      <c r="AJ10663" s="835">
        <v>41698</v>
      </c>
      <c r="AK10663" s="831">
        <v>652795035</v>
      </c>
    </row>
    <row r="10664" spans="2:37">
      <c r="B10664" s="834" t="str">
        <f t="shared" si="413"/>
        <v>|||</v>
      </c>
      <c r="H10664" s="835">
        <f t="shared" si="414"/>
        <v>31</v>
      </c>
      <c r="AF10664" s="831" t="s">
        <v>11323</v>
      </c>
      <c r="AG10664" s="831" t="s">
        <v>2674</v>
      </c>
      <c r="AH10664" s="831" t="s">
        <v>370</v>
      </c>
      <c r="AI10664" s="831">
        <v>0</v>
      </c>
      <c r="AJ10664" s="835">
        <v>41698</v>
      </c>
      <c r="AK10664" s="831">
        <v>794421636</v>
      </c>
    </row>
    <row r="10665" spans="2:37">
      <c r="B10665" s="834" t="str">
        <f t="shared" si="413"/>
        <v>|||</v>
      </c>
      <c r="H10665" s="835">
        <f t="shared" si="414"/>
        <v>31</v>
      </c>
      <c r="AF10665" s="831" t="s">
        <v>11324</v>
      </c>
      <c r="AG10665" s="831" t="s">
        <v>2674</v>
      </c>
      <c r="AH10665" s="831" t="s">
        <v>126</v>
      </c>
      <c r="AI10665" s="831">
        <v>0</v>
      </c>
      <c r="AJ10665" s="835">
        <v>41698</v>
      </c>
      <c r="AK10665" s="831">
        <v>120615628</v>
      </c>
    </row>
    <row r="10666" spans="2:37">
      <c r="B10666" s="834" t="str">
        <f t="shared" si="413"/>
        <v>|||</v>
      </c>
      <c r="H10666" s="835">
        <f t="shared" si="414"/>
        <v>31</v>
      </c>
      <c r="AF10666" s="831" t="s">
        <v>11325</v>
      </c>
      <c r="AG10666" s="831" t="s">
        <v>2674</v>
      </c>
      <c r="AH10666" s="831" t="s">
        <v>268</v>
      </c>
      <c r="AI10666" s="831">
        <v>0</v>
      </c>
      <c r="AJ10666" s="835">
        <v>41698</v>
      </c>
      <c r="AK10666" s="831">
        <v>7870295</v>
      </c>
    </row>
    <row r="10667" spans="2:37">
      <c r="B10667" s="834" t="str">
        <f t="shared" si="413"/>
        <v>|||</v>
      </c>
      <c r="H10667" s="835">
        <f t="shared" si="414"/>
        <v>31</v>
      </c>
      <c r="AF10667" s="831" t="s">
        <v>11326</v>
      </c>
      <c r="AG10667" s="831" t="s">
        <v>2674</v>
      </c>
      <c r="AH10667" s="831" t="s">
        <v>547</v>
      </c>
      <c r="AI10667" s="831">
        <v>0</v>
      </c>
      <c r="AJ10667" s="835">
        <v>41698</v>
      </c>
      <c r="AK10667" s="831">
        <v>777719977</v>
      </c>
    </row>
    <row r="10668" spans="2:37">
      <c r="B10668" s="834" t="str">
        <f t="shared" si="413"/>
        <v>|||</v>
      </c>
      <c r="H10668" s="835">
        <f t="shared" si="414"/>
        <v>31</v>
      </c>
      <c r="AF10668" s="831" t="s">
        <v>11327</v>
      </c>
      <c r="AG10668" s="831" t="s">
        <v>2674</v>
      </c>
      <c r="AH10668" s="831" t="s">
        <v>548</v>
      </c>
      <c r="AI10668" s="831">
        <v>0</v>
      </c>
      <c r="AJ10668" s="835">
        <v>41698</v>
      </c>
      <c r="AK10668" s="831">
        <v>117105496</v>
      </c>
    </row>
    <row r="10669" spans="2:37">
      <c r="B10669" s="834" t="str">
        <f t="shared" si="413"/>
        <v>|||</v>
      </c>
      <c r="H10669" s="835">
        <f t="shared" si="414"/>
        <v>31</v>
      </c>
      <c r="AF10669" s="831" t="s">
        <v>11328</v>
      </c>
      <c r="AG10669" s="831" t="s">
        <v>2674</v>
      </c>
      <c r="AH10669" s="831" t="s">
        <v>549</v>
      </c>
      <c r="AI10669" s="831">
        <v>0</v>
      </c>
      <c r="AJ10669" s="835">
        <v>41698</v>
      </c>
      <c r="AK10669" s="831">
        <v>436810603</v>
      </c>
    </row>
    <row r="10670" spans="2:37">
      <c r="B10670" s="834" t="str">
        <f t="shared" si="413"/>
        <v>|||</v>
      </c>
      <c r="H10670" s="835">
        <f t="shared" si="414"/>
        <v>31</v>
      </c>
      <c r="AF10670" s="831" t="s">
        <v>11329</v>
      </c>
      <c r="AG10670" s="831" t="s">
        <v>2674</v>
      </c>
      <c r="AH10670" s="831" t="s">
        <v>192</v>
      </c>
      <c r="AI10670" s="831">
        <v>0</v>
      </c>
      <c r="AJ10670" s="835">
        <v>41698</v>
      </c>
      <c r="AK10670" s="831">
        <v>-13506118</v>
      </c>
    </row>
    <row r="10671" spans="2:37">
      <c r="B10671" s="834" t="str">
        <f t="shared" si="413"/>
        <v>|||</v>
      </c>
      <c r="H10671" s="835">
        <f t="shared" si="414"/>
        <v>31</v>
      </c>
      <c r="AF10671" s="831" t="s">
        <v>11330</v>
      </c>
      <c r="AG10671" s="831" t="s">
        <v>2674</v>
      </c>
      <c r="AH10671" s="831" t="s">
        <v>558</v>
      </c>
      <c r="AI10671" s="831">
        <v>0</v>
      </c>
      <c r="AJ10671" s="835">
        <v>41698</v>
      </c>
      <c r="AK10671" s="831">
        <v>673806008.21000004</v>
      </c>
    </row>
    <row r="10672" spans="2:37">
      <c r="B10672" s="834" t="str">
        <f t="shared" si="413"/>
        <v>|||</v>
      </c>
      <c r="H10672" s="835">
        <f t="shared" si="414"/>
        <v>31</v>
      </c>
      <c r="AF10672" s="831" t="s">
        <v>11331</v>
      </c>
      <c r="AG10672" s="831" t="s">
        <v>2674</v>
      </c>
      <c r="AH10672" s="831" t="s">
        <v>65</v>
      </c>
      <c r="AI10672" s="831">
        <v>0</v>
      </c>
      <c r="AJ10672" s="835">
        <v>41698</v>
      </c>
      <c r="AK10672" s="831">
        <v>27696081</v>
      </c>
    </row>
    <row r="10673" spans="2:37">
      <c r="B10673" s="834" t="str">
        <f t="shared" si="413"/>
        <v>|||</v>
      </c>
      <c r="H10673" s="835">
        <f t="shared" si="414"/>
        <v>31</v>
      </c>
      <c r="AF10673" s="831" t="s">
        <v>11332</v>
      </c>
      <c r="AG10673" s="831" t="s">
        <v>2674</v>
      </c>
      <c r="AH10673" s="831" t="s">
        <v>89</v>
      </c>
      <c r="AI10673" s="831">
        <v>0</v>
      </c>
      <c r="AJ10673" s="835">
        <v>41698</v>
      </c>
      <c r="AK10673" s="831">
        <v>150328</v>
      </c>
    </row>
    <row r="10674" spans="2:37">
      <c r="B10674" s="834" t="str">
        <f t="shared" si="413"/>
        <v>|||</v>
      </c>
      <c r="H10674" s="835">
        <f t="shared" si="414"/>
        <v>31</v>
      </c>
      <c r="AF10674" s="831" t="s">
        <v>11333</v>
      </c>
      <c r="AG10674" s="831" t="s">
        <v>2674</v>
      </c>
      <c r="AH10674" s="831" t="s">
        <v>557</v>
      </c>
      <c r="AI10674" s="831">
        <v>0</v>
      </c>
      <c r="AJ10674" s="835">
        <v>41698</v>
      </c>
      <c r="AK10674" s="831">
        <v>165052</v>
      </c>
    </row>
    <row r="10675" spans="2:37">
      <c r="B10675" s="834" t="str">
        <f t="shared" si="413"/>
        <v>|||</v>
      </c>
      <c r="H10675" s="835">
        <f t="shared" si="414"/>
        <v>31</v>
      </c>
      <c r="AF10675" s="831" t="s">
        <v>11334</v>
      </c>
      <c r="AG10675" s="831" t="s">
        <v>2674</v>
      </c>
      <c r="AH10675" s="831" t="s">
        <v>29</v>
      </c>
      <c r="AI10675" s="831">
        <v>0</v>
      </c>
      <c r="AJ10675" s="835">
        <v>41698</v>
      </c>
      <c r="AK10675" s="831">
        <v>2075568.541</v>
      </c>
    </row>
    <row r="10676" spans="2:37">
      <c r="B10676" s="834" t="str">
        <f t="shared" si="413"/>
        <v>|||</v>
      </c>
      <c r="H10676" s="835">
        <f t="shared" si="414"/>
        <v>31</v>
      </c>
      <c r="AF10676" s="831" t="s">
        <v>11335</v>
      </c>
      <c r="AG10676" s="831" t="s">
        <v>2674</v>
      </c>
      <c r="AH10676" s="831" t="s">
        <v>2688</v>
      </c>
      <c r="AI10676" s="831">
        <v>0</v>
      </c>
      <c r="AJ10676" s="835">
        <v>41698</v>
      </c>
      <c r="AK10676" s="831">
        <v>4740340.3600000003</v>
      </c>
    </row>
    <row r="10677" spans="2:37">
      <c r="B10677" s="834" t="str">
        <f t="shared" si="413"/>
        <v>|||</v>
      </c>
      <c r="H10677" s="835">
        <f t="shared" si="414"/>
        <v>31</v>
      </c>
      <c r="AF10677" s="831" t="s">
        <v>11336</v>
      </c>
      <c r="AG10677" s="831" t="s">
        <v>2674</v>
      </c>
      <c r="AH10677" s="831" t="s">
        <v>556</v>
      </c>
      <c r="AI10677" s="831">
        <v>0</v>
      </c>
      <c r="AJ10677" s="835">
        <v>41698</v>
      </c>
      <c r="AK10677" s="831">
        <v>1644732</v>
      </c>
    </row>
    <row r="10678" spans="2:37">
      <c r="B10678" s="834" t="str">
        <f t="shared" si="413"/>
        <v>|||</v>
      </c>
      <c r="H10678" s="835">
        <f t="shared" si="414"/>
        <v>31</v>
      </c>
      <c r="AF10678" s="831" t="s">
        <v>11337</v>
      </c>
      <c r="AG10678" s="831" t="s">
        <v>2674</v>
      </c>
      <c r="AH10678" s="831" t="s">
        <v>555</v>
      </c>
      <c r="AI10678" s="831">
        <v>0</v>
      </c>
      <c r="AJ10678" s="835">
        <v>41698</v>
      </c>
      <c r="AK10678" s="831">
        <v>437465824</v>
      </c>
    </row>
    <row r="10679" spans="2:37">
      <c r="B10679" s="834" t="str">
        <f t="shared" si="413"/>
        <v>|||</v>
      </c>
      <c r="H10679" s="835">
        <f t="shared" si="414"/>
        <v>31</v>
      </c>
      <c r="AF10679" s="831" t="s">
        <v>11338</v>
      </c>
      <c r="AG10679" s="831" t="s">
        <v>2674</v>
      </c>
      <c r="AH10679" s="831" t="s">
        <v>554</v>
      </c>
      <c r="AI10679" s="831">
        <v>0</v>
      </c>
      <c r="AJ10679" s="835">
        <v>41698</v>
      </c>
      <c r="AK10679" s="831">
        <v>440045130</v>
      </c>
    </row>
    <row r="10680" spans="2:37">
      <c r="B10680" s="834" t="str">
        <f t="shared" si="413"/>
        <v>|||</v>
      </c>
      <c r="H10680" s="835">
        <f t="shared" si="414"/>
        <v>31</v>
      </c>
      <c r="AF10680" s="831" t="s">
        <v>11339</v>
      </c>
      <c r="AG10680" s="831" t="s">
        <v>2674</v>
      </c>
      <c r="AH10680" s="831" t="s">
        <v>553</v>
      </c>
      <c r="AI10680" s="831">
        <v>0</v>
      </c>
      <c r="AJ10680" s="835">
        <v>41698</v>
      </c>
      <c r="AK10680" s="831">
        <v>0</v>
      </c>
    </row>
    <row r="10681" spans="2:37">
      <c r="B10681" s="834" t="str">
        <f t="shared" si="413"/>
        <v>|||</v>
      </c>
      <c r="H10681" s="835">
        <f t="shared" si="414"/>
        <v>31</v>
      </c>
      <c r="AF10681" s="831" t="s">
        <v>11340</v>
      </c>
      <c r="AG10681" s="831" t="s">
        <v>2674</v>
      </c>
      <c r="AH10681" s="831" t="s">
        <v>552</v>
      </c>
      <c r="AI10681" s="831">
        <v>0</v>
      </c>
      <c r="AJ10681" s="835">
        <v>41698</v>
      </c>
      <c r="AK10681" s="831">
        <v>0</v>
      </c>
    </row>
    <row r="10682" spans="2:37">
      <c r="B10682" s="834" t="str">
        <f t="shared" si="413"/>
        <v>|||</v>
      </c>
      <c r="H10682" s="835">
        <f t="shared" si="414"/>
        <v>31</v>
      </c>
      <c r="AF10682" s="831" t="s">
        <v>11341</v>
      </c>
      <c r="AG10682" s="831" t="s">
        <v>2674</v>
      </c>
      <c r="AH10682" s="831" t="s">
        <v>551</v>
      </c>
      <c r="AI10682" s="831">
        <v>0</v>
      </c>
      <c r="AJ10682" s="835">
        <v>41698</v>
      </c>
      <c r="AK10682" s="831">
        <v>1790155.7879999999</v>
      </c>
    </row>
    <row r="10683" spans="2:37">
      <c r="B10683" s="834" t="str">
        <f t="shared" si="413"/>
        <v>|||</v>
      </c>
      <c r="H10683" s="835">
        <f t="shared" si="414"/>
        <v>31</v>
      </c>
      <c r="AF10683" s="831" t="s">
        <v>11342</v>
      </c>
      <c r="AG10683" s="831" t="s">
        <v>2674</v>
      </c>
      <c r="AH10683" s="831" t="s">
        <v>550</v>
      </c>
      <c r="AI10683" s="831">
        <v>0</v>
      </c>
      <c r="AJ10683" s="835">
        <v>41698</v>
      </c>
      <c r="AK10683" s="831">
        <v>117105496</v>
      </c>
    </row>
    <row r="10684" spans="2:37">
      <c r="B10684" s="834" t="str">
        <f t="shared" si="413"/>
        <v>|||</v>
      </c>
      <c r="H10684" s="835">
        <f t="shared" si="414"/>
        <v>31</v>
      </c>
      <c r="AF10684" s="831" t="s">
        <v>11343</v>
      </c>
      <c r="AG10684" s="831" t="s">
        <v>2674</v>
      </c>
      <c r="AH10684" s="831" t="s">
        <v>562</v>
      </c>
      <c r="AI10684" s="831">
        <v>0</v>
      </c>
      <c r="AJ10684" s="835">
        <v>41698</v>
      </c>
      <c r="AK10684" s="831">
        <v>0.78385000000000005</v>
      </c>
    </row>
    <row r="10685" spans="2:37">
      <c r="B10685" s="834" t="str">
        <f t="shared" si="413"/>
        <v>|||</v>
      </c>
      <c r="H10685" s="835">
        <f t="shared" si="414"/>
        <v>31</v>
      </c>
      <c r="AF10685" s="831" t="s">
        <v>11344</v>
      </c>
      <c r="AG10685" s="831" t="s">
        <v>2674</v>
      </c>
      <c r="AH10685" s="831" t="s">
        <v>2698</v>
      </c>
      <c r="AI10685" s="831">
        <v>0</v>
      </c>
      <c r="AJ10685" s="835">
        <v>41698</v>
      </c>
      <c r="AK10685" s="831">
        <v>0.78364999999999996</v>
      </c>
    </row>
    <row r="10686" spans="2:37">
      <c r="B10686" s="834" t="str">
        <f t="shared" si="413"/>
        <v>|||</v>
      </c>
      <c r="H10686" s="835">
        <f t="shared" si="414"/>
        <v>31</v>
      </c>
      <c r="AF10686" s="831" t="s">
        <v>11345</v>
      </c>
      <c r="AG10686" s="831" t="s">
        <v>2674</v>
      </c>
      <c r="AH10686" s="831" t="s">
        <v>560</v>
      </c>
      <c r="AI10686" s="831">
        <v>0</v>
      </c>
      <c r="AJ10686" s="835">
        <v>41698</v>
      </c>
      <c r="AK10686" s="831">
        <v>0.78374999999999995</v>
      </c>
    </row>
    <row r="10687" spans="2:37">
      <c r="B10687" s="834" t="str">
        <f t="shared" si="413"/>
        <v>|||</v>
      </c>
      <c r="H10687" s="835">
        <f t="shared" si="414"/>
        <v>31</v>
      </c>
      <c r="AF10687" s="831" t="s">
        <v>11346</v>
      </c>
      <c r="AG10687" s="831" t="s">
        <v>2674</v>
      </c>
      <c r="AH10687" s="831" t="s">
        <v>559</v>
      </c>
      <c r="AI10687" s="831">
        <v>0</v>
      </c>
      <c r="AJ10687" s="835">
        <v>41698</v>
      </c>
      <c r="AK10687" s="831">
        <v>0.78387499999999999</v>
      </c>
    </row>
    <row r="10688" spans="2:37">
      <c r="B10688" s="834" t="str">
        <f t="shared" si="413"/>
        <v>|||</v>
      </c>
      <c r="H10688" s="835">
        <f t="shared" si="414"/>
        <v>31</v>
      </c>
      <c r="AF10688" s="831" t="s">
        <v>11347</v>
      </c>
      <c r="AG10688" s="831" t="s">
        <v>2674</v>
      </c>
      <c r="AH10688" s="831" t="s">
        <v>568</v>
      </c>
      <c r="AI10688" s="831">
        <v>0</v>
      </c>
      <c r="AJ10688" s="835">
        <v>41698</v>
      </c>
      <c r="AK10688" s="831">
        <v>548459663.22692299</v>
      </c>
    </row>
    <row r="10689" spans="2:37">
      <c r="B10689" s="834" t="str">
        <f t="shared" si="413"/>
        <v>|||</v>
      </c>
      <c r="H10689" s="835">
        <f t="shared" si="414"/>
        <v>31</v>
      </c>
      <c r="AF10689" s="831" t="s">
        <v>11348</v>
      </c>
      <c r="AG10689" s="831" t="s">
        <v>2674</v>
      </c>
      <c r="AH10689" s="831" t="s">
        <v>569</v>
      </c>
      <c r="AI10689" s="831">
        <v>0</v>
      </c>
      <c r="AJ10689" s="835">
        <v>41698</v>
      </c>
      <c r="AK10689" s="831">
        <v>670148193.05023098</v>
      </c>
    </row>
    <row r="10690" spans="2:37">
      <c r="B10690" s="834" t="str">
        <f t="shared" si="413"/>
        <v>|||</v>
      </c>
      <c r="H10690" s="835">
        <f t="shared" si="414"/>
        <v>31</v>
      </c>
      <c r="AF10690" s="831" t="s">
        <v>11349</v>
      </c>
      <c r="AG10690" s="831" t="s">
        <v>2674</v>
      </c>
      <c r="AH10690" s="831" t="s">
        <v>570</v>
      </c>
      <c r="AI10690" s="831">
        <v>0</v>
      </c>
      <c r="AJ10690" s="835">
        <v>41698</v>
      </c>
      <c r="AK10690" s="831">
        <v>111814070.135846</v>
      </c>
    </row>
    <row r="10691" spans="2:37">
      <c r="B10691" s="834" t="str">
        <f t="shared" si="413"/>
        <v>|||</v>
      </c>
      <c r="H10691" s="835">
        <f t="shared" si="414"/>
        <v>31</v>
      </c>
      <c r="AF10691" s="831" t="s">
        <v>11350</v>
      </c>
      <c r="AG10691" s="831" t="s">
        <v>2674</v>
      </c>
      <c r="AH10691" s="831" t="s">
        <v>571</v>
      </c>
      <c r="AI10691" s="831">
        <v>0</v>
      </c>
      <c r="AJ10691" s="835">
        <v>41698</v>
      </c>
      <c r="AK10691" s="831">
        <v>320628110.05176902</v>
      </c>
    </row>
    <row r="10692" spans="2:37">
      <c r="B10692" s="834" t="str">
        <f t="shared" si="413"/>
        <v>|||</v>
      </c>
      <c r="H10692" s="835">
        <f t="shared" si="414"/>
        <v>31</v>
      </c>
      <c r="AF10692" s="831" t="s">
        <v>11351</v>
      </c>
      <c r="AG10692" s="831" t="s">
        <v>2674</v>
      </c>
      <c r="AH10692" s="831" t="s">
        <v>573</v>
      </c>
      <c r="AI10692" s="831">
        <v>0</v>
      </c>
      <c r="AJ10692" s="835">
        <v>41698</v>
      </c>
      <c r="AK10692" s="831">
        <v>787218860.85433304</v>
      </c>
    </row>
    <row r="10693" spans="2:37">
      <c r="B10693" s="834" t="str">
        <f t="shared" si="413"/>
        <v>|||</v>
      </c>
      <c r="H10693" s="835">
        <f t="shared" si="414"/>
        <v>31</v>
      </c>
      <c r="AF10693" s="831" t="s">
        <v>11352</v>
      </c>
      <c r="AG10693" s="831" t="s">
        <v>2674</v>
      </c>
      <c r="AH10693" s="831" t="s">
        <v>574</v>
      </c>
      <c r="AI10693" s="831">
        <v>0</v>
      </c>
      <c r="AJ10693" s="835">
        <v>41698</v>
      </c>
      <c r="AK10693" s="831">
        <v>638762603.66666698</v>
      </c>
    </row>
    <row r="10694" spans="2:37">
      <c r="B10694" s="834" t="str">
        <f t="shared" si="413"/>
        <v>|||</v>
      </c>
      <c r="H10694" s="835">
        <f t="shared" si="414"/>
        <v>31</v>
      </c>
      <c r="AF10694" s="831" t="s">
        <v>11353</v>
      </c>
      <c r="AG10694" s="831" t="s">
        <v>2674</v>
      </c>
      <c r="AH10694" s="831" t="s">
        <v>575</v>
      </c>
      <c r="AI10694" s="831">
        <v>0</v>
      </c>
      <c r="AJ10694" s="835">
        <v>41698</v>
      </c>
      <c r="AK10694" s="831">
        <v>117270296.636667</v>
      </c>
    </row>
    <row r="10695" spans="2:37">
      <c r="B10695" s="834" t="str">
        <f t="shared" si="413"/>
        <v>|||</v>
      </c>
      <c r="H10695" s="835">
        <f t="shared" si="414"/>
        <v>31</v>
      </c>
      <c r="AF10695" s="831" t="s">
        <v>11354</v>
      </c>
      <c r="AG10695" s="831" t="s">
        <v>2674</v>
      </c>
      <c r="AH10695" s="831" t="s">
        <v>576</v>
      </c>
      <c r="AI10695" s="831">
        <v>0</v>
      </c>
      <c r="AJ10695" s="835">
        <v>41698</v>
      </c>
      <c r="AK10695" s="831">
        <v>385067117.20366699</v>
      </c>
    </row>
    <row r="10696" spans="2:37">
      <c r="B10696" s="834" t="str">
        <f t="shared" si="413"/>
        <v>|||</v>
      </c>
      <c r="H10696" s="835">
        <f t="shared" si="414"/>
        <v>31</v>
      </c>
      <c r="AF10696" s="831" t="s">
        <v>11355</v>
      </c>
      <c r="AG10696" s="831" t="s">
        <v>2674</v>
      </c>
      <c r="AH10696" s="831" t="s">
        <v>572</v>
      </c>
      <c r="AI10696" s="831">
        <v>0</v>
      </c>
      <c r="AJ10696" s="835">
        <v>41698</v>
      </c>
      <c r="AK10696" s="831">
        <v>31228952.956</v>
      </c>
    </row>
    <row r="10697" spans="2:37">
      <c r="B10697" s="834" t="str">
        <f t="shared" si="413"/>
        <v>|||</v>
      </c>
      <c r="H10697" s="835">
        <f t="shared" si="414"/>
        <v>31</v>
      </c>
      <c r="AF10697" s="831" t="s">
        <v>11356</v>
      </c>
      <c r="AG10697" s="831" t="s">
        <v>2674</v>
      </c>
      <c r="AH10697" s="831" t="s">
        <v>577</v>
      </c>
      <c r="AI10697" s="831">
        <v>0</v>
      </c>
      <c r="AJ10697" s="835">
        <v>41698</v>
      </c>
      <c r="AK10697" s="831">
        <v>141567221.76300001</v>
      </c>
    </row>
    <row r="10698" spans="2:37">
      <c r="B10698" s="834" t="str">
        <f t="shared" si="413"/>
        <v>|||</v>
      </c>
      <c r="H10698" s="835">
        <f t="shared" si="414"/>
        <v>31</v>
      </c>
      <c r="AF10698" s="831" t="s">
        <v>11357</v>
      </c>
      <c r="AG10698" s="831" t="s">
        <v>2674</v>
      </c>
      <c r="AH10698" s="831" t="s">
        <v>3042</v>
      </c>
      <c r="AI10698" s="831">
        <v>0</v>
      </c>
      <c r="AJ10698" s="835">
        <v>41698</v>
      </c>
      <c r="AK10698" s="831">
        <v>-37210157.527000003</v>
      </c>
    </row>
    <row r="10699" spans="2:37">
      <c r="B10699" s="834" t="str">
        <f t="shared" si="413"/>
        <v>|||</v>
      </c>
      <c r="H10699" s="835">
        <f t="shared" si="414"/>
        <v>31</v>
      </c>
      <c r="AF10699" s="831" t="s">
        <v>11358</v>
      </c>
      <c r="AG10699" s="831" t="s">
        <v>2674</v>
      </c>
      <c r="AH10699" s="831" t="s">
        <v>3044</v>
      </c>
      <c r="AI10699" s="831">
        <v>0</v>
      </c>
      <c r="AJ10699" s="835">
        <v>41698</v>
      </c>
      <c r="AK10699" s="831">
        <v>-3847935.89</v>
      </c>
    </row>
    <row r="10700" spans="2:37">
      <c r="B10700" s="834" t="str">
        <f t="shared" si="413"/>
        <v>|||</v>
      </c>
      <c r="H10700" s="835">
        <f t="shared" si="414"/>
        <v>31</v>
      </c>
      <c r="AF10700" s="831" t="s">
        <v>11359</v>
      </c>
      <c r="AG10700" s="831" t="s">
        <v>2674</v>
      </c>
      <c r="AH10700" s="831" t="s">
        <v>580</v>
      </c>
      <c r="AI10700" s="831">
        <v>0</v>
      </c>
      <c r="AJ10700" s="835">
        <v>41698</v>
      </c>
      <c r="AK10700" s="831">
        <v>-65813930.306999996</v>
      </c>
    </row>
    <row r="10701" spans="2:37">
      <c r="B10701" s="834" t="str">
        <f t="shared" si="413"/>
        <v>|||</v>
      </c>
      <c r="H10701" s="835">
        <f t="shared" si="414"/>
        <v>31</v>
      </c>
      <c r="AF10701" s="831" t="s">
        <v>11360</v>
      </c>
      <c r="AG10701" s="831" t="s">
        <v>2674</v>
      </c>
      <c r="AH10701" s="831" t="s">
        <v>581</v>
      </c>
      <c r="AI10701" s="831">
        <v>0</v>
      </c>
      <c r="AJ10701" s="835">
        <v>41698</v>
      </c>
      <c r="AK10701" s="831">
        <v>5417725.8940000003</v>
      </c>
    </row>
    <row r="10702" spans="2:37">
      <c r="B10702" s="834" t="str">
        <f t="shared" si="413"/>
        <v>|||</v>
      </c>
      <c r="H10702" s="835">
        <f t="shared" si="414"/>
        <v>31</v>
      </c>
      <c r="AF10702" s="831" t="s">
        <v>11361</v>
      </c>
      <c r="AG10702" s="831" t="s">
        <v>2674</v>
      </c>
      <c r="AH10702" s="831" t="s">
        <v>105</v>
      </c>
      <c r="AI10702" s="831">
        <v>0</v>
      </c>
      <c r="AJ10702" s="835">
        <v>41698</v>
      </c>
      <c r="AK10702" s="831">
        <v>385102312</v>
      </c>
    </row>
    <row r="10703" spans="2:37">
      <c r="B10703" s="834" t="str">
        <f t="shared" si="413"/>
        <v>|||</v>
      </c>
      <c r="H10703" s="835">
        <f t="shared" si="414"/>
        <v>31</v>
      </c>
      <c r="AF10703" s="831" t="s">
        <v>11362</v>
      </c>
      <c r="AG10703" s="831" t="s">
        <v>2674</v>
      </c>
      <c r="AH10703" s="831" t="s">
        <v>3049</v>
      </c>
      <c r="AI10703" s="831">
        <v>0</v>
      </c>
      <c r="AJ10703" s="835">
        <v>41698</v>
      </c>
      <c r="AK10703" s="831">
        <v>650688857.41999996</v>
      </c>
    </row>
    <row r="10704" spans="2:37">
      <c r="B10704" s="834" t="str">
        <f t="shared" si="413"/>
        <v>|||</v>
      </c>
      <c r="H10704" s="835">
        <f t="shared" si="414"/>
        <v>31</v>
      </c>
      <c r="AF10704" s="831" t="s">
        <v>11363</v>
      </c>
      <c r="AG10704" s="831" t="s">
        <v>2674</v>
      </c>
      <c r="AH10704" s="831" t="s">
        <v>103</v>
      </c>
      <c r="AI10704" s="831">
        <v>0</v>
      </c>
      <c r="AJ10704" s="835">
        <v>41698</v>
      </c>
      <c r="AK10704" s="831">
        <v>265586545.41999999</v>
      </c>
    </row>
    <row r="10705" spans="2:37">
      <c r="B10705" s="834" t="str">
        <f t="shared" ref="B10705:B10768" si="415">C10705&amp;"|"&amp;D10705&amp;"|"&amp;E10705&amp;"|"&amp;F10705</f>
        <v>|||</v>
      </c>
      <c r="H10705" s="835">
        <f t="shared" ref="H10705:H10768" si="416">EOMONTH(L10705,0)</f>
        <v>31</v>
      </c>
      <c r="AF10705" s="831" t="s">
        <v>11364</v>
      </c>
      <c r="AG10705" s="831" t="s">
        <v>2674</v>
      </c>
      <c r="AH10705" s="831" t="s">
        <v>182</v>
      </c>
      <c r="AI10705" s="831">
        <v>0</v>
      </c>
      <c r="AJ10705" s="835">
        <v>41698</v>
      </c>
      <c r="AK10705" s="831">
        <v>65878782</v>
      </c>
    </row>
    <row r="10706" spans="2:37">
      <c r="B10706" s="834" t="str">
        <f t="shared" si="415"/>
        <v>|||</v>
      </c>
      <c r="H10706" s="835">
        <f t="shared" si="416"/>
        <v>31</v>
      </c>
      <c r="AF10706" s="831" t="s">
        <v>11365</v>
      </c>
      <c r="AG10706" s="831" t="s">
        <v>2674</v>
      </c>
      <c r="AH10706" s="831" t="s">
        <v>6600</v>
      </c>
      <c r="AI10706" s="831">
        <v>0</v>
      </c>
      <c r="AJ10706" s="835">
        <v>41698</v>
      </c>
      <c r="AK10706" s="831">
        <v>31228952.956</v>
      </c>
    </row>
    <row r="10707" spans="2:37">
      <c r="B10707" s="834" t="str">
        <f t="shared" si="415"/>
        <v>|||</v>
      </c>
      <c r="H10707" s="835">
        <f t="shared" si="416"/>
        <v>31</v>
      </c>
      <c r="AF10707" s="831" t="s">
        <v>11366</v>
      </c>
      <c r="AG10707" s="831" t="s">
        <v>2674</v>
      </c>
      <c r="AH10707" s="831" t="s">
        <v>6602</v>
      </c>
      <c r="AI10707" s="831">
        <v>0</v>
      </c>
      <c r="AJ10707" s="835">
        <v>41698</v>
      </c>
      <c r="AK10707" s="831">
        <v>7870295</v>
      </c>
    </row>
    <row r="10708" spans="2:37">
      <c r="B10708" s="834" t="str">
        <f t="shared" si="415"/>
        <v>|||</v>
      </c>
      <c r="H10708" s="835">
        <f t="shared" si="416"/>
        <v>31</v>
      </c>
      <c r="AF10708" s="831" t="s">
        <v>11367</v>
      </c>
      <c r="AG10708" s="831" t="s">
        <v>2674</v>
      </c>
      <c r="AH10708" s="831" t="s">
        <v>650</v>
      </c>
      <c r="AI10708" s="831">
        <v>0</v>
      </c>
      <c r="AJ10708" s="835">
        <v>41698</v>
      </c>
      <c r="AK10708" s="831">
        <v>219285486.116846</v>
      </c>
    </row>
    <row r="10709" spans="2:37">
      <c r="B10709" s="834" t="str">
        <f t="shared" si="415"/>
        <v>|||</v>
      </c>
      <c r="H10709" s="835">
        <f t="shared" si="416"/>
        <v>31</v>
      </c>
      <c r="AF10709" s="831" t="s">
        <v>11368</v>
      </c>
      <c r="AG10709" s="831" t="s">
        <v>2674</v>
      </c>
      <c r="AH10709" s="831" t="s">
        <v>655</v>
      </c>
      <c r="AI10709" s="831">
        <v>0</v>
      </c>
      <c r="AJ10709" s="835">
        <v>41698</v>
      </c>
      <c r="AK10709" s="831">
        <v>1640758.8330000001</v>
      </c>
    </row>
    <row r="10710" spans="2:37">
      <c r="B10710" s="834" t="str">
        <f t="shared" si="415"/>
        <v>|||</v>
      </c>
      <c r="H10710" s="835">
        <f t="shared" si="416"/>
        <v>31</v>
      </c>
      <c r="AF10710" s="831" t="s">
        <v>11369</v>
      </c>
      <c r="AG10710" s="831" t="s">
        <v>2674</v>
      </c>
      <c r="AH10710" s="831" t="s">
        <v>546</v>
      </c>
      <c r="AI10710" s="831">
        <v>0</v>
      </c>
      <c r="AJ10710" s="835">
        <v>41729</v>
      </c>
      <c r="AK10710" s="831">
        <v>664153787</v>
      </c>
    </row>
    <row r="10711" spans="2:37">
      <c r="B10711" s="834" t="str">
        <f t="shared" si="415"/>
        <v>|||</v>
      </c>
      <c r="H10711" s="835">
        <f t="shared" si="416"/>
        <v>31</v>
      </c>
      <c r="AF10711" s="831" t="s">
        <v>11370</v>
      </c>
      <c r="AG10711" s="831" t="s">
        <v>2674</v>
      </c>
      <c r="AH10711" s="831" t="s">
        <v>370</v>
      </c>
      <c r="AI10711" s="831">
        <v>0</v>
      </c>
      <c r="AJ10711" s="835">
        <v>41729</v>
      </c>
      <c r="AK10711" s="831">
        <v>834303183</v>
      </c>
    </row>
    <row r="10712" spans="2:37">
      <c r="B10712" s="834" t="str">
        <f t="shared" si="415"/>
        <v>|||</v>
      </c>
      <c r="H10712" s="835">
        <f t="shared" si="416"/>
        <v>31</v>
      </c>
      <c r="AF10712" s="831" t="s">
        <v>11371</v>
      </c>
      <c r="AG10712" s="831" t="s">
        <v>2674</v>
      </c>
      <c r="AH10712" s="831" t="s">
        <v>126</v>
      </c>
      <c r="AI10712" s="831">
        <v>0</v>
      </c>
      <c r="AJ10712" s="835">
        <v>41729</v>
      </c>
      <c r="AK10712" s="831">
        <v>124206790</v>
      </c>
    </row>
    <row r="10713" spans="2:37">
      <c r="B10713" s="834" t="str">
        <f t="shared" si="415"/>
        <v>|||</v>
      </c>
      <c r="H10713" s="835">
        <f t="shared" si="416"/>
        <v>31</v>
      </c>
      <c r="AF10713" s="831" t="s">
        <v>11372</v>
      </c>
      <c r="AG10713" s="831" t="s">
        <v>2674</v>
      </c>
      <c r="AH10713" s="831" t="s">
        <v>268</v>
      </c>
      <c r="AI10713" s="831">
        <v>0</v>
      </c>
      <c r="AJ10713" s="835">
        <v>41729</v>
      </c>
      <c r="AK10713" s="831">
        <v>8878765</v>
      </c>
    </row>
    <row r="10714" spans="2:37">
      <c r="B10714" s="834" t="str">
        <f t="shared" si="415"/>
        <v>|||</v>
      </c>
      <c r="H10714" s="835">
        <f t="shared" si="416"/>
        <v>31</v>
      </c>
      <c r="AF10714" s="831" t="s">
        <v>11373</v>
      </c>
      <c r="AG10714" s="831" t="s">
        <v>2674</v>
      </c>
      <c r="AH10714" s="831" t="s">
        <v>547</v>
      </c>
      <c r="AI10714" s="831">
        <v>0</v>
      </c>
      <c r="AJ10714" s="835">
        <v>41729</v>
      </c>
      <c r="AK10714" s="831">
        <v>777719977</v>
      </c>
    </row>
    <row r="10715" spans="2:37">
      <c r="B10715" s="834" t="str">
        <f t="shared" si="415"/>
        <v>|||</v>
      </c>
      <c r="H10715" s="835">
        <f t="shared" si="416"/>
        <v>31</v>
      </c>
      <c r="AF10715" s="831" t="s">
        <v>11374</v>
      </c>
      <c r="AG10715" s="831" t="s">
        <v>2674</v>
      </c>
      <c r="AH10715" s="831" t="s">
        <v>548</v>
      </c>
      <c r="AI10715" s="831">
        <v>0</v>
      </c>
      <c r="AJ10715" s="835">
        <v>41729</v>
      </c>
      <c r="AK10715" s="831">
        <v>117105496</v>
      </c>
    </row>
    <row r="10716" spans="2:37">
      <c r="B10716" s="834" t="str">
        <f t="shared" si="415"/>
        <v>|||</v>
      </c>
      <c r="H10716" s="835">
        <f t="shared" si="416"/>
        <v>31</v>
      </c>
      <c r="AF10716" s="831" t="s">
        <v>11375</v>
      </c>
      <c r="AG10716" s="831" t="s">
        <v>2674</v>
      </c>
      <c r="AH10716" s="831" t="s">
        <v>549</v>
      </c>
      <c r="AI10716" s="831">
        <v>0</v>
      </c>
      <c r="AJ10716" s="835">
        <v>41729</v>
      </c>
      <c r="AK10716" s="831">
        <v>455655641</v>
      </c>
    </row>
    <row r="10717" spans="2:37">
      <c r="B10717" s="834" t="str">
        <f t="shared" si="415"/>
        <v>|||</v>
      </c>
      <c r="H10717" s="835">
        <f t="shared" si="416"/>
        <v>31</v>
      </c>
      <c r="AF10717" s="831" t="s">
        <v>11376</v>
      </c>
      <c r="AG10717" s="831" t="s">
        <v>2674</v>
      </c>
      <c r="AH10717" s="831" t="s">
        <v>192</v>
      </c>
      <c r="AI10717" s="831">
        <v>0</v>
      </c>
      <c r="AJ10717" s="835">
        <v>41729</v>
      </c>
      <c r="AK10717" s="831">
        <v>-12498345</v>
      </c>
    </row>
    <row r="10718" spans="2:37">
      <c r="B10718" s="834" t="str">
        <f t="shared" si="415"/>
        <v>|||</v>
      </c>
      <c r="H10718" s="835">
        <f t="shared" si="416"/>
        <v>31</v>
      </c>
      <c r="AF10718" s="831" t="s">
        <v>11377</v>
      </c>
      <c r="AG10718" s="831" t="s">
        <v>2674</v>
      </c>
      <c r="AH10718" s="831" t="s">
        <v>558</v>
      </c>
      <c r="AI10718" s="831">
        <v>0</v>
      </c>
      <c r="AJ10718" s="835">
        <v>41729</v>
      </c>
      <c r="AK10718" s="831">
        <v>710096393</v>
      </c>
    </row>
    <row r="10719" spans="2:37">
      <c r="B10719" s="834" t="str">
        <f t="shared" si="415"/>
        <v>|||</v>
      </c>
      <c r="H10719" s="835">
        <f t="shared" si="416"/>
        <v>31</v>
      </c>
      <c r="AF10719" s="831" t="s">
        <v>11378</v>
      </c>
      <c r="AG10719" s="831" t="s">
        <v>2674</v>
      </c>
      <c r="AH10719" s="831" t="s">
        <v>65</v>
      </c>
      <c r="AI10719" s="831">
        <v>0</v>
      </c>
      <c r="AJ10719" s="835">
        <v>41729</v>
      </c>
      <c r="AK10719" s="831">
        <v>38451284</v>
      </c>
    </row>
    <row r="10720" spans="2:37">
      <c r="B10720" s="834" t="str">
        <f t="shared" si="415"/>
        <v>|||</v>
      </c>
      <c r="H10720" s="835">
        <f t="shared" si="416"/>
        <v>31</v>
      </c>
      <c r="AF10720" s="831" t="s">
        <v>11379</v>
      </c>
      <c r="AG10720" s="831" t="s">
        <v>2674</v>
      </c>
      <c r="AH10720" s="831" t="s">
        <v>89</v>
      </c>
      <c r="AI10720" s="831">
        <v>0</v>
      </c>
      <c r="AJ10720" s="835">
        <v>41729</v>
      </c>
      <c r="AK10720" s="831">
        <v>151606</v>
      </c>
    </row>
    <row r="10721" spans="2:37">
      <c r="B10721" s="834" t="str">
        <f t="shared" si="415"/>
        <v>|||</v>
      </c>
      <c r="H10721" s="835">
        <f t="shared" si="416"/>
        <v>31</v>
      </c>
      <c r="AF10721" s="831" t="s">
        <v>11380</v>
      </c>
      <c r="AG10721" s="831" t="s">
        <v>2674</v>
      </c>
      <c r="AH10721" s="831" t="s">
        <v>557</v>
      </c>
      <c r="AI10721" s="831">
        <v>0</v>
      </c>
      <c r="AJ10721" s="835">
        <v>41729</v>
      </c>
      <c r="AK10721" s="831">
        <v>167127</v>
      </c>
    </row>
    <row r="10722" spans="2:37">
      <c r="B10722" s="834" t="str">
        <f t="shared" si="415"/>
        <v>|||</v>
      </c>
      <c r="H10722" s="835">
        <f t="shared" si="416"/>
        <v>31</v>
      </c>
      <c r="AF10722" s="831" t="s">
        <v>11381</v>
      </c>
      <c r="AG10722" s="831" t="s">
        <v>2674</v>
      </c>
      <c r="AH10722" s="831" t="s">
        <v>29</v>
      </c>
      <c r="AI10722" s="831">
        <v>0</v>
      </c>
      <c r="AJ10722" s="835">
        <v>41729</v>
      </c>
      <c r="AK10722" s="831">
        <v>2189531.31</v>
      </c>
    </row>
    <row r="10723" spans="2:37">
      <c r="B10723" s="834" t="str">
        <f t="shared" si="415"/>
        <v>|||</v>
      </c>
      <c r="H10723" s="835">
        <f t="shared" si="416"/>
        <v>31</v>
      </c>
      <c r="AF10723" s="831" t="s">
        <v>11382</v>
      </c>
      <c r="AG10723" s="831" t="s">
        <v>2674</v>
      </c>
      <c r="AH10723" s="831" t="s">
        <v>2688</v>
      </c>
      <c r="AI10723" s="831">
        <v>0</v>
      </c>
      <c r="AJ10723" s="835">
        <v>41729</v>
      </c>
      <c r="AK10723" s="831">
        <v>4729841</v>
      </c>
    </row>
    <row r="10724" spans="2:37">
      <c r="B10724" s="834" t="str">
        <f t="shared" si="415"/>
        <v>|||</v>
      </c>
      <c r="H10724" s="835">
        <f t="shared" si="416"/>
        <v>31</v>
      </c>
      <c r="AF10724" s="831" t="s">
        <v>11383</v>
      </c>
      <c r="AG10724" s="831" t="s">
        <v>2674</v>
      </c>
      <c r="AH10724" s="831" t="s">
        <v>556</v>
      </c>
      <c r="AI10724" s="831">
        <v>0</v>
      </c>
      <c r="AJ10724" s="835">
        <v>41729</v>
      </c>
      <c r="AK10724" s="831">
        <v>1644732</v>
      </c>
    </row>
    <row r="10725" spans="2:37">
      <c r="B10725" s="834" t="str">
        <f t="shared" si="415"/>
        <v>|||</v>
      </c>
      <c r="H10725" s="835">
        <f t="shared" si="416"/>
        <v>31</v>
      </c>
      <c r="AF10725" s="831" t="s">
        <v>11384</v>
      </c>
      <c r="AG10725" s="831" t="s">
        <v>2674</v>
      </c>
      <c r="AH10725" s="831" t="s">
        <v>555</v>
      </c>
      <c r="AI10725" s="831">
        <v>0</v>
      </c>
      <c r="AJ10725" s="835">
        <v>41729</v>
      </c>
      <c r="AK10725" s="831">
        <v>466790280</v>
      </c>
    </row>
    <row r="10726" spans="2:37">
      <c r="B10726" s="834" t="str">
        <f t="shared" si="415"/>
        <v>|||</v>
      </c>
      <c r="H10726" s="835">
        <f t="shared" si="416"/>
        <v>31</v>
      </c>
      <c r="AF10726" s="831" t="s">
        <v>11385</v>
      </c>
      <c r="AG10726" s="831" t="s">
        <v>2674</v>
      </c>
      <c r="AH10726" s="831" t="s">
        <v>554</v>
      </c>
      <c r="AI10726" s="831">
        <v>0</v>
      </c>
      <c r="AJ10726" s="835">
        <v>41729</v>
      </c>
      <c r="AK10726" s="831">
        <v>476154670</v>
      </c>
    </row>
    <row r="10727" spans="2:37">
      <c r="B10727" s="834" t="str">
        <f t="shared" si="415"/>
        <v>|||</v>
      </c>
      <c r="H10727" s="835">
        <f t="shared" si="416"/>
        <v>31</v>
      </c>
      <c r="AF10727" s="831" t="s">
        <v>11386</v>
      </c>
      <c r="AG10727" s="831" t="s">
        <v>2674</v>
      </c>
      <c r="AH10727" s="831" t="s">
        <v>553</v>
      </c>
      <c r="AI10727" s="831">
        <v>0</v>
      </c>
      <c r="AJ10727" s="835">
        <v>41729</v>
      </c>
      <c r="AK10727" s="831">
        <v>0</v>
      </c>
    </row>
    <row r="10728" spans="2:37">
      <c r="B10728" s="834" t="str">
        <f t="shared" si="415"/>
        <v>|||</v>
      </c>
      <c r="H10728" s="835">
        <f t="shared" si="416"/>
        <v>31</v>
      </c>
      <c r="AF10728" s="831" t="s">
        <v>11387</v>
      </c>
      <c r="AG10728" s="831" t="s">
        <v>2674</v>
      </c>
      <c r="AH10728" s="831" t="s">
        <v>552</v>
      </c>
      <c r="AI10728" s="831">
        <v>0</v>
      </c>
      <c r="AJ10728" s="835">
        <v>41729</v>
      </c>
      <c r="AK10728" s="831">
        <v>0</v>
      </c>
    </row>
    <row r="10729" spans="2:37">
      <c r="B10729" s="834" t="str">
        <f t="shared" si="415"/>
        <v>|||</v>
      </c>
      <c r="H10729" s="835">
        <f t="shared" si="416"/>
        <v>31</v>
      </c>
      <c r="AF10729" s="831" t="s">
        <v>11388</v>
      </c>
      <c r="AG10729" s="831" t="s">
        <v>2674</v>
      </c>
      <c r="AH10729" s="831" t="s">
        <v>551</v>
      </c>
      <c r="AI10729" s="831">
        <v>0</v>
      </c>
      <c r="AJ10729" s="835">
        <v>41729</v>
      </c>
      <c r="AK10729" s="831">
        <v>1979269.31</v>
      </c>
    </row>
    <row r="10730" spans="2:37">
      <c r="B10730" s="834" t="str">
        <f t="shared" si="415"/>
        <v>|||</v>
      </c>
      <c r="H10730" s="835">
        <f t="shared" si="416"/>
        <v>31</v>
      </c>
      <c r="AF10730" s="831" t="s">
        <v>11389</v>
      </c>
      <c r="AG10730" s="831" t="s">
        <v>2674</v>
      </c>
      <c r="AH10730" s="831" t="s">
        <v>550</v>
      </c>
      <c r="AI10730" s="831">
        <v>0</v>
      </c>
      <c r="AJ10730" s="835">
        <v>41729</v>
      </c>
      <c r="AK10730" s="831">
        <v>120615628</v>
      </c>
    </row>
    <row r="10731" spans="2:37">
      <c r="B10731" s="834" t="str">
        <f t="shared" si="415"/>
        <v>|||</v>
      </c>
      <c r="H10731" s="835">
        <f t="shared" si="416"/>
        <v>31</v>
      </c>
      <c r="AF10731" s="831" t="s">
        <v>11390</v>
      </c>
      <c r="AG10731" s="831" t="s">
        <v>2674</v>
      </c>
      <c r="AH10731" s="831" t="s">
        <v>562</v>
      </c>
      <c r="AI10731" s="831">
        <v>0</v>
      </c>
      <c r="AJ10731" s="835">
        <v>41729</v>
      </c>
      <c r="AK10731" s="831">
        <v>0.78374999999999995</v>
      </c>
    </row>
    <row r="10732" spans="2:37">
      <c r="B10732" s="834" t="str">
        <f t="shared" si="415"/>
        <v>|||</v>
      </c>
      <c r="H10732" s="835">
        <f t="shared" si="416"/>
        <v>31</v>
      </c>
      <c r="AF10732" s="831" t="s">
        <v>11391</v>
      </c>
      <c r="AG10732" s="831" t="s">
        <v>2674</v>
      </c>
      <c r="AH10732" s="831" t="s">
        <v>2698</v>
      </c>
      <c r="AI10732" s="831">
        <v>0</v>
      </c>
      <c r="AJ10732" s="835">
        <v>41729</v>
      </c>
      <c r="AK10732" s="831">
        <v>0.78385000000000005</v>
      </c>
    </row>
    <row r="10733" spans="2:37">
      <c r="B10733" s="834" t="str">
        <f t="shared" si="415"/>
        <v>|||</v>
      </c>
      <c r="H10733" s="835">
        <f t="shared" si="416"/>
        <v>31</v>
      </c>
      <c r="AF10733" s="831" t="s">
        <v>11392</v>
      </c>
      <c r="AG10733" s="831" t="s">
        <v>2674</v>
      </c>
      <c r="AH10733" s="831" t="s">
        <v>560</v>
      </c>
      <c r="AI10733" s="831">
        <v>0</v>
      </c>
      <c r="AJ10733" s="835">
        <v>41729</v>
      </c>
      <c r="AK10733" s="831">
        <v>0.78374999999999995</v>
      </c>
    </row>
    <row r="10734" spans="2:37">
      <c r="B10734" s="834" t="str">
        <f t="shared" si="415"/>
        <v>|||</v>
      </c>
      <c r="H10734" s="835">
        <f t="shared" si="416"/>
        <v>31</v>
      </c>
      <c r="AF10734" s="831" t="s">
        <v>11393</v>
      </c>
      <c r="AG10734" s="831" t="s">
        <v>2674</v>
      </c>
      <c r="AH10734" s="831" t="s">
        <v>559</v>
      </c>
      <c r="AI10734" s="831">
        <v>0</v>
      </c>
      <c r="AJ10734" s="835">
        <v>41729</v>
      </c>
      <c r="AK10734" s="831">
        <v>0.78383333333333305</v>
      </c>
    </row>
    <row r="10735" spans="2:37">
      <c r="B10735" s="834" t="str">
        <f t="shared" si="415"/>
        <v>|||</v>
      </c>
      <c r="H10735" s="835">
        <f t="shared" si="416"/>
        <v>31</v>
      </c>
      <c r="AF10735" s="831" t="s">
        <v>11394</v>
      </c>
      <c r="AG10735" s="831" t="s">
        <v>2674</v>
      </c>
      <c r="AH10735" s="831" t="s">
        <v>568</v>
      </c>
      <c r="AI10735" s="831">
        <v>0</v>
      </c>
      <c r="AJ10735" s="835">
        <v>41729</v>
      </c>
      <c r="AK10735" s="831">
        <v>565947600.45769203</v>
      </c>
    </row>
    <row r="10736" spans="2:37">
      <c r="B10736" s="834" t="str">
        <f t="shared" si="415"/>
        <v>|||</v>
      </c>
      <c r="H10736" s="835">
        <f t="shared" si="416"/>
        <v>31</v>
      </c>
      <c r="AF10736" s="831" t="s">
        <v>11395</v>
      </c>
      <c r="AG10736" s="831" t="s">
        <v>2674</v>
      </c>
      <c r="AH10736" s="831" t="s">
        <v>569</v>
      </c>
      <c r="AI10736" s="831">
        <v>0</v>
      </c>
      <c r="AJ10736" s="835">
        <v>41729</v>
      </c>
      <c r="AK10736" s="831">
        <v>694165655.12715399</v>
      </c>
    </row>
    <row r="10737" spans="2:37">
      <c r="B10737" s="834" t="str">
        <f t="shared" si="415"/>
        <v>|||</v>
      </c>
      <c r="H10737" s="835">
        <f t="shared" si="416"/>
        <v>31</v>
      </c>
      <c r="AF10737" s="831" t="s">
        <v>11396</v>
      </c>
      <c r="AG10737" s="831" t="s">
        <v>2674</v>
      </c>
      <c r="AH10737" s="831" t="s">
        <v>570</v>
      </c>
      <c r="AI10737" s="831">
        <v>0</v>
      </c>
      <c r="AJ10737" s="835">
        <v>41729</v>
      </c>
      <c r="AK10737" s="831">
        <v>113785276.52046201</v>
      </c>
    </row>
    <row r="10738" spans="2:37">
      <c r="B10738" s="834" t="str">
        <f t="shared" si="415"/>
        <v>|||</v>
      </c>
      <c r="H10738" s="835">
        <f t="shared" si="416"/>
        <v>31</v>
      </c>
      <c r="AF10738" s="831" t="s">
        <v>11397</v>
      </c>
      <c r="AG10738" s="831" t="s">
        <v>2674</v>
      </c>
      <c r="AH10738" s="831" t="s">
        <v>571</v>
      </c>
      <c r="AI10738" s="831">
        <v>0</v>
      </c>
      <c r="AJ10738" s="835">
        <v>41729</v>
      </c>
      <c r="AK10738" s="831">
        <v>334328550.282538</v>
      </c>
    </row>
    <row r="10739" spans="2:37">
      <c r="B10739" s="834" t="str">
        <f t="shared" si="415"/>
        <v>|||</v>
      </c>
      <c r="H10739" s="835">
        <f t="shared" si="416"/>
        <v>31</v>
      </c>
      <c r="AF10739" s="831" t="s">
        <v>11398</v>
      </c>
      <c r="AG10739" s="831" t="s">
        <v>2674</v>
      </c>
      <c r="AH10739" s="831" t="s">
        <v>573</v>
      </c>
      <c r="AI10739" s="831">
        <v>0</v>
      </c>
      <c r="AJ10739" s="835">
        <v>41729</v>
      </c>
      <c r="AK10739" s="831">
        <v>798989941.39075005</v>
      </c>
    </row>
    <row r="10740" spans="2:37">
      <c r="B10740" s="834" t="str">
        <f t="shared" si="415"/>
        <v>|||</v>
      </c>
      <c r="H10740" s="835">
        <f t="shared" si="416"/>
        <v>31</v>
      </c>
      <c r="AF10740" s="831" t="s">
        <v>11399</v>
      </c>
      <c r="AG10740" s="831" t="s">
        <v>2674</v>
      </c>
      <c r="AH10740" s="831" t="s">
        <v>574</v>
      </c>
      <c r="AI10740" s="831">
        <v>0</v>
      </c>
      <c r="AJ10740" s="835">
        <v>41729</v>
      </c>
      <c r="AK10740" s="831">
        <v>645110399.5</v>
      </c>
    </row>
    <row r="10741" spans="2:37">
      <c r="B10741" s="834" t="str">
        <f t="shared" si="415"/>
        <v>|||</v>
      </c>
      <c r="H10741" s="835">
        <f t="shared" si="416"/>
        <v>31</v>
      </c>
      <c r="AF10741" s="831" t="s">
        <v>11400</v>
      </c>
      <c r="AG10741" s="831" t="s">
        <v>2674</v>
      </c>
      <c r="AH10741" s="831" t="s">
        <v>575</v>
      </c>
      <c r="AI10741" s="831">
        <v>0</v>
      </c>
      <c r="AJ10741" s="835">
        <v>41729</v>
      </c>
      <c r="AK10741" s="831">
        <v>119004419.97750001</v>
      </c>
    </row>
    <row r="10742" spans="2:37">
      <c r="B10742" s="834" t="str">
        <f t="shared" si="415"/>
        <v>|||</v>
      </c>
      <c r="H10742" s="835">
        <f t="shared" si="416"/>
        <v>31</v>
      </c>
      <c r="AF10742" s="831" t="s">
        <v>11401</v>
      </c>
      <c r="AG10742" s="831" t="s">
        <v>2674</v>
      </c>
      <c r="AH10742" s="831" t="s">
        <v>576</v>
      </c>
      <c r="AI10742" s="831">
        <v>0</v>
      </c>
      <c r="AJ10742" s="835">
        <v>41729</v>
      </c>
      <c r="AK10742" s="831">
        <v>391575852.40275002</v>
      </c>
    </row>
    <row r="10743" spans="2:37">
      <c r="B10743" s="834" t="str">
        <f t="shared" si="415"/>
        <v>|||</v>
      </c>
      <c r="H10743" s="835">
        <f t="shared" si="416"/>
        <v>31</v>
      </c>
      <c r="AF10743" s="831" t="s">
        <v>11402</v>
      </c>
      <c r="AG10743" s="831" t="s">
        <v>2674</v>
      </c>
      <c r="AH10743" s="831" t="s">
        <v>572</v>
      </c>
      <c r="AI10743" s="831">
        <v>0</v>
      </c>
      <c r="AJ10743" s="835">
        <v>41729</v>
      </c>
      <c r="AK10743" s="831">
        <v>30009140.956</v>
      </c>
    </row>
    <row r="10744" spans="2:37">
      <c r="B10744" s="834" t="str">
        <f t="shared" si="415"/>
        <v>|||</v>
      </c>
      <c r="H10744" s="835">
        <f t="shared" si="416"/>
        <v>31</v>
      </c>
      <c r="AF10744" s="831" t="s">
        <v>11403</v>
      </c>
      <c r="AG10744" s="831" t="s">
        <v>2674</v>
      </c>
      <c r="AH10744" s="831" t="s">
        <v>577</v>
      </c>
      <c r="AI10744" s="831">
        <v>0</v>
      </c>
      <c r="AJ10744" s="835">
        <v>41729</v>
      </c>
      <c r="AK10744" s="831">
        <v>143425007.76300001</v>
      </c>
    </row>
    <row r="10745" spans="2:37">
      <c r="B10745" s="834" t="str">
        <f t="shared" si="415"/>
        <v>|||</v>
      </c>
      <c r="H10745" s="835">
        <f t="shared" si="416"/>
        <v>31</v>
      </c>
      <c r="AF10745" s="831" t="s">
        <v>11404</v>
      </c>
      <c r="AG10745" s="831" t="s">
        <v>2674</v>
      </c>
      <c r="AH10745" s="831" t="s">
        <v>3042</v>
      </c>
      <c r="AI10745" s="831">
        <v>0</v>
      </c>
      <c r="AJ10745" s="835">
        <v>41729</v>
      </c>
      <c r="AK10745" s="831">
        <v>-38745656.527000003</v>
      </c>
    </row>
    <row r="10746" spans="2:37">
      <c r="B10746" s="834" t="str">
        <f t="shared" si="415"/>
        <v>|||</v>
      </c>
      <c r="H10746" s="835">
        <f t="shared" si="416"/>
        <v>31</v>
      </c>
      <c r="AF10746" s="831" t="s">
        <v>11405</v>
      </c>
      <c r="AG10746" s="831" t="s">
        <v>2674</v>
      </c>
      <c r="AH10746" s="831" t="s">
        <v>3044</v>
      </c>
      <c r="AI10746" s="831">
        <v>0</v>
      </c>
      <c r="AJ10746" s="835">
        <v>41729</v>
      </c>
      <c r="AK10746" s="831">
        <v>-3699815.89</v>
      </c>
    </row>
    <row r="10747" spans="2:37">
      <c r="B10747" s="834" t="str">
        <f t="shared" si="415"/>
        <v>|||</v>
      </c>
      <c r="H10747" s="835">
        <f t="shared" si="416"/>
        <v>31</v>
      </c>
      <c r="AF10747" s="831" t="s">
        <v>11406</v>
      </c>
      <c r="AG10747" s="831" t="s">
        <v>2674</v>
      </c>
      <c r="AH10747" s="831" t="s">
        <v>580</v>
      </c>
      <c r="AI10747" s="831">
        <v>0</v>
      </c>
      <c r="AJ10747" s="835">
        <v>41729</v>
      </c>
      <c r="AK10747" s="831">
        <v>-67131930.306999996</v>
      </c>
    </row>
    <row r="10748" spans="2:37">
      <c r="B10748" s="834" t="str">
        <f t="shared" si="415"/>
        <v>|||</v>
      </c>
      <c r="H10748" s="835">
        <f t="shared" si="416"/>
        <v>31</v>
      </c>
      <c r="AF10748" s="831" t="s">
        <v>11407</v>
      </c>
      <c r="AG10748" s="831" t="s">
        <v>2674</v>
      </c>
      <c r="AH10748" s="831" t="s">
        <v>581</v>
      </c>
      <c r="AI10748" s="831">
        <v>0</v>
      </c>
      <c r="AJ10748" s="835">
        <v>41729</v>
      </c>
      <c r="AK10748" s="831">
        <v>5442741.8940000003</v>
      </c>
    </row>
    <row r="10749" spans="2:37">
      <c r="B10749" s="834" t="str">
        <f t="shared" si="415"/>
        <v>|||</v>
      </c>
      <c r="H10749" s="835">
        <f t="shared" si="416"/>
        <v>31</v>
      </c>
      <c r="AF10749" s="831" t="s">
        <v>11408</v>
      </c>
      <c r="AG10749" s="831" t="s">
        <v>2674</v>
      </c>
      <c r="AH10749" s="831" t="s">
        <v>105</v>
      </c>
      <c r="AI10749" s="831">
        <v>0</v>
      </c>
      <c r="AJ10749" s="835">
        <v>41729</v>
      </c>
      <c r="AK10749" s="831">
        <v>411102058</v>
      </c>
    </row>
    <row r="10750" spans="2:37">
      <c r="B10750" s="834" t="str">
        <f t="shared" si="415"/>
        <v>|||</v>
      </c>
      <c r="H10750" s="835">
        <f t="shared" si="416"/>
        <v>31</v>
      </c>
      <c r="AF10750" s="831" t="s">
        <v>11409</v>
      </c>
      <c r="AG10750" s="831" t="s">
        <v>2674</v>
      </c>
      <c r="AH10750" s="831" t="s">
        <v>3049</v>
      </c>
      <c r="AI10750" s="831">
        <v>0</v>
      </c>
      <c r="AJ10750" s="835">
        <v>41729</v>
      </c>
      <c r="AK10750" s="831">
        <v>690412081</v>
      </c>
    </row>
    <row r="10751" spans="2:37">
      <c r="B10751" s="834" t="str">
        <f t="shared" si="415"/>
        <v>|||</v>
      </c>
      <c r="H10751" s="835">
        <f t="shared" si="416"/>
        <v>31</v>
      </c>
      <c r="AF10751" s="831" t="s">
        <v>11410</v>
      </c>
      <c r="AG10751" s="831" t="s">
        <v>2674</v>
      </c>
      <c r="AH10751" s="831" t="s">
        <v>103</v>
      </c>
      <c r="AI10751" s="831">
        <v>0</v>
      </c>
      <c r="AJ10751" s="835">
        <v>41729</v>
      </c>
      <c r="AK10751" s="831">
        <v>279310023</v>
      </c>
    </row>
    <row r="10752" spans="2:37">
      <c r="B10752" s="834" t="str">
        <f t="shared" si="415"/>
        <v>|||</v>
      </c>
      <c r="H10752" s="835">
        <f t="shared" si="416"/>
        <v>31</v>
      </c>
      <c r="AF10752" s="831" t="s">
        <v>11411</v>
      </c>
      <c r="AG10752" s="831" t="s">
        <v>2674</v>
      </c>
      <c r="AH10752" s="831" t="s">
        <v>182</v>
      </c>
      <c r="AI10752" s="831">
        <v>0</v>
      </c>
      <c r="AJ10752" s="835">
        <v>41729</v>
      </c>
      <c r="AK10752" s="831">
        <v>67031636</v>
      </c>
    </row>
    <row r="10753" spans="2:37">
      <c r="B10753" s="834" t="str">
        <f t="shared" si="415"/>
        <v>|||</v>
      </c>
      <c r="H10753" s="835">
        <f t="shared" si="416"/>
        <v>31</v>
      </c>
      <c r="AF10753" s="831" t="s">
        <v>11412</v>
      </c>
      <c r="AG10753" s="831" t="s">
        <v>2674</v>
      </c>
      <c r="AH10753" s="831" t="s">
        <v>6600</v>
      </c>
      <c r="AI10753" s="831">
        <v>0</v>
      </c>
      <c r="AJ10753" s="835">
        <v>41729</v>
      </c>
      <c r="AK10753" s="831">
        <v>30009140.956</v>
      </c>
    </row>
    <row r="10754" spans="2:37">
      <c r="B10754" s="834" t="str">
        <f t="shared" si="415"/>
        <v>|||</v>
      </c>
      <c r="H10754" s="835">
        <f t="shared" si="416"/>
        <v>31</v>
      </c>
      <c r="AF10754" s="831" t="s">
        <v>11413</v>
      </c>
      <c r="AG10754" s="831" t="s">
        <v>2674</v>
      </c>
      <c r="AH10754" s="831" t="s">
        <v>6602</v>
      </c>
      <c r="AI10754" s="831">
        <v>0</v>
      </c>
      <c r="AJ10754" s="835">
        <v>41729</v>
      </c>
      <c r="AK10754" s="831">
        <v>8878765</v>
      </c>
    </row>
    <row r="10755" spans="2:37">
      <c r="B10755" s="834" t="str">
        <f t="shared" si="415"/>
        <v>|||</v>
      </c>
      <c r="H10755" s="835">
        <f t="shared" si="416"/>
        <v>31</v>
      </c>
      <c r="AF10755" s="831" t="s">
        <v>11414</v>
      </c>
      <c r="AG10755" s="831" t="s">
        <v>2674</v>
      </c>
      <c r="AH10755" s="831" t="s">
        <v>650</v>
      </c>
      <c r="AI10755" s="831">
        <v>0</v>
      </c>
      <c r="AJ10755" s="835">
        <v>41729</v>
      </c>
      <c r="AK10755" s="831">
        <v>227175044.116846</v>
      </c>
    </row>
    <row r="10756" spans="2:37">
      <c r="B10756" s="834" t="str">
        <f t="shared" si="415"/>
        <v>|||</v>
      </c>
      <c r="H10756" s="835">
        <f t="shared" si="416"/>
        <v>31</v>
      </c>
      <c r="AF10756" s="831" t="s">
        <v>11415</v>
      </c>
      <c r="AG10756" s="831" t="s">
        <v>2674</v>
      </c>
      <c r="AH10756" s="831" t="s">
        <v>655</v>
      </c>
      <c r="AI10756" s="831">
        <v>0</v>
      </c>
      <c r="AJ10756" s="835">
        <v>41729</v>
      </c>
      <c r="AK10756" s="831">
        <v>1723087.31</v>
      </c>
    </row>
    <row r="10757" spans="2:37">
      <c r="B10757" s="834" t="str">
        <f t="shared" si="415"/>
        <v>|||</v>
      </c>
      <c r="H10757" s="835">
        <f t="shared" si="416"/>
        <v>31</v>
      </c>
      <c r="AF10757" s="831" t="s">
        <v>11416</v>
      </c>
      <c r="AG10757" s="831" t="s">
        <v>2674</v>
      </c>
      <c r="AH10757" s="831" t="s">
        <v>546</v>
      </c>
      <c r="AI10757" s="831">
        <v>0</v>
      </c>
      <c r="AJ10757" s="835">
        <v>41759</v>
      </c>
      <c r="AK10757" s="831">
        <v>695634421</v>
      </c>
    </row>
    <row r="10758" spans="2:37">
      <c r="B10758" s="834" t="str">
        <f t="shared" si="415"/>
        <v>|||</v>
      </c>
      <c r="H10758" s="835">
        <f t="shared" si="416"/>
        <v>31</v>
      </c>
      <c r="AF10758" s="831" t="s">
        <v>11417</v>
      </c>
      <c r="AG10758" s="831" t="s">
        <v>2674</v>
      </c>
      <c r="AH10758" s="831" t="s">
        <v>370</v>
      </c>
      <c r="AI10758" s="831">
        <v>0</v>
      </c>
      <c r="AJ10758" s="835">
        <v>41759</v>
      </c>
      <c r="AK10758" s="831">
        <v>838269546</v>
      </c>
    </row>
    <row r="10759" spans="2:37">
      <c r="B10759" s="834" t="str">
        <f t="shared" si="415"/>
        <v>|||</v>
      </c>
      <c r="H10759" s="835">
        <f t="shared" si="416"/>
        <v>31</v>
      </c>
      <c r="AF10759" s="831" t="s">
        <v>11418</v>
      </c>
      <c r="AG10759" s="831" t="s">
        <v>2674</v>
      </c>
      <c r="AH10759" s="831" t="s">
        <v>126</v>
      </c>
      <c r="AI10759" s="831">
        <v>0</v>
      </c>
      <c r="AJ10759" s="835">
        <v>41759</v>
      </c>
      <c r="AK10759" s="831">
        <v>127155751</v>
      </c>
    </row>
    <row r="10760" spans="2:37">
      <c r="B10760" s="834" t="str">
        <f t="shared" si="415"/>
        <v>|||</v>
      </c>
      <c r="H10760" s="835">
        <f t="shared" si="416"/>
        <v>31</v>
      </c>
      <c r="AF10760" s="831" t="s">
        <v>11419</v>
      </c>
      <c r="AG10760" s="831" t="s">
        <v>2674</v>
      </c>
      <c r="AH10760" s="831" t="s">
        <v>268</v>
      </c>
      <c r="AI10760" s="831">
        <v>0</v>
      </c>
      <c r="AJ10760" s="835">
        <v>41759</v>
      </c>
      <c r="AK10760" s="831">
        <v>11900832</v>
      </c>
    </row>
    <row r="10761" spans="2:37">
      <c r="B10761" s="834" t="str">
        <f t="shared" si="415"/>
        <v>|||</v>
      </c>
      <c r="H10761" s="835">
        <f t="shared" si="416"/>
        <v>31</v>
      </c>
      <c r="AF10761" s="831" t="s">
        <v>11420</v>
      </c>
      <c r="AG10761" s="831" t="s">
        <v>2674</v>
      </c>
      <c r="AH10761" s="831" t="s">
        <v>547</v>
      </c>
      <c r="AI10761" s="831">
        <v>0</v>
      </c>
      <c r="AJ10761" s="835">
        <v>41759</v>
      </c>
      <c r="AK10761" s="831">
        <v>777719977</v>
      </c>
    </row>
    <row r="10762" spans="2:37">
      <c r="B10762" s="834" t="str">
        <f t="shared" si="415"/>
        <v>|||</v>
      </c>
      <c r="H10762" s="835">
        <f t="shared" si="416"/>
        <v>31</v>
      </c>
      <c r="AF10762" s="831" t="s">
        <v>11421</v>
      </c>
      <c r="AG10762" s="831" t="s">
        <v>2674</v>
      </c>
      <c r="AH10762" s="831" t="s">
        <v>548</v>
      </c>
      <c r="AI10762" s="831">
        <v>0</v>
      </c>
      <c r="AJ10762" s="835">
        <v>41759</v>
      </c>
      <c r="AK10762" s="831">
        <v>117105496</v>
      </c>
    </row>
    <row r="10763" spans="2:37">
      <c r="B10763" s="834" t="str">
        <f t="shared" si="415"/>
        <v>|||</v>
      </c>
      <c r="H10763" s="835">
        <f t="shared" si="416"/>
        <v>31</v>
      </c>
      <c r="AF10763" s="831" t="s">
        <v>11422</v>
      </c>
      <c r="AG10763" s="831" t="s">
        <v>2674</v>
      </c>
      <c r="AH10763" s="831" t="s">
        <v>549</v>
      </c>
      <c r="AI10763" s="831">
        <v>0</v>
      </c>
      <c r="AJ10763" s="835">
        <v>41759</v>
      </c>
      <c r="AK10763" s="831">
        <v>479771222</v>
      </c>
    </row>
    <row r="10764" spans="2:37">
      <c r="B10764" s="834" t="str">
        <f t="shared" si="415"/>
        <v>|||</v>
      </c>
      <c r="H10764" s="835">
        <f t="shared" si="416"/>
        <v>31</v>
      </c>
      <c r="AF10764" s="831" t="s">
        <v>11423</v>
      </c>
      <c r="AG10764" s="831" t="s">
        <v>2674</v>
      </c>
      <c r="AH10764" s="831" t="s">
        <v>192</v>
      </c>
      <c r="AI10764" s="831">
        <v>0</v>
      </c>
      <c r="AJ10764" s="835">
        <v>41759</v>
      </c>
      <c r="AK10764" s="831">
        <v>-13335656</v>
      </c>
    </row>
    <row r="10765" spans="2:37">
      <c r="B10765" s="834" t="str">
        <f t="shared" si="415"/>
        <v>|||</v>
      </c>
      <c r="H10765" s="835">
        <f t="shared" si="416"/>
        <v>31</v>
      </c>
      <c r="AF10765" s="831" t="s">
        <v>11424</v>
      </c>
      <c r="AG10765" s="831" t="s">
        <v>2674</v>
      </c>
      <c r="AH10765" s="831" t="s">
        <v>558</v>
      </c>
      <c r="AI10765" s="831">
        <v>0</v>
      </c>
      <c r="AJ10765" s="835">
        <v>41759</v>
      </c>
      <c r="AK10765" s="831">
        <v>711113795</v>
      </c>
    </row>
    <row r="10766" spans="2:37">
      <c r="B10766" s="834" t="str">
        <f t="shared" si="415"/>
        <v>|||</v>
      </c>
      <c r="H10766" s="835">
        <f t="shared" si="416"/>
        <v>31</v>
      </c>
      <c r="AF10766" s="831" t="s">
        <v>11425</v>
      </c>
      <c r="AG10766" s="831" t="s">
        <v>2674</v>
      </c>
      <c r="AH10766" s="831" t="s">
        <v>65</v>
      </c>
      <c r="AI10766" s="831">
        <v>0</v>
      </c>
      <c r="AJ10766" s="835">
        <v>41759</v>
      </c>
      <c r="AK10766" s="831">
        <v>52388499</v>
      </c>
    </row>
    <row r="10767" spans="2:37">
      <c r="B10767" s="834" t="str">
        <f t="shared" si="415"/>
        <v>|||</v>
      </c>
      <c r="H10767" s="835">
        <f t="shared" si="416"/>
        <v>31</v>
      </c>
      <c r="AF10767" s="831" t="s">
        <v>11426</v>
      </c>
      <c r="AG10767" s="831" t="s">
        <v>2674</v>
      </c>
      <c r="AH10767" s="831" t="s">
        <v>89</v>
      </c>
      <c r="AI10767" s="831">
        <v>0</v>
      </c>
      <c r="AJ10767" s="835">
        <v>41759</v>
      </c>
      <c r="AK10767" s="831">
        <v>154230</v>
      </c>
    </row>
    <row r="10768" spans="2:37">
      <c r="B10768" s="834" t="str">
        <f t="shared" si="415"/>
        <v>|||</v>
      </c>
      <c r="H10768" s="835">
        <f t="shared" si="416"/>
        <v>31</v>
      </c>
      <c r="AF10768" s="831" t="s">
        <v>11427</v>
      </c>
      <c r="AG10768" s="831" t="s">
        <v>2674</v>
      </c>
      <c r="AH10768" s="831" t="s">
        <v>557</v>
      </c>
      <c r="AI10768" s="831">
        <v>0</v>
      </c>
      <c r="AJ10768" s="835">
        <v>41759</v>
      </c>
      <c r="AK10768" s="831">
        <v>171119</v>
      </c>
    </row>
    <row r="10769" spans="2:37">
      <c r="B10769" s="834" t="str">
        <f t="shared" ref="B10769:B10832" si="417">C10769&amp;"|"&amp;D10769&amp;"|"&amp;E10769&amp;"|"&amp;F10769</f>
        <v>|||</v>
      </c>
      <c r="H10769" s="835">
        <f t="shared" ref="H10769:H10832" si="418">EOMONTH(L10769,0)</f>
        <v>31</v>
      </c>
      <c r="AF10769" s="831" t="s">
        <v>11428</v>
      </c>
      <c r="AG10769" s="831" t="s">
        <v>2674</v>
      </c>
      <c r="AH10769" s="831" t="s">
        <v>29</v>
      </c>
      <c r="AI10769" s="831">
        <v>0</v>
      </c>
      <c r="AJ10769" s="835">
        <v>41759</v>
      </c>
      <c r="AK10769" s="831">
        <v>2260198</v>
      </c>
    </row>
    <row r="10770" spans="2:37">
      <c r="B10770" s="834" t="str">
        <f t="shared" si="417"/>
        <v>|||</v>
      </c>
      <c r="H10770" s="835">
        <f t="shared" si="418"/>
        <v>31</v>
      </c>
      <c r="AF10770" s="831" t="s">
        <v>11429</v>
      </c>
      <c r="AG10770" s="831" t="s">
        <v>2674</v>
      </c>
      <c r="AH10770" s="831" t="s">
        <v>2688</v>
      </c>
      <c r="AI10770" s="831">
        <v>0</v>
      </c>
      <c r="AJ10770" s="835">
        <v>41759</v>
      </c>
      <c r="AK10770" s="831">
        <v>4802589</v>
      </c>
    </row>
    <row r="10771" spans="2:37">
      <c r="B10771" s="834" t="str">
        <f t="shared" si="417"/>
        <v>|||</v>
      </c>
      <c r="H10771" s="835">
        <f t="shared" si="418"/>
        <v>31</v>
      </c>
      <c r="AF10771" s="831" t="s">
        <v>11430</v>
      </c>
      <c r="AG10771" s="831" t="s">
        <v>2674</v>
      </c>
      <c r="AH10771" s="831" t="s">
        <v>556</v>
      </c>
      <c r="AI10771" s="831">
        <v>0</v>
      </c>
      <c r="AJ10771" s="835">
        <v>41759</v>
      </c>
      <c r="AK10771" s="831">
        <v>1644732</v>
      </c>
    </row>
    <row r="10772" spans="2:37">
      <c r="B10772" s="834" t="str">
        <f t="shared" si="417"/>
        <v>|||</v>
      </c>
      <c r="H10772" s="835">
        <f t="shared" si="418"/>
        <v>31</v>
      </c>
      <c r="AF10772" s="831" t="s">
        <v>11431</v>
      </c>
      <c r="AG10772" s="831" t="s">
        <v>2674</v>
      </c>
      <c r="AH10772" s="831" t="s">
        <v>555</v>
      </c>
      <c r="AI10772" s="831">
        <v>0</v>
      </c>
      <c r="AJ10772" s="835">
        <v>41759</v>
      </c>
      <c r="AK10772" s="831">
        <v>465033436</v>
      </c>
    </row>
    <row r="10773" spans="2:37">
      <c r="B10773" s="834" t="str">
        <f t="shared" si="417"/>
        <v>|||</v>
      </c>
      <c r="H10773" s="835">
        <f t="shared" si="418"/>
        <v>31</v>
      </c>
      <c r="AF10773" s="831" t="s">
        <v>11432</v>
      </c>
      <c r="AG10773" s="831" t="s">
        <v>2674</v>
      </c>
      <c r="AH10773" s="831" t="s">
        <v>554</v>
      </c>
      <c r="AI10773" s="831">
        <v>0</v>
      </c>
      <c r="AJ10773" s="835">
        <v>41759</v>
      </c>
      <c r="AK10773" s="831">
        <v>471272450</v>
      </c>
    </row>
    <row r="10774" spans="2:37">
      <c r="B10774" s="834" t="str">
        <f t="shared" si="417"/>
        <v>|||</v>
      </c>
      <c r="H10774" s="835">
        <f t="shared" si="418"/>
        <v>31</v>
      </c>
      <c r="AF10774" s="831" t="s">
        <v>11433</v>
      </c>
      <c r="AG10774" s="831" t="s">
        <v>2674</v>
      </c>
      <c r="AH10774" s="831" t="s">
        <v>553</v>
      </c>
      <c r="AI10774" s="831">
        <v>0</v>
      </c>
      <c r="AJ10774" s="835">
        <v>41759</v>
      </c>
      <c r="AK10774" s="831">
        <v>0</v>
      </c>
    </row>
    <row r="10775" spans="2:37">
      <c r="B10775" s="834" t="str">
        <f t="shared" si="417"/>
        <v>|||</v>
      </c>
      <c r="H10775" s="835">
        <f t="shared" si="418"/>
        <v>31</v>
      </c>
      <c r="AF10775" s="831" t="s">
        <v>11434</v>
      </c>
      <c r="AG10775" s="831" t="s">
        <v>2674</v>
      </c>
      <c r="AH10775" s="831" t="s">
        <v>552</v>
      </c>
      <c r="AI10775" s="831">
        <v>0</v>
      </c>
      <c r="AJ10775" s="835">
        <v>41759</v>
      </c>
      <c r="AK10775" s="831">
        <v>0</v>
      </c>
    </row>
    <row r="10776" spans="2:37">
      <c r="B10776" s="834" t="str">
        <f t="shared" si="417"/>
        <v>|||</v>
      </c>
      <c r="H10776" s="835">
        <f t="shared" si="418"/>
        <v>31</v>
      </c>
      <c r="AF10776" s="831" t="s">
        <v>11435</v>
      </c>
      <c r="AG10776" s="831" t="s">
        <v>2674</v>
      </c>
      <c r="AH10776" s="831" t="s">
        <v>551</v>
      </c>
      <c r="AI10776" s="831">
        <v>0</v>
      </c>
      <c r="AJ10776" s="835">
        <v>41759</v>
      </c>
      <c r="AK10776" s="831">
        <v>2028560</v>
      </c>
    </row>
    <row r="10777" spans="2:37">
      <c r="B10777" s="834" t="str">
        <f t="shared" si="417"/>
        <v>|||</v>
      </c>
      <c r="H10777" s="835">
        <f t="shared" si="418"/>
        <v>31</v>
      </c>
      <c r="AF10777" s="831" t="s">
        <v>11436</v>
      </c>
      <c r="AG10777" s="831" t="s">
        <v>2674</v>
      </c>
      <c r="AH10777" s="831" t="s">
        <v>550</v>
      </c>
      <c r="AI10777" s="831">
        <v>0</v>
      </c>
      <c r="AJ10777" s="835">
        <v>41759</v>
      </c>
      <c r="AK10777" s="831">
        <v>124206790</v>
      </c>
    </row>
    <row r="10778" spans="2:37">
      <c r="B10778" s="834" t="str">
        <f t="shared" si="417"/>
        <v>|||</v>
      </c>
      <c r="H10778" s="835">
        <f t="shared" si="418"/>
        <v>31</v>
      </c>
      <c r="AF10778" s="831" t="s">
        <v>11437</v>
      </c>
      <c r="AG10778" s="831" t="s">
        <v>2674</v>
      </c>
      <c r="AH10778" s="831" t="s">
        <v>562</v>
      </c>
      <c r="AI10778" s="831">
        <v>0</v>
      </c>
      <c r="AJ10778" s="835">
        <v>41759</v>
      </c>
      <c r="AK10778" s="831">
        <v>0.78374999999999995</v>
      </c>
    </row>
    <row r="10779" spans="2:37">
      <c r="B10779" s="834" t="str">
        <f t="shared" si="417"/>
        <v>|||</v>
      </c>
      <c r="H10779" s="835">
        <f t="shared" si="418"/>
        <v>31</v>
      </c>
      <c r="AF10779" s="831" t="s">
        <v>11438</v>
      </c>
      <c r="AG10779" s="831" t="s">
        <v>2674</v>
      </c>
      <c r="AH10779" s="831" t="s">
        <v>2698</v>
      </c>
      <c r="AI10779" s="831">
        <v>0</v>
      </c>
      <c r="AJ10779" s="835">
        <v>41759</v>
      </c>
      <c r="AK10779" s="831">
        <v>0.78374999999999995</v>
      </c>
    </row>
    <row r="10780" spans="2:37">
      <c r="B10780" s="834" t="str">
        <f t="shared" si="417"/>
        <v>|||</v>
      </c>
      <c r="H10780" s="835">
        <f t="shared" si="418"/>
        <v>31</v>
      </c>
      <c r="AF10780" s="831" t="s">
        <v>11439</v>
      </c>
      <c r="AG10780" s="831" t="s">
        <v>2674</v>
      </c>
      <c r="AH10780" s="831" t="s">
        <v>560</v>
      </c>
      <c r="AI10780" s="831">
        <v>0</v>
      </c>
      <c r="AJ10780" s="835">
        <v>41759</v>
      </c>
      <c r="AK10780" s="831">
        <v>0.78374999999999995</v>
      </c>
    </row>
    <row r="10781" spans="2:37">
      <c r="B10781" s="834" t="str">
        <f t="shared" si="417"/>
        <v>|||</v>
      </c>
      <c r="H10781" s="835">
        <f t="shared" si="418"/>
        <v>31</v>
      </c>
      <c r="AF10781" s="831" t="s">
        <v>11440</v>
      </c>
      <c r="AG10781" s="831" t="s">
        <v>2674</v>
      </c>
      <c r="AH10781" s="831" t="s">
        <v>559</v>
      </c>
      <c r="AI10781" s="831">
        <v>0</v>
      </c>
      <c r="AJ10781" s="835">
        <v>41759</v>
      </c>
      <c r="AK10781" s="831">
        <v>0.783808333333333</v>
      </c>
    </row>
    <row r="10782" spans="2:37">
      <c r="B10782" s="834" t="str">
        <f t="shared" si="417"/>
        <v>|||</v>
      </c>
      <c r="H10782" s="835">
        <f t="shared" si="418"/>
        <v>31</v>
      </c>
      <c r="AF10782" s="831" t="s">
        <v>11441</v>
      </c>
      <c r="AG10782" s="831" t="s">
        <v>2674</v>
      </c>
      <c r="AH10782" s="831" t="s">
        <v>568</v>
      </c>
      <c r="AI10782" s="831">
        <v>0</v>
      </c>
      <c r="AJ10782" s="835">
        <v>41759</v>
      </c>
      <c r="AK10782" s="831">
        <v>584407506.61153805</v>
      </c>
    </row>
    <row r="10783" spans="2:37">
      <c r="B10783" s="834" t="str">
        <f t="shared" si="417"/>
        <v>|||</v>
      </c>
      <c r="H10783" s="835">
        <f t="shared" si="418"/>
        <v>31</v>
      </c>
      <c r="AF10783" s="831" t="s">
        <v>11442</v>
      </c>
      <c r="AG10783" s="831" t="s">
        <v>2674</v>
      </c>
      <c r="AH10783" s="831" t="s">
        <v>569</v>
      </c>
      <c r="AI10783" s="831">
        <v>0</v>
      </c>
      <c r="AJ10783" s="835">
        <v>41759</v>
      </c>
      <c r="AK10783" s="831">
        <v>716419184.74253798</v>
      </c>
    </row>
    <row r="10784" spans="2:37">
      <c r="B10784" s="834" t="str">
        <f t="shared" si="417"/>
        <v>|||</v>
      </c>
      <c r="H10784" s="835">
        <f t="shared" si="418"/>
        <v>31</v>
      </c>
      <c r="AF10784" s="831" t="s">
        <v>11443</v>
      </c>
      <c r="AG10784" s="831" t="s">
        <v>2674</v>
      </c>
      <c r="AH10784" s="831" t="s">
        <v>570</v>
      </c>
      <c r="AI10784" s="831">
        <v>0</v>
      </c>
      <c r="AJ10784" s="835">
        <v>41759</v>
      </c>
      <c r="AK10784" s="831">
        <v>115811919.751231</v>
      </c>
    </row>
    <row r="10785" spans="2:37">
      <c r="B10785" s="834" t="str">
        <f t="shared" si="417"/>
        <v>|||</v>
      </c>
      <c r="H10785" s="835">
        <f t="shared" si="418"/>
        <v>31</v>
      </c>
      <c r="AF10785" s="831" t="s">
        <v>11444</v>
      </c>
      <c r="AG10785" s="831" t="s">
        <v>2674</v>
      </c>
      <c r="AH10785" s="831" t="s">
        <v>571</v>
      </c>
      <c r="AI10785" s="831">
        <v>0</v>
      </c>
      <c r="AJ10785" s="835">
        <v>41759</v>
      </c>
      <c r="AK10785" s="831">
        <v>346424029.66715401</v>
      </c>
    </row>
    <row r="10786" spans="2:37">
      <c r="B10786" s="834" t="str">
        <f t="shared" si="417"/>
        <v>|||</v>
      </c>
      <c r="H10786" s="835">
        <f t="shared" si="418"/>
        <v>31</v>
      </c>
      <c r="AF10786" s="831" t="s">
        <v>11445</v>
      </c>
      <c r="AG10786" s="831" t="s">
        <v>2674</v>
      </c>
      <c r="AH10786" s="831" t="s">
        <v>573</v>
      </c>
      <c r="AI10786" s="831">
        <v>0</v>
      </c>
      <c r="AJ10786" s="835">
        <v>41759</v>
      </c>
      <c r="AK10786" s="831">
        <v>806845862.31260002</v>
      </c>
    </row>
    <row r="10787" spans="2:37">
      <c r="B10787" s="834" t="str">
        <f t="shared" si="417"/>
        <v>|||</v>
      </c>
      <c r="H10787" s="835">
        <f t="shared" si="418"/>
        <v>31</v>
      </c>
      <c r="AF10787" s="831" t="s">
        <v>11446</v>
      </c>
      <c r="AG10787" s="831" t="s">
        <v>2674</v>
      </c>
      <c r="AH10787" s="831" t="s">
        <v>574</v>
      </c>
      <c r="AI10787" s="831">
        <v>0</v>
      </c>
      <c r="AJ10787" s="835">
        <v>41759</v>
      </c>
      <c r="AK10787" s="831">
        <v>655215203.79999995</v>
      </c>
    </row>
    <row r="10788" spans="2:37">
      <c r="B10788" s="834" t="str">
        <f t="shared" si="417"/>
        <v>|||</v>
      </c>
      <c r="H10788" s="835">
        <f t="shared" si="418"/>
        <v>31</v>
      </c>
      <c r="AF10788" s="831" t="s">
        <v>11447</v>
      </c>
      <c r="AG10788" s="831" t="s">
        <v>2674</v>
      </c>
      <c r="AH10788" s="831" t="s">
        <v>575</v>
      </c>
      <c r="AI10788" s="831">
        <v>0</v>
      </c>
      <c r="AJ10788" s="835">
        <v>41759</v>
      </c>
      <c r="AK10788" s="831">
        <v>120634686.182</v>
      </c>
    </row>
    <row r="10789" spans="2:37">
      <c r="B10789" s="834" t="str">
        <f t="shared" si="417"/>
        <v>|||</v>
      </c>
      <c r="H10789" s="835">
        <f t="shared" si="418"/>
        <v>31</v>
      </c>
      <c r="AF10789" s="831" t="s">
        <v>11448</v>
      </c>
      <c r="AG10789" s="831" t="s">
        <v>2674</v>
      </c>
      <c r="AH10789" s="831" t="s">
        <v>576</v>
      </c>
      <c r="AI10789" s="831">
        <v>0</v>
      </c>
      <c r="AJ10789" s="835">
        <v>41759</v>
      </c>
      <c r="AK10789" s="831">
        <v>395052602.12220001</v>
      </c>
    </row>
    <row r="10790" spans="2:37">
      <c r="B10790" s="834" t="str">
        <f t="shared" si="417"/>
        <v>|||</v>
      </c>
      <c r="H10790" s="835">
        <f t="shared" si="418"/>
        <v>31</v>
      </c>
      <c r="AF10790" s="831" t="s">
        <v>11449</v>
      </c>
      <c r="AG10790" s="831" t="s">
        <v>2674</v>
      </c>
      <c r="AH10790" s="831" t="s">
        <v>572</v>
      </c>
      <c r="AI10790" s="831">
        <v>0</v>
      </c>
      <c r="AJ10790" s="835">
        <v>41759</v>
      </c>
      <c r="AK10790" s="831">
        <v>30512730.956</v>
      </c>
    </row>
    <row r="10791" spans="2:37">
      <c r="B10791" s="834" t="str">
        <f t="shared" si="417"/>
        <v>|||</v>
      </c>
      <c r="H10791" s="835">
        <f t="shared" si="418"/>
        <v>31</v>
      </c>
      <c r="AF10791" s="831" t="s">
        <v>11450</v>
      </c>
      <c r="AG10791" s="831" t="s">
        <v>2674</v>
      </c>
      <c r="AH10791" s="831" t="s">
        <v>577</v>
      </c>
      <c r="AI10791" s="831">
        <v>0</v>
      </c>
      <c r="AJ10791" s="835">
        <v>41759</v>
      </c>
      <c r="AK10791" s="831">
        <v>146415910.76300001</v>
      </c>
    </row>
    <row r="10792" spans="2:37">
      <c r="B10792" s="834" t="str">
        <f t="shared" si="417"/>
        <v>|||</v>
      </c>
      <c r="H10792" s="835">
        <f t="shared" si="418"/>
        <v>31</v>
      </c>
      <c r="AF10792" s="831" t="s">
        <v>11451</v>
      </c>
      <c r="AG10792" s="831" t="s">
        <v>2674</v>
      </c>
      <c r="AH10792" s="831" t="s">
        <v>3042</v>
      </c>
      <c r="AI10792" s="831">
        <v>0</v>
      </c>
      <c r="AJ10792" s="835">
        <v>41759</v>
      </c>
      <c r="AK10792" s="831">
        <v>-40083828.527000003</v>
      </c>
    </row>
    <row r="10793" spans="2:37">
      <c r="B10793" s="834" t="str">
        <f t="shared" si="417"/>
        <v>|||</v>
      </c>
      <c r="H10793" s="835">
        <f t="shared" si="418"/>
        <v>31</v>
      </c>
      <c r="AF10793" s="831" t="s">
        <v>11452</v>
      </c>
      <c r="AG10793" s="831" t="s">
        <v>2674</v>
      </c>
      <c r="AH10793" s="831" t="s">
        <v>3044</v>
      </c>
      <c r="AI10793" s="831">
        <v>0</v>
      </c>
      <c r="AJ10793" s="835">
        <v>41759</v>
      </c>
      <c r="AK10793" s="831">
        <v>-3325177.89</v>
      </c>
    </row>
    <row r="10794" spans="2:37">
      <c r="B10794" s="834" t="str">
        <f t="shared" si="417"/>
        <v>|||</v>
      </c>
      <c r="H10794" s="835">
        <f t="shared" si="418"/>
        <v>31</v>
      </c>
      <c r="AF10794" s="831" t="s">
        <v>11453</v>
      </c>
      <c r="AG10794" s="831" t="s">
        <v>2674</v>
      </c>
      <c r="AH10794" s="831" t="s">
        <v>580</v>
      </c>
      <c r="AI10794" s="831">
        <v>0</v>
      </c>
      <c r="AJ10794" s="835">
        <v>41759</v>
      </c>
      <c r="AK10794" s="831">
        <v>-68772047.306999996</v>
      </c>
    </row>
    <row r="10795" spans="2:37">
      <c r="B10795" s="834" t="str">
        <f t="shared" si="417"/>
        <v>|||</v>
      </c>
      <c r="H10795" s="835">
        <f t="shared" si="418"/>
        <v>31</v>
      </c>
      <c r="AF10795" s="831" t="s">
        <v>11454</v>
      </c>
      <c r="AG10795" s="831" t="s">
        <v>2674</v>
      </c>
      <c r="AH10795" s="831" t="s">
        <v>581</v>
      </c>
      <c r="AI10795" s="831">
        <v>0</v>
      </c>
      <c r="AJ10795" s="835">
        <v>41759</v>
      </c>
      <c r="AK10795" s="831">
        <v>5605173.8940000003</v>
      </c>
    </row>
    <row r="10796" spans="2:37">
      <c r="B10796" s="834" t="str">
        <f t="shared" si="417"/>
        <v>|||</v>
      </c>
      <c r="H10796" s="835">
        <f t="shared" si="418"/>
        <v>31</v>
      </c>
      <c r="AF10796" s="831" t="s">
        <v>11455</v>
      </c>
      <c r="AG10796" s="831" t="s">
        <v>2674</v>
      </c>
      <c r="AH10796" s="831" t="s">
        <v>105</v>
      </c>
      <c r="AI10796" s="831">
        <v>0</v>
      </c>
      <c r="AJ10796" s="835">
        <v>41759</v>
      </c>
      <c r="AK10796" s="831">
        <v>408959601</v>
      </c>
    </row>
    <row r="10797" spans="2:37">
      <c r="B10797" s="834" t="str">
        <f t="shared" si="417"/>
        <v>|||</v>
      </c>
      <c r="H10797" s="835">
        <f t="shared" si="418"/>
        <v>31</v>
      </c>
      <c r="AF10797" s="831" t="s">
        <v>11456</v>
      </c>
      <c r="AG10797" s="831" t="s">
        <v>2674</v>
      </c>
      <c r="AH10797" s="831" t="s">
        <v>3049</v>
      </c>
      <c r="AI10797" s="831">
        <v>0</v>
      </c>
      <c r="AJ10797" s="835">
        <v>41759</v>
      </c>
      <c r="AK10797" s="831">
        <v>692167557</v>
      </c>
    </row>
    <row r="10798" spans="2:37">
      <c r="B10798" s="834" t="str">
        <f t="shared" si="417"/>
        <v>|||</v>
      </c>
      <c r="H10798" s="835">
        <f t="shared" si="418"/>
        <v>31</v>
      </c>
      <c r="AF10798" s="831" t="s">
        <v>11457</v>
      </c>
      <c r="AG10798" s="831" t="s">
        <v>2674</v>
      </c>
      <c r="AH10798" s="831" t="s">
        <v>103</v>
      </c>
      <c r="AI10798" s="831">
        <v>0</v>
      </c>
      <c r="AJ10798" s="835">
        <v>41759</v>
      </c>
      <c r="AK10798" s="831">
        <v>283207956</v>
      </c>
    </row>
    <row r="10799" spans="2:37">
      <c r="B10799" s="834" t="str">
        <f t="shared" si="417"/>
        <v>|||</v>
      </c>
      <c r="H10799" s="835">
        <f t="shared" si="418"/>
        <v>31</v>
      </c>
      <c r="AF10799" s="831" t="s">
        <v>11458</v>
      </c>
      <c r="AG10799" s="831" t="s">
        <v>2674</v>
      </c>
      <c r="AH10799" s="831" t="s">
        <v>182</v>
      </c>
      <c r="AI10799" s="831">
        <v>0</v>
      </c>
      <c r="AJ10799" s="835">
        <v>41759</v>
      </c>
      <c r="AK10799" s="831">
        <v>69513741</v>
      </c>
    </row>
    <row r="10800" spans="2:37">
      <c r="B10800" s="834" t="str">
        <f t="shared" si="417"/>
        <v>|||</v>
      </c>
      <c r="H10800" s="835">
        <f t="shared" si="418"/>
        <v>31</v>
      </c>
      <c r="AF10800" s="831" t="s">
        <v>11459</v>
      </c>
      <c r="AG10800" s="831" t="s">
        <v>2674</v>
      </c>
      <c r="AH10800" s="831" t="s">
        <v>6600</v>
      </c>
      <c r="AI10800" s="831">
        <v>0</v>
      </c>
      <c r="AJ10800" s="835">
        <v>41759</v>
      </c>
      <c r="AK10800" s="831">
        <v>30512730.956</v>
      </c>
    </row>
    <row r="10801" spans="2:37">
      <c r="B10801" s="834" t="str">
        <f t="shared" si="417"/>
        <v>|||</v>
      </c>
      <c r="H10801" s="835">
        <f t="shared" si="418"/>
        <v>31</v>
      </c>
      <c r="AF10801" s="831" t="s">
        <v>11460</v>
      </c>
      <c r="AG10801" s="831" t="s">
        <v>2674</v>
      </c>
      <c r="AH10801" s="831" t="s">
        <v>6602</v>
      </c>
      <c r="AI10801" s="831">
        <v>0</v>
      </c>
      <c r="AJ10801" s="835">
        <v>41759</v>
      </c>
      <c r="AK10801" s="831">
        <v>11900832</v>
      </c>
    </row>
    <row r="10802" spans="2:37">
      <c r="B10802" s="834" t="str">
        <f t="shared" si="417"/>
        <v>|||</v>
      </c>
      <c r="H10802" s="835">
        <f t="shared" si="418"/>
        <v>31</v>
      </c>
      <c r="AF10802" s="831" t="s">
        <v>11461</v>
      </c>
      <c r="AG10802" s="831" t="s">
        <v>2674</v>
      </c>
      <c r="AH10802" s="831" t="s">
        <v>650</v>
      </c>
      <c r="AI10802" s="831">
        <v>0</v>
      </c>
      <c r="AJ10802" s="835">
        <v>41759</v>
      </c>
      <c r="AK10802" s="831">
        <v>234971386.50146201</v>
      </c>
    </row>
    <row r="10803" spans="2:37">
      <c r="B10803" s="834" t="str">
        <f t="shared" si="417"/>
        <v>|||</v>
      </c>
      <c r="H10803" s="835">
        <f t="shared" si="418"/>
        <v>31</v>
      </c>
      <c r="AF10803" s="831" t="s">
        <v>11462</v>
      </c>
      <c r="AG10803" s="831" t="s">
        <v>2674</v>
      </c>
      <c r="AH10803" s="831" t="s">
        <v>655</v>
      </c>
      <c r="AI10803" s="831">
        <v>0</v>
      </c>
      <c r="AJ10803" s="835">
        <v>41759</v>
      </c>
      <c r="AK10803" s="831">
        <v>1842214</v>
      </c>
    </row>
    <row r="10804" spans="2:37">
      <c r="B10804" s="834" t="str">
        <f t="shared" si="417"/>
        <v>|||</v>
      </c>
      <c r="H10804" s="835">
        <f t="shared" si="418"/>
        <v>31</v>
      </c>
      <c r="AF10804" s="831" t="s">
        <v>11463</v>
      </c>
      <c r="AG10804" s="831" t="s">
        <v>2674</v>
      </c>
      <c r="AH10804" s="831" t="s">
        <v>546</v>
      </c>
      <c r="AI10804" s="831">
        <v>0</v>
      </c>
      <c r="AJ10804" s="835">
        <v>41790</v>
      </c>
      <c r="AK10804" s="831">
        <v>718268239</v>
      </c>
    </row>
    <row r="10805" spans="2:37">
      <c r="B10805" s="834" t="str">
        <f t="shared" si="417"/>
        <v>|||</v>
      </c>
      <c r="H10805" s="835">
        <f t="shared" si="418"/>
        <v>31</v>
      </c>
      <c r="AF10805" s="831" t="s">
        <v>11464</v>
      </c>
      <c r="AG10805" s="831" t="s">
        <v>2674</v>
      </c>
      <c r="AH10805" s="831" t="s">
        <v>370</v>
      </c>
      <c r="AI10805" s="831">
        <v>0</v>
      </c>
      <c r="AJ10805" s="835">
        <v>41790</v>
      </c>
      <c r="AK10805" s="831">
        <v>862492850</v>
      </c>
    </row>
    <row r="10806" spans="2:37">
      <c r="B10806" s="834" t="str">
        <f t="shared" si="417"/>
        <v>|||</v>
      </c>
      <c r="H10806" s="835">
        <f t="shared" si="418"/>
        <v>31</v>
      </c>
      <c r="AF10806" s="831" t="s">
        <v>11465</v>
      </c>
      <c r="AG10806" s="831" t="s">
        <v>2674</v>
      </c>
      <c r="AH10806" s="831" t="s">
        <v>126</v>
      </c>
      <c r="AI10806" s="831">
        <v>0</v>
      </c>
      <c r="AJ10806" s="835">
        <v>41790</v>
      </c>
      <c r="AK10806" s="831">
        <v>131163748</v>
      </c>
    </row>
    <row r="10807" spans="2:37">
      <c r="B10807" s="834" t="str">
        <f t="shared" si="417"/>
        <v>|||</v>
      </c>
      <c r="H10807" s="835">
        <f t="shared" si="418"/>
        <v>31</v>
      </c>
      <c r="AF10807" s="831" t="s">
        <v>11466</v>
      </c>
      <c r="AG10807" s="831" t="s">
        <v>2674</v>
      </c>
      <c r="AH10807" s="831" t="s">
        <v>268</v>
      </c>
      <c r="AI10807" s="831">
        <v>0</v>
      </c>
      <c r="AJ10807" s="835">
        <v>41790</v>
      </c>
      <c r="AK10807" s="831">
        <v>15708716</v>
      </c>
    </row>
    <row r="10808" spans="2:37">
      <c r="B10808" s="834" t="str">
        <f t="shared" si="417"/>
        <v>|||</v>
      </c>
      <c r="H10808" s="835">
        <f t="shared" si="418"/>
        <v>31</v>
      </c>
      <c r="AF10808" s="831" t="s">
        <v>11467</v>
      </c>
      <c r="AG10808" s="831" t="s">
        <v>2674</v>
      </c>
      <c r="AH10808" s="831" t="s">
        <v>547</v>
      </c>
      <c r="AI10808" s="831">
        <v>0</v>
      </c>
      <c r="AJ10808" s="835">
        <v>41790</v>
      </c>
      <c r="AK10808" s="831">
        <v>777719977</v>
      </c>
    </row>
    <row r="10809" spans="2:37">
      <c r="B10809" s="834" t="str">
        <f t="shared" si="417"/>
        <v>|||</v>
      </c>
      <c r="H10809" s="835">
        <f t="shared" si="418"/>
        <v>31</v>
      </c>
      <c r="AF10809" s="831" t="s">
        <v>11468</v>
      </c>
      <c r="AG10809" s="831" t="s">
        <v>2674</v>
      </c>
      <c r="AH10809" s="831" t="s">
        <v>548</v>
      </c>
      <c r="AI10809" s="831">
        <v>0</v>
      </c>
      <c r="AJ10809" s="835">
        <v>41790</v>
      </c>
      <c r="AK10809" s="831">
        <v>117105496</v>
      </c>
    </row>
    <row r="10810" spans="2:37">
      <c r="B10810" s="834" t="str">
        <f t="shared" si="417"/>
        <v>|||</v>
      </c>
      <c r="H10810" s="835">
        <f t="shared" si="418"/>
        <v>31</v>
      </c>
      <c r="AF10810" s="831" t="s">
        <v>11469</v>
      </c>
      <c r="AG10810" s="831" t="s">
        <v>2674</v>
      </c>
      <c r="AH10810" s="831" t="s">
        <v>549</v>
      </c>
      <c r="AI10810" s="831">
        <v>0</v>
      </c>
      <c r="AJ10810" s="835">
        <v>41790</v>
      </c>
      <c r="AK10810" s="831">
        <v>505264542</v>
      </c>
    </row>
    <row r="10811" spans="2:37">
      <c r="B10811" s="834" t="str">
        <f t="shared" si="417"/>
        <v>|||</v>
      </c>
      <c r="H10811" s="835">
        <f t="shared" si="418"/>
        <v>31</v>
      </c>
      <c r="AF10811" s="831" t="s">
        <v>11470</v>
      </c>
      <c r="AG10811" s="831" t="s">
        <v>2674</v>
      </c>
      <c r="AH10811" s="831" t="s">
        <v>192</v>
      </c>
      <c r="AI10811" s="831">
        <v>0</v>
      </c>
      <c r="AJ10811" s="835">
        <v>41790</v>
      </c>
      <c r="AK10811" s="831">
        <v>-13258185</v>
      </c>
    </row>
    <row r="10812" spans="2:37">
      <c r="B10812" s="834" t="str">
        <f t="shared" si="417"/>
        <v>|||</v>
      </c>
      <c r="H10812" s="835">
        <f t="shared" si="418"/>
        <v>31</v>
      </c>
      <c r="AF10812" s="831" t="s">
        <v>11471</v>
      </c>
      <c r="AG10812" s="831" t="s">
        <v>2674</v>
      </c>
      <c r="AH10812" s="831" t="s">
        <v>558</v>
      </c>
      <c r="AI10812" s="831">
        <v>0</v>
      </c>
      <c r="AJ10812" s="835">
        <v>41790</v>
      </c>
      <c r="AK10812" s="831">
        <v>731329102</v>
      </c>
    </row>
    <row r="10813" spans="2:37">
      <c r="B10813" s="834" t="str">
        <f t="shared" si="417"/>
        <v>|||</v>
      </c>
      <c r="H10813" s="835">
        <f t="shared" si="418"/>
        <v>31</v>
      </c>
      <c r="AF10813" s="831" t="s">
        <v>11472</v>
      </c>
      <c r="AG10813" s="831" t="s">
        <v>2674</v>
      </c>
      <c r="AH10813" s="831" t="s">
        <v>65</v>
      </c>
      <c r="AI10813" s="831">
        <v>0</v>
      </c>
      <c r="AJ10813" s="835">
        <v>41790</v>
      </c>
      <c r="AK10813" s="831">
        <v>66573989</v>
      </c>
    </row>
    <row r="10814" spans="2:37">
      <c r="B10814" s="834" t="str">
        <f t="shared" si="417"/>
        <v>|||</v>
      </c>
      <c r="H10814" s="835">
        <f t="shared" si="418"/>
        <v>31</v>
      </c>
      <c r="AF10814" s="831" t="s">
        <v>11473</v>
      </c>
      <c r="AG10814" s="831" t="s">
        <v>2674</v>
      </c>
      <c r="AH10814" s="831" t="s">
        <v>89</v>
      </c>
      <c r="AI10814" s="831">
        <v>0</v>
      </c>
      <c r="AJ10814" s="835">
        <v>41790</v>
      </c>
      <c r="AK10814" s="831">
        <v>156336</v>
      </c>
    </row>
    <row r="10815" spans="2:37">
      <c r="B10815" s="834" t="str">
        <f t="shared" si="417"/>
        <v>|||</v>
      </c>
      <c r="H10815" s="835">
        <f t="shared" si="418"/>
        <v>31</v>
      </c>
      <c r="AF10815" s="831" t="s">
        <v>11474</v>
      </c>
      <c r="AG10815" s="831" t="s">
        <v>2674</v>
      </c>
      <c r="AH10815" s="831" t="s">
        <v>557</v>
      </c>
      <c r="AI10815" s="831">
        <v>0</v>
      </c>
      <c r="AJ10815" s="835">
        <v>41790</v>
      </c>
      <c r="AK10815" s="831">
        <v>174602</v>
      </c>
    </row>
    <row r="10816" spans="2:37">
      <c r="B10816" s="834" t="str">
        <f t="shared" si="417"/>
        <v>|||</v>
      </c>
      <c r="H10816" s="835">
        <f t="shared" si="418"/>
        <v>31</v>
      </c>
      <c r="AF10816" s="831" t="s">
        <v>11475</v>
      </c>
      <c r="AG10816" s="831" t="s">
        <v>2674</v>
      </c>
      <c r="AH10816" s="831" t="s">
        <v>29</v>
      </c>
      <c r="AI10816" s="831">
        <v>0</v>
      </c>
      <c r="AJ10816" s="835">
        <v>41790</v>
      </c>
      <c r="AK10816" s="831">
        <v>2450103.0320000001</v>
      </c>
    </row>
    <row r="10817" spans="2:37">
      <c r="B10817" s="834" t="str">
        <f t="shared" si="417"/>
        <v>|||</v>
      </c>
      <c r="H10817" s="835">
        <f t="shared" si="418"/>
        <v>31</v>
      </c>
      <c r="AF10817" s="831" t="s">
        <v>11476</v>
      </c>
      <c r="AG10817" s="831" t="s">
        <v>2674</v>
      </c>
      <c r="AH10817" s="831" t="s">
        <v>2688</v>
      </c>
      <c r="AI10817" s="831">
        <v>0</v>
      </c>
      <c r="AJ10817" s="835">
        <v>41790</v>
      </c>
      <c r="AK10817" s="831">
        <v>4770534.2300000004</v>
      </c>
    </row>
    <row r="10818" spans="2:37">
      <c r="B10818" s="834" t="str">
        <f t="shared" si="417"/>
        <v>|||</v>
      </c>
      <c r="H10818" s="835">
        <f t="shared" si="418"/>
        <v>31</v>
      </c>
      <c r="AF10818" s="831" t="s">
        <v>11477</v>
      </c>
      <c r="AG10818" s="831" t="s">
        <v>2674</v>
      </c>
      <c r="AH10818" s="831" t="s">
        <v>556</v>
      </c>
      <c r="AI10818" s="831">
        <v>0</v>
      </c>
      <c r="AJ10818" s="835">
        <v>41790</v>
      </c>
      <c r="AK10818" s="831">
        <v>1644732</v>
      </c>
    </row>
    <row r="10819" spans="2:37">
      <c r="B10819" s="834" t="str">
        <f t="shared" si="417"/>
        <v>|||</v>
      </c>
      <c r="H10819" s="835">
        <f t="shared" si="418"/>
        <v>31</v>
      </c>
      <c r="AF10819" s="831" t="s">
        <v>11478</v>
      </c>
      <c r="AG10819" s="831" t="s">
        <v>2674</v>
      </c>
      <c r="AH10819" s="831" t="s">
        <v>555</v>
      </c>
      <c r="AI10819" s="831">
        <v>0</v>
      </c>
      <c r="AJ10819" s="835">
        <v>41790</v>
      </c>
      <c r="AK10819" s="831">
        <v>468159807</v>
      </c>
    </row>
    <row r="10820" spans="2:37">
      <c r="B10820" s="834" t="str">
        <f t="shared" si="417"/>
        <v>|||</v>
      </c>
      <c r="H10820" s="835">
        <f t="shared" si="418"/>
        <v>31</v>
      </c>
      <c r="AF10820" s="831" t="s">
        <v>11479</v>
      </c>
      <c r="AG10820" s="831" t="s">
        <v>2674</v>
      </c>
      <c r="AH10820" s="831" t="s">
        <v>554</v>
      </c>
      <c r="AI10820" s="831">
        <v>0</v>
      </c>
      <c r="AJ10820" s="835">
        <v>41790</v>
      </c>
      <c r="AK10820" s="831">
        <v>476165900</v>
      </c>
    </row>
    <row r="10821" spans="2:37">
      <c r="B10821" s="834" t="str">
        <f t="shared" si="417"/>
        <v>|||</v>
      </c>
      <c r="H10821" s="835">
        <f t="shared" si="418"/>
        <v>31</v>
      </c>
      <c r="AF10821" s="831" t="s">
        <v>11480</v>
      </c>
      <c r="AG10821" s="831" t="s">
        <v>2674</v>
      </c>
      <c r="AH10821" s="831" t="s">
        <v>553</v>
      </c>
      <c r="AI10821" s="831">
        <v>0</v>
      </c>
      <c r="AJ10821" s="835">
        <v>41790</v>
      </c>
      <c r="AK10821" s="831">
        <v>0</v>
      </c>
    </row>
    <row r="10822" spans="2:37">
      <c r="B10822" s="834" t="str">
        <f t="shared" si="417"/>
        <v>|||</v>
      </c>
      <c r="H10822" s="835">
        <f t="shared" si="418"/>
        <v>31</v>
      </c>
      <c r="AF10822" s="831" t="s">
        <v>11481</v>
      </c>
      <c r="AG10822" s="831" t="s">
        <v>2674</v>
      </c>
      <c r="AH10822" s="831" t="s">
        <v>552</v>
      </c>
      <c r="AI10822" s="831">
        <v>0</v>
      </c>
      <c r="AJ10822" s="835">
        <v>41790</v>
      </c>
      <c r="AK10822" s="831">
        <v>0</v>
      </c>
    </row>
    <row r="10823" spans="2:37">
      <c r="B10823" s="834" t="str">
        <f t="shared" si="417"/>
        <v>|||</v>
      </c>
      <c r="H10823" s="835">
        <f t="shared" si="418"/>
        <v>31</v>
      </c>
      <c r="AF10823" s="831" t="s">
        <v>11482</v>
      </c>
      <c r="AG10823" s="831" t="s">
        <v>2674</v>
      </c>
      <c r="AH10823" s="831" t="s">
        <v>551</v>
      </c>
      <c r="AI10823" s="831">
        <v>0</v>
      </c>
      <c r="AJ10823" s="835">
        <v>41790</v>
      </c>
      <c r="AK10823" s="831">
        <v>2150143.8450000002</v>
      </c>
    </row>
    <row r="10824" spans="2:37">
      <c r="B10824" s="834" t="str">
        <f t="shared" si="417"/>
        <v>|||</v>
      </c>
      <c r="H10824" s="835">
        <f t="shared" si="418"/>
        <v>31</v>
      </c>
      <c r="AF10824" s="831" t="s">
        <v>11483</v>
      </c>
      <c r="AG10824" s="831" t="s">
        <v>2674</v>
      </c>
      <c r="AH10824" s="831" t="s">
        <v>550</v>
      </c>
      <c r="AI10824" s="831">
        <v>0</v>
      </c>
      <c r="AJ10824" s="835">
        <v>41790</v>
      </c>
      <c r="AK10824" s="831">
        <v>127155751</v>
      </c>
    </row>
    <row r="10825" spans="2:37">
      <c r="B10825" s="834" t="str">
        <f t="shared" si="417"/>
        <v>|||</v>
      </c>
      <c r="H10825" s="835">
        <f t="shared" si="418"/>
        <v>31</v>
      </c>
      <c r="AF10825" s="831" t="s">
        <v>11484</v>
      </c>
      <c r="AG10825" s="831" t="s">
        <v>2674</v>
      </c>
      <c r="AH10825" s="831" t="s">
        <v>562</v>
      </c>
      <c r="AI10825" s="831">
        <v>0</v>
      </c>
      <c r="AJ10825" s="835">
        <v>41790</v>
      </c>
      <c r="AK10825" s="831">
        <v>0.78385000000000005</v>
      </c>
    </row>
    <row r="10826" spans="2:37">
      <c r="B10826" s="834" t="str">
        <f t="shared" si="417"/>
        <v>|||</v>
      </c>
      <c r="H10826" s="835">
        <f t="shared" si="418"/>
        <v>31</v>
      </c>
      <c r="AF10826" s="831" t="s">
        <v>11485</v>
      </c>
      <c r="AG10826" s="831" t="s">
        <v>2674</v>
      </c>
      <c r="AH10826" s="831" t="s">
        <v>2698</v>
      </c>
      <c r="AI10826" s="831">
        <v>0</v>
      </c>
      <c r="AJ10826" s="835">
        <v>41790</v>
      </c>
      <c r="AK10826" s="831">
        <v>0.78374999999999995</v>
      </c>
    </row>
    <row r="10827" spans="2:37">
      <c r="B10827" s="834" t="str">
        <f t="shared" si="417"/>
        <v>|||</v>
      </c>
      <c r="H10827" s="835">
        <f t="shared" si="418"/>
        <v>31</v>
      </c>
      <c r="AF10827" s="831" t="s">
        <v>11486</v>
      </c>
      <c r="AG10827" s="831" t="s">
        <v>2674</v>
      </c>
      <c r="AH10827" s="831" t="s">
        <v>560</v>
      </c>
      <c r="AI10827" s="831">
        <v>0</v>
      </c>
      <c r="AJ10827" s="835">
        <v>41790</v>
      </c>
      <c r="AK10827" s="831">
        <v>0.78376999999999997</v>
      </c>
    </row>
    <row r="10828" spans="2:37">
      <c r="B10828" s="834" t="str">
        <f t="shared" si="417"/>
        <v>|||</v>
      </c>
      <c r="H10828" s="835">
        <f t="shared" si="418"/>
        <v>31</v>
      </c>
      <c r="AF10828" s="831" t="s">
        <v>11487</v>
      </c>
      <c r="AG10828" s="831" t="s">
        <v>2674</v>
      </c>
      <c r="AH10828" s="831" t="s">
        <v>559</v>
      </c>
      <c r="AI10828" s="831">
        <v>0</v>
      </c>
      <c r="AJ10828" s="835">
        <v>41790</v>
      </c>
      <c r="AK10828" s="831">
        <v>0.783791666666667</v>
      </c>
    </row>
    <row r="10829" spans="2:37">
      <c r="B10829" s="834" t="str">
        <f t="shared" si="417"/>
        <v>|||</v>
      </c>
      <c r="H10829" s="835">
        <f t="shared" si="418"/>
        <v>31</v>
      </c>
      <c r="AF10829" s="831" t="s">
        <v>11488</v>
      </c>
      <c r="AG10829" s="831" t="s">
        <v>2674</v>
      </c>
      <c r="AH10829" s="831" t="s">
        <v>568</v>
      </c>
      <c r="AI10829" s="831">
        <v>0</v>
      </c>
      <c r="AJ10829" s="835">
        <v>41790</v>
      </c>
      <c r="AK10829" s="831">
        <v>602753430.99615395</v>
      </c>
    </row>
    <row r="10830" spans="2:37">
      <c r="B10830" s="834" t="str">
        <f t="shared" si="417"/>
        <v>|||</v>
      </c>
      <c r="H10830" s="835">
        <f t="shared" si="418"/>
        <v>31</v>
      </c>
      <c r="AF10830" s="831" t="s">
        <v>11489</v>
      </c>
      <c r="AG10830" s="831" t="s">
        <v>2674</v>
      </c>
      <c r="AH10830" s="831" t="s">
        <v>569</v>
      </c>
      <c r="AI10830" s="831">
        <v>0</v>
      </c>
      <c r="AJ10830" s="835">
        <v>41790</v>
      </c>
      <c r="AK10830" s="831">
        <v>739200989.89638495</v>
      </c>
    </row>
    <row r="10831" spans="2:37">
      <c r="B10831" s="834" t="str">
        <f t="shared" si="417"/>
        <v>|||</v>
      </c>
      <c r="H10831" s="835">
        <f t="shared" si="418"/>
        <v>31</v>
      </c>
      <c r="AF10831" s="831" t="s">
        <v>11490</v>
      </c>
      <c r="AG10831" s="831" t="s">
        <v>2674</v>
      </c>
      <c r="AH10831" s="831" t="s">
        <v>570</v>
      </c>
      <c r="AI10831" s="831">
        <v>0</v>
      </c>
      <c r="AJ10831" s="835">
        <v>41790</v>
      </c>
      <c r="AK10831" s="831">
        <v>117953141.443538</v>
      </c>
    </row>
    <row r="10832" spans="2:37">
      <c r="B10832" s="834" t="str">
        <f t="shared" si="417"/>
        <v>|||</v>
      </c>
      <c r="H10832" s="835">
        <f t="shared" si="418"/>
        <v>31</v>
      </c>
      <c r="AF10832" s="831" t="s">
        <v>11491</v>
      </c>
      <c r="AG10832" s="831" t="s">
        <v>2674</v>
      </c>
      <c r="AH10832" s="831" t="s">
        <v>571</v>
      </c>
      <c r="AI10832" s="831">
        <v>0</v>
      </c>
      <c r="AJ10832" s="835">
        <v>41790</v>
      </c>
      <c r="AK10832" s="831">
        <v>358988619.82099998</v>
      </c>
    </row>
    <row r="10833" spans="2:37">
      <c r="B10833" s="834" t="str">
        <f t="shared" ref="B10833:B10896" si="419">C10833&amp;"|"&amp;D10833&amp;"|"&amp;E10833&amp;"|"&amp;F10833</f>
        <v>|||</v>
      </c>
      <c r="H10833" s="835">
        <f t="shared" ref="H10833:H10896" si="420">EOMONTH(L10833,0)</f>
        <v>31</v>
      </c>
      <c r="AF10833" s="831" t="s">
        <v>11492</v>
      </c>
      <c r="AG10833" s="831" t="s">
        <v>2674</v>
      </c>
      <c r="AH10833" s="831" t="s">
        <v>573</v>
      </c>
      <c r="AI10833" s="831">
        <v>0</v>
      </c>
      <c r="AJ10833" s="835">
        <v>41790</v>
      </c>
      <c r="AK10833" s="831">
        <v>816120360.26049995</v>
      </c>
    </row>
    <row r="10834" spans="2:37">
      <c r="B10834" s="834" t="str">
        <f t="shared" si="419"/>
        <v>|||</v>
      </c>
      <c r="H10834" s="835">
        <f t="shared" si="420"/>
        <v>31</v>
      </c>
      <c r="AF10834" s="831" t="s">
        <v>11493</v>
      </c>
      <c r="AG10834" s="831" t="s">
        <v>2674</v>
      </c>
      <c r="AH10834" s="831" t="s">
        <v>574</v>
      </c>
      <c r="AI10834" s="831">
        <v>0</v>
      </c>
      <c r="AJ10834" s="835">
        <v>41790</v>
      </c>
      <c r="AK10834" s="831">
        <v>665724043</v>
      </c>
    </row>
    <row r="10835" spans="2:37">
      <c r="B10835" s="834" t="str">
        <f t="shared" si="419"/>
        <v>|||</v>
      </c>
      <c r="H10835" s="835">
        <f t="shared" si="420"/>
        <v>31</v>
      </c>
      <c r="AF10835" s="831" t="s">
        <v>11494</v>
      </c>
      <c r="AG10835" s="831" t="s">
        <v>2674</v>
      </c>
      <c r="AH10835" s="831" t="s">
        <v>575</v>
      </c>
      <c r="AI10835" s="831">
        <v>0</v>
      </c>
      <c r="AJ10835" s="835">
        <v>41790</v>
      </c>
      <c r="AK10835" s="831">
        <v>122389529.818333</v>
      </c>
    </row>
    <row r="10836" spans="2:37">
      <c r="B10836" s="834" t="str">
        <f t="shared" si="419"/>
        <v>|||</v>
      </c>
      <c r="H10836" s="835">
        <f t="shared" si="420"/>
        <v>31</v>
      </c>
      <c r="AF10836" s="831" t="s">
        <v>11495</v>
      </c>
      <c r="AG10836" s="831" t="s">
        <v>2674</v>
      </c>
      <c r="AH10836" s="831" t="s">
        <v>576</v>
      </c>
      <c r="AI10836" s="831">
        <v>0</v>
      </c>
      <c r="AJ10836" s="835">
        <v>41790</v>
      </c>
      <c r="AK10836" s="831">
        <v>399225453.60183299</v>
      </c>
    </row>
    <row r="10837" spans="2:37">
      <c r="B10837" s="834" t="str">
        <f t="shared" si="419"/>
        <v>|||</v>
      </c>
      <c r="H10837" s="835">
        <f t="shared" si="420"/>
        <v>31</v>
      </c>
      <c r="AF10837" s="831" t="s">
        <v>11496</v>
      </c>
      <c r="AG10837" s="831" t="s">
        <v>2674</v>
      </c>
      <c r="AH10837" s="831" t="s">
        <v>572</v>
      </c>
      <c r="AI10837" s="831">
        <v>0</v>
      </c>
      <c r="AJ10837" s="835">
        <v>41790</v>
      </c>
      <c r="AK10837" s="831">
        <v>31997124.956</v>
      </c>
    </row>
    <row r="10838" spans="2:37">
      <c r="B10838" s="834" t="str">
        <f t="shared" si="419"/>
        <v>|||</v>
      </c>
      <c r="H10838" s="835">
        <f t="shared" si="420"/>
        <v>31</v>
      </c>
      <c r="AF10838" s="831" t="s">
        <v>11497</v>
      </c>
      <c r="AG10838" s="831" t="s">
        <v>2674</v>
      </c>
      <c r="AH10838" s="831" t="s">
        <v>577</v>
      </c>
      <c r="AI10838" s="831">
        <v>0</v>
      </c>
      <c r="AJ10838" s="835">
        <v>41790</v>
      </c>
      <c r="AK10838" s="831">
        <v>149793646.76300001</v>
      </c>
    </row>
    <row r="10839" spans="2:37">
      <c r="B10839" s="834" t="str">
        <f t="shared" si="419"/>
        <v>|||</v>
      </c>
      <c r="H10839" s="835">
        <f t="shared" si="420"/>
        <v>31</v>
      </c>
      <c r="AF10839" s="831" t="s">
        <v>11498</v>
      </c>
      <c r="AG10839" s="831" t="s">
        <v>2674</v>
      </c>
      <c r="AH10839" s="831" t="s">
        <v>3042</v>
      </c>
      <c r="AI10839" s="831">
        <v>0</v>
      </c>
      <c r="AJ10839" s="835">
        <v>41790</v>
      </c>
      <c r="AK10839" s="831">
        <v>-41488938.527000003</v>
      </c>
    </row>
    <row r="10840" spans="2:37">
      <c r="B10840" s="834" t="str">
        <f t="shared" si="419"/>
        <v>|||</v>
      </c>
      <c r="H10840" s="835">
        <f t="shared" si="420"/>
        <v>31</v>
      </c>
      <c r="AF10840" s="831" t="s">
        <v>11499</v>
      </c>
      <c r="AG10840" s="831" t="s">
        <v>2674</v>
      </c>
      <c r="AH10840" s="831" t="s">
        <v>3044</v>
      </c>
      <c r="AI10840" s="831">
        <v>0</v>
      </c>
      <c r="AJ10840" s="835">
        <v>41790</v>
      </c>
      <c r="AK10840" s="831">
        <v>-2734199.89</v>
      </c>
    </row>
    <row r="10841" spans="2:37">
      <c r="B10841" s="834" t="str">
        <f t="shared" si="419"/>
        <v>|||</v>
      </c>
      <c r="H10841" s="835">
        <f t="shared" si="420"/>
        <v>31</v>
      </c>
      <c r="AF10841" s="831" t="s">
        <v>11500</v>
      </c>
      <c r="AG10841" s="831" t="s">
        <v>2674</v>
      </c>
      <c r="AH10841" s="831" t="s">
        <v>580</v>
      </c>
      <c r="AI10841" s="831">
        <v>0</v>
      </c>
      <c r="AJ10841" s="835">
        <v>41790</v>
      </c>
      <c r="AK10841" s="831">
        <v>-69707657.306999996</v>
      </c>
    </row>
    <row r="10842" spans="2:37">
      <c r="B10842" s="834" t="str">
        <f t="shared" si="419"/>
        <v>|||</v>
      </c>
      <c r="H10842" s="835">
        <f t="shared" si="420"/>
        <v>31</v>
      </c>
      <c r="AF10842" s="831" t="s">
        <v>11501</v>
      </c>
      <c r="AG10842" s="831" t="s">
        <v>2674</v>
      </c>
      <c r="AH10842" s="831" t="s">
        <v>581</v>
      </c>
      <c r="AI10842" s="831">
        <v>0</v>
      </c>
      <c r="AJ10842" s="835">
        <v>41790</v>
      </c>
      <c r="AK10842" s="831">
        <v>5958727.8940000003</v>
      </c>
    </row>
    <row r="10843" spans="2:37">
      <c r="B10843" s="834" t="str">
        <f t="shared" si="419"/>
        <v>|||</v>
      </c>
      <c r="H10843" s="835">
        <f t="shared" si="420"/>
        <v>31</v>
      </c>
      <c r="AF10843" s="831" t="s">
        <v>11502</v>
      </c>
      <c r="AG10843" s="831" t="s">
        <v>2674</v>
      </c>
      <c r="AH10843" s="831" t="s">
        <v>105</v>
      </c>
      <c r="AI10843" s="831">
        <v>0</v>
      </c>
      <c r="AJ10843" s="835">
        <v>41790</v>
      </c>
      <c r="AK10843" s="831">
        <v>420089711</v>
      </c>
    </row>
    <row r="10844" spans="2:37">
      <c r="B10844" s="834" t="str">
        <f t="shared" si="419"/>
        <v>|||</v>
      </c>
      <c r="H10844" s="835">
        <f t="shared" si="420"/>
        <v>31</v>
      </c>
      <c r="AF10844" s="831" t="s">
        <v>11503</v>
      </c>
      <c r="AG10844" s="831" t="s">
        <v>2674</v>
      </c>
      <c r="AH10844" s="831" t="s">
        <v>3049</v>
      </c>
      <c r="AI10844" s="831">
        <v>0</v>
      </c>
      <c r="AJ10844" s="835">
        <v>41790</v>
      </c>
      <c r="AK10844" s="831">
        <v>709561626</v>
      </c>
    </row>
    <row r="10845" spans="2:37">
      <c r="B10845" s="834" t="str">
        <f t="shared" si="419"/>
        <v>|||</v>
      </c>
      <c r="H10845" s="835">
        <f t="shared" si="420"/>
        <v>31</v>
      </c>
      <c r="AF10845" s="831" t="s">
        <v>11504</v>
      </c>
      <c r="AG10845" s="831" t="s">
        <v>2674</v>
      </c>
      <c r="AH10845" s="831" t="s">
        <v>103</v>
      </c>
      <c r="AI10845" s="831">
        <v>0</v>
      </c>
      <c r="AJ10845" s="835">
        <v>41790</v>
      </c>
      <c r="AK10845" s="831">
        <v>289471915</v>
      </c>
    </row>
    <row r="10846" spans="2:37">
      <c r="B10846" s="834" t="str">
        <f t="shared" si="419"/>
        <v>|||</v>
      </c>
      <c r="H10846" s="835">
        <f t="shared" si="420"/>
        <v>31</v>
      </c>
      <c r="AF10846" s="831" t="s">
        <v>11505</v>
      </c>
      <c r="AG10846" s="831" t="s">
        <v>2674</v>
      </c>
      <c r="AH10846" s="831" t="s">
        <v>182</v>
      </c>
      <c r="AI10846" s="831">
        <v>0</v>
      </c>
      <c r="AJ10846" s="835">
        <v>41790</v>
      </c>
      <c r="AK10846" s="831">
        <v>69984388.799999997</v>
      </c>
    </row>
    <row r="10847" spans="2:37">
      <c r="B10847" s="834" t="str">
        <f t="shared" si="419"/>
        <v>|||</v>
      </c>
      <c r="H10847" s="835">
        <f t="shared" si="420"/>
        <v>31</v>
      </c>
      <c r="AF10847" s="831" t="s">
        <v>11506</v>
      </c>
      <c r="AG10847" s="831" t="s">
        <v>2674</v>
      </c>
      <c r="AH10847" s="831" t="s">
        <v>6600</v>
      </c>
      <c r="AI10847" s="831">
        <v>0</v>
      </c>
      <c r="AJ10847" s="835">
        <v>41790</v>
      </c>
      <c r="AK10847" s="831">
        <v>31997124.956</v>
      </c>
    </row>
    <row r="10848" spans="2:37">
      <c r="B10848" s="834" t="str">
        <f t="shared" si="419"/>
        <v>|||</v>
      </c>
      <c r="H10848" s="835">
        <f t="shared" si="420"/>
        <v>31</v>
      </c>
      <c r="AF10848" s="831" t="s">
        <v>11507</v>
      </c>
      <c r="AG10848" s="831" t="s">
        <v>2674</v>
      </c>
      <c r="AH10848" s="831" t="s">
        <v>6602</v>
      </c>
      <c r="AI10848" s="831">
        <v>0</v>
      </c>
      <c r="AJ10848" s="835">
        <v>41790</v>
      </c>
      <c r="AK10848" s="831">
        <v>15708716</v>
      </c>
    </row>
    <row r="10849" spans="2:37">
      <c r="B10849" s="834" t="str">
        <f t="shared" si="419"/>
        <v>|||</v>
      </c>
      <c r="H10849" s="835">
        <f t="shared" si="420"/>
        <v>31</v>
      </c>
      <c r="AF10849" s="831" t="s">
        <v>11508</v>
      </c>
      <c r="AG10849" s="831" t="s">
        <v>2674</v>
      </c>
      <c r="AH10849" s="831" t="s">
        <v>650</v>
      </c>
      <c r="AI10849" s="831">
        <v>0</v>
      </c>
      <c r="AJ10849" s="835">
        <v>41790</v>
      </c>
      <c r="AK10849" s="831">
        <v>242496217.73223099</v>
      </c>
    </row>
    <row r="10850" spans="2:37">
      <c r="B10850" s="834" t="str">
        <f t="shared" si="419"/>
        <v>|||</v>
      </c>
      <c r="H10850" s="835">
        <f t="shared" si="420"/>
        <v>31</v>
      </c>
      <c r="AF10850" s="831" t="s">
        <v>11509</v>
      </c>
      <c r="AG10850" s="831" t="s">
        <v>2674</v>
      </c>
      <c r="AH10850" s="831" t="s">
        <v>655</v>
      </c>
      <c r="AI10850" s="831">
        <v>0</v>
      </c>
      <c r="AJ10850" s="835">
        <v>41790</v>
      </c>
      <c r="AK10850" s="831">
        <v>1936751.44</v>
      </c>
    </row>
    <row r="10851" spans="2:37">
      <c r="B10851" s="834" t="str">
        <f t="shared" si="419"/>
        <v>|||</v>
      </c>
      <c r="H10851" s="835">
        <f t="shared" si="420"/>
        <v>31</v>
      </c>
      <c r="AF10851" s="831" t="s">
        <v>11510</v>
      </c>
      <c r="AG10851" s="831" t="s">
        <v>2674</v>
      </c>
      <c r="AH10851" s="831" t="s">
        <v>546</v>
      </c>
      <c r="AI10851" s="831">
        <v>0</v>
      </c>
      <c r="AJ10851" s="835">
        <v>41820</v>
      </c>
      <c r="AK10851" s="831">
        <v>728057591</v>
      </c>
    </row>
    <row r="10852" spans="2:37">
      <c r="B10852" s="834" t="str">
        <f t="shared" si="419"/>
        <v>|||</v>
      </c>
      <c r="H10852" s="835">
        <f t="shared" si="420"/>
        <v>31</v>
      </c>
      <c r="AF10852" s="831" t="s">
        <v>11511</v>
      </c>
      <c r="AG10852" s="831" t="s">
        <v>2674</v>
      </c>
      <c r="AH10852" s="831" t="s">
        <v>370</v>
      </c>
      <c r="AI10852" s="831">
        <v>0</v>
      </c>
      <c r="AJ10852" s="835">
        <v>41820</v>
      </c>
      <c r="AK10852" s="831">
        <v>911200946</v>
      </c>
    </row>
    <row r="10853" spans="2:37">
      <c r="B10853" s="834" t="str">
        <f t="shared" si="419"/>
        <v>|||</v>
      </c>
      <c r="H10853" s="835">
        <f t="shared" si="420"/>
        <v>31</v>
      </c>
      <c r="AF10853" s="831" t="s">
        <v>11512</v>
      </c>
      <c r="AG10853" s="831" t="s">
        <v>2674</v>
      </c>
      <c r="AH10853" s="831" t="s">
        <v>126</v>
      </c>
      <c r="AI10853" s="831">
        <v>0</v>
      </c>
      <c r="AJ10853" s="835">
        <v>41820</v>
      </c>
      <c r="AK10853" s="831">
        <v>135362821</v>
      </c>
    </row>
    <row r="10854" spans="2:37">
      <c r="B10854" s="834" t="str">
        <f t="shared" si="419"/>
        <v>|||</v>
      </c>
      <c r="H10854" s="835">
        <f t="shared" si="420"/>
        <v>31</v>
      </c>
      <c r="AF10854" s="831" t="s">
        <v>11513</v>
      </c>
      <c r="AG10854" s="831" t="s">
        <v>2674</v>
      </c>
      <c r="AH10854" s="831" t="s">
        <v>268</v>
      </c>
      <c r="AI10854" s="831">
        <v>0</v>
      </c>
      <c r="AJ10854" s="835">
        <v>41820</v>
      </c>
      <c r="AK10854" s="831">
        <v>18626919</v>
      </c>
    </row>
    <row r="10855" spans="2:37">
      <c r="B10855" s="834" t="str">
        <f t="shared" si="419"/>
        <v>|||</v>
      </c>
      <c r="H10855" s="835">
        <f t="shared" si="420"/>
        <v>31</v>
      </c>
      <c r="AF10855" s="831" t="s">
        <v>11514</v>
      </c>
      <c r="AG10855" s="831" t="s">
        <v>2674</v>
      </c>
      <c r="AH10855" s="831" t="s">
        <v>547</v>
      </c>
      <c r="AI10855" s="831">
        <v>0</v>
      </c>
      <c r="AJ10855" s="835">
        <v>41820</v>
      </c>
      <c r="AK10855" s="831">
        <v>777719977</v>
      </c>
    </row>
    <row r="10856" spans="2:37">
      <c r="B10856" s="834" t="str">
        <f t="shared" si="419"/>
        <v>|||</v>
      </c>
      <c r="H10856" s="835">
        <f t="shared" si="420"/>
        <v>31</v>
      </c>
      <c r="AF10856" s="831" t="s">
        <v>11515</v>
      </c>
      <c r="AG10856" s="831" t="s">
        <v>2674</v>
      </c>
      <c r="AH10856" s="831" t="s">
        <v>548</v>
      </c>
      <c r="AI10856" s="831">
        <v>0</v>
      </c>
      <c r="AJ10856" s="835">
        <v>41820</v>
      </c>
      <c r="AK10856" s="831">
        <v>117105496</v>
      </c>
    </row>
    <row r="10857" spans="2:37">
      <c r="B10857" s="834" t="str">
        <f t="shared" si="419"/>
        <v>|||</v>
      </c>
      <c r="H10857" s="835">
        <f t="shared" si="420"/>
        <v>31</v>
      </c>
      <c r="AF10857" s="831" t="s">
        <v>11516</v>
      </c>
      <c r="AG10857" s="831" t="s">
        <v>2674</v>
      </c>
      <c r="AH10857" s="831" t="s">
        <v>549</v>
      </c>
      <c r="AI10857" s="831">
        <v>0</v>
      </c>
      <c r="AJ10857" s="835">
        <v>41820</v>
      </c>
      <c r="AK10857" s="831">
        <v>514798833</v>
      </c>
    </row>
    <row r="10858" spans="2:37">
      <c r="B10858" s="834" t="str">
        <f t="shared" si="419"/>
        <v>|||</v>
      </c>
      <c r="H10858" s="835">
        <f t="shared" si="420"/>
        <v>31</v>
      </c>
      <c r="AF10858" s="831" t="s">
        <v>11517</v>
      </c>
      <c r="AG10858" s="831" t="s">
        <v>2674</v>
      </c>
      <c r="AH10858" s="831" t="s">
        <v>192</v>
      </c>
      <c r="AI10858" s="831">
        <v>0</v>
      </c>
      <c r="AJ10858" s="835">
        <v>41820</v>
      </c>
      <c r="AK10858" s="831">
        <v>-11632261</v>
      </c>
    </row>
    <row r="10859" spans="2:37">
      <c r="B10859" s="834" t="str">
        <f t="shared" si="419"/>
        <v>|||</v>
      </c>
      <c r="H10859" s="835">
        <f t="shared" si="420"/>
        <v>31</v>
      </c>
      <c r="AF10859" s="831" t="s">
        <v>11518</v>
      </c>
      <c r="AG10859" s="831" t="s">
        <v>2674</v>
      </c>
      <c r="AH10859" s="831" t="s">
        <v>558</v>
      </c>
      <c r="AI10859" s="831">
        <v>0</v>
      </c>
      <c r="AJ10859" s="835">
        <v>41820</v>
      </c>
      <c r="AK10859" s="831">
        <v>775838125</v>
      </c>
    </row>
    <row r="10860" spans="2:37">
      <c r="B10860" s="834" t="str">
        <f t="shared" si="419"/>
        <v>|||</v>
      </c>
      <c r="H10860" s="835">
        <f t="shared" si="420"/>
        <v>31</v>
      </c>
      <c r="AF10860" s="831" t="s">
        <v>11519</v>
      </c>
      <c r="AG10860" s="831" t="s">
        <v>2674</v>
      </c>
      <c r="AH10860" s="831" t="s">
        <v>65</v>
      </c>
      <c r="AI10860" s="831">
        <v>0</v>
      </c>
      <c r="AJ10860" s="835">
        <v>41820</v>
      </c>
      <c r="AK10860" s="831">
        <v>81270371</v>
      </c>
    </row>
    <row r="10861" spans="2:37">
      <c r="B10861" s="834" t="str">
        <f t="shared" si="419"/>
        <v>|||</v>
      </c>
      <c r="H10861" s="835">
        <f t="shared" si="420"/>
        <v>31</v>
      </c>
      <c r="AF10861" s="831" t="s">
        <v>11520</v>
      </c>
      <c r="AG10861" s="831" t="s">
        <v>2674</v>
      </c>
      <c r="AH10861" s="831" t="s">
        <v>89</v>
      </c>
      <c r="AI10861" s="831">
        <v>0</v>
      </c>
      <c r="AJ10861" s="835">
        <v>41820</v>
      </c>
      <c r="AK10861" s="831">
        <v>156581</v>
      </c>
    </row>
    <row r="10862" spans="2:37">
      <c r="B10862" s="834" t="str">
        <f t="shared" si="419"/>
        <v>|||</v>
      </c>
      <c r="H10862" s="835">
        <f t="shared" si="420"/>
        <v>31</v>
      </c>
      <c r="AF10862" s="831" t="s">
        <v>11521</v>
      </c>
      <c r="AG10862" s="831" t="s">
        <v>2674</v>
      </c>
      <c r="AH10862" s="831" t="s">
        <v>557</v>
      </c>
      <c r="AI10862" s="831">
        <v>0</v>
      </c>
      <c r="AJ10862" s="835">
        <v>41820</v>
      </c>
      <c r="AK10862" s="831">
        <v>175816</v>
      </c>
    </row>
    <row r="10863" spans="2:37">
      <c r="B10863" s="834" t="str">
        <f t="shared" si="419"/>
        <v>|||</v>
      </c>
      <c r="H10863" s="835">
        <f t="shared" si="420"/>
        <v>31</v>
      </c>
      <c r="AF10863" s="831" t="s">
        <v>11522</v>
      </c>
      <c r="AG10863" s="831" t="s">
        <v>2674</v>
      </c>
      <c r="AH10863" s="831" t="s">
        <v>29</v>
      </c>
      <c r="AI10863" s="831">
        <v>0</v>
      </c>
      <c r="AJ10863" s="835">
        <v>41820</v>
      </c>
      <c r="AK10863" s="831">
        <v>1326248.81</v>
      </c>
    </row>
    <row r="10864" spans="2:37">
      <c r="B10864" s="834" t="str">
        <f t="shared" si="419"/>
        <v>|||</v>
      </c>
      <c r="H10864" s="835">
        <f t="shared" si="420"/>
        <v>31</v>
      </c>
      <c r="AF10864" s="831" t="s">
        <v>11523</v>
      </c>
      <c r="AG10864" s="831" t="s">
        <v>2674</v>
      </c>
      <c r="AH10864" s="831" t="s">
        <v>2688</v>
      </c>
      <c r="AI10864" s="831">
        <v>0</v>
      </c>
      <c r="AJ10864" s="835">
        <v>41820</v>
      </c>
      <c r="AK10864" s="831">
        <v>4329800.9400000004</v>
      </c>
    </row>
    <row r="10865" spans="2:37">
      <c r="B10865" s="834" t="str">
        <f t="shared" si="419"/>
        <v>|||</v>
      </c>
      <c r="H10865" s="835">
        <f t="shared" si="420"/>
        <v>31</v>
      </c>
      <c r="AF10865" s="831" t="s">
        <v>11524</v>
      </c>
      <c r="AG10865" s="831" t="s">
        <v>2674</v>
      </c>
      <c r="AH10865" s="831" t="s">
        <v>556</v>
      </c>
      <c r="AI10865" s="831">
        <v>0</v>
      </c>
      <c r="AJ10865" s="835">
        <v>41820</v>
      </c>
      <c r="AK10865" s="831">
        <v>3274918</v>
      </c>
    </row>
    <row r="10866" spans="2:37">
      <c r="B10866" s="834" t="str">
        <f t="shared" si="419"/>
        <v>|||</v>
      </c>
      <c r="H10866" s="835">
        <f t="shared" si="420"/>
        <v>31</v>
      </c>
      <c r="AF10866" s="831" t="s">
        <v>11525</v>
      </c>
      <c r="AG10866" s="831" t="s">
        <v>2674</v>
      </c>
      <c r="AH10866" s="831" t="s">
        <v>555</v>
      </c>
      <c r="AI10866" s="831">
        <v>0</v>
      </c>
      <c r="AJ10866" s="835">
        <v>41820</v>
      </c>
      <c r="AK10866" s="831">
        <v>507133542</v>
      </c>
    </row>
    <row r="10867" spans="2:37">
      <c r="B10867" s="834" t="str">
        <f t="shared" si="419"/>
        <v>|||</v>
      </c>
      <c r="H10867" s="835">
        <f t="shared" si="420"/>
        <v>31</v>
      </c>
      <c r="AF10867" s="831" t="s">
        <v>11526</v>
      </c>
      <c r="AG10867" s="831" t="s">
        <v>2674</v>
      </c>
      <c r="AH10867" s="831" t="s">
        <v>554</v>
      </c>
      <c r="AI10867" s="831">
        <v>0</v>
      </c>
      <c r="AJ10867" s="835">
        <v>41820</v>
      </c>
      <c r="AK10867" s="831">
        <v>519019570</v>
      </c>
    </row>
    <row r="10868" spans="2:37">
      <c r="B10868" s="834" t="str">
        <f t="shared" si="419"/>
        <v>|||</v>
      </c>
      <c r="H10868" s="835">
        <f t="shared" si="420"/>
        <v>31</v>
      </c>
      <c r="AF10868" s="831" t="s">
        <v>11527</v>
      </c>
      <c r="AG10868" s="831" t="s">
        <v>2674</v>
      </c>
      <c r="AH10868" s="831" t="s">
        <v>553</v>
      </c>
      <c r="AI10868" s="831">
        <v>0</v>
      </c>
      <c r="AJ10868" s="835">
        <v>41820</v>
      </c>
      <c r="AK10868" s="831">
        <v>0</v>
      </c>
    </row>
    <row r="10869" spans="2:37">
      <c r="B10869" s="834" t="str">
        <f t="shared" si="419"/>
        <v>|||</v>
      </c>
      <c r="H10869" s="835">
        <f t="shared" si="420"/>
        <v>31</v>
      </c>
      <c r="AF10869" s="831" t="s">
        <v>11528</v>
      </c>
      <c r="AG10869" s="831" t="s">
        <v>2674</v>
      </c>
      <c r="AH10869" s="831" t="s">
        <v>552</v>
      </c>
      <c r="AI10869" s="831">
        <v>0</v>
      </c>
      <c r="AJ10869" s="835">
        <v>41820</v>
      </c>
      <c r="AK10869" s="831">
        <v>0</v>
      </c>
    </row>
    <row r="10870" spans="2:37">
      <c r="B10870" s="834" t="str">
        <f t="shared" si="419"/>
        <v>|||</v>
      </c>
      <c r="H10870" s="835">
        <f t="shared" si="420"/>
        <v>31</v>
      </c>
      <c r="AF10870" s="831" t="s">
        <v>11529</v>
      </c>
      <c r="AG10870" s="831" t="s">
        <v>2674</v>
      </c>
      <c r="AH10870" s="831" t="s">
        <v>551</v>
      </c>
      <c r="AI10870" s="831">
        <v>0</v>
      </c>
      <c r="AJ10870" s="835">
        <v>41820</v>
      </c>
      <c r="AK10870" s="831">
        <v>950588.81</v>
      </c>
    </row>
    <row r="10871" spans="2:37">
      <c r="B10871" s="834" t="str">
        <f t="shared" si="419"/>
        <v>|||</v>
      </c>
      <c r="H10871" s="835">
        <f t="shared" si="420"/>
        <v>31</v>
      </c>
      <c r="AF10871" s="831" t="s">
        <v>11530</v>
      </c>
      <c r="AG10871" s="831" t="s">
        <v>2674</v>
      </c>
      <c r="AH10871" s="831" t="s">
        <v>550</v>
      </c>
      <c r="AI10871" s="831">
        <v>0</v>
      </c>
      <c r="AJ10871" s="835">
        <v>41820</v>
      </c>
      <c r="AK10871" s="831">
        <v>131163748</v>
      </c>
    </row>
    <row r="10872" spans="2:37">
      <c r="B10872" s="834" t="str">
        <f t="shared" si="419"/>
        <v>|||</v>
      </c>
      <c r="H10872" s="835">
        <f t="shared" si="420"/>
        <v>31</v>
      </c>
      <c r="AF10872" s="831" t="s">
        <v>11531</v>
      </c>
      <c r="AG10872" s="831" t="s">
        <v>2674</v>
      </c>
      <c r="AH10872" s="831" t="s">
        <v>562</v>
      </c>
      <c r="AI10872" s="831">
        <v>0</v>
      </c>
      <c r="AJ10872" s="835">
        <v>41820</v>
      </c>
      <c r="AK10872" s="831">
        <v>0.78374999999999995</v>
      </c>
    </row>
    <row r="10873" spans="2:37">
      <c r="B10873" s="834" t="str">
        <f t="shared" si="419"/>
        <v>|||</v>
      </c>
      <c r="H10873" s="835">
        <f t="shared" si="420"/>
        <v>31</v>
      </c>
      <c r="AF10873" s="831" t="s">
        <v>11532</v>
      </c>
      <c r="AG10873" s="831" t="s">
        <v>2674</v>
      </c>
      <c r="AH10873" s="831" t="s">
        <v>2698</v>
      </c>
      <c r="AI10873" s="831">
        <v>0</v>
      </c>
      <c r="AJ10873" s="835">
        <v>41820</v>
      </c>
      <c r="AK10873" s="831">
        <v>0.78385000000000005</v>
      </c>
    </row>
    <row r="10874" spans="2:37">
      <c r="B10874" s="834" t="str">
        <f t="shared" si="419"/>
        <v>|||</v>
      </c>
      <c r="H10874" s="835">
        <f t="shared" si="420"/>
        <v>31</v>
      </c>
      <c r="AF10874" s="831" t="s">
        <v>11533</v>
      </c>
      <c r="AG10874" s="831" t="s">
        <v>2674</v>
      </c>
      <c r="AH10874" s="831" t="s">
        <v>560</v>
      </c>
      <c r="AI10874" s="831">
        <v>0</v>
      </c>
      <c r="AJ10874" s="835">
        <v>41820</v>
      </c>
      <c r="AK10874" s="831">
        <v>0.78376666666666694</v>
      </c>
    </row>
    <row r="10875" spans="2:37">
      <c r="B10875" s="834" t="str">
        <f t="shared" si="419"/>
        <v>|||</v>
      </c>
      <c r="H10875" s="835">
        <f t="shared" si="420"/>
        <v>31</v>
      </c>
      <c r="AF10875" s="831" t="s">
        <v>11534</v>
      </c>
      <c r="AG10875" s="831" t="s">
        <v>2674</v>
      </c>
      <c r="AH10875" s="831" t="s">
        <v>559</v>
      </c>
      <c r="AI10875" s="831">
        <v>0</v>
      </c>
      <c r="AJ10875" s="835">
        <v>41820</v>
      </c>
      <c r="AK10875" s="831">
        <v>0.783775</v>
      </c>
    </row>
    <row r="10876" spans="2:37">
      <c r="B10876" s="834" t="str">
        <f t="shared" si="419"/>
        <v>|||</v>
      </c>
      <c r="H10876" s="835">
        <f t="shared" si="420"/>
        <v>31</v>
      </c>
      <c r="AF10876" s="831" t="s">
        <v>11535</v>
      </c>
      <c r="AG10876" s="831" t="s">
        <v>2674</v>
      </c>
      <c r="AH10876" s="831" t="s">
        <v>568</v>
      </c>
      <c r="AI10876" s="831">
        <v>0</v>
      </c>
      <c r="AJ10876" s="835">
        <v>41820</v>
      </c>
      <c r="AK10876" s="831">
        <v>619891357.84230804</v>
      </c>
    </row>
    <row r="10877" spans="2:37">
      <c r="B10877" s="834" t="str">
        <f t="shared" si="419"/>
        <v>|||</v>
      </c>
      <c r="H10877" s="835">
        <f t="shared" si="420"/>
        <v>31</v>
      </c>
      <c r="AF10877" s="831" t="s">
        <v>11536</v>
      </c>
      <c r="AG10877" s="831" t="s">
        <v>2674</v>
      </c>
      <c r="AH10877" s="831" t="s">
        <v>569</v>
      </c>
      <c r="AI10877" s="831">
        <v>0</v>
      </c>
      <c r="AJ10877" s="835">
        <v>41820</v>
      </c>
      <c r="AK10877" s="831">
        <v>763501602.97330797</v>
      </c>
    </row>
    <row r="10878" spans="2:37">
      <c r="B10878" s="834" t="str">
        <f t="shared" si="419"/>
        <v>|||</v>
      </c>
      <c r="H10878" s="835">
        <f t="shared" si="420"/>
        <v>31</v>
      </c>
      <c r="AF10878" s="831" t="s">
        <v>11537</v>
      </c>
      <c r="AG10878" s="831" t="s">
        <v>2674</v>
      </c>
      <c r="AH10878" s="831" t="s">
        <v>570</v>
      </c>
      <c r="AI10878" s="831">
        <v>0</v>
      </c>
      <c r="AJ10878" s="835">
        <v>41820</v>
      </c>
      <c r="AK10878" s="831">
        <v>120238638.751231</v>
      </c>
    </row>
    <row r="10879" spans="2:37">
      <c r="B10879" s="834" t="str">
        <f t="shared" si="419"/>
        <v>|||</v>
      </c>
      <c r="H10879" s="835">
        <f t="shared" si="420"/>
        <v>31</v>
      </c>
      <c r="AF10879" s="831" t="s">
        <v>11538</v>
      </c>
      <c r="AG10879" s="831" t="s">
        <v>2674</v>
      </c>
      <c r="AH10879" s="831" t="s">
        <v>571</v>
      </c>
      <c r="AI10879" s="831">
        <v>0</v>
      </c>
      <c r="AJ10879" s="835">
        <v>41820</v>
      </c>
      <c r="AK10879" s="831">
        <v>372900260.97484601</v>
      </c>
    </row>
    <row r="10880" spans="2:37">
      <c r="B10880" s="834" t="str">
        <f t="shared" si="419"/>
        <v>|||</v>
      </c>
      <c r="H10880" s="835">
        <f t="shared" si="420"/>
        <v>31</v>
      </c>
      <c r="AF10880" s="831" t="s">
        <v>11539</v>
      </c>
      <c r="AG10880" s="831" t="s">
        <v>2674</v>
      </c>
      <c r="AH10880" s="831" t="s">
        <v>573</v>
      </c>
      <c r="AI10880" s="831">
        <v>0</v>
      </c>
      <c r="AJ10880" s="835">
        <v>41820</v>
      </c>
      <c r="AK10880" s="831">
        <v>829703301.080428</v>
      </c>
    </row>
    <row r="10881" spans="2:37">
      <c r="B10881" s="834" t="str">
        <f t="shared" si="419"/>
        <v>|||</v>
      </c>
      <c r="H10881" s="835">
        <f t="shared" si="420"/>
        <v>31</v>
      </c>
      <c r="AF10881" s="831" t="s">
        <v>11540</v>
      </c>
      <c r="AG10881" s="831" t="s">
        <v>2674</v>
      </c>
      <c r="AH10881" s="831" t="s">
        <v>574</v>
      </c>
      <c r="AI10881" s="831">
        <v>0</v>
      </c>
      <c r="AJ10881" s="835">
        <v>41820</v>
      </c>
      <c r="AK10881" s="831">
        <v>674628835.57142901</v>
      </c>
    </row>
    <row r="10882" spans="2:37">
      <c r="B10882" s="834" t="str">
        <f t="shared" si="419"/>
        <v>|||</v>
      </c>
      <c r="H10882" s="835">
        <f t="shared" si="420"/>
        <v>31</v>
      </c>
      <c r="AF10882" s="831" t="s">
        <v>11541</v>
      </c>
      <c r="AG10882" s="831" t="s">
        <v>2674</v>
      </c>
      <c r="AH10882" s="831" t="s">
        <v>575</v>
      </c>
      <c r="AI10882" s="831">
        <v>0</v>
      </c>
      <c r="AJ10882" s="835">
        <v>41820</v>
      </c>
      <c r="AK10882" s="831">
        <v>124242857.13</v>
      </c>
    </row>
    <row r="10883" spans="2:37">
      <c r="B10883" s="834" t="str">
        <f t="shared" si="419"/>
        <v>|||</v>
      </c>
      <c r="H10883" s="835">
        <f t="shared" si="420"/>
        <v>31</v>
      </c>
      <c r="AF10883" s="831" t="s">
        <v>11542</v>
      </c>
      <c r="AG10883" s="831" t="s">
        <v>2674</v>
      </c>
      <c r="AH10883" s="831" t="s">
        <v>576</v>
      </c>
      <c r="AI10883" s="831">
        <v>0</v>
      </c>
      <c r="AJ10883" s="835">
        <v>41820</v>
      </c>
      <c r="AK10883" s="831">
        <v>407269836.23014301</v>
      </c>
    </row>
    <row r="10884" spans="2:37">
      <c r="B10884" s="834" t="str">
        <f t="shared" si="419"/>
        <v>|||</v>
      </c>
      <c r="H10884" s="835">
        <f t="shared" si="420"/>
        <v>31</v>
      </c>
      <c r="AF10884" s="831" t="s">
        <v>11543</v>
      </c>
      <c r="AG10884" s="831" t="s">
        <v>2674</v>
      </c>
      <c r="AH10884" s="831" t="s">
        <v>572</v>
      </c>
      <c r="AI10884" s="831">
        <v>0</v>
      </c>
      <c r="AJ10884" s="835">
        <v>41820</v>
      </c>
      <c r="AK10884" s="831">
        <v>32506327.956</v>
      </c>
    </row>
    <row r="10885" spans="2:37">
      <c r="B10885" s="834" t="str">
        <f t="shared" si="419"/>
        <v>|||</v>
      </c>
      <c r="H10885" s="835">
        <f t="shared" si="420"/>
        <v>31</v>
      </c>
      <c r="AF10885" s="831" t="s">
        <v>11544</v>
      </c>
      <c r="AG10885" s="831" t="s">
        <v>2674</v>
      </c>
      <c r="AH10885" s="831" t="s">
        <v>577</v>
      </c>
      <c r="AI10885" s="831">
        <v>0</v>
      </c>
      <c r="AJ10885" s="835">
        <v>41820</v>
      </c>
      <c r="AK10885" s="831">
        <v>153933560.76300001</v>
      </c>
    </row>
    <row r="10886" spans="2:37">
      <c r="B10886" s="834" t="str">
        <f t="shared" si="419"/>
        <v>|||</v>
      </c>
      <c r="H10886" s="835">
        <f t="shared" si="420"/>
        <v>31</v>
      </c>
      <c r="AF10886" s="831" t="s">
        <v>11545</v>
      </c>
      <c r="AG10886" s="831" t="s">
        <v>2674</v>
      </c>
      <c r="AH10886" s="831" t="s">
        <v>3042</v>
      </c>
      <c r="AI10886" s="831">
        <v>0</v>
      </c>
      <c r="AJ10886" s="835">
        <v>41820</v>
      </c>
      <c r="AK10886" s="831">
        <v>-43087678.527000003</v>
      </c>
    </row>
    <row r="10887" spans="2:37">
      <c r="B10887" s="834" t="str">
        <f t="shared" si="419"/>
        <v>|||</v>
      </c>
      <c r="H10887" s="835">
        <f t="shared" si="420"/>
        <v>31</v>
      </c>
      <c r="AF10887" s="831" t="s">
        <v>11546</v>
      </c>
      <c r="AG10887" s="831" t="s">
        <v>2674</v>
      </c>
      <c r="AH10887" s="831" t="s">
        <v>3044</v>
      </c>
      <c r="AI10887" s="831">
        <v>0</v>
      </c>
      <c r="AJ10887" s="835">
        <v>41820</v>
      </c>
      <c r="AK10887" s="831">
        <v>-2538336.89</v>
      </c>
    </row>
    <row r="10888" spans="2:37">
      <c r="B10888" s="834" t="str">
        <f t="shared" si="419"/>
        <v>|||</v>
      </c>
      <c r="H10888" s="835">
        <f t="shared" si="420"/>
        <v>31</v>
      </c>
      <c r="AF10888" s="831" t="s">
        <v>11547</v>
      </c>
      <c r="AG10888" s="831" t="s">
        <v>2674</v>
      </c>
      <c r="AH10888" s="831" t="s">
        <v>580</v>
      </c>
      <c r="AI10888" s="831">
        <v>0</v>
      </c>
      <c r="AJ10888" s="835">
        <v>41820</v>
      </c>
      <c r="AK10888" s="831">
        <v>-71232950.306999996</v>
      </c>
    </row>
    <row r="10889" spans="2:37">
      <c r="B10889" s="834" t="str">
        <f t="shared" si="419"/>
        <v>|||</v>
      </c>
      <c r="H10889" s="835">
        <f t="shared" si="420"/>
        <v>31</v>
      </c>
      <c r="AF10889" s="831" t="s">
        <v>11548</v>
      </c>
      <c r="AG10889" s="831" t="s">
        <v>2674</v>
      </c>
      <c r="AH10889" s="831" t="s">
        <v>581</v>
      </c>
      <c r="AI10889" s="831">
        <v>0</v>
      </c>
      <c r="AJ10889" s="835">
        <v>41820</v>
      </c>
      <c r="AK10889" s="831">
        <v>5389272.8940000003</v>
      </c>
    </row>
    <row r="10890" spans="2:37">
      <c r="B10890" s="834" t="str">
        <f t="shared" si="419"/>
        <v>|||</v>
      </c>
      <c r="H10890" s="835">
        <f t="shared" si="420"/>
        <v>31</v>
      </c>
      <c r="AF10890" s="831" t="s">
        <v>11549</v>
      </c>
      <c r="AG10890" s="831" t="s">
        <v>2674</v>
      </c>
      <c r="AH10890" s="831" t="s">
        <v>105</v>
      </c>
      <c r="AI10890" s="831">
        <v>0</v>
      </c>
      <c r="AJ10890" s="835">
        <v>41820</v>
      </c>
      <c r="AK10890" s="831">
        <v>455536132</v>
      </c>
    </row>
    <row r="10891" spans="2:37">
      <c r="B10891" s="834" t="str">
        <f t="shared" si="419"/>
        <v>|||</v>
      </c>
      <c r="H10891" s="835">
        <f t="shared" si="420"/>
        <v>31</v>
      </c>
      <c r="AF10891" s="831" t="s">
        <v>11550</v>
      </c>
      <c r="AG10891" s="831" t="s">
        <v>2674</v>
      </c>
      <c r="AH10891" s="831" t="s">
        <v>3049</v>
      </c>
      <c r="AI10891" s="831">
        <v>0</v>
      </c>
      <c r="AJ10891" s="835">
        <v>41820</v>
      </c>
      <c r="AK10891" s="831">
        <v>754458364</v>
      </c>
    </row>
    <row r="10892" spans="2:37">
      <c r="B10892" s="834" t="str">
        <f t="shared" si="419"/>
        <v>|||</v>
      </c>
      <c r="H10892" s="835">
        <f t="shared" si="420"/>
        <v>31</v>
      </c>
      <c r="AF10892" s="831" t="s">
        <v>11551</v>
      </c>
      <c r="AG10892" s="831" t="s">
        <v>2674</v>
      </c>
      <c r="AH10892" s="831" t="s">
        <v>103</v>
      </c>
      <c r="AI10892" s="831">
        <v>0</v>
      </c>
      <c r="AJ10892" s="835">
        <v>41820</v>
      </c>
      <c r="AK10892" s="831">
        <v>298922232</v>
      </c>
    </row>
    <row r="10893" spans="2:37">
      <c r="B10893" s="834" t="str">
        <f t="shared" si="419"/>
        <v>|||</v>
      </c>
      <c r="H10893" s="835">
        <f t="shared" si="420"/>
        <v>31</v>
      </c>
      <c r="AF10893" s="831" t="s">
        <v>11552</v>
      </c>
      <c r="AG10893" s="831" t="s">
        <v>2674</v>
      </c>
      <c r="AH10893" s="831" t="s">
        <v>182</v>
      </c>
      <c r="AI10893" s="831">
        <v>0</v>
      </c>
      <c r="AJ10893" s="835">
        <v>41820</v>
      </c>
      <c r="AK10893" s="831">
        <v>71693060</v>
      </c>
    </row>
    <row r="10894" spans="2:37">
      <c r="B10894" s="834" t="str">
        <f t="shared" si="419"/>
        <v>|||</v>
      </c>
      <c r="H10894" s="835">
        <f t="shared" si="420"/>
        <v>31</v>
      </c>
      <c r="AF10894" s="831" t="s">
        <v>11553</v>
      </c>
      <c r="AG10894" s="831" t="s">
        <v>2674</v>
      </c>
      <c r="AH10894" s="831" t="s">
        <v>6600</v>
      </c>
      <c r="AI10894" s="831">
        <v>0</v>
      </c>
      <c r="AJ10894" s="835">
        <v>41820</v>
      </c>
      <c r="AK10894" s="831">
        <v>32506327.956</v>
      </c>
    </row>
    <row r="10895" spans="2:37">
      <c r="B10895" s="834" t="str">
        <f t="shared" si="419"/>
        <v>|||</v>
      </c>
      <c r="H10895" s="835">
        <f t="shared" si="420"/>
        <v>31</v>
      </c>
      <c r="AF10895" s="831" t="s">
        <v>11554</v>
      </c>
      <c r="AG10895" s="831" t="s">
        <v>2674</v>
      </c>
      <c r="AH10895" s="831" t="s">
        <v>6602</v>
      </c>
      <c r="AI10895" s="831">
        <v>0</v>
      </c>
      <c r="AJ10895" s="835">
        <v>41820</v>
      </c>
      <c r="AK10895" s="831">
        <v>18626919</v>
      </c>
    </row>
    <row r="10896" spans="2:37">
      <c r="B10896" s="834" t="str">
        <f t="shared" si="419"/>
        <v>|||</v>
      </c>
      <c r="H10896" s="835">
        <f t="shared" si="420"/>
        <v>31</v>
      </c>
      <c r="AF10896" s="831" t="s">
        <v>11555</v>
      </c>
      <c r="AG10896" s="831" t="s">
        <v>2674</v>
      </c>
      <c r="AH10896" s="831" t="s">
        <v>650</v>
      </c>
      <c r="AI10896" s="831">
        <v>0</v>
      </c>
      <c r="AJ10896" s="835">
        <v>41820</v>
      </c>
      <c r="AK10896" s="831">
        <v>250141744.03992301</v>
      </c>
    </row>
    <row r="10897" spans="2:37">
      <c r="B10897" s="834" t="str">
        <f t="shared" ref="B10897:B10960" si="421">C10897&amp;"|"&amp;D10897&amp;"|"&amp;E10897&amp;"|"&amp;F10897</f>
        <v>|||</v>
      </c>
      <c r="H10897" s="835">
        <f t="shared" ref="H10897:H10960" si="422">EOMONTH(L10897,0)</f>
        <v>31</v>
      </c>
      <c r="AF10897" s="831" t="s">
        <v>11556</v>
      </c>
      <c r="AG10897" s="831" t="s">
        <v>2674</v>
      </c>
      <c r="AH10897" s="831" t="s">
        <v>655</v>
      </c>
      <c r="AI10897" s="831">
        <v>0</v>
      </c>
      <c r="AJ10897" s="835">
        <v>41820</v>
      </c>
      <c r="AK10897" s="831">
        <v>739333.81</v>
      </c>
    </row>
    <row r="10898" spans="2:37">
      <c r="B10898" s="834" t="str">
        <f t="shared" si="421"/>
        <v>|||</v>
      </c>
      <c r="H10898" s="835">
        <f t="shared" si="422"/>
        <v>31</v>
      </c>
      <c r="AF10898" s="831" t="s">
        <v>11557</v>
      </c>
      <c r="AG10898" s="831" t="s">
        <v>2674</v>
      </c>
      <c r="AH10898" s="831" t="s">
        <v>546</v>
      </c>
      <c r="AI10898" s="831">
        <v>0</v>
      </c>
      <c r="AJ10898" s="835">
        <v>41851</v>
      </c>
      <c r="AK10898" s="831">
        <v>739176022</v>
      </c>
    </row>
    <row r="10899" spans="2:37">
      <c r="B10899" s="834" t="str">
        <f t="shared" si="421"/>
        <v>|||</v>
      </c>
      <c r="H10899" s="835">
        <f t="shared" si="422"/>
        <v>31</v>
      </c>
      <c r="AF10899" s="831" t="s">
        <v>11558</v>
      </c>
      <c r="AG10899" s="831" t="s">
        <v>2674</v>
      </c>
      <c r="AH10899" s="831" t="s">
        <v>370</v>
      </c>
      <c r="AI10899" s="831">
        <v>0</v>
      </c>
      <c r="AJ10899" s="835">
        <v>41851</v>
      </c>
      <c r="AK10899" s="831">
        <v>937279545</v>
      </c>
    </row>
    <row r="10900" spans="2:37">
      <c r="B10900" s="834" t="str">
        <f t="shared" si="421"/>
        <v>|||</v>
      </c>
      <c r="H10900" s="835">
        <f t="shared" si="422"/>
        <v>31</v>
      </c>
      <c r="AF10900" s="831" t="s">
        <v>11559</v>
      </c>
      <c r="AG10900" s="831" t="s">
        <v>2674</v>
      </c>
      <c r="AH10900" s="831" t="s">
        <v>126</v>
      </c>
      <c r="AI10900" s="831">
        <v>0</v>
      </c>
      <c r="AJ10900" s="835">
        <v>41851</v>
      </c>
      <c r="AK10900" s="831">
        <v>138005087</v>
      </c>
    </row>
    <row r="10901" spans="2:37">
      <c r="B10901" s="834" t="str">
        <f t="shared" si="421"/>
        <v>|||</v>
      </c>
      <c r="H10901" s="835">
        <f t="shared" si="422"/>
        <v>31</v>
      </c>
      <c r="AF10901" s="831" t="s">
        <v>11560</v>
      </c>
      <c r="AG10901" s="831" t="s">
        <v>2674</v>
      </c>
      <c r="AH10901" s="831" t="s">
        <v>268</v>
      </c>
      <c r="AI10901" s="831">
        <v>0</v>
      </c>
      <c r="AJ10901" s="835">
        <v>41851</v>
      </c>
      <c r="AK10901" s="831">
        <v>22009267</v>
      </c>
    </row>
    <row r="10902" spans="2:37">
      <c r="B10902" s="834" t="str">
        <f t="shared" si="421"/>
        <v>|||</v>
      </c>
      <c r="H10902" s="835">
        <f t="shared" si="422"/>
        <v>31</v>
      </c>
      <c r="AF10902" s="831" t="s">
        <v>11561</v>
      </c>
      <c r="AG10902" s="831" t="s">
        <v>2674</v>
      </c>
      <c r="AH10902" s="831" t="s">
        <v>547</v>
      </c>
      <c r="AI10902" s="831">
        <v>0</v>
      </c>
      <c r="AJ10902" s="835">
        <v>41851</v>
      </c>
      <c r="AK10902" s="831">
        <v>777719977</v>
      </c>
    </row>
    <row r="10903" spans="2:37">
      <c r="B10903" s="834" t="str">
        <f t="shared" si="421"/>
        <v>|||</v>
      </c>
      <c r="H10903" s="835">
        <f t="shared" si="422"/>
        <v>31</v>
      </c>
      <c r="AF10903" s="831" t="s">
        <v>11562</v>
      </c>
      <c r="AG10903" s="831" t="s">
        <v>2674</v>
      </c>
      <c r="AH10903" s="831" t="s">
        <v>548</v>
      </c>
      <c r="AI10903" s="831">
        <v>0</v>
      </c>
      <c r="AJ10903" s="835">
        <v>41851</v>
      </c>
      <c r="AK10903" s="831">
        <v>117105496</v>
      </c>
    </row>
    <row r="10904" spans="2:37">
      <c r="B10904" s="834" t="str">
        <f t="shared" si="421"/>
        <v>|||</v>
      </c>
      <c r="H10904" s="835">
        <f t="shared" si="422"/>
        <v>31</v>
      </c>
      <c r="AF10904" s="831" t="s">
        <v>11563</v>
      </c>
      <c r="AG10904" s="831" t="s">
        <v>2674</v>
      </c>
      <c r="AH10904" s="831" t="s">
        <v>549</v>
      </c>
      <c r="AI10904" s="831">
        <v>0</v>
      </c>
      <c r="AJ10904" s="835">
        <v>41851</v>
      </c>
      <c r="AK10904" s="831">
        <v>530405930</v>
      </c>
    </row>
    <row r="10905" spans="2:37">
      <c r="B10905" s="834" t="str">
        <f t="shared" si="421"/>
        <v>|||</v>
      </c>
      <c r="H10905" s="835">
        <f t="shared" si="422"/>
        <v>31</v>
      </c>
      <c r="AF10905" s="831" t="s">
        <v>11564</v>
      </c>
      <c r="AG10905" s="831" t="s">
        <v>2674</v>
      </c>
      <c r="AH10905" s="831" t="s">
        <v>192</v>
      </c>
      <c r="AI10905" s="831">
        <v>0</v>
      </c>
      <c r="AJ10905" s="835">
        <v>41851</v>
      </c>
      <c r="AK10905" s="831">
        <v>-11408077</v>
      </c>
    </row>
    <row r="10906" spans="2:37">
      <c r="B10906" s="834" t="str">
        <f t="shared" si="421"/>
        <v>|||</v>
      </c>
      <c r="H10906" s="835">
        <f t="shared" si="422"/>
        <v>31</v>
      </c>
      <c r="AF10906" s="831" t="s">
        <v>11565</v>
      </c>
      <c r="AG10906" s="831" t="s">
        <v>2674</v>
      </c>
      <c r="AH10906" s="831" t="s">
        <v>558</v>
      </c>
      <c r="AI10906" s="831">
        <v>0</v>
      </c>
      <c r="AJ10906" s="835">
        <v>41851</v>
      </c>
      <c r="AK10906" s="831">
        <v>799274458</v>
      </c>
    </row>
    <row r="10907" spans="2:37">
      <c r="B10907" s="834" t="str">
        <f t="shared" si="421"/>
        <v>|||</v>
      </c>
      <c r="H10907" s="835">
        <f t="shared" si="422"/>
        <v>31</v>
      </c>
      <c r="AF10907" s="831" t="s">
        <v>11566</v>
      </c>
      <c r="AG10907" s="831" t="s">
        <v>2674</v>
      </c>
      <c r="AH10907" s="831" t="s">
        <v>65</v>
      </c>
      <c r="AI10907" s="831">
        <v>0</v>
      </c>
      <c r="AJ10907" s="835">
        <v>41851</v>
      </c>
      <c r="AK10907" s="831">
        <v>96150192</v>
      </c>
    </row>
    <row r="10908" spans="2:37">
      <c r="B10908" s="834" t="str">
        <f t="shared" si="421"/>
        <v>|||</v>
      </c>
      <c r="H10908" s="835">
        <f t="shared" si="422"/>
        <v>31</v>
      </c>
      <c r="AF10908" s="831" t="s">
        <v>11567</v>
      </c>
      <c r="AG10908" s="831" t="s">
        <v>2674</v>
      </c>
      <c r="AH10908" s="831" t="s">
        <v>89</v>
      </c>
      <c r="AI10908" s="831">
        <v>0</v>
      </c>
      <c r="AJ10908" s="835">
        <v>41851</v>
      </c>
      <c r="AK10908" s="831">
        <v>157312</v>
      </c>
    </row>
    <row r="10909" spans="2:37">
      <c r="B10909" s="834" t="str">
        <f t="shared" si="421"/>
        <v>|||</v>
      </c>
      <c r="H10909" s="835">
        <f t="shared" si="422"/>
        <v>31</v>
      </c>
      <c r="AF10909" s="831" t="s">
        <v>11568</v>
      </c>
      <c r="AG10909" s="831" t="s">
        <v>2674</v>
      </c>
      <c r="AH10909" s="831" t="s">
        <v>557</v>
      </c>
      <c r="AI10909" s="831">
        <v>0</v>
      </c>
      <c r="AJ10909" s="835">
        <v>41851</v>
      </c>
      <c r="AK10909" s="831">
        <v>177567</v>
      </c>
    </row>
    <row r="10910" spans="2:37">
      <c r="B10910" s="834" t="str">
        <f t="shared" si="421"/>
        <v>|||</v>
      </c>
      <c r="H10910" s="835">
        <f t="shared" si="422"/>
        <v>31</v>
      </c>
      <c r="AF10910" s="831" t="s">
        <v>11569</v>
      </c>
      <c r="AG10910" s="831" t="s">
        <v>2674</v>
      </c>
      <c r="AH10910" s="831" t="s">
        <v>29</v>
      </c>
      <c r="AI10910" s="831">
        <v>0</v>
      </c>
      <c r="AJ10910" s="835">
        <v>41851</v>
      </c>
      <c r="AK10910" s="831">
        <v>1565767.49</v>
      </c>
    </row>
    <row r="10911" spans="2:37">
      <c r="B10911" s="834" t="str">
        <f t="shared" si="421"/>
        <v>|||</v>
      </c>
      <c r="H10911" s="835">
        <f t="shared" si="422"/>
        <v>31</v>
      </c>
      <c r="AF10911" s="831" t="s">
        <v>11570</v>
      </c>
      <c r="AG10911" s="831" t="s">
        <v>2674</v>
      </c>
      <c r="AH10911" s="831" t="s">
        <v>2688</v>
      </c>
      <c r="AI10911" s="831">
        <v>0</v>
      </c>
      <c r="AJ10911" s="835">
        <v>41851</v>
      </c>
      <c r="AK10911" s="831">
        <v>4315667.13</v>
      </c>
    </row>
    <row r="10912" spans="2:37">
      <c r="B10912" s="834" t="str">
        <f t="shared" si="421"/>
        <v>|||</v>
      </c>
      <c r="H10912" s="835">
        <f t="shared" si="422"/>
        <v>31</v>
      </c>
      <c r="AF10912" s="831" t="s">
        <v>11571</v>
      </c>
      <c r="AG10912" s="831" t="s">
        <v>2674</v>
      </c>
      <c r="AH10912" s="831" t="s">
        <v>556</v>
      </c>
      <c r="AI10912" s="831">
        <v>0</v>
      </c>
      <c r="AJ10912" s="835">
        <v>41851</v>
      </c>
      <c r="AK10912" s="831">
        <v>3260165</v>
      </c>
    </row>
    <row r="10913" spans="2:37">
      <c r="B10913" s="834" t="str">
        <f t="shared" si="421"/>
        <v>|||</v>
      </c>
      <c r="H10913" s="835">
        <f t="shared" si="422"/>
        <v>31</v>
      </c>
      <c r="AF10913" s="831" t="s">
        <v>11572</v>
      </c>
      <c r="AG10913" s="831" t="s">
        <v>2674</v>
      </c>
      <c r="AH10913" s="831" t="s">
        <v>555</v>
      </c>
      <c r="AI10913" s="831">
        <v>0</v>
      </c>
      <c r="AJ10913" s="835">
        <v>41851</v>
      </c>
      <c r="AK10913" s="831">
        <v>527670450</v>
      </c>
    </row>
    <row r="10914" spans="2:37">
      <c r="B10914" s="834" t="str">
        <f t="shared" si="421"/>
        <v>|||</v>
      </c>
      <c r="H10914" s="835">
        <f t="shared" si="422"/>
        <v>31</v>
      </c>
      <c r="AF10914" s="831" t="s">
        <v>11573</v>
      </c>
      <c r="AG10914" s="831" t="s">
        <v>2674</v>
      </c>
      <c r="AH10914" s="831" t="s">
        <v>554</v>
      </c>
      <c r="AI10914" s="831">
        <v>0</v>
      </c>
      <c r="AJ10914" s="835">
        <v>41851</v>
      </c>
      <c r="AK10914" s="831">
        <v>540050830</v>
      </c>
    </row>
    <row r="10915" spans="2:37">
      <c r="B10915" s="834" t="str">
        <f t="shared" si="421"/>
        <v>|||</v>
      </c>
      <c r="H10915" s="835">
        <f t="shared" si="422"/>
        <v>31</v>
      </c>
      <c r="AF10915" s="831" t="s">
        <v>11574</v>
      </c>
      <c r="AG10915" s="831" t="s">
        <v>2674</v>
      </c>
      <c r="AH10915" s="831" t="s">
        <v>553</v>
      </c>
      <c r="AI10915" s="831">
        <v>0</v>
      </c>
      <c r="AJ10915" s="835">
        <v>41851</v>
      </c>
      <c r="AK10915" s="831">
        <v>0</v>
      </c>
    </row>
    <row r="10916" spans="2:37">
      <c r="B10916" s="834" t="str">
        <f t="shared" si="421"/>
        <v>|||</v>
      </c>
      <c r="H10916" s="835">
        <f t="shared" si="422"/>
        <v>31</v>
      </c>
      <c r="AF10916" s="831" t="s">
        <v>11575</v>
      </c>
      <c r="AG10916" s="831" t="s">
        <v>2674</v>
      </c>
      <c r="AH10916" s="831" t="s">
        <v>552</v>
      </c>
      <c r="AI10916" s="831">
        <v>0</v>
      </c>
      <c r="AJ10916" s="835">
        <v>41851</v>
      </c>
      <c r="AK10916" s="831">
        <v>0</v>
      </c>
    </row>
    <row r="10917" spans="2:37">
      <c r="B10917" s="834" t="str">
        <f t="shared" si="421"/>
        <v>|||</v>
      </c>
      <c r="H10917" s="835">
        <f t="shared" si="422"/>
        <v>31</v>
      </c>
      <c r="AF10917" s="831" t="s">
        <v>11576</v>
      </c>
      <c r="AG10917" s="831" t="s">
        <v>2674</v>
      </c>
      <c r="AH10917" s="831" t="s">
        <v>551</v>
      </c>
      <c r="AI10917" s="831">
        <v>0</v>
      </c>
      <c r="AJ10917" s="835">
        <v>41851</v>
      </c>
      <c r="AK10917" s="831">
        <v>1101547.72</v>
      </c>
    </row>
    <row r="10918" spans="2:37">
      <c r="B10918" s="834" t="str">
        <f t="shared" si="421"/>
        <v>|||</v>
      </c>
      <c r="H10918" s="835">
        <f t="shared" si="422"/>
        <v>31</v>
      </c>
      <c r="AF10918" s="831" t="s">
        <v>11577</v>
      </c>
      <c r="AG10918" s="831" t="s">
        <v>2674</v>
      </c>
      <c r="AH10918" s="831" t="s">
        <v>550</v>
      </c>
      <c r="AI10918" s="831">
        <v>0</v>
      </c>
      <c r="AJ10918" s="835">
        <v>41851</v>
      </c>
      <c r="AK10918" s="831">
        <v>135362821</v>
      </c>
    </row>
    <row r="10919" spans="2:37">
      <c r="B10919" s="834" t="str">
        <f t="shared" si="421"/>
        <v>|||</v>
      </c>
      <c r="H10919" s="835">
        <f t="shared" si="422"/>
        <v>31</v>
      </c>
      <c r="AF10919" s="831" t="s">
        <v>11578</v>
      </c>
      <c r="AG10919" s="831" t="s">
        <v>2674</v>
      </c>
      <c r="AH10919" s="831" t="s">
        <v>562</v>
      </c>
      <c r="AI10919" s="831">
        <v>0</v>
      </c>
      <c r="AJ10919" s="835">
        <v>41851</v>
      </c>
      <c r="AK10919" s="831">
        <v>0.78364999999999996</v>
      </c>
    </row>
    <row r="10920" spans="2:37">
      <c r="B10920" s="834" t="str">
        <f t="shared" si="421"/>
        <v>|||</v>
      </c>
      <c r="H10920" s="835">
        <f t="shared" si="422"/>
        <v>31</v>
      </c>
      <c r="AF10920" s="831" t="s">
        <v>11579</v>
      </c>
      <c r="AG10920" s="831" t="s">
        <v>2674</v>
      </c>
      <c r="AH10920" s="831" t="s">
        <v>2698</v>
      </c>
      <c r="AI10920" s="831">
        <v>0</v>
      </c>
      <c r="AJ10920" s="835">
        <v>41851</v>
      </c>
      <c r="AK10920" s="831">
        <v>0.78374999999999995</v>
      </c>
    </row>
    <row r="10921" spans="2:37">
      <c r="B10921" s="834" t="str">
        <f t="shared" si="421"/>
        <v>|||</v>
      </c>
      <c r="H10921" s="835">
        <f t="shared" si="422"/>
        <v>31</v>
      </c>
      <c r="AF10921" s="831" t="s">
        <v>11580</v>
      </c>
      <c r="AG10921" s="831" t="s">
        <v>2674</v>
      </c>
      <c r="AH10921" s="831" t="s">
        <v>560</v>
      </c>
      <c r="AI10921" s="831">
        <v>0</v>
      </c>
      <c r="AJ10921" s="835">
        <v>41851</v>
      </c>
      <c r="AK10921" s="831">
        <v>0.78374999999999995</v>
      </c>
    </row>
    <row r="10922" spans="2:37">
      <c r="B10922" s="834" t="str">
        <f t="shared" si="421"/>
        <v>|||</v>
      </c>
      <c r="H10922" s="835">
        <f t="shared" si="422"/>
        <v>31</v>
      </c>
      <c r="AF10922" s="831" t="s">
        <v>11581</v>
      </c>
      <c r="AG10922" s="831" t="s">
        <v>2674</v>
      </c>
      <c r="AH10922" s="831" t="s">
        <v>559</v>
      </c>
      <c r="AI10922" s="831">
        <v>0</v>
      </c>
      <c r="AJ10922" s="835">
        <v>41851</v>
      </c>
      <c r="AK10922" s="831">
        <v>0.78376666666666694</v>
      </c>
    </row>
    <row r="10923" spans="2:37">
      <c r="B10923" s="834" t="str">
        <f t="shared" si="421"/>
        <v>|||</v>
      </c>
      <c r="H10923" s="835">
        <f t="shared" si="422"/>
        <v>31</v>
      </c>
      <c r="AF10923" s="831" t="s">
        <v>11582</v>
      </c>
      <c r="AG10923" s="831" t="s">
        <v>2674</v>
      </c>
      <c r="AH10923" s="831" t="s">
        <v>568</v>
      </c>
      <c r="AI10923" s="831">
        <v>0</v>
      </c>
      <c r="AJ10923" s="835">
        <v>41851</v>
      </c>
      <c r="AK10923" s="831">
        <v>637151141.61153805</v>
      </c>
    </row>
    <row r="10924" spans="2:37">
      <c r="B10924" s="834" t="str">
        <f t="shared" si="421"/>
        <v>|||</v>
      </c>
      <c r="H10924" s="835">
        <f t="shared" si="422"/>
        <v>31</v>
      </c>
      <c r="AF10924" s="831" t="s">
        <v>11583</v>
      </c>
      <c r="AG10924" s="831" t="s">
        <v>2674</v>
      </c>
      <c r="AH10924" s="831" t="s">
        <v>569</v>
      </c>
      <c r="AI10924" s="831">
        <v>0</v>
      </c>
      <c r="AJ10924" s="835">
        <v>41851</v>
      </c>
      <c r="AK10924" s="831">
        <v>786284543.74253798</v>
      </c>
    </row>
    <row r="10925" spans="2:37">
      <c r="B10925" s="834" t="str">
        <f t="shared" si="421"/>
        <v>|||</v>
      </c>
      <c r="H10925" s="835">
        <f t="shared" si="422"/>
        <v>31</v>
      </c>
      <c r="AF10925" s="831" t="s">
        <v>11584</v>
      </c>
      <c r="AG10925" s="831" t="s">
        <v>2674</v>
      </c>
      <c r="AH10925" s="831" t="s">
        <v>570</v>
      </c>
      <c r="AI10925" s="831">
        <v>0</v>
      </c>
      <c r="AJ10925" s="835">
        <v>41851</v>
      </c>
      <c r="AK10925" s="831">
        <v>122542079.443538</v>
      </c>
    </row>
    <row r="10926" spans="2:37">
      <c r="B10926" s="834" t="str">
        <f t="shared" si="421"/>
        <v>|||</v>
      </c>
      <c r="H10926" s="835">
        <f t="shared" si="422"/>
        <v>31</v>
      </c>
      <c r="AF10926" s="831" t="s">
        <v>11585</v>
      </c>
      <c r="AG10926" s="831" t="s">
        <v>2674</v>
      </c>
      <c r="AH10926" s="831" t="s">
        <v>571</v>
      </c>
      <c r="AI10926" s="831">
        <v>0</v>
      </c>
      <c r="AJ10926" s="835">
        <v>41851</v>
      </c>
      <c r="AK10926" s="831">
        <v>385003742.66715401</v>
      </c>
    </row>
    <row r="10927" spans="2:37">
      <c r="B10927" s="834" t="str">
        <f t="shared" si="421"/>
        <v>|||</v>
      </c>
      <c r="H10927" s="835">
        <f t="shared" si="422"/>
        <v>31</v>
      </c>
      <c r="AF10927" s="831" t="s">
        <v>11586</v>
      </c>
      <c r="AG10927" s="831" t="s">
        <v>2674</v>
      </c>
      <c r="AH10927" s="831" t="s">
        <v>573</v>
      </c>
      <c r="AI10927" s="831">
        <v>0</v>
      </c>
      <c r="AJ10927" s="835">
        <v>41851</v>
      </c>
      <c r="AK10927" s="831">
        <v>843150331.57037497</v>
      </c>
    </row>
    <row r="10928" spans="2:37">
      <c r="B10928" s="834" t="str">
        <f t="shared" si="421"/>
        <v>|||</v>
      </c>
      <c r="H10928" s="835">
        <f t="shared" si="422"/>
        <v>31</v>
      </c>
      <c r="AF10928" s="831" t="s">
        <v>11587</v>
      </c>
      <c r="AG10928" s="831" t="s">
        <v>2674</v>
      </c>
      <c r="AH10928" s="831" t="s">
        <v>574</v>
      </c>
      <c r="AI10928" s="831">
        <v>0</v>
      </c>
      <c r="AJ10928" s="835">
        <v>41851</v>
      </c>
      <c r="AK10928" s="831">
        <v>682697233.875</v>
      </c>
    </row>
    <row r="10929" spans="2:37">
      <c r="B10929" s="834" t="str">
        <f t="shared" si="421"/>
        <v>|||</v>
      </c>
      <c r="H10929" s="835">
        <f t="shared" si="422"/>
        <v>31</v>
      </c>
      <c r="AF10929" s="831" t="s">
        <v>11588</v>
      </c>
      <c r="AG10929" s="831" t="s">
        <v>2674</v>
      </c>
      <c r="AH10929" s="831" t="s">
        <v>575</v>
      </c>
      <c r="AI10929" s="831">
        <v>0</v>
      </c>
      <c r="AJ10929" s="835">
        <v>41851</v>
      </c>
      <c r="AK10929" s="831">
        <v>125963135.86375</v>
      </c>
    </row>
    <row r="10930" spans="2:37">
      <c r="B10930" s="834" t="str">
        <f t="shared" si="421"/>
        <v>|||</v>
      </c>
      <c r="H10930" s="835">
        <f t="shared" si="422"/>
        <v>31</v>
      </c>
      <c r="AF10930" s="831" t="s">
        <v>11589</v>
      </c>
      <c r="AG10930" s="831" t="s">
        <v>2674</v>
      </c>
      <c r="AH10930" s="831" t="s">
        <v>576</v>
      </c>
      <c r="AI10930" s="831">
        <v>0</v>
      </c>
      <c r="AJ10930" s="835">
        <v>41851</v>
      </c>
      <c r="AK10930" s="831">
        <v>415372081.57637501</v>
      </c>
    </row>
    <row r="10931" spans="2:37">
      <c r="B10931" s="834" t="str">
        <f t="shared" si="421"/>
        <v>|||</v>
      </c>
      <c r="H10931" s="835">
        <f t="shared" si="422"/>
        <v>31</v>
      </c>
      <c r="AF10931" s="831" t="s">
        <v>11590</v>
      </c>
      <c r="AG10931" s="831" t="s">
        <v>2674</v>
      </c>
      <c r="AH10931" s="831" t="s">
        <v>572</v>
      </c>
      <c r="AI10931" s="831">
        <v>0</v>
      </c>
      <c r="AJ10931" s="835">
        <v>41851</v>
      </c>
      <c r="AK10931" s="831">
        <v>33061468.956</v>
      </c>
    </row>
    <row r="10932" spans="2:37">
      <c r="B10932" s="834" t="str">
        <f t="shared" si="421"/>
        <v>|||</v>
      </c>
      <c r="H10932" s="835">
        <f t="shared" si="422"/>
        <v>31</v>
      </c>
      <c r="AF10932" s="831" t="s">
        <v>11591</v>
      </c>
      <c r="AG10932" s="831" t="s">
        <v>2674</v>
      </c>
      <c r="AH10932" s="831" t="s">
        <v>577</v>
      </c>
      <c r="AI10932" s="831">
        <v>0</v>
      </c>
      <c r="AJ10932" s="835">
        <v>41851</v>
      </c>
      <c r="AK10932" s="831">
        <v>157027827.76300001</v>
      </c>
    </row>
    <row r="10933" spans="2:37">
      <c r="B10933" s="834" t="str">
        <f t="shared" si="421"/>
        <v>|||</v>
      </c>
      <c r="H10933" s="835">
        <f t="shared" si="422"/>
        <v>31</v>
      </c>
      <c r="AF10933" s="831" t="s">
        <v>11592</v>
      </c>
      <c r="AG10933" s="831" t="s">
        <v>2674</v>
      </c>
      <c r="AH10933" s="831" t="s">
        <v>3042</v>
      </c>
      <c r="AI10933" s="831">
        <v>0</v>
      </c>
      <c r="AJ10933" s="835">
        <v>41851</v>
      </c>
      <c r="AK10933" s="831">
        <v>-44607617.527000003</v>
      </c>
    </row>
    <row r="10934" spans="2:37">
      <c r="B10934" s="834" t="str">
        <f t="shared" si="421"/>
        <v>|||</v>
      </c>
      <c r="H10934" s="835">
        <f t="shared" si="422"/>
        <v>31</v>
      </c>
      <c r="AF10934" s="831" t="s">
        <v>11593</v>
      </c>
      <c r="AG10934" s="831" t="s">
        <v>2674</v>
      </c>
      <c r="AH10934" s="831" t="s">
        <v>3044</v>
      </c>
      <c r="AI10934" s="831">
        <v>0</v>
      </c>
      <c r="AJ10934" s="835">
        <v>41851</v>
      </c>
      <c r="AK10934" s="831">
        <v>-2462838.89</v>
      </c>
    </row>
    <row r="10935" spans="2:37">
      <c r="B10935" s="834" t="str">
        <f t="shared" si="421"/>
        <v>|||</v>
      </c>
      <c r="H10935" s="835">
        <f t="shared" si="422"/>
        <v>31</v>
      </c>
      <c r="AF10935" s="831" t="s">
        <v>11594</v>
      </c>
      <c r="AG10935" s="831" t="s">
        <v>2674</v>
      </c>
      <c r="AH10935" s="831" t="s">
        <v>580</v>
      </c>
      <c r="AI10935" s="831">
        <v>0</v>
      </c>
      <c r="AJ10935" s="835">
        <v>41851</v>
      </c>
      <c r="AK10935" s="831">
        <v>-72554848.306999996</v>
      </c>
    </row>
    <row r="10936" spans="2:37">
      <c r="B10936" s="834" t="str">
        <f t="shared" si="421"/>
        <v>|||</v>
      </c>
      <c r="H10936" s="835">
        <f t="shared" si="422"/>
        <v>31</v>
      </c>
      <c r="AF10936" s="831" t="s">
        <v>11595</v>
      </c>
      <c r="AG10936" s="831" t="s">
        <v>2674</v>
      </c>
      <c r="AH10936" s="831" t="s">
        <v>581</v>
      </c>
      <c r="AI10936" s="831">
        <v>0</v>
      </c>
      <c r="AJ10936" s="835">
        <v>41851</v>
      </c>
      <c r="AK10936" s="831">
        <v>6023686.8940000003</v>
      </c>
    </row>
    <row r="10937" spans="2:37">
      <c r="B10937" s="834" t="str">
        <f t="shared" si="421"/>
        <v>|||</v>
      </c>
      <c r="H10937" s="835">
        <f t="shared" si="422"/>
        <v>31</v>
      </c>
      <c r="AF10937" s="831" t="s">
        <v>11596</v>
      </c>
      <c r="AG10937" s="831" t="s">
        <v>2674</v>
      </c>
      <c r="AH10937" s="831" t="s">
        <v>105</v>
      </c>
      <c r="AI10937" s="831">
        <v>0</v>
      </c>
      <c r="AJ10937" s="835">
        <v>41851</v>
      </c>
      <c r="AK10937" s="831">
        <v>472087799</v>
      </c>
    </row>
    <row r="10938" spans="2:37">
      <c r="B10938" s="834" t="str">
        <f t="shared" si="421"/>
        <v>|||</v>
      </c>
      <c r="H10938" s="835">
        <f t="shared" si="422"/>
        <v>31</v>
      </c>
      <c r="AF10938" s="831" t="s">
        <v>11597</v>
      </c>
      <c r="AG10938" s="831" t="s">
        <v>2674</v>
      </c>
      <c r="AH10938" s="831" t="s">
        <v>3049</v>
      </c>
      <c r="AI10938" s="831">
        <v>0</v>
      </c>
      <c r="AJ10938" s="835">
        <v>41851</v>
      </c>
      <c r="AK10938" s="831">
        <v>778154132</v>
      </c>
    </row>
    <row r="10939" spans="2:37">
      <c r="B10939" s="834" t="str">
        <f t="shared" si="421"/>
        <v>|||</v>
      </c>
      <c r="H10939" s="835">
        <f t="shared" si="422"/>
        <v>31</v>
      </c>
      <c r="AF10939" s="831" t="s">
        <v>11598</v>
      </c>
      <c r="AG10939" s="831" t="s">
        <v>2674</v>
      </c>
      <c r="AH10939" s="831" t="s">
        <v>103</v>
      </c>
      <c r="AI10939" s="831">
        <v>0</v>
      </c>
      <c r="AJ10939" s="835">
        <v>41851</v>
      </c>
      <c r="AK10939" s="831">
        <v>306066333</v>
      </c>
    </row>
    <row r="10940" spans="2:37">
      <c r="B10940" s="834" t="str">
        <f t="shared" si="421"/>
        <v>|||</v>
      </c>
      <c r="H10940" s="835">
        <f t="shared" si="422"/>
        <v>31</v>
      </c>
      <c r="AF10940" s="831" t="s">
        <v>11599</v>
      </c>
      <c r="AG10940" s="831" t="s">
        <v>2674</v>
      </c>
      <c r="AH10940" s="831" t="s">
        <v>182</v>
      </c>
      <c r="AI10940" s="831">
        <v>0</v>
      </c>
      <c r="AJ10940" s="835">
        <v>41851</v>
      </c>
      <c r="AK10940" s="831">
        <v>72589813.714285702</v>
      </c>
    </row>
    <row r="10941" spans="2:37">
      <c r="B10941" s="834" t="str">
        <f t="shared" si="421"/>
        <v>|||</v>
      </c>
      <c r="H10941" s="835">
        <f t="shared" si="422"/>
        <v>31</v>
      </c>
      <c r="AF10941" s="831" t="s">
        <v>11600</v>
      </c>
      <c r="AG10941" s="831" t="s">
        <v>2674</v>
      </c>
      <c r="AH10941" s="831" t="s">
        <v>6600</v>
      </c>
      <c r="AI10941" s="831">
        <v>0</v>
      </c>
      <c r="AJ10941" s="835">
        <v>41851</v>
      </c>
      <c r="AK10941" s="831">
        <v>33061468.956</v>
      </c>
    </row>
    <row r="10942" spans="2:37">
      <c r="B10942" s="834" t="str">
        <f t="shared" si="421"/>
        <v>|||</v>
      </c>
      <c r="H10942" s="835">
        <f t="shared" si="422"/>
        <v>31</v>
      </c>
      <c r="AF10942" s="831" t="s">
        <v>11601</v>
      </c>
      <c r="AG10942" s="831" t="s">
        <v>2674</v>
      </c>
      <c r="AH10942" s="831" t="s">
        <v>6602</v>
      </c>
      <c r="AI10942" s="831">
        <v>0</v>
      </c>
      <c r="AJ10942" s="835">
        <v>41851</v>
      </c>
      <c r="AK10942" s="831">
        <v>22009267</v>
      </c>
    </row>
    <row r="10943" spans="2:37">
      <c r="B10943" s="834" t="str">
        <f t="shared" si="421"/>
        <v>|||</v>
      </c>
      <c r="H10943" s="835">
        <f t="shared" si="422"/>
        <v>31</v>
      </c>
      <c r="AF10943" s="831" t="s">
        <v>11602</v>
      </c>
      <c r="AG10943" s="831" t="s">
        <v>2674</v>
      </c>
      <c r="AH10943" s="831" t="s">
        <v>650</v>
      </c>
      <c r="AI10943" s="831">
        <v>0</v>
      </c>
      <c r="AJ10943" s="835">
        <v>41851</v>
      </c>
      <c r="AK10943" s="831">
        <v>258051740.347615</v>
      </c>
    </row>
    <row r="10944" spans="2:37">
      <c r="B10944" s="834" t="str">
        <f t="shared" si="421"/>
        <v>|||</v>
      </c>
      <c r="H10944" s="835">
        <f t="shared" si="422"/>
        <v>31</v>
      </c>
      <c r="AF10944" s="831" t="s">
        <v>11603</v>
      </c>
      <c r="AG10944" s="831" t="s">
        <v>2674</v>
      </c>
      <c r="AH10944" s="831" t="s">
        <v>655</v>
      </c>
      <c r="AI10944" s="831">
        <v>0</v>
      </c>
      <c r="AJ10944" s="835">
        <v>41851</v>
      </c>
      <c r="AK10944" s="831">
        <v>953974.79</v>
      </c>
    </row>
    <row r="10945" spans="2:37">
      <c r="B10945" s="834" t="str">
        <f t="shared" si="421"/>
        <v>|||</v>
      </c>
      <c r="H10945" s="835">
        <f t="shared" si="422"/>
        <v>31</v>
      </c>
      <c r="AF10945" s="831" t="s">
        <v>11604</v>
      </c>
      <c r="AG10945" s="831" t="s">
        <v>2674</v>
      </c>
      <c r="AH10945" s="831" t="s">
        <v>546</v>
      </c>
      <c r="AI10945" s="831">
        <v>0</v>
      </c>
      <c r="AJ10945" s="835">
        <v>41882</v>
      </c>
      <c r="AK10945" s="831">
        <v>752496052</v>
      </c>
    </row>
    <row r="10946" spans="2:37">
      <c r="B10946" s="834" t="str">
        <f t="shared" si="421"/>
        <v>|||</v>
      </c>
      <c r="H10946" s="835">
        <f t="shared" si="422"/>
        <v>31</v>
      </c>
      <c r="AF10946" s="831" t="s">
        <v>11605</v>
      </c>
      <c r="AG10946" s="831" t="s">
        <v>2674</v>
      </c>
      <c r="AH10946" s="831" t="s">
        <v>370</v>
      </c>
      <c r="AI10946" s="831">
        <v>0</v>
      </c>
      <c r="AJ10946" s="835">
        <v>41882</v>
      </c>
      <c r="AK10946" s="831">
        <v>955327873</v>
      </c>
    </row>
    <row r="10947" spans="2:37">
      <c r="B10947" s="834" t="str">
        <f t="shared" si="421"/>
        <v>|||</v>
      </c>
      <c r="H10947" s="835">
        <f t="shared" si="422"/>
        <v>31</v>
      </c>
      <c r="AF10947" s="831" t="s">
        <v>11606</v>
      </c>
      <c r="AG10947" s="831" t="s">
        <v>2674</v>
      </c>
      <c r="AH10947" s="831" t="s">
        <v>126</v>
      </c>
      <c r="AI10947" s="831">
        <v>0</v>
      </c>
      <c r="AJ10947" s="835">
        <v>41882</v>
      </c>
      <c r="AK10947" s="831">
        <v>141824046.03</v>
      </c>
    </row>
    <row r="10948" spans="2:37">
      <c r="B10948" s="834" t="str">
        <f t="shared" si="421"/>
        <v>|||</v>
      </c>
      <c r="H10948" s="835">
        <f t="shared" si="422"/>
        <v>31</v>
      </c>
      <c r="AF10948" s="831" t="s">
        <v>11607</v>
      </c>
      <c r="AG10948" s="831" t="s">
        <v>2674</v>
      </c>
      <c r="AH10948" s="831" t="s">
        <v>268</v>
      </c>
      <c r="AI10948" s="831">
        <v>0</v>
      </c>
      <c r="AJ10948" s="835">
        <v>41882</v>
      </c>
      <c r="AK10948" s="831">
        <v>25500774.767999999</v>
      </c>
    </row>
    <row r="10949" spans="2:37">
      <c r="B10949" s="834" t="str">
        <f t="shared" si="421"/>
        <v>|||</v>
      </c>
      <c r="H10949" s="835">
        <f t="shared" si="422"/>
        <v>31</v>
      </c>
      <c r="AF10949" s="831" t="s">
        <v>11608</v>
      </c>
      <c r="AG10949" s="831" t="s">
        <v>2674</v>
      </c>
      <c r="AH10949" s="831" t="s">
        <v>547</v>
      </c>
      <c r="AI10949" s="831">
        <v>0</v>
      </c>
      <c r="AJ10949" s="835">
        <v>41882</v>
      </c>
      <c r="AK10949" s="831">
        <v>777719977</v>
      </c>
    </row>
    <row r="10950" spans="2:37">
      <c r="B10950" s="834" t="str">
        <f t="shared" si="421"/>
        <v>|||</v>
      </c>
      <c r="H10950" s="835">
        <f t="shared" si="422"/>
        <v>31</v>
      </c>
      <c r="AF10950" s="831" t="s">
        <v>11609</v>
      </c>
      <c r="AG10950" s="831" t="s">
        <v>2674</v>
      </c>
      <c r="AH10950" s="831" t="s">
        <v>548</v>
      </c>
      <c r="AI10950" s="831">
        <v>0</v>
      </c>
      <c r="AJ10950" s="835">
        <v>41882</v>
      </c>
      <c r="AK10950" s="831">
        <v>117105496</v>
      </c>
    </row>
    <row r="10951" spans="2:37">
      <c r="B10951" s="834" t="str">
        <f t="shared" si="421"/>
        <v>|||</v>
      </c>
      <c r="H10951" s="835">
        <f t="shared" si="422"/>
        <v>31</v>
      </c>
      <c r="AF10951" s="831" t="s">
        <v>11610</v>
      </c>
      <c r="AG10951" s="831" t="s">
        <v>2674</v>
      </c>
      <c r="AH10951" s="831" t="s">
        <v>549</v>
      </c>
      <c r="AI10951" s="831">
        <v>0</v>
      </c>
      <c r="AJ10951" s="835">
        <v>41882</v>
      </c>
      <c r="AK10951" s="831">
        <v>548671343</v>
      </c>
    </row>
    <row r="10952" spans="2:37">
      <c r="B10952" s="834" t="str">
        <f t="shared" si="421"/>
        <v>|||</v>
      </c>
      <c r="H10952" s="835">
        <f t="shared" si="422"/>
        <v>31</v>
      </c>
      <c r="AF10952" s="831" t="s">
        <v>11611</v>
      </c>
      <c r="AG10952" s="831" t="s">
        <v>2674</v>
      </c>
      <c r="AH10952" s="831" t="s">
        <v>192</v>
      </c>
      <c r="AI10952" s="831">
        <v>0</v>
      </c>
      <c r="AJ10952" s="835">
        <v>41882</v>
      </c>
      <c r="AK10952" s="831">
        <v>-11209860</v>
      </c>
    </row>
    <row r="10953" spans="2:37">
      <c r="B10953" s="834" t="str">
        <f t="shared" si="421"/>
        <v>|||</v>
      </c>
      <c r="H10953" s="835">
        <f t="shared" si="422"/>
        <v>31</v>
      </c>
      <c r="AF10953" s="831" t="s">
        <v>11612</v>
      </c>
      <c r="AG10953" s="831" t="s">
        <v>2674</v>
      </c>
      <c r="AH10953" s="831" t="s">
        <v>558</v>
      </c>
      <c r="AI10953" s="831">
        <v>0</v>
      </c>
      <c r="AJ10953" s="835">
        <v>41882</v>
      </c>
      <c r="AK10953" s="831">
        <v>813503827.41700006</v>
      </c>
    </row>
    <row r="10954" spans="2:37">
      <c r="B10954" s="834" t="str">
        <f t="shared" si="421"/>
        <v>|||</v>
      </c>
      <c r="H10954" s="835">
        <f t="shared" si="422"/>
        <v>31</v>
      </c>
      <c r="AF10954" s="831" t="s">
        <v>11613</v>
      </c>
      <c r="AG10954" s="831" t="s">
        <v>2674</v>
      </c>
      <c r="AH10954" s="831" t="s">
        <v>65</v>
      </c>
      <c r="AI10954" s="831">
        <v>0</v>
      </c>
      <c r="AJ10954" s="835">
        <v>41882</v>
      </c>
      <c r="AK10954" s="831">
        <v>110886310.662</v>
      </c>
    </row>
    <row r="10955" spans="2:37">
      <c r="B10955" s="834" t="str">
        <f t="shared" si="421"/>
        <v>|||</v>
      </c>
      <c r="H10955" s="835">
        <f t="shared" si="422"/>
        <v>31</v>
      </c>
      <c r="AF10955" s="831" t="s">
        <v>11614</v>
      </c>
      <c r="AG10955" s="831" t="s">
        <v>2674</v>
      </c>
      <c r="AH10955" s="831" t="s">
        <v>89</v>
      </c>
      <c r="AI10955" s="831">
        <v>0</v>
      </c>
      <c r="AJ10955" s="835">
        <v>41882</v>
      </c>
      <c r="AK10955" s="831">
        <v>158540</v>
      </c>
    </row>
    <row r="10956" spans="2:37">
      <c r="B10956" s="834" t="str">
        <f t="shared" si="421"/>
        <v>|||</v>
      </c>
      <c r="H10956" s="835">
        <f t="shared" si="422"/>
        <v>31</v>
      </c>
      <c r="AF10956" s="831" t="s">
        <v>11615</v>
      </c>
      <c r="AG10956" s="831" t="s">
        <v>2674</v>
      </c>
      <c r="AH10956" s="831" t="s">
        <v>557</v>
      </c>
      <c r="AI10956" s="831">
        <v>0</v>
      </c>
      <c r="AJ10956" s="835">
        <v>41882</v>
      </c>
      <c r="AK10956" s="831">
        <v>176987</v>
      </c>
    </row>
    <row r="10957" spans="2:37">
      <c r="B10957" s="834" t="str">
        <f t="shared" si="421"/>
        <v>|||</v>
      </c>
      <c r="H10957" s="835">
        <f t="shared" si="422"/>
        <v>31</v>
      </c>
      <c r="AF10957" s="831" t="s">
        <v>11616</v>
      </c>
      <c r="AG10957" s="831" t="s">
        <v>2674</v>
      </c>
      <c r="AH10957" s="831" t="s">
        <v>29</v>
      </c>
      <c r="AI10957" s="831">
        <v>0</v>
      </c>
      <c r="AJ10957" s="835">
        <v>41882</v>
      </c>
      <c r="AK10957" s="831">
        <v>1746361.094</v>
      </c>
    </row>
    <row r="10958" spans="2:37">
      <c r="B10958" s="834" t="str">
        <f t="shared" si="421"/>
        <v>|||</v>
      </c>
      <c r="H10958" s="835">
        <f t="shared" si="422"/>
        <v>31</v>
      </c>
      <c r="AF10958" s="831" t="s">
        <v>11617</v>
      </c>
      <c r="AG10958" s="831" t="s">
        <v>2674</v>
      </c>
      <c r="AH10958" s="831" t="s">
        <v>2688</v>
      </c>
      <c r="AI10958" s="831">
        <v>0</v>
      </c>
      <c r="AJ10958" s="835">
        <v>41882</v>
      </c>
      <c r="AK10958" s="831">
        <v>4781420.7300000004</v>
      </c>
    </row>
    <row r="10959" spans="2:37">
      <c r="B10959" s="834" t="str">
        <f t="shared" si="421"/>
        <v>|||</v>
      </c>
      <c r="H10959" s="835">
        <f t="shared" si="422"/>
        <v>31</v>
      </c>
      <c r="AF10959" s="831" t="s">
        <v>11618</v>
      </c>
      <c r="AG10959" s="831" t="s">
        <v>2674</v>
      </c>
      <c r="AH10959" s="831" t="s">
        <v>556</v>
      </c>
      <c r="AI10959" s="831">
        <v>0</v>
      </c>
      <c r="AJ10959" s="835">
        <v>41882</v>
      </c>
      <c r="AK10959" s="831">
        <v>4890559</v>
      </c>
    </row>
    <row r="10960" spans="2:37">
      <c r="B10960" s="834" t="str">
        <f t="shared" si="421"/>
        <v>|||</v>
      </c>
      <c r="H10960" s="835">
        <f t="shared" si="422"/>
        <v>31</v>
      </c>
      <c r="AF10960" s="831" t="s">
        <v>11619</v>
      </c>
      <c r="AG10960" s="831" t="s">
        <v>2674</v>
      </c>
      <c r="AH10960" s="831" t="s">
        <v>555</v>
      </c>
      <c r="AI10960" s="831">
        <v>0</v>
      </c>
      <c r="AJ10960" s="835">
        <v>41882</v>
      </c>
      <c r="AK10960" s="831">
        <v>533401131</v>
      </c>
    </row>
    <row r="10961" spans="2:37">
      <c r="B10961" s="834" t="str">
        <f t="shared" ref="B10961:B11024" si="423">C10961&amp;"|"&amp;D10961&amp;"|"&amp;E10961&amp;"|"&amp;F10961</f>
        <v>|||</v>
      </c>
      <c r="H10961" s="835">
        <f t="shared" ref="H10961:H11024" si="424">EOMONTH(L10961,0)</f>
        <v>31</v>
      </c>
      <c r="AF10961" s="831" t="s">
        <v>11620</v>
      </c>
      <c r="AG10961" s="831" t="s">
        <v>2674</v>
      </c>
      <c r="AH10961" s="831" t="s">
        <v>554</v>
      </c>
      <c r="AI10961" s="831">
        <v>0</v>
      </c>
      <c r="AJ10961" s="835">
        <v>41882</v>
      </c>
      <c r="AK10961" s="831">
        <v>543423580</v>
      </c>
    </row>
    <row r="10962" spans="2:37">
      <c r="B10962" s="834" t="str">
        <f t="shared" si="423"/>
        <v>|||</v>
      </c>
      <c r="H10962" s="835">
        <f t="shared" si="424"/>
        <v>31</v>
      </c>
      <c r="AF10962" s="831" t="s">
        <v>11621</v>
      </c>
      <c r="AG10962" s="831" t="s">
        <v>2674</v>
      </c>
      <c r="AH10962" s="831" t="s">
        <v>553</v>
      </c>
      <c r="AI10962" s="831">
        <v>0</v>
      </c>
      <c r="AJ10962" s="835">
        <v>41882</v>
      </c>
      <c r="AK10962" s="831">
        <v>0</v>
      </c>
    </row>
    <row r="10963" spans="2:37">
      <c r="B10963" s="834" t="str">
        <f t="shared" si="423"/>
        <v>|||</v>
      </c>
      <c r="H10963" s="835">
        <f t="shared" si="424"/>
        <v>31</v>
      </c>
      <c r="AF10963" s="831" t="s">
        <v>11622</v>
      </c>
      <c r="AG10963" s="831" t="s">
        <v>2674</v>
      </c>
      <c r="AH10963" s="831" t="s">
        <v>552</v>
      </c>
      <c r="AI10963" s="831">
        <v>0</v>
      </c>
      <c r="AJ10963" s="835">
        <v>41882</v>
      </c>
      <c r="AK10963" s="831">
        <v>0</v>
      </c>
    </row>
    <row r="10964" spans="2:37">
      <c r="B10964" s="834" t="str">
        <f t="shared" si="423"/>
        <v>|||</v>
      </c>
      <c r="H10964" s="835">
        <f t="shared" si="424"/>
        <v>31</v>
      </c>
      <c r="AF10964" s="831" t="s">
        <v>11623</v>
      </c>
      <c r="AG10964" s="831" t="s">
        <v>2674</v>
      </c>
      <c r="AH10964" s="831" t="s">
        <v>551</v>
      </c>
      <c r="AI10964" s="831">
        <v>0</v>
      </c>
      <c r="AJ10964" s="835">
        <v>41882</v>
      </c>
      <c r="AK10964" s="831">
        <v>1392541.4990000001</v>
      </c>
    </row>
    <row r="10965" spans="2:37">
      <c r="B10965" s="834" t="str">
        <f t="shared" si="423"/>
        <v>|||</v>
      </c>
      <c r="H10965" s="835">
        <f t="shared" si="424"/>
        <v>31</v>
      </c>
      <c r="AF10965" s="831" t="s">
        <v>11624</v>
      </c>
      <c r="AG10965" s="831" t="s">
        <v>2674</v>
      </c>
      <c r="AH10965" s="831" t="s">
        <v>550</v>
      </c>
      <c r="AI10965" s="831">
        <v>0</v>
      </c>
      <c r="AJ10965" s="835">
        <v>41882</v>
      </c>
      <c r="AK10965" s="831">
        <v>138005087</v>
      </c>
    </row>
    <row r="10966" spans="2:37">
      <c r="B10966" s="834" t="str">
        <f t="shared" si="423"/>
        <v>|||</v>
      </c>
      <c r="H10966" s="835">
        <f t="shared" si="424"/>
        <v>31</v>
      </c>
      <c r="AF10966" s="831" t="s">
        <v>11625</v>
      </c>
      <c r="AG10966" s="831" t="s">
        <v>2674</v>
      </c>
      <c r="AH10966" s="831" t="s">
        <v>562</v>
      </c>
      <c r="AI10966" s="831">
        <v>0</v>
      </c>
      <c r="AJ10966" s="835">
        <v>41882</v>
      </c>
      <c r="AK10966" s="831">
        <v>0.7833</v>
      </c>
    </row>
    <row r="10967" spans="2:37">
      <c r="B10967" s="834" t="str">
        <f t="shared" si="423"/>
        <v>|||</v>
      </c>
      <c r="H10967" s="835">
        <f t="shared" si="424"/>
        <v>31</v>
      </c>
      <c r="AF10967" s="831" t="s">
        <v>11626</v>
      </c>
      <c r="AG10967" s="831" t="s">
        <v>2674</v>
      </c>
      <c r="AH10967" s="831" t="s">
        <v>2698</v>
      </c>
      <c r="AI10967" s="831">
        <v>0</v>
      </c>
      <c r="AJ10967" s="835">
        <v>41882</v>
      </c>
      <c r="AK10967" s="831">
        <v>0.78364999999999996</v>
      </c>
    </row>
    <row r="10968" spans="2:37">
      <c r="B10968" s="834" t="str">
        <f t="shared" si="423"/>
        <v>|||</v>
      </c>
      <c r="H10968" s="835">
        <f t="shared" si="424"/>
        <v>31</v>
      </c>
      <c r="AF10968" s="831" t="s">
        <v>11627</v>
      </c>
      <c r="AG10968" s="831" t="s">
        <v>2674</v>
      </c>
      <c r="AH10968" s="831" t="s">
        <v>560</v>
      </c>
      <c r="AI10968" s="831">
        <v>0</v>
      </c>
      <c r="AJ10968" s="835">
        <v>41882</v>
      </c>
      <c r="AK10968" s="831">
        <v>0.78369374999999997</v>
      </c>
    </row>
    <row r="10969" spans="2:37">
      <c r="B10969" s="834" t="str">
        <f t="shared" si="423"/>
        <v>|||</v>
      </c>
      <c r="H10969" s="835">
        <f t="shared" si="424"/>
        <v>31</v>
      </c>
      <c r="AF10969" s="831" t="s">
        <v>11628</v>
      </c>
      <c r="AG10969" s="831" t="s">
        <v>2674</v>
      </c>
      <c r="AH10969" s="831" t="s">
        <v>559</v>
      </c>
      <c r="AI10969" s="831">
        <v>0</v>
      </c>
      <c r="AJ10969" s="835">
        <v>41882</v>
      </c>
      <c r="AK10969" s="831">
        <v>0.78372083333333298</v>
      </c>
    </row>
    <row r="10970" spans="2:37">
      <c r="B10970" s="834" t="str">
        <f t="shared" si="423"/>
        <v>|||</v>
      </c>
      <c r="H10970" s="835">
        <f t="shared" si="424"/>
        <v>31</v>
      </c>
      <c r="AF10970" s="831" t="s">
        <v>11629</v>
      </c>
      <c r="AG10970" s="831" t="s">
        <v>2674</v>
      </c>
      <c r="AH10970" s="831" t="s">
        <v>568</v>
      </c>
      <c r="AI10970" s="831">
        <v>0</v>
      </c>
      <c r="AJ10970" s="835">
        <v>41882</v>
      </c>
      <c r="AK10970" s="831">
        <v>654234997.14999998</v>
      </c>
    </row>
    <row r="10971" spans="2:37">
      <c r="B10971" s="834" t="str">
        <f t="shared" si="423"/>
        <v>|||</v>
      </c>
      <c r="H10971" s="835">
        <f t="shared" si="424"/>
        <v>31</v>
      </c>
      <c r="AF10971" s="831" t="s">
        <v>11630</v>
      </c>
      <c r="AG10971" s="831" t="s">
        <v>2674</v>
      </c>
      <c r="AH10971" s="831" t="s">
        <v>569</v>
      </c>
      <c r="AI10971" s="831">
        <v>0</v>
      </c>
      <c r="AJ10971" s="835">
        <v>41882</v>
      </c>
      <c r="AK10971" s="831">
        <v>809130662.58869195</v>
      </c>
    </row>
    <row r="10972" spans="2:37">
      <c r="B10972" s="834" t="str">
        <f t="shared" si="423"/>
        <v>|||</v>
      </c>
      <c r="H10972" s="835">
        <f t="shared" si="424"/>
        <v>31</v>
      </c>
      <c r="AF10972" s="831" t="s">
        <v>11631</v>
      </c>
      <c r="AG10972" s="831" t="s">
        <v>2674</v>
      </c>
      <c r="AH10972" s="831" t="s">
        <v>570</v>
      </c>
      <c r="AI10972" s="831">
        <v>0</v>
      </c>
      <c r="AJ10972" s="835">
        <v>41882</v>
      </c>
      <c r="AK10972" s="831">
        <v>124921808.984308</v>
      </c>
    </row>
    <row r="10973" spans="2:37">
      <c r="B10973" s="834" t="str">
        <f t="shared" si="423"/>
        <v>|||</v>
      </c>
      <c r="H10973" s="835">
        <f t="shared" si="424"/>
        <v>31</v>
      </c>
      <c r="AF10973" s="831" t="s">
        <v>11632</v>
      </c>
      <c r="AG10973" s="831" t="s">
        <v>2674</v>
      </c>
      <c r="AH10973" s="831" t="s">
        <v>571</v>
      </c>
      <c r="AI10973" s="831">
        <v>0</v>
      </c>
      <c r="AJ10973" s="835">
        <v>41882</v>
      </c>
      <c r="AK10973" s="831">
        <v>397063607.00692302</v>
      </c>
    </row>
    <row r="10974" spans="2:37">
      <c r="B10974" s="834" t="str">
        <f t="shared" si="423"/>
        <v>|||</v>
      </c>
      <c r="H10974" s="835">
        <f t="shared" si="424"/>
        <v>31</v>
      </c>
      <c r="AF10974" s="831" t="s">
        <v>11633</v>
      </c>
      <c r="AG10974" s="831" t="s">
        <v>2674</v>
      </c>
      <c r="AH10974" s="831" t="s">
        <v>573</v>
      </c>
      <c r="AI10974" s="831">
        <v>0</v>
      </c>
      <c r="AJ10974" s="835">
        <v>41882</v>
      </c>
      <c r="AK10974" s="831">
        <v>855614502.84033298</v>
      </c>
    </row>
    <row r="10975" spans="2:37">
      <c r="B10975" s="834" t="str">
        <f t="shared" si="423"/>
        <v>|||</v>
      </c>
      <c r="H10975" s="835">
        <f t="shared" si="424"/>
        <v>31</v>
      </c>
      <c r="AF10975" s="831" t="s">
        <v>11634</v>
      </c>
      <c r="AG10975" s="831" t="s">
        <v>2674</v>
      </c>
      <c r="AH10975" s="831" t="s">
        <v>574</v>
      </c>
      <c r="AI10975" s="831">
        <v>0</v>
      </c>
      <c r="AJ10975" s="835">
        <v>41882</v>
      </c>
      <c r="AK10975" s="831">
        <v>690452658.11111104</v>
      </c>
    </row>
    <row r="10976" spans="2:37">
      <c r="B10976" s="834" t="str">
        <f t="shared" si="423"/>
        <v>|||</v>
      </c>
      <c r="H10976" s="835">
        <f t="shared" si="424"/>
        <v>31</v>
      </c>
      <c r="AF10976" s="831" t="s">
        <v>11635</v>
      </c>
      <c r="AG10976" s="831" t="s">
        <v>2674</v>
      </c>
      <c r="AH10976" s="831" t="s">
        <v>575</v>
      </c>
      <c r="AI10976" s="831">
        <v>0</v>
      </c>
      <c r="AJ10976" s="835">
        <v>41882</v>
      </c>
      <c r="AK10976" s="831">
        <v>127725459.215556</v>
      </c>
    </row>
    <row r="10977" spans="2:37">
      <c r="B10977" s="834" t="str">
        <f t="shared" si="423"/>
        <v>|||</v>
      </c>
      <c r="H10977" s="835">
        <f t="shared" si="424"/>
        <v>31</v>
      </c>
      <c r="AF10977" s="831" t="s">
        <v>11636</v>
      </c>
      <c r="AG10977" s="831" t="s">
        <v>2674</v>
      </c>
      <c r="AH10977" s="831" t="s">
        <v>576</v>
      </c>
      <c r="AI10977" s="831">
        <v>0</v>
      </c>
      <c r="AJ10977" s="835">
        <v>41882</v>
      </c>
      <c r="AK10977" s="831">
        <v>422408457.33644402</v>
      </c>
    </row>
    <row r="10978" spans="2:37">
      <c r="B10978" s="834" t="str">
        <f t="shared" si="423"/>
        <v>|||</v>
      </c>
      <c r="H10978" s="835">
        <f t="shared" si="424"/>
        <v>31</v>
      </c>
      <c r="AF10978" s="831" t="s">
        <v>11637</v>
      </c>
      <c r="AG10978" s="831" t="s">
        <v>2674</v>
      </c>
      <c r="AH10978" s="831" t="s">
        <v>572</v>
      </c>
      <c r="AI10978" s="831">
        <v>0</v>
      </c>
      <c r="AJ10978" s="835">
        <v>41882</v>
      </c>
      <c r="AK10978" s="831">
        <v>33565597.723999999</v>
      </c>
    </row>
    <row r="10979" spans="2:37">
      <c r="B10979" s="834" t="str">
        <f t="shared" si="423"/>
        <v>|||</v>
      </c>
      <c r="H10979" s="835">
        <f t="shared" si="424"/>
        <v>31</v>
      </c>
      <c r="AF10979" s="831" t="s">
        <v>11638</v>
      </c>
      <c r="AG10979" s="831" t="s">
        <v>2674</v>
      </c>
      <c r="AH10979" s="831" t="s">
        <v>577</v>
      </c>
      <c r="AI10979" s="831">
        <v>0</v>
      </c>
      <c r="AJ10979" s="835">
        <v>41882</v>
      </c>
      <c r="AK10979" s="831">
        <v>160354648.42500001</v>
      </c>
    </row>
    <row r="10980" spans="2:37">
      <c r="B10980" s="834" t="str">
        <f t="shared" si="423"/>
        <v>|||</v>
      </c>
      <c r="H10980" s="835">
        <f t="shared" si="424"/>
        <v>31</v>
      </c>
      <c r="AF10980" s="831" t="s">
        <v>11639</v>
      </c>
      <c r="AG10980" s="831" t="s">
        <v>2674</v>
      </c>
      <c r="AH10980" s="831" t="s">
        <v>3042</v>
      </c>
      <c r="AI10980" s="831">
        <v>0</v>
      </c>
      <c r="AJ10980" s="835">
        <v>41882</v>
      </c>
      <c r="AK10980" s="831">
        <v>-46384889.891000003</v>
      </c>
    </row>
    <row r="10981" spans="2:37">
      <c r="B10981" s="834" t="str">
        <f t="shared" si="423"/>
        <v>|||</v>
      </c>
      <c r="H10981" s="835">
        <f t="shared" si="424"/>
        <v>31</v>
      </c>
      <c r="AF10981" s="831" t="s">
        <v>11640</v>
      </c>
      <c r="AG10981" s="831" t="s">
        <v>2674</v>
      </c>
      <c r="AH10981" s="831" t="s">
        <v>3044</v>
      </c>
      <c r="AI10981" s="831">
        <v>0</v>
      </c>
      <c r="AJ10981" s="835">
        <v>41882</v>
      </c>
      <c r="AK10981" s="831">
        <v>-2154547.3160000001</v>
      </c>
    </row>
    <row r="10982" spans="2:37">
      <c r="B10982" s="834" t="str">
        <f t="shared" si="423"/>
        <v>|||</v>
      </c>
      <c r="H10982" s="835">
        <f t="shared" si="424"/>
        <v>31</v>
      </c>
      <c r="AF10982" s="831" t="s">
        <v>11641</v>
      </c>
      <c r="AG10982" s="831" t="s">
        <v>2674</v>
      </c>
      <c r="AH10982" s="831" t="s">
        <v>580</v>
      </c>
      <c r="AI10982" s="831">
        <v>0</v>
      </c>
      <c r="AJ10982" s="835">
        <v>41882</v>
      </c>
      <c r="AK10982" s="831">
        <v>-74112712.891000003</v>
      </c>
    </row>
    <row r="10983" spans="2:37">
      <c r="B10983" s="834" t="str">
        <f t="shared" si="423"/>
        <v>|||</v>
      </c>
      <c r="H10983" s="835">
        <f t="shared" si="424"/>
        <v>31</v>
      </c>
      <c r="AF10983" s="831" t="s">
        <v>11642</v>
      </c>
      <c r="AG10983" s="831" t="s">
        <v>2674</v>
      </c>
      <c r="AH10983" s="831" t="s">
        <v>581</v>
      </c>
      <c r="AI10983" s="831">
        <v>0</v>
      </c>
      <c r="AJ10983" s="835">
        <v>41882</v>
      </c>
      <c r="AK10983" s="831">
        <v>6514589.0719999997</v>
      </c>
    </row>
    <row r="10984" spans="2:37">
      <c r="B10984" s="834" t="str">
        <f t="shared" si="423"/>
        <v>|||</v>
      </c>
      <c r="H10984" s="835">
        <f t="shared" si="424"/>
        <v>31</v>
      </c>
      <c r="AF10984" s="831" t="s">
        <v>11643</v>
      </c>
      <c r="AG10984" s="831" t="s">
        <v>2674</v>
      </c>
      <c r="AH10984" s="831" t="s">
        <v>105</v>
      </c>
      <c r="AI10984" s="831">
        <v>0</v>
      </c>
      <c r="AJ10984" s="835">
        <v>41882</v>
      </c>
      <c r="AK10984" s="831">
        <v>478699463.417</v>
      </c>
    </row>
    <row r="10985" spans="2:37">
      <c r="B10985" s="834" t="str">
        <f t="shared" si="423"/>
        <v>|||</v>
      </c>
      <c r="H10985" s="835">
        <f t="shared" si="424"/>
        <v>31</v>
      </c>
      <c r="AF10985" s="831" t="s">
        <v>11644</v>
      </c>
      <c r="AG10985" s="831" t="s">
        <v>2674</v>
      </c>
      <c r="AH10985" s="831" t="s">
        <v>3049</v>
      </c>
      <c r="AI10985" s="831">
        <v>0</v>
      </c>
      <c r="AJ10985" s="835">
        <v>41882</v>
      </c>
      <c r="AK10985" s="831">
        <v>787453668.41700006</v>
      </c>
    </row>
    <row r="10986" spans="2:37">
      <c r="B10986" s="834" t="str">
        <f t="shared" si="423"/>
        <v>|||</v>
      </c>
      <c r="H10986" s="835">
        <f t="shared" si="424"/>
        <v>31</v>
      </c>
      <c r="AF10986" s="831" t="s">
        <v>11645</v>
      </c>
      <c r="AG10986" s="831" t="s">
        <v>2674</v>
      </c>
      <c r="AH10986" s="831" t="s">
        <v>103</v>
      </c>
      <c r="AI10986" s="831">
        <v>0</v>
      </c>
      <c r="AJ10986" s="835">
        <v>41882</v>
      </c>
      <c r="AK10986" s="831">
        <v>308754205</v>
      </c>
    </row>
    <row r="10987" spans="2:37">
      <c r="B10987" s="834" t="str">
        <f t="shared" si="423"/>
        <v>|||</v>
      </c>
      <c r="H10987" s="835">
        <f t="shared" si="424"/>
        <v>31</v>
      </c>
      <c r="AF10987" s="831" t="s">
        <v>11646</v>
      </c>
      <c r="AG10987" s="831" t="s">
        <v>2674</v>
      </c>
      <c r="AH10987" s="831" t="s">
        <v>182</v>
      </c>
      <c r="AI10987" s="831">
        <v>0</v>
      </c>
      <c r="AJ10987" s="835">
        <v>41882</v>
      </c>
      <c r="AK10987" s="831">
        <v>72923285.376000002</v>
      </c>
    </row>
    <row r="10988" spans="2:37">
      <c r="B10988" s="834" t="str">
        <f t="shared" si="423"/>
        <v>|||</v>
      </c>
      <c r="H10988" s="835">
        <f t="shared" si="424"/>
        <v>31</v>
      </c>
      <c r="AF10988" s="831" t="s">
        <v>11647</v>
      </c>
      <c r="AG10988" s="831" t="s">
        <v>2674</v>
      </c>
      <c r="AH10988" s="831" t="s">
        <v>6600</v>
      </c>
      <c r="AI10988" s="831">
        <v>0</v>
      </c>
      <c r="AJ10988" s="835">
        <v>41882</v>
      </c>
      <c r="AK10988" s="831">
        <v>33565597.723999999</v>
      </c>
    </row>
    <row r="10989" spans="2:37">
      <c r="B10989" s="834" t="str">
        <f t="shared" si="423"/>
        <v>|||</v>
      </c>
      <c r="H10989" s="835">
        <f t="shared" si="424"/>
        <v>31</v>
      </c>
      <c r="AF10989" s="831" t="s">
        <v>11648</v>
      </c>
      <c r="AG10989" s="831" t="s">
        <v>2674</v>
      </c>
      <c r="AH10989" s="831" t="s">
        <v>6602</v>
      </c>
      <c r="AI10989" s="831">
        <v>0</v>
      </c>
      <c r="AJ10989" s="835">
        <v>41882</v>
      </c>
      <c r="AK10989" s="831">
        <v>25500774.767999999</v>
      </c>
    </row>
    <row r="10990" spans="2:37">
      <c r="B10990" s="834" t="str">
        <f t="shared" si="423"/>
        <v>|||</v>
      </c>
      <c r="H10990" s="835">
        <f t="shared" si="424"/>
        <v>31</v>
      </c>
      <c r="AF10990" s="831" t="s">
        <v>11649</v>
      </c>
      <c r="AG10990" s="831" t="s">
        <v>2674</v>
      </c>
      <c r="AH10990" s="831" t="s">
        <v>650</v>
      </c>
      <c r="AI10990" s="831">
        <v>0</v>
      </c>
      <c r="AJ10990" s="835">
        <v>41882</v>
      </c>
      <c r="AK10990" s="831">
        <v>265538072.42453799</v>
      </c>
    </row>
    <row r="10991" spans="2:37">
      <c r="B10991" s="834" t="str">
        <f t="shared" si="423"/>
        <v>|||</v>
      </c>
      <c r="H10991" s="835">
        <f t="shared" si="424"/>
        <v>31</v>
      </c>
      <c r="AF10991" s="831" t="s">
        <v>11650</v>
      </c>
      <c r="AG10991" s="831" t="s">
        <v>2674</v>
      </c>
      <c r="AH10991" s="831" t="s">
        <v>655</v>
      </c>
      <c r="AI10991" s="831">
        <v>0</v>
      </c>
      <c r="AJ10991" s="835">
        <v>41882</v>
      </c>
      <c r="AK10991" s="831">
        <v>1018935.1090000001</v>
      </c>
    </row>
    <row r="10992" spans="2:37">
      <c r="B10992" s="834" t="str">
        <f t="shared" si="423"/>
        <v>|||</v>
      </c>
      <c r="H10992" s="835">
        <f t="shared" si="424"/>
        <v>31</v>
      </c>
      <c r="AF10992" s="831" t="s">
        <v>11651</v>
      </c>
      <c r="AG10992" s="831" t="s">
        <v>2674</v>
      </c>
      <c r="AH10992" s="831" t="s">
        <v>546</v>
      </c>
      <c r="AI10992" s="831">
        <v>0</v>
      </c>
      <c r="AJ10992" s="835">
        <v>41912</v>
      </c>
      <c r="AK10992" s="831">
        <v>775508043</v>
      </c>
    </row>
    <row r="10993" spans="2:37">
      <c r="B10993" s="834" t="str">
        <f t="shared" si="423"/>
        <v>|||</v>
      </c>
      <c r="H10993" s="835">
        <f t="shared" si="424"/>
        <v>31</v>
      </c>
      <c r="AF10993" s="831" t="s">
        <v>11652</v>
      </c>
      <c r="AG10993" s="831" t="s">
        <v>2674</v>
      </c>
      <c r="AH10993" s="831" t="s">
        <v>370</v>
      </c>
      <c r="AI10993" s="831">
        <v>0</v>
      </c>
      <c r="AJ10993" s="835">
        <v>41912</v>
      </c>
      <c r="AK10993" s="831">
        <v>955738548</v>
      </c>
    </row>
    <row r="10994" spans="2:37">
      <c r="B10994" s="834" t="str">
        <f t="shared" si="423"/>
        <v>|||</v>
      </c>
      <c r="H10994" s="835">
        <f t="shared" si="424"/>
        <v>31</v>
      </c>
      <c r="AF10994" s="831" t="s">
        <v>11653</v>
      </c>
      <c r="AG10994" s="831" t="s">
        <v>2674</v>
      </c>
      <c r="AH10994" s="831" t="s">
        <v>126</v>
      </c>
      <c r="AI10994" s="831">
        <v>0</v>
      </c>
      <c r="AJ10994" s="835">
        <v>41912</v>
      </c>
      <c r="AK10994" s="831">
        <v>145830225</v>
      </c>
    </row>
    <row r="10995" spans="2:37">
      <c r="B10995" s="834" t="str">
        <f t="shared" si="423"/>
        <v>|||</v>
      </c>
      <c r="H10995" s="835">
        <f t="shared" si="424"/>
        <v>31</v>
      </c>
      <c r="AF10995" s="831" t="s">
        <v>11654</v>
      </c>
      <c r="AG10995" s="831" t="s">
        <v>2674</v>
      </c>
      <c r="AH10995" s="831" t="s">
        <v>268</v>
      </c>
      <c r="AI10995" s="831">
        <v>0</v>
      </c>
      <c r="AJ10995" s="835">
        <v>41912</v>
      </c>
      <c r="AK10995" s="831">
        <v>29012035</v>
      </c>
    </row>
    <row r="10996" spans="2:37">
      <c r="B10996" s="834" t="str">
        <f t="shared" si="423"/>
        <v>|||</v>
      </c>
      <c r="H10996" s="835">
        <f t="shared" si="424"/>
        <v>31</v>
      </c>
      <c r="AF10996" s="831" t="s">
        <v>11655</v>
      </c>
      <c r="AG10996" s="831" t="s">
        <v>2674</v>
      </c>
      <c r="AH10996" s="831" t="s">
        <v>547</v>
      </c>
      <c r="AI10996" s="831">
        <v>0</v>
      </c>
      <c r="AJ10996" s="835">
        <v>41912</v>
      </c>
      <c r="AK10996" s="831">
        <v>777719977</v>
      </c>
    </row>
    <row r="10997" spans="2:37">
      <c r="B10997" s="834" t="str">
        <f t="shared" si="423"/>
        <v>|||</v>
      </c>
      <c r="H10997" s="835">
        <f t="shared" si="424"/>
        <v>31</v>
      </c>
      <c r="AF10997" s="831" t="s">
        <v>11656</v>
      </c>
      <c r="AG10997" s="831" t="s">
        <v>2674</v>
      </c>
      <c r="AH10997" s="831" t="s">
        <v>548</v>
      </c>
      <c r="AI10997" s="831">
        <v>0</v>
      </c>
      <c r="AJ10997" s="835">
        <v>41912</v>
      </c>
      <c r="AK10997" s="831">
        <v>117105496</v>
      </c>
    </row>
    <row r="10998" spans="2:37">
      <c r="B10998" s="834" t="str">
        <f t="shared" si="423"/>
        <v>|||</v>
      </c>
      <c r="H10998" s="835">
        <f t="shared" si="424"/>
        <v>31</v>
      </c>
      <c r="AF10998" s="831" t="s">
        <v>11657</v>
      </c>
      <c r="AG10998" s="831" t="s">
        <v>2674</v>
      </c>
      <c r="AH10998" s="831" t="s">
        <v>549</v>
      </c>
      <c r="AI10998" s="831">
        <v>0</v>
      </c>
      <c r="AJ10998" s="835">
        <v>41912</v>
      </c>
      <c r="AK10998" s="831">
        <v>563989028</v>
      </c>
    </row>
    <row r="10999" spans="2:37">
      <c r="B10999" s="834" t="str">
        <f t="shared" si="423"/>
        <v>|||</v>
      </c>
      <c r="H10999" s="835">
        <f t="shared" si="424"/>
        <v>31</v>
      </c>
      <c r="AF10999" s="831" t="s">
        <v>11658</v>
      </c>
      <c r="AG10999" s="831" t="s">
        <v>2674</v>
      </c>
      <c r="AH10999" s="831" t="s">
        <v>192</v>
      </c>
      <c r="AI10999" s="831">
        <v>0</v>
      </c>
      <c r="AJ10999" s="835">
        <v>41912</v>
      </c>
      <c r="AK10999" s="831">
        <v>-11006364</v>
      </c>
    </row>
    <row r="11000" spans="2:37">
      <c r="B11000" s="834" t="str">
        <f t="shared" si="423"/>
        <v>|||</v>
      </c>
      <c r="H11000" s="835">
        <f t="shared" si="424"/>
        <v>31</v>
      </c>
      <c r="AF11000" s="831" t="s">
        <v>11659</v>
      </c>
      <c r="AG11000" s="831" t="s">
        <v>2674</v>
      </c>
      <c r="AH11000" s="831" t="s">
        <v>558</v>
      </c>
      <c r="AI11000" s="831">
        <v>0</v>
      </c>
      <c r="AJ11000" s="835">
        <v>41912</v>
      </c>
      <c r="AK11000" s="831">
        <v>809908323</v>
      </c>
    </row>
    <row r="11001" spans="2:37">
      <c r="B11001" s="834" t="str">
        <f t="shared" si="423"/>
        <v>|||</v>
      </c>
      <c r="H11001" s="835">
        <f t="shared" si="424"/>
        <v>31</v>
      </c>
      <c r="AF11001" s="831" t="s">
        <v>11660</v>
      </c>
      <c r="AG11001" s="831" t="s">
        <v>2674</v>
      </c>
      <c r="AH11001" s="831" t="s">
        <v>65</v>
      </c>
      <c r="AI11001" s="831">
        <v>0</v>
      </c>
      <c r="AJ11001" s="835">
        <v>41912</v>
      </c>
      <c r="AK11001" s="831">
        <v>126643298</v>
      </c>
    </row>
    <row r="11002" spans="2:37">
      <c r="B11002" s="834" t="str">
        <f t="shared" si="423"/>
        <v>|||</v>
      </c>
      <c r="H11002" s="835">
        <f t="shared" si="424"/>
        <v>31</v>
      </c>
      <c r="AF11002" s="831" t="s">
        <v>11661</v>
      </c>
      <c r="AG11002" s="831" t="s">
        <v>2674</v>
      </c>
      <c r="AH11002" s="831" t="s">
        <v>89</v>
      </c>
      <c r="AI11002" s="831">
        <v>0</v>
      </c>
      <c r="AJ11002" s="835">
        <v>41912</v>
      </c>
      <c r="AK11002" s="831">
        <v>159987</v>
      </c>
    </row>
    <row r="11003" spans="2:37">
      <c r="B11003" s="834" t="str">
        <f t="shared" si="423"/>
        <v>|||</v>
      </c>
      <c r="H11003" s="835">
        <f t="shared" si="424"/>
        <v>31</v>
      </c>
      <c r="AF11003" s="831" t="s">
        <v>11662</v>
      </c>
      <c r="AG11003" s="831" t="s">
        <v>2674</v>
      </c>
      <c r="AH11003" s="831" t="s">
        <v>557</v>
      </c>
      <c r="AI11003" s="831">
        <v>0</v>
      </c>
      <c r="AJ11003" s="835">
        <v>41912</v>
      </c>
      <c r="AK11003" s="831">
        <v>180249</v>
      </c>
    </row>
    <row r="11004" spans="2:37">
      <c r="B11004" s="834" t="str">
        <f t="shared" si="423"/>
        <v>|||</v>
      </c>
      <c r="H11004" s="835">
        <f t="shared" si="424"/>
        <v>31</v>
      </c>
      <c r="AF11004" s="831" t="s">
        <v>11663</v>
      </c>
      <c r="AG11004" s="831" t="s">
        <v>2674</v>
      </c>
      <c r="AH11004" s="831" t="s">
        <v>29</v>
      </c>
      <c r="AI11004" s="831">
        <v>0</v>
      </c>
      <c r="AJ11004" s="835">
        <v>41912</v>
      </c>
      <c r="AK11004" s="831">
        <v>2332375</v>
      </c>
    </row>
    <row r="11005" spans="2:37">
      <c r="B11005" s="834" t="str">
        <f t="shared" si="423"/>
        <v>|||</v>
      </c>
      <c r="H11005" s="835">
        <f t="shared" si="424"/>
        <v>31</v>
      </c>
      <c r="AF11005" s="831" t="s">
        <v>11664</v>
      </c>
      <c r="AG11005" s="831" t="s">
        <v>2674</v>
      </c>
      <c r="AH11005" s="831" t="s">
        <v>2688</v>
      </c>
      <c r="AI11005" s="831">
        <v>0</v>
      </c>
      <c r="AJ11005" s="835">
        <v>41912</v>
      </c>
      <c r="AK11005" s="831">
        <v>4758526.78</v>
      </c>
    </row>
    <row r="11006" spans="2:37">
      <c r="B11006" s="834" t="str">
        <f t="shared" si="423"/>
        <v>|||</v>
      </c>
      <c r="H11006" s="835">
        <f t="shared" si="424"/>
        <v>31</v>
      </c>
      <c r="AF11006" s="831" t="s">
        <v>11665</v>
      </c>
      <c r="AG11006" s="831" t="s">
        <v>2674</v>
      </c>
      <c r="AH11006" s="831" t="s">
        <v>556</v>
      </c>
      <c r="AI11006" s="831">
        <v>0</v>
      </c>
      <c r="AJ11006" s="835">
        <v>41912</v>
      </c>
      <c r="AK11006" s="831">
        <v>6520953</v>
      </c>
    </row>
    <row r="11007" spans="2:37">
      <c r="B11007" s="834" t="str">
        <f t="shared" si="423"/>
        <v>|||</v>
      </c>
      <c r="H11007" s="835">
        <f t="shared" si="424"/>
        <v>31</v>
      </c>
      <c r="AF11007" s="831" t="s">
        <v>11666</v>
      </c>
      <c r="AG11007" s="831" t="s">
        <v>2674</v>
      </c>
      <c r="AH11007" s="831" t="s">
        <v>555</v>
      </c>
      <c r="AI11007" s="831">
        <v>0</v>
      </c>
      <c r="AJ11007" s="835">
        <v>41912</v>
      </c>
      <c r="AK11007" s="831">
        <v>528140339</v>
      </c>
    </row>
    <row r="11008" spans="2:37">
      <c r="B11008" s="834" t="str">
        <f t="shared" si="423"/>
        <v>|||</v>
      </c>
      <c r="H11008" s="835">
        <f t="shared" si="424"/>
        <v>31</v>
      </c>
      <c r="AF11008" s="831" t="s">
        <v>11667</v>
      </c>
      <c r="AG11008" s="831" t="s">
        <v>2674</v>
      </c>
      <c r="AH11008" s="831" t="s">
        <v>554</v>
      </c>
      <c r="AI11008" s="831">
        <v>0</v>
      </c>
      <c r="AJ11008" s="835">
        <v>41912</v>
      </c>
      <c r="AK11008" s="831">
        <v>536741460</v>
      </c>
    </row>
    <row r="11009" spans="2:37">
      <c r="B11009" s="834" t="str">
        <f t="shared" si="423"/>
        <v>|||</v>
      </c>
      <c r="H11009" s="835">
        <f t="shared" si="424"/>
        <v>31</v>
      </c>
      <c r="AF11009" s="831" t="s">
        <v>11668</v>
      </c>
      <c r="AG11009" s="831" t="s">
        <v>2674</v>
      </c>
      <c r="AH11009" s="831" t="s">
        <v>553</v>
      </c>
      <c r="AI11009" s="831">
        <v>0</v>
      </c>
      <c r="AJ11009" s="835">
        <v>41912</v>
      </c>
      <c r="AK11009" s="831">
        <v>0</v>
      </c>
    </row>
    <row r="11010" spans="2:37">
      <c r="B11010" s="834" t="str">
        <f t="shared" si="423"/>
        <v>|||</v>
      </c>
      <c r="H11010" s="835">
        <f t="shared" si="424"/>
        <v>31</v>
      </c>
      <c r="AF11010" s="831" t="s">
        <v>11669</v>
      </c>
      <c r="AG11010" s="831" t="s">
        <v>2674</v>
      </c>
      <c r="AH11010" s="831" t="s">
        <v>552</v>
      </c>
      <c r="AI11010" s="831">
        <v>0</v>
      </c>
      <c r="AJ11010" s="835">
        <v>41912</v>
      </c>
      <c r="AK11010" s="831">
        <v>0</v>
      </c>
    </row>
    <row r="11011" spans="2:37">
      <c r="B11011" s="834" t="str">
        <f t="shared" si="423"/>
        <v>|||</v>
      </c>
      <c r="H11011" s="835">
        <f t="shared" si="424"/>
        <v>31</v>
      </c>
      <c r="AF11011" s="831" t="s">
        <v>11670</v>
      </c>
      <c r="AG11011" s="831" t="s">
        <v>2674</v>
      </c>
      <c r="AH11011" s="831" t="s">
        <v>551</v>
      </c>
      <c r="AI11011" s="831">
        <v>0</v>
      </c>
      <c r="AJ11011" s="835">
        <v>41912</v>
      </c>
      <c r="AK11011" s="831">
        <v>1612094</v>
      </c>
    </row>
    <row r="11012" spans="2:37">
      <c r="B11012" s="834" t="str">
        <f t="shared" si="423"/>
        <v>|||</v>
      </c>
      <c r="H11012" s="835">
        <f t="shared" si="424"/>
        <v>31</v>
      </c>
      <c r="AF11012" s="831" t="s">
        <v>11671</v>
      </c>
      <c r="AG11012" s="831" t="s">
        <v>2674</v>
      </c>
      <c r="AH11012" s="831" t="s">
        <v>550</v>
      </c>
      <c r="AI11012" s="831">
        <v>0</v>
      </c>
      <c r="AJ11012" s="835">
        <v>41912</v>
      </c>
      <c r="AK11012" s="831">
        <v>141824046.03</v>
      </c>
    </row>
    <row r="11013" spans="2:37">
      <c r="B11013" s="834" t="str">
        <f t="shared" si="423"/>
        <v>|||</v>
      </c>
      <c r="H11013" s="835">
        <f t="shared" si="424"/>
        <v>31</v>
      </c>
      <c r="AF11013" s="831" t="s">
        <v>11672</v>
      </c>
      <c r="AG11013" s="831" t="s">
        <v>2674</v>
      </c>
      <c r="AH11013" s="831" t="s">
        <v>562</v>
      </c>
      <c r="AI11013" s="831">
        <v>0</v>
      </c>
      <c r="AJ11013" s="835">
        <v>41912</v>
      </c>
      <c r="AK11013" s="831">
        <v>0.78325</v>
      </c>
    </row>
    <row r="11014" spans="2:37">
      <c r="B11014" s="834" t="str">
        <f t="shared" si="423"/>
        <v>|||</v>
      </c>
      <c r="H11014" s="835">
        <f t="shared" si="424"/>
        <v>31</v>
      </c>
      <c r="AF11014" s="831" t="s">
        <v>11673</v>
      </c>
      <c r="AG11014" s="831" t="s">
        <v>2674</v>
      </c>
      <c r="AH11014" s="831" t="s">
        <v>2698</v>
      </c>
      <c r="AI11014" s="831">
        <v>0</v>
      </c>
      <c r="AJ11014" s="835">
        <v>41912</v>
      </c>
      <c r="AK11014" s="831">
        <v>0.7833</v>
      </c>
    </row>
    <row r="11015" spans="2:37">
      <c r="B11015" s="834" t="str">
        <f t="shared" si="423"/>
        <v>|||</v>
      </c>
      <c r="H11015" s="835">
        <f t="shared" si="424"/>
        <v>31</v>
      </c>
      <c r="AF11015" s="831" t="s">
        <v>11674</v>
      </c>
      <c r="AG11015" s="831" t="s">
        <v>2674</v>
      </c>
      <c r="AH11015" s="831" t="s">
        <v>560</v>
      </c>
      <c r="AI11015" s="831">
        <v>0</v>
      </c>
      <c r="AJ11015" s="835">
        <v>41912</v>
      </c>
      <c r="AK11015" s="831">
        <v>0.78364444444444403</v>
      </c>
    </row>
    <row r="11016" spans="2:37">
      <c r="B11016" s="834" t="str">
        <f t="shared" si="423"/>
        <v>|||</v>
      </c>
      <c r="H11016" s="835">
        <f t="shared" si="424"/>
        <v>31</v>
      </c>
      <c r="AF11016" s="831" t="s">
        <v>11675</v>
      </c>
      <c r="AG11016" s="831" t="s">
        <v>2674</v>
      </c>
      <c r="AH11016" s="831" t="s">
        <v>559</v>
      </c>
      <c r="AI11016" s="831">
        <v>0</v>
      </c>
      <c r="AJ11016" s="835">
        <v>41912</v>
      </c>
      <c r="AK11016" s="831">
        <v>0.78366250000000004</v>
      </c>
    </row>
    <row r="11017" spans="2:37">
      <c r="B11017" s="834" t="str">
        <f t="shared" si="423"/>
        <v>|||</v>
      </c>
      <c r="H11017" s="835">
        <f t="shared" si="424"/>
        <v>31</v>
      </c>
      <c r="AF11017" s="831" t="s">
        <v>11676</v>
      </c>
      <c r="AG11017" s="831" t="s">
        <v>2674</v>
      </c>
      <c r="AH11017" s="831" t="s">
        <v>568</v>
      </c>
      <c r="AI11017" s="831">
        <v>0</v>
      </c>
      <c r="AJ11017" s="835">
        <v>41912</v>
      </c>
      <c r="AK11017" s="831">
        <v>671683974.07307696</v>
      </c>
    </row>
    <row r="11018" spans="2:37">
      <c r="B11018" s="834" t="str">
        <f t="shared" si="423"/>
        <v>|||</v>
      </c>
      <c r="H11018" s="835">
        <f t="shared" si="424"/>
        <v>31</v>
      </c>
      <c r="AF11018" s="831" t="s">
        <v>11677</v>
      </c>
      <c r="AG11018" s="831" t="s">
        <v>2674</v>
      </c>
      <c r="AH11018" s="831" t="s">
        <v>569</v>
      </c>
      <c r="AI11018" s="831">
        <v>0</v>
      </c>
      <c r="AJ11018" s="835">
        <v>41912</v>
      </c>
      <c r="AK11018" s="831">
        <v>832078660.51176906</v>
      </c>
    </row>
    <row r="11019" spans="2:37">
      <c r="B11019" s="834" t="str">
        <f t="shared" si="423"/>
        <v>|||</v>
      </c>
      <c r="H11019" s="835">
        <f t="shared" si="424"/>
        <v>31</v>
      </c>
      <c r="AF11019" s="831" t="s">
        <v>11678</v>
      </c>
      <c r="AG11019" s="831" t="s">
        <v>2674</v>
      </c>
      <c r="AH11019" s="831" t="s">
        <v>570</v>
      </c>
      <c r="AI11019" s="831">
        <v>0</v>
      </c>
      <c r="AJ11019" s="835">
        <v>41912</v>
      </c>
      <c r="AK11019" s="831">
        <v>127379907.522769</v>
      </c>
    </row>
    <row r="11020" spans="2:37">
      <c r="B11020" s="834" t="str">
        <f t="shared" si="423"/>
        <v>|||</v>
      </c>
      <c r="H11020" s="835">
        <f t="shared" si="424"/>
        <v>31</v>
      </c>
      <c r="AF11020" s="831" t="s">
        <v>11679</v>
      </c>
      <c r="AG11020" s="831" t="s">
        <v>2674</v>
      </c>
      <c r="AH11020" s="831" t="s">
        <v>571</v>
      </c>
      <c r="AI11020" s="831">
        <v>0</v>
      </c>
      <c r="AJ11020" s="835">
        <v>41912</v>
      </c>
      <c r="AK11020" s="831">
        <v>409242621.46846199</v>
      </c>
    </row>
    <row r="11021" spans="2:37">
      <c r="B11021" s="834" t="str">
        <f t="shared" si="423"/>
        <v>|||</v>
      </c>
      <c r="H11021" s="835">
        <f t="shared" si="424"/>
        <v>31</v>
      </c>
      <c r="AF11021" s="831" t="s">
        <v>11680</v>
      </c>
      <c r="AG11021" s="831" t="s">
        <v>2674</v>
      </c>
      <c r="AH11021" s="831" t="s">
        <v>573</v>
      </c>
      <c r="AI11021" s="831">
        <v>0</v>
      </c>
      <c r="AJ11021" s="835">
        <v>41912</v>
      </c>
      <c r="AK11021" s="831">
        <v>865626907.3563</v>
      </c>
    </row>
    <row r="11022" spans="2:37">
      <c r="B11022" s="834" t="str">
        <f t="shared" si="423"/>
        <v>|||</v>
      </c>
      <c r="H11022" s="835">
        <f t="shared" si="424"/>
        <v>31</v>
      </c>
      <c r="AF11022" s="831" t="s">
        <v>11681</v>
      </c>
      <c r="AG11022" s="831" t="s">
        <v>2674</v>
      </c>
      <c r="AH11022" s="831" t="s">
        <v>574</v>
      </c>
      <c r="AI11022" s="831">
        <v>0</v>
      </c>
      <c r="AJ11022" s="835">
        <v>41912</v>
      </c>
      <c r="AK11022" s="831">
        <v>698958196.60000002</v>
      </c>
    </row>
    <row r="11023" spans="2:37">
      <c r="B11023" s="834" t="str">
        <f t="shared" si="423"/>
        <v>|||</v>
      </c>
      <c r="H11023" s="835">
        <f t="shared" si="424"/>
        <v>31</v>
      </c>
      <c r="AF11023" s="831" t="s">
        <v>11682</v>
      </c>
      <c r="AG11023" s="831" t="s">
        <v>2674</v>
      </c>
      <c r="AH11023" s="831" t="s">
        <v>575</v>
      </c>
      <c r="AI11023" s="831">
        <v>0</v>
      </c>
      <c r="AJ11023" s="835">
        <v>41912</v>
      </c>
      <c r="AK11023" s="831">
        <v>129535935.794</v>
      </c>
    </row>
    <row r="11024" spans="2:37">
      <c r="B11024" s="834" t="str">
        <f t="shared" si="423"/>
        <v>|||</v>
      </c>
      <c r="H11024" s="835">
        <f t="shared" si="424"/>
        <v>31</v>
      </c>
      <c r="AF11024" s="831" t="s">
        <v>11683</v>
      </c>
      <c r="AG11024" s="831" t="s">
        <v>2674</v>
      </c>
      <c r="AH11024" s="831" t="s">
        <v>576</v>
      </c>
      <c r="AI11024" s="831">
        <v>0</v>
      </c>
      <c r="AJ11024" s="835">
        <v>41912</v>
      </c>
      <c r="AK11024" s="831">
        <v>427412859.60280001</v>
      </c>
    </row>
    <row r="11025" spans="2:37">
      <c r="B11025" s="834" t="str">
        <f t="shared" ref="B11025:B11088" si="425">C11025&amp;"|"&amp;D11025&amp;"|"&amp;E11025&amp;"|"&amp;F11025</f>
        <v>|||</v>
      </c>
      <c r="H11025" s="835">
        <f t="shared" ref="H11025:H11088" si="426">EOMONTH(L11025,0)</f>
        <v>31</v>
      </c>
      <c r="AF11025" s="831" t="s">
        <v>11684</v>
      </c>
      <c r="AG11025" s="831" t="s">
        <v>2674</v>
      </c>
      <c r="AH11025" s="831" t="s">
        <v>572</v>
      </c>
      <c r="AI11025" s="831">
        <v>0</v>
      </c>
      <c r="AJ11025" s="835">
        <v>41912</v>
      </c>
      <c r="AK11025" s="831">
        <v>33781162.956</v>
      </c>
    </row>
    <row r="11026" spans="2:37">
      <c r="B11026" s="834" t="str">
        <f t="shared" si="425"/>
        <v>|||</v>
      </c>
      <c r="H11026" s="835">
        <f t="shared" si="426"/>
        <v>31</v>
      </c>
      <c r="AF11026" s="831" t="s">
        <v>11685</v>
      </c>
      <c r="AG11026" s="831" t="s">
        <v>2674</v>
      </c>
      <c r="AH11026" s="831" t="s">
        <v>577</v>
      </c>
      <c r="AI11026" s="831">
        <v>0</v>
      </c>
      <c r="AJ11026" s="835">
        <v>41912</v>
      </c>
      <c r="AK11026" s="831">
        <v>164186629.76300001</v>
      </c>
    </row>
    <row r="11027" spans="2:37">
      <c r="B11027" s="834" t="str">
        <f t="shared" si="425"/>
        <v>|||</v>
      </c>
      <c r="H11027" s="835">
        <f t="shared" si="426"/>
        <v>31</v>
      </c>
      <c r="AF11027" s="831" t="s">
        <v>11686</v>
      </c>
      <c r="AG11027" s="831" t="s">
        <v>2674</v>
      </c>
      <c r="AH11027" s="831" t="s">
        <v>3042</v>
      </c>
      <c r="AI11027" s="831">
        <v>0</v>
      </c>
      <c r="AJ11027" s="835">
        <v>41912</v>
      </c>
      <c r="AK11027" s="831">
        <v>-47764358.527000003</v>
      </c>
    </row>
    <row r="11028" spans="2:37">
      <c r="B11028" s="834" t="str">
        <f t="shared" si="425"/>
        <v>|||</v>
      </c>
      <c r="H11028" s="835">
        <f t="shared" si="426"/>
        <v>31</v>
      </c>
      <c r="AF11028" s="831" t="s">
        <v>11687</v>
      </c>
      <c r="AG11028" s="831" t="s">
        <v>2674</v>
      </c>
      <c r="AH11028" s="831" t="s">
        <v>3044</v>
      </c>
      <c r="AI11028" s="831">
        <v>0</v>
      </c>
      <c r="AJ11028" s="835">
        <v>41912</v>
      </c>
      <c r="AK11028" s="831">
        <v>-2027515.89</v>
      </c>
    </row>
    <row r="11029" spans="2:37">
      <c r="B11029" s="834" t="str">
        <f t="shared" si="425"/>
        <v>|||</v>
      </c>
      <c r="H11029" s="835">
        <f t="shared" si="426"/>
        <v>31</v>
      </c>
      <c r="AF11029" s="831" t="s">
        <v>11688</v>
      </c>
      <c r="AG11029" s="831" t="s">
        <v>2674</v>
      </c>
      <c r="AH11029" s="831" t="s">
        <v>580</v>
      </c>
      <c r="AI11029" s="831">
        <v>0</v>
      </c>
      <c r="AJ11029" s="835">
        <v>41912</v>
      </c>
      <c r="AK11029" s="831">
        <v>-75872333.306999996</v>
      </c>
    </row>
    <row r="11030" spans="2:37">
      <c r="B11030" s="834" t="str">
        <f t="shared" si="425"/>
        <v>|||</v>
      </c>
      <c r="H11030" s="835">
        <f t="shared" si="426"/>
        <v>31</v>
      </c>
      <c r="AF11030" s="831" t="s">
        <v>11689</v>
      </c>
      <c r="AG11030" s="831" t="s">
        <v>2674</v>
      </c>
      <c r="AH11030" s="831" t="s">
        <v>581</v>
      </c>
      <c r="AI11030" s="831">
        <v>0</v>
      </c>
      <c r="AJ11030" s="835">
        <v>41912</v>
      </c>
      <c r="AK11030" s="831">
        <v>6304407.8940000003</v>
      </c>
    </row>
    <row r="11031" spans="2:37">
      <c r="B11031" s="834" t="str">
        <f t="shared" si="425"/>
        <v>|||</v>
      </c>
      <c r="H11031" s="835">
        <f t="shared" si="426"/>
        <v>31</v>
      </c>
      <c r="AF11031" s="831" t="s">
        <v>11690</v>
      </c>
      <c r="AG11031" s="831" t="s">
        <v>2674</v>
      </c>
      <c r="AH11031" s="831" t="s">
        <v>105</v>
      </c>
      <c r="AI11031" s="831">
        <v>0</v>
      </c>
      <c r="AJ11031" s="835">
        <v>41912</v>
      </c>
      <c r="AK11031" s="831">
        <v>472452480</v>
      </c>
    </row>
    <row r="11032" spans="2:37">
      <c r="B11032" s="834" t="str">
        <f t="shared" si="425"/>
        <v>|||</v>
      </c>
      <c r="H11032" s="835">
        <f t="shared" si="426"/>
        <v>31</v>
      </c>
      <c r="AF11032" s="831" t="s">
        <v>11691</v>
      </c>
      <c r="AG11032" s="831" t="s">
        <v>2674</v>
      </c>
      <c r="AH11032" s="831" t="s">
        <v>3049</v>
      </c>
      <c r="AI11032" s="831">
        <v>0</v>
      </c>
      <c r="AJ11032" s="835">
        <v>41912</v>
      </c>
      <c r="AK11032" s="831">
        <v>783051294</v>
      </c>
    </row>
    <row r="11033" spans="2:37">
      <c r="B11033" s="834" t="str">
        <f t="shared" si="425"/>
        <v>|||</v>
      </c>
      <c r="H11033" s="835">
        <f t="shared" si="426"/>
        <v>31</v>
      </c>
      <c r="AF11033" s="831" t="s">
        <v>11692</v>
      </c>
      <c r="AG11033" s="831" t="s">
        <v>2674</v>
      </c>
      <c r="AH11033" s="831" t="s">
        <v>103</v>
      </c>
      <c r="AI11033" s="831">
        <v>0</v>
      </c>
      <c r="AJ11033" s="835">
        <v>41912</v>
      </c>
      <c r="AK11033" s="831">
        <v>310598814</v>
      </c>
    </row>
    <row r="11034" spans="2:37">
      <c r="B11034" s="834" t="str">
        <f t="shared" si="425"/>
        <v>|||</v>
      </c>
      <c r="H11034" s="835">
        <f t="shared" si="426"/>
        <v>31</v>
      </c>
      <c r="AF11034" s="831" t="s">
        <v>11693</v>
      </c>
      <c r="AG11034" s="831" t="s">
        <v>2674</v>
      </c>
      <c r="AH11034" s="831" t="s">
        <v>182</v>
      </c>
      <c r="AI11034" s="831">
        <v>0</v>
      </c>
      <c r="AJ11034" s="835">
        <v>41912</v>
      </c>
      <c r="AK11034" s="831">
        <v>73471997.333333299</v>
      </c>
    </row>
    <row r="11035" spans="2:37">
      <c r="B11035" s="834" t="str">
        <f t="shared" si="425"/>
        <v>|||</v>
      </c>
      <c r="H11035" s="835">
        <f t="shared" si="426"/>
        <v>31</v>
      </c>
      <c r="AF11035" s="831" t="s">
        <v>11694</v>
      </c>
      <c r="AG11035" s="831" t="s">
        <v>2674</v>
      </c>
      <c r="AH11035" s="831" t="s">
        <v>6600</v>
      </c>
      <c r="AI11035" s="831">
        <v>0</v>
      </c>
      <c r="AJ11035" s="835">
        <v>41912</v>
      </c>
      <c r="AK11035" s="831">
        <v>33781162.956</v>
      </c>
    </row>
    <row r="11036" spans="2:37">
      <c r="B11036" s="834" t="str">
        <f t="shared" si="425"/>
        <v>|||</v>
      </c>
      <c r="H11036" s="835">
        <f t="shared" si="426"/>
        <v>31</v>
      </c>
      <c r="AF11036" s="831" t="s">
        <v>11695</v>
      </c>
      <c r="AG11036" s="831" t="s">
        <v>2674</v>
      </c>
      <c r="AH11036" s="831" t="s">
        <v>6602</v>
      </c>
      <c r="AI11036" s="831">
        <v>0</v>
      </c>
      <c r="AJ11036" s="835">
        <v>41912</v>
      </c>
      <c r="AK11036" s="831">
        <v>29012035</v>
      </c>
    </row>
    <row r="11037" spans="2:37">
      <c r="B11037" s="834" t="str">
        <f t="shared" si="425"/>
        <v>|||</v>
      </c>
      <c r="H11037" s="835">
        <f t="shared" si="426"/>
        <v>31</v>
      </c>
      <c r="AF11037" s="831" t="s">
        <v>11696</v>
      </c>
      <c r="AG11037" s="831" t="s">
        <v>2674</v>
      </c>
      <c r="AH11037" s="831" t="s">
        <v>650</v>
      </c>
      <c r="AI11037" s="831">
        <v>0</v>
      </c>
      <c r="AJ11037" s="835">
        <v>41912</v>
      </c>
      <c r="AK11037" s="831">
        <v>273036122.95146197</v>
      </c>
    </row>
    <row r="11038" spans="2:37">
      <c r="B11038" s="834" t="str">
        <f t="shared" si="425"/>
        <v>|||</v>
      </c>
      <c r="H11038" s="835">
        <f t="shared" si="426"/>
        <v>31</v>
      </c>
      <c r="AF11038" s="831" t="s">
        <v>11697</v>
      </c>
      <c r="AG11038" s="831" t="s">
        <v>2674</v>
      </c>
      <c r="AH11038" s="831" t="s">
        <v>655</v>
      </c>
      <c r="AI11038" s="831">
        <v>0</v>
      </c>
      <c r="AJ11038" s="835">
        <v>41912</v>
      </c>
      <c r="AK11038" s="831">
        <v>1341189</v>
      </c>
    </row>
    <row r="11039" spans="2:37">
      <c r="B11039" s="834" t="str">
        <f t="shared" si="425"/>
        <v>|||</v>
      </c>
      <c r="H11039" s="835">
        <f t="shared" si="426"/>
        <v>31</v>
      </c>
      <c r="AF11039" s="831" t="s">
        <v>11698</v>
      </c>
      <c r="AG11039" s="831" t="s">
        <v>2674</v>
      </c>
      <c r="AH11039" s="831" t="s">
        <v>546</v>
      </c>
      <c r="AI11039" s="831">
        <v>0</v>
      </c>
      <c r="AJ11039" s="835">
        <v>41943</v>
      </c>
      <c r="AK11039" s="831">
        <v>788185615</v>
      </c>
    </row>
    <row r="11040" spans="2:37">
      <c r="B11040" s="834" t="str">
        <f t="shared" si="425"/>
        <v>|||</v>
      </c>
      <c r="H11040" s="835">
        <f t="shared" si="426"/>
        <v>31</v>
      </c>
      <c r="AF11040" s="831" t="s">
        <v>11699</v>
      </c>
      <c r="AG11040" s="831" t="s">
        <v>2674</v>
      </c>
      <c r="AH11040" s="831" t="s">
        <v>370</v>
      </c>
      <c r="AI11040" s="831">
        <v>0</v>
      </c>
      <c r="AJ11040" s="835">
        <v>41943</v>
      </c>
      <c r="AK11040" s="831">
        <v>999911217</v>
      </c>
    </row>
    <row r="11041" spans="2:37">
      <c r="B11041" s="834" t="str">
        <f t="shared" si="425"/>
        <v>|||</v>
      </c>
      <c r="H11041" s="835">
        <f t="shared" si="426"/>
        <v>31</v>
      </c>
      <c r="AF11041" s="831" t="s">
        <v>11700</v>
      </c>
      <c r="AG11041" s="831" t="s">
        <v>2674</v>
      </c>
      <c r="AH11041" s="831" t="s">
        <v>126</v>
      </c>
      <c r="AI11041" s="831">
        <v>0</v>
      </c>
      <c r="AJ11041" s="835">
        <v>41943</v>
      </c>
      <c r="AK11041" s="831">
        <v>149380039</v>
      </c>
    </row>
    <row r="11042" spans="2:37">
      <c r="B11042" s="834" t="str">
        <f t="shared" si="425"/>
        <v>|||</v>
      </c>
      <c r="H11042" s="835">
        <f t="shared" si="426"/>
        <v>31</v>
      </c>
      <c r="AF11042" s="831" t="s">
        <v>11701</v>
      </c>
      <c r="AG11042" s="831" t="s">
        <v>2674</v>
      </c>
      <c r="AH11042" s="831" t="s">
        <v>268</v>
      </c>
      <c r="AI11042" s="831">
        <v>0</v>
      </c>
      <c r="AJ11042" s="835">
        <v>41943</v>
      </c>
      <c r="AK11042" s="831">
        <v>32657533</v>
      </c>
    </row>
    <row r="11043" spans="2:37">
      <c r="B11043" s="834" t="str">
        <f t="shared" si="425"/>
        <v>|||</v>
      </c>
      <c r="H11043" s="835">
        <f t="shared" si="426"/>
        <v>31</v>
      </c>
      <c r="AF11043" s="831" t="s">
        <v>11702</v>
      </c>
      <c r="AG11043" s="831" t="s">
        <v>2674</v>
      </c>
      <c r="AH11043" s="831" t="s">
        <v>547</v>
      </c>
      <c r="AI11043" s="831">
        <v>0</v>
      </c>
      <c r="AJ11043" s="835">
        <v>41943</v>
      </c>
      <c r="AK11043" s="831">
        <v>777719977</v>
      </c>
    </row>
    <row r="11044" spans="2:37">
      <c r="B11044" s="834" t="str">
        <f t="shared" si="425"/>
        <v>|||</v>
      </c>
      <c r="H11044" s="835">
        <f t="shared" si="426"/>
        <v>31</v>
      </c>
      <c r="AF11044" s="831" t="s">
        <v>11703</v>
      </c>
      <c r="AG11044" s="831" t="s">
        <v>2674</v>
      </c>
      <c r="AH11044" s="831" t="s">
        <v>548</v>
      </c>
      <c r="AI11044" s="831">
        <v>0</v>
      </c>
      <c r="AJ11044" s="835">
        <v>41943</v>
      </c>
      <c r="AK11044" s="831">
        <v>117105496</v>
      </c>
    </row>
    <row r="11045" spans="2:37">
      <c r="B11045" s="834" t="str">
        <f t="shared" si="425"/>
        <v>|||</v>
      </c>
      <c r="H11045" s="835">
        <f t="shared" si="426"/>
        <v>31</v>
      </c>
      <c r="AF11045" s="831" t="s">
        <v>11704</v>
      </c>
      <c r="AG11045" s="831" t="s">
        <v>2674</v>
      </c>
      <c r="AH11045" s="831" t="s">
        <v>549</v>
      </c>
      <c r="AI11045" s="831">
        <v>0</v>
      </c>
      <c r="AJ11045" s="835">
        <v>41943</v>
      </c>
      <c r="AK11045" s="831">
        <v>580271359</v>
      </c>
    </row>
    <row r="11046" spans="2:37">
      <c r="B11046" s="834" t="str">
        <f t="shared" si="425"/>
        <v>|||</v>
      </c>
      <c r="H11046" s="835">
        <f t="shared" si="426"/>
        <v>31</v>
      </c>
      <c r="AF11046" s="831" t="s">
        <v>11705</v>
      </c>
      <c r="AG11046" s="831" t="s">
        <v>2674</v>
      </c>
      <c r="AH11046" s="831" t="s">
        <v>192</v>
      </c>
      <c r="AI11046" s="831">
        <v>0</v>
      </c>
      <c r="AJ11046" s="835">
        <v>41943</v>
      </c>
      <c r="AK11046" s="831">
        <v>-11001950</v>
      </c>
    </row>
    <row r="11047" spans="2:37">
      <c r="B11047" s="834" t="str">
        <f t="shared" si="425"/>
        <v>|||</v>
      </c>
      <c r="H11047" s="835">
        <f t="shared" si="426"/>
        <v>31</v>
      </c>
      <c r="AF11047" s="831" t="s">
        <v>11706</v>
      </c>
      <c r="AG11047" s="831" t="s">
        <v>2674</v>
      </c>
      <c r="AH11047" s="831" t="s">
        <v>558</v>
      </c>
      <c r="AI11047" s="831">
        <v>0</v>
      </c>
      <c r="AJ11047" s="835">
        <v>41943</v>
      </c>
      <c r="AK11047" s="831">
        <v>850531537</v>
      </c>
    </row>
    <row r="11048" spans="2:37">
      <c r="B11048" s="834" t="str">
        <f t="shared" si="425"/>
        <v>|||</v>
      </c>
      <c r="H11048" s="835">
        <f t="shared" si="426"/>
        <v>31</v>
      </c>
      <c r="AF11048" s="831" t="s">
        <v>11707</v>
      </c>
      <c r="AG11048" s="831" t="s">
        <v>2674</v>
      </c>
      <c r="AH11048" s="831" t="s">
        <v>65</v>
      </c>
      <c r="AI11048" s="831">
        <v>0</v>
      </c>
      <c r="AJ11048" s="835">
        <v>41943</v>
      </c>
      <c r="AK11048" s="831">
        <v>144545337</v>
      </c>
    </row>
    <row r="11049" spans="2:37">
      <c r="B11049" s="834" t="str">
        <f t="shared" si="425"/>
        <v>|||</v>
      </c>
      <c r="H11049" s="835">
        <f t="shared" si="426"/>
        <v>31</v>
      </c>
      <c r="AF11049" s="831" t="s">
        <v>11708</v>
      </c>
      <c r="AG11049" s="831" t="s">
        <v>2674</v>
      </c>
      <c r="AH11049" s="831" t="s">
        <v>89</v>
      </c>
      <c r="AI11049" s="831">
        <v>0</v>
      </c>
      <c r="AJ11049" s="835">
        <v>41943</v>
      </c>
      <c r="AK11049" s="831">
        <v>159189</v>
      </c>
    </row>
    <row r="11050" spans="2:37">
      <c r="B11050" s="834" t="str">
        <f t="shared" si="425"/>
        <v>|||</v>
      </c>
      <c r="H11050" s="835">
        <f t="shared" si="426"/>
        <v>31</v>
      </c>
      <c r="AF11050" s="831" t="s">
        <v>11709</v>
      </c>
      <c r="AG11050" s="831" t="s">
        <v>2674</v>
      </c>
      <c r="AH11050" s="831" t="s">
        <v>557</v>
      </c>
      <c r="AI11050" s="831">
        <v>0</v>
      </c>
      <c r="AJ11050" s="835">
        <v>41943</v>
      </c>
      <c r="AK11050" s="831">
        <v>176925</v>
      </c>
    </row>
    <row r="11051" spans="2:37">
      <c r="B11051" s="834" t="str">
        <f t="shared" si="425"/>
        <v>|||</v>
      </c>
      <c r="H11051" s="835">
        <f t="shared" si="426"/>
        <v>31</v>
      </c>
      <c r="AF11051" s="831" t="s">
        <v>11710</v>
      </c>
      <c r="AG11051" s="831" t="s">
        <v>2674</v>
      </c>
      <c r="AH11051" s="831" t="s">
        <v>29</v>
      </c>
      <c r="AI11051" s="831">
        <v>0</v>
      </c>
      <c r="AJ11051" s="835">
        <v>41943</v>
      </c>
      <c r="AK11051" s="831">
        <v>4443738</v>
      </c>
    </row>
    <row r="11052" spans="2:37">
      <c r="B11052" s="834" t="str">
        <f t="shared" si="425"/>
        <v>|||</v>
      </c>
      <c r="H11052" s="835">
        <f t="shared" si="426"/>
        <v>31</v>
      </c>
      <c r="AF11052" s="831" t="s">
        <v>11711</v>
      </c>
      <c r="AG11052" s="831" t="s">
        <v>2674</v>
      </c>
      <c r="AH11052" s="831" t="s">
        <v>2688</v>
      </c>
      <c r="AI11052" s="831">
        <v>0</v>
      </c>
      <c r="AJ11052" s="835">
        <v>41943</v>
      </c>
      <c r="AK11052" s="831">
        <v>4878770.04</v>
      </c>
    </row>
    <row r="11053" spans="2:37">
      <c r="B11053" s="834" t="str">
        <f t="shared" si="425"/>
        <v>|||</v>
      </c>
      <c r="H11053" s="835">
        <f t="shared" si="426"/>
        <v>31</v>
      </c>
      <c r="AF11053" s="831" t="s">
        <v>11712</v>
      </c>
      <c r="AG11053" s="831" t="s">
        <v>2674</v>
      </c>
      <c r="AH11053" s="831" t="s">
        <v>556</v>
      </c>
      <c r="AI11053" s="831">
        <v>0</v>
      </c>
      <c r="AJ11053" s="835">
        <v>41943</v>
      </c>
      <c r="AK11053" s="831">
        <v>8151347</v>
      </c>
    </row>
    <row r="11054" spans="2:37">
      <c r="B11054" s="834" t="str">
        <f t="shared" si="425"/>
        <v>|||</v>
      </c>
      <c r="H11054" s="835">
        <f t="shared" si="426"/>
        <v>31</v>
      </c>
      <c r="AF11054" s="831" t="s">
        <v>11713</v>
      </c>
      <c r="AG11054" s="831" t="s">
        <v>2674</v>
      </c>
      <c r="AH11054" s="831" t="s">
        <v>555</v>
      </c>
      <c r="AI11054" s="831">
        <v>0</v>
      </c>
      <c r="AJ11054" s="835">
        <v>41943</v>
      </c>
      <c r="AK11054" s="831">
        <v>560953709</v>
      </c>
    </row>
    <row r="11055" spans="2:37">
      <c r="B11055" s="834" t="str">
        <f t="shared" si="425"/>
        <v>|||</v>
      </c>
      <c r="H11055" s="835">
        <f t="shared" si="426"/>
        <v>31</v>
      </c>
      <c r="AF11055" s="831" t="s">
        <v>11714</v>
      </c>
      <c r="AG11055" s="831" t="s">
        <v>2674</v>
      </c>
      <c r="AH11055" s="831" t="s">
        <v>554</v>
      </c>
      <c r="AI11055" s="831">
        <v>0</v>
      </c>
      <c r="AJ11055" s="835">
        <v>41943</v>
      </c>
      <c r="AK11055" s="831">
        <v>571019140</v>
      </c>
    </row>
    <row r="11056" spans="2:37">
      <c r="B11056" s="834" t="str">
        <f t="shared" si="425"/>
        <v>|||</v>
      </c>
      <c r="H11056" s="835">
        <f t="shared" si="426"/>
        <v>31</v>
      </c>
      <c r="AF11056" s="831" t="s">
        <v>11715</v>
      </c>
      <c r="AG11056" s="831" t="s">
        <v>2674</v>
      </c>
      <c r="AH11056" s="831" t="s">
        <v>553</v>
      </c>
      <c r="AI11056" s="831">
        <v>0</v>
      </c>
      <c r="AJ11056" s="835">
        <v>41943</v>
      </c>
      <c r="AK11056" s="831">
        <v>0</v>
      </c>
    </row>
    <row r="11057" spans="2:37">
      <c r="B11057" s="834" t="str">
        <f t="shared" si="425"/>
        <v>|||</v>
      </c>
      <c r="H11057" s="835">
        <f t="shared" si="426"/>
        <v>31</v>
      </c>
      <c r="AF11057" s="831" t="s">
        <v>11716</v>
      </c>
      <c r="AG11057" s="831" t="s">
        <v>2674</v>
      </c>
      <c r="AH11057" s="831" t="s">
        <v>552</v>
      </c>
      <c r="AI11057" s="831">
        <v>0</v>
      </c>
      <c r="AJ11057" s="835">
        <v>41943</v>
      </c>
      <c r="AK11057" s="831">
        <v>0</v>
      </c>
    </row>
    <row r="11058" spans="2:37">
      <c r="B11058" s="834" t="str">
        <f t="shared" si="425"/>
        <v>|||</v>
      </c>
      <c r="H11058" s="835">
        <f t="shared" si="426"/>
        <v>31</v>
      </c>
      <c r="AF11058" s="831" t="s">
        <v>11717</v>
      </c>
      <c r="AG11058" s="831" t="s">
        <v>2674</v>
      </c>
      <c r="AH11058" s="831" t="s">
        <v>551</v>
      </c>
      <c r="AI11058" s="831">
        <v>0</v>
      </c>
      <c r="AJ11058" s="835">
        <v>41943</v>
      </c>
      <c r="AK11058" s="831">
        <v>1179234</v>
      </c>
    </row>
    <row r="11059" spans="2:37">
      <c r="B11059" s="834" t="str">
        <f t="shared" si="425"/>
        <v>|||</v>
      </c>
      <c r="H11059" s="835">
        <f t="shared" si="426"/>
        <v>31</v>
      </c>
      <c r="AF11059" s="831" t="s">
        <v>11718</v>
      </c>
      <c r="AG11059" s="831" t="s">
        <v>2674</v>
      </c>
      <c r="AH11059" s="831" t="s">
        <v>550</v>
      </c>
      <c r="AI11059" s="831">
        <v>0</v>
      </c>
      <c r="AJ11059" s="835">
        <v>41943</v>
      </c>
      <c r="AK11059" s="831">
        <v>145830225</v>
      </c>
    </row>
    <row r="11060" spans="2:37">
      <c r="B11060" s="834" t="str">
        <f t="shared" si="425"/>
        <v>|||</v>
      </c>
      <c r="H11060" s="835">
        <f t="shared" si="426"/>
        <v>31</v>
      </c>
      <c r="AF11060" s="831" t="s">
        <v>11719</v>
      </c>
      <c r="AG11060" s="831" t="s">
        <v>2674</v>
      </c>
      <c r="AH11060" s="831" t="s">
        <v>562</v>
      </c>
      <c r="AI11060" s="831">
        <v>0</v>
      </c>
      <c r="AJ11060" s="835">
        <v>41943</v>
      </c>
      <c r="AK11060" s="831">
        <v>0.78380000000000005</v>
      </c>
    </row>
    <row r="11061" spans="2:37">
      <c r="B11061" s="834" t="str">
        <f t="shared" si="425"/>
        <v>|||</v>
      </c>
      <c r="H11061" s="835">
        <f t="shared" si="426"/>
        <v>31</v>
      </c>
      <c r="AF11061" s="831" t="s">
        <v>11720</v>
      </c>
      <c r="AG11061" s="831" t="s">
        <v>2674</v>
      </c>
      <c r="AH11061" s="831" t="s">
        <v>2698</v>
      </c>
      <c r="AI11061" s="831">
        <v>0</v>
      </c>
      <c r="AJ11061" s="835">
        <v>41943</v>
      </c>
      <c r="AK11061" s="831">
        <v>0.78325</v>
      </c>
    </row>
    <row r="11062" spans="2:37">
      <c r="B11062" s="834" t="str">
        <f t="shared" si="425"/>
        <v>|||</v>
      </c>
      <c r="H11062" s="835">
        <f t="shared" si="426"/>
        <v>31</v>
      </c>
      <c r="AF11062" s="831" t="s">
        <v>11721</v>
      </c>
      <c r="AG11062" s="831" t="s">
        <v>2674</v>
      </c>
      <c r="AH11062" s="831" t="s">
        <v>560</v>
      </c>
      <c r="AI11062" s="831">
        <v>0</v>
      </c>
      <c r="AJ11062" s="835">
        <v>41943</v>
      </c>
      <c r="AK11062" s="831">
        <v>0.78366000000000002</v>
      </c>
    </row>
    <row r="11063" spans="2:37">
      <c r="B11063" s="834" t="str">
        <f t="shared" si="425"/>
        <v>|||</v>
      </c>
      <c r="H11063" s="835">
        <f t="shared" si="426"/>
        <v>31</v>
      </c>
      <c r="AF11063" s="831" t="s">
        <v>11722</v>
      </c>
      <c r="AG11063" s="831" t="s">
        <v>2674</v>
      </c>
      <c r="AH11063" s="831" t="s">
        <v>559</v>
      </c>
      <c r="AI11063" s="831">
        <v>0</v>
      </c>
      <c r="AJ11063" s="835">
        <v>41943</v>
      </c>
      <c r="AK11063" s="831">
        <v>0.78364999999999996</v>
      </c>
    </row>
    <row r="11064" spans="2:37">
      <c r="B11064" s="834" t="str">
        <f t="shared" si="425"/>
        <v>|||</v>
      </c>
      <c r="H11064" s="835">
        <f t="shared" si="426"/>
        <v>31</v>
      </c>
      <c r="AF11064" s="831" t="s">
        <v>11723</v>
      </c>
      <c r="AG11064" s="831" t="s">
        <v>2674</v>
      </c>
      <c r="AH11064" s="831" t="s">
        <v>568</v>
      </c>
      <c r="AI11064" s="831">
        <v>0</v>
      </c>
      <c r="AJ11064" s="835">
        <v>41943</v>
      </c>
      <c r="AK11064" s="831">
        <v>688929865.38076901</v>
      </c>
    </row>
    <row r="11065" spans="2:37">
      <c r="B11065" s="834" t="str">
        <f t="shared" si="425"/>
        <v>|||</v>
      </c>
      <c r="H11065" s="835">
        <f t="shared" si="426"/>
        <v>31</v>
      </c>
      <c r="AF11065" s="831" t="s">
        <v>11724</v>
      </c>
      <c r="AG11065" s="831" t="s">
        <v>2674</v>
      </c>
      <c r="AH11065" s="831" t="s">
        <v>569</v>
      </c>
      <c r="AI11065" s="831">
        <v>0</v>
      </c>
      <c r="AJ11065" s="835">
        <v>41943</v>
      </c>
      <c r="AK11065" s="831">
        <v>855702939.81946194</v>
      </c>
    </row>
    <row r="11066" spans="2:37">
      <c r="B11066" s="834" t="str">
        <f t="shared" si="425"/>
        <v>|||</v>
      </c>
      <c r="H11066" s="835">
        <f t="shared" si="426"/>
        <v>31</v>
      </c>
      <c r="AF11066" s="831" t="s">
        <v>11725</v>
      </c>
      <c r="AG11066" s="831" t="s">
        <v>2674</v>
      </c>
      <c r="AH11066" s="831" t="s">
        <v>570</v>
      </c>
      <c r="AI11066" s="831">
        <v>0</v>
      </c>
      <c r="AJ11066" s="835">
        <v>41943</v>
      </c>
      <c r="AK11066" s="831">
        <v>129857553.83046199</v>
      </c>
    </row>
    <row r="11067" spans="2:37">
      <c r="B11067" s="834" t="str">
        <f t="shared" si="425"/>
        <v>|||</v>
      </c>
      <c r="H11067" s="835">
        <f t="shared" si="426"/>
        <v>31</v>
      </c>
      <c r="AF11067" s="831" t="s">
        <v>11726</v>
      </c>
      <c r="AG11067" s="831" t="s">
        <v>2674</v>
      </c>
      <c r="AH11067" s="831" t="s">
        <v>571</v>
      </c>
      <c r="AI11067" s="831">
        <v>0</v>
      </c>
      <c r="AJ11067" s="835">
        <v>41943</v>
      </c>
      <c r="AK11067" s="831">
        <v>421465171.16076899</v>
      </c>
    </row>
    <row r="11068" spans="2:37">
      <c r="B11068" s="834" t="str">
        <f t="shared" si="425"/>
        <v>|||</v>
      </c>
      <c r="H11068" s="835">
        <f t="shared" si="426"/>
        <v>31</v>
      </c>
      <c r="AF11068" s="831" t="s">
        <v>11727</v>
      </c>
      <c r="AG11068" s="831" t="s">
        <v>2674</v>
      </c>
      <c r="AH11068" s="831" t="s">
        <v>573</v>
      </c>
      <c r="AI11068" s="831">
        <v>0</v>
      </c>
      <c r="AJ11068" s="835">
        <v>41943</v>
      </c>
      <c r="AK11068" s="831">
        <v>877834571.86936402</v>
      </c>
    </row>
    <row r="11069" spans="2:37">
      <c r="B11069" s="834" t="str">
        <f t="shared" si="425"/>
        <v>|||</v>
      </c>
      <c r="H11069" s="835">
        <f t="shared" si="426"/>
        <v>31</v>
      </c>
      <c r="AF11069" s="831" t="s">
        <v>11728</v>
      </c>
      <c r="AG11069" s="831" t="s">
        <v>2674</v>
      </c>
      <c r="AH11069" s="831" t="s">
        <v>574</v>
      </c>
      <c r="AI11069" s="831">
        <v>0</v>
      </c>
      <c r="AJ11069" s="835">
        <v>41943</v>
      </c>
      <c r="AK11069" s="831">
        <v>707069780.090909</v>
      </c>
    </row>
    <row r="11070" spans="2:37">
      <c r="B11070" s="834" t="str">
        <f t="shared" si="425"/>
        <v>|||</v>
      </c>
      <c r="H11070" s="835">
        <f t="shared" si="426"/>
        <v>31</v>
      </c>
      <c r="AF11070" s="831" t="s">
        <v>11729</v>
      </c>
      <c r="AG11070" s="831" t="s">
        <v>2674</v>
      </c>
      <c r="AH11070" s="831" t="s">
        <v>575</v>
      </c>
      <c r="AI11070" s="831">
        <v>0</v>
      </c>
      <c r="AJ11070" s="835">
        <v>41943</v>
      </c>
      <c r="AK11070" s="831">
        <v>131339945.176364</v>
      </c>
    </row>
    <row r="11071" spans="2:37">
      <c r="B11071" s="834" t="str">
        <f t="shared" si="425"/>
        <v>|||</v>
      </c>
      <c r="H11071" s="835">
        <f t="shared" si="426"/>
        <v>31</v>
      </c>
      <c r="AF11071" s="831" t="s">
        <v>11730</v>
      </c>
      <c r="AG11071" s="831" t="s">
        <v>2674</v>
      </c>
      <c r="AH11071" s="831" t="s">
        <v>576</v>
      </c>
      <c r="AI11071" s="831">
        <v>0</v>
      </c>
      <c r="AJ11071" s="835">
        <v>41943</v>
      </c>
      <c r="AK11071" s="831">
        <v>433816282.72981799</v>
      </c>
    </row>
    <row r="11072" spans="2:37">
      <c r="B11072" s="834" t="str">
        <f t="shared" si="425"/>
        <v>|||</v>
      </c>
      <c r="H11072" s="835">
        <f t="shared" si="426"/>
        <v>31</v>
      </c>
      <c r="AF11072" s="831" t="s">
        <v>11731</v>
      </c>
      <c r="AG11072" s="831" t="s">
        <v>2674</v>
      </c>
      <c r="AH11072" s="831" t="s">
        <v>572</v>
      </c>
      <c r="AI11072" s="831">
        <v>0</v>
      </c>
      <c r="AJ11072" s="835">
        <v>41943</v>
      </c>
      <c r="AK11072" s="831">
        <v>34306433.956</v>
      </c>
    </row>
    <row r="11073" spans="2:37">
      <c r="B11073" s="834" t="str">
        <f t="shared" si="425"/>
        <v>|||</v>
      </c>
      <c r="H11073" s="835">
        <f t="shared" si="426"/>
        <v>31</v>
      </c>
      <c r="AF11073" s="831" t="s">
        <v>11732</v>
      </c>
      <c r="AG11073" s="831" t="s">
        <v>2674</v>
      </c>
      <c r="AH11073" s="831" t="s">
        <v>577</v>
      </c>
      <c r="AI11073" s="831">
        <v>0</v>
      </c>
      <c r="AJ11073" s="835">
        <v>41943</v>
      </c>
      <c r="AK11073" s="831">
        <v>169874551.76300001</v>
      </c>
    </row>
    <row r="11074" spans="2:37">
      <c r="B11074" s="834" t="str">
        <f t="shared" si="425"/>
        <v>|||</v>
      </c>
      <c r="H11074" s="835">
        <f t="shared" si="426"/>
        <v>31</v>
      </c>
      <c r="AF11074" s="831" t="s">
        <v>11733</v>
      </c>
      <c r="AG11074" s="831" t="s">
        <v>2674</v>
      </c>
      <c r="AH11074" s="831" t="s">
        <v>3042</v>
      </c>
      <c r="AI11074" s="831">
        <v>0</v>
      </c>
      <c r="AJ11074" s="835">
        <v>41943</v>
      </c>
      <c r="AK11074" s="831">
        <v>-49231778.527000003</v>
      </c>
    </row>
    <row r="11075" spans="2:37">
      <c r="B11075" s="834" t="str">
        <f t="shared" si="425"/>
        <v>|||</v>
      </c>
      <c r="H11075" s="835">
        <f t="shared" si="426"/>
        <v>31</v>
      </c>
      <c r="AF11075" s="831" t="s">
        <v>11734</v>
      </c>
      <c r="AG11075" s="831" t="s">
        <v>2674</v>
      </c>
      <c r="AH11075" s="831" t="s">
        <v>3044</v>
      </c>
      <c r="AI11075" s="831">
        <v>0</v>
      </c>
      <c r="AJ11075" s="835">
        <v>41943</v>
      </c>
      <c r="AK11075" s="831">
        <v>-1676338.89</v>
      </c>
    </row>
    <row r="11076" spans="2:37">
      <c r="B11076" s="834" t="str">
        <f t="shared" si="425"/>
        <v>|||</v>
      </c>
      <c r="H11076" s="835">
        <f t="shared" si="426"/>
        <v>31</v>
      </c>
      <c r="AF11076" s="831" t="s">
        <v>11735</v>
      </c>
      <c r="AG11076" s="831" t="s">
        <v>2674</v>
      </c>
      <c r="AH11076" s="831" t="s">
        <v>580</v>
      </c>
      <c r="AI11076" s="831">
        <v>0</v>
      </c>
      <c r="AJ11076" s="835">
        <v>41943</v>
      </c>
      <c r="AK11076" s="831">
        <v>-77780641.306999996</v>
      </c>
    </row>
    <row r="11077" spans="2:37">
      <c r="B11077" s="834" t="str">
        <f t="shared" si="425"/>
        <v>|||</v>
      </c>
      <c r="H11077" s="835">
        <f t="shared" si="426"/>
        <v>31</v>
      </c>
      <c r="AF11077" s="831" t="s">
        <v>11736</v>
      </c>
      <c r="AG11077" s="831" t="s">
        <v>2674</v>
      </c>
      <c r="AH11077" s="831" t="s">
        <v>581</v>
      </c>
      <c r="AI11077" s="831">
        <v>0</v>
      </c>
      <c r="AJ11077" s="835">
        <v>41943</v>
      </c>
      <c r="AK11077" s="831">
        <v>4385512.8940000003</v>
      </c>
    </row>
    <row r="11078" spans="2:37">
      <c r="B11078" s="834" t="str">
        <f t="shared" si="425"/>
        <v>|||</v>
      </c>
      <c r="H11078" s="835">
        <f t="shared" si="426"/>
        <v>31</v>
      </c>
      <c r="AF11078" s="831" t="s">
        <v>11737</v>
      </c>
      <c r="AG11078" s="831" t="s">
        <v>2674</v>
      </c>
      <c r="AH11078" s="831" t="s">
        <v>105</v>
      </c>
      <c r="AI11078" s="831">
        <v>0</v>
      </c>
      <c r="AJ11078" s="835">
        <v>41943</v>
      </c>
      <c r="AK11078" s="831">
        <v>497850514</v>
      </c>
    </row>
    <row r="11079" spans="2:37">
      <c r="B11079" s="834" t="str">
        <f t="shared" si="425"/>
        <v>|||</v>
      </c>
      <c r="H11079" s="835">
        <f t="shared" si="426"/>
        <v>31</v>
      </c>
      <c r="AF11079" s="831" t="s">
        <v>11738</v>
      </c>
      <c r="AG11079" s="831" t="s">
        <v>2674</v>
      </c>
      <c r="AH11079" s="831" t="s">
        <v>3049</v>
      </c>
      <c r="AI11079" s="831">
        <v>0</v>
      </c>
      <c r="AJ11079" s="835">
        <v>41943</v>
      </c>
      <c r="AK11079" s="831">
        <v>819726974</v>
      </c>
    </row>
    <row r="11080" spans="2:37">
      <c r="B11080" s="834" t="str">
        <f t="shared" si="425"/>
        <v>|||</v>
      </c>
      <c r="H11080" s="835">
        <f t="shared" si="426"/>
        <v>31</v>
      </c>
      <c r="AF11080" s="831" t="s">
        <v>11739</v>
      </c>
      <c r="AG11080" s="831" t="s">
        <v>2674</v>
      </c>
      <c r="AH11080" s="831" t="s">
        <v>103</v>
      </c>
      <c r="AI11080" s="831">
        <v>0</v>
      </c>
      <c r="AJ11080" s="835">
        <v>41943</v>
      </c>
      <c r="AK11080" s="831">
        <v>321876460</v>
      </c>
    </row>
    <row r="11081" spans="2:37">
      <c r="B11081" s="834" t="str">
        <f t="shared" si="425"/>
        <v>|||</v>
      </c>
      <c r="H11081" s="835">
        <f t="shared" si="426"/>
        <v>31</v>
      </c>
      <c r="AF11081" s="831" t="s">
        <v>11740</v>
      </c>
      <c r="AG11081" s="831" t="s">
        <v>2674</v>
      </c>
      <c r="AH11081" s="831" t="s">
        <v>182</v>
      </c>
      <c r="AI11081" s="831">
        <v>0</v>
      </c>
      <c r="AJ11081" s="835">
        <v>41943</v>
      </c>
      <c r="AK11081" s="831">
        <v>74624670</v>
      </c>
    </row>
    <row r="11082" spans="2:37">
      <c r="B11082" s="834" t="str">
        <f t="shared" si="425"/>
        <v>|||</v>
      </c>
      <c r="H11082" s="835">
        <f t="shared" si="426"/>
        <v>31</v>
      </c>
      <c r="AF11082" s="831" t="s">
        <v>11741</v>
      </c>
      <c r="AG11082" s="831" t="s">
        <v>2674</v>
      </c>
      <c r="AH11082" s="831" t="s">
        <v>6600</v>
      </c>
      <c r="AI11082" s="831">
        <v>0</v>
      </c>
      <c r="AJ11082" s="835">
        <v>41943</v>
      </c>
      <c r="AK11082" s="831">
        <v>34306433.956</v>
      </c>
    </row>
    <row r="11083" spans="2:37">
      <c r="B11083" s="834" t="str">
        <f t="shared" si="425"/>
        <v>|||</v>
      </c>
      <c r="H11083" s="835">
        <f t="shared" si="426"/>
        <v>31</v>
      </c>
      <c r="AF11083" s="831" t="s">
        <v>11742</v>
      </c>
      <c r="AG11083" s="831" t="s">
        <v>2674</v>
      </c>
      <c r="AH11083" s="831" t="s">
        <v>6602</v>
      </c>
      <c r="AI11083" s="831">
        <v>0</v>
      </c>
      <c r="AJ11083" s="835">
        <v>41943</v>
      </c>
      <c r="AK11083" s="831">
        <v>32657533</v>
      </c>
    </row>
    <row r="11084" spans="2:37">
      <c r="B11084" s="834" t="str">
        <f t="shared" si="425"/>
        <v>|||</v>
      </c>
      <c r="H11084" s="835">
        <f t="shared" si="426"/>
        <v>31</v>
      </c>
      <c r="AF11084" s="831" t="s">
        <v>11743</v>
      </c>
      <c r="AG11084" s="831" t="s">
        <v>2674</v>
      </c>
      <c r="AH11084" s="831" t="s">
        <v>650</v>
      </c>
      <c r="AI11084" s="831">
        <v>0</v>
      </c>
      <c r="AJ11084" s="835">
        <v>41943</v>
      </c>
      <c r="AK11084" s="831">
        <v>280875581.18223101</v>
      </c>
    </row>
    <row r="11085" spans="2:37">
      <c r="B11085" s="834" t="str">
        <f t="shared" si="425"/>
        <v>|||</v>
      </c>
      <c r="H11085" s="835">
        <f t="shared" si="426"/>
        <v>31</v>
      </c>
      <c r="AF11085" s="831" t="s">
        <v>11744</v>
      </c>
      <c r="AG11085" s="831" t="s">
        <v>2674</v>
      </c>
      <c r="AH11085" s="831" t="s">
        <v>655</v>
      </c>
      <c r="AI11085" s="831">
        <v>0</v>
      </c>
      <c r="AJ11085" s="835">
        <v>41943</v>
      </c>
      <c r="AK11085" s="831">
        <v>824847</v>
      </c>
    </row>
    <row r="11086" spans="2:37">
      <c r="B11086" s="834" t="str">
        <f t="shared" si="425"/>
        <v>|||</v>
      </c>
      <c r="H11086" s="835">
        <f t="shared" si="426"/>
        <v>31</v>
      </c>
      <c r="AF11086" s="831" t="s">
        <v>11745</v>
      </c>
      <c r="AG11086" s="831" t="s">
        <v>2674</v>
      </c>
      <c r="AH11086" s="831" t="s">
        <v>546</v>
      </c>
      <c r="AI11086" s="831">
        <v>0</v>
      </c>
      <c r="AJ11086" s="835">
        <v>41973</v>
      </c>
      <c r="AK11086" s="831">
        <v>802902472</v>
      </c>
    </row>
    <row r="11087" spans="2:37">
      <c r="B11087" s="834" t="str">
        <f t="shared" si="425"/>
        <v>|||</v>
      </c>
      <c r="H11087" s="835">
        <f t="shared" si="426"/>
        <v>31</v>
      </c>
      <c r="AF11087" s="831" t="s">
        <v>11746</v>
      </c>
      <c r="AG11087" s="831" t="s">
        <v>2674</v>
      </c>
      <c r="AH11087" s="831" t="s">
        <v>370</v>
      </c>
      <c r="AI11087" s="831">
        <v>0</v>
      </c>
      <c r="AJ11087" s="835">
        <v>41973</v>
      </c>
      <c r="AK11087" s="831">
        <v>1000702434</v>
      </c>
    </row>
    <row r="11088" spans="2:37">
      <c r="B11088" s="834" t="str">
        <f t="shared" si="425"/>
        <v>|||</v>
      </c>
      <c r="H11088" s="835">
        <f t="shared" si="426"/>
        <v>31</v>
      </c>
      <c r="AF11088" s="831" t="s">
        <v>11747</v>
      </c>
      <c r="AG11088" s="831" t="s">
        <v>2674</v>
      </c>
      <c r="AH11088" s="831" t="s">
        <v>126</v>
      </c>
      <c r="AI11088" s="831">
        <v>0</v>
      </c>
      <c r="AJ11088" s="835">
        <v>41973</v>
      </c>
      <c r="AK11088" s="831">
        <v>153599665</v>
      </c>
    </row>
    <row r="11089" spans="2:37">
      <c r="B11089" s="834" t="str">
        <f t="shared" ref="B11089:B11152" si="427">C11089&amp;"|"&amp;D11089&amp;"|"&amp;E11089&amp;"|"&amp;F11089</f>
        <v>|||</v>
      </c>
      <c r="H11089" s="835">
        <f t="shared" ref="H11089:H11152" si="428">EOMONTH(L11089,0)</f>
        <v>31</v>
      </c>
      <c r="AF11089" s="831" t="s">
        <v>11748</v>
      </c>
      <c r="AG11089" s="831" t="s">
        <v>2674</v>
      </c>
      <c r="AH11089" s="831" t="s">
        <v>268</v>
      </c>
      <c r="AI11089" s="831">
        <v>0</v>
      </c>
      <c r="AJ11089" s="835">
        <v>41973</v>
      </c>
      <c r="AK11089" s="831">
        <v>35013602</v>
      </c>
    </row>
    <row r="11090" spans="2:37">
      <c r="B11090" s="834" t="str">
        <f t="shared" si="427"/>
        <v>|||</v>
      </c>
      <c r="H11090" s="835">
        <f t="shared" si="428"/>
        <v>31</v>
      </c>
      <c r="AF11090" s="831" t="s">
        <v>11749</v>
      </c>
      <c r="AG11090" s="831" t="s">
        <v>2674</v>
      </c>
      <c r="AH11090" s="831" t="s">
        <v>547</v>
      </c>
      <c r="AI11090" s="831">
        <v>0</v>
      </c>
      <c r="AJ11090" s="835">
        <v>41973</v>
      </c>
      <c r="AK11090" s="831">
        <v>777719977</v>
      </c>
    </row>
    <row r="11091" spans="2:37">
      <c r="B11091" s="834" t="str">
        <f t="shared" si="427"/>
        <v>|||</v>
      </c>
      <c r="H11091" s="835">
        <f t="shared" si="428"/>
        <v>31</v>
      </c>
      <c r="AF11091" s="831" t="s">
        <v>11750</v>
      </c>
      <c r="AG11091" s="831" t="s">
        <v>2674</v>
      </c>
      <c r="AH11091" s="831" t="s">
        <v>548</v>
      </c>
      <c r="AI11091" s="831">
        <v>0</v>
      </c>
      <c r="AJ11091" s="835">
        <v>41973</v>
      </c>
      <c r="AK11091" s="831">
        <v>117105496</v>
      </c>
    </row>
    <row r="11092" spans="2:37">
      <c r="B11092" s="834" t="str">
        <f t="shared" si="427"/>
        <v>|||</v>
      </c>
      <c r="H11092" s="835">
        <f t="shared" si="428"/>
        <v>31</v>
      </c>
      <c r="AF11092" s="831" t="s">
        <v>11751</v>
      </c>
      <c r="AG11092" s="831" t="s">
        <v>2674</v>
      </c>
      <c r="AH11092" s="831" t="s">
        <v>549</v>
      </c>
      <c r="AI11092" s="831">
        <v>0</v>
      </c>
      <c r="AJ11092" s="835">
        <v>41973</v>
      </c>
      <c r="AK11092" s="831">
        <v>598049309.95000005</v>
      </c>
    </row>
    <row r="11093" spans="2:37">
      <c r="B11093" s="834" t="str">
        <f t="shared" si="427"/>
        <v>|||</v>
      </c>
      <c r="H11093" s="835">
        <f t="shared" si="428"/>
        <v>31</v>
      </c>
      <c r="AF11093" s="831" t="s">
        <v>11752</v>
      </c>
      <c r="AG11093" s="831" t="s">
        <v>2674</v>
      </c>
      <c r="AH11093" s="831" t="s">
        <v>192</v>
      </c>
      <c r="AI11093" s="831">
        <v>0</v>
      </c>
      <c r="AJ11093" s="835">
        <v>41973</v>
      </c>
      <c r="AK11093" s="831">
        <v>-10647566</v>
      </c>
    </row>
    <row r="11094" spans="2:37">
      <c r="B11094" s="834" t="str">
        <f t="shared" si="427"/>
        <v>|||</v>
      </c>
      <c r="H11094" s="835">
        <f t="shared" si="428"/>
        <v>31</v>
      </c>
      <c r="AF11094" s="831" t="s">
        <v>11753</v>
      </c>
      <c r="AG11094" s="831" t="s">
        <v>2674</v>
      </c>
      <c r="AH11094" s="831" t="s">
        <v>558</v>
      </c>
      <c r="AI11094" s="831">
        <v>0</v>
      </c>
      <c r="AJ11094" s="835">
        <v>41973</v>
      </c>
      <c r="AK11094" s="831">
        <v>847102769</v>
      </c>
    </row>
    <row r="11095" spans="2:37">
      <c r="B11095" s="834" t="str">
        <f t="shared" si="427"/>
        <v>|||</v>
      </c>
      <c r="H11095" s="835">
        <f t="shared" si="428"/>
        <v>31</v>
      </c>
      <c r="AF11095" s="831" t="s">
        <v>11754</v>
      </c>
      <c r="AG11095" s="831" t="s">
        <v>2674</v>
      </c>
      <c r="AH11095" s="831" t="s">
        <v>65</v>
      </c>
      <c r="AI11095" s="831">
        <v>0</v>
      </c>
      <c r="AJ11095" s="835">
        <v>41973</v>
      </c>
      <c r="AK11095" s="831">
        <v>160301151</v>
      </c>
    </row>
    <row r="11096" spans="2:37">
      <c r="B11096" s="834" t="str">
        <f t="shared" si="427"/>
        <v>|||</v>
      </c>
      <c r="H11096" s="835">
        <f t="shared" si="428"/>
        <v>31</v>
      </c>
      <c r="AF11096" s="831" t="s">
        <v>11755</v>
      </c>
      <c r="AG11096" s="831" t="s">
        <v>2674</v>
      </c>
      <c r="AH11096" s="831" t="s">
        <v>89</v>
      </c>
      <c r="AI11096" s="831">
        <v>0</v>
      </c>
      <c r="AJ11096" s="835">
        <v>41973</v>
      </c>
      <c r="AK11096" s="831">
        <v>158266</v>
      </c>
    </row>
    <row r="11097" spans="2:37">
      <c r="B11097" s="834" t="str">
        <f t="shared" si="427"/>
        <v>|||</v>
      </c>
      <c r="H11097" s="835">
        <f t="shared" si="428"/>
        <v>31</v>
      </c>
      <c r="AF11097" s="831" t="s">
        <v>11756</v>
      </c>
      <c r="AG11097" s="831" t="s">
        <v>2674</v>
      </c>
      <c r="AH11097" s="831" t="s">
        <v>557</v>
      </c>
      <c r="AI11097" s="831">
        <v>0</v>
      </c>
      <c r="AJ11097" s="835">
        <v>41973</v>
      </c>
      <c r="AK11097" s="831">
        <v>179245</v>
      </c>
    </row>
    <row r="11098" spans="2:37">
      <c r="B11098" s="834" t="str">
        <f t="shared" si="427"/>
        <v>|||</v>
      </c>
      <c r="H11098" s="835">
        <f t="shared" si="428"/>
        <v>31</v>
      </c>
      <c r="AF11098" s="831" t="s">
        <v>11757</v>
      </c>
      <c r="AG11098" s="831" t="s">
        <v>2674</v>
      </c>
      <c r="AH11098" s="831" t="s">
        <v>29</v>
      </c>
      <c r="AI11098" s="831">
        <v>0</v>
      </c>
      <c r="AJ11098" s="835">
        <v>41973</v>
      </c>
      <c r="AK11098" s="831">
        <v>4556685.3899999997</v>
      </c>
    </row>
    <row r="11099" spans="2:37">
      <c r="B11099" s="834" t="str">
        <f t="shared" si="427"/>
        <v>|||</v>
      </c>
      <c r="H11099" s="835">
        <f t="shared" si="428"/>
        <v>31</v>
      </c>
      <c r="AF11099" s="831" t="s">
        <v>11758</v>
      </c>
      <c r="AG11099" s="831" t="s">
        <v>2674</v>
      </c>
      <c r="AH11099" s="831" t="s">
        <v>2688</v>
      </c>
      <c r="AI11099" s="831">
        <v>0</v>
      </c>
      <c r="AJ11099" s="835">
        <v>41973</v>
      </c>
      <c r="AK11099" s="831">
        <v>4982602.75</v>
      </c>
    </row>
    <row r="11100" spans="2:37">
      <c r="B11100" s="834" t="str">
        <f t="shared" si="427"/>
        <v>|||</v>
      </c>
      <c r="H11100" s="835">
        <f t="shared" si="428"/>
        <v>31</v>
      </c>
      <c r="AF11100" s="831" t="s">
        <v>11759</v>
      </c>
      <c r="AG11100" s="831" t="s">
        <v>2674</v>
      </c>
      <c r="AH11100" s="831" t="s">
        <v>556</v>
      </c>
      <c r="AI11100" s="831">
        <v>0</v>
      </c>
      <c r="AJ11100" s="835">
        <v>41973</v>
      </c>
      <c r="AK11100" s="831">
        <v>9781741</v>
      </c>
    </row>
    <row r="11101" spans="2:37">
      <c r="B11101" s="834" t="str">
        <f t="shared" si="427"/>
        <v>|||</v>
      </c>
      <c r="H11101" s="835">
        <f t="shared" si="428"/>
        <v>31</v>
      </c>
      <c r="AF11101" s="831" t="s">
        <v>11760</v>
      </c>
      <c r="AG11101" s="831" t="s">
        <v>2674</v>
      </c>
      <c r="AH11101" s="831" t="s">
        <v>555</v>
      </c>
      <c r="AI11101" s="831">
        <v>0</v>
      </c>
      <c r="AJ11101" s="835">
        <v>41973</v>
      </c>
      <c r="AK11101" s="831">
        <v>559691148</v>
      </c>
    </row>
    <row r="11102" spans="2:37">
      <c r="B11102" s="834" t="str">
        <f t="shared" si="427"/>
        <v>|||</v>
      </c>
      <c r="H11102" s="835">
        <f t="shared" si="428"/>
        <v>31</v>
      </c>
      <c r="AF11102" s="831" t="s">
        <v>11761</v>
      </c>
      <c r="AG11102" s="831" t="s">
        <v>2674</v>
      </c>
      <c r="AH11102" s="831" t="s">
        <v>554</v>
      </c>
      <c r="AI11102" s="831">
        <v>0</v>
      </c>
      <c r="AJ11102" s="835">
        <v>41973</v>
      </c>
      <c r="AK11102" s="831">
        <v>562759560</v>
      </c>
    </row>
    <row r="11103" spans="2:37">
      <c r="B11103" s="834" t="str">
        <f t="shared" si="427"/>
        <v>|||</v>
      </c>
      <c r="H11103" s="835">
        <f t="shared" si="428"/>
        <v>31</v>
      </c>
      <c r="AF11103" s="831" t="s">
        <v>11762</v>
      </c>
      <c r="AG11103" s="831" t="s">
        <v>2674</v>
      </c>
      <c r="AH11103" s="831" t="s">
        <v>553</v>
      </c>
      <c r="AI11103" s="831">
        <v>0</v>
      </c>
      <c r="AJ11103" s="835">
        <v>41973</v>
      </c>
      <c r="AK11103" s="831">
        <v>0</v>
      </c>
    </row>
    <row r="11104" spans="2:37">
      <c r="B11104" s="834" t="str">
        <f t="shared" si="427"/>
        <v>|||</v>
      </c>
      <c r="H11104" s="835">
        <f t="shared" si="428"/>
        <v>31</v>
      </c>
      <c r="AF11104" s="831" t="s">
        <v>11763</v>
      </c>
      <c r="AG11104" s="831" t="s">
        <v>2674</v>
      </c>
      <c r="AH11104" s="831" t="s">
        <v>552</v>
      </c>
      <c r="AI11104" s="831">
        <v>0</v>
      </c>
      <c r="AJ11104" s="835">
        <v>41973</v>
      </c>
      <c r="AK11104" s="831">
        <v>0</v>
      </c>
    </row>
    <row r="11105" spans="2:37">
      <c r="B11105" s="834" t="str">
        <f t="shared" si="427"/>
        <v>|||</v>
      </c>
      <c r="H11105" s="835">
        <f t="shared" si="428"/>
        <v>31</v>
      </c>
      <c r="AF11105" s="831" t="s">
        <v>11764</v>
      </c>
      <c r="AG11105" s="831" t="s">
        <v>2674</v>
      </c>
      <c r="AH11105" s="831" t="s">
        <v>551</v>
      </c>
      <c r="AI11105" s="831">
        <v>0</v>
      </c>
      <c r="AJ11105" s="835">
        <v>41973</v>
      </c>
      <c r="AK11105" s="831">
        <v>3921189.39</v>
      </c>
    </row>
    <row r="11106" spans="2:37">
      <c r="B11106" s="834" t="str">
        <f t="shared" si="427"/>
        <v>|||</v>
      </c>
      <c r="H11106" s="835">
        <f t="shared" si="428"/>
        <v>31</v>
      </c>
      <c r="AF11106" s="831" t="s">
        <v>11765</v>
      </c>
      <c r="AG11106" s="831" t="s">
        <v>2674</v>
      </c>
      <c r="AH11106" s="831" t="s">
        <v>550</v>
      </c>
      <c r="AI11106" s="831">
        <v>0</v>
      </c>
      <c r="AJ11106" s="835">
        <v>41973</v>
      </c>
      <c r="AK11106" s="831">
        <v>149380039</v>
      </c>
    </row>
    <row r="11107" spans="2:37">
      <c r="B11107" s="834" t="str">
        <f t="shared" si="427"/>
        <v>|||</v>
      </c>
      <c r="H11107" s="835">
        <f t="shared" si="428"/>
        <v>31</v>
      </c>
      <c r="AF11107" s="831" t="s">
        <v>11766</v>
      </c>
      <c r="AG11107" s="831" t="s">
        <v>2674</v>
      </c>
      <c r="AH11107" s="831" t="s">
        <v>562</v>
      </c>
      <c r="AI11107" s="831">
        <v>0</v>
      </c>
      <c r="AJ11107" s="835">
        <v>41973</v>
      </c>
      <c r="AK11107" s="831">
        <v>0.78390000000000004</v>
      </c>
    </row>
    <row r="11108" spans="2:37">
      <c r="B11108" s="834" t="str">
        <f t="shared" si="427"/>
        <v>|||</v>
      </c>
      <c r="H11108" s="835">
        <f t="shared" si="428"/>
        <v>31</v>
      </c>
      <c r="AF11108" s="831" t="s">
        <v>11767</v>
      </c>
      <c r="AG11108" s="831" t="s">
        <v>2674</v>
      </c>
      <c r="AH11108" s="831" t="s">
        <v>2698</v>
      </c>
      <c r="AI11108" s="831">
        <v>0</v>
      </c>
      <c r="AJ11108" s="835">
        <v>41973</v>
      </c>
      <c r="AK11108" s="831">
        <v>0.78380000000000005</v>
      </c>
    </row>
    <row r="11109" spans="2:37">
      <c r="B11109" s="834" t="str">
        <f t="shared" si="427"/>
        <v>|||</v>
      </c>
      <c r="H11109" s="835">
        <f t="shared" si="428"/>
        <v>31</v>
      </c>
      <c r="AF11109" s="831" t="s">
        <v>11768</v>
      </c>
      <c r="AG11109" s="831" t="s">
        <v>2674</v>
      </c>
      <c r="AH11109" s="831" t="s">
        <v>560</v>
      </c>
      <c r="AI11109" s="831">
        <v>0</v>
      </c>
      <c r="AJ11109" s="835">
        <v>41973</v>
      </c>
      <c r="AK11109" s="831">
        <v>0.78368181818181804</v>
      </c>
    </row>
    <row r="11110" spans="2:37">
      <c r="B11110" s="834" t="str">
        <f t="shared" si="427"/>
        <v>|||</v>
      </c>
      <c r="H11110" s="835">
        <f t="shared" si="428"/>
        <v>31</v>
      </c>
      <c r="AF11110" s="831" t="s">
        <v>11769</v>
      </c>
      <c r="AG11110" s="831" t="s">
        <v>2674</v>
      </c>
      <c r="AH11110" s="831" t="s">
        <v>559</v>
      </c>
      <c r="AI11110" s="831">
        <v>0</v>
      </c>
      <c r="AJ11110" s="835">
        <v>41973</v>
      </c>
      <c r="AK11110" s="831">
        <v>0.78365416666666698</v>
      </c>
    </row>
    <row r="11111" spans="2:37">
      <c r="B11111" s="834" t="str">
        <f t="shared" si="427"/>
        <v>|||</v>
      </c>
      <c r="H11111" s="835">
        <f t="shared" si="428"/>
        <v>31</v>
      </c>
      <c r="AF11111" s="831" t="s">
        <v>11770</v>
      </c>
      <c r="AG11111" s="831" t="s">
        <v>2674</v>
      </c>
      <c r="AH11111" s="831" t="s">
        <v>568</v>
      </c>
      <c r="AI11111" s="831">
        <v>0</v>
      </c>
      <c r="AJ11111" s="835">
        <v>41973</v>
      </c>
      <c r="AK11111" s="831">
        <v>706055335.61153901</v>
      </c>
    </row>
    <row r="11112" spans="2:37">
      <c r="B11112" s="834" t="str">
        <f t="shared" si="427"/>
        <v>|||</v>
      </c>
      <c r="H11112" s="835">
        <f t="shared" si="428"/>
        <v>31</v>
      </c>
      <c r="AF11112" s="831" t="s">
        <v>11771</v>
      </c>
      <c r="AG11112" s="831" t="s">
        <v>2674</v>
      </c>
      <c r="AH11112" s="831" t="s">
        <v>569</v>
      </c>
      <c r="AI11112" s="831">
        <v>0</v>
      </c>
      <c r="AJ11112" s="835">
        <v>41973</v>
      </c>
      <c r="AK11112" s="831">
        <v>877011865.12715399</v>
      </c>
    </row>
    <row r="11113" spans="2:37">
      <c r="B11113" s="834" t="str">
        <f t="shared" si="427"/>
        <v>|||</v>
      </c>
      <c r="H11113" s="835">
        <f t="shared" si="428"/>
        <v>31</v>
      </c>
      <c r="AF11113" s="831" t="s">
        <v>11772</v>
      </c>
      <c r="AG11113" s="831" t="s">
        <v>2674</v>
      </c>
      <c r="AH11113" s="831" t="s">
        <v>570</v>
      </c>
      <c r="AI11113" s="831">
        <v>0</v>
      </c>
      <c r="AJ11113" s="835">
        <v>41973</v>
      </c>
      <c r="AK11113" s="831">
        <v>132419769.36892299</v>
      </c>
    </row>
    <row r="11114" spans="2:37">
      <c r="B11114" s="834" t="str">
        <f t="shared" si="427"/>
        <v>|||</v>
      </c>
      <c r="H11114" s="835">
        <f t="shared" si="428"/>
        <v>31</v>
      </c>
      <c r="AF11114" s="831" t="s">
        <v>11773</v>
      </c>
      <c r="AG11114" s="831" t="s">
        <v>2674</v>
      </c>
      <c r="AH11114" s="831" t="s">
        <v>571</v>
      </c>
      <c r="AI11114" s="831">
        <v>0</v>
      </c>
      <c r="AJ11114" s="835">
        <v>41973</v>
      </c>
      <c r="AK11114" s="831">
        <v>432199968.69923103</v>
      </c>
    </row>
    <row r="11115" spans="2:37">
      <c r="B11115" s="834" t="str">
        <f t="shared" si="427"/>
        <v>|||</v>
      </c>
      <c r="H11115" s="835">
        <f t="shared" si="428"/>
        <v>31</v>
      </c>
      <c r="AF11115" s="831" t="s">
        <v>11774</v>
      </c>
      <c r="AG11115" s="831" t="s">
        <v>2674</v>
      </c>
      <c r="AH11115" s="831" t="s">
        <v>573</v>
      </c>
      <c r="AI11115" s="831">
        <v>0</v>
      </c>
      <c r="AJ11115" s="835">
        <v>41973</v>
      </c>
      <c r="AK11115" s="831">
        <v>888073560.38024998</v>
      </c>
    </row>
    <row r="11116" spans="2:37">
      <c r="B11116" s="834" t="str">
        <f t="shared" si="427"/>
        <v>|||</v>
      </c>
      <c r="H11116" s="835">
        <f t="shared" si="428"/>
        <v>31</v>
      </c>
      <c r="AF11116" s="831" t="s">
        <v>11775</v>
      </c>
      <c r="AG11116" s="831" t="s">
        <v>2674</v>
      </c>
      <c r="AH11116" s="831" t="s">
        <v>574</v>
      </c>
      <c r="AI11116" s="831">
        <v>0</v>
      </c>
      <c r="AJ11116" s="835">
        <v>41973</v>
      </c>
      <c r="AK11116" s="831">
        <v>715055837.75</v>
      </c>
    </row>
    <row r="11117" spans="2:37">
      <c r="B11117" s="834" t="str">
        <f t="shared" si="427"/>
        <v>|||</v>
      </c>
      <c r="H11117" s="835">
        <f t="shared" si="428"/>
        <v>31</v>
      </c>
      <c r="AF11117" s="831" t="s">
        <v>11776</v>
      </c>
      <c r="AG11117" s="831" t="s">
        <v>2674</v>
      </c>
      <c r="AH11117" s="831" t="s">
        <v>575</v>
      </c>
      <c r="AI11117" s="831">
        <v>0</v>
      </c>
      <c r="AJ11117" s="835">
        <v>41973</v>
      </c>
      <c r="AK11117" s="831">
        <v>133194921.82833301</v>
      </c>
    </row>
    <row r="11118" spans="2:37">
      <c r="B11118" s="834" t="str">
        <f t="shared" si="427"/>
        <v>|||</v>
      </c>
      <c r="H11118" s="835">
        <f t="shared" si="428"/>
        <v>31</v>
      </c>
      <c r="AF11118" s="831" t="s">
        <v>11777</v>
      </c>
      <c r="AG11118" s="831" t="s">
        <v>2674</v>
      </c>
      <c r="AH11118" s="831" t="s">
        <v>576</v>
      </c>
      <c r="AI11118" s="831">
        <v>0</v>
      </c>
      <c r="AJ11118" s="835">
        <v>41973</v>
      </c>
      <c r="AK11118" s="831">
        <v>438403431.08566701</v>
      </c>
    </row>
    <row r="11119" spans="2:37">
      <c r="B11119" s="834" t="str">
        <f t="shared" si="427"/>
        <v>|||</v>
      </c>
      <c r="H11119" s="835">
        <f t="shared" si="428"/>
        <v>31</v>
      </c>
      <c r="AF11119" s="831" t="s">
        <v>11778</v>
      </c>
      <c r="AG11119" s="831" t="s">
        <v>2674</v>
      </c>
      <c r="AH11119" s="831" t="s">
        <v>572</v>
      </c>
      <c r="AI11119" s="831">
        <v>0</v>
      </c>
      <c r="AJ11119" s="835">
        <v>41973</v>
      </c>
      <c r="AK11119" s="831">
        <v>33835425.924000002</v>
      </c>
    </row>
    <row r="11120" spans="2:37">
      <c r="B11120" s="834" t="str">
        <f t="shared" si="427"/>
        <v>|||</v>
      </c>
      <c r="H11120" s="835">
        <f t="shared" si="428"/>
        <v>31</v>
      </c>
      <c r="AF11120" s="831" t="s">
        <v>11779</v>
      </c>
      <c r="AG11120" s="831" t="s">
        <v>2674</v>
      </c>
      <c r="AH11120" s="831" t="s">
        <v>577</v>
      </c>
      <c r="AI11120" s="831">
        <v>0</v>
      </c>
      <c r="AJ11120" s="835">
        <v>41973</v>
      </c>
      <c r="AK11120" s="831">
        <v>173617070.52700001</v>
      </c>
    </row>
    <row r="11121" spans="2:37">
      <c r="B11121" s="834" t="str">
        <f t="shared" si="427"/>
        <v>|||</v>
      </c>
      <c r="H11121" s="835">
        <f t="shared" si="428"/>
        <v>31</v>
      </c>
      <c r="AF11121" s="831" t="s">
        <v>11780</v>
      </c>
      <c r="AG11121" s="831" t="s">
        <v>2674</v>
      </c>
      <c r="AH11121" s="831" t="s">
        <v>3042</v>
      </c>
      <c r="AI11121" s="831">
        <v>0</v>
      </c>
      <c r="AJ11121" s="835">
        <v>41973</v>
      </c>
      <c r="AK11121" s="831">
        <v>-50695273.862000003</v>
      </c>
    </row>
    <row r="11122" spans="2:37">
      <c r="B11122" s="834" t="str">
        <f t="shared" si="427"/>
        <v>|||</v>
      </c>
      <c r="H11122" s="835">
        <f t="shared" si="428"/>
        <v>31</v>
      </c>
      <c r="AF11122" s="831" t="s">
        <v>11781</v>
      </c>
      <c r="AG11122" s="831" t="s">
        <v>2674</v>
      </c>
      <c r="AH11122" s="831" t="s">
        <v>3044</v>
      </c>
      <c r="AI11122" s="831">
        <v>0</v>
      </c>
      <c r="AJ11122" s="835">
        <v>41973</v>
      </c>
      <c r="AK11122" s="831">
        <v>-2169383.0120000001</v>
      </c>
    </row>
    <row r="11123" spans="2:37">
      <c r="B11123" s="834" t="str">
        <f t="shared" si="427"/>
        <v>|||</v>
      </c>
      <c r="H11123" s="835">
        <f t="shared" si="428"/>
        <v>31</v>
      </c>
      <c r="AF11123" s="831" t="s">
        <v>11782</v>
      </c>
      <c r="AG11123" s="831" t="s">
        <v>2674</v>
      </c>
      <c r="AH11123" s="831" t="s">
        <v>580</v>
      </c>
      <c r="AI11123" s="831">
        <v>0</v>
      </c>
      <c r="AJ11123" s="835">
        <v>41973</v>
      </c>
      <c r="AK11123" s="831">
        <v>-79126603.180999994</v>
      </c>
    </row>
    <row r="11124" spans="2:37">
      <c r="B11124" s="834" t="str">
        <f t="shared" si="427"/>
        <v>|||</v>
      </c>
      <c r="H11124" s="835">
        <f t="shared" si="428"/>
        <v>31</v>
      </c>
      <c r="AF11124" s="831" t="s">
        <v>11783</v>
      </c>
      <c r="AG11124" s="831" t="s">
        <v>2674</v>
      </c>
      <c r="AH11124" s="831" t="s">
        <v>581</v>
      </c>
      <c r="AI11124" s="831">
        <v>0</v>
      </c>
      <c r="AJ11124" s="835">
        <v>41973</v>
      </c>
      <c r="AK11124" s="831">
        <v>4040122.429</v>
      </c>
    </row>
    <row r="11125" spans="2:37">
      <c r="B11125" s="834" t="str">
        <f t="shared" si="427"/>
        <v>|||</v>
      </c>
      <c r="H11125" s="835">
        <f t="shared" si="428"/>
        <v>31</v>
      </c>
      <c r="AF11125" s="831" t="s">
        <v>11784</v>
      </c>
      <c r="AG11125" s="831" t="s">
        <v>2674</v>
      </c>
      <c r="AH11125" s="831" t="s">
        <v>105</v>
      </c>
      <c r="AI11125" s="831">
        <v>0</v>
      </c>
      <c r="AJ11125" s="835">
        <v>41973</v>
      </c>
      <c r="AK11125" s="831">
        <v>488862063</v>
      </c>
    </row>
    <row r="11126" spans="2:37">
      <c r="B11126" s="834" t="str">
        <f t="shared" si="427"/>
        <v>|||</v>
      </c>
      <c r="H11126" s="835">
        <f t="shared" si="428"/>
        <v>31</v>
      </c>
      <c r="AF11126" s="831" t="s">
        <v>11785</v>
      </c>
      <c r="AG11126" s="831" t="s">
        <v>2674</v>
      </c>
      <c r="AH11126" s="831" t="s">
        <v>3049</v>
      </c>
      <c r="AI11126" s="831">
        <v>0</v>
      </c>
      <c r="AJ11126" s="835">
        <v>41973</v>
      </c>
      <c r="AK11126" s="831">
        <v>810336503</v>
      </c>
    </row>
    <row r="11127" spans="2:37">
      <c r="B11127" s="834" t="str">
        <f t="shared" si="427"/>
        <v>|||</v>
      </c>
      <c r="H11127" s="835">
        <f t="shared" si="428"/>
        <v>31</v>
      </c>
      <c r="AF11127" s="831" t="s">
        <v>11786</v>
      </c>
      <c r="AG11127" s="831" t="s">
        <v>2674</v>
      </c>
      <c r="AH11127" s="831" t="s">
        <v>103</v>
      </c>
      <c r="AI11127" s="831">
        <v>0</v>
      </c>
      <c r="AJ11127" s="835">
        <v>41973</v>
      </c>
      <c r="AK11127" s="831">
        <v>321474440</v>
      </c>
    </row>
    <row r="11128" spans="2:37">
      <c r="B11128" s="834" t="str">
        <f t="shared" si="427"/>
        <v>|||</v>
      </c>
      <c r="H11128" s="835">
        <f t="shared" si="428"/>
        <v>31</v>
      </c>
      <c r="AF11128" s="831" t="s">
        <v>11787</v>
      </c>
      <c r="AG11128" s="831" t="s">
        <v>2674</v>
      </c>
      <c r="AH11128" s="831" t="s">
        <v>182</v>
      </c>
      <c r="AI11128" s="831">
        <v>0</v>
      </c>
      <c r="AJ11128" s="835">
        <v>41973</v>
      </c>
      <c r="AK11128" s="831">
        <v>75281666.181818202</v>
      </c>
    </row>
    <row r="11129" spans="2:37">
      <c r="B11129" s="834" t="str">
        <f t="shared" si="427"/>
        <v>|||</v>
      </c>
      <c r="H11129" s="835">
        <f t="shared" si="428"/>
        <v>31</v>
      </c>
      <c r="AF11129" s="831" t="s">
        <v>11788</v>
      </c>
      <c r="AG11129" s="831" t="s">
        <v>2674</v>
      </c>
      <c r="AH11129" s="831" t="s">
        <v>6600</v>
      </c>
      <c r="AI11129" s="831">
        <v>0</v>
      </c>
      <c r="AJ11129" s="835">
        <v>41973</v>
      </c>
      <c r="AK11129" s="831">
        <v>33835425.924000002</v>
      </c>
    </row>
    <row r="11130" spans="2:37">
      <c r="B11130" s="834" t="str">
        <f t="shared" si="427"/>
        <v>|||</v>
      </c>
      <c r="H11130" s="835">
        <f t="shared" si="428"/>
        <v>31</v>
      </c>
      <c r="AF11130" s="831" t="s">
        <v>11789</v>
      </c>
      <c r="AG11130" s="831" t="s">
        <v>2674</v>
      </c>
      <c r="AH11130" s="831" t="s">
        <v>6602</v>
      </c>
      <c r="AI11130" s="831">
        <v>0</v>
      </c>
      <c r="AJ11130" s="835">
        <v>41973</v>
      </c>
      <c r="AK11130" s="831">
        <v>35013602</v>
      </c>
    </row>
    <row r="11131" spans="2:37">
      <c r="B11131" s="834" t="str">
        <f t="shared" si="427"/>
        <v>|||</v>
      </c>
      <c r="H11131" s="835">
        <f t="shared" si="428"/>
        <v>31</v>
      </c>
      <c r="AF11131" s="831" t="s">
        <v>11790</v>
      </c>
      <c r="AG11131" s="831" t="s">
        <v>2674</v>
      </c>
      <c r="AH11131" s="831" t="s">
        <v>650</v>
      </c>
      <c r="AI11131" s="831">
        <v>0</v>
      </c>
      <c r="AJ11131" s="835">
        <v>41973</v>
      </c>
      <c r="AK11131" s="831">
        <v>287670371.56684601</v>
      </c>
    </row>
    <row r="11132" spans="2:37">
      <c r="B11132" s="834" t="str">
        <f t="shared" si="427"/>
        <v>|||</v>
      </c>
      <c r="H11132" s="835">
        <f t="shared" si="428"/>
        <v>31</v>
      </c>
      <c r="AF11132" s="831" t="s">
        <v>11791</v>
      </c>
      <c r="AG11132" s="831" t="s">
        <v>2674</v>
      </c>
      <c r="AH11132" s="831" t="s">
        <v>655</v>
      </c>
      <c r="AI11132" s="831">
        <v>0</v>
      </c>
      <c r="AJ11132" s="835">
        <v>41973</v>
      </c>
      <c r="AK11132" s="831">
        <v>919694.39</v>
      </c>
    </row>
    <row r="11133" spans="2:37">
      <c r="B11133" s="834" t="str">
        <f t="shared" si="427"/>
        <v>|||</v>
      </c>
      <c r="H11133" s="835">
        <f t="shared" si="428"/>
        <v>31</v>
      </c>
      <c r="AF11133" s="831" t="s">
        <v>11792</v>
      </c>
      <c r="AG11133" s="831" t="s">
        <v>2674</v>
      </c>
      <c r="AH11133" s="831" t="s">
        <v>546</v>
      </c>
      <c r="AI11133" s="831">
        <v>0</v>
      </c>
      <c r="AJ11133" s="835">
        <v>42004</v>
      </c>
      <c r="AK11133" s="831">
        <v>828920000</v>
      </c>
    </row>
    <row r="11134" spans="2:37">
      <c r="B11134" s="834" t="str">
        <f t="shared" si="427"/>
        <v>|||</v>
      </c>
      <c r="H11134" s="835">
        <f t="shared" si="428"/>
        <v>31</v>
      </c>
      <c r="AF11134" s="831" t="s">
        <v>11793</v>
      </c>
      <c r="AG11134" s="831" t="s">
        <v>2674</v>
      </c>
      <c r="AH11134" s="831" t="s">
        <v>370</v>
      </c>
      <c r="AI11134" s="831">
        <v>0</v>
      </c>
      <c r="AJ11134" s="835">
        <v>42004</v>
      </c>
      <c r="AK11134" s="831">
        <v>1042210000</v>
      </c>
    </row>
    <row r="11135" spans="2:37">
      <c r="B11135" s="834" t="str">
        <f t="shared" si="427"/>
        <v>|||</v>
      </c>
      <c r="H11135" s="835">
        <f t="shared" si="428"/>
        <v>31</v>
      </c>
      <c r="AF11135" s="831" t="s">
        <v>11794</v>
      </c>
      <c r="AG11135" s="831" t="s">
        <v>2674</v>
      </c>
      <c r="AH11135" s="831" t="s">
        <v>126</v>
      </c>
      <c r="AI11135" s="831">
        <v>0</v>
      </c>
      <c r="AJ11135" s="835">
        <v>42004</v>
      </c>
      <c r="AK11135" s="831">
        <v>145409000</v>
      </c>
    </row>
    <row r="11136" spans="2:37">
      <c r="B11136" s="834" t="str">
        <f t="shared" si="427"/>
        <v>|||</v>
      </c>
      <c r="H11136" s="835">
        <f t="shared" si="428"/>
        <v>31</v>
      </c>
      <c r="AF11136" s="831" t="s">
        <v>11795</v>
      </c>
      <c r="AG11136" s="831" t="s">
        <v>2674</v>
      </c>
      <c r="AH11136" s="831" t="s">
        <v>268</v>
      </c>
      <c r="AI11136" s="831">
        <v>0</v>
      </c>
      <c r="AJ11136" s="835">
        <v>42004</v>
      </c>
      <c r="AK11136" s="831">
        <v>43040000</v>
      </c>
    </row>
    <row r="11137" spans="2:37">
      <c r="B11137" s="834" t="str">
        <f t="shared" si="427"/>
        <v>|||</v>
      </c>
      <c r="H11137" s="835">
        <f t="shared" si="428"/>
        <v>31</v>
      </c>
      <c r="AF11137" s="831" t="s">
        <v>11796</v>
      </c>
      <c r="AG11137" s="831" t="s">
        <v>2674</v>
      </c>
      <c r="AH11137" s="831" t="s">
        <v>547</v>
      </c>
      <c r="AI11137" s="831">
        <v>0</v>
      </c>
      <c r="AJ11137" s="835">
        <v>42004</v>
      </c>
      <c r="AK11137" s="831">
        <v>777719977</v>
      </c>
    </row>
    <row r="11138" spans="2:37">
      <c r="B11138" s="834" t="str">
        <f t="shared" si="427"/>
        <v>|||</v>
      </c>
      <c r="H11138" s="835">
        <f t="shared" si="428"/>
        <v>31</v>
      </c>
      <c r="AF11138" s="831" t="s">
        <v>11797</v>
      </c>
      <c r="AG11138" s="831" t="s">
        <v>2674</v>
      </c>
      <c r="AH11138" s="831" t="s">
        <v>548</v>
      </c>
      <c r="AI11138" s="831">
        <v>0</v>
      </c>
      <c r="AJ11138" s="835">
        <v>42004</v>
      </c>
      <c r="AK11138" s="831">
        <v>117105496</v>
      </c>
    </row>
    <row r="11139" spans="2:37">
      <c r="B11139" s="834" t="str">
        <f t="shared" si="427"/>
        <v>|||</v>
      </c>
      <c r="H11139" s="835">
        <f t="shared" si="428"/>
        <v>31</v>
      </c>
      <c r="AF11139" s="831" t="s">
        <v>11798</v>
      </c>
      <c r="AG11139" s="831" t="s">
        <v>2674</v>
      </c>
      <c r="AH11139" s="831" t="s">
        <v>549</v>
      </c>
      <c r="AI11139" s="831">
        <v>0</v>
      </c>
      <c r="AJ11139" s="835">
        <v>42004</v>
      </c>
      <c r="AK11139" s="831">
        <v>627874260</v>
      </c>
    </row>
    <row r="11140" spans="2:37">
      <c r="B11140" s="834" t="str">
        <f t="shared" si="427"/>
        <v>|||</v>
      </c>
      <c r="H11140" s="835">
        <f t="shared" si="428"/>
        <v>31</v>
      </c>
      <c r="AF11140" s="831" t="s">
        <v>11799</v>
      </c>
      <c r="AG11140" s="831" t="s">
        <v>2674</v>
      </c>
      <c r="AH11140" s="831" t="s">
        <v>192</v>
      </c>
      <c r="AI11140" s="831">
        <v>0</v>
      </c>
      <c r="AJ11140" s="835">
        <v>42004</v>
      </c>
      <c r="AK11140" s="831">
        <v>-9140000</v>
      </c>
    </row>
    <row r="11141" spans="2:37">
      <c r="B11141" s="834" t="str">
        <f t="shared" si="427"/>
        <v>|||</v>
      </c>
      <c r="H11141" s="835">
        <f t="shared" si="428"/>
        <v>31</v>
      </c>
      <c r="AF11141" s="831" t="s">
        <v>11800</v>
      </c>
      <c r="AG11141" s="831" t="s">
        <v>2674</v>
      </c>
      <c r="AH11141" s="831" t="s">
        <v>558</v>
      </c>
      <c r="AI11141" s="831">
        <v>0</v>
      </c>
      <c r="AJ11141" s="835">
        <v>42004</v>
      </c>
      <c r="AK11141" s="831">
        <v>896801000</v>
      </c>
    </row>
    <row r="11142" spans="2:37">
      <c r="B11142" s="834" t="str">
        <f t="shared" si="427"/>
        <v>|||</v>
      </c>
      <c r="H11142" s="835">
        <f t="shared" si="428"/>
        <v>31</v>
      </c>
      <c r="AF11142" s="831" t="s">
        <v>11801</v>
      </c>
      <c r="AG11142" s="831" t="s">
        <v>2674</v>
      </c>
      <c r="AH11142" s="831" t="s">
        <v>65</v>
      </c>
      <c r="AI11142" s="831">
        <v>0</v>
      </c>
      <c r="AJ11142" s="835">
        <v>42004</v>
      </c>
      <c r="AK11142" s="831">
        <v>169813000</v>
      </c>
    </row>
    <row r="11143" spans="2:37">
      <c r="B11143" s="834" t="str">
        <f t="shared" si="427"/>
        <v>|||</v>
      </c>
      <c r="H11143" s="835">
        <f t="shared" si="428"/>
        <v>31</v>
      </c>
      <c r="AF11143" s="831" t="s">
        <v>11802</v>
      </c>
      <c r="AG11143" s="831" t="s">
        <v>2674</v>
      </c>
      <c r="AH11143" s="831" t="s">
        <v>89</v>
      </c>
      <c r="AI11143" s="831">
        <v>0</v>
      </c>
      <c r="AJ11143" s="835">
        <v>42004</v>
      </c>
      <c r="AK11143" s="831">
        <v>157146</v>
      </c>
    </row>
    <row r="11144" spans="2:37">
      <c r="B11144" s="834" t="str">
        <f t="shared" si="427"/>
        <v>|||</v>
      </c>
      <c r="H11144" s="835">
        <f t="shared" si="428"/>
        <v>31</v>
      </c>
      <c r="AF11144" s="831" t="s">
        <v>11803</v>
      </c>
      <c r="AG11144" s="831" t="s">
        <v>2674</v>
      </c>
      <c r="AH11144" s="831" t="s">
        <v>557</v>
      </c>
      <c r="AI11144" s="831">
        <v>0</v>
      </c>
      <c r="AJ11144" s="835">
        <v>42004</v>
      </c>
      <c r="AK11144" s="831">
        <v>178484</v>
      </c>
    </row>
    <row r="11145" spans="2:37">
      <c r="B11145" s="834" t="str">
        <f t="shared" si="427"/>
        <v>|||</v>
      </c>
      <c r="H11145" s="835">
        <f t="shared" si="428"/>
        <v>31</v>
      </c>
      <c r="AF11145" s="831" t="s">
        <v>11804</v>
      </c>
      <c r="AG11145" s="831" t="s">
        <v>2674</v>
      </c>
      <c r="AH11145" s="831" t="s">
        <v>29</v>
      </c>
      <c r="AI11145" s="831">
        <v>0</v>
      </c>
      <c r="AJ11145" s="835">
        <v>42004</v>
      </c>
      <c r="AK11145" s="831">
        <v>6837000</v>
      </c>
    </row>
    <row r="11146" spans="2:37">
      <c r="B11146" s="834" t="str">
        <f t="shared" si="427"/>
        <v>|||</v>
      </c>
      <c r="H11146" s="835">
        <f t="shared" si="428"/>
        <v>31</v>
      </c>
      <c r="AF11146" s="831" t="s">
        <v>11805</v>
      </c>
      <c r="AG11146" s="831" t="s">
        <v>2674</v>
      </c>
      <c r="AH11146" s="831" t="s">
        <v>2688</v>
      </c>
      <c r="AI11146" s="831">
        <v>0</v>
      </c>
      <c r="AJ11146" s="835">
        <v>42004</v>
      </c>
      <c r="AK11146" s="831">
        <v>5048648</v>
      </c>
    </row>
    <row r="11147" spans="2:37">
      <c r="B11147" s="834" t="str">
        <f t="shared" si="427"/>
        <v>|||</v>
      </c>
      <c r="H11147" s="835">
        <f t="shared" si="428"/>
        <v>31</v>
      </c>
      <c r="AF11147" s="831" t="s">
        <v>11806</v>
      </c>
      <c r="AG11147" s="831" t="s">
        <v>2674</v>
      </c>
      <c r="AH11147" s="831" t="s">
        <v>556</v>
      </c>
      <c r="AI11147" s="831">
        <v>0</v>
      </c>
      <c r="AJ11147" s="835">
        <v>42004</v>
      </c>
      <c r="AK11147" s="831">
        <v>11412135</v>
      </c>
    </row>
    <row r="11148" spans="2:37">
      <c r="B11148" s="834" t="str">
        <f t="shared" si="427"/>
        <v>|||</v>
      </c>
      <c r="H11148" s="835">
        <f t="shared" si="428"/>
        <v>31</v>
      </c>
      <c r="AF11148" s="831" t="s">
        <v>11807</v>
      </c>
      <c r="AG11148" s="831" t="s">
        <v>2674</v>
      </c>
      <c r="AH11148" s="831" t="s">
        <v>555</v>
      </c>
      <c r="AI11148" s="831">
        <v>0</v>
      </c>
      <c r="AJ11148" s="835">
        <v>42004</v>
      </c>
      <c r="AK11148" s="831">
        <v>596336076</v>
      </c>
    </row>
    <row r="11149" spans="2:37">
      <c r="B11149" s="834" t="str">
        <f t="shared" si="427"/>
        <v>|||</v>
      </c>
      <c r="H11149" s="835">
        <f t="shared" si="428"/>
        <v>31</v>
      </c>
      <c r="AF11149" s="831" t="s">
        <v>11808</v>
      </c>
      <c r="AG11149" s="831" t="s">
        <v>2674</v>
      </c>
      <c r="AH11149" s="831" t="s">
        <v>554</v>
      </c>
      <c r="AI11149" s="831">
        <v>0</v>
      </c>
      <c r="AJ11149" s="835">
        <v>42004</v>
      </c>
      <c r="AK11149" s="831">
        <v>603608535</v>
      </c>
    </row>
    <row r="11150" spans="2:37">
      <c r="B11150" s="834" t="str">
        <f t="shared" si="427"/>
        <v>|||</v>
      </c>
      <c r="H11150" s="835">
        <f t="shared" si="428"/>
        <v>31</v>
      </c>
      <c r="AF11150" s="831" t="s">
        <v>11809</v>
      </c>
      <c r="AG11150" s="831" t="s">
        <v>2674</v>
      </c>
      <c r="AH11150" s="831" t="s">
        <v>553</v>
      </c>
      <c r="AI11150" s="831">
        <v>0</v>
      </c>
      <c r="AJ11150" s="835">
        <v>42004</v>
      </c>
      <c r="AK11150" s="831">
        <v>0</v>
      </c>
    </row>
    <row r="11151" spans="2:37">
      <c r="B11151" s="834" t="str">
        <f t="shared" si="427"/>
        <v>|||</v>
      </c>
      <c r="H11151" s="835">
        <f t="shared" si="428"/>
        <v>31</v>
      </c>
      <c r="AF11151" s="831" t="s">
        <v>11810</v>
      </c>
      <c r="AG11151" s="831" t="s">
        <v>2674</v>
      </c>
      <c r="AH11151" s="831" t="s">
        <v>552</v>
      </c>
      <c r="AI11151" s="831">
        <v>0</v>
      </c>
      <c r="AJ11151" s="835">
        <v>42004</v>
      </c>
      <c r="AK11151" s="831">
        <v>0</v>
      </c>
    </row>
    <row r="11152" spans="2:37">
      <c r="B11152" s="834" t="str">
        <f t="shared" si="427"/>
        <v>|||</v>
      </c>
      <c r="H11152" s="835">
        <f t="shared" si="428"/>
        <v>31</v>
      </c>
      <c r="AF11152" s="831" t="s">
        <v>11811</v>
      </c>
      <c r="AG11152" s="831" t="s">
        <v>2674</v>
      </c>
      <c r="AH11152" s="831" t="s">
        <v>551</v>
      </c>
      <c r="AI11152" s="831">
        <v>0</v>
      </c>
      <c r="AJ11152" s="835">
        <v>42004</v>
      </c>
      <c r="AK11152" s="831">
        <v>6446340</v>
      </c>
    </row>
    <row r="11153" spans="2:37">
      <c r="B11153" s="834" t="str">
        <f t="shared" ref="B11153:B11216" si="429">C11153&amp;"|"&amp;D11153&amp;"|"&amp;E11153&amp;"|"&amp;F11153</f>
        <v>|||</v>
      </c>
      <c r="H11153" s="835">
        <f t="shared" ref="H11153:H11216" si="430">EOMONTH(L11153,0)</f>
        <v>31</v>
      </c>
      <c r="AF11153" s="831" t="s">
        <v>11812</v>
      </c>
      <c r="AG11153" s="831" t="s">
        <v>2674</v>
      </c>
      <c r="AH11153" s="831" t="s">
        <v>550</v>
      </c>
      <c r="AI11153" s="831">
        <v>0</v>
      </c>
      <c r="AJ11153" s="835">
        <v>42004</v>
      </c>
      <c r="AK11153" s="831">
        <v>153599665</v>
      </c>
    </row>
    <row r="11154" spans="2:37">
      <c r="B11154" s="834" t="str">
        <f t="shared" si="429"/>
        <v>|||</v>
      </c>
      <c r="H11154" s="835">
        <f t="shared" si="430"/>
        <v>31</v>
      </c>
      <c r="AF11154" s="831" t="s">
        <v>11813</v>
      </c>
      <c r="AG11154" s="831" t="s">
        <v>2674</v>
      </c>
      <c r="AH11154" s="831" t="s">
        <v>562</v>
      </c>
      <c r="AI11154" s="831">
        <v>0</v>
      </c>
      <c r="AJ11154" s="835">
        <v>42004</v>
      </c>
      <c r="AK11154" s="831">
        <v>0.78310000000000002</v>
      </c>
    </row>
    <row r="11155" spans="2:37">
      <c r="B11155" s="834" t="str">
        <f t="shared" si="429"/>
        <v>|||</v>
      </c>
      <c r="H11155" s="835">
        <f t="shared" si="430"/>
        <v>31</v>
      </c>
      <c r="AF11155" s="831" t="s">
        <v>11814</v>
      </c>
      <c r="AG11155" s="831" t="s">
        <v>2674</v>
      </c>
      <c r="AH11155" s="831" t="s">
        <v>2698</v>
      </c>
      <c r="AI11155" s="831">
        <v>0</v>
      </c>
      <c r="AJ11155" s="835">
        <v>42004</v>
      </c>
      <c r="AK11155" s="831">
        <v>0.78390000000000004</v>
      </c>
    </row>
    <row r="11156" spans="2:37">
      <c r="B11156" s="834" t="str">
        <f t="shared" si="429"/>
        <v>|||</v>
      </c>
      <c r="H11156" s="835">
        <f t="shared" si="430"/>
        <v>31</v>
      </c>
      <c r="AF11156" s="831" t="s">
        <v>11815</v>
      </c>
      <c r="AG11156" s="831" t="s">
        <v>2674</v>
      </c>
      <c r="AH11156" s="831" t="s">
        <v>560</v>
      </c>
      <c r="AI11156" s="831">
        <v>0</v>
      </c>
      <c r="AJ11156" s="835">
        <v>42004</v>
      </c>
      <c r="AK11156" s="831">
        <v>0.78363333333333296</v>
      </c>
    </row>
    <row r="11157" spans="2:37">
      <c r="B11157" s="834" t="str">
        <f t="shared" si="429"/>
        <v>|||</v>
      </c>
      <c r="H11157" s="835">
        <f t="shared" si="430"/>
        <v>31</v>
      </c>
      <c r="AF11157" s="831" t="s">
        <v>11816</v>
      </c>
      <c r="AG11157" s="831" t="s">
        <v>2674</v>
      </c>
      <c r="AH11157" s="831" t="s">
        <v>559</v>
      </c>
      <c r="AI11157" s="831">
        <v>0</v>
      </c>
      <c r="AJ11157" s="835">
        <v>42004</v>
      </c>
      <c r="AK11157" s="831">
        <v>0.78363333333333296</v>
      </c>
    </row>
    <row r="11158" spans="2:37">
      <c r="B11158" s="834" t="str">
        <f t="shared" si="429"/>
        <v>|||</v>
      </c>
      <c r="H11158" s="835">
        <f t="shared" si="430"/>
        <v>31</v>
      </c>
      <c r="AF11158" s="831" t="s">
        <v>11817</v>
      </c>
      <c r="AG11158" s="831" t="s">
        <v>2674</v>
      </c>
      <c r="AH11158" s="831" t="s">
        <v>568</v>
      </c>
      <c r="AI11158" s="831">
        <v>0</v>
      </c>
      <c r="AJ11158" s="835">
        <v>42004</v>
      </c>
      <c r="AK11158" s="831">
        <v>723814619.46153796</v>
      </c>
    </row>
    <row r="11159" spans="2:37">
      <c r="B11159" s="834" t="str">
        <f t="shared" si="429"/>
        <v>|||</v>
      </c>
      <c r="H11159" s="835">
        <f t="shared" si="430"/>
        <v>31</v>
      </c>
      <c r="AF11159" s="831" t="s">
        <v>11818</v>
      </c>
      <c r="AG11159" s="831" t="s">
        <v>2674</v>
      </c>
      <c r="AH11159" s="831" t="s">
        <v>569</v>
      </c>
      <c r="AI11159" s="831">
        <v>0</v>
      </c>
      <c r="AJ11159" s="835">
        <v>42004</v>
      </c>
      <c r="AK11159" s="831">
        <v>899930209.58176899</v>
      </c>
    </row>
    <row r="11160" spans="2:37">
      <c r="B11160" s="834" t="str">
        <f t="shared" si="429"/>
        <v>|||</v>
      </c>
      <c r="H11160" s="835">
        <f t="shared" si="430"/>
        <v>31</v>
      </c>
      <c r="AF11160" s="831" t="s">
        <v>11819</v>
      </c>
      <c r="AG11160" s="831" t="s">
        <v>2674</v>
      </c>
      <c r="AH11160" s="831" t="s">
        <v>570</v>
      </c>
      <c r="AI11160" s="831">
        <v>0</v>
      </c>
      <c r="AJ11160" s="835">
        <v>42004</v>
      </c>
      <c r="AK11160" s="831">
        <v>134134466.303077</v>
      </c>
    </row>
    <row r="11161" spans="2:37">
      <c r="B11161" s="834" t="str">
        <f t="shared" si="429"/>
        <v>|||</v>
      </c>
      <c r="H11161" s="835">
        <f t="shared" si="430"/>
        <v>31</v>
      </c>
      <c r="AF11161" s="831" t="s">
        <v>11820</v>
      </c>
      <c r="AG11161" s="831" t="s">
        <v>2674</v>
      </c>
      <c r="AH11161" s="831" t="s">
        <v>571</v>
      </c>
      <c r="AI11161" s="831">
        <v>0</v>
      </c>
      <c r="AJ11161" s="835">
        <v>42004</v>
      </c>
      <c r="AK11161" s="831">
        <v>445629705.61753798</v>
      </c>
    </row>
    <row r="11162" spans="2:37">
      <c r="B11162" s="834" t="str">
        <f t="shared" si="429"/>
        <v>|||</v>
      </c>
      <c r="H11162" s="835">
        <f t="shared" si="430"/>
        <v>31</v>
      </c>
      <c r="AF11162" s="831" t="s">
        <v>11821</v>
      </c>
      <c r="AG11162" s="831" t="s">
        <v>2674</v>
      </c>
      <c r="AH11162" s="831" t="s">
        <v>573</v>
      </c>
      <c r="AI11162" s="831">
        <v>0</v>
      </c>
      <c r="AJ11162" s="835">
        <v>42004</v>
      </c>
      <c r="AK11162" s="831">
        <v>899930209.58176899</v>
      </c>
    </row>
    <row r="11163" spans="2:37">
      <c r="B11163" s="834" t="str">
        <f t="shared" si="429"/>
        <v>|||</v>
      </c>
      <c r="H11163" s="835">
        <f t="shared" si="430"/>
        <v>31</v>
      </c>
      <c r="AF11163" s="831" t="s">
        <v>11822</v>
      </c>
      <c r="AG11163" s="831" t="s">
        <v>2674</v>
      </c>
      <c r="AH11163" s="831" t="s">
        <v>574</v>
      </c>
      <c r="AI11163" s="831">
        <v>0</v>
      </c>
      <c r="AJ11163" s="835">
        <v>42004</v>
      </c>
      <c r="AK11163" s="831">
        <v>723814619.46153796</v>
      </c>
    </row>
    <row r="11164" spans="2:37">
      <c r="B11164" s="834" t="str">
        <f t="shared" si="429"/>
        <v>|||</v>
      </c>
      <c r="H11164" s="835">
        <f t="shared" si="430"/>
        <v>31</v>
      </c>
      <c r="AF11164" s="831" t="s">
        <v>11823</v>
      </c>
      <c r="AG11164" s="831" t="s">
        <v>2674</v>
      </c>
      <c r="AH11164" s="831" t="s">
        <v>575</v>
      </c>
      <c r="AI11164" s="831">
        <v>0</v>
      </c>
      <c r="AJ11164" s="835">
        <v>42004</v>
      </c>
      <c r="AK11164" s="831">
        <v>134134466.303077</v>
      </c>
    </row>
    <row r="11165" spans="2:37">
      <c r="B11165" s="834" t="str">
        <f t="shared" si="429"/>
        <v>|||</v>
      </c>
      <c r="H11165" s="835">
        <f t="shared" si="430"/>
        <v>31</v>
      </c>
      <c r="AF11165" s="831" t="s">
        <v>11824</v>
      </c>
      <c r="AG11165" s="831" t="s">
        <v>2674</v>
      </c>
      <c r="AH11165" s="831" t="s">
        <v>576</v>
      </c>
      <c r="AI11165" s="831">
        <v>0</v>
      </c>
      <c r="AJ11165" s="835">
        <v>42004</v>
      </c>
      <c r="AK11165" s="831">
        <v>445629705.61753798</v>
      </c>
    </row>
    <row r="11166" spans="2:37">
      <c r="B11166" s="834" t="str">
        <f t="shared" si="429"/>
        <v>|||</v>
      </c>
      <c r="H11166" s="835">
        <f t="shared" si="430"/>
        <v>31</v>
      </c>
      <c r="AF11166" s="831" t="s">
        <v>11825</v>
      </c>
      <c r="AG11166" s="831" t="s">
        <v>2674</v>
      </c>
      <c r="AH11166" s="831" t="s">
        <v>572</v>
      </c>
      <c r="AI11166" s="831">
        <v>0</v>
      </c>
      <c r="AJ11166" s="835">
        <v>42004</v>
      </c>
      <c r="AK11166" s="831">
        <v>43040000</v>
      </c>
    </row>
    <row r="11167" spans="2:37">
      <c r="B11167" s="834" t="str">
        <f t="shared" si="429"/>
        <v>|||</v>
      </c>
      <c r="H11167" s="835">
        <f t="shared" si="430"/>
        <v>31</v>
      </c>
      <c r="AF11167" s="831" t="s">
        <v>11826</v>
      </c>
      <c r="AG11167" s="831" t="s">
        <v>2674</v>
      </c>
      <c r="AH11167" s="831" t="s">
        <v>577</v>
      </c>
      <c r="AI11167" s="831">
        <v>0</v>
      </c>
      <c r="AJ11167" s="835">
        <v>42004</v>
      </c>
      <c r="AK11167" s="831">
        <v>169813000</v>
      </c>
    </row>
    <row r="11168" spans="2:37">
      <c r="B11168" s="834" t="str">
        <f t="shared" si="429"/>
        <v>|||</v>
      </c>
      <c r="H11168" s="835">
        <f t="shared" si="430"/>
        <v>31</v>
      </c>
      <c r="AF11168" s="831" t="s">
        <v>11827</v>
      </c>
      <c r="AG11168" s="831" t="s">
        <v>2674</v>
      </c>
      <c r="AH11168" s="831" t="s">
        <v>3042</v>
      </c>
      <c r="AI11168" s="831">
        <v>0</v>
      </c>
      <c r="AJ11168" s="835">
        <v>42004</v>
      </c>
      <c r="AK11168" s="831">
        <v>-51705000</v>
      </c>
    </row>
    <row r="11169" spans="2:37">
      <c r="B11169" s="834" t="str">
        <f t="shared" si="429"/>
        <v>|||</v>
      </c>
      <c r="H11169" s="835">
        <f t="shared" si="430"/>
        <v>31</v>
      </c>
      <c r="AF11169" s="831" t="s">
        <v>11828</v>
      </c>
      <c r="AG11169" s="831" t="s">
        <v>2674</v>
      </c>
      <c r="AH11169" s="831" t="s">
        <v>3044</v>
      </c>
      <c r="AI11169" s="831">
        <v>0</v>
      </c>
      <c r="AJ11169" s="835">
        <v>42004</v>
      </c>
      <c r="AK11169" s="831">
        <v>3515000</v>
      </c>
    </row>
    <row r="11170" spans="2:37">
      <c r="B11170" s="834" t="str">
        <f t="shared" si="429"/>
        <v>|||</v>
      </c>
      <c r="H11170" s="835">
        <f t="shared" si="430"/>
        <v>31</v>
      </c>
      <c r="AF11170" s="831" t="s">
        <v>11829</v>
      </c>
      <c r="AG11170" s="831" t="s">
        <v>2674</v>
      </c>
      <c r="AH11170" s="831" t="s">
        <v>580</v>
      </c>
      <c r="AI11170" s="831">
        <v>0</v>
      </c>
      <c r="AJ11170" s="835">
        <v>42004</v>
      </c>
      <c r="AK11170" s="831">
        <v>-78262000</v>
      </c>
    </row>
    <row r="11171" spans="2:37">
      <c r="B11171" s="834" t="str">
        <f t="shared" si="429"/>
        <v>|||</v>
      </c>
      <c r="H11171" s="835">
        <f t="shared" si="430"/>
        <v>31</v>
      </c>
      <c r="AF11171" s="831" t="s">
        <v>11830</v>
      </c>
      <c r="AG11171" s="831" t="s">
        <v>2674</v>
      </c>
      <c r="AH11171" s="831" t="s">
        <v>581</v>
      </c>
      <c r="AI11171" s="831">
        <v>0</v>
      </c>
      <c r="AJ11171" s="835">
        <v>42004</v>
      </c>
      <c r="AK11171" s="831">
        <v>9963000</v>
      </c>
    </row>
    <row r="11172" spans="2:37">
      <c r="B11172" s="834" t="str">
        <f t="shared" si="429"/>
        <v>|||</v>
      </c>
      <c r="H11172" s="835">
        <f t="shared" si="430"/>
        <v>31</v>
      </c>
      <c r="AF11172" s="831" t="s">
        <v>11831</v>
      </c>
      <c r="AG11172" s="831" t="s">
        <v>2674</v>
      </c>
      <c r="AH11172" s="831" t="s">
        <v>105</v>
      </c>
      <c r="AI11172" s="831">
        <v>0</v>
      </c>
      <c r="AJ11172" s="835">
        <v>42004</v>
      </c>
      <c r="AK11172" s="831">
        <v>532345000</v>
      </c>
    </row>
    <row r="11173" spans="2:37">
      <c r="B11173" s="834" t="str">
        <f t="shared" si="429"/>
        <v>|||</v>
      </c>
      <c r="H11173" s="835">
        <f t="shared" si="430"/>
        <v>31</v>
      </c>
      <c r="AF11173" s="831" t="s">
        <v>11832</v>
      </c>
      <c r="AG11173" s="831" t="s">
        <v>2674</v>
      </c>
      <c r="AH11173" s="831" t="s">
        <v>3049</v>
      </c>
      <c r="AI11173" s="831">
        <v>0</v>
      </c>
      <c r="AJ11173" s="835">
        <v>42004</v>
      </c>
      <c r="AK11173" s="831">
        <v>871130000</v>
      </c>
    </row>
    <row r="11174" spans="2:37">
      <c r="B11174" s="834" t="str">
        <f t="shared" si="429"/>
        <v>|||</v>
      </c>
      <c r="H11174" s="835">
        <f t="shared" si="430"/>
        <v>31</v>
      </c>
      <c r="AF11174" s="831" t="s">
        <v>11833</v>
      </c>
      <c r="AG11174" s="831" t="s">
        <v>2674</v>
      </c>
      <c r="AH11174" s="831" t="s">
        <v>103</v>
      </c>
      <c r="AI11174" s="831">
        <v>0</v>
      </c>
      <c r="AJ11174" s="835">
        <v>42004</v>
      </c>
      <c r="AK11174" s="831">
        <v>338785000</v>
      </c>
    </row>
    <row r="11175" spans="2:37">
      <c r="B11175" s="834" t="str">
        <f t="shared" si="429"/>
        <v>|||</v>
      </c>
      <c r="H11175" s="835">
        <f t="shared" si="430"/>
        <v>31</v>
      </c>
      <c r="AF11175" s="831" t="s">
        <v>11834</v>
      </c>
      <c r="AG11175" s="831" t="s">
        <v>2674</v>
      </c>
      <c r="AH11175" s="831" t="s">
        <v>182</v>
      </c>
      <c r="AI11175" s="831">
        <v>0</v>
      </c>
      <c r="AJ11175" s="835">
        <v>42004</v>
      </c>
      <c r="AK11175" s="831">
        <v>78262000</v>
      </c>
    </row>
    <row r="11176" spans="2:37">
      <c r="B11176" s="834" t="str">
        <f t="shared" si="429"/>
        <v>|||</v>
      </c>
      <c r="H11176" s="835">
        <f t="shared" si="430"/>
        <v>31</v>
      </c>
      <c r="AF11176" s="831" t="s">
        <v>11835</v>
      </c>
      <c r="AG11176" s="831" t="s">
        <v>2674</v>
      </c>
      <c r="AH11176" s="831" t="s">
        <v>6600</v>
      </c>
      <c r="AI11176" s="831">
        <v>0</v>
      </c>
      <c r="AJ11176" s="835">
        <v>42004</v>
      </c>
      <c r="AK11176" s="831">
        <v>43040000</v>
      </c>
    </row>
    <row r="11177" spans="2:37">
      <c r="B11177" s="834" t="str">
        <f t="shared" si="429"/>
        <v>|||</v>
      </c>
      <c r="H11177" s="835">
        <f t="shared" si="430"/>
        <v>31</v>
      </c>
      <c r="AF11177" s="831" t="s">
        <v>11836</v>
      </c>
      <c r="AG11177" s="831" t="s">
        <v>2674</v>
      </c>
      <c r="AH11177" s="831" t="s">
        <v>6602</v>
      </c>
      <c r="AI11177" s="831">
        <v>0</v>
      </c>
      <c r="AJ11177" s="835">
        <v>42004</v>
      </c>
      <c r="AK11177" s="831">
        <v>43040000</v>
      </c>
    </row>
    <row r="11178" spans="2:37">
      <c r="B11178" s="834" t="str">
        <f t="shared" si="429"/>
        <v>|||</v>
      </c>
      <c r="H11178" s="835">
        <f t="shared" si="430"/>
        <v>31</v>
      </c>
      <c r="AF11178" s="831" t="s">
        <v>11837</v>
      </c>
      <c r="AG11178" s="831" t="s">
        <v>2674</v>
      </c>
      <c r="AH11178" s="831" t="s">
        <v>650</v>
      </c>
      <c r="AI11178" s="831">
        <v>0</v>
      </c>
      <c r="AJ11178" s="835">
        <v>42004</v>
      </c>
      <c r="AK11178" s="831">
        <v>294946351.965231</v>
      </c>
    </row>
    <row r="11179" spans="2:37">
      <c r="B11179" s="834" t="str">
        <f t="shared" si="429"/>
        <v>|||</v>
      </c>
      <c r="H11179" s="835">
        <f t="shared" si="430"/>
        <v>31</v>
      </c>
      <c r="AF11179" s="831" t="s">
        <v>11838</v>
      </c>
      <c r="AG11179" s="831" t="s">
        <v>2674</v>
      </c>
      <c r="AH11179" s="831" t="s">
        <v>655</v>
      </c>
      <c r="AI11179" s="831">
        <v>0</v>
      </c>
      <c r="AJ11179" s="835">
        <v>42004</v>
      </c>
      <c r="AK11179" s="831">
        <v>5599000</v>
      </c>
    </row>
    <row r="11180" spans="2:37">
      <c r="B11180" s="834" t="str">
        <f t="shared" si="429"/>
        <v>|||</v>
      </c>
      <c r="H11180" s="835">
        <f t="shared" si="430"/>
        <v>31</v>
      </c>
      <c r="AF11180" s="831" t="s">
        <v>11839</v>
      </c>
      <c r="AG11180" s="831" t="s">
        <v>2674</v>
      </c>
      <c r="AH11180" s="831" t="s">
        <v>546</v>
      </c>
      <c r="AI11180" s="831">
        <v>0</v>
      </c>
      <c r="AJ11180" s="835">
        <v>42035</v>
      </c>
      <c r="AK11180" s="831">
        <v>829753309</v>
      </c>
    </row>
    <row r="11181" spans="2:37">
      <c r="B11181" s="834" t="str">
        <f t="shared" si="429"/>
        <v>|||</v>
      </c>
      <c r="H11181" s="835">
        <f t="shared" si="430"/>
        <v>31</v>
      </c>
      <c r="AF11181" s="831" t="s">
        <v>11840</v>
      </c>
      <c r="AG11181" s="831" t="s">
        <v>2674</v>
      </c>
      <c r="AH11181" s="831" t="s">
        <v>370</v>
      </c>
      <c r="AI11181" s="831">
        <v>0</v>
      </c>
      <c r="AJ11181" s="835">
        <v>42035</v>
      </c>
      <c r="AK11181" s="831">
        <v>1044609243</v>
      </c>
    </row>
    <row r="11182" spans="2:37">
      <c r="B11182" s="834" t="str">
        <f t="shared" si="429"/>
        <v>|||</v>
      </c>
      <c r="H11182" s="835">
        <f t="shared" si="430"/>
        <v>31</v>
      </c>
      <c r="AF11182" s="831" t="s">
        <v>11841</v>
      </c>
      <c r="AG11182" s="831" t="s">
        <v>2674</v>
      </c>
      <c r="AH11182" s="831" t="s">
        <v>126</v>
      </c>
      <c r="AI11182" s="831">
        <v>0</v>
      </c>
      <c r="AJ11182" s="835">
        <v>42035</v>
      </c>
      <c r="AK11182" s="831">
        <v>148860224</v>
      </c>
    </row>
    <row r="11183" spans="2:37">
      <c r="B11183" s="834" t="str">
        <f t="shared" si="429"/>
        <v>|||</v>
      </c>
      <c r="H11183" s="835">
        <f t="shared" si="430"/>
        <v>31</v>
      </c>
      <c r="AF11183" s="831" t="s">
        <v>11842</v>
      </c>
      <c r="AG11183" s="831" t="s">
        <v>2674</v>
      </c>
      <c r="AH11183" s="831" t="s">
        <v>268</v>
      </c>
      <c r="AI11183" s="831">
        <v>0</v>
      </c>
      <c r="AJ11183" s="835">
        <v>42035</v>
      </c>
      <c r="AK11183" s="831">
        <v>3451938</v>
      </c>
    </row>
    <row r="11184" spans="2:37">
      <c r="B11184" s="834" t="str">
        <f t="shared" si="429"/>
        <v>|||</v>
      </c>
      <c r="H11184" s="835">
        <f t="shared" si="430"/>
        <v>31</v>
      </c>
      <c r="AF11184" s="831" t="s">
        <v>11843</v>
      </c>
      <c r="AG11184" s="831" t="s">
        <v>2674</v>
      </c>
      <c r="AH11184" s="831" t="s">
        <v>547</v>
      </c>
      <c r="AI11184" s="831">
        <v>0</v>
      </c>
      <c r="AJ11184" s="835">
        <v>42035</v>
      </c>
      <c r="AK11184" s="831">
        <v>1044609243</v>
      </c>
    </row>
    <row r="11185" spans="2:37">
      <c r="B11185" s="834" t="str">
        <f t="shared" si="429"/>
        <v>|||</v>
      </c>
      <c r="H11185" s="835">
        <f t="shared" si="430"/>
        <v>31</v>
      </c>
      <c r="AF11185" s="831" t="s">
        <v>11844</v>
      </c>
      <c r="AG11185" s="831" t="s">
        <v>2674</v>
      </c>
      <c r="AH11185" s="831" t="s">
        <v>548</v>
      </c>
      <c r="AI11185" s="831">
        <v>0</v>
      </c>
      <c r="AJ11185" s="835">
        <v>42035</v>
      </c>
      <c r="AK11185" s="831">
        <v>148860224</v>
      </c>
    </row>
    <row r="11186" spans="2:37">
      <c r="B11186" s="834" t="str">
        <f t="shared" si="429"/>
        <v>|||</v>
      </c>
      <c r="H11186" s="835">
        <f t="shared" si="430"/>
        <v>31</v>
      </c>
      <c r="AF11186" s="831" t="s">
        <v>11845</v>
      </c>
      <c r="AG11186" s="831" t="s">
        <v>2674</v>
      </c>
      <c r="AH11186" s="831" t="s">
        <v>549</v>
      </c>
      <c r="AI11186" s="831">
        <v>0</v>
      </c>
      <c r="AJ11186" s="835">
        <v>42035</v>
      </c>
      <c r="AK11186" s="831">
        <v>635618516</v>
      </c>
    </row>
    <row r="11187" spans="2:37">
      <c r="B11187" s="834" t="str">
        <f t="shared" si="429"/>
        <v>|||</v>
      </c>
      <c r="H11187" s="835">
        <f t="shared" si="430"/>
        <v>31</v>
      </c>
      <c r="AF11187" s="831" t="s">
        <v>11846</v>
      </c>
      <c r="AG11187" s="831" t="s">
        <v>2674</v>
      </c>
      <c r="AH11187" s="831" t="s">
        <v>192</v>
      </c>
      <c r="AI11187" s="831">
        <v>0</v>
      </c>
      <c r="AJ11187" s="835">
        <v>42035</v>
      </c>
      <c r="AK11187" s="831">
        <v>-9765211</v>
      </c>
    </row>
    <row r="11188" spans="2:37">
      <c r="B11188" s="834" t="str">
        <f t="shared" si="429"/>
        <v>|||</v>
      </c>
      <c r="H11188" s="835">
        <f t="shared" si="430"/>
        <v>31</v>
      </c>
      <c r="AF11188" s="831" t="s">
        <v>11847</v>
      </c>
      <c r="AG11188" s="831" t="s">
        <v>2674</v>
      </c>
      <c r="AH11188" s="831" t="s">
        <v>558</v>
      </c>
      <c r="AI11188" s="831">
        <v>0</v>
      </c>
      <c r="AJ11188" s="835">
        <v>42035</v>
      </c>
      <c r="AK11188" s="831">
        <v>895749019</v>
      </c>
    </row>
    <row r="11189" spans="2:37">
      <c r="B11189" s="834" t="str">
        <f t="shared" si="429"/>
        <v>|||</v>
      </c>
      <c r="H11189" s="835">
        <f t="shared" si="430"/>
        <v>31</v>
      </c>
      <c r="AF11189" s="831" t="s">
        <v>11848</v>
      </c>
      <c r="AG11189" s="831" t="s">
        <v>2674</v>
      </c>
      <c r="AH11189" s="831" t="s">
        <v>65</v>
      </c>
      <c r="AI11189" s="831">
        <v>0</v>
      </c>
      <c r="AJ11189" s="835">
        <v>42035</v>
      </c>
      <c r="AK11189" s="831">
        <v>16060962</v>
      </c>
    </row>
    <row r="11190" spans="2:37">
      <c r="B11190" s="834" t="str">
        <f t="shared" si="429"/>
        <v>|||</v>
      </c>
      <c r="H11190" s="835">
        <f t="shared" si="430"/>
        <v>31</v>
      </c>
      <c r="AF11190" s="831" t="s">
        <v>11849</v>
      </c>
      <c r="AG11190" s="831" t="s">
        <v>2674</v>
      </c>
      <c r="AH11190" s="831" t="s">
        <v>89</v>
      </c>
      <c r="AI11190" s="831">
        <v>0</v>
      </c>
      <c r="AJ11190" s="835">
        <v>42035</v>
      </c>
      <c r="AK11190" s="831">
        <v>158062</v>
      </c>
    </row>
    <row r="11191" spans="2:37">
      <c r="B11191" s="834" t="str">
        <f t="shared" si="429"/>
        <v>|||</v>
      </c>
      <c r="H11191" s="835">
        <f t="shared" si="430"/>
        <v>31</v>
      </c>
      <c r="AF11191" s="831" t="s">
        <v>11850</v>
      </c>
      <c r="AG11191" s="831" t="s">
        <v>2674</v>
      </c>
      <c r="AH11191" s="831" t="s">
        <v>557</v>
      </c>
      <c r="AI11191" s="831">
        <v>0</v>
      </c>
      <c r="AJ11191" s="835">
        <v>42035</v>
      </c>
      <c r="AK11191" s="831">
        <v>180227</v>
      </c>
    </row>
    <row r="11192" spans="2:37">
      <c r="B11192" s="834" t="str">
        <f t="shared" si="429"/>
        <v>|||</v>
      </c>
      <c r="H11192" s="835">
        <f t="shared" si="430"/>
        <v>31</v>
      </c>
      <c r="AF11192" s="831" t="s">
        <v>11851</v>
      </c>
      <c r="AG11192" s="831" t="s">
        <v>2674</v>
      </c>
      <c r="AH11192" s="831" t="s">
        <v>29</v>
      </c>
      <c r="AI11192" s="831">
        <v>0</v>
      </c>
      <c r="AJ11192" s="835">
        <v>42035</v>
      </c>
      <c r="AK11192" s="831">
        <v>7401483</v>
      </c>
    </row>
    <row r="11193" spans="2:37">
      <c r="B11193" s="834" t="str">
        <f t="shared" si="429"/>
        <v>|||</v>
      </c>
      <c r="H11193" s="835">
        <f t="shared" si="430"/>
        <v>31</v>
      </c>
      <c r="AF11193" s="831" t="s">
        <v>11852</v>
      </c>
      <c r="AG11193" s="831" t="s">
        <v>2674</v>
      </c>
      <c r="AH11193" s="831" t="s">
        <v>2688</v>
      </c>
      <c r="AI11193" s="831">
        <v>0</v>
      </c>
      <c r="AJ11193" s="835">
        <v>42035</v>
      </c>
      <c r="AK11193" s="831">
        <v>5438707</v>
      </c>
    </row>
    <row r="11194" spans="2:37">
      <c r="B11194" s="834" t="str">
        <f t="shared" si="429"/>
        <v>|||</v>
      </c>
      <c r="H11194" s="835">
        <f t="shared" si="430"/>
        <v>31</v>
      </c>
      <c r="AF11194" s="831" t="s">
        <v>11853</v>
      </c>
      <c r="AG11194" s="831" t="s">
        <v>2674</v>
      </c>
      <c r="AH11194" s="831" t="s">
        <v>556</v>
      </c>
      <c r="AI11194" s="831">
        <v>0</v>
      </c>
      <c r="AJ11194" s="835">
        <v>42035</v>
      </c>
      <c r="AK11194" s="831">
        <v>11412135</v>
      </c>
    </row>
    <row r="11195" spans="2:37">
      <c r="B11195" s="834" t="str">
        <f t="shared" si="429"/>
        <v>|||</v>
      </c>
      <c r="H11195" s="835">
        <f t="shared" si="430"/>
        <v>31</v>
      </c>
      <c r="AF11195" s="831" t="s">
        <v>11854</v>
      </c>
      <c r="AG11195" s="831" t="s">
        <v>2674</v>
      </c>
      <c r="AH11195" s="831" t="s">
        <v>555</v>
      </c>
      <c r="AI11195" s="831">
        <v>0</v>
      </c>
      <c r="AJ11195" s="835">
        <v>42035</v>
      </c>
      <c r="AK11195" s="831">
        <v>579511362</v>
      </c>
    </row>
    <row r="11196" spans="2:37">
      <c r="B11196" s="834" t="str">
        <f t="shared" si="429"/>
        <v>|||</v>
      </c>
      <c r="H11196" s="835">
        <f t="shared" si="430"/>
        <v>31</v>
      </c>
      <c r="AF11196" s="831" t="s">
        <v>11855</v>
      </c>
      <c r="AG11196" s="831" t="s">
        <v>2674</v>
      </c>
      <c r="AH11196" s="831" t="s">
        <v>554</v>
      </c>
      <c r="AI11196" s="831">
        <v>0</v>
      </c>
      <c r="AJ11196" s="835">
        <v>42035</v>
      </c>
      <c r="AK11196" s="831">
        <v>622474260</v>
      </c>
    </row>
    <row r="11197" spans="2:37">
      <c r="B11197" s="834" t="str">
        <f t="shared" si="429"/>
        <v>|||</v>
      </c>
      <c r="H11197" s="835">
        <f t="shared" si="430"/>
        <v>31</v>
      </c>
      <c r="AF11197" s="831" t="s">
        <v>11856</v>
      </c>
      <c r="AG11197" s="831" t="s">
        <v>2674</v>
      </c>
      <c r="AH11197" s="831" t="s">
        <v>553</v>
      </c>
      <c r="AI11197" s="831">
        <v>0</v>
      </c>
      <c r="AJ11197" s="835">
        <v>42035</v>
      </c>
      <c r="AK11197" s="831">
        <v>0</v>
      </c>
    </row>
    <row r="11198" spans="2:37">
      <c r="B11198" s="834" t="str">
        <f t="shared" si="429"/>
        <v>|||</v>
      </c>
      <c r="H11198" s="835">
        <f t="shared" si="430"/>
        <v>31</v>
      </c>
      <c r="AF11198" s="831" t="s">
        <v>11857</v>
      </c>
      <c r="AG11198" s="831" t="s">
        <v>2674</v>
      </c>
      <c r="AH11198" s="831" t="s">
        <v>552</v>
      </c>
      <c r="AI11198" s="831">
        <v>0</v>
      </c>
      <c r="AJ11198" s="835">
        <v>42035</v>
      </c>
      <c r="AK11198" s="831">
        <v>0</v>
      </c>
    </row>
    <row r="11199" spans="2:37">
      <c r="B11199" s="834" t="str">
        <f t="shared" si="429"/>
        <v>|||</v>
      </c>
      <c r="H11199" s="835">
        <f t="shared" si="430"/>
        <v>31</v>
      </c>
      <c r="AF11199" s="831" t="s">
        <v>11858</v>
      </c>
      <c r="AG11199" s="831" t="s">
        <v>2674</v>
      </c>
      <c r="AH11199" s="831" t="s">
        <v>551</v>
      </c>
      <c r="AI11199" s="831">
        <v>0</v>
      </c>
      <c r="AJ11199" s="835">
        <v>42035</v>
      </c>
      <c r="AK11199" s="831">
        <v>5260060</v>
      </c>
    </row>
    <row r="11200" spans="2:37">
      <c r="B11200" s="834" t="str">
        <f t="shared" si="429"/>
        <v>|||</v>
      </c>
      <c r="H11200" s="835">
        <f t="shared" si="430"/>
        <v>31</v>
      </c>
      <c r="AF11200" s="831" t="s">
        <v>11859</v>
      </c>
      <c r="AG11200" s="831" t="s">
        <v>2674</v>
      </c>
      <c r="AH11200" s="831" t="s">
        <v>550</v>
      </c>
      <c r="AI11200" s="831">
        <v>0</v>
      </c>
      <c r="AJ11200" s="835">
        <v>42035</v>
      </c>
      <c r="AK11200" s="831">
        <v>145409000</v>
      </c>
    </row>
    <row r="11201" spans="2:37">
      <c r="B11201" s="834" t="str">
        <f t="shared" si="429"/>
        <v>|||</v>
      </c>
      <c r="H11201" s="835">
        <f t="shared" si="430"/>
        <v>31</v>
      </c>
      <c r="AF11201" s="831" t="s">
        <v>11860</v>
      </c>
      <c r="AG11201" s="831" t="s">
        <v>2674</v>
      </c>
      <c r="AH11201" s="831" t="s">
        <v>562</v>
      </c>
      <c r="AI11201" s="831">
        <v>0</v>
      </c>
      <c r="AJ11201" s="835">
        <v>42035</v>
      </c>
      <c r="AK11201" s="831">
        <v>0.78439999999999999</v>
      </c>
    </row>
    <row r="11202" spans="2:37">
      <c r="B11202" s="834" t="str">
        <f t="shared" si="429"/>
        <v>|||</v>
      </c>
      <c r="H11202" s="835">
        <f t="shared" si="430"/>
        <v>31</v>
      </c>
      <c r="AF11202" s="831" t="s">
        <v>11861</v>
      </c>
      <c r="AG11202" s="831" t="s">
        <v>2674</v>
      </c>
      <c r="AH11202" s="831" t="s">
        <v>2698</v>
      </c>
      <c r="AI11202" s="831">
        <v>0</v>
      </c>
      <c r="AJ11202" s="835">
        <v>42035</v>
      </c>
      <c r="AK11202" s="831">
        <v>0.78310000000000002</v>
      </c>
    </row>
    <row r="11203" spans="2:37">
      <c r="B11203" s="834" t="str">
        <f t="shared" si="429"/>
        <v>|||</v>
      </c>
      <c r="H11203" s="835">
        <f t="shared" si="430"/>
        <v>31</v>
      </c>
      <c r="AF11203" s="831" t="s">
        <v>11862</v>
      </c>
      <c r="AG11203" s="831" t="s">
        <v>2674</v>
      </c>
      <c r="AH11203" s="831" t="s">
        <v>560</v>
      </c>
      <c r="AI11203" s="831">
        <v>0</v>
      </c>
      <c r="AJ11203" s="835">
        <v>42035</v>
      </c>
      <c r="AK11203" s="831">
        <v>0.78439999999999999</v>
      </c>
    </row>
    <row r="11204" spans="2:37">
      <c r="B11204" s="834" t="str">
        <f t="shared" si="429"/>
        <v>|||</v>
      </c>
      <c r="H11204" s="835">
        <f t="shared" si="430"/>
        <v>31</v>
      </c>
      <c r="AF11204" s="831" t="s">
        <v>11863</v>
      </c>
      <c r="AG11204" s="831" t="s">
        <v>2674</v>
      </c>
      <c r="AH11204" s="831" t="s">
        <v>559</v>
      </c>
      <c r="AI11204" s="831">
        <v>0</v>
      </c>
      <c r="AJ11204" s="835">
        <v>42035</v>
      </c>
      <c r="AK11204" s="831">
        <v>0.78369583333333304</v>
      </c>
    </row>
    <row r="11205" spans="2:37">
      <c r="B11205" s="834" t="str">
        <f t="shared" si="429"/>
        <v>|||</v>
      </c>
      <c r="H11205" s="835">
        <f t="shared" si="430"/>
        <v>31</v>
      </c>
      <c r="AF11205" s="831" t="s">
        <v>11864</v>
      </c>
      <c r="AG11205" s="831" t="s">
        <v>2674</v>
      </c>
      <c r="AH11205" s="831" t="s">
        <v>568</v>
      </c>
      <c r="AI11205" s="831">
        <v>0</v>
      </c>
      <c r="AJ11205" s="835">
        <v>42035</v>
      </c>
      <c r="AK11205" s="831">
        <v>739343777.07692301</v>
      </c>
    </row>
    <row r="11206" spans="2:37">
      <c r="B11206" s="834" t="str">
        <f t="shared" si="429"/>
        <v>|||</v>
      </c>
      <c r="H11206" s="835">
        <f t="shared" si="430"/>
        <v>31</v>
      </c>
      <c r="AF11206" s="831" t="s">
        <v>11865</v>
      </c>
      <c r="AG11206" s="831" t="s">
        <v>2674</v>
      </c>
      <c r="AH11206" s="831" t="s">
        <v>569</v>
      </c>
      <c r="AI11206" s="831">
        <v>0</v>
      </c>
      <c r="AJ11206" s="835">
        <v>42035</v>
      </c>
      <c r="AK11206" s="831">
        <v>919552846</v>
      </c>
    </row>
    <row r="11207" spans="2:37">
      <c r="B11207" s="834" t="str">
        <f t="shared" si="429"/>
        <v>|||</v>
      </c>
      <c r="H11207" s="835">
        <f t="shared" si="430"/>
        <v>31</v>
      </c>
      <c r="AF11207" s="831" t="s">
        <v>11866</v>
      </c>
      <c r="AG11207" s="831" t="s">
        <v>2674</v>
      </c>
      <c r="AH11207" s="831" t="s">
        <v>570</v>
      </c>
      <c r="AI11207" s="831">
        <v>0</v>
      </c>
      <c r="AJ11207" s="835">
        <v>42035</v>
      </c>
      <c r="AK11207" s="831">
        <v>136809116.925385</v>
      </c>
    </row>
    <row r="11208" spans="2:37">
      <c r="B11208" s="834" t="str">
        <f t="shared" si="429"/>
        <v>|||</v>
      </c>
      <c r="H11208" s="835">
        <f t="shared" si="430"/>
        <v>31</v>
      </c>
      <c r="AF11208" s="831" t="s">
        <v>11867</v>
      </c>
      <c r="AG11208" s="831" t="s">
        <v>2674</v>
      </c>
      <c r="AH11208" s="831" t="s">
        <v>571</v>
      </c>
      <c r="AI11208" s="831">
        <v>0</v>
      </c>
      <c r="AJ11208" s="835">
        <v>42035</v>
      </c>
      <c r="AK11208" s="831">
        <v>456907538.41669202</v>
      </c>
    </row>
    <row r="11209" spans="2:37">
      <c r="B11209" s="834" t="str">
        <f t="shared" si="429"/>
        <v>|||</v>
      </c>
      <c r="H11209" s="835">
        <f t="shared" si="430"/>
        <v>31</v>
      </c>
      <c r="AF11209" s="831" t="s">
        <v>11868</v>
      </c>
      <c r="AG11209" s="831" t="s">
        <v>2674</v>
      </c>
      <c r="AH11209" s="831" t="s">
        <v>573</v>
      </c>
      <c r="AI11209" s="831">
        <v>0</v>
      </c>
      <c r="AJ11209" s="835">
        <v>42035</v>
      </c>
      <c r="AK11209" s="831">
        <v>1043409621.5</v>
      </c>
    </row>
    <row r="11210" spans="2:37">
      <c r="B11210" s="834" t="str">
        <f t="shared" si="429"/>
        <v>|||</v>
      </c>
      <c r="H11210" s="835">
        <f t="shared" si="430"/>
        <v>31</v>
      </c>
      <c r="AF11210" s="831" t="s">
        <v>11869</v>
      </c>
      <c r="AG11210" s="831" t="s">
        <v>2674</v>
      </c>
      <c r="AH11210" s="831" t="s">
        <v>574</v>
      </c>
      <c r="AI11210" s="831">
        <v>0</v>
      </c>
      <c r="AJ11210" s="835">
        <v>42035</v>
      </c>
      <c r="AK11210" s="831">
        <v>829336654.5</v>
      </c>
    </row>
    <row r="11211" spans="2:37">
      <c r="B11211" s="834" t="str">
        <f t="shared" si="429"/>
        <v>|||</v>
      </c>
      <c r="H11211" s="835">
        <f t="shared" si="430"/>
        <v>31</v>
      </c>
      <c r="AF11211" s="831" t="s">
        <v>11870</v>
      </c>
      <c r="AG11211" s="831" t="s">
        <v>2674</v>
      </c>
      <c r="AH11211" s="831" t="s">
        <v>575</v>
      </c>
      <c r="AI11211" s="831">
        <v>0</v>
      </c>
      <c r="AJ11211" s="835">
        <v>42035</v>
      </c>
      <c r="AK11211" s="831">
        <v>147134612</v>
      </c>
    </row>
    <row r="11212" spans="2:37">
      <c r="B11212" s="834" t="str">
        <f t="shared" si="429"/>
        <v>|||</v>
      </c>
      <c r="H11212" s="835">
        <f t="shared" si="430"/>
        <v>31</v>
      </c>
      <c r="AF11212" s="831" t="s">
        <v>11871</v>
      </c>
      <c r="AG11212" s="831" t="s">
        <v>2674</v>
      </c>
      <c r="AH11212" s="831" t="s">
        <v>576</v>
      </c>
      <c r="AI11212" s="831">
        <v>0</v>
      </c>
      <c r="AJ11212" s="835">
        <v>42035</v>
      </c>
      <c r="AK11212" s="831">
        <v>535265337</v>
      </c>
    </row>
    <row r="11213" spans="2:37">
      <c r="B11213" s="834" t="str">
        <f t="shared" si="429"/>
        <v>|||</v>
      </c>
      <c r="H11213" s="835">
        <f t="shared" si="430"/>
        <v>31</v>
      </c>
      <c r="AF11213" s="831" t="s">
        <v>11872</v>
      </c>
      <c r="AG11213" s="831" t="s">
        <v>2674</v>
      </c>
      <c r="AH11213" s="831" t="s">
        <v>572</v>
      </c>
      <c r="AI11213" s="831">
        <v>0</v>
      </c>
      <c r="AJ11213" s="835">
        <v>42035</v>
      </c>
      <c r="AK11213" s="831">
        <v>43193117</v>
      </c>
    </row>
    <row r="11214" spans="2:37">
      <c r="B11214" s="834" t="str">
        <f t="shared" si="429"/>
        <v>|||</v>
      </c>
      <c r="H11214" s="835">
        <f t="shared" si="430"/>
        <v>31</v>
      </c>
      <c r="AF11214" s="831" t="s">
        <v>11873</v>
      </c>
      <c r="AG11214" s="831" t="s">
        <v>2674</v>
      </c>
      <c r="AH11214" s="831" t="s">
        <v>577</v>
      </c>
      <c r="AI11214" s="831">
        <v>0</v>
      </c>
      <c r="AJ11214" s="835">
        <v>42035</v>
      </c>
      <c r="AK11214" s="831">
        <v>172605174</v>
      </c>
    </row>
    <row r="11215" spans="2:37">
      <c r="B11215" s="834" t="str">
        <f t="shared" si="429"/>
        <v>|||</v>
      </c>
      <c r="H11215" s="835">
        <f t="shared" si="430"/>
        <v>31</v>
      </c>
      <c r="AF11215" s="831" t="s">
        <v>11874</v>
      </c>
      <c r="AG11215" s="831" t="s">
        <v>2674</v>
      </c>
      <c r="AH11215" s="831" t="s">
        <v>3042</v>
      </c>
      <c r="AI11215" s="831">
        <v>0</v>
      </c>
      <c r="AJ11215" s="835">
        <v>42035</v>
      </c>
      <c r="AK11215" s="831">
        <v>-52806938</v>
      </c>
    </row>
    <row r="11216" spans="2:37">
      <c r="B11216" s="834" t="str">
        <f t="shared" si="429"/>
        <v>|||</v>
      </c>
      <c r="H11216" s="835">
        <f t="shared" si="430"/>
        <v>31</v>
      </c>
      <c r="AF11216" s="831" t="s">
        <v>11875</v>
      </c>
      <c r="AG11216" s="831" t="s">
        <v>2674</v>
      </c>
      <c r="AH11216" s="831" t="s">
        <v>3044</v>
      </c>
      <c r="AI11216" s="831">
        <v>0</v>
      </c>
      <c r="AJ11216" s="835">
        <v>42035</v>
      </c>
      <c r="AK11216" s="831">
        <v>3134380</v>
      </c>
    </row>
    <row r="11217" spans="2:37">
      <c r="B11217" s="834" t="str">
        <f t="shared" ref="B11217:B11280" si="431">C11217&amp;"|"&amp;D11217&amp;"|"&amp;E11217&amp;"|"&amp;F11217</f>
        <v>|||</v>
      </c>
      <c r="H11217" s="835">
        <f t="shared" ref="H11217:H11280" si="432">EOMONTH(L11217,0)</f>
        <v>31</v>
      </c>
      <c r="AF11217" s="831" t="s">
        <v>11876</v>
      </c>
      <c r="AG11217" s="831" t="s">
        <v>2674</v>
      </c>
      <c r="AH11217" s="831" t="s">
        <v>580</v>
      </c>
      <c r="AI11217" s="831">
        <v>0</v>
      </c>
      <c r="AJ11217" s="835">
        <v>42035</v>
      </c>
      <c r="AK11217" s="831">
        <v>-79238495</v>
      </c>
    </row>
    <row r="11218" spans="2:37">
      <c r="B11218" s="834" t="str">
        <f t="shared" si="431"/>
        <v>|||</v>
      </c>
      <c r="H11218" s="835">
        <f t="shared" si="432"/>
        <v>31</v>
      </c>
      <c r="AF11218" s="831" t="s">
        <v>11877</v>
      </c>
      <c r="AG11218" s="831" t="s">
        <v>2674</v>
      </c>
      <c r="AH11218" s="831" t="s">
        <v>581</v>
      </c>
      <c r="AI11218" s="831">
        <v>0</v>
      </c>
      <c r="AJ11218" s="835">
        <v>42035</v>
      </c>
      <c r="AK11218" s="831">
        <v>9801179</v>
      </c>
    </row>
    <row r="11219" spans="2:37">
      <c r="B11219" s="834" t="str">
        <f t="shared" si="431"/>
        <v>|||</v>
      </c>
      <c r="H11219" s="835">
        <f t="shared" si="432"/>
        <v>31</v>
      </c>
      <c r="AF11219" s="831" t="s">
        <v>11878</v>
      </c>
      <c r="AG11219" s="831" t="s">
        <v>2674</v>
      </c>
      <c r="AH11219" s="831" t="s">
        <v>105</v>
      </c>
      <c r="AI11219" s="831">
        <v>0</v>
      </c>
      <c r="AJ11219" s="835">
        <v>42035</v>
      </c>
      <c r="AK11219" s="831">
        <v>538185674</v>
      </c>
    </row>
    <row r="11220" spans="2:37">
      <c r="B11220" s="834" t="str">
        <f t="shared" si="431"/>
        <v>|||</v>
      </c>
      <c r="H11220" s="835">
        <f t="shared" si="432"/>
        <v>31</v>
      </c>
      <c r="AF11220" s="831" t="s">
        <v>11879</v>
      </c>
      <c r="AG11220" s="831" t="s">
        <v>2674</v>
      </c>
      <c r="AH11220" s="831" t="s">
        <v>3049</v>
      </c>
      <c r="AI11220" s="831">
        <v>0</v>
      </c>
      <c r="AJ11220" s="835">
        <v>42035</v>
      </c>
      <c r="AK11220" s="831">
        <v>868832996</v>
      </c>
    </row>
    <row r="11221" spans="2:37">
      <c r="B11221" s="834" t="str">
        <f t="shared" si="431"/>
        <v>|||</v>
      </c>
      <c r="H11221" s="835">
        <f t="shared" si="432"/>
        <v>31</v>
      </c>
      <c r="AF11221" s="831" t="s">
        <v>11880</v>
      </c>
      <c r="AG11221" s="831" t="s">
        <v>2674</v>
      </c>
      <c r="AH11221" s="831" t="s">
        <v>103</v>
      </c>
      <c r="AI11221" s="831">
        <v>0</v>
      </c>
      <c r="AJ11221" s="835">
        <v>42035</v>
      </c>
      <c r="AK11221" s="831">
        <v>330647322</v>
      </c>
    </row>
    <row r="11222" spans="2:37">
      <c r="B11222" s="834" t="str">
        <f t="shared" si="431"/>
        <v>|||</v>
      </c>
      <c r="H11222" s="835">
        <f t="shared" si="432"/>
        <v>31</v>
      </c>
      <c r="AF11222" s="831" t="s">
        <v>11881</v>
      </c>
      <c r="AG11222" s="831" t="s">
        <v>2674</v>
      </c>
      <c r="AH11222" s="831" t="s">
        <v>182</v>
      </c>
      <c r="AI11222" s="831">
        <v>0</v>
      </c>
      <c r="AJ11222" s="835">
        <v>42035</v>
      </c>
      <c r="AK11222" s="831">
        <v>79397220</v>
      </c>
    </row>
    <row r="11223" spans="2:37">
      <c r="B11223" s="834" t="str">
        <f t="shared" si="431"/>
        <v>|||</v>
      </c>
      <c r="H11223" s="835">
        <f t="shared" si="432"/>
        <v>31</v>
      </c>
      <c r="AF11223" s="831" t="s">
        <v>11882</v>
      </c>
      <c r="AG11223" s="831" t="s">
        <v>2674</v>
      </c>
      <c r="AH11223" s="831" t="s">
        <v>6600</v>
      </c>
      <c r="AI11223" s="831">
        <v>0</v>
      </c>
      <c r="AJ11223" s="835">
        <v>42035</v>
      </c>
      <c r="AK11223" s="831">
        <v>43193117</v>
      </c>
    </row>
    <row r="11224" spans="2:37">
      <c r="B11224" s="834" t="str">
        <f t="shared" si="431"/>
        <v>|||</v>
      </c>
      <c r="H11224" s="835">
        <f t="shared" si="432"/>
        <v>31</v>
      </c>
      <c r="AF11224" s="831" t="s">
        <v>11883</v>
      </c>
      <c r="AG11224" s="831" t="s">
        <v>2674</v>
      </c>
      <c r="AH11224" s="831" t="s">
        <v>6602</v>
      </c>
      <c r="AI11224" s="831">
        <v>0</v>
      </c>
      <c r="AJ11224" s="835">
        <v>42035</v>
      </c>
      <c r="AK11224" s="831">
        <v>3451938</v>
      </c>
    </row>
    <row r="11225" spans="2:37">
      <c r="B11225" s="834" t="str">
        <f t="shared" si="431"/>
        <v>|||</v>
      </c>
      <c r="H11225" s="835">
        <f t="shared" si="432"/>
        <v>31</v>
      </c>
      <c r="AF11225" s="831" t="s">
        <v>11884</v>
      </c>
      <c r="AG11225" s="831" t="s">
        <v>2674</v>
      </c>
      <c r="AH11225" s="831" t="s">
        <v>650</v>
      </c>
      <c r="AI11225" s="831">
        <v>0</v>
      </c>
      <c r="AJ11225" s="835">
        <v>42035</v>
      </c>
      <c r="AK11225" s="831">
        <v>300938254.074615</v>
      </c>
    </row>
    <row r="11226" spans="2:37">
      <c r="B11226" s="834" t="str">
        <f t="shared" si="431"/>
        <v>|||</v>
      </c>
      <c r="H11226" s="835">
        <f t="shared" si="432"/>
        <v>31</v>
      </c>
      <c r="AF11226" s="831" t="s">
        <v>11885</v>
      </c>
      <c r="AG11226" s="831" t="s">
        <v>2674</v>
      </c>
      <c r="AH11226" s="831" t="s">
        <v>655</v>
      </c>
      <c r="AI11226" s="831">
        <v>0</v>
      </c>
      <c r="AJ11226" s="835">
        <v>42035</v>
      </c>
      <c r="AK11226" s="831">
        <v>4403089</v>
      </c>
    </row>
    <row r="11227" spans="2:37">
      <c r="B11227" s="834" t="str">
        <f t="shared" si="431"/>
        <v>|||</v>
      </c>
      <c r="H11227" s="835">
        <f t="shared" si="432"/>
        <v>31</v>
      </c>
      <c r="AF11227" s="831" t="s">
        <v>11886</v>
      </c>
      <c r="AG11227" s="831" t="s">
        <v>2674</v>
      </c>
      <c r="AH11227" s="831" t="s">
        <v>546</v>
      </c>
      <c r="AI11227" s="831">
        <v>0</v>
      </c>
      <c r="AJ11227" s="835">
        <v>42063</v>
      </c>
      <c r="AK11227" s="831">
        <v>965858339</v>
      </c>
    </row>
    <row r="11228" spans="2:37">
      <c r="B11228" s="834" t="str">
        <f t="shared" si="431"/>
        <v>|||</v>
      </c>
      <c r="H11228" s="835">
        <f t="shared" si="432"/>
        <v>31</v>
      </c>
      <c r="AF11228" s="831" t="s">
        <v>11887</v>
      </c>
      <c r="AG11228" s="831" t="s">
        <v>2674</v>
      </c>
      <c r="AH11228" s="831" t="s">
        <v>370</v>
      </c>
      <c r="AI11228" s="831">
        <v>0</v>
      </c>
      <c r="AJ11228" s="835">
        <v>42063</v>
      </c>
      <c r="AK11228" s="831">
        <v>1253581727</v>
      </c>
    </row>
    <row r="11229" spans="2:37">
      <c r="B11229" s="834" t="str">
        <f t="shared" si="431"/>
        <v>|||</v>
      </c>
      <c r="H11229" s="835">
        <f t="shared" si="432"/>
        <v>31</v>
      </c>
      <c r="AF11229" s="831" t="s">
        <v>11888</v>
      </c>
      <c r="AG11229" s="831" t="s">
        <v>2674</v>
      </c>
      <c r="AH11229" s="831" t="s">
        <v>126</v>
      </c>
      <c r="AI11229" s="831">
        <v>0</v>
      </c>
      <c r="AJ11229" s="835">
        <v>42063</v>
      </c>
      <c r="AK11229" s="831">
        <v>143500530</v>
      </c>
    </row>
    <row r="11230" spans="2:37">
      <c r="B11230" s="834" t="str">
        <f t="shared" si="431"/>
        <v>|||</v>
      </c>
      <c r="H11230" s="835">
        <f t="shared" si="432"/>
        <v>31</v>
      </c>
      <c r="AF11230" s="831" t="s">
        <v>11889</v>
      </c>
      <c r="AG11230" s="831" t="s">
        <v>2674</v>
      </c>
      <c r="AH11230" s="831" t="s">
        <v>268</v>
      </c>
      <c r="AI11230" s="831">
        <v>0</v>
      </c>
      <c r="AJ11230" s="835">
        <v>42063</v>
      </c>
      <c r="AK11230" s="831">
        <v>-1907756</v>
      </c>
    </row>
    <row r="11231" spans="2:37">
      <c r="B11231" s="834" t="str">
        <f t="shared" si="431"/>
        <v>|||</v>
      </c>
      <c r="H11231" s="835">
        <f t="shared" si="432"/>
        <v>31</v>
      </c>
      <c r="AF11231" s="831" t="s">
        <v>11890</v>
      </c>
      <c r="AG11231" s="831" t="s">
        <v>2674</v>
      </c>
      <c r="AH11231" s="831" t="s">
        <v>547</v>
      </c>
      <c r="AI11231" s="831">
        <v>0</v>
      </c>
      <c r="AJ11231" s="835">
        <v>42063</v>
      </c>
      <c r="AK11231" s="831">
        <v>1044609243</v>
      </c>
    </row>
    <row r="11232" spans="2:37">
      <c r="B11232" s="834" t="str">
        <f t="shared" si="431"/>
        <v>|||</v>
      </c>
      <c r="H11232" s="835">
        <f t="shared" si="432"/>
        <v>31</v>
      </c>
      <c r="AF11232" s="831" t="s">
        <v>11891</v>
      </c>
      <c r="AG11232" s="831" t="s">
        <v>2674</v>
      </c>
      <c r="AH11232" s="831" t="s">
        <v>548</v>
      </c>
      <c r="AI11232" s="831">
        <v>0</v>
      </c>
      <c r="AJ11232" s="835">
        <v>42063</v>
      </c>
      <c r="AK11232" s="831">
        <v>148860224</v>
      </c>
    </row>
    <row r="11233" spans="2:37">
      <c r="B11233" s="834" t="str">
        <f t="shared" si="431"/>
        <v>|||</v>
      </c>
      <c r="H11233" s="835">
        <f t="shared" si="432"/>
        <v>31</v>
      </c>
      <c r="AF11233" s="831" t="s">
        <v>11892</v>
      </c>
      <c r="AG11233" s="831" t="s">
        <v>2674</v>
      </c>
      <c r="AH11233" s="831" t="s">
        <v>549</v>
      </c>
      <c r="AI11233" s="831">
        <v>0</v>
      </c>
      <c r="AJ11233" s="835">
        <v>42063</v>
      </c>
      <c r="AK11233" s="831">
        <v>652795035</v>
      </c>
    </row>
    <row r="11234" spans="2:37">
      <c r="B11234" s="834" t="str">
        <f t="shared" si="431"/>
        <v>|||</v>
      </c>
      <c r="H11234" s="835">
        <f t="shared" si="432"/>
        <v>31</v>
      </c>
      <c r="AF11234" s="831" t="s">
        <v>11893</v>
      </c>
      <c r="AG11234" s="831" t="s">
        <v>2674</v>
      </c>
      <c r="AH11234" s="831" t="s">
        <v>192</v>
      </c>
      <c r="AI11234" s="831">
        <v>0</v>
      </c>
      <c r="AJ11234" s="835">
        <v>42063</v>
      </c>
      <c r="AK11234" s="831">
        <v>-13765211</v>
      </c>
    </row>
    <row r="11235" spans="2:37">
      <c r="B11235" s="834" t="str">
        <f t="shared" si="431"/>
        <v>|||</v>
      </c>
      <c r="H11235" s="835">
        <f t="shared" si="432"/>
        <v>31</v>
      </c>
      <c r="AF11235" s="831" t="s">
        <v>11894</v>
      </c>
      <c r="AG11235" s="831" t="s">
        <v>2674</v>
      </c>
      <c r="AH11235" s="831" t="s">
        <v>558</v>
      </c>
      <c r="AI11235" s="831">
        <v>0</v>
      </c>
      <c r="AJ11235" s="835">
        <v>42063</v>
      </c>
      <c r="AK11235" s="831">
        <v>1110081197</v>
      </c>
    </row>
    <row r="11236" spans="2:37">
      <c r="B11236" s="834" t="str">
        <f t="shared" si="431"/>
        <v>|||</v>
      </c>
      <c r="H11236" s="835">
        <f t="shared" si="432"/>
        <v>31</v>
      </c>
      <c r="AF11236" s="831" t="s">
        <v>11895</v>
      </c>
      <c r="AG11236" s="831" t="s">
        <v>2674</v>
      </c>
      <c r="AH11236" s="831" t="s">
        <v>65</v>
      </c>
      <c r="AI11236" s="831">
        <v>0</v>
      </c>
      <c r="AJ11236" s="835">
        <v>42063</v>
      </c>
      <c r="AK11236" s="831">
        <v>31017741</v>
      </c>
    </row>
    <row r="11237" spans="2:37">
      <c r="B11237" s="834" t="str">
        <f t="shared" si="431"/>
        <v>|||</v>
      </c>
      <c r="H11237" s="835">
        <f t="shared" si="432"/>
        <v>31</v>
      </c>
      <c r="AF11237" s="831" t="s">
        <v>11896</v>
      </c>
      <c r="AG11237" s="831" t="s">
        <v>2674</v>
      </c>
      <c r="AH11237" s="831" t="s">
        <v>89</v>
      </c>
      <c r="AI11237" s="831">
        <v>0</v>
      </c>
      <c r="AJ11237" s="835">
        <v>42063</v>
      </c>
      <c r="AK11237" s="831">
        <v>157073</v>
      </c>
    </row>
    <row r="11238" spans="2:37">
      <c r="B11238" s="834" t="str">
        <f t="shared" si="431"/>
        <v>|||</v>
      </c>
      <c r="H11238" s="835">
        <f t="shared" si="432"/>
        <v>31</v>
      </c>
      <c r="AF11238" s="831" t="s">
        <v>11897</v>
      </c>
      <c r="AG11238" s="831" t="s">
        <v>2674</v>
      </c>
      <c r="AH11238" s="831" t="s">
        <v>557</v>
      </c>
      <c r="AI11238" s="831">
        <v>0</v>
      </c>
      <c r="AJ11238" s="835">
        <v>42063</v>
      </c>
      <c r="AK11238" s="831">
        <v>179494</v>
      </c>
    </row>
    <row r="11239" spans="2:37">
      <c r="B11239" s="834" t="str">
        <f t="shared" si="431"/>
        <v>|||</v>
      </c>
      <c r="H11239" s="835">
        <f t="shared" si="432"/>
        <v>31</v>
      </c>
      <c r="AF11239" s="831" t="s">
        <v>11898</v>
      </c>
      <c r="AG11239" s="831" t="s">
        <v>2674</v>
      </c>
      <c r="AH11239" s="831" t="s">
        <v>29</v>
      </c>
      <c r="AI11239" s="831">
        <v>0</v>
      </c>
      <c r="AJ11239" s="835">
        <v>42063</v>
      </c>
      <c r="AK11239" s="831">
        <v>8683621</v>
      </c>
    </row>
    <row r="11240" spans="2:37">
      <c r="B11240" s="834" t="str">
        <f t="shared" si="431"/>
        <v>|||</v>
      </c>
      <c r="H11240" s="835">
        <f t="shared" si="432"/>
        <v>31</v>
      </c>
      <c r="AF11240" s="831" t="s">
        <v>11899</v>
      </c>
      <c r="AG11240" s="831" t="s">
        <v>2674</v>
      </c>
      <c r="AH11240" s="831" t="s">
        <v>2688</v>
      </c>
      <c r="AI11240" s="831">
        <v>0</v>
      </c>
      <c r="AJ11240" s="835">
        <v>42063</v>
      </c>
      <c r="AK11240" s="831">
        <v>11508492</v>
      </c>
    </row>
    <row r="11241" spans="2:37">
      <c r="B11241" s="834" t="str">
        <f t="shared" si="431"/>
        <v>|||</v>
      </c>
      <c r="H11241" s="835">
        <f t="shared" si="432"/>
        <v>31</v>
      </c>
      <c r="AF11241" s="831" t="s">
        <v>11900</v>
      </c>
      <c r="AG11241" s="831" t="s">
        <v>2674</v>
      </c>
      <c r="AH11241" s="831" t="s">
        <v>556</v>
      </c>
      <c r="AI11241" s="831">
        <v>0</v>
      </c>
      <c r="AJ11241" s="835">
        <v>42063</v>
      </c>
      <c r="AK11241" s="831">
        <v>11412135</v>
      </c>
    </row>
    <row r="11242" spans="2:37">
      <c r="B11242" s="834" t="str">
        <f t="shared" si="431"/>
        <v>|||</v>
      </c>
      <c r="H11242" s="835">
        <f t="shared" si="432"/>
        <v>31</v>
      </c>
      <c r="AF11242" s="831" t="s">
        <v>11901</v>
      </c>
      <c r="AG11242" s="831" t="s">
        <v>2674</v>
      </c>
      <c r="AH11242" s="831" t="s">
        <v>555</v>
      </c>
      <c r="AI11242" s="831">
        <v>0</v>
      </c>
      <c r="AJ11242" s="835">
        <v>42063</v>
      </c>
      <c r="AK11242" s="831">
        <v>771141919</v>
      </c>
    </row>
    <row r="11243" spans="2:37">
      <c r="B11243" s="834" t="str">
        <f t="shared" si="431"/>
        <v>|||</v>
      </c>
      <c r="H11243" s="835">
        <f t="shared" si="432"/>
        <v>31</v>
      </c>
      <c r="AF11243" s="831" t="s">
        <v>11902</v>
      </c>
      <c r="AG11243" s="831" t="s">
        <v>2674</v>
      </c>
      <c r="AH11243" s="831" t="s">
        <v>554</v>
      </c>
      <c r="AI11243" s="831">
        <v>0</v>
      </c>
      <c r="AJ11243" s="835">
        <v>42063</v>
      </c>
      <c r="AK11243" s="831">
        <v>856164850</v>
      </c>
    </row>
    <row r="11244" spans="2:37">
      <c r="B11244" s="834" t="str">
        <f t="shared" si="431"/>
        <v>|||</v>
      </c>
      <c r="H11244" s="835">
        <f t="shared" si="432"/>
        <v>31</v>
      </c>
      <c r="AF11244" s="831" t="s">
        <v>11903</v>
      </c>
      <c r="AG11244" s="831" t="s">
        <v>2674</v>
      </c>
      <c r="AH11244" s="831" t="s">
        <v>553</v>
      </c>
      <c r="AI11244" s="831">
        <v>0</v>
      </c>
      <c r="AJ11244" s="835">
        <v>42063</v>
      </c>
      <c r="AK11244" s="831">
        <v>92382400</v>
      </c>
    </row>
    <row r="11245" spans="2:37">
      <c r="B11245" s="834" t="str">
        <f t="shared" si="431"/>
        <v>|||</v>
      </c>
      <c r="H11245" s="835">
        <f t="shared" si="432"/>
        <v>31</v>
      </c>
      <c r="AF11245" s="831" t="s">
        <v>11904</v>
      </c>
      <c r="AG11245" s="831" t="s">
        <v>2674</v>
      </c>
      <c r="AH11245" s="831" t="s">
        <v>552</v>
      </c>
      <c r="AI11245" s="831">
        <v>0</v>
      </c>
      <c r="AJ11245" s="835">
        <v>42063</v>
      </c>
      <c r="AK11245" s="831">
        <v>0</v>
      </c>
    </row>
    <row r="11246" spans="2:37">
      <c r="B11246" s="834" t="str">
        <f t="shared" si="431"/>
        <v>|||</v>
      </c>
      <c r="H11246" s="835">
        <f t="shared" si="432"/>
        <v>31</v>
      </c>
      <c r="AF11246" s="831" t="s">
        <v>11905</v>
      </c>
      <c r="AG11246" s="831" t="s">
        <v>2674</v>
      </c>
      <c r="AH11246" s="831" t="s">
        <v>551</v>
      </c>
      <c r="AI11246" s="831">
        <v>0</v>
      </c>
      <c r="AJ11246" s="835">
        <v>42063</v>
      </c>
      <c r="AK11246" s="831">
        <v>7487687</v>
      </c>
    </row>
    <row r="11247" spans="2:37">
      <c r="B11247" s="834" t="str">
        <f t="shared" si="431"/>
        <v>|||</v>
      </c>
      <c r="H11247" s="835">
        <f t="shared" si="432"/>
        <v>31</v>
      </c>
      <c r="AF11247" s="831" t="s">
        <v>11906</v>
      </c>
      <c r="AG11247" s="831" t="s">
        <v>2674</v>
      </c>
      <c r="AH11247" s="831" t="s">
        <v>550</v>
      </c>
      <c r="AI11247" s="831">
        <v>0</v>
      </c>
      <c r="AJ11247" s="835">
        <v>42063</v>
      </c>
      <c r="AK11247" s="831">
        <v>148860224</v>
      </c>
    </row>
    <row r="11248" spans="2:37">
      <c r="B11248" s="834" t="str">
        <f t="shared" si="431"/>
        <v>|||</v>
      </c>
      <c r="H11248" s="835">
        <f t="shared" si="432"/>
        <v>31</v>
      </c>
      <c r="AF11248" s="831" t="s">
        <v>11907</v>
      </c>
      <c r="AG11248" s="831" t="s">
        <v>2674</v>
      </c>
      <c r="AH11248" s="831" t="s">
        <v>562</v>
      </c>
      <c r="AI11248" s="831">
        <v>0</v>
      </c>
      <c r="AJ11248" s="835">
        <v>42063</v>
      </c>
      <c r="AK11248" s="831">
        <v>1.04575</v>
      </c>
    </row>
    <row r="11249" spans="2:37">
      <c r="B11249" s="834" t="str">
        <f t="shared" si="431"/>
        <v>|||</v>
      </c>
      <c r="H11249" s="835">
        <f t="shared" si="432"/>
        <v>31</v>
      </c>
      <c r="AF11249" s="831" t="s">
        <v>11908</v>
      </c>
      <c r="AG11249" s="831" t="s">
        <v>2674</v>
      </c>
      <c r="AH11249" s="831" t="s">
        <v>2698</v>
      </c>
      <c r="AI11249" s="831">
        <v>0</v>
      </c>
      <c r="AJ11249" s="835">
        <v>42063</v>
      </c>
      <c r="AK11249" s="831">
        <v>0.78439999999999999</v>
      </c>
    </row>
    <row r="11250" spans="2:37">
      <c r="B11250" s="834" t="str">
        <f t="shared" si="431"/>
        <v>|||</v>
      </c>
      <c r="H11250" s="835">
        <f t="shared" si="432"/>
        <v>31</v>
      </c>
      <c r="AF11250" s="831" t="s">
        <v>11909</v>
      </c>
      <c r="AG11250" s="831" t="s">
        <v>2674</v>
      </c>
      <c r="AH11250" s="831" t="s">
        <v>560</v>
      </c>
      <c r="AI11250" s="831">
        <v>0</v>
      </c>
      <c r="AJ11250" s="835">
        <v>42063</v>
      </c>
      <c r="AK11250" s="831">
        <v>0.91507499999999997</v>
      </c>
    </row>
    <row r="11251" spans="2:37">
      <c r="B11251" s="834" t="str">
        <f t="shared" si="431"/>
        <v>|||</v>
      </c>
      <c r="H11251" s="835">
        <f t="shared" si="432"/>
        <v>31</v>
      </c>
      <c r="AF11251" s="831" t="s">
        <v>11910</v>
      </c>
      <c r="AG11251" s="831" t="s">
        <v>2674</v>
      </c>
      <c r="AH11251" s="831" t="s">
        <v>559</v>
      </c>
      <c r="AI11251" s="831">
        <v>0</v>
      </c>
      <c r="AJ11251" s="835">
        <v>42063</v>
      </c>
      <c r="AK11251" s="831">
        <v>0.80552083333333302</v>
      </c>
    </row>
    <row r="11252" spans="2:37">
      <c r="B11252" s="834" t="str">
        <f t="shared" si="431"/>
        <v>|||</v>
      </c>
      <c r="H11252" s="835">
        <f t="shared" si="432"/>
        <v>31</v>
      </c>
      <c r="AF11252" s="831" t="s">
        <v>11911</v>
      </c>
      <c r="AG11252" s="831" t="s">
        <v>2674</v>
      </c>
      <c r="AH11252" s="831" t="s">
        <v>568</v>
      </c>
      <c r="AI11252" s="831">
        <v>0</v>
      </c>
      <c r="AJ11252" s="835">
        <v>42063</v>
      </c>
      <c r="AK11252" s="831">
        <v>764746840.38461494</v>
      </c>
    </row>
    <row r="11253" spans="2:37">
      <c r="B11253" s="834" t="str">
        <f t="shared" si="431"/>
        <v>|||</v>
      </c>
      <c r="H11253" s="835">
        <f t="shared" si="432"/>
        <v>31</v>
      </c>
      <c r="AF11253" s="831" t="s">
        <v>11912</v>
      </c>
      <c r="AG11253" s="831" t="s">
        <v>2674</v>
      </c>
      <c r="AH11253" s="831" t="s">
        <v>569</v>
      </c>
      <c r="AI11253" s="831">
        <v>0</v>
      </c>
      <c r="AJ11253" s="835">
        <v>42063</v>
      </c>
      <c r="AK11253" s="831">
        <v>956157596</v>
      </c>
    </row>
    <row r="11254" spans="2:37">
      <c r="B11254" s="834" t="str">
        <f t="shared" si="431"/>
        <v>|||</v>
      </c>
      <c r="H11254" s="835">
        <f t="shared" si="432"/>
        <v>31</v>
      </c>
      <c r="AF11254" s="831" t="s">
        <v>11913</v>
      </c>
      <c r="AG11254" s="831" t="s">
        <v>2674</v>
      </c>
      <c r="AH11254" s="831" t="s">
        <v>570</v>
      </c>
      <c r="AI11254" s="831">
        <v>0</v>
      </c>
      <c r="AJ11254" s="835">
        <v>42063</v>
      </c>
      <c r="AK11254" s="831">
        <v>138839504.15615401</v>
      </c>
    </row>
    <row r="11255" spans="2:37">
      <c r="B11255" s="834" t="str">
        <f t="shared" si="431"/>
        <v>|||</v>
      </c>
      <c r="H11255" s="835">
        <f t="shared" si="432"/>
        <v>31</v>
      </c>
      <c r="AF11255" s="831" t="s">
        <v>11914</v>
      </c>
      <c r="AG11255" s="831" t="s">
        <v>2674</v>
      </c>
      <c r="AH11255" s="831" t="s">
        <v>571</v>
      </c>
      <c r="AI11255" s="831">
        <v>0</v>
      </c>
      <c r="AJ11255" s="835">
        <v>42063</v>
      </c>
      <c r="AK11255" s="831">
        <v>482774872.10900003</v>
      </c>
    </row>
    <row r="11256" spans="2:37">
      <c r="B11256" s="834" t="str">
        <f t="shared" si="431"/>
        <v>|||</v>
      </c>
      <c r="H11256" s="835">
        <f t="shared" si="432"/>
        <v>31</v>
      </c>
      <c r="AF11256" s="831" t="s">
        <v>11915</v>
      </c>
      <c r="AG11256" s="831" t="s">
        <v>2674</v>
      </c>
      <c r="AH11256" s="831" t="s">
        <v>573</v>
      </c>
      <c r="AI11256" s="831">
        <v>0</v>
      </c>
      <c r="AJ11256" s="835">
        <v>42063</v>
      </c>
      <c r="AK11256" s="831">
        <v>1113466990</v>
      </c>
    </row>
    <row r="11257" spans="2:37">
      <c r="B11257" s="834" t="str">
        <f t="shared" si="431"/>
        <v>|||</v>
      </c>
      <c r="H11257" s="835">
        <f t="shared" si="432"/>
        <v>31</v>
      </c>
      <c r="AF11257" s="831" t="s">
        <v>11916</v>
      </c>
      <c r="AG11257" s="831" t="s">
        <v>2674</v>
      </c>
      <c r="AH11257" s="831" t="s">
        <v>574</v>
      </c>
      <c r="AI11257" s="831">
        <v>0</v>
      </c>
      <c r="AJ11257" s="835">
        <v>42063</v>
      </c>
      <c r="AK11257" s="831">
        <v>874843882.66666698</v>
      </c>
    </row>
    <row r="11258" spans="2:37">
      <c r="B11258" s="834" t="str">
        <f t="shared" si="431"/>
        <v>|||</v>
      </c>
      <c r="H11258" s="835">
        <f t="shared" si="432"/>
        <v>31</v>
      </c>
      <c r="AF11258" s="831" t="s">
        <v>11917</v>
      </c>
      <c r="AG11258" s="831" t="s">
        <v>2674</v>
      </c>
      <c r="AH11258" s="831" t="s">
        <v>575</v>
      </c>
      <c r="AI11258" s="831">
        <v>0</v>
      </c>
      <c r="AJ11258" s="835">
        <v>42063</v>
      </c>
      <c r="AK11258" s="831">
        <v>145923251.33333299</v>
      </c>
    </row>
    <row r="11259" spans="2:37">
      <c r="B11259" s="834" t="str">
        <f t="shared" si="431"/>
        <v>|||</v>
      </c>
      <c r="H11259" s="835">
        <f t="shared" si="432"/>
        <v>31</v>
      </c>
      <c r="AF11259" s="831" t="s">
        <v>11918</v>
      </c>
      <c r="AG11259" s="831" t="s">
        <v>2674</v>
      </c>
      <c r="AH11259" s="831" t="s">
        <v>576</v>
      </c>
      <c r="AI11259" s="831">
        <v>0</v>
      </c>
      <c r="AJ11259" s="835">
        <v>42063</v>
      </c>
      <c r="AK11259" s="831">
        <v>595110401.33333302</v>
      </c>
    </row>
    <row r="11260" spans="2:37">
      <c r="B11260" s="834" t="str">
        <f t="shared" si="431"/>
        <v>|||</v>
      </c>
      <c r="H11260" s="835">
        <f t="shared" si="432"/>
        <v>31</v>
      </c>
      <c r="AF11260" s="831" t="s">
        <v>11919</v>
      </c>
      <c r="AG11260" s="831" t="s">
        <v>2674</v>
      </c>
      <c r="AH11260" s="831" t="s">
        <v>572</v>
      </c>
      <c r="AI11260" s="831">
        <v>0</v>
      </c>
      <c r="AJ11260" s="835">
        <v>42063</v>
      </c>
      <c r="AK11260" s="831">
        <v>33261949</v>
      </c>
    </row>
    <row r="11261" spans="2:37">
      <c r="B11261" s="834" t="str">
        <f t="shared" si="431"/>
        <v>|||</v>
      </c>
      <c r="H11261" s="835">
        <f t="shared" si="432"/>
        <v>31</v>
      </c>
      <c r="AF11261" s="831" t="s">
        <v>11920</v>
      </c>
      <c r="AG11261" s="831" t="s">
        <v>2674</v>
      </c>
      <c r="AH11261" s="831" t="s">
        <v>577</v>
      </c>
      <c r="AI11261" s="831">
        <v>0</v>
      </c>
      <c r="AJ11261" s="835">
        <v>42063</v>
      </c>
      <c r="AK11261" s="831">
        <v>173134660</v>
      </c>
    </row>
    <row r="11262" spans="2:37">
      <c r="B11262" s="834" t="str">
        <f t="shared" si="431"/>
        <v>|||</v>
      </c>
      <c r="H11262" s="835">
        <f t="shared" si="432"/>
        <v>31</v>
      </c>
      <c r="AF11262" s="831" t="s">
        <v>11921</v>
      </c>
      <c r="AG11262" s="831" t="s">
        <v>2674</v>
      </c>
      <c r="AH11262" s="831" t="s">
        <v>3042</v>
      </c>
      <c r="AI11262" s="831">
        <v>0</v>
      </c>
      <c r="AJ11262" s="835">
        <v>42063</v>
      </c>
      <c r="AK11262" s="831">
        <v>-53542458</v>
      </c>
    </row>
    <row r="11263" spans="2:37">
      <c r="B11263" s="834" t="str">
        <f t="shared" si="431"/>
        <v>|||</v>
      </c>
      <c r="H11263" s="835">
        <f t="shared" si="432"/>
        <v>31</v>
      </c>
      <c r="AF11263" s="831" t="s">
        <v>11922</v>
      </c>
      <c r="AG11263" s="831" t="s">
        <v>2674</v>
      </c>
      <c r="AH11263" s="831" t="s">
        <v>3044</v>
      </c>
      <c r="AI11263" s="831">
        <v>0</v>
      </c>
      <c r="AJ11263" s="835">
        <v>42063</v>
      </c>
      <c r="AK11263" s="831">
        <v>-787106</v>
      </c>
    </row>
    <row r="11264" spans="2:37">
      <c r="B11264" s="834" t="str">
        <f t="shared" si="431"/>
        <v>|||</v>
      </c>
      <c r="H11264" s="835">
        <f t="shared" si="432"/>
        <v>31</v>
      </c>
      <c r="AF11264" s="831" t="s">
        <v>11923</v>
      </c>
      <c r="AG11264" s="831" t="s">
        <v>2674</v>
      </c>
      <c r="AH11264" s="831" t="s">
        <v>580</v>
      </c>
      <c r="AI11264" s="831">
        <v>0</v>
      </c>
      <c r="AJ11264" s="835">
        <v>42063</v>
      </c>
      <c r="AK11264" s="831">
        <v>-82473719</v>
      </c>
    </row>
    <row r="11265" spans="2:37">
      <c r="B11265" s="834" t="str">
        <f t="shared" si="431"/>
        <v>|||</v>
      </c>
      <c r="H11265" s="835">
        <f t="shared" si="432"/>
        <v>31</v>
      </c>
      <c r="AF11265" s="831" t="s">
        <v>11924</v>
      </c>
      <c r="AG11265" s="831" t="s">
        <v>2674</v>
      </c>
      <c r="AH11265" s="831" t="s">
        <v>581</v>
      </c>
      <c r="AI11265" s="831">
        <v>0</v>
      </c>
      <c r="AJ11265" s="835">
        <v>42063</v>
      </c>
      <c r="AK11265" s="831">
        <v>11169610</v>
      </c>
    </row>
    <row r="11266" spans="2:37">
      <c r="B11266" s="834" t="str">
        <f t="shared" si="431"/>
        <v>|||</v>
      </c>
      <c r="H11266" s="835">
        <f t="shared" si="432"/>
        <v>31</v>
      </c>
      <c r="AF11266" s="831" t="s">
        <v>11925</v>
      </c>
      <c r="AG11266" s="831" t="s">
        <v>2674</v>
      </c>
      <c r="AH11266" s="831" t="s">
        <v>105</v>
      </c>
      <c r="AI11266" s="831">
        <v>0</v>
      </c>
      <c r="AJ11266" s="835">
        <v>42063</v>
      </c>
      <c r="AK11266" s="831">
        <v>714800530</v>
      </c>
    </row>
    <row r="11267" spans="2:37">
      <c r="B11267" s="834" t="str">
        <f t="shared" si="431"/>
        <v>|||</v>
      </c>
      <c r="H11267" s="835">
        <f t="shared" si="432"/>
        <v>31</v>
      </c>
      <c r="AF11267" s="831" t="s">
        <v>11926</v>
      </c>
      <c r="AG11267" s="831" t="s">
        <v>2674</v>
      </c>
      <c r="AH11267" s="831" t="s">
        <v>3049</v>
      </c>
      <c r="AI11267" s="831">
        <v>0</v>
      </c>
      <c r="AJ11267" s="835">
        <v>42063</v>
      </c>
      <c r="AK11267" s="831">
        <v>1078776977</v>
      </c>
    </row>
    <row r="11268" spans="2:37">
      <c r="B11268" s="834" t="str">
        <f t="shared" si="431"/>
        <v>|||</v>
      </c>
      <c r="H11268" s="835">
        <f t="shared" si="432"/>
        <v>31</v>
      </c>
      <c r="AF11268" s="831" t="s">
        <v>11927</v>
      </c>
      <c r="AG11268" s="831" t="s">
        <v>2674</v>
      </c>
      <c r="AH11268" s="831" t="s">
        <v>103</v>
      </c>
      <c r="AI11268" s="831">
        <v>0</v>
      </c>
      <c r="AJ11268" s="835">
        <v>42063</v>
      </c>
      <c r="AK11268" s="831">
        <v>363976447</v>
      </c>
    </row>
    <row r="11269" spans="2:37">
      <c r="B11269" s="834" t="str">
        <f t="shared" si="431"/>
        <v>|||</v>
      </c>
      <c r="H11269" s="835">
        <f t="shared" si="432"/>
        <v>31</v>
      </c>
      <c r="AF11269" s="831" t="s">
        <v>11928</v>
      </c>
      <c r="AG11269" s="831" t="s">
        <v>2674</v>
      </c>
      <c r="AH11269" s="831" t="s">
        <v>182</v>
      </c>
      <c r="AI11269" s="831">
        <v>0</v>
      </c>
      <c r="AJ11269" s="835">
        <v>42063</v>
      </c>
      <c r="AK11269" s="831">
        <v>91149096</v>
      </c>
    </row>
    <row r="11270" spans="2:37">
      <c r="B11270" s="834" t="str">
        <f t="shared" si="431"/>
        <v>|||</v>
      </c>
      <c r="H11270" s="835">
        <f t="shared" si="432"/>
        <v>31</v>
      </c>
      <c r="AF11270" s="831" t="s">
        <v>11929</v>
      </c>
      <c r="AG11270" s="831" t="s">
        <v>2674</v>
      </c>
      <c r="AH11270" s="831" t="s">
        <v>6600</v>
      </c>
      <c r="AI11270" s="831">
        <v>0</v>
      </c>
      <c r="AJ11270" s="835">
        <v>42063</v>
      </c>
      <c r="AK11270" s="831">
        <v>33261949</v>
      </c>
    </row>
    <row r="11271" spans="2:37">
      <c r="B11271" s="834" t="str">
        <f t="shared" si="431"/>
        <v>|||</v>
      </c>
      <c r="H11271" s="835">
        <f t="shared" si="432"/>
        <v>31</v>
      </c>
      <c r="AF11271" s="831" t="s">
        <v>11930</v>
      </c>
      <c r="AG11271" s="831" t="s">
        <v>2674</v>
      </c>
      <c r="AH11271" s="831" t="s">
        <v>6602</v>
      </c>
      <c r="AI11271" s="831">
        <v>0</v>
      </c>
      <c r="AJ11271" s="835">
        <v>42063</v>
      </c>
      <c r="AK11271" s="831">
        <v>-1907756</v>
      </c>
    </row>
    <row r="11272" spans="2:37">
      <c r="B11272" s="834" t="str">
        <f t="shared" si="431"/>
        <v>|||</v>
      </c>
      <c r="H11272" s="835">
        <f t="shared" si="432"/>
        <v>31</v>
      </c>
      <c r="AF11272" s="831" t="s">
        <v>11931</v>
      </c>
      <c r="AG11272" s="831" t="s">
        <v>2674</v>
      </c>
      <c r="AH11272" s="831" t="s">
        <v>650</v>
      </c>
      <c r="AI11272" s="831">
        <v>0</v>
      </c>
      <c r="AJ11272" s="835">
        <v>42063</v>
      </c>
      <c r="AK11272" s="831">
        <v>309129053.26307702</v>
      </c>
    </row>
    <row r="11273" spans="2:37">
      <c r="B11273" s="834" t="str">
        <f t="shared" si="431"/>
        <v>|||</v>
      </c>
      <c r="H11273" s="835">
        <f t="shared" si="432"/>
        <v>31</v>
      </c>
      <c r="AF11273" s="831" t="s">
        <v>11932</v>
      </c>
      <c r="AG11273" s="831" t="s">
        <v>2674</v>
      </c>
      <c r="AH11273" s="831" t="s">
        <v>655</v>
      </c>
      <c r="AI11273" s="831">
        <v>0</v>
      </c>
      <c r="AJ11273" s="835">
        <v>42063</v>
      </c>
      <c r="AK11273" s="831">
        <v>7002831</v>
      </c>
    </row>
    <row r="11274" spans="2:37">
      <c r="B11274" s="834" t="str">
        <f t="shared" si="431"/>
        <v>|||</v>
      </c>
      <c r="H11274" s="835">
        <f t="shared" si="432"/>
        <v>31</v>
      </c>
      <c r="AF11274" s="831" t="s">
        <v>11933</v>
      </c>
      <c r="AG11274" s="831" t="s">
        <v>2674</v>
      </c>
      <c r="AH11274" s="831" t="s">
        <v>546</v>
      </c>
      <c r="AI11274" s="831">
        <v>0</v>
      </c>
      <c r="AJ11274" s="835">
        <v>42094</v>
      </c>
      <c r="AK11274" s="831">
        <v>925259190</v>
      </c>
    </row>
    <row r="11275" spans="2:37">
      <c r="B11275" s="834" t="str">
        <f t="shared" si="431"/>
        <v>|||</v>
      </c>
      <c r="H11275" s="835">
        <f t="shared" si="432"/>
        <v>31</v>
      </c>
      <c r="AF11275" s="831" t="s">
        <v>11934</v>
      </c>
      <c r="AG11275" s="831" t="s">
        <v>2674</v>
      </c>
      <c r="AH11275" s="831" t="s">
        <v>370</v>
      </c>
      <c r="AI11275" s="831">
        <v>0</v>
      </c>
      <c r="AJ11275" s="835">
        <v>42094</v>
      </c>
      <c r="AK11275" s="831">
        <v>1161484479</v>
      </c>
    </row>
    <row r="11276" spans="2:37">
      <c r="B11276" s="834" t="str">
        <f t="shared" si="431"/>
        <v>|||</v>
      </c>
      <c r="H11276" s="835">
        <f t="shared" si="432"/>
        <v>31</v>
      </c>
      <c r="AF11276" s="831" t="s">
        <v>11935</v>
      </c>
      <c r="AG11276" s="831" t="s">
        <v>2674</v>
      </c>
      <c r="AH11276" s="831" t="s">
        <v>126</v>
      </c>
      <c r="AI11276" s="831">
        <v>0</v>
      </c>
      <c r="AJ11276" s="835">
        <v>42094</v>
      </c>
      <c r="AK11276" s="831">
        <v>147807134</v>
      </c>
    </row>
    <row r="11277" spans="2:37">
      <c r="B11277" s="834" t="str">
        <f t="shared" si="431"/>
        <v>|||</v>
      </c>
      <c r="H11277" s="835">
        <f t="shared" si="432"/>
        <v>31</v>
      </c>
      <c r="AF11277" s="831" t="s">
        <v>11936</v>
      </c>
      <c r="AG11277" s="831" t="s">
        <v>2674</v>
      </c>
      <c r="AH11277" s="831" t="s">
        <v>268</v>
      </c>
      <c r="AI11277" s="831">
        <v>0</v>
      </c>
      <c r="AJ11277" s="835">
        <v>42094</v>
      </c>
      <c r="AK11277" s="831">
        <v>2398849</v>
      </c>
    </row>
    <row r="11278" spans="2:37">
      <c r="B11278" s="834" t="str">
        <f t="shared" si="431"/>
        <v>|||</v>
      </c>
      <c r="H11278" s="835">
        <f t="shared" si="432"/>
        <v>31</v>
      </c>
      <c r="AF11278" s="831" t="s">
        <v>11937</v>
      </c>
      <c r="AG11278" s="831" t="s">
        <v>2674</v>
      </c>
      <c r="AH11278" s="831" t="s">
        <v>547</v>
      </c>
      <c r="AI11278" s="831">
        <v>0</v>
      </c>
      <c r="AJ11278" s="835">
        <v>42094</v>
      </c>
      <c r="AK11278" s="831">
        <v>1044609243</v>
      </c>
    </row>
    <row r="11279" spans="2:37">
      <c r="B11279" s="834" t="str">
        <f t="shared" si="431"/>
        <v>|||</v>
      </c>
      <c r="H11279" s="835">
        <f t="shared" si="432"/>
        <v>31</v>
      </c>
      <c r="AF11279" s="831" t="s">
        <v>11938</v>
      </c>
      <c r="AG11279" s="831" t="s">
        <v>2674</v>
      </c>
      <c r="AH11279" s="831" t="s">
        <v>548</v>
      </c>
      <c r="AI11279" s="831">
        <v>0</v>
      </c>
      <c r="AJ11279" s="835">
        <v>42094</v>
      </c>
      <c r="AK11279" s="831">
        <v>148860224</v>
      </c>
    </row>
    <row r="11280" spans="2:37">
      <c r="B11280" s="834" t="str">
        <f t="shared" si="431"/>
        <v>|||</v>
      </c>
      <c r="H11280" s="835">
        <f t="shared" si="432"/>
        <v>31</v>
      </c>
      <c r="AF11280" s="831" t="s">
        <v>11939</v>
      </c>
      <c r="AG11280" s="831" t="s">
        <v>2674</v>
      </c>
      <c r="AH11280" s="831" t="s">
        <v>549</v>
      </c>
      <c r="AI11280" s="831">
        <v>0</v>
      </c>
      <c r="AJ11280" s="835">
        <v>42094</v>
      </c>
      <c r="AK11280" s="831">
        <v>664153787</v>
      </c>
    </row>
    <row r="11281" spans="2:37">
      <c r="B11281" s="834" t="str">
        <f t="shared" ref="B11281:B11344" si="433">C11281&amp;"|"&amp;D11281&amp;"|"&amp;E11281&amp;"|"&amp;F11281</f>
        <v>|||</v>
      </c>
      <c r="H11281" s="835">
        <f t="shared" ref="H11281:H11344" si="434">EOMONTH(L11281,0)</f>
        <v>31</v>
      </c>
      <c r="AF11281" s="831" t="s">
        <v>11940</v>
      </c>
      <c r="AG11281" s="831" t="s">
        <v>2674</v>
      </c>
      <c r="AH11281" s="831" t="s">
        <v>192</v>
      </c>
      <c r="AI11281" s="831">
        <v>0</v>
      </c>
      <c r="AJ11281" s="835">
        <v>42094</v>
      </c>
      <c r="AK11281" s="831">
        <v>-15332196</v>
      </c>
    </row>
    <row r="11282" spans="2:37">
      <c r="B11282" s="834" t="str">
        <f t="shared" si="433"/>
        <v>|||</v>
      </c>
      <c r="H11282" s="835">
        <f t="shared" si="434"/>
        <v>31</v>
      </c>
      <c r="AF11282" s="831" t="s">
        <v>11941</v>
      </c>
      <c r="AG11282" s="831" t="s">
        <v>2674</v>
      </c>
      <c r="AH11282" s="831" t="s">
        <v>558</v>
      </c>
      <c r="AI11282" s="831">
        <v>0</v>
      </c>
      <c r="AJ11282" s="835">
        <v>42094</v>
      </c>
      <c r="AK11282" s="831">
        <v>1013677345</v>
      </c>
    </row>
    <row r="11283" spans="2:37">
      <c r="B11283" s="834" t="str">
        <f t="shared" si="433"/>
        <v>|||</v>
      </c>
      <c r="H11283" s="835">
        <f t="shared" si="434"/>
        <v>31</v>
      </c>
      <c r="AF11283" s="831" t="s">
        <v>11942</v>
      </c>
      <c r="AG11283" s="831" t="s">
        <v>2674</v>
      </c>
      <c r="AH11283" s="831" t="s">
        <v>65</v>
      </c>
      <c r="AI11283" s="831">
        <v>0</v>
      </c>
      <c r="AJ11283" s="835">
        <v>42094</v>
      </c>
      <c r="AK11283" s="831">
        <v>48515498</v>
      </c>
    </row>
    <row r="11284" spans="2:37">
      <c r="B11284" s="834" t="str">
        <f t="shared" si="433"/>
        <v>|||</v>
      </c>
      <c r="H11284" s="835">
        <f t="shared" si="434"/>
        <v>31</v>
      </c>
      <c r="AF11284" s="831" t="s">
        <v>11943</v>
      </c>
      <c r="AG11284" s="831" t="s">
        <v>2674</v>
      </c>
      <c r="AH11284" s="831" t="s">
        <v>89</v>
      </c>
      <c r="AI11284" s="831">
        <v>0</v>
      </c>
      <c r="AJ11284" s="835">
        <v>42094</v>
      </c>
      <c r="AK11284" s="831">
        <v>153039</v>
      </c>
    </row>
    <row r="11285" spans="2:37">
      <c r="B11285" s="834" t="str">
        <f t="shared" si="433"/>
        <v>|||</v>
      </c>
      <c r="H11285" s="835">
        <f t="shared" si="434"/>
        <v>31</v>
      </c>
      <c r="AF11285" s="831" t="s">
        <v>11944</v>
      </c>
      <c r="AG11285" s="831" t="s">
        <v>2674</v>
      </c>
      <c r="AH11285" s="831" t="s">
        <v>557</v>
      </c>
      <c r="AI11285" s="831">
        <v>0</v>
      </c>
      <c r="AJ11285" s="835">
        <v>42094</v>
      </c>
      <c r="AK11285" s="831">
        <v>174874</v>
      </c>
    </row>
    <row r="11286" spans="2:37">
      <c r="B11286" s="834" t="str">
        <f t="shared" si="433"/>
        <v>|||</v>
      </c>
      <c r="H11286" s="835">
        <f t="shared" si="434"/>
        <v>31</v>
      </c>
      <c r="AF11286" s="831" t="s">
        <v>11945</v>
      </c>
      <c r="AG11286" s="831" t="s">
        <v>2674</v>
      </c>
      <c r="AH11286" s="831" t="s">
        <v>29</v>
      </c>
      <c r="AI11286" s="831">
        <v>0</v>
      </c>
      <c r="AJ11286" s="835">
        <v>42094</v>
      </c>
      <c r="AK11286" s="831">
        <v>10801248</v>
      </c>
    </row>
    <row r="11287" spans="2:37">
      <c r="B11287" s="834" t="str">
        <f t="shared" si="433"/>
        <v>|||</v>
      </c>
      <c r="H11287" s="835">
        <f t="shared" si="434"/>
        <v>31</v>
      </c>
      <c r="AF11287" s="831" t="s">
        <v>11946</v>
      </c>
      <c r="AG11287" s="831" t="s">
        <v>2674</v>
      </c>
      <c r="AH11287" s="831" t="s">
        <v>2688</v>
      </c>
      <c r="AI11287" s="831">
        <v>0</v>
      </c>
      <c r="AJ11287" s="835">
        <v>42094</v>
      </c>
      <c r="AK11287" s="831">
        <v>88178967</v>
      </c>
    </row>
    <row r="11288" spans="2:37">
      <c r="B11288" s="834" t="str">
        <f t="shared" si="433"/>
        <v>|||</v>
      </c>
      <c r="H11288" s="835">
        <f t="shared" si="434"/>
        <v>31</v>
      </c>
      <c r="AF11288" s="831" t="s">
        <v>11947</v>
      </c>
      <c r="AG11288" s="831" t="s">
        <v>2674</v>
      </c>
      <c r="AH11288" s="831" t="s">
        <v>556</v>
      </c>
      <c r="AI11288" s="831">
        <v>0</v>
      </c>
      <c r="AJ11288" s="835">
        <v>42094</v>
      </c>
      <c r="AK11288" s="831">
        <v>11412135</v>
      </c>
    </row>
    <row r="11289" spans="2:37">
      <c r="B11289" s="834" t="str">
        <f t="shared" si="433"/>
        <v>|||</v>
      </c>
      <c r="H11289" s="835">
        <f t="shared" si="434"/>
        <v>31</v>
      </c>
      <c r="AF11289" s="831" t="s">
        <v>11948</v>
      </c>
      <c r="AG11289" s="831" t="s">
        <v>2674</v>
      </c>
      <c r="AH11289" s="831" t="s">
        <v>555</v>
      </c>
      <c r="AI11289" s="831">
        <v>0</v>
      </c>
      <c r="AJ11289" s="835">
        <v>42094</v>
      </c>
      <c r="AK11289" s="831">
        <v>794294654</v>
      </c>
    </row>
    <row r="11290" spans="2:37">
      <c r="B11290" s="834" t="str">
        <f t="shared" si="433"/>
        <v>|||</v>
      </c>
      <c r="H11290" s="835">
        <f t="shared" si="434"/>
        <v>31</v>
      </c>
      <c r="AF11290" s="831" t="s">
        <v>11949</v>
      </c>
      <c r="AG11290" s="831" t="s">
        <v>2674</v>
      </c>
      <c r="AH11290" s="831" t="s">
        <v>554</v>
      </c>
      <c r="AI11290" s="831">
        <v>0</v>
      </c>
      <c r="AJ11290" s="835">
        <v>42094</v>
      </c>
      <c r="AK11290" s="831">
        <v>796448359</v>
      </c>
    </row>
    <row r="11291" spans="2:37">
      <c r="B11291" s="834" t="str">
        <f t="shared" si="433"/>
        <v>|||</v>
      </c>
      <c r="H11291" s="835">
        <f t="shared" si="434"/>
        <v>31</v>
      </c>
      <c r="AF11291" s="831" t="s">
        <v>11950</v>
      </c>
      <c r="AG11291" s="831" t="s">
        <v>2674</v>
      </c>
      <c r="AH11291" s="831" t="s">
        <v>553</v>
      </c>
      <c r="AI11291" s="831">
        <v>0</v>
      </c>
      <c r="AJ11291" s="835">
        <v>42094</v>
      </c>
      <c r="AK11291" s="831">
        <v>52425000</v>
      </c>
    </row>
    <row r="11292" spans="2:37">
      <c r="B11292" s="834" t="str">
        <f t="shared" si="433"/>
        <v>|||</v>
      </c>
      <c r="H11292" s="835">
        <f t="shared" si="434"/>
        <v>31</v>
      </c>
      <c r="AF11292" s="831" t="s">
        <v>11951</v>
      </c>
      <c r="AG11292" s="831" t="s">
        <v>2674</v>
      </c>
      <c r="AH11292" s="831" t="s">
        <v>552</v>
      </c>
      <c r="AI11292" s="831">
        <v>0</v>
      </c>
      <c r="AJ11292" s="835">
        <v>42094</v>
      </c>
      <c r="AK11292" s="831">
        <v>0</v>
      </c>
    </row>
    <row r="11293" spans="2:37">
      <c r="B11293" s="834" t="str">
        <f t="shared" si="433"/>
        <v>|||</v>
      </c>
      <c r="H11293" s="835">
        <f t="shared" si="434"/>
        <v>31</v>
      </c>
      <c r="AF11293" s="831" t="s">
        <v>11952</v>
      </c>
      <c r="AG11293" s="831" t="s">
        <v>2674</v>
      </c>
      <c r="AH11293" s="831" t="s">
        <v>551</v>
      </c>
      <c r="AI11293" s="831">
        <v>0</v>
      </c>
      <c r="AJ11293" s="835">
        <v>42094</v>
      </c>
      <c r="AK11293" s="831">
        <v>8543411</v>
      </c>
    </row>
    <row r="11294" spans="2:37">
      <c r="B11294" s="834" t="str">
        <f t="shared" si="433"/>
        <v>|||</v>
      </c>
      <c r="H11294" s="835">
        <f t="shared" si="434"/>
        <v>31</v>
      </c>
      <c r="AF11294" s="831" t="s">
        <v>11953</v>
      </c>
      <c r="AG11294" s="831" t="s">
        <v>2674</v>
      </c>
      <c r="AH11294" s="831" t="s">
        <v>550</v>
      </c>
      <c r="AI11294" s="831">
        <v>0</v>
      </c>
      <c r="AJ11294" s="835">
        <v>42094</v>
      </c>
      <c r="AK11294" s="831">
        <v>143500530</v>
      </c>
    </row>
    <row r="11295" spans="2:37">
      <c r="B11295" s="834" t="str">
        <f t="shared" si="433"/>
        <v>|||</v>
      </c>
      <c r="H11295" s="835">
        <f t="shared" si="434"/>
        <v>31</v>
      </c>
      <c r="AF11295" s="831" t="s">
        <v>11954</v>
      </c>
      <c r="AG11295" s="831" t="s">
        <v>2674</v>
      </c>
      <c r="AH11295" s="831" t="s">
        <v>562</v>
      </c>
      <c r="AI11295" s="831">
        <v>0</v>
      </c>
      <c r="AJ11295" s="835">
        <v>42094</v>
      </c>
      <c r="AK11295" s="831">
        <v>1.0495000000000001</v>
      </c>
    </row>
    <row r="11296" spans="2:37">
      <c r="B11296" s="834" t="str">
        <f t="shared" si="433"/>
        <v>|||</v>
      </c>
      <c r="H11296" s="835">
        <f t="shared" si="434"/>
        <v>31</v>
      </c>
      <c r="AF11296" s="831" t="s">
        <v>11955</v>
      </c>
      <c r="AG11296" s="831" t="s">
        <v>2674</v>
      </c>
      <c r="AH11296" s="831" t="s">
        <v>2698</v>
      </c>
      <c r="AI11296" s="831">
        <v>0</v>
      </c>
      <c r="AJ11296" s="835">
        <v>42094</v>
      </c>
      <c r="AK11296" s="831">
        <v>1.04575</v>
      </c>
    </row>
    <row r="11297" spans="2:37">
      <c r="B11297" s="834" t="str">
        <f t="shared" si="433"/>
        <v>|||</v>
      </c>
      <c r="H11297" s="835">
        <f t="shared" si="434"/>
        <v>31</v>
      </c>
      <c r="AF11297" s="831" t="s">
        <v>11956</v>
      </c>
      <c r="AG11297" s="831" t="s">
        <v>2674</v>
      </c>
      <c r="AH11297" s="831" t="s">
        <v>560</v>
      </c>
      <c r="AI11297" s="831">
        <v>0</v>
      </c>
      <c r="AJ11297" s="835">
        <v>42094</v>
      </c>
      <c r="AK11297" s="831">
        <v>0.95988333333333298</v>
      </c>
    </row>
    <row r="11298" spans="2:37">
      <c r="B11298" s="834" t="str">
        <f t="shared" si="433"/>
        <v>|||</v>
      </c>
      <c r="H11298" s="835">
        <f t="shared" si="434"/>
        <v>31</v>
      </c>
      <c r="AF11298" s="831" t="s">
        <v>11957</v>
      </c>
      <c r="AG11298" s="831" t="s">
        <v>2674</v>
      </c>
      <c r="AH11298" s="831" t="s">
        <v>559</v>
      </c>
      <c r="AI11298" s="831">
        <v>0</v>
      </c>
      <c r="AJ11298" s="835">
        <v>42094</v>
      </c>
      <c r="AK11298" s="831">
        <v>0.82766666666666699</v>
      </c>
    </row>
    <row r="11299" spans="2:37">
      <c r="B11299" s="834" t="str">
        <f t="shared" si="433"/>
        <v>|||</v>
      </c>
      <c r="H11299" s="835">
        <f t="shared" si="434"/>
        <v>31</v>
      </c>
      <c r="AF11299" s="831" t="s">
        <v>11958</v>
      </c>
      <c r="AG11299" s="831" t="s">
        <v>2674</v>
      </c>
      <c r="AH11299" s="831" t="s">
        <v>568</v>
      </c>
      <c r="AI11299" s="831">
        <v>0</v>
      </c>
      <c r="AJ11299" s="835">
        <v>42094</v>
      </c>
      <c r="AK11299" s="831">
        <v>785705621.53846204</v>
      </c>
    </row>
    <row r="11300" spans="2:37">
      <c r="B11300" s="834" t="str">
        <f t="shared" si="433"/>
        <v>|||</v>
      </c>
      <c r="H11300" s="835">
        <f t="shared" si="434"/>
        <v>31</v>
      </c>
      <c r="AF11300" s="831" t="s">
        <v>11959</v>
      </c>
      <c r="AG11300" s="831" t="s">
        <v>2674</v>
      </c>
      <c r="AH11300" s="831" t="s">
        <v>569</v>
      </c>
      <c r="AI11300" s="831">
        <v>0</v>
      </c>
      <c r="AJ11300" s="835">
        <v>42094</v>
      </c>
      <c r="AK11300" s="831">
        <v>984393199.30769205</v>
      </c>
    </row>
    <row r="11301" spans="2:37">
      <c r="B11301" s="834" t="str">
        <f t="shared" si="433"/>
        <v>|||</v>
      </c>
      <c r="H11301" s="835">
        <f t="shared" si="434"/>
        <v>31</v>
      </c>
      <c r="AF11301" s="831" t="s">
        <v>11960</v>
      </c>
      <c r="AG11301" s="831" t="s">
        <v>2674</v>
      </c>
      <c r="AH11301" s="831" t="s">
        <v>570</v>
      </c>
      <c r="AI11301" s="831">
        <v>0</v>
      </c>
      <c r="AJ11301" s="835">
        <v>42094</v>
      </c>
      <c r="AK11301" s="831">
        <v>140931158.463846</v>
      </c>
    </row>
    <row r="11302" spans="2:37">
      <c r="B11302" s="834" t="str">
        <f t="shared" si="433"/>
        <v>|||</v>
      </c>
      <c r="H11302" s="835">
        <f t="shared" si="434"/>
        <v>31</v>
      </c>
      <c r="AF11302" s="831" t="s">
        <v>11961</v>
      </c>
      <c r="AG11302" s="831" t="s">
        <v>2674</v>
      </c>
      <c r="AH11302" s="831" t="s">
        <v>571</v>
      </c>
      <c r="AI11302" s="831">
        <v>0</v>
      </c>
      <c r="AJ11302" s="835">
        <v>42094</v>
      </c>
      <c r="AK11302" s="831">
        <v>502500066.26284599</v>
      </c>
    </row>
    <row r="11303" spans="2:37">
      <c r="B11303" s="834" t="str">
        <f t="shared" si="433"/>
        <v>|||</v>
      </c>
      <c r="H11303" s="835">
        <f t="shared" si="434"/>
        <v>31</v>
      </c>
      <c r="AF11303" s="831" t="s">
        <v>11962</v>
      </c>
      <c r="AG11303" s="831" t="s">
        <v>2674</v>
      </c>
      <c r="AH11303" s="831" t="s">
        <v>573</v>
      </c>
      <c r="AI11303" s="831">
        <v>0</v>
      </c>
      <c r="AJ11303" s="835">
        <v>42094</v>
      </c>
      <c r="AK11303" s="831">
        <v>1125471362.25</v>
      </c>
    </row>
    <row r="11304" spans="2:37">
      <c r="B11304" s="834" t="str">
        <f t="shared" si="433"/>
        <v>|||</v>
      </c>
      <c r="H11304" s="835">
        <f t="shared" si="434"/>
        <v>31</v>
      </c>
      <c r="AF11304" s="831" t="s">
        <v>11963</v>
      </c>
      <c r="AG11304" s="831" t="s">
        <v>2674</v>
      </c>
      <c r="AH11304" s="831" t="s">
        <v>574</v>
      </c>
      <c r="AI11304" s="831">
        <v>0</v>
      </c>
      <c r="AJ11304" s="835">
        <v>42094</v>
      </c>
      <c r="AK11304" s="831">
        <v>887447709.5</v>
      </c>
    </row>
    <row r="11305" spans="2:37">
      <c r="B11305" s="834" t="str">
        <f t="shared" si="433"/>
        <v>|||</v>
      </c>
      <c r="H11305" s="835">
        <f t="shared" si="434"/>
        <v>31</v>
      </c>
      <c r="AF11305" s="831" t="s">
        <v>11964</v>
      </c>
      <c r="AG11305" s="831" t="s">
        <v>2674</v>
      </c>
      <c r="AH11305" s="831" t="s">
        <v>575</v>
      </c>
      <c r="AI11305" s="831">
        <v>0</v>
      </c>
      <c r="AJ11305" s="835">
        <v>42094</v>
      </c>
      <c r="AK11305" s="831">
        <v>146394222</v>
      </c>
    </row>
    <row r="11306" spans="2:37">
      <c r="B11306" s="834" t="str">
        <f t="shared" si="433"/>
        <v>|||</v>
      </c>
      <c r="H11306" s="835">
        <f t="shared" si="434"/>
        <v>31</v>
      </c>
      <c r="AF11306" s="831" t="s">
        <v>11965</v>
      </c>
      <c r="AG11306" s="831" t="s">
        <v>2674</v>
      </c>
      <c r="AH11306" s="831" t="s">
        <v>576</v>
      </c>
      <c r="AI11306" s="831">
        <v>0</v>
      </c>
      <c r="AJ11306" s="835">
        <v>42094</v>
      </c>
      <c r="AK11306" s="831">
        <v>606715260</v>
      </c>
    </row>
    <row r="11307" spans="2:37">
      <c r="B11307" s="834" t="str">
        <f t="shared" si="433"/>
        <v>|||</v>
      </c>
      <c r="H11307" s="835">
        <f t="shared" si="434"/>
        <v>31</v>
      </c>
      <c r="AF11307" s="831" t="s">
        <v>11966</v>
      </c>
      <c r="AG11307" s="831" t="s">
        <v>2674</v>
      </c>
      <c r="AH11307" s="831" t="s">
        <v>572</v>
      </c>
      <c r="AI11307" s="831">
        <v>0</v>
      </c>
      <c r="AJ11307" s="835">
        <v>42094</v>
      </c>
      <c r="AK11307" s="831">
        <v>36560084</v>
      </c>
    </row>
    <row r="11308" spans="2:37">
      <c r="B11308" s="834" t="str">
        <f t="shared" si="433"/>
        <v>|||</v>
      </c>
      <c r="H11308" s="835">
        <f t="shared" si="434"/>
        <v>31</v>
      </c>
      <c r="AF11308" s="831" t="s">
        <v>11967</v>
      </c>
      <c r="AG11308" s="831" t="s">
        <v>2674</v>
      </c>
      <c r="AH11308" s="831" t="s">
        <v>577</v>
      </c>
      <c r="AI11308" s="831">
        <v>0</v>
      </c>
      <c r="AJ11308" s="835">
        <v>42094</v>
      </c>
      <c r="AK11308" s="831">
        <v>179877214</v>
      </c>
    </row>
    <row r="11309" spans="2:37">
      <c r="B11309" s="834" t="str">
        <f t="shared" si="433"/>
        <v>|||</v>
      </c>
      <c r="H11309" s="835">
        <f t="shared" si="434"/>
        <v>31</v>
      </c>
      <c r="AF11309" s="831" t="s">
        <v>11968</v>
      </c>
      <c r="AG11309" s="831" t="s">
        <v>2674</v>
      </c>
      <c r="AH11309" s="831" t="s">
        <v>3042</v>
      </c>
      <c r="AI11309" s="831">
        <v>0</v>
      </c>
      <c r="AJ11309" s="835">
        <v>42094</v>
      </c>
      <c r="AK11309" s="831">
        <v>-55010221</v>
      </c>
    </row>
    <row r="11310" spans="2:37">
      <c r="B11310" s="834" t="str">
        <f t="shared" si="433"/>
        <v>|||</v>
      </c>
      <c r="H11310" s="835">
        <f t="shared" si="434"/>
        <v>31</v>
      </c>
      <c r="AF11310" s="831" t="s">
        <v>11969</v>
      </c>
      <c r="AG11310" s="831" t="s">
        <v>2674</v>
      </c>
      <c r="AH11310" s="831" t="s">
        <v>3044</v>
      </c>
      <c r="AI11310" s="831">
        <v>0</v>
      </c>
      <c r="AJ11310" s="835">
        <v>42094</v>
      </c>
      <c r="AK11310" s="831">
        <v>-2080886</v>
      </c>
    </row>
    <row r="11311" spans="2:37">
      <c r="B11311" s="834" t="str">
        <f t="shared" si="433"/>
        <v>|||</v>
      </c>
      <c r="H11311" s="835">
        <f t="shared" si="434"/>
        <v>31</v>
      </c>
      <c r="AF11311" s="831" t="s">
        <v>11970</v>
      </c>
      <c r="AG11311" s="831" t="s">
        <v>2674</v>
      </c>
      <c r="AH11311" s="831" t="s">
        <v>580</v>
      </c>
      <c r="AI11311" s="831">
        <v>0</v>
      </c>
      <c r="AJ11311" s="835">
        <v>42094</v>
      </c>
      <c r="AK11311" s="831">
        <v>-82773578</v>
      </c>
    </row>
    <row r="11312" spans="2:37">
      <c r="B11312" s="834" t="str">
        <f t="shared" si="433"/>
        <v>|||</v>
      </c>
      <c r="H11312" s="835">
        <f t="shared" si="434"/>
        <v>31</v>
      </c>
      <c r="AF11312" s="831" t="s">
        <v>11971</v>
      </c>
      <c r="AG11312" s="831" t="s">
        <v>2674</v>
      </c>
      <c r="AH11312" s="831" t="s">
        <v>581</v>
      </c>
      <c r="AI11312" s="831">
        <v>0</v>
      </c>
      <c r="AJ11312" s="835">
        <v>42094</v>
      </c>
      <c r="AK11312" s="831">
        <v>10684351</v>
      </c>
    </row>
    <row r="11313" spans="2:37">
      <c r="B11313" s="834" t="str">
        <f t="shared" si="433"/>
        <v>|||</v>
      </c>
      <c r="H11313" s="835">
        <f t="shared" si="434"/>
        <v>31</v>
      </c>
      <c r="AF11313" s="831" t="s">
        <v>11972</v>
      </c>
      <c r="AG11313" s="831" t="s">
        <v>2674</v>
      </c>
      <c r="AH11313" s="831" t="s">
        <v>105</v>
      </c>
      <c r="AI11313" s="831">
        <v>0</v>
      </c>
      <c r="AJ11313" s="835">
        <v>42094</v>
      </c>
      <c r="AK11313" s="831">
        <v>641529836</v>
      </c>
    </row>
    <row r="11314" spans="2:37">
      <c r="B11314" s="834" t="str">
        <f t="shared" si="433"/>
        <v>|||</v>
      </c>
      <c r="H11314" s="835">
        <f t="shared" si="434"/>
        <v>31</v>
      </c>
      <c r="AF11314" s="831" t="s">
        <v>11973</v>
      </c>
      <c r="AG11314" s="831" t="s">
        <v>2674</v>
      </c>
      <c r="AH11314" s="831" t="s">
        <v>3049</v>
      </c>
      <c r="AI11314" s="831">
        <v>0</v>
      </c>
      <c r="AJ11314" s="835">
        <v>42094</v>
      </c>
      <c r="AK11314" s="831">
        <v>986480670</v>
      </c>
    </row>
    <row r="11315" spans="2:37">
      <c r="B11315" s="834" t="str">
        <f t="shared" si="433"/>
        <v>|||</v>
      </c>
      <c r="H11315" s="835">
        <f t="shared" si="434"/>
        <v>31</v>
      </c>
      <c r="AF11315" s="831" t="s">
        <v>11974</v>
      </c>
      <c r="AG11315" s="831" t="s">
        <v>2674</v>
      </c>
      <c r="AH11315" s="831" t="s">
        <v>103</v>
      </c>
      <c r="AI11315" s="831">
        <v>0</v>
      </c>
      <c r="AJ11315" s="835">
        <v>42094</v>
      </c>
      <c r="AK11315" s="831">
        <v>344950834</v>
      </c>
    </row>
    <row r="11316" spans="2:37">
      <c r="B11316" s="834" t="str">
        <f t="shared" si="433"/>
        <v>|||</v>
      </c>
      <c r="H11316" s="835">
        <f t="shared" si="434"/>
        <v>31</v>
      </c>
      <c r="AF11316" s="831" t="s">
        <v>11975</v>
      </c>
      <c r="AG11316" s="831" t="s">
        <v>2674</v>
      </c>
      <c r="AH11316" s="831" t="s">
        <v>182</v>
      </c>
      <c r="AI11316" s="831">
        <v>0</v>
      </c>
      <c r="AJ11316" s="835">
        <v>42094</v>
      </c>
      <c r="AK11316" s="831">
        <v>85077948</v>
      </c>
    </row>
    <row r="11317" spans="2:37">
      <c r="B11317" s="834" t="str">
        <f t="shared" si="433"/>
        <v>|||</v>
      </c>
      <c r="H11317" s="835">
        <f t="shared" si="434"/>
        <v>31</v>
      </c>
      <c r="AF11317" s="831" t="s">
        <v>11976</v>
      </c>
      <c r="AG11317" s="831" t="s">
        <v>2674</v>
      </c>
      <c r="AH11317" s="831" t="s">
        <v>6600</v>
      </c>
      <c r="AI11317" s="831">
        <v>0</v>
      </c>
      <c r="AJ11317" s="835">
        <v>42094</v>
      </c>
      <c r="AK11317" s="831">
        <v>36560084</v>
      </c>
    </row>
    <row r="11318" spans="2:37">
      <c r="B11318" s="834" t="str">
        <f t="shared" si="433"/>
        <v>|||</v>
      </c>
      <c r="H11318" s="835">
        <f t="shared" si="434"/>
        <v>31</v>
      </c>
      <c r="AF11318" s="831" t="s">
        <v>11977</v>
      </c>
      <c r="AG11318" s="831" t="s">
        <v>2674</v>
      </c>
      <c r="AH11318" s="831" t="s">
        <v>6602</v>
      </c>
      <c r="AI11318" s="831">
        <v>0</v>
      </c>
      <c r="AJ11318" s="835">
        <v>42094</v>
      </c>
      <c r="AK11318" s="831">
        <v>2398849</v>
      </c>
    </row>
    <row r="11319" spans="2:37">
      <c r="B11319" s="834" t="str">
        <f t="shared" si="433"/>
        <v>|||</v>
      </c>
      <c r="H11319" s="835">
        <f t="shared" si="434"/>
        <v>31</v>
      </c>
      <c r="AF11319" s="831" t="s">
        <v>11978</v>
      </c>
      <c r="AG11319" s="831" t="s">
        <v>2674</v>
      </c>
      <c r="AH11319" s="831" t="s">
        <v>650</v>
      </c>
      <c r="AI11319" s="831">
        <v>0</v>
      </c>
      <c r="AJ11319" s="835">
        <v>42094</v>
      </c>
      <c r="AK11319" s="831">
        <v>315233998.53846198</v>
      </c>
    </row>
    <row r="11320" spans="2:37">
      <c r="B11320" s="834" t="str">
        <f t="shared" si="433"/>
        <v>|||</v>
      </c>
      <c r="H11320" s="835">
        <f t="shared" si="434"/>
        <v>31</v>
      </c>
      <c r="AF11320" s="831" t="s">
        <v>11979</v>
      </c>
      <c r="AG11320" s="831" t="s">
        <v>2674</v>
      </c>
      <c r="AH11320" s="831" t="s">
        <v>655</v>
      </c>
      <c r="AI11320" s="831">
        <v>0</v>
      </c>
      <c r="AJ11320" s="835">
        <v>42094</v>
      </c>
      <c r="AK11320" s="831">
        <v>7308574</v>
      </c>
    </row>
    <row r="11321" spans="2:37">
      <c r="B11321" s="834" t="str">
        <f t="shared" si="433"/>
        <v>|||</v>
      </c>
      <c r="H11321" s="835">
        <f t="shared" si="434"/>
        <v>31</v>
      </c>
      <c r="AF11321" s="831" t="s">
        <v>11980</v>
      </c>
      <c r="AG11321" s="831" t="s">
        <v>2674</v>
      </c>
      <c r="AH11321" s="831" t="s">
        <v>546</v>
      </c>
      <c r="AI11321" s="831">
        <v>0</v>
      </c>
      <c r="AJ11321" s="835">
        <v>42124</v>
      </c>
      <c r="AK11321" s="831">
        <v>887135523</v>
      </c>
    </row>
    <row r="11322" spans="2:37">
      <c r="B11322" s="834" t="str">
        <f t="shared" si="433"/>
        <v>|||</v>
      </c>
      <c r="H11322" s="835">
        <f t="shared" si="434"/>
        <v>31</v>
      </c>
      <c r="AF11322" s="831" t="s">
        <v>11981</v>
      </c>
      <c r="AG11322" s="831" t="s">
        <v>2674</v>
      </c>
      <c r="AH11322" s="831" t="s">
        <v>370</v>
      </c>
      <c r="AI11322" s="831">
        <v>0</v>
      </c>
      <c r="AJ11322" s="835">
        <v>42124</v>
      </c>
      <c r="AK11322" s="831">
        <v>1155982366</v>
      </c>
    </row>
    <row r="11323" spans="2:37">
      <c r="B11323" s="834" t="str">
        <f t="shared" si="433"/>
        <v>|||</v>
      </c>
      <c r="H11323" s="835">
        <f t="shared" si="434"/>
        <v>31</v>
      </c>
      <c r="AF11323" s="831" t="s">
        <v>11982</v>
      </c>
      <c r="AG11323" s="831" t="s">
        <v>2674</v>
      </c>
      <c r="AH11323" s="831" t="s">
        <v>126</v>
      </c>
      <c r="AI11323" s="831">
        <v>0</v>
      </c>
      <c r="AJ11323" s="835">
        <v>42124</v>
      </c>
      <c r="AK11323" s="831">
        <v>148898855</v>
      </c>
    </row>
    <row r="11324" spans="2:37">
      <c r="B11324" s="834" t="str">
        <f t="shared" si="433"/>
        <v>|||</v>
      </c>
      <c r="H11324" s="835">
        <f t="shared" si="434"/>
        <v>31</v>
      </c>
      <c r="AF11324" s="831" t="s">
        <v>11983</v>
      </c>
      <c r="AG11324" s="831" t="s">
        <v>2674</v>
      </c>
      <c r="AH11324" s="831" t="s">
        <v>268</v>
      </c>
      <c r="AI11324" s="831">
        <v>0</v>
      </c>
      <c r="AJ11324" s="835">
        <v>42124</v>
      </c>
      <c r="AK11324" s="831">
        <v>3490177</v>
      </c>
    </row>
    <row r="11325" spans="2:37">
      <c r="B11325" s="834" t="str">
        <f t="shared" si="433"/>
        <v>|||</v>
      </c>
      <c r="H11325" s="835">
        <f t="shared" si="434"/>
        <v>31</v>
      </c>
      <c r="AF11325" s="831" t="s">
        <v>11984</v>
      </c>
      <c r="AG11325" s="831" t="s">
        <v>2674</v>
      </c>
      <c r="AH11325" s="831" t="s">
        <v>547</v>
      </c>
      <c r="AI11325" s="831">
        <v>0</v>
      </c>
      <c r="AJ11325" s="835">
        <v>42124</v>
      </c>
      <c r="AK11325" s="831">
        <v>1044609243</v>
      </c>
    </row>
    <row r="11326" spans="2:37">
      <c r="B11326" s="834" t="str">
        <f t="shared" si="433"/>
        <v>|||</v>
      </c>
      <c r="H11326" s="835">
        <f t="shared" si="434"/>
        <v>31</v>
      </c>
      <c r="AF11326" s="831" t="s">
        <v>11985</v>
      </c>
      <c r="AG11326" s="831" t="s">
        <v>2674</v>
      </c>
      <c r="AH11326" s="831" t="s">
        <v>548</v>
      </c>
      <c r="AI11326" s="831">
        <v>0</v>
      </c>
      <c r="AJ11326" s="835">
        <v>42124</v>
      </c>
      <c r="AK11326" s="831">
        <v>148860224</v>
      </c>
    </row>
    <row r="11327" spans="2:37">
      <c r="B11327" s="834" t="str">
        <f t="shared" si="433"/>
        <v>|||</v>
      </c>
      <c r="H11327" s="835">
        <f t="shared" si="434"/>
        <v>31</v>
      </c>
      <c r="AF11327" s="831" t="s">
        <v>11986</v>
      </c>
      <c r="AG11327" s="831" t="s">
        <v>2674</v>
      </c>
      <c r="AH11327" s="831" t="s">
        <v>549</v>
      </c>
      <c r="AI11327" s="831">
        <v>0</v>
      </c>
      <c r="AJ11327" s="835">
        <v>42124</v>
      </c>
      <c r="AK11327" s="831">
        <v>695634421</v>
      </c>
    </row>
    <row r="11328" spans="2:37">
      <c r="B11328" s="834" t="str">
        <f t="shared" si="433"/>
        <v>|||</v>
      </c>
      <c r="H11328" s="835">
        <f t="shared" si="434"/>
        <v>31</v>
      </c>
      <c r="AF11328" s="831" t="s">
        <v>11987</v>
      </c>
      <c r="AG11328" s="831" t="s">
        <v>2674</v>
      </c>
      <c r="AH11328" s="831" t="s">
        <v>192</v>
      </c>
      <c r="AI11328" s="831">
        <v>0</v>
      </c>
      <c r="AJ11328" s="835">
        <v>42124</v>
      </c>
      <c r="AK11328" s="831">
        <v>-17978430</v>
      </c>
    </row>
    <row r="11329" spans="2:37">
      <c r="B11329" s="834" t="str">
        <f t="shared" si="433"/>
        <v>|||</v>
      </c>
      <c r="H11329" s="835">
        <f t="shared" si="434"/>
        <v>31</v>
      </c>
      <c r="AF11329" s="831" t="s">
        <v>11988</v>
      </c>
      <c r="AG11329" s="831" t="s">
        <v>2674</v>
      </c>
      <c r="AH11329" s="831" t="s">
        <v>558</v>
      </c>
      <c r="AI11329" s="831">
        <v>0</v>
      </c>
      <c r="AJ11329" s="835">
        <v>42124</v>
      </c>
      <c r="AK11329" s="831">
        <v>1007083670</v>
      </c>
    </row>
    <row r="11330" spans="2:37">
      <c r="B11330" s="834" t="str">
        <f t="shared" si="433"/>
        <v>|||</v>
      </c>
      <c r="H11330" s="835">
        <f t="shared" si="434"/>
        <v>31</v>
      </c>
      <c r="AF11330" s="831" t="s">
        <v>11989</v>
      </c>
      <c r="AG11330" s="831" t="s">
        <v>2674</v>
      </c>
      <c r="AH11330" s="831" t="s">
        <v>65</v>
      </c>
      <c r="AI11330" s="831">
        <v>0</v>
      </c>
      <c r="AJ11330" s="835">
        <v>42124</v>
      </c>
      <c r="AK11330" s="831">
        <v>64640929</v>
      </c>
    </row>
    <row r="11331" spans="2:37">
      <c r="B11331" s="834" t="str">
        <f t="shared" si="433"/>
        <v>|||</v>
      </c>
      <c r="H11331" s="835">
        <f t="shared" si="434"/>
        <v>31</v>
      </c>
      <c r="AF11331" s="831" t="s">
        <v>11990</v>
      </c>
      <c r="AG11331" s="831" t="s">
        <v>2674</v>
      </c>
      <c r="AH11331" s="831" t="s">
        <v>89</v>
      </c>
      <c r="AI11331" s="831">
        <v>0</v>
      </c>
      <c r="AJ11331" s="835">
        <v>42124</v>
      </c>
      <c r="AK11331" s="831">
        <v>147391</v>
      </c>
    </row>
    <row r="11332" spans="2:37">
      <c r="B11332" s="834" t="str">
        <f t="shared" si="433"/>
        <v>|||</v>
      </c>
      <c r="H11332" s="835">
        <f t="shared" si="434"/>
        <v>31</v>
      </c>
      <c r="AF11332" s="831" t="s">
        <v>11991</v>
      </c>
      <c r="AG11332" s="831" t="s">
        <v>2674</v>
      </c>
      <c r="AH11332" s="831" t="s">
        <v>557</v>
      </c>
      <c r="AI11332" s="831">
        <v>0</v>
      </c>
      <c r="AJ11332" s="835">
        <v>42124</v>
      </c>
      <c r="AK11332" s="831">
        <v>168436</v>
      </c>
    </row>
    <row r="11333" spans="2:37">
      <c r="B11333" s="834" t="str">
        <f t="shared" si="433"/>
        <v>|||</v>
      </c>
      <c r="H11333" s="835">
        <f t="shared" si="434"/>
        <v>31</v>
      </c>
      <c r="AF11333" s="831" t="s">
        <v>11992</v>
      </c>
      <c r="AG11333" s="831" t="s">
        <v>2674</v>
      </c>
      <c r="AH11333" s="831" t="s">
        <v>29</v>
      </c>
      <c r="AI11333" s="831">
        <v>0</v>
      </c>
      <c r="AJ11333" s="835">
        <v>42124</v>
      </c>
      <c r="AK11333" s="831">
        <v>18420222</v>
      </c>
    </row>
    <row r="11334" spans="2:37">
      <c r="B11334" s="834" t="str">
        <f t="shared" si="433"/>
        <v>|||</v>
      </c>
      <c r="H11334" s="835">
        <f t="shared" si="434"/>
        <v>31</v>
      </c>
      <c r="AF11334" s="831" t="s">
        <v>11993</v>
      </c>
      <c r="AG11334" s="831" t="s">
        <v>2674</v>
      </c>
      <c r="AH11334" s="831" t="s">
        <v>2688</v>
      </c>
      <c r="AI11334" s="831">
        <v>0</v>
      </c>
      <c r="AJ11334" s="835">
        <v>42124</v>
      </c>
      <c r="AK11334" s="831">
        <v>149665387</v>
      </c>
    </row>
    <row r="11335" spans="2:37">
      <c r="B11335" s="834" t="str">
        <f t="shared" si="433"/>
        <v>|||</v>
      </c>
      <c r="H11335" s="835">
        <f t="shared" si="434"/>
        <v>31</v>
      </c>
      <c r="AF11335" s="831" t="s">
        <v>11994</v>
      </c>
      <c r="AG11335" s="831" t="s">
        <v>2674</v>
      </c>
      <c r="AH11335" s="831" t="s">
        <v>556</v>
      </c>
      <c r="AI11335" s="831">
        <v>0</v>
      </c>
      <c r="AJ11335" s="835">
        <v>42124</v>
      </c>
      <c r="AK11335" s="831">
        <v>11412135</v>
      </c>
    </row>
    <row r="11336" spans="2:37">
      <c r="B11336" s="834" t="str">
        <f t="shared" si="433"/>
        <v>|||</v>
      </c>
      <c r="H11336" s="835">
        <f t="shared" si="434"/>
        <v>31</v>
      </c>
      <c r="AF11336" s="831" t="s">
        <v>11995</v>
      </c>
      <c r="AG11336" s="831" t="s">
        <v>2674</v>
      </c>
      <c r="AH11336" s="831" t="s">
        <v>555</v>
      </c>
      <c r="AI11336" s="831">
        <v>0</v>
      </c>
      <c r="AJ11336" s="835">
        <v>42124</v>
      </c>
      <c r="AK11336" s="831">
        <v>781614407</v>
      </c>
    </row>
    <row r="11337" spans="2:37">
      <c r="B11337" s="834" t="str">
        <f t="shared" si="433"/>
        <v>|||</v>
      </c>
      <c r="H11337" s="835">
        <f t="shared" si="434"/>
        <v>31</v>
      </c>
      <c r="AF11337" s="831" t="s">
        <v>11996</v>
      </c>
      <c r="AG11337" s="831" t="s">
        <v>2674</v>
      </c>
      <c r="AH11337" s="831" t="s">
        <v>554</v>
      </c>
      <c r="AI11337" s="831">
        <v>0</v>
      </c>
      <c r="AJ11337" s="835">
        <v>42124</v>
      </c>
      <c r="AK11337" s="831">
        <v>811049609</v>
      </c>
    </row>
    <row r="11338" spans="2:37">
      <c r="B11338" s="834" t="str">
        <f t="shared" si="433"/>
        <v>|||</v>
      </c>
      <c r="H11338" s="835">
        <f t="shared" si="434"/>
        <v>31</v>
      </c>
      <c r="AF11338" s="831" t="s">
        <v>11997</v>
      </c>
      <c r="AG11338" s="831" t="s">
        <v>2674</v>
      </c>
      <c r="AH11338" s="831" t="s">
        <v>553</v>
      </c>
      <c r="AI11338" s="831">
        <v>0</v>
      </c>
      <c r="AJ11338" s="835">
        <v>42124</v>
      </c>
      <c r="AK11338" s="831">
        <v>47191500</v>
      </c>
    </row>
    <row r="11339" spans="2:37">
      <c r="B11339" s="834" t="str">
        <f t="shared" si="433"/>
        <v>|||</v>
      </c>
      <c r="H11339" s="835">
        <f t="shared" si="434"/>
        <v>31</v>
      </c>
      <c r="AF11339" s="831" t="s">
        <v>11998</v>
      </c>
      <c r="AG11339" s="831" t="s">
        <v>2674</v>
      </c>
      <c r="AH11339" s="831" t="s">
        <v>552</v>
      </c>
      <c r="AI11339" s="831">
        <v>0</v>
      </c>
      <c r="AJ11339" s="835">
        <v>42124</v>
      </c>
      <c r="AK11339" s="831">
        <v>0</v>
      </c>
    </row>
    <row r="11340" spans="2:37">
      <c r="B11340" s="834" t="str">
        <f t="shared" si="433"/>
        <v>|||</v>
      </c>
      <c r="H11340" s="835">
        <f t="shared" si="434"/>
        <v>31</v>
      </c>
      <c r="AF11340" s="831" t="s">
        <v>11999</v>
      </c>
      <c r="AG11340" s="831" t="s">
        <v>2674</v>
      </c>
      <c r="AH11340" s="831" t="s">
        <v>551</v>
      </c>
      <c r="AI11340" s="831">
        <v>0</v>
      </c>
      <c r="AJ11340" s="835">
        <v>42124</v>
      </c>
      <c r="AK11340" s="831">
        <v>10773380</v>
      </c>
    </row>
    <row r="11341" spans="2:37">
      <c r="B11341" s="834" t="str">
        <f t="shared" si="433"/>
        <v>|||</v>
      </c>
      <c r="H11341" s="835">
        <f t="shared" si="434"/>
        <v>31</v>
      </c>
      <c r="AF11341" s="831" t="s">
        <v>12000</v>
      </c>
      <c r="AG11341" s="831" t="s">
        <v>2674</v>
      </c>
      <c r="AH11341" s="831" t="s">
        <v>550</v>
      </c>
      <c r="AI11341" s="831">
        <v>0</v>
      </c>
      <c r="AJ11341" s="835">
        <v>42124</v>
      </c>
      <c r="AK11341" s="831">
        <v>147807134</v>
      </c>
    </row>
    <row r="11342" spans="2:37">
      <c r="B11342" s="834" t="str">
        <f t="shared" si="433"/>
        <v>|||</v>
      </c>
      <c r="H11342" s="835">
        <f t="shared" si="434"/>
        <v>31</v>
      </c>
      <c r="AF11342" s="831" t="s">
        <v>12001</v>
      </c>
      <c r="AG11342" s="831" t="s">
        <v>2674</v>
      </c>
      <c r="AH11342" s="831" t="s">
        <v>562</v>
      </c>
      <c r="AI11342" s="831">
        <v>0</v>
      </c>
      <c r="AJ11342" s="835">
        <v>42124</v>
      </c>
      <c r="AK11342" s="831">
        <v>1.0471999999999999</v>
      </c>
    </row>
    <row r="11343" spans="2:37">
      <c r="B11343" s="834" t="str">
        <f t="shared" si="433"/>
        <v>|||</v>
      </c>
      <c r="H11343" s="835">
        <f t="shared" si="434"/>
        <v>31</v>
      </c>
      <c r="AF11343" s="831" t="s">
        <v>12002</v>
      </c>
      <c r="AG11343" s="831" t="s">
        <v>2674</v>
      </c>
      <c r="AH11343" s="831" t="s">
        <v>2698</v>
      </c>
      <c r="AI11343" s="831">
        <v>0</v>
      </c>
      <c r="AJ11343" s="835">
        <v>42124</v>
      </c>
      <c r="AK11343" s="831">
        <v>1.0495000000000001</v>
      </c>
    </row>
    <row r="11344" spans="2:37">
      <c r="B11344" s="834" t="str">
        <f t="shared" si="433"/>
        <v>|||</v>
      </c>
      <c r="H11344" s="835">
        <f t="shared" si="434"/>
        <v>31</v>
      </c>
      <c r="AF11344" s="831" t="s">
        <v>12003</v>
      </c>
      <c r="AG11344" s="831" t="s">
        <v>2674</v>
      </c>
      <c r="AH11344" s="831" t="s">
        <v>560</v>
      </c>
      <c r="AI11344" s="831">
        <v>0</v>
      </c>
      <c r="AJ11344" s="835">
        <v>42124</v>
      </c>
      <c r="AK11344" s="831">
        <v>0.98171249999999999</v>
      </c>
    </row>
    <row r="11345" spans="2:37">
      <c r="B11345" s="834" t="str">
        <f t="shared" ref="B11345:B11408" si="435">C11345&amp;"|"&amp;D11345&amp;"|"&amp;E11345&amp;"|"&amp;F11345</f>
        <v>|||</v>
      </c>
      <c r="H11345" s="835">
        <f t="shared" ref="H11345:H11408" si="436">EOMONTH(L11345,0)</f>
        <v>31</v>
      </c>
      <c r="AF11345" s="831" t="s">
        <v>12004</v>
      </c>
      <c r="AG11345" s="831" t="s">
        <v>2674</v>
      </c>
      <c r="AH11345" s="831" t="s">
        <v>559</v>
      </c>
      <c r="AI11345" s="831">
        <v>0</v>
      </c>
      <c r="AJ11345" s="835">
        <v>42124</v>
      </c>
      <c r="AK11345" s="831">
        <v>0.84962083333333305</v>
      </c>
    </row>
    <row r="11346" spans="2:37">
      <c r="B11346" s="834" t="str">
        <f t="shared" si="435"/>
        <v>|||</v>
      </c>
      <c r="H11346" s="835">
        <f t="shared" si="436"/>
        <v>31</v>
      </c>
      <c r="AF11346" s="831" t="s">
        <v>12005</v>
      </c>
      <c r="AG11346" s="831" t="s">
        <v>2674</v>
      </c>
      <c r="AH11346" s="831" t="s">
        <v>568</v>
      </c>
      <c r="AI11346" s="831">
        <v>0</v>
      </c>
      <c r="AJ11346" s="835">
        <v>42124</v>
      </c>
      <c r="AK11346" s="831">
        <v>802858062.76923096</v>
      </c>
    </row>
    <row r="11347" spans="2:37">
      <c r="B11347" s="834" t="str">
        <f t="shared" si="435"/>
        <v>|||</v>
      </c>
      <c r="H11347" s="835">
        <f t="shared" si="436"/>
        <v>31</v>
      </c>
      <c r="AF11347" s="831" t="s">
        <v>12006</v>
      </c>
      <c r="AG11347" s="831" t="s">
        <v>2674</v>
      </c>
      <c r="AH11347" s="831" t="s">
        <v>569</v>
      </c>
      <c r="AI11347" s="831">
        <v>0</v>
      </c>
      <c r="AJ11347" s="835">
        <v>42124</v>
      </c>
      <c r="AK11347" s="831">
        <v>1009137751.84615</v>
      </c>
    </row>
    <row r="11348" spans="2:37">
      <c r="B11348" s="834" t="str">
        <f t="shared" si="435"/>
        <v>|||</v>
      </c>
      <c r="H11348" s="835">
        <f t="shared" si="436"/>
        <v>31</v>
      </c>
      <c r="AF11348" s="831" t="s">
        <v>12007</v>
      </c>
      <c r="AG11348" s="831" t="s">
        <v>2674</v>
      </c>
      <c r="AH11348" s="831" t="s">
        <v>570</v>
      </c>
      <c r="AI11348" s="831">
        <v>0</v>
      </c>
      <c r="AJ11348" s="835">
        <v>42124</v>
      </c>
      <c r="AK11348" s="831">
        <v>142830548.07923099</v>
      </c>
    </row>
    <row r="11349" spans="2:37">
      <c r="B11349" s="834" t="str">
        <f t="shared" si="435"/>
        <v>|||</v>
      </c>
      <c r="H11349" s="835">
        <f t="shared" si="436"/>
        <v>31</v>
      </c>
      <c r="AF11349" s="831" t="s">
        <v>12008</v>
      </c>
      <c r="AG11349" s="831" t="s">
        <v>2674</v>
      </c>
      <c r="AH11349" s="831" t="s">
        <v>571</v>
      </c>
      <c r="AI11349" s="831">
        <v>0</v>
      </c>
      <c r="AJ11349" s="835">
        <v>42124</v>
      </c>
      <c r="AK11349" s="831">
        <v>521003105.80130798</v>
      </c>
    </row>
    <row r="11350" spans="2:37">
      <c r="B11350" s="834" t="str">
        <f t="shared" si="435"/>
        <v>|||</v>
      </c>
      <c r="H11350" s="835">
        <f t="shared" si="436"/>
        <v>31</v>
      </c>
      <c r="AF11350" s="831" t="s">
        <v>12009</v>
      </c>
      <c r="AG11350" s="831" t="s">
        <v>2674</v>
      </c>
      <c r="AH11350" s="831" t="s">
        <v>573</v>
      </c>
      <c r="AI11350" s="831">
        <v>0</v>
      </c>
      <c r="AJ11350" s="835">
        <v>42124</v>
      </c>
      <c r="AK11350" s="831">
        <v>1131573563</v>
      </c>
    </row>
    <row r="11351" spans="2:37">
      <c r="B11351" s="834" t="str">
        <f t="shared" si="435"/>
        <v>|||</v>
      </c>
      <c r="H11351" s="835">
        <f t="shared" si="436"/>
        <v>31</v>
      </c>
      <c r="AF11351" s="831" t="s">
        <v>12010</v>
      </c>
      <c r="AG11351" s="831" t="s">
        <v>2674</v>
      </c>
      <c r="AH11351" s="831" t="s">
        <v>574</v>
      </c>
      <c r="AI11351" s="831">
        <v>0</v>
      </c>
      <c r="AJ11351" s="835">
        <v>42124</v>
      </c>
      <c r="AK11351" s="831">
        <v>887385272.20000005</v>
      </c>
    </row>
    <row r="11352" spans="2:37">
      <c r="B11352" s="834" t="str">
        <f t="shared" si="435"/>
        <v>|||</v>
      </c>
      <c r="H11352" s="835">
        <f t="shared" si="436"/>
        <v>31</v>
      </c>
      <c r="AF11352" s="831" t="s">
        <v>12011</v>
      </c>
      <c r="AG11352" s="831" t="s">
        <v>2674</v>
      </c>
      <c r="AH11352" s="831" t="s">
        <v>575</v>
      </c>
      <c r="AI11352" s="831">
        <v>0</v>
      </c>
      <c r="AJ11352" s="835">
        <v>42124</v>
      </c>
      <c r="AK11352" s="831">
        <v>146895148.59999999</v>
      </c>
    </row>
    <row r="11353" spans="2:37">
      <c r="B11353" s="834" t="str">
        <f t="shared" si="435"/>
        <v>|||</v>
      </c>
      <c r="H11353" s="835">
        <f t="shared" si="436"/>
        <v>31</v>
      </c>
      <c r="AF11353" s="831" t="s">
        <v>12012</v>
      </c>
      <c r="AG11353" s="831" t="s">
        <v>2674</v>
      </c>
      <c r="AH11353" s="831" t="s">
        <v>576</v>
      </c>
      <c r="AI11353" s="831">
        <v>0</v>
      </c>
      <c r="AJ11353" s="835">
        <v>42124</v>
      </c>
      <c r="AK11353" s="831">
        <v>615700522.39999998</v>
      </c>
    </row>
    <row r="11354" spans="2:37">
      <c r="B11354" s="834" t="str">
        <f t="shared" si="435"/>
        <v>|||</v>
      </c>
      <c r="H11354" s="835">
        <f t="shared" si="436"/>
        <v>31</v>
      </c>
      <c r="AF11354" s="831" t="s">
        <v>12013</v>
      </c>
      <c r="AG11354" s="831" t="s">
        <v>2674</v>
      </c>
      <c r="AH11354" s="831" t="s">
        <v>572</v>
      </c>
      <c r="AI11354" s="831">
        <v>0</v>
      </c>
      <c r="AJ11354" s="835">
        <v>42124</v>
      </c>
      <c r="AK11354" s="831">
        <v>34629345</v>
      </c>
    </row>
    <row r="11355" spans="2:37">
      <c r="B11355" s="834" t="str">
        <f t="shared" si="435"/>
        <v>|||</v>
      </c>
      <c r="H11355" s="835">
        <f t="shared" si="436"/>
        <v>31</v>
      </c>
      <c r="AF11355" s="831" t="s">
        <v>12014</v>
      </c>
      <c r="AG11355" s="831" t="s">
        <v>2674</v>
      </c>
      <c r="AH11355" s="831" t="s">
        <v>577</v>
      </c>
      <c r="AI11355" s="831">
        <v>0</v>
      </c>
      <c r="AJ11355" s="835">
        <v>42124</v>
      </c>
      <c r="AK11355" s="831">
        <v>182065430</v>
      </c>
    </row>
    <row r="11356" spans="2:37">
      <c r="B11356" s="834" t="str">
        <f t="shared" si="435"/>
        <v>|||</v>
      </c>
      <c r="H11356" s="835">
        <f t="shared" si="436"/>
        <v>31</v>
      </c>
      <c r="AF11356" s="831" t="s">
        <v>12015</v>
      </c>
      <c r="AG11356" s="831" t="s">
        <v>2674</v>
      </c>
      <c r="AH11356" s="831" t="s">
        <v>3042</v>
      </c>
      <c r="AI11356" s="831">
        <v>0</v>
      </c>
      <c r="AJ11356" s="835">
        <v>42124</v>
      </c>
      <c r="AK11356" s="831">
        <v>-55986090</v>
      </c>
    </row>
    <row r="11357" spans="2:37">
      <c r="B11357" s="834" t="str">
        <f t="shared" si="435"/>
        <v>|||</v>
      </c>
      <c r="H11357" s="835">
        <f t="shared" si="436"/>
        <v>31</v>
      </c>
      <c r="AF11357" s="831" t="s">
        <v>12016</v>
      </c>
      <c r="AG11357" s="831" t="s">
        <v>2674</v>
      </c>
      <c r="AH11357" s="831" t="s">
        <v>3044</v>
      </c>
      <c r="AI11357" s="831">
        <v>0</v>
      </c>
      <c r="AJ11357" s="835">
        <v>42124</v>
      </c>
      <c r="AK11357" s="831">
        <v>-4711846</v>
      </c>
    </row>
    <row r="11358" spans="2:37">
      <c r="B11358" s="834" t="str">
        <f t="shared" si="435"/>
        <v>|||</v>
      </c>
      <c r="H11358" s="835">
        <f t="shared" si="436"/>
        <v>31</v>
      </c>
      <c r="AF11358" s="831" t="s">
        <v>12017</v>
      </c>
      <c r="AG11358" s="831" t="s">
        <v>2674</v>
      </c>
      <c r="AH11358" s="831" t="s">
        <v>580</v>
      </c>
      <c r="AI11358" s="831">
        <v>0</v>
      </c>
      <c r="AJ11358" s="835">
        <v>42124</v>
      </c>
      <c r="AK11358" s="831">
        <v>-84657241</v>
      </c>
    </row>
    <row r="11359" spans="2:37">
      <c r="B11359" s="834" t="str">
        <f t="shared" si="435"/>
        <v>|||</v>
      </c>
      <c r="H11359" s="835">
        <f t="shared" si="436"/>
        <v>31</v>
      </c>
      <c r="AF11359" s="831" t="s">
        <v>12018</v>
      </c>
      <c r="AG11359" s="831" t="s">
        <v>2674</v>
      </c>
      <c r="AH11359" s="831" t="s">
        <v>581</v>
      </c>
      <c r="AI11359" s="831">
        <v>0</v>
      </c>
      <c r="AJ11359" s="835">
        <v>42124</v>
      </c>
      <c r="AK11359" s="831">
        <v>11310907</v>
      </c>
    </row>
    <row r="11360" spans="2:37">
      <c r="B11360" s="834" t="str">
        <f t="shared" si="435"/>
        <v>|||</v>
      </c>
      <c r="H11360" s="835">
        <f t="shared" si="436"/>
        <v>31</v>
      </c>
      <c r="AF11360" s="831" t="s">
        <v>12019</v>
      </c>
      <c r="AG11360" s="831" t="s">
        <v>2674</v>
      </c>
      <c r="AH11360" s="831" t="s">
        <v>105</v>
      </c>
      <c r="AI11360" s="831">
        <v>0</v>
      </c>
      <c r="AJ11360" s="835">
        <v>42124</v>
      </c>
      <c r="AK11360" s="831">
        <v>651641572</v>
      </c>
    </row>
    <row r="11361" spans="2:37">
      <c r="B11361" s="834" t="str">
        <f t="shared" si="435"/>
        <v>|||</v>
      </c>
      <c r="H11361" s="835">
        <f t="shared" si="436"/>
        <v>31</v>
      </c>
      <c r="AF11361" s="831" t="s">
        <v>12020</v>
      </c>
      <c r="AG11361" s="831" t="s">
        <v>2674</v>
      </c>
      <c r="AH11361" s="831" t="s">
        <v>3049</v>
      </c>
      <c r="AI11361" s="831">
        <v>0</v>
      </c>
      <c r="AJ11361" s="835">
        <v>42124</v>
      </c>
      <c r="AK11361" s="831">
        <v>980090700</v>
      </c>
    </row>
    <row r="11362" spans="2:37">
      <c r="B11362" s="834" t="str">
        <f t="shared" si="435"/>
        <v>|||</v>
      </c>
      <c r="H11362" s="835">
        <f t="shared" si="436"/>
        <v>31</v>
      </c>
      <c r="AF11362" s="831" t="s">
        <v>12021</v>
      </c>
      <c r="AG11362" s="831" t="s">
        <v>2674</v>
      </c>
      <c r="AH11362" s="831" t="s">
        <v>103</v>
      </c>
      <c r="AI11362" s="831">
        <v>0</v>
      </c>
      <c r="AJ11362" s="835">
        <v>42124</v>
      </c>
      <c r="AK11362" s="831">
        <v>328449128</v>
      </c>
    </row>
    <row r="11363" spans="2:37">
      <c r="B11363" s="834" t="str">
        <f t="shared" si="435"/>
        <v>|||</v>
      </c>
      <c r="H11363" s="835">
        <f t="shared" si="436"/>
        <v>31</v>
      </c>
      <c r="AF11363" s="831" t="s">
        <v>12022</v>
      </c>
      <c r="AG11363" s="831" t="s">
        <v>2674</v>
      </c>
      <c r="AH11363" s="831" t="s">
        <v>182</v>
      </c>
      <c r="AI11363" s="831">
        <v>0</v>
      </c>
      <c r="AJ11363" s="835">
        <v>42124</v>
      </c>
      <c r="AK11363" s="831">
        <v>88699464</v>
      </c>
    </row>
    <row r="11364" spans="2:37">
      <c r="B11364" s="834" t="str">
        <f t="shared" si="435"/>
        <v>|||</v>
      </c>
      <c r="H11364" s="835">
        <f t="shared" si="436"/>
        <v>31</v>
      </c>
      <c r="AF11364" s="831" t="s">
        <v>12023</v>
      </c>
      <c r="AG11364" s="831" t="s">
        <v>2674</v>
      </c>
      <c r="AH11364" s="831" t="s">
        <v>6600</v>
      </c>
      <c r="AI11364" s="831">
        <v>0</v>
      </c>
      <c r="AJ11364" s="835">
        <v>42124</v>
      </c>
      <c r="AK11364" s="831">
        <v>34629345</v>
      </c>
    </row>
    <row r="11365" spans="2:37">
      <c r="B11365" s="834" t="str">
        <f t="shared" si="435"/>
        <v>|||</v>
      </c>
      <c r="H11365" s="835">
        <f t="shared" si="436"/>
        <v>31</v>
      </c>
      <c r="AF11365" s="831" t="s">
        <v>12024</v>
      </c>
      <c r="AG11365" s="831" t="s">
        <v>2674</v>
      </c>
      <c r="AH11365" s="831" t="s">
        <v>6602</v>
      </c>
      <c r="AI11365" s="831">
        <v>0</v>
      </c>
      <c r="AJ11365" s="835">
        <v>42124</v>
      </c>
      <c r="AK11365" s="831">
        <v>3490177</v>
      </c>
    </row>
    <row r="11366" spans="2:37">
      <c r="B11366" s="834" t="str">
        <f t="shared" si="435"/>
        <v>|||</v>
      </c>
      <c r="H11366" s="835">
        <f t="shared" si="436"/>
        <v>31</v>
      </c>
      <c r="AF11366" s="831" t="s">
        <v>12025</v>
      </c>
      <c r="AG11366" s="831" t="s">
        <v>2674</v>
      </c>
      <c r="AH11366" s="831" t="s">
        <v>650</v>
      </c>
      <c r="AI11366" s="831">
        <v>0</v>
      </c>
      <c r="AJ11366" s="835">
        <v>42124</v>
      </c>
      <c r="AK11366" s="831">
        <v>319013929.69230801</v>
      </c>
    </row>
    <row r="11367" spans="2:37">
      <c r="B11367" s="834" t="str">
        <f t="shared" si="435"/>
        <v>|||</v>
      </c>
      <c r="H11367" s="835">
        <f t="shared" si="436"/>
        <v>31</v>
      </c>
      <c r="AF11367" s="831" t="s">
        <v>12026</v>
      </c>
      <c r="AG11367" s="831" t="s">
        <v>2674</v>
      </c>
      <c r="AH11367" s="831" t="s">
        <v>655</v>
      </c>
      <c r="AI11367" s="831">
        <v>0</v>
      </c>
      <c r="AJ11367" s="835">
        <v>42124</v>
      </c>
      <c r="AK11367" s="831">
        <v>8145535</v>
      </c>
    </row>
    <row r="11368" spans="2:37">
      <c r="B11368" s="834" t="str">
        <f t="shared" si="435"/>
        <v>|||</v>
      </c>
      <c r="H11368" s="835">
        <f t="shared" si="436"/>
        <v>31</v>
      </c>
      <c r="AF11368" s="831" t="s">
        <v>10335</v>
      </c>
      <c r="AG11368" s="831" t="s">
        <v>2674</v>
      </c>
      <c r="AH11368" s="831" t="s">
        <v>546</v>
      </c>
      <c r="AI11368" s="831">
        <v>0</v>
      </c>
      <c r="AJ11368" s="835">
        <v>41060</v>
      </c>
      <c r="AK11368" s="831">
        <v>339221349</v>
      </c>
    </row>
    <row r="11369" spans="2:37">
      <c r="B11369" s="834" t="str">
        <f t="shared" si="435"/>
        <v>|||</v>
      </c>
      <c r="H11369" s="835">
        <f t="shared" si="436"/>
        <v>31</v>
      </c>
      <c r="AF11369" s="831" t="s">
        <v>10336</v>
      </c>
      <c r="AG11369" s="831" t="s">
        <v>2674</v>
      </c>
      <c r="AH11369" s="831" t="s">
        <v>370</v>
      </c>
      <c r="AI11369" s="831">
        <v>0</v>
      </c>
      <c r="AJ11369" s="835">
        <v>41060</v>
      </c>
      <c r="AK11369" s="831">
        <v>412671638</v>
      </c>
    </row>
    <row r="11370" spans="2:37">
      <c r="B11370" s="834" t="str">
        <f t="shared" si="435"/>
        <v>|||</v>
      </c>
      <c r="H11370" s="835">
        <f t="shared" si="436"/>
        <v>31</v>
      </c>
      <c r="AF11370" s="831" t="s">
        <v>10337</v>
      </c>
      <c r="AG11370" s="831" t="s">
        <v>2674</v>
      </c>
      <c r="AH11370" s="831" t="s">
        <v>126</v>
      </c>
      <c r="AI11370" s="831">
        <v>0</v>
      </c>
      <c r="AJ11370" s="835">
        <v>41060</v>
      </c>
      <c r="AK11370" s="831">
        <v>90520261</v>
      </c>
    </row>
    <row r="11371" spans="2:37">
      <c r="B11371" s="834" t="str">
        <f t="shared" si="435"/>
        <v>|||</v>
      </c>
      <c r="H11371" s="835">
        <f t="shared" si="436"/>
        <v>31</v>
      </c>
      <c r="AF11371" s="831" t="s">
        <v>10338</v>
      </c>
      <c r="AG11371" s="831" t="s">
        <v>2674</v>
      </c>
      <c r="AH11371" s="831" t="s">
        <v>268</v>
      </c>
      <c r="AI11371" s="831">
        <v>0</v>
      </c>
      <c r="AJ11371" s="835">
        <v>41060</v>
      </c>
      <c r="AK11371" s="831">
        <v>5197337</v>
      </c>
    </row>
    <row r="11372" spans="2:37">
      <c r="B11372" s="834" t="str">
        <f t="shared" si="435"/>
        <v>|||</v>
      </c>
      <c r="H11372" s="835">
        <f t="shared" si="436"/>
        <v>31</v>
      </c>
      <c r="AF11372" s="831" t="s">
        <v>10339</v>
      </c>
      <c r="AG11372" s="831" t="s">
        <v>2674</v>
      </c>
      <c r="AH11372" s="831" t="s">
        <v>547</v>
      </c>
      <c r="AI11372" s="831">
        <v>0</v>
      </c>
      <c r="AJ11372" s="835">
        <v>41060</v>
      </c>
      <c r="AK11372" s="831">
        <v>0</v>
      </c>
    </row>
    <row r="11373" spans="2:37">
      <c r="B11373" s="834" t="str">
        <f t="shared" si="435"/>
        <v>|||</v>
      </c>
      <c r="H11373" s="835">
        <f t="shared" si="436"/>
        <v>31</v>
      </c>
      <c r="AF11373" s="831" t="s">
        <v>10340</v>
      </c>
      <c r="AG11373" s="831" t="s">
        <v>2674</v>
      </c>
      <c r="AH11373" s="831" t="s">
        <v>548</v>
      </c>
      <c r="AI11373" s="831">
        <v>0</v>
      </c>
      <c r="AJ11373" s="835">
        <v>41060</v>
      </c>
      <c r="AK11373" s="831">
        <v>0</v>
      </c>
    </row>
    <row r="11374" spans="2:37">
      <c r="B11374" s="834" t="str">
        <f t="shared" si="435"/>
        <v>|||</v>
      </c>
      <c r="H11374" s="835">
        <f t="shared" si="436"/>
        <v>31</v>
      </c>
      <c r="AF11374" s="831" t="s">
        <v>10341</v>
      </c>
      <c r="AG11374" s="831" t="s">
        <v>2674</v>
      </c>
      <c r="AH11374" s="831" t="s">
        <v>549</v>
      </c>
      <c r="AI11374" s="831">
        <v>0</v>
      </c>
      <c r="AJ11374" s="835">
        <v>41060</v>
      </c>
      <c r="AK11374" s="831">
        <v>0</v>
      </c>
    </row>
    <row r="11375" spans="2:37">
      <c r="B11375" s="834" t="str">
        <f t="shared" si="435"/>
        <v>|||</v>
      </c>
      <c r="H11375" s="835">
        <f t="shared" si="436"/>
        <v>31</v>
      </c>
      <c r="AF11375" s="831" t="s">
        <v>10342</v>
      </c>
      <c r="AG11375" s="831" t="s">
        <v>2674</v>
      </c>
      <c r="AH11375" s="831" t="s">
        <v>192</v>
      </c>
      <c r="AI11375" s="831">
        <v>0</v>
      </c>
      <c r="AJ11375" s="835">
        <v>41060</v>
      </c>
      <c r="AK11375" s="831">
        <v>-9254050</v>
      </c>
    </row>
    <row r="11376" spans="2:37">
      <c r="B11376" s="834" t="str">
        <f t="shared" si="435"/>
        <v>|||</v>
      </c>
      <c r="H11376" s="835">
        <f t="shared" si="436"/>
        <v>31</v>
      </c>
      <c r="AF11376" s="831" t="s">
        <v>10343</v>
      </c>
      <c r="AG11376" s="831" t="s">
        <v>2674</v>
      </c>
      <c r="AH11376" s="831" t="s">
        <v>558</v>
      </c>
      <c r="AI11376" s="831">
        <v>0</v>
      </c>
      <c r="AJ11376" s="835">
        <v>41060</v>
      </c>
      <c r="AK11376" s="831">
        <v>322151377</v>
      </c>
    </row>
    <row r="11377" spans="2:37">
      <c r="B11377" s="834" t="str">
        <f t="shared" si="435"/>
        <v>|||</v>
      </c>
      <c r="H11377" s="835">
        <f t="shared" si="436"/>
        <v>31</v>
      </c>
      <c r="AF11377" s="831" t="s">
        <v>10344</v>
      </c>
      <c r="AG11377" s="831" t="s">
        <v>2674</v>
      </c>
      <c r="AH11377" s="831" t="s">
        <v>65</v>
      </c>
      <c r="AI11377" s="831">
        <v>0</v>
      </c>
      <c r="AJ11377" s="835">
        <v>41060</v>
      </c>
      <c r="AK11377" s="831">
        <v>38110599</v>
      </c>
    </row>
    <row r="11378" spans="2:37">
      <c r="B11378" s="834" t="str">
        <f t="shared" si="435"/>
        <v>|||</v>
      </c>
      <c r="H11378" s="835">
        <f t="shared" si="436"/>
        <v>31</v>
      </c>
      <c r="AF11378" s="831" t="s">
        <v>10345</v>
      </c>
      <c r="AG11378" s="831" t="s">
        <v>2674</v>
      </c>
      <c r="AH11378" s="831" t="s">
        <v>89</v>
      </c>
      <c r="AI11378" s="831">
        <v>0</v>
      </c>
      <c r="AJ11378" s="835">
        <v>41060</v>
      </c>
      <c r="AK11378" s="831">
        <v>122430</v>
      </c>
    </row>
    <row r="11379" spans="2:37">
      <c r="B11379" s="834" t="str">
        <f t="shared" si="435"/>
        <v>|||</v>
      </c>
      <c r="H11379" s="835">
        <f t="shared" si="436"/>
        <v>31</v>
      </c>
      <c r="AF11379" s="831" t="s">
        <v>10346</v>
      </c>
      <c r="AG11379" s="831" t="s">
        <v>2674</v>
      </c>
      <c r="AH11379" s="831" t="s">
        <v>557</v>
      </c>
      <c r="AI11379" s="831">
        <v>0</v>
      </c>
      <c r="AJ11379" s="835">
        <v>41060</v>
      </c>
      <c r="AK11379" s="831">
        <v>124207</v>
      </c>
    </row>
    <row r="11380" spans="2:37">
      <c r="B11380" s="834" t="str">
        <f t="shared" si="435"/>
        <v>|||</v>
      </c>
      <c r="H11380" s="835">
        <f t="shared" si="436"/>
        <v>31</v>
      </c>
      <c r="AF11380" s="831" t="s">
        <v>10347</v>
      </c>
      <c r="AG11380" s="831" t="s">
        <v>2674</v>
      </c>
      <c r="AH11380" s="831" t="s">
        <v>29</v>
      </c>
      <c r="AI11380" s="831">
        <v>0</v>
      </c>
      <c r="AJ11380" s="835">
        <v>41060</v>
      </c>
      <c r="AK11380" s="831">
        <v>2528808</v>
      </c>
    </row>
    <row r="11381" spans="2:37">
      <c r="B11381" s="834" t="str">
        <f t="shared" si="435"/>
        <v>|||</v>
      </c>
      <c r="H11381" s="835">
        <f t="shared" si="436"/>
        <v>31</v>
      </c>
      <c r="AF11381" s="831" t="s">
        <v>10348</v>
      </c>
      <c r="AG11381" s="831" t="s">
        <v>2674</v>
      </c>
      <c r="AH11381" s="831" t="s">
        <v>2688</v>
      </c>
      <c r="AI11381" s="831">
        <v>0</v>
      </c>
      <c r="AJ11381" s="835">
        <v>41060</v>
      </c>
      <c r="AK11381" s="831">
        <v>3036435</v>
      </c>
    </row>
    <row r="11382" spans="2:37">
      <c r="B11382" s="834" t="str">
        <f t="shared" si="435"/>
        <v>|||</v>
      </c>
      <c r="H11382" s="835">
        <f t="shared" si="436"/>
        <v>31</v>
      </c>
      <c r="AF11382" s="831" t="s">
        <v>10349</v>
      </c>
      <c r="AG11382" s="831" t="s">
        <v>2674</v>
      </c>
      <c r="AH11382" s="831" t="s">
        <v>556</v>
      </c>
      <c r="AI11382" s="831">
        <v>0</v>
      </c>
      <c r="AJ11382" s="835">
        <v>41060</v>
      </c>
      <c r="AK11382" s="831">
        <v>0</v>
      </c>
    </row>
    <row r="11383" spans="2:37">
      <c r="B11383" s="834" t="str">
        <f t="shared" si="435"/>
        <v>|||</v>
      </c>
      <c r="H11383" s="835">
        <f t="shared" si="436"/>
        <v>31</v>
      </c>
      <c r="AF11383" s="831" t="s">
        <v>10350</v>
      </c>
      <c r="AG11383" s="831" t="s">
        <v>2674</v>
      </c>
      <c r="AH11383" s="831" t="s">
        <v>555</v>
      </c>
      <c r="AI11383" s="831">
        <v>0</v>
      </c>
      <c r="AJ11383" s="835">
        <v>41060</v>
      </c>
      <c r="AK11383" s="831">
        <v>196148980</v>
      </c>
    </row>
    <row r="11384" spans="2:37">
      <c r="B11384" s="834" t="str">
        <f t="shared" si="435"/>
        <v>|||</v>
      </c>
      <c r="H11384" s="835">
        <f t="shared" si="436"/>
        <v>31</v>
      </c>
      <c r="AF11384" s="831" t="s">
        <v>10351</v>
      </c>
      <c r="AG11384" s="831" t="s">
        <v>2674</v>
      </c>
      <c r="AH11384" s="831" t="s">
        <v>554</v>
      </c>
      <c r="AI11384" s="831">
        <v>0</v>
      </c>
      <c r="AJ11384" s="835">
        <v>41060</v>
      </c>
      <c r="AK11384" s="831">
        <v>194772980</v>
      </c>
    </row>
    <row r="11385" spans="2:37">
      <c r="B11385" s="834" t="str">
        <f t="shared" si="435"/>
        <v>|||</v>
      </c>
      <c r="H11385" s="835">
        <f t="shared" si="436"/>
        <v>31</v>
      </c>
      <c r="AF11385" s="831" t="s">
        <v>10352</v>
      </c>
      <c r="AG11385" s="831" t="s">
        <v>2674</v>
      </c>
      <c r="AH11385" s="831" t="s">
        <v>553</v>
      </c>
      <c r="AI11385" s="831">
        <v>0</v>
      </c>
      <c r="AJ11385" s="835">
        <v>41060</v>
      </c>
      <c r="AK11385" s="831">
        <v>0</v>
      </c>
    </row>
    <row r="11386" spans="2:37">
      <c r="B11386" s="834" t="str">
        <f t="shared" si="435"/>
        <v>|||</v>
      </c>
      <c r="H11386" s="835">
        <f t="shared" si="436"/>
        <v>31</v>
      </c>
      <c r="AF11386" s="831" t="s">
        <v>10353</v>
      </c>
      <c r="AG11386" s="831" t="s">
        <v>2674</v>
      </c>
      <c r="AH11386" s="831" t="s">
        <v>552</v>
      </c>
      <c r="AI11386" s="831">
        <v>0</v>
      </c>
      <c r="AJ11386" s="835">
        <v>41060</v>
      </c>
      <c r="AK11386" s="831">
        <v>0</v>
      </c>
    </row>
    <row r="11387" spans="2:37">
      <c r="B11387" s="834" t="str">
        <f t="shared" si="435"/>
        <v>|||</v>
      </c>
      <c r="H11387" s="835">
        <f t="shared" si="436"/>
        <v>31</v>
      </c>
      <c r="AF11387" s="831" t="s">
        <v>10354</v>
      </c>
      <c r="AG11387" s="831" t="s">
        <v>2674</v>
      </c>
      <c r="AH11387" s="831" t="s">
        <v>551</v>
      </c>
      <c r="AI11387" s="831">
        <v>0</v>
      </c>
      <c r="AJ11387" s="835">
        <v>41060</v>
      </c>
      <c r="AK11387" s="831">
        <v>2340522</v>
      </c>
    </row>
    <row r="11388" spans="2:37">
      <c r="B11388" s="834" t="str">
        <f t="shared" si="435"/>
        <v>|||</v>
      </c>
      <c r="H11388" s="835">
        <f t="shared" si="436"/>
        <v>31</v>
      </c>
      <c r="AF11388" s="831" t="s">
        <v>10355</v>
      </c>
      <c r="AG11388" s="831" t="s">
        <v>2674</v>
      </c>
      <c r="AH11388" s="831" t="s">
        <v>550</v>
      </c>
      <c r="AI11388" s="831">
        <v>0</v>
      </c>
      <c r="AJ11388" s="835">
        <v>41060</v>
      </c>
      <c r="AK11388" s="831">
        <v>0</v>
      </c>
    </row>
    <row r="11389" spans="2:37">
      <c r="B11389" s="834" t="str">
        <f t="shared" si="435"/>
        <v>|||</v>
      </c>
      <c r="H11389" s="835">
        <f t="shared" si="436"/>
        <v>31</v>
      </c>
      <c r="AF11389" s="831" t="s">
        <v>10356</v>
      </c>
      <c r="AG11389" s="831" t="s">
        <v>2674</v>
      </c>
      <c r="AH11389" s="831" t="s">
        <v>562</v>
      </c>
      <c r="AI11389" s="831">
        <v>0</v>
      </c>
      <c r="AJ11389" s="835">
        <v>41060</v>
      </c>
      <c r="AK11389" s="831">
        <v>0.78515000000000001</v>
      </c>
    </row>
    <row r="11390" spans="2:37">
      <c r="B11390" s="834" t="str">
        <f t="shared" si="435"/>
        <v>|||</v>
      </c>
      <c r="H11390" s="835">
        <f t="shared" si="436"/>
        <v>31</v>
      </c>
      <c r="AF11390" s="831" t="s">
        <v>10357</v>
      </c>
      <c r="AG11390" s="831" t="s">
        <v>2674</v>
      </c>
      <c r="AH11390" s="831" t="s">
        <v>2698</v>
      </c>
      <c r="AI11390" s="831">
        <v>0</v>
      </c>
      <c r="AJ11390" s="835">
        <v>41060</v>
      </c>
      <c r="AK11390" s="831">
        <v>0.78585000000000005</v>
      </c>
    </row>
    <row r="11391" spans="2:37">
      <c r="B11391" s="834" t="str">
        <f t="shared" si="435"/>
        <v>|||</v>
      </c>
      <c r="H11391" s="835">
        <f t="shared" si="436"/>
        <v>31</v>
      </c>
      <c r="AF11391" s="831" t="s">
        <v>10358</v>
      </c>
      <c r="AG11391" s="831" t="s">
        <v>2674</v>
      </c>
      <c r="AH11391" s="831" t="s">
        <v>560</v>
      </c>
      <c r="AI11391" s="831">
        <v>0</v>
      </c>
      <c r="AJ11391" s="835">
        <v>41060</v>
      </c>
      <c r="AK11391" s="831">
        <v>0.78580000000000005</v>
      </c>
    </row>
    <row r="11392" spans="2:37">
      <c r="B11392" s="834" t="str">
        <f t="shared" si="435"/>
        <v>|||</v>
      </c>
      <c r="H11392" s="835">
        <f t="shared" si="436"/>
        <v>31</v>
      </c>
      <c r="AF11392" s="831" t="s">
        <v>10359</v>
      </c>
      <c r="AG11392" s="831" t="s">
        <v>2674</v>
      </c>
      <c r="AH11392" s="831" t="s">
        <v>559</v>
      </c>
      <c r="AI11392" s="831">
        <v>0</v>
      </c>
      <c r="AJ11392" s="835">
        <v>41060</v>
      </c>
      <c r="AK11392" s="831">
        <v>0.78569999999999995</v>
      </c>
    </row>
    <row r="11393" spans="2:37">
      <c r="B11393" s="834" t="str">
        <f t="shared" si="435"/>
        <v>|||</v>
      </c>
      <c r="H11393" s="835">
        <f t="shared" si="436"/>
        <v>31</v>
      </c>
      <c r="AF11393" s="831" t="s">
        <v>10360</v>
      </c>
      <c r="AG11393" s="831" t="s">
        <v>2674</v>
      </c>
      <c r="AH11393" s="831" t="s">
        <v>568</v>
      </c>
      <c r="AI11393" s="831">
        <v>0</v>
      </c>
      <c r="AJ11393" s="835">
        <v>41060</v>
      </c>
      <c r="AK11393" s="831">
        <v>0</v>
      </c>
    </row>
    <row r="11394" spans="2:37">
      <c r="B11394" s="834" t="str">
        <f t="shared" si="435"/>
        <v>|||</v>
      </c>
      <c r="H11394" s="835">
        <f t="shared" si="436"/>
        <v>31</v>
      </c>
      <c r="AF11394" s="831" t="s">
        <v>10361</v>
      </c>
      <c r="AG11394" s="831" t="s">
        <v>2674</v>
      </c>
      <c r="AH11394" s="831" t="s">
        <v>569</v>
      </c>
      <c r="AI11394" s="831">
        <v>0</v>
      </c>
      <c r="AJ11394" s="835">
        <v>41060</v>
      </c>
      <c r="AK11394" s="831">
        <v>0</v>
      </c>
    </row>
    <row r="11395" spans="2:37">
      <c r="B11395" s="834" t="str">
        <f t="shared" si="435"/>
        <v>|||</v>
      </c>
      <c r="H11395" s="835">
        <f t="shared" si="436"/>
        <v>31</v>
      </c>
      <c r="AF11395" s="831" t="s">
        <v>10362</v>
      </c>
      <c r="AG11395" s="831" t="s">
        <v>2674</v>
      </c>
      <c r="AH11395" s="831" t="s">
        <v>570</v>
      </c>
      <c r="AI11395" s="831">
        <v>0</v>
      </c>
      <c r="AJ11395" s="835">
        <v>41060</v>
      </c>
      <c r="AK11395" s="831">
        <v>0</v>
      </c>
    </row>
    <row r="11396" spans="2:37">
      <c r="B11396" s="834" t="str">
        <f t="shared" si="435"/>
        <v>|||</v>
      </c>
      <c r="H11396" s="835">
        <f t="shared" si="436"/>
        <v>31</v>
      </c>
      <c r="AF11396" s="831" t="s">
        <v>10363</v>
      </c>
      <c r="AG11396" s="831" t="s">
        <v>2674</v>
      </c>
      <c r="AH11396" s="831" t="s">
        <v>571</v>
      </c>
      <c r="AI11396" s="831">
        <v>0</v>
      </c>
      <c r="AJ11396" s="835">
        <v>41060</v>
      </c>
      <c r="AK11396" s="831">
        <v>0</v>
      </c>
    </row>
    <row r="11397" spans="2:37">
      <c r="B11397" s="834" t="str">
        <f t="shared" si="435"/>
        <v>|||</v>
      </c>
      <c r="H11397" s="835">
        <f t="shared" si="436"/>
        <v>31</v>
      </c>
      <c r="AF11397" s="831" t="s">
        <v>10364</v>
      </c>
      <c r="AG11397" s="831" t="s">
        <v>2674</v>
      </c>
      <c r="AH11397" s="831" t="s">
        <v>573</v>
      </c>
      <c r="AI11397" s="831">
        <v>0</v>
      </c>
      <c r="AJ11397" s="835">
        <v>41060</v>
      </c>
      <c r="AK11397" s="831">
        <v>0</v>
      </c>
    </row>
    <row r="11398" spans="2:37">
      <c r="B11398" s="834" t="str">
        <f t="shared" si="435"/>
        <v>|||</v>
      </c>
      <c r="H11398" s="835">
        <f t="shared" si="436"/>
        <v>31</v>
      </c>
      <c r="AF11398" s="831" t="s">
        <v>10365</v>
      </c>
      <c r="AG11398" s="831" t="s">
        <v>2674</v>
      </c>
      <c r="AH11398" s="831" t="s">
        <v>574</v>
      </c>
      <c r="AI11398" s="831">
        <v>0</v>
      </c>
      <c r="AJ11398" s="835">
        <v>41060</v>
      </c>
      <c r="AK11398" s="831">
        <v>0</v>
      </c>
    </row>
    <row r="11399" spans="2:37">
      <c r="B11399" s="834" t="str">
        <f t="shared" si="435"/>
        <v>|||</v>
      </c>
      <c r="H11399" s="835">
        <f t="shared" si="436"/>
        <v>31</v>
      </c>
      <c r="AF11399" s="831" t="s">
        <v>10366</v>
      </c>
      <c r="AG11399" s="831" t="s">
        <v>2674</v>
      </c>
      <c r="AH11399" s="831" t="s">
        <v>575</v>
      </c>
      <c r="AI11399" s="831">
        <v>0</v>
      </c>
      <c r="AJ11399" s="835">
        <v>41060</v>
      </c>
      <c r="AK11399" s="831">
        <v>0</v>
      </c>
    </row>
    <row r="11400" spans="2:37">
      <c r="B11400" s="834" t="str">
        <f t="shared" si="435"/>
        <v>|||</v>
      </c>
      <c r="H11400" s="835">
        <f t="shared" si="436"/>
        <v>31</v>
      </c>
      <c r="AF11400" s="831" t="s">
        <v>10367</v>
      </c>
      <c r="AG11400" s="831" t="s">
        <v>2674</v>
      </c>
      <c r="AH11400" s="831" t="s">
        <v>576</v>
      </c>
      <c r="AI11400" s="831">
        <v>0</v>
      </c>
      <c r="AJ11400" s="835">
        <v>41060</v>
      </c>
      <c r="AK11400" s="831">
        <v>0</v>
      </c>
    </row>
    <row r="11401" spans="2:37">
      <c r="B11401" s="834" t="str">
        <f t="shared" si="435"/>
        <v>|||</v>
      </c>
      <c r="H11401" s="835">
        <f t="shared" si="436"/>
        <v>31</v>
      </c>
      <c r="AF11401" s="831" t="s">
        <v>10368</v>
      </c>
      <c r="AG11401" s="831" t="s">
        <v>2674</v>
      </c>
      <c r="AH11401" s="831" t="s">
        <v>572</v>
      </c>
      <c r="AI11401" s="831">
        <v>0</v>
      </c>
      <c r="AJ11401" s="835">
        <v>41060</v>
      </c>
      <c r="AK11401" s="831">
        <v>-2146826246</v>
      </c>
    </row>
    <row r="11402" spans="2:37">
      <c r="B11402" s="834" t="str">
        <f t="shared" si="435"/>
        <v>|||</v>
      </c>
      <c r="H11402" s="835">
        <f t="shared" si="436"/>
        <v>31</v>
      </c>
      <c r="AF11402" s="831" t="s">
        <v>10369</v>
      </c>
      <c r="AG11402" s="831" t="s">
        <v>2674</v>
      </c>
      <c r="AH11402" s="831" t="s">
        <v>577</v>
      </c>
      <c r="AI11402" s="831">
        <v>0</v>
      </c>
      <c r="AJ11402" s="835">
        <v>41060</v>
      </c>
      <c r="AK11402" s="831">
        <v>-2146826246</v>
      </c>
    </row>
    <row r="11403" spans="2:37">
      <c r="B11403" s="834" t="str">
        <f t="shared" si="435"/>
        <v>|||</v>
      </c>
      <c r="H11403" s="835">
        <f t="shared" si="436"/>
        <v>31</v>
      </c>
      <c r="AF11403" s="831" t="s">
        <v>10370</v>
      </c>
      <c r="AG11403" s="831" t="s">
        <v>2674</v>
      </c>
      <c r="AH11403" s="831" t="s">
        <v>3042</v>
      </c>
      <c r="AI11403" s="831">
        <v>0</v>
      </c>
      <c r="AJ11403" s="835">
        <v>41060</v>
      </c>
      <c r="AK11403" s="831">
        <v>-2146826246</v>
      </c>
    </row>
    <row r="11404" spans="2:37">
      <c r="B11404" s="834" t="str">
        <f t="shared" si="435"/>
        <v>|||</v>
      </c>
      <c r="H11404" s="835">
        <f t="shared" si="436"/>
        <v>31</v>
      </c>
      <c r="AF11404" s="831" t="s">
        <v>10371</v>
      </c>
      <c r="AG11404" s="831" t="s">
        <v>2674</v>
      </c>
      <c r="AH11404" s="831" t="s">
        <v>3044</v>
      </c>
      <c r="AI11404" s="831">
        <v>0</v>
      </c>
      <c r="AJ11404" s="835">
        <v>41060</v>
      </c>
      <c r="AK11404" s="831">
        <v>-2146826246</v>
      </c>
    </row>
    <row r="11405" spans="2:37">
      <c r="B11405" s="834" t="str">
        <f t="shared" si="435"/>
        <v>|||</v>
      </c>
      <c r="H11405" s="835">
        <f t="shared" si="436"/>
        <v>31</v>
      </c>
      <c r="AF11405" s="831" t="s">
        <v>10372</v>
      </c>
      <c r="AG11405" s="831" t="s">
        <v>2674</v>
      </c>
      <c r="AH11405" s="831" t="s">
        <v>580</v>
      </c>
      <c r="AI11405" s="831">
        <v>0</v>
      </c>
      <c r="AJ11405" s="835">
        <v>41060</v>
      </c>
      <c r="AK11405" s="831">
        <v>-2146826246</v>
      </c>
    </row>
    <row r="11406" spans="2:37">
      <c r="B11406" s="834" t="str">
        <f t="shared" si="435"/>
        <v>|||</v>
      </c>
      <c r="H11406" s="835">
        <f t="shared" si="436"/>
        <v>31</v>
      </c>
      <c r="AF11406" s="831" t="s">
        <v>10373</v>
      </c>
      <c r="AG11406" s="831" t="s">
        <v>2674</v>
      </c>
      <c r="AH11406" s="831" t="s">
        <v>581</v>
      </c>
      <c r="AI11406" s="831">
        <v>0</v>
      </c>
      <c r="AJ11406" s="835">
        <v>41060</v>
      </c>
      <c r="AK11406" s="831">
        <v>-2146826246</v>
      </c>
    </row>
    <row r="11407" spans="2:37">
      <c r="B11407" s="834" t="str">
        <f t="shared" si="435"/>
        <v>|||</v>
      </c>
      <c r="H11407" s="835">
        <f t="shared" si="436"/>
        <v>31</v>
      </c>
      <c r="AF11407" s="831" t="s">
        <v>10374</v>
      </c>
      <c r="AG11407" s="831" t="s">
        <v>2674</v>
      </c>
      <c r="AH11407" s="831" t="s">
        <v>105</v>
      </c>
      <c r="AI11407" s="831">
        <v>0</v>
      </c>
      <c r="AJ11407" s="835">
        <v>41060</v>
      </c>
      <c r="AK11407" s="831">
        <v>149985593</v>
      </c>
    </row>
    <row r="11408" spans="2:37">
      <c r="B11408" s="834" t="str">
        <f t="shared" si="435"/>
        <v>|||</v>
      </c>
      <c r="H11408" s="835">
        <f t="shared" si="436"/>
        <v>31</v>
      </c>
      <c r="AF11408" s="831" t="s">
        <v>10375</v>
      </c>
      <c r="AG11408" s="831" t="s">
        <v>2674</v>
      </c>
      <c r="AH11408" s="831" t="s">
        <v>3049</v>
      </c>
      <c r="AI11408" s="831">
        <v>0</v>
      </c>
      <c r="AJ11408" s="835">
        <v>41060</v>
      </c>
      <c r="AK11408" s="831">
        <v>309400000</v>
      </c>
    </row>
    <row r="11409" spans="2:37">
      <c r="B11409" s="834" t="str">
        <f t="shared" ref="B11409:B11472" si="437">C11409&amp;"|"&amp;D11409&amp;"|"&amp;E11409&amp;"|"&amp;F11409</f>
        <v>|||</v>
      </c>
      <c r="H11409" s="835">
        <f t="shared" ref="H11409:H11472" si="438">EOMONTH(L11409,0)</f>
        <v>31</v>
      </c>
      <c r="AF11409" s="831" t="s">
        <v>10376</v>
      </c>
      <c r="AG11409" s="831" t="s">
        <v>2674</v>
      </c>
      <c r="AH11409" s="831" t="s">
        <v>103</v>
      </c>
      <c r="AI11409" s="831">
        <v>0</v>
      </c>
      <c r="AJ11409" s="835">
        <v>41060</v>
      </c>
      <c r="AK11409" s="831">
        <v>159414407</v>
      </c>
    </row>
    <row r="11410" spans="2:37">
      <c r="B11410" s="834" t="str">
        <f t="shared" si="437"/>
        <v>|||</v>
      </c>
      <c r="H11410" s="835">
        <f t="shared" si="438"/>
        <v>31</v>
      </c>
      <c r="AF11410" s="831" t="s">
        <v>10377</v>
      </c>
      <c r="AG11410" s="831" t="s">
        <v>2674</v>
      </c>
      <c r="AH11410" s="831" t="s">
        <v>182</v>
      </c>
      <c r="AI11410" s="831">
        <v>0</v>
      </c>
      <c r="AJ11410" s="835">
        <v>41060</v>
      </c>
      <c r="AK11410" s="831">
        <v>50472969.600000001</v>
      </c>
    </row>
    <row r="11411" spans="2:37">
      <c r="B11411" s="834" t="str">
        <f t="shared" si="437"/>
        <v>|||</v>
      </c>
      <c r="H11411" s="835">
        <f t="shared" si="438"/>
        <v>31</v>
      </c>
      <c r="AF11411" s="831" t="s">
        <v>10378</v>
      </c>
      <c r="AG11411" s="831" t="s">
        <v>2674</v>
      </c>
      <c r="AH11411" s="831" t="s">
        <v>6600</v>
      </c>
      <c r="AI11411" s="831">
        <v>0</v>
      </c>
      <c r="AJ11411" s="835">
        <v>41060</v>
      </c>
      <c r="AK11411" s="831">
        <v>-2146826246</v>
      </c>
    </row>
    <row r="11412" spans="2:37">
      <c r="B11412" s="834" t="str">
        <f t="shared" si="437"/>
        <v>|||</v>
      </c>
      <c r="H11412" s="835">
        <f t="shared" si="438"/>
        <v>31</v>
      </c>
      <c r="AF11412" s="831" t="s">
        <v>10379</v>
      </c>
      <c r="AG11412" s="831" t="s">
        <v>2674</v>
      </c>
      <c r="AH11412" s="831" t="s">
        <v>6602</v>
      </c>
      <c r="AI11412" s="831">
        <v>0</v>
      </c>
      <c r="AJ11412" s="835">
        <v>41060</v>
      </c>
      <c r="AK11412" s="831">
        <v>5197337</v>
      </c>
    </row>
    <row r="11413" spans="2:37">
      <c r="B11413" s="834" t="str">
        <f t="shared" si="437"/>
        <v>|||</v>
      </c>
      <c r="H11413" s="835">
        <f t="shared" si="438"/>
        <v>31</v>
      </c>
      <c r="AF11413" s="831" t="s">
        <v>10380</v>
      </c>
      <c r="AG11413" s="831" t="s">
        <v>2674</v>
      </c>
      <c r="AH11413" s="831" t="s">
        <v>650</v>
      </c>
      <c r="AI11413" s="831">
        <v>0</v>
      </c>
      <c r="AJ11413" s="835">
        <v>41060</v>
      </c>
      <c r="AK11413" s="831">
        <v>0</v>
      </c>
    </row>
    <row r="11414" spans="2:37">
      <c r="B11414" s="834" t="str">
        <f t="shared" si="437"/>
        <v>|||</v>
      </c>
      <c r="H11414" s="835">
        <f t="shared" si="438"/>
        <v>31</v>
      </c>
      <c r="AF11414" s="831" t="s">
        <v>10381</v>
      </c>
      <c r="AG11414" s="831" t="s">
        <v>2674</v>
      </c>
      <c r="AH11414" s="831" t="s">
        <v>655</v>
      </c>
      <c r="AI11414" s="831">
        <v>0</v>
      </c>
      <c r="AJ11414" s="835">
        <v>41060</v>
      </c>
      <c r="AK11414" s="831">
        <v>2125799</v>
      </c>
    </row>
    <row r="11415" spans="2:37">
      <c r="B11415" s="834" t="str">
        <f t="shared" si="437"/>
        <v>|||</v>
      </c>
      <c r="H11415" s="835">
        <f t="shared" si="438"/>
        <v>31</v>
      </c>
      <c r="AF11415" s="831" t="s">
        <v>10382</v>
      </c>
      <c r="AG11415" s="831" t="s">
        <v>2674</v>
      </c>
      <c r="AH11415" s="831" t="s">
        <v>546</v>
      </c>
      <c r="AI11415" s="831">
        <v>0</v>
      </c>
      <c r="AJ11415" s="835">
        <v>41090</v>
      </c>
      <c r="AK11415" s="831">
        <v>342628450</v>
      </c>
    </row>
    <row r="11416" spans="2:37">
      <c r="B11416" s="834" t="str">
        <f t="shared" si="437"/>
        <v>|||</v>
      </c>
      <c r="H11416" s="835">
        <f t="shared" si="438"/>
        <v>31</v>
      </c>
      <c r="AF11416" s="831" t="s">
        <v>10383</v>
      </c>
      <c r="AG11416" s="831" t="s">
        <v>2674</v>
      </c>
      <c r="AH11416" s="831" t="s">
        <v>370</v>
      </c>
      <c r="AI11416" s="831">
        <v>0</v>
      </c>
      <c r="AJ11416" s="835">
        <v>41090</v>
      </c>
      <c r="AK11416" s="831">
        <v>422295379</v>
      </c>
    </row>
    <row r="11417" spans="2:37">
      <c r="B11417" s="834" t="str">
        <f t="shared" si="437"/>
        <v>|||</v>
      </c>
      <c r="H11417" s="835">
        <f t="shared" si="438"/>
        <v>31</v>
      </c>
      <c r="AF11417" s="831" t="s">
        <v>10384</v>
      </c>
      <c r="AG11417" s="831" t="s">
        <v>2674</v>
      </c>
      <c r="AH11417" s="831" t="s">
        <v>126</v>
      </c>
      <c r="AI11417" s="831">
        <v>0</v>
      </c>
      <c r="AJ11417" s="835">
        <v>41090</v>
      </c>
      <c r="AK11417" s="831">
        <v>91675016</v>
      </c>
    </row>
    <row r="11418" spans="2:37">
      <c r="B11418" s="834" t="str">
        <f t="shared" si="437"/>
        <v>|||</v>
      </c>
      <c r="H11418" s="835">
        <f t="shared" si="438"/>
        <v>31</v>
      </c>
      <c r="AF11418" s="831" t="s">
        <v>10385</v>
      </c>
      <c r="AG11418" s="831" t="s">
        <v>2674</v>
      </c>
      <c r="AH11418" s="831" t="s">
        <v>268</v>
      </c>
      <c r="AI11418" s="831">
        <v>0</v>
      </c>
      <c r="AJ11418" s="835">
        <v>41090</v>
      </c>
      <c r="AK11418" s="831">
        <v>6352093</v>
      </c>
    </row>
    <row r="11419" spans="2:37">
      <c r="B11419" s="834" t="str">
        <f t="shared" si="437"/>
        <v>|||</v>
      </c>
      <c r="H11419" s="835">
        <f t="shared" si="438"/>
        <v>31</v>
      </c>
      <c r="AF11419" s="831" t="s">
        <v>10386</v>
      </c>
      <c r="AG11419" s="831" t="s">
        <v>2674</v>
      </c>
      <c r="AH11419" s="831" t="s">
        <v>547</v>
      </c>
      <c r="AI11419" s="831">
        <v>0</v>
      </c>
      <c r="AJ11419" s="835">
        <v>41090</v>
      </c>
      <c r="AK11419" s="831">
        <v>0</v>
      </c>
    </row>
    <row r="11420" spans="2:37">
      <c r="B11420" s="834" t="str">
        <f t="shared" si="437"/>
        <v>|||</v>
      </c>
      <c r="H11420" s="835">
        <f t="shared" si="438"/>
        <v>31</v>
      </c>
      <c r="AF11420" s="831" t="s">
        <v>10387</v>
      </c>
      <c r="AG11420" s="831" t="s">
        <v>2674</v>
      </c>
      <c r="AH11420" s="831" t="s">
        <v>548</v>
      </c>
      <c r="AI11420" s="831">
        <v>0</v>
      </c>
      <c r="AJ11420" s="835">
        <v>41090</v>
      </c>
      <c r="AK11420" s="831">
        <v>0</v>
      </c>
    </row>
    <row r="11421" spans="2:37">
      <c r="B11421" s="834" t="str">
        <f t="shared" si="437"/>
        <v>|||</v>
      </c>
      <c r="H11421" s="835">
        <f t="shared" si="438"/>
        <v>31</v>
      </c>
      <c r="AF11421" s="831" t="s">
        <v>10388</v>
      </c>
      <c r="AG11421" s="831" t="s">
        <v>2674</v>
      </c>
      <c r="AH11421" s="831" t="s">
        <v>549</v>
      </c>
      <c r="AI11421" s="831">
        <v>0</v>
      </c>
      <c r="AJ11421" s="835">
        <v>41090</v>
      </c>
      <c r="AK11421" s="831">
        <v>0</v>
      </c>
    </row>
    <row r="11422" spans="2:37">
      <c r="B11422" s="834" t="str">
        <f t="shared" si="437"/>
        <v>|||</v>
      </c>
      <c r="H11422" s="835">
        <f t="shared" si="438"/>
        <v>31</v>
      </c>
      <c r="AF11422" s="831" t="s">
        <v>10389</v>
      </c>
      <c r="AG11422" s="831" t="s">
        <v>2674</v>
      </c>
      <c r="AH11422" s="831" t="s">
        <v>192</v>
      </c>
      <c r="AI11422" s="831">
        <v>0</v>
      </c>
      <c r="AJ11422" s="835">
        <v>41090</v>
      </c>
      <c r="AK11422" s="831">
        <v>-9357224</v>
      </c>
    </row>
    <row r="11423" spans="2:37">
      <c r="B11423" s="834" t="str">
        <f t="shared" si="437"/>
        <v>|||</v>
      </c>
      <c r="H11423" s="835">
        <f t="shared" si="438"/>
        <v>31</v>
      </c>
      <c r="AF11423" s="831" t="s">
        <v>10390</v>
      </c>
      <c r="AG11423" s="831" t="s">
        <v>2674</v>
      </c>
      <c r="AH11423" s="831" t="s">
        <v>558</v>
      </c>
      <c r="AI11423" s="831">
        <v>0</v>
      </c>
      <c r="AJ11423" s="835">
        <v>41090</v>
      </c>
      <c r="AK11423" s="831">
        <v>330620363</v>
      </c>
    </row>
    <row r="11424" spans="2:37">
      <c r="B11424" s="834" t="str">
        <f t="shared" si="437"/>
        <v>|||</v>
      </c>
      <c r="H11424" s="835">
        <f t="shared" si="438"/>
        <v>31</v>
      </c>
      <c r="AF11424" s="831" t="s">
        <v>10391</v>
      </c>
      <c r="AG11424" s="831" t="s">
        <v>2674</v>
      </c>
      <c r="AH11424" s="831" t="s">
        <v>65</v>
      </c>
      <c r="AI11424" s="831">
        <v>0</v>
      </c>
      <c r="AJ11424" s="835">
        <v>41090</v>
      </c>
      <c r="AK11424" s="831">
        <v>46070355</v>
      </c>
    </row>
    <row r="11425" spans="2:37">
      <c r="B11425" s="834" t="str">
        <f t="shared" si="437"/>
        <v>|||</v>
      </c>
      <c r="H11425" s="835">
        <f t="shared" si="438"/>
        <v>31</v>
      </c>
      <c r="AF11425" s="831" t="s">
        <v>10392</v>
      </c>
      <c r="AG11425" s="831" t="s">
        <v>2674</v>
      </c>
      <c r="AH11425" s="831" t="s">
        <v>89</v>
      </c>
      <c r="AI11425" s="831">
        <v>0</v>
      </c>
      <c r="AJ11425" s="835">
        <v>41090</v>
      </c>
      <c r="AK11425" s="831">
        <v>122094</v>
      </c>
    </row>
    <row r="11426" spans="2:37">
      <c r="B11426" s="834" t="str">
        <f t="shared" si="437"/>
        <v>|||</v>
      </c>
      <c r="H11426" s="835">
        <f t="shared" si="438"/>
        <v>31</v>
      </c>
      <c r="AF11426" s="831" t="s">
        <v>10393</v>
      </c>
      <c r="AG11426" s="831" t="s">
        <v>2674</v>
      </c>
      <c r="AH11426" s="831" t="s">
        <v>557</v>
      </c>
      <c r="AI11426" s="831">
        <v>0</v>
      </c>
      <c r="AJ11426" s="835">
        <v>41090</v>
      </c>
      <c r="AK11426" s="831">
        <v>123933</v>
      </c>
    </row>
    <row r="11427" spans="2:37">
      <c r="B11427" s="834" t="str">
        <f t="shared" si="437"/>
        <v>|||</v>
      </c>
      <c r="H11427" s="835">
        <f t="shared" si="438"/>
        <v>31</v>
      </c>
      <c r="AF11427" s="831" t="s">
        <v>10394</v>
      </c>
      <c r="AG11427" s="831" t="s">
        <v>2674</v>
      </c>
      <c r="AH11427" s="831" t="s">
        <v>29</v>
      </c>
      <c r="AI11427" s="831">
        <v>0</v>
      </c>
      <c r="AJ11427" s="835">
        <v>41090</v>
      </c>
      <c r="AK11427" s="831">
        <v>2579950</v>
      </c>
    </row>
    <row r="11428" spans="2:37">
      <c r="B11428" s="834" t="str">
        <f t="shared" si="437"/>
        <v>|||</v>
      </c>
      <c r="H11428" s="835">
        <f t="shared" si="438"/>
        <v>31</v>
      </c>
      <c r="AF11428" s="831" t="s">
        <v>10395</v>
      </c>
      <c r="AG11428" s="831" t="s">
        <v>2674</v>
      </c>
      <c r="AH11428" s="831" t="s">
        <v>2688</v>
      </c>
      <c r="AI11428" s="831">
        <v>0</v>
      </c>
      <c r="AJ11428" s="835">
        <v>41090</v>
      </c>
      <c r="AK11428" s="831">
        <v>2983420</v>
      </c>
    </row>
    <row r="11429" spans="2:37">
      <c r="B11429" s="834" t="str">
        <f t="shared" si="437"/>
        <v>|||</v>
      </c>
      <c r="H11429" s="835">
        <f t="shared" si="438"/>
        <v>31</v>
      </c>
      <c r="AF11429" s="831" t="s">
        <v>10396</v>
      </c>
      <c r="AG11429" s="831" t="s">
        <v>2674</v>
      </c>
      <c r="AH11429" s="831" t="s">
        <v>556</v>
      </c>
      <c r="AI11429" s="831">
        <v>0</v>
      </c>
      <c r="AJ11429" s="835">
        <v>41090</v>
      </c>
      <c r="AK11429" s="831">
        <v>0</v>
      </c>
    </row>
    <row r="11430" spans="2:37">
      <c r="B11430" s="834" t="str">
        <f t="shared" si="437"/>
        <v>|||</v>
      </c>
      <c r="H11430" s="835">
        <f t="shared" si="438"/>
        <v>31</v>
      </c>
      <c r="AF11430" s="831" t="s">
        <v>10397</v>
      </c>
      <c r="AG11430" s="831" t="s">
        <v>2674</v>
      </c>
      <c r="AH11430" s="831" t="s">
        <v>555</v>
      </c>
      <c r="AI11430" s="831">
        <v>0</v>
      </c>
      <c r="AJ11430" s="835">
        <v>41090</v>
      </c>
      <c r="AK11430" s="831">
        <v>197249400</v>
      </c>
    </row>
    <row r="11431" spans="2:37">
      <c r="B11431" s="834" t="str">
        <f t="shared" si="437"/>
        <v>|||</v>
      </c>
      <c r="H11431" s="835">
        <f t="shared" si="438"/>
        <v>31</v>
      </c>
      <c r="AF11431" s="831" t="s">
        <v>10398</v>
      </c>
      <c r="AG11431" s="831" t="s">
        <v>2674</v>
      </c>
      <c r="AH11431" s="831" t="s">
        <v>554</v>
      </c>
      <c r="AI11431" s="831">
        <v>0</v>
      </c>
      <c r="AJ11431" s="835">
        <v>41090</v>
      </c>
      <c r="AK11431" s="831">
        <v>196927620</v>
      </c>
    </row>
    <row r="11432" spans="2:37">
      <c r="B11432" s="834" t="str">
        <f t="shared" si="437"/>
        <v>|||</v>
      </c>
      <c r="H11432" s="835">
        <f t="shared" si="438"/>
        <v>31</v>
      </c>
      <c r="AF11432" s="831" t="s">
        <v>10399</v>
      </c>
      <c r="AG11432" s="831" t="s">
        <v>2674</v>
      </c>
      <c r="AH11432" s="831" t="s">
        <v>553</v>
      </c>
      <c r="AI11432" s="831">
        <v>0</v>
      </c>
      <c r="AJ11432" s="835">
        <v>41090</v>
      </c>
      <c r="AK11432" s="831">
        <v>0</v>
      </c>
    </row>
    <row r="11433" spans="2:37">
      <c r="B11433" s="834" t="str">
        <f t="shared" si="437"/>
        <v>|||</v>
      </c>
      <c r="H11433" s="835">
        <f t="shared" si="438"/>
        <v>31</v>
      </c>
      <c r="AF11433" s="831" t="s">
        <v>10400</v>
      </c>
      <c r="AG11433" s="831" t="s">
        <v>2674</v>
      </c>
      <c r="AH11433" s="831" t="s">
        <v>552</v>
      </c>
      <c r="AI11433" s="831">
        <v>0</v>
      </c>
      <c r="AJ11433" s="835">
        <v>41090</v>
      </c>
      <c r="AK11433" s="831">
        <v>0</v>
      </c>
    </row>
    <row r="11434" spans="2:37">
      <c r="B11434" s="834" t="str">
        <f t="shared" si="437"/>
        <v>|||</v>
      </c>
      <c r="H11434" s="835">
        <f t="shared" si="438"/>
        <v>31</v>
      </c>
      <c r="AF11434" s="831" t="s">
        <v>10401</v>
      </c>
      <c r="AG11434" s="831" t="s">
        <v>2674</v>
      </c>
      <c r="AH11434" s="831" t="s">
        <v>551</v>
      </c>
      <c r="AI11434" s="831">
        <v>0</v>
      </c>
      <c r="AJ11434" s="835">
        <v>41090</v>
      </c>
      <c r="AK11434" s="831">
        <v>2420279</v>
      </c>
    </row>
    <row r="11435" spans="2:37">
      <c r="B11435" s="834" t="str">
        <f t="shared" si="437"/>
        <v>|||</v>
      </c>
      <c r="H11435" s="835">
        <f t="shared" si="438"/>
        <v>31</v>
      </c>
      <c r="AF11435" s="831" t="s">
        <v>10402</v>
      </c>
      <c r="AG11435" s="831" t="s">
        <v>2674</v>
      </c>
      <c r="AH11435" s="831" t="s">
        <v>550</v>
      </c>
      <c r="AI11435" s="831">
        <v>0</v>
      </c>
      <c r="AJ11435" s="835">
        <v>41090</v>
      </c>
      <c r="AK11435" s="831">
        <v>90520261</v>
      </c>
    </row>
    <row r="11436" spans="2:37">
      <c r="B11436" s="834" t="str">
        <f t="shared" si="437"/>
        <v>|||</v>
      </c>
      <c r="H11436" s="835">
        <f t="shared" si="438"/>
        <v>31</v>
      </c>
      <c r="AF11436" s="831" t="s">
        <v>10403</v>
      </c>
      <c r="AG11436" s="831" t="s">
        <v>2674</v>
      </c>
      <c r="AH11436" s="831" t="s">
        <v>562</v>
      </c>
      <c r="AI11436" s="831">
        <v>0</v>
      </c>
      <c r="AJ11436" s="835">
        <v>41090</v>
      </c>
      <c r="AK11436" s="831">
        <v>0.78505000000000003</v>
      </c>
    </row>
    <row r="11437" spans="2:37">
      <c r="B11437" s="834" t="str">
        <f t="shared" si="437"/>
        <v>|||</v>
      </c>
      <c r="H11437" s="835">
        <f t="shared" si="438"/>
        <v>31</v>
      </c>
      <c r="AF11437" s="831" t="s">
        <v>10404</v>
      </c>
      <c r="AG11437" s="831" t="s">
        <v>2674</v>
      </c>
      <c r="AH11437" s="831" t="s">
        <v>2698</v>
      </c>
      <c r="AI11437" s="831">
        <v>0</v>
      </c>
      <c r="AJ11437" s="835">
        <v>41090</v>
      </c>
      <c r="AK11437" s="831">
        <v>0.78515000000000001</v>
      </c>
    </row>
    <row r="11438" spans="2:37">
      <c r="B11438" s="834" t="str">
        <f t="shared" si="437"/>
        <v>|||</v>
      </c>
      <c r="H11438" s="835">
        <f t="shared" si="438"/>
        <v>31</v>
      </c>
      <c r="AF11438" s="831" t="s">
        <v>10405</v>
      </c>
      <c r="AG11438" s="831" t="s">
        <v>2674</v>
      </c>
      <c r="AH11438" s="831" t="s">
        <v>560</v>
      </c>
      <c r="AI11438" s="831">
        <v>0</v>
      </c>
      <c r="AJ11438" s="835">
        <v>41090</v>
      </c>
      <c r="AK11438" s="831">
        <v>0.78567500000000001</v>
      </c>
    </row>
    <row r="11439" spans="2:37">
      <c r="B11439" s="834" t="str">
        <f t="shared" si="437"/>
        <v>|||</v>
      </c>
      <c r="H11439" s="835">
        <f t="shared" si="438"/>
        <v>31</v>
      </c>
      <c r="AF11439" s="831" t="s">
        <v>10406</v>
      </c>
      <c r="AG11439" s="831" t="s">
        <v>2674</v>
      </c>
      <c r="AH11439" s="831" t="s">
        <v>559</v>
      </c>
      <c r="AI11439" s="831">
        <v>0</v>
      </c>
      <c r="AJ11439" s="835">
        <v>41090</v>
      </c>
      <c r="AK11439" s="831">
        <v>0.78561666666666674</v>
      </c>
    </row>
    <row r="11440" spans="2:37">
      <c r="B11440" s="834" t="str">
        <f t="shared" si="437"/>
        <v>|||</v>
      </c>
      <c r="H11440" s="835">
        <f t="shared" si="438"/>
        <v>31</v>
      </c>
      <c r="AF11440" s="831" t="s">
        <v>10407</v>
      </c>
      <c r="AG11440" s="831" t="s">
        <v>2674</v>
      </c>
      <c r="AH11440" s="831" t="s">
        <v>568</v>
      </c>
      <c r="AI11440" s="831">
        <v>0</v>
      </c>
      <c r="AJ11440" s="835">
        <v>41090</v>
      </c>
      <c r="AK11440" s="831">
        <v>0</v>
      </c>
    </row>
    <row r="11441" spans="2:37">
      <c r="B11441" s="834" t="str">
        <f t="shared" si="437"/>
        <v>|||</v>
      </c>
      <c r="H11441" s="835">
        <f t="shared" si="438"/>
        <v>31</v>
      </c>
      <c r="AF11441" s="831" t="s">
        <v>10408</v>
      </c>
      <c r="AG11441" s="831" t="s">
        <v>2674</v>
      </c>
      <c r="AH11441" s="831" t="s">
        <v>569</v>
      </c>
      <c r="AI11441" s="831">
        <v>0</v>
      </c>
      <c r="AJ11441" s="835">
        <v>41090</v>
      </c>
      <c r="AK11441" s="831">
        <v>0</v>
      </c>
    </row>
    <row r="11442" spans="2:37">
      <c r="B11442" s="834" t="str">
        <f t="shared" si="437"/>
        <v>|||</v>
      </c>
      <c r="H11442" s="835">
        <f t="shared" si="438"/>
        <v>31</v>
      </c>
      <c r="AF11442" s="831" t="s">
        <v>10409</v>
      </c>
      <c r="AG11442" s="831" t="s">
        <v>2674</v>
      </c>
      <c r="AH11442" s="831" t="s">
        <v>570</v>
      </c>
      <c r="AI11442" s="831">
        <v>0</v>
      </c>
      <c r="AJ11442" s="835">
        <v>41090</v>
      </c>
      <c r="AK11442" s="831">
        <v>0</v>
      </c>
    </row>
    <row r="11443" spans="2:37">
      <c r="B11443" s="834" t="str">
        <f t="shared" si="437"/>
        <v>|||</v>
      </c>
      <c r="H11443" s="835">
        <f t="shared" si="438"/>
        <v>31</v>
      </c>
      <c r="AF11443" s="831" t="s">
        <v>10410</v>
      </c>
      <c r="AG11443" s="831" t="s">
        <v>2674</v>
      </c>
      <c r="AH11443" s="831" t="s">
        <v>571</v>
      </c>
      <c r="AI11443" s="831">
        <v>0</v>
      </c>
      <c r="AJ11443" s="835">
        <v>41090</v>
      </c>
      <c r="AK11443" s="831">
        <v>0</v>
      </c>
    </row>
    <row r="11444" spans="2:37">
      <c r="B11444" s="834" t="str">
        <f t="shared" si="437"/>
        <v>|||</v>
      </c>
      <c r="H11444" s="835">
        <f t="shared" si="438"/>
        <v>31</v>
      </c>
      <c r="AF11444" s="831" t="s">
        <v>10411</v>
      </c>
      <c r="AG11444" s="831" t="s">
        <v>2674</v>
      </c>
      <c r="AH11444" s="831" t="s">
        <v>573</v>
      </c>
      <c r="AI11444" s="831">
        <v>0</v>
      </c>
      <c r="AJ11444" s="835">
        <v>41090</v>
      </c>
      <c r="AK11444" s="831">
        <v>0</v>
      </c>
    </row>
    <row r="11445" spans="2:37">
      <c r="B11445" s="834" t="str">
        <f t="shared" si="437"/>
        <v>|||</v>
      </c>
      <c r="H11445" s="835">
        <f t="shared" si="438"/>
        <v>31</v>
      </c>
      <c r="AF11445" s="831" t="s">
        <v>10412</v>
      </c>
      <c r="AG11445" s="831" t="s">
        <v>2674</v>
      </c>
      <c r="AH11445" s="831" t="s">
        <v>574</v>
      </c>
      <c r="AI11445" s="831">
        <v>0</v>
      </c>
      <c r="AJ11445" s="835">
        <v>41090</v>
      </c>
      <c r="AK11445" s="831">
        <v>0</v>
      </c>
    </row>
    <row r="11446" spans="2:37">
      <c r="B11446" s="834" t="str">
        <f t="shared" si="437"/>
        <v>|||</v>
      </c>
      <c r="H11446" s="835">
        <f t="shared" si="438"/>
        <v>31</v>
      </c>
      <c r="AF11446" s="831" t="s">
        <v>10413</v>
      </c>
      <c r="AG11446" s="831" t="s">
        <v>2674</v>
      </c>
      <c r="AH11446" s="831" t="s">
        <v>575</v>
      </c>
      <c r="AI11446" s="831">
        <v>0</v>
      </c>
      <c r="AJ11446" s="835">
        <v>41090</v>
      </c>
      <c r="AK11446" s="831">
        <v>0</v>
      </c>
    </row>
    <row r="11447" spans="2:37">
      <c r="B11447" s="834" t="str">
        <f t="shared" si="437"/>
        <v>|||</v>
      </c>
      <c r="H11447" s="835">
        <f t="shared" si="438"/>
        <v>31</v>
      </c>
      <c r="AF11447" s="831" t="s">
        <v>10414</v>
      </c>
      <c r="AG11447" s="831" t="s">
        <v>2674</v>
      </c>
      <c r="AH11447" s="831" t="s">
        <v>576</v>
      </c>
      <c r="AI11447" s="831">
        <v>0</v>
      </c>
      <c r="AJ11447" s="835">
        <v>41090</v>
      </c>
      <c r="AK11447" s="831">
        <v>0</v>
      </c>
    </row>
    <row r="11448" spans="2:37">
      <c r="B11448" s="834" t="str">
        <f t="shared" si="437"/>
        <v>|||</v>
      </c>
      <c r="H11448" s="835">
        <f t="shared" si="438"/>
        <v>31</v>
      </c>
      <c r="AF11448" s="831" t="s">
        <v>10415</v>
      </c>
      <c r="AG11448" s="831" t="s">
        <v>2674</v>
      </c>
      <c r="AH11448" s="831" t="s">
        <v>572</v>
      </c>
      <c r="AI11448" s="831">
        <v>0</v>
      </c>
      <c r="AJ11448" s="835">
        <v>41090</v>
      </c>
      <c r="AK11448" s="831">
        <v>-2146826246</v>
      </c>
    </row>
    <row r="11449" spans="2:37">
      <c r="B11449" s="834" t="str">
        <f t="shared" si="437"/>
        <v>|||</v>
      </c>
      <c r="H11449" s="835">
        <f t="shared" si="438"/>
        <v>31</v>
      </c>
      <c r="AF11449" s="831" t="s">
        <v>10416</v>
      </c>
      <c r="AG11449" s="831" t="s">
        <v>2674</v>
      </c>
      <c r="AH11449" s="831" t="s">
        <v>577</v>
      </c>
      <c r="AI11449" s="831">
        <v>0</v>
      </c>
      <c r="AJ11449" s="835">
        <v>41090</v>
      </c>
      <c r="AK11449" s="831">
        <v>-2146826246</v>
      </c>
    </row>
    <row r="11450" spans="2:37">
      <c r="B11450" s="834" t="str">
        <f t="shared" si="437"/>
        <v>|||</v>
      </c>
      <c r="H11450" s="835">
        <f t="shared" si="438"/>
        <v>31</v>
      </c>
      <c r="AF11450" s="831" t="s">
        <v>10417</v>
      </c>
      <c r="AG11450" s="831" t="s">
        <v>2674</v>
      </c>
      <c r="AH11450" s="831" t="s">
        <v>3042</v>
      </c>
      <c r="AI11450" s="831">
        <v>0</v>
      </c>
      <c r="AJ11450" s="835">
        <v>41090</v>
      </c>
      <c r="AK11450" s="831">
        <v>-2146826246</v>
      </c>
    </row>
    <row r="11451" spans="2:37">
      <c r="B11451" s="834" t="str">
        <f t="shared" si="437"/>
        <v>|||</v>
      </c>
      <c r="H11451" s="835">
        <f t="shared" si="438"/>
        <v>31</v>
      </c>
      <c r="AF11451" s="831" t="s">
        <v>10418</v>
      </c>
      <c r="AG11451" s="831" t="s">
        <v>2674</v>
      </c>
      <c r="AH11451" s="831" t="s">
        <v>3044</v>
      </c>
      <c r="AI11451" s="831">
        <v>0</v>
      </c>
      <c r="AJ11451" s="835">
        <v>41090</v>
      </c>
      <c r="AK11451" s="831">
        <v>-2146826246</v>
      </c>
    </row>
    <row r="11452" spans="2:37">
      <c r="B11452" s="834" t="str">
        <f t="shared" si="437"/>
        <v>|||</v>
      </c>
      <c r="H11452" s="835">
        <f t="shared" si="438"/>
        <v>31</v>
      </c>
      <c r="AF11452" s="831" t="s">
        <v>10419</v>
      </c>
      <c r="AG11452" s="831" t="s">
        <v>2674</v>
      </c>
      <c r="AH11452" s="831" t="s">
        <v>580</v>
      </c>
      <c r="AI11452" s="831">
        <v>0</v>
      </c>
      <c r="AJ11452" s="835">
        <v>41090</v>
      </c>
      <c r="AK11452" s="831">
        <v>-2146826246</v>
      </c>
    </row>
    <row r="11453" spans="2:37">
      <c r="B11453" s="834" t="str">
        <f t="shared" si="437"/>
        <v>|||</v>
      </c>
      <c r="H11453" s="835">
        <f t="shared" si="438"/>
        <v>31</v>
      </c>
      <c r="AF11453" s="831" t="s">
        <v>10420</v>
      </c>
      <c r="AG11453" s="831" t="s">
        <v>2674</v>
      </c>
      <c r="AH11453" s="831" t="s">
        <v>581</v>
      </c>
      <c r="AI11453" s="831">
        <v>0</v>
      </c>
      <c r="AJ11453" s="835">
        <v>41090</v>
      </c>
      <c r="AK11453" s="831">
        <v>-2146826246</v>
      </c>
    </row>
    <row r="11454" spans="2:37">
      <c r="B11454" s="834" t="str">
        <f t="shared" si="437"/>
        <v>|||</v>
      </c>
      <c r="H11454" s="835">
        <f t="shared" si="438"/>
        <v>31</v>
      </c>
      <c r="AF11454" s="831" t="s">
        <v>10421</v>
      </c>
      <c r="AG11454" s="831" t="s">
        <v>2674</v>
      </c>
      <c r="AH11454" s="831" t="s">
        <v>105</v>
      </c>
      <c r="AI11454" s="831">
        <v>0</v>
      </c>
      <c r="AJ11454" s="835">
        <v>41090</v>
      </c>
      <c r="AK11454" s="831">
        <v>152917631</v>
      </c>
    </row>
    <row r="11455" spans="2:37">
      <c r="B11455" s="834" t="str">
        <f t="shared" si="437"/>
        <v>|||</v>
      </c>
      <c r="H11455" s="835">
        <f t="shared" si="438"/>
        <v>31</v>
      </c>
      <c r="AF11455" s="831" t="s">
        <v>10422</v>
      </c>
      <c r="AG11455" s="831" t="s">
        <v>2674</v>
      </c>
      <c r="AH11455" s="831" t="s">
        <v>3049</v>
      </c>
      <c r="AI11455" s="831">
        <v>0</v>
      </c>
      <c r="AJ11455" s="835">
        <v>41090</v>
      </c>
      <c r="AK11455" s="831">
        <v>317640148</v>
      </c>
    </row>
    <row r="11456" spans="2:37">
      <c r="B11456" s="834" t="str">
        <f t="shared" si="437"/>
        <v>|||</v>
      </c>
      <c r="H11456" s="835">
        <f t="shared" si="438"/>
        <v>31</v>
      </c>
      <c r="AF11456" s="831" t="s">
        <v>10423</v>
      </c>
      <c r="AG11456" s="831" t="s">
        <v>2674</v>
      </c>
      <c r="AH11456" s="831" t="s">
        <v>103</v>
      </c>
      <c r="AI11456" s="831">
        <v>0</v>
      </c>
      <c r="AJ11456" s="835">
        <v>41090</v>
      </c>
      <c r="AK11456" s="831">
        <v>164722517</v>
      </c>
    </row>
    <row r="11457" spans="2:37">
      <c r="B11457" s="834" t="str">
        <f t="shared" si="437"/>
        <v>|||</v>
      </c>
      <c r="H11457" s="835">
        <f t="shared" si="438"/>
        <v>31</v>
      </c>
      <c r="AF11457" s="831" t="s">
        <v>10424</v>
      </c>
      <c r="AG11457" s="831" t="s">
        <v>2674</v>
      </c>
      <c r="AH11457" s="831" t="s">
        <v>182</v>
      </c>
      <c r="AI11457" s="831">
        <v>0</v>
      </c>
      <c r="AJ11457" s="835">
        <v>41090</v>
      </c>
      <c r="AK11457" s="831">
        <v>51276754</v>
      </c>
    </row>
    <row r="11458" spans="2:37">
      <c r="B11458" s="834" t="str">
        <f t="shared" si="437"/>
        <v>|||</v>
      </c>
      <c r="H11458" s="835">
        <f t="shared" si="438"/>
        <v>31</v>
      </c>
      <c r="AF11458" s="831" t="s">
        <v>10425</v>
      </c>
      <c r="AG11458" s="831" t="s">
        <v>2674</v>
      </c>
      <c r="AH11458" s="831" t="s">
        <v>6600</v>
      </c>
      <c r="AI11458" s="831">
        <v>0</v>
      </c>
      <c r="AJ11458" s="835">
        <v>41090</v>
      </c>
      <c r="AK11458" s="831">
        <v>-2146826246</v>
      </c>
    </row>
    <row r="11459" spans="2:37">
      <c r="B11459" s="834" t="str">
        <f t="shared" si="437"/>
        <v>|||</v>
      </c>
      <c r="H11459" s="835">
        <f t="shared" si="438"/>
        <v>31</v>
      </c>
      <c r="AF11459" s="831" t="s">
        <v>10426</v>
      </c>
      <c r="AG11459" s="831" t="s">
        <v>2674</v>
      </c>
      <c r="AH11459" s="831" t="s">
        <v>6602</v>
      </c>
      <c r="AI11459" s="831">
        <v>0</v>
      </c>
      <c r="AJ11459" s="835">
        <v>41090</v>
      </c>
      <c r="AK11459" s="831">
        <v>6352093</v>
      </c>
    </row>
    <row r="11460" spans="2:37">
      <c r="B11460" s="834" t="str">
        <f t="shared" si="437"/>
        <v>|||</v>
      </c>
      <c r="H11460" s="835">
        <f t="shared" si="438"/>
        <v>31</v>
      </c>
      <c r="AF11460" s="831" t="s">
        <v>10427</v>
      </c>
      <c r="AG11460" s="831" t="s">
        <v>2674</v>
      </c>
      <c r="AH11460" s="831" t="s">
        <v>650</v>
      </c>
      <c r="AI11460" s="831">
        <v>0</v>
      </c>
      <c r="AJ11460" s="835">
        <v>41090</v>
      </c>
      <c r="AK11460" s="831">
        <v>0</v>
      </c>
    </row>
    <row r="11461" spans="2:37">
      <c r="B11461" s="834" t="str">
        <f t="shared" si="437"/>
        <v>|||</v>
      </c>
      <c r="H11461" s="835">
        <f t="shared" si="438"/>
        <v>31</v>
      </c>
      <c r="AF11461" s="831" t="s">
        <v>10428</v>
      </c>
      <c r="AG11461" s="831" t="s">
        <v>2674</v>
      </c>
      <c r="AH11461" s="831" t="s">
        <v>655</v>
      </c>
      <c r="AI11461" s="831">
        <v>0</v>
      </c>
      <c r="AJ11461" s="835">
        <v>41090</v>
      </c>
      <c r="AK11461" s="831">
        <v>2251978</v>
      </c>
    </row>
    <row r="11462" spans="2:37">
      <c r="B11462" s="834" t="str">
        <f t="shared" si="437"/>
        <v>|||</v>
      </c>
      <c r="H11462" s="835">
        <f t="shared" si="438"/>
        <v>31</v>
      </c>
      <c r="AF11462" s="831" t="s">
        <v>10429</v>
      </c>
      <c r="AG11462" s="831" t="s">
        <v>2674</v>
      </c>
      <c r="AH11462" s="831" t="s">
        <v>546</v>
      </c>
      <c r="AI11462" s="831">
        <v>0</v>
      </c>
      <c r="AJ11462" s="835">
        <v>41121</v>
      </c>
      <c r="AK11462" s="831">
        <v>350104350</v>
      </c>
    </row>
    <row r="11463" spans="2:37">
      <c r="B11463" s="834" t="str">
        <f t="shared" si="437"/>
        <v>|||</v>
      </c>
      <c r="H11463" s="835">
        <f t="shared" si="438"/>
        <v>31</v>
      </c>
      <c r="AF11463" s="831" t="s">
        <v>10430</v>
      </c>
      <c r="AG11463" s="831" t="s">
        <v>2674</v>
      </c>
      <c r="AH11463" s="831" t="s">
        <v>370</v>
      </c>
      <c r="AI11463" s="831">
        <v>0</v>
      </c>
      <c r="AJ11463" s="835">
        <v>41121</v>
      </c>
      <c r="AK11463" s="831">
        <v>438122032</v>
      </c>
    </row>
    <row r="11464" spans="2:37">
      <c r="B11464" s="834" t="str">
        <f t="shared" si="437"/>
        <v>|||</v>
      </c>
      <c r="H11464" s="835">
        <f t="shared" si="438"/>
        <v>31</v>
      </c>
      <c r="AF11464" s="831" t="s">
        <v>10431</v>
      </c>
      <c r="AG11464" s="831" t="s">
        <v>2674</v>
      </c>
      <c r="AH11464" s="831" t="s">
        <v>126</v>
      </c>
      <c r="AI11464" s="831">
        <v>0</v>
      </c>
      <c r="AJ11464" s="835">
        <v>41121</v>
      </c>
      <c r="AK11464" s="831">
        <v>93426827</v>
      </c>
    </row>
    <row r="11465" spans="2:37">
      <c r="B11465" s="834" t="str">
        <f t="shared" si="437"/>
        <v>|||</v>
      </c>
      <c r="H11465" s="835">
        <f t="shared" si="438"/>
        <v>31</v>
      </c>
      <c r="AF11465" s="831" t="s">
        <v>10432</v>
      </c>
      <c r="AG11465" s="831" t="s">
        <v>2674</v>
      </c>
      <c r="AH11465" s="831" t="s">
        <v>268</v>
      </c>
      <c r="AI11465" s="831">
        <v>0</v>
      </c>
      <c r="AJ11465" s="835">
        <v>41121</v>
      </c>
      <c r="AK11465" s="831">
        <v>8103905</v>
      </c>
    </row>
    <row r="11466" spans="2:37">
      <c r="B11466" s="834" t="str">
        <f t="shared" si="437"/>
        <v>|||</v>
      </c>
      <c r="H11466" s="835">
        <f t="shared" si="438"/>
        <v>31</v>
      </c>
      <c r="AF11466" s="831" t="s">
        <v>10433</v>
      </c>
      <c r="AG11466" s="831" t="s">
        <v>2674</v>
      </c>
      <c r="AH11466" s="831" t="s">
        <v>547</v>
      </c>
      <c r="AI11466" s="831">
        <v>0</v>
      </c>
      <c r="AJ11466" s="835">
        <v>41121</v>
      </c>
      <c r="AK11466" s="831">
        <v>0</v>
      </c>
    </row>
    <row r="11467" spans="2:37">
      <c r="B11467" s="834" t="str">
        <f t="shared" si="437"/>
        <v>|||</v>
      </c>
      <c r="H11467" s="835">
        <f t="shared" si="438"/>
        <v>31</v>
      </c>
      <c r="AF11467" s="831" t="s">
        <v>10434</v>
      </c>
      <c r="AG11467" s="831" t="s">
        <v>2674</v>
      </c>
      <c r="AH11467" s="831" t="s">
        <v>548</v>
      </c>
      <c r="AI11467" s="831">
        <v>0</v>
      </c>
      <c r="AJ11467" s="835">
        <v>41121</v>
      </c>
      <c r="AK11467" s="831">
        <v>0</v>
      </c>
    </row>
    <row r="11468" spans="2:37">
      <c r="B11468" s="834" t="str">
        <f t="shared" si="437"/>
        <v>|||</v>
      </c>
      <c r="H11468" s="835">
        <f t="shared" si="438"/>
        <v>31</v>
      </c>
      <c r="AF11468" s="831" t="s">
        <v>10435</v>
      </c>
      <c r="AG11468" s="831" t="s">
        <v>2674</v>
      </c>
      <c r="AH11468" s="831" t="s">
        <v>549</v>
      </c>
      <c r="AI11468" s="831">
        <v>0</v>
      </c>
      <c r="AJ11468" s="835">
        <v>41121</v>
      </c>
      <c r="AK11468" s="831">
        <v>0</v>
      </c>
    </row>
    <row r="11469" spans="2:37">
      <c r="B11469" s="834" t="str">
        <f t="shared" si="437"/>
        <v>|||</v>
      </c>
      <c r="H11469" s="835">
        <f t="shared" si="438"/>
        <v>31</v>
      </c>
      <c r="AF11469" s="831" t="s">
        <v>10436</v>
      </c>
      <c r="AG11469" s="831" t="s">
        <v>2674</v>
      </c>
      <c r="AH11469" s="831" t="s">
        <v>192</v>
      </c>
      <c r="AI11469" s="831">
        <v>0</v>
      </c>
      <c r="AJ11469" s="835">
        <v>41121</v>
      </c>
      <c r="AK11469" s="831">
        <v>-9691486</v>
      </c>
    </row>
    <row r="11470" spans="2:37">
      <c r="B11470" s="834" t="str">
        <f t="shared" si="437"/>
        <v>|||</v>
      </c>
      <c r="H11470" s="835">
        <f t="shared" si="438"/>
        <v>31</v>
      </c>
      <c r="AF11470" s="831" t="s">
        <v>10437</v>
      </c>
      <c r="AG11470" s="831" t="s">
        <v>2674</v>
      </c>
      <c r="AH11470" s="831" t="s">
        <v>558</v>
      </c>
      <c r="AI11470" s="831">
        <v>0</v>
      </c>
      <c r="AJ11470" s="835">
        <v>41121</v>
      </c>
      <c r="AK11470" s="831">
        <v>344695205</v>
      </c>
    </row>
    <row r="11471" spans="2:37">
      <c r="B11471" s="834" t="str">
        <f t="shared" si="437"/>
        <v>|||</v>
      </c>
      <c r="H11471" s="835">
        <f t="shared" si="438"/>
        <v>31</v>
      </c>
      <c r="AF11471" s="831" t="s">
        <v>10438</v>
      </c>
      <c r="AG11471" s="831" t="s">
        <v>2674</v>
      </c>
      <c r="AH11471" s="831" t="s">
        <v>65</v>
      </c>
      <c r="AI11471" s="831">
        <v>0</v>
      </c>
      <c r="AJ11471" s="835">
        <v>41121</v>
      </c>
      <c r="AK11471" s="831">
        <v>54573964</v>
      </c>
    </row>
    <row r="11472" spans="2:37">
      <c r="B11472" s="834" t="str">
        <f t="shared" si="437"/>
        <v>|||</v>
      </c>
      <c r="H11472" s="835">
        <f t="shared" si="438"/>
        <v>31</v>
      </c>
      <c r="AF11472" s="831" t="s">
        <v>10439</v>
      </c>
      <c r="AG11472" s="831" t="s">
        <v>2674</v>
      </c>
      <c r="AH11472" s="831" t="s">
        <v>89</v>
      </c>
      <c r="AI11472" s="831">
        <v>0</v>
      </c>
      <c r="AJ11472" s="835">
        <v>41121</v>
      </c>
      <c r="AK11472" s="831">
        <v>121835</v>
      </c>
    </row>
    <row r="11473" spans="2:37">
      <c r="B11473" s="834" t="str">
        <f t="shared" ref="B11473:B11536" si="439">C11473&amp;"|"&amp;D11473&amp;"|"&amp;E11473&amp;"|"&amp;F11473</f>
        <v>|||</v>
      </c>
      <c r="H11473" s="835">
        <f t="shared" ref="H11473:H11536" si="440">EOMONTH(L11473,0)</f>
        <v>31</v>
      </c>
      <c r="AF11473" s="831" t="s">
        <v>10440</v>
      </c>
      <c r="AG11473" s="831" t="s">
        <v>2674</v>
      </c>
      <c r="AH11473" s="831" t="s">
        <v>557</v>
      </c>
      <c r="AI11473" s="831">
        <v>0</v>
      </c>
      <c r="AJ11473" s="835">
        <v>41121</v>
      </c>
      <c r="AK11473" s="831">
        <v>123680</v>
      </c>
    </row>
    <row r="11474" spans="2:37">
      <c r="B11474" s="834" t="str">
        <f t="shared" si="439"/>
        <v>|||</v>
      </c>
      <c r="H11474" s="835">
        <f t="shared" si="440"/>
        <v>31</v>
      </c>
      <c r="AF11474" s="831" t="s">
        <v>10441</v>
      </c>
      <c r="AG11474" s="831" t="s">
        <v>2674</v>
      </c>
      <c r="AH11474" s="831" t="s">
        <v>29</v>
      </c>
      <c r="AI11474" s="831">
        <v>0</v>
      </c>
      <c r="AJ11474" s="835">
        <v>41121</v>
      </c>
      <c r="AK11474" s="831">
        <v>2520940</v>
      </c>
    </row>
    <row r="11475" spans="2:37">
      <c r="B11475" s="834" t="str">
        <f t="shared" si="439"/>
        <v>|||</v>
      </c>
      <c r="H11475" s="835">
        <f t="shared" si="440"/>
        <v>31</v>
      </c>
      <c r="AF11475" s="831" t="s">
        <v>10442</v>
      </c>
      <c r="AG11475" s="831" t="s">
        <v>2674</v>
      </c>
      <c r="AH11475" s="831" t="s">
        <v>2688</v>
      </c>
      <c r="AI11475" s="831">
        <v>0</v>
      </c>
      <c r="AJ11475" s="835">
        <v>41121</v>
      </c>
      <c r="AK11475" s="831">
        <v>2874987.63</v>
      </c>
    </row>
    <row r="11476" spans="2:37">
      <c r="B11476" s="834" t="str">
        <f t="shared" si="439"/>
        <v>|||</v>
      </c>
      <c r="H11476" s="835">
        <f t="shared" si="440"/>
        <v>31</v>
      </c>
      <c r="AF11476" s="831" t="s">
        <v>10443</v>
      </c>
      <c r="AG11476" s="831" t="s">
        <v>2674</v>
      </c>
      <c r="AH11476" s="831" t="s">
        <v>556</v>
      </c>
      <c r="AI11476" s="831">
        <v>0</v>
      </c>
      <c r="AJ11476" s="835">
        <v>41121</v>
      </c>
      <c r="AK11476" s="831">
        <v>0</v>
      </c>
    </row>
    <row r="11477" spans="2:37">
      <c r="B11477" s="834" t="str">
        <f t="shared" si="439"/>
        <v>|||</v>
      </c>
      <c r="H11477" s="835">
        <f t="shared" si="440"/>
        <v>31</v>
      </c>
      <c r="AF11477" s="831" t="s">
        <v>10444</v>
      </c>
      <c r="AG11477" s="831" t="s">
        <v>2674</v>
      </c>
      <c r="AH11477" s="831" t="s">
        <v>555</v>
      </c>
      <c r="AI11477" s="831">
        <v>0</v>
      </c>
      <c r="AJ11477" s="835">
        <v>41121</v>
      </c>
      <c r="AK11477" s="831">
        <v>212532560</v>
      </c>
    </row>
    <row r="11478" spans="2:37">
      <c r="B11478" s="834" t="str">
        <f t="shared" si="439"/>
        <v>|||</v>
      </c>
      <c r="H11478" s="835">
        <f t="shared" si="440"/>
        <v>31</v>
      </c>
      <c r="AF11478" s="831" t="s">
        <v>10445</v>
      </c>
      <c r="AG11478" s="831" t="s">
        <v>2674</v>
      </c>
      <c r="AH11478" s="831" t="s">
        <v>554</v>
      </c>
      <c r="AI11478" s="831">
        <v>0</v>
      </c>
      <c r="AJ11478" s="835">
        <v>41121</v>
      </c>
      <c r="AK11478" s="831">
        <v>206644050</v>
      </c>
    </row>
    <row r="11479" spans="2:37">
      <c r="B11479" s="834" t="str">
        <f t="shared" si="439"/>
        <v>|||</v>
      </c>
      <c r="H11479" s="835">
        <f t="shared" si="440"/>
        <v>31</v>
      </c>
      <c r="AF11479" s="831" t="s">
        <v>10446</v>
      </c>
      <c r="AG11479" s="831" t="s">
        <v>2674</v>
      </c>
      <c r="AH11479" s="831" t="s">
        <v>553</v>
      </c>
      <c r="AI11479" s="831">
        <v>0</v>
      </c>
      <c r="AJ11479" s="835">
        <v>41121</v>
      </c>
      <c r="AK11479" s="831">
        <v>0</v>
      </c>
    </row>
    <row r="11480" spans="2:37">
      <c r="B11480" s="834" t="str">
        <f t="shared" si="439"/>
        <v>|||</v>
      </c>
      <c r="H11480" s="835">
        <f t="shared" si="440"/>
        <v>31</v>
      </c>
      <c r="AF11480" s="831" t="s">
        <v>10447</v>
      </c>
      <c r="AG11480" s="831" t="s">
        <v>2674</v>
      </c>
      <c r="AH11480" s="831" t="s">
        <v>552</v>
      </c>
      <c r="AI11480" s="831">
        <v>0</v>
      </c>
      <c r="AJ11480" s="835">
        <v>41121</v>
      </c>
      <c r="AK11480" s="831">
        <v>0</v>
      </c>
    </row>
    <row r="11481" spans="2:37">
      <c r="B11481" s="834" t="str">
        <f t="shared" si="439"/>
        <v>|||</v>
      </c>
      <c r="H11481" s="835">
        <f t="shared" si="440"/>
        <v>31</v>
      </c>
      <c r="AF11481" s="831" t="s">
        <v>10448</v>
      </c>
      <c r="AG11481" s="831" t="s">
        <v>2674</v>
      </c>
      <c r="AH11481" s="831" t="s">
        <v>551</v>
      </c>
      <c r="AI11481" s="831">
        <v>0</v>
      </c>
      <c r="AJ11481" s="835">
        <v>41121</v>
      </c>
      <c r="AK11481" s="831">
        <v>2408186</v>
      </c>
    </row>
    <row r="11482" spans="2:37">
      <c r="B11482" s="834" t="str">
        <f t="shared" si="439"/>
        <v>|||</v>
      </c>
      <c r="H11482" s="835">
        <f t="shared" si="440"/>
        <v>31</v>
      </c>
      <c r="AF11482" s="831" t="s">
        <v>10449</v>
      </c>
      <c r="AG11482" s="831" t="s">
        <v>2674</v>
      </c>
      <c r="AH11482" s="831" t="s">
        <v>550</v>
      </c>
      <c r="AI11482" s="831">
        <v>0</v>
      </c>
      <c r="AJ11482" s="835">
        <v>41121</v>
      </c>
      <c r="AK11482" s="831">
        <v>91675016</v>
      </c>
    </row>
    <row r="11483" spans="2:37">
      <c r="B11483" s="834" t="str">
        <f t="shared" si="439"/>
        <v>|||</v>
      </c>
      <c r="H11483" s="835">
        <f t="shared" si="440"/>
        <v>31</v>
      </c>
      <c r="AF11483" s="831" t="s">
        <v>10450</v>
      </c>
      <c r="AG11483" s="831" t="s">
        <v>2674</v>
      </c>
      <c r="AH11483" s="831" t="s">
        <v>562</v>
      </c>
      <c r="AI11483" s="831">
        <v>0</v>
      </c>
      <c r="AJ11483" s="835">
        <v>41121</v>
      </c>
      <c r="AK11483" s="831">
        <v>0.78495000000000004</v>
      </c>
    </row>
    <row r="11484" spans="2:37">
      <c r="B11484" s="834" t="str">
        <f t="shared" si="439"/>
        <v>|||</v>
      </c>
      <c r="H11484" s="835">
        <f t="shared" si="440"/>
        <v>31</v>
      </c>
      <c r="AF11484" s="831" t="s">
        <v>10451</v>
      </c>
      <c r="AG11484" s="831" t="s">
        <v>2674</v>
      </c>
      <c r="AH11484" s="831" t="s">
        <v>2698</v>
      </c>
      <c r="AI11484" s="831">
        <v>0</v>
      </c>
      <c r="AJ11484" s="835">
        <v>41121</v>
      </c>
      <c r="AK11484" s="831">
        <v>0.78505000000000003</v>
      </c>
    </row>
    <row r="11485" spans="2:37">
      <c r="B11485" s="834" t="str">
        <f t="shared" si="439"/>
        <v>|||</v>
      </c>
      <c r="H11485" s="835">
        <f t="shared" si="440"/>
        <v>31</v>
      </c>
      <c r="AF11485" s="831" t="s">
        <v>10452</v>
      </c>
      <c r="AG11485" s="831" t="s">
        <v>2674</v>
      </c>
      <c r="AH11485" s="831" t="s">
        <v>560</v>
      </c>
      <c r="AI11485" s="831">
        <v>0</v>
      </c>
      <c r="AJ11485" s="835">
        <v>41121</v>
      </c>
      <c r="AK11485" s="831">
        <v>0.7855714285714287</v>
      </c>
    </row>
    <row r="11486" spans="2:37">
      <c r="B11486" s="834" t="str">
        <f t="shared" si="439"/>
        <v>|||</v>
      </c>
      <c r="H11486" s="835">
        <f t="shared" si="440"/>
        <v>31</v>
      </c>
      <c r="AF11486" s="831" t="s">
        <v>10453</v>
      </c>
      <c r="AG11486" s="831" t="s">
        <v>2674</v>
      </c>
      <c r="AH11486" s="831" t="s">
        <v>559</v>
      </c>
      <c r="AI11486" s="831">
        <v>0</v>
      </c>
      <c r="AJ11486" s="835">
        <v>41121</v>
      </c>
      <c r="AK11486" s="831">
        <v>0.7854916666666667</v>
      </c>
    </row>
    <row r="11487" spans="2:37">
      <c r="B11487" s="834" t="str">
        <f t="shared" si="439"/>
        <v>|||</v>
      </c>
      <c r="H11487" s="835">
        <f t="shared" si="440"/>
        <v>31</v>
      </c>
      <c r="AF11487" s="831" t="s">
        <v>10454</v>
      </c>
      <c r="AG11487" s="831" t="s">
        <v>2674</v>
      </c>
      <c r="AH11487" s="831" t="s">
        <v>568</v>
      </c>
      <c r="AI11487" s="831">
        <v>0</v>
      </c>
      <c r="AJ11487" s="835">
        <v>41121</v>
      </c>
      <c r="AK11487" s="831">
        <v>0</v>
      </c>
    </row>
    <row r="11488" spans="2:37">
      <c r="B11488" s="834" t="str">
        <f t="shared" si="439"/>
        <v>|||</v>
      </c>
      <c r="H11488" s="835">
        <f t="shared" si="440"/>
        <v>31</v>
      </c>
      <c r="AF11488" s="831" t="s">
        <v>10455</v>
      </c>
      <c r="AG11488" s="831" t="s">
        <v>2674</v>
      </c>
      <c r="AH11488" s="831" t="s">
        <v>569</v>
      </c>
      <c r="AI11488" s="831">
        <v>0</v>
      </c>
      <c r="AJ11488" s="835">
        <v>41121</v>
      </c>
      <c r="AK11488" s="831">
        <v>0</v>
      </c>
    </row>
    <row r="11489" spans="2:37">
      <c r="B11489" s="834" t="str">
        <f t="shared" si="439"/>
        <v>|||</v>
      </c>
      <c r="H11489" s="835">
        <f t="shared" si="440"/>
        <v>31</v>
      </c>
      <c r="AF11489" s="831" t="s">
        <v>10456</v>
      </c>
      <c r="AG11489" s="831" t="s">
        <v>2674</v>
      </c>
      <c r="AH11489" s="831" t="s">
        <v>570</v>
      </c>
      <c r="AI11489" s="831">
        <v>0</v>
      </c>
      <c r="AJ11489" s="835">
        <v>41121</v>
      </c>
      <c r="AK11489" s="831">
        <v>0</v>
      </c>
    </row>
    <row r="11490" spans="2:37">
      <c r="B11490" s="834" t="str">
        <f t="shared" si="439"/>
        <v>|||</v>
      </c>
      <c r="H11490" s="835">
        <f t="shared" si="440"/>
        <v>31</v>
      </c>
      <c r="AF11490" s="831" t="s">
        <v>10457</v>
      </c>
      <c r="AG11490" s="831" t="s">
        <v>2674</v>
      </c>
      <c r="AH11490" s="831" t="s">
        <v>571</v>
      </c>
      <c r="AI11490" s="831">
        <v>0</v>
      </c>
      <c r="AJ11490" s="835">
        <v>41121</v>
      </c>
      <c r="AK11490" s="831">
        <v>0</v>
      </c>
    </row>
    <row r="11491" spans="2:37">
      <c r="B11491" s="834" t="str">
        <f t="shared" si="439"/>
        <v>|||</v>
      </c>
      <c r="H11491" s="835">
        <f t="shared" si="440"/>
        <v>31</v>
      </c>
      <c r="AF11491" s="831" t="s">
        <v>10458</v>
      </c>
      <c r="AG11491" s="831" t="s">
        <v>2674</v>
      </c>
      <c r="AH11491" s="831" t="s">
        <v>573</v>
      </c>
      <c r="AI11491" s="831">
        <v>0</v>
      </c>
      <c r="AJ11491" s="835">
        <v>41121</v>
      </c>
      <c r="AK11491" s="831">
        <v>0</v>
      </c>
    </row>
    <row r="11492" spans="2:37">
      <c r="B11492" s="834" t="str">
        <f t="shared" si="439"/>
        <v>|||</v>
      </c>
      <c r="H11492" s="835">
        <f t="shared" si="440"/>
        <v>31</v>
      </c>
      <c r="AF11492" s="831" t="s">
        <v>10459</v>
      </c>
      <c r="AG11492" s="831" t="s">
        <v>2674</v>
      </c>
      <c r="AH11492" s="831" t="s">
        <v>574</v>
      </c>
      <c r="AI11492" s="831">
        <v>0</v>
      </c>
      <c r="AJ11492" s="835">
        <v>41121</v>
      </c>
      <c r="AK11492" s="831">
        <v>0</v>
      </c>
    </row>
    <row r="11493" spans="2:37">
      <c r="B11493" s="834" t="str">
        <f t="shared" si="439"/>
        <v>|||</v>
      </c>
      <c r="H11493" s="835">
        <f t="shared" si="440"/>
        <v>31</v>
      </c>
      <c r="AF11493" s="831" t="s">
        <v>10460</v>
      </c>
      <c r="AG11493" s="831" t="s">
        <v>2674</v>
      </c>
      <c r="AH11493" s="831" t="s">
        <v>575</v>
      </c>
      <c r="AI11493" s="831">
        <v>0</v>
      </c>
      <c r="AJ11493" s="835">
        <v>41121</v>
      </c>
      <c r="AK11493" s="831">
        <v>0</v>
      </c>
    </row>
    <row r="11494" spans="2:37">
      <c r="B11494" s="834" t="str">
        <f t="shared" si="439"/>
        <v>|||</v>
      </c>
      <c r="H11494" s="835">
        <f t="shared" si="440"/>
        <v>31</v>
      </c>
      <c r="AF11494" s="831" t="s">
        <v>10461</v>
      </c>
      <c r="AG11494" s="831" t="s">
        <v>2674</v>
      </c>
      <c r="AH11494" s="831" t="s">
        <v>576</v>
      </c>
      <c r="AI11494" s="831">
        <v>0</v>
      </c>
      <c r="AJ11494" s="835">
        <v>41121</v>
      </c>
      <c r="AK11494" s="831">
        <v>0</v>
      </c>
    </row>
    <row r="11495" spans="2:37">
      <c r="B11495" s="834" t="str">
        <f t="shared" si="439"/>
        <v>|||</v>
      </c>
      <c r="H11495" s="835">
        <f t="shared" si="440"/>
        <v>31</v>
      </c>
      <c r="AF11495" s="831" t="s">
        <v>10462</v>
      </c>
      <c r="AG11495" s="831" t="s">
        <v>2674</v>
      </c>
      <c r="AH11495" s="831" t="s">
        <v>572</v>
      </c>
      <c r="AI11495" s="831">
        <v>0</v>
      </c>
      <c r="AJ11495" s="835">
        <v>41121</v>
      </c>
      <c r="AK11495" s="831">
        <v>-2146826246</v>
      </c>
    </row>
    <row r="11496" spans="2:37">
      <c r="B11496" s="834" t="str">
        <f t="shared" si="439"/>
        <v>|||</v>
      </c>
      <c r="H11496" s="835">
        <f t="shared" si="440"/>
        <v>31</v>
      </c>
      <c r="AF11496" s="831" t="s">
        <v>10463</v>
      </c>
      <c r="AG11496" s="831" t="s">
        <v>2674</v>
      </c>
      <c r="AH11496" s="831" t="s">
        <v>577</v>
      </c>
      <c r="AI11496" s="831">
        <v>0</v>
      </c>
      <c r="AJ11496" s="835">
        <v>41121</v>
      </c>
      <c r="AK11496" s="831">
        <v>-2146826246</v>
      </c>
    </row>
    <row r="11497" spans="2:37">
      <c r="B11497" s="834" t="str">
        <f t="shared" si="439"/>
        <v>|||</v>
      </c>
      <c r="H11497" s="835">
        <f t="shared" si="440"/>
        <v>31</v>
      </c>
      <c r="AF11497" s="831" t="s">
        <v>10464</v>
      </c>
      <c r="AG11497" s="831" t="s">
        <v>2674</v>
      </c>
      <c r="AH11497" s="831" t="s">
        <v>3042</v>
      </c>
      <c r="AI11497" s="831">
        <v>0</v>
      </c>
      <c r="AJ11497" s="835">
        <v>41121</v>
      </c>
      <c r="AK11497" s="831">
        <v>-2146826246</v>
      </c>
    </row>
    <row r="11498" spans="2:37">
      <c r="B11498" s="834" t="str">
        <f t="shared" si="439"/>
        <v>|||</v>
      </c>
      <c r="H11498" s="835">
        <f t="shared" si="440"/>
        <v>31</v>
      </c>
      <c r="AF11498" s="831" t="s">
        <v>10465</v>
      </c>
      <c r="AG11498" s="831" t="s">
        <v>2674</v>
      </c>
      <c r="AH11498" s="831" t="s">
        <v>3044</v>
      </c>
      <c r="AI11498" s="831">
        <v>0</v>
      </c>
      <c r="AJ11498" s="835">
        <v>41121</v>
      </c>
      <c r="AK11498" s="831">
        <v>-2146826246</v>
      </c>
    </row>
    <row r="11499" spans="2:37">
      <c r="B11499" s="834" t="str">
        <f t="shared" si="439"/>
        <v>|||</v>
      </c>
      <c r="H11499" s="835">
        <f t="shared" si="440"/>
        <v>31</v>
      </c>
      <c r="AF11499" s="831" t="s">
        <v>10466</v>
      </c>
      <c r="AG11499" s="831" t="s">
        <v>2674</v>
      </c>
      <c r="AH11499" s="831" t="s">
        <v>580</v>
      </c>
      <c r="AI11499" s="831">
        <v>0</v>
      </c>
      <c r="AJ11499" s="835">
        <v>41121</v>
      </c>
      <c r="AK11499" s="831">
        <v>-2146826246</v>
      </c>
    </row>
    <row r="11500" spans="2:37">
      <c r="B11500" s="834" t="str">
        <f t="shared" si="439"/>
        <v>|||</v>
      </c>
      <c r="H11500" s="835">
        <f t="shared" si="440"/>
        <v>31</v>
      </c>
      <c r="AF11500" s="831" t="s">
        <v>10467</v>
      </c>
      <c r="AG11500" s="831" t="s">
        <v>2674</v>
      </c>
      <c r="AH11500" s="831" t="s">
        <v>581</v>
      </c>
      <c r="AI11500" s="831">
        <v>0</v>
      </c>
      <c r="AJ11500" s="835">
        <v>41121</v>
      </c>
      <c r="AK11500" s="831">
        <v>-2146826246</v>
      </c>
    </row>
    <row r="11501" spans="2:37">
      <c r="B11501" s="834" t="str">
        <f t="shared" si="439"/>
        <v>|||</v>
      </c>
      <c r="H11501" s="835">
        <f t="shared" si="440"/>
        <v>31</v>
      </c>
      <c r="AF11501" s="831" t="s">
        <v>10468</v>
      </c>
      <c r="AG11501" s="831" t="s">
        <v>2674</v>
      </c>
      <c r="AH11501" s="831" t="s">
        <v>105</v>
      </c>
      <c r="AI11501" s="831">
        <v>0</v>
      </c>
      <c r="AJ11501" s="835">
        <v>41121</v>
      </c>
      <c r="AK11501" s="831">
        <v>164564846</v>
      </c>
    </row>
    <row r="11502" spans="2:37">
      <c r="B11502" s="834" t="str">
        <f t="shared" si="439"/>
        <v>|||</v>
      </c>
      <c r="H11502" s="835">
        <f t="shared" si="440"/>
        <v>31</v>
      </c>
      <c r="AF11502" s="831" t="s">
        <v>10469</v>
      </c>
      <c r="AG11502" s="831" t="s">
        <v>2674</v>
      </c>
      <c r="AH11502" s="831" t="s">
        <v>3049</v>
      </c>
      <c r="AI11502" s="831">
        <v>0</v>
      </c>
      <c r="AJ11502" s="835">
        <v>41121</v>
      </c>
      <c r="AK11502" s="831">
        <v>330970241</v>
      </c>
    </row>
    <row r="11503" spans="2:37">
      <c r="B11503" s="834" t="str">
        <f t="shared" si="439"/>
        <v>|||</v>
      </c>
      <c r="H11503" s="835">
        <f t="shared" si="440"/>
        <v>31</v>
      </c>
      <c r="AF11503" s="831" t="s">
        <v>10470</v>
      </c>
      <c r="AG11503" s="831" t="s">
        <v>2674</v>
      </c>
      <c r="AH11503" s="831" t="s">
        <v>103</v>
      </c>
      <c r="AI11503" s="831">
        <v>0</v>
      </c>
      <c r="AJ11503" s="835">
        <v>41121</v>
      </c>
      <c r="AK11503" s="831">
        <v>166405395</v>
      </c>
    </row>
    <row r="11504" spans="2:37">
      <c r="B11504" s="834" t="str">
        <f t="shared" si="439"/>
        <v>|||</v>
      </c>
      <c r="H11504" s="835">
        <f t="shared" si="440"/>
        <v>31</v>
      </c>
      <c r="AF11504" s="831" t="s">
        <v>10471</v>
      </c>
      <c r="AG11504" s="831" t="s">
        <v>2674</v>
      </c>
      <c r="AH11504" s="831" t="s">
        <v>182</v>
      </c>
      <c r="AI11504" s="831">
        <v>0</v>
      </c>
      <c r="AJ11504" s="835">
        <v>41121</v>
      </c>
      <c r="AK11504" s="831">
        <v>50915117.142857142</v>
      </c>
    </row>
    <row r="11505" spans="2:37">
      <c r="B11505" s="834" t="str">
        <f t="shared" si="439"/>
        <v>|||</v>
      </c>
      <c r="H11505" s="835">
        <f t="shared" si="440"/>
        <v>31</v>
      </c>
      <c r="AF11505" s="831" t="s">
        <v>10472</v>
      </c>
      <c r="AG11505" s="831" t="s">
        <v>2674</v>
      </c>
      <c r="AH11505" s="831" t="s">
        <v>6600</v>
      </c>
      <c r="AI11505" s="831">
        <v>0</v>
      </c>
      <c r="AJ11505" s="835">
        <v>41121</v>
      </c>
      <c r="AK11505" s="831">
        <v>-2146826246</v>
      </c>
    </row>
    <row r="11506" spans="2:37">
      <c r="B11506" s="834" t="str">
        <f t="shared" si="439"/>
        <v>|||</v>
      </c>
      <c r="H11506" s="835">
        <f t="shared" si="440"/>
        <v>31</v>
      </c>
      <c r="AF11506" s="831" t="s">
        <v>10473</v>
      </c>
      <c r="AG11506" s="831" t="s">
        <v>2674</v>
      </c>
      <c r="AH11506" s="831" t="s">
        <v>6602</v>
      </c>
      <c r="AI11506" s="831">
        <v>0</v>
      </c>
      <c r="AJ11506" s="835">
        <v>41121</v>
      </c>
      <c r="AK11506" s="831">
        <v>8103905</v>
      </c>
    </row>
    <row r="11507" spans="2:37">
      <c r="B11507" s="834" t="str">
        <f t="shared" si="439"/>
        <v>|||</v>
      </c>
      <c r="H11507" s="835">
        <f t="shared" si="440"/>
        <v>31</v>
      </c>
      <c r="AF11507" s="831" t="s">
        <v>10474</v>
      </c>
      <c r="AG11507" s="831" t="s">
        <v>2674</v>
      </c>
      <c r="AH11507" s="831" t="s">
        <v>650</v>
      </c>
      <c r="AI11507" s="831">
        <v>0</v>
      </c>
      <c r="AJ11507" s="835">
        <v>41121</v>
      </c>
      <c r="AK11507" s="831">
        <v>0</v>
      </c>
    </row>
    <row r="11508" spans="2:37">
      <c r="B11508" s="834" t="str">
        <f t="shared" si="439"/>
        <v>|||</v>
      </c>
      <c r="H11508" s="835">
        <f t="shared" si="440"/>
        <v>31</v>
      </c>
      <c r="AF11508" s="831" t="s">
        <v>10475</v>
      </c>
      <c r="AG11508" s="831" t="s">
        <v>2674</v>
      </c>
      <c r="AH11508" s="831" t="s">
        <v>655</v>
      </c>
      <c r="AI11508" s="831">
        <v>0</v>
      </c>
      <c r="AJ11508" s="835">
        <v>41121</v>
      </c>
      <c r="AK11508" s="831">
        <v>2307351</v>
      </c>
    </row>
    <row r="11509" spans="2:37">
      <c r="B11509" s="834" t="str">
        <f t="shared" si="439"/>
        <v>|||</v>
      </c>
      <c r="H11509" s="835">
        <f t="shared" si="440"/>
        <v>31</v>
      </c>
      <c r="AF11509" s="831" t="s">
        <v>10476</v>
      </c>
      <c r="AG11509" s="831" t="s">
        <v>2674</v>
      </c>
      <c r="AH11509" s="831" t="s">
        <v>546</v>
      </c>
      <c r="AI11509" s="831">
        <v>0</v>
      </c>
      <c r="AJ11509" s="835">
        <v>41152</v>
      </c>
      <c r="AK11509" s="831">
        <v>362295244</v>
      </c>
    </row>
    <row r="11510" spans="2:37">
      <c r="B11510" s="834" t="str">
        <f t="shared" si="439"/>
        <v>|||</v>
      </c>
      <c r="H11510" s="835">
        <f t="shared" si="440"/>
        <v>31</v>
      </c>
      <c r="AF11510" s="831" t="s">
        <v>10477</v>
      </c>
      <c r="AG11510" s="831" t="s">
        <v>2674</v>
      </c>
      <c r="AH11510" s="831" t="s">
        <v>370</v>
      </c>
      <c r="AI11510" s="831">
        <v>0</v>
      </c>
      <c r="AJ11510" s="835">
        <v>41152</v>
      </c>
      <c r="AK11510" s="831">
        <v>452262206</v>
      </c>
    </row>
    <row r="11511" spans="2:37">
      <c r="B11511" s="834" t="str">
        <f t="shared" si="439"/>
        <v>|||</v>
      </c>
      <c r="H11511" s="835">
        <f t="shared" si="440"/>
        <v>31</v>
      </c>
      <c r="AF11511" s="831" t="s">
        <v>10478</v>
      </c>
      <c r="AG11511" s="831" t="s">
        <v>2674</v>
      </c>
      <c r="AH11511" s="831" t="s">
        <v>126</v>
      </c>
      <c r="AI11511" s="831">
        <v>0</v>
      </c>
      <c r="AJ11511" s="835">
        <v>41152</v>
      </c>
      <c r="AK11511" s="831">
        <v>95414973</v>
      </c>
    </row>
    <row r="11512" spans="2:37">
      <c r="B11512" s="834" t="str">
        <f t="shared" si="439"/>
        <v>|||</v>
      </c>
      <c r="H11512" s="835">
        <f t="shared" si="440"/>
        <v>31</v>
      </c>
      <c r="AF11512" s="831" t="s">
        <v>10479</v>
      </c>
      <c r="AG11512" s="831" t="s">
        <v>2674</v>
      </c>
      <c r="AH11512" s="831" t="s">
        <v>268</v>
      </c>
      <c r="AI11512" s="831">
        <v>0</v>
      </c>
      <c r="AJ11512" s="835">
        <v>41152</v>
      </c>
      <c r="AK11512" s="831">
        <v>10092049</v>
      </c>
    </row>
    <row r="11513" spans="2:37">
      <c r="B11513" s="834" t="str">
        <f t="shared" si="439"/>
        <v>|||</v>
      </c>
      <c r="H11513" s="835">
        <f t="shared" si="440"/>
        <v>31</v>
      </c>
      <c r="AF11513" s="831" t="s">
        <v>10480</v>
      </c>
      <c r="AG11513" s="831" t="s">
        <v>2674</v>
      </c>
      <c r="AH11513" s="831" t="s">
        <v>547</v>
      </c>
      <c r="AI11513" s="831">
        <v>0</v>
      </c>
      <c r="AJ11513" s="835">
        <v>41152</v>
      </c>
      <c r="AK11513" s="831">
        <v>0</v>
      </c>
    </row>
    <row r="11514" spans="2:37">
      <c r="B11514" s="834" t="str">
        <f t="shared" si="439"/>
        <v>|||</v>
      </c>
      <c r="H11514" s="835">
        <f t="shared" si="440"/>
        <v>31</v>
      </c>
      <c r="AF11514" s="831" t="s">
        <v>10481</v>
      </c>
      <c r="AG11514" s="831" t="s">
        <v>2674</v>
      </c>
      <c r="AH11514" s="831" t="s">
        <v>548</v>
      </c>
      <c r="AI11514" s="831">
        <v>0</v>
      </c>
      <c r="AJ11514" s="835">
        <v>41152</v>
      </c>
      <c r="AK11514" s="831">
        <v>0</v>
      </c>
    </row>
    <row r="11515" spans="2:37">
      <c r="B11515" s="834" t="str">
        <f t="shared" si="439"/>
        <v>|||</v>
      </c>
      <c r="H11515" s="835">
        <f t="shared" si="440"/>
        <v>31</v>
      </c>
      <c r="AF11515" s="831" t="s">
        <v>10482</v>
      </c>
      <c r="AG11515" s="831" t="s">
        <v>2674</v>
      </c>
      <c r="AH11515" s="831" t="s">
        <v>549</v>
      </c>
      <c r="AI11515" s="831">
        <v>0</v>
      </c>
      <c r="AJ11515" s="835">
        <v>41152</v>
      </c>
      <c r="AK11515" s="831">
        <v>0</v>
      </c>
    </row>
    <row r="11516" spans="2:37">
      <c r="B11516" s="834" t="str">
        <f t="shared" si="439"/>
        <v>|||</v>
      </c>
      <c r="H11516" s="835">
        <f t="shared" si="440"/>
        <v>31</v>
      </c>
      <c r="AF11516" s="831" t="s">
        <v>10483</v>
      </c>
      <c r="AG11516" s="831" t="s">
        <v>2674</v>
      </c>
      <c r="AH11516" s="831" t="s">
        <v>192</v>
      </c>
      <c r="AI11516" s="831">
        <v>0</v>
      </c>
      <c r="AJ11516" s="835">
        <v>41152</v>
      </c>
      <c r="AK11516" s="831">
        <v>-9148265</v>
      </c>
    </row>
    <row r="11517" spans="2:37">
      <c r="B11517" s="834" t="str">
        <f t="shared" si="439"/>
        <v>|||</v>
      </c>
      <c r="H11517" s="835">
        <f t="shared" si="440"/>
        <v>31</v>
      </c>
      <c r="AF11517" s="831" t="s">
        <v>10484</v>
      </c>
      <c r="AG11517" s="831" t="s">
        <v>2674</v>
      </c>
      <c r="AH11517" s="831" t="s">
        <v>558</v>
      </c>
      <c r="AI11517" s="831">
        <v>0</v>
      </c>
      <c r="AJ11517" s="835">
        <v>41152</v>
      </c>
      <c r="AK11517" s="831">
        <v>356847233</v>
      </c>
    </row>
    <row r="11518" spans="2:37">
      <c r="B11518" s="834" t="str">
        <f t="shared" si="439"/>
        <v>|||</v>
      </c>
      <c r="H11518" s="835">
        <f t="shared" si="440"/>
        <v>31</v>
      </c>
      <c r="AF11518" s="831" t="s">
        <v>10485</v>
      </c>
      <c r="AG11518" s="831" t="s">
        <v>2674</v>
      </c>
      <c r="AH11518" s="831" t="s">
        <v>65</v>
      </c>
      <c r="AI11518" s="831">
        <v>0</v>
      </c>
      <c r="AJ11518" s="835">
        <v>41152</v>
      </c>
      <c r="AK11518" s="831">
        <v>63143485</v>
      </c>
    </row>
    <row r="11519" spans="2:37">
      <c r="B11519" s="834" t="str">
        <f t="shared" si="439"/>
        <v>|||</v>
      </c>
      <c r="H11519" s="835">
        <f t="shared" si="440"/>
        <v>31</v>
      </c>
      <c r="AF11519" s="831" t="s">
        <v>10486</v>
      </c>
      <c r="AG11519" s="831" t="s">
        <v>2674</v>
      </c>
      <c r="AH11519" s="831" t="s">
        <v>89</v>
      </c>
      <c r="AI11519" s="831">
        <v>0</v>
      </c>
      <c r="AJ11519" s="835">
        <v>41152</v>
      </c>
      <c r="AK11519" s="831">
        <v>122109</v>
      </c>
    </row>
    <row r="11520" spans="2:37">
      <c r="B11520" s="834" t="str">
        <f t="shared" si="439"/>
        <v>|||</v>
      </c>
      <c r="H11520" s="835">
        <f t="shared" si="440"/>
        <v>31</v>
      </c>
      <c r="AF11520" s="831" t="s">
        <v>10487</v>
      </c>
      <c r="AG11520" s="831" t="s">
        <v>2674</v>
      </c>
      <c r="AH11520" s="831" t="s">
        <v>557</v>
      </c>
      <c r="AI11520" s="831">
        <v>0</v>
      </c>
      <c r="AJ11520" s="835">
        <v>41152</v>
      </c>
      <c r="AK11520" s="831">
        <v>123973</v>
      </c>
    </row>
    <row r="11521" spans="2:37">
      <c r="B11521" s="834" t="str">
        <f t="shared" si="439"/>
        <v>|||</v>
      </c>
      <c r="H11521" s="835">
        <f t="shared" si="440"/>
        <v>31</v>
      </c>
      <c r="AF11521" s="831" t="s">
        <v>10488</v>
      </c>
      <c r="AG11521" s="831" t="s">
        <v>2674</v>
      </c>
      <c r="AH11521" s="831" t="s">
        <v>29</v>
      </c>
      <c r="AI11521" s="831">
        <v>0</v>
      </c>
      <c r="AJ11521" s="835">
        <v>41152</v>
      </c>
      <c r="AK11521" s="831">
        <v>2024314</v>
      </c>
    </row>
    <row r="11522" spans="2:37">
      <c r="B11522" s="834" t="str">
        <f t="shared" si="439"/>
        <v>|||</v>
      </c>
      <c r="H11522" s="835">
        <f t="shared" si="440"/>
        <v>31</v>
      </c>
      <c r="AF11522" s="831" t="s">
        <v>10489</v>
      </c>
      <c r="AG11522" s="831" t="s">
        <v>2674</v>
      </c>
      <c r="AH11522" s="831" t="s">
        <v>2688</v>
      </c>
      <c r="AI11522" s="831">
        <v>0</v>
      </c>
      <c r="AJ11522" s="835">
        <v>41152</v>
      </c>
      <c r="AK11522" s="831">
        <v>2600544</v>
      </c>
    </row>
    <row r="11523" spans="2:37">
      <c r="B11523" s="834" t="str">
        <f t="shared" si="439"/>
        <v>|||</v>
      </c>
      <c r="H11523" s="835">
        <f t="shared" si="440"/>
        <v>31</v>
      </c>
      <c r="AF11523" s="831" t="s">
        <v>10490</v>
      </c>
      <c r="AG11523" s="831" t="s">
        <v>2674</v>
      </c>
      <c r="AH11523" s="831" t="s">
        <v>556</v>
      </c>
      <c r="AI11523" s="831">
        <v>0</v>
      </c>
      <c r="AJ11523" s="835">
        <v>41152</v>
      </c>
      <c r="AK11523" s="831">
        <v>902857</v>
      </c>
    </row>
    <row r="11524" spans="2:37">
      <c r="B11524" s="834" t="str">
        <f t="shared" si="439"/>
        <v>|||</v>
      </c>
      <c r="H11524" s="835">
        <f t="shared" si="440"/>
        <v>31</v>
      </c>
      <c r="AF11524" s="831" t="s">
        <v>10491</v>
      </c>
      <c r="AG11524" s="831" t="s">
        <v>2674</v>
      </c>
      <c r="AH11524" s="831" t="s">
        <v>555</v>
      </c>
      <c r="AI11524" s="831">
        <v>0</v>
      </c>
      <c r="AJ11524" s="835">
        <v>41152</v>
      </c>
      <c r="AK11524" s="831">
        <v>221766870</v>
      </c>
    </row>
    <row r="11525" spans="2:37">
      <c r="B11525" s="834" t="str">
        <f t="shared" si="439"/>
        <v>|||</v>
      </c>
      <c r="H11525" s="835">
        <f t="shared" si="440"/>
        <v>31</v>
      </c>
      <c r="AF11525" s="831" t="s">
        <v>10492</v>
      </c>
      <c r="AG11525" s="831" t="s">
        <v>2674</v>
      </c>
      <c r="AH11525" s="831" t="s">
        <v>554</v>
      </c>
      <c r="AI11525" s="831">
        <v>0</v>
      </c>
      <c r="AJ11525" s="835">
        <v>41152</v>
      </c>
      <c r="AK11525" s="831">
        <v>217001920</v>
      </c>
    </row>
    <row r="11526" spans="2:37">
      <c r="B11526" s="834" t="str">
        <f t="shared" si="439"/>
        <v>|||</v>
      </c>
      <c r="H11526" s="835">
        <f t="shared" si="440"/>
        <v>31</v>
      </c>
      <c r="AF11526" s="831" t="s">
        <v>10493</v>
      </c>
      <c r="AG11526" s="831" t="s">
        <v>2674</v>
      </c>
      <c r="AH11526" s="831" t="s">
        <v>553</v>
      </c>
      <c r="AI11526" s="831">
        <v>0</v>
      </c>
      <c r="AJ11526" s="835">
        <v>41152</v>
      </c>
      <c r="AK11526" s="831">
        <v>0</v>
      </c>
    </row>
    <row r="11527" spans="2:37">
      <c r="B11527" s="834" t="str">
        <f t="shared" si="439"/>
        <v>|||</v>
      </c>
      <c r="H11527" s="835">
        <f t="shared" si="440"/>
        <v>31</v>
      </c>
      <c r="AF11527" s="831" t="s">
        <v>10494</v>
      </c>
      <c r="AG11527" s="831" t="s">
        <v>2674</v>
      </c>
      <c r="AH11527" s="831" t="s">
        <v>552</v>
      </c>
      <c r="AI11527" s="831">
        <v>0</v>
      </c>
      <c r="AJ11527" s="835">
        <v>41152</v>
      </c>
      <c r="AK11527" s="831">
        <v>0</v>
      </c>
    </row>
    <row r="11528" spans="2:37">
      <c r="B11528" s="834" t="str">
        <f t="shared" si="439"/>
        <v>|||</v>
      </c>
      <c r="H11528" s="835">
        <f t="shared" si="440"/>
        <v>31</v>
      </c>
      <c r="AF11528" s="831" t="s">
        <v>10495</v>
      </c>
      <c r="AG11528" s="831" t="s">
        <v>2674</v>
      </c>
      <c r="AH11528" s="831" t="s">
        <v>551</v>
      </c>
      <c r="AI11528" s="831">
        <v>0</v>
      </c>
      <c r="AJ11528" s="835">
        <v>41152</v>
      </c>
      <c r="AK11528" s="831">
        <v>1690236</v>
      </c>
    </row>
    <row r="11529" spans="2:37">
      <c r="B11529" s="834" t="str">
        <f t="shared" si="439"/>
        <v>|||</v>
      </c>
      <c r="H11529" s="835">
        <f t="shared" si="440"/>
        <v>31</v>
      </c>
      <c r="AF11529" s="831" t="s">
        <v>10496</v>
      </c>
      <c r="AG11529" s="831" t="s">
        <v>2674</v>
      </c>
      <c r="AH11529" s="831" t="s">
        <v>550</v>
      </c>
      <c r="AI11529" s="831">
        <v>0</v>
      </c>
      <c r="AJ11529" s="835">
        <v>41152</v>
      </c>
      <c r="AK11529" s="831">
        <v>93426827</v>
      </c>
    </row>
    <row r="11530" spans="2:37">
      <c r="B11530" s="834" t="str">
        <f t="shared" si="439"/>
        <v>|||</v>
      </c>
      <c r="H11530" s="835">
        <f t="shared" si="440"/>
        <v>31</v>
      </c>
      <c r="AF11530" s="831" t="s">
        <v>10497</v>
      </c>
      <c r="AG11530" s="831" t="s">
        <v>2674</v>
      </c>
      <c r="AH11530" s="831" t="s">
        <v>562</v>
      </c>
      <c r="AI11530" s="831">
        <v>0</v>
      </c>
      <c r="AJ11530" s="835">
        <v>41152</v>
      </c>
      <c r="AK11530" s="831">
        <v>0.78449999999999998</v>
      </c>
    </row>
    <row r="11531" spans="2:37">
      <c r="B11531" s="834" t="str">
        <f t="shared" si="439"/>
        <v>|||</v>
      </c>
      <c r="H11531" s="835">
        <f t="shared" si="440"/>
        <v>31</v>
      </c>
      <c r="AF11531" s="831" t="s">
        <v>10498</v>
      </c>
      <c r="AG11531" s="831" t="s">
        <v>2674</v>
      </c>
      <c r="AH11531" s="831" t="s">
        <v>2698</v>
      </c>
      <c r="AI11531" s="831">
        <v>0</v>
      </c>
      <c r="AJ11531" s="835">
        <v>41152</v>
      </c>
      <c r="AK11531" s="831">
        <v>0.78495000000000004</v>
      </c>
    </row>
    <row r="11532" spans="2:37">
      <c r="B11532" s="834" t="str">
        <f t="shared" si="439"/>
        <v>|||</v>
      </c>
      <c r="H11532" s="835">
        <f t="shared" si="440"/>
        <v>31</v>
      </c>
      <c r="AF11532" s="831" t="s">
        <v>10499</v>
      </c>
      <c r="AG11532" s="831" t="s">
        <v>2674</v>
      </c>
      <c r="AH11532" s="831" t="s">
        <v>560</v>
      </c>
      <c r="AI11532" s="831">
        <v>0</v>
      </c>
      <c r="AJ11532" s="835">
        <v>41152</v>
      </c>
      <c r="AK11532" s="831">
        <v>0.78543750000000001</v>
      </c>
    </row>
    <row r="11533" spans="2:37">
      <c r="B11533" s="834" t="str">
        <f t="shared" si="439"/>
        <v>|||</v>
      </c>
      <c r="H11533" s="835">
        <f t="shared" si="440"/>
        <v>31</v>
      </c>
      <c r="AF11533" s="831" t="s">
        <v>10500</v>
      </c>
      <c r="AG11533" s="831" t="s">
        <v>2674</v>
      </c>
      <c r="AH11533" s="831" t="s">
        <v>559</v>
      </c>
      <c r="AI11533" s="831">
        <v>0</v>
      </c>
      <c r="AJ11533" s="835">
        <v>41152</v>
      </c>
      <c r="AK11533" s="831">
        <v>0.78544999999999998</v>
      </c>
    </row>
    <row r="11534" spans="2:37">
      <c r="B11534" s="834" t="str">
        <f t="shared" si="439"/>
        <v>|||</v>
      </c>
      <c r="H11534" s="835">
        <f t="shared" si="440"/>
        <v>31</v>
      </c>
      <c r="AF11534" s="831" t="s">
        <v>10501</v>
      </c>
      <c r="AG11534" s="831" t="s">
        <v>2674</v>
      </c>
      <c r="AH11534" s="831" t="s">
        <v>568</v>
      </c>
      <c r="AI11534" s="831">
        <v>0</v>
      </c>
      <c r="AJ11534" s="835">
        <v>41152</v>
      </c>
      <c r="AK11534" s="831">
        <v>0</v>
      </c>
    </row>
    <row r="11535" spans="2:37">
      <c r="B11535" s="834" t="str">
        <f t="shared" si="439"/>
        <v>|||</v>
      </c>
      <c r="H11535" s="835">
        <f t="shared" si="440"/>
        <v>31</v>
      </c>
      <c r="AF11535" s="831" t="s">
        <v>10502</v>
      </c>
      <c r="AG11535" s="831" t="s">
        <v>2674</v>
      </c>
      <c r="AH11535" s="831" t="s">
        <v>569</v>
      </c>
      <c r="AI11535" s="831">
        <v>0</v>
      </c>
      <c r="AJ11535" s="835">
        <v>41152</v>
      </c>
      <c r="AK11535" s="831">
        <v>0</v>
      </c>
    </row>
    <row r="11536" spans="2:37">
      <c r="B11536" s="834" t="str">
        <f t="shared" si="439"/>
        <v>|||</v>
      </c>
      <c r="H11536" s="835">
        <f t="shared" si="440"/>
        <v>31</v>
      </c>
      <c r="AF11536" s="831" t="s">
        <v>10503</v>
      </c>
      <c r="AG11536" s="831" t="s">
        <v>2674</v>
      </c>
      <c r="AH11536" s="831" t="s">
        <v>570</v>
      </c>
      <c r="AI11536" s="831">
        <v>0</v>
      </c>
      <c r="AJ11536" s="835">
        <v>41152</v>
      </c>
      <c r="AK11536" s="831">
        <v>0</v>
      </c>
    </row>
    <row r="11537" spans="2:37">
      <c r="B11537" s="834" t="str">
        <f t="shared" ref="B11537:B11600" si="441">C11537&amp;"|"&amp;D11537&amp;"|"&amp;E11537&amp;"|"&amp;F11537</f>
        <v>|||</v>
      </c>
      <c r="H11537" s="835">
        <f t="shared" ref="H11537:H11600" si="442">EOMONTH(L11537,0)</f>
        <v>31</v>
      </c>
      <c r="AF11537" s="831" t="s">
        <v>10504</v>
      </c>
      <c r="AG11537" s="831" t="s">
        <v>2674</v>
      </c>
      <c r="AH11537" s="831" t="s">
        <v>571</v>
      </c>
      <c r="AI11537" s="831">
        <v>0</v>
      </c>
      <c r="AJ11537" s="835">
        <v>41152</v>
      </c>
      <c r="AK11537" s="831">
        <v>0</v>
      </c>
    </row>
    <row r="11538" spans="2:37">
      <c r="B11538" s="834" t="str">
        <f t="shared" si="441"/>
        <v>|||</v>
      </c>
      <c r="H11538" s="835">
        <f t="shared" si="442"/>
        <v>31</v>
      </c>
      <c r="AF11538" s="831" t="s">
        <v>10505</v>
      </c>
      <c r="AG11538" s="831" t="s">
        <v>2674</v>
      </c>
      <c r="AH11538" s="831" t="s">
        <v>573</v>
      </c>
      <c r="AI11538" s="831">
        <v>0</v>
      </c>
      <c r="AJ11538" s="835">
        <v>41152</v>
      </c>
      <c r="AK11538" s="831">
        <v>0</v>
      </c>
    </row>
    <row r="11539" spans="2:37">
      <c r="B11539" s="834" t="str">
        <f t="shared" si="441"/>
        <v>|||</v>
      </c>
      <c r="H11539" s="835">
        <f t="shared" si="442"/>
        <v>31</v>
      </c>
      <c r="AF11539" s="831" t="s">
        <v>10506</v>
      </c>
      <c r="AG11539" s="831" t="s">
        <v>2674</v>
      </c>
      <c r="AH11539" s="831" t="s">
        <v>574</v>
      </c>
      <c r="AI11539" s="831">
        <v>0</v>
      </c>
      <c r="AJ11539" s="835">
        <v>41152</v>
      </c>
      <c r="AK11539" s="831">
        <v>0</v>
      </c>
    </row>
    <row r="11540" spans="2:37">
      <c r="B11540" s="834" t="str">
        <f t="shared" si="441"/>
        <v>|||</v>
      </c>
      <c r="H11540" s="835">
        <f t="shared" si="442"/>
        <v>31</v>
      </c>
      <c r="AF11540" s="831" t="s">
        <v>10507</v>
      </c>
      <c r="AG11540" s="831" t="s">
        <v>2674</v>
      </c>
      <c r="AH11540" s="831" t="s">
        <v>575</v>
      </c>
      <c r="AI11540" s="831">
        <v>0</v>
      </c>
      <c r="AJ11540" s="835">
        <v>41152</v>
      </c>
      <c r="AK11540" s="831">
        <v>0</v>
      </c>
    </row>
    <row r="11541" spans="2:37">
      <c r="B11541" s="834" t="str">
        <f t="shared" si="441"/>
        <v>|||</v>
      </c>
      <c r="H11541" s="835">
        <f t="shared" si="442"/>
        <v>31</v>
      </c>
      <c r="AF11541" s="831" t="s">
        <v>10508</v>
      </c>
      <c r="AG11541" s="831" t="s">
        <v>2674</v>
      </c>
      <c r="AH11541" s="831" t="s">
        <v>576</v>
      </c>
      <c r="AI11541" s="831">
        <v>0</v>
      </c>
      <c r="AJ11541" s="835">
        <v>41152</v>
      </c>
      <c r="AK11541" s="831">
        <v>0</v>
      </c>
    </row>
    <row r="11542" spans="2:37">
      <c r="B11542" s="834" t="str">
        <f t="shared" si="441"/>
        <v>|||</v>
      </c>
      <c r="H11542" s="835">
        <f t="shared" si="442"/>
        <v>31</v>
      </c>
      <c r="AF11542" s="831" t="s">
        <v>10509</v>
      </c>
      <c r="AG11542" s="831" t="s">
        <v>2674</v>
      </c>
      <c r="AH11542" s="831" t="s">
        <v>572</v>
      </c>
      <c r="AI11542" s="831">
        <v>0</v>
      </c>
      <c r="AJ11542" s="835">
        <v>41152</v>
      </c>
      <c r="AK11542" s="831">
        <v>-2146826246</v>
      </c>
    </row>
    <row r="11543" spans="2:37">
      <c r="B11543" s="834" t="str">
        <f t="shared" si="441"/>
        <v>|||</v>
      </c>
      <c r="H11543" s="835">
        <f t="shared" si="442"/>
        <v>31</v>
      </c>
      <c r="AF11543" s="831" t="s">
        <v>10510</v>
      </c>
      <c r="AG11543" s="831" t="s">
        <v>2674</v>
      </c>
      <c r="AH11543" s="831" t="s">
        <v>577</v>
      </c>
      <c r="AI11543" s="831">
        <v>0</v>
      </c>
      <c r="AJ11543" s="835">
        <v>41152</v>
      </c>
      <c r="AK11543" s="831">
        <v>-2146826246</v>
      </c>
    </row>
    <row r="11544" spans="2:37">
      <c r="B11544" s="834" t="str">
        <f t="shared" si="441"/>
        <v>|||</v>
      </c>
      <c r="H11544" s="835">
        <f t="shared" si="442"/>
        <v>31</v>
      </c>
      <c r="AF11544" s="831" t="s">
        <v>10511</v>
      </c>
      <c r="AG11544" s="831" t="s">
        <v>2674</v>
      </c>
      <c r="AH11544" s="831" t="s">
        <v>3042</v>
      </c>
      <c r="AI11544" s="831">
        <v>0</v>
      </c>
      <c r="AJ11544" s="835">
        <v>41152</v>
      </c>
      <c r="AK11544" s="831">
        <v>-2146826246</v>
      </c>
    </row>
    <row r="11545" spans="2:37">
      <c r="B11545" s="834" t="str">
        <f t="shared" si="441"/>
        <v>|||</v>
      </c>
      <c r="H11545" s="835">
        <f t="shared" si="442"/>
        <v>31</v>
      </c>
      <c r="AF11545" s="831" t="s">
        <v>10512</v>
      </c>
      <c r="AG11545" s="831" t="s">
        <v>2674</v>
      </c>
      <c r="AH11545" s="831" t="s">
        <v>3044</v>
      </c>
      <c r="AI11545" s="831">
        <v>0</v>
      </c>
      <c r="AJ11545" s="835">
        <v>41152</v>
      </c>
      <c r="AK11545" s="831">
        <v>-2146826246</v>
      </c>
    </row>
    <row r="11546" spans="2:37">
      <c r="B11546" s="834" t="str">
        <f t="shared" si="441"/>
        <v>|||</v>
      </c>
      <c r="H11546" s="835">
        <f t="shared" si="442"/>
        <v>31</v>
      </c>
      <c r="AF11546" s="831" t="s">
        <v>10513</v>
      </c>
      <c r="AG11546" s="831" t="s">
        <v>2674</v>
      </c>
      <c r="AH11546" s="831" t="s">
        <v>580</v>
      </c>
      <c r="AI11546" s="831">
        <v>0</v>
      </c>
      <c r="AJ11546" s="835">
        <v>41152</v>
      </c>
      <c r="AK11546" s="831">
        <v>-2146826246</v>
      </c>
    </row>
    <row r="11547" spans="2:37">
      <c r="B11547" s="834" t="str">
        <f t="shared" si="441"/>
        <v>|||</v>
      </c>
      <c r="H11547" s="835">
        <f t="shared" si="442"/>
        <v>31</v>
      </c>
      <c r="AF11547" s="831" t="s">
        <v>10514</v>
      </c>
      <c r="AG11547" s="831" t="s">
        <v>2674</v>
      </c>
      <c r="AH11547" s="831" t="s">
        <v>581</v>
      </c>
      <c r="AI11547" s="831">
        <v>0</v>
      </c>
      <c r="AJ11547" s="835">
        <v>41152</v>
      </c>
      <c r="AK11547" s="831">
        <v>-2146826246</v>
      </c>
    </row>
    <row r="11548" spans="2:37">
      <c r="B11548" s="834" t="str">
        <f t="shared" si="441"/>
        <v>|||</v>
      </c>
      <c r="H11548" s="835">
        <f t="shared" si="442"/>
        <v>31</v>
      </c>
      <c r="AF11548" s="831" t="s">
        <v>10515</v>
      </c>
      <c r="AG11548" s="831" t="s">
        <v>2674</v>
      </c>
      <c r="AH11548" s="831" t="s">
        <v>105</v>
      </c>
      <c r="AI11548" s="831">
        <v>0</v>
      </c>
      <c r="AJ11548" s="835">
        <v>41152</v>
      </c>
      <c r="AK11548" s="831">
        <v>180384094</v>
      </c>
    </row>
    <row r="11549" spans="2:37">
      <c r="B11549" s="834" t="str">
        <f t="shared" si="441"/>
        <v>|||</v>
      </c>
      <c r="H11549" s="835">
        <f t="shared" si="442"/>
        <v>31</v>
      </c>
      <c r="AF11549" s="831" t="s">
        <v>10516</v>
      </c>
      <c r="AG11549" s="831" t="s">
        <v>2674</v>
      </c>
      <c r="AH11549" s="831" t="s">
        <v>3049</v>
      </c>
      <c r="AI11549" s="831">
        <v>0</v>
      </c>
      <c r="AJ11549" s="835">
        <v>41152</v>
      </c>
      <c r="AK11549" s="831">
        <v>343993651</v>
      </c>
    </row>
    <row r="11550" spans="2:37">
      <c r="B11550" s="834" t="str">
        <f t="shared" si="441"/>
        <v>|||</v>
      </c>
      <c r="H11550" s="835">
        <f t="shared" si="442"/>
        <v>31</v>
      </c>
      <c r="AF11550" s="831" t="s">
        <v>10517</v>
      </c>
      <c r="AG11550" s="831" t="s">
        <v>2674</v>
      </c>
      <c r="AH11550" s="831" t="s">
        <v>103</v>
      </c>
      <c r="AI11550" s="831">
        <v>0</v>
      </c>
      <c r="AJ11550" s="835">
        <v>41152</v>
      </c>
      <c r="AK11550" s="831">
        <v>163609557</v>
      </c>
    </row>
    <row r="11551" spans="2:37">
      <c r="B11551" s="834" t="str">
        <f t="shared" si="441"/>
        <v>|||</v>
      </c>
      <c r="H11551" s="835">
        <f t="shared" si="442"/>
        <v>31</v>
      </c>
      <c r="AF11551" s="831" t="s">
        <v>10518</v>
      </c>
      <c r="AG11551" s="831" t="s">
        <v>2674</v>
      </c>
      <c r="AH11551" s="831" t="s">
        <v>182</v>
      </c>
      <c r="AI11551" s="831">
        <v>0</v>
      </c>
      <c r="AJ11551" s="835">
        <v>41152</v>
      </c>
      <c r="AK11551" s="831">
        <v>50326770</v>
      </c>
    </row>
    <row r="11552" spans="2:37">
      <c r="B11552" s="834" t="str">
        <f t="shared" si="441"/>
        <v>|||</v>
      </c>
      <c r="H11552" s="835">
        <f t="shared" si="442"/>
        <v>31</v>
      </c>
      <c r="AF11552" s="831" t="s">
        <v>10519</v>
      </c>
      <c r="AG11552" s="831" t="s">
        <v>2674</v>
      </c>
      <c r="AH11552" s="831" t="s">
        <v>6600</v>
      </c>
      <c r="AI11552" s="831">
        <v>0</v>
      </c>
      <c r="AJ11552" s="835">
        <v>41152</v>
      </c>
      <c r="AK11552" s="831">
        <v>-2146826246</v>
      </c>
    </row>
    <row r="11553" spans="2:37">
      <c r="B11553" s="834" t="str">
        <f t="shared" si="441"/>
        <v>|||</v>
      </c>
      <c r="H11553" s="835">
        <f t="shared" si="442"/>
        <v>31</v>
      </c>
      <c r="AF11553" s="831" t="s">
        <v>10520</v>
      </c>
      <c r="AG11553" s="831" t="s">
        <v>2674</v>
      </c>
      <c r="AH11553" s="831" t="s">
        <v>6602</v>
      </c>
      <c r="AI11553" s="831">
        <v>0</v>
      </c>
      <c r="AJ11553" s="835">
        <v>41152</v>
      </c>
      <c r="AK11553" s="831">
        <v>10092049</v>
      </c>
    </row>
    <row r="11554" spans="2:37">
      <c r="B11554" s="834" t="str">
        <f t="shared" si="441"/>
        <v>|||</v>
      </c>
      <c r="H11554" s="835">
        <f t="shared" si="442"/>
        <v>31</v>
      </c>
      <c r="AF11554" s="831" t="s">
        <v>10521</v>
      </c>
      <c r="AG11554" s="831" t="s">
        <v>2674</v>
      </c>
      <c r="AH11554" s="831" t="s">
        <v>650</v>
      </c>
      <c r="AI11554" s="831">
        <v>0</v>
      </c>
      <c r="AJ11554" s="835">
        <v>41152</v>
      </c>
      <c r="AK11554" s="831">
        <v>0</v>
      </c>
    </row>
    <row r="11555" spans="2:37">
      <c r="B11555" s="834" t="str">
        <f t="shared" si="441"/>
        <v>|||</v>
      </c>
      <c r="H11555" s="835">
        <f t="shared" si="442"/>
        <v>31</v>
      </c>
      <c r="AF11555" s="831" t="s">
        <v>10522</v>
      </c>
      <c r="AG11555" s="831" t="s">
        <v>2674</v>
      </c>
      <c r="AH11555" s="831" t="s">
        <v>655</v>
      </c>
      <c r="AI11555" s="831">
        <v>0</v>
      </c>
      <c r="AJ11555" s="835">
        <v>41152</v>
      </c>
      <c r="AK11555" s="831">
        <v>1649423</v>
      </c>
    </row>
    <row r="11556" spans="2:37">
      <c r="B11556" s="834" t="str">
        <f t="shared" si="441"/>
        <v>|||</v>
      </c>
      <c r="H11556" s="835">
        <f t="shared" si="442"/>
        <v>31</v>
      </c>
      <c r="AF11556" s="831" t="s">
        <v>10523</v>
      </c>
      <c r="AG11556" s="831" t="s">
        <v>2674</v>
      </c>
      <c r="AH11556" s="831" t="s">
        <v>546</v>
      </c>
      <c r="AI11556" s="831">
        <v>0</v>
      </c>
      <c r="AJ11556" s="835">
        <v>41182</v>
      </c>
      <c r="AK11556" s="831">
        <v>367084945</v>
      </c>
    </row>
    <row r="11557" spans="2:37">
      <c r="B11557" s="834" t="str">
        <f t="shared" si="441"/>
        <v>|||</v>
      </c>
      <c r="H11557" s="835">
        <f t="shared" si="442"/>
        <v>31</v>
      </c>
      <c r="AF11557" s="831" t="s">
        <v>10524</v>
      </c>
      <c r="AG11557" s="831" t="s">
        <v>2674</v>
      </c>
      <c r="AH11557" s="831" t="s">
        <v>370</v>
      </c>
      <c r="AI11557" s="831">
        <v>0</v>
      </c>
      <c r="AJ11557" s="835">
        <v>41182</v>
      </c>
      <c r="AK11557" s="831">
        <v>456586970</v>
      </c>
    </row>
    <row r="11558" spans="2:37">
      <c r="B11558" s="834" t="str">
        <f t="shared" si="441"/>
        <v>|||</v>
      </c>
      <c r="H11558" s="835">
        <f t="shared" si="442"/>
        <v>31</v>
      </c>
      <c r="AF11558" s="831" t="s">
        <v>10525</v>
      </c>
      <c r="AG11558" s="831" t="s">
        <v>2674</v>
      </c>
      <c r="AH11558" s="831" t="s">
        <v>126</v>
      </c>
      <c r="AI11558" s="831">
        <v>0</v>
      </c>
      <c r="AJ11558" s="835">
        <v>41182</v>
      </c>
      <c r="AK11558" s="831">
        <v>97409403</v>
      </c>
    </row>
    <row r="11559" spans="2:37">
      <c r="B11559" s="834" t="str">
        <f t="shared" si="441"/>
        <v>|||</v>
      </c>
      <c r="H11559" s="835">
        <f t="shared" si="442"/>
        <v>31</v>
      </c>
      <c r="AF11559" s="831" t="s">
        <v>10526</v>
      </c>
      <c r="AG11559" s="831" t="s">
        <v>2674</v>
      </c>
      <c r="AH11559" s="831" t="s">
        <v>268</v>
      </c>
      <c r="AI11559" s="831">
        <v>0</v>
      </c>
      <c r="AJ11559" s="835">
        <v>41182</v>
      </c>
      <c r="AK11559" s="831">
        <v>12086480</v>
      </c>
    </row>
    <row r="11560" spans="2:37">
      <c r="B11560" s="834" t="str">
        <f t="shared" si="441"/>
        <v>|||</v>
      </c>
      <c r="H11560" s="835">
        <f t="shared" si="442"/>
        <v>31</v>
      </c>
      <c r="AF11560" s="831" t="s">
        <v>10527</v>
      </c>
      <c r="AG11560" s="831" t="s">
        <v>2674</v>
      </c>
      <c r="AH11560" s="831" t="s">
        <v>547</v>
      </c>
      <c r="AI11560" s="831">
        <v>0</v>
      </c>
      <c r="AJ11560" s="835">
        <v>41182</v>
      </c>
      <c r="AK11560" s="831">
        <v>0</v>
      </c>
    </row>
    <row r="11561" spans="2:37">
      <c r="B11561" s="834" t="str">
        <f t="shared" si="441"/>
        <v>|||</v>
      </c>
      <c r="H11561" s="835">
        <f t="shared" si="442"/>
        <v>31</v>
      </c>
      <c r="AF11561" s="831" t="s">
        <v>10528</v>
      </c>
      <c r="AG11561" s="831" t="s">
        <v>2674</v>
      </c>
      <c r="AH11561" s="831" t="s">
        <v>548</v>
      </c>
      <c r="AI11561" s="831">
        <v>0</v>
      </c>
      <c r="AJ11561" s="835">
        <v>41182</v>
      </c>
      <c r="AK11561" s="831">
        <v>0</v>
      </c>
    </row>
    <row r="11562" spans="2:37">
      <c r="B11562" s="834" t="str">
        <f t="shared" si="441"/>
        <v>|||</v>
      </c>
      <c r="H11562" s="835">
        <f t="shared" si="442"/>
        <v>31</v>
      </c>
      <c r="AF11562" s="831" t="s">
        <v>10529</v>
      </c>
      <c r="AG11562" s="831" t="s">
        <v>2674</v>
      </c>
      <c r="AH11562" s="831" t="s">
        <v>549</v>
      </c>
      <c r="AI11562" s="831">
        <v>0</v>
      </c>
      <c r="AJ11562" s="835">
        <v>41182</v>
      </c>
      <c r="AK11562" s="831">
        <v>0</v>
      </c>
    </row>
    <row r="11563" spans="2:37">
      <c r="B11563" s="834" t="str">
        <f t="shared" si="441"/>
        <v>|||</v>
      </c>
      <c r="H11563" s="835">
        <f t="shared" si="442"/>
        <v>31</v>
      </c>
      <c r="AF11563" s="831" t="s">
        <v>10530</v>
      </c>
      <c r="AG11563" s="831" t="s">
        <v>2674</v>
      </c>
      <c r="AH11563" s="831" t="s">
        <v>192</v>
      </c>
      <c r="AI11563" s="831">
        <v>0</v>
      </c>
      <c r="AJ11563" s="835">
        <v>41182</v>
      </c>
      <c r="AK11563" s="831">
        <v>-9429800</v>
      </c>
    </row>
    <row r="11564" spans="2:37">
      <c r="B11564" s="834" t="str">
        <f t="shared" si="441"/>
        <v>|||</v>
      </c>
      <c r="H11564" s="835">
        <f t="shared" si="442"/>
        <v>31</v>
      </c>
      <c r="AF11564" s="831" t="s">
        <v>10531</v>
      </c>
      <c r="AG11564" s="831" t="s">
        <v>2674</v>
      </c>
      <c r="AH11564" s="831" t="s">
        <v>558</v>
      </c>
      <c r="AI11564" s="831">
        <v>0</v>
      </c>
      <c r="AJ11564" s="835">
        <v>41182</v>
      </c>
      <c r="AK11564" s="831">
        <v>359177567</v>
      </c>
    </row>
    <row r="11565" spans="2:37">
      <c r="B11565" s="834" t="str">
        <f t="shared" si="441"/>
        <v>|||</v>
      </c>
      <c r="H11565" s="835">
        <f t="shared" si="442"/>
        <v>31</v>
      </c>
      <c r="AF11565" s="831" t="s">
        <v>10532</v>
      </c>
      <c r="AG11565" s="831" t="s">
        <v>2674</v>
      </c>
      <c r="AH11565" s="831" t="s">
        <v>65</v>
      </c>
      <c r="AI11565" s="831">
        <v>0</v>
      </c>
      <c r="AJ11565" s="835">
        <v>41182</v>
      </c>
      <c r="AK11565" s="831">
        <v>71268198</v>
      </c>
    </row>
    <row r="11566" spans="2:37">
      <c r="B11566" s="834" t="str">
        <f t="shared" si="441"/>
        <v>|||</v>
      </c>
      <c r="H11566" s="835">
        <f t="shared" si="442"/>
        <v>31</v>
      </c>
      <c r="AF11566" s="831" t="s">
        <v>10533</v>
      </c>
      <c r="AG11566" s="831" t="s">
        <v>2674</v>
      </c>
      <c r="AH11566" s="831" t="s">
        <v>89</v>
      </c>
      <c r="AI11566" s="831">
        <v>0</v>
      </c>
      <c r="AJ11566" s="835">
        <v>41182</v>
      </c>
      <c r="AK11566" s="831">
        <v>122822</v>
      </c>
    </row>
    <row r="11567" spans="2:37">
      <c r="B11567" s="834" t="str">
        <f t="shared" si="441"/>
        <v>|||</v>
      </c>
      <c r="H11567" s="835">
        <f t="shared" si="442"/>
        <v>31</v>
      </c>
      <c r="AF11567" s="831" t="s">
        <v>10534</v>
      </c>
      <c r="AG11567" s="831" t="s">
        <v>2674</v>
      </c>
      <c r="AH11567" s="831" t="s">
        <v>557</v>
      </c>
      <c r="AI11567" s="831">
        <v>0</v>
      </c>
      <c r="AJ11567" s="835">
        <v>41182</v>
      </c>
      <c r="AK11567" s="831">
        <v>124710</v>
      </c>
    </row>
    <row r="11568" spans="2:37">
      <c r="B11568" s="834" t="str">
        <f t="shared" si="441"/>
        <v>|||</v>
      </c>
      <c r="H11568" s="835">
        <f t="shared" si="442"/>
        <v>31</v>
      </c>
      <c r="AF11568" s="831" t="s">
        <v>10535</v>
      </c>
      <c r="AG11568" s="831" t="s">
        <v>2674</v>
      </c>
      <c r="AH11568" s="831" t="s">
        <v>29</v>
      </c>
      <c r="AI11568" s="831">
        <v>0</v>
      </c>
      <c r="AJ11568" s="835">
        <v>41182</v>
      </c>
      <c r="AK11568" s="831">
        <v>2101787</v>
      </c>
    </row>
    <row r="11569" spans="2:37">
      <c r="B11569" s="834" t="str">
        <f t="shared" si="441"/>
        <v>|||</v>
      </c>
      <c r="H11569" s="835">
        <f t="shared" si="442"/>
        <v>31</v>
      </c>
      <c r="AF11569" s="831" t="s">
        <v>10536</v>
      </c>
      <c r="AG11569" s="831" t="s">
        <v>2674</v>
      </c>
      <c r="AH11569" s="831" t="s">
        <v>2688</v>
      </c>
      <c r="AI11569" s="831">
        <v>0</v>
      </c>
      <c r="AJ11569" s="835">
        <v>41182</v>
      </c>
      <c r="AK11569" s="831">
        <v>2502472</v>
      </c>
    </row>
    <row r="11570" spans="2:37">
      <c r="B11570" s="834" t="str">
        <f t="shared" si="441"/>
        <v>|||</v>
      </c>
      <c r="H11570" s="835">
        <f t="shared" si="442"/>
        <v>31</v>
      </c>
      <c r="AF11570" s="831" t="s">
        <v>10537</v>
      </c>
      <c r="AG11570" s="831" t="s">
        <v>2674</v>
      </c>
      <c r="AH11570" s="831" t="s">
        <v>556</v>
      </c>
      <c r="AI11570" s="831">
        <v>0</v>
      </c>
      <c r="AJ11570" s="835">
        <v>41182</v>
      </c>
      <c r="AK11570" s="831">
        <v>902857</v>
      </c>
    </row>
    <row r="11571" spans="2:37">
      <c r="B11571" s="834" t="str">
        <f t="shared" si="441"/>
        <v>|||</v>
      </c>
      <c r="H11571" s="835">
        <f t="shared" si="442"/>
        <v>31</v>
      </c>
      <c r="AF11571" s="831" t="s">
        <v>10538</v>
      </c>
      <c r="AG11571" s="831" t="s">
        <v>2674</v>
      </c>
      <c r="AH11571" s="831" t="s">
        <v>555</v>
      </c>
      <c r="AI11571" s="831">
        <v>0</v>
      </c>
      <c r="AJ11571" s="835">
        <v>41182</v>
      </c>
      <c r="AK11571" s="831">
        <v>230223270</v>
      </c>
    </row>
    <row r="11572" spans="2:37">
      <c r="B11572" s="834" t="str">
        <f t="shared" si="441"/>
        <v>|||</v>
      </c>
      <c r="H11572" s="835">
        <f t="shared" si="442"/>
        <v>31</v>
      </c>
      <c r="AF11572" s="831" t="s">
        <v>10539</v>
      </c>
      <c r="AG11572" s="831" t="s">
        <v>2674</v>
      </c>
      <c r="AH11572" s="831" t="s">
        <v>554</v>
      </c>
      <c r="AI11572" s="831">
        <v>0</v>
      </c>
      <c r="AJ11572" s="835">
        <v>41182</v>
      </c>
      <c r="AK11572" s="831">
        <v>219562790</v>
      </c>
    </row>
    <row r="11573" spans="2:37">
      <c r="B11573" s="834" t="str">
        <f t="shared" si="441"/>
        <v>|||</v>
      </c>
      <c r="H11573" s="835">
        <f t="shared" si="442"/>
        <v>31</v>
      </c>
      <c r="AF11573" s="831" t="s">
        <v>10540</v>
      </c>
      <c r="AG11573" s="831" t="s">
        <v>2674</v>
      </c>
      <c r="AH11573" s="831" t="s">
        <v>553</v>
      </c>
      <c r="AI11573" s="831">
        <v>0</v>
      </c>
      <c r="AJ11573" s="835">
        <v>41182</v>
      </c>
      <c r="AK11573" s="831">
        <v>0</v>
      </c>
    </row>
    <row r="11574" spans="2:37">
      <c r="B11574" s="834" t="str">
        <f t="shared" si="441"/>
        <v>|||</v>
      </c>
      <c r="H11574" s="835">
        <f t="shared" si="442"/>
        <v>31</v>
      </c>
      <c r="AF11574" s="831" t="s">
        <v>10541</v>
      </c>
      <c r="AG11574" s="831" t="s">
        <v>2674</v>
      </c>
      <c r="AH11574" s="831" t="s">
        <v>552</v>
      </c>
      <c r="AI11574" s="831">
        <v>0</v>
      </c>
      <c r="AJ11574" s="835">
        <v>41182</v>
      </c>
      <c r="AK11574" s="831">
        <v>0</v>
      </c>
    </row>
    <row r="11575" spans="2:37">
      <c r="B11575" s="834" t="str">
        <f t="shared" si="441"/>
        <v>|||</v>
      </c>
      <c r="H11575" s="835">
        <f t="shared" si="442"/>
        <v>31</v>
      </c>
      <c r="AF11575" s="831" t="s">
        <v>10542</v>
      </c>
      <c r="AG11575" s="831" t="s">
        <v>2674</v>
      </c>
      <c r="AH11575" s="831" t="s">
        <v>551</v>
      </c>
      <c r="AI11575" s="831">
        <v>0</v>
      </c>
      <c r="AJ11575" s="835">
        <v>41182</v>
      </c>
      <c r="AK11575" s="831">
        <v>1960032</v>
      </c>
    </row>
    <row r="11576" spans="2:37">
      <c r="B11576" s="834" t="str">
        <f t="shared" si="441"/>
        <v>|||</v>
      </c>
      <c r="H11576" s="835">
        <f t="shared" si="442"/>
        <v>31</v>
      </c>
      <c r="AF11576" s="831" t="s">
        <v>10543</v>
      </c>
      <c r="AG11576" s="831" t="s">
        <v>2674</v>
      </c>
      <c r="AH11576" s="831" t="s">
        <v>550</v>
      </c>
      <c r="AI11576" s="831">
        <v>0</v>
      </c>
      <c r="AJ11576" s="835">
        <v>41182</v>
      </c>
      <c r="AK11576" s="831">
        <v>95414973</v>
      </c>
    </row>
    <row r="11577" spans="2:37">
      <c r="B11577" s="834" t="str">
        <f t="shared" si="441"/>
        <v>|||</v>
      </c>
      <c r="H11577" s="835">
        <f t="shared" si="442"/>
        <v>31</v>
      </c>
      <c r="AF11577" s="831" t="s">
        <v>10544</v>
      </c>
      <c r="AG11577" s="831" t="s">
        <v>2674</v>
      </c>
      <c r="AH11577" s="831" t="s">
        <v>562</v>
      </c>
      <c r="AI11577" s="831">
        <v>0</v>
      </c>
      <c r="AJ11577" s="835">
        <v>41182</v>
      </c>
      <c r="AK11577" s="831">
        <v>0.78464999999999996</v>
      </c>
    </row>
    <row r="11578" spans="2:37">
      <c r="B11578" s="834" t="str">
        <f t="shared" si="441"/>
        <v>|||</v>
      </c>
      <c r="H11578" s="835">
        <f t="shared" si="442"/>
        <v>31</v>
      </c>
      <c r="AF11578" s="831" t="s">
        <v>10545</v>
      </c>
      <c r="AG11578" s="831" t="s">
        <v>2674</v>
      </c>
      <c r="AH11578" s="831" t="s">
        <v>2698</v>
      </c>
      <c r="AI11578" s="831">
        <v>0</v>
      </c>
      <c r="AJ11578" s="835">
        <v>41182</v>
      </c>
      <c r="AK11578" s="831">
        <v>0.78449999999999998</v>
      </c>
    </row>
    <row r="11579" spans="2:37">
      <c r="B11579" s="834" t="str">
        <f t="shared" si="441"/>
        <v>|||</v>
      </c>
      <c r="H11579" s="835">
        <f t="shared" si="442"/>
        <v>31</v>
      </c>
      <c r="AF11579" s="831" t="s">
        <v>10546</v>
      </c>
      <c r="AG11579" s="831" t="s">
        <v>2674</v>
      </c>
      <c r="AH11579" s="831" t="s">
        <v>560</v>
      </c>
      <c r="AI11579" s="831">
        <v>0</v>
      </c>
      <c r="AJ11579" s="835">
        <v>41182</v>
      </c>
      <c r="AK11579" s="831">
        <v>0.78534999999999999</v>
      </c>
    </row>
    <row r="11580" spans="2:37">
      <c r="B11580" s="834" t="str">
        <f t="shared" si="441"/>
        <v>|||</v>
      </c>
      <c r="H11580" s="835">
        <f t="shared" si="442"/>
        <v>31</v>
      </c>
      <c r="AF11580" s="831" t="s">
        <v>10547</v>
      </c>
      <c r="AG11580" s="831" t="s">
        <v>2674</v>
      </c>
      <c r="AH11580" s="831" t="s">
        <v>559</v>
      </c>
      <c r="AI11580" s="831">
        <v>0</v>
      </c>
      <c r="AJ11580" s="835">
        <v>41182</v>
      </c>
      <c r="AK11580" s="831">
        <v>0.78557083333333333</v>
      </c>
    </row>
    <row r="11581" spans="2:37">
      <c r="B11581" s="834" t="str">
        <f t="shared" si="441"/>
        <v>|||</v>
      </c>
      <c r="H11581" s="835">
        <f t="shared" si="442"/>
        <v>31</v>
      </c>
      <c r="AF11581" s="831" t="s">
        <v>10548</v>
      </c>
      <c r="AG11581" s="831" t="s">
        <v>2674</v>
      </c>
      <c r="AH11581" s="831" t="s">
        <v>568</v>
      </c>
      <c r="AI11581" s="831">
        <v>0</v>
      </c>
      <c r="AJ11581" s="835">
        <v>41182</v>
      </c>
      <c r="AK11581" s="831">
        <v>0</v>
      </c>
    </row>
    <row r="11582" spans="2:37">
      <c r="B11582" s="834" t="str">
        <f t="shared" si="441"/>
        <v>|||</v>
      </c>
      <c r="H11582" s="835">
        <f t="shared" si="442"/>
        <v>31</v>
      </c>
      <c r="AF11582" s="831" t="s">
        <v>10549</v>
      </c>
      <c r="AG11582" s="831" t="s">
        <v>2674</v>
      </c>
      <c r="AH11582" s="831" t="s">
        <v>569</v>
      </c>
      <c r="AI11582" s="831">
        <v>0</v>
      </c>
      <c r="AJ11582" s="835">
        <v>41182</v>
      </c>
      <c r="AK11582" s="831">
        <v>0</v>
      </c>
    </row>
    <row r="11583" spans="2:37">
      <c r="B11583" s="834" t="str">
        <f t="shared" si="441"/>
        <v>|||</v>
      </c>
      <c r="H11583" s="835">
        <f t="shared" si="442"/>
        <v>31</v>
      </c>
      <c r="AF11583" s="831" t="s">
        <v>10550</v>
      </c>
      <c r="AG11583" s="831" t="s">
        <v>2674</v>
      </c>
      <c r="AH11583" s="831" t="s">
        <v>570</v>
      </c>
      <c r="AI11583" s="831">
        <v>0</v>
      </c>
      <c r="AJ11583" s="835">
        <v>41182</v>
      </c>
      <c r="AK11583" s="831">
        <v>0</v>
      </c>
    </row>
    <row r="11584" spans="2:37">
      <c r="B11584" s="834" t="str">
        <f t="shared" si="441"/>
        <v>|||</v>
      </c>
      <c r="H11584" s="835">
        <f t="shared" si="442"/>
        <v>31</v>
      </c>
      <c r="AF11584" s="831" t="s">
        <v>10551</v>
      </c>
      <c r="AG11584" s="831" t="s">
        <v>2674</v>
      </c>
      <c r="AH11584" s="831" t="s">
        <v>571</v>
      </c>
      <c r="AI11584" s="831">
        <v>0</v>
      </c>
      <c r="AJ11584" s="835">
        <v>41182</v>
      </c>
      <c r="AK11584" s="831">
        <v>0</v>
      </c>
    </row>
    <row r="11585" spans="2:37">
      <c r="B11585" s="834" t="str">
        <f t="shared" si="441"/>
        <v>|||</v>
      </c>
      <c r="H11585" s="835">
        <f t="shared" si="442"/>
        <v>31</v>
      </c>
      <c r="AF11585" s="831" t="s">
        <v>10552</v>
      </c>
      <c r="AG11585" s="831" t="s">
        <v>2674</v>
      </c>
      <c r="AH11585" s="831" t="s">
        <v>573</v>
      </c>
      <c r="AI11585" s="831">
        <v>0</v>
      </c>
      <c r="AJ11585" s="835">
        <v>41182</v>
      </c>
      <c r="AK11585" s="831">
        <v>0</v>
      </c>
    </row>
    <row r="11586" spans="2:37">
      <c r="B11586" s="834" t="str">
        <f t="shared" si="441"/>
        <v>|||</v>
      </c>
      <c r="H11586" s="835">
        <f t="shared" si="442"/>
        <v>31</v>
      </c>
      <c r="AF11586" s="831" t="s">
        <v>10553</v>
      </c>
      <c r="AG11586" s="831" t="s">
        <v>2674</v>
      </c>
      <c r="AH11586" s="831" t="s">
        <v>574</v>
      </c>
      <c r="AI11586" s="831">
        <v>0</v>
      </c>
      <c r="AJ11586" s="835">
        <v>41182</v>
      </c>
      <c r="AK11586" s="831">
        <v>0</v>
      </c>
    </row>
    <row r="11587" spans="2:37">
      <c r="B11587" s="834" t="str">
        <f t="shared" si="441"/>
        <v>|||</v>
      </c>
      <c r="H11587" s="835">
        <f t="shared" si="442"/>
        <v>31</v>
      </c>
      <c r="AF11587" s="831" t="s">
        <v>10554</v>
      </c>
      <c r="AG11587" s="831" t="s">
        <v>2674</v>
      </c>
      <c r="AH11587" s="831" t="s">
        <v>575</v>
      </c>
      <c r="AI11587" s="831">
        <v>0</v>
      </c>
      <c r="AJ11587" s="835">
        <v>41182</v>
      </c>
      <c r="AK11587" s="831">
        <v>0</v>
      </c>
    </row>
    <row r="11588" spans="2:37">
      <c r="B11588" s="834" t="str">
        <f t="shared" si="441"/>
        <v>|||</v>
      </c>
      <c r="H11588" s="835">
        <f t="shared" si="442"/>
        <v>31</v>
      </c>
      <c r="AF11588" s="831" t="s">
        <v>10555</v>
      </c>
      <c r="AG11588" s="831" t="s">
        <v>2674</v>
      </c>
      <c r="AH11588" s="831" t="s">
        <v>576</v>
      </c>
      <c r="AI11588" s="831">
        <v>0</v>
      </c>
      <c r="AJ11588" s="835">
        <v>41182</v>
      </c>
      <c r="AK11588" s="831">
        <v>0</v>
      </c>
    </row>
    <row r="11589" spans="2:37">
      <c r="B11589" s="834" t="str">
        <f t="shared" si="441"/>
        <v>|||</v>
      </c>
      <c r="H11589" s="835">
        <f t="shared" si="442"/>
        <v>31</v>
      </c>
      <c r="AF11589" s="831" t="s">
        <v>10556</v>
      </c>
      <c r="AG11589" s="831" t="s">
        <v>2674</v>
      </c>
      <c r="AH11589" s="831" t="s">
        <v>572</v>
      </c>
      <c r="AI11589" s="831">
        <v>0</v>
      </c>
      <c r="AJ11589" s="835">
        <v>41182</v>
      </c>
      <c r="AK11589" s="831">
        <v>-2146826246</v>
      </c>
    </row>
    <row r="11590" spans="2:37">
      <c r="B11590" s="834" t="str">
        <f t="shared" si="441"/>
        <v>|||</v>
      </c>
      <c r="H11590" s="835">
        <f t="shared" si="442"/>
        <v>31</v>
      </c>
      <c r="AF11590" s="831" t="s">
        <v>10557</v>
      </c>
      <c r="AG11590" s="831" t="s">
        <v>2674</v>
      </c>
      <c r="AH11590" s="831" t="s">
        <v>577</v>
      </c>
      <c r="AI11590" s="831">
        <v>0</v>
      </c>
      <c r="AJ11590" s="835">
        <v>41182</v>
      </c>
      <c r="AK11590" s="831">
        <v>-2146826246</v>
      </c>
    </row>
    <row r="11591" spans="2:37">
      <c r="B11591" s="834" t="str">
        <f t="shared" si="441"/>
        <v>|||</v>
      </c>
      <c r="H11591" s="835">
        <f t="shared" si="442"/>
        <v>31</v>
      </c>
      <c r="AF11591" s="831" t="s">
        <v>10558</v>
      </c>
      <c r="AG11591" s="831" t="s">
        <v>2674</v>
      </c>
      <c r="AH11591" s="831" t="s">
        <v>3042</v>
      </c>
      <c r="AI11591" s="831">
        <v>0</v>
      </c>
      <c r="AJ11591" s="835">
        <v>41182</v>
      </c>
      <c r="AK11591" s="831">
        <v>-2146826246</v>
      </c>
    </row>
    <row r="11592" spans="2:37">
      <c r="B11592" s="834" t="str">
        <f t="shared" si="441"/>
        <v>|||</v>
      </c>
      <c r="H11592" s="835">
        <f t="shared" si="442"/>
        <v>31</v>
      </c>
      <c r="AF11592" s="831" t="s">
        <v>10559</v>
      </c>
      <c r="AG11592" s="831" t="s">
        <v>2674</v>
      </c>
      <c r="AH11592" s="831" t="s">
        <v>3044</v>
      </c>
      <c r="AI11592" s="831">
        <v>0</v>
      </c>
      <c r="AJ11592" s="835">
        <v>41182</v>
      </c>
      <c r="AK11592" s="831">
        <v>-2146826246</v>
      </c>
    </row>
    <row r="11593" spans="2:37">
      <c r="B11593" s="834" t="str">
        <f t="shared" si="441"/>
        <v>|||</v>
      </c>
      <c r="H11593" s="835">
        <f t="shared" si="442"/>
        <v>31</v>
      </c>
      <c r="AF11593" s="831" t="s">
        <v>10560</v>
      </c>
      <c r="AG11593" s="831" t="s">
        <v>2674</v>
      </c>
      <c r="AH11593" s="831" t="s">
        <v>580</v>
      </c>
      <c r="AI11593" s="831">
        <v>0</v>
      </c>
      <c r="AJ11593" s="835">
        <v>41182</v>
      </c>
      <c r="AK11593" s="831">
        <v>-2146826246</v>
      </c>
    </row>
    <row r="11594" spans="2:37">
      <c r="B11594" s="834" t="str">
        <f t="shared" si="441"/>
        <v>|||</v>
      </c>
      <c r="H11594" s="835">
        <f t="shared" si="442"/>
        <v>31</v>
      </c>
      <c r="AF11594" s="831" t="s">
        <v>10561</v>
      </c>
      <c r="AG11594" s="831" t="s">
        <v>2674</v>
      </c>
      <c r="AH11594" s="831" t="s">
        <v>581</v>
      </c>
      <c r="AI11594" s="831">
        <v>0</v>
      </c>
      <c r="AJ11594" s="835">
        <v>41182</v>
      </c>
      <c r="AK11594" s="831">
        <v>-2146826246</v>
      </c>
    </row>
    <row r="11595" spans="2:37">
      <c r="B11595" s="834" t="str">
        <f t="shared" si="441"/>
        <v>|||</v>
      </c>
      <c r="H11595" s="835">
        <f t="shared" si="442"/>
        <v>31</v>
      </c>
      <c r="AF11595" s="831" t="s">
        <v>10562</v>
      </c>
      <c r="AG11595" s="831" t="s">
        <v>2674</v>
      </c>
      <c r="AH11595" s="831" t="s">
        <v>105</v>
      </c>
      <c r="AI11595" s="831">
        <v>0</v>
      </c>
      <c r="AJ11595" s="835">
        <v>41182</v>
      </c>
      <c r="AK11595" s="831">
        <v>185303362</v>
      </c>
    </row>
    <row r="11596" spans="2:37">
      <c r="B11596" s="834" t="str">
        <f t="shared" si="441"/>
        <v>|||</v>
      </c>
      <c r="H11596" s="835">
        <f t="shared" si="442"/>
        <v>31</v>
      </c>
      <c r="AF11596" s="831" t="s">
        <v>10563</v>
      </c>
      <c r="AG11596" s="831" t="s">
        <v>2674</v>
      </c>
      <c r="AH11596" s="831" t="s">
        <v>3049</v>
      </c>
      <c r="AI11596" s="831">
        <v>0</v>
      </c>
      <c r="AJ11596" s="835">
        <v>41182</v>
      </c>
      <c r="AK11596" s="831">
        <v>347265603</v>
      </c>
    </row>
    <row r="11597" spans="2:37">
      <c r="B11597" s="834" t="str">
        <f t="shared" si="441"/>
        <v>|||</v>
      </c>
      <c r="H11597" s="835">
        <f t="shared" si="442"/>
        <v>31</v>
      </c>
      <c r="AF11597" s="831" t="s">
        <v>10564</v>
      </c>
      <c r="AG11597" s="831" t="s">
        <v>2674</v>
      </c>
      <c r="AH11597" s="831" t="s">
        <v>103</v>
      </c>
      <c r="AI11597" s="831">
        <v>0</v>
      </c>
      <c r="AJ11597" s="835">
        <v>41182</v>
      </c>
      <c r="AK11597" s="831">
        <v>161962241</v>
      </c>
    </row>
    <row r="11598" spans="2:37">
      <c r="B11598" s="834" t="str">
        <f t="shared" si="441"/>
        <v>|||</v>
      </c>
      <c r="H11598" s="835">
        <f t="shared" si="442"/>
        <v>31</v>
      </c>
      <c r="AF11598" s="831" t="s">
        <v>10565</v>
      </c>
      <c r="AG11598" s="831" t="s">
        <v>2674</v>
      </c>
      <c r="AH11598" s="831" t="s">
        <v>182</v>
      </c>
      <c r="AI11598" s="831">
        <v>0</v>
      </c>
      <c r="AJ11598" s="835">
        <v>41182</v>
      </c>
      <c r="AK11598" s="831">
        <v>49982530.666666664</v>
      </c>
    </row>
    <row r="11599" spans="2:37">
      <c r="B11599" s="834" t="str">
        <f t="shared" si="441"/>
        <v>|||</v>
      </c>
      <c r="H11599" s="835">
        <f t="shared" si="442"/>
        <v>31</v>
      </c>
      <c r="AF11599" s="831" t="s">
        <v>10566</v>
      </c>
      <c r="AG11599" s="831" t="s">
        <v>2674</v>
      </c>
      <c r="AH11599" s="831" t="s">
        <v>6600</v>
      </c>
      <c r="AI11599" s="831">
        <v>0</v>
      </c>
      <c r="AJ11599" s="835">
        <v>41182</v>
      </c>
      <c r="AK11599" s="831">
        <v>-2146826246</v>
      </c>
    </row>
    <row r="11600" spans="2:37">
      <c r="B11600" s="834" t="str">
        <f t="shared" si="441"/>
        <v>|||</v>
      </c>
      <c r="H11600" s="835">
        <f t="shared" si="442"/>
        <v>31</v>
      </c>
      <c r="AF11600" s="831" t="s">
        <v>10567</v>
      </c>
      <c r="AG11600" s="831" t="s">
        <v>2674</v>
      </c>
      <c r="AH11600" s="831" t="s">
        <v>6602</v>
      </c>
      <c r="AI11600" s="831">
        <v>0</v>
      </c>
      <c r="AJ11600" s="835">
        <v>41182</v>
      </c>
      <c r="AK11600" s="831">
        <v>12086480</v>
      </c>
    </row>
    <row r="11601" spans="2:37">
      <c r="B11601" s="834" t="str">
        <f t="shared" ref="B11601:B11664" si="443">C11601&amp;"|"&amp;D11601&amp;"|"&amp;E11601&amp;"|"&amp;F11601</f>
        <v>|||</v>
      </c>
      <c r="H11601" s="835">
        <f t="shared" ref="H11601:H11664" si="444">EOMONTH(L11601,0)</f>
        <v>31</v>
      </c>
      <c r="AF11601" s="831" t="s">
        <v>10568</v>
      </c>
      <c r="AG11601" s="831" t="s">
        <v>2674</v>
      </c>
      <c r="AH11601" s="831" t="s">
        <v>650</v>
      </c>
      <c r="AI11601" s="831">
        <v>0</v>
      </c>
      <c r="AJ11601" s="835">
        <v>41182</v>
      </c>
      <c r="AK11601" s="831">
        <v>0</v>
      </c>
    </row>
    <row r="11602" spans="2:37">
      <c r="B11602" s="834" t="str">
        <f t="shared" si="443"/>
        <v>|||</v>
      </c>
      <c r="H11602" s="835">
        <f t="shared" si="444"/>
        <v>31</v>
      </c>
      <c r="AF11602" s="831" t="s">
        <v>10569</v>
      </c>
      <c r="AG11602" s="831" t="s">
        <v>2674</v>
      </c>
      <c r="AH11602" s="831" t="s">
        <v>655</v>
      </c>
      <c r="AI11602" s="831">
        <v>0</v>
      </c>
      <c r="AJ11602" s="835">
        <v>41182</v>
      </c>
      <c r="AK11602" s="831">
        <v>1640278</v>
      </c>
    </row>
    <row r="11603" spans="2:37">
      <c r="B11603" s="834" t="str">
        <f t="shared" si="443"/>
        <v>|||</v>
      </c>
      <c r="H11603" s="835">
        <f t="shared" si="444"/>
        <v>31</v>
      </c>
      <c r="AF11603" s="831" t="s">
        <v>10570</v>
      </c>
      <c r="AG11603" s="831" t="s">
        <v>2674</v>
      </c>
      <c r="AH11603" s="831" t="s">
        <v>546</v>
      </c>
      <c r="AI11603" s="831">
        <v>0</v>
      </c>
      <c r="AJ11603" s="835">
        <v>41213</v>
      </c>
      <c r="AK11603" s="831">
        <v>376404251</v>
      </c>
    </row>
    <row r="11604" spans="2:37">
      <c r="B11604" s="834" t="str">
        <f t="shared" si="443"/>
        <v>|||</v>
      </c>
      <c r="H11604" s="835">
        <f t="shared" si="444"/>
        <v>31</v>
      </c>
      <c r="AF11604" s="831" t="s">
        <v>10571</v>
      </c>
      <c r="AG11604" s="831" t="s">
        <v>2674</v>
      </c>
      <c r="AH11604" s="831" t="s">
        <v>370</v>
      </c>
      <c r="AI11604" s="831">
        <v>0</v>
      </c>
      <c r="AJ11604" s="835">
        <v>41213</v>
      </c>
      <c r="AK11604" s="831">
        <v>453336865</v>
      </c>
    </row>
    <row r="11605" spans="2:37">
      <c r="B11605" s="834" t="str">
        <f t="shared" si="443"/>
        <v>|||</v>
      </c>
      <c r="H11605" s="835">
        <f t="shared" si="444"/>
        <v>31</v>
      </c>
      <c r="AF11605" s="831" t="s">
        <v>10572</v>
      </c>
      <c r="AG11605" s="831" t="s">
        <v>2674</v>
      </c>
      <c r="AH11605" s="831" t="s">
        <v>126</v>
      </c>
      <c r="AI11605" s="831">
        <v>0</v>
      </c>
      <c r="AJ11605" s="835">
        <v>41213</v>
      </c>
      <c r="AK11605" s="831">
        <v>99431431</v>
      </c>
    </row>
    <row r="11606" spans="2:37">
      <c r="B11606" s="834" t="str">
        <f t="shared" si="443"/>
        <v>|||</v>
      </c>
      <c r="H11606" s="835">
        <f t="shared" si="444"/>
        <v>31</v>
      </c>
      <c r="AF11606" s="831" t="s">
        <v>10573</v>
      </c>
      <c r="AG11606" s="831" t="s">
        <v>2674</v>
      </c>
      <c r="AH11606" s="831" t="s">
        <v>268</v>
      </c>
      <c r="AI11606" s="831">
        <v>0</v>
      </c>
      <c r="AJ11606" s="835">
        <v>41213</v>
      </c>
      <c r="AK11606" s="831">
        <v>14108507</v>
      </c>
    </row>
    <row r="11607" spans="2:37">
      <c r="B11607" s="834" t="str">
        <f t="shared" si="443"/>
        <v>|||</v>
      </c>
      <c r="H11607" s="835">
        <f t="shared" si="444"/>
        <v>31</v>
      </c>
      <c r="AF11607" s="831" t="s">
        <v>10574</v>
      </c>
      <c r="AG11607" s="831" t="s">
        <v>2674</v>
      </c>
      <c r="AH11607" s="831" t="s">
        <v>547</v>
      </c>
      <c r="AI11607" s="831">
        <v>0</v>
      </c>
      <c r="AJ11607" s="835">
        <v>41213</v>
      </c>
      <c r="AK11607" s="831">
        <v>0</v>
      </c>
    </row>
    <row r="11608" spans="2:37">
      <c r="B11608" s="834" t="str">
        <f t="shared" si="443"/>
        <v>|||</v>
      </c>
      <c r="H11608" s="835">
        <f t="shared" si="444"/>
        <v>31</v>
      </c>
      <c r="AF11608" s="831" t="s">
        <v>10575</v>
      </c>
      <c r="AG11608" s="831" t="s">
        <v>2674</v>
      </c>
      <c r="AH11608" s="831" t="s">
        <v>548</v>
      </c>
      <c r="AI11608" s="831">
        <v>0</v>
      </c>
      <c r="AJ11608" s="835">
        <v>41213</v>
      </c>
      <c r="AK11608" s="831">
        <v>0</v>
      </c>
    </row>
    <row r="11609" spans="2:37">
      <c r="B11609" s="834" t="str">
        <f t="shared" si="443"/>
        <v>|||</v>
      </c>
      <c r="H11609" s="835">
        <f t="shared" si="444"/>
        <v>31</v>
      </c>
      <c r="AF11609" s="831" t="s">
        <v>10576</v>
      </c>
      <c r="AG11609" s="831" t="s">
        <v>2674</v>
      </c>
      <c r="AH11609" s="831" t="s">
        <v>549</v>
      </c>
      <c r="AI11609" s="831">
        <v>0</v>
      </c>
      <c r="AJ11609" s="835">
        <v>41213</v>
      </c>
      <c r="AK11609" s="831">
        <v>0</v>
      </c>
    </row>
    <row r="11610" spans="2:37">
      <c r="B11610" s="834" t="str">
        <f t="shared" si="443"/>
        <v>|||</v>
      </c>
      <c r="H11610" s="835">
        <f t="shared" si="444"/>
        <v>31</v>
      </c>
      <c r="AF11610" s="831" t="s">
        <v>10577</v>
      </c>
      <c r="AG11610" s="831" t="s">
        <v>2674</v>
      </c>
      <c r="AH11610" s="831" t="s">
        <v>192</v>
      </c>
      <c r="AI11610" s="831">
        <v>0</v>
      </c>
      <c r="AJ11610" s="835">
        <v>41213</v>
      </c>
      <c r="AK11610" s="831">
        <v>-9860253</v>
      </c>
    </row>
    <row r="11611" spans="2:37">
      <c r="B11611" s="834" t="str">
        <f t="shared" si="443"/>
        <v>|||</v>
      </c>
      <c r="H11611" s="835">
        <f t="shared" si="444"/>
        <v>31</v>
      </c>
      <c r="AF11611" s="831" t="s">
        <v>10578</v>
      </c>
      <c r="AG11611" s="831" t="s">
        <v>2674</v>
      </c>
      <c r="AH11611" s="831" t="s">
        <v>558</v>
      </c>
      <c r="AI11611" s="831">
        <v>0</v>
      </c>
      <c r="AJ11611" s="835">
        <v>41213</v>
      </c>
      <c r="AK11611" s="831">
        <v>353905434</v>
      </c>
    </row>
    <row r="11612" spans="2:37">
      <c r="B11612" s="834" t="str">
        <f t="shared" si="443"/>
        <v>|||</v>
      </c>
      <c r="H11612" s="835">
        <f t="shared" si="444"/>
        <v>31</v>
      </c>
      <c r="AF11612" s="831" t="s">
        <v>10579</v>
      </c>
      <c r="AG11612" s="831" t="s">
        <v>2674</v>
      </c>
      <c r="AH11612" s="831" t="s">
        <v>65</v>
      </c>
      <c r="AI11612" s="831">
        <v>0</v>
      </c>
      <c r="AJ11612" s="835">
        <v>41213</v>
      </c>
      <c r="AK11612" s="831">
        <v>80308330</v>
      </c>
    </row>
    <row r="11613" spans="2:37">
      <c r="B11613" s="834" t="str">
        <f t="shared" si="443"/>
        <v>|||</v>
      </c>
      <c r="H11613" s="835">
        <f t="shared" si="444"/>
        <v>31</v>
      </c>
      <c r="AF11613" s="831" t="s">
        <v>10580</v>
      </c>
      <c r="AG11613" s="831" t="s">
        <v>2674</v>
      </c>
      <c r="AH11613" s="831" t="s">
        <v>89</v>
      </c>
      <c r="AI11613" s="831">
        <v>0</v>
      </c>
      <c r="AJ11613" s="835">
        <v>41213</v>
      </c>
      <c r="AK11613" s="831">
        <v>123024</v>
      </c>
    </row>
    <row r="11614" spans="2:37">
      <c r="B11614" s="834" t="str">
        <f t="shared" si="443"/>
        <v>|||</v>
      </c>
      <c r="H11614" s="835">
        <f t="shared" si="444"/>
        <v>31</v>
      </c>
      <c r="AF11614" s="831" t="s">
        <v>10581</v>
      </c>
      <c r="AG11614" s="831" t="s">
        <v>2674</v>
      </c>
      <c r="AH11614" s="831" t="s">
        <v>557</v>
      </c>
      <c r="AI11614" s="831">
        <v>0</v>
      </c>
      <c r="AJ11614" s="835">
        <v>41213</v>
      </c>
      <c r="AK11614" s="831">
        <v>124999</v>
      </c>
    </row>
    <row r="11615" spans="2:37">
      <c r="B11615" s="834" t="str">
        <f t="shared" si="443"/>
        <v>|||</v>
      </c>
      <c r="H11615" s="835">
        <f t="shared" si="444"/>
        <v>31</v>
      </c>
      <c r="AF11615" s="831" t="s">
        <v>10582</v>
      </c>
      <c r="AG11615" s="831" t="s">
        <v>2674</v>
      </c>
      <c r="AH11615" s="831" t="s">
        <v>29</v>
      </c>
      <c r="AI11615" s="831">
        <v>0</v>
      </c>
      <c r="AJ11615" s="835">
        <v>41213</v>
      </c>
      <c r="AK11615" s="831">
        <v>2261339</v>
      </c>
    </row>
    <row r="11616" spans="2:37">
      <c r="B11616" s="834" t="str">
        <f t="shared" si="443"/>
        <v>|||</v>
      </c>
      <c r="H11616" s="835">
        <f t="shared" si="444"/>
        <v>31</v>
      </c>
      <c r="AF11616" s="831" t="s">
        <v>10583</v>
      </c>
      <c r="AG11616" s="831" t="s">
        <v>2674</v>
      </c>
      <c r="AH11616" s="831" t="s">
        <v>2688</v>
      </c>
      <c r="AI11616" s="831">
        <v>0</v>
      </c>
      <c r="AJ11616" s="835">
        <v>41213</v>
      </c>
      <c r="AK11616" s="831">
        <v>2480728</v>
      </c>
    </row>
    <row r="11617" spans="2:37">
      <c r="B11617" s="834" t="str">
        <f t="shared" si="443"/>
        <v>|||</v>
      </c>
      <c r="H11617" s="835">
        <f t="shared" si="444"/>
        <v>31</v>
      </c>
      <c r="AF11617" s="831" t="s">
        <v>10584</v>
      </c>
      <c r="AG11617" s="831" t="s">
        <v>2674</v>
      </c>
      <c r="AH11617" s="831" t="s">
        <v>556</v>
      </c>
      <c r="AI11617" s="831">
        <v>0</v>
      </c>
      <c r="AJ11617" s="835">
        <v>41213</v>
      </c>
      <c r="AK11617" s="831">
        <v>902857</v>
      </c>
    </row>
    <row r="11618" spans="2:37">
      <c r="B11618" s="834" t="str">
        <f t="shared" si="443"/>
        <v>|||</v>
      </c>
      <c r="H11618" s="835">
        <f t="shared" si="444"/>
        <v>31</v>
      </c>
      <c r="AF11618" s="831" t="s">
        <v>10585</v>
      </c>
      <c r="AG11618" s="831" t="s">
        <v>2674</v>
      </c>
      <c r="AH11618" s="831" t="s">
        <v>555</v>
      </c>
      <c r="AI11618" s="831">
        <v>0</v>
      </c>
      <c r="AJ11618" s="835">
        <v>41213</v>
      </c>
      <c r="AK11618" s="831">
        <v>223326560</v>
      </c>
    </row>
    <row r="11619" spans="2:37">
      <c r="B11619" s="834" t="str">
        <f t="shared" si="443"/>
        <v>|||</v>
      </c>
      <c r="H11619" s="835">
        <f t="shared" si="444"/>
        <v>31</v>
      </c>
      <c r="AF11619" s="831" t="s">
        <v>10586</v>
      </c>
      <c r="AG11619" s="831" t="s">
        <v>2674</v>
      </c>
      <c r="AH11619" s="831" t="s">
        <v>554</v>
      </c>
      <c r="AI11619" s="831">
        <v>0</v>
      </c>
      <c r="AJ11619" s="835">
        <v>41213</v>
      </c>
      <c r="AK11619" s="831">
        <v>217988230</v>
      </c>
    </row>
    <row r="11620" spans="2:37">
      <c r="B11620" s="834" t="str">
        <f t="shared" si="443"/>
        <v>|||</v>
      </c>
      <c r="H11620" s="835">
        <f t="shared" si="444"/>
        <v>31</v>
      </c>
      <c r="AF11620" s="831" t="s">
        <v>10587</v>
      </c>
      <c r="AG11620" s="831" t="s">
        <v>2674</v>
      </c>
      <c r="AH11620" s="831" t="s">
        <v>553</v>
      </c>
      <c r="AI11620" s="831">
        <v>0</v>
      </c>
      <c r="AJ11620" s="835">
        <v>41213</v>
      </c>
      <c r="AK11620" s="831">
        <v>0</v>
      </c>
    </row>
    <row r="11621" spans="2:37">
      <c r="B11621" s="834" t="str">
        <f t="shared" si="443"/>
        <v>|||</v>
      </c>
      <c r="H11621" s="835">
        <f t="shared" si="444"/>
        <v>31</v>
      </c>
      <c r="AF11621" s="831" t="s">
        <v>10588</v>
      </c>
      <c r="AG11621" s="831" t="s">
        <v>2674</v>
      </c>
      <c r="AH11621" s="831" t="s">
        <v>552</v>
      </c>
      <c r="AI11621" s="831">
        <v>0</v>
      </c>
      <c r="AJ11621" s="835">
        <v>41213</v>
      </c>
      <c r="AK11621" s="831">
        <v>0</v>
      </c>
    </row>
    <row r="11622" spans="2:37">
      <c r="B11622" s="834" t="str">
        <f t="shared" si="443"/>
        <v>|||</v>
      </c>
      <c r="H11622" s="835">
        <f t="shared" si="444"/>
        <v>31</v>
      </c>
      <c r="AF11622" s="831" t="s">
        <v>10589</v>
      </c>
      <c r="AG11622" s="831" t="s">
        <v>2674</v>
      </c>
      <c r="AH11622" s="831" t="s">
        <v>551</v>
      </c>
      <c r="AI11622" s="831">
        <v>0</v>
      </c>
      <c r="AJ11622" s="835">
        <v>41213</v>
      </c>
      <c r="AK11622" s="831">
        <v>2033933</v>
      </c>
    </row>
    <row r="11623" spans="2:37">
      <c r="B11623" s="834" t="str">
        <f t="shared" si="443"/>
        <v>|||</v>
      </c>
      <c r="H11623" s="835">
        <f t="shared" si="444"/>
        <v>31</v>
      </c>
      <c r="AF11623" s="831" t="s">
        <v>10590</v>
      </c>
      <c r="AG11623" s="831" t="s">
        <v>2674</v>
      </c>
      <c r="AH11623" s="831" t="s">
        <v>550</v>
      </c>
      <c r="AI11623" s="831">
        <v>0</v>
      </c>
      <c r="AJ11623" s="835">
        <v>41213</v>
      </c>
      <c r="AK11623" s="831">
        <v>97409403</v>
      </c>
    </row>
    <row r="11624" spans="2:37">
      <c r="B11624" s="834" t="str">
        <f t="shared" si="443"/>
        <v>|||</v>
      </c>
      <c r="H11624" s="835">
        <f t="shared" si="444"/>
        <v>31</v>
      </c>
      <c r="AF11624" s="831" t="s">
        <v>10591</v>
      </c>
      <c r="AG11624" s="831" t="s">
        <v>2674</v>
      </c>
      <c r="AH11624" s="831" t="s">
        <v>562</v>
      </c>
      <c r="AI11624" s="831">
        <v>0</v>
      </c>
      <c r="AJ11624" s="835">
        <v>41213</v>
      </c>
      <c r="AK11624" s="831">
        <v>0.78434999999999999</v>
      </c>
    </row>
    <row r="11625" spans="2:37">
      <c r="B11625" s="834" t="str">
        <f t="shared" si="443"/>
        <v>|||</v>
      </c>
      <c r="H11625" s="835">
        <f t="shared" si="444"/>
        <v>31</v>
      </c>
      <c r="AF11625" s="831" t="s">
        <v>10592</v>
      </c>
      <c r="AG11625" s="831" t="s">
        <v>2674</v>
      </c>
      <c r="AH11625" s="831" t="s">
        <v>2698</v>
      </c>
      <c r="AI11625" s="831">
        <v>0</v>
      </c>
      <c r="AJ11625" s="835">
        <v>41213</v>
      </c>
      <c r="AK11625" s="831">
        <v>0.78464999999999996</v>
      </c>
    </row>
    <row r="11626" spans="2:37">
      <c r="B11626" s="834" t="str">
        <f t="shared" si="443"/>
        <v>|||</v>
      </c>
      <c r="H11626" s="835">
        <f t="shared" si="444"/>
        <v>31</v>
      </c>
      <c r="AF11626" s="831" t="s">
        <v>10593</v>
      </c>
      <c r="AG11626" s="831" t="s">
        <v>2674</v>
      </c>
      <c r="AH11626" s="831" t="s">
        <v>560</v>
      </c>
      <c r="AI11626" s="831">
        <v>0</v>
      </c>
      <c r="AJ11626" s="835">
        <v>41213</v>
      </c>
      <c r="AK11626" s="831">
        <v>0.78525</v>
      </c>
    </row>
    <row r="11627" spans="2:37">
      <c r="B11627" s="834" t="str">
        <f t="shared" si="443"/>
        <v>|||</v>
      </c>
      <c r="H11627" s="835">
        <f t="shared" si="444"/>
        <v>31</v>
      </c>
      <c r="AF11627" s="831" t="s">
        <v>10594</v>
      </c>
      <c r="AG11627" s="831" t="s">
        <v>2674</v>
      </c>
      <c r="AH11627" s="831" t="s">
        <v>559</v>
      </c>
      <c r="AI11627" s="831">
        <v>0</v>
      </c>
      <c r="AJ11627" s="835">
        <v>41213</v>
      </c>
      <c r="AK11627" s="831">
        <v>0.78536666666666666</v>
      </c>
    </row>
    <row r="11628" spans="2:37">
      <c r="B11628" s="834" t="str">
        <f t="shared" si="443"/>
        <v>|||</v>
      </c>
      <c r="H11628" s="835">
        <f t="shared" si="444"/>
        <v>31</v>
      </c>
      <c r="AF11628" s="831" t="s">
        <v>10595</v>
      </c>
      <c r="AG11628" s="831" t="s">
        <v>2674</v>
      </c>
      <c r="AH11628" s="831" t="s">
        <v>568</v>
      </c>
      <c r="AI11628" s="831">
        <v>0</v>
      </c>
      <c r="AJ11628" s="835">
        <v>41213</v>
      </c>
      <c r="AK11628" s="831">
        <v>0</v>
      </c>
    </row>
    <row r="11629" spans="2:37">
      <c r="B11629" s="834" t="str">
        <f t="shared" si="443"/>
        <v>|||</v>
      </c>
      <c r="H11629" s="835">
        <f t="shared" si="444"/>
        <v>31</v>
      </c>
      <c r="AF11629" s="831" t="s">
        <v>10596</v>
      </c>
      <c r="AG11629" s="831" t="s">
        <v>2674</v>
      </c>
      <c r="AH11629" s="831" t="s">
        <v>569</v>
      </c>
      <c r="AI11629" s="831">
        <v>0</v>
      </c>
      <c r="AJ11629" s="835">
        <v>41213</v>
      </c>
      <c r="AK11629" s="831">
        <v>0</v>
      </c>
    </row>
    <row r="11630" spans="2:37">
      <c r="B11630" s="834" t="str">
        <f t="shared" si="443"/>
        <v>|||</v>
      </c>
      <c r="H11630" s="835">
        <f t="shared" si="444"/>
        <v>31</v>
      </c>
      <c r="AF11630" s="831" t="s">
        <v>10597</v>
      </c>
      <c r="AG11630" s="831" t="s">
        <v>2674</v>
      </c>
      <c r="AH11630" s="831" t="s">
        <v>570</v>
      </c>
      <c r="AI11630" s="831">
        <v>0</v>
      </c>
      <c r="AJ11630" s="835">
        <v>41213</v>
      </c>
      <c r="AK11630" s="831">
        <v>0</v>
      </c>
    </row>
    <row r="11631" spans="2:37">
      <c r="B11631" s="834" t="str">
        <f t="shared" si="443"/>
        <v>|||</v>
      </c>
      <c r="H11631" s="835">
        <f t="shared" si="444"/>
        <v>31</v>
      </c>
      <c r="AF11631" s="831" t="s">
        <v>10598</v>
      </c>
      <c r="AG11631" s="831" t="s">
        <v>2674</v>
      </c>
      <c r="AH11631" s="831" t="s">
        <v>571</v>
      </c>
      <c r="AI11631" s="831">
        <v>0</v>
      </c>
      <c r="AJ11631" s="835">
        <v>41213</v>
      </c>
      <c r="AK11631" s="831">
        <v>0</v>
      </c>
    </row>
    <row r="11632" spans="2:37">
      <c r="B11632" s="834" t="str">
        <f t="shared" si="443"/>
        <v>|||</v>
      </c>
      <c r="H11632" s="835">
        <f t="shared" si="444"/>
        <v>31</v>
      </c>
      <c r="AF11632" s="831" t="s">
        <v>10599</v>
      </c>
      <c r="AG11632" s="831" t="s">
        <v>2674</v>
      </c>
      <c r="AH11632" s="831" t="s">
        <v>573</v>
      </c>
      <c r="AI11632" s="831">
        <v>0</v>
      </c>
      <c r="AJ11632" s="835">
        <v>41213</v>
      </c>
      <c r="AK11632" s="831">
        <v>0</v>
      </c>
    </row>
    <row r="11633" spans="2:37">
      <c r="B11633" s="834" t="str">
        <f t="shared" si="443"/>
        <v>|||</v>
      </c>
      <c r="H11633" s="835">
        <f t="shared" si="444"/>
        <v>31</v>
      </c>
      <c r="AF11633" s="831" t="s">
        <v>10600</v>
      </c>
      <c r="AG11633" s="831" t="s">
        <v>2674</v>
      </c>
      <c r="AH11633" s="831" t="s">
        <v>574</v>
      </c>
      <c r="AI11633" s="831">
        <v>0</v>
      </c>
      <c r="AJ11633" s="835">
        <v>41213</v>
      </c>
      <c r="AK11633" s="831">
        <v>0</v>
      </c>
    </row>
    <row r="11634" spans="2:37">
      <c r="B11634" s="834" t="str">
        <f t="shared" si="443"/>
        <v>|||</v>
      </c>
      <c r="H11634" s="835">
        <f t="shared" si="444"/>
        <v>31</v>
      </c>
      <c r="AF11634" s="831" t="s">
        <v>10601</v>
      </c>
      <c r="AG11634" s="831" t="s">
        <v>2674</v>
      </c>
      <c r="AH11634" s="831" t="s">
        <v>575</v>
      </c>
      <c r="AI11634" s="831">
        <v>0</v>
      </c>
      <c r="AJ11634" s="835">
        <v>41213</v>
      </c>
      <c r="AK11634" s="831">
        <v>0</v>
      </c>
    </row>
    <row r="11635" spans="2:37">
      <c r="B11635" s="834" t="str">
        <f t="shared" si="443"/>
        <v>|||</v>
      </c>
      <c r="H11635" s="835">
        <f t="shared" si="444"/>
        <v>31</v>
      </c>
      <c r="AF11635" s="831" t="s">
        <v>10602</v>
      </c>
      <c r="AG11635" s="831" t="s">
        <v>2674</v>
      </c>
      <c r="AH11635" s="831" t="s">
        <v>576</v>
      </c>
      <c r="AI11635" s="831">
        <v>0</v>
      </c>
      <c r="AJ11635" s="835">
        <v>41213</v>
      </c>
      <c r="AK11635" s="831">
        <v>0</v>
      </c>
    </row>
    <row r="11636" spans="2:37">
      <c r="B11636" s="834" t="str">
        <f t="shared" si="443"/>
        <v>|||</v>
      </c>
      <c r="H11636" s="835">
        <f t="shared" si="444"/>
        <v>31</v>
      </c>
      <c r="AF11636" s="831" t="s">
        <v>10603</v>
      </c>
      <c r="AG11636" s="831" t="s">
        <v>2674</v>
      </c>
      <c r="AH11636" s="831" t="s">
        <v>572</v>
      </c>
      <c r="AI11636" s="831">
        <v>0</v>
      </c>
      <c r="AJ11636" s="835">
        <v>41213</v>
      </c>
      <c r="AK11636" s="831">
        <v>-2146826246</v>
      </c>
    </row>
    <row r="11637" spans="2:37">
      <c r="B11637" s="834" t="str">
        <f t="shared" si="443"/>
        <v>|||</v>
      </c>
      <c r="H11637" s="835">
        <f t="shared" si="444"/>
        <v>31</v>
      </c>
      <c r="AF11637" s="831" t="s">
        <v>10604</v>
      </c>
      <c r="AG11637" s="831" t="s">
        <v>2674</v>
      </c>
      <c r="AH11637" s="831" t="s">
        <v>577</v>
      </c>
      <c r="AI11637" s="831">
        <v>0</v>
      </c>
      <c r="AJ11637" s="835">
        <v>41213</v>
      </c>
      <c r="AK11637" s="831">
        <v>-2146826246</v>
      </c>
    </row>
    <row r="11638" spans="2:37">
      <c r="B11638" s="834" t="str">
        <f t="shared" si="443"/>
        <v>|||</v>
      </c>
      <c r="H11638" s="835">
        <f t="shared" si="444"/>
        <v>31</v>
      </c>
      <c r="AF11638" s="831" t="s">
        <v>10605</v>
      </c>
      <c r="AG11638" s="831" t="s">
        <v>2674</v>
      </c>
      <c r="AH11638" s="831" t="s">
        <v>3042</v>
      </c>
      <c r="AI11638" s="831">
        <v>0</v>
      </c>
      <c r="AJ11638" s="835">
        <v>41213</v>
      </c>
      <c r="AK11638" s="831">
        <v>-2146826246</v>
      </c>
    </row>
    <row r="11639" spans="2:37">
      <c r="B11639" s="834" t="str">
        <f t="shared" si="443"/>
        <v>|||</v>
      </c>
      <c r="H11639" s="835">
        <f t="shared" si="444"/>
        <v>31</v>
      </c>
      <c r="AF11639" s="831" t="s">
        <v>10606</v>
      </c>
      <c r="AG11639" s="831" t="s">
        <v>2674</v>
      </c>
      <c r="AH11639" s="831" t="s">
        <v>3044</v>
      </c>
      <c r="AI11639" s="831">
        <v>0</v>
      </c>
      <c r="AJ11639" s="835">
        <v>41213</v>
      </c>
      <c r="AK11639" s="831">
        <v>-2146826246</v>
      </c>
    </row>
    <row r="11640" spans="2:37">
      <c r="B11640" s="834" t="str">
        <f t="shared" si="443"/>
        <v>|||</v>
      </c>
      <c r="H11640" s="835">
        <f t="shared" si="444"/>
        <v>31</v>
      </c>
      <c r="AF11640" s="831" t="s">
        <v>10607</v>
      </c>
      <c r="AG11640" s="831" t="s">
        <v>2674</v>
      </c>
      <c r="AH11640" s="831" t="s">
        <v>580</v>
      </c>
      <c r="AI11640" s="831">
        <v>0</v>
      </c>
      <c r="AJ11640" s="835">
        <v>41213</v>
      </c>
      <c r="AK11640" s="831">
        <v>-2146826246</v>
      </c>
    </row>
    <row r="11641" spans="2:37">
      <c r="B11641" s="834" t="str">
        <f t="shared" si="443"/>
        <v>|||</v>
      </c>
      <c r="H11641" s="835">
        <f t="shared" si="444"/>
        <v>31</v>
      </c>
      <c r="AF11641" s="831" t="s">
        <v>10608</v>
      </c>
      <c r="AG11641" s="831" t="s">
        <v>2674</v>
      </c>
      <c r="AH11641" s="831" t="s">
        <v>581</v>
      </c>
      <c r="AI11641" s="831">
        <v>0</v>
      </c>
      <c r="AJ11641" s="835">
        <v>41213</v>
      </c>
      <c r="AK11641" s="831">
        <v>-2146826246</v>
      </c>
    </row>
    <row r="11642" spans="2:37">
      <c r="B11642" s="834" t="str">
        <f t="shared" si="443"/>
        <v>|||</v>
      </c>
      <c r="H11642" s="835">
        <f t="shared" si="444"/>
        <v>31</v>
      </c>
      <c r="AF11642" s="831" t="s">
        <v>10609</v>
      </c>
      <c r="AG11642" s="831" t="s">
        <v>2674</v>
      </c>
      <c r="AH11642" s="831" t="s">
        <v>105</v>
      </c>
      <c r="AI11642" s="831">
        <v>0</v>
      </c>
      <c r="AJ11642" s="835">
        <v>41213</v>
      </c>
      <c r="AK11642" s="831">
        <v>184676086</v>
      </c>
    </row>
    <row r="11643" spans="2:37">
      <c r="B11643" s="834" t="str">
        <f t="shared" si="443"/>
        <v>|||</v>
      </c>
      <c r="H11643" s="835">
        <f t="shared" si="444"/>
        <v>31</v>
      </c>
      <c r="AF11643" s="831" t="s">
        <v>10610</v>
      </c>
      <c r="AG11643" s="831" t="s">
        <v>2674</v>
      </c>
      <c r="AH11643" s="831" t="s">
        <v>3049</v>
      </c>
      <c r="AI11643" s="831">
        <v>0</v>
      </c>
      <c r="AJ11643" s="835">
        <v>41213</v>
      </c>
      <c r="AK11643" s="831">
        <v>342133447</v>
      </c>
    </row>
    <row r="11644" spans="2:37">
      <c r="B11644" s="834" t="str">
        <f t="shared" si="443"/>
        <v>|||</v>
      </c>
      <c r="H11644" s="835">
        <f t="shared" si="444"/>
        <v>31</v>
      </c>
      <c r="AF11644" s="831" t="s">
        <v>10611</v>
      </c>
      <c r="AG11644" s="831" t="s">
        <v>2674</v>
      </c>
      <c r="AH11644" s="831" t="s">
        <v>103</v>
      </c>
      <c r="AI11644" s="831">
        <v>0</v>
      </c>
      <c r="AJ11644" s="835">
        <v>41213</v>
      </c>
      <c r="AK11644" s="831">
        <v>157457361</v>
      </c>
    </row>
    <row r="11645" spans="2:37">
      <c r="B11645" s="834" t="str">
        <f t="shared" si="443"/>
        <v>|||</v>
      </c>
      <c r="H11645" s="835">
        <f t="shared" si="444"/>
        <v>31</v>
      </c>
      <c r="AF11645" s="831" t="s">
        <v>10612</v>
      </c>
      <c r="AG11645" s="831" t="s">
        <v>2674</v>
      </c>
      <c r="AH11645" s="831" t="s">
        <v>182</v>
      </c>
      <c r="AI11645" s="831">
        <v>0</v>
      </c>
      <c r="AJ11645" s="835">
        <v>41213</v>
      </c>
      <c r="AK11645" s="831">
        <v>49941625.200000003</v>
      </c>
    </row>
    <row r="11646" spans="2:37">
      <c r="B11646" s="834" t="str">
        <f t="shared" si="443"/>
        <v>|||</v>
      </c>
      <c r="H11646" s="835">
        <f t="shared" si="444"/>
        <v>31</v>
      </c>
      <c r="AF11646" s="831" t="s">
        <v>10613</v>
      </c>
      <c r="AG11646" s="831" t="s">
        <v>2674</v>
      </c>
      <c r="AH11646" s="831" t="s">
        <v>6600</v>
      </c>
      <c r="AI11646" s="831">
        <v>0</v>
      </c>
      <c r="AJ11646" s="835">
        <v>41213</v>
      </c>
      <c r="AK11646" s="831">
        <v>-2146826246</v>
      </c>
    </row>
    <row r="11647" spans="2:37">
      <c r="B11647" s="834" t="str">
        <f t="shared" si="443"/>
        <v>|||</v>
      </c>
      <c r="H11647" s="835">
        <f t="shared" si="444"/>
        <v>31</v>
      </c>
      <c r="AF11647" s="831" t="s">
        <v>10614</v>
      </c>
      <c r="AG11647" s="831" t="s">
        <v>2674</v>
      </c>
      <c r="AH11647" s="831" t="s">
        <v>6602</v>
      </c>
      <c r="AI11647" s="831">
        <v>0</v>
      </c>
      <c r="AJ11647" s="835">
        <v>41213</v>
      </c>
      <c r="AK11647" s="831">
        <v>14108507</v>
      </c>
    </row>
    <row r="11648" spans="2:37">
      <c r="B11648" s="834" t="str">
        <f t="shared" si="443"/>
        <v>|||</v>
      </c>
      <c r="H11648" s="835">
        <f t="shared" si="444"/>
        <v>31</v>
      </c>
      <c r="AF11648" s="831" t="s">
        <v>10615</v>
      </c>
      <c r="AG11648" s="831" t="s">
        <v>2674</v>
      </c>
      <c r="AH11648" s="831" t="s">
        <v>650</v>
      </c>
      <c r="AI11648" s="831">
        <v>0</v>
      </c>
      <c r="AJ11648" s="835">
        <v>41213</v>
      </c>
      <c r="AK11648" s="831">
        <v>0</v>
      </c>
    </row>
    <row r="11649" spans="2:37">
      <c r="B11649" s="834" t="str">
        <f t="shared" si="443"/>
        <v>|||</v>
      </c>
      <c r="H11649" s="835">
        <f t="shared" si="444"/>
        <v>31</v>
      </c>
      <c r="AF11649" s="831" t="s">
        <v>10616</v>
      </c>
      <c r="AG11649" s="831" t="s">
        <v>2674</v>
      </c>
      <c r="AH11649" s="831" t="s">
        <v>655</v>
      </c>
      <c r="AI11649" s="831">
        <v>0</v>
      </c>
      <c r="AJ11649" s="835">
        <v>41213</v>
      </c>
      <c r="AK11649" s="831">
        <v>1927116</v>
      </c>
    </row>
    <row r="11650" spans="2:37">
      <c r="B11650" s="834" t="str">
        <f t="shared" si="443"/>
        <v>|||</v>
      </c>
      <c r="H11650" s="835">
        <f t="shared" si="444"/>
        <v>31</v>
      </c>
      <c r="AF11650" s="831" t="s">
        <v>10617</v>
      </c>
      <c r="AG11650" s="831" t="s">
        <v>2674</v>
      </c>
      <c r="AH11650" s="831" t="s">
        <v>546</v>
      </c>
      <c r="AI11650" s="831">
        <v>0</v>
      </c>
      <c r="AJ11650" s="835">
        <v>41243</v>
      </c>
      <c r="AK11650" s="831">
        <v>394083786</v>
      </c>
    </row>
    <row r="11651" spans="2:37">
      <c r="B11651" s="834" t="str">
        <f t="shared" si="443"/>
        <v>|||</v>
      </c>
      <c r="H11651" s="835">
        <f t="shared" si="444"/>
        <v>31</v>
      </c>
      <c r="AF11651" s="831" t="s">
        <v>10618</v>
      </c>
      <c r="AG11651" s="831" t="s">
        <v>2674</v>
      </c>
      <c r="AH11651" s="831" t="s">
        <v>370</v>
      </c>
      <c r="AI11651" s="831">
        <v>0</v>
      </c>
      <c r="AJ11651" s="835">
        <v>41243</v>
      </c>
      <c r="AK11651" s="831">
        <v>468781857</v>
      </c>
    </row>
    <row r="11652" spans="2:37">
      <c r="B11652" s="834" t="str">
        <f t="shared" si="443"/>
        <v>|||</v>
      </c>
      <c r="H11652" s="835">
        <f t="shared" si="444"/>
        <v>31</v>
      </c>
      <c r="AF11652" s="831" t="s">
        <v>10619</v>
      </c>
      <c r="AG11652" s="831" t="s">
        <v>2674</v>
      </c>
      <c r="AH11652" s="831" t="s">
        <v>126</v>
      </c>
      <c r="AI11652" s="831">
        <v>0</v>
      </c>
      <c r="AJ11652" s="835">
        <v>41243</v>
      </c>
      <c r="AK11652" s="831">
        <v>101856827</v>
      </c>
    </row>
    <row r="11653" spans="2:37">
      <c r="B11653" s="834" t="str">
        <f t="shared" si="443"/>
        <v>|||</v>
      </c>
      <c r="H11653" s="835">
        <f t="shared" si="444"/>
        <v>31</v>
      </c>
      <c r="AF11653" s="831" t="s">
        <v>10620</v>
      </c>
      <c r="AG11653" s="831" t="s">
        <v>2674</v>
      </c>
      <c r="AH11653" s="831" t="s">
        <v>268</v>
      </c>
      <c r="AI11653" s="831">
        <v>0</v>
      </c>
      <c r="AJ11653" s="835">
        <v>41243</v>
      </c>
      <c r="AK11653" s="831">
        <v>16533903</v>
      </c>
    </row>
    <row r="11654" spans="2:37">
      <c r="B11654" s="834" t="str">
        <f t="shared" si="443"/>
        <v>|||</v>
      </c>
      <c r="H11654" s="835">
        <f t="shared" si="444"/>
        <v>31</v>
      </c>
      <c r="AF11654" s="831" t="s">
        <v>10621</v>
      </c>
      <c r="AG11654" s="831" t="s">
        <v>2674</v>
      </c>
      <c r="AH11654" s="831" t="s">
        <v>547</v>
      </c>
      <c r="AI11654" s="831">
        <v>0</v>
      </c>
      <c r="AJ11654" s="835">
        <v>41243</v>
      </c>
      <c r="AK11654" s="831">
        <v>0</v>
      </c>
    </row>
    <row r="11655" spans="2:37">
      <c r="B11655" s="834" t="str">
        <f t="shared" si="443"/>
        <v>|||</v>
      </c>
      <c r="H11655" s="835">
        <f t="shared" si="444"/>
        <v>31</v>
      </c>
      <c r="AF11655" s="831" t="s">
        <v>10622</v>
      </c>
      <c r="AG11655" s="831" t="s">
        <v>2674</v>
      </c>
      <c r="AH11655" s="831" t="s">
        <v>548</v>
      </c>
      <c r="AI11655" s="831">
        <v>0</v>
      </c>
      <c r="AJ11655" s="835">
        <v>41243</v>
      </c>
      <c r="AK11655" s="831">
        <v>0</v>
      </c>
    </row>
    <row r="11656" spans="2:37">
      <c r="B11656" s="834" t="str">
        <f t="shared" si="443"/>
        <v>|||</v>
      </c>
      <c r="H11656" s="835">
        <f t="shared" si="444"/>
        <v>31</v>
      </c>
      <c r="AF11656" s="831" t="s">
        <v>10623</v>
      </c>
      <c r="AG11656" s="831" t="s">
        <v>2674</v>
      </c>
      <c r="AH11656" s="831" t="s">
        <v>549</v>
      </c>
      <c r="AI11656" s="831">
        <v>0</v>
      </c>
      <c r="AJ11656" s="835">
        <v>41243</v>
      </c>
      <c r="AK11656" s="831">
        <v>0</v>
      </c>
    </row>
    <row r="11657" spans="2:37">
      <c r="B11657" s="834" t="str">
        <f t="shared" si="443"/>
        <v>|||</v>
      </c>
      <c r="H11657" s="835">
        <f t="shared" si="444"/>
        <v>31</v>
      </c>
      <c r="AF11657" s="831" t="s">
        <v>10624</v>
      </c>
      <c r="AG11657" s="831" t="s">
        <v>2674</v>
      </c>
      <c r="AH11657" s="831" t="s">
        <v>192</v>
      </c>
      <c r="AI11657" s="831">
        <v>0</v>
      </c>
      <c r="AJ11657" s="835">
        <v>41243</v>
      </c>
      <c r="AK11657" s="831">
        <v>-10079693</v>
      </c>
    </row>
    <row r="11658" spans="2:37">
      <c r="B11658" s="834" t="str">
        <f t="shared" si="443"/>
        <v>|||</v>
      </c>
      <c r="H11658" s="835">
        <f t="shared" si="444"/>
        <v>31</v>
      </c>
      <c r="AF11658" s="831" t="s">
        <v>10625</v>
      </c>
      <c r="AG11658" s="831" t="s">
        <v>2674</v>
      </c>
      <c r="AH11658" s="831" t="s">
        <v>558</v>
      </c>
      <c r="AI11658" s="831">
        <v>0</v>
      </c>
      <c r="AJ11658" s="835">
        <v>41243</v>
      </c>
      <c r="AK11658" s="831">
        <v>366925030</v>
      </c>
    </row>
    <row r="11659" spans="2:37">
      <c r="B11659" s="834" t="str">
        <f t="shared" si="443"/>
        <v>|||</v>
      </c>
      <c r="H11659" s="835">
        <f t="shared" si="444"/>
        <v>31</v>
      </c>
      <c r="AF11659" s="831" t="s">
        <v>10626</v>
      </c>
      <c r="AG11659" s="831" t="s">
        <v>2674</v>
      </c>
      <c r="AH11659" s="831" t="s">
        <v>65</v>
      </c>
      <c r="AI11659" s="831">
        <v>0</v>
      </c>
      <c r="AJ11659" s="835">
        <v>41243</v>
      </c>
      <c r="AK11659" s="831">
        <v>89510969</v>
      </c>
    </row>
    <row r="11660" spans="2:37">
      <c r="B11660" s="834" t="str">
        <f t="shared" si="443"/>
        <v>|||</v>
      </c>
      <c r="H11660" s="835">
        <f t="shared" si="444"/>
        <v>31</v>
      </c>
      <c r="AF11660" s="831" t="s">
        <v>10627</v>
      </c>
      <c r="AG11660" s="831" t="s">
        <v>2674</v>
      </c>
      <c r="AH11660" s="831" t="s">
        <v>89</v>
      </c>
      <c r="AI11660" s="831">
        <v>0</v>
      </c>
      <c r="AJ11660" s="835">
        <v>41243</v>
      </c>
      <c r="AK11660" s="831">
        <v>123534</v>
      </c>
    </row>
    <row r="11661" spans="2:37">
      <c r="B11661" s="834" t="str">
        <f t="shared" si="443"/>
        <v>|||</v>
      </c>
      <c r="H11661" s="835">
        <f t="shared" si="444"/>
        <v>31</v>
      </c>
      <c r="AF11661" s="831" t="s">
        <v>10628</v>
      </c>
      <c r="AG11661" s="831" t="s">
        <v>2674</v>
      </c>
      <c r="AH11661" s="831" t="s">
        <v>557</v>
      </c>
      <c r="AI11661" s="831">
        <v>0</v>
      </c>
      <c r="AJ11661" s="835">
        <v>41243</v>
      </c>
      <c r="AK11661" s="831">
        <v>125715</v>
      </c>
    </row>
    <row r="11662" spans="2:37">
      <c r="B11662" s="834" t="str">
        <f t="shared" si="443"/>
        <v>|||</v>
      </c>
      <c r="H11662" s="835">
        <f t="shared" si="444"/>
        <v>31</v>
      </c>
      <c r="AF11662" s="831" t="s">
        <v>10629</v>
      </c>
      <c r="AG11662" s="831" t="s">
        <v>2674</v>
      </c>
      <c r="AH11662" s="831" t="s">
        <v>29</v>
      </c>
      <c r="AI11662" s="831">
        <v>0</v>
      </c>
      <c r="AJ11662" s="835">
        <v>41243</v>
      </c>
      <c r="AK11662" s="831">
        <v>2094921</v>
      </c>
    </row>
    <row r="11663" spans="2:37">
      <c r="B11663" s="834" t="str">
        <f t="shared" si="443"/>
        <v>|||</v>
      </c>
      <c r="H11663" s="835">
        <f t="shared" si="444"/>
        <v>31</v>
      </c>
      <c r="AF11663" s="831" t="s">
        <v>10630</v>
      </c>
      <c r="AG11663" s="831" t="s">
        <v>2674</v>
      </c>
      <c r="AH11663" s="831" t="s">
        <v>2688</v>
      </c>
      <c r="AI11663" s="831">
        <v>0</v>
      </c>
      <c r="AJ11663" s="835">
        <v>41243</v>
      </c>
      <c r="AK11663" s="831">
        <v>2867819</v>
      </c>
    </row>
    <row r="11664" spans="2:37">
      <c r="B11664" s="834" t="str">
        <f t="shared" si="443"/>
        <v>|||</v>
      </c>
      <c r="H11664" s="835">
        <f t="shared" si="444"/>
        <v>31</v>
      </c>
      <c r="AF11664" s="831" t="s">
        <v>10631</v>
      </c>
      <c r="AG11664" s="831" t="s">
        <v>2674</v>
      </c>
      <c r="AH11664" s="831" t="s">
        <v>556</v>
      </c>
      <c r="AI11664" s="831">
        <v>0</v>
      </c>
      <c r="AJ11664" s="835">
        <v>41243</v>
      </c>
      <c r="AK11664" s="831">
        <v>902857</v>
      </c>
    </row>
    <row r="11665" spans="2:37">
      <c r="B11665" s="834" t="str">
        <f t="shared" ref="B11665:B11728" si="445">C11665&amp;"|"&amp;D11665&amp;"|"&amp;E11665&amp;"|"&amp;F11665</f>
        <v>|||</v>
      </c>
      <c r="H11665" s="835">
        <f t="shared" ref="H11665:H11728" si="446">EOMONTH(L11665,0)</f>
        <v>31</v>
      </c>
      <c r="AF11665" s="831" t="s">
        <v>10632</v>
      </c>
      <c r="AG11665" s="831" t="s">
        <v>2674</v>
      </c>
      <c r="AH11665" s="831" t="s">
        <v>555</v>
      </c>
      <c r="AI11665" s="831">
        <v>0</v>
      </c>
      <c r="AJ11665" s="835">
        <v>41243</v>
      </c>
      <c r="AK11665" s="831">
        <v>236413970</v>
      </c>
    </row>
    <row r="11666" spans="2:37">
      <c r="B11666" s="834" t="str">
        <f t="shared" si="445"/>
        <v>|||</v>
      </c>
      <c r="H11666" s="835">
        <f t="shared" si="446"/>
        <v>31</v>
      </c>
      <c r="AF11666" s="831" t="s">
        <v>10633</v>
      </c>
      <c r="AG11666" s="831" t="s">
        <v>2674</v>
      </c>
      <c r="AH11666" s="831" t="s">
        <v>554</v>
      </c>
      <c r="AI11666" s="831">
        <v>0</v>
      </c>
      <c r="AJ11666" s="835">
        <v>41243</v>
      </c>
      <c r="AK11666" s="831">
        <v>238298670</v>
      </c>
    </row>
    <row r="11667" spans="2:37">
      <c r="B11667" s="834" t="str">
        <f t="shared" si="445"/>
        <v>|||</v>
      </c>
      <c r="H11667" s="835">
        <f t="shared" si="446"/>
        <v>31</v>
      </c>
      <c r="AF11667" s="831" t="s">
        <v>10634</v>
      </c>
      <c r="AG11667" s="831" t="s">
        <v>2674</v>
      </c>
      <c r="AH11667" s="831" t="s">
        <v>553</v>
      </c>
      <c r="AI11667" s="831">
        <v>0</v>
      </c>
      <c r="AJ11667" s="835">
        <v>41243</v>
      </c>
      <c r="AK11667" s="831">
        <v>0</v>
      </c>
    </row>
    <row r="11668" spans="2:37">
      <c r="B11668" s="834" t="str">
        <f t="shared" si="445"/>
        <v>|||</v>
      </c>
      <c r="H11668" s="835">
        <f t="shared" si="446"/>
        <v>31</v>
      </c>
      <c r="AF11668" s="831" t="s">
        <v>10635</v>
      </c>
      <c r="AG11668" s="831" t="s">
        <v>2674</v>
      </c>
      <c r="AH11668" s="831" t="s">
        <v>552</v>
      </c>
      <c r="AI11668" s="831">
        <v>0</v>
      </c>
      <c r="AJ11668" s="835">
        <v>41243</v>
      </c>
      <c r="AK11668" s="831">
        <v>0</v>
      </c>
    </row>
    <row r="11669" spans="2:37">
      <c r="B11669" s="834" t="str">
        <f t="shared" si="445"/>
        <v>|||</v>
      </c>
      <c r="H11669" s="835">
        <f t="shared" si="446"/>
        <v>31</v>
      </c>
      <c r="AF11669" s="831" t="s">
        <v>10636</v>
      </c>
      <c r="AG11669" s="831" t="s">
        <v>2674</v>
      </c>
      <c r="AH11669" s="831" t="s">
        <v>551</v>
      </c>
      <c r="AI11669" s="831">
        <v>0</v>
      </c>
      <c r="AJ11669" s="835">
        <v>41243</v>
      </c>
      <c r="AK11669" s="831">
        <v>1916351</v>
      </c>
    </row>
    <row r="11670" spans="2:37">
      <c r="B11670" s="834" t="str">
        <f t="shared" si="445"/>
        <v>|||</v>
      </c>
      <c r="H11670" s="835">
        <f t="shared" si="446"/>
        <v>31</v>
      </c>
      <c r="AF11670" s="831" t="s">
        <v>10637</v>
      </c>
      <c r="AG11670" s="831" t="s">
        <v>2674</v>
      </c>
      <c r="AH11670" s="831" t="s">
        <v>550</v>
      </c>
      <c r="AI11670" s="831">
        <v>0</v>
      </c>
      <c r="AJ11670" s="835">
        <v>41243</v>
      </c>
      <c r="AK11670" s="831">
        <v>99431431</v>
      </c>
    </row>
    <row r="11671" spans="2:37">
      <c r="B11671" s="834" t="str">
        <f t="shared" si="445"/>
        <v>|||</v>
      </c>
      <c r="H11671" s="835">
        <f t="shared" si="446"/>
        <v>31</v>
      </c>
      <c r="AF11671" s="831" t="s">
        <v>10638</v>
      </c>
      <c r="AG11671" s="831" t="s">
        <v>2674</v>
      </c>
      <c r="AH11671" s="831" t="s">
        <v>562</v>
      </c>
      <c r="AI11671" s="831">
        <v>0</v>
      </c>
      <c r="AJ11671" s="835">
        <v>41243</v>
      </c>
      <c r="AK11671" s="831">
        <v>0.78415000000000001</v>
      </c>
    </row>
    <row r="11672" spans="2:37">
      <c r="B11672" s="834" t="str">
        <f t="shared" si="445"/>
        <v>|||</v>
      </c>
      <c r="H11672" s="835">
        <f t="shared" si="446"/>
        <v>31</v>
      </c>
      <c r="AF11672" s="831" t="s">
        <v>10639</v>
      </c>
      <c r="AG11672" s="831" t="s">
        <v>2674</v>
      </c>
      <c r="AH11672" s="831" t="s">
        <v>2698</v>
      </c>
      <c r="AI11672" s="831">
        <v>0</v>
      </c>
      <c r="AJ11672" s="835">
        <v>41243</v>
      </c>
      <c r="AK11672" s="831">
        <v>0.78434999999999999</v>
      </c>
    </row>
    <row r="11673" spans="2:37">
      <c r="B11673" s="834" t="str">
        <f t="shared" si="445"/>
        <v>|||</v>
      </c>
      <c r="H11673" s="835">
        <f t="shared" si="446"/>
        <v>31</v>
      </c>
      <c r="AF11673" s="831" t="s">
        <v>10640</v>
      </c>
      <c r="AG11673" s="831" t="s">
        <v>2674</v>
      </c>
      <c r="AH11673" s="831" t="s">
        <v>560</v>
      </c>
      <c r="AI11673" s="831">
        <v>0</v>
      </c>
      <c r="AJ11673" s="835">
        <v>41243</v>
      </c>
      <c r="AK11673" s="831">
        <v>0.7851499999999999</v>
      </c>
    </row>
    <row r="11674" spans="2:37">
      <c r="B11674" s="834" t="str">
        <f t="shared" si="445"/>
        <v>|||</v>
      </c>
      <c r="H11674" s="835">
        <f t="shared" si="446"/>
        <v>31</v>
      </c>
      <c r="AF11674" s="831" t="s">
        <v>10641</v>
      </c>
      <c r="AG11674" s="831" t="s">
        <v>2674</v>
      </c>
      <c r="AH11674" s="831" t="s">
        <v>559</v>
      </c>
      <c r="AI11674" s="831">
        <v>0</v>
      </c>
      <c r="AJ11674" s="835">
        <v>41243</v>
      </c>
      <c r="AK11674" s="831">
        <v>0.78524166666666673</v>
      </c>
    </row>
    <row r="11675" spans="2:37">
      <c r="B11675" s="834" t="str">
        <f t="shared" si="445"/>
        <v>|||</v>
      </c>
      <c r="H11675" s="835">
        <f t="shared" si="446"/>
        <v>31</v>
      </c>
      <c r="AF11675" s="831" t="s">
        <v>10642</v>
      </c>
      <c r="AG11675" s="831" t="s">
        <v>2674</v>
      </c>
      <c r="AH11675" s="831" t="s">
        <v>568</v>
      </c>
      <c r="AI11675" s="831">
        <v>0</v>
      </c>
      <c r="AJ11675" s="835">
        <v>41243</v>
      </c>
      <c r="AK11675" s="831">
        <v>0</v>
      </c>
    </row>
    <row r="11676" spans="2:37">
      <c r="B11676" s="834" t="str">
        <f t="shared" si="445"/>
        <v>|||</v>
      </c>
      <c r="H11676" s="835">
        <f t="shared" si="446"/>
        <v>31</v>
      </c>
      <c r="AF11676" s="831" t="s">
        <v>10643</v>
      </c>
      <c r="AG11676" s="831" t="s">
        <v>2674</v>
      </c>
      <c r="AH11676" s="831" t="s">
        <v>569</v>
      </c>
      <c r="AI11676" s="831">
        <v>0</v>
      </c>
      <c r="AJ11676" s="835">
        <v>41243</v>
      </c>
      <c r="AK11676" s="831">
        <v>0</v>
      </c>
    </row>
    <row r="11677" spans="2:37">
      <c r="B11677" s="834" t="str">
        <f t="shared" si="445"/>
        <v>|||</v>
      </c>
      <c r="H11677" s="835">
        <f t="shared" si="446"/>
        <v>31</v>
      </c>
      <c r="AF11677" s="831" t="s">
        <v>10644</v>
      </c>
      <c r="AG11677" s="831" t="s">
        <v>2674</v>
      </c>
      <c r="AH11677" s="831" t="s">
        <v>570</v>
      </c>
      <c r="AI11677" s="831">
        <v>0</v>
      </c>
      <c r="AJ11677" s="835">
        <v>41243</v>
      </c>
      <c r="AK11677" s="831">
        <v>0</v>
      </c>
    </row>
    <row r="11678" spans="2:37">
      <c r="B11678" s="834" t="str">
        <f t="shared" si="445"/>
        <v>|||</v>
      </c>
      <c r="H11678" s="835">
        <f t="shared" si="446"/>
        <v>31</v>
      </c>
      <c r="AF11678" s="831" t="s">
        <v>10645</v>
      </c>
      <c r="AG11678" s="831" t="s">
        <v>2674</v>
      </c>
      <c r="AH11678" s="831" t="s">
        <v>571</v>
      </c>
      <c r="AI11678" s="831">
        <v>0</v>
      </c>
      <c r="AJ11678" s="835">
        <v>41243</v>
      </c>
      <c r="AK11678" s="831">
        <v>0</v>
      </c>
    </row>
    <row r="11679" spans="2:37">
      <c r="B11679" s="834" t="str">
        <f t="shared" si="445"/>
        <v>|||</v>
      </c>
      <c r="H11679" s="835">
        <f t="shared" si="446"/>
        <v>31</v>
      </c>
      <c r="AF11679" s="831" t="s">
        <v>10646</v>
      </c>
      <c r="AG11679" s="831" t="s">
        <v>2674</v>
      </c>
      <c r="AH11679" s="831" t="s">
        <v>573</v>
      </c>
      <c r="AI11679" s="831">
        <v>0</v>
      </c>
      <c r="AJ11679" s="835">
        <v>41243</v>
      </c>
      <c r="AK11679" s="831">
        <v>0</v>
      </c>
    </row>
    <row r="11680" spans="2:37">
      <c r="B11680" s="834" t="str">
        <f t="shared" si="445"/>
        <v>|||</v>
      </c>
      <c r="H11680" s="835">
        <f t="shared" si="446"/>
        <v>31</v>
      </c>
      <c r="AF11680" s="831" t="s">
        <v>10647</v>
      </c>
      <c r="AG11680" s="831" t="s">
        <v>2674</v>
      </c>
      <c r="AH11680" s="831" t="s">
        <v>574</v>
      </c>
      <c r="AI11680" s="831">
        <v>0</v>
      </c>
      <c r="AJ11680" s="835">
        <v>41243</v>
      </c>
      <c r="AK11680" s="831">
        <v>0</v>
      </c>
    </row>
    <row r="11681" spans="2:37">
      <c r="B11681" s="834" t="str">
        <f t="shared" si="445"/>
        <v>|||</v>
      </c>
      <c r="H11681" s="835">
        <f t="shared" si="446"/>
        <v>31</v>
      </c>
      <c r="AF11681" s="831" t="s">
        <v>10648</v>
      </c>
      <c r="AG11681" s="831" t="s">
        <v>2674</v>
      </c>
      <c r="AH11681" s="831" t="s">
        <v>575</v>
      </c>
      <c r="AI11681" s="831">
        <v>0</v>
      </c>
      <c r="AJ11681" s="835">
        <v>41243</v>
      </c>
      <c r="AK11681" s="831">
        <v>0</v>
      </c>
    </row>
    <row r="11682" spans="2:37">
      <c r="B11682" s="834" t="str">
        <f t="shared" si="445"/>
        <v>|||</v>
      </c>
      <c r="H11682" s="835">
        <f t="shared" si="446"/>
        <v>31</v>
      </c>
      <c r="AF11682" s="831" t="s">
        <v>10649</v>
      </c>
      <c r="AG11682" s="831" t="s">
        <v>2674</v>
      </c>
      <c r="AH11682" s="831" t="s">
        <v>576</v>
      </c>
      <c r="AI11682" s="831">
        <v>0</v>
      </c>
      <c r="AJ11682" s="835">
        <v>41243</v>
      </c>
      <c r="AK11682" s="831">
        <v>0</v>
      </c>
    </row>
    <row r="11683" spans="2:37">
      <c r="B11683" s="834" t="str">
        <f t="shared" si="445"/>
        <v>|||</v>
      </c>
      <c r="H11683" s="835">
        <f t="shared" si="446"/>
        <v>31</v>
      </c>
      <c r="AF11683" s="831" t="s">
        <v>10650</v>
      </c>
      <c r="AG11683" s="831" t="s">
        <v>2674</v>
      </c>
      <c r="AH11683" s="831" t="s">
        <v>572</v>
      </c>
      <c r="AI11683" s="831">
        <v>0</v>
      </c>
      <c r="AJ11683" s="835">
        <v>41243</v>
      </c>
      <c r="AK11683" s="831">
        <v>-2146826246</v>
      </c>
    </row>
    <row r="11684" spans="2:37">
      <c r="B11684" s="834" t="str">
        <f t="shared" si="445"/>
        <v>|||</v>
      </c>
      <c r="H11684" s="835">
        <f t="shared" si="446"/>
        <v>31</v>
      </c>
      <c r="AF11684" s="831" t="s">
        <v>10651</v>
      </c>
      <c r="AG11684" s="831" t="s">
        <v>2674</v>
      </c>
      <c r="AH11684" s="831" t="s">
        <v>577</v>
      </c>
      <c r="AI11684" s="831">
        <v>0</v>
      </c>
      <c r="AJ11684" s="835">
        <v>41243</v>
      </c>
      <c r="AK11684" s="831">
        <v>-2146826246</v>
      </c>
    </row>
    <row r="11685" spans="2:37">
      <c r="B11685" s="834" t="str">
        <f t="shared" si="445"/>
        <v>|||</v>
      </c>
      <c r="H11685" s="835">
        <f t="shared" si="446"/>
        <v>31</v>
      </c>
      <c r="AF11685" s="831" t="s">
        <v>10652</v>
      </c>
      <c r="AG11685" s="831" t="s">
        <v>2674</v>
      </c>
      <c r="AH11685" s="831" t="s">
        <v>3042</v>
      </c>
      <c r="AI11685" s="831">
        <v>0</v>
      </c>
      <c r="AJ11685" s="835">
        <v>41243</v>
      </c>
      <c r="AK11685" s="831">
        <v>-2146826246</v>
      </c>
    </row>
    <row r="11686" spans="2:37">
      <c r="B11686" s="834" t="str">
        <f t="shared" si="445"/>
        <v>|||</v>
      </c>
      <c r="H11686" s="835">
        <f t="shared" si="446"/>
        <v>31</v>
      </c>
      <c r="AF11686" s="831" t="s">
        <v>10653</v>
      </c>
      <c r="AG11686" s="831" t="s">
        <v>2674</v>
      </c>
      <c r="AH11686" s="831" t="s">
        <v>3044</v>
      </c>
      <c r="AI11686" s="831">
        <v>0</v>
      </c>
      <c r="AJ11686" s="835">
        <v>41243</v>
      </c>
      <c r="AK11686" s="831">
        <v>-2146826246</v>
      </c>
    </row>
    <row r="11687" spans="2:37">
      <c r="B11687" s="834" t="str">
        <f t="shared" si="445"/>
        <v>|||</v>
      </c>
      <c r="H11687" s="835">
        <f t="shared" si="446"/>
        <v>31</v>
      </c>
      <c r="AF11687" s="831" t="s">
        <v>10654</v>
      </c>
      <c r="AG11687" s="831" t="s">
        <v>2674</v>
      </c>
      <c r="AH11687" s="831" t="s">
        <v>580</v>
      </c>
      <c r="AI11687" s="831">
        <v>0</v>
      </c>
      <c r="AJ11687" s="835">
        <v>41243</v>
      </c>
      <c r="AK11687" s="831">
        <v>-2146826246</v>
      </c>
    </row>
    <row r="11688" spans="2:37">
      <c r="B11688" s="834" t="str">
        <f t="shared" si="445"/>
        <v>|||</v>
      </c>
      <c r="H11688" s="835">
        <f t="shared" si="446"/>
        <v>31</v>
      </c>
      <c r="AF11688" s="831" t="s">
        <v>10655</v>
      </c>
      <c r="AG11688" s="831" t="s">
        <v>2674</v>
      </c>
      <c r="AH11688" s="831" t="s">
        <v>581</v>
      </c>
      <c r="AI11688" s="831">
        <v>0</v>
      </c>
      <c r="AJ11688" s="835">
        <v>41243</v>
      </c>
      <c r="AK11688" s="831">
        <v>-2146826246</v>
      </c>
    </row>
    <row r="11689" spans="2:37">
      <c r="B11689" s="834" t="str">
        <f t="shared" si="445"/>
        <v>|||</v>
      </c>
      <c r="H11689" s="835">
        <f t="shared" si="446"/>
        <v>31</v>
      </c>
      <c r="AF11689" s="831" t="s">
        <v>10656</v>
      </c>
      <c r="AG11689" s="831" t="s">
        <v>2674</v>
      </c>
      <c r="AH11689" s="831" t="s">
        <v>105</v>
      </c>
      <c r="AI11689" s="831">
        <v>0</v>
      </c>
      <c r="AJ11689" s="835">
        <v>41243</v>
      </c>
      <c r="AK11689" s="831">
        <v>202127506</v>
      </c>
    </row>
    <row r="11690" spans="2:37">
      <c r="B11690" s="834" t="str">
        <f t="shared" si="445"/>
        <v>|||</v>
      </c>
      <c r="H11690" s="835">
        <f t="shared" si="446"/>
        <v>31</v>
      </c>
      <c r="AF11690" s="831" t="s">
        <v>10657</v>
      </c>
      <c r="AG11690" s="831" t="s">
        <v>2674</v>
      </c>
      <c r="AH11690" s="831" t="s">
        <v>3049</v>
      </c>
      <c r="AI11690" s="831">
        <v>0</v>
      </c>
      <c r="AJ11690" s="835">
        <v>41243</v>
      </c>
      <c r="AK11690" s="831">
        <v>355103629</v>
      </c>
    </row>
    <row r="11691" spans="2:37">
      <c r="B11691" s="834" t="str">
        <f t="shared" si="445"/>
        <v>|||</v>
      </c>
      <c r="H11691" s="835">
        <f t="shared" si="446"/>
        <v>31</v>
      </c>
      <c r="AF11691" s="831" t="s">
        <v>10658</v>
      </c>
      <c r="AG11691" s="831" t="s">
        <v>2674</v>
      </c>
      <c r="AH11691" s="831" t="s">
        <v>103</v>
      </c>
      <c r="AI11691" s="831">
        <v>0</v>
      </c>
      <c r="AJ11691" s="835">
        <v>41243</v>
      </c>
      <c r="AK11691" s="831">
        <v>152976123</v>
      </c>
    </row>
    <row r="11692" spans="2:37">
      <c r="B11692" s="834" t="str">
        <f t="shared" si="445"/>
        <v>|||</v>
      </c>
      <c r="H11692" s="835">
        <f t="shared" si="446"/>
        <v>31</v>
      </c>
      <c r="AF11692" s="831" t="s">
        <v>10659</v>
      </c>
      <c r="AG11692" s="831" t="s">
        <v>2674</v>
      </c>
      <c r="AH11692" s="831" t="s">
        <v>182</v>
      </c>
      <c r="AI11692" s="831">
        <v>0</v>
      </c>
      <c r="AJ11692" s="835">
        <v>41243</v>
      </c>
      <c r="AK11692" s="831">
        <v>50142446.18181818</v>
      </c>
    </row>
    <row r="11693" spans="2:37">
      <c r="B11693" s="834" t="str">
        <f t="shared" si="445"/>
        <v>|||</v>
      </c>
      <c r="H11693" s="835">
        <f t="shared" si="446"/>
        <v>31</v>
      </c>
      <c r="AF11693" s="831" t="s">
        <v>10660</v>
      </c>
      <c r="AG11693" s="831" t="s">
        <v>2674</v>
      </c>
      <c r="AH11693" s="831" t="s">
        <v>6600</v>
      </c>
      <c r="AI11693" s="831">
        <v>0</v>
      </c>
      <c r="AJ11693" s="835">
        <v>41243</v>
      </c>
      <c r="AK11693" s="831">
        <v>-2146826246</v>
      </c>
    </row>
    <row r="11694" spans="2:37">
      <c r="B11694" s="834" t="str">
        <f t="shared" si="445"/>
        <v>|||</v>
      </c>
      <c r="H11694" s="835">
        <f t="shared" si="446"/>
        <v>31</v>
      </c>
      <c r="AF11694" s="831" t="s">
        <v>10661</v>
      </c>
      <c r="AG11694" s="831" t="s">
        <v>2674</v>
      </c>
      <c r="AH11694" s="831" t="s">
        <v>6602</v>
      </c>
      <c r="AI11694" s="831">
        <v>0</v>
      </c>
      <c r="AJ11694" s="835">
        <v>41243</v>
      </c>
      <c r="AK11694" s="831">
        <v>16533903</v>
      </c>
    </row>
    <row r="11695" spans="2:37">
      <c r="B11695" s="834" t="str">
        <f t="shared" si="445"/>
        <v>|||</v>
      </c>
      <c r="H11695" s="835">
        <f t="shared" si="446"/>
        <v>31</v>
      </c>
      <c r="AF11695" s="831" t="s">
        <v>10662</v>
      </c>
      <c r="AG11695" s="831" t="s">
        <v>2674</v>
      </c>
      <c r="AH11695" s="831" t="s">
        <v>650</v>
      </c>
      <c r="AI11695" s="831">
        <v>0</v>
      </c>
      <c r="AJ11695" s="835">
        <v>41243</v>
      </c>
      <c r="AK11695" s="831">
        <v>0</v>
      </c>
    </row>
    <row r="11696" spans="2:37">
      <c r="B11696" s="834" t="str">
        <f t="shared" si="445"/>
        <v>|||</v>
      </c>
      <c r="H11696" s="835">
        <f t="shared" si="446"/>
        <v>31</v>
      </c>
      <c r="AF11696" s="831" t="s">
        <v>10663</v>
      </c>
      <c r="AG11696" s="831" t="s">
        <v>2674</v>
      </c>
      <c r="AH11696" s="831" t="s">
        <v>655</v>
      </c>
      <c r="AI11696" s="831">
        <v>0</v>
      </c>
      <c r="AJ11696" s="835">
        <v>41243</v>
      </c>
      <c r="AK11696" s="831">
        <v>1720042</v>
      </c>
    </row>
    <row r="11697" spans="2:37">
      <c r="B11697" s="834" t="str">
        <f t="shared" si="445"/>
        <v>|||</v>
      </c>
      <c r="H11697" s="835">
        <f t="shared" si="446"/>
        <v>31</v>
      </c>
      <c r="AF11697" s="831" t="s">
        <v>10664</v>
      </c>
      <c r="AG11697" s="831" t="s">
        <v>2674</v>
      </c>
      <c r="AH11697" s="831" t="s">
        <v>546</v>
      </c>
      <c r="AI11697" s="831">
        <v>0</v>
      </c>
      <c r="AJ11697" s="835">
        <v>41274</v>
      </c>
      <c r="AK11697" s="831">
        <v>412125624</v>
      </c>
    </row>
    <row r="11698" spans="2:37">
      <c r="B11698" s="834" t="str">
        <f t="shared" si="445"/>
        <v>|||</v>
      </c>
      <c r="H11698" s="835">
        <f t="shared" si="446"/>
        <v>31</v>
      </c>
      <c r="AF11698" s="831" t="s">
        <v>10665</v>
      </c>
      <c r="AG11698" s="831" t="s">
        <v>2674</v>
      </c>
      <c r="AH11698" s="831" t="s">
        <v>370</v>
      </c>
      <c r="AI11698" s="831">
        <v>0</v>
      </c>
      <c r="AJ11698" s="835">
        <v>41274</v>
      </c>
      <c r="AK11698" s="831">
        <v>515268910</v>
      </c>
    </row>
    <row r="11699" spans="2:37">
      <c r="B11699" s="834" t="str">
        <f t="shared" si="445"/>
        <v>|||</v>
      </c>
      <c r="H11699" s="835">
        <f t="shared" si="446"/>
        <v>31</v>
      </c>
      <c r="AF11699" s="831" t="s">
        <v>10666</v>
      </c>
      <c r="AG11699" s="831" t="s">
        <v>2674</v>
      </c>
      <c r="AH11699" s="831" t="s">
        <v>126</v>
      </c>
      <c r="AI11699" s="831">
        <v>0</v>
      </c>
      <c r="AJ11699" s="835">
        <v>41274</v>
      </c>
      <c r="AK11699" s="831">
        <v>101162875</v>
      </c>
    </row>
    <row r="11700" spans="2:37">
      <c r="B11700" s="834" t="str">
        <f t="shared" si="445"/>
        <v>|||</v>
      </c>
      <c r="H11700" s="835">
        <f t="shared" si="446"/>
        <v>31</v>
      </c>
      <c r="AF11700" s="831" t="s">
        <v>10667</v>
      </c>
      <c r="AG11700" s="831" t="s">
        <v>2674</v>
      </c>
      <c r="AH11700" s="831" t="s">
        <v>268</v>
      </c>
      <c r="AI11700" s="831">
        <v>0</v>
      </c>
      <c r="AJ11700" s="835">
        <v>41274</v>
      </c>
      <c r="AK11700" s="831">
        <v>15839951</v>
      </c>
    </row>
    <row r="11701" spans="2:37">
      <c r="B11701" s="834" t="str">
        <f t="shared" si="445"/>
        <v>|||</v>
      </c>
      <c r="H11701" s="835">
        <f t="shared" si="446"/>
        <v>31</v>
      </c>
      <c r="AF11701" s="831" t="s">
        <v>10668</v>
      </c>
      <c r="AG11701" s="831" t="s">
        <v>2674</v>
      </c>
      <c r="AH11701" s="831" t="s">
        <v>547</v>
      </c>
      <c r="AI11701" s="831">
        <v>0</v>
      </c>
      <c r="AJ11701" s="835">
        <v>41274</v>
      </c>
      <c r="AK11701" s="831">
        <v>0</v>
      </c>
    </row>
    <row r="11702" spans="2:37">
      <c r="B11702" s="834" t="str">
        <f t="shared" si="445"/>
        <v>|||</v>
      </c>
      <c r="H11702" s="835">
        <f t="shared" si="446"/>
        <v>31</v>
      </c>
      <c r="AF11702" s="831" t="s">
        <v>10669</v>
      </c>
      <c r="AG11702" s="831" t="s">
        <v>2674</v>
      </c>
      <c r="AH11702" s="831" t="s">
        <v>548</v>
      </c>
      <c r="AI11702" s="831">
        <v>0</v>
      </c>
      <c r="AJ11702" s="835">
        <v>41274</v>
      </c>
      <c r="AK11702" s="831">
        <v>0</v>
      </c>
    </row>
    <row r="11703" spans="2:37">
      <c r="B11703" s="834" t="str">
        <f t="shared" si="445"/>
        <v>|||</v>
      </c>
      <c r="H11703" s="835">
        <f t="shared" si="446"/>
        <v>31</v>
      </c>
      <c r="AF11703" s="831" t="s">
        <v>10670</v>
      </c>
      <c r="AG11703" s="831" t="s">
        <v>2674</v>
      </c>
      <c r="AH11703" s="831" t="s">
        <v>549</v>
      </c>
      <c r="AI11703" s="831">
        <v>0</v>
      </c>
      <c r="AJ11703" s="835">
        <v>41274</v>
      </c>
      <c r="AK11703" s="831">
        <v>0</v>
      </c>
    </row>
    <row r="11704" spans="2:37">
      <c r="B11704" s="834" t="str">
        <f t="shared" si="445"/>
        <v>|||</v>
      </c>
      <c r="H11704" s="835">
        <f t="shared" si="446"/>
        <v>31</v>
      </c>
      <c r="AF11704" s="831" t="s">
        <v>10671</v>
      </c>
      <c r="AG11704" s="831" t="s">
        <v>2674</v>
      </c>
      <c r="AH11704" s="831" t="s">
        <v>192</v>
      </c>
      <c r="AI11704" s="831">
        <v>0</v>
      </c>
      <c r="AJ11704" s="835">
        <v>41274</v>
      </c>
      <c r="AK11704" s="831">
        <v>-10390612</v>
      </c>
    </row>
    <row r="11705" spans="2:37">
      <c r="B11705" s="834" t="str">
        <f t="shared" si="445"/>
        <v>|||</v>
      </c>
      <c r="H11705" s="835">
        <f t="shared" si="446"/>
        <v>31</v>
      </c>
      <c r="AF11705" s="831" t="s">
        <v>10672</v>
      </c>
      <c r="AG11705" s="831" t="s">
        <v>2674</v>
      </c>
      <c r="AH11705" s="831" t="s">
        <v>558</v>
      </c>
      <c r="AI11705" s="831">
        <v>0</v>
      </c>
      <c r="AJ11705" s="835">
        <v>41274</v>
      </c>
      <c r="AK11705" s="831">
        <v>414106035</v>
      </c>
    </row>
    <row r="11706" spans="2:37">
      <c r="B11706" s="834" t="str">
        <f t="shared" si="445"/>
        <v>|||</v>
      </c>
      <c r="H11706" s="835">
        <f t="shared" si="446"/>
        <v>31</v>
      </c>
      <c r="AF11706" s="831" t="s">
        <v>10673</v>
      </c>
      <c r="AG11706" s="831" t="s">
        <v>2674</v>
      </c>
      <c r="AH11706" s="831" t="s">
        <v>65</v>
      </c>
      <c r="AI11706" s="831">
        <v>0</v>
      </c>
      <c r="AJ11706" s="835">
        <v>41274</v>
      </c>
      <c r="AK11706" s="831">
        <v>98876380</v>
      </c>
    </row>
    <row r="11707" spans="2:37">
      <c r="B11707" s="834" t="str">
        <f t="shared" si="445"/>
        <v>|||</v>
      </c>
      <c r="H11707" s="835">
        <f t="shared" si="446"/>
        <v>31</v>
      </c>
      <c r="AF11707" s="831" t="s">
        <v>10674</v>
      </c>
      <c r="AG11707" s="831" t="s">
        <v>2674</v>
      </c>
      <c r="AH11707" s="831" t="s">
        <v>89</v>
      </c>
      <c r="AI11707" s="831">
        <v>0</v>
      </c>
      <c r="AJ11707" s="835">
        <v>41274</v>
      </c>
      <c r="AK11707" s="831">
        <v>124397</v>
      </c>
    </row>
    <row r="11708" spans="2:37">
      <c r="B11708" s="834" t="str">
        <f t="shared" si="445"/>
        <v>|||</v>
      </c>
      <c r="H11708" s="835">
        <f t="shared" si="446"/>
        <v>31</v>
      </c>
      <c r="AF11708" s="831" t="s">
        <v>10675</v>
      </c>
      <c r="AG11708" s="831" t="s">
        <v>2674</v>
      </c>
      <c r="AH11708" s="831" t="s">
        <v>557</v>
      </c>
      <c r="AI11708" s="831">
        <v>0</v>
      </c>
      <c r="AJ11708" s="835">
        <v>41274</v>
      </c>
      <c r="AK11708" s="831">
        <v>127200</v>
      </c>
    </row>
    <row r="11709" spans="2:37">
      <c r="B11709" s="834" t="str">
        <f t="shared" si="445"/>
        <v>|||</v>
      </c>
      <c r="H11709" s="835">
        <f t="shared" si="446"/>
        <v>31</v>
      </c>
      <c r="AF11709" s="831" t="s">
        <v>10676</v>
      </c>
      <c r="AG11709" s="831" t="s">
        <v>2674</v>
      </c>
      <c r="AH11709" s="831" t="s">
        <v>29</v>
      </c>
      <c r="AI11709" s="831">
        <v>0</v>
      </c>
      <c r="AJ11709" s="835">
        <v>41274</v>
      </c>
      <c r="AK11709" s="831">
        <v>1921756</v>
      </c>
    </row>
    <row r="11710" spans="2:37">
      <c r="B11710" s="834" t="str">
        <f t="shared" si="445"/>
        <v>|||</v>
      </c>
      <c r="H11710" s="835">
        <f t="shared" si="446"/>
        <v>31</v>
      </c>
      <c r="AF11710" s="831" t="s">
        <v>10677</v>
      </c>
      <c r="AG11710" s="831" t="s">
        <v>2674</v>
      </c>
      <c r="AH11710" s="831" t="s">
        <v>2688</v>
      </c>
      <c r="AI11710" s="831">
        <v>0</v>
      </c>
      <c r="AJ11710" s="835">
        <v>41274</v>
      </c>
      <c r="AK11710" s="831">
        <v>2457254</v>
      </c>
    </row>
    <row r="11711" spans="2:37">
      <c r="B11711" s="834" t="str">
        <f t="shared" si="445"/>
        <v>|||</v>
      </c>
      <c r="H11711" s="835">
        <f t="shared" si="446"/>
        <v>31</v>
      </c>
      <c r="AF11711" s="831" t="s">
        <v>10678</v>
      </c>
      <c r="AG11711" s="831" t="s">
        <v>2674</v>
      </c>
      <c r="AH11711" s="831" t="s">
        <v>556</v>
      </c>
      <c r="AI11711" s="831">
        <v>0</v>
      </c>
      <c r="AJ11711" s="835">
        <v>41274</v>
      </c>
      <c r="AK11711" s="831">
        <v>902857</v>
      </c>
    </row>
    <row r="11712" spans="2:37">
      <c r="B11712" s="834" t="str">
        <f t="shared" si="445"/>
        <v>|||</v>
      </c>
      <c r="H11712" s="835">
        <f t="shared" si="446"/>
        <v>31</v>
      </c>
      <c r="AF11712" s="831" t="s">
        <v>10679</v>
      </c>
      <c r="AG11712" s="831" t="s">
        <v>2674</v>
      </c>
      <c r="AH11712" s="831" t="s">
        <v>555</v>
      </c>
      <c r="AI11712" s="831">
        <v>0</v>
      </c>
      <c r="AJ11712" s="835">
        <v>41274</v>
      </c>
      <c r="AK11712" s="831">
        <v>274948010</v>
      </c>
    </row>
    <row r="11713" spans="2:37">
      <c r="B11713" s="834" t="str">
        <f t="shared" si="445"/>
        <v>|||</v>
      </c>
      <c r="H11713" s="835">
        <f t="shared" si="446"/>
        <v>31</v>
      </c>
      <c r="AF11713" s="831" t="s">
        <v>10680</v>
      </c>
      <c r="AG11713" s="831" t="s">
        <v>2674</v>
      </c>
      <c r="AH11713" s="831" t="s">
        <v>554</v>
      </c>
      <c r="AI11713" s="831">
        <v>0</v>
      </c>
      <c r="AJ11713" s="835">
        <v>41274</v>
      </c>
      <c r="AK11713" s="831">
        <v>273069880</v>
      </c>
    </row>
    <row r="11714" spans="2:37">
      <c r="B11714" s="834" t="str">
        <f t="shared" si="445"/>
        <v>|||</v>
      </c>
      <c r="H11714" s="835">
        <f t="shared" si="446"/>
        <v>31</v>
      </c>
      <c r="AF11714" s="831" t="s">
        <v>10681</v>
      </c>
      <c r="AG11714" s="831" t="s">
        <v>2674</v>
      </c>
      <c r="AH11714" s="831" t="s">
        <v>553</v>
      </c>
      <c r="AI11714" s="831">
        <v>0</v>
      </c>
      <c r="AJ11714" s="835">
        <v>41274</v>
      </c>
      <c r="AK11714" s="831">
        <v>0</v>
      </c>
    </row>
    <row r="11715" spans="2:37">
      <c r="B11715" s="834" t="str">
        <f t="shared" si="445"/>
        <v>|||</v>
      </c>
      <c r="H11715" s="835">
        <f t="shared" si="446"/>
        <v>31</v>
      </c>
      <c r="AF11715" s="831" t="s">
        <v>10682</v>
      </c>
      <c r="AG11715" s="831" t="s">
        <v>2674</v>
      </c>
      <c r="AH11715" s="831" t="s">
        <v>552</v>
      </c>
      <c r="AI11715" s="831">
        <v>0</v>
      </c>
      <c r="AJ11715" s="835">
        <v>41274</v>
      </c>
      <c r="AK11715" s="831">
        <v>0</v>
      </c>
    </row>
    <row r="11716" spans="2:37">
      <c r="B11716" s="834" t="str">
        <f t="shared" si="445"/>
        <v>|||</v>
      </c>
      <c r="H11716" s="835">
        <f t="shared" si="446"/>
        <v>31</v>
      </c>
      <c r="AF11716" s="831" t="s">
        <v>10683</v>
      </c>
      <c r="AG11716" s="831" t="s">
        <v>2674</v>
      </c>
      <c r="AH11716" s="831" t="s">
        <v>551</v>
      </c>
      <c r="AI11716" s="831">
        <v>0</v>
      </c>
      <c r="AJ11716" s="835">
        <v>41274</v>
      </c>
      <c r="AK11716" s="831">
        <v>1740472</v>
      </c>
    </row>
    <row r="11717" spans="2:37">
      <c r="B11717" s="834" t="str">
        <f t="shared" si="445"/>
        <v>|||</v>
      </c>
      <c r="H11717" s="835">
        <f t="shared" si="446"/>
        <v>31</v>
      </c>
      <c r="AF11717" s="831" t="s">
        <v>10684</v>
      </c>
      <c r="AG11717" s="831" t="s">
        <v>2674</v>
      </c>
      <c r="AH11717" s="831" t="s">
        <v>550</v>
      </c>
      <c r="AI11717" s="831">
        <v>0</v>
      </c>
      <c r="AJ11717" s="835">
        <v>41274</v>
      </c>
      <c r="AK11717" s="831">
        <v>101856827</v>
      </c>
    </row>
    <row r="11718" spans="2:37">
      <c r="B11718" s="834" t="str">
        <f t="shared" si="445"/>
        <v>|||</v>
      </c>
      <c r="H11718" s="835">
        <f t="shared" si="446"/>
        <v>31</v>
      </c>
      <c r="AF11718" s="831" t="s">
        <v>10685</v>
      </c>
      <c r="AG11718" s="831" t="s">
        <v>2674</v>
      </c>
      <c r="AH11718" s="831" t="s">
        <v>562</v>
      </c>
      <c r="AI11718" s="831">
        <v>0</v>
      </c>
      <c r="AJ11718" s="835">
        <v>41274</v>
      </c>
      <c r="AK11718" s="831">
        <v>0.78400000000000003</v>
      </c>
    </row>
    <row r="11719" spans="2:37">
      <c r="B11719" s="834" t="str">
        <f t="shared" si="445"/>
        <v>|||</v>
      </c>
      <c r="H11719" s="835">
        <f t="shared" si="446"/>
        <v>31</v>
      </c>
      <c r="AF11719" s="831" t="s">
        <v>10686</v>
      </c>
      <c r="AG11719" s="831" t="s">
        <v>2674</v>
      </c>
      <c r="AH11719" s="831" t="s">
        <v>2698</v>
      </c>
      <c r="AI11719" s="831">
        <v>0</v>
      </c>
      <c r="AJ11719" s="835">
        <v>41274</v>
      </c>
      <c r="AK11719" s="831">
        <v>0.78415000000000001</v>
      </c>
    </row>
    <row r="11720" spans="2:37">
      <c r="B11720" s="834" t="str">
        <f t="shared" si="445"/>
        <v>|||</v>
      </c>
      <c r="H11720" s="835">
        <f t="shared" si="446"/>
        <v>31</v>
      </c>
      <c r="AF11720" s="831" t="s">
        <v>10687</v>
      </c>
      <c r="AG11720" s="831" t="s">
        <v>2674</v>
      </c>
      <c r="AH11720" s="831" t="s">
        <v>560</v>
      </c>
      <c r="AI11720" s="831">
        <v>0</v>
      </c>
      <c r="AJ11720" s="835">
        <v>41274</v>
      </c>
      <c r="AK11720" s="831">
        <v>0.7850541666666665</v>
      </c>
    </row>
    <row r="11721" spans="2:37">
      <c r="B11721" s="834" t="str">
        <f t="shared" si="445"/>
        <v>|||</v>
      </c>
      <c r="H11721" s="835">
        <f t="shared" si="446"/>
        <v>31</v>
      </c>
      <c r="AF11721" s="831" t="s">
        <v>10688</v>
      </c>
      <c r="AG11721" s="831" t="s">
        <v>2674</v>
      </c>
      <c r="AH11721" s="831" t="s">
        <v>559</v>
      </c>
      <c r="AI11721" s="831">
        <v>0</v>
      </c>
      <c r="AJ11721" s="835">
        <v>41274</v>
      </c>
      <c r="AK11721" s="831">
        <v>0.7850541666666665</v>
      </c>
    </row>
    <row r="11722" spans="2:37">
      <c r="B11722" s="834" t="str">
        <f t="shared" si="445"/>
        <v>|||</v>
      </c>
      <c r="H11722" s="835">
        <f t="shared" si="446"/>
        <v>31</v>
      </c>
      <c r="AF11722" s="831" t="s">
        <v>10689</v>
      </c>
      <c r="AG11722" s="831" t="s">
        <v>2674</v>
      </c>
      <c r="AH11722" s="831" t="s">
        <v>568</v>
      </c>
      <c r="AI11722" s="831">
        <v>0</v>
      </c>
      <c r="AJ11722" s="835">
        <v>41274</v>
      </c>
      <c r="AK11722" s="831">
        <v>0</v>
      </c>
    </row>
    <row r="11723" spans="2:37">
      <c r="B11723" s="834" t="str">
        <f t="shared" si="445"/>
        <v>|||</v>
      </c>
      <c r="H11723" s="835">
        <f t="shared" si="446"/>
        <v>31</v>
      </c>
      <c r="AF11723" s="831" t="s">
        <v>10690</v>
      </c>
      <c r="AG11723" s="831" t="s">
        <v>2674</v>
      </c>
      <c r="AH11723" s="831" t="s">
        <v>569</v>
      </c>
      <c r="AI11723" s="831">
        <v>0</v>
      </c>
      <c r="AJ11723" s="835">
        <v>41274</v>
      </c>
      <c r="AK11723" s="831">
        <v>0</v>
      </c>
    </row>
    <row r="11724" spans="2:37">
      <c r="B11724" s="834" t="str">
        <f t="shared" si="445"/>
        <v>|||</v>
      </c>
      <c r="H11724" s="835">
        <f t="shared" si="446"/>
        <v>31</v>
      </c>
      <c r="AF11724" s="831" t="s">
        <v>10691</v>
      </c>
      <c r="AG11724" s="831" t="s">
        <v>2674</v>
      </c>
      <c r="AH11724" s="831" t="s">
        <v>570</v>
      </c>
      <c r="AI11724" s="831">
        <v>0</v>
      </c>
      <c r="AJ11724" s="835">
        <v>41274</v>
      </c>
      <c r="AK11724" s="831">
        <v>0</v>
      </c>
    </row>
    <row r="11725" spans="2:37">
      <c r="B11725" s="834" t="str">
        <f t="shared" si="445"/>
        <v>|||</v>
      </c>
      <c r="H11725" s="835">
        <f t="shared" si="446"/>
        <v>31</v>
      </c>
      <c r="AF11725" s="831" t="s">
        <v>10692</v>
      </c>
      <c r="AG11725" s="831" t="s">
        <v>2674</v>
      </c>
      <c r="AH11725" s="831" t="s">
        <v>571</v>
      </c>
      <c r="AI11725" s="831">
        <v>0</v>
      </c>
      <c r="AJ11725" s="835">
        <v>41274</v>
      </c>
      <c r="AK11725" s="831">
        <v>0</v>
      </c>
    </row>
    <row r="11726" spans="2:37">
      <c r="B11726" s="834" t="str">
        <f t="shared" si="445"/>
        <v>|||</v>
      </c>
      <c r="H11726" s="835">
        <f t="shared" si="446"/>
        <v>31</v>
      </c>
      <c r="AF11726" s="831" t="s">
        <v>10693</v>
      </c>
      <c r="AG11726" s="831" t="s">
        <v>2674</v>
      </c>
      <c r="AH11726" s="831" t="s">
        <v>573</v>
      </c>
      <c r="AI11726" s="831">
        <v>0</v>
      </c>
      <c r="AJ11726" s="835">
        <v>41274</v>
      </c>
      <c r="AK11726" s="831">
        <v>-2146826265</v>
      </c>
    </row>
    <row r="11727" spans="2:37">
      <c r="B11727" s="834" t="str">
        <f t="shared" si="445"/>
        <v>|||</v>
      </c>
      <c r="H11727" s="835">
        <f t="shared" si="446"/>
        <v>31</v>
      </c>
      <c r="AF11727" s="831" t="s">
        <v>10694</v>
      </c>
      <c r="AG11727" s="831" t="s">
        <v>2674</v>
      </c>
      <c r="AH11727" s="831" t="s">
        <v>574</v>
      </c>
      <c r="AI11727" s="831">
        <v>0</v>
      </c>
      <c r="AJ11727" s="835">
        <v>41274</v>
      </c>
      <c r="AK11727" s="831">
        <v>-2146826265</v>
      </c>
    </row>
    <row r="11728" spans="2:37">
      <c r="B11728" s="834" t="str">
        <f t="shared" si="445"/>
        <v>|||</v>
      </c>
      <c r="H11728" s="835">
        <f t="shared" si="446"/>
        <v>31</v>
      </c>
      <c r="AF11728" s="831" t="s">
        <v>10695</v>
      </c>
      <c r="AG11728" s="831" t="s">
        <v>2674</v>
      </c>
      <c r="AH11728" s="831" t="s">
        <v>575</v>
      </c>
      <c r="AI11728" s="831">
        <v>0</v>
      </c>
      <c r="AJ11728" s="835">
        <v>41274</v>
      </c>
      <c r="AK11728" s="831">
        <v>-2146826265</v>
      </c>
    </row>
    <row r="11729" spans="2:37">
      <c r="B11729" s="834" t="str">
        <f t="shared" ref="B11729:B11792" si="447">C11729&amp;"|"&amp;D11729&amp;"|"&amp;E11729&amp;"|"&amp;F11729</f>
        <v>|||</v>
      </c>
      <c r="H11729" s="835">
        <f t="shared" ref="H11729:H11792" si="448">EOMONTH(L11729,0)</f>
        <v>31</v>
      </c>
      <c r="AF11729" s="831" t="s">
        <v>10696</v>
      </c>
      <c r="AG11729" s="831" t="s">
        <v>2674</v>
      </c>
      <c r="AH11729" s="831" t="s">
        <v>576</v>
      </c>
      <c r="AI11729" s="831">
        <v>0</v>
      </c>
      <c r="AJ11729" s="835">
        <v>41274</v>
      </c>
      <c r="AK11729" s="831">
        <v>-2146826265</v>
      </c>
    </row>
    <row r="11730" spans="2:37">
      <c r="B11730" s="834" t="str">
        <f t="shared" si="447"/>
        <v>|||</v>
      </c>
      <c r="H11730" s="835">
        <f t="shared" si="448"/>
        <v>31</v>
      </c>
      <c r="AF11730" s="831" t="s">
        <v>10697</v>
      </c>
      <c r="AG11730" s="831" t="s">
        <v>2674</v>
      </c>
      <c r="AH11730" s="831" t="s">
        <v>572</v>
      </c>
      <c r="AI11730" s="831">
        <v>0</v>
      </c>
      <c r="AJ11730" s="835">
        <v>41274</v>
      </c>
      <c r="AK11730" s="831">
        <v>-2146826246</v>
      </c>
    </row>
    <row r="11731" spans="2:37">
      <c r="B11731" s="834" t="str">
        <f t="shared" si="447"/>
        <v>|||</v>
      </c>
      <c r="H11731" s="835">
        <f t="shared" si="448"/>
        <v>31</v>
      </c>
      <c r="AF11731" s="831" t="s">
        <v>10698</v>
      </c>
      <c r="AG11731" s="831" t="s">
        <v>2674</v>
      </c>
      <c r="AH11731" s="831" t="s">
        <v>577</v>
      </c>
      <c r="AI11731" s="831">
        <v>0</v>
      </c>
      <c r="AJ11731" s="835">
        <v>41274</v>
      </c>
      <c r="AK11731" s="831">
        <v>-2146826246</v>
      </c>
    </row>
    <row r="11732" spans="2:37">
      <c r="B11732" s="834" t="str">
        <f t="shared" si="447"/>
        <v>|||</v>
      </c>
      <c r="H11732" s="835">
        <f t="shared" si="448"/>
        <v>31</v>
      </c>
      <c r="AF11732" s="831" t="s">
        <v>10699</v>
      </c>
      <c r="AG11732" s="831" t="s">
        <v>2674</v>
      </c>
      <c r="AH11732" s="831" t="s">
        <v>3042</v>
      </c>
      <c r="AI11732" s="831">
        <v>0</v>
      </c>
      <c r="AJ11732" s="835">
        <v>41274</v>
      </c>
      <c r="AK11732" s="831">
        <v>-2146826246</v>
      </c>
    </row>
    <row r="11733" spans="2:37">
      <c r="B11733" s="834" t="str">
        <f t="shared" si="447"/>
        <v>|||</v>
      </c>
      <c r="H11733" s="835">
        <f t="shared" si="448"/>
        <v>31</v>
      </c>
      <c r="AF11733" s="831" t="s">
        <v>10700</v>
      </c>
      <c r="AG11733" s="831" t="s">
        <v>2674</v>
      </c>
      <c r="AH11733" s="831" t="s">
        <v>3044</v>
      </c>
      <c r="AI11733" s="831">
        <v>0</v>
      </c>
      <c r="AJ11733" s="835">
        <v>41274</v>
      </c>
      <c r="AK11733" s="831">
        <v>-2146826246</v>
      </c>
    </row>
    <row r="11734" spans="2:37">
      <c r="B11734" s="834" t="str">
        <f t="shared" si="447"/>
        <v>|||</v>
      </c>
      <c r="H11734" s="835">
        <f t="shared" si="448"/>
        <v>31</v>
      </c>
      <c r="AF11734" s="831" t="s">
        <v>10701</v>
      </c>
      <c r="AG11734" s="831" t="s">
        <v>2674</v>
      </c>
      <c r="AH11734" s="831" t="s">
        <v>580</v>
      </c>
      <c r="AI11734" s="831">
        <v>0</v>
      </c>
      <c r="AJ11734" s="835">
        <v>41274</v>
      </c>
      <c r="AK11734" s="831">
        <v>-2146826246</v>
      </c>
    </row>
    <row r="11735" spans="2:37">
      <c r="B11735" s="834" t="str">
        <f t="shared" si="447"/>
        <v>|||</v>
      </c>
      <c r="H11735" s="835">
        <f t="shared" si="448"/>
        <v>31</v>
      </c>
      <c r="AF11735" s="831" t="s">
        <v>10702</v>
      </c>
      <c r="AG11735" s="831" t="s">
        <v>2674</v>
      </c>
      <c r="AH11735" s="831" t="s">
        <v>581</v>
      </c>
      <c r="AI11735" s="831">
        <v>0</v>
      </c>
      <c r="AJ11735" s="835">
        <v>41274</v>
      </c>
      <c r="AK11735" s="831">
        <v>-2146826246</v>
      </c>
    </row>
    <row r="11736" spans="2:37">
      <c r="B11736" s="834" t="str">
        <f t="shared" si="447"/>
        <v>|||</v>
      </c>
      <c r="H11736" s="835">
        <f t="shared" si="448"/>
        <v>31</v>
      </c>
      <c r="AF11736" s="831" t="s">
        <v>10703</v>
      </c>
      <c r="AG11736" s="831" t="s">
        <v>2674</v>
      </c>
      <c r="AH11736" s="831" t="s">
        <v>105</v>
      </c>
      <c r="AI11736" s="831">
        <v>0</v>
      </c>
      <c r="AJ11736" s="835">
        <v>41274</v>
      </c>
      <c r="AK11736" s="831">
        <v>237580126</v>
      </c>
    </row>
    <row r="11737" spans="2:37">
      <c r="B11737" s="834" t="str">
        <f t="shared" si="447"/>
        <v>|||</v>
      </c>
      <c r="H11737" s="835">
        <f t="shared" si="448"/>
        <v>31</v>
      </c>
      <c r="AF11737" s="831" t="s">
        <v>10704</v>
      </c>
      <c r="AG11737" s="831" t="s">
        <v>2674</v>
      </c>
      <c r="AH11737" s="831" t="s">
        <v>3049</v>
      </c>
      <c r="AI11737" s="831">
        <v>0</v>
      </c>
      <c r="AJ11737" s="835">
        <v>41274</v>
      </c>
      <c r="AK11737" s="831">
        <v>400647257</v>
      </c>
    </row>
    <row r="11738" spans="2:37">
      <c r="B11738" s="834" t="str">
        <f t="shared" si="447"/>
        <v>|||</v>
      </c>
      <c r="H11738" s="835">
        <f t="shared" si="448"/>
        <v>31</v>
      </c>
      <c r="AF11738" s="831" t="s">
        <v>10705</v>
      </c>
      <c r="AG11738" s="831" t="s">
        <v>2674</v>
      </c>
      <c r="AH11738" s="831" t="s">
        <v>103</v>
      </c>
      <c r="AI11738" s="831">
        <v>0</v>
      </c>
      <c r="AJ11738" s="835">
        <v>41274</v>
      </c>
      <c r="AK11738" s="831">
        <v>163067131</v>
      </c>
    </row>
    <row r="11739" spans="2:37">
      <c r="B11739" s="834" t="str">
        <f t="shared" si="447"/>
        <v>|||</v>
      </c>
      <c r="H11739" s="835">
        <f t="shared" si="448"/>
        <v>31</v>
      </c>
      <c r="AF11739" s="831" t="s">
        <v>10706</v>
      </c>
      <c r="AG11739" s="831" t="s">
        <v>2674</v>
      </c>
      <c r="AH11739" s="831" t="s">
        <v>182</v>
      </c>
      <c r="AI11739" s="831">
        <v>0</v>
      </c>
      <c r="AJ11739" s="835">
        <v>41274</v>
      </c>
      <c r="AK11739" s="831">
        <v>53318071</v>
      </c>
    </row>
    <row r="11740" spans="2:37">
      <c r="B11740" s="834" t="str">
        <f t="shared" si="447"/>
        <v>|||</v>
      </c>
      <c r="H11740" s="835">
        <f t="shared" si="448"/>
        <v>31</v>
      </c>
      <c r="AF11740" s="831" t="s">
        <v>10707</v>
      </c>
      <c r="AG11740" s="831" t="s">
        <v>2674</v>
      </c>
      <c r="AH11740" s="831" t="s">
        <v>6600</v>
      </c>
      <c r="AI11740" s="831">
        <v>0</v>
      </c>
      <c r="AJ11740" s="835">
        <v>41274</v>
      </c>
      <c r="AK11740" s="831">
        <v>-2146826246</v>
      </c>
    </row>
    <row r="11741" spans="2:37">
      <c r="B11741" s="834" t="str">
        <f t="shared" si="447"/>
        <v>|||</v>
      </c>
      <c r="H11741" s="835">
        <f t="shared" si="448"/>
        <v>31</v>
      </c>
      <c r="AF11741" s="831" t="s">
        <v>10708</v>
      </c>
      <c r="AG11741" s="831" t="s">
        <v>2674</v>
      </c>
      <c r="AH11741" s="831" t="s">
        <v>6602</v>
      </c>
      <c r="AI11741" s="831">
        <v>0</v>
      </c>
      <c r="AJ11741" s="835">
        <v>41274</v>
      </c>
      <c r="AK11741" s="831">
        <v>15839951</v>
      </c>
    </row>
    <row r="11742" spans="2:37">
      <c r="B11742" s="834" t="str">
        <f t="shared" si="447"/>
        <v>|||</v>
      </c>
      <c r="H11742" s="835">
        <f t="shared" si="448"/>
        <v>31</v>
      </c>
      <c r="AF11742" s="831" t="s">
        <v>10709</v>
      </c>
      <c r="AG11742" s="831" t="s">
        <v>2674</v>
      </c>
      <c r="AH11742" s="831" t="s">
        <v>650</v>
      </c>
      <c r="AI11742" s="831">
        <v>0</v>
      </c>
      <c r="AJ11742" s="835">
        <v>41274</v>
      </c>
      <c r="AK11742" s="831">
        <v>0</v>
      </c>
    </row>
    <row r="11743" spans="2:37">
      <c r="B11743" s="834" t="str">
        <f t="shared" si="447"/>
        <v>|||</v>
      </c>
      <c r="H11743" s="835">
        <f t="shared" si="448"/>
        <v>31</v>
      </c>
      <c r="AF11743" s="831" t="s">
        <v>10710</v>
      </c>
      <c r="AG11743" s="831" t="s">
        <v>2674</v>
      </c>
      <c r="AH11743" s="831" t="s">
        <v>655</v>
      </c>
      <c r="AI11743" s="831">
        <v>0</v>
      </c>
      <c r="AJ11743" s="835">
        <v>41274</v>
      </c>
      <c r="AK11743" s="831">
        <v>1622276</v>
      </c>
    </row>
    <row r="11744" spans="2:37">
      <c r="B11744" s="834" t="str">
        <f t="shared" si="447"/>
        <v>|||</v>
      </c>
      <c r="H11744" s="835">
        <f t="shared" si="448"/>
        <v>31</v>
      </c>
      <c r="AF11744" s="831" t="s">
        <v>10711</v>
      </c>
      <c r="AG11744" s="831" t="s">
        <v>2674</v>
      </c>
      <c r="AH11744" s="831" t="s">
        <v>546</v>
      </c>
      <c r="AI11744" s="831">
        <v>0</v>
      </c>
      <c r="AJ11744" s="835">
        <v>41305</v>
      </c>
      <c r="AK11744" s="831">
        <v>421051783</v>
      </c>
    </row>
    <row r="11745" spans="2:37">
      <c r="B11745" s="834" t="str">
        <f t="shared" si="447"/>
        <v>|||</v>
      </c>
      <c r="H11745" s="835">
        <f t="shared" si="448"/>
        <v>31</v>
      </c>
      <c r="AF11745" s="831" t="s">
        <v>10712</v>
      </c>
      <c r="AG11745" s="831" t="s">
        <v>2674</v>
      </c>
      <c r="AH11745" s="831" t="s">
        <v>370</v>
      </c>
      <c r="AI11745" s="831">
        <v>0</v>
      </c>
      <c r="AJ11745" s="835">
        <v>41305</v>
      </c>
      <c r="AK11745" s="831">
        <v>511487760</v>
      </c>
    </row>
    <row r="11746" spans="2:37">
      <c r="B11746" s="834" t="str">
        <f t="shared" si="447"/>
        <v>|||</v>
      </c>
      <c r="H11746" s="835">
        <f t="shared" si="448"/>
        <v>31</v>
      </c>
      <c r="AF11746" s="831" t="s">
        <v>10713</v>
      </c>
      <c r="AG11746" s="831" t="s">
        <v>2674</v>
      </c>
      <c r="AH11746" s="831" t="s">
        <v>126</v>
      </c>
      <c r="AI11746" s="831">
        <v>0</v>
      </c>
      <c r="AJ11746" s="835">
        <v>41305</v>
      </c>
      <c r="AK11746" s="831">
        <v>96883184</v>
      </c>
    </row>
    <row r="11747" spans="2:37">
      <c r="B11747" s="834" t="str">
        <f t="shared" si="447"/>
        <v>|||</v>
      </c>
      <c r="H11747" s="835">
        <f t="shared" si="448"/>
        <v>31</v>
      </c>
      <c r="AF11747" s="831" t="s">
        <v>10714</v>
      </c>
      <c r="AG11747" s="831" t="s">
        <v>2674</v>
      </c>
      <c r="AH11747" s="831" t="s">
        <v>268</v>
      </c>
      <c r="AI11747" s="831">
        <v>0</v>
      </c>
      <c r="AJ11747" s="835">
        <v>41305</v>
      </c>
      <c r="AK11747" s="831">
        <v>2119961</v>
      </c>
    </row>
    <row r="11748" spans="2:37">
      <c r="B11748" s="834" t="str">
        <f t="shared" si="447"/>
        <v>|||</v>
      </c>
      <c r="H11748" s="835">
        <f t="shared" si="448"/>
        <v>31</v>
      </c>
      <c r="AF11748" s="831" t="s">
        <v>10715</v>
      </c>
      <c r="AG11748" s="831" t="s">
        <v>2674</v>
      </c>
      <c r="AH11748" s="831" t="s">
        <v>547</v>
      </c>
      <c r="AI11748" s="831">
        <v>0</v>
      </c>
      <c r="AJ11748" s="835">
        <v>41305</v>
      </c>
      <c r="AK11748" s="831">
        <v>511487760</v>
      </c>
    </row>
    <row r="11749" spans="2:37">
      <c r="B11749" s="834" t="str">
        <f t="shared" si="447"/>
        <v>|||</v>
      </c>
      <c r="H11749" s="835">
        <f t="shared" si="448"/>
        <v>31</v>
      </c>
      <c r="AF11749" s="831" t="s">
        <v>10716</v>
      </c>
      <c r="AG11749" s="831" t="s">
        <v>2674</v>
      </c>
      <c r="AH11749" s="831" t="s">
        <v>548</v>
      </c>
      <c r="AI11749" s="831">
        <v>0</v>
      </c>
      <c r="AJ11749" s="835">
        <v>41305</v>
      </c>
      <c r="AK11749" s="831">
        <v>96883184</v>
      </c>
    </row>
    <row r="11750" spans="2:37">
      <c r="B11750" s="834" t="str">
        <f t="shared" si="447"/>
        <v>|||</v>
      </c>
      <c r="H11750" s="835">
        <f t="shared" si="448"/>
        <v>31</v>
      </c>
      <c r="AF11750" s="831" t="s">
        <v>10717</v>
      </c>
      <c r="AG11750" s="831" t="s">
        <v>2674</v>
      </c>
      <c r="AH11750" s="831" t="s">
        <v>549</v>
      </c>
      <c r="AI11750" s="831">
        <v>0</v>
      </c>
      <c r="AJ11750" s="835">
        <v>41305</v>
      </c>
      <c r="AK11750" s="831">
        <v>0</v>
      </c>
    </row>
    <row r="11751" spans="2:37">
      <c r="B11751" s="834" t="str">
        <f t="shared" si="447"/>
        <v>|||</v>
      </c>
      <c r="H11751" s="835">
        <f t="shared" si="448"/>
        <v>31</v>
      </c>
      <c r="AF11751" s="831" t="s">
        <v>10718</v>
      </c>
      <c r="AG11751" s="831" t="s">
        <v>2674</v>
      </c>
      <c r="AH11751" s="831" t="s">
        <v>192</v>
      </c>
      <c r="AI11751" s="831">
        <v>0</v>
      </c>
      <c r="AJ11751" s="835">
        <v>41305</v>
      </c>
      <c r="AK11751" s="831">
        <v>-10696839</v>
      </c>
    </row>
    <row r="11752" spans="2:37">
      <c r="B11752" s="834" t="str">
        <f t="shared" si="447"/>
        <v>|||</v>
      </c>
      <c r="H11752" s="835">
        <f t="shared" si="448"/>
        <v>31</v>
      </c>
      <c r="AF11752" s="831" t="s">
        <v>10719</v>
      </c>
      <c r="AG11752" s="831" t="s">
        <v>2674</v>
      </c>
      <c r="AH11752" s="831" t="s">
        <v>558</v>
      </c>
      <c r="AI11752" s="831">
        <v>0</v>
      </c>
      <c r="AJ11752" s="835">
        <v>41305</v>
      </c>
      <c r="AK11752" s="831">
        <v>414604576</v>
      </c>
    </row>
    <row r="11753" spans="2:37">
      <c r="B11753" s="834" t="str">
        <f t="shared" si="447"/>
        <v>|||</v>
      </c>
      <c r="H11753" s="835">
        <f t="shared" si="448"/>
        <v>31</v>
      </c>
      <c r="AF11753" s="831" t="s">
        <v>10720</v>
      </c>
      <c r="AG11753" s="831" t="s">
        <v>2674</v>
      </c>
      <c r="AH11753" s="831" t="s">
        <v>65</v>
      </c>
      <c r="AI11753" s="831">
        <v>0</v>
      </c>
      <c r="AJ11753" s="835">
        <v>41305</v>
      </c>
      <c r="AK11753" s="831">
        <v>9476383</v>
      </c>
    </row>
    <row r="11754" spans="2:37">
      <c r="B11754" s="834" t="str">
        <f t="shared" si="447"/>
        <v>|||</v>
      </c>
      <c r="H11754" s="835">
        <f t="shared" si="448"/>
        <v>31</v>
      </c>
      <c r="AF11754" s="831" t="s">
        <v>10721</v>
      </c>
      <c r="AG11754" s="831" t="s">
        <v>2674</v>
      </c>
      <c r="AH11754" s="831" t="s">
        <v>89</v>
      </c>
      <c r="AI11754" s="831">
        <v>0</v>
      </c>
      <c r="AJ11754" s="835">
        <v>41305</v>
      </c>
      <c r="AK11754" s="831">
        <v>125947</v>
      </c>
    </row>
    <row r="11755" spans="2:37">
      <c r="B11755" s="834" t="str">
        <f t="shared" si="447"/>
        <v>|||</v>
      </c>
      <c r="H11755" s="835">
        <f t="shared" si="448"/>
        <v>31</v>
      </c>
      <c r="AF11755" s="831" t="s">
        <v>10722</v>
      </c>
      <c r="AG11755" s="831" t="s">
        <v>2674</v>
      </c>
      <c r="AH11755" s="831" t="s">
        <v>557</v>
      </c>
      <c r="AI11755" s="831">
        <v>0</v>
      </c>
      <c r="AJ11755" s="835">
        <v>41305</v>
      </c>
      <c r="AK11755" s="831">
        <v>128972</v>
      </c>
    </row>
    <row r="11756" spans="2:37">
      <c r="B11756" s="834" t="str">
        <f t="shared" si="447"/>
        <v>|||</v>
      </c>
      <c r="H11756" s="835">
        <f t="shared" si="448"/>
        <v>31</v>
      </c>
      <c r="AF11756" s="831" t="s">
        <v>10723</v>
      </c>
      <c r="AG11756" s="831" t="s">
        <v>2674</v>
      </c>
      <c r="AH11756" s="831" t="s">
        <v>29</v>
      </c>
      <c r="AI11756" s="831">
        <v>0</v>
      </c>
      <c r="AJ11756" s="835">
        <v>41305</v>
      </c>
      <c r="AK11756" s="831">
        <v>1949343</v>
      </c>
    </row>
    <row r="11757" spans="2:37">
      <c r="B11757" s="834" t="str">
        <f t="shared" si="447"/>
        <v>|||</v>
      </c>
      <c r="H11757" s="835">
        <f t="shared" si="448"/>
        <v>31</v>
      </c>
      <c r="AF11757" s="831" t="s">
        <v>10724</v>
      </c>
      <c r="AG11757" s="831" t="s">
        <v>2674</v>
      </c>
      <c r="AH11757" s="831" t="s">
        <v>2688</v>
      </c>
      <c r="AI11757" s="831">
        <v>0</v>
      </c>
      <c r="AJ11757" s="835">
        <v>41305</v>
      </c>
      <c r="AK11757" s="831">
        <v>2693419</v>
      </c>
    </row>
    <row r="11758" spans="2:37">
      <c r="B11758" s="834" t="str">
        <f t="shared" si="447"/>
        <v>|||</v>
      </c>
      <c r="H11758" s="835">
        <f t="shared" si="448"/>
        <v>31</v>
      </c>
      <c r="AF11758" s="831" t="s">
        <v>10725</v>
      </c>
      <c r="AG11758" s="831" t="s">
        <v>2674</v>
      </c>
      <c r="AH11758" s="831" t="s">
        <v>556</v>
      </c>
      <c r="AI11758" s="831">
        <v>0</v>
      </c>
      <c r="AJ11758" s="835">
        <v>41305</v>
      </c>
      <c r="AK11758" s="831">
        <v>902857</v>
      </c>
    </row>
    <row r="11759" spans="2:37">
      <c r="B11759" s="834" t="str">
        <f t="shared" si="447"/>
        <v>|||</v>
      </c>
      <c r="H11759" s="835">
        <f t="shared" si="448"/>
        <v>31</v>
      </c>
      <c r="AF11759" s="831" t="s">
        <v>10726</v>
      </c>
      <c r="AG11759" s="831" t="s">
        <v>2674</v>
      </c>
      <c r="AH11759" s="831" t="s">
        <v>555</v>
      </c>
      <c r="AI11759" s="831">
        <v>0</v>
      </c>
      <c r="AJ11759" s="835">
        <v>41305</v>
      </c>
      <c r="AK11759" s="831">
        <v>261608550</v>
      </c>
    </row>
    <row r="11760" spans="2:37">
      <c r="B11760" s="834" t="str">
        <f t="shared" si="447"/>
        <v>|||</v>
      </c>
      <c r="H11760" s="835">
        <f t="shared" si="448"/>
        <v>31</v>
      </c>
      <c r="AF11760" s="831" t="s">
        <v>10727</v>
      </c>
      <c r="AG11760" s="831" t="s">
        <v>2674</v>
      </c>
      <c r="AH11760" s="831" t="s">
        <v>554</v>
      </c>
      <c r="AI11760" s="831">
        <v>0</v>
      </c>
      <c r="AJ11760" s="835">
        <v>41305</v>
      </c>
      <c r="AK11760" s="831">
        <v>265544650</v>
      </c>
    </row>
    <row r="11761" spans="2:37">
      <c r="B11761" s="834" t="str">
        <f t="shared" si="447"/>
        <v>|||</v>
      </c>
      <c r="H11761" s="835">
        <f t="shared" si="448"/>
        <v>31</v>
      </c>
      <c r="AF11761" s="831" t="s">
        <v>10728</v>
      </c>
      <c r="AG11761" s="831" t="s">
        <v>2674</v>
      </c>
      <c r="AH11761" s="831" t="s">
        <v>553</v>
      </c>
      <c r="AI11761" s="831">
        <v>0</v>
      </c>
      <c r="AJ11761" s="835">
        <v>41305</v>
      </c>
      <c r="AK11761" s="831">
        <v>0</v>
      </c>
    </row>
    <row r="11762" spans="2:37">
      <c r="B11762" s="834" t="str">
        <f t="shared" si="447"/>
        <v>|||</v>
      </c>
      <c r="H11762" s="835">
        <f t="shared" si="448"/>
        <v>31</v>
      </c>
      <c r="AF11762" s="831" t="s">
        <v>10729</v>
      </c>
      <c r="AG11762" s="831" t="s">
        <v>2674</v>
      </c>
      <c r="AH11762" s="831" t="s">
        <v>552</v>
      </c>
      <c r="AI11762" s="831">
        <v>0</v>
      </c>
      <c r="AJ11762" s="835">
        <v>41305</v>
      </c>
      <c r="AK11762" s="831">
        <v>0</v>
      </c>
    </row>
    <row r="11763" spans="2:37">
      <c r="B11763" s="834" t="str">
        <f t="shared" si="447"/>
        <v>|||</v>
      </c>
      <c r="H11763" s="835">
        <f t="shared" si="448"/>
        <v>31</v>
      </c>
      <c r="AF11763" s="831" t="s">
        <v>10730</v>
      </c>
      <c r="AG11763" s="831" t="s">
        <v>2674</v>
      </c>
      <c r="AH11763" s="831" t="s">
        <v>551</v>
      </c>
      <c r="AI11763" s="831">
        <v>0</v>
      </c>
      <c r="AJ11763" s="835">
        <v>41305</v>
      </c>
      <c r="AK11763" s="831">
        <v>1906076</v>
      </c>
    </row>
    <row r="11764" spans="2:37">
      <c r="B11764" s="834" t="str">
        <f t="shared" si="447"/>
        <v>|||</v>
      </c>
      <c r="H11764" s="835">
        <f t="shared" si="448"/>
        <v>31</v>
      </c>
      <c r="AF11764" s="831" t="s">
        <v>10731</v>
      </c>
      <c r="AG11764" s="831" t="s">
        <v>2674</v>
      </c>
      <c r="AH11764" s="831" t="s">
        <v>550</v>
      </c>
      <c r="AI11764" s="831">
        <v>0</v>
      </c>
      <c r="AJ11764" s="835">
        <v>41305</v>
      </c>
      <c r="AK11764" s="831">
        <v>101162875</v>
      </c>
    </row>
    <row r="11765" spans="2:37">
      <c r="B11765" s="834" t="str">
        <f t="shared" si="447"/>
        <v>|||</v>
      </c>
      <c r="H11765" s="835">
        <f t="shared" si="448"/>
        <v>31</v>
      </c>
      <c r="AF11765" s="831" t="s">
        <v>10732</v>
      </c>
      <c r="AG11765" s="831" t="s">
        <v>2674</v>
      </c>
      <c r="AH11765" s="831" t="s">
        <v>562</v>
      </c>
      <c r="AI11765" s="831">
        <v>0</v>
      </c>
      <c r="AJ11765" s="835">
        <v>41305</v>
      </c>
      <c r="AK11765" s="831">
        <v>0.78385000000000005</v>
      </c>
    </row>
    <row r="11766" spans="2:37">
      <c r="B11766" s="834" t="str">
        <f t="shared" si="447"/>
        <v>|||</v>
      </c>
      <c r="H11766" s="835">
        <f t="shared" si="448"/>
        <v>31</v>
      </c>
      <c r="AF11766" s="831" t="s">
        <v>10733</v>
      </c>
      <c r="AG11766" s="831" t="s">
        <v>2674</v>
      </c>
      <c r="AH11766" s="831" t="s">
        <v>2698</v>
      </c>
      <c r="AI11766" s="831">
        <v>0</v>
      </c>
      <c r="AJ11766" s="835">
        <v>41305</v>
      </c>
      <c r="AK11766" s="831">
        <v>0.78400000000000003</v>
      </c>
    </row>
    <row r="11767" spans="2:37">
      <c r="B11767" s="834" t="str">
        <f t="shared" si="447"/>
        <v>|||</v>
      </c>
      <c r="H11767" s="835">
        <f t="shared" si="448"/>
        <v>31</v>
      </c>
      <c r="AF11767" s="831" t="s">
        <v>10734</v>
      </c>
      <c r="AG11767" s="831" t="s">
        <v>2674</v>
      </c>
      <c r="AH11767" s="831" t="s">
        <v>560</v>
      </c>
      <c r="AI11767" s="831">
        <v>0</v>
      </c>
      <c r="AJ11767" s="835">
        <v>41305</v>
      </c>
      <c r="AK11767" s="831">
        <v>0.78385000000000005</v>
      </c>
    </row>
    <row r="11768" spans="2:37">
      <c r="B11768" s="834" t="str">
        <f t="shared" si="447"/>
        <v>|||</v>
      </c>
      <c r="H11768" s="835">
        <f t="shared" si="448"/>
        <v>31</v>
      </c>
      <c r="AF11768" s="831" t="s">
        <v>10735</v>
      </c>
      <c r="AG11768" s="831" t="s">
        <v>2674</v>
      </c>
      <c r="AH11768" s="831" t="s">
        <v>559</v>
      </c>
      <c r="AI11768" s="831">
        <v>0</v>
      </c>
      <c r="AJ11768" s="835">
        <v>41305</v>
      </c>
      <c r="AK11768" s="831">
        <v>0.78486250000000002</v>
      </c>
    </row>
    <row r="11769" spans="2:37">
      <c r="B11769" s="834" t="str">
        <f t="shared" si="447"/>
        <v>|||</v>
      </c>
      <c r="H11769" s="835">
        <f t="shared" si="448"/>
        <v>31</v>
      </c>
      <c r="AF11769" s="831" t="s">
        <v>10736</v>
      </c>
      <c r="AG11769" s="831" t="s">
        <v>2674</v>
      </c>
      <c r="AH11769" s="831" t="s">
        <v>568</v>
      </c>
      <c r="AI11769" s="831">
        <v>0</v>
      </c>
      <c r="AJ11769" s="835">
        <v>41305</v>
      </c>
      <c r="AK11769" s="831">
        <v>373888864.66666669</v>
      </c>
    </row>
    <row r="11770" spans="2:37">
      <c r="B11770" s="834" t="str">
        <f t="shared" si="447"/>
        <v>|||</v>
      </c>
      <c r="H11770" s="835">
        <f t="shared" si="448"/>
        <v>31</v>
      </c>
      <c r="AF11770" s="831" t="s">
        <v>10737</v>
      </c>
      <c r="AG11770" s="831" t="s">
        <v>2674</v>
      </c>
      <c r="AH11770" s="831" t="s">
        <v>569</v>
      </c>
      <c r="AI11770" s="831">
        <v>0</v>
      </c>
      <c r="AJ11770" s="835">
        <v>41305</v>
      </c>
      <c r="AK11770" s="831">
        <v>458979290.77777779</v>
      </c>
    </row>
    <row r="11771" spans="2:37">
      <c r="B11771" s="834" t="str">
        <f t="shared" si="447"/>
        <v>|||</v>
      </c>
      <c r="H11771" s="835">
        <f t="shared" si="448"/>
        <v>31</v>
      </c>
      <c r="AF11771" s="831" t="s">
        <v>10738</v>
      </c>
      <c r="AG11771" s="831" t="s">
        <v>2674</v>
      </c>
      <c r="AH11771" s="831" t="s">
        <v>570</v>
      </c>
      <c r="AI11771" s="831">
        <v>0</v>
      </c>
      <c r="AJ11771" s="835">
        <v>41305</v>
      </c>
      <c r="AK11771" s="831">
        <v>96420088.555555552</v>
      </c>
    </row>
    <row r="11772" spans="2:37">
      <c r="B11772" s="834" t="str">
        <f t="shared" si="447"/>
        <v>|||</v>
      </c>
      <c r="H11772" s="835">
        <f t="shared" si="448"/>
        <v>31</v>
      </c>
      <c r="AF11772" s="831" t="s">
        <v>10739</v>
      </c>
      <c r="AG11772" s="831" t="s">
        <v>2674</v>
      </c>
      <c r="AH11772" s="831" t="s">
        <v>571</v>
      </c>
      <c r="AI11772" s="831">
        <v>0</v>
      </c>
      <c r="AJ11772" s="835">
        <v>41305</v>
      </c>
      <c r="AK11772" s="831">
        <v>187471539.44444445</v>
      </c>
    </row>
    <row r="11773" spans="2:37">
      <c r="B11773" s="834" t="str">
        <f t="shared" si="447"/>
        <v>|||</v>
      </c>
      <c r="H11773" s="835">
        <f t="shared" si="448"/>
        <v>31</v>
      </c>
      <c r="AF11773" s="831" t="s">
        <v>10740</v>
      </c>
      <c r="AG11773" s="831" t="s">
        <v>2674</v>
      </c>
      <c r="AH11773" s="831" t="s">
        <v>573</v>
      </c>
      <c r="AI11773" s="831">
        <v>0</v>
      </c>
      <c r="AJ11773" s="835">
        <v>41305</v>
      </c>
      <c r="AK11773" s="831">
        <v>513378335</v>
      </c>
    </row>
    <row r="11774" spans="2:37">
      <c r="B11774" s="834" t="str">
        <f t="shared" si="447"/>
        <v>|||</v>
      </c>
      <c r="H11774" s="835">
        <f t="shared" si="448"/>
        <v>31</v>
      </c>
      <c r="AF11774" s="831" t="s">
        <v>10741</v>
      </c>
      <c r="AG11774" s="831" t="s">
        <v>2674</v>
      </c>
      <c r="AH11774" s="831" t="s">
        <v>574</v>
      </c>
      <c r="AI11774" s="831">
        <v>0</v>
      </c>
      <c r="AJ11774" s="835">
        <v>41305</v>
      </c>
      <c r="AK11774" s="831">
        <v>416588703.5</v>
      </c>
    </row>
    <row r="11775" spans="2:37">
      <c r="B11775" s="834" t="str">
        <f t="shared" si="447"/>
        <v>|||</v>
      </c>
      <c r="H11775" s="835">
        <f t="shared" si="448"/>
        <v>31</v>
      </c>
      <c r="AF11775" s="831" t="s">
        <v>10742</v>
      </c>
      <c r="AG11775" s="831" t="s">
        <v>2674</v>
      </c>
      <c r="AH11775" s="831" t="s">
        <v>575</v>
      </c>
      <c r="AI11775" s="831">
        <v>0</v>
      </c>
      <c r="AJ11775" s="835">
        <v>41305</v>
      </c>
      <c r="AK11775" s="831">
        <v>99023029.5</v>
      </c>
    </row>
    <row r="11776" spans="2:37">
      <c r="B11776" s="834" t="str">
        <f t="shared" si="447"/>
        <v>|||</v>
      </c>
      <c r="H11776" s="835">
        <f t="shared" si="448"/>
        <v>31</v>
      </c>
      <c r="AF11776" s="831" t="s">
        <v>10743</v>
      </c>
      <c r="AG11776" s="831" t="s">
        <v>2674</v>
      </c>
      <c r="AH11776" s="831" t="s">
        <v>576</v>
      </c>
      <c r="AI11776" s="831">
        <v>0</v>
      </c>
      <c r="AJ11776" s="835">
        <v>41305</v>
      </c>
      <c r="AK11776" s="831">
        <v>233642368.5</v>
      </c>
    </row>
    <row r="11777" spans="2:37">
      <c r="B11777" s="834" t="str">
        <f t="shared" si="447"/>
        <v>|||</v>
      </c>
      <c r="H11777" s="835">
        <f t="shared" si="448"/>
        <v>31</v>
      </c>
      <c r="AF11777" s="831" t="s">
        <v>10744</v>
      </c>
      <c r="AG11777" s="831" t="s">
        <v>2674</v>
      </c>
      <c r="AH11777" s="831" t="s">
        <v>572</v>
      </c>
      <c r="AI11777" s="831">
        <v>0</v>
      </c>
      <c r="AJ11777" s="835">
        <v>41305</v>
      </c>
      <c r="AK11777" s="831">
        <v>-2146826246</v>
      </c>
    </row>
    <row r="11778" spans="2:37">
      <c r="B11778" s="834" t="str">
        <f t="shared" si="447"/>
        <v>|||</v>
      </c>
      <c r="H11778" s="835">
        <f t="shared" si="448"/>
        <v>31</v>
      </c>
      <c r="AF11778" s="831" t="s">
        <v>10745</v>
      </c>
      <c r="AG11778" s="831" t="s">
        <v>2674</v>
      </c>
      <c r="AH11778" s="831" t="s">
        <v>577</v>
      </c>
      <c r="AI11778" s="831">
        <v>0</v>
      </c>
      <c r="AJ11778" s="835">
        <v>41305</v>
      </c>
      <c r="AK11778" s="831">
        <v>-2146826246</v>
      </c>
    </row>
    <row r="11779" spans="2:37">
      <c r="B11779" s="834" t="str">
        <f t="shared" si="447"/>
        <v>|||</v>
      </c>
      <c r="H11779" s="835">
        <f t="shared" si="448"/>
        <v>31</v>
      </c>
      <c r="AF11779" s="831" t="s">
        <v>10746</v>
      </c>
      <c r="AG11779" s="831" t="s">
        <v>2674</v>
      </c>
      <c r="AH11779" s="831" t="s">
        <v>3042</v>
      </c>
      <c r="AI11779" s="831">
        <v>0</v>
      </c>
      <c r="AJ11779" s="835">
        <v>41305</v>
      </c>
      <c r="AK11779" s="831">
        <v>-2146826246</v>
      </c>
    </row>
    <row r="11780" spans="2:37">
      <c r="B11780" s="834" t="str">
        <f t="shared" si="447"/>
        <v>|||</v>
      </c>
      <c r="H11780" s="835">
        <f t="shared" si="448"/>
        <v>31</v>
      </c>
      <c r="AF11780" s="831" t="s">
        <v>10747</v>
      </c>
      <c r="AG11780" s="831" t="s">
        <v>2674</v>
      </c>
      <c r="AH11780" s="831" t="s">
        <v>3044</v>
      </c>
      <c r="AI11780" s="831">
        <v>0</v>
      </c>
      <c r="AJ11780" s="835">
        <v>41305</v>
      </c>
      <c r="AK11780" s="831">
        <v>-2146826246</v>
      </c>
    </row>
    <row r="11781" spans="2:37">
      <c r="B11781" s="834" t="str">
        <f t="shared" si="447"/>
        <v>|||</v>
      </c>
      <c r="H11781" s="835">
        <f t="shared" si="448"/>
        <v>31</v>
      </c>
      <c r="AF11781" s="831" t="s">
        <v>10748</v>
      </c>
      <c r="AG11781" s="831" t="s">
        <v>2674</v>
      </c>
      <c r="AH11781" s="831" t="s">
        <v>580</v>
      </c>
      <c r="AI11781" s="831">
        <v>0</v>
      </c>
      <c r="AJ11781" s="835">
        <v>41305</v>
      </c>
      <c r="AK11781" s="831">
        <v>-2146826246</v>
      </c>
    </row>
    <row r="11782" spans="2:37">
      <c r="B11782" s="834" t="str">
        <f t="shared" si="447"/>
        <v>|||</v>
      </c>
      <c r="H11782" s="835">
        <f t="shared" si="448"/>
        <v>31</v>
      </c>
      <c r="AF11782" s="831" t="s">
        <v>10749</v>
      </c>
      <c r="AG11782" s="831" t="s">
        <v>2674</v>
      </c>
      <c r="AH11782" s="831" t="s">
        <v>581</v>
      </c>
      <c r="AI11782" s="831">
        <v>0</v>
      </c>
      <c r="AJ11782" s="835">
        <v>41305</v>
      </c>
      <c r="AK11782" s="831">
        <v>-2146826246</v>
      </c>
    </row>
    <row r="11783" spans="2:37">
      <c r="B11783" s="834" t="str">
        <f t="shared" si="447"/>
        <v>|||</v>
      </c>
      <c r="H11783" s="835">
        <f t="shared" si="448"/>
        <v>31</v>
      </c>
      <c r="AF11783" s="831" t="s">
        <v>10750</v>
      </c>
      <c r="AG11783" s="831" t="s">
        <v>2674</v>
      </c>
      <c r="AH11783" s="831" t="s">
        <v>105</v>
      </c>
      <c r="AI11783" s="831">
        <v>0</v>
      </c>
      <c r="AJ11783" s="835">
        <v>41305</v>
      </c>
      <c r="AK11783" s="831">
        <v>229704611</v>
      </c>
    </row>
    <row r="11784" spans="2:37">
      <c r="B11784" s="834" t="str">
        <f t="shared" si="447"/>
        <v>|||</v>
      </c>
      <c r="H11784" s="835">
        <f t="shared" si="448"/>
        <v>31</v>
      </c>
      <c r="AF11784" s="831" t="s">
        <v>10751</v>
      </c>
      <c r="AG11784" s="831" t="s">
        <v>2674</v>
      </c>
      <c r="AH11784" s="831" t="s">
        <v>3049</v>
      </c>
      <c r="AI11784" s="831">
        <v>0</v>
      </c>
      <c r="AJ11784" s="835">
        <v>41305</v>
      </c>
      <c r="AK11784" s="831">
        <v>400579663</v>
      </c>
    </row>
    <row r="11785" spans="2:37">
      <c r="B11785" s="834" t="str">
        <f t="shared" si="447"/>
        <v>|||</v>
      </c>
      <c r="H11785" s="835">
        <f t="shared" si="448"/>
        <v>31</v>
      </c>
      <c r="AF11785" s="831" t="s">
        <v>10752</v>
      </c>
      <c r="AG11785" s="831" t="s">
        <v>2674</v>
      </c>
      <c r="AH11785" s="831" t="s">
        <v>103</v>
      </c>
      <c r="AI11785" s="831">
        <v>0</v>
      </c>
      <c r="AJ11785" s="835">
        <v>41305</v>
      </c>
      <c r="AK11785" s="831">
        <v>170875052</v>
      </c>
    </row>
    <row r="11786" spans="2:37">
      <c r="B11786" s="834" t="str">
        <f t="shared" si="447"/>
        <v>|||</v>
      </c>
      <c r="H11786" s="835">
        <f t="shared" si="448"/>
        <v>31</v>
      </c>
      <c r="AF11786" s="831" t="s">
        <v>10753</v>
      </c>
      <c r="AG11786" s="831" t="s">
        <v>2674</v>
      </c>
      <c r="AH11786" s="831" t="s">
        <v>182</v>
      </c>
      <c r="AI11786" s="831">
        <v>0</v>
      </c>
      <c r="AJ11786" s="835">
        <v>41305</v>
      </c>
      <c r="AK11786" s="831">
        <v>57203676</v>
      </c>
    </row>
    <row r="11787" spans="2:37">
      <c r="B11787" s="834" t="str">
        <f t="shared" si="447"/>
        <v>|||</v>
      </c>
      <c r="H11787" s="835">
        <f t="shared" si="448"/>
        <v>31</v>
      </c>
      <c r="AF11787" s="831" t="s">
        <v>10754</v>
      </c>
      <c r="AG11787" s="831" t="s">
        <v>2674</v>
      </c>
      <c r="AH11787" s="831" t="s">
        <v>6600</v>
      </c>
      <c r="AI11787" s="831">
        <v>0</v>
      </c>
      <c r="AJ11787" s="835">
        <v>41305</v>
      </c>
      <c r="AK11787" s="831">
        <v>-2146826246</v>
      </c>
    </row>
    <row r="11788" spans="2:37">
      <c r="B11788" s="834" t="str">
        <f t="shared" si="447"/>
        <v>|||</v>
      </c>
      <c r="H11788" s="835">
        <f t="shared" si="448"/>
        <v>31</v>
      </c>
      <c r="AF11788" s="831" t="s">
        <v>10755</v>
      </c>
      <c r="AG11788" s="831" t="s">
        <v>2674</v>
      </c>
      <c r="AH11788" s="831" t="s">
        <v>6602</v>
      </c>
      <c r="AI11788" s="831">
        <v>0</v>
      </c>
      <c r="AJ11788" s="835">
        <v>41305</v>
      </c>
      <c r="AK11788" s="831">
        <v>2119961</v>
      </c>
    </row>
    <row r="11789" spans="2:37">
      <c r="B11789" s="834" t="str">
        <f t="shared" si="447"/>
        <v>|||</v>
      </c>
      <c r="H11789" s="835">
        <f t="shared" si="448"/>
        <v>31</v>
      </c>
      <c r="AF11789" s="831" t="s">
        <v>10756</v>
      </c>
      <c r="AG11789" s="831" t="s">
        <v>2674</v>
      </c>
      <c r="AH11789" s="831" t="s">
        <v>650</v>
      </c>
      <c r="AI11789" s="831">
        <v>0</v>
      </c>
      <c r="AJ11789" s="835">
        <v>41305</v>
      </c>
      <c r="AK11789" s="831">
        <v>162276642.66666666</v>
      </c>
    </row>
    <row r="11790" spans="2:37">
      <c r="B11790" s="834" t="str">
        <f t="shared" si="447"/>
        <v>|||</v>
      </c>
      <c r="H11790" s="835">
        <f t="shared" si="448"/>
        <v>31</v>
      </c>
      <c r="AF11790" s="831" t="s">
        <v>10757</v>
      </c>
      <c r="AG11790" s="831" t="s">
        <v>2674</v>
      </c>
      <c r="AH11790" s="831" t="s">
        <v>655</v>
      </c>
      <c r="AI11790" s="831">
        <v>0</v>
      </c>
      <c r="AJ11790" s="835">
        <v>41305</v>
      </c>
      <c r="AK11790" s="831">
        <v>1743639</v>
      </c>
    </row>
    <row r="11791" spans="2:37">
      <c r="B11791" s="834" t="str">
        <f t="shared" si="447"/>
        <v>|||</v>
      </c>
      <c r="H11791" s="835">
        <f t="shared" si="448"/>
        <v>31</v>
      </c>
      <c r="AF11791" s="831" t="s">
        <v>10758</v>
      </c>
      <c r="AG11791" s="831" t="s">
        <v>2674</v>
      </c>
      <c r="AH11791" s="831" t="s">
        <v>546</v>
      </c>
      <c r="AI11791" s="831">
        <v>0</v>
      </c>
      <c r="AJ11791" s="835">
        <v>41333</v>
      </c>
      <c r="AK11791" s="831">
        <v>436810603</v>
      </c>
    </row>
    <row r="11792" spans="2:37">
      <c r="B11792" s="834" t="str">
        <f t="shared" si="447"/>
        <v>|||</v>
      </c>
      <c r="H11792" s="835">
        <f t="shared" si="448"/>
        <v>31</v>
      </c>
      <c r="AF11792" s="831" t="s">
        <v>10759</v>
      </c>
      <c r="AG11792" s="831" t="s">
        <v>2674</v>
      </c>
      <c r="AH11792" s="831" t="s">
        <v>370</v>
      </c>
      <c r="AI11792" s="831">
        <v>0</v>
      </c>
      <c r="AJ11792" s="835">
        <v>41333</v>
      </c>
      <c r="AK11792" s="831">
        <v>522076176</v>
      </c>
    </row>
    <row r="11793" spans="2:37">
      <c r="B11793" s="834" t="str">
        <f t="shared" ref="B11793:B11856" si="449">C11793&amp;"|"&amp;D11793&amp;"|"&amp;E11793&amp;"|"&amp;F11793</f>
        <v>|||</v>
      </c>
      <c r="H11793" s="835">
        <f t="shared" ref="H11793:H11856" si="450">EOMONTH(L11793,0)</f>
        <v>31</v>
      </c>
      <c r="AF11793" s="831" t="s">
        <v>10760</v>
      </c>
      <c r="AG11793" s="831" t="s">
        <v>2674</v>
      </c>
      <c r="AH11793" s="831" t="s">
        <v>126</v>
      </c>
      <c r="AI11793" s="831">
        <v>0</v>
      </c>
      <c r="AJ11793" s="835">
        <v>41333</v>
      </c>
      <c r="AK11793" s="831">
        <v>98581107</v>
      </c>
    </row>
    <row r="11794" spans="2:37">
      <c r="B11794" s="834" t="str">
        <f t="shared" si="449"/>
        <v>|||</v>
      </c>
      <c r="H11794" s="835">
        <f t="shared" si="450"/>
        <v>31</v>
      </c>
      <c r="AF11794" s="831" t="s">
        <v>10761</v>
      </c>
      <c r="AG11794" s="831" t="s">
        <v>2674</v>
      </c>
      <c r="AH11794" s="831" t="s">
        <v>268</v>
      </c>
      <c r="AI11794" s="831">
        <v>0</v>
      </c>
      <c r="AJ11794" s="835">
        <v>41333</v>
      </c>
      <c r="AK11794" s="831">
        <v>3817884</v>
      </c>
    </row>
    <row r="11795" spans="2:37">
      <c r="B11795" s="834" t="str">
        <f t="shared" si="449"/>
        <v>|||</v>
      </c>
      <c r="H11795" s="835">
        <f t="shared" si="450"/>
        <v>31</v>
      </c>
      <c r="AF11795" s="831" t="s">
        <v>10762</v>
      </c>
      <c r="AG11795" s="831" t="s">
        <v>2674</v>
      </c>
      <c r="AH11795" s="831" t="s">
        <v>547</v>
      </c>
      <c r="AI11795" s="831">
        <v>0</v>
      </c>
      <c r="AJ11795" s="835">
        <v>41333</v>
      </c>
      <c r="AK11795" s="831">
        <v>511487760</v>
      </c>
    </row>
    <row r="11796" spans="2:37">
      <c r="B11796" s="834" t="str">
        <f t="shared" si="449"/>
        <v>|||</v>
      </c>
      <c r="H11796" s="835">
        <f t="shared" si="450"/>
        <v>31</v>
      </c>
      <c r="AF11796" s="831" t="s">
        <v>10763</v>
      </c>
      <c r="AG11796" s="831" t="s">
        <v>2674</v>
      </c>
      <c r="AH11796" s="831" t="s">
        <v>548</v>
      </c>
      <c r="AI11796" s="831">
        <v>0</v>
      </c>
      <c r="AJ11796" s="835">
        <v>41333</v>
      </c>
      <c r="AK11796" s="831">
        <v>96883184</v>
      </c>
    </row>
    <row r="11797" spans="2:37">
      <c r="B11797" s="834" t="str">
        <f t="shared" si="449"/>
        <v>|||</v>
      </c>
      <c r="H11797" s="835">
        <f t="shared" si="450"/>
        <v>31</v>
      </c>
      <c r="AF11797" s="831" t="s">
        <v>10764</v>
      </c>
      <c r="AG11797" s="831" t="s">
        <v>2674</v>
      </c>
      <c r="AH11797" s="831" t="s">
        <v>549</v>
      </c>
      <c r="AI11797" s="831">
        <v>0</v>
      </c>
      <c r="AJ11797" s="835">
        <v>41333</v>
      </c>
      <c r="AK11797" s="831">
        <v>0</v>
      </c>
    </row>
    <row r="11798" spans="2:37">
      <c r="B11798" s="834" t="str">
        <f t="shared" si="449"/>
        <v>|||</v>
      </c>
      <c r="H11798" s="835">
        <f t="shared" si="450"/>
        <v>31</v>
      </c>
      <c r="AF11798" s="831" t="s">
        <v>10765</v>
      </c>
      <c r="AG11798" s="831" t="s">
        <v>2674</v>
      </c>
      <c r="AH11798" s="831" t="s">
        <v>192</v>
      </c>
      <c r="AI11798" s="831">
        <v>0</v>
      </c>
      <c r="AJ11798" s="835">
        <v>41333</v>
      </c>
      <c r="AK11798" s="831">
        <v>-11285954</v>
      </c>
    </row>
    <row r="11799" spans="2:37">
      <c r="B11799" s="834" t="str">
        <f t="shared" si="449"/>
        <v>|||</v>
      </c>
      <c r="H11799" s="835">
        <f t="shared" si="450"/>
        <v>31</v>
      </c>
      <c r="AF11799" s="831" t="s">
        <v>10766</v>
      </c>
      <c r="AG11799" s="831" t="s">
        <v>2674</v>
      </c>
      <c r="AH11799" s="831" t="s">
        <v>558</v>
      </c>
      <c r="AI11799" s="831">
        <v>0</v>
      </c>
      <c r="AJ11799" s="835">
        <v>41333</v>
      </c>
      <c r="AK11799" s="831">
        <v>423495069</v>
      </c>
    </row>
    <row r="11800" spans="2:37">
      <c r="B11800" s="834" t="str">
        <f t="shared" si="449"/>
        <v>|||</v>
      </c>
      <c r="H11800" s="835">
        <f t="shared" si="450"/>
        <v>31</v>
      </c>
      <c r="AF11800" s="831" t="s">
        <v>10767</v>
      </c>
      <c r="AG11800" s="831" t="s">
        <v>2674</v>
      </c>
      <c r="AH11800" s="831" t="s">
        <v>65</v>
      </c>
      <c r="AI11800" s="831">
        <v>0</v>
      </c>
      <c r="AJ11800" s="835">
        <v>41333</v>
      </c>
      <c r="AK11800" s="831">
        <v>18985748</v>
      </c>
    </row>
    <row r="11801" spans="2:37">
      <c r="B11801" s="834" t="str">
        <f t="shared" si="449"/>
        <v>|||</v>
      </c>
      <c r="H11801" s="835">
        <f t="shared" si="450"/>
        <v>31</v>
      </c>
      <c r="AF11801" s="831" t="s">
        <v>10768</v>
      </c>
      <c r="AG11801" s="831" t="s">
        <v>2674</v>
      </c>
      <c r="AH11801" s="831" t="s">
        <v>89</v>
      </c>
      <c r="AI11801" s="831">
        <v>0</v>
      </c>
      <c r="AJ11801" s="835">
        <v>41333</v>
      </c>
      <c r="AK11801" s="831">
        <v>127639</v>
      </c>
    </row>
    <row r="11802" spans="2:37">
      <c r="B11802" s="834" t="str">
        <f t="shared" si="449"/>
        <v>|||</v>
      </c>
      <c r="H11802" s="835">
        <f t="shared" si="450"/>
        <v>31</v>
      </c>
      <c r="AF11802" s="831" t="s">
        <v>10769</v>
      </c>
      <c r="AG11802" s="831" t="s">
        <v>2674</v>
      </c>
      <c r="AH11802" s="831" t="s">
        <v>557</v>
      </c>
      <c r="AI11802" s="831">
        <v>0</v>
      </c>
      <c r="AJ11802" s="835">
        <v>41333</v>
      </c>
      <c r="AK11802" s="831">
        <v>130995</v>
      </c>
    </row>
    <row r="11803" spans="2:37">
      <c r="B11803" s="834" t="str">
        <f t="shared" si="449"/>
        <v>|||</v>
      </c>
      <c r="H11803" s="835">
        <f t="shared" si="450"/>
        <v>31</v>
      </c>
      <c r="AF11803" s="831" t="s">
        <v>10770</v>
      </c>
      <c r="AG11803" s="831" t="s">
        <v>2674</v>
      </c>
      <c r="AH11803" s="831" t="s">
        <v>29</v>
      </c>
      <c r="AI11803" s="831">
        <v>0</v>
      </c>
      <c r="AJ11803" s="835">
        <v>41333</v>
      </c>
      <c r="AK11803" s="831">
        <v>2238797</v>
      </c>
    </row>
    <row r="11804" spans="2:37">
      <c r="B11804" s="834" t="str">
        <f t="shared" si="449"/>
        <v>|||</v>
      </c>
      <c r="H11804" s="835">
        <f t="shared" si="450"/>
        <v>31</v>
      </c>
      <c r="AF11804" s="831" t="s">
        <v>10771</v>
      </c>
      <c r="AG11804" s="831" t="s">
        <v>2674</v>
      </c>
      <c r="AH11804" s="831" t="s">
        <v>2688</v>
      </c>
      <c r="AI11804" s="831">
        <v>0</v>
      </c>
      <c r="AJ11804" s="835">
        <v>41333</v>
      </c>
      <c r="AK11804" s="831">
        <v>2647738</v>
      </c>
    </row>
    <row r="11805" spans="2:37">
      <c r="B11805" s="834" t="str">
        <f t="shared" si="449"/>
        <v>|||</v>
      </c>
      <c r="H11805" s="835">
        <f t="shared" si="450"/>
        <v>31</v>
      </c>
      <c r="AF11805" s="831" t="s">
        <v>10772</v>
      </c>
      <c r="AG11805" s="831" t="s">
        <v>2674</v>
      </c>
      <c r="AH11805" s="831" t="s">
        <v>556</v>
      </c>
      <c r="AI11805" s="831">
        <v>0</v>
      </c>
      <c r="AJ11805" s="835">
        <v>41333</v>
      </c>
      <c r="AK11805" s="831">
        <v>902857</v>
      </c>
    </row>
    <row r="11806" spans="2:37">
      <c r="B11806" s="834" t="str">
        <f t="shared" si="449"/>
        <v>|||</v>
      </c>
      <c r="H11806" s="835">
        <f t="shared" si="450"/>
        <v>31</v>
      </c>
      <c r="AF11806" s="831" t="s">
        <v>10773</v>
      </c>
      <c r="AG11806" s="831" t="s">
        <v>2674</v>
      </c>
      <c r="AH11806" s="831" t="s">
        <v>555</v>
      </c>
      <c r="AI11806" s="831">
        <v>0</v>
      </c>
      <c r="AJ11806" s="835">
        <v>41333</v>
      </c>
      <c r="AK11806" s="831">
        <v>267734690</v>
      </c>
    </row>
    <row r="11807" spans="2:37">
      <c r="B11807" s="834" t="str">
        <f t="shared" si="449"/>
        <v>|||</v>
      </c>
      <c r="H11807" s="835">
        <f t="shared" si="450"/>
        <v>31</v>
      </c>
      <c r="AF11807" s="831" t="s">
        <v>10774</v>
      </c>
      <c r="AG11807" s="831" t="s">
        <v>2674</v>
      </c>
      <c r="AH11807" s="831" t="s">
        <v>554</v>
      </c>
      <c r="AI11807" s="831">
        <v>0</v>
      </c>
      <c r="AJ11807" s="835">
        <v>41333</v>
      </c>
      <c r="AK11807" s="831">
        <v>272030190</v>
      </c>
    </row>
    <row r="11808" spans="2:37">
      <c r="B11808" s="834" t="str">
        <f t="shared" si="449"/>
        <v>|||</v>
      </c>
      <c r="H11808" s="835">
        <f t="shared" si="450"/>
        <v>31</v>
      </c>
      <c r="AF11808" s="831" t="s">
        <v>10775</v>
      </c>
      <c r="AG11808" s="831" t="s">
        <v>2674</v>
      </c>
      <c r="AH11808" s="831" t="s">
        <v>553</v>
      </c>
      <c r="AI11808" s="831">
        <v>0</v>
      </c>
      <c r="AJ11808" s="835">
        <v>41333</v>
      </c>
      <c r="AK11808" s="831">
        <v>0</v>
      </c>
    </row>
    <row r="11809" spans="2:37">
      <c r="B11809" s="834" t="str">
        <f t="shared" si="449"/>
        <v>|||</v>
      </c>
      <c r="H11809" s="835">
        <f t="shared" si="450"/>
        <v>31</v>
      </c>
      <c r="AF11809" s="831" t="s">
        <v>10776</v>
      </c>
      <c r="AG11809" s="831" t="s">
        <v>2674</v>
      </c>
      <c r="AH11809" s="831" t="s">
        <v>552</v>
      </c>
      <c r="AI11809" s="831">
        <v>0</v>
      </c>
      <c r="AJ11809" s="835">
        <v>41333</v>
      </c>
      <c r="AK11809" s="831">
        <v>0</v>
      </c>
    </row>
    <row r="11810" spans="2:37">
      <c r="B11810" s="834" t="str">
        <f t="shared" si="449"/>
        <v>|||</v>
      </c>
      <c r="H11810" s="835">
        <f t="shared" si="450"/>
        <v>31</v>
      </c>
      <c r="AF11810" s="831" t="s">
        <v>10777</v>
      </c>
      <c r="AG11810" s="831" t="s">
        <v>2674</v>
      </c>
      <c r="AH11810" s="831" t="s">
        <v>551</v>
      </c>
      <c r="AI11810" s="831">
        <v>0</v>
      </c>
      <c r="AJ11810" s="835">
        <v>41333</v>
      </c>
      <c r="AK11810" s="831">
        <v>1930398</v>
      </c>
    </row>
    <row r="11811" spans="2:37">
      <c r="B11811" s="834" t="str">
        <f t="shared" si="449"/>
        <v>|||</v>
      </c>
      <c r="H11811" s="835">
        <f t="shared" si="450"/>
        <v>31</v>
      </c>
      <c r="AF11811" s="831" t="s">
        <v>10778</v>
      </c>
      <c r="AG11811" s="831" t="s">
        <v>2674</v>
      </c>
      <c r="AH11811" s="831" t="s">
        <v>550</v>
      </c>
      <c r="AI11811" s="831">
        <v>0</v>
      </c>
      <c r="AJ11811" s="835">
        <v>41333</v>
      </c>
      <c r="AK11811" s="831">
        <v>96883184</v>
      </c>
    </row>
    <row r="11812" spans="2:37">
      <c r="B11812" s="834" t="str">
        <f t="shared" si="449"/>
        <v>|||</v>
      </c>
      <c r="H11812" s="835">
        <f t="shared" si="450"/>
        <v>31</v>
      </c>
      <c r="AF11812" s="831" t="s">
        <v>10779</v>
      </c>
      <c r="AG11812" s="831" t="s">
        <v>2674</v>
      </c>
      <c r="AH11812" s="831" t="s">
        <v>562</v>
      </c>
      <c r="AI11812" s="831">
        <v>0</v>
      </c>
      <c r="AJ11812" s="835">
        <v>41333</v>
      </c>
      <c r="AK11812" s="831">
        <v>0.78434999999999999</v>
      </c>
    </row>
    <row r="11813" spans="2:37">
      <c r="B11813" s="834" t="str">
        <f t="shared" si="449"/>
        <v>|||</v>
      </c>
      <c r="H11813" s="835">
        <f t="shared" si="450"/>
        <v>31</v>
      </c>
      <c r="AF11813" s="831" t="s">
        <v>10780</v>
      </c>
      <c r="AG11813" s="831" t="s">
        <v>2674</v>
      </c>
      <c r="AH11813" s="831" t="s">
        <v>2698</v>
      </c>
      <c r="AI11813" s="831">
        <v>0</v>
      </c>
      <c r="AJ11813" s="835">
        <v>41333</v>
      </c>
      <c r="AK11813" s="831">
        <v>0.78385000000000005</v>
      </c>
    </row>
    <row r="11814" spans="2:37">
      <c r="B11814" s="834" t="str">
        <f t="shared" si="449"/>
        <v>|||</v>
      </c>
      <c r="H11814" s="835">
        <f t="shared" si="450"/>
        <v>31</v>
      </c>
      <c r="AF11814" s="831" t="s">
        <v>10781</v>
      </c>
      <c r="AG11814" s="831" t="s">
        <v>2674</v>
      </c>
      <c r="AH11814" s="831" t="s">
        <v>560</v>
      </c>
      <c r="AI11814" s="831">
        <v>0</v>
      </c>
      <c r="AJ11814" s="835">
        <v>41333</v>
      </c>
      <c r="AK11814" s="831">
        <v>0.78410000000000002</v>
      </c>
    </row>
    <row r="11815" spans="2:37">
      <c r="B11815" s="834" t="str">
        <f t="shared" si="449"/>
        <v>|||</v>
      </c>
      <c r="H11815" s="835">
        <f t="shared" si="450"/>
        <v>31</v>
      </c>
      <c r="AF11815" s="831" t="s">
        <v>10782</v>
      </c>
      <c r="AG11815" s="831" t="s">
        <v>2674</v>
      </c>
      <c r="AH11815" s="831" t="s">
        <v>559</v>
      </c>
      <c r="AI11815" s="831">
        <v>0</v>
      </c>
      <c r="AJ11815" s="835">
        <v>41333</v>
      </c>
      <c r="AK11815" s="831">
        <v>0.78474583333333314</v>
      </c>
    </row>
    <row r="11816" spans="2:37">
      <c r="B11816" s="834" t="str">
        <f t="shared" si="449"/>
        <v>|||</v>
      </c>
      <c r="H11816" s="835">
        <f t="shared" si="450"/>
        <v>31</v>
      </c>
      <c r="AF11816" s="831" t="s">
        <v>10783</v>
      </c>
      <c r="AG11816" s="831" t="s">
        <v>2674</v>
      </c>
      <c r="AH11816" s="831" t="s">
        <v>568</v>
      </c>
      <c r="AI11816" s="831">
        <v>0</v>
      </c>
      <c r="AJ11816" s="835">
        <v>41333</v>
      </c>
      <c r="AK11816" s="831">
        <v>380181038.5</v>
      </c>
    </row>
    <row r="11817" spans="2:37">
      <c r="B11817" s="834" t="str">
        <f t="shared" si="449"/>
        <v>|||</v>
      </c>
      <c r="H11817" s="835">
        <f t="shared" si="450"/>
        <v>31</v>
      </c>
      <c r="AF11817" s="831" t="s">
        <v>10784</v>
      </c>
      <c r="AG11817" s="831" t="s">
        <v>2674</v>
      </c>
      <c r="AH11817" s="831" t="s">
        <v>569</v>
      </c>
      <c r="AI11817" s="831">
        <v>0</v>
      </c>
      <c r="AJ11817" s="835">
        <v>41333</v>
      </c>
      <c r="AK11817" s="831">
        <v>465288979.30000001</v>
      </c>
    </row>
    <row r="11818" spans="2:37">
      <c r="B11818" s="834" t="str">
        <f t="shared" si="449"/>
        <v>|||</v>
      </c>
      <c r="H11818" s="835">
        <f t="shared" si="450"/>
        <v>31</v>
      </c>
      <c r="AF11818" s="831" t="s">
        <v>10785</v>
      </c>
      <c r="AG11818" s="831" t="s">
        <v>2674</v>
      </c>
      <c r="AH11818" s="831" t="s">
        <v>570</v>
      </c>
      <c r="AI11818" s="831">
        <v>0</v>
      </c>
      <c r="AJ11818" s="835">
        <v>41333</v>
      </c>
      <c r="AK11818" s="831">
        <v>96636190.400000006</v>
      </c>
    </row>
    <row r="11819" spans="2:37">
      <c r="B11819" s="834" t="str">
        <f t="shared" si="449"/>
        <v>|||</v>
      </c>
      <c r="H11819" s="835">
        <f t="shared" si="450"/>
        <v>31</v>
      </c>
      <c r="AF11819" s="831" t="s">
        <v>10786</v>
      </c>
      <c r="AG11819" s="831" t="s">
        <v>2674</v>
      </c>
      <c r="AH11819" s="831" t="s">
        <v>571</v>
      </c>
      <c r="AI11819" s="831">
        <v>0</v>
      </c>
      <c r="AJ11819" s="835">
        <v>41333</v>
      </c>
      <c r="AK11819" s="831">
        <v>192024019</v>
      </c>
    </row>
    <row r="11820" spans="2:37">
      <c r="B11820" s="834" t="str">
        <f t="shared" si="449"/>
        <v>|||</v>
      </c>
      <c r="H11820" s="835">
        <f t="shared" si="450"/>
        <v>31</v>
      </c>
      <c r="AF11820" s="831" t="s">
        <v>10787</v>
      </c>
      <c r="AG11820" s="831" t="s">
        <v>2674</v>
      </c>
      <c r="AH11820" s="831" t="s">
        <v>573</v>
      </c>
      <c r="AI11820" s="831">
        <v>0</v>
      </c>
      <c r="AJ11820" s="835">
        <v>41333</v>
      </c>
      <c r="AK11820" s="831">
        <v>516277615.33333331</v>
      </c>
    </row>
    <row r="11821" spans="2:37">
      <c r="B11821" s="834" t="str">
        <f t="shared" si="449"/>
        <v>|||</v>
      </c>
      <c r="H11821" s="835">
        <f t="shared" si="450"/>
        <v>31</v>
      </c>
      <c r="AF11821" s="831" t="s">
        <v>10788</v>
      </c>
      <c r="AG11821" s="831" t="s">
        <v>2674</v>
      </c>
      <c r="AH11821" s="831" t="s">
        <v>574</v>
      </c>
      <c r="AI11821" s="831">
        <v>0</v>
      </c>
      <c r="AJ11821" s="835">
        <v>41333</v>
      </c>
      <c r="AK11821" s="831">
        <v>423329336.66666669</v>
      </c>
    </row>
    <row r="11822" spans="2:37">
      <c r="B11822" s="834" t="str">
        <f t="shared" si="449"/>
        <v>|||</v>
      </c>
      <c r="H11822" s="835">
        <f t="shared" si="450"/>
        <v>31</v>
      </c>
      <c r="AF11822" s="831" t="s">
        <v>10789</v>
      </c>
      <c r="AG11822" s="831" t="s">
        <v>2674</v>
      </c>
      <c r="AH11822" s="831" t="s">
        <v>575</v>
      </c>
      <c r="AI11822" s="831">
        <v>0</v>
      </c>
      <c r="AJ11822" s="835">
        <v>41333</v>
      </c>
      <c r="AK11822" s="831">
        <v>98875722</v>
      </c>
    </row>
    <row r="11823" spans="2:37">
      <c r="B11823" s="834" t="str">
        <f t="shared" si="449"/>
        <v>|||</v>
      </c>
      <c r="H11823" s="835">
        <f t="shared" si="450"/>
        <v>31</v>
      </c>
      <c r="AF11823" s="831" t="s">
        <v>10790</v>
      </c>
      <c r="AG11823" s="831" t="s">
        <v>2674</v>
      </c>
      <c r="AH11823" s="831" t="s">
        <v>576</v>
      </c>
      <c r="AI11823" s="831">
        <v>0</v>
      </c>
      <c r="AJ11823" s="835">
        <v>41333</v>
      </c>
      <c r="AK11823" s="831">
        <v>233427024</v>
      </c>
    </row>
    <row r="11824" spans="2:37">
      <c r="B11824" s="834" t="str">
        <f t="shared" si="449"/>
        <v>|||</v>
      </c>
      <c r="H11824" s="835">
        <f t="shared" si="450"/>
        <v>31</v>
      </c>
      <c r="AF11824" s="831" t="s">
        <v>10791</v>
      </c>
      <c r="AG11824" s="831" t="s">
        <v>2674</v>
      </c>
      <c r="AH11824" s="831" t="s">
        <v>572</v>
      </c>
      <c r="AI11824" s="831">
        <v>0</v>
      </c>
      <c r="AJ11824" s="835">
        <v>41333</v>
      </c>
      <c r="AK11824" s="831">
        <v>-2146826246</v>
      </c>
    </row>
    <row r="11825" spans="2:37">
      <c r="B11825" s="834" t="str">
        <f t="shared" si="449"/>
        <v>|||</v>
      </c>
      <c r="H11825" s="835">
        <f t="shared" si="450"/>
        <v>31</v>
      </c>
      <c r="AF11825" s="831" t="s">
        <v>10792</v>
      </c>
      <c r="AG11825" s="831" t="s">
        <v>2674</v>
      </c>
      <c r="AH11825" s="831" t="s">
        <v>577</v>
      </c>
      <c r="AI11825" s="831">
        <v>0</v>
      </c>
      <c r="AJ11825" s="835">
        <v>41333</v>
      </c>
      <c r="AK11825" s="831">
        <v>-2146826246</v>
      </c>
    </row>
    <row r="11826" spans="2:37">
      <c r="B11826" s="834" t="str">
        <f t="shared" si="449"/>
        <v>|||</v>
      </c>
      <c r="H11826" s="835">
        <f t="shared" si="450"/>
        <v>31</v>
      </c>
      <c r="AF11826" s="831" t="s">
        <v>10793</v>
      </c>
      <c r="AG11826" s="831" t="s">
        <v>2674</v>
      </c>
      <c r="AH11826" s="831" t="s">
        <v>3042</v>
      </c>
      <c r="AI11826" s="831">
        <v>0</v>
      </c>
      <c r="AJ11826" s="835">
        <v>41333</v>
      </c>
      <c r="AK11826" s="831">
        <v>-2146826246</v>
      </c>
    </row>
    <row r="11827" spans="2:37">
      <c r="B11827" s="834" t="str">
        <f t="shared" si="449"/>
        <v>|||</v>
      </c>
      <c r="H11827" s="835">
        <f t="shared" si="450"/>
        <v>31</v>
      </c>
      <c r="AF11827" s="831" t="s">
        <v>10794</v>
      </c>
      <c r="AG11827" s="831" t="s">
        <v>2674</v>
      </c>
      <c r="AH11827" s="831" t="s">
        <v>3044</v>
      </c>
      <c r="AI11827" s="831">
        <v>0</v>
      </c>
      <c r="AJ11827" s="835">
        <v>41333</v>
      </c>
      <c r="AK11827" s="831">
        <v>-2146826246</v>
      </c>
    </row>
    <row r="11828" spans="2:37">
      <c r="B11828" s="834" t="str">
        <f t="shared" si="449"/>
        <v>|||</v>
      </c>
      <c r="H11828" s="835">
        <f t="shared" si="450"/>
        <v>31</v>
      </c>
      <c r="AF11828" s="831" t="s">
        <v>10795</v>
      </c>
      <c r="AG11828" s="831" t="s">
        <v>2674</v>
      </c>
      <c r="AH11828" s="831" t="s">
        <v>580</v>
      </c>
      <c r="AI11828" s="831">
        <v>0</v>
      </c>
      <c r="AJ11828" s="835">
        <v>41333</v>
      </c>
      <c r="AK11828" s="831">
        <v>-2146826246</v>
      </c>
    </row>
    <row r="11829" spans="2:37">
      <c r="B11829" s="834" t="str">
        <f t="shared" si="449"/>
        <v>|||</v>
      </c>
      <c r="H11829" s="835">
        <f t="shared" si="450"/>
        <v>31</v>
      </c>
      <c r="AF11829" s="831" t="s">
        <v>10796</v>
      </c>
      <c r="AG11829" s="831" t="s">
        <v>2674</v>
      </c>
      <c r="AH11829" s="831" t="s">
        <v>581</v>
      </c>
      <c r="AI11829" s="831">
        <v>0</v>
      </c>
      <c r="AJ11829" s="835">
        <v>41333</v>
      </c>
      <c r="AK11829" s="831">
        <v>-2146826246</v>
      </c>
    </row>
    <row r="11830" spans="2:37">
      <c r="B11830" s="834" t="str">
        <f t="shared" si="449"/>
        <v>|||</v>
      </c>
      <c r="H11830" s="835">
        <f t="shared" si="450"/>
        <v>31</v>
      </c>
      <c r="AF11830" s="831" t="s">
        <v>10797</v>
      </c>
      <c r="AG11830" s="831" t="s">
        <v>2674</v>
      </c>
      <c r="AH11830" s="831" t="s">
        <v>105</v>
      </c>
      <c r="AI11830" s="831">
        <v>0</v>
      </c>
      <c r="AJ11830" s="835">
        <v>41333</v>
      </c>
      <c r="AK11830" s="831">
        <v>232996335</v>
      </c>
    </row>
    <row r="11831" spans="2:37">
      <c r="B11831" s="834" t="str">
        <f t="shared" si="449"/>
        <v>|||</v>
      </c>
      <c r="H11831" s="835">
        <f t="shared" si="450"/>
        <v>31</v>
      </c>
      <c r="AF11831" s="831" t="s">
        <v>10798</v>
      </c>
      <c r="AG11831" s="831" t="s">
        <v>2674</v>
      </c>
      <c r="AH11831" s="831" t="s">
        <v>3049</v>
      </c>
      <c r="AI11831" s="831">
        <v>0</v>
      </c>
      <c r="AJ11831" s="835">
        <v>41333</v>
      </c>
      <c r="AK11831" s="831">
        <v>409742104</v>
      </c>
    </row>
    <row r="11832" spans="2:37">
      <c r="B11832" s="834" t="str">
        <f t="shared" si="449"/>
        <v>|||</v>
      </c>
      <c r="H11832" s="835">
        <f t="shared" si="450"/>
        <v>31</v>
      </c>
      <c r="AF11832" s="831" t="s">
        <v>10799</v>
      </c>
      <c r="AG11832" s="831" t="s">
        <v>2674</v>
      </c>
      <c r="AH11832" s="831" t="s">
        <v>103</v>
      </c>
      <c r="AI11832" s="831">
        <v>0</v>
      </c>
      <c r="AJ11832" s="835">
        <v>41333</v>
      </c>
      <c r="AK11832" s="831">
        <v>176745769</v>
      </c>
    </row>
    <row r="11833" spans="2:37">
      <c r="B11833" s="834" t="str">
        <f t="shared" si="449"/>
        <v>|||</v>
      </c>
      <c r="H11833" s="835">
        <f t="shared" si="450"/>
        <v>31</v>
      </c>
      <c r="AF11833" s="831" t="s">
        <v>10800</v>
      </c>
      <c r="AG11833" s="831" t="s">
        <v>2674</v>
      </c>
      <c r="AH11833" s="831" t="s">
        <v>182</v>
      </c>
      <c r="AI11833" s="831">
        <v>0</v>
      </c>
      <c r="AJ11833" s="835">
        <v>41333</v>
      </c>
      <c r="AK11833" s="831">
        <v>55637232</v>
      </c>
    </row>
    <row r="11834" spans="2:37">
      <c r="B11834" s="834" t="str">
        <f t="shared" si="449"/>
        <v>|||</v>
      </c>
      <c r="H11834" s="835">
        <f t="shared" si="450"/>
        <v>31</v>
      </c>
      <c r="AF11834" s="831" t="s">
        <v>10801</v>
      </c>
      <c r="AG11834" s="831" t="s">
        <v>2674</v>
      </c>
      <c r="AH11834" s="831" t="s">
        <v>6600</v>
      </c>
      <c r="AI11834" s="831">
        <v>0</v>
      </c>
      <c r="AJ11834" s="835">
        <v>41333</v>
      </c>
      <c r="AK11834" s="831">
        <v>-2146826246</v>
      </c>
    </row>
    <row r="11835" spans="2:37">
      <c r="B11835" s="834" t="str">
        <f t="shared" si="449"/>
        <v>|||</v>
      </c>
      <c r="H11835" s="835">
        <f t="shared" si="450"/>
        <v>31</v>
      </c>
      <c r="AF11835" s="831" t="s">
        <v>10802</v>
      </c>
      <c r="AG11835" s="831" t="s">
        <v>2674</v>
      </c>
      <c r="AH11835" s="831" t="s">
        <v>6602</v>
      </c>
      <c r="AI11835" s="831">
        <v>0</v>
      </c>
      <c r="AJ11835" s="835">
        <v>41333</v>
      </c>
      <c r="AK11835" s="831">
        <v>3817884</v>
      </c>
    </row>
    <row r="11836" spans="2:37">
      <c r="B11836" s="834" t="str">
        <f t="shared" si="449"/>
        <v>|||</v>
      </c>
      <c r="H11836" s="835">
        <f t="shared" si="450"/>
        <v>31</v>
      </c>
      <c r="AF11836" s="831" t="s">
        <v>10803</v>
      </c>
      <c r="AG11836" s="831" t="s">
        <v>2674</v>
      </c>
      <c r="AH11836" s="831" t="s">
        <v>650</v>
      </c>
      <c r="AI11836" s="831">
        <v>0</v>
      </c>
      <c r="AJ11836" s="835">
        <v>41333</v>
      </c>
      <c r="AK11836" s="831">
        <v>163723555.30000001</v>
      </c>
    </row>
    <row r="11837" spans="2:37">
      <c r="B11837" s="834" t="str">
        <f t="shared" si="449"/>
        <v>|||</v>
      </c>
      <c r="H11837" s="835">
        <f t="shared" si="450"/>
        <v>31</v>
      </c>
      <c r="AF11837" s="831" t="s">
        <v>10804</v>
      </c>
      <c r="AG11837" s="831" t="s">
        <v>2674</v>
      </c>
      <c r="AH11837" s="831" t="s">
        <v>655</v>
      </c>
      <c r="AI11837" s="831">
        <v>0</v>
      </c>
      <c r="AJ11837" s="835">
        <v>41333</v>
      </c>
      <c r="AK11837" s="831">
        <v>1851569</v>
      </c>
    </row>
    <row r="11838" spans="2:37">
      <c r="B11838" s="834" t="str">
        <f t="shared" si="449"/>
        <v>|||</v>
      </c>
      <c r="H11838" s="835">
        <f t="shared" si="450"/>
        <v>31</v>
      </c>
      <c r="AF11838" s="831" t="s">
        <v>10805</v>
      </c>
      <c r="AG11838" s="831" t="s">
        <v>2674</v>
      </c>
      <c r="AH11838" s="831" t="s">
        <v>546</v>
      </c>
      <c r="AI11838" s="831">
        <v>0</v>
      </c>
      <c r="AJ11838" s="835">
        <v>41364</v>
      </c>
      <c r="AK11838" s="831">
        <v>455655641</v>
      </c>
    </row>
    <row r="11839" spans="2:37">
      <c r="B11839" s="834" t="str">
        <f t="shared" si="449"/>
        <v>|||</v>
      </c>
      <c r="H11839" s="835">
        <f t="shared" si="450"/>
        <v>31</v>
      </c>
      <c r="AF11839" s="831" t="s">
        <v>10806</v>
      </c>
      <c r="AG11839" s="831" t="s">
        <v>2674</v>
      </c>
      <c r="AH11839" s="831" t="s">
        <v>370</v>
      </c>
      <c r="AI11839" s="831">
        <v>0</v>
      </c>
      <c r="AJ11839" s="835">
        <v>41364</v>
      </c>
      <c r="AK11839" s="831">
        <v>548973661</v>
      </c>
    </row>
    <row r="11840" spans="2:37">
      <c r="B11840" s="834" t="str">
        <f t="shared" si="449"/>
        <v>|||</v>
      </c>
      <c r="H11840" s="835">
        <f t="shared" si="450"/>
        <v>31</v>
      </c>
      <c r="AF11840" s="831" t="s">
        <v>10807</v>
      </c>
      <c r="AG11840" s="831" t="s">
        <v>2674</v>
      </c>
      <c r="AH11840" s="831" t="s">
        <v>126</v>
      </c>
      <c r="AI11840" s="831">
        <v>0</v>
      </c>
      <c r="AJ11840" s="835">
        <v>41364</v>
      </c>
      <c r="AK11840" s="831">
        <v>100809389</v>
      </c>
    </row>
    <row r="11841" spans="2:37">
      <c r="B11841" s="834" t="str">
        <f t="shared" si="449"/>
        <v>|||</v>
      </c>
      <c r="H11841" s="835">
        <f t="shared" si="450"/>
        <v>31</v>
      </c>
      <c r="AF11841" s="831" t="s">
        <v>10808</v>
      </c>
      <c r="AG11841" s="831" t="s">
        <v>2674</v>
      </c>
      <c r="AH11841" s="831" t="s">
        <v>268</v>
      </c>
      <c r="AI11841" s="831">
        <v>0</v>
      </c>
      <c r="AJ11841" s="835">
        <v>41364</v>
      </c>
      <c r="AK11841" s="831">
        <v>6046166</v>
      </c>
    </row>
    <row r="11842" spans="2:37">
      <c r="B11842" s="834" t="str">
        <f t="shared" si="449"/>
        <v>|||</v>
      </c>
      <c r="H11842" s="835">
        <f t="shared" si="450"/>
        <v>31</v>
      </c>
      <c r="AF11842" s="831" t="s">
        <v>10809</v>
      </c>
      <c r="AG11842" s="831" t="s">
        <v>2674</v>
      </c>
      <c r="AH11842" s="831" t="s">
        <v>547</v>
      </c>
      <c r="AI11842" s="831">
        <v>0</v>
      </c>
      <c r="AJ11842" s="835">
        <v>41364</v>
      </c>
      <c r="AK11842" s="831">
        <v>511487760</v>
      </c>
    </row>
    <row r="11843" spans="2:37">
      <c r="B11843" s="834" t="str">
        <f t="shared" si="449"/>
        <v>|||</v>
      </c>
      <c r="H11843" s="835">
        <f t="shared" si="450"/>
        <v>31</v>
      </c>
      <c r="AF11843" s="831" t="s">
        <v>10810</v>
      </c>
      <c r="AG11843" s="831" t="s">
        <v>2674</v>
      </c>
      <c r="AH11843" s="831" t="s">
        <v>548</v>
      </c>
      <c r="AI11843" s="831">
        <v>0</v>
      </c>
      <c r="AJ11843" s="835">
        <v>41364</v>
      </c>
      <c r="AK11843" s="831">
        <v>96883184</v>
      </c>
    </row>
    <row r="11844" spans="2:37">
      <c r="B11844" s="834" t="str">
        <f t="shared" si="449"/>
        <v>|||</v>
      </c>
      <c r="H11844" s="835">
        <f t="shared" si="450"/>
        <v>31</v>
      </c>
      <c r="AF11844" s="831" t="s">
        <v>10811</v>
      </c>
      <c r="AG11844" s="831" t="s">
        <v>2674</v>
      </c>
      <c r="AH11844" s="831" t="s">
        <v>549</v>
      </c>
      <c r="AI11844" s="831">
        <v>0</v>
      </c>
      <c r="AJ11844" s="835">
        <v>41364</v>
      </c>
      <c r="AK11844" s="831">
        <v>0</v>
      </c>
    </row>
    <row r="11845" spans="2:37">
      <c r="B11845" s="834" t="str">
        <f t="shared" si="449"/>
        <v>|||</v>
      </c>
      <c r="H11845" s="835">
        <f t="shared" si="450"/>
        <v>31</v>
      </c>
      <c r="AF11845" s="831" t="s">
        <v>10812</v>
      </c>
      <c r="AG11845" s="831" t="s">
        <v>2674</v>
      </c>
      <c r="AH11845" s="831" t="s">
        <v>192</v>
      </c>
      <c r="AI11845" s="831">
        <v>0</v>
      </c>
      <c r="AJ11845" s="835">
        <v>41364</v>
      </c>
      <c r="AK11845" s="831">
        <v>-11725074</v>
      </c>
    </row>
    <row r="11846" spans="2:37">
      <c r="B11846" s="834" t="str">
        <f t="shared" si="449"/>
        <v>|||</v>
      </c>
      <c r="H11846" s="835">
        <f t="shared" si="450"/>
        <v>31</v>
      </c>
      <c r="AF11846" s="831" t="s">
        <v>10813</v>
      </c>
      <c r="AG11846" s="831" t="s">
        <v>2674</v>
      </c>
      <c r="AH11846" s="831" t="s">
        <v>558</v>
      </c>
      <c r="AI11846" s="831">
        <v>0</v>
      </c>
      <c r="AJ11846" s="835">
        <v>41364</v>
      </c>
      <c r="AK11846" s="831">
        <v>448164272</v>
      </c>
    </row>
    <row r="11847" spans="2:37">
      <c r="B11847" s="834" t="str">
        <f t="shared" si="449"/>
        <v>|||</v>
      </c>
      <c r="H11847" s="835">
        <f t="shared" si="450"/>
        <v>31</v>
      </c>
      <c r="AF11847" s="831" t="s">
        <v>10814</v>
      </c>
      <c r="AG11847" s="831" t="s">
        <v>2674</v>
      </c>
      <c r="AH11847" s="831" t="s">
        <v>65</v>
      </c>
      <c r="AI11847" s="831">
        <v>0</v>
      </c>
      <c r="AJ11847" s="835">
        <v>41364</v>
      </c>
      <c r="AK11847" s="831">
        <v>27883165</v>
      </c>
    </row>
    <row r="11848" spans="2:37">
      <c r="B11848" s="834" t="str">
        <f t="shared" si="449"/>
        <v>|||</v>
      </c>
      <c r="H11848" s="835">
        <f t="shared" si="450"/>
        <v>31</v>
      </c>
      <c r="AF11848" s="831" t="s">
        <v>10815</v>
      </c>
      <c r="AG11848" s="831" t="s">
        <v>2674</v>
      </c>
      <c r="AH11848" s="831" t="s">
        <v>89</v>
      </c>
      <c r="AI11848" s="831">
        <v>0</v>
      </c>
      <c r="AJ11848" s="835">
        <v>41364</v>
      </c>
      <c r="AK11848" s="831">
        <v>129296</v>
      </c>
    </row>
    <row r="11849" spans="2:37">
      <c r="B11849" s="834" t="str">
        <f t="shared" si="449"/>
        <v>|||</v>
      </c>
      <c r="H11849" s="835">
        <f t="shared" si="450"/>
        <v>31</v>
      </c>
      <c r="AF11849" s="831" t="s">
        <v>10816</v>
      </c>
      <c r="AG11849" s="831" t="s">
        <v>2674</v>
      </c>
      <c r="AH11849" s="831" t="s">
        <v>557</v>
      </c>
      <c r="AI11849" s="831">
        <v>0</v>
      </c>
      <c r="AJ11849" s="835">
        <v>41364</v>
      </c>
      <c r="AK11849" s="831">
        <v>133005</v>
      </c>
    </row>
    <row r="11850" spans="2:37">
      <c r="B11850" s="834" t="str">
        <f t="shared" si="449"/>
        <v>|||</v>
      </c>
      <c r="H11850" s="835">
        <f t="shared" si="450"/>
        <v>31</v>
      </c>
      <c r="AF11850" s="831" t="s">
        <v>10817</v>
      </c>
      <c r="AG11850" s="831" t="s">
        <v>2674</v>
      </c>
      <c r="AH11850" s="831" t="s">
        <v>29</v>
      </c>
      <c r="AI11850" s="831">
        <v>0</v>
      </c>
      <c r="AJ11850" s="835">
        <v>41364</v>
      </c>
      <c r="AK11850" s="831">
        <v>2674773</v>
      </c>
    </row>
    <row r="11851" spans="2:37">
      <c r="B11851" s="834" t="str">
        <f t="shared" si="449"/>
        <v>|||</v>
      </c>
      <c r="H11851" s="835">
        <f t="shared" si="450"/>
        <v>31</v>
      </c>
      <c r="AF11851" s="831" t="s">
        <v>10818</v>
      </c>
      <c r="AG11851" s="831" t="s">
        <v>2674</v>
      </c>
      <c r="AH11851" s="831" t="s">
        <v>2688</v>
      </c>
      <c r="AI11851" s="831">
        <v>0</v>
      </c>
      <c r="AJ11851" s="835">
        <v>41364</v>
      </c>
      <c r="AK11851" s="831">
        <v>2715490</v>
      </c>
    </row>
    <row r="11852" spans="2:37">
      <c r="B11852" s="834" t="str">
        <f t="shared" si="449"/>
        <v>|||</v>
      </c>
      <c r="H11852" s="835">
        <f t="shared" si="450"/>
        <v>31</v>
      </c>
      <c r="AF11852" s="831" t="s">
        <v>10819</v>
      </c>
      <c r="AG11852" s="831" t="s">
        <v>2674</v>
      </c>
      <c r="AH11852" s="831" t="s">
        <v>556</v>
      </c>
      <c r="AI11852" s="831">
        <v>0</v>
      </c>
      <c r="AJ11852" s="835">
        <v>41364</v>
      </c>
      <c r="AK11852" s="831">
        <v>902857</v>
      </c>
    </row>
    <row r="11853" spans="2:37">
      <c r="B11853" s="834" t="str">
        <f t="shared" si="449"/>
        <v>|||</v>
      </c>
      <c r="H11853" s="835">
        <f t="shared" si="450"/>
        <v>31</v>
      </c>
      <c r="AF11853" s="831" t="s">
        <v>10820</v>
      </c>
      <c r="AG11853" s="831" t="s">
        <v>2674</v>
      </c>
      <c r="AH11853" s="831" t="s">
        <v>555</v>
      </c>
      <c r="AI11853" s="831">
        <v>0</v>
      </c>
      <c r="AJ11853" s="835">
        <v>41364</v>
      </c>
      <c r="AK11853" s="831">
        <v>285158930</v>
      </c>
    </row>
    <row r="11854" spans="2:37">
      <c r="B11854" s="834" t="str">
        <f t="shared" si="449"/>
        <v>|||</v>
      </c>
      <c r="H11854" s="835">
        <f t="shared" si="450"/>
        <v>31</v>
      </c>
      <c r="AF11854" s="831" t="s">
        <v>10821</v>
      </c>
      <c r="AG11854" s="831" t="s">
        <v>2674</v>
      </c>
      <c r="AH11854" s="831" t="s">
        <v>554</v>
      </c>
      <c r="AI11854" s="831">
        <v>0</v>
      </c>
      <c r="AJ11854" s="835">
        <v>41364</v>
      </c>
      <c r="AK11854" s="831">
        <v>281381290</v>
      </c>
    </row>
    <row r="11855" spans="2:37">
      <c r="B11855" s="834" t="str">
        <f t="shared" si="449"/>
        <v>|||</v>
      </c>
      <c r="H11855" s="835">
        <f t="shared" si="450"/>
        <v>31</v>
      </c>
      <c r="AF11855" s="831" t="s">
        <v>10822</v>
      </c>
      <c r="AG11855" s="831" t="s">
        <v>2674</v>
      </c>
      <c r="AH11855" s="831" t="s">
        <v>553</v>
      </c>
      <c r="AI11855" s="831">
        <v>0</v>
      </c>
      <c r="AJ11855" s="835">
        <v>41364</v>
      </c>
      <c r="AK11855" s="831">
        <v>0</v>
      </c>
    </row>
    <row r="11856" spans="2:37">
      <c r="B11856" s="834" t="str">
        <f t="shared" si="449"/>
        <v>|||</v>
      </c>
      <c r="H11856" s="835">
        <f t="shared" si="450"/>
        <v>31</v>
      </c>
      <c r="AF11856" s="831" t="s">
        <v>10823</v>
      </c>
      <c r="AG11856" s="831" t="s">
        <v>2674</v>
      </c>
      <c r="AH11856" s="831" t="s">
        <v>552</v>
      </c>
      <c r="AI11856" s="831">
        <v>0</v>
      </c>
      <c r="AJ11856" s="835">
        <v>41364</v>
      </c>
      <c r="AK11856" s="831">
        <v>0</v>
      </c>
    </row>
    <row r="11857" spans="2:37">
      <c r="B11857" s="834" t="str">
        <f t="shared" ref="B11857:B11920" si="451">C11857&amp;"|"&amp;D11857&amp;"|"&amp;E11857&amp;"|"&amp;F11857</f>
        <v>|||</v>
      </c>
      <c r="H11857" s="835">
        <f t="shared" ref="H11857:H11920" si="452">EOMONTH(L11857,0)</f>
        <v>31</v>
      </c>
      <c r="AF11857" s="831" t="s">
        <v>10824</v>
      </c>
      <c r="AG11857" s="831" t="s">
        <v>2674</v>
      </c>
      <c r="AH11857" s="831" t="s">
        <v>551</v>
      </c>
      <c r="AI11857" s="831">
        <v>0</v>
      </c>
      <c r="AJ11857" s="835">
        <v>41364</v>
      </c>
      <c r="AK11857" s="831">
        <v>2175856</v>
      </c>
    </row>
    <row r="11858" spans="2:37">
      <c r="B11858" s="834" t="str">
        <f t="shared" si="451"/>
        <v>|||</v>
      </c>
      <c r="H11858" s="835">
        <f t="shared" si="452"/>
        <v>31</v>
      </c>
      <c r="AF11858" s="831" t="s">
        <v>10825</v>
      </c>
      <c r="AG11858" s="831" t="s">
        <v>2674</v>
      </c>
      <c r="AH11858" s="831" t="s">
        <v>550</v>
      </c>
      <c r="AI11858" s="831">
        <v>0</v>
      </c>
      <c r="AJ11858" s="835">
        <v>41364</v>
      </c>
      <c r="AK11858" s="831">
        <v>98581107</v>
      </c>
    </row>
    <row r="11859" spans="2:37">
      <c r="B11859" s="834" t="str">
        <f t="shared" si="451"/>
        <v>|||</v>
      </c>
      <c r="H11859" s="835">
        <f t="shared" si="452"/>
        <v>31</v>
      </c>
      <c r="AF11859" s="831" t="s">
        <v>10826</v>
      </c>
      <c r="AG11859" s="831" t="s">
        <v>2674</v>
      </c>
      <c r="AH11859" s="831" t="s">
        <v>562</v>
      </c>
      <c r="AI11859" s="831">
        <v>0</v>
      </c>
      <c r="AJ11859" s="835">
        <v>41364</v>
      </c>
      <c r="AK11859" s="831">
        <v>0.78425</v>
      </c>
    </row>
    <row r="11860" spans="2:37">
      <c r="B11860" s="834" t="str">
        <f t="shared" si="451"/>
        <v>|||</v>
      </c>
      <c r="H11860" s="835">
        <f t="shared" si="452"/>
        <v>31</v>
      </c>
      <c r="AF11860" s="831" t="s">
        <v>10827</v>
      </c>
      <c r="AG11860" s="831" t="s">
        <v>2674</v>
      </c>
      <c r="AH11860" s="831" t="s">
        <v>2698</v>
      </c>
      <c r="AI11860" s="831">
        <v>0</v>
      </c>
      <c r="AJ11860" s="835">
        <v>41364</v>
      </c>
      <c r="AK11860" s="831">
        <v>0.78434999999999999</v>
      </c>
    </row>
    <row r="11861" spans="2:37">
      <c r="B11861" s="834" t="str">
        <f t="shared" si="451"/>
        <v>|||</v>
      </c>
      <c r="H11861" s="835">
        <f t="shared" si="452"/>
        <v>31</v>
      </c>
      <c r="AF11861" s="831" t="s">
        <v>10828</v>
      </c>
      <c r="AG11861" s="831" t="s">
        <v>2674</v>
      </c>
      <c r="AH11861" s="831" t="s">
        <v>560</v>
      </c>
      <c r="AI11861" s="831">
        <v>0</v>
      </c>
      <c r="AJ11861" s="835">
        <v>41364</v>
      </c>
      <c r="AK11861" s="831">
        <v>0.78415000000000001</v>
      </c>
    </row>
    <row r="11862" spans="2:37">
      <c r="B11862" s="834" t="str">
        <f t="shared" si="451"/>
        <v>|||</v>
      </c>
      <c r="H11862" s="835">
        <f t="shared" si="452"/>
        <v>31</v>
      </c>
      <c r="AF11862" s="831" t="s">
        <v>10829</v>
      </c>
      <c r="AG11862" s="831" t="s">
        <v>2674</v>
      </c>
      <c r="AH11862" s="831" t="s">
        <v>559</v>
      </c>
      <c r="AI11862" s="831">
        <v>0</v>
      </c>
      <c r="AJ11862" s="835">
        <v>41364</v>
      </c>
      <c r="AK11862" s="831">
        <v>0.78459166666666669</v>
      </c>
    </row>
    <row r="11863" spans="2:37">
      <c r="B11863" s="834" t="str">
        <f t="shared" si="451"/>
        <v>|||</v>
      </c>
      <c r="H11863" s="835">
        <f t="shared" si="452"/>
        <v>31</v>
      </c>
      <c r="AF11863" s="831" t="s">
        <v>10830</v>
      </c>
      <c r="AG11863" s="831" t="s">
        <v>2674</v>
      </c>
      <c r="AH11863" s="831" t="s">
        <v>568</v>
      </c>
      <c r="AI11863" s="831">
        <v>0</v>
      </c>
      <c r="AJ11863" s="835">
        <v>41364</v>
      </c>
      <c r="AK11863" s="831">
        <v>387042366</v>
      </c>
    </row>
    <row r="11864" spans="2:37">
      <c r="B11864" s="834" t="str">
        <f t="shared" si="451"/>
        <v>|||</v>
      </c>
      <c r="H11864" s="835">
        <f t="shared" si="452"/>
        <v>31</v>
      </c>
      <c r="AF11864" s="831" t="s">
        <v>10831</v>
      </c>
      <c r="AG11864" s="831" t="s">
        <v>2674</v>
      </c>
      <c r="AH11864" s="831" t="s">
        <v>569</v>
      </c>
      <c r="AI11864" s="831">
        <v>0</v>
      </c>
      <c r="AJ11864" s="835">
        <v>41364</v>
      </c>
      <c r="AK11864" s="831">
        <v>472896677.63636363</v>
      </c>
    </row>
    <row r="11865" spans="2:37">
      <c r="B11865" s="834" t="str">
        <f t="shared" si="451"/>
        <v>|||</v>
      </c>
      <c r="H11865" s="835">
        <f t="shared" si="452"/>
        <v>31</v>
      </c>
      <c r="AF11865" s="831" t="s">
        <v>10832</v>
      </c>
      <c r="AG11865" s="831" t="s">
        <v>2674</v>
      </c>
      <c r="AH11865" s="831" t="s">
        <v>570</v>
      </c>
      <c r="AI11865" s="831">
        <v>0</v>
      </c>
      <c r="AJ11865" s="835">
        <v>41364</v>
      </c>
      <c r="AK11865" s="831">
        <v>97015572.090909094</v>
      </c>
    </row>
    <row r="11866" spans="2:37">
      <c r="B11866" s="834" t="str">
        <f t="shared" si="451"/>
        <v>|||</v>
      </c>
      <c r="H11866" s="835">
        <f t="shared" si="452"/>
        <v>31</v>
      </c>
      <c r="AF11866" s="831" t="s">
        <v>10833</v>
      </c>
      <c r="AG11866" s="831" t="s">
        <v>2674</v>
      </c>
      <c r="AH11866" s="831" t="s">
        <v>571</v>
      </c>
      <c r="AI11866" s="831">
        <v>0</v>
      </c>
      <c r="AJ11866" s="835">
        <v>41364</v>
      </c>
      <c r="AK11866" s="831">
        <v>197450778.09090909</v>
      </c>
    </row>
    <row r="11867" spans="2:37">
      <c r="B11867" s="834" t="str">
        <f t="shared" si="451"/>
        <v>|||</v>
      </c>
      <c r="H11867" s="835">
        <f t="shared" si="452"/>
        <v>31</v>
      </c>
      <c r="AF11867" s="831" t="s">
        <v>10834</v>
      </c>
      <c r="AG11867" s="831" t="s">
        <v>2674</v>
      </c>
      <c r="AH11867" s="831" t="s">
        <v>573</v>
      </c>
      <c r="AI11867" s="831">
        <v>0</v>
      </c>
      <c r="AJ11867" s="835">
        <v>41364</v>
      </c>
      <c r="AK11867" s="831">
        <v>524451626.75</v>
      </c>
    </row>
    <row r="11868" spans="2:37">
      <c r="B11868" s="834" t="str">
        <f t="shared" si="451"/>
        <v>|||</v>
      </c>
      <c r="H11868" s="835">
        <f t="shared" si="452"/>
        <v>31</v>
      </c>
      <c r="AF11868" s="831" t="s">
        <v>10835</v>
      </c>
      <c r="AG11868" s="831" t="s">
        <v>2674</v>
      </c>
      <c r="AH11868" s="831" t="s">
        <v>574</v>
      </c>
      <c r="AI11868" s="831">
        <v>0</v>
      </c>
      <c r="AJ11868" s="835">
        <v>41364</v>
      </c>
      <c r="AK11868" s="831">
        <v>431410912.75</v>
      </c>
    </row>
    <row r="11869" spans="2:37">
      <c r="B11869" s="834" t="str">
        <f t="shared" si="451"/>
        <v>|||</v>
      </c>
      <c r="H11869" s="835">
        <f t="shared" si="452"/>
        <v>31</v>
      </c>
      <c r="AF11869" s="831" t="s">
        <v>10836</v>
      </c>
      <c r="AG11869" s="831" t="s">
        <v>2674</v>
      </c>
      <c r="AH11869" s="831" t="s">
        <v>575</v>
      </c>
      <c r="AI11869" s="831">
        <v>0</v>
      </c>
      <c r="AJ11869" s="835">
        <v>41364</v>
      </c>
      <c r="AK11869" s="831">
        <v>99359138.75</v>
      </c>
    </row>
    <row r="11870" spans="2:37">
      <c r="B11870" s="834" t="str">
        <f t="shared" si="451"/>
        <v>|||</v>
      </c>
      <c r="H11870" s="835">
        <f t="shared" si="452"/>
        <v>31</v>
      </c>
      <c r="AF11870" s="831" t="s">
        <v>10837</v>
      </c>
      <c r="AG11870" s="831" t="s">
        <v>2674</v>
      </c>
      <c r="AH11870" s="831" t="s">
        <v>576</v>
      </c>
      <c r="AI11870" s="831">
        <v>0</v>
      </c>
      <c r="AJ11870" s="835">
        <v>41364</v>
      </c>
      <c r="AK11870" s="831">
        <v>237999860.25</v>
      </c>
    </row>
    <row r="11871" spans="2:37">
      <c r="B11871" s="834" t="str">
        <f t="shared" si="451"/>
        <v>|||</v>
      </c>
      <c r="H11871" s="835">
        <f t="shared" si="452"/>
        <v>31</v>
      </c>
      <c r="AF11871" s="831" t="s">
        <v>10838</v>
      </c>
      <c r="AG11871" s="831" t="s">
        <v>2674</v>
      </c>
      <c r="AH11871" s="831" t="s">
        <v>572</v>
      </c>
      <c r="AI11871" s="831">
        <v>0</v>
      </c>
      <c r="AJ11871" s="835">
        <v>41364</v>
      </c>
      <c r="AK11871" s="831">
        <v>-2146826246</v>
      </c>
    </row>
    <row r="11872" spans="2:37">
      <c r="B11872" s="834" t="str">
        <f t="shared" si="451"/>
        <v>|||</v>
      </c>
      <c r="H11872" s="835">
        <f t="shared" si="452"/>
        <v>31</v>
      </c>
      <c r="AF11872" s="831" t="s">
        <v>10839</v>
      </c>
      <c r="AG11872" s="831" t="s">
        <v>2674</v>
      </c>
      <c r="AH11872" s="831" t="s">
        <v>577</v>
      </c>
      <c r="AI11872" s="831">
        <v>0</v>
      </c>
      <c r="AJ11872" s="835">
        <v>41364</v>
      </c>
      <c r="AK11872" s="831">
        <v>-2146826246</v>
      </c>
    </row>
    <row r="11873" spans="2:37">
      <c r="B11873" s="834" t="str">
        <f t="shared" si="451"/>
        <v>|||</v>
      </c>
      <c r="H11873" s="835">
        <f t="shared" si="452"/>
        <v>31</v>
      </c>
      <c r="AF11873" s="831" t="s">
        <v>10840</v>
      </c>
      <c r="AG11873" s="831" t="s">
        <v>2674</v>
      </c>
      <c r="AH11873" s="831" t="s">
        <v>3042</v>
      </c>
      <c r="AI11873" s="831">
        <v>0</v>
      </c>
      <c r="AJ11873" s="835">
        <v>41364</v>
      </c>
      <c r="AK11873" s="831">
        <v>-2146826246</v>
      </c>
    </row>
    <row r="11874" spans="2:37">
      <c r="B11874" s="834" t="str">
        <f t="shared" si="451"/>
        <v>|||</v>
      </c>
      <c r="H11874" s="835">
        <f t="shared" si="452"/>
        <v>31</v>
      </c>
      <c r="AF11874" s="831" t="s">
        <v>10841</v>
      </c>
      <c r="AG11874" s="831" t="s">
        <v>2674</v>
      </c>
      <c r="AH11874" s="831" t="s">
        <v>3044</v>
      </c>
      <c r="AI11874" s="831">
        <v>0</v>
      </c>
      <c r="AJ11874" s="835">
        <v>41364</v>
      </c>
      <c r="AK11874" s="831">
        <v>-2146826246</v>
      </c>
    </row>
    <row r="11875" spans="2:37">
      <c r="B11875" s="834" t="str">
        <f t="shared" si="451"/>
        <v>|||</v>
      </c>
      <c r="H11875" s="835">
        <f t="shared" si="452"/>
        <v>31</v>
      </c>
      <c r="AF11875" s="831" t="s">
        <v>10842</v>
      </c>
      <c r="AG11875" s="831" t="s">
        <v>2674</v>
      </c>
      <c r="AH11875" s="831" t="s">
        <v>580</v>
      </c>
      <c r="AI11875" s="831">
        <v>0</v>
      </c>
      <c r="AJ11875" s="835">
        <v>41364</v>
      </c>
      <c r="AK11875" s="831">
        <v>-2146826246</v>
      </c>
    </row>
    <row r="11876" spans="2:37">
      <c r="B11876" s="834" t="str">
        <f t="shared" si="451"/>
        <v>|||</v>
      </c>
      <c r="H11876" s="835">
        <f t="shared" si="452"/>
        <v>31</v>
      </c>
      <c r="AF11876" s="831" t="s">
        <v>10843</v>
      </c>
      <c r="AG11876" s="831" t="s">
        <v>2674</v>
      </c>
      <c r="AH11876" s="831" t="s">
        <v>581</v>
      </c>
      <c r="AI11876" s="831">
        <v>0</v>
      </c>
      <c r="AJ11876" s="835">
        <v>41364</v>
      </c>
      <c r="AK11876" s="831">
        <v>-2146826246</v>
      </c>
    </row>
    <row r="11877" spans="2:37">
      <c r="B11877" s="834" t="str">
        <f t="shared" si="451"/>
        <v>|||</v>
      </c>
      <c r="H11877" s="835">
        <f t="shared" si="452"/>
        <v>31</v>
      </c>
      <c r="AF11877" s="831" t="s">
        <v>10844</v>
      </c>
      <c r="AG11877" s="831" t="s">
        <v>2674</v>
      </c>
      <c r="AH11877" s="831" t="s">
        <v>105</v>
      </c>
      <c r="AI11877" s="831">
        <v>0</v>
      </c>
      <c r="AJ11877" s="835">
        <v>41364</v>
      </c>
      <c r="AK11877" s="831">
        <v>251718369</v>
      </c>
    </row>
    <row r="11878" spans="2:37">
      <c r="B11878" s="834" t="str">
        <f t="shared" si="451"/>
        <v>|||</v>
      </c>
      <c r="H11878" s="835">
        <f t="shared" si="452"/>
        <v>31</v>
      </c>
      <c r="AF11878" s="831" t="s">
        <v>10845</v>
      </c>
      <c r="AG11878" s="831" t="s">
        <v>2674</v>
      </c>
      <c r="AH11878" s="831" t="s">
        <v>3049</v>
      </c>
      <c r="AI11878" s="831">
        <v>0</v>
      </c>
      <c r="AJ11878" s="835">
        <v>41364</v>
      </c>
      <c r="AK11878" s="831">
        <v>433573874</v>
      </c>
    </row>
    <row r="11879" spans="2:37">
      <c r="B11879" s="834" t="str">
        <f t="shared" si="451"/>
        <v>|||</v>
      </c>
      <c r="H11879" s="835">
        <f t="shared" si="452"/>
        <v>31</v>
      </c>
      <c r="AF11879" s="831" t="s">
        <v>10846</v>
      </c>
      <c r="AG11879" s="831" t="s">
        <v>2674</v>
      </c>
      <c r="AH11879" s="831" t="s">
        <v>103</v>
      </c>
      <c r="AI11879" s="831">
        <v>0</v>
      </c>
      <c r="AJ11879" s="835">
        <v>41364</v>
      </c>
      <c r="AK11879" s="831">
        <v>181855505</v>
      </c>
    </row>
    <row r="11880" spans="2:37">
      <c r="B11880" s="834" t="str">
        <f t="shared" si="451"/>
        <v>|||</v>
      </c>
      <c r="H11880" s="835">
        <f t="shared" si="452"/>
        <v>31</v>
      </c>
      <c r="AF11880" s="831" t="s">
        <v>10847</v>
      </c>
      <c r="AG11880" s="831" t="s">
        <v>2674</v>
      </c>
      <c r="AH11880" s="831" t="s">
        <v>182</v>
      </c>
      <c r="AI11880" s="831">
        <v>0</v>
      </c>
      <c r="AJ11880" s="835">
        <v>41364</v>
      </c>
      <c r="AK11880" s="831">
        <v>54931936</v>
      </c>
    </row>
    <row r="11881" spans="2:37">
      <c r="B11881" s="834" t="str">
        <f t="shared" si="451"/>
        <v>|||</v>
      </c>
      <c r="H11881" s="835">
        <f t="shared" si="452"/>
        <v>31</v>
      </c>
      <c r="AF11881" s="831" t="s">
        <v>10848</v>
      </c>
      <c r="AG11881" s="831" t="s">
        <v>2674</v>
      </c>
      <c r="AH11881" s="831" t="s">
        <v>6600</v>
      </c>
      <c r="AI11881" s="831">
        <v>0</v>
      </c>
      <c r="AJ11881" s="835">
        <v>41364</v>
      </c>
      <c r="AK11881" s="831">
        <v>-2146826246</v>
      </c>
    </row>
    <row r="11882" spans="2:37">
      <c r="B11882" s="834" t="str">
        <f t="shared" si="451"/>
        <v>|||</v>
      </c>
      <c r="H11882" s="835">
        <f t="shared" si="452"/>
        <v>31</v>
      </c>
      <c r="AF11882" s="831" t="s">
        <v>10849</v>
      </c>
      <c r="AG11882" s="831" t="s">
        <v>2674</v>
      </c>
      <c r="AH11882" s="831" t="s">
        <v>6602</v>
      </c>
      <c r="AI11882" s="831">
        <v>0</v>
      </c>
      <c r="AJ11882" s="835">
        <v>41364</v>
      </c>
      <c r="AK11882" s="831">
        <v>6046166</v>
      </c>
    </row>
    <row r="11883" spans="2:37">
      <c r="B11883" s="834" t="str">
        <f t="shared" si="451"/>
        <v>|||</v>
      </c>
      <c r="H11883" s="835">
        <f t="shared" si="452"/>
        <v>31</v>
      </c>
      <c r="AF11883" s="831" t="s">
        <v>10850</v>
      </c>
      <c r="AG11883" s="831" t="s">
        <v>2674</v>
      </c>
      <c r="AH11883" s="831" t="s">
        <v>650</v>
      </c>
      <c r="AI11883" s="831">
        <v>0</v>
      </c>
      <c r="AJ11883" s="835">
        <v>41364</v>
      </c>
      <c r="AK11883" s="831">
        <v>165371914.36363637</v>
      </c>
    </row>
    <row r="11884" spans="2:37">
      <c r="B11884" s="834" t="str">
        <f t="shared" si="451"/>
        <v>|||</v>
      </c>
      <c r="H11884" s="835">
        <f t="shared" si="452"/>
        <v>31</v>
      </c>
      <c r="AF11884" s="831" t="s">
        <v>10851</v>
      </c>
      <c r="AG11884" s="831" t="s">
        <v>2674</v>
      </c>
      <c r="AH11884" s="831" t="s">
        <v>655</v>
      </c>
      <c r="AI11884" s="831">
        <v>0</v>
      </c>
      <c r="AJ11884" s="835">
        <v>41364</v>
      </c>
      <c r="AK11884" s="831">
        <v>1831184</v>
      </c>
    </row>
    <row r="11885" spans="2:37">
      <c r="B11885" s="834" t="str">
        <f t="shared" si="451"/>
        <v>|||</v>
      </c>
      <c r="H11885" s="835">
        <f t="shared" si="452"/>
        <v>31</v>
      </c>
      <c r="AF11885" s="831" t="s">
        <v>10852</v>
      </c>
      <c r="AG11885" s="831" t="s">
        <v>2674</v>
      </c>
      <c r="AH11885" s="831" t="s">
        <v>546</v>
      </c>
      <c r="AI11885" s="831">
        <v>0</v>
      </c>
      <c r="AJ11885" s="835">
        <v>41394</v>
      </c>
      <c r="AK11885" s="831">
        <v>479771222</v>
      </c>
    </row>
    <row r="11886" spans="2:37">
      <c r="B11886" s="834" t="str">
        <f t="shared" si="451"/>
        <v>|||</v>
      </c>
      <c r="H11886" s="835">
        <f t="shared" si="452"/>
        <v>31</v>
      </c>
      <c r="AF11886" s="831" t="s">
        <v>10853</v>
      </c>
      <c r="AG11886" s="831" t="s">
        <v>2674</v>
      </c>
      <c r="AH11886" s="831" t="s">
        <v>370</v>
      </c>
      <c r="AI11886" s="831">
        <v>0</v>
      </c>
      <c r="AJ11886" s="835">
        <v>41394</v>
      </c>
      <c r="AK11886" s="831">
        <v>566329383</v>
      </c>
    </row>
    <row r="11887" spans="2:37">
      <c r="B11887" s="834" t="str">
        <f t="shared" si="451"/>
        <v>|||</v>
      </c>
      <c r="H11887" s="835">
        <f t="shared" si="452"/>
        <v>31</v>
      </c>
      <c r="AF11887" s="831" t="s">
        <v>10854</v>
      </c>
      <c r="AG11887" s="831" t="s">
        <v>2674</v>
      </c>
      <c r="AH11887" s="831" t="s">
        <v>126</v>
      </c>
      <c r="AI11887" s="831">
        <v>0</v>
      </c>
      <c r="AJ11887" s="835">
        <v>41394</v>
      </c>
      <c r="AK11887" s="831">
        <v>103327866</v>
      </c>
    </row>
    <row r="11888" spans="2:37">
      <c r="B11888" s="834" t="str">
        <f t="shared" si="451"/>
        <v>|||</v>
      </c>
      <c r="H11888" s="835">
        <f t="shared" si="452"/>
        <v>31</v>
      </c>
      <c r="AF11888" s="831" t="s">
        <v>10855</v>
      </c>
      <c r="AG11888" s="831" t="s">
        <v>2674</v>
      </c>
      <c r="AH11888" s="831" t="s">
        <v>268</v>
      </c>
      <c r="AI11888" s="831">
        <v>0</v>
      </c>
      <c r="AJ11888" s="835">
        <v>41394</v>
      </c>
      <c r="AK11888" s="831">
        <v>8564643</v>
      </c>
    </row>
    <row r="11889" spans="2:37">
      <c r="B11889" s="834" t="str">
        <f t="shared" si="451"/>
        <v>|||</v>
      </c>
      <c r="H11889" s="835">
        <f t="shared" si="452"/>
        <v>31</v>
      </c>
      <c r="AF11889" s="831" t="s">
        <v>10856</v>
      </c>
      <c r="AG11889" s="831" t="s">
        <v>2674</v>
      </c>
      <c r="AH11889" s="831" t="s">
        <v>547</v>
      </c>
      <c r="AI11889" s="831">
        <v>0</v>
      </c>
      <c r="AJ11889" s="835">
        <v>41394</v>
      </c>
      <c r="AK11889" s="831">
        <v>511487760</v>
      </c>
    </row>
    <row r="11890" spans="2:37">
      <c r="B11890" s="834" t="str">
        <f t="shared" si="451"/>
        <v>|||</v>
      </c>
      <c r="H11890" s="835">
        <f t="shared" si="452"/>
        <v>31</v>
      </c>
      <c r="AF11890" s="831" t="s">
        <v>10857</v>
      </c>
      <c r="AG11890" s="831" t="s">
        <v>2674</v>
      </c>
      <c r="AH11890" s="831" t="s">
        <v>548</v>
      </c>
      <c r="AI11890" s="831">
        <v>0</v>
      </c>
      <c r="AJ11890" s="835">
        <v>41394</v>
      </c>
      <c r="AK11890" s="831">
        <v>96883184</v>
      </c>
    </row>
    <row r="11891" spans="2:37">
      <c r="B11891" s="834" t="str">
        <f t="shared" si="451"/>
        <v>|||</v>
      </c>
      <c r="H11891" s="835">
        <f t="shared" si="452"/>
        <v>31</v>
      </c>
      <c r="AF11891" s="831" t="s">
        <v>10858</v>
      </c>
      <c r="AG11891" s="831" t="s">
        <v>2674</v>
      </c>
      <c r="AH11891" s="831" t="s">
        <v>549</v>
      </c>
      <c r="AI11891" s="831">
        <v>0</v>
      </c>
      <c r="AJ11891" s="835">
        <v>41394</v>
      </c>
      <c r="AK11891" s="831">
        <v>0</v>
      </c>
    </row>
    <row r="11892" spans="2:37">
      <c r="B11892" s="834" t="str">
        <f t="shared" si="451"/>
        <v>|||</v>
      </c>
      <c r="H11892" s="835">
        <f t="shared" si="452"/>
        <v>31</v>
      </c>
      <c r="AF11892" s="831" t="s">
        <v>10859</v>
      </c>
      <c r="AG11892" s="831" t="s">
        <v>2674</v>
      </c>
      <c r="AH11892" s="831" t="s">
        <v>192</v>
      </c>
      <c r="AI11892" s="831">
        <v>0</v>
      </c>
      <c r="AJ11892" s="835">
        <v>41394</v>
      </c>
      <c r="AK11892" s="831">
        <v>-12137335</v>
      </c>
    </row>
    <row r="11893" spans="2:37">
      <c r="B11893" s="834" t="str">
        <f t="shared" si="451"/>
        <v>|||</v>
      </c>
      <c r="H11893" s="835">
        <f t="shared" si="452"/>
        <v>31</v>
      </c>
      <c r="AF11893" s="831" t="s">
        <v>10860</v>
      </c>
      <c r="AG11893" s="831" t="s">
        <v>2674</v>
      </c>
      <c r="AH11893" s="831" t="s">
        <v>558</v>
      </c>
      <c r="AI11893" s="831">
        <v>0</v>
      </c>
      <c r="AJ11893" s="835">
        <v>41394</v>
      </c>
      <c r="AK11893" s="831">
        <v>463001517</v>
      </c>
    </row>
    <row r="11894" spans="2:37">
      <c r="B11894" s="834" t="str">
        <f t="shared" si="451"/>
        <v>|||</v>
      </c>
      <c r="H11894" s="835">
        <f t="shared" si="452"/>
        <v>31</v>
      </c>
      <c r="AF11894" s="831" t="s">
        <v>10861</v>
      </c>
      <c r="AG11894" s="831" t="s">
        <v>2674</v>
      </c>
      <c r="AH11894" s="831" t="s">
        <v>65</v>
      </c>
      <c r="AI11894" s="831">
        <v>0</v>
      </c>
      <c r="AJ11894" s="835">
        <v>41394</v>
      </c>
      <c r="AK11894" s="831">
        <v>38829477</v>
      </c>
    </row>
    <row r="11895" spans="2:37">
      <c r="B11895" s="834" t="str">
        <f t="shared" si="451"/>
        <v>|||</v>
      </c>
      <c r="H11895" s="835">
        <f t="shared" si="452"/>
        <v>31</v>
      </c>
      <c r="AF11895" s="831" t="s">
        <v>10862</v>
      </c>
      <c r="AG11895" s="831" t="s">
        <v>2674</v>
      </c>
      <c r="AH11895" s="831" t="s">
        <v>89</v>
      </c>
      <c r="AI11895" s="831">
        <v>0</v>
      </c>
      <c r="AJ11895" s="835">
        <v>41394</v>
      </c>
      <c r="AK11895" s="831">
        <v>132126</v>
      </c>
    </row>
    <row r="11896" spans="2:37">
      <c r="B11896" s="834" t="str">
        <f t="shared" si="451"/>
        <v>|||</v>
      </c>
      <c r="H11896" s="835">
        <f t="shared" si="452"/>
        <v>31</v>
      </c>
      <c r="AF11896" s="831" t="s">
        <v>10863</v>
      </c>
      <c r="AG11896" s="831" t="s">
        <v>2674</v>
      </c>
      <c r="AH11896" s="831" t="s">
        <v>557</v>
      </c>
      <c r="AI11896" s="831">
        <v>0</v>
      </c>
      <c r="AJ11896" s="835">
        <v>41394</v>
      </c>
      <c r="AK11896" s="831">
        <v>135969</v>
      </c>
    </row>
    <row r="11897" spans="2:37">
      <c r="B11897" s="834" t="str">
        <f t="shared" si="451"/>
        <v>|||</v>
      </c>
      <c r="H11897" s="835">
        <f t="shared" si="452"/>
        <v>31</v>
      </c>
      <c r="AF11897" s="831" t="s">
        <v>10864</v>
      </c>
      <c r="AG11897" s="831" t="s">
        <v>2674</v>
      </c>
      <c r="AH11897" s="831" t="s">
        <v>29</v>
      </c>
      <c r="AI11897" s="831">
        <v>0</v>
      </c>
      <c r="AJ11897" s="835">
        <v>41394</v>
      </c>
      <c r="AK11897" s="831">
        <v>3183810</v>
      </c>
    </row>
    <row r="11898" spans="2:37">
      <c r="B11898" s="834" t="str">
        <f t="shared" si="451"/>
        <v>|||</v>
      </c>
      <c r="H11898" s="835">
        <f t="shared" si="452"/>
        <v>31</v>
      </c>
      <c r="AF11898" s="831" t="s">
        <v>10865</v>
      </c>
      <c r="AG11898" s="831" t="s">
        <v>2674</v>
      </c>
      <c r="AH11898" s="831" t="s">
        <v>2688</v>
      </c>
      <c r="AI11898" s="831">
        <v>0</v>
      </c>
      <c r="AJ11898" s="835">
        <v>41394</v>
      </c>
      <c r="AK11898" s="831">
        <v>2795249</v>
      </c>
    </row>
    <row r="11899" spans="2:37">
      <c r="B11899" s="834" t="str">
        <f t="shared" si="451"/>
        <v>|||</v>
      </c>
      <c r="H11899" s="835">
        <f t="shared" si="452"/>
        <v>31</v>
      </c>
      <c r="AF11899" s="831" t="s">
        <v>10866</v>
      </c>
      <c r="AG11899" s="831" t="s">
        <v>2674</v>
      </c>
      <c r="AH11899" s="831" t="s">
        <v>556</v>
      </c>
      <c r="AI11899" s="831">
        <v>0</v>
      </c>
      <c r="AJ11899" s="835">
        <v>41394</v>
      </c>
      <c r="AK11899" s="831">
        <v>902857</v>
      </c>
    </row>
    <row r="11900" spans="2:37">
      <c r="B11900" s="834" t="str">
        <f t="shared" si="451"/>
        <v>|||</v>
      </c>
      <c r="H11900" s="835">
        <f t="shared" si="452"/>
        <v>31</v>
      </c>
      <c r="AF11900" s="831" t="s">
        <v>10867</v>
      </c>
      <c r="AG11900" s="831" t="s">
        <v>2674</v>
      </c>
      <c r="AH11900" s="831" t="s">
        <v>555</v>
      </c>
      <c r="AI11900" s="831">
        <v>0</v>
      </c>
      <c r="AJ11900" s="835">
        <v>41394</v>
      </c>
      <c r="AK11900" s="831">
        <v>292199280</v>
      </c>
    </row>
    <row r="11901" spans="2:37">
      <c r="B11901" s="834" t="str">
        <f t="shared" si="451"/>
        <v>|||</v>
      </c>
      <c r="H11901" s="835">
        <f t="shared" si="452"/>
        <v>31</v>
      </c>
      <c r="AF11901" s="831" t="s">
        <v>10868</v>
      </c>
      <c r="AG11901" s="831" t="s">
        <v>2674</v>
      </c>
      <c r="AH11901" s="831" t="s">
        <v>554</v>
      </c>
      <c r="AI11901" s="831">
        <v>0</v>
      </c>
      <c r="AJ11901" s="835">
        <v>41394</v>
      </c>
      <c r="AK11901" s="831">
        <v>282835760</v>
      </c>
    </row>
    <row r="11902" spans="2:37">
      <c r="B11902" s="834" t="str">
        <f t="shared" si="451"/>
        <v>|||</v>
      </c>
      <c r="H11902" s="835">
        <f t="shared" si="452"/>
        <v>31</v>
      </c>
      <c r="AF11902" s="831" t="s">
        <v>10869</v>
      </c>
      <c r="AG11902" s="831" t="s">
        <v>2674</v>
      </c>
      <c r="AH11902" s="831" t="s">
        <v>553</v>
      </c>
      <c r="AI11902" s="831">
        <v>0</v>
      </c>
      <c r="AJ11902" s="835">
        <v>41394</v>
      </c>
      <c r="AK11902" s="831">
        <v>0</v>
      </c>
    </row>
    <row r="11903" spans="2:37">
      <c r="B11903" s="834" t="str">
        <f t="shared" si="451"/>
        <v>|||</v>
      </c>
      <c r="H11903" s="835">
        <f t="shared" si="452"/>
        <v>31</v>
      </c>
      <c r="AF11903" s="831" t="s">
        <v>10870</v>
      </c>
      <c r="AG11903" s="831" t="s">
        <v>2674</v>
      </c>
      <c r="AH11903" s="831" t="s">
        <v>552</v>
      </c>
      <c r="AI11903" s="831">
        <v>0</v>
      </c>
      <c r="AJ11903" s="835">
        <v>41394</v>
      </c>
      <c r="AK11903" s="831">
        <v>0</v>
      </c>
    </row>
    <row r="11904" spans="2:37">
      <c r="B11904" s="834" t="str">
        <f t="shared" si="451"/>
        <v>|||</v>
      </c>
      <c r="H11904" s="835">
        <f t="shared" si="452"/>
        <v>31</v>
      </c>
      <c r="AF11904" s="831" t="s">
        <v>10871</v>
      </c>
      <c r="AG11904" s="831" t="s">
        <v>2674</v>
      </c>
      <c r="AH11904" s="831" t="s">
        <v>551</v>
      </c>
      <c r="AI11904" s="831">
        <v>0</v>
      </c>
      <c r="AJ11904" s="835">
        <v>41394</v>
      </c>
      <c r="AK11904" s="831">
        <v>3073568</v>
      </c>
    </row>
    <row r="11905" spans="2:37">
      <c r="B11905" s="834" t="str">
        <f t="shared" si="451"/>
        <v>|||</v>
      </c>
      <c r="H11905" s="835">
        <f t="shared" si="452"/>
        <v>31</v>
      </c>
      <c r="AF11905" s="831" t="s">
        <v>10872</v>
      </c>
      <c r="AG11905" s="831" t="s">
        <v>2674</v>
      </c>
      <c r="AH11905" s="831" t="s">
        <v>550</v>
      </c>
      <c r="AI11905" s="831">
        <v>0</v>
      </c>
      <c r="AJ11905" s="835">
        <v>41394</v>
      </c>
      <c r="AK11905" s="831">
        <v>100809389</v>
      </c>
    </row>
    <row r="11906" spans="2:37">
      <c r="B11906" s="834" t="str">
        <f t="shared" si="451"/>
        <v>|||</v>
      </c>
      <c r="H11906" s="835">
        <f t="shared" si="452"/>
        <v>31</v>
      </c>
      <c r="AF11906" s="831" t="s">
        <v>10873</v>
      </c>
      <c r="AG11906" s="831" t="s">
        <v>2674</v>
      </c>
      <c r="AH11906" s="831" t="s">
        <v>562</v>
      </c>
      <c r="AI11906" s="831">
        <v>0</v>
      </c>
      <c r="AJ11906" s="835">
        <v>41394</v>
      </c>
      <c r="AK11906" s="831">
        <v>0.78405000000000002</v>
      </c>
    </row>
    <row r="11907" spans="2:37">
      <c r="B11907" s="834" t="str">
        <f t="shared" si="451"/>
        <v>|||</v>
      </c>
      <c r="H11907" s="835">
        <f t="shared" si="452"/>
        <v>31</v>
      </c>
      <c r="AF11907" s="831" t="s">
        <v>10874</v>
      </c>
      <c r="AG11907" s="831" t="s">
        <v>2674</v>
      </c>
      <c r="AH11907" s="831" t="s">
        <v>2698</v>
      </c>
      <c r="AI11907" s="831">
        <v>0</v>
      </c>
      <c r="AJ11907" s="835">
        <v>41394</v>
      </c>
      <c r="AK11907" s="831">
        <v>0.78425</v>
      </c>
    </row>
    <row r="11908" spans="2:37">
      <c r="B11908" s="834" t="str">
        <f t="shared" si="451"/>
        <v>|||</v>
      </c>
      <c r="H11908" s="835">
        <f t="shared" si="452"/>
        <v>31</v>
      </c>
      <c r="AF11908" s="831" t="s">
        <v>10875</v>
      </c>
      <c r="AG11908" s="831" t="s">
        <v>2674</v>
      </c>
      <c r="AH11908" s="831" t="s">
        <v>560</v>
      </c>
      <c r="AI11908" s="831">
        <v>0</v>
      </c>
      <c r="AJ11908" s="835">
        <v>41394</v>
      </c>
      <c r="AK11908" s="831">
        <v>0.78412500000000007</v>
      </c>
    </row>
    <row r="11909" spans="2:37">
      <c r="B11909" s="834" t="str">
        <f t="shared" si="451"/>
        <v>|||</v>
      </c>
      <c r="H11909" s="835">
        <f t="shared" si="452"/>
        <v>31</v>
      </c>
      <c r="AF11909" s="831" t="s">
        <v>10876</v>
      </c>
      <c r="AG11909" s="831" t="s">
        <v>2674</v>
      </c>
      <c r="AH11909" s="831" t="s">
        <v>559</v>
      </c>
      <c r="AI11909" s="831">
        <v>0</v>
      </c>
      <c r="AJ11909" s="835">
        <v>41394</v>
      </c>
      <c r="AK11909" s="831">
        <v>0.78444166666666681</v>
      </c>
    </row>
    <row r="11910" spans="2:37">
      <c r="B11910" s="834" t="str">
        <f t="shared" si="451"/>
        <v>|||</v>
      </c>
      <c r="H11910" s="835">
        <f t="shared" si="452"/>
        <v>31</v>
      </c>
      <c r="AF11910" s="831" t="s">
        <v>10877</v>
      </c>
      <c r="AG11910" s="831" t="s">
        <v>2674</v>
      </c>
      <c r="AH11910" s="831" t="s">
        <v>568</v>
      </c>
      <c r="AI11910" s="831">
        <v>0</v>
      </c>
      <c r="AJ11910" s="835">
        <v>41394</v>
      </c>
      <c r="AK11910" s="831">
        <v>394769770.66666669</v>
      </c>
    </row>
    <row r="11911" spans="2:37">
      <c r="B11911" s="834" t="str">
        <f t="shared" si="451"/>
        <v>|||</v>
      </c>
      <c r="H11911" s="835">
        <f t="shared" si="452"/>
        <v>31</v>
      </c>
      <c r="AF11911" s="831" t="s">
        <v>10878</v>
      </c>
      <c r="AG11911" s="831" t="s">
        <v>2674</v>
      </c>
      <c r="AH11911" s="831" t="s">
        <v>569</v>
      </c>
      <c r="AI11911" s="831">
        <v>0</v>
      </c>
      <c r="AJ11911" s="835">
        <v>41394</v>
      </c>
      <c r="AK11911" s="831">
        <v>480682736.41666669</v>
      </c>
    </row>
    <row r="11912" spans="2:37">
      <c r="B11912" s="834" t="str">
        <f t="shared" si="451"/>
        <v>|||</v>
      </c>
      <c r="H11912" s="835">
        <f t="shared" si="452"/>
        <v>31</v>
      </c>
      <c r="AF11912" s="831" t="s">
        <v>10879</v>
      </c>
      <c r="AG11912" s="831" t="s">
        <v>2674</v>
      </c>
      <c r="AH11912" s="831" t="s">
        <v>570</v>
      </c>
      <c r="AI11912" s="831">
        <v>0</v>
      </c>
      <c r="AJ11912" s="835">
        <v>41394</v>
      </c>
      <c r="AK11912" s="831">
        <v>97541596.583333328</v>
      </c>
    </row>
    <row r="11913" spans="2:37">
      <c r="B11913" s="834" t="str">
        <f t="shared" si="451"/>
        <v>|||</v>
      </c>
      <c r="H11913" s="835">
        <f t="shared" si="452"/>
        <v>31</v>
      </c>
      <c r="AF11913" s="831" t="s">
        <v>10880</v>
      </c>
      <c r="AG11913" s="831" t="s">
        <v>2674</v>
      </c>
      <c r="AH11913" s="831" t="s">
        <v>571</v>
      </c>
      <c r="AI11913" s="831">
        <v>0</v>
      </c>
      <c r="AJ11913" s="835">
        <v>41394</v>
      </c>
      <c r="AK11913" s="831">
        <v>202392383.16666666</v>
      </c>
    </row>
    <row r="11914" spans="2:37">
      <c r="B11914" s="834" t="str">
        <f t="shared" si="451"/>
        <v>|||</v>
      </c>
      <c r="H11914" s="835">
        <f t="shared" si="452"/>
        <v>31</v>
      </c>
      <c r="AF11914" s="831" t="s">
        <v>10881</v>
      </c>
      <c r="AG11914" s="831" t="s">
        <v>2674</v>
      </c>
      <c r="AH11914" s="831" t="s">
        <v>573</v>
      </c>
      <c r="AI11914" s="831">
        <v>0</v>
      </c>
      <c r="AJ11914" s="835">
        <v>41394</v>
      </c>
      <c r="AK11914" s="831">
        <v>532827178</v>
      </c>
    </row>
    <row r="11915" spans="2:37">
      <c r="B11915" s="834" t="str">
        <f t="shared" si="451"/>
        <v>|||</v>
      </c>
      <c r="H11915" s="835">
        <f t="shared" si="452"/>
        <v>31</v>
      </c>
      <c r="AF11915" s="831" t="s">
        <v>10882</v>
      </c>
      <c r="AG11915" s="831" t="s">
        <v>2674</v>
      </c>
      <c r="AH11915" s="831" t="s">
        <v>574</v>
      </c>
      <c r="AI11915" s="831">
        <v>0</v>
      </c>
      <c r="AJ11915" s="835">
        <v>41394</v>
      </c>
      <c r="AK11915" s="831">
        <v>441082974.60000002</v>
      </c>
    </row>
    <row r="11916" spans="2:37">
      <c r="B11916" s="834" t="str">
        <f t="shared" si="451"/>
        <v>|||</v>
      </c>
      <c r="H11916" s="835">
        <f t="shared" si="452"/>
        <v>31</v>
      </c>
      <c r="AF11916" s="831" t="s">
        <v>10883</v>
      </c>
      <c r="AG11916" s="831" t="s">
        <v>2674</v>
      </c>
      <c r="AH11916" s="831" t="s">
        <v>575</v>
      </c>
      <c r="AI11916" s="831">
        <v>0</v>
      </c>
      <c r="AJ11916" s="835">
        <v>41394</v>
      </c>
      <c r="AK11916" s="831">
        <v>100152884.2</v>
      </c>
    </row>
    <row r="11917" spans="2:37">
      <c r="B11917" s="834" t="str">
        <f t="shared" si="451"/>
        <v>|||</v>
      </c>
      <c r="H11917" s="835">
        <f t="shared" si="452"/>
        <v>31</v>
      </c>
      <c r="AF11917" s="831" t="s">
        <v>10884</v>
      </c>
      <c r="AG11917" s="831" t="s">
        <v>2674</v>
      </c>
      <c r="AH11917" s="831" t="s">
        <v>576</v>
      </c>
      <c r="AI11917" s="831">
        <v>0</v>
      </c>
      <c r="AJ11917" s="835">
        <v>41394</v>
      </c>
      <c r="AK11917" s="831">
        <v>241749896</v>
      </c>
    </row>
    <row r="11918" spans="2:37">
      <c r="B11918" s="834" t="str">
        <f t="shared" si="451"/>
        <v>|||</v>
      </c>
      <c r="H11918" s="835">
        <f t="shared" si="452"/>
        <v>31</v>
      </c>
      <c r="AF11918" s="831" t="s">
        <v>10885</v>
      </c>
      <c r="AG11918" s="831" t="s">
        <v>2674</v>
      </c>
      <c r="AH11918" s="831" t="s">
        <v>572</v>
      </c>
      <c r="AI11918" s="831">
        <v>0</v>
      </c>
      <c r="AJ11918" s="835">
        <v>41394</v>
      </c>
      <c r="AK11918" s="831">
        <v>24404594</v>
      </c>
    </row>
    <row r="11919" spans="2:37">
      <c r="B11919" s="834" t="str">
        <f t="shared" si="451"/>
        <v>|||</v>
      </c>
      <c r="H11919" s="835">
        <f t="shared" si="452"/>
        <v>31</v>
      </c>
      <c r="AF11919" s="831" t="s">
        <v>10886</v>
      </c>
      <c r="AG11919" s="831" t="s">
        <v>2674</v>
      </c>
      <c r="AH11919" s="831" t="s">
        <v>577</v>
      </c>
      <c r="AI11919" s="831">
        <v>0</v>
      </c>
      <c r="AJ11919" s="835">
        <v>41394</v>
      </c>
      <c r="AK11919" s="831">
        <v>137705857</v>
      </c>
    </row>
    <row r="11920" spans="2:37">
      <c r="B11920" s="834" t="str">
        <f t="shared" si="451"/>
        <v>|||</v>
      </c>
      <c r="H11920" s="835">
        <f t="shared" si="452"/>
        <v>31</v>
      </c>
      <c r="AF11920" s="831" t="s">
        <v>10887</v>
      </c>
      <c r="AG11920" s="831" t="s">
        <v>2674</v>
      </c>
      <c r="AH11920" s="831" t="s">
        <v>3042</v>
      </c>
      <c r="AI11920" s="831">
        <v>0</v>
      </c>
      <c r="AJ11920" s="835">
        <v>41394</v>
      </c>
      <c r="AK11920" s="831">
        <v>-34403926</v>
      </c>
    </row>
    <row r="11921" spans="2:37">
      <c r="B11921" s="834" t="str">
        <f t="shared" ref="B11921:B11984" si="453">C11921&amp;"|"&amp;D11921&amp;"|"&amp;E11921&amp;"|"&amp;F11921</f>
        <v>|||</v>
      </c>
      <c r="H11921" s="835">
        <f t="shared" ref="H11921:H11984" si="454">EOMONTH(L11921,0)</f>
        <v>31</v>
      </c>
      <c r="AF11921" s="831" t="s">
        <v>10888</v>
      </c>
      <c r="AG11921" s="831" t="s">
        <v>2674</v>
      </c>
      <c r="AH11921" s="831" t="s">
        <v>3044</v>
      </c>
      <c r="AI11921" s="831">
        <v>0</v>
      </c>
      <c r="AJ11921" s="835">
        <v>41394</v>
      </c>
      <c r="AK11921" s="831">
        <v>-4759976</v>
      </c>
    </row>
    <row r="11922" spans="2:37">
      <c r="B11922" s="834" t="str">
        <f t="shared" si="453"/>
        <v>|||</v>
      </c>
      <c r="H11922" s="835">
        <f t="shared" si="454"/>
        <v>31</v>
      </c>
      <c r="AF11922" s="831" t="s">
        <v>10889</v>
      </c>
      <c r="AG11922" s="831" t="s">
        <v>2674</v>
      </c>
      <c r="AH11922" s="831" t="s">
        <v>580</v>
      </c>
      <c r="AI11922" s="831">
        <v>0</v>
      </c>
      <c r="AJ11922" s="835">
        <v>41394</v>
      </c>
      <c r="AK11922" s="831">
        <v>-71824276</v>
      </c>
    </row>
    <row r="11923" spans="2:37">
      <c r="B11923" s="834" t="str">
        <f t="shared" si="453"/>
        <v>|||</v>
      </c>
      <c r="H11923" s="835">
        <f t="shared" si="454"/>
        <v>31</v>
      </c>
      <c r="AF11923" s="831" t="s">
        <v>10890</v>
      </c>
      <c r="AG11923" s="831" t="s">
        <v>2674</v>
      </c>
      <c r="AH11923" s="831" t="s">
        <v>581</v>
      </c>
      <c r="AI11923" s="831">
        <v>0</v>
      </c>
      <c r="AJ11923" s="835">
        <v>41394</v>
      </c>
      <c r="AK11923" s="831">
        <v>4094604</v>
      </c>
    </row>
    <row r="11924" spans="2:37">
      <c r="B11924" s="834" t="str">
        <f t="shared" si="453"/>
        <v>|||</v>
      </c>
      <c r="H11924" s="835">
        <f t="shared" si="454"/>
        <v>31</v>
      </c>
      <c r="AF11924" s="831" t="s">
        <v>10891</v>
      </c>
      <c r="AG11924" s="831" t="s">
        <v>2674</v>
      </c>
      <c r="AH11924" s="831" t="s">
        <v>105</v>
      </c>
      <c r="AI11924" s="831">
        <v>0</v>
      </c>
      <c r="AJ11924" s="835">
        <v>41394</v>
      </c>
      <c r="AK11924" s="831">
        <v>256750039</v>
      </c>
    </row>
    <row r="11925" spans="2:37">
      <c r="B11925" s="834" t="str">
        <f t="shared" si="453"/>
        <v>|||</v>
      </c>
      <c r="H11925" s="835">
        <f t="shared" si="454"/>
        <v>31</v>
      </c>
      <c r="AF11925" s="831" t="s">
        <v>10892</v>
      </c>
      <c r="AG11925" s="831" t="s">
        <v>2674</v>
      </c>
      <c r="AH11925" s="831" t="s">
        <v>3049</v>
      </c>
      <c r="AI11925" s="831">
        <v>0</v>
      </c>
      <c r="AJ11925" s="835">
        <v>41394</v>
      </c>
      <c r="AK11925" s="831">
        <v>448399148</v>
      </c>
    </row>
    <row r="11926" spans="2:37">
      <c r="B11926" s="834" t="str">
        <f t="shared" si="453"/>
        <v>|||</v>
      </c>
      <c r="H11926" s="835">
        <f t="shared" si="454"/>
        <v>31</v>
      </c>
      <c r="AF11926" s="831" t="s">
        <v>10893</v>
      </c>
      <c r="AG11926" s="831" t="s">
        <v>2674</v>
      </c>
      <c r="AH11926" s="831" t="s">
        <v>103</v>
      </c>
      <c r="AI11926" s="831">
        <v>0</v>
      </c>
      <c r="AJ11926" s="835">
        <v>41394</v>
      </c>
      <c r="AK11926" s="831">
        <v>191649109</v>
      </c>
    </row>
    <row r="11927" spans="2:37">
      <c r="B11927" s="834" t="str">
        <f t="shared" si="453"/>
        <v>|||</v>
      </c>
      <c r="H11927" s="835">
        <f t="shared" si="454"/>
        <v>31</v>
      </c>
      <c r="AF11927" s="831" t="s">
        <v>10894</v>
      </c>
      <c r="AG11927" s="831" t="s">
        <v>2674</v>
      </c>
      <c r="AH11927" s="831" t="s">
        <v>182</v>
      </c>
      <c r="AI11927" s="831">
        <v>0</v>
      </c>
      <c r="AJ11927" s="835">
        <v>41394</v>
      </c>
      <c r="AK11927" s="831">
        <v>55518615</v>
      </c>
    </row>
    <row r="11928" spans="2:37">
      <c r="B11928" s="834" t="str">
        <f t="shared" si="453"/>
        <v>|||</v>
      </c>
      <c r="H11928" s="835">
        <f t="shared" si="454"/>
        <v>31</v>
      </c>
      <c r="AF11928" s="831" t="s">
        <v>10895</v>
      </c>
      <c r="AG11928" s="831" t="s">
        <v>2674</v>
      </c>
      <c r="AH11928" s="831" t="s">
        <v>6600</v>
      </c>
      <c r="AI11928" s="831">
        <v>0</v>
      </c>
      <c r="AJ11928" s="835">
        <v>41394</v>
      </c>
      <c r="AK11928" s="831">
        <v>24404594</v>
      </c>
    </row>
    <row r="11929" spans="2:37">
      <c r="B11929" s="834" t="str">
        <f t="shared" si="453"/>
        <v>|||</v>
      </c>
      <c r="H11929" s="835">
        <f t="shared" si="454"/>
        <v>31</v>
      </c>
      <c r="AF11929" s="831" t="s">
        <v>10896</v>
      </c>
      <c r="AG11929" s="831" t="s">
        <v>2674</v>
      </c>
      <c r="AH11929" s="831" t="s">
        <v>6602</v>
      </c>
      <c r="AI11929" s="831">
        <v>0</v>
      </c>
      <c r="AJ11929" s="835">
        <v>41394</v>
      </c>
      <c r="AK11929" s="831">
        <v>8564643</v>
      </c>
    </row>
    <row r="11930" spans="2:37">
      <c r="B11930" s="834" t="str">
        <f t="shared" si="453"/>
        <v>|||</v>
      </c>
      <c r="H11930" s="835">
        <f t="shared" si="454"/>
        <v>31</v>
      </c>
      <c r="AF11930" s="831" t="s">
        <v>10897</v>
      </c>
      <c r="AG11930" s="831" t="s">
        <v>2674</v>
      </c>
      <c r="AH11930" s="831" t="s">
        <v>650</v>
      </c>
      <c r="AI11930" s="831">
        <v>0</v>
      </c>
      <c r="AJ11930" s="835">
        <v>41394</v>
      </c>
      <c r="AK11930" s="831">
        <v>167561680.58333334</v>
      </c>
    </row>
    <row r="11931" spans="2:37">
      <c r="B11931" s="834" t="str">
        <f t="shared" si="453"/>
        <v>|||</v>
      </c>
      <c r="H11931" s="835">
        <f t="shared" si="454"/>
        <v>31</v>
      </c>
      <c r="AF11931" s="831" t="s">
        <v>10898</v>
      </c>
      <c r="AG11931" s="831" t="s">
        <v>2674</v>
      </c>
      <c r="AH11931" s="831" t="s">
        <v>655</v>
      </c>
      <c r="AI11931" s="831">
        <v>0</v>
      </c>
      <c r="AJ11931" s="835">
        <v>41394</v>
      </c>
      <c r="AK11931" s="831">
        <v>2577725</v>
      </c>
    </row>
    <row r="11932" spans="2:37">
      <c r="B11932" s="834" t="str">
        <f t="shared" si="453"/>
        <v>|||</v>
      </c>
      <c r="H11932" s="835">
        <f t="shared" si="454"/>
        <v>31</v>
      </c>
      <c r="AF11932" s="831" t="s">
        <v>10899</v>
      </c>
      <c r="AG11932" s="831" t="s">
        <v>2674</v>
      </c>
      <c r="AH11932" s="831" t="s">
        <v>546</v>
      </c>
      <c r="AI11932" s="831">
        <v>0</v>
      </c>
      <c r="AJ11932" s="835">
        <v>41425</v>
      </c>
      <c r="AK11932" s="831">
        <v>505264542</v>
      </c>
    </row>
    <row r="11933" spans="2:37">
      <c r="B11933" s="834" t="str">
        <f t="shared" si="453"/>
        <v>|||</v>
      </c>
      <c r="H11933" s="835">
        <f t="shared" si="454"/>
        <v>31</v>
      </c>
      <c r="AF11933" s="831" t="s">
        <v>10900</v>
      </c>
      <c r="AG11933" s="831" t="s">
        <v>2674</v>
      </c>
      <c r="AH11933" s="831" t="s">
        <v>370</v>
      </c>
      <c r="AI11933" s="831">
        <v>0</v>
      </c>
      <c r="AJ11933" s="835">
        <v>41425</v>
      </c>
      <c r="AK11933" s="831">
        <v>595292976</v>
      </c>
    </row>
    <row r="11934" spans="2:37">
      <c r="B11934" s="834" t="str">
        <f t="shared" si="453"/>
        <v>|||</v>
      </c>
      <c r="H11934" s="835">
        <f t="shared" si="454"/>
        <v>31</v>
      </c>
      <c r="AF11934" s="831" t="s">
        <v>10901</v>
      </c>
      <c r="AG11934" s="831" t="s">
        <v>2674</v>
      </c>
      <c r="AH11934" s="831" t="s">
        <v>126</v>
      </c>
      <c r="AI11934" s="831">
        <v>0</v>
      </c>
      <c r="AJ11934" s="835">
        <v>41425</v>
      </c>
      <c r="AK11934" s="831">
        <v>105651356</v>
      </c>
    </row>
    <row r="11935" spans="2:37">
      <c r="B11935" s="834" t="str">
        <f t="shared" si="453"/>
        <v>|||</v>
      </c>
      <c r="H11935" s="835">
        <f t="shared" si="454"/>
        <v>31</v>
      </c>
      <c r="AF11935" s="831" t="s">
        <v>10902</v>
      </c>
      <c r="AG11935" s="831" t="s">
        <v>2674</v>
      </c>
      <c r="AH11935" s="831" t="s">
        <v>268</v>
      </c>
      <c r="AI11935" s="831">
        <v>0</v>
      </c>
      <c r="AJ11935" s="835">
        <v>41425</v>
      </c>
      <c r="AK11935" s="831">
        <v>10888133</v>
      </c>
    </row>
    <row r="11936" spans="2:37">
      <c r="B11936" s="834" t="str">
        <f t="shared" si="453"/>
        <v>|||</v>
      </c>
      <c r="H11936" s="835">
        <f t="shared" si="454"/>
        <v>31</v>
      </c>
      <c r="AF11936" s="831" t="s">
        <v>10903</v>
      </c>
      <c r="AG11936" s="831" t="s">
        <v>2674</v>
      </c>
      <c r="AH11936" s="831" t="s">
        <v>547</v>
      </c>
      <c r="AI11936" s="831">
        <v>0</v>
      </c>
      <c r="AJ11936" s="835">
        <v>41425</v>
      </c>
      <c r="AK11936" s="831">
        <v>511487760</v>
      </c>
    </row>
    <row r="11937" spans="2:37">
      <c r="B11937" s="834" t="str">
        <f t="shared" si="453"/>
        <v>|||</v>
      </c>
      <c r="H11937" s="835">
        <f t="shared" si="454"/>
        <v>31</v>
      </c>
      <c r="AF11937" s="831" t="s">
        <v>10904</v>
      </c>
      <c r="AG11937" s="831" t="s">
        <v>2674</v>
      </c>
      <c r="AH11937" s="831" t="s">
        <v>548</v>
      </c>
      <c r="AI11937" s="831">
        <v>0</v>
      </c>
      <c r="AJ11937" s="835">
        <v>41425</v>
      </c>
      <c r="AK11937" s="831">
        <v>96883184</v>
      </c>
    </row>
    <row r="11938" spans="2:37">
      <c r="B11938" s="834" t="str">
        <f t="shared" si="453"/>
        <v>|||</v>
      </c>
      <c r="H11938" s="835">
        <f t="shared" si="454"/>
        <v>31</v>
      </c>
      <c r="AF11938" s="831" t="s">
        <v>10905</v>
      </c>
      <c r="AG11938" s="831" t="s">
        <v>2674</v>
      </c>
      <c r="AH11938" s="831" t="s">
        <v>549</v>
      </c>
      <c r="AI11938" s="831">
        <v>0</v>
      </c>
      <c r="AJ11938" s="835">
        <v>41425</v>
      </c>
      <c r="AK11938" s="831">
        <v>339221349</v>
      </c>
    </row>
    <row r="11939" spans="2:37">
      <c r="B11939" s="834" t="str">
        <f t="shared" si="453"/>
        <v>|||</v>
      </c>
      <c r="H11939" s="835">
        <f t="shared" si="454"/>
        <v>31</v>
      </c>
      <c r="AF11939" s="831" t="s">
        <v>10906</v>
      </c>
      <c r="AG11939" s="831" t="s">
        <v>2674</v>
      </c>
      <c r="AH11939" s="831" t="s">
        <v>192</v>
      </c>
      <c r="AI11939" s="831">
        <v>0</v>
      </c>
      <c r="AJ11939" s="835">
        <v>41425</v>
      </c>
      <c r="AK11939" s="831">
        <v>-12896676</v>
      </c>
    </row>
    <row r="11940" spans="2:37">
      <c r="B11940" s="834" t="str">
        <f t="shared" si="453"/>
        <v>|||</v>
      </c>
      <c r="H11940" s="835">
        <f t="shared" si="454"/>
        <v>31</v>
      </c>
      <c r="AF11940" s="831" t="s">
        <v>10907</v>
      </c>
      <c r="AG11940" s="831" t="s">
        <v>2674</v>
      </c>
      <c r="AH11940" s="831" t="s">
        <v>558</v>
      </c>
      <c r="AI11940" s="831">
        <v>0</v>
      </c>
      <c r="AJ11940" s="835">
        <v>41425</v>
      </c>
      <c r="AK11940" s="831">
        <v>489641620</v>
      </c>
    </row>
    <row r="11941" spans="2:37">
      <c r="B11941" s="834" t="str">
        <f t="shared" si="453"/>
        <v>|||</v>
      </c>
      <c r="H11941" s="835">
        <f t="shared" si="454"/>
        <v>31</v>
      </c>
      <c r="AF11941" s="831" t="s">
        <v>10908</v>
      </c>
      <c r="AG11941" s="831" t="s">
        <v>2674</v>
      </c>
      <c r="AH11941" s="831" t="s">
        <v>65</v>
      </c>
      <c r="AI11941" s="831">
        <v>0</v>
      </c>
      <c r="AJ11941" s="835">
        <v>41425</v>
      </c>
      <c r="AK11941" s="831">
        <v>49637231</v>
      </c>
    </row>
    <row r="11942" spans="2:37">
      <c r="B11942" s="834" t="str">
        <f t="shared" si="453"/>
        <v>|||</v>
      </c>
      <c r="H11942" s="835">
        <f t="shared" si="454"/>
        <v>31</v>
      </c>
      <c r="AF11942" s="831" t="s">
        <v>10909</v>
      </c>
      <c r="AG11942" s="831" t="s">
        <v>2674</v>
      </c>
      <c r="AH11942" s="831" t="s">
        <v>89</v>
      </c>
      <c r="AI11942" s="831">
        <v>0</v>
      </c>
      <c r="AJ11942" s="835">
        <v>41425</v>
      </c>
      <c r="AK11942" s="831">
        <v>135204</v>
      </c>
    </row>
    <row r="11943" spans="2:37">
      <c r="B11943" s="834" t="str">
        <f t="shared" si="453"/>
        <v>|||</v>
      </c>
      <c r="H11943" s="835">
        <f t="shared" si="454"/>
        <v>31</v>
      </c>
      <c r="AF11943" s="831" t="s">
        <v>10910</v>
      </c>
      <c r="AG11943" s="831" t="s">
        <v>2674</v>
      </c>
      <c r="AH11943" s="831" t="s">
        <v>557</v>
      </c>
      <c r="AI11943" s="831">
        <v>0</v>
      </c>
      <c r="AJ11943" s="835">
        <v>41425</v>
      </c>
      <c r="AK11943" s="831">
        <v>139930</v>
      </c>
    </row>
    <row r="11944" spans="2:37">
      <c r="B11944" s="834" t="str">
        <f t="shared" si="453"/>
        <v>|||</v>
      </c>
      <c r="H11944" s="835">
        <f t="shared" si="454"/>
        <v>31</v>
      </c>
      <c r="AF11944" s="831" t="s">
        <v>10911</v>
      </c>
      <c r="AG11944" s="831" t="s">
        <v>2674</v>
      </c>
      <c r="AH11944" s="831" t="s">
        <v>29</v>
      </c>
      <c r="AI11944" s="831">
        <v>0</v>
      </c>
      <c r="AJ11944" s="835">
        <v>41425</v>
      </c>
      <c r="AK11944" s="831">
        <v>2486253</v>
      </c>
    </row>
    <row r="11945" spans="2:37">
      <c r="B11945" s="834" t="str">
        <f t="shared" si="453"/>
        <v>|||</v>
      </c>
      <c r="H11945" s="835">
        <f t="shared" si="454"/>
        <v>31</v>
      </c>
      <c r="AF11945" s="831" t="s">
        <v>10912</v>
      </c>
      <c r="AG11945" s="831" t="s">
        <v>2674</v>
      </c>
      <c r="AH11945" s="831" t="s">
        <v>2688</v>
      </c>
      <c r="AI11945" s="831">
        <v>0</v>
      </c>
      <c r="AJ11945" s="835">
        <v>41425</v>
      </c>
      <c r="AK11945" s="831">
        <v>2733940</v>
      </c>
    </row>
    <row r="11946" spans="2:37">
      <c r="B11946" s="834" t="str">
        <f t="shared" si="453"/>
        <v>|||</v>
      </c>
      <c r="H11946" s="835">
        <f t="shared" si="454"/>
        <v>31</v>
      </c>
      <c r="AF11946" s="831" t="s">
        <v>10913</v>
      </c>
      <c r="AG11946" s="831" t="s">
        <v>2674</v>
      </c>
      <c r="AH11946" s="831" t="s">
        <v>556</v>
      </c>
      <c r="AI11946" s="831">
        <v>0</v>
      </c>
      <c r="AJ11946" s="835">
        <v>41425</v>
      </c>
      <c r="AK11946" s="831">
        <v>902857</v>
      </c>
    </row>
    <row r="11947" spans="2:37">
      <c r="B11947" s="834" t="str">
        <f t="shared" si="453"/>
        <v>|||</v>
      </c>
      <c r="H11947" s="835">
        <f t="shared" si="454"/>
        <v>31</v>
      </c>
      <c r="AF11947" s="831" t="s">
        <v>10914</v>
      </c>
      <c r="AG11947" s="831" t="s">
        <v>2674</v>
      </c>
      <c r="AH11947" s="831" t="s">
        <v>555</v>
      </c>
      <c r="AI11947" s="831">
        <v>0</v>
      </c>
      <c r="AJ11947" s="835">
        <v>41425</v>
      </c>
      <c r="AK11947" s="831">
        <v>310274630</v>
      </c>
    </row>
    <row r="11948" spans="2:37">
      <c r="B11948" s="834" t="str">
        <f t="shared" si="453"/>
        <v>|||</v>
      </c>
      <c r="H11948" s="835">
        <f t="shared" si="454"/>
        <v>31</v>
      </c>
      <c r="AF11948" s="831" t="s">
        <v>10915</v>
      </c>
      <c r="AG11948" s="831" t="s">
        <v>2674</v>
      </c>
      <c r="AH11948" s="831" t="s">
        <v>554</v>
      </c>
      <c r="AI11948" s="831">
        <v>0</v>
      </c>
      <c r="AJ11948" s="835">
        <v>41425</v>
      </c>
      <c r="AK11948" s="831">
        <v>296232200</v>
      </c>
    </row>
    <row r="11949" spans="2:37">
      <c r="B11949" s="834" t="str">
        <f t="shared" si="453"/>
        <v>|||</v>
      </c>
      <c r="H11949" s="835">
        <f t="shared" si="454"/>
        <v>31</v>
      </c>
      <c r="AF11949" s="831" t="s">
        <v>10916</v>
      </c>
      <c r="AG11949" s="831" t="s">
        <v>2674</v>
      </c>
      <c r="AH11949" s="831" t="s">
        <v>553</v>
      </c>
      <c r="AI11949" s="831">
        <v>0</v>
      </c>
      <c r="AJ11949" s="835">
        <v>41425</v>
      </c>
      <c r="AK11949" s="831">
        <v>0</v>
      </c>
    </row>
    <row r="11950" spans="2:37">
      <c r="B11950" s="834" t="str">
        <f t="shared" si="453"/>
        <v>|||</v>
      </c>
      <c r="H11950" s="835">
        <f t="shared" si="454"/>
        <v>31</v>
      </c>
      <c r="AF11950" s="831" t="s">
        <v>10917</v>
      </c>
      <c r="AG11950" s="831" t="s">
        <v>2674</v>
      </c>
      <c r="AH11950" s="831" t="s">
        <v>552</v>
      </c>
      <c r="AI11950" s="831">
        <v>0</v>
      </c>
      <c r="AJ11950" s="835">
        <v>41425</v>
      </c>
      <c r="AK11950" s="831">
        <v>0</v>
      </c>
    </row>
    <row r="11951" spans="2:37">
      <c r="B11951" s="834" t="str">
        <f t="shared" si="453"/>
        <v>|||</v>
      </c>
      <c r="H11951" s="835">
        <f t="shared" si="454"/>
        <v>31</v>
      </c>
      <c r="AF11951" s="831" t="s">
        <v>10918</v>
      </c>
      <c r="AG11951" s="831" t="s">
        <v>2674</v>
      </c>
      <c r="AH11951" s="831" t="s">
        <v>551</v>
      </c>
      <c r="AI11951" s="831">
        <v>0</v>
      </c>
      <c r="AJ11951" s="835">
        <v>41425</v>
      </c>
      <c r="AK11951" s="831">
        <v>2323653</v>
      </c>
    </row>
    <row r="11952" spans="2:37">
      <c r="B11952" s="834" t="str">
        <f t="shared" si="453"/>
        <v>|||</v>
      </c>
      <c r="H11952" s="835">
        <f t="shared" si="454"/>
        <v>31</v>
      </c>
      <c r="AF11952" s="831" t="s">
        <v>10919</v>
      </c>
      <c r="AG11952" s="831" t="s">
        <v>2674</v>
      </c>
      <c r="AH11952" s="831" t="s">
        <v>550</v>
      </c>
      <c r="AI11952" s="831">
        <v>0</v>
      </c>
      <c r="AJ11952" s="835">
        <v>41425</v>
      </c>
      <c r="AK11952" s="831">
        <v>103327866</v>
      </c>
    </row>
    <row r="11953" spans="2:37">
      <c r="B11953" s="834" t="str">
        <f t="shared" si="453"/>
        <v>|||</v>
      </c>
      <c r="H11953" s="835">
        <f t="shared" si="454"/>
        <v>31</v>
      </c>
      <c r="AF11953" s="831" t="s">
        <v>10920</v>
      </c>
      <c r="AG11953" s="831" t="s">
        <v>2674</v>
      </c>
      <c r="AH11953" s="831" t="s">
        <v>562</v>
      </c>
      <c r="AI11953" s="831">
        <v>0</v>
      </c>
      <c r="AJ11953" s="835">
        <v>41425</v>
      </c>
      <c r="AK11953" s="831">
        <v>0.78405000000000002</v>
      </c>
    </row>
    <row r="11954" spans="2:37">
      <c r="B11954" s="834" t="str">
        <f t="shared" si="453"/>
        <v>|||</v>
      </c>
      <c r="H11954" s="835">
        <f t="shared" si="454"/>
        <v>31</v>
      </c>
      <c r="AF11954" s="831" t="s">
        <v>10921</v>
      </c>
      <c r="AG11954" s="831" t="s">
        <v>2674</v>
      </c>
      <c r="AH11954" s="831" t="s">
        <v>2698</v>
      </c>
      <c r="AI11954" s="831">
        <v>0</v>
      </c>
      <c r="AJ11954" s="835">
        <v>41425</v>
      </c>
      <c r="AK11954" s="831">
        <v>0.78405000000000002</v>
      </c>
    </row>
    <row r="11955" spans="2:37">
      <c r="B11955" s="834" t="str">
        <f t="shared" si="453"/>
        <v>|||</v>
      </c>
      <c r="H11955" s="835">
        <f t="shared" si="454"/>
        <v>31</v>
      </c>
      <c r="AF11955" s="831" t="s">
        <v>10922</v>
      </c>
      <c r="AG11955" s="831" t="s">
        <v>2674</v>
      </c>
      <c r="AH11955" s="831" t="s">
        <v>560</v>
      </c>
      <c r="AI11955" s="831">
        <v>0</v>
      </c>
      <c r="AJ11955" s="835">
        <v>41425</v>
      </c>
      <c r="AK11955" s="831">
        <v>0.78410999999999997</v>
      </c>
    </row>
    <row r="11956" spans="2:37">
      <c r="B11956" s="834" t="str">
        <f t="shared" si="453"/>
        <v>|||</v>
      </c>
      <c r="H11956" s="835">
        <f t="shared" si="454"/>
        <v>31</v>
      </c>
      <c r="AF11956" s="831" t="s">
        <v>10923</v>
      </c>
      <c r="AG11956" s="831" t="s">
        <v>2674</v>
      </c>
      <c r="AH11956" s="831" t="s">
        <v>559</v>
      </c>
      <c r="AI11956" s="831">
        <v>0</v>
      </c>
      <c r="AJ11956" s="835">
        <v>41425</v>
      </c>
      <c r="AK11956" s="831">
        <v>0.78434999999999999</v>
      </c>
    </row>
    <row r="11957" spans="2:37">
      <c r="B11957" s="834" t="str">
        <f t="shared" si="453"/>
        <v>|||</v>
      </c>
      <c r="H11957" s="835">
        <f t="shared" si="454"/>
        <v>31</v>
      </c>
      <c r="AF11957" s="831" t="s">
        <v>10924</v>
      </c>
      <c r="AG11957" s="831" t="s">
        <v>2674</v>
      </c>
      <c r="AH11957" s="831" t="s">
        <v>568</v>
      </c>
      <c r="AI11957" s="831">
        <v>0</v>
      </c>
      <c r="AJ11957" s="835">
        <v>41425</v>
      </c>
      <c r="AK11957" s="831">
        <v>403269368.46153843</v>
      </c>
    </row>
    <row r="11958" spans="2:37">
      <c r="B11958" s="834" t="str">
        <f t="shared" si="453"/>
        <v>|||</v>
      </c>
      <c r="H11958" s="835">
        <f t="shared" si="454"/>
        <v>31</v>
      </c>
      <c r="AF11958" s="831" t="s">
        <v>10925</v>
      </c>
      <c r="AG11958" s="831" t="s">
        <v>2674</v>
      </c>
      <c r="AH11958" s="831" t="s">
        <v>569</v>
      </c>
      <c r="AI11958" s="831">
        <v>0</v>
      </c>
      <c r="AJ11958" s="835">
        <v>41425</v>
      </c>
      <c r="AK11958" s="831">
        <v>489498908.69230771</v>
      </c>
    </row>
    <row r="11959" spans="2:37">
      <c r="B11959" s="834" t="str">
        <f t="shared" si="453"/>
        <v>|||</v>
      </c>
      <c r="H11959" s="835">
        <f t="shared" si="454"/>
        <v>31</v>
      </c>
      <c r="AF11959" s="831" t="s">
        <v>10926</v>
      </c>
      <c r="AG11959" s="831" t="s">
        <v>2674</v>
      </c>
      <c r="AH11959" s="831" t="s">
        <v>570</v>
      </c>
      <c r="AI11959" s="831">
        <v>0</v>
      </c>
      <c r="AJ11959" s="835">
        <v>41425</v>
      </c>
      <c r="AK11959" s="831">
        <v>98165424.230769232</v>
      </c>
    </row>
    <row r="11960" spans="2:37">
      <c r="B11960" s="834" t="str">
        <f t="shared" si="453"/>
        <v>|||</v>
      </c>
      <c r="H11960" s="835">
        <f t="shared" si="454"/>
        <v>31</v>
      </c>
      <c r="AF11960" s="831" t="s">
        <v>10927</v>
      </c>
      <c r="AG11960" s="831" t="s">
        <v>2674</v>
      </c>
      <c r="AH11960" s="831" t="s">
        <v>571</v>
      </c>
      <c r="AI11960" s="831">
        <v>0</v>
      </c>
      <c r="AJ11960" s="835">
        <v>41425</v>
      </c>
      <c r="AK11960" s="831">
        <v>207953338.07692307</v>
      </c>
    </row>
    <row r="11961" spans="2:37">
      <c r="B11961" s="834" t="str">
        <f t="shared" si="453"/>
        <v>|||</v>
      </c>
      <c r="H11961" s="835">
        <f t="shared" si="454"/>
        <v>31</v>
      </c>
      <c r="AF11961" s="831" t="s">
        <v>10928</v>
      </c>
      <c r="AG11961" s="831" t="s">
        <v>2674</v>
      </c>
      <c r="AH11961" s="831" t="s">
        <v>573</v>
      </c>
      <c r="AI11961" s="831">
        <v>0</v>
      </c>
      <c r="AJ11961" s="835">
        <v>41425</v>
      </c>
      <c r="AK11961" s="831">
        <v>543238144.33333337</v>
      </c>
    </row>
    <row r="11962" spans="2:37">
      <c r="B11962" s="834" t="str">
        <f t="shared" si="453"/>
        <v>|||</v>
      </c>
      <c r="H11962" s="835">
        <f t="shared" si="454"/>
        <v>31</v>
      </c>
      <c r="AF11962" s="831" t="s">
        <v>10929</v>
      </c>
      <c r="AG11962" s="831" t="s">
        <v>2674</v>
      </c>
      <c r="AH11962" s="831" t="s">
        <v>574</v>
      </c>
      <c r="AI11962" s="831">
        <v>0</v>
      </c>
      <c r="AJ11962" s="835">
        <v>41425</v>
      </c>
      <c r="AK11962" s="831">
        <v>451779902.5</v>
      </c>
    </row>
    <row r="11963" spans="2:37">
      <c r="B11963" s="834" t="str">
        <f t="shared" si="453"/>
        <v>|||</v>
      </c>
      <c r="H11963" s="835">
        <f t="shared" si="454"/>
        <v>31</v>
      </c>
      <c r="AF11963" s="831" t="s">
        <v>10930</v>
      </c>
      <c r="AG11963" s="831" t="s">
        <v>2674</v>
      </c>
      <c r="AH11963" s="831" t="s">
        <v>575</v>
      </c>
      <c r="AI11963" s="831">
        <v>0</v>
      </c>
      <c r="AJ11963" s="835">
        <v>41425</v>
      </c>
      <c r="AK11963" s="831">
        <v>101069296.16666667</v>
      </c>
    </row>
    <row r="11964" spans="2:37">
      <c r="B11964" s="834" t="str">
        <f t="shared" si="453"/>
        <v>|||</v>
      </c>
      <c r="H11964" s="835">
        <f t="shared" si="454"/>
        <v>31</v>
      </c>
      <c r="AF11964" s="831" t="s">
        <v>10931</v>
      </c>
      <c r="AG11964" s="831" t="s">
        <v>2674</v>
      </c>
      <c r="AH11964" s="831" t="s">
        <v>576</v>
      </c>
      <c r="AI11964" s="831">
        <v>0</v>
      </c>
      <c r="AJ11964" s="835">
        <v>41425</v>
      </c>
      <c r="AK11964" s="831">
        <v>247239046.16666666</v>
      </c>
    </row>
    <row r="11965" spans="2:37">
      <c r="B11965" s="834" t="str">
        <f t="shared" si="453"/>
        <v>|||</v>
      </c>
      <c r="H11965" s="835">
        <f t="shared" si="454"/>
        <v>31</v>
      </c>
      <c r="AF11965" s="831" t="s">
        <v>10932</v>
      </c>
      <c r="AG11965" s="831" t="s">
        <v>2674</v>
      </c>
      <c r="AH11965" s="831" t="s">
        <v>572</v>
      </c>
      <c r="AI11965" s="831">
        <v>0</v>
      </c>
      <c r="AJ11965" s="835">
        <v>41425</v>
      </c>
      <c r="AK11965" s="831">
        <v>21530747</v>
      </c>
    </row>
    <row r="11966" spans="2:37">
      <c r="B11966" s="834" t="str">
        <f t="shared" si="453"/>
        <v>|||</v>
      </c>
      <c r="H11966" s="835">
        <f t="shared" si="454"/>
        <v>31</v>
      </c>
      <c r="AF11966" s="831" t="s">
        <v>10933</v>
      </c>
      <c r="AG11966" s="831" t="s">
        <v>2674</v>
      </c>
      <c r="AH11966" s="831" t="s">
        <v>577</v>
      </c>
      <c r="AI11966" s="831">
        <v>0</v>
      </c>
      <c r="AJ11966" s="835">
        <v>41425</v>
      </c>
      <c r="AK11966" s="831">
        <v>110403012</v>
      </c>
    </row>
    <row r="11967" spans="2:37">
      <c r="B11967" s="834" t="str">
        <f t="shared" si="453"/>
        <v>|||</v>
      </c>
      <c r="H11967" s="835">
        <f t="shared" si="454"/>
        <v>31</v>
      </c>
      <c r="AF11967" s="831" t="s">
        <v>10934</v>
      </c>
      <c r="AG11967" s="831" t="s">
        <v>2674</v>
      </c>
      <c r="AH11967" s="831" t="s">
        <v>3042</v>
      </c>
      <c r="AI11967" s="831">
        <v>0</v>
      </c>
      <c r="AJ11967" s="835">
        <v>41425</v>
      </c>
      <c r="AK11967" s="831">
        <v>-27020607</v>
      </c>
    </row>
    <row r="11968" spans="2:37">
      <c r="B11968" s="834" t="str">
        <f t="shared" si="453"/>
        <v>|||</v>
      </c>
      <c r="H11968" s="835">
        <f t="shared" si="454"/>
        <v>31</v>
      </c>
      <c r="AF11968" s="831" t="s">
        <v>10935</v>
      </c>
      <c r="AG11968" s="831" t="s">
        <v>2674</v>
      </c>
      <c r="AH11968" s="831" t="s">
        <v>3044</v>
      </c>
      <c r="AI11968" s="831">
        <v>0</v>
      </c>
      <c r="AJ11968" s="835">
        <v>41425</v>
      </c>
      <c r="AK11968" s="831">
        <v>-4070350</v>
      </c>
    </row>
    <row r="11969" spans="2:37">
      <c r="B11969" s="834" t="str">
        <f t="shared" si="453"/>
        <v>|||</v>
      </c>
      <c r="H11969" s="835">
        <f t="shared" si="454"/>
        <v>31</v>
      </c>
      <c r="AF11969" s="831" t="s">
        <v>10936</v>
      </c>
      <c r="AG11969" s="831" t="s">
        <v>2674</v>
      </c>
      <c r="AH11969" s="831" t="s">
        <v>580</v>
      </c>
      <c r="AI11969" s="831">
        <v>0</v>
      </c>
      <c r="AJ11969" s="835">
        <v>41425</v>
      </c>
      <c r="AK11969" s="831">
        <v>-55847177</v>
      </c>
    </row>
    <row r="11970" spans="2:37">
      <c r="B11970" s="834" t="str">
        <f t="shared" si="453"/>
        <v>|||</v>
      </c>
      <c r="H11970" s="835">
        <f t="shared" si="454"/>
        <v>31</v>
      </c>
      <c r="AF11970" s="831" t="s">
        <v>10937</v>
      </c>
      <c r="AG11970" s="831" t="s">
        <v>2674</v>
      </c>
      <c r="AH11970" s="831" t="s">
        <v>581</v>
      </c>
      <c r="AI11970" s="831">
        <v>0</v>
      </c>
      <c r="AJ11970" s="835">
        <v>41425</v>
      </c>
      <c r="AK11970" s="831">
        <v>3833349</v>
      </c>
    </row>
    <row r="11971" spans="2:37">
      <c r="B11971" s="834" t="str">
        <f t="shared" si="453"/>
        <v>|||</v>
      </c>
      <c r="H11971" s="835">
        <f t="shared" si="454"/>
        <v>31</v>
      </c>
      <c r="AF11971" s="831" t="s">
        <v>10938</v>
      </c>
      <c r="AG11971" s="831" t="s">
        <v>2674</v>
      </c>
      <c r="AH11971" s="831" t="s">
        <v>105</v>
      </c>
      <c r="AI11971" s="831">
        <v>0</v>
      </c>
      <c r="AJ11971" s="835">
        <v>41425</v>
      </c>
      <c r="AK11971" s="831">
        <v>274684797</v>
      </c>
    </row>
    <row r="11972" spans="2:37">
      <c r="B11972" s="834" t="str">
        <f t="shared" si="453"/>
        <v>|||</v>
      </c>
      <c r="H11972" s="835">
        <f t="shared" si="454"/>
        <v>31</v>
      </c>
      <c r="AF11972" s="831" t="s">
        <v>10939</v>
      </c>
      <c r="AG11972" s="831" t="s">
        <v>2674</v>
      </c>
      <c r="AH11972" s="831" t="s">
        <v>3049</v>
      </c>
      <c r="AI11972" s="831">
        <v>0</v>
      </c>
      <c r="AJ11972" s="835">
        <v>41425</v>
      </c>
      <c r="AK11972" s="831">
        <v>474215187</v>
      </c>
    </row>
    <row r="11973" spans="2:37">
      <c r="B11973" s="834" t="str">
        <f t="shared" si="453"/>
        <v>|||</v>
      </c>
      <c r="H11973" s="835">
        <f t="shared" si="454"/>
        <v>31</v>
      </c>
      <c r="AF11973" s="831" t="s">
        <v>10940</v>
      </c>
      <c r="AG11973" s="831" t="s">
        <v>2674</v>
      </c>
      <c r="AH11973" s="831" t="s">
        <v>103</v>
      </c>
      <c r="AI11973" s="831">
        <v>0</v>
      </c>
      <c r="AJ11973" s="835">
        <v>41425</v>
      </c>
      <c r="AK11973" s="831">
        <v>199530390</v>
      </c>
    </row>
    <row r="11974" spans="2:37">
      <c r="B11974" s="834" t="str">
        <f t="shared" si="453"/>
        <v>|||</v>
      </c>
      <c r="H11974" s="835">
        <f t="shared" si="454"/>
        <v>31</v>
      </c>
      <c r="AF11974" s="831" t="s">
        <v>10941</v>
      </c>
      <c r="AG11974" s="831" t="s">
        <v>2674</v>
      </c>
      <c r="AH11974" s="831" t="s">
        <v>182</v>
      </c>
      <c r="AI11974" s="831">
        <v>0</v>
      </c>
      <c r="AJ11974" s="835">
        <v>41425</v>
      </c>
      <c r="AK11974" s="831">
        <v>56542824</v>
      </c>
    </row>
    <row r="11975" spans="2:37">
      <c r="B11975" s="834" t="str">
        <f t="shared" si="453"/>
        <v>|||</v>
      </c>
      <c r="H11975" s="835">
        <f t="shared" si="454"/>
        <v>31</v>
      </c>
      <c r="AF11975" s="831" t="s">
        <v>10942</v>
      </c>
      <c r="AG11975" s="831" t="s">
        <v>2674</v>
      </c>
      <c r="AH11975" s="831" t="s">
        <v>6600</v>
      </c>
      <c r="AI11975" s="831">
        <v>0</v>
      </c>
      <c r="AJ11975" s="835">
        <v>41425</v>
      </c>
      <c r="AK11975" s="831">
        <v>21530747</v>
      </c>
    </row>
    <row r="11976" spans="2:37">
      <c r="B11976" s="834" t="str">
        <f t="shared" si="453"/>
        <v>|||</v>
      </c>
      <c r="H11976" s="835">
        <f t="shared" si="454"/>
        <v>31</v>
      </c>
      <c r="AF11976" s="831" t="s">
        <v>10943</v>
      </c>
      <c r="AG11976" s="831" t="s">
        <v>2674</v>
      </c>
      <c r="AH11976" s="831" t="s">
        <v>6602</v>
      </c>
      <c r="AI11976" s="831">
        <v>0</v>
      </c>
      <c r="AJ11976" s="835">
        <v>41425</v>
      </c>
      <c r="AK11976" s="831">
        <v>10888133</v>
      </c>
    </row>
    <row r="11977" spans="2:37">
      <c r="B11977" s="834" t="str">
        <f t="shared" si="453"/>
        <v>|||</v>
      </c>
      <c r="H11977" s="835">
        <f t="shared" si="454"/>
        <v>31</v>
      </c>
      <c r="AF11977" s="831" t="s">
        <v>10944</v>
      </c>
      <c r="AG11977" s="831" t="s">
        <v>2674</v>
      </c>
      <c r="AH11977" s="831" t="s">
        <v>650</v>
      </c>
      <c r="AI11977" s="831">
        <v>0</v>
      </c>
      <c r="AJ11977" s="835">
        <v>41425</v>
      </c>
      <c r="AK11977" s="831">
        <v>170020812.07692307</v>
      </c>
    </row>
    <row r="11978" spans="2:37">
      <c r="B11978" s="834" t="str">
        <f t="shared" si="453"/>
        <v>|||</v>
      </c>
      <c r="H11978" s="835">
        <f t="shared" si="454"/>
        <v>31</v>
      </c>
      <c r="AF11978" s="831" t="s">
        <v>10945</v>
      </c>
      <c r="AG11978" s="831" t="s">
        <v>2674</v>
      </c>
      <c r="AH11978" s="831" t="s">
        <v>655</v>
      </c>
      <c r="AI11978" s="831">
        <v>0</v>
      </c>
      <c r="AJ11978" s="835">
        <v>41425</v>
      </c>
      <c r="AK11978" s="831">
        <v>2273827</v>
      </c>
    </row>
    <row r="11979" spans="2:37">
      <c r="B11979" s="834" t="str">
        <f t="shared" si="453"/>
        <v>|||</v>
      </c>
      <c r="H11979" s="835">
        <f t="shared" si="454"/>
        <v>31</v>
      </c>
      <c r="AF11979" s="831" t="s">
        <v>10946</v>
      </c>
      <c r="AG11979" s="831" t="s">
        <v>2674</v>
      </c>
      <c r="AH11979" s="831" t="s">
        <v>546</v>
      </c>
      <c r="AI11979" s="831">
        <v>0</v>
      </c>
      <c r="AJ11979" s="835">
        <v>41455</v>
      </c>
      <c r="AK11979" s="831">
        <v>514798833</v>
      </c>
    </row>
    <row r="11980" spans="2:37">
      <c r="B11980" s="834" t="str">
        <f t="shared" si="453"/>
        <v>|||</v>
      </c>
      <c r="H11980" s="835">
        <f t="shared" si="454"/>
        <v>31</v>
      </c>
      <c r="AF11980" s="831" t="s">
        <v>10947</v>
      </c>
      <c r="AG11980" s="831" t="s">
        <v>2674</v>
      </c>
      <c r="AH11980" s="831" t="s">
        <v>370</v>
      </c>
      <c r="AI11980" s="831">
        <v>0</v>
      </c>
      <c r="AJ11980" s="835">
        <v>41455</v>
      </c>
      <c r="AK11980" s="831">
        <v>641101315</v>
      </c>
    </row>
    <row r="11981" spans="2:37">
      <c r="B11981" s="834" t="str">
        <f t="shared" si="453"/>
        <v>|||</v>
      </c>
      <c r="H11981" s="835">
        <f t="shared" si="454"/>
        <v>31</v>
      </c>
      <c r="AF11981" s="831" t="s">
        <v>10948</v>
      </c>
      <c r="AG11981" s="831" t="s">
        <v>2674</v>
      </c>
      <c r="AH11981" s="831" t="s">
        <v>126</v>
      </c>
      <c r="AI11981" s="831">
        <v>0</v>
      </c>
      <c r="AJ11981" s="835">
        <v>41455</v>
      </c>
      <c r="AK11981" s="831">
        <v>108060358</v>
      </c>
    </row>
    <row r="11982" spans="2:37">
      <c r="B11982" s="834" t="str">
        <f t="shared" si="453"/>
        <v>|||</v>
      </c>
      <c r="H11982" s="835">
        <f t="shared" si="454"/>
        <v>31</v>
      </c>
      <c r="AF11982" s="831" t="s">
        <v>10949</v>
      </c>
      <c r="AG11982" s="831" t="s">
        <v>2674</v>
      </c>
      <c r="AH11982" s="831" t="s">
        <v>268</v>
      </c>
      <c r="AI11982" s="831">
        <v>0</v>
      </c>
      <c r="AJ11982" s="835">
        <v>41455</v>
      </c>
      <c r="AK11982" s="831">
        <v>13297133</v>
      </c>
    </row>
    <row r="11983" spans="2:37">
      <c r="B11983" s="834" t="str">
        <f t="shared" si="453"/>
        <v>|||</v>
      </c>
      <c r="H11983" s="835">
        <f t="shared" si="454"/>
        <v>31</v>
      </c>
      <c r="AF11983" s="831" t="s">
        <v>10950</v>
      </c>
      <c r="AG11983" s="831" t="s">
        <v>2674</v>
      </c>
      <c r="AH11983" s="831" t="s">
        <v>547</v>
      </c>
      <c r="AI11983" s="831">
        <v>0</v>
      </c>
      <c r="AJ11983" s="835">
        <v>41455</v>
      </c>
      <c r="AK11983" s="831">
        <v>511487760</v>
      </c>
    </row>
    <row r="11984" spans="2:37">
      <c r="B11984" s="834" t="str">
        <f t="shared" si="453"/>
        <v>|||</v>
      </c>
      <c r="H11984" s="835">
        <f t="shared" si="454"/>
        <v>31</v>
      </c>
      <c r="AF11984" s="831" t="s">
        <v>10951</v>
      </c>
      <c r="AG11984" s="831" t="s">
        <v>2674</v>
      </c>
      <c r="AH11984" s="831" t="s">
        <v>548</v>
      </c>
      <c r="AI11984" s="831">
        <v>0</v>
      </c>
      <c r="AJ11984" s="835">
        <v>41455</v>
      </c>
      <c r="AK11984" s="831">
        <v>96883184</v>
      </c>
    </row>
    <row r="11985" spans="2:37">
      <c r="B11985" s="834" t="str">
        <f t="shared" ref="B11985:B12048" si="455">C11985&amp;"|"&amp;D11985&amp;"|"&amp;E11985&amp;"|"&amp;F11985</f>
        <v>|||</v>
      </c>
      <c r="H11985" s="835">
        <f t="shared" ref="H11985:H12048" si="456">EOMONTH(L11985,0)</f>
        <v>31</v>
      </c>
      <c r="AF11985" s="831" t="s">
        <v>10952</v>
      </c>
      <c r="AG11985" s="831" t="s">
        <v>2674</v>
      </c>
      <c r="AH11985" s="831" t="s">
        <v>549</v>
      </c>
      <c r="AI11985" s="831">
        <v>0</v>
      </c>
      <c r="AJ11985" s="835">
        <v>41455</v>
      </c>
      <c r="AK11985" s="831">
        <v>342628450</v>
      </c>
    </row>
    <row r="11986" spans="2:37">
      <c r="B11986" s="834" t="str">
        <f t="shared" si="455"/>
        <v>|||</v>
      </c>
      <c r="H11986" s="835">
        <f t="shared" si="456"/>
        <v>31</v>
      </c>
      <c r="AF11986" s="831" t="s">
        <v>10953</v>
      </c>
      <c r="AG11986" s="831" t="s">
        <v>2674</v>
      </c>
      <c r="AH11986" s="831" t="s">
        <v>192</v>
      </c>
      <c r="AI11986" s="831">
        <v>0</v>
      </c>
      <c r="AJ11986" s="835">
        <v>41455</v>
      </c>
      <c r="AK11986" s="831">
        <v>-11546784</v>
      </c>
    </row>
    <row r="11987" spans="2:37">
      <c r="B11987" s="834" t="str">
        <f t="shared" si="455"/>
        <v>|||</v>
      </c>
      <c r="H11987" s="835">
        <f t="shared" si="456"/>
        <v>31</v>
      </c>
      <c r="AF11987" s="831" t="s">
        <v>10954</v>
      </c>
      <c r="AG11987" s="831" t="s">
        <v>2674</v>
      </c>
      <c r="AH11987" s="831" t="s">
        <v>558</v>
      </c>
      <c r="AI11987" s="831">
        <v>0</v>
      </c>
      <c r="AJ11987" s="835">
        <v>41455</v>
      </c>
      <c r="AK11987" s="831">
        <v>533040957</v>
      </c>
    </row>
    <row r="11988" spans="2:37">
      <c r="B11988" s="834" t="str">
        <f t="shared" si="455"/>
        <v>|||</v>
      </c>
      <c r="H11988" s="835">
        <f t="shared" si="456"/>
        <v>31</v>
      </c>
      <c r="AF11988" s="831" t="s">
        <v>10955</v>
      </c>
      <c r="AG11988" s="831" t="s">
        <v>2674</v>
      </c>
      <c r="AH11988" s="831" t="s">
        <v>65</v>
      </c>
      <c r="AI11988" s="831">
        <v>0</v>
      </c>
      <c r="AJ11988" s="835">
        <v>41455</v>
      </c>
      <c r="AK11988" s="831">
        <v>60193699</v>
      </c>
    </row>
    <row r="11989" spans="2:37">
      <c r="B11989" s="834" t="str">
        <f t="shared" si="455"/>
        <v>|||</v>
      </c>
      <c r="H11989" s="835">
        <f t="shared" si="456"/>
        <v>31</v>
      </c>
      <c r="AF11989" s="831" t="s">
        <v>10956</v>
      </c>
      <c r="AG11989" s="831" t="s">
        <v>2674</v>
      </c>
      <c r="AH11989" s="831" t="s">
        <v>89</v>
      </c>
      <c r="AI11989" s="831">
        <v>0</v>
      </c>
      <c r="AJ11989" s="835">
        <v>41455</v>
      </c>
      <c r="AK11989" s="831">
        <v>136633</v>
      </c>
    </row>
    <row r="11990" spans="2:37">
      <c r="B11990" s="834" t="str">
        <f t="shared" si="455"/>
        <v>|||</v>
      </c>
      <c r="H11990" s="835">
        <f t="shared" si="456"/>
        <v>31</v>
      </c>
      <c r="AF11990" s="831" t="s">
        <v>10957</v>
      </c>
      <c r="AG11990" s="831" t="s">
        <v>2674</v>
      </c>
      <c r="AH11990" s="831" t="s">
        <v>557</v>
      </c>
      <c r="AI11990" s="831">
        <v>0</v>
      </c>
      <c r="AJ11990" s="835">
        <v>41455</v>
      </c>
      <c r="AK11990" s="831">
        <v>142092</v>
      </c>
    </row>
    <row r="11991" spans="2:37">
      <c r="B11991" s="834" t="str">
        <f t="shared" si="455"/>
        <v>|||</v>
      </c>
      <c r="H11991" s="835">
        <f t="shared" si="456"/>
        <v>31</v>
      </c>
      <c r="AF11991" s="831" t="s">
        <v>10958</v>
      </c>
      <c r="AG11991" s="831" t="s">
        <v>2674</v>
      </c>
      <c r="AH11991" s="831" t="s">
        <v>29</v>
      </c>
      <c r="AI11991" s="831">
        <v>0</v>
      </c>
      <c r="AJ11991" s="835">
        <v>41455</v>
      </c>
      <c r="AK11991" s="831">
        <v>1424399.06</v>
      </c>
    </row>
    <row r="11992" spans="2:37">
      <c r="B11992" s="834" t="str">
        <f t="shared" si="455"/>
        <v>|||</v>
      </c>
      <c r="H11992" s="835">
        <f t="shared" si="456"/>
        <v>31</v>
      </c>
      <c r="AF11992" s="831" t="s">
        <v>10959</v>
      </c>
      <c r="AG11992" s="831" t="s">
        <v>2674</v>
      </c>
      <c r="AH11992" s="831" t="s">
        <v>2688</v>
      </c>
      <c r="AI11992" s="831">
        <v>0</v>
      </c>
      <c r="AJ11992" s="835">
        <v>41455</v>
      </c>
      <c r="AK11992" s="831">
        <v>2204366.9500000002</v>
      </c>
    </row>
    <row r="11993" spans="2:37">
      <c r="B11993" s="834" t="str">
        <f t="shared" si="455"/>
        <v>|||</v>
      </c>
      <c r="H11993" s="835">
        <f t="shared" si="456"/>
        <v>31</v>
      </c>
      <c r="AF11993" s="831" t="s">
        <v>10960</v>
      </c>
      <c r="AG11993" s="831" t="s">
        <v>2674</v>
      </c>
      <c r="AH11993" s="831" t="s">
        <v>556</v>
      </c>
      <c r="AI11993" s="831">
        <v>0</v>
      </c>
      <c r="AJ11993" s="835">
        <v>41455</v>
      </c>
      <c r="AK11993" s="831">
        <v>902857</v>
      </c>
    </row>
    <row r="11994" spans="2:37">
      <c r="B11994" s="834" t="str">
        <f t="shared" si="455"/>
        <v>|||</v>
      </c>
      <c r="H11994" s="835">
        <f t="shared" si="456"/>
        <v>31</v>
      </c>
      <c r="AF11994" s="831" t="s">
        <v>10961</v>
      </c>
      <c r="AG11994" s="831" t="s">
        <v>2674</v>
      </c>
      <c r="AH11994" s="831" t="s">
        <v>555</v>
      </c>
      <c r="AI11994" s="831">
        <v>0</v>
      </c>
      <c r="AJ11994" s="835">
        <v>41455</v>
      </c>
      <c r="AK11994" s="831">
        <v>353611880</v>
      </c>
    </row>
    <row r="11995" spans="2:37">
      <c r="B11995" s="834" t="str">
        <f t="shared" si="455"/>
        <v>|||</v>
      </c>
      <c r="H11995" s="835">
        <f t="shared" si="456"/>
        <v>31</v>
      </c>
      <c r="AF11995" s="831" t="s">
        <v>10962</v>
      </c>
      <c r="AG11995" s="831" t="s">
        <v>2674</v>
      </c>
      <c r="AH11995" s="831" t="s">
        <v>554</v>
      </c>
      <c r="AI11995" s="831">
        <v>0</v>
      </c>
      <c r="AJ11995" s="835">
        <v>41455</v>
      </c>
      <c r="AK11995" s="831">
        <v>343079700</v>
      </c>
    </row>
    <row r="11996" spans="2:37">
      <c r="B11996" s="834" t="str">
        <f t="shared" si="455"/>
        <v>|||</v>
      </c>
      <c r="H11996" s="835">
        <f t="shared" si="456"/>
        <v>31</v>
      </c>
      <c r="AF11996" s="831" t="s">
        <v>10963</v>
      </c>
      <c r="AG11996" s="831" t="s">
        <v>2674</v>
      </c>
      <c r="AH11996" s="831" t="s">
        <v>553</v>
      </c>
      <c r="AI11996" s="831">
        <v>0</v>
      </c>
      <c r="AJ11996" s="835">
        <v>41455</v>
      </c>
      <c r="AK11996" s="831">
        <v>0</v>
      </c>
    </row>
    <row r="11997" spans="2:37">
      <c r="B11997" s="834" t="str">
        <f t="shared" si="455"/>
        <v>|||</v>
      </c>
      <c r="H11997" s="835">
        <f t="shared" si="456"/>
        <v>31</v>
      </c>
      <c r="AF11997" s="831" t="s">
        <v>10964</v>
      </c>
      <c r="AG11997" s="831" t="s">
        <v>2674</v>
      </c>
      <c r="AH11997" s="831" t="s">
        <v>552</v>
      </c>
      <c r="AI11997" s="831">
        <v>0</v>
      </c>
      <c r="AJ11997" s="835">
        <v>41455</v>
      </c>
      <c r="AK11997" s="831">
        <v>0</v>
      </c>
    </row>
    <row r="11998" spans="2:37">
      <c r="B11998" s="834" t="str">
        <f t="shared" si="455"/>
        <v>|||</v>
      </c>
      <c r="H11998" s="835">
        <f t="shared" si="456"/>
        <v>31</v>
      </c>
      <c r="AF11998" s="831" t="s">
        <v>10965</v>
      </c>
      <c r="AG11998" s="831" t="s">
        <v>2674</v>
      </c>
      <c r="AH11998" s="831" t="s">
        <v>551</v>
      </c>
      <c r="AI11998" s="831">
        <v>0</v>
      </c>
      <c r="AJ11998" s="835">
        <v>41455</v>
      </c>
      <c r="AK11998" s="831">
        <v>1176193.06</v>
      </c>
    </row>
    <row r="11999" spans="2:37">
      <c r="B11999" s="834" t="str">
        <f t="shared" si="455"/>
        <v>|||</v>
      </c>
      <c r="H11999" s="835">
        <f t="shared" si="456"/>
        <v>31</v>
      </c>
      <c r="AF11999" s="831" t="s">
        <v>10966</v>
      </c>
      <c r="AG11999" s="831" t="s">
        <v>2674</v>
      </c>
      <c r="AH11999" s="831" t="s">
        <v>550</v>
      </c>
      <c r="AI11999" s="831">
        <v>0</v>
      </c>
      <c r="AJ11999" s="835">
        <v>41455</v>
      </c>
      <c r="AK11999" s="831">
        <v>105651356</v>
      </c>
    </row>
    <row r="12000" spans="2:37">
      <c r="B12000" s="834" t="str">
        <f t="shared" si="455"/>
        <v>|||</v>
      </c>
      <c r="H12000" s="835">
        <f t="shared" si="456"/>
        <v>31</v>
      </c>
      <c r="AF12000" s="831" t="s">
        <v>10967</v>
      </c>
      <c r="AG12000" s="831" t="s">
        <v>2674</v>
      </c>
      <c r="AH12000" s="831" t="s">
        <v>562</v>
      </c>
      <c r="AI12000" s="831">
        <v>0</v>
      </c>
      <c r="AJ12000" s="835">
        <v>41455</v>
      </c>
      <c r="AK12000" s="831">
        <v>0.78395000000000004</v>
      </c>
    </row>
    <row r="12001" spans="2:37">
      <c r="B12001" s="834" t="str">
        <f t="shared" si="455"/>
        <v>|||</v>
      </c>
      <c r="H12001" s="835">
        <f t="shared" si="456"/>
        <v>31</v>
      </c>
      <c r="AF12001" s="831" t="s">
        <v>10968</v>
      </c>
      <c r="AG12001" s="831" t="s">
        <v>2674</v>
      </c>
      <c r="AH12001" s="831" t="s">
        <v>2698</v>
      </c>
      <c r="AI12001" s="831">
        <v>0</v>
      </c>
      <c r="AJ12001" s="835">
        <v>41455</v>
      </c>
      <c r="AK12001" s="831">
        <v>0.78405000000000002</v>
      </c>
    </row>
    <row r="12002" spans="2:37">
      <c r="B12002" s="834" t="str">
        <f t="shared" si="455"/>
        <v>|||</v>
      </c>
      <c r="H12002" s="835">
        <f t="shared" si="456"/>
        <v>31</v>
      </c>
      <c r="AF12002" s="831" t="s">
        <v>10969</v>
      </c>
      <c r="AG12002" s="831" t="s">
        <v>2674</v>
      </c>
      <c r="AH12002" s="831" t="s">
        <v>560</v>
      </c>
      <c r="AI12002" s="831">
        <v>0</v>
      </c>
      <c r="AJ12002" s="835">
        <v>41455</v>
      </c>
      <c r="AK12002" s="831">
        <v>0.78408333333333335</v>
      </c>
    </row>
    <row r="12003" spans="2:37">
      <c r="B12003" s="834" t="str">
        <f t="shared" si="455"/>
        <v>|||</v>
      </c>
      <c r="H12003" s="835">
        <f t="shared" si="456"/>
        <v>31</v>
      </c>
      <c r="AF12003" s="831" t="s">
        <v>10970</v>
      </c>
      <c r="AG12003" s="831" t="s">
        <v>2674</v>
      </c>
      <c r="AH12003" s="831" t="s">
        <v>559</v>
      </c>
      <c r="AI12003" s="831">
        <v>0</v>
      </c>
      <c r="AJ12003" s="835">
        <v>41455</v>
      </c>
      <c r="AK12003" s="831">
        <v>0.78425833333333339</v>
      </c>
    </row>
    <row r="12004" spans="2:37">
      <c r="B12004" s="834" t="str">
        <f t="shared" si="455"/>
        <v>|||</v>
      </c>
      <c r="H12004" s="835">
        <f t="shared" si="456"/>
        <v>31</v>
      </c>
      <c r="AF12004" s="831" t="s">
        <v>10971</v>
      </c>
      <c r="AG12004" s="831" t="s">
        <v>2674</v>
      </c>
      <c r="AH12004" s="831" t="s">
        <v>568</v>
      </c>
      <c r="AI12004" s="831">
        <v>0</v>
      </c>
      <c r="AJ12004" s="835">
        <v>41455</v>
      </c>
      <c r="AK12004" s="831">
        <v>416775328.76923078</v>
      </c>
    </row>
    <row r="12005" spans="2:37">
      <c r="B12005" s="834" t="str">
        <f t="shared" si="455"/>
        <v>|||</v>
      </c>
      <c r="H12005" s="835">
        <f t="shared" si="456"/>
        <v>31</v>
      </c>
      <c r="AF12005" s="831" t="s">
        <v>10972</v>
      </c>
      <c r="AG12005" s="831" t="s">
        <v>2674</v>
      </c>
      <c r="AH12005" s="831" t="s">
        <v>569</v>
      </c>
      <c r="AI12005" s="831">
        <v>0</v>
      </c>
      <c r="AJ12005" s="835">
        <v>41455</v>
      </c>
      <c r="AK12005" s="831">
        <v>507070422.30769229</v>
      </c>
    </row>
    <row r="12006" spans="2:37">
      <c r="B12006" s="834" t="str">
        <f t="shared" si="455"/>
        <v>|||</v>
      </c>
      <c r="H12006" s="835">
        <f t="shared" si="456"/>
        <v>31</v>
      </c>
      <c r="AF12006" s="831" t="s">
        <v>10973</v>
      </c>
      <c r="AG12006" s="831" t="s">
        <v>2674</v>
      </c>
      <c r="AH12006" s="831" t="s">
        <v>570</v>
      </c>
      <c r="AI12006" s="831">
        <v>0</v>
      </c>
      <c r="AJ12006" s="835">
        <v>41455</v>
      </c>
      <c r="AK12006" s="831">
        <v>99514662.461538464</v>
      </c>
    </row>
    <row r="12007" spans="2:37">
      <c r="B12007" s="834" t="str">
        <f t="shared" si="455"/>
        <v>|||</v>
      </c>
      <c r="H12007" s="835">
        <f t="shared" si="456"/>
        <v>31</v>
      </c>
      <c r="AF12007" s="831" t="s">
        <v>10974</v>
      </c>
      <c r="AG12007" s="831" t="s">
        <v>2674</v>
      </c>
      <c r="AH12007" s="831" t="s">
        <v>571</v>
      </c>
      <c r="AI12007" s="831">
        <v>0</v>
      </c>
      <c r="AJ12007" s="835">
        <v>41455</v>
      </c>
      <c r="AK12007" s="831">
        <v>220626949.15384614</v>
      </c>
    </row>
    <row r="12008" spans="2:37">
      <c r="B12008" s="834" t="str">
        <f t="shared" si="455"/>
        <v>|||</v>
      </c>
      <c r="H12008" s="835">
        <f t="shared" si="456"/>
        <v>31</v>
      </c>
      <c r="AF12008" s="831" t="s">
        <v>10975</v>
      </c>
      <c r="AG12008" s="831" t="s">
        <v>2674</v>
      </c>
      <c r="AH12008" s="831" t="s">
        <v>573</v>
      </c>
      <c r="AI12008" s="831">
        <v>0</v>
      </c>
      <c r="AJ12008" s="835">
        <v>41455</v>
      </c>
      <c r="AK12008" s="831">
        <v>557218597.28571427</v>
      </c>
    </row>
    <row r="12009" spans="2:37">
      <c r="B12009" s="834" t="str">
        <f t="shared" si="455"/>
        <v>|||</v>
      </c>
      <c r="H12009" s="835">
        <f t="shared" si="456"/>
        <v>31</v>
      </c>
      <c r="AF12009" s="831" t="s">
        <v>10976</v>
      </c>
      <c r="AG12009" s="831" t="s">
        <v>2674</v>
      </c>
      <c r="AH12009" s="831" t="s">
        <v>574</v>
      </c>
      <c r="AI12009" s="831">
        <v>0</v>
      </c>
      <c r="AJ12009" s="835">
        <v>41455</v>
      </c>
      <c r="AK12009" s="831">
        <v>460782606.85714287</v>
      </c>
    </row>
    <row r="12010" spans="2:37">
      <c r="B12010" s="834" t="str">
        <f t="shared" si="455"/>
        <v>|||</v>
      </c>
      <c r="H12010" s="835">
        <f t="shared" si="456"/>
        <v>31</v>
      </c>
      <c r="AF12010" s="831" t="s">
        <v>10977</v>
      </c>
      <c r="AG12010" s="831" t="s">
        <v>2674</v>
      </c>
      <c r="AH12010" s="831" t="s">
        <v>575</v>
      </c>
      <c r="AI12010" s="831">
        <v>0</v>
      </c>
      <c r="AJ12010" s="835">
        <v>41455</v>
      </c>
      <c r="AK12010" s="831">
        <v>102068019.28571428</v>
      </c>
    </row>
    <row r="12011" spans="2:37">
      <c r="B12011" s="834" t="str">
        <f t="shared" si="455"/>
        <v>|||</v>
      </c>
      <c r="H12011" s="835">
        <f t="shared" si="456"/>
        <v>31</v>
      </c>
      <c r="AF12011" s="831" t="s">
        <v>10978</v>
      </c>
      <c r="AG12011" s="831" t="s">
        <v>2674</v>
      </c>
      <c r="AH12011" s="831" t="s">
        <v>576</v>
      </c>
      <c r="AI12011" s="831">
        <v>0</v>
      </c>
      <c r="AJ12011" s="835">
        <v>41455</v>
      </c>
      <c r="AK12011" s="831">
        <v>256882402</v>
      </c>
    </row>
    <row r="12012" spans="2:37">
      <c r="B12012" s="834" t="str">
        <f t="shared" si="455"/>
        <v>|||</v>
      </c>
      <c r="H12012" s="835">
        <f t="shared" si="456"/>
        <v>31</v>
      </c>
      <c r="AF12012" s="831" t="s">
        <v>10979</v>
      </c>
      <c r="AG12012" s="831" t="s">
        <v>2674</v>
      </c>
      <c r="AH12012" s="831" t="s">
        <v>572</v>
      </c>
      <c r="AI12012" s="831">
        <v>0</v>
      </c>
      <c r="AJ12012" s="835">
        <v>41455</v>
      </c>
      <c r="AK12012" s="831">
        <v>22784991</v>
      </c>
    </row>
    <row r="12013" spans="2:37">
      <c r="B12013" s="834" t="str">
        <f t="shared" si="455"/>
        <v>|||</v>
      </c>
      <c r="H12013" s="835">
        <f t="shared" si="456"/>
        <v>31</v>
      </c>
      <c r="AF12013" s="831" t="s">
        <v>10980</v>
      </c>
      <c r="AG12013" s="831" t="s">
        <v>2674</v>
      </c>
      <c r="AH12013" s="831" t="s">
        <v>577</v>
      </c>
      <c r="AI12013" s="831">
        <v>0</v>
      </c>
      <c r="AJ12013" s="835">
        <v>41455</v>
      </c>
      <c r="AK12013" s="831">
        <v>112999724</v>
      </c>
    </row>
    <row r="12014" spans="2:37">
      <c r="B12014" s="834" t="str">
        <f t="shared" si="455"/>
        <v>|||</v>
      </c>
      <c r="H12014" s="835">
        <f t="shared" si="456"/>
        <v>31</v>
      </c>
      <c r="AF12014" s="831" t="s">
        <v>10981</v>
      </c>
      <c r="AG12014" s="831" t="s">
        <v>2674</v>
      </c>
      <c r="AH12014" s="831" t="s">
        <v>3042</v>
      </c>
      <c r="AI12014" s="831">
        <v>0</v>
      </c>
      <c r="AJ12014" s="835">
        <v>41455</v>
      </c>
      <c r="AK12014" s="831">
        <v>-27618860</v>
      </c>
    </row>
    <row r="12015" spans="2:37">
      <c r="B12015" s="834" t="str">
        <f t="shared" si="455"/>
        <v>|||</v>
      </c>
      <c r="H12015" s="835">
        <f t="shared" si="456"/>
        <v>31</v>
      </c>
      <c r="AF12015" s="831" t="s">
        <v>10982</v>
      </c>
      <c r="AG12015" s="831" t="s">
        <v>2674</v>
      </c>
      <c r="AH12015" s="831" t="s">
        <v>3044</v>
      </c>
      <c r="AI12015" s="831">
        <v>0</v>
      </c>
      <c r="AJ12015" s="835">
        <v>41455</v>
      </c>
      <c r="AK12015" s="831">
        <v>-4183071</v>
      </c>
    </row>
    <row r="12016" spans="2:37">
      <c r="B12016" s="834" t="str">
        <f t="shared" si="455"/>
        <v>|||</v>
      </c>
      <c r="H12016" s="835">
        <f t="shared" si="456"/>
        <v>31</v>
      </c>
      <c r="AF12016" s="831" t="s">
        <v>10983</v>
      </c>
      <c r="AG12016" s="831" t="s">
        <v>2674</v>
      </c>
      <c r="AH12016" s="831" t="s">
        <v>580</v>
      </c>
      <c r="AI12016" s="831">
        <v>0</v>
      </c>
      <c r="AJ12016" s="835">
        <v>41455</v>
      </c>
      <c r="AK12016" s="831">
        <v>-56400279</v>
      </c>
    </row>
    <row r="12017" spans="2:37">
      <c r="B12017" s="834" t="str">
        <f t="shared" si="455"/>
        <v>|||</v>
      </c>
      <c r="H12017" s="835">
        <f t="shared" si="456"/>
        <v>31</v>
      </c>
      <c r="AF12017" s="831" t="s">
        <v>10984</v>
      </c>
      <c r="AG12017" s="831" t="s">
        <v>2674</v>
      </c>
      <c r="AH12017" s="831" t="s">
        <v>581</v>
      </c>
      <c r="AI12017" s="831">
        <v>0</v>
      </c>
      <c r="AJ12017" s="835">
        <v>41455</v>
      </c>
      <c r="AK12017" s="831">
        <v>4204371</v>
      </c>
    </row>
    <row r="12018" spans="2:37">
      <c r="B12018" s="834" t="str">
        <f t="shared" si="455"/>
        <v>|||</v>
      </c>
      <c r="H12018" s="835">
        <f t="shared" si="456"/>
        <v>31</v>
      </c>
      <c r="AF12018" s="831" t="s">
        <v>10985</v>
      </c>
      <c r="AG12018" s="831" t="s">
        <v>2674</v>
      </c>
      <c r="AH12018" s="831" t="s">
        <v>105</v>
      </c>
      <c r="AI12018" s="831">
        <v>0</v>
      </c>
      <c r="AJ12018" s="835">
        <v>41455</v>
      </c>
      <c r="AK12018" s="831">
        <v>314742537</v>
      </c>
    </row>
    <row r="12019" spans="2:37">
      <c r="B12019" s="834" t="str">
        <f t="shared" si="455"/>
        <v>|||</v>
      </c>
      <c r="H12019" s="835">
        <f t="shared" si="456"/>
        <v>31</v>
      </c>
      <c r="AF12019" s="831" t="s">
        <v>10986</v>
      </c>
      <c r="AG12019" s="831" t="s">
        <v>2674</v>
      </c>
      <c r="AH12019" s="831" t="s">
        <v>3049</v>
      </c>
      <c r="AI12019" s="831">
        <v>0</v>
      </c>
      <c r="AJ12019" s="835">
        <v>41455</v>
      </c>
      <c r="AK12019" s="831">
        <v>517978918</v>
      </c>
    </row>
    <row r="12020" spans="2:37">
      <c r="B12020" s="834" t="str">
        <f t="shared" si="455"/>
        <v>|||</v>
      </c>
      <c r="H12020" s="835">
        <f t="shared" si="456"/>
        <v>31</v>
      </c>
      <c r="AF12020" s="831" t="s">
        <v>10987</v>
      </c>
      <c r="AG12020" s="831" t="s">
        <v>2674</v>
      </c>
      <c r="AH12020" s="831" t="s">
        <v>103</v>
      </c>
      <c r="AI12020" s="831">
        <v>0</v>
      </c>
      <c r="AJ12020" s="835">
        <v>41455</v>
      </c>
      <c r="AK12020" s="831">
        <v>203236381</v>
      </c>
    </row>
    <row r="12021" spans="2:37">
      <c r="B12021" s="834" t="str">
        <f t="shared" si="455"/>
        <v>|||</v>
      </c>
      <c r="H12021" s="835">
        <f t="shared" si="456"/>
        <v>31</v>
      </c>
      <c r="AF12021" s="831" t="s">
        <v>10988</v>
      </c>
      <c r="AG12021" s="831" t="s">
        <v>2674</v>
      </c>
      <c r="AH12021" s="831" t="s">
        <v>182</v>
      </c>
      <c r="AI12021" s="831">
        <v>0</v>
      </c>
      <c r="AJ12021" s="835">
        <v>41455</v>
      </c>
      <c r="AK12021" s="831">
        <v>57441170</v>
      </c>
    </row>
    <row r="12022" spans="2:37">
      <c r="B12022" s="834" t="str">
        <f t="shared" si="455"/>
        <v>|||</v>
      </c>
      <c r="H12022" s="835">
        <f t="shared" si="456"/>
        <v>31</v>
      </c>
      <c r="AF12022" s="831" t="s">
        <v>10989</v>
      </c>
      <c r="AG12022" s="831" t="s">
        <v>2674</v>
      </c>
      <c r="AH12022" s="831" t="s">
        <v>6600</v>
      </c>
      <c r="AI12022" s="831">
        <v>0</v>
      </c>
      <c r="AJ12022" s="835">
        <v>41455</v>
      </c>
      <c r="AK12022" s="831">
        <v>22784991</v>
      </c>
    </row>
    <row r="12023" spans="2:37">
      <c r="B12023" s="834" t="str">
        <f t="shared" si="455"/>
        <v>|||</v>
      </c>
      <c r="H12023" s="835">
        <f t="shared" si="456"/>
        <v>31</v>
      </c>
      <c r="AF12023" s="831" t="s">
        <v>10990</v>
      </c>
      <c r="AG12023" s="831" t="s">
        <v>2674</v>
      </c>
      <c r="AH12023" s="831" t="s">
        <v>6602</v>
      </c>
      <c r="AI12023" s="831">
        <v>0</v>
      </c>
      <c r="AJ12023" s="835">
        <v>41455</v>
      </c>
      <c r="AK12023" s="831">
        <v>13297133</v>
      </c>
    </row>
    <row r="12024" spans="2:37">
      <c r="B12024" s="834" t="str">
        <f t="shared" si="455"/>
        <v>|||</v>
      </c>
      <c r="H12024" s="835">
        <f t="shared" si="456"/>
        <v>31</v>
      </c>
      <c r="AF12024" s="831" t="s">
        <v>10991</v>
      </c>
      <c r="AG12024" s="831" t="s">
        <v>2674</v>
      </c>
      <c r="AH12024" s="831" t="s">
        <v>650</v>
      </c>
      <c r="AI12024" s="831">
        <v>0</v>
      </c>
      <c r="AJ12024" s="835">
        <v>41455</v>
      </c>
      <c r="AK12024" s="831">
        <v>173391733.15384614</v>
      </c>
    </row>
    <row r="12025" spans="2:37">
      <c r="B12025" s="834" t="str">
        <f t="shared" si="455"/>
        <v>|||</v>
      </c>
      <c r="H12025" s="835">
        <f t="shared" si="456"/>
        <v>31</v>
      </c>
      <c r="AF12025" s="831" t="s">
        <v>10992</v>
      </c>
      <c r="AG12025" s="831" t="s">
        <v>2674</v>
      </c>
      <c r="AH12025" s="831" t="s">
        <v>655</v>
      </c>
      <c r="AI12025" s="831">
        <v>0</v>
      </c>
      <c r="AJ12025" s="835">
        <v>41455</v>
      </c>
      <c r="AK12025" s="831">
        <v>1055339.06</v>
      </c>
    </row>
    <row r="12026" spans="2:37">
      <c r="B12026" s="834" t="str">
        <f t="shared" si="455"/>
        <v>|||</v>
      </c>
      <c r="H12026" s="835">
        <f t="shared" si="456"/>
        <v>31</v>
      </c>
      <c r="AF12026" s="831" t="s">
        <v>10993</v>
      </c>
      <c r="AG12026" s="831" t="s">
        <v>2674</v>
      </c>
      <c r="AH12026" s="831" t="s">
        <v>546</v>
      </c>
      <c r="AI12026" s="831">
        <v>0</v>
      </c>
      <c r="AJ12026" s="835">
        <v>41486</v>
      </c>
      <c r="AK12026" s="831">
        <v>530405930</v>
      </c>
    </row>
    <row r="12027" spans="2:37">
      <c r="B12027" s="834" t="str">
        <f t="shared" si="455"/>
        <v>|||</v>
      </c>
      <c r="H12027" s="835">
        <f t="shared" si="456"/>
        <v>31</v>
      </c>
      <c r="AF12027" s="831" t="s">
        <v>10994</v>
      </c>
      <c r="AG12027" s="831" t="s">
        <v>2674</v>
      </c>
      <c r="AH12027" s="831" t="s">
        <v>370</v>
      </c>
      <c r="AI12027" s="831">
        <v>0</v>
      </c>
      <c r="AJ12027" s="835">
        <v>41486</v>
      </c>
      <c r="AK12027" s="831">
        <v>658328328</v>
      </c>
    </row>
    <row r="12028" spans="2:37">
      <c r="B12028" s="834" t="str">
        <f t="shared" si="455"/>
        <v>|||</v>
      </c>
      <c r="H12028" s="835">
        <f t="shared" si="456"/>
        <v>31</v>
      </c>
      <c r="AF12028" s="831" t="s">
        <v>10995</v>
      </c>
      <c r="AG12028" s="831" t="s">
        <v>2674</v>
      </c>
      <c r="AH12028" s="831" t="s">
        <v>126</v>
      </c>
      <c r="AI12028" s="831">
        <v>0</v>
      </c>
      <c r="AJ12028" s="835">
        <v>41486</v>
      </c>
      <c r="AK12028" s="831">
        <v>110887562</v>
      </c>
    </row>
    <row r="12029" spans="2:37">
      <c r="B12029" s="834" t="str">
        <f t="shared" si="455"/>
        <v>|||</v>
      </c>
      <c r="H12029" s="835">
        <f t="shared" si="456"/>
        <v>31</v>
      </c>
      <c r="AF12029" s="831" t="s">
        <v>10996</v>
      </c>
      <c r="AG12029" s="831" t="s">
        <v>2674</v>
      </c>
      <c r="AH12029" s="831" t="s">
        <v>268</v>
      </c>
      <c r="AI12029" s="831">
        <v>0</v>
      </c>
      <c r="AJ12029" s="835">
        <v>41486</v>
      </c>
      <c r="AK12029" s="831">
        <v>16124340</v>
      </c>
    </row>
    <row r="12030" spans="2:37">
      <c r="B12030" s="834" t="str">
        <f t="shared" si="455"/>
        <v>|||</v>
      </c>
      <c r="H12030" s="835">
        <f t="shared" si="456"/>
        <v>31</v>
      </c>
      <c r="AF12030" s="831" t="s">
        <v>10997</v>
      </c>
      <c r="AG12030" s="831" t="s">
        <v>2674</v>
      </c>
      <c r="AH12030" s="831" t="s">
        <v>547</v>
      </c>
      <c r="AI12030" s="831">
        <v>0</v>
      </c>
      <c r="AJ12030" s="835">
        <v>41486</v>
      </c>
      <c r="AK12030" s="831">
        <v>511487760</v>
      </c>
    </row>
    <row r="12031" spans="2:37">
      <c r="B12031" s="834" t="str">
        <f t="shared" si="455"/>
        <v>|||</v>
      </c>
      <c r="H12031" s="835">
        <f t="shared" si="456"/>
        <v>31</v>
      </c>
      <c r="AF12031" s="831" t="s">
        <v>10998</v>
      </c>
      <c r="AG12031" s="831" t="s">
        <v>2674</v>
      </c>
      <c r="AH12031" s="831" t="s">
        <v>548</v>
      </c>
      <c r="AI12031" s="831">
        <v>0</v>
      </c>
      <c r="AJ12031" s="835">
        <v>41486</v>
      </c>
      <c r="AK12031" s="831">
        <v>96883184</v>
      </c>
    </row>
    <row r="12032" spans="2:37">
      <c r="B12032" s="834" t="str">
        <f t="shared" si="455"/>
        <v>|||</v>
      </c>
      <c r="H12032" s="835">
        <f t="shared" si="456"/>
        <v>31</v>
      </c>
      <c r="AF12032" s="831" t="s">
        <v>10999</v>
      </c>
      <c r="AG12032" s="831" t="s">
        <v>2674</v>
      </c>
      <c r="AH12032" s="831" t="s">
        <v>549</v>
      </c>
      <c r="AI12032" s="831">
        <v>0</v>
      </c>
      <c r="AJ12032" s="835">
        <v>41486</v>
      </c>
      <c r="AK12032" s="831">
        <v>350104350</v>
      </c>
    </row>
    <row r="12033" spans="2:37">
      <c r="B12033" s="834" t="str">
        <f t="shared" si="455"/>
        <v>|||</v>
      </c>
      <c r="H12033" s="835">
        <f t="shared" si="456"/>
        <v>31</v>
      </c>
      <c r="AF12033" s="831" t="s">
        <v>11000</v>
      </c>
      <c r="AG12033" s="831" t="s">
        <v>2674</v>
      </c>
      <c r="AH12033" s="831" t="s">
        <v>192</v>
      </c>
      <c r="AI12033" s="831">
        <v>0</v>
      </c>
      <c r="AJ12033" s="835">
        <v>41486</v>
      </c>
      <c r="AK12033" s="831">
        <v>-11946675</v>
      </c>
    </row>
    <row r="12034" spans="2:37">
      <c r="B12034" s="834" t="str">
        <f t="shared" si="455"/>
        <v>|||</v>
      </c>
      <c r="H12034" s="835">
        <f t="shared" si="456"/>
        <v>31</v>
      </c>
      <c r="AF12034" s="831" t="s">
        <v>11001</v>
      </c>
      <c r="AG12034" s="831" t="s">
        <v>2674</v>
      </c>
      <c r="AH12034" s="831" t="s">
        <v>558</v>
      </c>
      <c r="AI12034" s="831">
        <v>0</v>
      </c>
      <c r="AJ12034" s="835">
        <v>41486</v>
      </c>
      <c r="AK12034" s="831">
        <v>547440766</v>
      </c>
    </row>
    <row r="12035" spans="2:37">
      <c r="B12035" s="834" t="str">
        <f t="shared" si="455"/>
        <v>|||</v>
      </c>
      <c r="H12035" s="835">
        <f t="shared" si="456"/>
        <v>31</v>
      </c>
      <c r="AF12035" s="831" t="s">
        <v>11002</v>
      </c>
      <c r="AG12035" s="831" t="s">
        <v>2674</v>
      </c>
      <c r="AH12035" s="831" t="s">
        <v>65</v>
      </c>
      <c r="AI12035" s="831">
        <v>0</v>
      </c>
      <c r="AJ12035" s="835">
        <v>41486</v>
      </c>
      <c r="AK12035" s="831">
        <v>71979253</v>
      </c>
    </row>
    <row r="12036" spans="2:37">
      <c r="B12036" s="834" t="str">
        <f t="shared" si="455"/>
        <v>|||</v>
      </c>
      <c r="H12036" s="835">
        <f t="shared" si="456"/>
        <v>31</v>
      </c>
      <c r="AF12036" s="831" t="s">
        <v>11003</v>
      </c>
      <c r="AG12036" s="831" t="s">
        <v>2674</v>
      </c>
      <c r="AH12036" s="831" t="s">
        <v>89</v>
      </c>
      <c r="AI12036" s="831">
        <v>0</v>
      </c>
      <c r="AJ12036" s="835">
        <v>41486</v>
      </c>
      <c r="AK12036" s="831">
        <v>138057</v>
      </c>
    </row>
    <row r="12037" spans="2:37">
      <c r="B12037" s="834" t="str">
        <f t="shared" si="455"/>
        <v>|||</v>
      </c>
      <c r="H12037" s="835">
        <f t="shared" si="456"/>
        <v>31</v>
      </c>
      <c r="AF12037" s="831" t="s">
        <v>11004</v>
      </c>
      <c r="AG12037" s="831" t="s">
        <v>2674</v>
      </c>
      <c r="AH12037" s="831" t="s">
        <v>557</v>
      </c>
      <c r="AI12037" s="831">
        <v>0</v>
      </c>
      <c r="AJ12037" s="835">
        <v>41486</v>
      </c>
      <c r="AK12037" s="831">
        <v>145518</v>
      </c>
    </row>
    <row r="12038" spans="2:37">
      <c r="B12038" s="834" t="str">
        <f t="shared" si="455"/>
        <v>|||</v>
      </c>
      <c r="H12038" s="835">
        <f t="shared" si="456"/>
        <v>31</v>
      </c>
      <c r="AF12038" s="831" t="s">
        <v>11005</v>
      </c>
      <c r="AG12038" s="831" t="s">
        <v>2674</v>
      </c>
      <c r="AH12038" s="831" t="s">
        <v>29</v>
      </c>
      <c r="AI12038" s="831">
        <v>0</v>
      </c>
      <c r="AJ12038" s="835">
        <v>41486</v>
      </c>
      <c r="AK12038" s="831">
        <v>1452161.1670000001</v>
      </c>
    </row>
    <row r="12039" spans="2:37">
      <c r="B12039" s="834" t="str">
        <f t="shared" si="455"/>
        <v>|||</v>
      </c>
      <c r="H12039" s="835">
        <f t="shared" si="456"/>
        <v>31</v>
      </c>
      <c r="AF12039" s="831" t="s">
        <v>11006</v>
      </c>
      <c r="AG12039" s="831" t="s">
        <v>2674</v>
      </c>
      <c r="AH12039" s="831" t="s">
        <v>2688</v>
      </c>
      <c r="AI12039" s="831">
        <v>0</v>
      </c>
      <c r="AJ12039" s="835">
        <v>41486</v>
      </c>
      <c r="AK12039" s="831">
        <v>1987224.58</v>
      </c>
    </row>
    <row r="12040" spans="2:37">
      <c r="B12040" s="834" t="str">
        <f t="shared" si="455"/>
        <v>|||</v>
      </c>
      <c r="H12040" s="835">
        <f t="shared" si="456"/>
        <v>31</v>
      </c>
      <c r="AF12040" s="831" t="s">
        <v>11007</v>
      </c>
      <c r="AG12040" s="831" t="s">
        <v>2674</v>
      </c>
      <c r="AH12040" s="831" t="s">
        <v>556</v>
      </c>
      <c r="AI12040" s="831">
        <v>0</v>
      </c>
      <c r="AJ12040" s="835">
        <v>41486</v>
      </c>
      <c r="AK12040" s="831">
        <v>2547589</v>
      </c>
    </row>
    <row r="12041" spans="2:37">
      <c r="B12041" s="834" t="str">
        <f t="shared" si="455"/>
        <v>|||</v>
      </c>
      <c r="H12041" s="835">
        <f t="shared" si="456"/>
        <v>31</v>
      </c>
      <c r="AF12041" s="831" t="s">
        <v>11008</v>
      </c>
      <c r="AG12041" s="831" t="s">
        <v>2674</v>
      </c>
      <c r="AH12041" s="831" t="s">
        <v>555</v>
      </c>
      <c r="AI12041" s="831">
        <v>0</v>
      </c>
      <c r="AJ12041" s="835">
        <v>41486</v>
      </c>
      <c r="AK12041" s="831">
        <v>359140020</v>
      </c>
    </row>
    <row r="12042" spans="2:37">
      <c r="B12042" s="834" t="str">
        <f t="shared" si="455"/>
        <v>|||</v>
      </c>
      <c r="H12042" s="835">
        <f t="shared" si="456"/>
        <v>31</v>
      </c>
      <c r="AF12042" s="831" t="s">
        <v>11009</v>
      </c>
      <c r="AG12042" s="831" t="s">
        <v>2674</v>
      </c>
      <c r="AH12042" s="831" t="s">
        <v>554</v>
      </c>
      <c r="AI12042" s="831">
        <v>0</v>
      </c>
      <c r="AJ12042" s="835">
        <v>41486</v>
      </c>
      <c r="AK12042" s="831">
        <v>364984870</v>
      </c>
    </row>
    <row r="12043" spans="2:37">
      <c r="B12043" s="834" t="str">
        <f t="shared" si="455"/>
        <v>|||</v>
      </c>
      <c r="H12043" s="835">
        <f t="shared" si="456"/>
        <v>31</v>
      </c>
      <c r="AF12043" s="831" t="s">
        <v>11010</v>
      </c>
      <c r="AG12043" s="831" t="s">
        <v>2674</v>
      </c>
      <c r="AH12043" s="831" t="s">
        <v>553</v>
      </c>
      <c r="AI12043" s="831">
        <v>0</v>
      </c>
      <c r="AJ12043" s="835">
        <v>41486</v>
      </c>
      <c r="AK12043" s="831">
        <v>0</v>
      </c>
    </row>
    <row r="12044" spans="2:37">
      <c r="B12044" s="834" t="str">
        <f t="shared" si="455"/>
        <v>|||</v>
      </c>
      <c r="H12044" s="835">
        <f t="shared" si="456"/>
        <v>31</v>
      </c>
      <c r="AF12044" s="831" t="s">
        <v>11011</v>
      </c>
      <c r="AG12044" s="831" t="s">
        <v>2674</v>
      </c>
      <c r="AH12044" s="831" t="s">
        <v>552</v>
      </c>
      <c r="AI12044" s="831">
        <v>0</v>
      </c>
      <c r="AJ12044" s="835">
        <v>41486</v>
      </c>
      <c r="AK12044" s="831">
        <v>0</v>
      </c>
    </row>
    <row r="12045" spans="2:37">
      <c r="B12045" s="834" t="str">
        <f t="shared" si="455"/>
        <v>|||</v>
      </c>
      <c r="H12045" s="835">
        <f t="shared" si="456"/>
        <v>31</v>
      </c>
      <c r="AF12045" s="831" t="s">
        <v>11012</v>
      </c>
      <c r="AG12045" s="831" t="s">
        <v>2674</v>
      </c>
      <c r="AH12045" s="831" t="s">
        <v>551</v>
      </c>
      <c r="AI12045" s="831">
        <v>0</v>
      </c>
      <c r="AJ12045" s="835">
        <v>41486</v>
      </c>
      <c r="AK12045" s="831">
        <v>1334074.5780000002</v>
      </c>
    </row>
    <row r="12046" spans="2:37">
      <c r="B12046" s="834" t="str">
        <f t="shared" si="455"/>
        <v>|||</v>
      </c>
      <c r="H12046" s="835">
        <f t="shared" si="456"/>
        <v>31</v>
      </c>
      <c r="AF12046" s="831" t="s">
        <v>11013</v>
      </c>
      <c r="AG12046" s="831" t="s">
        <v>2674</v>
      </c>
      <c r="AH12046" s="831" t="s">
        <v>550</v>
      </c>
      <c r="AI12046" s="831">
        <v>0</v>
      </c>
      <c r="AJ12046" s="835">
        <v>41486</v>
      </c>
      <c r="AK12046" s="831">
        <v>108060358</v>
      </c>
    </row>
    <row r="12047" spans="2:37">
      <c r="B12047" s="834" t="str">
        <f t="shared" si="455"/>
        <v>|||</v>
      </c>
      <c r="H12047" s="835">
        <f t="shared" si="456"/>
        <v>31</v>
      </c>
      <c r="AF12047" s="831" t="s">
        <v>11014</v>
      </c>
      <c r="AG12047" s="831" t="s">
        <v>2674</v>
      </c>
      <c r="AH12047" s="831" t="s">
        <v>562</v>
      </c>
      <c r="AI12047" s="831">
        <v>0</v>
      </c>
      <c r="AJ12047" s="835">
        <v>41486</v>
      </c>
      <c r="AK12047" s="831">
        <v>0.78374999999999995</v>
      </c>
    </row>
    <row r="12048" spans="2:37">
      <c r="B12048" s="834" t="str">
        <f t="shared" si="455"/>
        <v>|||</v>
      </c>
      <c r="H12048" s="835">
        <f t="shared" si="456"/>
        <v>31</v>
      </c>
      <c r="AF12048" s="831" t="s">
        <v>11015</v>
      </c>
      <c r="AG12048" s="831" t="s">
        <v>2674</v>
      </c>
      <c r="AH12048" s="831" t="s">
        <v>2698</v>
      </c>
      <c r="AI12048" s="831">
        <v>0</v>
      </c>
      <c r="AJ12048" s="835">
        <v>41486</v>
      </c>
      <c r="AK12048" s="831">
        <v>0.78395000000000004</v>
      </c>
    </row>
    <row r="12049" spans="2:37">
      <c r="B12049" s="834" t="str">
        <f t="shared" ref="B12049:B12112" si="457">C12049&amp;"|"&amp;D12049&amp;"|"&amp;E12049&amp;"|"&amp;F12049</f>
        <v>|||</v>
      </c>
      <c r="H12049" s="835">
        <f t="shared" ref="H12049:H12112" si="458">EOMONTH(L12049,0)</f>
        <v>31</v>
      </c>
      <c r="AF12049" s="831" t="s">
        <v>11016</v>
      </c>
      <c r="AG12049" s="831" t="s">
        <v>2674</v>
      </c>
      <c r="AH12049" s="831" t="s">
        <v>560</v>
      </c>
      <c r="AI12049" s="831">
        <v>0</v>
      </c>
      <c r="AJ12049" s="835">
        <v>41486</v>
      </c>
      <c r="AK12049" s="831">
        <v>0.78403571428571439</v>
      </c>
    </row>
    <row r="12050" spans="2:37">
      <c r="B12050" s="834" t="str">
        <f t="shared" si="457"/>
        <v>|||</v>
      </c>
      <c r="H12050" s="835">
        <f t="shared" si="458"/>
        <v>31</v>
      </c>
      <c r="AF12050" s="831" t="s">
        <v>11017</v>
      </c>
      <c r="AG12050" s="831" t="s">
        <v>2674</v>
      </c>
      <c r="AH12050" s="831" t="s">
        <v>559</v>
      </c>
      <c r="AI12050" s="831">
        <v>0</v>
      </c>
      <c r="AJ12050" s="835">
        <v>41486</v>
      </c>
      <c r="AK12050" s="831">
        <v>0.7841583333333334</v>
      </c>
    </row>
    <row r="12051" spans="2:37">
      <c r="B12051" s="834" t="str">
        <f t="shared" si="457"/>
        <v>|||</v>
      </c>
      <c r="H12051" s="835">
        <f t="shared" si="458"/>
        <v>31</v>
      </c>
      <c r="AF12051" s="831" t="s">
        <v>11018</v>
      </c>
      <c r="AG12051" s="831" t="s">
        <v>2674</v>
      </c>
      <c r="AH12051" s="831" t="s">
        <v>568</v>
      </c>
      <c r="AI12051" s="831">
        <v>0</v>
      </c>
      <c r="AJ12051" s="835">
        <v>41486</v>
      </c>
      <c r="AK12051" s="831">
        <v>431219750.30769229</v>
      </c>
    </row>
    <row r="12052" spans="2:37">
      <c r="B12052" s="834" t="str">
        <f t="shared" si="457"/>
        <v>|||</v>
      </c>
      <c r="H12052" s="835">
        <f t="shared" si="458"/>
        <v>31</v>
      </c>
      <c r="AF12052" s="831" t="s">
        <v>11019</v>
      </c>
      <c r="AG12052" s="831" t="s">
        <v>2674</v>
      </c>
      <c r="AH12052" s="831" t="s">
        <v>569</v>
      </c>
      <c r="AI12052" s="831">
        <v>0</v>
      </c>
      <c r="AJ12052" s="835">
        <v>41486</v>
      </c>
      <c r="AK12052" s="831">
        <v>525226803</v>
      </c>
    </row>
    <row r="12053" spans="2:37">
      <c r="B12053" s="834" t="str">
        <f t="shared" si="457"/>
        <v>|||</v>
      </c>
      <c r="H12053" s="835">
        <f t="shared" si="458"/>
        <v>31</v>
      </c>
      <c r="AF12053" s="831" t="s">
        <v>11020</v>
      </c>
      <c r="AG12053" s="831" t="s">
        <v>2674</v>
      </c>
      <c r="AH12053" s="831" t="s">
        <v>570</v>
      </c>
      <c r="AI12053" s="831">
        <v>0</v>
      </c>
      <c r="AJ12053" s="835">
        <v>41486</v>
      </c>
      <c r="AK12053" s="831">
        <v>100992550.61538461</v>
      </c>
    </row>
    <row r="12054" spans="2:37">
      <c r="B12054" s="834" t="str">
        <f t="shared" si="457"/>
        <v>|||</v>
      </c>
      <c r="H12054" s="835">
        <f t="shared" si="458"/>
        <v>31</v>
      </c>
      <c r="AF12054" s="831" t="s">
        <v>11021</v>
      </c>
      <c r="AG12054" s="831" t="s">
        <v>2674</v>
      </c>
      <c r="AH12054" s="831" t="s">
        <v>571</v>
      </c>
      <c r="AI12054" s="831">
        <v>0</v>
      </c>
      <c r="AJ12054" s="835">
        <v>41486</v>
      </c>
      <c r="AK12054" s="831">
        <v>233627225.76923078</v>
      </c>
    </row>
    <row r="12055" spans="2:37">
      <c r="B12055" s="834" t="str">
        <f t="shared" si="457"/>
        <v>|||</v>
      </c>
      <c r="H12055" s="835">
        <f t="shared" si="458"/>
        <v>31</v>
      </c>
      <c r="AF12055" s="831" t="s">
        <v>11022</v>
      </c>
      <c r="AG12055" s="831" t="s">
        <v>2674</v>
      </c>
      <c r="AH12055" s="831" t="s">
        <v>573</v>
      </c>
      <c r="AI12055" s="831">
        <v>0</v>
      </c>
      <c r="AJ12055" s="835">
        <v>41486</v>
      </c>
      <c r="AK12055" s="831">
        <v>569857313.625</v>
      </c>
    </row>
    <row r="12056" spans="2:37">
      <c r="B12056" s="834" t="str">
        <f t="shared" si="457"/>
        <v>|||</v>
      </c>
      <c r="H12056" s="835">
        <f t="shared" si="458"/>
        <v>31</v>
      </c>
      <c r="AF12056" s="831" t="s">
        <v>11023</v>
      </c>
      <c r="AG12056" s="831" t="s">
        <v>2674</v>
      </c>
      <c r="AH12056" s="831" t="s">
        <v>574</v>
      </c>
      <c r="AI12056" s="831">
        <v>0</v>
      </c>
      <c r="AJ12056" s="835">
        <v>41486</v>
      </c>
      <c r="AK12056" s="831">
        <v>469485522.25</v>
      </c>
    </row>
    <row r="12057" spans="2:37">
      <c r="B12057" s="834" t="str">
        <f t="shared" si="457"/>
        <v>|||</v>
      </c>
      <c r="H12057" s="835">
        <f t="shared" si="458"/>
        <v>31</v>
      </c>
      <c r="AF12057" s="831" t="s">
        <v>11024</v>
      </c>
      <c r="AG12057" s="831" t="s">
        <v>2674</v>
      </c>
      <c r="AH12057" s="831" t="s">
        <v>575</v>
      </c>
      <c r="AI12057" s="831">
        <v>0</v>
      </c>
      <c r="AJ12057" s="835">
        <v>41486</v>
      </c>
      <c r="AK12057" s="831">
        <v>103170462.125</v>
      </c>
    </row>
    <row r="12058" spans="2:37">
      <c r="B12058" s="834" t="str">
        <f t="shared" si="457"/>
        <v>|||</v>
      </c>
      <c r="H12058" s="835">
        <f t="shared" si="458"/>
        <v>31</v>
      </c>
      <c r="AF12058" s="831" t="s">
        <v>11025</v>
      </c>
      <c r="AG12058" s="831" t="s">
        <v>2674</v>
      </c>
      <c r="AH12058" s="831" t="s">
        <v>576</v>
      </c>
      <c r="AI12058" s="831">
        <v>0</v>
      </c>
      <c r="AJ12058" s="835">
        <v>41486</v>
      </c>
      <c r="AK12058" s="831">
        <v>265012255.125</v>
      </c>
    </row>
    <row r="12059" spans="2:37">
      <c r="B12059" s="834" t="str">
        <f t="shared" si="457"/>
        <v>|||</v>
      </c>
      <c r="H12059" s="835">
        <f t="shared" si="458"/>
        <v>31</v>
      </c>
      <c r="AF12059" s="831" t="s">
        <v>11026</v>
      </c>
      <c r="AG12059" s="831" t="s">
        <v>2674</v>
      </c>
      <c r="AH12059" s="831" t="s">
        <v>572</v>
      </c>
      <c r="AI12059" s="831">
        <v>0</v>
      </c>
      <c r="AJ12059" s="835">
        <v>41486</v>
      </c>
      <c r="AK12059" s="831">
        <v>23860386</v>
      </c>
    </row>
    <row r="12060" spans="2:37">
      <c r="B12060" s="834" t="str">
        <f t="shared" si="457"/>
        <v>|||</v>
      </c>
      <c r="H12060" s="835">
        <f t="shared" si="458"/>
        <v>31</v>
      </c>
      <c r="AF12060" s="831" t="s">
        <v>11027</v>
      </c>
      <c r="AG12060" s="831" t="s">
        <v>2674</v>
      </c>
      <c r="AH12060" s="831" t="s">
        <v>577</v>
      </c>
      <c r="AI12060" s="831">
        <v>0</v>
      </c>
      <c r="AJ12060" s="835">
        <v>41486</v>
      </c>
      <c r="AK12060" s="831">
        <v>116281669</v>
      </c>
    </row>
    <row r="12061" spans="2:37">
      <c r="B12061" s="834" t="str">
        <f t="shared" si="457"/>
        <v>|||</v>
      </c>
      <c r="H12061" s="835">
        <f t="shared" si="458"/>
        <v>31</v>
      </c>
      <c r="AF12061" s="831" t="s">
        <v>11028</v>
      </c>
      <c r="AG12061" s="831" t="s">
        <v>2674</v>
      </c>
      <c r="AH12061" s="831" t="s">
        <v>3042</v>
      </c>
      <c r="AI12061" s="831">
        <v>0</v>
      </c>
      <c r="AJ12061" s="835">
        <v>41486</v>
      </c>
      <c r="AK12061" s="831">
        <v>-28313674</v>
      </c>
    </row>
    <row r="12062" spans="2:37">
      <c r="B12062" s="834" t="str">
        <f t="shared" si="457"/>
        <v>|||</v>
      </c>
      <c r="H12062" s="835">
        <f t="shared" si="458"/>
        <v>31</v>
      </c>
      <c r="AF12062" s="831" t="s">
        <v>11029</v>
      </c>
      <c r="AG12062" s="831" t="s">
        <v>2674</v>
      </c>
      <c r="AH12062" s="831" t="s">
        <v>3044</v>
      </c>
      <c r="AI12062" s="831">
        <v>0</v>
      </c>
      <c r="AJ12062" s="835">
        <v>41486</v>
      </c>
      <c r="AK12062" s="831">
        <v>-4195755</v>
      </c>
    </row>
    <row r="12063" spans="2:37">
      <c r="B12063" s="834" t="str">
        <f t="shared" si="457"/>
        <v>|||</v>
      </c>
      <c r="H12063" s="835">
        <f t="shared" si="458"/>
        <v>31</v>
      </c>
      <c r="AF12063" s="831" t="s">
        <v>11030</v>
      </c>
      <c r="AG12063" s="831" t="s">
        <v>2674</v>
      </c>
      <c r="AH12063" s="831" t="s">
        <v>580</v>
      </c>
      <c r="AI12063" s="831">
        <v>0</v>
      </c>
      <c r="AJ12063" s="835">
        <v>41486</v>
      </c>
      <c r="AK12063" s="831">
        <v>-57513801</v>
      </c>
    </row>
    <row r="12064" spans="2:37">
      <c r="B12064" s="834" t="str">
        <f t="shared" si="457"/>
        <v>|||</v>
      </c>
      <c r="H12064" s="835">
        <f t="shared" si="458"/>
        <v>31</v>
      </c>
      <c r="AF12064" s="831" t="s">
        <v>11031</v>
      </c>
      <c r="AG12064" s="831" t="s">
        <v>2674</v>
      </c>
      <c r="AH12064" s="831" t="s">
        <v>581</v>
      </c>
      <c r="AI12064" s="831">
        <v>0</v>
      </c>
      <c r="AJ12064" s="835">
        <v>41486</v>
      </c>
      <c r="AK12064" s="831">
        <v>4189789</v>
      </c>
    </row>
    <row r="12065" spans="2:37">
      <c r="B12065" s="834" t="str">
        <f t="shared" si="457"/>
        <v>|||</v>
      </c>
      <c r="H12065" s="835">
        <f t="shared" si="458"/>
        <v>31</v>
      </c>
      <c r="AF12065" s="831" t="s">
        <v>11032</v>
      </c>
      <c r="AG12065" s="831" t="s">
        <v>2674</v>
      </c>
      <c r="AH12065" s="831" t="s">
        <v>105</v>
      </c>
      <c r="AI12065" s="831">
        <v>0</v>
      </c>
      <c r="AJ12065" s="835">
        <v>41486</v>
      </c>
      <c r="AK12065" s="831">
        <v>321921227</v>
      </c>
    </row>
    <row r="12066" spans="2:37">
      <c r="B12066" s="834" t="str">
        <f t="shared" si="457"/>
        <v>|||</v>
      </c>
      <c r="H12066" s="835">
        <f t="shared" si="458"/>
        <v>31</v>
      </c>
      <c r="AF12066" s="831" t="s">
        <v>11033</v>
      </c>
      <c r="AG12066" s="831" t="s">
        <v>2674</v>
      </c>
      <c r="AH12066" s="831" t="s">
        <v>3049</v>
      </c>
      <c r="AI12066" s="831">
        <v>0</v>
      </c>
      <c r="AJ12066" s="835">
        <v>41486</v>
      </c>
      <c r="AK12066" s="831">
        <v>533353115</v>
      </c>
    </row>
    <row r="12067" spans="2:37">
      <c r="B12067" s="834" t="str">
        <f t="shared" si="457"/>
        <v>|||</v>
      </c>
      <c r="H12067" s="835">
        <f t="shared" si="458"/>
        <v>31</v>
      </c>
      <c r="AF12067" s="831" t="s">
        <v>11034</v>
      </c>
      <c r="AG12067" s="831" t="s">
        <v>2674</v>
      </c>
      <c r="AH12067" s="831" t="s">
        <v>103</v>
      </c>
      <c r="AI12067" s="831">
        <v>0</v>
      </c>
      <c r="AJ12067" s="835">
        <v>41486</v>
      </c>
      <c r="AK12067" s="831">
        <v>211431888</v>
      </c>
    </row>
    <row r="12068" spans="2:37">
      <c r="B12068" s="834" t="str">
        <f t="shared" si="457"/>
        <v>|||</v>
      </c>
      <c r="H12068" s="835">
        <f t="shared" si="458"/>
        <v>31</v>
      </c>
      <c r="AF12068" s="831" t="s">
        <v>11035</v>
      </c>
      <c r="AG12068" s="831" t="s">
        <v>2674</v>
      </c>
      <c r="AH12068" s="831" t="s">
        <v>182</v>
      </c>
      <c r="AI12068" s="831">
        <v>0</v>
      </c>
      <c r="AJ12068" s="835">
        <v>41486</v>
      </c>
      <c r="AK12068" s="831">
        <v>58107797.142857142</v>
      </c>
    </row>
    <row r="12069" spans="2:37">
      <c r="B12069" s="834" t="str">
        <f t="shared" si="457"/>
        <v>|||</v>
      </c>
      <c r="H12069" s="835">
        <f t="shared" si="458"/>
        <v>31</v>
      </c>
      <c r="AF12069" s="831" t="s">
        <v>11036</v>
      </c>
      <c r="AG12069" s="831" t="s">
        <v>2674</v>
      </c>
      <c r="AH12069" s="831" t="s">
        <v>6600</v>
      </c>
      <c r="AI12069" s="831">
        <v>0</v>
      </c>
      <c r="AJ12069" s="835">
        <v>41486</v>
      </c>
      <c r="AK12069" s="831">
        <v>23860386</v>
      </c>
    </row>
    <row r="12070" spans="2:37">
      <c r="B12070" s="834" t="str">
        <f t="shared" si="457"/>
        <v>|||</v>
      </c>
      <c r="H12070" s="835">
        <f t="shared" si="458"/>
        <v>31</v>
      </c>
      <c r="AF12070" s="831" t="s">
        <v>11037</v>
      </c>
      <c r="AG12070" s="831" t="s">
        <v>2674</v>
      </c>
      <c r="AH12070" s="831" t="s">
        <v>6602</v>
      </c>
      <c r="AI12070" s="831">
        <v>0</v>
      </c>
      <c r="AJ12070" s="835">
        <v>41486</v>
      </c>
      <c r="AK12070" s="831">
        <v>16124340</v>
      </c>
    </row>
    <row r="12071" spans="2:37">
      <c r="B12071" s="834" t="str">
        <f t="shared" si="457"/>
        <v>|||</v>
      </c>
      <c r="H12071" s="835">
        <f t="shared" si="458"/>
        <v>31</v>
      </c>
      <c r="AF12071" s="831" t="s">
        <v>11038</v>
      </c>
      <c r="AG12071" s="831" t="s">
        <v>2674</v>
      </c>
      <c r="AH12071" s="831" t="s">
        <v>650</v>
      </c>
      <c r="AI12071" s="831">
        <v>0</v>
      </c>
      <c r="AJ12071" s="835">
        <v>41486</v>
      </c>
      <c r="AK12071" s="831">
        <v>176984761.69230768</v>
      </c>
    </row>
    <row r="12072" spans="2:37">
      <c r="B12072" s="834" t="str">
        <f t="shared" si="457"/>
        <v>|||</v>
      </c>
      <c r="H12072" s="835">
        <f t="shared" si="458"/>
        <v>31</v>
      </c>
      <c r="AF12072" s="831" t="s">
        <v>11039</v>
      </c>
      <c r="AG12072" s="831" t="s">
        <v>2674</v>
      </c>
      <c r="AH12072" s="831" t="s">
        <v>655</v>
      </c>
      <c r="AI12072" s="831">
        <v>0</v>
      </c>
      <c r="AJ12072" s="835">
        <v>41486</v>
      </c>
      <c r="AK12072" s="831">
        <v>1081919.6189999999</v>
      </c>
    </row>
    <row r="12073" spans="2:37">
      <c r="B12073" s="834" t="str">
        <f t="shared" si="457"/>
        <v>|||</v>
      </c>
      <c r="H12073" s="835">
        <f t="shared" si="458"/>
        <v>31</v>
      </c>
      <c r="AF12073" s="831" t="s">
        <v>11040</v>
      </c>
      <c r="AG12073" s="831" t="s">
        <v>2674</v>
      </c>
      <c r="AH12073" s="831" t="s">
        <v>546</v>
      </c>
      <c r="AI12073" s="831">
        <v>0</v>
      </c>
      <c r="AJ12073" s="835">
        <v>41517</v>
      </c>
      <c r="AK12073" s="831">
        <v>548671343</v>
      </c>
    </row>
    <row r="12074" spans="2:37">
      <c r="B12074" s="834" t="str">
        <f t="shared" si="457"/>
        <v>|||</v>
      </c>
      <c r="H12074" s="835">
        <f t="shared" si="458"/>
        <v>31</v>
      </c>
      <c r="AF12074" s="831" t="s">
        <v>11041</v>
      </c>
      <c r="AG12074" s="831" t="s">
        <v>2674</v>
      </c>
      <c r="AH12074" s="831" t="s">
        <v>370</v>
      </c>
      <c r="AI12074" s="831">
        <v>0</v>
      </c>
      <c r="AJ12074" s="835">
        <v>41517</v>
      </c>
      <c r="AK12074" s="831">
        <v>657414575</v>
      </c>
    </row>
    <row r="12075" spans="2:37">
      <c r="B12075" s="834" t="str">
        <f t="shared" si="457"/>
        <v>|||</v>
      </c>
      <c r="H12075" s="835">
        <f t="shared" si="458"/>
        <v>31</v>
      </c>
      <c r="AF12075" s="831" t="s">
        <v>11042</v>
      </c>
      <c r="AG12075" s="831" t="s">
        <v>2674</v>
      </c>
      <c r="AH12075" s="831" t="s">
        <v>126</v>
      </c>
      <c r="AI12075" s="831">
        <v>0</v>
      </c>
      <c r="AJ12075" s="835">
        <v>41517</v>
      </c>
      <c r="AK12075" s="831">
        <v>113874944</v>
      </c>
    </row>
    <row r="12076" spans="2:37">
      <c r="B12076" s="834" t="str">
        <f t="shared" si="457"/>
        <v>|||</v>
      </c>
      <c r="H12076" s="835">
        <f t="shared" si="458"/>
        <v>31</v>
      </c>
      <c r="AF12076" s="831" t="s">
        <v>11043</v>
      </c>
      <c r="AG12076" s="831" t="s">
        <v>2674</v>
      </c>
      <c r="AH12076" s="831" t="s">
        <v>268</v>
      </c>
      <c r="AI12076" s="831">
        <v>0</v>
      </c>
      <c r="AJ12076" s="835">
        <v>41517</v>
      </c>
      <c r="AK12076" s="831">
        <v>19111719</v>
      </c>
    </row>
    <row r="12077" spans="2:37">
      <c r="B12077" s="834" t="str">
        <f t="shared" si="457"/>
        <v>|||</v>
      </c>
      <c r="H12077" s="835">
        <f t="shared" si="458"/>
        <v>31</v>
      </c>
      <c r="AF12077" s="831" t="s">
        <v>11044</v>
      </c>
      <c r="AG12077" s="831" t="s">
        <v>2674</v>
      </c>
      <c r="AH12077" s="831" t="s">
        <v>547</v>
      </c>
      <c r="AI12077" s="831">
        <v>0</v>
      </c>
      <c r="AJ12077" s="835">
        <v>41517</v>
      </c>
      <c r="AK12077" s="831">
        <v>511487760</v>
      </c>
    </row>
    <row r="12078" spans="2:37">
      <c r="B12078" s="834" t="str">
        <f t="shared" si="457"/>
        <v>|||</v>
      </c>
      <c r="H12078" s="835">
        <f t="shared" si="458"/>
        <v>31</v>
      </c>
      <c r="AF12078" s="831" t="s">
        <v>11045</v>
      </c>
      <c r="AG12078" s="831" t="s">
        <v>2674</v>
      </c>
      <c r="AH12078" s="831" t="s">
        <v>548</v>
      </c>
      <c r="AI12078" s="831">
        <v>0</v>
      </c>
      <c r="AJ12078" s="835">
        <v>41517</v>
      </c>
      <c r="AK12078" s="831">
        <v>96883184</v>
      </c>
    </row>
    <row r="12079" spans="2:37">
      <c r="B12079" s="834" t="str">
        <f t="shared" si="457"/>
        <v>|||</v>
      </c>
      <c r="H12079" s="835">
        <f t="shared" si="458"/>
        <v>31</v>
      </c>
      <c r="AF12079" s="831" t="s">
        <v>11046</v>
      </c>
      <c r="AG12079" s="831" t="s">
        <v>2674</v>
      </c>
      <c r="AH12079" s="831" t="s">
        <v>549</v>
      </c>
      <c r="AI12079" s="831">
        <v>0</v>
      </c>
      <c r="AJ12079" s="835">
        <v>41517</v>
      </c>
      <c r="AK12079" s="831">
        <v>362295244</v>
      </c>
    </row>
    <row r="12080" spans="2:37">
      <c r="B12080" s="834" t="str">
        <f t="shared" si="457"/>
        <v>|||</v>
      </c>
      <c r="H12080" s="835">
        <f t="shared" si="458"/>
        <v>31</v>
      </c>
      <c r="AF12080" s="831" t="s">
        <v>11047</v>
      </c>
      <c r="AG12080" s="831" t="s">
        <v>2674</v>
      </c>
      <c r="AH12080" s="831" t="s">
        <v>192</v>
      </c>
      <c r="AI12080" s="831">
        <v>0</v>
      </c>
      <c r="AJ12080" s="835">
        <v>41517</v>
      </c>
      <c r="AK12080" s="831">
        <v>-12472831</v>
      </c>
    </row>
    <row r="12081" spans="2:37">
      <c r="B12081" s="834" t="str">
        <f t="shared" si="457"/>
        <v>|||</v>
      </c>
      <c r="H12081" s="835">
        <f t="shared" si="458"/>
        <v>31</v>
      </c>
      <c r="AF12081" s="831" t="s">
        <v>11048</v>
      </c>
      <c r="AG12081" s="831" t="s">
        <v>2674</v>
      </c>
      <c r="AH12081" s="831" t="s">
        <v>558</v>
      </c>
      <c r="AI12081" s="831">
        <v>0</v>
      </c>
      <c r="AJ12081" s="835">
        <v>41517</v>
      </c>
      <c r="AK12081" s="831">
        <v>543539630.65999997</v>
      </c>
    </row>
    <row r="12082" spans="2:37">
      <c r="B12082" s="834" t="str">
        <f t="shared" si="457"/>
        <v>|||</v>
      </c>
      <c r="H12082" s="835">
        <f t="shared" si="458"/>
        <v>31</v>
      </c>
      <c r="AF12082" s="831" t="s">
        <v>11049</v>
      </c>
      <c r="AG12082" s="831" t="s">
        <v>2674</v>
      </c>
      <c r="AH12082" s="831" t="s">
        <v>65</v>
      </c>
      <c r="AI12082" s="831">
        <v>0</v>
      </c>
      <c r="AJ12082" s="835">
        <v>41517</v>
      </c>
      <c r="AK12082" s="831">
        <v>83388551</v>
      </c>
    </row>
    <row r="12083" spans="2:37">
      <c r="B12083" s="834" t="str">
        <f t="shared" si="457"/>
        <v>|||</v>
      </c>
      <c r="H12083" s="835">
        <f t="shared" si="458"/>
        <v>31</v>
      </c>
      <c r="AF12083" s="831" t="s">
        <v>11050</v>
      </c>
      <c r="AG12083" s="831" t="s">
        <v>2674</v>
      </c>
      <c r="AH12083" s="831" t="s">
        <v>89</v>
      </c>
      <c r="AI12083" s="831">
        <v>0</v>
      </c>
      <c r="AJ12083" s="835">
        <v>41517</v>
      </c>
      <c r="AK12083" s="831">
        <v>139614</v>
      </c>
    </row>
    <row r="12084" spans="2:37">
      <c r="B12084" s="834" t="str">
        <f t="shared" si="457"/>
        <v>|||</v>
      </c>
      <c r="H12084" s="835">
        <f t="shared" si="458"/>
        <v>31</v>
      </c>
      <c r="AF12084" s="831" t="s">
        <v>11051</v>
      </c>
      <c r="AG12084" s="831" t="s">
        <v>2674</v>
      </c>
      <c r="AH12084" s="831" t="s">
        <v>557</v>
      </c>
      <c r="AI12084" s="831">
        <v>0</v>
      </c>
      <c r="AJ12084" s="835">
        <v>41517</v>
      </c>
      <c r="AK12084" s="831">
        <v>147732</v>
      </c>
    </row>
    <row r="12085" spans="2:37">
      <c r="B12085" s="834" t="str">
        <f t="shared" si="457"/>
        <v>|||</v>
      </c>
      <c r="H12085" s="835">
        <f t="shared" si="458"/>
        <v>31</v>
      </c>
      <c r="AF12085" s="831" t="s">
        <v>11052</v>
      </c>
      <c r="AG12085" s="831" t="s">
        <v>2674</v>
      </c>
      <c r="AH12085" s="831" t="s">
        <v>29</v>
      </c>
      <c r="AI12085" s="831">
        <v>0</v>
      </c>
      <c r="AJ12085" s="835">
        <v>41517</v>
      </c>
      <c r="AK12085" s="831">
        <v>1641079.85</v>
      </c>
    </row>
    <row r="12086" spans="2:37">
      <c r="B12086" s="834" t="str">
        <f t="shared" si="457"/>
        <v>|||</v>
      </c>
      <c r="H12086" s="835">
        <f t="shared" si="458"/>
        <v>31</v>
      </c>
      <c r="AF12086" s="831" t="s">
        <v>11053</v>
      </c>
      <c r="AG12086" s="831" t="s">
        <v>2674</v>
      </c>
      <c r="AH12086" s="831" t="s">
        <v>2688</v>
      </c>
      <c r="AI12086" s="831">
        <v>0</v>
      </c>
      <c r="AJ12086" s="835">
        <v>41517</v>
      </c>
      <c r="AK12086" s="831">
        <v>1980496.8299999998</v>
      </c>
    </row>
    <row r="12087" spans="2:37">
      <c r="B12087" s="834" t="str">
        <f t="shared" si="457"/>
        <v>|||</v>
      </c>
      <c r="H12087" s="835">
        <f t="shared" si="458"/>
        <v>31</v>
      </c>
      <c r="AF12087" s="831" t="s">
        <v>11054</v>
      </c>
      <c r="AG12087" s="831" t="s">
        <v>2674</v>
      </c>
      <c r="AH12087" s="831" t="s">
        <v>556</v>
      </c>
      <c r="AI12087" s="831">
        <v>0</v>
      </c>
      <c r="AJ12087" s="835">
        <v>41517</v>
      </c>
      <c r="AK12087" s="831">
        <v>1644732</v>
      </c>
    </row>
    <row r="12088" spans="2:37">
      <c r="B12088" s="834" t="str">
        <f t="shared" si="457"/>
        <v>|||</v>
      </c>
      <c r="H12088" s="835">
        <f t="shared" si="458"/>
        <v>31</v>
      </c>
      <c r="AF12088" s="831" t="s">
        <v>11055</v>
      </c>
      <c r="AG12088" s="831" t="s">
        <v>2674</v>
      </c>
      <c r="AH12088" s="831" t="s">
        <v>555</v>
      </c>
      <c r="AI12088" s="831">
        <v>0</v>
      </c>
      <c r="AJ12088" s="835">
        <v>41517</v>
      </c>
      <c r="AK12088" s="831">
        <v>349976200</v>
      </c>
    </row>
    <row r="12089" spans="2:37">
      <c r="B12089" s="834" t="str">
        <f t="shared" si="457"/>
        <v>|||</v>
      </c>
      <c r="H12089" s="835">
        <f t="shared" si="458"/>
        <v>31</v>
      </c>
      <c r="AF12089" s="831" t="s">
        <v>11056</v>
      </c>
      <c r="AG12089" s="831" t="s">
        <v>2674</v>
      </c>
      <c r="AH12089" s="831" t="s">
        <v>554</v>
      </c>
      <c r="AI12089" s="831">
        <v>0</v>
      </c>
      <c r="AJ12089" s="835">
        <v>41517</v>
      </c>
      <c r="AK12089" s="831">
        <v>362271180</v>
      </c>
    </row>
    <row r="12090" spans="2:37">
      <c r="B12090" s="834" t="str">
        <f t="shared" si="457"/>
        <v>|||</v>
      </c>
      <c r="H12090" s="835">
        <f t="shared" si="458"/>
        <v>31</v>
      </c>
      <c r="AF12090" s="831" t="s">
        <v>11057</v>
      </c>
      <c r="AG12090" s="831" t="s">
        <v>2674</v>
      </c>
      <c r="AH12090" s="831" t="s">
        <v>553</v>
      </c>
      <c r="AI12090" s="831">
        <v>0</v>
      </c>
      <c r="AJ12090" s="835">
        <v>41517</v>
      </c>
      <c r="AK12090" s="831">
        <v>0</v>
      </c>
    </row>
    <row r="12091" spans="2:37">
      <c r="B12091" s="834" t="str">
        <f t="shared" si="457"/>
        <v>|||</v>
      </c>
      <c r="H12091" s="835">
        <f t="shared" si="458"/>
        <v>31</v>
      </c>
      <c r="AF12091" s="831" t="s">
        <v>11058</v>
      </c>
      <c r="AG12091" s="831" t="s">
        <v>2674</v>
      </c>
      <c r="AH12091" s="831" t="s">
        <v>552</v>
      </c>
      <c r="AI12091" s="831">
        <v>0</v>
      </c>
      <c r="AJ12091" s="835">
        <v>41517</v>
      </c>
      <c r="AK12091" s="831">
        <v>0</v>
      </c>
    </row>
    <row r="12092" spans="2:37">
      <c r="B12092" s="834" t="str">
        <f t="shared" si="457"/>
        <v>|||</v>
      </c>
      <c r="H12092" s="835">
        <f t="shared" si="458"/>
        <v>31</v>
      </c>
      <c r="AF12092" s="831" t="s">
        <v>11059</v>
      </c>
      <c r="AG12092" s="831" t="s">
        <v>2674</v>
      </c>
      <c r="AH12092" s="831" t="s">
        <v>551</v>
      </c>
      <c r="AI12092" s="831">
        <v>0</v>
      </c>
      <c r="AJ12092" s="835">
        <v>41517</v>
      </c>
      <c r="AK12092" s="831">
        <v>1337345.54</v>
      </c>
    </row>
    <row r="12093" spans="2:37">
      <c r="B12093" s="834" t="str">
        <f t="shared" si="457"/>
        <v>|||</v>
      </c>
      <c r="H12093" s="835">
        <f t="shared" si="458"/>
        <v>31</v>
      </c>
      <c r="AF12093" s="831" t="s">
        <v>11060</v>
      </c>
      <c r="AG12093" s="831" t="s">
        <v>2674</v>
      </c>
      <c r="AH12093" s="831" t="s">
        <v>550</v>
      </c>
      <c r="AI12093" s="831">
        <v>0</v>
      </c>
      <c r="AJ12093" s="835">
        <v>41517</v>
      </c>
      <c r="AK12093" s="831">
        <v>110887562</v>
      </c>
    </row>
    <row r="12094" spans="2:37">
      <c r="B12094" s="834" t="str">
        <f t="shared" si="457"/>
        <v>|||</v>
      </c>
      <c r="H12094" s="835">
        <f t="shared" si="458"/>
        <v>31</v>
      </c>
      <c r="AF12094" s="831" t="s">
        <v>11061</v>
      </c>
      <c r="AG12094" s="831" t="s">
        <v>2674</v>
      </c>
      <c r="AH12094" s="831" t="s">
        <v>562</v>
      </c>
      <c r="AI12094" s="831">
        <v>0</v>
      </c>
      <c r="AJ12094" s="835">
        <v>41517</v>
      </c>
      <c r="AK12094" s="831">
        <v>0.78385000000000005</v>
      </c>
    </row>
    <row r="12095" spans="2:37">
      <c r="B12095" s="834" t="str">
        <f t="shared" si="457"/>
        <v>|||</v>
      </c>
      <c r="H12095" s="835">
        <f t="shared" si="458"/>
        <v>31</v>
      </c>
      <c r="AF12095" s="831" t="s">
        <v>11062</v>
      </c>
      <c r="AG12095" s="831" t="s">
        <v>2674</v>
      </c>
      <c r="AH12095" s="831" t="s">
        <v>2698</v>
      </c>
      <c r="AI12095" s="831">
        <v>0</v>
      </c>
      <c r="AJ12095" s="835">
        <v>41517</v>
      </c>
      <c r="AK12095" s="831">
        <v>0.78374999999999995</v>
      </c>
    </row>
    <row r="12096" spans="2:37">
      <c r="B12096" s="834" t="str">
        <f t="shared" si="457"/>
        <v>|||</v>
      </c>
      <c r="H12096" s="835">
        <f t="shared" si="458"/>
        <v>31</v>
      </c>
      <c r="AF12096" s="831" t="s">
        <v>11063</v>
      </c>
      <c r="AG12096" s="831" t="s">
        <v>2674</v>
      </c>
      <c r="AH12096" s="831" t="s">
        <v>560</v>
      </c>
      <c r="AI12096" s="831">
        <v>0</v>
      </c>
      <c r="AJ12096" s="835">
        <v>41517</v>
      </c>
      <c r="AK12096" s="831">
        <v>0.7840125</v>
      </c>
    </row>
    <row r="12097" spans="2:37">
      <c r="B12097" s="834" t="str">
        <f t="shared" si="457"/>
        <v>|||</v>
      </c>
      <c r="H12097" s="835">
        <f t="shared" si="458"/>
        <v>31</v>
      </c>
      <c r="AF12097" s="831" t="s">
        <v>11064</v>
      </c>
      <c r="AG12097" s="831" t="s">
        <v>2674</v>
      </c>
      <c r="AH12097" s="831" t="s">
        <v>559</v>
      </c>
      <c r="AI12097" s="831">
        <v>0</v>
      </c>
      <c r="AJ12097" s="835">
        <v>41517</v>
      </c>
      <c r="AK12097" s="831">
        <v>0.78410416666666671</v>
      </c>
    </row>
    <row r="12098" spans="2:37">
      <c r="B12098" s="834" t="str">
        <f t="shared" si="457"/>
        <v>|||</v>
      </c>
      <c r="H12098" s="835">
        <f t="shared" si="458"/>
        <v>31</v>
      </c>
      <c r="AF12098" s="831" t="s">
        <v>11065</v>
      </c>
      <c r="AG12098" s="831" t="s">
        <v>2674</v>
      </c>
      <c r="AH12098" s="831" t="s">
        <v>568</v>
      </c>
      <c r="AI12098" s="831">
        <v>0</v>
      </c>
      <c r="AJ12098" s="835">
        <v>41517</v>
      </c>
      <c r="AK12098" s="831">
        <v>446494134.38461536</v>
      </c>
    </row>
    <row r="12099" spans="2:37">
      <c r="B12099" s="834" t="str">
        <f t="shared" si="457"/>
        <v>|||</v>
      </c>
      <c r="H12099" s="835">
        <f t="shared" si="458"/>
        <v>31</v>
      </c>
      <c r="AF12099" s="831" t="s">
        <v>11066</v>
      </c>
      <c r="AG12099" s="831" t="s">
        <v>2674</v>
      </c>
      <c r="AH12099" s="831" t="s">
        <v>569</v>
      </c>
      <c r="AI12099" s="831">
        <v>0</v>
      </c>
      <c r="AJ12099" s="835">
        <v>41517</v>
      </c>
      <c r="AK12099" s="831">
        <v>542095460.15384614</v>
      </c>
    </row>
    <row r="12100" spans="2:37">
      <c r="B12100" s="834" t="str">
        <f t="shared" si="457"/>
        <v>|||</v>
      </c>
      <c r="H12100" s="835">
        <f t="shared" si="458"/>
        <v>31</v>
      </c>
      <c r="AF12100" s="831" t="s">
        <v>11067</v>
      </c>
      <c r="AG12100" s="831" t="s">
        <v>2674</v>
      </c>
      <c r="AH12100" s="831" t="s">
        <v>570</v>
      </c>
      <c r="AI12100" s="831">
        <v>0</v>
      </c>
      <c r="AJ12100" s="835">
        <v>41517</v>
      </c>
      <c r="AK12100" s="831">
        <v>102565482.6923077</v>
      </c>
    </row>
    <row r="12101" spans="2:37">
      <c r="B12101" s="834" t="str">
        <f t="shared" si="457"/>
        <v>|||</v>
      </c>
      <c r="H12101" s="835">
        <f t="shared" si="458"/>
        <v>31</v>
      </c>
      <c r="AF12101" s="831" t="s">
        <v>11068</v>
      </c>
      <c r="AG12101" s="831" t="s">
        <v>2674</v>
      </c>
      <c r="AH12101" s="831" t="s">
        <v>571</v>
      </c>
      <c r="AI12101" s="831">
        <v>0</v>
      </c>
      <c r="AJ12101" s="835">
        <v>41517</v>
      </c>
      <c r="AK12101" s="831">
        <v>245131875.46153846</v>
      </c>
    </row>
    <row r="12102" spans="2:37">
      <c r="B12102" s="834" t="str">
        <f t="shared" si="457"/>
        <v>|||</v>
      </c>
      <c r="H12102" s="835">
        <f t="shared" si="458"/>
        <v>31</v>
      </c>
      <c r="AF12102" s="831" t="s">
        <v>11069</v>
      </c>
      <c r="AG12102" s="831" t="s">
        <v>2674</v>
      </c>
      <c r="AH12102" s="831" t="s">
        <v>573</v>
      </c>
      <c r="AI12102" s="831">
        <v>0</v>
      </c>
      <c r="AJ12102" s="835">
        <v>41517</v>
      </c>
      <c r="AK12102" s="831">
        <v>579585898.22222221</v>
      </c>
    </row>
    <row r="12103" spans="2:37">
      <c r="B12103" s="834" t="str">
        <f t="shared" si="457"/>
        <v>|||</v>
      </c>
      <c r="H12103" s="835">
        <f t="shared" si="458"/>
        <v>31</v>
      </c>
      <c r="AF12103" s="831" t="s">
        <v>11070</v>
      </c>
      <c r="AG12103" s="831" t="s">
        <v>2674</v>
      </c>
      <c r="AH12103" s="831" t="s">
        <v>574</v>
      </c>
      <c r="AI12103" s="831">
        <v>0</v>
      </c>
      <c r="AJ12103" s="835">
        <v>41517</v>
      </c>
      <c r="AK12103" s="831">
        <v>478283946.77777779</v>
      </c>
    </row>
    <row r="12104" spans="2:37">
      <c r="B12104" s="834" t="str">
        <f t="shared" si="457"/>
        <v>|||</v>
      </c>
      <c r="H12104" s="835">
        <f t="shared" si="458"/>
        <v>31</v>
      </c>
      <c r="AF12104" s="831" t="s">
        <v>11071</v>
      </c>
      <c r="AG12104" s="831" t="s">
        <v>2674</v>
      </c>
      <c r="AH12104" s="831" t="s">
        <v>575</v>
      </c>
      <c r="AI12104" s="831">
        <v>0</v>
      </c>
      <c r="AJ12104" s="835">
        <v>41517</v>
      </c>
      <c r="AK12104" s="831">
        <v>104359849</v>
      </c>
    </row>
    <row r="12105" spans="2:37">
      <c r="B12105" s="834" t="str">
        <f t="shared" si="457"/>
        <v>|||</v>
      </c>
      <c r="H12105" s="835">
        <f t="shared" si="458"/>
        <v>31</v>
      </c>
      <c r="AF12105" s="831" t="s">
        <v>11072</v>
      </c>
      <c r="AG12105" s="831" t="s">
        <v>2674</v>
      </c>
      <c r="AH12105" s="831" t="s">
        <v>576</v>
      </c>
      <c r="AI12105" s="831">
        <v>0</v>
      </c>
      <c r="AJ12105" s="835">
        <v>41517</v>
      </c>
      <c r="AK12105" s="831">
        <v>270469259.22222221</v>
      </c>
    </row>
    <row r="12106" spans="2:37">
      <c r="B12106" s="834" t="str">
        <f t="shared" si="457"/>
        <v>|||</v>
      </c>
      <c r="H12106" s="835">
        <f t="shared" si="458"/>
        <v>31</v>
      </c>
      <c r="AF12106" s="831" t="s">
        <v>11073</v>
      </c>
      <c r="AG12106" s="831" t="s">
        <v>2674</v>
      </c>
      <c r="AH12106" s="831" t="s">
        <v>572</v>
      </c>
      <c r="AI12106" s="831">
        <v>0</v>
      </c>
      <c r="AJ12106" s="835">
        <v>41517</v>
      </c>
      <c r="AK12106" s="831">
        <v>24859621</v>
      </c>
    </row>
    <row r="12107" spans="2:37">
      <c r="B12107" s="834" t="str">
        <f t="shared" si="457"/>
        <v>|||</v>
      </c>
      <c r="H12107" s="835">
        <f t="shared" si="458"/>
        <v>31</v>
      </c>
      <c r="AF12107" s="831" t="s">
        <v>11074</v>
      </c>
      <c r="AG12107" s="831" t="s">
        <v>2674</v>
      </c>
      <c r="AH12107" s="831" t="s">
        <v>577</v>
      </c>
      <c r="AI12107" s="831">
        <v>0</v>
      </c>
      <c r="AJ12107" s="835">
        <v>41517</v>
      </c>
      <c r="AK12107" s="831">
        <v>119121446</v>
      </c>
    </row>
    <row r="12108" spans="2:37">
      <c r="B12108" s="834" t="str">
        <f t="shared" si="457"/>
        <v>|||</v>
      </c>
      <c r="H12108" s="835">
        <f t="shared" si="458"/>
        <v>31</v>
      </c>
      <c r="AF12108" s="831" t="s">
        <v>11075</v>
      </c>
      <c r="AG12108" s="831" t="s">
        <v>2674</v>
      </c>
      <c r="AH12108" s="831" t="s">
        <v>3042</v>
      </c>
      <c r="AI12108" s="831">
        <v>0</v>
      </c>
      <c r="AJ12108" s="835">
        <v>41517</v>
      </c>
      <c r="AK12108" s="831">
        <v>-29143089</v>
      </c>
    </row>
    <row r="12109" spans="2:37">
      <c r="B12109" s="834" t="str">
        <f t="shared" si="457"/>
        <v>|||</v>
      </c>
      <c r="H12109" s="835">
        <f t="shared" si="458"/>
        <v>31</v>
      </c>
      <c r="AF12109" s="831" t="s">
        <v>11076</v>
      </c>
      <c r="AG12109" s="831" t="s">
        <v>2674</v>
      </c>
      <c r="AH12109" s="831" t="s">
        <v>3044</v>
      </c>
      <c r="AI12109" s="831">
        <v>0</v>
      </c>
      <c r="AJ12109" s="835">
        <v>41517</v>
      </c>
      <c r="AK12109" s="831">
        <v>-4417525</v>
      </c>
    </row>
    <row r="12110" spans="2:37">
      <c r="B12110" s="834" t="str">
        <f t="shared" si="457"/>
        <v>|||</v>
      </c>
      <c r="H12110" s="835">
        <f t="shared" si="458"/>
        <v>31</v>
      </c>
      <c r="AF12110" s="831" t="s">
        <v>11077</v>
      </c>
      <c r="AG12110" s="831" t="s">
        <v>2674</v>
      </c>
      <c r="AH12110" s="831" t="s">
        <v>580</v>
      </c>
      <c r="AI12110" s="831">
        <v>0</v>
      </c>
      <c r="AJ12110" s="835">
        <v>41517</v>
      </c>
      <c r="AK12110" s="831">
        <v>-58376707</v>
      </c>
    </row>
    <row r="12111" spans="2:37">
      <c r="B12111" s="834" t="str">
        <f t="shared" si="457"/>
        <v>|||</v>
      </c>
      <c r="H12111" s="835">
        <f t="shared" si="458"/>
        <v>31</v>
      </c>
      <c r="AF12111" s="831" t="s">
        <v>11078</v>
      </c>
      <c r="AG12111" s="831" t="s">
        <v>2674</v>
      </c>
      <c r="AH12111" s="831" t="s">
        <v>581</v>
      </c>
      <c r="AI12111" s="831">
        <v>0</v>
      </c>
      <c r="AJ12111" s="835">
        <v>41517</v>
      </c>
      <c r="AK12111" s="831">
        <v>4578677</v>
      </c>
    </row>
    <row r="12112" spans="2:37">
      <c r="B12112" s="834" t="str">
        <f t="shared" si="457"/>
        <v>|||</v>
      </c>
      <c r="H12112" s="835">
        <f t="shared" si="458"/>
        <v>31</v>
      </c>
      <c r="AF12112" s="831" t="s">
        <v>11079</v>
      </c>
      <c r="AG12112" s="831" t="s">
        <v>2674</v>
      </c>
      <c r="AH12112" s="831" t="s">
        <v>105</v>
      </c>
      <c r="AI12112" s="831">
        <v>0</v>
      </c>
      <c r="AJ12112" s="835">
        <v>41517</v>
      </c>
      <c r="AK12112" s="831">
        <v>314125292</v>
      </c>
    </row>
    <row r="12113" spans="2:37">
      <c r="B12113" s="834" t="str">
        <f t="shared" ref="B12113:B12176" si="459">C12113&amp;"|"&amp;D12113&amp;"|"&amp;E12113&amp;"|"&amp;F12113</f>
        <v>|||</v>
      </c>
      <c r="H12113" s="835">
        <f t="shared" ref="H12113:H12176" si="460">EOMONTH(L12113,0)</f>
        <v>31</v>
      </c>
      <c r="AF12113" s="831" t="s">
        <v>11080</v>
      </c>
      <c r="AG12113" s="831" t="s">
        <v>2674</v>
      </c>
      <c r="AH12113" s="831" t="s">
        <v>3049</v>
      </c>
      <c r="AI12113" s="831">
        <v>0</v>
      </c>
      <c r="AJ12113" s="835">
        <v>41517</v>
      </c>
      <c r="AK12113" s="831">
        <v>527249449.14999998</v>
      </c>
    </row>
    <row r="12114" spans="2:37">
      <c r="B12114" s="834" t="str">
        <f t="shared" si="459"/>
        <v>|||</v>
      </c>
      <c r="H12114" s="835">
        <f t="shared" si="460"/>
        <v>31</v>
      </c>
      <c r="AF12114" s="831" t="s">
        <v>11081</v>
      </c>
      <c r="AG12114" s="831" t="s">
        <v>2674</v>
      </c>
      <c r="AH12114" s="831" t="s">
        <v>103</v>
      </c>
      <c r="AI12114" s="831">
        <v>0</v>
      </c>
      <c r="AJ12114" s="835">
        <v>41517</v>
      </c>
      <c r="AK12114" s="831">
        <v>213124157.14999998</v>
      </c>
    </row>
    <row r="12115" spans="2:37">
      <c r="B12115" s="834" t="str">
        <f t="shared" si="459"/>
        <v>|||</v>
      </c>
      <c r="H12115" s="835">
        <f t="shared" si="460"/>
        <v>31</v>
      </c>
      <c r="AF12115" s="831" t="s">
        <v>11082</v>
      </c>
      <c r="AG12115" s="831" t="s">
        <v>2674</v>
      </c>
      <c r="AH12115" s="831" t="s">
        <v>182</v>
      </c>
      <c r="AI12115" s="831">
        <v>0</v>
      </c>
      <c r="AJ12115" s="835">
        <v>41517</v>
      </c>
      <c r="AK12115" s="831">
        <v>57914724</v>
      </c>
    </row>
    <row r="12116" spans="2:37">
      <c r="B12116" s="834" t="str">
        <f t="shared" si="459"/>
        <v>|||</v>
      </c>
      <c r="H12116" s="835">
        <f t="shared" si="460"/>
        <v>31</v>
      </c>
      <c r="AF12116" s="831" t="s">
        <v>11083</v>
      </c>
      <c r="AG12116" s="831" t="s">
        <v>2674</v>
      </c>
      <c r="AH12116" s="831" t="s">
        <v>6600</v>
      </c>
      <c r="AI12116" s="831">
        <v>0</v>
      </c>
      <c r="AJ12116" s="835">
        <v>41517</v>
      </c>
      <c r="AK12116" s="831">
        <v>24859621</v>
      </c>
    </row>
    <row r="12117" spans="2:37">
      <c r="B12117" s="834" t="str">
        <f t="shared" si="459"/>
        <v>|||</v>
      </c>
      <c r="H12117" s="835">
        <f t="shared" si="460"/>
        <v>31</v>
      </c>
      <c r="AF12117" s="831" t="s">
        <v>11084</v>
      </c>
      <c r="AG12117" s="831" t="s">
        <v>2674</v>
      </c>
      <c r="AH12117" s="831" t="s">
        <v>6602</v>
      </c>
      <c r="AI12117" s="831">
        <v>0</v>
      </c>
      <c r="AJ12117" s="835">
        <v>41517</v>
      </c>
      <c r="AK12117" s="831">
        <v>19111719</v>
      </c>
    </row>
    <row r="12118" spans="2:37">
      <c r="B12118" s="834" t="str">
        <f t="shared" si="459"/>
        <v>|||</v>
      </c>
      <c r="H12118" s="835">
        <f t="shared" si="460"/>
        <v>31</v>
      </c>
      <c r="AF12118" s="831" t="s">
        <v>11085</v>
      </c>
      <c r="AG12118" s="831" t="s">
        <v>2674</v>
      </c>
      <c r="AH12118" s="831" t="s">
        <v>650</v>
      </c>
      <c r="AI12118" s="831">
        <v>0</v>
      </c>
      <c r="AJ12118" s="835">
        <v>41517</v>
      </c>
      <c r="AK12118" s="831">
        <v>180578512.62692308</v>
      </c>
    </row>
    <row r="12119" spans="2:37">
      <c r="B12119" s="834" t="str">
        <f t="shared" si="459"/>
        <v>|||</v>
      </c>
      <c r="H12119" s="835">
        <f t="shared" si="460"/>
        <v>31</v>
      </c>
      <c r="AF12119" s="831" t="s">
        <v>11086</v>
      </c>
      <c r="AG12119" s="831" t="s">
        <v>2674</v>
      </c>
      <c r="AH12119" s="831" t="s">
        <v>655</v>
      </c>
      <c r="AI12119" s="831">
        <v>0</v>
      </c>
      <c r="AJ12119" s="835">
        <v>41517</v>
      </c>
      <c r="AK12119" s="831">
        <v>1231052.19</v>
      </c>
    </row>
    <row r="12120" spans="2:37">
      <c r="B12120" s="834" t="str">
        <f t="shared" si="459"/>
        <v>|||</v>
      </c>
      <c r="H12120" s="835">
        <f t="shared" si="460"/>
        <v>31</v>
      </c>
      <c r="AF12120" s="831" t="s">
        <v>11087</v>
      </c>
      <c r="AG12120" s="831" t="s">
        <v>2674</v>
      </c>
      <c r="AH12120" s="831" t="s">
        <v>546</v>
      </c>
      <c r="AI12120" s="831">
        <v>0</v>
      </c>
      <c r="AJ12120" s="835">
        <v>41547</v>
      </c>
      <c r="AK12120" s="831">
        <v>563989028</v>
      </c>
    </row>
    <row r="12121" spans="2:37">
      <c r="B12121" s="834" t="str">
        <f t="shared" si="459"/>
        <v>|||</v>
      </c>
      <c r="H12121" s="835">
        <f t="shared" si="460"/>
        <v>31</v>
      </c>
      <c r="AF12121" s="831" t="s">
        <v>11088</v>
      </c>
      <c r="AG12121" s="831" t="s">
        <v>2674</v>
      </c>
      <c r="AH12121" s="831" t="s">
        <v>370</v>
      </c>
      <c r="AI12121" s="831">
        <v>0</v>
      </c>
      <c r="AJ12121" s="835">
        <v>41547</v>
      </c>
      <c r="AK12121" s="831">
        <v>692795586</v>
      </c>
    </row>
    <row r="12122" spans="2:37">
      <c r="B12122" s="834" t="str">
        <f t="shared" si="459"/>
        <v>|||</v>
      </c>
      <c r="H12122" s="835">
        <f t="shared" si="460"/>
        <v>31</v>
      </c>
      <c r="AF12122" s="831" t="s">
        <v>11089</v>
      </c>
      <c r="AG12122" s="831" t="s">
        <v>2674</v>
      </c>
      <c r="AH12122" s="831" t="s">
        <v>126</v>
      </c>
      <c r="AI12122" s="831">
        <v>0</v>
      </c>
      <c r="AJ12122" s="835">
        <v>41547</v>
      </c>
      <c r="AK12122" s="831">
        <v>117170637</v>
      </c>
    </row>
    <row r="12123" spans="2:37">
      <c r="B12123" s="834" t="str">
        <f t="shared" si="459"/>
        <v>|||</v>
      </c>
      <c r="H12123" s="835">
        <f t="shared" si="460"/>
        <v>31</v>
      </c>
      <c r="AF12123" s="831" t="s">
        <v>11090</v>
      </c>
      <c r="AG12123" s="831" t="s">
        <v>2674</v>
      </c>
      <c r="AH12123" s="831" t="s">
        <v>268</v>
      </c>
      <c r="AI12123" s="831">
        <v>0</v>
      </c>
      <c r="AJ12123" s="835">
        <v>41547</v>
      </c>
      <c r="AK12123" s="831">
        <v>22407414</v>
      </c>
    </row>
    <row r="12124" spans="2:37">
      <c r="B12124" s="834" t="str">
        <f t="shared" si="459"/>
        <v>|||</v>
      </c>
      <c r="H12124" s="835">
        <f t="shared" si="460"/>
        <v>31</v>
      </c>
      <c r="AF12124" s="831" t="s">
        <v>11091</v>
      </c>
      <c r="AG12124" s="831" t="s">
        <v>2674</v>
      </c>
      <c r="AH12124" s="831" t="s">
        <v>547</v>
      </c>
      <c r="AI12124" s="831">
        <v>0</v>
      </c>
      <c r="AJ12124" s="835">
        <v>41547</v>
      </c>
      <c r="AK12124" s="831">
        <v>511487760</v>
      </c>
    </row>
    <row r="12125" spans="2:37">
      <c r="B12125" s="834" t="str">
        <f t="shared" si="459"/>
        <v>|||</v>
      </c>
      <c r="H12125" s="835">
        <f t="shared" si="460"/>
        <v>31</v>
      </c>
      <c r="AF12125" s="831" t="s">
        <v>11092</v>
      </c>
      <c r="AG12125" s="831" t="s">
        <v>2674</v>
      </c>
      <c r="AH12125" s="831" t="s">
        <v>548</v>
      </c>
      <c r="AI12125" s="831">
        <v>0</v>
      </c>
      <c r="AJ12125" s="835">
        <v>41547</v>
      </c>
      <c r="AK12125" s="831">
        <v>96883184</v>
      </c>
    </row>
    <row r="12126" spans="2:37">
      <c r="B12126" s="834" t="str">
        <f t="shared" si="459"/>
        <v>|||</v>
      </c>
      <c r="H12126" s="835">
        <f t="shared" si="460"/>
        <v>31</v>
      </c>
      <c r="AF12126" s="831" t="s">
        <v>11093</v>
      </c>
      <c r="AG12126" s="831" t="s">
        <v>2674</v>
      </c>
      <c r="AH12126" s="831" t="s">
        <v>549</v>
      </c>
      <c r="AI12126" s="831">
        <v>0</v>
      </c>
      <c r="AJ12126" s="835">
        <v>41547</v>
      </c>
      <c r="AK12126" s="831">
        <v>367084945</v>
      </c>
    </row>
    <row r="12127" spans="2:37">
      <c r="B12127" s="834" t="str">
        <f t="shared" si="459"/>
        <v>|||</v>
      </c>
      <c r="H12127" s="835">
        <f t="shared" si="460"/>
        <v>31</v>
      </c>
      <c r="AF12127" s="831" t="s">
        <v>11094</v>
      </c>
      <c r="AG12127" s="831" t="s">
        <v>2674</v>
      </c>
      <c r="AH12127" s="831" t="s">
        <v>192</v>
      </c>
      <c r="AI12127" s="831">
        <v>0</v>
      </c>
      <c r="AJ12127" s="835">
        <v>41547</v>
      </c>
      <c r="AK12127" s="831">
        <v>-12882814</v>
      </c>
    </row>
    <row r="12128" spans="2:37">
      <c r="B12128" s="834" t="str">
        <f t="shared" si="459"/>
        <v>|||</v>
      </c>
      <c r="H12128" s="835">
        <f t="shared" si="460"/>
        <v>31</v>
      </c>
      <c r="AF12128" s="831" t="s">
        <v>11095</v>
      </c>
      <c r="AG12128" s="831" t="s">
        <v>2674</v>
      </c>
      <c r="AH12128" s="831" t="s">
        <v>558</v>
      </c>
      <c r="AI12128" s="831">
        <v>0</v>
      </c>
      <c r="AJ12128" s="835">
        <v>41547</v>
      </c>
      <c r="AK12128" s="831">
        <v>575624949</v>
      </c>
    </row>
    <row r="12129" spans="2:37">
      <c r="B12129" s="834" t="str">
        <f t="shared" si="459"/>
        <v>|||</v>
      </c>
      <c r="H12129" s="835">
        <f t="shared" si="460"/>
        <v>31</v>
      </c>
      <c r="AF12129" s="831" t="s">
        <v>11096</v>
      </c>
      <c r="AG12129" s="831" t="s">
        <v>2674</v>
      </c>
      <c r="AH12129" s="831" t="s">
        <v>65</v>
      </c>
      <c r="AI12129" s="831">
        <v>0</v>
      </c>
      <c r="AJ12129" s="835">
        <v>41547</v>
      </c>
      <c r="AK12129" s="831">
        <v>95313557</v>
      </c>
    </row>
    <row r="12130" spans="2:37">
      <c r="B12130" s="834" t="str">
        <f t="shared" si="459"/>
        <v>|||</v>
      </c>
      <c r="H12130" s="835">
        <f t="shared" si="460"/>
        <v>31</v>
      </c>
      <c r="AF12130" s="831" t="s">
        <v>11097</v>
      </c>
      <c r="AG12130" s="831" t="s">
        <v>2674</v>
      </c>
      <c r="AH12130" s="831" t="s">
        <v>89</v>
      </c>
      <c r="AI12130" s="831">
        <v>0</v>
      </c>
      <c r="AJ12130" s="835">
        <v>41547</v>
      </c>
      <c r="AK12130" s="831">
        <v>141558</v>
      </c>
    </row>
    <row r="12131" spans="2:37">
      <c r="B12131" s="834" t="str">
        <f t="shared" si="459"/>
        <v>|||</v>
      </c>
      <c r="H12131" s="835">
        <f t="shared" si="460"/>
        <v>31</v>
      </c>
      <c r="AF12131" s="831" t="s">
        <v>11098</v>
      </c>
      <c r="AG12131" s="831" t="s">
        <v>2674</v>
      </c>
      <c r="AH12131" s="831" t="s">
        <v>557</v>
      </c>
      <c r="AI12131" s="831">
        <v>0</v>
      </c>
      <c r="AJ12131" s="835">
        <v>41547</v>
      </c>
      <c r="AK12131" s="831">
        <v>150480</v>
      </c>
    </row>
    <row r="12132" spans="2:37">
      <c r="B12132" s="834" t="str">
        <f t="shared" si="459"/>
        <v>|||</v>
      </c>
      <c r="H12132" s="835">
        <f t="shared" si="460"/>
        <v>31</v>
      </c>
      <c r="AF12132" s="831" t="s">
        <v>11099</v>
      </c>
      <c r="AG12132" s="831" t="s">
        <v>2674</v>
      </c>
      <c r="AH12132" s="831" t="s">
        <v>29</v>
      </c>
      <c r="AI12132" s="831">
        <v>0</v>
      </c>
      <c r="AJ12132" s="835">
        <v>41547</v>
      </c>
      <c r="AK12132" s="831">
        <v>1808536.49</v>
      </c>
    </row>
    <row r="12133" spans="2:37">
      <c r="B12133" s="834" t="str">
        <f t="shared" si="459"/>
        <v>|||</v>
      </c>
      <c r="H12133" s="835">
        <f t="shared" si="460"/>
        <v>31</v>
      </c>
      <c r="AF12133" s="831" t="s">
        <v>11100</v>
      </c>
      <c r="AG12133" s="831" t="s">
        <v>2674</v>
      </c>
      <c r="AH12133" s="831" t="s">
        <v>2688</v>
      </c>
      <c r="AI12133" s="831">
        <v>0</v>
      </c>
      <c r="AJ12133" s="835">
        <v>41547</v>
      </c>
      <c r="AK12133" s="831">
        <v>1944896.06</v>
      </c>
    </row>
    <row r="12134" spans="2:37">
      <c r="B12134" s="834" t="str">
        <f t="shared" si="459"/>
        <v>|||</v>
      </c>
      <c r="H12134" s="835">
        <f t="shared" si="460"/>
        <v>31</v>
      </c>
      <c r="AF12134" s="831" t="s">
        <v>11101</v>
      </c>
      <c r="AG12134" s="831" t="s">
        <v>2674</v>
      </c>
      <c r="AH12134" s="831" t="s">
        <v>556</v>
      </c>
      <c r="AI12134" s="831">
        <v>0</v>
      </c>
      <c r="AJ12134" s="835">
        <v>41547</v>
      </c>
      <c r="AK12134" s="831">
        <v>1644732</v>
      </c>
    </row>
    <row r="12135" spans="2:37">
      <c r="B12135" s="834" t="str">
        <f t="shared" si="459"/>
        <v>|||</v>
      </c>
      <c r="H12135" s="835">
        <f t="shared" si="460"/>
        <v>31</v>
      </c>
      <c r="AF12135" s="831" t="s">
        <v>11102</v>
      </c>
      <c r="AG12135" s="831" t="s">
        <v>2674</v>
      </c>
      <c r="AH12135" s="831" t="s">
        <v>555</v>
      </c>
      <c r="AI12135" s="831">
        <v>0</v>
      </c>
      <c r="AJ12135" s="835">
        <v>41547</v>
      </c>
      <c r="AK12135" s="831">
        <v>373785500</v>
      </c>
    </row>
    <row r="12136" spans="2:37">
      <c r="B12136" s="834" t="str">
        <f t="shared" si="459"/>
        <v>|||</v>
      </c>
      <c r="H12136" s="835">
        <f t="shared" si="460"/>
        <v>31</v>
      </c>
      <c r="AF12136" s="831" t="s">
        <v>11103</v>
      </c>
      <c r="AG12136" s="831" t="s">
        <v>2674</v>
      </c>
      <c r="AH12136" s="831" t="s">
        <v>554</v>
      </c>
      <c r="AI12136" s="831">
        <v>0</v>
      </c>
      <c r="AJ12136" s="835">
        <v>41547</v>
      </c>
      <c r="AK12136" s="831">
        <v>389313510</v>
      </c>
    </row>
    <row r="12137" spans="2:37">
      <c r="B12137" s="834" t="str">
        <f t="shared" si="459"/>
        <v>|||</v>
      </c>
      <c r="H12137" s="835">
        <f t="shared" si="460"/>
        <v>31</v>
      </c>
      <c r="AF12137" s="831" t="s">
        <v>11104</v>
      </c>
      <c r="AG12137" s="831" t="s">
        <v>2674</v>
      </c>
      <c r="AH12137" s="831" t="s">
        <v>553</v>
      </c>
      <c r="AI12137" s="831">
        <v>0</v>
      </c>
      <c r="AJ12137" s="835">
        <v>41547</v>
      </c>
      <c r="AK12137" s="831">
        <v>0</v>
      </c>
    </row>
    <row r="12138" spans="2:37">
      <c r="B12138" s="834" t="str">
        <f t="shared" si="459"/>
        <v>|||</v>
      </c>
      <c r="H12138" s="835">
        <f t="shared" si="460"/>
        <v>31</v>
      </c>
      <c r="AF12138" s="831" t="s">
        <v>11105</v>
      </c>
      <c r="AG12138" s="831" t="s">
        <v>2674</v>
      </c>
      <c r="AH12138" s="831" t="s">
        <v>552</v>
      </c>
      <c r="AI12138" s="831">
        <v>0</v>
      </c>
      <c r="AJ12138" s="835">
        <v>41547</v>
      </c>
      <c r="AK12138" s="831">
        <v>0</v>
      </c>
    </row>
    <row r="12139" spans="2:37">
      <c r="B12139" s="834" t="str">
        <f t="shared" si="459"/>
        <v>|||</v>
      </c>
      <c r="H12139" s="835">
        <f t="shared" si="460"/>
        <v>31</v>
      </c>
      <c r="AF12139" s="831" t="s">
        <v>11106</v>
      </c>
      <c r="AG12139" s="831" t="s">
        <v>2674</v>
      </c>
      <c r="AH12139" s="831" t="s">
        <v>551</v>
      </c>
      <c r="AI12139" s="831">
        <v>0</v>
      </c>
      <c r="AJ12139" s="835">
        <v>41547</v>
      </c>
      <c r="AK12139" s="831">
        <v>1611508.6</v>
      </c>
    </row>
    <row r="12140" spans="2:37">
      <c r="B12140" s="834" t="str">
        <f t="shared" si="459"/>
        <v>|||</v>
      </c>
      <c r="H12140" s="835">
        <f t="shared" si="460"/>
        <v>31</v>
      </c>
      <c r="AF12140" s="831" t="s">
        <v>11107</v>
      </c>
      <c r="AG12140" s="831" t="s">
        <v>2674</v>
      </c>
      <c r="AH12140" s="831" t="s">
        <v>550</v>
      </c>
      <c r="AI12140" s="831">
        <v>0</v>
      </c>
      <c r="AJ12140" s="835">
        <v>41547</v>
      </c>
      <c r="AK12140" s="831">
        <v>113874944</v>
      </c>
    </row>
    <row r="12141" spans="2:37">
      <c r="B12141" s="834" t="str">
        <f t="shared" si="459"/>
        <v>|||</v>
      </c>
      <c r="H12141" s="835">
        <f t="shared" si="460"/>
        <v>31</v>
      </c>
      <c r="AF12141" s="831" t="s">
        <v>11108</v>
      </c>
      <c r="AG12141" s="831" t="s">
        <v>2674</v>
      </c>
      <c r="AH12141" s="831" t="s">
        <v>562</v>
      </c>
      <c r="AI12141" s="831">
        <v>0</v>
      </c>
      <c r="AJ12141" s="835">
        <v>41547</v>
      </c>
      <c r="AK12141" s="831">
        <v>0.78395000000000004</v>
      </c>
    </row>
    <row r="12142" spans="2:37">
      <c r="B12142" s="834" t="str">
        <f t="shared" si="459"/>
        <v>|||</v>
      </c>
      <c r="H12142" s="835">
        <f t="shared" si="460"/>
        <v>31</v>
      </c>
      <c r="AF12142" s="831" t="s">
        <v>11109</v>
      </c>
      <c r="AG12142" s="831" t="s">
        <v>2674</v>
      </c>
      <c r="AH12142" s="831" t="s">
        <v>2698</v>
      </c>
      <c r="AI12142" s="831">
        <v>0</v>
      </c>
      <c r="AJ12142" s="835">
        <v>41547</v>
      </c>
      <c r="AK12142" s="831">
        <v>0.78385000000000005</v>
      </c>
    </row>
    <row r="12143" spans="2:37">
      <c r="B12143" s="834" t="str">
        <f t="shared" si="459"/>
        <v>|||</v>
      </c>
      <c r="H12143" s="835">
        <f t="shared" si="460"/>
        <v>31</v>
      </c>
      <c r="AF12143" s="831" t="s">
        <v>11110</v>
      </c>
      <c r="AG12143" s="831" t="s">
        <v>2674</v>
      </c>
      <c r="AH12143" s="831" t="s">
        <v>560</v>
      </c>
      <c r="AI12143" s="831">
        <v>0</v>
      </c>
      <c r="AJ12143" s="835">
        <v>41547</v>
      </c>
      <c r="AK12143" s="831">
        <v>0.78400555555555551</v>
      </c>
    </row>
    <row r="12144" spans="2:37">
      <c r="B12144" s="834" t="str">
        <f t="shared" si="459"/>
        <v>|||</v>
      </c>
      <c r="H12144" s="835">
        <f t="shared" si="460"/>
        <v>31</v>
      </c>
      <c r="AF12144" s="831" t="s">
        <v>11111</v>
      </c>
      <c r="AG12144" s="831" t="s">
        <v>2674</v>
      </c>
      <c r="AH12144" s="831" t="s">
        <v>559</v>
      </c>
      <c r="AI12144" s="831">
        <v>0</v>
      </c>
      <c r="AJ12144" s="835">
        <v>41547</v>
      </c>
      <c r="AK12144" s="831">
        <v>0.78404583333333333</v>
      </c>
    </row>
    <row r="12145" spans="2:37">
      <c r="B12145" s="834" t="str">
        <f t="shared" si="459"/>
        <v>|||</v>
      </c>
      <c r="H12145" s="835">
        <f t="shared" si="460"/>
        <v>31</v>
      </c>
      <c r="AF12145" s="831" t="s">
        <v>11112</v>
      </c>
      <c r="AG12145" s="831" t="s">
        <v>2674</v>
      </c>
      <c r="AH12145" s="831" t="s">
        <v>568</v>
      </c>
      <c r="AI12145" s="831">
        <v>0</v>
      </c>
      <c r="AJ12145" s="835">
        <v>41547</v>
      </c>
      <c r="AK12145" s="831">
        <v>462009040.84615386</v>
      </c>
    </row>
    <row r="12146" spans="2:37">
      <c r="B12146" s="834" t="str">
        <f t="shared" si="459"/>
        <v>|||</v>
      </c>
      <c r="H12146" s="835">
        <f t="shared" si="460"/>
        <v>31</v>
      </c>
      <c r="AF12146" s="831" t="s">
        <v>11113</v>
      </c>
      <c r="AG12146" s="831" t="s">
        <v>2674</v>
      </c>
      <c r="AH12146" s="831" t="s">
        <v>569</v>
      </c>
      <c r="AI12146" s="831">
        <v>0</v>
      </c>
      <c r="AJ12146" s="835">
        <v>41547</v>
      </c>
      <c r="AK12146" s="831">
        <v>560598027.84615386</v>
      </c>
    </row>
    <row r="12147" spans="2:37">
      <c r="B12147" s="834" t="str">
        <f t="shared" si="459"/>
        <v>|||</v>
      </c>
      <c r="H12147" s="835">
        <f t="shared" si="460"/>
        <v>31</v>
      </c>
      <c r="AF12147" s="831" t="s">
        <v>11114</v>
      </c>
      <c r="AG12147" s="831" t="s">
        <v>2674</v>
      </c>
      <c r="AH12147" s="831" t="s">
        <v>570</v>
      </c>
      <c r="AI12147" s="831">
        <v>0</v>
      </c>
      <c r="AJ12147" s="835">
        <v>41547</v>
      </c>
      <c r="AK12147" s="831">
        <v>104238995.3076923</v>
      </c>
    </row>
    <row r="12148" spans="2:37">
      <c r="B12148" s="834" t="str">
        <f t="shared" si="459"/>
        <v>|||</v>
      </c>
      <c r="H12148" s="835">
        <f t="shared" si="460"/>
        <v>31</v>
      </c>
      <c r="AF12148" s="831" t="s">
        <v>11115</v>
      </c>
      <c r="AG12148" s="831" t="s">
        <v>2674</v>
      </c>
      <c r="AH12148" s="831" t="s">
        <v>571</v>
      </c>
      <c r="AI12148" s="831">
        <v>0</v>
      </c>
      <c r="AJ12148" s="835">
        <v>41547</v>
      </c>
      <c r="AK12148" s="831">
        <v>257329819.61538461</v>
      </c>
    </row>
    <row r="12149" spans="2:37">
      <c r="B12149" s="834" t="str">
        <f t="shared" si="459"/>
        <v>|||</v>
      </c>
      <c r="H12149" s="835">
        <f t="shared" si="460"/>
        <v>31</v>
      </c>
      <c r="AF12149" s="831" t="s">
        <v>11116</v>
      </c>
      <c r="AG12149" s="831" t="s">
        <v>2674</v>
      </c>
      <c r="AH12149" s="831" t="s">
        <v>573</v>
      </c>
      <c r="AI12149" s="831">
        <v>0</v>
      </c>
      <c r="AJ12149" s="835">
        <v>41547</v>
      </c>
      <c r="AK12149" s="831">
        <v>590906867</v>
      </c>
    </row>
    <row r="12150" spans="2:37">
      <c r="B12150" s="834" t="str">
        <f t="shared" si="459"/>
        <v>|||</v>
      </c>
      <c r="H12150" s="835">
        <f t="shared" si="460"/>
        <v>31</v>
      </c>
      <c r="AF12150" s="831" t="s">
        <v>11117</v>
      </c>
      <c r="AG12150" s="831" t="s">
        <v>2674</v>
      </c>
      <c r="AH12150" s="831" t="s">
        <v>574</v>
      </c>
      <c r="AI12150" s="831">
        <v>0</v>
      </c>
      <c r="AJ12150" s="835">
        <v>41547</v>
      </c>
      <c r="AK12150" s="831">
        <v>486854454.89999998</v>
      </c>
    </row>
    <row r="12151" spans="2:37">
      <c r="B12151" s="834" t="str">
        <f t="shared" si="459"/>
        <v>|||</v>
      </c>
      <c r="H12151" s="835">
        <f t="shared" si="460"/>
        <v>31</v>
      </c>
      <c r="AF12151" s="831" t="s">
        <v>11118</v>
      </c>
      <c r="AG12151" s="831" t="s">
        <v>2674</v>
      </c>
      <c r="AH12151" s="831" t="s">
        <v>575</v>
      </c>
      <c r="AI12151" s="831">
        <v>0</v>
      </c>
      <c r="AJ12151" s="835">
        <v>41547</v>
      </c>
      <c r="AK12151" s="831">
        <v>105640927.8</v>
      </c>
    </row>
    <row r="12152" spans="2:37">
      <c r="B12152" s="834" t="str">
        <f t="shared" si="459"/>
        <v>|||</v>
      </c>
      <c r="H12152" s="835">
        <f t="shared" si="460"/>
        <v>31</v>
      </c>
      <c r="AF12152" s="831" t="s">
        <v>11119</v>
      </c>
      <c r="AG12152" s="831" t="s">
        <v>2674</v>
      </c>
      <c r="AH12152" s="831" t="s">
        <v>576</v>
      </c>
      <c r="AI12152" s="831">
        <v>0</v>
      </c>
      <c r="AJ12152" s="835">
        <v>41547</v>
      </c>
      <c r="AK12152" s="831">
        <v>277318070.10000002</v>
      </c>
    </row>
    <row r="12153" spans="2:37">
      <c r="B12153" s="834" t="str">
        <f t="shared" si="459"/>
        <v>|||</v>
      </c>
      <c r="H12153" s="835">
        <f t="shared" si="460"/>
        <v>31</v>
      </c>
      <c r="AF12153" s="831" t="s">
        <v>11120</v>
      </c>
      <c r="AG12153" s="831" t="s">
        <v>2674</v>
      </c>
      <c r="AH12153" s="831" t="s">
        <v>572</v>
      </c>
      <c r="AI12153" s="831">
        <v>0</v>
      </c>
      <c r="AJ12153" s="835">
        <v>41547</v>
      </c>
      <c r="AK12153" s="831">
        <v>26160885</v>
      </c>
    </row>
    <row r="12154" spans="2:37">
      <c r="B12154" s="834" t="str">
        <f t="shared" si="459"/>
        <v>|||</v>
      </c>
      <c r="H12154" s="835">
        <f t="shared" si="460"/>
        <v>31</v>
      </c>
      <c r="AF12154" s="831" t="s">
        <v>11121</v>
      </c>
      <c r="AG12154" s="831" t="s">
        <v>2674</v>
      </c>
      <c r="AH12154" s="831" t="s">
        <v>577</v>
      </c>
      <c r="AI12154" s="831">
        <v>0</v>
      </c>
      <c r="AJ12154" s="835">
        <v>41547</v>
      </c>
      <c r="AK12154" s="831">
        <v>122921739</v>
      </c>
    </row>
    <row r="12155" spans="2:37">
      <c r="B12155" s="834" t="str">
        <f t="shared" si="459"/>
        <v>|||</v>
      </c>
      <c r="H12155" s="835">
        <f t="shared" si="460"/>
        <v>31</v>
      </c>
      <c r="AF12155" s="831" t="s">
        <v>11122</v>
      </c>
      <c r="AG12155" s="831" t="s">
        <v>2674</v>
      </c>
      <c r="AH12155" s="831" t="s">
        <v>3042</v>
      </c>
      <c r="AI12155" s="831">
        <v>0</v>
      </c>
      <c r="AJ12155" s="835">
        <v>41547</v>
      </c>
      <c r="AK12155" s="831">
        <v>-30135210</v>
      </c>
    </row>
    <row r="12156" spans="2:37">
      <c r="B12156" s="834" t="str">
        <f t="shared" si="459"/>
        <v>|||</v>
      </c>
      <c r="H12156" s="835">
        <f t="shared" si="460"/>
        <v>31</v>
      </c>
      <c r="AF12156" s="831" t="s">
        <v>11123</v>
      </c>
      <c r="AG12156" s="831" t="s">
        <v>2674</v>
      </c>
      <c r="AH12156" s="831" t="s">
        <v>3044</v>
      </c>
      <c r="AI12156" s="831">
        <v>0</v>
      </c>
      <c r="AJ12156" s="835">
        <v>41547</v>
      </c>
      <c r="AK12156" s="831">
        <v>-4515854</v>
      </c>
    </row>
    <row r="12157" spans="2:37">
      <c r="B12157" s="834" t="str">
        <f t="shared" si="459"/>
        <v>|||</v>
      </c>
      <c r="H12157" s="835">
        <f t="shared" si="460"/>
        <v>31</v>
      </c>
      <c r="AF12157" s="831" t="s">
        <v>11124</v>
      </c>
      <c r="AG12157" s="831" t="s">
        <v>2674</v>
      </c>
      <c r="AH12157" s="831" t="s">
        <v>580</v>
      </c>
      <c r="AI12157" s="831">
        <v>0</v>
      </c>
      <c r="AJ12157" s="835">
        <v>41547</v>
      </c>
      <c r="AK12157" s="831">
        <v>-59169843</v>
      </c>
    </row>
    <row r="12158" spans="2:37">
      <c r="B12158" s="834" t="str">
        <f t="shared" si="459"/>
        <v>|||</v>
      </c>
      <c r="H12158" s="835">
        <f t="shared" si="460"/>
        <v>31</v>
      </c>
      <c r="AF12158" s="831" t="s">
        <v>11125</v>
      </c>
      <c r="AG12158" s="831" t="s">
        <v>2674</v>
      </c>
      <c r="AH12158" s="831" t="s">
        <v>581</v>
      </c>
      <c r="AI12158" s="831">
        <v>0</v>
      </c>
      <c r="AJ12158" s="835">
        <v>41547</v>
      </c>
      <c r="AK12158" s="831">
        <v>4375184</v>
      </c>
    </row>
    <row r="12159" spans="2:37">
      <c r="B12159" s="834" t="str">
        <f t="shared" si="459"/>
        <v>|||</v>
      </c>
      <c r="H12159" s="835">
        <f t="shared" si="460"/>
        <v>31</v>
      </c>
      <c r="AF12159" s="831" t="s">
        <v>11126</v>
      </c>
      <c r="AG12159" s="831" t="s">
        <v>2674</v>
      </c>
      <c r="AH12159" s="831" t="s">
        <v>105</v>
      </c>
      <c r="AI12159" s="831">
        <v>0</v>
      </c>
      <c r="AJ12159" s="835">
        <v>41547</v>
      </c>
      <c r="AK12159" s="831">
        <v>338957368</v>
      </c>
    </row>
    <row r="12160" spans="2:37">
      <c r="B12160" s="834" t="str">
        <f t="shared" si="459"/>
        <v>|||</v>
      </c>
      <c r="H12160" s="835">
        <f t="shared" si="460"/>
        <v>31</v>
      </c>
      <c r="AF12160" s="831" t="s">
        <v>11127</v>
      </c>
      <c r="AG12160" s="831" t="s">
        <v>2674</v>
      </c>
      <c r="AH12160" s="831" t="s">
        <v>3049</v>
      </c>
      <c r="AI12160" s="831">
        <v>0</v>
      </c>
      <c r="AJ12160" s="835">
        <v>41547</v>
      </c>
      <c r="AK12160" s="831">
        <v>558920871</v>
      </c>
    </row>
    <row r="12161" spans="2:37">
      <c r="B12161" s="834" t="str">
        <f t="shared" si="459"/>
        <v>|||</v>
      </c>
      <c r="H12161" s="835">
        <f t="shared" si="460"/>
        <v>31</v>
      </c>
      <c r="AF12161" s="831" t="s">
        <v>11128</v>
      </c>
      <c r="AG12161" s="831" t="s">
        <v>2674</v>
      </c>
      <c r="AH12161" s="831" t="s">
        <v>103</v>
      </c>
      <c r="AI12161" s="831">
        <v>0</v>
      </c>
      <c r="AJ12161" s="835">
        <v>41547</v>
      </c>
      <c r="AK12161" s="831">
        <v>219963503</v>
      </c>
    </row>
    <row r="12162" spans="2:37">
      <c r="B12162" s="834" t="str">
        <f t="shared" si="459"/>
        <v>|||</v>
      </c>
      <c r="H12162" s="835">
        <f t="shared" si="460"/>
        <v>31</v>
      </c>
      <c r="AF12162" s="831" t="s">
        <v>11129</v>
      </c>
      <c r="AG12162" s="831" t="s">
        <v>2674</v>
      </c>
      <c r="AH12162" s="831" t="s">
        <v>182</v>
      </c>
      <c r="AI12162" s="831">
        <v>0</v>
      </c>
      <c r="AJ12162" s="835">
        <v>41547</v>
      </c>
      <c r="AK12162" s="831">
        <v>57784893.333333336</v>
      </c>
    </row>
    <row r="12163" spans="2:37">
      <c r="B12163" s="834" t="str">
        <f t="shared" si="459"/>
        <v>|||</v>
      </c>
      <c r="H12163" s="835">
        <f t="shared" si="460"/>
        <v>31</v>
      </c>
      <c r="AF12163" s="831" t="s">
        <v>11130</v>
      </c>
      <c r="AG12163" s="831" t="s">
        <v>2674</v>
      </c>
      <c r="AH12163" s="831" t="s">
        <v>6600</v>
      </c>
      <c r="AI12163" s="831">
        <v>0</v>
      </c>
      <c r="AJ12163" s="835">
        <v>41547</v>
      </c>
      <c r="AK12163" s="831">
        <v>26160885</v>
      </c>
    </row>
    <row r="12164" spans="2:37">
      <c r="B12164" s="834" t="str">
        <f t="shared" si="459"/>
        <v>|||</v>
      </c>
      <c r="H12164" s="835">
        <f t="shared" si="460"/>
        <v>31</v>
      </c>
      <c r="AF12164" s="831" t="s">
        <v>11131</v>
      </c>
      <c r="AG12164" s="831" t="s">
        <v>2674</v>
      </c>
      <c r="AH12164" s="831" t="s">
        <v>6602</v>
      </c>
      <c r="AI12164" s="831">
        <v>0</v>
      </c>
      <c r="AJ12164" s="835">
        <v>41547</v>
      </c>
      <c r="AK12164" s="831">
        <v>22407414</v>
      </c>
    </row>
    <row r="12165" spans="2:37">
      <c r="B12165" s="834" t="str">
        <f t="shared" si="459"/>
        <v>|||</v>
      </c>
      <c r="H12165" s="835">
        <f t="shared" si="460"/>
        <v>31</v>
      </c>
      <c r="AF12165" s="831" t="s">
        <v>11132</v>
      </c>
      <c r="AG12165" s="831" t="s">
        <v>2674</v>
      </c>
      <c r="AH12165" s="831" t="s">
        <v>650</v>
      </c>
      <c r="AI12165" s="831">
        <v>0</v>
      </c>
      <c r="AJ12165" s="835">
        <v>41547</v>
      </c>
      <c r="AK12165" s="831">
        <v>184913431.55000001</v>
      </c>
    </row>
    <row r="12166" spans="2:37">
      <c r="B12166" s="834" t="str">
        <f t="shared" si="459"/>
        <v>|||</v>
      </c>
      <c r="H12166" s="835">
        <f t="shared" si="460"/>
        <v>31</v>
      </c>
      <c r="AF12166" s="831" t="s">
        <v>11133</v>
      </c>
      <c r="AG12166" s="831" t="s">
        <v>2674</v>
      </c>
      <c r="AH12166" s="831" t="s">
        <v>655</v>
      </c>
      <c r="AI12166" s="831">
        <v>0</v>
      </c>
      <c r="AJ12166" s="835">
        <v>41547</v>
      </c>
      <c r="AK12166" s="831">
        <v>1374522.24</v>
      </c>
    </row>
    <row r="12167" spans="2:37">
      <c r="B12167" s="834" t="str">
        <f t="shared" si="459"/>
        <v>|||</v>
      </c>
      <c r="H12167" s="835">
        <f t="shared" si="460"/>
        <v>31</v>
      </c>
      <c r="AF12167" s="831" t="s">
        <v>11134</v>
      </c>
      <c r="AG12167" s="831" t="s">
        <v>2674</v>
      </c>
      <c r="AH12167" s="831" t="s">
        <v>546</v>
      </c>
      <c r="AI12167" s="831">
        <v>0</v>
      </c>
      <c r="AJ12167" s="835">
        <v>41578</v>
      </c>
      <c r="AK12167" s="831">
        <v>580271359</v>
      </c>
    </row>
    <row r="12168" spans="2:37">
      <c r="B12168" s="834" t="str">
        <f t="shared" si="459"/>
        <v>|||</v>
      </c>
      <c r="H12168" s="835">
        <f t="shared" si="460"/>
        <v>31</v>
      </c>
      <c r="AF12168" s="831" t="s">
        <v>11135</v>
      </c>
      <c r="AG12168" s="831" t="s">
        <v>2674</v>
      </c>
      <c r="AH12168" s="831" t="s">
        <v>370</v>
      </c>
      <c r="AI12168" s="831">
        <v>0</v>
      </c>
      <c r="AJ12168" s="835">
        <v>41578</v>
      </c>
      <c r="AK12168" s="831">
        <v>723686405</v>
      </c>
    </row>
    <row r="12169" spans="2:37">
      <c r="B12169" s="834" t="str">
        <f t="shared" si="459"/>
        <v>|||</v>
      </c>
      <c r="H12169" s="835">
        <f t="shared" si="460"/>
        <v>31</v>
      </c>
      <c r="AF12169" s="831" t="s">
        <v>11136</v>
      </c>
      <c r="AG12169" s="831" t="s">
        <v>2674</v>
      </c>
      <c r="AH12169" s="831" t="s">
        <v>126</v>
      </c>
      <c r="AI12169" s="831">
        <v>0</v>
      </c>
      <c r="AJ12169" s="835">
        <v>41578</v>
      </c>
      <c r="AK12169" s="831">
        <v>120290863</v>
      </c>
    </row>
    <row r="12170" spans="2:37">
      <c r="B12170" s="834" t="str">
        <f t="shared" si="459"/>
        <v>|||</v>
      </c>
      <c r="H12170" s="835">
        <f t="shared" si="460"/>
        <v>31</v>
      </c>
      <c r="AF12170" s="831" t="s">
        <v>11137</v>
      </c>
      <c r="AG12170" s="831" t="s">
        <v>2674</v>
      </c>
      <c r="AH12170" s="831" t="s">
        <v>268</v>
      </c>
      <c r="AI12170" s="831">
        <v>0</v>
      </c>
      <c r="AJ12170" s="835">
        <v>41578</v>
      </c>
      <c r="AK12170" s="831">
        <v>25527641</v>
      </c>
    </row>
    <row r="12171" spans="2:37">
      <c r="B12171" s="834" t="str">
        <f t="shared" si="459"/>
        <v>|||</v>
      </c>
      <c r="H12171" s="835">
        <f t="shared" si="460"/>
        <v>31</v>
      </c>
      <c r="AF12171" s="831" t="s">
        <v>11138</v>
      </c>
      <c r="AG12171" s="831" t="s">
        <v>2674</v>
      </c>
      <c r="AH12171" s="831" t="s">
        <v>547</v>
      </c>
      <c r="AI12171" s="831">
        <v>0</v>
      </c>
      <c r="AJ12171" s="835">
        <v>41578</v>
      </c>
      <c r="AK12171" s="831">
        <v>511487760</v>
      </c>
    </row>
    <row r="12172" spans="2:37">
      <c r="B12172" s="834" t="str">
        <f t="shared" si="459"/>
        <v>|||</v>
      </c>
      <c r="H12172" s="835">
        <f t="shared" si="460"/>
        <v>31</v>
      </c>
      <c r="AF12172" s="831" t="s">
        <v>11139</v>
      </c>
      <c r="AG12172" s="831" t="s">
        <v>2674</v>
      </c>
      <c r="AH12172" s="831" t="s">
        <v>548</v>
      </c>
      <c r="AI12172" s="831">
        <v>0</v>
      </c>
      <c r="AJ12172" s="835">
        <v>41578</v>
      </c>
      <c r="AK12172" s="831">
        <v>96883184</v>
      </c>
    </row>
    <row r="12173" spans="2:37">
      <c r="B12173" s="834" t="str">
        <f t="shared" si="459"/>
        <v>|||</v>
      </c>
      <c r="H12173" s="835">
        <f t="shared" si="460"/>
        <v>31</v>
      </c>
      <c r="AF12173" s="831" t="s">
        <v>11140</v>
      </c>
      <c r="AG12173" s="831" t="s">
        <v>2674</v>
      </c>
      <c r="AH12173" s="831" t="s">
        <v>549</v>
      </c>
      <c r="AI12173" s="831">
        <v>0</v>
      </c>
      <c r="AJ12173" s="835">
        <v>41578</v>
      </c>
      <c r="AK12173" s="831">
        <v>376404251</v>
      </c>
    </row>
    <row r="12174" spans="2:37">
      <c r="B12174" s="834" t="str">
        <f t="shared" si="459"/>
        <v>|||</v>
      </c>
      <c r="H12174" s="835">
        <f t="shared" si="460"/>
        <v>31</v>
      </c>
      <c r="AF12174" s="831" t="s">
        <v>11141</v>
      </c>
      <c r="AG12174" s="831" t="s">
        <v>2674</v>
      </c>
      <c r="AH12174" s="831" t="s">
        <v>192</v>
      </c>
      <c r="AI12174" s="831">
        <v>0</v>
      </c>
      <c r="AJ12174" s="835">
        <v>41578</v>
      </c>
      <c r="AK12174" s="831">
        <v>-13193791</v>
      </c>
    </row>
    <row r="12175" spans="2:37">
      <c r="B12175" s="834" t="str">
        <f t="shared" si="459"/>
        <v>|||</v>
      </c>
      <c r="H12175" s="835">
        <f t="shared" si="460"/>
        <v>31</v>
      </c>
      <c r="AF12175" s="831" t="s">
        <v>11142</v>
      </c>
      <c r="AG12175" s="831" t="s">
        <v>2674</v>
      </c>
      <c r="AH12175" s="831" t="s">
        <v>558</v>
      </c>
      <c r="AI12175" s="831">
        <v>0</v>
      </c>
      <c r="AJ12175" s="835">
        <v>41578</v>
      </c>
      <c r="AK12175" s="831">
        <v>603395542</v>
      </c>
    </row>
    <row r="12176" spans="2:37">
      <c r="B12176" s="834" t="str">
        <f t="shared" si="459"/>
        <v>|||</v>
      </c>
      <c r="H12176" s="835">
        <f t="shared" si="460"/>
        <v>31</v>
      </c>
      <c r="AF12176" s="831" t="s">
        <v>11143</v>
      </c>
      <c r="AG12176" s="831" t="s">
        <v>2674</v>
      </c>
      <c r="AH12176" s="831" t="s">
        <v>65</v>
      </c>
      <c r="AI12176" s="831">
        <v>0</v>
      </c>
      <c r="AJ12176" s="835">
        <v>41578</v>
      </c>
      <c r="AK12176" s="831">
        <v>107527674</v>
      </c>
    </row>
    <row r="12177" spans="2:37">
      <c r="B12177" s="834" t="str">
        <f t="shared" ref="B12177:B12240" si="461">C12177&amp;"|"&amp;D12177&amp;"|"&amp;E12177&amp;"|"&amp;F12177</f>
        <v>|||</v>
      </c>
      <c r="H12177" s="835">
        <f t="shared" ref="H12177:H12240" si="462">EOMONTH(L12177,0)</f>
        <v>31</v>
      </c>
      <c r="AF12177" s="831" t="s">
        <v>11144</v>
      </c>
      <c r="AG12177" s="831" t="s">
        <v>2674</v>
      </c>
      <c r="AH12177" s="831" t="s">
        <v>89</v>
      </c>
      <c r="AI12177" s="831">
        <v>0</v>
      </c>
      <c r="AJ12177" s="835">
        <v>41578</v>
      </c>
      <c r="AK12177" s="831">
        <v>143295</v>
      </c>
    </row>
    <row r="12178" spans="2:37">
      <c r="B12178" s="834" t="str">
        <f t="shared" si="461"/>
        <v>|||</v>
      </c>
      <c r="H12178" s="835">
        <f t="shared" si="462"/>
        <v>31</v>
      </c>
      <c r="AF12178" s="831" t="s">
        <v>11145</v>
      </c>
      <c r="AG12178" s="831" t="s">
        <v>2674</v>
      </c>
      <c r="AH12178" s="831" t="s">
        <v>557</v>
      </c>
      <c r="AI12178" s="831">
        <v>0</v>
      </c>
      <c r="AJ12178" s="835">
        <v>41578</v>
      </c>
      <c r="AK12178" s="831">
        <v>153100</v>
      </c>
    </row>
    <row r="12179" spans="2:37">
      <c r="B12179" s="834" t="str">
        <f t="shared" si="461"/>
        <v>|||</v>
      </c>
      <c r="H12179" s="835">
        <f t="shared" si="462"/>
        <v>31</v>
      </c>
      <c r="AF12179" s="831" t="s">
        <v>11146</v>
      </c>
      <c r="AG12179" s="831" t="s">
        <v>2674</v>
      </c>
      <c r="AH12179" s="831" t="s">
        <v>29</v>
      </c>
      <c r="AI12179" s="831">
        <v>0</v>
      </c>
      <c r="AJ12179" s="835">
        <v>41578</v>
      </c>
      <c r="AK12179" s="831">
        <v>1718550.9230000002</v>
      </c>
    </row>
    <row r="12180" spans="2:37">
      <c r="B12180" s="834" t="str">
        <f t="shared" si="461"/>
        <v>|||</v>
      </c>
      <c r="H12180" s="835">
        <f t="shared" si="462"/>
        <v>31</v>
      </c>
      <c r="AF12180" s="831" t="s">
        <v>11147</v>
      </c>
      <c r="AG12180" s="831" t="s">
        <v>2674</v>
      </c>
      <c r="AH12180" s="831" t="s">
        <v>2688</v>
      </c>
      <c r="AI12180" s="831">
        <v>0</v>
      </c>
      <c r="AJ12180" s="835">
        <v>41578</v>
      </c>
      <c r="AK12180" s="831">
        <v>2316853.79</v>
      </c>
    </row>
    <row r="12181" spans="2:37">
      <c r="B12181" s="834" t="str">
        <f t="shared" si="461"/>
        <v>|||</v>
      </c>
      <c r="H12181" s="835">
        <f t="shared" si="462"/>
        <v>31</v>
      </c>
      <c r="AF12181" s="831" t="s">
        <v>11148</v>
      </c>
      <c r="AG12181" s="831" t="s">
        <v>2674</v>
      </c>
      <c r="AH12181" s="831" t="s">
        <v>556</v>
      </c>
      <c r="AI12181" s="831">
        <v>0</v>
      </c>
      <c r="AJ12181" s="835">
        <v>41578</v>
      </c>
      <c r="AK12181" s="831">
        <v>1644732</v>
      </c>
    </row>
    <row r="12182" spans="2:37">
      <c r="B12182" s="834" t="str">
        <f t="shared" si="461"/>
        <v>|||</v>
      </c>
      <c r="H12182" s="835">
        <f t="shared" si="462"/>
        <v>31</v>
      </c>
      <c r="AF12182" s="831" t="s">
        <v>11149</v>
      </c>
      <c r="AG12182" s="831" t="s">
        <v>2674</v>
      </c>
      <c r="AH12182" s="831" t="s">
        <v>555</v>
      </c>
      <c r="AI12182" s="831">
        <v>0</v>
      </c>
      <c r="AJ12182" s="835">
        <v>41578</v>
      </c>
      <c r="AK12182" s="831">
        <v>400055160</v>
      </c>
    </row>
    <row r="12183" spans="2:37">
      <c r="B12183" s="834" t="str">
        <f t="shared" si="461"/>
        <v>|||</v>
      </c>
      <c r="H12183" s="835">
        <f t="shared" si="462"/>
        <v>31</v>
      </c>
      <c r="AF12183" s="831" t="s">
        <v>11150</v>
      </c>
      <c r="AG12183" s="831" t="s">
        <v>2674</v>
      </c>
      <c r="AH12183" s="831" t="s">
        <v>554</v>
      </c>
      <c r="AI12183" s="831">
        <v>0</v>
      </c>
      <c r="AJ12183" s="835">
        <v>41578</v>
      </c>
      <c r="AK12183" s="831">
        <v>409100170</v>
      </c>
    </row>
    <row r="12184" spans="2:37">
      <c r="B12184" s="834" t="str">
        <f t="shared" si="461"/>
        <v>|||</v>
      </c>
      <c r="H12184" s="835">
        <f t="shared" si="462"/>
        <v>31</v>
      </c>
      <c r="AF12184" s="831" t="s">
        <v>11151</v>
      </c>
      <c r="AG12184" s="831" t="s">
        <v>2674</v>
      </c>
      <c r="AH12184" s="831" t="s">
        <v>553</v>
      </c>
      <c r="AI12184" s="831">
        <v>0</v>
      </c>
      <c r="AJ12184" s="835">
        <v>41578</v>
      </c>
      <c r="AK12184" s="831">
        <v>0</v>
      </c>
    </row>
    <row r="12185" spans="2:37">
      <c r="B12185" s="834" t="str">
        <f t="shared" si="461"/>
        <v>|||</v>
      </c>
      <c r="H12185" s="835">
        <f t="shared" si="462"/>
        <v>31</v>
      </c>
      <c r="AF12185" s="831" t="s">
        <v>11152</v>
      </c>
      <c r="AG12185" s="831" t="s">
        <v>2674</v>
      </c>
      <c r="AH12185" s="831" t="s">
        <v>552</v>
      </c>
      <c r="AI12185" s="831">
        <v>0</v>
      </c>
      <c r="AJ12185" s="835">
        <v>41578</v>
      </c>
      <c r="AK12185" s="831">
        <v>0</v>
      </c>
    </row>
    <row r="12186" spans="2:37">
      <c r="B12186" s="834" t="str">
        <f t="shared" si="461"/>
        <v>|||</v>
      </c>
      <c r="H12186" s="835">
        <f t="shared" si="462"/>
        <v>31</v>
      </c>
      <c r="AF12186" s="831" t="s">
        <v>11153</v>
      </c>
      <c r="AG12186" s="831" t="s">
        <v>2674</v>
      </c>
      <c r="AH12186" s="831" t="s">
        <v>551</v>
      </c>
      <c r="AI12186" s="831">
        <v>0</v>
      </c>
      <c r="AJ12186" s="835">
        <v>41578</v>
      </c>
      <c r="AK12186" s="831">
        <v>1543588.5830000001</v>
      </c>
    </row>
    <row r="12187" spans="2:37">
      <c r="B12187" s="834" t="str">
        <f t="shared" si="461"/>
        <v>|||</v>
      </c>
      <c r="H12187" s="835">
        <f t="shared" si="462"/>
        <v>31</v>
      </c>
      <c r="AF12187" s="831" t="s">
        <v>11154</v>
      </c>
      <c r="AG12187" s="831" t="s">
        <v>2674</v>
      </c>
      <c r="AH12187" s="831" t="s">
        <v>550</v>
      </c>
      <c r="AI12187" s="831">
        <v>0</v>
      </c>
      <c r="AJ12187" s="835">
        <v>41578</v>
      </c>
      <c r="AK12187" s="831">
        <v>117170637</v>
      </c>
    </row>
    <row r="12188" spans="2:37">
      <c r="B12188" s="834" t="str">
        <f t="shared" si="461"/>
        <v>|||</v>
      </c>
      <c r="H12188" s="835">
        <f t="shared" si="462"/>
        <v>31</v>
      </c>
      <c r="AF12188" s="831" t="s">
        <v>11155</v>
      </c>
      <c r="AG12188" s="831" t="s">
        <v>2674</v>
      </c>
      <c r="AH12188" s="831" t="s">
        <v>562</v>
      </c>
      <c r="AI12188" s="831">
        <v>0</v>
      </c>
      <c r="AJ12188" s="835">
        <v>41578</v>
      </c>
      <c r="AK12188" s="831">
        <v>0.78395000000000004</v>
      </c>
    </row>
    <row r="12189" spans="2:37">
      <c r="B12189" s="834" t="str">
        <f t="shared" si="461"/>
        <v>|||</v>
      </c>
      <c r="H12189" s="835">
        <f t="shared" si="462"/>
        <v>31</v>
      </c>
      <c r="AF12189" s="831" t="s">
        <v>11156</v>
      </c>
      <c r="AG12189" s="831" t="s">
        <v>2674</v>
      </c>
      <c r="AH12189" s="831" t="s">
        <v>2698</v>
      </c>
      <c r="AI12189" s="831">
        <v>0</v>
      </c>
      <c r="AJ12189" s="835">
        <v>41578</v>
      </c>
      <c r="AK12189" s="831">
        <v>0.78395000000000004</v>
      </c>
    </row>
    <row r="12190" spans="2:37">
      <c r="B12190" s="834" t="str">
        <f t="shared" si="461"/>
        <v>|||</v>
      </c>
      <c r="H12190" s="835">
        <f t="shared" si="462"/>
        <v>31</v>
      </c>
      <c r="AF12190" s="831" t="s">
        <v>11157</v>
      </c>
      <c r="AG12190" s="831" t="s">
        <v>2674</v>
      </c>
      <c r="AH12190" s="831" t="s">
        <v>560</v>
      </c>
      <c r="AI12190" s="831">
        <v>0</v>
      </c>
      <c r="AJ12190" s="835">
        <v>41578</v>
      </c>
      <c r="AK12190" s="831">
        <v>0.78400000000000003</v>
      </c>
    </row>
    <row r="12191" spans="2:37">
      <c r="B12191" s="834" t="str">
        <f t="shared" si="461"/>
        <v>|||</v>
      </c>
      <c r="H12191" s="835">
        <f t="shared" si="462"/>
        <v>31</v>
      </c>
      <c r="AF12191" s="831" t="s">
        <v>11158</v>
      </c>
      <c r="AG12191" s="831" t="s">
        <v>2674</v>
      </c>
      <c r="AH12191" s="831" t="s">
        <v>559</v>
      </c>
      <c r="AI12191" s="831">
        <v>0</v>
      </c>
      <c r="AJ12191" s="835">
        <v>41578</v>
      </c>
      <c r="AK12191" s="831">
        <v>0.78401250000000011</v>
      </c>
    </row>
    <row r="12192" spans="2:37">
      <c r="B12192" s="834" t="str">
        <f t="shared" si="461"/>
        <v>|||</v>
      </c>
      <c r="H12192" s="835">
        <f t="shared" si="462"/>
        <v>31</v>
      </c>
      <c r="AF12192" s="831" t="s">
        <v>11159</v>
      </c>
      <c r="AG12192" s="831" t="s">
        <v>2674</v>
      </c>
      <c r="AH12192" s="831" t="s">
        <v>568</v>
      </c>
      <c r="AI12192" s="831">
        <v>0</v>
      </c>
      <c r="AJ12192" s="835">
        <v>41578</v>
      </c>
      <c r="AK12192" s="831">
        <v>478407995.76923078</v>
      </c>
    </row>
    <row r="12193" spans="2:37">
      <c r="B12193" s="834" t="str">
        <f t="shared" si="461"/>
        <v>|||</v>
      </c>
      <c r="H12193" s="835">
        <f t="shared" si="462"/>
        <v>31</v>
      </c>
      <c r="AF12193" s="831" t="s">
        <v>11160</v>
      </c>
      <c r="AG12193" s="831" t="s">
        <v>2674</v>
      </c>
      <c r="AH12193" s="831" t="s">
        <v>569</v>
      </c>
      <c r="AI12193" s="831">
        <v>0</v>
      </c>
      <c r="AJ12193" s="835">
        <v>41578</v>
      </c>
      <c r="AK12193" s="831">
        <v>581144138.23076928</v>
      </c>
    </row>
    <row r="12194" spans="2:37">
      <c r="B12194" s="834" t="str">
        <f t="shared" si="461"/>
        <v>|||</v>
      </c>
      <c r="H12194" s="835">
        <f t="shared" si="462"/>
        <v>31</v>
      </c>
      <c r="AF12194" s="831" t="s">
        <v>11161</v>
      </c>
      <c r="AG12194" s="831" t="s">
        <v>2674</v>
      </c>
      <c r="AH12194" s="831" t="s">
        <v>570</v>
      </c>
      <c r="AI12194" s="831">
        <v>0</v>
      </c>
      <c r="AJ12194" s="835">
        <v>41578</v>
      </c>
      <c r="AK12194" s="831">
        <v>105999107.61538461</v>
      </c>
    </row>
    <row r="12195" spans="2:37">
      <c r="B12195" s="834" t="str">
        <f t="shared" si="461"/>
        <v>|||</v>
      </c>
      <c r="H12195" s="835">
        <f t="shared" si="462"/>
        <v>31</v>
      </c>
      <c r="AF12195" s="831" t="s">
        <v>11162</v>
      </c>
      <c r="AG12195" s="831" t="s">
        <v>2674</v>
      </c>
      <c r="AH12195" s="831" t="s">
        <v>571</v>
      </c>
      <c r="AI12195" s="831">
        <v>0</v>
      </c>
      <c r="AJ12195" s="835">
        <v>41578</v>
      </c>
      <c r="AK12195" s="831">
        <v>269945691.38461536</v>
      </c>
    </row>
    <row r="12196" spans="2:37">
      <c r="B12196" s="834" t="str">
        <f t="shared" si="461"/>
        <v>|||</v>
      </c>
      <c r="H12196" s="835">
        <f t="shared" si="462"/>
        <v>31</v>
      </c>
      <c r="AF12196" s="831" t="s">
        <v>11163</v>
      </c>
      <c r="AG12196" s="831" t="s">
        <v>2674</v>
      </c>
      <c r="AH12196" s="831" t="s">
        <v>573</v>
      </c>
      <c r="AI12196" s="831">
        <v>0</v>
      </c>
      <c r="AJ12196" s="835">
        <v>41578</v>
      </c>
      <c r="AK12196" s="831">
        <v>602977734.09090912</v>
      </c>
    </row>
    <row r="12197" spans="2:37">
      <c r="B12197" s="834" t="str">
        <f t="shared" si="461"/>
        <v>|||</v>
      </c>
      <c r="H12197" s="835">
        <f t="shared" si="462"/>
        <v>31</v>
      </c>
      <c r="AF12197" s="831" t="s">
        <v>11164</v>
      </c>
      <c r="AG12197" s="831" t="s">
        <v>2674</v>
      </c>
      <c r="AH12197" s="831" t="s">
        <v>574</v>
      </c>
      <c r="AI12197" s="831">
        <v>0</v>
      </c>
      <c r="AJ12197" s="835">
        <v>41578</v>
      </c>
      <c r="AK12197" s="831">
        <v>495346900.72727275</v>
      </c>
    </row>
    <row r="12198" spans="2:37">
      <c r="B12198" s="834" t="str">
        <f t="shared" si="461"/>
        <v>|||</v>
      </c>
      <c r="H12198" s="835">
        <f t="shared" si="462"/>
        <v>31</v>
      </c>
      <c r="AF12198" s="831" t="s">
        <v>11165</v>
      </c>
      <c r="AG12198" s="831" t="s">
        <v>2674</v>
      </c>
      <c r="AH12198" s="831" t="s">
        <v>575</v>
      </c>
      <c r="AI12198" s="831">
        <v>0</v>
      </c>
      <c r="AJ12198" s="835">
        <v>41578</v>
      </c>
      <c r="AK12198" s="831">
        <v>106972740.09090909</v>
      </c>
    </row>
    <row r="12199" spans="2:37">
      <c r="B12199" s="834" t="str">
        <f t="shared" si="461"/>
        <v>|||</v>
      </c>
      <c r="H12199" s="835">
        <f t="shared" si="462"/>
        <v>31</v>
      </c>
      <c r="AF12199" s="831" t="s">
        <v>11166</v>
      </c>
      <c r="AG12199" s="831" t="s">
        <v>2674</v>
      </c>
      <c r="AH12199" s="831" t="s">
        <v>576</v>
      </c>
      <c r="AI12199" s="831">
        <v>0</v>
      </c>
      <c r="AJ12199" s="835">
        <v>41578</v>
      </c>
      <c r="AK12199" s="831">
        <v>283862763.27272725</v>
      </c>
    </row>
    <row r="12200" spans="2:37">
      <c r="B12200" s="834" t="str">
        <f t="shared" si="461"/>
        <v>|||</v>
      </c>
      <c r="H12200" s="835">
        <f t="shared" si="462"/>
        <v>31</v>
      </c>
      <c r="AF12200" s="831" t="s">
        <v>11167</v>
      </c>
      <c r="AG12200" s="831" t="s">
        <v>2674</v>
      </c>
      <c r="AH12200" s="831" t="s">
        <v>572</v>
      </c>
      <c r="AI12200" s="831">
        <v>0</v>
      </c>
      <c r="AJ12200" s="835">
        <v>41578</v>
      </c>
      <c r="AK12200" s="831">
        <v>27259085</v>
      </c>
    </row>
    <row r="12201" spans="2:37">
      <c r="B12201" s="834" t="str">
        <f t="shared" si="461"/>
        <v>|||</v>
      </c>
      <c r="H12201" s="835">
        <f t="shared" si="462"/>
        <v>31</v>
      </c>
      <c r="AF12201" s="831" t="s">
        <v>11168</v>
      </c>
      <c r="AG12201" s="831" t="s">
        <v>2674</v>
      </c>
      <c r="AH12201" s="831" t="s">
        <v>577</v>
      </c>
      <c r="AI12201" s="831">
        <v>0</v>
      </c>
      <c r="AJ12201" s="835">
        <v>41578</v>
      </c>
      <c r="AK12201" s="831">
        <v>126095724</v>
      </c>
    </row>
    <row r="12202" spans="2:37">
      <c r="B12202" s="834" t="str">
        <f t="shared" si="461"/>
        <v>|||</v>
      </c>
      <c r="H12202" s="835">
        <f t="shared" si="462"/>
        <v>31</v>
      </c>
      <c r="AF12202" s="831" t="s">
        <v>11169</v>
      </c>
      <c r="AG12202" s="831" t="s">
        <v>2674</v>
      </c>
      <c r="AH12202" s="831" t="s">
        <v>3042</v>
      </c>
      <c r="AI12202" s="831">
        <v>0</v>
      </c>
      <c r="AJ12202" s="835">
        <v>41578</v>
      </c>
      <c r="AK12202" s="831">
        <v>-31522962</v>
      </c>
    </row>
    <row r="12203" spans="2:37">
      <c r="B12203" s="834" t="str">
        <f t="shared" si="461"/>
        <v>|||</v>
      </c>
      <c r="H12203" s="835">
        <f t="shared" si="462"/>
        <v>31</v>
      </c>
      <c r="AF12203" s="831" t="s">
        <v>11170</v>
      </c>
      <c r="AG12203" s="831" t="s">
        <v>2674</v>
      </c>
      <c r="AH12203" s="831" t="s">
        <v>3044</v>
      </c>
      <c r="AI12203" s="831">
        <v>0</v>
      </c>
      <c r="AJ12203" s="835">
        <v>41578</v>
      </c>
      <c r="AK12203" s="831">
        <v>-4397277</v>
      </c>
    </row>
    <row r="12204" spans="2:37">
      <c r="B12204" s="834" t="str">
        <f t="shared" si="461"/>
        <v>|||</v>
      </c>
      <c r="H12204" s="835">
        <f t="shared" si="462"/>
        <v>31</v>
      </c>
      <c r="AF12204" s="831" t="s">
        <v>11171</v>
      </c>
      <c r="AG12204" s="831" t="s">
        <v>2674</v>
      </c>
      <c r="AH12204" s="831" t="s">
        <v>580</v>
      </c>
      <c r="AI12204" s="831">
        <v>0</v>
      </c>
      <c r="AJ12204" s="835">
        <v>41578</v>
      </c>
      <c r="AK12204" s="831">
        <v>-60213639</v>
      </c>
    </row>
    <row r="12205" spans="2:37">
      <c r="B12205" s="834" t="str">
        <f t="shared" si="461"/>
        <v>|||</v>
      </c>
      <c r="H12205" s="835">
        <f t="shared" si="462"/>
        <v>31</v>
      </c>
      <c r="AF12205" s="831" t="s">
        <v>11172</v>
      </c>
      <c r="AG12205" s="831" t="s">
        <v>2674</v>
      </c>
      <c r="AH12205" s="831" t="s">
        <v>581</v>
      </c>
      <c r="AI12205" s="831">
        <v>0</v>
      </c>
      <c r="AJ12205" s="835">
        <v>41578</v>
      </c>
      <c r="AK12205" s="831">
        <v>4896268</v>
      </c>
    </row>
    <row r="12206" spans="2:37">
      <c r="B12206" s="834" t="str">
        <f t="shared" si="461"/>
        <v>|||</v>
      </c>
      <c r="H12206" s="835">
        <f t="shared" si="462"/>
        <v>31</v>
      </c>
      <c r="AF12206" s="831" t="s">
        <v>11173</v>
      </c>
      <c r="AG12206" s="831" t="s">
        <v>2674</v>
      </c>
      <c r="AH12206" s="831" t="s">
        <v>105</v>
      </c>
      <c r="AI12206" s="831">
        <v>0</v>
      </c>
      <c r="AJ12206" s="835">
        <v>41578</v>
      </c>
      <c r="AK12206" s="831">
        <v>349309695</v>
      </c>
    </row>
    <row r="12207" spans="2:37">
      <c r="B12207" s="834" t="str">
        <f t="shared" si="461"/>
        <v>|||</v>
      </c>
      <c r="H12207" s="835">
        <f t="shared" si="462"/>
        <v>31</v>
      </c>
      <c r="AF12207" s="831" t="s">
        <v>11174</v>
      </c>
      <c r="AG12207" s="831" t="s">
        <v>2674</v>
      </c>
      <c r="AH12207" s="831" t="s">
        <v>3049</v>
      </c>
      <c r="AI12207" s="831">
        <v>0</v>
      </c>
      <c r="AJ12207" s="835">
        <v>41578</v>
      </c>
      <c r="AK12207" s="831">
        <v>582451860</v>
      </c>
    </row>
    <row r="12208" spans="2:37">
      <c r="B12208" s="834" t="str">
        <f t="shared" si="461"/>
        <v>|||</v>
      </c>
      <c r="H12208" s="835">
        <f t="shared" si="462"/>
        <v>31</v>
      </c>
      <c r="AF12208" s="831" t="s">
        <v>11175</v>
      </c>
      <c r="AG12208" s="831" t="s">
        <v>2674</v>
      </c>
      <c r="AH12208" s="831" t="s">
        <v>103</v>
      </c>
      <c r="AI12208" s="831">
        <v>0</v>
      </c>
      <c r="AJ12208" s="835">
        <v>41578</v>
      </c>
      <c r="AK12208" s="831">
        <v>233142165</v>
      </c>
    </row>
    <row r="12209" spans="2:37">
      <c r="B12209" s="834" t="str">
        <f t="shared" si="461"/>
        <v>|||</v>
      </c>
      <c r="H12209" s="835">
        <f t="shared" si="462"/>
        <v>31</v>
      </c>
      <c r="AF12209" s="831" t="s">
        <v>11176</v>
      </c>
      <c r="AG12209" s="831" t="s">
        <v>2674</v>
      </c>
      <c r="AH12209" s="831" t="s">
        <v>182</v>
      </c>
      <c r="AI12209" s="831">
        <v>0</v>
      </c>
      <c r="AJ12209" s="835">
        <v>41578</v>
      </c>
      <c r="AK12209" s="831">
        <v>58216306.799999997</v>
      </c>
    </row>
    <row r="12210" spans="2:37">
      <c r="B12210" s="834" t="str">
        <f t="shared" si="461"/>
        <v>|||</v>
      </c>
      <c r="H12210" s="835">
        <f t="shared" si="462"/>
        <v>31</v>
      </c>
      <c r="AF12210" s="831" t="s">
        <v>11177</v>
      </c>
      <c r="AG12210" s="831" t="s">
        <v>2674</v>
      </c>
      <c r="AH12210" s="831" t="s">
        <v>6600</v>
      </c>
      <c r="AI12210" s="831">
        <v>0</v>
      </c>
      <c r="AJ12210" s="835">
        <v>41578</v>
      </c>
      <c r="AK12210" s="831">
        <v>27259085</v>
      </c>
    </row>
    <row r="12211" spans="2:37">
      <c r="B12211" s="834" t="str">
        <f t="shared" si="461"/>
        <v>|||</v>
      </c>
      <c r="H12211" s="835">
        <f t="shared" si="462"/>
        <v>31</v>
      </c>
      <c r="AF12211" s="831" t="s">
        <v>11178</v>
      </c>
      <c r="AG12211" s="831" t="s">
        <v>2674</v>
      </c>
      <c r="AH12211" s="831" t="s">
        <v>6602</v>
      </c>
      <c r="AI12211" s="831">
        <v>0</v>
      </c>
      <c r="AJ12211" s="835">
        <v>41578</v>
      </c>
      <c r="AK12211" s="831">
        <v>25527641</v>
      </c>
    </row>
    <row r="12212" spans="2:37">
      <c r="B12212" s="834" t="str">
        <f t="shared" si="461"/>
        <v>|||</v>
      </c>
      <c r="H12212" s="835">
        <f t="shared" si="462"/>
        <v>31</v>
      </c>
      <c r="AF12212" s="831" t="s">
        <v>11179</v>
      </c>
      <c r="AG12212" s="831" t="s">
        <v>2674</v>
      </c>
      <c r="AH12212" s="831" t="s">
        <v>650</v>
      </c>
      <c r="AI12212" s="831">
        <v>0</v>
      </c>
      <c r="AJ12212" s="835">
        <v>41578</v>
      </c>
      <c r="AK12212" s="831">
        <v>190388810.31923077</v>
      </c>
    </row>
    <row r="12213" spans="2:37">
      <c r="B12213" s="834" t="str">
        <f t="shared" si="461"/>
        <v>|||</v>
      </c>
      <c r="H12213" s="835">
        <f t="shared" si="462"/>
        <v>31</v>
      </c>
      <c r="AF12213" s="831" t="s">
        <v>11180</v>
      </c>
      <c r="AG12213" s="831" t="s">
        <v>2674</v>
      </c>
      <c r="AH12213" s="831" t="s">
        <v>655</v>
      </c>
      <c r="AI12213" s="831">
        <v>0</v>
      </c>
      <c r="AJ12213" s="835">
        <v>41578</v>
      </c>
      <c r="AK12213" s="831">
        <v>1325401.845</v>
      </c>
    </row>
    <row r="12214" spans="2:37">
      <c r="B12214" s="834" t="str">
        <f t="shared" si="461"/>
        <v>|||</v>
      </c>
      <c r="H12214" s="835">
        <f t="shared" si="462"/>
        <v>31</v>
      </c>
      <c r="AF12214" s="831" t="s">
        <v>11181</v>
      </c>
      <c r="AG12214" s="831" t="s">
        <v>2674</v>
      </c>
      <c r="AH12214" s="831" t="s">
        <v>546</v>
      </c>
      <c r="AI12214" s="831">
        <v>0</v>
      </c>
      <c r="AJ12214" s="835">
        <v>41608</v>
      </c>
      <c r="AK12214" s="831">
        <v>598049309.95000005</v>
      </c>
    </row>
    <row r="12215" spans="2:37">
      <c r="B12215" s="834" t="str">
        <f t="shared" si="461"/>
        <v>|||</v>
      </c>
      <c r="H12215" s="835">
        <f t="shared" si="462"/>
        <v>31</v>
      </c>
      <c r="AF12215" s="831" t="s">
        <v>11182</v>
      </c>
      <c r="AG12215" s="831" t="s">
        <v>2674</v>
      </c>
      <c r="AH12215" s="831" t="s">
        <v>370</v>
      </c>
      <c r="AI12215" s="831">
        <v>0</v>
      </c>
      <c r="AJ12215" s="835">
        <v>41608</v>
      </c>
      <c r="AK12215" s="831">
        <v>744271522.09000015</v>
      </c>
    </row>
    <row r="12216" spans="2:37">
      <c r="B12216" s="834" t="str">
        <f t="shared" si="461"/>
        <v>|||</v>
      </c>
      <c r="H12216" s="835">
        <f t="shared" si="462"/>
        <v>31</v>
      </c>
      <c r="AF12216" s="831" t="s">
        <v>11183</v>
      </c>
      <c r="AG12216" s="831" t="s">
        <v>2674</v>
      </c>
      <c r="AH12216" s="831" t="s">
        <v>126</v>
      </c>
      <c r="AI12216" s="831">
        <v>0</v>
      </c>
      <c r="AJ12216" s="835">
        <v>41608</v>
      </c>
      <c r="AK12216" s="831">
        <v>123117939.85600001</v>
      </c>
    </row>
    <row r="12217" spans="2:37">
      <c r="B12217" s="834" t="str">
        <f t="shared" si="461"/>
        <v>|||</v>
      </c>
      <c r="H12217" s="835">
        <f t="shared" si="462"/>
        <v>31</v>
      </c>
      <c r="AF12217" s="831" t="s">
        <v>11184</v>
      </c>
      <c r="AG12217" s="831" t="s">
        <v>2674</v>
      </c>
      <c r="AH12217" s="831" t="s">
        <v>268</v>
      </c>
      <c r="AI12217" s="831">
        <v>0</v>
      </c>
      <c r="AJ12217" s="835">
        <v>41608</v>
      </c>
      <c r="AK12217" s="831">
        <v>28354718.032000005</v>
      </c>
    </row>
    <row r="12218" spans="2:37">
      <c r="B12218" s="834" t="str">
        <f t="shared" si="461"/>
        <v>|||</v>
      </c>
      <c r="H12218" s="835">
        <f t="shared" si="462"/>
        <v>31</v>
      </c>
      <c r="AF12218" s="831" t="s">
        <v>11185</v>
      </c>
      <c r="AG12218" s="831" t="s">
        <v>2674</v>
      </c>
      <c r="AH12218" s="831" t="s">
        <v>547</v>
      </c>
      <c r="AI12218" s="831">
        <v>0</v>
      </c>
      <c r="AJ12218" s="835">
        <v>41608</v>
      </c>
      <c r="AK12218" s="831">
        <v>511487760</v>
      </c>
    </row>
    <row r="12219" spans="2:37">
      <c r="B12219" s="834" t="str">
        <f t="shared" si="461"/>
        <v>|||</v>
      </c>
      <c r="H12219" s="835">
        <f t="shared" si="462"/>
        <v>31</v>
      </c>
      <c r="AF12219" s="831" t="s">
        <v>11186</v>
      </c>
      <c r="AG12219" s="831" t="s">
        <v>2674</v>
      </c>
      <c r="AH12219" s="831" t="s">
        <v>548</v>
      </c>
      <c r="AI12219" s="831">
        <v>0</v>
      </c>
      <c r="AJ12219" s="835">
        <v>41608</v>
      </c>
      <c r="AK12219" s="831">
        <v>96883184</v>
      </c>
    </row>
    <row r="12220" spans="2:37">
      <c r="B12220" s="834" t="str">
        <f t="shared" si="461"/>
        <v>|||</v>
      </c>
      <c r="H12220" s="835">
        <f t="shared" si="462"/>
        <v>31</v>
      </c>
      <c r="AF12220" s="831" t="s">
        <v>11187</v>
      </c>
      <c r="AG12220" s="831" t="s">
        <v>2674</v>
      </c>
      <c r="AH12220" s="831" t="s">
        <v>549</v>
      </c>
      <c r="AI12220" s="831">
        <v>0</v>
      </c>
      <c r="AJ12220" s="835">
        <v>41608</v>
      </c>
      <c r="AK12220" s="831">
        <v>394083786</v>
      </c>
    </row>
    <row r="12221" spans="2:37">
      <c r="B12221" s="834" t="str">
        <f t="shared" si="461"/>
        <v>|||</v>
      </c>
      <c r="H12221" s="835">
        <f t="shared" si="462"/>
        <v>31</v>
      </c>
      <c r="AF12221" s="831" t="s">
        <v>11188</v>
      </c>
      <c r="AG12221" s="831" t="s">
        <v>2674</v>
      </c>
      <c r="AH12221" s="831" t="s">
        <v>192</v>
      </c>
      <c r="AI12221" s="831">
        <v>0</v>
      </c>
      <c r="AJ12221" s="835">
        <v>41608</v>
      </c>
      <c r="AK12221" s="831">
        <v>-13734258.050000001</v>
      </c>
    </row>
    <row r="12222" spans="2:37">
      <c r="B12222" s="834" t="str">
        <f t="shared" si="461"/>
        <v>|||</v>
      </c>
      <c r="H12222" s="835">
        <f t="shared" si="462"/>
        <v>31</v>
      </c>
      <c r="AF12222" s="831" t="s">
        <v>11189</v>
      </c>
      <c r="AG12222" s="831" t="s">
        <v>2674</v>
      </c>
      <c r="AH12222" s="831" t="s">
        <v>558</v>
      </c>
      <c r="AI12222" s="831">
        <v>0</v>
      </c>
      <c r="AJ12222" s="835">
        <v>41608</v>
      </c>
      <c r="AK12222" s="831">
        <v>621153581.74699998</v>
      </c>
    </row>
    <row r="12223" spans="2:37">
      <c r="B12223" s="834" t="str">
        <f t="shared" si="461"/>
        <v>|||</v>
      </c>
      <c r="H12223" s="835">
        <f t="shared" si="462"/>
        <v>31</v>
      </c>
      <c r="AF12223" s="831" t="s">
        <v>11190</v>
      </c>
      <c r="AG12223" s="831" t="s">
        <v>2674</v>
      </c>
      <c r="AH12223" s="831" t="s">
        <v>65</v>
      </c>
      <c r="AI12223" s="831">
        <v>0</v>
      </c>
      <c r="AJ12223" s="835">
        <v>41608</v>
      </c>
      <c r="AK12223" s="831">
        <v>119540969.236</v>
      </c>
    </row>
    <row r="12224" spans="2:37">
      <c r="B12224" s="834" t="str">
        <f t="shared" si="461"/>
        <v>|||</v>
      </c>
      <c r="H12224" s="835">
        <f t="shared" si="462"/>
        <v>31</v>
      </c>
      <c r="AF12224" s="831" t="s">
        <v>11191</v>
      </c>
      <c r="AG12224" s="831" t="s">
        <v>2674</v>
      </c>
      <c r="AH12224" s="831" t="s">
        <v>89</v>
      </c>
      <c r="AI12224" s="831">
        <v>0</v>
      </c>
      <c r="AJ12224" s="835">
        <v>41608</v>
      </c>
      <c r="AK12224" s="831">
        <v>145224</v>
      </c>
    </row>
    <row r="12225" spans="2:37">
      <c r="B12225" s="834" t="str">
        <f t="shared" si="461"/>
        <v>|||</v>
      </c>
      <c r="H12225" s="835">
        <f t="shared" si="462"/>
        <v>31</v>
      </c>
      <c r="AF12225" s="831" t="s">
        <v>11192</v>
      </c>
      <c r="AG12225" s="831" t="s">
        <v>2674</v>
      </c>
      <c r="AH12225" s="831" t="s">
        <v>557</v>
      </c>
      <c r="AI12225" s="831">
        <v>0</v>
      </c>
      <c r="AJ12225" s="835">
        <v>41608</v>
      </c>
      <c r="AK12225" s="831">
        <v>155996</v>
      </c>
    </row>
    <row r="12226" spans="2:37">
      <c r="B12226" s="834" t="str">
        <f t="shared" si="461"/>
        <v>|||</v>
      </c>
      <c r="H12226" s="835">
        <f t="shared" si="462"/>
        <v>31</v>
      </c>
      <c r="AF12226" s="831" t="s">
        <v>11193</v>
      </c>
      <c r="AG12226" s="831" t="s">
        <v>2674</v>
      </c>
      <c r="AH12226" s="831" t="s">
        <v>29</v>
      </c>
      <c r="AI12226" s="831">
        <v>0</v>
      </c>
      <c r="AJ12226" s="835">
        <v>41608</v>
      </c>
      <c r="AK12226" s="831">
        <v>1891894.6070000001</v>
      </c>
    </row>
    <row r="12227" spans="2:37">
      <c r="B12227" s="834" t="str">
        <f t="shared" si="461"/>
        <v>|||</v>
      </c>
      <c r="H12227" s="835">
        <f t="shared" si="462"/>
        <v>31</v>
      </c>
      <c r="AF12227" s="831" t="s">
        <v>11194</v>
      </c>
      <c r="AG12227" s="831" t="s">
        <v>2674</v>
      </c>
      <c r="AH12227" s="831" t="s">
        <v>2688</v>
      </c>
      <c r="AI12227" s="831">
        <v>0</v>
      </c>
      <c r="AJ12227" s="835">
        <v>41608</v>
      </c>
      <c r="AK12227" s="831">
        <v>3430395.37</v>
      </c>
    </row>
    <row r="12228" spans="2:37">
      <c r="B12228" s="834" t="str">
        <f t="shared" si="461"/>
        <v>|||</v>
      </c>
      <c r="H12228" s="835">
        <f t="shared" si="462"/>
        <v>31</v>
      </c>
      <c r="AF12228" s="831" t="s">
        <v>11195</v>
      </c>
      <c r="AG12228" s="831" t="s">
        <v>2674</v>
      </c>
      <c r="AH12228" s="831" t="s">
        <v>556</v>
      </c>
      <c r="AI12228" s="831">
        <v>0</v>
      </c>
      <c r="AJ12228" s="835">
        <v>41608</v>
      </c>
      <c r="AK12228" s="831">
        <v>1644732</v>
      </c>
    </row>
    <row r="12229" spans="2:37">
      <c r="B12229" s="834" t="str">
        <f t="shared" si="461"/>
        <v>|||</v>
      </c>
      <c r="H12229" s="835">
        <f t="shared" si="462"/>
        <v>31</v>
      </c>
      <c r="AF12229" s="831" t="s">
        <v>11196</v>
      </c>
      <c r="AG12229" s="831" t="s">
        <v>2674</v>
      </c>
      <c r="AH12229" s="831" t="s">
        <v>555</v>
      </c>
      <c r="AI12229" s="831">
        <v>0</v>
      </c>
      <c r="AJ12229" s="835">
        <v>41608</v>
      </c>
      <c r="AK12229" s="831">
        <v>414052390</v>
      </c>
    </row>
    <row r="12230" spans="2:37">
      <c r="B12230" s="834" t="str">
        <f t="shared" si="461"/>
        <v>|||</v>
      </c>
      <c r="H12230" s="835">
        <f t="shared" si="462"/>
        <v>31</v>
      </c>
      <c r="AF12230" s="831" t="s">
        <v>11197</v>
      </c>
      <c r="AG12230" s="831" t="s">
        <v>2674</v>
      </c>
      <c r="AH12230" s="831" t="s">
        <v>554</v>
      </c>
      <c r="AI12230" s="831">
        <v>0</v>
      </c>
      <c r="AJ12230" s="835">
        <v>41608</v>
      </c>
      <c r="AK12230" s="831">
        <v>421904620</v>
      </c>
    </row>
    <row r="12231" spans="2:37">
      <c r="B12231" s="834" t="str">
        <f t="shared" si="461"/>
        <v>|||</v>
      </c>
      <c r="H12231" s="835">
        <f t="shared" si="462"/>
        <v>31</v>
      </c>
      <c r="AF12231" s="831" t="s">
        <v>11198</v>
      </c>
      <c r="AG12231" s="831" t="s">
        <v>2674</v>
      </c>
      <c r="AH12231" s="831" t="s">
        <v>553</v>
      </c>
      <c r="AI12231" s="831">
        <v>0</v>
      </c>
      <c r="AJ12231" s="835">
        <v>41608</v>
      </c>
      <c r="AK12231" s="831">
        <v>0</v>
      </c>
    </row>
    <row r="12232" spans="2:37">
      <c r="B12232" s="834" t="str">
        <f t="shared" si="461"/>
        <v>|||</v>
      </c>
      <c r="H12232" s="835">
        <f t="shared" si="462"/>
        <v>31</v>
      </c>
      <c r="AF12232" s="831" t="s">
        <v>11199</v>
      </c>
      <c r="AG12232" s="831" t="s">
        <v>2674</v>
      </c>
      <c r="AH12232" s="831" t="s">
        <v>552</v>
      </c>
      <c r="AI12232" s="831">
        <v>0</v>
      </c>
      <c r="AJ12232" s="835">
        <v>41608</v>
      </c>
      <c r="AK12232" s="831">
        <v>0</v>
      </c>
    </row>
    <row r="12233" spans="2:37">
      <c r="B12233" s="834" t="str">
        <f t="shared" si="461"/>
        <v>|||</v>
      </c>
      <c r="H12233" s="835">
        <f t="shared" si="462"/>
        <v>31</v>
      </c>
      <c r="AF12233" s="831" t="s">
        <v>11200</v>
      </c>
      <c r="AG12233" s="831" t="s">
        <v>2674</v>
      </c>
      <c r="AH12233" s="831" t="s">
        <v>551</v>
      </c>
      <c r="AI12233" s="831">
        <v>0</v>
      </c>
      <c r="AJ12233" s="835">
        <v>41608</v>
      </c>
      <c r="AK12233" s="831">
        <v>1659941.3510000003</v>
      </c>
    </row>
    <row r="12234" spans="2:37">
      <c r="B12234" s="834" t="str">
        <f t="shared" si="461"/>
        <v>|||</v>
      </c>
      <c r="H12234" s="835">
        <f t="shared" si="462"/>
        <v>31</v>
      </c>
      <c r="AF12234" s="831" t="s">
        <v>11201</v>
      </c>
      <c r="AG12234" s="831" t="s">
        <v>2674</v>
      </c>
      <c r="AH12234" s="831" t="s">
        <v>550</v>
      </c>
      <c r="AI12234" s="831">
        <v>0</v>
      </c>
      <c r="AJ12234" s="835">
        <v>41608</v>
      </c>
      <c r="AK12234" s="831">
        <v>120290863</v>
      </c>
    </row>
    <row r="12235" spans="2:37">
      <c r="B12235" s="834" t="str">
        <f t="shared" si="461"/>
        <v>|||</v>
      </c>
      <c r="H12235" s="835">
        <f t="shared" si="462"/>
        <v>31</v>
      </c>
      <c r="AF12235" s="831" t="s">
        <v>11202</v>
      </c>
      <c r="AG12235" s="831" t="s">
        <v>2674</v>
      </c>
      <c r="AH12235" s="831" t="s">
        <v>562</v>
      </c>
      <c r="AI12235" s="831">
        <v>0</v>
      </c>
      <c r="AJ12235" s="835">
        <v>41608</v>
      </c>
      <c r="AK12235" s="831">
        <v>0.78385000000000005</v>
      </c>
    </row>
    <row r="12236" spans="2:37">
      <c r="B12236" s="834" t="str">
        <f t="shared" si="461"/>
        <v>|||</v>
      </c>
      <c r="H12236" s="835">
        <f t="shared" si="462"/>
        <v>31</v>
      </c>
      <c r="AF12236" s="831" t="s">
        <v>11203</v>
      </c>
      <c r="AG12236" s="831" t="s">
        <v>2674</v>
      </c>
      <c r="AH12236" s="831" t="s">
        <v>2698</v>
      </c>
      <c r="AI12236" s="831">
        <v>0</v>
      </c>
      <c r="AJ12236" s="835">
        <v>41608</v>
      </c>
      <c r="AK12236" s="831">
        <v>0.78395000000000004</v>
      </c>
    </row>
    <row r="12237" spans="2:37">
      <c r="B12237" s="834" t="str">
        <f t="shared" si="461"/>
        <v>|||</v>
      </c>
      <c r="H12237" s="835">
        <f t="shared" si="462"/>
        <v>31</v>
      </c>
      <c r="AF12237" s="831" t="s">
        <v>11204</v>
      </c>
      <c r="AG12237" s="831" t="s">
        <v>2674</v>
      </c>
      <c r="AH12237" s="831" t="s">
        <v>560</v>
      </c>
      <c r="AI12237" s="831">
        <v>0</v>
      </c>
      <c r="AJ12237" s="835">
        <v>41608</v>
      </c>
      <c r="AK12237" s="831">
        <v>0.78398636363636354</v>
      </c>
    </row>
    <row r="12238" spans="2:37">
      <c r="B12238" s="834" t="str">
        <f t="shared" si="461"/>
        <v>|||</v>
      </c>
      <c r="H12238" s="835">
        <f t="shared" si="462"/>
        <v>31</v>
      </c>
      <c r="AF12238" s="831" t="s">
        <v>11205</v>
      </c>
      <c r="AG12238" s="831" t="s">
        <v>2674</v>
      </c>
      <c r="AH12238" s="831" t="s">
        <v>559</v>
      </c>
      <c r="AI12238" s="831">
        <v>0</v>
      </c>
      <c r="AJ12238" s="835">
        <v>41608</v>
      </c>
      <c r="AK12238" s="831">
        <v>0.78398749999999995</v>
      </c>
    </row>
    <row r="12239" spans="2:37">
      <c r="B12239" s="834" t="str">
        <f t="shared" si="461"/>
        <v>|||</v>
      </c>
      <c r="H12239" s="835">
        <f t="shared" si="462"/>
        <v>31</v>
      </c>
      <c r="AF12239" s="831" t="s">
        <v>11206</v>
      </c>
      <c r="AG12239" s="831" t="s">
        <v>2674</v>
      </c>
      <c r="AH12239" s="831" t="s">
        <v>568</v>
      </c>
      <c r="AI12239" s="831">
        <v>0</v>
      </c>
      <c r="AJ12239" s="835">
        <v>41608</v>
      </c>
      <c r="AK12239" s="831">
        <v>495457615.68846154</v>
      </c>
    </row>
    <row r="12240" spans="2:37">
      <c r="B12240" s="834" t="str">
        <f t="shared" si="461"/>
        <v>|||</v>
      </c>
      <c r="H12240" s="835">
        <f t="shared" si="462"/>
        <v>31</v>
      </c>
      <c r="AF12240" s="831" t="s">
        <v>11207</v>
      </c>
      <c r="AG12240" s="831" t="s">
        <v>2674</v>
      </c>
      <c r="AH12240" s="831" t="s">
        <v>569</v>
      </c>
      <c r="AI12240" s="831">
        <v>0</v>
      </c>
      <c r="AJ12240" s="835">
        <v>41608</v>
      </c>
      <c r="AK12240" s="831">
        <v>603523727.23769236</v>
      </c>
    </row>
    <row r="12241" spans="2:37">
      <c r="B12241" s="834" t="str">
        <f t="shared" ref="B12241:B12304" si="463">C12241&amp;"|"&amp;D12241&amp;"|"&amp;E12241&amp;"|"&amp;F12241</f>
        <v>|||</v>
      </c>
      <c r="H12241" s="835">
        <f t="shared" ref="H12241:H12304" si="464">EOMONTH(L12241,0)</f>
        <v>31</v>
      </c>
      <c r="AF12241" s="831" t="s">
        <v>11208</v>
      </c>
      <c r="AG12241" s="831" t="s">
        <v>2674</v>
      </c>
      <c r="AH12241" s="831" t="s">
        <v>570</v>
      </c>
      <c r="AI12241" s="831">
        <v>0</v>
      </c>
      <c r="AJ12241" s="835">
        <v>41608</v>
      </c>
      <c r="AK12241" s="831">
        <v>107821146.75815384</v>
      </c>
    </row>
    <row r="12242" spans="2:37">
      <c r="B12242" s="834" t="str">
        <f t="shared" si="463"/>
        <v>|||</v>
      </c>
      <c r="H12242" s="835">
        <f t="shared" si="464"/>
        <v>31</v>
      </c>
      <c r="AF12242" s="831" t="s">
        <v>11209</v>
      </c>
      <c r="AG12242" s="831" t="s">
        <v>2674</v>
      </c>
      <c r="AH12242" s="831" t="s">
        <v>571</v>
      </c>
      <c r="AI12242" s="831">
        <v>0</v>
      </c>
      <c r="AJ12242" s="835">
        <v>41608</v>
      </c>
      <c r="AK12242" s="831">
        <v>283259717.08169228</v>
      </c>
    </row>
    <row r="12243" spans="2:37">
      <c r="B12243" s="834" t="str">
        <f t="shared" si="463"/>
        <v>|||</v>
      </c>
      <c r="H12243" s="835">
        <f t="shared" si="464"/>
        <v>31</v>
      </c>
      <c r="AF12243" s="831" t="s">
        <v>11210</v>
      </c>
      <c r="AG12243" s="831" t="s">
        <v>2674</v>
      </c>
      <c r="AH12243" s="831" t="s">
        <v>573</v>
      </c>
      <c r="AI12243" s="831">
        <v>0</v>
      </c>
      <c r="AJ12243" s="835">
        <v>41608</v>
      </c>
      <c r="AK12243" s="831">
        <v>614752216.42416668</v>
      </c>
    </row>
    <row r="12244" spans="2:37">
      <c r="B12244" s="834" t="str">
        <f t="shared" si="463"/>
        <v>|||</v>
      </c>
      <c r="H12244" s="835">
        <f t="shared" si="464"/>
        <v>31</v>
      </c>
      <c r="AF12244" s="831" t="s">
        <v>11211</v>
      </c>
      <c r="AG12244" s="831" t="s">
        <v>2674</v>
      </c>
      <c r="AH12244" s="831" t="s">
        <v>574</v>
      </c>
      <c r="AI12244" s="831">
        <v>0</v>
      </c>
      <c r="AJ12244" s="835">
        <v>41608</v>
      </c>
      <c r="AK12244" s="831">
        <v>503905434.82916665</v>
      </c>
    </row>
    <row r="12245" spans="2:37">
      <c r="B12245" s="834" t="str">
        <f t="shared" si="463"/>
        <v>|||</v>
      </c>
      <c r="H12245" s="835">
        <f t="shared" si="464"/>
        <v>31</v>
      </c>
      <c r="AF12245" s="831" t="s">
        <v>11212</v>
      </c>
      <c r="AG12245" s="831" t="s">
        <v>2674</v>
      </c>
      <c r="AH12245" s="831" t="s">
        <v>575</v>
      </c>
      <c r="AI12245" s="831">
        <v>0</v>
      </c>
      <c r="AJ12245" s="835">
        <v>41608</v>
      </c>
      <c r="AK12245" s="831">
        <v>108318173.40466666</v>
      </c>
    </row>
    <row r="12246" spans="2:37">
      <c r="B12246" s="834" t="str">
        <f t="shared" si="463"/>
        <v>|||</v>
      </c>
      <c r="H12246" s="835">
        <f t="shared" si="464"/>
        <v>31</v>
      </c>
      <c r="AF12246" s="831" t="s">
        <v>11213</v>
      </c>
      <c r="AG12246" s="831" t="s">
        <v>2674</v>
      </c>
      <c r="AH12246" s="831" t="s">
        <v>576</v>
      </c>
      <c r="AI12246" s="831">
        <v>0</v>
      </c>
      <c r="AJ12246" s="835">
        <v>41608</v>
      </c>
      <c r="AK12246" s="831">
        <v>290020734.67183334</v>
      </c>
    </row>
    <row r="12247" spans="2:37">
      <c r="B12247" s="834" t="str">
        <f t="shared" si="463"/>
        <v>|||</v>
      </c>
      <c r="H12247" s="835">
        <f t="shared" si="464"/>
        <v>31</v>
      </c>
      <c r="AF12247" s="831" t="s">
        <v>11214</v>
      </c>
      <c r="AG12247" s="831" t="s">
        <v>2674</v>
      </c>
      <c r="AH12247" s="831" t="s">
        <v>572</v>
      </c>
      <c r="AI12247" s="831">
        <v>0</v>
      </c>
      <c r="AJ12247" s="835">
        <v>41608</v>
      </c>
      <c r="AK12247" s="831">
        <v>27660766.032000005</v>
      </c>
    </row>
    <row r="12248" spans="2:37">
      <c r="B12248" s="834" t="str">
        <f t="shared" si="463"/>
        <v>|||</v>
      </c>
      <c r="H12248" s="835">
        <f t="shared" si="464"/>
        <v>31</v>
      </c>
      <c r="AF12248" s="831" t="s">
        <v>11215</v>
      </c>
      <c r="AG12248" s="831" t="s">
        <v>2674</v>
      </c>
      <c r="AH12248" s="831" t="s">
        <v>577</v>
      </c>
      <c r="AI12248" s="831">
        <v>0</v>
      </c>
      <c r="AJ12248" s="835">
        <v>41608</v>
      </c>
      <c r="AK12248" s="831">
        <v>128906380.236</v>
      </c>
    </row>
    <row r="12249" spans="2:37">
      <c r="B12249" s="834" t="str">
        <f t="shared" si="463"/>
        <v>|||</v>
      </c>
      <c r="H12249" s="835">
        <f t="shared" si="464"/>
        <v>31</v>
      </c>
      <c r="AF12249" s="831" t="s">
        <v>11216</v>
      </c>
      <c r="AG12249" s="831" t="s">
        <v>2674</v>
      </c>
      <c r="AH12249" s="831" t="s">
        <v>3042</v>
      </c>
      <c r="AI12249" s="831">
        <v>0</v>
      </c>
      <c r="AJ12249" s="835">
        <v>41608</v>
      </c>
      <c r="AK12249" s="831">
        <v>-32754423.664999999</v>
      </c>
    </row>
    <row r="12250" spans="2:37">
      <c r="B12250" s="834" t="str">
        <f t="shared" si="463"/>
        <v>|||</v>
      </c>
      <c r="H12250" s="835">
        <f t="shared" si="464"/>
        <v>31</v>
      </c>
      <c r="AF12250" s="831" t="s">
        <v>11217</v>
      </c>
      <c r="AG12250" s="831" t="s">
        <v>2674</v>
      </c>
      <c r="AH12250" s="831" t="s">
        <v>3044</v>
      </c>
      <c r="AI12250" s="831">
        <v>0</v>
      </c>
      <c r="AJ12250" s="835">
        <v>41608</v>
      </c>
      <c r="AK12250" s="831">
        <v>-4752350.8779999996</v>
      </c>
    </row>
    <row r="12251" spans="2:37">
      <c r="B12251" s="834" t="str">
        <f t="shared" si="463"/>
        <v>|||</v>
      </c>
      <c r="H12251" s="835">
        <f t="shared" si="464"/>
        <v>31</v>
      </c>
      <c r="AF12251" s="831" t="s">
        <v>11218</v>
      </c>
      <c r="AG12251" s="831" t="s">
        <v>2674</v>
      </c>
      <c r="AH12251" s="831" t="s">
        <v>580</v>
      </c>
      <c r="AI12251" s="831">
        <v>0</v>
      </c>
      <c r="AJ12251" s="835">
        <v>41608</v>
      </c>
      <c r="AK12251" s="831">
        <v>-61342758.126000002</v>
      </c>
    </row>
    <row r="12252" spans="2:37">
      <c r="B12252" s="834" t="str">
        <f t="shared" si="463"/>
        <v>|||</v>
      </c>
      <c r="H12252" s="835">
        <f t="shared" si="464"/>
        <v>31</v>
      </c>
      <c r="AF12252" s="831" t="s">
        <v>11219</v>
      </c>
      <c r="AG12252" s="831" t="s">
        <v>2674</v>
      </c>
      <c r="AH12252" s="831" t="s">
        <v>581</v>
      </c>
      <c r="AI12252" s="831">
        <v>0</v>
      </c>
      <c r="AJ12252" s="835">
        <v>41608</v>
      </c>
      <c r="AK12252" s="831">
        <v>5348437.4649999999</v>
      </c>
    </row>
    <row r="12253" spans="2:37">
      <c r="B12253" s="834" t="str">
        <f t="shared" si="463"/>
        <v>|||</v>
      </c>
      <c r="H12253" s="835">
        <f t="shared" si="464"/>
        <v>31</v>
      </c>
      <c r="AF12253" s="831" t="s">
        <v>11220</v>
      </c>
      <c r="AG12253" s="831" t="s">
        <v>2674</v>
      </c>
      <c r="AH12253" s="831" t="s">
        <v>105</v>
      </c>
      <c r="AI12253" s="831">
        <v>0</v>
      </c>
      <c r="AJ12253" s="835">
        <v>41608</v>
      </c>
      <c r="AK12253" s="831">
        <v>357758420.06199998</v>
      </c>
    </row>
    <row r="12254" spans="2:37">
      <c r="B12254" s="834" t="str">
        <f t="shared" si="463"/>
        <v>|||</v>
      </c>
      <c r="H12254" s="835">
        <f t="shared" si="464"/>
        <v>31</v>
      </c>
      <c r="AF12254" s="831" t="s">
        <v>11221</v>
      </c>
      <c r="AG12254" s="831" t="s">
        <v>2674</v>
      </c>
      <c r="AH12254" s="831" t="s">
        <v>3049</v>
      </c>
      <c r="AI12254" s="831">
        <v>0</v>
      </c>
      <c r="AJ12254" s="835">
        <v>41608</v>
      </c>
      <c r="AK12254" s="831">
        <v>601955674.8829999</v>
      </c>
    </row>
    <row r="12255" spans="2:37">
      <c r="B12255" s="834" t="str">
        <f t="shared" si="463"/>
        <v>|||</v>
      </c>
      <c r="H12255" s="835">
        <f t="shared" si="464"/>
        <v>31</v>
      </c>
      <c r="AF12255" s="831" t="s">
        <v>11222</v>
      </c>
      <c r="AG12255" s="831" t="s">
        <v>2674</v>
      </c>
      <c r="AH12255" s="831" t="s">
        <v>103</v>
      </c>
      <c r="AI12255" s="831">
        <v>0</v>
      </c>
      <c r="AJ12255" s="835">
        <v>41608</v>
      </c>
      <c r="AK12255" s="831">
        <v>244197254.82099998</v>
      </c>
    </row>
    <row r="12256" spans="2:37">
      <c r="B12256" s="834" t="str">
        <f t="shared" si="463"/>
        <v>|||</v>
      </c>
      <c r="H12256" s="835">
        <f t="shared" si="464"/>
        <v>31</v>
      </c>
      <c r="AF12256" s="831" t="s">
        <v>11223</v>
      </c>
      <c r="AG12256" s="831" t="s">
        <v>2674</v>
      </c>
      <c r="AH12256" s="831" t="s">
        <v>182</v>
      </c>
      <c r="AI12256" s="831">
        <v>0</v>
      </c>
      <c r="AJ12256" s="835">
        <v>41608</v>
      </c>
      <c r="AK12256" s="831">
        <v>58896650.319272734</v>
      </c>
    </row>
    <row r="12257" spans="2:37">
      <c r="B12257" s="834" t="str">
        <f t="shared" si="463"/>
        <v>|||</v>
      </c>
      <c r="H12257" s="835">
        <f t="shared" si="464"/>
        <v>31</v>
      </c>
      <c r="AF12257" s="831" t="s">
        <v>11224</v>
      </c>
      <c r="AG12257" s="831" t="s">
        <v>2674</v>
      </c>
      <c r="AH12257" s="831" t="s">
        <v>6600</v>
      </c>
      <c r="AI12257" s="831">
        <v>0</v>
      </c>
      <c r="AJ12257" s="835">
        <v>41608</v>
      </c>
      <c r="AK12257" s="831">
        <v>27660766.032000005</v>
      </c>
    </row>
    <row r="12258" spans="2:37">
      <c r="B12258" s="834" t="str">
        <f t="shared" si="463"/>
        <v>|||</v>
      </c>
      <c r="H12258" s="835">
        <f t="shared" si="464"/>
        <v>31</v>
      </c>
      <c r="AF12258" s="831" t="s">
        <v>11225</v>
      </c>
      <c r="AG12258" s="831" t="s">
        <v>2674</v>
      </c>
      <c r="AH12258" s="831" t="s">
        <v>6602</v>
      </c>
      <c r="AI12258" s="831">
        <v>0</v>
      </c>
      <c r="AJ12258" s="835">
        <v>41608</v>
      </c>
      <c r="AK12258" s="831">
        <v>28354718.032000005</v>
      </c>
    </row>
    <row r="12259" spans="2:37">
      <c r="B12259" s="834" t="str">
        <f t="shared" si="463"/>
        <v>|||</v>
      </c>
      <c r="H12259" s="835">
        <f t="shared" si="464"/>
        <v>31</v>
      </c>
      <c r="AF12259" s="831" t="s">
        <v>11226</v>
      </c>
      <c r="AG12259" s="831" t="s">
        <v>2674</v>
      </c>
      <c r="AH12259" s="831" t="s">
        <v>650</v>
      </c>
      <c r="AI12259" s="831">
        <v>0</v>
      </c>
      <c r="AJ12259" s="835">
        <v>41608</v>
      </c>
      <c r="AK12259" s="831">
        <v>197061109.84392309</v>
      </c>
    </row>
    <row r="12260" spans="2:37">
      <c r="B12260" s="834" t="str">
        <f t="shared" si="463"/>
        <v>|||</v>
      </c>
      <c r="H12260" s="835">
        <f t="shared" si="464"/>
        <v>31</v>
      </c>
      <c r="AF12260" s="831" t="s">
        <v>11227</v>
      </c>
      <c r="AG12260" s="831" t="s">
        <v>2674</v>
      </c>
      <c r="AH12260" s="831" t="s">
        <v>655</v>
      </c>
      <c r="AI12260" s="831">
        <v>0</v>
      </c>
      <c r="AJ12260" s="835">
        <v>41608</v>
      </c>
      <c r="AK12260" s="831">
        <v>1514274.5550000002</v>
      </c>
    </row>
    <row r="12261" spans="2:37">
      <c r="B12261" s="834" t="str">
        <f t="shared" si="463"/>
        <v>|||</v>
      </c>
      <c r="H12261" s="835">
        <f t="shared" si="464"/>
        <v>31</v>
      </c>
      <c r="AF12261" s="831" t="s">
        <v>11228</v>
      </c>
      <c r="AG12261" s="831" t="s">
        <v>2674</v>
      </c>
      <c r="AH12261" s="831" t="s">
        <v>546</v>
      </c>
      <c r="AI12261" s="831">
        <v>0</v>
      </c>
      <c r="AJ12261" s="835">
        <v>41639</v>
      </c>
      <c r="AK12261" s="831">
        <v>627874260</v>
      </c>
    </row>
    <row r="12262" spans="2:37">
      <c r="B12262" s="834" t="str">
        <f t="shared" si="463"/>
        <v>|||</v>
      </c>
      <c r="H12262" s="835">
        <f t="shared" si="464"/>
        <v>31</v>
      </c>
      <c r="AF12262" s="831" t="s">
        <v>11229</v>
      </c>
      <c r="AG12262" s="831" t="s">
        <v>2674</v>
      </c>
      <c r="AH12262" s="831" t="s">
        <v>370</v>
      </c>
      <c r="AI12262" s="831">
        <v>0</v>
      </c>
      <c r="AJ12262" s="835">
        <v>41639</v>
      </c>
      <c r="AK12262" s="831">
        <v>789514969.56299996</v>
      </c>
    </row>
    <row r="12263" spans="2:37">
      <c r="B12263" s="834" t="str">
        <f t="shared" si="463"/>
        <v>|||</v>
      </c>
      <c r="H12263" s="835">
        <f t="shared" si="464"/>
        <v>31</v>
      </c>
      <c r="AF12263" s="831" t="s">
        <v>11230</v>
      </c>
      <c r="AG12263" s="831" t="s">
        <v>2674</v>
      </c>
      <c r="AH12263" s="831" t="s">
        <v>126</v>
      </c>
      <c r="AI12263" s="831">
        <v>0</v>
      </c>
      <c r="AJ12263" s="835">
        <v>41639</v>
      </c>
      <c r="AK12263" s="831">
        <v>114089765.91</v>
      </c>
    </row>
    <row r="12264" spans="2:37">
      <c r="B12264" s="834" t="str">
        <f t="shared" si="463"/>
        <v>|||</v>
      </c>
      <c r="H12264" s="835">
        <f t="shared" si="464"/>
        <v>31</v>
      </c>
      <c r="AF12264" s="831" t="s">
        <v>11231</v>
      </c>
      <c r="AG12264" s="831" t="s">
        <v>2674</v>
      </c>
      <c r="AH12264" s="831" t="s">
        <v>268</v>
      </c>
      <c r="AI12264" s="831">
        <v>0</v>
      </c>
      <c r="AJ12264" s="835">
        <v>41639</v>
      </c>
      <c r="AK12264" s="831">
        <v>27176541.956000008</v>
      </c>
    </row>
    <row r="12265" spans="2:37">
      <c r="B12265" s="834" t="str">
        <f t="shared" si="463"/>
        <v>|||</v>
      </c>
      <c r="H12265" s="835">
        <f t="shared" si="464"/>
        <v>31</v>
      </c>
      <c r="AF12265" s="831" t="s">
        <v>11232</v>
      </c>
      <c r="AG12265" s="831" t="s">
        <v>2674</v>
      </c>
      <c r="AH12265" s="831" t="s">
        <v>547</v>
      </c>
      <c r="AI12265" s="831">
        <v>0</v>
      </c>
      <c r="AJ12265" s="835">
        <v>41639</v>
      </c>
      <c r="AK12265" s="831">
        <v>511487760</v>
      </c>
    </row>
    <row r="12266" spans="2:37">
      <c r="B12266" s="834" t="str">
        <f t="shared" si="463"/>
        <v>|||</v>
      </c>
      <c r="H12266" s="835">
        <f t="shared" si="464"/>
        <v>31</v>
      </c>
      <c r="AF12266" s="831" t="s">
        <v>11233</v>
      </c>
      <c r="AG12266" s="831" t="s">
        <v>2674</v>
      </c>
      <c r="AH12266" s="831" t="s">
        <v>548</v>
      </c>
      <c r="AI12266" s="831">
        <v>0</v>
      </c>
      <c r="AJ12266" s="835">
        <v>41639</v>
      </c>
      <c r="AK12266" s="831">
        <v>96883184</v>
      </c>
    </row>
    <row r="12267" spans="2:37">
      <c r="B12267" s="834" t="str">
        <f t="shared" si="463"/>
        <v>|||</v>
      </c>
      <c r="H12267" s="835">
        <f t="shared" si="464"/>
        <v>31</v>
      </c>
      <c r="AF12267" s="831" t="s">
        <v>11234</v>
      </c>
      <c r="AG12267" s="831" t="s">
        <v>2674</v>
      </c>
      <c r="AH12267" s="831" t="s">
        <v>549</v>
      </c>
      <c r="AI12267" s="831">
        <v>0</v>
      </c>
      <c r="AJ12267" s="835">
        <v>41639</v>
      </c>
      <c r="AK12267" s="831">
        <v>412125624</v>
      </c>
    </row>
    <row r="12268" spans="2:37">
      <c r="B12268" s="834" t="str">
        <f t="shared" si="463"/>
        <v>|||</v>
      </c>
      <c r="H12268" s="835">
        <f t="shared" si="464"/>
        <v>31</v>
      </c>
      <c r="AF12268" s="831" t="s">
        <v>11235</v>
      </c>
      <c r="AG12268" s="831" t="s">
        <v>2674</v>
      </c>
      <c r="AH12268" s="831" t="s">
        <v>192</v>
      </c>
      <c r="AI12268" s="831">
        <v>0</v>
      </c>
      <c r="AJ12268" s="835">
        <v>41639</v>
      </c>
      <c r="AK12268" s="831">
        <v>-13734258</v>
      </c>
    </row>
    <row r="12269" spans="2:37">
      <c r="B12269" s="834" t="str">
        <f t="shared" si="463"/>
        <v>|||</v>
      </c>
      <c r="H12269" s="835">
        <f t="shared" si="464"/>
        <v>31</v>
      </c>
      <c r="AF12269" s="831" t="s">
        <v>11236</v>
      </c>
      <c r="AG12269" s="831" t="s">
        <v>2674</v>
      </c>
      <c r="AH12269" s="831" t="s">
        <v>558</v>
      </c>
      <c r="AI12269" s="831">
        <v>0</v>
      </c>
      <c r="AJ12269" s="835">
        <v>41639</v>
      </c>
      <c r="AK12269" s="831">
        <v>675425203.71399999</v>
      </c>
    </row>
    <row r="12270" spans="2:37">
      <c r="B12270" s="834" t="str">
        <f t="shared" si="463"/>
        <v>|||</v>
      </c>
      <c r="H12270" s="835">
        <f t="shared" si="464"/>
        <v>31</v>
      </c>
      <c r="AF12270" s="831" t="s">
        <v>11237</v>
      </c>
      <c r="AG12270" s="831" t="s">
        <v>2674</v>
      </c>
      <c r="AH12270" s="831" t="s">
        <v>65</v>
      </c>
      <c r="AI12270" s="831">
        <v>0</v>
      </c>
      <c r="AJ12270" s="835">
        <v>41639</v>
      </c>
      <c r="AK12270" s="831">
        <v>132856888.763</v>
      </c>
    </row>
    <row r="12271" spans="2:37">
      <c r="B12271" s="834" t="str">
        <f t="shared" si="463"/>
        <v>|||</v>
      </c>
      <c r="H12271" s="835">
        <f t="shared" si="464"/>
        <v>31</v>
      </c>
      <c r="AF12271" s="831" t="s">
        <v>11238</v>
      </c>
      <c r="AG12271" s="831" t="s">
        <v>2674</v>
      </c>
      <c r="AH12271" s="831" t="s">
        <v>89</v>
      </c>
      <c r="AI12271" s="831">
        <v>0</v>
      </c>
      <c r="AJ12271" s="835">
        <v>41639</v>
      </c>
      <c r="AK12271" s="831">
        <v>147601</v>
      </c>
    </row>
    <row r="12272" spans="2:37">
      <c r="B12272" s="834" t="str">
        <f t="shared" si="463"/>
        <v>|||</v>
      </c>
      <c r="H12272" s="835">
        <f t="shared" si="464"/>
        <v>31</v>
      </c>
      <c r="AF12272" s="831" t="s">
        <v>11239</v>
      </c>
      <c r="AG12272" s="831" t="s">
        <v>2674</v>
      </c>
      <c r="AH12272" s="831" t="s">
        <v>557</v>
      </c>
      <c r="AI12272" s="831">
        <v>0</v>
      </c>
      <c r="AJ12272" s="835">
        <v>41639</v>
      </c>
      <c r="AK12272" s="831">
        <v>160431</v>
      </c>
    </row>
    <row r="12273" spans="2:37">
      <c r="B12273" s="834" t="str">
        <f t="shared" si="463"/>
        <v>|||</v>
      </c>
      <c r="H12273" s="835">
        <f t="shared" si="464"/>
        <v>31</v>
      </c>
      <c r="AF12273" s="831" t="s">
        <v>11240</v>
      </c>
      <c r="AG12273" s="831" t="s">
        <v>2674</v>
      </c>
      <c r="AH12273" s="831" t="s">
        <v>29</v>
      </c>
      <c r="AI12273" s="831">
        <v>0</v>
      </c>
      <c r="AJ12273" s="835">
        <v>41639</v>
      </c>
      <c r="AK12273" s="831">
        <v>1938216.4366000001</v>
      </c>
    </row>
    <row r="12274" spans="2:37">
      <c r="B12274" s="834" t="str">
        <f t="shared" si="463"/>
        <v>|||</v>
      </c>
      <c r="H12274" s="835">
        <f t="shared" si="464"/>
        <v>31</v>
      </c>
      <c r="AF12274" s="831" t="s">
        <v>11241</v>
      </c>
      <c r="AG12274" s="831" t="s">
        <v>2674</v>
      </c>
      <c r="AH12274" s="831" t="s">
        <v>2688</v>
      </c>
      <c r="AI12274" s="831">
        <v>0</v>
      </c>
      <c r="AJ12274" s="835">
        <v>41639</v>
      </c>
      <c r="AK12274" s="831">
        <v>3277121.17</v>
      </c>
    </row>
    <row r="12275" spans="2:37">
      <c r="B12275" s="834" t="str">
        <f t="shared" si="463"/>
        <v>|||</v>
      </c>
      <c r="H12275" s="835">
        <f t="shared" si="464"/>
        <v>31</v>
      </c>
      <c r="AF12275" s="831" t="s">
        <v>11242</v>
      </c>
      <c r="AG12275" s="831" t="s">
        <v>2674</v>
      </c>
      <c r="AH12275" s="831" t="s">
        <v>556</v>
      </c>
      <c r="AI12275" s="831">
        <v>0</v>
      </c>
      <c r="AJ12275" s="835">
        <v>41639</v>
      </c>
      <c r="AK12275" s="831">
        <v>1644732</v>
      </c>
    </row>
    <row r="12276" spans="2:37">
      <c r="B12276" s="834" t="str">
        <f t="shared" si="463"/>
        <v>|||</v>
      </c>
      <c r="H12276" s="835">
        <f t="shared" si="464"/>
        <v>31</v>
      </c>
      <c r="AF12276" s="831" t="s">
        <v>11243</v>
      </c>
      <c r="AG12276" s="831" t="s">
        <v>2674</v>
      </c>
      <c r="AH12276" s="831" t="s">
        <v>555</v>
      </c>
      <c r="AI12276" s="831">
        <v>0</v>
      </c>
      <c r="AJ12276" s="835">
        <v>41639</v>
      </c>
      <c r="AK12276" s="831">
        <v>435796650</v>
      </c>
    </row>
    <row r="12277" spans="2:37">
      <c r="B12277" s="834" t="str">
        <f t="shared" si="463"/>
        <v>|||</v>
      </c>
      <c r="H12277" s="835">
        <f t="shared" si="464"/>
        <v>31</v>
      </c>
      <c r="AF12277" s="831" t="s">
        <v>11244</v>
      </c>
      <c r="AG12277" s="831" t="s">
        <v>2674</v>
      </c>
      <c r="AH12277" s="831" t="s">
        <v>554</v>
      </c>
      <c r="AI12277" s="831">
        <v>0</v>
      </c>
      <c r="AJ12277" s="835">
        <v>41639</v>
      </c>
      <c r="AK12277" s="831">
        <v>428326680</v>
      </c>
    </row>
    <row r="12278" spans="2:37">
      <c r="B12278" s="834" t="str">
        <f t="shared" si="463"/>
        <v>|||</v>
      </c>
      <c r="H12278" s="835">
        <f t="shared" si="464"/>
        <v>31</v>
      </c>
      <c r="AF12278" s="831" t="s">
        <v>11245</v>
      </c>
      <c r="AG12278" s="831" t="s">
        <v>2674</v>
      </c>
      <c r="AH12278" s="831" t="s">
        <v>553</v>
      </c>
      <c r="AI12278" s="831">
        <v>0</v>
      </c>
      <c r="AJ12278" s="835">
        <v>41639</v>
      </c>
      <c r="AK12278" s="831">
        <v>0</v>
      </c>
    </row>
    <row r="12279" spans="2:37">
      <c r="B12279" s="834" t="str">
        <f t="shared" si="463"/>
        <v>|||</v>
      </c>
      <c r="H12279" s="835">
        <f t="shared" si="464"/>
        <v>31</v>
      </c>
      <c r="AF12279" s="831" t="s">
        <v>11246</v>
      </c>
      <c r="AG12279" s="831" t="s">
        <v>2674</v>
      </c>
      <c r="AH12279" s="831" t="s">
        <v>552</v>
      </c>
      <c r="AI12279" s="831">
        <v>0</v>
      </c>
      <c r="AJ12279" s="835">
        <v>41639</v>
      </c>
      <c r="AK12279" s="831">
        <v>0</v>
      </c>
    </row>
    <row r="12280" spans="2:37">
      <c r="B12280" s="834" t="str">
        <f t="shared" si="463"/>
        <v>|||</v>
      </c>
      <c r="H12280" s="835">
        <f t="shared" si="464"/>
        <v>31</v>
      </c>
      <c r="AF12280" s="831" t="s">
        <v>11247</v>
      </c>
      <c r="AG12280" s="831" t="s">
        <v>2674</v>
      </c>
      <c r="AH12280" s="831" t="s">
        <v>551</v>
      </c>
      <c r="AI12280" s="831">
        <v>0</v>
      </c>
      <c r="AJ12280" s="835">
        <v>41639</v>
      </c>
      <c r="AK12280" s="831">
        <v>1803383.8316000002</v>
      </c>
    </row>
    <row r="12281" spans="2:37">
      <c r="B12281" s="834" t="str">
        <f t="shared" si="463"/>
        <v>|||</v>
      </c>
      <c r="H12281" s="835">
        <f t="shared" si="464"/>
        <v>31</v>
      </c>
      <c r="AF12281" s="831" t="s">
        <v>11248</v>
      </c>
      <c r="AG12281" s="831" t="s">
        <v>2674</v>
      </c>
      <c r="AH12281" s="831" t="s">
        <v>550</v>
      </c>
      <c r="AI12281" s="831">
        <v>0</v>
      </c>
      <c r="AJ12281" s="835">
        <v>41639</v>
      </c>
      <c r="AK12281" s="831">
        <v>123117939.85600001</v>
      </c>
    </row>
    <row r="12282" spans="2:37">
      <c r="B12282" s="834" t="str">
        <f t="shared" si="463"/>
        <v>|||</v>
      </c>
      <c r="H12282" s="835">
        <f t="shared" si="464"/>
        <v>31</v>
      </c>
      <c r="AF12282" s="831" t="s">
        <v>11249</v>
      </c>
      <c r="AG12282" s="831" t="s">
        <v>2674</v>
      </c>
      <c r="AH12282" s="831" t="s">
        <v>562</v>
      </c>
      <c r="AI12282" s="831">
        <v>0</v>
      </c>
      <c r="AJ12282" s="835">
        <v>41639</v>
      </c>
      <c r="AK12282" s="831">
        <v>0.78334999999999999</v>
      </c>
    </row>
    <row r="12283" spans="2:37">
      <c r="B12283" s="834" t="str">
        <f t="shared" si="463"/>
        <v>|||</v>
      </c>
      <c r="H12283" s="835">
        <f t="shared" si="464"/>
        <v>31</v>
      </c>
      <c r="AF12283" s="831" t="s">
        <v>11250</v>
      </c>
      <c r="AG12283" s="831" t="s">
        <v>2674</v>
      </c>
      <c r="AH12283" s="831" t="s">
        <v>2698</v>
      </c>
      <c r="AI12283" s="831">
        <v>0</v>
      </c>
      <c r="AJ12283" s="835">
        <v>41639</v>
      </c>
      <c r="AK12283" s="831">
        <v>0.78385000000000005</v>
      </c>
    </row>
    <row r="12284" spans="2:37">
      <c r="B12284" s="834" t="str">
        <f t="shared" si="463"/>
        <v>|||</v>
      </c>
      <c r="H12284" s="835">
        <f t="shared" si="464"/>
        <v>31</v>
      </c>
      <c r="AF12284" s="831" t="s">
        <v>11251</v>
      </c>
      <c r="AG12284" s="831" t="s">
        <v>2674</v>
      </c>
      <c r="AH12284" s="831" t="s">
        <v>560</v>
      </c>
      <c r="AI12284" s="831">
        <v>0</v>
      </c>
      <c r="AJ12284" s="835">
        <v>41639</v>
      </c>
      <c r="AK12284" s="831">
        <v>0.78393333333333326</v>
      </c>
    </row>
    <row r="12285" spans="2:37">
      <c r="B12285" s="834" t="str">
        <f t="shared" si="463"/>
        <v>|||</v>
      </c>
      <c r="H12285" s="835">
        <f t="shared" si="464"/>
        <v>31</v>
      </c>
      <c r="AF12285" s="831" t="s">
        <v>11252</v>
      </c>
      <c r="AG12285" s="831" t="s">
        <v>2674</v>
      </c>
      <c r="AH12285" s="831" t="s">
        <v>559</v>
      </c>
      <c r="AI12285" s="831">
        <v>0</v>
      </c>
      <c r="AJ12285" s="835">
        <v>41639</v>
      </c>
      <c r="AK12285" s="831">
        <v>0.78393333333333326</v>
      </c>
    </row>
    <row r="12286" spans="2:37">
      <c r="B12286" s="834" t="str">
        <f t="shared" si="463"/>
        <v>|||</v>
      </c>
      <c r="H12286" s="835">
        <f t="shared" si="464"/>
        <v>31</v>
      </c>
      <c r="AF12286" s="831" t="s">
        <v>11253</v>
      </c>
      <c r="AG12286" s="831" t="s">
        <v>2674</v>
      </c>
      <c r="AH12286" s="831" t="s">
        <v>568</v>
      </c>
      <c r="AI12286" s="831">
        <v>0</v>
      </c>
      <c r="AJ12286" s="835">
        <v>41639</v>
      </c>
      <c r="AK12286" s="831">
        <v>513441498.30384612</v>
      </c>
    </row>
    <row r="12287" spans="2:37">
      <c r="B12287" s="834" t="str">
        <f t="shared" si="463"/>
        <v>|||</v>
      </c>
      <c r="H12287" s="835">
        <f t="shared" si="464"/>
        <v>31</v>
      </c>
      <c r="AF12287" s="831" t="s">
        <v>11254</v>
      </c>
      <c r="AG12287" s="831" t="s">
        <v>2674</v>
      </c>
      <c r="AH12287" s="831" t="s">
        <v>569</v>
      </c>
      <c r="AI12287" s="831">
        <v>0</v>
      </c>
      <c r="AJ12287" s="835">
        <v>41639</v>
      </c>
      <c r="AK12287" s="831">
        <v>628195505.12715387</v>
      </c>
    </row>
    <row r="12288" spans="2:37">
      <c r="B12288" s="834" t="str">
        <f t="shared" si="463"/>
        <v>|||</v>
      </c>
      <c r="H12288" s="835">
        <f t="shared" si="464"/>
        <v>31</v>
      </c>
      <c r="AF12288" s="831" t="s">
        <v>11255</v>
      </c>
      <c r="AG12288" s="831" t="s">
        <v>2674</v>
      </c>
      <c r="AH12288" s="831" t="s">
        <v>570</v>
      </c>
      <c r="AI12288" s="831">
        <v>0</v>
      </c>
      <c r="AJ12288" s="835">
        <v>41639</v>
      </c>
      <c r="AK12288" s="831">
        <v>108762142.05892308</v>
      </c>
    </row>
    <row r="12289" spans="2:37">
      <c r="B12289" s="834" t="str">
        <f t="shared" si="463"/>
        <v>|||</v>
      </c>
      <c r="H12289" s="835">
        <f t="shared" si="464"/>
        <v>31</v>
      </c>
      <c r="AF12289" s="831" t="s">
        <v>11256</v>
      </c>
      <c r="AG12289" s="831" t="s">
        <v>2674</v>
      </c>
      <c r="AH12289" s="831" t="s">
        <v>571</v>
      </c>
      <c r="AI12289" s="831">
        <v>0</v>
      </c>
      <c r="AJ12289" s="835">
        <v>41639</v>
      </c>
      <c r="AK12289" s="831">
        <v>297832512.59023076</v>
      </c>
    </row>
    <row r="12290" spans="2:37">
      <c r="B12290" s="834" t="str">
        <f t="shared" si="463"/>
        <v>|||</v>
      </c>
      <c r="H12290" s="835">
        <f t="shared" si="464"/>
        <v>31</v>
      </c>
      <c r="AF12290" s="831" t="s">
        <v>11257</v>
      </c>
      <c r="AG12290" s="831" t="s">
        <v>2674</v>
      </c>
      <c r="AH12290" s="831" t="s">
        <v>573</v>
      </c>
      <c r="AI12290" s="831">
        <v>0</v>
      </c>
      <c r="AJ12290" s="835">
        <v>41639</v>
      </c>
      <c r="AK12290" s="831">
        <v>628195505.12715387</v>
      </c>
    </row>
    <row r="12291" spans="2:37">
      <c r="B12291" s="834" t="str">
        <f t="shared" si="463"/>
        <v>|||</v>
      </c>
      <c r="H12291" s="835">
        <f t="shared" si="464"/>
        <v>31</v>
      </c>
      <c r="AF12291" s="831" t="s">
        <v>11258</v>
      </c>
      <c r="AG12291" s="831" t="s">
        <v>2674</v>
      </c>
      <c r="AH12291" s="831" t="s">
        <v>574</v>
      </c>
      <c r="AI12291" s="831">
        <v>0</v>
      </c>
      <c r="AJ12291" s="835">
        <v>41639</v>
      </c>
      <c r="AK12291" s="831">
        <v>513441498.30384612</v>
      </c>
    </row>
    <row r="12292" spans="2:37">
      <c r="B12292" s="834" t="str">
        <f t="shared" si="463"/>
        <v>|||</v>
      </c>
      <c r="H12292" s="835">
        <f t="shared" si="464"/>
        <v>31</v>
      </c>
      <c r="AF12292" s="831" t="s">
        <v>11259</v>
      </c>
      <c r="AG12292" s="831" t="s">
        <v>2674</v>
      </c>
      <c r="AH12292" s="831" t="s">
        <v>575</v>
      </c>
      <c r="AI12292" s="831">
        <v>0</v>
      </c>
      <c r="AJ12292" s="835">
        <v>41639</v>
      </c>
      <c r="AK12292" s="831">
        <v>108762142.05892308</v>
      </c>
    </row>
    <row r="12293" spans="2:37">
      <c r="B12293" s="834" t="str">
        <f t="shared" si="463"/>
        <v>|||</v>
      </c>
      <c r="H12293" s="835">
        <f t="shared" si="464"/>
        <v>31</v>
      </c>
      <c r="AF12293" s="831" t="s">
        <v>11260</v>
      </c>
      <c r="AG12293" s="831" t="s">
        <v>2674</v>
      </c>
      <c r="AH12293" s="831" t="s">
        <v>576</v>
      </c>
      <c r="AI12293" s="831">
        <v>0</v>
      </c>
      <c r="AJ12293" s="835">
        <v>41639</v>
      </c>
      <c r="AK12293" s="831">
        <v>297832512.59023076</v>
      </c>
    </row>
    <row r="12294" spans="2:37">
      <c r="B12294" s="834" t="str">
        <f t="shared" si="463"/>
        <v>|||</v>
      </c>
      <c r="H12294" s="835">
        <f t="shared" si="464"/>
        <v>31</v>
      </c>
      <c r="AF12294" s="831" t="s">
        <v>11261</v>
      </c>
      <c r="AG12294" s="831" t="s">
        <v>2674</v>
      </c>
      <c r="AH12294" s="831" t="s">
        <v>572</v>
      </c>
      <c r="AI12294" s="831">
        <v>0</v>
      </c>
      <c r="AJ12294" s="835">
        <v>41639</v>
      </c>
      <c r="AK12294" s="831">
        <v>27176541.956000008</v>
      </c>
    </row>
    <row r="12295" spans="2:37">
      <c r="B12295" s="834" t="str">
        <f t="shared" si="463"/>
        <v>|||</v>
      </c>
      <c r="H12295" s="835">
        <f t="shared" si="464"/>
        <v>31</v>
      </c>
      <c r="AF12295" s="831" t="s">
        <v>11262</v>
      </c>
      <c r="AG12295" s="831" t="s">
        <v>2674</v>
      </c>
      <c r="AH12295" s="831" t="s">
        <v>577</v>
      </c>
      <c r="AI12295" s="831">
        <v>0</v>
      </c>
      <c r="AJ12295" s="835">
        <v>41639</v>
      </c>
      <c r="AK12295" s="831">
        <v>132856888.763</v>
      </c>
    </row>
    <row r="12296" spans="2:37">
      <c r="B12296" s="834" t="str">
        <f t="shared" si="463"/>
        <v>|||</v>
      </c>
      <c r="H12296" s="835">
        <f t="shared" si="464"/>
        <v>31</v>
      </c>
      <c r="AF12296" s="831" t="s">
        <v>11263</v>
      </c>
      <c r="AG12296" s="831" t="s">
        <v>2674</v>
      </c>
      <c r="AH12296" s="831" t="s">
        <v>3042</v>
      </c>
      <c r="AI12296" s="831">
        <v>0</v>
      </c>
      <c r="AJ12296" s="835">
        <v>41639</v>
      </c>
      <c r="AK12296" s="831">
        <v>-34369525.527000003</v>
      </c>
    </row>
    <row r="12297" spans="2:37">
      <c r="B12297" s="834" t="str">
        <f t="shared" si="463"/>
        <v>|||</v>
      </c>
      <c r="H12297" s="835">
        <f t="shared" si="464"/>
        <v>31</v>
      </c>
      <c r="AF12297" s="831" t="s">
        <v>11264</v>
      </c>
      <c r="AG12297" s="831" t="s">
        <v>2674</v>
      </c>
      <c r="AH12297" s="831" t="s">
        <v>3044</v>
      </c>
      <c r="AI12297" s="831">
        <v>0</v>
      </c>
      <c r="AJ12297" s="835">
        <v>41639</v>
      </c>
      <c r="AK12297" s="831">
        <v>-4400746.8899999997</v>
      </c>
    </row>
    <row r="12298" spans="2:37">
      <c r="B12298" s="834" t="str">
        <f t="shared" si="463"/>
        <v>|||</v>
      </c>
      <c r="H12298" s="835">
        <f t="shared" si="464"/>
        <v>31</v>
      </c>
      <c r="AF12298" s="831" t="s">
        <v>11265</v>
      </c>
      <c r="AG12298" s="831" t="s">
        <v>2674</v>
      </c>
      <c r="AH12298" s="831" t="s">
        <v>580</v>
      </c>
      <c r="AI12298" s="831">
        <v>0</v>
      </c>
      <c r="AJ12298" s="835">
        <v>41639</v>
      </c>
      <c r="AK12298" s="831">
        <v>-64107005.306999996</v>
      </c>
    </row>
    <row r="12299" spans="2:37">
      <c r="B12299" s="834" t="str">
        <f t="shared" si="463"/>
        <v>|||</v>
      </c>
      <c r="H12299" s="835">
        <f t="shared" si="464"/>
        <v>31</v>
      </c>
      <c r="AF12299" s="831" t="s">
        <v>11266</v>
      </c>
      <c r="AG12299" s="831" t="s">
        <v>2674</v>
      </c>
      <c r="AH12299" s="831" t="s">
        <v>581</v>
      </c>
      <c r="AI12299" s="831">
        <v>0</v>
      </c>
      <c r="AJ12299" s="835">
        <v>41639</v>
      </c>
      <c r="AK12299" s="831">
        <v>5010635.8940000003</v>
      </c>
    </row>
    <row r="12300" spans="2:37">
      <c r="B12300" s="834" t="str">
        <f t="shared" si="463"/>
        <v>|||</v>
      </c>
      <c r="H12300" s="835">
        <f t="shared" si="464"/>
        <v>31</v>
      </c>
      <c r="AF12300" s="831" t="s">
        <v>11267</v>
      </c>
      <c r="AG12300" s="831" t="s">
        <v>2674</v>
      </c>
      <c r="AH12300" s="831" t="s">
        <v>105</v>
      </c>
      <c r="AI12300" s="831">
        <v>0</v>
      </c>
      <c r="AJ12300" s="835">
        <v>41639</v>
      </c>
      <c r="AK12300" s="831">
        <v>391573847.611</v>
      </c>
    </row>
    <row r="12301" spans="2:37">
      <c r="B12301" s="834" t="str">
        <f t="shared" si="463"/>
        <v>|||</v>
      </c>
      <c r="H12301" s="835">
        <f t="shared" si="464"/>
        <v>31</v>
      </c>
      <c r="AF12301" s="831" t="s">
        <v>11268</v>
      </c>
      <c r="AG12301" s="831" t="s">
        <v>2674</v>
      </c>
      <c r="AH12301" s="831" t="s">
        <v>3049</v>
      </c>
      <c r="AI12301" s="831">
        <v>0</v>
      </c>
      <c r="AJ12301" s="835">
        <v>41639</v>
      </c>
      <c r="AK12301" s="831">
        <v>644326442.18900001</v>
      </c>
    </row>
    <row r="12302" spans="2:37">
      <c r="B12302" s="834" t="str">
        <f t="shared" si="463"/>
        <v>|||</v>
      </c>
      <c r="H12302" s="835">
        <f t="shared" si="464"/>
        <v>31</v>
      </c>
      <c r="AF12302" s="831" t="s">
        <v>11269</v>
      </c>
      <c r="AG12302" s="831" t="s">
        <v>2674</v>
      </c>
      <c r="AH12302" s="831" t="s">
        <v>103</v>
      </c>
      <c r="AI12302" s="831">
        <v>0</v>
      </c>
      <c r="AJ12302" s="835">
        <v>41639</v>
      </c>
      <c r="AK12302" s="831">
        <v>252752594.57800001</v>
      </c>
    </row>
    <row r="12303" spans="2:37">
      <c r="B12303" s="834" t="str">
        <f t="shared" si="463"/>
        <v>|||</v>
      </c>
      <c r="H12303" s="835">
        <f t="shared" si="464"/>
        <v>31</v>
      </c>
      <c r="AF12303" s="831" t="s">
        <v>11270</v>
      </c>
      <c r="AG12303" s="831" t="s">
        <v>2674</v>
      </c>
      <c r="AH12303" s="831" t="s">
        <v>182</v>
      </c>
      <c r="AI12303" s="831">
        <v>0</v>
      </c>
      <c r="AJ12303" s="835">
        <v>41639</v>
      </c>
      <c r="AK12303" s="831">
        <v>64107005.307000004</v>
      </c>
    </row>
    <row r="12304" spans="2:37">
      <c r="B12304" s="834" t="str">
        <f t="shared" si="463"/>
        <v>|||</v>
      </c>
      <c r="H12304" s="835">
        <f t="shared" si="464"/>
        <v>31</v>
      </c>
      <c r="AF12304" s="831" t="s">
        <v>11271</v>
      </c>
      <c r="AG12304" s="831" t="s">
        <v>2674</v>
      </c>
      <c r="AH12304" s="831" t="s">
        <v>6600</v>
      </c>
      <c r="AI12304" s="831">
        <v>0</v>
      </c>
      <c r="AJ12304" s="835">
        <v>41639</v>
      </c>
      <c r="AK12304" s="831">
        <v>27176541.956000008</v>
      </c>
    </row>
    <row r="12305" spans="2:37">
      <c r="B12305" s="834" t="str">
        <f t="shared" ref="B12305:B12368" si="465">C12305&amp;"|"&amp;D12305&amp;"|"&amp;E12305&amp;"|"&amp;F12305</f>
        <v>|||</v>
      </c>
      <c r="H12305" s="835">
        <f t="shared" ref="H12305:H12368" si="466">EOMONTH(L12305,0)</f>
        <v>31</v>
      </c>
      <c r="AF12305" s="831" t="s">
        <v>11272</v>
      </c>
      <c r="AG12305" s="831" t="s">
        <v>2674</v>
      </c>
      <c r="AH12305" s="831" t="s">
        <v>6602</v>
      </c>
      <c r="AI12305" s="831">
        <v>0</v>
      </c>
      <c r="AJ12305" s="835">
        <v>41639</v>
      </c>
      <c r="AK12305" s="831">
        <v>27176541.956000008</v>
      </c>
    </row>
    <row r="12306" spans="2:37">
      <c r="B12306" s="834" t="str">
        <f t="shared" si="465"/>
        <v>|||</v>
      </c>
      <c r="H12306" s="835">
        <f t="shared" si="466"/>
        <v>31</v>
      </c>
      <c r="AF12306" s="831" t="s">
        <v>11273</v>
      </c>
      <c r="AG12306" s="831" t="s">
        <v>2674</v>
      </c>
      <c r="AH12306" s="831" t="s">
        <v>650</v>
      </c>
      <c r="AI12306" s="831">
        <v>0</v>
      </c>
      <c r="AJ12306" s="835">
        <v>41639</v>
      </c>
      <c r="AK12306" s="831">
        <v>204736223.04223078</v>
      </c>
    </row>
    <row r="12307" spans="2:37">
      <c r="B12307" s="834" t="str">
        <f t="shared" si="465"/>
        <v>|||</v>
      </c>
      <c r="H12307" s="835">
        <f t="shared" si="466"/>
        <v>31</v>
      </c>
      <c r="AF12307" s="831" t="s">
        <v>11274</v>
      </c>
      <c r="AG12307" s="831" t="s">
        <v>2674</v>
      </c>
      <c r="AH12307" s="831" t="s">
        <v>655</v>
      </c>
      <c r="AI12307" s="831">
        <v>0</v>
      </c>
      <c r="AJ12307" s="835">
        <v>41639</v>
      </c>
      <c r="AK12307" s="831">
        <v>1605185.0136000002</v>
      </c>
    </row>
    <row r="12308" spans="2:37">
      <c r="B12308" s="834" t="str">
        <f t="shared" si="465"/>
        <v>|||</v>
      </c>
      <c r="H12308" s="835">
        <f t="shared" si="466"/>
        <v>31</v>
      </c>
      <c r="AF12308" s="831" t="s">
        <v>11275</v>
      </c>
      <c r="AG12308" s="831" t="s">
        <v>2674</v>
      </c>
      <c r="AH12308" s="831" t="s">
        <v>546</v>
      </c>
      <c r="AI12308" s="831">
        <v>0</v>
      </c>
      <c r="AJ12308" s="835">
        <v>41670</v>
      </c>
      <c r="AK12308" s="831">
        <v>635618516</v>
      </c>
    </row>
    <row r="12309" spans="2:37">
      <c r="B12309" s="834" t="str">
        <f t="shared" si="465"/>
        <v>|||</v>
      </c>
      <c r="H12309" s="835">
        <f t="shared" si="466"/>
        <v>31</v>
      </c>
      <c r="AF12309" s="831" t="s">
        <v>11276</v>
      </c>
      <c r="AG12309" s="831" t="s">
        <v>2674</v>
      </c>
      <c r="AH12309" s="831" t="s">
        <v>370</v>
      </c>
      <c r="AI12309" s="831">
        <v>0</v>
      </c>
      <c r="AJ12309" s="835">
        <v>41670</v>
      </c>
      <c r="AK12309" s="831">
        <v>777719977</v>
      </c>
    </row>
    <row r="12310" spans="2:37">
      <c r="B12310" s="834" t="str">
        <f t="shared" si="465"/>
        <v>|||</v>
      </c>
      <c r="H12310" s="835">
        <f t="shared" si="466"/>
        <v>31</v>
      </c>
      <c r="AF12310" s="831" t="s">
        <v>11277</v>
      </c>
      <c r="AG12310" s="831" t="s">
        <v>2674</v>
      </c>
      <c r="AH12310" s="831" t="s">
        <v>126</v>
      </c>
      <c r="AI12310" s="831">
        <v>0</v>
      </c>
      <c r="AJ12310" s="835">
        <v>41670</v>
      </c>
      <c r="AK12310" s="831">
        <v>117105496</v>
      </c>
    </row>
    <row r="12311" spans="2:37">
      <c r="B12311" s="834" t="str">
        <f t="shared" si="465"/>
        <v>|||</v>
      </c>
      <c r="H12311" s="835">
        <f t="shared" si="466"/>
        <v>31</v>
      </c>
      <c r="AF12311" s="831" t="s">
        <v>11278</v>
      </c>
      <c r="AG12311" s="831" t="s">
        <v>2674</v>
      </c>
      <c r="AH12311" s="831" t="s">
        <v>268</v>
      </c>
      <c r="AI12311" s="831">
        <v>0</v>
      </c>
      <c r="AJ12311" s="835">
        <v>41670</v>
      </c>
      <c r="AK12311" s="831">
        <v>3298821</v>
      </c>
    </row>
    <row r="12312" spans="2:37">
      <c r="B12312" s="834" t="str">
        <f t="shared" si="465"/>
        <v>|||</v>
      </c>
      <c r="H12312" s="835">
        <f t="shared" si="466"/>
        <v>31</v>
      </c>
      <c r="AF12312" s="831" t="s">
        <v>11279</v>
      </c>
      <c r="AG12312" s="831" t="s">
        <v>2674</v>
      </c>
      <c r="AH12312" s="831" t="s">
        <v>547</v>
      </c>
      <c r="AI12312" s="831">
        <v>0</v>
      </c>
      <c r="AJ12312" s="835">
        <v>41670</v>
      </c>
      <c r="AK12312" s="831">
        <v>777719977</v>
      </c>
    </row>
    <row r="12313" spans="2:37">
      <c r="B12313" s="834" t="str">
        <f t="shared" si="465"/>
        <v>|||</v>
      </c>
      <c r="H12313" s="835">
        <f t="shared" si="466"/>
        <v>31</v>
      </c>
      <c r="AF12313" s="831" t="s">
        <v>11280</v>
      </c>
      <c r="AG12313" s="831" t="s">
        <v>2674</v>
      </c>
      <c r="AH12313" s="831" t="s">
        <v>548</v>
      </c>
      <c r="AI12313" s="831">
        <v>0</v>
      </c>
      <c r="AJ12313" s="835">
        <v>41670</v>
      </c>
      <c r="AK12313" s="831">
        <v>117105496</v>
      </c>
    </row>
    <row r="12314" spans="2:37">
      <c r="B12314" s="834" t="str">
        <f t="shared" si="465"/>
        <v>|||</v>
      </c>
      <c r="H12314" s="835">
        <f t="shared" si="466"/>
        <v>31</v>
      </c>
      <c r="AF12314" s="831" t="s">
        <v>11281</v>
      </c>
      <c r="AG12314" s="831" t="s">
        <v>2674</v>
      </c>
      <c r="AH12314" s="831" t="s">
        <v>549</v>
      </c>
      <c r="AI12314" s="831">
        <v>0</v>
      </c>
      <c r="AJ12314" s="835">
        <v>41670</v>
      </c>
      <c r="AK12314" s="831">
        <v>421051783</v>
      </c>
    </row>
    <row r="12315" spans="2:37">
      <c r="B12315" s="834" t="str">
        <f t="shared" si="465"/>
        <v>|||</v>
      </c>
      <c r="H12315" s="835">
        <f t="shared" si="466"/>
        <v>31</v>
      </c>
      <c r="AF12315" s="831" t="s">
        <v>11282</v>
      </c>
      <c r="AG12315" s="831" t="s">
        <v>2674</v>
      </c>
      <c r="AH12315" s="831" t="s">
        <v>192</v>
      </c>
      <c r="AI12315" s="831">
        <v>0</v>
      </c>
      <c r="AJ12315" s="835">
        <v>41670</v>
      </c>
      <c r="AK12315" s="831">
        <v>-14010990</v>
      </c>
    </row>
    <row r="12316" spans="2:37">
      <c r="B12316" s="834" t="str">
        <f t="shared" si="465"/>
        <v>|||</v>
      </c>
      <c r="H12316" s="835">
        <f t="shared" si="466"/>
        <v>31</v>
      </c>
      <c r="AF12316" s="831" t="s">
        <v>11283</v>
      </c>
      <c r="AG12316" s="831" t="s">
        <v>2674</v>
      </c>
      <c r="AH12316" s="831" t="s">
        <v>558</v>
      </c>
      <c r="AI12316" s="831">
        <v>0</v>
      </c>
      <c r="AJ12316" s="835">
        <v>41670</v>
      </c>
      <c r="AK12316" s="831">
        <v>660614481.35800004</v>
      </c>
    </row>
    <row r="12317" spans="2:37">
      <c r="B12317" s="834" t="str">
        <f t="shared" si="465"/>
        <v>|||</v>
      </c>
      <c r="H12317" s="835">
        <f t="shared" si="466"/>
        <v>31</v>
      </c>
      <c r="AF12317" s="831" t="s">
        <v>11284</v>
      </c>
      <c r="AG12317" s="831" t="s">
        <v>2674</v>
      </c>
      <c r="AH12317" s="831" t="s">
        <v>65</v>
      </c>
      <c r="AI12317" s="831">
        <v>0</v>
      </c>
      <c r="AJ12317" s="835">
        <v>41670</v>
      </c>
      <c r="AK12317" s="831">
        <v>13268788</v>
      </c>
    </row>
    <row r="12318" spans="2:37">
      <c r="B12318" s="834" t="str">
        <f t="shared" si="465"/>
        <v>|||</v>
      </c>
      <c r="H12318" s="835">
        <f t="shared" si="466"/>
        <v>31</v>
      </c>
      <c r="AF12318" s="831" t="s">
        <v>11285</v>
      </c>
      <c r="AG12318" s="831" t="s">
        <v>2674</v>
      </c>
      <c r="AH12318" s="831" t="s">
        <v>89</v>
      </c>
      <c r="AI12318" s="831">
        <v>0</v>
      </c>
      <c r="AJ12318" s="835">
        <v>41670</v>
      </c>
      <c r="AK12318" s="831">
        <v>149103</v>
      </c>
    </row>
    <row r="12319" spans="2:37">
      <c r="B12319" s="834" t="str">
        <f t="shared" si="465"/>
        <v>|||</v>
      </c>
      <c r="H12319" s="835">
        <f t="shared" si="466"/>
        <v>31</v>
      </c>
      <c r="AF12319" s="831" t="s">
        <v>11286</v>
      </c>
      <c r="AG12319" s="831" t="s">
        <v>2674</v>
      </c>
      <c r="AH12319" s="831" t="s">
        <v>557</v>
      </c>
      <c r="AI12319" s="831">
        <v>0</v>
      </c>
      <c r="AJ12319" s="835">
        <v>41670</v>
      </c>
      <c r="AK12319" s="831">
        <v>162799</v>
      </c>
    </row>
    <row r="12320" spans="2:37">
      <c r="B12320" s="834" t="str">
        <f t="shared" si="465"/>
        <v>|||</v>
      </c>
      <c r="H12320" s="835">
        <f t="shared" si="466"/>
        <v>31</v>
      </c>
      <c r="AF12320" s="831" t="s">
        <v>11287</v>
      </c>
      <c r="AG12320" s="831" t="s">
        <v>2674</v>
      </c>
      <c r="AH12320" s="831" t="s">
        <v>29</v>
      </c>
      <c r="AI12320" s="831">
        <v>0</v>
      </c>
      <c r="AJ12320" s="835">
        <v>41670</v>
      </c>
      <c r="AK12320" s="831">
        <v>1994542.716</v>
      </c>
    </row>
    <row r="12321" spans="2:37">
      <c r="B12321" s="834" t="str">
        <f t="shared" si="465"/>
        <v>|||</v>
      </c>
      <c r="H12321" s="835">
        <f t="shared" si="466"/>
        <v>31</v>
      </c>
      <c r="AF12321" s="831" t="s">
        <v>11288</v>
      </c>
      <c r="AG12321" s="831" t="s">
        <v>2674</v>
      </c>
      <c r="AH12321" s="831" t="s">
        <v>2688</v>
      </c>
      <c r="AI12321" s="831">
        <v>0</v>
      </c>
      <c r="AJ12321" s="835">
        <v>41670</v>
      </c>
      <c r="AK12321" s="831">
        <v>3487768.05</v>
      </c>
    </row>
    <row r="12322" spans="2:37">
      <c r="B12322" s="834" t="str">
        <f t="shared" si="465"/>
        <v>|||</v>
      </c>
      <c r="H12322" s="835">
        <f t="shared" si="466"/>
        <v>31</v>
      </c>
      <c r="AF12322" s="831" t="s">
        <v>11289</v>
      </c>
      <c r="AG12322" s="831" t="s">
        <v>2674</v>
      </c>
      <c r="AH12322" s="831" t="s">
        <v>556</v>
      </c>
      <c r="AI12322" s="831">
        <v>0</v>
      </c>
      <c r="AJ12322" s="835">
        <v>41670</v>
      </c>
      <c r="AK12322" s="831">
        <v>1644732</v>
      </c>
    </row>
    <row r="12323" spans="2:37">
      <c r="B12323" s="834" t="str">
        <f t="shared" si="465"/>
        <v>|||</v>
      </c>
      <c r="H12323" s="835">
        <f t="shared" si="466"/>
        <v>31</v>
      </c>
      <c r="AF12323" s="831" t="s">
        <v>11290</v>
      </c>
      <c r="AG12323" s="831" t="s">
        <v>2674</v>
      </c>
      <c r="AH12323" s="831" t="s">
        <v>555</v>
      </c>
      <c r="AI12323" s="831">
        <v>0</v>
      </c>
      <c r="AJ12323" s="835">
        <v>41670</v>
      </c>
      <c r="AK12323" s="831">
        <v>421635600</v>
      </c>
    </row>
    <row r="12324" spans="2:37">
      <c r="B12324" s="834" t="str">
        <f t="shared" si="465"/>
        <v>|||</v>
      </c>
      <c r="H12324" s="835">
        <f t="shared" si="466"/>
        <v>31</v>
      </c>
      <c r="AF12324" s="831" t="s">
        <v>11291</v>
      </c>
      <c r="AG12324" s="831" t="s">
        <v>2674</v>
      </c>
      <c r="AH12324" s="831" t="s">
        <v>554</v>
      </c>
      <c r="AI12324" s="831">
        <v>0</v>
      </c>
      <c r="AJ12324" s="835">
        <v>41670</v>
      </c>
      <c r="AK12324" s="831">
        <v>432162250</v>
      </c>
    </row>
    <row r="12325" spans="2:37">
      <c r="B12325" s="834" t="str">
        <f t="shared" si="465"/>
        <v>|||</v>
      </c>
      <c r="H12325" s="835">
        <f t="shared" si="466"/>
        <v>31</v>
      </c>
      <c r="AF12325" s="831" t="s">
        <v>11292</v>
      </c>
      <c r="AG12325" s="831" t="s">
        <v>2674</v>
      </c>
      <c r="AH12325" s="831" t="s">
        <v>553</v>
      </c>
      <c r="AI12325" s="831">
        <v>0</v>
      </c>
      <c r="AJ12325" s="835">
        <v>41670</v>
      </c>
      <c r="AK12325" s="831">
        <v>0</v>
      </c>
    </row>
    <row r="12326" spans="2:37">
      <c r="B12326" s="834" t="str">
        <f t="shared" si="465"/>
        <v>|||</v>
      </c>
      <c r="H12326" s="835">
        <f t="shared" si="466"/>
        <v>31</v>
      </c>
      <c r="AF12326" s="831" t="s">
        <v>11293</v>
      </c>
      <c r="AG12326" s="831" t="s">
        <v>2674</v>
      </c>
      <c r="AH12326" s="831" t="s">
        <v>552</v>
      </c>
      <c r="AI12326" s="831">
        <v>0</v>
      </c>
      <c r="AJ12326" s="835">
        <v>41670</v>
      </c>
      <c r="AK12326" s="831">
        <v>0</v>
      </c>
    </row>
    <row r="12327" spans="2:37">
      <c r="B12327" s="834" t="str">
        <f t="shared" si="465"/>
        <v>|||</v>
      </c>
      <c r="H12327" s="835">
        <f t="shared" si="466"/>
        <v>31</v>
      </c>
      <c r="AF12327" s="831" t="s">
        <v>11294</v>
      </c>
      <c r="AG12327" s="831" t="s">
        <v>2674</v>
      </c>
      <c r="AH12327" s="831" t="s">
        <v>551</v>
      </c>
      <c r="AI12327" s="831">
        <v>0</v>
      </c>
      <c r="AJ12327" s="835">
        <v>41670</v>
      </c>
      <c r="AK12327" s="831">
        <v>1853357.048</v>
      </c>
    </row>
    <row r="12328" spans="2:37">
      <c r="B12328" s="834" t="str">
        <f t="shared" si="465"/>
        <v>|||</v>
      </c>
      <c r="H12328" s="835">
        <f t="shared" si="466"/>
        <v>31</v>
      </c>
      <c r="AF12328" s="831" t="s">
        <v>11295</v>
      </c>
      <c r="AG12328" s="831" t="s">
        <v>2674</v>
      </c>
      <c r="AH12328" s="831" t="s">
        <v>550</v>
      </c>
      <c r="AI12328" s="831">
        <v>0</v>
      </c>
      <c r="AJ12328" s="835">
        <v>41670</v>
      </c>
      <c r="AK12328" s="831">
        <v>114089765.91</v>
      </c>
    </row>
    <row r="12329" spans="2:37">
      <c r="B12329" s="834" t="str">
        <f t="shared" si="465"/>
        <v>|||</v>
      </c>
      <c r="H12329" s="835">
        <f t="shared" si="466"/>
        <v>31</v>
      </c>
      <c r="AF12329" s="831" t="s">
        <v>11296</v>
      </c>
      <c r="AG12329" s="831" t="s">
        <v>2674</v>
      </c>
      <c r="AH12329" s="831" t="s">
        <v>562</v>
      </c>
      <c r="AI12329" s="831">
        <v>0</v>
      </c>
      <c r="AJ12329" s="835">
        <v>41670</v>
      </c>
      <c r="AK12329" s="831">
        <v>0.78364999999999996</v>
      </c>
    </row>
    <row r="12330" spans="2:37">
      <c r="B12330" s="834" t="str">
        <f t="shared" si="465"/>
        <v>|||</v>
      </c>
      <c r="H12330" s="835">
        <f t="shared" si="466"/>
        <v>31</v>
      </c>
      <c r="AF12330" s="831" t="s">
        <v>11297</v>
      </c>
      <c r="AG12330" s="831" t="s">
        <v>2674</v>
      </c>
      <c r="AH12330" s="831" t="s">
        <v>2698</v>
      </c>
      <c r="AI12330" s="831">
        <v>0</v>
      </c>
      <c r="AJ12330" s="835">
        <v>41670</v>
      </c>
      <c r="AK12330" s="831">
        <v>0.78334999999999999</v>
      </c>
    </row>
    <row r="12331" spans="2:37">
      <c r="B12331" s="834" t="str">
        <f t="shared" si="465"/>
        <v>|||</v>
      </c>
      <c r="H12331" s="835">
        <f t="shared" si="466"/>
        <v>31</v>
      </c>
      <c r="AF12331" s="831" t="s">
        <v>11298</v>
      </c>
      <c r="AG12331" s="831" t="s">
        <v>2674</v>
      </c>
      <c r="AH12331" s="831" t="s">
        <v>560</v>
      </c>
      <c r="AI12331" s="831">
        <v>0</v>
      </c>
      <c r="AJ12331" s="835">
        <v>41670</v>
      </c>
      <c r="AK12331" s="831">
        <v>0.78364999999999996</v>
      </c>
    </row>
    <row r="12332" spans="2:37">
      <c r="B12332" s="834" t="str">
        <f t="shared" si="465"/>
        <v>|||</v>
      </c>
      <c r="H12332" s="835">
        <f t="shared" si="466"/>
        <v>31</v>
      </c>
      <c r="AF12332" s="831" t="s">
        <v>11299</v>
      </c>
      <c r="AG12332" s="831" t="s">
        <v>2674</v>
      </c>
      <c r="AH12332" s="831" t="s">
        <v>559</v>
      </c>
      <c r="AI12332" s="831">
        <v>0</v>
      </c>
      <c r="AJ12332" s="835">
        <v>41670</v>
      </c>
      <c r="AK12332" s="831">
        <v>0.78391666666666648</v>
      </c>
    </row>
    <row r="12333" spans="2:37">
      <c r="B12333" s="834" t="str">
        <f t="shared" si="465"/>
        <v>|||</v>
      </c>
      <c r="H12333" s="835">
        <f t="shared" si="466"/>
        <v>31</v>
      </c>
      <c r="AF12333" s="831" t="s">
        <v>11300</v>
      </c>
      <c r="AG12333" s="831" t="s">
        <v>2674</v>
      </c>
      <c r="AH12333" s="831" t="s">
        <v>568</v>
      </c>
      <c r="AI12333" s="831">
        <v>0</v>
      </c>
      <c r="AJ12333" s="835">
        <v>41670</v>
      </c>
      <c r="AK12333" s="831">
        <v>530633259.22692305</v>
      </c>
    </row>
    <row r="12334" spans="2:37">
      <c r="B12334" s="834" t="str">
        <f t="shared" si="465"/>
        <v>|||</v>
      </c>
      <c r="H12334" s="835">
        <f t="shared" si="466"/>
        <v>31</v>
      </c>
      <c r="AF12334" s="831" t="s">
        <v>11301</v>
      </c>
      <c r="AG12334" s="831" t="s">
        <v>2674</v>
      </c>
      <c r="AH12334" s="831" t="s">
        <v>569</v>
      </c>
      <c r="AI12334" s="831">
        <v>0</v>
      </c>
      <c r="AJ12334" s="835">
        <v>41670</v>
      </c>
      <c r="AK12334" s="831">
        <v>648384048.74253845</v>
      </c>
    </row>
    <row r="12335" spans="2:37">
      <c r="B12335" s="834" t="str">
        <f t="shared" si="465"/>
        <v>|||</v>
      </c>
      <c r="H12335" s="835">
        <f t="shared" si="466"/>
        <v>31</v>
      </c>
      <c r="AF12335" s="831" t="s">
        <v>11302</v>
      </c>
      <c r="AG12335" s="831" t="s">
        <v>2674</v>
      </c>
      <c r="AH12335" s="831" t="s">
        <v>570</v>
      </c>
      <c r="AI12335" s="831">
        <v>0</v>
      </c>
      <c r="AJ12335" s="835">
        <v>41670</v>
      </c>
      <c r="AK12335" s="831">
        <v>109988497.52046154</v>
      </c>
    </row>
    <row r="12336" spans="2:37">
      <c r="B12336" s="834" t="str">
        <f t="shared" si="465"/>
        <v>|||</v>
      </c>
      <c r="H12336" s="835">
        <f t="shared" si="466"/>
        <v>31</v>
      </c>
      <c r="AF12336" s="831" t="s">
        <v>11303</v>
      </c>
      <c r="AG12336" s="831" t="s">
        <v>2674</v>
      </c>
      <c r="AH12336" s="831" t="s">
        <v>571</v>
      </c>
      <c r="AI12336" s="831">
        <v>0</v>
      </c>
      <c r="AJ12336" s="835">
        <v>41670</v>
      </c>
      <c r="AK12336" s="831">
        <v>308674440.74407691</v>
      </c>
    </row>
    <row r="12337" spans="2:37">
      <c r="B12337" s="834" t="str">
        <f t="shared" si="465"/>
        <v>|||</v>
      </c>
      <c r="H12337" s="835">
        <f t="shared" si="466"/>
        <v>31</v>
      </c>
      <c r="AF12337" s="831" t="s">
        <v>11304</v>
      </c>
      <c r="AG12337" s="831" t="s">
        <v>2674</v>
      </c>
      <c r="AH12337" s="831" t="s">
        <v>573</v>
      </c>
      <c r="AI12337" s="831">
        <v>0</v>
      </c>
      <c r="AJ12337" s="835">
        <v>41670</v>
      </c>
      <c r="AK12337" s="831">
        <v>783617473.28149998</v>
      </c>
    </row>
    <row r="12338" spans="2:37">
      <c r="B12338" s="834" t="str">
        <f t="shared" si="465"/>
        <v>|||</v>
      </c>
      <c r="H12338" s="835">
        <f t="shared" si="466"/>
        <v>31</v>
      </c>
      <c r="AF12338" s="831" t="s">
        <v>11305</v>
      </c>
      <c r="AG12338" s="831" t="s">
        <v>2674</v>
      </c>
      <c r="AH12338" s="831" t="s">
        <v>574</v>
      </c>
      <c r="AI12338" s="831">
        <v>0</v>
      </c>
      <c r="AJ12338" s="835">
        <v>41670</v>
      </c>
      <c r="AK12338" s="831">
        <v>631746388</v>
      </c>
    </row>
    <row r="12339" spans="2:37">
      <c r="B12339" s="834" t="str">
        <f t="shared" si="465"/>
        <v>|||</v>
      </c>
      <c r="H12339" s="835">
        <f t="shared" si="466"/>
        <v>31</v>
      </c>
      <c r="AF12339" s="831" t="s">
        <v>11306</v>
      </c>
      <c r="AG12339" s="831" t="s">
        <v>2674</v>
      </c>
      <c r="AH12339" s="831" t="s">
        <v>575</v>
      </c>
      <c r="AI12339" s="831">
        <v>0</v>
      </c>
      <c r="AJ12339" s="835">
        <v>41670</v>
      </c>
      <c r="AK12339" s="831">
        <v>115597630.955</v>
      </c>
    </row>
    <row r="12340" spans="2:37">
      <c r="B12340" s="834" t="str">
        <f t="shared" si="465"/>
        <v>|||</v>
      </c>
      <c r="H12340" s="835">
        <f t="shared" si="466"/>
        <v>31</v>
      </c>
      <c r="AF12340" s="831" t="s">
        <v>11307</v>
      </c>
      <c r="AG12340" s="831" t="s">
        <v>2674</v>
      </c>
      <c r="AH12340" s="831" t="s">
        <v>576</v>
      </c>
      <c r="AI12340" s="831">
        <v>0</v>
      </c>
      <c r="AJ12340" s="835">
        <v>41670</v>
      </c>
      <c r="AK12340" s="831">
        <v>385049519.80550003</v>
      </c>
    </row>
    <row r="12341" spans="2:37">
      <c r="B12341" s="834" t="str">
        <f t="shared" si="465"/>
        <v>|||</v>
      </c>
      <c r="H12341" s="835">
        <f t="shared" si="466"/>
        <v>31</v>
      </c>
      <c r="AF12341" s="831" t="s">
        <v>11308</v>
      </c>
      <c r="AG12341" s="831" t="s">
        <v>2674</v>
      </c>
      <c r="AH12341" s="831" t="s">
        <v>572</v>
      </c>
      <c r="AI12341" s="831">
        <v>0</v>
      </c>
      <c r="AJ12341" s="835">
        <v>41670</v>
      </c>
      <c r="AK12341" s="831">
        <v>28355401.956000008</v>
      </c>
    </row>
    <row r="12342" spans="2:37">
      <c r="B12342" s="834" t="str">
        <f t="shared" si="465"/>
        <v>|||</v>
      </c>
      <c r="H12342" s="835">
        <f t="shared" si="466"/>
        <v>31</v>
      </c>
      <c r="AF12342" s="831" t="s">
        <v>11309</v>
      </c>
      <c r="AG12342" s="831" t="s">
        <v>2674</v>
      </c>
      <c r="AH12342" s="831" t="s">
        <v>577</v>
      </c>
      <c r="AI12342" s="831">
        <v>0</v>
      </c>
      <c r="AJ12342" s="835">
        <v>41670</v>
      </c>
      <c r="AK12342" s="831">
        <v>136649293.76300001</v>
      </c>
    </row>
    <row r="12343" spans="2:37">
      <c r="B12343" s="834" t="str">
        <f t="shared" si="465"/>
        <v>|||</v>
      </c>
      <c r="H12343" s="835">
        <f t="shared" si="466"/>
        <v>31</v>
      </c>
      <c r="AF12343" s="831" t="s">
        <v>11310</v>
      </c>
      <c r="AG12343" s="831" t="s">
        <v>2674</v>
      </c>
      <c r="AH12343" s="831" t="s">
        <v>3042</v>
      </c>
      <c r="AI12343" s="831">
        <v>0</v>
      </c>
      <c r="AJ12343" s="835">
        <v>41670</v>
      </c>
      <c r="AK12343" s="831">
        <v>-35903077.527000003</v>
      </c>
    </row>
    <row r="12344" spans="2:37">
      <c r="B12344" s="834" t="str">
        <f t="shared" si="465"/>
        <v>|||</v>
      </c>
      <c r="H12344" s="835">
        <f t="shared" si="466"/>
        <v>31</v>
      </c>
      <c r="AF12344" s="831" t="s">
        <v>11311</v>
      </c>
      <c r="AG12344" s="831" t="s">
        <v>2674</v>
      </c>
      <c r="AH12344" s="831" t="s">
        <v>3044</v>
      </c>
      <c r="AI12344" s="831">
        <v>0</v>
      </c>
      <c r="AJ12344" s="835">
        <v>41670</v>
      </c>
      <c r="AK12344" s="831">
        <v>-4357745.8899999997</v>
      </c>
    </row>
    <row r="12345" spans="2:37">
      <c r="B12345" s="834" t="str">
        <f t="shared" si="465"/>
        <v>|||</v>
      </c>
      <c r="H12345" s="835">
        <f t="shared" si="466"/>
        <v>31</v>
      </c>
      <c r="AF12345" s="831" t="s">
        <v>11312</v>
      </c>
      <c r="AG12345" s="831" t="s">
        <v>2674</v>
      </c>
      <c r="AH12345" s="831" t="s">
        <v>580</v>
      </c>
      <c r="AI12345" s="831">
        <v>0</v>
      </c>
      <c r="AJ12345" s="835">
        <v>41670</v>
      </c>
      <c r="AK12345" s="831">
        <v>-64979972.306999996</v>
      </c>
    </row>
    <row r="12346" spans="2:37">
      <c r="B12346" s="834" t="str">
        <f t="shared" si="465"/>
        <v>|||</v>
      </c>
      <c r="H12346" s="835">
        <f t="shared" si="466"/>
        <v>31</v>
      </c>
      <c r="AF12346" s="831" t="s">
        <v>11313</v>
      </c>
      <c r="AG12346" s="831" t="s">
        <v>2674</v>
      </c>
      <c r="AH12346" s="831" t="s">
        <v>581</v>
      </c>
      <c r="AI12346" s="831">
        <v>0</v>
      </c>
      <c r="AJ12346" s="835">
        <v>41670</v>
      </c>
      <c r="AK12346" s="831">
        <v>5221448.8940000003</v>
      </c>
    </row>
    <row r="12347" spans="2:37">
      <c r="B12347" s="834" t="str">
        <f t="shared" si="465"/>
        <v>|||</v>
      </c>
      <c r="H12347" s="835">
        <f t="shared" si="466"/>
        <v>31</v>
      </c>
      <c r="AF12347" s="831" t="s">
        <v>11314</v>
      </c>
      <c r="AG12347" s="831" t="s">
        <v>2674</v>
      </c>
      <c r="AH12347" s="831" t="s">
        <v>105</v>
      </c>
      <c r="AI12347" s="831">
        <v>0</v>
      </c>
      <c r="AJ12347" s="835">
        <v>41670</v>
      </c>
      <c r="AK12347" s="831">
        <v>378525192</v>
      </c>
    </row>
    <row r="12348" spans="2:37">
      <c r="B12348" s="834" t="str">
        <f t="shared" si="465"/>
        <v>|||</v>
      </c>
      <c r="H12348" s="835">
        <f t="shared" si="466"/>
        <v>31</v>
      </c>
      <c r="AF12348" s="831" t="s">
        <v>11315</v>
      </c>
      <c r="AG12348" s="831" t="s">
        <v>2674</v>
      </c>
      <c r="AH12348" s="831" t="s">
        <v>3049</v>
      </c>
      <c r="AI12348" s="831">
        <v>0</v>
      </c>
      <c r="AJ12348" s="835">
        <v>41670</v>
      </c>
      <c r="AK12348" s="831">
        <v>636021249.54999995</v>
      </c>
    </row>
    <row r="12349" spans="2:37">
      <c r="B12349" s="834" t="str">
        <f t="shared" si="465"/>
        <v>|||</v>
      </c>
      <c r="H12349" s="835">
        <f t="shared" si="466"/>
        <v>31</v>
      </c>
      <c r="AF12349" s="831" t="s">
        <v>11316</v>
      </c>
      <c r="AG12349" s="831" t="s">
        <v>2674</v>
      </c>
      <c r="AH12349" s="831" t="s">
        <v>103</v>
      </c>
      <c r="AI12349" s="831">
        <v>0</v>
      </c>
      <c r="AJ12349" s="835">
        <v>41670</v>
      </c>
      <c r="AK12349" s="831">
        <v>257496057.55000001</v>
      </c>
    </row>
    <row r="12350" spans="2:37">
      <c r="B12350" s="834" t="str">
        <f t="shared" si="465"/>
        <v>|||</v>
      </c>
      <c r="H12350" s="835">
        <f t="shared" si="466"/>
        <v>31</v>
      </c>
      <c r="AF12350" s="831" t="s">
        <v>11317</v>
      </c>
      <c r="AG12350" s="831" t="s">
        <v>2674</v>
      </c>
      <c r="AH12350" s="831" t="s">
        <v>182</v>
      </c>
      <c r="AI12350" s="831">
        <v>0</v>
      </c>
      <c r="AJ12350" s="835">
        <v>41670</v>
      </c>
      <c r="AK12350" s="831">
        <v>67679280</v>
      </c>
    </row>
    <row r="12351" spans="2:37">
      <c r="B12351" s="834" t="str">
        <f t="shared" si="465"/>
        <v>|||</v>
      </c>
      <c r="H12351" s="835">
        <f t="shared" si="466"/>
        <v>31</v>
      </c>
      <c r="AF12351" s="831" t="s">
        <v>11318</v>
      </c>
      <c r="AG12351" s="831" t="s">
        <v>2674</v>
      </c>
      <c r="AH12351" s="831" t="s">
        <v>6600</v>
      </c>
      <c r="AI12351" s="831">
        <v>0</v>
      </c>
      <c r="AJ12351" s="835">
        <v>41670</v>
      </c>
      <c r="AK12351" s="831">
        <v>28355401.956000008</v>
      </c>
    </row>
    <row r="12352" spans="2:37">
      <c r="B12352" s="834" t="str">
        <f t="shared" si="465"/>
        <v>|||</v>
      </c>
      <c r="H12352" s="835">
        <f t="shared" si="466"/>
        <v>31</v>
      </c>
      <c r="AF12352" s="831" t="s">
        <v>11319</v>
      </c>
      <c r="AG12352" s="831" t="s">
        <v>2674</v>
      </c>
      <c r="AH12352" s="831" t="s">
        <v>6602</v>
      </c>
      <c r="AI12352" s="831">
        <v>0</v>
      </c>
      <c r="AJ12352" s="835">
        <v>41670</v>
      </c>
      <c r="AK12352" s="831">
        <v>3298821</v>
      </c>
    </row>
    <row r="12353" spans="2:37">
      <c r="B12353" s="834" t="str">
        <f t="shared" si="465"/>
        <v>|||</v>
      </c>
      <c r="H12353" s="835">
        <f t="shared" si="466"/>
        <v>31</v>
      </c>
      <c r="AF12353" s="831" t="s">
        <v>11320</v>
      </c>
      <c r="AG12353" s="831" t="s">
        <v>2674</v>
      </c>
      <c r="AH12353" s="831" t="s">
        <v>650</v>
      </c>
      <c r="AI12353" s="831">
        <v>0</v>
      </c>
      <c r="AJ12353" s="835">
        <v>41670</v>
      </c>
      <c r="AK12353" s="831">
        <v>211999986.62300003</v>
      </c>
    </row>
    <row r="12354" spans="2:37">
      <c r="B12354" s="834" t="str">
        <f t="shared" si="465"/>
        <v>|||</v>
      </c>
      <c r="H12354" s="835">
        <f t="shared" si="466"/>
        <v>31</v>
      </c>
      <c r="AF12354" s="831" t="s">
        <v>11321</v>
      </c>
      <c r="AG12354" s="831" t="s">
        <v>2674</v>
      </c>
      <c r="AH12354" s="831" t="s">
        <v>655</v>
      </c>
      <c r="AI12354" s="831">
        <v>0</v>
      </c>
      <c r="AJ12354" s="835">
        <v>41670</v>
      </c>
      <c r="AK12354" s="831">
        <v>1732566.0729999999</v>
      </c>
    </row>
    <row r="12355" spans="2:37">
      <c r="B12355" s="834" t="str">
        <f t="shared" si="465"/>
        <v>|||</v>
      </c>
      <c r="H12355" s="835">
        <f t="shared" si="466"/>
        <v>31</v>
      </c>
      <c r="AF12355" s="831" t="s">
        <v>11322</v>
      </c>
      <c r="AG12355" s="831" t="s">
        <v>2674</v>
      </c>
      <c r="AH12355" s="831" t="s">
        <v>546</v>
      </c>
      <c r="AI12355" s="831">
        <v>0</v>
      </c>
      <c r="AJ12355" s="835">
        <v>41698</v>
      </c>
      <c r="AK12355" s="831">
        <v>652795035</v>
      </c>
    </row>
    <row r="12356" spans="2:37">
      <c r="B12356" s="834" t="str">
        <f t="shared" si="465"/>
        <v>|||</v>
      </c>
      <c r="H12356" s="835">
        <f t="shared" si="466"/>
        <v>31</v>
      </c>
      <c r="AF12356" s="831" t="s">
        <v>11323</v>
      </c>
      <c r="AG12356" s="831" t="s">
        <v>2674</v>
      </c>
      <c r="AH12356" s="831" t="s">
        <v>370</v>
      </c>
      <c r="AI12356" s="831">
        <v>0</v>
      </c>
      <c r="AJ12356" s="835">
        <v>41698</v>
      </c>
      <c r="AK12356" s="831">
        <v>794421636</v>
      </c>
    </row>
    <row r="12357" spans="2:37">
      <c r="B12357" s="834" t="str">
        <f t="shared" si="465"/>
        <v>|||</v>
      </c>
      <c r="H12357" s="835">
        <f t="shared" si="466"/>
        <v>31</v>
      </c>
      <c r="AF12357" s="831" t="s">
        <v>11324</v>
      </c>
      <c r="AG12357" s="831" t="s">
        <v>2674</v>
      </c>
      <c r="AH12357" s="831" t="s">
        <v>126</v>
      </c>
      <c r="AI12357" s="831">
        <v>0</v>
      </c>
      <c r="AJ12357" s="835">
        <v>41698</v>
      </c>
      <c r="AK12357" s="831">
        <v>120615628</v>
      </c>
    </row>
    <row r="12358" spans="2:37">
      <c r="B12358" s="834" t="str">
        <f t="shared" si="465"/>
        <v>|||</v>
      </c>
      <c r="H12358" s="835">
        <f t="shared" si="466"/>
        <v>31</v>
      </c>
      <c r="AF12358" s="831" t="s">
        <v>11325</v>
      </c>
      <c r="AG12358" s="831" t="s">
        <v>2674</v>
      </c>
      <c r="AH12358" s="831" t="s">
        <v>268</v>
      </c>
      <c r="AI12358" s="831">
        <v>0</v>
      </c>
      <c r="AJ12358" s="835">
        <v>41698</v>
      </c>
      <c r="AK12358" s="831">
        <v>7870295</v>
      </c>
    </row>
    <row r="12359" spans="2:37">
      <c r="B12359" s="834" t="str">
        <f t="shared" si="465"/>
        <v>|||</v>
      </c>
      <c r="H12359" s="835">
        <f t="shared" si="466"/>
        <v>31</v>
      </c>
      <c r="AF12359" s="831" t="s">
        <v>11326</v>
      </c>
      <c r="AG12359" s="831" t="s">
        <v>2674</v>
      </c>
      <c r="AH12359" s="831" t="s">
        <v>547</v>
      </c>
      <c r="AI12359" s="831">
        <v>0</v>
      </c>
      <c r="AJ12359" s="835">
        <v>41698</v>
      </c>
      <c r="AK12359" s="831">
        <v>777719977</v>
      </c>
    </row>
    <row r="12360" spans="2:37">
      <c r="B12360" s="834" t="str">
        <f t="shared" si="465"/>
        <v>|||</v>
      </c>
      <c r="H12360" s="835">
        <f t="shared" si="466"/>
        <v>31</v>
      </c>
      <c r="AF12360" s="831" t="s">
        <v>11327</v>
      </c>
      <c r="AG12360" s="831" t="s">
        <v>2674</v>
      </c>
      <c r="AH12360" s="831" t="s">
        <v>548</v>
      </c>
      <c r="AI12360" s="831">
        <v>0</v>
      </c>
      <c r="AJ12360" s="835">
        <v>41698</v>
      </c>
      <c r="AK12360" s="831">
        <v>117105496</v>
      </c>
    </row>
    <row r="12361" spans="2:37">
      <c r="B12361" s="834" t="str">
        <f t="shared" si="465"/>
        <v>|||</v>
      </c>
      <c r="H12361" s="835">
        <f t="shared" si="466"/>
        <v>31</v>
      </c>
      <c r="AF12361" s="831" t="s">
        <v>11328</v>
      </c>
      <c r="AG12361" s="831" t="s">
        <v>2674</v>
      </c>
      <c r="AH12361" s="831" t="s">
        <v>549</v>
      </c>
      <c r="AI12361" s="831">
        <v>0</v>
      </c>
      <c r="AJ12361" s="835">
        <v>41698</v>
      </c>
      <c r="AK12361" s="831">
        <v>436810603</v>
      </c>
    </row>
    <row r="12362" spans="2:37">
      <c r="B12362" s="834" t="str">
        <f t="shared" si="465"/>
        <v>|||</v>
      </c>
      <c r="H12362" s="835">
        <f t="shared" si="466"/>
        <v>31</v>
      </c>
      <c r="AF12362" s="831" t="s">
        <v>11329</v>
      </c>
      <c r="AG12362" s="831" t="s">
        <v>2674</v>
      </c>
      <c r="AH12362" s="831" t="s">
        <v>192</v>
      </c>
      <c r="AI12362" s="831">
        <v>0</v>
      </c>
      <c r="AJ12362" s="835">
        <v>41698</v>
      </c>
      <c r="AK12362" s="831">
        <v>-13506118</v>
      </c>
    </row>
    <row r="12363" spans="2:37">
      <c r="B12363" s="834" t="str">
        <f t="shared" si="465"/>
        <v>|||</v>
      </c>
      <c r="H12363" s="835">
        <f t="shared" si="466"/>
        <v>31</v>
      </c>
      <c r="AF12363" s="831" t="s">
        <v>11330</v>
      </c>
      <c r="AG12363" s="831" t="s">
        <v>2674</v>
      </c>
      <c r="AH12363" s="831" t="s">
        <v>558</v>
      </c>
      <c r="AI12363" s="831">
        <v>0</v>
      </c>
      <c r="AJ12363" s="835">
        <v>41698</v>
      </c>
      <c r="AK12363" s="831">
        <v>673806008.21000004</v>
      </c>
    </row>
    <row r="12364" spans="2:37">
      <c r="B12364" s="834" t="str">
        <f t="shared" si="465"/>
        <v>|||</v>
      </c>
      <c r="H12364" s="835">
        <f t="shared" si="466"/>
        <v>31</v>
      </c>
      <c r="AF12364" s="831" t="s">
        <v>11331</v>
      </c>
      <c r="AG12364" s="831" t="s">
        <v>2674</v>
      </c>
      <c r="AH12364" s="831" t="s">
        <v>65</v>
      </c>
      <c r="AI12364" s="831">
        <v>0</v>
      </c>
      <c r="AJ12364" s="835">
        <v>41698</v>
      </c>
      <c r="AK12364" s="831">
        <v>27696081</v>
      </c>
    </row>
    <row r="12365" spans="2:37">
      <c r="B12365" s="834" t="str">
        <f t="shared" si="465"/>
        <v>|||</v>
      </c>
      <c r="H12365" s="835">
        <f t="shared" si="466"/>
        <v>31</v>
      </c>
      <c r="AF12365" s="831" t="s">
        <v>11332</v>
      </c>
      <c r="AG12365" s="831" t="s">
        <v>2674</v>
      </c>
      <c r="AH12365" s="831" t="s">
        <v>89</v>
      </c>
      <c r="AI12365" s="831">
        <v>0</v>
      </c>
      <c r="AJ12365" s="835">
        <v>41698</v>
      </c>
      <c r="AK12365" s="831">
        <v>150328</v>
      </c>
    </row>
    <row r="12366" spans="2:37">
      <c r="B12366" s="834" t="str">
        <f t="shared" si="465"/>
        <v>|||</v>
      </c>
      <c r="H12366" s="835">
        <f t="shared" si="466"/>
        <v>31</v>
      </c>
      <c r="AF12366" s="831" t="s">
        <v>11333</v>
      </c>
      <c r="AG12366" s="831" t="s">
        <v>2674</v>
      </c>
      <c r="AH12366" s="831" t="s">
        <v>557</v>
      </c>
      <c r="AI12366" s="831">
        <v>0</v>
      </c>
      <c r="AJ12366" s="835">
        <v>41698</v>
      </c>
      <c r="AK12366" s="831">
        <v>165052</v>
      </c>
    </row>
    <row r="12367" spans="2:37">
      <c r="B12367" s="834" t="str">
        <f t="shared" si="465"/>
        <v>|||</v>
      </c>
      <c r="H12367" s="835">
        <f t="shared" si="466"/>
        <v>31</v>
      </c>
      <c r="AF12367" s="831" t="s">
        <v>11334</v>
      </c>
      <c r="AG12367" s="831" t="s">
        <v>2674</v>
      </c>
      <c r="AH12367" s="831" t="s">
        <v>29</v>
      </c>
      <c r="AI12367" s="831">
        <v>0</v>
      </c>
      <c r="AJ12367" s="835">
        <v>41698</v>
      </c>
      <c r="AK12367" s="831">
        <v>2075568.541</v>
      </c>
    </row>
    <row r="12368" spans="2:37">
      <c r="B12368" s="834" t="str">
        <f t="shared" si="465"/>
        <v>|||</v>
      </c>
      <c r="H12368" s="835">
        <f t="shared" si="466"/>
        <v>31</v>
      </c>
      <c r="AF12368" s="831" t="s">
        <v>11335</v>
      </c>
      <c r="AG12368" s="831" t="s">
        <v>2674</v>
      </c>
      <c r="AH12368" s="831" t="s">
        <v>2688</v>
      </c>
      <c r="AI12368" s="831">
        <v>0</v>
      </c>
      <c r="AJ12368" s="835">
        <v>41698</v>
      </c>
      <c r="AK12368" s="831">
        <v>4740340.3599999994</v>
      </c>
    </row>
    <row r="12369" spans="2:37">
      <c r="B12369" s="834" t="str">
        <f t="shared" ref="B12369:B12432" si="467">C12369&amp;"|"&amp;D12369&amp;"|"&amp;E12369&amp;"|"&amp;F12369</f>
        <v>|||</v>
      </c>
      <c r="H12369" s="835">
        <f t="shared" ref="H12369:H12432" si="468">EOMONTH(L12369,0)</f>
        <v>31</v>
      </c>
      <c r="AF12369" s="831" t="s">
        <v>11336</v>
      </c>
      <c r="AG12369" s="831" t="s">
        <v>2674</v>
      </c>
      <c r="AH12369" s="831" t="s">
        <v>556</v>
      </c>
      <c r="AI12369" s="831">
        <v>0</v>
      </c>
      <c r="AJ12369" s="835">
        <v>41698</v>
      </c>
      <c r="AK12369" s="831">
        <v>1644732</v>
      </c>
    </row>
    <row r="12370" spans="2:37">
      <c r="B12370" s="834" t="str">
        <f t="shared" si="467"/>
        <v>|||</v>
      </c>
      <c r="H12370" s="835">
        <f t="shared" si="468"/>
        <v>31</v>
      </c>
      <c r="AF12370" s="831" t="s">
        <v>11337</v>
      </c>
      <c r="AG12370" s="831" t="s">
        <v>2674</v>
      </c>
      <c r="AH12370" s="831" t="s">
        <v>555</v>
      </c>
      <c r="AI12370" s="831">
        <v>0</v>
      </c>
      <c r="AJ12370" s="835">
        <v>41698</v>
      </c>
      <c r="AK12370" s="831">
        <v>437465824</v>
      </c>
    </row>
    <row r="12371" spans="2:37">
      <c r="B12371" s="834" t="str">
        <f t="shared" si="467"/>
        <v>|||</v>
      </c>
      <c r="H12371" s="835">
        <f t="shared" si="468"/>
        <v>31</v>
      </c>
      <c r="AF12371" s="831" t="s">
        <v>11338</v>
      </c>
      <c r="AG12371" s="831" t="s">
        <v>2674</v>
      </c>
      <c r="AH12371" s="831" t="s">
        <v>554</v>
      </c>
      <c r="AI12371" s="831">
        <v>0</v>
      </c>
      <c r="AJ12371" s="835">
        <v>41698</v>
      </c>
      <c r="AK12371" s="831">
        <v>440045130</v>
      </c>
    </row>
    <row r="12372" spans="2:37">
      <c r="B12372" s="834" t="str">
        <f t="shared" si="467"/>
        <v>|||</v>
      </c>
      <c r="H12372" s="835">
        <f t="shared" si="468"/>
        <v>31</v>
      </c>
      <c r="AF12372" s="831" t="s">
        <v>11339</v>
      </c>
      <c r="AG12372" s="831" t="s">
        <v>2674</v>
      </c>
      <c r="AH12372" s="831" t="s">
        <v>553</v>
      </c>
      <c r="AI12372" s="831">
        <v>0</v>
      </c>
      <c r="AJ12372" s="835">
        <v>41698</v>
      </c>
      <c r="AK12372" s="831">
        <v>0</v>
      </c>
    </row>
    <row r="12373" spans="2:37">
      <c r="B12373" s="834" t="str">
        <f t="shared" si="467"/>
        <v>|||</v>
      </c>
      <c r="H12373" s="835">
        <f t="shared" si="468"/>
        <v>31</v>
      </c>
      <c r="AF12373" s="831" t="s">
        <v>11340</v>
      </c>
      <c r="AG12373" s="831" t="s">
        <v>2674</v>
      </c>
      <c r="AH12373" s="831" t="s">
        <v>552</v>
      </c>
      <c r="AI12373" s="831">
        <v>0</v>
      </c>
      <c r="AJ12373" s="835">
        <v>41698</v>
      </c>
      <c r="AK12373" s="831">
        <v>0</v>
      </c>
    </row>
    <row r="12374" spans="2:37">
      <c r="B12374" s="834" t="str">
        <f t="shared" si="467"/>
        <v>|||</v>
      </c>
      <c r="H12374" s="835">
        <f t="shared" si="468"/>
        <v>31</v>
      </c>
      <c r="AF12374" s="831" t="s">
        <v>11341</v>
      </c>
      <c r="AG12374" s="831" t="s">
        <v>2674</v>
      </c>
      <c r="AH12374" s="831" t="s">
        <v>551</v>
      </c>
      <c r="AI12374" s="831">
        <v>0</v>
      </c>
      <c r="AJ12374" s="835">
        <v>41698</v>
      </c>
      <c r="AK12374" s="831">
        <v>1790155.7879999999</v>
      </c>
    </row>
    <row r="12375" spans="2:37">
      <c r="B12375" s="834" t="str">
        <f t="shared" si="467"/>
        <v>|||</v>
      </c>
      <c r="H12375" s="835">
        <f t="shared" si="468"/>
        <v>31</v>
      </c>
      <c r="AF12375" s="831" t="s">
        <v>11342</v>
      </c>
      <c r="AG12375" s="831" t="s">
        <v>2674</v>
      </c>
      <c r="AH12375" s="831" t="s">
        <v>550</v>
      </c>
      <c r="AI12375" s="831">
        <v>0</v>
      </c>
      <c r="AJ12375" s="835">
        <v>41698</v>
      </c>
      <c r="AK12375" s="831">
        <v>117105496</v>
      </c>
    </row>
    <row r="12376" spans="2:37">
      <c r="B12376" s="834" t="str">
        <f t="shared" si="467"/>
        <v>|||</v>
      </c>
      <c r="H12376" s="835">
        <f t="shared" si="468"/>
        <v>31</v>
      </c>
      <c r="AF12376" s="831" t="s">
        <v>11343</v>
      </c>
      <c r="AG12376" s="831" t="s">
        <v>2674</v>
      </c>
      <c r="AH12376" s="831" t="s">
        <v>562</v>
      </c>
      <c r="AI12376" s="831">
        <v>0</v>
      </c>
      <c r="AJ12376" s="835">
        <v>41698</v>
      </c>
      <c r="AK12376" s="831">
        <v>0.78385000000000005</v>
      </c>
    </row>
    <row r="12377" spans="2:37">
      <c r="B12377" s="834" t="str">
        <f t="shared" si="467"/>
        <v>|||</v>
      </c>
      <c r="H12377" s="835">
        <f t="shared" si="468"/>
        <v>31</v>
      </c>
      <c r="AF12377" s="831" t="s">
        <v>11344</v>
      </c>
      <c r="AG12377" s="831" t="s">
        <v>2674</v>
      </c>
      <c r="AH12377" s="831" t="s">
        <v>2698</v>
      </c>
      <c r="AI12377" s="831">
        <v>0</v>
      </c>
      <c r="AJ12377" s="835">
        <v>41698</v>
      </c>
      <c r="AK12377" s="831">
        <v>0.78364999999999996</v>
      </c>
    </row>
    <row r="12378" spans="2:37">
      <c r="B12378" s="834" t="str">
        <f t="shared" si="467"/>
        <v>|||</v>
      </c>
      <c r="H12378" s="835">
        <f t="shared" si="468"/>
        <v>31</v>
      </c>
      <c r="AF12378" s="831" t="s">
        <v>11345</v>
      </c>
      <c r="AG12378" s="831" t="s">
        <v>2674</v>
      </c>
      <c r="AH12378" s="831" t="s">
        <v>560</v>
      </c>
      <c r="AI12378" s="831">
        <v>0</v>
      </c>
      <c r="AJ12378" s="835">
        <v>41698</v>
      </c>
      <c r="AK12378" s="831">
        <v>0.78374999999999995</v>
      </c>
    </row>
    <row r="12379" spans="2:37">
      <c r="B12379" s="834" t="str">
        <f t="shared" si="467"/>
        <v>|||</v>
      </c>
      <c r="H12379" s="835">
        <f t="shared" si="468"/>
        <v>31</v>
      </c>
      <c r="AF12379" s="831" t="s">
        <v>11346</v>
      </c>
      <c r="AG12379" s="831" t="s">
        <v>2674</v>
      </c>
      <c r="AH12379" s="831" t="s">
        <v>559</v>
      </c>
      <c r="AI12379" s="831">
        <v>0</v>
      </c>
      <c r="AJ12379" s="835">
        <v>41698</v>
      </c>
      <c r="AK12379" s="831">
        <v>0.7838750000000001</v>
      </c>
    </row>
    <row r="12380" spans="2:37">
      <c r="B12380" s="834" t="str">
        <f t="shared" si="467"/>
        <v>|||</v>
      </c>
      <c r="H12380" s="835">
        <f t="shared" si="468"/>
        <v>31</v>
      </c>
      <c r="AF12380" s="831" t="s">
        <v>11347</v>
      </c>
      <c r="AG12380" s="831" t="s">
        <v>2674</v>
      </c>
      <c r="AH12380" s="831" t="s">
        <v>568</v>
      </c>
      <c r="AI12380" s="831">
        <v>0</v>
      </c>
      <c r="AJ12380" s="835">
        <v>41698</v>
      </c>
      <c r="AK12380" s="831">
        <v>548459663.22692311</v>
      </c>
    </row>
    <row r="12381" spans="2:37">
      <c r="B12381" s="834" t="str">
        <f t="shared" si="467"/>
        <v>|||</v>
      </c>
      <c r="H12381" s="835">
        <f t="shared" si="468"/>
        <v>31</v>
      </c>
      <c r="AF12381" s="831" t="s">
        <v>11348</v>
      </c>
      <c r="AG12381" s="831" t="s">
        <v>2674</v>
      </c>
      <c r="AH12381" s="831" t="s">
        <v>569</v>
      </c>
      <c r="AI12381" s="831">
        <v>0</v>
      </c>
      <c r="AJ12381" s="835">
        <v>41698</v>
      </c>
      <c r="AK12381" s="831">
        <v>670148193.05023074</v>
      </c>
    </row>
    <row r="12382" spans="2:37">
      <c r="B12382" s="834" t="str">
        <f t="shared" si="467"/>
        <v>|||</v>
      </c>
      <c r="H12382" s="835">
        <f t="shared" si="468"/>
        <v>31</v>
      </c>
      <c r="AF12382" s="831" t="s">
        <v>11349</v>
      </c>
      <c r="AG12382" s="831" t="s">
        <v>2674</v>
      </c>
      <c r="AH12382" s="831" t="s">
        <v>570</v>
      </c>
      <c r="AI12382" s="831">
        <v>0</v>
      </c>
      <c r="AJ12382" s="835">
        <v>41698</v>
      </c>
      <c r="AK12382" s="831">
        <v>111814070.13584615</v>
      </c>
    </row>
    <row r="12383" spans="2:37">
      <c r="B12383" s="834" t="str">
        <f t="shared" si="467"/>
        <v>|||</v>
      </c>
      <c r="H12383" s="835">
        <f t="shared" si="468"/>
        <v>31</v>
      </c>
      <c r="AF12383" s="831" t="s">
        <v>11350</v>
      </c>
      <c r="AG12383" s="831" t="s">
        <v>2674</v>
      </c>
      <c r="AH12383" s="831" t="s">
        <v>571</v>
      </c>
      <c r="AI12383" s="831">
        <v>0</v>
      </c>
      <c r="AJ12383" s="835">
        <v>41698</v>
      </c>
      <c r="AK12383" s="831">
        <v>320628110.0517692</v>
      </c>
    </row>
    <row r="12384" spans="2:37">
      <c r="B12384" s="834" t="str">
        <f t="shared" si="467"/>
        <v>|||</v>
      </c>
      <c r="H12384" s="835">
        <f t="shared" si="468"/>
        <v>31</v>
      </c>
      <c r="AF12384" s="831" t="s">
        <v>11351</v>
      </c>
      <c r="AG12384" s="831" t="s">
        <v>2674</v>
      </c>
      <c r="AH12384" s="831" t="s">
        <v>573</v>
      </c>
      <c r="AI12384" s="831">
        <v>0</v>
      </c>
      <c r="AJ12384" s="835">
        <v>41698</v>
      </c>
      <c r="AK12384" s="831">
        <v>787218860.85433328</v>
      </c>
    </row>
    <row r="12385" spans="2:37">
      <c r="B12385" s="834" t="str">
        <f t="shared" si="467"/>
        <v>|||</v>
      </c>
      <c r="H12385" s="835">
        <f t="shared" si="468"/>
        <v>31</v>
      </c>
      <c r="AF12385" s="831" t="s">
        <v>11352</v>
      </c>
      <c r="AG12385" s="831" t="s">
        <v>2674</v>
      </c>
      <c r="AH12385" s="831" t="s">
        <v>574</v>
      </c>
      <c r="AI12385" s="831">
        <v>0</v>
      </c>
      <c r="AJ12385" s="835">
        <v>41698</v>
      </c>
      <c r="AK12385" s="831">
        <v>638762603.66666663</v>
      </c>
    </row>
    <row r="12386" spans="2:37">
      <c r="B12386" s="834" t="str">
        <f t="shared" si="467"/>
        <v>|||</v>
      </c>
      <c r="H12386" s="835">
        <f t="shared" si="468"/>
        <v>31</v>
      </c>
      <c r="AF12386" s="831" t="s">
        <v>11353</v>
      </c>
      <c r="AG12386" s="831" t="s">
        <v>2674</v>
      </c>
      <c r="AH12386" s="831" t="s">
        <v>575</v>
      </c>
      <c r="AI12386" s="831">
        <v>0</v>
      </c>
      <c r="AJ12386" s="835">
        <v>41698</v>
      </c>
      <c r="AK12386" s="831">
        <v>117270296.63666666</v>
      </c>
    </row>
    <row r="12387" spans="2:37">
      <c r="B12387" s="834" t="str">
        <f t="shared" si="467"/>
        <v>|||</v>
      </c>
      <c r="H12387" s="835">
        <f t="shared" si="468"/>
        <v>31</v>
      </c>
      <c r="AF12387" s="831" t="s">
        <v>11354</v>
      </c>
      <c r="AG12387" s="831" t="s">
        <v>2674</v>
      </c>
      <c r="AH12387" s="831" t="s">
        <v>576</v>
      </c>
      <c r="AI12387" s="831">
        <v>0</v>
      </c>
      <c r="AJ12387" s="835">
        <v>41698</v>
      </c>
      <c r="AK12387" s="831">
        <v>385067117.20366669</v>
      </c>
    </row>
    <row r="12388" spans="2:37">
      <c r="B12388" s="834" t="str">
        <f t="shared" si="467"/>
        <v>|||</v>
      </c>
      <c r="H12388" s="835">
        <f t="shared" si="468"/>
        <v>31</v>
      </c>
      <c r="AF12388" s="831" t="s">
        <v>11355</v>
      </c>
      <c r="AG12388" s="831" t="s">
        <v>2674</v>
      </c>
      <c r="AH12388" s="831" t="s">
        <v>572</v>
      </c>
      <c r="AI12388" s="831">
        <v>0</v>
      </c>
      <c r="AJ12388" s="835">
        <v>41698</v>
      </c>
      <c r="AK12388" s="831">
        <v>31228952.956000008</v>
      </c>
    </row>
    <row r="12389" spans="2:37">
      <c r="B12389" s="834" t="str">
        <f t="shared" si="467"/>
        <v>|||</v>
      </c>
      <c r="H12389" s="835">
        <f t="shared" si="468"/>
        <v>31</v>
      </c>
      <c r="AF12389" s="831" t="s">
        <v>11356</v>
      </c>
      <c r="AG12389" s="831" t="s">
        <v>2674</v>
      </c>
      <c r="AH12389" s="831" t="s">
        <v>577</v>
      </c>
      <c r="AI12389" s="831">
        <v>0</v>
      </c>
      <c r="AJ12389" s="835">
        <v>41698</v>
      </c>
      <c r="AK12389" s="831">
        <v>141567221.76300001</v>
      </c>
    </row>
    <row r="12390" spans="2:37">
      <c r="B12390" s="834" t="str">
        <f t="shared" si="467"/>
        <v>|||</v>
      </c>
      <c r="H12390" s="835">
        <f t="shared" si="468"/>
        <v>31</v>
      </c>
      <c r="AF12390" s="831" t="s">
        <v>11357</v>
      </c>
      <c r="AG12390" s="831" t="s">
        <v>2674</v>
      </c>
      <c r="AH12390" s="831" t="s">
        <v>3042</v>
      </c>
      <c r="AI12390" s="831">
        <v>0</v>
      </c>
      <c r="AJ12390" s="835">
        <v>41698</v>
      </c>
      <c r="AK12390" s="831">
        <v>-37210157.527000003</v>
      </c>
    </row>
    <row r="12391" spans="2:37">
      <c r="B12391" s="834" t="str">
        <f t="shared" si="467"/>
        <v>|||</v>
      </c>
      <c r="H12391" s="835">
        <f t="shared" si="468"/>
        <v>31</v>
      </c>
      <c r="AF12391" s="831" t="s">
        <v>11358</v>
      </c>
      <c r="AG12391" s="831" t="s">
        <v>2674</v>
      </c>
      <c r="AH12391" s="831" t="s">
        <v>3044</v>
      </c>
      <c r="AI12391" s="831">
        <v>0</v>
      </c>
      <c r="AJ12391" s="835">
        <v>41698</v>
      </c>
      <c r="AK12391" s="831">
        <v>-3847935.8899999997</v>
      </c>
    </row>
    <row r="12392" spans="2:37">
      <c r="B12392" s="834" t="str">
        <f t="shared" si="467"/>
        <v>|||</v>
      </c>
      <c r="H12392" s="835">
        <f t="shared" si="468"/>
        <v>31</v>
      </c>
      <c r="AF12392" s="831" t="s">
        <v>11359</v>
      </c>
      <c r="AG12392" s="831" t="s">
        <v>2674</v>
      </c>
      <c r="AH12392" s="831" t="s">
        <v>580</v>
      </c>
      <c r="AI12392" s="831">
        <v>0</v>
      </c>
      <c r="AJ12392" s="835">
        <v>41698</v>
      </c>
      <c r="AK12392" s="831">
        <v>-65813930.306999996</v>
      </c>
    </row>
    <row r="12393" spans="2:37">
      <c r="B12393" s="834" t="str">
        <f t="shared" si="467"/>
        <v>|||</v>
      </c>
      <c r="H12393" s="835">
        <f t="shared" si="468"/>
        <v>31</v>
      </c>
      <c r="AF12393" s="831" t="s">
        <v>11360</v>
      </c>
      <c r="AG12393" s="831" t="s">
        <v>2674</v>
      </c>
      <c r="AH12393" s="831" t="s">
        <v>581</v>
      </c>
      <c r="AI12393" s="831">
        <v>0</v>
      </c>
      <c r="AJ12393" s="835">
        <v>41698</v>
      </c>
      <c r="AK12393" s="831">
        <v>5417725.8940000003</v>
      </c>
    </row>
    <row r="12394" spans="2:37">
      <c r="B12394" s="834" t="str">
        <f t="shared" si="467"/>
        <v>|||</v>
      </c>
      <c r="H12394" s="835">
        <f t="shared" si="468"/>
        <v>31</v>
      </c>
      <c r="AF12394" s="831" t="s">
        <v>11361</v>
      </c>
      <c r="AG12394" s="831" t="s">
        <v>2674</v>
      </c>
      <c r="AH12394" s="831" t="s">
        <v>105</v>
      </c>
      <c r="AI12394" s="831">
        <v>0</v>
      </c>
      <c r="AJ12394" s="835">
        <v>41698</v>
      </c>
      <c r="AK12394" s="831">
        <v>385102312</v>
      </c>
    </row>
    <row r="12395" spans="2:37">
      <c r="B12395" s="834" t="str">
        <f t="shared" si="467"/>
        <v>|||</v>
      </c>
      <c r="H12395" s="835">
        <f t="shared" si="468"/>
        <v>31</v>
      </c>
      <c r="AF12395" s="831" t="s">
        <v>11362</v>
      </c>
      <c r="AG12395" s="831" t="s">
        <v>2674</v>
      </c>
      <c r="AH12395" s="831" t="s">
        <v>3049</v>
      </c>
      <c r="AI12395" s="831">
        <v>0</v>
      </c>
      <c r="AJ12395" s="835">
        <v>41698</v>
      </c>
      <c r="AK12395" s="831">
        <v>650688857.41999996</v>
      </c>
    </row>
    <row r="12396" spans="2:37">
      <c r="B12396" s="834" t="str">
        <f t="shared" si="467"/>
        <v>|||</v>
      </c>
      <c r="H12396" s="835">
        <f t="shared" si="468"/>
        <v>31</v>
      </c>
      <c r="AF12396" s="831" t="s">
        <v>11363</v>
      </c>
      <c r="AG12396" s="831" t="s">
        <v>2674</v>
      </c>
      <c r="AH12396" s="831" t="s">
        <v>103</v>
      </c>
      <c r="AI12396" s="831">
        <v>0</v>
      </c>
      <c r="AJ12396" s="835">
        <v>41698</v>
      </c>
      <c r="AK12396" s="831">
        <v>265586545.41999999</v>
      </c>
    </row>
    <row r="12397" spans="2:37">
      <c r="B12397" s="834" t="str">
        <f t="shared" si="467"/>
        <v>|||</v>
      </c>
      <c r="H12397" s="835">
        <f t="shared" si="468"/>
        <v>31</v>
      </c>
      <c r="AF12397" s="831" t="s">
        <v>11364</v>
      </c>
      <c r="AG12397" s="831" t="s">
        <v>2674</v>
      </c>
      <c r="AH12397" s="831" t="s">
        <v>182</v>
      </c>
      <c r="AI12397" s="831">
        <v>0</v>
      </c>
      <c r="AJ12397" s="835">
        <v>41698</v>
      </c>
      <c r="AK12397" s="831">
        <v>65878782</v>
      </c>
    </row>
    <row r="12398" spans="2:37">
      <c r="B12398" s="834" t="str">
        <f t="shared" si="467"/>
        <v>|||</v>
      </c>
      <c r="H12398" s="835">
        <f t="shared" si="468"/>
        <v>31</v>
      </c>
      <c r="AF12398" s="831" t="s">
        <v>11365</v>
      </c>
      <c r="AG12398" s="831" t="s">
        <v>2674</v>
      </c>
      <c r="AH12398" s="831" t="s">
        <v>6600</v>
      </c>
      <c r="AI12398" s="831">
        <v>0</v>
      </c>
      <c r="AJ12398" s="835">
        <v>41698</v>
      </c>
      <c r="AK12398" s="831">
        <v>31228952.956000008</v>
      </c>
    </row>
    <row r="12399" spans="2:37">
      <c r="B12399" s="834" t="str">
        <f t="shared" si="467"/>
        <v>|||</v>
      </c>
      <c r="H12399" s="835">
        <f t="shared" si="468"/>
        <v>31</v>
      </c>
      <c r="AF12399" s="831" t="s">
        <v>11366</v>
      </c>
      <c r="AG12399" s="831" t="s">
        <v>2674</v>
      </c>
      <c r="AH12399" s="831" t="s">
        <v>6602</v>
      </c>
      <c r="AI12399" s="831">
        <v>0</v>
      </c>
      <c r="AJ12399" s="835">
        <v>41698</v>
      </c>
      <c r="AK12399" s="831">
        <v>7870295</v>
      </c>
    </row>
    <row r="12400" spans="2:37">
      <c r="B12400" s="834" t="str">
        <f t="shared" si="467"/>
        <v>|||</v>
      </c>
      <c r="H12400" s="835">
        <f t="shared" si="468"/>
        <v>31</v>
      </c>
      <c r="AF12400" s="831" t="s">
        <v>11367</v>
      </c>
      <c r="AG12400" s="831" t="s">
        <v>2674</v>
      </c>
      <c r="AH12400" s="831" t="s">
        <v>650</v>
      </c>
      <c r="AI12400" s="831">
        <v>0</v>
      </c>
      <c r="AJ12400" s="835">
        <v>41698</v>
      </c>
      <c r="AK12400" s="831">
        <v>219285486.1168462</v>
      </c>
    </row>
    <row r="12401" spans="2:37">
      <c r="B12401" s="834" t="str">
        <f t="shared" si="467"/>
        <v>|||</v>
      </c>
      <c r="H12401" s="835">
        <f t="shared" si="468"/>
        <v>31</v>
      </c>
      <c r="AF12401" s="831" t="s">
        <v>11368</v>
      </c>
      <c r="AG12401" s="831" t="s">
        <v>2674</v>
      </c>
      <c r="AH12401" s="831" t="s">
        <v>655</v>
      </c>
      <c r="AI12401" s="831">
        <v>0</v>
      </c>
      <c r="AJ12401" s="835">
        <v>41698</v>
      </c>
      <c r="AK12401" s="831">
        <v>1640758.8330000001</v>
      </c>
    </row>
    <row r="12402" spans="2:37">
      <c r="B12402" s="834" t="str">
        <f t="shared" si="467"/>
        <v>|||</v>
      </c>
      <c r="H12402" s="835">
        <f t="shared" si="468"/>
        <v>31</v>
      </c>
      <c r="AF12402" s="831" t="s">
        <v>11369</v>
      </c>
      <c r="AG12402" s="831" t="s">
        <v>2674</v>
      </c>
      <c r="AH12402" s="831" t="s">
        <v>546</v>
      </c>
      <c r="AI12402" s="831">
        <v>0</v>
      </c>
      <c r="AJ12402" s="835">
        <v>41729</v>
      </c>
      <c r="AK12402" s="831">
        <v>664153787</v>
      </c>
    </row>
    <row r="12403" spans="2:37">
      <c r="B12403" s="834" t="str">
        <f t="shared" si="467"/>
        <v>|||</v>
      </c>
      <c r="H12403" s="835">
        <f t="shared" si="468"/>
        <v>31</v>
      </c>
      <c r="AF12403" s="831" t="s">
        <v>11370</v>
      </c>
      <c r="AG12403" s="831" t="s">
        <v>2674</v>
      </c>
      <c r="AH12403" s="831" t="s">
        <v>370</v>
      </c>
      <c r="AI12403" s="831">
        <v>0</v>
      </c>
      <c r="AJ12403" s="835">
        <v>41729</v>
      </c>
      <c r="AK12403" s="831">
        <v>834303183</v>
      </c>
    </row>
    <row r="12404" spans="2:37">
      <c r="B12404" s="834" t="str">
        <f t="shared" si="467"/>
        <v>|||</v>
      </c>
      <c r="H12404" s="835">
        <f t="shared" si="468"/>
        <v>31</v>
      </c>
      <c r="AF12404" s="831" t="s">
        <v>11371</v>
      </c>
      <c r="AG12404" s="831" t="s">
        <v>2674</v>
      </c>
      <c r="AH12404" s="831" t="s">
        <v>126</v>
      </c>
      <c r="AI12404" s="831">
        <v>0</v>
      </c>
      <c r="AJ12404" s="835">
        <v>41729</v>
      </c>
      <c r="AK12404" s="831">
        <v>124206790</v>
      </c>
    </row>
    <row r="12405" spans="2:37">
      <c r="B12405" s="834" t="str">
        <f t="shared" si="467"/>
        <v>|||</v>
      </c>
      <c r="H12405" s="835">
        <f t="shared" si="468"/>
        <v>31</v>
      </c>
      <c r="AF12405" s="831" t="s">
        <v>11372</v>
      </c>
      <c r="AG12405" s="831" t="s">
        <v>2674</v>
      </c>
      <c r="AH12405" s="831" t="s">
        <v>268</v>
      </c>
      <c r="AI12405" s="831">
        <v>0</v>
      </c>
      <c r="AJ12405" s="835">
        <v>41729</v>
      </c>
      <c r="AK12405" s="831">
        <v>8878765</v>
      </c>
    </row>
    <row r="12406" spans="2:37">
      <c r="B12406" s="834" t="str">
        <f t="shared" si="467"/>
        <v>|||</v>
      </c>
      <c r="H12406" s="835">
        <f t="shared" si="468"/>
        <v>31</v>
      </c>
      <c r="AF12406" s="831" t="s">
        <v>11373</v>
      </c>
      <c r="AG12406" s="831" t="s">
        <v>2674</v>
      </c>
      <c r="AH12406" s="831" t="s">
        <v>547</v>
      </c>
      <c r="AI12406" s="831">
        <v>0</v>
      </c>
      <c r="AJ12406" s="835">
        <v>41729</v>
      </c>
      <c r="AK12406" s="831">
        <v>777719977</v>
      </c>
    </row>
    <row r="12407" spans="2:37">
      <c r="B12407" s="834" t="str">
        <f t="shared" si="467"/>
        <v>|||</v>
      </c>
      <c r="H12407" s="835">
        <f t="shared" si="468"/>
        <v>31</v>
      </c>
      <c r="AF12407" s="831" t="s">
        <v>11374</v>
      </c>
      <c r="AG12407" s="831" t="s">
        <v>2674</v>
      </c>
      <c r="AH12407" s="831" t="s">
        <v>548</v>
      </c>
      <c r="AI12407" s="831">
        <v>0</v>
      </c>
      <c r="AJ12407" s="835">
        <v>41729</v>
      </c>
      <c r="AK12407" s="831">
        <v>117105496</v>
      </c>
    </row>
    <row r="12408" spans="2:37">
      <c r="B12408" s="834" t="str">
        <f t="shared" si="467"/>
        <v>|||</v>
      </c>
      <c r="H12408" s="835">
        <f t="shared" si="468"/>
        <v>31</v>
      </c>
      <c r="AF12408" s="831" t="s">
        <v>11375</v>
      </c>
      <c r="AG12408" s="831" t="s">
        <v>2674</v>
      </c>
      <c r="AH12408" s="831" t="s">
        <v>549</v>
      </c>
      <c r="AI12408" s="831">
        <v>0</v>
      </c>
      <c r="AJ12408" s="835">
        <v>41729</v>
      </c>
      <c r="AK12408" s="831">
        <v>455655641</v>
      </c>
    </row>
    <row r="12409" spans="2:37">
      <c r="B12409" s="834" t="str">
        <f t="shared" si="467"/>
        <v>|||</v>
      </c>
      <c r="H12409" s="835">
        <f t="shared" si="468"/>
        <v>31</v>
      </c>
      <c r="AF12409" s="831" t="s">
        <v>11376</v>
      </c>
      <c r="AG12409" s="831" t="s">
        <v>2674</v>
      </c>
      <c r="AH12409" s="831" t="s">
        <v>192</v>
      </c>
      <c r="AI12409" s="831">
        <v>0</v>
      </c>
      <c r="AJ12409" s="835">
        <v>41729</v>
      </c>
      <c r="AK12409" s="831">
        <v>-12498345</v>
      </c>
    </row>
    <row r="12410" spans="2:37">
      <c r="B12410" s="834" t="str">
        <f t="shared" si="467"/>
        <v>|||</v>
      </c>
      <c r="H12410" s="835">
        <f t="shared" si="468"/>
        <v>31</v>
      </c>
      <c r="AF12410" s="831" t="s">
        <v>11377</v>
      </c>
      <c r="AG12410" s="831" t="s">
        <v>2674</v>
      </c>
      <c r="AH12410" s="831" t="s">
        <v>558</v>
      </c>
      <c r="AI12410" s="831">
        <v>0</v>
      </c>
      <c r="AJ12410" s="835">
        <v>41729</v>
      </c>
      <c r="AK12410" s="831">
        <v>710096393</v>
      </c>
    </row>
    <row r="12411" spans="2:37">
      <c r="B12411" s="834" t="str">
        <f t="shared" si="467"/>
        <v>|||</v>
      </c>
      <c r="H12411" s="835">
        <f t="shared" si="468"/>
        <v>31</v>
      </c>
      <c r="AF12411" s="831" t="s">
        <v>11378</v>
      </c>
      <c r="AG12411" s="831" t="s">
        <v>2674</v>
      </c>
      <c r="AH12411" s="831" t="s">
        <v>65</v>
      </c>
      <c r="AI12411" s="831">
        <v>0</v>
      </c>
      <c r="AJ12411" s="835">
        <v>41729</v>
      </c>
      <c r="AK12411" s="831">
        <v>38451284</v>
      </c>
    </row>
    <row r="12412" spans="2:37">
      <c r="B12412" s="834" t="str">
        <f t="shared" si="467"/>
        <v>|||</v>
      </c>
      <c r="H12412" s="835">
        <f t="shared" si="468"/>
        <v>31</v>
      </c>
      <c r="AF12412" s="831" t="s">
        <v>11379</v>
      </c>
      <c r="AG12412" s="831" t="s">
        <v>2674</v>
      </c>
      <c r="AH12412" s="831" t="s">
        <v>89</v>
      </c>
      <c r="AI12412" s="831">
        <v>0</v>
      </c>
      <c r="AJ12412" s="835">
        <v>41729</v>
      </c>
      <c r="AK12412" s="831">
        <v>151606</v>
      </c>
    </row>
    <row r="12413" spans="2:37">
      <c r="B12413" s="834" t="str">
        <f t="shared" si="467"/>
        <v>|||</v>
      </c>
      <c r="H12413" s="835">
        <f t="shared" si="468"/>
        <v>31</v>
      </c>
      <c r="AF12413" s="831" t="s">
        <v>11380</v>
      </c>
      <c r="AG12413" s="831" t="s">
        <v>2674</v>
      </c>
      <c r="AH12413" s="831" t="s">
        <v>557</v>
      </c>
      <c r="AI12413" s="831">
        <v>0</v>
      </c>
      <c r="AJ12413" s="835">
        <v>41729</v>
      </c>
      <c r="AK12413" s="831">
        <v>167127</v>
      </c>
    </row>
    <row r="12414" spans="2:37">
      <c r="B12414" s="834" t="str">
        <f t="shared" si="467"/>
        <v>|||</v>
      </c>
      <c r="H12414" s="835">
        <f t="shared" si="468"/>
        <v>31</v>
      </c>
      <c r="AF12414" s="831" t="s">
        <v>11381</v>
      </c>
      <c r="AG12414" s="831" t="s">
        <v>2674</v>
      </c>
      <c r="AH12414" s="831" t="s">
        <v>29</v>
      </c>
      <c r="AI12414" s="831">
        <v>0</v>
      </c>
      <c r="AJ12414" s="835">
        <v>41729</v>
      </c>
      <c r="AK12414" s="831">
        <v>2189531.31</v>
      </c>
    </row>
    <row r="12415" spans="2:37">
      <c r="B12415" s="834" t="str">
        <f t="shared" si="467"/>
        <v>|||</v>
      </c>
      <c r="H12415" s="835">
        <f t="shared" si="468"/>
        <v>31</v>
      </c>
      <c r="AF12415" s="831" t="s">
        <v>11382</v>
      </c>
      <c r="AG12415" s="831" t="s">
        <v>2674</v>
      </c>
      <c r="AH12415" s="831" t="s">
        <v>2688</v>
      </c>
      <c r="AI12415" s="831">
        <v>0</v>
      </c>
      <c r="AJ12415" s="835">
        <v>41729</v>
      </c>
      <c r="AK12415" s="831">
        <v>4729841</v>
      </c>
    </row>
    <row r="12416" spans="2:37">
      <c r="B12416" s="834" t="str">
        <f t="shared" si="467"/>
        <v>|||</v>
      </c>
      <c r="H12416" s="835">
        <f t="shared" si="468"/>
        <v>31</v>
      </c>
      <c r="AF12416" s="831" t="s">
        <v>11383</v>
      </c>
      <c r="AG12416" s="831" t="s">
        <v>2674</v>
      </c>
      <c r="AH12416" s="831" t="s">
        <v>556</v>
      </c>
      <c r="AI12416" s="831">
        <v>0</v>
      </c>
      <c r="AJ12416" s="835">
        <v>41729</v>
      </c>
      <c r="AK12416" s="831">
        <v>1644732</v>
      </c>
    </row>
    <row r="12417" spans="2:37">
      <c r="B12417" s="834" t="str">
        <f t="shared" si="467"/>
        <v>|||</v>
      </c>
      <c r="H12417" s="835">
        <f t="shared" si="468"/>
        <v>31</v>
      </c>
      <c r="AF12417" s="831" t="s">
        <v>11384</v>
      </c>
      <c r="AG12417" s="831" t="s">
        <v>2674</v>
      </c>
      <c r="AH12417" s="831" t="s">
        <v>555</v>
      </c>
      <c r="AI12417" s="831">
        <v>0</v>
      </c>
      <c r="AJ12417" s="835">
        <v>41729</v>
      </c>
      <c r="AK12417" s="831">
        <v>466790280</v>
      </c>
    </row>
    <row r="12418" spans="2:37">
      <c r="B12418" s="834" t="str">
        <f t="shared" si="467"/>
        <v>|||</v>
      </c>
      <c r="H12418" s="835">
        <f t="shared" si="468"/>
        <v>31</v>
      </c>
      <c r="AF12418" s="831" t="s">
        <v>11385</v>
      </c>
      <c r="AG12418" s="831" t="s">
        <v>2674</v>
      </c>
      <c r="AH12418" s="831" t="s">
        <v>554</v>
      </c>
      <c r="AI12418" s="831">
        <v>0</v>
      </c>
      <c r="AJ12418" s="835">
        <v>41729</v>
      </c>
      <c r="AK12418" s="831">
        <v>476154670</v>
      </c>
    </row>
    <row r="12419" spans="2:37">
      <c r="B12419" s="834" t="str">
        <f t="shared" si="467"/>
        <v>|||</v>
      </c>
      <c r="H12419" s="835">
        <f t="shared" si="468"/>
        <v>31</v>
      </c>
      <c r="AF12419" s="831" t="s">
        <v>11386</v>
      </c>
      <c r="AG12419" s="831" t="s">
        <v>2674</v>
      </c>
      <c r="AH12419" s="831" t="s">
        <v>553</v>
      </c>
      <c r="AI12419" s="831">
        <v>0</v>
      </c>
      <c r="AJ12419" s="835">
        <v>41729</v>
      </c>
      <c r="AK12419" s="831">
        <v>0</v>
      </c>
    </row>
    <row r="12420" spans="2:37">
      <c r="B12420" s="834" t="str">
        <f t="shared" si="467"/>
        <v>|||</v>
      </c>
      <c r="H12420" s="835">
        <f t="shared" si="468"/>
        <v>31</v>
      </c>
      <c r="AF12420" s="831" t="s">
        <v>11387</v>
      </c>
      <c r="AG12420" s="831" t="s">
        <v>2674</v>
      </c>
      <c r="AH12420" s="831" t="s">
        <v>552</v>
      </c>
      <c r="AI12420" s="831">
        <v>0</v>
      </c>
      <c r="AJ12420" s="835">
        <v>41729</v>
      </c>
      <c r="AK12420" s="831">
        <v>0</v>
      </c>
    </row>
    <row r="12421" spans="2:37">
      <c r="B12421" s="834" t="str">
        <f t="shared" si="467"/>
        <v>|||</v>
      </c>
      <c r="H12421" s="835">
        <f t="shared" si="468"/>
        <v>31</v>
      </c>
      <c r="AF12421" s="831" t="s">
        <v>11388</v>
      </c>
      <c r="AG12421" s="831" t="s">
        <v>2674</v>
      </c>
      <c r="AH12421" s="831" t="s">
        <v>551</v>
      </c>
      <c r="AI12421" s="831">
        <v>0</v>
      </c>
      <c r="AJ12421" s="835">
        <v>41729</v>
      </c>
      <c r="AK12421" s="831">
        <v>1979269.31</v>
      </c>
    </row>
    <row r="12422" spans="2:37">
      <c r="B12422" s="834" t="str">
        <f t="shared" si="467"/>
        <v>|||</v>
      </c>
      <c r="H12422" s="835">
        <f t="shared" si="468"/>
        <v>31</v>
      </c>
      <c r="AF12422" s="831" t="s">
        <v>11389</v>
      </c>
      <c r="AG12422" s="831" t="s">
        <v>2674</v>
      </c>
      <c r="AH12422" s="831" t="s">
        <v>550</v>
      </c>
      <c r="AI12422" s="831">
        <v>0</v>
      </c>
      <c r="AJ12422" s="835">
        <v>41729</v>
      </c>
      <c r="AK12422" s="831">
        <v>120615628</v>
      </c>
    </row>
    <row r="12423" spans="2:37">
      <c r="B12423" s="834" t="str">
        <f t="shared" si="467"/>
        <v>|||</v>
      </c>
      <c r="H12423" s="835">
        <f t="shared" si="468"/>
        <v>31</v>
      </c>
      <c r="AF12423" s="831" t="s">
        <v>11390</v>
      </c>
      <c r="AG12423" s="831" t="s">
        <v>2674</v>
      </c>
      <c r="AH12423" s="831" t="s">
        <v>562</v>
      </c>
      <c r="AI12423" s="831">
        <v>0</v>
      </c>
      <c r="AJ12423" s="835">
        <v>41729</v>
      </c>
      <c r="AK12423" s="831">
        <v>0.78374999999999995</v>
      </c>
    </row>
    <row r="12424" spans="2:37">
      <c r="B12424" s="834" t="str">
        <f t="shared" si="467"/>
        <v>|||</v>
      </c>
      <c r="H12424" s="835">
        <f t="shared" si="468"/>
        <v>31</v>
      </c>
      <c r="AF12424" s="831" t="s">
        <v>11391</v>
      </c>
      <c r="AG12424" s="831" t="s">
        <v>2674</v>
      </c>
      <c r="AH12424" s="831" t="s">
        <v>2698</v>
      </c>
      <c r="AI12424" s="831">
        <v>0</v>
      </c>
      <c r="AJ12424" s="835">
        <v>41729</v>
      </c>
      <c r="AK12424" s="831">
        <v>0.78385000000000005</v>
      </c>
    </row>
    <row r="12425" spans="2:37">
      <c r="B12425" s="834" t="str">
        <f t="shared" si="467"/>
        <v>|||</v>
      </c>
      <c r="H12425" s="835">
        <f t="shared" si="468"/>
        <v>31</v>
      </c>
      <c r="AF12425" s="831" t="s">
        <v>11392</v>
      </c>
      <c r="AG12425" s="831" t="s">
        <v>2674</v>
      </c>
      <c r="AH12425" s="831" t="s">
        <v>560</v>
      </c>
      <c r="AI12425" s="831">
        <v>0</v>
      </c>
      <c r="AJ12425" s="835">
        <v>41729</v>
      </c>
      <c r="AK12425" s="831">
        <v>0.78375000000000006</v>
      </c>
    </row>
    <row r="12426" spans="2:37">
      <c r="B12426" s="834" t="str">
        <f t="shared" si="467"/>
        <v>|||</v>
      </c>
      <c r="H12426" s="835">
        <f t="shared" si="468"/>
        <v>31</v>
      </c>
      <c r="AF12426" s="831" t="s">
        <v>11393</v>
      </c>
      <c r="AG12426" s="831" t="s">
        <v>2674</v>
      </c>
      <c r="AH12426" s="831" t="s">
        <v>559</v>
      </c>
      <c r="AI12426" s="831">
        <v>0</v>
      </c>
      <c r="AJ12426" s="835">
        <v>41729</v>
      </c>
      <c r="AK12426" s="831">
        <v>0.78383333333333338</v>
      </c>
    </row>
    <row r="12427" spans="2:37">
      <c r="B12427" s="834" t="str">
        <f t="shared" si="467"/>
        <v>|||</v>
      </c>
      <c r="H12427" s="835">
        <f t="shared" si="468"/>
        <v>31</v>
      </c>
      <c r="AF12427" s="831" t="s">
        <v>11394</v>
      </c>
      <c r="AG12427" s="831" t="s">
        <v>2674</v>
      </c>
      <c r="AH12427" s="831" t="s">
        <v>568</v>
      </c>
      <c r="AI12427" s="831">
        <v>0</v>
      </c>
      <c r="AJ12427" s="835">
        <v>41729</v>
      </c>
      <c r="AK12427" s="831">
        <v>565947600.45769227</v>
      </c>
    </row>
    <row r="12428" spans="2:37">
      <c r="B12428" s="834" t="str">
        <f t="shared" si="467"/>
        <v>|||</v>
      </c>
      <c r="H12428" s="835">
        <f t="shared" si="468"/>
        <v>31</v>
      </c>
      <c r="AF12428" s="831" t="s">
        <v>11395</v>
      </c>
      <c r="AG12428" s="831" t="s">
        <v>2674</v>
      </c>
      <c r="AH12428" s="831" t="s">
        <v>569</v>
      </c>
      <c r="AI12428" s="831">
        <v>0</v>
      </c>
      <c r="AJ12428" s="835">
        <v>41729</v>
      </c>
      <c r="AK12428" s="831">
        <v>694165655.12715387</v>
      </c>
    </row>
    <row r="12429" spans="2:37">
      <c r="B12429" s="834" t="str">
        <f t="shared" si="467"/>
        <v>|||</v>
      </c>
      <c r="H12429" s="835">
        <f t="shared" si="468"/>
        <v>31</v>
      </c>
      <c r="AF12429" s="831" t="s">
        <v>11396</v>
      </c>
      <c r="AG12429" s="831" t="s">
        <v>2674</v>
      </c>
      <c r="AH12429" s="831" t="s">
        <v>570</v>
      </c>
      <c r="AI12429" s="831">
        <v>0</v>
      </c>
      <c r="AJ12429" s="835">
        <v>41729</v>
      </c>
      <c r="AK12429" s="831">
        <v>113785276.52046154</v>
      </c>
    </row>
    <row r="12430" spans="2:37">
      <c r="B12430" s="834" t="str">
        <f t="shared" si="467"/>
        <v>|||</v>
      </c>
      <c r="H12430" s="835">
        <f t="shared" si="468"/>
        <v>31</v>
      </c>
      <c r="AF12430" s="831" t="s">
        <v>11397</v>
      </c>
      <c r="AG12430" s="831" t="s">
        <v>2674</v>
      </c>
      <c r="AH12430" s="831" t="s">
        <v>571</v>
      </c>
      <c r="AI12430" s="831">
        <v>0</v>
      </c>
      <c r="AJ12430" s="835">
        <v>41729</v>
      </c>
      <c r="AK12430" s="831">
        <v>334328550.28253847</v>
      </c>
    </row>
    <row r="12431" spans="2:37">
      <c r="B12431" s="834" t="str">
        <f t="shared" si="467"/>
        <v>|||</v>
      </c>
      <c r="H12431" s="835">
        <f t="shared" si="468"/>
        <v>31</v>
      </c>
      <c r="AF12431" s="831" t="s">
        <v>11398</v>
      </c>
      <c r="AG12431" s="831" t="s">
        <v>2674</v>
      </c>
      <c r="AH12431" s="831" t="s">
        <v>573</v>
      </c>
      <c r="AI12431" s="831">
        <v>0</v>
      </c>
      <c r="AJ12431" s="835">
        <v>41729</v>
      </c>
      <c r="AK12431" s="831">
        <v>798989941.39074993</v>
      </c>
    </row>
    <row r="12432" spans="2:37">
      <c r="B12432" s="834" t="str">
        <f t="shared" si="467"/>
        <v>|||</v>
      </c>
      <c r="H12432" s="835">
        <f t="shared" si="468"/>
        <v>31</v>
      </c>
      <c r="AF12432" s="831" t="s">
        <v>11399</v>
      </c>
      <c r="AG12432" s="831" t="s">
        <v>2674</v>
      </c>
      <c r="AH12432" s="831" t="s">
        <v>574</v>
      </c>
      <c r="AI12432" s="831">
        <v>0</v>
      </c>
      <c r="AJ12432" s="835">
        <v>41729</v>
      </c>
      <c r="AK12432" s="831">
        <v>645110399.5</v>
      </c>
    </row>
    <row r="12433" spans="2:37">
      <c r="B12433" s="834" t="str">
        <f t="shared" ref="B12433:B12496" si="469">C12433&amp;"|"&amp;D12433&amp;"|"&amp;E12433&amp;"|"&amp;F12433</f>
        <v>|||</v>
      </c>
      <c r="H12433" s="835">
        <f t="shared" ref="H12433:H12496" si="470">EOMONTH(L12433,0)</f>
        <v>31</v>
      </c>
      <c r="AF12433" s="831" t="s">
        <v>11400</v>
      </c>
      <c r="AG12433" s="831" t="s">
        <v>2674</v>
      </c>
      <c r="AH12433" s="831" t="s">
        <v>575</v>
      </c>
      <c r="AI12433" s="831">
        <v>0</v>
      </c>
      <c r="AJ12433" s="835">
        <v>41729</v>
      </c>
      <c r="AK12433" s="831">
        <v>119004419.97749999</v>
      </c>
    </row>
    <row r="12434" spans="2:37">
      <c r="B12434" s="834" t="str">
        <f t="shared" si="469"/>
        <v>|||</v>
      </c>
      <c r="H12434" s="835">
        <f t="shared" si="470"/>
        <v>31</v>
      </c>
      <c r="AF12434" s="831" t="s">
        <v>11401</v>
      </c>
      <c r="AG12434" s="831" t="s">
        <v>2674</v>
      </c>
      <c r="AH12434" s="831" t="s">
        <v>576</v>
      </c>
      <c r="AI12434" s="831">
        <v>0</v>
      </c>
      <c r="AJ12434" s="835">
        <v>41729</v>
      </c>
      <c r="AK12434" s="831">
        <v>391575852.40275002</v>
      </c>
    </row>
    <row r="12435" spans="2:37">
      <c r="B12435" s="834" t="str">
        <f t="shared" si="469"/>
        <v>|||</v>
      </c>
      <c r="H12435" s="835">
        <f t="shared" si="470"/>
        <v>31</v>
      </c>
      <c r="AF12435" s="831" t="s">
        <v>11402</v>
      </c>
      <c r="AG12435" s="831" t="s">
        <v>2674</v>
      </c>
      <c r="AH12435" s="831" t="s">
        <v>572</v>
      </c>
      <c r="AI12435" s="831">
        <v>0</v>
      </c>
      <c r="AJ12435" s="835">
        <v>41729</v>
      </c>
      <c r="AK12435" s="831">
        <v>30009140.956000008</v>
      </c>
    </row>
    <row r="12436" spans="2:37">
      <c r="B12436" s="834" t="str">
        <f t="shared" si="469"/>
        <v>|||</v>
      </c>
      <c r="H12436" s="835">
        <f t="shared" si="470"/>
        <v>31</v>
      </c>
      <c r="AF12436" s="831" t="s">
        <v>11403</v>
      </c>
      <c r="AG12436" s="831" t="s">
        <v>2674</v>
      </c>
      <c r="AH12436" s="831" t="s">
        <v>577</v>
      </c>
      <c r="AI12436" s="831">
        <v>0</v>
      </c>
      <c r="AJ12436" s="835">
        <v>41729</v>
      </c>
      <c r="AK12436" s="831">
        <v>143425007.76300001</v>
      </c>
    </row>
    <row r="12437" spans="2:37">
      <c r="B12437" s="834" t="str">
        <f t="shared" si="469"/>
        <v>|||</v>
      </c>
      <c r="H12437" s="835">
        <f t="shared" si="470"/>
        <v>31</v>
      </c>
      <c r="AF12437" s="831" t="s">
        <v>11404</v>
      </c>
      <c r="AG12437" s="831" t="s">
        <v>2674</v>
      </c>
      <c r="AH12437" s="831" t="s">
        <v>3042</v>
      </c>
      <c r="AI12437" s="831">
        <v>0</v>
      </c>
      <c r="AJ12437" s="835">
        <v>41729</v>
      </c>
      <c r="AK12437" s="831">
        <v>-38745656.527000003</v>
      </c>
    </row>
    <row r="12438" spans="2:37">
      <c r="B12438" s="834" t="str">
        <f t="shared" si="469"/>
        <v>|||</v>
      </c>
      <c r="H12438" s="835">
        <f t="shared" si="470"/>
        <v>31</v>
      </c>
      <c r="AF12438" s="831" t="s">
        <v>11405</v>
      </c>
      <c r="AG12438" s="831" t="s">
        <v>2674</v>
      </c>
      <c r="AH12438" s="831" t="s">
        <v>3044</v>
      </c>
      <c r="AI12438" s="831">
        <v>0</v>
      </c>
      <c r="AJ12438" s="835">
        <v>41729</v>
      </c>
      <c r="AK12438" s="831">
        <v>-3699815.8899999997</v>
      </c>
    </row>
    <row r="12439" spans="2:37">
      <c r="B12439" s="834" t="str">
        <f t="shared" si="469"/>
        <v>|||</v>
      </c>
      <c r="H12439" s="835">
        <f t="shared" si="470"/>
        <v>31</v>
      </c>
      <c r="AF12439" s="831" t="s">
        <v>11406</v>
      </c>
      <c r="AG12439" s="831" t="s">
        <v>2674</v>
      </c>
      <c r="AH12439" s="831" t="s">
        <v>580</v>
      </c>
      <c r="AI12439" s="831">
        <v>0</v>
      </c>
      <c r="AJ12439" s="835">
        <v>41729</v>
      </c>
      <c r="AK12439" s="831">
        <v>-67131930.306999996</v>
      </c>
    </row>
    <row r="12440" spans="2:37">
      <c r="B12440" s="834" t="str">
        <f t="shared" si="469"/>
        <v>|||</v>
      </c>
      <c r="H12440" s="835">
        <f t="shared" si="470"/>
        <v>31</v>
      </c>
      <c r="AF12440" s="831" t="s">
        <v>11407</v>
      </c>
      <c r="AG12440" s="831" t="s">
        <v>2674</v>
      </c>
      <c r="AH12440" s="831" t="s">
        <v>581</v>
      </c>
      <c r="AI12440" s="831">
        <v>0</v>
      </c>
      <c r="AJ12440" s="835">
        <v>41729</v>
      </c>
      <c r="AK12440" s="831">
        <v>5442741.8940000003</v>
      </c>
    </row>
    <row r="12441" spans="2:37">
      <c r="B12441" s="834" t="str">
        <f t="shared" si="469"/>
        <v>|||</v>
      </c>
      <c r="H12441" s="835">
        <f t="shared" si="470"/>
        <v>31</v>
      </c>
      <c r="AF12441" s="831" t="s">
        <v>11408</v>
      </c>
      <c r="AG12441" s="831" t="s">
        <v>2674</v>
      </c>
      <c r="AH12441" s="831" t="s">
        <v>105</v>
      </c>
      <c r="AI12441" s="831">
        <v>0</v>
      </c>
      <c r="AJ12441" s="835">
        <v>41729</v>
      </c>
      <c r="AK12441" s="831">
        <v>411102058</v>
      </c>
    </row>
    <row r="12442" spans="2:37">
      <c r="B12442" s="834" t="str">
        <f t="shared" si="469"/>
        <v>|||</v>
      </c>
      <c r="H12442" s="835">
        <f t="shared" si="470"/>
        <v>31</v>
      </c>
      <c r="AF12442" s="831" t="s">
        <v>11409</v>
      </c>
      <c r="AG12442" s="831" t="s">
        <v>2674</v>
      </c>
      <c r="AH12442" s="831" t="s">
        <v>3049</v>
      </c>
      <c r="AI12442" s="831">
        <v>0</v>
      </c>
      <c r="AJ12442" s="835">
        <v>41729</v>
      </c>
      <c r="AK12442" s="831">
        <v>690412081</v>
      </c>
    </row>
    <row r="12443" spans="2:37">
      <c r="B12443" s="834" t="str">
        <f t="shared" si="469"/>
        <v>|||</v>
      </c>
      <c r="H12443" s="835">
        <f t="shared" si="470"/>
        <v>31</v>
      </c>
      <c r="AF12443" s="831" t="s">
        <v>11410</v>
      </c>
      <c r="AG12443" s="831" t="s">
        <v>2674</v>
      </c>
      <c r="AH12443" s="831" t="s">
        <v>103</v>
      </c>
      <c r="AI12443" s="831">
        <v>0</v>
      </c>
      <c r="AJ12443" s="835">
        <v>41729</v>
      </c>
      <c r="AK12443" s="831">
        <v>279310023</v>
      </c>
    </row>
    <row r="12444" spans="2:37">
      <c r="B12444" s="834" t="str">
        <f t="shared" si="469"/>
        <v>|||</v>
      </c>
      <c r="H12444" s="835">
        <f t="shared" si="470"/>
        <v>31</v>
      </c>
      <c r="AF12444" s="831" t="s">
        <v>11411</v>
      </c>
      <c r="AG12444" s="831" t="s">
        <v>2674</v>
      </c>
      <c r="AH12444" s="831" t="s">
        <v>182</v>
      </c>
      <c r="AI12444" s="831">
        <v>0</v>
      </c>
      <c r="AJ12444" s="835">
        <v>41729</v>
      </c>
      <c r="AK12444" s="831">
        <v>67031636</v>
      </c>
    </row>
    <row r="12445" spans="2:37">
      <c r="B12445" s="834" t="str">
        <f t="shared" si="469"/>
        <v>|||</v>
      </c>
      <c r="H12445" s="835">
        <f t="shared" si="470"/>
        <v>31</v>
      </c>
      <c r="AF12445" s="831" t="s">
        <v>11412</v>
      </c>
      <c r="AG12445" s="831" t="s">
        <v>2674</v>
      </c>
      <c r="AH12445" s="831" t="s">
        <v>6600</v>
      </c>
      <c r="AI12445" s="831">
        <v>0</v>
      </c>
      <c r="AJ12445" s="835">
        <v>41729</v>
      </c>
      <c r="AK12445" s="831">
        <v>30009140.956000008</v>
      </c>
    </row>
    <row r="12446" spans="2:37">
      <c r="B12446" s="834" t="str">
        <f t="shared" si="469"/>
        <v>|||</v>
      </c>
      <c r="H12446" s="835">
        <f t="shared" si="470"/>
        <v>31</v>
      </c>
      <c r="AF12446" s="831" t="s">
        <v>11413</v>
      </c>
      <c r="AG12446" s="831" t="s">
        <v>2674</v>
      </c>
      <c r="AH12446" s="831" t="s">
        <v>6602</v>
      </c>
      <c r="AI12446" s="831">
        <v>0</v>
      </c>
      <c r="AJ12446" s="835">
        <v>41729</v>
      </c>
      <c r="AK12446" s="831">
        <v>8878765</v>
      </c>
    </row>
    <row r="12447" spans="2:37">
      <c r="B12447" s="834" t="str">
        <f t="shared" si="469"/>
        <v>|||</v>
      </c>
      <c r="H12447" s="835">
        <f t="shared" si="470"/>
        <v>31</v>
      </c>
      <c r="AF12447" s="831" t="s">
        <v>11414</v>
      </c>
      <c r="AG12447" s="831" t="s">
        <v>2674</v>
      </c>
      <c r="AH12447" s="831" t="s">
        <v>650</v>
      </c>
      <c r="AI12447" s="831">
        <v>0</v>
      </c>
      <c r="AJ12447" s="835">
        <v>41729</v>
      </c>
      <c r="AK12447" s="831">
        <v>227175044.1168462</v>
      </c>
    </row>
    <row r="12448" spans="2:37">
      <c r="B12448" s="834" t="str">
        <f t="shared" si="469"/>
        <v>|||</v>
      </c>
      <c r="H12448" s="835">
        <f t="shared" si="470"/>
        <v>31</v>
      </c>
      <c r="AF12448" s="831" t="s">
        <v>11415</v>
      </c>
      <c r="AG12448" s="831" t="s">
        <v>2674</v>
      </c>
      <c r="AH12448" s="831" t="s">
        <v>655</v>
      </c>
      <c r="AI12448" s="831">
        <v>0</v>
      </c>
      <c r="AJ12448" s="835">
        <v>41729</v>
      </c>
      <c r="AK12448" s="831">
        <v>1723087.31</v>
      </c>
    </row>
    <row r="12449" spans="2:37">
      <c r="B12449" s="834" t="str">
        <f t="shared" si="469"/>
        <v>|||</v>
      </c>
      <c r="H12449" s="835">
        <f t="shared" si="470"/>
        <v>31</v>
      </c>
      <c r="AF12449" s="831" t="s">
        <v>11416</v>
      </c>
      <c r="AG12449" s="831" t="s">
        <v>2674</v>
      </c>
      <c r="AH12449" s="831" t="s">
        <v>546</v>
      </c>
      <c r="AI12449" s="831">
        <v>0</v>
      </c>
      <c r="AJ12449" s="835">
        <v>41759</v>
      </c>
      <c r="AK12449" s="831">
        <v>695634421</v>
      </c>
    </row>
    <row r="12450" spans="2:37">
      <c r="B12450" s="834" t="str">
        <f t="shared" si="469"/>
        <v>|||</v>
      </c>
      <c r="H12450" s="835">
        <f t="shared" si="470"/>
        <v>31</v>
      </c>
      <c r="AF12450" s="831" t="s">
        <v>11417</v>
      </c>
      <c r="AG12450" s="831" t="s">
        <v>2674</v>
      </c>
      <c r="AH12450" s="831" t="s">
        <v>370</v>
      </c>
      <c r="AI12450" s="831">
        <v>0</v>
      </c>
      <c r="AJ12450" s="835">
        <v>41759</v>
      </c>
      <c r="AK12450" s="831">
        <v>838269546</v>
      </c>
    </row>
    <row r="12451" spans="2:37">
      <c r="B12451" s="834" t="str">
        <f t="shared" si="469"/>
        <v>|||</v>
      </c>
      <c r="H12451" s="835">
        <f t="shared" si="470"/>
        <v>31</v>
      </c>
      <c r="AF12451" s="831" t="s">
        <v>11418</v>
      </c>
      <c r="AG12451" s="831" t="s">
        <v>2674</v>
      </c>
      <c r="AH12451" s="831" t="s">
        <v>126</v>
      </c>
      <c r="AI12451" s="831">
        <v>0</v>
      </c>
      <c r="AJ12451" s="835">
        <v>41759</v>
      </c>
      <c r="AK12451" s="831">
        <v>127155751</v>
      </c>
    </row>
    <row r="12452" spans="2:37">
      <c r="B12452" s="834" t="str">
        <f t="shared" si="469"/>
        <v>|||</v>
      </c>
      <c r="H12452" s="835">
        <f t="shared" si="470"/>
        <v>31</v>
      </c>
      <c r="AF12452" s="831" t="s">
        <v>11419</v>
      </c>
      <c r="AG12452" s="831" t="s">
        <v>2674</v>
      </c>
      <c r="AH12452" s="831" t="s">
        <v>268</v>
      </c>
      <c r="AI12452" s="831">
        <v>0</v>
      </c>
      <c r="AJ12452" s="835">
        <v>41759</v>
      </c>
      <c r="AK12452" s="831">
        <v>11900832</v>
      </c>
    </row>
    <row r="12453" spans="2:37">
      <c r="B12453" s="834" t="str">
        <f t="shared" si="469"/>
        <v>|||</v>
      </c>
      <c r="H12453" s="835">
        <f t="shared" si="470"/>
        <v>31</v>
      </c>
      <c r="AF12453" s="831" t="s">
        <v>11420</v>
      </c>
      <c r="AG12453" s="831" t="s">
        <v>2674</v>
      </c>
      <c r="AH12453" s="831" t="s">
        <v>547</v>
      </c>
      <c r="AI12453" s="831">
        <v>0</v>
      </c>
      <c r="AJ12453" s="835">
        <v>41759</v>
      </c>
      <c r="AK12453" s="831">
        <v>777719977</v>
      </c>
    </row>
    <row r="12454" spans="2:37">
      <c r="B12454" s="834" t="str">
        <f t="shared" si="469"/>
        <v>|||</v>
      </c>
      <c r="H12454" s="835">
        <f t="shared" si="470"/>
        <v>31</v>
      </c>
      <c r="AF12454" s="831" t="s">
        <v>11421</v>
      </c>
      <c r="AG12454" s="831" t="s">
        <v>2674</v>
      </c>
      <c r="AH12454" s="831" t="s">
        <v>548</v>
      </c>
      <c r="AI12454" s="831">
        <v>0</v>
      </c>
      <c r="AJ12454" s="835">
        <v>41759</v>
      </c>
      <c r="AK12454" s="831">
        <v>117105496</v>
      </c>
    </row>
    <row r="12455" spans="2:37">
      <c r="B12455" s="834" t="str">
        <f t="shared" si="469"/>
        <v>|||</v>
      </c>
      <c r="H12455" s="835">
        <f t="shared" si="470"/>
        <v>31</v>
      </c>
      <c r="AF12455" s="831" t="s">
        <v>11422</v>
      </c>
      <c r="AG12455" s="831" t="s">
        <v>2674</v>
      </c>
      <c r="AH12455" s="831" t="s">
        <v>549</v>
      </c>
      <c r="AI12455" s="831">
        <v>0</v>
      </c>
      <c r="AJ12455" s="835">
        <v>41759</v>
      </c>
      <c r="AK12455" s="831">
        <v>479771222</v>
      </c>
    </row>
    <row r="12456" spans="2:37">
      <c r="B12456" s="834" t="str">
        <f t="shared" si="469"/>
        <v>|||</v>
      </c>
      <c r="H12456" s="835">
        <f t="shared" si="470"/>
        <v>31</v>
      </c>
      <c r="AF12456" s="831" t="s">
        <v>11423</v>
      </c>
      <c r="AG12456" s="831" t="s">
        <v>2674</v>
      </c>
      <c r="AH12456" s="831" t="s">
        <v>192</v>
      </c>
      <c r="AI12456" s="831">
        <v>0</v>
      </c>
      <c r="AJ12456" s="835">
        <v>41759</v>
      </c>
      <c r="AK12456" s="831">
        <v>-13335656</v>
      </c>
    </row>
    <row r="12457" spans="2:37">
      <c r="B12457" s="834" t="str">
        <f t="shared" si="469"/>
        <v>|||</v>
      </c>
      <c r="H12457" s="835">
        <f t="shared" si="470"/>
        <v>31</v>
      </c>
      <c r="AF12457" s="831" t="s">
        <v>11424</v>
      </c>
      <c r="AG12457" s="831" t="s">
        <v>2674</v>
      </c>
      <c r="AH12457" s="831" t="s">
        <v>558</v>
      </c>
      <c r="AI12457" s="831">
        <v>0</v>
      </c>
      <c r="AJ12457" s="835">
        <v>41759</v>
      </c>
      <c r="AK12457" s="831">
        <v>711113795</v>
      </c>
    </row>
    <row r="12458" spans="2:37">
      <c r="B12458" s="834" t="str">
        <f t="shared" si="469"/>
        <v>|||</v>
      </c>
      <c r="H12458" s="835">
        <f t="shared" si="470"/>
        <v>31</v>
      </c>
      <c r="AF12458" s="831" t="s">
        <v>11425</v>
      </c>
      <c r="AG12458" s="831" t="s">
        <v>2674</v>
      </c>
      <c r="AH12458" s="831" t="s">
        <v>65</v>
      </c>
      <c r="AI12458" s="831">
        <v>0</v>
      </c>
      <c r="AJ12458" s="835">
        <v>41759</v>
      </c>
      <c r="AK12458" s="831">
        <v>52388499</v>
      </c>
    </row>
    <row r="12459" spans="2:37">
      <c r="B12459" s="834" t="str">
        <f t="shared" si="469"/>
        <v>|||</v>
      </c>
      <c r="H12459" s="835">
        <f t="shared" si="470"/>
        <v>31</v>
      </c>
      <c r="AF12459" s="831" t="s">
        <v>11426</v>
      </c>
      <c r="AG12459" s="831" t="s">
        <v>2674</v>
      </c>
      <c r="AH12459" s="831" t="s">
        <v>89</v>
      </c>
      <c r="AI12459" s="831">
        <v>0</v>
      </c>
      <c r="AJ12459" s="835">
        <v>41759</v>
      </c>
      <c r="AK12459" s="831">
        <v>154230</v>
      </c>
    </row>
    <row r="12460" spans="2:37">
      <c r="B12460" s="834" t="str">
        <f t="shared" si="469"/>
        <v>|||</v>
      </c>
      <c r="H12460" s="835">
        <f t="shared" si="470"/>
        <v>31</v>
      </c>
      <c r="AF12460" s="831" t="s">
        <v>11427</v>
      </c>
      <c r="AG12460" s="831" t="s">
        <v>2674</v>
      </c>
      <c r="AH12460" s="831" t="s">
        <v>557</v>
      </c>
      <c r="AI12460" s="831">
        <v>0</v>
      </c>
      <c r="AJ12460" s="835">
        <v>41759</v>
      </c>
      <c r="AK12460" s="831">
        <v>171119</v>
      </c>
    </row>
    <row r="12461" spans="2:37">
      <c r="B12461" s="834" t="str">
        <f t="shared" si="469"/>
        <v>|||</v>
      </c>
      <c r="H12461" s="835">
        <f t="shared" si="470"/>
        <v>31</v>
      </c>
      <c r="AF12461" s="831" t="s">
        <v>11428</v>
      </c>
      <c r="AG12461" s="831" t="s">
        <v>2674</v>
      </c>
      <c r="AH12461" s="831" t="s">
        <v>29</v>
      </c>
      <c r="AI12461" s="831">
        <v>0</v>
      </c>
      <c r="AJ12461" s="835">
        <v>41759</v>
      </c>
      <c r="AK12461" s="831">
        <v>2260198</v>
      </c>
    </row>
    <row r="12462" spans="2:37">
      <c r="B12462" s="834" t="str">
        <f t="shared" si="469"/>
        <v>|||</v>
      </c>
      <c r="H12462" s="835">
        <f t="shared" si="470"/>
        <v>31</v>
      </c>
      <c r="AF12462" s="831" t="s">
        <v>11429</v>
      </c>
      <c r="AG12462" s="831" t="s">
        <v>2674</v>
      </c>
      <c r="AH12462" s="831" t="s">
        <v>2688</v>
      </c>
      <c r="AI12462" s="831">
        <v>0</v>
      </c>
      <c r="AJ12462" s="835">
        <v>41759</v>
      </c>
      <c r="AK12462" s="831">
        <v>4802589</v>
      </c>
    </row>
    <row r="12463" spans="2:37">
      <c r="B12463" s="834" t="str">
        <f t="shared" si="469"/>
        <v>|||</v>
      </c>
      <c r="H12463" s="835">
        <f t="shared" si="470"/>
        <v>31</v>
      </c>
      <c r="AF12463" s="831" t="s">
        <v>11430</v>
      </c>
      <c r="AG12463" s="831" t="s">
        <v>2674</v>
      </c>
      <c r="AH12463" s="831" t="s">
        <v>556</v>
      </c>
      <c r="AI12463" s="831">
        <v>0</v>
      </c>
      <c r="AJ12463" s="835">
        <v>41759</v>
      </c>
      <c r="AK12463" s="831">
        <v>1644732</v>
      </c>
    </row>
    <row r="12464" spans="2:37">
      <c r="B12464" s="834" t="str">
        <f t="shared" si="469"/>
        <v>|||</v>
      </c>
      <c r="H12464" s="835">
        <f t="shared" si="470"/>
        <v>31</v>
      </c>
      <c r="AF12464" s="831" t="s">
        <v>11431</v>
      </c>
      <c r="AG12464" s="831" t="s">
        <v>2674</v>
      </c>
      <c r="AH12464" s="831" t="s">
        <v>555</v>
      </c>
      <c r="AI12464" s="831">
        <v>0</v>
      </c>
      <c r="AJ12464" s="835">
        <v>41759</v>
      </c>
      <c r="AK12464" s="831">
        <v>465033436</v>
      </c>
    </row>
    <row r="12465" spans="2:37">
      <c r="B12465" s="834" t="str">
        <f t="shared" si="469"/>
        <v>|||</v>
      </c>
      <c r="H12465" s="835">
        <f t="shared" si="470"/>
        <v>31</v>
      </c>
      <c r="AF12465" s="831" t="s">
        <v>11432</v>
      </c>
      <c r="AG12465" s="831" t="s">
        <v>2674</v>
      </c>
      <c r="AH12465" s="831" t="s">
        <v>554</v>
      </c>
      <c r="AI12465" s="831">
        <v>0</v>
      </c>
      <c r="AJ12465" s="835">
        <v>41759</v>
      </c>
      <c r="AK12465" s="831">
        <v>471272450</v>
      </c>
    </row>
    <row r="12466" spans="2:37">
      <c r="B12466" s="834" t="str">
        <f t="shared" si="469"/>
        <v>|||</v>
      </c>
      <c r="H12466" s="835">
        <f t="shared" si="470"/>
        <v>31</v>
      </c>
      <c r="AF12466" s="831" t="s">
        <v>11433</v>
      </c>
      <c r="AG12466" s="831" t="s">
        <v>2674</v>
      </c>
      <c r="AH12466" s="831" t="s">
        <v>553</v>
      </c>
      <c r="AI12466" s="831">
        <v>0</v>
      </c>
      <c r="AJ12466" s="835">
        <v>41759</v>
      </c>
      <c r="AK12466" s="831">
        <v>0</v>
      </c>
    </row>
    <row r="12467" spans="2:37">
      <c r="B12467" s="834" t="str">
        <f t="shared" si="469"/>
        <v>|||</v>
      </c>
      <c r="H12467" s="835">
        <f t="shared" si="470"/>
        <v>31</v>
      </c>
      <c r="AF12467" s="831" t="s">
        <v>11434</v>
      </c>
      <c r="AG12467" s="831" t="s">
        <v>2674</v>
      </c>
      <c r="AH12467" s="831" t="s">
        <v>552</v>
      </c>
      <c r="AI12467" s="831">
        <v>0</v>
      </c>
      <c r="AJ12467" s="835">
        <v>41759</v>
      </c>
      <c r="AK12467" s="831">
        <v>0</v>
      </c>
    </row>
    <row r="12468" spans="2:37">
      <c r="B12468" s="834" t="str">
        <f t="shared" si="469"/>
        <v>|||</v>
      </c>
      <c r="H12468" s="835">
        <f t="shared" si="470"/>
        <v>31</v>
      </c>
      <c r="AF12468" s="831" t="s">
        <v>11435</v>
      </c>
      <c r="AG12468" s="831" t="s">
        <v>2674</v>
      </c>
      <c r="AH12468" s="831" t="s">
        <v>551</v>
      </c>
      <c r="AI12468" s="831">
        <v>0</v>
      </c>
      <c r="AJ12468" s="835">
        <v>41759</v>
      </c>
      <c r="AK12468" s="831">
        <v>2028560</v>
      </c>
    </row>
    <row r="12469" spans="2:37">
      <c r="B12469" s="834" t="str">
        <f t="shared" si="469"/>
        <v>|||</v>
      </c>
      <c r="H12469" s="835">
        <f t="shared" si="470"/>
        <v>31</v>
      </c>
      <c r="AF12469" s="831" t="s">
        <v>11436</v>
      </c>
      <c r="AG12469" s="831" t="s">
        <v>2674</v>
      </c>
      <c r="AH12469" s="831" t="s">
        <v>550</v>
      </c>
      <c r="AI12469" s="831">
        <v>0</v>
      </c>
      <c r="AJ12469" s="835">
        <v>41759</v>
      </c>
      <c r="AK12469" s="831">
        <v>124206790</v>
      </c>
    </row>
    <row r="12470" spans="2:37">
      <c r="B12470" s="834" t="str">
        <f t="shared" si="469"/>
        <v>|||</v>
      </c>
      <c r="H12470" s="835">
        <f t="shared" si="470"/>
        <v>31</v>
      </c>
      <c r="AF12470" s="831" t="s">
        <v>11437</v>
      </c>
      <c r="AG12470" s="831" t="s">
        <v>2674</v>
      </c>
      <c r="AH12470" s="831" t="s">
        <v>562</v>
      </c>
      <c r="AI12470" s="831">
        <v>0</v>
      </c>
      <c r="AJ12470" s="835">
        <v>41759</v>
      </c>
      <c r="AK12470" s="831">
        <v>0.78374999999999995</v>
      </c>
    </row>
    <row r="12471" spans="2:37">
      <c r="B12471" s="834" t="str">
        <f t="shared" si="469"/>
        <v>|||</v>
      </c>
      <c r="H12471" s="835">
        <f t="shared" si="470"/>
        <v>31</v>
      </c>
      <c r="AF12471" s="831" t="s">
        <v>11438</v>
      </c>
      <c r="AG12471" s="831" t="s">
        <v>2674</v>
      </c>
      <c r="AH12471" s="831" t="s">
        <v>2698</v>
      </c>
      <c r="AI12471" s="831">
        <v>0</v>
      </c>
      <c r="AJ12471" s="835">
        <v>41759</v>
      </c>
      <c r="AK12471" s="831">
        <v>0.78374999999999995</v>
      </c>
    </row>
    <row r="12472" spans="2:37">
      <c r="B12472" s="834" t="str">
        <f t="shared" si="469"/>
        <v>|||</v>
      </c>
      <c r="H12472" s="835">
        <f t="shared" si="470"/>
        <v>31</v>
      </c>
      <c r="AF12472" s="831" t="s">
        <v>11439</v>
      </c>
      <c r="AG12472" s="831" t="s">
        <v>2674</v>
      </c>
      <c r="AH12472" s="831" t="s">
        <v>560</v>
      </c>
      <c r="AI12472" s="831">
        <v>0</v>
      </c>
      <c r="AJ12472" s="835">
        <v>41759</v>
      </c>
      <c r="AK12472" s="831">
        <v>0.78374999999999995</v>
      </c>
    </row>
    <row r="12473" spans="2:37">
      <c r="B12473" s="834" t="str">
        <f t="shared" si="469"/>
        <v>|||</v>
      </c>
      <c r="H12473" s="835">
        <f t="shared" si="470"/>
        <v>31</v>
      </c>
      <c r="AF12473" s="831" t="s">
        <v>11440</v>
      </c>
      <c r="AG12473" s="831" t="s">
        <v>2674</v>
      </c>
      <c r="AH12473" s="831" t="s">
        <v>559</v>
      </c>
      <c r="AI12473" s="831">
        <v>0</v>
      </c>
      <c r="AJ12473" s="835">
        <v>41759</v>
      </c>
      <c r="AK12473" s="831">
        <v>0.78380833333333344</v>
      </c>
    </row>
    <row r="12474" spans="2:37">
      <c r="B12474" s="834" t="str">
        <f t="shared" si="469"/>
        <v>|||</v>
      </c>
      <c r="H12474" s="835">
        <f t="shared" si="470"/>
        <v>31</v>
      </c>
      <c r="AF12474" s="831" t="s">
        <v>11441</v>
      </c>
      <c r="AG12474" s="831" t="s">
        <v>2674</v>
      </c>
      <c r="AH12474" s="831" t="s">
        <v>568</v>
      </c>
      <c r="AI12474" s="831">
        <v>0</v>
      </c>
      <c r="AJ12474" s="835">
        <v>41759</v>
      </c>
      <c r="AK12474" s="831">
        <v>584407506.61153841</v>
      </c>
    </row>
    <row r="12475" spans="2:37">
      <c r="B12475" s="834" t="str">
        <f t="shared" si="469"/>
        <v>|||</v>
      </c>
      <c r="H12475" s="835">
        <f t="shared" si="470"/>
        <v>31</v>
      </c>
      <c r="AF12475" s="831" t="s">
        <v>11442</v>
      </c>
      <c r="AG12475" s="831" t="s">
        <v>2674</v>
      </c>
      <c r="AH12475" s="831" t="s">
        <v>569</v>
      </c>
      <c r="AI12475" s="831">
        <v>0</v>
      </c>
      <c r="AJ12475" s="835">
        <v>41759</v>
      </c>
      <c r="AK12475" s="831">
        <v>716419184.74253845</v>
      </c>
    </row>
    <row r="12476" spans="2:37">
      <c r="B12476" s="834" t="str">
        <f t="shared" si="469"/>
        <v>|||</v>
      </c>
      <c r="H12476" s="835">
        <f t="shared" si="470"/>
        <v>31</v>
      </c>
      <c r="AF12476" s="831" t="s">
        <v>11443</v>
      </c>
      <c r="AG12476" s="831" t="s">
        <v>2674</v>
      </c>
      <c r="AH12476" s="831" t="s">
        <v>570</v>
      </c>
      <c r="AI12476" s="831">
        <v>0</v>
      </c>
      <c r="AJ12476" s="835">
        <v>41759</v>
      </c>
      <c r="AK12476" s="831">
        <v>115811919.75123075</v>
      </c>
    </row>
    <row r="12477" spans="2:37">
      <c r="B12477" s="834" t="str">
        <f t="shared" si="469"/>
        <v>|||</v>
      </c>
      <c r="H12477" s="835">
        <f t="shared" si="470"/>
        <v>31</v>
      </c>
      <c r="AF12477" s="831" t="s">
        <v>11444</v>
      </c>
      <c r="AG12477" s="831" t="s">
        <v>2674</v>
      </c>
      <c r="AH12477" s="831" t="s">
        <v>571</v>
      </c>
      <c r="AI12477" s="831">
        <v>0</v>
      </c>
      <c r="AJ12477" s="835">
        <v>41759</v>
      </c>
      <c r="AK12477" s="831">
        <v>346424029.66715389</v>
      </c>
    </row>
    <row r="12478" spans="2:37">
      <c r="B12478" s="834" t="str">
        <f t="shared" si="469"/>
        <v>|||</v>
      </c>
      <c r="H12478" s="835">
        <f t="shared" si="470"/>
        <v>31</v>
      </c>
      <c r="AF12478" s="831" t="s">
        <v>11445</v>
      </c>
      <c r="AG12478" s="831" t="s">
        <v>2674</v>
      </c>
      <c r="AH12478" s="831" t="s">
        <v>573</v>
      </c>
      <c r="AI12478" s="831">
        <v>0</v>
      </c>
      <c r="AJ12478" s="835">
        <v>41759</v>
      </c>
      <c r="AK12478" s="831">
        <v>806845862.3125999</v>
      </c>
    </row>
    <row r="12479" spans="2:37">
      <c r="B12479" s="834" t="str">
        <f t="shared" si="469"/>
        <v>|||</v>
      </c>
      <c r="H12479" s="835">
        <f t="shared" si="470"/>
        <v>31</v>
      </c>
      <c r="AF12479" s="831" t="s">
        <v>11446</v>
      </c>
      <c r="AG12479" s="831" t="s">
        <v>2674</v>
      </c>
      <c r="AH12479" s="831" t="s">
        <v>574</v>
      </c>
      <c r="AI12479" s="831">
        <v>0</v>
      </c>
      <c r="AJ12479" s="835">
        <v>41759</v>
      </c>
      <c r="AK12479" s="831">
        <v>655215203.79999995</v>
      </c>
    </row>
    <row r="12480" spans="2:37">
      <c r="B12480" s="834" t="str">
        <f t="shared" si="469"/>
        <v>|||</v>
      </c>
      <c r="H12480" s="835">
        <f t="shared" si="470"/>
        <v>31</v>
      </c>
      <c r="AF12480" s="831" t="s">
        <v>11447</v>
      </c>
      <c r="AG12480" s="831" t="s">
        <v>2674</v>
      </c>
      <c r="AH12480" s="831" t="s">
        <v>575</v>
      </c>
      <c r="AI12480" s="831">
        <v>0</v>
      </c>
      <c r="AJ12480" s="835">
        <v>41759</v>
      </c>
      <c r="AK12480" s="831">
        <v>120634686.182</v>
      </c>
    </row>
    <row r="12481" spans="2:37">
      <c r="B12481" s="834" t="str">
        <f t="shared" si="469"/>
        <v>|||</v>
      </c>
      <c r="H12481" s="835">
        <f t="shared" si="470"/>
        <v>31</v>
      </c>
      <c r="AF12481" s="831" t="s">
        <v>11448</v>
      </c>
      <c r="AG12481" s="831" t="s">
        <v>2674</v>
      </c>
      <c r="AH12481" s="831" t="s">
        <v>576</v>
      </c>
      <c r="AI12481" s="831">
        <v>0</v>
      </c>
      <c r="AJ12481" s="835">
        <v>41759</v>
      </c>
      <c r="AK12481" s="831">
        <v>395052602.12220001</v>
      </c>
    </row>
    <row r="12482" spans="2:37">
      <c r="B12482" s="834" t="str">
        <f t="shared" si="469"/>
        <v>|||</v>
      </c>
      <c r="H12482" s="835">
        <f t="shared" si="470"/>
        <v>31</v>
      </c>
      <c r="AF12482" s="831" t="s">
        <v>11449</v>
      </c>
      <c r="AG12482" s="831" t="s">
        <v>2674</v>
      </c>
      <c r="AH12482" s="831" t="s">
        <v>572</v>
      </c>
      <c r="AI12482" s="831">
        <v>0</v>
      </c>
      <c r="AJ12482" s="835">
        <v>41759</v>
      </c>
      <c r="AK12482" s="831">
        <v>30512730.956000008</v>
      </c>
    </row>
    <row r="12483" spans="2:37">
      <c r="B12483" s="834" t="str">
        <f t="shared" si="469"/>
        <v>|||</v>
      </c>
      <c r="H12483" s="835">
        <f t="shared" si="470"/>
        <v>31</v>
      </c>
      <c r="AF12483" s="831" t="s">
        <v>11450</v>
      </c>
      <c r="AG12483" s="831" t="s">
        <v>2674</v>
      </c>
      <c r="AH12483" s="831" t="s">
        <v>577</v>
      </c>
      <c r="AI12483" s="831">
        <v>0</v>
      </c>
      <c r="AJ12483" s="835">
        <v>41759</v>
      </c>
      <c r="AK12483" s="831">
        <v>146415910.76300001</v>
      </c>
    </row>
    <row r="12484" spans="2:37">
      <c r="B12484" s="834" t="str">
        <f t="shared" si="469"/>
        <v>|||</v>
      </c>
      <c r="H12484" s="835">
        <f t="shared" si="470"/>
        <v>31</v>
      </c>
      <c r="AF12484" s="831" t="s">
        <v>11451</v>
      </c>
      <c r="AG12484" s="831" t="s">
        <v>2674</v>
      </c>
      <c r="AH12484" s="831" t="s">
        <v>3042</v>
      </c>
      <c r="AI12484" s="831">
        <v>0</v>
      </c>
      <c r="AJ12484" s="835">
        <v>41759</v>
      </c>
      <c r="AK12484" s="831">
        <v>-40083828.527000003</v>
      </c>
    </row>
    <row r="12485" spans="2:37">
      <c r="B12485" s="834" t="str">
        <f t="shared" si="469"/>
        <v>|||</v>
      </c>
      <c r="H12485" s="835">
        <f t="shared" si="470"/>
        <v>31</v>
      </c>
      <c r="AF12485" s="831" t="s">
        <v>11452</v>
      </c>
      <c r="AG12485" s="831" t="s">
        <v>2674</v>
      </c>
      <c r="AH12485" s="831" t="s">
        <v>3044</v>
      </c>
      <c r="AI12485" s="831">
        <v>0</v>
      </c>
      <c r="AJ12485" s="835">
        <v>41759</v>
      </c>
      <c r="AK12485" s="831">
        <v>-3325177.8899999997</v>
      </c>
    </row>
    <row r="12486" spans="2:37">
      <c r="B12486" s="834" t="str">
        <f t="shared" si="469"/>
        <v>|||</v>
      </c>
      <c r="H12486" s="835">
        <f t="shared" si="470"/>
        <v>31</v>
      </c>
      <c r="AF12486" s="831" t="s">
        <v>11453</v>
      </c>
      <c r="AG12486" s="831" t="s">
        <v>2674</v>
      </c>
      <c r="AH12486" s="831" t="s">
        <v>580</v>
      </c>
      <c r="AI12486" s="831">
        <v>0</v>
      </c>
      <c r="AJ12486" s="835">
        <v>41759</v>
      </c>
      <c r="AK12486" s="831">
        <v>-68772047.306999996</v>
      </c>
    </row>
    <row r="12487" spans="2:37">
      <c r="B12487" s="834" t="str">
        <f t="shared" si="469"/>
        <v>|||</v>
      </c>
      <c r="H12487" s="835">
        <f t="shared" si="470"/>
        <v>31</v>
      </c>
      <c r="AF12487" s="831" t="s">
        <v>11454</v>
      </c>
      <c r="AG12487" s="831" t="s">
        <v>2674</v>
      </c>
      <c r="AH12487" s="831" t="s">
        <v>581</v>
      </c>
      <c r="AI12487" s="831">
        <v>0</v>
      </c>
      <c r="AJ12487" s="835">
        <v>41759</v>
      </c>
      <c r="AK12487" s="831">
        <v>5605173.8940000003</v>
      </c>
    </row>
    <row r="12488" spans="2:37">
      <c r="B12488" s="834" t="str">
        <f t="shared" si="469"/>
        <v>|||</v>
      </c>
      <c r="H12488" s="835">
        <f t="shared" si="470"/>
        <v>31</v>
      </c>
      <c r="AF12488" s="831" t="s">
        <v>11455</v>
      </c>
      <c r="AG12488" s="831" t="s">
        <v>2674</v>
      </c>
      <c r="AH12488" s="831" t="s">
        <v>105</v>
      </c>
      <c r="AI12488" s="831">
        <v>0</v>
      </c>
      <c r="AJ12488" s="835">
        <v>41759</v>
      </c>
      <c r="AK12488" s="831">
        <v>408959601</v>
      </c>
    </row>
    <row r="12489" spans="2:37">
      <c r="B12489" s="834" t="str">
        <f t="shared" si="469"/>
        <v>|||</v>
      </c>
      <c r="H12489" s="835">
        <f t="shared" si="470"/>
        <v>31</v>
      </c>
      <c r="AF12489" s="831" t="s">
        <v>11456</v>
      </c>
      <c r="AG12489" s="831" t="s">
        <v>2674</v>
      </c>
      <c r="AH12489" s="831" t="s">
        <v>3049</v>
      </c>
      <c r="AI12489" s="831">
        <v>0</v>
      </c>
      <c r="AJ12489" s="835">
        <v>41759</v>
      </c>
      <c r="AK12489" s="831">
        <v>692167557</v>
      </c>
    </row>
    <row r="12490" spans="2:37">
      <c r="B12490" s="834" t="str">
        <f t="shared" si="469"/>
        <v>|||</v>
      </c>
      <c r="H12490" s="835">
        <f t="shared" si="470"/>
        <v>31</v>
      </c>
      <c r="AF12490" s="831" t="s">
        <v>11457</v>
      </c>
      <c r="AG12490" s="831" t="s">
        <v>2674</v>
      </c>
      <c r="AH12490" s="831" t="s">
        <v>103</v>
      </c>
      <c r="AI12490" s="831">
        <v>0</v>
      </c>
      <c r="AJ12490" s="835">
        <v>41759</v>
      </c>
      <c r="AK12490" s="831">
        <v>283207956</v>
      </c>
    </row>
    <row r="12491" spans="2:37">
      <c r="B12491" s="834" t="str">
        <f t="shared" si="469"/>
        <v>|||</v>
      </c>
      <c r="H12491" s="835">
        <f t="shared" si="470"/>
        <v>31</v>
      </c>
      <c r="AF12491" s="831" t="s">
        <v>11458</v>
      </c>
      <c r="AG12491" s="831" t="s">
        <v>2674</v>
      </c>
      <c r="AH12491" s="831" t="s">
        <v>182</v>
      </c>
      <c r="AI12491" s="831">
        <v>0</v>
      </c>
      <c r="AJ12491" s="835">
        <v>41759</v>
      </c>
      <c r="AK12491" s="831">
        <v>69513741</v>
      </c>
    </row>
    <row r="12492" spans="2:37">
      <c r="B12492" s="834" t="str">
        <f t="shared" si="469"/>
        <v>|||</v>
      </c>
      <c r="H12492" s="835">
        <f t="shared" si="470"/>
        <v>31</v>
      </c>
      <c r="AF12492" s="831" t="s">
        <v>11459</v>
      </c>
      <c r="AG12492" s="831" t="s">
        <v>2674</v>
      </c>
      <c r="AH12492" s="831" t="s">
        <v>6600</v>
      </c>
      <c r="AI12492" s="831">
        <v>0</v>
      </c>
      <c r="AJ12492" s="835">
        <v>41759</v>
      </c>
      <c r="AK12492" s="831">
        <v>30512730.956000008</v>
      </c>
    </row>
    <row r="12493" spans="2:37">
      <c r="B12493" s="834" t="str">
        <f t="shared" si="469"/>
        <v>|||</v>
      </c>
      <c r="H12493" s="835">
        <f t="shared" si="470"/>
        <v>31</v>
      </c>
      <c r="AF12493" s="831" t="s">
        <v>11460</v>
      </c>
      <c r="AG12493" s="831" t="s">
        <v>2674</v>
      </c>
      <c r="AH12493" s="831" t="s">
        <v>6602</v>
      </c>
      <c r="AI12493" s="831">
        <v>0</v>
      </c>
      <c r="AJ12493" s="835">
        <v>41759</v>
      </c>
      <c r="AK12493" s="831">
        <v>11900832</v>
      </c>
    </row>
    <row r="12494" spans="2:37">
      <c r="B12494" s="834" t="str">
        <f t="shared" si="469"/>
        <v>|||</v>
      </c>
      <c r="H12494" s="835">
        <f t="shared" si="470"/>
        <v>31</v>
      </c>
      <c r="AF12494" s="831" t="s">
        <v>11461</v>
      </c>
      <c r="AG12494" s="831" t="s">
        <v>2674</v>
      </c>
      <c r="AH12494" s="831" t="s">
        <v>650</v>
      </c>
      <c r="AI12494" s="831">
        <v>0</v>
      </c>
      <c r="AJ12494" s="835">
        <v>41759</v>
      </c>
      <c r="AK12494" s="831">
        <v>234971386.50146157</v>
      </c>
    </row>
    <row r="12495" spans="2:37">
      <c r="B12495" s="834" t="str">
        <f t="shared" si="469"/>
        <v>|||</v>
      </c>
      <c r="H12495" s="835">
        <f t="shared" si="470"/>
        <v>31</v>
      </c>
      <c r="AF12495" s="831" t="s">
        <v>11462</v>
      </c>
      <c r="AG12495" s="831" t="s">
        <v>2674</v>
      </c>
      <c r="AH12495" s="831" t="s">
        <v>655</v>
      </c>
      <c r="AI12495" s="831">
        <v>0</v>
      </c>
      <c r="AJ12495" s="835">
        <v>41759</v>
      </c>
      <c r="AK12495" s="831">
        <v>1842214</v>
      </c>
    </row>
    <row r="12496" spans="2:37">
      <c r="B12496" s="834" t="str">
        <f t="shared" si="469"/>
        <v>|||</v>
      </c>
      <c r="H12496" s="835">
        <f t="shared" si="470"/>
        <v>31</v>
      </c>
      <c r="AF12496" s="831" t="s">
        <v>11463</v>
      </c>
      <c r="AG12496" s="831" t="s">
        <v>2674</v>
      </c>
      <c r="AH12496" s="831" t="s">
        <v>546</v>
      </c>
      <c r="AI12496" s="831">
        <v>0</v>
      </c>
      <c r="AJ12496" s="835">
        <v>41790</v>
      </c>
      <c r="AK12496" s="831">
        <v>718268239</v>
      </c>
    </row>
    <row r="12497" spans="2:37">
      <c r="B12497" s="834" t="str">
        <f t="shared" ref="B12497:B12560" si="471">C12497&amp;"|"&amp;D12497&amp;"|"&amp;E12497&amp;"|"&amp;F12497</f>
        <v>|||</v>
      </c>
      <c r="H12497" s="835">
        <f t="shared" ref="H12497:H12560" si="472">EOMONTH(L12497,0)</f>
        <v>31</v>
      </c>
      <c r="AF12497" s="831" t="s">
        <v>11464</v>
      </c>
      <c r="AG12497" s="831" t="s">
        <v>2674</v>
      </c>
      <c r="AH12497" s="831" t="s">
        <v>370</v>
      </c>
      <c r="AI12497" s="831">
        <v>0</v>
      </c>
      <c r="AJ12497" s="835">
        <v>41790</v>
      </c>
      <c r="AK12497" s="831">
        <v>862492850</v>
      </c>
    </row>
    <row r="12498" spans="2:37">
      <c r="B12498" s="834" t="str">
        <f t="shared" si="471"/>
        <v>|||</v>
      </c>
      <c r="H12498" s="835">
        <f t="shared" si="472"/>
        <v>31</v>
      </c>
      <c r="AF12498" s="831" t="s">
        <v>11465</v>
      </c>
      <c r="AG12498" s="831" t="s">
        <v>2674</v>
      </c>
      <c r="AH12498" s="831" t="s">
        <v>126</v>
      </c>
      <c r="AI12498" s="831">
        <v>0</v>
      </c>
      <c r="AJ12498" s="835">
        <v>41790</v>
      </c>
      <c r="AK12498" s="831">
        <v>131163748</v>
      </c>
    </row>
    <row r="12499" spans="2:37">
      <c r="B12499" s="834" t="str">
        <f t="shared" si="471"/>
        <v>|||</v>
      </c>
      <c r="H12499" s="835">
        <f t="shared" si="472"/>
        <v>31</v>
      </c>
      <c r="AF12499" s="831" t="s">
        <v>11466</v>
      </c>
      <c r="AG12499" s="831" t="s">
        <v>2674</v>
      </c>
      <c r="AH12499" s="831" t="s">
        <v>268</v>
      </c>
      <c r="AI12499" s="831">
        <v>0</v>
      </c>
      <c r="AJ12499" s="835">
        <v>41790</v>
      </c>
      <c r="AK12499" s="831">
        <v>15708716</v>
      </c>
    </row>
    <row r="12500" spans="2:37">
      <c r="B12500" s="834" t="str">
        <f t="shared" si="471"/>
        <v>|||</v>
      </c>
      <c r="H12500" s="835">
        <f t="shared" si="472"/>
        <v>31</v>
      </c>
      <c r="AF12500" s="831" t="s">
        <v>11467</v>
      </c>
      <c r="AG12500" s="831" t="s">
        <v>2674</v>
      </c>
      <c r="AH12500" s="831" t="s">
        <v>547</v>
      </c>
      <c r="AI12500" s="831">
        <v>0</v>
      </c>
      <c r="AJ12500" s="835">
        <v>41790</v>
      </c>
      <c r="AK12500" s="831">
        <v>777719977</v>
      </c>
    </row>
    <row r="12501" spans="2:37">
      <c r="B12501" s="834" t="str">
        <f t="shared" si="471"/>
        <v>|||</v>
      </c>
      <c r="H12501" s="835">
        <f t="shared" si="472"/>
        <v>31</v>
      </c>
      <c r="AF12501" s="831" t="s">
        <v>11468</v>
      </c>
      <c r="AG12501" s="831" t="s">
        <v>2674</v>
      </c>
      <c r="AH12501" s="831" t="s">
        <v>548</v>
      </c>
      <c r="AI12501" s="831">
        <v>0</v>
      </c>
      <c r="AJ12501" s="835">
        <v>41790</v>
      </c>
      <c r="AK12501" s="831">
        <v>117105496</v>
      </c>
    </row>
    <row r="12502" spans="2:37">
      <c r="B12502" s="834" t="str">
        <f t="shared" si="471"/>
        <v>|||</v>
      </c>
      <c r="H12502" s="835">
        <f t="shared" si="472"/>
        <v>31</v>
      </c>
      <c r="AF12502" s="831" t="s">
        <v>11469</v>
      </c>
      <c r="AG12502" s="831" t="s">
        <v>2674</v>
      </c>
      <c r="AH12502" s="831" t="s">
        <v>549</v>
      </c>
      <c r="AI12502" s="831">
        <v>0</v>
      </c>
      <c r="AJ12502" s="835">
        <v>41790</v>
      </c>
      <c r="AK12502" s="831">
        <v>505264542</v>
      </c>
    </row>
    <row r="12503" spans="2:37">
      <c r="B12503" s="834" t="str">
        <f t="shared" si="471"/>
        <v>|||</v>
      </c>
      <c r="H12503" s="835">
        <f t="shared" si="472"/>
        <v>31</v>
      </c>
      <c r="AF12503" s="831" t="s">
        <v>11470</v>
      </c>
      <c r="AG12503" s="831" t="s">
        <v>2674</v>
      </c>
      <c r="AH12503" s="831" t="s">
        <v>192</v>
      </c>
      <c r="AI12503" s="831">
        <v>0</v>
      </c>
      <c r="AJ12503" s="835">
        <v>41790</v>
      </c>
      <c r="AK12503" s="831">
        <v>-13258185</v>
      </c>
    </row>
    <row r="12504" spans="2:37">
      <c r="B12504" s="834" t="str">
        <f t="shared" si="471"/>
        <v>|||</v>
      </c>
      <c r="H12504" s="835">
        <f t="shared" si="472"/>
        <v>31</v>
      </c>
      <c r="AF12504" s="831" t="s">
        <v>11471</v>
      </c>
      <c r="AG12504" s="831" t="s">
        <v>2674</v>
      </c>
      <c r="AH12504" s="831" t="s">
        <v>558</v>
      </c>
      <c r="AI12504" s="831">
        <v>0</v>
      </c>
      <c r="AJ12504" s="835">
        <v>41790</v>
      </c>
      <c r="AK12504" s="831">
        <v>731329102</v>
      </c>
    </row>
    <row r="12505" spans="2:37">
      <c r="B12505" s="834" t="str">
        <f t="shared" si="471"/>
        <v>|||</v>
      </c>
      <c r="H12505" s="835">
        <f t="shared" si="472"/>
        <v>31</v>
      </c>
      <c r="AF12505" s="831" t="s">
        <v>11472</v>
      </c>
      <c r="AG12505" s="831" t="s">
        <v>2674</v>
      </c>
      <c r="AH12505" s="831" t="s">
        <v>65</v>
      </c>
      <c r="AI12505" s="831">
        <v>0</v>
      </c>
      <c r="AJ12505" s="835">
        <v>41790</v>
      </c>
      <c r="AK12505" s="831">
        <v>66573989</v>
      </c>
    </row>
    <row r="12506" spans="2:37">
      <c r="B12506" s="834" t="str">
        <f t="shared" si="471"/>
        <v>|||</v>
      </c>
      <c r="H12506" s="835">
        <f t="shared" si="472"/>
        <v>31</v>
      </c>
      <c r="AF12506" s="831" t="s">
        <v>11473</v>
      </c>
      <c r="AG12506" s="831" t="s">
        <v>2674</v>
      </c>
      <c r="AH12506" s="831" t="s">
        <v>89</v>
      </c>
      <c r="AI12506" s="831">
        <v>0</v>
      </c>
      <c r="AJ12506" s="835">
        <v>41790</v>
      </c>
      <c r="AK12506" s="831">
        <v>156336</v>
      </c>
    </row>
    <row r="12507" spans="2:37">
      <c r="B12507" s="834" t="str">
        <f t="shared" si="471"/>
        <v>|||</v>
      </c>
      <c r="H12507" s="835">
        <f t="shared" si="472"/>
        <v>31</v>
      </c>
      <c r="AF12507" s="831" t="s">
        <v>11474</v>
      </c>
      <c r="AG12507" s="831" t="s">
        <v>2674</v>
      </c>
      <c r="AH12507" s="831" t="s">
        <v>557</v>
      </c>
      <c r="AI12507" s="831">
        <v>0</v>
      </c>
      <c r="AJ12507" s="835">
        <v>41790</v>
      </c>
      <c r="AK12507" s="831">
        <v>174602</v>
      </c>
    </row>
    <row r="12508" spans="2:37">
      <c r="B12508" s="834" t="str">
        <f t="shared" si="471"/>
        <v>|||</v>
      </c>
      <c r="H12508" s="835">
        <f t="shared" si="472"/>
        <v>31</v>
      </c>
      <c r="AF12508" s="831" t="s">
        <v>11475</v>
      </c>
      <c r="AG12508" s="831" t="s">
        <v>2674</v>
      </c>
      <c r="AH12508" s="831" t="s">
        <v>29</v>
      </c>
      <c r="AI12508" s="831">
        <v>0</v>
      </c>
      <c r="AJ12508" s="835">
        <v>41790</v>
      </c>
      <c r="AK12508" s="831">
        <v>2450103.0319999997</v>
      </c>
    </row>
    <row r="12509" spans="2:37">
      <c r="B12509" s="834" t="str">
        <f t="shared" si="471"/>
        <v>|||</v>
      </c>
      <c r="H12509" s="835">
        <f t="shared" si="472"/>
        <v>31</v>
      </c>
      <c r="AF12509" s="831" t="s">
        <v>11476</v>
      </c>
      <c r="AG12509" s="831" t="s">
        <v>2674</v>
      </c>
      <c r="AH12509" s="831" t="s">
        <v>2688</v>
      </c>
      <c r="AI12509" s="831">
        <v>0</v>
      </c>
      <c r="AJ12509" s="835">
        <v>41790</v>
      </c>
      <c r="AK12509" s="831">
        <v>4770534.2300000004</v>
      </c>
    </row>
    <row r="12510" spans="2:37">
      <c r="B12510" s="834" t="str">
        <f t="shared" si="471"/>
        <v>|||</v>
      </c>
      <c r="H12510" s="835">
        <f t="shared" si="472"/>
        <v>31</v>
      </c>
      <c r="AF12510" s="831" t="s">
        <v>11477</v>
      </c>
      <c r="AG12510" s="831" t="s">
        <v>2674</v>
      </c>
      <c r="AH12510" s="831" t="s">
        <v>556</v>
      </c>
      <c r="AI12510" s="831">
        <v>0</v>
      </c>
      <c r="AJ12510" s="835">
        <v>41790</v>
      </c>
      <c r="AK12510" s="831">
        <v>1644732</v>
      </c>
    </row>
    <row r="12511" spans="2:37">
      <c r="B12511" s="834" t="str">
        <f t="shared" si="471"/>
        <v>|||</v>
      </c>
      <c r="H12511" s="835">
        <f t="shared" si="472"/>
        <v>31</v>
      </c>
      <c r="AF12511" s="831" t="s">
        <v>11478</v>
      </c>
      <c r="AG12511" s="831" t="s">
        <v>2674</v>
      </c>
      <c r="AH12511" s="831" t="s">
        <v>555</v>
      </c>
      <c r="AI12511" s="831">
        <v>0</v>
      </c>
      <c r="AJ12511" s="835">
        <v>41790</v>
      </c>
      <c r="AK12511" s="831">
        <v>468159807</v>
      </c>
    </row>
    <row r="12512" spans="2:37">
      <c r="B12512" s="834" t="str">
        <f t="shared" si="471"/>
        <v>|||</v>
      </c>
      <c r="H12512" s="835">
        <f t="shared" si="472"/>
        <v>31</v>
      </c>
      <c r="AF12512" s="831" t="s">
        <v>11479</v>
      </c>
      <c r="AG12512" s="831" t="s">
        <v>2674</v>
      </c>
      <c r="AH12512" s="831" t="s">
        <v>554</v>
      </c>
      <c r="AI12512" s="831">
        <v>0</v>
      </c>
      <c r="AJ12512" s="835">
        <v>41790</v>
      </c>
      <c r="AK12512" s="831">
        <v>476165900</v>
      </c>
    </row>
    <row r="12513" spans="2:37">
      <c r="B12513" s="834" t="str">
        <f t="shared" si="471"/>
        <v>|||</v>
      </c>
      <c r="H12513" s="835">
        <f t="shared" si="472"/>
        <v>31</v>
      </c>
      <c r="AF12513" s="831" t="s">
        <v>11480</v>
      </c>
      <c r="AG12513" s="831" t="s">
        <v>2674</v>
      </c>
      <c r="AH12513" s="831" t="s">
        <v>553</v>
      </c>
      <c r="AI12513" s="831">
        <v>0</v>
      </c>
      <c r="AJ12513" s="835">
        <v>41790</v>
      </c>
      <c r="AK12513" s="831">
        <v>0</v>
      </c>
    </row>
    <row r="12514" spans="2:37">
      <c r="B12514" s="834" t="str">
        <f t="shared" si="471"/>
        <v>|||</v>
      </c>
      <c r="H12514" s="835">
        <f t="shared" si="472"/>
        <v>31</v>
      </c>
      <c r="AF12514" s="831" t="s">
        <v>11481</v>
      </c>
      <c r="AG12514" s="831" t="s">
        <v>2674</v>
      </c>
      <c r="AH12514" s="831" t="s">
        <v>552</v>
      </c>
      <c r="AI12514" s="831">
        <v>0</v>
      </c>
      <c r="AJ12514" s="835">
        <v>41790</v>
      </c>
      <c r="AK12514" s="831">
        <v>0</v>
      </c>
    </row>
    <row r="12515" spans="2:37">
      <c r="B12515" s="834" t="str">
        <f t="shared" si="471"/>
        <v>|||</v>
      </c>
      <c r="H12515" s="835">
        <f t="shared" si="472"/>
        <v>31</v>
      </c>
      <c r="AF12515" s="831" t="s">
        <v>11482</v>
      </c>
      <c r="AG12515" s="831" t="s">
        <v>2674</v>
      </c>
      <c r="AH12515" s="831" t="s">
        <v>551</v>
      </c>
      <c r="AI12515" s="831">
        <v>0</v>
      </c>
      <c r="AJ12515" s="835">
        <v>41790</v>
      </c>
      <c r="AK12515" s="831">
        <v>2150143.8450000002</v>
      </c>
    </row>
    <row r="12516" spans="2:37">
      <c r="B12516" s="834" t="str">
        <f t="shared" si="471"/>
        <v>|||</v>
      </c>
      <c r="H12516" s="835">
        <f t="shared" si="472"/>
        <v>31</v>
      </c>
      <c r="AF12516" s="831" t="s">
        <v>11483</v>
      </c>
      <c r="AG12516" s="831" t="s">
        <v>2674</v>
      </c>
      <c r="AH12516" s="831" t="s">
        <v>550</v>
      </c>
      <c r="AI12516" s="831">
        <v>0</v>
      </c>
      <c r="AJ12516" s="835">
        <v>41790</v>
      </c>
      <c r="AK12516" s="831">
        <v>127155751</v>
      </c>
    </row>
    <row r="12517" spans="2:37">
      <c r="B12517" s="834" t="str">
        <f t="shared" si="471"/>
        <v>|||</v>
      </c>
      <c r="H12517" s="835">
        <f t="shared" si="472"/>
        <v>31</v>
      </c>
      <c r="AF12517" s="831" t="s">
        <v>11484</v>
      </c>
      <c r="AG12517" s="831" t="s">
        <v>2674</v>
      </c>
      <c r="AH12517" s="831" t="s">
        <v>562</v>
      </c>
      <c r="AI12517" s="831">
        <v>0</v>
      </c>
      <c r="AJ12517" s="835">
        <v>41790</v>
      </c>
      <c r="AK12517" s="831">
        <v>0.78385000000000005</v>
      </c>
    </row>
    <row r="12518" spans="2:37">
      <c r="B12518" s="834" t="str">
        <f t="shared" si="471"/>
        <v>|||</v>
      </c>
      <c r="H12518" s="835">
        <f t="shared" si="472"/>
        <v>31</v>
      </c>
      <c r="AF12518" s="831" t="s">
        <v>11485</v>
      </c>
      <c r="AG12518" s="831" t="s">
        <v>2674</v>
      </c>
      <c r="AH12518" s="831" t="s">
        <v>2698</v>
      </c>
      <c r="AI12518" s="831">
        <v>0</v>
      </c>
      <c r="AJ12518" s="835">
        <v>41790</v>
      </c>
      <c r="AK12518" s="831">
        <v>0.78374999999999995</v>
      </c>
    </row>
    <row r="12519" spans="2:37">
      <c r="B12519" s="834" t="str">
        <f t="shared" si="471"/>
        <v>|||</v>
      </c>
      <c r="H12519" s="835">
        <f t="shared" si="472"/>
        <v>31</v>
      </c>
      <c r="AF12519" s="831" t="s">
        <v>11486</v>
      </c>
      <c r="AG12519" s="831" t="s">
        <v>2674</v>
      </c>
      <c r="AH12519" s="831" t="s">
        <v>560</v>
      </c>
      <c r="AI12519" s="831">
        <v>0</v>
      </c>
      <c r="AJ12519" s="835">
        <v>41790</v>
      </c>
      <c r="AK12519" s="831">
        <v>0.78376999999999997</v>
      </c>
    </row>
    <row r="12520" spans="2:37">
      <c r="B12520" s="834" t="str">
        <f t="shared" si="471"/>
        <v>|||</v>
      </c>
      <c r="H12520" s="835">
        <f t="shared" si="472"/>
        <v>31</v>
      </c>
      <c r="AF12520" s="831" t="s">
        <v>11487</v>
      </c>
      <c r="AG12520" s="831" t="s">
        <v>2674</v>
      </c>
      <c r="AH12520" s="831" t="s">
        <v>559</v>
      </c>
      <c r="AI12520" s="831">
        <v>0</v>
      </c>
      <c r="AJ12520" s="835">
        <v>41790</v>
      </c>
      <c r="AK12520" s="831">
        <v>0.78379166666666666</v>
      </c>
    </row>
    <row r="12521" spans="2:37">
      <c r="B12521" s="834" t="str">
        <f t="shared" si="471"/>
        <v>|||</v>
      </c>
      <c r="H12521" s="835">
        <f t="shared" si="472"/>
        <v>31</v>
      </c>
      <c r="AF12521" s="831" t="s">
        <v>11488</v>
      </c>
      <c r="AG12521" s="831" t="s">
        <v>2674</v>
      </c>
      <c r="AH12521" s="831" t="s">
        <v>568</v>
      </c>
      <c r="AI12521" s="831">
        <v>0</v>
      </c>
      <c r="AJ12521" s="835">
        <v>41790</v>
      </c>
      <c r="AK12521" s="831">
        <v>602753430.99615383</v>
      </c>
    </row>
    <row r="12522" spans="2:37">
      <c r="B12522" s="834" t="str">
        <f t="shared" si="471"/>
        <v>|||</v>
      </c>
      <c r="H12522" s="835">
        <f t="shared" si="472"/>
        <v>31</v>
      </c>
      <c r="AF12522" s="831" t="s">
        <v>11489</v>
      </c>
      <c r="AG12522" s="831" t="s">
        <v>2674</v>
      </c>
      <c r="AH12522" s="831" t="s">
        <v>569</v>
      </c>
      <c r="AI12522" s="831">
        <v>0</v>
      </c>
      <c r="AJ12522" s="835">
        <v>41790</v>
      </c>
      <c r="AK12522" s="831">
        <v>739200989.8963846</v>
      </c>
    </row>
    <row r="12523" spans="2:37">
      <c r="B12523" s="834" t="str">
        <f t="shared" si="471"/>
        <v>|||</v>
      </c>
      <c r="H12523" s="835">
        <f t="shared" si="472"/>
        <v>31</v>
      </c>
      <c r="AF12523" s="831" t="s">
        <v>11490</v>
      </c>
      <c r="AG12523" s="831" t="s">
        <v>2674</v>
      </c>
      <c r="AH12523" s="831" t="s">
        <v>570</v>
      </c>
      <c r="AI12523" s="831">
        <v>0</v>
      </c>
      <c r="AJ12523" s="835">
        <v>41790</v>
      </c>
      <c r="AK12523" s="831">
        <v>117953141.44353844</v>
      </c>
    </row>
    <row r="12524" spans="2:37">
      <c r="B12524" s="834" t="str">
        <f t="shared" si="471"/>
        <v>|||</v>
      </c>
      <c r="H12524" s="835">
        <f t="shared" si="472"/>
        <v>31</v>
      </c>
      <c r="AF12524" s="831" t="s">
        <v>11491</v>
      </c>
      <c r="AG12524" s="831" t="s">
        <v>2674</v>
      </c>
      <c r="AH12524" s="831" t="s">
        <v>571</v>
      </c>
      <c r="AI12524" s="831">
        <v>0</v>
      </c>
      <c r="AJ12524" s="835">
        <v>41790</v>
      </c>
      <c r="AK12524" s="831">
        <v>358988619.82100004</v>
      </c>
    </row>
    <row r="12525" spans="2:37">
      <c r="B12525" s="834" t="str">
        <f t="shared" si="471"/>
        <v>|||</v>
      </c>
      <c r="H12525" s="835">
        <f t="shared" si="472"/>
        <v>31</v>
      </c>
      <c r="AF12525" s="831" t="s">
        <v>11492</v>
      </c>
      <c r="AG12525" s="831" t="s">
        <v>2674</v>
      </c>
      <c r="AH12525" s="831" t="s">
        <v>573</v>
      </c>
      <c r="AI12525" s="831">
        <v>0</v>
      </c>
      <c r="AJ12525" s="835">
        <v>41790</v>
      </c>
      <c r="AK12525" s="831">
        <v>816120360.26049995</v>
      </c>
    </row>
    <row r="12526" spans="2:37">
      <c r="B12526" s="834" t="str">
        <f t="shared" si="471"/>
        <v>|||</v>
      </c>
      <c r="H12526" s="835">
        <f t="shared" si="472"/>
        <v>31</v>
      </c>
      <c r="AF12526" s="831" t="s">
        <v>11493</v>
      </c>
      <c r="AG12526" s="831" t="s">
        <v>2674</v>
      </c>
      <c r="AH12526" s="831" t="s">
        <v>574</v>
      </c>
      <c r="AI12526" s="831">
        <v>0</v>
      </c>
      <c r="AJ12526" s="835">
        <v>41790</v>
      </c>
      <c r="AK12526" s="831">
        <v>665724043</v>
      </c>
    </row>
    <row r="12527" spans="2:37">
      <c r="B12527" s="834" t="str">
        <f t="shared" si="471"/>
        <v>|||</v>
      </c>
      <c r="H12527" s="835">
        <f t="shared" si="472"/>
        <v>31</v>
      </c>
      <c r="AF12527" s="831" t="s">
        <v>11494</v>
      </c>
      <c r="AG12527" s="831" t="s">
        <v>2674</v>
      </c>
      <c r="AH12527" s="831" t="s">
        <v>575</v>
      </c>
      <c r="AI12527" s="831">
        <v>0</v>
      </c>
      <c r="AJ12527" s="835">
        <v>41790</v>
      </c>
      <c r="AK12527" s="831">
        <v>122389529.81833333</v>
      </c>
    </row>
    <row r="12528" spans="2:37">
      <c r="B12528" s="834" t="str">
        <f t="shared" si="471"/>
        <v>|||</v>
      </c>
      <c r="H12528" s="835">
        <f t="shared" si="472"/>
        <v>31</v>
      </c>
      <c r="AF12528" s="831" t="s">
        <v>11495</v>
      </c>
      <c r="AG12528" s="831" t="s">
        <v>2674</v>
      </c>
      <c r="AH12528" s="831" t="s">
        <v>576</v>
      </c>
      <c r="AI12528" s="831">
        <v>0</v>
      </c>
      <c r="AJ12528" s="835">
        <v>41790</v>
      </c>
      <c r="AK12528" s="831">
        <v>399225453.60183334</v>
      </c>
    </row>
    <row r="12529" spans="2:37">
      <c r="B12529" s="834" t="str">
        <f t="shared" si="471"/>
        <v>|||</v>
      </c>
      <c r="H12529" s="835">
        <f t="shared" si="472"/>
        <v>31</v>
      </c>
      <c r="AF12529" s="831" t="s">
        <v>11496</v>
      </c>
      <c r="AG12529" s="831" t="s">
        <v>2674</v>
      </c>
      <c r="AH12529" s="831" t="s">
        <v>572</v>
      </c>
      <c r="AI12529" s="831">
        <v>0</v>
      </c>
      <c r="AJ12529" s="835">
        <v>41790</v>
      </c>
      <c r="AK12529" s="831">
        <v>31997124.956000008</v>
      </c>
    </row>
    <row r="12530" spans="2:37">
      <c r="B12530" s="834" t="str">
        <f t="shared" si="471"/>
        <v>|||</v>
      </c>
      <c r="H12530" s="835">
        <f t="shared" si="472"/>
        <v>31</v>
      </c>
      <c r="AF12530" s="831" t="s">
        <v>11497</v>
      </c>
      <c r="AG12530" s="831" t="s">
        <v>2674</v>
      </c>
      <c r="AH12530" s="831" t="s">
        <v>577</v>
      </c>
      <c r="AI12530" s="831">
        <v>0</v>
      </c>
      <c r="AJ12530" s="835">
        <v>41790</v>
      </c>
      <c r="AK12530" s="831">
        <v>149793646.76300001</v>
      </c>
    </row>
    <row r="12531" spans="2:37">
      <c r="B12531" s="834" t="str">
        <f t="shared" si="471"/>
        <v>|||</v>
      </c>
      <c r="H12531" s="835">
        <f t="shared" si="472"/>
        <v>31</v>
      </c>
      <c r="AF12531" s="831" t="s">
        <v>11498</v>
      </c>
      <c r="AG12531" s="831" t="s">
        <v>2674</v>
      </c>
      <c r="AH12531" s="831" t="s">
        <v>3042</v>
      </c>
      <c r="AI12531" s="831">
        <v>0</v>
      </c>
      <c r="AJ12531" s="835">
        <v>41790</v>
      </c>
      <c r="AK12531" s="831">
        <v>-41488938.527000003</v>
      </c>
    </row>
    <row r="12532" spans="2:37">
      <c r="B12532" s="834" t="str">
        <f t="shared" si="471"/>
        <v>|||</v>
      </c>
      <c r="H12532" s="835">
        <f t="shared" si="472"/>
        <v>31</v>
      </c>
      <c r="AF12532" s="831" t="s">
        <v>11499</v>
      </c>
      <c r="AG12532" s="831" t="s">
        <v>2674</v>
      </c>
      <c r="AH12532" s="831" t="s">
        <v>3044</v>
      </c>
      <c r="AI12532" s="831">
        <v>0</v>
      </c>
      <c r="AJ12532" s="835">
        <v>41790</v>
      </c>
      <c r="AK12532" s="831">
        <v>-2734199.8899999997</v>
      </c>
    </row>
    <row r="12533" spans="2:37">
      <c r="B12533" s="834" t="str">
        <f t="shared" si="471"/>
        <v>|||</v>
      </c>
      <c r="H12533" s="835">
        <f t="shared" si="472"/>
        <v>31</v>
      </c>
      <c r="AF12533" s="831" t="s">
        <v>11500</v>
      </c>
      <c r="AG12533" s="831" t="s">
        <v>2674</v>
      </c>
      <c r="AH12533" s="831" t="s">
        <v>580</v>
      </c>
      <c r="AI12533" s="831">
        <v>0</v>
      </c>
      <c r="AJ12533" s="835">
        <v>41790</v>
      </c>
      <c r="AK12533" s="831">
        <v>-69707657.306999996</v>
      </c>
    </row>
    <row r="12534" spans="2:37">
      <c r="B12534" s="834" t="str">
        <f t="shared" si="471"/>
        <v>|||</v>
      </c>
      <c r="H12534" s="835">
        <f t="shared" si="472"/>
        <v>31</v>
      </c>
      <c r="AF12534" s="831" t="s">
        <v>11501</v>
      </c>
      <c r="AG12534" s="831" t="s">
        <v>2674</v>
      </c>
      <c r="AH12534" s="831" t="s">
        <v>581</v>
      </c>
      <c r="AI12534" s="831">
        <v>0</v>
      </c>
      <c r="AJ12534" s="835">
        <v>41790</v>
      </c>
      <c r="AK12534" s="831">
        <v>5958727.8940000003</v>
      </c>
    </row>
    <row r="12535" spans="2:37">
      <c r="B12535" s="834" t="str">
        <f t="shared" si="471"/>
        <v>|||</v>
      </c>
      <c r="H12535" s="835">
        <f t="shared" si="472"/>
        <v>31</v>
      </c>
      <c r="AF12535" s="831" t="s">
        <v>11502</v>
      </c>
      <c r="AG12535" s="831" t="s">
        <v>2674</v>
      </c>
      <c r="AH12535" s="831" t="s">
        <v>105</v>
      </c>
      <c r="AI12535" s="831">
        <v>0</v>
      </c>
      <c r="AJ12535" s="835">
        <v>41790</v>
      </c>
      <c r="AK12535" s="831">
        <v>420089711</v>
      </c>
    </row>
    <row r="12536" spans="2:37">
      <c r="B12536" s="834" t="str">
        <f t="shared" si="471"/>
        <v>|||</v>
      </c>
      <c r="H12536" s="835">
        <f t="shared" si="472"/>
        <v>31</v>
      </c>
      <c r="AF12536" s="831" t="s">
        <v>11503</v>
      </c>
      <c r="AG12536" s="831" t="s">
        <v>2674</v>
      </c>
      <c r="AH12536" s="831" t="s">
        <v>3049</v>
      </c>
      <c r="AI12536" s="831">
        <v>0</v>
      </c>
      <c r="AJ12536" s="835">
        <v>41790</v>
      </c>
      <c r="AK12536" s="831">
        <v>709561626</v>
      </c>
    </row>
    <row r="12537" spans="2:37">
      <c r="B12537" s="834" t="str">
        <f t="shared" si="471"/>
        <v>|||</v>
      </c>
      <c r="H12537" s="835">
        <f t="shared" si="472"/>
        <v>31</v>
      </c>
      <c r="AF12537" s="831" t="s">
        <v>11504</v>
      </c>
      <c r="AG12537" s="831" t="s">
        <v>2674</v>
      </c>
      <c r="AH12537" s="831" t="s">
        <v>103</v>
      </c>
      <c r="AI12537" s="831">
        <v>0</v>
      </c>
      <c r="AJ12537" s="835">
        <v>41790</v>
      </c>
      <c r="AK12537" s="831">
        <v>289471915</v>
      </c>
    </row>
    <row r="12538" spans="2:37">
      <c r="B12538" s="834" t="str">
        <f t="shared" si="471"/>
        <v>|||</v>
      </c>
      <c r="H12538" s="835">
        <f t="shared" si="472"/>
        <v>31</v>
      </c>
      <c r="AF12538" s="831" t="s">
        <v>11505</v>
      </c>
      <c r="AG12538" s="831" t="s">
        <v>2674</v>
      </c>
      <c r="AH12538" s="831" t="s">
        <v>182</v>
      </c>
      <c r="AI12538" s="831">
        <v>0</v>
      </c>
      <c r="AJ12538" s="835">
        <v>41790</v>
      </c>
      <c r="AK12538" s="831">
        <v>69984388.799999997</v>
      </c>
    </row>
    <row r="12539" spans="2:37">
      <c r="B12539" s="834" t="str">
        <f t="shared" si="471"/>
        <v>|||</v>
      </c>
      <c r="H12539" s="835">
        <f t="shared" si="472"/>
        <v>31</v>
      </c>
      <c r="AF12539" s="831" t="s">
        <v>11506</v>
      </c>
      <c r="AG12539" s="831" t="s">
        <v>2674</v>
      </c>
      <c r="AH12539" s="831" t="s">
        <v>6600</v>
      </c>
      <c r="AI12539" s="831">
        <v>0</v>
      </c>
      <c r="AJ12539" s="835">
        <v>41790</v>
      </c>
      <c r="AK12539" s="831">
        <v>31997124.956000008</v>
      </c>
    </row>
    <row r="12540" spans="2:37">
      <c r="B12540" s="834" t="str">
        <f t="shared" si="471"/>
        <v>|||</v>
      </c>
      <c r="H12540" s="835">
        <f t="shared" si="472"/>
        <v>31</v>
      </c>
      <c r="AF12540" s="831" t="s">
        <v>11507</v>
      </c>
      <c r="AG12540" s="831" t="s">
        <v>2674</v>
      </c>
      <c r="AH12540" s="831" t="s">
        <v>6602</v>
      </c>
      <c r="AI12540" s="831">
        <v>0</v>
      </c>
      <c r="AJ12540" s="835">
        <v>41790</v>
      </c>
      <c r="AK12540" s="831">
        <v>15708716</v>
      </c>
    </row>
    <row r="12541" spans="2:37">
      <c r="B12541" s="834" t="str">
        <f t="shared" si="471"/>
        <v>|||</v>
      </c>
      <c r="H12541" s="835">
        <f t="shared" si="472"/>
        <v>31</v>
      </c>
      <c r="AF12541" s="831" t="s">
        <v>11508</v>
      </c>
      <c r="AG12541" s="831" t="s">
        <v>2674</v>
      </c>
      <c r="AH12541" s="831" t="s">
        <v>650</v>
      </c>
      <c r="AI12541" s="831">
        <v>0</v>
      </c>
      <c r="AJ12541" s="835">
        <v>41790</v>
      </c>
      <c r="AK12541" s="831">
        <v>242496217.73223078</v>
      </c>
    </row>
    <row r="12542" spans="2:37">
      <c r="B12542" s="834" t="str">
        <f t="shared" si="471"/>
        <v>|||</v>
      </c>
      <c r="H12542" s="835">
        <f t="shared" si="472"/>
        <v>31</v>
      </c>
      <c r="AF12542" s="831" t="s">
        <v>11509</v>
      </c>
      <c r="AG12542" s="831" t="s">
        <v>2674</v>
      </c>
      <c r="AH12542" s="831" t="s">
        <v>655</v>
      </c>
      <c r="AI12542" s="831">
        <v>0</v>
      </c>
      <c r="AJ12542" s="835">
        <v>41790</v>
      </c>
      <c r="AK12542" s="831">
        <v>1936751.44</v>
      </c>
    </row>
    <row r="12543" spans="2:37">
      <c r="B12543" s="834" t="str">
        <f t="shared" si="471"/>
        <v>|||</v>
      </c>
      <c r="H12543" s="835">
        <f t="shared" si="472"/>
        <v>31</v>
      </c>
      <c r="AF12543" s="831" t="s">
        <v>11510</v>
      </c>
      <c r="AG12543" s="831" t="s">
        <v>2674</v>
      </c>
      <c r="AH12543" s="831" t="s">
        <v>546</v>
      </c>
      <c r="AI12543" s="831">
        <v>0</v>
      </c>
      <c r="AJ12543" s="835">
        <v>41820</v>
      </c>
      <c r="AK12543" s="831">
        <v>728057591</v>
      </c>
    </row>
    <row r="12544" spans="2:37">
      <c r="B12544" s="834" t="str">
        <f t="shared" si="471"/>
        <v>|||</v>
      </c>
      <c r="H12544" s="835">
        <f t="shared" si="472"/>
        <v>31</v>
      </c>
      <c r="AF12544" s="831" t="s">
        <v>11511</v>
      </c>
      <c r="AG12544" s="831" t="s">
        <v>2674</v>
      </c>
      <c r="AH12544" s="831" t="s">
        <v>370</v>
      </c>
      <c r="AI12544" s="831">
        <v>0</v>
      </c>
      <c r="AJ12544" s="835">
        <v>41820</v>
      </c>
      <c r="AK12544" s="831">
        <v>911200946</v>
      </c>
    </row>
    <row r="12545" spans="2:37">
      <c r="B12545" s="834" t="str">
        <f t="shared" si="471"/>
        <v>|||</v>
      </c>
      <c r="H12545" s="835">
        <f t="shared" si="472"/>
        <v>31</v>
      </c>
      <c r="AF12545" s="831" t="s">
        <v>11512</v>
      </c>
      <c r="AG12545" s="831" t="s">
        <v>2674</v>
      </c>
      <c r="AH12545" s="831" t="s">
        <v>126</v>
      </c>
      <c r="AI12545" s="831">
        <v>0</v>
      </c>
      <c r="AJ12545" s="835">
        <v>41820</v>
      </c>
      <c r="AK12545" s="831">
        <v>135362821</v>
      </c>
    </row>
    <row r="12546" spans="2:37">
      <c r="B12546" s="834" t="str">
        <f t="shared" si="471"/>
        <v>|||</v>
      </c>
      <c r="H12546" s="835">
        <f t="shared" si="472"/>
        <v>31</v>
      </c>
      <c r="AF12546" s="831" t="s">
        <v>11513</v>
      </c>
      <c r="AG12546" s="831" t="s">
        <v>2674</v>
      </c>
      <c r="AH12546" s="831" t="s">
        <v>268</v>
      </c>
      <c r="AI12546" s="831">
        <v>0</v>
      </c>
      <c r="AJ12546" s="835">
        <v>41820</v>
      </c>
      <c r="AK12546" s="831">
        <v>18626919</v>
      </c>
    </row>
    <row r="12547" spans="2:37">
      <c r="B12547" s="834" t="str">
        <f t="shared" si="471"/>
        <v>|||</v>
      </c>
      <c r="H12547" s="835">
        <f t="shared" si="472"/>
        <v>31</v>
      </c>
      <c r="AF12547" s="831" t="s">
        <v>11514</v>
      </c>
      <c r="AG12547" s="831" t="s">
        <v>2674</v>
      </c>
      <c r="AH12547" s="831" t="s">
        <v>547</v>
      </c>
      <c r="AI12547" s="831">
        <v>0</v>
      </c>
      <c r="AJ12547" s="835">
        <v>41820</v>
      </c>
      <c r="AK12547" s="831">
        <v>777719977</v>
      </c>
    </row>
    <row r="12548" spans="2:37">
      <c r="B12548" s="834" t="str">
        <f t="shared" si="471"/>
        <v>|||</v>
      </c>
      <c r="H12548" s="835">
        <f t="shared" si="472"/>
        <v>31</v>
      </c>
      <c r="AF12548" s="831" t="s">
        <v>11515</v>
      </c>
      <c r="AG12548" s="831" t="s">
        <v>2674</v>
      </c>
      <c r="AH12548" s="831" t="s">
        <v>548</v>
      </c>
      <c r="AI12548" s="831">
        <v>0</v>
      </c>
      <c r="AJ12548" s="835">
        <v>41820</v>
      </c>
      <c r="AK12548" s="831">
        <v>117105496</v>
      </c>
    </row>
    <row r="12549" spans="2:37">
      <c r="B12549" s="834" t="str">
        <f t="shared" si="471"/>
        <v>|||</v>
      </c>
      <c r="H12549" s="835">
        <f t="shared" si="472"/>
        <v>31</v>
      </c>
      <c r="AF12549" s="831" t="s">
        <v>11516</v>
      </c>
      <c r="AG12549" s="831" t="s">
        <v>2674</v>
      </c>
      <c r="AH12549" s="831" t="s">
        <v>549</v>
      </c>
      <c r="AI12549" s="831">
        <v>0</v>
      </c>
      <c r="AJ12549" s="835">
        <v>41820</v>
      </c>
      <c r="AK12549" s="831">
        <v>514798833</v>
      </c>
    </row>
    <row r="12550" spans="2:37">
      <c r="B12550" s="834" t="str">
        <f t="shared" si="471"/>
        <v>|||</v>
      </c>
      <c r="H12550" s="835">
        <f t="shared" si="472"/>
        <v>31</v>
      </c>
      <c r="AF12550" s="831" t="s">
        <v>11517</v>
      </c>
      <c r="AG12550" s="831" t="s">
        <v>2674</v>
      </c>
      <c r="AH12550" s="831" t="s">
        <v>192</v>
      </c>
      <c r="AI12550" s="831">
        <v>0</v>
      </c>
      <c r="AJ12550" s="835">
        <v>41820</v>
      </c>
      <c r="AK12550" s="831">
        <v>-11632261</v>
      </c>
    </row>
    <row r="12551" spans="2:37">
      <c r="B12551" s="834" t="str">
        <f t="shared" si="471"/>
        <v>|||</v>
      </c>
      <c r="H12551" s="835">
        <f t="shared" si="472"/>
        <v>31</v>
      </c>
      <c r="AF12551" s="831" t="s">
        <v>11518</v>
      </c>
      <c r="AG12551" s="831" t="s">
        <v>2674</v>
      </c>
      <c r="AH12551" s="831" t="s">
        <v>558</v>
      </c>
      <c r="AI12551" s="831">
        <v>0</v>
      </c>
      <c r="AJ12551" s="835">
        <v>41820</v>
      </c>
      <c r="AK12551" s="831">
        <v>775838125</v>
      </c>
    </row>
    <row r="12552" spans="2:37">
      <c r="B12552" s="834" t="str">
        <f t="shared" si="471"/>
        <v>|||</v>
      </c>
      <c r="H12552" s="835">
        <f t="shared" si="472"/>
        <v>31</v>
      </c>
      <c r="AF12552" s="831" t="s">
        <v>11519</v>
      </c>
      <c r="AG12552" s="831" t="s">
        <v>2674</v>
      </c>
      <c r="AH12552" s="831" t="s">
        <v>65</v>
      </c>
      <c r="AI12552" s="831">
        <v>0</v>
      </c>
      <c r="AJ12552" s="835">
        <v>41820</v>
      </c>
      <c r="AK12552" s="831">
        <v>81270371</v>
      </c>
    </row>
    <row r="12553" spans="2:37">
      <c r="B12553" s="834" t="str">
        <f t="shared" si="471"/>
        <v>|||</v>
      </c>
      <c r="H12553" s="835">
        <f t="shared" si="472"/>
        <v>31</v>
      </c>
      <c r="AF12553" s="831" t="s">
        <v>11520</v>
      </c>
      <c r="AG12553" s="831" t="s">
        <v>2674</v>
      </c>
      <c r="AH12553" s="831" t="s">
        <v>89</v>
      </c>
      <c r="AI12553" s="831">
        <v>0</v>
      </c>
      <c r="AJ12553" s="835">
        <v>41820</v>
      </c>
      <c r="AK12553" s="831">
        <v>156581</v>
      </c>
    </row>
    <row r="12554" spans="2:37">
      <c r="B12554" s="834" t="str">
        <f t="shared" si="471"/>
        <v>|||</v>
      </c>
      <c r="H12554" s="835">
        <f t="shared" si="472"/>
        <v>31</v>
      </c>
      <c r="AF12554" s="831" t="s">
        <v>11521</v>
      </c>
      <c r="AG12554" s="831" t="s">
        <v>2674</v>
      </c>
      <c r="AH12554" s="831" t="s">
        <v>557</v>
      </c>
      <c r="AI12554" s="831">
        <v>0</v>
      </c>
      <c r="AJ12554" s="835">
        <v>41820</v>
      </c>
      <c r="AK12554" s="831">
        <v>175816</v>
      </c>
    </row>
    <row r="12555" spans="2:37">
      <c r="B12555" s="834" t="str">
        <f t="shared" si="471"/>
        <v>|||</v>
      </c>
      <c r="H12555" s="835">
        <f t="shared" si="472"/>
        <v>31</v>
      </c>
      <c r="AF12555" s="831" t="s">
        <v>11522</v>
      </c>
      <c r="AG12555" s="831" t="s">
        <v>2674</v>
      </c>
      <c r="AH12555" s="831" t="s">
        <v>29</v>
      </c>
      <c r="AI12555" s="831">
        <v>0</v>
      </c>
      <c r="AJ12555" s="835">
        <v>41820</v>
      </c>
      <c r="AK12555" s="831">
        <v>1326248.81</v>
      </c>
    </row>
    <row r="12556" spans="2:37">
      <c r="B12556" s="834" t="str">
        <f t="shared" si="471"/>
        <v>|||</v>
      </c>
      <c r="H12556" s="835">
        <f t="shared" si="472"/>
        <v>31</v>
      </c>
      <c r="AF12556" s="831" t="s">
        <v>11523</v>
      </c>
      <c r="AG12556" s="831" t="s">
        <v>2674</v>
      </c>
      <c r="AH12556" s="831" t="s">
        <v>2688</v>
      </c>
      <c r="AI12556" s="831">
        <v>0</v>
      </c>
      <c r="AJ12556" s="835">
        <v>41820</v>
      </c>
      <c r="AK12556" s="831">
        <v>4329800.9399999995</v>
      </c>
    </row>
    <row r="12557" spans="2:37">
      <c r="B12557" s="834" t="str">
        <f t="shared" si="471"/>
        <v>|||</v>
      </c>
      <c r="H12557" s="835">
        <f t="shared" si="472"/>
        <v>31</v>
      </c>
      <c r="AF12557" s="831" t="s">
        <v>11524</v>
      </c>
      <c r="AG12557" s="831" t="s">
        <v>2674</v>
      </c>
      <c r="AH12557" s="831" t="s">
        <v>556</v>
      </c>
      <c r="AI12557" s="831">
        <v>0</v>
      </c>
      <c r="AJ12557" s="835">
        <v>41820</v>
      </c>
      <c r="AK12557" s="831">
        <v>3274918</v>
      </c>
    </row>
    <row r="12558" spans="2:37">
      <c r="B12558" s="834" t="str">
        <f t="shared" si="471"/>
        <v>|||</v>
      </c>
      <c r="H12558" s="835">
        <f t="shared" si="472"/>
        <v>31</v>
      </c>
      <c r="AF12558" s="831" t="s">
        <v>11525</v>
      </c>
      <c r="AG12558" s="831" t="s">
        <v>2674</v>
      </c>
      <c r="AH12558" s="831" t="s">
        <v>555</v>
      </c>
      <c r="AI12558" s="831">
        <v>0</v>
      </c>
      <c r="AJ12558" s="835">
        <v>41820</v>
      </c>
      <c r="AK12558" s="831">
        <v>507133542</v>
      </c>
    </row>
    <row r="12559" spans="2:37">
      <c r="B12559" s="834" t="str">
        <f t="shared" si="471"/>
        <v>|||</v>
      </c>
      <c r="H12559" s="835">
        <f t="shared" si="472"/>
        <v>31</v>
      </c>
      <c r="AF12559" s="831" t="s">
        <v>11526</v>
      </c>
      <c r="AG12559" s="831" t="s">
        <v>2674</v>
      </c>
      <c r="AH12559" s="831" t="s">
        <v>554</v>
      </c>
      <c r="AI12559" s="831">
        <v>0</v>
      </c>
      <c r="AJ12559" s="835">
        <v>41820</v>
      </c>
      <c r="AK12559" s="831">
        <v>519019570</v>
      </c>
    </row>
    <row r="12560" spans="2:37">
      <c r="B12560" s="834" t="str">
        <f t="shared" si="471"/>
        <v>|||</v>
      </c>
      <c r="H12560" s="835">
        <f t="shared" si="472"/>
        <v>31</v>
      </c>
      <c r="AF12560" s="831" t="s">
        <v>11527</v>
      </c>
      <c r="AG12560" s="831" t="s">
        <v>2674</v>
      </c>
      <c r="AH12560" s="831" t="s">
        <v>553</v>
      </c>
      <c r="AI12560" s="831">
        <v>0</v>
      </c>
      <c r="AJ12560" s="835">
        <v>41820</v>
      </c>
      <c r="AK12560" s="831">
        <v>0</v>
      </c>
    </row>
    <row r="12561" spans="2:37">
      <c r="B12561" s="834" t="str">
        <f t="shared" ref="B12561:B12624" si="473">C12561&amp;"|"&amp;D12561&amp;"|"&amp;E12561&amp;"|"&amp;F12561</f>
        <v>|||</v>
      </c>
      <c r="H12561" s="835">
        <f t="shared" ref="H12561:H12624" si="474">EOMONTH(L12561,0)</f>
        <v>31</v>
      </c>
      <c r="AF12561" s="831" t="s">
        <v>11528</v>
      </c>
      <c r="AG12561" s="831" t="s">
        <v>2674</v>
      </c>
      <c r="AH12561" s="831" t="s">
        <v>552</v>
      </c>
      <c r="AI12561" s="831">
        <v>0</v>
      </c>
      <c r="AJ12561" s="835">
        <v>41820</v>
      </c>
      <c r="AK12561" s="831">
        <v>0</v>
      </c>
    </row>
    <row r="12562" spans="2:37">
      <c r="B12562" s="834" t="str">
        <f t="shared" si="473"/>
        <v>|||</v>
      </c>
      <c r="H12562" s="835">
        <f t="shared" si="474"/>
        <v>31</v>
      </c>
      <c r="AF12562" s="831" t="s">
        <v>11529</v>
      </c>
      <c r="AG12562" s="831" t="s">
        <v>2674</v>
      </c>
      <c r="AH12562" s="831" t="s">
        <v>551</v>
      </c>
      <c r="AI12562" s="831">
        <v>0</v>
      </c>
      <c r="AJ12562" s="835">
        <v>41820</v>
      </c>
      <c r="AK12562" s="831">
        <v>950588.81</v>
      </c>
    </row>
    <row r="12563" spans="2:37">
      <c r="B12563" s="834" t="str">
        <f t="shared" si="473"/>
        <v>|||</v>
      </c>
      <c r="H12563" s="835">
        <f t="shared" si="474"/>
        <v>31</v>
      </c>
      <c r="AF12563" s="831" t="s">
        <v>11530</v>
      </c>
      <c r="AG12563" s="831" t="s">
        <v>2674</v>
      </c>
      <c r="AH12563" s="831" t="s">
        <v>550</v>
      </c>
      <c r="AI12563" s="831">
        <v>0</v>
      </c>
      <c r="AJ12563" s="835">
        <v>41820</v>
      </c>
      <c r="AK12563" s="831">
        <v>131163748</v>
      </c>
    </row>
    <row r="12564" spans="2:37">
      <c r="B12564" s="834" t="str">
        <f t="shared" si="473"/>
        <v>|||</v>
      </c>
      <c r="H12564" s="835">
        <f t="shared" si="474"/>
        <v>31</v>
      </c>
      <c r="AF12564" s="831" t="s">
        <v>11531</v>
      </c>
      <c r="AG12564" s="831" t="s">
        <v>2674</v>
      </c>
      <c r="AH12564" s="831" t="s">
        <v>562</v>
      </c>
      <c r="AI12564" s="831">
        <v>0</v>
      </c>
      <c r="AJ12564" s="835">
        <v>41820</v>
      </c>
      <c r="AK12564" s="831">
        <v>0.78374999999999995</v>
      </c>
    </row>
    <row r="12565" spans="2:37">
      <c r="B12565" s="834" t="str">
        <f t="shared" si="473"/>
        <v>|||</v>
      </c>
      <c r="H12565" s="835">
        <f t="shared" si="474"/>
        <v>31</v>
      </c>
      <c r="AF12565" s="831" t="s">
        <v>11532</v>
      </c>
      <c r="AG12565" s="831" t="s">
        <v>2674</v>
      </c>
      <c r="AH12565" s="831" t="s">
        <v>2698</v>
      </c>
      <c r="AI12565" s="831">
        <v>0</v>
      </c>
      <c r="AJ12565" s="835">
        <v>41820</v>
      </c>
      <c r="AK12565" s="831">
        <v>0.78385000000000005</v>
      </c>
    </row>
    <row r="12566" spans="2:37">
      <c r="B12566" s="834" t="str">
        <f t="shared" si="473"/>
        <v>|||</v>
      </c>
      <c r="H12566" s="835">
        <f t="shared" si="474"/>
        <v>31</v>
      </c>
      <c r="AF12566" s="831" t="s">
        <v>11533</v>
      </c>
      <c r="AG12566" s="831" t="s">
        <v>2674</v>
      </c>
      <c r="AH12566" s="831" t="s">
        <v>560</v>
      </c>
      <c r="AI12566" s="831">
        <v>0</v>
      </c>
      <c r="AJ12566" s="835">
        <v>41820</v>
      </c>
      <c r="AK12566" s="831">
        <v>0.78376666666666672</v>
      </c>
    </row>
    <row r="12567" spans="2:37">
      <c r="B12567" s="834" t="str">
        <f t="shared" si="473"/>
        <v>|||</v>
      </c>
      <c r="H12567" s="835">
        <f t="shared" si="474"/>
        <v>31</v>
      </c>
      <c r="AF12567" s="831" t="s">
        <v>11534</v>
      </c>
      <c r="AG12567" s="831" t="s">
        <v>2674</v>
      </c>
      <c r="AH12567" s="831" t="s">
        <v>559</v>
      </c>
      <c r="AI12567" s="831">
        <v>0</v>
      </c>
      <c r="AJ12567" s="835">
        <v>41820</v>
      </c>
      <c r="AK12567" s="831">
        <v>0.783775</v>
      </c>
    </row>
    <row r="12568" spans="2:37">
      <c r="B12568" s="834" t="str">
        <f t="shared" si="473"/>
        <v>|||</v>
      </c>
      <c r="H12568" s="835">
        <f t="shared" si="474"/>
        <v>31</v>
      </c>
      <c r="AF12568" s="831" t="s">
        <v>11535</v>
      </c>
      <c r="AG12568" s="831" t="s">
        <v>2674</v>
      </c>
      <c r="AH12568" s="831" t="s">
        <v>568</v>
      </c>
      <c r="AI12568" s="831">
        <v>0</v>
      </c>
      <c r="AJ12568" s="835">
        <v>41820</v>
      </c>
      <c r="AK12568" s="831">
        <v>619891357.84230769</v>
      </c>
    </row>
    <row r="12569" spans="2:37">
      <c r="B12569" s="834" t="str">
        <f t="shared" si="473"/>
        <v>|||</v>
      </c>
      <c r="H12569" s="835">
        <f t="shared" si="474"/>
        <v>31</v>
      </c>
      <c r="AF12569" s="831" t="s">
        <v>11536</v>
      </c>
      <c r="AG12569" s="831" t="s">
        <v>2674</v>
      </c>
      <c r="AH12569" s="831" t="s">
        <v>569</v>
      </c>
      <c r="AI12569" s="831">
        <v>0</v>
      </c>
      <c r="AJ12569" s="835">
        <v>41820</v>
      </c>
      <c r="AK12569" s="831">
        <v>763501602.97330773</v>
      </c>
    </row>
    <row r="12570" spans="2:37">
      <c r="B12570" s="834" t="str">
        <f t="shared" si="473"/>
        <v>|||</v>
      </c>
      <c r="H12570" s="835">
        <f t="shared" si="474"/>
        <v>31</v>
      </c>
      <c r="AF12570" s="831" t="s">
        <v>11537</v>
      </c>
      <c r="AG12570" s="831" t="s">
        <v>2674</v>
      </c>
      <c r="AH12570" s="831" t="s">
        <v>570</v>
      </c>
      <c r="AI12570" s="831">
        <v>0</v>
      </c>
      <c r="AJ12570" s="835">
        <v>41820</v>
      </c>
      <c r="AK12570" s="831">
        <v>120238638.75123075</v>
      </c>
    </row>
    <row r="12571" spans="2:37">
      <c r="B12571" s="834" t="str">
        <f t="shared" si="473"/>
        <v>|||</v>
      </c>
      <c r="H12571" s="835">
        <f t="shared" si="474"/>
        <v>31</v>
      </c>
      <c r="AF12571" s="831" t="s">
        <v>11538</v>
      </c>
      <c r="AG12571" s="831" t="s">
        <v>2674</v>
      </c>
      <c r="AH12571" s="831" t="s">
        <v>571</v>
      </c>
      <c r="AI12571" s="831">
        <v>0</v>
      </c>
      <c r="AJ12571" s="835">
        <v>41820</v>
      </c>
      <c r="AK12571" s="831">
        <v>372900260.97484618</v>
      </c>
    </row>
    <row r="12572" spans="2:37">
      <c r="B12572" s="834" t="str">
        <f t="shared" si="473"/>
        <v>|||</v>
      </c>
      <c r="H12572" s="835">
        <f t="shared" si="474"/>
        <v>31</v>
      </c>
      <c r="AF12572" s="831" t="s">
        <v>11539</v>
      </c>
      <c r="AG12572" s="831" t="s">
        <v>2674</v>
      </c>
      <c r="AH12572" s="831" t="s">
        <v>573</v>
      </c>
      <c r="AI12572" s="831">
        <v>0</v>
      </c>
      <c r="AJ12572" s="835">
        <v>41820</v>
      </c>
      <c r="AK12572" s="831">
        <v>829703301.08042848</v>
      </c>
    </row>
    <row r="12573" spans="2:37">
      <c r="B12573" s="834" t="str">
        <f t="shared" si="473"/>
        <v>|||</v>
      </c>
      <c r="H12573" s="835">
        <f t="shared" si="474"/>
        <v>31</v>
      </c>
      <c r="AF12573" s="831" t="s">
        <v>11540</v>
      </c>
      <c r="AG12573" s="831" t="s">
        <v>2674</v>
      </c>
      <c r="AH12573" s="831" t="s">
        <v>574</v>
      </c>
      <c r="AI12573" s="831">
        <v>0</v>
      </c>
      <c r="AJ12573" s="835">
        <v>41820</v>
      </c>
      <c r="AK12573" s="831">
        <v>674628835.57142854</v>
      </c>
    </row>
    <row r="12574" spans="2:37">
      <c r="B12574" s="834" t="str">
        <f t="shared" si="473"/>
        <v>|||</v>
      </c>
      <c r="H12574" s="835">
        <f t="shared" si="474"/>
        <v>31</v>
      </c>
      <c r="AF12574" s="831" t="s">
        <v>11541</v>
      </c>
      <c r="AG12574" s="831" t="s">
        <v>2674</v>
      </c>
      <c r="AH12574" s="831" t="s">
        <v>575</v>
      </c>
      <c r="AI12574" s="831">
        <v>0</v>
      </c>
      <c r="AJ12574" s="835">
        <v>41820</v>
      </c>
      <c r="AK12574" s="831">
        <v>124242857.13</v>
      </c>
    </row>
    <row r="12575" spans="2:37">
      <c r="B12575" s="834" t="str">
        <f t="shared" si="473"/>
        <v>|||</v>
      </c>
      <c r="H12575" s="835">
        <f t="shared" si="474"/>
        <v>31</v>
      </c>
      <c r="AF12575" s="831" t="s">
        <v>11542</v>
      </c>
      <c r="AG12575" s="831" t="s">
        <v>2674</v>
      </c>
      <c r="AH12575" s="831" t="s">
        <v>576</v>
      </c>
      <c r="AI12575" s="831">
        <v>0</v>
      </c>
      <c r="AJ12575" s="835">
        <v>41820</v>
      </c>
      <c r="AK12575" s="831">
        <v>407269836.23014289</v>
      </c>
    </row>
    <row r="12576" spans="2:37">
      <c r="B12576" s="834" t="str">
        <f t="shared" si="473"/>
        <v>|||</v>
      </c>
      <c r="H12576" s="835">
        <f t="shared" si="474"/>
        <v>31</v>
      </c>
      <c r="AF12576" s="831" t="s">
        <v>11543</v>
      </c>
      <c r="AG12576" s="831" t="s">
        <v>2674</v>
      </c>
      <c r="AH12576" s="831" t="s">
        <v>572</v>
      </c>
      <c r="AI12576" s="831">
        <v>0</v>
      </c>
      <c r="AJ12576" s="835">
        <v>41820</v>
      </c>
      <c r="AK12576" s="831">
        <v>32506327.956000008</v>
      </c>
    </row>
    <row r="12577" spans="2:37">
      <c r="B12577" s="834" t="str">
        <f t="shared" si="473"/>
        <v>|||</v>
      </c>
      <c r="H12577" s="835">
        <f t="shared" si="474"/>
        <v>31</v>
      </c>
      <c r="AF12577" s="831" t="s">
        <v>11544</v>
      </c>
      <c r="AG12577" s="831" t="s">
        <v>2674</v>
      </c>
      <c r="AH12577" s="831" t="s">
        <v>577</v>
      </c>
      <c r="AI12577" s="831">
        <v>0</v>
      </c>
      <c r="AJ12577" s="835">
        <v>41820</v>
      </c>
      <c r="AK12577" s="831">
        <v>153933560.76300001</v>
      </c>
    </row>
    <row r="12578" spans="2:37">
      <c r="B12578" s="834" t="str">
        <f t="shared" si="473"/>
        <v>|||</v>
      </c>
      <c r="H12578" s="835">
        <f t="shared" si="474"/>
        <v>31</v>
      </c>
      <c r="AF12578" s="831" t="s">
        <v>11545</v>
      </c>
      <c r="AG12578" s="831" t="s">
        <v>2674</v>
      </c>
      <c r="AH12578" s="831" t="s">
        <v>3042</v>
      </c>
      <c r="AI12578" s="831">
        <v>0</v>
      </c>
      <c r="AJ12578" s="835">
        <v>41820</v>
      </c>
      <c r="AK12578" s="831">
        <v>-43087678.527000003</v>
      </c>
    </row>
    <row r="12579" spans="2:37">
      <c r="B12579" s="834" t="str">
        <f t="shared" si="473"/>
        <v>|||</v>
      </c>
      <c r="H12579" s="835">
        <f t="shared" si="474"/>
        <v>31</v>
      </c>
      <c r="AF12579" s="831" t="s">
        <v>11546</v>
      </c>
      <c r="AG12579" s="831" t="s">
        <v>2674</v>
      </c>
      <c r="AH12579" s="831" t="s">
        <v>3044</v>
      </c>
      <c r="AI12579" s="831">
        <v>0</v>
      </c>
      <c r="AJ12579" s="835">
        <v>41820</v>
      </c>
      <c r="AK12579" s="831">
        <v>-2538336.8899999997</v>
      </c>
    </row>
    <row r="12580" spans="2:37">
      <c r="B12580" s="834" t="str">
        <f t="shared" si="473"/>
        <v>|||</v>
      </c>
      <c r="H12580" s="835">
        <f t="shared" si="474"/>
        <v>31</v>
      </c>
      <c r="AF12580" s="831" t="s">
        <v>11547</v>
      </c>
      <c r="AG12580" s="831" t="s">
        <v>2674</v>
      </c>
      <c r="AH12580" s="831" t="s">
        <v>580</v>
      </c>
      <c r="AI12580" s="831">
        <v>0</v>
      </c>
      <c r="AJ12580" s="835">
        <v>41820</v>
      </c>
      <c r="AK12580" s="831">
        <v>-71232950.306999996</v>
      </c>
    </row>
    <row r="12581" spans="2:37">
      <c r="B12581" s="834" t="str">
        <f t="shared" si="473"/>
        <v>|||</v>
      </c>
      <c r="H12581" s="835">
        <f t="shared" si="474"/>
        <v>31</v>
      </c>
      <c r="AF12581" s="831" t="s">
        <v>11548</v>
      </c>
      <c r="AG12581" s="831" t="s">
        <v>2674</v>
      </c>
      <c r="AH12581" s="831" t="s">
        <v>581</v>
      </c>
      <c r="AI12581" s="831">
        <v>0</v>
      </c>
      <c r="AJ12581" s="835">
        <v>41820</v>
      </c>
      <c r="AK12581" s="831">
        <v>5389272.8940000003</v>
      </c>
    </row>
    <row r="12582" spans="2:37">
      <c r="B12582" s="834" t="str">
        <f t="shared" si="473"/>
        <v>|||</v>
      </c>
      <c r="H12582" s="835">
        <f t="shared" si="474"/>
        <v>31</v>
      </c>
      <c r="AF12582" s="831" t="s">
        <v>11549</v>
      </c>
      <c r="AG12582" s="831" t="s">
        <v>2674</v>
      </c>
      <c r="AH12582" s="831" t="s">
        <v>105</v>
      </c>
      <c r="AI12582" s="831">
        <v>0</v>
      </c>
      <c r="AJ12582" s="835">
        <v>41820</v>
      </c>
      <c r="AK12582" s="831">
        <v>455536132</v>
      </c>
    </row>
    <row r="12583" spans="2:37">
      <c r="B12583" s="834" t="str">
        <f t="shared" si="473"/>
        <v>|||</v>
      </c>
      <c r="H12583" s="835">
        <f t="shared" si="474"/>
        <v>31</v>
      </c>
      <c r="AF12583" s="831" t="s">
        <v>11550</v>
      </c>
      <c r="AG12583" s="831" t="s">
        <v>2674</v>
      </c>
      <c r="AH12583" s="831" t="s">
        <v>3049</v>
      </c>
      <c r="AI12583" s="831">
        <v>0</v>
      </c>
      <c r="AJ12583" s="835">
        <v>41820</v>
      </c>
      <c r="AK12583" s="831">
        <v>754458364</v>
      </c>
    </row>
    <row r="12584" spans="2:37">
      <c r="B12584" s="834" t="str">
        <f t="shared" si="473"/>
        <v>|||</v>
      </c>
      <c r="H12584" s="835">
        <f t="shared" si="474"/>
        <v>31</v>
      </c>
      <c r="AF12584" s="831" t="s">
        <v>11551</v>
      </c>
      <c r="AG12584" s="831" t="s">
        <v>2674</v>
      </c>
      <c r="AH12584" s="831" t="s">
        <v>103</v>
      </c>
      <c r="AI12584" s="831">
        <v>0</v>
      </c>
      <c r="AJ12584" s="835">
        <v>41820</v>
      </c>
      <c r="AK12584" s="831">
        <v>298922232</v>
      </c>
    </row>
    <row r="12585" spans="2:37">
      <c r="B12585" s="834" t="str">
        <f t="shared" si="473"/>
        <v>|||</v>
      </c>
      <c r="H12585" s="835">
        <f t="shared" si="474"/>
        <v>31</v>
      </c>
      <c r="AF12585" s="831" t="s">
        <v>11552</v>
      </c>
      <c r="AG12585" s="831" t="s">
        <v>2674</v>
      </c>
      <c r="AH12585" s="831" t="s">
        <v>182</v>
      </c>
      <c r="AI12585" s="831">
        <v>0</v>
      </c>
      <c r="AJ12585" s="835">
        <v>41820</v>
      </c>
      <c r="AK12585" s="831">
        <v>71693060</v>
      </c>
    </row>
    <row r="12586" spans="2:37">
      <c r="B12586" s="834" t="str">
        <f t="shared" si="473"/>
        <v>|||</v>
      </c>
      <c r="H12586" s="835">
        <f t="shared" si="474"/>
        <v>31</v>
      </c>
      <c r="AF12586" s="831" t="s">
        <v>11553</v>
      </c>
      <c r="AG12586" s="831" t="s">
        <v>2674</v>
      </c>
      <c r="AH12586" s="831" t="s">
        <v>6600</v>
      </c>
      <c r="AI12586" s="831">
        <v>0</v>
      </c>
      <c r="AJ12586" s="835">
        <v>41820</v>
      </c>
      <c r="AK12586" s="831">
        <v>32506327.956000008</v>
      </c>
    </row>
    <row r="12587" spans="2:37">
      <c r="B12587" s="834" t="str">
        <f t="shared" si="473"/>
        <v>|||</v>
      </c>
      <c r="H12587" s="835">
        <f t="shared" si="474"/>
        <v>31</v>
      </c>
      <c r="AF12587" s="831" t="s">
        <v>11554</v>
      </c>
      <c r="AG12587" s="831" t="s">
        <v>2674</v>
      </c>
      <c r="AH12587" s="831" t="s">
        <v>6602</v>
      </c>
      <c r="AI12587" s="831">
        <v>0</v>
      </c>
      <c r="AJ12587" s="835">
        <v>41820</v>
      </c>
      <c r="AK12587" s="831">
        <v>18626919</v>
      </c>
    </row>
    <row r="12588" spans="2:37">
      <c r="B12588" s="834" t="str">
        <f t="shared" si="473"/>
        <v>|||</v>
      </c>
      <c r="H12588" s="835">
        <f t="shared" si="474"/>
        <v>31</v>
      </c>
      <c r="AF12588" s="831" t="s">
        <v>11555</v>
      </c>
      <c r="AG12588" s="831" t="s">
        <v>2674</v>
      </c>
      <c r="AH12588" s="831" t="s">
        <v>650</v>
      </c>
      <c r="AI12588" s="831">
        <v>0</v>
      </c>
      <c r="AJ12588" s="835">
        <v>41820</v>
      </c>
      <c r="AK12588" s="831">
        <v>250141744.03992307</v>
      </c>
    </row>
    <row r="12589" spans="2:37">
      <c r="B12589" s="834" t="str">
        <f t="shared" si="473"/>
        <v>|||</v>
      </c>
      <c r="H12589" s="835">
        <f t="shared" si="474"/>
        <v>31</v>
      </c>
      <c r="AF12589" s="831" t="s">
        <v>11556</v>
      </c>
      <c r="AG12589" s="831" t="s">
        <v>2674</v>
      </c>
      <c r="AH12589" s="831" t="s">
        <v>655</v>
      </c>
      <c r="AI12589" s="831">
        <v>0</v>
      </c>
      <c r="AJ12589" s="835">
        <v>41820</v>
      </c>
      <c r="AK12589" s="831">
        <v>739333.81</v>
      </c>
    </row>
    <row r="12590" spans="2:37">
      <c r="B12590" s="834" t="str">
        <f t="shared" si="473"/>
        <v>|||</v>
      </c>
      <c r="H12590" s="835">
        <f t="shared" si="474"/>
        <v>31</v>
      </c>
      <c r="AF12590" s="831" t="s">
        <v>11557</v>
      </c>
      <c r="AG12590" s="831" t="s">
        <v>2674</v>
      </c>
      <c r="AH12590" s="831" t="s">
        <v>546</v>
      </c>
      <c r="AI12590" s="831">
        <v>0</v>
      </c>
      <c r="AJ12590" s="835">
        <v>41851</v>
      </c>
      <c r="AK12590" s="831">
        <v>739176022</v>
      </c>
    </row>
    <row r="12591" spans="2:37">
      <c r="B12591" s="834" t="str">
        <f t="shared" si="473"/>
        <v>|||</v>
      </c>
      <c r="H12591" s="835">
        <f t="shared" si="474"/>
        <v>31</v>
      </c>
      <c r="AF12591" s="831" t="s">
        <v>11558</v>
      </c>
      <c r="AG12591" s="831" t="s">
        <v>2674</v>
      </c>
      <c r="AH12591" s="831" t="s">
        <v>370</v>
      </c>
      <c r="AI12591" s="831">
        <v>0</v>
      </c>
      <c r="AJ12591" s="835">
        <v>41851</v>
      </c>
      <c r="AK12591" s="831">
        <v>937279545</v>
      </c>
    </row>
    <row r="12592" spans="2:37">
      <c r="B12592" s="834" t="str">
        <f t="shared" si="473"/>
        <v>|||</v>
      </c>
      <c r="H12592" s="835">
        <f t="shared" si="474"/>
        <v>31</v>
      </c>
      <c r="AF12592" s="831" t="s">
        <v>11559</v>
      </c>
      <c r="AG12592" s="831" t="s">
        <v>2674</v>
      </c>
      <c r="AH12592" s="831" t="s">
        <v>126</v>
      </c>
      <c r="AI12592" s="831">
        <v>0</v>
      </c>
      <c r="AJ12592" s="835">
        <v>41851</v>
      </c>
      <c r="AK12592" s="831">
        <v>138005087</v>
      </c>
    </row>
    <row r="12593" spans="2:37">
      <c r="B12593" s="834" t="str">
        <f t="shared" si="473"/>
        <v>|||</v>
      </c>
      <c r="H12593" s="835">
        <f t="shared" si="474"/>
        <v>31</v>
      </c>
      <c r="AF12593" s="831" t="s">
        <v>11560</v>
      </c>
      <c r="AG12593" s="831" t="s">
        <v>2674</v>
      </c>
      <c r="AH12593" s="831" t="s">
        <v>268</v>
      </c>
      <c r="AI12593" s="831">
        <v>0</v>
      </c>
      <c r="AJ12593" s="835">
        <v>41851</v>
      </c>
      <c r="AK12593" s="831">
        <v>22009267</v>
      </c>
    </row>
    <row r="12594" spans="2:37">
      <c r="B12594" s="834" t="str">
        <f t="shared" si="473"/>
        <v>|||</v>
      </c>
      <c r="H12594" s="835">
        <f t="shared" si="474"/>
        <v>31</v>
      </c>
      <c r="AF12594" s="831" t="s">
        <v>11561</v>
      </c>
      <c r="AG12594" s="831" t="s">
        <v>2674</v>
      </c>
      <c r="AH12594" s="831" t="s">
        <v>547</v>
      </c>
      <c r="AI12594" s="831">
        <v>0</v>
      </c>
      <c r="AJ12594" s="835">
        <v>41851</v>
      </c>
      <c r="AK12594" s="831">
        <v>777719977</v>
      </c>
    </row>
    <row r="12595" spans="2:37">
      <c r="B12595" s="834" t="str">
        <f t="shared" si="473"/>
        <v>|||</v>
      </c>
      <c r="H12595" s="835">
        <f t="shared" si="474"/>
        <v>31</v>
      </c>
      <c r="AF12595" s="831" t="s">
        <v>11562</v>
      </c>
      <c r="AG12595" s="831" t="s">
        <v>2674</v>
      </c>
      <c r="AH12595" s="831" t="s">
        <v>548</v>
      </c>
      <c r="AI12595" s="831">
        <v>0</v>
      </c>
      <c r="AJ12595" s="835">
        <v>41851</v>
      </c>
      <c r="AK12595" s="831">
        <v>117105496</v>
      </c>
    </row>
    <row r="12596" spans="2:37">
      <c r="B12596" s="834" t="str">
        <f t="shared" si="473"/>
        <v>|||</v>
      </c>
      <c r="H12596" s="835">
        <f t="shared" si="474"/>
        <v>31</v>
      </c>
      <c r="AF12596" s="831" t="s">
        <v>11563</v>
      </c>
      <c r="AG12596" s="831" t="s">
        <v>2674</v>
      </c>
      <c r="AH12596" s="831" t="s">
        <v>549</v>
      </c>
      <c r="AI12596" s="831">
        <v>0</v>
      </c>
      <c r="AJ12596" s="835">
        <v>41851</v>
      </c>
      <c r="AK12596" s="831">
        <v>530405930</v>
      </c>
    </row>
    <row r="12597" spans="2:37">
      <c r="B12597" s="834" t="str">
        <f t="shared" si="473"/>
        <v>|||</v>
      </c>
      <c r="H12597" s="835">
        <f t="shared" si="474"/>
        <v>31</v>
      </c>
      <c r="AF12597" s="831" t="s">
        <v>11564</v>
      </c>
      <c r="AG12597" s="831" t="s">
        <v>2674</v>
      </c>
      <c r="AH12597" s="831" t="s">
        <v>192</v>
      </c>
      <c r="AI12597" s="831">
        <v>0</v>
      </c>
      <c r="AJ12597" s="835">
        <v>41851</v>
      </c>
      <c r="AK12597" s="831">
        <v>-11408077</v>
      </c>
    </row>
    <row r="12598" spans="2:37">
      <c r="B12598" s="834" t="str">
        <f t="shared" si="473"/>
        <v>|||</v>
      </c>
      <c r="H12598" s="835">
        <f t="shared" si="474"/>
        <v>31</v>
      </c>
      <c r="AF12598" s="831" t="s">
        <v>11565</v>
      </c>
      <c r="AG12598" s="831" t="s">
        <v>2674</v>
      </c>
      <c r="AH12598" s="831" t="s">
        <v>558</v>
      </c>
      <c r="AI12598" s="831">
        <v>0</v>
      </c>
      <c r="AJ12598" s="835">
        <v>41851</v>
      </c>
      <c r="AK12598" s="831">
        <v>799274458</v>
      </c>
    </row>
    <row r="12599" spans="2:37">
      <c r="B12599" s="834" t="str">
        <f t="shared" si="473"/>
        <v>|||</v>
      </c>
      <c r="H12599" s="835">
        <f t="shared" si="474"/>
        <v>31</v>
      </c>
      <c r="AF12599" s="831" t="s">
        <v>11566</v>
      </c>
      <c r="AG12599" s="831" t="s">
        <v>2674</v>
      </c>
      <c r="AH12599" s="831" t="s">
        <v>65</v>
      </c>
      <c r="AI12599" s="831">
        <v>0</v>
      </c>
      <c r="AJ12599" s="835">
        <v>41851</v>
      </c>
      <c r="AK12599" s="831">
        <v>96150192</v>
      </c>
    </row>
    <row r="12600" spans="2:37">
      <c r="B12600" s="834" t="str">
        <f t="shared" si="473"/>
        <v>|||</v>
      </c>
      <c r="H12600" s="835">
        <f t="shared" si="474"/>
        <v>31</v>
      </c>
      <c r="AF12600" s="831" t="s">
        <v>11567</v>
      </c>
      <c r="AG12600" s="831" t="s">
        <v>2674</v>
      </c>
      <c r="AH12600" s="831" t="s">
        <v>89</v>
      </c>
      <c r="AI12600" s="831">
        <v>0</v>
      </c>
      <c r="AJ12600" s="835">
        <v>41851</v>
      </c>
      <c r="AK12600" s="831">
        <v>157312</v>
      </c>
    </row>
    <row r="12601" spans="2:37">
      <c r="B12601" s="834" t="str">
        <f t="shared" si="473"/>
        <v>|||</v>
      </c>
      <c r="H12601" s="835">
        <f t="shared" si="474"/>
        <v>31</v>
      </c>
      <c r="AF12601" s="831" t="s">
        <v>11568</v>
      </c>
      <c r="AG12601" s="831" t="s">
        <v>2674</v>
      </c>
      <c r="AH12601" s="831" t="s">
        <v>557</v>
      </c>
      <c r="AI12601" s="831">
        <v>0</v>
      </c>
      <c r="AJ12601" s="835">
        <v>41851</v>
      </c>
      <c r="AK12601" s="831">
        <v>177567</v>
      </c>
    </row>
    <row r="12602" spans="2:37">
      <c r="B12602" s="834" t="str">
        <f t="shared" si="473"/>
        <v>|||</v>
      </c>
      <c r="H12602" s="835">
        <f t="shared" si="474"/>
        <v>31</v>
      </c>
      <c r="AF12602" s="831" t="s">
        <v>11569</v>
      </c>
      <c r="AG12602" s="831" t="s">
        <v>2674</v>
      </c>
      <c r="AH12602" s="831" t="s">
        <v>29</v>
      </c>
      <c r="AI12602" s="831">
        <v>0</v>
      </c>
      <c r="AJ12602" s="835">
        <v>41851</v>
      </c>
      <c r="AK12602" s="831">
        <v>1565767.49</v>
      </c>
    </row>
    <row r="12603" spans="2:37">
      <c r="B12603" s="834" t="str">
        <f t="shared" si="473"/>
        <v>|||</v>
      </c>
      <c r="H12603" s="835">
        <f t="shared" si="474"/>
        <v>31</v>
      </c>
      <c r="AF12603" s="831" t="s">
        <v>11570</v>
      </c>
      <c r="AG12603" s="831" t="s">
        <v>2674</v>
      </c>
      <c r="AH12603" s="831" t="s">
        <v>2688</v>
      </c>
      <c r="AI12603" s="831">
        <v>0</v>
      </c>
      <c r="AJ12603" s="835">
        <v>41851</v>
      </c>
      <c r="AK12603" s="831">
        <v>4315667.13</v>
      </c>
    </row>
    <row r="12604" spans="2:37">
      <c r="B12604" s="834" t="str">
        <f t="shared" si="473"/>
        <v>|||</v>
      </c>
      <c r="H12604" s="835">
        <f t="shared" si="474"/>
        <v>31</v>
      </c>
      <c r="AF12604" s="831" t="s">
        <v>11571</v>
      </c>
      <c r="AG12604" s="831" t="s">
        <v>2674</v>
      </c>
      <c r="AH12604" s="831" t="s">
        <v>556</v>
      </c>
      <c r="AI12604" s="831">
        <v>0</v>
      </c>
      <c r="AJ12604" s="835">
        <v>41851</v>
      </c>
      <c r="AK12604" s="831">
        <v>3260165</v>
      </c>
    </row>
    <row r="12605" spans="2:37">
      <c r="B12605" s="834" t="str">
        <f t="shared" si="473"/>
        <v>|||</v>
      </c>
      <c r="H12605" s="835">
        <f t="shared" si="474"/>
        <v>31</v>
      </c>
      <c r="AF12605" s="831" t="s">
        <v>11572</v>
      </c>
      <c r="AG12605" s="831" t="s">
        <v>2674</v>
      </c>
      <c r="AH12605" s="831" t="s">
        <v>555</v>
      </c>
      <c r="AI12605" s="831">
        <v>0</v>
      </c>
      <c r="AJ12605" s="835">
        <v>41851</v>
      </c>
      <c r="AK12605" s="831">
        <v>527670450</v>
      </c>
    </row>
    <row r="12606" spans="2:37">
      <c r="B12606" s="834" t="str">
        <f t="shared" si="473"/>
        <v>|||</v>
      </c>
      <c r="H12606" s="835">
        <f t="shared" si="474"/>
        <v>31</v>
      </c>
      <c r="AF12606" s="831" t="s">
        <v>11573</v>
      </c>
      <c r="AG12606" s="831" t="s">
        <v>2674</v>
      </c>
      <c r="AH12606" s="831" t="s">
        <v>554</v>
      </c>
      <c r="AI12606" s="831">
        <v>0</v>
      </c>
      <c r="AJ12606" s="835">
        <v>41851</v>
      </c>
      <c r="AK12606" s="831">
        <v>540050830</v>
      </c>
    </row>
    <row r="12607" spans="2:37">
      <c r="B12607" s="834" t="str">
        <f t="shared" si="473"/>
        <v>|||</v>
      </c>
      <c r="H12607" s="835">
        <f t="shared" si="474"/>
        <v>31</v>
      </c>
      <c r="AF12607" s="831" t="s">
        <v>11574</v>
      </c>
      <c r="AG12607" s="831" t="s">
        <v>2674</v>
      </c>
      <c r="AH12607" s="831" t="s">
        <v>553</v>
      </c>
      <c r="AI12607" s="831">
        <v>0</v>
      </c>
      <c r="AJ12607" s="835">
        <v>41851</v>
      </c>
      <c r="AK12607" s="831">
        <v>0</v>
      </c>
    </row>
    <row r="12608" spans="2:37">
      <c r="B12608" s="834" t="str">
        <f t="shared" si="473"/>
        <v>|||</v>
      </c>
      <c r="H12608" s="835">
        <f t="shared" si="474"/>
        <v>31</v>
      </c>
      <c r="AF12608" s="831" t="s">
        <v>11575</v>
      </c>
      <c r="AG12608" s="831" t="s">
        <v>2674</v>
      </c>
      <c r="AH12608" s="831" t="s">
        <v>552</v>
      </c>
      <c r="AI12608" s="831">
        <v>0</v>
      </c>
      <c r="AJ12608" s="835">
        <v>41851</v>
      </c>
      <c r="AK12608" s="831">
        <v>0</v>
      </c>
    </row>
    <row r="12609" spans="2:37">
      <c r="B12609" s="834" t="str">
        <f t="shared" si="473"/>
        <v>|||</v>
      </c>
      <c r="H12609" s="835">
        <f t="shared" si="474"/>
        <v>31</v>
      </c>
      <c r="AF12609" s="831" t="s">
        <v>11576</v>
      </c>
      <c r="AG12609" s="831" t="s">
        <v>2674</v>
      </c>
      <c r="AH12609" s="831" t="s">
        <v>551</v>
      </c>
      <c r="AI12609" s="831">
        <v>0</v>
      </c>
      <c r="AJ12609" s="835">
        <v>41851</v>
      </c>
      <c r="AK12609" s="831">
        <v>1101547.72</v>
      </c>
    </row>
    <row r="12610" spans="2:37">
      <c r="B12610" s="834" t="str">
        <f t="shared" si="473"/>
        <v>|||</v>
      </c>
      <c r="H12610" s="835">
        <f t="shared" si="474"/>
        <v>31</v>
      </c>
      <c r="AF12610" s="831" t="s">
        <v>11577</v>
      </c>
      <c r="AG12610" s="831" t="s">
        <v>2674</v>
      </c>
      <c r="AH12610" s="831" t="s">
        <v>550</v>
      </c>
      <c r="AI12610" s="831">
        <v>0</v>
      </c>
      <c r="AJ12610" s="835">
        <v>41851</v>
      </c>
      <c r="AK12610" s="831">
        <v>135362821</v>
      </c>
    </row>
    <row r="12611" spans="2:37">
      <c r="B12611" s="834" t="str">
        <f t="shared" si="473"/>
        <v>|||</v>
      </c>
      <c r="H12611" s="835">
        <f t="shared" si="474"/>
        <v>31</v>
      </c>
      <c r="AF12611" s="831" t="s">
        <v>11578</v>
      </c>
      <c r="AG12611" s="831" t="s">
        <v>2674</v>
      </c>
      <c r="AH12611" s="831" t="s">
        <v>562</v>
      </c>
      <c r="AI12611" s="831">
        <v>0</v>
      </c>
      <c r="AJ12611" s="835">
        <v>41851</v>
      </c>
      <c r="AK12611" s="831">
        <v>0.78364999999999996</v>
      </c>
    </row>
    <row r="12612" spans="2:37">
      <c r="B12612" s="834" t="str">
        <f t="shared" si="473"/>
        <v>|||</v>
      </c>
      <c r="H12612" s="835">
        <f t="shared" si="474"/>
        <v>31</v>
      </c>
      <c r="AF12612" s="831" t="s">
        <v>11579</v>
      </c>
      <c r="AG12612" s="831" t="s">
        <v>2674</v>
      </c>
      <c r="AH12612" s="831" t="s">
        <v>2698</v>
      </c>
      <c r="AI12612" s="831">
        <v>0</v>
      </c>
      <c r="AJ12612" s="835">
        <v>41851</v>
      </c>
      <c r="AK12612" s="831">
        <v>0.78374999999999995</v>
      </c>
    </row>
    <row r="12613" spans="2:37">
      <c r="B12613" s="834" t="str">
        <f t="shared" si="473"/>
        <v>|||</v>
      </c>
      <c r="H12613" s="835">
        <f t="shared" si="474"/>
        <v>31</v>
      </c>
      <c r="AF12613" s="831" t="s">
        <v>11580</v>
      </c>
      <c r="AG12613" s="831" t="s">
        <v>2674</v>
      </c>
      <c r="AH12613" s="831" t="s">
        <v>560</v>
      </c>
      <c r="AI12613" s="831">
        <v>0</v>
      </c>
      <c r="AJ12613" s="835">
        <v>41851</v>
      </c>
      <c r="AK12613" s="831">
        <v>0.78374999999999984</v>
      </c>
    </row>
    <row r="12614" spans="2:37">
      <c r="B12614" s="834" t="str">
        <f t="shared" si="473"/>
        <v>|||</v>
      </c>
      <c r="H12614" s="835">
        <f t="shared" si="474"/>
        <v>31</v>
      </c>
      <c r="AF12614" s="831" t="s">
        <v>11581</v>
      </c>
      <c r="AG12614" s="831" t="s">
        <v>2674</v>
      </c>
      <c r="AH12614" s="831" t="s">
        <v>559</v>
      </c>
      <c r="AI12614" s="831">
        <v>0</v>
      </c>
      <c r="AJ12614" s="835">
        <v>41851</v>
      </c>
      <c r="AK12614" s="831">
        <v>0.78376666666666661</v>
      </c>
    </row>
    <row r="12615" spans="2:37">
      <c r="B12615" s="834" t="str">
        <f t="shared" si="473"/>
        <v>|||</v>
      </c>
      <c r="H12615" s="835">
        <f t="shared" si="474"/>
        <v>31</v>
      </c>
      <c r="AF12615" s="831" t="s">
        <v>11582</v>
      </c>
      <c r="AG12615" s="831" t="s">
        <v>2674</v>
      </c>
      <c r="AH12615" s="831" t="s">
        <v>568</v>
      </c>
      <c r="AI12615" s="831">
        <v>0</v>
      </c>
      <c r="AJ12615" s="835">
        <v>41851</v>
      </c>
      <c r="AK12615" s="831">
        <v>637151141.61153841</v>
      </c>
    </row>
    <row r="12616" spans="2:37">
      <c r="B12616" s="834" t="str">
        <f t="shared" si="473"/>
        <v>|||</v>
      </c>
      <c r="H12616" s="835">
        <f t="shared" si="474"/>
        <v>31</v>
      </c>
      <c r="AF12616" s="831" t="s">
        <v>11583</v>
      </c>
      <c r="AG12616" s="831" t="s">
        <v>2674</v>
      </c>
      <c r="AH12616" s="831" t="s">
        <v>569</v>
      </c>
      <c r="AI12616" s="831">
        <v>0</v>
      </c>
      <c r="AJ12616" s="835">
        <v>41851</v>
      </c>
      <c r="AK12616" s="831">
        <v>786284543.74253845</v>
      </c>
    </row>
    <row r="12617" spans="2:37">
      <c r="B12617" s="834" t="str">
        <f t="shared" si="473"/>
        <v>|||</v>
      </c>
      <c r="H12617" s="835">
        <f t="shared" si="474"/>
        <v>31</v>
      </c>
      <c r="AF12617" s="831" t="s">
        <v>11584</v>
      </c>
      <c r="AG12617" s="831" t="s">
        <v>2674</v>
      </c>
      <c r="AH12617" s="831" t="s">
        <v>570</v>
      </c>
      <c r="AI12617" s="831">
        <v>0</v>
      </c>
      <c r="AJ12617" s="835">
        <v>41851</v>
      </c>
      <c r="AK12617" s="831">
        <v>122542079.44353844</v>
      </c>
    </row>
    <row r="12618" spans="2:37">
      <c r="B12618" s="834" t="str">
        <f t="shared" si="473"/>
        <v>|||</v>
      </c>
      <c r="H12618" s="835">
        <f t="shared" si="474"/>
        <v>31</v>
      </c>
      <c r="AF12618" s="831" t="s">
        <v>11585</v>
      </c>
      <c r="AG12618" s="831" t="s">
        <v>2674</v>
      </c>
      <c r="AH12618" s="831" t="s">
        <v>571</v>
      </c>
      <c r="AI12618" s="831">
        <v>0</v>
      </c>
      <c r="AJ12618" s="835">
        <v>41851</v>
      </c>
      <c r="AK12618" s="831">
        <v>385003742.66715389</v>
      </c>
    </row>
    <row r="12619" spans="2:37">
      <c r="B12619" s="834" t="str">
        <f t="shared" si="473"/>
        <v>|||</v>
      </c>
      <c r="H12619" s="835">
        <f t="shared" si="474"/>
        <v>31</v>
      </c>
      <c r="AF12619" s="831" t="s">
        <v>11586</v>
      </c>
      <c r="AG12619" s="831" t="s">
        <v>2674</v>
      </c>
      <c r="AH12619" s="831" t="s">
        <v>573</v>
      </c>
      <c r="AI12619" s="831">
        <v>0</v>
      </c>
      <c r="AJ12619" s="835">
        <v>41851</v>
      </c>
      <c r="AK12619" s="831">
        <v>843150331.57037497</v>
      </c>
    </row>
    <row r="12620" spans="2:37">
      <c r="B12620" s="834" t="str">
        <f t="shared" si="473"/>
        <v>|||</v>
      </c>
      <c r="H12620" s="835">
        <f t="shared" si="474"/>
        <v>31</v>
      </c>
      <c r="AF12620" s="831" t="s">
        <v>11587</v>
      </c>
      <c r="AG12620" s="831" t="s">
        <v>2674</v>
      </c>
      <c r="AH12620" s="831" t="s">
        <v>574</v>
      </c>
      <c r="AI12620" s="831">
        <v>0</v>
      </c>
      <c r="AJ12620" s="835">
        <v>41851</v>
      </c>
      <c r="AK12620" s="831">
        <v>682697233.875</v>
      </c>
    </row>
    <row r="12621" spans="2:37">
      <c r="B12621" s="834" t="str">
        <f t="shared" si="473"/>
        <v>|||</v>
      </c>
      <c r="H12621" s="835">
        <f t="shared" si="474"/>
        <v>31</v>
      </c>
      <c r="AF12621" s="831" t="s">
        <v>11588</v>
      </c>
      <c r="AG12621" s="831" t="s">
        <v>2674</v>
      </c>
      <c r="AH12621" s="831" t="s">
        <v>575</v>
      </c>
      <c r="AI12621" s="831">
        <v>0</v>
      </c>
      <c r="AJ12621" s="835">
        <v>41851</v>
      </c>
      <c r="AK12621" s="831">
        <v>125963135.86375</v>
      </c>
    </row>
    <row r="12622" spans="2:37">
      <c r="B12622" s="834" t="str">
        <f t="shared" si="473"/>
        <v>|||</v>
      </c>
      <c r="H12622" s="835">
        <f t="shared" si="474"/>
        <v>31</v>
      </c>
      <c r="AF12622" s="831" t="s">
        <v>11589</v>
      </c>
      <c r="AG12622" s="831" t="s">
        <v>2674</v>
      </c>
      <c r="AH12622" s="831" t="s">
        <v>576</v>
      </c>
      <c r="AI12622" s="831">
        <v>0</v>
      </c>
      <c r="AJ12622" s="835">
        <v>41851</v>
      </c>
      <c r="AK12622" s="831">
        <v>415372081.57637501</v>
      </c>
    </row>
    <row r="12623" spans="2:37">
      <c r="B12623" s="834" t="str">
        <f t="shared" si="473"/>
        <v>|||</v>
      </c>
      <c r="H12623" s="835">
        <f t="shared" si="474"/>
        <v>31</v>
      </c>
      <c r="AF12623" s="831" t="s">
        <v>11590</v>
      </c>
      <c r="AG12623" s="831" t="s">
        <v>2674</v>
      </c>
      <c r="AH12623" s="831" t="s">
        <v>572</v>
      </c>
      <c r="AI12623" s="831">
        <v>0</v>
      </c>
      <c r="AJ12623" s="835">
        <v>41851</v>
      </c>
      <c r="AK12623" s="831">
        <v>33061468.956000008</v>
      </c>
    </row>
    <row r="12624" spans="2:37">
      <c r="B12624" s="834" t="str">
        <f t="shared" si="473"/>
        <v>|||</v>
      </c>
      <c r="H12624" s="835">
        <f t="shared" si="474"/>
        <v>31</v>
      </c>
      <c r="AF12624" s="831" t="s">
        <v>11591</v>
      </c>
      <c r="AG12624" s="831" t="s">
        <v>2674</v>
      </c>
      <c r="AH12624" s="831" t="s">
        <v>577</v>
      </c>
      <c r="AI12624" s="831">
        <v>0</v>
      </c>
      <c r="AJ12624" s="835">
        <v>41851</v>
      </c>
      <c r="AK12624" s="831">
        <v>157027827.76300001</v>
      </c>
    </row>
    <row r="12625" spans="2:37">
      <c r="B12625" s="834" t="str">
        <f t="shared" ref="B12625:B12688" si="475">C12625&amp;"|"&amp;D12625&amp;"|"&amp;E12625&amp;"|"&amp;F12625</f>
        <v>|||</v>
      </c>
      <c r="H12625" s="835">
        <f t="shared" ref="H12625:H12688" si="476">EOMONTH(L12625,0)</f>
        <v>31</v>
      </c>
      <c r="AF12625" s="831" t="s">
        <v>11592</v>
      </c>
      <c r="AG12625" s="831" t="s">
        <v>2674</v>
      </c>
      <c r="AH12625" s="831" t="s">
        <v>3042</v>
      </c>
      <c r="AI12625" s="831">
        <v>0</v>
      </c>
      <c r="AJ12625" s="835">
        <v>41851</v>
      </c>
      <c r="AK12625" s="831">
        <v>-44607617.527000003</v>
      </c>
    </row>
    <row r="12626" spans="2:37">
      <c r="B12626" s="834" t="str">
        <f t="shared" si="475"/>
        <v>|||</v>
      </c>
      <c r="H12626" s="835">
        <f t="shared" si="476"/>
        <v>31</v>
      </c>
      <c r="AF12626" s="831" t="s">
        <v>11593</v>
      </c>
      <c r="AG12626" s="831" t="s">
        <v>2674</v>
      </c>
      <c r="AH12626" s="831" t="s">
        <v>3044</v>
      </c>
      <c r="AI12626" s="831">
        <v>0</v>
      </c>
      <c r="AJ12626" s="835">
        <v>41851</v>
      </c>
      <c r="AK12626" s="831">
        <v>-2462838.8899999997</v>
      </c>
    </row>
    <row r="12627" spans="2:37">
      <c r="B12627" s="834" t="str">
        <f t="shared" si="475"/>
        <v>|||</v>
      </c>
      <c r="H12627" s="835">
        <f t="shared" si="476"/>
        <v>31</v>
      </c>
      <c r="AF12627" s="831" t="s">
        <v>11594</v>
      </c>
      <c r="AG12627" s="831" t="s">
        <v>2674</v>
      </c>
      <c r="AH12627" s="831" t="s">
        <v>580</v>
      </c>
      <c r="AI12627" s="831">
        <v>0</v>
      </c>
      <c r="AJ12627" s="835">
        <v>41851</v>
      </c>
      <c r="AK12627" s="831">
        <v>-72554848.306999996</v>
      </c>
    </row>
    <row r="12628" spans="2:37">
      <c r="B12628" s="834" t="str">
        <f t="shared" si="475"/>
        <v>|||</v>
      </c>
      <c r="H12628" s="835">
        <f t="shared" si="476"/>
        <v>31</v>
      </c>
      <c r="AF12628" s="831" t="s">
        <v>11595</v>
      </c>
      <c r="AG12628" s="831" t="s">
        <v>2674</v>
      </c>
      <c r="AH12628" s="831" t="s">
        <v>581</v>
      </c>
      <c r="AI12628" s="831">
        <v>0</v>
      </c>
      <c r="AJ12628" s="835">
        <v>41851</v>
      </c>
      <c r="AK12628" s="831">
        <v>6023686.8940000003</v>
      </c>
    </row>
    <row r="12629" spans="2:37">
      <c r="B12629" s="834" t="str">
        <f t="shared" si="475"/>
        <v>|||</v>
      </c>
      <c r="H12629" s="835">
        <f t="shared" si="476"/>
        <v>31</v>
      </c>
      <c r="AF12629" s="831" t="s">
        <v>11596</v>
      </c>
      <c r="AG12629" s="831" t="s">
        <v>2674</v>
      </c>
      <c r="AH12629" s="831" t="s">
        <v>105</v>
      </c>
      <c r="AI12629" s="831">
        <v>0</v>
      </c>
      <c r="AJ12629" s="835">
        <v>41851</v>
      </c>
      <c r="AK12629" s="831">
        <v>472087799</v>
      </c>
    </row>
    <row r="12630" spans="2:37">
      <c r="B12630" s="834" t="str">
        <f t="shared" si="475"/>
        <v>|||</v>
      </c>
      <c r="H12630" s="835">
        <f t="shared" si="476"/>
        <v>31</v>
      </c>
      <c r="AF12630" s="831" t="s">
        <v>11597</v>
      </c>
      <c r="AG12630" s="831" t="s">
        <v>2674</v>
      </c>
      <c r="AH12630" s="831" t="s">
        <v>3049</v>
      </c>
      <c r="AI12630" s="831">
        <v>0</v>
      </c>
      <c r="AJ12630" s="835">
        <v>41851</v>
      </c>
      <c r="AK12630" s="831">
        <v>778154132</v>
      </c>
    </row>
    <row r="12631" spans="2:37">
      <c r="B12631" s="834" t="str">
        <f t="shared" si="475"/>
        <v>|||</v>
      </c>
      <c r="H12631" s="835">
        <f t="shared" si="476"/>
        <v>31</v>
      </c>
      <c r="AF12631" s="831" t="s">
        <v>11598</v>
      </c>
      <c r="AG12631" s="831" t="s">
        <v>2674</v>
      </c>
      <c r="AH12631" s="831" t="s">
        <v>103</v>
      </c>
      <c r="AI12631" s="831">
        <v>0</v>
      </c>
      <c r="AJ12631" s="835">
        <v>41851</v>
      </c>
      <c r="AK12631" s="831">
        <v>306066333</v>
      </c>
    </row>
    <row r="12632" spans="2:37">
      <c r="B12632" s="834" t="str">
        <f t="shared" si="475"/>
        <v>|||</v>
      </c>
      <c r="H12632" s="835">
        <f t="shared" si="476"/>
        <v>31</v>
      </c>
      <c r="AF12632" s="831" t="s">
        <v>11599</v>
      </c>
      <c r="AG12632" s="831" t="s">
        <v>2674</v>
      </c>
      <c r="AH12632" s="831" t="s">
        <v>182</v>
      </c>
      <c r="AI12632" s="831">
        <v>0</v>
      </c>
      <c r="AJ12632" s="835">
        <v>41851</v>
      </c>
      <c r="AK12632" s="831">
        <v>72589813.714285716</v>
      </c>
    </row>
    <row r="12633" spans="2:37">
      <c r="B12633" s="834" t="str">
        <f t="shared" si="475"/>
        <v>|||</v>
      </c>
      <c r="H12633" s="835">
        <f t="shared" si="476"/>
        <v>31</v>
      </c>
      <c r="AF12633" s="831" t="s">
        <v>11600</v>
      </c>
      <c r="AG12633" s="831" t="s">
        <v>2674</v>
      </c>
      <c r="AH12633" s="831" t="s">
        <v>6600</v>
      </c>
      <c r="AI12633" s="831">
        <v>0</v>
      </c>
      <c r="AJ12633" s="835">
        <v>41851</v>
      </c>
      <c r="AK12633" s="831">
        <v>33061468.956000008</v>
      </c>
    </row>
    <row r="12634" spans="2:37">
      <c r="B12634" s="834" t="str">
        <f t="shared" si="475"/>
        <v>|||</v>
      </c>
      <c r="H12634" s="835">
        <f t="shared" si="476"/>
        <v>31</v>
      </c>
      <c r="AF12634" s="831" t="s">
        <v>11601</v>
      </c>
      <c r="AG12634" s="831" t="s">
        <v>2674</v>
      </c>
      <c r="AH12634" s="831" t="s">
        <v>6602</v>
      </c>
      <c r="AI12634" s="831">
        <v>0</v>
      </c>
      <c r="AJ12634" s="835">
        <v>41851</v>
      </c>
      <c r="AK12634" s="831">
        <v>22009267</v>
      </c>
    </row>
    <row r="12635" spans="2:37">
      <c r="B12635" s="834" t="str">
        <f t="shared" si="475"/>
        <v>|||</v>
      </c>
      <c r="H12635" s="835">
        <f t="shared" si="476"/>
        <v>31</v>
      </c>
      <c r="AF12635" s="831" t="s">
        <v>11602</v>
      </c>
      <c r="AG12635" s="831" t="s">
        <v>2674</v>
      </c>
      <c r="AH12635" s="831" t="s">
        <v>650</v>
      </c>
      <c r="AI12635" s="831">
        <v>0</v>
      </c>
      <c r="AJ12635" s="835">
        <v>41851</v>
      </c>
      <c r="AK12635" s="831">
        <v>258051740.34761539</v>
      </c>
    </row>
    <row r="12636" spans="2:37">
      <c r="B12636" s="834" t="str">
        <f t="shared" si="475"/>
        <v>|||</v>
      </c>
      <c r="H12636" s="835">
        <f t="shared" si="476"/>
        <v>31</v>
      </c>
      <c r="AF12636" s="831" t="s">
        <v>11603</v>
      </c>
      <c r="AG12636" s="831" t="s">
        <v>2674</v>
      </c>
      <c r="AH12636" s="831" t="s">
        <v>655</v>
      </c>
      <c r="AI12636" s="831">
        <v>0</v>
      </c>
      <c r="AJ12636" s="835">
        <v>41851</v>
      </c>
      <c r="AK12636" s="831">
        <v>953974.79</v>
      </c>
    </row>
    <row r="12637" spans="2:37">
      <c r="B12637" s="834" t="str">
        <f t="shared" si="475"/>
        <v>|||</v>
      </c>
      <c r="H12637" s="835">
        <f t="shared" si="476"/>
        <v>31</v>
      </c>
      <c r="AF12637" s="831" t="s">
        <v>11604</v>
      </c>
      <c r="AG12637" s="831" t="s">
        <v>2674</v>
      </c>
      <c r="AH12637" s="831" t="s">
        <v>546</v>
      </c>
      <c r="AI12637" s="831">
        <v>0</v>
      </c>
      <c r="AJ12637" s="835">
        <v>41882</v>
      </c>
      <c r="AK12637" s="831">
        <v>752496052</v>
      </c>
    </row>
    <row r="12638" spans="2:37">
      <c r="B12638" s="834" t="str">
        <f t="shared" si="475"/>
        <v>|||</v>
      </c>
      <c r="H12638" s="835">
        <f t="shared" si="476"/>
        <v>31</v>
      </c>
      <c r="AF12638" s="831" t="s">
        <v>11605</v>
      </c>
      <c r="AG12638" s="831" t="s">
        <v>2674</v>
      </c>
      <c r="AH12638" s="831" t="s">
        <v>370</v>
      </c>
      <c r="AI12638" s="831">
        <v>0</v>
      </c>
      <c r="AJ12638" s="835">
        <v>41882</v>
      </c>
      <c r="AK12638" s="831">
        <v>955327873</v>
      </c>
    </row>
    <row r="12639" spans="2:37">
      <c r="B12639" s="834" t="str">
        <f t="shared" si="475"/>
        <v>|||</v>
      </c>
      <c r="H12639" s="835">
        <f t="shared" si="476"/>
        <v>31</v>
      </c>
      <c r="AF12639" s="831" t="s">
        <v>11606</v>
      </c>
      <c r="AG12639" s="831" t="s">
        <v>2674</v>
      </c>
      <c r="AH12639" s="831" t="s">
        <v>126</v>
      </c>
      <c r="AI12639" s="831">
        <v>0</v>
      </c>
      <c r="AJ12639" s="835">
        <v>41882</v>
      </c>
      <c r="AK12639" s="831">
        <v>141824046.03</v>
      </c>
    </row>
    <row r="12640" spans="2:37">
      <c r="B12640" s="834" t="str">
        <f t="shared" si="475"/>
        <v>|||</v>
      </c>
      <c r="H12640" s="835">
        <f t="shared" si="476"/>
        <v>31</v>
      </c>
      <c r="AF12640" s="831" t="s">
        <v>11607</v>
      </c>
      <c r="AG12640" s="831" t="s">
        <v>2674</v>
      </c>
      <c r="AH12640" s="831" t="s">
        <v>268</v>
      </c>
      <c r="AI12640" s="831">
        <v>0</v>
      </c>
      <c r="AJ12640" s="835">
        <v>41882</v>
      </c>
      <c r="AK12640" s="831">
        <v>25500774.76800001</v>
      </c>
    </row>
    <row r="12641" spans="2:37">
      <c r="B12641" s="834" t="str">
        <f t="shared" si="475"/>
        <v>|||</v>
      </c>
      <c r="H12641" s="835">
        <f t="shared" si="476"/>
        <v>31</v>
      </c>
      <c r="AF12641" s="831" t="s">
        <v>11608</v>
      </c>
      <c r="AG12641" s="831" t="s">
        <v>2674</v>
      </c>
      <c r="AH12641" s="831" t="s">
        <v>547</v>
      </c>
      <c r="AI12641" s="831">
        <v>0</v>
      </c>
      <c r="AJ12641" s="835">
        <v>41882</v>
      </c>
      <c r="AK12641" s="831">
        <v>777719977</v>
      </c>
    </row>
    <row r="12642" spans="2:37">
      <c r="B12642" s="834" t="str">
        <f t="shared" si="475"/>
        <v>|||</v>
      </c>
      <c r="H12642" s="835">
        <f t="shared" si="476"/>
        <v>31</v>
      </c>
      <c r="AF12642" s="831" t="s">
        <v>11609</v>
      </c>
      <c r="AG12642" s="831" t="s">
        <v>2674</v>
      </c>
      <c r="AH12642" s="831" t="s">
        <v>548</v>
      </c>
      <c r="AI12642" s="831">
        <v>0</v>
      </c>
      <c r="AJ12642" s="835">
        <v>41882</v>
      </c>
      <c r="AK12642" s="831">
        <v>117105496</v>
      </c>
    </row>
    <row r="12643" spans="2:37">
      <c r="B12643" s="834" t="str">
        <f t="shared" si="475"/>
        <v>|||</v>
      </c>
      <c r="H12643" s="835">
        <f t="shared" si="476"/>
        <v>31</v>
      </c>
      <c r="AF12643" s="831" t="s">
        <v>11610</v>
      </c>
      <c r="AG12643" s="831" t="s">
        <v>2674</v>
      </c>
      <c r="AH12643" s="831" t="s">
        <v>549</v>
      </c>
      <c r="AI12643" s="831">
        <v>0</v>
      </c>
      <c r="AJ12643" s="835">
        <v>41882</v>
      </c>
      <c r="AK12643" s="831">
        <v>548671343</v>
      </c>
    </row>
    <row r="12644" spans="2:37">
      <c r="B12644" s="834" t="str">
        <f t="shared" si="475"/>
        <v>|||</v>
      </c>
      <c r="H12644" s="835">
        <f t="shared" si="476"/>
        <v>31</v>
      </c>
      <c r="AF12644" s="831" t="s">
        <v>11611</v>
      </c>
      <c r="AG12644" s="831" t="s">
        <v>2674</v>
      </c>
      <c r="AH12644" s="831" t="s">
        <v>192</v>
      </c>
      <c r="AI12644" s="831">
        <v>0</v>
      </c>
      <c r="AJ12644" s="835">
        <v>41882</v>
      </c>
      <c r="AK12644" s="831">
        <v>-11209860</v>
      </c>
    </row>
    <row r="12645" spans="2:37">
      <c r="B12645" s="834" t="str">
        <f t="shared" si="475"/>
        <v>|||</v>
      </c>
      <c r="H12645" s="835">
        <f t="shared" si="476"/>
        <v>31</v>
      </c>
      <c r="AF12645" s="831" t="s">
        <v>11612</v>
      </c>
      <c r="AG12645" s="831" t="s">
        <v>2674</v>
      </c>
      <c r="AH12645" s="831" t="s">
        <v>558</v>
      </c>
      <c r="AI12645" s="831">
        <v>0</v>
      </c>
      <c r="AJ12645" s="835">
        <v>41882</v>
      </c>
      <c r="AK12645" s="831">
        <v>813503827.41700006</v>
      </c>
    </row>
    <row r="12646" spans="2:37">
      <c r="B12646" s="834" t="str">
        <f t="shared" si="475"/>
        <v>|||</v>
      </c>
      <c r="H12646" s="835">
        <f t="shared" si="476"/>
        <v>31</v>
      </c>
      <c r="AF12646" s="831" t="s">
        <v>11613</v>
      </c>
      <c r="AG12646" s="831" t="s">
        <v>2674</v>
      </c>
      <c r="AH12646" s="831" t="s">
        <v>65</v>
      </c>
      <c r="AI12646" s="831">
        <v>0</v>
      </c>
      <c r="AJ12646" s="835">
        <v>41882</v>
      </c>
      <c r="AK12646" s="831">
        <v>110886310.662</v>
      </c>
    </row>
    <row r="12647" spans="2:37">
      <c r="B12647" s="834" t="str">
        <f t="shared" si="475"/>
        <v>|||</v>
      </c>
      <c r="H12647" s="835">
        <f t="shared" si="476"/>
        <v>31</v>
      </c>
      <c r="AF12647" s="831" t="s">
        <v>11614</v>
      </c>
      <c r="AG12647" s="831" t="s">
        <v>2674</v>
      </c>
      <c r="AH12647" s="831" t="s">
        <v>89</v>
      </c>
      <c r="AI12647" s="831">
        <v>0</v>
      </c>
      <c r="AJ12647" s="835">
        <v>41882</v>
      </c>
      <c r="AK12647" s="831">
        <v>158540</v>
      </c>
    </row>
    <row r="12648" spans="2:37">
      <c r="B12648" s="834" t="str">
        <f t="shared" si="475"/>
        <v>|||</v>
      </c>
      <c r="H12648" s="835">
        <f t="shared" si="476"/>
        <v>31</v>
      </c>
      <c r="AF12648" s="831" t="s">
        <v>11615</v>
      </c>
      <c r="AG12648" s="831" t="s">
        <v>2674</v>
      </c>
      <c r="AH12648" s="831" t="s">
        <v>557</v>
      </c>
      <c r="AI12648" s="831">
        <v>0</v>
      </c>
      <c r="AJ12648" s="835">
        <v>41882</v>
      </c>
      <c r="AK12648" s="831">
        <v>176987</v>
      </c>
    </row>
    <row r="12649" spans="2:37">
      <c r="B12649" s="834" t="str">
        <f t="shared" si="475"/>
        <v>|||</v>
      </c>
      <c r="H12649" s="835">
        <f t="shared" si="476"/>
        <v>31</v>
      </c>
      <c r="AF12649" s="831" t="s">
        <v>11616</v>
      </c>
      <c r="AG12649" s="831" t="s">
        <v>2674</v>
      </c>
      <c r="AH12649" s="831" t="s">
        <v>29</v>
      </c>
      <c r="AI12649" s="831">
        <v>0</v>
      </c>
      <c r="AJ12649" s="835">
        <v>41882</v>
      </c>
      <c r="AK12649" s="831">
        <v>1746361.094</v>
      </c>
    </row>
    <row r="12650" spans="2:37">
      <c r="B12650" s="834" t="str">
        <f t="shared" si="475"/>
        <v>|||</v>
      </c>
      <c r="H12650" s="835">
        <f t="shared" si="476"/>
        <v>31</v>
      </c>
      <c r="AF12650" s="831" t="s">
        <v>11617</v>
      </c>
      <c r="AG12650" s="831" t="s">
        <v>2674</v>
      </c>
      <c r="AH12650" s="831" t="s">
        <v>2688</v>
      </c>
      <c r="AI12650" s="831">
        <v>0</v>
      </c>
      <c r="AJ12650" s="835">
        <v>41882</v>
      </c>
      <c r="AK12650" s="831">
        <v>4781420.7300000004</v>
      </c>
    </row>
    <row r="12651" spans="2:37">
      <c r="B12651" s="834" t="str">
        <f t="shared" si="475"/>
        <v>|||</v>
      </c>
      <c r="H12651" s="835">
        <f t="shared" si="476"/>
        <v>31</v>
      </c>
      <c r="AF12651" s="831" t="s">
        <v>11618</v>
      </c>
      <c r="AG12651" s="831" t="s">
        <v>2674</v>
      </c>
      <c r="AH12651" s="831" t="s">
        <v>556</v>
      </c>
      <c r="AI12651" s="831">
        <v>0</v>
      </c>
      <c r="AJ12651" s="835">
        <v>41882</v>
      </c>
      <c r="AK12651" s="831">
        <v>4890559</v>
      </c>
    </row>
    <row r="12652" spans="2:37">
      <c r="B12652" s="834" t="str">
        <f t="shared" si="475"/>
        <v>|||</v>
      </c>
      <c r="H12652" s="835">
        <f t="shared" si="476"/>
        <v>31</v>
      </c>
      <c r="AF12652" s="831" t="s">
        <v>11619</v>
      </c>
      <c r="AG12652" s="831" t="s">
        <v>2674</v>
      </c>
      <c r="AH12652" s="831" t="s">
        <v>555</v>
      </c>
      <c r="AI12652" s="831">
        <v>0</v>
      </c>
      <c r="AJ12652" s="835">
        <v>41882</v>
      </c>
      <c r="AK12652" s="831">
        <v>533401131</v>
      </c>
    </row>
    <row r="12653" spans="2:37">
      <c r="B12653" s="834" t="str">
        <f t="shared" si="475"/>
        <v>|||</v>
      </c>
      <c r="H12653" s="835">
        <f t="shared" si="476"/>
        <v>31</v>
      </c>
      <c r="AF12653" s="831" t="s">
        <v>11620</v>
      </c>
      <c r="AG12653" s="831" t="s">
        <v>2674</v>
      </c>
      <c r="AH12653" s="831" t="s">
        <v>554</v>
      </c>
      <c r="AI12653" s="831">
        <v>0</v>
      </c>
      <c r="AJ12653" s="835">
        <v>41882</v>
      </c>
      <c r="AK12653" s="831">
        <v>543423580</v>
      </c>
    </row>
    <row r="12654" spans="2:37">
      <c r="B12654" s="834" t="str">
        <f t="shared" si="475"/>
        <v>|||</v>
      </c>
      <c r="H12654" s="835">
        <f t="shared" si="476"/>
        <v>31</v>
      </c>
      <c r="AF12654" s="831" t="s">
        <v>11621</v>
      </c>
      <c r="AG12654" s="831" t="s">
        <v>2674</v>
      </c>
      <c r="AH12654" s="831" t="s">
        <v>553</v>
      </c>
      <c r="AI12654" s="831">
        <v>0</v>
      </c>
      <c r="AJ12654" s="835">
        <v>41882</v>
      </c>
      <c r="AK12654" s="831">
        <v>0</v>
      </c>
    </row>
    <row r="12655" spans="2:37">
      <c r="B12655" s="834" t="str">
        <f t="shared" si="475"/>
        <v>|||</v>
      </c>
      <c r="H12655" s="835">
        <f t="shared" si="476"/>
        <v>31</v>
      </c>
      <c r="AF12655" s="831" t="s">
        <v>11622</v>
      </c>
      <c r="AG12655" s="831" t="s">
        <v>2674</v>
      </c>
      <c r="AH12655" s="831" t="s">
        <v>552</v>
      </c>
      <c r="AI12655" s="831">
        <v>0</v>
      </c>
      <c r="AJ12655" s="835">
        <v>41882</v>
      </c>
      <c r="AK12655" s="831">
        <v>0</v>
      </c>
    </row>
    <row r="12656" spans="2:37">
      <c r="B12656" s="834" t="str">
        <f t="shared" si="475"/>
        <v>|||</v>
      </c>
      <c r="H12656" s="835">
        <f t="shared" si="476"/>
        <v>31</v>
      </c>
      <c r="AF12656" s="831" t="s">
        <v>11623</v>
      </c>
      <c r="AG12656" s="831" t="s">
        <v>2674</v>
      </c>
      <c r="AH12656" s="831" t="s">
        <v>551</v>
      </c>
      <c r="AI12656" s="831">
        <v>0</v>
      </c>
      <c r="AJ12656" s="835">
        <v>41882</v>
      </c>
      <c r="AK12656" s="831">
        <v>1392541.4989999998</v>
      </c>
    </row>
    <row r="12657" spans="2:37">
      <c r="B12657" s="834" t="str">
        <f t="shared" si="475"/>
        <v>|||</v>
      </c>
      <c r="H12657" s="835">
        <f t="shared" si="476"/>
        <v>31</v>
      </c>
      <c r="AF12657" s="831" t="s">
        <v>11624</v>
      </c>
      <c r="AG12657" s="831" t="s">
        <v>2674</v>
      </c>
      <c r="AH12657" s="831" t="s">
        <v>550</v>
      </c>
      <c r="AI12657" s="831">
        <v>0</v>
      </c>
      <c r="AJ12657" s="835">
        <v>41882</v>
      </c>
      <c r="AK12657" s="831">
        <v>138005087</v>
      </c>
    </row>
    <row r="12658" spans="2:37">
      <c r="B12658" s="834" t="str">
        <f t="shared" si="475"/>
        <v>|||</v>
      </c>
      <c r="H12658" s="835">
        <f t="shared" si="476"/>
        <v>31</v>
      </c>
      <c r="AF12658" s="831" t="s">
        <v>11625</v>
      </c>
      <c r="AG12658" s="831" t="s">
        <v>2674</v>
      </c>
      <c r="AH12658" s="831" t="s">
        <v>562</v>
      </c>
      <c r="AI12658" s="831">
        <v>0</v>
      </c>
      <c r="AJ12658" s="835">
        <v>41882</v>
      </c>
      <c r="AK12658" s="831">
        <v>0.7833</v>
      </c>
    </row>
    <row r="12659" spans="2:37">
      <c r="B12659" s="834" t="str">
        <f t="shared" si="475"/>
        <v>|||</v>
      </c>
      <c r="H12659" s="835">
        <f t="shared" si="476"/>
        <v>31</v>
      </c>
      <c r="AF12659" s="831" t="s">
        <v>11626</v>
      </c>
      <c r="AG12659" s="831" t="s">
        <v>2674</v>
      </c>
      <c r="AH12659" s="831" t="s">
        <v>2698</v>
      </c>
      <c r="AI12659" s="831">
        <v>0</v>
      </c>
      <c r="AJ12659" s="835">
        <v>41882</v>
      </c>
      <c r="AK12659" s="831">
        <v>0.78364999999999996</v>
      </c>
    </row>
    <row r="12660" spans="2:37">
      <c r="B12660" s="834" t="str">
        <f t="shared" si="475"/>
        <v>|||</v>
      </c>
      <c r="H12660" s="835">
        <f t="shared" si="476"/>
        <v>31</v>
      </c>
      <c r="AF12660" s="831" t="s">
        <v>11627</v>
      </c>
      <c r="AG12660" s="831" t="s">
        <v>2674</v>
      </c>
      <c r="AH12660" s="831" t="s">
        <v>560</v>
      </c>
      <c r="AI12660" s="831">
        <v>0</v>
      </c>
      <c r="AJ12660" s="835">
        <v>41882</v>
      </c>
      <c r="AK12660" s="831">
        <v>0.78369374999999997</v>
      </c>
    </row>
    <row r="12661" spans="2:37">
      <c r="B12661" s="834" t="str">
        <f t="shared" si="475"/>
        <v>|||</v>
      </c>
      <c r="H12661" s="835">
        <f t="shared" si="476"/>
        <v>31</v>
      </c>
      <c r="AF12661" s="831" t="s">
        <v>11628</v>
      </c>
      <c r="AG12661" s="831" t="s">
        <v>2674</v>
      </c>
      <c r="AH12661" s="831" t="s">
        <v>559</v>
      </c>
      <c r="AI12661" s="831">
        <v>0</v>
      </c>
      <c r="AJ12661" s="835">
        <v>41882</v>
      </c>
      <c r="AK12661" s="831">
        <v>0.78372083333333331</v>
      </c>
    </row>
    <row r="12662" spans="2:37">
      <c r="B12662" s="834" t="str">
        <f t="shared" si="475"/>
        <v>|||</v>
      </c>
      <c r="H12662" s="835">
        <f t="shared" si="476"/>
        <v>31</v>
      </c>
      <c r="AF12662" s="831" t="s">
        <v>11629</v>
      </c>
      <c r="AG12662" s="831" t="s">
        <v>2674</v>
      </c>
      <c r="AH12662" s="831" t="s">
        <v>568</v>
      </c>
      <c r="AI12662" s="831">
        <v>0</v>
      </c>
      <c r="AJ12662" s="835">
        <v>41882</v>
      </c>
      <c r="AK12662" s="831">
        <v>654234997.14999998</v>
      </c>
    </row>
    <row r="12663" spans="2:37">
      <c r="B12663" s="834" t="str">
        <f t="shared" si="475"/>
        <v>|||</v>
      </c>
      <c r="H12663" s="835">
        <f t="shared" si="476"/>
        <v>31</v>
      </c>
      <c r="AF12663" s="831" t="s">
        <v>11630</v>
      </c>
      <c r="AG12663" s="831" t="s">
        <v>2674</v>
      </c>
      <c r="AH12663" s="831" t="s">
        <v>569</v>
      </c>
      <c r="AI12663" s="831">
        <v>0</v>
      </c>
      <c r="AJ12663" s="835">
        <v>41882</v>
      </c>
      <c r="AK12663" s="831">
        <v>809130662.58869231</v>
      </c>
    </row>
    <row r="12664" spans="2:37">
      <c r="B12664" s="834" t="str">
        <f t="shared" si="475"/>
        <v>|||</v>
      </c>
      <c r="H12664" s="835">
        <f t="shared" si="476"/>
        <v>31</v>
      </c>
      <c r="AF12664" s="831" t="s">
        <v>11631</v>
      </c>
      <c r="AG12664" s="831" t="s">
        <v>2674</v>
      </c>
      <c r="AH12664" s="831" t="s">
        <v>570</v>
      </c>
      <c r="AI12664" s="831">
        <v>0</v>
      </c>
      <c r="AJ12664" s="835">
        <v>41882</v>
      </c>
      <c r="AK12664" s="831">
        <v>124921808.98430769</v>
      </c>
    </row>
    <row r="12665" spans="2:37">
      <c r="B12665" s="834" t="str">
        <f t="shared" si="475"/>
        <v>|||</v>
      </c>
      <c r="H12665" s="835">
        <f t="shared" si="476"/>
        <v>31</v>
      </c>
      <c r="AF12665" s="831" t="s">
        <v>11632</v>
      </c>
      <c r="AG12665" s="831" t="s">
        <v>2674</v>
      </c>
      <c r="AH12665" s="831" t="s">
        <v>571</v>
      </c>
      <c r="AI12665" s="831">
        <v>0</v>
      </c>
      <c r="AJ12665" s="835">
        <v>41882</v>
      </c>
      <c r="AK12665" s="831">
        <v>397063607.00692308</v>
      </c>
    </row>
    <row r="12666" spans="2:37">
      <c r="B12666" s="834" t="str">
        <f t="shared" si="475"/>
        <v>|||</v>
      </c>
      <c r="H12666" s="835">
        <f t="shared" si="476"/>
        <v>31</v>
      </c>
      <c r="AF12666" s="831" t="s">
        <v>11633</v>
      </c>
      <c r="AG12666" s="831" t="s">
        <v>2674</v>
      </c>
      <c r="AH12666" s="831" t="s">
        <v>573</v>
      </c>
      <c r="AI12666" s="831">
        <v>0</v>
      </c>
      <c r="AJ12666" s="835">
        <v>41882</v>
      </c>
      <c r="AK12666" s="831">
        <v>855614502.84033334</v>
      </c>
    </row>
    <row r="12667" spans="2:37">
      <c r="B12667" s="834" t="str">
        <f t="shared" si="475"/>
        <v>|||</v>
      </c>
      <c r="H12667" s="835">
        <f t="shared" si="476"/>
        <v>31</v>
      </c>
      <c r="AF12667" s="831" t="s">
        <v>11634</v>
      </c>
      <c r="AG12667" s="831" t="s">
        <v>2674</v>
      </c>
      <c r="AH12667" s="831" t="s">
        <v>574</v>
      </c>
      <c r="AI12667" s="831">
        <v>0</v>
      </c>
      <c r="AJ12667" s="835">
        <v>41882</v>
      </c>
      <c r="AK12667" s="831">
        <v>690452658.11111116</v>
      </c>
    </row>
    <row r="12668" spans="2:37">
      <c r="B12668" s="834" t="str">
        <f t="shared" si="475"/>
        <v>|||</v>
      </c>
      <c r="H12668" s="835">
        <f t="shared" si="476"/>
        <v>31</v>
      </c>
      <c r="AF12668" s="831" t="s">
        <v>11635</v>
      </c>
      <c r="AG12668" s="831" t="s">
        <v>2674</v>
      </c>
      <c r="AH12668" s="831" t="s">
        <v>575</v>
      </c>
      <c r="AI12668" s="831">
        <v>0</v>
      </c>
      <c r="AJ12668" s="835">
        <v>41882</v>
      </c>
      <c r="AK12668" s="831">
        <v>127725459.21555556</v>
      </c>
    </row>
    <row r="12669" spans="2:37">
      <c r="B12669" s="834" t="str">
        <f t="shared" si="475"/>
        <v>|||</v>
      </c>
      <c r="H12669" s="835">
        <f t="shared" si="476"/>
        <v>31</v>
      </c>
      <c r="AF12669" s="831" t="s">
        <v>11636</v>
      </c>
      <c r="AG12669" s="831" t="s">
        <v>2674</v>
      </c>
      <c r="AH12669" s="831" t="s">
        <v>576</v>
      </c>
      <c r="AI12669" s="831">
        <v>0</v>
      </c>
      <c r="AJ12669" s="835">
        <v>41882</v>
      </c>
      <c r="AK12669" s="831">
        <v>422408457.33644444</v>
      </c>
    </row>
    <row r="12670" spans="2:37">
      <c r="B12670" s="834" t="str">
        <f t="shared" si="475"/>
        <v>|||</v>
      </c>
      <c r="H12670" s="835">
        <f t="shared" si="476"/>
        <v>31</v>
      </c>
      <c r="AF12670" s="831" t="s">
        <v>11637</v>
      </c>
      <c r="AG12670" s="831" t="s">
        <v>2674</v>
      </c>
      <c r="AH12670" s="831" t="s">
        <v>572</v>
      </c>
      <c r="AI12670" s="831">
        <v>0</v>
      </c>
      <c r="AJ12670" s="835">
        <v>41882</v>
      </c>
      <c r="AK12670" s="831">
        <v>33565597.724000007</v>
      </c>
    </row>
    <row r="12671" spans="2:37">
      <c r="B12671" s="834" t="str">
        <f t="shared" si="475"/>
        <v>|||</v>
      </c>
      <c r="H12671" s="835">
        <f t="shared" si="476"/>
        <v>31</v>
      </c>
      <c r="AF12671" s="831" t="s">
        <v>11638</v>
      </c>
      <c r="AG12671" s="831" t="s">
        <v>2674</v>
      </c>
      <c r="AH12671" s="831" t="s">
        <v>577</v>
      </c>
      <c r="AI12671" s="831">
        <v>0</v>
      </c>
      <c r="AJ12671" s="835">
        <v>41882</v>
      </c>
      <c r="AK12671" s="831">
        <v>160354648.42500001</v>
      </c>
    </row>
    <row r="12672" spans="2:37">
      <c r="B12672" s="834" t="str">
        <f t="shared" si="475"/>
        <v>|||</v>
      </c>
      <c r="H12672" s="835">
        <f t="shared" si="476"/>
        <v>31</v>
      </c>
      <c r="AF12672" s="831" t="s">
        <v>11639</v>
      </c>
      <c r="AG12672" s="831" t="s">
        <v>2674</v>
      </c>
      <c r="AH12672" s="831" t="s">
        <v>3042</v>
      </c>
      <c r="AI12672" s="831">
        <v>0</v>
      </c>
      <c r="AJ12672" s="835">
        <v>41882</v>
      </c>
      <c r="AK12672" s="831">
        <v>-46384889.891000003</v>
      </c>
    </row>
    <row r="12673" spans="2:37">
      <c r="B12673" s="834" t="str">
        <f t="shared" si="475"/>
        <v>|||</v>
      </c>
      <c r="H12673" s="835">
        <f t="shared" si="476"/>
        <v>31</v>
      </c>
      <c r="AF12673" s="831" t="s">
        <v>11640</v>
      </c>
      <c r="AG12673" s="831" t="s">
        <v>2674</v>
      </c>
      <c r="AH12673" s="831" t="s">
        <v>3044</v>
      </c>
      <c r="AI12673" s="831">
        <v>0</v>
      </c>
      <c r="AJ12673" s="835">
        <v>41882</v>
      </c>
      <c r="AK12673" s="831">
        <v>-2154547.3159999996</v>
      </c>
    </row>
    <row r="12674" spans="2:37">
      <c r="B12674" s="834" t="str">
        <f t="shared" si="475"/>
        <v>|||</v>
      </c>
      <c r="H12674" s="835">
        <f t="shared" si="476"/>
        <v>31</v>
      </c>
      <c r="AF12674" s="831" t="s">
        <v>11641</v>
      </c>
      <c r="AG12674" s="831" t="s">
        <v>2674</v>
      </c>
      <c r="AH12674" s="831" t="s">
        <v>580</v>
      </c>
      <c r="AI12674" s="831">
        <v>0</v>
      </c>
      <c r="AJ12674" s="835">
        <v>41882</v>
      </c>
      <c r="AK12674" s="831">
        <v>-74112712.891000003</v>
      </c>
    </row>
    <row r="12675" spans="2:37">
      <c r="B12675" s="834" t="str">
        <f t="shared" si="475"/>
        <v>|||</v>
      </c>
      <c r="H12675" s="835">
        <f t="shared" si="476"/>
        <v>31</v>
      </c>
      <c r="AF12675" s="831" t="s">
        <v>11642</v>
      </c>
      <c r="AG12675" s="831" t="s">
        <v>2674</v>
      </c>
      <c r="AH12675" s="831" t="s">
        <v>581</v>
      </c>
      <c r="AI12675" s="831">
        <v>0</v>
      </c>
      <c r="AJ12675" s="835">
        <v>41882</v>
      </c>
      <c r="AK12675" s="831">
        <v>6514589.0720000006</v>
      </c>
    </row>
    <row r="12676" spans="2:37">
      <c r="B12676" s="834" t="str">
        <f t="shared" si="475"/>
        <v>|||</v>
      </c>
      <c r="H12676" s="835">
        <f t="shared" si="476"/>
        <v>31</v>
      </c>
      <c r="AF12676" s="831" t="s">
        <v>11643</v>
      </c>
      <c r="AG12676" s="831" t="s">
        <v>2674</v>
      </c>
      <c r="AH12676" s="831" t="s">
        <v>105</v>
      </c>
      <c r="AI12676" s="831">
        <v>0</v>
      </c>
      <c r="AJ12676" s="835">
        <v>41882</v>
      </c>
      <c r="AK12676" s="831">
        <v>478699463.41700006</v>
      </c>
    </row>
    <row r="12677" spans="2:37">
      <c r="B12677" s="834" t="str">
        <f t="shared" si="475"/>
        <v>|||</v>
      </c>
      <c r="H12677" s="835">
        <f t="shared" si="476"/>
        <v>31</v>
      </c>
      <c r="AF12677" s="831" t="s">
        <v>11644</v>
      </c>
      <c r="AG12677" s="831" t="s">
        <v>2674</v>
      </c>
      <c r="AH12677" s="831" t="s">
        <v>3049</v>
      </c>
      <c r="AI12677" s="831">
        <v>0</v>
      </c>
      <c r="AJ12677" s="835">
        <v>41882</v>
      </c>
      <c r="AK12677" s="831">
        <v>787453668.41700006</v>
      </c>
    </row>
    <row r="12678" spans="2:37">
      <c r="B12678" s="834" t="str">
        <f t="shared" si="475"/>
        <v>|||</v>
      </c>
      <c r="H12678" s="835">
        <f t="shared" si="476"/>
        <v>31</v>
      </c>
      <c r="AF12678" s="831" t="s">
        <v>11645</v>
      </c>
      <c r="AG12678" s="831" t="s">
        <v>2674</v>
      </c>
      <c r="AH12678" s="831" t="s">
        <v>103</v>
      </c>
      <c r="AI12678" s="831">
        <v>0</v>
      </c>
      <c r="AJ12678" s="835">
        <v>41882</v>
      </c>
      <c r="AK12678" s="831">
        <v>308754205</v>
      </c>
    </row>
    <row r="12679" spans="2:37">
      <c r="B12679" s="834" t="str">
        <f t="shared" si="475"/>
        <v>|||</v>
      </c>
      <c r="H12679" s="835">
        <f t="shared" si="476"/>
        <v>31</v>
      </c>
      <c r="AF12679" s="831" t="s">
        <v>11646</v>
      </c>
      <c r="AG12679" s="831" t="s">
        <v>2674</v>
      </c>
      <c r="AH12679" s="831" t="s">
        <v>182</v>
      </c>
      <c r="AI12679" s="831">
        <v>0</v>
      </c>
      <c r="AJ12679" s="835">
        <v>41882</v>
      </c>
      <c r="AK12679" s="831">
        <v>72923285.376000002</v>
      </c>
    </row>
    <row r="12680" spans="2:37">
      <c r="B12680" s="834" t="str">
        <f t="shared" si="475"/>
        <v>|||</v>
      </c>
      <c r="H12680" s="835">
        <f t="shared" si="476"/>
        <v>31</v>
      </c>
      <c r="AF12680" s="831" t="s">
        <v>11647</v>
      </c>
      <c r="AG12680" s="831" t="s">
        <v>2674</v>
      </c>
      <c r="AH12680" s="831" t="s">
        <v>6600</v>
      </c>
      <c r="AI12680" s="831">
        <v>0</v>
      </c>
      <c r="AJ12680" s="835">
        <v>41882</v>
      </c>
      <c r="AK12680" s="831">
        <v>33565597.724000007</v>
      </c>
    </row>
    <row r="12681" spans="2:37">
      <c r="B12681" s="834" t="str">
        <f t="shared" si="475"/>
        <v>|||</v>
      </c>
      <c r="H12681" s="835">
        <f t="shared" si="476"/>
        <v>31</v>
      </c>
      <c r="AF12681" s="831" t="s">
        <v>11648</v>
      </c>
      <c r="AG12681" s="831" t="s">
        <v>2674</v>
      </c>
      <c r="AH12681" s="831" t="s">
        <v>6602</v>
      </c>
      <c r="AI12681" s="831">
        <v>0</v>
      </c>
      <c r="AJ12681" s="835">
        <v>41882</v>
      </c>
      <c r="AK12681" s="831">
        <v>25500774.76800001</v>
      </c>
    </row>
    <row r="12682" spans="2:37">
      <c r="B12682" s="834" t="str">
        <f t="shared" si="475"/>
        <v>|||</v>
      </c>
      <c r="H12682" s="835">
        <f t="shared" si="476"/>
        <v>31</v>
      </c>
      <c r="AF12682" s="831" t="s">
        <v>11649</v>
      </c>
      <c r="AG12682" s="831" t="s">
        <v>2674</v>
      </c>
      <c r="AH12682" s="831" t="s">
        <v>650</v>
      </c>
      <c r="AI12682" s="831">
        <v>0</v>
      </c>
      <c r="AJ12682" s="835">
        <v>41882</v>
      </c>
      <c r="AK12682" s="831">
        <v>265538072.42453846</v>
      </c>
    </row>
    <row r="12683" spans="2:37">
      <c r="B12683" s="834" t="str">
        <f t="shared" si="475"/>
        <v>|||</v>
      </c>
      <c r="H12683" s="835">
        <f t="shared" si="476"/>
        <v>31</v>
      </c>
      <c r="AF12683" s="831" t="s">
        <v>11650</v>
      </c>
      <c r="AG12683" s="831" t="s">
        <v>2674</v>
      </c>
      <c r="AH12683" s="831" t="s">
        <v>655</v>
      </c>
      <c r="AI12683" s="831">
        <v>0</v>
      </c>
      <c r="AJ12683" s="835">
        <v>41882</v>
      </c>
      <c r="AK12683" s="831">
        <v>1018935.1089999999</v>
      </c>
    </row>
    <row r="12684" spans="2:37">
      <c r="B12684" s="834" t="str">
        <f t="shared" si="475"/>
        <v>|||</v>
      </c>
      <c r="H12684" s="835">
        <f t="shared" si="476"/>
        <v>31</v>
      </c>
      <c r="AF12684" s="831" t="s">
        <v>11651</v>
      </c>
      <c r="AG12684" s="831" t="s">
        <v>2674</v>
      </c>
      <c r="AH12684" s="831" t="s">
        <v>546</v>
      </c>
      <c r="AI12684" s="831">
        <v>0</v>
      </c>
      <c r="AJ12684" s="835">
        <v>41912</v>
      </c>
      <c r="AK12684" s="831">
        <v>775508043</v>
      </c>
    </row>
    <row r="12685" spans="2:37">
      <c r="B12685" s="834" t="str">
        <f t="shared" si="475"/>
        <v>|||</v>
      </c>
      <c r="H12685" s="835">
        <f t="shared" si="476"/>
        <v>31</v>
      </c>
      <c r="AF12685" s="831" t="s">
        <v>11652</v>
      </c>
      <c r="AG12685" s="831" t="s">
        <v>2674</v>
      </c>
      <c r="AH12685" s="831" t="s">
        <v>370</v>
      </c>
      <c r="AI12685" s="831">
        <v>0</v>
      </c>
      <c r="AJ12685" s="835">
        <v>41912</v>
      </c>
      <c r="AK12685" s="831">
        <v>955738548</v>
      </c>
    </row>
    <row r="12686" spans="2:37">
      <c r="B12686" s="834" t="str">
        <f t="shared" si="475"/>
        <v>|||</v>
      </c>
      <c r="H12686" s="835">
        <f t="shared" si="476"/>
        <v>31</v>
      </c>
      <c r="AF12686" s="831" t="s">
        <v>11653</v>
      </c>
      <c r="AG12686" s="831" t="s">
        <v>2674</v>
      </c>
      <c r="AH12686" s="831" t="s">
        <v>126</v>
      </c>
      <c r="AI12686" s="831">
        <v>0</v>
      </c>
      <c r="AJ12686" s="835">
        <v>41912</v>
      </c>
      <c r="AK12686" s="831">
        <v>145830225</v>
      </c>
    </row>
    <row r="12687" spans="2:37">
      <c r="B12687" s="834" t="str">
        <f t="shared" si="475"/>
        <v>|||</v>
      </c>
      <c r="H12687" s="835">
        <f t="shared" si="476"/>
        <v>31</v>
      </c>
      <c r="AF12687" s="831" t="s">
        <v>11654</v>
      </c>
      <c r="AG12687" s="831" t="s">
        <v>2674</v>
      </c>
      <c r="AH12687" s="831" t="s">
        <v>268</v>
      </c>
      <c r="AI12687" s="831">
        <v>0</v>
      </c>
      <c r="AJ12687" s="835">
        <v>41912</v>
      </c>
      <c r="AK12687" s="831">
        <v>29012035</v>
      </c>
    </row>
    <row r="12688" spans="2:37">
      <c r="B12688" s="834" t="str">
        <f t="shared" si="475"/>
        <v>|||</v>
      </c>
      <c r="H12688" s="835">
        <f t="shared" si="476"/>
        <v>31</v>
      </c>
      <c r="AF12688" s="831" t="s">
        <v>11655</v>
      </c>
      <c r="AG12688" s="831" t="s">
        <v>2674</v>
      </c>
      <c r="AH12688" s="831" t="s">
        <v>547</v>
      </c>
      <c r="AI12688" s="831">
        <v>0</v>
      </c>
      <c r="AJ12688" s="835">
        <v>41912</v>
      </c>
      <c r="AK12688" s="831">
        <v>777719977</v>
      </c>
    </row>
    <row r="12689" spans="2:37">
      <c r="B12689" s="834" t="str">
        <f t="shared" ref="B12689:B12752" si="477">C12689&amp;"|"&amp;D12689&amp;"|"&amp;E12689&amp;"|"&amp;F12689</f>
        <v>|||</v>
      </c>
      <c r="H12689" s="835">
        <f t="shared" ref="H12689:H12752" si="478">EOMONTH(L12689,0)</f>
        <v>31</v>
      </c>
      <c r="AF12689" s="831" t="s">
        <v>11656</v>
      </c>
      <c r="AG12689" s="831" t="s">
        <v>2674</v>
      </c>
      <c r="AH12689" s="831" t="s">
        <v>548</v>
      </c>
      <c r="AI12689" s="831">
        <v>0</v>
      </c>
      <c r="AJ12689" s="835">
        <v>41912</v>
      </c>
      <c r="AK12689" s="831">
        <v>117105496</v>
      </c>
    </row>
    <row r="12690" spans="2:37">
      <c r="B12690" s="834" t="str">
        <f t="shared" si="477"/>
        <v>|||</v>
      </c>
      <c r="H12690" s="835">
        <f t="shared" si="478"/>
        <v>31</v>
      </c>
      <c r="AF12690" s="831" t="s">
        <v>11657</v>
      </c>
      <c r="AG12690" s="831" t="s">
        <v>2674</v>
      </c>
      <c r="AH12690" s="831" t="s">
        <v>549</v>
      </c>
      <c r="AI12690" s="831">
        <v>0</v>
      </c>
      <c r="AJ12690" s="835">
        <v>41912</v>
      </c>
      <c r="AK12690" s="831">
        <v>563989028</v>
      </c>
    </row>
    <row r="12691" spans="2:37">
      <c r="B12691" s="834" t="str">
        <f t="shared" si="477"/>
        <v>|||</v>
      </c>
      <c r="H12691" s="835">
        <f t="shared" si="478"/>
        <v>31</v>
      </c>
      <c r="AF12691" s="831" t="s">
        <v>11658</v>
      </c>
      <c r="AG12691" s="831" t="s">
        <v>2674</v>
      </c>
      <c r="AH12691" s="831" t="s">
        <v>192</v>
      </c>
      <c r="AI12691" s="831">
        <v>0</v>
      </c>
      <c r="AJ12691" s="835">
        <v>41912</v>
      </c>
      <c r="AK12691" s="831">
        <v>-11006364</v>
      </c>
    </row>
    <row r="12692" spans="2:37">
      <c r="B12692" s="834" t="str">
        <f t="shared" si="477"/>
        <v>|||</v>
      </c>
      <c r="H12692" s="835">
        <f t="shared" si="478"/>
        <v>31</v>
      </c>
      <c r="AF12692" s="831" t="s">
        <v>11659</v>
      </c>
      <c r="AG12692" s="831" t="s">
        <v>2674</v>
      </c>
      <c r="AH12692" s="831" t="s">
        <v>558</v>
      </c>
      <c r="AI12692" s="831">
        <v>0</v>
      </c>
      <c r="AJ12692" s="835">
        <v>41912</v>
      </c>
      <c r="AK12692" s="831">
        <v>809908323</v>
      </c>
    </row>
    <row r="12693" spans="2:37">
      <c r="B12693" s="834" t="str">
        <f t="shared" si="477"/>
        <v>|||</v>
      </c>
      <c r="H12693" s="835">
        <f t="shared" si="478"/>
        <v>31</v>
      </c>
      <c r="AF12693" s="831" t="s">
        <v>11660</v>
      </c>
      <c r="AG12693" s="831" t="s">
        <v>2674</v>
      </c>
      <c r="AH12693" s="831" t="s">
        <v>65</v>
      </c>
      <c r="AI12693" s="831">
        <v>0</v>
      </c>
      <c r="AJ12693" s="835">
        <v>41912</v>
      </c>
      <c r="AK12693" s="831">
        <v>126643298</v>
      </c>
    </row>
    <row r="12694" spans="2:37">
      <c r="B12694" s="834" t="str">
        <f t="shared" si="477"/>
        <v>|||</v>
      </c>
      <c r="H12694" s="835">
        <f t="shared" si="478"/>
        <v>31</v>
      </c>
      <c r="AF12694" s="831" t="s">
        <v>11661</v>
      </c>
      <c r="AG12694" s="831" t="s">
        <v>2674</v>
      </c>
      <c r="AH12694" s="831" t="s">
        <v>89</v>
      </c>
      <c r="AI12694" s="831">
        <v>0</v>
      </c>
      <c r="AJ12694" s="835">
        <v>41912</v>
      </c>
      <c r="AK12694" s="831">
        <v>159987</v>
      </c>
    </row>
    <row r="12695" spans="2:37">
      <c r="B12695" s="834" t="str">
        <f t="shared" si="477"/>
        <v>|||</v>
      </c>
      <c r="H12695" s="835">
        <f t="shared" si="478"/>
        <v>31</v>
      </c>
      <c r="AF12695" s="831" t="s">
        <v>11662</v>
      </c>
      <c r="AG12695" s="831" t="s">
        <v>2674</v>
      </c>
      <c r="AH12695" s="831" t="s">
        <v>557</v>
      </c>
      <c r="AI12695" s="831">
        <v>0</v>
      </c>
      <c r="AJ12695" s="835">
        <v>41912</v>
      </c>
      <c r="AK12695" s="831">
        <v>180249</v>
      </c>
    </row>
    <row r="12696" spans="2:37">
      <c r="B12696" s="834" t="str">
        <f t="shared" si="477"/>
        <v>|||</v>
      </c>
      <c r="H12696" s="835">
        <f t="shared" si="478"/>
        <v>31</v>
      </c>
      <c r="AF12696" s="831" t="s">
        <v>11663</v>
      </c>
      <c r="AG12696" s="831" t="s">
        <v>2674</v>
      </c>
      <c r="AH12696" s="831" t="s">
        <v>29</v>
      </c>
      <c r="AI12696" s="831">
        <v>0</v>
      </c>
      <c r="AJ12696" s="835">
        <v>41912</v>
      </c>
      <c r="AK12696" s="831">
        <v>2332375</v>
      </c>
    </row>
    <row r="12697" spans="2:37">
      <c r="B12697" s="834" t="str">
        <f t="shared" si="477"/>
        <v>|||</v>
      </c>
      <c r="H12697" s="835">
        <f t="shared" si="478"/>
        <v>31</v>
      </c>
      <c r="AF12697" s="831" t="s">
        <v>11664</v>
      </c>
      <c r="AG12697" s="831" t="s">
        <v>2674</v>
      </c>
      <c r="AH12697" s="831" t="s">
        <v>2688</v>
      </c>
      <c r="AI12697" s="831">
        <v>0</v>
      </c>
      <c r="AJ12697" s="835">
        <v>41912</v>
      </c>
      <c r="AK12697" s="831">
        <v>4758526.78</v>
      </c>
    </row>
    <row r="12698" spans="2:37">
      <c r="B12698" s="834" t="str">
        <f t="shared" si="477"/>
        <v>|||</v>
      </c>
      <c r="H12698" s="835">
        <f t="shared" si="478"/>
        <v>31</v>
      </c>
      <c r="AF12698" s="831" t="s">
        <v>11665</v>
      </c>
      <c r="AG12698" s="831" t="s">
        <v>2674</v>
      </c>
      <c r="AH12698" s="831" t="s">
        <v>556</v>
      </c>
      <c r="AI12698" s="831">
        <v>0</v>
      </c>
      <c r="AJ12698" s="835">
        <v>41912</v>
      </c>
      <c r="AK12698" s="831">
        <v>6520953</v>
      </c>
    </row>
    <row r="12699" spans="2:37">
      <c r="B12699" s="834" t="str">
        <f t="shared" si="477"/>
        <v>|||</v>
      </c>
      <c r="H12699" s="835">
        <f t="shared" si="478"/>
        <v>31</v>
      </c>
      <c r="AF12699" s="831" t="s">
        <v>11666</v>
      </c>
      <c r="AG12699" s="831" t="s">
        <v>2674</v>
      </c>
      <c r="AH12699" s="831" t="s">
        <v>555</v>
      </c>
      <c r="AI12699" s="831">
        <v>0</v>
      </c>
      <c r="AJ12699" s="835">
        <v>41912</v>
      </c>
      <c r="AK12699" s="831">
        <v>528140339</v>
      </c>
    </row>
    <row r="12700" spans="2:37">
      <c r="B12700" s="834" t="str">
        <f t="shared" si="477"/>
        <v>|||</v>
      </c>
      <c r="H12700" s="835">
        <f t="shared" si="478"/>
        <v>31</v>
      </c>
      <c r="AF12700" s="831" t="s">
        <v>11667</v>
      </c>
      <c r="AG12700" s="831" t="s">
        <v>2674</v>
      </c>
      <c r="AH12700" s="831" t="s">
        <v>554</v>
      </c>
      <c r="AI12700" s="831">
        <v>0</v>
      </c>
      <c r="AJ12700" s="835">
        <v>41912</v>
      </c>
      <c r="AK12700" s="831">
        <v>536741460</v>
      </c>
    </row>
    <row r="12701" spans="2:37">
      <c r="B12701" s="834" t="str">
        <f t="shared" si="477"/>
        <v>|||</v>
      </c>
      <c r="H12701" s="835">
        <f t="shared" si="478"/>
        <v>31</v>
      </c>
      <c r="AF12701" s="831" t="s">
        <v>11668</v>
      </c>
      <c r="AG12701" s="831" t="s">
        <v>2674</v>
      </c>
      <c r="AH12701" s="831" t="s">
        <v>553</v>
      </c>
      <c r="AI12701" s="831">
        <v>0</v>
      </c>
      <c r="AJ12701" s="835">
        <v>41912</v>
      </c>
      <c r="AK12701" s="831">
        <v>0</v>
      </c>
    </row>
    <row r="12702" spans="2:37">
      <c r="B12702" s="834" t="str">
        <f t="shared" si="477"/>
        <v>|||</v>
      </c>
      <c r="H12702" s="835">
        <f t="shared" si="478"/>
        <v>31</v>
      </c>
      <c r="AF12702" s="831" t="s">
        <v>11669</v>
      </c>
      <c r="AG12702" s="831" t="s">
        <v>2674</v>
      </c>
      <c r="AH12702" s="831" t="s">
        <v>552</v>
      </c>
      <c r="AI12702" s="831">
        <v>0</v>
      </c>
      <c r="AJ12702" s="835">
        <v>41912</v>
      </c>
      <c r="AK12702" s="831">
        <v>0</v>
      </c>
    </row>
    <row r="12703" spans="2:37">
      <c r="B12703" s="834" t="str">
        <f t="shared" si="477"/>
        <v>|||</v>
      </c>
      <c r="H12703" s="835">
        <f t="shared" si="478"/>
        <v>31</v>
      </c>
      <c r="AF12703" s="831" t="s">
        <v>11670</v>
      </c>
      <c r="AG12703" s="831" t="s">
        <v>2674</v>
      </c>
      <c r="AH12703" s="831" t="s">
        <v>551</v>
      </c>
      <c r="AI12703" s="831">
        <v>0</v>
      </c>
      <c r="AJ12703" s="835">
        <v>41912</v>
      </c>
      <c r="AK12703" s="831">
        <v>1612094</v>
      </c>
    </row>
    <row r="12704" spans="2:37">
      <c r="B12704" s="834" t="str">
        <f t="shared" si="477"/>
        <v>|||</v>
      </c>
      <c r="H12704" s="835">
        <f t="shared" si="478"/>
        <v>31</v>
      </c>
      <c r="AF12704" s="831" t="s">
        <v>11671</v>
      </c>
      <c r="AG12704" s="831" t="s">
        <v>2674</v>
      </c>
      <c r="AH12704" s="831" t="s">
        <v>550</v>
      </c>
      <c r="AI12704" s="831">
        <v>0</v>
      </c>
      <c r="AJ12704" s="835">
        <v>41912</v>
      </c>
      <c r="AK12704" s="831">
        <v>141824046.03</v>
      </c>
    </row>
    <row r="12705" spans="2:37">
      <c r="B12705" s="834" t="str">
        <f t="shared" si="477"/>
        <v>|||</v>
      </c>
      <c r="H12705" s="835">
        <f t="shared" si="478"/>
        <v>31</v>
      </c>
      <c r="AF12705" s="831" t="s">
        <v>11672</v>
      </c>
      <c r="AG12705" s="831" t="s">
        <v>2674</v>
      </c>
      <c r="AH12705" s="831" t="s">
        <v>562</v>
      </c>
      <c r="AI12705" s="831">
        <v>0</v>
      </c>
      <c r="AJ12705" s="835">
        <v>41912</v>
      </c>
      <c r="AK12705" s="831">
        <v>0.78325</v>
      </c>
    </row>
    <row r="12706" spans="2:37">
      <c r="B12706" s="834" t="str">
        <f t="shared" si="477"/>
        <v>|||</v>
      </c>
      <c r="H12706" s="835">
        <f t="shared" si="478"/>
        <v>31</v>
      </c>
      <c r="AF12706" s="831" t="s">
        <v>11673</v>
      </c>
      <c r="AG12706" s="831" t="s">
        <v>2674</v>
      </c>
      <c r="AH12706" s="831" t="s">
        <v>2698</v>
      </c>
      <c r="AI12706" s="831">
        <v>0</v>
      </c>
      <c r="AJ12706" s="835">
        <v>41912</v>
      </c>
      <c r="AK12706" s="831">
        <v>0.7833</v>
      </c>
    </row>
    <row r="12707" spans="2:37">
      <c r="B12707" s="834" t="str">
        <f t="shared" si="477"/>
        <v>|||</v>
      </c>
      <c r="H12707" s="835">
        <f t="shared" si="478"/>
        <v>31</v>
      </c>
      <c r="AF12707" s="831" t="s">
        <v>11674</v>
      </c>
      <c r="AG12707" s="831" t="s">
        <v>2674</v>
      </c>
      <c r="AH12707" s="831" t="s">
        <v>560</v>
      </c>
      <c r="AI12707" s="831">
        <v>0</v>
      </c>
      <c r="AJ12707" s="835">
        <v>41912</v>
      </c>
      <c r="AK12707" s="831">
        <v>0.78364444444444448</v>
      </c>
    </row>
    <row r="12708" spans="2:37">
      <c r="B12708" s="834" t="str">
        <f t="shared" si="477"/>
        <v>|||</v>
      </c>
      <c r="H12708" s="835">
        <f t="shared" si="478"/>
        <v>31</v>
      </c>
      <c r="AF12708" s="831" t="s">
        <v>11675</v>
      </c>
      <c r="AG12708" s="831" t="s">
        <v>2674</v>
      </c>
      <c r="AH12708" s="831" t="s">
        <v>559</v>
      </c>
      <c r="AI12708" s="831">
        <v>0</v>
      </c>
      <c r="AJ12708" s="835">
        <v>41912</v>
      </c>
      <c r="AK12708" s="831">
        <v>0.78366250000000004</v>
      </c>
    </row>
    <row r="12709" spans="2:37">
      <c r="B12709" s="834" t="str">
        <f t="shared" si="477"/>
        <v>|||</v>
      </c>
      <c r="H12709" s="835">
        <f t="shared" si="478"/>
        <v>31</v>
      </c>
      <c r="AF12709" s="831" t="s">
        <v>11676</v>
      </c>
      <c r="AG12709" s="831" t="s">
        <v>2674</v>
      </c>
      <c r="AH12709" s="831" t="s">
        <v>568</v>
      </c>
      <c r="AI12709" s="831">
        <v>0</v>
      </c>
      <c r="AJ12709" s="835">
        <v>41912</v>
      </c>
      <c r="AK12709" s="831">
        <v>671683974.07307696</v>
      </c>
    </row>
    <row r="12710" spans="2:37">
      <c r="B12710" s="834" t="str">
        <f t="shared" si="477"/>
        <v>|||</v>
      </c>
      <c r="H12710" s="835">
        <f t="shared" si="478"/>
        <v>31</v>
      </c>
      <c r="AF12710" s="831" t="s">
        <v>11677</v>
      </c>
      <c r="AG12710" s="831" t="s">
        <v>2674</v>
      </c>
      <c r="AH12710" s="831" t="s">
        <v>569</v>
      </c>
      <c r="AI12710" s="831">
        <v>0</v>
      </c>
      <c r="AJ12710" s="835">
        <v>41912</v>
      </c>
      <c r="AK12710" s="831">
        <v>832078660.51176918</v>
      </c>
    </row>
    <row r="12711" spans="2:37">
      <c r="B12711" s="834" t="str">
        <f t="shared" si="477"/>
        <v>|||</v>
      </c>
      <c r="H12711" s="835">
        <f t="shared" si="478"/>
        <v>31</v>
      </c>
      <c r="AF12711" s="831" t="s">
        <v>11678</v>
      </c>
      <c r="AG12711" s="831" t="s">
        <v>2674</v>
      </c>
      <c r="AH12711" s="831" t="s">
        <v>570</v>
      </c>
      <c r="AI12711" s="831">
        <v>0</v>
      </c>
      <c r="AJ12711" s="835">
        <v>41912</v>
      </c>
      <c r="AK12711" s="831">
        <v>127379907.52276923</v>
      </c>
    </row>
    <row r="12712" spans="2:37">
      <c r="B12712" s="834" t="str">
        <f t="shared" si="477"/>
        <v>|||</v>
      </c>
      <c r="H12712" s="835">
        <f t="shared" si="478"/>
        <v>31</v>
      </c>
      <c r="AF12712" s="831" t="s">
        <v>11679</v>
      </c>
      <c r="AG12712" s="831" t="s">
        <v>2674</v>
      </c>
      <c r="AH12712" s="831" t="s">
        <v>571</v>
      </c>
      <c r="AI12712" s="831">
        <v>0</v>
      </c>
      <c r="AJ12712" s="835">
        <v>41912</v>
      </c>
      <c r="AK12712" s="831">
        <v>409242621.46846157</v>
      </c>
    </row>
    <row r="12713" spans="2:37">
      <c r="B12713" s="834" t="str">
        <f t="shared" si="477"/>
        <v>|||</v>
      </c>
      <c r="H12713" s="835">
        <f t="shared" si="478"/>
        <v>31</v>
      </c>
      <c r="AF12713" s="831" t="s">
        <v>11680</v>
      </c>
      <c r="AG12713" s="831" t="s">
        <v>2674</v>
      </c>
      <c r="AH12713" s="831" t="s">
        <v>573</v>
      </c>
      <c r="AI12713" s="831">
        <v>0</v>
      </c>
      <c r="AJ12713" s="835">
        <v>41912</v>
      </c>
      <c r="AK12713" s="831">
        <v>865626907.3563</v>
      </c>
    </row>
    <row r="12714" spans="2:37">
      <c r="B12714" s="834" t="str">
        <f t="shared" si="477"/>
        <v>|||</v>
      </c>
      <c r="H12714" s="835">
        <f t="shared" si="478"/>
        <v>31</v>
      </c>
      <c r="AF12714" s="831" t="s">
        <v>11681</v>
      </c>
      <c r="AG12714" s="831" t="s">
        <v>2674</v>
      </c>
      <c r="AH12714" s="831" t="s">
        <v>574</v>
      </c>
      <c r="AI12714" s="831">
        <v>0</v>
      </c>
      <c r="AJ12714" s="835">
        <v>41912</v>
      </c>
      <c r="AK12714" s="831">
        <v>698958196.60000002</v>
      </c>
    </row>
    <row r="12715" spans="2:37">
      <c r="B12715" s="834" t="str">
        <f t="shared" si="477"/>
        <v>|||</v>
      </c>
      <c r="H12715" s="835">
        <f t="shared" si="478"/>
        <v>31</v>
      </c>
      <c r="AF12715" s="831" t="s">
        <v>11682</v>
      </c>
      <c r="AG12715" s="831" t="s">
        <v>2674</v>
      </c>
      <c r="AH12715" s="831" t="s">
        <v>575</v>
      </c>
      <c r="AI12715" s="831">
        <v>0</v>
      </c>
      <c r="AJ12715" s="835">
        <v>41912</v>
      </c>
      <c r="AK12715" s="831">
        <v>129535935.794</v>
      </c>
    </row>
    <row r="12716" spans="2:37">
      <c r="B12716" s="834" t="str">
        <f t="shared" si="477"/>
        <v>|||</v>
      </c>
      <c r="H12716" s="835">
        <f t="shared" si="478"/>
        <v>31</v>
      </c>
      <c r="AF12716" s="831" t="s">
        <v>11683</v>
      </c>
      <c r="AG12716" s="831" t="s">
        <v>2674</v>
      </c>
      <c r="AH12716" s="831" t="s">
        <v>576</v>
      </c>
      <c r="AI12716" s="831">
        <v>0</v>
      </c>
      <c r="AJ12716" s="835">
        <v>41912</v>
      </c>
      <c r="AK12716" s="831">
        <v>427412859.60280001</v>
      </c>
    </row>
    <row r="12717" spans="2:37">
      <c r="B12717" s="834" t="str">
        <f t="shared" si="477"/>
        <v>|||</v>
      </c>
      <c r="H12717" s="835">
        <f t="shared" si="478"/>
        <v>31</v>
      </c>
      <c r="AF12717" s="831" t="s">
        <v>11684</v>
      </c>
      <c r="AG12717" s="831" t="s">
        <v>2674</v>
      </c>
      <c r="AH12717" s="831" t="s">
        <v>572</v>
      </c>
      <c r="AI12717" s="831">
        <v>0</v>
      </c>
      <c r="AJ12717" s="835">
        <v>41912</v>
      </c>
      <c r="AK12717" s="831">
        <v>33781162.955999985</v>
      </c>
    </row>
    <row r="12718" spans="2:37">
      <c r="B12718" s="834" t="str">
        <f t="shared" si="477"/>
        <v>|||</v>
      </c>
      <c r="H12718" s="835">
        <f t="shared" si="478"/>
        <v>31</v>
      </c>
      <c r="AF12718" s="831" t="s">
        <v>11685</v>
      </c>
      <c r="AG12718" s="831" t="s">
        <v>2674</v>
      </c>
      <c r="AH12718" s="831" t="s">
        <v>577</v>
      </c>
      <c r="AI12718" s="831">
        <v>0</v>
      </c>
      <c r="AJ12718" s="835">
        <v>41912</v>
      </c>
      <c r="AK12718" s="831">
        <v>164186629.76300001</v>
      </c>
    </row>
    <row r="12719" spans="2:37">
      <c r="B12719" s="834" t="str">
        <f t="shared" si="477"/>
        <v>|||</v>
      </c>
      <c r="H12719" s="835">
        <f t="shared" si="478"/>
        <v>31</v>
      </c>
      <c r="AF12719" s="831" t="s">
        <v>11686</v>
      </c>
      <c r="AG12719" s="831" t="s">
        <v>2674</v>
      </c>
      <c r="AH12719" s="831" t="s">
        <v>3042</v>
      </c>
      <c r="AI12719" s="831">
        <v>0</v>
      </c>
      <c r="AJ12719" s="835">
        <v>41912</v>
      </c>
      <c r="AK12719" s="831">
        <v>-47764358.527000003</v>
      </c>
    </row>
    <row r="12720" spans="2:37">
      <c r="B12720" s="834" t="str">
        <f t="shared" si="477"/>
        <v>|||</v>
      </c>
      <c r="H12720" s="835">
        <f t="shared" si="478"/>
        <v>31</v>
      </c>
      <c r="AF12720" s="831" t="s">
        <v>11687</v>
      </c>
      <c r="AG12720" s="831" t="s">
        <v>2674</v>
      </c>
      <c r="AH12720" s="831" t="s">
        <v>3044</v>
      </c>
      <c r="AI12720" s="831">
        <v>0</v>
      </c>
      <c r="AJ12720" s="835">
        <v>41912</v>
      </c>
      <c r="AK12720" s="831">
        <v>-2027515.8899999997</v>
      </c>
    </row>
    <row r="12721" spans="2:37">
      <c r="B12721" s="834" t="str">
        <f t="shared" si="477"/>
        <v>|||</v>
      </c>
      <c r="H12721" s="835">
        <f t="shared" si="478"/>
        <v>31</v>
      </c>
      <c r="AF12721" s="831" t="s">
        <v>11688</v>
      </c>
      <c r="AG12721" s="831" t="s">
        <v>2674</v>
      </c>
      <c r="AH12721" s="831" t="s">
        <v>580</v>
      </c>
      <c r="AI12721" s="831">
        <v>0</v>
      </c>
      <c r="AJ12721" s="835">
        <v>41912</v>
      </c>
      <c r="AK12721" s="831">
        <v>-75872333.307000011</v>
      </c>
    </row>
    <row r="12722" spans="2:37">
      <c r="B12722" s="834" t="str">
        <f t="shared" si="477"/>
        <v>|||</v>
      </c>
      <c r="H12722" s="835">
        <f t="shared" si="478"/>
        <v>31</v>
      </c>
      <c r="AF12722" s="831" t="s">
        <v>11689</v>
      </c>
      <c r="AG12722" s="831" t="s">
        <v>2674</v>
      </c>
      <c r="AH12722" s="831" t="s">
        <v>581</v>
      </c>
      <c r="AI12722" s="831">
        <v>0</v>
      </c>
      <c r="AJ12722" s="835">
        <v>41912</v>
      </c>
      <c r="AK12722" s="831">
        <v>6304407.8940000003</v>
      </c>
    </row>
    <row r="12723" spans="2:37">
      <c r="B12723" s="834" t="str">
        <f t="shared" si="477"/>
        <v>|||</v>
      </c>
      <c r="H12723" s="835">
        <f t="shared" si="478"/>
        <v>31</v>
      </c>
      <c r="AF12723" s="831" t="s">
        <v>11690</v>
      </c>
      <c r="AG12723" s="831" t="s">
        <v>2674</v>
      </c>
      <c r="AH12723" s="831" t="s">
        <v>105</v>
      </c>
      <c r="AI12723" s="831">
        <v>0</v>
      </c>
      <c r="AJ12723" s="835">
        <v>41912</v>
      </c>
      <c r="AK12723" s="831">
        <v>472452480</v>
      </c>
    </row>
    <row r="12724" spans="2:37">
      <c r="B12724" s="834" t="str">
        <f t="shared" si="477"/>
        <v>|||</v>
      </c>
      <c r="H12724" s="835">
        <f t="shared" si="478"/>
        <v>31</v>
      </c>
      <c r="AF12724" s="831" t="s">
        <v>11691</v>
      </c>
      <c r="AG12724" s="831" t="s">
        <v>2674</v>
      </c>
      <c r="AH12724" s="831" t="s">
        <v>3049</v>
      </c>
      <c r="AI12724" s="831">
        <v>0</v>
      </c>
      <c r="AJ12724" s="835">
        <v>41912</v>
      </c>
      <c r="AK12724" s="831">
        <v>783051294</v>
      </c>
    </row>
    <row r="12725" spans="2:37">
      <c r="B12725" s="834" t="str">
        <f t="shared" si="477"/>
        <v>|||</v>
      </c>
      <c r="H12725" s="835">
        <f t="shared" si="478"/>
        <v>31</v>
      </c>
      <c r="AF12725" s="831" t="s">
        <v>11692</v>
      </c>
      <c r="AG12725" s="831" t="s">
        <v>2674</v>
      </c>
      <c r="AH12725" s="831" t="s">
        <v>103</v>
      </c>
      <c r="AI12725" s="831">
        <v>0</v>
      </c>
      <c r="AJ12725" s="835">
        <v>41912</v>
      </c>
      <c r="AK12725" s="831">
        <v>310598814</v>
      </c>
    </row>
    <row r="12726" spans="2:37">
      <c r="B12726" s="834" t="str">
        <f t="shared" si="477"/>
        <v>|||</v>
      </c>
      <c r="H12726" s="835">
        <f t="shared" si="478"/>
        <v>31</v>
      </c>
      <c r="AF12726" s="831" t="s">
        <v>11693</v>
      </c>
      <c r="AG12726" s="831" t="s">
        <v>2674</v>
      </c>
      <c r="AH12726" s="831" t="s">
        <v>182</v>
      </c>
      <c r="AI12726" s="831">
        <v>0</v>
      </c>
      <c r="AJ12726" s="835">
        <v>41912</v>
      </c>
      <c r="AK12726" s="831">
        <v>73471997.333333328</v>
      </c>
    </row>
    <row r="12727" spans="2:37">
      <c r="B12727" s="834" t="str">
        <f t="shared" si="477"/>
        <v>|||</v>
      </c>
      <c r="H12727" s="835">
        <f t="shared" si="478"/>
        <v>31</v>
      </c>
      <c r="AF12727" s="831" t="s">
        <v>11694</v>
      </c>
      <c r="AG12727" s="831" t="s">
        <v>2674</v>
      </c>
      <c r="AH12727" s="831" t="s">
        <v>6600</v>
      </c>
      <c r="AI12727" s="831">
        <v>0</v>
      </c>
      <c r="AJ12727" s="835">
        <v>41912</v>
      </c>
      <c r="AK12727" s="831">
        <v>33781162.955999985</v>
      </c>
    </row>
    <row r="12728" spans="2:37">
      <c r="B12728" s="834" t="str">
        <f t="shared" si="477"/>
        <v>|||</v>
      </c>
      <c r="H12728" s="835">
        <f t="shared" si="478"/>
        <v>31</v>
      </c>
      <c r="AF12728" s="831" t="s">
        <v>11695</v>
      </c>
      <c r="AG12728" s="831" t="s">
        <v>2674</v>
      </c>
      <c r="AH12728" s="831" t="s">
        <v>6602</v>
      </c>
      <c r="AI12728" s="831">
        <v>0</v>
      </c>
      <c r="AJ12728" s="835">
        <v>41912</v>
      </c>
      <c r="AK12728" s="831">
        <v>29012035</v>
      </c>
    </row>
    <row r="12729" spans="2:37">
      <c r="B12729" s="834" t="str">
        <f t="shared" si="477"/>
        <v>|||</v>
      </c>
      <c r="H12729" s="835">
        <f t="shared" si="478"/>
        <v>31</v>
      </c>
      <c r="AF12729" s="831" t="s">
        <v>11696</v>
      </c>
      <c r="AG12729" s="831" t="s">
        <v>2674</v>
      </c>
      <c r="AH12729" s="831" t="s">
        <v>650</v>
      </c>
      <c r="AI12729" s="831">
        <v>0</v>
      </c>
      <c r="AJ12729" s="835">
        <v>41912</v>
      </c>
      <c r="AK12729" s="831">
        <v>273036122.95146155</v>
      </c>
    </row>
    <row r="12730" spans="2:37">
      <c r="B12730" s="834" t="str">
        <f t="shared" si="477"/>
        <v>|||</v>
      </c>
      <c r="H12730" s="835">
        <f t="shared" si="478"/>
        <v>31</v>
      </c>
      <c r="AF12730" s="831" t="s">
        <v>11697</v>
      </c>
      <c r="AG12730" s="831" t="s">
        <v>2674</v>
      </c>
      <c r="AH12730" s="831" t="s">
        <v>655</v>
      </c>
      <c r="AI12730" s="831">
        <v>0</v>
      </c>
      <c r="AJ12730" s="835">
        <v>41912</v>
      </c>
      <c r="AK12730" s="831">
        <v>1341189</v>
      </c>
    </row>
    <row r="12731" spans="2:37">
      <c r="B12731" s="834" t="str">
        <f t="shared" si="477"/>
        <v>|||</v>
      </c>
      <c r="H12731" s="835">
        <f t="shared" si="478"/>
        <v>31</v>
      </c>
      <c r="AF12731" s="831" t="s">
        <v>11698</v>
      </c>
      <c r="AG12731" s="831" t="s">
        <v>2674</v>
      </c>
      <c r="AH12731" s="831" t="s">
        <v>546</v>
      </c>
      <c r="AI12731" s="831">
        <v>0</v>
      </c>
      <c r="AJ12731" s="835">
        <v>41943</v>
      </c>
      <c r="AK12731" s="831">
        <v>788185615</v>
      </c>
    </row>
    <row r="12732" spans="2:37">
      <c r="B12732" s="834" t="str">
        <f t="shared" si="477"/>
        <v>|||</v>
      </c>
      <c r="H12732" s="835">
        <f t="shared" si="478"/>
        <v>31</v>
      </c>
      <c r="AF12732" s="831" t="s">
        <v>11699</v>
      </c>
      <c r="AG12732" s="831" t="s">
        <v>2674</v>
      </c>
      <c r="AH12732" s="831" t="s">
        <v>370</v>
      </c>
      <c r="AI12732" s="831">
        <v>0</v>
      </c>
      <c r="AJ12732" s="835">
        <v>41943</v>
      </c>
      <c r="AK12732" s="831">
        <v>999911217</v>
      </c>
    </row>
    <row r="12733" spans="2:37">
      <c r="B12733" s="834" t="str">
        <f t="shared" si="477"/>
        <v>|||</v>
      </c>
      <c r="H12733" s="835">
        <f t="shared" si="478"/>
        <v>31</v>
      </c>
      <c r="AF12733" s="831" t="s">
        <v>11700</v>
      </c>
      <c r="AG12733" s="831" t="s">
        <v>2674</v>
      </c>
      <c r="AH12733" s="831" t="s">
        <v>126</v>
      </c>
      <c r="AI12733" s="831">
        <v>0</v>
      </c>
      <c r="AJ12733" s="835">
        <v>41943</v>
      </c>
      <c r="AK12733" s="831">
        <v>149380039</v>
      </c>
    </row>
    <row r="12734" spans="2:37">
      <c r="B12734" s="834" t="str">
        <f t="shared" si="477"/>
        <v>|||</v>
      </c>
      <c r="H12734" s="835">
        <f t="shared" si="478"/>
        <v>31</v>
      </c>
      <c r="AF12734" s="831" t="s">
        <v>11701</v>
      </c>
      <c r="AG12734" s="831" t="s">
        <v>2674</v>
      </c>
      <c r="AH12734" s="831" t="s">
        <v>268</v>
      </c>
      <c r="AI12734" s="831">
        <v>0</v>
      </c>
      <c r="AJ12734" s="835">
        <v>41943</v>
      </c>
      <c r="AK12734" s="831">
        <v>32657533</v>
      </c>
    </row>
    <row r="12735" spans="2:37">
      <c r="B12735" s="834" t="str">
        <f t="shared" si="477"/>
        <v>|||</v>
      </c>
      <c r="H12735" s="835">
        <f t="shared" si="478"/>
        <v>31</v>
      </c>
      <c r="AF12735" s="831" t="s">
        <v>11702</v>
      </c>
      <c r="AG12735" s="831" t="s">
        <v>2674</v>
      </c>
      <c r="AH12735" s="831" t="s">
        <v>547</v>
      </c>
      <c r="AI12735" s="831">
        <v>0</v>
      </c>
      <c r="AJ12735" s="835">
        <v>41943</v>
      </c>
      <c r="AK12735" s="831">
        <v>777719977</v>
      </c>
    </row>
    <row r="12736" spans="2:37">
      <c r="B12736" s="834" t="str">
        <f t="shared" si="477"/>
        <v>|||</v>
      </c>
      <c r="H12736" s="835">
        <f t="shared" si="478"/>
        <v>31</v>
      </c>
      <c r="AF12736" s="831" t="s">
        <v>11703</v>
      </c>
      <c r="AG12736" s="831" t="s">
        <v>2674</v>
      </c>
      <c r="AH12736" s="831" t="s">
        <v>548</v>
      </c>
      <c r="AI12736" s="831">
        <v>0</v>
      </c>
      <c r="AJ12736" s="835">
        <v>41943</v>
      </c>
      <c r="AK12736" s="831">
        <v>117105496</v>
      </c>
    </row>
    <row r="12737" spans="2:37">
      <c r="B12737" s="834" t="str">
        <f t="shared" si="477"/>
        <v>|||</v>
      </c>
      <c r="H12737" s="835">
        <f t="shared" si="478"/>
        <v>31</v>
      </c>
      <c r="AF12737" s="831" t="s">
        <v>11704</v>
      </c>
      <c r="AG12737" s="831" t="s">
        <v>2674</v>
      </c>
      <c r="AH12737" s="831" t="s">
        <v>549</v>
      </c>
      <c r="AI12737" s="831">
        <v>0</v>
      </c>
      <c r="AJ12737" s="835">
        <v>41943</v>
      </c>
      <c r="AK12737" s="831">
        <v>580271359</v>
      </c>
    </row>
    <row r="12738" spans="2:37">
      <c r="B12738" s="834" t="str">
        <f t="shared" si="477"/>
        <v>|||</v>
      </c>
      <c r="H12738" s="835">
        <f t="shared" si="478"/>
        <v>31</v>
      </c>
      <c r="AF12738" s="831" t="s">
        <v>11705</v>
      </c>
      <c r="AG12738" s="831" t="s">
        <v>2674</v>
      </c>
      <c r="AH12738" s="831" t="s">
        <v>192</v>
      </c>
      <c r="AI12738" s="831">
        <v>0</v>
      </c>
      <c r="AJ12738" s="835">
        <v>41943</v>
      </c>
      <c r="AK12738" s="831">
        <v>-11001950</v>
      </c>
    </row>
    <row r="12739" spans="2:37">
      <c r="B12739" s="834" t="str">
        <f t="shared" si="477"/>
        <v>|||</v>
      </c>
      <c r="H12739" s="835">
        <f t="shared" si="478"/>
        <v>31</v>
      </c>
      <c r="AF12739" s="831" t="s">
        <v>11706</v>
      </c>
      <c r="AG12739" s="831" t="s">
        <v>2674</v>
      </c>
      <c r="AH12739" s="831" t="s">
        <v>558</v>
      </c>
      <c r="AI12739" s="831">
        <v>0</v>
      </c>
      <c r="AJ12739" s="835">
        <v>41943</v>
      </c>
      <c r="AK12739" s="831">
        <v>850531537</v>
      </c>
    </row>
    <row r="12740" spans="2:37">
      <c r="B12740" s="834" t="str">
        <f t="shared" si="477"/>
        <v>|||</v>
      </c>
      <c r="H12740" s="835">
        <f t="shared" si="478"/>
        <v>31</v>
      </c>
      <c r="AF12740" s="831" t="s">
        <v>11707</v>
      </c>
      <c r="AG12740" s="831" t="s">
        <v>2674</v>
      </c>
      <c r="AH12740" s="831" t="s">
        <v>65</v>
      </c>
      <c r="AI12740" s="831">
        <v>0</v>
      </c>
      <c r="AJ12740" s="835">
        <v>41943</v>
      </c>
      <c r="AK12740" s="831">
        <v>144545337</v>
      </c>
    </row>
    <row r="12741" spans="2:37">
      <c r="B12741" s="834" t="str">
        <f t="shared" si="477"/>
        <v>|||</v>
      </c>
      <c r="H12741" s="835">
        <f t="shared" si="478"/>
        <v>31</v>
      </c>
      <c r="AF12741" s="831" t="s">
        <v>11708</v>
      </c>
      <c r="AG12741" s="831" t="s">
        <v>2674</v>
      </c>
      <c r="AH12741" s="831" t="s">
        <v>89</v>
      </c>
      <c r="AI12741" s="831">
        <v>0</v>
      </c>
      <c r="AJ12741" s="835">
        <v>41943</v>
      </c>
      <c r="AK12741" s="831">
        <v>159189</v>
      </c>
    </row>
    <row r="12742" spans="2:37">
      <c r="B12742" s="834" t="str">
        <f t="shared" si="477"/>
        <v>|||</v>
      </c>
      <c r="H12742" s="835">
        <f t="shared" si="478"/>
        <v>31</v>
      </c>
      <c r="AF12742" s="831" t="s">
        <v>11709</v>
      </c>
      <c r="AG12742" s="831" t="s">
        <v>2674</v>
      </c>
      <c r="AH12742" s="831" t="s">
        <v>557</v>
      </c>
      <c r="AI12742" s="831">
        <v>0</v>
      </c>
      <c r="AJ12742" s="835">
        <v>41943</v>
      </c>
      <c r="AK12742" s="831">
        <v>176925</v>
      </c>
    </row>
    <row r="12743" spans="2:37">
      <c r="B12743" s="834" t="str">
        <f t="shared" si="477"/>
        <v>|||</v>
      </c>
      <c r="H12743" s="835">
        <f t="shared" si="478"/>
        <v>31</v>
      </c>
      <c r="AF12743" s="831" t="s">
        <v>11710</v>
      </c>
      <c r="AG12743" s="831" t="s">
        <v>2674</v>
      </c>
      <c r="AH12743" s="831" t="s">
        <v>29</v>
      </c>
      <c r="AI12743" s="831">
        <v>0</v>
      </c>
      <c r="AJ12743" s="835">
        <v>41943</v>
      </c>
      <c r="AK12743" s="831">
        <v>4443738</v>
      </c>
    </row>
    <row r="12744" spans="2:37">
      <c r="B12744" s="834" t="str">
        <f t="shared" si="477"/>
        <v>|||</v>
      </c>
      <c r="H12744" s="835">
        <f t="shared" si="478"/>
        <v>31</v>
      </c>
      <c r="AF12744" s="831" t="s">
        <v>11711</v>
      </c>
      <c r="AG12744" s="831" t="s">
        <v>2674</v>
      </c>
      <c r="AH12744" s="831" t="s">
        <v>2688</v>
      </c>
      <c r="AI12744" s="831">
        <v>0</v>
      </c>
      <c r="AJ12744" s="835">
        <v>41943</v>
      </c>
      <c r="AK12744" s="831">
        <v>4878770.040000001</v>
      </c>
    </row>
    <row r="12745" spans="2:37">
      <c r="B12745" s="834" t="str">
        <f t="shared" si="477"/>
        <v>|||</v>
      </c>
      <c r="H12745" s="835">
        <f t="shared" si="478"/>
        <v>31</v>
      </c>
      <c r="AF12745" s="831" t="s">
        <v>11712</v>
      </c>
      <c r="AG12745" s="831" t="s">
        <v>2674</v>
      </c>
      <c r="AH12745" s="831" t="s">
        <v>556</v>
      </c>
      <c r="AI12745" s="831">
        <v>0</v>
      </c>
      <c r="AJ12745" s="835">
        <v>41943</v>
      </c>
      <c r="AK12745" s="831">
        <v>8151347</v>
      </c>
    </row>
    <row r="12746" spans="2:37">
      <c r="B12746" s="834" t="str">
        <f t="shared" si="477"/>
        <v>|||</v>
      </c>
      <c r="H12746" s="835">
        <f t="shared" si="478"/>
        <v>31</v>
      </c>
      <c r="AF12746" s="831" t="s">
        <v>11713</v>
      </c>
      <c r="AG12746" s="831" t="s">
        <v>2674</v>
      </c>
      <c r="AH12746" s="831" t="s">
        <v>555</v>
      </c>
      <c r="AI12746" s="831">
        <v>0</v>
      </c>
      <c r="AJ12746" s="835">
        <v>41943</v>
      </c>
      <c r="AK12746" s="831">
        <v>560953709</v>
      </c>
    </row>
    <row r="12747" spans="2:37">
      <c r="B12747" s="834" t="str">
        <f t="shared" si="477"/>
        <v>|||</v>
      </c>
      <c r="H12747" s="835">
        <f t="shared" si="478"/>
        <v>31</v>
      </c>
      <c r="AF12747" s="831" t="s">
        <v>11714</v>
      </c>
      <c r="AG12747" s="831" t="s">
        <v>2674</v>
      </c>
      <c r="AH12747" s="831" t="s">
        <v>554</v>
      </c>
      <c r="AI12747" s="831">
        <v>0</v>
      </c>
      <c r="AJ12747" s="835">
        <v>41943</v>
      </c>
      <c r="AK12747" s="831">
        <v>571019140</v>
      </c>
    </row>
    <row r="12748" spans="2:37">
      <c r="B12748" s="834" t="str">
        <f t="shared" si="477"/>
        <v>|||</v>
      </c>
      <c r="H12748" s="835">
        <f t="shared" si="478"/>
        <v>31</v>
      </c>
      <c r="AF12748" s="831" t="s">
        <v>11715</v>
      </c>
      <c r="AG12748" s="831" t="s">
        <v>2674</v>
      </c>
      <c r="AH12748" s="831" t="s">
        <v>553</v>
      </c>
      <c r="AI12748" s="831">
        <v>0</v>
      </c>
      <c r="AJ12748" s="835">
        <v>41943</v>
      </c>
      <c r="AK12748" s="831">
        <v>0</v>
      </c>
    </row>
    <row r="12749" spans="2:37">
      <c r="B12749" s="834" t="str">
        <f t="shared" si="477"/>
        <v>|||</v>
      </c>
      <c r="H12749" s="835">
        <f t="shared" si="478"/>
        <v>31</v>
      </c>
      <c r="AF12749" s="831" t="s">
        <v>11716</v>
      </c>
      <c r="AG12749" s="831" t="s">
        <v>2674</v>
      </c>
      <c r="AH12749" s="831" t="s">
        <v>552</v>
      </c>
      <c r="AI12749" s="831">
        <v>0</v>
      </c>
      <c r="AJ12749" s="835">
        <v>41943</v>
      </c>
      <c r="AK12749" s="831">
        <v>0</v>
      </c>
    </row>
    <row r="12750" spans="2:37">
      <c r="B12750" s="834" t="str">
        <f t="shared" si="477"/>
        <v>|||</v>
      </c>
      <c r="H12750" s="835">
        <f t="shared" si="478"/>
        <v>31</v>
      </c>
      <c r="AF12750" s="831" t="s">
        <v>11717</v>
      </c>
      <c r="AG12750" s="831" t="s">
        <v>2674</v>
      </c>
      <c r="AH12750" s="831" t="s">
        <v>551</v>
      </c>
      <c r="AI12750" s="831">
        <v>0</v>
      </c>
      <c r="AJ12750" s="835">
        <v>41943</v>
      </c>
      <c r="AK12750" s="831">
        <v>1179234</v>
      </c>
    </row>
    <row r="12751" spans="2:37">
      <c r="B12751" s="834" t="str">
        <f t="shared" si="477"/>
        <v>|||</v>
      </c>
      <c r="H12751" s="835">
        <f t="shared" si="478"/>
        <v>31</v>
      </c>
      <c r="AF12751" s="831" t="s">
        <v>11718</v>
      </c>
      <c r="AG12751" s="831" t="s">
        <v>2674</v>
      </c>
      <c r="AH12751" s="831" t="s">
        <v>550</v>
      </c>
      <c r="AI12751" s="831">
        <v>0</v>
      </c>
      <c r="AJ12751" s="835">
        <v>41943</v>
      </c>
      <c r="AK12751" s="831">
        <v>145830225</v>
      </c>
    </row>
    <row r="12752" spans="2:37">
      <c r="B12752" s="834" t="str">
        <f t="shared" si="477"/>
        <v>|||</v>
      </c>
      <c r="H12752" s="835">
        <f t="shared" si="478"/>
        <v>31</v>
      </c>
      <c r="AF12752" s="831" t="s">
        <v>11719</v>
      </c>
      <c r="AG12752" s="831" t="s">
        <v>2674</v>
      </c>
      <c r="AH12752" s="831" t="s">
        <v>562</v>
      </c>
      <c r="AI12752" s="831">
        <v>0</v>
      </c>
      <c r="AJ12752" s="835">
        <v>41943</v>
      </c>
      <c r="AK12752" s="831">
        <v>0.78380000000000005</v>
      </c>
    </row>
    <row r="12753" spans="2:37">
      <c r="B12753" s="834" t="str">
        <f t="shared" ref="B12753:B12816" si="479">C12753&amp;"|"&amp;D12753&amp;"|"&amp;E12753&amp;"|"&amp;F12753</f>
        <v>|||</v>
      </c>
      <c r="H12753" s="835">
        <f t="shared" ref="H12753:H12816" si="480">EOMONTH(L12753,0)</f>
        <v>31</v>
      </c>
      <c r="AF12753" s="831" t="s">
        <v>11720</v>
      </c>
      <c r="AG12753" s="831" t="s">
        <v>2674</v>
      </c>
      <c r="AH12753" s="831" t="s">
        <v>2698</v>
      </c>
      <c r="AI12753" s="831">
        <v>0</v>
      </c>
      <c r="AJ12753" s="835">
        <v>41943</v>
      </c>
      <c r="AK12753" s="831">
        <v>0.78325</v>
      </c>
    </row>
    <row r="12754" spans="2:37">
      <c r="B12754" s="834" t="str">
        <f t="shared" si="479"/>
        <v>|||</v>
      </c>
      <c r="H12754" s="835">
        <f t="shared" si="480"/>
        <v>31</v>
      </c>
      <c r="AF12754" s="831" t="s">
        <v>11721</v>
      </c>
      <c r="AG12754" s="831" t="s">
        <v>2674</v>
      </c>
      <c r="AH12754" s="831" t="s">
        <v>560</v>
      </c>
      <c r="AI12754" s="831">
        <v>0</v>
      </c>
      <c r="AJ12754" s="835">
        <v>41943</v>
      </c>
      <c r="AK12754" s="831">
        <v>0.78366000000000002</v>
      </c>
    </row>
    <row r="12755" spans="2:37">
      <c r="B12755" s="834" t="str">
        <f t="shared" si="479"/>
        <v>|||</v>
      </c>
      <c r="H12755" s="835">
        <f t="shared" si="480"/>
        <v>31</v>
      </c>
      <c r="AF12755" s="831" t="s">
        <v>11722</v>
      </c>
      <c r="AG12755" s="831" t="s">
        <v>2674</v>
      </c>
      <c r="AH12755" s="831" t="s">
        <v>559</v>
      </c>
      <c r="AI12755" s="831">
        <v>0</v>
      </c>
      <c r="AJ12755" s="835">
        <v>41943</v>
      </c>
      <c r="AK12755" s="831">
        <v>0.78364999999999985</v>
      </c>
    </row>
    <row r="12756" spans="2:37">
      <c r="B12756" s="834" t="str">
        <f t="shared" si="479"/>
        <v>|||</v>
      </c>
      <c r="H12756" s="835">
        <f t="shared" si="480"/>
        <v>31</v>
      </c>
      <c r="AF12756" s="831" t="s">
        <v>11723</v>
      </c>
      <c r="AG12756" s="831" t="s">
        <v>2674</v>
      </c>
      <c r="AH12756" s="831" t="s">
        <v>568</v>
      </c>
      <c r="AI12756" s="831">
        <v>0</v>
      </c>
      <c r="AJ12756" s="835">
        <v>41943</v>
      </c>
      <c r="AK12756" s="831">
        <v>688929865.38076925</v>
      </c>
    </row>
    <row r="12757" spans="2:37">
      <c r="B12757" s="834" t="str">
        <f t="shared" si="479"/>
        <v>|||</v>
      </c>
      <c r="H12757" s="835">
        <f t="shared" si="480"/>
        <v>31</v>
      </c>
      <c r="AF12757" s="831" t="s">
        <v>11724</v>
      </c>
      <c r="AG12757" s="831" t="s">
        <v>2674</v>
      </c>
      <c r="AH12757" s="831" t="s">
        <v>569</v>
      </c>
      <c r="AI12757" s="831">
        <v>0</v>
      </c>
      <c r="AJ12757" s="835">
        <v>41943</v>
      </c>
      <c r="AK12757" s="831">
        <v>855702939.81946158</v>
      </c>
    </row>
    <row r="12758" spans="2:37">
      <c r="B12758" s="834" t="str">
        <f t="shared" si="479"/>
        <v>|||</v>
      </c>
      <c r="H12758" s="835">
        <f t="shared" si="480"/>
        <v>31</v>
      </c>
      <c r="AF12758" s="831" t="s">
        <v>11725</v>
      </c>
      <c r="AG12758" s="831" t="s">
        <v>2674</v>
      </c>
      <c r="AH12758" s="831" t="s">
        <v>570</v>
      </c>
      <c r="AI12758" s="831">
        <v>0</v>
      </c>
      <c r="AJ12758" s="835">
        <v>41943</v>
      </c>
      <c r="AK12758" s="831">
        <v>129857553.83046153</v>
      </c>
    </row>
    <row r="12759" spans="2:37">
      <c r="B12759" s="834" t="str">
        <f t="shared" si="479"/>
        <v>|||</v>
      </c>
      <c r="H12759" s="835">
        <f t="shared" si="480"/>
        <v>31</v>
      </c>
      <c r="AF12759" s="831" t="s">
        <v>11726</v>
      </c>
      <c r="AG12759" s="831" t="s">
        <v>2674</v>
      </c>
      <c r="AH12759" s="831" t="s">
        <v>571</v>
      </c>
      <c r="AI12759" s="831">
        <v>0</v>
      </c>
      <c r="AJ12759" s="835">
        <v>41943</v>
      </c>
      <c r="AK12759" s="831">
        <v>421465171.16076922</v>
      </c>
    </row>
    <row r="12760" spans="2:37">
      <c r="B12760" s="834" t="str">
        <f t="shared" si="479"/>
        <v>|||</v>
      </c>
      <c r="H12760" s="835">
        <f t="shared" si="480"/>
        <v>31</v>
      </c>
      <c r="AF12760" s="831" t="s">
        <v>11727</v>
      </c>
      <c r="AG12760" s="831" t="s">
        <v>2674</v>
      </c>
      <c r="AH12760" s="831" t="s">
        <v>573</v>
      </c>
      <c r="AI12760" s="831">
        <v>0</v>
      </c>
      <c r="AJ12760" s="835">
        <v>41943</v>
      </c>
      <c r="AK12760" s="831">
        <v>877834571.86936367</v>
      </c>
    </row>
    <row r="12761" spans="2:37">
      <c r="B12761" s="834" t="str">
        <f t="shared" si="479"/>
        <v>|||</v>
      </c>
      <c r="H12761" s="835">
        <f t="shared" si="480"/>
        <v>31</v>
      </c>
      <c r="AF12761" s="831" t="s">
        <v>11728</v>
      </c>
      <c r="AG12761" s="831" t="s">
        <v>2674</v>
      </c>
      <c r="AH12761" s="831" t="s">
        <v>574</v>
      </c>
      <c r="AI12761" s="831">
        <v>0</v>
      </c>
      <c r="AJ12761" s="835">
        <v>41943</v>
      </c>
      <c r="AK12761" s="831">
        <v>707069780.09090912</v>
      </c>
    </row>
    <row r="12762" spans="2:37">
      <c r="B12762" s="834" t="str">
        <f t="shared" si="479"/>
        <v>|||</v>
      </c>
      <c r="H12762" s="835">
        <f t="shared" si="480"/>
        <v>31</v>
      </c>
      <c r="AF12762" s="831" t="s">
        <v>11729</v>
      </c>
      <c r="AG12762" s="831" t="s">
        <v>2674</v>
      </c>
      <c r="AH12762" s="831" t="s">
        <v>575</v>
      </c>
      <c r="AI12762" s="831">
        <v>0</v>
      </c>
      <c r="AJ12762" s="835">
        <v>41943</v>
      </c>
      <c r="AK12762" s="831">
        <v>131339945.17636365</v>
      </c>
    </row>
    <row r="12763" spans="2:37">
      <c r="B12763" s="834" t="str">
        <f t="shared" si="479"/>
        <v>|||</v>
      </c>
      <c r="H12763" s="835">
        <f t="shared" si="480"/>
        <v>31</v>
      </c>
      <c r="AF12763" s="831" t="s">
        <v>11730</v>
      </c>
      <c r="AG12763" s="831" t="s">
        <v>2674</v>
      </c>
      <c r="AH12763" s="831" t="s">
        <v>576</v>
      </c>
      <c r="AI12763" s="831">
        <v>0</v>
      </c>
      <c r="AJ12763" s="835">
        <v>41943</v>
      </c>
      <c r="AK12763" s="831">
        <v>433816282.72981817</v>
      </c>
    </row>
    <row r="12764" spans="2:37">
      <c r="B12764" s="834" t="str">
        <f t="shared" si="479"/>
        <v>|||</v>
      </c>
      <c r="H12764" s="835">
        <f t="shared" si="480"/>
        <v>31</v>
      </c>
      <c r="AF12764" s="831" t="s">
        <v>11731</v>
      </c>
      <c r="AG12764" s="831" t="s">
        <v>2674</v>
      </c>
      <c r="AH12764" s="831" t="s">
        <v>572</v>
      </c>
      <c r="AI12764" s="831">
        <v>0</v>
      </c>
      <c r="AJ12764" s="835">
        <v>41943</v>
      </c>
      <c r="AK12764" s="831">
        <v>34306433.956</v>
      </c>
    </row>
    <row r="12765" spans="2:37">
      <c r="B12765" s="834" t="str">
        <f t="shared" si="479"/>
        <v>|||</v>
      </c>
      <c r="H12765" s="835">
        <f t="shared" si="480"/>
        <v>31</v>
      </c>
      <c r="AF12765" s="831" t="s">
        <v>11732</v>
      </c>
      <c r="AG12765" s="831" t="s">
        <v>2674</v>
      </c>
      <c r="AH12765" s="831" t="s">
        <v>577</v>
      </c>
      <c r="AI12765" s="831">
        <v>0</v>
      </c>
      <c r="AJ12765" s="835">
        <v>41943</v>
      </c>
      <c r="AK12765" s="831">
        <v>169874551.76300001</v>
      </c>
    </row>
    <row r="12766" spans="2:37">
      <c r="B12766" s="834" t="str">
        <f t="shared" si="479"/>
        <v>|||</v>
      </c>
      <c r="H12766" s="835">
        <f t="shared" si="480"/>
        <v>31</v>
      </c>
      <c r="AF12766" s="831" t="s">
        <v>11733</v>
      </c>
      <c r="AG12766" s="831" t="s">
        <v>2674</v>
      </c>
      <c r="AH12766" s="831" t="s">
        <v>3042</v>
      </c>
      <c r="AI12766" s="831">
        <v>0</v>
      </c>
      <c r="AJ12766" s="835">
        <v>41943</v>
      </c>
      <c r="AK12766" s="831">
        <v>-49231778.527000003</v>
      </c>
    </row>
    <row r="12767" spans="2:37">
      <c r="B12767" s="834" t="str">
        <f t="shared" si="479"/>
        <v>|||</v>
      </c>
      <c r="H12767" s="835">
        <f t="shared" si="480"/>
        <v>31</v>
      </c>
      <c r="AF12767" s="831" t="s">
        <v>11734</v>
      </c>
      <c r="AG12767" s="831" t="s">
        <v>2674</v>
      </c>
      <c r="AH12767" s="831" t="s">
        <v>3044</v>
      </c>
      <c r="AI12767" s="831">
        <v>0</v>
      </c>
      <c r="AJ12767" s="835">
        <v>41943</v>
      </c>
      <c r="AK12767" s="831">
        <v>-1676338.8899999997</v>
      </c>
    </row>
    <row r="12768" spans="2:37">
      <c r="B12768" s="834" t="str">
        <f t="shared" si="479"/>
        <v>|||</v>
      </c>
      <c r="H12768" s="835">
        <f t="shared" si="480"/>
        <v>31</v>
      </c>
      <c r="AF12768" s="831" t="s">
        <v>11735</v>
      </c>
      <c r="AG12768" s="831" t="s">
        <v>2674</v>
      </c>
      <c r="AH12768" s="831" t="s">
        <v>580</v>
      </c>
      <c r="AI12768" s="831">
        <v>0</v>
      </c>
      <c r="AJ12768" s="835">
        <v>41943</v>
      </c>
      <c r="AK12768" s="831">
        <v>-77780641.306999996</v>
      </c>
    </row>
    <row r="12769" spans="2:37">
      <c r="B12769" s="834" t="str">
        <f t="shared" si="479"/>
        <v>|||</v>
      </c>
      <c r="H12769" s="835">
        <f t="shared" si="480"/>
        <v>31</v>
      </c>
      <c r="AF12769" s="831" t="s">
        <v>11736</v>
      </c>
      <c r="AG12769" s="831" t="s">
        <v>2674</v>
      </c>
      <c r="AH12769" s="831" t="s">
        <v>581</v>
      </c>
      <c r="AI12769" s="831">
        <v>0</v>
      </c>
      <c r="AJ12769" s="835">
        <v>41943</v>
      </c>
      <c r="AK12769" s="831">
        <v>4385512.8940000003</v>
      </c>
    </row>
    <row r="12770" spans="2:37">
      <c r="B12770" s="834" t="str">
        <f t="shared" si="479"/>
        <v>|||</v>
      </c>
      <c r="H12770" s="835">
        <f t="shared" si="480"/>
        <v>31</v>
      </c>
      <c r="AF12770" s="831" t="s">
        <v>11737</v>
      </c>
      <c r="AG12770" s="831" t="s">
        <v>2674</v>
      </c>
      <c r="AH12770" s="831" t="s">
        <v>105</v>
      </c>
      <c r="AI12770" s="831">
        <v>0</v>
      </c>
      <c r="AJ12770" s="835">
        <v>41943</v>
      </c>
      <c r="AK12770" s="831">
        <v>497850514</v>
      </c>
    </row>
    <row r="12771" spans="2:37">
      <c r="B12771" s="834" t="str">
        <f t="shared" si="479"/>
        <v>|||</v>
      </c>
      <c r="H12771" s="835">
        <f t="shared" si="480"/>
        <v>31</v>
      </c>
      <c r="AF12771" s="831" t="s">
        <v>11738</v>
      </c>
      <c r="AG12771" s="831" t="s">
        <v>2674</v>
      </c>
      <c r="AH12771" s="831" t="s">
        <v>3049</v>
      </c>
      <c r="AI12771" s="831">
        <v>0</v>
      </c>
      <c r="AJ12771" s="835">
        <v>41943</v>
      </c>
      <c r="AK12771" s="831">
        <v>819726974</v>
      </c>
    </row>
    <row r="12772" spans="2:37">
      <c r="B12772" s="834" t="str">
        <f t="shared" si="479"/>
        <v>|||</v>
      </c>
      <c r="H12772" s="835">
        <f t="shared" si="480"/>
        <v>31</v>
      </c>
      <c r="AF12772" s="831" t="s">
        <v>11739</v>
      </c>
      <c r="AG12772" s="831" t="s">
        <v>2674</v>
      </c>
      <c r="AH12772" s="831" t="s">
        <v>103</v>
      </c>
      <c r="AI12772" s="831">
        <v>0</v>
      </c>
      <c r="AJ12772" s="835">
        <v>41943</v>
      </c>
      <c r="AK12772" s="831">
        <v>321876460</v>
      </c>
    </row>
    <row r="12773" spans="2:37">
      <c r="B12773" s="834" t="str">
        <f t="shared" si="479"/>
        <v>|||</v>
      </c>
      <c r="H12773" s="835">
        <f t="shared" si="480"/>
        <v>31</v>
      </c>
      <c r="AF12773" s="831" t="s">
        <v>11740</v>
      </c>
      <c r="AG12773" s="831" t="s">
        <v>2674</v>
      </c>
      <c r="AH12773" s="831" t="s">
        <v>182</v>
      </c>
      <c r="AI12773" s="831">
        <v>0</v>
      </c>
      <c r="AJ12773" s="835">
        <v>41943</v>
      </c>
      <c r="AK12773" s="831">
        <v>74624670</v>
      </c>
    </row>
    <row r="12774" spans="2:37">
      <c r="B12774" s="834" t="str">
        <f t="shared" si="479"/>
        <v>|||</v>
      </c>
      <c r="H12774" s="835">
        <f t="shared" si="480"/>
        <v>31</v>
      </c>
      <c r="AF12774" s="831" t="s">
        <v>11741</v>
      </c>
      <c r="AG12774" s="831" t="s">
        <v>2674</v>
      </c>
      <c r="AH12774" s="831" t="s">
        <v>6600</v>
      </c>
      <c r="AI12774" s="831">
        <v>0</v>
      </c>
      <c r="AJ12774" s="835">
        <v>41943</v>
      </c>
      <c r="AK12774" s="831">
        <v>34306433.956</v>
      </c>
    </row>
    <row r="12775" spans="2:37">
      <c r="B12775" s="834" t="str">
        <f t="shared" si="479"/>
        <v>|||</v>
      </c>
      <c r="H12775" s="835">
        <f t="shared" si="480"/>
        <v>31</v>
      </c>
      <c r="AF12775" s="831" t="s">
        <v>11742</v>
      </c>
      <c r="AG12775" s="831" t="s">
        <v>2674</v>
      </c>
      <c r="AH12775" s="831" t="s">
        <v>6602</v>
      </c>
      <c r="AI12775" s="831">
        <v>0</v>
      </c>
      <c r="AJ12775" s="835">
        <v>41943</v>
      </c>
      <c r="AK12775" s="831">
        <v>32657533</v>
      </c>
    </row>
    <row r="12776" spans="2:37">
      <c r="B12776" s="834" t="str">
        <f t="shared" si="479"/>
        <v>|||</v>
      </c>
      <c r="H12776" s="835">
        <f t="shared" si="480"/>
        <v>31</v>
      </c>
      <c r="AF12776" s="831" t="s">
        <v>11743</v>
      </c>
      <c r="AG12776" s="831" t="s">
        <v>2674</v>
      </c>
      <c r="AH12776" s="831" t="s">
        <v>650</v>
      </c>
      <c r="AI12776" s="831">
        <v>0</v>
      </c>
      <c r="AJ12776" s="835">
        <v>41943</v>
      </c>
      <c r="AK12776" s="831">
        <v>280875581.18223077</v>
      </c>
    </row>
    <row r="12777" spans="2:37">
      <c r="B12777" s="834" t="str">
        <f t="shared" si="479"/>
        <v>|||</v>
      </c>
      <c r="H12777" s="835">
        <f t="shared" si="480"/>
        <v>31</v>
      </c>
      <c r="AF12777" s="831" t="s">
        <v>11744</v>
      </c>
      <c r="AG12777" s="831" t="s">
        <v>2674</v>
      </c>
      <c r="AH12777" s="831" t="s">
        <v>655</v>
      </c>
      <c r="AI12777" s="831">
        <v>0</v>
      </c>
      <c r="AJ12777" s="835">
        <v>41943</v>
      </c>
      <c r="AK12777" s="831">
        <v>824847</v>
      </c>
    </row>
    <row r="12778" spans="2:37">
      <c r="B12778" s="834" t="str">
        <f t="shared" si="479"/>
        <v>|||</v>
      </c>
      <c r="H12778" s="835">
        <f t="shared" si="480"/>
        <v>31</v>
      </c>
      <c r="AF12778" s="831" t="s">
        <v>11745</v>
      </c>
      <c r="AG12778" s="831" t="s">
        <v>2674</v>
      </c>
      <c r="AH12778" s="831" t="s">
        <v>546</v>
      </c>
      <c r="AI12778" s="831">
        <v>0</v>
      </c>
      <c r="AJ12778" s="835">
        <v>41973</v>
      </c>
      <c r="AK12778" s="831">
        <v>802902472</v>
      </c>
    </row>
    <row r="12779" spans="2:37">
      <c r="B12779" s="834" t="str">
        <f t="shared" si="479"/>
        <v>|||</v>
      </c>
      <c r="H12779" s="835">
        <f t="shared" si="480"/>
        <v>31</v>
      </c>
      <c r="AF12779" s="831" t="s">
        <v>11746</v>
      </c>
      <c r="AG12779" s="831" t="s">
        <v>2674</v>
      </c>
      <c r="AH12779" s="831" t="s">
        <v>370</v>
      </c>
      <c r="AI12779" s="831">
        <v>0</v>
      </c>
      <c r="AJ12779" s="835">
        <v>41973</v>
      </c>
      <c r="AK12779" s="831">
        <v>1000702434</v>
      </c>
    </row>
    <row r="12780" spans="2:37">
      <c r="B12780" s="834" t="str">
        <f t="shared" si="479"/>
        <v>|||</v>
      </c>
      <c r="H12780" s="835">
        <f t="shared" si="480"/>
        <v>31</v>
      </c>
      <c r="AF12780" s="831" t="s">
        <v>11747</v>
      </c>
      <c r="AG12780" s="831" t="s">
        <v>2674</v>
      </c>
      <c r="AH12780" s="831" t="s">
        <v>126</v>
      </c>
      <c r="AI12780" s="831">
        <v>0</v>
      </c>
      <c r="AJ12780" s="835">
        <v>41973</v>
      </c>
      <c r="AK12780" s="831">
        <v>153599665</v>
      </c>
    </row>
    <row r="12781" spans="2:37">
      <c r="B12781" s="834" t="str">
        <f t="shared" si="479"/>
        <v>|||</v>
      </c>
      <c r="H12781" s="835">
        <f t="shared" si="480"/>
        <v>31</v>
      </c>
      <c r="AF12781" s="831" t="s">
        <v>11748</v>
      </c>
      <c r="AG12781" s="831" t="s">
        <v>2674</v>
      </c>
      <c r="AH12781" s="831" t="s">
        <v>268</v>
      </c>
      <c r="AI12781" s="831">
        <v>0</v>
      </c>
      <c r="AJ12781" s="835">
        <v>41973</v>
      </c>
      <c r="AK12781" s="831">
        <v>35013602</v>
      </c>
    </row>
    <row r="12782" spans="2:37">
      <c r="B12782" s="834" t="str">
        <f t="shared" si="479"/>
        <v>|||</v>
      </c>
      <c r="H12782" s="835">
        <f t="shared" si="480"/>
        <v>31</v>
      </c>
      <c r="AF12782" s="831" t="s">
        <v>11749</v>
      </c>
      <c r="AG12782" s="831" t="s">
        <v>2674</v>
      </c>
      <c r="AH12782" s="831" t="s">
        <v>547</v>
      </c>
      <c r="AI12782" s="831">
        <v>0</v>
      </c>
      <c r="AJ12782" s="835">
        <v>41973</v>
      </c>
      <c r="AK12782" s="831">
        <v>777719977</v>
      </c>
    </row>
    <row r="12783" spans="2:37">
      <c r="B12783" s="834" t="str">
        <f t="shared" si="479"/>
        <v>|||</v>
      </c>
      <c r="H12783" s="835">
        <f t="shared" si="480"/>
        <v>31</v>
      </c>
      <c r="AF12783" s="831" t="s">
        <v>11750</v>
      </c>
      <c r="AG12783" s="831" t="s">
        <v>2674</v>
      </c>
      <c r="AH12783" s="831" t="s">
        <v>548</v>
      </c>
      <c r="AI12783" s="831">
        <v>0</v>
      </c>
      <c r="AJ12783" s="835">
        <v>41973</v>
      </c>
      <c r="AK12783" s="831">
        <v>117105496</v>
      </c>
    </row>
    <row r="12784" spans="2:37">
      <c r="B12784" s="834" t="str">
        <f t="shared" si="479"/>
        <v>|||</v>
      </c>
      <c r="H12784" s="835">
        <f t="shared" si="480"/>
        <v>31</v>
      </c>
      <c r="AF12784" s="831" t="s">
        <v>11751</v>
      </c>
      <c r="AG12784" s="831" t="s">
        <v>2674</v>
      </c>
      <c r="AH12784" s="831" t="s">
        <v>549</v>
      </c>
      <c r="AI12784" s="831">
        <v>0</v>
      </c>
      <c r="AJ12784" s="835">
        <v>41973</v>
      </c>
      <c r="AK12784" s="831">
        <v>598049309.95000005</v>
      </c>
    </row>
    <row r="12785" spans="2:37">
      <c r="B12785" s="834" t="str">
        <f t="shared" si="479"/>
        <v>|||</v>
      </c>
      <c r="H12785" s="835">
        <f t="shared" si="480"/>
        <v>31</v>
      </c>
      <c r="AF12785" s="831" t="s">
        <v>11752</v>
      </c>
      <c r="AG12785" s="831" t="s">
        <v>2674</v>
      </c>
      <c r="AH12785" s="831" t="s">
        <v>192</v>
      </c>
      <c r="AI12785" s="831">
        <v>0</v>
      </c>
      <c r="AJ12785" s="835">
        <v>41973</v>
      </c>
      <c r="AK12785" s="831">
        <v>-10647566</v>
      </c>
    </row>
    <row r="12786" spans="2:37">
      <c r="B12786" s="834" t="str">
        <f t="shared" si="479"/>
        <v>|||</v>
      </c>
      <c r="H12786" s="835">
        <f t="shared" si="480"/>
        <v>31</v>
      </c>
      <c r="AF12786" s="831" t="s">
        <v>11753</v>
      </c>
      <c r="AG12786" s="831" t="s">
        <v>2674</v>
      </c>
      <c r="AH12786" s="831" t="s">
        <v>558</v>
      </c>
      <c r="AI12786" s="831">
        <v>0</v>
      </c>
      <c r="AJ12786" s="835">
        <v>41973</v>
      </c>
      <c r="AK12786" s="831">
        <v>847102769</v>
      </c>
    </row>
    <row r="12787" spans="2:37">
      <c r="B12787" s="834" t="str">
        <f t="shared" si="479"/>
        <v>|||</v>
      </c>
      <c r="H12787" s="835">
        <f t="shared" si="480"/>
        <v>31</v>
      </c>
      <c r="AF12787" s="831" t="s">
        <v>11754</v>
      </c>
      <c r="AG12787" s="831" t="s">
        <v>2674</v>
      </c>
      <c r="AH12787" s="831" t="s">
        <v>65</v>
      </c>
      <c r="AI12787" s="831">
        <v>0</v>
      </c>
      <c r="AJ12787" s="835">
        <v>41973</v>
      </c>
      <c r="AK12787" s="831">
        <v>160301151</v>
      </c>
    </row>
    <row r="12788" spans="2:37">
      <c r="B12788" s="834" t="str">
        <f t="shared" si="479"/>
        <v>|||</v>
      </c>
      <c r="H12788" s="835">
        <f t="shared" si="480"/>
        <v>31</v>
      </c>
      <c r="AF12788" s="831" t="s">
        <v>11755</v>
      </c>
      <c r="AG12788" s="831" t="s">
        <v>2674</v>
      </c>
      <c r="AH12788" s="831" t="s">
        <v>89</v>
      </c>
      <c r="AI12788" s="831">
        <v>0</v>
      </c>
      <c r="AJ12788" s="835">
        <v>41973</v>
      </c>
      <c r="AK12788" s="831">
        <v>158266</v>
      </c>
    </row>
    <row r="12789" spans="2:37">
      <c r="B12789" s="834" t="str">
        <f t="shared" si="479"/>
        <v>|||</v>
      </c>
      <c r="H12789" s="835">
        <f t="shared" si="480"/>
        <v>31</v>
      </c>
      <c r="AF12789" s="831" t="s">
        <v>11756</v>
      </c>
      <c r="AG12789" s="831" t="s">
        <v>2674</v>
      </c>
      <c r="AH12789" s="831" t="s">
        <v>557</v>
      </c>
      <c r="AI12789" s="831">
        <v>0</v>
      </c>
      <c r="AJ12789" s="835">
        <v>41973</v>
      </c>
      <c r="AK12789" s="831">
        <v>179245</v>
      </c>
    </row>
    <row r="12790" spans="2:37">
      <c r="B12790" s="834" t="str">
        <f t="shared" si="479"/>
        <v>|||</v>
      </c>
      <c r="H12790" s="835">
        <f t="shared" si="480"/>
        <v>31</v>
      </c>
      <c r="AF12790" s="831" t="s">
        <v>11757</v>
      </c>
      <c r="AG12790" s="831" t="s">
        <v>2674</v>
      </c>
      <c r="AH12790" s="831" t="s">
        <v>29</v>
      </c>
      <c r="AI12790" s="831">
        <v>0</v>
      </c>
      <c r="AJ12790" s="835">
        <v>41973</v>
      </c>
      <c r="AK12790" s="831">
        <v>4556685.3900000006</v>
      </c>
    </row>
    <row r="12791" spans="2:37">
      <c r="B12791" s="834" t="str">
        <f t="shared" si="479"/>
        <v>|||</v>
      </c>
      <c r="H12791" s="835">
        <f t="shared" si="480"/>
        <v>31</v>
      </c>
      <c r="AF12791" s="831" t="s">
        <v>11758</v>
      </c>
      <c r="AG12791" s="831" t="s">
        <v>2674</v>
      </c>
      <c r="AH12791" s="831" t="s">
        <v>2688</v>
      </c>
      <c r="AI12791" s="831">
        <v>0</v>
      </c>
      <c r="AJ12791" s="835">
        <v>41973</v>
      </c>
      <c r="AK12791" s="831">
        <v>4982602.75</v>
      </c>
    </row>
    <row r="12792" spans="2:37">
      <c r="B12792" s="834" t="str">
        <f t="shared" si="479"/>
        <v>|||</v>
      </c>
      <c r="H12792" s="835">
        <f t="shared" si="480"/>
        <v>31</v>
      </c>
      <c r="AF12792" s="831" t="s">
        <v>11759</v>
      </c>
      <c r="AG12792" s="831" t="s">
        <v>2674</v>
      </c>
      <c r="AH12792" s="831" t="s">
        <v>556</v>
      </c>
      <c r="AI12792" s="831">
        <v>0</v>
      </c>
      <c r="AJ12792" s="835">
        <v>41973</v>
      </c>
      <c r="AK12792" s="831">
        <v>9781741</v>
      </c>
    </row>
    <row r="12793" spans="2:37">
      <c r="B12793" s="834" t="str">
        <f t="shared" si="479"/>
        <v>|||</v>
      </c>
      <c r="H12793" s="835">
        <f t="shared" si="480"/>
        <v>31</v>
      </c>
      <c r="AF12793" s="831" t="s">
        <v>11760</v>
      </c>
      <c r="AG12793" s="831" t="s">
        <v>2674</v>
      </c>
      <c r="AH12793" s="831" t="s">
        <v>555</v>
      </c>
      <c r="AI12793" s="831">
        <v>0</v>
      </c>
      <c r="AJ12793" s="835">
        <v>41973</v>
      </c>
      <c r="AK12793" s="831">
        <v>559691148</v>
      </c>
    </row>
    <row r="12794" spans="2:37">
      <c r="B12794" s="834" t="str">
        <f t="shared" si="479"/>
        <v>|||</v>
      </c>
      <c r="H12794" s="835">
        <f t="shared" si="480"/>
        <v>31</v>
      </c>
      <c r="AF12794" s="831" t="s">
        <v>11761</v>
      </c>
      <c r="AG12794" s="831" t="s">
        <v>2674</v>
      </c>
      <c r="AH12794" s="831" t="s">
        <v>554</v>
      </c>
      <c r="AI12794" s="831">
        <v>0</v>
      </c>
      <c r="AJ12794" s="835">
        <v>41973</v>
      </c>
      <c r="AK12794" s="831">
        <v>562759560</v>
      </c>
    </row>
    <row r="12795" spans="2:37">
      <c r="B12795" s="834" t="str">
        <f t="shared" si="479"/>
        <v>|||</v>
      </c>
      <c r="H12795" s="835">
        <f t="shared" si="480"/>
        <v>31</v>
      </c>
      <c r="AF12795" s="831" t="s">
        <v>11762</v>
      </c>
      <c r="AG12795" s="831" t="s">
        <v>2674</v>
      </c>
      <c r="AH12795" s="831" t="s">
        <v>553</v>
      </c>
      <c r="AI12795" s="831">
        <v>0</v>
      </c>
      <c r="AJ12795" s="835">
        <v>41973</v>
      </c>
      <c r="AK12795" s="831">
        <v>0</v>
      </c>
    </row>
    <row r="12796" spans="2:37">
      <c r="B12796" s="834" t="str">
        <f t="shared" si="479"/>
        <v>|||</v>
      </c>
      <c r="H12796" s="835">
        <f t="shared" si="480"/>
        <v>31</v>
      </c>
      <c r="AF12796" s="831" t="s">
        <v>11763</v>
      </c>
      <c r="AG12796" s="831" t="s">
        <v>2674</v>
      </c>
      <c r="AH12796" s="831" t="s">
        <v>552</v>
      </c>
      <c r="AI12796" s="831">
        <v>0</v>
      </c>
      <c r="AJ12796" s="835">
        <v>41973</v>
      </c>
      <c r="AK12796" s="831">
        <v>0</v>
      </c>
    </row>
    <row r="12797" spans="2:37">
      <c r="B12797" s="834" t="str">
        <f t="shared" si="479"/>
        <v>|||</v>
      </c>
      <c r="H12797" s="835">
        <f t="shared" si="480"/>
        <v>31</v>
      </c>
      <c r="AF12797" s="831" t="s">
        <v>11764</v>
      </c>
      <c r="AG12797" s="831" t="s">
        <v>2674</v>
      </c>
      <c r="AH12797" s="831" t="s">
        <v>551</v>
      </c>
      <c r="AI12797" s="831">
        <v>0</v>
      </c>
      <c r="AJ12797" s="835">
        <v>41973</v>
      </c>
      <c r="AK12797" s="831">
        <v>3921189.3899999997</v>
      </c>
    </row>
    <row r="12798" spans="2:37">
      <c r="B12798" s="834" t="str">
        <f t="shared" si="479"/>
        <v>|||</v>
      </c>
      <c r="H12798" s="835">
        <f t="shared" si="480"/>
        <v>31</v>
      </c>
      <c r="AF12798" s="831" t="s">
        <v>11765</v>
      </c>
      <c r="AG12798" s="831" t="s">
        <v>2674</v>
      </c>
      <c r="AH12798" s="831" t="s">
        <v>550</v>
      </c>
      <c r="AI12798" s="831">
        <v>0</v>
      </c>
      <c r="AJ12798" s="835">
        <v>41973</v>
      </c>
      <c r="AK12798" s="831">
        <v>149380039</v>
      </c>
    </row>
    <row r="12799" spans="2:37">
      <c r="B12799" s="834" t="str">
        <f t="shared" si="479"/>
        <v>|||</v>
      </c>
      <c r="H12799" s="835">
        <f t="shared" si="480"/>
        <v>31</v>
      </c>
      <c r="AF12799" s="831" t="s">
        <v>11766</v>
      </c>
      <c r="AG12799" s="831" t="s">
        <v>2674</v>
      </c>
      <c r="AH12799" s="831" t="s">
        <v>562</v>
      </c>
      <c r="AI12799" s="831">
        <v>0</v>
      </c>
      <c r="AJ12799" s="835">
        <v>41973</v>
      </c>
      <c r="AK12799" s="831">
        <v>0.78390000000000004</v>
      </c>
    </row>
    <row r="12800" spans="2:37">
      <c r="B12800" s="834" t="str">
        <f t="shared" si="479"/>
        <v>|||</v>
      </c>
      <c r="H12800" s="835">
        <f t="shared" si="480"/>
        <v>31</v>
      </c>
      <c r="AF12800" s="831" t="s">
        <v>11767</v>
      </c>
      <c r="AG12800" s="831" t="s">
        <v>2674</v>
      </c>
      <c r="AH12800" s="831" t="s">
        <v>2698</v>
      </c>
      <c r="AI12800" s="831">
        <v>0</v>
      </c>
      <c r="AJ12800" s="835">
        <v>41973</v>
      </c>
      <c r="AK12800" s="831">
        <v>0.78380000000000005</v>
      </c>
    </row>
    <row r="12801" spans="2:37">
      <c r="B12801" s="834" t="str">
        <f t="shared" si="479"/>
        <v>|||</v>
      </c>
      <c r="H12801" s="835">
        <f t="shared" si="480"/>
        <v>31</v>
      </c>
      <c r="AF12801" s="831" t="s">
        <v>11768</v>
      </c>
      <c r="AG12801" s="831" t="s">
        <v>2674</v>
      </c>
      <c r="AH12801" s="831" t="s">
        <v>560</v>
      </c>
      <c r="AI12801" s="831">
        <v>0</v>
      </c>
      <c r="AJ12801" s="835">
        <v>41973</v>
      </c>
      <c r="AK12801" s="831">
        <v>0.78368181818181837</v>
      </c>
    </row>
    <row r="12802" spans="2:37">
      <c r="B12802" s="834" t="str">
        <f t="shared" si="479"/>
        <v>|||</v>
      </c>
      <c r="H12802" s="835">
        <f t="shared" si="480"/>
        <v>31</v>
      </c>
      <c r="AF12802" s="831" t="s">
        <v>11769</v>
      </c>
      <c r="AG12802" s="831" t="s">
        <v>2674</v>
      </c>
      <c r="AH12802" s="831" t="s">
        <v>559</v>
      </c>
      <c r="AI12802" s="831">
        <v>0</v>
      </c>
      <c r="AJ12802" s="835">
        <v>41973</v>
      </c>
      <c r="AK12802" s="831">
        <v>0.78365416666666687</v>
      </c>
    </row>
    <row r="12803" spans="2:37">
      <c r="B12803" s="834" t="str">
        <f t="shared" si="479"/>
        <v>|||</v>
      </c>
      <c r="H12803" s="835">
        <f t="shared" si="480"/>
        <v>31</v>
      </c>
      <c r="AF12803" s="831" t="s">
        <v>11770</v>
      </c>
      <c r="AG12803" s="831" t="s">
        <v>2674</v>
      </c>
      <c r="AH12803" s="831" t="s">
        <v>568</v>
      </c>
      <c r="AI12803" s="831">
        <v>0</v>
      </c>
      <c r="AJ12803" s="835">
        <v>41973</v>
      </c>
      <c r="AK12803" s="831">
        <v>706055335.61153853</v>
      </c>
    </row>
    <row r="12804" spans="2:37">
      <c r="B12804" s="834" t="str">
        <f t="shared" si="479"/>
        <v>|||</v>
      </c>
      <c r="H12804" s="835">
        <f t="shared" si="480"/>
        <v>31</v>
      </c>
      <c r="AF12804" s="831" t="s">
        <v>11771</v>
      </c>
      <c r="AG12804" s="831" t="s">
        <v>2674</v>
      </c>
      <c r="AH12804" s="831" t="s">
        <v>569</v>
      </c>
      <c r="AI12804" s="831">
        <v>0</v>
      </c>
      <c r="AJ12804" s="835">
        <v>41973</v>
      </c>
      <c r="AK12804" s="831">
        <v>877011865.12715387</v>
      </c>
    </row>
    <row r="12805" spans="2:37">
      <c r="B12805" s="834" t="str">
        <f t="shared" si="479"/>
        <v>|||</v>
      </c>
      <c r="H12805" s="835">
        <f t="shared" si="480"/>
        <v>31</v>
      </c>
      <c r="AF12805" s="831" t="s">
        <v>11772</v>
      </c>
      <c r="AG12805" s="831" t="s">
        <v>2674</v>
      </c>
      <c r="AH12805" s="831" t="s">
        <v>570</v>
      </c>
      <c r="AI12805" s="831">
        <v>0</v>
      </c>
      <c r="AJ12805" s="835">
        <v>41973</v>
      </c>
      <c r="AK12805" s="831">
        <v>132419769.36892308</v>
      </c>
    </row>
    <row r="12806" spans="2:37">
      <c r="B12806" s="834" t="str">
        <f t="shared" si="479"/>
        <v>|||</v>
      </c>
      <c r="H12806" s="835">
        <f t="shared" si="480"/>
        <v>31</v>
      </c>
      <c r="AF12806" s="831" t="s">
        <v>11773</v>
      </c>
      <c r="AG12806" s="831" t="s">
        <v>2674</v>
      </c>
      <c r="AH12806" s="831" t="s">
        <v>571</v>
      </c>
      <c r="AI12806" s="831">
        <v>0</v>
      </c>
      <c r="AJ12806" s="835">
        <v>41973</v>
      </c>
      <c r="AK12806" s="831">
        <v>432199968.69923079</v>
      </c>
    </row>
    <row r="12807" spans="2:37">
      <c r="B12807" s="834" t="str">
        <f t="shared" si="479"/>
        <v>|||</v>
      </c>
      <c r="H12807" s="835">
        <f t="shared" si="480"/>
        <v>31</v>
      </c>
      <c r="AF12807" s="831" t="s">
        <v>11774</v>
      </c>
      <c r="AG12807" s="831" t="s">
        <v>2674</v>
      </c>
      <c r="AH12807" s="831" t="s">
        <v>573</v>
      </c>
      <c r="AI12807" s="831">
        <v>0</v>
      </c>
      <c r="AJ12807" s="835">
        <v>41973</v>
      </c>
      <c r="AK12807" s="831">
        <v>888073560.38024998</v>
      </c>
    </row>
    <row r="12808" spans="2:37">
      <c r="B12808" s="834" t="str">
        <f t="shared" si="479"/>
        <v>|||</v>
      </c>
      <c r="H12808" s="835">
        <f t="shared" si="480"/>
        <v>31</v>
      </c>
      <c r="AF12808" s="831" t="s">
        <v>11775</v>
      </c>
      <c r="AG12808" s="831" t="s">
        <v>2674</v>
      </c>
      <c r="AH12808" s="831" t="s">
        <v>574</v>
      </c>
      <c r="AI12808" s="831">
        <v>0</v>
      </c>
      <c r="AJ12808" s="835">
        <v>41973</v>
      </c>
      <c r="AK12808" s="831">
        <v>715055837.75</v>
      </c>
    </row>
    <row r="12809" spans="2:37">
      <c r="B12809" s="834" t="str">
        <f t="shared" si="479"/>
        <v>|||</v>
      </c>
      <c r="H12809" s="835">
        <f t="shared" si="480"/>
        <v>31</v>
      </c>
      <c r="AF12809" s="831" t="s">
        <v>11776</v>
      </c>
      <c r="AG12809" s="831" t="s">
        <v>2674</v>
      </c>
      <c r="AH12809" s="831" t="s">
        <v>575</v>
      </c>
      <c r="AI12809" s="831">
        <v>0</v>
      </c>
      <c r="AJ12809" s="835">
        <v>41973</v>
      </c>
      <c r="AK12809" s="831">
        <v>133194921.82833333</v>
      </c>
    </row>
    <row r="12810" spans="2:37">
      <c r="B12810" s="834" t="str">
        <f t="shared" si="479"/>
        <v>|||</v>
      </c>
      <c r="H12810" s="835">
        <f t="shared" si="480"/>
        <v>31</v>
      </c>
      <c r="AF12810" s="831" t="s">
        <v>11777</v>
      </c>
      <c r="AG12810" s="831" t="s">
        <v>2674</v>
      </c>
      <c r="AH12810" s="831" t="s">
        <v>576</v>
      </c>
      <c r="AI12810" s="831">
        <v>0</v>
      </c>
      <c r="AJ12810" s="835">
        <v>41973</v>
      </c>
      <c r="AK12810" s="831">
        <v>438403431.08566666</v>
      </c>
    </row>
    <row r="12811" spans="2:37">
      <c r="B12811" s="834" t="str">
        <f t="shared" si="479"/>
        <v>|||</v>
      </c>
      <c r="H12811" s="835">
        <f t="shared" si="480"/>
        <v>31</v>
      </c>
      <c r="AF12811" s="831" t="s">
        <v>11778</v>
      </c>
      <c r="AG12811" s="831" t="s">
        <v>2674</v>
      </c>
      <c r="AH12811" s="831" t="s">
        <v>572</v>
      </c>
      <c r="AI12811" s="831">
        <v>0</v>
      </c>
      <c r="AJ12811" s="835">
        <v>41973</v>
      </c>
      <c r="AK12811" s="831">
        <v>33835425.924000025</v>
      </c>
    </row>
    <row r="12812" spans="2:37">
      <c r="B12812" s="834" t="str">
        <f t="shared" si="479"/>
        <v>|||</v>
      </c>
      <c r="H12812" s="835">
        <f t="shared" si="480"/>
        <v>31</v>
      </c>
      <c r="AF12812" s="831" t="s">
        <v>11779</v>
      </c>
      <c r="AG12812" s="831" t="s">
        <v>2674</v>
      </c>
      <c r="AH12812" s="831" t="s">
        <v>577</v>
      </c>
      <c r="AI12812" s="831">
        <v>0</v>
      </c>
      <c r="AJ12812" s="835">
        <v>41973</v>
      </c>
      <c r="AK12812" s="831">
        <v>173617070.52700001</v>
      </c>
    </row>
    <row r="12813" spans="2:37">
      <c r="B12813" s="834" t="str">
        <f t="shared" si="479"/>
        <v>|||</v>
      </c>
      <c r="H12813" s="835">
        <f t="shared" si="480"/>
        <v>31</v>
      </c>
      <c r="AF12813" s="831" t="s">
        <v>11780</v>
      </c>
      <c r="AG12813" s="831" t="s">
        <v>2674</v>
      </c>
      <c r="AH12813" s="831" t="s">
        <v>3042</v>
      </c>
      <c r="AI12813" s="831">
        <v>0</v>
      </c>
      <c r="AJ12813" s="835">
        <v>41973</v>
      </c>
      <c r="AK12813" s="831">
        <v>-50695273.862000003</v>
      </c>
    </row>
    <row r="12814" spans="2:37">
      <c r="B12814" s="834" t="str">
        <f t="shared" si="479"/>
        <v>|||</v>
      </c>
      <c r="H12814" s="835">
        <f t="shared" si="480"/>
        <v>31</v>
      </c>
      <c r="AF12814" s="831" t="s">
        <v>11781</v>
      </c>
      <c r="AG12814" s="831" t="s">
        <v>2674</v>
      </c>
      <c r="AH12814" s="831" t="s">
        <v>3044</v>
      </c>
      <c r="AI12814" s="831">
        <v>0</v>
      </c>
      <c r="AJ12814" s="835">
        <v>41973</v>
      </c>
      <c r="AK12814" s="831">
        <v>-2169383.0120000001</v>
      </c>
    </row>
    <row r="12815" spans="2:37">
      <c r="B12815" s="834" t="str">
        <f t="shared" si="479"/>
        <v>|||</v>
      </c>
      <c r="H12815" s="835">
        <f t="shared" si="480"/>
        <v>31</v>
      </c>
      <c r="AF12815" s="831" t="s">
        <v>11782</v>
      </c>
      <c r="AG12815" s="831" t="s">
        <v>2674</v>
      </c>
      <c r="AH12815" s="831" t="s">
        <v>580</v>
      </c>
      <c r="AI12815" s="831">
        <v>0</v>
      </c>
      <c r="AJ12815" s="835">
        <v>41973</v>
      </c>
      <c r="AK12815" s="831">
        <v>-79126603.180999994</v>
      </c>
    </row>
    <row r="12816" spans="2:37">
      <c r="B12816" s="834" t="str">
        <f t="shared" si="479"/>
        <v>|||</v>
      </c>
      <c r="H12816" s="835">
        <f t="shared" si="480"/>
        <v>31</v>
      </c>
      <c r="AF12816" s="831" t="s">
        <v>11783</v>
      </c>
      <c r="AG12816" s="831" t="s">
        <v>2674</v>
      </c>
      <c r="AH12816" s="831" t="s">
        <v>581</v>
      </c>
      <c r="AI12816" s="831">
        <v>0</v>
      </c>
      <c r="AJ12816" s="835">
        <v>41973</v>
      </c>
      <c r="AK12816" s="831">
        <v>4040122.4290000005</v>
      </c>
    </row>
    <row r="12817" spans="2:37">
      <c r="B12817" s="834" t="str">
        <f t="shared" ref="B12817:B12880" si="481">C12817&amp;"|"&amp;D12817&amp;"|"&amp;E12817&amp;"|"&amp;F12817</f>
        <v>|||</v>
      </c>
      <c r="H12817" s="835">
        <f t="shared" ref="H12817:H12880" si="482">EOMONTH(L12817,0)</f>
        <v>31</v>
      </c>
      <c r="AF12817" s="831" t="s">
        <v>11784</v>
      </c>
      <c r="AG12817" s="831" t="s">
        <v>2674</v>
      </c>
      <c r="AH12817" s="831" t="s">
        <v>105</v>
      </c>
      <c r="AI12817" s="831">
        <v>0</v>
      </c>
      <c r="AJ12817" s="835">
        <v>41973</v>
      </c>
      <c r="AK12817" s="831">
        <v>488862063</v>
      </c>
    </row>
    <row r="12818" spans="2:37">
      <c r="B12818" s="834" t="str">
        <f t="shared" si="481"/>
        <v>|||</v>
      </c>
      <c r="H12818" s="835">
        <f t="shared" si="482"/>
        <v>31</v>
      </c>
      <c r="AF12818" s="831" t="s">
        <v>11785</v>
      </c>
      <c r="AG12818" s="831" t="s">
        <v>2674</v>
      </c>
      <c r="AH12818" s="831" t="s">
        <v>3049</v>
      </c>
      <c r="AI12818" s="831">
        <v>0</v>
      </c>
      <c r="AJ12818" s="835">
        <v>41973</v>
      </c>
      <c r="AK12818" s="831">
        <v>810336503</v>
      </c>
    </row>
    <row r="12819" spans="2:37">
      <c r="B12819" s="834" t="str">
        <f t="shared" si="481"/>
        <v>|||</v>
      </c>
      <c r="H12819" s="835">
        <f t="shared" si="482"/>
        <v>31</v>
      </c>
      <c r="AF12819" s="831" t="s">
        <v>11786</v>
      </c>
      <c r="AG12819" s="831" t="s">
        <v>2674</v>
      </c>
      <c r="AH12819" s="831" t="s">
        <v>103</v>
      </c>
      <c r="AI12819" s="831">
        <v>0</v>
      </c>
      <c r="AJ12819" s="835">
        <v>41973</v>
      </c>
      <c r="AK12819" s="831">
        <v>321474440</v>
      </c>
    </row>
    <row r="12820" spans="2:37">
      <c r="B12820" s="834" t="str">
        <f t="shared" si="481"/>
        <v>|||</v>
      </c>
      <c r="H12820" s="835">
        <f t="shared" si="482"/>
        <v>31</v>
      </c>
      <c r="AF12820" s="831" t="s">
        <v>11787</v>
      </c>
      <c r="AG12820" s="831" t="s">
        <v>2674</v>
      </c>
      <c r="AH12820" s="831" t="s">
        <v>182</v>
      </c>
      <c r="AI12820" s="831">
        <v>0</v>
      </c>
      <c r="AJ12820" s="835">
        <v>41973</v>
      </c>
      <c r="AK12820" s="831">
        <v>75281666.181818187</v>
      </c>
    </row>
    <row r="12821" spans="2:37">
      <c r="B12821" s="834" t="str">
        <f t="shared" si="481"/>
        <v>|||</v>
      </c>
      <c r="H12821" s="835">
        <f t="shared" si="482"/>
        <v>31</v>
      </c>
      <c r="AF12821" s="831" t="s">
        <v>11788</v>
      </c>
      <c r="AG12821" s="831" t="s">
        <v>2674</v>
      </c>
      <c r="AH12821" s="831" t="s">
        <v>6600</v>
      </c>
      <c r="AI12821" s="831">
        <v>0</v>
      </c>
      <c r="AJ12821" s="835">
        <v>41973</v>
      </c>
      <c r="AK12821" s="831">
        <v>33835425.924000025</v>
      </c>
    </row>
    <row r="12822" spans="2:37">
      <c r="B12822" s="834" t="str">
        <f t="shared" si="481"/>
        <v>|||</v>
      </c>
      <c r="H12822" s="835">
        <f t="shared" si="482"/>
        <v>31</v>
      </c>
      <c r="AF12822" s="831" t="s">
        <v>11789</v>
      </c>
      <c r="AG12822" s="831" t="s">
        <v>2674</v>
      </c>
      <c r="AH12822" s="831" t="s">
        <v>6602</v>
      </c>
      <c r="AI12822" s="831">
        <v>0</v>
      </c>
      <c r="AJ12822" s="835">
        <v>41973</v>
      </c>
      <c r="AK12822" s="831">
        <v>35013602</v>
      </c>
    </row>
    <row r="12823" spans="2:37">
      <c r="B12823" s="834" t="str">
        <f t="shared" si="481"/>
        <v>|||</v>
      </c>
      <c r="H12823" s="835">
        <f t="shared" si="482"/>
        <v>31</v>
      </c>
      <c r="AF12823" s="831" t="s">
        <v>11790</v>
      </c>
      <c r="AG12823" s="831" t="s">
        <v>2674</v>
      </c>
      <c r="AH12823" s="831" t="s">
        <v>650</v>
      </c>
      <c r="AI12823" s="831">
        <v>0</v>
      </c>
      <c r="AJ12823" s="835">
        <v>41973</v>
      </c>
      <c r="AK12823" s="831">
        <v>287670371.56684613</v>
      </c>
    </row>
    <row r="12824" spans="2:37">
      <c r="B12824" s="834" t="str">
        <f t="shared" si="481"/>
        <v>|||</v>
      </c>
      <c r="H12824" s="835">
        <f t="shared" si="482"/>
        <v>31</v>
      </c>
      <c r="AF12824" s="831" t="s">
        <v>11791</v>
      </c>
      <c r="AG12824" s="831" t="s">
        <v>2674</v>
      </c>
      <c r="AH12824" s="831" t="s">
        <v>655</v>
      </c>
      <c r="AI12824" s="831">
        <v>0</v>
      </c>
      <c r="AJ12824" s="835">
        <v>41973</v>
      </c>
      <c r="AK12824" s="831">
        <v>919694.3899999999</v>
      </c>
    </row>
    <row r="12825" spans="2:37">
      <c r="B12825" s="834" t="str">
        <f t="shared" si="481"/>
        <v>|||</v>
      </c>
      <c r="H12825" s="835">
        <f t="shared" si="482"/>
        <v>31</v>
      </c>
      <c r="AF12825" s="831" t="s">
        <v>11792</v>
      </c>
      <c r="AG12825" s="831" t="s">
        <v>2674</v>
      </c>
      <c r="AH12825" s="831" t="s">
        <v>546</v>
      </c>
      <c r="AI12825" s="831">
        <v>0</v>
      </c>
      <c r="AJ12825" s="835">
        <v>42004</v>
      </c>
      <c r="AK12825" s="831">
        <v>828920000</v>
      </c>
    </row>
    <row r="12826" spans="2:37">
      <c r="B12826" s="834" t="str">
        <f t="shared" si="481"/>
        <v>|||</v>
      </c>
      <c r="H12826" s="835">
        <f t="shared" si="482"/>
        <v>31</v>
      </c>
      <c r="AF12826" s="831" t="s">
        <v>11793</v>
      </c>
      <c r="AG12826" s="831" t="s">
        <v>2674</v>
      </c>
      <c r="AH12826" s="831" t="s">
        <v>370</v>
      </c>
      <c r="AI12826" s="831">
        <v>0</v>
      </c>
      <c r="AJ12826" s="835">
        <v>42004</v>
      </c>
      <c r="AK12826" s="831">
        <v>1042210000</v>
      </c>
    </row>
    <row r="12827" spans="2:37">
      <c r="B12827" s="834" t="str">
        <f t="shared" si="481"/>
        <v>|||</v>
      </c>
      <c r="H12827" s="835">
        <f t="shared" si="482"/>
        <v>31</v>
      </c>
      <c r="AF12827" s="831" t="s">
        <v>11794</v>
      </c>
      <c r="AG12827" s="831" t="s">
        <v>2674</v>
      </c>
      <c r="AH12827" s="831" t="s">
        <v>126</v>
      </c>
      <c r="AI12827" s="831">
        <v>0</v>
      </c>
      <c r="AJ12827" s="835">
        <v>42004</v>
      </c>
      <c r="AK12827" s="831">
        <v>145409000</v>
      </c>
    </row>
    <row r="12828" spans="2:37">
      <c r="B12828" s="834" t="str">
        <f t="shared" si="481"/>
        <v>|||</v>
      </c>
      <c r="H12828" s="835">
        <f t="shared" si="482"/>
        <v>31</v>
      </c>
      <c r="AF12828" s="831" t="s">
        <v>11795</v>
      </c>
      <c r="AG12828" s="831" t="s">
        <v>2674</v>
      </c>
      <c r="AH12828" s="831" t="s">
        <v>268</v>
      </c>
      <c r="AI12828" s="831">
        <v>0</v>
      </c>
      <c r="AJ12828" s="835">
        <v>42004</v>
      </c>
      <c r="AK12828" s="831">
        <v>43040000</v>
      </c>
    </row>
    <row r="12829" spans="2:37">
      <c r="B12829" s="834" t="str">
        <f t="shared" si="481"/>
        <v>|||</v>
      </c>
      <c r="H12829" s="835">
        <f t="shared" si="482"/>
        <v>31</v>
      </c>
      <c r="AF12829" s="831" t="s">
        <v>11796</v>
      </c>
      <c r="AG12829" s="831" t="s">
        <v>2674</v>
      </c>
      <c r="AH12829" s="831" t="s">
        <v>547</v>
      </c>
      <c r="AI12829" s="831">
        <v>0</v>
      </c>
      <c r="AJ12829" s="835">
        <v>42004</v>
      </c>
      <c r="AK12829" s="831">
        <v>777719977</v>
      </c>
    </row>
    <row r="12830" spans="2:37">
      <c r="B12830" s="834" t="str">
        <f t="shared" si="481"/>
        <v>|||</v>
      </c>
      <c r="H12830" s="835">
        <f t="shared" si="482"/>
        <v>31</v>
      </c>
      <c r="AF12830" s="831" t="s">
        <v>11797</v>
      </c>
      <c r="AG12830" s="831" t="s">
        <v>2674</v>
      </c>
      <c r="AH12830" s="831" t="s">
        <v>548</v>
      </c>
      <c r="AI12830" s="831">
        <v>0</v>
      </c>
      <c r="AJ12830" s="835">
        <v>42004</v>
      </c>
      <c r="AK12830" s="831">
        <v>117105496</v>
      </c>
    </row>
    <row r="12831" spans="2:37">
      <c r="B12831" s="834" t="str">
        <f t="shared" si="481"/>
        <v>|||</v>
      </c>
      <c r="H12831" s="835">
        <f t="shared" si="482"/>
        <v>31</v>
      </c>
      <c r="AF12831" s="831" t="s">
        <v>11798</v>
      </c>
      <c r="AG12831" s="831" t="s">
        <v>2674</v>
      </c>
      <c r="AH12831" s="831" t="s">
        <v>549</v>
      </c>
      <c r="AI12831" s="831">
        <v>0</v>
      </c>
      <c r="AJ12831" s="835">
        <v>42004</v>
      </c>
      <c r="AK12831" s="831">
        <v>627874260</v>
      </c>
    </row>
    <row r="12832" spans="2:37">
      <c r="B12832" s="834" t="str">
        <f t="shared" si="481"/>
        <v>|||</v>
      </c>
      <c r="H12832" s="835">
        <f t="shared" si="482"/>
        <v>31</v>
      </c>
      <c r="AF12832" s="831" t="s">
        <v>11799</v>
      </c>
      <c r="AG12832" s="831" t="s">
        <v>2674</v>
      </c>
      <c r="AH12832" s="831" t="s">
        <v>192</v>
      </c>
      <c r="AI12832" s="831">
        <v>0</v>
      </c>
      <c r="AJ12832" s="835">
        <v>42004</v>
      </c>
      <c r="AK12832" s="831">
        <v>-9140000</v>
      </c>
    </row>
    <row r="12833" spans="2:37">
      <c r="B12833" s="834" t="str">
        <f t="shared" si="481"/>
        <v>|||</v>
      </c>
      <c r="H12833" s="835">
        <f t="shared" si="482"/>
        <v>31</v>
      </c>
      <c r="AF12833" s="831" t="s">
        <v>11800</v>
      </c>
      <c r="AG12833" s="831" t="s">
        <v>2674</v>
      </c>
      <c r="AH12833" s="831" t="s">
        <v>558</v>
      </c>
      <c r="AI12833" s="831">
        <v>0</v>
      </c>
      <c r="AJ12833" s="835">
        <v>42004</v>
      </c>
      <c r="AK12833" s="831">
        <v>896801000</v>
      </c>
    </row>
    <row r="12834" spans="2:37">
      <c r="B12834" s="834" t="str">
        <f t="shared" si="481"/>
        <v>|||</v>
      </c>
      <c r="H12834" s="835">
        <f t="shared" si="482"/>
        <v>31</v>
      </c>
      <c r="AF12834" s="831" t="s">
        <v>11801</v>
      </c>
      <c r="AG12834" s="831" t="s">
        <v>2674</v>
      </c>
      <c r="AH12834" s="831" t="s">
        <v>65</v>
      </c>
      <c r="AI12834" s="831">
        <v>0</v>
      </c>
      <c r="AJ12834" s="835">
        <v>42004</v>
      </c>
      <c r="AK12834" s="831">
        <v>169813000</v>
      </c>
    </row>
    <row r="12835" spans="2:37">
      <c r="B12835" s="834" t="str">
        <f t="shared" si="481"/>
        <v>|||</v>
      </c>
      <c r="H12835" s="835">
        <f t="shared" si="482"/>
        <v>31</v>
      </c>
      <c r="AF12835" s="831" t="s">
        <v>11802</v>
      </c>
      <c r="AG12835" s="831" t="s">
        <v>2674</v>
      </c>
      <c r="AH12835" s="831" t="s">
        <v>89</v>
      </c>
      <c r="AI12835" s="831">
        <v>0</v>
      </c>
      <c r="AJ12835" s="835">
        <v>42004</v>
      </c>
      <c r="AK12835" s="831">
        <v>157146</v>
      </c>
    </row>
    <row r="12836" spans="2:37">
      <c r="B12836" s="834" t="str">
        <f t="shared" si="481"/>
        <v>|||</v>
      </c>
      <c r="H12836" s="835">
        <f t="shared" si="482"/>
        <v>31</v>
      </c>
      <c r="AF12836" s="831" t="s">
        <v>11803</v>
      </c>
      <c r="AG12836" s="831" t="s">
        <v>2674</v>
      </c>
      <c r="AH12836" s="831" t="s">
        <v>557</v>
      </c>
      <c r="AI12836" s="831">
        <v>0</v>
      </c>
      <c r="AJ12836" s="835">
        <v>42004</v>
      </c>
      <c r="AK12836" s="831">
        <v>178484</v>
      </c>
    </row>
    <row r="12837" spans="2:37">
      <c r="B12837" s="834" t="str">
        <f t="shared" si="481"/>
        <v>|||</v>
      </c>
      <c r="H12837" s="835">
        <f t="shared" si="482"/>
        <v>31</v>
      </c>
      <c r="AF12837" s="831" t="s">
        <v>11804</v>
      </c>
      <c r="AG12837" s="831" t="s">
        <v>2674</v>
      </c>
      <c r="AH12837" s="831" t="s">
        <v>29</v>
      </c>
      <c r="AI12837" s="831">
        <v>0</v>
      </c>
      <c r="AJ12837" s="835">
        <v>42004</v>
      </c>
      <c r="AK12837" s="831">
        <v>6837000</v>
      </c>
    </row>
    <row r="12838" spans="2:37">
      <c r="B12838" s="834" t="str">
        <f t="shared" si="481"/>
        <v>|||</v>
      </c>
      <c r="H12838" s="835">
        <f t="shared" si="482"/>
        <v>31</v>
      </c>
      <c r="AF12838" s="831" t="s">
        <v>11805</v>
      </c>
      <c r="AG12838" s="831" t="s">
        <v>2674</v>
      </c>
      <c r="AH12838" s="831" t="s">
        <v>2688</v>
      </c>
      <c r="AI12838" s="831">
        <v>0</v>
      </c>
      <c r="AJ12838" s="835">
        <v>42004</v>
      </c>
      <c r="AK12838" s="831">
        <v>5048648</v>
      </c>
    </row>
    <row r="12839" spans="2:37">
      <c r="B12839" s="834" t="str">
        <f t="shared" si="481"/>
        <v>|||</v>
      </c>
      <c r="H12839" s="835">
        <f t="shared" si="482"/>
        <v>31</v>
      </c>
      <c r="AF12839" s="831" t="s">
        <v>11806</v>
      </c>
      <c r="AG12839" s="831" t="s">
        <v>2674</v>
      </c>
      <c r="AH12839" s="831" t="s">
        <v>556</v>
      </c>
      <c r="AI12839" s="831">
        <v>0</v>
      </c>
      <c r="AJ12839" s="835">
        <v>42004</v>
      </c>
      <c r="AK12839" s="831">
        <v>11412135</v>
      </c>
    </row>
    <row r="12840" spans="2:37">
      <c r="B12840" s="834" t="str">
        <f t="shared" si="481"/>
        <v>|||</v>
      </c>
      <c r="H12840" s="835">
        <f t="shared" si="482"/>
        <v>31</v>
      </c>
      <c r="AF12840" s="831" t="s">
        <v>11807</v>
      </c>
      <c r="AG12840" s="831" t="s">
        <v>2674</v>
      </c>
      <c r="AH12840" s="831" t="s">
        <v>555</v>
      </c>
      <c r="AI12840" s="831">
        <v>0</v>
      </c>
      <c r="AJ12840" s="835">
        <v>42004</v>
      </c>
      <c r="AK12840" s="831">
        <v>596336076</v>
      </c>
    </row>
    <row r="12841" spans="2:37">
      <c r="B12841" s="834" t="str">
        <f t="shared" si="481"/>
        <v>|||</v>
      </c>
      <c r="H12841" s="835">
        <f t="shared" si="482"/>
        <v>31</v>
      </c>
      <c r="AF12841" s="831" t="s">
        <v>11808</v>
      </c>
      <c r="AG12841" s="831" t="s">
        <v>2674</v>
      </c>
      <c r="AH12841" s="831" t="s">
        <v>554</v>
      </c>
      <c r="AI12841" s="831">
        <v>0</v>
      </c>
      <c r="AJ12841" s="835">
        <v>42004</v>
      </c>
      <c r="AK12841" s="831">
        <v>603608535</v>
      </c>
    </row>
    <row r="12842" spans="2:37">
      <c r="B12842" s="834" t="str">
        <f t="shared" si="481"/>
        <v>|||</v>
      </c>
      <c r="H12842" s="835">
        <f t="shared" si="482"/>
        <v>31</v>
      </c>
      <c r="AF12842" s="831" t="s">
        <v>11809</v>
      </c>
      <c r="AG12842" s="831" t="s">
        <v>2674</v>
      </c>
      <c r="AH12842" s="831" t="s">
        <v>553</v>
      </c>
      <c r="AI12842" s="831">
        <v>0</v>
      </c>
      <c r="AJ12842" s="835">
        <v>42004</v>
      </c>
      <c r="AK12842" s="831">
        <v>0</v>
      </c>
    </row>
    <row r="12843" spans="2:37">
      <c r="B12843" s="834" t="str">
        <f t="shared" si="481"/>
        <v>|||</v>
      </c>
      <c r="H12843" s="835">
        <f t="shared" si="482"/>
        <v>31</v>
      </c>
      <c r="AF12843" s="831" t="s">
        <v>11810</v>
      </c>
      <c r="AG12843" s="831" t="s">
        <v>2674</v>
      </c>
      <c r="AH12843" s="831" t="s">
        <v>552</v>
      </c>
      <c r="AI12843" s="831">
        <v>0</v>
      </c>
      <c r="AJ12843" s="835">
        <v>42004</v>
      </c>
      <c r="AK12843" s="831">
        <v>0</v>
      </c>
    </row>
    <row r="12844" spans="2:37">
      <c r="B12844" s="834" t="str">
        <f t="shared" si="481"/>
        <v>|||</v>
      </c>
      <c r="H12844" s="835">
        <f t="shared" si="482"/>
        <v>31</v>
      </c>
      <c r="AF12844" s="831" t="s">
        <v>11811</v>
      </c>
      <c r="AG12844" s="831" t="s">
        <v>2674</v>
      </c>
      <c r="AH12844" s="831" t="s">
        <v>551</v>
      </c>
      <c r="AI12844" s="831">
        <v>0</v>
      </c>
      <c r="AJ12844" s="835">
        <v>42004</v>
      </c>
      <c r="AK12844" s="831">
        <v>6446340</v>
      </c>
    </row>
    <row r="12845" spans="2:37">
      <c r="B12845" s="834" t="str">
        <f t="shared" si="481"/>
        <v>|||</v>
      </c>
      <c r="H12845" s="835">
        <f t="shared" si="482"/>
        <v>31</v>
      </c>
      <c r="AF12845" s="831" t="s">
        <v>11812</v>
      </c>
      <c r="AG12845" s="831" t="s">
        <v>2674</v>
      </c>
      <c r="AH12845" s="831" t="s">
        <v>550</v>
      </c>
      <c r="AI12845" s="831">
        <v>0</v>
      </c>
      <c r="AJ12845" s="835">
        <v>42004</v>
      </c>
      <c r="AK12845" s="831">
        <v>153599665</v>
      </c>
    </row>
    <row r="12846" spans="2:37">
      <c r="B12846" s="834" t="str">
        <f t="shared" si="481"/>
        <v>|||</v>
      </c>
      <c r="H12846" s="835">
        <f t="shared" si="482"/>
        <v>31</v>
      </c>
      <c r="AF12846" s="831" t="s">
        <v>11813</v>
      </c>
      <c r="AG12846" s="831" t="s">
        <v>2674</v>
      </c>
      <c r="AH12846" s="831" t="s">
        <v>562</v>
      </c>
      <c r="AI12846" s="831">
        <v>0</v>
      </c>
      <c r="AJ12846" s="835">
        <v>42004</v>
      </c>
      <c r="AK12846" s="831">
        <v>0.78310000000000002</v>
      </c>
    </row>
    <row r="12847" spans="2:37">
      <c r="B12847" s="834" t="str">
        <f t="shared" si="481"/>
        <v>|||</v>
      </c>
      <c r="H12847" s="835">
        <f t="shared" si="482"/>
        <v>31</v>
      </c>
      <c r="AF12847" s="831" t="s">
        <v>11814</v>
      </c>
      <c r="AG12847" s="831" t="s">
        <v>2674</v>
      </c>
      <c r="AH12847" s="831" t="s">
        <v>2698</v>
      </c>
      <c r="AI12847" s="831">
        <v>0</v>
      </c>
      <c r="AJ12847" s="835">
        <v>42004</v>
      </c>
      <c r="AK12847" s="831">
        <v>0.78390000000000004</v>
      </c>
    </row>
    <row r="12848" spans="2:37">
      <c r="B12848" s="834" t="str">
        <f t="shared" si="481"/>
        <v>|||</v>
      </c>
      <c r="H12848" s="835">
        <f t="shared" si="482"/>
        <v>31</v>
      </c>
      <c r="AF12848" s="831" t="s">
        <v>11815</v>
      </c>
      <c r="AG12848" s="831" t="s">
        <v>2674</v>
      </c>
      <c r="AH12848" s="831" t="s">
        <v>560</v>
      </c>
      <c r="AI12848" s="831">
        <v>0</v>
      </c>
      <c r="AJ12848" s="835">
        <v>42004</v>
      </c>
      <c r="AK12848" s="831">
        <v>0.78363333333333329</v>
      </c>
    </row>
    <row r="12849" spans="2:37">
      <c r="B12849" s="834" t="str">
        <f t="shared" si="481"/>
        <v>|||</v>
      </c>
      <c r="H12849" s="835">
        <f t="shared" si="482"/>
        <v>31</v>
      </c>
      <c r="AF12849" s="831" t="s">
        <v>11816</v>
      </c>
      <c r="AG12849" s="831" t="s">
        <v>2674</v>
      </c>
      <c r="AH12849" s="831" t="s">
        <v>559</v>
      </c>
      <c r="AI12849" s="831">
        <v>0</v>
      </c>
      <c r="AJ12849" s="835">
        <v>42004</v>
      </c>
      <c r="AK12849" s="831">
        <v>0.78363333333333329</v>
      </c>
    </row>
    <row r="12850" spans="2:37">
      <c r="B12850" s="834" t="str">
        <f t="shared" si="481"/>
        <v>|||</v>
      </c>
      <c r="H12850" s="835">
        <f t="shared" si="482"/>
        <v>31</v>
      </c>
      <c r="AF12850" s="831" t="s">
        <v>11817</v>
      </c>
      <c r="AG12850" s="831" t="s">
        <v>2674</v>
      </c>
      <c r="AH12850" s="831" t="s">
        <v>568</v>
      </c>
      <c r="AI12850" s="831">
        <v>0</v>
      </c>
      <c r="AJ12850" s="835">
        <v>42004</v>
      </c>
      <c r="AK12850" s="831">
        <v>723814619.46153843</v>
      </c>
    </row>
    <row r="12851" spans="2:37">
      <c r="B12851" s="834" t="str">
        <f t="shared" si="481"/>
        <v>|||</v>
      </c>
      <c r="H12851" s="835">
        <f t="shared" si="482"/>
        <v>31</v>
      </c>
      <c r="AF12851" s="831" t="s">
        <v>11818</v>
      </c>
      <c r="AG12851" s="831" t="s">
        <v>2674</v>
      </c>
      <c r="AH12851" s="831" t="s">
        <v>569</v>
      </c>
      <c r="AI12851" s="831">
        <v>0</v>
      </c>
      <c r="AJ12851" s="835">
        <v>42004</v>
      </c>
      <c r="AK12851" s="831">
        <v>899930209.58176923</v>
      </c>
    </row>
    <row r="12852" spans="2:37">
      <c r="B12852" s="834" t="str">
        <f t="shared" si="481"/>
        <v>|||</v>
      </c>
      <c r="H12852" s="835">
        <f t="shared" si="482"/>
        <v>31</v>
      </c>
      <c r="AF12852" s="831" t="s">
        <v>11819</v>
      </c>
      <c r="AG12852" s="831" t="s">
        <v>2674</v>
      </c>
      <c r="AH12852" s="831" t="s">
        <v>570</v>
      </c>
      <c r="AI12852" s="831">
        <v>0</v>
      </c>
      <c r="AJ12852" s="835">
        <v>42004</v>
      </c>
      <c r="AK12852" s="831">
        <v>134134466.30307692</v>
      </c>
    </row>
    <row r="12853" spans="2:37">
      <c r="B12853" s="834" t="str">
        <f t="shared" si="481"/>
        <v>|||</v>
      </c>
      <c r="H12853" s="835">
        <f t="shared" si="482"/>
        <v>31</v>
      </c>
      <c r="AF12853" s="831" t="s">
        <v>11820</v>
      </c>
      <c r="AG12853" s="831" t="s">
        <v>2674</v>
      </c>
      <c r="AH12853" s="831" t="s">
        <v>571</v>
      </c>
      <c r="AI12853" s="831">
        <v>0</v>
      </c>
      <c r="AJ12853" s="835">
        <v>42004</v>
      </c>
      <c r="AK12853" s="831">
        <v>445629705.61753845</v>
      </c>
    </row>
    <row r="12854" spans="2:37">
      <c r="B12854" s="834" t="str">
        <f t="shared" si="481"/>
        <v>|||</v>
      </c>
      <c r="H12854" s="835">
        <f t="shared" si="482"/>
        <v>31</v>
      </c>
      <c r="AF12854" s="831" t="s">
        <v>11821</v>
      </c>
      <c r="AG12854" s="831" t="s">
        <v>2674</v>
      </c>
      <c r="AH12854" s="831" t="s">
        <v>573</v>
      </c>
      <c r="AI12854" s="831">
        <v>0</v>
      </c>
      <c r="AJ12854" s="835">
        <v>42004</v>
      </c>
      <c r="AK12854" s="831">
        <v>899930209.58176923</v>
      </c>
    </row>
    <row r="12855" spans="2:37">
      <c r="B12855" s="834" t="str">
        <f t="shared" si="481"/>
        <v>|||</v>
      </c>
      <c r="H12855" s="835">
        <f t="shared" si="482"/>
        <v>31</v>
      </c>
      <c r="AF12855" s="831" t="s">
        <v>11822</v>
      </c>
      <c r="AG12855" s="831" t="s">
        <v>2674</v>
      </c>
      <c r="AH12855" s="831" t="s">
        <v>574</v>
      </c>
      <c r="AI12855" s="831">
        <v>0</v>
      </c>
      <c r="AJ12855" s="835">
        <v>42004</v>
      </c>
      <c r="AK12855" s="831">
        <v>723814619.46153843</v>
      </c>
    </row>
    <row r="12856" spans="2:37">
      <c r="B12856" s="834" t="str">
        <f t="shared" si="481"/>
        <v>|||</v>
      </c>
      <c r="H12856" s="835">
        <f t="shared" si="482"/>
        <v>31</v>
      </c>
      <c r="AF12856" s="831" t="s">
        <v>11823</v>
      </c>
      <c r="AG12856" s="831" t="s">
        <v>2674</v>
      </c>
      <c r="AH12856" s="831" t="s">
        <v>575</v>
      </c>
      <c r="AI12856" s="831">
        <v>0</v>
      </c>
      <c r="AJ12856" s="835">
        <v>42004</v>
      </c>
      <c r="AK12856" s="831">
        <v>134134466.30307692</v>
      </c>
    </row>
    <row r="12857" spans="2:37">
      <c r="B12857" s="834" t="str">
        <f t="shared" si="481"/>
        <v>|||</v>
      </c>
      <c r="H12857" s="835">
        <f t="shared" si="482"/>
        <v>31</v>
      </c>
      <c r="AF12857" s="831" t="s">
        <v>11824</v>
      </c>
      <c r="AG12857" s="831" t="s">
        <v>2674</v>
      </c>
      <c r="AH12857" s="831" t="s">
        <v>576</v>
      </c>
      <c r="AI12857" s="831">
        <v>0</v>
      </c>
      <c r="AJ12857" s="835">
        <v>42004</v>
      </c>
      <c r="AK12857" s="831">
        <v>445629705.61753845</v>
      </c>
    </row>
    <row r="12858" spans="2:37">
      <c r="B12858" s="834" t="str">
        <f t="shared" si="481"/>
        <v>|||</v>
      </c>
      <c r="H12858" s="835">
        <f t="shared" si="482"/>
        <v>31</v>
      </c>
      <c r="AF12858" s="831" t="s">
        <v>11825</v>
      </c>
      <c r="AG12858" s="831" t="s">
        <v>2674</v>
      </c>
      <c r="AH12858" s="831" t="s">
        <v>572</v>
      </c>
      <c r="AI12858" s="831">
        <v>0</v>
      </c>
      <c r="AJ12858" s="835">
        <v>42004</v>
      </c>
      <c r="AK12858" s="831">
        <v>43040000</v>
      </c>
    </row>
    <row r="12859" spans="2:37">
      <c r="B12859" s="834" t="str">
        <f t="shared" si="481"/>
        <v>|||</v>
      </c>
      <c r="H12859" s="835">
        <f t="shared" si="482"/>
        <v>31</v>
      </c>
      <c r="AF12859" s="831" t="s">
        <v>11826</v>
      </c>
      <c r="AG12859" s="831" t="s">
        <v>2674</v>
      </c>
      <c r="AH12859" s="831" t="s">
        <v>577</v>
      </c>
      <c r="AI12859" s="831">
        <v>0</v>
      </c>
      <c r="AJ12859" s="835">
        <v>42004</v>
      </c>
      <c r="AK12859" s="831">
        <v>169813000</v>
      </c>
    </row>
    <row r="12860" spans="2:37">
      <c r="B12860" s="834" t="str">
        <f t="shared" si="481"/>
        <v>|||</v>
      </c>
      <c r="H12860" s="835">
        <f t="shared" si="482"/>
        <v>31</v>
      </c>
      <c r="AF12860" s="831" t="s">
        <v>11827</v>
      </c>
      <c r="AG12860" s="831" t="s">
        <v>2674</v>
      </c>
      <c r="AH12860" s="831" t="s">
        <v>3042</v>
      </c>
      <c r="AI12860" s="831">
        <v>0</v>
      </c>
      <c r="AJ12860" s="835">
        <v>42004</v>
      </c>
      <c r="AK12860" s="831">
        <v>-51705000</v>
      </c>
    </row>
    <row r="12861" spans="2:37">
      <c r="B12861" s="834" t="str">
        <f t="shared" si="481"/>
        <v>|||</v>
      </c>
      <c r="H12861" s="835">
        <f t="shared" si="482"/>
        <v>31</v>
      </c>
      <c r="AF12861" s="831" t="s">
        <v>11828</v>
      </c>
      <c r="AG12861" s="831" t="s">
        <v>2674</v>
      </c>
      <c r="AH12861" s="831" t="s">
        <v>3044</v>
      </c>
      <c r="AI12861" s="831">
        <v>0</v>
      </c>
      <c r="AJ12861" s="835">
        <v>42004</v>
      </c>
      <c r="AK12861" s="831">
        <v>3515000</v>
      </c>
    </row>
    <row r="12862" spans="2:37">
      <c r="B12862" s="834" t="str">
        <f t="shared" si="481"/>
        <v>|||</v>
      </c>
      <c r="H12862" s="835">
        <f t="shared" si="482"/>
        <v>31</v>
      </c>
      <c r="AF12862" s="831" t="s">
        <v>11829</v>
      </c>
      <c r="AG12862" s="831" t="s">
        <v>2674</v>
      </c>
      <c r="AH12862" s="831" t="s">
        <v>580</v>
      </c>
      <c r="AI12862" s="831">
        <v>0</v>
      </c>
      <c r="AJ12862" s="835">
        <v>42004</v>
      </c>
      <c r="AK12862" s="831">
        <v>-78262000</v>
      </c>
    </row>
    <row r="12863" spans="2:37">
      <c r="B12863" s="834" t="str">
        <f t="shared" si="481"/>
        <v>|||</v>
      </c>
      <c r="H12863" s="835">
        <f t="shared" si="482"/>
        <v>31</v>
      </c>
      <c r="AF12863" s="831" t="s">
        <v>11830</v>
      </c>
      <c r="AG12863" s="831" t="s">
        <v>2674</v>
      </c>
      <c r="AH12863" s="831" t="s">
        <v>581</v>
      </c>
      <c r="AI12863" s="831">
        <v>0</v>
      </c>
      <c r="AJ12863" s="835">
        <v>42004</v>
      </c>
      <c r="AK12863" s="831">
        <v>9963000</v>
      </c>
    </row>
    <row r="12864" spans="2:37">
      <c r="B12864" s="834" t="str">
        <f t="shared" si="481"/>
        <v>|||</v>
      </c>
      <c r="H12864" s="835">
        <f t="shared" si="482"/>
        <v>31</v>
      </c>
      <c r="AF12864" s="831" t="s">
        <v>11831</v>
      </c>
      <c r="AG12864" s="831" t="s">
        <v>2674</v>
      </c>
      <c r="AH12864" s="831" t="s">
        <v>105</v>
      </c>
      <c r="AI12864" s="831">
        <v>0</v>
      </c>
      <c r="AJ12864" s="835">
        <v>42004</v>
      </c>
      <c r="AK12864" s="831">
        <v>532345000</v>
      </c>
    </row>
    <row r="12865" spans="2:37">
      <c r="B12865" s="834" t="str">
        <f t="shared" si="481"/>
        <v>|||</v>
      </c>
      <c r="H12865" s="835">
        <f t="shared" si="482"/>
        <v>31</v>
      </c>
      <c r="AF12865" s="831" t="s">
        <v>11832</v>
      </c>
      <c r="AG12865" s="831" t="s">
        <v>2674</v>
      </c>
      <c r="AH12865" s="831" t="s">
        <v>3049</v>
      </c>
      <c r="AI12865" s="831">
        <v>0</v>
      </c>
      <c r="AJ12865" s="835">
        <v>42004</v>
      </c>
      <c r="AK12865" s="831">
        <v>871130000</v>
      </c>
    </row>
    <row r="12866" spans="2:37">
      <c r="B12866" s="834" t="str">
        <f t="shared" si="481"/>
        <v>|||</v>
      </c>
      <c r="H12866" s="835">
        <f t="shared" si="482"/>
        <v>31</v>
      </c>
      <c r="AF12866" s="831" t="s">
        <v>11833</v>
      </c>
      <c r="AG12866" s="831" t="s">
        <v>2674</v>
      </c>
      <c r="AH12866" s="831" t="s">
        <v>103</v>
      </c>
      <c r="AI12866" s="831">
        <v>0</v>
      </c>
      <c r="AJ12866" s="835">
        <v>42004</v>
      </c>
      <c r="AK12866" s="831">
        <v>338785000</v>
      </c>
    </row>
    <row r="12867" spans="2:37">
      <c r="B12867" s="834" t="str">
        <f t="shared" si="481"/>
        <v>|||</v>
      </c>
      <c r="H12867" s="835">
        <f t="shared" si="482"/>
        <v>31</v>
      </c>
      <c r="AF12867" s="831" t="s">
        <v>11834</v>
      </c>
      <c r="AG12867" s="831" t="s">
        <v>2674</v>
      </c>
      <c r="AH12867" s="831" t="s">
        <v>182</v>
      </c>
      <c r="AI12867" s="831">
        <v>0</v>
      </c>
      <c r="AJ12867" s="835">
        <v>42004</v>
      </c>
      <c r="AK12867" s="831">
        <v>78262000</v>
      </c>
    </row>
    <row r="12868" spans="2:37">
      <c r="B12868" s="834" t="str">
        <f t="shared" si="481"/>
        <v>|||</v>
      </c>
      <c r="H12868" s="835">
        <f t="shared" si="482"/>
        <v>31</v>
      </c>
      <c r="AF12868" s="831" t="s">
        <v>11835</v>
      </c>
      <c r="AG12868" s="831" t="s">
        <v>2674</v>
      </c>
      <c r="AH12868" s="831" t="s">
        <v>6600</v>
      </c>
      <c r="AI12868" s="831">
        <v>0</v>
      </c>
      <c r="AJ12868" s="835">
        <v>42004</v>
      </c>
      <c r="AK12868" s="831">
        <v>43040000</v>
      </c>
    </row>
    <row r="12869" spans="2:37">
      <c r="B12869" s="834" t="str">
        <f t="shared" si="481"/>
        <v>|||</v>
      </c>
      <c r="H12869" s="835">
        <f t="shared" si="482"/>
        <v>31</v>
      </c>
      <c r="AF12869" s="831" t="s">
        <v>11836</v>
      </c>
      <c r="AG12869" s="831" t="s">
        <v>2674</v>
      </c>
      <c r="AH12869" s="831" t="s">
        <v>6602</v>
      </c>
      <c r="AI12869" s="831">
        <v>0</v>
      </c>
      <c r="AJ12869" s="835">
        <v>42004</v>
      </c>
      <c r="AK12869" s="831">
        <v>43040000</v>
      </c>
    </row>
    <row r="12870" spans="2:37">
      <c r="B12870" s="834" t="str">
        <f t="shared" si="481"/>
        <v>|||</v>
      </c>
      <c r="H12870" s="835">
        <f t="shared" si="482"/>
        <v>31</v>
      </c>
      <c r="AF12870" s="831" t="s">
        <v>11837</v>
      </c>
      <c r="AG12870" s="831" t="s">
        <v>2674</v>
      </c>
      <c r="AH12870" s="831" t="s">
        <v>650</v>
      </c>
      <c r="AI12870" s="831">
        <v>0</v>
      </c>
      <c r="AJ12870" s="835">
        <v>42004</v>
      </c>
      <c r="AK12870" s="831">
        <v>294946351.96523076</v>
      </c>
    </row>
    <row r="12871" spans="2:37">
      <c r="B12871" s="834" t="str">
        <f t="shared" si="481"/>
        <v>|||</v>
      </c>
      <c r="H12871" s="835">
        <f t="shared" si="482"/>
        <v>31</v>
      </c>
      <c r="AF12871" s="831" t="s">
        <v>11838</v>
      </c>
      <c r="AG12871" s="831" t="s">
        <v>2674</v>
      </c>
      <c r="AH12871" s="831" t="s">
        <v>655</v>
      </c>
      <c r="AI12871" s="831">
        <v>0</v>
      </c>
      <c r="AJ12871" s="835">
        <v>42004</v>
      </c>
      <c r="AK12871" s="831">
        <v>5599000</v>
      </c>
    </row>
    <row r="12872" spans="2:37">
      <c r="B12872" s="834" t="str">
        <f t="shared" si="481"/>
        <v>|||</v>
      </c>
      <c r="H12872" s="835">
        <f t="shared" si="482"/>
        <v>31</v>
      </c>
      <c r="AF12872" s="831" t="s">
        <v>11839</v>
      </c>
      <c r="AG12872" s="831" t="s">
        <v>2674</v>
      </c>
      <c r="AH12872" s="831" t="s">
        <v>546</v>
      </c>
      <c r="AI12872" s="831">
        <v>0</v>
      </c>
      <c r="AJ12872" s="835">
        <v>42035</v>
      </c>
      <c r="AK12872" s="831">
        <v>829753309</v>
      </c>
    </row>
    <row r="12873" spans="2:37">
      <c r="B12873" s="834" t="str">
        <f t="shared" si="481"/>
        <v>|||</v>
      </c>
      <c r="H12873" s="835">
        <f t="shared" si="482"/>
        <v>31</v>
      </c>
      <c r="AF12873" s="831" t="s">
        <v>11840</v>
      </c>
      <c r="AG12873" s="831" t="s">
        <v>2674</v>
      </c>
      <c r="AH12873" s="831" t="s">
        <v>370</v>
      </c>
      <c r="AI12873" s="831">
        <v>0</v>
      </c>
      <c r="AJ12873" s="835">
        <v>42035</v>
      </c>
      <c r="AK12873" s="831">
        <v>1044609243</v>
      </c>
    </row>
    <row r="12874" spans="2:37">
      <c r="B12874" s="834" t="str">
        <f t="shared" si="481"/>
        <v>|||</v>
      </c>
      <c r="H12874" s="835">
        <f t="shared" si="482"/>
        <v>31</v>
      </c>
      <c r="AF12874" s="831" t="s">
        <v>11841</v>
      </c>
      <c r="AG12874" s="831" t="s">
        <v>2674</v>
      </c>
      <c r="AH12874" s="831" t="s">
        <v>126</v>
      </c>
      <c r="AI12874" s="831">
        <v>0</v>
      </c>
      <c r="AJ12874" s="835">
        <v>42035</v>
      </c>
      <c r="AK12874" s="831">
        <v>148860224</v>
      </c>
    </row>
    <row r="12875" spans="2:37">
      <c r="B12875" s="834" t="str">
        <f t="shared" si="481"/>
        <v>|||</v>
      </c>
      <c r="H12875" s="835">
        <f t="shared" si="482"/>
        <v>31</v>
      </c>
      <c r="AF12875" s="831" t="s">
        <v>11842</v>
      </c>
      <c r="AG12875" s="831" t="s">
        <v>2674</v>
      </c>
      <c r="AH12875" s="831" t="s">
        <v>268</v>
      </c>
      <c r="AI12875" s="831">
        <v>0</v>
      </c>
      <c r="AJ12875" s="835">
        <v>42035</v>
      </c>
      <c r="AK12875" s="831">
        <v>3451938</v>
      </c>
    </row>
    <row r="12876" spans="2:37">
      <c r="B12876" s="834" t="str">
        <f t="shared" si="481"/>
        <v>|||</v>
      </c>
      <c r="H12876" s="835">
        <f t="shared" si="482"/>
        <v>31</v>
      </c>
      <c r="AF12876" s="831" t="s">
        <v>11843</v>
      </c>
      <c r="AG12876" s="831" t="s">
        <v>2674</v>
      </c>
      <c r="AH12876" s="831" t="s">
        <v>547</v>
      </c>
      <c r="AI12876" s="831">
        <v>0</v>
      </c>
      <c r="AJ12876" s="835">
        <v>42035</v>
      </c>
      <c r="AK12876" s="831">
        <v>1044609243</v>
      </c>
    </row>
    <row r="12877" spans="2:37">
      <c r="B12877" s="834" t="str">
        <f t="shared" si="481"/>
        <v>|||</v>
      </c>
      <c r="H12877" s="835">
        <f t="shared" si="482"/>
        <v>31</v>
      </c>
      <c r="AF12877" s="831" t="s">
        <v>11844</v>
      </c>
      <c r="AG12877" s="831" t="s">
        <v>2674</v>
      </c>
      <c r="AH12877" s="831" t="s">
        <v>548</v>
      </c>
      <c r="AI12877" s="831">
        <v>0</v>
      </c>
      <c r="AJ12877" s="835">
        <v>42035</v>
      </c>
      <c r="AK12877" s="831">
        <v>148860224</v>
      </c>
    </row>
    <row r="12878" spans="2:37">
      <c r="B12878" s="834" t="str">
        <f t="shared" si="481"/>
        <v>|||</v>
      </c>
      <c r="H12878" s="835">
        <f t="shared" si="482"/>
        <v>31</v>
      </c>
      <c r="AF12878" s="831" t="s">
        <v>11845</v>
      </c>
      <c r="AG12878" s="831" t="s">
        <v>2674</v>
      </c>
      <c r="AH12878" s="831" t="s">
        <v>549</v>
      </c>
      <c r="AI12878" s="831">
        <v>0</v>
      </c>
      <c r="AJ12878" s="835">
        <v>42035</v>
      </c>
      <c r="AK12878" s="831">
        <v>635618516</v>
      </c>
    </row>
    <row r="12879" spans="2:37">
      <c r="B12879" s="834" t="str">
        <f t="shared" si="481"/>
        <v>|||</v>
      </c>
      <c r="H12879" s="835">
        <f t="shared" si="482"/>
        <v>31</v>
      </c>
      <c r="AF12879" s="831" t="s">
        <v>11846</v>
      </c>
      <c r="AG12879" s="831" t="s">
        <v>2674</v>
      </c>
      <c r="AH12879" s="831" t="s">
        <v>192</v>
      </c>
      <c r="AI12879" s="831">
        <v>0</v>
      </c>
      <c r="AJ12879" s="835">
        <v>42035</v>
      </c>
      <c r="AK12879" s="831">
        <v>-9765211</v>
      </c>
    </row>
    <row r="12880" spans="2:37">
      <c r="B12880" s="834" t="str">
        <f t="shared" si="481"/>
        <v>|||</v>
      </c>
      <c r="H12880" s="835">
        <f t="shared" si="482"/>
        <v>31</v>
      </c>
      <c r="AF12880" s="831" t="s">
        <v>11847</v>
      </c>
      <c r="AG12880" s="831" t="s">
        <v>2674</v>
      </c>
      <c r="AH12880" s="831" t="s">
        <v>558</v>
      </c>
      <c r="AI12880" s="831">
        <v>0</v>
      </c>
      <c r="AJ12880" s="835">
        <v>42035</v>
      </c>
      <c r="AK12880" s="831">
        <v>895749019</v>
      </c>
    </row>
    <row r="12881" spans="2:37">
      <c r="B12881" s="834" t="str">
        <f t="shared" ref="B12881:B12944" si="483">C12881&amp;"|"&amp;D12881&amp;"|"&amp;E12881&amp;"|"&amp;F12881</f>
        <v>|||</v>
      </c>
      <c r="H12881" s="835">
        <f t="shared" ref="H12881:H12944" si="484">EOMONTH(L12881,0)</f>
        <v>31</v>
      </c>
      <c r="AF12881" s="831" t="s">
        <v>11848</v>
      </c>
      <c r="AG12881" s="831" t="s">
        <v>2674</v>
      </c>
      <c r="AH12881" s="831" t="s">
        <v>65</v>
      </c>
      <c r="AI12881" s="831">
        <v>0</v>
      </c>
      <c r="AJ12881" s="835">
        <v>42035</v>
      </c>
      <c r="AK12881" s="831">
        <v>16060962</v>
      </c>
    </row>
    <row r="12882" spans="2:37">
      <c r="B12882" s="834" t="str">
        <f t="shared" si="483"/>
        <v>|||</v>
      </c>
      <c r="H12882" s="835">
        <f t="shared" si="484"/>
        <v>31</v>
      </c>
      <c r="AF12882" s="831" t="s">
        <v>11849</v>
      </c>
      <c r="AG12882" s="831" t="s">
        <v>2674</v>
      </c>
      <c r="AH12882" s="831" t="s">
        <v>89</v>
      </c>
      <c r="AI12882" s="831">
        <v>0</v>
      </c>
      <c r="AJ12882" s="835">
        <v>42035</v>
      </c>
      <c r="AK12882" s="831">
        <v>158062</v>
      </c>
    </row>
    <row r="12883" spans="2:37">
      <c r="B12883" s="834" t="str">
        <f t="shared" si="483"/>
        <v>|||</v>
      </c>
      <c r="H12883" s="835">
        <f t="shared" si="484"/>
        <v>31</v>
      </c>
      <c r="AF12883" s="831" t="s">
        <v>11850</v>
      </c>
      <c r="AG12883" s="831" t="s">
        <v>2674</v>
      </c>
      <c r="AH12883" s="831" t="s">
        <v>557</v>
      </c>
      <c r="AI12883" s="831">
        <v>0</v>
      </c>
      <c r="AJ12883" s="835">
        <v>42035</v>
      </c>
      <c r="AK12883" s="831">
        <v>180227</v>
      </c>
    </row>
    <row r="12884" spans="2:37">
      <c r="B12884" s="834" t="str">
        <f t="shared" si="483"/>
        <v>|||</v>
      </c>
      <c r="H12884" s="835">
        <f t="shared" si="484"/>
        <v>31</v>
      </c>
      <c r="AF12884" s="831" t="s">
        <v>11851</v>
      </c>
      <c r="AG12884" s="831" t="s">
        <v>2674</v>
      </c>
      <c r="AH12884" s="831" t="s">
        <v>29</v>
      </c>
      <c r="AI12884" s="831">
        <v>0</v>
      </c>
      <c r="AJ12884" s="835">
        <v>42035</v>
      </c>
      <c r="AK12884" s="831">
        <v>7401483</v>
      </c>
    </row>
    <row r="12885" spans="2:37">
      <c r="B12885" s="834" t="str">
        <f t="shared" si="483"/>
        <v>|||</v>
      </c>
      <c r="H12885" s="835">
        <f t="shared" si="484"/>
        <v>31</v>
      </c>
      <c r="AF12885" s="831" t="s">
        <v>11852</v>
      </c>
      <c r="AG12885" s="831" t="s">
        <v>2674</v>
      </c>
      <c r="AH12885" s="831" t="s">
        <v>2688</v>
      </c>
      <c r="AI12885" s="831">
        <v>0</v>
      </c>
      <c r="AJ12885" s="835">
        <v>42035</v>
      </c>
      <c r="AK12885" s="831">
        <v>5438707</v>
      </c>
    </row>
    <row r="12886" spans="2:37">
      <c r="B12886" s="834" t="str">
        <f t="shared" si="483"/>
        <v>|||</v>
      </c>
      <c r="H12886" s="835">
        <f t="shared" si="484"/>
        <v>31</v>
      </c>
      <c r="AF12886" s="831" t="s">
        <v>11853</v>
      </c>
      <c r="AG12886" s="831" t="s">
        <v>2674</v>
      </c>
      <c r="AH12886" s="831" t="s">
        <v>556</v>
      </c>
      <c r="AI12886" s="831">
        <v>0</v>
      </c>
      <c r="AJ12886" s="835">
        <v>42035</v>
      </c>
      <c r="AK12886" s="831">
        <v>11412135</v>
      </c>
    </row>
    <row r="12887" spans="2:37">
      <c r="B12887" s="834" t="str">
        <f t="shared" si="483"/>
        <v>|||</v>
      </c>
      <c r="H12887" s="835">
        <f t="shared" si="484"/>
        <v>31</v>
      </c>
      <c r="AF12887" s="831" t="s">
        <v>11854</v>
      </c>
      <c r="AG12887" s="831" t="s">
        <v>2674</v>
      </c>
      <c r="AH12887" s="831" t="s">
        <v>555</v>
      </c>
      <c r="AI12887" s="831">
        <v>0</v>
      </c>
      <c r="AJ12887" s="835">
        <v>42035</v>
      </c>
      <c r="AK12887" s="831">
        <v>579511362</v>
      </c>
    </row>
    <row r="12888" spans="2:37">
      <c r="B12888" s="834" t="str">
        <f t="shared" si="483"/>
        <v>|||</v>
      </c>
      <c r="H12888" s="835">
        <f t="shared" si="484"/>
        <v>31</v>
      </c>
      <c r="AF12888" s="831" t="s">
        <v>11855</v>
      </c>
      <c r="AG12888" s="831" t="s">
        <v>2674</v>
      </c>
      <c r="AH12888" s="831" t="s">
        <v>554</v>
      </c>
      <c r="AI12888" s="831">
        <v>0</v>
      </c>
      <c r="AJ12888" s="835">
        <v>42035</v>
      </c>
      <c r="AK12888" s="831">
        <v>622474260</v>
      </c>
    </row>
    <row r="12889" spans="2:37">
      <c r="B12889" s="834" t="str">
        <f t="shared" si="483"/>
        <v>|||</v>
      </c>
      <c r="H12889" s="835">
        <f t="shared" si="484"/>
        <v>31</v>
      </c>
      <c r="AF12889" s="831" t="s">
        <v>11856</v>
      </c>
      <c r="AG12889" s="831" t="s">
        <v>2674</v>
      </c>
      <c r="AH12889" s="831" t="s">
        <v>553</v>
      </c>
      <c r="AI12889" s="831">
        <v>0</v>
      </c>
      <c r="AJ12889" s="835">
        <v>42035</v>
      </c>
      <c r="AK12889" s="831">
        <v>0</v>
      </c>
    </row>
    <row r="12890" spans="2:37">
      <c r="B12890" s="834" t="str">
        <f t="shared" si="483"/>
        <v>|||</v>
      </c>
      <c r="H12890" s="835">
        <f t="shared" si="484"/>
        <v>31</v>
      </c>
      <c r="AF12890" s="831" t="s">
        <v>11857</v>
      </c>
      <c r="AG12890" s="831" t="s">
        <v>2674</v>
      </c>
      <c r="AH12890" s="831" t="s">
        <v>552</v>
      </c>
      <c r="AI12890" s="831">
        <v>0</v>
      </c>
      <c r="AJ12890" s="835">
        <v>42035</v>
      </c>
      <c r="AK12890" s="831">
        <v>0</v>
      </c>
    </row>
    <row r="12891" spans="2:37">
      <c r="B12891" s="834" t="str">
        <f t="shared" si="483"/>
        <v>|||</v>
      </c>
      <c r="H12891" s="835">
        <f t="shared" si="484"/>
        <v>31</v>
      </c>
      <c r="AF12891" s="831" t="s">
        <v>11858</v>
      </c>
      <c r="AG12891" s="831" t="s">
        <v>2674</v>
      </c>
      <c r="AH12891" s="831" t="s">
        <v>551</v>
      </c>
      <c r="AI12891" s="831">
        <v>0</v>
      </c>
      <c r="AJ12891" s="835">
        <v>42035</v>
      </c>
      <c r="AK12891" s="831">
        <v>5260060</v>
      </c>
    </row>
    <row r="12892" spans="2:37">
      <c r="B12892" s="834" t="str">
        <f t="shared" si="483"/>
        <v>|||</v>
      </c>
      <c r="H12892" s="835">
        <f t="shared" si="484"/>
        <v>31</v>
      </c>
      <c r="AF12892" s="831" t="s">
        <v>11859</v>
      </c>
      <c r="AG12892" s="831" t="s">
        <v>2674</v>
      </c>
      <c r="AH12892" s="831" t="s">
        <v>550</v>
      </c>
      <c r="AI12892" s="831">
        <v>0</v>
      </c>
      <c r="AJ12892" s="835">
        <v>42035</v>
      </c>
      <c r="AK12892" s="831">
        <v>145409000</v>
      </c>
    </row>
    <row r="12893" spans="2:37">
      <c r="B12893" s="834" t="str">
        <f t="shared" si="483"/>
        <v>|||</v>
      </c>
      <c r="H12893" s="835">
        <f t="shared" si="484"/>
        <v>31</v>
      </c>
      <c r="AF12893" s="831" t="s">
        <v>11860</v>
      </c>
      <c r="AG12893" s="831" t="s">
        <v>2674</v>
      </c>
      <c r="AH12893" s="831" t="s">
        <v>562</v>
      </c>
      <c r="AI12893" s="831">
        <v>0</v>
      </c>
      <c r="AJ12893" s="835">
        <v>42035</v>
      </c>
      <c r="AK12893" s="831">
        <v>0.78439999999999999</v>
      </c>
    </row>
    <row r="12894" spans="2:37">
      <c r="B12894" s="834" t="str">
        <f t="shared" si="483"/>
        <v>|||</v>
      </c>
      <c r="H12894" s="835">
        <f t="shared" si="484"/>
        <v>31</v>
      </c>
      <c r="AF12894" s="831" t="s">
        <v>11861</v>
      </c>
      <c r="AG12894" s="831" t="s">
        <v>2674</v>
      </c>
      <c r="AH12894" s="831" t="s">
        <v>2698</v>
      </c>
      <c r="AI12894" s="831">
        <v>0</v>
      </c>
      <c r="AJ12894" s="835">
        <v>42035</v>
      </c>
      <c r="AK12894" s="831">
        <v>0.78310000000000002</v>
      </c>
    </row>
    <row r="12895" spans="2:37">
      <c r="B12895" s="834" t="str">
        <f t="shared" si="483"/>
        <v>|||</v>
      </c>
      <c r="H12895" s="835">
        <f t="shared" si="484"/>
        <v>31</v>
      </c>
      <c r="AF12895" s="831" t="s">
        <v>11862</v>
      </c>
      <c r="AG12895" s="831" t="s">
        <v>2674</v>
      </c>
      <c r="AH12895" s="831" t="s">
        <v>560</v>
      </c>
      <c r="AI12895" s="831">
        <v>0</v>
      </c>
      <c r="AJ12895" s="835">
        <v>42035</v>
      </c>
      <c r="AK12895" s="831">
        <v>0.78439999999999999</v>
      </c>
    </row>
    <row r="12896" spans="2:37">
      <c r="B12896" s="834" t="str">
        <f t="shared" si="483"/>
        <v>|||</v>
      </c>
      <c r="H12896" s="835">
        <f t="shared" si="484"/>
        <v>31</v>
      </c>
      <c r="AF12896" s="831" t="s">
        <v>11863</v>
      </c>
      <c r="AG12896" s="831" t="s">
        <v>2674</v>
      </c>
      <c r="AH12896" s="831" t="s">
        <v>559</v>
      </c>
      <c r="AI12896" s="831">
        <v>0</v>
      </c>
      <c r="AJ12896" s="835">
        <v>42035</v>
      </c>
      <c r="AK12896" s="831">
        <v>0.78369583333333326</v>
      </c>
    </row>
    <row r="12897" spans="2:37">
      <c r="B12897" s="834" t="str">
        <f t="shared" si="483"/>
        <v>|||</v>
      </c>
      <c r="H12897" s="835">
        <f t="shared" si="484"/>
        <v>31</v>
      </c>
      <c r="AF12897" s="831" t="s">
        <v>11864</v>
      </c>
      <c r="AG12897" s="831" t="s">
        <v>2674</v>
      </c>
      <c r="AH12897" s="831" t="s">
        <v>568</v>
      </c>
      <c r="AI12897" s="831">
        <v>0</v>
      </c>
      <c r="AJ12897" s="835">
        <v>42035</v>
      </c>
      <c r="AK12897" s="831">
        <v>739343777.07692313</v>
      </c>
    </row>
    <row r="12898" spans="2:37">
      <c r="B12898" s="834" t="str">
        <f t="shared" si="483"/>
        <v>|||</v>
      </c>
      <c r="H12898" s="835">
        <f t="shared" si="484"/>
        <v>31</v>
      </c>
      <c r="AF12898" s="831" t="s">
        <v>11865</v>
      </c>
      <c r="AG12898" s="831" t="s">
        <v>2674</v>
      </c>
      <c r="AH12898" s="831" t="s">
        <v>569</v>
      </c>
      <c r="AI12898" s="831">
        <v>0</v>
      </c>
      <c r="AJ12898" s="835">
        <v>42035</v>
      </c>
      <c r="AK12898" s="831">
        <v>919552846</v>
      </c>
    </row>
    <row r="12899" spans="2:37">
      <c r="B12899" s="834" t="str">
        <f t="shared" si="483"/>
        <v>|||</v>
      </c>
      <c r="H12899" s="835">
        <f t="shared" si="484"/>
        <v>31</v>
      </c>
      <c r="AF12899" s="831" t="s">
        <v>11866</v>
      </c>
      <c r="AG12899" s="831" t="s">
        <v>2674</v>
      </c>
      <c r="AH12899" s="831" t="s">
        <v>570</v>
      </c>
      <c r="AI12899" s="831">
        <v>0</v>
      </c>
      <c r="AJ12899" s="835">
        <v>42035</v>
      </c>
      <c r="AK12899" s="831">
        <v>136809116.92538461</v>
      </c>
    </row>
    <row r="12900" spans="2:37">
      <c r="B12900" s="834" t="str">
        <f t="shared" si="483"/>
        <v>|||</v>
      </c>
      <c r="H12900" s="835">
        <f t="shared" si="484"/>
        <v>31</v>
      </c>
      <c r="AF12900" s="831" t="s">
        <v>11867</v>
      </c>
      <c r="AG12900" s="831" t="s">
        <v>2674</v>
      </c>
      <c r="AH12900" s="831" t="s">
        <v>571</v>
      </c>
      <c r="AI12900" s="831">
        <v>0</v>
      </c>
      <c r="AJ12900" s="835">
        <v>42035</v>
      </c>
      <c r="AK12900" s="831">
        <v>456907538.41669232</v>
      </c>
    </row>
    <row r="12901" spans="2:37">
      <c r="B12901" s="834" t="str">
        <f t="shared" si="483"/>
        <v>|||</v>
      </c>
      <c r="H12901" s="835">
        <f t="shared" si="484"/>
        <v>31</v>
      </c>
      <c r="AF12901" s="831" t="s">
        <v>11868</v>
      </c>
      <c r="AG12901" s="831" t="s">
        <v>2674</v>
      </c>
      <c r="AH12901" s="831" t="s">
        <v>573</v>
      </c>
      <c r="AI12901" s="831">
        <v>0</v>
      </c>
      <c r="AJ12901" s="835">
        <v>42035</v>
      </c>
      <c r="AK12901" s="831">
        <v>1043409621.5</v>
      </c>
    </row>
    <row r="12902" spans="2:37">
      <c r="B12902" s="834" t="str">
        <f t="shared" si="483"/>
        <v>|||</v>
      </c>
      <c r="H12902" s="835">
        <f t="shared" si="484"/>
        <v>31</v>
      </c>
      <c r="AF12902" s="831" t="s">
        <v>11869</v>
      </c>
      <c r="AG12902" s="831" t="s">
        <v>2674</v>
      </c>
      <c r="AH12902" s="831" t="s">
        <v>574</v>
      </c>
      <c r="AI12902" s="831">
        <v>0</v>
      </c>
      <c r="AJ12902" s="835">
        <v>42035</v>
      </c>
      <c r="AK12902" s="831">
        <v>829336654.5</v>
      </c>
    </row>
    <row r="12903" spans="2:37">
      <c r="B12903" s="834" t="str">
        <f t="shared" si="483"/>
        <v>|||</v>
      </c>
      <c r="H12903" s="835">
        <f t="shared" si="484"/>
        <v>31</v>
      </c>
      <c r="AF12903" s="831" t="s">
        <v>11870</v>
      </c>
      <c r="AG12903" s="831" t="s">
        <v>2674</v>
      </c>
      <c r="AH12903" s="831" t="s">
        <v>575</v>
      </c>
      <c r="AI12903" s="831">
        <v>0</v>
      </c>
      <c r="AJ12903" s="835">
        <v>42035</v>
      </c>
      <c r="AK12903" s="831">
        <v>147134612</v>
      </c>
    </row>
    <row r="12904" spans="2:37">
      <c r="B12904" s="834" t="str">
        <f t="shared" si="483"/>
        <v>|||</v>
      </c>
      <c r="H12904" s="835">
        <f t="shared" si="484"/>
        <v>31</v>
      </c>
      <c r="AF12904" s="831" t="s">
        <v>11871</v>
      </c>
      <c r="AG12904" s="831" t="s">
        <v>2674</v>
      </c>
      <c r="AH12904" s="831" t="s">
        <v>576</v>
      </c>
      <c r="AI12904" s="831">
        <v>0</v>
      </c>
      <c r="AJ12904" s="835">
        <v>42035</v>
      </c>
      <c r="AK12904" s="831">
        <v>535265337</v>
      </c>
    </row>
    <row r="12905" spans="2:37">
      <c r="B12905" s="834" t="str">
        <f t="shared" si="483"/>
        <v>|||</v>
      </c>
      <c r="H12905" s="835">
        <f t="shared" si="484"/>
        <v>31</v>
      </c>
      <c r="AF12905" s="831" t="s">
        <v>11872</v>
      </c>
      <c r="AG12905" s="831" t="s">
        <v>2674</v>
      </c>
      <c r="AH12905" s="831" t="s">
        <v>572</v>
      </c>
      <c r="AI12905" s="831">
        <v>0</v>
      </c>
      <c r="AJ12905" s="835">
        <v>42035</v>
      </c>
      <c r="AK12905" s="831">
        <v>43193117</v>
      </c>
    </row>
    <row r="12906" spans="2:37">
      <c r="B12906" s="834" t="str">
        <f t="shared" si="483"/>
        <v>|||</v>
      </c>
      <c r="H12906" s="835">
        <f t="shared" si="484"/>
        <v>31</v>
      </c>
      <c r="AF12906" s="831" t="s">
        <v>11873</v>
      </c>
      <c r="AG12906" s="831" t="s">
        <v>2674</v>
      </c>
      <c r="AH12906" s="831" t="s">
        <v>577</v>
      </c>
      <c r="AI12906" s="831">
        <v>0</v>
      </c>
      <c r="AJ12906" s="835">
        <v>42035</v>
      </c>
      <c r="AK12906" s="831">
        <v>172605174</v>
      </c>
    </row>
    <row r="12907" spans="2:37">
      <c r="B12907" s="834" t="str">
        <f t="shared" si="483"/>
        <v>|||</v>
      </c>
      <c r="H12907" s="835">
        <f t="shared" si="484"/>
        <v>31</v>
      </c>
      <c r="AF12907" s="831" t="s">
        <v>11874</v>
      </c>
      <c r="AG12907" s="831" t="s">
        <v>2674</v>
      </c>
      <c r="AH12907" s="831" t="s">
        <v>3042</v>
      </c>
      <c r="AI12907" s="831">
        <v>0</v>
      </c>
      <c r="AJ12907" s="835">
        <v>42035</v>
      </c>
      <c r="AK12907" s="831">
        <v>-52806938</v>
      </c>
    </row>
    <row r="12908" spans="2:37">
      <c r="B12908" s="834" t="str">
        <f t="shared" si="483"/>
        <v>|||</v>
      </c>
      <c r="H12908" s="835">
        <f t="shared" si="484"/>
        <v>31</v>
      </c>
      <c r="AF12908" s="831" t="s">
        <v>11875</v>
      </c>
      <c r="AG12908" s="831" t="s">
        <v>2674</v>
      </c>
      <c r="AH12908" s="831" t="s">
        <v>3044</v>
      </c>
      <c r="AI12908" s="831">
        <v>0</v>
      </c>
      <c r="AJ12908" s="835">
        <v>42035</v>
      </c>
      <c r="AK12908" s="831">
        <v>3134380</v>
      </c>
    </row>
    <row r="12909" spans="2:37">
      <c r="B12909" s="834" t="str">
        <f t="shared" si="483"/>
        <v>|||</v>
      </c>
      <c r="H12909" s="835">
        <f t="shared" si="484"/>
        <v>31</v>
      </c>
      <c r="AF12909" s="831" t="s">
        <v>11876</v>
      </c>
      <c r="AG12909" s="831" t="s">
        <v>2674</v>
      </c>
      <c r="AH12909" s="831" t="s">
        <v>580</v>
      </c>
      <c r="AI12909" s="831">
        <v>0</v>
      </c>
      <c r="AJ12909" s="835">
        <v>42035</v>
      </c>
      <c r="AK12909" s="831">
        <v>-79238495</v>
      </c>
    </row>
    <row r="12910" spans="2:37">
      <c r="B12910" s="834" t="str">
        <f t="shared" si="483"/>
        <v>|||</v>
      </c>
      <c r="H12910" s="835">
        <f t="shared" si="484"/>
        <v>31</v>
      </c>
      <c r="AF12910" s="831" t="s">
        <v>11877</v>
      </c>
      <c r="AG12910" s="831" t="s">
        <v>2674</v>
      </c>
      <c r="AH12910" s="831" t="s">
        <v>581</v>
      </c>
      <c r="AI12910" s="831">
        <v>0</v>
      </c>
      <c r="AJ12910" s="835">
        <v>42035</v>
      </c>
      <c r="AK12910" s="831">
        <v>9801179</v>
      </c>
    </row>
    <row r="12911" spans="2:37">
      <c r="B12911" s="834" t="str">
        <f t="shared" si="483"/>
        <v>|||</v>
      </c>
      <c r="H12911" s="835">
        <f t="shared" si="484"/>
        <v>31</v>
      </c>
      <c r="AF12911" s="831" t="s">
        <v>11878</v>
      </c>
      <c r="AG12911" s="831" t="s">
        <v>2674</v>
      </c>
      <c r="AH12911" s="831" t="s">
        <v>105</v>
      </c>
      <c r="AI12911" s="831">
        <v>0</v>
      </c>
      <c r="AJ12911" s="835">
        <v>42035</v>
      </c>
      <c r="AK12911" s="831">
        <v>538185674</v>
      </c>
    </row>
    <row r="12912" spans="2:37">
      <c r="B12912" s="834" t="str">
        <f t="shared" si="483"/>
        <v>|||</v>
      </c>
      <c r="H12912" s="835">
        <f t="shared" si="484"/>
        <v>31</v>
      </c>
      <c r="AF12912" s="831" t="s">
        <v>11879</v>
      </c>
      <c r="AG12912" s="831" t="s">
        <v>2674</v>
      </c>
      <c r="AH12912" s="831" t="s">
        <v>3049</v>
      </c>
      <c r="AI12912" s="831">
        <v>0</v>
      </c>
      <c r="AJ12912" s="835">
        <v>42035</v>
      </c>
      <c r="AK12912" s="831">
        <v>868832996</v>
      </c>
    </row>
    <row r="12913" spans="2:37">
      <c r="B12913" s="834" t="str">
        <f t="shared" si="483"/>
        <v>|||</v>
      </c>
      <c r="H12913" s="835">
        <f t="shared" si="484"/>
        <v>31</v>
      </c>
      <c r="AF12913" s="831" t="s">
        <v>11880</v>
      </c>
      <c r="AG12913" s="831" t="s">
        <v>2674</v>
      </c>
      <c r="AH12913" s="831" t="s">
        <v>103</v>
      </c>
      <c r="AI12913" s="831">
        <v>0</v>
      </c>
      <c r="AJ12913" s="835">
        <v>42035</v>
      </c>
      <c r="AK12913" s="831">
        <v>330647322</v>
      </c>
    </row>
    <row r="12914" spans="2:37">
      <c r="B12914" s="834" t="str">
        <f t="shared" si="483"/>
        <v>|||</v>
      </c>
      <c r="H12914" s="835">
        <f t="shared" si="484"/>
        <v>31</v>
      </c>
      <c r="AF12914" s="831" t="s">
        <v>11881</v>
      </c>
      <c r="AG12914" s="831" t="s">
        <v>2674</v>
      </c>
      <c r="AH12914" s="831" t="s">
        <v>182</v>
      </c>
      <c r="AI12914" s="831">
        <v>0</v>
      </c>
      <c r="AJ12914" s="835">
        <v>42035</v>
      </c>
      <c r="AK12914" s="831">
        <v>79397220</v>
      </c>
    </row>
    <row r="12915" spans="2:37">
      <c r="B12915" s="834" t="str">
        <f t="shared" si="483"/>
        <v>|||</v>
      </c>
      <c r="H12915" s="835">
        <f t="shared" si="484"/>
        <v>31</v>
      </c>
      <c r="AF12915" s="831" t="s">
        <v>11882</v>
      </c>
      <c r="AG12915" s="831" t="s">
        <v>2674</v>
      </c>
      <c r="AH12915" s="831" t="s">
        <v>6600</v>
      </c>
      <c r="AI12915" s="831">
        <v>0</v>
      </c>
      <c r="AJ12915" s="835">
        <v>42035</v>
      </c>
      <c r="AK12915" s="831">
        <v>43193117</v>
      </c>
    </row>
    <row r="12916" spans="2:37">
      <c r="B12916" s="834" t="str">
        <f t="shared" si="483"/>
        <v>|||</v>
      </c>
      <c r="H12916" s="835">
        <f t="shared" si="484"/>
        <v>31</v>
      </c>
      <c r="AF12916" s="831" t="s">
        <v>11883</v>
      </c>
      <c r="AG12916" s="831" t="s">
        <v>2674</v>
      </c>
      <c r="AH12916" s="831" t="s">
        <v>6602</v>
      </c>
      <c r="AI12916" s="831">
        <v>0</v>
      </c>
      <c r="AJ12916" s="835">
        <v>42035</v>
      </c>
      <c r="AK12916" s="831">
        <v>3451938</v>
      </c>
    </row>
    <row r="12917" spans="2:37">
      <c r="B12917" s="834" t="str">
        <f t="shared" si="483"/>
        <v>|||</v>
      </c>
      <c r="H12917" s="835">
        <f t="shared" si="484"/>
        <v>31</v>
      </c>
      <c r="AF12917" s="831" t="s">
        <v>11884</v>
      </c>
      <c r="AG12917" s="831" t="s">
        <v>2674</v>
      </c>
      <c r="AH12917" s="831" t="s">
        <v>650</v>
      </c>
      <c r="AI12917" s="831">
        <v>0</v>
      </c>
      <c r="AJ12917" s="835">
        <v>42035</v>
      </c>
      <c r="AK12917" s="831">
        <v>300938254.07461542</v>
      </c>
    </row>
    <row r="12918" spans="2:37">
      <c r="B12918" s="834" t="str">
        <f t="shared" si="483"/>
        <v>|||</v>
      </c>
      <c r="H12918" s="835">
        <f t="shared" si="484"/>
        <v>31</v>
      </c>
      <c r="AF12918" s="831" t="s">
        <v>11885</v>
      </c>
      <c r="AG12918" s="831" t="s">
        <v>2674</v>
      </c>
      <c r="AH12918" s="831" t="s">
        <v>655</v>
      </c>
      <c r="AI12918" s="831">
        <v>0</v>
      </c>
      <c r="AJ12918" s="835">
        <v>42035</v>
      </c>
      <c r="AK12918" s="831">
        <v>4403089</v>
      </c>
    </row>
    <row r="12919" spans="2:37">
      <c r="B12919" s="834" t="str">
        <f t="shared" si="483"/>
        <v>|||</v>
      </c>
      <c r="H12919" s="835">
        <f t="shared" si="484"/>
        <v>31</v>
      </c>
      <c r="AF12919" s="831" t="s">
        <v>11886</v>
      </c>
      <c r="AG12919" s="831" t="s">
        <v>2674</v>
      </c>
      <c r="AH12919" s="831" t="s">
        <v>546</v>
      </c>
      <c r="AI12919" s="831">
        <v>0</v>
      </c>
      <c r="AJ12919" s="835">
        <v>42063</v>
      </c>
      <c r="AK12919" s="831">
        <v>965858339</v>
      </c>
    </row>
    <row r="12920" spans="2:37">
      <c r="B12920" s="834" t="str">
        <f t="shared" si="483"/>
        <v>|||</v>
      </c>
      <c r="H12920" s="835">
        <f t="shared" si="484"/>
        <v>31</v>
      </c>
      <c r="AF12920" s="831" t="s">
        <v>11887</v>
      </c>
      <c r="AG12920" s="831" t="s">
        <v>2674</v>
      </c>
      <c r="AH12920" s="831" t="s">
        <v>370</v>
      </c>
      <c r="AI12920" s="831">
        <v>0</v>
      </c>
      <c r="AJ12920" s="835">
        <v>42063</v>
      </c>
      <c r="AK12920" s="831">
        <v>1253581727</v>
      </c>
    </row>
    <row r="12921" spans="2:37">
      <c r="B12921" s="834" t="str">
        <f t="shared" si="483"/>
        <v>|||</v>
      </c>
      <c r="H12921" s="835">
        <f t="shared" si="484"/>
        <v>31</v>
      </c>
      <c r="AF12921" s="831" t="s">
        <v>11888</v>
      </c>
      <c r="AG12921" s="831" t="s">
        <v>2674</v>
      </c>
      <c r="AH12921" s="831" t="s">
        <v>126</v>
      </c>
      <c r="AI12921" s="831">
        <v>0</v>
      </c>
      <c r="AJ12921" s="835">
        <v>42063</v>
      </c>
      <c r="AK12921" s="831">
        <v>143500530</v>
      </c>
    </row>
    <row r="12922" spans="2:37">
      <c r="B12922" s="834" t="str">
        <f t="shared" si="483"/>
        <v>|||</v>
      </c>
      <c r="H12922" s="835">
        <f t="shared" si="484"/>
        <v>31</v>
      </c>
      <c r="AF12922" s="831" t="s">
        <v>11889</v>
      </c>
      <c r="AG12922" s="831" t="s">
        <v>2674</v>
      </c>
      <c r="AH12922" s="831" t="s">
        <v>268</v>
      </c>
      <c r="AI12922" s="831">
        <v>0</v>
      </c>
      <c r="AJ12922" s="835">
        <v>42063</v>
      </c>
      <c r="AK12922" s="831">
        <v>-1907756</v>
      </c>
    </row>
    <row r="12923" spans="2:37">
      <c r="B12923" s="834" t="str">
        <f t="shared" si="483"/>
        <v>|||</v>
      </c>
      <c r="H12923" s="835">
        <f t="shared" si="484"/>
        <v>31</v>
      </c>
      <c r="AF12923" s="831" t="s">
        <v>11890</v>
      </c>
      <c r="AG12923" s="831" t="s">
        <v>2674</v>
      </c>
      <c r="AH12923" s="831" t="s">
        <v>547</v>
      </c>
      <c r="AI12923" s="831">
        <v>0</v>
      </c>
      <c r="AJ12923" s="835">
        <v>42063</v>
      </c>
      <c r="AK12923" s="831">
        <v>1044609243</v>
      </c>
    </row>
    <row r="12924" spans="2:37">
      <c r="B12924" s="834" t="str">
        <f t="shared" si="483"/>
        <v>|||</v>
      </c>
      <c r="H12924" s="835">
        <f t="shared" si="484"/>
        <v>31</v>
      </c>
      <c r="AF12924" s="831" t="s">
        <v>11891</v>
      </c>
      <c r="AG12924" s="831" t="s">
        <v>2674</v>
      </c>
      <c r="AH12924" s="831" t="s">
        <v>548</v>
      </c>
      <c r="AI12924" s="831">
        <v>0</v>
      </c>
      <c r="AJ12924" s="835">
        <v>42063</v>
      </c>
      <c r="AK12924" s="831">
        <v>148860224</v>
      </c>
    </row>
    <row r="12925" spans="2:37">
      <c r="B12925" s="834" t="str">
        <f t="shared" si="483"/>
        <v>|||</v>
      </c>
      <c r="H12925" s="835">
        <f t="shared" si="484"/>
        <v>31</v>
      </c>
      <c r="AF12925" s="831" t="s">
        <v>11892</v>
      </c>
      <c r="AG12925" s="831" t="s">
        <v>2674</v>
      </c>
      <c r="AH12925" s="831" t="s">
        <v>549</v>
      </c>
      <c r="AI12925" s="831">
        <v>0</v>
      </c>
      <c r="AJ12925" s="835">
        <v>42063</v>
      </c>
      <c r="AK12925" s="831">
        <v>652795035</v>
      </c>
    </row>
    <row r="12926" spans="2:37">
      <c r="B12926" s="834" t="str">
        <f t="shared" si="483"/>
        <v>|||</v>
      </c>
      <c r="H12926" s="835">
        <f t="shared" si="484"/>
        <v>31</v>
      </c>
      <c r="AF12926" s="831" t="s">
        <v>11893</v>
      </c>
      <c r="AG12926" s="831" t="s">
        <v>2674</v>
      </c>
      <c r="AH12926" s="831" t="s">
        <v>192</v>
      </c>
      <c r="AI12926" s="831">
        <v>0</v>
      </c>
      <c r="AJ12926" s="835">
        <v>42063</v>
      </c>
      <c r="AK12926" s="831">
        <v>-13765211</v>
      </c>
    </row>
    <row r="12927" spans="2:37">
      <c r="B12927" s="834" t="str">
        <f t="shared" si="483"/>
        <v>|||</v>
      </c>
      <c r="H12927" s="835">
        <f t="shared" si="484"/>
        <v>31</v>
      </c>
      <c r="AF12927" s="831" t="s">
        <v>11894</v>
      </c>
      <c r="AG12927" s="831" t="s">
        <v>2674</v>
      </c>
      <c r="AH12927" s="831" t="s">
        <v>558</v>
      </c>
      <c r="AI12927" s="831">
        <v>0</v>
      </c>
      <c r="AJ12927" s="835">
        <v>42063</v>
      </c>
      <c r="AK12927" s="831">
        <v>1110081197</v>
      </c>
    </row>
    <row r="12928" spans="2:37">
      <c r="B12928" s="834" t="str">
        <f t="shared" si="483"/>
        <v>|||</v>
      </c>
      <c r="H12928" s="835">
        <f t="shared" si="484"/>
        <v>31</v>
      </c>
      <c r="AF12928" s="831" t="s">
        <v>11895</v>
      </c>
      <c r="AG12928" s="831" t="s">
        <v>2674</v>
      </c>
      <c r="AH12928" s="831" t="s">
        <v>65</v>
      </c>
      <c r="AI12928" s="831">
        <v>0</v>
      </c>
      <c r="AJ12928" s="835">
        <v>42063</v>
      </c>
      <c r="AK12928" s="831">
        <v>31017741</v>
      </c>
    </row>
    <row r="12929" spans="2:37">
      <c r="B12929" s="834" t="str">
        <f t="shared" si="483"/>
        <v>|||</v>
      </c>
      <c r="H12929" s="835">
        <f t="shared" si="484"/>
        <v>31</v>
      </c>
      <c r="AF12929" s="831" t="s">
        <v>11896</v>
      </c>
      <c r="AG12929" s="831" t="s">
        <v>2674</v>
      </c>
      <c r="AH12929" s="831" t="s">
        <v>89</v>
      </c>
      <c r="AI12929" s="831">
        <v>0</v>
      </c>
      <c r="AJ12929" s="835">
        <v>42063</v>
      </c>
      <c r="AK12929" s="831">
        <v>157073</v>
      </c>
    </row>
    <row r="12930" spans="2:37">
      <c r="B12930" s="834" t="str">
        <f t="shared" si="483"/>
        <v>|||</v>
      </c>
      <c r="H12930" s="835">
        <f t="shared" si="484"/>
        <v>31</v>
      </c>
      <c r="AF12930" s="831" t="s">
        <v>11897</v>
      </c>
      <c r="AG12930" s="831" t="s">
        <v>2674</v>
      </c>
      <c r="AH12930" s="831" t="s">
        <v>557</v>
      </c>
      <c r="AI12930" s="831">
        <v>0</v>
      </c>
      <c r="AJ12930" s="835">
        <v>42063</v>
      </c>
      <c r="AK12930" s="831">
        <v>179494</v>
      </c>
    </row>
    <row r="12931" spans="2:37">
      <c r="B12931" s="834" t="str">
        <f t="shared" si="483"/>
        <v>|||</v>
      </c>
      <c r="H12931" s="835">
        <f t="shared" si="484"/>
        <v>31</v>
      </c>
      <c r="AF12931" s="831" t="s">
        <v>11898</v>
      </c>
      <c r="AG12931" s="831" t="s">
        <v>2674</v>
      </c>
      <c r="AH12931" s="831" t="s">
        <v>29</v>
      </c>
      <c r="AI12931" s="831">
        <v>0</v>
      </c>
      <c r="AJ12931" s="835">
        <v>42063</v>
      </c>
      <c r="AK12931" s="831">
        <v>8683621</v>
      </c>
    </row>
    <row r="12932" spans="2:37">
      <c r="B12932" s="834" t="str">
        <f t="shared" si="483"/>
        <v>|||</v>
      </c>
      <c r="H12932" s="835">
        <f t="shared" si="484"/>
        <v>31</v>
      </c>
      <c r="AF12932" s="831" t="s">
        <v>11899</v>
      </c>
      <c r="AG12932" s="831" t="s">
        <v>2674</v>
      </c>
      <c r="AH12932" s="831" t="s">
        <v>2688</v>
      </c>
      <c r="AI12932" s="831">
        <v>0</v>
      </c>
      <c r="AJ12932" s="835">
        <v>42063</v>
      </c>
      <c r="AK12932" s="831">
        <v>11508492</v>
      </c>
    </row>
    <row r="12933" spans="2:37">
      <c r="B12933" s="834" t="str">
        <f t="shared" si="483"/>
        <v>|||</v>
      </c>
      <c r="H12933" s="835">
        <f t="shared" si="484"/>
        <v>31</v>
      </c>
      <c r="AF12933" s="831" t="s">
        <v>11900</v>
      </c>
      <c r="AG12933" s="831" t="s">
        <v>2674</v>
      </c>
      <c r="AH12933" s="831" t="s">
        <v>556</v>
      </c>
      <c r="AI12933" s="831">
        <v>0</v>
      </c>
      <c r="AJ12933" s="835">
        <v>42063</v>
      </c>
      <c r="AK12933" s="831">
        <v>11412135</v>
      </c>
    </row>
    <row r="12934" spans="2:37">
      <c r="B12934" s="834" t="str">
        <f t="shared" si="483"/>
        <v>|||</v>
      </c>
      <c r="H12934" s="835">
        <f t="shared" si="484"/>
        <v>31</v>
      </c>
      <c r="AF12934" s="831" t="s">
        <v>11901</v>
      </c>
      <c r="AG12934" s="831" t="s">
        <v>2674</v>
      </c>
      <c r="AH12934" s="831" t="s">
        <v>555</v>
      </c>
      <c r="AI12934" s="831">
        <v>0</v>
      </c>
      <c r="AJ12934" s="835">
        <v>42063</v>
      </c>
      <c r="AK12934" s="831">
        <v>771141919</v>
      </c>
    </row>
    <row r="12935" spans="2:37">
      <c r="B12935" s="834" t="str">
        <f t="shared" si="483"/>
        <v>|||</v>
      </c>
      <c r="H12935" s="835">
        <f t="shared" si="484"/>
        <v>31</v>
      </c>
      <c r="AF12935" s="831" t="s">
        <v>11902</v>
      </c>
      <c r="AG12935" s="831" t="s">
        <v>2674</v>
      </c>
      <c r="AH12935" s="831" t="s">
        <v>554</v>
      </c>
      <c r="AI12935" s="831">
        <v>0</v>
      </c>
      <c r="AJ12935" s="835">
        <v>42063</v>
      </c>
      <c r="AK12935" s="831">
        <v>856164850</v>
      </c>
    </row>
    <row r="12936" spans="2:37">
      <c r="B12936" s="834" t="str">
        <f t="shared" si="483"/>
        <v>|||</v>
      </c>
      <c r="H12936" s="835">
        <f t="shared" si="484"/>
        <v>31</v>
      </c>
      <c r="AF12936" s="831" t="s">
        <v>11903</v>
      </c>
      <c r="AG12936" s="831" t="s">
        <v>2674</v>
      </c>
      <c r="AH12936" s="831" t="s">
        <v>553</v>
      </c>
      <c r="AI12936" s="831">
        <v>0</v>
      </c>
      <c r="AJ12936" s="835">
        <v>42063</v>
      </c>
      <c r="AK12936" s="831">
        <v>92382400</v>
      </c>
    </row>
    <row r="12937" spans="2:37">
      <c r="B12937" s="834" t="str">
        <f t="shared" si="483"/>
        <v>|||</v>
      </c>
      <c r="H12937" s="835">
        <f t="shared" si="484"/>
        <v>31</v>
      </c>
      <c r="AF12937" s="831" t="s">
        <v>11904</v>
      </c>
      <c r="AG12937" s="831" t="s">
        <v>2674</v>
      </c>
      <c r="AH12937" s="831" t="s">
        <v>552</v>
      </c>
      <c r="AI12937" s="831">
        <v>0</v>
      </c>
      <c r="AJ12937" s="835">
        <v>42063</v>
      </c>
      <c r="AK12937" s="831">
        <v>0</v>
      </c>
    </row>
    <row r="12938" spans="2:37">
      <c r="B12938" s="834" t="str">
        <f t="shared" si="483"/>
        <v>|||</v>
      </c>
      <c r="H12938" s="835">
        <f t="shared" si="484"/>
        <v>31</v>
      </c>
      <c r="AF12938" s="831" t="s">
        <v>11905</v>
      </c>
      <c r="AG12938" s="831" t="s">
        <v>2674</v>
      </c>
      <c r="AH12938" s="831" t="s">
        <v>551</v>
      </c>
      <c r="AI12938" s="831">
        <v>0</v>
      </c>
      <c r="AJ12938" s="835">
        <v>42063</v>
      </c>
      <c r="AK12938" s="831">
        <v>7487687</v>
      </c>
    </row>
    <row r="12939" spans="2:37">
      <c r="B12939" s="834" t="str">
        <f t="shared" si="483"/>
        <v>|||</v>
      </c>
      <c r="H12939" s="835">
        <f t="shared" si="484"/>
        <v>31</v>
      </c>
      <c r="AF12939" s="831" t="s">
        <v>11906</v>
      </c>
      <c r="AG12939" s="831" t="s">
        <v>2674</v>
      </c>
      <c r="AH12939" s="831" t="s">
        <v>550</v>
      </c>
      <c r="AI12939" s="831">
        <v>0</v>
      </c>
      <c r="AJ12939" s="835">
        <v>42063</v>
      </c>
      <c r="AK12939" s="831">
        <v>148860224</v>
      </c>
    </row>
    <row r="12940" spans="2:37">
      <c r="B12940" s="834" t="str">
        <f t="shared" si="483"/>
        <v>|||</v>
      </c>
      <c r="H12940" s="835">
        <f t="shared" si="484"/>
        <v>31</v>
      </c>
      <c r="AF12940" s="831" t="s">
        <v>11907</v>
      </c>
      <c r="AG12940" s="831" t="s">
        <v>2674</v>
      </c>
      <c r="AH12940" s="831" t="s">
        <v>562</v>
      </c>
      <c r="AI12940" s="831">
        <v>0</v>
      </c>
      <c r="AJ12940" s="835">
        <v>42063</v>
      </c>
      <c r="AK12940" s="831">
        <v>1.04575</v>
      </c>
    </row>
    <row r="12941" spans="2:37">
      <c r="B12941" s="834" t="str">
        <f t="shared" si="483"/>
        <v>|||</v>
      </c>
      <c r="H12941" s="835">
        <f t="shared" si="484"/>
        <v>31</v>
      </c>
      <c r="AF12941" s="831" t="s">
        <v>11908</v>
      </c>
      <c r="AG12941" s="831" t="s">
        <v>2674</v>
      </c>
      <c r="AH12941" s="831" t="s">
        <v>2698</v>
      </c>
      <c r="AI12941" s="831">
        <v>0</v>
      </c>
      <c r="AJ12941" s="835">
        <v>42063</v>
      </c>
      <c r="AK12941" s="831">
        <v>0.78439999999999999</v>
      </c>
    </row>
    <row r="12942" spans="2:37">
      <c r="B12942" s="834" t="str">
        <f t="shared" si="483"/>
        <v>|||</v>
      </c>
      <c r="H12942" s="835">
        <f t="shared" si="484"/>
        <v>31</v>
      </c>
      <c r="AF12942" s="831" t="s">
        <v>11909</v>
      </c>
      <c r="AG12942" s="831" t="s">
        <v>2674</v>
      </c>
      <c r="AH12942" s="831" t="s">
        <v>560</v>
      </c>
      <c r="AI12942" s="831">
        <v>0</v>
      </c>
      <c r="AJ12942" s="835">
        <v>42063</v>
      </c>
      <c r="AK12942" s="831">
        <v>0.91507499999999997</v>
      </c>
    </row>
    <row r="12943" spans="2:37">
      <c r="B12943" s="834" t="str">
        <f t="shared" si="483"/>
        <v>|||</v>
      </c>
      <c r="H12943" s="835">
        <f t="shared" si="484"/>
        <v>31</v>
      </c>
      <c r="AF12943" s="831" t="s">
        <v>11910</v>
      </c>
      <c r="AG12943" s="831" t="s">
        <v>2674</v>
      </c>
      <c r="AH12943" s="831" t="s">
        <v>559</v>
      </c>
      <c r="AI12943" s="831">
        <v>0</v>
      </c>
      <c r="AJ12943" s="835">
        <v>42063</v>
      </c>
      <c r="AK12943" s="831">
        <v>0.80552083333333313</v>
      </c>
    </row>
    <row r="12944" spans="2:37">
      <c r="B12944" s="834" t="str">
        <f t="shared" si="483"/>
        <v>|||</v>
      </c>
      <c r="H12944" s="835">
        <f t="shared" si="484"/>
        <v>31</v>
      </c>
      <c r="AF12944" s="831" t="s">
        <v>11911</v>
      </c>
      <c r="AG12944" s="831" t="s">
        <v>2674</v>
      </c>
      <c r="AH12944" s="831" t="s">
        <v>568</v>
      </c>
      <c r="AI12944" s="831">
        <v>0</v>
      </c>
      <c r="AJ12944" s="835">
        <v>42063</v>
      </c>
      <c r="AK12944" s="831">
        <v>764746840.38461542</v>
      </c>
    </row>
    <row r="12945" spans="2:37">
      <c r="B12945" s="834" t="str">
        <f t="shared" ref="B12945:B13008" si="485">C12945&amp;"|"&amp;D12945&amp;"|"&amp;E12945&amp;"|"&amp;F12945</f>
        <v>|||</v>
      </c>
      <c r="H12945" s="835">
        <f t="shared" ref="H12945:H13008" si="486">EOMONTH(L12945,0)</f>
        <v>31</v>
      </c>
      <c r="AF12945" s="831" t="s">
        <v>11912</v>
      </c>
      <c r="AG12945" s="831" t="s">
        <v>2674</v>
      </c>
      <c r="AH12945" s="831" t="s">
        <v>569</v>
      </c>
      <c r="AI12945" s="831">
        <v>0</v>
      </c>
      <c r="AJ12945" s="835">
        <v>42063</v>
      </c>
      <c r="AK12945" s="831">
        <v>956157596</v>
      </c>
    </row>
    <row r="12946" spans="2:37">
      <c r="B12946" s="834" t="str">
        <f t="shared" si="485"/>
        <v>|||</v>
      </c>
      <c r="H12946" s="835">
        <f t="shared" si="486"/>
        <v>31</v>
      </c>
      <c r="AF12946" s="831" t="s">
        <v>11913</v>
      </c>
      <c r="AG12946" s="831" t="s">
        <v>2674</v>
      </c>
      <c r="AH12946" s="831" t="s">
        <v>570</v>
      </c>
      <c r="AI12946" s="831">
        <v>0</v>
      </c>
      <c r="AJ12946" s="835">
        <v>42063</v>
      </c>
      <c r="AK12946" s="831">
        <v>138839504.15615386</v>
      </c>
    </row>
    <row r="12947" spans="2:37">
      <c r="B12947" s="834" t="str">
        <f t="shared" si="485"/>
        <v>|||</v>
      </c>
      <c r="H12947" s="835">
        <f t="shared" si="486"/>
        <v>31</v>
      </c>
      <c r="AF12947" s="831" t="s">
        <v>11914</v>
      </c>
      <c r="AG12947" s="831" t="s">
        <v>2674</v>
      </c>
      <c r="AH12947" s="831" t="s">
        <v>571</v>
      </c>
      <c r="AI12947" s="831">
        <v>0</v>
      </c>
      <c r="AJ12947" s="835">
        <v>42063</v>
      </c>
      <c r="AK12947" s="831">
        <v>482774872.10899997</v>
      </c>
    </row>
    <row r="12948" spans="2:37">
      <c r="B12948" s="834" t="str">
        <f t="shared" si="485"/>
        <v>|||</v>
      </c>
      <c r="H12948" s="835">
        <f t="shared" si="486"/>
        <v>31</v>
      </c>
      <c r="AF12948" s="831" t="s">
        <v>11915</v>
      </c>
      <c r="AG12948" s="831" t="s">
        <v>2674</v>
      </c>
      <c r="AH12948" s="831" t="s">
        <v>573</v>
      </c>
      <c r="AI12948" s="831">
        <v>0</v>
      </c>
      <c r="AJ12948" s="835">
        <v>42063</v>
      </c>
      <c r="AK12948" s="831">
        <v>1113466990</v>
      </c>
    </row>
    <row r="12949" spans="2:37">
      <c r="B12949" s="834" t="str">
        <f t="shared" si="485"/>
        <v>|||</v>
      </c>
      <c r="H12949" s="835">
        <f t="shared" si="486"/>
        <v>31</v>
      </c>
      <c r="AF12949" s="831" t="s">
        <v>11916</v>
      </c>
      <c r="AG12949" s="831" t="s">
        <v>2674</v>
      </c>
      <c r="AH12949" s="831" t="s">
        <v>574</v>
      </c>
      <c r="AI12949" s="831">
        <v>0</v>
      </c>
      <c r="AJ12949" s="835">
        <v>42063</v>
      </c>
      <c r="AK12949" s="831">
        <v>874843882.66666663</v>
      </c>
    </row>
    <row r="12950" spans="2:37">
      <c r="B12950" s="834" t="str">
        <f t="shared" si="485"/>
        <v>|||</v>
      </c>
      <c r="H12950" s="835">
        <f t="shared" si="486"/>
        <v>31</v>
      </c>
      <c r="AF12950" s="831" t="s">
        <v>11917</v>
      </c>
      <c r="AG12950" s="831" t="s">
        <v>2674</v>
      </c>
      <c r="AH12950" s="831" t="s">
        <v>575</v>
      </c>
      <c r="AI12950" s="831">
        <v>0</v>
      </c>
      <c r="AJ12950" s="835">
        <v>42063</v>
      </c>
      <c r="AK12950" s="831">
        <v>145923251.33333334</v>
      </c>
    </row>
    <row r="12951" spans="2:37">
      <c r="B12951" s="834" t="str">
        <f t="shared" si="485"/>
        <v>|||</v>
      </c>
      <c r="H12951" s="835">
        <f t="shared" si="486"/>
        <v>31</v>
      </c>
      <c r="AF12951" s="831" t="s">
        <v>11918</v>
      </c>
      <c r="AG12951" s="831" t="s">
        <v>2674</v>
      </c>
      <c r="AH12951" s="831" t="s">
        <v>576</v>
      </c>
      <c r="AI12951" s="831">
        <v>0</v>
      </c>
      <c r="AJ12951" s="835">
        <v>42063</v>
      </c>
      <c r="AK12951" s="831">
        <v>595110401.33333337</v>
      </c>
    </row>
    <row r="12952" spans="2:37">
      <c r="B12952" s="834" t="str">
        <f t="shared" si="485"/>
        <v>|||</v>
      </c>
      <c r="H12952" s="835">
        <f t="shared" si="486"/>
        <v>31</v>
      </c>
      <c r="AF12952" s="831" t="s">
        <v>11919</v>
      </c>
      <c r="AG12952" s="831" t="s">
        <v>2674</v>
      </c>
      <c r="AH12952" s="831" t="s">
        <v>572</v>
      </c>
      <c r="AI12952" s="831">
        <v>0</v>
      </c>
      <c r="AJ12952" s="835">
        <v>42063</v>
      </c>
      <c r="AK12952" s="831">
        <v>33261949</v>
      </c>
    </row>
    <row r="12953" spans="2:37">
      <c r="B12953" s="834" t="str">
        <f t="shared" si="485"/>
        <v>|||</v>
      </c>
      <c r="H12953" s="835">
        <f t="shared" si="486"/>
        <v>31</v>
      </c>
      <c r="AF12953" s="831" t="s">
        <v>11920</v>
      </c>
      <c r="AG12953" s="831" t="s">
        <v>2674</v>
      </c>
      <c r="AH12953" s="831" t="s">
        <v>577</v>
      </c>
      <c r="AI12953" s="831">
        <v>0</v>
      </c>
      <c r="AJ12953" s="835">
        <v>42063</v>
      </c>
      <c r="AK12953" s="831">
        <v>173134660</v>
      </c>
    </row>
    <row r="12954" spans="2:37">
      <c r="B12954" s="834" t="str">
        <f t="shared" si="485"/>
        <v>|||</v>
      </c>
      <c r="H12954" s="835">
        <f t="shared" si="486"/>
        <v>31</v>
      </c>
      <c r="AF12954" s="831" t="s">
        <v>11921</v>
      </c>
      <c r="AG12954" s="831" t="s">
        <v>2674</v>
      </c>
      <c r="AH12954" s="831" t="s">
        <v>3042</v>
      </c>
      <c r="AI12954" s="831">
        <v>0</v>
      </c>
      <c r="AJ12954" s="835">
        <v>42063</v>
      </c>
      <c r="AK12954" s="831">
        <v>-53542458</v>
      </c>
    </row>
    <row r="12955" spans="2:37">
      <c r="B12955" s="834" t="str">
        <f t="shared" si="485"/>
        <v>|||</v>
      </c>
      <c r="H12955" s="835">
        <f t="shared" si="486"/>
        <v>31</v>
      </c>
      <c r="AF12955" s="831" t="s">
        <v>11922</v>
      </c>
      <c r="AG12955" s="831" t="s">
        <v>2674</v>
      </c>
      <c r="AH12955" s="831" t="s">
        <v>3044</v>
      </c>
      <c r="AI12955" s="831">
        <v>0</v>
      </c>
      <c r="AJ12955" s="835">
        <v>42063</v>
      </c>
      <c r="AK12955" s="831">
        <v>-787106</v>
      </c>
    </row>
    <row r="12956" spans="2:37">
      <c r="B12956" s="834" t="str">
        <f t="shared" si="485"/>
        <v>|||</v>
      </c>
      <c r="H12956" s="835">
        <f t="shared" si="486"/>
        <v>31</v>
      </c>
      <c r="AF12956" s="831" t="s">
        <v>11923</v>
      </c>
      <c r="AG12956" s="831" t="s">
        <v>2674</v>
      </c>
      <c r="AH12956" s="831" t="s">
        <v>580</v>
      </c>
      <c r="AI12956" s="831">
        <v>0</v>
      </c>
      <c r="AJ12956" s="835">
        <v>42063</v>
      </c>
      <c r="AK12956" s="831">
        <v>-82473719</v>
      </c>
    </row>
    <row r="12957" spans="2:37">
      <c r="B12957" s="834" t="str">
        <f t="shared" si="485"/>
        <v>|||</v>
      </c>
      <c r="H12957" s="835">
        <f t="shared" si="486"/>
        <v>31</v>
      </c>
      <c r="AF12957" s="831" t="s">
        <v>11924</v>
      </c>
      <c r="AG12957" s="831" t="s">
        <v>2674</v>
      </c>
      <c r="AH12957" s="831" t="s">
        <v>581</v>
      </c>
      <c r="AI12957" s="831">
        <v>0</v>
      </c>
      <c r="AJ12957" s="835">
        <v>42063</v>
      </c>
      <c r="AK12957" s="831">
        <v>11169610</v>
      </c>
    </row>
    <row r="12958" spans="2:37">
      <c r="B12958" s="834" t="str">
        <f t="shared" si="485"/>
        <v>|||</v>
      </c>
      <c r="H12958" s="835">
        <f t="shared" si="486"/>
        <v>31</v>
      </c>
      <c r="AF12958" s="831" t="s">
        <v>11925</v>
      </c>
      <c r="AG12958" s="831" t="s">
        <v>2674</v>
      </c>
      <c r="AH12958" s="831" t="s">
        <v>105</v>
      </c>
      <c r="AI12958" s="831">
        <v>0</v>
      </c>
      <c r="AJ12958" s="835">
        <v>42063</v>
      </c>
      <c r="AK12958" s="831">
        <v>714800530</v>
      </c>
    </row>
    <row r="12959" spans="2:37">
      <c r="B12959" s="834" t="str">
        <f t="shared" si="485"/>
        <v>|||</v>
      </c>
      <c r="H12959" s="835">
        <f t="shared" si="486"/>
        <v>31</v>
      </c>
      <c r="AF12959" s="831" t="s">
        <v>11926</v>
      </c>
      <c r="AG12959" s="831" t="s">
        <v>2674</v>
      </c>
      <c r="AH12959" s="831" t="s">
        <v>3049</v>
      </c>
      <c r="AI12959" s="831">
        <v>0</v>
      </c>
      <c r="AJ12959" s="835">
        <v>42063</v>
      </c>
      <c r="AK12959" s="831">
        <v>1078776977</v>
      </c>
    </row>
    <row r="12960" spans="2:37">
      <c r="B12960" s="834" t="str">
        <f t="shared" si="485"/>
        <v>|||</v>
      </c>
      <c r="H12960" s="835">
        <f t="shared" si="486"/>
        <v>31</v>
      </c>
      <c r="AF12960" s="831" t="s">
        <v>11927</v>
      </c>
      <c r="AG12960" s="831" t="s">
        <v>2674</v>
      </c>
      <c r="AH12960" s="831" t="s">
        <v>103</v>
      </c>
      <c r="AI12960" s="831">
        <v>0</v>
      </c>
      <c r="AJ12960" s="835">
        <v>42063</v>
      </c>
      <c r="AK12960" s="831">
        <v>363976447</v>
      </c>
    </row>
    <row r="12961" spans="2:37">
      <c r="B12961" s="834" t="str">
        <f t="shared" si="485"/>
        <v>|||</v>
      </c>
      <c r="H12961" s="835">
        <f t="shared" si="486"/>
        <v>31</v>
      </c>
      <c r="AF12961" s="831" t="s">
        <v>11928</v>
      </c>
      <c r="AG12961" s="831" t="s">
        <v>2674</v>
      </c>
      <c r="AH12961" s="831" t="s">
        <v>182</v>
      </c>
      <c r="AI12961" s="831">
        <v>0</v>
      </c>
      <c r="AJ12961" s="835">
        <v>42063</v>
      </c>
      <c r="AK12961" s="831">
        <v>91149096</v>
      </c>
    </row>
    <row r="12962" spans="2:37">
      <c r="B12962" s="834" t="str">
        <f t="shared" si="485"/>
        <v>|||</v>
      </c>
      <c r="H12962" s="835">
        <f t="shared" si="486"/>
        <v>31</v>
      </c>
      <c r="AF12962" s="831" t="s">
        <v>11929</v>
      </c>
      <c r="AG12962" s="831" t="s">
        <v>2674</v>
      </c>
      <c r="AH12962" s="831" t="s">
        <v>6600</v>
      </c>
      <c r="AI12962" s="831">
        <v>0</v>
      </c>
      <c r="AJ12962" s="835">
        <v>42063</v>
      </c>
      <c r="AK12962" s="831">
        <v>33261949</v>
      </c>
    </row>
    <row r="12963" spans="2:37">
      <c r="B12963" s="834" t="str">
        <f t="shared" si="485"/>
        <v>|||</v>
      </c>
      <c r="H12963" s="835">
        <f t="shared" si="486"/>
        <v>31</v>
      </c>
      <c r="AF12963" s="831" t="s">
        <v>11930</v>
      </c>
      <c r="AG12963" s="831" t="s">
        <v>2674</v>
      </c>
      <c r="AH12963" s="831" t="s">
        <v>6602</v>
      </c>
      <c r="AI12963" s="831">
        <v>0</v>
      </c>
      <c r="AJ12963" s="835">
        <v>42063</v>
      </c>
      <c r="AK12963" s="831">
        <v>-1907756</v>
      </c>
    </row>
    <row r="12964" spans="2:37">
      <c r="B12964" s="834" t="str">
        <f t="shared" si="485"/>
        <v>|||</v>
      </c>
      <c r="H12964" s="835">
        <f t="shared" si="486"/>
        <v>31</v>
      </c>
      <c r="AF12964" s="831" t="s">
        <v>11931</v>
      </c>
      <c r="AG12964" s="831" t="s">
        <v>2674</v>
      </c>
      <c r="AH12964" s="831" t="s">
        <v>650</v>
      </c>
      <c r="AI12964" s="831">
        <v>0</v>
      </c>
      <c r="AJ12964" s="835">
        <v>42063</v>
      </c>
      <c r="AK12964" s="831">
        <v>309129053.2630769</v>
      </c>
    </row>
    <row r="12965" spans="2:37">
      <c r="B12965" s="834" t="str">
        <f t="shared" si="485"/>
        <v>|||</v>
      </c>
      <c r="H12965" s="835">
        <f t="shared" si="486"/>
        <v>31</v>
      </c>
      <c r="AF12965" s="831" t="s">
        <v>11932</v>
      </c>
      <c r="AG12965" s="831" t="s">
        <v>2674</v>
      </c>
      <c r="AH12965" s="831" t="s">
        <v>655</v>
      </c>
      <c r="AI12965" s="831">
        <v>0</v>
      </c>
      <c r="AJ12965" s="835">
        <v>42063</v>
      </c>
      <c r="AK12965" s="831">
        <v>7002831</v>
      </c>
    </row>
    <row r="12966" spans="2:37">
      <c r="B12966" s="834" t="str">
        <f t="shared" si="485"/>
        <v>|||</v>
      </c>
      <c r="H12966" s="835">
        <f t="shared" si="486"/>
        <v>31</v>
      </c>
      <c r="AF12966" s="831" t="s">
        <v>11933</v>
      </c>
      <c r="AG12966" s="831" t="s">
        <v>2674</v>
      </c>
      <c r="AH12966" s="831" t="s">
        <v>546</v>
      </c>
      <c r="AI12966" s="831">
        <v>0</v>
      </c>
      <c r="AJ12966" s="835">
        <v>42094</v>
      </c>
      <c r="AK12966" s="831">
        <v>925259190</v>
      </c>
    </row>
    <row r="12967" spans="2:37">
      <c r="B12967" s="834" t="str">
        <f t="shared" si="485"/>
        <v>|||</v>
      </c>
      <c r="H12967" s="835">
        <f t="shared" si="486"/>
        <v>31</v>
      </c>
      <c r="AF12967" s="831" t="s">
        <v>11934</v>
      </c>
      <c r="AG12967" s="831" t="s">
        <v>2674</v>
      </c>
      <c r="AH12967" s="831" t="s">
        <v>370</v>
      </c>
      <c r="AI12967" s="831">
        <v>0</v>
      </c>
      <c r="AJ12967" s="835">
        <v>42094</v>
      </c>
      <c r="AK12967" s="831">
        <v>1161484479</v>
      </c>
    </row>
    <row r="12968" spans="2:37">
      <c r="B12968" s="834" t="str">
        <f t="shared" si="485"/>
        <v>|||</v>
      </c>
      <c r="H12968" s="835">
        <f t="shared" si="486"/>
        <v>31</v>
      </c>
      <c r="AF12968" s="831" t="s">
        <v>11935</v>
      </c>
      <c r="AG12968" s="831" t="s">
        <v>2674</v>
      </c>
      <c r="AH12968" s="831" t="s">
        <v>126</v>
      </c>
      <c r="AI12968" s="831">
        <v>0</v>
      </c>
      <c r="AJ12968" s="835">
        <v>42094</v>
      </c>
      <c r="AK12968" s="831">
        <v>147807134</v>
      </c>
    </row>
    <row r="12969" spans="2:37">
      <c r="B12969" s="834" t="str">
        <f t="shared" si="485"/>
        <v>|||</v>
      </c>
      <c r="H12969" s="835">
        <f t="shared" si="486"/>
        <v>31</v>
      </c>
      <c r="AF12969" s="831" t="s">
        <v>11936</v>
      </c>
      <c r="AG12969" s="831" t="s">
        <v>2674</v>
      </c>
      <c r="AH12969" s="831" t="s">
        <v>268</v>
      </c>
      <c r="AI12969" s="831">
        <v>0</v>
      </c>
      <c r="AJ12969" s="835">
        <v>42094</v>
      </c>
      <c r="AK12969" s="831">
        <v>2398849</v>
      </c>
    </row>
    <row r="12970" spans="2:37">
      <c r="B12970" s="834" t="str">
        <f t="shared" si="485"/>
        <v>|||</v>
      </c>
      <c r="H12970" s="835">
        <f t="shared" si="486"/>
        <v>31</v>
      </c>
      <c r="AF12970" s="831" t="s">
        <v>11937</v>
      </c>
      <c r="AG12970" s="831" t="s">
        <v>2674</v>
      </c>
      <c r="AH12970" s="831" t="s">
        <v>547</v>
      </c>
      <c r="AI12970" s="831">
        <v>0</v>
      </c>
      <c r="AJ12970" s="835">
        <v>42094</v>
      </c>
      <c r="AK12970" s="831">
        <v>1044609243</v>
      </c>
    </row>
    <row r="12971" spans="2:37">
      <c r="B12971" s="834" t="str">
        <f t="shared" si="485"/>
        <v>|||</v>
      </c>
      <c r="H12971" s="835">
        <f t="shared" si="486"/>
        <v>31</v>
      </c>
      <c r="AF12971" s="831" t="s">
        <v>11938</v>
      </c>
      <c r="AG12971" s="831" t="s">
        <v>2674</v>
      </c>
      <c r="AH12971" s="831" t="s">
        <v>548</v>
      </c>
      <c r="AI12971" s="831">
        <v>0</v>
      </c>
      <c r="AJ12971" s="835">
        <v>42094</v>
      </c>
      <c r="AK12971" s="831">
        <v>148860224</v>
      </c>
    </row>
    <row r="12972" spans="2:37">
      <c r="B12972" s="834" t="str">
        <f t="shared" si="485"/>
        <v>|||</v>
      </c>
      <c r="H12972" s="835">
        <f t="shared" si="486"/>
        <v>31</v>
      </c>
      <c r="AF12972" s="831" t="s">
        <v>11939</v>
      </c>
      <c r="AG12972" s="831" t="s">
        <v>2674</v>
      </c>
      <c r="AH12972" s="831" t="s">
        <v>549</v>
      </c>
      <c r="AI12972" s="831">
        <v>0</v>
      </c>
      <c r="AJ12972" s="835">
        <v>42094</v>
      </c>
      <c r="AK12972" s="831">
        <v>664153787</v>
      </c>
    </row>
    <row r="12973" spans="2:37">
      <c r="B12973" s="834" t="str">
        <f t="shared" si="485"/>
        <v>|||</v>
      </c>
      <c r="H12973" s="835">
        <f t="shared" si="486"/>
        <v>31</v>
      </c>
      <c r="AF12973" s="831" t="s">
        <v>11940</v>
      </c>
      <c r="AG12973" s="831" t="s">
        <v>2674</v>
      </c>
      <c r="AH12973" s="831" t="s">
        <v>192</v>
      </c>
      <c r="AI12973" s="831">
        <v>0</v>
      </c>
      <c r="AJ12973" s="835">
        <v>42094</v>
      </c>
      <c r="AK12973" s="831">
        <v>-15332196</v>
      </c>
    </row>
    <row r="12974" spans="2:37">
      <c r="B12974" s="834" t="str">
        <f t="shared" si="485"/>
        <v>|||</v>
      </c>
      <c r="H12974" s="835">
        <f t="shared" si="486"/>
        <v>31</v>
      </c>
      <c r="AF12974" s="831" t="s">
        <v>11941</v>
      </c>
      <c r="AG12974" s="831" t="s">
        <v>2674</v>
      </c>
      <c r="AH12974" s="831" t="s">
        <v>558</v>
      </c>
      <c r="AI12974" s="831">
        <v>0</v>
      </c>
      <c r="AJ12974" s="835">
        <v>42094</v>
      </c>
      <c r="AK12974" s="831">
        <v>1013677345</v>
      </c>
    </row>
    <row r="12975" spans="2:37">
      <c r="B12975" s="834" t="str">
        <f t="shared" si="485"/>
        <v>|||</v>
      </c>
      <c r="H12975" s="835">
        <f t="shared" si="486"/>
        <v>31</v>
      </c>
      <c r="AF12975" s="831" t="s">
        <v>11942</v>
      </c>
      <c r="AG12975" s="831" t="s">
        <v>2674</v>
      </c>
      <c r="AH12975" s="831" t="s">
        <v>65</v>
      </c>
      <c r="AI12975" s="831">
        <v>0</v>
      </c>
      <c r="AJ12975" s="835">
        <v>42094</v>
      </c>
      <c r="AK12975" s="831">
        <v>48515498</v>
      </c>
    </row>
    <row r="12976" spans="2:37">
      <c r="B12976" s="834" t="str">
        <f t="shared" si="485"/>
        <v>|||</v>
      </c>
      <c r="H12976" s="835">
        <f t="shared" si="486"/>
        <v>31</v>
      </c>
      <c r="AF12976" s="831" t="s">
        <v>11943</v>
      </c>
      <c r="AG12976" s="831" t="s">
        <v>2674</v>
      </c>
      <c r="AH12976" s="831" t="s">
        <v>89</v>
      </c>
      <c r="AI12976" s="831">
        <v>0</v>
      </c>
      <c r="AJ12976" s="835">
        <v>42094</v>
      </c>
      <c r="AK12976" s="831">
        <v>153039</v>
      </c>
    </row>
    <row r="12977" spans="2:37">
      <c r="B12977" s="834" t="str">
        <f t="shared" si="485"/>
        <v>|||</v>
      </c>
      <c r="H12977" s="835">
        <f t="shared" si="486"/>
        <v>31</v>
      </c>
      <c r="AF12977" s="831" t="s">
        <v>11944</v>
      </c>
      <c r="AG12977" s="831" t="s">
        <v>2674</v>
      </c>
      <c r="AH12977" s="831" t="s">
        <v>557</v>
      </c>
      <c r="AI12977" s="831">
        <v>0</v>
      </c>
      <c r="AJ12977" s="835">
        <v>42094</v>
      </c>
      <c r="AK12977" s="831">
        <v>174874</v>
      </c>
    </row>
    <row r="12978" spans="2:37">
      <c r="B12978" s="834" t="str">
        <f t="shared" si="485"/>
        <v>|||</v>
      </c>
      <c r="H12978" s="835">
        <f t="shared" si="486"/>
        <v>31</v>
      </c>
      <c r="AF12978" s="831" t="s">
        <v>11945</v>
      </c>
      <c r="AG12978" s="831" t="s">
        <v>2674</v>
      </c>
      <c r="AH12978" s="831" t="s">
        <v>29</v>
      </c>
      <c r="AI12978" s="831">
        <v>0</v>
      </c>
      <c r="AJ12978" s="835">
        <v>42094</v>
      </c>
      <c r="AK12978" s="831">
        <v>10801248</v>
      </c>
    </row>
    <row r="12979" spans="2:37">
      <c r="B12979" s="834" t="str">
        <f t="shared" si="485"/>
        <v>|||</v>
      </c>
      <c r="H12979" s="835">
        <f t="shared" si="486"/>
        <v>31</v>
      </c>
      <c r="AF12979" s="831" t="s">
        <v>11946</v>
      </c>
      <c r="AG12979" s="831" t="s">
        <v>2674</v>
      </c>
      <c r="AH12979" s="831" t="s">
        <v>2688</v>
      </c>
      <c r="AI12979" s="831">
        <v>0</v>
      </c>
      <c r="AJ12979" s="835">
        <v>42094</v>
      </c>
      <c r="AK12979" s="831">
        <v>88178967</v>
      </c>
    </row>
    <row r="12980" spans="2:37">
      <c r="B12980" s="834" t="str">
        <f t="shared" si="485"/>
        <v>|||</v>
      </c>
      <c r="H12980" s="835">
        <f t="shared" si="486"/>
        <v>31</v>
      </c>
      <c r="AF12980" s="831" t="s">
        <v>11947</v>
      </c>
      <c r="AG12980" s="831" t="s">
        <v>2674</v>
      </c>
      <c r="AH12980" s="831" t="s">
        <v>556</v>
      </c>
      <c r="AI12980" s="831">
        <v>0</v>
      </c>
      <c r="AJ12980" s="835">
        <v>42094</v>
      </c>
      <c r="AK12980" s="831">
        <v>11412135</v>
      </c>
    </row>
    <row r="12981" spans="2:37">
      <c r="B12981" s="834" t="str">
        <f t="shared" si="485"/>
        <v>|||</v>
      </c>
      <c r="H12981" s="835">
        <f t="shared" si="486"/>
        <v>31</v>
      </c>
      <c r="AF12981" s="831" t="s">
        <v>11948</v>
      </c>
      <c r="AG12981" s="831" t="s">
        <v>2674</v>
      </c>
      <c r="AH12981" s="831" t="s">
        <v>555</v>
      </c>
      <c r="AI12981" s="831">
        <v>0</v>
      </c>
      <c r="AJ12981" s="835">
        <v>42094</v>
      </c>
      <c r="AK12981" s="831">
        <v>794294654</v>
      </c>
    </row>
    <row r="12982" spans="2:37">
      <c r="B12982" s="834" t="str">
        <f t="shared" si="485"/>
        <v>|||</v>
      </c>
      <c r="H12982" s="835">
        <f t="shared" si="486"/>
        <v>31</v>
      </c>
      <c r="AF12982" s="831" t="s">
        <v>11949</v>
      </c>
      <c r="AG12982" s="831" t="s">
        <v>2674</v>
      </c>
      <c r="AH12982" s="831" t="s">
        <v>554</v>
      </c>
      <c r="AI12982" s="831">
        <v>0</v>
      </c>
      <c r="AJ12982" s="835">
        <v>42094</v>
      </c>
      <c r="AK12982" s="831">
        <v>796448359</v>
      </c>
    </row>
    <row r="12983" spans="2:37">
      <c r="B12983" s="834" t="str">
        <f t="shared" si="485"/>
        <v>|||</v>
      </c>
      <c r="H12983" s="835">
        <f t="shared" si="486"/>
        <v>31</v>
      </c>
      <c r="AF12983" s="831" t="s">
        <v>11950</v>
      </c>
      <c r="AG12983" s="831" t="s">
        <v>2674</v>
      </c>
      <c r="AH12983" s="831" t="s">
        <v>553</v>
      </c>
      <c r="AI12983" s="831">
        <v>0</v>
      </c>
      <c r="AJ12983" s="835">
        <v>42094</v>
      </c>
      <c r="AK12983" s="831">
        <v>52425000</v>
      </c>
    </row>
    <row r="12984" spans="2:37">
      <c r="B12984" s="834" t="str">
        <f t="shared" si="485"/>
        <v>|||</v>
      </c>
      <c r="H12984" s="835">
        <f t="shared" si="486"/>
        <v>31</v>
      </c>
      <c r="AF12984" s="831" t="s">
        <v>11951</v>
      </c>
      <c r="AG12984" s="831" t="s">
        <v>2674</v>
      </c>
      <c r="AH12984" s="831" t="s">
        <v>552</v>
      </c>
      <c r="AI12984" s="831">
        <v>0</v>
      </c>
      <c r="AJ12984" s="835">
        <v>42094</v>
      </c>
      <c r="AK12984" s="831">
        <v>0</v>
      </c>
    </row>
    <row r="12985" spans="2:37">
      <c r="B12985" s="834" t="str">
        <f t="shared" si="485"/>
        <v>|||</v>
      </c>
      <c r="H12985" s="835">
        <f t="shared" si="486"/>
        <v>31</v>
      </c>
      <c r="AF12985" s="831" t="s">
        <v>11952</v>
      </c>
      <c r="AG12985" s="831" t="s">
        <v>2674</v>
      </c>
      <c r="AH12985" s="831" t="s">
        <v>551</v>
      </c>
      <c r="AI12985" s="831">
        <v>0</v>
      </c>
      <c r="AJ12985" s="835">
        <v>42094</v>
      </c>
      <c r="AK12985" s="831">
        <v>8543411</v>
      </c>
    </row>
    <row r="12986" spans="2:37">
      <c r="B12986" s="834" t="str">
        <f t="shared" si="485"/>
        <v>|||</v>
      </c>
      <c r="H12986" s="835">
        <f t="shared" si="486"/>
        <v>31</v>
      </c>
      <c r="AF12986" s="831" t="s">
        <v>11953</v>
      </c>
      <c r="AG12986" s="831" t="s">
        <v>2674</v>
      </c>
      <c r="AH12986" s="831" t="s">
        <v>550</v>
      </c>
      <c r="AI12986" s="831">
        <v>0</v>
      </c>
      <c r="AJ12986" s="835">
        <v>42094</v>
      </c>
      <c r="AK12986" s="831">
        <v>143500530</v>
      </c>
    </row>
    <row r="12987" spans="2:37">
      <c r="B12987" s="834" t="str">
        <f t="shared" si="485"/>
        <v>|||</v>
      </c>
      <c r="H12987" s="835">
        <f t="shared" si="486"/>
        <v>31</v>
      </c>
      <c r="AF12987" s="831" t="s">
        <v>11954</v>
      </c>
      <c r="AG12987" s="831" t="s">
        <v>2674</v>
      </c>
      <c r="AH12987" s="831" t="s">
        <v>562</v>
      </c>
      <c r="AI12987" s="831">
        <v>0</v>
      </c>
      <c r="AJ12987" s="835">
        <v>42094</v>
      </c>
      <c r="AK12987" s="831">
        <v>1.0495000000000001</v>
      </c>
    </row>
    <row r="12988" spans="2:37">
      <c r="B12988" s="834" t="str">
        <f t="shared" si="485"/>
        <v>|||</v>
      </c>
      <c r="H12988" s="835">
        <f t="shared" si="486"/>
        <v>31</v>
      </c>
      <c r="AF12988" s="831" t="s">
        <v>11955</v>
      </c>
      <c r="AG12988" s="831" t="s">
        <v>2674</v>
      </c>
      <c r="AH12988" s="831" t="s">
        <v>2698</v>
      </c>
      <c r="AI12988" s="831">
        <v>0</v>
      </c>
      <c r="AJ12988" s="835">
        <v>42094</v>
      </c>
      <c r="AK12988" s="831">
        <v>1.04575</v>
      </c>
    </row>
    <row r="12989" spans="2:37">
      <c r="B12989" s="834" t="str">
        <f t="shared" si="485"/>
        <v>|||</v>
      </c>
      <c r="H12989" s="835">
        <f t="shared" si="486"/>
        <v>31</v>
      </c>
      <c r="AF12989" s="831" t="s">
        <v>11956</v>
      </c>
      <c r="AG12989" s="831" t="s">
        <v>2674</v>
      </c>
      <c r="AH12989" s="831" t="s">
        <v>560</v>
      </c>
      <c r="AI12989" s="831">
        <v>0</v>
      </c>
      <c r="AJ12989" s="835">
        <v>42094</v>
      </c>
      <c r="AK12989" s="831">
        <v>0.95988333333333331</v>
      </c>
    </row>
    <row r="12990" spans="2:37">
      <c r="B12990" s="834" t="str">
        <f t="shared" si="485"/>
        <v>|||</v>
      </c>
      <c r="H12990" s="835">
        <f t="shared" si="486"/>
        <v>31</v>
      </c>
      <c r="AF12990" s="831" t="s">
        <v>11957</v>
      </c>
      <c r="AG12990" s="831" t="s">
        <v>2674</v>
      </c>
      <c r="AH12990" s="831" t="s">
        <v>559</v>
      </c>
      <c r="AI12990" s="831">
        <v>0</v>
      </c>
      <c r="AJ12990" s="835">
        <v>42094</v>
      </c>
      <c r="AK12990" s="831">
        <v>0.82766666666666655</v>
      </c>
    </row>
    <row r="12991" spans="2:37">
      <c r="B12991" s="834" t="str">
        <f t="shared" si="485"/>
        <v>|||</v>
      </c>
      <c r="H12991" s="835">
        <f t="shared" si="486"/>
        <v>31</v>
      </c>
      <c r="AF12991" s="831" t="s">
        <v>11958</v>
      </c>
      <c r="AG12991" s="831" t="s">
        <v>2674</v>
      </c>
      <c r="AH12991" s="831" t="s">
        <v>568</v>
      </c>
      <c r="AI12991" s="831">
        <v>0</v>
      </c>
      <c r="AJ12991" s="835">
        <v>42094</v>
      </c>
      <c r="AK12991" s="831">
        <v>785705621.53846157</v>
      </c>
    </row>
    <row r="12992" spans="2:37">
      <c r="B12992" s="834" t="str">
        <f t="shared" si="485"/>
        <v>|||</v>
      </c>
      <c r="H12992" s="835">
        <f t="shared" si="486"/>
        <v>31</v>
      </c>
      <c r="AF12992" s="831" t="s">
        <v>11959</v>
      </c>
      <c r="AG12992" s="831" t="s">
        <v>2674</v>
      </c>
      <c r="AH12992" s="831" t="s">
        <v>569</v>
      </c>
      <c r="AI12992" s="831">
        <v>0</v>
      </c>
      <c r="AJ12992" s="835">
        <v>42094</v>
      </c>
      <c r="AK12992" s="831">
        <v>984393199.30769229</v>
      </c>
    </row>
    <row r="12993" spans="2:37">
      <c r="B12993" s="834" t="str">
        <f t="shared" si="485"/>
        <v>|||</v>
      </c>
      <c r="H12993" s="835">
        <f t="shared" si="486"/>
        <v>31</v>
      </c>
      <c r="AF12993" s="831" t="s">
        <v>11960</v>
      </c>
      <c r="AG12993" s="831" t="s">
        <v>2674</v>
      </c>
      <c r="AH12993" s="831" t="s">
        <v>570</v>
      </c>
      <c r="AI12993" s="831">
        <v>0</v>
      </c>
      <c r="AJ12993" s="835">
        <v>42094</v>
      </c>
      <c r="AK12993" s="831">
        <v>140931158.46384615</v>
      </c>
    </row>
    <row r="12994" spans="2:37">
      <c r="B12994" s="834" t="str">
        <f t="shared" si="485"/>
        <v>|||</v>
      </c>
      <c r="H12994" s="835">
        <f t="shared" si="486"/>
        <v>31</v>
      </c>
      <c r="AF12994" s="831" t="s">
        <v>11961</v>
      </c>
      <c r="AG12994" s="831" t="s">
        <v>2674</v>
      </c>
      <c r="AH12994" s="831" t="s">
        <v>571</v>
      </c>
      <c r="AI12994" s="831">
        <v>0</v>
      </c>
      <c r="AJ12994" s="835">
        <v>42094</v>
      </c>
      <c r="AK12994" s="831">
        <v>502500066.26284611</v>
      </c>
    </row>
    <row r="12995" spans="2:37">
      <c r="B12995" s="834" t="str">
        <f t="shared" si="485"/>
        <v>|||</v>
      </c>
      <c r="H12995" s="835">
        <f t="shared" si="486"/>
        <v>31</v>
      </c>
      <c r="AF12995" s="831" t="s">
        <v>11962</v>
      </c>
      <c r="AG12995" s="831" t="s">
        <v>2674</v>
      </c>
      <c r="AH12995" s="831" t="s">
        <v>573</v>
      </c>
      <c r="AI12995" s="831">
        <v>0</v>
      </c>
      <c r="AJ12995" s="835">
        <v>42094</v>
      </c>
      <c r="AK12995" s="831">
        <v>1125471362.25</v>
      </c>
    </row>
    <row r="12996" spans="2:37">
      <c r="B12996" s="834" t="str">
        <f t="shared" si="485"/>
        <v>|||</v>
      </c>
      <c r="H12996" s="835">
        <f t="shared" si="486"/>
        <v>31</v>
      </c>
      <c r="AF12996" s="831" t="s">
        <v>11963</v>
      </c>
      <c r="AG12996" s="831" t="s">
        <v>2674</v>
      </c>
      <c r="AH12996" s="831" t="s">
        <v>574</v>
      </c>
      <c r="AI12996" s="831">
        <v>0</v>
      </c>
      <c r="AJ12996" s="835">
        <v>42094</v>
      </c>
      <c r="AK12996" s="831">
        <v>887447709.5</v>
      </c>
    </row>
    <row r="12997" spans="2:37">
      <c r="B12997" s="834" t="str">
        <f t="shared" si="485"/>
        <v>|||</v>
      </c>
      <c r="H12997" s="835">
        <f t="shared" si="486"/>
        <v>31</v>
      </c>
      <c r="AF12997" s="831" t="s">
        <v>11964</v>
      </c>
      <c r="AG12997" s="831" t="s">
        <v>2674</v>
      </c>
      <c r="AH12997" s="831" t="s">
        <v>575</v>
      </c>
      <c r="AI12997" s="831">
        <v>0</v>
      </c>
      <c r="AJ12997" s="835">
        <v>42094</v>
      </c>
      <c r="AK12997" s="831">
        <v>146394222</v>
      </c>
    </row>
    <row r="12998" spans="2:37">
      <c r="B12998" s="834" t="str">
        <f t="shared" si="485"/>
        <v>|||</v>
      </c>
      <c r="H12998" s="835">
        <f t="shared" si="486"/>
        <v>31</v>
      </c>
      <c r="AF12998" s="831" t="s">
        <v>11965</v>
      </c>
      <c r="AG12998" s="831" t="s">
        <v>2674</v>
      </c>
      <c r="AH12998" s="831" t="s">
        <v>576</v>
      </c>
      <c r="AI12998" s="831">
        <v>0</v>
      </c>
      <c r="AJ12998" s="835">
        <v>42094</v>
      </c>
      <c r="AK12998" s="831">
        <v>606715260</v>
      </c>
    </row>
    <row r="12999" spans="2:37">
      <c r="B12999" s="834" t="str">
        <f t="shared" si="485"/>
        <v>|||</v>
      </c>
      <c r="H12999" s="835">
        <f t="shared" si="486"/>
        <v>31</v>
      </c>
      <c r="AF12999" s="831" t="s">
        <v>11966</v>
      </c>
      <c r="AG12999" s="831" t="s">
        <v>2674</v>
      </c>
      <c r="AH12999" s="831" t="s">
        <v>572</v>
      </c>
      <c r="AI12999" s="831">
        <v>0</v>
      </c>
      <c r="AJ12999" s="835">
        <v>42094</v>
      </c>
      <c r="AK12999" s="831">
        <v>36560084</v>
      </c>
    </row>
    <row r="13000" spans="2:37">
      <c r="B13000" s="834" t="str">
        <f t="shared" si="485"/>
        <v>|||</v>
      </c>
      <c r="H13000" s="835">
        <f t="shared" si="486"/>
        <v>31</v>
      </c>
      <c r="AF13000" s="831" t="s">
        <v>11967</v>
      </c>
      <c r="AG13000" s="831" t="s">
        <v>2674</v>
      </c>
      <c r="AH13000" s="831" t="s">
        <v>577</v>
      </c>
      <c r="AI13000" s="831">
        <v>0</v>
      </c>
      <c r="AJ13000" s="835">
        <v>42094</v>
      </c>
      <c r="AK13000" s="831">
        <v>179877214</v>
      </c>
    </row>
    <row r="13001" spans="2:37">
      <c r="B13001" s="834" t="str">
        <f t="shared" si="485"/>
        <v>|||</v>
      </c>
      <c r="H13001" s="835">
        <f t="shared" si="486"/>
        <v>31</v>
      </c>
      <c r="AF13001" s="831" t="s">
        <v>11968</v>
      </c>
      <c r="AG13001" s="831" t="s">
        <v>2674</v>
      </c>
      <c r="AH13001" s="831" t="s">
        <v>3042</v>
      </c>
      <c r="AI13001" s="831">
        <v>0</v>
      </c>
      <c r="AJ13001" s="835">
        <v>42094</v>
      </c>
      <c r="AK13001" s="831">
        <v>-55010221</v>
      </c>
    </row>
    <row r="13002" spans="2:37">
      <c r="B13002" s="834" t="str">
        <f t="shared" si="485"/>
        <v>|||</v>
      </c>
      <c r="H13002" s="835">
        <f t="shared" si="486"/>
        <v>31</v>
      </c>
      <c r="AF13002" s="831" t="s">
        <v>11969</v>
      </c>
      <c r="AG13002" s="831" t="s">
        <v>2674</v>
      </c>
      <c r="AH13002" s="831" t="s">
        <v>3044</v>
      </c>
      <c r="AI13002" s="831">
        <v>0</v>
      </c>
      <c r="AJ13002" s="835">
        <v>42094</v>
      </c>
      <c r="AK13002" s="831">
        <v>-2080886</v>
      </c>
    </row>
    <row r="13003" spans="2:37">
      <c r="B13003" s="834" t="str">
        <f t="shared" si="485"/>
        <v>|||</v>
      </c>
      <c r="H13003" s="835">
        <f t="shared" si="486"/>
        <v>31</v>
      </c>
      <c r="AF13003" s="831" t="s">
        <v>11970</v>
      </c>
      <c r="AG13003" s="831" t="s">
        <v>2674</v>
      </c>
      <c r="AH13003" s="831" t="s">
        <v>580</v>
      </c>
      <c r="AI13003" s="831">
        <v>0</v>
      </c>
      <c r="AJ13003" s="835">
        <v>42094</v>
      </c>
      <c r="AK13003" s="831">
        <v>-82773578</v>
      </c>
    </row>
    <row r="13004" spans="2:37">
      <c r="B13004" s="834" t="str">
        <f t="shared" si="485"/>
        <v>|||</v>
      </c>
      <c r="H13004" s="835">
        <f t="shared" si="486"/>
        <v>31</v>
      </c>
      <c r="AF13004" s="831" t="s">
        <v>11971</v>
      </c>
      <c r="AG13004" s="831" t="s">
        <v>2674</v>
      </c>
      <c r="AH13004" s="831" t="s">
        <v>581</v>
      </c>
      <c r="AI13004" s="831">
        <v>0</v>
      </c>
      <c r="AJ13004" s="835">
        <v>42094</v>
      </c>
      <c r="AK13004" s="831">
        <v>10684351</v>
      </c>
    </row>
    <row r="13005" spans="2:37">
      <c r="B13005" s="834" t="str">
        <f t="shared" si="485"/>
        <v>|||</v>
      </c>
      <c r="H13005" s="835">
        <f t="shared" si="486"/>
        <v>31</v>
      </c>
      <c r="AF13005" s="831" t="s">
        <v>11972</v>
      </c>
      <c r="AG13005" s="831" t="s">
        <v>2674</v>
      </c>
      <c r="AH13005" s="831" t="s">
        <v>105</v>
      </c>
      <c r="AI13005" s="831">
        <v>0</v>
      </c>
      <c r="AJ13005" s="835">
        <v>42094</v>
      </c>
      <c r="AK13005" s="831">
        <v>641529836</v>
      </c>
    </row>
    <row r="13006" spans="2:37">
      <c r="B13006" s="834" t="str">
        <f t="shared" si="485"/>
        <v>|||</v>
      </c>
      <c r="H13006" s="835">
        <f t="shared" si="486"/>
        <v>31</v>
      </c>
      <c r="AF13006" s="831" t="s">
        <v>11973</v>
      </c>
      <c r="AG13006" s="831" t="s">
        <v>2674</v>
      </c>
      <c r="AH13006" s="831" t="s">
        <v>3049</v>
      </c>
      <c r="AI13006" s="831">
        <v>0</v>
      </c>
      <c r="AJ13006" s="835">
        <v>42094</v>
      </c>
      <c r="AK13006" s="831">
        <v>986480670</v>
      </c>
    </row>
    <row r="13007" spans="2:37">
      <c r="B13007" s="834" t="str">
        <f t="shared" si="485"/>
        <v>|||</v>
      </c>
      <c r="H13007" s="835">
        <f t="shared" si="486"/>
        <v>31</v>
      </c>
      <c r="AF13007" s="831" t="s">
        <v>11974</v>
      </c>
      <c r="AG13007" s="831" t="s">
        <v>2674</v>
      </c>
      <c r="AH13007" s="831" t="s">
        <v>103</v>
      </c>
      <c r="AI13007" s="831">
        <v>0</v>
      </c>
      <c r="AJ13007" s="835">
        <v>42094</v>
      </c>
      <c r="AK13007" s="831">
        <v>344950834</v>
      </c>
    </row>
    <row r="13008" spans="2:37">
      <c r="B13008" s="834" t="str">
        <f t="shared" si="485"/>
        <v>|||</v>
      </c>
      <c r="H13008" s="835">
        <f t="shared" si="486"/>
        <v>31</v>
      </c>
      <c r="AF13008" s="831" t="s">
        <v>11975</v>
      </c>
      <c r="AG13008" s="831" t="s">
        <v>2674</v>
      </c>
      <c r="AH13008" s="831" t="s">
        <v>182</v>
      </c>
      <c r="AI13008" s="831">
        <v>0</v>
      </c>
      <c r="AJ13008" s="835">
        <v>42094</v>
      </c>
      <c r="AK13008" s="831">
        <v>85077948</v>
      </c>
    </row>
    <row r="13009" spans="2:37">
      <c r="B13009" s="834" t="str">
        <f t="shared" ref="B13009:B13072" si="487">C13009&amp;"|"&amp;D13009&amp;"|"&amp;E13009&amp;"|"&amp;F13009</f>
        <v>|||</v>
      </c>
      <c r="H13009" s="835">
        <f t="shared" ref="H13009:H13072" si="488">EOMONTH(L13009,0)</f>
        <v>31</v>
      </c>
      <c r="AF13009" s="831" t="s">
        <v>11976</v>
      </c>
      <c r="AG13009" s="831" t="s">
        <v>2674</v>
      </c>
      <c r="AH13009" s="831" t="s">
        <v>6600</v>
      </c>
      <c r="AI13009" s="831">
        <v>0</v>
      </c>
      <c r="AJ13009" s="835">
        <v>42094</v>
      </c>
      <c r="AK13009" s="831">
        <v>36560084</v>
      </c>
    </row>
    <row r="13010" spans="2:37">
      <c r="B13010" s="834" t="str">
        <f t="shared" si="487"/>
        <v>|||</v>
      </c>
      <c r="H13010" s="835">
        <f t="shared" si="488"/>
        <v>31</v>
      </c>
      <c r="AF13010" s="831" t="s">
        <v>11977</v>
      </c>
      <c r="AG13010" s="831" t="s">
        <v>2674</v>
      </c>
      <c r="AH13010" s="831" t="s">
        <v>6602</v>
      </c>
      <c r="AI13010" s="831">
        <v>0</v>
      </c>
      <c r="AJ13010" s="835">
        <v>42094</v>
      </c>
      <c r="AK13010" s="831">
        <v>2398849</v>
      </c>
    </row>
    <row r="13011" spans="2:37">
      <c r="B13011" s="834" t="str">
        <f t="shared" si="487"/>
        <v>|||</v>
      </c>
      <c r="H13011" s="835">
        <f t="shared" si="488"/>
        <v>31</v>
      </c>
      <c r="AF13011" s="831" t="s">
        <v>11978</v>
      </c>
      <c r="AG13011" s="831" t="s">
        <v>2674</v>
      </c>
      <c r="AH13011" s="831" t="s">
        <v>650</v>
      </c>
      <c r="AI13011" s="831">
        <v>0</v>
      </c>
      <c r="AJ13011" s="835">
        <v>42094</v>
      </c>
      <c r="AK13011" s="831">
        <v>315233998.53846157</v>
      </c>
    </row>
    <row r="13012" spans="2:37">
      <c r="B13012" s="834" t="str">
        <f t="shared" si="487"/>
        <v>|||</v>
      </c>
      <c r="H13012" s="835">
        <f t="shared" si="488"/>
        <v>31</v>
      </c>
      <c r="AF13012" s="831" t="s">
        <v>11979</v>
      </c>
      <c r="AG13012" s="831" t="s">
        <v>2674</v>
      </c>
      <c r="AH13012" s="831" t="s">
        <v>655</v>
      </c>
      <c r="AI13012" s="831">
        <v>0</v>
      </c>
      <c r="AJ13012" s="835">
        <v>42094</v>
      </c>
      <c r="AK13012" s="831">
        <v>7308574</v>
      </c>
    </row>
    <row r="13013" spans="2:37">
      <c r="B13013" s="834" t="str">
        <f t="shared" si="487"/>
        <v>|||</v>
      </c>
      <c r="H13013" s="835">
        <f t="shared" si="488"/>
        <v>31</v>
      </c>
      <c r="AF13013" s="831" t="s">
        <v>11980</v>
      </c>
      <c r="AG13013" s="831" t="s">
        <v>2674</v>
      </c>
      <c r="AH13013" s="831" t="s">
        <v>546</v>
      </c>
      <c r="AI13013" s="831">
        <v>0</v>
      </c>
      <c r="AJ13013" s="835">
        <v>42124</v>
      </c>
      <c r="AK13013" s="831">
        <v>887135523</v>
      </c>
    </row>
    <row r="13014" spans="2:37">
      <c r="B13014" s="834" t="str">
        <f t="shared" si="487"/>
        <v>|||</v>
      </c>
      <c r="H13014" s="835">
        <f t="shared" si="488"/>
        <v>31</v>
      </c>
      <c r="AF13014" s="831" t="s">
        <v>11981</v>
      </c>
      <c r="AG13014" s="831" t="s">
        <v>2674</v>
      </c>
      <c r="AH13014" s="831" t="s">
        <v>370</v>
      </c>
      <c r="AI13014" s="831">
        <v>0</v>
      </c>
      <c r="AJ13014" s="835">
        <v>42124</v>
      </c>
      <c r="AK13014" s="831">
        <v>1155982366</v>
      </c>
    </row>
    <row r="13015" spans="2:37">
      <c r="B13015" s="834" t="str">
        <f t="shared" si="487"/>
        <v>|||</v>
      </c>
      <c r="H13015" s="835">
        <f t="shared" si="488"/>
        <v>31</v>
      </c>
      <c r="AF13015" s="831" t="s">
        <v>11982</v>
      </c>
      <c r="AG13015" s="831" t="s">
        <v>2674</v>
      </c>
      <c r="AH13015" s="831" t="s">
        <v>126</v>
      </c>
      <c r="AI13015" s="831">
        <v>0</v>
      </c>
      <c r="AJ13015" s="835">
        <v>42124</v>
      </c>
      <c r="AK13015" s="831">
        <v>148898855</v>
      </c>
    </row>
    <row r="13016" spans="2:37">
      <c r="B13016" s="834" t="str">
        <f t="shared" si="487"/>
        <v>|||</v>
      </c>
      <c r="H13016" s="835">
        <f t="shared" si="488"/>
        <v>31</v>
      </c>
      <c r="AF13016" s="831" t="s">
        <v>11983</v>
      </c>
      <c r="AG13016" s="831" t="s">
        <v>2674</v>
      </c>
      <c r="AH13016" s="831" t="s">
        <v>268</v>
      </c>
      <c r="AI13016" s="831">
        <v>0</v>
      </c>
      <c r="AJ13016" s="835">
        <v>42124</v>
      </c>
      <c r="AK13016" s="831">
        <v>3490177</v>
      </c>
    </row>
    <row r="13017" spans="2:37">
      <c r="B13017" s="834" t="str">
        <f t="shared" si="487"/>
        <v>|||</v>
      </c>
      <c r="H13017" s="835">
        <f t="shared" si="488"/>
        <v>31</v>
      </c>
      <c r="AF13017" s="831" t="s">
        <v>11984</v>
      </c>
      <c r="AG13017" s="831" t="s">
        <v>2674</v>
      </c>
      <c r="AH13017" s="831" t="s">
        <v>547</v>
      </c>
      <c r="AI13017" s="831">
        <v>0</v>
      </c>
      <c r="AJ13017" s="835">
        <v>42124</v>
      </c>
      <c r="AK13017" s="831">
        <v>1044609243</v>
      </c>
    </row>
    <row r="13018" spans="2:37">
      <c r="B13018" s="834" t="str">
        <f t="shared" si="487"/>
        <v>|||</v>
      </c>
      <c r="H13018" s="835">
        <f t="shared" si="488"/>
        <v>31</v>
      </c>
      <c r="AF13018" s="831" t="s">
        <v>11985</v>
      </c>
      <c r="AG13018" s="831" t="s">
        <v>2674</v>
      </c>
      <c r="AH13018" s="831" t="s">
        <v>548</v>
      </c>
      <c r="AI13018" s="831">
        <v>0</v>
      </c>
      <c r="AJ13018" s="835">
        <v>42124</v>
      </c>
      <c r="AK13018" s="831">
        <v>148860224</v>
      </c>
    </row>
    <row r="13019" spans="2:37">
      <c r="B13019" s="834" t="str">
        <f t="shared" si="487"/>
        <v>|||</v>
      </c>
      <c r="H13019" s="835">
        <f t="shared" si="488"/>
        <v>31</v>
      </c>
      <c r="AF13019" s="831" t="s">
        <v>11986</v>
      </c>
      <c r="AG13019" s="831" t="s">
        <v>2674</v>
      </c>
      <c r="AH13019" s="831" t="s">
        <v>549</v>
      </c>
      <c r="AI13019" s="831">
        <v>0</v>
      </c>
      <c r="AJ13019" s="835">
        <v>42124</v>
      </c>
      <c r="AK13019" s="831">
        <v>695634421</v>
      </c>
    </row>
    <row r="13020" spans="2:37">
      <c r="B13020" s="834" t="str">
        <f t="shared" si="487"/>
        <v>|||</v>
      </c>
      <c r="H13020" s="835">
        <f t="shared" si="488"/>
        <v>31</v>
      </c>
      <c r="AF13020" s="831" t="s">
        <v>11987</v>
      </c>
      <c r="AG13020" s="831" t="s">
        <v>2674</v>
      </c>
      <c r="AH13020" s="831" t="s">
        <v>192</v>
      </c>
      <c r="AI13020" s="831">
        <v>0</v>
      </c>
      <c r="AJ13020" s="835">
        <v>42124</v>
      </c>
      <c r="AK13020" s="831">
        <v>-17978430</v>
      </c>
    </row>
    <row r="13021" spans="2:37">
      <c r="B13021" s="834" t="str">
        <f t="shared" si="487"/>
        <v>|||</v>
      </c>
      <c r="H13021" s="835">
        <f t="shared" si="488"/>
        <v>31</v>
      </c>
      <c r="AF13021" s="831" t="s">
        <v>11988</v>
      </c>
      <c r="AG13021" s="831" t="s">
        <v>2674</v>
      </c>
      <c r="AH13021" s="831" t="s">
        <v>558</v>
      </c>
      <c r="AI13021" s="831">
        <v>0</v>
      </c>
      <c r="AJ13021" s="835">
        <v>42124</v>
      </c>
      <c r="AK13021" s="831">
        <v>1007083670</v>
      </c>
    </row>
    <row r="13022" spans="2:37">
      <c r="B13022" s="834" t="str">
        <f t="shared" si="487"/>
        <v>|||</v>
      </c>
      <c r="H13022" s="835">
        <f t="shared" si="488"/>
        <v>31</v>
      </c>
      <c r="AF13022" s="831" t="s">
        <v>11989</v>
      </c>
      <c r="AG13022" s="831" t="s">
        <v>2674</v>
      </c>
      <c r="AH13022" s="831" t="s">
        <v>65</v>
      </c>
      <c r="AI13022" s="831">
        <v>0</v>
      </c>
      <c r="AJ13022" s="835">
        <v>42124</v>
      </c>
      <c r="AK13022" s="831">
        <v>64640929</v>
      </c>
    </row>
    <row r="13023" spans="2:37">
      <c r="B13023" s="834" t="str">
        <f t="shared" si="487"/>
        <v>|||</v>
      </c>
      <c r="H13023" s="835">
        <f t="shared" si="488"/>
        <v>31</v>
      </c>
      <c r="AF13023" s="831" t="s">
        <v>11990</v>
      </c>
      <c r="AG13023" s="831" t="s">
        <v>2674</v>
      </c>
      <c r="AH13023" s="831" t="s">
        <v>89</v>
      </c>
      <c r="AI13023" s="831">
        <v>0</v>
      </c>
      <c r="AJ13023" s="835">
        <v>42124</v>
      </c>
      <c r="AK13023" s="831">
        <v>147391</v>
      </c>
    </row>
    <row r="13024" spans="2:37">
      <c r="B13024" s="834" t="str">
        <f t="shared" si="487"/>
        <v>|||</v>
      </c>
      <c r="H13024" s="835">
        <f t="shared" si="488"/>
        <v>31</v>
      </c>
      <c r="AF13024" s="831" t="s">
        <v>11991</v>
      </c>
      <c r="AG13024" s="831" t="s">
        <v>2674</v>
      </c>
      <c r="AH13024" s="831" t="s">
        <v>557</v>
      </c>
      <c r="AI13024" s="831">
        <v>0</v>
      </c>
      <c r="AJ13024" s="835">
        <v>42124</v>
      </c>
      <c r="AK13024" s="831">
        <v>168436</v>
      </c>
    </row>
    <row r="13025" spans="2:37">
      <c r="B13025" s="834" t="str">
        <f t="shared" si="487"/>
        <v>|||</v>
      </c>
      <c r="H13025" s="835">
        <f t="shared" si="488"/>
        <v>31</v>
      </c>
      <c r="AF13025" s="831" t="s">
        <v>11992</v>
      </c>
      <c r="AG13025" s="831" t="s">
        <v>2674</v>
      </c>
      <c r="AH13025" s="831" t="s">
        <v>29</v>
      </c>
      <c r="AI13025" s="831">
        <v>0</v>
      </c>
      <c r="AJ13025" s="835">
        <v>42124</v>
      </c>
      <c r="AK13025" s="831">
        <v>18420222</v>
      </c>
    </row>
    <row r="13026" spans="2:37">
      <c r="B13026" s="834" t="str">
        <f t="shared" si="487"/>
        <v>|||</v>
      </c>
      <c r="H13026" s="835">
        <f t="shared" si="488"/>
        <v>31</v>
      </c>
      <c r="AF13026" s="831" t="s">
        <v>11993</v>
      </c>
      <c r="AG13026" s="831" t="s">
        <v>2674</v>
      </c>
      <c r="AH13026" s="831" t="s">
        <v>2688</v>
      </c>
      <c r="AI13026" s="831">
        <v>0</v>
      </c>
      <c r="AJ13026" s="835">
        <v>42124</v>
      </c>
      <c r="AK13026" s="831">
        <v>149665387</v>
      </c>
    </row>
    <row r="13027" spans="2:37">
      <c r="B13027" s="834" t="str">
        <f t="shared" si="487"/>
        <v>|||</v>
      </c>
      <c r="H13027" s="835">
        <f t="shared" si="488"/>
        <v>31</v>
      </c>
      <c r="AF13027" s="831" t="s">
        <v>11994</v>
      </c>
      <c r="AG13027" s="831" t="s">
        <v>2674</v>
      </c>
      <c r="AH13027" s="831" t="s">
        <v>556</v>
      </c>
      <c r="AI13027" s="831">
        <v>0</v>
      </c>
      <c r="AJ13027" s="835">
        <v>42124</v>
      </c>
      <c r="AK13027" s="831">
        <v>11412135</v>
      </c>
    </row>
    <row r="13028" spans="2:37">
      <c r="B13028" s="834" t="str">
        <f t="shared" si="487"/>
        <v>|||</v>
      </c>
      <c r="H13028" s="835">
        <f t="shared" si="488"/>
        <v>31</v>
      </c>
      <c r="AF13028" s="831" t="s">
        <v>11995</v>
      </c>
      <c r="AG13028" s="831" t="s">
        <v>2674</v>
      </c>
      <c r="AH13028" s="831" t="s">
        <v>555</v>
      </c>
      <c r="AI13028" s="831">
        <v>0</v>
      </c>
      <c r="AJ13028" s="835">
        <v>42124</v>
      </c>
      <c r="AK13028" s="831">
        <v>781614407</v>
      </c>
    </row>
    <row r="13029" spans="2:37">
      <c r="B13029" s="834" t="str">
        <f t="shared" si="487"/>
        <v>|||</v>
      </c>
      <c r="H13029" s="835">
        <f t="shared" si="488"/>
        <v>31</v>
      </c>
      <c r="AF13029" s="831" t="s">
        <v>11996</v>
      </c>
      <c r="AG13029" s="831" t="s">
        <v>2674</v>
      </c>
      <c r="AH13029" s="831" t="s">
        <v>554</v>
      </c>
      <c r="AI13029" s="831">
        <v>0</v>
      </c>
      <c r="AJ13029" s="835">
        <v>42124</v>
      </c>
      <c r="AK13029" s="831">
        <v>811049609</v>
      </c>
    </row>
    <row r="13030" spans="2:37">
      <c r="B13030" s="834" t="str">
        <f t="shared" si="487"/>
        <v>|||</v>
      </c>
      <c r="H13030" s="835">
        <f t="shared" si="488"/>
        <v>31</v>
      </c>
      <c r="AF13030" s="831" t="s">
        <v>11997</v>
      </c>
      <c r="AG13030" s="831" t="s">
        <v>2674</v>
      </c>
      <c r="AH13030" s="831" t="s">
        <v>553</v>
      </c>
      <c r="AI13030" s="831">
        <v>0</v>
      </c>
      <c r="AJ13030" s="835">
        <v>42124</v>
      </c>
      <c r="AK13030" s="831">
        <v>47191500</v>
      </c>
    </row>
    <row r="13031" spans="2:37">
      <c r="B13031" s="834" t="str">
        <f t="shared" si="487"/>
        <v>|||</v>
      </c>
      <c r="H13031" s="835">
        <f t="shared" si="488"/>
        <v>31</v>
      </c>
      <c r="AF13031" s="831" t="s">
        <v>11998</v>
      </c>
      <c r="AG13031" s="831" t="s">
        <v>2674</v>
      </c>
      <c r="AH13031" s="831" t="s">
        <v>552</v>
      </c>
      <c r="AI13031" s="831">
        <v>0</v>
      </c>
      <c r="AJ13031" s="835">
        <v>42124</v>
      </c>
      <c r="AK13031" s="831">
        <v>0</v>
      </c>
    </row>
    <row r="13032" spans="2:37">
      <c r="B13032" s="834" t="str">
        <f t="shared" si="487"/>
        <v>|||</v>
      </c>
      <c r="H13032" s="835">
        <f t="shared" si="488"/>
        <v>31</v>
      </c>
      <c r="AF13032" s="831" t="s">
        <v>11999</v>
      </c>
      <c r="AG13032" s="831" t="s">
        <v>2674</v>
      </c>
      <c r="AH13032" s="831" t="s">
        <v>551</v>
      </c>
      <c r="AI13032" s="831">
        <v>0</v>
      </c>
      <c r="AJ13032" s="835">
        <v>42124</v>
      </c>
      <c r="AK13032" s="831">
        <v>10773380</v>
      </c>
    </row>
    <row r="13033" spans="2:37">
      <c r="B13033" s="834" t="str">
        <f t="shared" si="487"/>
        <v>|||</v>
      </c>
      <c r="H13033" s="835">
        <f t="shared" si="488"/>
        <v>31</v>
      </c>
      <c r="AF13033" s="831" t="s">
        <v>12000</v>
      </c>
      <c r="AG13033" s="831" t="s">
        <v>2674</v>
      </c>
      <c r="AH13033" s="831" t="s">
        <v>550</v>
      </c>
      <c r="AI13033" s="831">
        <v>0</v>
      </c>
      <c r="AJ13033" s="835">
        <v>42124</v>
      </c>
      <c r="AK13033" s="831">
        <v>147807134</v>
      </c>
    </row>
    <row r="13034" spans="2:37">
      <c r="B13034" s="834" t="str">
        <f t="shared" si="487"/>
        <v>|||</v>
      </c>
      <c r="H13034" s="835">
        <f t="shared" si="488"/>
        <v>31</v>
      </c>
      <c r="AF13034" s="831" t="s">
        <v>12001</v>
      </c>
      <c r="AG13034" s="831" t="s">
        <v>2674</v>
      </c>
      <c r="AH13034" s="831" t="s">
        <v>562</v>
      </c>
      <c r="AI13034" s="831">
        <v>0</v>
      </c>
      <c r="AJ13034" s="835">
        <v>42124</v>
      </c>
      <c r="AK13034" s="831">
        <v>1.0471999999999999</v>
      </c>
    </row>
    <row r="13035" spans="2:37">
      <c r="B13035" s="834" t="str">
        <f t="shared" si="487"/>
        <v>|||</v>
      </c>
      <c r="H13035" s="835">
        <f t="shared" si="488"/>
        <v>31</v>
      </c>
      <c r="AF13035" s="831" t="s">
        <v>12002</v>
      </c>
      <c r="AG13035" s="831" t="s">
        <v>2674</v>
      </c>
      <c r="AH13035" s="831" t="s">
        <v>2698</v>
      </c>
      <c r="AI13035" s="831">
        <v>0</v>
      </c>
      <c r="AJ13035" s="835">
        <v>42124</v>
      </c>
      <c r="AK13035" s="831">
        <v>1.0495000000000001</v>
      </c>
    </row>
    <row r="13036" spans="2:37">
      <c r="B13036" s="834" t="str">
        <f t="shared" si="487"/>
        <v>|||</v>
      </c>
      <c r="H13036" s="835">
        <f t="shared" si="488"/>
        <v>31</v>
      </c>
      <c r="AF13036" s="831" t="s">
        <v>12003</v>
      </c>
      <c r="AG13036" s="831" t="s">
        <v>2674</v>
      </c>
      <c r="AH13036" s="831" t="s">
        <v>560</v>
      </c>
      <c r="AI13036" s="831">
        <v>0</v>
      </c>
      <c r="AJ13036" s="835">
        <v>42124</v>
      </c>
      <c r="AK13036" s="831">
        <v>0.98171249999999999</v>
      </c>
    </row>
    <row r="13037" spans="2:37">
      <c r="B13037" s="834" t="str">
        <f t="shared" si="487"/>
        <v>|||</v>
      </c>
      <c r="H13037" s="835">
        <f t="shared" si="488"/>
        <v>31</v>
      </c>
      <c r="AF13037" s="831" t="s">
        <v>12004</v>
      </c>
      <c r="AG13037" s="831" t="s">
        <v>2674</v>
      </c>
      <c r="AH13037" s="831" t="s">
        <v>559</v>
      </c>
      <c r="AI13037" s="831">
        <v>0</v>
      </c>
      <c r="AJ13037" s="835">
        <v>42124</v>
      </c>
      <c r="AK13037" s="831">
        <v>0.84962083333333327</v>
      </c>
    </row>
    <row r="13038" spans="2:37">
      <c r="B13038" s="834" t="str">
        <f t="shared" si="487"/>
        <v>|||</v>
      </c>
      <c r="H13038" s="835">
        <f t="shared" si="488"/>
        <v>31</v>
      </c>
      <c r="AF13038" s="831" t="s">
        <v>12005</v>
      </c>
      <c r="AG13038" s="831" t="s">
        <v>2674</v>
      </c>
      <c r="AH13038" s="831" t="s">
        <v>568</v>
      </c>
      <c r="AI13038" s="831">
        <v>0</v>
      </c>
      <c r="AJ13038" s="835">
        <v>42124</v>
      </c>
      <c r="AK13038" s="831">
        <v>802858062.76923072</v>
      </c>
    </row>
    <row r="13039" spans="2:37">
      <c r="B13039" s="834" t="str">
        <f t="shared" si="487"/>
        <v>|||</v>
      </c>
      <c r="H13039" s="835">
        <f t="shared" si="488"/>
        <v>31</v>
      </c>
      <c r="AF13039" s="831" t="s">
        <v>12006</v>
      </c>
      <c r="AG13039" s="831" t="s">
        <v>2674</v>
      </c>
      <c r="AH13039" s="831" t="s">
        <v>569</v>
      </c>
      <c r="AI13039" s="831">
        <v>0</v>
      </c>
      <c r="AJ13039" s="835">
        <v>42124</v>
      </c>
      <c r="AK13039" s="831">
        <v>1009137751.8461539</v>
      </c>
    </row>
    <row r="13040" spans="2:37">
      <c r="B13040" s="834" t="str">
        <f t="shared" si="487"/>
        <v>|||</v>
      </c>
      <c r="H13040" s="835">
        <f t="shared" si="488"/>
        <v>31</v>
      </c>
      <c r="AF13040" s="831" t="s">
        <v>12007</v>
      </c>
      <c r="AG13040" s="831" t="s">
        <v>2674</v>
      </c>
      <c r="AH13040" s="831" t="s">
        <v>570</v>
      </c>
      <c r="AI13040" s="831">
        <v>0</v>
      </c>
      <c r="AJ13040" s="835">
        <v>42124</v>
      </c>
      <c r="AK13040" s="831">
        <v>142830548.07923076</v>
      </c>
    </row>
    <row r="13041" spans="2:37">
      <c r="B13041" s="834" t="str">
        <f t="shared" si="487"/>
        <v>|||</v>
      </c>
      <c r="H13041" s="835">
        <f t="shared" si="488"/>
        <v>31</v>
      </c>
      <c r="AF13041" s="831" t="s">
        <v>12008</v>
      </c>
      <c r="AG13041" s="831" t="s">
        <v>2674</v>
      </c>
      <c r="AH13041" s="831" t="s">
        <v>571</v>
      </c>
      <c r="AI13041" s="831">
        <v>0</v>
      </c>
      <c r="AJ13041" s="835">
        <v>42124</v>
      </c>
      <c r="AK13041" s="831">
        <v>521003105.80130768</v>
      </c>
    </row>
    <row r="13042" spans="2:37">
      <c r="B13042" s="834" t="str">
        <f t="shared" si="487"/>
        <v>|||</v>
      </c>
      <c r="H13042" s="835">
        <f t="shared" si="488"/>
        <v>31</v>
      </c>
      <c r="AF13042" s="831" t="s">
        <v>12009</v>
      </c>
      <c r="AG13042" s="831" t="s">
        <v>2674</v>
      </c>
      <c r="AH13042" s="831" t="s">
        <v>573</v>
      </c>
      <c r="AI13042" s="831">
        <v>0</v>
      </c>
      <c r="AJ13042" s="835">
        <v>42124</v>
      </c>
      <c r="AK13042" s="831">
        <v>1131573563</v>
      </c>
    </row>
    <row r="13043" spans="2:37">
      <c r="B13043" s="834" t="str">
        <f t="shared" si="487"/>
        <v>|||</v>
      </c>
      <c r="H13043" s="835">
        <f t="shared" si="488"/>
        <v>31</v>
      </c>
      <c r="AF13043" s="831" t="s">
        <v>12010</v>
      </c>
      <c r="AG13043" s="831" t="s">
        <v>2674</v>
      </c>
      <c r="AH13043" s="831" t="s">
        <v>574</v>
      </c>
      <c r="AI13043" s="831">
        <v>0</v>
      </c>
      <c r="AJ13043" s="835">
        <v>42124</v>
      </c>
      <c r="AK13043" s="831">
        <v>887385272.20000005</v>
      </c>
    </row>
    <row r="13044" spans="2:37">
      <c r="B13044" s="834" t="str">
        <f t="shared" si="487"/>
        <v>|||</v>
      </c>
      <c r="H13044" s="835">
        <f t="shared" si="488"/>
        <v>31</v>
      </c>
      <c r="AF13044" s="831" t="s">
        <v>12011</v>
      </c>
      <c r="AG13044" s="831" t="s">
        <v>2674</v>
      </c>
      <c r="AH13044" s="831" t="s">
        <v>575</v>
      </c>
      <c r="AI13044" s="831">
        <v>0</v>
      </c>
      <c r="AJ13044" s="835">
        <v>42124</v>
      </c>
      <c r="AK13044" s="831">
        <v>146895148.59999999</v>
      </c>
    </row>
    <row r="13045" spans="2:37">
      <c r="B13045" s="834" t="str">
        <f t="shared" si="487"/>
        <v>|||</v>
      </c>
      <c r="H13045" s="835">
        <f t="shared" si="488"/>
        <v>31</v>
      </c>
      <c r="AF13045" s="831" t="s">
        <v>12012</v>
      </c>
      <c r="AG13045" s="831" t="s">
        <v>2674</v>
      </c>
      <c r="AH13045" s="831" t="s">
        <v>576</v>
      </c>
      <c r="AI13045" s="831">
        <v>0</v>
      </c>
      <c r="AJ13045" s="835">
        <v>42124</v>
      </c>
      <c r="AK13045" s="831">
        <v>615700522.39999998</v>
      </c>
    </row>
    <row r="13046" spans="2:37">
      <c r="B13046" s="834" t="str">
        <f t="shared" si="487"/>
        <v>|||</v>
      </c>
      <c r="H13046" s="835">
        <f t="shared" si="488"/>
        <v>31</v>
      </c>
      <c r="AF13046" s="831" t="s">
        <v>12013</v>
      </c>
      <c r="AG13046" s="831" t="s">
        <v>2674</v>
      </c>
      <c r="AH13046" s="831" t="s">
        <v>572</v>
      </c>
      <c r="AI13046" s="831">
        <v>0</v>
      </c>
      <c r="AJ13046" s="835">
        <v>42124</v>
      </c>
      <c r="AK13046" s="831">
        <v>34629345</v>
      </c>
    </row>
    <row r="13047" spans="2:37">
      <c r="B13047" s="834" t="str">
        <f t="shared" si="487"/>
        <v>|||</v>
      </c>
      <c r="H13047" s="835">
        <f t="shared" si="488"/>
        <v>31</v>
      </c>
      <c r="AF13047" s="831" t="s">
        <v>12014</v>
      </c>
      <c r="AG13047" s="831" t="s">
        <v>2674</v>
      </c>
      <c r="AH13047" s="831" t="s">
        <v>577</v>
      </c>
      <c r="AI13047" s="831">
        <v>0</v>
      </c>
      <c r="AJ13047" s="835">
        <v>42124</v>
      </c>
      <c r="AK13047" s="831">
        <v>182065430</v>
      </c>
    </row>
    <row r="13048" spans="2:37">
      <c r="B13048" s="834" t="str">
        <f t="shared" si="487"/>
        <v>|||</v>
      </c>
      <c r="H13048" s="835">
        <f t="shared" si="488"/>
        <v>31</v>
      </c>
      <c r="AF13048" s="831" t="s">
        <v>12015</v>
      </c>
      <c r="AG13048" s="831" t="s">
        <v>2674</v>
      </c>
      <c r="AH13048" s="831" t="s">
        <v>3042</v>
      </c>
      <c r="AI13048" s="831">
        <v>0</v>
      </c>
      <c r="AJ13048" s="835">
        <v>42124</v>
      </c>
      <c r="AK13048" s="831">
        <v>-55986090</v>
      </c>
    </row>
    <row r="13049" spans="2:37">
      <c r="B13049" s="834" t="str">
        <f t="shared" si="487"/>
        <v>|||</v>
      </c>
      <c r="H13049" s="835">
        <f t="shared" si="488"/>
        <v>31</v>
      </c>
      <c r="AF13049" s="831" t="s">
        <v>12016</v>
      </c>
      <c r="AG13049" s="831" t="s">
        <v>2674</v>
      </c>
      <c r="AH13049" s="831" t="s">
        <v>3044</v>
      </c>
      <c r="AI13049" s="831">
        <v>0</v>
      </c>
      <c r="AJ13049" s="835">
        <v>42124</v>
      </c>
      <c r="AK13049" s="831">
        <v>-4711846</v>
      </c>
    </row>
    <row r="13050" spans="2:37">
      <c r="B13050" s="834" t="str">
        <f t="shared" si="487"/>
        <v>|||</v>
      </c>
      <c r="H13050" s="835">
        <f t="shared" si="488"/>
        <v>31</v>
      </c>
      <c r="AF13050" s="831" t="s">
        <v>12017</v>
      </c>
      <c r="AG13050" s="831" t="s">
        <v>2674</v>
      </c>
      <c r="AH13050" s="831" t="s">
        <v>580</v>
      </c>
      <c r="AI13050" s="831">
        <v>0</v>
      </c>
      <c r="AJ13050" s="835">
        <v>42124</v>
      </c>
      <c r="AK13050" s="831">
        <v>-84657241</v>
      </c>
    </row>
    <row r="13051" spans="2:37">
      <c r="B13051" s="834" t="str">
        <f t="shared" si="487"/>
        <v>|||</v>
      </c>
      <c r="H13051" s="835">
        <f t="shared" si="488"/>
        <v>31</v>
      </c>
      <c r="AF13051" s="831" t="s">
        <v>12018</v>
      </c>
      <c r="AG13051" s="831" t="s">
        <v>2674</v>
      </c>
      <c r="AH13051" s="831" t="s">
        <v>581</v>
      </c>
      <c r="AI13051" s="831">
        <v>0</v>
      </c>
      <c r="AJ13051" s="835">
        <v>42124</v>
      </c>
      <c r="AK13051" s="831">
        <v>11310907</v>
      </c>
    </row>
    <row r="13052" spans="2:37">
      <c r="B13052" s="834" t="str">
        <f t="shared" si="487"/>
        <v>|||</v>
      </c>
      <c r="H13052" s="835">
        <f t="shared" si="488"/>
        <v>31</v>
      </c>
      <c r="AF13052" s="831" t="s">
        <v>12019</v>
      </c>
      <c r="AG13052" s="831" t="s">
        <v>2674</v>
      </c>
      <c r="AH13052" s="831" t="s">
        <v>105</v>
      </c>
      <c r="AI13052" s="831">
        <v>0</v>
      </c>
      <c r="AJ13052" s="835">
        <v>42124</v>
      </c>
      <c r="AK13052" s="831">
        <v>651641572</v>
      </c>
    </row>
    <row r="13053" spans="2:37">
      <c r="B13053" s="834" t="str">
        <f t="shared" si="487"/>
        <v>|||</v>
      </c>
      <c r="H13053" s="835">
        <f t="shared" si="488"/>
        <v>31</v>
      </c>
      <c r="AF13053" s="831" t="s">
        <v>12020</v>
      </c>
      <c r="AG13053" s="831" t="s">
        <v>2674</v>
      </c>
      <c r="AH13053" s="831" t="s">
        <v>3049</v>
      </c>
      <c r="AI13053" s="831">
        <v>0</v>
      </c>
      <c r="AJ13053" s="835">
        <v>42124</v>
      </c>
      <c r="AK13053" s="831">
        <v>980090700</v>
      </c>
    </row>
    <row r="13054" spans="2:37">
      <c r="B13054" s="834" t="str">
        <f t="shared" si="487"/>
        <v>|||</v>
      </c>
      <c r="H13054" s="835">
        <f t="shared" si="488"/>
        <v>31</v>
      </c>
      <c r="AF13054" s="831" t="s">
        <v>12021</v>
      </c>
      <c r="AG13054" s="831" t="s">
        <v>2674</v>
      </c>
      <c r="AH13054" s="831" t="s">
        <v>103</v>
      </c>
      <c r="AI13054" s="831">
        <v>0</v>
      </c>
      <c r="AJ13054" s="835">
        <v>42124</v>
      </c>
      <c r="AK13054" s="831">
        <v>328449128</v>
      </c>
    </row>
    <row r="13055" spans="2:37">
      <c r="B13055" s="834" t="str">
        <f t="shared" si="487"/>
        <v>|||</v>
      </c>
      <c r="H13055" s="835">
        <f t="shared" si="488"/>
        <v>31</v>
      </c>
      <c r="AF13055" s="831" t="s">
        <v>12022</v>
      </c>
      <c r="AG13055" s="831" t="s">
        <v>2674</v>
      </c>
      <c r="AH13055" s="831" t="s">
        <v>182</v>
      </c>
      <c r="AI13055" s="831">
        <v>0</v>
      </c>
      <c r="AJ13055" s="835">
        <v>42124</v>
      </c>
      <c r="AK13055" s="831">
        <v>88699464</v>
      </c>
    </row>
    <row r="13056" spans="2:37">
      <c r="B13056" s="834" t="str">
        <f t="shared" si="487"/>
        <v>|||</v>
      </c>
      <c r="H13056" s="835">
        <f t="shared" si="488"/>
        <v>31</v>
      </c>
      <c r="AF13056" s="831" t="s">
        <v>12023</v>
      </c>
      <c r="AG13056" s="831" t="s">
        <v>2674</v>
      </c>
      <c r="AH13056" s="831" t="s">
        <v>6600</v>
      </c>
      <c r="AI13056" s="831">
        <v>0</v>
      </c>
      <c r="AJ13056" s="835">
        <v>42124</v>
      </c>
      <c r="AK13056" s="831">
        <v>34629345</v>
      </c>
    </row>
    <row r="13057" spans="2:37">
      <c r="B13057" s="834" t="str">
        <f t="shared" si="487"/>
        <v>|||</v>
      </c>
      <c r="H13057" s="835">
        <f t="shared" si="488"/>
        <v>31</v>
      </c>
      <c r="AF13057" s="831" t="s">
        <v>12024</v>
      </c>
      <c r="AG13057" s="831" t="s">
        <v>2674</v>
      </c>
      <c r="AH13057" s="831" t="s">
        <v>6602</v>
      </c>
      <c r="AI13057" s="831">
        <v>0</v>
      </c>
      <c r="AJ13057" s="835">
        <v>42124</v>
      </c>
      <c r="AK13057" s="831">
        <v>3490177</v>
      </c>
    </row>
    <row r="13058" spans="2:37">
      <c r="B13058" s="834" t="str">
        <f t="shared" si="487"/>
        <v>|||</v>
      </c>
      <c r="H13058" s="835">
        <f t="shared" si="488"/>
        <v>31</v>
      </c>
      <c r="AF13058" s="831" t="s">
        <v>12025</v>
      </c>
      <c r="AG13058" s="831" t="s">
        <v>2674</v>
      </c>
      <c r="AH13058" s="831" t="s">
        <v>650</v>
      </c>
      <c r="AI13058" s="831">
        <v>0</v>
      </c>
      <c r="AJ13058" s="835">
        <v>42124</v>
      </c>
      <c r="AK13058" s="831">
        <v>319013929.69230771</v>
      </c>
    </row>
    <row r="13059" spans="2:37">
      <c r="B13059" s="834" t="str">
        <f t="shared" si="487"/>
        <v>|||</v>
      </c>
      <c r="H13059" s="835">
        <f t="shared" si="488"/>
        <v>31</v>
      </c>
      <c r="AF13059" s="831" t="s">
        <v>12026</v>
      </c>
      <c r="AG13059" s="831" t="s">
        <v>2674</v>
      </c>
      <c r="AH13059" s="831" t="s">
        <v>655</v>
      </c>
      <c r="AI13059" s="831">
        <v>0</v>
      </c>
      <c r="AJ13059" s="835">
        <v>42124</v>
      </c>
      <c r="AK13059" s="831">
        <v>8145535</v>
      </c>
    </row>
    <row r="13060" spans="2:37">
      <c r="B13060" s="834" t="str">
        <f t="shared" si="487"/>
        <v>|||</v>
      </c>
      <c r="H13060" s="835">
        <f t="shared" si="488"/>
        <v>31</v>
      </c>
      <c r="AF13060" s="831" t="s">
        <v>10335</v>
      </c>
      <c r="AG13060" s="831" t="s">
        <v>2674</v>
      </c>
      <c r="AH13060" s="831" t="s">
        <v>546</v>
      </c>
      <c r="AI13060" s="831">
        <v>0</v>
      </c>
      <c r="AJ13060" s="835">
        <v>41060</v>
      </c>
      <c r="AK13060" s="831">
        <v>339221349</v>
      </c>
    </row>
    <row r="13061" spans="2:37">
      <c r="B13061" s="834" t="str">
        <f t="shared" si="487"/>
        <v>|||</v>
      </c>
      <c r="H13061" s="835">
        <f t="shared" si="488"/>
        <v>31</v>
      </c>
      <c r="AF13061" s="831" t="s">
        <v>10336</v>
      </c>
      <c r="AG13061" s="831" t="s">
        <v>2674</v>
      </c>
      <c r="AH13061" s="831" t="s">
        <v>370</v>
      </c>
      <c r="AI13061" s="831">
        <v>0</v>
      </c>
      <c r="AJ13061" s="835">
        <v>41060</v>
      </c>
      <c r="AK13061" s="831">
        <v>412671638</v>
      </c>
    </row>
    <row r="13062" spans="2:37">
      <c r="B13062" s="834" t="str">
        <f t="shared" si="487"/>
        <v>|||</v>
      </c>
      <c r="H13062" s="835">
        <f t="shared" si="488"/>
        <v>31</v>
      </c>
      <c r="AF13062" s="831" t="s">
        <v>10337</v>
      </c>
      <c r="AG13062" s="831" t="s">
        <v>2674</v>
      </c>
      <c r="AH13062" s="831" t="s">
        <v>126</v>
      </c>
      <c r="AI13062" s="831">
        <v>0</v>
      </c>
      <c r="AJ13062" s="835">
        <v>41060</v>
      </c>
      <c r="AK13062" s="831">
        <v>90520261</v>
      </c>
    </row>
    <row r="13063" spans="2:37">
      <c r="B13063" s="834" t="str">
        <f t="shared" si="487"/>
        <v>|||</v>
      </c>
      <c r="H13063" s="835">
        <f t="shared" si="488"/>
        <v>31</v>
      </c>
      <c r="AF13063" s="831" t="s">
        <v>10338</v>
      </c>
      <c r="AG13063" s="831" t="s">
        <v>2674</v>
      </c>
      <c r="AH13063" s="831" t="s">
        <v>268</v>
      </c>
      <c r="AI13063" s="831">
        <v>0</v>
      </c>
      <c r="AJ13063" s="835">
        <v>41060</v>
      </c>
      <c r="AK13063" s="831">
        <v>5197337</v>
      </c>
    </row>
    <row r="13064" spans="2:37">
      <c r="B13064" s="834" t="str">
        <f t="shared" si="487"/>
        <v>|||</v>
      </c>
      <c r="H13064" s="835">
        <f t="shared" si="488"/>
        <v>31</v>
      </c>
      <c r="AF13064" s="831" t="s">
        <v>10339</v>
      </c>
      <c r="AG13064" s="831" t="s">
        <v>2674</v>
      </c>
      <c r="AH13064" s="831" t="s">
        <v>547</v>
      </c>
      <c r="AI13064" s="831">
        <v>0</v>
      </c>
      <c r="AJ13064" s="835">
        <v>41060</v>
      </c>
      <c r="AK13064" s="831">
        <v>0</v>
      </c>
    </row>
    <row r="13065" spans="2:37">
      <c r="B13065" s="834" t="str">
        <f t="shared" si="487"/>
        <v>|||</v>
      </c>
      <c r="H13065" s="835">
        <f t="shared" si="488"/>
        <v>31</v>
      </c>
      <c r="AF13065" s="831" t="s">
        <v>10340</v>
      </c>
      <c r="AG13065" s="831" t="s">
        <v>2674</v>
      </c>
      <c r="AH13065" s="831" t="s">
        <v>548</v>
      </c>
      <c r="AI13065" s="831">
        <v>0</v>
      </c>
      <c r="AJ13065" s="835">
        <v>41060</v>
      </c>
      <c r="AK13065" s="831">
        <v>0</v>
      </c>
    </row>
    <row r="13066" spans="2:37">
      <c r="B13066" s="834" t="str">
        <f t="shared" si="487"/>
        <v>|||</v>
      </c>
      <c r="H13066" s="835">
        <f t="shared" si="488"/>
        <v>31</v>
      </c>
      <c r="AF13066" s="831" t="s">
        <v>10341</v>
      </c>
      <c r="AG13066" s="831" t="s">
        <v>2674</v>
      </c>
      <c r="AH13066" s="831" t="s">
        <v>549</v>
      </c>
      <c r="AI13066" s="831">
        <v>0</v>
      </c>
      <c r="AJ13066" s="835">
        <v>41060</v>
      </c>
      <c r="AK13066" s="831">
        <v>0</v>
      </c>
    </row>
    <row r="13067" spans="2:37">
      <c r="B13067" s="834" t="str">
        <f t="shared" si="487"/>
        <v>|||</v>
      </c>
      <c r="H13067" s="835">
        <f t="shared" si="488"/>
        <v>31</v>
      </c>
      <c r="AF13067" s="831" t="s">
        <v>10342</v>
      </c>
      <c r="AG13067" s="831" t="s">
        <v>2674</v>
      </c>
      <c r="AH13067" s="831" t="s">
        <v>192</v>
      </c>
      <c r="AI13067" s="831">
        <v>0</v>
      </c>
      <c r="AJ13067" s="835">
        <v>41060</v>
      </c>
      <c r="AK13067" s="831">
        <v>-9254050</v>
      </c>
    </row>
    <row r="13068" spans="2:37">
      <c r="B13068" s="834" t="str">
        <f t="shared" si="487"/>
        <v>|||</v>
      </c>
      <c r="H13068" s="835">
        <f t="shared" si="488"/>
        <v>31</v>
      </c>
      <c r="AF13068" s="831" t="s">
        <v>10343</v>
      </c>
      <c r="AG13068" s="831" t="s">
        <v>2674</v>
      </c>
      <c r="AH13068" s="831" t="s">
        <v>558</v>
      </c>
      <c r="AI13068" s="831">
        <v>0</v>
      </c>
      <c r="AJ13068" s="835">
        <v>41060</v>
      </c>
      <c r="AK13068" s="831">
        <v>322151377</v>
      </c>
    </row>
    <row r="13069" spans="2:37">
      <c r="B13069" s="834" t="str">
        <f t="shared" si="487"/>
        <v>|||</v>
      </c>
      <c r="H13069" s="835">
        <f t="shared" si="488"/>
        <v>31</v>
      </c>
      <c r="AF13069" s="831" t="s">
        <v>10344</v>
      </c>
      <c r="AG13069" s="831" t="s">
        <v>2674</v>
      </c>
      <c r="AH13069" s="831" t="s">
        <v>65</v>
      </c>
      <c r="AI13069" s="831">
        <v>0</v>
      </c>
      <c r="AJ13069" s="835">
        <v>41060</v>
      </c>
      <c r="AK13069" s="831">
        <v>38110599</v>
      </c>
    </row>
    <row r="13070" spans="2:37">
      <c r="B13070" s="834" t="str">
        <f t="shared" si="487"/>
        <v>|||</v>
      </c>
      <c r="H13070" s="835">
        <f t="shared" si="488"/>
        <v>31</v>
      </c>
      <c r="AF13070" s="831" t="s">
        <v>10345</v>
      </c>
      <c r="AG13070" s="831" t="s">
        <v>2674</v>
      </c>
      <c r="AH13070" s="831" t="s">
        <v>89</v>
      </c>
      <c r="AI13070" s="831">
        <v>0</v>
      </c>
      <c r="AJ13070" s="835">
        <v>41060</v>
      </c>
      <c r="AK13070" s="831">
        <v>122430</v>
      </c>
    </row>
    <row r="13071" spans="2:37">
      <c r="B13071" s="834" t="str">
        <f t="shared" si="487"/>
        <v>|||</v>
      </c>
      <c r="H13071" s="835">
        <f t="shared" si="488"/>
        <v>31</v>
      </c>
      <c r="AF13071" s="831" t="s">
        <v>10346</v>
      </c>
      <c r="AG13071" s="831" t="s">
        <v>2674</v>
      </c>
      <c r="AH13071" s="831" t="s">
        <v>557</v>
      </c>
      <c r="AI13071" s="831">
        <v>0</v>
      </c>
      <c r="AJ13071" s="835">
        <v>41060</v>
      </c>
      <c r="AK13071" s="831">
        <v>124207</v>
      </c>
    </row>
    <row r="13072" spans="2:37">
      <c r="B13072" s="834" t="str">
        <f t="shared" si="487"/>
        <v>|||</v>
      </c>
      <c r="H13072" s="835">
        <f t="shared" si="488"/>
        <v>31</v>
      </c>
      <c r="AF13072" s="831" t="s">
        <v>10347</v>
      </c>
      <c r="AG13072" s="831" t="s">
        <v>2674</v>
      </c>
      <c r="AH13072" s="831" t="s">
        <v>29</v>
      </c>
      <c r="AI13072" s="831">
        <v>0</v>
      </c>
      <c r="AJ13072" s="835">
        <v>41060</v>
      </c>
      <c r="AK13072" s="831">
        <v>2528808</v>
      </c>
    </row>
    <row r="13073" spans="2:37">
      <c r="B13073" s="834" t="str">
        <f t="shared" ref="B13073:B13136" si="489">C13073&amp;"|"&amp;D13073&amp;"|"&amp;E13073&amp;"|"&amp;F13073</f>
        <v>|||</v>
      </c>
      <c r="H13073" s="835">
        <f t="shared" ref="H13073:H13136" si="490">EOMONTH(L13073,0)</f>
        <v>31</v>
      </c>
      <c r="AF13073" s="831" t="s">
        <v>10348</v>
      </c>
      <c r="AG13073" s="831" t="s">
        <v>2674</v>
      </c>
      <c r="AH13073" s="831" t="s">
        <v>2688</v>
      </c>
      <c r="AI13073" s="831">
        <v>0</v>
      </c>
      <c r="AJ13073" s="835">
        <v>41060</v>
      </c>
      <c r="AK13073" s="831">
        <v>3036435</v>
      </c>
    </row>
    <row r="13074" spans="2:37">
      <c r="B13074" s="834" t="str">
        <f t="shared" si="489"/>
        <v>|||</v>
      </c>
      <c r="H13074" s="835">
        <f t="shared" si="490"/>
        <v>31</v>
      </c>
      <c r="AF13074" s="831" t="s">
        <v>10349</v>
      </c>
      <c r="AG13074" s="831" t="s">
        <v>2674</v>
      </c>
      <c r="AH13074" s="831" t="s">
        <v>556</v>
      </c>
      <c r="AI13074" s="831">
        <v>0</v>
      </c>
      <c r="AJ13074" s="835">
        <v>41060</v>
      </c>
      <c r="AK13074" s="831">
        <v>0</v>
      </c>
    </row>
    <row r="13075" spans="2:37">
      <c r="B13075" s="834" t="str">
        <f t="shared" si="489"/>
        <v>|||</v>
      </c>
      <c r="H13075" s="835">
        <f t="shared" si="490"/>
        <v>31</v>
      </c>
      <c r="AF13075" s="831" t="s">
        <v>10350</v>
      </c>
      <c r="AG13075" s="831" t="s">
        <v>2674</v>
      </c>
      <c r="AH13075" s="831" t="s">
        <v>555</v>
      </c>
      <c r="AI13075" s="831">
        <v>0</v>
      </c>
      <c r="AJ13075" s="835">
        <v>41060</v>
      </c>
      <c r="AK13075" s="831">
        <v>196148980</v>
      </c>
    </row>
    <row r="13076" spans="2:37">
      <c r="B13076" s="834" t="str">
        <f t="shared" si="489"/>
        <v>|||</v>
      </c>
      <c r="H13076" s="835">
        <f t="shared" si="490"/>
        <v>31</v>
      </c>
      <c r="AF13076" s="831" t="s">
        <v>10351</v>
      </c>
      <c r="AG13076" s="831" t="s">
        <v>2674</v>
      </c>
      <c r="AH13076" s="831" t="s">
        <v>554</v>
      </c>
      <c r="AI13076" s="831">
        <v>0</v>
      </c>
      <c r="AJ13076" s="835">
        <v>41060</v>
      </c>
      <c r="AK13076" s="831">
        <v>194772980</v>
      </c>
    </row>
    <row r="13077" spans="2:37">
      <c r="B13077" s="834" t="str">
        <f t="shared" si="489"/>
        <v>|||</v>
      </c>
      <c r="H13077" s="835">
        <f t="shared" si="490"/>
        <v>31</v>
      </c>
      <c r="AF13077" s="831" t="s">
        <v>10352</v>
      </c>
      <c r="AG13077" s="831" t="s">
        <v>2674</v>
      </c>
      <c r="AH13077" s="831" t="s">
        <v>553</v>
      </c>
      <c r="AI13077" s="831">
        <v>0</v>
      </c>
      <c r="AJ13077" s="835">
        <v>41060</v>
      </c>
      <c r="AK13077" s="831">
        <v>0</v>
      </c>
    </row>
    <row r="13078" spans="2:37">
      <c r="B13078" s="834" t="str">
        <f t="shared" si="489"/>
        <v>|||</v>
      </c>
      <c r="H13078" s="835">
        <f t="shared" si="490"/>
        <v>31</v>
      </c>
      <c r="AF13078" s="831" t="s">
        <v>10353</v>
      </c>
      <c r="AG13078" s="831" t="s">
        <v>2674</v>
      </c>
      <c r="AH13078" s="831" t="s">
        <v>552</v>
      </c>
      <c r="AI13078" s="831">
        <v>0</v>
      </c>
      <c r="AJ13078" s="835">
        <v>41060</v>
      </c>
      <c r="AK13078" s="831">
        <v>0</v>
      </c>
    </row>
    <row r="13079" spans="2:37">
      <c r="B13079" s="834" t="str">
        <f t="shared" si="489"/>
        <v>|||</v>
      </c>
      <c r="H13079" s="835">
        <f t="shared" si="490"/>
        <v>31</v>
      </c>
      <c r="AF13079" s="831" t="s">
        <v>10354</v>
      </c>
      <c r="AG13079" s="831" t="s">
        <v>2674</v>
      </c>
      <c r="AH13079" s="831" t="s">
        <v>551</v>
      </c>
      <c r="AI13079" s="831">
        <v>0</v>
      </c>
      <c r="AJ13079" s="835">
        <v>41060</v>
      </c>
      <c r="AK13079" s="831">
        <v>2340522</v>
      </c>
    </row>
    <row r="13080" spans="2:37">
      <c r="B13080" s="834" t="str">
        <f t="shared" si="489"/>
        <v>|||</v>
      </c>
      <c r="H13080" s="835">
        <f t="shared" si="490"/>
        <v>31</v>
      </c>
      <c r="AF13080" s="831" t="s">
        <v>10355</v>
      </c>
      <c r="AG13080" s="831" t="s">
        <v>2674</v>
      </c>
      <c r="AH13080" s="831" t="s">
        <v>550</v>
      </c>
      <c r="AI13080" s="831">
        <v>0</v>
      </c>
      <c r="AJ13080" s="835">
        <v>41060</v>
      </c>
      <c r="AK13080" s="831">
        <v>0</v>
      </c>
    </row>
    <row r="13081" spans="2:37">
      <c r="B13081" s="834" t="str">
        <f t="shared" si="489"/>
        <v>|||</v>
      </c>
      <c r="H13081" s="835">
        <f t="shared" si="490"/>
        <v>31</v>
      </c>
      <c r="AF13081" s="831" t="s">
        <v>10356</v>
      </c>
      <c r="AG13081" s="831" t="s">
        <v>2674</v>
      </c>
      <c r="AH13081" s="831" t="s">
        <v>562</v>
      </c>
      <c r="AI13081" s="831">
        <v>0</v>
      </c>
      <c r="AJ13081" s="835">
        <v>41060</v>
      </c>
      <c r="AK13081" s="831">
        <v>0.78515000000000001</v>
      </c>
    </row>
    <row r="13082" spans="2:37">
      <c r="B13082" s="834" t="str">
        <f t="shared" si="489"/>
        <v>|||</v>
      </c>
      <c r="H13082" s="835">
        <f t="shared" si="490"/>
        <v>31</v>
      </c>
      <c r="AF13082" s="831" t="s">
        <v>10357</v>
      </c>
      <c r="AG13082" s="831" t="s">
        <v>2674</v>
      </c>
      <c r="AH13082" s="831" t="s">
        <v>2698</v>
      </c>
      <c r="AI13082" s="831">
        <v>0</v>
      </c>
      <c r="AJ13082" s="835">
        <v>41060</v>
      </c>
      <c r="AK13082" s="831">
        <v>0.78585000000000005</v>
      </c>
    </row>
    <row r="13083" spans="2:37">
      <c r="B13083" s="834" t="str">
        <f t="shared" si="489"/>
        <v>|||</v>
      </c>
      <c r="H13083" s="835">
        <f t="shared" si="490"/>
        <v>31</v>
      </c>
      <c r="AF13083" s="831" t="s">
        <v>10358</v>
      </c>
      <c r="AG13083" s="831" t="s">
        <v>2674</v>
      </c>
      <c r="AH13083" s="831" t="s">
        <v>560</v>
      </c>
      <c r="AI13083" s="831">
        <v>0</v>
      </c>
      <c r="AJ13083" s="835">
        <v>41060</v>
      </c>
      <c r="AK13083" s="831">
        <v>0.78580000000000005</v>
      </c>
    </row>
    <row r="13084" spans="2:37">
      <c r="B13084" s="834" t="str">
        <f t="shared" si="489"/>
        <v>|||</v>
      </c>
      <c r="H13084" s="835">
        <f t="shared" si="490"/>
        <v>31</v>
      </c>
      <c r="AF13084" s="831" t="s">
        <v>10359</v>
      </c>
      <c r="AG13084" s="831" t="s">
        <v>2674</v>
      </c>
      <c r="AH13084" s="831" t="s">
        <v>559</v>
      </c>
      <c r="AI13084" s="831">
        <v>0</v>
      </c>
      <c r="AJ13084" s="835">
        <v>41060</v>
      </c>
      <c r="AK13084" s="831">
        <v>0.78569999999999995</v>
      </c>
    </row>
    <row r="13085" spans="2:37">
      <c r="B13085" s="834" t="str">
        <f t="shared" si="489"/>
        <v>|||</v>
      </c>
      <c r="H13085" s="835">
        <f t="shared" si="490"/>
        <v>31</v>
      </c>
      <c r="AF13085" s="831" t="s">
        <v>10360</v>
      </c>
      <c r="AG13085" s="831" t="s">
        <v>2674</v>
      </c>
      <c r="AH13085" s="831" t="s">
        <v>568</v>
      </c>
      <c r="AI13085" s="831">
        <v>0</v>
      </c>
      <c r="AJ13085" s="835">
        <v>41060</v>
      </c>
      <c r="AK13085" s="831">
        <v>0</v>
      </c>
    </row>
    <row r="13086" spans="2:37">
      <c r="B13086" s="834" t="str">
        <f t="shared" si="489"/>
        <v>|||</v>
      </c>
      <c r="H13086" s="835">
        <f t="shared" si="490"/>
        <v>31</v>
      </c>
      <c r="AF13086" s="831" t="s">
        <v>10361</v>
      </c>
      <c r="AG13086" s="831" t="s">
        <v>2674</v>
      </c>
      <c r="AH13086" s="831" t="s">
        <v>569</v>
      </c>
      <c r="AI13086" s="831">
        <v>0</v>
      </c>
      <c r="AJ13086" s="835">
        <v>41060</v>
      </c>
      <c r="AK13086" s="831">
        <v>0</v>
      </c>
    </row>
    <row r="13087" spans="2:37">
      <c r="B13087" s="834" t="str">
        <f t="shared" si="489"/>
        <v>|||</v>
      </c>
      <c r="H13087" s="835">
        <f t="shared" si="490"/>
        <v>31</v>
      </c>
      <c r="AF13087" s="831" t="s">
        <v>10362</v>
      </c>
      <c r="AG13087" s="831" t="s">
        <v>2674</v>
      </c>
      <c r="AH13087" s="831" t="s">
        <v>570</v>
      </c>
      <c r="AI13087" s="831">
        <v>0</v>
      </c>
      <c r="AJ13087" s="835">
        <v>41060</v>
      </c>
      <c r="AK13087" s="831">
        <v>0</v>
      </c>
    </row>
    <row r="13088" spans="2:37">
      <c r="B13088" s="834" t="str">
        <f t="shared" si="489"/>
        <v>|||</v>
      </c>
      <c r="H13088" s="835">
        <f t="shared" si="490"/>
        <v>31</v>
      </c>
      <c r="AF13088" s="831" t="s">
        <v>10363</v>
      </c>
      <c r="AG13088" s="831" t="s">
        <v>2674</v>
      </c>
      <c r="AH13088" s="831" t="s">
        <v>571</v>
      </c>
      <c r="AI13088" s="831">
        <v>0</v>
      </c>
      <c r="AJ13088" s="835">
        <v>41060</v>
      </c>
      <c r="AK13088" s="831">
        <v>0</v>
      </c>
    </row>
    <row r="13089" spans="2:37">
      <c r="B13089" s="834" t="str">
        <f t="shared" si="489"/>
        <v>|||</v>
      </c>
      <c r="H13089" s="835">
        <f t="shared" si="490"/>
        <v>31</v>
      </c>
      <c r="AF13089" s="831" t="s">
        <v>10364</v>
      </c>
      <c r="AG13089" s="831" t="s">
        <v>2674</v>
      </c>
      <c r="AH13089" s="831" t="s">
        <v>573</v>
      </c>
      <c r="AI13089" s="831">
        <v>0</v>
      </c>
      <c r="AJ13089" s="835">
        <v>41060</v>
      </c>
      <c r="AK13089" s="831">
        <v>0</v>
      </c>
    </row>
    <row r="13090" spans="2:37">
      <c r="B13090" s="834" t="str">
        <f t="shared" si="489"/>
        <v>|||</v>
      </c>
      <c r="H13090" s="835">
        <f t="shared" si="490"/>
        <v>31</v>
      </c>
      <c r="AF13090" s="831" t="s">
        <v>10365</v>
      </c>
      <c r="AG13090" s="831" t="s">
        <v>2674</v>
      </c>
      <c r="AH13090" s="831" t="s">
        <v>574</v>
      </c>
      <c r="AI13090" s="831">
        <v>0</v>
      </c>
      <c r="AJ13090" s="835">
        <v>41060</v>
      </c>
      <c r="AK13090" s="831">
        <v>0</v>
      </c>
    </row>
    <row r="13091" spans="2:37">
      <c r="B13091" s="834" t="str">
        <f t="shared" si="489"/>
        <v>|||</v>
      </c>
      <c r="H13091" s="835">
        <f t="shared" si="490"/>
        <v>31</v>
      </c>
      <c r="AF13091" s="831" t="s">
        <v>10366</v>
      </c>
      <c r="AG13091" s="831" t="s">
        <v>2674</v>
      </c>
      <c r="AH13091" s="831" t="s">
        <v>575</v>
      </c>
      <c r="AI13091" s="831">
        <v>0</v>
      </c>
      <c r="AJ13091" s="835">
        <v>41060</v>
      </c>
      <c r="AK13091" s="831">
        <v>0</v>
      </c>
    </row>
    <row r="13092" spans="2:37">
      <c r="B13092" s="834" t="str">
        <f t="shared" si="489"/>
        <v>|||</v>
      </c>
      <c r="H13092" s="835">
        <f t="shared" si="490"/>
        <v>31</v>
      </c>
      <c r="AF13092" s="831" t="s">
        <v>10367</v>
      </c>
      <c r="AG13092" s="831" t="s">
        <v>2674</v>
      </c>
      <c r="AH13092" s="831" t="s">
        <v>576</v>
      </c>
      <c r="AI13092" s="831">
        <v>0</v>
      </c>
      <c r="AJ13092" s="835">
        <v>41060</v>
      </c>
      <c r="AK13092" s="831">
        <v>0</v>
      </c>
    </row>
    <row r="13093" spans="2:37">
      <c r="B13093" s="834" t="str">
        <f t="shared" si="489"/>
        <v>|||</v>
      </c>
      <c r="H13093" s="835">
        <f t="shared" si="490"/>
        <v>31</v>
      </c>
      <c r="AF13093" s="831" t="s">
        <v>10368</v>
      </c>
      <c r="AG13093" s="831" t="s">
        <v>2674</v>
      </c>
      <c r="AH13093" s="831" t="s">
        <v>572</v>
      </c>
      <c r="AI13093" s="831">
        <v>0</v>
      </c>
      <c r="AJ13093" s="835">
        <v>41060</v>
      </c>
      <c r="AK13093" s="831">
        <v>-2146826246</v>
      </c>
    </row>
    <row r="13094" spans="2:37">
      <c r="B13094" s="834" t="str">
        <f t="shared" si="489"/>
        <v>|||</v>
      </c>
      <c r="H13094" s="835">
        <f t="shared" si="490"/>
        <v>31</v>
      </c>
      <c r="AF13094" s="831" t="s">
        <v>10369</v>
      </c>
      <c r="AG13094" s="831" t="s">
        <v>2674</v>
      </c>
      <c r="AH13094" s="831" t="s">
        <v>577</v>
      </c>
      <c r="AI13094" s="831">
        <v>0</v>
      </c>
      <c r="AJ13094" s="835">
        <v>41060</v>
      </c>
      <c r="AK13094" s="831">
        <v>-2146826246</v>
      </c>
    </row>
    <row r="13095" spans="2:37">
      <c r="B13095" s="834" t="str">
        <f t="shared" si="489"/>
        <v>|||</v>
      </c>
      <c r="H13095" s="835">
        <f t="shared" si="490"/>
        <v>31</v>
      </c>
      <c r="AF13095" s="831" t="s">
        <v>10370</v>
      </c>
      <c r="AG13095" s="831" t="s">
        <v>2674</v>
      </c>
      <c r="AH13095" s="831" t="s">
        <v>3042</v>
      </c>
      <c r="AI13095" s="831">
        <v>0</v>
      </c>
      <c r="AJ13095" s="835">
        <v>41060</v>
      </c>
      <c r="AK13095" s="831">
        <v>-2146826246</v>
      </c>
    </row>
    <row r="13096" spans="2:37">
      <c r="B13096" s="834" t="str">
        <f t="shared" si="489"/>
        <v>|||</v>
      </c>
      <c r="H13096" s="835">
        <f t="shared" si="490"/>
        <v>31</v>
      </c>
      <c r="AF13096" s="831" t="s">
        <v>10371</v>
      </c>
      <c r="AG13096" s="831" t="s">
        <v>2674</v>
      </c>
      <c r="AH13096" s="831" t="s">
        <v>3044</v>
      </c>
      <c r="AI13096" s="831">
        <v>0</v>
      </c>
      <c r="AJ13096" s="835">
        <v>41060</v>
      </c>
      <c r="AK13096" s="831">
        <v>-2146826246</v>
      </c>
    </row>
    <row r="13097" spans="2:37">
      <c r="B13097" s="834" t="str">
        <f t="shared" si="489"/>
        <v>|||</v>
      </c>
      <c r="H13097" s="835">
        <f t="shared" si="490"/>
        <v>31</v>
      </c>
      <c r="AF13097" s="831" t="s">
        <v>10372</v>
      </c>
      <c r="AG13097" s="831" t="s">
        <v>2674</v>
      </c>
      <c r="AH13097" s="831" t="s">
        <v>580</v>
      </c>
      <c r="AI13097" s="831">
        <v>0</v>
      </c>
      <c r="AJ13097" s="835">
        <v>41060</v>
      </c>
      <c r="AK13097" s="831">
        <v>-2146826246</v>
      </c>
    </row>
    <row r="13098" spans="2:37">
      <c r="B13098" s="834" t="str">
        <f t="shared" si="489"/>
        <v>|||</v>
      </c>
      <c r="H13098" s="835">
        <f t="shared" si="490"/>
        <v>31</v>
      </c>
      <c r="AF13098" s="831" t="s">
        <v>10373</v>
      </c>
      <c r="AG13098" s="831" t="s">
        <v>2674</v>
      </c>
      <c r="AH13098" s="831" t="s">
        <v>581</v>
      </c>
      <c r="AI13098" s="831">
        <v>0</v>
      </c>
      <c r="AJ13098" s="835">
        <v>41060</v>
      </c>
      <c r="AK13098" s="831">
        <v>-2146826246</v>
      </c>
    </row>
    <row r="13099" spans="2:37">
      <c r="B13099" s="834" t="str">
        <f t="shared" si="489"/>
        <v>|||</v>
      </c>
      <c r="H13099" s="835">
        <f t="shared" si="490"/>
        <v>31</v>
      </c>
      <c r="AF13099" s="831" t="s">
        <v>10374</v>
      </c>
      <c r="AG13099" s="831" t="s">
        <v>2674</v>
      </c>
      <c r="AH13099" s="831" t="s">
        <v>105</v>
      </c>
      <c r="AI13099" s="831">
        <v>0</v>
      </c>
      <c r="AJ13099" s="835">
        <v>41060</v>
      </c>
      <c r="AK13099" s="831">
        <v>149985593</v>
      </c>
    </row>
    <row r="13100" spans="2:37">
      <c r="B13100" s="834" t="str">
        <f t="shared" si="489"/>
        <v>|||</v>
      </c>
      <c r="H13100" s="835">
        <f t="shared" si="490"/>
        <v>31</v>
      </c>
      <c r="AF13100" s="831" t="s">
        <v>10375</v>
      </c>
      <c r="AG13100" s="831" t="s">
        <v>2674</v>
      </c>
      <c r="AH13100" s="831" t="s">
        <v>3049</v>
      </c>
      <c r="AI13100" s="831">
        <v>0</v>
      </c>
      <c r="AJ13100" s="835">
        <v>41060</v>
      </c>
      <c r="AK13100" s="831">
        <v>309400000</v>
      </c>
    </row>
    <row r="13101" spans="2:37">
      <c r="B13101" s="834" t="str">
        <f t="shared" si="489"/>
        <v>|||</v>
      </c>
      <c r="H13101" s="835">
        <f t="shared" si="490"/>
        <v>31</v>
      </c>
      <c r="AF13101" s="831" t="s">
        <v>10376</v>
      </c>
      <c r="AG13101" s="831" t="s">
        <v>2674</v>
      </c>
      <c r="AH13101" s="831" t="s">
        <v>103</v>
      </c>
      <c r="AI13101" s="831">
        <v>0</v>
      </c>
      <c r="AJ13101" s="835">
        <v>41060</v>
      </c>
      <c r="AK13101" s="831">
        <v>159414407</v>
      </c>
    </row>
    <row r="13102" spans="2:37">
      <c r="B13102" s="834" t="str">
        <f t="shared" si="489"/>
        <v>|||</v>
      </c>
      <c r="H13102" s="835">
        <f t="shared" si="490"/>
        <v>31</v>
      </c>
      <c r="AF13102" s="831" t="s">
        <v>10377</v>
      </c>
      <c r="AG13102" s="831" t="s">
        <v>2674</v>
      </c>
      <c r="AH13102" s="831" t="s">
        <v>182</v>
      </c>
      <c r="AI13102" s="831">
        <v>0</v>
      </c>
      <c r="AJ13102" s="835">
        <v>41060</v>
      </c>
      <c r="AK13102" s="831">
        <v>50472969.600000001</v>
      </c>
    </row>
    <row r="13103" spans="2:37">
      <c r="B13103" s="834" t="str">
        <f t="shared" si="489"/>
        <v>|||</v>
      </c>
      <c r="H13103" s="835">
        <f t="shared" si="490"/>
        <v>31</v>
      </c>
      <c r="AF13103" s="831" t="s">
        <v>10378</v>
      </c>
      <c r="AG13103" s="831" t="s">
        <v>2674</v>
      </c>
      <c r="AH13103" s="831" t="s">
        <v>6600</v>
      </c>
      <c r="AI13103" s="831">
        <v>0</v>
      </c>
      <c r="AJ13103" s="835">
        <v>41060</v>
      </c>
      <c r="AK13103" s="831">
        <v>-2146826246</v>
      </c>
    </row>
    <row r="13104" spans="2:37">
      <c r="B13104" s="834" t="str">
        <f t="shared" si="489"/>
        <v>|||</v>
      </c>
      <c r="H13104" s="835">
        <f t="shared" si="490"/>
        <v>31</v>
      </c>
      <c r="AF13104" s="831" t="s">
        <v>10379</v>
      </c>
      <c r="AG13104" s="831" t="s">
        <v>2674</v>
      </c>
      <c r="AH13104" s="831" t="s">
        <v>6602</v>
      </c>
      <c r="AI13104" s="831">
        <v>0</v>
      </c>
      <c r="AJ13104" s="835">
        <v>41060</v>
      </c>
      <c r="AK13104" s="831">
        <v>5197337</v>
      </c>
    </row>
    <row r="13105" spans="2:37">
      <c r="B13105" s="834" t="str">
        <f t="shared" si="489"/>
        <v>|||</v>
      </c>
      <c r="H13105" s="835">
        <f t="shared" si="490"/>
        <v>31</v>
      </c>
      <c r="AF13105" s="831" t="s">
        <v>10380</v>
      </c>
      <c r="AG13105" s="831" t="s">
        <v>2674</v>
      </c>
      <c r="AH13105" s="831" t="s">
        <v>650</v>
      </c>
      <c r="AI13105" s="831">
        <v>0</v>
      </c>
      <c r="AJ13105" s="835">
        <v>41060</v>
      </c>
      <c r="AK13105" s="831">
        <v>0</v>
      </c>
    </row>
    <row r="13106" spans="2:37">
      <c r="B13106" s="834" t="str">
        <f t="shared" si="489"/>
        <v>|||</v>
      </c>
      <c r="H13106" s="835">
        <f t="shared" si="490"/>
        <v>31</v>
      </c>
      <c r="AF13106" s="831" t="s">
        <v>10381</v>
      </c>
      <c r="AG13106" s="831" t="s">
        <v>2674</v>
      </c>
      <c r="AH13106" s="831" t="s">
        <v>655</v>
      </c>
      <c r="AI13106" s="831">
        <v>0</v>
      </c>
      <c r="AJ13106" s="835">
        <v>41060</v>
      </c>
      <c r="AK13106" s="831">
        <v>2125799</v>
      </c>
    </row>
    <row r="13107" spans="2:37">
      <c r="B13107" s="834" t="str">
        <f t="shared" si="489"/>
        <v>|||</v>
      </c>
      <c r="H13107" s="835">
        <f t="shared" si="490"/>
        <v>31</v>
      </c>
      <c r="AF13107" s="831" t="s">
        <v>10382</v>
      </c>
      <c r="AG13107" s="831" t="s">
        <v>2674</v>
      </c>
      <c r="AH13107" s="831" t="s">
        <v>546</v>
      </c>
      <c r="AI13107" s="831">
        <v>0</v>
      </c>
      <c r="AJ13107" s="835">
        <v>41090</v>
      </c>
      <c r="AK13107" s="831">
        <v>342628450</v>
      </c>
    </row>
    <row r="13108" spans="2:37">
      <c r="B13108" s="834" t="str">
        <f t="shared" si="489"/>
        <v>|||</v>
      </c>
      <c r="H13108" s="835">
        <f t="shared" si="490"/>
        <v>31</v>
      </c>
      <c r="AF13108" s="831" t="s">
        <v>10383</v>
      </c>
      <c r="AG13108" s="831" t="s">
        <v>2674</v>
      </c>
      <c r="AH13108" s="831" t="s">
        <v>370</v>
      </c>
      <c r="AI13108" s="831">
        <v>0</v>
      </c>
      <c r="AJ13108" s="835">
        <v>41090</v>
      </c>
      <c r="AK13108" s="831">
        <v>422295379</v>
      </c>
    </row>
    <row r="13109" spans="2:37">
      <c r="B13109" s="834" t="str">
        <f t="shared" si="489"/>
        <v>|||</v>
      </c>
      <c r="H13109" s="835">
        <f t="shared" si="490"/>
        <v>31</v>
      </c>
      <c r="AF13109" s="831" t="s">
        <v>10384</v>
      </c>
      <c r="AG13109" s="831" t="s">
        <v>2674</v>
      </c>
      <c r="AH13109" s="831" t="s">
        <v>126</v>
      </c>
      <c r="AI13109" s="831">
        <v>0</v>
      </c>
      <c r="AJ13109" s="835">
        <v>41090</v>
      </c>
      <c r="AK13109" s="831">
        <v>91675016</v>
      </c>
    </row>
    <row r="13110" spans="2:37">
      <c r="B13110" s="834" t="str">
        <f t="shared" si="489"/>
        <v>|||</v>
      </c>
      <c r="H13110" s="835">
        <f t="shared" si="490"/>
        <v>31</v>
      </c>
      <c r="AF13110" s="831" t="s">
        <v>10385</v>
      </c>
      <c r="AG13110" s="831" t="s">
        <v>2674</v>
      </c>
      <c r="AH13110" s="831" t="s">
        <v>268</v>
      </c>
      <c r="AI13110" s="831">
        <v>0</v>
      </c>
      <c r="AJ13110" s="835">
        <v>41090</v>
      </c>
      <c r="AK13110" s="831">
        <v>6352093</v>
      </c>
    </row>
    <row r="13111" spans="2:37">
      <c r="B13111" s="834" t="str">
        <f t="shared" si="489"/>
        <v>|||</v>
      </c>
      <c r="H13111" s="835">
        <f t="shared" si="490"/>
        <v>31</v>
      </c>
      <c r="AF13111" s="831" t="s">
        <v>10386</v>
      </c>
      <c r="AG13111" s="831" t="s">
        <v>2674</v>
      </c>
      <c r="AH13111" s="831" t="s">
        <v>547</v>
      </c>
      <c r="AI13111" s="831">
        <v>0</v>
      </c>
      <c r="AJ13111" s="835">
        <v>41090</v>
      </c>
      <c r="AK13111" s="831">
        <v>0</v>
      </c>
    </row>
    <row r="13112" spans="2:37">
      <c r="B13112" s="834" t="str">
        <f t="shared" si="489"/>
        <v>|||</v>
      </c>
      <c r="H13112" s="835">
        <f t="shared" si="490"/>
        <v>31</v>
      </c>
      <c r="AF13112" s="831" t="s">
        <v>10387</v>
      </c>
      <c r="AG13112" s="831" t="s">
        <v>2674</v>
      </c>
      <c r="AH13112" s="831" t="s">
        <v>548</v>
      </c>
      <c r="AI13112" s="831">
        <v>0</v>
      </c>
      <c r="AJ13112" s="835">
        <v>41090</v>
      </c>
      <c r="AK13112" s="831">
        <v>0</v>
      </c>
    </row>
    <row r="13113" spans="2:37">
      <c r="B13113" s="834" t="str">
        <f t="shared" si="489"/>
        <v>|||</v>
      </c>
      <c r="H13113" s="835">
        <f t="shared" si="490"/>
        <v>31</v>
      </c>
      <c r="AF13113" s="831" t="s">
        <v>10388</v>
      </c>
      <c r="AG13113" s="831" t="s">
        <v>2674</v>
      </c>
      <c r="AH13113" s="831" t="s">
        <v>549</v>
      </c>
      <c r="AI13113" s="831">
        <v>0</v>
      </c>
      <c r="AJ13113" s="835">
        <v>41090</v>
      </c>
      <c r="AK13113" s="831">
        <v>0</v>
      </c>
    </row>
    <row r="13114" spans="2:37">
      <c r="B13114" s="834" t="str">
        <f t="shared" si="489"/>
        <v>|||</v>
      </c>
      <c r="H13114" s="835">
        <f t="shared" si="490"/>
        <v>31</v>
      </c>
      <c r="AF13114" s="831" t="s">
        <v>10389</v>
      </c>
      <c r="AG13114" s="831" t="s">
        <v>2674</v>
      </c>
      <c r="AH13114" s="831" t="s">
        <v>192</v>
      </c>
      <c r="AI13114" s="831">
        <v>0</v>
      </c>
      <c r="AJ13114" s="835">
        <v>41090</v>
      </c>
      <c r="AK13114" s="831">
        <v>-9357224</v>
      </c>
    </row>
    <row r="13115" spans="2:37">
      <c r="B13115" s="834" t="str">
        <f t="shared" si="489"/>
        <v>|||</v>
      </c>
      <c r="H13115" s="835">
        <f t="shared" si="490"/>
        <v>31</v>
      </c>
      <c r="AF13115" s="831" t="s">
        <v>10390</v>
      </c>
      <c r="AG13115" s="831" t="s">
        <v>2674</v>
      </c>
      <c r="AH13115" s="831" t="s">
        <v>558</v>
      </c>
      <c r="AI13115" s="831">
        <v>0</v>
      </c>
      <c r="AJ13115" s="835">
        <v>41090</v>
      </c>
      <c r="AK13115" s="831">
        <v>330620363</v>
      </c>
    </row>
    <row r="13116" spans="2:37">
      <c r="B13116" s="834" t="str">
        <f t="shared" si="489"/>
        <v>|||</v>
      </c>
      <c r="H13116" s="835">
        <f t="shared" si="490"/>
        <v>31</v>
      </c>
      <c r="AF13116" s="831" t="s">
        <v>10391</v>
      </c>
      <c r="AG13116" s="831" t="s">
        <v>2674</v>
      </c>
      <c r="AH13116" s="831" t="s">
        <v>65</v>
      </c>
      <c r="AI13116" s="831">
        <v>0</v>
      </c>
      <c r="AJ13116" s="835">
        <v>41090</v>
      </c>
      <c r="AK13116" s="831">
        <v>46070355</v>
      </c>
    </row>
    <row r="13117" spans="2:37">
      <c r="B13117" s="834" t="str">
        <f t="shared" si="489"/>
        <v>|||</v>
      </c>
      <c r="H13117" s="835">
        <f t="shared" si="490"/>
        <v>31</v>
      </c>
      <c r="AF13117" s="831" t="s">
        <v>10392</v>
      </c>
      <c r="AG13117" s="831" t="s">
        <v>2674</v>
      </c>
      <c r="AH13117" s="831" t="s">
        <v>89</v>
      </c>
      <c r="AI13117" s="831">
        <v>0</v>
      </c>
      <c r="AJ13117" s="835">
        <v>41090</v>
      </c>
      <c r="AK13117" s="831">
        <v>122094</v>
      </c>
    </row>
    <row r="13118" spans="2:37">
      <c r="B13118" s="834" t="str">
        <f t="shared" si="489"/>
        <v>|||</v>
      </c>
      <c r="H13118" s="835">
        <f t="shared" si="490"/>
        <v>31</v>
      </c>
      <c r="AF13118" s="831" t="s">
        <v>10393</v>
      </c>
      <c r="AG13118" s="831" t="s">
        <v>2674</v>
      </c>
      <c r="AH13118" s="831" t="s">
        <v>557</v>
      </c>
      <c r="AI13118" s="831">
        <v>0</v>
      </c>
      <c r="AJ13118" s="835">
        <v>41090</v>
      </c>
      <c r="AK13118" s="831">
        <v>123933</v>
      </c>
    </row>
    <row r="13119" spans="2:37">
      <c r="B13119" s="834" t="str">
        <f t="shared" si="489"/>
        <v>|||</v>
      </c>
      <c r="H13119" s="835">
        <f t="shared" si="490"/>
        <v>31</v>
      </c>
      <c r="AF13119" s="831" t="s">
        <v>10394</v>
      </c>
      <c r="AG13119" s="831" t="s">
        <v>2674</v>
      </c>
      <c r="AH13119" s="831" t="s">
        <v>29</v>
      </c>
      <c r="AI13119" s="831">
        <v>0</v>
      </c>
      <c r="AJ13119" s="835">
        <v>41090</v>
      </c>
      <c r="AK13119" s="831">
        <v>2579950</v>
      </c>
    </row>
    <row r="13120" spans="2:37">
      <c r="B13120" s="834" t="str">
        <f t="shared" si="489"/>
        <v>|||</v>
      </c>
      <c r="H13120" s="835">
        <f t="shared" si="490"/>
        <v>31</v>
      </c>
      <c r="AF13120" s="831" t="s">
        <v>10395</v>
      </c>
      <c r="AG13120" s="831" t="s">
        <v>2674</v>
      </c>
      <c r="AH13120" s="831" t="s">
        <v>2688</v>
      </c>
      <c r="AI13120" s="831">
        <v>0</v>
      </c>
      <c r="AJ13120" s="835">
        <v>41090</v>
      </c>
      <c r="AK13120" s="831">
        <v>2983420</v>
      </c>
    </row>
    <row r="13121" spans="2:37">
      <c r="B13121" s="834" t="str">
        <f t="shared" si="489"/>
        <v>|||</v>
      </c>
      <c r="H13121" s="835">
        <f t="shared" si="490"/>
        <v>31</v>
      </c>
      <c r="AF13121" s="831" t="s">
        <v>10396</v>
      </c>
      <c r="AG13121" s="831" t="s">
        <v>2674</v>
      </c>
      <c r="AH13121" s="831" t="s">
        <v>556</v>
      </c>
      <c r="AI13121" s="831">
        <v>0</v>
      </c>
      <c r="AJ13121" s="835">
        <v>41090</v>
      </c>
      <c r="AK13121" s="831">
        <v>0</v>
      </c>
    </row>
    <row r="13122" spans="2:37">
      <c r="B13122" s="834" t="str">
        <f t="shared" si="489"/>
        <v>|||</v>
      </c>
      <c r="H13122" s="835">
        <f t="shared" si="490"/>
        <v>31</v>
      </c>
      <c r="AF13122" s="831" t="s">
        <v>10397</v>
      </c>
      <c r="AG13122" s="831" t="s">
        <v>2674</v>
      </c>
      <c r="AH13122" s="831" t="s">
        <v>555</v>
      </c>
      <c r="AI13122" s="831">
        <v>0</v>
      </c>
      <c r="AJ13122" s="835">
        <v>41090</v>
      </c>
      <c r="AK13122" s="831">
        <v>197249400</v>
      </c>
    </row>
    <row r="13123" spans="2:37">
      <c r="B13123" s="834" t="str">
        <f t="shared" si="489"/>
        <v>|||</v>
      </c>
      <c r="H13123" s="835">
        <f t="shared" si="490"/>
        <v>31</v>
      </c>
      <c r="AF13123" s="831" t="s">
        <v>10398</v>
      </c>
      <c r="AG13123" s="831" t="s">
        <v>2674</v>
      </c>
      <c r="AH13123" s="831" t="s">
        <v>554</v>
      </c>
      <c r="AI13123" s="831">
        <v>0</v>
      </c>
      <c r="AJ13123" s="835">
        <v>41090</v>
      </c>
      <c r="AK13123" s="831">
        <v>196927620</v>
      </c>
    </row>
    <row r="13124" spans="2:37">
      <c r="B13124" s="834" t="str">
        <f t="shared" si="489"/>
        <v>|||</v>
      </c>
      <c r="H13124" s="835">
        <f t="shared" si="490"/>
        <v>31</v>
      </c>
      <c r="AF13124" s="831" t="s">
        <v>10399</v>
      </c>
      <c r="AG13124" s="831" t="s">
        <v>2674</v>
      </c>
      <c r="AH13124" s="831" t="s">
        <v>553</v>
      </c>
      <c r="AI13124" s="831">
        <v>0</v>
      </c>
      <c r="AJ13124" s="835">
        <v>41090</v>
      </c>
      <c r="AK13124" s="831">
        <v>0</v>
      </c>
    </row>
    <row r="13125" spans="2:37">
      <c r="B13125" s="834" t="str">
        <f t="shared" si="489"/>
        <v>|||</v>
      </c>
      <c r="H13125" s="835">
        <f t="shared" si="490"/>
        <v>31</v>
      </c>
      <c r="AF13125" s="831" t="s">
        <v>10400</v>
      </c>
      <c r="AG13125" s="831" t="s">
        <v>2674</v>
      </c>
      <c r="AH13125" s="831" t="s">
        <v>552</v>
      </c>
      <c r="AI13125" s="831">
        <v>0</v>
      </c>
      <c r="AJ13125" s="835">
        <v>41090</v>
      </c>
      <c r="AK13125" s="831">
        <v>0</v>
      </c>
    </row>
    <row r="13126" spans="2:37">
      <c r="B13126" s="834" t="str">
        <f t="shared" si="489"/>
        <v>|||</v>
      </c>
      <c r="H13126" s="835">
        <f t="shared" si="490"/>
        <v>31</v>
      </c>
      <c r="AF13126" s="831" t="s">
        <v>10401</v>
      </c>
      <c r="AG13126" s="831" t="s">
        <v>2674</v>
      </c>
      <c r="AH13126" s="831" t="s">
        <v>551</v>
      </c>
      <c r="AI13126" s="831">
        <v>0</v>
      </c>
      <c r="AJ13126" s="835">
        <v>41090</v>
      </c>
      <c r="AK13126" s="831">
        <v>2420279</v>
      </c>
    </row>
    <row r="13127" spans="2:37">
      <c r="B13127" s="834" t="str">
        <f t="shared" si="489"/>
        <v>|||</v>
      </c>
      <c r="H13127" s="835">
        <f t="shared" si="490"/>
        <v>31</v>
      </c>
      <c r="AF13127" s="831" t="s">
        <v>10402</v>
      </c>
      <c r="AG13127" s="831" t="s">
        <v>2674</v>
      </c>
      <c r="AH13127" s="831" t="s">
        <v>550</v>
      </c>
      <c r="AI13127" s="831">
        <v>0</v>
      </c>
      <c r="AJ13127" s="835">
        <v>41090</v>
      </c>
      <c r="AK13127" s="831">
        <v>90520261</v>
      </c>
    </row>
    <row r="13128" spans="2:37">
      <c r="B13128" s="834" t="str">
        <f t="shared" si="489"/>
        <v>|||</v>
      </c>
      <c r="H13128" s="835">
        <f t="shared" si="490"/>
        <v>31</v>
      </c>
      <c r="AF13128" s="831" t="s">
        <v>10403</v>
      </c>
      <c r="AG13128" s="831" t="s">
        <v>2674</v>
      </c>
      <c r="AH13128" s="831" t="s">
        <v>562</v>
      </c>
      <c r="AI13128" s="831">
        <v>0</v>
      </c>
      <c r="AJ13128" s="835">
        <v>41090</v>
      </c>
      <c r="AK13128" s="831">
        <v>0.78505000000000003</v>
      </c>
    </row>
    <row r="13129" spans="2:37">
      <c r="B13129" s="834" t="str">
        <f t="shared" si="489"/>
        <v>|||</v>
      </c>
      <c r="H13129" s="835">
        <f t="shared" si="490"/>
        <v>31</v>
      </c>
      <c r="AF13129" s="831" t="s">
        <v>10404</v>
      </c>
      <c r="AG13129" s="831" t="s">
        <v>2674</v>
      </c>
      <c r="AH13129" s="831" t="s">
        <v>2698</v>
      </c>
      <c r="AI13129" s="831">
        <v>0</v>
      </c>
      <c r="AJ13129" s="835">
        <v>41090</v>
      </c>
      <c r="AK13129" s="831">
        <v>0.78515000000000001</v>
      </c>
    </row>
    <row r="13130" spans="2:37">
      <c r="B13130" s="834" t="str">
        <f t="shared" si="489"/>
        <v>|||</v>
      </c>
      <c r="H13130" s="835">
        <f t="shared" si="490"/>
        <v>31</v>
      </c>
      <c r="AF13130" s="831" t="s">
        <v>10405</v>
      </c>
      <c r="AG13130" s="831" t="s">
        <v>2674</v>
      </c>
      <c r="AH13130" s="831" t="s">
        <v>560</v>
      </c>
      <c r="AI13130" s="831">
        <v>0</v>
      </c>
      <c r="AJ13130" s="835">
        <v>41090</v>
      </c>
      <c r="AK13130" s="831">
        <v>0.78567500000000001</v>
      </c>
    </row>
    <row r="13131" spans="2:37">
      <c r="B13131" s="834" t="str">
        <f t="shared" si="489"/>
        <v>|||</v>
      </c>
      <c r="H13131" s="835">
        <f t="shared" si="490"/>
        <v>31</v>
      </c>
      <c r="AF13131" s="831" t="s">
        <v>10406</v>
      </c>
      <c r="AG13131" s="831" t="s">
        <v>2674</v>
      </c>
      <c r="AH13131" s="831" t="s">
        <v>559</v>
      </c>
      <c r="AI13131" s="831">
        <v>0</v>
      </c>
      <c r="AJ13131" s="835">
        <v>41090</v>
      </c>
      <c r="AK13131" s="831">
        <v>0.78561666666666674</v>
      </c>
    </row>
    <row r="13132" spans="2:37">
      <c r="B13132" s="834" t="str">
        <f t="shared" si="489"/>
        <v>|||</v>
      </c>
      <c r="H13132" s="835">
        <f t="shared" si="490"/>
        <v>31</v>
      </c>
      <c r="AF13132" s="831" t="s">
        <v>10407</v>
      </c>
      <c r="AG13132" s="831" t="s">
        <v>2674</v>
      </c>
      <c r="AH13132" s="831" t="s">
        <v>568</v>
      </c>
      <c r="AI13132" s="831">
        <v>0</v>
      </c>
      <c r="AJ13132" s="835">
        <v>41090</v>
      </c>
      <c r="AK13132" s="831">
        <v>0</v>
      </c>
    </row>
    <row r="13133" spans="2:37">
      <c r="B13133" s="834" t="str">
        <f t="shared" si="489"/>
        <v>|||</v>
      </c>
      <c r="H13133" s="835">
        <f t="shared" si="490"/>
        <v>31</v>
      </c>
      <c r="AF13133" s="831" t="s">
        <v>10408</v>
      </c>
      <c r="AG13133" s="831" t="s">
        <v>2674</v>
      </c>
      <c r="AH13133" s="831" t="s">
        <v>569</v>
      </c>
      <c r="AI13133" s="831">
        <v>0</v>
      </c>
      <c r="AJ13133" s="835">
        <v>41090</v>
      </c>
      <c r="AK13133" s="831">
        <v>0</v>
      </c>
    </row>
    <row r="13134" spans="2:37">
      <c r="B13134" s="834" t="str">
        <f t="shared" si="489"/>
        <v>|||</v>
      </c>
      <c r="H13134" s="835">
        <f t="shared" si="490"/>
        <v>31</v>
      </c>
      <c r="AF13134" s="831" t="s">
        <v>10409</v>
      </c>
      <c r="AG13134" s="831" t="s">
        <v>2674</v>
      </c>
      <c r="AH13134" s="831" t="s">
        <v>570</v>
      </c>
      <c r="AI13134" s="831">
        <v>0</v>
      </c>
      <c r="AJ13134" s="835">
        <v>41090</v>
      </c>
      <c r="AK13134" s="831">
        <v>0</v>
      </c>
    </row>
    <row r="13135" spans="2:37">
      <c r="B13135" s="834" t="str">
        <f t="shared" si="489"/>
        <v>|||</v>
      </c>
      <c r="H13135" s="835">
        <f t="shared" si="490"/>
        <v>31</v>
      </c>
      <c r="AF13135" s="831" t="s">
        <v>10410</v>
      </c>
      <c r="AG13135" s="831" t="s">
        <v>2674</v>
      </c>
      <c r="AH13135" s="831" t="s">
        <v>571</v>
      </c>
      <c r="AI13135" s="831">
        <v>0</v>
      </c>
      <c r="AJ13135" s="835">
        <v>41090</v>
      </c>
      <c r="AK13135" s="831">
        <v>0</v>
      </c>
    </row>
    <row r="13136" spans="2:37">
      <c r="B13136" s="834" t="str">
        <f t="shared" si="489"/>
        <v>|||</v>
      </c>
      <c r="H13136" s="835">
        <f t="shared" si="490"/>
        <v>31</v>
      </c>
      <c r="AF13136" s="831" t="s">
        <v>10411</v>
      </c>
      <c r="AG13136" s="831" t="s">
        <v>2674</v>
      </c>
      <c r="AH13136" s="831" t="s">
        <v>573</v>
      </c>
      <c r="AI13136" s="831">
        <v>0</v>
      </c>
      <c r="AJ13136" s="835">
        <v>41090</v>
      </c>
      <c r="AK13136" s="831">
        <v>0</v>
      </c>
    </row>
    <row r="13137" spans="2:37">
      <c r="B13137" s="834" t="str">
        <f t="shared" ref="B13137:B13200" si="491">C13137&amp;"|"&amp;D13137&amp;"|"&amp;E13137&amp;"|"&amp;F13137</f>
        <v>|||</v>
      </c>
      <c r="H13137" s="835">
        <f t="shared" ref="H13137:H13200" si="492">EOMONTH(L13137,0)</f>
        <v>31</v>
      </c>
      <c r="AF13137" s="831" t="s">
        <v>10412</v>
      </c>
      <c r="AG13137" s="831" t="s">
        <v>2674</v>
      </c>
      <c r="AH13137" s="831" t="s">
        <v>574</v>
      </c>
      <c r="AI13137" s="831">
        <v>0</v>
      </c>
      <c r="AJ13137" s="835">
        <v>41090</v>
      </c>
      <c r="AK13137" s="831">
        <v>0</v>
      </c>
    </row>
    <row r="13138" spans="2:37">
      <c r="B13138" s="834" t="str">
        <f t="shared" si="491"/>
        <v>|||</v>
      </c>
      <c r="H13138" s="835">
        <f t="shared" si="492"/>
        <v>31</v>
      </c>
      <c r="AF13138" s="831" t="s">
        <v>10413</v>
      </c>
      <c r="AG13138" s="831" t="s">
        <v>2674</v>
      </c>
      <c r="AH13138" s="831" t="s">
        <v>575</v>
      </c>
      <c r="AI13138" s="831">
        <v>0</v>
      </c>
      <c r="AJ13138" s="835">
        <v>41090</v>
      </c>
      <c r="AK13138" s="831">
        <v>0</v>
      </c>
    </row>
    <row r="13139" spans="2:37">
      <c r="B13139" s="834" t="str">
        <f t="shared" si="491"/>
        <v>|||</v>
      </c>
      <c r="H13139" s="835">
        <f t="shared" si="492"/>
        <v>31</v>
      </c>
      <c r="AF13139" s="831" t="s">
        <v>10414</v>
      </c>
      <c r="AG13139" s="831" t="s">
        <v>2674</v>
      </c>
      <c r="AH13139" s="831" t="s">
        <v>576</v>
      </c>
      <c r="AI13139" s="831">
        <v>0</v>
      </c>
      <c r="AJ13139" s="835">
        <v>41090</v>
      </c>
      <c r="AK13139" s="831">
        <v>0</v>
      </c>
    </row>
    <row r="13140" spans="2:37">
      <c r="B13140" s="834" t="str">
        <f t="shared" si="491"/>
        <v>|||</v>
      </c>
      <c r="H13140" s="835">
        <f t="shared" si="492"/>
        <v>31</v>
      </c>
      <c r="AF13140" s="831" t="s">
        <v>10415</v>
      </c>
      <c r="AG13140" s="831" t="s">
        <v>2674</v>
      </c>
      <c r="AH13140" s="831" t="s">
        <v>572</v>
      </c>
      <c r="AI13140" s="831">
        <v>0</v>
      </c>
      <c r="AJ13140" s="835">
        <v>41090</v>
      </c>
      <c r="AK13140" s="831">
        <v>-2146826246</v>
      </c>
    </row>
    <row r="13141" spans="2:37">
      <c r="B13141" s="834" t="str">
        <f t="shared" si="491"/>
        <v>|||</v>
      </c>
      <c r="H13141" s="835">
        <f t="shared" si="492"/>
        <v>31</v>
      </c>
      <c r="AF13141" s="831" t="s">
        <v>10416</v>
      </c>
      <c r="AG13141" s="831" t="s">
        <v>2674</v>
      </c>
      <c r="AH13141" s="831" t="s">
        <v>577</v>
      </c>
      <c r="AI13141" s="831">
        <v>0</v>
      </c>
      <c r="AJ13141" s="835">
        <v>41090</v>
      </c>
      <c r="AK13141" s="831">
        <v>-2146826246</v>
      </c>
    </row>
    <row r="13142" spans="2:37">
      <c r="B13142" s="834" t="str">
        <f t="shared" si="491"/>
        <v>|||</v>
      </c>
      <c r="H13142" s="835">
        <f t="shared" si="492"/>
        <v>31</v>
      </c>
      <c r="AF13142" s="831" t="s">
        <v>10417</v>
      </c>
      <c r="AG13142" s="831" t="s">
        <v>2674</v>
      </c>
      <c r="AH13142" s="831" t="s">
        <v>3042</v>
      </c>
      <c r="AI13142" s="831">
        <v>0</v>
      </c>
      <c r="AJ13142" s="835">
        <v>41090</v>
      </c>
      <c r="AK13142" s="831">
        <v>-2146826246</v>
      </c>
    </row>
    <row r="13143" spans="2:37">
      <c r="B13143" s="834" t="str">
        <f t="shared" si="491"/>
        <v>|||</v>
      </c>
      <c r="H13143" s="835">
        <f t="shared" si="492"/>
        <v>31</v>
      </c>
      <c r="AF13143" s="831" t="s">
        <v>10418</v>
      </c>
      <c r="AG13143" s="831" t="s">
        <v>2674</v>
      </c>
      <c r="AH13143" s="831" t="s">
        <v>3044</v>
      </c>
      <c r="AI13143" s="831">
        <v>0</v>
      </c>
      <c r="AJ13143" s="835">
        <v>41090</v>
      </c>
      <c r="AK13143" s="831">
        <v>-2146826246</v>
      </c>
    </row>
    <row r="13144" spans="2:37">
      <c r="B13144" s="834" t="str">
        <f t="shared" si="491"/>
        <v>|||</v>
      </c>
      <c r="H13144" s="835">
        <f t="shared" si="492"/>
        <v>31</v>
      </c>
      <c r="AF13144" s="831" t="s">
        <v>10419</v>
      </c>
      <c r="AG13144" s="831" t="s">
        <v>2674</v>
      </c>
      <c r="AH13144" s="831" t="s">
        <v>580</v>
      </c>
      <c r="AI13144" s="831">
        <v>0</v>
      </c>
      <c r="AJ13144" s="835">
        <v>41090</v>
      </c>
      <c r="AK13144" s="831">
        <v>-2146826246</v>
      </c>
    </row>
    <row r="13145" spans="2:37">
      <c r="B13145" s="834" t="str">
        <f t="shared" si="491"/>
        <v>|||</v>
      </c>
      <c r="H13145" s="835">
        <f t="shared" si="492"/>
        <v>31</v>
      </c>
      <c r="AF13145" s="831" t="s">
        <v>10420</v>
      </c>
      <c r="AG13145" s="831" t="s">
        <v>2674</v>
      </c>
      <c r="AH13145" s="831" t="s">
        <v>581</v>
      </c>
      <c r="AI13145" s="831">
        <v>0</v>
      </c>
      <c r="AJ13145" s="835">
        <v>41090</v>
      </c>
      <c r="AK13145" s="831">
        <v>-2146826246</v>
      </c>
    </row>
    <row r="13146" spans="2:37">
      <c r="B13146" s="834" t="str">
        <f t="shared" si="491"/>
        <v>|||</v>
      </c>
      <c r="H13146" s="835">
        <f t="shared" si="492"/>
        <v>31</v>
      </c>
      <c r="AF13146" s="831" t="s">
        <v>10421</v>
      </c>
      <c r="AG13146" s="831" t="s">
        <v>2674</v>
      </c>
      <c r="AH13146" s="831" t="s">
        <v>105</v>
      </c>
      <c r="AI13146" s="831">
        <v>0</v>
      </c>
      <c r="AJ13146" s="835">
        <v>41090</v>
      </c>
      <c r="AK13146" s="831">
        <v>152917631</v>
      </c>
    </row>
    <row r="13147" spans="2:37">
      <c r="B13147" s="834" t="str">
        <f t="shared" si="491"/>
        <v>|||</v>
      </c>
      <c r="H13147" s="835">
        <f t="shared" si="492"/>
        <v>31</v>
      </c>
      <c r="AF13147" s="831" t="s">
        <v>10422</v>
      </c>
      <c r="AG13147" s="831" t="s">
        <v>2674</v>
      </c>
      <c r="AH13147" s="831" t="s">
        <v>3049</v>
      </c>
      <c r="AI13147" s="831">
        <v>0</v>
      </c>
      <c r="AJ13147" s="835">
        <v>41090</v>
      </c>
      <c r="AK13147" s="831">
        <v>317640148</v>
      </c>
    </row>
    <row r="13148" spans="2:37">
      <c r="B13148" s="834" t="str">
        <f t="shared" si="491"/>
        <v>|||</v>
      </c>
      <c r="H13148" s="835">
        <f t="shared" si="492"/>
        <v>31</v>
      </c>
      <c r="AF13148" s="831" t="s">
        <v>10423</v>
      </c>
      <c r="AG13148" s="831" t="s">
        <v>2674</v>
      </c>
      <c r="AH13148" s="831" t="s">
        <v>103</v>
      </c>
      <c r="AI13148" s="831">
        <v>0</v>
      </c>
      <c r="AJ13148" s="835">
        <v>41090</v>
      </c>
      <c r="AK13148" s="831">
        <v>164722517</v>
      </c>
    </row>
    <row r="13149" spans="2:37">
      <c r="B13149" s="834" t="str">
        <f t="shared" si="491"/>
        <v>|||</v>
      </c>
      <c r="H13149" s="835">
        <f t="shared" si="492"/>
        <v>31</v>
      </c>
      <c r="AF13149" s="831" t="s">
        <v>10424</v>
      </c>
      <c r="AG13149" s="831" t="s">
        <v>2674</v>
      </c>
      <c r="AH13149" s="831" t="s">
        <v>182</v>
      </c>
      <c r="AI13149" s="831">
        <v>0</v>
      </c>
      <c r="AJ13149" s="835">
        <v>41090</v>
      </c>
      <c r="AK13149" s="831">
        <v>51276754</v>
      </c>
    </row>
    <row r="13150" spans="2:37">
      <c r="B13150" s="834" t="str">
        <f t="shared" si="491"/>
        <v>|||</v>
      </c>
      <c r="H13150" s="835">
        <f t="shared" si="492"/>
        <v>31</v>
      </c>
      <c r="AF13150" s="831" t="s">
        <v>10425</v>
      </c>
      <c r="AG13150" s="831" t="s">
        <v>2674</v>
      </c>
      <c r="AH13150" s="831" t="s">
        <v>6600</v>
      </c>
      <c r="AI13150" s="831">
        <v>0</v>
      </c>
      <c r="AJ13150" s="835">
        <v>41090</v>
      </c>
      <c r="AK13150" s="831">
        <v>-2146826246</v>
      </c>
    </row>
    <row r="13151" spans="2:37">
      <c r="B13151" s="834" t="str">
        <f t="shared" si="491"/>
        <v>|||</v>
      </c>
      <c r="H13151" s="835">
        <f t="shared" si="492"/>
        <v>31</v>
      </c>
      <c r="AF13151" s="831" t="s">
        <v>10426</v>
      </c>
      <c r="AG13151" s="831" t="s">
        <v>2674</v>
      </c>
      <c r="AH13151" s="831" t="s">
        <v>6602</v>
      </c>
      <c r="AI13151" s="831">
        <v>0</v>
      </c>
      <c r="AJ13151" s="835">
        <v>41090</v>
      </c>
      <c r="AK13151" s="831">
        <v>6352093</v>
      </c>
    </row>
    <row r="13152" spans="2:37">
      <c r="B13152" s="834" t="str">
        <f t="shared" si="491"/>
        <v>|||</v>
      </c>
      <c r="H13152" s="835">
        <f t="shared" si="492"/>
        <v>31</v>
      </c>
      <c r="AF13152" s="831" t="s">
        <v>10427</v>
      </c>
      <c r="AG13152" s="831" t="s">
        <v>2674</v>
      </c>
      <c r="AH13152" s="831" t="s">
        <v>650</v>
      </c>
      <c r="AI13152" s="831">
        <v>0</v>
      </c>
      <c r="AJ13152" s="835">
        <v>41090</v>
      </c>
      <c r="AK13152" s="831">
        <v>0</v>
      </c>
    </row>
    <row r="13153" spans="2:37">
      <c r="B13153" s="834" t="str">
        <f t="shared" si="491"/>
        <v>|||</v>
      </c>
      <c r="H13153" s="835">
        <f t="shared" si="492"/>
        <v>31</v>
      </c>
      <c r="AF13153" s="831" t="s">
        <v>10428</v>
      </c>
      <c r="AG13153" s="831" t="s">
        <v>2674</v>
      </c>
      <c r="AH13153" s="831" t="s">
        <v>655</v>
      </c>
      <c r="AI13153" s="831">
        <v>0</v>
      </c>
      <c r="AJ13153" s="835">
        <v>41090</v>
      </c>
      <c r="AK13153" s="831">
        <v>2251978</v>
      </c>
    </row>
    <row r="13154" spans="2:37">
      <c r="B13154" s="834" t="str">
        <f t="shared" si="491"/>
        <v>|||</v>
      </c>
      <c r="H13154" s="835">
        <f t="shared" si="492"/>
        <v>31</v>
      </c>
      <c r="AF13154" s="831" t="s">
        <v>10429</v>
      </c>
      <c r="AG13154" s="831" t="s">
        <v>2674</v>
      </c>
      <c r="AH13154" s="831" t="s">
        <v>546</v>
      </c>
      <c r="AI13154" s="831">
        <v>0</v>
      </c>
      <c r="AJ13154" s="835">
        <v>41121</v>
      </c>
      <c r="AK13154" s="831">
        <v>350104350</v>
      </c>
    </row>
    <row r="13155" spans="2:37">
      <c r="B13155" s="834" t="str">
        <f t="shared" si="491"/>
        <v>|||</v>
      </c>
      <c r="H13155" s="835">
        <f t="shared" si="492"/>
        <v>31</v>
      </c>
      <c r="AF13155" s="831" t="s">
        <v>10430</v>
      </c>
      <c r="AG13155" s="831" t="s">
        <v>2674</v>
      </c>
      <c r="AH13155" s="831" t="s">
        <v>370</v>
      </c>
      <c r="AI13155" s="831">
        <v>0</v>
      </c>
      <c r="AJ13155" s="835">
        <v>41121</v>
      </c>
      <c r="AK13155" s="831">
        <v>438122032</v>
      </c>
    </row>
    <row r="13156" spans="2:37">
      <c r="B13156" s="834" t="str">
        <f t="shared" si="491"/>
        <v>|||</v>
      </c>
      <c r="H13156" s="835">
        <f t="shared" si="492"/>
        <v>31</v>
      </c>
      <c r="AF13156" s="831" t="s">
        <v>10431</v>
      </c>
      <c r="AG13156" s="831" t="s">
        <v>2674</v>
      </c>
      <c r="AH13156" s="831" t="s">
        <v>126</v>
      </c>
      <c r="AI13156" s="831">
        <v>0</v>
      </c>
      <c r="AJ13156" s="835">
        <v>41121</v>
      </c>
      <c r="AK13156" s="831">
        <v>93426827</v>
      </c>
    </row>
    <row r="13157" spans="2:37">
      <c r="B13157" s="834" t="str">
        <f t="shared" si="491"/>
        <v>|||</v>
      </c>
      <c r="H13157" s="835">
        <f t="shared" si="492"/>
        <v>31</v>
      </c>
      <c r="AF13157" s="831" t="s">
        <v>10432</v>
      </c>
      <c r="AG13157" s="831" t="s">
        <v>2674</v>
      </c>
      <c r="AH13157" s="831" t="s">
        <v>268</v>
      </c>
      <c r="AI13157" s="831">
        <v>0</v>
      </c>
      <c r="AJ13157" s="835">
        <v>41121</v>
      </c>
      <c r="AK13157" s="831">
        <v>8103905</v>
      </c>
    </row>
    <row r="13158" spans="2:37">
      <c r="B13158" s="834" t="str">
        <f t="shared" si="491"/>
        <v>|||</v>
      </c>
      <c r="H13158" s="835">
        <f t="shared" si="492"/>
        <v>31</v>
      </c>
      <c r="AF13158" s="831" t="s">
        <v>10433</v>
      </c>
      <c r="AG13158" s="831" t="s">
        <v>2674</v>
      </c>
      <c r="AH13158" s="831" t="s">
        <v>547</v>
      </c>
      <c r="AI13158" s="831">
        <v>0</v>
      </c>
      <c r="AJ13158" s="835">
        <v>41121</v>
      </c>
      <c r="AK13158" s="831">
        <v>0</v>
      </c>
    </row>
    <row r="13159" spans="2:37">
      <c r="B13159" s="834" t="str">
        <f t="shared" si="491"/>
        <v>|||</v>
      </c>
      <c r="H13159" s="835">
        <f t="shared" si="492"/>
        <v>31</v>
      </c>
      <c r="AF13159" s="831" t="s">
        <v>10434</v>
      </c>
      <c r="AG13159" s="831" t="s">
        <v>2674</v>
      </c>
      <c r="AH13159" s="831" t="s">
        <v>548</v>
      </c>
      <c r="AI13159" s="831">
        <v>0</v>
      </c>
      <c r="AJ13159" s="835">
        <v>41121</v>
      </c>
      <c r="AK13159" s="831">
        <v>0</v>
      </c>
    </row>
    <row r="13160" spans="2:37">
      <c r="B13160" s="834" t="str">
        <f t="shared" si="491"/>
        <v>|||</v>
      </c>
      <c r="H13160" s="835">
        <f t="shared" si="492"/>
        <v>31</v>
      </c>
      <c r="AF13160" s="831" t="s">
        <v>10435</v>
      </c>
      <c r="AG13160" s="831" t="s">
        <v>2674</v>
      </c>
      <c r="AH13160" s="831" t="s">
        <v>549</v>
      </c>
      <c r="AI13160" s="831">
        <v>0</v>
      </c>
      <c r="AJ13160" s="835">
        <v>41121</v>
      </c>
      <c r="AK13160" s="831">
        <v>0</v>
      </c>
    </row>
    <row r="13161" spans="2:37">
      <c r="B13161" s="834" t="str">
        <f t="shared" si="491"/>
        <v>|||</v>
      </c>
      <c r="H13161" s="835">
        <f t="shared" si="492"/>
        <v>31</v>
      </c>
      <c r="AF13161" s="831" t="s">
        <v>10436</v>
      </c>
      <c r="AG13161" s="831" t="s">
        <v>2674</v>
      </c>
      <c r="AH13161" s="831" t="s">
        <v>192</v>
      </c>
      <c r="AI13161" s="831">
        <v>0</v>
      </c>
      <c r="AJ13161" s="835">
        <v>41121</v>
      </c>
      <c r="AK13161" s="831">
        <v>-9691486</v>
      </c>
    </row>
    <row r="13162" spans="2:37">
      <c r="B13162" s="834" t="str">
        <f t="shared" si="491"/>
        <v>|||</v>
      </c>
      <c r="H13162" s="835">
        <f t="shared" si="492"/>
        <v>31</v>
      </c>
      <c r="AF13162" s="831" t="s">
        <v>10437</v>
      </c>
      <c r="AG13162" s="831" t="s">
        <v>2674</v>
      </c>
      <c r="AH13162" s="831" t="s">
        <v>558</v>
      </c>
      <c r="AI13162" s="831">
        <v>0</v>
      </c>
      <c r="AJ13162" s="835">
        <v>41121</v>
      </c>
      <c r="AK13162" s="831">
        <v>344695205</v>
      </c>
    </row>
    <row r="13163" spans="2:37">
      <c r="B13163" s="834" t="str">
        <f t="shared" si="491"/>
        <v>|||</v>
      </c>
      <c r="H13163" s="835">
        <f t="shared" si="492"/>
        <v>31</v>
      </c>
      <c r="AF13163" s="831" t="s">
        <v>10438</v>
      </c>
      <c r="AG13163" s="831" t="s">
        <v>2674</v>
      </c>
      <c r="AH13163" s="831" t="s">
        <v>65</v>
      </c>
      <c r="AI13163" s="831">
        <v>0</v>
      </c>
      <c r="AJ13163" s="835">
        <v>41121</v>
      </c>
      <c r="AK13163" s="831">
        <v>54573964</v>
      </c>
    </row>
    <row r="13164" spans="2:37">
      <c r="B13164" s="834" t="str">
        <f t="shared" si="491"/>
        <v>|||</v>
      </c>
      <c r="H13164" s="835">
        <f t="shared" si="492"/>
        <v>31</v>
      </c>
      <c r="AF13164" s="831" t="s">
        <v>10439</v>
      </c>
      <c r="AG13164" s="831" t="s">
        <v>2674</v>
      </c>
      <c r="AH13164" s="831" t="s">
        <v>89</v>
      </c>
      <c r="AI13164" s="831">
        <v>0</v>
      </c>
      <c r="AJ13164" s="835">
        <v>41121</v>
      </c>
      <c r="AK13164" s="831">
        <v>121835</v>
      </c>
    </row>
    <row r="13165" spans="2:37">
      <c r="B13165" s="834" t="str">
        <f t="shared" si="491"/>
        <v>|||</v>
      </c>
      <c r="H13165" s="835">
        <f t="shared" si="492"/>
        <v>31</v>
      </c>
      <c r="AF13165" s="831" t="s">
        <v>10440</v>
      </c>
      <c r="AG13165" s="831" t="s">
        <v>2674</v>
      </c>
      <c r="AH13165" s="831" t="s">
        <v>557</v>
      </c>
      <c r="AI13165" s="831">
        <v>0</v>
      </c>
      <c r="AJ13165" s="835">
        <v>41121</v>
      </c>
      <c r="AK13165" s="831">
        <v>123680</v>
      </c>
    </row>
    <row r="13166" spans="2:37">
      <c r="B13166" s="834" t="str">
        <f t="shared" si="491"/>
        <v>|||</v>
      </c>
      <c r="H13166" s="835">
        <f t="shared" si="492"/>
        <v>31</v>
      </c>
      <c r="AF13166" s="831" t="s">
        <v>10441</v>
      </c>
      <c r="AG13166" s="831" t="s">
        <v>2674</v>
      </c>
      <c r="AH13166" s="831" t="s">
        <v>29</v>
      </c>
      <c r="AI13166" s="831">
        <v>0</v>
      </c>
      <c r="AJ13166" s="835">
        <v>41121</v>
      </c>
      <c r="AK13166" s="831">
        <v>2520940</v>
      </c>
    </row>
    <row r="13167" spans="2:37">
      <c r="B13167" s="834" t="str">
        <f t="shared" si="491"/>
        <v>|||</v>
      </c>
      <c r="H13167" s="835">
        <f t="shared" si="492"/>
        <v>31</v>
      </c>
      <c r="AF13167" s="831" t="s">
        <v>10442</v>
      </c>
      <c r="AG13167" s="831" t="s">
        <v>2674</v>
      </c>
      <c r="AH13167" s="831" t="s">
        <v>2688</v>
      </c>
      <c r="AI13167" s="831">
        <v>0</v>
      </c>
      <c r="AJ13167" s="835">
        <v>41121</v>
      </c>
      <c r="AK13167" s="831">
        <v>2874987.63</v>
      </c>
    </row>
    <row r="13168" spans="2:37">
      <c r="B13168" s="834" t="str">
        <f t="shared" si="491"/>
        <v>|||</v>
      </c>
      <c r="H13168" s="835">
        <f t="shared" si="492"/>
        <v>31</v>
      </c>
      <c r="AF13168" s="831" t="s">
        <v>10443</v>
      </c>
      <c r="AG13168" s="831" t="s">
        <v>2674</v>
      </c>
      <c r="AH13168" s="831" t="s">
        <v>556</v>
      </c>
      <c r="AI13168" s="831">
        <v>0</v>
      </c>
      <c r="AJ13168" s="835">
        <v>41121</v>
      </c>
      <c r="AK13168" s="831">
        <v>0</v>
      </c>
    </row>
    <row r="13169" spans="2:37">
      <c r="B13169" s="834" t="str">
        <f t="shared" si="491"/>
        <v>|||</v>
      </c>
      <c r="H13169" s="835">
        <f t="shared" si="492"/>
        <v>31</v>
      </c>
      <c r="AF13169" s="831" t="s">
        <v>10444</v>
      </c>
      <c r="AG13169" s="831" t="s">
        <v>2674</v>
      </c>
      <c r="AH13169" s="831" t="s">
        <v>555</v>
      </c>
      <c r="AI13169" s="831">
        <v>0</v>
      </c>
      <c r="AJ13169" s="835">
        <v>41121</v>
      </c>
      <c r="AK13169" s="831">
        <v>212532560</v>
      </c>
    </row>
    <row r="13170" spans="2:37">
      <c r="B13170" s="834" t="str">
        <f t="shared" si="491"/>
        <v>|||</v>
      </c>
      <c r="H13170" s="835">
        <f t="shared" si="492"/>
        <v>31</v>
      </c>
      <c r="AF13170" s="831" t="s">
        <v>10445</v>
      </c>
      <c r="AG13170" s="831" t="s">
        <v>2674</v>
      </c>
      <c r="AH13170" s="831" t="s">
        <v>554</v>
      </c>
      <c r="AI13170" s="831">
        <v>0</v>
      </c>
      <c r="AJ13170" s="835">
        <v>41121</v>
      </c>
      <c r="AK13170" s="831">
        <v>206644050</v>
      </c>
    </row>
    <row r="13171" spans="2:37">
      <c r="B13171" s="834" t="str">
        <f t="shared" si="491"/>
        <v>|||</v>
      </c>
      <c r="H13171" s="835">
        <f t="shared" si="492"/>
        <v>31</v>
      </c>
      <c r="AF13171" s="831" t="s">
        <v>10446</v>
      </c>
      <c r="AG13171" s="831" t="s">
        <v>2674</v>
      </c>
      <c r="AH13171" s="831" t="s">
        <v>553</v>
      </c>
      <c r="AI13171" s="831">
        <v>0</v>
      </c>
      <c r="AJ13171" s="835">
        <v>41121</v>
      </c>
      <c r="AK13171" s="831">
        <v>0</v>
      </c>
    </row>
    <row r="13172" spans="2:37">
      <c r="B13172" s="834" t="str">
        <f t="shared" si="491"/>
        <v>|||</v>
      </c>
      <c r="H13172" s="835">
        <f t="shared" si="492"/>
        <v>31</v>
      </c>
      <c r="AF13172" s="831" t="s">
        <v>10447</v>
      </c>
      <c r="AG13172" s="831" t="s">
        <v>2674</v>
      </c>
      <c r="AH13172" s="831" t="s">
        <v>552</v>
      </c>
      <c r="AI13172" s="831">
        <v>0</v>
      </c>
      <c r="AJ13172" s="835">
        <v>41121</v>
      </c>
      <c r="AK13172" s="831">
        <v>0</v>
      </c>
    </row>
    <row r="13173" spans="2:37">
      <c r="B13173" s="834" t="str">
        <f t="shared" si="491"/>
        <v>|||</v>
      </c>
      <c r="H13173" s="835">
        <f t="shared" si="492"/>
        <v>31</v>
      </c>
      <c r="AF13173" s="831" t="s">
        <v>10448</v>
      </c>
      <c r="AG13173" s="831" t="s">
        <v>2674</v>
      </c>
      <c r="AH13173" s="831" t="s">
        <v>551</v>
      </c>
      <c r="AI13173" s="831">
        <v>0</v>
      </c>
      <c r="AJ13173" s="835">
        <v>41121</v>
      </c>
      <c r="AK13173" s="831">
        <v>2408186</v>
      </c>
    </row>
    <row r="13174" spans="2:37">
      <c r="B13174" s="834" t="str">
        <f t="shared" si="491"/>
        <v>|||</v>
      </c>
      <c r="H13174" s="835">
        <f t="shared" si="492"/>
        <v>31</v>
      </c>
      <c r="AF13174" s="831" t="s">
        <v>10449</v>
      </c>
      <c r="AG13174" s="831" t="s">
        <v>2674</v>
      </c>
      <c r="AH13174" s="831" t="s">
        <v>550</v>
      </c>
      <c r="AI13174" s="831">
        <v>0</v>
      </c>
      <c r="AJ13174" s="835">
        <v>41121</v>
      </c>
      <c r="AK13174" s="831">
        <v>91675016</v>
      </c>
    </row>
    <row r="13175" spans="2:37">
      <c r="B13175" s="834" t="str">
        <f t="shared" si="491"/>
        <v>|||</v>
      </c>
      <c r="H13175" s="835">
        <f t="shared" si="492"/>
        <v>31</v>
      </c>
      <c r="AF13175" s="831" t="s">
        <v>10450</v>
      </c>
      <c r="AG13175" s="831" t="s">
        <v>2674</v>
      </c>
      <c r="AH13175" s="831" t="s">
        <v>562</v>
      </c>
      <c r="AI13175" s="831">
        <v>0</v>
      </c>
      <c r="AJ13175" s="835">
        <v>41121</v>
      </c>
      <c r="AK13175" s="831">
        <v>0.78495000000000004</v>
      </c>
    </row>
    <row r="13176" spans="2:37">
      <c r="B13176" s="834" t="str">
        <f t="shared" si="491"/>
        <v>|||</v>
      </c>
      <c r="H13176" s="835">
        <f t="shared" si="492"/>
        <v>31</v>
      </c>
      <c r="AF13176" s="831" t="s">
        <v>10451</v>
      </c>
      <c r="AG13176" s="831" t="s">
        <v>2674</v>
      </c>
      <c r="AH13176" s="831" t="s">
        <v>2698</v>
      </c>
      <c r="AI13176" s="831">
        <v>0</v>
      </c>
      <c r="AJ13176" s="835">
        <v>41121</v>
      </c>
      <c r="AK13176" s="831">
        <v>0.78505000000000003</v>
      </c>
    </row>
    <row r="13177" spans="2:37">
      <c r="B13177" s="834" t="str">
        <f t="shared" si="491"/>
        <v>|||</v>
      </c>
      <c r="H13177" s="835">
        <f t="shared" si="492"/>
        <v>31</v>
      </c>
      <c r="AF13177" s="831" t="s">
        <v>10452</v>
      </c>
      <c r="AG13177" s="831" t="s">
        <v>2674</v>
      </c>
      <c r="AH13177" s="831" t="s">
        <v>560</v>
      </c>
      <c r="AI13177" s="831">
        <v>0</v>
      </c>
      <c r="AJ13177" s="835">
        <v>41121</v>
      </c>
      <c r="AK13177" s="831">
        <v>0.7855714285714287</v>
      </c>
    </row>
    <row r="13178" spans="2:37">
      <c r="B13178" s="834" t="str">
        <f t="shared" si="491"/>
        <v>|||</v>
      </c>
      <c r="H13178" s="835">
        <f t="shared" si="492"/>
        <v>31</v>
      </c>
      <c r="AF13178" s="831" t="s">
        <v>10453</v>
      </c>
      <c r="AG13178" s="831" t="s">
        <v>2674</v>
      </c>
      <c r="AH13178" s="831" t="s">
        <v>559</v>
      </c>
      <c r="AI13178" s="831">
        <v>0</v>
      </c>
      <c r="AJ13178" s="835">
        <v>41121</v>
      </c>
      <c r="AK13178" s="831">
        <v>0.7854916666666667</v>
      </c>
    </row>
    <row r="13179" spans="2:37">
      <c r="B13179" s="834" t="str">
        <f t="shared" si="491"/>
        <v>|||</v>
      </c>
      <c r="H13179" s="835">
        <f t="shared" si="492"/>
        <v>31</v>
      </c>
      <c r="AF13179" s="831" t="s">
        <v>10454</v>
      </c>
      <c r="AG13179" s="831" t="s">
        <v>2674</v>
      </c>
      <c r="AH13179" s="831" t="s">
        <v>568</v>
      </c>
      <c r="AI13179" s="831">
        <v>0</v>
      </c>
      <c r="AJ13179" s="835">
        <v>41121</v>
      </c>
      <c r="AK13179" s="831">
        <v>0</v>
      </c>
    </row>
    <row r="13180" spans="2:37">
      <c r="B13180" s="834" t="str">
        <f t="shared" si="491"/>
        <v>|||</v>
      </c>
      <c r="H13180" s="835">
        <f t="shared" si="492"/>
        <v>31</v>
      </c>
      <c r="AF13180" s="831" t="s">
        <v>10455</v>
      </c>
      <c r="AG13180" s="831" t="s">
        <v>2674</v>
      </c>
      <c r="AH13180" s="831" t="s">
        <v>569</v>
      </c>
      <c r="AI13180" s="831">
        <v>0</v>
      </c>
      <c r="AJ13180" s="835">
        <v>41121</v>
      </c>
      <c r="AK13180" s="831">
        <v>0</v>
      </c>
    </row>
    <row r="13181" spans="2:37">
      <c r="B13181" s="834" t="str">
        <f t="shared" si="491"/>
        <v>|||</v>
      </c>
      <c r="H13181" s="835">
        <f t="shared" si="492"/>
        <v>31</v>
      </c>
      <c r="AF13181" s="831" t="s">
        <v>10456</v>
      </c>
      <c r="AG13181" s="831" t="s">
        <v>2674</v>
      </c>
      <c r="AH13181" s="831" t="s">
        <v>570</v>
      </c>
      <c r="AI13181" s="831">
        <v>0</v>
      </c>
      <c r="AJ13181" s="835">
        <v>41121</v>
      </c>
      <c r="AK13181" s="831">
        <v>0</v>
      </c>
    </row>
    <row r="13182" spans="2:37">
      <c r="B13182" s="834" t="str">
        <f t="shared" si="491"/>
        <v>|||</v>
      </c>
      <c r="H13182" s="835">
        <f t="shared" si="492"/>
        <v>31</v>
      </c>
      <c r="AF13182" s="831" t="s">
        <v>10457</v>
      </c>
      <c r="AG13182" s="831" t="s">
        <v>2674</v>
      </c>
      <c r="AH13182" s="831" t="s">
        <v>571</v>
      </c>
      <c r="AI13182" s="831">
        <v>0</v>
      </c>
      <c r="AJ13182" s="835">
        <v>41121</v>
      </c>
      <c r="AK13182" s="831">
        <v>0</v>
      </c>
    </row>
    <row r="13183" spans="2:37">
      <c r="B13183" s="834" t="str">
        <f t="shared" si="491"/>
        <v>|||</v>
      </c>
      <c r="H13183" s="835">
        <f t="shared" si="492"/>
        <v>31</v>
      </c>
      <c r="AF13183" s="831" t="s">
        <v>10458</v>
      </c>
      <c r="AG13183" s="831" t="s">
        <v>2674</v>
      </c>
      <c r="AH13183" s="831" t="s">
        <v>573</v>
      </c>
      <c r="AI13183" s="831">
        <v>0</v>
      </c>
      <c r="AJ13183" s="835">
        <v>41121</v>
      </c>
      <c r="AK13183" s="831">
        <v>0</v>
      </c>
    </row>
    <row r="13184" spans="2:37">
      <c r="B13184" s="834" t="str">
        <f t="shared" si="491"/>
        <v>|||</v>
      </c>
      <c r="H13184" s="835">
        <f t="shared" si="492"/>
        <v>31</v>
      </c>
      <c r="AF13184" s="831" t="s">
        <v>10459</v>
      </c>
      <c r="AG13184" s="831" t="s">
        <v>2674</v>
      </c>
      <c r="AH13184" s="831" t="s">
        <v>574</v>
      </c>
      <c r="AI13184" s="831">
        <v>0</v>
      </c>
      <c r="AJ13184" s="835">
        <v>41121</v>
      </c>
      <c r="AK13184" s="831">
        <v>0</v>
      </c>
    </row>
    <row r="13185" spans="2:37">
      <c r="B13185" s="834" t="str">
        <f t="shared" si="491"/>
        <v>|||</v>
      </c>
      <c r="H13185" s="835">
        <f t="shared" si="492"/>
        <v>31</v>
      </c>
      <c r="AF13185" s="831" t="s">
        <v>10460</v>
      </c>
      <c r="AG13185" s="831" t="s">
        <v>2674</v>
      </c>
      <c r="AH13185" s="831" t="s">
        <v>575</v>
      </c>
      <c r="AI13185" s="831">
        <v>0</v>
      </c>
      <c r="AJ13185" s="835">
        <v>41121</v>
      </c>
      <c r="AK13185" s="831">
        <v>0</v>
      </c>
    </row>
    <row r="13186" spans="2:37">
      <c r="B13186" s="834" t="str">
        <f t="shared" si="491"/>
        <v>|||</v>
      </c>
      <c r="H13186" s="835">
        <f t="shared" si="492"/>
        <v>31</v>
      </c>
      <c r="AF13186" s="831" t="s">
        <v>10461</v>
      </c>
      <c r="AG13186" s="831" t="s">
        <v>2674</v>
      </c>
      <c r="AH13186" s="831" t="s">
        <v>576</v>
      </c>
      <c r="AI13186" s="831">
        <v>0</v>
      </c>
      <c r="AJ13186" s="835">
        <v>41121</v>
      </c>
      <c r="AK13186" s="831">
        <v>0</v>
      </c>
    </row>
    <row r="13187" spans="2:37">
      <c r="B13187" s="834" t="str">
        <f t="shared" si="491"/>
        <v>|||</v>
      </c>
      <c r="H13187" s="835">
        <f t="shared" si="492"/>
        <v>31</v>
      </c>
      <c r="AF13187" s="831" t="s">
        <v>10462</v>
      </c>
      <c r="AG13187" s="831" t="s">
        <v>2674</v>
      </c>
      <c r="AH13187" s="831" t="s">
        <v>572</v>
      </c>
      <c r="AI13187" s="831">
        <v>0</v>
      </c>
      <c r="AJ13187" s="835">
        <v>41121</v>
      </c>
      <c r="AK13187" s="831">
        <v>-2146826246</v>
      </c>
    </row>
    <row r="13188" spans="2:37">
      <c r="B13188" s="834" t="str">
        <f t="shared" si="491"/>
        <v>|||</v>
      </c>
      <c r="H13188" s="835">
        <f t="shared" si="492"/>
        <v>31</v>
      </c>
      <c r="AF13188" s="831" t="s">
        <v>10463</v>
      </c>
      <c r="AG13188" s="831" t="s">
        <v>2674</v>
      </c>
      <c r="AH13188" s="831" t="s">
        <v>577</v>
      </c>
      <c r="AI13188" s="831">
        <v>0</v>
      </c>
      <c r="AJ13188" s="835">
        <v>41121</v>
      </c>
      <c r="AK13188" s="831">
        <v>-2146826246</v>
      </c>
    </row>
    <row r="13189" spans="2:37">
      <c r="B13189" s="834" t="str">
        <f t="shared" si="491"/>
        <v>|||</v>
      </c>
      <c r="H13189" s="835">
        <f t="shared" si="492"/>
        <v>31</v>
      </c>
      <c r="AF13189" s="831" t="s">
        <v>10464</v>
      </c>
      <c r="AG13189" s="831" t="s">
        <v>2674</v>
      </c>
      <c r="AH13189" s="831" t="s">
        <v>3042</v>
      </c>
      <c r="AI13189" s="831">
        <v>0</v>
      </c>
      <c r="AJ13189" s="835">
        <v>41121</v>
      </c>
      <c r="AK13189" s="831">
        <v>-2146826246</v>
      </c>
    </row>
    <row r="13190" spans="2:37">
      <c r="B13190" s="834" t="str">
        <f t="shared" si="491"/>
        <v>|||</v>
      </c>
      <c r="H13190" s="835">
        <f t="shared" si="492"/>
        <v>31</v>
      </c>
      <c r="AF13190" s="831" t="s">
        <v>10465</v>
      </c>
      <c r="AG13190" s="831" t="s">
        <v>2674</v>
      </c>
      <c r="AH13190" s="831" t="s">
        <v>3044</v>
      </c>
      <c r="AI13190" s="831">
        <v>0</v>
      </c>
      <c r="AJ13190" s="835">
        <v>41121</v>
      </c>
      <c r="AK13190" s="831">
        <v>-2146826246</v>
      </c>
    </row>
    <row r="13191" spans="2:37">
      <c r="B13191" s="834" t="str">
        <f t="shared" si="491"/>
        <v>|||</v>
      </c>
      <c r="H13191" s="835">
        <f t="shared" si="492"/>
        <v>31</v>
      </c>
      <c r="AF13191" s="831" t="s">
        <v>10466</v>
      </c>
      <c r="AG13191" s="831" t="s">
        <v>2674</v>
      </c>
      <c r="AH13191" s="831" t="s">
        <v>580</v>
      </c>
      <c r="AI13191" s="831">
        <v>0</v>
      </c>
      <c r="AJ13191" s="835">
        <v>41121</v>
      </c>
      <c r="AK13191" s="831">
        <v>-2146826246</v>
      </c>
    </row>
    <row r="13192" spans="2:37">
      <c r="B13192" s="834" t="str">
        <f t="shared" si="491"/>
        <v>|||</v>
      </c>
      <c r="H13192" s="835">
        <f t="shared" si="492"/>
        <v>31</v>
      </c>
      <c r="AF13192" s="831" t="s">
        <v>10467</v>
      </c>
      <c r="AG13192" s="831" t="s">
        <v>2674</v>
      </c>
      <c r="AH13192" s="831" t="s">
        <v>581</v>
      </c>
      <c r="AI13192" s="831">
        <v>0</v>
      </c>
      <c r="AJ13192" s="835">
        <v>41121</v>
      </c>
      <c r="AK13192" s="831">
        <v>-2146826246</v>
      </c>
    </row>
    <row r="13193" spans="2:37">
      <c r="B13193" s="834" t="str">
        <f t="shared" si="491"/>
        <v>|||</v>
      </c>
      <c r="H13193" s="835">
        <f t="shared" si="492"/>
        <v>31</v>
      </c>
      <c r="AF13193" s="831" t="s">
        <v>10468</v>
      </c>
      <c r="AG13193" s="831" t="s">
        <v>2674</v>
      </c>
      <c r="AH13193" s="831" t="s">
        <v>105</v>
      </c>
      <c r="AI13193" s="831">
        <v>0</v>
      </c>
      <c r="AJ13193" s="835">
        <v>41121</v>
      </c>
      <c r="AK13193" s="831">
        <v>164564846</v>
      </c>
    </row>
    <row r="13194" spans="2:37">
      <c r="B13194" s="834" t="str">
        <f t="shared" si="491"/>
        <v>|||</v>
      </c>
      <c r="H13194" s="835">
        <f t="shared" si="492"/>
        <v>31</v>
      </c>
      <c r="AF13194" s="831" t="s">
        <v>10469</v>
      </c>
      <c r="AG13194" s="831" t="s">
        <v>2674</v>
      </c>
      <c r="AH13194" s="831" t="s">
        <v>3049</v>
      </c>
      <c r="AI13194" s="831">
        <v>0</v>
      </c>
      <c r="AJ13194" s="835">
        <v>41121</v>
      </c>
      <c r="AK13194" s="831">
        <v>330970241</v>
      </c>
    </row>
    <row r="13195" spans="2:37">
      <c r="B13195" s="834" t="str">
        <f t="shared" si="491"/>
        <v>|||</v>
      </c>
      <c r="H13195" s="835">
        <f t="shared" si="492"/>
        <v>31</v>
      </c>
      <c r="AF13195" s="831" t="s">
        <v>10470</v>
      </c>
      <c r="AG13195" s="831" t="s">
        <v>2674</v>
      </c>
      <c r="AH13195" s="831" t="s">
        <v>103</v>
      </c>
      <c r="AI13195" s="831">
        <v>0</v>
      </c>
      <c r="AJ13195" s="835">
        <v>41121</v>
      </c>
      <c r="AK13195" s="831">
        <v>166405395</v>
      </c>
    </row>
    <row r="13196" spans="2:37">
      <c r="B13196" s="834" t="str">
        <f t="shared" si="491"/>
        <v>|||</v>
      </c>
      <c r="H13196" s="835">
        <f t="shared" si="492"/>
        <v>31</v>
      </c>
      <c r="AF13196" s="831" t="s">
        <v>10471</v>
      </c>
      <c r="AG13196" s="831" t="s">
        <v>2674</v>
      </c>
      <c r="AH13196" s="831" t="s">
        <v>182</v>
      </c>
      <c r="AI13196" s="831">
        <v>0</v>
      </c>
      <c r="AJ13196" s="835">
        <v>41121</v>
      </c>
      <c r="AK13196" s="831">
        <v>50915117.142857142</v>
      </c>
    </row>
    <row r="13197" spans="2:37">
      <c r="B13197" s="834" t="str">
        <f t="shared" si="491"/>
        <v>|||</v>
      </c>
      <c r="H13197" s="835">
        <f t="shared" si="492"/>
        <v>31</v>
      </c>
      <c r="AF13197" s="831" t="s">
        <v>10472</v>
      </c>
      <c r="AG13197" s="831" t="s">
        <v>2674</v>
      </c>
      <c r="AH13197" s="831" t="s">
        <v>6600</v>
      </c>
      <c r="AI13197" s="831">
        <v>0</v>
      </c>
      <c r="AJ13197" s="835">
        <v>41121</v>
      </c>
      <c r="AK13197" s="831">
        <v>-2146826246</v>
      </c>
    </row>
    <row r="13198" spans="2:37">
      <c r="B13198" s="834" t="str">
        <f t="shared" si="491"/>
        <v>|||</v>
      </c>
      <c r="H13198" s="835">
        <f t="shared" si="492"/>
        <v>31</v>
      </c>
      <c r="AF13198" s="831" t="s">
        <v>10473</v>
      </c>
      <c r="AG13198" s="831" t="s">
        <v>2674</v>
      </c>
      <c r="AH13198" s="831" t="s">
        <v>6602</v>
      </c>
      <c r="AI13198" s="831">
        <v>0</v>
      </c>
      <c r="AJ13198" s="835">
        <v>41121</v>
      </c>
      <c r="AK13198" s="831">
        <v>8103905</v>
      </c>
    </row>
    <row r="13199" spans="2:37">
      <c r="B13199" s="834" t="str">
        <f t="shared" si="491"/>
        <v>|||</v>
      </c>
      <c r="H13199" s="835">
        <f t="shared" si="492"/>
        <v>31</v>
      </c>
      <c r="AF13199" s="831" t="s">
        <v>10474</v>
      </c>
      <c r="AG13199" s="831" t="s">
        <v>2674</v>
      </c>
      <c r="AH13199" s="831" t="s">
        <v>650</v>
      </c>
      <c r="AI13199" s="831">
        <v>0</v>
      </c>
      <c r="AJ13199" s="835">
        <v>41121</v>
      </c>
      <c r="AK13199" s="831">
        <v>0</v>
      </c>
    </row>
    <row r="13200" spans="2:37">
      <c r="B13200" s="834" t="str">
        <f t="shared" si="491"/>
        <v>|||</v>
      </c>
      <c r="H13200" s="835">
        <f t="shared" si="492"/>
        <v>31</v>
      </c>
      <c r="AF13200" s="831" t="s">
        <v>10475</v>
      </c>
      <c r="AG13200" s="831" t="s">
        <v>2674</v>
      </c>
      <c r="AH13200" s="831" t="s">
        <v>655</v>
      </c>
      <c r="AI13200" s="831">
        <v>0</v>
      </c>
      <c r="AJ13200" s="835">
        <v>41121</v>
      </c>
      <c r="AK13200" s="831">
        <v>2307351</v>
      </c>
    </row>
    <row r="13201" spans="2:37">
      <c r="B13201" s="834" t="str">
        <f t="shared" ref="B13201:B13264" si="493">C13201&amp;"|"&amp;D13201&amp;"|"&amp;E13201&amp;"|"&amp;F13201</f>
        <v>|||</v>
      </c>
      <c r="H13201" s="835">
        <f t="shared" ref="H13201:H13264" si="494">EOMONTH(L13201,0)</f>
        <v>31</v>
      </c>
      <c r="AF13201" s="831" t="s">
        <v>10476</v>
      </c>
      <c r="AG13201" s="831" t="s">
        <v>2674</v>
      </c>
      <c r="AH13201" s="831" t="s">
        <v>546</v>
      </c>
      <c r="AI13201" s="831">
        <v>0</v>
      </c>
      <c r="AJ13201" s="835">
        <v>41152</v>
      </c>
      <c r="AK13201" s="831">
        <v>362295244</v>
      </c>
    </row>
    <row r="13202" spans="2:37">
      <c r="B13202" s="834" t="str">
        <f t="shared" si="493"/>
        <v>|||</v>
      </c>
      <c r="H13202" s="835">
        <f t="shared" si="494"/>
        <v>31</v>
      </c>
      <c r="AF13202" s="831" t="s">
        <v>10477</v>
      </c>
      <c r="AG13202" s="831" t="s">
        <v>2674</v>
      </c>
      <c r="AH13202" s="831" t="s">
        <v>370</v>
      </c>
      <c r="AI13202" s="831">
        <v>0</v>
      </c>
      <c r="AJ13202" s="835">
        <v>41152</v>
      </c>
      <c r="AK13202" s="831">
        <v>452262206</v>
      </c>
    </row>
    <row r="13203" spans="2:37">
      <c r="B13203" s="834" t="str">
        <f t="shared" si="493"/>
        <v>|||</v>
      </c>
      <c r="H13203" s="835">
        <f t="shared" si="494"/>
        <v>31</v>
      </c>
      <c r="AF13203" s="831" t="s">
        <v>10478</v>
      </c>
      <c r="AG13203" s="831" t="s">
        <v>2674</v>
      </c>
      <c r="AH13203" s="831" t="s">
        <v>126</v>
      </c>
      <c r="AI13203" s="831">
        <v>0</v>
      </c>
      <c r="AJ13203" s="835">
        <v>41152</v>
      </c>
      <c r="AK13203" s="831">
        <v>95414973</v>
      </c>
    </row>
    <row r="13204" spans="2:37">
      <c r="B13204" s="834" t="str">
        <f t="shared" si="493"/>
        <v>|||</v>
      </c>
      <c r="H13204" s="835">
        <f t="shared" si="494"/>
        <v>31</v>
      </c>
      <c r="AF13204" s="831" t="s">
        <v>10479</v>
      </c>
      <c r="AG13204" s="831" t="s">
        <v>2674</v>
      </c>
      <c r="AH13204" s="831" t="s">
        <v>268</v>
      </c>
      <c r="AI13204" s="831">
        <v>0</v>
      </c>
      <c r="AJ13204" s="835">
        <v>41152</v>
      </c>
      <c r="AK13204" s="831">
        <v>10092049</v>
      </c>
    </row>
    <row r="13205" spans="2:37">
      <c r="B13205" s="834" t="str">
        <f t="shared" si="493"/>
        <v>|||</v>
      </c>
      <c r="H13205" s="835">
        <f t="shared" si="494"/>
        <v>31</v>
      </c>
      <c r="AF13205" s="831" t="s">
        <v>10480</v>
      </c>
      <c r="AG13205" s="831" t="s">
        <v>2674</v>
      </c>
      <c r="AH13205" s="831" t="s">
        <v>547</v>
      </c>
      <c r="AI13205" s="831">
        <v>0</v>
      </c>
      <c r="AJ13205" s="835">
        <v>41152</v>
      </c>
      <c r="AK13205" s="831">
        <v>0</v>
      </c>
    </row>
    <row r="13206" spans="2:37">
      <c r="B13206" s="834" t="str">
        <f t="shared" si="493"/>
        <v>|||</v>
      </c>
      <c r="H13206" s="835">
        <f t="shared" si="494"/>
        <v>31</v>
      </c>
      <c r="AF13206" s="831" t="s">
        <v>10481</v>
      </c>
      <c r="AG13206" s="831" t="s">
        <v>2674</v>
      </c>
      <c r="AH13206" s="831" t="s">
        <v>548</v>
      </c>
      <c r="AI13206" s="831">
        <v>0</v>
      </c>
      <c r="AJ13206" s="835">
        <v>41152</v>
      </c>
      <c r="AK13206" s="831">
        <v>0</v>
      </c>
    </row>
    <row r="13207" spans="2:37">
      <c r="B13207" s="834" t="str">
        <f t="shared" si="493"/>
        <v>|||</v>
      </c>
      <c r="H13207" s="835">
        <f t="shared" si="494"/>
        <v>31</v>
      </c>
      <c r="AF13207" s="831" t="s">
        <v>10482</v>
      </c>
      <c r="AG13207" s="831" t="s">
        <v>2674</v>
      </c>
      <c r="AH13207" s="831" t="s">
        <v>549</v>
      </c>
      <c r="AI13207" s="831">
        <v>0</v>
      </c>
      <c r="AJ13207" s="835">
        <v>41152</v>
      </c>
      <c r="AK13207" s="831">
        <v>0</v>
      </c>
    </row>
    <row r="13208" spans="2:37">
      <c r="B13208" s="834" t="str">
        <f t="shared" si="493"/>
        <v>|||</v>
      </c>
      <c r="H13208" s="835">
        <f t="shared" si="494"/>
        <v>31</v>
      </c>
      <c r="AF13208" s="831" t="s">
        <v>10483</v>
      </c>
      <c r="AG13208" s="831" t="s">
        <v>2674</v>
      </c>
      <c r="AH13208" s="831" t="s">
        <v>192</v>
      </c>
      <c r="AI13208" s="831">
        <v>0</v>
      </c>
      <c r="AJ13208" s="835">
        <v>41152</v>
      </c>
      <c r="AK13208" s="831">
        <v>-9148265</v>
      </c>
    </row>
    <row r="13209" spans="2:37">
      <c r="B13209" s="834" t="str">
        <f t="shared" si="493"/>
        <v>|||</v>
      </c>
      <c r="H13209" s="835">
        <f t="shared" si="494"/>
        <v>31</v>
      </c>
      <c r="AF13209" s="831" t="s">
        <v>10484</v>
      </c>
      <c r="AG13209" s="831" t="s">
        <v>2674</v>
      </c>
      <c r="AH13209" s="831" t="s">
        <v>558</v>
      </c>
      <c r="AI13209" s="831">
        <v>0</v>
      </c>
      <c r="AJ13209" s="835">
        <v>41152</v>
      </c>
      <c r="AK13209" s="831">
        <v>356847233</v>
      </c>
    </row>
    <row r="13210" spans="2:37">
      <c r="B13210" s="834" t="str">
        <f t="shared" si="493"/>
        <v>|||</v>
      </c>
      <c r="H13210" s="835">
        <f t="shared" si="494"/>
        <v>31</v>
      </c>
      <c r="AF13210" s="831" t="s">
        <v>10485</v>
      </c>
      <c r="AG13210" s="831" t="s">
        <v>2674</v>
      </c>
      <c r="AH13210" s="831" t="s">
        <v>65</v>
      </c>
      <c r="AI13210" s="831">
        <v>0</v>
      </c>
      <c r="AJ13210" s="835">
        <v>41152</v>
      </c>
      <c r="AK13210" s="831">
        <v>63143485</v>
      </c>
    </row>
    <row r="13211" spans="2:37">
      <c r="B13211" s="834" t="str">
        <f t="shared" si="493"/>
        <v>|||</v>
      </c>
      <c r="H13211" s="835">
        <f t="shared" si="494"/>
        <v>31</v>
      </c>
      <c r="AF13211" s="831" t="s">
        <v>10486</v>
      </c>
      <c r="AG13211" s="831" t="s">
        <v>2674</v>
      </c>
      <c r="AH13211" s="831" t="s">
        <v>89</v>
      </c>
      <c r="AI13211" s="831">
        <v>0</v>
      </c>
      <c r="AJ13211" s="835">
        <v>41152</v>
      </c>
      <c r="AK13211" s="831">
        <v>122109</v>
      </c>
    </row>
    <row r="13212" spans="2:37">
      <c r="B13212" s="834" t="str">
        <f t="shared" si="493"/>
        <v>|||</v>
      </c>
      <c r="H13212" s="835">
        <f t="shared" si="494"/>
        <v>31</v>
      </c>
      <c r="AF13212" s="831" t="s">
        <v>10487</v>
      </c>
      <c r="AG13212" s="831" t="s">
        <v>2674</v>
      </c>
      <c r="AH13212" s="831" t="s">
        <v>557</v>
      </c>
      <c r="AI13212" s="831">
        <v>0</v>
      </c>
      <c r="AJ13212" s="835">
        <v>41152</v>
      </c>
      <c r="AK13212" s="831">
        <v>123973</v>
      </c>
    </row>
    <row r="13213" spans="2:37">
      <c r="B13213" s="834" t="str">
        <f t="shared" si="493"/>
        <v>|||</v>
      </c>
      <c r="H13213" s="835">
        <f t="shared" si="494"/>
        <v>31</v>
      </c>
      <c r="AF13213" s="831" t="s">
        <v>10488</v>
      </c>
      <c r="AG13213" s="831" t="s">
        <v>2674</v>
      </c>
      <c r="AH13213" s="831" t="s">
        <v>29</v>
      </c>
      <c r="AI13213" s="831">
        <v>0</v>
      </c>
      <c r="AJ13213" s="835">
        <v>41152</v>
      </c>
      <c r="AK13213" s="831">
        <v>2024314</v>
      </c>
    </row>
    <row r="13214" spans="2:37">
      <c r="B13214" s="834" t="str">
        <f t="shared" si="493"/>
        <v>|||</v>
      </c>
      <c r="H13214" s="835">
        <f t="shared" si="494"/>
        <v>31</v>
      </c>
      <c r="AF13214" s="831" t="s">
        <v>10489</v>
      </c>
      <c r="AG13214" s="831" t="s">
        <v>2674</v>
      </c>
      <c r="AH13214" s="831" t="s">
        <v>2688</v>
      </c>
      <c r="AI13214" s="831">
        <v>0</v>
      </c>
      <c r="AJ13214" s="835">
        <v>41152</v>
      </c>
      <c r="AK13214" s="831">
        <v>2600544</v>
      </c>
    </row>
    <row r="13215" spans="2:37">
      <c r="B13215" s="834" t="str">
        <f t="shared" si="493"/>
        <v>|||</v>
      </c>
      <c r="H13215" s="835">
        <f t="shared" si="494"/>
        <v>31</v>
      </c>
      <c r="AF13215" s="831" t="s">
        <v>10490</v>
      </c>
      <c r="AG13215" s="831" t="s">
        <v>2674</v>
      </c>
      <c r="AH13215" s="831" t="s">
        <v>556</v>
      </c>
      <c r="AI13215" s="831">
        <v>0</v>
      </c>
      <c r="AJ13215" s="835">
        <v>41152</v>
      </c>
      <c r="AK13215" s="831">
        <v>902857</v>
      </c>
    </row>
    <row r="13216" spans="2:37">
      <c r="B13216" s="834" t="str">
        <f t="shared" si="493"/>
        <v>|||</v>
      </c>
      <c r="H13216" s="835">
        <f t="shared" si="494"/>
        <v>31</v>
      </c>
      <c r="AF13216" s="831" t="s">
        <v>10491</v>
      </c>
      <c r="AG13216" s="831" t="s">
        <v>2674</v>
      </c>
      <c r="AH13216" s="831" t="s">
        <v>555</v>
      </c>
      <c r="AI13216" s="831">
        <v>0</v>
      </c>
      <c r="AJ13216" s="835">
        <v>41152</v>
      </c>
      <c r="AK13216" s="831">
        <v>221766870</v>
      </c>
    </row>
    <row r="13217" spans="2:37">
      <c r="B13217" s="834" t="str">
        <f t="shared" si="493"/>
        <v>|||</v>
      </c>
      <c r="H13217" s="835">
        <f t="shared" si="494"/>
        <v>31</v>
      </c>
      <c r="AF13217" s="831" t="s">
        <v>10492</v>
      </c>
      <c r="AG13217" s="831" t="s">
        <v>2674</v>
      </c>
      <c r="AH13217" s="831" t="s">
        <v>554</v>
      </c>
      <c r="AI13217" s="831">
        <v>0</v>
      </c>
      <c r="AJ13217" s="835">
        <v>41152</v>
      </c>
      <c r="AK13217" s="831">
        <v>217001920</v>
      </c>
    </row>
    <row r="13218" spans="2:37">
      <c r="B13218" s="834" t="str">
        <f t="shared" si="493"/>
        <v>|||</v>
      </c>
      <c r="H13218" s="835">
        <f t="shared" si="494"/>
        <v>31</v>
      </c>
      <c r="AF13218" s="831" t="s">
        <v>10493</v>
      </c>
      <c r="AG13218" s="831" t="s">
        <v>2674</v>
      </c>
      <c r="AH13218" s="831" t="s">
        <v>553</v>
      </c>
      <c r="AI13218" s="831">
        <v>0</v>
      </c>
      <c r="AJ13218" s="835">
        <v>41152</v>
      </c>
      <c r="AK13218" s="831">
        <v>0</v>
      </c>
    </row>
    <row r="13219" spans="2:37">
      <c r="B13219" s="834" t="str">
        <f t="shared" si="493"/>
        <v>|||</v>
      </c>
      <c r="H13219" s="835">
        <f t="shared" si="494"/>
        <v>31</v>
      </c>
      <c r="AF13219" s="831" t="s">
        <v>10494</v>
      </c>
      <c r="AG13219" s="831" t="s">
        <v>2674</v>
      </c>
      <c r="AH13219" s="831" t="s">
        <v>552</v>
      </c>
      <c r="AI13219" s="831">
        <v>0</v>
      </c>
      <c r="AJ13219" s="835">
        <v>41152</v>
      </c>
      <c r="AK13219" s="831">
        <v>0</v>
      </c>
    </row>
    <row r="13220" spans="2:37">
      <c r="B13220" s="834" t="str">
        <f t="shared" si="493"/>
        <v>|||</v>
      </c>
      <c r="H13220" s="835">
        <f t="shared" si="494"/>
        <v>31</v>
      </c>
      <c r="AF13220" s="831" t="s">
        <v>10495</v>
      </c>
      <c r="AG13220" s="831" t="s">
        <v>2674</v>
      </c>
      <c r="AH13220" s="831" t="s">
        <v>551</v>
      </c>
      <c r="AI13220" s="831">
        <v>0</v>
      </c>
      <c r="AJ13220" s="835">
        <v>41152</v>
      </c>
      <c r="AK13220" s="831">
        <v>1690236</v>
      </c>
    </row>
    <row r="13221" spans="2:37">
      <c r="B13221" s="834" t="str">
        <f t="shared" si="493"/>
        <v>|||</v>
      </c>
      <c r="H13221" s="835">
        <f t="shared" si="494"/>
        <v>31</v>
      </c>
      <c r="AF13221" s="831" t="s">
        <v>10496</v>
      </c>
      <c r="AG13221" s="831" t="s">
        <v>2674</v>
      </c>
      <c r="AH13221" s="831" t="s">
        <v>550</v>
      </c>
      <c r="AI13221" s="831">
        <v>0</v>
      </c>
      <c r="AJ13221" s="835">
        <v>41152</v>
      </c>
      <c r="AK13221" s="831">
        <v>93426827</v>
      </c>
    </row>
    <row r="13222" spans="2:37">
      <c r="B13222" s="834" t="str">
        <f t="shared" si="493"/>
        <v>|||</v>
      </c>
      <c r="H13222" s="835">
        <f t="shared" si="494"/>
        <v>31</v>
      </c>
      <c r="AF13222" s="831" t="s">
        <v>10497</v>
      </c>
      <c r="AG13222" s="831" t="s">
        <v>2674</v>
      </c>
      <c r="AH13222" s="831" t="s">
        <v>562</v>
      </c>
      <c r="AI13222" s="831">
        <v>0</v>
      </c>
      <c r="AJ13222" s="835">
        <v>41152</v>
      </c>
      <c r="AK13222" s="831">
        <v>0.78449999999999998</v>
      </c>
    </row>
    <row r="13223" spans="2:37">
      <c r="B13223" s="834" t="str">
        <f t="shared" si="493"/>
        <v>|||</v>
      </c>
      <c r="H13223" s="835">
        <f t="shared" si="494"/>
        <v>31</v>
      </c>
      <c r="AF13223" s="831" t="s">
        <v>10498</v>
      </c>
      <c r="AG13223" s="831" t="s">
        <v>2674</v>
      </c>
      <c r="AH13223" s="831" t="s">
        <v>2698</v>
      </c>
      <c r="AI13223" s="831">
        <v>0</v>
      </c>
      <c r="AJ13223" s="835">
        <v>41152</v>
      </c>
      <c r="AK13223" s="831">
        <v>0.78495000000000004</v>
      </c>
    </row>
    <row r="13224" spans="2:37">
      <c r="B13224" s="834" t="str">
        <f t="shared" si="493"/>
        <v>|||</v>
      </c>
      <c r="H13224" s="835">
        <f t="shared" si="494"/>
        <v>31</v>
      </c>
      <c r="AF13224" s="831" t="s">
        <v>10499</v>
      </c>
      <c r="AG13224" s="831" t="s">
        <v>2674</v>
      </c>
      <c r="AH13224" s="831" t="s">
        <v>560</v>
      </c>
      <c r="AI13224" s="831">
        <v>0</v>
      </c>
      <c r="AJ13224" s="835">
        <v>41152</v>
      </c>
      <c r="AK13224" s="831">
        <v>0.78543750000000001</v>
      </c>
    </row>
    <row r="13225" spans="2:37">
      <c r="B13225" s="834" t="str">
        <f t="shared" si="493"/>
        <v>|||</v>
      </c>
      <c r="H13225" s="835">
        <f t="shared" si="494"/>
        <v>31</v>
      </c>
      <c r="AF13225" s="831" t="s">
        <v>10500</v>
      </c>
      <c r="AG13225" s="831" t="s">
        <v>2674</v>
      </c>
      <c r="AH13225" s="831" t="s">
        <v>559</v>
      </c>
      <c r="AI13225" s="831">
        <v>0</v>
      </c>
      <c r="AJ13225" s="835">
        <v>41152</v>
      </c>
      <c r="AK13225" s="831">
        <v>0.78544999999999998</v>
      </c>
    </row>
    <row r="13226" spans="2:37">
      <c r="B13226" s="834" t="str">
        <f t="shared" si="493"/>
        <v>|||</v>
      </c>
      <c r="H13226" s="835">
        <f t="shared" si="494"/>
        <v>31</v>
      </c>
      <c r="AF13226" s="831" t="s">
        <v>10501</v>
      </c>
      <c r="AG13226" s="831" t="s">
        <v>2674</v>
      </c>
      <c r="AH13226" s="831" t="s">
        <v>568</v>
      </c>
      <c r="AI13226" s="831">
        <v>0</v>
      </c>
      <c r="AJ13226" s="835">
        <v>41152</v>
      </c>
      <c r="AK13226" s="831">
        <v>0</v>
      </c>
    </row>
    <row r="13227" spans="2:37">
      <c r="B13227" s="834" t="str">
        <f t="shared" si="493"/>
        <v>|||</v>
      </c>
      <c r="H13227" s="835">
        <f t="shared" si="494"/>
        <v>31</v>
      </c>
      <c r="AF13227" s="831" t="s">
        <v>10502</v>
      </c>
      <c r="AG13227" s="831" t="s">
        <v>2674</v>
      </c>
      <c r="AH13227" s="831" t="s">
        <v>569</v>
      </c>
      <c r="AI13227" s="831">
        <v>0</v>
      </c>
      <c r="AJ13227" s="835">
        <v>41152</v>
      </c>
      <c r="AK13227" s="831">
        <v>0</v>
      </c>
    </row>
    <row r="13228" spans="2:37">
      <c r="B13228" s="834" t="str">
        <f t="shared" si="493"/>
        <v>|||</v>
      </c>
      <c r="H13228" s="835">
        <f t="shared" si="494"/>
        <v>31</v>
      </c>
      <c r="AF13228" s="831" t="s">
        <v>10503</v>
      </c>
      <c r="AG13228" s="831" t="s">
        <v>2674</v>
      </c>
      <c r="AH13228" s="831" t="s">
        <v>570</v>
      </c>
      <c r="AI13228" s="831">
        <v>0</v>
      </c>
      <c r="AJ13228" s="835">
        <v>41152</v>
      </c>
      <c r="AK13228" s="831">
        <v>0</v>
      </c>
    </row>
    <row r="13229" spans="2:37">
      <c r="B13229" s="834" t="str">
        <f t="shared" si="493"/>
        <v>|||</v>
      </c>
      <c r="H13229" s="835">
        <f t="shared" si="494"/>
        <v>31</v>
      </c>
      <c r="AF13229" s="831" t="s">
        <v>10504</v>
      </c>
      <c r="AG13229" s="831" t="s">
        <v>2674</v>
      </c>
      <c r="AH13229" s="831" t="s">
        <v>571</v>
      </c>
      <c r="AI13229" s="831">
        <v>0</v>
      </c>
      <c r="AJ13229" s="835">
        <v>41152</v>
      </c>
      <c r="AK13229" s="831">
        <v>0</v>
      </c>
    </row>
    <row r="13230" spans="2:37">
      <c r="B13230" s="834" t="str">
        <f t="shared" si="493"/>
        <v>|||</v>
      </c>
      <c r="H13230" s="835">
        <f t="shared" si="494"/>
        <v>31</v>
      </c>
      <c r="AF13230" s="831" t="s">
        <v>10505</v>
      </c>
      <c r="AG13230" s="831" t="s">
        <v>2674</v>
      </c>
      <c r="AH13230" s="831" t="s">
        <v>573</v>
      </c>
      <c r="AI13230" s="831">
        <v>0</v>
      </c>
      <c r="AJ13230" s="835">
        <v>41152</v>
      </c>
      <c r="AK13230" s="831">
        <v>0</v>
      </c>
    </row>
    <row r="13231" spans="2:37">
      <c r="B13231" s="834" t="str">
        <f t="shared" si="493"/>
        <v>|||</v>
      </c>
      <c r="H13231" s="835">
        <f t="shared" si="494"/>
        <v>31</v>
      </c>
      <c r="AF13231" s="831" t="s">
        <v>10506</v>
      </c>
      <c r="AG13231" s="831" t="s">
        <v>2674</v>
      </c>
      <c r="AH13231" s="831" t="s">
        <v>574</v>
      </c>
      <c r="AI13231" s="831">
        <v>0</v>
      </c>
      <c r="AJ13231" s="835">
        <v>41152</v>
      </c>
      <c r="AK13231" s="831">
        <v>0</v>
      </c>
    </row>
    <row r="13232" spans="2:37">
      <c r="B13232" s="834" t="str">
        <f t="shared" si="493"/>
        <v>|||</v>
      </c>
      <c r="H13232" s="835">
        <f t="shared" si="494"/>
        <v>31</v>
      </c>
      <c r="AF13232" s="831" t="s">
        <v>10507</v>
      </c>
      <c r="AG13232" s="831" t="s">
        <v>2674</v>
      </c>
      <c r="AH13232" s="831" t="s">
        <v>575</v>
      </c>
      <c r="AI13232" s="831">
        <v>0</v>
      </c>
      <c r="AJ13232" s="835">
        <v>41152</v>
      </c>
      <c r="AK13232" s="831">
        <v>0</v>
      </c>
    </row>
    <row r="13233" spans="2:37">
      <c r="B13233" s="834" t="str">
        <f t="shared" si="493"/>
        <v>|||</v>
      </c>
      <c r="H13233" s="835">
        <f t="shared" si="494"/>
        <v>31</v>
      </c>
      <c r="AF13233" s="831" t="s">
        <v>10508</v>
      </c>
      <c r="AG13233" s="831" t="s">
        <v>2674</v>
      </c>
      <c r="AH13233" s="831" t="s">
        <v>576</v>
      </c>
      <c r="AI13233" s="831">
        <v>0</v>
      </c>
      <c r="AJ13233" s="835">
        <v>41152</v>
      </c>
      <c r="AK13233" s="831">
        <v>0</v>
      </c>
    </row>
    <row r="13234" spans="2:37">
      <c r="B13234" s="834" t="str">
        <f t="shared" si="493"/>
        <v>|||</v>
      </c>
      <c r="H13234" s="835">
        <f t="shared" si="494"/>
        <v>31</v>
      </c>
      <c r="AF13234" s="831" t="s">
        <v>10509</v>
      </c>
      <c r="AG13234" s="831" t="s">
        <v>2674</v>
      </c>
      <c r="AH13234" s="831" t="s">
        <v>572</v>
      </c>
      <c r="AI13234" s="831">
        <v>0</v>
      </c>
      <c r="AJ13234" s="835">
        <v>41152</v>
      </c>
      <c r="AK13234" s="831">
        <v>-2146826246</v>
      </c>
    </row>
    <row r="13235" spans="2:37">
      <c r="B13235" s="834" t="str">
        <f t="shared" si="493"/>
        <v>|||</v>
      </c>
      <c r="H13235" s="835">
        <f t="shared" si="494"/>
        <v>31</v>
      </c>
      <c r="AF13235" s="831" t="s">
        <v>10510</v>
      </c>
      <c r="AG13235" s="831" t="s">
        <v>2674</v>
      </c>
      <c r="AH13235" s="831" t="s">
        <v>577</v>
      </c>
      <c r="AI13235" s="831">
        <v>0</v>
      </c>
      <c r="AJ13235" s="835">
        <v>41152</v>
      </c>
      <c r="AK13235" s="831">
        <v>-2146826246</v>
      </c>
    </row>
    <row r="13236" spans="2:37">
      <c r="B13236" s="834" t="str">
        <f t="shared" si="493"/>
        <v>|||</v>
      </c>
      <c r="H13236" s="835">
        <f t="shared" si="494"/>
        <v>31</v>
      </c>
      <c r="AF13236" s="831" t="s">
        <v>10511</v>
      </c>
      <c r="AG13236" s="831" t="s">
        <v>2674</v>
      </c>
      <c r="AH13236" s="831" t="s">
        <v>3042</v>
      </c>
      <c r="AI13236" s="831">
        <v>0</v>
      </c>
      <c r="AJ13236" s="835">
        <v>41152</v>
      </c>
      <c r="AK13236" s="831">
        <v>-2146826246</v>
      </c>
    </row>
    <row r="13237" spans="2:37">
      <c r="B13237" s="834" t="str">
        <f t="shared" si="493"/>
        <v>|||</v>
      </c>
      <c r="H13237" s="835">
        <f t="shared" si="494"/>
        <v>31</v>
      </c>
      <c r="AF13237" s="831" t="s">
        <v>10512</v>
      </c>
      <c r="AG13237" s="831" t="s">
        <v>2674</v>
      </c>
      <c r="AH13237" s="831" t="s">
        <v>3044</v>
      </c>
      <c r="AI13237" s="831">
        <v>0</v>
      </c>
      <c r="AJ13237" s="835">
        <v>41152</v>
      </c>
      <c r="AK13237" s="831">
        <v>-2146826246</v>
      </c>
    </row>
    <row r="13238" spans="2:37">
      <c r="B13238" s="834" t="str">
        <f t="shared" si="493"/>
        <v>|||</v>
      </c>
      <c r="H13238" s="835">
        <f t="shared" si="494"/>
        <v>31</v>
      </c>
      <c r="AF13238" s="831" t="s">
        <v>10513</v>
      </c>
      <c r="AG13238" s="831" t="s">
        <v>2674</v>
      </c>
      <c r="AH13238" s="831" t="s">
        <v>580</v>
      </c>
      <c r="AI13238" s="831">
        <v>0</v>
      </c>
      <c r="AJ13238" s="835">
        <v>41152</v>
      </c>
      <c r="AK13238" s="831">
        <v>-2146826246</v>
      </c>
    </row>
    <row r="13239" spans="2:37">
      <c r="B13239" s="834" t="str">
        <f t="shared" si="493"/>
        <v>|||</v>
      </c>
      <c r="H13239" s="835">
        <f t="shared" si="494"/>
        <v>31</v>
      </c>
      <c r="AF13239" s="831" t="s">
        <v>10514</v>
      </c>
      <c r="AG13239" s="831" t="s">
        <v>2674</v>
      </c>
      <c r="AH13239" s="831" t="s">
        <v>581</v>
      </c>
      <c r="AI13239" s="831">
        <v>0</v>
      </c>
      <c r="AJ13239" s="835">
        <v>41152</v>
      </c>
      <c r="AK13239" s="831">
        <v>-2146826246</v>
      </c>
    </row>
    <row r="13240" spans="2:37">
      <c r="B13240" s="834" t="str">
        <f t="shared" si="493"/>
        <v>|||</v>
      </c>
      <c r="H13240" s="835">
        <f t="shared" si="494"/>
        <v>31</v>
      </c>
      <c r="AF13240" s="831" t="s">
        <v>10515</v>
      </c>
      <c r="AG13240" s="831" t="s">
        <v>2674</v>
      </c>
      <c r="AH13240" s="831" t="s">
        <v>105</v>
      </c>
      <c r="AI13240" s="831">
        <v>0</v>
      </c>
      <c r="AJ13240" s="835">
        <v>41152</v>
      </c>
      <c r="AK13240" s="831">
        <v>180384094</v>
      </c>
    </row>
    <row r="13241" spans="2:37">
      <c r="B13241" s="834" t="str">
        <f t="shared" si="493"/>
        <v>|||</v>
      </c>
      <c r="H13241" s="835">
        <f t="shared" si="494"/>
        <v>31</v>
      </c>
      <c r="AF13241" s="831" t="s">
        <v>10516</v>
      </c>
      <c r="AG13241" s="831" t="s">
        <v>2674</v>
      </c>
      <c r="AH13241" s="831" t="s">
        <v>3049</v>
      </c>
      <c r="AI13241" s="831">
        <v>0</v>
      </c>
      <c r="AJ13241" s="835">
        <v>41152</v>
      </c>
      <c r="AK13241" s="831">
        <v>343993651</v>
      </c>
    </row>
    <row r="13242" spans="2:37">
      <c r="B13242" s="834" t="str">
        <f t="shared" si="493"/>
        <v>|||</v>
      </c>
      <c r="H13242" s="835">
        <f t="shared" si="494"/>
        <v>31</v>
      </c>
      <c r="AF13242" s="831" t="s">
        <v>10517</v>
      </c>
      <c r="AG13242" s="831" t="s">
        <v>2674</v>
      </c>
      <c r="AH13242" s="831" t="s">
        <v>103</v>
      </c>
      <c r="AI13242" s="831">
        <v>0</v>
      </c>
      <c r="AJ13242" s="835">
        <v>41152</v>
      </c>
      <c r="AK13242" s="831">
        <v>163609557</v>
      </c>
    </row>
    <row r="13243" spans="2:37">
      <c r="B13243" s="834" t="str">
        <f t="shared" si="493"/>
        <v>|||</v>
      </c>
      <c r="H13243" s="835">
        <f t="shared" si="494"/>
        <v>31</v>
      </c>
      <c r="AF13243" s="831" t="s">
        <v>10518</v>
      </c>
      <c r="AG13243" s="831" t="s">
        <v>2674</v>
      </c>
      <c r="AH13243" s="831" t="s">
        <v>182</v>
      </c>
      <c r="AI13243" s="831">
        <v>0</v>
      </c>
      <c r="AJ13243" s="835">
        <v>41152</v>
      </c>
      <c r="AK13243" s="831">
        <v>50326770</v>
      </c>
    </row>
    <row r="13244" spans="2:37">
      <c r="B13244" s="834" t="str">
        <f t="shared" si="493"/>
        <v>|||</v>
      </c>
      <c r="H13244" s="835">
        <f t="shared" si="494"/>
        <v>31</v>
      </c>
      <c r="AF13244" s="831" t="s">
        <v>10519</v>
      </c>
      <c r="AG13244" s="831" t="s">
        <v>2674</v>
      </c>
      <c r="AH13244" s="831" t="s">
        <v>6600</v>
      </c>
      <c r="AI13244" s="831">
        <v>0</v>
      </c>
      <c r="AJ13244" s="835">
        <v>41152</v>
      </c>
      <c r="AK13244" s="831">
        <v>-2146826246</v>
      </c>
    </row>
    <row r="13245" spans="2:37">
      <c r="B13245" s="834" t="str">
        <f t="shared" si="493"/>
        <v>|||</v>
      </c>
      <c r="H13245" s="835">
        <f t="shared" si="494"/>
        <v>31</v>
      </c>
      <c r="AF13245" s="831" t="s">
        <v>10520</v>
      </c>
      <c r="AG13245" s="831" t="s">
        <v>2674</v>
      </c>
      <c r="AH13245" s="831" t="s">
        <v>6602</v>
      </c>
      <c r="AI13245" s="831">
        <v>0</v>
      </c>
      <c r="AJ13245" s="835">
        <v>41152</v>
      </c>
      <c r="AK13245" s="831">
        <v>10092049</v>
      </c>
    </row>
    <row r="13246" spans="2:37">
      <c r="B13246" s="834" t="str">
        <f t="shared" si="493"/>
        <v>|||</v>
      </c>
      <c r="H13246" s="835">
        <f t="shared" si="494"/>
        <v>31</v>
      </c>
      <c r="AF13246" s="831" t="s">
        <v>10521</v>
      </c>
      <c r="AG13246" s="831" t="s">
        <v>2674</v>
      </c>
      <c r="AH13246" s="831" t="s">
        <v>650</v>
      </c>
      <c r="AI13246" s="831">
        <v>0</v>
      </c>
      <c r="AJ13246" s="835">
        <v>41152</v>
      </c>
      <c r="AK13246" s="831">
        <v>0</v>
      </c>
    </row>
    <row r="13247" spans="2:37">
      <c r="B13247" s="834" t="str">
        <f t="shared" si="493"/>
        <v>|||</v>
      </c>
      <c r="H13247" s="835">
        <f t="shared" si="494"/>
        <v>31</v>
      </c>
      <c r="AF13247" s="831" t="s">
        <v>10522</v>
      </c>
      <c r="AG13247" s="831" t="s">
        <v>2674</v>
      </c>
      <c r="AH13247" s="831" t="s">
        <v>655</v>
      </c>
      <c r="AI13247" s="831">
        <v>0</v>
      </c>
      <c r="AJ13247" s="835">
        <v>41152</v>
      </c>
      <c r="AK13247" s="831">
        <v>1649423</v>
      </c>
    </row>
    <row r="13248" spans="2:37">
      <c r="B13248" s="834" t="str">
        <f t="shared" si="493"/>
        <v>|||</v>
      </c>
      <c r="H13248" s="835">
        <f t="shared" si="494"/>
        <v>31</v>
      </c>
      <c r="AF13248" s="831" t="s">
        <v>10523</v>
      </c>
      <c r="AG13248" s="831" t="s">
        <v>2674</v>
      </c>
      <c r="AH13248" s="831" t="s">
        <v>546</v>
      </c>
      <c r="AI13248" s="831">
        <v>0</v>
      </c>
      <c r="AJ13248" s="835">
        <v>41182</v>
      </c>
      <c r="AK13248" s="831">
        <v>367084945</v>
      </c>
    </row>
    <row r="13249" spans="2:37">
      <c r="B13249" s="834" t="str">
        <f t="shared" si="493"/>
        <v>|||</v>
      </c>
      <c r="H13249" s="835">
        <f t="shared" si="494"/>
        <v>31</v>
      </c>
      <c r="AF13249" s="831" t="s">
        <v>10524</v>
      </c>
      <c r="AG13249" s="831" t="s">
        <v>2674</v>
      </c>
      <c r="AH13249" s="831" t="s">
        <v>370</v>
      </c>
      <c r="AI13249" s="831">
        <v>0</v>
      </c>
      <c r="AJ13249" s="835">
        <v>41182</v>
      </c>
      <c r="AK13249" s="831">
        <v>456586970</v>
      </c>
    </row>
    <row r="13250" spans="2:37">
      <c r="B13250" s="834" t="str">
        <f t="shared" si="493"/>
        <v>|||</v>
      </c>
      <c r="H13250" s="835">
        <f t="shared" si="494"/>
        <v>31</v>
      </c>
      <c r="AF13250" s="831" t="s">
        <v>10525</v>
      </c>
      <c r="AG13250" s="831" t="s">
        <v>2674</v>
      </c>
      <c r="AH13250" s="831" t="s">
        <v>126</v>
      </c>
      <c r="AI13250" s="831">
        <v>0</v>
      </c>
      <c r="AJ13250" s="835">
        <v>41182</v>
      </c>
      <c r="AK13250" s="831">
        <v>97409403</v>
      </c>
    </row>
    <row r="13251" spans="2:37">
      <c r="B13251" s="834" t="str">
        <f t="shared" si="493"/>
        <v>|||</v>
      </c>
      <c r="H13251" s="835">
        <f t="shared" si="494"/>
        <v>31</v>
      </c>
      <c r="AF13251" s="831" t="s">
        <v>10526</v>
      </c>
      <c r="AG13251" s="831" t="s">
        <v>2674</v>
      </c>
      <c r="AH13251" s="831" t="s">
        <v>268</v>
      </c>
      <c r="AI13251" s="831">
        <v>0</v>
      </c>
      <c r="AJ13251" s="835">
        <v>41182</v>
      </c>
      <c r="AK13251" s="831">
        <v>12086480</v>
      </c>
    </row>
    <row r="13252" spans="2:37">
      <c r="B13252" s="834" t="str">
        <f t="shared" si="493"/>
        <v>|||</v>
      </c>
      <c r="H13252" s="835">
        <f t="shared" si="494"/>
        <v>31</v>
      </c>
      <c r="AF13252" s="831" t="s">
        <v>10527</v>
      </c>
      <c r="AG13252" s="831" t="s">
        <v>2674</v>
      </c>
      <c r="AH13252" s="831" t="s">
        <v>547</v>
      </c>
      <c r="AI13252" s="831">
        <v>0</v>
      </c>
      <c r="AJ13252" s="835">
        <v>41182</v>
      </c>
      <c r="AK13252" s="831">
        <v>0</v>
      </c>
    </row>
    <row r="13253" spans="2:37">
      <c r="B13253" s="834" t="str">
        <f t="shared" si="493"/>
        <v>|||</v>
      </c>
      <c r="H13253" s="835">
        <f t="shared" si="494"/>
        <v>31</v>
      </c>
      <c r="AF13253" s="831" t="s">
        <v>10528</v>
      </c>
      <c r="AG13253" s="831" t="s">
        <v>2674</v>
      </c>
      <c r="AH13253" s="831" t="s">
        <v>548</v>
      </c>
      <c r="AI13253" s="831">
        <v>0</v>
      </c>
      <c r="AJ13253" s="835">
        <v>41182</v>
      </c>
      <c r="AK13253" s="831">
        <v>0</v>
      </c>
    </row>
    <row r="13254" spans="2:37">
      <c r="B13254" s="834" t="str">
        <f t="shared" si="493"/>
        <v>|||</v>
      </c>
      <c r="H13254" s="835">
        <f t="shared" si="494"/>
        <v>31</v>
      </c>
      <c r="AF13254" s="831" t="s">
        <v>10529</v>
      </c>
      <c r="AG13254" s="831" t="s">
        <v>2674</v>
      </c>
      <c r="AH13254" s="831" t="s">
        <v>549</v>
      </c>
      <c r="AI13254" s="831">
        <v>0</v>
      </c>
      <c r="AJ13254" s="835">
        <v>41182</v>
      </c>
      <c r="AK13254" s="831">
        <v>0</v>
      </c>
    </row>
    <row r="13255" spans="2:37">
      <c r="B13255" s="834" t="str">
        <f t="shared" si="493"/>
        <v>|||</v>
      </c>
      <c r="H13255" s="835">
        <f t="shared" si="494"/>
        <v>31</v>
      </c>
      <c r="AF13255" s="831" t="s">
        <v>10530</v>
      </c>
      <c r="AG13255" s="831" t="s">
        <v>2674</v>
      </c>
      <c r="AH13255" s="831" t="s">
        <v>192</v>
      </c>
      <c r="AI13255" s="831">
        <v>0</v>
      </c>
      <c r="AJ13255" s="835">
        <v>41182</v>
      </c>
      <c r="AK13255" s="831">
        <v>-9429800</v>
      </c>
    </row>
    <row r="13256" spans="2:37">
      <c r="B13256" s="834" t="str">
        <f t="shared" si="493"/>
        <v>|||</v>
      </c>
      <c r="H13256" s="835">
        <f t="shared" si="494"/>
        <v>31</v>
      </c>
      <c r="AF13256" s="831" t="s">
        <v>10531</v>
      </c>
      <c r="AG13256" s="831" t="s">
        <v>2674</v>
      </c>
      <c r="AH13256" s="831" t="s">
        <v>558</v>
      </c>
      <c r="AI13256" s="831">
        <v>0</v>
      </c>
      <c r="AJ13256" s="835">
        <v>41182</v>
      </c>
      <c r="AK13256" s="831">
        <v>359177567</v>
      </c>
    </row>
    <row r="13257" spans="2:37">
      <c r="B13257" s="834" t="str">
        <f t="shared" si="493"/>
        <v>|||</v>
      </c>
      <c r="H13257" s="835">
        <f t="shared" si="494"/>
        <v>31</v>
      </c>
      <c r="AF13257" s="831" t="s">
        <v>10532</v>
      </c>
      <c r="AG13257" s="831" t="s">
        <v>2674</v>
      </c>
      <c r="AH13257" s="831" t="s">
        <v>65</v>
      </c>
      <c r="AI13257" s="831">
        <v>0</v>
      </c>
      <c r="AJ13257" s="835">
        <v>41182</v>
      </c>
      <c r="AK13257" s="831">
        <v>71268198</v>
      </c>
    </row>
    <row r="13258" spans="2:37">
      <c r="B13258" s="834" t="str">
        <f t="shared" si="493"/>
        <v>|||</v>
      </c>
      <c r="H13258" s="835">
        <f t="shared" si="494"/>
        <v>31</v>
      </c>
      <c r="AF13258" s="831" t="s">
        <v>10533</v>
      </c>
      <c r="AG13258" s="831" t="s">
        <v>2674</v>
      </c>
      <c r="AH13258" s="831" t="s">
        <v>89</v>
      </c>
      <c r="AI13258" s="831">
        <v>0</v>
      </c>
      <c r="AJ13258" s="835">
        <v>41182</v>
      </c>
      <c r="AK13258" s="831">
        <v>122822</v>
      </c>
    </row>
    <row r="13259" spans="2:37">
      <c r="B13259" s="834" t="str">
        <f t="shared" si="493"/>
        <v>|||</v>
      </c>
      <c r="H13259" s="835">
        <f t="shared" si="494"/>
        <v>31</v>
      </c>
      <c r="AF13259" s="831" t="s">
        <v>10534</v>
      </c>
      <c r="AG13259" s="831" t="s">
        <v>2674</v>
      </c>
      <c r="AH13259" s="831" t="s">
        <v>557</v>
      </c>
      <c r="AI13259" s="831">
        <v>0</v>
      </c>
      <c r="AJ13259" s="835">
        <v>41182</v>
      </c>
      <c r="AK13259" s="831">
        <v>124710</v>
      </c>
    </row>
    <row r="13260" spans="2:37">
      <c r="B13260" s="834" t="str">
        <f t="shared" si="493"/>
        <v>|||</v>
      </c>
      <c r="H13260" s="835">
        <f t="shared" si="494"/>
        <v>31</v>
      </c>
      <c r="AF13260" s="831" t="s">
        <v>10535</v>
      </c>
      <c r="AG13260" s="831" t="s">
        <v>2674</v>
      </c>
      <c r="AH13260" s="831" t="s">
        <v>29</v>
      </c>
      <c r="AI13260" s="831">
        <v>0</v>
      </c>
      <c r="AJ13260" s="835">
        <v>41182</v>
      </c>
      <c r="AK13260" s="831">
        <v>2101787</v>
      </c>
    </row>
    <row r="13261" spans="2:37">
      <c r="B13261" s="834" t="str">
        <f t="shared" si="493"/>
        <v>|||</v>
      </c>
      <c r="H13261" s="835">
        <f t="shared" si="494"/>
        <v>31</v>
      </c>
      <c r="AF13261" s="831" t="s">
        <v>10536</v>
      </c>
      <c r="AG13261" s="831" t="s">
        <v>2674</v>
      </c>
      <c r="AH13261" s="831" t="s">
        <v>2688</v>
      </c>
      <c r="AI13261" s="831">
        <v>0</v>
      </c>
      <c r="AJ13261" s="835">
        <v>41182</v>
      </c>
      <c r="AK13261" s="831">
        <v>2502472</v>
      </c>
    </row>
    <row r="13262" spans="2:37">
      <c r="B13262" s="834" t="str">
        <f t="shared" si="493"/>
        <v>|||</v>
      </c>
      <c r="H13262" s="835">
        <f t="shared" si="494"/>
        <v>31</v>
      </c>
      <c r="AF13262" s="831" t="s">
        <v>10537</v>
      </c>
      <c r="AG13262" s="831" t="s">
        <v>2674</v>
      </c>
      <c r="AH13262" s="831" t="s">
        <v>556</v>
      </c>
      <c r="AI13262" s="831">
        <v>0</v>
      </c>
      <c r="AJ13262" s="835">
        <v>41182</v>
      </c>
      <c r="AK13262" s="831">
        <v>902857</v>
      </c>
    </row>
    <row r="13263" spans="2:37">
      <c r="B13263" s="834" t="str">
        <f t="shared" si="493"/>
        <v>|||</v>
      </c>
      <c r="H13263" s="835">
        <f t="shared" si="494"/>
        <v>31</v>
      </c>
      <c r="AF13263" s="831" t="s">
        <v>10538</v>
      </c>
      <c r="AG13263" s="831" t="s">
        <v>2674</v>
      </c>
      <c r="AH13263" s="831" t="s">
        <v>555</v>
      </c>
      <c r="AI13263" s="831">
        <v>0</v>
      </c>
      <c r="AJ13263" s="835">
        <v>41182</v>
      </c>
      <c r="AK13263" s="831">
        <v>230223270</v>
      </c>
    </row>
    <row r="13264" spans="2:37">
      <c r="B13264" s="834" t="str">
        <f t="shared" si="493"/>
        <v>|||</v>
      </c>
      <c r="H13264" s="835">
        <f t="shared" si="494"/>
        <v>31</v>
      </c>
      <c r="AF13264" s="831" t="s">
        <v>10539</v>
      </c>
      <c r="AG13264" s="831" t="s">
        <v>2674</v>
      </c>
      <c r="AH13264" s="831" t="s">
        <v>554</v>
      </c>
      <c r="AI13264" s="831">
        <v>0</v>
      </c>
      <c r="AJ13264" s="835">
        <v>41182</v>
      </c>
      <c r="AK13264" s="831">
        <v>219562790</v>
      </c>
    </row>
    <row r="13265" spans="2:37">
      <c r="B13265" s="834" t="str">
        <f t="shared" ref="B13265:B13328" si="495">C13265&amp;"|"&amp;D13265&amp;"|"&amp;E13265&amp;"|"&amp;F13265</f>
        <v>|||</v>
      </c>
      <c r="H13265" s="835">
        <f t="shared" ref="H13265:H13328" si="496">EOMONTH(L13265,0)</f>
        <v>31</v>
      </c>
      <c r="AF13265" s="831" t="s">
        <v>10540</v>
      </c>
      <c r="AG13265" s="831" t="s">
        <v>2674</v>
      </c>
      <c r="AH13265" s="831" t="s">
        <v>553</v>
      </c>
      <c r="AI13265" s="831">
        <v>0</v>
      </c>
      <c r="AJ13265" s="835">
        <v>41182</v>
      </c>
      <c r="AK13265" s="831">
        <v>0</v>
      </c>
    </row>
    <row r="13266" spans="2:37">
      <c r="B13266" s="834" t="str">
        <f t="shared" si="495"/>
        <v>|||</v>
      </c>
      <c r="H13266" s="835">
        <f t="shared" si="496"/>
        <v>31</v>
      </c>
      <c r="AF13266" s="831" t="s">
        <v>10541</v>
      </c>
      <c r="AG13266" s="831" t="s">
        <v>2674</v>
      </c>
      <c r="AH13266" s="831" t="s">
        <v>552</v>
      </c>
      <c r="AI13266" s="831">
        <v>0</v>
      </c>
      <c r="AJ13266" s="835">
        <v>41182</v>
      </c>
      <c r="AK13266" s="831">
        <v>0</v>
      </c>
    </row>
    <row r="13267" spans="2:37">
      <c r="B13267" s="834" t="str">
        <f t="shared" si="495"/>
        <v>|||</v>
      </c>
      <c r="H13267" s="835">
        <f t="shared" si="496"/>
        <v>31</v>
      </c>
      <c r="AF13267" s="831" t="s">
        <v>10542</v>
      </c>
      <c r="AG13267" s="831" t="s">
        <v>2674</v>
      </c>
      <c r="AH13267" s="831" t="s">
        <v>551</v>
      </c>
      <c r="AI13267" s="831">
        <v>0</v>
      </c>
      <c r="AJ13267" s="835">
        <v>41182</v>
      </c>
      <c r="AK13267" s="831">
        <v>1960032</v>
      </c>
    </row>
    <row r="13268" spans="2:37">
      <c r="B13268" s="834" t="str">
        <f t="shared" si="495"/>
        <v>|||</v>
      </c>
      <c r="H13268" s="835">
        <f t="shared" si="496"/>
        <v>31</v>
      </c>
      <c r="AF13268" s="831" t="s">
        <v>10543</v>
      </c>
      <c r="AG13268" s="831" t="s">
        <v>2674</v>
      </c>
      <c r="AH13268" s="831" t="s">
        <v>550</v>
      </c>
      <c r="AI13268" s="831">
        <v>0</v>
      </c>
      <c r="AJ13268" s="835">
        <v>41182</v>
      </c>
      <c r="AK13268" s="831">
        <v>95414973</v>
      </c>
    </row>
    <row r="13269" spans="2:37">
      <c r="B13269" s="834" t="str">
        <f t="shared" si="495"/>
        <v>|||</v>
      </c>
      <c r="H13269" s="835">
        <f t="shared" si="496"/>
        <v>31</v>
      </c>
      <c r="AF13269" s="831" t="s">
        <v>10544</v>
      </c>
      <c r="AG13269" s="831" t="s">
        <v>2674</v>
      </c>
      <c r="AH13269" s="831" t="s">
        <v>562</v>
      </c>
      <c r="AI13269" s="831">
        <v>0</v>
      </c>
      <c r="AJ13269" s="835">
        <v>41182</v>
      </c>
      <c r="AK13269" s="831">
        <v>0.78464999999999996</v>
      </c>
    </row>
    <row r="13270" spans="2:37">
      <c r="B13270" s="834" t="str">
        <f t="shared" si="495"/>
        <v>|||</v>
      </c>
      <c r="H13270" s="835">
        <f t="shared" si="496"/>
        <v>31</v>
      </c>
      <c r="AF13270" s="831" t="s">
        <v>10545</v>
      </c>
      <c r="AG13270" s="831" t="s">
        <v>2674</v>
      </c>
      <c r="AH13270" s="831" t="s">
        <v>2698</v>
      </c>
      <c r="AI13270" s="831">
        <v>0</v>
      </c>
      <c r="AJ13270" s="835">
        <v>41182</v>
      </c>
      <c r="AK13270" s="831">
        <v>0.78449999999999998</v>
      </c>
    </row>
    <row r="13271" spans="2:37">
      <c r="B13271" s="834" t="str">
        <f t="shared" si="495"/>
        <v>|||</v>
      </c>
      <c r="H13271" s="835">
        <f t="shared" si="496"/>
        <v>31</v>
      </c>
      <c r="AF13271" s="831" t="s">
        <v>10546</v>
      </c>
      <c r="AG13271" s="831" t="s">
        <v>2674</v>
      </c>
      <c r="AH13271" s="831" t="s">
        <v>560</v>
      </c>
      <c r="AI13271" s="831">
        <v>0</v>
      </c>
      <c r="AJ13271" s="835">
        <v>41182</v>
      </c>
      <c r="AK13271" s="831">
        <v>0.78534999999999999</v>
      </c>
    </row>
    <row r="13272" spans="2:37">
      <c r="B13272" s="834" t="str">
        <f t="shared" si="495"/>
        <v>|||</v>
      </c>
      <c r="H13272" s="835">
        <f t="shared" si="496"/>
        <v>31</v>
      </c>
      <c r="AF13272" s="831" t="s">
        <v>10547</v>
      </c>
      <c r="AG13272" s="831" t="s">
        <v>2674</v>
      </c>
      <c r="AH13272" s="831" t="s">
        <v>559</v>
      </c>
      <c r="AI13272" s="831">
        <v>0</v>
      </c>
      <c r="AJ13272" s="835">
        <v>41182</v>
      </c>
      <c r="AK13272" s="831">
        <v>0.78557083333333333</v>
      </c>
    </row>
    <row r="13273" spans="2:37">
      <c r="B13273" s="834" t="str">
        <f t="shared" si="495"/>
        <v>|||</v>
      </c>
      <c r="H13273" s="835">
        <f t="shared" si="496"/>
        <v>31</v>
      </c>
      <c r="AF13273" s="831" t="s">
        <v>10548</v>
      </c>
      <c r="AG13273" s="831" t="s">
        <v>2674</v>
      </c>
      <c r="AH13273" s="831" t="s">
        <v>568</v>
      </c>
      <c r="AI13273" s="831">
        <v>0</v>
      </c>
      <c r="AJ13273" s="835">
        <v>41182</v>
      </c>
      <c r="AK13273" s="831">
        <v>0</v>
      </c>
    </row>
    <row r="13274" spans="2:37">
      <c r="B13274" s="834" t="str">
        <f t="shared" si="495"/>
        <v>|||</v>
      </c>
      <c r="H13274" s="835">
        <f t="shared" si="496"/>
        <v>31</v>
      </c>
      <c r="AF13274" s="831" t="s">
        <v>10549</v>
      </c>
      <c r="AG13274" s="831" t="s">
        <v>2674</v>
      </c>
      <c r="AH13274" s="831" t="s">
        <v>569</v>
      </c>
      <c r="AI13274" s="831">
        <v>0</v>
      </c>
      <c r="AJ13274" s="835">
        <v>41182</v>
      </c>
      <c r="AK13274" s="831">
        <v>0</v>
      </c>
    </row>
    <row r="13275" spans="2:37">
      <c r="B13275" s="834" t="str">
        <f t="shared" si="495"/>
        <v>|||</v>
      </c>
      <c r="H13275" s="835">
        <f t="shared" si="496"/>
        <v>31</v>
      </c>
      <c r="AF13275" s="831" t="s">
        <v>10550</v>
      </c>
      <c r="AG13275" s="831" t="s">
        <v>2674</v>
      </c>
      <c r="AH13275" s="831" t="s">
        <v>570</v>
      </c>
      <c r="AI13275" s="831">
        <v>0</v>
      </c>
      <c r="AJ13275" s="835">
        <v>41182</v>
      </c>
      <c r="AK13275" s="831">
        <v>0</v>
      </c>
    </row>
    <row r="13276" spans="2:37">
      <c r="B13276" s="834" t="str">
        <f t="shared" si="495"/>
        <v>|||</v>
      </c>
      <c r="H13276" s="835">
        <f t="shared" si="496"/>
        <v>31</v>
      </c>
      <c r="AF13276" s="831" t="s">
        <v>10551</v>
      </c>
      <c r="AG13276" s="831" t="s">
        <v>2674</v>
      </c>
      <c r="AH13276" s="831" t="s">
        <v>571</v>
      </c>
      <c r="AI13276" s="831">
        <v>0</v>
      </c>
      <c r="AJ13276" s="835">
        <v>41182</v>
      </c>
      <c r="AK13276" s="831">
        <v>0</v>
      </c>
    </row>
    <row r="13277" spans="2:37">
      <c r="B13277" s="834" t="str">
        <f t="shared" si="495"/>
        <v>|||</v>
      </c>
      <c r="H13277" s="835">
        <f t="shared" si="496"/>
        <v>31</v>
      </c>
      <c r="AF13277" s="831" t="s">
        <v>10552</v>
      </c>
      <c r="AG13277" s="831" t="s">
        <v>2674</v>
      </c>
      <c r="AH13277" s="831" t="s">
        <v>573</v>
      </c>
      <c r="AI13277" s="831">
        <v>0</v>
      </c>
      <c r="AJ13277" s="835">
        <v>41182</v>
      </c>
      <c r="AK13277" s="831">
        <v>0</v>
      </c>
    </row>
    <row r="13278" spans="2:37">
      <c r="B13278" s="834" t="str">
        <f t="shared" si="495"/>
        <v>|||</v>
      </c>
      <c r="H13278" s="835">
        <f t="shared" si="496"/>
        <v>31</v>
      </c>
      <c r="AF13278" s="831" t="s">
        <v>10553</v>
      </c>
      <c r="AG13278" s="831" t="s">
        <v>2674</v>
      </c>
      <c r="AH13278" s="831" t="s">
        <v>574</v>
      </c>
      <c r="AI13278" s="831">
        <v>0</v>
      </c>
      <c r="AJ13278" s="835">
        <v>41182</v>
      </c>
      <c r="AK13278" s="831">
        <v>0</v>
      </c>
    </row>
    <row r="13279" spans="2:37">
      <c r="B13279" s="834" t="str">
        <f t="shared" si="495"/>
        <v>|||</v>
      </c>
      <c r="H13279" s="835">
        <f t="shared" si="496"/>
        <v>31</v>
      </c>
      <c r="AF13279" s="831" t="s">
        <v>10554</v>
      </c>
      <c r="AG13279" s="831" t="s">
        <v>2674</v>
      </c>
      <c r="AH13279" s="831" t="s">
        <v>575</v>
      </c>
      <c r="AI13279" s="831">
        <v>0</v>
      </c>
      <c r="AJ13279" s="835">
        <v>41182</v>
      </c>
      <c r="AK13279" s="831">
        <v>0</v>
      </c>
    </row>
    <row r="13280" spans="2:37">
      <c r="B13280" s="834" t="str">
        <f t="shared" si="495"/>
        <v>|||</v>
      </c>
      <c r="H13280" s="835">
        <f t="shared" si="496"/>
        <v>31</v>
      </c>
      <c r="AF13280" s="831" t="s">
        <v>10555</v>
      </c>
      <c r="AG13280" s="831" t="s">
        <v>2674</v>
      </c>
      <c r="AH13280" s="831" t="s">
        <v>576</v>
      </c>
      <c r="AI13280" s="831">
        <v>0</v>
      </c>
      <c r="AJ13280" s="835">
        <v>41182</v>
      </c>
      <c r="AK13280" s="831">
        <v>0</v>
      </c>
    </row>
    <row r="13281" spans="2:37">
      <c r="B13281" s="834" t="str">
        <f t="shared" si="495"/>
        <v>|||</v>
      </c>
      <c r="H13281" s="835">
        <f t="shared" si="496"/>
        <v>31</v>
      </c>
      <c r="AF13281" s="831" t="s">
        <v>10556</v>
      </c>
      <c r="AG13281" s="831" t="s">
        <v>2674</v>
      </c>
      <c r="AH13281" s="831" t="s">
        <v>572</v>
      </c>
      <c r="AI13281" s="831">
        <v>0</v>
      </c>
      <c r="AJ13281" s="835">
        <v>41182</v>
      </c>
      <c r="AK13281" s="831">
        <v>-2146826246</v>
      </c>
    </row>
    <row r="13282" spans="2:37">
      <c r="B13282" s="834" t="str">
        <f t="shared" si="495"/>
        <v>|||</v>
      </c>
      <c r="H13282" s="835">
        <f t="shared" si="496"/>
        <v>31</v>
      </c>
      <c r="AF13282" s="831" t="s">
        <v>10557</v>
      </c>
      <c r="AG13282" s="831" t="s">
        <v>2674</v>
      </c>
      <c r="AH13282" s="831" t="s">
        <v>577</v>
      </c>
      <c r="AI13282" s="831">
        <v>0</v>
      </c>
      <c r="AJ13282" s="835">
        <v>41182</v>
      </c>
      <c r="AK13282" s="831">
        <v>-2146826246</v>
      </c>
    </row>
    <row r="13283" spans="2:37">
      <c r="B13283" s="834" t="str">
        <f t="shared" si="495"/>
        <v>|||</v>
      </c>
      <c r="H13283" s="835">
        <f t="shared" si="496"/>
        <v>31</v>
      </c>
      <c r="AF13283" s="831" t="s">
        <v>10558</v>
      </c>
      <c r="AG13283" s="831" t="s">
        <v>2674</v>
      </c>
      <c r="AH13283" s="831" t="s">
        <v>3042</v>
      </c>
      <c r="AI13283" s="831">
        <v>0</v>
      </c>
      <c r="AJ13283" s="835">
        <v>41182</v>
      </c>
      <c r="AK13283" s="831">
        <v>-2146826246</v>
      </c>
    </row>
    <row r="13284" spans="2:37">
      <c r="B13284" s="834" t="str">
        <f t="shared" si="495"/>
        <v>|||</v>
      </c>
      <c r="H13284" s="835">
        <f t="shared" si="496"/>
        <v>31</v>
      </c>
      <c r="AF13284" s="831" t="s">
        <v>10559</v>
      </c>
      <c r="AG13284" s="831" t="s">
        <v>2674</v>
      </c>
      <c r="AH13284" s="831" t="s">
        <v>3044</v>
      </c>
      <c r="AI13284" s="831">
        <v>0</v>
      </c>
      <c r="AJ13284" s="835">
        <v>41182</v>
      </c>
      <c r="AK13284" s="831">
        <v>-2146826246</v>
      </c>
    </row>
    <row r="13285" spans="2:37">
      <c r="B13285" s="834" t="str">
        <f t="shared" si="495"/>
        <v>|||</v>
      </c>
      <c r="H13285" s="835">
        <f t="shared" si="496"/>
        <v>31</v>
      </c>
      <c r="AF13285" s="831" t="s">
        <v>10560</v>
      </c>
      <c r="AG13285" s="831" t="s">
        <v>2674</v>
      </c>
      <c r="AH13285" s="831" t="s">
        <v>580</v>
      </c>
      <c r="AI13285" s="831">
        <v>0</v>
      </c>
      <c r="AJ13285" s="835">
        <v>41182</v>
      </c>
      <c r="AK13285" s="831">
        <v>-2146826246</v>
      </c>
    </row>
    <row r="13286" spans="2:37">
      <c r="B13286" s="834" t="str">
        <f t="shared" si="495"/>
        <v>|||</v>
      </c>
      <c r="H13286" s="835">
        <f t="shared" si="496"/>
        <v>31</v>
      </c>
      <c r="AF13286" s="831" t="s">
        <v>10561</v>
      </c>
      <c r="AG13286" s="831" t="s">
        <v>2674</v>
      </c>
      <c r="AH13286" s="831" t="s">
        <v>581</v>
      </c>
      <c r="AI13286" s="831">
        <v>0</v>
      </c>
      <c r="AJ13286" s="835">
        <v>41182</v>
      </c>
      <c r="AK13286" s="831">
        <v>-2146826246</v>
      </c>
    </row>
    <row r="13287" spans="2:37">
      <c r="B13287" s="834" t="str">
        <f t="shared" si="495"/>
        <v>|||</v>
      </c>
      <c r="H13287" s="835">
        <f t="shared" si="496"/>
        <v>31</v>
      </c>
      <c r="AF13287" s="831" t="s">
        <v>10562</v>
      </c>
      <c r="AG13287" s="831" t="s">
        <v>2674</v>
      </c>
      <c r="AH13287" s="831" t="s">
        <v>105</v>
      </c>
      <c r="AI13287" s="831">
        <v>0</v>
      </c>
      <c r="AJ13287" s="835">
        <v>41182</v>
      </c>
      <c r="AK13287" s="831">
        <v>185303362</v>
      </c>
    </row>
    <row r="13288" spans="2:37">
      <c r="B13288" s="834" t="str">
        <f t="shared" si="495"/>
        <v>|||</v>
      </c>
      <c r="H13288" s="835">
        <f t="shared" si="496"/>
        <v>31</v>
      </c>
      <c r="AF13288" s="831" t="s">
        <v>10563</v>
      </c>
      <c r="AG13288" s="831" t="s">
        <v>2674</v>
      </c>
      <c r="AH13288" s="831" t="s">
        <v>3049</v>
      </c>
      <c r="AI13288" s="831">
        <v>0</v>
      </c>
      <c r="AJ13288" s="835">
        <v>41182</v>
      </c>
      <c r="AK13288" s="831">
        <v>347265603</v>
      </c>
    </row>
    <row r="13289" spans="2:37">
      <c r="B13289" s="834" t="str">
        <f t="shared" si="495"/>
        <v>|||</v>
      </c>
      <c r="H13289" s="835">
        <f t="shared" si="496"/>
        <v>31</v>
      </c>
      <c r="AF13289" s="831" t="s">
        <v>10564</v>
      </c>
      <c r="AG13289" s="831" t="s">
        <v>2674</v>
      </c>
      <c r="AH13289" s="831" t="s">
        <v>103</v>
      </c>
      <c r="AI13289" s="831">
        <v>0</v>
      </c>
      <c r="AJ13289" s="835">
        <v>41182</v>
      </c>
      <c r="AK13289" s="831">
        <v>161962241</v>
      </c>
    </row>
    <row r="13290" spans="2:37">
      <c r="B13290" s="834" t="str">
        <f t="shared" si="495"/>
        <v>|||</v>
      </c>
      <c r="H13290" s="835">
        <f t="shared" si="496"/>
        <v>31</v>
      </c>
      <c r="AF13290" s="831" t="s">
        <v>10565</v>
      </c>
      <c r="AG13290" s="831" t="s">
        <v>2674</v>
      </c>
      <c r="AH13290" s="831" t="s">
        <v>182</v>
      </c>
      <c r="AI13290" s="831">
        <v>0</v>
      </c>
      <c r="AJ13290" s="835">
        <v>41182</v>
      </c>
      <c r="AK13290" s="831">
        <v>49982530.666666664</v>
      </c>
    </row>
    <row r="13291" spans="2:37">
      <c r="B13291" s="834" t="str">
        <f t="shared" si="495"/>
        <v>|||</v>
      </c>
      <c r="H13291" s="835">
        <f t="shared" si="496"/>
        <v>31</v>
      </c>
      <c r="AF13291" s="831" t="s">
        <v>10566</v>
      </c>
      <c r="AG13291" s="831" t="s">
        <v>2674</v>
      </c>
      <c r="AH13291" s="831" t="s">
        <v>6600</v>
      </c>
      <c r="AI13291" s="831">
        <v>0</v>
      </c>
      <c r="AJ13291" s="835">
        <v>41182</v>
      </c>
      <c r="AK13291" s="831">
        <v>-2146826246</v>
      </c>
    </row>
    <row r="13292" spans="2:37">
      <c r="B13292" s="834" t="str">
        <f t="shared" si="495"/>
        <v>|||</v>
      </c>
      <c r="H13292" s="835">
        <f t="shared" si="496"/>
        <v>31</v>
      </c>
      <c r="AF13292" s="831" t="s">
        <v>10567</v>
      </c>
      <c r="AG13292" s="831" t="s">
        <v>2674</v>
      </c>
      <c r="AH13292" s="831" t="s">
        <v>6602</v>
      </c>
      <c r="AI13292" s="831">
        <v>0</v>
      </c>
      <c r="AJ13292" s="835">
        <v>41182</v>
      </c>
      <c r="AK13292" s="831">
        <v>12086480</v>
      </c>
    </row>
    <row r="13293" spans="2:37">
      <c r="B13293" s="834" t="str">
        <f t="shared" si="495"/>
        <v>|||</v>
      </c>
      <c r="H13293" s="835">
        <f t="shared" si="496"/>
        <v>31</v>
      </c>
      <c r="AF13293" s="831" t="s">
        <v>10568</v>
      </c>
      <c r="AG13293" s="831" t="s">
        <v>2674</v>
      </c>
      <c r="AH13293" s="831" t="s">
        <v>650</v>
      </c>
      <c r="AI13293" s="831">
        <v>0</v>
      </c>
      <c r="AJ13293" s="835">
        <v>41182</v>
      </c>
      <c r="AK13293" s="831">
        <v>0</v>
      </c>
    </row>
    <row r="13294" spans="2:37">
      <c r="B13294" s="834" t="str">
        <f t="shared" si="495"/>
        <v>|||</v>
      </c>
      <c r="H13294" s="835">
        <f t="shared" si="496"/>
        <v>31</v>
      </c>
      <c r="AF13294" s="831" t="s">
        <v>10569</v>
      </c>
      <c r="AG13294" s="831" t="s">
        <v>2674</v>
      </c>
      <c r="AH13294" s="831" t="s">
        <v>655</v>
      </c>
      <c r="AI13294" s="831">
        <v>0</v>
      </c>
      <c r="AJ13294" s="835">
        <v>41182</v>
      </c>
      <c r="AK13294" s="831">
        <v>1640278</v>
      </c>
    </row>
    <row r="13295" spans="2:37">
      <c r="B13295" s="834" t="str">
        <f t="shared" si="495"/>
        <v>|||</v>
      </c>
      <c r="H13295" s="835">
        <f t="shared" si="496"/>
        <v>31</v>
      </c>
      <c r="AF13295" s="831" t="s">
        <v>10570</v>
      </c>
      <c r="AG13295" s="831" t="s">
        <v>2674</v>
      </c>
      <c r="AH13295" s="831" t="s">
        <v>546</v>
      </c>
      <c r="AI13295" s="831">
        <v>0</v>
      </c>
      <c r="AJ13295" s="835">
        <v>41213</v>
      </c>
      <c r="AK13295" s="831">
        <v>376404251</v>
      </c>
    </row>
    <row r="13296" spans="2:37">
      <c r="B13296" s="834" t="str">
        <f t="shared" si="495"/>
        <v>|||</v>
      </c>
      <c r="H13296" s="835">
        <f t="shared" si="496"/>
        <v>31</v>
      </c>
      <c r="AF13296" s="831" t="s">
        <v>10571</v>
      </c>
      <c r="AG13296" s="831" t="s">
        <v>2674</v>
      </c>
      <c r="AH13296" s="831" t="s">
        <v>370</v>
      </c>
      <c r="AI13296" s="831">
        <v>0</v>
      </c>
      <c r="AJ13296" s="835">
        <v>41213</v>
      </c>
      <c r="AK13296" s="831">
        <v>453336865</v>
      </c>
    </row>
    <row r="13297" spans="2:37">
      <c r="B13297" s="834" t="str">
        <f t="shared" si="495"/>
        <v>|||</v>
      </c>
      <c r="H13297" s="835">
        <f t="shared" si="496"/>
        <v>31</v>
      </c>
      <c r="AF13297" s="831" t="s">
        <v>10572</v>
      </c>
      <c r="AG13297" s="831" t="s">
        <v>2674</v>
      </c>
      <c r="AH13297" s="831" t="s">
        <v>126</v>
      </c>
      <c r="AI13297" s="831">
        <v>0</v>
      </c>
      <c r="AJ13297" s="835">
        <v>41213</v>
      </c>
      <c r="AK13297" s="831">
        <v>99431431</v>
      </c>
    </row>
    <row r="13298" spans="2:37">
      <c r="B13298" s="834" t="str">
        <f t="shared" si="495"/>
        <v>|||</v>
      </c>
      <c r="H13298" s="835">
        <f t="shared" si="496"/>
        <v>31</v>
      </c>
      <c r="AF13298" s="831" t="s">
        <v>10573</v>
      </c>
      <c r="AG13298" s="831" t="s">
        <v>2674</v>
      </c>
      <c r="AH13298" s="831" t="s">
        <v>268</v>
      </c>
      <c r="AI13298" s="831">
        <v>0</v>
      </c>
      <c r="AJ13298" s="835">
        <v>41213</v>
      </c>
      <c r="AK13298" s="831">
        <v>14108507</v>
      </c>
    </row>
    <row r="13299" spans="2:37">
      <c r="B13299" s="834" t="str">
        <f t="shared" si="495"/>
        <v>|||</v>
      </c>
      <c r="H13299" s="835">
        <f t="shared" si="496"/>
        <v>31</v>
      </c>
      <c r="AF13299" s="831" t="s">
        <v>10574</v>
      </c>
      <c r="AG13299" s="831" t="s">
        <v>2674</v>
      </c>
      <c r="AH13299" s="831" t="s">
        <v>547</v>
      </c>
      <c r="AI13299" s="831">
        <v>0</v>
      </c>
      <c r="AJ13299" s="835">
        <v>41213</v>
      </c>
      <c r="AK13299" s="831">
        <v>0</v>
      </c>
    </row>
    <row r="13300" spans="2:37">
      <c r="B13300" s="834" t="str">
        <f t="shared" si="495"/>
        <v>|||</v>
      </c>
      <c r="H13300" s="835">
        <f t="shared" si="496"/>
        <v>31</v>
      </c>
      <c r="AF13300" s="831" t="s">
        <v>10575</v>
      </c>
      <c r="AG13300" s="831" t="s">
        <v>2674</v>
      </c>
      <c r="AH13300" s="831" t="s">
        <v>548</v>
      </c>
      <c r="AI13300" s="831">
        <v>0</v>
      </c>
      <c r="AJ13300" s="835">
        <v>41213</v>
      </c>
      <c r="AK13300" s="831">
        <v>0</v>
      </c>
    </row>
    <row r="13301" spans="2:37">
      <c r="B13301" s="834" t="str">
        <f t="shared" si="495"/>
        <v>|||</v>
      </c>
      <c r="H13301" s="835">
        <f t="shared" si="496"/>
        <v>31</v>
      </c>
      <c r="AF13301" s="831" t="s">
        <v>10576</v>
      </c>
      <c r="AG13301" s="831" t="s">
        <v>2674</v>
      </c>
      <c r="AH13301" s="831" t="s">
        <v>549</v>
      </c>
      <c r="AI13301" s="831">
        <v>0</v>
      </c>
      <c r="AJ13301" s="835">
        <v>41213</v>
      </c>
      <c r="AK13301" s="831">
        <v>0</v>
      </c>
    </row>
    <row r="13302" spans="2:37">
      <c r="B13302" s="834" t="str">
        <f t="shared" si="495"/>
        <v>|||</v>
      </c>
      <c r="H13302" s="835">
        <f t="shared" si="496"/>
        <v>31</v>
      </c>
      <c r="AF13302" s="831" t="s">
        <v>10577</v>
      </c>
      <c r="AG13302" s="831" t="s">
        <v>2674</v>
      </c>
      <c r="AH13302" s="831" t="s">
        <v>192</v>
      </c>
      <c r="AI13302" s="831">
        <v>0</v>
      </c>
      <c r="AJ13302" s="835">
        <v>41213</v>
      </c>
      <c r="AK13302" s="831">
        <v>-9860253</v>
      </c>
    </row>
    <row r="13303" spans="2:37">
      <c r="B13303" s="834" t="str">
        <f t="shared" si="495"/>
        <v>|||</v>
      </c>
      <c r="H13303" s="835">
        <f t="shared" si="496"/>
        <v>31</v>
      </c>
      <c r="AF13303" s="831" t="s">
        <v>10578</v>
      </c>
      <c r="AG13303" s="831" t="s">
        <v>2674</v>
      </c>
      <c r="AH13303" s="831" t="s">
        <v>558</v>
      </c>
      <c r="AI13303" s="831">
        <v>0</v>
      </c>
      <c r="AJ13303" s="835">
        <v>41213</v>
      </c>
      <c r="AK13303" s="831">
        <v>353905434</v>
      </c>
    </row>
    <row r="13304" spans="2:37">
      <c r="B13304" s="834" t="str">
        <f t="shared" si="495"/>
        <v>|||</v>
      </c>
      <c r="H13304" s="835">
        <f t="shared" si="496"/>
        <v>31</v>
      </c>
      <c r="AF13304" s="831" t="s">
        <v>10579</v>
      </c>
      <c r="AG13304" s="831" t="s">
        <v>2674</v>
      </c>
      <c r="AH13304" s="831" t="s">
        <v>65</v>
      </c>
      <c r="AI13304" s="831">
        <v>0</v>
      </c>
      <c r="AJ13304" s="835">
        <v>41213</v>
      </c>
      <c r="AK13304" s="831">
        <v>80308330</v>
      </c>
    </row>
    <row r="13305" spans="2:37">
      <c r="B13305" s="834" t="str">
        <f t="shared" si="495"/>
        <v>|||</v>
      </c>
      <c r="H13305" s="835">
        <f t="shared" si="496"/>
        <v>31</v>
      </c>
      <c r="AF13305" s="831" t="s">
        <v>10580</v>
      </c>
      <c r="AG13305" s="831" t="s">
        <v>2674</v>
      </c>
      <c r="AH13305" s="831" t="s">
        <v>89</v>
      </c>
      <c r="AI13305" s="831">
        <v>0</v>
      </c>
      <c r="AJ13305" s="835">
        <v>41213</v>
      </c>
      <c r="AK13305" s="831">
        <v>123024</v>
      </c>
    </row>
    <row r="13306" spans="2:37">
      <c r="B13306" s="834" t="str">
        <f t="shared" si="495"/>
        <v>|||</v>
      </c>
      <c r="H13306" s="835">
        <f t="shared" si="496"/>
        <v>31</v>
      </c>
      <c r="AF13306" s="831" t="s">
        <v>10581</v>
      </c>
      <c r="AG13306" s="831" t="s">
        <v>2674</v>
      </c>
      <c r="AH13306" s="831" t="s">
        <v>557</v>
      </c>
      <c r="AI13306" s="831">
        <v>0</v>
      </c>
      <c r="AJ13306" s="835">
        <v>41213</v>
      </c>
      <c r="AK13306" s="831">
        <v>124999</v>
      </c>
    </row>
    <row r="13307" spans="2:37">
      <c r="B13307" s="834" t="str">
        <f t="shared" si="495"/>
        <v>|||</v>
      </c>
      <c r="H13307" s="835">
        <f t="shared" si="496"/>
        <v>31</v>
      </c>
      <c r="AF13307" s="831" t="s">
        <v>10582</v>
      </c>
      <c r="AG13307" s="831" t="s">
        <v>2674</v>
      </c>
      <c r="AH13307" s="831" t="s">
        <v>29</v>
      </c>
      <c r="AI13307" s="831">
        <v>0</v>
      </c>
      <c r="AJ13307" s="835">
        <v>41213</v>
      </c>
      <c r="AK13307" s="831">
        <v>2261339</v>
      </c>
    </row>
    <row r="13308" spans="2:37">
      <c r="B13308" s="834" t="str">
        <f t="shared" si="495"/>
        <v>|||</v>
      </c>
      <c r="H13308" s="835">
        <f t="shared" si="496"/>
        <v>31</v>
      </c>
      <c r="AF13308" s="831" t="s">
        <v>10583</v>
      </c>
      <c r="AG13308" s="831" t="s">
        <v>2674</v>
      </c>
      <c r="AH13308" s="831" t="s">
        <v>2688</v>
      </c>
      <c r="AI13308" s="831">
        <v>0</v>
      </c>
      <c r="AJ13308" s="835">
        <v>41213</v>
      </c>
      <c r="AK13308" s="831">
        <v>2480728</v>
      </c>
    </row>
    <row r="13309" spans="2:37">
      <c r="B13309" s="834" t="str">
        <f t="shared" si="495"/>
        <v>|||</v>
      </c>
      <c r="H13309" s="835">
        <f t="shared" si="496"/>
        <v>31</v>
      </c>
      <c r="AF13309" s="831" t="s">
        <v>10584</v>
      </c>
      <c r="AG13309" s="831" t="s">
        <v>2674</v>
      </c>
      <c r="AH13309" s="831" t="s">
        <v>556</v>
      </c>
      <c r="AI13309" s="831">
        <v>0</v>
      </c>
      <c r="AJ13309" s="835">
        <v>41213</v>
      </c>
      <c r="AK13309" s="831">
        <v>902857</v>
      </c>
    </row>
    <row r="13310" spans="2:37">
      <c r="B13310" s="834" t="str">
        <f t="shared" si="495"/>
        <v>|||</v>
      </c>
      <c r="H13310" s="835">
        <f t="shared" si="496"/>
        <v>31</v>
      </c>
      <c r="AF13310" s="831" t="s">
        <v>10585</v>
      </c>
      <c r="AG13310" s="831" t="s">
        <v>2674</v>
      </c>
      <c r="AH13310" s="831" t="s">
        <v>555</v>
      </c>
      <c r="AI13310" s="831">
        <v>0</v>
      </c>
      <c r="AJ13310" s="835">
        <v>41213</v>
      </c>
      <c r="AK13310" s="831">
        <v>223326560</v>
      </c>
    </row>
    <row r="13311" spans="2:37">
      <c r="B13311" s="834" t="str">
        <f t="shared" si="495"/>
        <v>|||</v>
      </c>
      <c r="H13311" s="835">
        <f t="shared" si="496"/>
        <v>31</v>
      </c>
      <c r="AF13311" s="831" t="s">
        <v>10586</v>
      </c>
      <c r="AG13311" s="831" t="s">
        <v>2674</v>
      </c>
      <c r="AH13311" s="831" t="s">
        <v>554</v>
      </c>
      <c r="AI13311" s="831">
        <v>0</v>
      </c>
      <c r="AJ13311" s="835">
        <v>41213</v>
      </c>
      <c r="AK13311" s="831">
        <v>217988230</v>
      </c>
    </row>
    <row r="13312" spans="2:37">
      <c r="B13312" s="834" t="str">
        <f t="shared" si="495"/>
        <v>|||</v>
      </c>
      <c r="H13312" s="835">
        <f t="shared" si="496"/>
        <v>31</v>
      </c>
      <c r="AF13312" s="831" t="s">
        <v>10587</v>
      </c>
      <c r="AG13312" s="831" t="s">
        <v>2674</v>
      </c>
      <c r="AH13312" s="831" t="s">
        <v>553</v>
      </c>
      <c r="AI13312" s="831">
        <v>0</v>
      </c>
      <c r="AJ13312" s="835">
        <v>41213</v>
      </c>
      <c r="AK13312" s="831">
        <v>0</v>
      </c>
    </row>
    <row r="13313" spans="2:37">
      <c r="B13313" s="834" t="str">
        <f t="shared" si="495"/>
        <v>|||</v>
      </c>
      <c r="H13313" s="835">
        <f t="shared" si="496"/>
        <v>31</v>
      </c>
      <c r="AF13313" s="831" t="s">
        <v>10588</v>
      </c>
      <c r="AG13313" s="831" t="s">
        <v>2674</v>
      </c>
      <c r="AH13313" s="831" t="s">
        <v>552</v>
      </c>
      <c r="AI13313" s="831">
        <v>0</v>
      </c>
      <c r="AJ13313" s="835">
        <v>41213</v>
      </c>
      <c r="AK13313" s="831">
        <v>0</v>
      </c>
    </row>
    <row r="13314" spans="2:37">
      <c r="B13314" s="834" t="str">
        <f t="shared" si="495"/>
        <v>|||</v>
      </c>
      <c r="H13314" s="835">
        <f t="shared" si="496"/>
        <v>31</v>
      </c>
      <c r="AF13314" s="831" t="s">
        <v>10589</v>
      </c>
      <c r="AG13314" s="831" t="s">
        <v>2674</v>
      </c>
      <c r="AH13314" s="831" t="s">
        <v>551</v>
      </c>
      <c r="AI13314" s="831">
        <v>0</v>
      </c>
      <c r="AJ13314" s="835">
        <v>41213</v>
      </c>
      <c r="AK13314" s="831">
        <v>2033933</v>
      </c>
    </row>
    <row r="13315" spans="2:37">
      <c r="B13315" s="834" t="str">
        <f t="shared" si="495"/>
        <v>|||</v>
      </c>
      <c r="H13315" s="835">
        <f t="shared" si="496"/>
        <v>31</v>
      </c>
      <c r="AF13315" s="831" t="s">
        <v>10590</v>
      </c>
      <c r="AG13315" s="831" t="s">
        <v>2674</v>
      </c>
      <c r="AH13315" s="831" t="s">
        <v>550</v>
      </c>
      <c r="AI13315" s="831">
        <v>0</v>
      </c>
      <c r="AJ13315" s="835">
        <v>41213</v>
      </c>
      <c r="AK13315" s="831">
        <v>97409403</v>
      </c>
    </row>
    <row r="13316" spans="2:37">
      <c r="B13316" s="834" t="str">
        <f t="shared" si="495"/>
        <v>|||</v>
      </c>
      <c r="H13316" s="835">
        <f t="shared" si="496"/>
        <v>31</v>
      </c>
      <c r="AF13316" s="831" t="s">
        <v>10591</v>
      </c>
      <c r="AG13316" s="831" t="s">
        <v>2674</v>
      </c>
      <c r="AH13316" s="831" t="s">
        <v>562</v>
      </c>
      <c r="AI13316" s="831">
        <v>0</v>
      </c>
      <c r="AJ13316" s="835">
        <v>41213</v>
      </c>
      <c r="AK13316" s="831">
        <v>0.78434999999999999</v>
      </c>
    </row>
    <row r="13317" spans="2:37">
      <c r="B13317" s="834" t="str">
        <f t="shared" si="495"/>
        <v>|||</v>
      </c>
      <c r="H13317" s="835">
        <f t="shared" si="496"/>
        <v>31</v>
      </c>
      <c r="AF13317" s="831" t="s">
        <v>10592</v>
      </c>
      <c r="AG13317" s="831" t="s">
        <v>2674</v>
      </c>
      <c r="AH13317" s="831" t="s">
        <v>2698</v>
      </c>
      <c r="AI13317" s="831">
        <v>0</v>
      </c>
      <c r="AJ13317" s="835">
        <v>41213</v>
      </c>
      <c r="AK13317" s="831">
        <v>0.78464999999999996</v>
      </c>
    </row>
    <row r="13318" spans="2:37">
      <c r="B13318" s="834" t="str">
        <f t="shared" si="495"/>
        <v>|||</v>
      </c>
      <c r="H13318" s="835">
        <f t="shared" si="496"/>
        <v>31</v>
      </c>
      <c r="AF13318" s="831" t="s">
        <v>10593</v>
      </c>
      <c r="AG13318" s="831" t="s">
        <v>2674</v>
      </c>
      <c r="AH13318" s="831" t="s">
        <v>560</v>
      </c>
      <c r="AI13318" s="831">
        <v>0</v>
      </c>
      <c r="AJ13318" s="835">
        <v>41213</v>
      </c>
      <c r="AK13318" s="831">
        <v>0.78525</v>
      </c>
    </row>
    <row r="13319" spans="2:37">
      <c r="B13319" s="834" t="str">
        <f t="shared" si="495"/>
        <v>|||</v>
      </c>
      <c r="H13319" s="835">
        <f t="shared" si="496"/>
        <v>31</v>
      </c>
      <c r="AF13319" s="831" t="s">
        <v>10594</v>
      </c>
      <c r="AG13319" s="831" t="s">
        <v>2674</v>
      </c>
      <c r="AH13319" s="831" t="s">
        <v>559</v>
      </c>
      <c r="AI13319" s="831">
        <v>0</v>
      </c>
      <c r="AJ13319" s="835">
        <v>41213</v>
      </c>
      <c r="AK13319" s="831">
        <v>0.78536666666666666</v>
      </c>
    </row>
    <row r="13320" spans="2:37">
      <c r="B13320" s="834" t="str">
        <f t="shared" si="495"/>
        <v>|||</v>
      </c>
      <c r="H13320" s="835">
        <f t="shared" si="496"/>
        <v>31</v>
      </c>
      <c r="AF13320" s="831" t="s">
        <v>10595</v>
      </c>
      <c r="AG13320" s="831" t="s">
        <v>2674</v>
      </c>
      <c r="AH13320" s="831" t="s">
        <v>568</v>
      </c>
      <c r="AI13320" s="831">
        <v>0</v>
      </c>
      <c r="AJ13320" s="835">
        <v>41213</v>
      </c>
      <c r="AK13320" s="831">
        <v>0</v>
      </c>
    </row>
    <row r="13321" spans="2:37">
      <c r="B13321" s="834" t="str">
        <f t="shared" si="495"/>
        <v>|||</v>
      </c>
      <c r="H13321" s="835">
        <f t="shared" si="496"/>
        <v>31</v>
      </c>
      <c r="AF13321" s="831" t="s">
        <v>10596</v>
      </c>
      <c r="AG13321" s="831" t="s">
        <v>2674</v>
      </c>
      <c r="AH13321" s="831" t="s">
        <v>569</v>
      </c>
      <c r="AI13321" s="831">
        <v>0</v>
      </c>
      <c r="AJ13321" s="835">
        <v>41213</v>
      </c>
      <c r="AK13321" s="831">
        <v>0</v>
      </c>
    </row>
    <row r="13322" spans="2:37">
      <c r="B13322" s="834" t="str">
        <f t="shared" si="495"/>
        <v>|||</v>
      </c>
      <c r="H13322" s="835">
        <f t="shared" si="496"/>
        <v>31</v>
      </c>
      <c r="AF13322" s="831" t="s">
        <v>10597</v>
      </c>
      <c r="AG13322" s="831" t="s">
        <v>2674</v>
      </c>
      <c r="AH13322" s="831" t="s">
        <v>570</v>
      </c>
      <c r="AI13322" s="831">
        <v>0</v>
      </c>
      <c r="AJ13322" s="835">
        <v>41213</v>
      </c>
      <c r="AK13322" s="831">
        <v>0</v>
      </c>
    </row>
    <row r="13323" spans="2:37">
      <c r="B13323" s="834" t="str">
        <f t="shared" si="495"/>
        <v>|||</v>
      </c>
      <c r="H13323" s="835">
        <f t="shared" si="496"/>
        <v>31</v>
      </c>
      <c r="AF13323" s="831" t="s">
        <v>10598</v>
      </c>
      <c r="AG13323" s="831" t="s">
        <v>2674</v>
      </c>
      <c r="AH13323" s="831" t="s">
        <v>571</v>
      </c>
      <c r="AI13323" s="831">
        <v>0</v>
      </c>
      <c r="AJ13323" s="835">
        <v>41213</v>
      </c>
      <c r="AK13323" s="831">
        <v>0</v>
      </c>
    </row>
    <row r="13324" spans="2:37">
      <c r="B13324" s="834" t="str">
        <f t="shared" si="495"/>
        <v>|||</v>
      </c>
      <c r="H13324" s="835">
        <f t="shared" si="496"/>
        <v>31</v>
      </c>
      <c r="AF13324" s="831" t="s">
        <v>10599</v>
      </c>
      <c r="AG13324" s="831" t="s">
        <v>2674</v>
      </c>
      <c r="AH13324" s="831" t="s">
        <v>573</v>
      </c>
      <c r="AI13324" s="831">
        <v>0</v>
      </c>
      <c r="AJ13324" s="835">
        <v>41213</v>
      </c>
      <c r="AK13324" s="831">
        <v>0</v>
      </c>
    </row>
    <row r="13325" spans="2:37">
      <c r="B13325" s="834" t="str">
        <f t="shared" si="495"/>
        <v>|||</v>
      </c>
      <c r="H13325" s="835">
        <f t="shared" si="496"/>
        <v>31</v>
      </c>
      <c r="AF13325" s="831" t="s">
        <v>10600</v>
      </c>
      <c r="AG13325" s="831" t="s">
        <v>2674</v>
      </c>
      <c r="AH13325" s="831" t="s">
        <v>574</v>
      </c>
      <c r="AI13325" s="831">
        <v>0</v>
      </c>
      <c r="AJ13325" s="835">
        <v>41213</v>
      </c>
      <c r="AK13325" s="831">
        <v>0</v>
      </c>
    </row>
    <row r="13326" spans="2:37">
      <c r="B13326" s="834" t="str">
        <f t="shared" si="495"/>
        <v>|||</v>
      </c>
      <c r="H13326" s="835">
        <f t="shared" si="496"/>
        <v>31</v>
      </c>
      <c r="AF13326" s="831" t="s">
        <v>10601</v>
      </c>
      <c r="AG13326" s="831" t="s">
        <v>2674</v>
      </c>
      <c r="AH13326" s="831" t="s">
        <v>575</v>
      </c>
      <c r="AI13326" s="831">
        <v>0</v>
      </c>
      <c r="AJ13326" s="835">
        <v>41213</v>
      </c>
      <c r="AK13326" s="831">
        <v>0</v>
      </c>
    </row>
    <row r="13327" spans="2:37">
      <c r="B13327" s="834" t="str">
        <f t="shared" si="495"/>
        <v>|||</v>
      </c>
      <c r="H13327" s="835">
        <f t="shared" si="496"/>
        <v>31</v>
      </c>
      <c r="AF13327" s="831" t="s">
        <v>10602</v>
      </c>
      <c r="AG13327" s="831" t="s">
        <v>2674</v>
      </c>
      <c r="AH13327" s="831" t="s">
        <v>576</v>
      </c>
      <c r="AI13327" s="831">
        <v>0</v>
      </c>
      <c r="AJ13327" s="835">
        <v>41213</v>
      </c>
      <c r="AK13327" s="831">
        <v>0</v>
      </c>
    </row>
    <row r="13328" spans="2:37">
      <c r="B13328" s="834" t="str">
        <f t="shared" si="495"/>
        <v>|||</v>
      </c>
      <c r="H13328" s="835">
        <f t="shared" si="496"/>
        <v>31</v>
      </c>
      <c r="AF13328" s="831" t="s">
        <v>10603</v>
      </c>
      <c r="AG13328" s="831" t="s">
        <v>2674</v>
      </c>
      <c r="AH13328" s="831" t="s">
        <v>572</v>
      </c>
      <c r="AI13328" s="831">
        <v>0</v>
      </c>
      <c r="AJ13328" s="835">
        <v>41213</v>
      </c>
      <c r="AK13328" s="831">
        <v>-2146826246</v>
      </c>
    </row>
    <row r="13329" spans="2:37">
      <c r="B13329" s="834" t="str">
        <f t="shared" ref="B13329:B13392" si="497">C13329&amp;"|"&amp;D13329&amp;"|"&amp;E13329&amp;"|"&amp;F13329</f>
        <v>|||</v>
      </c>
      <c r="H13329" s="835">
        <f t="shared" ref="H13329:H13392" si="498">EOMONTH(L13329,0)</f>
        <v>31</v>
      </c>
      <c r="AF13329" s="831" t="s">
        <v>10604</v>
      </c>
      <c r="AG13329" s="831" t="s">
        <v>2674</v>
      </c>
      <c r="AH13329" s="831" t="s">
        <v>577</v>
      </c>
      <c r="AI13329" s="831">
        <v>0</v>
      </c>
      <c r="AJ13329" s="835">
        <v>41213</v>
      </c>
      <c r="AK13329" s="831">
        <v>-2146826246</v>
      </c>
    </row>
    <row r="13330" spans="2:37">
      <c r="B13330" s="834" t="str">
        <f t="shared" si="497"/>
        <v>|||</v>
      </c>
      <c r="H13330" s="835">
        <f t="shared" si="498"/>
        <v>31</v>
      </c>
      <c r="AF13330" s="831" t="s">
        <v>10605</v>
      </c>
      <c r="AG13330" s="831" t="s">
        <v>2674</v>
      </c>
      <c r="AH13330" s="831" t="s">
        <v>3042</v>
      </c>
      <c r="AI13330" s="831">
        <v>0</v>
      </c>
      <c r="AJ13330" s="835">
        <v>41213</v>
      </c>
      <c r="AK13330" s="831">
        <v>-2146826246</v>
      </c>
    </row>
    <row r="13331" spans="2:37">
      <c r="B13331" s="834" t="str">
        <f t="shared" si="497"/>
        <v>|||</v>
      </c>
      <c r="H13331" s="835">
        <f t="shared" si="498"/>
        <v>31</v>
      </c>
      <c r="AF13331" s="831" t="s">
        <v>10606</v>
      </c>
      <c r="AG13331" s="831" t="s">
        <v>2674</v>
      </c>
      <c r="AH13331" s="831" t="s">
        <v>3044</v>
      </c>
      <c r="AI13331" s="831">
        <v>0</v>
      </c>
      <c r="AJ13331" s="835">
        <v>41213</v>
      </c>
      <c r="AK13331" s="831">
        <v>-2146826246</v>
      </c>
    </row>
    <row r="13332" spans="2:37">
      <c r="B13332" s="834" t="str">
        <f t="shared" si="497"/>
        <v>|||</v>
      </c>
      <c r="H13332" s="835">
        <f t="shared" si="498"/>
        <v>31</v>
      </c>
      <c r="AF13332" s="831" t="s">
        <v>10607</v>
      </c>
      <c r="AG13332" s="831" t="s">
        <v>2674</v>
      </c>
      <c r="AH13332" s="831" t="s">
        <v>580</v>
      </c>
      <c r="AI13332" s="831">
        <v>0</v>
      </c>
      <c r="AJ13332" s="835">
        <v>41213</v>
      </c>
      <c r="AK13332" s="831">
        <v>-2146826246</v>
      </c>
    </row>
    <row r="13333" spans="2:37">
      <c r="B13333" s="834" t="str">
        <f t="shared" si="497"/>
        <v>|||</v>
      </c>
      <c r="H13333" s="835">
        <f t="shared" si="498"/>
        <v>31</v>
      </c>
      <c r="AF13333" s="831" t="s">
        <v>10608</v>
      </c>
      <c r="AG13333" s="831" t="s">
        <v>2674</v>
      </c>
      <c r="AH13333" s="831" t="s">
        <v>581</v>
      </c>
      <c r="AI13333" s="831">
        <v>0</v>
      </c>
      <c r="AJ13333" s="835">
        <v>41213</v>
      </c>
      <c r="AK13333" s="831">
        <v>-2146826246</v>
      </c>
    </row>
    <row r="13334" spans="2:37">
      <c r="B13334" s="834" t="str">
        <f t="shared" si="497"/>
        <v>|||</v>
      </c>
      <c r="H13334" s="835">
        <f t="shared" si="498"/>
        <v>31</v>
      </c>
      <c r="AF13334" s="831" t="s">
        <v>10609</v>
      </c>
      <c r="AG13334" s="831" t="s">
        <v>2674</v>
      </c>
      <c r="AH13334" s="831" t="s">
        <v>105</v>
      </c>
      <c r="AI13334" s="831">
        <v>0</v>
      </c>
      <c r="AJ13334" s="835">
        <v>41213</v>
      </c>
      <c r="AK13334" s="831">
        <v>184676086</v>
      </c>
    </row>
    <row r="13335" spans="2:37">
      <c r="B13335" s="834" t="str">
        <f t="shared" si="497"/>
        <v>|||</v>
      </c>
      <c r="H13335" s="835">
        <f t="shared" si="498"/>
        <v>31</v>
      </c>
      <c r="AF13335" s="831" t="s">
        <v>10610</v>
      </c>
      <c r="AG13335" s="831" t="s">
        <v>2674</v>
      </c>
      <c r="AH13335" s="831" t="s">
        <v>3049</v>
      </c>
      <c r="AI13335" s="831">
        <v>0</v>
      </c>
      <c r="AJ13335" s="835">
        <v>41213</v>
      </c>
      <c r="AK13335" s="831">
        <v>342133447</v>
      </c>
    </row>
    <row r="13336" spans="2:37">
      <c r="B13336" s="834" t="str">
        <f t="shared" si="497"/>
        <v>|||</v>
      </c>
      <c r="H13336" s="835">
        <f t="shared" si="498"/>
        <v>31</v>
      </c>
      <c r="AF13336" s="831" t="s">
        <v>10611</v>
      </c>
      <c r="AG13336" s="831" t="s">
        <v>2674</v>
      </c>
      <c r="AH13336" s="831" t="s">
        <v>103</v>
      </c>
      <c r="AI13336" s="831">
        <v>0</v>
      </c>
      <c r="AJ13336" s="835">
        <v>41213</v>
      </c>
      <c r="AK13336" s="831">
        <v>157457361</v>
      </c>
    </row>
    <row r="13337" spans="2:37">
      <c r="B13337" s="834" t="str">
        <f t="shared" si="497"/>
        <v>|||</v>
      </c>
      <c r="H13337" s="835">
        <f t="shared" si="498"/>
        <v>31</v>
      </c>
      <c r="AF13337" s="831" t="s">
        <v>10612</v>
      </c>
      <c r="AG13337" s="831" t="s">
        <v>2674</v>
      </c>
      <c r="AH13337" s="831" t="s">
        <v>182</v>
      </c>
      <c r="AI13337" s="831">
        <v>0</v>
      </c>
      <c r="AJ13337" s="835">
        <v>41213</v>
      </c>
      <c r="AK13337" s="831">
        <v>49941625.200000003</v>
      </c>
    </row>
    <row r="13338" spans="2:37">
      <c r="B13338" s="834" t="str">
        <f t="shared" si="497"/>
        <v>|||</v>
      </c>
      <c r="H13338" s="835">
        <f t="shared" si="498"/>
        <v>31</v>
      </c>
      <c r="AF13338" s="831" t="s">
        <v>10613</v>
      </c>
      <c r="AG13338" s="831" t="s">
        <v>2674</v>
      </c>
      <c r="AH13338" s="831" t="s">
        <v>6600</v>
      </c>
      <c r="AI13338" s="831">
        <v>0</v>
      </c>
      <c r="AJ13338" s="835">
        <v>41213</v>
      </c>
      <c r="AK13338" s="831">
        <v>-2146826246</v>
      </c>
    </row>
    <row r="13339" spans="2:37">
      <c r="B13339" s="834" t="str">
        <f t="shared" si="497"/>
        <v>|||</v>
      </c>
      <c r="H13339" s="835">
        <f t="shared" si="498"/>
        <v>31</v>
      </c>
      <c r="AF13339" s="831" t="s">
        <v>10614</v>
      </c>
      <c r="AG13339" s="831" t="s">
        <v>2674</v>
      </c>
      <c r="AH13339" s="831" t="s">
        <v>6602</v>
      </c>
      <c r="AI13339" s="831">
        <v>0</v>
      </c>
      <c r="AJ13339" s="835">
        <v>41213</v>
      </c>
      <c r="AK13339" s="831">
        <v>14108507</v>
      </c>
    </row>
    <row r="13340" spans="2:37">
      <c r="B13340" s="834" t="str">
        <f t="shared" si="497"/>
        <v>|||</v>
      </c>
      <c r="H13340" s="835">
        <f t="shared" si="498"/>
        <v>31</v>
      </c>
      <c r="AF13340" s="831" t="s">
        <v>10615</v>
      </c>
      <c r="AG13340" s="831" t="s">
        <v>2674</v>
      </c>
      <c r="AH13340" s="831" t="s">
        <v>650</v>
      </c>
      <c r="AI13340" s="831">
        <v>0</v>
      </c>
      <c r="AJ13340" s="835">
        <v>41213</v>
      </c>
      <c r="AK13340" s="831">
        <v>0</v>
      </c>
    </row>
    <row r="13341" spans="2:37">
      <c r="B13341" s="834" t="str">
        <f t="shared" si="497"/>
        <v>|||</v>
      </c>
      <c r="H13341" s="835">
        <f t="shared" si="498"/>
        <v>31</v>
      </c>
      <c r="AF13341" s="831" t="s">
        <v>10616</v>
      </c>
      <c r="AG13341" s="831" t="s">
        <v>2674</v>
      </c>
      <c r="AH13341" s="831" t="s">
        <v>655</v>
      </c>
      <c r="AI13341" s="831">
        <v>0</v>
      </c>
      <c r="AJ13341" s="835">
        <v>41213</v>
      </c>
      <c r="AK13341" s="831">
        <v>1927116</v>
      </c>
    </row>
    <row r="13342" spans="2:37">
      <c r="B13342" s="834" t="str">
        <f t="shared" si="497"/>
        <v>|||</v>
      </c>
      <c r="H13342" s="835">
        <f t="shared" si="498"/>
        <v>31</v>
      </c>
      <c r="AF13342" s="831" t="s">
        <v>10617</v>
      </c>
      <c r="AG13342" s="831" t="s">
        <v>2674</v>
      </c>
      <c r="AH13342" s="831" t="s">
        <v>546</v>
      </c>
      <c r="AI13342" s="831">
        <v>0</v>
      </c>
      <c r="AJ13342" s="835">
        <v>41243</v>
      </c>
      <c r="AK13342" s="831">
        <v>394083786</v>
      </c>
    </row>
    <row r="13343" spans="2:37">
      <c r="B13343" s="834" t="str">
        <f t="shared" si="497"/>
        <v>|||</v>
      </c>
      <c r="H13343" s="835">
        <f t="shared" si="498"/>
        <v>31</v>
      </c>
      <c r="AF13343" s="831" t="s">
        <v>10618</v>
      </c>
      <c r="AG13343" s="831" t="s">
        <v>2674</v>
      </c>
      <c r="AH13343" s="831" t="s">
        <v>370</v>
      </c>
      <c r="AI13343" s="831">
        <v>0</v>
      </c>
      <c r="AJ13343" s="835">
        <v>41243</v>
      </c>
      <c r="AK13343" s="831">
        <v>468781857</v>
      </c>
    </row>
    <row r="13344" spans="2:37">
      <c r="B13344" s="834" t="str">
        <f t="shared" si="497"/>
        <v>|||</v>
      </c>
      <c r="H13344" s="835">
        <f t="shared" si="498"/>
        <v>31</v>
      </c>
      <c r="AF13344" s="831" t="s">
        <v>10619</v>
      </c>
      <c r="AG13344" s="831" t="s">
        <v>2674</v>
      </c>
      <c r="AH13344" s="831" t="s">
        <v>126</v>
      </c>
      <c r="AI13344" s="831">
        <v>0</v>
      </c>
      <c r="AJ13344" s="835">
        <v>41243</v>
      </c>
      <c r="AK13344" s="831">
        <v>101856827</v>
      </c>
    </row>
    <row r="13345" spans="2:37">
      <c r="B13345" s="834" t="str">
        <f t="shared" si="497"/>
        <v>|||</v>
      </c>
      <c r="H13345" s="835">
        <f t="shared" si="498"/>
        <v>31</v>
      </c>
      <c r="AF13345" s="831" t="s">
        <v>10620</v>
      </c>
      <c r="AG13345" s="831" t="s">
        <v>2674</v>
      </c>
      <c r="AH13345" s="831" t="s">
        <v>268</v>
      </c>
      <c r="AI13345" s="831">
        <v>0</v>
      </c>
      <c r="AJ13345" s="835">
        <v>41243</v>
      </c>
      <c r="AK13345" s="831">
        <v>16533903</v>
      </c>
    </row>
    <row r="13346" spans="2:37">
      <c r="B13346" s="834" t="str">
        <f t="shared" si="497"/>
        <v>|||</v>
      </c>
      <c r="H13346" s="835">
        <f t="shared" si="498"/>
        <v>31</v>
      </c>
      <c r="AF13346" s="831" t="s">
        <v>10621</v>
      </c>
      <c r="AG13346" s="831" t="s">
        <v>2674</v>
      </c>
      <c r="AH13346" s="831" t="s">
        <v>547</v>
      </c>
      <c r="AI13346" s="831">
        <v>0</v>
      </c>
      <c r="AJ13346" s="835">
        <v>41243</v>
      </c>
      <c r="AK13346" s="831">
        <v>0</v>
      </c>
    </row>
    <row r="13347" spans="2:37">
      <c r="B13347" s="834" t="str">
        <f t="shared" si="497"/>
        <v>|||</v>
      </c>
      <c r="H13347" s="835">
        <f t="shared" si="498"/>
        <v>31</v>
      </c>
      <c r="AF13347" s="831" t="s">
        <v>10622</v>
      </c>
      <c r="AG13347" s="831" t="s">
        <v>2674</v>
      </c>
      <c r="AH13347" s="831" t="s">
        <v>548</v>
      </c>
      <c r="AI13347" s="831">
        <v>0</v>
      </c>
      <c r="AJ13347" s="835">
        <v>41243</v>
      </c>
      <c r="AK13347" s="831">
        <v>0</v>
      </c>
    </row>
    <row r="13348" spans="2:37">
      <c r="B13348" s="834" t="str">
        <f t="shared" si="497"/>
        <v>|||</v>
      </c>
      <c r="H13348" s="835">
        <f t="shared" si="498"/>
        <v>31</v>
      </c>
      <c r="AF13348" s="831" t="s">
        <v>10623</v>
      </c>
      <c r="AG13348" s="831" t="s">
        <v>2674</v>
      </c>
      <c r="AH13348" s="831" t="s">
        <v>549</v>
      </c>
      <c r="AI13348" s="831">
        <v>0</v>
      </c>
      <c r="AJ13348" s="835">
        <v>41243</v>
      </c>
      <c r="AK13348" s="831">
        <v>0</v>
      </c>
    </row>
    <row r="13349" spans="2:37">
      <c r="B13349" s="834" t="str">
        <f t="shared" si="497"/>
        <v>|||</v>
      </c>
      <c r="H13349" s="835">
        <f t="shared" si="498"/>
        <v>31</v>
      </c>
      <c r="AF13349" s="831" t="s">
        <v>10624</v>
      </c>
      <c r="AG13349" s="831" t="s">
        <v>2674</v>
      </c>
      <c r="AH13349" s="831" t="s">
        <v>192</v>
      </c>
      <c r="AI13349" s="831">
        <v>0</v>
      </c>
      <c r="AJ13349" s="835">
        <v>41243</v>
      </c>
      <c r="AK13349" s="831">
        <v>-10079693</v>
      </c>
    </row>
    <row r="13350" spans="2:37">
      <c r="B13350" s="834" t="str">
        <f t="shared" si="497"/>
        <v>|||</v>
      </c>
      <c r="H13350" s="835">
        <f t="shared" si="498"/>
        <v>31</v>
      </c>
      <c r="AF13350" s="831" t="s">
        <v>10625</v>
      </c>
      <c r="AG13350" s="831" t="s">
        <v>2674</v>
      </c>
      <c r="AH13350" s="831" t="s">
        <v>558</v>
      </c>
      <c r="AI13350" s="831">
        <v>0</v>
      </c>
      <c r="AJ13350" s="835">
        <v>41243</v>
      </c>
      <c r="AK13350" s="831">
        <v>366925030</v>
      </c>
    </row>
    <row r="13351" spans="2:37">
      <c r="B13351" s="834" t="str">
        <f t="shared" si="497"/>
        <v>|||</v>
      </c>
      <c r="H13351" s="835">
        <f t="shared" si="498"/>
        <v>31</v>
      </c>
      <c r="AF13351" s="831" t="s">
        <v>10626</v>
      </c>
      <c r="AG13351" s="831" t="s">
        <v>2674</v>
      </c>
      <c r="AH13351" s="831" t="s">
        <v>65</v>
      </c>
      <c r="AI13351" s="831">
        <v>0</v>
      </c>
      <c r="AJ13351" s="835">
        <v>41243</v>
      </c>
      <c r="AK13351" s="831">
        <v>89510969</v>
      </c>
    </row>
    <row r="13352" spans="2:37">
      <c r="B13352" s="834" t="str">
        <f t="shared" si="497"/>
        <v>|||</v>
      </c>
      <c r="H13352" s="835">
        <f t="shared" si="498"/>
        <v>31</v>
      </c>
      <c r="AF13352" s="831" t="s">
        <v>10627</v>
      </c>
      <c r="AG13352" s="831" t="s">
        <v>2674</v>
      </c>
      <c r="AH13352" s="831" t="s">
        <v>89</v>
      </c>
      <c r="AI13352" s="831">
        <v>0</v>
      </c>
      <c r="AJ13352" s="835">
        <v>41243</v>
      </c>
      <c r="AK13352" s="831">
        <v>123534</v>
      </c>
    </row>
    <row r="13353" spans="2:37">
      <c r="B13353" s="834" t="str">
        <f t="shared" si="497"/>
        <v>|||</v>
      </c>
      <c r="H13353" s="835">
        <f t="shared" si="498"/>
        <v>31</v>
      </c>
      <c r="AF13353" s="831" t="s">
        <v>10628</v>
      </c>
      <c r="AG13353" s="831" t="s">
        <v>2674</v>
      </c>
      <c r="AH13353" s="831" t="s">
        <v>557</v>
      </c>
      <c r="AI13353" s="831">
        <v>0</v>
      </c>
      <c r="AJ13353" s="835">
        <v>41243</v>
      </c>
      <c r="AK13353" s="831">
        <v>125715</v>
      </c>
    </row>
    <row r="13354" spans="2:37">
      <c r="B13354" s="834" t="str">
        <f t="shared" si="497"/>
        <v>|||</v>
      </c>
      <c r="H13354" s="835">
        <f t="shared" si="498"/>
        <v>31</v>
      </c>
      <c r="AF13354" s="831" t="s">
        <v>10629</v>
      </c>
      <c r="AG13354" s="831" t="s">
        <v>2674</v>
      </c>
      <c r="AH13354" s="831" t="s">
        <v>29</v>
      </c>
      <c r="AI13354" s="831">
        <v>0</v>
      </c>
      <c r="AJ13354" s="835">
        <v>41243</v>
      </c>
      <c r="AK13354" s="831">
        <v>2094921</v>
      </c>
    </row>
    <row r="13355" spans="2:37">
      <c r="B13355" s="834" t="str">
        <f t="shared" si="497"/>
        <v>|||</v>
      </c>
      <c r="H13355" s="835">
        <f t="shared" si="498"/>
        <v>31</v>
      </c>
      <c r="AF13355" s="831" t="s">
        <v>10630</v>
      </c>
      <c r="AG13355" s="831" t="s">
        <v>2674</v>
      </c>
      <c r="AH13355" s="831" t="s">
        <v>2688</v>
      </c>
      <c r="AI13355" s="831">
        <v>0</v>
      </c>
      <c r="AJ13355" s="835">
        <v>41243</v>
      </c>
      <c r="AK13355" s="831">
        <v>2867819</v>
      </c>
    </row>
    <row r="13356" spans="2:37">
      <c r="B13356" s="834" t="str">
        <f t="shared" si="497"/>
        <v>|||</v>
      </c>
      <c r="H13356" s="835">
        <f t="shared" si="498"/>
        <v>31</v>
      </c>
      <c r="AF13356" s="831" t="s">
        <v>10631</v>
      </c>
      <c r="AG13356" s="831" t="s">
        <v>2674</v>
      </c>
      <c r="AH13356" s="831" t="s">
        <v>556</v>
      </c>
      <c r="AI13356" s="831">
        <v>0</v>
      </c>
      <c r="AJ13356" s="835">
        <v>41243</v>
      </c>
      <c r="AK13356" s="831">
        <v>902857</v>
      </c>
    </row>
    <row r="13357" spans="2:37">
      <c r="B13357" s="834" t="str">
        <f t="shared" si="497"/>
        <v>|||</v>
      </c>
      <c r="H13357" s="835">
        <f t="shared" si="498"/>
        <v>31</v>
      </c>
      <c r="AF13357" s="831" t="s">
        <v>10632</v>
      </c>
      <c r="AG13357" s="831" t="s">
        <v>2674</v>
      </c>
      <c r="AH13357" s="831" t="s">
        <v>555</v>
      </c>
      <c r="AI13357" s="831">
        <v>0</v>
      </c>
      <c r="AJ13357" s="835">
        <v>41243</v>
      </c>
      <c r="AK13357" s="831">
        <v>236413970</v>
      </c>
    </row>
    <row r="13358" spans="2:37">
      <c r="B13358" s="834" t="str">
        <f t="shared" si="497"/>
        <v>|||</v>
      </c>
      <c r="H13358" s="835">
        <f t="shared" si="498"/>
        <v>31</v>
      </c>
      <c r="AF13358" s="831" t="s">
        <v>10633</v>
      </c>
      <c r="AG13358" s="831" t="s">
        <v>2674</v>
      </c>
      <c r="AH13358" s="831" t="s">
        <v>554</v>
      </c>
      <c r="AI13358" s="831">
        <v>0</v>
      </c>
      <c r="AJ13358" s="835">
        <v>41243</v>
      </c>
      <c r="AK13358" s="831">
        <v>238298670</v>
      </c>
    </row>
    <row r="13359" spans="2:37">
      <c r="B13359" s="834" t="str">
        <f t="shared" si="497"/>
        <v>|||</v>
      </c>
      <c r="H13359" s="835">
        <f t="shared" si="498"/>
        <v>31</v>
      </c>
      <c r="AF13359" s="831" t="s">
        <v>10634</v>
      </c>
      <c r="AG13359" s="831" t="s">
        <v>2674</v>
      </c>
      <c r="AH13359" s="831" t="s">
        <v>553</v>
      </c>
      <c r="AI13359" s="831">
        <v>0</v>
      </c>
      <c r="AJ13359" s="835">
        <v>41243</v>
      </c>
      <c r="AK13359" s="831">
        <v>0</v>
      </c>
    </row>
    <row r="13360" spans="2:37">
      <c r="B13360" s="834" t="str">
        <f t="shared" si="497"/>
        <v>|||</v>
      </c>
      <c r="H13360" s="835">
        <f t="shared" si="498"/>
        <v>31</v>
      </c>
      <c r="AF13360" s="831" t="s">
        <v>10635</v>
      </c>
      <c r="AG13360" s="831" t="s">
        <v>2674</v>
      </c>
      <c r="AH13360" s="831" t="s">
        <v>552</v>
      </c>
      <c r="AI13360" s="831">
        <v>0</v>
      </c>
      <c r="AJ13360" s="835">
        <v>41243</v>
      </c>
      <c r="AK13360" s="831">
        <v>0</v>
      </c>
    </row>
    <row r="13361" spans="2:37">
      <c r="B13361" s="834" t="str">
        <f t="shared" si="497"/>
        <v>|||</v>
      </c>
      <c r="H13361" s="835">
        <f t="shared" si="498"/>
        <v>31</v>
      </c>
      <c r="AF13361" s="831" t="s">
        <v>10636</v>
      </c>
      <c r="AG13361" s="831" t="s">
        <v>2674</v>
      </c>
      <c r="AH13361" s="831" t="s">
        <v>551</v>
      </c>
      <c r="AI13361" s="831">
        <v>0</v>
      </c>
      <c r="AJ13361" s="835">
        <v>41243</v>
      </c>
      <c r="AK13361" s="831">
        <v>1916351</v>
      </c>
    </row>
    <row r="13362" spans="2:37">
      <c r="B13362" s="834" t="str">
        <f t="shared" si="497"/>
        <v>|||</v>
      </c>
      <c r="H13362" s="835">
        <f t="shared" si="498"/>
        <v>31</v>
      </c>
      <c r="AF13362" s="831" t="s">
        <v>10637</v>
      </c>
      <c r="AG13362" s="831" t="s">
        <v>2674</v>
      </c>
      <c r="AH13362" s="831" t="s">
        <v>550</v>
      </c>
      <c r="AI13362" s="831">
        <v>0</v>
      </c>
      <c r="AJ13362" s="835">
        <v>41243</v>
      </c>
      <c r="AK13362" s="831">
        <v>99431431</v>
      </c>
    </row>
    <row r="13363" spans="2:37">
      <c r="B13363" s="834" t="str">
        <f t="shared" si="497"/>
        <v>|||</v>
      </c>
      <c r="H13363" s="835">
        <f t="shared" si="498"/>
        <v>31</v>
      </c>
      <c r="AF13363" s="831" t="s">
        <v>10638</v>
      </c>
      <c r="AG13363" s="831" t="s">
        <v>2674</v>
      </c>
      <c r="AH13363" s="831" t="s">
        <v>562</v>
      </c>
      <c r="AI13363" s="831">
        <v>0</v>
      </c>
      <c r="AJ13363" s="835">
        <v>41243</v>
      </c>
      <c r="AK13363" s="831">
        <v>0.78415000000000001</v>
      </c>
    </row>
    <row r="13364" spans="2:37">
      <c r="B13364" s="834" t="str">
        <f t="shared" si="497"/>
        <v>|||</v>
      </c>
      <c r="H13364" s="835">
        <f t="shared" si="498"/>
        <v>31</v>
      </c>
      <c r="AF13364" s="831" t="s">
        <v>10639</v>
      </c>
      <c r="AG13364" s="831" t="s">
        <v>2674</v>
      </c>
      <c r="AH13364" s="831" t="s">
        <v>2698</v>
      </c>
      <c r="AI13364" s="831">
        <v>0</v>
      </c>
      <c r="AJ13364" s="835">
        <v>41243</v>
      </c>
      <c r="AK13364" s="831">
        <v>0.78434999999999999</v>
      </c>
    </row>
    <row r="13365" spans="2:37">
      <c r="B13365" s="834" t="str">
        <f t="shared" si="497"/>
        <v>|||</v>
      </c>
      <c r="H13365" s="835">
        <f t="shared" si="498"/>
        <v>31</v>
      </c>
      <c r="AF13365" s="831" t="s">
        <v>10640</v>
      </c>
      <c r="AG13365" s="831" t="s">
        <v>2674</v>
      </c>
      <c r="AH13365" s="831" t="s">
        <v>560</v>
      </c>
      <c r="AI13365" s="831">
        <v>0</v>
      </c>
      <c r="AJ13365" s="835">
        <v>41243</v>
      </c>
      <c r="AK13365" s="831">
        <v>0.7851499999999999</v>
      </c>
    </row>
    <row r="13366" spans="2:37">
      <c r="B13366" s="834" t="str">
        <f t="shared" si="497"/>
        <v>|||</v>
      </c>
      <c r="H13366" s="835">
        <f t="shared" si="498"/>
        <v>31</v>
      </c>
      <c r="AF13366" s="831" t="s">
        <v>10641</v>
      </c>
      <c r="AG13366" s="831" t="s">
        <v>2674</v>
      </c>
      <c r="AH13366" s="831" t="s">
        <v>559</v>
      </c>
      <c r="AI13366" s="831">
        <v>0</v>
      </c>
      <c r="AJ13366" s="835">
        <v>41243</v>
      </c>
      <c r="AK13366" s="831">
        <v>0.78524166666666673</v>
      </c>
    </row>
    <row r="13367" spans="2:37">
      <c r="B13367" s="834" t="str">
        <f t="shared" si="497"/>
        <v>|||</v>
      </c>
      <c r="H13367" s="835">
        <f t="shared" si="498"/>
        <v>31</v>
      </c>
      <c r="AF13367" s="831" t="s">
        <v>10642</v>
      </c>
      <c r="AG13367" s="831" t="s">
        <v>2674</v>
      </c>
      <c r="AH13367" s="831" t="s">
        <v>568</v>
      </c>
      <c r="AI13367" s="831">
        <v>0</v>
      </c>
      <c r="AJ13367" s="835">
        <v>41243</v>
      </c>
      <c r="AK13367" s="831">
        <v>0</v>
      </c>
    </row>
    <row r="13368" spans="2:37">
      <c r="B13368" s="834" t="str">
        <f t="shared" si="497"/>
        <v>|||</v>
      </c>
      <c r="H13368" s="835">
        <f t="shared" si="498"/>
        <v>31</v>
      </c>
      <c r="AF13368" s="831" t="s">
        <v>10643</v>
      </c>
      <c r="AG13368" s="831" t="s">
        <v>2674</v>
      </c>
      <c r="AH13368" s="831" t="s">
        <v>569</v>
      </c>
      <c r="AI13368" s="831">
        <v>0</v>
      </c>
      <c r="AJ13368" s="835">
        <v>41243</v>
      </c>
      <c r="AK13368" s="831">
        <v>0</v>
      </c>
    </row>
    <row r="13369" spans="2:37">
      <c r="B13369" s="834" t="str">
        <f t="shared" si="497"/>
        <v>|||</v>
      </c>
      <c r="H13369" s="835">
        <f t="shared" si="498"/>
        <v>31</v>
      </c>
      <c r="AF13369" s="831" t="s">
        <v>10644</v>
      </c>
      <c r="AG13369" s="831" t="s">
        <v>2674</v>
      </c>
      <c r="AH13369" s="831" t="s">
        <v>570</v>
      </c>
      <c r="AI13369" s="831">
        <v>0</v>
      </c>
      <c r="AJ13369" s="835">
        <v>41243</v>
      </c>
      <c r="AK13369" s="831">
        <v>0</v>
      </c>
    </row>
    <row r="13370" spans="2:37">
      <c r="B13370" s="834" t="str">
        <f t="shared" si="497"/>
        <v>|||</v>
      </c>
      <c r="H13370" s="835">
        <f t="shared" si="498"/>
        <v>31</v>
      </c>
      <c r="AF13370" s="831" t="s">
        <v>10645</v>
      </c>
      <c r="AG13370" s="831" t="s">
        <v>2674</v>
      </c>
      <c r="AH13370" s="831" t="s">
        <v>571</v>
      </c>
      <c r="AI13370" s="831">
        <v>0</v>
      </c>
      <c r="AJ13370" s="835">
        <v>41243</v>
      </c>
      <c r="AK13370" s="831">
        <v>0</v>
      </c>
    </row>
    <row r="13371" spans="2:37">
      <c r="B13371" s="834" t="str">
        <f t="shared" si="497"/>
        <v>|||</v>
      </c>
      <c r="H13371" s="835">
        <f t="shared" si="498"/>
        <v>31</v>
      </c>
      <c r="AF13371" s="831" t="s">
        <v>10646</v>
      </c>
      <c r="AG13371" s="831" t="s">
        <v>2674</v>
      </c>
      <c r="AH13371" s="831" t="s">
        <v>573</v>
      </c>
      <c r="AI13371" s="831">
        <v>0</v>
      </c>
      <c r="AJ13371" s="835">
        <v>41243</v>
      </c>
      <c r="AK13371" s="831">
        <v>0</v>
      </c>
    </row>
    <row r="13372" spans="2:37">
      <c r="B13372" s="834" t="str">
        <f t="shared" si="497"/>
        <v>|||</v>
      </c>
      <c r="H13372" s="835">
        <f t="shared" si="498"/>
        <v>31</v>
      </c>
      <c r="AF13372" s="831" t="s">
        <v>10647</v>
      </c>
      <c r="AG13372" s="831" t="s">
        <v>2674</v>
      </c>
      <c r="AH13372" s="831" t="s">
        <v>574</v>
      </c>
      <c r="AI13372" s="831">
        <v>0</v>
      </c>
      <c r="AJ13372" s="835">
        <v>41243</v>
      </c>
      <c r="AK13372" s="831">
        <v>0</v>
      </c>
    </row>
    <row r="13373" spans="2:37">
      <c r="B13373" s="834" t="str">
        <f t="shared" si="497"/>
        <v>|||</v>
      </c>
      <c r="H13373" s="835">
        <f t="shared" si="498"/>
        <v>31</v>
      </c>
      <c r="AF13373" s="831" t="s">
        <v>10648</v>
      </c>
      <c r="AG13373" s="831" t="s">
        <v>2674</v>
      </c>
      <c r="AH13373" s="831" t="s">
        <v>575</v>
      </c>
      <c r="AI13373" s="831">
        <v>0</v>
      </c>
      <c r="AJ13373" s="835">
        <v>41243</v>
      </c>
      <c r="AK13373" s="831">
        <v>0</v>
      </c>
    </row>
    <row r="13374" spans="2:37">
      <c r="B13374" s="834" t="str">
        <f t="shared" si="497"/>
        <v>|||</v>
      </c>
      <c r="H13374" s="835">
        <f t="shared" si="498"/>
        <v>31</v>
      </c>
      <c r="AF13374" s="831" t="s">
        <v>10649</v>
      </c>
      <c r="AG13374" s="831" t="s">
        <v>2674</v>
      </c>
      <c r="AH13374" s="831" t="s">
        <v>576</v>
      </c>
      <c r="AI13374" s="831">
        <v>0</v>
      </c>
      <c r="AJ13374" s="835">
        <v>41243</v>
      </c>
      <c r="AK13374" s="831">
        <v>0</v>
      </c>
    </row>
    <row r="13375" spans="2:37">
      <c r="B13375" s="834" t="str">
        <f t="shared" si="497"/>
        <v>|||</v>
      </c>
      <c r="H13375" s="835">
        <f t="shared" si="498"/>
        <v>31</v>
      </c>
      <c r="AF13375" s="831" t="s">
        <v>10650</v>
      </c>
      <c r="AG13375" s="831" t="s">
        <v>2674</v>
      </c>
      <c r="AH13375" s="831" t="s">
        <v>572</v>
      </c>
      <c r="AI13375" s="831">
        <v>0</v>
      </c>
      <c r="AJ13375" s="835">
        <v>41243</v>
      </c>
      <c r="AK13375" s="831">
        <v>-2146826246</v>
      </c>
    </row>
    <row r="13376" spans="2:37">
      <c r="B13376" s="834" t="str">
        <f t="shared" si="497"/>
        <v>|||</v>
      </c>
      <c r="H13376" s="835">
        <f t="shared" si="498"/>
        <v>31</v>
      </c>
      <c r="AF13376" s="831" t="s">
        <v>10651</v>
      </c>
      <c r="AG13376" s="831" t="s">
        <v>2674</v>
      </c>
      <c r="AH13376" s="831" t="s">
        <v>577</v>
      </c>
      <c r="AI13376" s="831">
        <v>0</v>
      </c>
      <c r="AJ13376" s="835">
        <v>41243</v>
      </c>
      <c r="AK13376" s="831">
        <v>-2146826246</v>
      </c>
    </row>
    <row r="13377" spans="2:37">
      <c r="B13377" s="834" t="str">
        <f t="shared" si="497"/>
        <v>|||</v>
      </c>
      <c r="H13377" s="835">
        <f t="shared" si="498"/>
        <v>31</v>
      </c>
      <c r="AF13377" s="831" t="s">
        <v>10652</v>
      </c>
      <c r="AG13377" s="831" t="s">
        <v>2674</v>
      </c>
      <c r="AH13377" s="831" t="s">
        <v>3042</v>
      </c>
      <c r="AI13377" s="831">
        <v>0</v>
      </c>
      <c r="AJ13377" s="835">
        <v>41243</v>
      </c>
      <c r="AK13377" s="831">
        <v>-2146826246</v>
      </c>
    </row>
    <row r="13378" spans="2:37">
      <c r="B13378" s="834" t="str">
        <f t="shared" si="497"/>
        <v>|||</v>
      </c>
      <c r="H13378" s="835">
        <f t="shared" si="498"/>
        <v>31</v>
      </c>
      <c r="AF13378" s="831" t="s">
        <v>10653</v>
      </c>
      <c r="AG13378" s="831" t="s">
        <v>2674</v>
      </c>
      <c r="AH13378" s="831" t="s">
        <v>3044</v>
      </c>
      <c r="AI13378" s="831">
        <v>0</v>
      </c>
      <c r="AJ13378" s="835">
        <v>41243</v>
      </c>
      <c r="AK13378" s="831">
        <v>-2146826246</v>
      </c>
    </row>
    <row r="13379" spans="2:37">
      <c r="B13379" s="834" t="str">
        <f t="shared" si="497"/>
        <v>|||</v>
      </c>
      <c r="H13379" s="835">
        <f t="shared" si="498"/>
        <v>31</v>
      </c>
      <c r="AF13379" s="831" t="s">
        <v>10654</v>
      </c>
      <c r="AG13379" s="831" t="s">
        <v>2674</v>
      </c>
      <c r="AH13379" s="831" t="s">
        <v>580</v>
      </c>
      <c r="AI13379" s="831">
        <v>0</v>
      </c>
      <c r="AJ13379" s="835">
        <v>41243</v>
      </c>
      <c r="AK13379" s="831">
        <v>-2146826246</v>
      </c>
    </row>
    <row r="13380" spans="2:37">
      <c r="B13380" s="834" t="str">
        <f t="shared" si="497"/>
        <v>|||</v>
      </c>
      <c r="H13380" s="835">
        <f t="shared" si="498"/>
        <v>31</v>
      </c>
      <c r="AF13380" s="831" t="s">
        <v>10655</v>
      </c>
      <c r="AG13380" s="831" t="s">
        <v>2674</v>
      </c>
      <c r="AH13380" s="831" t="s">
        <v>581</v>
      </c>
      <c r="AI13380" s="831">
        <v>0</v>
      </c>
      <c r="AJ13380" s="835">
        <v>41243</v>
      </c>
      <c r="AK13380" s="831">
        <v>-2146826246</v>
      </c>
    </row>
    <row r="13381" spans="2:37">
      <c r="B13381" s="834" t="str">
        <f t="shared" si="497"/>
        <v>|||</v>
      </c>
      <c r="H13381" s="835">
        <f t="shared" si="498"/>
        <v>31</v>
      </c>
      <c r="AF13381" s="831" t="s">
        <v>10656</v>
      </c>
      <c r="AG13381" s="831" t="s">
        <v>2674</v>
      </c>
      <c r="AH13381" s="831" t="s">
        <v>105</v>
      </c>
      <c r="AI13381" s="831">
        <v>0</v>
      </c>
      <c r="AJ13381" s="835">
        <v>41243</v>
      </c>
      <c r="AK13381" s="831">
        <v>202127506</v>
      </c>
    </row>
    <row r="13382" spans="2:37">
      <c r="B13382" s="834" t="str">
        <f t="shared" si="497"/>
        <v>|||</v>
      </c>
      <c r="H13382" s="835">
        <f t="shared" si="498"/>
        <v>31</v>
      </c>
      <c r="AF13382" s="831" t="s">
        <v>10657</v>
      </c>
      <c r="AG13382" s="831" t="s">
        <v>2674</v>
      </c>
      <c r="AH13382" s="831" t="s">
        <v>3049</v>
      </c>
      <c r="AI13382" s="831">
        <v>0</v>
      </c>
      <c r="AJ13382" s="835">
        <v>41243</v>
      </c>
      <c r="AK13382" s="831">
        <v>355103629</v>
      </c>
    </row>
    <row r="13383" spans="2:37">
      <c r="B13383" s="834" t="str">
        <f t="shared" si="497"/>
        <v>|||</v>
      </c>
      <c r="H13383" s="835">
        <f t="shared" si="498"/>
        <v>31</v>
      </c>
      <c r="AF13383" s="831" t="s">
        <v>10658</v>
      </c>
      <c r="AG13383" s="831" t="s">
        <v>2674</v>
      </c>
      <c r="AH13383" s="831" t="s">
        <v>103</v>
      </c>
      <c r="AI13383" s="831">
        <v>0</v>
      </c>
      <c r="AJ13383" s="835">
        <v>41243</v>
      </c>
      <c r="AK13383" s="831">
        <v>152976123</v>
      </c>
    </row>
    <row r="13384" spans="2:37">
      <c r="B13384" s="834" t="str">
        <f t="shared" si="497"/>
        <v>|||</v>
      </c>
      <c r="H13384" s="835">
        <f t="shared" si="498"/>
        <v>31</v>
      </c>
      <c r="AF13384" s="831" t="s">
        <v>10659</v>
      </c>
      <c r="AG13384" s="831" t="s">
        <v>2674</v>
      </c>
      <c r="AH13384" s="831" t="s">
        <v>182</v>
      </c>
      <c r="AI13384" s="831">
        <v>0</v>
      </c>
      <c r="AJ13384" s="835">
        <v>41243</v>
      </c>
      <c r="AK13384" s="831">
        <v>50142446.18181818</v>
      </c>
    </row>
    <row r="13385" spans="2:37">
      <c r="B13385" s="834" t="str">
        <f t="shared" si="497"/>
        <v>|||</v>
      </c>
      <c r="H13385" s="835">
        <f t="shared" si="498"/>
        <v>31</v>
      </c>
      <c r="AF13385" s="831" t="s">
        <v>10660</v>
      </c>
      <c r="AG13385" s="831" t="s">
        <v>2674</v>
      </c>
      <c r="AH13385" s="831" t="s">
        <v>6600</v>
      </c>
      <c r="AI13385" s="831">
        <v>0</v>
      </c>
      <c r="AJ13385" s="835">
        <v>41243</v>
      </c>
      <c r="AK13385" s="831">
        <v>-2146826246</v>
      </c>
    </row>
    <row r="13386" spans="2:37">
      <c r="B13386" s="834" t="str">
        <f t="shared" si="497"/>
        <v>|||</v>
      </c>
      <c r="H13386" s="835">
        <f t="shared" si="498"/>
        <v>31</v>
      </c>
      <c r="AF13386" s="831" t="s">
        <v>10661</v>
      </c>
      <c r="AG13386" s="831" t="s">
        <v>2674</v>
      </c>
      <c r="AH13386" s="831" t="s">
        <v>6602</v>
      </c>
      <c r="AI13386" s="831">
        <v>0</v>
      </c>
      <c r="AJ13386" s="835">
        <v>41243</v>
      </c>
      <c r="AK13386" s="831">
        <v>16533903</v>
      </c>
    </row>
    <row r="13387" spans="2:37">
      <c r="B13387" s="834" t="str">
        <f t="shared" si="497"/>
        <v>|||</v>
      </c>
      <c r="H13387" s="835">
        <f t="shared" si="498"/>
        <v>31</v>
      </c>
      <c r="AF13387" s="831" t="s">
        <v>10662</v>
      </c>
      <c r="AG13387" s="831" t="s">
        <v>2674</v>
      </c>
      <c r="AH13387" s="831" t="s">
        <v>650</v>
      </c>
      <c r="AI13387" s="831">
        <v>0</v>
      </c>
      <c r="AJ13387" s="835">
        <v>41243</v>
      </c>
      <c r="AK13387" s="831">
        <v>0</v>
      </c>
    </row>
    <row r="13388" spans="2:37">
      <c r="B13388" s="834" t="str">
        <f t="shared" si="497"/>
        <v>|||</v>
      </c>
      <c r="H13388" s="835">
        <f t="shared" si="498"/>
        <v>31</v>
      </c>
      <c r="AF13388" s="831" t="s">
        <v>10663</v>
      </c>
      <c r="AG13388" s="831" t="s">
        <v>2674</v>
      </c>
      <c r="AH13388" s="831" t="s">
        <v>655</v>
      </c>
      <c r="AI13388" s="831">
        <v>0</v>
      </c>
      <c r="AJ13388" s="835">
        <v>41243</v>
      </c>
      <c r="AK13388" s="831">
        <v>1720042</v>
      </c>
    </row>
    <row r="13389" spans="2:37">
      <c r="B13389" s="834" t="str">
        <f t="shared" si="497"/>
        <v>|||</v>
      </c>
      <c r="H13389" s="835">
        <f t="shared" si="498"/>
        <v>31</v>
      </c>
      <c r="AF13389" s="831" t="s">
        <v>10664</v>
      </c>
      <c r="AG13389" s="831" t="s">
        <v>2674</v>
      </c>
      <c r="AH13389" s="831" t="s">
        <v>546</v>
      </c>
      <c r="AI13389" s="831">
        <v>0</v>
      </c>
      <c r="AJ13389" s="835">
        <v>41274</v>
      </c>
      <c r="AK13389" s="831">
        <v>412125624</v>
      </c>
    </row>
    <row r="13390" spans="2:37">
      <c r="B13390" s="834" t="str">
        <f t="shared" si="497"/>
        <v>|||</v>
      </c>
      <c r="H13390" s="835">
        <f t="shared" si="498"/>
        <v>31</v>
      </c>
      <c r="AF13390" s="831" t="s">
        <v>10665</v>
      </c>
      <c r="AG13390" s="831" t="s">
        <v>2674</v>
      </c>
      <c r="AH13390" s="831" t="s">
        <v>370</v>
      </c>
      <c r="AI13390" s="831">
        <v>0</v>
      </c>
      <c r="AJ13390" s="835">
        <v>41274</v>
      </c>
      <c r="AK13390" s="831">
        <v>515268910</v>
      </c>
    </row>
    <row r="13391" spans="2:37">
      <c r="B13391" s="834" t="str">
        <f t="shared" si="497"/>
        <v>|||</v>
      </c>
      <c r="H13391" s="835">
        <f t="shared" si="498"/>
        <v>31</v>
      </c>
      <c r="AF13391" s="831" t="s">
        <v>10666</v>
      </c>
      <c r="AG13391" s="831" t="s">
        <v>2674</v>
      </c>
      <c r="AH13391" s="831" t="s">
        <v>126</v>
      </c>
      <c r="AI13391" s="831">
        <v>0</v>
      </c>
      <c r="AJ13391" s="835">
        <v>41274</v>
      </c>
      <c r="AK13391" s="831">
        <v>101162875</v>
      </c>
    </row>
    <row r="13392" spans="2:37">
      <c r="B13392" s="834" t="str">
        <f t="shared" si="497"/>
        <v>|||</v>
      </c>
      <c r="H13392" s="835">
        <f t="shared" si="498"/>
        <v>31</v>
      </c>
      <c r="AF13392" s="831" t="s">
        <v>10667</v>
      </c>
      <c r="AG13392" s="831" t="s">
        <v>2674</v>
      </c>
      <c r="AH13392" s="831" t="s">
        <v>268</v>
      </c>
      <c r="AI13392" s="831">
        <v>0</v>
      </c>
      <c r="AJ13392" s="835">
        <v>41274</v>
      </c>
      <c r="AK13392" s="831">
        <v>15839951</v>
      </c>
    </row>
    <row r="13393" spans="2:37">
      <c r="B13393" s="834" t="str">
        <f t="shared" ref="B13393:B13456" si="499">C13393&amp;"|"&amp;D13393&amp;"|"&amp;E13393&amp;"|"&amp;F13393</f>
        <v>|||</v>
      </c>
      <c r="H13393" s="835">
        <f t="shared" ref="H13393:H13456" si="500">EOMONTH(L13393,0)</f>
        <v>31</v>
      </c>
      <c r="AF13393" s="831" t="s">
        <v>10668</v>
      </c>
      <c r="AG13393" s="831" t="s">
        <v>2674</v>
      </c>
      <c r="AH13393" s="831" t="s">
        <v>547</v>
      </c>
      <c r="AI13393" s="831">
        <v>0</v>
      </c>
      <c r="AJ13393" s="835">
        <v>41274</v>
      </c>
      <c r="AK13393" s="831">
        <v>0</v>
      </c>
    </row>
    <row r="13394" spans="2:37">
      <c r="B13394" s="834" t="str">
        <f t="shared" si="499"/>
        <v>|||</v>
      </c>
      <c r="H13394" s="835">
        <f t="shared" si="500"/>
        <v>31</v>
      </c>
      <c r="AF13394" s="831" t="s">
        <v>10669</v>
      </c>
      <c r="AG13394" s="831" t="s">
        <v>2674</v>
      </c>
      <c r="AH13394" s="831" t="s">
        <v>548</v>
      </c>
      <c r="AI13394" s="831">
        <v>0</v>
      </c>
      <c r="AJ13394" s="835">
        <v>41274</v>
      </c>
      <c r="AK13394" s="831">
        <v>0</v>
      </c>
    </row>
    <row r="13395" spans="2:37">
      <c r="B13395" s="834" t="str">
        <f t="shared" si="499"/>
        <v>|||</v>
      </c>
      <c r="H13395" s="835">
        <f t="shared" si="500"/>
        <v>31</v>
      </c>
      <c r="AF13395" s="831" t="s">
        <v>10670</v>
      </c>
      <c r="AG13395" s="831" t="s">
        <v>2674</v>
      </c>
      <c r="AH13395" s="831" t="s">
        <v>549</v>
      </c>
      <c r="AI13395" s="831">
        <v>0</v>
      </c>
      <c r="AJ13395" s="835">
        <v>41274</v>
      </c>
      <c r="AK13395" s="831">
        <v>0</v>
      </c>
    </row>
    <row r="13396" spans="2:37">
      <c r="B13396" s="834" t="str">
        <f t="shared" si="499"/>
        <v>|||</v>
      </c>
      <c r="H13396" s="835">
        <f t="shared" si="500"/>
        <v>31</v>
      </c>
      <c r="AF13396" s="831" t="s">
        <v>10671</v>
      </c>
      <c r="AG13396" s="831" t="s">
        <v>2674</v>
      </c>
      <c r="AH13396" s="831" t="s">
        <v>192</v>
      </c>
      <c r="AI13396" s="831">
        <v>0</v>
      </c>
      <c r="AJ13396" s="835">
        <v>41274</v>
      </c>
      <c r="AK13396" s="831">
        <v>-10390612</v>
      </c>
    </row>
    <row r="13397" spans="2:37">
      <c r="B13397" s="834" t="str">
        <f t="shared" si="499"/>
        <v>|||</v>
      </c>
      <c r="H13397" s="835">
        <f t="shared" si="500"/>
        <v>31</v>
      </c>
      <c r="AF13397" s="831" t="s">
        <v>10672</v>
      </c>
      <c r="AG13397" s="831" t="s">
        <v>2674</v>
      </c>
      <c r="AH13397" s="831" t="s">
        <v>558</v>
      </c>
      <c r="AI13397" s="831">
        <v>0</v>
      </c>
      <c r="AJ13397" s="835">
        <v>41274</v>
      </c>
      <c r="AK13397" s="831">
        <v>414106035</v>
      </c>
    </row>
    <row r="13398" spans="2:37">
      <c r="B13398" s="834" t="str">
        <f t="shared" si="499"/>
        <v>|||</v>
      </c>
      <c r="H13398" s="835">
        <f t="shared" si="500"/>
        <v>31</v>
      </c>
      <c r="AF13398" s="831" t="s">
        <v>10673</v>
      </c>
      <c r="AG13398" s="831" t="s">
        <v>2674</v>
      </c>
      <c r="AH13398" s="831" t="s">
        <v>65</v>
      </c>
      <c r="AI13398" s="831">
        <v>0</v>
      </c>
      <c r="AJ13398" s="835">
        <v>41274</v>
      </c>
      <c r="AK13398" s="831">
        <v>98876380</v>
      </c>
    </row>
    <row r="13399" spans="2:37">
      <c r="B13399" s="834" t="str">
        <f t="shared" si="499"/>
        <v>|||</v>
      </c>
      <c r="H13399" s="835">
        <f t="shared" si="500"/>
        <v>31</v>
      </c>
      <c r="AF13399" s="831" t="s">
        <v>10674</v>
      </c>
      <c r="AG13399" s="831" t="s">
        <v>2674</v>
      </c>
      <c r="AH13399" s="831" t="s">
        <v>89</v>
      </c>
      <c r="AI13399" s="831">
        <v>0</v>
      </c>
      <c r="AJ13399" s="835">
        <v>41274</v>
      </c>
      <c r="AK13399" s="831">
        <v>124397</v>
      </c>
    </row>
    <row r="13400" spans="2:37">
      <c r="B13400" s="834" t="str">
        <f t="shared" si="499"/>
        <v>|||</v>
      </c>
      <c r="H13400" s="835">
        <f t="shared" si="500"/>
        <v>31</v>
      </c>
      <c r="AF13400" s="831" t="s">
        <v>10675</v>
      </c>
      <c r="AG13400" s="831" t="s">
        <v>2674</v>
      </c>
      <c r="AH13400" s="831" t="s">
        <v>557</v>
      </c>
      <c r="AI13400" s="831">
        <v>0</v>
      </c>
      <c r="AJ13400" s="835">
        <v>41274</v>
      </c>
      <c r="AK13400" s="831">
        <v>127200</v>
      </c>
    </row>
    <row r="13401" spans="2:37">
      <c r="B13401" s="834" t="str">
        <f t="shared" si="499"/>
        <v>|||</v>
      </c>
      <c r="H13401" s="835">
        <f t="shared" si="500"/>
        <v>31</v>
      </c>
      <c r="AF13401" s="831" t="s">
        <v>10676</v>
      </c>
      <c r="AG13401" s="831" t="s">
        <v>2674</v>
      </c>
      <c r="AH13401" s="831" t="s">
        <v>29</v>
      </c>
      <c r="AI13401" s="831">
        <v>0</v>
      </c>
      <c r="AJ13401" s="835">
        <v>41274</v>
      </c>
      <c r="AK13401" s="831">
        <v>1921756</v>
      </c>
    </row>
    <row r="13402" spans="2:37">
      <c r="B13402" s="834" t="str">
        <f t="shared" si="499"/>
        <v>|||</v>
      </c>
      <c r="H13402" s="835">
        <f t="shared" si="500"/>
        <v>31</v>
      </c>
      <c r="AF13402" s="831" t="s">
        <v>10677</v>
      </c>
      <c r="AG13402" s="831" t="s">
        <v>2674</v>
      </c>
      <c r="AH13402" s="831" t="s">
        <v>2688</v>
      </c>
      <c r="AI13402" s="831">
        <v>0</v>
      </c>
      <c r="AJ13402" s="835">
        <v>41274</v>
      </c>
      <c r="AK13402" s="831">
        <v>2457254</v>
      </c>
    </row>
    <row r="13403" spans="2:37">
      <c r="B13403" s="834" t="str">
        <f t="shared" si="499"/>
        <v>|||</v>
      </c>
      <c r="H13403" s="835">
        <f t="shared" si="500"/>
        <v>31</v>
      </c>
      <c r="AF13403" s="831" t="s">
        <v>10678</v>
      </c>
      <c r="AG13403" s="831" t="s">
        <v>2674</v>
      </c>
      <c r="AH13403" s="831" t="s">
        <v>556</v>
      </c>
      <c r="AI13403" s="831">
        <v>0</v>
      </c>
      <c r="AJ13403" s="835">
        <v>41274</v>
      </c>
      <c r="AK13403" s="831">
        <v>902857</v>
      </c>
    </row>
    <row r="13404" spans="2:37">
      <c r="B13404" s="834" t="str">
        <f t="shared" si="499"/>
        <v>|||</v>
      </c>
      <c r="H13404" s="835">
        <f t="shared" si="500"/>
        <v>31</v>
      </c>
      <c r="AF13404" s="831" t="s">
        <v>10679</v>
      </c>
      <c r="AG13404" s="831" t="s">
        <v>2674</v>
      </c>
      <c r="AH13404" s="831" t="s">
        <v>555</v>
      </c>
      <c r="AI13404" s="831">
        <v>0</v>
      </c>
      <c r="AJ13404" s="835">
        <v>41274</v>
      </c>
      <c r="AK13404" s="831">
        <v>274948010</v>
      </c>
    </row>
    <row r="13405" spans="2:37">
      <c r="B13405" s="834" t="str">
        <f t="shared" si="499"/>
        <v>|||</v>
      </c>
      <c r="H13405" s="835">
        <f t="shared" si="500"/>
        <v>31</v>
      </c>
      <c r="AF13405" s="831" t="s">
        <v>10680</v>
      </c>
      <c r="AG13405" s="831" t="s">
        <v>2674</v>
      </c>
      <c r="AH13405" s="831" t="s">
        <v>554</v>
      </c>
      <c r="AI13405" s="831">
        <v>0</v>
      </c>
      <c r="AJ13405" s="835">
        <v>41274</v>
      </c>
      <c r="AK13405" s="831">
        <v>273069880</v>
      </c>
    </row>
    <row r="13406" spans="2:37">
      <c r="B13406" s="834" t="str">
        <f t="shared" si="499"/>
        <v>|||</v>
      </c>
      <c r="H13406" s="835">
        <f t="shared" si="500"/>
        <v>31</v>
      </c>
      <c r="AF13406" s="831" t="s">
        <v>10681</v>
      </c>
      <c r="AG13406" s="831" t="s">
        <v>2674</v>
      </c>
      <c r="AH13406" s="831" t="s">
        <v>553</v>
      </c>
      <c r="AI13406" s="831">
        <v>0</v>
      </c>
      <c r="AJ13406" s="835">
        <v>41274</v>
      </c>
      <c r="AK13406" s="831">
        <v>0</v>
      </c>
    </row>
    <row r="13407" spans="2:37">
      <c r="B13407" s="834" t="str">
        <f t="shared" si="499"/>
        <v>|||</v>
      </c>
      <c r="H13407" s="835">
        <f t="shared" si="500"/>
        <v>31</v>
      </c>
      <c r="AF13407" s="831" t="s">
        <v>10682</v>
      </c>
      <c r="AG13407" s="831" t="s">
        <v>2674</v>
      </c>
      <c r="AH13407" s="831" t="s">
        <v>552</v>
      </c>
      <c r="AI13407" s="831">
        <v>0</v>
      </c>
      <c r="AJ13407" s="835">
        <v>41274</v>
      </c>
      <c r="AK13407" s="831">
        <v>0</v>
      </c>
    </row>
    <row r="13408" spans="2:37">
      <c r="B13408" s="834" t="str">
        <f t="shared" si="499"/>
        <v>|||</v>
      </c>
      <c r="H13408" s="835">
        <f t="shared" si="500"/>
        <v>31</v>
      </c>
      <c r="AF13408" s="831" t="s">
        <v>10683</v>
      </c>
      <c r="AG13408" s="831" t="s">
        <v>2674</v>
      </c>
      <c r="AH13408" s="831" t="s">
        <v>551</v>
      </c>
      <c r="AI13408" s="831">
        <v>0</v>
      </c>
      <c r="AJ13408" s="835">
        <v>41274</v>
      </c>
      <c r="AK13408" s="831">
        <v>1740472</v>
      </c>
    </row>
    <row r="13409" spans="2:37">
      <c r="B13409" s="834" t="str">
        <f t="shared" si="499"/>
        <v>|||</v>
      </c>
      <c r="H13409" s="835">
        <f t="shared" si="500"/>
        <v>31</v>
      </c>
      <c r="AF13409" s="831" t="s">
        <v>10684</v>
      </c>
      <c r="AG13409" s="831" t="s">
        <v>2674</v>
      </c>
      <c r="AH13409" s="831" t="s">
        <v>550</v>
      </c>
      <c r="AI13409" s="831">
        <v>0</v>
      </c>
      <c r="AJ13409" s="835">
        <v>41274</v>
      </c>
      <c r="AK13409" s="831">
        <v>101856827</v>
      </c>
    </row>
    <row r="13410" spans="2:37">
      <c r="B13410" s="834" t="str">
        <f t="shared" si="499"/>
        <v>|||</v>
      </c>
      <c r="H13410" s="835">
        <f t="shared" si="500"/>
        <v>31</v>
      </c>
      <c r="AF13410" s="831" t="s">
        <v>10685</v>
      </c>
      <c r="AG13410" s="831" t="s">
        <v>2674</v>
      </c>
      <c r="AH13410" s="831" t="s">
        <v>562</v>
      </c>
      <c r="AI13410" s="831">
        <v>0</v>
      </c>
      <c r="AJ13410" s="835">
        <v>41274</v>
      </c>
      <c r="AK13410" s="831">
        <v>0.78400000000000003</v>
      </c>
    </row>
    <row r="13411" spans="2:37">
      <c r="B13411" s="834" t="str">
        <f t="shared" si="499"/>
        <v>|||</v>
      </c>
      <c r="H13411" s="835">
        <f t="shared" si="500"/>
        <v>31</v>
      </c>
      <c r="AF13411" s="831" t="s">
        <v>10686</v>
      </c>
      <c r="AG13411" s="831" t="s">
        <v>2674</v>
      </c>
      <c r="AH13411" s="831" t="s">
        <v>2698</v>
      </c>
      <c r="AI13411" s="831">
        <v>0</v>
      </c>
      <c r="AJ13411" s="835">
        <v>41274</v>
      </c>
      <c r="AK13411" s="831">
        <v>0.78415000000000001</v>
      </c>
    </row>
    <row r="13412" spans="2:37">
      <c r="B13412" s="834" t="str">
        <f t="shared" si="499"/>
        <v>|||</v>
      </c>
      <c r="H13412" s="835">
        <f t="shared" si="500"/>
        <v>31</v>
      </c>
      <c r="AF13412" s="831" t="s">
        <v>10687</v>
      </c>
      <c r="AG13412" s="831" t="s">
        <v>2674</v>
      </c>
      <c r="AH13412" s="831" t="s">
        <v>560</v>
      </c>
      <c r="AI13412" s="831">
        <v>0</v>
      </c>
      <c r="AJ13412" s="835">
        <v>41274</v>
      </c>
      <c r="AK13412" s="831">
        <v>0.7850541666666665</v>
      </c>
    </row>
    <row r="13413" spans="2:37">
      <c r="B13413" s="834" t="str">
        <f t="shared" si="499"/>
        <v>|||</v>
      </c>
      <c r="H13413" s="835">
        <f t="shared" si="500"/>
        <v>31</v>
      </c>
      <c r="AF13413" s="831" t="s">
        <v>10688</v>
      </c>
      <c r="AG13413" s="831" t="s">
        <v>2674</v>
      </c>
      <c r="AH13413" s="831" t="s">
        <v>559</v>
      </c>
      <c r="AI13413" s="831">
        <v>0</v>
      </c>
      <c r="AJ13413" s="835">
        <v>41274</v>
      </c>
      <c r="AK13413" s="831">
        <v>0.7850541666666665</v>
      </c>
    </row>
    <row r="13414" spans="2:37">
      <c r="B13414" s="834" t="str">
        <f t="shared" si="499"/>
        <v>|||</v>
      </c>
      <c r="H13414" s="835">
        <f t="shared" si="500"/>
        <v>31</v>
      </c>
      <c r="AF13414" s="831" t="s">
        <v>10689</v>
      </c>
      <c r="AG13414" s="831" t="s">
        <v>2674</v>
      </c>
      <c r="AH13414" s="831" t="s">
        <v>568</v>
      </c>
      <c r="AI13414" s="831">
        <v>0</v>
      </c>
      <c r="AJ13414" s="835">
        <v>41274</v>
      </c>
      <c r="AK13414" s="831">
        <v>0</v>
      </c>
    </row>
    <row r="13415" spans="2:37">
      <c r="B13415" s="834" t="str">
        <f t="shared" si="499"/>
        <v>|||</v>
      </c>
      <c r="H13415" s="835">
        <f t="shared" si="500"/>
        <v>31</v>
      </c>
      <c r="AF13415" s="831" t="s">
        <v>10690</v>
      </c>
      <c r="AG13415" s="831" t="s">
        <v>2674</v>
      </c>
      <c r="AH13415" s="831" t="s">
        <v>569</v>
      </c>
      <c r="AI13415" s="831">
        <v>0</v>
      </c>
      <c r="AJ13415" s="835">
        <v>41274</v>
      </c>
      <c r="AK13415" s="831">
        <v>0</v>
      </c>
    </row>
    <row r="13416" spans="2:37">
      <c r="B13416" s="834" t="str">
        <f t="shared" si="499"/>
        <v>|||</v>
      </c>
      <c r="H13416" s="835">
        <f t="shared" si="500"/>
        <v>31</v>
      </c>
      <c r="AF13416" s="831" t="s">
        <v>10691</v>
      </c>
      <c r="AG13416" s="831" t="s">
        <v>2674</v>
      </c>
      <c r="AH13416" s="831" t="s">
        <v>570</v>
      </c>
      <c r="AI13416" s="831">
        <v>0</v>
      </c>
      <c r="AJ13416" s="835">
        <v>41274</v>
      </c>
      <c r="AK13416" s="831">
        <v>0</v>
      </c>
    </row>
    <row r="13417" spans="2:37">
      <c r="B13417" s="834" t="str">
        <f t="shared" si="499"/>
        <v>|||</v>
      </c>
      <c r="H13417" s="835">
        <f t="shared" si="500"/>
        <v>31</v>
      </c>
      <c r="AF13417" s="831" t="s">
        <v>10692</v>
      </c>
      <c r="AG13417" s="831" t="s">
        <v>2674</v>
      </c>
      <c r="AH13417" s="831" t="s">
        <v>571</v>
      </c>
      <c r="AI13417" s="831">
        <v>0</v>
      </c>
      <c r="AJ13417" s="835">
        <v>41274</v>
      </c>
      <c r="AK13417" s="831">
        <v>0</v>
      </c>
    </row>
    <row r="13418" spans="2:37">
      <c r="B13418" s="834" t="str">
        <f t="shared" si="499"/>
        <v>|||</v>
      </c>
      <c r="H13418" s="835">
        <f t="shared" si="500"/>
        <v>31</v>
      </c>
      <c r="AF13418" s="831" t="s">
        <v>10693</v>
      </c>
      <c r="AG13418" s="831" t="s">
        <v>2674</v>
      </c>
      <c r="AH13418" s="831" t="s">
        <v>573</v>
      </c>
      <c r="AI13418" s="831">
        <v>0</v>
      </c>
      <c r="AJ13418" s="835">
        <v>41274</v>
      </c>
      <c r="AK13418" s="831">
        <v>-2146826265</v>
      </c>
    </row>
    <row r="13419" spans="2:37">
      <c r="B13419" s="834" t="str">
        <f t="shared" si="499"/>
        <v>|||</v>
      </c>
      <c r="H13419" s="835">
        <f t="shared" si="500"/>
        <v>31</v>
      </c>
      <c r="AF13419" s="831" t="s">
        <v>10694</v>
      </c>
      <c r="AG13419" s="831" t="s">
        <v>2674</v>
      </c>
      <c r="AH13419" s="831" t="s">
        <v>574</v>
      </c>
      <c r="AI13419" s="831">
        <v>0</v>
      </c>
      <c r="AJ13419" s="835">
        <v>41274</v>
      </c>
      <c r="AK13419" s="831">
        <v>-2146826265</v>
      </c>
    </row>
    <row r="13420" spans="2:37">
      <c r="B13420" s="834" t="str">
        <f t="shared" si="499"/>
        <v>|||</v>
      </c>
      <c r="H13420" s="835">
        <f t="shared" si="500"/>
        <v>31</v>
      </c>
      <c r="AF13420" s="831" t="s">
        <v>10695</v>
      </c>
      <c r="AG13420" s="831" t="s">
        <v>2674</v>
      </c>
      <c r="AH13420" s="831" t="s">
        <v>575</v>
      </c>
      <c r="AI13420" s="831">
        <v>0</v>
      </c>
      <c r="AJ13420" s="835">
        <v>41274</v>
      </c>
      <c r="AK13420" s="831">
        <v>-2146826265</v>
      </c>
    </row>
    <row r="13421" spans="2:37">
      <c r="B13421" s="834" t="str">
        <f t="shared" si="499"/>
        <v>|||</v>
      </c>
      <c r="H13421" s="835">
        <f t="shared" si="500"/>
        <v>31</v>
      </c>
      <c r="AF13421" s="831" t="s">
        <v>10696</v>
      </c>
      <c r="AG13421" s="831" t="s">
        <v>2674</v>
      </c>
      <c r="AH13421" s="831" t="s">
        <v>576</v>
      </c>
      <c r="AI13421" s="831">
        <v>0</v>
      </c>
      <c r="AJ13421" s="835">
        <v>41274</v>
      </c>
      <c r="AK13421" s="831">
        <v>-2146826265</v>
      </c>
    </row>
    <row r="13422" spans="2:37">
      <c r="B13422" s="834" t="str">
        <f t="shared" si="499"/>
        <v>|||</v>
      </c>
      <c r="H13422" s="835">
        <f t="shared" si="500"/>
        <v>31</v>
      </c>
      <c r="AF13422" s="831" t="s">
        <v>10697</v>
      </c>
      <c r="AG13422" s="831" t="s">
        <v>2674</v>
      </c>
      <c r="AH13422" s="831" t="s">
        <v>572</v>
      </c>
      <c r="AI13422" s="831">
        <v>0</v>
      </c>
      <c r="AJ13422" s="835">
        <v>41274</v>
      </c>
      <c r="AK13422" s="831">
        <v>-2146826246</v>
      </c>
    </row>
    <row r="13423" spans="2:37">
      <c r="B13423" s="834" t="str">
        <f t="shared" si="499"/>
        <v>|||</v>
      </c>
      <c r="H13423" s="835">
        <f t="shared" si="500"/>
        <v>31</v>
      </c>
      <c r="AF13423" s="831" t="s">
        <v>10698</v>
      </c>
      <c r="AG13423" s="831" t="s">
        <v>2674</v>
      </c>
      <c r="AH13423" s="831" t="s">
        <v>577</v>
      </c>
      <c r="AI13423" s="831">
        <v>0</v>
      </c>
      <c r="AJ13423" s="835">
        <v>41274</v>
      </c>
      <c r="AK13423" s="831">
        <v>-2146826246</v>
      </c>
    </row>
    <row r="13424" spans="2:37">
      <c r="B13424" s="834" t="str">
        <f t="shared" si="499"/>
        <v>|||</v>
      </c>
      <c r="H13424" s="835">
        <f t="shared" si="500"/>
        <v>31</v>
      </c>
      <c r="AF13424" s="831" t="s">
        <v>10699</v>
      </c>
      <c r="AG13424" s="831" t="s">
        <v>2674</v>
      </c>
      <c r="AH13424" s="831" t="s">
        <v>3042</v>
      </c>
      <c r="AI13424" s="831">
        <v>0</v>
      </c>
      <c r="AJ13424" s="835">
        <v>41274</v>
      </c>
      <c r="AK13424" s="831">
        <v>-2146826246</v>
      </c>
    </row>
    <row r="13425" spans="2:37">
      <c r="B13425" s="834" t="str">
        <f t="shared" si="499"/>
        <v>|||</v>
      </c>
      <c r="H13425" s="835">
        <f t="shared" si="500"/>
        <v>31</v>
      </c>
      <c r="AF13425" s="831" t="s">
        <v>10700</v>
      </c>
      <c r="AG13425" s="831" t="s">
        <v>2674</v>
      </c>
      <c r="AH13425" s="831" t="s">
        <v>3044</v>
      </c>
      <c r="AI13425" s="831">
        <v>0</v>
      </c>
      <c r="AJ13425" s="835">
        <v>41274</v>
      </c>
      <c r="AK13425" s="831">
        <v>-2146826246</v>
      </c>
    </row>
    <row r="13426" spans="2:37">
      <c r="B13426" s="834" t="str">
        <f t="shared" si="499"/>
        <v>|||</v>
      </c>
      <c r="H13426" s="835">
        <f t="shared" si="500"/>
        <v>31</v>
      </c>
      <c r="AF13426" s="831" t="s">
        <v>10701</v>
      </c>
      <c r="AG13426" s="831" t="s">
        <v>2674</v>
      </c>
      <c r="AH13426" s="831" t="s">
        <v>580</v>
      </c>
      <c r="AI13426" s="831">
        <v>0</v>
      </c>
      <c r="AJ13426" s="835">
        <v>41274</v>
      </c>
      <c r="AK13426" s="831">
        <v>-2146826246</v>
      </c>
    </row>
    <row r="13427" spans="2:37">
      <c r="B13427" s="834" t="str">
        <f t="shared" si="499"/>
        <v>|||</v>
      </c>
      <c r="H13427" s="835">
        <f t="shared" si="500"/>
        <v>31</v>
      </c>
      <c r="AF13427" s="831" t="s">
        <v>10702</v>
      </c>
      <c r="AG13427" s="831" t="s">
        <v>2674</v>
      </c>
      <c r="AH13427" s="831" t="s">
        <v>581</v>
      </c>
      <c r="AI13427" s="831">
        <v>0</v>
      </c>
      <c r="AJ13427" s="835">
        <v>41274</v>
      </c>
      <c r="AK13427" s="831">
        <v>-2146826246</v>
      </c>
    </row>
    <row r="13428" spans="2:37">
      <c r="B13428" s="834" t="str">
        <f t="shared" si="499"/>
        <v>|||</v>
      </c>
      <c r="H13428" s="835">
        <f t="shared" si="500"/>
        <v>31</v>
      </c>
      <c r="AF13428" s="831" t="s">
        <v>10703</v>
      </c>
      <c r="AG13428" s="831" t="s">
        <v>2674</v>
      </c>
      <c r="AH13428" s="831" t="s">
        <v>105</v>
      </c>
      <c r="AI13428" s="831">
        <v>0</v>
      </c>
      <c r="AJ13428" s="835">
        <v>41274</v>
      </c>
      <c r="AK13428" s="831">
        <v>237580126</v>
      </c>
    </row>
    <row r="13429" spans="2:37">
      <c r="B13429" s="834" t="str">
        <f t="shared" si="499"/>
        <v>|||</v>
      </c>
      <c r="H13429" s="835">
        <f t="shared" si="500"/>
        <v>31</v>
      </c>
      <c r="AF13429" s="831" t="s">
        <v>10704</v>
      </c>
      <c r="AG13429" s="831" t="s">
        <v>2674</v>
      </c>
      <c r="AH13429" s="831" t="s">
        <v>3049</v>
      </c>
      <c r="AI13429" s="831">
        <v>0</v>
      </c>
      <c r="AJ13429" s="835">
        <v>41274</v>
      </c>
      <c r="AK13429" s="831">
        <v>400647257</v>
      </c>
    </row>
    <row r="13430" spans="2:37">
      <c r="B13430" s="834" t="str">
        <f t="shared" si="499"/>
        <v>|||</v>
      </c>
      <c r="H13430" s="835">
        <f t="shared" si="500"/>
        <v>31</v>
      </c>
      <c r="AF13430" s="831" t="s">
        <v>10705</v>
      </c>
      <c r="AG13430" s="831" t="s">
        <v>2674</v>
      </c>
      <c r="AH13430" s="831" t="s">
        <v>103</v>
      </c>
      <c r="AI13430" s="831">
        <v>0</v>
      </c>
      <c r="AJ13430" s="835">
        <v>41274</v>
      </c>
      <c r="AK13430" s="831">
        <v>163067131</v>
      </c>
    </row>
    <row r="13431" spans="2:37">
      <c r="B13431" s="834" t="str">
        <f t="shared" si="499"/>
        <v>|||</v>
      </c>
      <c r="H13431" s="835">
        <f t="shared" si="500"/>
        <v>31</v>
      </c>
      <c r="AF13431" s="831" t="s">
        <v>10706</v>
      </c>
      <c r="AG13431" s="831" t="s">
        <v>2674</v>
      </c>
      <c r="AH13431" s="831" t="s">
        <v>182</v>
      </c>
      <c r="AI13431" s="831">
        <v>0</v>
      </c>
      <c r="AJ13431" s="835">
        <v>41274</v>
      </c>
      <c r="AK13431" s="831">
        <v>53318071</v>
      </c>
    </row>
    <row r="13432" spans="2:37">
      <c r="B13432" s="834" t="str">
        <f t="shared" si="499"/>
        <v>|||</v>
      </c>
      <c r="H13432" s="835">
        <f t="shared" si="500"/>
        <v>31</v>
      </c>
      <c r="AF13432" s="831" t="s">
        <v>10707</v>
      </c>
      <c r="AG13432" s="831" t="s">
        <v>2674</v>
      </c>
      <c r="AH13432" s="831" t="s">
        <v>6600</v>
      </c>
      <c r="AI13432" s="831">
        <v>0</v>
      </c>
      <c r="AJ13432" s="835">
        <v>41274</v>
      </c>
      <c r="AK13432" s="831">
        <v>-2146826246</v>
      </c>
    </row>
    <row r="13433" spans="2:37">
      <c r="B13433" s="834" t="str">
        <f t="shared" si="499"/>
        <v>|||</v>
      </c>
      <c r="H13433" s="835">
        <f t="shared" si="500"/>
        <v>31</v>
      </c>
      <c r="AF13433" s="831" t="s">
        <v>10708</v>
      </c>
      <c r="AG13433" s="831" t="s">
        <v>2674</v>
      </c>
      <c r="AH13433" s="831" t="s">
        <v>6602</v>
      </c>
      <c r="AI13433" s="831">
        <v>0</v>
      </c>
      <c r="AJ13433" s="835">
        <v>41274</v>
      </c>
      <c r="AK13433" s="831">
        <v>15839951</v>
      </c>
    </row>
    <row r="13434" spans="2:37">
      <c r="B13434" s="834" t="str">
        <f t="shared" si="499"/>
        <v>|||</v>
      </c>
      <c r="H13434" s="835">
        <f t="shared" si="500"/>
        <v>31</v>
      </c>
      <c r="AF13434" s="831" t="s">
        <v>10709</v>
      </c>
      <c r="AG13434" s="831" t="s">
        <v>2674</v>
      </c>
      <c r="AH13434" s="831" t="s">
        <v>650</v>
      </c>
      <c r="AI13434" s="831">
        <v>0</v>
      </c>
      <c r="AJ13434" s="835">
        <v>41274</v>
      </c>
      <c r="AK13434" s="831">
        <v>0</v>
      </c>
    </row>
    <row r="13435" spans="2:37">
      <c r="B13435" s="834" t="str">
        <f t="shared" si="499"/>
        <v>|||</v>
      </c>
      <c r="H13435" s="835">
        <f t="shared" si="500"/>
        <v>31</v>
      </c>
      <c r="AF13435" s="831" t="s">
        <v>10710</v>
      </c>
      <c r="AG13435" s="831" t="s">
        <v>2674</v>
      </c>
      <c r="AH13435" s="831" t="s">
        <v>655</v>
      </c>
      <c r="AI13435" s="831">
        <v>0</v>
      </c>
      <c r="AJ13435" s="835">
        <v>41274</v>
      </c>
      <c r="AK13435" s="831">
        <v>1622276</v>
      </c>
    </row>
    <row r="13436" spans="2:37">
      <c r="B13436" s="834" t="str">
        <f t="shared" si="499"/>
        <v>|||</v>
      </c>
      <c r="H13436" s="835">
        <f t="shared" si="500"/>
        <v>31</v>
      </c>
      <c r="AF13436" s="831" t="s">
        <v>10711</v>
      </c>
      <c r="AG13436" s="831" t="s">
        <v>2674</v>
      </c>
      <c r="AH13436" s="831" t="s">
        <v>546</v>
      </c>
      <c r="AI13436" s="831">
        <v>0</v>
      </c>
      <c r="AJ13436" s="835">
        <v>41305</v>
      </c>
      <c r="AK13436" s="831">
        <v>421051783</v>
      </c>
    </row>
    <row r="13437" spans="2:37">
      <c r="B13437" s="834" t="str">
        <f t="shared" si="499"/>
        <v>|||</v>
      </c>
      <c r="H13437" s="835">
        <f t="shared" si="500"/>
        <v>31</v>
      </c>
      <c r="AF13437" s="831" t="s">
        <v>10712</v>
      </c>
      <c r="AG13437" s="831" t="s">
        <v>2674</v>
      </c>
      <c r="AH13437" s="831" t="s">
        <v>370</v>
      </c>
      <c r="AI13437" s="831">
        <v>0</v>
      </c>
      <c r="AJ13437" s="835">
        <v>41305</v>
      </c>
      <c r="AK13437" s="831">
        <v>511487760</v>
      </c>
    </row>
    <row r="13438" spans="2:37">
      <c r="B13438" s="834" t="str">
        <f t="shared" si="499"/>
        <v>|||</v>
      </c>
      <c r="H13438" s="835">
        <f t="shared" si="500"/>
        <v>31</v>
      </c>
      <c r="AF13438" s="831" t="s">
        <v>10713</v>
      </c>
      <c r="AG13438" s="831" t="s">
        <v>2674</v>
      </c>
      <c r="AH13438" s="831" t="s">
        <v>126</v>
      </c>
      <c r="AI13438" s="831">
        <v>0</v>
      </c>
      <c r="AJ13438" s="835">
        <v>41305</v>
      </c>
      <c r="AK13438" s="831">
        <v>96883184</v>
      </c>
    </row>
    <row r="13439" spans="2:37">
      <c r="B13439" s="834" t="str">
        <f t="shared" si="499"/>
        <v>|||</v>
      </c>
      <c r="H13439" s="835">
        <f t="shared" si="500"/>
        <v>31</v>
      </c>
      <c r="AF13439" s="831" t="s">
        <v>10714</v>
      </c>
      <c r="AG13439" s="831" t="s">
        <v>2674</v>
      </c>
      <c r="AH13439" s="831" t="s">
        <v>268</v>
      </c>
      <c r="AI13439" s="831">
        <v>0</v>
      </c>
      <c r="AJ13439" s="835">
        <v>41305</v>
      </c>
      <c r="AK13439" s="831">
        <v>2119961</v>
      </c>
    </row>
    <row r="13440" spans="2:37">
      <c r="B13440" s="834" t="str">
        <f t="shared" si="499"/>
        <v>|||</v>
      </c>
      <c r="H13440" s="835">
        <f t="shared" si="500"/>
        <v>31</v>
      </c>
      <c r="AF13440" s="831" t="s">
        <v>10715</v>
      </c>
      <c r="AG13440" s="831" t="s">
        <v>2674</v>
      </c>
      <c r="AH13440" s="831" t="s">
        <v>547</v>
      </c>
      <c r="AI13440" s="831">
        <v>0</v>
      </c>
      <c r="AJ13440" s="835">
        <v>41305</v>
      </c>
      <c r="AK13440" s="831">
        <v>511487760</v>
      </c>
    </row>
    <row r="13441" spans="2:37">
      <c r="B13441" s="834" t="str">
        <f t="shared" si="499"/>
        <v>|||</v>
      </c>
      <c r="H13441" s="835">
        <f t="shared" si="500"/>
        <v>31</v>
      </c>
      <c r="AF13441" s="831" t="s">
        <v>10716</v>
      </c>
      <c r="AG13441" s="831" t="s">
        <v>2674</v>
      </c>
      <c r="AH13441" s="831" t="s">
        <v>548</v>
      </c>
      <c r="AI13441" s="831">
        <v>0</v>
      </c>
      <c r="AJ13441" s="835">
        <v>41305</v>
      </c>
      <c r="AK13441" s="831">
        <v>96883184</v>
      </c>
    </row>
    <row r="13442" spans="2:37">
      <c r="B13442" s="834" t="str">
        <f t="shared" si="499"/>
        <v>|||</v>
      </c>
      <c r="H13442" s="835">
        <f t="shared" si="500"/>
        <v>31</v>
      </c>
      <c r="AF13442" s="831" t="s">
        <v>10717</v>
      </c>
      <c r="AG13442" s="831" t="s">
        <v>2674</v>
      </c>
      <c r="AH13442" s="831" t="s">
        <v>549</v>
      </c>
      <c r="AI13442" s="831">
        <v>0</v>
      </c>
      <c r="AJ13442" s="835">
        <v>41305</v>
      </c>
      <c r="AK13442" s="831">
        <v>0</v>
      </c>
    </row>
    <row r="13443" spans="2:37">
      <c r="B13443" s="834" t="str">
        <f t="shared" si="499"/>
        <v>|||</v>
      </c>
      <c r="H13443" s="835">
        <f t="shared" si="500"/>
        <v>31</v>
      </c>
      <c r="AF13443" s="831" t="s">
        <v>10718</v>
      </c>
      <c r="AG13443" s="831" t="s">
        <v>2674</v>
      </c>
      <c r="AH13443" s="831" t="s">
        <v>192</v>
      </c>
      <c r="AI13443" s="831">
        <v>0</v>
      </c>
      <c r="AJ13443" s="835">
        <v>41305</v>
      </c>
      <c r="AK13443" s="831">
        <v>-10696839</v>
      </c>
    </row>
    <row r="13444" spans="2:37">
      <c r="B13444" s="834" t="str">
        <f t="shared" si="499"/>
        <v>|||</v>
      </c>
      <c r="H13444" s="835">
        <f t="shared" si="500"/>
        <v>31</v>
      </c>
      <c r="AF13444" s="831" t="s">
        <v>10719</v>
      </c>
      <c r="AG13444" s="831" t="s">
        <v>2674</v>
      </c>
      <c r="AH13444" s="831" t="s">
        <v>558</v>
      </c>
      <c r="AI13444" s="831">
        <v>0</v>
      </c>
      <c r="AJ13444" s="835">
        <v>41305</v>
      </c>
      <c r="AK13444" s="831">
        <v>414604576</v>
      </c>
    </row>
    <row r="13445" spans="2:37">
      <c r="B13445" s="834" t="str">
        <f t="shared" si="499"/>
        <v>|||</v>
      </c>
      <c r="H13445" s="835">
        <f t="shared" si="500"/>
        <v>31</v>
      </c>
      <c r="AF13445" s="831" t="s">
        <v>10720</v>
      </c>
      <c r="AG13445" s="831" t="s">
        <v>2674</v>
      </c>
      <c r="AH13445" s="831" t="s">
        <v>65</v>
      </c>
      <c r="AI13445" s="831">
        <v>0</v>
      </c>
      <c r="AJ13445" s="835">
        <v>41305</v>
      </c>
      <c r="AK13445" s="831">
        <v>9476383</v>
      </c>
    </row>
    <row r="13446" spans="2:37">
      <c r="B13446" s="834" t="str">
        <f t="shared" si="499"/>
        <v>|||</v>
      </c>
      <c r="H13446" s="835">
        <f t="shared" si="500"/>
        <v>31</v>
      </c>
      <c r="AF13446" s="831" t="s">
        <v>10721</v>
      </c>
      <c r="AG13446" s="831" t="s">
        <v>2674</v>
      </c>
      <c r="AH13446" s="831" t="s">
        <v>89</v>
      </c>
      <c r="AI13446" s="831">
        <v>0</v>
      </c>
      <c r="AJ13446" s="835">
        <v>41305</v>
      </c>
      <c r="AK13446" s="831">
        <v>125947</v>
      </c>
    </row>
    <row r="13447" spans="2:37">
      <c r="B13447" s="834" t="str">
        <f t="shared" si="499"/>
        <v>|||</v>
      </c>
      <c r="H13447" s="835">
        <f t="shared" si="500"/>
        <v>31</v>
      </c>
      <c r="AF13447" s="831" t="s">
        <v>10722</v>
      </c>
      <c r="AG13447" s="831" t="s">
        <v>2674</v>
      </c>
      <c r="AH13447" s="831" t="s">
        <v>557</v>
      </c>
      <c r="AI13447" s="831">
        <v>0</v>
      </c>
      <c r="AJ13447" s="835">
        <v>41305</v>
      </c>
      <c r="AK13447" s="831">
        <v>128972</v>
      </c>
    </row>
    <row r="13448" spans="2:37">
      <c r="B13448" s="834" t="str">
        <f t="shared" si="499"/>
        <v>|||</v>
      </c>
      <c r="H13448" s="835">
        <f t="shared" si="500"/>
        <v>31</v>
      </c>
      <c r="AF13448" s="831" t="s">
        <v>10723</v>
      </c>
      <c r="AG13448" s="831" t="s">
        <v>2674</v>
      </c>
      <c r="AH13448" s="831" t="s">
        <v>29</v>
      </c>
      <c r="AI13448" s="831">
        <v>0</v>
      </c>
      <c r="AJ13448" s="835">
        <v>41305</v>
      </c>
      <c r="AK13448" s="831">
        <v>1949343</v>
      </c>
    </row>
    <row r="13449" spans="2:37">
      <c r="B13449" s="834" t="str">
        <f t="shared" si="499"/>
        <v>|||</v>
      </c>
      <c r="H13449" s="835">
        <f t="shared" si="500"/>
        <v>31</v>
      </c>
      <c r="AF13449" s="831" t="s">
        <v>10724</v>
      </c>
      <c r="AG13449" s="831" t="s">
        <v>2674</v>
      </c>
      <c r="AH13449" s="831" t="s">
        <v>2688</v>
      </c>
      <c r="AI13449" s="831">
        <v>0</v>
      </c>
      <c r="AJ13449" s="835">
        <v>41305</v>
      </c>
      <c r="AK13449" s="831">
        <v>2693419</v>
      </c>
    </row>
    <row r="13450" spans="2:37">
      <c r="B13450" s="834" t="str">
        <f t="shared" si="499"/>
        <v>|||</v>
      </c>
      <c r="H13450" s="835">
        <f t="shared" si="500"/>
        <v>31</v>
      </c>
      <c r="AF13450" s="831" t="s">
        <v>10725</v>
      </c>
      <c r="AG13450" s="831" t="s">
        <v>2674</v>
      </c>
      <c r="AH13450" s="831" t="s">
        <v>556</v>
      </c>
      <c r="AI13450" s="831">
        <v>0</v>
      </c>
      <c r="AJ13450" s="835">
        <v>41305</v>
      </c>
      <c r="AK13450" s="831">
        <v>902857</v>
      </c>
    </row>
    <row r="13451" spans="2:37">
      <c r="B13451" s="834" t="str">
        <f t="shared" si="499"/>
        <v>|||</v>
      </c>
      <c r="H13451" s="835">
        <f t="shared" si="500"/>
        <v>31</v>
      </c>
      <c r="AF13451" s="831" t="s">
        <v>10726</v>
      </c>
      <c r="AG13451" s="831" t="s">
        <v>2674</v>
      </c>
      <c r="AH13451" s="831" t="s">
        <v>555</v>
      </c>
      <c r="AI13451" s="831">
        <v>0</v>
      </c>
      <c r="AJ13451" s="835">
        <v>41305</v>
      </c>
      <c r="AK13451" s="831">
        <v>261608550</v>
      </c>
    </row>
    <row r="13452" spans="2:37">
      <c r="B13452" s="834" t="str">
        <f t="shared" si="499"/>
        <v>|||</v>
      </c>
      <c r="H13452" s="835">
        <f t="shared" si="500"/>
        <v>31</v>
      </c>
      <c r="AF13452" s="831" t="s">
        <v>10727</v>
      </c>
      <c r="AG13452" s="831" t="s">
        <v>2674</v>
      </c>
      <c r="AH13452" s="831" t="s">
        <v>554</v>
      </c>
      <c r="AI13452" s="831">
        <v>0</v>
      </c>
      <c r="AJ13452" s="835">
        <v>41305</v>
      </c>
      <c r="AK13452" s="831">
        <v>265544650</v>
      </c>
    </row>
    <row r="13453" spans="2:37">
      <c r="B13453" s="834" t="str">
        <f t="shared" si="499"/>
        <v>|||</v>
      </c>
      <c r="H13453" s="835">
        <f t="shared" si="500"/>
        <v>31</v>
      </c>
      <c r="AF13453" s="831" t="s">
        <v>10728</v>
      </c>
      <c r="AG13453" s="831" t="s">
        <v>2674</v>
      </c>
      <c r="AH13453" s="831" t="s">
        <v>553</v>
      </c>
      <c r="AI13453" s="831">
        <v>0</v>
      </c>
      <c r="AJ13453" s="835">
        <v>41305</v>
      </c>
      <c r="AK13453" s="831">
        <v>0</v>
      </c>
    </row>
    <row r="13454" spans="2:37">
      <c r="B13454" s="834" t="str">
        <f t="shared" si="499"/>
        <v>|||</v>
      </c>
      <c r="H13454" s="835">
        <f t="shared" si="500"/>
        <v>31</v>
      </c>
      <c r="AF13454" s="831" t="s">
        <v>10729</v>
      </c>
      <c r="AG13454" s="831" t="s">
        <v>2674</v>
      </c>
      <c r="AH13454" s="831" t="s">
        <v>552</v>
      </c>
      <c r="AI13454" s="831">
        <v>0</v>
      </c>
      <c r="AJ13454" s="835">
        <v>41305</v>
      </c>
      <c r="AK13454" s="831">
        <v>0</v>
      </c>
    </row>
    <row r="13455" spans="2:37">
      <c r="B13455" s="834" t="str">
        <f t="shared" si="499"/>
        <v>|||</v>
      </c>
      <c r="H13455" s="835">
        <f t="shared" si="500"/>
        <v>31</v>
      </c>
      <c r="AF13455" s="831" t="s">
        <v>10730</v>
      </c>
      <c r="AG13455" s="831" t="s">
        <v>2674</v>
      </c>
      <c r="AH13455" s="831" t="s">
        <v>551</v>
      </c>
      <c r="AI13455" s="831">
        <v>0</v>
      </c>
      <c r="AJ13455" s="835">
        <v>41305</v>
      </c>
      <c r="AK13455" s="831">
        <v>1906076</v>
      </c>
    </row>
    <row r="13456" spans="2:37">
      <c r="B13456" s="834" t="str">
        <f t="shared" si="499"/>
        <v>|||</v>
      </c>
      <c r="H13456" s="835">
        <f t="shared" si="500"/>
        <v>31</v>
      </c>
      <c r="AF13456" s="831" t="s">
        <v>10731</v>
      </c>
      <c r="AG13456" s="831" t="s">
        <v>2674</v>
      </c>
      <c r="AH13456" s="831" t="s">
        <v>550</v>
      </c>
      <c r="AI13456" s="831">
        <v>0</v>
      </c>
      <c r="AJ13456" s="835">
        <v>41305</v>
      </c>
      <c r="AK13456" s="831">
        <v>101162875</v>
      </c>
    </row>
    <row r="13457" spans="2:37">
      <c r="B13457" s="834" t="str">
        <f t="shared" ref="B13457:B13520" si="501">C13457&amp;"|"&amp;D13457&amp;"|"&amp;E13457&amp;"|"&amp;F13457</f>
        <v>|||</v>
      </c>
      <c r="H13457" s="835">
        <f t="shared" ref="H13457:H13520" si="502">EOMONTH(L13457,0)</f>
        <v>31</v>
      </c>
      <c r="AF13457" s="831" t="s">
        <v>10732</v>
      </c>
      <c r="AG13457" s="831" t="s">
        <v>2674</v>
      </c>
      <c r="AH13457" s="831" t="s">
        <v>562</v>
      </c>
      <c r="AI13457" s="831">
        <v>0</v>
      </c>
      <c r="AJ13457" s="835">
        <v>41305</v>
      </c>
      <c r="AK13457" s="831">
        <v>0.78385000000000005</v>
      </c>
    </row>
    <row r="13458" spans="2:37">
      <c r="B13458" s="834" t="str">
        <f t="shared" si="501"/>
        <v>|||</v>
      </c>
      <c r="H13458" s="835">
        <f t="shared" si="502"/>
        <v>31</v>
      </c>
      <c r="AF13458" s="831" t="s">
        <v>10733</v>
      </c>
      <c r="AG13458" s="831" t="s">
        <v>2674</v>
      </c>
      <c r="AH13458" s="831" t="s">
        <v>2698</v>
      </c>
      <c r="AI13458" s="831">
        <v>0</v>
      </c>
      <c r="AJ13458" s="835">
        <v>41305</v>
      </c>
      <c r="AK13458" s="831">
        <v>0.78400000000000003</v>
      </c>
    </row>
    <row r="13459" spans="2:37">
      <c r="B13459" s="834" t="str">
        <f t="shared" si="501"/>
        <v>|||</v>
      </c>
      <c r="H13459" s="835">
        <f t="shared" si="502"/>
        <v>31</v>
      </c>
      <c r="AF13459" s="831" t="s">
        <v>10734</v>
      </c>
      <c r="AG13459" s="831" t="s">
        <v>2674</v>
      </c>
      <c r="AH13459" s="831" t="s">
        <v>560</v>
      </c>
      <c r="AI13459" s="831">
        <v>0</v>
      </c>
      <c r="AJ13459" s="835">
        <v>41305</v>
      </c>
      <c r="AK13459" s="831">
        <v>0.78385000000000005</v>
      </c>
    </row>
    <row r="13460" spans="2:37">
      <c r="B13460" s="834" t="str">
        <f t="shared" si="501"/>
        <v>|||</v>
      </c>
      <c r="H13460" s="835">
        <f t="shared" si="502"/>
        <v>31</v>
      </c>
      <c r="AF13460" s="831" t="s">
        <v>10735</v>
      </c>
      <c r="AG13460" s="831" t="s">
        <v>2674</v>
      </c>
      <c r="AH13460" s="831" t="s">
        <v>559</v>
      </c>
      <c r="AI13460" s="831">
        <v>0</v>
      </c>
      <c r="AJ13460" s="835">
        <v>41305</v>
      </c>
      <c r="AK13460" s="831">
        <v>0.78486250000000002</v>
      </c>
    </row>
    <row r="13461" spans="2:37">
      <c r="B13461" s="834" t="str">
        <f t="shared" si="501"/>
        <v>|||</v>
      </c>
      <c r="H13461" s="835">
        <f t="shared" si="502"/>
        <v>31</v>
      </c>
      <c r="AF13461" s="831" t="s">
        <v>10736</v>
      </c>
      <c r="AG13461" s="831" t="s">
        <v>2674</v>
      </c>
      <c r="AH13461" s="831" t="s">
        <v>568</v>
      </c>
      <c r="AI13461" s="831">
        <v>0</v>
      </c>
      <c r="AJ13461" s="835">
        <v>41305</v>
      </c>
      <c r="AK13461" s="831">
        <v>373888864.66666669</v>
      </c>
    </row>
    <row r="13462" spans="2:37">
      <c r="B13462" s="834" t="str">
        <f t="shared" si="501"/>
        <v>|||</v>
      </c>
      <c r="H13462" s="835">
        <f t="shared" si="502"/>
        <v>31</v>
      </c>
      <c r="AF13462" s="831" t="s">
        <v>10737</v>
      </c>
      <c r="AG13462" s="831" t="s">
        <v>2674</v>
      </c>
      <c r="AH13462" s="831" t="s">
        <v>569</v>
      </c>
      <c r="AI13462" s="831">
        <v>0</v>
      </c>
      <c r="AJ13462" s="835">
        <v>41305</v>
      </c>
      <c r="AK13462" s="831">
        <v>458979290.77777779</v>
      </c>
    </row>
    <row r="13463" spans="2:37">
      <c r="B13463" s="834" t="str">
        <f t="shared" si="501"/>
        <v>|||</v>
      </c>
      <c r="H13463" s="835">
        <f t="shared" si="502"/>
        <v>31</v>
      </c>
      <c r="AF13463" s="831" t="s">
        <v>10738</v>
      </c>
      <c r="AG13463" s="831" t="s">
        <v>2674</v>
      </c>
      <c r="AH13463" s="831" t="s">
        <v>570</v>
      </c>
      <c r="AI13463" s="831">
        <v>0</v>
      </c>
      <c r="AJ13463" s="835">
        <v>41305</v>
      </c>
      <c r="AK13463" s="831">
        <v>96420088.555555552</v>
      </c>
    </row>
    <row r="13464" spans="2:37">
      <c r="B13464" s="834" t="str">
        <f t="shared" si="501"/>
        <v>|||</v>
      </c>
      <c r="H13464" s="835">
        <f t="shared" si="502"/>
        <v>31</v>
      </c>
      <c r="AF13464" s="831" t="s">
        <v>10739</v>
      </c>
      <c r="AG13464" s="831" t="s">
        <v>2674</v>
      </c>
      <c r="AH13464" s="831" t="s">
        <v>571</v>
      </c>
      <c r="AI13464" s="831">
        <v>0</v>
      </c>
      <c r="AJ13464" s="835">
        <v>41305</v>
      </c>
      <c r="AK13464" s="831">
        <v>187471539.44444445</v>
      </c>
    </row>
    <row r="13465" spans="2:37">
      <c r="B13465" s="834" t="str">
        <f t="shared" si="501"/>
        <v>|||</v>
      </c>
      <c r="H13465" s="835">
        <f t="shared" si="502"/>
        <v>31</v>
      </c>
      <c r="AF13465" s="831" t="s">
        <v>10740</v>
      </c>
      <c r="AG13465" s="831" t="s">
        <v>2674</v>
      </c>
      <c r="AH13465" s="831" t="s">
        <v>573</v>
      </c>
      <c r="AI13465" s="831">
        <v>0</v>
      </c>
      <c r="AJ13465" s="835">
        <v>41305</v>
      </c>
      <c r="AK13465" s="831">
        <v>513378335</v>
      </c>
    </row>
    <row r="13466" spans="2:37">
      <c r="B13466" s="834" t="str">
        <f t="shared" si="501"/>
        <v>|||</v>
      </c>
      <c r="H13466" s="835">
        <f t="shared" si="502"/>
        <v>31</v>
      </c>
      <c r="AF13466" s="831" t="s">
        <v>10741</v>
      </c>
      <c r="AG13466" s="831" t="s">
        <v>2674</v>
      </c>
      <c r="AH13466" s="831" t="s">
        <v>574</v>
      </c>
      <c r="AI13466" s="831">
        <v>0</v>
      </c>
      <c r="AJ13466" s="835">
        <v>41305</v>
      </c>
      <c r="AK13466" s="831">
        <v>416588703.5</v>
      </c>
    </row>
    <row r="13467" spans="2:37">
      <c r="B13467" s="834" t="str">
        <f t="shared" si="501"/>
        <v>|||</v>
      </c>
      <c r="H13467" s="835">
        <f t="shared" si="502"/>
        <v>31</v>
      </c>
      <c r="AF13467" s="831" t="s">
        <v>10742</v>
      </c>
      <c r="AG13467" s="831" t="s">
        <v>2674</v>
      </c>
      <c r="AH13467" s="831" t="s">
        <v>575</v>
      </c>
      <c r="AI13467" s="831">
        <v>0</v>
      </c>
      <c r="AJ13467" s="835">
        <v>41305</v>
      </c>
      <c r="AK13467" s="831">
        <v>99023029.5</v>
      </c>
    </row>
    <row r="13468" spans="2:37">
      <c r="B13468" s="834" t="str">
        <f t="shared" si="501"/>
        <v>|||</v>
      </c>
      <c r="H13468" s="835">
        <f t="shared" si="502"/>
        <v>31</v>
      </c>
      <c r="AF13468" s="831" t="s">
        <v>10743</v>
      </c>
      <c r="AG13468" s="831" t="s">
        <v>2674</v>
      </c>
      <c r="AH13468" s="831" t="s">
        <v>576</v>
      </c>
      <c r="AI13468" s="831">
        <v>0</v>
      </c>
      <c r="AJ13468" s="835">
        <v>41305</v>
      </c>
      <c r="AK13468" s="831">
        <v>233642368.5</v>
      </c>
    </row>
    <row r="13469" spans="2:37">
      <c r="B13469" s="834" t="str">
        <f t="shared" si="501"/>
        <v>|||</v>
      </c>
      <c r="H13469" s="835">
        <f t="shared" si="502"/>
        <v>31</v>
      </c>
      <c r="AF13469" s="831" t="s">
        <v>10744</v>
      </c>
      <c r="AG13469" s="831" t="s">
        <v>2674</v>
      </c>
      <c r="AH13469" s="831" t="s">
        <v>572</v>
      </c>
      <c r="AI13469" s="831">
        <v>0</v>
      </c>
      <c r="AJ13469" s="835">
        <v>41305</v>
      </c>
      <c r="AK13469" s="831">
        <v>-2146826246</v>
      </c>
    </row>
    <row r="13470" spans="2:37">
      <c r="B13470" s="834" t="str">
        <f t="shared" si="501"/>
        <v>|||</v>
      </c>
      <c r="H13470" s="835">
        <f t="shared" si="502"/>
        <v>31</v>
      </c>
      <c r="AF13470" s="831" t="s">
        <v>10745</v>
      </c>
      <c r="AG13470" s="831" t="s">
        <v>2674</v>
      </c>
      <c r="AH13470" s="831" t="s">
        <v>577</v>
      </c>
      <c r="AI13470" s="831">
        <v>0</v>
      </c>
      <c r="AJ13470" s="835">
        <v>41305</v>
      </c>
      <c r="AK13470" s="831">
        <v>-2146826246</v>
      </c>
    </row>
    <row r="13471" spans="2:37">
      <c r="B13471" s="834" t="str">
        <f t="shared" si="501"/>
        <v>|||</v>
      </c>
      <c r="H13471" s="835">
        <f t="shared" si="502"/>
        <v>31</v>
      </c>
      <c r="AF13471" s="831" t="s">
        <v>10746</v>
      </c>
      <c r="AG13471" s="831" t="s">
        <v>2674</v>
      </c>
      <c r="AH13471" s="831" t="s">
        <v>3042</v>
      </c>
      <c r="AI13471" s="831">
        <v>0</v>
      </c>
      <c r="AJ13471" s="835">
        <v>41305</v>
      </c>
      <c r="AK13471" s="831">
        <v>-2146826246</v>
      </c>
    </row>
    <row r="13472" spans="2:37">
      <c r="B13472" s="834" t="str">
        <f t="shared" si="501"/>
        <v>|||</v>
      </c>
      <c r="H13472" s="835">
        <f t="shared" si="502"/>
        <v>31</v>
      </c>
      <c r="AF13472" s="831" t="s">
        <v>10747</v>
      </c>
      <c r="AG13472" s="831" t="s">
        <v>2674</v>
      </c>
      <c r="AH13472" s="831" t="s">
        <v>3044</v>
      </c>
      <c r="AI13472" s="831">
        <v>0</v>
      </c>
      <c r="AJ13472" s="835">
        <v>41305</v>
      </c>
      <c r="AK13472" s="831">
        <v>-2146826246</v>
      </c>
    </row>
    <row r="13473" spans="2:37">
      <c r="B13473" s="834" t="str">
        <f t="shared" si="501"/>
        <v>|||</v>
      </c>
      <c r="H13473" s="835">
        <f t="shared" si="502"/>
        <v>31</v>
      </c>
      <c r="AF13473" s="831" t="s">
        <v>10748</v>
      </c>
      <c r="AG13473" s="831" t="s">
        <v>2674</v>
      </c>
      <c r="AH13473" s="831" t="s">
        <v>580</v>
      </c>
      <c r="AI13473" s="831">
        <v>0</v>
      </c>
      <c r="AJ13473" s="835">
        <v>41305</v>
      </c>
      <c r="AK13473" s="831">
        <v>-2146826246</v>
      </c>
    </row>
    <row r="13474" spans="2:37">
      <c r="B13474" s="834" t="str">
        <f t="shared" si="501"/>
        <v>|||</v>
      </c>
      <c r="H13474" s="835">
        <f t="shared" si="502"/>
        <v>31</v>
      </c>
      <c r="AF13474" s="831" t="s">
        <v>10749</v>
      </c>
      <c r="AG13474" s="831" t="s">
        <v>2674</v>
      </c>
      <c r="AH13474" s="831" t="s">
        <v>581</v>
      </c>
      <c r="AI13474" s="831">
        <v>0</v>
      </c>
      <c r="AJ13474" s="835">
        <v>41305</v>
      </c>
      <c r="AK13474" s="831">
        <v>-2146826246</v>
      </c>
    </row>
    <row r="13475" spans="2:37">
      <c r="B13475" s="834" t="str">
        <f t="shared" si="501"/>
        <v>|||</v>
      </c>
      <c r="H13475" s="835">
        <f t="shared" si="502"/>
        <v>31</v>
      </c>
      <c r="AF13475" s="831" t="s">
        <v>10750</v>
      </c>
      <c r="AG13475" s="831" t="s">
        <v>2674</v>
      </c>
      <c r="AH13475" s="831" t="s">
        <v>105</v>
      </c>
      <c r="AI13475" s="831">
        <v>0</v>
      </c>
      <c r="AJ13475" s="835">
        <v>41305</v>
      </c>
      <c r="AK13475" s="831">
        <v>229704611</v>
      </c>
    </row>
    <row r="13476" spans="2:37">
      <c r="B13476" s="834" t="str">
        <f t="shared" si="501"/>
        <v>|||</v>
      </c>
      <c r="H13476" s="835">
        <f t="shared" si="502"/>
        <v>31</v>
      </c>
      <c r="AF13476" s="831" t="s">
        <v>10751</v>
      </c>
      <c r="AG13476" s="831" t="s">
        <v>2674</v>
      </c>
      <c r="AH13476" s="831" t="s">
        <v>3049</v>
      </c>
      <c r="AI13476" s="831">
        <v>0</v>
      </c>
      <c r="AJ13476" s="835">
        <v>41305</v>
      </c>
      <c r="AK13476" s="831">
        <v>400579663</v>
      </c>
    </row>
    <row r="13477" spans="2:37">
      <c r="B13477" s="834" t="str">
        <f t="shared" si="501"/>
        <v>|||</v>
      </c>
      <c r="H13477" s="835">
        <f t="shared" si="502"/>
        <v>31</v>
      </c>
      <c r="AF13477" s="831" t="s">
        <v>10752</v>
      </c>
      <c r="AG13477" s="831" t="s">
        <v>2674</v>
      </c>
      <c r="AH13477" s="831" t="s">
        <v>103</v>
      </c>
      <c r="AI13477" s="831">
        <v>0</v>
      </c>
      <c r="AJ13477" s="835">
        <v>41305</v>
      </c>
      <c r="AK13477" s="831">
        <v>170875052</v>
      </c>
    </row>
    <row r="13478" spans="2:37">
      <c r="B13478" s="834" t="str">
        <f t="shared" si="501"/>
        <v>|||</v>
      </c>
      <c r="H13478" s="835">
        <f t="shared" si="502"/>
        <v>31</v>
      </c>
      <c r="AF13478" s="831" t="s">
        <v>10753</v>
      </c>
      <c r="AG13478" s="831" t="s">
        <v>2674</v>
      </c>
      <c r="AH13478" s="831" t="s">
        <v>182</v>
      </c>
      <c r="AI13478" s="831">
        <v>0</v>
      </c>
      <c r="AJ13478" s="835">
        <v>41305</v>
      </c>
      <c r="AK13478" s="831">
        <v>57203676</v>
      </c>
    </row>
    <row r="13479" spans="2:37">
      <c r="B13479" s="834" t="str">
        <f t="shared" si="501"/>
        <v>|||</v>
      </c>
      <c r="H13479" s="835">
        <f t="shared" si="502"/>
        <v>31</v>
      </c>
      <c r="AF13479" s="831" t="s">
        <v>10754</v>
      </c>
      <c r="AG13479" s="831" t="s">
        <v>2674</v>
      </c>
      <c r="AH13479" s="831" t="s">
        <v>6600</v>
      </c>
      <c r="AI13479" s="831">
        <v>0</v>
      </c>
      <c r="AJ13479" s="835">
        <v>41305</v>
      </c>
      <c r="AK13479" s="831">
        <v>-2146826246</v>
      </c>
    </row>
    <row r="13480" spans="2:37">
      <c r="B13480" s="834" t="str">
        <f t="shared" si="501"/>
        <v>|||</v>
      </c>
      <c r="H13480" s="835">
        <f t="shared" si="502"/>
        <v>31</v>
      </c>
      <c r="AF13480" s="831" t="s">
        <v>10755</v>
      </c>
      <c r="AG13480" s="831" t="s">
        <v>2674</v>
      </c>
      <c r="AH13480" s="831" t="s">
        <v>6602</v>
      </c>
      <c r="AI13480" s="831">
        <v>0</v>
      </c>
      <c r="AJ13480" s="835">
        <v>41305</v>
      </c>
      <c r="AK13480" s="831">
        <v>2119961</v>
      </c>
    </row>
    <row r="13481" spans="2:37">
      <c r="B13481" s="834" t="str">
        <f t="shared" si="501"/>
        <v>|||</v>
      </c>
      <c r="H13481" s="835">
        <f t="shared" si="502"/>
        <v>31</v>
      </c>
      <c r="AF13481" s="831" t="s">
        <v>10756</v>
      </c>
      <c r="AG13481" s="831" t="s">
        <v>2674</v>
      </c>
      <c r="AH13481" s="831" t="s">
        <v>650</v>
      </c>
      <c r="AI13481" s="831">
        <v>0</v>
      </c>
      <c r="AJ13481" s="835">
        <v>41305</v>
      </c>
      <c r="AK13481" s="831">
        <v>162276642.66666666</v>
      </c>
    </row>
    <row r="13482" spans="2:37">
      <c r="B13482" s="834" t="str">
        <f t="shared" si="501"/>
        <v>|||</v>
      </c>
      <c r="H13482" s="835">
        <f t="shared" si="502"/>
        <v>31</v>
      </c>
      <c r="AF13482" s="831" t="s">
        <v>10757</v>
      </c>
      <c r="AG13482" s="831" t="s">
        <v>2674</v>
      </c>
      <c r="AH13482" s="831" t="s">
        <v>655</v>
      </c>
      <c r="AI13482" s="831">
        <v>0</v>
      </c>
      <c r="AJ13482" s="835">
        <v>41305</v>
      </c>
      <c r="AK13482" s="831">
        <v>1743639</v>
      </c>
    </row>
    <row r="13483" spans="2:37">
      <c r="B13483" s="834" t="str">
        <f t="shared" si="501"/>
        <v>|||</v>
      </c>
      <c r="H13483" s="835">
        <f t="shared" si="502"/>
        <v>31</v>
      </c>
      <c r="AF13483" s="831" t="s">
        <v>10758</v>
      </c>
      <c r="AG13483" s="831" t="s">
        <v>2674</v>
      </c>
      <c r="AH13483" s="831" t="s">
        <v>546</v>
      </c>
      <c r="AI13483" s="831">
        <v>0</v>
      </c>
      <c r="AJ13483" s="835">
        <v>41333</v>
      </c>
      <c r="AK13483" s="831">
        <v>436810603</v>
      </c>
    </row>
    <row r="13484" spans="2:37">
      <c r="B13484" s="834" t="str">
        <f t="shared" si="501"/>
        <v>|||</v>
      </c>
      <c r="H13484" s="835">
        <f t="shared" si="502"/>
        <v>31</v>
      </c>
      <c r="AF13484" s="831" t="s">
        <v>10759</v>
      </c>
      <c r="AG13484" s="831" t="s">
        <v>2674</v>
      </c>
      <c r="AH13484" s="831" t="s">
        <v>370</v>
      </c>
      <c r="AI13484" s="831">
        <v>0</v>
      </c>
      <c r="AJ13484" s="835">
        <v>41333</v>
      </c>
      <c r="AK13484" s="831">
        <v>522076176</v>
      </c>
    </row>
    <row r="13485" spans="2:37">
      <c r="B13485" s="834" t="str">
        <f t="shared" si="501"/>
        <v>|||</v>
      </c>
      <c r="H13485" s="835">
        <f t="shared" si="502"/>
        <v>31</v>
      </c>
      <c r="AF13485" s="831" t="s">
        <v>10760</v>
      </c>
      <c r="AG13485" s="831" t="s">
        <v>2674</v>
      </c>
      <c r="AH13485" s="831" t="s">
        <v>126</v>
      </c>
      <c r="AI13485" s="831">
        <v>0</v>
      </c>
      <c r="AJ13485" s="835">
        <v>41333</v>
      </c>
      <c r="AK13485" s="831">
        <v>98581107</v>
      </c>
    </row>
    <row r="13486" spans="2:37">
      <c r="B13486" s="834" t="str">
        <f t="shared" si="501"/>
        <v>|||</v>
      </c>
      <c r="H13486" s="835">
        <f t="shared" si="502"/>
        <v>31</v>
      </c>
      <c r="AF13486" s="831" t="s">
        <v>10761</v>
      </c>
      <c r="AG13486" s="831" t="s">
        <v>2674</v>
      </c>
      <c r="AH13486" s="831" t="s">
        <v>268</v>
      </c>
      <c r="AI13486" s="831">
        <v>0</v>
      </c>
      <c r="AJ13486" s="835">
        <v>41333</v>
      </c>
      <c r="AK13486" s="831">
        <v>3817884</v>
      </c>
    </row>
    <row r="13487" spans="2:37">
      <c r="B13487" s="834" t="str">
        <f t="shared" si="501"/>
        <v>|||</v>
      </c>
      <c r="H13487" s="835">
        <f t="shared" si="502"/>
        <v>31</v>
      </c>
      <c r="AF13487" s="831" t="s">
        <v>10762</v>
      </c>
      <c r="AG13487" s="831" t="s">
        <v>2674</v>
      </c>
      <c r="AH13487" s="831" t="s">
        <v>547</v>
      </c>
      <c r="AI13487" s="831">
        <v>0</v>
      </c>
      <c r="AJ13487" s="835">
        <v>41333</v>
      </c>
      <c r="AK13487" s="831">
        <v>511487760</v>
      </c>
    </row>
    <row r="13488" spans="2:37">
      <c r="B13488" s="834" t="str">
        <f t="shared" si="501"/>
        <v>|||</v>
      </c>
      <c r="H13488" s="835">
        <f t="shared" si="502"/>
        <v>31</v>
      </c>
      <c r="AF13488" s="831" t="s">
        <v>10763</v>
      </c>
      <c r="AG13488" s="831" t="s">
        <v>2674</v>
      </c>
      <c r="AH13488" s="831" t="s">
        <v>548</v>
      </c>
      <c r="AI13488" s="831">
        <v>0</v>
      </c>
      <c r="AJ13488" s="835">
        <v>41333</v>
      </c>
      <c r="AK13488" s="831">
        <v>96883184</v>
      </c>
    </row>
    <row r="13489" spans="2:37">
      <c r="B13489" s="834" t="str">
        <f t="shared" si="501"/>
        <v>|||</v>
      </c>
      <c r="H13489" s="835">
        <f t="shared" si="502"/>
        <v>31</v>
      </c>
      <c r="AF13489" s="831" t="s">
        <v>10764</v>
      </c>
      <c r="AG13489" s="831" t="s">
        <v>2674</v>
      </c>
      <c r="AH13489" s="831" t="s">
        <v>549</v>
      </c>
      <c r="AI13489" s="831">
        <v>0</v>
      </c>
      <c r="AJ13489" s="835">
        <v>41333</v>
      </c>
      <c r="AK13489" s="831">
        <v>0</v>
      </c>
    </row>
    <row r="13490" spans="2:37">
      <c r="B13490" s="834" t="str">
        <f t="shared" si="501"/>
        <v>|||</v>
      </c>
      <c r="H13490" s="835">
        <f t="shared" si="502"/>
        <v>31</v>
      </c>
      <c r="AF13490" s="831" t="s">
        <v>10765</v>
      </c>
      <c r="AG13490" s="831" t="s">
        <v>2674</v>
      </c>
      <c r="AH13490" s="831" t="s">
        <v>192</v>
      </c>
      <c r="AI13490" s="831">
        <v>0</v>
      </c>
      <c r="AJ13490" s="835">
        <v>41333</v>
      </c>
      <c r="AK13490" s="831">
        <v>-11285954</v>
      </c>
    </row>
    <row r="13491" spans="2:37">
      <c r="B13491" s="834" t="str">
        <f t="shared" si="501"/>
        <v>|||</v>
      </c>
      <c r="H13491" s="835">
        <f t="shared" si="502"/>
        <v>31</v>
      </c>
      <c r="AF13491" s="831" t="s">
        <v>10766</v>
      </c>
      <c r="AG13491" s="831" t="s">
        <v>2674</v>
      </c>
      <c r="AH13491" s="831" t="s">
        <v>558</v>
      </c>
      <c r="AI13491" s="831">
        <v>0</v>
      </c>
      <c r="AJ13491" s="835">
        <v>41333</v>
      </c>
      <c r="AK13491" s="831">
        <v>423495069</v>
      </c>
    </row>
    <row r="13492" spans="2:37">
      <c r="B13492" s="834" t="str">
        <f t="shared" si="501"/>
        <v>|||</v>
      </c>
      <c r="H13492" s="835">
        <f t="shared" si="502"/>
        <v>31</v>
      </c>
      <c r="AF13492" s="831" t="s">
        <v>10767</v>
      </c>
      <c r="AG13492" s="831" t="s">
        <v>2674</v>
      </c>
      <c r="AH13492" s="831" t="s">
        <v>65</v>
      </c>
      <c r="AI13492" s="831">
        <v>0</v>
      </c>
      <c r="AJ13492" s="835">
        <v>41333</v>
      </c>
      <c r="AK13492" s="831">
        <v>18985748</v>
      </c>
    </row>
    <row r="13493" spans="2:37">
      <c r="B13493" s="834" t="str">
        <f t="shared" si="501"/>
        <v>|||</v>
      </c>
      <c r="H13493" s="835">
        <f t="shared" si="502"/>
        <v>31</v>
      </c>
      <c r="AF13493" s="831" t="s">
        <v>10768</v>
      </c>
      <c r="AG13493" s="831" t="s">
        <v>2674</v>
      </c>
      <c r="AH13493" s="831" t="s">
        <v>89</v>
      </c>
      <c r="AI13493" s="831">
        <v>0</v>
      </c>
      <c r="AJ13493" s="835">
        <v>41333</v>
      </c>
      <c r="AK13493" s="831">
        <v>127639</v>
      </c>
    </row>
    <row r="13494" spans="2:37">
      <c r="B13494" s="834" t="str">
        <f t="shared" si="501"/>
        <v>|||</v>
      </c>
      <c r="H13494" s="835">
        <f t="shared" si="502"/>
        <v>31</v>
      </c>
      <c r="AF13494" s="831" t="s">
        <v>10769</v>
      </c>
      <c r="AG13494" s="831" t="s">
        <v>2674</v>
      </c>
      <c r="AH13494" s="831" t="s">
        <v>557</v>
      </c>
      <c r="AI13494" s="831">
        <v>0</v>
      </c>
      <c r="AJ13494" s="835">
        <v>41333</v>
      </c>
      <c r="AK13494" s="831">
        <v>130995</v>
      </c>
    </row>
    <row r="13495" spans="2:37">
      <c r="B13495" s="834" t="str">
        <f t="shared" si="501"/>
        <v>|||</v>
      </c>
      <c r="H13495" s="835">
        <f t="shared" si="502"/>
        <v>31</v>
      </c>
      <c r="AF13495" s="831" t="s">
        <v>10770</v>
      </c>
      <c r="AG13495" s="831" t="s">
        <v>2674</v>
      </c>
      <c r="AH13495" s="831" t="s">
        <v>29</v>
      </c>
      <c r="AI13495" s="831">
        <v>0</v>
      </c>
      <c r="AJ13495" s="835">
        <v>41333</v>
      </c>
      <c r="AK13495" s="831">
        <v>2238797</v>
      </c>
    </row>
    <row r="13496" spans="2:37">
      <c r="B13496" s="834" t="str">
        <f t="shared" si="501"/>
        <v>|||</v>
      </c>
      <c r="H13496" s="835">
        <f t="shared" si="502"/>
        <v>31</v>
      </c>
      <c r="AF13496" s="831" t="s">
        <v>10771</v>
      </c>
      <c r="AG13496" s="831" t="s">
        <v>2674</v>
      </c>
      <c r="AH13496" s="831" t="s">
        <v>2688</v>
      </c>
      <c r="AI13496" s="831">
        <v>0</v>
      </c>
      <c r="AJ13496" s="835">
        <v>41333</v>
      </c>
      <c r="AK13496" s="831">
        <v>2647738</v>
      </c>
    </row>
    <row r="13497" spans="2:37">
      <c r="B13497" s="834" t="str">
        <f t="shared" si="501"/>
        <v>|||</v>
      </c>
      <c r="H13497" s="835">
        <f t="shared" si="502"/>
        <v>31</v>
      </c>
      <c r="AF13497" s="831" t="s">
        <v>10772</v>
      </c>
      <c r="AG13497" s="831" t="s">
        <v>2674</v>
      </c>
      <c r="AH13497" s="831" t="s">
        <v>556</v>
      </c>
      <c r="AI13497" s="831">
        <v>0</v>
      </c>
      <c r="AJ13497" s="835">
        <v>41333</v>
      </c>
      <c r="AK13497" s="831">
        <v>902857</v>
      </c>
    </row>
    <row r="13498" spans="2:37">
      <c r="B13498" s="834" t="str">
        <f t="shared" si="501"/>
        <v>|||</v>
      </c>
      <c r="H13498" s="835">
        <f t="shared" si="502"/>
        <v>31</v>
      </c>
      <c r="AF13498" s="831" t="s">
        <v>10773</v>
      </c>
      <c r="AG13498" s="831" t="s">
        <v>2674</v>
      </c>
      <c r="AH13498" s="831" t="s">
        <v>555</v>
      </c>
      <c r="AI13498" s="831">
        <v>0</v>
      </c>
      <c r="AJ13498" s="835">
        <v>41333</v>
      </c>
      <c r="AK13498" s="831">
        <v>267734690</v>
      </c>
    </row>
    <row r="13499" spans="2:37">
      <c r="B13499" s="834" t="str">
        <f t="shared" si="501"/>
        <v>|||</v>
      </c>
      <c r="H13499" s="835">
        <f t="shared" si="502"/>
        <v>31</v>
      </c>
      <c r="AF13499" s="831" t="s">
        <v>10774</v>
      </c>
      <c r="AG13499" s="831" t="s">
        <v>2674</v>
      </c>
      <c r="AH13499" s="831" t="s">
        <v>554</v>
      </c>
      <c r="AI13499" s="831">
        <v>0</v>
      </c>
      <c r="AJ13499" s="835">
        <v>41333</v>
      </c>
      <c r="AK13499" s="831">
        <v>272030190</v>
      </c>
    </row>
    <row r="13500" spans="2:37">
      <c r="B13500" s="834" t="str">
        <f t="shared" si="501"/>
        <v>|||</v>
      </c>
      <c r="H13500" s="835">
        <f t="shared" si="502"/>
        <v>31</v>
      </c>
      <c r="AF13500" s="831" t="s">
        <v>10775</v>
      </c>
      <c r="AG13500" s="831" t="s">
        <v>2674</v>
      </c>
      <c r="AH13500" s="831" t="s">
        <v>553</v>
      </c>
      <c r="AI13500" s="831">
        <v>0</v>
      </c>
      <c r="AJ13500" s="835">
        <v>41333</v>
      </c>
      <c r="AK13500" s="831">
        <v>0</v>
      </c>
    </row>
    <row r="13501" spans="2:37">
      <c r="B13501" s="834" t="str">
        <f t="shared" si="501"/>
        <v>|||</v>
      </c>
      <c r="H13501" s="835">
        <f t="shared" si="502"/>
        <v>31</v>
      </c>
      <c r="AF13501" s="831" t="s">
        <v>10776</v>
      </c>
      <c r="AG13501" s="831" t="s">
        <v>2674</v>
      </c>
      <c r="AH13501" s="831" t="s">
        <v>552</v>
      </c>
      <c r="AI13501" s="831">
        <v>0</v>
      </c>
      <c r="AJ13501" s="835">
        <v>41333</v>
      </c>
      <c r="AK13501" s="831">
        <v>0</v>
      </c>
    </row>
    <row r="13502" spans="2:37">
      <c r="B13502" s="834" t="str">
        <f t="shared" si="501"/>
        <v>|||</v>
      </c>
      <c r="H13502" s="835">
        <f t="shared" si="502"/>
        <v>31</v>
      </c>
      <c r="AF13502" s="831" t="s">
        <v>10777</v>
      </c>
      <c r="AG13502" s="831" t="s">
        <v>2674</v>
      </c>
      <c r="AH13502" s="831" t="s">
        <v>551</v>
      </c>
      <c r="AI13502" s="831">
        <v>0</v>
      </c>
      <c r="AJ13502" s="835">
        <v>41333</v>
      </c>
      <c r="AK13502" s="831">
        <v>1930398</v>
      </c>
    </row>
    <row r="13503" spans="2:37">
      <c r="B13503" s="834" t="str">
        <f t="shared" si="501"/>
        <v>|||</v>
      </c>
      <c r="H13503" s="835">
        <f t="shared" si="502"/>
        <v>31</v>
      </c>
      <c r="AF13503" s="831" t="s">
        <v>10778</v>
      </c>
      <c r="AG13503" s="831" t="s">
        <v>2674</v>
      </c>
      <c r="AH13503" s="831" t="s">
        <v>550</v>
      </c>
      <c r="AI13503" s="831">
        <v>0</v>
      </c>
      <c r="AJ13503" s="835">
        <v>41333</v>
      </c>
      <c r="AK13503" s="831">
        <v>96883184</v>
      </c>
    </row>
    <row r="13504" spans="2:37">
      <c r="B13504" s="834" t="str">
        <f t="shared" si="501"/>
        <v>|||</v>
      </c>
      <c r="H13504" s="835">
        <f t="shared" si="502"/>
        <v>31</v>
      </c>
      <c r="AF13504" s="831" t="s">
        <v>10779</v>
      </c>
      <c r="AG13504" s="831" t="s">
        <v>2674</v>
      </c>
      <c r="AH13504" s="831" t="s">
        <v>562</v>
      </c>
      <c r="AI13504" s="831">
        <v>0</v>
      </c>
      <c r="AJ13504" s="835">
        <v>41333</v>
      </c>
      <c r="AK13504" s="831">
        <v>0.78434999999999999</v>
      </c>
    </row>
    <row r="13505" spans="2:37">
      <c r="B13505" s="834" t="str">
        <f t="shared" si="501"/>
        <v>|||</v>
      </c>
      <c r="H13505" s="835">
        <f t="shared" si="502"/>
        <v>31</v>
      </c>
      <c r="AF13505" s="831" t="s">
        <v>10780</v>
      </c>
      <c r="AG13505" s="831" t="s">
        <v>2674</v>
      </c>
      <c r="AH13505" s="831" t="s">
        <v>2698</v>
      </c>
      <c r="AI13505" s="831">
        <v>0</v>
      </c>
      <c r="AJ13505" s="835">
        <v>41333</v>
      </c>
      <c r="AK13505" s="831">
        <v>0.78385000000000005</v>
      </c>
    </row>
    <row r="13506" spans="2:37">
      <c r="B13506" s="834" t="str">
        <f t="shared" si="501"/>
        <v>|||</v>
      </c>
      <c r="H13506" s="835">
        <f t="shared" si="502"/>
        <v>31</v>
      </c>
      <c r="AF13506" s="831" t="s">
        <v>10781</v>
      </c>
      <c r="AG13506" s="831" t="s">
        <v>2674</v>
      </c>
      <c r="AH13506" s="831" t="s">
        <v>560</v>
      </c>
      <c r="AI13506" s="831">
        <v>0</v>
      </c>
      <c r="AJ13506" s="835">
        <v>41333</v>
      </c>
      <c r="AK13506" s="831">
        <v>0.78410000000000002</v>
      </c>
    </row>
    <row r="13507" spans="2:37">
      <c r="B13507" s="834" t="str">
        <f t="shared" si="501"/>
        <v>|||</v>
      </c>
      <c r="H13507" s="835">
        <f t="shared" si="502"/>
        <v>31</v>
      </c>
      <c r="AF13507" s="831" t="s">
        <v>10782</v>
      </c>
      <c r="AG13507" s="831" t="s">
        <v>2674</v>
      </c>
      <c r="AH13507" s="831" t="s">
        <v>559</v>
      </c>
      <c r="AI13507" s="831">
        <v>0</v>
      </c>
      <c r="AJ13507" s="835">
        <v>41333</v>
      </c>
      <c r="AK13507" s="831">
        <v>0.78474583333333314</v>
      </c>
    </row>
    <row r="13508" spans="2:37">
      <c r="B13508" s="834" t="str">
        <f t="shared" si="501"/>
        <v>|||</v>
      </c>
      <c r="H13508" s="835">
        <f t="shared" si="502"/>
        <v>31</v>
      </c>
      <c r="AF13508" s="831" t="s">
        <v>10783</v>
      </c>
      <c r="AG13508" s="831" t="s">
        <v>2674</v>
      </c>
      <c r="AH13508" s="831" t="s">
        <v>568</v>
      </c>
      <c r="AI13508" s="831">
        <v>0</v>
      </c>
      <c r="AJ13508" s="835">
        <v>41333</v>
      </c>
      <c r="AK13508" s="831">
        <v>380181038.5</v>
      </c>
    </row>
    <row r="13509" spans="2:37">
      <c r="B13509" s="834" t="str">
        <f t="shared" si="501"/>
        <v>|||</v>
      </c>
      <c r="H13509" s="835">
        <f t="shared" si="502"/>
        <v>31</v>
      </c>
      <c r="AF13509" s="831" t="s">
        <v>10784</v>
      </c>
      <c r="AG13509" s="831" t="s">
        <v>2674</v>
      </c>
      <c r="AH13509" s="831" t="s">
        <v>569</v>
      </c>
      <c r="AI13509" s="831">
        <v>0</v>
      </c>
      <c r="AJ13509" s="835">
        <v>41333</v>
      </c>
      <c r="AK13509" s="831">
        <v>465288979.30000001</v>
      </c>
    </row>
    <row r="13510" spans="2:37">
      <c r="B13510" s="834" t="str">
        <f t="shared" si="501"/>
        <v>|||</v>
      </c>
      <c r="H13510" s="835">
        <f t="shared" si="502"/>
        <v>31</v>
      </c>
      <c r="AF13510" s="831" t="s">
        <v>10785</v>
      </c>
      <c r="AG13510" s="831" t="s">
        <v>2674</v>
      </c>
      <c r="AH13510" s="831" t="s">
        <v>570</v>
      </c>
      <c r="AI13510" s="831">
        <v>0</v>
      </c>
      <c r="AJ13510" s="835">
        <v>41333</v>
      </c>
      <c r="AK13510" s="831">
        <v>96636190.400000006</v>
      </c>
    </row>
    <row r="13511" spans="2:37">
      <c r="B13511" s="834" t="str">
        <f t="shared" si="501"/>
        <v>|||</v>
      </c>
      <c r="H13511" s="835">
        <f t="shared" si="502"/>
        <v>31</v>
      </c>
      <c r="AF13511" s="831" t="s">
        <v>10786</v>
      </c>
      <c r="AG13511" s="831" t="s">
        <v>2674</v>
      </c>
      <c r="AH13511" s="831" t="s">
        <v>571</v>
      </c>
      <c r="AI13511" s="831">
        <v>0</v>
      </c>
      <c r="AJ13511" s="835">
        <v>41333</v>
      </c>
      <c r="AK13511" s="831">
        <v>192024019</v>
      </c>
    </row>
    <row r="13512" spans="2:37">
      <c r="B13512" s="834" t="str">
        <f t="shared" si="501"/>
        <v>|||</v>
      </c>
      <c r="H13512" s="835">
        <f t="shared" si="502"/>
        <v>31</v>
      </c>
      <c r="AF13512" s="831" t="s">
        <v>10787</v>
      </c>
      <c r="AG13512" s="831" t="s">
        <v>2674</v>
      </c>
      <c r="AH13512" s="831" t="s">
        <v>573</v>
      </c>
      <c r="AI13512" s="831">
        <v>0</v>
      </c>
      <c r="AJ13512" s="835">
        <v>41333</v>
      </c>
      <c r="AK13512" s="831">
        <v>516277615.33333331</v>
      </c>
    </row>
    <row r="13513" spans="2:37">
      <c r="B13513" s="834" t="str">
        <f t="shared" si="501"/>
        <v>|||</v>
      </c>
      <c r="H13513" s="835">
        <f t="shared" si="502"/>
        <v>31</v>
      </c>
      <c r="AF13513" s="831" t="s">
        <v>10788</v>
      </c>
      <c r="AG13513" s="831" t="s">
        <v>2674</v>
      </c>
      <c r="AH13513" s="831" t="s">
        <v>574</v>
      </c>
      <c r="AI13513" s="831">
        <v>0</v>
      </c>
      <c r="AJ13513" s="835">
        <v>41333</v>
      </c>
      <c r="AK13513" s="831">
        <v>423329336.66666669</v>
      </c>
    </row>
    <row r="13514" spans="2:37">
      <c r="B13514" s="834" t="str">
        <f t="shared" si="501"/>
        <v>|||</v>
      </c>
      <c r="H13514" s="835">
        <f t="shared" si="502"/>
        <v>31</v>
      </c>
      <c r="AF13514" s="831" t="s">
        <v>10789</v>
      </c>
      <c r="AG13514" s="831" t="s">
        <v>2674</v>
      </c>
      <c r="AH13514" s="831" t="s">
        <v>575</v>
      </c>
      <c r="AI13514" s="831">
        <v>0</v>
      </c>
      <c r="AJ13514" s="835">
        <v>41333</v>
      </c>
      <c r="AK13514" s="831">
        <v>98875722</v>
      </c>
    </row>
    <row r="13515" spans="2:37">
      <c r="B13515" s="834" t="str">
        <f t="shared" si="501"/>
        <v>|||</v>
      </c>
      <c r="H13515" s="835">
        <f t="shared" si="502"/>
        <v>31</v>
      </c>
      <c r="AF13515" s="831" t="s">
        <v>10790</v>
      </c>
      <c r="AG13515" s="831" t="s">
        <v>2674</v>
      </c>
      <c r="AH13515" s="831" t="s">
        <v>576</v>
      </c>
      <c r="AI13515" s="831">
        <v>0</v>
      </c>
      <c r="AJ13515" s="835">
        <v>41333</v>
      </c>
      <c r="AK13515" s="831">
        <v>233427024</v>
      </c>
    </row>
    <row r="13516" spans="2:37">
      <c r="B13516" s="834" t="str">
        <f t="shared" si="501"/>
        <v>|||</v>
      </c>
      <c r="H13516" s="835">
        <f t="shared" si="502"/>
        <v>31</v>
      </c>
      <c r="AF13516" s="831" t="s">
        <v>10791</v>
      </c>
      <c r="AG13516" s="831" t="s">
        <v>2674</v>
      </c>
      <c r="AH13516" s="831" t="s">
        <v>572</v>
      </c>
      <c r="AI13516" s="831">
        <v>0</v>
      </c>
      <c r="AJ13516" s="835">
        <v>41333</v>
      </c>
      <c r="AK13516" s="831">
        <v>-2146826246</v>
      </c>
    </row>
    <row r="13517" spans="2:37">
      <c r="B13517" s="834" t="str">
        <f t="shared" si="501"/>
        <v>|||</v>
      </c>
      <c r="H13517" s="835">
        <f t="shared" si="502"/>
        <v>31</v>
      </c>
      <c r="AF13517" s="831" t="s">
        <v>10792</v>
      </c>
      <c r="AG13517" s="831" t="s">
        <v>2674</v>
      </c>
      <c r="AH13517" s="831" t="s">
        <v>577</v>
      </c>
      <c r="AI13517" s="831">
        <v>0</v>
      </c>
      <c r="AJ13517" s="835">
        <v>41333</v>
      </c>
      <c r="AK13517" s="831">
        <v>-2146826246</v>
      </c>
    </row>
    <row r="13518" spans="2:37">
      <c r="B13518" s="834" t="str">
        <f t="shared" si="501"/>
        <v>|||</v>
      </c>
      <c r="H13518" s="835">
        <f t="shared" si="502"/>
        <v>31</v>
      </c>
      <c r="AF13518" s="831" t="s">
        <v>10793</v>
      </c>
      <c r="AG13518" s="831" t="s">
        <v>2674</v>
      </c>
      <c r="AH13518" s="831" t="s">
        <v>3042</v>
      </c>
      <c r="AI13518" s="831">
        <v>0</v>
      </c>
      <c r="AJ13518" s="835">
        <v>41333</v>
      </c>
      <c r="AK13518" s="831">
        <v>-2146826246</v>
      </c>
    </row>
    <row r="13519" spans="2:37">
      <c r="B13519" s="834" t="str">
        <f t="shared" si="501"/>
        <v>|||</v>
      </c>
      <c r="H13519" s="835">
        <f t="shared" si="502"/>
        <v>31</v>
      </c>
      <c r="AF13519" s="831" t="s">
        <v>10794</v>
      </c>
      <c r="AG13519" s="831" t="s">
        <v>2674</v>
      </c>
      <c r="AH13519" s="831" t="s">
        <v>3044</v>
      </c>
      <c r="AI13519" s="831">
        <v>0</v>
      </c>
      <c r="AJ13519" s="835">
        <v>41333</v>
      </c>
      <c r="AK13519" s="831">
        <v>-2146826246</v>
      </c>
    </row>
    <row r="13520" spans="2:37">
      <c r="B13520" s="834" t="str">
        <f t="shared" si="501"/>
        <v>|||</v>
      </c>
      <c r="H13520" s="835">
        <f t="shared" si="502"/>
        <v>31</v>
      </c>
      <c r="AF13520" s="831" t="s">
        <v>10795</v>
      </c>
      <c r="AG13520" s="831" t="s">
        <v>2674</v>
      </c>
      <c r="AH13520" s="831" t="s">
        <v>580</v>
      </c>
      <c r="AI13520" s="831">
        <v>0</v>
      </c>
      <c r="AJ13520" s="835">
        <v>41333</v>
      </c>
      <c r="AK13520" s="831">
        <v>-2146826246</v>
      </c>
    </row>
    <row r="13521" spans="2:37">
      <c r="B13521" s="834" t="str">
        <f t="shared" ref="B13521:B13584" si="503">C13521&amp;"|"&amp;D13521&amp;"|"&amp;E13521&amp;"|"&amp;F13521</f>
        <v>|||</v>
      </c>
      <c r="H13521" s="835">
        <f t="shared" ref="H13521:H13584" si="504">EOMONTH(L13521,0)</f>
        <v>31</v>
      </c>
      <c r="AF13521" s="831" t="s">
        <v>10796</v>
      </c>
      <c r="AG13521" s="831" t="s">
        <v>2674</v>
      </c>
      <c r="AH13521" s="831" t="s">
        <v>581</v>
      </c>
      <c r="AI13521" s="831">
        <v>0</v>
      </c>
      <c r="AJ13521" s="835">
        <v>41333</v>
      </c>
      <c r="AK13521" s="831">
        <v>-2146826246</v>
      </c>
    </row>
    <row r="13522" spans="2:37">
      <c r="B13522" s="834" t="str">
        <f t="shared" si="503"/>
        <v>|||</v>
      </c>
      <c r="H13522" s="835">
        <f t="shared" si="504"/>
        <v>31</v>
      </c>
      <c r="AF13522" s="831" t="s">
        <v>10797</v>
      </c>
      <c r="AG13522" s="831" t="s">
        <v>2674</v>
      </c>
      <c r="AH13522" s="831" t="s">
        <v>105</v>
      </c>
      <c r="AI13522" s="831">
        <v>0</v>
      </c>
      <c r="AJ13522" s="835">
        <v>41333</v>
      </c>
      <c r="AK13522" s="831">
        <v>232996335</v>
      </c>
    </row>
    <row r="13523" spans="2:37">
      <c r="B13523" s="834" t="str">
        <f t="shared" si="503"/>
        <v>|||</v>
      </c>
      <c r="H13523" s="835">
        <f t="shared" si="504"/>
        <v>31</v>
      </c>
      <c r="AF13523" s="831" t="s">
        <v>10798</v>
      </c>
      <c r="AG13523" s="831" t="s">
        <v>2674</v>
      </c>
      <c r="AH13523" s="831" t="s">
        <v>3049</v>
      </c>
      <c r="AI13523" s="831">
        <v>0</v>
      </c>
      <c r="AJ13523" s="835">
        <v>41333</v>
      </c>
      <c r="AK13523" s="831">
        <v>409742104</v>
      </c>
    </row>
    <row r="13524" spans="2:37">
      <c r="B13524" s="834" t="str">
        <f t="shared" si="503"/>
        <v>|||</v>
      </c>
      <c r="H13524" s="835">
        <f t="shared" si="504"/>
        <v>31</v>
      </c>
      <c r="AF13524" s="831" t="s">
        <v>10799</v>
      </c>
      <c r="AG13524" s="831" t="s">
        <v>2674</v>
      </c>
      <c r="AH13524" s="831" t="s">
        <v>103</v>
      </c>
      <c r="AI13524" s="831">
        <v>0</v>
      </c>
      <c r="AJ13524" s="835">
        <v>41333</v>
      </c>
      <c r="AK13524" s="831">
        <v>176745769</v>
      </c>
    </row>
    <row r="13525" spans="2:37">
      <c r="B13525" s="834" t="str">
        <f t="shared" si="503"/>
        <v>|||</v>
      </c>
      <c r="H13525" s="835">
        <f t="shared" si="504"/>
        <v>31</v>
      </c>
      <c r="AF13525" s="831" t="s">
        <v>10800</v>
      </c>
      <c r="AG13525" s="831" t="s">
        <v>2674</v>
      </c>
      <c r="AH13525" s="831" t="s">
        <v>182</v>
      </c>
      <c r="AI13525" s="831">
        <v>0</v>
      </c>
      <c r="AJ13525" s="835">
        <v>41333</v>
      </c>
      <c r="AK13525" s="831">
        <v>55637232</v>
      </c>
    </row>
    <row r="13526" spans="2:37">
      <c r="B13526" s="834" t="str">
        <f t="shared" si="503"/>
        <v>|||</v>
      </c>
      <c r="H13526" s="835">
        <f t="shared" si="504"/>
        <v>31</v>
      </c>
      <c r="AF13526" s="831" t="s">
        <v>10801</v>
      </c>
      <c r="AG13526" s="831" t="s">
        <v>2674</v>
      </c>
      <c r="AH13526" s="831" t="s">
        <v>6600</v>
      </c>
      <c r="AI13526" s="831">
        <v>0</v>
      </c>
      <c r="AJ13526" s="835">
        <v>41333</v>
      </c>
      <c r="AK13526" s="831">
        <v>-2146826246</v>
      </c>
    </row>
    <row r="13527" spans="2:37">
      <c r="B13527" s="834" t="str">
        <f t="shared" si="503"/>
        <v>|||</v>
      </c>
      <c r="H13527" s="835">
        <f t="shared" si="504"/>
        <v>31</v>
      </c>
      <c r="AF13527" s="831" t="s">
        <v>10802</v>
      </c>
      <c r="AG13527" s="831" t="s">
        <v>2674</v>
      </c>
      <c r="AH13527" s="831" t="s">
        <v>6602</v>
      </c>
      <c r="AI13527" s="831">
        <v>0</v>
      </c>
      <c r="AJ13527" s="835">
        <v>41333</v>
      </c>
      <c r="AK13527" s="831">
        <v>3817884</v>
      </c>
    </row>
    <row r="13528" spans="2:37">
      <c r="B13528" s="834" t="str">
        <f t="shared" si="503"/>
        <v>|||</v>
      </c>
      <c r="H13528" s="835">
        <f t="shared" si="504"/>
        <v>31</v>
      </c>
      <c r="AF13528" s="831" t="s">
        <v>10803</v>
      </c>
      <c r="AG13528" s="831" t="s">
        <v>2674</v>
      </c>
      <c r="AH13528" s="831" t="s">
        <v>650</v>
      </c>
      <c r="AI13528" s="831">
        <v>0</v>
      </c>
      <c r="AJ13528" s="835">
        <v>41333</v>
      </c>
      <c r="AK13528" s="831">
        <v>163723555.30000001</v>
      </c>
    </row>
    <row r="13529" spans="2:37">
      <c r="B13529" s="834" t="str">
        <f t="shared" si="503"/>
        <v>|||</v>
      </c>
      <c r="H13529" s="835">
        <f t="shared" si="504"/>
        <v>31</v>
      </c>
      <c r="AF13529" s="831" t="s">
        <v>10804</v>
      </c>
      <c r="AG13529" s="831" t="s">
        <v>2674</v>
      </c>
      <c r="AH13529" s="831" t="s">
        <v>655</v>
      </c>
      <c r="AI13529" s="831">
        <v>0</v>
      </c>
      <c r="AJ13529" s="835">
        <v>41333</v>
      </c>
      <c r="AK13529" s="831">
        <v>1851569</v>
      </c>
    </row>
    <row r="13530" spans="2:37">
      <c r="B13530" s="834" t="str">
        <f t="shared" si="503"/>
        <v>|||</v>
      </c>
      <c r="H13530" s="835">
        <f t="shared" si="504"/>
        <v>31</v>
      </c>
      <c r="AF13530" s="831" t="s">
        <v>10805</v>
      </c>
      <c r="AG13530" s="831" t="s">
        <v>2674</v>
      </c>
      <c r="AH13530" s="831" t="s">
        <v>546</v>
      </c>
      <c r="AI13530" s="831">
        <v>0</v>
      </c>
      <c r="AJ13530" s="835">
        <v>41364</v>
      </c>
      <c r="AK13530" s="831">
        <v>455655641</v>
      </c>
    </row>
    <row r="13531" spans="2:37">
      <c r="B13531" s="834" t="str">
        <f t="shared" si="503"/>
        <v>|||</v>
      </c>
      <c r="H13531" s="835">
        <f t="shared" si="504"/>
        <v>31</v>
      </c>
      <c r="AF13531" s="831" t="s">
        <v>10806</v>
      </c>
      <c r="AG13531" s="831" t="s">
        <v>2674</v>
      </c>
      <c r="AH13531" s="831" t="s">
        <v>370</v>
      </c>
      <c r="AI13531" s="831">
        <v>0</v>
      </c>
      <c r="AJ13531" s="835">
        <v>41364</v>
      </c>
      <c r="AK13531" s="831">
        <v>548973661</v>
      </c>
    </row>
    <row r="13532" spans="2:37">
      <c r="B13532" s="834" t="str">
        <f t="shared" si="503"/>
        <v>|||</v>
      </c>
      <c r="H13532" s="835">
        <f t="shared" si="504"/>
        <v>31</v>
      </c>
      <c r="AF13532" s="831" t="s">
        <v>10807</v>
      </c>
      <c r="AG13532" s="831" t="s">
        <v>2674</v>
      </c>
      <c r="AH13532" s="831" t="s">
        <v>126</v>
      </c>
      <c r="AI13532" s="831">
        <v>0</v>
      </c>
      <c r="AJ13532" s="835">
        <v>41364</v>
      </c>
      <c r="AK13532" s="831">
        <v>100809389</v>
      </c>
    </row>
    <row r="13533" spans="2:37">
      <c r="B13533" s="834" t="str">
        <f t="shared" si="503"/>
        <v>|||</v>
      </c>
      <c r="H13533" s="835">
        <f t="shared" si="504"/>
        <v>31</v>
      </c>
      <c r="AF13533" s="831" t="s">
        <v>10808</v>
      </c>
      <c r="AG13533" s="831" t="s">
        <v>2674</v>
      </c>
      <c r="AH13533" s="831" t="s">
        <v>268</v>
      </c>
      <c r="AI13533" s="831">
        <v>0</v>
      </c>
      <c r="AJ13533" s="835">
        <v>41364</v>
      </c>
      <c r="AK13533" s="831">
        <v>6046166</v>
      </c>
    </row>
    <row r="13534" spans="2:37">
      <c r="B13534" s="834" t="str">
        <f t="shared" si="503"/>
        <v>|||</v>
      </c>
      <c r="H13534" s="835">
        <f t="shared" si="504"/>
        <v>31</v>
      </c>
      <c r="AF13534" s="831" t="s">
        <v>10809</v>
      </c>
      <c r="AG13534" s="831" t="s">
        <v>2674</v>
      </c>
      <c r="AH13534" s="831" t="s">
        <v>547</v>
      </c>
      <c r="AI13534" s="831">
        <v>0</v>
      </c>
      <c r="AJ13534" s="835">
        <v>41364</v>
      </c>
      <c r="AK13534" s="831">
        <v>511487760</v>
      </c>
    </row>
    <row r="13535" spans="2:37">
      <c r="B13535" s="834" t="str">
        <f t="shared" si="503"/>
        <v>|||</v>
      </c>
      <c r="H13535" s="835">
        <f t="shared" si="504"/>
        <v>31</v>
      </c>
      <c r="AF13535" s="831" t="s">
        <v>10810</v>
      </c>
      <c r="AG13535" s="831" t="s">
        <v>2674</v>
      </c>
      <c r="AH13535" s="831" t="s">
        <v>548</v>
      </c>
      <c r="AI13535" s="831">
        <v>0</v>
      </c>
      <c r="AJ13535" s="835">
        <v>41364</v>
      </c>
      <c r="AK13535" s="831">
        <v>96883184</v>
      </c>
    </row>
    <row r="13536" spans="2:37">
      <c r="B13536" s="834" t="str">
        <f t="shared" si="503"/>
        <v>|||</v>
      </c>
      <c r="H13536" s="835">
        <f t="shared" si="504"/>
        <v>31</v>
      </c>
      <c r="AF13536" s="831" t="s">
        <v>10811</v>
      </c>
      <c r="AG13536" s="831" t="s">
        <v>2674</v>
      </c>
      <c r="AH13536" s="831" t="s">
        <v>549</v>
      </c>
      <c r="AI13536" s="831">
        <v>0</v>
      </c>
      <c r="AJ13536" s="835">
        <v>41364</v>
      </c>
      <c r="AK13536" s="831">
        <v>0</v>
      </c>
    </row>
    <row r="13537" spans="2:37">
      <c r="B13537" s="834" t="str">
        <f t="shared" si="503"/>
        <v>|||</v>
      </c>
      <c r="H13537" s="835">
        <f t="shared" si="504"/>
        <v>31</v>
      </c>
      <c r="AF13537" s="831" t="s">
        <v>10812</v>
      </c>
      <c r="AG13537" s="831" t="s">
        <v>2674</v>
      </c>
      <c r="AH13537" s="831" t="s">
        <v>192</v>
      </c>
      <c r="AI13537" s="831">
        <v>0</v>
      </c>
      <c r="AJ13537" s="835">
        <v>41364</v>
      </c>
      <c r="AK13537" s="831">
        <v>-11725074</v>
      </c>
    </row>
    <row r="13538" spans="2:37">
      <c r="B13538" s="834" t="str">
        <f t="shared" si="503"/>
        <v>|||</v>
      </c>
      <c r="H13538" s="835">
        <f t="shared" si="504"/>
        <v>31</v>
      </c>
      <c r="AF13538" s="831" t="s">
        <v>10813</v>
      </c>
      <c r="AG13538" s="831" t="s">
        <v>2674</v>
      </c>
      <c r="AH13538" s="831" t="s">
        <v>558</v>
      </c>
      <c r="AI13538" s="831">
        <v>0</v>
      </c>
      <c r="AJ13538" s="835">
        <v>41364</v>
      </c>
      <c r="AK13538" s="831">
        <v>448164272</v>
      </c>
    </row>
    <row r="13539" spans="2:37">
      <c r="B13539" s="834" t="str">
        <f t="shared" si="503"/>
        <v>|||</v>
      </c>
      <c r="H13539" s="835">
        <f t="shared" si="504"/>
        <v>31</v>
      </c>
      <c r="AF13539" s="831" t="s">
        <v>10814</v>
      </c>
      <c r="AG13539" s="831" t="s">
        <v>2674</v>
      </c>
      <c r="AH13539" s="831" t="s">
        <v>65</v>
      </c>
      <c r="AI13539" s="831">
        <v>0</v>
      </c>
      <c r="AJ13539" s="835">
        <v>41364</v>
      </c>
      <c r="AK13539" s="831">
        <v>27883165</v>
      </c>
    </row>
    <row r="13540" spans="2:37">
      <c r="B13540" s="834" t="str">
        <f t="shared" si="503"/>
        <v>|||</v>
      </c>
      <c r="H13540" s="835">
        <f t="shared" si="504"/>
        <v>31</v>
      </c>
      <c r="AF13540" s="831" t="s">
        <v>10815</v>
      </c>
      <c r="AG13540" s="831" t="s">
        <v>2674</v>
      </c>
      <c r="AH13540" s="831" t="s">
        <v>89</v>
      </c>
      <c r="AI13540" s="831">
        <v>0</v>
      </c>
      <c r="AJ13540" s="835">
        <v>41364</v>
      </c>
      <c r="AK13540" s="831">
        <v>129296</v>
      </c>
    </row>
    <row r="13541" spans="2:37">
      <c r="B13541" s="834" t="str">
        <f t="shared" si="503"/>
        <v>|||</v>
      </c>
      <c r="H13541" s="835">
        <f t="shared" si="504"/>
        <v>31</v>
      </c>
      <c r="AF13541" s="831" t="s">
        <v>10816</v>
      </c>
      <c r="AG13541" s="831" t="s">
        <v>2674</v>
      </c>
      <c r="AH13541" s="831" t="s">
        <v>557</v>
      </c>
      <c r="AI13541" s="831">
        <v>0</v>
      </c>
      <c r="AJ13541" s="835">
        <v>41364</v>
      </c>
      <c r="AK13541" s="831">
        <v>133005</v>
      </c>
    </row>
    <row r="13542" spans="2:37">
      <c r="B13542" s="834" t="str">
        <f t="shared" si="503"/>
        <v>|||</v>
      </c>
      <c r="H13542" s="835">
        <f t="shared" si="504"/>
        <v>31</v>
      </c>
      <c r="AF13542" s="831" t="s">
        <v>10817</v>
      </c>
      <c r="AG13542" s="831" t="s">
        <v>2674</v>
      </c>
      <c r="AH13542" s="831" t="s">
        <v>29</v>
      </c>
      <c r="AI13542" s="831">
        <v>0</v>
      </c>
      <c r="AJ13542" s="835">
        <v>41364</v>
      </c>
      <c r="AK13542" s="831">
        <v>2674773</v>
      </c>
    </row>
    <row r="13543" spans="2:37">
      <c r="B13543" s="834" t="str">
        <f t="shared" si="503"/>
        <v>|||</v>
      </c>
      <c r="H13543" s="835">
        <f t="shared" si="504"/>
        <v>31</v>
      </c>
      <c r="AF13543" s="831" t="s">
        <v>10818</v>
      </c>
      <c r="AG13543" s="831" t="s">
        <v>2674</v>
      </c>
      <c r="AH13543" s="831" t="s">
        <v>2688</v>
      </c>
      <c r="AI13543" s="831">
        <v>0</v>
      </c>
      <c r="AJ13543" s="835">
        <v>41364</v>
      </c>
      <c r="AK13543" s="831">
        <v>2715490</v>
      </c>
    </row>
    <row r="13544" spans="2:37">
      <c r="B13544" s="834" t="str">
        <f t="shared" si="503"/>
        <v>|||</v>
      </c>
      <c r="H13544" s="835">
        <f t="shared" si="504"/>
        <v>31</v>
      </c>
      <c r="AF13544" s="831" t="s">
        <v>10819</v>
      </c>
      <c r="AG13544" s="831" t="s">
        <v>2674</v>
      </c>
      <c r="AH13544" s="831" t="s">
        <v>556</v>
      </c>
      <c r="AI13544" s="831">
        <v>0</v>
      </c>
      <c r="AJ13544" s="835">
        <v>41364</v>
      </c>
      <c r="AK13544" s="831">
        <v>902857</v>
      </c>
    </row>
    <row r="13545" spans="2:37">
      <c r="B13545" s="834" t="str">
        <f t="shared" si="503"/>
        <v>|||</v>
      </c>
      <c r="H13545" s="835">
        <f t="shared" si="504"/>
        <v>31</v>
      </c>
      <c r="AF13545" s="831" t="s">
        <v>10820</v>
      </c>
      <c r="AG13545" s="831" t="s">
        <v>2674</v>
      </c>
      <c r="AH13545" s="831" t="s">
        <v>555</v>
      </c>
      <c r="AI13545" s="831">
        <v>0</v>
      </c>
      <c r="AJ13545" s="835">
        <v>41364</v>
      </c>
      <c r="AK13545" s="831">
        <v>285158930</v>
      </c>
    </row>
    <row r="13546" spans="2:37">
      <c r="B13546" s="834" t="str">
        <f t="shared" si="503"/>
        <v>|||</v>
      </c>
      <c r="H13546" s="835">
        <f t="shared" si="504"/>
        <v>31</v>
      </c>
      <c r="AF13546" s="831" t="s">
        <v>10821</v>
      </c>
      <c r="AG13546" s="831" t="s">
        <v>2674</v>
      </c>
      <c r="AH13546" s="831" t="s">
        <v>554</v>
      </c>
      <c r="AI13546" s="831">
        <v>0</v>
      </c>
      <c r="AJ13546" s="835">
        <v>41364</v>
      </c>
      <c r="AK13546" s="831">
        <v>281381290</v>
      </c>
    </row>
    <row r="13547" spans="2:37">
      <c r="B13547" s="834" t="str">
        <f t="shared" si="503"/>
        <v>|||</v>
      </c>
      <c r="H13547" s="835">
        <f t="shared" si="504"/>
        <v>31</v>
      </c>
      <c r="AF13547" s="831" t="s">
        <v>10822</v>
      </c>
      <c r="AG13547" s="831" t="s">
        <v>2674</v>
      </c>
      <c r="AH13547" s="831" t="s">
        <v>553</v>
      </c>
      <c r="AI13547" s="831">
        <v>0</v>
      </c>
      <c r="AJ13547" s="835">
        <v>41364</v>
      </c>
      <c r="AK13547" s="831">
        <v>0</v>
      </c>
    </row>
    <row r="13548" spans="2:37">
      <c r="B13548" s="834" t="str">
        <f t="shared" si="503"/>
        <v>|||</v>
      </c>
      <c r="H13548" s="835">
        <f t="shared" si="504"/>
        <v>31</v>
      </c>
      <c r="AF13548" s="831" t="s">
        <v>10823</v>
      </c>
      <c r="AG13548" s="831" t="s">
        <v>2674</v>
      </c>
      <c r="AH13548" s="831" t="s">
        <v>552</v>
      </c>
      <c r="AI13548" s="831">
        <v>0</v>
      </c>
      <c r="AJ13548" s="835">
        <v>41364</v>
      </c>
      <c r="AK13548" s="831">
        <v>0</v>
      </c>
    </row>
    <row r="13549" spans="2:37">
      <c r="B13549" s="834" t="str">
        <f t="shared" si="503"/>
        <v>|||</v>
      </c>
      <c r="H13549" s="835">
        <f t="shared" si="504"/>
        <v>31</v>
      </c>
      <c r="AF13549" s="831" t="s">
        <v>10824</v>
      </c>
      <c r="AG13549" s="831" t="s">
        <v>2674</v>
      </c>
      <c r="AH13549" s="831" t="s">
        <v>551</v>
      </c>
      <c r="AI13549" s="831">
        <v>0</v>
      </c>
      <c r="AJ13549" s="835">
        <v>41364</v>
      </c>
      <c r="AK13549" s="831">
        <v>2175856</v>
      </c>
    </row>
    <row r="13550" spans="2:37">
      <c r="B13550" s="834" t="str">
        <f t="shared" si="503"/>
        <v>|||</v>
      </c>
      <c r="H13550" s="835">
        <f t="shared" si="504"/>
        <v>31</v>
      </c>
      <c r="AF13550" s="831" t="s">
        <v>10825</v>
      </c>
      <c r="AG13550" s="831" t="s">
        <v>2674</v>
      </c>
      <c r="AH13550" s="831" t="s">
        <v>550</v>
      </c>
      <c r="AI13550" s="831">
        <v>0</v>
      </c>
      <c r="AJ13550" s="835">
        <v>41364</v>
      </c>
      <c r="AK13550" s="831">
        <v>98581107</v>
      </c>
    </row>
    <row r="13551" spans="2:37">
      <c r="B13551" s="834" t="str">
        <f t="shared" si="503"/>
        <v>|||</v>
      </c>
      <c r="H13551" s="835">
        <f t="shared" si="504"/>
        <v>31</v>
      </c>
      <c r="AF13551" s="831" t="s">
        <v>10826</v>
      </c>
      <c r="AG13551" s="831" t="s">
        <v>2674</v>
      </c>
      <c r="AH13551" s="831" t="s">
        <v>562</v>
      </c>
      <c r="AI13551" s="831">
        <v>0</v>
      </c>
      <c r="AJ13551" s="835">
        <v>41364</v>
      </c>
      <c r="AK13551" s="831">
        <v>0.78425</v>
      </c>
    </row>
    <row r="13552" spans="2:37">
      <c r="B13552" s="834" t="str">
        <f t="shared" si="503"/>
        <v>|||</v>
      </c>
      <c r="H13552" s="835">
        <f t="shared" si="504"/>
        <v>31</v>
      </c>
      <c r="AF13552" s="831" t="s">
        <v>10827</v>
      </c>
      <c r="AG13552" s="831" t="s">
        <v>2674</v>
      </c>
      <c r="AH13552" s="831" t="s">
        <v>2698</v>
      </c>
      <c r="AI13552" s="831">
        <v>0</v>
      </c>
      <c r="AJ13552" s="835">
        <v>41364</v>
      </c>
      <c r="AK13552" s="831">
        <v>0.78434999999999999</v>
      </c>
    </row>
    <row r="13553" spans="2:37">
      <c r="B13553" s="834" t="str">
        <f t="shared" si="503"/>
        <v>|||</v>
      </c>
      <c r="H13553" s="835">
        <f t="shared" si="504"/>
        <v>31</v>
      </c>
      <c r="AF13553" s="831" t="s">
        <v>10828</v>
      </c>
      <c r="AG13553" s="831" t="s">
        <v>2674</v>
      </c>
      <c r="AH13553" s="831" t="s">
        <v>560</v>
      </c>
      <c r="AI13553" s="831">
        <v>0</v>
      </c>
      <c r="AJ13553" s="835">
        <v>41364</v>
      </c>
      <c r="AK13553" s="831">
        <v>0.78415000000000001</v>
      </c>
    </row>
    <row r="13554" spans="2:37">
      <c r="B13554" s="834" t="str">
        <f t="shared" si="503"/>
        <v>|||</v>
      </c>
      <c r="H13554" s="835">
        <f t="shared" si="504"/>
        <v>31</v>
      </c>
      <c r="AF13554" s="831" t="s">
        <v>10829</v>
      </c>
      <c r="AG13554" s="831" t="s">
        <v>2674</v>
      </c>
      <c r="AH13554" s="831" t="s">
        <v>559</v>
      </c>
      <c r="AI13554" s="831">
        <v>0</v>
      </c>
      <c r="AJ13554" s="835">
        <v>41364</v>
      </c>
      <c r="AK13554" s="831">
        <v>0.78459166666666669</v>
      </c>
    </row>
    <row r="13555" spans="2:37">
      <c r="B13555" s="834" t="str">
        <f t="shared" si="503"/>
        <v>|||</v>
      </c>
      <c r="H13555" s="835">
        <f t="shared" si="504"/>
        <v>31</v>
      </c>
      <c r="AF13555" s="831" t="s">
        <v>10830</v>
      </c>
      <c r="AG13555" s="831" t="s">
        <v>2674</v>
      </c>
      <c r="AH13555" s="831" t="s">
        <v>568</v>
      </c>
      <c r="AI13555" s="831">
        <v>0</v>
      </c>
      <c r="AJ13555" s="835">
        <v>41364</v>
      </c>
      <c r="AK13555" s="831">
        <v>387042366</v>
      </c>
    </row>
    <row r="13556" spans="2:37">
      <c r="B13556" s="834" t="str">
        <f t="shared" si="503"/>
        <v>|||</v>
      </c>
      <c r="H13556" s="835">
        <f t="shared" si="504"/>
        <v>31</v>
      </c>
      <c r="AF13556" s="831" t="s">
        <v>10831</v>
      </c>
      <c r="AG13556" s="831" t="s">
        <v>2674</v>
      </c>
      <c r="AH13556" s="831" t="s">
        <v>569</v>
      </c>
      <c r="AI13556" s="831">
        <v>0</v>
      </c>
      <c r="AJ13556" s="835">
        <v>41364</v>
      </c>
      <c r="AK13556" s="831">
        <v>472896677.63636363</v>
      </c>
    </row>
    <row r="13557" spans="2:37">
      <c r="B13557" s="834" t="str">
        <f t="shared" si="503"/>
        <v>|||</v>
      </c>
      <c r="H13557" s="835">
        <f t="shared" si="504"/>
        <v>31</v>
      </c>
      <c r="AF13557" s="831" t="s">
        <v>10832</v>
      </c>
      <c r="AG13557" s="831" t="s">
        <v>2674</v>
      </c>
      <c r="AH13557" s="831" t="s">
        <v>570</v>
      </c>
      <c r="AI13557" s="831">
        <v>0</v>
      </c>
      <c r="AJ13557" s="835">
        <v>41364</v>
      </c>
      <c r="AK13557" s="831">
        <v>97015572.090909094</v>
      </c>
    </row>
    <row r="13558" spans="2:37">
      <c r="B13558" s="834" t="str">
        <f t="shared" si="503"/>
        <v>|||</v>
      </c>
      <c r="H13558" s="835">
        <f t="shared" si="504"/>
        <v>31</v>
      </c>
      <c r="AF13558" s="831" t="s">
        <v>10833</v>
      </c>
      <c r="AG13558" s="831" t="s">
        <v>2674</v>
      </c>
      <c r="AH13558" s="831" t="s">
        <v>571</v>
      </c>
      <c r="AI13558" s="831">
        <v>0</v>
      </c>
      <c r="AJ13558" s="835">
        <v>41364</v>
      </c>
      <c r="AK13558" s="831">
        <v>197450778.09090909</v>
      </c>
    </row>
    <row r="13559" spans="2:37">
      <c r="B13559" s="834" t="str">
        <f t="shared" si="503"/>
        <v>|||</v>
      </c>
      <c r="H13559" s="835">
        <f t="shared" si="504"/>
        <v>31</v>
      </c>
      <c r="AF13559" s="831" t="s">
        <v>10834</v>
      </c>
      <c r="AG13559" s="831" t="s">
        <v>2674</v>
      </c>
      <c r="AH13559" s="831" t="s">
        <v>573</v>
      </c>
      <c r="AI13559" s="831">
        <v>0</v>
      </c>
      <c r="AJ13559" s="835">
        <v>41364</v>
      </c>
      <c r="AK13559" s="831">
        <v>524451626.75</v>
      </c>
    </row>
    <row r="13560" spans="2:37">
      <c r="B13560" s="834" t="str">
        <f t="shared" si="503"/>
        <v>|||</v>
      </c>
      <c r="H13560" s="835">
        <f t="shared" si="504"/>
        <v>31</v>
      </c>
      <c r="AF13560" s="831" t="s">
        <v>10835</v>
      </c>
      <c r="AG13560" s="831" t="s">
        <v>2674</v>
      </c>
      <c r="AH13560" s="831" t="s">
        <v>574</v>
      </c>
      <c r="AI13560" s="831">
        <v>0</v>
      </c>
      <c r="AJ13560" s="835">
        <v>41364</v>
      </c>
      <c r="AK13560" s="831">
        <v>431410912.75</v>
      </c>
    </row>
    <row r="13561" spans="2:37">
      <c r="B13561" s="834" t="str">
        <f t="shared" si="503"/>
        <v>|||</v>
      </c>
      <c r="H13561" s="835">
        <f t="shared" si="504"/>
        <v>31</v>
      </c>
      <c r="AF13561" s="831" t="s">
        <v>10836</v>
      </c>
      <c r="AG13561" s="831" t="s">
        <v>2674</v>
      </c>
      <c r="AH13561" s="831" t="s">
        <v>575</v>
      </c>
      <c r="AI13561" s="831">
        <v>0</v>
      </c>
      <c r="AJ13561" s="835">
        <v>41364</v>
      </c>
      <c r="AK13561" s="831">
        <v>99359138.75</v>
      </c>
    </row>
    <row r="13562" spans="2:37">
      <c r="B13562" s="834" t="str">
        <f t="shared" si="503"/>
        <v>|||</v>
      </c>
      <c r="H13562" s="835">
        <f t="shared" si="504"/>
        <v>31</v>
      </c>
      <c r="AF13562" s="831" t="s">
        <v>10837</v>
      </c>
      <c r="AG13562" s="831" t="s">
        <v>2674</v>
      </c>
      <c r="AH13562" s="831" t="s">
        <v>576</v>
      </c>
      <c r="AI13562" s="831">
        <v>0</v>
      </c>
      <c r="AJ13562" s="835">
        <v>41364</v>
      </c>
      <c r="AK13562" s="831">
        <v>237999860.25</v>
      </c>
    </row>
    <row r="13563" spans="2:37">
      <c r="B13563" s="834" t="str">
        <f t="shared" si="503"/>
        <v>|||</v>
      </c>
      <c r="H13563" s="835">
        <f t="shared" si="504"/>
        <v>31</v>
      </c>
      <c r="AF13563" s="831" t="s">
        <v>10838</v>
      </c>
      <c r="AG13563" s="831" t="s">
        <v>2674</v>
      </c>
      <c r="AH13563" s="831" t="s">
        <v>572</v>
      </c>
      <c r="AI13563" s="831">
        <v>0</v>
      </c>
      <c r="AJ13563" s="835">
        <v>41364</v>
      </c>
      <c r="AK13563" s="831">
        <v>-2146826246</v>
      </c>
    </row>
    <row r="13564" spans="2:37">
      <c r="B13564" s="834" t="str">
        <f t="shared" si="503"/>
        <v>|||</v>
      </c>
      <c r="H13564" s="835">
        <f t="shared" si="504"/>
        <v>31</v>
      </c>
      <c r="AF13564" s="831" t="s">
        <v>10839</v>
      </c>
      <c r="AG13564" s="831" t="s">
        <v>2674</v>
      </c>
      <c r="AH13564" s="831" t="s">
        <v>577</v>
      </c>
      <c r="AI13564" s="831">
        <v>0</v>
      </c>
      <c r="AJ13564" s="835">
        <v>41364</v>
      </c>
      <c r="AK13564" s="831">
        <v>-2146826246</v>
      </c>
    </row>
    <row r="13565" spans="2:37">
      <c r="B13565" s="834" t="str">
        <f t="shared" si="503"/>
        <v>|||</v>
      </c>
      <c r="H13565" s="835">
        <f t="shared" si="504"/>
        <v>31</v>
      </c>
      <c r="AF13565" s="831" t="s">
        <v>10840</v>
      </c>
      <c r="AG13565" s="831" t="s">
        <v>2674</v>
      </c>
      <c r="AH13565" s="831" t="s">
        <v>3042</v>
      </c>
      <c r="AI13565" s="831">
        <v>0</v>
      </c>
      <c r="AJ13565" s="835">
        <v>41364</v>
      </c>
      <c r="AK13565" s="831">
        <v>-2146826246</v>
      </c>
    </row>
    <row r="13566" spans="2:37">
      <c r="B13566" s="834" t="str">
        <f t="shared" si="503"/>
        <v>|||</v>
      </c>
      <c r="H13566" s="835">
        <f t="shared" si="504"/>
        <v>31</v>
      </c>
      <c r="AF13566" s="831" t="s">
        <v>10841</v>
      </c>
      <c r="AG13566" s="831" t="s">
        <v>2674</v>
      </c>
      <c r="AH13566" s="831" t="s">
        <v>3044</v>
      </c>
      <c r="AI13566" s="831">
        <v>0</v>
      </c>
      <c r="AJ13566" s="835">
        <v>41364</v>
      </c>
      <c r="AK13566" s="831">
        <v>-2146826246</v>
      </c>
    </row>
    <row r="13567" spans="2:37">
      <c r="B13567" s="834" t="str">
        <f t="shared" si="503"/>
        <v>|||</v>
      </c>
      <c r="H13567" s="835">
        <f t="shared" si="504"/>
        <v>31</v>
      </c>
      <c r="AF13567" s="831" t="s">
        <v>10842</v>
      </c>
      <c r="AG13567" s="831" t="s">
        <v>2674</v>
      </c>
      <c r="AH13567" s="831" t="s">
        <v>580</v>
      </c>
      <c r="AI13567" s="831">
        <v>0</v>
      </c>
      <c r="AJ13567" s="835">
        <v>41364</v>
      </c>
      <c r="AK13567" s="831">
        <v>-2146826246</v>
      </c>
    </row>
    <row r="13568" spans="2:37">
      <c r="B13568" s="834" t="str">
        <f t="shared" si="503"/>
        <v>|||</v>
      </c>
      <c r="H13568" s="835">
        <f t="shared" si="504"/>
        <v>31</v>
      </c>
      <c r="AF13568" s="831" t="s">
        <v>10843</v>
      </c>
      <c r="AG13568" s="831" t="s">
        <v>2674</v>
      </c>
      <c r="AH13568" s="831" t="s">
        <v>581</v>
      </c>
      <c r="AI13568" s="831">
        <v>0</v>
      </c>
      <c r="AJ13568" s="835">
        <v>41364</v>
      </c>
      <c r="AK13568" s="831">
        <v>-2146826246</v>
      </c>
    </row>
    <row r="13569" spans="2:37">
      <c r="B13569" s="834" t="str">
        <f t="shared" si="503"/>
        <v>|||</v>
      </c>
      <c r="H13569" s="835">
        <f t="shared" si="504"/>
        <v>31</v>
      </c>
      <c r="AF13569" s="831" t="s">
        <v>10844</v>
      </c>
      <c r="AG13569" s="831" t="s">
        <v>2674</v>
      </c>
      <c r="AH13569" s="831" t="s">
        <v>105</v>
      </c>
      <c r="AI13569" s="831">
        <v>0</v>
      </c>
      <c r="AJ13569" s="835">
        <v>41364</v>
      </c>
      <c r="AK13569" s="831">
        <v>251718369</v>
      </c>
    </row>
    <row r="13570" spans="2:37">
      <c r="B13570" s="834" t="str">
        <f t="shared" si="503"/>
        <v>|||</v>
      </c>
      <c r="H13570" s="835">
        <f t="shared" si="504"/>
        <v>31</v>
      </c>
      <c r="AF13570" s="831" t="s">
        <v>10845</v>
      </c>
      <c r="AG13570" s="831" t="s">
        <v>2674</v>
      </c>
      <c r="AH13570" s="831" t="s">
        <v>3049</v>
      </c>
      <c r="AI13570" s="831">
        <v>0</v>
      </c>
      <c r="AJ13570" s="835">
        <v>41364</v>
      </c>
      <c r="AK13570" s="831">
        <v>433573874</v>
      </c>
    </row>
    <row r="13571" spans="2:37">
      <c r="B13571" s="834" t="str">
        <f t="shared" si="503"/>
        <v>|||</v>
      </c>
      <c r="H13571" s="835">
        <f t="shared" si="504"/>
        <v>31</v>
      </c>
      <c r="AF13571" s="831" t="s">
        <v>10846</v>
      </c>
      <c r="AG13571" s="831" t="s">
        <v>2674</v>
      </c>
      <c r="AH13571" s="831" t="s">
        <v>103</v>
      </c>
      <c r="AI13571" s="831">
        <v>0</v>
      </c>
      <c r="AJ13571" s="835">
        <v>41364</v>
      </c>
      <c r="AK13571" s="831">
        <v>181855505</v>
      </c>
    </row>
    <row r="13572" spans="2:37">
      <c r="B13572" s="834" t="str">
        <f t="shared" si="503"/>
        <v>|||</v>
      </c>
      <c r="H13572" s="835">
        <f t="shared" si="504"/>
        <v>31</v>
      </c>
      <c r="AF13572" s="831" t="s">
        <v>10847</v>
      </c>
      <c r="AG13572" s="831" t="s">
        <v>2674</v>
      </c>
      <c r="AH13572" s="831" t="s">
        <v>182</v>
      </c>
      <c r="AI13572" s="831">
        <v>0</v>
      </c>
      <c r="AJ13572" s="835">
        <v>41364</v>
      </c>
      <c r="AK13572" s="831">
        <v>54931936</v>
      </c>
    </row>
    <row r="13573" spans="2:37">
      <c r="B13573" s="834" t="str">
        <f t="shared" si="503"/>
        <v>|||</v>
      </c>
      <c r="H13573" s="835">
        <f t="shared" si="504"/>
        <v>31</v>
      </c>
      <c r="AF13573" s="831" t="s">
        <v>10848</v>
      </c>
      <c r="AG13573" s="831" t="s">
        <v>2674</v>
      </c>
      <c r="AH13573" s="831" t="s">
        <v>6600</v>
      </c>
      <c r="AI13573" s="831">
        <v>0</v>
      </c>
      <c r="AJ13573" s="835">
        <v>41364</v>
      </c>
      <c r="AK13573" s="831">
        <v>-2146826246</v>
      </c>
    </row>
    <row r="13574" spans="2:37">
      <c r="B13574" s="834" t="str">
        <f t="shared" si="503"/>
        <v>|||</v>
      </c>
      <c r="H13574" s="835">
        <f t="shared" si="504"/>
        <v>31</v>
      </c>
      <c r="AF13574" s="831" t="s">
        <v>10849</v>
      </c>
      <c r="AG13574" s="831" t="s">
        <v>2674</v>
      </c>
      <c r="AH13574" s="831" t="s">
        <v>6602</v>
      </c>
      <c r="AI13574" s="831">
        <v>0</v>
      </c>
      <c r="AJ13574" s="835">
        <v>41364</v>
      </c>
      <c r="AK13574" s="831">
        <v>6046166</v>
      </c>
    </row>
    <row r="13575" spans="2:37">
      <c r="B13575" s="834" t="str">
        <f t="shared" si="503"/>
        <v>|||</v>
      </c>
      <c r="H13575" s="835">
        <f t="shared" si="504"/>
        <v>31</v>
      </c>
      <c r="AF13575" s="831" t="s">
        <v>10850</v>
      </c>
      <c r="AG13575" s="831" t="s">
        <v>2674</v>
      </c>
      <c r="AH13575" s="831" t="s">
        <v>650</v>
      </c>
      <c r="AI13575" s="831">
        <v>0</v>
      </c>
      <c r="AJ13575" s="835">
        <v>41364</v>
      </c>
      <c r="AK13575" s="831">
        <v>165371914.36363637</v>
      </c>
    </row>
    <row r="13576" spans="2:37">
      <c r="B13576" s="834" t="str">
        <f t="shared" si="503"/>
        <v>|||</v>
      </c>
      <c r="H13576" s="835">
        <f t="shared" si="504"/>
        <v>31</v>
      </c>
      <c r="AF13576" s="831" t="s">
        <v>10851</v>
      </c>
      <c r="AG13576" s="831" t="s">
        <v>2674</v>
      </c>
      <c r="AH13576" s="831" t="s">
        <v>655</v>
      </c>
      <c r="AI13576" s="831">
        <v>0</v>
      </c>
      <c r="AJ13576" s="835">
        <v>41364</v>
      </c>
      <c r="AK13576" s="831">
        <v>1831184</v>
      </c>
    </row>
    <row r="13577" spans="2:37">
      <c r="B13577" s="834" t="str">
        <f t="shared" si="503"/>
        <v>|||</v>
      </c>
      <c r="H13577" s="835">
        <f t="shared" si="504"/>
        <v>31</v>
      </c>
      <c r="AF13577" s="831" t="s">
        <v>10852</v>
      </c>
      <c r="AG13577" s="831" t="s">
        <v>2674</v>
      </c>
      <c r="AH13577" s="831" t="s">
        <v>546</v>
      </c>
      <c r="AI13577" s="831">
        <v>0</v>
      </c>
      <c r="AJ13577" s="835">
        <v>41394</v>
      </c>
      <c r="AK13577" s="831">
        <v>479771222</v>
      </c>
    </row>
    <row r="13578" spans="2:37">
      <c r="B13578" s="834" t="str">
        <f t="shared" si="503"/>
        <v>|||</v>
      </c>
      <c r="H13578" s="835">
        <f t="shared" si="504"/>
        <v>31</v>
      </c>
      <c r="AF13578" s="831" t="s">
        <v>10853</v>
      </c>
      <c r="AG13578" s="831" t="s">
        <v>2674</v>
      </c>
      <c r="AH13578" s="831" t="s">
        <v>370</v>
      </c>
      <c r="AI13578" s="831">
        <v>0</v>
      </c>
      <c r="AJ13578" s="835">
        <v>41394</v>
      </c>
      <c r="AK13578" s="831">
        <v>566329383</v>
      </c>
    </row>
    <row r="13579" spans="2:37">
      <c r="B13579" s="834" t="str">
        <f t="shared" si="503"/>
        <v>|||</v>
      </c>
      <c r="H13579" s="835">
        <f t="shared" si="504"/>
        <v>31</v>
      </c>
      <c r="AF13579" s="831" t="s">
        <v>10854</v>
      </c>
      <c r="AG13579" s="831" t="s">
        <v>2674</v>
      </c>
      <c r="AH13579" s="831" t="s">
        <v>126</v>
      </c>
      <c r="AI13579" s="831">
        <v>0</v>
      </c>
      <c r="AJ13579" s="835">
        <v>41394</v>
      </c>
      <c r="AK13579" s="831">
        <v>103327866</v>
      </c>
    </row>
    <row r="13580" spans="2:37">
      <c r="B13580" s="834" t="str">
        <f t="shared" si="503"/>
        <v>|||</v>
      </c>
      <c r="H13580" s="835">
        <f t="shared" si="504"/>
        <v>31</v>
      </c>
      <c r="AF13580" s="831" t="s">
        <v>10855</v>
      </c>
      <c r="AG13580" s="831" t="s">
        <v>2674</v>
      </c>
      <c r="AH13580" s="831" t="s">
        <v>268</v>
      </c>
      <c r="AI13580" s="831">
        <v>0</v>
      </c>
      <c r="AJ13580" s="835">
        <v>41394</v>
      </c>
      <c r="AK13580" s="831">
        <v>8564643</v>
      </c>
    </row>
    <row r="13581" spans="2:37">
      <c r="B13581" s="834" t="str">
        <f t="shared" si="503"/>
        <v>|||</v>
      </c>
      <c r="H13581" s="835">
        <f t="shared" si="504"/>
        <v>31</v>
      </c>
      <c r="AF13581" s="831" t="s">
        <v>10856</v>
      </c>
      <c r="AG13581" s="831" t="s">
        <v>2674</v>
      </c>
      <c r="AH13581" s="831" t="s">
        <v>547</v>
      </c>
      <c r="AI13581" s="831">
        <v>0</v>
      </c>
      <c r="AJ13581" s="835">
        <v>41394</v>
      </c>
      <c r="AK13581" s="831">
        <v>511487760</v>
      </c>
    </row>
    <row r="13582" spans="2:37">
      <c r="B13582" s="834" t="str">
        <f t="shared" si="503"/>
        <v>|||</v>
      </c>
      <c r="H13582" s="835">
        <f t="shared" si="504"/>
        <v>31</v>
      </c>
      <c r="AF13582" s="831" t="s">
        <v>10857</v>
      </c>
      <c r="AG13582" s="831" t="s">
        <v>2674</v>
      </c>
      <c r="AH13582" s="831" t="s">
        <v>548</v>
      </c>
      <c r="AI13582" s="831">
        <v>0</v>
      </c>
      <c r="AJ13582" s="835">
        <v>41394</v>
      </c>
      <c r="AK13582" s="831">
        <v>96883184</v>
      </c>
    </row>
    <row r="13583" spans="2:37">
      <c r="B13583" s="834" t="str">
        <f t="shared" si="503"/>
        <v>|||</v>
      </c>
      <c r="H13583" s="835">
        <f t="shared" si="504"/>
        <v>31</v>
      </c>
      <c r="AF13583" s="831" t="s">
        <v>10858</v>
      </c>
      <c r="AG13583" s="831" t="s">
        <v>2674</v>
      </c>
      <c r="AH13583" s="831" t="s">
        <v>549</v>
      </c>
      <c r="AI13583" s="831">
        <v>0</v>
      </c>
      <c r="AJ13583" s="835">
        <v>41394</v>
      </c>
      <c r="AK13583" s="831">
        <v>0</v>
      </c>
    </row>
    <row r="13584" spans="2:37">
      <c r="B13584" s="834" t="str">
        <f t="shared" si="503"/>
        <v>|||</v>
      </c>
      <c r="H13584" s="835">
        <f t="shared" si="504"/>
        <v>31</v>
      </c>
      <c r="AF13584" s="831" t="s">
        <v>10859</v>
      </c>
      <c r="AG13584" s="831" t="s">
        <v>2674</v>
      </c>
      <c r="AH13584" s="831" t="s">
        <v>192</v>
      </c>
      <c r="AI13584" s="831">
        <v>0</v>
      </c>
      <c r="AJ13584" s="835">
        <v>41394</v>
      </c>
      <c r="AK13584" s="831">
        <v>-12137335</v>
      </c>
    </row>
    <row r="13585" spans="2:37">
      <c r="B13585" s="834" t="str">
        <f t="shared" ref="B13585:B13648" si="505">C13585&amp;"|"&amp;D13585&amp;"|"&amp;E13585&amp;"|"&amp;F13585</f>
        <v>|||</v>
      </c>
      <c r="H13585" s="835">
        <f t="shared" ref="H13585:H13648" si="506">EOMONTH(L13585,0)</f>
        <v>31</v>
      </c>
      <c r="AF13585" s="831" t="s">
        <v>10860</v>
      </c>
      <c r="AG13585" s="831" t="s">
        <v>2674</v>
      </c>
      <c r="AH13585" s="831" t="s">
        <v>558</v>
      </c>
      <c r="AI13585" s="831">
        <v>0</v>
      </c>
      <c r="AJ13585" s="835">
        <v>41394</v>
      </c>
      <c r="AK13585" s="831">
        <v>463001517</v>
      </c>
    </row>
    <row r="13586" spans="2:37">
      <c r="B13586" s="834" t="str">
        <f t="shared" si="505"/>
        <v>|||</v>
      </c>
      <c r="H13586" s="835">
        <f t="shared" si="506"/>
        <v>31</v>
      </c>
      <c r="AF13586" s="831" t="s">
        <v>10861</v>
      </c>
      <c r="AG13586" s="831" t="s">
        <v>2674</v>
      </c>
      <c r="AH13586" s="831" t="s">
        <v>65</v>
      </c>
      <c r="AI13586" s="831">
        <v>0</v>
      </c>
      <c r="AJ13586" s="835">
        <v>41394</v>
      </c>
      <c r="AK13586" s="831">
        <v>38829477</v>
      </c>
    </row>
    <row r="13587" spans="2:37">
      <c r="B13587" s="834" t="str">
        <f t="shared" si="505"/>
        <v>|||</v>
      </c>
      <c r="H13587" s="835">
        <f t="shared" si="506"/>
        <v>31</v>
      </c>
      <c r="AF13587" s="831" t="s">
        <v>10862</v>
      </c>
      <c r="AG13587" s="831" t="s">
        <v>2674</v>
      </c>
      <c r="AH13587" s="831" t="s">
        <v>89</v>
      </c>
      <c r="AI13587" s="831">
        <v>0</v>
      </c>
      <c r="AJ13587" s="835">
        <v>41394</v>
      </c>
      <c r="AK13587" s="831">
        <v>132126</v>
      </c>
    </row>
    <row r="13588" spans="2:37">
      <c r="B13588" s="834" t="str">
        <f t="shared" si="505"/>
        <v>|||</v>
      </c>
      <c r="H13588" s="835">
        <f t="shared" si="506"/>
        <v>31</v>
      </c>
      <c r="AF13588" s="831" t="s">
        <v>10863</v>
      </c>
      <c r="AG13588" s="831" t="s">
        <v>2674</v>
      </c>
      <c r="AH13588" s="831" t="s">
        <v>557</v>
      </c>
      <c r="AI13588" s="831">
        <v>0</v>
      </c>
      <c r="AJ13588" s="835">
        <v>41394</v>
      </c>
      <c r="AK13588" s="831">
        <v>135969</v>
      </c>
    </row>
    <row r="13589" spans="2:37">
      <c r="B13589" s="834" t="str">
        <f t="shared" si="505"/>
        <v>|||</v>
      </c>
      <c r="H13589" s="835">
        <f t="shared" si="506"/>
        <v>31</v>
      </c>
      <c r="AF13589" s="831" t="s">
        <v>10864</v>
      </c>
      <c r="AG13589" s="831" t="s">
        <v>2674</v>
      </c>
      <c r="AH13589" s="831" t="s">
        <v>29</v>
      </c>
      <c r="AI13589" s="831">
        <v>0</v>
      </c>
      <c r="AJ13589" s="835">
        <v>41394</v>
      </c>
      <c r="AK13589" s="831">
        <v>3183810</v>
      </c>
    </row>
    <row r="13590" spans="2:37">
      <c r="B13590" s="834" t="str">
        <f t="shared" si="505"/>
        <v>|||</v>
      </c>
      <c r="H13590" s="835">
        <f t="shared" si="506"/>
        <v>31</v>
      </c>
      <c r="AF13590" s="831" t="s">
        <v>10865</v>
      </c>
      <c r="AG13590" s="831" t="s">
        <v>2674</v>
      </c>
      <c r="AH13590" s="831" t="s">
        <v>2688</v>
      </c>
      <c r="AI13590" s="831">
        <v>0</v>
      </c>
      <c r="AJ13590" s="835">
        <v>41394</v>
      </c>
      <c r="AK13590" s="831">
        <v>2795249</v>
      </c>
    </row>
    <row r="13591" spans="2:37">
      <c r="B13591" s="834" t="str">
        <f t="shared" si="505"/>
        <v>|||</v>
      </c>
      <c r="H13591" s="835">
        <f t="shared" si="506"/>
        <v>31</v>
      </c>
      <c r="AF13591" s="831" t="s">
        <v>10866</v>
      </c>
      <c r="AG13591" s="831" t="s">
        <v>2674</v>
      </c>
      <c r="AH13591" s="831" t="s">
        <v>556</v>
      </c>
      <c r="AI13591" s="831">
        <v>0</v>
      </c>
      <c r="AJ13591" s="835">
        <v>41394</v>
      </c>
      <c r="AK13591" s="831">
        <v>902857</v>
      </c>
    </row>
    <row r="13592" spans="2:37">
      <c r="B13592" s="834" t="str">
        <f t="shared" si="505"/>
        <v>|||</v>
      </c>
      <c r="H13592" s="835">
        <f t="shared" si="506"/>
        <v>31</v>
      </c>
      <c r="AF13592" s="831" t="s">
        <v>10867</v>
      </c>
      <c r="AG13592" s="831" t="s">
        <v>2674</v>
      </c>
      <c r="AH13592" s="831" t="s">
        <v>555</v>
      </c>
      <c r="AI13592" s="831">
        <v>0</v>
      </c>
      <c r="AJ13592" s="835">
        <v>41394</v>
      </c>
      <c r="AK13592" s="831">
        <v>292199280</v>
      </c>
    </row>
    <row r="13593" spans="2:37">
      <c r="B13593" s="834" t="str">
        <f t="shared" si="505"/>
        <v>|||</v>
      </c>
      <c r="H13593" s="835">
        <f t="shared" si="506"/>
        <v>31</v>
      </c>
      <c r="AF13593" s="831" t="s">
        <v>10868</v>
      </c>
      <c r="AG13593" s="831" t="s">
        <v>2674</v>
      </c>
      <c r="AH13593" s="831" t="s">
        <v>554</v>
      </c>
      <c r="AI13593" s="831">
        <v>0</v>
      </c>
      <c r="AJ13593" s="835">
        <v>41394</v>
      </c>
      <c r="AK13593" s="831">
        <v>282835760</v>
      </c>
    </row>
    <row r="13594" spans="2:37">
      <c r="B13594" s="834" t="str">
        <f t="shared" si="505"/>
        <v>|||</v>
      </c>
      <c r="H13594" s="835">
        <f t="shared" si="506"/>
        <v>31</v>
      </c>
      <c r="AF13594" s="831" t="s">
        <v>10869</v>
      </c>
      <c r="AG13594" s="831" t="s">
        <v>2674</v>
      </c>
      <c r="AH13594" s="831" t="s">
        <v>553</v>
      </c>
      <c r="AI13594" s="831">
        <v>0</v>
      </c>
      <c r="AJ13594" s="835">
        <v>41394</v>
      </c>
      <c r="AK13594" s="831">
        <v>0</v>
      </c>
    </row>
    <row r="13595" spans="2:37">
      <c r="B13595" s="834" t="str">
        <f t="shared" si="505"/>
        <v>|||</v>
      </c>
      <c r="H13595" s="835">
        <f t="shared" si="506"/>
        <v>31</v>
      </c>
      <c r="AF13595" s="831" t="s">
        <v>10870</v>
      </c>
      <c r="AG13595" s="831" t="s">
        <v>2674</v>
      </c>
      <c r="AH13595" s="831" t="s">
        <v>552</v>
      </c>
      <c r="AI13595" s="831">
        <v>0</v>
      </c>
      <c r="AJ13595" s="835">
        <v>41394</v>
      </c>
      <c r="AK13595" s="831">
        <v>0</v>
      </c>
    </row>
    <row r="13596" spans="2:37">
      <c r="B13596" s="834" t="str">
        <f t="shared" si="505"/>
        <v>|||</v>
      </c>
      <c r="H13596" s="835">
        <f t="shared" si="506"/>
        <v>31</v>
      </c>
      <c r="AF13596" s="831" t="s">
        <v>10871</v>
      </c>
      <c r="AG13596" s="831" t="s">
        <v>2674</v>
      </c>
      <c r="AH13596" s="831" t="s">
        <v>551</v>
      </c>
      <c r="AI13596" s="831">
        <v>0</v>
      </c>
      <c r="AJ13596" s="835">
        <v>41394</v>
      </c>
      <c r="AK13596" s="831">
        <v>3073568</v>
      </c>
    </row>
    <row r="13597" spans="2:37">
      <c r="B13597" s="834" t="str">
        <f t="shared" si="505"/>
        <v>|||</v>
      </c>
      <c r="H13597" s="835">
        <f t="shared" si="506"/>
        <v>31</v>
      </c>
      <c r="AF13597" s="831" t="s">
        <v>10872</v>
      </c>
      <c r="AG13597" s="831" t="s">
        <v>2674</v>
      </c>
      <c r="AH13597" s="831" t="s">
        <v>550</v>
      </c>
      <c r="AI13597" s="831">
        <v>0</v>
      </c>
      <c r="AJ13597" s="835">
        <v>41394</v>
      </c>
      <c r="AK13597" s="831">
        <v>100809389</v>
      </c>
    </row>
    <row r="13598" spans="2:37">
      <c r="B13598" s="834" t="str">
        <f t="shared" si="505"/>
        <v>|||</v>
      </c>
      <c r="H13598" s="835">
        <f t="shared" si="506"/>
        <v>31</v>
      </c>
      <c r="AF13598" s="831" t="s">
        <v>10873</v>
      </c>
      <c r="AG13598" s="831" t="s">
        <v>2674</v>
      </c>
      <c r="AH13598" s="831" t="s">
        <v>562</v>
      </c>
      <c r="AI13598" s="831">
        <v>0</v>
      </c>
      <c r="AJ13598" s="835">
        <v>41394</v>
      </c>
      <c r="AK13598" s="831">
        <v>0.78405000000000002</v>
      </c>
    </row>
    <row r="13599" spans="2:37">
      <c r="B13599" s="834" t="str">
        <f t="shared" si="505"/>
        <v>|||</v>
      </c>
      <c r="H13599" s="835">
        <f t="shared" si="506"/>
        <v>31</v>
      </c>
      <c r="AF13599" s="831" t="s">
        <v>10874</v>
      </c>
      <c r="AG13599" s="831" t="s">
        <v>2674</v>
      </c>
      <c r="AH13599" s="831" t="s">
        <v>2698</v>
      </c>
      <c r="AI13599" s="831">
        <v>0</v>
      </c>
      <c r="AJ13599" s="835">
        <v>41394</v>
      </c>
      <c r="AK13599" s="831">
        <v>0.78425</v>
      </c>
    </row>
    <row r="13600" spans="2:37">
      <c r="B13600" s="834" t="str">
        <f t="shared" si="505"/>
        <v>|||</v>
      </c>
      <c r="H13600" s="835">
        <f t="shared" si="506"/>
        <v>31</v>
      </c>
      <c r="AF13600" s="831" t="s">
        <v>10875</v>
      </c>
      <c r="AG13600" s="831" t="s">
        <v>2674</v>
      </c>
      <c r="AH13600" s="831" t="s">
        <v>560</v>
      </c>
      <c r="AI13600" s="831">
        <v>0</v>
      </c>
      <c r="AJ13600" s="835">
        <v>41394</v>
      </c>
      <c r="AK13600" s="831">
        <v>0.78412500000000007</v>
      </c>
    </row>
    <row r="13601" spans="2:37">
      <c r="B13601" s="834" t="str">
        <f t="shared" si="505"/>
        <v>|||</v>
      </c>
      <c r="H13601" s="835">
        <f t="shared" si="506"/>
        <v>31</v>
      </c>
      <c r="AF13601" s="831" t="s">
        <v>10876</v>
      </c>
      <c r="AG13601" s="831" t="s">
        <v>2674</v>
      </c>
      <c r="AH13601" s="831" t="s">
        <v>559</v>
      </c>
      <c r="AI13601" s="831">
        <v>0</v>
      </c>
      <c r="AJ13601" s="835">
        <v>41394</v>
      </c>
      <c r="AK13601" s="831">
        <v>0.78444166666666681</v>
      </c>
    </row>
    <row r="13602" spans="2:37">
      <c r="B13602" s="834" t="str">
        <f t="shared" si="505"/>
        <v>|||</v>
      </c>
      <c r="H13602" s="835">
        <f t="shared" si="506"/>
        <v>31</v>
      </c>
      <c r="AF13602" s="831" t="s">
        <v>10877</v>
      </c>
      <c r="AG13602" s="831" t="s">
        <v>2674</v>
      </c>
      <c r="AH13602" s="831" t="s">
        <v>568</v>
      </c>
      <c r="AI13602" s="831">
        <v>0</v>
      </c>
      <c r="AJ13602" s="835">
        <v>41394</v>
      </c>
      <c r="AK13602" s="831">
        <v>394769770.66666669</v>
      </c>
    </row>
    <row r="13603" spans="2:37">
      <c r="B13603" s="834" t="str">
        <f t="shared" si="505"/>
        <v>|||</v>
      </c>
      <c r="H13603" s="835">
        <f t="shared" si="506"/>
        <v>31</v>
      </c>
      <c r="AF13603" s="831" t="s">
        <v>10878</v>
      </c>
      <c r="AG13603" s="831" t="s">
        <v>2674</v>
      </c>
      <c r="AH13603" s="831" t="s">
        <v>569</v>
      </c>
      <c r="AI13603" s="831">
        <v>0</v>
      </c>
      <c r="AJ13603" s="835">
        <v>41394</v>
      </c>
      <c r="AK13603" s="831">
        <v>480682736.41666669</v>
      </c>
    </row>
    <row r="13604" spans="2:37">
      <c r="B13604" s="834" t="str">
        <f t="shared" si="505"/>
        <v>|||</v>
      </c>
      <c r="H13604" s="835">
        <f t="shared" si="506"/>
        <v>31</v>
      </c>
      <c r="AF13604" s="831" t="s">
        <v>10879</v>
      </c>
      <c r="AG13604" s="831" t="s">
        <v>2674</v>
      </c>
      <c r="AH13604" s="831" t="s">
        <v>570</v>
      </c>
      <c r="AI13604" s="831">
        <v>0</v>
      </c>
      <c r="AJ13604" s="835">
        <v>41394</v>
      </c>
      <c r="AK13604" s="831">
        <v>97541596.583333328</v>
      </c>
    </row>
    <row r="13605" spans="2:37">
      <c r="B13605" s="834" t="str">
        <f t="shared" si="505"/>
        <v>|||</v>
      </c>
      <c r="H13605" s="835">
        <f t="shared" si="506"/>
        <v>31</v>
      </c>
      <c r="AF13605" s="831" t="s">
        <v>10880</v>
      </c>
      <c r="AG13605" s="831" t="s">
        <v>2674</v>
      </c>
      <c r="AH13605" s="831" t="s">
        <v>571</v>
      </c>
      <c r="AI13605" s="831">
        <v>0</v>
      </c>
      <c r="AJ13605" s="835">
        <v>41394</v>
      </c>
      <c r="AK13605" s="831">
        <v>202392383.16666666</v>
      </c>
    </row>
    <row r="13606" spans="2:37">
      <c r="B13606" s="834" t="str">
        <f t="shared" si="505"/>
        <v>|||</v>
      </c>
      <c r="H13606" s="835">
        <f t="shared" si="506"/>
        <v>31</v>
      </c>
      <c r="AF13606" s="831" t="s">
        <v>10881</v>
      </c>
      <c r="AG13606" s="831" t="s">
        <v>2674</v>
      </c>
      <c r="AH13606" s="831" t="s">
        <v>573</v>
      </c>
      <c r="AI13606" s="831">
        <v>0</v>
      </c>
      <c r="AJ13606" s="835">
        <v>41394</v>
      </c>
      <c r="AK13606" s="831">
        <v>532827178</v>
      </c>
    </row>
    <row r="13607" spans="2:37">
      <c r="B13607" s="834" t="str">
        <f t="shared" si="505"/>
        <v>|||</v>
      </c>
      <c r="H13607" s="835">
        <f t="shared" si="506"/>
        <v>31</v>
      </c>
      <c r="AF13607" s="831" t="s">
        <v>10882</v>
      </c>
      <c r="AG13607" s="831" t="s">
        <v>2674</v>
      </c>
      <c r="AH13607" s="831" t="s">
        <v>574</v>
      </c>
      <c r="AI13607" s="831">
        <v>0</v>
      </c>
      <c r="AJ13607" s="835">
        <v>41394</v>
      </c>
      <c r="AK13607" s="831">
        <v>441082974.60000002</v>
      </c>
    </row>
    <row r="13608" spans="2:37">
      <c r="B13608" s="834" t="str">
        <f t="shared" si="505"/>
        <v>|||</v>
      </c>
      <c r="H13608" s="835">
        <f t="shared" si="506"/>
        <v>31</v>
      </c>
      <c r="AF13608" s="831" t="s">
        <v>10883</v>
      </c>
      <c r="AG13608" s="831" t="s">
        <v>2674</v>
      </c>
      <c r="AH13608" s="831" t="s">
        <v>575</v>
      </c>
      <c r="AI13608" s="831">
        <v>0</v>
      </c>
      <c r="AJ13608" s="835">
        <v>41394</v>
      </c>
      <c r="AK13608" s="831">
        <v>100152884.2</v>
      </c>
    </row>
    <row r="13609" spans="2:37">
      <c r="B13609" s="834" t="str">
        <f t="shared" si="505"/>
        <v>|||</v>
      </c>
      <c r="H13609" s="835">
        <f t="shared" si="506"/>
        <v>31</v>
      </c>
      <c r="AF13609" s="831" t="s">
        <v>10884</v>
      </c>
      <c r="AG13609" s="831" t="s">
        <v>2674</v>
      </c>
      <c r="AH13609" s="831" t="s">
        <v>576</v>
      </c>
      <c r="AI13609" s="831">
        <v>0</v>
      </c>
      <c r="AJ13609" s="835">
        <v>41394</v>
      </c>
      <c r="AK13609" s="831">
        <v>241749896</v>
      </c>
    </row>
    <row r="13610" spans="2:37">
      <c r="B13610" s="834" t="str">
        <f t="shared" si="505"/>
        <v>|||</v>
      </c>
      <c r="H13610" s="835">
        <f t="shared" si="506"/>
        <v>31</v>
      </c>
      <c r="AF13610" s="831" t="s">
        <v>10885</v>
      </c>
      <c r="AG13610" s="831" t="s">
        <v>2674</v>
      </c>
      <c r="AH13610" s="831" t="s">
        <v>572</v>
      </c>
      <c r="AI13610" s="831">
        <v>0</v>
      </c>
      <c r="AJ13610" s="835">
        <v>41394</v>
      </c>
      <c r="AK13610" s="831">
        <v>24404594</v>
      </c>
    </row>
    <row r="13611" spans="2:37">
      <c r="B13611" s="834" t="str">
        <f t="shared" si="505"/>
        <v>|||</v>
      </c>
      <c r="H13611" s="835">
        <f t="shared" si="506"/>
        <v>31</v>
      </c>
      <c r="AF13611" s="831" t="s">
        <v>10886</v>
      </c>
      <c r="AG13611" s="831" t="s">
        <v>2674</v>
      </c>
      <c r="AH13611" s="831" t="s">
        <v>577</v>
      </c>
      <c r="AI13611" s="831">
        <v>0</v>
      </c>
      <c r="AJ13611" s="835">
        <v>41394</v>
      </c>
      <c r="AK13611" s="831">
        <v>137705857</v>
      </c>
    </row>
    <row r="13612" spans="2:37">
      <c r="B13612" s="834" t="str">
        <f t="shared" si="505"/>
        <v>|||</v>
      </c>
      <c r="H13612" s="835">
        <f t="shared" si="506"/>
        <v>31</v>
      </c>
      <c r="AF13612" s="831" t="s">
        <v>10887</v>
      </c>
      <c r="AG13612" s="831" t="s">
        <v>2674</v>
      </c>
      <c r="AH13612" s="831" t="s">
        <v>3042</v>
      </c>
      <c r="AI13612" s="831">
        <v>0</v>
      </c>
      <c r="AJ13612" s="835">
        <v>41394</v>
      </c>
      <c r="AK13612" s="831">
        <v>-34403926</v>
      </c>
    </row>
    <row r="13613" spans="2:37">
      <c r="B13613" s="834" t="str">
        <f t="shared" si="505"/>
        <v>|||</v>
      </c>
      <c r="H13613" s="835">
        <f t="shared" si="506"/>
        <v>31</v>
      </c>
      <c r="AF13613" s="831" t="s">
        <v>10888</v>
      </c>
      <c r="AG13613" s="831" t="s">
        <v>2674</v>
      </c>
      <c r="AH13613" s="831" t="s">
        <v>3044</v>
      </c>
      <c r="AI13613" s="831">
        <v>0</v>
      </c>
      <c r="AJ13613" s="835">
        <v>41394</v>
      </c>
      <c r="AK13613" s="831">
        <v>-4759976</v>
      </c>
    </row>
    <row r="13614" spans="2:37">
      <c r="B13614" s="834" t="str">
        <f t="shared" si="505"/>
        <v>|||</v>
      </c>
      <c r="H13614" s="835">
        <f t="shared" si="506"/>
        <v>31</v>
      </c>
      <c r="AF13614" s="831" t="s">
        <v>10889</v>
      </c>
      <c r="AG13614" s="831" t="s">
        <v>2674</v>
      </c>
      <c r="AH13614" s="831" t="s">
        <v>580</v>
      </c>
      <c r="AI13614" s="831">
        <v>0</v>
      </c>
      <c r="AJ13614" s="835">
        <v>41394</v>
      </c>
      <c r="AK13614" s="831">
        <v>-71824276</v>
      </c>
    </row>
    <row r="13615" spans="2:37">
      <c r="B13615" s="834" t="str">
        <f t="shared" si="505"/>
        <v>|||</v>
      </c>
      <c r="H13615" s="835">
        <f t="shared" si="506"/>
        <v>31</v>
      </c>
      <c r="AF13615" s="831" t="s">
        <v>10890</v>
      </c>
      <c r="AG13615" s="831" t="s">
        <v>2674</v>
      </c>
      <c r="AH13615" s="831" t="s">
        <v>581</v>
      </c>
      <c r="AI13615" s="831">
        <v>0</v>
      </c>
      <c r="AJ13615" s="835">
        <v>41394</v>
      </c>
      <c r="AK13615" s="831">
        <v>4094604</v>
      </c>
    </row>
    <row r="13616" spans="2:37">
      <c r="B13616" s="834" t="str">
        <f t="shared" si="505"/>
        <v>|||</v>
      </c>
      <c r="H13616" s="835">
        <f t="shared" si="506"/>
        <v>31</v>
      </c>
      <c r="AF13616" s="831" t="s">
        <v>10891</v>
      </c>
      <c r="AG13616" s="831" t="s">
        <v>2674</v>
      </c>
      <c r="AH13616" s="831" t="s">
        <v>105</v>
      </c>
      <c r="AI13616" s="831">
        <v>0</v>
      </c>
      <c r="AJ13616" s="835">
        <v>41394</v>
      </c>
      <c r="AK13616" s="831">
        <v>256750039</v>
      </c>
    </row>
    <row r="13617" spans="2:37">
      <c r="B13617" s="834" t="str">
        <f t="shared" si="505"/>
        <v>|||</v>
      </c>
      <c r="H13617" s="835">
        <f t="shared" si="506"/>
        <v>31</v>
      </c>
      <c r="AF13617" s="831" t="s">
        <v>10892</v>
      </c>
      <c r="AG13617" s="831" t="s">
        <v>2674</v>
      </c>
      <c r="AH13617" s="831" t="s">
        <v>3049</v>
      </c>
      <c r="AI13617" s="831">
        <v>0</v>
      </c>
      <c r="AJ13617" s="835">
        <v>41394</v>
      </c>
      <c r="AK13617" s="831">
        <v>448399148</v>
      </c>
    </row>
    <row r="13618" spans="2:37">
      <c r="B13618" s="834" t="str">
        <f t="shared" si="505"/>
        <v>|||</v>
      </c>
      <c r="H13618" s="835">
        <f t="shared" si="506"/>
        <v>31</v>
      </c>
      <c r="AF13618" s="831" t="s">
        <v>10893</v>
      </c>
      <c r="AG13618" s="831" t="s">
        <v>2674</v>
      </c>
      <c r="AH13618" s="831" t="s">
        <v>103</v>
      </c>
      <c r="AI13618" s="831">
        <v>0</v>
      </c>
      <c r="AJ13618" s="835">
        <v>41394</v>
      </c>
      <c r="AK13618" s="831">
        <v>191649109</v>
      </c>
    </row>
    <row r="13619" spans="2:37">
      <c r="B13619" s="834" t="str">
        <f t="shared" si="505"/>
        <v>|||</v>
      </c>
      <c r="H13619" s="835">
        <f t="shared" si="506"/>
        <v>31</v>
      </c>
      <c r="AF13619" s="831" t="s">
        <v>10894</v>
      </c>
      <c r="AG13619" s="831" t="s">
        <v>2674</v>
      </c>
      <c r="AH13619" s="831" t="s">
        <v>182</v>
      </c>
      <c r="AI13619" s="831">
        <v>0</v>
      </c>
      <c r="AJ13619" s="835">
        <v>41394</v>
      </c>
      <c r="AK13619" s="831">
        <v>55518615</v>
      </c>
    </row>
    <row r="13620" spans="2:37">
      <c r="B13620" s="834" t="str">
        <f t="shared" si="505"/>
        <v>|||</v>
      </c>
      <c r="H13620" s="835">
        <f t="shared" si="506"/>
        <v>31</v>
      </c>
      <c r="AF13620" s="831" t="s">
        <v>10895</v>
      </c>
      <c r="AG13620" s="831" t="s">
        <v>2674</v>
      </c>
      <c r="AH13620" s="831" t="s">
        <v>6600</v>
      </c>
      <c r="AI13620" s="831">
        <v>0</v>
      </c>
      <c r="AJ13620" s="835">
        <v>41394</v>
      </c>
      <c r="AK13620" s="831">
        <v>24404594</v>
      </c>
    </row>
    <row r="13621" spans="2:37">
      <c r="B13621" s="834" t="str">
        <f t="shared" si="505"/>
        <v>|||</v>
      </c>
      <c r="H13621" s="835">
        <f t="shared" si="506"/>
        <v>31</v>
      </c>
      <c r="AF13621" s="831" t="s">
        <v>10896</v>
      </c>
      <c r="AG13621" s="831" t="s">
        <v>2674</v>
      </c>
      <c r="AH13621" s="831" t="s">
        <v>6602</v>
      </c>
      <c r="AI13621" s="831">
        <v>0</v>
      </c>
      <c r="AJ13621" s="835">
        <v>41394</v>
      </c>
      <c r="AK13621" s="831">
        <v>8564643</v>
      </c>
    </row>
    <row r="13622" spans="2:37">
      <c r="B13622" s="834" t="str">
        <f t="shared" si="505"/>
        <v>|||</v>
      </c>
      <c r="H13622" s="835">
        <f t="shared" si="506"/>
        <v>31</v>
      </c>
      <c r="AF13622" s="831" t="s">
        <v>10897</v>
      </c>
      <c r="AG13622" s="831" t="s">
        <v>2674</v>
      </c>
      <c r="AH13622" s="831" t="s">
        <v>650</v>
      </c>
      <c r="AI13622" s="831">
        <v>0</v>
      </c>
      <c r="AJ13622" s="835">
        <v>41394</v>
      </c>
      <c r="AK13622" s="831">
        <v>167561680.58333334</v>
      </c>
    </row>
    <row r="13623" spans="2:37">
      <c r="B13623" s="834" t="str">
        <f t="shared" si="505"/>
        <v>|||</v>
      </c>
      <c r="H13623" s="835">
        <f t="shared" si="506"/>
        <v>31</v>
      </c>
      <c r="AF13623" s="831" t="s">
        <v>10898</v>
      </c>
      <c r="AG13623" s="831" t="s">
        <v>2674</v>
      </c>
      <c r="AH13623" s="831" t="s">
        <v>655</v>
      </c>
      <c r="AI13623" s="831">
        <v>0</v>
      </c>
      <c r="AJ13623" s="835">
        <v>41394</v>
      </c>
      <c r="AK13623" s="831">
        <v>2577725</v>
      </c>
    </row>
    <row r="13624" spans="2:37">
      <c r="B13624" s="834" t="str">
        <f t="shared" si="505"/>
        <v>|||</v>
      </c>
      <c r="H13624" s="835">
        <f t="shared" si="506"/>
        <v>31</v>
      </c>
      <c r="AF13624" s="831" t="s">
        <v>10899</v>
      </c>
      <c r="AG13624" s="831" t="s">
        <v>2674</v>
      </c>
      <c r="AH13624" s="831" t="s">
        <v>546</v>
      </c>
      <c r="AI13624" s="831">
        <v>0</v>
      </c>
      <c r="AJ13624" s="835">
        <v>41425</v>
      </c>
      <c r="AK13624" s="831">
        <v>505264542</v>
      </c>
    </row>
    <row r="13625" spans="2:37">
      <c r="B13625" s="834" t="str">
        <f t="shared" si="505"/>
        <v>|||</v>
      </c>
      <c r="H13625" s="835">
        <f t="shared" si="506"/>
        <v>31</v>
      </c>
      <c r="AF13625" s="831" t="s">
        <v>10900</v>
      </c>
      <c r="AG13625" s="831" t="s">
        <v>2674</v>
      </c>
      <c r="AH13625" s="831" t="s">
        <v>370</v>
      </c>
      <c r="AI13625" s="831">
        <v>0</v>
      </c>
      <c r="AJ13625" s="835">
        <v>41425</v>
      </c>
      <c r="AK13625" s="831">
        <v>595292976</v>
      </c>
    </row>
    <row r="13626" spans="2:37">
      <c r="B13626" s="834" t="str">
        <f t="shared" si="505"/>
        <v>|||</v>
      </c>
      <c r="H13626" s="835">
        <f t="shared" si="506"/>
        <v>31</v>
      </c>
      <c r="AF13626" s="831" t="s">
        <v>10901</v>
      </c>
      <c r="AG13626" s="831" t="s">
        <v>2674</v>
      </c>
      <c r="AH13626" s="831" t="s">
        <v>126</v>
      </c>
      <c r="AI13626" s="831">
        <v>0</v>
      </c>
      <c r="AJ13626" s="835">
        <v>41425</v>
      </c>
      <c r="AK13626" s="831">
        <v>105651356</v>
      </c>
    </row>
    <row r="13627" spans="2:37">
      <c r="B13627" s="834" t="str">
        <f t="shared" si="505"/>
        <v>|||</v>
      </c>
      <c r="H13627" s="835">
        <f t="shared" si="506"/>
        <v>31</v>
      </c>
      <c r="AF13627" s="831" t="s">
        <v>10902</v>
      </c>
      <c r="AG13627" s="831" t="s">
        <v>2674</v>
      </c>
      <c r="AH13627" s="831" t="s">
        <v>268</v>
      </c>
      <c r="AI13627" s="831">
        <v>0</v>
      </c>
      <c r="AJ13627" s="835">
        <v>41425</v>
      </c>
      <c r="AK13627" s="831">
        <v>10888133</v>
      </c>
    </row>
    <row r="13628" spans="2:37">
      <c r="B13628" s="834" t="str">
        <f t="shared" si="505"/>
        <v>|||</v>
      </c>
      <c r="H13628" s="835">
        <f t="shared" si="506"/>
        <v>31</v>
      </c>
      <c r="AF13628" s="831" t="s">
        <v>10903</v>
      </c>
      <c r="AG13628" s="831" t="s">
        <v>2674</v>
      </c>
      <c r="AH13628" s="831" t="s">
        <v>547</v>
      </c>
      <c r="AI13628" s="831">
        <v>0</v>
      </c>
      <c r="AJ13628" s="835">
        <v>41425</v>
      </c>
      <c r="AK13628" s="831">
        <v>511487760</v>
      </c>
    </row>
    <row r="13629" spans="2:37">
      <c r="B13629" s="834" t="str">
        <f t="shared" si="505"/>
        <v>|||</v>
      </c>
      <c r="H13629" s="835">
        <f t="shared" si="506"/>
        <v>31</v>
      </c>
      <c r="AF13629" s="831" t="s">
        <v>10904</v>
      </c>
      <c r="AG13629" s="831" t="s">
        <v>2674</v>
      </c>
      <c r="AH13629" s="831" t="s">
        <v>548</v>
      </c>
      <c r="AI13629" s="831">
        <v>0</v>
      </c>
      <c r="AJ13629" s="835">
        <v>41425</v>
      </c>
      <c r="AK13629" s="831">
        <v>96883184</v>
      </c>
    </row>
    <row r="13630" spans="2:37">
      <c r="B13630" s="834" t="str">
        <f t="shared" si="505"/>
        <v>|||</v>
      </c>
      <c r="H13630" s="835">
        <f t="shared" si="506"/>
        <v>31</v>
      </c>
      <c r="AF13630" s="831" t="s">
        <v>10905</v>
      </c>
      <c r="AG13630" s="831" t="s">
        <v>2674</v>
      </c>
      <c r="AH13630" s="831" t="s">
        <v>549</v>
      </c>
      <c r="AI13630" s="831">
        <v>0</v>
      </c>
      <c r="AJ13630" s="835">
        <v>41425</v>
      </c>
      <c r="AK13630" s="831">
        <v>339221349</v>
      </c>
    </row>
    <row r="13631" spans="2:37">
      <c r="B13631" s="834" t="str">
        <f t="shared" si="505"/>
        <v>|||</v>
      </c>
      <c r="H13631" s="835">
        <f t="shared" si="506"/>
        <v>31</v>
      </c>
      <c r="AF13631" s="831" t="s">
        <v>10906</v>
      </c>
      <c r="AG13631" s="831" t="s">
        <v>2674</v>
      </c>
      <c r="AH13631" s="831" t="s">
        <v>192</v>
      </c>
      <c r="AI13631" s="831">
        <v>0</v>
      </c>
      <c r="AJ13631" s="835">
        <v>41425</v>
      </c>
      <c r="AK13631" s="831">
        <v>-12896676</v>
      </c>
    </row>
    <row r="13632" spans="2:37">
      <c r="B13632" s="834" t="str">
        <f t="shared" si="505"/>
        <v>|||</v>
      </c>
      <c r="H13632" s="835">
        <f t="shared" si="506"/>
        <v>31</v>
      </c>
      <c r="AF13632" s="831" t="s">
        <v>10907</v>
      </c>
      <c r="AG13632" s="831" t="s">
        <v>2674</v>
      </c>
      <c r="AH13632" s="831" t="s">
        <v>558</v>
      </c>
      <c r="AI13632" s="831">
        <v>0</v>
      </c>
      <c r="AJ13632" s="835">
        <v>41425</v>
      </c>
      <c r="AK13632" s="831">
        <v>489641620</v>
      </c>
    </row>
    <row r="13633" spans="2:37">
      <c r="B13633" s="834" t="str">
        <f t="shared" si="505"/>
        <v>|||</v>
      </c>
      <c r="H13633" s="835">
        <f t="shared" si="506"/>
        <v>31</v>
      </c>
      <c r="AF13633" s="831" t="s">
        <v>10908</v>
      </c>
      <c r="AG13633" s="831" t="s">
        <v>2674</v>
      </c>
      <c r="AH13633" s="831" t="s">
        <v>65</v>
      </c>
      <c r="AI13633" s="831">
        <v>0</v>
      </c>
      <c r="AJ13633" s="835">
        <v>41425</v>
      </c>
      <c r="AK13633" s="831">
        <v>49637231</v>
      </c>
    </row>
    <row r="13634" spans="2:37">
      <c r="B13634" s="834" t="str">
        <f t="shared" si="505"/>
        <v>|||</v>
      </c>
      <c r="H13634" s="835">
        <f t="shared" si="506"/>
        <v>31</v>
      </c>
      <c r="AF13634" s="831" t="s">
        <v>10909</v>
      </c>
      <c r="AG13634" s="831" t="s">
        <v>2674</v>
      </c>
      <c r="AH13634" s="831" t="s">
        <v>89</v>
      </c>
      <c r="AI13634" s="831">
        <v>0</v>
      </c>
      <c r="AJ13634" s="835">
        <v>41425</v>
      </c>
      <c r="AK13634" s="831">
        <v>135204</v>
      </c>
    </row>
    <row r="13635" spans="2:37">
      <c r="B13635" s="834" t="str">
        <f t="shared" si="505"/>
        <v>|||</v>
      </c>
      <c r="H13635" s="835">
        <f t="shared" si="506"/>
        <v>31</v>
      </c>
      <c r="AF13635" s="831" t="s">
        <v>10910</v>
      </c>
      <c r="AG13635" s="831" t="s">
        <v>2674</v>
      </c>
      <c r="AH13635" s="831" t="s">
        <v>557</v>
      </c>
      <c r="AI13635" s="831">
        <v>0</v>
      </c>
      <c r="AJ13635" s="835">
        <v>41425</v>
      </c>
      <c r="AK13635" s="831">
        <v>139930</v>
      </c>
    </row>
    <row r="13636" spans="2:37">
      <c r="B13636" s="834" t="str">
        <f t="shared" si="505"/>
        <v>|||</v>
      </c>
      <c r="H13636" s="835">
        <f t="shared" si="506"/>
        <v>31</v>
      </c>
      <c r="AF13636" s="831" t="s">
        <v>10911</v>
      </c>
      <c r="AG13636" s="831" t="s">
        <v>2674</v>
      </c>
      <c r="AH13636" s="831" t="s">
        <v>29</v>
      </c>
      <c r="AI13636" s="831">
        <v>0</v>
      </c>
      <c r="AJ13636" s="835">
        <v>41425</v>
      </c>
      <c r="AK13636" s="831">
        <v>2486253</v>
      </c>
    </row>
    <row r="13637" spans="2:37">
      <c r="B13637" s="834" t="str">
        <f t="shared" si="505"/>
        <v>|||</v>
      </c>
      <c r="H13637" s="835">
        <f t="shared" si="506"/>
        <v>31</v>
      </c>
      <c r="AF13637" s="831" t="s">
        <v>10912</v>
      </c>
      <c r="AG13637" s="831" t="s">
        <v>2674</v>
      </c>
      <c r="AH13637" s="831" t="s">
        <v>2688</v>
      </c>
      <c r="AI13637" s="831">
        <v>0</v>
      </c>
      <c r="AJ13637" s="835">
        <v>41425</v>
      </c>
      <c r="AK13637" s="831">
        <v>2733940</v>
      </c>
    </row>
    <row r="13638" spans="2:37">
      <c r="B13638" s="834" t="str">
        <f t="shared" si="505"/>
        <v>|||</v>
      </c>
      <c r="H13638" s="835">
        <f t="shared" si="506"/>
        <v>31</v>
      </c>
      <c r="AF13638" s="831" t="s">
        <v>10913</v>
      </c>
      <c r="AG13638" s="831" t="s">
        <v>2674</v>
      </c>
      <c r="AH13638" s="831" t="s">
        <v>556</v>
      </c>
      <c r="AI13638" s="831">
        <v>0</v>
      </c>
      <c r="AJ13638" s="835">
        <v>41425</v>
      </c>
      <c r="AK13638" s="831">
        <v>902857</v>
      </c>
    </row>
    <row r="13639" spans="2:37">
      <c r="B13639" s="834" t="str">
        <f t="shared" si="505"/>
        <v>|||</v>
      </c>
      <c r="H13639" s="835">
        <f t="shared" si="506"/>
        <v>31</v>
      </c>
      <c r="AF13639" s="831" t="s">
        <v>10914</v>
      </c>
      <c r="AG13639" s="831" t="s">
        <v>2674</v>
      </c>
      <c r="AH13639" s="831" t="s">
        <v>555</v>
      </c>
      <c r="AI13639" s="831">
        <v>0</v>
      </c>
      <c r="AJ13639" s="835">
        <v>41425</v>
      </c>
      <c r="AK13639" s="831">
        <v>310274630</v>
      </c>
    </row>
    <row r="13640" spans="2:37">
      <c r="B13640" s="834" t="str">
        <f t="shared" si="505"/>
        <v>|||</v>
      </c>
      <c r="H13640" s="835">
        <f t="shared" si="506"/>
        <v>31</v>
      </c>
      <c r="AF13640" s="831" t="s">
        <v>10915</v>
      </c>
      <c r="AG13640" s="831" t="s">
        <v>2674</v>
      </c>
      <c r="AH13640" s="831" t="s">
        <v>554</v>
      </c>
      <c r="AI13640" s="831">
        <v>0</v>
      </c>
      <c r="AJ13640" s="835">
        <v>41425</v>
      </c>
      <c r="AK13640" s="831">
        <v>296232200</v>
      </c>
    </row>
    <row r="13641" spans="2:37">
      <c r="B13641" s="834" t="str">
        <f t="shared" si="505"/>
        <v>|||</v>
      </c>
      <c r="H13641" s="835">
        <f t="shared" si="506"/>
        <v>31</v>
      </c>
      <c r="AF13641" s="831" t="s">
        <v>10916</v>
      </c>
      <c r="AG13641" s="831" t="s">
        <v>2674</v>
      </c>
      <c r="AH13641" s="831" t="s">
        <v>553</v>
      </c>
      <c r="AI13641" s="831">
        <v>0</v>
      </c>
      <c r="AJ13641" s="835">
        <v>41425</v>
      </c>
      <c r="AK13641" s="831">
        <v>0</v>
      </c>
    </row>
    <row r="13642" spans="2:37">
      <c r="B13642" s="834" t="str">
        <f t="shared" si="505"/>
        <v>|||</v>
      </c>
      <c r="H13642" s="835">
        <f t="shared" si="506"/>
        <v>31</v>
      </c>
      <c r="AF13642" s="831" t="s">
        <v>10917</v>
      </c>
      <c r="AG13642" s="831" t="s">
        <v>2674</v>
      </c>
      <c r="AH13642" s="831" t="s">
        <v>552</v>
      </c>
      <c r="AI13642" s="831">
        <v>0</v>
      </c>
      <c r="AJ13642" s="835">
        <v>41425</v>
      </c>
      <c r="AK13642" s="831">
        <v>0</v>
      </c>
    </row>
    <row r="13643" spans="2:37">
      <c r="B13643" s="834" t="str">
        <f t="shared" si="505"/>
        <v>|||</v>
      </c>
      <c r="H13643" s="835">
        <f t="shared" si="506"/>
        <v>31</v>
      </c>
      <c r="AF13643" s="831" t="s">
        <v>10918</v>
      </c>
      <c r="AG13643" s="831" t="s">
        <v>2674</v>
      </c>
      <c r="AH13643" s="831" t="s">
        <v>551</v>
      </c>
      <c r="AI13643" s="831">
        <v>0</v>
      </c>
      <c r="AJ13643" s="835">
        <v>41425</v>
      </c>
      <c r="AK13643" s="831">
        <v>2323653</v>
      </c>
    </row>
    <row r="13644" spans="2:37">
      <c r="B13644" s="834" t="str">
        <f t="shared" si="505"/>
        <v>|||</v>
      </c>
      <c r="H13644" s="835">
        <f t="shared" si="506"/>
        <v>31</v>
      </c>
      <c r="AF13644" s="831" t="s">
        <v>10919</v>
      </c>
      <c r="AG13644" s="831" t="s">
        <v>2674</v>
      </c>
      <c r="AH13644" s="831" t="s">
        <v>550</v>
      </c>
      <c r="AI13644" s="831">
        <v>0</v>
      </c>
      <c r="AJ13644" s="835">
        <v>41425</v>
      </c>
      <c r="AK13644" s="831">
        <v>103327866</v>
      </c>
    </row>
    <row r="13645" spans="2:37">
      <c r="B13645" s="834" t="str">
        <f t="shared" si="505"/>
        <v>|||</v>
      </c>
      <c r="H13645" s="835">
        <f t="shared" si="506"/>
        <v>31</v>
      </c>
      <c r="AF13645" s="831" t="s">
        <v>10920</v>
      </c>
      <c r="AG13645" s="831" t="s">
        <v>2674</v>
      </c>
      <c r="AH13645" s="831" t="s">
        <v>562</v>
      </c>
      <c r="AI13645" s="831">
        <v>0</v>
      </c>
      <c r="AJ13645" s="835">
        <v>41425</v>
      </c>
      <c r="AK13645" s="831">
        <v>0.78405000000000002</v>
      </c>
    </row>
    <row r="13646" spans="2:37">
      <c r="B13646" s="834" t="str">
        <f t="shared" si="505"/>
        <v>|||</v>
      </c>
      <c r="H13646" s="835">
        <f t="shared" si="506"/>
        <v>31</v>
      </c>
      <c r="AF13646" s="831" t="s">
        <v>10921</v>
      </c>
      <c r="AG13646" s="831" t="s">
        <v>2674</v>
      </c>
      <c r="AH13646" s="831" t="s">
        <v>2698</v>
      </c>
      <c r="AI13646" s="831">
        <v>0</v>
      </c>
      <c r="AJ13646" s="835">
        <v>41425</v>
      </c>
      <c r="AK13646" s="831">
        <v>0.78405000000000002</v>
      </c>
    </row>
    <row r="13647" spans="2:37">
      <c r="B13647" s="834" t="str">
        <f t="shared" si="505"/>
        <v>|||</v>
      </c>
      <c r="H13647" s="835">
        <f t="shared" si="506"/>
        <v>31</v>
      </c>
      <c r="AF13647" s="831" t="s">
        <v>10922</v>
      </c>
      <c r="AG13647" s="831" t="s">
        <v>2674</v>
      </c>
      <c r="AH13647" s="831" t="s">
        <v>560</v>
      </c>
      <c r="AI13647" s="831">
        <v>0</v>
      </c>
      <c r="AJ13647" s="835">
        <v>41425</v>
      </c>
      <c r="AK13647" s="831">
        <v>0.78410999999999997</v>
      </c>
    </row>
    <row r="13648" spans="2:37">
      <c r="B13648" s="834" t="str">
        <f t="shared" si="505"/>
        <v>|||</v>
      </c>
      <c r="H13648" s="835">
        <f t="shared" si="506"/>
        <v>31</v>
      </c>
      <c r="AF13648" s="831" t="s">
        <v>10923</v>
      </c>
      <c r="AG13648" s="831" t="s">
        <v>2674</v>
      </c>
      <c r="AH13648" s="831" t="s">
        <v>559</v>
      </c>
      <c r="AI13648" s="831">
        <v>0</v>
      </c>
      <c r="AJ13648" s="835">
        <v>41425</v>
      </c>
      <c r="AK13648" s="831">
        <v>0.78434999999999999</v>
      </c>
    </row>
    <row r="13649" spans="2:37">
      <c r="B13649" s="834" t="str">
        <f t="shared" ref="B13649:B13712" si="507">C13649&amp;"|"&amp;D13649&amp;"|"&amp;E13649&amp;"|"&amp;F13649</f>
        <v>|||</v>
      </c>
      <c r="H13649" s="835">
        <f t="shared" ref="H13649:H13712" si="508">EOMONTH(L13649,0)</f>
        <v>31</v>
      </c>
      <c r="AF13649" s="831" t="s">
        <v>10924</v>
      </c>
      <c r="AG13649" s="831" t="s">
        <v>2674</v>
      </c>
      <c r="AH13649" s="831" t="s">
        <v>568</v>
      </c>
      <c r="AI13649" s="831">
        <v>0</v>
      </c>
      <c r="AJ13649" s="835">
        <v>41425</v>
      </c>
      <c r="AK13649" s="831">
        <v>403269368.46153843</v>
      </c>
    </row>
    <row r="13650" spans="2:37">
      <c r="B13650" s="834" t="str">
        <f t="shared" si="507"/>
        <v>|||</v>
      </c>
      <c r="H13650" s="835">
        <f t="shared" si="508"/>
        <v>31</v>
      </c>
      <c r="AF13650" s="831" t="s">
        <v>10925</v>
      </c>
      <c r="AG13650" s="831" t="s">
        <v>2674</v>
      </c>
      <c r="AH13650" s="831" t="s">
        <v>569</v>
      </c>
      <c r="AI13650" s="831">
        <v>0</v>
      </c>
      <c r="AJ13650" s="835">
        <v>41425</v>
      </c>
      <c r="AK13650" s="831">
        <v>489498908.69230771</v>
      </c>
    </row>
    <row r="13651" spans="2:37">
      <c r="B13651" s="834" t="str">
        <f t="shared" si="507"/>
        <v>|||</v>
      </c>
      <c r="H13651" s="835">
        <f t="shared" si="508"/>
        <v>31</v>
      </c>
      <c r="AF13651" s="831" t="s">
        <v>10926</v>
      </c>
      <c r="AG13651" s="831" t="s">
        <v>2674</v>
      </c>
      <c r="AH13651" s="831" t="s">
        <v>570</v>
      </c>
      <c r="AI13651" s="831">
        <v>0</v>
      </c>
      <c r="AJ13651" s="835">
        <v>41425</v>
      </c>
      <c r="AK13651" s="831">
        <v>98165424.230769232</v>
      </c>
    </row>
    <row r="13652" spans="2:37">
      <c r="B13652" s="834" t="str">
        <f t="shared" si="507"/>
        <v>|||</v>
      </c>
      <c r="H13652" s="835">
        <f t="shared" si="508"/>
        <v>31</v>
      </c>
      <c r="AF13652" s="831" t="s">
        <v>10927</v>
      </c>
      <c r="AG13652" s="831" t="s">
        <v>2674</v>
      </c>
      <c r="AH13652" s="831" t="s">
        <v>571</v>
      </c>
      <c r="AI13652" s="831">
        <v>0</v>
      </c>
      <c r="AJ13652" s="835">
        <v>41425</v>
      </c>
      <c r="AK13652" s="831">
        <v>207953338.07692307</v>
      </c>
    </row>
    <row r="13653" spans="2:37">
      <c r="B13653" s="834" t="str">
        <f t="shared" si="507"/>
        <v>|||</v>
      </c>
      <c r="H13653" s="835">
        <f t="shared" si="508"/>
        <v>31</v>
      </c>
      <c r="AF13653" s="831" t="s">
        <v>10928</v>
      </c>
      <c r="AG13653" s="831" t="s">
        <v>2674</v>
      </c>
      <c r="AH13653" s="831" t="s">
        <v>573</v>
      </c>
      <c r="AI13653" s="831">
        <v>0</v>
      </c>
      <c r="AJ13653" s="835">
        <v>41425</v>
      </c>
      <c r="AK13653" s="831">
        <v>543238144.33333337</v>
      </c>
    </row>
    <row r="13654" spans="2:37">
      <c r="B13654" s="834" t="str">
        <f t="shared" si="507"/>
        <v>|||</v>
      </c>
      <c r="H13654" s="835">
        <f t="shared" si="508"/>
        <v>31</v>
      </c>
      <c r="AF13654" s="831" t="s">
        <v>10929</v>
      </c>
      <c r="AG13654" s="831" t="s">
        <v>2674</v>
      </c>
      <c r="AH13654" s="831" t="s">
        <v>574</v>
      </c>
      <c r="AI13654" s="831">
        <v>0</v>
      </c>
      <c r="AJ13654" s="835">
        <v>41425</v>
      </c>
      <c r="AK13654" s="831">
        <v>451779902.5</v>
      </c>
    </row>
    <row r="13655" spans="2:37">
      <c r="B13655" s="834" t="str">
        <f t="shared" si="507"/>
        <v>|||</v>
      </c>
      <c r="H13655" s="835">
        <f t="shared" si="508"/>
        <v>31</v>
      </c>
      <c r="AF13655" s="831" t="s">
        <v>10930</v>
      </c>
      <c r="AG13655" s="831" t="s">
        <v>2674</v>
      </c>
      <c r="AH13655" s="831" t="s">
        <v>575</v>
      </c>
      <c r="AI13655" s="831">
        <v>0</v>
      </c>
      <c r="AJ13655" s="835">
        <v>41425</v>
      </c>
      <c r="AK13655" s="831">
        <v>101069296.16666667</v>
      </c>
    </row>
    <row r="13656" spans="2:37">
      <c r="B13656" s="834" t="str">
        <f t="shared" si="507"/>
        <v>|||</v>
      </c>
      <c r="H13656" s="835">
        <f t="shared" si="508"/>
        <v>31</v>
      </c>
      <c r="AF13656" s="831" t="s">
        <v>10931</v>
      </c>
      <c r="AG13656" s="831" t="s">
        <v>2674</v>
      </c>
      <c r="AH13656" s="831" t="s">
        <v>576</v>
      </c>
      <c r="AI13656" s="831">
        <v>0</v>
      </c>
      <c r="AJ13656" s="835">
        <v>41425</v>
      </c>
      <c r="AK13656" s="831">
        <v>247239046.16666666</v>
      </c>
    </row>
    <row r="13657" spans="2:37">
      <c r="B13657" s="834" t="str">
        <f t="shared" si="507"/>
        <v>|||</v>
      </c>
      <c r="H13657" s="835">
        <f t="shared" si="508"/>
        <v>31</v>
      </c>
      <c r="AF13657" s="831" t="s">
        <v>10932</v>
      </c>
      <c r="AG13657" s="831" t="s">
        <v>2674</v>
      </c>
      <c r="AH13657" s="831" t="s">
        <v>572</v>
      </c>
      <c r="AI13657" s="831">
        <v>0</v>
      </c>
      <c r="AJ13657" s="835">
        <v>41425</v>
      </c>
      <c r="AK13657" s="831">
        <v>21530747</v>
      </c>
    </row>
    <row r="13658" spans="2:37">
      <c r="B13658" s="834" t="str">
        <f t="shared" si="507"/>
        <v>|||</v>
      </c>
      <c r="H13658" s="835">
        <f t="shared" si="508"/>
        <v>31</v>
      </c>
      <c r="AF13658" s="831" t="s">
        <v>10933</v>
      </c>
      <c r="AG13658" s="831" t="s">
        <v>2674</v>
      </c>
      <c r="AH13658" s="831" t="s">
        <v>577</v>
      </c>
      <c r="AI13658" s="831">
        <v>0</v>
      </c>
      <c r="AJ13658" s="835">
        <v>41425</v>
      </c>
      <c r="AK13658" s="831">
        <v>110403012</v>
      </c>
    </row>
    <row r="13659" spans="2:37">
      <c r="B13659" s="834" t="str">
        <f t="shared" si="507"/>
        <v>|||</v>
      </c>
      <c r="H13659" s="835">
        <f t="shared" si="508"/>
        <v>31</v>
      </c>
      <c r="AF13659" s="831" t="s">
        <v>10934</v>
      </c>
      <c r="AG13659" s="831" t="s">
        <v>2674</v>
      </c>
      <c r="AH13659" s="831" t="s">
        <v>3042</v>
      </c>
      <c r="AI13659" s="831">
        <v>0</v>
      </c>
      <c r="AJ13659" s="835">
        <v>41425</v>
      </c>
      <c r="AK13659" s="831">
        <v>-27020607</v>
      </c>
    </row>
    <row r="13660" spans="2:37">
      <c r="B13660" s="834" t="str">
        <f t="shared" si="507"/>
        <v>|||</v>
      </c>
      <c r="H13660" s="835">
        <f t="shared" si="508"/>
        <v>31</v>
      </c>
      <c r="AF13660" s="831" t="s">
        <v>10935</v>
      </c>
      <c r="AG13660" s="831" t="s">
        <v>2674</v>
      </c>
      <c r="AH13660" s="831" t="s">
        <v>3044</v>
      </c>
      <c r="AI13660" s="831">
        <v>0</v>
      </c>
      <c r="AJ13660" s="835">
        <v>41425</v>
      </c>
      <c r="AK13660" s="831">
        <v>-4070350</v>
      </c>
    </row>
    <row r="13661" spans="2:37">
      <c r="B13661" s="834" t="str">
        <f t="shared" si="507"/>
        <v>|||</v>
      </c>
      <c r="H13661" s="835">
        <f t="shared" si="508"/>
        <v>31</v>
      </c>
      <c r="AF13661" s="831" t="s">
        <v>10936</v>
      </c>
      <c r="AG13661" s="831" t="s">
        <v>2674</v>
      </c>
      <c r="AH13661" s="831" t="s">
        <v>580</v>
      </c>
      <c r="AI13661" s="831">
        <v>0</v>
      </c>
      <c r="AJ13661" s="835">
        <v>41425</v>
      </c>
      <c r="AK13661" s="831">
        <v>-55847177</v>
      </c>
    </row>
    <row r="13662" spans="2:37">
      <c r="B13662" s="834" t="str">
        <f t="shared" si="507"/>
        <v>|||</v>
      </c>
      <c r="H13662" s="835">
        <f t="shared" si="508"/>
        <v>31</v>
      </c>
      <c r="AF13662" s="831" t="s">
        <v>10937</v>
      </c>
      <c r="AG13662" s="831" t="s">
        <v>2674</v>
      </c>
      <c r="AH13662" s="831" t="s">
        <v>581</v>
      </c>
      <c r="AI13662" s="831">
        <v>0</v>
      </c>
      <c r="AJ13662" s="835">
        <v>41425</v>
      </c>
      <c r="AK13662" s="831">
        <v>3833349</v>
      </c>
    </row>
    <row r="13663" spans="2:37">
      <c r="B13663" s="834" t="str">
        <f t="shared" si="507"/>
        <v>|||</v>
      </c>
      <c r="H13663" s="835">
        <f t="shared" si="508"/>
        <v>31</v>
      </c>
      <c r="AF13663" s="831" t="s">
        <v>10938</v>
      </c>
      <c r="AG13663" s="831" t="s">
        <v>2674</v>
      </c>
      <c r="AH13663" s="831" t="s">
        <v>105</v>
      </c>
      <c r="AI13663" s="831">
        <v>0</v>
      </c>
      <c r="AJ13663" s="835">
        <v>41425</v>
      </c>
      <c r="AK13663" s="831">
        <v>274684797</v>
      </c>
    </row>
    <row r="13664" spans="2:37">
      <c r="B13664" s="834" t="str">
        <f t="shared" si="507"/>
        <v>|||</v>
      </c>
      <c r="H13664" s="835">
        <f t="shared" si="508"/>
        <v>31</v>
      </c>
      <c r="AF13664" s="831" t="s">
        <v>10939</v>
      </c>
      <c r="AG13664" s="831" t="s">
        <v>2674</v>
      </c>
      <c r="AH13664" s="831" t="s">
        <v>3049</v>
      </c>
      <c r="AI13664" s="831">
        <v>0</v>
      </c>
      <c r="AJ13664" s="835">
        <v>41425</v>
      </c>
      <c r="AK13664" s="831">
        <v>474215187</v>
      </c>
    </row>
    <row r="13665" spans="2:37">
      <c r="B13665" s="834" t="str">
        <f t="shared" si="507"/>
        <v>|||</v>
      </c>
      <c r="H13665" s="835">
        <f t="shared" si="508"/>
        <v>31</v>
      </c>
      <c r="AF13665" s="831" t="s">
        <v>10940</v>
      </c>
      <c r="AG13665" s="831" t="s">
        <v>2674</v>
      </c>
      <c r="AH13665" s="831" t="s">
        <v>103</v>
      </c>
      <c r="AI13665" s="831">
        <v>0</v>
      </c>
      <c r="AJ13665" s="835">
        <v>41425</v>
      </c>
      <c r="AK13665" s="831">
        <v>199530390</v>
      </c>
    </row>
    <row r="13666" spans="2:37">
      <c r="B13666" s="834" t="str">
        <f t="shared" si="507"/>
        <v>|||</v>
      </c>
      <c r="H13666" s="835">
        <f t="shared" si="508"/>
        <v>31</v>
      </c>
      <c r="AF13666" s="831" t="s">
        <v>10941</v>
      </c>
      <c r="AG13666" s="831" t="s">
        <v>2674</v>
      </c>
      <c r="AH13666" s="831" t="s">
        <v>182</v>
      </c>
      <c r="AI13666" s="831">
        <v>0</v>
      </c>
      <c r="AJ13666" s="835">
        <v>41425</v>
      </c>
      <c r="AK13666" s="831">
        <v>56542824</v>
      </c>
    </row>
    <row r="13667" spans="2:37">
      <c r="B13667" s="834" t="str">
        <f t="shared" si="507"/>
        <v>|||</v>
      </c>
      <c r="H13667" s="835">
        <f t="shared" si="508"/>
        <v>31</v>
      </c>
      <c r="AF13667" s="831" t="s">
        <v>10942</v>
      </c>
      <c r="AG13667" s="831" t="s">
        <v>2674</v>
      </c>
      <c r="AH13667" s="831" t="s">
        <v>6600</v>
      </c>
      <c r="AI13667" s="831">
        <v>0</v>
      </c>
      <c r="AJ13667" s="835">
        <v>41425</v>
      </c>
      <c r="AK13667" s="831">
        <v>21530747</v>
      </c>
    </row>
    <row r="13668" spans="2:37">
      <c r="B13668" s="834" t="str">
        <f t="shared" si="507"/>
        <v>|||</v>
      </c>
      <c r="H13668" s="835">
        <f t="shared" si="508"/>
        <v>31</v>
      </c>
      <c r="AF13668" s="831" t="s">
        <v>10943</v>
      </c>
      <c r="AG13668" s="831" t="s">
        <v>2674</v>
      </c>
      <c r="AH13668" s="831" t="s">
        <v>6602</v>
      </c>
      <c r="AI13668" s="831">
        <v>0</v>
      </c>
      <c r="AJ13668" s="835">
        <v>41425</v>
      </c>
      <c r="AK13668" s="831">
        <v>10888133</v>
      </c>
    </row>
    <row r="13669" spans="2:37">
      <c r="B13669" s="834" t="str">
        <f t="shared" si="507"/>
        <v>|||</v>
      </c>
      <c r="H13669" s="835">
        <f t="shared" si="508"/>
        <v>31</v>
      </c>
      <c r="AF13669" s="831" t="s">
        <v>10944</v>
      </c>
      <c r="AG13669" s="831" t="s">
        <v>2674</v>
      </c>
      <c r="AH13669" s="831" t="s">
        <v>650</v>
      </c>
      <c r="AI13669" s="831">
        <v>0</v>
      </c>
      <c r="AJ13669" s="835">
        <v>41425</v>
      </c>
      <c r="AK13669" s="831">
        <v>170020812.07692307</v>
      </c>
    </row>
    <row r="13670" spans="2:37">
      <c r="B13670" s="834" t="str">
        <f t="shared" si="507"/>
        <v>|||</v>
      </c>
      <c r="H13670" s="835">
        <f t="shared" si="508"/>
        <v>31</v>
      </c>
      <c r="AF13670" s="831" t="s">
        <v>10945</v>
      </c>
      <c r="AG13670" s="831" t="s">
        <v>2674</v>
      </c>
      <c r="AH13670" s="831" t="s">
        <v>655</v>
      </c>
      <c r="AI13670" s="831">
        <v>0</v>
      </c>
      <c r="AJ13670" s="835">
        <v>41425</v>
      </c>
      <c r="AK13670" s="831">
        <v>2273827</v>
      </c>
    </row>
    <row r="13671" spans="2:37">
      <c r="B13671" s="834" t="str">
        <f t="shared" si="507"/>
        <v>|||</v>
      </c>
      <c r="H13671" s="835">
        <f t="shared" si="508"/>
        <v>31</v>
      </c>
      <c r="AF13671" s="831" t="s">
        <v>10946</v>
      </c>
      <c r="AG13671" s="831" t="s">
        <v>2674</v>
      </c>
      <c r="AH13671" s="831" t="s">
        <v>546</v>
      </c>
      <c r="AI13671" s="831">
        <v>0</v>
      </c>
      <c r="AJ13671" s="835">
        <v>41455</v>
      </c>
      <c r="AK13671" s="831">
        <v>514798833</v>
      </c>
    </row>
    <row r="13672" spans="2:37">
      <c r="B13672" s="834" t="str">
        <f t="shared" si="507"/>
        <v>|||</v>
      </c>
      <c r="H13672" s="835">
        <f t="shared" si="508"/>
        <v>31</v>
      </c>
      <c r="AF13672" s="831" t="s">
        <v>10947</v>
      </c>
      <c r="AG13672" s="831" t="s">
        <v>2674</v>
      </c>
      <c r="AH13672" s="831" t="s">
        <v>370</v>
      </c>
      <c r="AI13672" s="831">
        <v>0</v>
      </c>
      <c r="AJ13672" s="835">
        <v>41455</v>
      </c>
      <c r="AK13672" s="831">
        <v>641101315</v>
      </c>
    </row>
    <row r="13673" spans="2:37">
      <c r="B13673" s="834" t="str">
        <f t="shared" si="507"/>
        <v>|||</v>
      </c>
      <c r="H13673" s="835">
        <f t="shared" si="508"/>
        <v>31</v>
      </c>
      <c r="AF13673" s="831" t="s">
        <v>10948</v>
      </c>
      <c r="AG13673" s="831" t="s">
        <v>2674</v>
      </c>
      <c r="AH13673" s="831" t="s">
        <v>126</v>
      </c>
      <c r="AI13673" s="831">
        <v>0</v>
      </c>
      <c r="AJ13673" s="835">
        <v>41455</v>
      </c>
      <c r="AK13673" s="831">
        <v>108060358</v>
      </c>
    </row>
    <row r="13674" spans="2:37">
      <c r="B13674" s="834" t="str">
        <f t="shared" si="507"/>
        <v>|||</v>
      </c>
      <c r="H13674" s="835">
        <f t="shared" si="508"/>
        <v>31</v>
      </c>
      <c r="AF13674" s="831" t="s">
        <v>10949</v>
      </c>
      <c r="AG13674" s="831" t="s">
        <v>2674</v>
      </c>
      <c r="AH13674" s="831" t="s">
        <v>268</v>
      </c>
      <c r="AI13674" s="831">
        <v>0</v>
      </c>
      <c r="AJ13674" s="835">
        <v>41455</v>
      </c>
      <c r="AK13674" s="831">
        <v>13297133</v>
      </c>
    </row>
    <row r="13675" spans="2:37">
      <c r="B13675" s="834" t="str">
        <f t="shared" si="507"/>
        <v>|||</v>
      </c>
      <c r="H13675" s="835">
        <f t="shared" si="508"/>
        <v>31</v>
      </c>
      <c r="AF13675" s="831" t="s">
        <v>10950</v>
      </c>
      <c r="AG13675" s="831" t="s">
        <v>2674</v>
      </c>
      <c r="AH13675" s="831" t="s">
        <v>547</v>
      </c>
      <c r="AI13675" s="831">
        <v>0</v>
      </c>
      <c r="AJ13675" s="835">
        <v>41455</v>
      </c>
      <c r="AK13675" s="831">
        <v>511487760</v>
      </c>
    </row>
    <row r="13676" spans="2:37">
      <c r="B13676" s="834" t="str">
        <f t="shared" si="507"/>
        <v>|||</v>
      </c>
      <c r="H13676" s="835">
        <f t="shared" si="508"/>
        <v>31</v>
      </c>
      <c r="AF13676" s="831" t="s">
        <v>10951</v>
      </c>
      <c r="AG13676" s="831" t="s">
        <v>2674</v>
      </c>
      <c r="AH13676" s="831" t="s">
        <v>548</v>
      </c>
      <c r="AI13676" s="831">
        <v>0</v>
      </c>
      <c r="AJ13676" s="835">
        <v>41455</v>
      </c>
      <c r="AK13676" s="831">
        <v>96883184</v>
      </c>
    </row>
    <row r="13677" spans="2:37">
      <c r="B13677" s="834" t="str">
        <f t="shared" si="507"/>
        <v>|||</v>
      </c>
      <c r="H13677" s="835">
        <f t="shared" si="508"/>
        <v>31</v>
      </c>
      <c r="AF13677" s="831" t="s">
        <v>10952</v>
      </c>
      <c r="AG13677" s="831" t="s">
        <v>2674</v>
      </c>
      <c r="AH13677" s="831" t="s">
        <v>549</v>
      </c>
      <c r="AI13677" s="831">
        <v>0</v>
      </c>
      <c r="AJ13677" s="835">
        <v>41455</v>
      </c>
      <c r="AK13677" s="831">
        <v>342628450</v>
      </c>
    </row>
    <row r="13678" spans="2:37">
      <c r="B13678" s="834" t="str">
        <f t="shared" si="507"/>
        <v>|||</v>
      </c>
      <c r="H13678" s="835">
        <f t="shared" si="508"/>
        <v>31</v>
      </c>
      <c r="AF13678" s="831" t="s">
        <v>10953</v>
      </c>
      <c r="AG13678" s="831" t="s">
        <v>2674</v>
      </c>
      <c r="AH13678" s="831" t="s">
        <v>192</v>
      </c>
      <c r="AI13678" s="831">
        <v>0</v>
      </c>
      <c r="AJ13678" s="835">
        <v>41455</v>
      </c>
      <c r="AK13678" s="831">
        <v>-11546784</v>
      </c>
    </row>
    <row r="13679" spans="2:37">
      <c r="B13679" s="834" t="str">
        <f t="shared" si="507"/>
        <v>|||</v>
      </c>
      <c r="H13679" s="835">
        <f t="shared" si="508"/>
        <v>31</v>
      </c>
      <c r="AF13679" s="831" t="s">
        <v>10954</v>
      </c>
      <c r="AG13679" s="831" t="s">
        <v>2674</v>
      </c>
      <c r="AH13679" s="831" t="s">
        <v>558</v>
      </c>
      <c r="AI13679" s="831">
        <v>0</v>
      </c>
      <c r="AJ13679" s="835">
        <v>41455</v>
      </c>
      <c r="AK13679" s="831">
        <v>533040957</v>
      </c>
    </row>
    <row r="13680" spans="2:37">
      <c r="B13680" s="834" t="str">
        <f t="shared" si="507"/>
        <v>|||</v>
      </c>
      <c r="H13680" s="835">
        <f t="shared" si="508"/>
        <v>31</v>
      </c>
      <c r="AF13680" s="831" t="s">
        <v>10955</v>
      </c>
      <c r="AG13680" s="831" t="s">
        <v>2674</v>
      </c>
      <c r="AH13680" s="831" t="s">
        <v>65</v>
      </c>
      <c r="AI13680" s="831">
        <v>0</v>
      </c>
      <c r="AJ13680" s="835">
        <v>41455</v>
      </c>
      <c r="AK13680" s="831">
        <v>60193699</v>
      </c>
    </row>
    <row r="13681" spans="2:37">
      <c r="B13681" s="834" t="str">
        <f t="shared" si="507"/>
        <v>|||</v>
      </c>
      <c r="H13681" s="835">
        <f t="shared" si="508"/>
        <v>31</v>
      </c>
      <c r="AF13681" s="831" t="s">
        <v>10956</v>
      </c>
      <c r="AG13681" s="831" t="s">
        <v>2674</v>
      </c>
      <c r="AH13681" s="831" t="s">
        <v>89</v>
      </c>
      <c r="AI13681" s="831">
        <v>0</v>
      </c>
      <c r="AJ13681" s="835">
        <v>41455</v>
      </c>
      <c r="AK13681" s="831">
        <v>136633</v>
      </c>
    </row>
    <row r="13682" spans="2:37">
      <c r="B13682" s="834" t="str">
        <f t="shared" si="507"/>
        <v>|||</v>
      </c>
      <c r="H13682" s="835">
        <f t="shared" si="508"/>
        <v>31</v>
      </c>
      <c r="AF13682" s="831" t="s">
        <v>10957</v>
      </c>
      <c r="AG13682" s="831" t="s">
        <v>2674</v>
      </c>
      <c r="AH13682" s="831" t="s">
        <v>557</v>
      </c>
      <c r="AI13682" s="831">
        <v>0</v>
      </c>
      <c r="AJ13682" s="835">
        <v>41455</v>
      </c>
      <c r="AK13682" s="831">
        <v>142092</v>
      </c>
    </row>
    <row r="13683" spans="2:37">
      <c r="B13683" s="834" t="str">
        <f t="shared" si="507"/>
        <v>|||</v>
      </c>
      <c r="H13683" s="835">
        <f t="shared" si="508"/>
        <v>31</v>
      </c>
      <c r="AF13683" s="831" t="s">
        <v>10958</v>
      </c>
      <c r="AG13683" s="831" t="s">
        <v>2674</v>
      </c>
      <c r="AH13683" s="831" t="s">
        <v>29</v>
      </c>
      <c r="AI13683" s="831">
        <v>0</v>
      </c>
      <c r="AJ13683" s="835">
        <v>41455</v>
      </c>
      <c r="AK13683" s="831">
        <v>1424399.06</v>
      </c>
    </row>
    <row r="13684" spans="2:37">
      <c r="B13684" s="834" t="str">
        <f t="shared" si="507"/>
        <v>|||</v>
      </c>
      <c r="H13684" s="835">
        <f t="shared" si="508"/>
        <v>31</v>
      </c>
      <c r="AF13684" s="831" t="s">
        <v>10959</v>
      </c>
      <c r="AG13684" s="831" t="s">
        <v>2674</v>
      </c>
      <c r="AH13684" s="831" t="s">
        <v>2688</v>
      </c>
      <c r="AI13684" s="831">
        <v>0</v>
      </c>
      <c r="AJ13684" s="835">
        <v>41455</v>
      </c>
      <c r="AK13684" s="831">
        <v>2204366.9500000002</v>
      </c>
    </row>
    <row r="13685" spans="2:37">
      <c r="B13685" s="834" t="str">
        <f t="shared" si="507"/>
        <v>|||</v>
      </c>
      <c r="H13685" s="835">
        <f t="shared" si="508"/>
        <v>31</v>
      </c>
      <c r="AF13685" s="831" t="s">
        <v>10960</v>
      </c>
      <c r="AG13685" s="831" t="s">
        <v>2674</v>
      </c>
      <c r="AH13685" s="831" t="s">
        <v>556</v>
      </c>
      <c r="AI13685" s="831">
        <v>0</v>
      </c>
      <c r="AJ13685" s="835">
        <v>41455</v>
      </c>
      <c r="AK13685" s="831">
        <v>902857</v>
      </c>
    </row>
    <row r="13686" spans="2:37">
      <c r="B13686" s="834" t="str">
        <f t="shared" si="507"/>
        <v>|||</v>
      </c>
      <c r="H13686" s="835">
        <f t="shared" si="508"/>
        <v>31</v>
      </c>
      <c r="AF13686" s="831" t="s">
        <v>10961</v>
      </c>
      <c r="AG13686" s="831" t="s">
        <v>2674</v>
      </c>
      <c r="AH13686" s="831" t="s">
        <v>555</v>
      </c>
      <c r="AI13686" s="831">
        <v>0</v>
      </c>
      <c r="AJ13686" s="835">
        <v>41455</v>
      </c>
      <c r="AK13686" s="831">
        <v>353611880</v>
      </c>
    </row>
    <row r="13687" spans="2:37">
      <c r="B13687" s="834" t="str">
        <f t="shared" si="507"/>
        <v>|||</v>
      </c>
      <c r="H13687" s="835">
        <f t="shared" si="508"/>
        <v>31</v>
      </c>
      <c r="AF13687" s="831" t="s">
        <v>10962</v>
      </c>
      <c r="AG13687" s="831" t="s">
        <v>2674</v>
      </c>
      <c r="AH13687" s="831" t="s">
        <v>554</v>
      </c>
      <c r="AI13687" s="831">
        <v>0</v>
      </c>
      <c r="AJ13687" s="835">
        <v>41455</v>
      </c>
      <c r="AK13687" s="831">
        <v>343079700</v>
      </c>
    </row>
    <row r="13688" spans="2:37">
      <c r="B13688" s="834" t="str">
        <f t="shared" si="507"/>
        <v>|||</v>
      </c>
      <c r="H13688" s="835">
        <f t="shared" si="508"/>
        <v>31</v>
      </c>
      <c r="AF13688" s="831" t="s">
        <v>10963</v>
      </c>
      <c r="AG13688" s="831" t="s">
        <v>2674</v>
      </c>
      <c r="AH13688" s="831" t="s">
        <v>553</v>
      </c>
      <c r="AI13688" s="831">
        <v>0</v>
      </c>
      <c r="AJ13688" s="835">
        <v>41455</v>
      </c>
      <c r="AK13688" s="831">
        <v>0</v>
      </c>
    </row>
    <row r="13689" spans="2:37">
      <c r="B13689" s="834" t="str">
        <f t="shared" si="507"/>
        <v>|||</v>
      </c>
      <c r="H13689" s="835">
        <f t="shared" si="508"/>
        <v>31</v>
      </c>
      <c r="AF13689" s="831" t="s">
        <v>10964</v>
      </c>
      <c r="AG13689" s="831" t="s">
        <v>2674</v>
      </c>
      <c r="AH13689" s="831" t="s">
        <v>552</v>
      </c>
      <c r="AI13689" s="831">
        <v>0</v>
      </c>
      <c r="AJ13689" s="835">
        <v>41455</v>
      </c>
      <c r="AK13689" s="831">
        <v>0</v>
      </c>
    </row>
    <row r="13690" spans="2:37">
      <c r="B13690" s="834" t="str">
        <f t="shared" si="507"/>
        <v>|||</v>
      </c>
      <c r="H13690" s="835">
        <f t="shared" si="508"/>
        <v>31</v>
      </c>
      <c r="AF13690" s="831" t="s">
        <v>10965</v>
      </c>
      <c r="AG13690" s="831" t="s">
        <v>2674</v>
      </c>
      <c r="AH13690" s="831" t="s">
        <v>551</v>
      </c>
      <c r="AI13690" s="831">
        <v>0</v>
      </c>
      <c r="AJ13690" s="835">
        <v>41455</v>
      </c>
      <c r="AK13690" s="831">
        <v>1176193.06</v>
      </c>
    </row>
    <row r="13691" spans="2:37">
      <c r="B13691" s="834" t="str">
        <f t="shared" si="507"/>
        <v>|||</v>
      </c>
      <c r="H13691" s="835">
        <f t="shared" si="508"/>
        <v>31</v>
      </c>
      <c r="AF13691" s="831" t="s">
        <v>10966</v>
      </c>
      <c r="AG13691" s="831" t="s">
        <v>2674</v>
      </c>
      <c r="AH13691" s="831" t="s">
        <v>550</v>
      </c>
      <c r="AI13691" s="831">
        <v>0</v>
      </c>
      <c r="AJ13691" s="835">
        <v>41455</v>
      </c>
      <c r="AK13691" s="831">
        <v>105651356</v>
      </c>
    </row>
    <row r="13692" spans="2:37">
      <c r="B13692" s="834" t="str">
        <f t="shared" si="507"/>
        <v>|||</v>
      </c>
      <c r="H13692" s="835">
        <f t="shared" si="508"/>
        <v>31</v>
      </c>
      <c r="AF13692" s="831" t="s">
        <v>10967</v>
      </c>
      <c r="AG13692" s="831" t="s">
        <v>2674</v>
      </c>
      <c r="AH13692" s="831" t="s">
        <v>562</v>
      </c>
      <c r="AI13692" s="831">
        <v>0</v>
      </c>
      <c r="AJ13692" s="835">
        <v>41455</v>
      </c>
      <c r="AK13692" s="831">
        <v>0.78395000000000004</v>
      </c>
    </row>
    <row r="13693" spans="2:37">
      <c r="B13693" s="834" t="str">
        <f t="shared" si="507"/>
        <v>|||</v>
      </c>
      <c r="H13693" s="835">
        <f t="shared" si="508"/>
        <v>31</v>
      </c>
      <c r="AF13693" s="831" t="s">
        <v>10968</v>
      </c>
      <c r="AG13693" s="831" t="s">
        <v>2674</v>
      </c>
      <c r="AH13693" s="831" t="s">
        <v>2698</v>
      </c>
      <c r="AI13693" s="831">
        <v>0</v>
      </c>
      <c r="AJ13693" s="835">
        <v>41455</v>
      </c>
      <c r="AK13693" s="831">
        <v>0.78405000000000002</v>
      </c>
    </row>
    <row r="13694" spans="2:37">
      <c r="B13694" s="834" t="str">
        <f t="shared" si="507"/>
        <v>|||</v>
      </c>
      <c r="H13694" s="835">
        <f t="shared" si="508"/>
        <v>31</v>
      </c>
      <c r="AF13694" s="831" t="s">
        <v>10969</v>
      </c>
      <c r="AG13694" s="831" t="s">
        <v>2674</v>
      </c>
      <c r="AH13694" s="831" t="s">
        <v>560</v>
      </c>
      <c r="AI13694" s="831">
        <v>0</v>
      </c>
      <c r="AJ13694" s="835">
        <v>41455</v>
      </c>
      <c r="AK13694" s="831">
        <v>0.78408333333333335</v>
      </c>
    </row>
    <row r="13695" spans="2:37">
      <c r="B13695" s="834" t="str">
        <f t="shared" si="507"/>
        <v>|||</v>
      </c>
      <c r="H13695" s="835">
        <f t="shared" si="508"/>
        <v>31</v>
      </c>
      <c r="AF13695" s="831" t="s">
        <v>10970</v>
      </c>
      <c r="AG13695" s="831" t="s">
        <v>2674</v>
      </c>
      <c r="AH13695" s="831" t="s">
        <v>559</v>
      </c>
      <c r="AI13695" s="831">
        <v>0</v>
      </c>
      <c r="AJ13695" s="835">
        <v>41455</v>
      </c>
      <c r="AK13695" s="831">
        <v>0.78425833333333339</v>
      </c>
    </row>
    <row r="13696" spans="2:37">
      <c r="B13696" s="834" t="str">
        <f t="shared" si="507"/>
        <v>|||</v>
      </c>
      <c r="H13696" s="835">
        <f t="shared" si="508"/>
        <v>31</v>
      </c>
      <c r="AF13696" s="831" t="s">
        <v>10971</v>
      </c>
      <c r="AG13696" s="831" t="s">
        <v>2674</v>
      </c>
      <c r="AH13696" s="831" t="s">
        <v>568</v>
      </c>
      <c r="AI13696" s="831">
        <v>0</v>
      </c>
      <c r="AJ13696" s="835">
        <v>41455</v>
      </c>
      <c r="AK13696" s="831">
        <v>416775328.76923078</v>
      </c>
    </row>
    <row r="13697" spans="2:37">
      <c r="B13697" s="834" t="str">
        <f t="shared" si="507"/>
        <v>|||</v>
      </c>
      <c r="H13697" s="835">
        <f t="shared" si="508"/>
        <v>31</v>
      </c>
      <c r="AF13697" s="831" t="s">
        <v>10972</v>
      </c>
      <c r="AG13697" s="831" t="s">
        <v>2674</v>
      </c>
      <c r="AH13697" s="831" t="s">
        <v>569</v>
      </c>
      <c r="AI13697" s="831">
        <v>0</v>
      </c>
      <c r="AJ13697" s="835">
        <v>41455</v>
      </c>
      <c r="AK13697" s="831">
        <v>507070422.30769229</v>
      </c>
    </row>
    <row r="13698" spans="2:37">
      <c r="B13698" s="834" t="str">
        <f t="shared" si="507"/>
        <v>|||</v>
      </c>
      <c r="H13698" s="835">
        <f t="shared" si="508"/>
        <v>31</v>
      </c>
      <c r="AF13698" s="831" t="s">
        <v>10973</v>
      </c>
      <c r="AG13698" s="831" t="s">
        <v>2674</v>
      </c>
      <c r="AH13698" s="831" t="s">
        <v>570</v>
      </c>
      <c r="AI13698" s="831">
        <v>0</v>
      </c>
      <c r="AJ13698" s="835">
        <v>41455</v>
      </c>
      <c r="AK13698" s="831">
        <v>99514662.461538464</v>
      </c>
    </row>
    <row r="13699" spans="2:37">
      <c r="B13699" s="834" t="str">
        <f t="shared" si="507"/>
        <v>|||</v>
      </c>
      <c r="H13699" s="835">
        <f t="shared" si="508"/>
        <v>31</v>
      </c>
      <c r="AF13699" s="831" t="s">
        <v>10974</v>
      </c>
      <c r="AG13699" s="831" t="s">
        <v>2674</v>
      </c>
      <c r="AH13699" s="831" t="s">
        <v>571</v>
      </c>
      <c r="AI13699" s="831">
        <v>0</v>
      </c>
      <c r="AJ13699" s="835">
        <v>41455</v>
      </c>
      <c r="AK13699" s="831">
        <v>220626949.15384614</v>
      </c>
    </row>
    <row r="13700" spans="2:37">
      <c r="B13700" s="834" t="str">
        <f t="shared" si="507"/>
        <v>|||</v>
      </c>
      <c r="H13700" s="835">
        <f t="shared" si="508"/>
        <v>31</v>
      </c>
      <c r="AF13700" s="831" t="s">
        <v>10975</v>
      </c>
      <c r="AG13700" s="831" t="s">
        <v>2674</v>
      </c>
      <c r="AH13700" s="831" t="s">
        <v>573</v>
      </c>
      <c r="AI13700" s="831">
        <v>0</v>
      </c>
      <c r="AJ13700" s="835">
        <v>41455</v>
      </c>
      <c r="AK13700" s="831">
        <v>557218597.28571427</v>
      </c>
    </row>
    <row r="13701" spans="2:37">
      <c r="B13701" s="834" t="str">
        <f t="shared" si="507"/>
        <v>|||</v>
      </c>
      <c r="H13701" s="835">
        <f t="shared" si="508"/>
        <v>31</v>
      </c>
      <c r="AF13701" s="831" t="s">
        <v>10976</v>
      </c>
      <c r="AG13701" s="831" t="s">
        <v>2674</v>
      </c>
      <c r="AH13701" s="831" t="s">
        <v>574</v>
      </c>
      <c r="AI13701" s="831">
        <v>0</v>
      </c>
      <c r="AJ13701" s="835">
        <v>41455</v>
      </c>
      <c r="AK13701" s="831">
        <v>460782606.85714287</v>
      </c>
    </row>
    <row r="13702" spans="2:37">
      <c r="B13702" s="834" t="str">
        <f t="shared" si="507"/>
        <v>|||</v>
      </c>
      <c r="H13702" s="835">
        <f t="shared" si="508"/>
        <v>31</v>
      </c>
      <c r="AF13702" s="831" t="s">
        <v>10977</v>
      </c>
      <c r="AG13702" s="831" t="s">
        <v>2674</v>
      </c>
      <c r="AH13702" s="831" t="s">
        <v>575</v>
      </c>
      <c r="AI13702" s="831">
        <v>0</v>
      </c>
      <c r="AJ13702" s="835">
        <v>41455</v>
      </c>
      <c r="AK13702" s="831">
        <v>102068019.28571428</v>
      </c>
    </row>
    <row r="13703" spans="2:37">
      <c r="B13703" s="834" t="str">
        <f t="shared" si="507"/>
        <v>|||</v>
      </c>
      <c r="H13703" s="835">
        <f t="shared" si="508"/>
        <v>31</v>
      </c>
      <c r="AF13703" s="831" t="s">
        <v>10978</v>
      </c>
      <c r="AG13703" s="831" t="s">
        <v>2674</v>
      </c>
      <c r="AH13703" s="831" t="s">
        <v>576</v>
      </c>
      <c r="AI13703" s="831">
        <v>0</v>
      </c>
      <c r="AJ13703" s="835">
        <v>41455</v>
      </c>
      <c r="AK13703" s="831">
        <v>256882402</v>
      </c>
    </row>
    <row r="13704" spans="2:37">
      <c r="B13704" s="834" t="str">
        <f t="shared" si="507"/>
        <v>|||</v>
      </c>
      <c r="H13704" s="835">
        <f t="shared" si="508"/>
        <v>31</v>
      </c>
      <c r="AF13704" s="831" t="s">
        <v>10979</v>
      </c>
      <c r="AG13704" s="831" t="s">
        <v>2674</v>
      </c>
      <c r="AH13704" s="831" t="s">
        <v>572</v>
      </c>
      <c r="AI13704" s="831">
        <v>0</v>
      </c>
      <c r="AJ13704" s="835">
        <v>41455</v>
      </c>
      <c r="AK13704" s="831">
        <v>22784991</v>
      </c>
    </row>
    <row r="13705" spans="2:37">
      <c r="B13705" s="834" t="str">
        <f t="shared" si="507"/>
        <v>|||</v>
      </c>
      <c r="H13705" s="835">
        <f t="shared" si="508"/>
        <v>31</v>
      </c>
      <c r="AF13705" s="831" t="s">
        <v>10980</v>
      </c>
      <c r="AG13705" s="831" t="s">
        <v>2674</v>
      </c>
      <c r="AH13705" s="831" t="s">
        <v>577</v>
      </c>
      <c r="AI13705" s="831">
        <v>0</v>
      </c>
      <c r="AJ13705" s="835">
        <v>41455</v>
      </c>
      <c r="AK13705" s="831">
        <v>112999724</v>
      </c>
    </row>
    <row r="13706" spans="2:37">
      <c r="B13706" s="834" t="str">
        <f t="shared" si="507"/>
        <v>|||</v>
      </c>
      <c r="H13706" s="835">
        <f t="shared" si="508"/>
        <v>31</v>
      </c>
      <c r="AF13706" s="831" t="s">
        <v>10981</v>
      </c>
      <c r="AG13706" s="831" t="s">
        <v>2674</v>
      </c>
      <c r="AH13706" s="831" t="s">
        <v>3042</v>
      </c>
      <c r="AI13706" s="831">
        <v>0</v>
      </c>
      <c r="AJ13706" s="835">
        <v>41455</v>
      </c>
      <c r="AK13706" s="831">
        <v>-27618860</v>
      </c>
    </row>
    <row r="13707" spans="2:37">
      <c r="B13707" s="834" t="str">
        <f t="shared" si="507"/>
        <v>|||</v>
      </c>
      <c r="H13707" s="835">
        <f t="shared" si="508"/>
        <v>31</v>
      </c>
      <c r="AF13707" s="831" t="s">
        <v>10982</v>
      </c>
      <c r="AG13707" s="831" t="s">
        <v>2674</v>
      </c>
      <c r="AH13707" s="831" t="s">
        <v>3044</v>
      </c>
      <c r="AI13707" s="831">
        <v>0</v>
      </c>
      <c r="AJ13707" s="835">
        <v>41455</v>
      </c>
      <c r="AK13707" s="831">
        <v>-4183071</v>
      </c>
    </row>
    <row r="13708" spans="2:37">
      <c r="B13708" s="834" t="str">
        <f t="shared" si="507"/>
        <v>|||</v>
      </c>
      <c r="H13708" s="835">
        <f t="shared" si="508"/>
        <v>31</v>
      </c>
      <c r="AF13708" s="831" t="s">
        <v>10983</v>
      </c>
      <c r="AG13708" s="831" t="s">
        <v>2674</v>
      </c>
      <c r="AH13708" s="831" t="s">
        <v>580</v>
      </c>
      <c r="AI13708" s="831">
        <v>0</v>
      </c>
      <c r="AJ13708" s="835">
        <v>41455</v>
      </c>
      <c r="AK13708" s="831">
        <v>-56400279</v>
      </c>
    </row>
    <row r="13709" spans="2:37">
      <c r="B13709" s="834" t="str">
        <f t="shared" si="507"/>
        <v>|||</v>
      </c>
      <c r="H13709" s="835">
        <f t="shared" si="508"/>
        <v>31</v>
      </c>
      <c r="AF13709" s="831" t="s">
        <v>10984</v>
      </c>
      <c r="AG13709" s="831" t="s">
        <v>2674</v>
      </c>
      <c r="AH13709" s="831" t="s">
        <v>581</v>
      </c>
      <c r="AI13709" s="831">
        <v>0</v>
      </c>
      <c r="AJ13709" s="835">
        <v>41455</v>
      </c>
      <c r="AK13709" s="831">
        <v>4204371</v>
      </c>
    </row>
    <row r="13710" spans="2:37">
      <c r="B13710" s="834" t="str">
        <f t="shared" si="507"/>
        <v>|||</v>
      </c>
      <c r="H13710" s="835">
        <f t="shared" si="508"/>
        <v>31</v>
      </c>
      <c r="AF13710" s="831" t="s">
        <v>10985</v>
      </c>
      <c r="AG13710" s="831" t="s">
        <v>2674</v>
      </c>
      <c r="AH13710" s="831" t="s">
        <v>105</v>
      </c>
      <c r="AI13710" s="831">
        <v>0</v>
      </c>
      <c r="AJ13710" s="835">
        <v>41455</v>
      </c>
      <c r="AK13710" s="831">
        <v>314742537</v>
      </c>
    </row>
    <row r="13711" spans="2:37">
      <c r="B13711" s="834" t="str">
        <f t="shared" si="507"/>
        <v>|||</v>
      </c>
      <c r="H13711" s="835">
        <f t="shared" si="508"/>
        <v>31</v>
      </c>
      <c r="AF13711" s="831" t="s">
        <v>10986</v>
      </c>
      <c r="AG13711" s="831" t="s">
        <v>2674</v>
      </c>
      <c r="AH13711" s="831" t="s">
        <v>3049</v>
      </c>
      <c r="AI13711" s="831">
        <v>0</v>
      </c>
      <c r="AJ13711" s="835">
        <v>41455</v>
      </c>
      <c r="AK13711" s="831">
        <v>517978918</v>
      </c>
    </row>
    <row r="13712" spans="2:37">
      <c r="B13712" s="834" t="str">
        <f t="shared" si="507"/>
        <v>|||</v>
      </c>
      <c r="H13712" s="835">
        <f t="shared" si="508"/>
        <v>31</v>
      </c>
      <c r="AF13712" s="831" t="s">
        <v>10987</v>
      </c>
      <c r="AG13712" s="831" t="s">
        <v>2674</v>
      </c>
      <c r="AH13712" s="831" t="s">
        <v>103</v>
      </c>
      <c r="AI13712" s="831">
        <v>0</v>
      </c>
      <c r="AJ13712" s="835">
        <v>41455</v>
      </c>
      <c r="AK13712" s="831">
        <v>203236381</v>
      </c>
    </row>
    <row r="13713" spans="2:37">
      <c r="B13713" s="834" t="str">
        <f t="shared" ref="B13713:B13776" si="509">C13713&amp;"|"&amp;D13713&amp;"|"&amp;E13713&amp;"|"&amp;F13713</f>
        <v>|||</v>
      </c>
      <c r="H13713" s="835">
        <f t="shared" ref="H13713:H13776" si="510">EOMONTH(L13713,0)</f>
        <v>31</v>
      </c>
      <c r="AF13713" s="831" t="s">
        <v>10988</v>
      </c>
      <c r="AG13713" s="831" t="s">
        <v>2674</v>
      </c>
      <c r="AH13713" s="831" t="s">
        <v>182</v>
      </c>
      <c r="AI13713" s="831">
        <v>0</v>
      </c>
      <c r="AJ13713" s="835">
        <v>41455</v>
      </c>
      <c r="AK13713" s="831">
        <v>57441170</v>
      </c>
    </row>
    <row r="13714" spans="2:37">
      <c r="B13714" s="834" t="str">
        <f t="shared" si="509"/>
        <v>|||</v>
      </c>
      <c r="H13714" s="835">
        <f t="shared" si="510"/>
        <v>31</v>
      </c>
      <c r="AF13714" s="831" t="s">
        <v>10989</v>
      </c>
      <c r="AG13714" s="831" t="s">
        <v>2674</v>
      </c>
      <c r="AH13714" s="831" t="s">
        <v>6600</v>
      </c>
      <c r="AI13714" s="831">
        <v>0</v>
      </c>
      <c r="AJ13714" s="835">
        <v>41455</v>
      </c>
      <c r="AK13714" s="831">
        <v>22784991</v>
      </c>
    </row>
    <row r="13715" spans="2:37">
      <c r="B13715" s="834" t="str">
        <f t="shared" si="509"/>
        <v>|||</v>
      </c>
      <c r="H13715" s="835">
        <f t="shared" si="510"/>
        <v>31</v>
      </c>
      <c r="AF13715" s="831" t="s">
        <v>10990</v>
      </c>
      <c r="AG13715" s="831" t="s">
        <v>2674</v>
      </c>
      <c r="AH13715" s="831" t="s">
        <v>6602</v>
      </c>
      <c r="AI13715" s="831">
        <v>0</v>
      </c>
      <c r="AJ13715" s="835">
        <v>41455</v>
      </c>
      <c r="AK13715" s="831">
        <v>13297133</v>
      </c>
    </row>
    <row r="13716" spans="2:37">
      <c r="B13716" s="834" t="str">
        <f t="shared" si="509"/>
        <v>|||</v>
      </c>
      <c r="H13716" s="835">
        <f t="shared" si="510"/>
        <v>31</v>
      </c>
      <c r="AF13716" s="831" t="s">
        <v>10991</v>
      </c>
      <c r="AG13716" s="831" t="s">
        <v>2674</v>
      </c>
      <c r="AH13716" s="831" t="s">
        <v>650</v>
      </c>
      <c r="AI13716" s="831">
        <v>0</v>
      </c>
      <c r="AJ13716" s="835">
        <v>41455</v>
      </c>
      <c r="AK13716" s="831">
        <v>173391733.15384614</v>
      </c>
    </row>
    <row r="13717" spans="2:37">
      <c r="B13717" s="834" t="str">
        <f t="shared" si="509"/>
        <v>|||</v>
      </c>
      <c r="H13717" s="835">
        <f t="shared" si="510"/>
        <v>31</v>
      </c>
      <c r="AF13717" s="831" t="s">
        <v>10992</v>
      </c>
      <c r="AG13717" s="831" t="s">
        <v>2674</v>
      </c>
      <c r="AH13717" s="831" t="s">
        <v>655</v>
      </c>
      <c r="AI13717" s="831">
        <v>0</v>
      </c>
      <c r="AJ13717" s="835">
        <v>41455</v>
      </c>
      <c r="AK13717" s="831">
        <v>1055339.06</v>
      </c>
    </row>
    <row r="13718" spans="2:37">
      <c r="B13718" s="834" t="str">
        <f t="shared" si="509"/>
        <v>|||</v>
      </c>
      <c r="H13718" s="835">
        <f t="shared" si="510"/>
        <v>31</v>
      </c>
      <c r="AF13718" s="831" t="s">
        <v>10993</v>
      </c>
      <c r="AG13718" s="831" t="s">
        <v>2674</v>
      </c>
      <c r="AH13718" s="831" t="s">
        <v>546</v>
      </c>
      <c r="AI13718" s="831">
        <v>0</v>
      </c>
      <c r="AJ13718" s="835">
        <v>41486</v>
      </c>
      <c r="AK13718" s="831">
        <v>530405930</v>
      </c>
    </row>
    <row r="13719" spans="2:37">
      <c r="B13719" s="834" t="str">
        <f t="shared" si="509"/>
        <v>|||</v>
      </c>
      <c r="H13719" s="835">
        <f t="shared" si="510"/>
        <v>31</v>
      </c>
      <c r="AF13719" s="831" t="s">
        <v>10994</v>
      </c>
      <c r="AG13719" s="831" t="s">
        <v>2674</v>
      </c>
      <c r="AH13719" s="831" t="s">
        <v>370</v>
      </c>
      <c r="AI13719" s="831">
        <v>0</v>
      </c>
      <c r="AJ13719" s="835">
        <v>41486</v>
      </c>
      <c r="AK13719" s="831">
        <v>658328328</v>
      </c>
    </row>
    <row r="13720" spans="2:37">
      <c r="B13720" s="834" t="str">
        <f t="shared" si="509"/>
        <v>|||</v>
      </c>
      <c r="H13720" s="835">
        <f t="shared" si="510"/>
        <v>31</v>
      </c>
      <c r="AF13720" s="831" t="s">
        <v>10995</v>
      </c>
      <c r="AG13720" s="831" t="s">
        <v>2674</v>
      </c>
      <c r="AH13720" s="831" t="s">
        <v>126</v>
      </c>
      <c r="AI13720" s="831">
        <v>0</v>
      </c>
      <c r="AJ13720" s="835">
        <v>41486</v>
      </c>
      <c r="AK13720" s="831">
        <v>110887562</v>
      </c>
    </row>
    <row r="13721" spans="2:37">
      <c r="B13721" s="834" t="str">
        <f t="shared" si="509"/>
        <v>|||</v>
      </c>
      <c r="H13721" s="835">
        <f t="shared" si="510"/>
        <v>31</v>
      </c>
      <c r="AF13721" s="831" t="s">
        <v>10996</v>
      </c>
      <c r="AG13721" s="831" t="s">
        <v>2674</v>
      </c>
      <c r="AH13721" s="831" t="s">
        <v>268</v>
      </c>
      <c r="AI13721" s="831">
        <v>0</v>
      </c>
      <c r="AJ13721" s="835">
        <v>41486</v>
      </c>
      <c r="AK13721" s="831">
        <v>16124340</v>
      </c>
    </row>
    <row r="13722" spans="2:37">
      <c r="B13722" s="834" t="str">
        <f t="shared" si="509"/>
        <v>|||</v>
      </c>
      <c r="H13722" s="835">
        <f t="shared" si="510"/>
        <v>31</v>
      </c>
      <c r="AF13722" s="831" t="s">
        <v>10997</v>
      </c>
      <c r="AG13722" s="831" t="s">
        <v>2674</v>
      </c>
      <c r="AH13722" s="831" t="s">
        <v>547</v>
      </c>
      <c r="AI13722" s="831">
        <v>0</v>
      </c>
      <c r="AJ13722" s="835">
        <v>41486</v>
      </c>
      <c r="AK13722" s="831">
        <v>511487760</v>
      </c>
    </row>
    <row r="13723" spans="2:37">
      <c r="B13723" s="834" t="str">
        <f t="shared" si="509"/>
        <v>|||</v>
      </c>
      <c r="H13723" s="835">
        <f t="shared" si="510"/>
        <v>31</v>
      </c>
      <c r="AF13723" s="831" t="s">
        <v>10998</v>
      </c>
      <c r="AG13723" s="831" t="s">
        <v>2674</v>
      </c>
      <c r="AH13723" s="831" t="s">
        <v>548</v>
      </c>
      <c r="AI13723" s="831">
        <v>0</v>
      </c>
      <c r="AJ13723" s="835">
        <v>41486</v>
      </c>
      <c r="AK13723" s="831">
        <v>96883184</v>
      </c>
    </row>
    <row r="13724" spans="2:37">
      <c r="B13724" s="834" t="str">
        <f t="shared" si="509"/>
        <v>|||</v>
      </c>
      <c r="H13724" s="835">
        <f t="shared" si="510"/>
        <v>31</v>
      </c>
      <c r="AF13724" s="831" t="s">
        <v>10999</v>
      </c>
      <c r="AG13724" s="831" t="s">
        <v>2674</v>
      </c>
      <c r="AH13724" s="831" t="s">
        <v>549</v>
      </c>
      <c r="AI13724" s="831">
        <v>0</v>
      </c>
      <c r="AJ13724" s="835">
        <v>41486</v>
      </c>
      <c r="AK13724" s="831">
        <v>350104350</v>
      </c>
    </row>
    <row r="13725" spans="2:37">
      <c r="B13725" s="834" t="str">
        <f t="shared" si="509"/>
        <v>|||</v>
      </c>
      <c r="H13725" s="835">
        <f t="shared" si="510"/>
        <v>31</v>
      </c>
      <c r="AF13725" s="831" t="s">
        <v>11000</v>
      </c>
      <c r="AG13725" s="831" t="s">
        <v>2674</v>
      </c>
      <c r="AH13725" s="831" t="s">
        <v>192</v>
      </c>
      <c r="AI13725" s="831">
        <v>0</v>
      </c>
      <c r="AJ13725" s="835">
        <v>41486</v>
      </c>
      <c r="AK13725" s="831">
        <v>-11946675</v>
      </c>
    </row>
    <row r="13726" spans="2:37">
      <c r="B13726" s="834" t="str">
        <f t="shared" si="509"/>
        <v>|||</v>
      </c>
      <c r="H13726" s="835">
        <f t="shared" si="510"/>
        <v>31</v>
      </c>
      <c r="AF13726" s="831" t="s">
        <v>11001</v>
      </c>
      <c r="AG13726" s="831" t="s">
        <v>2674</v>
      </c>
      <c r="AH13726" s="831" t="s">
        <v>558</v>
      </c>
      <c r="AI13726" s="831">
        <v>0</v>
      </c>
      <c r="AJ13726" s="835">
        <v>41486</v>
      </c>
      <c r="AK13726" s="831">
        <v>547440766</v>
      </c>
    </row>
    <row r="13727" spans="2:37">
      <c r="B13727" s="834" t="str">
        <f t="shared" si="509"/>
        <v>|||</v>
      </c>
      <c r="H13727" s="835">
        <f t="shared" si="510"/>
        <v>31</v>
      </c>
      <c r="AF13727" s="831" t="s">
        <v>11002</v>
      </c>
      <c r="AG13727" s="831" t="s">
        <v>2674</v>
      </c>
      <c r="AH13727" s="831" t="s">
        <v>65</v>
      </c>
      <c r="AI13727" s="831">
        <v>0</v>
      </c>
      <c r="AJ13727" s="835">
        <v>41486</v>
      </c>
      <c r="AK13727" s="831">
        <v>71979253</v>
      </c>
    </row>
    <row r="13728" spans="2:37">
      <c r="B13728" s="834" t="str">
        <f t="shared" si="509"/>
        <v>|||</v>
      </c>
      <c r="H13728" s="835">
        <f t="shared" si="510"/>
        <v>31</v>
      </c>
      <c r="AF13728" s="831" t="s">
        <v>11003</v>
      </c>
      <c r="AG13728" s="831" t="s">
        <v>2674</v>
      </c>
      <c r="AH13728" s="831" t="s">
        <v>89</v>
      </c>
      <c r="AI13728" s="831">
        <v>0</v>
      </c>
      <c r="AJ13728" s="835">
        <v>41486</v>
      </c>
      <c r="AK13728" s="831">
        <v>138057</v>
      </c>
    </row>
    <row r="13729" spans="2:37">
      <c r="B13729" s="834" t="str">
        <f t="shared" si="509"/>
        <v>|||</v>
      </c>
      <c r="H13729" s="835">
        <f t="shared" si="510"/>
        <v>31</v>
      </c>
      <c r="AF13729" s="831" t="s">
        <v>11004</v>
      </c>
      <c r="AG13729" s="831" t="s">
        <v>2674</v>
      </c>
      <c r="AH13729" s="831" t="s">
        <v>557</v>
      </c>
      <c r="AI13729" s="831">
        <v>0</v>
      </c>
      <c r="AJ13729" s="835">
        <v>41486</v>
      </c>
      <c r="AK13729" s="831">
        <v>145518</v>
      </c>
    </row>
    <row r="13730" spans="2:37">
      <c r="B13730" s="834" t="str">
        <f t="shared" si="509"/>
        <v>|||</v>
      </c>
      <c r="H13730" s="835">
        <f t="shared" si="510"/>
        <v>31</v>
      </c>
      <c r="AF13730" s="831" t="s">
        <v>11005</v>
      </c>
      <c r="AG13730" s="831" t="s">
        <v>2674</v>
      </c>
      <c r="AH13730" s="831" t="s">
        <v>29</v>
      </c>
      <c r="AI13730" s="831">
        <v>0</v>
      </c>
      <c r="AJ13730" s="835">
        <v>41486</v>
      </c>
      <c r="AK13730" s="831">
        <v>1452161.1670000001</v>
      </c>
    </row>
    <row r="13731" spans="2:37">
      <c r="B13731" s="834" t="str">
        <f t="shared" si="509"/>
        <v>|||</v>
      </c>
      <c r="H13731" s="835">
        <f t="shared" si="510"/>
        <v>31</v>
      </c>
      <c r="AF13731" s="831" t="s">
        <v>11006</v>
      </c>
      <c r="AG13731" s="831" t="s">
        <v>2674</v>
      </c>
      <c r="AH13731" s="831" t="s">
        <v>2688</v>
      </c>
      <c r="AI13731" s="831">
        <v>0</v>
      </c>
      <c r="AJ13731" s="835">
        <v>41486</v>
      </c>
      <c r="AK13731" s="831">
        <v>1987224.58</v>
      </c>
    </row>
    <row r="13732" spans="2:37">
      <c r="B13732" s="834" t="str">
        <f t="shared" si="509"/>
        <v>|||</v>
      </c>
      <c r="H13732" s="835">
        <f t="shared" si="510"/>
        <v>31</v>
      </c>
      <c r="AF13732" s="831" t="s">
        <v>11007</v>
      </c>
      <c r="AG13732" s="831" t="s">
        <v>2674</v>
      </c>
      <c r="AH13732" s="831" t="s">
        <v>556</v>
      </c>
      <c r="AI13732" s="831">
        <v>0</v>
      </c>
      <c r="AJ13732" s="835">
        <v>41486</v>
      </c>
      <c r="AK13732" s="831">
        <v>2547589</v>
      </c>
    </row>
    <row r="13733" spans="2:37">
      <c r="B13733" s="834" t="str">
        <f t="shared" si="509"/>
        <v>|||</v>
      </c>
      <c r="H13733" s="835">
        <f t="shared" si="510"/>
        <v>31</v>
      </c>
      <c r="AF13733" s="831" t="s">
        <v>11008</v>
      </c>
      <c r="AG13733" s="831" t="s">
        <v>2674</v>
      </c>
      <c r="AH13733" s="831" t="s">
        <v>555</v>
      </c>
      <c r="AI13733" s="831">
        <v>0</v>
      </c>
      <c r="AJ13733" s="835">
        <v>41486</v>
      </c>
      <c r="AK13733" s="831">
        <v>359140020</v>
      </c>
    </row>
    <row r="13734" spans="2:37">
      <c r="B13734" s="834" t="str">
        <f t="shared" si="509"/>
        <v>|||</v>
      </c>
      <c r="H13734" s="835">
        <f t="shared" si="510"/>
        <v>31</v>
      </c>
      <c r="AF13734" s="831" t="s">
        <v>11009</v>
      </c>
      <c r="AG13734" s="831" t="s">
        <v>2674</v>
      </c>
      <c r="AH13734" s="831" t="s">
        <v>554</v>
      </c>
      <c r="AI13734" s="831">
        <v>0</v>
      </c>
      <c r="AJ13734" s="835">
        <v>41486</v>
      </c>
      <c r="AK13734" s="831">
        <v>364984870</v>
      </c>
    </row>
    <row r="13735" spans="2:37">
      <c r="B13735" s="834" t="str">
        <f t="shared" si="509"/>
        <v>|||</v>
      </c>
      <c r="H13735" s="835">
        <f t="shared" si="510"/>
        <v>31</v>
      </c>
      <c r="AF13735" s="831" t="s">
        <v>11010</v>
      </c>
      <c r="AG13735" s="831" t="s">
        <v>2674</v>
      </c>
      <c r="AH13735" s="831" t="s">
        <v>553</v>
      </c>
      <c r="AI13735" s="831">
        <v>0</v>
      </c>
      <c r="AJ13735" s="835">
        <v>41486</v>
      </c>
      <c r="AK13735" s="831">
        <v>0</v>
      </c>
    </row>
    <row r="13736" spans="2:37">
      <c r="B13736" s="834" t="str">
        <f t="shared" si="509"/>
        <v>|||</v>
      </c>
      <c r="H13736" s="835">
        <f t="shared" si="510"/>
        <v>31</v>
      </c>
      <c r="AF13736" s="831" t="s">
        <v>11011</v>
      </c>
      <c r="AG13736" s="831" t="s">
        <v>2674</v>
      </c>
      <c r="AH13736" s="831" t="s">
        <v>552</v>
      </c>
      <c r="AI13736" s="831">
        <v>0</v>
      </c>
      <c r="AJ13736" s="835">
        <v>41486</v>
      </c>
      <c r="AK13736" s="831">
        <v>0</v>
      </c>
    </row>
    <row r="13737" spans="2:37">
      <c r="B13737" s="834" t="str">
        <f t="shared" si="509"/>
        <v>|||</v>
      </c>
      <c r="H13737" s="835">
        <f t="shared" si="510"/>
        <v>31</v>
      </c>
      <c r="AF13737" s="831" t="s">
        <v>11012</v>
      </c>
      <c r="AG13737" s="831" t="s">
        <v>2674</v>
      </c>
      <c r="AH13737" s="831" t="s">
        <v>551</v>
      </c>
      <c r="AI13737" s="831">
        <v>0</v>
      </c>
      <c r="AJ13737" s="835">
        <v>41486</v>
      </c>
      <c r="AK13737" s="831">
        <v>1334074.5780000002</v>
      </c>
    </row>
    <row r="13738" spans="2:37">
      <c r="B13738" s="834" t="str">
        <f t="shared" si="509"/>
        <v>|||</v>
      </c>
      <c r="H13738" s="835">
        <f t="shared" si="510"/>
        <v>31</v>
      </c>
      <c r="AF13738" s="831" t="s">
        <v>11013</v>
      </c>
      <c r="AG13738" s="831" t="s">
        <v>2674</v>
      </c>
      <c r="AH13738" s="831" t="s">
        <v>550</v>
      </c>
      <c r="AI13738" s="831">
        <v>0</v>
      </c>
      <c r="AJ13738" s="835">
        <v>41486</v>
      </c>
      <c r="AK13738" s="831">
        <v>108060358</v>
      </c>
    </row>
    <row r="13739" spans="2:37">
      <c r="B13739" s="834" t="str">
        <f t="shared" si="509"/>
        <v>|||</v>
      </c>
      <c r="H13739" s="835">
        <f t="shared" si="510"/>
        <v>31</v>
      </c>
      <c r="AF13739" s="831" t="s">
        <v>11014</v>
      </c>
      <c r="AG13739" s="831" t="s">
        <v>2674</v>
      </c>
      <c r="AH13739" s="831" t="s">
        <v>562</v>
      </c>
      <c r="AI13739" s="831">
        <v>0</v>
      </c>
      <c r="AJ13739" s="835">
        <v>41486</v>
      </c>
      <c r="AK13739" s="831">
        <v>0.78374999999999995</v>
      </c>
    </row>
    <row r="13740" spans="2:37">
      <c r="B13740" s="834" t="str">
        <f t="shared" si="509"/>
        <v>|||</v>
      </c>
      <c r="H13740" s="835">
        <f t="shared" si="510"/>
        <v>31</v>
      </c>
      <c r="AF13740" s="831" t="s">
        <v>11015</v>
      </c>
      <c r="AG13740" s="831" t="s">
        <v>2674</v>
      </c>
      <c r="AH13740" s="831" t="s">
        <v>2698</v>
      </c>
      <c r="AI13740" s="831">
        <v>0</v>
      </c>
      <c r="AJ13740" s="835">
        <v>41486</v>
      </c>
      <c r="AK13740" s="831">
        <v>0.78395000000000004</v>
      </c>
    </row>
    <row r="13741" spans="2:37">
      <c r="B13741" s="834" t="str">
        <f t="shared" si="509"/>
        <v>|||</v>
      </c>
      <c r="H13741" s="835">
        <f t="shared" si="510"/>
        <v>31</v>
      </c>
      <c r="AF13741" s="831" t="s">
        <v>11016</v>
      </c>
      <c r="AG13741" s="831" t="s">
        <v>2674</v>
      </c>
      <c r="AH13741" s="831" t="s">
        <v>560</v>
      </c>
      <c r="AI13741" s="831">
        <v>0</v>
      </c>
      <c r="AJ13741" s="835">
        <v>41486</v>
      </c>
      <c r="AK13741" s="831">
        <v>0.78403571428571439</v>
      </c>
    </row>
    <row r="13742" spans="2:37">
      <c r="B13742" s="834" t="str">
        <f t="shared" si="509"/>
        <v>|||</v>
      </c>
      <c r="H13742" s="835">
        <f t="shared" si="510"/>
        <v>31</v>
      </c>
      <c r="AF13742" s="831" t="s">
        <v>11017</v>
      </c>
      <c r="AG13742" s="831" t="s">
        <v>2674</v>
      </c>
      <c r="AH13742" s="831" t="s">
        <v>559</v>
      </c>
      <c r="AI13742" s="831">
        <v>0</v>
      </c>
      <c r="AJ13742" s="835">
        <v>41486</v>
      </c>
      <c r="AK13742" s="831">
        <v>0.7841583333333334</v>
      </c>
    </row>
    <row r="13743" spans="2:37">
      <c r="B13743" s="834" t="str">
        <f t="shared" si="509"/>
        <v>|||</v>
      </c>
      <c r="H13743" s="835">
        <f t="shared" si="510"/>
        <v>31</v>
      </c>
      <c r="AF13743" s="831" t="s">
        <v>11018</v>
      </c>
      <c r="AG13743" s="831" t="s">
        <v>2674</v>
      </c>
      <c r="AH13743" s="831" t="s">
        <v>568</v>
      </c>
      <c r="AI13743" s="831">
        <v>0</v>
      </c>
      <c r="AJ13743" s="835">
        <v>41486</v>
      </c>
      <c r="AK13743" s="831">
        <v>431219750.30769229</v>
      </c>
    </row>
    <row r="13744" spans="2:37">
      <c r="B13744" s="834" t="str">
        <f t="shared" si="509"/>
        <v>|||</v>
      </c>
      <c r="H13744" s="835">
        <f t="shared" si="510"/>
        <v>31</v>
      </c>
      <c r="AF13744" s="831" t="s">
        <v>11019</v>
      </c>
      <c r="AG13744" s="831" t="s">
        <v>2674</v>
      </c>
      <c r="AH13744" s="831" t="s">
        <v>569</v>
      </c>
      <c r="AI13744" s="831">
        <v>0</v>
      </c>
      <c r="AJ13744" s="835">
        <v>41486</v>
      </c>
      <c r="AK13744" s="831">
        <v>525226803</v>
      </c>
    </row>
    <row r="13745" spans="2:37">
      <c r="B13745" s="834" t="str">
        <f t="shared" si="509"/>
        <v>|||</v>
      </c>
      <c r="H13745" s="835">
        <f t="shared" si="510"/>
        <v>31</v>
      </c>
      <c r="AF13745" s="831" t="s">
        <v>11020</v>
      </c>
      <c r="AG13745" s="831" t="s">
        <v>2674</v>
      </c>
      <c r="AH13745" s="831" t="s">
        <v>570</v>
      </c>
      <c r="AI13745" s="831">
        <v>0</v>
      </c>
      <c r="AJ13745" s="835">
        <v>41486</v>
      </c>
      <c r="AK13745" s="831">
        <v>100992550.61538461</v>
      </c>
    </row>
    <row r="13746" spans="2:37">
      <c r="B13746" s="834" t="str">
        <f t="shared" si="509"/>
        <v>|||</v>
      </c>
      <c r="H13746" s="835">
        <f t="shared" si="510"/>
        <v>31</v>
      </c>
      <c r="AF13746" s="831" t="s">
        <v>11021</v>
      </c>
      <c r="AG13746" s="831" t="s">
        <v>2674</v>
      </c>
      <c r="AH13746" s="831" t="s">
        <v>571</v>
      </c>
      <c r="AI13746" s="831">
        <v>0</v>
      </c>
      <c r="AJ13746" s="835">
        <v>41486</v>
      </c>
      <c r="AK13746" s="831">
        <v>233627225.76923078</v>
      </c>
    </row>
    <row r="13747" spans="2:37">
      <c r="B13747" s="834" t="str">
        <f t="shared" si="509"/>
        <v>|||</v>
      </c>
      <c r="H13747" s="835">
        <f t="shared" si="510"/>
        <v>31</v>
      </c>
      <c r="AF13747" s="831" t="s">
        <v>11022</v>
      </c>
      <c r="AG13747" s="831" t="s">
        <v>2674</v>
      </c>
      <c r="AH13747" s="831" t="s">
        <v>573</v>
      </c>
      <c r="AI13747" s="831">
        <v>0</v>
      </c>
      <c r="AJ13747" s="835">
        <v>41486</v>
      </c>
      <c r="AK13747" s="831">
        <v>569857313.625</v>
      </c>
    </row>
    <row r="13748" spans="2:37">
      <c r="B13748" s="834" t="str">
        <f t="shared" si="509"/>
        <v>|||</v>
      </c>
      <c r="H13748" s="835">
        <f t="shared" si="510"/>
        <v>31</v>
      </c>
      <c r="AF13748" s="831" t="s">
        <v>11023</v>
      </c>
      <c r="AG13748" s="831" t="s">
        <v>2674</v>
      </c>
      <c r="AH13748" s="831" t="s">
        <v>574</v>
      </c>
      <c r="AI13748" s="831">
        <v>0</v>
      </c>
      <c r="AJ13748" s="835">
        <v>41486</v>
      </c>
      <c r="AK13748" s="831">
        <v>469485522.25</v>
      </c>
    </row>
    <row r="13749" spans="2:37">
      <c r="B13749" s="834" t="str">
        <f t="shared" si="509"/>
        <v>|||</v>
      </c>
      <c r="H13749" s="835">
        <f t="shared" si="510"/>
        <v>31</v>
      </c>
      <c r="AF13749" s="831" t="s">
        <v>11024</v>
      </c>
      <c r="AG13749" s="831" t="s">
        <v>2674</v>
      </c>
      <c r="AH13749" s="831" t="s">
        <v>575</v>
      </c>
      <c r="AI13749" s="831">
        <v>0</v>
      </c>
      <c r="AJ13749" s="835">
        <v>41486</v>
      </c>
      <c r="AK13749" s="831">
        <v>103170462.125</v>
      </c>
    </row>
    <row r="13750" spans="2:37">
      <c r="B13750" s="834" t="str">
        <f t="shared" si="509"/>
        <v>|||</v>
      </c>
      <c r="H13750" s="835">
        <f t="shared" si="510"/>
        <v>31</v>
      </c>
      <c r="AF13750" s="831" t="s">
        <v>11025</v>
      </c>
      <c r="AG13750" s="831" t="s">
        <v>2674</v>
      </c>
      <c r="AH13750" s="831" t="s">
        <v>576</v>
      </c>
      <c r="AI13750" s="831">
        <v>0</v>
      </c>
      <c r="AJ13750" s="835">
        <v>41486</v>
      </c>
      <c r="AK13750" s="831">
        <v>265012255.125</v>
      </c>
    </row>
    <row r="13751" spans="2:37">
      <c r="B13751" s="834" t="str">
        <f t="shared" si="509"/>
        <v>|||</v>
      </c>
      <c r="H13751" s="835">
        <f t="shared" si="510"/>
        <v>31</v>
      </c>
      <c r="AF13751" s="831" t="s">
        <v>11026</v>
      </c>
      <c r="AG13751" s="831" t="s">
        <v>2674</v>
      </c>
      <c r="AH13751" s="831" t="s">
        <v>572</v>
      </c>
      <c r="AI13751" s="831">
        <v>0</v>
      </c>
      <c r="AJ13751" s="835">
        <v>41486</v>
      </c>
      <c r="AK13751" s="831">
        <v>23860386</v>
      </c>
    </row>
    <row r="13752" spans="2:37">
      <c r="B13752" s="834" t="str">
        <f t="shared" si="509"/>
        <v>|||</v>
      </c>
      <c r="H13752" s="835">
        <f t="shared" si="510"/>
        <v>31</v>
      </c>
      <c r="AF13752" s="831" t="s">
        <v>11027</v>
      </c>
      <c r="AG13752" s="831" t="s">
        <v>2674</v>
      </c>
      <c r="AH13752" s="831" t="s">
        <v>577</v>
      </c>
      <c r="AI13752" s="831">
        <v>0</v>
      </c>
      <c r="AJ13752" s="835">
        <v>41486</v>
      </c>
      <c r="AK13752" s="831">
        <v>116281669</v>
      </c>
    </row>
    <row r="13753" spans="2:37">
      <c r="B13753" s="834" t="str">
        <f t="shared" si="509"/>
        <v>|||</v>
      </c>
      <c r="H13753" s="835">
        <f t="shared" si="510"/>
        <v>31</v>
      </c>
      <c r="AF13753" s="831" t="s">
        <v>11028</v>
      </c>
      <c r="AG13753" s="831" t="s">
        <v>2674</v>
      </c>
      <c r="AH13753" s="831" t="s">
        <v>3042</v>
      </c>
      <c r="AI13753" s="831">
        <v>0</v>
      </c>
      <c r="AJ13753" s="835">
        <v>41486</v>
      </c>
      <c r="AK13753" s="831">
        <v>-28313674</v>
      </c>
    </row>
    <row r="13754" spans="2:37">
      <c r="B13754" s="834" t="str">
        <f t="shared" si="509"/>
        <v>|||</v>
      </c>
      <c r="H13754" s="835">
        <f t="shared" si="510"/>
        <v>31</v>
      </c>
      <c r="AF13754" s="831" t="s">
        <v>11029</v>
      </c>
      <c r="AG13754" s="831" t="s">
        <v>2674</v>
      </c>
      <c r="AH13754" s="831" t="s">
        <v>3044</v>
      </c>
      <c r="AI13754" s="831">
        <v>0</v>
      </c>
      <c r="AJ13754" s="835">
        <v>41486</v>
      </c>
      <c r="AK13754" s="831">
        <v>-4195755</v>
      </c>
    </row>
    <row r="13755" spans="2:37">
      <c r="B13755" s="834" t="str">
        <f t="shared" si="509"/>
        <v>|||</v>
      </c>
      <c r="H13755" s="835">
        <f t="shared" si="510"/>
        <v>31</v>
      </c>
      <c r="AF13755" s="831" t="s">
        <v>11030</v>
      </c>
      <c r="AG13755" s="831" t="s">
        <v>2674</v>
      </c>
      <c r="AH13755" s="831" t="s">
        <v>580</v>
      </c>
      <c r="AI13755" s="831">
        <v>0</v>
      </c>
      <c r="AJ13755" s="835">
        <v>41486</v>
      </c>
      <c r="AK13755" s="831">
        <v>-57513801</v>
      </c>
    </row>
    <row r="13756" spans="2:37">
      <c r="B13756" s="834" t="str">
        <f t="shared" si="509"/>
        <v>|||</v>
      </c>
      <c r="H13756" s="835">
        <f t="shared" si="510"/>
        <v>31</v>
      </c>
      <c r="AF13756" s="831" t="s">
        <v>11031</v>
      </c>
      <c r="AG13756" s="831" t="s">
        <v>2674</v>
      </c>
      <c r="AH13756" s="831" t="s">
        <v>581</v>
      </c>
      <c r="AI13756" s="831">
        <v>0</v>
      </c>
      <c r="AJ13756" s="835">
        <v>41486</v>
      </c>
      <c r="AK13756" s="831">
        <v>4189789</v>
      </c>
    </row>
    <row r="13757" spans="2:37">
      <c r="B13757" s="834" t="str">
        <f t="shared" si="509"/>
        <v>|||</v>
      </c>
      <c r="H13757" s="835">
        <f t="shared" si="510"/>
        <v>31</v>
      </c>
      <c r="AF13757" s="831" t="s">
        <v>11032</v>
      </c>
      <c r="AG13757" s="831" t="s">
        <v>2674</v>
      </c>
      <c r="AH13757" s="831" t="s">
        <v>105</v>
      </c>
      <c r="AI13757" s="831">
        <v>0</v>
      </c>
      <c r="AJ13757" s="835">
        <v>41486</v>
      </c>
      <c r="AK13757" s="831">
        <v>321921227</v>
      </c>
    </row>
    <row r="13758" spans="2:37">
      <c r="B13758" s="834" t="str">
        <f t="shared" si="509"/>
        <v>|||</v>
      </c>
      <c r="H13758" s="835">
        <f t="shared" si="510"/>
        <v>31</v>
      </c>
      <c r="AF13758" s="831" t="s">
        <v>11033</v>
      </c>
      <c r="AG13758" s="831" t="s">
        <v>2674</v>
      </c>
      <c r="AH13758" s="831" t="s">
        <v>3049</v>
      </c>
      <c r="AI13758" s="831">
        <v>0</v>
      </c>
      <c r="AJ13758" s="835">
        <v>41486</v>
      </c>
      <c r="AK13758" s="831">
        <v>533353115</v>
      </c>
    </row>
    <row r="13759" spans="2:37">
      <c r="B13759" s="834" t="str">
        <f t="shared" si="509"/>
        <v>|||</v>
      </c>
      <c r="H13759" s="835">
        <f t="shared" si="510"/>
        <v>31</v>
      </c>
      <c r="AF13759" s="831" t="s">
        <v>11034</v>
      </c>
      <c r="AG13759" s="831" t="s">
        <v>2674</v>
      </c>
      <c r="AH13759" s="831" t="s">
        <v>103</v>
      </c>
      <c r="AI13759" s="831">
        <v>0</v>
      </c>
      <c r="AJ13759" s="835">
        <v>41486</v>
      </c>
      <c r="AK13759" s="831">
        <v>211431888</v>
      </c>
    </row>
    <row r="13760" spans="2:37">
      <c r="B13760" s="834" t="str">
        <f t="shared" si="509"/>
        <v>|||</v>
      </c>
      <c r="H13760" s="835">
        <f t="shared" si="510"/>
        <v>31</v>
      </c>
      <c r="AF13760" s="831" t="s">
        <v>11035</v>
      </c>
      <c r="AG13760" s="831" t="s">
        <v>2674</v>
      </c>
      <c r="AH13760" s="831" t="s">
        <v>182</v>
      </c>
      <c r="AI13760" s="831">
        <v>0</v>
      </c>
      <c r="AJ13760" s="835">
        <v>41486</v>
      </c>
      <c r="AK13760" s="831">
        <v>58107797.142857142</v>
      </c>
    </row>
    <row r="13761" spans="2:37">
      <c r="B13761" s="834" t="str">
        <f t="shared" si="509"/>
        <v>|||</v>
      </c>
      <c r="H13761" s="835">
        <f t="shared" si="510"/>
        <v>31</v>
      </c>
      <c r="AF13761" s="831" t="s">
        <v>11036</v>
      </c>
      <c r="AG13761" s="831" t="s">
        <v>2674</v>
      </c>
      <c r="AH13761" s="831" t="s">
        <v>6600</v>
      </c>
      <c r="AI13761" s="831">
        <v>0</v>
      </c>
      <c r="AJ13761" s="835">
        <v>41486</v>
      </c>
      <c r="AK13761" s="831">
        <v>23860386</v>
      </c>
    </row>
    <row r="13762" spans="2:37">
      <c r="B13762" s="834" t="str">
        <f t="shared" si="509"/>
        <v>|||</v>
      </c>
      <c r="H13762" s="835">
        <f t="shared" si="510"/>
        <v>31</v>
      </c>
      <c r="AF13762" s="831" t="s">
        <v>11037</v>
      </c>
      <c r="AG13762" s="831" t="s">
        <v>2674</v>
      </c>
      <c r="AH13762" s="831" t="s">
        <v>6602</v>
      </c>
      <c r="AI13762" s="831">
        <v>0</v>
      </c>
      <c r="AJ13762" s="835">
        <v>41486</v>
      </c>
      <c r="AK13762" s="831">
        <v>16124340</v>
      </c>
    </row>
    <row r="13763" spans="2:37">
      <c r="B13763" s="834" t="str">
        <f t="shared" si="509"/>
        <v>|||</v>
      </c>
      <c r="H13763" s="835">
        <f t="shared" si="510"/>
        <v>31</v>
      </c>
      <c r="AF13763" s="831" t="s">
        <v>11038</v>
      </c>
      <c r="AG13763" s="831" t="s">
        <v>2674</v>
      </c>
      <c r="AH13763" s="831" t="s">
        <v>650</v>
      </c>
      <c r="AI13763" s="831">
        <v>0</v>
      </c>
      <c r="AJ13763" s="835">
        <v>41486</v>
      </c>
      <c r="AK13763" s="831">
        <v>176984761.69230768</v>
      </c>
    </row>
    <row r="13764" spans="2:37">
      <c r="B13764" s="834" t="str">
        <f t="shared" si="509"/>
        <v>|||</v>
      </c>
      <c r="H13764" s="835">
        <f t="shared" si="510"/>
        <v>31</v>
      </c>
      <c r="AF13764" s="831" t="s">
        <v>11039</v>
      </c>
      <c r="AG13764" s="831" t="s">
        <v>2674</v>
      </c>
      <c r="AH13764" s="831" t="s">
        <v>655</v>
      </c>
      <c r="AI13764" s="831">
        <v>0</v>
      </c>
      <c r="AJ13764" s="835">
        <v>41486</v>
      </c>
      <c r="AK13764" s="831">
        <v>1081919.6189999999</v>
      </c>
    </row>
    <row r="13765" spans="2:37">
      <c r="B13765" s="834" t="str">
        <f t="shared" si="509"/>
        <v>|||</v>
      </c>
      <c r="H13765" s="835">
        <f t="shared" si="510"/>
        <v>31</v>
      </c>
      <c r="AF13765" s="831" t="s">
        <v>11040</v>
      </c>
      <c r="AG13765" s="831" t="s">
        <v>2674</v>
      </c>
      <c r="AH13765" s="831" t="s">
        <v>546</v>
      </c>
      <c r="AI13765" s="831">
        <v>0</v>
      </c>
      <c r="AJ13765" s="835">
        <v>41517</v>
      </c>
      <c r="AK13765" s="831">
        <v>548671343</v>
      </c>
    </row>
    <row r="13766" spans="2:37">
      <c r="B13766" s="834" t="str">
        <f t="shared" si="509"/>
        <v>|||</v>
      </c>
      <c r="H13766" s="835">
        <f t="shared" si="510"/>
        <v>31</v>
      </c>
      <c r="AF13766" s="831" t="s">
        <v>11041</v>
      </c>
      <c r="AG13766" s="831" t="s">
        <v>2674</v>
      </c>
      <c r="AH13766" s="831" t="s">
        <v>370</v>
      </c>
      <c r="AI13766" s="831">
        <v>0</v>
      </c>
      <c r="AJ13766" s="835">
        <v>41517</v>
      </c>
      <c r="AK13766" s="831">
        <v>657414575</v>
      </c>
    </row>
    <row r="13767" spans="2:37">
      <c r="B13767" s="834" t="str">
        <f t="shared" si="509"/>
        <v>|||</v>
      </c>
      <c r="H13767" s="835">
        <f t="shared" si="510"/>
        <v>31</v>
      </c>
      <c r="AF13767" s="831" t="s">
        <v>11042</v>
      </c>
      <c r="AG13767" s="831" t="s">
        <v>2674</v>
      </c>
      <c r="AH13767" s="831" t="s">
        <v>126</v>
      </c>
      <c r="AI13767" s="831">
        <v>0</v>
      </c>
      <c r="AJ13767" s="835">
        <v>41517</v>
      </c>
      <c r="AK13767" s="831">
        <v>113874944</v>
      </c>
    </row>
    <row r="13768" spans="2:37">
      <c r="B13768" s="834" t="str">
        <f t="shared" si="509"/>
        <v>|||</v>
      </c>
      <c r="H13768" s="835">
        <f t="shared" si="510"/>
        <v>31</v>
      </c>
      <c r="AF13768" s="831" t="s">
        <v>11043</v>
      </c>
      <c r="AG13768" s="831" t="s">
        <v>2674</v>
      </c>
      <c r="AH13768" s="831" t="s">
        <v>268</v>
      </c>
      <c r="AI13768" s="831">
        <v>0</v>
      </c>
      <c r="AJ13768" s="835">
        <v>41517</v>
      </c>
      <c r="AK13768" s="831">
        <v>19111719</v>
      </c>
    </row>
    <row r="13769" spans="2:37">
      <c r="B13769" s="834" t="str">
        <f t="shared" si="509"/>
        <v>|||</v>
      </c>
      <c r="H13769" s="835">
        <f t="shared" si="510"/>
        <v>31</v>
      </c>
      <c r="AF13769" s="831" t="s">
        <v>11044</v>
      </c>
      <c r="AG13769" s="831" t="s">
        <v>2674</v>
      </c>
      <c r="AH13769" s="831" t="s">
        <v>547</v>
      </c>
      <c r="AI13769" s="831">
        <v>0</v>
      </c>
      <c r="AJ13769" s="835">
        <v>41517</v>
      </c>
      <c r="AK13769" s="831">
        <v>511487760</v>
      </c>
    </row>
    <row r="13770" spans="2:37">
      <c r="B13770" s="834" t="str">
        <f t="shared" si="509"/>
        <v>|||</v>
      </c>
      <c r="H13770" s="835">
        <f t="shared" si="510"/>
        <v>31</v>
      </c>
      <c r="AF13770" s="831" t="s">
        <v>11045</v>
      </c>
      <c r="AG13770" s="831" t="s">
        <v>2674</v>
      </c>
      <c r="AH13770" s="831" t="s">
        <v>548</v>
      </c>
      <c r="AI13770" s="831">
        <v>0</v>
      </c>
      <c r="AJ13770" s="835">
        <v>41517</v>
      </c>
      <c r="AK13770" s="831">
        <v>96883184</v>
      </c>
    </row>
    <row r="13771" spans="2:37">
      <c r="B13771" s="834" t="str">
        <f t="shared" si="509"/>
        <v>|||</v>
      </c>
      <c r="H13771" s="835">
        <f t="shared" si="510"/>
        <v>31</v>
      </c>
      <c r="AF13771" s="831" t="s">
        <v>11046</v>
      </c>
      <c r="AG13771" s="831" t="s">
        <v>2674</v>
      </c>
      <c r="AH13771" s="831" t="s">
        <v>549</v>
      </c>
      <c r="AI13771" s="831">
        <v>0</v>
      </c>
      <c r="AJ13771" s="835">
        <v>41517</v>
      </c>
      <c r="AK13771" s="831">
        <v>362295244</v>
      </c>
    </row>
    <row r="13772" spans="2:37">
      <c r="B13772" s="834" t="str">
        <f t="shared" si="509"/>
        <v>|||</v>
      </c>
      <c r="H13772" s="835">
        <f t="shared" si="510"/>
        <v>31</v>
      </c>
      <c r="AF13772" s="831" t="s">
        <v>11047</v>
      </c>
      <c r="AG13772" s="831" t="s">
        <v>2674</v>
      </c>
      <c r="AH13772" s="831" t="s">
        <v>192</v>
      </c>
      <c r="AI13772" s="831">
        <v>0</v>
      </c>
      <c r="AJ13772" s="835">
        <v>41517</v>
      </c>
      <c r="AK13772" s="831">
        <v>-12472831</v>
      </c>
    </row>
    <row r="13773" spans="2:37">
      <c r="B13773" s="834" t="str">
        <f t="shared" si="509"/>
        <v>|||</v>
      </c>
      <c r="H13773" s="835">
        <f t="shared" si="510"/>
        <v>31</v>
      </c>
      <c r="AF13773" s="831" t="s">
        <v>11048</v>
      </c>
      <c r="AG13773" s="831" t="s">
        <v>2674</v>
      </c>
      <c r="AH13773" s="831" t="s">
        <v>558</v>
      </c>
      <c r="AI13773" s="831">
        <v>0</v>
      </c>
      <c r="AJ13773" s="835">
        <v>41517</v>
      </c>
      <c r="AK13773" s="831">
        <v>543539630.65999997</v>
      </c>
    </row>
    <row r="13774" spans="2:37">
      <c r="B13774" s="834" t="str">
        <f t="shared" si="509"/>
        <v>|||</v>
      </c>
      <c r="H13774" s="835">
        <f t="shared" si="510"/>
        <v>31</v>
      </c>
      <c r="AF13774" s="831" t="s">
        <v>11049</v>
      </c>
      <c r="AG13774" s="831" t="s">
        <v>2674</v>
      </c>
      <c r="AH13774" s="831" t="s">
        <v>65</v>
      </c>
      <c r="AI13774" s="831">
        <v>0</v>
      </c>
      <c r="AJ13774" s="835">
        <v>41517</v>
      </c>
      <c r="AK13774" s="831">
        <v>83388551</v>
      </c>
    </row>
    <row r="13775" spans="2:37">
      <c r="B13775" s="834" t="str">
        <f t="shared" si="509"/>
        <v>|||</v>
      </c>
      <c r="H13775" s="835">
        <f t="shared" si="510"/>
        <v>31</v>
      </c>
      <c r="AF13775" s="831" t="s">
        <v>11050</v>
      </c>
      <c r="AG13775" s="831" t="s">
        <v>2674</v>
      </c>
      <c r="AH13775" s="831" t="s">
        <v>89</v>
      </c>
      <c r="AI13775" s="831">
        <v>0</v>
      </c>
      <c r="AJ13775" s="835">
        <v>41517</v>
      </c>
      <c r="AK13775" s="831">
        <v>139614</v>
      </c>
    </row>
    <row r="13776" spans="2:37">
      <c r="B13776" s="834" t="str">
        <f t="shared" si="509"/>
        <v>|||</v>
      </c>
      <c r="H13776" s="835">
        <f t="shared" si="510"/>
        <v>31</v>
      </c>
      <c r="AF13776" s="831" t="s">
        <v>11051</v>
      </c>
      <c r="AG13776" s="831" t="s">
        <v>2674</v>
      </c>
      <c r="AH13776" s="831" t="s">
        <v>557</v>
      </c>
      <c r="AI13776" s="831">
        <v>0</v>
      </c>
      <c r="AJ13776" s="835">
        <v>41517</v>
      </c>
      <c r="AK13776" s="831">
        <v>147732</v>
      </c>
    </row>
    <row r="13777" spans="2:37">
      <c r="B13777" s="834" t="str">
        <f t="shared" ref="B13777:B13840" si="511">C13777&amp;"|"&amp;D13777&amp;"|"&amp;E13777&amp;"|"&amp;F13777</f>
        <v>|||</v>
      </c>
      <c r="H13777" s="835">
        <f t="shared" ref="H13777:H13840" si="512">EOMONTH(L13777,0)</f>
        <v>31</v>
      </c>
      <c r="AF13777" s="831" t="s">
        <v>11052</v>
      </c>
      <c r="AG13777" s="831" t="s">
        <v>2674</v>
      </c>
      <c r="AH13777" s="831" t="s">
        <v>29</v>
      </c>
      <c r="AI13777" s="831">
        <v>0</v>
      </c>
      <c r="AJ13777" s="835">
        <v>41517</v>
      </c>
      <c r="AK13777" s="831">
        <v>1641079.85</v>
      </c>
    </row>
    <row r="13778" spans="2:37">
      <c r="B13778" s="834" t="str">
        <f t="shared" si="511"/>
        <v>|||</v>
      </c>
      <c r="H13778" s="835">
        <f t="shared" si="512"/>
        <v>31</v>
      </c>
      <c r="AF13778" s="831" t="s">
        <v>11053</v>
      </c>
      <c r="AG13778" s="831" t="s">
        <v>2674</v>
      </c>
      <c r="AH13778" s="831" t="s">
        <v>2688</v>
      </c>
      <c r="AI13778" s="831">
        <v>0</v>
      </c>
      <c r="AJ13778" s="835">
        <v>41517</v>
      </c>
      <c r="AK13778" s="831">
        <v>1980496.8299999998</v>
      </c>
    </row>
    <row r="13779" spans="2:37">
      <c r="B13779" s="834" t="str">
        <f t="shared" si="511"/>
        <v>|||</v>
      </c>
      <c r="H13779" s="835">
        <f t="shared" si="512"/>
        <v>31</v>
      </c>
      <c r="AF13779" s="831" t="s">
        <v>11054</v>
      </c>
      <c r="AG13779" s="831" t="s">
        <v>2674</v>
      </c>
      <c r="AH13779" s="831" t="s">
        <v>556</v>
      </c>
      <c r="AI13779" s="831">
        <v>0</v>
      </c>
      <c r="AJ13779" s="835">
        <v>41517</v>
      </c>
      <c r="AK13779" s="831">
        <v>1644732</v>
      </c>
    </row>
    <row r="13780" spans="2:37">
      <c r="B13780" s="834" t="str">
        <f t="shared" si="511"/>
        <v>|||</v>
      </c>
      <c r="H13780" s="835">
        <f t="shared" si="512"/>
        <v>31</v>
      </c>
      <c r="AF13780" s="831" t="s">
        <v>11055</v>
      </c>
      <c r="AG13780" s="831" t="s">
        <v>2674</v>
      </c>
      <c r="AH13780" s="831" t="s">
        <v>555</v>
      </c>
      <c r="AI13780" s="831">
        <v>0</v>
      </c>
      <c r="AJ13780" s="835">
        <v>41517</v>
      </c>
      <c r="AK13780" s="831">
        <v>349976200</v>
      </c>
    </row>
    <row r="13781" spans="2:37">
      <c r="B13781" s="834" t="str">
        <f t="shared" si="511"/>
        <v>|||</v>
      </c>
      <c r="H13781" s="835">
        <f t="shared" si="512"/>
        <v>31</v>
      </c>
      <c r="AF13781" s="831" t="s">
        <v>11056</v>
      </c>
      <c r="AG13781" s="831" t="s">
        <v>2674</v>
      </c>
      <c r="AH13781" s="831" t="s">
        <v>554</v>
      </c>
      <c r="AI13781" s="831">
        <v>0</v>
      </c>
      <c r="AJ13781" s="835">
        <v>41517</v>
      </c>
      <c r="AK13781" s="831">
        <v>362271180</v>
      </c>
    </row>
    <row r="13782" spans="2:37">
      <c r="B13782" s="834" t="str">
        <f t="shared" si="511"/>
        <v>|||</v>
      </c>
      <c r="H13782" s="835">
        <f t="shared" si="512"/>
        <v>31</v>
      </c>
      <c r="AF13782" s="831" t="s">
        <v>11057</v>
      </c>
      <c r="AG13782" s="831" t="s">
        <v>2674</v>
      </c>
      <c r="AH13782" s="831" t="s">
        <v>553</v>
      </c>
      <c r="AI13782" s="831">
        <v>0</v>
      </c>
      <c r="AJ13782" s="835">
        <v>41517</v>
      </c>
      <c r="AK13782" s="831">
        <v>0</v>
      </c>
    </row>
    <row r="13783" spans="2:37">
      <c r="B13783" s="834" t="str">
        <f t="shared" si="511"/>
        <v>|||</v>
      </c>
      <c r="H13783" s="835">
        <f t="shared" si="512"/>
        <v>31</v>
      </c>
      <c r="AF13783" s="831" t="s">
        <v>11058</v>
      </c>
      <c r="AG13783" s="831" t="s">
        <v>2674</v>
      </c>
      <c r="AH13783" s="831" t="s">
        <v>552</v>
      </c>
      <c r="AI13783" s="831">
        <v>0</v>
      </c>
      <c r="AJ13783" s="835">
        <v>41517</v>
      </c>
      <c r="AK13783" s="831">
        <v>0</v>
      </c>
    </row>
    <row r="13784" spans="2:37">
      <c r="B13784" s="834" t="str">
        <f t="shared" si="511"/>
        <v>|||</v>
      </c>
      <c r="H13784" s="835">
        <f t="shared" si="512"/>
        <v>31</v>
      </c>
      <c r="AF13784" s="831" t="s">
        <v>11059</v>
      </c>
      <c r="AG13784" s="831" t="s">
        <v>2674</v>
      </c>
      <c r="AH13784" s="831" t="s">
        <v>551</v>
      </c>
      <c r="AI13784" s="831">
        <v>0</v>
      </c>
      <c r="AJ13784" s="835">
        <v>41517</v>
      </c>
      <c r="AK13784" s="831">
        <v>1337345.54</v>
      </c>
    </row>
    <row r="13785" spans="2:37">
      <c r="B13785" s="834" t="str">
        <f t="shared" si="511"/>
        <v>|||</v>
      </c>
      <c r="H13785" s="835">
        <f t="shared" si="512"/>
        <v>31</v>
      </c>
      <c r="AF13785" s="831" t="s">
        <v>11060</v>
      </c>
      <c r="AG13785" s="831" t="s">
        <v>2674</v>
      </c>
      <c r="AH13785" s="831" t="s">
        <v>550</v>
      </c>
      <c r="AI13785" s="831">
        <v>0</v>
      </c>
      <c r="AJ13785" s="835">
        <v>41517</v>
      </c>
      <c r="AK13785" s="831">
        <v>110887562</v>
      </c>
    </row>
    <row r="13786" spans="2:37">
      <c r="B13786" s="834" t="str">
        <f t="shared" si="511"/>
        <v>|||</v>
      </c>
      <c r="H13786" s="835">
        <f t="shared" si="512"/>
        <v>31</v>
      </c>
      <c r="AF13786" s="831" t="s">
        <v>11061</v>
      </c>
      <c r="AG13786" s="831" t="s">
        <v>2674</v>
      </c>
      <c r="AH13786" s="831" t="s">
        <v>562</v>
      </c>
      <c r="AI13786" s="831">
        <v>0</v>
      </c>
      <c r="AJ13786" s="835">
        <v>41517</v>
      </c>
      <c r="AK13786" s="831">
        <v>0.78385000000000005</v>
      </c>
    </row>
    <row r="13787" spans="2:37">
      <c r="B13787" s="834" t="str">
        <f t="shared" si="511"/>
        <v>|||</v>
      </c>
      <c r="H13787" s="835">
        <f t="shared" si="512"/>
        <v>31</v>
      </c>
      <c r="AF13787" s="831" t="s">
        <v>11062</v>
      </c>
      <c r="AG13787" s="831" t="s">
        <v>2674</v>
      </c>
      <c r="AH13787" s="831" t="s">
        <v>2698</v>
      </c>
      <c r="AI13787" s="831">
        <v>0</v>
      </c>
      <c r="AJ13787" s="835">
        <v>41517</v>
      </c>
      <c r="AK13787" s="831">
        <v>0.78374999999999995</v>
      </c>
    </row>
    <row r="13788" spans="2:37">
      <c r="B13788" s="834" t="str">
        <f t="shared" si="511"/>
        <v>|||</v>
      </c>
      <c r="H13788" s="835">
        <f t="shared" si="512"/>
        <v>31</v>
      </c>
      <c r="AF13788" s="831" t="s">
        <v>11063</v>
      </c>
      <c r="AG13788" s="831" t="s">
        <v>2674</v>
      </c>
      <c r="AH13788" s="831" t="s">
        <v>560</v>
      </c>
      <c r="AI13788" s="831">
        <v>0</v>
      </c>
      <c r="AJ13788" s="835">
        <v>41517</v>
      </c>
      <c r="AK13788" s="831">
        <v>0.7840125</v>
      </c>
    </row>
    <row r="13789" spans="2:37">
      <c r="B13789" s="834" t="str">
        <f t="shared" si="511"/>
        <v>|||</v>
      </c>
      <c r="H13789" s="835">
        <f t="shared" si="512"/>
        <v>31</v>
      </c>
      <c r="AF13789" s="831" t="s">
        <v>11064</v>
      </c>
      <c r="AG13789" s="831" t="s">
        <v>2674</v>
      </c>
      <c r="AH13789" s="831" t="s">
        <v>559</v>
      </c>
      <c r="AI13789" s="831">
        <v>0</v>
      </c>
      <c r="AJ13789" s="835">
        <v>41517</v>
      </c>
      <c r="AK13789" s="831">
        <v>0.78410416666666671</v>
      </c>
    </row>
    <row r="13790" spans="2:37">
      <c r="B13790" s="834" t="str">
        <f t="shared" si="511"/>
        <v>|||</v>
      </c>
      <c r="H13790" s="835">
        <f t="shared" si="512"/>
        <v>31</v>
      </c>
      <c r="AF13790" s="831" t="s">
        <v>11065</v>
      </c>
      <c r="AG13790" s="831" t="s">
        <v>2674</v>
      </c>
      <c r="AH13790" s="831" t="s">
        <v>568</v>
      </c>
      <c r="AI13790" s="831">
        <v>0</v>
      </c>
      <c r="AJ13790" s="835">
        <v>41517</v>
      </c>
      <c r="AK13790" s="831">
        <v>446494134.38461536</v>
      </c>
    </row>
    <row r="13791" spans="2:37">
      <c r="B13791" s="834" t="str">
        <f t="shared" si="511"/>
        <v>|||</v>
      </c>
      <c r="H13791" s="835">
        <f t="shared" si="512"/>
        <v>31</v>
      </c>
      <c r="AF13791" s="831" t="s">
        <v>11066</v>
      </c>
      <c r="AG13791" s="831" t="s">
        <v>2674</v>
      </c>
      <c r="AH13791" s="831" t="s">
        <v>569</v>
      </c>
      <c r="AI13791" s="831">
        <v>0</v>
      </c>
      <c r="AJ13791" s="835">
        <v>41517</v>
      </c>
      <c r="AK13791" s="831">
        <v>542095460.15384614</v>
      </c>
    </row>
    <row r="13792" spans="2:37">
      <c r="B13792" s="834" t="str">
        <f t="shared" si="511"/>
        <v>|||</v>
      </c>
      <c r="H13792" s="835">
        <f t="shared" si="512"/>
        <v>31</v>
      </c>
      <c r="AF13792" s="831" t="s">
        <v>11067</v>
      </c>
      <c r="AG13792" s="831" t="s">
        <v>2674</v>
      </c>
      <c r="AH13792" s="831" t="s">
        <v>570</v>
      </c>
      <c r="AI13792" s="831">
        <v>0</v>
      </c>
      <c r="AJ13792" s="835">
        <v>41517</v>
      </c>
      <c r="AK13792" s="831">
        <v>102565482.6923077</v>
      </c>
    </row>
    <row r="13793" spans="2:37">
      <c r="B13793" s="834" t="str">
        <f t="shared" si="511"/>
        <v>|||</v>
      </c>
      <c r="H13793" s="835">
        <f t="shared" si="512"/>
        <v>31</v>
      </c>
      <c r="AF13793" s="831" t="s">
        <v>11068</v>
      </c>
      <c r="AG13793" s="831" t="s">
        <v>2674</v>
      </c>
      <c r="AH13793" s="831" t="s">
        <v>571</v>
      </c>
      <c r="AI13793" s="831">
        <v>0</v>
      </c>
      <c r="AJ13793" s="835">
        <v>41517</v>
      </c>
      <c r="AK13793" s="831">
        <v>245131875.46153846</v>
      </c>
    </row>
    <row r="13794" spans="2:37">
      <c r="B13794" s="834" t="str">
        <f t="shared" si="511"/>
        <v>|||</v>
      </c>
      <c r="H13794" s="835">
        <f t="shared" si="512"/>
        <v>31</v>
      </c>
      <c r="AF13794" s="831" t="s">
        <v>11069</v>
      </c>
      <c r="AG13794" s="831" t="s">
        <v>2674</v>
      </c>
      <c r="AH13794" s="831" t="s">
        <v>573</v>
      </c>
      <c r="AI13794" s="831">
        <v>0</v>
      </c>
      <c r="AJ13794" s="835">
        <v>41517</v>
      </c>
      <c r="AK13794" s="831">
        <v>579585898.22222221</v>
      </c>
    </row>
    <row r="13795" spans="2:37">
      <c r="B13795" s="834" t="str">
        <f t="shared" si="511"/>
        <v>|||</v>
      </c>
      <c r="H13795" s="835">
        <f t="shared" si="512"/>
        <v>31</v>
      </c>
      <c r="AF13795" s="831" t="s">
        <v>11070</v>
      </c>
      <c r="AG13795" s="831" t="s">
        <v>2674</v>
      </c>
      <c r="AH13795" s="831" t="s">
        <v>574</v>
      </c>
      <c r="AI13795" s="831">
        <v>0</v>
      </c>
      <c r="AJ13795" s="835">
        <v>41517</v>
      </c>
      <c r="AK13795" s="831">
        <v>478283946.77777779</v>
      </c>
    </row>
    <row r="13796" spans="2:37">
      <c r="B13796" s="834" t="str">
        <f t="shared" si="511"/>
        <v>|||</v>
      </c>
      <c r="H13796" s="835">
        <f t="shared" si="512"/>
        <v>31</v>
      </c>
      <c r="AF13796" s="831" t="s">
        <v>11071</v>
      </c>
      <c r="AG13796" s="831" t="s">
        <v>2674</v>
      </c>
      <c r="AH13796" s="831" t="s">
        <v>575</v>
      </c>
      <c r="AI13796" s="831">
        <v>0</v>
      </c>
      <c r="AJ13796" s="835">
        <v>41517</v>
      </c>
      <c r="AK13796" s="831">
        <v>104359849</v>
      </c>
    </row>
    <row r="13797" spans="2:37">
      <c r="B13797" s="834" t="str">
        <f t="shared" si="511"/>
        <v>|||</v>
      </c>
      <c r="H13797" s="835">
        <f t="shared" si="512"/>
        <v>31</v>
      </c>
      <c r="AF13797" s="831" t="s">
        <v>11072</v>
      </c>
      <c r="AG13797" s="831" t="s">
        <v>2674</v>
      </c>
      <c r="AH13797" s="831" t="s">
        <v>576</v>
      </c>
      <c r="AI13797" s="831">
        <v>0</v>
      </c>
      <c r="AJ13797" s="835">
        <v>41517</v>
      </c>
      <c r="AK13797" s="831">
        <v>270469259.22222221</v>
      </c>
    </row>
    <row r="13798" spans="2:37">
      <c r="B13798" s="834" t="str">
        <f t="shared" si="511"/>
        <v>|||</v>
      </c>
      <c r="H13798" s="835">
        <f t="shared" si="512"/>
        <v>31</v>
      </c>
      <c r="AF13798" s="831" t="s">
        <v>11073</v>
      </c>
      <c r="AG13798" s="831" t="s">
        <v>2674</v>
      </c>
      <c r="AH13798" s="831" t="s">
        <v>572</v>
      </c>
      <c r="AI13798" s="831">
        <v>0</v>
      </c>
      <c r="AJ13798" s="835">
        <v>41517</v>
      </c>
      <c r="AK13798" s="831">
        <v>24859621</v>
      </c>
    </row>
    <row r="13799" spans="2:37">
      <c r="B13799" s="834" t="str">
        <f t="shared" si="511"/>
        <v>|||</v>
      </c>
      <c r="H13799" s="835">
        <f t="shared" si="512"/>
        <v>31</v>
      </c>
      <c r="AF13799" s="831" t="s">
        <v>11074</v>
      </c>
      <c r="AG13799" s="831" t="s">
        <v>2674</v>
      </c>
      <c r="AH13799" s="831" t="s">
        <v>577</v>
      </c>
      <c r="AI13799" s="831">
        <v>0</v>
      </c>
      <c r="AJ13799" s="835">
        <v>41517</v>
      </c>
      <c r="AK13799" s="831">
        <v>119121446</v>
      </c>
    </row>
    <row r="13800" spans="2:37">
      <c r="B13800" s="834" t="str">
        <f t="shared" si="511"/>
        <v>|||</v>
      </c>
      <c r="H13800" s="835">
        <f t="shared" si="512"/>
        <v>31</v>
      </c>
      <c r="AF13800" s="831" t="s">
        <v>11075</v>
      </c>
      <c r="AG13800" s="831" t="s">
        <v>2674</v>
      </c>
      <c r="AH13800" s="831" t="s">
        <v>3042</v>
      </c>
      <c r="AI13800" s="831">
        <v>0</v>
      </c>
      <c r="AJ13800" s="835">
        <v>41517</v>
      </c>
      <c r="AK13800" s="831">
        <v>-29143089</v>
      </c>
    </row>
    <row r="13801" spans="2:37">
      <c r="B13801" s="834" t="str">
        <f t="shared" si="511"/>
        <v>|||</v>
      </c>
      <c r="H13801" s="835">
        <f t="shared" si="512"/>
        <v>31</v>
      </c>
      <c r="AF13801" s="831" t="s">
        <v>11076</v>
      </c>
      <c r="AG13801" s="831" t="s">
        <v>2674</v>
      </c>
      <c r="AH13801" s="831" t="s">
        <v>3044</v>
      </c>
      <c r="AI13801" s="831">
        <v>0</v>
      </c>
      <c r="AJ13801" s="835">
        <v>41517</v>
      </c>
      <c r="AK13801" s="831">
        <v>-4417525</v>
      </c>
    </row>
    <row r="13802" spans="2:37">
      <c r="B13802" s="834" t="str">
        <f t="shared" si="511"/>
        <v>|||</v>
      </c>
      <c r="H13802" s="835">
        <f t="shared" si="512"/>
        <v>31</v>
      </c>
      <c r="AF13802" s="831" t="s">
        <v>11077</v>
      </c>
      <c r="AG13802" s="831" t="s">
        <v>2674</v>
      </c>
      <c r="AH13802" s="831" t="s">
        <v>580</v>
      </c>
      <c r="AI13802" s="831">
        <v>0</v>
      </c>
      <c r="AJ13802" s="835">
        <v>41517</v>
      </c>
      <c r="AK13802" s="831">
        <v>-58376707</v>
      </c>
    </row>
    <row r="13803" spans="2:37">
      <c r="B13803" s="834" t="str">
        <f t="shared" si="511"/>
        <v>|||</v>
      </c>
      <c r="H13803" s="835">
        <f t="shared" si="512"/>
        <v>31</v>
      </c>
      <c r="AF13803" s="831" t="s">
        <v>11078</v>
      </c>
      <c r="AG13803" s="831" t="s">
        <v>2674</v>
      </c>
      <c r="AH13803" s="831" t="s">
        <v>581</v>
      </c>
      <c r="AI13803" s="831">
        <v>0</v>
      </c>
      <c r="AJ13803" s="835">
        <v>41517</v>
      </c>
      <c r="AK13803" s="831">
        <v>4578677</v>
      </c>
    </row>
    <row r="13804" spans="2:37">
      <c r="B13804" s="834" t="str">
        <f t="shared" si="511"/>
        <v>|||</v>
      </c>
      <c r="H13804" s="835">
        <f t="shared" si="512"/>
        <v>31</v>
      </c>
      <c r="AF13804" s="831" t="s">
        <v>11079</v>
      </c>
      <c r="AG13804" s="831" t="s">
        <v>2674</v>
      </c>
      <c r="AH13804" s="831" t="s">
        <v>105</v>
      </c>
      <c r="AI13804" s="831">
        <v>0</v>
      </c>
      <c r="AJ13804" s="835">
        <v>41517</v>
      </c>
      <c r="AK13804" s="831">
        <v>314125292</v>
      </c>
    </row>
    <row r="13805" spans="2:37">
      <c r="B13805" s="834" t="str">
        <f t="shared" si="511"/>
        <v>|||</v>
      </c>
      <c r="H13805" s="835">
        <f t="shared" si="512"/>
        <v>31</v>
      </c>
      <c r="AF13805" s="831" t="s">
        <v>11080</v>
      </c>
      <c r="AG13805" s="831" t="s">
        <v>2674</v>
      </c>
      <c r="AH13805" s="831" t="s">
        <v>3049</v>
      </c>
      <c r="AI13805" s="831">
        <v>0</v>
      </c>
      <c r="AJ13805" s="835">
        <v>41517</v>
      </c>
      <c r="AK13805" s="831">
        <v>527249449.14999998</v>
      </c>
    </row>
    <row r="13806" spans="2:37">
      <c r="B13806" s="834" t="str">
        <f t="shared" si="511"/>
        <v>|||</v>
      </c>
      <c r="H13806" s="835">
        <f t="shared" si="512"/>
        <v>31</v>
      </c>
      <c r="AF13806" s="831" t="s">
        <v>11081</v>
      </c>
      <c r="AG13806" s="831" t="s">
        <v>2674</v>
      </c>
      <c r="AH13806" s="831" t="s">
        <v>103</v>
      </c>
      <c r="AI13806" s="831">
        <v>0</v>
      </c>
      <c r="AJ13806" s="835">
        <v>41517</v>
      </c>
      <c r="AK13806" s="831">
        <v>213124157.14999998</v>
      </c>
    </row>
    <row r="13807" spans="2:37">
      <c r="B13807" s="834" t="str">
        <f t="shared" si="511"/>
        <v>|||</v>
      </c>
      <c r="H13807" s="835">
        <f t="shared" si="512"/>
        <v>31</v>
      </c>
      <c r="AF13807" s="831" t="s">
        <v>11082</v>
      </c>
      <c r="AG13807" s="831" t="s">
        <v>2674</v>
      </c>
      <c r="AH13807" s="831" t="s">
        <v>182</v>
      </c>
      <c r="AI13807" s="831">
        <v>0</v>
      </c>
      <c r="AJ13807" s="835">
        <v>41517</v>
      </c>
      <c r="AK13807" s="831">
        <v>57914724</v>
      </c>
    </row>
    <row r="13808" spans="2:37">
      <c r="B13808" s="834" t="str">
        <f t="shared" si="511"/>
        <v>|||</v>
      </c>
      <c r="H13808" s="835">
        <f t="shared" si="512"/>
        <v>31</v>
      </c>
      <c r="AF13808" s="831" t="s">
        <v>11083</v>
      </c>
      <c r="AG13808" s="831" t="s">
        <v>2674</v>
      </c>
      <c r="AH13808" s="831" t="s">
        <v>6600</v>
      </c>
      <c r="AI13808" s="831">
        <v>0</v>
      </c>
      <c r="AJ13808" s="835">
        <v>41517</v>
      </c>
      <c r="AK13808" s="831">
        <v>24859621</v>
      </c>
    </row>
    <row r="13809" spans="2:37">
      <c r="B13809" s="834" t="str">
        <f t="shared" si="511"/>
        <v>|||</v>
      </c>
      <c r="H13809" s="835">
        <f t="shared" si="512"/>
        <v>31</v>
      </c>
      <c r="AF13809" s="831" t="s">
        <v>11084</v>
      </c>
      <c r="AG13809" s="831" t="s">
        <v>2674</v>
      </c>
      <c r="AH13809" s="831" t="s">
        <v>6602</v>
      </c>
      <c r="AI13809" s="831">
        <v>0</v>
      </c>
      <c r="AJ13809" s="835">
        <v>41517</v>
      </c>
      <c r="AK13809" s="831">
        <v>19111719</v>
      </c>
    </row>
    <row r="13810" spans="2:37">
      <c r="B13810" s="834" t="str">
        <f t="shared" si="511"/>
        <v>|||</v>
      </c>
      <c r="H13810" s="835">
        <f t="shared" si="512"/>
        <v>31</v>
      </c>
      <c r="AF13810" s="831" t="s">
        <v>11085</v>
      </c>
      <c r="AG13810" s="831" t="s">
        <v>2674</v>
      </c>
      <c r="AH13810" s="831" t="s">
        <v>650</v>
      </c>
      <c r="AI13810" s="831">
        <v>0</v>
      </c>
      <c r="AJ13810" s="835">
        <v>41517</v>
      </c>
      <c r="AK13810" s="831">
        <v>180578512.62692308</v>
      </c>
    </row>
    <row r="13811" spans="2:37">
      <c r="B13811" s="834" t="str">
        <f t="shared" si="511"/>
        <v>|||</v>
      </c>
      <c r="H13811" s="835">
        <f t="shared" si="512"/>
        <v>31</v>
      </c>
      <c r="AF13811" s="831" t="s">
        <v>11086</v>
      </c>
      <c r="AG13811" s="831" t="s">
        <v>2674</v>
      </c>
      <c r="AH13811" s="831" t="s">
        <v>655</v>
      </c>
      <c r="AI13811" s="831">
        <v>0</v>
      </c>
      <c r="AJ13811" s="835">
        <v>41517</v>
      </c>
      <c r="AK13811" s="831">
        <v>1231052.19</v>
      </c>
    </row>
    <row r="13812" spans="2:37">
      <c r="B13812" s="834" t="str">
        <f t="shared" si="511"/>
        <v>|||</v>
      </c>
      <c r="H13812" s="835">
        <f t="shared" si="512"/>
        <v>31</v>
      </c>
      <c r="AF13812" s="831" t="s">
        <v>11087</v>
      </c>
      <c r="AG13812" s="831" t="s">
        <v>2674</v>
      </c>
      <c r="AH13812" s="831" t="s">
        <v>546</v>
      </c>
      <c r="AI13812" s="831">
        <v>0</v>
      </c>
      <c r="AJ13812" s="835">
        <v>41547</v>
      </c>
      <c r="AK13812" s="831">
        <v>563989028</v>
      </c>
    </row>
    <row r="13813" spans="2:37">
      <c r="B13813" s="834" t="str">
        <f t="shared" si="511"/>
        <v>|||</v>
      </c>
      <c r="H13813" s="835">
        <f t="shared" si="512"/>
        <v>31</v>
      </c>
      <c r="AF13813" s="831" t="s">
        <v>11088</v>
      </c>
      <c r="AG13813" s="831" t="s">
        <v>2674</v>
      </c>
      <c r="AH13813" s="831" t="s">
        <v>370</v>
      </c>
      <c r="AI13813" s="831">
        <v>0</v>
      </c>
      <c r="AJ13813" s="835">
        <v>41547</v>
      </c>
      <c r="AK13813" s="831">
        <v>692795586</v>
      </c>
    </row>
    <row r="13814" spans="2:37">
      <c r="B13814" s="834" t="str">
        <f t="shared" si="511"/>
        <v>|||</v>
      </c>
      <c r="H13814" s="835">
        <f t="shared" si="512"/>
        <v>31</v>
      </c>
      <c r="AF13814" s="831" t="s">
        <v>11089</v>
      </c>
      <c r="AG13814" s="831" t="s">
        <v>2674</v>
      </c>
      <c r="AH13814" s="831" t="s">
        <v>126</v>
      </c>
      <c r="AI13814" s="831">
        <v>0</v>
      </c>
      <c r="AJ13814" s="835">
        <v>41547</v>
      </c>
      <c r="AK13814" s="831">
        <v>117170637</v>
      </c>
    </row>
    <row r="13815" spans="2:37">
      <c r="B13815" s="834" t="str">
        <f t="shared" si="511"/>
        <v>|||</v>
      </c>
      <c r="H13815" s="835">
        <f t="shared" si="512"/>
        <v>31</v>
      </c>
      <c r="AF13815" s="831" t="s">
        <v>11090</v>
      </c>
      <c r="AG13815" s="831" t="s">
        <v>2674</v>
      </c>
      <c r="AH13815" s="831" t="s">
        <v>268</v>
      </c>
      <c r="AI13815" s="831">
        <v>0</v>
      </c>
      <c r="AJ13815" s="835">
        <v>41547</v>
      </c>
      <c r="AK13815" s="831">
        <v>22407414</v>
      </c>
    </row>
    <row r="13816" spans="2:37">
      <c r="B13816" s="834" t="str">
        <f t="shared" si="511"/>
        <v>|||</v>
      </c>
      <c r="H13816" s="835">
        <f t="shared" si="512"/>
        <v>31</v>
      </c>
      <c r="AF13816" s="831" t="s">
        <v>11091</v>
      </c>
      <c r="AG13816" s="831" t="s">
        <v>2674</v>
      </c>
      <c r="AH13816" s="831" t="s">
        <v>547</v>
      </c>
      <c r="AI13816" s="831">
        <v>0</v>
      </c>
      <c r="AJ13816" s="835">
        <v>41547</v>
      </c>
      <c r="AK13816" s="831">
        <v>511487760</v>
      </c>
    </row>
    <row r="13817" spans="2:37">
      <c r="B13817" s="834" t="str">
        <f t="shared" si="511"/>
        <v>|||</v>
      </c>
      <c r="H13817" s="835">
        <f t="shared" si="512"/>
        <v>31</v>
      </c>
      <c r="AF13817" s="831" t="s">
        <v>11092</v>
      </c>
      <c r="AG13817" s="831" t="s">
        <v>2674</v>
      </c>
      <c r="AH13817" s="831" t="s">
        <v>548</v>
      </c>
      <c r="AI13817" s="831">
        <v>0</v>
      </c>
      <c r="AJ13817" s="835">
        <v>41547</v>
      </c>
      <c r="AK13817" s="831">
        <v>96883184</v>
      </c>
    </row>
    <row r="13818" spans="2:37">
      <c r="B13818" s="834" t="str">
        <f t="shared" si="511"/>
        <v>|||</v>
      </c>
      <c r="H13818" s="835">
        <f t="shared" si="512"/>
        <v>31</v>
      </c>
      <c r="AF13818" s="831" t="s">
        <v>11093</v>
      </c>
      <c r="AG13818" s="831" t="s">
        <v>2674</v>
      </c>
      <c r="AH13818" s="831" t="s">
        <v>549</v>
      </c>
      <c r="AI13818" s="831">
        <v>0</v>
      </c>
      <c r="AJ13818" s="835">
        <v>41547</v>
      </c>
      <c r="AK13818" s="831">
        <v>367084945</v>
      </c>
    </row>
    <row r="13819" spans="2:37">
      <c r="B13819" s="834" t="str">
        <f t="shared" si="511"/>
        <v>|||</v>
      </c>
      <c r="H13819" s="835">
        <f t="shared" si="512"/>
        <v>31</v>
      </c>
      <c r="AF13819" s="831" t="s">
        <v>11094</v>
      </c>
      <c r="AG13819" s="831" t="s">
        <v>2674</v>
      </c>
      <c r="AH13819" s="831" t="s">
        <v>192</v>
      </c>
      <c r="AI13819" s="831">
        <v>0</v>
      </c>
      <c r="AJ13819" s="835">
        <v>41547</v>
      </c>
      <c r="AK13819" s="831">
        <v>-12882814</v>
      </c>
    </row>
    <row r="13820" spans="2:37">
      <c r="B13820" s="834" t="str">
        <f t="shared" si="511"/>
        <v>|||</v>
      </c>
      <c r="H13820" s="835">
        <f t="shared" si="512"/>
        <v>31</v>
      </c>
      <c r="AF13820" s="831" t="s">
        <v>11095</v>
      </c>
      <c r="AG13820" s="831" t="s">
        <v>2674</v>
      </c>
      <c r="AH13820" s="831" t="s">
        <v>558</v>
      </c>
      <c r="AI13820" s="831">
        <v>0</v>
      </c>
      <c r="AJ13820" s="835">
        <v>41547</v>
      </c>
      <c r="AK13820" s="831">
        <v>575624949</v>
      </c>
    </row>
    <row r="13821" spans="2:37">
      <c r="B13821" s="834" t="str">
        <f t="shared" si="511"/>
        <v>|||</v>
      </c>
      <c r="H13821" s="835">
        <f t="shared" si="512"/>
        <v>31</v>
      </c>
      <c r="AF13821" s="831" t="s">
        <v>11096</v>
      </c>
      <c r="AG13821" s="831" t="s">
        <v>2674</v>
      </c>
      <c r="AH13821" s="831" t="s">
        <v>65</v>
      </c>
      <c r="AI13821" s="831">
        <v>0</v>
      </c>
      <c r="AJ13821" s="835">
        <v>41547</v>
      </c>
      <c r="AK13821" s="831">
        <v>95313557</v>
      </c>
    </row>
    <row r="13822" spans="2:37">
      <c r="B13822" s="834" t="str">
        <f t="shared" si="511"/>
        <v>|||</v>
      </c>
      <c r="H13822" s="835">
        <f t="shared" si="512"/>
        <v>31</v>
      </c>
      <c r="AF13822" s="831" t="s">
        <v>11097</v>
      </c>
      <c r="AG13822" s="831" t="s">
        <v>2674</v>
      </c>
      <c r="AH13822" s="831" t="s">
        <v>89</v>
      </c>
      <c r="AI13822" s="831">
        <v>0</v>
      </c>
      <c r="AJ13822" s="835">
        <v>41547</v>
      </c>
      <c r="AK13822" s="831">
        <v>141558</v>
      </c>
    </row>
    <row r="13823" spans="2:37">
      <c r="B13823" s="834" t="str">
        <f t="shared" si="511"/>
        <v>|||</v>
      </c>
      <c r="H13823" s="835">
        <f t="shared" si="512"/>
        <v>31</v>
      </c>
      <c r="AF13823" s="831" t="s">
        <v>11098</v>
      </c>
      <c r="AG13823" s="831" t="s">
        <v>2674</v>
      </c>
      <c r="AH13823" s="831" t="s">
        <v>557</v>
      </c>
      <c r="AI13823" s="831">
        <v>0</v>
      </c>
      <c r="AJ13823" s="835">
        <v>41547</v>
      </c>
      <c r="AK13823" s="831">
        <v>150480</v>
      </c>
    </row>
    <row r="13824" spans="2:37">
      <c r="B13824" s="834" t="str">
        <f t="shared" si="511"/>
        <v>|||</v>
      </c>
      <c r="H13824" s="835">
        <f t="shared" si="512"/>
        <v>31</v>
      </c>
      <c r="AF13824" s="831" t="s">
        <v>11099</v>
      </c>
      <c r="AG13824" s="831" t="s">
        <v>2674</v>
      </c>
      <c r="AH13824" s="831" t="s">
        <v>29</v>
      </c>
      <c r="AI13824" s="831">
        <v>0</v>
      </c>
      <c r="AJ13824" s="835">
        <v>41547</v>
      </c>
      <c r="AK13824" s="831">
        <v>1808536.49</v>
      </c>
    </row>
    <row r="13825" spans="2:37">
      <c r="B13825" s="834" t="str">
        <f t="shared" si="511"/>
        <v>|||</v>
      </c>
      <c r="H13825" s="835">
        <f t="shared" si="512"/>
        <v>31</v>
      </c>
      <c r="AF13825" s="831" t="s">
        <v>11100</v>
      </c>
      <c r="AG13825" s="831" t="s">
        <v>2674</v>
      </c>
      <c r="AH13825" s="831" t="s">
        <v>2688</v>
      </c>
      <c r="AI13825" s="831">
        <v>0</v>
      </c>
      <c r="AJ13825" s="835">
        <v>41547</v>
      </c>
      <c r="AK13825" s="831">
        <v>1944896.06</v>
      </c>
    </row>
    <row r="13826" spans="2:37">
      <c r="B13826" s="834" t="str">
        <f t="shared" si="511"/>
        <v>|||</v>
      </c>
      <c r="H13826" s="835">
        <f t="shared" si="512"/>
        <v>31</v>
      </c>
      <c r="AF13826" s="831" t="s">
        <v>11101</v>
      </c>
      <c r="AG13826" s="831" t="s">
        <v>2674</v>
      </c>
      <c r="AH13826" s="831" t="s">
        <v>556</v>
      </c>
      <c r="AI13826" s="831">
        <v>0</v>
      </c>
      <c r="AJ13826" s="835">
        <v>41547</v>
      </c>
      <c r="AK13826" s="831">
        <v>1644732</v>
      </c>
    </row>
    <row r="13827" spans="2:37">
      <c r="B13827" s="834" t="str">
        <f t="shared" si="511"/>
        <v>|||</v>
      </c>
      <c r="H13827" s="835">
        <f t="shared" si="512"/>
        <v>31</v>
      </c>
      <c r="AF13827" s="831" t="s">
        <v>11102</v>
      </c>
      <c r="AG13827" s="831" t="s">
        <v>2674</v>
      </c>
      <c r="AH13827" s="831" t="s">
        <v>555</v>
      </c>
      <c r="AI13827" s="831">
        <v>0</v>
      </c>
      <c r="AJ13827" s="835">
        <v>41547</v>
      </c>
      <c r="AK13827" s="831">
        <v>373785500</v>
      </c>
    </row>
    <row r="13828" spans="2:37">
      <c r="B13828" s="834" t="str">
        <f t="shared" si="511"/>
        <v>|||</v>
      </c>
      <c r="H13828" s="835">
        <f t="shared" si="512"/>
        <v>31</v>
      </c>
      <c r="AF13828" s="831" t="s">
        <v>11103</v>
      </c>
      <c r="AG13828" s="831" t="s">
        <v>2674</v>
      </c>
      <c r="AH13828" s="831" t="s">
        <v>554</v>
      </c>
      <c r="AI13828" s="831">
        <v>0</v>
      </c>
      <c r="AJ13828" s="835">
        <v>41547</v>
      </c>
      <c r="AK13828" s="831">
        <v>389313510</v>
      </c>
    </row>
    <row r="13829" spans="2:37">
      <c r="B13829" s="834" t="str">
        <f t="shared" si="511"/>
        <v>|||</v>
      </c>
      <c r="H13829" s="835">
        <f t="shared" si="512"/>
        <v>31</v>
      </c>
      <c r="AF13829" s="831" t="s">
        <v>11104</v>
      </c>
      <c r="AG13829" s="831" t="s">
        <v>2674</v>
      </c>
      <c r="AH13829" s="831" t="s">
        <v>553</v>
      </c>
      <c r="AI13829" s="831">
        <v>0</v>
      </c>
      <c r="AJ13829" s="835">
        <v>41547</v>
      </c>
      <c r="AK13829" s="831">
        <v>0</v>
      </c>
    </row>
    <row r="13830" spans="2:37">
      <c r="B13830" s="834" t="str">
        <f t="shared" si="511"/>
        <v>|||</v>
      </c>
      <c r="H13830" s="835">
        <f t="shared" si="512"/>
        <v>31</v>
      </c>
      <c r="AF13830" s="831" t="s">
        <v>11105</v>
      </c>
      <c r="AG13830" s="831" t="s">
        <v>2674</v>
      </c>
      <c r="AH13830" s="831" t="s">
        <v>552</v>
      </c>
      <c r="AI13830" s="831">
        <v>0</v>
      </c>
      <c r="AJ13830" s="835">
        <v>41547</v>
      </c>
      <c r="AK13830" s="831">
        <v>0</v>
      </c>
    </row>
    <row r="13831" spans="2:37">
      <c r="B13831" s="834" t="str">
        <f t="shared" si="511"/>
        <v>|||</v>
      </c>
      <c r="H13831" s="835">
        <f t="shared" si="512"/>
        <v>31</v>
      </c>
      <c r="AF13831" s="831" t="s">
        <v>11106</v>
      </c>
      <c r="AG13831" s="831" t="s">
        <v>2674</v>
      </c>
      <c r="AH13831" s="831" t="s">
        <v>551</v>
      </c>
      <c r="AI13831" s="831">
        <v>0</v>
      </c>
      <c r="AJ13831" s="835">
        <v>41547</v>
      </c>
      <c r="AK13831" s="831">
        <v>1611508.6</v>
      </c>
    </row>
    <row r="13832" spans="2:37">
      <c r="B13832" s="834" t="str">
        <f t="shared" si="511"/>
        <v>|||</v>
      </c>
      <c r="H13832" s="835">
        <f t="shared" si="512"/>
        <v>31</v>
      </c>
      <c r="AF13832" s="831" t="s">
        <v>11107</v>
      </c>
      <c r="AG13832" s="831" t="s">
        <v>2674</v>
      </c>
      <c r="AH13832" s="831" t="s">
        <v>550</v>
      </c>
      <c r="AI13832" s="831">
        <v>0</v>
      </c>
      <c r="AJ13832" s="835">
        <v>41547</v>
      </c>
      <c r="AK13832" s="831">
        <v>113874944</v>
      </c>
    </row>
    <row r="13833" spans="2:37">
      <c r="B13833" s="834" t="str">
        <f t="shared" si="511"/>
        <v>|||</v>
      </c>
      <c r="H13833" s="835">
        <f t="shared" si="512"/>
        <v>31</v>
      </c>
      <c r="AF13833" s="831" t="s">
        <v>11108</v>
      </c>
      <c r="AG13833" s="831" t="s">
        <v>2674</v>
      </c>
      <c r="AH13833" s="831" t="s">
        <v>562</v>
      </c>
      <c r="AI13833" s="831">
        <v>0</v>
      </c>
      <c r="AJ13833" s="835">
        <v>41547</v>
      </c>
      <c r="AK13833" s="831">
        <v>0.78395000000000004</v>
      </c>
    </row>
    <row r="13834" spans="2:37">
      <c r="B13834" s="834" t="str">
        <f t="shared" si="511"/>
        <v>|||</v>
      </c>
      <c r="H13834" s="835">
        <f t="shared" si="512"/>
        <v>31</v>
      </c>
      <c r="AF13834" s="831" t="s">
        <v>11109</v>
      </c>
      <c r="AG13834" s="831" t="s">
        <v>2674</v>
      </c>
      <c r="AH13834" s="831" t="s">
        <v>2698</v>
      </c>
      <c r="AI13834" s="831">
        <v>0</v>
      </c>
      <c r="AJ13834" s="835">
        <v>41547</v>
      </c>
      <c r="AK13834" s="831">
        <v>0.78385000000000005</v>
      </c>
    </row>
    <row r="13835" spans="2:37">
      <c r="B13835" s="834" t="str">
        <f t="shared" si="511"/>
        <v>|||</v>
      </c>
      <c r="H13835" s="835">
        <f t="shared" si="512"/>
        <v>31</v>
      </c>
      <c r="AF13835" s="831" t="s">
        <v>11110</v>
      </c>
      <c r="AG13835" s="831" t="s">
        <v>2674</v>
      </c>
      <c r="AH13835" s="831" t="s">
        <v>560</v>
      </c>
      <c r="AI13835" s="831">
        <v>0</v>
      </c>
      <c r="AJ13835" s="835">
        <v>41547</v>
      </c>
      <c r="AK13835" s="831">
        <v>0.78400555555555551</v>
      </c>
    </row>
    <row r="13836" spans="2:37">
      <c r="B13836" s="834" t="str">
        <f t="shared" si="511"/>
        <v>|||</v>
      </c>
      <c r="H13836" s="835">
        <f t="shared" si="512"/>
        <v>31</v>
      </c>
      <c r="AF13836" s="831" t="s">
        <v>11111</v>
      </c>
      <c r="AG13836" s="831" t="s">
        <v>2674</v>
      </c>
      <c r="AH13836" s="831" t="s">
        <v>559</v>
      </c>
      <c r="AI13836" s="831">
        <v>0</v>
      </c>
      <c r="AJ13836" s="835">
        <v>41547</v>
      </c>
      <c r="AK13836" s="831">
        <v>0.78404583333333333</v>
      </c>
    </row>
    <row r="13837" spans="2:37">
      <c r="B13837" s="834" t="str">
        <f t="shared" si="511"/>
        <v>|||</v>
      </c>
      <c r="H13837" s="835">
        <f t="shared" si="512"/>
        <v>31</v>
      </c>
      <c r="AF13837" s="831" t="s">
        <v>11112</v>
      </c>
      <c r="AG13837" s="831" t="s">
        <v>2674</v>
      </c>
      <c r="AH13837" s="831" t="s">
        <v>568</v>
      </c>
      <c r="AI13837" s="831">
        <v>0</v>
      </c>
      <c r="AJ13837" s="835">
        <v>41547</v>
      </c>
      <c r="AK13837" s="831">
        <v>462009040.84615386</v>
      </c>
    </row>
    <row r="13838" spans="2:37">
      <c r="B13838" s="834" t="str">
        <f t="shared" si="511"/>
        <v>|||</v>
      </c>
      <c r="H13838" s="835">
        <f t="shared" si="512"/>
        <v>31</v>
      </c>
      <c r="AF13838" s="831" t="s">
        <v>11113</v>
      </c>
      <c r="AG13838" s="831" t="s">
        <v>2674</v>
      </c>
      <c r="AH13838" s="831" t="s">
        <v>569</v>
      </c>
      <c r="AI13838" s="831">
        <v>0</v>
      </c>
      <c r="AJ13838" s="835">
        <v>41547</v>
      </c>
      <c r="AK13838" s="831">
        <v>560598027.84615386</v>
      </c>
    </row>
    <row r="13839" spans="2:37">
      <c r="B13839" s="834" t="str">
        <f t="shared" si="511"/>
        <v>|||</v>
      </c>
      <c r="H13839" s="835">
        <f t="shared" si="512"/>
        <v>31</v>
      </c>
      <c r="AF13839" s="831" t="s">
        <v>11114</v>
      </c>
      <c r="AG13839" s="831" t="s">
        <v>2674</v>
      </c>
      <c r="AH13839" s="831" t="s">
        <v>570</v>
      </c>
      <c r="AI13839" s="831">
        <v>0</v>
      </c>
      <c r="AJ13839" s="835">
        <v>41547</v>
      </c>
      <c r="AK13839" s="831">
        <v>104238995.3076923</v>
      </c>
    </row>
    <row r="13840" spans="2:37">
      <c r="B13840" s="834" t="str">
        <f t="shared" si="511"/>
        <v>|||</v>
      </c>
      <c r="H13840" s="835">
        <f t="shared" si="512"/>
        <v>31</v>
      </c>
      <c r="AF13840" s="831" t="s">
        <v>11115</v>
      </c>
      <c r="AG13840" s="831" t="s">
        <v>2674</v>
      </c>
      <c r="AH13840" s="831" t="s">
        <v>571</v>
      </c>
      <c r="AI13840" s="831">
        <v>0</v>
      </c>
      <c r="AJ13840" s="835">
        <v>41547</v>
      </c>
      <c r="AK13840" s="831">
        <v>257329819.61538461</v>
      </c>
    </row>
    <row r="13841" spans="2:37">
      <c r="B13841" s="834" t="str">
        <f t="shared" ref="B13841:B13904" si="513">C13841&amp;"|"&amp;D13841&amp;"|"&amp;E13841&amp;"|"&amp;F13841</f>
        <v>|||</v>
      </c>
      <c r="H13841" s="835">
        <f t="shared" ref="H13841:H13904" si="514">EOMONTH(L13841,0)</f>
        <v>31</v>
      </c>
      <c r="AF13841" s="831" t="s">
        <v>11116</v>
      </c>
      <c r="AG13841" s="831" t="s">
        <v>2674</v>
      </c>
      <c r="AH13841" s="831" t="s">
        <v>573</v>
      </c>
      <c r="AI13841" s="831">
        <v>0</v>
      </c>
      <c r="AJ13841" s="835">
        <v>41547</v>
      </c>
      <c r="AK13841" s="831">
        <v>590906867</v>
      </c>
    </row>
    <row r="13842" spans="2:37">
      <c r="B13842" s="834" t="str">
        <f t="shared" si="513"/>
        <v>|||</v>
      </c>
      <c r="H13842" s="835">
        <f t="shared" si="514"/>
        <v>31</v>
      </c>
      <c r="AF13842" s="831" t="s">
        <v>11117</v>
      </c>
      <c r="AG13842" s="831" t="s">
        <v>2674</v>
      </c>
      <c r="AH13842" s="831" t="s">
        <v>574</v>
      </c>
      <c r="AI13842" s="831">
        <v>0</v>
      </c>
      <c r="AJ13842" s="835">
        <v>41547</v>
      </c>
      <c r="AK13842" s="831">
        <v>486854454.89999998</v>
      </c>
    </row>
    <row r="13843" spans="2:37">
      <c r="B13843" s="834" t="str">
        <f t="shared" si="513"/>
        <v>|||</v>
      </c>
      <c r="H13843" s="835">
        <f t="shared" si="514"/>
        <v>31</v>
      </c>
      <c r="AF13843" s="831" t="s">
        <v>11118</v>
      </c>
      <c r="AG13843" s="831" t="s">
        <v>2674</v>
      </c>
      <c r="AH13843" s="831" t="s">
        <v>575</v>
      </c>
      <c r="AI13843" s="831">
        <v>0</v>
      </c>
      <c r="AJ13843" s="835">
        <v>41547</v>
      </c>
      <c r="AK13843" s="831">
        <v>105640927.8</v>
      </c>
    </row>
    <row r="13844" spans="2:37">
      <c r="B13844" s="834" t="str">
        <f t="shared" si="513"/>
        <v>|||</v>
      </c>
      <c r="H13844" s="835">
        <f t="shared" si="514"/>
        <v>31</v>
      </c>
      <c r="AF13844" s="831" t="s">
        <v>11119</v>
      </c>
      <c r="AG13844" s="831" t="s">
        <v>2674</v>
      </c>
      <c r="AH13844" s="831" t="s">
        <v>576</v>
      </c>
      <c r="AI13844" s="831">
        <v>0</v>
      </c>
      <c r="AJ13844" s="835">
        <v>41547</v>
      </c>
      <c r="AK13844" s="831">
        <v>277318070.10000002</v>
      </c>
    </row>
    <row r="13845" spans="2:37">
      <c r="B13845" s="834" t="str">
        <f t="shared" si="513"/>
        <v>|||</v>
      </c>
      <c r="H13845" s="835">
        <f t="shared" si="514"/>
        <v>31</v>
      </c>
      <c r="AF13845" s="831" t="s">
        <v>11120</v>
      </c>
      <c r="AG13845" s="831" t="s">
        <v>2674</v>
      </c>
      <c r="AH13845" s="831" t="s">
        <v>572</v>
      </c>
      <c r="AI13845" s="831">
        <v>0</v>
      </c>
      <c r="AJ13845" s="835">
        <v>41547</v>
      </c>
      <c r="AK13845" s="831">
        <v>26160885</v>
      </c>
    </row>
    <row r="13846" spans="2:37">
      <c r="B13846" s="834" t="str">
        <f t="shared" si="513"/>
        <v>|||</v>
      </c>
      <c r="H13846" s="835">
        <f t="shared" si="514"/>
        <v>31</v>
      </c>
      <c r="AF13846" s="831" t="s">
        <v>11121</v>
      </c>
      <c r="AG13846" s="831" t="s">
        <v>2674</v>
      </c>
      <c r="AH13846" s="831" t="s">
        <v>577</v>
      </c>
      <c r="AI13846" s="831">
        <v>0</v>
      </c>
      <c r="AJ13846" s="835">
        <v>41547</v>
      </c>
      <c r="AK13846" s="831">
        <v>122921739</v>
      </c>
    </row>
    <row r="13847" spans="2:37">
      <c r="B13847" s="834" t="str">
        <f t="shared" si="513"/>
        <v>|||</v>
      </c>
      <c r="H13847" s="835">
        <f t="shared" si="514"/>
        <v>31</v>
      </c>
      <c r="AF13847" s="831" t="s">
        <v>11122</v>
      </c>
      <c r="AG13847" s="831" t="s">
        <v>2674</v>
      </c>
      <c r="AH13847" s="831" t="s">
        <v>3042</v>
      </c>
      <c r="AI13847" s="831">
        <v>0</v>
      </c>
      <c r="AJ13847" s="835">
        <v>41547</v>
      </c>
      <c r="AK13847" s="831">
        <v>-30135210</v>
      </c>
    </row>
    <row r="13848" spans="2:37">
      <c r="B13848" s="834" t="str">
        <f t="shared" si="513"/>
        <v>|||</v>
      </c>
      <c r="H13848" s="835">
        <f t="shared" si="514"/>
        <v>31</v>
      </c>
      <c r="AF13848" s="831" t="s">
        <v>11123</v>
      </c>
      <c r="AG13848" s="831" t="s">
        <v>2674</v>
      </c>
      <c r="AH13848" s="831" t="s">
        <v>3044</v>
      </c>
      <c r="AI13848" s="831">
        <v>0</v>
      </c>
      <c r="AJ13848" s="835">
        <v>41547</v>
      </c>
      <c r="AK13848" s="831">
        <v>-4515854</v>
      </c>
    </row>
    <row r="13849" spans="2:37">
      <c r="B13849" s="834" t="str">
        <f t="shared" si="513"/>
        <v>|||</v>
      </c>
      <c r="H13849" s="835">
        <f t="shared" si="514"/>
        <v>31</v>
      </c>
      <c r="AF13849" s="831" t="s">
        <v>11124</v>
      </c>
      <c r="AG13849" s="831" t="s">
        <v>2674</v>
      </c>
      <c r="AH13849" s="831" t="s">
        <v>580</v>
      </c>
      <c r="AI13849" s="831">
        <v>0</v>
      </c>
      <c r="AJ13849" s="835">
        <v>41547</v>
      </c>
      <c r="AK13849" s="831">
        <v>-59169843</v>
      </c>
    </row>
    <row r="13850" spans="2:37">
      <c r="B13850" s="834" t="str">
        <f t="shared" si="513"/>
        <v>|||</v>
      </c>
      <c r="H13850" s="835">
        <f t="shared" si="514"/>
        <v>31</v>
      </c>
      <c r="AF13850" s="831" t="s">
        <v>11125</v>
      </c>
      <c r="AG13850" s="831" t="s">
        <v>2674</v>
      </c>
      <c r="AH13850" s="831" t="s">
        <v>581</v>
      </c>
      <c r="AI13850" s="831">
        <v>0</v>
      </c>
      <c r="AJ13850" s="835">
        <v>41547</v>
      </c>
      <c r="AK13850" s="831">
        <v>4375184</v>
      </c>
    </row>
    <row r="13851" spans="2:37">
      <c r="B13851" s="834" t="str">
        <f t="shared" si="513"/>
        <v>|||</v>
      </c>
      <c r="H13851" s="835">
        <f t="shared" si="514"/>
        <v>31</v>
      </c>
      <c r="AF13851" s="831" t="s">
        <v>11126</v>
      </c>
      <c r="AG13851" s="831" t="s">
        <v>2674</v>
      </c>
      <c r="AH13851" s="831" t="s">
        <v>105</v>
      </c>
      <c r="AI13851" s="831">
        <v>0</v>
      </c>
      <c r="AJ13851" s="835">
        <v>41547</v>
      </c>
      <c r="AK13851" s="831">
        <v>338957368</v>
      </c>
    </row>
    <row r="13852" spans="2:37">
      <c r="B13852" s="834" t="str">
        <f t="shared" si="513"/>
        <v>|||</v>
      </c>
      <c r="H13852" s="835">
        <f t="shared" si="514"/>
        <v>31</v>
      </c>
      <c r="AF13852" s="831" t="s">
        <v>11127</v>
      </c>
      <c r="AG13852" s="831" t="s">
        <v>2674</v>
      </c>
      <c r="AH13852" s="831" t="s">
        <v>3049</v>
      </c>
      <c r="AI13852" s="831">
        <v>0</v>
      </c>
      <c r="AJ13852" s="835">
        <v>41547</v>
      </c>
      <c r="AK13852" s="831">
        <v>558920871</v>
      </c>
    </row>
    <row r="13853" spans="2:37">
      <c r="B13853" s="834" t="str">
        <f t="shared" si="513"/>
        <v>|||</v>
      </c>
      <c r="H13853" s="835">
        <f t="shared" si="514"/>
        <v>31</v>
      </c>
      <c r="AF13853" s="831" t="s">
        <v>11128</v>
      </c>
      <c r="AG13853" s="831" t="s">
        <v>2674</v>
      </c>
      <c r="AH13853" s="831" t="s">
        <v>103</v>
      </c>
      <c r="AI13853" s="831">
        <v>0</v>
      </c>
      <c r="AJ13853" s="835">
        <v>41547</v>
      </c>
      <c r="AK13853" s="831">
        <v>219963503</v>
      </c>
    </row>
    <row r="13854" spans="2:37">
      <c r="B13854" s="834" t="str">
        <f t="shared" si="513"/>
        <v>|||</v>
      </c>
      <c r="H13854" s="835">
        <f t="shared" si="514"/>
        <v>31</v>
      </c>
      <c r="AF13854" s="831" t="s">
        <v>11129</v>
      </c>
      <c r="AG13854" s="831" t="s">
        <v>2674</v>
      </c>
      <c r="AH13854" s="831" t="s">
        <v>182</v>
      </c>
      <c r="AI13854" s="831">
        <v>0</v>
      </c>
      <c r="AJ13854" s="835">
        <v>41547</v>
      </c>
      <c r="AK13854" s="831">
        <v>57784893.333333336</v>
      </c>
    </row>
    <row r="13855" spans="2:37">
      <c r="B13855" s="834" t="str">
        <f t="shared" si="513"/>
        <v>|||</v>
      </c>
      <c r="H13855" s="835">
        <f t="shared" si="514"/>
        <v>31</v>
      </c>
      <c r="AF13855" s="831" t="s">
        <v>11130</v>
      </c>
      <c r="AG13855" s="831" t="s">
        <v>2674</v>
      </c>
      <c r="AH13855" s="831" t="s">
        <v>6600</v>
      </c>
      <c r="AI13855" s="831">
        <v>0</v>
      </c>
      <c r="AJ13855" s="835">
        <v>41547</v>
      </c>
      <c r="AK13855" s="831">
        <v>26160885</v>
      </c>
    </row>
    <row r="13856" spans="2:37">
      <c r="B13856" s="834" t="str">
        <f t="shared" si="513"/>
        <v>|||</v>
      </c>
      <c r="H13856" s="835">
        <f t="shared" si="514"/>
        <v>31</v>
      </c>
      <c r="AF13856" s="831" t="s">
        <v>11131</v>
      </c>
      <c r="AG13856" s="831" t="s">
        <v>2674</v>
      </c>
      <c r="AH13856" s="831" t="s">
        <v>6602</v>
      </c>
      <c r="AI13856" s="831">
        <v>0</v>
      </c>
      <c r="AJ13856" s="835">
        <v>41547</v>
      </c>
      <c r="AK13856" s="831">
        <v>22407414</v>
      </c>
    </row>
    <row r="13857" spans="2:37">
      <c r="B13857" s="834" t="str">
        <f t="shared" si="513"/>
        <v>|||</v>
      </c>
      <c r="H13857" s="835">
        <f t="shared" si="514"/>
        <v>31</v>
      </c>
      <c r="AF13857" s="831" t="s">
        <v>11132</v>
      </c>
      <c r="AG13857" s="831" t="s">
        <v>2674</v>
      </c>
      <c r="AH13857" s="831" t="s">
        <v>650</v>
      </c>
      <c r="AI13857" s="831">
        <v>0</v>
      </c>
      <c r="AJ13857" s="835">
        <v>41547</v>
      </c>
      <c r="AK13857" s="831">
        <v>184913431.55000001</v>
      </c>
    </row>
    <row r="13858" spans="2:37">
      <c r="B13858" s="834" t="str">
        <f t="shared" si="513"/>
        <v>|||</v>
      </c>
      <c r="H13858" s="835">
        <f t="shared" si="514"/>
        <v>31</v>
      </c>
      <c r="AF13858" s="831" t="s">
        <v>11133</v>
      </c>
      <c r="AG13858" s="831" t="s">
        <v>2674</v>
      </c>
      <c r="AH13858" s="831" t="s">
        <v>655</v>
      </c>
      <c r="AI13858" s="831">
        <v>0</v>
      </c>
      <c r="AJ13858" s="835">
        <v>41547</v>
      </c>
      <c r="AK13858" s="831">
        <v>1374522.24</v>
      </c>
    </row>
    <row r="13859" spans="2:37">
      <c r="B13859" s="834" t="str">
        <f t="shared" si="513"/>
        <v>|||</v>
      </c>
      <c r="H13859" s="835">
        <f t="shared" si="514"/>
        <v>31</v>
      </c>
      <c r="AF13859" s="831" t="s">
        <v>11134</v>
      </c>
      <c r="AG13859" s="831" t="s">
        <v>2674</v>
      </c>
      <c r="AH13859" s="831" t="s">
        <v>546</v>
      </c>
      <c r="AI13859" s="831">
        <v>0</v>
      </c>
      <c r="AJ13859" s="835">
        <v>41578</v>
      </c>
      <c r="AK13859" s="831">
        <v>580271359</v>
      </c>
    </row>
    <row r="13860" spans="2:37">
      <c r="B13860" s="834" t="str">
        <f t="shared" si="513"/>
        <v>|||</v>
      </c>
      <c r="H13860" s="835">
        <f t="shared" si="514"/>
        <v>31</v>
      </c>
      <c r="AF13860" s="831" t="s">
        <v>11135</v>
      </c>
      <c r="AG13860" s="831" t="s">
        <v>2674</v>
      </c>
      <c r="AH13860" s="831" t="s">
        <v>370</v>
      </c>
      <c r="AI13860" s="831">
        <v>0</v>
      </c>
      <c r="AJ13860" s="835">
        <v>41578</v>
      </c>
      <c r="AK13860" s="831">
        <v>723686405</v>
      </c>
    </row>
    <row r="13861" spans="2:37">
      <c r="B13861" s="834" t="str">
        <f t="shared" si="513"/>
        <v>|||</v>
      </c>
      <c r="H13861" s="835">
        <f t="shared" si="514"/>
        <v>31</v>
      </c>
      <c r="AF13861" s="831" t="s">
        <v>11136</v>
      </c>
      <c r="AG13861" s="831" t="s">
        <v>2674</v>
      </c>
      <c r="AH13861" s="831" t="s">
        <v>126</v>
      </c>
      <c r="AI13861" s="831">
        <v>0</v>
      </c>
      <c r="AJ13861" s="835">
        <v>41578</v>
      </c>
      <c r="AK13861" s="831">
        <v>120290863</v>
      </c>
    </row>
    <row r="13862" spans="2:37">
      <c r="B13862" s="834" t="str">
        <f t="shared" si="513"/>
        <v>|||</v>
      </c>
      <c r="H13862" s="835">
        <f t="shared" si="514"/>
        <v>31</v>
      </c>
      <c r="AF13862" s="831" t="s">
        <v>11137</v>
      </c>
      <c r="AG13862" s="831" t="s">
        <v>2674</v>
      </c>
      <c r="AH13862" s="831" t="s">
        <v>268</v>
      </c>
      <c r="AI13862" s="831">
        <v>0</v>
      </c>
      <c r="AJ13862" s="835">
        <v>41578</v>
      </c>
      <c r="AK13862" s="831">
        <v>25527641</v>
      </c>
    </row>
    <row r="13863" spans="2:37">
      <c r="B13863" s="834" t="str">
        <f t="shared" si="513"/>
        <v>|||</v>
      </c>
      <c r="H13863" s="835">
        <f t="shared" si="514"/>
        <v>31</v>
      </c>
      <c r="AF13863" s="831" t="s">
        <v>11138</v>
      </c>
      <c r="AG13863" s="831" t="s">
        <v>2674</v>
      </c>
      <c r="AH13863" s="831" t="s">
        <v>547</v>
      </c>
      <c r="AI13863" s="831">
        <v>0</v>
      </c>
      <c r="AJ13863" s="835">
        <v>41578</v>
      </c>
      <c r="AK13863" s="831">
        <v>511487760</v>
      </c>
    </row>
    <row r="13864" spans="2:37">
      <c r="B13864" s="834" t="str">
        <f t="shared" si="513"/>
        <v>|||</v>
      </c>
      <c r="H13864" s="835">
        <f t="shared" si="514"/>
        <v>31</v>
      </c>
      <c r="AF13864" s="831" t="s">
        <v>11139</v>
      </c>
      <c r="AG13864" s="831" t="s">
        <v>2674</v>
      </c>
      <c r="AH13864" s="831" t="s">
        <v>548</v>
      </c>
      <c r="AI13864" s="831">
        <v>0</v>
      </c>
      <c r="AJ13864" s="835">
        <v>41578</v>
      </c>
      <c r="AK13864" s="831">
        <v>96883184</v>
      </c>
    </row>
    <row r="13865" spans="2:37">
      <c r="B13865" s="834" t="str">
        <f t="shared" si="513"/>
        <v>|||</v>
      </c>
      <c r="H13865" s="835">
        <f t="shared" si="514"/>
        <v>31</v>
      </c>
      <c r="AF13865" s="831" t="s">
        <v>11140</v>
      </c>
      <c r="AG13865" s="831" t="s">
        <v>2674</v>
      </c>
      <c r="AH13865" s="831" t="s">
        <v>549</v>
      </c>
      <c r="AI13865" s="831">
        <v>0</v>
      </c>
      <c r="AJ13865" s="835">
        <v>41578</v>
      </c>
      <c r="AK13865" s="831">
        <v>376404251</v>
      </c>
    </row>
    <row r="13866" spans="2:37">
      <c r="B13866" s="834" t="str">
        <f t="shared" si="513"/>
        <v>|||</v>
      </c>
      <c r="H13866" s="835">
        <f t="shared" si="514"/>
        <v>31</v>
      </c>
      <c r="AF13866" s="831" t="s">
        <v>11141</v>
      </c>
      <c r="AG13866" s="831" t="s">
        <v>2674</v>
      </c>
      <c r="AH13866" s="831" t="s">
        <v>192</v>
      </c>
      <c r="AI13866" s="831">
        <v>0</v>
      </c>
      <c r="AJ13866" s="835">
        <v>41578</v>
      </c>
      <c r="AK13866" s="831">
        <v>-13193791</v>
      </c>
    </row>
    <row r="13867" spans="2:37">
      <c r="B13867" s="834" t="str">
        <f t="shared" si="513"/>
        <v>|||</v>
      </c>
      <c r="H13867" s="835">
        <f t="shared" si="514"/>
        <v>31</v>
      </c>
      <c r="AF13867" s="831" t="s">
        <v>11142</v>
      </c>
      <c r="AG13867" s="831" t="s">
        <v>2674</v>
      </c>
      <c r="AH13867" s="831" t="s">
        <v>558</v>
      </c>
      <c r="AI13867" s="831">
        <v>0</v>
      </c>
      <c r="AJ13867" s="835">
        <v>41578</v>
      </c>
      <c r="AK13867" s="831">
        <v>603395542</v>
      </c>
    </row>
    <row r="13868" spans="2:37">
      <c r="B13868" s="834" t="str">
        <f t="shared" si="513"/>
        <v>|||</v>
      </c>
      <c r="H13868" s="835">
        <f t="shared" si="514"/>
        <v>31</v>
      </c>
      <c r="AF13868" s="831" t="s">
        <v>11143</v>
      </c>
      <c r="AG13868" s="831" t="s">
        <v>2674</v>
      </c>
      <c r="AH13868" s="831" t="s">
        <v>65</v>
      </c>
      <c r="AI13868" s="831">
        <v>0</v>
      </c>
      <c r="AJ13868" s="835">
        <v>41578</v>
      </c>
      <c r="AK13868" s="831">
        <v>107527674</v>
      </c>
    </row>
    <row r="13869" spans="2:37">
      <c r="B13869" s="834" t="str">
        <f t="shared" si="513"/>
        <v>|||</v>
      </c>
      <c r="H13869" s="835">
        <f t="shared" si="514"/>
        <v>31</v>
      </c>
      <c r="AF13869" s="831" t="s">
        <v>11144</v>
      </c>
      <c r="AG13869" s="831" t="s">
        <v>2674</v>
      </c>
      <c r="AH13869" s="831" t="s">
        <v>89</v>
      </c>
      <c r="AI13869" s="831">
        <v>0</v>
      </c>
      <c r="AJ13869" s="835">
        <v>41578</v>
      </c>
      <c r="AK13869" s="831">
        <v>143295</v>
      </c>
    </row>
    <row r="13870" spans="2:37">
      <c r="B13870" s="834" t="str">
        <f t="shared" si="513"/>
        <v>|||</v>
      </c>
      <c r="H13870" s="835">
        <f t="shared" si="514"/>
        <v>31</v>
      </c>
      <c r="AF13870" s="831" t="s">
        <v>11145</v>
      </c>
      <c r="AG13870" s="831" t="s">
        <v>2674</v>
      </c>
      <c r="AH13870" s="831" t="s">
        <v>557</v>
      </c>
      <c r="AI13870" s="831">
        <v>0</v>
      </c>
      <c r="AJ13870" s="835">
        <v>41578</v>
      </c>
      <c r="AK13870" s="831">
        <v>153100</v>
      </c>
    </row>
    <row r="13871" spans="2:37">
      <c r="B13871" s="834" t="str">
        <f t="shared" si="513"/>
        <v>|||</v>
      </c>
      <c r="H13871" s="835">
        <f t="shared" si="514"/>
        <v>31</v>
      </c>
      <c r="AF13871" s="831" t="s">
        <v>11146</v>
      </c>
      <c r="AG13871" s="831" t="s">
        <v>2674</v>
      </c>
      <c r="AH13871" s="831" t="s">
        <v>29</v>
      </c>
      <c r="AI13871" s="831">
        <v>0</v>
      </c>
      <c r="AJ13871" s="835">
        <v>41578</v>
      </c>
      <c r="AK13871" s="831">
        <v>1718550.9230000002</v>
      </c>
    </row>
    <row r="13872" spans="2:37">
      <c r="B13872" s="834" t="str">
        <f t="shared" si="513"/>
        <v>|||</v>
      </c>
      <c r="H13872" s="835">
        <f t="shared" si="514"/>
        <v>31</v>
      </c>
      <c r="AF13872" s="831" t="s">
        <v>11147</v>
      </c>
      <c r="AG13872" s="831" t="s">
        <v>2674</v>
      </c>
      <c r="AH13872" s="831" t="s">
        <v>2688</v>
      </c>
      <c r="AI13872" s="831">
        <v>0</v>
      </c>
      <c r="AJ13872" s="835">
        <v>41578</v>
      </c>
      <c r="AK13872" s="831">
        <v>2316853.79</v>
      </c>
    </row>
    <row r="13873" spans="2:37">
      <c r="B13873" s="834" t="str">
        <f t="shared" si="513"/>
        <v>|||</v>
      </c>
      <c r="H13873" s="835">
        <f t="shared" si="514"/>
        <v>31</v>
      </c>
      <c r="AF13873" s="831" t="s">
        <v>11148</v>
      </c>
      <c r="AG13873" s="831" t="s">
        <v>2674</v>
      </c>
      <c r="AH13873" s="831" t="s">
        <v>556</v>
      </c>
      <c r="AI13873" s="831">
        <v>0</v>
      </c>
      <c r="AJ13873" s="835">
        <v>41578</v>
      </c>
      <c r="AK13873" s="831">
        <v>1644732</v>
      </c>
    </row>
    <row r="13874" spans="2:37">
      <c r="B13874" s="834" t="str">
        <f t="shared" si="513"/>
        <v>|||</v>
      </c>
      <c r="H13874" s="835">
        <f t="shared" si="514"/>
        <v>31</v>
      </c>
      <c r="AF13874" s="831" t="s">
        <v>11149</v>
      </c>
      <c r="AG13874" s="831" t="s">
        <v>2674</v>
      </c>
      <c r="AH13874" s="831" t="s">
        <v>555</v>
      </c>
      <c r="AI13874" s="831">
        <v>0</v>
      </c>
      <c r="AJ13874" s="835">
        <v>41578</v>
      </c>
      <c r="AK13874" s="831">
        <v>400055160</v>
      </c>
    </row>
    <row r="13875" spans="2:37">
      <c r="B13875" s="834" t="str">
        <f t="shared" si="513"/>
        <v>|||</v>
      </c>
      <c r="H13875" s="835">
        <f t="shared" si="514"/>
        <v>31</v>
      </c>
      <c r="AF13875" s="831" t="s">
        <v>11150</v>
      </c>
      <c r="AG13875" s="831" t="s">
        <v>2674</v>
      </c>
      <c r="AH13875" s="831" t="s">
        <v>554</v>
      </c>
      <c r="AI13875" s="831">
        <v>0</v>
      </c>
      <c r="AJ13875" s="835">
        <v>41578</v>
      </c>
      <c r="AK13875" s="831">
        <v>409100170</v>
      </c>
    </row>
    <row r="13876" spans="2:37">
      <c r="B13876" s="834" t="str">
        <f t="shared" si="513"/>
        <v>|||</v>
      </c>
      <c r="H13876" s="835">
        <f t="shared" si="514"/>
        <v>31</v>
      </c>
      <c r="AF13876" s="831" t="s">
        <v>11151</v>
      </c>
      <c r="AG13876" s="831" t="s">
        <v>2674</v>
      </c>
      <c r="AH13876" s="831" t="s">
        <v>553</v>
      </c>
      <c r="AI13876" s="831">
        <v>0</v>
      </c>
      <c r="AJ13876" s="835">
        <v>41578</v>
      </c>
      <c r="AK13876" s="831">
        <v>0</v>
      </c>
    </row>
    <row r="13877" spans="2:37">
      <c r="B13877" s="834" t="str">
        <f t="shared" si="513"/>
        <v>|||</v>
      </c>
      <c r="H13877" s="835">
        <f t="shared" si="514"/>
        <v>31</v>
      </c>
      <c r="AF13877" s="831" t="s">
        <v>11152</v>
      </c>
      <c r="AG13877" s="831" t="s">
        <v>2674</v>
      </c>
      <c r="AH13877" s="831" t="s">
        <v>552</v>
      </c>
      <c r="AI13877" s="831">
        <v>0</v>
      </c>
      <c r="AJ13877" s="835">
        <v>41578</v>
      </c>
      <c r="AK13877" s="831">
        <v>0</v>
      </c>
    </row>
    <row r="13878" spans="2:37">
      <c r="B13878" s="834" t="str">
        <f t="shared" si="513"/>
        <v>|||</v>
      </c>
      <c r="H13878" s="835">
        <f t="shared" si="514"/>
        <v>31</v>
      </c>
      <c r="AF13878" s="831" t="s">
        <v>11153</v>
      </c>
      <c r="AG13878" s="831" t="s">
        <v>2674</v>
      </c>
      <c r="AH13878" s="831" t="s">
        <v>551</v>
      </c>
      <c r="AI13878" s="831">
        <v>0</v>
      </c>
      <c r="AJ13878" s="835">
        <v>41578</v>
      </c>
      <c r="AK13878" s="831">
        <v>1543588.5830000001</v>
      </c>
    </row>
    <row r="13879" spans="2:37">
      <c r="B13879" s="834" t="str">
        <f t="shared" si="513"/>
        <v>|||</v>
      </c>
      <c r="H13879" s="835">
        <f t="shared" si="514"/>
        <v>31</v>
      </c>
      <c r="AF13879" s="831" t="s">
        <v>11154</v>
      </c>
      <c r="AG13879" s="831" t="s">
        <v>2674</v>
      </c>
      <c r="AH13879" s="831" t="s">
        <v>550</v>
      </c>
      <c r="AI13879" s="831">
        <v>0</v>
      </c>
      <c r="AJ13879" s="835">
        <v>41578</v>
      </c>
      <c r="AK13879" s="831">
        <v>117170637</v>
      </c>
    </row>
    <row r="13880" spans="2:37">
      <c r="B13880" s="834" t="str">
        <f t="shared" si="513"/>
        <v>|||</v>
      </c>
      <c r="H13880" s="835">
        <f t="shared" si="514"/>
        <v>31</v>
      </c>
      <c r="AF13880" s="831" t="s">
        <v>11155</v>
      </c>
      <c r="AG13880" s="831" t="s">
        <v>2674</v>
      </c>
      <c r="AH13880" s="831" t="s">
        <v>562</v>
      </c>
      <c r="AI13880" s="831">
        <v>0</v>
      </c>
      <c r="AJ13880" s="835">
        <v>41578</v>
      </c>
      <c r="AK13880" s="831">
        <v>0.78395000000000004</v>
      </c>
    </row>
    <row r="13881" spans="2:37">
      <c r="B13881" s="834" t="str">
        <f t="shared" si="513"/>
        <v>|||</v>
      </c>
      <c r="H13881" s="835">
        <f t="shared" si="514"/>
        <v>31</v>
      </c>
      <c r="AF13881" s="831" t="s">
        <v>11156</v>
      </c>
      <c r="AG13881" s="831" t="s">
        <v>2674</v>
      </c>
      <c r="AH13881" s="831" t="s">
        <v>2698</v>
      </c>
      <c r="AI13881" s="831">
        <v>0</v>
      </c>
      <c r="AJ13881" s="835">
        <v>41578</v>
      </c>
      <c r="AK13881" s="831">
        <v>0.78395000000000004</v>
      </c>
    </row>
    <row r="13882" spans="2:37">
      <c r="B13882" s="834" t="str">
        <f t="shared" si="513"/>
        <v>|||</v>
      </c>
      <c r="H13882" s="835">
        <f t="shared" si="514"/>
        <v>31</v>
      </c>
      <c r="AF13882" s="831" t="s">
        <v>11157</v>
      </c>
      <c r="AG13882" s="831" t="s">
        <v>2674</v>
      </c>
      <c r="AH13882" s="831" t="s">
        <v>560</v>
      </c>
      <c r="AI13882" s="831">
        <v>0</v>
      </c>
      <c r="AJ13882" s="835">
        <v>41578</v>
      </c>
      <c r="AK13882" s="831">
        <v>0.78400000000000003</v>
      </c>
    </row>
    <row r="13883" spans="2:37">
      <c r="B13883" s="834" t="str">
        <f t="shared" si="513"/>
        <v>|||</v>
      </c>
      <c r="H13883" s="835">
        <f t="shared" si="514"/>
        <v>31</v>
      </c>
      <c r="AF13883" s="831" t="s">
        <v>11158</v>
      </c>
      <c r="AG13883" s="831" t="s">
        <v>2674</v>
      </c>
      <c r="AH13883" s="831" t="s">
        <v>559</v>
      </c>
      <c r="AI13883" s="831">
        <v>0</v>
      </c>
      <c r="AJ13883" s="835">
        <v>41578</v>
      </c>
      <c r="AK13883" s="831">
        <v>0.78401250000000011</v>
      </c>
    </row>
    <row r="13884" spans="2:37">
      <c r="B13884" s="834" t="str">
        <f t="shared" si="513"/>
        <v>|||</v>
      </c>
      <c r="H13884" s="835">
        <f t="shared" si="514"/>
        <v>31</v>
      </c>
      <c r="AF13884" s="831" t="s">
        <v>11159</v>
      </c>
      <c r="AG13884" s="831" t="s">
        <v>2674</v>
      </c>
      <c r="AH13884" s="831" t="s">
        <v>568</v>
      </c>
      <c r="AI13884" s="831">
        <v>0</v>
      </c>
      <c r="AJ13884" s="835">
        <v>41578</v>
      </c>
      <c r="AK13884" s="831">
        <v>478407995.76923078</v>
      </c>
    </row>
    <row r="13885" spans="2:37">
      <c r="B13885" s="834" t="str">
        <f t="shared" si="513"/>
        <v>|||</v>
      </c>
      <c r="H13885" s="835">
        <f t="shared" si="514"/>
        <v>31</v>
      </c>
      <c r="AF13885" s="831" t="s">
        <v>11160</v>
      </c>
      <c r="AG13885" s="831" t="s">
        <v>2674</v>
      </c>
      <c r="AH13885" s="831" t="s">
        <v>569</v>
      </c>
      <c r="AI13885" s="831">
        <v>0</v>
      </c>
      <c r="AJ13885" s="835">
        <v>41578</v>
      </c>
      <c r="AK13885" s="831">
        <v>581144138.23076928</v>
      </c>
    </row>
    <row r="13886" spans="2:37">
      <c r="B13886" s="834" t="str">
        <f t="shared" si="513"/>
        <v>|||</v>
      </c>
      <c r="H13886" s="835">
        <f t="shared" si="514"/>
        <v>31</v>
      </c>
      <c r="AF13886" s="831" t="s">
        <v>11161</v>
      </c>
      <c r="AG13886" s="831" t="s">
        <v>2674</v>
      </c>
      <c r="AH13886" s="831" t="s">
        <v>570</v>
      </c>
      <c r="AI13886" s="831">
        <v>0</v>
      </c>
      <c r="AJ13886" s="835">
        <v>41578</v>
      </c>
      <c r="AK13886" s="831">
        <v>105999107.61538461</v>
      </c>
    </row>
    <row r="13887" spans="2:37">
      <c r="B13887" s="834" t="str">
        <f t="shared" si="513"/>
        <v>|||</v>
      </c>
      <c r="H13887" s="835">
        <f t="shared" si="514"/>
        <v>31</v>
      </c>
      <c r="AF13887" s="831" t="s">
        <v>11162</v>
      </c>
      <c r="AG13887" s="831" t="s">
        <v>2674</v>
      </c>
      <c r="AH13887" s="831" t="s">
        <v>571</v>
      </c>
      <c r="AI13887" s="831">
        <v>0</v>
      </c>
      <c r="AJ13887" s="835">
        <v>41578</v>
      </c>
      <c r="AK13887" s="831">
        <v>269945691.38461536</v>
      </c>
    </row>
    <row r="13888" spans="2:37">
      <c r="B13888" s="834" t="str">
        <f t="shared" si="513"/>
        <v>|||</v>
      </c>
      <c r="H13888" s="835">
        <f t="shared" si="514"/>
        <v>31</v>
      </c>
      <c r="AF13888" s="831" t="s">
        <v>11163</v>
      </c>
      <c r="AG13888" s="831" t="s">
        <v>2674</v>
      </c>
      <c r="AH13888" s="831" t="s">
        <v>573</v>
      </c>
      <c r="AI13888" s="831">
        <v>0</v>
      </c>
      <c r="AJ13888" s="835">
        <v>41578</v>
      </c>
      <c r="AK13888" s="831">
        <v>602977734.09090912</v>
      </c>
    </row>
    <row r="13889" spans="2:37">
      <c r="B13889" s="834" t="str">
        <f t="shared" si="513"/>
        <v>|||</v>
      </c>
      <c r="H13889" s="835">
        <f t="shared" si="514"/>
        <v>31</v>
      </c>
      <c r="AF13889" s="831" t="s">
        <v>11164</v>
      </c>
      <c r="AG13889" s="831" t="s">
        <v>2674</v>
      </c>
      <c r="AH13889" s="831" t="s">
        <v>574</v>
      </c>
      <c r="AI13889" s="831">
        <v>0</v>
      </c>
      <c r="AJ13889" s="835">
        <v>41578</v>
      </c>
      <c r="AK13889" s="831">
        <v>495346900.72727275</v>
      </c>
    </row>
    <row r="13890" spans="2:37">
      <c r="B13890" s="834" t="str">
        <f t="shared" si="513"/>
        <v>|||</v>
      </c>
      <c r="H13890" s="835">
        <f t="shared" si="514"/>
        <v>31</v>
      </c>
      <c r="AF13890" s="831" t="s">
        <v>11165</v>
      </c>
      <c r="AG13890" s="831" t="s">
        <v>2674</v>
      </c>
      <c r="AH13890" s="831" t="s">
        <v>575</v>
      </c>
      <c r="AI13890" s="831">
        <v>0</v>
      </c>
      <c r="AJ13890" s="835">
        <v>41578</v>
      </c>
      <c r="AK13890" s="831">
        <v>106972740.09090909</v>
      </c>
    </row>
    <row r="13891" spans="2:37">
      <c r="B13891" s="834" t="str">
        <f t="shared" si="513"/>
        <v>|||</v>
      </c>
      <c r="H13891" s="835">
        <f t="shared" si="514"/>
        <v>31</v>
      </c>
      <c r="AF13891" s="831" t="s">
        <v>11166</v>
      </c>
      <c r="AG13891" s="831" t="s">
        <v>2674</v>
      </c>
      <c r="AH13891" s="831" t="s">
        <v>576</v>
      </c>
      <c r="AI13891" s="831">
        <v>0</v>
      </c>
      <c r="AJ13891" s="835">
        <v>41578</v>
      </c>
      <c r="AK13891" s="831">
        <v>283862763.27272725</v>
      </c>
    </row>
    <row r="13892" spans="2:37">
      <c r="B13892" s="834" t="str">
        <f t="shared" si="513"/>
        <v>|||</v>
      </c>
      <c r="H13892" s="835">
        <f t="shared" si="514"/>
        <v>31</v>
      </c>
      <c r="AF13892" s="831" t="s">
        <v>11167</v>
      </c>
      <c r="AG13892" s="831" t="s">
        <v>2674</v>
      </c>
      <c r="AH13892" s="831" t="s">
        <v>572</v>
      </c>
      <c r="AI13892" s="831">
        <v>0</v>
      </c>
      <c r="AJ13892" s="835">
        <v>41578</v>
      </c>
      <c r="AK13892" s="831">
        <v>27259085</v>
      </c>
    </row>
    <row r="13893" spans="2:37">
      <c r="B13893" s="834" t="str">
        <f t="shared" si="513"/>
        <v>|||</v>
      </c>
      <c r="H13893" s="835">
        <f t="shared" si="514"/>
        <v>31</v>
      </c>
      <c r="AF13893" s="831" t="s">
        <v>11168</v>
      </c>
      <c r="AG13893" s="831" t="s">
        <v>2674</v>
      </c>
      <c r="AH13893" s="831" t="s">
        <v>577</v>
      </c>
      <c r="AI13893" s="831">
        <v>0</v>
      </c>
      <c r="AJ13893" s="835">
        <v>41578</v>
      </c>
      <c r="AK13893" s="831">
        <v>126095724</v>
      </c>
    </row>
    <row r="13894" spans="2:37">
      <c r="B13894" s="834" t="str">
        <f t="shared" si="513"/>
        <v>|||</v>
      </c>
      <c r="H13894" s="835">
        <f t="shared" si="514"/>
        <v>31</v>
      </c>
      <c r="AF13894" s="831" t="s">
        <v>11169</v>
      </c>
      <c r="AG13894" s="831" t="s">
        <v>2674</v>
      </c>
      <c r="AH13894" s="831" t="s">
        <v>3042</v>
      </c>
      <c r="AI13894" s="831">
        <v>0</v>
      </c>
      <c r="AJ13894" s="835">
        <v>41578</v>
      </c>
      <c r="AK13894" s="831">
        <v>-31522962</v>
      </c>
    </row>
    <row r="13895" spans="2:37">
      <c r="B13895" s="834" t="str">
        <f t="shared" si="513"/>
        <v>|||</v>
      </c>
      <c r="H13895" s="835">
        <f t="shared" si="514"/>
        <v>31</v>
      </c>
      <c r="AF13895" s="831" t="s">
        <v>11170</v>
      </c>
      <c r="AG13895" s="831" t="s">
        <v>2674</v>
      </c>
      <c r="AH13895" s="831" t="s">
        <v>3044</v>
      </c>
      <c r="AI13895" s="831">
        <v>0</v>
      </c>
      <c r="AJ13895" s="835">
        <v>41578</v>
      </c>
      <c r="AK13895" s="831">
        <v>-4397277</v>
      </c>
    </row>
    <row r="13896" spans="2:37">
      <c r="B13896" s="834" t="str">
        <f t="shared" si="513"/>
        <v>|||</v>
      </c>
      <c r="H13896" s="835">
        <f t="shared" si="514"/>
        <v>31</v>
      </c>
      <c r="AF13896" s="831" t="s">
        <v>11171</v>
      </c>
      <c r="AG13896" s="831" t="s">
        <v>2674</v>
      </c>
      <c r="AH13896" s="831" t="s">
        <v>580</v>
      </c>
      <c r="AI13896" s="831">
        <v>0</v>
      </c>
      <c r="AJ13896" s="835">
        <v>41578</v>
      </c>
      <c r="AK13896" s="831">
        <v>-60213639</v>
      </c>
    </row>
    <row r="13897" spans="2:37">
      <c r="B13897" s="834" t="str">
        <f t="shared" si="513"/>
        <v>|||</v>
      </c>
      <c r="H13897" s="835">
        <f t="shared" si="514"/>
        <v>31</v>
      </c>
      <c r="AF13897" s="831" t="s">
        <v>11172</v>
      </c>
      <c r="AG13897" s="831" t="s">
        <v>2674</v>
      </c>
      <c r="AH13897" s="831" t="s">
        <v>581</v>
      </c>
      <c r="AI13897" s="831">
        <v>0</v>
      </c>
      <c r="AJ13897" s="835">
        <v>41578</v>
      </c>
      <c r="AK13897" s="831">
        <v>4896268</v>
      </c>
    </row>
    <row r="13898" spans="2:37">
      <c r="B13898" s="834" t="str">
        <f t="shared" si="513"/>
        <v>|||</v>
      </c>
      <c r="H13898" s="835">
        <f t="shared" si="514"/>
        <v>31</v>
      </c>
      <c r="AF13898" s="831" t="s">
        <v>11173</v>
      </c>
      <c r="AG13898" s="831" t="s">
        <v>2674</v>
      </c>
      <c r="AH13898" s="831" t="s">
        <v>105</v>
      </c>
      <c r="AI13898" s="831">
        <v>0</v>
      </c>
      <c r="AJ13898" s="835">
        <v>41578</v>
      </c>
      <c r="AK13898" s="831">
        <v>349309695</v>
      </c>
    </row>
    <row r="13899" spans="2:37">
      <c r="B13899" s="834" t="str">
        <f t="shared" si="513"/>
        <v>|||</v>
      </c>
      <c r="H13899" s="835">
        <f t="shared" si="514"/>
        <v>31</v>
      </c>
      <c r="AF13899" s="831" t="s">
        <v>11174</v>
      </c>
      <c r="AG13899" s="831" t="s">
        <v>2674</v>
      </c>
      <c r="AH13899" s="831" t="s">
        <v>3049</v>
      </c>
      <c r="AI13899" s="831">
        <v>0</v>
      </c>
      <c r="AJ13899" s="835">
        <v>41578</v>
      </c>
      <c r="AK13899" s="831">
        <v>582451860</v>
      </c>
    </row>
    <row r="13900" spans="2:37">
      <c r="B13900" s="834" t="str">
        <f t="shared" si="513"/>
        <v>|||</v>
      </c>
      <c r="H13900" s="835">
        <f t="shared" si="514"/>
        <v>31</v>
      </c>
      <c r="AF13900" s="831" t="s">
        <v>11175</v>
      </c>
      <c r="AG13900" s="831" t="s">
        <v>2674</v>
      </c>
      <c r="AH13900" s="831" t="s">
        <v>103</v>
      </c>
      <c r="AI13900" s="831">
        <v>0</v>
      </c>
      <c r="AJ13900" s="835">
        <v>41578</v>
      </c>
      <c r="AK13900" s="831">
        <v>233142165</v>
      </c>
    </row>
    <row r="13901" spans="2:37">
      <c r="B13901" s="834" t="str">
        <f t="shared" si="513"/>
        <v>|||</v>
      </c>
      <c r="H13901" s="835">
        <f t="shared" si="514"/>
        <v>31</v>
      </c>
      <c r="AF13901" s="831" t="s">
        <v>11176</v>
      </c>
      <c r="AG13901" s="831" t="s">
        <v>2674</v>
      </c>
      <c r="AH13901" s="831" t="s">
        <v>182</v>
      </c>
      <c r="AI13901" s="831">
        <v>0</v>
      </c>
      <c r="AJ13901" s="835">
        <v>41578</v>
      </c>
      <c r="AK13901" s="831">
        <v>58216306.799999997</v>
      </c>
    </row>
    <row r="13902" spans="2:37">
      <c r="B13902" s="834" t="str">
        <f t="shared" si="513"/>
        <v>|||</v>
      </c>
      <c r="H13902" s="835">
        <f t="shared" si="514"/>
        <v>31</v>
      </c>
      <c r="AF13902" s="831" t="s">
        <v>11177</v>
      </c>
      <c r="AG13902" s="831" t="s">
        <v>2674</v>
      </c>
      <c r="AH13902" s="831" t="s">
        <v>6600</v>
      </c>
      <c r="AI13902" s="831">
        <v>0</v>
      </c>
      <c r="AJ13902" s="835">
        <v>41578</v>
      </c>
      <c r="AK13902" s="831">
        <v>27259085</v>
      </c>
    </row>
    <row r="13903" spans="2:37">
      <c r="B13903" s="834" t="str">
        <f t="shared" si="513"/>
        <v>|||</v>
      </c>
      <c r="H13903" s="835">
        <f t="shared" si="514"/>
        <v>31</v>
      </c>
      <c r="AF13903" s="831" t="s">
        <v>11178</v>
      </c>
      <c r="AG13903" s="831" t="s">
        <v>2674</v>
      </c>
      <c r="AH13903" s="831" t="s">
        <v>6602</v>
      </c>
      <c r="AI13903" s="831">
        <v>0</v>
      </c>
      <c r="AJ13903" s="835">
        <v>41578</v>
      </c>
      <c r="AK13903" s="831">
        <v>25527641</v>
      </c>
    </row>
    <row r="13904" spans="2:37">
      <c r="B13904" s="834" t="str">
        <f t="shared" si="513"/>
        <v>|||</v>
      </c>
      <c r="H13904" s="835">
        <f t="shared" si="514"/>
        <v>31</v>
      </c>
      <c r="AF13904" s="831" t="s">
        <v>11179</v>
      </c>
      <c r="AG13904" s="831" t="s">
        <v>2674</v>
      </c>
      <c r="AH13904" s="831" t="s">
        <v>650</v>
      </c>
      <c r="AI13904" s="831">
        <v>0</v>
      </c>
      <c r="AJ13904" s="835">
        <v>41578</v>
      </c>
      <c r="AK13904" s="831">
        <v>190388810.31923077</v>
      </c>
    </row>
    <row r="13905" spans="2:37">
      <c r="B13905" s="834" t="str">
        <f t="shared" ref="B13905:B13968" si="515">C13905&amp;"|"&amp;D13905&amp;"|"&amp;E13905&amp;"|"&amp;F13905</f>
        <v>|||</v>
      </c>
      <c r="H13905" s="835">
        <f t="shared" ref="H13905:H13968" si="516">EOMONTH(L13905,0)</f>
        <v>31</v>
      </c>
      <c r="AF13905" s="831" t="s">
        <v>11180</v>
      </c>
      <c r="AG13905" s="831" t="s">
        <v>2674</v>
      </c>
      <c r="AH13905" s="831" t="s">
        <v>655</v>
      </c>
      <c r="AI13905" s="831">
        <v>0</v>
      </c>
      <c r="AJ13905" s="835">
        <v>41578</v>
      </c>
      <c r="AK13905" s="831">
        <v>1325401.845</v>
      </c>
    </row>
    <row r="13906" spans="2:37">
      <c r="B13906" s="834" t="str">
        <f t="shared" si="515"/>
        <v>|||</v>
      </c>
      <c r="H13906" s="835">
        <f t="shared" si="516"/>
        <v>31</v>
      </c>
      <c r="AF13906" s="831" t="s">
        <v>11181</v>
      </c>
      <c r="AG13906" s="831" t="s">
        <v>2674</v>
      </c>
      <c r="AH13906" s="831" t="s">
        <v>546</v>
      </c>
      <c r="AI13906" s="831">
        <v>0</v>
      </c>
      <c r="AJ13906" s="835">
        <v>41608</v>
      </c>
      <c r="AK13906" s="831">
        <v>598049309.95000005</v>
      </c>
    </row>
    <row r="13907" spans="2:37">
      <c r="B13907" s="834" t="str">
        <f t="shared" si="515"/>
        <v>|||</v>
      </c>
      <c r="H13907" s="835">
        <f t="shared" si="516"/>
        <v>31</v>
      </c>
      <c r="AF13907" s="831" t="s">
        <v>11182</v>
      </c>
      <c r="AG13907" s="831" t="s">
        <v>2674</v>
      </c>
      <c r="AH13907" s="831" t="s">
        <v>370</v>
      </c>
      <c r="AI13907" s="831">
        <v>0</v>
      </c>
      <c r="AJ13907" s="835">
        <v>41608</v>
      </c>
      <c r="AK13907" s="831">
        <v>744271522.09000015</v>
      </c>
    </row>
    <row r="13908" spans="2:37">
      <c r="B13908" s="834" t="str">
        <f t="shared" si="515"/>
        <v>|||</v>
      </c>
      <c r="H13908" s="835">
        <f t="shared" si="516"/>
        <v>31</v>
      </c>
      <c r="AF13908" s="831" t="s">
        <v>11183</v>
      </c>
      <c r="AG13908" s="831" t="s">
        <v>2674</v>
      </c>
      <c r="AH13908" s="831" t="s">
        <v>126</v>
      </c>
      <c r="AI13908" s="831">
        <v>0</v>
      </c>
      <c r="AJ13908" s="835">
        <v>41608</v>
      </c>
      <c r="AK13908" s="831">
        <v>123117939.85600001</v>
      </c>
    </row>
    <row r="13909" spans="2:37">
      <c r="B13909" s="834" t="str">
        <f t="shared" si="515"/>
        <v>|||</v>
      </c>
      <c r="H13909" s="835">
        <f t="shared" si="516"/>
        <v>31</v>
      </c>
      <c r="AF13909" s="831" t="s">
        <v>11184</v>
      </c>
      <c r="AG13909" s="831" t="s">
        <v>2674</v>
      </c>
      <c r="AH13909" s="831" t="s">
        <v>268</v>
      </c>
      <c r="AI13909" s="831">
        <v>0</v>
      </c>
      <c r="AJ13909" s="835">
        <v>41608</v>
      </c>
      <c r="AK13909" s="831">
        <v>28354718.032000005</v>
      </c>
    </row>
    <row r="13910" spans="2:37">
      <c r="B13910" s="834" t="str">
        <f t="shared" si="515"/>
        <v>|||</v>
      </c>
      <c r="H13910" s="835">
        <f t="shared" si="516"/>
        <v>31</v>
      </c>
      <c r="AF13910" s="831" t="s">
        <v>11185</v>
      </c>
      <c r="AG13910" s="831" t="s">
        <v>2674</v>
      </c>
      <c r="AH13910" s="831" t="s">
        <v>547</v>
      </c>
      <c r="AI13910" s="831">
        <v>0</v>
      </c>
      <c r="AJ13910" s="835">
        <v>41608</v>
      </c>
      <c r="AK13910" s="831">
        <v>511487760</v>
      </c>
    </row>
    <row r="13911" spans="2:37">
      <c r="B13911" s="834" t="str">
        <f t="shared" si="515"/>
        <v>|||</v>
      </c>
      <c r="H13911" s="835">
        <f t="shared" si="516"/>
        <v>31</v>
      </c>
      <c r="AF13911" s="831" t="s">
        <v>11186</v>
      </c>
      <c r="AG13911" s="831" t="s">
        <v>2674</v>
      </c>
      <c r="AH13911" s="831" t="s">
        <v>548</v>
      </c>
      <c r="AI13911" s="831">
        <v>0</v>
      </c>
      <c r="AJ13911" s="835">
        <v>41608</v>
      </c>
      <c r="AK13911" s="831">
        <v>96883184</v>
      </c>
    </row>
    <row r="13912" spans="2:37">
      <c r="B13912" s="834" t="str">
        <f t="shared" si="515"/>
        <v>|||</v>
      </c>
      <c r="H13912" s="835">
        <f t="shared" si="516"/>
        <v>31</v>
      </c>
      <c r="AF13912" s="831" t="s">
        <v>11187</v>
      </c>
      <c r="AG13912" s="831" t="s">
        <v>2674</v>
      </c>
      <c r="AH13912" s="831" t="s">
        <v>549</v>
      </c>
      <c r="AI13912" s="831">
        <v>0</v>
      </c>
      <c r="AJ13912" s="835">
        <v>41608</v>
      </c>
      <c r="AK13912" s="831">
        <v>394083786</v>
      </c>
    </row>
    <row r="13913" spans="2:37">
      <c r="B13913" s="834" t="str">
        <f t="shared" si="515"/>
        <v>|||</v>
      </c>
      <c r="H13913" s="835">
        <f t="shared" si="516"/>
        <v>31</v>
      </c>
      <c r="AF13913" s="831" t="s">
        <v>11188</v>
      </c>
      <c r="AG13913" s="831" t="s">
        <v>2674</v>
      </c>
      <c r="AH13913" s="831" t="s">
        <v>192</v>
      </c>
      <c r="AI13913" s="831">
        <v>0</v>
      </c>
      <c r="AJ13913" s="835">
        <v>41608</v>
      </c>
      <c r="AK13913" s="831">
        <v>-13734258.050000001</v>
      </c>
    </row>
    <row r="13914" spans="2:37">
      <c r="B13914" s="834" t="str">
        <f t="shared" si="515"/>
        <v>|||</v>
      </c>
      <c r="H13914" s="835">
        <f t="shared" si="516"/>
        <v>31</v>
      </c>
      <c r="AF13914" s="831" t="s">
        <v>11189</v>
      </c>
      <c r="AG13914" s="831" t="s">
        <v>2674</v>
      </c>
      <c r="AH13914" s="831" t="s">
        <v>558</v>
      </c>
      <c r="AI13914" s="831">
        <v>0</v>
      </c>
      <c r="AJ13914" s="835">
        <v>41608</v>
      </c>
      <c r="AK13914" s="831">
        <v>621153581.74699998</v>
      </c>
    </row>
    <row r="13915" spans="2:37">
      <c r="B13915" s="834" t="str">
        <f t="shared" si="515"/>
        <v>|||</v>
      </c>
      <c r="H13915" s="835">
        <f t="shared" si="516"/>
        <v>31</v>
      </c>
      <c r="AF13915" s="831" t="s">
        <v>11190</v>
      </c>
      <c r="AG13915" s="831" t="s">
        <v>2674</v>
      </c>
      <c r="AH13915" s="831" t="s">
        <v>65</v>
      </c>
      <c r="AI13915" s="831">
        <v>0</v>
      </c>
      <c r="AJ13915" s="835">
        <v>41608</v>
      </c>
      <c r="AK13915" s="831">
        <v>119540969.236</v>
      </c>
    </row>
    <row r="13916" spans="2:37">
      <c r="B13916" s="834" t="str">
        <f t="shared" si="515"/>
        <v>|||</v>
      </c>
      <c r="H13916" s="835">
        <f t="shared" si="516"/>
        <v>31</v>
      </c>
      <c r="AF13916" s="831" t="s">
        <v>11191</v>
      </c>
      <c r="AG13916" s="831" t="s">
        <v>2674</v>
      </c>
      <c r="AH13916" s="831" t="s">
        <v>89</v>
      </c>
      <c r="AI13916" s="831">
        <v>0</v>
      </c>
      <c r="AJ13916" s="835">
        <v>41608</v>
      </c>
      <c r="AK13916" s="831">
        <v>145224</v>
      </c>
    </row>
    <row r="13917" spans="2:37">
      <c r="B13917" s="834" t="str">
        <f t="shared" si="515"/>
        <v>|||</v>
      </c>
      <c r="H13917" s="835">
        <f t="shared" si="516"/>
        <v>31</v>
      </c>
      <c r="AF13917" s="831" t="s">
        <v>11192</v>
      </c>
      <c r="AG13917" s="831" t="s">
        <v>2674</v>
      </c>
      <c r="AH13917" s="831" t="s">
        <v>557</v>
      </c>
      <c r="AI13917" s="831">
        <v>0</v>
      </c>
      <c r="AJ13917" s="835">
        <v>41608</v>
      </c>
      <c r="AK13917" s="831">
        <v>155996</v>
      </c>
    </row>
    <row r="13918" spans="2:37">
      <c r="B13918" s="834" t="str">
        <f t="shared" si="515"/>
        <v>|||</v>
      </c>
      <c r="H13918" s="835">
        <f t="shared" si="516"/>
        <v>31</v>
      </c>
      <c r="AF13918" s="831" t="s">
        <v>11193</v>
      </c>
      <c r="AG13918" s="831" t="s">
        <v>2674</v>
      </c>
      <c r="AH13918" s="831" t="s">
        <v>29</v>
      </c>
      <c r="AI13918" s="831">
        <v>0</v>
      </c>
      <c r="AJ13918" s="835">
        <v>41608</v>
      </c>
      <c r="AK13918" s="831">
        <v>1891894.6070000001</v>
      </c>
    </row>
    <row r="13919" spans="2:37">
      <c r="B13919" s="834" t="str">
        <f t="shared" si="515"/>
        <v>|||</v>
      </c>
      <c r="H13919" s="835">
        <f t="shared" si="516"/>
        <v>31</v>
      </c>
      <c r="AF13919" s="831" t="s">
        <v>11194</v>
      </c>
      <c r="AG13919" s="831" t="s">
        <v>2674</v>
      </c>
      <c r="AH13919" s="831" t="s">
        <v>2688</v>
      </c>
      <c r="AI13919" s="831">
        <v>0</v>
      </c>
      <c r="AJ13919" s="835">
        <v>41608</v>
      </c>
      <c r="AK13919" s="831">
        <v>3430395.37</v>
      </c>
    </row>
    <row r="13920" spans="2:37">
      <c r="B13920" s="834" t="str">
        <f t="shared" si="515"/>
        <v>|||</v>
      </c>
      <c r="H13920" s="835">
        <f t="shared" si="516"/>
        <v>31</v>
      </c>
      <c r="AF13920" s="831" t="s">
        <v>11195</v>
      </c>
      <c r="AG13920" s="831" t="s">
        <v>2674</v>
      </c>
      <c r="AH13920" s="831" t="s">
        <v>556</v>
      </c>
      <c r="AI13920" s="831">
        <v>0</v>
      </c>
      <c r="AJ13920" s="835">
        <v>41608</v>
      </c>
      <c r="AK13920" s="831">
        <v>1644732</v>
      </c>
    </row>
    <row r="13921" spans="2:37">
      <c r="B13921" s="834" t="str">
        <f t="shared" si="515"/>
        <v>|||</v>
      </c>
      <c r="H13921" s="835">
        <f t="shared" si="516"/>
        <v>31</v>
      </c>
      <c r="AF13921" s="831" t="s">
        <v>11196</v>
      </c>
      <c r="AG13921" s="831" t="s">
        <v>2674</v>
      </c>
      <c r="AH13921" s="831" t="s">
        <v>555</v>
      </c>
      <c r="AI13921" s="831">
        <v>0</v>
      </c>
      <c r="AJ13921" s="835">
        <v>41608</v>
      </c>
      <c r="AK13921" s="831">
        <v>414052390</v>
      </c>
    </row>
    <row r="13922" spans="2:37">
      <c r="B13922" s="834" t="str">
        <f t="shared" si="515"/>
        <v>|||</v>
      </c>
      <c r="H13922" s="835">
        <f t="shared" si="516"/>
        <v>31</v>
      </c>
      <c r="AF13922" s="831" t="s">
        <v>11197</v>
      </c>
      <c r="AG13922" s="831" t="s">
        <v>2674</v>
      </c>
      <c r="AH13922" s="831" t="s">
        <v>554</v>
      </c>
      <c r="AI13922" s="831">
        <v>0</v>
      </c>
      <c r="AJ13922" s="835">
        <v>41608</v>
      </c>
      <c r="AK13922" s="831">
        <v>421904620</v>
      </c>
    </row>
    <row r="13923" spans="2:37">
      <c r="B13923" s="834" t="str">
        <f t="shared" si="515"/>
        <v>|||</v>
      </c>
      <c r="H13923" s="835">
        <f t="shared" si="516"/>
        <v>31</v>
      </c>
      <c r="AF13923" s="831" t="s">
        <v>11198</v>
      </c>
      <c r="AG13923" s="831" t="s">
        <v>2674</v>
      </c>
      <c r="AH13923" s="831" t="s">
        <v>553</v>
      </c>
      <c r="AI13923" s="831">
        <v>0</v>
      </c>
      <c r="AJ13923" s="835">
        <v>41608</v>
      </c>
      <c r="AK13923" s="831">
        <v>0</v>
      </c>
    </row>
    <row r="13924" spans="2:37">
      <c r="B13924" s="834" t="str">
        <f t="shared" si="515"/>
        <v>|||</v>
      </c>
      <c r="H13924" s="835">
        <f t="shared" si="516"/>
        <v>31</v>
      </c>
      <c r="AF13924" s="831" t="s">
        <v>11199</v>
      </c>
      <c r="AG13924" s="831" t="s">
        <v>2674</v>
      </c>
      <c r="AH13924" s="831" t="s">
        <v>552</v>
      </c>
      <c r="AI13924" s="831">
        <v>0</v>
      </c>
      <c r="AJ13924" s="835">
        <v>41608</v>
      </c>
      <c r="AK13924" s="831">
        <v>0</v>
      </c>
    </row>
    <row r="13925" spans="2:37">
      <c r="B13925" s="834" t="str">
        <f t="shared" si="515"/>
        <v>|||</v>
      </c>
      <c r="H13925" s="835">
        <f t="shared" si="516"/>
        <v>31</v>
      </c>
      <c r="AF13925" s="831" t="s">
        <v>11200</v>
      </c>
      <c r="AG13925" s="831" t="s">
        <v>2674</v>
      </c>
      <c r="AH13925" s="831" t="s">
        <v>551</v>
      </c>
      <c r="AI13925" s="831">
        <v>0</v>
      </c>
      <c r="AJ13925" s="835">
        <v>41608</v>
      </c>
      <c r="AK13925" s="831">
        <v>1659941.3510000003</v>
      </c>
    </row>
    <row r="13926" spans="2:37">
      <c r="B13926" s="834" t="str">
        <f t="shared" si="515"/>
        <v>|||</v>
      </c>
      <c r="H13926" s="835">
        <f t="shared" si="516"/>
        <v>31</v>
      </c>
      <c r="AF13926" s="831" t="s">
        <v>11201</v>
      </c>
      <c r="AG13926" s="831" t="s">
        <v>2674</v>
      </c>
      <c r="AH13926" s="831" t="s">
        <v>550</v>
      </c>
      <c r="AI13926" s="831">
        <v>0</v>
      </c>
      <c r="AJ13926" s="835">
        <v>41608</v>
      </c>
      <c r="AK13926" s="831">
        <v>120290863</v>
      </c>
    </row>
    <row r="13927" spans="2:37">
      <c r="B13927" s="834" t="str">
        <f t="shared" si="515"/>
        <v>|||</v>
      </c>
      <c r="H13927" s="835">
        <f t="shared" si="516"/>
        <v>31</v>
      </c>
      <c r="AF13927" s="831" t="s">
        <v>11202</v>
      </c>
      <c r="AG13927" s="831" t="s">
        <v>2674</v>
      </c>
      <c r="AH13927" s="831" t="s">
        <v>562</v>
      </c>
      <c r="AI13927" s="831">
        <v>0</v>
      </c>
      <c r="AJ13927" s="835">
        <v>41608</v>
      </c>
      <c r="AK13927" s="831">
        <v>0.78385000000000005</v>
      </c>
    </row>
    <row r="13928" spans="2:37">
      <c r="B13928" s="834" t="str">
        <f t="shared" si="515"/>
        <v>|||</v>
      </c>
      <c r="H13928" s="835">
        <f t="shared" si="516"/>
        <v>31</v>
      </c>
      <c r="AF13928" s="831" t="s">
        <v>11203</v>
      </c>
      <c r="AG13928" s="831" t="s">
        <v>2674</v>
      </c>
      <c r="AH13928" s="831" t="s">
        <v>2698</v>
      </c>
      <c r="AI13928" s="831">
        <v>0</v>
      </c>
      <c r="AJ13928" s="835">
        <v>41608</v>
      </c>
      <c r="AK13928" s="831">
        <v>0.78395000000000004</v>
      </c>
    </row>
    <row r="13929" spans="2:37">
      <c r="B13929" s="834" t="str">
        <f t="shared" si="515"/>
        <v>|||</v>
      </c>
      <c r="H13929" s="835">
        <f t="shared" si="516"/>
        <v>31</v>
      </c>
      <c r="AF13929" s="831" t="s">
        <v>11204</v>
      </c>
      <c r="AG13929" s="831" t="s">
        <v>2674</v>
      </c>
      <c r="AH13929" s="831" t="s">
        <v>560</v>
      </c>
      <c r="AI13929" s="831">
        <v>0</v>
      </c>
      <c r="AJ13929" s="835">
        <v>41608</v>
      </c>
      <c r="AK13929" s="831">
        <v>0.78398636363636354</v>
      </c>
    </row>
    <row r="13930" spans="2:37">
      <c r="B13930" s="834" t="str">
        <f t="shared" si="515"/>
        <v>|||</v>
      </c>
      <c r="H13930" s="835">
        <f t="shared" si="516"/>
        <v>31</v>
      </c>
      <c r="AF13930" s="831" t="s">
        <v>11205</v>
      </c>
      <c r="AG13930" s="831" t="s">
        <v>2674</v>
      </c>
      <c r="AH13930" s="831" t="s">
        <v>559</v>
      </c>
      <c r="AI13930" s="831">
        <v>0</v>
      </c>
      <c r="AJ13930" s="835">
        <v>41608</v>
      </c>
      <c r="AK13930" s="831">
        <v>0.78398749999999995</v>
      </c>
    </row>
    <row r="13931" spans="2:37">
      <c r="B13931" s="834" t="str">
        <f t="shared" si="515"/>
        <v>|||</v>
      </c>
      <c r="H13931" s="835">
        <f t="shared" si="516"/>
        <v>31</v>
      </c>
      <c r="AF13931" s="831" t="s">
        <v>11206</v>
      </c>
      <c r="AG13931" s="831" t="s">
        <v>2674</v>
      </c>
      <c r="AH13931" s="831" t="s">
        <v>568</v>
      </c>
      <c r="AI13931" s="831">
        <v>0</v>
      </c>
      <c r="AJ13931" s="835">
        <v>41608</v>
      </c>
      <c r="AK13931" s="831">
        <v>495457615.68846154</v>
      </c>
    </row>
    <row r="13932" spans="2:37">
      <c r="B13932" s="834" t="str">
        <f t="shared" si="515"/>
        <v>|||</v>
      </c>
      <c r="H13932" s="835">
        <f t="shared" si="516"/>
        <v>31</v>
      </c>
      <c r="AF13932" s="831" t="s">
        <v>11207</v>
      </c>
      <c r="AG13932" s="831" t="s">
        <v>2674</v>
      </c>
      <c r="AH13932" s="831" t="s">
        <v>569</v>
      </c>
      <c r="AI13932" s="831">
        <v>0</v>
      </c>
      <c r="AJ13932" s="835">
        <v>41608</v>
      </c>
      <c r="AK13932" s="831">
        <v>603523727.23769236</v>
      </c>
    </row>
    <row r="13933" spans="2:37">
      <c r="B13933" s="834" t="str">
        <f t="shared" si="515"/>
        <v>|||</v>
      </c>
      <c r="H13933" s="835">
        <f t="shared" si="516"/>
        <v>31</v>
      </c>
      <c r="AF13933" s="831" t="s">
        <v>11208</v>
      </c>
      <c r="AG13933" s="831" t="s">
        <v>2674</v>
      </c>
      <c r="AH13933" s="831" t="s">
        <v>570</v>
      </c>
      <c r="AI13933" s="831">
        <v>0</v>
      </c>
      <c r="AJ13933" s="835">
        <v>41608</v>
      </c>
      <c r="AK13933" s="831">
        <v>107821146.75815384</v>
      </c>
    </row>
    <row r="13934" spans="2:37">
      <c r="B13934" s="834" t="str">
        <f t="shared" si="515"/>
        <v>|||</v>
      </c>
      <c r="H13934" s="835">
        <f t="shared" si="516"/>
        <v>31</v>
      </c>
      <c r="AF13934" s="831" t="s">
        <v>11209</v>
      </c>
      <c r="AG13934" s="831" t="s">
        <v>2674</v>
      </c>
      <c r="AH13934" s="831" t="s">
        <v>571</v>
      </c>
      <c r="AI13934" s="831">
        <v>0</v>
      </c>
      <c r="AJ13934" s="835">
        <v>41608</v>
      </c>
      <c r="AK13934" s="831">
        <v>283259717.08169228</v>
      </c>
    </row>
    <row r="13935" spans="2:37">
      <c r="B13935" s="834" t="str">
        <f t="shared" si="515"/>
        <v>|||</v>
      </c>
      <c r="H13935" s="835">
        <f t="shared" si="516"/>
        <v>31</v>
      </c>
      <c r="AF13935" s="831" t="s">
        <v>11210</v>
      </c>
      <c r="AG13935" s="831" t="s">
        <v>2674</v>
      </c>
      <c r="AH13935" s="831" t="s">
        <v>573</v>
      </c>
      <c r="AI13935" s="831">
        <v>0</v>
      </c>
      <c r="AJ13935" s="835">
        <v>41608</v>
      </c>
      <c r="AK13935" s="831">
        <v>614752216.42416668</v>
      </c>
    </row>
    <row r="13936" spans="2:37">
      <c r="B13936" s="834" t="str">
        <f t="shared" si="515"/>
        <v>|||</v>
      </c>
      <c r="H13936" s="835">
        <f t="shared" si="516"/>
        <v>31</v>
      </c>
      <c r="AF13936" s="831" t="s">
        <v>11211</v>
      </c>
      <c r="AG13936" s="831" t="s">
        <v>2674</v>
      </c>
      <c r="AH13936" s="831" t="s">
        <v>574</v>
      </c>
      <c r="AI13936" s="831">
        <v>0</v>
      </c>
      <c r="AJ13936" s="835">
        <v>41608</v>
      </c>
      <c r="AK13936" s="831">
        <v>503905434.82916665</v>
      </c>
    </row>
    <row r="13937" spans="2:37">
      <c r="B13937" s="834" t="str">
        <f t="shared" si="515"/>
        <v>|||</v>
      </c>
      <c r="H13937" s="835">
        <f t="shared" si="516"/>
        <v>31</v>
      </c>
      <c r="AF13937" s="831" t="s">
        <v>11212</v>
      </c>
      <c r="AG13937" s="831" t="s">
        <v>2674</v>
      </c>
      <c r="AH13937" s="831" t="s">
        <v>575</v>
      </c>
      <c r="AI13937" s="831">
        <v>0</v>
      </c>
      <c r="AJ13937" s="835">
        <v>41608</v>
      </c>
      <c r="AK13937" s="831">
        <v>108318173.40466666</v>
      </c>
    </row>
    <row r="13938" spans="2:37">
      <c r="B13938" s="834" t="str">
        <f t="shared" si="515"/>
        <v>|||</v>
      </c>
      <c r="H13938" s="835">
        <f t="shared" si="516"/>
        <v>31</v>
      </c>
      <c r="AF13938" s="831" t="s">
        <v>11213</v>
      </c>
      <c r="AG13938" s="831" t="s">
        <v>2674</v>
      </c>
      <c r="AH13938" s="831" t="s">
        <v>576</v>
      </c>
      <c r="AI13938" s="831">
        <v>0</v>
      </c>
      <c r="AJ13938" s="835">
        <v>41608</v>
      </c>
      <c r="AK13938" s="831">
        <v>290020734.67183334</v>
      </c>
    </row>
    <row r="13939" spans="2:37">
      <c r="B13939" s="834" t="str">
        <f t="shared" si="515"/>
        <v>|||</v>
      </c>
      <c r="H13939" s="835">
        <f t="shared" si="516"/>
        <v>31</v>
      </c>
      <c r="AF13939" s="831" t="s">
        <v>11214</v>
      </c>
      <c r="AG13939" s="831" t="s">
        <v>2674</v>
      </c>
      <c r="AH13939" s="831" t="s">
        <v>572</v>
      </c>
      <c r="AI13939" s="831">
        <v>0</v>
      </c>
      <c r="AJ13939" s="835">
        <v>41608</v>
      </c>
      <c r="AK13939" s="831">
        <v>27660766.032000005</v>
      </c>
    </row>
    <row r="13940" spans="2:37">
      <c r="B13940" s="834" t="str">
        <f t="shared" si="515"/>
        <v>|||</v>
      </c>
      <c r="H13940" s="835">
        <f t="shared" si="516"/>
        <v>31</v>
      </c>
      <c r="AF13940" s="831" t="s">
        <v>11215</v>
      </c>
      <c r="AG13940" s="831" t="s">
        <v>2674</v>
      </c>
      <c r="AH13940" s="831" t="s">
        <v>577</v>
      </c>
      <c r="AI13940" s="831">
        <v>0</v>
      </c>
      <c r="AJ13940" s="835">
        <v>41608</v>
      </c>
      <c r="AK13940" s="831">
        <v>128906380.236</v>
      </c>
    </row>
    <row r="13941" spans="2:37">
      <c r="B13941" s="834" t="str">
        <f t="shared" si="515"/>
        <v>|||</v>
      </c>
      <c r="H13941" s="835">
        <f t="shared" si="516"/>
        <v>31</v>
      </c>
      <c r="AF13941" s="831" t="s">
        <v>11216</v>
      </c>
      <c r="AG13941" s="831" t="s">
        <v>2674</v>
      </c>
      <c r="AH13941" s="831" t="s">
        <v>3042</v>
      </c>
      <c r="AI13941" s="831">
        <v>0</v>
      </c>
      <c r="AJ13941" s="835">
        <v>41608</v>
      </c>
      <c r="AK13941" s="831">
        <v>-32754423.664999999</v>
      </c>
    </row>
    <row r="13942" spans="2:37">
      <c r="B13942" s="834" t="str">
        <f t="shared" si="515"/>
        <v>|||</v>
      </c>
      <c r="H13942" s="835">
        <f t="shared" si="516"/>
        <v>31</v>
      </c>
      <c r="AF13942" s="831" t="s">
        <v>11217</v>
      </c>
      <c r="AG13942" s="831" t="s">
        <v>2674</v>
      </c>
      <c r="AH13942" s="831" t="s">
        <v>3044</v>
      </c>
      <c r="AI13942" s="831">
        <v>0</v>
      </c>
      <c r="AJ13942" s="835">
        <v>41608</v>
      </c>
      <c r="AK13942" s="831">
        <v>-4752350.8779999996</v>
      </c>
    </row>
    <row r="13943" spans="2:37">
      <c r="B13943" s="834" t="str">
        <f t="shared" si="515"/>
        <v>|||</v>
      </c>
      <c r="H13943" s="835">
        <f t="shared" si="516"/>
        <v>31</v>
      </c>
      <c r="AF13943" s="831" t="s">
        <v>11218</v>
      </c>
      <c r="AG13943" s="831" t="s">
        <v>2674</v>
      </c>
      <c r="AH13943" s="831" t="s">
        <v>580</v>
      </c>
      <c r="AI13943" s="831">
        <v>0</v>
      </c>
      <c r="AJ13943" s="835">
        <v>41608</v>
      </c>
      <c r="AK13943" s="831">
        <v>-61342758.126000002</v>
      </c>
    </row>
    <row r="13944" spans="2:37">
      <c r="B13944" s="834" t="str">
        <f t="shared" si="515"/>
        <v>|||</v>
      </c>
      <c r="H13944" s="835">
        <f t="shared" si="516"/>
        <v>31</v>
      </c>
      <c r="AF13944" s="831" t="s">
        <v>11219</v>
      </c>
      <c r="AG13944" s="831" t="s">
        <v>2674</v>
      </c>
      <c r="AH13944" s="831" t="s">
        <v>581</v>
      </c>
      <c r="AI13944" s="831">
        <v>0</v>
      </c>
      <c r="AJ13944" s="835">
        <v>41608</v>
      </c>
      <c r="AK13944" s="831">
        <v>5348437.4649999999</v>
      </c>
    </row>
    <row r="13945" spans="2:37">
      <c r="B13945" s="834" t="str">
        <f t="shared" si="515"/>
        <v>|||</v>
      </c>
      <c r="H13945" s="835">
        <f t="shared" si="516"/>
        <v>31</v>
      </c>
      <c r="AF13945" s="831" t="s">
        <v>11220</v>
      </c>
      <c r="AG13945" s="831" t="s">
        <v>2674</v>
      </c>
      <c r="AH13945" s="831" t="s">
        <v>105</v>
      </c>
      <c r="AI13945" s="831">
        <v>0</v>
      </c>
      <c r="AJ13945" s="835">
        <v>41608</v>
      </c>
      <c r="AK13945" s="831">
        <v>357758420.06199998</v>
      </c>
    </row>
    <row r="13946" spans="2:37">
      <c r="B13946" s="834" t="str">
        <f t="shared" si="515"/>
        <v>|||</v>
      </c>
      <c r="H13946" s="835">
        <f t="shared" si="516"/>
        <v>31</v>
      </c>
      <c r="AF13946" s="831" t="s">
        <v>11221</v>
      </c>
      <c r="AG13946" s="831" t="s">
        <v>2674</v>
      </c>
      <c r="AH13946" s="831" t="s">
        <v>3049</v>
      </c>
      <c r="AI13946" s="831">
        <v>0</v>
      </c>
      <c r="AJ13946" s="835">
        <v>41608</v>
      </c>
      <c r="AK13946" s="831">
        <v>601955674.8829999</v>
      </c>
    </row>
    <row r="13947" spans="2:37">
      <c r="B13947" s="834" t="str">
        <f t="shared" si="515"/>
        <v>|||</v>
      </c>
      <c r="H13947" s="835">
        <f t="shared" si="516"/>
        <v>31</v>
      </c>
      <c r="AF13947" s="831" t="s">
        <v>11222</v>
      </c>
      <c r="AG13947" s="831" t="s">
        <v>2674</v>
      </c>
      <c r="AH13947" s="831" t="s">
        <v>103</v>
      </c>
      <c r="AI13947" s="831">
        <v>0</v>
      </c>
      <c r="AJ13947" s="835">
        <v>41608</v>
      </c>
      <c r="AK13947" s="831">
        <v>244197254.82099998</v>
      </c>
    </row>
    <row r="13948" spans="2:37">
      <c r="B13948" s="834" t="str">
        <f t="shared" si="515"/>
        <v>|||</v>
      </c>
      <c r="H13948" s="835">
        <f t="shared" si="516"/>
        <v>31</v>
      </c>
      <c r="AF13948" s="831" t="s">
        <v>11223</v>
      </c>
      <c r="AG13948" s="831" t="s">
        <v>2674</v>
      </c>
      <c r="AH13948" s="831" t="s">
        <v>182</v>
      </c>
      <c r="AI13948" s="831">
        <v>0</v>
      </c>
      <c r="AJ13948" s="835">
        <v>41608</v>
      </c>
      <c r="AK13948" s="831">
        <v>58896650.319272734</v>
      </c>
    </row>
    <row r="13949" spans="2:37">
      <c r="B13949" s="834" t="str">
        <f t="shared" si="515"/>
        <v>|||</v>
      </c>
      <c r="H13949" s="835">
        <f t="shared" si="516"/>
        <v>31</v>
      </c>
      <c r="AF13949" s="831" t="s">
        <v>11224</v>
      </c>
      <c r="AG13949" s="831" t="s">
        <v>2674</v>
      </c>
      <c r="AH13949" s="831" t="s">
        <v>6600</v>
      </c>
      <c r="AI13949" s="831">
        <v>0</v>
      </c>
      <c r="AJ13949" s="835">
        <v>41608</v>
      </c>
      <c r="AK13949" s="831">
        <v>27660766.032000005</v>
      </c>
    </row>
    <row r="13950" spans="2:37">
      <c r="B13950" s="834" t="str">
        <f t="shared" si="515"/>
        <v>|||</v>
      </c>
      <c r="H13950" s="835">
        <f t="shared" si="516"/>
        <v>31</v>
      </c>
      <c r="AF13950" s="831" t="s">
        <v>11225</v>
      </c>
      <c r="AG13950" s="831" t="s">
        <v>2674</v>
      </c>
      <c r="AH13950" s="831" t="s">
        <v>6602</v>
      </c>
      <c r="AI13950" s="831">
        <v>0</v>
      </c>
      <c r="AJ13950" s="835">
        <v>41608</v>
      </c>
      <c r="AK13950" s="831">
        <v>28354718.032000005</v>
      </c>
    </row>
    <row r="13951" spans="2:37">
      <c r="B13951" s="834" t="str">
        <f t="shared" si="515"/>
        <v>|||</v>
      </c>
      <c r="H13951" s="835">
        <f t="shared" si="516"/>
        <v>31</v>
      </c>
      <c r="AF13951" s="831" t="s">
        <v>11226</v>
      </c>
      <c r="AG13951" s="831" t="s">
        <v>2674</v>
      </c>
      <c r="AH13951" s="831" t="s">
        <v>650</v>
      </c>
      <c r="AI13951" s="831">
        <v>0</v>
      </c>
      <c r="AJ13951" s="835">
        <v>41608</v>
      </c>
      <c r="AK13951" s="831">
        <v>197061109.84392309</v>
      </c>
    </row>
    <row r="13952" spans="2:37">
      <c r="B13952" s="834" t="str">
        <f t="shared" si="515"/>
        <v>|||</v>
      </c>
      <c r="H13952" s="835">
        <f t="shared" si="516"/>
        <v>31</v>
      </c>
      <c r="AF13952" s="831" t="s">
        <v>11227</v>
      </c>
      <c r="AG13952" s="831" t="s">
        <v>2674</v>
      </c>
      <c r="AH13952" s="831" t="s">
        <v>655</v>
      </c>
      <c r="AI13952" s="831">
        <v>0</v>
      </c>
      <c r="AJ13952" s="835">
        <v>41608</v>
      </c>
      <c r="AK13952" s="831">
        <v>1514274.5550000002</v>
      </c>
    </row>
    <row r="13953" spans="2:37">
      <c r="B13953" s="834" t="str">
        <f t="shared" si="515"/>
        <v>|||</v>
      </c>
      <c r="H13953" s="835">
        <f t="shared" si="516"/>
        <v>31</v>
      </c>
      <c r="AF13953" s="831" t="s">
        <v>11228</v>
      </c>
      <c r="AG13953" s="831" t="s">
        <v>2674</v>
      </c>
      <c r="AH13953" s="831" t="s">
        <v>546</v>
      </c>
      <c r="AI13953" s="831">
        <v>0</v>
      </c>
      <c r="AJ13953" s="835">
        <v>41639</v>
      </c>
      <c r="AK13953" s="831">
        <v>627874260</v>
      </c>
    </row>
    <row r="13954" spans="2:37">
      <c r="B13954" s="834" t="str">
        <f t="shared" si="515"/>
        <v>|||</v>
      </c>
      <c r="H13954" s="835">
        <f t="shared" si="516"/>
        <v>31</v>
      </c>
      <c r="AF13954" s="831" t="s">
        <v>11229</v>
      </c>
      <c r="AG13954" s="831" t="s">
        <v>2674</v>
      </c>
      <c r="AH13954" s="831" t="s">
        <v>370</v>
      </c>
      <c r="AI13954" s="831">
        <v>0</v>
      </c>
      <c r="AJ13954" s="835">
        <v>41639</v>
      </c>
      <c r="AK13954" s="831">
        <v>789514969.56299996</v>
      </c>
    </row>
    <row r="13955" spans="2:37">
      <c r="B13955" s="834" t="str">
        <f t="shared" si="515"/>
        <v>|||</v>
      </c>
      <c r="H13955" s="835">
        <f t="shared" si="516"/>
        <v>31</v>
      </c>
      <c r="AF13955" s="831" t="s">
        <v>11230</v>
      </c>
      <c r="AG13955" s="831" t="s">
        <v>2674</v>
      </c>
      <c r="AH13955" s="831" t="s">
        <v>126</v>
      </c>
      <c r="AI13955" s="831">
        <v>0</v>
      </c>
      <c r="AJ13955" s="835">
        <v>41639</v>
      </c>
      <c r="AK13955" s="831">
        <v>114089765.91</v>
      </c>
    </row>
    <row r="13956" spans="2:37">
      <c r="B13956" s="834" t="str">
        <f t="shared" si="515"/>
        <v>|||</v>
      </c>
      <c r="H13956" s="835">
        <f t="shared" si="516"/>
        <v>31</v>
      </c>
      <c r="AF13956" s="831" t="s">
        <v>11231</v>
      </c>
      <c r="AG13956" s="831" t="s">
        <v>2674</v>
      </c>
      <c r="AH13956" s="831" t="s">
        <v>268</v>
      </c>
      <c r="AI13956" s="831">
        <v>0</v>
      </c>
      <c r="AJ13956" s="835">
        <v>41639</v>
      </c>
      <c r="AK13956" s="831">
        <v>27176541.956000008</v>
      </c>
    </row>
    <row r="13957" spans="2:37">
      <c r="B13957" s="834" t="str">
        <f t="shared" si="515"/>
        <v>|||</v>
      </c>
      <c r="H13957" s="835">
        <f t="shared" si="516"/>
        <v>31</v>
      </c>
      <c r="AF13957" s="831" t="s">
        <v>11232</v>
      </c>
      <c r="AG13957" s="831" t="s">
        <v>2674</v>
      </c>
      <c r="AH13957" s="831" t="s">
        <v>547</v>
      </c>
      <c r="AI13957" s="831">
        <v>0</v>
      </c>
      <c r="AJ13957" s="835">
        <v>41639</v>
      </c>
      <c r="AK13957" s="831">
        <v>511487760</v>
      </c>
    </row>
    <row r="13958" spans="2:37">
      <c r="B13958" s="834" t="str">
        <f t="shared" si="515"/>
        <v>|||</v>
      </c>
      <c r="H13958" s="835">
        <f t="shared" si="516"/>
        <v>31</v>
      </c>
      <c r="AF13958" s="831" t="s">
        <v>11233</v>
      </c>
      <c r="AG13958" s="831" t="s">
        <v>2674</v>
      </c>
      <c r="AH13958" s="831" t="s">
        <v>548</v>
      </c>
      <c r="AI13958" s="831">
        <v>0</v>
      </c>
      <c r="AJ13958" s="835">
        <v>41639</v>
      </c>
      <c r="AK13958" s="831">
        <v>96883184</v>
      </c>
    </row>
    <row r="13959" spans="2:37">
      <c r="B13959" s="834" t="str">
        <f t="shared" si="515"/>
        <v>|||</v>
      </c>
      <c r="H13959" s="835">
        <f t="shared" si="516"/>
        <v>31</v>
      </c>
      <c r="AF13959" s="831" t="s">
        <v>11234</v>
      </c>
      <c r="AG13959" s="831" t="s">
        <v>2674</v>
      </c>
      <c r="AH13959" s="831" t="s">
        <v>549</v>
      </c>
      <c r="AI13959" s="831">
        <v>0</v>
      </c>
      <c r="AJ13959" s="835">
        <v>41639</v>
      </c>
      <c r="AK13959" s="831">
        <v>412125624</v>
      </c>
    </row>
    <row r="13960" spans="2:37">
      <c r="B13960" s="834" t="str">
        <f t="shared" si="515"/>
        <v>|||</v>
      </c>
      <c r="H13960" s="835">
        <f t="shared" si="516"/>
        <v>31</v>
      </c>
      <c r="AF13960" s="831" t="s">
        <v>11235</v>
      </c>
      <c r="AG13960" s="831" t="s">
        <v>2674</v>
      </c>
      <c r="AH13960" s="831" t="s">
        <v>192</v>
      </c>
      <c r="AI13960" s="831">
        <v>0</v>
      </c>
      <c r="AJ13960" s="835">
        <v>41639</v>
      </c>
      <c r="AK13960" s="831">
        <v>-13734258</v>
      </c>
    </row>
    <row r="13961" spans="2:37">
      <c r="B13961" s="834" t="str">
        <f t="shared" si="515"/>
        <v>|||</v>
      </c>
      <c r="H13961" s="835">
        <f t="shared" si="516"/>
        <v>31</v>
      </c>
      <c r="AF13961" s="831" t="s">
        <v>11236</v>
      </c>
      <c r="AG13961" s="831" t="s">
        <v>2674</v>
      </c>
      <c r="AH13961" s="831" t="s">
        <v>558</v>
      </c>
      <c r="AI13961" s="831">
        <v>0</v>
      </c>
      <c r="AJ13961" s="835">
        <v>41639</v>
      </c>
      <c r="AK13961" s="831">
        <v>675425203.71399999</v>
      </c>
    </row>
    <row r="13962" spans="2:37">
      <c r="B13962" s="834" t="str">
        <f t="shared" si="515"/>
        <v>|||</v>
      </c>
      <c r="H13962" s="835">
        <f t="shared" si="516"/>
        <v>31</v>
      </c>
      <c r="AF13962" s="831" t="s">
        <v>11237</v>
      </c>
      <c r="AG13962" s="831" t="s">
        <v>2674</v>
      </c>
      <c r="AH13962" s="831" t="s">
        <v>65</v>
      </c>
      <c r="AI13962" s="831">
        <v>0</v>
      </c>
      <c r="AJ13962" s="835">
        <v>41639</v>
      </c>
      <c r="AK13962" s="831">
        <v>132856888.763</v>
      </c>
    </row>
    <row r="13963" spans="2:37">
      <c r="B13963" s="834" t="str">
        <f t="shared" si="515"/>
        <v>|||</v>
      </c>
      <c r="H13963" s="835">
        <f t="shared" si="516"/>
        <v>31</v>
      </c>
      <c r="AF13963" s="831" t="s">
        <v>11238</v>
      </c>
      <c r="AG13963" s="831" t="s">
        <v>2674</v>
      </c>
      <c r="AH13963" s="831" t="s">
        <v>89</v>
      </c>
      <c r="AI13963" s="831">
        <v>0</v>
      </c>
      <c r="AJ13963" s="835">
        <v>41639</v>
      </c>
      <c r="AK13963" s="831">
        <v>147601</v>
      </c>
    </row>
    <row r="13964" spans="2:37">
      <c r="B13964" s="834" t="str">
        <f t="shared" si="515"/>
        <v>|||</v>
      </c>
      <c r="H13964" s="835">
        <f t="shared" si="516"/>
        <v>31</v>
      </c>
      <c r="AF13964" s="831" t="s">
        <v>11239</v>
      </c>
      <c r="AG13964" s="831" t="s">
        <v>2674</v>
      </c>
      <c r="AH13964" s="831" t="s">
        <v>557</v>
      </c>
      <c r="AI13964" s="831">
        <v>0</v>
      </c>
      <c r="AJ13964" s="835">
        <v>41639</v>
      </c>
      <c r="AK13964" s="831">
        <v>160431</v>
      </c>
    </row>
    <row r="13965" spans="2:37">
      <c r="B13965" s="834" t="str">
        <f t="shared" si="515"/>
        <v>|||</v>
      </c>
      <c r="H13965" s="835">
        <f t="shared" si="516"/>
        <v>31</v>
      </c>
      <c r="AF13965" s="831" t="s">
        <v>11240</v>
      </c>
      <c r="AG13965" s="831" t="s">
        <v>2674</v>
      </c>
      <c r="AH13965" s="831" t="s">
        <v>29</v>
      </c>
      <c r="AI13965" s="831">
        <v>0</v>
      </c>
      <c r="AJ13965" s="835">
        <v>41639</v>
      </c>
      <c r="AK13965" s="831">
        <v>1938216.4366000001</v>
      </c>
    </row>
    <row r="13966" spans="2:37">
      <c r="B13966" s="834" t="str">
        <f t="shared" si="515"/>
        <v>|||</v>
      </c>
      <c r="H13966" s="835">
        <f t="shared" si="516"/>
        <v>31</v>
      </c>
      <c r="AF13966" s="831" t="s">
        <v>11241</v>
      </c>
      <c r="AG13966" s="831" t="s">
        <v>2674</v>
      </c>
      <c r="AH13966" s="831" t="s">
        <v>2688</v>
      </c>
      <c r="AI13966" s="831">
        <v>0</v>
      </c>
      <c r="AJ13966" s="835">
        <v>41639</v>
      </c>
      <c r="AK13966" s="831">
        <v>3277121.17</v>
      </c>
    </row>
    <row r="13967" spans="2:37">
      <c r="B13967" s="834" t="str">
        <f t="shared" si="515"/>
        <v>|||</v>
      </c>
      <c r="H13967" s="835">
        <f t="shared" si="516"/>
        <v>31</v>
      </c>
      <c r="AF13967" s="831" t="s">
        <v>11242</v>
      </c>
      <c r="AG13967" s="831" t="s">
        <v>2674</v>
      </c>
      <c r="AH13967" s="831" t="s">
        <v>556</v>
      </c>
      <c r="AI13967" s="831">
        <v>0</v>
      </c>
      <c r="AJ13967" s="835">
        <v>41639</v>
      </c>
      <c r="AK13967" s="831">
        <v>1644732</v>
      </c>
    </row>
    <row r="13968" spans="2:37">
      <c r="B13968" s="834" t="str">
        <f t="shared" si="515"/>
        <v>|||</v>
      </c>
      <c r="H13968" s="835">
        <f t="shared" si="516"/>
        <v>31</v>
      </c>
      <c r="AF13968" s="831" t="s">
        <v>11243</v>
      </c>
      <c r="AG13968" s="831" t="s">
        <v>2674</v>
      </c>
      <c r="AH13968" s="831" t="s">
        <v>555</v>
      </c>
      <c r="AI13968" s="831">
        <v>0</v>
      </c>
      <c r="AJ13968" s="835">
        <v>41639</v>
      </c>
      <c r="AK13968" s="831">
        <v>435796650</v>
      </c>
    </row>
    <row r="13969" spans="2:37">
      <c r="B13969" s="834" t="str">
        <f t="shared" ref="B13969:B14032" si="517">C13969&amp;"|"&amp;D13969&amp;"|"&amp;E13969&amp;"|"&amp;F13969</f>
        <v>|||</v>
      </c>
      <c r="H13969" s="835">
        <f t="shared" ref="H13969:H14032" si="518">EOMONTH(L13969,0)</f>
        <v>31</v>
      </c>
      <c r="AF13969" s="831" t="s">
        <v>11244</v>
      </c>
      <c r="AG13969" s="831" t="s">
        <v>2674</v>
      </c>
      <c r="AH13969" s="831" t="s">
        <v>554</v>
      </c>
      <c r="AI13969" s="831">
        <v>0</v>
      </c>
      <c r="AJ13969" s="835">
        <v>41639</v>
      </c>
      <c r="AK13969" s="831">
        <v>428326680</v>
      </c>
    </row>
    <row r="13970" spans="2:37">
      <c r="B13970" s="834" t="str">
        <f t="shared" si="517"/>
        <v>|||</v>
      </c>
      <c r="H13970" s="835">
        <f t="shared" si="518"/>
        <v>31</v>
      </c>
      <c r="AF13970" s="831" t="s">
        <v>11245</v>
      </c>
      <c r="AG13970" s="831" t="s">
        <v>2674</v>
      </c>
      <c r="AH13970" s="831" t="s">
        <v>553</v>
      </c>
      <c r="AI13970" s="831">
        <v>0</v>
      </c>
      <c r="AJ13970" s="835">
        <v>41639</v>
      </c>
      <c r="AK13970" s="831">
        <v>0</v>
      </c>
    </row>
    <row r="13971" spans="2:37">
      <c r="B13971" s="834" t="str">
        <f t="shared" si="517"/>
        <v>|||</v>
      </c>
      <c r="H13971" s="835">
        <f t="shared" si="518"/>
        <v>31</v>
      </c>
      <c r="AF13971" s="831" t="s">
        <v>11246</v>
      </c>
      <c r="AG13971" s="831" t="s">
        <v>2674</v>
      </c>
      <c r="AH13971" s="831" t="s">
        <v>552</v>
      </c>
      <c r="AI13971" s="831">
        <v>0</v>
      </c>
      <c r="AJ13971" s="835">
        <v>41639</v>
      </c>
      <c r="AK13971" s="831">
        <v>0</v>
      </c>
    </row>
    <row r="13972" spans="2:37">
      <c r="B13972" s="834" t="str">
        <f t="shared" si="517"/>
        <v>|||</v>
      </c>
      <c r="H13972" s="835">
        <f t="shared" si="518"/>
        <v>31</v>
      </c>
      <c r="AF13972" s="831" t="s">
        <v>11247</v>
      </c>
      <c r="AG13972" s="831" t="s">
        <v>2674</v>
      </c>
      <c r="AH13972" s="831" t="s">
        <v>551</v>
      </c>
      <c r="AI13972" s="831">
        <v>0</v>
      </c>
      <c r="AJ13972" s="835">
        <v>41639</v>
      </c>
      <c r="AK13972" s="831">
        <v>1803383.8316000002</v>
      </c>
    </row>
    <row r="13973" spans="2:37">
      <c r="B13973" s="834" t="str">
        <f t="shared" si="517"/>
        <v>|||</v>
      </c>
      <c r="H13973" s="835">
        <f t="shared" si="518"/>
        <v>31</v>
      </c>
      <c r="AF13973" s="831" t="s">
        <v>11248</v>
      </c>
      <c r="AG13973" s="831" t="s">
        <v>2674</v>
      </c>
      <c r="AH13973" s="831" t="s">
        <v>550</v>
      </c>
      <c r="AI13973" s="831">
        <v>0</v>
      </c>
      <c r="AJ13973" s="835">
        <v>41639</v>
      </c>
      <c r="AK13973" s="831">
        <v>123117939.85600001</v>
      </c>
    </row>
    <row r="13974" spans="2:37">
      <c r="B13974" s="834" t="str">
        <f t="shared" si="517"/>
        <v>|||</v>
      </c>
      <c r="H13974" s="835">
        <f t="shared" si="518"/>
        <v>31</v>
      </c>
      <c r="AF13974" s="831" t="s">
        <v>11249</v>
      </c>
      <c r="AG13974" s="831" t="s">
        <v>2674</v>
      </c>
      <c r="AH13974" s="831" t="s">
        <v>562</v>
      </c>
      <c r="AI13974" s="831">
        <v>0</v>
      </c>
      <c r="AJ13974" s="835">
        <v>41639</v>
      </c>
      <c r="AK13974" s="831">
        <v>0.78334999999999999</v>
      </c>
    </row>
    <row r="13975" spans="2:37">
      <c r="B13975" s="834" t="str">
        <f t="shared" si="517"/>
        <v>|||</v>
      </c>
      <c r="H13975" s="835">
        <f t="shared" si="518"/>
        <v>31</v>
      </c>
      <c r="AF13975" s="831" t="s">
        <v>11250</v>
      </c>
      <c r="AG13975" s="831" t="s">
        <v>2674</v>
      </c>
      <c r="AH13975" s="831" t="s">
        <v>2698</v>
      </c>
      <c r="AI13975" s="831">
        <v>0</v>
      </c>
      <c r="AJ13975" s="835">
        <v>41639</v>
      </c>
      <c r="AK13975" s="831">
        <v>0.78385000000000005</v>
      </c>
    </row>
    <row r="13976" spans="2:37">
      <c r="B13976" s="834" t="str">
        <f t="shared" si="517"/>
        <v>|||</v>
      </c>
      <c r="H13976" s="835">
        <f t="shared" si="518"/>
        <v>31</v>
      </c>
      <c r="AF13976" s="831" t="s">
        <v>11251</v>
      </c>
      <c r="AG13976" s="831" t="s">
        <v>2674</v>
      </c>
      <c r="AH13976" s="831" t="s">
        <v>560</v>
      </c>
      <c r="AI13976" s="831">
        <v>0</v>
      </c>
      <c r="AJ13976" s="835">
        <v>41639</v>
      </c>
      <c r="AK13976" s="831">
        <v>0.78393333333333326</v>
      </c>
    </row>
    <row r="13977" spans="2:37">
      <c r="B13977" s="834" t="str">
        <f t="shared" si="517"/>
        <v>|||</v>
      </c>
      <c r="H13977" s="835">
        <f t="shared" si="518"/>
        <v>31</v>
      </c>
      <c r="AF13977" s="831" t="s">
        <v>11252</v>
      </c>
      <c r="AG13977" s="831" t="s">
        <v>2674</v>
      </c>
      <c r="AH13977" s="831" t="s">
        <v>559</v>
      </c>
      <c r="AI13977" s="831">
        <v>0</v>
      </c>
      <c r="AJ13977" s="835">
        <v>41639</v>
      </c>
      <c r="AK13977" s="831">
        <v>0.78393333333333326</v>
      </c>
    </row>
    <row r="13978" spans="2:37">
      <c r="B13978" s="834" t="str">
        <f t="shared" si="517"/>
        <v>|||</v>
      </c>
      <c r="H13978" s="835">
        <f t="shared" si="518"/>
        <v>31</v>
      </c>
      <c r="AF13978" s="831" t="s">
        <v>11253</v>
      </c>
      <c r="AG13978" s="831" t="s">
        <v>2674</v>
      </c>
      <c r="AH13978" s="831" t="s">
        <v>568</v>
      </c>
      <c r="AI13978" s="831">
        <v>0</v>
      </c>
      <c r="AJ13978" s="835">
        <v>41639</v>
      </c>
      <c r="AK13978" s="831">
        <v>513441498.30384612</v>
      </c>
    </row>
    <row r="13979" spans="2:37">
      <c r="B13979" s="834" t="str">
        <f t="shared" si="517"/>
        <v>|||</v>
      </c>
      <c r="H13979" s="835">
        <f t="shared" si="518"/>
        <v>31</v>
      </c>
      <c r="AF13979" s="831" t="s">
        <v>11254</v>
      </c>
      <c r="AG13979" s="831" t="s">
        <v>2674</v>
      </c>
      <c r="AH13979" s="831" t="s">
        <v>569</v>
      </c>
      <c r="AI13979" s="831">
        <v>0</v>
      </c>
      <c r="AJ13979" s="835">
        <v>41639</v>
      </c>
      <c r="AK13979" s="831">
        <v>628195505.12715387</v>
      </c>
    </row>
    <row r="13980" spans="2:37">
      <c r="B13980" s="834" t="str">
        <f t="shared" si="517"/>
        <v>|||</v>
      </c>
      <c r="H13980" s="835">
        <f t="shared" si="518"/>
        <v>31</v>
      </c>
      <c r="AF13980" s="831" t="s">
        <v>11255</v>
      </c>
      <c r="AG13980" s="831" t="s">
        <v>2674</v>
      </c>
      <c r="AH13980" s="831" t="s">
        <v>570</v>
      </c>
      <c r="AI13980" s="831">
        <v>0</v>
      </c>
      <c r="AJ13980" s="835">
        <v>41639</v>
      </c>
      <c r="AK13980" s="831">
        <v>108762142.05892308</v>
      </c>
    </row>
    <row r="13981" spans="2:37">
      <c r="B13981" s="834" t="str">
        <f t="shared" si="517"/>
        <v>|||</v>
      </c>
      <c r="H13981" s="835">
        <f t="shared" si="518"/>
        <v>31</v>
      </c>
      <c r="AF13981" s="831" t="s">
        <v>11256</v>
      </c>
      <c r="AG13981" s="831" t="s">
        <v>2674</v>
      </c>
      <c r="AH13981" s="831" t="s">
        <v>571</v>
      </c>
      <c r="AI13981" s="831">
        <v>0</v>
      </c>
      <c r="AJ13981" s="835">
        <v>41639</v>
      </c>
      <c r="AK13981" s="831">
        <v>297832512.59023076</v>
      </c>
    </row>
    <row r="13982" spans="2:37">
      <c r="B13982" s="834" t="str">
        <f t="shared" si="517"/>
        <v>|||</v>
      </c>
      <c r="H13982" s="835">
        <f t="shared" si="518"/>
        <v>31</v>
      </c>
      <c r="AF13982" s="831" t="s">
        <v>11257</v>
      </c>
      <c r="AG13982" s="831" t="s">
        <v>2674</v>
      </c>
      <c r="AH13982" s="831" t="s">
        <v>573</v>
      </c>
      <c r="AI13982" s="831">
        <v>0</v>
      </c>
      <c r="AJ13982" s="835">
        <v>41639</v>
      </c>
      <c r="AK13982" s="831">
        <v>628195505.12715387</v>
      </c>
    </row>
    <row r="13983" spans="2:37">
      <c r="B13983" s="834" t="str">
        <f t="shared" si="517"/>
        <v>|||</v>
      </c>
      <c r="H13983" s="835">
        <f t="shared" si="518"/>
        <v>31</v>
      </c>
      <c r="AF13983" s="831" t="s">
        <v>11258</v>
      </c>
      <c r="AG13983" s="831" t="s">
        <v>2674</v>
      </c>
      <c r="AH13983" s="831" t="s">
        <v>574</v>
      </c>
      <c r="AI13983" s="831">
        <v>0</v>
      </c>
      <c r="AJ13983" s="835">
        <v>41639</v>
      </c>
      <c r="AK13983" s="831">
        <v>513441498.30384612</v>
      </c>
    </row>
    <row r="13984" spans="2:37">
      <c r="B13984" s="834" t="str">
        <f t="shared" si="517"/>
        <v>|||</v>
      </c>
      <c r="H13984" s="835">
        <f t="shared" si="518"/>
        <v>31</v>
      </c>
      <c r="AF13984" s="831" t="s">
        <v>11259</v>
      </c>
      <c r="AG13984" s="831" t="s">
        <v>2674</v>
      </c>
      <c r="AH13984" s="831" t="s">
        <v>575</v>
      </c>
      <c r="AI13984" s="831">
        <v>0</v>
      </c>
      <c r="AJ13984" s="835">
        <v>41639</v>
      </c>
      <c r="AK13984" s="831">
        <v>108762142.05892308</v>
      </c>
    </row>
    <row r="13985" spans="2:37">
      <c r="B13985" s="834" t="str">
        <f t="shared" si="517"/>
        <v>|||</v>
      </c>
      <c r="H13985" s="835">
        <f t="shared" si="518"/>
        <v>31</v>
      </c>
      <c r="AF13985" s="831" t="s">
        <v>11260</v>
      </c>
      <c r="AG13985" s="831" t="s">
        <v>2674</v>
      </c>
      <c r="AH13985" s="831" t="s">
        <v>576</v>
      </c>
      <c r="AI13985" s="831">
        <v>0</v>
      </c>
      <c r="AJ13985" s="835">
        <v>41639</v>
      </c>
      <c r="AK13985" s="831">
        <v>297832512.59023076</v>
      </c>
    </row>
    <row r="13986" spans="2:37">
      <c r="B13986" s="834" t="str">
        <f t="shared" si="517"/>
        <v>|||</v>
      </c>
      <c r="H13986" s="835">
        <f t="shared" si="518"/>
        <v>31</v>
      </c>
      <c r="AF13986" s="831" t="s">
        <v>11261</v>
      </c>
      <c r="AG13986" s="831" t="s">
        <v>2674</v>
      </c>
      <c r="AH13986" s="831" t="s">
        <v>572</v>
      </c>
      <c r="AI13986" s="831">
        <v>0</v>
      </c>
      <c r="AJ13986" s="835">
        <v>41639</v>
      </c>
      <c r="AK13986" s="831">
        <v>27176541.956000008</v>
      </c>
    </row>
    <row r="13987" spans="2:37">
      <c r="B13987" s="834" t="str">
        <f t="shared" si="517"/>
        <v>|||</v>
      </c>
      <c r="H13987" s="835">
        <f t="shared" si="518"/>
        <v>31</v>
      </c>
      <c r="AF13987" s="831" t="s">
        <v>11262</v>
      </c>
      <c r="AG13987" s="831" t="s">
        <v>2674</v>
      </c>
      <c r="AH13987" s="831" t="s">
        <v>577</v>
      </c>
      <c r="AI13987" s="831">
        <v>0</v>
      </c>
      <c r="AJ13987" s="835">
        <v>41639</v>
      </c>
      <c r="AK13987" s="831">
        <v>132856888.763</v>
      </c>
    </row>
    <row r="13988" spans="2:37">
      <c r="B13988" s="834" t="str">
        <f t="shared" si="517"/>
        <v>|||</v>
      </c>
      <c r="H13988" s="835">
        <f t="shared" si="518"/>
        <v>31</v>
      </c>
      <c r="AF13988" s="831" t="s">
        <v>11263</v>
      </c>
      <c r="AG13988" s="831" t="s">
        <v>2674</v>
      </c>
      <c r="AH13988" s="831" t="s">
        <v>3042</v>
      </c>
      <c r="AI13988" s="831">
        <v>0</v>
      </c>
      <c r="AJ13988" s="835">
        <v>41639</v>
      </c>
      <c r="AK13988" s="831">
        <v>-34369525.527000003</v>
      </c>
    </row>
    <row r="13989" spans="2:37">
      <c r="B13989" s="834" t="str">
        <f t="shared" si="517"/>
        <v>|||</v>
      </c>
      <c r="H13989" s="835">
        <f t="shared" si="518"/>
        <v>31</v>
      </c>
      <c r="AF13989" s="831" t="s">
        <v>11264</v>
      </c>
      <c r="AG13989" s="831" t="s">
        <v>2674</v>
      </c>
      <c r="AH13989" s="831" t="s">
        <v>3044</v>
      </c>
      <c r="AI13989" s="831">
        <v>0</v>
      </c>
      <c r="AJ13989" s="835">
        <v>41639</v>
      </c>
      <c r="AK13989" s="831">
        <v>-4400746.8899999997</v>
      </c>
    </row>
    <row r="13990" spans="2:37">
      <c r="B13990" s="834" t="str">
        <f t="shared" si="517"/>
        <v>|||</v>
      </c>
      <c r="H13990" s="835">
        <f t="shared" si="518"/>
        <v>31</v>
      </c>
      <c r="AF13990" s="831" t="s">
        <v>11265</v>
      </c>
      <c r="AG13990" s="831" t="s">
        <v>2674</v>
      </c>
      <c r="AH13990" s="831" t="s">
        <v>580</v>
      </c>
      <c r="AI13990" s="831">
        <v>0</v>
      </c>
      <c r="AJ13990" s="835">
        <v>41639</v>
      </c>
      <c r="AK13990" s="831">
        <v>-64107005.306999996</v>
      </c>
    </row>
    <row r="13991" spans="2:37">
      <c r="B13991" s="834" t="str">
        <f t="shared" si="517"/>
        <v>|||</v>
      </c>
      <c r="H13991" s="835">
        <f t="shared" si="518"/>
        <v>31</v>
      </c>
      <c r="AF13991" s="831" t="s">
        <v>11266</v>
      </c>
      <c r="AG13991" s="831" t="s">
        <v>2674</v>
      </c>
      <c r="AH13991" s="831" t="s">
        <v>581</v>
      </c>
      <c r="AI13991" s="831">
        <v>0</v>
      </c>
      <c r="AJ13991" s="835">
        <v>41639</v>
      </c>
      <c r="AK13991" s="831">
        <v>5010635.8940000003</v>
      </c>
    </row>
    <row r="13992" spans="2:37">
      <c r="B13992" s="834" t="str">
        <f t="shared" si="517"/>
        <v>|||</v>
      </c>
      <c r="H13992" s="835">
        <f t="shared" si="518"/>
        <v>31</v>
      </c>
      <c r="AF13992" s="831" t="s">
        <v>11267</v>
      </c>
      <c r="AG13992" s="831" t="s">
        <v>2674</v>
      </c>
      <c r="AH13992" s="831" t="s">
        <v>105</v>
      </c>
      <c r="AI13992" s="831">
        <v>0</v>
      </c>
      <c r="AJ13992" s="835">
        <v>41639</v>
      </c>
      <c r="AK13992" s="831">
        <v>391573847.611</v>
      </c>
    </row>
    <row r="13993" spans="2:37">
      <c r="B13993" s="834" t="str">
        <f t="shared" si="517"/>
        <v>|||</v>
      </c>
      <c r="H13993" s="835">
        <f t="shared" si="518"/>
        <v>31</v>
      </c>
      <c r="AF13993" s="831" t="s">
        <v>11268</v>
      </c>
      <c r="AG13993" s="831" t="s">
        <v>2674</v>
      </c>
      <c r="AH13993" s="831" t="s">
        <v>3049</v>
      </c>
      <c r="AI13993" s="831">
        <v>0</v>
      </c>
      <c r="AJ13993" s="835">
        <v>41639</v>
      </c>
      <c r="AK13993" s="831">
        <v>644326442.18900001</v>
      </c>
    </row>
    <row r="13994" spans="2:37">
      <c r="B13994" s="834" t="str">
        <f t="shared" si="517"/>
        <v>|||</v>
      </c>
      <c r="H13994" s="835">
        <f t="shared" si="518"/>
        <v>31</v>
      </c>
      <c r="AF13994" s="831" t="s">
        <v>11269</v>
      </c>
      <c r="AG13994" s="831" t="s">
        <v>2674</v>
      </c>
      <c r="AH13994" s="831" t="s">
        <v>103</v>
      </c>
      <c r="AI13994" s="831">
        <v>0</v>
      </c>
      <c r="AJ13994" s="835">
        <v>41639</v>
      </c>
      <c r="AK13994" s="831">
        <v>252752594.57800001</v>
      </c>
    </row>
    <row r="13995" spans="2:37">
      <c r="B13995" s="834" t="str">
        <f t="shared" si="517"/>
        <v>|||</v>
      </c>
      <c r="H13995" s="835">
        <f t="shared" si="518"/>
        <v>31</v>
      </c>
      <c r="AF13995" s="831" t="s">
        <v>11270</v>
      </c>
      <c r="AG13995" s="831" t="s">
        <v>2674</v>
      </c>
      <c r="AH13995" s="831" t="s">
        <v>182</v>
      </c>
      <c r="AI13995" s="831">
        <v>0</v>
      </c>
      <c r="AJ13995" s="835">
        <v>41639</v>
      </c>
      <c r="AK13995" s="831">
        <v>64107005.307000004</v>
      </c>
    </row>
    <row r="13996" spans="2:37">
      <c r="B13996" s="834" t="str">
        <f t="shared" si="517"/>
        <v>|||</v>
      </c>
      <c r="H13996" s="835">
        <f t="shared" si="518"/>
        <v>31</v>
      </c>
      <c r="AF13996" s="831" t="s">
        <v>11271</v>
      </c>
      <c r="AG13996" s="831" t="s">
        <v>2674</v>
      </c>
      <c r="AH13996" s="831" t="s">
        <v>6600</v>
      </c>
      <c r="AI13996" s="831">
        <v>0</v>
      </c>
      <c r="AJ13996" s="835">
        <v>41639</v>
      </c>
      <c r="AK13996" s="831">
        <v>27176541.956000008</v>
      </c>
    </row>
    <row r="13997" spans="2:37">
      <c r="B13997" s="834" t="str">
        <f t="shared" si="517"/>
        <v>|||</v>
      </c>
      <c r="H13997" s="835">
        <f t="shared" si="518"/>
        <v>31</v>
      </c>
      <c r="AF13997" s="831" t="s">
        <v>11272</v>
      </c>
      <c r="AG13997" s="831" t="s">
        <v>2674</v>
      </c>
      <c r="AH13997" s="831" t="s">
        <v>6602</v>
      </c>
      <c r="AI13997" s="831">
        <v>0</v>
      </c>
      <c r="AJ13997" s="835">
        <v>41639</v>
      </c>
      <c r="AK13997" s="831">
        <v>27176541.956000008</v>
      </c>
    </row>
    <row r="13998" spans="2:37">
      <c r="B13998" s="834" t="str">
        <f t="shared" si="517"/>
        <v>|||</v>
      </c>
      <c r="H13998" s="835">
        <f t="shared" si="518"/>
        <v>31</v>
      </c>
      <c r="AF13998" s="831" t="s">
        <v>11273</v>
      </c>
      <c r="AG13998" s="831" t="s">
        <v>2674</v>
      </c>
      <c r="AH13998" s="831" t="s">
        <v>650</v>
      </c>
      <c r="AI13998" s="831">
        <v>0</v>
      </c>
      <c r="AJ13998" s="835">
        <v>41639</v>
      </c>
      <c r="AK13998" s="831">
        <v>204736223.04223078</v>
      </c>
    </row>
    <row r="13999" spans="2:37">
      <c r="B13999" s="834" t="str">
        <f t="shared" si="517"/>
        <v>|||</v>
      </c>
      <c r="H13999" s="835">
        <f t="shared" si="518"/>
        <v>31</v>
      </c>
      <c r="AF13999" s="831" t="s">
        <v>11274</v>
      </c>
      <c r="AG13999" s="831" t="s">
        <v>2674</v>
      </c>
      <c r="AH13999" s="831" t="s">
        <v>655</v>
      </c>
      <c r="AI13999" s="831">
        <v>0</v>
      </c>
      <c r="AJ13999" s="835">
        <v>41639</v>
      </c>
      <c r="AK13999" s="831">
        <v>1605185.0136000002</v>
      </c>
    </row>
    <row r="14000" spans="2:37">
      <c r="B14000" s="834" t="str">
        <f t="shared" si="517"/>
        <v>|||</v>
      </c>
      <c r="H14000" s="835">
        <f t="shared" si="518"/>
        <v>31</v>
      </c>
      <c r="AF14000" s="831" t="s">
        <v>11275</v>
      </c>
      <c r="AG14000" s="831" t="s">
        <v>2674</v>
      </c>
      <c r="AH14000" s="831" t="s">
        <v>546</v>
      </c>
      <c r="AI14000" s="831">
        <v>0</v>
      </c>
      <c r="AJ14000" s="835">
        <v>41670</v>
      </c>
      <c r="AK14000" s="831">
        <v>635618516</v>
      </c>
    </row>
    <row r="14001" spans="2:37">
      <c r="B14001" s="834" t="str">
        <f t="shared" si="517"/>
        <v>|||</v>
      </c>
      <c r="H14001" s="835">
        <f t="shared" si="518"/>
        <v>31</v>
      </c>
      <c r="AF14001" s="831" t="s">
        <v>11276</v>
      </c>
      <c r="AG14001" s="831" t="s">
        <v>2674</v>
      </c>
      <c r="AH14001" s="831" t="s">
        <v>370</v>
      </c>
      <c r="AI14001" s="831">
        <v>0</v>
      </c>
      <c r="AJ14001" s="835">
        <v>41670</v>
      </c>
      <c r="AK14001" s="831">
        <v>777719977</v>
      </c>
    </row>
    <row r="14002" spans="2:37">
      <c r="B14002" s="834" t="str">
        <f t="shared" si="517"/>
        <v>|||</v>
      </c>
      <c r="H14002" s="835">
        <f t="shared" si="518"/>
        <v>31</v>
      </c>
      <c r="AF14002" s="831" t="s">
        <v>11277</v>
      </c>
      <c r="AG14002" s="831" t="s">
        <v>2674</v>
      </c>
      <c r="AH14002" s="831" t="s">
        <v>126</v>
      </c>
      <c r="AI14002" s="831">
        <v>0</v>
      </c>
      <c r="AJ14002" s="835">
        <v>41670</v>
      </c>
      <c r="AK14002" s="831">
        <v>117105496</v>
      </c>
    </row>
    <row r="14003" spans="2:37">
      <c r="B14003" s="834" t="str">
        <f t="shared" si="517"/>
        <v>|||</v>
      </c>
      <c r="H14003" s="835">
        <f t="shared" si="518"/>
        <v>31</v>
      </c>
      <c r="AF14003" s="831" t="s">
        <v>11278</v>
      </c>
      <c r="AG14003" s="831" t="s">
        <v>2674</v>
      </c>
      <c r="AH14003" s="831" t="s">
        <v>268</v>
      </c>
      <c r="AI14003" s="831">
        <v>0</v>
      </c>
      <c r="AJ14003" s="835">
        <v>41670</v>
      </c>
      <c r="AK14003" s="831">
        <v>3298821</v>
      </c>
    </row>
    <row r="14004" spans="2:37">
      <c r="B14004" s="834" t="str">
        <f t="shared" si="517"/>
        <v>|||</v>
      </c>
      <c r="H14004" s="835">
        <f t="shared" si="518"/>
        <v>31</v>
      </c>
      <c r="AF14004" s="831" t="s">
        <v>11279</v>
      </c>
      <c r="AG14004" s="831" t="s">
        <v>2674</v>
      </c>
      <c r="AH14004" s="831" t="s">
        <v>547</v>
      </c>
      <c r="AI14004" s="831">
        <v>0</v>
      </c>
      <c r="AJ14004" s="835">
        <v>41670</v>
      </c>
      <c r="AK14004" s="831">
        <v>777719977</v>
      </c>
    </row>
    <row r="14005" spans="2:37">
      <c r="B14005" s="834" t="str">
        <f t="shared" si="517"/>
        <v>|||</v>
      </c>
      <c r="H14005" s="835">
        <f t="shared" si="518"/>
        <v>31</v>
      </c>
      <c r="AF14005" s="831" t="s">
        <v>11280</v>
      </c>
      <c r="AG14005" s="831" t="s">
        <v>2674</v>
      </c>
      <c r="AH14005" s="831" t="s">
        <v>548</v>
      </c>
      <c r="AI14005" s="831">
        <v>0</v>
      </c>
      <c r="AJ14005" s="835">
        <v>41670</v>
      </c>
      <c r="AK14005" s="831">
        <v>117105496</v>
      </c>
    </row>
    <row r="14006" spans="2:37">
      <c r="B14006" s="834" t="str">
        <f t="shared" si="517"/>
        <v>|||</v>
      </c>
      <c r="H14006" s="835">
        <f t="shared" si="518"/>
        <v>31</v>
      </c>
      <c r="AF14006" s="831" t="s">
        <v>11281</v>
      </c>
      <c r="AG14006" s="831" t="s">
        <v>2674</v>
      </c>
      <c r="AH14006" s="831" t="s">
        <v>549</v>
      </c>
      <c r="AI14006" s="831">
        <v>0</v>
      </c>
      <c r="AJ14006" s="835">
        <v>41670</v>
      </c>
      <c r="AK14006" s="831">
        <v>421051783</v>
      </c>
    </row>
    <row r="14007" spans="2:37">
      <c r="B14007" s="834" t="str">
        <f t="shared" si="517"/>
        <v>|||</v>
      </c>
      <c r="H14007" s="835">
        <f t="shared" si="518"/>
        <v>31</v>
      </c>
      <c r="AF14007" s="831" t="s">
        <v>11282</v>
      </c>
      <c r="AG14007" s="831" t="s">
        <v>2674</v>
      </c>
      <c r="AH14007" s="831" t="s">
        <v>192</v>
      </c>
      <c r="AI14007" s="831">
        <v>0</v>
      </c>
      <c r="AJ14007" s="835">
        <v>41670</v>
      </c>
      <c r="AK14007" s="831">
        <v>-14010990</v>
      </c>
    </row>
    <row r="14008" spans="2:37">
      <c r="B14008" s="834" t="str">
        <f t="shared" si="517"/>
        <v>|||</v>
      </c>
      <c r="H14008" s="835">
        <f t="shared" si="518"/>
        <v>31</v>
      </c>
      <c r="AF14008" s="831" t="s">
        <v>11283</v>
      </c>
      <c r="AG14008" s="831" t="s">
        <v>2674</v>
      </c>
      <c r="AH14008" s="831" t="s">
        <v>558</v>
      </c>
      <c r="AI14008" s="831">
        <v>0</v>
      </c>
      <c r="AJ14008" s="835">
        <v>41670</v>
      </c>
      <c r="AK14008" s="831">
        <v>660614481.35800004</v>
      </c>
    </row>
    <row r="14009" spans="2:37">
      <c r="B14009" s="834" t="str">
        <f t="shared" si="517"/>
        <v>|||</v>
      </c>
      <c r="H14009" s="835">
        <f t="shared" si="518"/>
        <v>31</v>
      </c>
      <c r="AF14009" s="831" t="s">
        <v>11284</v>
      </c>
      <c r="AG14009" s="831" t="s">
        <v>2674</v>
      </c>
      <c r="AH14009" s="831" t="s">
        <v>65</v>
      </c>
      <c r="AI14009" s="831">
        <v>0</v>
      </c>
      <c r="AJ14009" s="835">
        <v>41670</v>
      </c>
      <c r="AK14009" s="831">
        <v>13268788</v>
      </c>
    </row>
    <row r="14010" spans="2:37">
      <c r="B14010" s="834" t="str">
        <f t="shared" si="517"/>
        <v>|||</v>
      </c>
      <c r="H14010" s="835">
        <f t="shared" si="518"/>
        <v>31</v>
      </c>
      <c r="AF14010" s="831" t="s">
        <v>11285</v>
      </c>
      <c r="AG14010" s="831" t="s">
        <v>2674</v>
      </c>
      <c r="AH14010" s="831" t="s">
        <v>89</v>
      </c>
      <c r="AI14010" s="831">
        <v>0</v>
      </c>
      <c r="AJ14010" s="835">
        <v>41670</v>
      </c>
      <c r="AK14010" s="831">
        <v>149103</v>
      </c>
    </row>
    <row r="14011" spans="2:37">
      <c r="B14011" s="834" t="str">
        <f t="shared" si="517"/>
        <v>|||</v>
      </c>
      <c r="H14011" s="835">
        <f t="shared" si="518"/>
        <v>31</v>
      </c>
      <c r="AF14011" s="831" t="s">
        <v>11286</v>
      </c>
      <c r="AG14011" s="831" t="s">
        <v>2674</v>
      </c>
      <c r="AH14011" s="831" t="s">
        <v>557</v>
      </c>
      <c r="AI14011" s="831">
        <v>0</v>
      </c>
      <c r="AJ14011" s="835">
        <v>41670</v>
      </c>
      <c r="AK14011" s="831">
        <v>162799</v>
      </c>
    </row>
    <row r="14012" spans="2:37">
      <c r="B14012" s="834" t="str">
        <f t="shared" si="517"/>
        <v>|||</v>
      </c>
      <c r="H14012" s="835">
        <f t="shared" si="518"/>
        <v>31</v>
      </c>
      <c r="AF14012" s="831" t="s">
        <v>11287</v>
      </c>
      <c r="AG14012" s="831" t="s">
        <v>2674</v>
      </c>
      <c r="AH14012" s="831" t="s">
        <v>29</v>
      </c>
      <c r="AI14012" s="831">
        <v>0</v>
      </c>
      <c r="AJ14012" s="835">
        <v>41670</v>
      </c>
      <c r="AK14012" s="831">
        <v>1994542.716</v>
      </c>
    </row>
    <row r="14013" spans="2:37">
      <c r="B14013" s="834" t="str">
        <f t="shared" si="517"/>
        <v>|||</v>
      </c>
      <c r="H14013" s="835">
        <f t="shared" si="518"/>
        <v>31</v>
      </c>
      <c r="AF14013" s="831" t="s">
        <v>11288</v>
      </c>
      <c r="AG14013" s="831" t="s">
        <v>2674</v>
      </c>
      <c r="AH14013" s="831" t="s">
        <v>2688</v>
      </c>
      <c r="AI14013" s="831">
        <v>0</v>
      </c>
      <c r="AJ14013" s="835">
        <v>41670</v>
      </c>
      <c r="AK14013" s="831">
        <v>3487768.05</v>
      </c>
    </row>
    <row r="14014" spans="2:37">
      <c r="B14014" s="834" t="str">
        <f t="shared" si="517"/>
        <v>|||</v>
      </c>
      <c r="H14014" s="835">
        <f t="shared" si="518"/>
        <v>31</v>
      </c>
      <c r="AF14014" s="831" t="s">
        <v>11289</v>
      </c>
      <c r="AG14014" s="831" t="s">
        <v>2674</v>
      </c>
      <c r="AH14014" s="831" t="s">
        <v>556</v>
      </c>
      <c r="AI14014" s="831">
        <v>0</v>
      </c>
      <c r="AJ14014" s="835">
        <v>41670</v>
      </c>
      <c r="AK14014" s="831">
        <v>1644732</v>
      </c>
    </row>
    <row r="14015" spans="2:37">
      <c r="B14015" s="834" t="str">
        <f t="shared" si="517"/>
        <v>|||</v>
      </c>
      <c r="H14015" s="835">
        <f t="shared" si="518"/>
        <v>31</v>
      </c>
      <c r="AF14015" s="831" t="s">
        <v>11290</v>
      </c>
      <c r="AG14015" s="831" t="s">
        <v>2674</v>
      </c>
      <c r="AH14015" s="831" t="s">
        <v>555</v>
      </c>
      <c r="AI14015" s="831">
        <v>0</v>
      </c>
      <c r="AJ14015" s="835">
        <v>41670</v>
      </c>
      <c r="AK14015" s="831">
        <v>421635600</v>
      </c>
    </row>
    <row r="14016" spans="2:37">
      <c r="B14016" s="834" t="str">
        <f t="shared" si="517"/>
        <v>|||</v>
      </c>
      <c r="H14016" s="835">
        <f t="shared" si="518"/>
        <v>31</v>
      </c>
      <c r="AF14016" s="831" t="s">
        <v>11291</v>
      </c>
      <c r="AG14016" s="831" t="s">
        <v>2674</v>
      </c>
      <c r="AH14016" s="831" t="s">
        <v>554</v>
      </c>
      <c r="AI14016" s="831">
        <v>0</v>
      </c>
      <c r="AJ14016" s="835">
        <v>41670</v>
      </c>
      <c r="AK14016" s="831">
        <v>432162250</v>
      </c>
    </row>
    <row r="14017" spans="2:37">
      <c r="B14017" s="834" t="str">
        <f t="shared" si="517"/>
        <v>|||</v>
      </c>
      <c r="H14017" s="835">
        <f t="shared" si="518"/>
        <v>31</v>
      </c>
      <c r="AF14017" s="831" t="s">
        <v>11292</v>
      </c>
      <c r="AG14017" s="831" t="s">
        <v>2674</v>
      </c>
      <c r="AH14017" s="831" t="s">
        <v>553</v>
      </c>
      <c r="AI14017" s="831">
        <v>0</v>
      </c>
      <c r="AJ14017" s="835">
        <v>41670</v>
      </c>
      <c r="AK14017" s="831">
        <v>0</v>
      </c>
    </row>
    <row r="14018" spans="2:37">
      <c r="B14018" s="834" t="str">
        <f t="shared" si="517"/>
        <v>|||</v>
      </c>
      <c r="H14018" s="835">
        <f t="shared" si="518"/>
        <v>31</v>
      </c>
      <c r="AF14018" s="831" t="s">
        <v>11293</v>
      </c>
      <c r="AG14018" s="831" t="s">
        <v>2674</v>
      </c>
      <c r="AH14018" s="831" t="s">
        <v>552</v>
      </c>
      <c r="AI14018" s="831">
        <v>0</v>
      </c>
      <c r="AJ14018" s="835">
        <v>41670</v>
      </c>
      <c r="AK14018" s="831">
        <v>0</v>
      </c>
    </row>
    <row r="14019" spans="2:37">
      <c r="B14019" s="834" t="str">
        <f t="shared" si="517"/>
        <v>|||</v>
      </c>
      <c r="H14019" s="835">
        <f t="shared" si="518"/>
        <v>31</v>
      </c>
      <c r="AF14019" s="831" t="s">
        <v>11294</v>
      </c>
      <c r="AG14019" s="831" t="s">
        <v>2674</v>
      </c>
      <c r="AH14019" s="831" t="s">
        <v>551</v>
      </c>
      <c r="AI14019" s="831">
        <v>0</v>
      </c>
      <c r="AJ14019" s="835">
        <v>41670</v>
      </c>
      <c r="AK14019" s="831">
        <v>1853357.048</v>
      </c>
    </row>
    <row r="14020" spans="2:37">
      <c r="B14020" s="834" t="str">
        <f t="shared" si="517"/>
        <v>|||</v>
      </c>
      <c r="H14020" s="835">
        <f t="shared" si="518"/>
        <v>31</v>
      </c>
      <c r="AF14020" s="831" t="s">
        <v>11295</v>
      </c>
      <c r="AG14020" s="831" t="s">
        <v>2674</v>
      </c>
      <c r="AH14020" s="831" t="s">
        <v>550</v>
      </c>
      <c r="AI14020" s="831">
        <v>0</v>
      </c>
      <c r="AJ14020" s="835">
        <v>41670</v>
      </c>
      <c r="AK14020" s="831">
        <v>114089765.91</v>
      </c>
    </row>
    <row r="14021" spans="2:37">
      <c r="B14021" s="834" t="str">
        <f t="shared" si="517"/>
        <v>|||</v>
      </c>
      <c r="H14021" s="835">
        <f t="shared" si="518"/>
        <v>31</v>
      </c>
      <c r="AF14021" s="831" t="s">
        <v>11296</v>
      </c>
      <c r="AG14021" s="831" t="s">
        <v>2674</v>
      </c>
      <c r="AH14021" s="831" t="s">
        <v>562</v>
      </c>
      <c r="AI14021" s="831">
        <v>0</v>
      </c>
      <c r="AJ14021" s="835">
        <v>41670</v>
      </c>
      <c r="AK14021" s="831">
        <v>0.78364999999999996</v>
      </c>
    </row>
    <row r="14022" spans="2:37">
      <c r="B14022" s="834" t="str">
        <f t="shared" si="517"/>
        <v>|||</v>
      </c>
      <c r="H14022" s="835">
        <f t="shared" si="518"/>
        <v>31</v>
      </c>
      <c r="AF14022" s="831" t="s">
        <v>11297</v>
      </c>
      <c r="AG14022" s="831" t="s">
        <v>2674</v>
      </c>
      <c r="AH14022" s="831" t="s">
        <v>2698</v>
      </c>
      <c r="AI14022" s="831">
        <v>0</v>
      </c>
      <c r="AJ14022" s="835">
        <v>41670</v>
      </c>
      <c r="AK14022" s="831">
        <v>0.78334999999999999</v>
      </c>
    </row>
    <row r="14023" spans="2:37">
      <c r="B14023" s="834" t="str">
        <f t="shared" si="517"/>
        <v>|||</v>
      </c>
      <c r="H14023" s="835">
        <f t="shared" si="518"/>
        <v>31</v>
      </c>
      <c r="AF14023" s="831" t="s">
        <v>11298</v>
      </c>
      <c r="AG14023" s="831" t="s">
        <v>2674</v>
      </c>
      <c r="AH14023" s="831" t="s">
        <v>560</v>
      </c>
      <c r="AI14023" s="831">
        <v>0</v>
      </c>
      <c r="AJ14023" s="835">
        <v>41670</v>
      </c>
      <c r="AK14023" s="831">
        <v>0.78364999999999996</v>
      </c>
    </row>
    <row r="14024" spans="2:37">
      <c r="B14024" s="834" t="str">
        <f t="shared" si="517"/>
        <v>|||</v>
      </c>
      <c r="H14024" s="835">
        <f t="shared" si="518"/>
        <v>31</v>
      </c>
      <c r="AF14024" s="831" t="s">
        <v>11299</v>
      </c>
      <c r="AG14024" s="831" t="s">
        <v>2674</v>
      </c>
      <c r="AH14024" s="831" t="s">
        <v>559</v>
      </c>
      <c r="AI14024" s="831">
        <v>0</v>
      </c>
      <c r="AJ14024" s="835">
        <v>41670</v>
      </c>
      <c r="AK14024" s="831">
        <v>0.78391666666666648</v>
      </c>
    </row>
    <row r="14025" spans="2:37">
      <c r="B14025" s="834" t="str">
        <f t="shared" si="517"/>
        <v>|||</v>
      </c>
      <c r="H14025" s="835">
        <f t="shared" si="518"/>
        <v>31</v>
      </c>
      <c r="AF14025" s="831" t="s">
        <v>11300</v>
      </c>
      <c r="AG14025" s="831" t="s">
        <v>2674</v>
      </c>
      <c r="AH14025" s="831" t="s">
        <v>568</v>
      </c>
      <c r="AI14025" s="831">
        <v>0</v>
      </c>
      <c r="AJ14025" s="835">
        <v>41670</v>
      </c>
      <c r="AK14025" s="831">
        <v>530633259.22692305</v>
      </c>
    </row>
    <row r="14026" spans="2:37">
      <c r="B14026" s="834" t="str">
        <f t="shared" si="517"/>
        <v>|||</v>
      </c>
      <c r="H14026" s="835">
        <f t="shared" si="518"/>
        <v>31</v>
      </c>
      <c r="AF14026" s="831" t="s">
        <v>11301</v>
      </c>
      <c r="AG14026" s="831" t="s">
        <v>2674</v>
      </c>
      <c r="AH14026" s="831" t="s">
        <v>569</v>
      </c>
      <c r="AI14026" s="831">
        <v>0</v>
      </c>
      <c r="AJ14026" s="835">
        <v>41670</v>
      </c>
      <c r="AK14026" s="831">
        <v>648384048.74253845</v>
      </c>
    </row>
    <row r="14027" spans="2:37">
      <c r="B14027" s="834" t="str">
        <f t="shared" si="517"/>
        <v>|||</v>
      </c>
      <c r="H14027" s="835">
        <f t="shared" si="518"/>
        <v>31</v>
      </c>
      <c r="AF14027" s="831" t="s">
        <v>11302</v>
      </c>
      <c r="AG14027" s="831" t="s">
        <v>2674</v>
      </c>
      <c r="AH14027" s="831" t="s">
        <v>570</v>
      </c>
      <c r="AI14027" s="831">
        <v>0</v>
      </c>
      <c r="AJ14027" s="835">
        <v>41670</v>
      </c>
      <c r="AK14027" s="831">
        <v>109988497.52046154</v>
      </c>
    </row>
    <row r="14028" spans="2:37">
      <c r="B14028" s="834" t="str">
        <f t="shared" si="517"/>
        <v>|||</v>
      </c>
      <c r="H14028" s="835">
        <f t="shared" si="518"/>
        <v>31</v>
      </c>
      <c r="AF14028" s="831" t="s">
        <v>11303</v>
      </c>
      <c r="AG14028" s="831" t="s">
        <v>2674</v>
      </c>
      <c r="AH14028" s="831" t="s">
        <v>571</v>
      </c>
      <c r="AI14028" s="831">
        <v>0</v>
      </c>
      <c r="AJ14028" s="835">
        <v>41670</v>
      </c>
      <c r="AK14028" s="831">
        <v>308674440.74407691</v>
      </c>
    </row>
    <row r="14029" spans="2:37">
      <c r="B14029" s="834" t="str">
        <f t="shared" si="517"/>
        <v>|||</v>
      </c>
      <c r="H14029" s="835">
        <f t="shared" si="518"/>
        <v>31</v>
      </c>
      <c r="AF14029" s="831" t="s">
        <v>11304</v>
      </c>
      <c r="AG14029" s="831" t="s">
        <v>2674</v>
      </c>
      <c r="AH14029" s="831" t="s">
        <v>573</v>
      </c>
      <c r="AI14029" s="831">
        <v>0</v>
      </c>
      <c r="AJ14029" s="835">
        <v>41670</v>
      </c>
      <c r="AK14029" s="831">
        <v>783617473.28149998</v>
      </c>
    </row>
    <row r="14030" spans="2:37">
      <c r="B14030" s="834" t="str">
        <f t="shared" si="517"/>
        <v>|||</v>
      </c>
      <c r="H14030" s="835">
        <f t="shared" si="518"/>
        <v>31</v>
      </c>
      <c r="AF14030" s="831" t="s">
        <v>11305</v>
      </c>
      <c r="AG14030" s="831" t="s">
        <v>2674</v>
      </c>
      <c r="AH14030" s="831" t="s">
        <v>574</v>
      </c>
      <c r="AI14030" s="831">
        <v>0</v>
      </c>
      <c r="AJ14030" s="835">
        <v>41670</v>
      </c>
      <c r="AK14030" s="831">
        <v>631746388</v>
      </c>
    </row>
    <row r="14031" spans="2:37">
      <c r="B14031" s="834" t="str">
        <f t="shared" si="517"/>
        <v>|||</v>
      </c>
      <c r="H14031" s="835">
        <f t="shared" si="518"/>
        <v>31</v>
      </c>
      <c r="AF14031" s="831" t="s">
        <v>11306</v>
      </c>
      <c r="AG14031" s="831" t="s">
        <v>2674</v>
      </c>
      <c r="AH14031" s="831" t="s">
        <v>575</v>
      </c>
      <c r="AI14031" s="831">
        <v>0</v>
      </c>
      <c r="AJ14031" s="835">
        <v>41670</v>
      </c>
      <c r="AK14031" s="831">
        <v>115597630.955</v>
      </c>
    </row>
    <row r="14032" spans="2:37">
      <c r="B14032" s="834" t="str">
        <f t="shared" si="517"/>
        <v>|||</v>
      </c>
      <c r="H14032" s="835">
        <f t="shared" si="518"/>
        <v>31</v>
      </c>
      <c r="AF14032" s="831" t="s">
        <v>11307</v>
      </c>
      <c r="AG14032" s="831" t="s">
        <v>2674</v>
      </c>
      <c r="AH14032" s="831" t="s">
        <v>576</v>
      </c>
      <c r="AI14032" s="831">
        <v>0</v>
      </c>
      <c r="AJ14032" s="835">
        <v>41670</v>
      </c>
      <c r="AK14032" s="831">
        <v>385049519.80550003</v>
      </c>
    </row>
    <row r="14033" spans="2:37">
      <c r="B14033" s="834" t="str">
        <f t="shared" ref="B14033:B14096" si="519">C14033&amp;"|"&amp;D14033&amp;"|"&amp;E14033&amp;"|"&amp;F14033</f>
        <v>|||</v>
      </c>
      <c r="H14033" s="835">
        <f t="shared" ref="H14033:H14096" si="520">EOMONTH(L14033,0)</f>
        <v>31</v>
      </c>
      <c r="AF14033" s="831" t="s">
        <v>11308</v>
      </c>
      <c r="AG14033" s="831" t="s">
        <v>2674</v>
      </c>
      <c r="AH14033" s="831" t="s">
        <v>572</v>
      </c>
      <c r="AI14033" s="831">
        <v>0</v>
      </c>
      <c r="AJ14033" s="835">
        <v>41670</v>
      </c>
      <c r="AK14033" s="831">
        <v>28355401.956000008</v>
      </c>
    </row>
    <row r="14034" spans="2:37">
      <c r="B14034" s="834" t="str">
        <f t="shared" si="519"/>
        <v>|||</v>
      </c>
      <c r="H14034" s="835">
        <f t="shared" si="520"/>
        <v>31</v>
      </c>
      <c r="AF14034" s="831" t="s">
        <v>11309</v>
      </c>
      <c r="AG14034" s="831" t="s">
        <v>2674</v>
      </c>
      <c r="AH14034" s="831" t="s">
        <v>577</v>
      </c>
      <c r="AI14034" s="831">
        <v>0</v>
      </c>
      <c r="AJ14034" s="835">
        <v>41670</v>
      </c>
      <c r="AK14034" s="831">
        <v>136649293.76300001</v>
      </c>
    </row>
    <row r="14035" spans="2:37">
      <c r="B14035" s="834" t="str">
        <f t="shared" si="519"/>
        <v>|||</v>
      </c>
      <c r="H14035" s="835">
        <f t="shared" si="520"/>
        <v>31</v>
      </c>
      <c r="AF14035" s="831" t="s">
        <v>11310</v>
      </c>
      <c r="AG14035" s="831" t="s">
        <v>2674</v>
      </c>
      <c r="AH14035" s="831" t="s">
        <v>3042</v>
      </c>
      <c r="AI14035" s="831">
        <v>0</v>
      </c>
      <c r="AJ14035" s="835">
        <v>41670</v>
      </c>
      <c r="AK14035" s="831">
        <v>-35903077.527000003</v>
      </c>
    </row>
    <row r="14036" spans="2:37">
      <c r="B14036" s="834" t="str">
        <f t="shared" si="519"/>
        <v>|||</v>
      </c>
      <c r="H14036" s="835">
        <f t="shared" si="520"/>
        <v>31</v>
      </c>
      <c r="AF14036" s="831" t="s">
        <v>11311</v>
      </c>
      <c r="AG14036" s="831" t="s">
        <v>2674</v>
      </c>
      <c r="AH14036" s="831" t="s">
        <v>3044</v>
      </c>
      <c r="AI14036" s="831">
        <v>0</v>
      </c>
      <c r="AJ14036" s="835">
        <v>41670</v>
      </c>
      <c r="AK14036" s="831">
        <v>-4357745.8899999997</v>
      </c>
    </row>
    <row r="14037" spans="2:37">
      <c r="B14037" s="834" t="str">
        <f t="shared" si="519"/>
        <v>|||</v>
      </c>
      <c r="H14037" s="835">
        <f t="shared" si="520"/>
        <v>31</v>
      </c>
      <c r="AF14037" s="831" t="s">
        <v>11312</v>
      </c>
      <c r="AG14037" s="831" t="s">
        <v>2674</v>
      </c>
      <c r="AH14037" s="831" t="s">
        <v>580</v>
      </c>
      <c r="AI14037" s="831">
        <v>0</v>
      </c>
      <c r="AJ14037" s="835">
        <v>41670</v>
      </c>
      <c r="AK14037" s="831">
        <v>-64979972.306999996</v>
      </c>
    </row>
    <row r="14038" spans="2:37">
      <c r="B14038" s="834" t="str">
        <f t="shared" si="519"/>
        <v>|||</v>
      </c>
      <c r="H14038" s="835">
        <f t="shared" si="520"/>
        <v>31</v>
      </c>
      <c r="AF14038" s="831" t="s">
        <v>11313</v>
      </c>
      <c r="AG14038" s="831" t="s">
        <v>2674</v>
      </c>
      <c r="AH14038" s="831" t="s">
        <v>581</v>
      </c>
      <c r="AI14038" s="831">
        <v>0</v>
      </c>
      <c r="AJ14038" s="835">
        <v>41670</v>
      </c>
      <c r="AK14038" s="831">
        <v>5221448.8940000003</v>
      </c>
    </row>
    <row r="14039" spans="2:37">
      <c r="B14039" s="834" t="str">
        <f t="shared" si="519"/>
        <v>|||</v>
      </c>
      <c r="H14039" s="835">
        <f t="shared" si="520"/>
        <v>31</v>
      </c>
      <c r="AF14039" s="831" t="s">
        <v>11314</v>
      </c>
      <c r="AG14039" s="831" t="s">
        <v>2674</v>
      </c>
      <c r="AH14039" s="831" t="s">
        <v>105</v>
      </c>
      <c r="AI14039" s="831">
        <v>0</v>
      </c>
      <c r="AJ14039" s="835">
        <v>41670</v>
      </c>
      <c r="AK14039" s="831">
        <v>378525192</v>
      </c>
    </row>
    <row r="14040" spans="2:37">
      <c r="B14040" s="834" t="str">
        <f t="shared" si="519"/>
        <v>|||</v>
      </c>
      <c r="H14040" s="835">
        <f t="shared" si="520"/>
        <v>31</v>
      </c>
      <c r="AF14040" s="831" t="s">
        <v>11315</v>
      </c>
      <c r="AG14040" s="831" t="s">
        <v>2674</v>
      </c>
      <c r="AH14040" s="831" t="s">
        <v>3049</v>
      </c>
      <c r="AI14040" s="831">
        <v>0</v>
      </c>
      <c r="AJ14040" s="835">
        <v>41670</v>
      </c>
      <c r="AK14040" s="831">
        <v>636021249.54999995</v>
      </c>
    </row>
    <row r="14041" spans="2:37">
      <c r="B14041" s="834" t="str">
        <f t="shared" si="519"/>
        <v>|||</v>
      </c>
      <c r="H14041" s="835">
        <f t="shared" si="520"/>
        <v>31</v>
      </c>
      <c r="AF14041" s="831" t="s">
        <v>11316</v>
      </c>
      <c r="AG14041" s="831" t="s">
        <v>2674</v>
      </c>
      <c r="AH14041" s="831" t="s">
        <v>103</v>
      </c>
      <c r="AI14041" s="831">
        <v>0</v>
      </c>
      <c r="AJ14041" s="835">
        <v>41670</v>
      </c>
      <c r="AK14041" s="831">
        <v>257496057.55000001</v>
      </c>
    </row>
    <row r="14042" spans="2:37">
      <c r="B14042" s="834" t="str">
        <f t="shared" si="519"/>
        <v>|||</v>
      </c>
      <c r="H14042" s="835">
        <f t="shared" si="520"/>
        <v>31</v>
      </c>
      <c r="AF14042" s="831" t="s">
        <v>11317</v>
      </c>
      <c r="AG14042" s="831" t="s">
        <v>2674</v>
      </c>
      <c r="AH14042" s="831" t="s">
        <v>182</v>
      </c>
      <c r="AI14042" s="831">
        <v>0</v>
      </c>
      <c r="AJ14042" s="835">
        <v>41670</v>
      </c>
      <c r="AK14042" s="831">
        <v>67679280</v>
      </c>
    </row>
    <row r="14043" spans="2:37">
      <c r="B14043" s="834" t="str">
        <f t="shared" si="519"/>
        <v>|||</v>
      </c>
      <c r="H14043" s="835">
        <f t="shared" si="520"/>
        <v>31</v>
      </c>
      <c r="AF14043" s="831" t="s">
        <v>11318</v>
      </c>
      <c r="AG14043" s="831" t="s">
        <v>2674</v>
      </c>
      <c r="AH14043" s="831" t="s">
        <v>6600</v>
      </c>
      <c r="AI14043" s="831">
        <v>0</v>
      </c>
      <c r="AJ14043" s="835">
        <v>41670</v>
      </c>
      <c r="AK14043" s="831">
        <v>28355401.956000008</v>
      </c>
    </row>
    <row r="14044" spans="2:37">
      <c r="B14044" s="834" t="str">
        <f t="shared" si="519"/>
        <v>|||</v>
      </c>
      <c r="H14044" s="835">
        <f t="shared" si="520"/>
        <v>31</v>
      </c>
      <c r="AF14044" s="831" t="s">
        <v>11319</v>
      </c>
      <c r="AG14044" s="831" t="s">
        <v>2674</v>
      </c>
      <c r="AH14044" s="831" t="s">
        <v>6602</v>
      </c>
      <c r="AI14044" s="831">
        <v>0</v>
      </c>
      <c r="AJ14044" s="835">
        <v>41670</v>
      </c>
      <c r="AK14044" s="831">
        <v>3298821</v>
      </c>
    </row>
    <row r="14045" spans="2:37">
      <c r="B14045" s="834" t="str">
        <f t="shared" si="519"/>
        <v>|||</v>
      </c>
      <c r="H14045" s="835">
        <f t="shared" si="520"/>
        <v>31</v>
      </c>
      <c r="AF14045" s="831" t="s">
        <v>11320</v>
      </c>
      <c r="AG14045" s="831" t="s">
        <v>2674</v>
      </c>
      <c r="AH14045" s="831" t="s">
        <v>650</v>
      </c>
      <c r="AI14045" s="831">
        <v>0</v>
      </c>
      <c r="AJ14045" s="835">
        <v>41670</v>
      </c>
      <c r="AK14045" s="831">
        <v>211999986.62300003</v>
      </c>
    </row>
    <row r="14046" spans="2:37">
      <c r="B14046" s="834" t="str">
        <f t="shared" si="519"/>
        <v>|||</v>
      </c>
      <c r="H14046" s="835">
        <f t="shared" si="520"/>
        <v>31</v>
      </c>
      <c r="AF14046" s="831" t="s">
        <v>11321</v>
      </c>
      <c r="AG14046" s="831" t="s">
        <v>2674</v>
      </c>
      <c r="AH14046" s="831" t="s">
        <v>655</v>
      </c>
      <c r="AI14046" s="831">
        <v>0</v>
      </c>
      <c r="AJ14046" s="835">
        <v>41670</v>
      </c>
      <c r="AK14046" s="831">
        <v>1732566.0729999999</v>
      </c>
    </row>
    <row r="14047" spans="2:37">
      <c r="B14047" s="834" t="str">
        <f t="shared" si="519"/>
        <v>|||</v>
      </c>
      <c r="H14047" s="835">
        <f t="shared" si="520"/>
        <v>31</v>
      </c>
      <c r="AF14047" s="831" t="s">
        <v>11322</v>
      </c>
      <c r="AG14047" s="831" t="s">
        <v>2674</v>
      </c>
      <c r="AH14047" s="831" t="s">
        <v>546</v>
      </c>
      <c r="AI14047" s="831">
        <v>0</v>
      </c>
      <c r="AJ14047" s="835">
        <v>41698</v>
      </c>
      <c r="AK14047" s="831">
        <v>652795035</v>
      </c>
    </row>
    <row r="14048" spans="2:37">
      <c r="B14048" s="834" t="str">
        <f t="shared" si="519"/>
        <v>|||</v>
      </c>
      <c r="H14048" s="835">
        <f t="shared" si="520"/>
        <v>31</v>
      </c>
      <c r="AF14048" s="831" t="s">
        <v>11323</v>
      </c>
      <c r="AG14048" s="831" t="s">
        <v>2674</v>
      </c>
      <c r="AH14048" s="831" t="s">
        <v>370</v>
      </c>
      <c r="AI14048" s="831">
        <v>0</v>
      </c>
      <c r="AJ14048" s="835">
        <v>41698</v>
      </c>
      <c r="AK14048" s="831">
        <v>794421636</v>
      </c>
    </row>
    <row r="14049" spans="2:37">
      <c r="B14049" s="834" t="str">
        <f t="shared" si="519"/>
        <v>|||</v>
      </c>
      <c r="H14049" s="835">
        <f t="shared" si="520"/>
        <v>31</v>
      </c>
      <c r="AF14049" s="831" t="s">
        <v>11324</v>
      </c>
      <c r="AG14049" s="831" t="s">
        <v>2674</v>
      </c>
      <c r="AH14049" s="831" t="s">
        <v>126</v>
      </c>
      <c r="AI14049" s="831">
        <v>0</v>
      </c>
      <c r="AJ14049" s="835">
        <v>41698</v>
      </c>
      <c r="AK14049" s="831">
        <v>120615628</v>
      </c>
    </row>
    <row r="14050" spans="2:37">
      <c r="B14050" s="834" t="str">
        <f t="shared" si="519"/>
        <v>|||</v>
      </c>
      <c r="H14050" s="835">
        <f t="shared" si="520"/>
        <v>31</v>
      </c>
      <c r="AF14050" s="831" t="s">
        <v>11325</v>
      </c>
      <c r="AG14050" s="831" t="s">
        <v>2674</v>
      </c>
      <c r="AH14050" s="831" t="s">
        <v>268</v>
      </c>
      <c r="AI14050" s="831">
        <v>0</v>
      </c>
      <c r="AJ14050" s="835">
        <v>41698</v>
      </c>
      <c r="AK14050" s="831">
        <v>7870295</v>
      </c>
    </row>
    <row r="14051" spans="2:37">
      <c r="B14051" s="834" t="str">
        <f t="shared" si="519"/>
        <v>|||</v>
      </c>
      <c r="H14051" s="835">
        <f t="shared" si="520"/>
        <v>31</v>
      </c>
      <c r="AF14051" s="831" t="s">
        <v>11326</v>
      </c>
      <c r="AG14051" s="831" t="s">
        <v>2674</v>
      </c>
      <c r="AH14051" s="831" t="s">
        <v>547</v>
      </c>
      <c r="AI14051" s="831">
        <v>0</v>
      </c>
      <c r="AJ14051" s="835">
        <v>41698</v>
      </c>
      <c r="AK14051" s="831">
        <v>777719977</v>
      </c>
    </row>
    <row r="14052" spans="2:37">
      <c r="B14052" s="834" t="str">
        <f t="shared" si="519"/>
        <v>|||</v>
      </c>
      <c r="H14052" s="835">
        <f t="shared" si="520"/>
        <v>31</v>
      </c>
      <c r="AF14052" s="831" t="s">
        <v>11327</v>
      </c>
      <c r="AG14052" s="831" t="s">
        <v>2674</v>
      </c>
      <c r="AH14052" s="831" t="s">
        <v>548</v>
      </c>
      <c r="AI14052" s="831">
        <v>0</v>
      </c>
      <c r="AJ14052" s="835">
        <v>41698</v>
      </c>
      <c r="AK14052" s="831">
        <v>117105496</v>
      </c>
    </row>
    <row r="14053" spans="2:37">
      <c r="B14053" s="834" t="str">
        <f t="shared" si="519"/>
        <v>|||</v>
      </c>
      <c r="H14053" s="835">
        <f t="shared" si="520"/>
        <v>31</v>
      </c>
      <c r="AF14053" s="831" t="s">
        <v>11328</v>
      </c>
      <c r="AG14053" s="831" t="s">
        <v>2674</v>
      </c>
      <c r="AH14053" s="831" t="s">
        <v>549</v>
      </c>
      <c r="AI14053" s="831">
        <v>0</v>
      </c>
      <c r="AJ14053" s="835">
        <v>41698</v>
      </c>
      <c r="AK14053" s="831">
        <v>436810603</v>
      </c>
    </row>
    <row r="14054" spans="2:37">
      <c r="B14054" s="834" t="str">
        <f t="shared" si="519"/>
        <v>|||</v>
      </c>
      <c r="H14054" s="835">
        <f t="shared" si="520"/>
        <v>31</v>
      </c>
      <c r="AF14054" s="831" t="s">
        <v>11329</v>
      </c>
      <c r="AG14054" s="831" t="s">
        <v>2674</v>
      </c>
      <c r="AH14054" s="831" t="s">
        <v>192</v>
      </c>
      <c r="AI14054" s="831">
        <v>0</v>
      </c>
      <c r="AJ14054" s="835">
        <v>41698</v>
      </c>
      <c r="AK14054" s="831">
        <v>-13506118</v>
      </c>
    </row>
    <row r="14055" spans="2:37">
      <c r="B14055" s="834" t="str">
        <f t="shared" si="519"/>
        <v>|||</v>
      </c>
      <c r="H14055" s="835">
        <f t="shared" si="520"/>
        <v>31</v>
      </c>
      <c r="AF14055" s="831" t="s">
        <v>11330</v>
      </c>
      <c r="AG14055" s="831" t="s">
        <v>2674</v>
      </c>
      <c r="AH14055" s="831" t="s">
        <v>558</v>
      </c>
      <c r="AI14055" s="831">
        <v>0</v>
      </c>
      <c r="AJ14055" s="835">
        <v>41698</v>
      </c>
      <c r="AK14055" s="831">
        <v>673806008.21000004</v>
      </c>
    </row>
    <row r="14056" spans="2:37">
      <c r="B14056" s="834" t="str">
        <f t="shared" si="519"/>
        <v>|||</v>
      </c>
      <c r="H14056" s="835">
        <f t="shared" si="520"/>
        <v>31</v>
      </c>
      <c r="AF14056" s="831" t="s">
        <v>11331</v>
      </c>
      <c r="AG14056" s="831" t="s">
        <v>2674</v>
      </c>
      <c r="AH14056" s="831" t="s">
        <v>65</v>
      </c>
      <c r="AI14056" s="831">
        <v>0</v>
      </c>
      <c r="AJ14056" s="835">
        <v>41698</v>
      </c>
      <c r="AK14056" s="831">
        <v>27696081</v>
      </c>
    </row>
    <row r="14057" spans="2:37">
      <c r="B14057" s="834" t="str">
        <f t="shared" si="519"/>
        <v>|||</v>
      </c>
      <c r="H14057" s="835">
        <f t="shared" si="520"/>
        <v>31</v>
      </c>
      <c r="AF14057" s="831" t="s">
        <v>11332</v>
      </c>
      <c r="AG14057" s="831" t="s">
        <v>2674</v>
      </c>
      <c r="AH14057" s="831" t="s">
        <v>89</v>
      </c>
      <c r="AI14057" s="831">
        <v>0</v>
      </c>
      <c r="AJ14057" s="835">
        <v>41698</v>
      </c>
      <c r="AK14057" s="831">
        <v>150328</v>
      </c>
    </row>
    <row r="14058" spans="2:37">
      <c r="B14058" s="834" t="str">
        <f t="shared" si="519"/>
        <v>|||</v>
      </c>
      <c r="H14058" s="835">
        <f t="shared" si="520"/>
        <v>31</v>
      </c>
      <c r="AF14058" s="831" t="s">
        <v>11333</v>
      </c>
      <c r="AG14058" s="831" t="s">
        <v>2674</v>
      </c>
      <c r="AH14058" s="831" t="s">
        <v>557</v>
      </c>
      <c r="AI14058" s="831">
        <v>0</v>
      </c>
      <c r="AJ14058" s="835">
        <v>41698</v>
      </c>
      <c r="AK14058" s="831">
        <v>165052</v>
      </c>
    </row>
    <row r="14059" spans="2:37">
      <c r="B14059" s="834" t="str">
        <f t="shared" si="519"/>
        <v>|||</v>
      </c>
      <c r="H14059" s="835">
        <f t="shared" si="520"/>
        <v>31</v>
      </c>
      <c r="AF14059" s="831" t="s">
        <v>11334</v>
      </c>
      <c r="AG14059" s="831" t="s">
        <v>2674</v>
      </c>
      <c r="AH14059" s="831" t="s">
        <v>29</v>
      </c>
      <c r="AI14059" s="831">
        <v>0</v>
      </c>
      <c r="AJ14059" s="835">
        <v>41698</v>
      </c>
      <c r="AK14059" s="831">
        <v>2075568.541</v>
      </c>
    </row>
    <row r="14060" spans="2:37">
      <c r="B14060" s="834" t="str">
        <f t="shared" si="519"/>
        <v>|||</v>
      </c>
      <c r="H14060" s="835">
        <f t="shared" si="520"/>
        <v>31</v>
      </c>
      <c r="AF14060" s="831" t="s">
        <v>11335</v>
      </c>
      <c r="AG14060" s="831" t="s">
        <v>2674</v>
      </c>
      <c r="AH14060" s="831" t="s">
        <v>2688</v>
      </c>
      <c r="AI14060" s="831">
        <v>0</v>
      </c>
      <c r="AJ14060" s="835">
        <v>41698</v>
      </c>
      <c r="AK14060" s="831">
        <v>4740340.3599999994</v>
      </c>
    </row>
    <row r="14061" spans="2:37">
      <c r="B14061" s="834" t="str">
        <f t="shared" si="519"/>
        <v>|||</v>
      </c>
      <c r="H14061" s="835">
        <f t="shared" si="520"/>
        <v>31</v>
      </c>
      <c r="AF14061" s="831" t="s">
        <v>11336</v>
      </c>
      <c r="AG14061" s="831" t="s">
        <v>2674</v>
      </c>
      <c r="AH14061" s="831" t="s">
        <v>556</v>
      </c>
      <c r="AI14061" s="831">
        <v>0</v>
      </c>
      <c r="AJ14061" s="835">
        <v>41698</v>
      </c>
      <c r="AK14061" s="831">
        <v>1644732</v>
      </c>
    </row>
    <row r="14062" spans="2:37">
      <c r="B14062" s="834" t="str">
        <f t="shared" si="519"/>
        <v>|||</v>
      </c>
      <c r="H14062" s="835">
        <f t="shared" si="520"/>
        <v>31</v>
      </c>
      <c r="AF14062" s="831" t="s">
        <v>11337</v>
      </c>
      <c r="AG14062" s="831" t="s">
        <v>2674</v>
      </c>
      <c r="AH14062" s="831" t="s">
        <v>555</v>
      </c>
      <c r="AI14062" s="831">
        <v>0</v>
      </c>
      <c r="AJ14062" s="835">
        <v>41698</v>
      </c>
      <c r="AK14062" s="831">
        <v>437465824</v>
      </c>
    </row>
    <row r="14063" spans="2:37">
      <c r="B14063" s="834" t="str">
        <f t="shared" si="519"/>
        <v>|||</v>
      </c>
      <c r="H14063" s="835">
        <f t="shared" si="520"/>
        <v>31</v>
      </c>
      <c r="AF14063" s="831" t="s">
        <v>11338</v>
      </c>
      <c r="AG14063" s="831" t="s">
        <v>2674</v>
      </c>
      <c r="AH14063" s="831" t="s">
        <v>554</v>
      </c>
      <c r="AI14063" s="831">
        <v>0</v>
      </c>
      <c r="AJ14063" s="835">
        <v>41698</v>
      </c>
      <c r="AK14063" s="831">
        <v>440045130</v>
      </c>
    </row>
    <row r="14064" spans="2:37">
      <c r="B14064" s="834" t="str">
        <f t="shared" si="519"/>
        <v>|||</v>
      </c>
      <c r="H14064" s="835">
        <f t="shared" si="520"/>
        <v>31</v>
      </c>
      <c r="AF14064" s="831" t="s">
        <v>11339</v>
      </c>
      <c r="AG14064" s="831" t="s">
        <v>2674</v>
      </c>
      <c r="AH14064" s="831" t="s">
        <v>553</v>
      </c>
      <c r="AI14064" s="831">
        <v>0</v>
      </c>
      <c r="AJ14064" s="835">
        <v>41698</v>
      </c>
      <c r="AK14064" s="831">
        <v>0</v>
      </c>
    </row>
    <row r="14065" spans="2:37">
      <c r="B14065" s="834" t="str">
        <f t="shared" si="519"/>
        <v>|||</v>
      </c>
      <c r="H14065" s="835">
        <f t="shared" si="520"/>
        <v>31</v>
      </c>
      <c r="AF14065" s="831" t="s">
        <v>11340</v>
      </c>
      <c r="AG14065" s="831" t="s">
        <v>2674</v>
      </c>
      <c r="AH14065" s="831" t="s">
        <v>552</v>
      </c>
      <c r="AI14065" s="831">
        <v>0</v>
      </c>
      <c r="AJ14065" s="835">
        <v>41698</v>
      </c>
      <c r="AK14065" s="831">
        <v>0</v>
      </c>
    </row>
    <row r="14066" spans="2:37">
      <c r="B14066" s="834" t="str">
        <f t="shared" si="519"/>
        <v>|||</v>
      </c>
      <c r="H14066" s="835">
        <f t="shared" si="520"/>
        <v>31</v>
      </c>
      <c r="AF14066" s="831" t="s">
        <v>11341</v>
      </c>
      <c r="AG14066" s="831" t="s">
        <v>2674</v>
      </c>
      <c r="AH14066" s="831" t="s">
        <v>551</v>
      </c>
      <c r="AI14066" s="831">
        <v>0</v>
      </c>
      <c r="AJ14066" s="835">
        <v>41698</v>
      </c>
      <c r="AK14066" s="831">
        <v>1790155.7879999999</v>
      </c>
    </row>
    <row r="14067" spans="2:37">
      <c r="B14067" s="834" t="str">
        <f t="shared" si="519"/>
        <v>|||</v>
      </c>
      <c r="H14067" s="835">
        <f t="shared" si="520"/>
        <v>31</v>
      </c>
      <c r="AF14067" s="831" t="s">
        <v>11342</v>
      </c>
      <c r="AG14067" s="831" t="s">
        <v>2674</v>
      </c>
      <c r="AH14067" s="831" t="s">
        <v>550</v>
      </c>
      <c r="AI14067" s="831">
        <v>0</v>
      </c>
      <c r="AJ14067" s="835">
        <v>41698</v>
      </c>
      <c r="AK14067" s="831">
        <v>117105496</v>
      </c>
    </row>
    <row r="14068" spans="2:37">
      <c r="B14068" s="834" t="str">
        <f t="shared" si="519"/>
        <v>|||</v>
      </c>
      <c r="H14068" s="835">
        <f t="shared" si="520"/>
        <v>31</v>
      </c>
      <c r="AF14068" s="831" t="s">
        <v>11343</v>
      </c>
      <c r="AG14068" s="831" t="s">
        <v>2674</v>
      </c>
      <c r="AH14068" s="831" t="s">
        <v>562</v>
      </c>
      <c r="AI14068" s="831">
        <v>0</v>
      </c>
      <c r="AJ14068" s="835">
        <v>41698</v>
      </c>
      <c r="AK14068" s="831">
        <v>0.78385000000000005</v>
      </c>
    </row>
    <row r="14069" spans="2:37">
      <c r="B14069" s="834" t="str">
        <f t="shared" si="519"/>
        <v>|||</v>
      </c>
      <c r="H14069" s="835">
        <f t="shared" si="520"/>
        <v>31</v>
      </c>
      <c r="AF14069" s="831" t="s">
        <v>11344</v>
      </c>
      <c r="AG14069" s="831" t="s">
        <v>2674</v>
      </c>
      <c r="AH14069" s="831" t="s">
        <v>2698</v>
      </c>
      <c r="AI14069" s="831">
        <v>0</v>
      </c>
      <c r="AJ14069" s="835">
        <v>41698</v>
      </c>
      <c r="AK14069" s="831">
        <v>0.78364999999999996</v>
      </c>
    </row>
    <row r="14070" spans="2:37">
      <c r="B14070" s="834" t="str">
        <f t="shared" si="519"/>
        <v>|||</v>
      </c>
      <c r="H14070" s="835">
        <f t="shared" si="520"/>
        <v>31</v>
      </c>
      <c r="AF14070" s="831" t="s">
        <v>11345</v>
      </c>
      <c r="AG14070" s="831" t="s">
        <v>2674</v>
      </c>
      <c r="AH14070" s="831" t="s">
        <v>560</v>
      </c>
      <c r="AI14070" s="831">
        <v>0</v>
      </c>
      <c r="AJ14070" s="835">
        <v>41698</v>
      </c>
      <c r="AK14070" s="831">
        <v>0.78374999999999995</v>
      </c>
    </row>
    <row r="14071" spans="2:37">
      <c r="B14071" s="834" t="str">
        <f t="shared" si="519"/>
        <v>|||</v>
      </c>
      <c r="H14071" s="835">
        <f t="shared" si="520"/>
        <v>31</v>
      </c>
      <c r="AF14071" s="831" t="s">
        <v>11346</v>
      </c>
      <c r="AG14071" s="831" t="s">
        <v>2674</v>
      </c>
      <c r="AH14071" s="831" t="s">
        <v>559</v>
      </c>
      <c r="AI14071" s="831">
        <v>0</v>
      </c>
      <c r="AJ14071" s="835">
        <v>41698</v>
      </c>
      <c r="AK14071" s="831">
        <v>0.7838750000000001</v>
      </c>
    </row>
    <row r="14072" spans="2:37">
      <c r="B14072" s="834" t="str">
        <f t="shared" si="519"/>
        <v>|||</v>
      </c>
      <c r="H14072" s="835">
        <f t="shared" si="520"/>
        <v>31</v>
      </c>
      <c r="AF14072" s="831" t="s">
        <v>11347</v>
      </c>
      <c r="AG14072" s="831" t="s">
        <v>2674</v>
      </c>
      <c r="AH14072" s="831" t="s">
        <v>568</v>
      </c>
      <c r="AI14072" s="831">
        <v>0</v>
      </c>
      <c r="AJ14072" s="835">
        <v>41698</v>
      </c>
      <c r="AK14072" s="831">
        <v>548459663.22692311</v>
      </c>
    </row>
    <row r="14073" spans="2:37">
      <c r="B14073" s="834" t="str">
        <f t="shared" si="519"/>
        <v>|||</v>
      </c>
      <c r="H14073" s="835">
        <f t="shared" si="520"/>
        <v>31</v>
      </c>
      <c r="AF14073" s="831" t="s">
        <v>11348</v>
      </c>
      <c r="AG14073" s="831" t="s">
        <v>2674</v>
      </c>
      <c r="AH14073" s="831" t="s">
        <v>569</v>
      </c>
      <c r="AI14073" s="831">
        <v>0</v>
      </c>
      <c r="AJ14073" s="835">
        <v>41698</v>
      </c>
      <c r="AK14073" s="831">
        <v>670148193.05023074</v>
      </c>
    </row>
    <row r="14074" spans="2:37">
      <c r="B14074" s="834" t="str">
        <f t="shared" si="519"/>
        <v>|||</v>
      </c>
      <c r="H14074" s="835">
        <f t="shared" si="520"/>
        <v>31</v>
      </c>
      <c r="AF14074" s="831" t="s">
        <v>11349</v>
      </c>
      <c r="AG14074" s="831" t="s">
        <v>2674</v>
      </c>
      <c r="AH14074" s="831" t="s">
        <v>570</v>
      </c>
      <c r="AI14074" s="831">
        <v>0</v>
      </c>
      <c r="AJ14074" s="835">
        <v>41698</v>
      </c>
      <c r="AK14074" s="831">
        <v>111814070.13584615</v>
      </c>
    </row>
    <row r="14075" spans="2:37">
      <c r="B14075" s="834" t="str">
        <f t="shared" si="519"/>
        <v>|||</v>
      </c>
      <c r="H14075" s="835">
        <f t="shared" si="520"/>
        <v>31</v>
      </c>
      <c r="AF14075" s="831" t="s">
        <v>11350</v>
      </c>
      <c r="AG14075" s="831" t="s">
        <v>2674</v>
      </c>
      <c r="AH14075" s="831" t="s">
        <v>571</v>
      </c>
      <c r="AI14075" s="831">
        <v>0</v>
      </c>
      <c r="AJ14075" s="835">
        <v>41698</v>
      </c>
      <c r="AK14075" s="831">
        <v>320628110.0517692</v>
      </c>
    </row>
    <row r="14076" spans="2:37">
      <c r="B14076" s="834" t="str">
        <f t="shared" si="519"/>
        <v>|||</v>
      </c>
      <c r="H14076" s="835">
        <f t="shared" si="520"/>
        <v>31</v>
      </c>
      <c r="AF14076" s="831" t="s">
        <v>11351</v>
      </c>
      <c r="AG14076" s="831" t="s">
        <v>2674</v>
      </c>
      <c r="AH14076" s="831" t="s">
        <v>573</v>
      </c>
      <c r="AI14076" s="831">
        <v>0</v>
      </c>
      <c r="AJ14076" s="835">
        <v>41698</v>
      </c>
      <c r="AK14076" s="831">
        <v>787218860.85433328</v>
      </c>
    </row>
    <row r="14077" spans="2:37">
      <c r="B14077" s="834" t="str">
        <f t="shared" si="519"/>
        <v>|||</v>
      </c>
      <c r="H14077" s="835">
        <f t="shared" si="520"/>
        <v>31</v>
      </c>
      <c r="AF14077" s="831" t="s">
        <v>11352</v>
      </c>
      <c r="AG14077" s="831" t="s">
        <v>2674</v>
      </c>
      <c r="AH14077" s="831" t="s">
        <v>574</v>
      </c>
      <c r="AI14077" s="831">
        <v>0</v>
      </c>
      <c r="AJ14077" s="835">
        <v>41698</v>
      </c>
      <c r="AK14077" s="831">
        <v>638762603.66666663</v>
      </c>
    </row>
    <row r="14078" spans="2:37">
      <c r="B14078" s="834" t="str">
        <f t="shared" si="519"/>
        <v>|||</v>
      </c>
      <c r="H14078" s="835">
        <f t="shared" si="520"/>
        <v>31</v>
      </c>
      <c r="AF14078" s="831" t="s">
        <v>11353</v>
      </c>
      <c r="AG14078" s="831" t="s">
        <v>2674</v>
      </c>
      <c r="AH14078" s="831" t="s">
        <v>575</v>
      </c>
      <c r="AI14078" s="831">
        <v>0</v>
      </c>
      <c r="AJ14078" s="835">
        <v>41698</v>
      </c>
      <c r="AK14078" s="831">
        <v>117270296.63666666</v>
      </c>
    </row>
    <row r="14079" spans="2:37">
      <c r="B14079" s="834" t="str">
        <f t="shared" si="519"/>
        <v>|||</v>
      </c>
      <c r="H14079" s="835">
        <f t="shared" si="520"/>
        <v>31</v>
      </c>
      <c r="AF14079" s="831" t="s">
        <v>11354</v>
      </c>
      <c r="AG14079" s="831" t="s">
        <v>2674</v>
      </c>
      <c r="AH14079" s="831" t="s">
        <v>576</v>
      </c>
      <c r="AI14079" s="831">
        <v>0</v>
      </c>
      <c r="AJ14079" s="835">
        <v>41698</v>
      </c>
      <c r="AK14079" s="831">
        <v>385067117.20366669</v>
      </c>
    </row>
    <row r="14080" spans="2:37">
      <c r="B14080" s="834" t="str">
        <f t="shared" si="519"/>
        <v>|||</v>
      </c>
      <c r="H14080" s="835">
        <f t="shared" si="520"/>
        <v>31</v>
      </c>
      <c r="AF14080" s="831" t="s">
        <v>11355</v>
      </c>
      <c r="AG14080" s="831" t="s">
        <v>2674</v>
      </c>
      <c r="AH14080" s="831" t="s">
        <v>572</v>
      </c>
      <c r="AI14080" s="831">
        <v>0</v>
      </c>
      <c r="AJ14080" s="835">
        <v>41698</v>
      </c>
      <c r="AK14080" s="831">
        <v>31228952.956000008</v>
      </c>
    </row>
    <row r="14081" spans="2:37">
      <c r="B14081" s="834" t="str">
        <f t="shared" si="519"/>
        <v>|||</v>
      </c>
      <c r="H14081" s="835">
        <f t="shared" si="520"/>
        <v>31</v>
      </c>
      <c r="AF14081" s="831" t="s">
        <v>11356</v>
      </c>
      <c r="AG14081" s="831" t="s">
        <v>2674</v>
      </c>
      <c r="AH14081" s="831" t="s">
        <v>577</v>
      </c>
      <c r="AI14081" s="831">
        <v>0</v>
      </c>
      <c r="AJ14081" s="835">
        <v>41698</v>
      </c>
      <c r="AK14081" s="831">
        <v>141567221.76300001</v>
      </c>
    </row>
    <row r="14082" spans="2:37">
      <c r="B14082" s="834" t="str">
        <f t="shared" si="519"/>
        <v>|||</v>
      </c>
      <c r="H14082" s="835">
        <f t="shared" si="520"/>
        <v>31</v>
      </c>
      <c r="AF14082" s="831" t="s">
        <v>11357</v>
      </c>
      <c r="AG14082" s="831" t="s">
        <v>2674</v>
      </c>
      <c r="AH14082" s="831" t="s">
        <v>3042</v>
      </c>
      <c r="AI14082" s="831">
        <v>0</v>
      </c>
      <c r="AJ14082" s="835">
        <v>41698</v>
      </c>
      <c r="AK14082" s="831">
        <v>-37210157.527000003</v>
      </c>
    </row>
    <row r="14083" spans="2:37">
      <c r="B14083" s="834" t="str">
        <f t="shared" si="519"/>
        <v>|||</v>
      </c>
      <c r="H14083" s="835">
        <f t="shared" si="520"/>
        <v>31</v>
      </c>
      <c r="AF14083" s="831" t="s">
        <v>11358</v>
      </c>
      <c r="AG14083" s="831" t="s">
        <v>2674</v>
      </c>
      <c r="AH14083" s="831" t="s">
        <v>3044</v>
      </c>
      <c r="AI14083" s="831">
        <v>0</v>
      </c>
      <c r="AJ14083" s="835">
        <v>41698</v>
      </c>
      <c r="AK14083" s="831">
        <v>-3847935.8899999997</v>
      </c>
    </row>
    <row r="14084" spans="2:37">
      <c r="B14084" s="834" t="str">
        <f t="shared" si="519"/>
        <v>|||</v>
      </c>
      <c r="H14084" s="835">
        <f t="shared" si="520"/>
        <v>31</v>
      </c>
      <c r="AF14084" s="831" t="s">
        <v>11359</v>
      </c>
      <c r="AG14084" s="831" t="s">
        <v>2674</v>
      </c>
      <c r="AH14084" s="831" t="s">
        <v>580</v>
      </c>
      <c r="AI14084" s="831">
        <v>0</v>
      </c>
      <c r="AJ14084" s="835">
        <v>41698</v>
      </c>
      <c r="AK14084" s="831">
        <v>-65813930.306999996</v>
      </c>
    </row>
    <row r="14085" spans="2:37">
      <c r="B14085" s="834" t="str">
        <f t="shared" si="519"/>
        <v>|||</v>
      </c>
      <c r="H14085" s="835">
        <f t="shared" si="520"/>
        <v>31</v>
      </c>
      <c r="AF14085" s="831" t="s">
        <v>11360</v>
      </c>
      <c r="AG14085" s="831" t="s">
        <v>2674</v>
      </c>
      <c r="AH14085" s="831" t="s">
        <v>581</v>
      </c>
      <c r="AI14085" s="831">
        <v>0</v>
      </c>
      <c r="AJ14085" s="835">
        <v>41698</v>
      </c>
      <c r="AK14085" s="831">
        <v>5417725.8940000003</v>
      </c>
    </row>
    <row r="14086" spans="2:37">
      <c r="B14086" s="834" t="str">
        <f t="shared" si="519"/>
        <v>|||</v>
      </c>
      <c r="H14086" s="835">
        <f t="shared" si="520"/>
        <v>31</v>
      </c>
      <c r="AF14086" s="831" t="s">
        <v>11361</v>
      </c>
      <c r="AG14086" s="831" t="s">
        <v>2674</v>
      </c>
      <c r="AH14086" s="831" t="s">
        <v>105</v>
      </c>
      <c r="AI14086" s="831">
        <v>0</v>
      </c>
      <c r="AJ14086" s="835">
        <v>41698</v>
      </c>
      <c r="AK14086" s="831">
        <v>385102312</v>
      </c>
    </row>
    <row r="14087" spans="2:37">
      <c r="B14087" s="834" t="str">
        <f t="shared" si="519"/>
        <v>|||</v>
      </c>
      <c r="H14087" s="835">
        <f t="shared" si="520"/>
        <v>31</v>
      </c>
      <c r="AF14087" s="831" t="s">
        <v>11362</v>
      </c>
      <c r="AG14087" s="831" t="s">
        <v>2674</v>
      </c>
      <c r="AH14087" s="831" t="s">
        <v>3049</v>
      </c>
      <c r="AI14087" s="831">
        <v>0</v>
      </c>
      <c r="AJ14087" s="835">
        <v>41698</v>
      </c>
      <c r="AK14087" s="831">
        <v>650688857.41999996</v>
      </c>
    </row>
    <row r="14088" spans="2:37">
      <c r="B14088" s="834" t="str">
        <f t="shared" si="519"/>
        <v>|||</v>
      </c>
      <c r="H14088" s="835">
        <f t="shared" si="520"/>
        <v>31</v>
      </c>
      <c r="AF14088" s="831" t="s">
        <v>11363</v>
      </c>
      <c r="AG14088" s="831" t="s">
        <v>2674</v>
      </c>
      <c r="AH14088" s="831" t="s">
        <v>103</v>
      </c>
      <c r="AI14088" s="831">
        <v>0</v>
      </c>
      <c r="AJ14088" s="835">
        <v>41698</v>
      </c>
      <c r="AK14088" s="831">
        <v>265586545.41999999</v>
      </c>
    </row>
    <row r="14089" spans="2:37">
      <c r="B14089" s="834" t="str">
        <f t="shared" si="519"/>
        <v>|||</v>
      </c>
      <c r="H14089" s="835">
        <f t="shared" si="520"/>
        <v>31</v>
      </c>
      <c r="AF14089" s="831" t="s">
        <v>11364</v>
      </c>
      <c r="AG14089" s="831" t="s">
        <v>2674</v>
      </c>
      <c r="AH14089" s="831" t="s">
        <v>182</v>
      </c>
      <c r="AI14089" s="831">
        <v>0</v>
      </c>
      <c r="AJ14089" s="835">
        <v>41698</v>
      </c>
      <c r="AK14089" s="831">
        <v>65878782</v>
      </c>
    </row>
    <row r="14090" spans="2:37">
      <c r="B14090" s="834" t="str">
        <f t="shared" si="519"/>
        <v>|||</v>
      </c>
      <c r="H14090" s="835">
        <f t="shared" si="520"/>
        <v>31</v>
      </c>
      <c r="AF14090" s="831" t="s">
        <v>11365</v>
      </c>
      <c r="AG14090" s="831" t="s">
        <v>2674</v>
      </c>
      <c r="AH14090" s="831" t="s">
        <v>6600</v>
      </c>
      <c r="AI14090" s="831">
        <v>0</v>
      </c>
      <c r="AJ14090" s="835">
        <v>41698</v>
      </c>
      <c r="AK14090" s="831">
        <v>31228952.956000008</v>
      </c>
    </row>
    <row r="14091" spans="2:37">
      <c r="B14091" s="834" t="str">
        <f t="shared" si="519"/>
        <v>|||</v>
      </c>
      <c r="H14091" s="835">
        <f t="shared" si="520"/>
        <v>31</v>
      </c>
      <c r="AF14091" s="831" t="s">
        <v>11366</v>
      </c>
      <c r="AG14091" s="831" t="s">
        <v>2674</v>
      </c>
      <c r="AH14091" s="831" t="s">
        <v>6602</v>
      </c>
      <c r="AI14091" s="831">
        <v>0</v>
      </c>
      <c r="AJ14091" s="835">
        <v>41698</v>
      </c>
      <c r="AK14091" s="831">
        <v>7870295</v>
      </c>
    </row>
    <row r="14092" spans="2:37">
      <c r="B14092" s="834" t="str">
        <f t="shared" si="519"/>
        <v>|||</v>
      </c>
      <c r="H14092" s="835">
        <f t="shared" si="520"/>
        <v>31</v>
      </c>
      <c r="AF14092" s="831" t="s">
        <v>11367</v>
      </c>
      <c r="AG14092" s="831" t="s">
        <v>2674</v>
      </c>
      <c r="AH14092" s="831" t="s">
        <v>650</v>
      </c>
      <c r="AI14092" s="831">
        <v>0</v>
      </c>
      <c r="AJ14092" s="835">
        <v>41698</v>
      </c>
      <c r="AK14092" s="831">
        <v>219285486.1168462</v>
      </c>
    </row>
    <row r="14093" spans="2:37">
      <c r="B14093" s="834" t="str">
        <f t="shared" si="519"/>
        <v>|||</v>
      </c>
      <c r="H14093" s="835">
        <f t="shared" si="520"/>
        <v>31</v>
      </c>
      <c r="AF14093" s="831" t="s">
        <v>11368</v>
      </c>
      <c r="AG14093" s="831" t="s">
        <v>2674</v>
      </c>
      <c r="AH14093" s="831" t="s">
        <v>655</v>
      </c>
      <c r="AI14093" s="831">
        <v>0</v>
      </c>
      <c r="AJ14093" s="835">
        <v>41698</v>
      </c>
      <c r="AK14093" s="831">
        <v>1640758.8330000001</v>
      </c>
    </row>
    <row r="14094" spans="2:37">
      <c r="B14094" s="834" t="str">
        <f t="shared" si="519"/>
        <v>|||</v>
      </c>
      <c r="H14094" s="835">
        <f t="shared" si="520"/>
        <v>31</v>
      </c>
      <c r="AF14094" s="831" t="s">
        <v>11369</v>
      </c>
      <c r="AG14094" s="831" t="s">
        <v>2674</v>
      </c>
      <c r="AH14094" s="831" t="s">
        <v>546</v>
      </c>
      <c r="AI14094" s="831">
        <v>0</v>
      </c>
      <c r="AJ14094" s="835">
        <v>41729</v>
      </c>
      <c r="AK14094" s="831">
        <v>664153787</v>
      </c>
    </row>
    <row r="14095" spans="2:37">
      <c r="B14095" s="834" t="str">
        <f t="shared" si="519"/>
        <v>|||</v>
      </c>
      <c r="H14095" s="835">
        <f t="shared" si="520"/>
        <v>31</v>
      </c>
      <c r="AF14095" s="831" t="s">
        <v>11370</v>
      </c>
      <c r="AG14095" s="831" t="s">
        <v>2674</v>
      </c>
      <c r="AH14095" s="831" t="s">
        <v>370</v>
      </c>
      <c r="AI14095" s="831">
        <v>0</v>
      </c>
      <c r="AJ14095" s="835">
        <v>41729</v>
      </c>
      <c r="AK14095" s="831">
        <v>834303183</v>
      </c>
    </row>
    <row r="14096" spans="2:37">
      <c r="B14096" s="834" t="str">
        <f t="shared" si="519"/>
        <v>|||</v>
      </c>
      <c r="H14096" s="835">
        <f t="shared" si="520"/>
        <v>31</v>
      </c>
      <c r="AF14096" s="831" t="s">
        <v>11371</v>
      </c>
      <c r="AG14096" s="831" t="s">
        <v>2674</v>
      </c>
      <c r="AH14096" s="831" t="s">
        <v>126</v>
      </c>
      <c r="AI14096" s="831">
        <v>0</v>
      </c>
      <c r="AJ14096" s="835">
        <v>41729</v>
      </c>
      <c r="AK14096" s="831">
        <v>124206790</v>
      </c>
    </row>
    <row r="14097" spans="2:37">
      <c r="B14097" s="834" t="str">
        <f t="shared" ref="B14097:B14160" si="521">C14097&amp;"|"&amp;D14097&amp;"|"&amp;E14097&amp;"|"&amp;F14097</f>
        <v>|||</v>
      </c>
      <c r="H14097" s="835">
        <f t="shared" ref="H14097:H14160" si="522">EOMONTH(L14097,0)</f>
        <v>31</v>
      </c>
      <c r="AF14097" s="831" t="s">
        <v>11372</v>
      </c>
      <c r="AG14097" s="831" t="s">
        <v>2674</v>
      </c>
      <c r="AH14097" s="831" t="s">
        <v>268</v>
      </c>
      <c r="AI14097" s="831">
        <v>0</v>
      </c>
      <c r="AJ14097" s="835">
        <v>41729</v>
      </c>
      <c r="AK14097" s="831">
        <v>8878765</v>
      </c>
    </row>
    <row r="14098" spans="2:37">
      <c r="B14098" s="834" t="str">
        <f t="shared" si="521"/>
        <v>|||</v>
      </c>
      <c r="H14098" s="835">
        <f t="shared" si="522"/>
        <v>31</v>
      </c>
      <c r="AF14098" s="831" t="s">
        <v>11373</v>
      </c>
      <c r="AG14098" s="831" t="s">
        <v>2674</v>
      </c>
      <c r="AH14098" s="831" t="s">
        <v>547</v>
      </c>
      <c r="AI14098" s="831">
        <v>0</v>
      </c>
      <c r="AJ14098" s="835">
        <v>41729</v>
      </c>
      <c r="AK14098" s="831">
        <v>777719977</v>
      </c>
    </row>
    <row r="14099" spans="2:37">
      <c r="B14099" s="834" t="str">
        <f t="shared" si="521"/>
        <v>|||</v>
      </c>
      <c r="H14099" s="835">
        <f t="shared" si="522"/>
        <v>31</v>
      </c>
      <c r="AF14099" s="831" t="s">
        <v>11374</v>
      </c>
      <c r="AG14099" s="831" t="s">
        <v>2674</v>
      </c>
      <c r="AH14099" s="831" t="s">
        <v>548</v>
      </c>
      <c r="AI14099" s="831">
        <v>0</v>
      </c>
      <c r="AJ14099" s="835">
        <v>41729</v>
      </c>
      <c r="AK14099" s="831">
        <v>117105496</v>
      </c>
    </row>
    <row r="14100" spans="2:37">
      <c r="B14100" s="834" t="str">
        <f t="shared" si="521"/>
        <v>|||</v>
      </c>
      <c r="H14100" s="835">
        <f t="shared" si="522"/>
        <v>31</v>
      </c>
      <c r="AF14100" s="831" t="s">
        <v>11375</v>
      </c>
      <c r="AG14100" s="831" t="s">
        <v>2674</v>
      </c>
      <c r="AH14100" s="831" t="s">
        <v>549</v>
      </c>
      <c r="AI14100" s="831">
        <v>0</v>
      </c>
      <c r="AJ14100" s="835">
        <v>41729</v>
      </c>
      <c r="AK14100" s="831">
        <v>455655641</v>
      </c>
    </row>
    <row r="14101" spans="2:37">
      <c r="B14101" s="834" t="str">
        <f t="shared" si="521"/>
        <v>|||</v>
      </c>
      <c r="H14101" s="835">
        <f t="shared" si="522"/>
        <v>31</v>
      </c>
      <c r="AF14101" s="831" t="s">
        <v>11376</v>
      </c>
      <c r="AG14101" s="831" t="s">
        <v>2674</v>
      </c>
      <c r="AH14101" s="831" t="s">
        <v>192</v>
      </c>
      <c r="AI14101" s="831">
        <v>0</v>
      </c>
      <c r="AJ14101" s="835">
        <v>41729</v>
      </c>
      <c r="AK14101" s="831">
        <v>-12498345</v>
      </c>
    </row>
    <row r="14102" spans="2:37">
      <c r="B14102" s="834" t="str">
        <f t="shared" si="521"/>
        <v>|||</v>
      </c>
      <c r="H14102" s="835">
        <f t="shared" si="522"/>
        <v>31</v>
      </c>
      <c r="AF14102" s="831" t="s">
        <v>11377</v>
      </c>
      <c r="AG14102" s="831" t="s">
        <v>2674</v>
      </c>
      <c r="AH14102" s="831" t="s">
        <v>558</v>
      </c>
      <c r="AI14102" s="831">
        <v>0</v>
      </c>
      <c r="AJ14102" s="835">
        <v>41729</v>
      </c>
      <c r="AK14102" s="831">
        <v>710096393</v>
      </c>
    </row>
    <row r="14103" spans="2:37">
      <c r="B14103" s="834" t="str">
        <f t="shared" si="521"/>
        <v>|||</v>
      </c>
      <c r="H14103" s="835">
        <f t="shared" si="522"/>
        <v>31</v>
      </c>
      <c r="AF14103" s="831" t="s">
        <v>11378</v>
      </c>
      <c r="AG14103" s="831" t="s">
        <v>2674</v>
      </c>
      <c r="AH14103" s="831" t="s">
        <v>65</v>
      </c>
      <c r="AI14103" s="831">
        <v>0</v>
      </c>
      <c r="AJ14103" s="835">
        <v>41729</v>
      </c>
      <c r="AK14103" s="831">
        <v>38451284</v>
      </c>
    </row>
    <row r="14104" spans="2:37">
      <c r="B14104" s="834" t="str">
        <f t="shared" si="521"/>
        <v>|||</v>
      </c>
      <c r="H14104" s="835">
        <f t="shared" si="522"/>
        <v>31</v>
      </c>
      <c r="AF14104" s="831" t="s">
        <v>11379</v>
      </c>
      <c r="AG14104" s="831" t="s">
        <v>2674</v>
      </c>
      <c r="AH14104" s="831" t="s">
        <v>89</v>
      </c>
      <c r="AI14104" s="831">
        <v>0</v>
      </c>
      <c r="AJ14104" s="835">
        <v>41729</v>
      </c>
      <c r="AK14104" s="831">
        <v>151606</v>
      </c>
    </row>
    <row r="14105" spans="2:37">
      <c r="B14105" s="834" t="str">
        <f t="shared" si="521"/>
        <v>|||</v>
      </c>
      <c r="H14105" s="835">
        <f t="shared" si="522"/>
        <v>31</v>
      </c>
      <c r="AF14105" s="831" t="s">
        <v>11380</v>
      </c>
      <c r="AG14105" s="831" t="s">
        <v>2674</v>
      </c>
      <c r="AH14105" s="831" t="s">
        <v>557</v>
      </c>
      <c r="AI14105" s="831">
        <v>0</v>
      </c>
      <c r="AJ14105" s="835">
        <v>41729</v>
      </c>
      <c r="AK14105" s="831">
        <v>167127</v>
      </c>
    </row>
    <row r="14106" spans="2:37">
      <c r="B14106" s="834" t="str">
        <f t="shared" si="521"/>
        <v>|||</v>
      </c>
      <c r="H14106" s="835">
        <f t="shared" si="522"/>
        <v>31</v>
      </c>
      <c r="AF14106" s="831" t="s">
        <v>11381</v>
      </c>
      <c r="AG14106" s="831" t="s">
        <v>2674</v>
      </c>
      <c r="AH14106" s="831" t="s">
        <v>29</v>
      </c>
      <c r="AI14106" s="831">
        <v>0</v>
      </c>
      <c r="AJ14106" s="835">
        <v>41729</v>
      </c>
      <c r="AK14106" s="831">
        <v>2189531.31</v>
      </c>
    </row>
    <row r="14107" spans="2:37">
      <c r="B14107" s="834" t="str">
        <f t="shared" si="521"/>
        <v>|||</v>
      </c>
      <c r="H14107" s="835">
        <f t="shared" si="522"/>
        <v>31</v>
      </c>
      <c r="AF14107" s="831" t="s">
        <v>11382</v>
      </c>
      <c r="AG14107" s="831" t="s">
        <v>2674</v>
      </c>
      <c r="AH14107" s="831" t="s">
        <v>2688</v>
      </c>
      <c r="AI14107" s="831">
        <v>0</v>
      </c>
      <c r="AJ14107" s="835">
        <v>41729</v>
      </c>
      <c r="AK14107" s="831">
        <v>4729841</v>
      </c>
    </row>
    <row r="14108" spans="2:37">
      <c r="B14108" s="834" t="str">
        <f t="shared" si="521"/>
        <v>|||</v>
      </c>
      <c r="H14108" s="835">
        <f t="shared" si="522"/>
        <v>31</v>
      </c>
      <c r="AF14108" s="831" t="s">
        <v>11383</v>
      </c>
      <c r="AG14108" s="831" t="s">
        <v>2674</v>
      </c>
      <c r="AH14108" s="831" t="s">
        <v>556</v>
      </c>
      <c r="AI14108" s="831">
        <v>0</v>
      </c>
      <c r="AJ14108" s="835">
        <v>41729</v>
      </c>
      <c r="AK14108" s="831">
        <v>1644732</v>
      </c>
    </row>
    <row r="14109" spans="2:37">
      <c r="B14109" s="834" t="str">
        <f t="shared" si="521"/>
        <v>|||</v>
      </c>
      <c r="H14109" s="835">
        <f t="shared" si="522"/>
        <v>31</v>
      </c>
      <c r="AF14109" s="831" t="s">
        <v>11384</v>
      </c>
      <c r="AG14109" s="831" t="s">
        <v>2674</v>
      </c>
      <c r="AH14109" s="831" t="s">
        <v>555</v>
      </c>
      <c r="AI14109" s="831">
        <v>0</v>
      </c>
      <c r="AJ14109" s="835">
        <v>41729</v>
      </c>
      <c r="AK14109" s="831">
        <v>466790280</v>
      </c>
    </row>
    <row r="14110" spans="2:37">
      <c r="B14110" s="834" t="str">
        <f t="shared" si="521"/>
        <v>|||</v>
      </c>
      <c r="H14110" s="835">
        <f t="shared" si="522"/>
        <v>31</v>
      </c>
      <c r="AF14110" s="831" t="s">
        <v>11385</v>
      </c>
      <c r="AG14110" s="831" t="s">
        <v>2674</v>
      </c>
      <c r="AH14110" s="831" t="s">
        <v>554</v>
      </c>
      <c r="AI14110" s="831">
        <v>0</v>
      </c>
      <c r="AJ14110" s="835">
        <v>41729</v>
      </c>
      <c r="AK14110" s="831">
        <v>476154670</v>
      </c>
    </row>
    <row r="14111" spans="2:37">
      <c r="B14111" s="834" t="str">
        <f t="shared" si="521"/>
        <v>|||</v>
      </c>
      <c r="H14111" s="835">
        <f t="shared" si="522"/>
        <v>31</v>
      </c>
      <c r="AF14111" s="831" t="s">
        <v>11386</v>
      </c>
      <c r="AG14111" s="831" t="s">
        <v>2674</v>
      </c>
      <c r="AH14111" s="831" t="s">
        <v>553</v>
      </c>
      <c r="AI14111" s="831">
        <v>0</v>
      </c>
      <c r="AJ14111" s="835">
        <v>41729</v>
      </c>
      <c r="AK14111" s="831">
        <v>0</v>
      </c>
    </row>
    <row r="14112" spans="2:37">
      <c r="B14112" s="834" t="str">
        <f t="shared" si="521"/>
        <v>|||</v>
      </c>
      <c r="H14112" s="835">
        <f t="shared" si="522"/>
        <v>31</v>
      </c>
      <c r="AF14112" s="831" t="s">
        <v>11387</v>
      </c>
      <c r="AG14112" s="831" t="s">
        <v>2674</v>
      </c>
      <c r="AH14112" s="831" t="s">
        <v>552</v>
      </c>
      <c r="AI14112" s="831">
        <v>0</v>
      </c>
      <c r="AJ14112" s="835">
        <v>41729</v>
      </c>
      <c r="AK14112" s="831">
        <v>0</v>
      </c>
    </row>
    <row r="14113" spans="2:37">
      <c r="B14113" s="834" t="str">
        <f t="shared" si="521"/>
        <v>|||</v>
      </c>
      <c r="H14113" s="835">
        <f t="shared" si="522"/>
        <v>31</v>
      </c>
      <c r="AF14113" s="831" t="s">
        <v>11388</v>
      </c>
      <c r="AG14113" s="831" t="s">
        <v>2674</v>
      </c>
      <c r="AH14113" s="831" t="s">
        <v>551</v>
      </c>
      <c r="AI14113" s="831">
        <v>0</v>
      </c>
      <c r="AJ14113" s="835">
        <v>41729</v>
      </c>
      <c r="AK14113" s="831">
        <v>1979269.31</v>
      </c>
    </row>
    <row r="14114" spans="2:37">
      <c r="B14114" s="834" t="str">
        <f t="shared" si="521"/>
        <v>|||</v>
      </c>
      <c r="H14114" s="835">
        <f t="shared" si="522"/>
        <v>31</v>
      </c>
      <c r="AF14114" s="831" t="s">
        <v>11389</v>
      </c>
      <c r="AG14114" s="831" t="s">
        <v>2674</v>
      </c>
      <c r="AH14114" s="831" t="s">
        <v>550</v>
      </c>
      <c r="AI14114" s="831">
        <v>0</v>
      </c>
      <c r="AJ14114" s="835">
        <v>41729</v>
      </c>
      <c r="AK14114" s="831">
        <v>120615628</v>
      </c>
    </row>
    <row r="14115" spans="2:37">
      <c r="B14115" s="834" t="str">
        <f t="shared" si="521"/>
        <v>|||</v>
      </c>
      <c r="H14115" s="835">
        <f t="shared" si="522"/>
        <v>31</v>
      </c>
      <c r="AF14115" s="831" t="s">
        <v>11390</v>
      </c>
      <c r="AG14115" s="831" t="s">
        <v>2674</v>
      </c>
      <c r="AH14115" s="831" t="s">
        <v>562</v>
      </c>
      <c r="AI14115" s="831">
        <v>0</v>
      </c>
      <c r="AJ14115" s="835">
        <v>41729</v>
      </c>
      <c r="AK14115" s="831">
        <v>0.78374999999999995</v>
      </c>
    </row>
    <row r="14116" spans="2:37">
      <c r="B14116" s="834" t="str">
        <f t="shared" si="521"/>
        <v>|||</v>
      </c>
      <c r="H14116" s="835">
        <f t="shared" si="522"/>
        <v>31</v>
      </c>
      <c r="AF14116" s="831" t="s">
        <v>11391</v>
      </c>
      <c r="AG14116" s="831" t="s">
        <v>2674</v>
      </c>
      <c r="AH14116" s="831" t="s">
        <v>2698</v>
      </c>
      <c r="AI14116" s="831">
        <v>0</v>
      </c>
      <c r="AJ14116" s="835">
        <v>41729</v>
      </c>
      <c r="AK14116" s="831">
        <v>0.78385000000000005</v>
      </c>
    </row>
    <row r="14117" spans="2:37">
      <c r="B14117" s="834" t="str">
        <f t="shared" si="521"/>
        <v>|||</v>
      </c>
      <c r="H14117" s="835">
        <f t="shared" si="522"/>
        <v>31</v>
      </c>
      <c r="AF14117" s="831" t="s">
        <v>11392</v>
      </c>
      <c r="AG14117" s="831" t="s">
        <v>2674</v>
      </c>
      <c r="AH14117" s="831" t="s">
        <v>560</v>
      </c>
      <c r="AI14117" s="831">
        <v>0</v>
      </c>
      <c r="AJ14117" s="835">
        <v>41729</v>
      </c>
      <c r="AK14117" s="831">
        <v>0.78375000000000006</v>
      </c>
    </row>
    <row r="14118" spans="2:37">
      <c r="B14118" s="834" t="str">
        <f t="shared" si="521"/>
        <v>|||</v>
      </c>
      <c r="H14118" s="835">
        <f t="shared" si="522"/>
        <v>31</v>
      </c>
      <c r="AF14118" s="831" t="s">
        <v>11393</v>
      </c>
      <c r="AG14118" s="831" t="s">
        <v>2674</v>
      </c>
      <c r="AH14118" s="831" t="s">
        <v>559</v>
      </c>
      <c r="AI14118" s="831">
        <v>0</v>
      </c>
      <c r="AJ14118" s="835">
        <v>41729</v>
      </c>
      <c r="AK14118" s="831">
        <v>0.78383333333333338</v>
      </c>
    </row>
    <row r="14119" spans="2:37">
      <c r="B14119" s="834" t="str">
        <f t="shared" si="521"/>
        <v>|||</v>
      </c>
      <c r="H14119" s="835">
        <f t="shared" si="522"/>
        <v>31</v>
      </c>
      <c r="AF14119" s="831" t="s">
        <v>11394</v>
      </c>
      <c r="AG14119" s="831" t="s">
        <v>2674</v>
      </c>
      <c r="AH14119" s="831" t="s">
        <v>568</v>
      </c>
      <c r="AI14119" s="831">
        <v>0</v>
      </c>
      <c r="AJ14119" s="835">
        <v>41729</v>
      </c>
      <c r="AK14119" s="831">
        <v>565947600.45769227</v>
      </c>
    </row>
    <row r="14120" spans="2:37">
      <c r="B14120" s="834" t="str">
        <f t="shared" si="521"/>
        <v>|||</v>
      </c>
      <c r="H14120" s="835">
        <f t="shared" si="522"/>
        <v>31</v>
      </c>
      <c r="AF14120" s="831" t="s">
        <v>11395</v>
      </c>
      <c r="AG14120" s="831" t="s">
        <v>2674</v>
      </c>
      <c r="AH14120" s="831" t="s">
        <v>569</v>
      </c>
      <c r="AI14120" s="831">
        <v>0</v>
      </c>
      <c r="AJ14120" s="835">
        <v>41729</v>
      </c>
      <c r="AK14120" s="831">
        <v>694165655.12715387</v>
      </c>
    </row>
    <row r="14121" spans="2:37">
      <c r="B14121" s="834" t="str">
        <f t="shared" si="521"/>
        <v>|||</v>
      </c>
      <c r="H14121" s="835">
        <f t="shared" si="522"/>
        <v>31</v>
      </c>
      <c r="AF14121" s="831" t="s">
        <v>11396</v>
      </c>
      <c r="AG14121" s="831" t="s">
        <v>2674</v>
      </c>
      <c r="AH14121" s="831" t="s">
        <v>570</v>
      </c>
      <c r="AI14121" s="831">
        <v>0</v>
      </c>
      <c r="AJ14121" s="835">
        <v>41729</v>
      </c>
      <c r="AK14121" s="831">
        <v>113785276.52046154</v>
      </c>
    </row>
    <row r="14122" spans="2:37">
      <c r="B14122" s="834" t="str">
        <f t="shared" si="521"/>
        <v>|||</v>
      </c>
      <c r="H14122" s="835">
        <f t="shared" si="522"/>
        <v>31</v>
      </c>
      <c r="AF14122" s="831" t="s">
        <v>11397</v>
      </c>
      <c r="AG14122" s="831" t="s">
        <v>2674</v>
      </c>
      <c r="AH14122" s="831" t="s">
        <v>571</v>
      </c>
      <c r="AI14122" s="831">
        <v>0</v>
      </c>
      <c r="AJ14122" s="835">
        <v>41729</v>
      </c>
      <c r="AK14122" s="831">
        <v>334328550.28253847</v>
      </c>
    </row>
    <row r="14123" spans="2:37">
      <c r="B14123" s="834" t="str">
        <f t="shared" si="521"/>
        <v>|||</v>
      </c>
      <c r="H14123" s="835">
        <f t="shared" si="522"/>
        <v>31</v>
      </c>
      <c r="AF14123" s="831" t="s">
        <v>11398</v>
      </c>
      <c r="AG14123" s="831" t="s">
        <v>2674</v>
      </c>
      <c r="AH14123" s="831" t="s">
        <v>573</v>
      </c>
      <c r="AI14123" s="831">
        <v>0</v>
      </c>
      <c r="AJ14123" s="835">
        <v>41729</v>
      </c>
      <c r="AK14123" s="831">
        <v>798989941.39074993</v>
      </c>
    </row>
    <row r="14124" spans="2:37">
      <c r="B14124" s="834" t="str">
        <f t="shared" si="521"/>
        <v>|||</v>
      </c>
      <c r="H14124" s="835">
        <f t="shared" si="522"/>
        <v>31</v>
      </c>
      <c r="AF14124" s="831" t="s">
        <v>11399</v>
      </c>
      <c r="AG14124" s="831" t="s">
        <v>2674</v>
      </c>
      <c r="AH14124" s="831" t="s">
        <v>574</v>
      </c>
      <c r="AI14124" s="831">
        <v>0</v>
      </c>
      <c r="AJ14124" s="835">
        <v>41729</v>
      </c>
      <c r="AK14124" s="831">
        <v>645110399.5</v>
      </c>
    </row>
    <row r="14125" spans="2:37">
      <c r="B14125" s="834" t="str">
        <f t="shared" si="521"/>
        <v>|||</v>
      </c>
      <c r="H14125" s="835">
        <f t="shared" si="522"/>
        <v>31</v>
      </c>
      <c r="AF14125" s="831" t="s">
        <v>11400</v>
      </c>
      <c r="AG14125" s="831" t="s">
        <v>2674</v>
      </c>
      <c r="AH14125" s="831" t="s">
        <v>575</v>
      </c>
      <c r="AI14125" s="831">
        <v>0</v>
      </c>
      <c r="AJ14125" s="835">
        <v>41729</v>
      </c>
      <c r="AK14125" s="831">
        <v>119004419.97749999</v>
      </c>
    </row>
    <row r="14126" spans="2:37">
      <c r="B14126" s="834" t="str">
        <f t="shared" si="521"/>
        <v>|||</v>
      </c>
      <c r="H14126" s="835">
        <f t="shared" si="522"/>
        <v>31</v>
      </c>
      <c r="AF14126" s="831" t="s">
        <v>11401</v>
      </c>
      <c r="AG14126" s="831" t="s">
        <v>2674</v>
      </c>
      <c r="AH14126" s="831" t="s">
        <v>576</v>
      </c>
      <c r="AI14126" s="831">
        <v>0</v>
      </c>
      <c r="AJ14126" s="835">
        <v>41729</v>
      </c>
      <c r="AK14126" s="831">
        <v>391575852.40275002</v>
      </c>
    </row>
    <row r="14127" spans="2:37">
      <c r="B14127" s="834" t="str">
        <f t="shared" si="521"/>
        <v>|||</v>
      </c>
      <c r="H14127" s="835">
        <f t="shared" si="522"/>
        <v>31</v>
      </c>
      <c r="AF14127" s="831" t="s">
        <v>11402</v>
      </c>
      <c r="AG14127" s="831" t="s">
        <v>2674</v>
      </c>
      <c r="AH14127" s="831" t="s">
        <v>572</v>
      </c>
      <c r="AI14127" s="831">
        <v>0</v>
      </c>
      <c r="AJ14127" s="835">
        <v>41729</v>
      </c>
      <c r="AK14127" s="831">
        <v>30009140.956000008</v>
      </c>
    </row>
    <row r="14128" spans="2:37">
      <c r="B14128" s="834" t="str">
        <f t="shared" si="521"/>
        <v>|||</v>
      </c>
      <c r="H14128" s="835">
        <f t="shared" si="522"/>
        <v>31</v>
      </c>
      <c r="AF14128" s="831" t="s">
        <v>11403</v>
      </c>
      <c r="AG14128" s="831" t="s">
        <v>2674</v>
      </c>
      <c r="AH14128" s="831" t="s">
        <v>577</v>
      </c>
      <c r="AI14128" s="831">
        <v>0</v>
      </c>
      <c r="AJ14128" s="835">
        <v>41729</v>
      </c>
      <c r="AK14128" s="831">
        <v>143425007.76300001</v>
      </c>
    </row>
    <row r="14129" spans="2:37">
      <c r="B14129" s="834" t="str">
        <f t="shared" si="521"/>
        <v>|||</v>
      </c>
      <c r="H14129" s="835">
        <f t="shared" si="522"/>
        <v>31</v>
      </c>
      <c r="AF14129" s="831" t="s">
        <v>11404</v>
      </c>
      <c r="AG14129" s="831" t="s">
        <v>2674</v>
      </c>
      <c r="AH14129" s="831" t="s">
        <v>3042</v>
      </c>
      <c r="AI14129" s="831">
        <v>0</v>
      </c>
      <c r="AJ14129" s="835">
        <v>41729</v>
      </c>
      <c r="AK14129" s="831">
        <v>-38745656.527000003</v>
      </c>
    </row>
    <row r="14130" spans="2:37">
      <c r="B14130" s="834" t="str">
        <f t="shared" si="521"/>
        <v>|||</v>
      </c>
      <c r="H14130" s="835">
        <f t="shared" si="522"/>
        <v>31</v>
      </c>
      <c r="AF14130" s="831" t="s">
        <v>11405</v>
      </c>
      <c r="AG14130" s="831" t="s">
        <v>2674</v>
      </c>
      <c r="AH14130" s="831" t="s">
        <v>3044</v>
      </c>
      <c r="AI14130" s="831">
        <v>0</v>
      </c>
      <c r="AJ14130" s="835">
        <v>41729</v>
      </c>
      <c r="AK14130" s="831">
        <v>-3699815.8899999997</v>
      </c>
    </row>
    <row r="14131" spans="2:37">
      <c r="B14131" s="834" t="str">
        <f t="shared" si="521"/>
        <v>|||</v>
      </c>
      <c r="H14131" s="835">
        <f t="shared" si="522"/>
        <v>31</v>
      </c>
      <c r="AF14131" s="831" t="s">
        <v>11406</v>
      </c>
      <c r="AG14131" s="831" t="s">
        <v>2674</v>
      </c>
      <c r="AH14131" s="831" t="s">
        <v>580</v>
      </c>
      <c r="AI14131" s="831">
        <v>0</v>
      </c>
      <c r="AJ14131" s="835">
        <v>41729</v>
      </c>
      <c r="AK14131" s="831">
        <v>-67131930.306999996</v>
      </c>
    </row>
    <row r="14132" spans="2:37">
      <c r="B14132" s="834" t="str">
        <f t="shared" si="521"/>
        <v>|||</v>
      </c>
      <c r="H14132" s="835">
        <f t="shared" si="522"/>
        <v>31</v>
      </c>
      <c r="AF14132" s="831" t="s">
        <v>11407</v>
      </c>
      <c r="AG14132" s="831" t="s">
        <v>2674</v>
      </c>
      <c r="AH14132" s="831" t="s">
        <v>581</v>
      </c>
      <c r="AI14132" s="831">
        <v>0</v>
      </c>
      <c r="AJ14132" s="835">
        <v>41729</v>
      </c>
      <c r="AK14132" s="831">
        <v>5442741.8940000003</v>
      </c>
    </row>
    <row r="14133" spans="2:37">
      <c r="B14133" s="834" t="str">
        <f t="shared" si="521"/>
        <v>|||</v>
      </c>
      <c r="H14133" s="835">
        <f t="shared" si="522"/>
        <v>31</v>
      </c>
      <c r="AF14133" s="831" t="s">
        <v>11408</v>
      </c>
      <c r="AG14133" s="831" t="s">
        <v>2674</v>
      </c>
      <c r="AH14133" s="831" t="s">
        <v>105</v>
      </c>
      <c r="AI14133" s="831">
        <v>0</v>
      </c>
      <c r="AJ14133" s="835">
        <v>41729</v>
      </c>
      <c r="AK14133" s="831">
        <v>411102058</v>
      </c>
    </row>
    <row r="14134" spans="2:37">
      <c r="B14134" s="834" t="str">
        <f t="shared" si="521"/>
        <v>|||</v>
      </c>
      <c r="H14134" s="835">
        <f t="shared" si="522"/>
        <v>31</v>
      </c>
      <c r="AF14134" s="831" t="s">
        <v>11409</v>
      </c>
      <c r="AG14134" s="831" t="s">
        <v>2674</v>
      </c>
      <c r="AH14134" s="831" t="s">
        <v>3049</v>
      </c>
      <c r="AI14134" s="831">
        <v>0</v>
      </c>
      <c r="AJ14134" s="835">
        <v>41729</v>
      </c>
      <c r="AK14134" s="831">
        <v>690412081</v>
      </c>
    </row>
    <row r="14135" spans="2:37">
      <c r="B14135" s="834" t="str">
        <f t="shared" si="521"/>
        <v>|||</v>
      </c>
      <c r="H14135" s="835">
        <f t="shared" si="522"/>
        <v>31</v>
      </c>
      <c r="AF14135" s="831" t="s">
        <v>11410</v>
      </c>
      <c r="AG14135" s="831" t="s">
        <v>2674</v>
      </c>
      <c r="AH14135" s="831" t="s">
        <v>103</v>
      </c>
      <c r="AI14135" s="831">
        <v>0</v>
      </c>
      <c r="AJ14135" s="835">
        <v>41729</v>
      </c>
      <c r="AK14135" s="831">
        <v>279310023</v>
      </c>
    </row>
    <row r="14136" spans="2:37">
      <c r="B14136" s="834" t="str">
        <f t="shared" si="521"/>
        <v>|||</v>
      </c>
      <c r="H14136" s="835">
        <f t="shared" si="522"/>
        <v>31</v>
      </c>
      <c r="AF14136" s="831" t="s">
        <v>11411</v>
      </c>
      <c r="AG14136" s="831" t="s">
        <v>2674</v>
      </c>
      <c r="AH14136" s="831" t="s">
        <v>182</v>
      </c>
      <c r="AI14136" s="831">
        <v>0</v>
      </c>
      <c r="AJ14136" s="835">
        <v>41729</v>
      </c>
      <c r="AK14136" s="831">
        <v>67031636</v>
      </c>
    </row>
    <row r="14137" spans="2:37">
      <c r="B14137" s="834" t="str">
        <f t="shared" si="521"/>
        <v>|||</v>
      </c>
      <c r="H14137" s="835">
        <f t="shared" si="522"/>
        <v>31</v>
      </c>
      <c r="AF14137" s="831" t="s">
        <v>11412</v>
      </c>
      <c r="AG14137" s="831" t="s">
        <v>2674</v>
      </c>
      <c r="AH14137" s="831" t="s">
        <v>6600</v>
      </c>
      <c r="AI14137" s="831">
        <v>0</v>
      </c>
      <c r="AJ14137" s="835">
        <v>41729</v>
      </c>
      <c r="AK14137" s="831">
        <v>30009140.956000008</v>
      </c>
    </row>
    <row r="14138" spans="2:37">
      <c r="B14138" s="834" t="str">
        <f t="shared" si="521"/>
        <v>|||</v>
      </c>
      <c r="H14138" s="835">
        <f t="shared" si="522"/>
        <v>31</v>
      </c>
      <c r="AF14138" s="831" t="s">
        <v>11413</v>
      </c>
      <c r="AG14138" s="831" t="s">
        <v>2674</v>
      </c>
      <c r="AH14138" s="831" t="s">
        <v>6602</v>
      </c>
      <c r="AI14138" s="831">
        <v>0</v>
      </c>
      <c r="AJ14138" s="835">
        <v>41729</v>
      </c>
      <c r="AK14138" s="831">
        <v>8878765</v>
      </c>
    </row>
    <row r="14139" spans="2:37">
      <c r="B14139" s="834" t="str">
        <f t="shared" si="521"/>
        <v>|||</v>
      </c>
      <c r="H14139" s="835">
        <f t="shared" si="522"/>
        <v>31</v>
      </c>
      <c r="AF14139" s="831" t="s">
        <v>11414</v>
      </c>
      <c r="AG14139" s="831" t="s">
        <v>2674</v>
      </c>
      <c r="AH14139" s="831" t="s">
        <v>650</v>
      </c>
      <c r="AI14139" s="831">
        <v>0</v>
      </c>
      <c r="AJ14139" s="835">
        <v>41729</v>
      </c>
      <c r="AK14139" s="831">
        <v>227175044.1168462</v>
      </c>
    </row>
    <row r="14140" spans="2:37">
      <c r="B14140" s="834" t="str">
        <f t="shared" si="521"/>
        <v>|||</v>
      </c>
      <c r="H14140" s="835">
        <f t="shared" si="522"/>
        <v>31</v>
      </c>
      <c r="AF14140" s="831" t="s">
        <v>11415</v>
      </c>
      <c r="AG14140" s="831" t="s">
        <v>2674</v>
      </c>
      <c r="AH14140" s="831" t="s">
        <v>655</v>
      </c>
      <c r="AI14140" s="831">
        <v>0</v>
      </c>
      <c r="AJ14140" s="835">
        <v>41729</v>
      </c>
      <c r="AK14140" s="831">
        <v>1723087.31</v>
      </c>
    </row>
    <row r="14141" spans="2:37">
      <c r="B14141" s="834" t="str">
        <f t="shared" si="521"/>
        <v>|||</v>
      </c>
      <c r="H14141" s="835">
        <f t="shared" si="522"/>
        <v>31</v>
      </c>
      <c r="AF14141" s="831" t="s">
        <v>11416</v>
      </c>
      <c r="AG14141" s="831" t="s">
        <v>2674</v>
      </c>
      <c r="AH14141" s="831" t="s">
        <v>546</v>
      </c>
      <c r="AI14141" s="831">
        <v>0</v>
      </c>
      <c r="AJ14141" s="835">
        <v>41759</v>
      </c>
      <c r="AK14141" s="831">
        <v>695634421</v>
      </c>
    </row>
    <row r="14142" spans="2:37">
      <c r="B14142" s="834" t="str">
        <f t="shared" si="521"/>
        <v>|||</v>
      </c>
      <c r="H14142" s="835">
        <f t="shared" si="522"/>
        <v>31</v>
      </c>
      <c r="AF14142" s="831" t="s">
        <v>11417</v>
      </c>
      <c r="AG14142" s="831" t="s">
        <v>2674</v>
      </c>
      <c r="AH14142" s="831" t="s">
        <v>370</v>
      </c>
      <c r="AI14142" s="831">
        <v>0</v>
      </c>
      <c r="AJ14142" s="835">
        <v>41759</v>
      </c>
      <c r="AK14142" s="831">
        <v>838269546</v>
      </c>
    </row>
    <row r="14143" spans="2:37">
      <c r="B14143" s="834" t="str">
        <f t="shared" si="521"/>
        <v>|||</v>
      </c>
      <c r="H14143" s="835">
        <f t="shared" si="522"/>
        <v>31</v>
      </c>
      <c r="AF14143" s="831" t="s">
        <v>11418</v>
      </c>
      <c r="AG14143" s="831" t="s">
        <v>2674</v>
      </c>
      <c r="AH14143" s="831" t="s">
        <v>126</v>
      </c>
      <c r="AI14143" s="831">
        <v>0</v>
      </c>
      <c r="AJ14143" s="835">
        <v>41759</v>
      </c>
      <c r="AK14143" s="831">
        <v>127155751</v>
      </c>
    </row>
    <row r="14144" spans="2:37">
      <c r="B14144" s="834" t="str">
        <f t="shared" si="521"/>
        <v>|||</v>
      </c>
      <c r="H14144" s="835">
        <f t="shared" si="522"/>
        <v>31</v>
      </c>
      <c r="AF14144" s="831" t="s">
        <v>11419</v>
      </c>
      <c r="AG14144" s="831" t="s">
        <v>2674</v>
      </c>
      <c r="AH14144" s="831" t="s">
        <v>268</v>
      </c>
      <c r="AI14144" s="831">
        <v>0</v>
      </c>
      <c r="AJ14144" s="835">
        <v>41759</v>
      </c>
      <c r="AK14144" s="831">
        <v>11900832</v>
      </c>
    </row>
    <row r="14145" spans="2:37">
      <c r="B14145" s="834" t="str">
        <f t="shared" si="521"/>
        <v>|||</v>
      </c>
      <c r="H14145" s="835">
        <f t="shared" si="522"/>
        <v>31</v>
      </c>
      <c r="AF14145" s="831" t="s">
        <v>11420</v>
      </c>
      <c r="AG14145" s="831" t="s">
        <v>2674</v>
      </c>
      <c r="AH14145" s="831" t="s">
        <v>547</v>
      </c>
      <c r="AI14145" s="831">
        <v>0</v>
      </c>
      <c r="AJ14145" s="835">
        <v>41759</v>
      </c>
      <c r="AK14145" s="831">
        <v>777719977</v>
      </c>
    </row>
    <row r="14146" spans="2:37">
      <c r="B14146" s="834" t="str">
        <f t="shared" si="521"/>
        <v>|||</v>
      </c>
      <c r="H14146" s="835">
        <f t="shared" si="522"/>
        <v>31</v>
      </c>
      <c r="AF14146" s="831" t="s">
        <v>11421</v>
      </c>
      <c r="AG14146" s="831" t="s">
        <v>2674</v>
      </c>
      <c r="AH14146" s="831" t="s">
        <v>548</v>
      </c>
      <c r="AI14146" s="831">
        <v>0</v>
      </c>
      <c r="AJ14146" s="835">
        <v>41759</v>
      </c>
      <c r="AK14146" s="831">
        <v>117105496</v>
      </c>
    </row>
    <row r="14147" spans="2:37">
      <c r="B14147" s="834" t="str">
        <f t="shared" si="521"/>
        <v>|||</v>
      </c>
      <c r="H14147" s="835">
        <f t="shared" si="522"/>
        <v>31</v>
      </c>
      <c r="AF14147" s="831" t="s">
        <v>11422</v>
      </c>
      <c r="AG14147" s="831" t="s">
        <v>2674</v>
      </c>
      <c r="AH14147" s="831" t="s">
        <v>549</v>
      </c>
      <c r="AI14147" s="831">
        <v>0</v>
      </c>
      <c r="AJ14147" s="835">
        <v>41759</v>
      </c>
      <c r="AK14147" s="831">
        <v>479771222</v>
      </c>
    </row>
    <row r="14148" spans="2:37">
      <c r="B14148" s="834" t="str">
        <f t="shared" si="521"/>
        <v>|||</v>
      </c>
      <c r="H14148" s="835">
        <f t="shared" si="522"/>
        <v>31</v>
      </c>
      <c r="AF14148" s="831" t="s">
        <v>11423</v>
      </c>
      <c r="AG14148" s="831" t="s">
        <v>2674</v>
      </c>
      <c r="AH14148" s="831" t="s">
        <v>192</v>
      </c>
      <c r="AI14148" s="831">
        <v>0</v>
      </c>
      <c r="AJ14148" s="835">
        <v>41759</v>
      </c>
      <c r="AK14148" s="831">
        <v>-13335656</v>
      </c>
    </row>
    <row r="14149" spans="2:37">
      <c r="B14149" s="834" t="str">
        <f t="shared" si="521"/>
        <v>|||</v>
      </c>
      <c r="H14149" s="835">
        <f t="shared" si="522"/>
        <v>31</v>
      </c>
      <c r="AF14149" s="831" t="s">
        <v>11424</v>
      </c>
      <c r="AG14149" s="831" t="s">
        <v>2674</v>
      </c>
      <c r="AH14149" s="831" t="s">
        <v>558</v>
      </c>
      <c r="AI14149" s="831">
        <v>0</v>
      </c>
      <c r="AJ14149" s="835">
        <v>41759</v>
      </c>
      <c r="AK14149" s="831">
        <v>711113795</v>
      </c>
    </row>
    <row r="14150" spans="2:37">
      <c r="B14150" s="834" t="str">
        <f t="shared" si="521"/>
        <v>|||</v>
      </c>
      <c r="H14150" s="835">
        <f t="shared" si="522"/>
        <v>31</v>
      </c>
      <c r="AF14150" s="831" t="s">
        <v>11425</v>
      </c>
      <c r="AG14150" s="831" t="s">
        <v>2674</v>
      </c>
      <c r="AH14150" s="831" t="s">
        <v>65</v>
      </c>
      <c r="AI14150" s="831">
        <v>0</v>
      </c>
      <c r="AJ14150" s="835">
        <v>41759</v>
      </c>
      <c r="AK14150" s="831">
        <v>52388499</v>
      </c>
    </row>
    <row r="14151" spans="2:37">
      <c r="B14151" s="834" t="str">
        <f t="shared" si="521"/>
        <v>|||</v>
      </c>
      <c r="H14151" s="835">
        <f t="shared" si="522"/>
        <v>31</v>
      </c>
      <c r="AF14151" s="831" t="s">
        <v>11426</v>
      </c>
      <c r="AG14151" s="831" t="s">
        <v>2674</v>
      </c>
      <c r="AH14151" s="831" t="s">
        <v>89</v>
      </c>
      <c r="AI14151" s="831">
        <v>0</v>
      </c>
      <c r="AJ14151" s="835">
        <v>41759</v>
      </c>
      <c r="AK14151" s="831">
        <v>154230</v>
      </c>
    </row>
    <row r="14152" spans="2:37">
      <c r="B14152" s="834" t="str">
        <f t="shared" si="521"/>
        <v>|||</v>
      </c>
      <c r="H14152" s="835">
        <f t="shared" si="522"/>
        <v>31</v>
      </c>
      <c r="AF14152" s="831" t="s">
        <v>11427</v>
      </c>
      <c r="AG14152" s="831" t="s">
        <v>2674</v>
      </c>
      <c r="AH14152" s="831" t="s">
        <v>557</v>
      </c>
      <c r="AI14152" s="831">
        <v>0</v>
      </c>
      <c r="AJ14152" s="835">
        <v>41759</v>
      </c>
      <c r="AK14152" s="831">
        <v>171119</v>
      </c>
    </row>
    <row r="14153" spans="2:37">
      <c r="B14153" s="834" t="str">
        <f t="shared" si="521"/>
        <v>|||</v>
      </c>
      <c r="H14153" s="835">
        <f t="shared" si="522"/>
        <v>31</v>
      </c>
      <c r="AF14153" s="831" t="s">
        <v>11428</v>
      </c>
      <c r="AG14153" s="831" t="s">
        <v>2674</v>
      </c>
      <c r="AH14153" s="831" t="s">
        <v>29</v>
      </c>
      <c r="AI14153" s="831">
        <v>0</v>
      </c>
      <c r="AJ14153" s="835">
        <v>41759</v>
      </c>
      <c r="AK14153" s="831">
        <v>2260198</v>
      </c>
    </row>
    <row r="14154" spans="2:37">
      <c r="B14154" s="834" t="str">
        <f t="shared" si="521"/>
        <v>|||</v>
      </c>
      <c r="H14154" s="835">
        <f t="shared" si="522"/>
        <v>31</v>
      </c>
      <c r="AF14154" s="831" t="s">
        <v>11429</v>
      </c>
      <c r="AG14154" s="831" t="s">
        <v>2674</v>
      </c>
      <c r="AH14154" s="831" t="s">
        <v>2688</v>
      </c>
      <c r="AI14154" s="831">
        <v>0</v>
      </c>
      <c r="AJ14154" s="835">
        <v>41759</v>
      </c>
      <c r="AK14154" s="831">
        <v>4802589</v>
      </c>
    </row>
    <row r="14155" spans="2:37">
      <c r="B14155" s="834" t="str">
        <f t="shared" si="521"/>
        <v>|||</v>
      </c>
      <c r="H14155" s="835">
        <f t="shared" si="522"/>
        <v>31</v>
      </c>
      <c r="AF14155" s="831" t="s">
        <v>11430</v>
      </c>
      <c r="AG14155" s="831" t="s">
        <v>2674</v>
      </c>
      <c r="AH14155" s="831" t="s">
        <v>556</v>
      </c>
      <c r="AI14155" s="831">
        <v>0</v>
      </c>
      <c r="AJ14155" s="835">
        <v>41759</v>
      </c>
      <c r="AK14155" s="831">
        <v>1644732</v>
      </c>
    </row>
    <row r="14156" spans="2:37">
      <c r="B14156" s="834" t="str">
        <f t="shared" si="521"/>
        <v>|||</v>
      </c>
      <c r="H14156" s="835">
        <f t="shared" si="522"/>
        <v>31</v>
      </c>
      <c r="AF14156" s="831" t="s">
        <v>11431</v>
      </c>
      <c r="AG14156" s="831" t="s">
        <v>2674</v>
      </c>
      <c r="AH14156" s="831" t="s">
        <v>555</v>
      </c>
      <c r="AI14156" s="831">
        <v>0</v>
      </c>
      <c r="AJ14156" s="835">
        <v>41759</v>
      </c>
      <c r="AK14156" s="831">
        <v>465033436</v>
      </c>
    </row>
    <row r="14157" spans="2:37">
      <c r="B14157" s="834" t="str">
        <f t="shared" si="521"/>
        <v>|||</v>
      </c>
      <c r="H14157" s="835">
        <f t="shared" si="522"/>
        <v>31</v>
      </c>
      <c r="AF14157" s="831" t="s">
        <v>11432</v>
      </c>
      <c r="AG14157" s="831" t="s">
        <v>2674</v>
      </c>
      <c r="AH14157" s="831" t="s">
        <v>554</v>
      </c>
      <c r="AI14157" s="831">
        <v>0</v>
      </c>
      <c r="AJ14157" s="835">
        <v>41759</v>
      </c>
      <c r="AK14157" s="831">
        <v>471272450</v>
      </c>
    </row>
    <row r="14158" spans="2:37">
      <c r="B14158" s="834" t="str">
        <f t="shared" si="521"/>
        <v>|||</v>
      </c>
      <c r="H14158" s="835">
        <f t="shared" si="522"/>
        <v>31</v>
      </c>
      <c r="AF14158" s="831" t="s">
        <v>11433</v>
      </c>
      <c r="AG14158" s="831" t="s">
        <v>2674</v>
      </c>
      <c r="AH14158" s="831" t="s">
        <v>553</v>
      </c>
      <c r="AI14158" s="831">
        <v>0</v>
      </c>
      <c r="AJ14158" s="835">
        <v>41759</v>
      </c>
      <c r="AK14158" s="831">
        <v>0</v>
      </c>
    </row>
    <row r="14159" spans="2:37">
      <c r="B14159" s="834" t="str">
        <f t="shared" si="521"/>
        <v>|||</v>
      </c>
      <c r="H14159" s="835">
        <f t="shared" si="522"/>
        <v>31</v>
      </c>
      <c r="AF14159" s="831" t="s">
        <v>11434</v>
      </c>
      <c r="AG14159" s="831" t="s">
        <v>2674</v>
      </c>
      <c r="AH14159" s="831" t="s">
        <v>552</v>
      </c>
      <c r="AI14159" s="831">
        <v>0</v>
      </c>
      <c r="AJ14159" s="835">
        <v>41759</v>
      </c>
      <c r="AK14159" s="831">
        <v>0</v>
      </c>
    </row>
    <row r="14160" spans="2:37">
      <c r="B14160" s="834" t="str">
        <f t="shared" si="521"/>
        <v>|||</v>
      </c>
      <c r="H14160" s="835">
        <f t="shared" si="522"/>
        <v>31</v>
      </c>
      <c r="AF14160" s="831" t="s">
        <v>11435</v>
      </c>
      <c r="AG14160" s="831" t="s">
        <v>2674</v>
      </c>
      <c r="AH14160" s="831" t="s">
        <v>551</v>
      </c>
      <c r="AI14160" s="831">
        <v>0</v>
      </c>
      <c r="AJ14160" s="835">
        <v>41759</v>
      </c>
      <c r="AK14160" s="831">
        <v>2028560</v>
      </c>
    </row>
    <row r="14161" spans="2:37">
      <c r="B14161" s="834" t="str">
        <f t="shared" ref="B14161:B14224" si="523">C14161&amp;"|"&amp;D14161&amp;"|"&amp;E14161&amp;"|"&amp;F14161</f>
        <v>|||</v>
      </c>
      <c r="H14161" s="835">
        <f t="shared" ref="H14161:H14224" si="524">EOMONTH(L14161,0)</f>
        <v>31</v>
      </c>
      <c r="AF14161" s="831" t="s">
        <v>11436</v>
      </c>
      <c r="AG14161" s="831" t="s">
        <v>2674</v>
      </c>
      <c r="AH14161" s="831" t="s">
        <v>550</v>
      </c>
      <c r="AI14161" s="831">
        <v>0</v>
      </c>
      <c r="AJ14161" s="835">
        <v>41759</v>
      </c>
      <c r="AK14161" s="831">
        <v>124206790</v>
      </c>
    </row>
    <row r="14162" spans="2:37">
      <c r="B14162" s="834" t="str">
        <f t="shared" si="523"/>
        <v>|||</v>
      </c>
      <c r="H14162" s="835">
        <f t="shared" si="524"/>
        <v>31</v>
      </c>
      <c r="AF14162" s="831" t="s">
        <v>11437</v>
      </c>
      <c r="AG14162" s="831" t="s">
        <v>2674</v>
      </c>
      <c r="AH14162" s="831" t="s">
        <v>562</v>
      </c>
      <c r="AI14162" s="831">
        <v>0</v>
      </c>
      <c r="AJ14162" s="835">
        <v>41759</v>
      </c>
      <c r="AK14162" s="831">
        <v>0.78374999999999995</v>
      </c>
    </row>
    <row r="14163" spans="2:37">
      <c r="B14163" s="834" t="str">
        <f t="shared" si="523"/>
        <v>|||</v>
      </c>
      <c r="H14163" s="835">
        <f t="shared" si="524"/>
        <v>31</v>
      </c>
      <c r="AF14163" s="831" t="s">
        <v>11438</v>
      </c>
      <c r="AG14163" s="831" t="s">
        <v>2674</v>
      </c>
      <c r="AH14163" s="831" t="s">
        <v>2698</v>
      </c>
      <c r="AI14163" s="831">
        <v>0</v>
      </c>
      <c r="AJ14163" s="835">
        <v>41759</v>
      </c>
      <c r="AK14163" s="831">
        <v>0.78374999999999995</v>
      </c>
    </row>
    <row r="14164" spans="2:37">
      <c r="B14164" s="834" t="str">
        <f t="shared" si="523"/>
        <v>|||</v>
      </c>
      <c r="H14164" s="835">
        <f t="shared" si="524"/>
        <v>31</v>
      </c>
      <c r="AF14164" s="831" t="s">
        <v>11439</v>
      </c>
      <c r="AG14164" s="831" t="s">
        <v>2674</v>
      </c>
      <c r="AH14164" s="831" t="s">
        <v>560</v>
      </c>
      <c r="AI14164" s="831">
        <v>0</v>
      </c>
      <c r="AJ14164" s="835">
        <v>41759</v>
      </c>
      <c r="AK14164" s="831">
        <v>0.78374999999999995</v>
      </c>
    </row>
    <row r="14165" spans="2:37">
      <c r="B14165" s="834" t="str">
        <f t="shared" si="523"/>
        <v>|||</v>
      </c>
      <c r="H14165" s="835">
        <f t="shared" si="524"/>
        <v>31</v>
      </c>
      <c r="AF14165" s="831" t="s">
        <v>11440</v>
      </c>
      <c r="AG14165" s="831" t="s">
        <v>2674</v>
      </c>
      <c r="AH14165" s="831" t="s">
        <v>559</v>
      </c>
      <c r="AI14165" s="831">
        <v>0</v>
      </c>
      <c r="AJ14165" s="835">
        <v>41759</v>
      </c>
      <c r="AK14165" s="831">
        <v>0.78380833333333344</v>
      </c>
    </row>
    <row r="14166" spans="2:37">
      <c r="B14166" s="834" t="str">
        <f t="shared" si="523"/>
        <v>|||</v>
      </c>
      <c r="H14166" s="835">
        <f t="shared" si="524"/>
        <v>31</v>
      </c>
      <c r="AF14166" s="831" t="s">
        <v>11441</v>
      </c>
      <c r="AG14166" s="831" t="s">
        <v>2674</v>
      </c>
      <c r="AH14166" s="831" t="s">
        <v>568</v>
      </c>
      <c r="AI14166" s="831">
        <v>0</v>
      </c>
      <c r="AJ14166" s="835">
        <v>41759</v>
      </c>
      <c r="AK14166" s="831">
        <v>584407506.61153841</v>
      </c>
    </row>
    <row r="14167" spans="2:37">
      <c r="B14167" s="834" t="str">
        <f t="shared" si="523"/>
        <v>|||</v>
      </c>
      <c r="H14167" s="835">
        <f t="shared" si="524"/>
        <v>31</v>
      </c>
      <c r="AF14167" s="831" t="s">
        <v>11442</v>
      </c>
      <c r="AG14167" s="831" t="s">
        <v>2674</v>
      </c>
      <c r="AH14167" s="831" t="s">
        <v>569</v>
      </c>
      <c r="AI14167" s="831">
        <v>0</v>
      </c>
      <c r="AJ14167" s="835">
        <v>41759</v>
      </c>
      <c r="AK14167" s="831">
        <v>716419184.74253845</v>
      </c>
    </row>
    <row r="14168" spans="2:37">
      <c r="B14168" s="834" t="str">
        <f t="shared" si="523"/>
        <v>|||</v>
      </c>
      <c r="H14168" s="835">
        <f t="shared" si="524"/>
        <v>31</v>
      </c>
      <c r="AF14168" s="831" t="s">
        <v>11443</v>
      </c>
      <c r="AG14168" s="831" t="s">
        <v>2674</v>
      </c>
      <c r="AH14168" s="831" t="s">
        <v>570</v>
      </c>
      <c r="AI14168" s="831">
        <v>0</v>
      </c>
      <c r="AJ14168" s="835">
        <v>41759</v>
      </c>
      <c r="AK14168" s="831">
        <v>115811919.75123075</v>
      </c>
    </row>
    <row r="14169" spans="2:37">
      <c r="B14169" s="834" t="str">
        <f t="shared" si="523"/>
        <v>|||</v>
      </c>
      <c r="H14169" s="835">
        <f t="shared" si="524"/>
        <v>31</v>
      </c>
      <c r="AF14169" s="831" t="s">
        <v>11444</v>
      </c>
      <c r="AG14169" s="831" t="s">
        <v>2674</v>
      </c>
      <c r="AH14169" s="831" t="s">
        <v>571</v>
      </c>
      <c r="AI14169" s="831">
        <v>0</v>
      </c>
      <c r="AJ14169" s="835">
        <v>41759</v>
      </c>
      <c r="AK14169" s="831">
        <v>346424029.66715389</v>
      </c>
    </row>
    <row r="14170" spans="2:37">
      <c r="B14170" s="834" t="str">
        <f t="shared" si="523"/>
        <v>|||</v>
      </c>
      <c r="H14170" s="835">
        <f t="shared" si="524"/>
        <v>31</v>
      </c>
      <c r="AF14170" s="831" t="s">
        <v>11445</v>
      </c>
      <c r="AG14170" s="831" t="s">
        <v>2674</v>
      </c>
      <c r="AH14170" s="831" t="s">
        <v>573</v>
      </c>
      <c r="AI14170" s="831">
        <v>0</v>
      </c>
      <c r="AJ14170" s="835">
        <v>41759</v>
      </c>
      <c r="AK14170" s="831">
        <v>806845862.3125999</v>
      </c>
    </row>
    <row r="14171" spans="2:37">
      <c r="B14171" s="834" t="str">
        <f t="shared" si="523"/>
        <v>|||</v>
      </c>
      <c r="H14171" s="835">
        <f t="shared" si="524"/>
        <v>31</v>
      </c>
      <c r="AF14171" s="831" t="s">
        <v>11446</v>
      </c>
      <c r="AG14171" s="831" t="s">
        <v>2674</v>
      </c>
      <c r="AH14171" s="831" t="s">
        <v>574</v>
      </c>
      <c r="AI14171" s="831">
        <v>0</v>
      </c>
      <c r="AJ14171" s="835">
        <v>41759</v>
      </c>
      <c r="AK14171" s="831">
        <v>655215203.79999995</v>
      </c>
    </row>
    <row r="14172" spans="2:37">
      <c r="B14172" s="834" t="str">
        <f t="shared" si="523"/>
        <v>|||</v>
      </c>
      <c r="H14172" s="835">
        <f t="shared" si="524"/>
        <v>31</v>
      </c>
      <c r="AF14172" s="831" t="s">
        <v>11447</v>
      </c>
      <c r="AG14172" s="831" t="s">
        <v>2674</v>
      </c>
      <c r="AH14172" s="831" t="s">
        <v>575</v>
      </c>
      <c r="AI14172" s="831">
        <v>0</v>
      </c>
      <c r="AJ14172" s="835">
        <v>41759</v>
      </c>
      <c r="AK14172" s="831">
        <v>120634686.182</v>
      </c>
    </row>
    <row r="14173" spans="2:37">
      <c r="B14173" s="834" t="str">
        <f t="shared" si="523"/>
        <v>|||</v>
      </c>
      <c r="H14173" s="835">
        <f t="shared" si="524"/>
        <v>31</v>
      </c>
      <c r="AF14173" s="831" t="s">
        <v>11448</v>
      </c>
      <c r="AG14173" s="831" t="s">
        <v>2674</v>
      </c>
      <c r="AH14173" s="831" t="s">
        <v>576</v>
      </c>
      <c r="AI14173" s="831">
        <v>0</v>
      </c>
      <c r="AJ14173" s="835">
        <v>41759</v>
      </c>
      <c r="AK14173" s="831">
        <v>395052602.12220001</v>
      </c>
    </row>
    <row r="14174" spans="2:37">
      <c r="B14174" s="834" t="str">
        <f t="shared" si="523"/>
        <v>|||</v>
      </c>
      <c r="H14174" s="835">
        <f t="shared" si="524"/>
        <v>31</v>
      </c>
      <c r="AF14174" s="831" t="s">
        <v>11449</v>
      </c>
      <c r="AG14174" s="831" t="s">
        <v>2674</v>
      </c>
      <c r="AH14174" s="831" t="s">
        <v>572</v>
      </c>
      <c r="AI14174" s="831">
        <v>0</v>
      </c>
      <c r="AJ14174" s="835">
        <v>41759</v>
      </c>
      <c r="AK14174" s="831">
        <v>30512730.956000008</v>
      </c>
    </row>
    <row r="14175" spans="2:37">
      <c r="B14175" s="834" t="str">
        <f t="shared" si="523"/>
        <v>|||</v>
      </c>
      <c r="H14175" s="835">
        <f t="shared" si="524"/>
        <v>31</v>
      </c>
      <c r="AF14175" s="831" t="s">
        <v>11450</v>
      </c>
      <c r="AG14175" s="831" t="s">
        <v>2674</v>
      </c>
      <c r="AH14175" s="831" t="s">
        <v>577</v>
      </c>
      <c r="AI14175" s="831">
        <v>0</v>
      </c>
      <c r="AJ14175" s="835">
        <v>41759</v>
      </c>
      <c r="AK14175" s="831">
        <v>146415910.76300001</v>
      </c>
    </row>
    <row r="14176" spans="2:37">
      <c r="B14176" s="834" t="str">
        <f t="shared" si="523"/>
        <v>|||</v>
      </c>
      <c r="H14176" s="835">
        <f t="shared" si="524"/>
        <v>31</v>
      </c>
      <c r="AF14176" s="831" t="s">
        <v>11451</v>
      </c>
      <c r="AG14176" s="831" t="s">
        <v>2674</v>
      </c>
      <c r="AH14176" s="831" t="s">
        <v>3042</v>
      </c>
      <c r="AI14176" s="831">
        <v>0</v>
      </c>
      <c r="AJ14176" s="835">
        <v>41759</v>
      </c>
      <c r="AK14176" s="831">
        <v>-40083828.527000003</v>
      </c>
    </row>
    <row r="14177" spans="2:37">
      <c r="B14177" s="834" t="str">
        <f t="shared" si="523"/>
        <v>|||</v>
      </c>
      <c r="H14177" s="835">
        <f t="shared" si="524"/>
        <v>31</v>
      </c>
      <c r="AF14177" s="831" t="s">
        <v>11452</v>
      </c>
      <c r="AG14177" s="831" t="s">
        <v>2674</v>
      </c>
      <c r="AH14177" s="831" t="s">
        <v>3044</v>
      </c>
      <c r="AI14177" s="831">
        <v>0</v>
      </c>
      <c r="AJ14177" s="835">
        <v>41759</v>
      </c>
      <c r="AK14177" s="831">
        <v>-3325177.8899999997</v>
      </c>
    </row>
    <row r="14178" spans="2:37">
      <c r="B14178" s="834" t="str">
        <f t="shared" si="523"/>
        <v>|||</v>
      </c>
      <c r="H14178" s="835">
        <f t="shared" si="524"/>
        <v>31</v>
      </c>
      <c r="AF14178" s="831" t="s">
        <v>11453</v>
      </c>
      <c r="AG14178" s="831" t="s">
        <v>2674</v>
      </c>
      <c r="AH14178" s="831" t="s">
        <v>580</v>
      </c>
      <c r="AI14178" s="831">
        <v>0</v>
      </c>
      <c r="AJ14178" s="835">
        <v>41759</v>
      </c>
      <c r="AK14178" s="831">
        <v>-68772047.306999996</v>
      </c>
    </row>
    <row r="14179" spans="2:37">
      <c r="B14179" s="834" t="str">
        <f t="shared" si="523"/>
        <v>|||</v>
      </c>
      <c r="H14179" s="835">
        <f t="shared" si="524"/>
        <v>31</v>
      </c>
      <c r="AF14179" s="831" t="s">
        <v>11454</v>
      </c>
      <c r="AG14179" s="831" t="s">
        <v>2674</v>
      </c>
      <c r="AH14179" s="831" t="s">
        <v>581</v>
      </c>
      <c r="AI14179" s="831">
        <v>0</v>
      </c>
      <c r="AJ14179" s="835">
        <v>41759</v>
      </c>
      <c r="AK14179" s="831">
        <v>5605173.8940000003</v>
      </c>
    </row>
    <row r="14180" spans="2:37">
      <c r="B14180" s="834" t="str">
        <f t="shared" si="523"/>
        <v>|||</v>
      </c>
      <c r="H14180" s="835">
        <f t="shared" si="524"/>
        <v>31</v>
      </c>
      <c r="AF14180" s="831" t="s">
        <v>11455</v>
      </c>
      <c r="AG14180" s="831" t="s">
        <v>2674</v>
      </c>
      <c r="AH14180" s="831" t="s">
        <v>105</v>
      </c>
      <c r="AI14180" s="831">
        <v>0</v>
      </c>
      <c r="AJ14180" s="835">
        <v>41759</v>
      </c>
      <c r="AK14180" s="831">
        <v>408959601</v>
      </c>
    </row>
    <row r="14181" spans="2:37">
      <c r="B14181" s="834" t="str">
        <f t="shared" si="523"/>
        <v>|||</v>
      </c>
      <c r="H14181" s="835">
        <f t="shared" si="524"/>
        <v>31</v>
      </c>
      <c r="AF14181" s="831" t="s">
        <v>11456</v>
      </c>
      <c r="AG14181" s="831" t="s">
        <v>2674</v>
      </c>
      <c r="AH14181" s="831" t="s">
        <v>3049</v>
      </c>
      <c r="AI14181" s="831">
        <v>0</v>
      </c>
      <c r="AJ14181" s="835">
        <v>41759</v>
      </c>
      <c r="AK14181" s="831">
        <v>692167557</v>
      </c>
    </row>
    <row r="14182" spans="2:37">
      <c r="B14182" s="834" t="str">
        <f t="shared" si="523"/>
        <v>|||</v>
      </c>
      <c r="H14182" s="835">
        <f t="shared" si="524"/>
        <v>31</v>
      </c>
      <c r="AF14182" s="831" t="s">
        <v>11457</v>
      </c>
      <c r="AG14182" s="831" t="s">
        <v>2674</v>
      </c>
      <c r="AH14182" s="831" t="s">
        <v>103</v>
      </c>
      <c r="AI14182" s="831">
        <v>0</v>
      </c>
      <c r="AJ14182" s="835">
        <v>41759</v>
      </c>
      <c r="AK14182" s="831">
        <v>283207956</v>
      </c>
    </row>
    <row r="14183" spans="2:37">
      <c r="B14183" s="834" t="str">
        <f t="shared" si="523"/>
        <v>|||</v>
      </c>
      <c r="H14183" s="835">
        <f t="shared" si="524"/>
        <v>31</v>
      </c>
      <c r="AF14183" s="831" t="s">
        <v>11458</v>
      </c>
      <c r="AG14183" s="831" t="s">
        <v>2674</v>
      </c>
      <c r="AH14183" s="831" t="s">
        <v>182</v>
      </c>
      <c r="AI14183" s="831">
        <v>0</v>
      </c>
      <c r="AJ14183" s="835">
        <v>41759</v>
      </c>
      <c r="AK14183" s="831">
        <v>69513741</v>
      </c>
    </row>
    <row r="14184" spans="2:37">
      <c r="B14184" s="834" t="str">
        <f t="shared" si="523"/>
        <v>|||</v>
      </c>
      <c r="H14184" s="835">
        <f t="shared" si="524"/>
        <v>31</v>
      </c>
      <c r="AF14184" s="831" t="s">
        <v>11459</v>
      </c>
      <c r="AG14184" s="831" t="s">
        <v>2674</v>
      </c>
      <c r="AH14184" s="831" t="s">
        <v>6600</v>
      </c>
      <c r="AI14184" s="831">
        <v>0</v>
      </c>
      <c r="AJ14184" s="835">
        <v>41759</v>
      </c>
      <c r="AK14184" s="831">
        <v>30512730.956000008</v>
      </c>
    </row>
    <row r="14185" spans="2:37">
      <c r="B14185" s="834" t="str">
        <f t="shared" si="523"/>
        <v>|||</v>
      </c>
      <c r="H14185" s="835">
        <f t="shared" si="524"/>
        <v>31</v>
      </c>
      <c r="AF14185" s="831" t="s">
        <v>11460</v>
      </c>
      <c r="AG14185" s="831" t="s">
        <v>2674</v>
      </c>
      <c r="AH14185" s="831" t="s">
        <v>6602</v>
      </c>
      <c r="AI14185" s="831">
        <v>0</v>
      </c>
      <c r="AJ14185" s="835">
        <v>41759</v>
      </c>
      <c r="AK14185" s="831">
        <v>11900832</v>
      </c>
    </row>
    <row r="14186" spans="2:37">
      <c r="B14186" s="834" t="str">
        <f t="shared" si="523"/>
        <v>|||</v>
      </c>
      <c r="H14186" s="835">
        <f t="shared" si="524"/>
        <v>31</v>
      </c>
      <c r="AF14186" s="831" t="s">
        <v>11461</v>
      </c>
      <c r="AG14186" s="831" t="s">
        <v>2674</v>
      </c>
      <c r="AH14186" s="831" t="s">
        <v>650</v>
      </c>
      <c r="AI14186" s="831">
        <v>0</v>
      </c>
      <c r="AJ14186" s="835">
        <v>41759</v>
      </c>
      <c r="AK14186" s="831">
        <v>234971386.50146157</v>
      </c>
    </row>
    <row r="14187" spans="2:37">
      <c r="B14187" s="834" t="str">
        <f t="shared" si="523"/>
        <v>|||</v>
      </c>
      <c r="H14187" s="835">
        <f t="shared" si="524"/>
        <v>31</v>
      </c>
      <c r="AF14187" s="831" t="s">
        <v>11462</v>
      </c>
      <c r="AG14187" s="831" t="s">
        <v>2674</v>
      </c>
      <c r="AH14187" s="831" t="s">
        <v>655</v>
      </c>
      <c r="AI14187" s="831">
        <v>0</v>
      </c>
      <c r="AJ14187" s="835">
        <v>41759</v>
      </c>
      <c r="AK14187" s="831">
        <v>1842214</v>
      </c>
    </row>
    <row r="14188" spans="2:37">
      <c r="B14188" s="834" t="str">
        <f t="shared" si="523"/>
        <v>|||</v>
      </c>
      <c r="H14188" s="835">
        <f t="shared" si="524"/>
        <v>31</v>
      </c>
      <c r="AF14188" s="831" t="s">
        <v>11463</v>
      </c>
      <c r="AG14188" s="831" t="s">
        <v>2674</v>
      </c>
      <c r="AH14188" s="831" t="s">
        <v>546</v>
      </c>
      <c r="AI14188" s="831">
        <v>0</v>
      </c>
      <c r="AJ14188" s="835">
        <v>41790</v>
      </c>
      <c r="AK14188" s="831">
        <v>718268239</v>
      </c>
    </row>
    <row r="14189" spans="2:37">
      <c r="B14189" s="834" t="str">
        <f t="shared" si="523"/>
        <v>|||</v>
      </c>
      <c r="H14189" s="835">
        <f t="shared" si="524"/>
        <v>31</v>
      </c>
      <c r="AF14189" s="831" t="s">
        <v>11464</v>
      </c>
      <c r="AG14189" s="831" t="s">
        <v>2674</v>
      </c>
      <c r="AH14189" s="831" t="s">
        <v>370</v>
      </c>
      <c r="AI14189" s="831">
        <v>0</v>
      </c>
      <c r="AJ14189" s="835">
        <v>41790</v>
      </c>
      <c r="AK14189" s="831">
        <v>862492850</v>
      </c>
    </row>
    <row r="14190" spans="2:37">
      <c r="B14190" s="834" t="str">
        <f t="shared" si="523"/>
        <v>|||</v>
      </c>
      <c r="H14190" s="835">
        <f t="shared" si="524"/>
        <v>31</v>
      </c>
      <c r="AF14190" s="831" t="s">
        <v>11465</v>
      </c>
      <c r="AG14190" s="831" t="s">
        <v>2674</v>
      </c>
      <c r="AH14190" s="831" t="s">
        <v>126</v>
      </c>
      <c r="AI14190" s="831">
        <v>0</v>
      </c>
      <c r="AJ14190" s="835">
        <v>41790</v>
      </c>
      <c r="AK14190" s="831">
        <v>131163748</v>
      </c>
    </row>
    <row r="14191" spans="2:37">
      <c r="B14191" s="834" t="str">
        <f t="shared" si="523"/>
        <v>|||</v>
      </c>
      <c r="H14191" s="835">
        <f t="shared" si="524"/>
        <v>31</v>
      </c>
      <c r="AF14191" s="831" t="s">
        <v>11466</v>
      </c>
      <c r="AG14191" s="831" t="s">
        <v>2674</v>
      </c>
      <c r="AH14191" s="831" t="s">
        <v>268</v>
      </c>
      <c r="AI14191" s="831">
        <v>0</v>
      </c>
      <c r="AJ14191" s="835">
        <v>41790</v>
      </c>
      <c r="AK14191" s="831">
        <v>15708716</v>
      </c>
    </row>
    <row r="14192" spans="2:37">
      <c r="B14192" s="834" t="str">
        <f t="shared" si="523"/>
        <v>|||</v>
      </c>
      <c r="H14192" s="835">
        <f t="shared" si="524"/>
        <v>31</v>
      </c>
      <c r="AF14192" s="831" t="s">
        <v>11467</v>
      </c>
      <c r="AG14192" s="831" t="s">
        <v>2674</v>
      </c>
      <c r="AH14192" s="831" t="s">
        <v>547</v>
      </c>
      <c r="AI14192" s="831">
        <v>0</v>
      </c>
      <c r="AJ14192" s="835">
        <v>41790</v>
      </c>
      <c r="AK14192" s="831">
        <v>777719977</v>
      </c>
    </row>
    <row r="14193" spans="2:37">
      <c r="B14193" s="834" t="str">
        <f t="shared" si="523"/>
        <v>|||</v>
      </c>
      <c r="H14193" s="835">
        <f t="shared" si="524"/>
        <v>31</v>
      </c>
      <c r="AF14193" s="831" t="s">
        <v>11468</v>
      </c>
      <c r="AG14193" s="831" t="s">
        <v>2674</v>
      </c>
      <c r="AH14193" s="831" t="s">
        <v>548</v>
      </c>
      <c r="AI14193" s="831">
        <v>0</v>
      </c>
      <c r="AJ14193" s="835">
        <v>41790</v>
      </c>
      <c r="AK14193" s="831">
        <v>117105496</v>
      </c>
    </row>
    <row r="14194" spans="2:37">
      <c r="B14194" s="834" t="str">
        <f t="shared" si="523"/>
        <v>|||</v>
      </c>
      <c r="H14194" s="835">
        <f t="shared" si="524"/>
        <v>31</v>
      </c>
      <c r="AF14194" s="831" t="s">
        <v>11469</v>
      </c>
      <c r="AG14194" s="831" t="s">
        <v>2674</v>
      </c>
      <c r="AH14194" s="831" t="s">
        <v>549</v>
      </c>
      <c r="AI14194" s="831">
        <v>0</v>
      </c>
      <c r="AJ14194" s="835">
        <v>41790</v>
      </c>
      <c r="AK14194" s="831">
        <v>505264542</v>
      </c>
    </row>
    <row r="14195" spans="2:37">
      <c r="B14195" s="834" t="str">
        <f t="shared" si="523"/>
        <v>|||</v>
      </c>
      <c r="H14195" s="835">
        <f t="shared" si="524"/>
        <v>31</v>
      </c>
      <c r="AF14195" s="831" t="s">
        <v>11470</v>
      </c>
      <c r="AG14195" s="831" t="s">
        <v>2674</v>
      </c>
      <c r="AH14195" s="831" t="s">
        <v>192</v>
      </c>
      <c r="AI14195" s="831">
        <v>0</v>
      </c>
      <c r="AJ14195" s="835">
        <v>41790</v>
      </c>
      <c r="AK14195" s="831">
        <v>-13258185</v>
      </c>
    </row>
    <row r="14196" spans="2:37">
      <c r="B14196" s="834" t="str">
        <f t="shared" si="523"/>
        <v>|||</v>
      </c>
      <c r="H14196" s="835">
        <f t="shared" si="524"/>
        <v>31</v>
      </c>
      <c r="AF14196" s="831" t="s">
        <v>11471</v>
      </c>
      <c r="AG14196" s="831" t="s">
        <v>2674</v>
      </c>
      <c r="AH14196" s="831" t="s">
        <v>558</v>
      </c>
      <c r="AI14196" s="831">
        <v>0</v>
      </c>
      <c r="AJ14196" s="835">
        <v>41790</v>
      </c>
      <c r="AK14196" s="831">
        <v>731329102</v>
      </c>
    </row>
    <row r="14197" spans="2:37">
      <c r="B14197" s="834" t="str">
        <f t="shared" si="523"/>
        <v>|||</v>
      </c>
      <c r="H14197" s="835">
        <f t="shared" si="524"/>
        <v>31</v>
      </c>
      <c r="AF14197" s="831" t="s">
        <v>11472</v>
      </c>
      <c r="AG14197" s="831" t="s">
        <v>2674</v>
      </c>
      <c r="AH14197" s="831" t="s">
        <v>65</v>
      </c>
      <c r="AI14197" s="831">
        <v>0</v>
      </c>
      <c r="AJ14197" s="835">
        <v>41790</v>
      </c>
      <c r="AK14197" s="831">
        <v>66573989</v>
      </c>
    </row>
    <row r="14198" spans="2:37">
      <c r="B14198" s="834" t="str">
        <f t="shared" si="523"/>
        <v>|||</v>
      </c>
      <c r="H14198" s="835">
        <f t="shared" si="524"/>
        <v>31</v>
      </c>
      <c r="AF14198" s="831" t="s">
        <v>11473</v>
      </c>
      <c r="AG14198" s="831" t="s">
        <v>2674</v>
      </c>
      <c r="AH14198" s="831" t="s">
        <v>89</v>
      </c>
      <c r="AI14198" s="831">
        <v>0</v>
      </c>
      <c r="AJ14198" s="835">
        <v>41790</v>
      </c>
      <c r="AK14198" s="831">
        <v>156336</v>
      </c>
    </row>
    <row r="14199" spans="2:37">
      <c r="B14199" s="834" t="str">
        <f t="shared" si="523"/>
        <v>|||</v>
      </c>
      <c r="H14199" s="835">
        <f t="shared" si="524"/>
        <v>31</v>
      </c>
      <c r="AF14199" s="831" t="s">
        <v>11474</v>
      </c>
      <c r="AG14199" s="831" t="s">
        <v>2674</v>
      </c>
      <c r="AH14199" s="831" t="s">
        <v>557</v>
      </c>
      <c r="AI14199" s="831">
        <v>0</v>
      </c>
      <c r="AJ14199" s="835">
        <v>41790</v>
      </c>
      <c r="AK14199" s="831">
        <v>174602</v>
      </c>
    </row>
    <row r="14200" spans="2:37">
      <c r="B14200" s="834" t="str">
        <f t="shared" si="523"/>
        <v>|||</v>
      </c>
      <c r="H14200" s="835">
        <f t="shared" si="524"/>
        <v>31</v>
      </c>
      <c r="AF14200" s="831" t="s">
        <v>11475</v>
      </c>
      <c r="AG14200" s="831" t="s">
        <v>2674</v>
      </c>
      <c r="AH14200" s="831" t="s">
        <v>29</v>
      </c>
      <c r="AI14200" s="831">
        <v>0</v>
      </c>
      <c r="AJ14200" s="835">
        <v>41790</v>
      </c>
      <c r="AK14200" s="831">
        <v>2450103.0319999997</v>
      </c>
    </row>
    <row r="14201" spans="2:37">
      <c r="B14201" s="834" t="str">
        <f t="shared" si="523"/>
        <v>|||</v>
      </c>
      <c r="H14201" s="835">
        <f t="shared" si="524"/>
        <v>31</v>
      </c>
      <c r="AF14201" s="831" t="s">
        <v>11476</v>
      </c>
      <c r="AG14201" s="831" t="s">
        <v>2674</v>
      </c>
      <c r="AH14201" s="831" t="s">
        <v>2688</v>
      </c>
      <c r="AI14201" s="831">
        <v>0</v>
      </c>
      <c r="AJ14201" s="835">
        <v>41790</v>
      </c>
      <c r="AK14201" s="831">
        <v>4770534.2300000004</v>
      </c>
    </row>
    <row r="14202" spans="2:37">
      <c r="B14202" s="834" t="str">
        <f t="shared" si="523"/>
        <v>|||</v>
      </c>
      <c r="H14202" s="835">
        <f t="shared" si="524"/>
        <v>31</v>
      </c>
      <c r="AF14202" s="831" t="s">
        <v>11477</v>
      </c>
      <c r="AG14202" s="831" t="s">
        <v>2674</v>
      </c>
      <c r="AH14202" s="831" t="s">
        <v>556</v>
      </c>
      <c r="AI14202" s="831">
        <v>0</v>
      </c>
      <c r="AJ14202" s="835">
        <v>41790</v>
      </c>
      <c r="AK14202" s="831">
        <v>1644732</v>
      </c>
    </row>
    <row r="14203" spans="2:37">
      <c r="B14203" s="834" t="str">
        <f t="shared" si="523"/>
        <v>|||</v>
      </c>
      <c r="H14203" s="835">
        <f t="shared" si="524"/>
        <v>31</v>
      </c>
      <c r="AF14203" s="831" t="s">
        <v>11478</v>
      </c>
      <c r="AG14203" s="831" t="s">
        <v>2674</v>
      </c>
      <c r="AH14203" s="831" t="s">
        <v>555</v>
      </c>
      <c r="AI14203" s="831">
        <v>0</v>
      </c>
      <c r="AJ14203" s="835">
        <v>41790</v>
      </c>
      <c r="AK14203" s="831">
        <v>468159807</v>
      </c>
    </row>
    <row r="14204" spans="2:37">
      <c r="B14204" s="834" t="str">
        <f t="shared" si="523"/>
        <v>|||</v>
      </c>
      <c r="H14204" s="835">
        <f t="shared" si="524"/>
        <v>31</v>
      </c>
      <c r="AF14204" s="831" t="s">
        <v>11479</v>
      </c>
      <c r="AG14204" s="831" t="s">
        <v>2674</v>
      </c>
      <c r="AH14204" s="831" t="s">
        <v>554</v>
      </c>
      <c r="AI14204" s="831">
        <v>0</v>
      </c>
      <c r="AJ14204" s="835">
        <v>41790</v>
      </c>
      <c r="AK14204" s="831">
        <v>476165900</v>
      </c>
    </row>
    <row r="14205" spans="2:37">
      <c r="B14205" s="834" t="str">
        <f t="shared" si="523"/>
        <v>|||</v>
      </c>
      <c r="H14205" s="835">
        <f t="shared" si="524"/>
        <v>31</v>
      </c>
      <c r="AF14205" s="831" t="s">
        <v>11480</v>
      </c>
      <c r="AG14205" s="831" t="s">
        <v>2674</v>
      </c>
      <c r="AH14205" s="831" t="s">
        <v>553</v>
      </c>
      <c r="AI14205" s="831">
        <v>0</v>
      </c>
      <c r="AJ14205" s="835">
        <v>41790</v>
      </c>
      <c r="AK14205" s="831">
        <v>0</v>
      </c>
    </row>
    <row r="14206" spans="2:37">
      <c r="B14206" s="834" t="str">
        <f t="shared" si="523"/>
        <v>|||</v>
      </c>
      <c r="H14206" s="835">
        <f t="shared" si="524"/>
        <v>31</v>
      </c>
      <c r="AF14206" s="831" t="s">
        <v>11481</v>
      </c>
      <c r="AG14206" s="831" t="s">
        <v>2674</v>
      </c>
      <c r="AH14206" s="831" t="s">
        <v>552</v>
      </c>
      <c r="AI14206" s="831">
        <v>0</v>
      </c>
      <c r="AJ14206" s="835">
        <v>41790</v>
      </c>
      <c r="AK14206" s="831">
        <v>0</v>
      </c>
    </row>
    <row r="14207" spans="2:37">
      <c r="B14207" s="834" t="str">
        <f t="shared" si="523"/>
        <v>|||</v>
      </c>
      <c r="H14207" s="835">
        <f t="shared" si="524"/>
        <v>31</v>
      </c>
      <c r="AF14207" s="831" t="s">
        <v>11482</v>
      </c>
      <c r="AG14207" s="831" t="s">
        <v>2674</v>
      </c>
      <c r="AH14207" s="831" t="s">
        <v>551</v>
      </c>
      <c r="AI14207" s="831">
        <v>0</v>
      </c>
      <c r="AJ14207" s="835">
        <v>41790</v>
      </c>
      <c r="AK14207" s="831">
        <v>2150143.8450000002</v>
      </c>
    </row>
    <row r="14208" spans="2:37">
      <c r="B14208" s="834" t="str">
        <f t="shared" si="523"/>
        <v>|||</v>
      </c>
      <c r="H14208" s="835">
        <f t="shared" si="524"/>
        <v>31</v>
      </c>
      <c r="AF14208" s="831" t="s">
        <v>11483</v>
      </c>
      <c r="AG14208" s="831" t="s">
        <v>2674</v>
      </c>
      <c r="AH14208" s="831" t="s">
        <v>550</v>
      </c>
      <c r="AI14208" s="831">
        <v>0</v>
      </c>
      <c r="AJ14208" s="835">
        <v>41790</v>
      </c>
      <c r="AK14208" s="831">
        <v>127155751</v>
      </c>
    </row>
    <row r="14209" spans="2:37">
      <c r="B14209" s="834" t="str">
        <f t="shared" si="523"/>
        <v>|||</v>
      </c>
      <c r="H14209" s="835">
        <f t="shared" si="524"/>
        <v>31</v>
      </c>
      <c r="AF14209" s="831" t="s">
        <v>11484</v>
      </c>
      <c r="AG14209" s="831" t="s">
        <v>2674</v>
      </c>
      <c r="AH14209" s="831" t="s">
        <v>562</v>
      </c>
      <c r="AI14209" s="831">
        <v>0</v>
      </c>
      <c r="AJ14209" s="835">
        <v>41790</v>
      </c>
      <c r="AK14209" s="831">
        <v>0.78385000000000005</v>
      </c>
    </row>
    <row r="14210" spans="2:37">
      <c r="B14210" s="834" t="str">
        <f t="shared" si="523"/>
        <v>|||</v>
      </c>
      <c r="H14210" s="835">
        <f t="shared" si="524"/>
        <v>31</v>
      </c>
      <c r="AF14210" s="831" t="s">
        <v>11485</v>
      </c>
      <c r="AG14210" s="831" t="s">
        <v>2674</v>
      </c>
      <c r="AH14210" s="831" t="s">
        <v>2698</v>
      </c>
      <c r="AI14210" s="831">
        <v>0</v>
      </c>
      <c r="AJ14210" s="835">
        <v>41790</v>
      </c>
      <c r="AK14210" s="831">
        <v>0.78374999999999995</v>
      </c>
    </row>
    <row r="14211" spans="2:37">
      <c r="B14211" s="834" t="str">
        <f t="shared" si="523"/>
        <v>|||</v>
      </c>
      <c r="H14211" s="835">
        <f t="shared" si="524"/>
        <v>31</v>
      </c>
      <c r="AF14211" s="831" t="s">
        <v>11486</v>
      </c>
      <c r="AG14211" s="831" t="s">
        <v>2674</v>
      </c>
      <c r="AH14211" s="831" t="s">
        <v>560</v>
      </c>
      <c r="AI14211" s="831">
        <v>0</v>
      </c>
      <c r="AJ14211" s="835">
        <v>41790</v>
      </c>
      <c r="AK14211" s="831">
        <v>0.78376999999999997</v>
      </c>
    </row>
    <row r="14212" spans="2:37">
      <c r="B14212" s="834" t="str">
        <f t="shared" si="523"/>
        <v>|||</v>
      </c>
      <c r="H14212" s="835">
        <f t="shared" si="524"/>
        <v>31</v>
      </c>
      <c r="AF14212" s="831" t="s">
        <v>11487</v>
      </c>
      <c r="AG14212" s="831" t="s">
        <v>2674</v>
      </c>
      <c r="AH14212" s="831" t="s">
        <v>559</v>
      </c>
      <c r="AI14212" s="831">
        <v>0</v>
      </c>
      <c r="AJ14212" s="835">
        <v>41790</v>
      </c>
      <c r="AK14212" s="831">
        <v>0.78379166666666666</v>
      </c>
    </row>
    <row r="14213" spans="2:37">
      <c r="B14213" s="834" t="str">
        <f t="shared" si="523"/>
        <v>|||</v>
      </c>
      <c r="H14213" s="835">
        <f t="shared" si="524"/>
        <v>31</v>
      </c>
      <c r="AF14213" s="831" t="s">
        <v>11488</v>
      </c>
      <c r="AG14213" s="831" t="s">
        <v>2674</v>
      </c>
      <c r="AH14213" s="831" t="s">
        <v>568</v>
      </c>
      <c r="AI14213" s="831">
        <v>0</v>
      </c>
      <c r="AJ14213" s="835">
        <v>41790</v>
      </c>
      <c r="AK14213" s="831">
        <v>602753430.99615383</v>
      </c>
    </row>
    <row r="14214" spans="2:37">
      <c r="B14214" s="834" t="str">
        <f t="shared" si="523"/>
        <v>|||</v>
      </c>
      <c r="H14214" s="835">
        <f t="shared" si="524"/>
        <v>31</v>
      </c>
      <c r="AF14214" s="831" t="s">
        <v>11489</v>
      </c>
      <c r="AG14214" s="831" t="s">
        <v>2674</v>
      </c>
      <c r="AH14214" s="831" t="s">
        <v>569</v>
      </c>
      <c r="AI14214" s="831">
        <v>0</v>
      </c>
      <c r="AJ14214" s="835">
        <v>41790</v>
      </c>
      <c r="AK14214" s="831">
        <v>739200989.8963846</v>
      </c>
    </row>
    <row r="14215" spans="2:37">
      <c r="B14215" s="834" t="str">
        <f t="shared" si="523"/>
        <v>|||</v>
      </c>
      <c r="H14215" s="835">
        <f t="shared" si="524"/>
        <v>31</v>
      </c>
      <c r="AF14215" s="831" t="s">
        <v>11490</v>
      </c>
      <c r="AG14215" s="831" t="s">
        <v>2674</v>
      </c>
      <c r="AH14215" s="831" t="s">
        <v>570</v>
      </c>
      <c r="AI14215" s="831">
        <v>0</v>
      </c>
      <c r="AJ14215" s="835">
        <v>41790</v>
      </c>
      <c r="AK14215" s="831">
        <v>117953141.44353844</v>
      </c>
    </row>
    <row r="14216" spans="2:37">
      <c r="B14216" s="834" t="str">
        <f t="shared" si="523"/>
        <v>|||</v>
      </c>
      <c r="H14216" s="835">
        <f t="shared" si="524"/>
        <v>31</v>
      </c>
      <c r="AF14216" s="831" t="s">
        <v>11491</v>
      </c>
      <c r="AG14216" s="831" t="s">
        <v>2674</v>
      </c>
      <c r="AH14216" s="831" t="s">
        <v>571</v>
      </c>
      <c r="AI14216" s="831">
        <v>0</v>
      </c>
      <c r="AJ14216" s="835">
        <v>41790</v>
      </c>
      <c r="AK14216" s="831">
        <v>358988619.82100004</v>
      </c>
    </row>
    <row r="14217" spans="2:37">
      <c r="B14217" s="834" t="str">
        <f t="shared" si="523"/>
        <v>|||</v>
      </c>
      <c r="H14217" s="835">
        <f t="shared" si="524"/>
        <v>31</v>
      </c>
      <c r="AF14217" s="831" t="s">
        <v>11492</v>
      </c>
      <c r="AG14217" s="831" t="s">
        <v>2674</v>
      </c>
      <c r="AH14217" s="831" t="s">
        <v>573</v>
      </c>
      <c r="AI14217" s="831">
        <v>0</v>
      </c>
      <c r="AJ14217" s="835">
        <v>41790</v>
      </c>
      <c r="AK14217" s="831">
        <v>816120360.26049995</v>
      </c>
    </row>
    <row r="14218" spans="2:37">
      <c r="B14218" s="834" t="str">
        <f t="shared" si="523"/>
        <v>|||</v>
      </c>
      <c r="H14218" s="835">
        <f t="shared" si="524"/>
        <v>31</v>
      </c>
      <c r="AF14218" s="831" t="s">
        <v>11493</v>
      </c>
      <c r="AG14218" s="831" t="s">
        <v>2674</v>
      </c>
      <c r="AH14218" s="831" t="s">
        <v>574</v>
      </c>
      <c r="AI14218" s="831">
        <v>0</v>
      </c>
      <c r="AJ14218" s="835">
        <v>41790</v>
      </c>
      <c r="AK14218" s="831">
        <v>665724043</v>
      </c>
    </row>
    <row r="14219" spans="2:37">
      <c r="B14219" s="834" t="str">
        <f t="shared" si="523"/>
        <v>|||</v>
      </c>
      <c r="H14219" s="835">
        <f t="shared" si="524"/>
        <v>31</v>
      </c>
      <c r="AF14219" s="831" t="s">
        <v>11494</v>
      </c>
      <c r="AG14219" s="831" t="s">
        <v>2674</v>
      </c>
      <c r="AH14219" s="831" t="s">
        <v>575</v>
      </c>
      <c r="AI14219" s="831">
        <v>0</v>
      </c>
      <c r="AJ14219" s="835">
        <v>41790</v>
      </c>
      <c r="AK14219" s="831">
        <v>122389529.81833333</v>
      </c>
    </row>
    <row r="14220" spans="2:37">
      <c r="B14220" s="834" t="str">
        <f t="shared" si="523"/>
        <v>|||</v>
      </c>
      <c r="H14220" s="835">
        <f t="shared" si="524"/>
        <v>31</v>
      </c>
      <c r="AF14220" s="831" t="s">
        <v>11495</v>
      </c>
      <c r="AG14220" s="831" t="s">
        <v>2674</v>
      </c>
      <c r="AH14220" s="831" t="s">
        <v>576</v>
      </c>
      <c r="AI14220" s="831">
        <v>0</v>
      </c>
      <c r="AJ14220" s="835">
        <v>41790</v>
      </c>
      <c r="AK14220" s="831">
        <v>399225453.60183334</v>
      </c>
    </row>
    <row r="14221" spans="2:37">
      <c r="B14221" s="834" t="str">
        <f t="shared" si="523"/>
        <v>|||</v>
      </c>
      <c r="H14221" s="835">
        <f t="shared" si="524"/>
        <v>31</v>
      </c>
      <c r="AF14221" s="831" t="s">
        <v>11496</v>
      </c>
      <c r="AG14221" s="831" t="s">
        <v>2674</v>
      </c>
      <c r="AH14221" s="831" t="s">
        <v>572</v>
      </c>
      <c r="AI14221" s="831">
        <v>0</v>
      </c>
      <c r="AJ14221" s="835">
        <v>41790</v>
      </c>
      <c r="AK14221" s="831">
        <v>31997124.956000008</v>
      </c>
    </row>
    <row r="14222" spans="2:37">
      <c r="B14222" s="834" t="str">
        <f t="shared" si="523"/>
        <v>|||</v>
      </c>
      <c r="H14222" s="835">
        <f t="shared" si="524"/>
        <v>31</v>
      </c>
      <c r="AF14222" s="831" t="s">
        <v>11497</v>
      </c>
      <c r="AG14222" s="831" t="s">
        <v>2674</v>
      </c>
      <c r="AH14222" s="831" t="s">
        <v>577</v>
      </c>
      <c r="AI14222" s="831">
        <v>0</v>
      </c>
      <c r="AJ14222" s="835">
        <v>41790</v>
      </c>
      <c r="AK14222" s="831">
        <v>149793646.76300001</v>
      </c>
    </row>
    <row r="14223" spans="2:37">
      <c r="B14223" s="834" t="str">
        <f t="shared" si="523"/>
        <v>|||</v>
      </c>
      <c r="H14223" s="835">
        <f t="shared" si="524"/>
        <v>31</v>
      </c>
      <c r="AF14223" s="831" t="s">
        <v>11498</v>
      </c>
      <c r="AG14223" s="831" t="s">
        <v>2674</v>
      </c>
      <c r="AH14223" s="831" t="s">
        <v>3042</v>
      </c>
      <c r="AI14223" s="831">
        <v>0</v>
      </c>
      <c r="AJ14223" s="835">
        <v>41790</v>
      </c>
      <c r="AK14223" s="831">
        <v>-41488938.527000003</v>
      </c>
    </row>
    <row r="14224" spans="2:37">
      <c r="B14224" s="834" t="str">
        <f t="shared" si="523"/>
        <v>|||</v>
      </c>
      <c r="H14224" s="835">
        <f t="shared" si="524"/>
        <v>31</v>
      </c>
      <c r="AF14224" s="831" t="s">
        <v>11499</v>
      </c>
      <c r="AG14224" s="831" t="s">
        <v>2674</v>
      </c>
      <c r="AH14224" s="831" t="s">
        <v>3044</v>
      </c>
      <c r="AI14224" s="831">
        <v>0</v>
      </c>
      <c r="AJ14224" s="835">
        <v>41790</v>
      </c>
      <c r="AK14224" s="831">
        <v>-2734199.8899999997</v>
      </c>
    </row>
    <row r="14225" spans="2:37">
      <c r="B14225" s="834" t="str">
        <f t="shared" ref="B14225:B14288" si="525">C14225&amp;"|"&amp;D14225&amp;"|"&amp;E14225&amp;"|"&amp;F14225</f>
        <v>|||</v>
      </c>
      <c r="H14225" s="835">
        <f t="shared" ref="H14225:H14288" si="526">EOMONTH(L14225,0)</f>
        <v>31</v>
      </c>
      <c r="AF14225" s="831" t="s">
        <v>11500</v>
      </c>
      <c r="AG14225" s="831" t="s">
        <v>2674</v>
      </c>
      <c r="AH14225" s="831" t="s">
        <v>580</v>
      </c>
      <c r="AI14225" s="831">
        <v>0</v>
      </c>
      <c r="AJ14225" s="835">
        <v>41790</v>
      </c>
      <c r="AK14225" s="831">
        <v>-69707657.306999996</v>
      </c>
    </row>
    <row r="14226" spans="2:37">
      <c r="B14226" s="834" t="str">
        <f t="shared" si="525"/>
        <v>|||</v>
      </c>
      <c r="H14226" s="835">
        <f t="shared" si="526"/>
        <v>31</v>
      </c>
      <c r="AF14226" s="831" t="s">
        <v>11501</v>
      </c>
      <c r="AG14226" s="831" t="s">
        <v>2674</v>
      </c>
      <c r="AH14226" s="831" t="s">
        <v>581</v>
      </c>
      <c r="AI14226" s="831">
        <v>0</v>
      </c>
      <c r="AJ14226" s="835">
        <v>41790</v>
      </c>
      <c r="AK14226" s="831">
        <v>5958727.8940000003</v>
      </c>
    </row>
    <row r="14227" spans="2:37">
      <c r="B14227" s="834" t="str">
        <f t="shared" si="525"/>
        <v>|||</v>
      </c>
      <c r="H14227" s="835">
        <f t="shared" si="526"/>
        <v>31</v>
      </c>
      <c r="AF14227" s="831" t="s">
        <v>11502</v>
      </c>
      <c r="AG14227" s="831" t="s">
        <v>2674</v>
      </c>
      <c r="AH14227" s="831" t="s">
        <v>105</v>
      </c>
      <c r="AI14227" s="831">
        <v>0</v>
      </c>
      <c r="AJ14227" s="835">
        <v>41790</v>
      </c>
      <c r="AK14227" s="831">
        <v>420089711</v>
      </c>
    </row>
    <row r="14228" spans="2:37">
      <c r="B14228" s="834" t="str">
        <f t="shared" si="525"/>
        <v>|||</v>
      </c>
      <c r="H14228" s="835">
        <f t="shared" si="526"/>
        <v>31</v>
      </c>
      <c r="AF14228" s="831" t="s">
        <v>11503</v>
      </c>
      <c r="AG14228" s="831" t="s">
        <v>2674</v>
      </c>
      <c r="AH14228" s="831" t="s">
        <v>3049</v>
      </c>
      <c r="AI14228" s="831">
        <v>0</v>
      </c>
      <c r="AJ14228" s="835">
        <v>41790</v>
      </c>
      <c r="AK14228" s="831">
        <v>709561626</v>
      </c>
    </row>
    <row r="14229" spans="2:37">
      <c r="B14229" s="834" t="str">
        <f t="shared" si="525"/>
        <v>|||</v>
      </c>
      <c r="H14229" s="835">
        <f t="shared" si="526"/>
        <v>31</v>
      </c>
      <c r="AF14229" s="831" t="s">
        <v>11504</v>
      </c>
      <c r="AG14229" s="831" t="s">
        <v>2674</v>
      </c>
      <c r="AH14229" s="831" t="s">
        <v>103</v>
      </c>
      <c r="AI14229" s="831">
        <v>0</v>
      </c>
      <c r="AJ14229" s="835">
        <v>41790</v>
      </c>
      <c r="AK14229" s="831">
        <v>289471915</v>
      </c>
    </row>
    <row r="14230" spans="2:37">
      <c r="B14230" s="834" t="str">
        <f t="shared" si="525"/>
        <v>|||</v>
      </c>
      <c r="H14230" s="835">
        <f t="shared" si="526"/>
        <v>31</v>
      </c>
      <c r="AF14230" s="831" t="s">
        <v>11505</v>
      </c>
      <c r="AG14230" s="831" t="s">
        <v>2674</v>
      </c>
      <c r="AH14230" s="831" t="s">
        <v>182</v>
      </c>
      <c r="AI14230" s="831">
        <v>0</v>
      </c>
      <c r="AJ14230" s="835">
        <v>41790</v>
      </c>
      <c r="AK14230" s="831">
        <v>69984388.799999997</v>
      </c>
    </row>
    <row r="14231" spans="2:37">
      <c r="B14231" s="834" t="str">
        <f t="shared" si="525"/>
        <v>|||</v>
      </c>
      <c r="H14231" s="835">
        <f t="shared" si="526"/>
        <v>31</v>
      </c>
      <c r="AF14231" s="831" t="s">
        <v>11506</v>
      </c>
      <c r="AG14231" s="831" t="s">
        <v>2674</v>
      </c>
      <c r="AH14231" s="831" t="s">
        <v>6600</v>
      </c>
      <c r="AI14231" s="831">
        <v>0</v>
      </c>
      <c r="AJ14231" s="835">
        <v>41790</v>
      </c>
      <c r="AK14231" s="831">
        <v>31997124.956000008</v>
      </c>
    </row>
    <row r="14232" spans="2:37">
      <c r="B14232" s="834" t="str">
        <f t="shared" si="525"/>
        <v>|||</v>
      </c>
      <c r="H14232" s="835">
        <f t="shared" si="526"/>
        <v>31</v>
      </c>
      <c r="AF14232" s="831" t="s">
        <v>11507</v>
      </c>
      <c r="AG14232" s="831" t="s">
        <v>2674</v>
      </c>
      <c r="AH14232" s="831" t="s">
        <v>6602</v>
      </c>
      <c r="AI14232" s="831">
        <v>0</v>
      </c>
      <c r="AJ14232" s="835">
        <v>41790</v>
      </c>
      <c r="AK14232" s="831">
        <v>15708716</v>
      </c>
    </row>
    <row r="14233" spans="2:37">
      <c r="B14233" s="834" t="str">
        <f t="shared" si="525"/>
        <v>|||</v>
      </c>
      <c r="H14233" s="835">
        <f t="shared" si="526"/>
        <v>31</v>
      </c>
      <c r="AF14233" s="831" t="s">
        <v>11508</v>
      </c>
      <c r="AG14233" s="831" t="s">
        <v>2674</v>
      </c>
      <c r="AH14233" s="831" t="s">
        <v>650</v>
      </c>
      <c r="AI14233" s="831">
        <v>0</v>
      </c>
      <c r="AJ14233" s="835">
        <v>41790</v>
      </c>
      <c r="AK14233" s="831">
        <v>242496217.73223078</v>
      </c>
    </row>
    <row r="14234" spans="2:37">
      <c r="B14234" s="834" t="str">
        <f t="shared" si="525"/>
        <v>|||</v>
      </c>
      <c r="H14234" s="835">
        <f t="shared" si="526"/>
        <v>31</v>
      </c>
      <c r="AF14234" s="831" t="s">
        <v>11509</v>
      </c>
      <c r="AG14234" s="831" t="s">
        <v>2674</v>
      </c>
      <c r="AH14234" s="831" t="s">
        <v>655</v>
      </c>
      <c r="AI14234" s="831">
        <v>0</v>
      </c>
      <c r="AJ14234" s="835">
        <v>41790</v>
      </c>
      <c r="AK14234" s="831">
        <v>1936751.44</v>
      </c>
    </row>
    <row r="14235" spans="2:37">
      <c r="B14235" s="834" t="str">
        <f t="shared" si="525"/>
        <v>|||</v>
      </c>
      <c r="H14235" s="835">
        <f t="shared" si="526"/>
        <v>31</v>
      </c>
      <c r="AF14235" s="831" t="s">
        <v>11510</v>
      </c>
      <c r="AG14235" s="831" t="s">
        <v>2674</v>
      </c>
      <c r="AH14235" s="831" t="s">
        <v>546</v>
      </c>
      <c r="AI14235" s="831">
        <v>0</v>
      </c>
      <c r="AJ14235" s="835">
        <v>41820</v>
      </c>
      <c r="AK14235" s="831">
        <v>728057591</v>
      </c>
    </row>
    <row r="14236" spans="2:37">
      <c r="B14236" s="834" t="str">
        <f t="shared" si="525"/>
        <v>|||</v>
      </c>
      <c r="H14236" s="835">
        <f t="shared" si="526"/>
        <v>31</v>
      </c>
      <c r="AF14236" s="831" t="s">
        <v>11511</v>
      </c>
      <c r="AG14236" s="831" t="s">
        <v>2674</v>
      </c>
      <c r="AH14236" s="831" t="s">
        <v>370</v>
      </c>
      <c r="AI14236" s="831">
        <v>0</v>
      </c>
      <c r="AJ14236" s="835">
        <v>41820</v>
      </c>
      <c r="AK14236" s="831">
        <v>911200946</v>
      </c>
    </row>
    <row r="14237" spans="2:37">
      <c r="B14237" s="834" t="str">
        <f t="shared" si="525"/>
        <v>|||</v>
      </c>
      <c r="H14237" s="835">
        <f t="shared" si="526"/>
        <v>31</v>
      </c>
      <c r="AF14237" s="831" t="s">
        <v>11512</v>
      </c>
      <c r="AG14237" s="831" t="s">
        <v>2674</v>
      </c>
      <c r="AH14237" s="831" t="s">
        <v>126</v>
      </c>
      <c r="AI14237" s="831">
        <v>0</v>
      </c>
      <c r="AJ14237" s="835">
        <v>41820</v>
      </c>
      <c r="AK14237" s="831">
        <v>135362821</v>
      </c>
    </row>
    <row r="14238" spans="2:37">
      <c r="B14238" s="834" t="str">
        <f t="shared" si="525"/>
        <v>|||</v>
      </c>
      <c r="H14238" s="835">
        <f t="shared" si="526"/>
        <v>31</v>
      </c>
      <c r="AF14238" s="831" t="s">
        <v>11513</v>
      </c>
      <c r="AG14238" s="831" t="s">
        <v>2674</v>
      </c>
      <c r="AH14238" s="831" t="s">
        <v>268</v>
      </c>
      <c r="AI14238" s="831">
        <v>0</v>
      </c>
      <c r="AJ14238" s="835">
        <v>41820</v>
      </c>
      <c r="AK14238" s="831">
        <v>18626919</v>
      </c>
    </row>
    <row r="14239" spans="2:37">
      <c r="B14239" s="834" t="str">
        <f t="shared" si="525"/>
        <v>|||</v>
      </c>
      <c r="H14239" s="835">
        <f t="shared" si="526"/>
        <v>31</v>
      </c>
      <c r="AF14239" s="831" t="s">
        <v>11514</v>
      </c>
      <c r="AG14239" s="831" t="s">
        <v>2674</v>
      </c>
      <c r="AH14239" s="831" t="s">
        <v>547</v>
      </c>
      <c r="AI14239" s="831">
        <v>0</v>
      </c>
      <c r="AJ14239" s="835">
        <v>41820</v>
      </c>
      <c r="AK14239" s="831">
        <v>777719977</v>
      </c>
    </row>
    <row r="14240" spans="2:37">
      <c r="B14240" s="834" t="str">
        <f t="shared" si="525"/>
        <v>|||</v>
      </c>
      <c r="H14240" s="835">
        <f t="shared" si="526"/>
        <v>31</v>
      </c>
      <c r="AF14240" s="831" t="s">
        <v>11515</v>
      </c>
      <c r="AG14240" s="831" t="s">
        <v>2674</v>
      </c>
      <c r="AH14240" s="831" t="s">
        <v>548</v>
      </c>
      <c r="AI14240" s="831">
        <v>0</v>
      </c>
      <c r="AJ14240" s="835">
        <v>41820</v>
      </c>
      <c r="AK14240" s="831">
        <v>117105496</v>
      </c>
    </row>
    <row r="14241" spans="2:37">
      <c r="B14241" s="834" t="str">
        <f t="shared" si="525"/>
        <v>|||</v>
      </c>
      <c r="H14241" s="835">
        <f t="shared" si="526"/>
        <v>31</v>
      </c>
      <c r="AF14241" s="831" t="s">
        <v>11516</v>
      </c>
      <c r="AG14241" s="831" t="s">
        <v>2674</v>
      </c>
      <c r="AH14241" s="831" t="s">
        <v>549</v>
      </c>
      <c r="AI14241" s="831">
        <v>0</v>
      </c>
      <c r="AJ14241" s="835">
        <v>41820</v>
      </c>
      <c r="AK14241" s="831">
        <v>514798833</v>
      </c>
    </row>
    <row r="14242" spans="2:37">
      <c r="B14242" s="834" t="str">
        <f t="shared" si="525"/>
        <v>|||</v>
      </c>
      <c r="H14242" s="835">
        <f t="shared" si="526"/>
        <v>31</v>
      </c>
      <c r="AF14242" s="831" t="s">
        <v>11517</v>
      </c>
      <c r="AG14242" s="831" t="s">
        <v>2674</v>
      </c>
      <c r="AH14242" s="831" t="s">
        <v>192</v>
      </c>
      <c r="AI14242" s="831">
        <v>0</v>
      </c>
      <c r="AJ14242" s="835">
        <v>41820</v>
      </c>
      <c r="AK14242" s="831">
        <v>-11632261</v>
      </c>
    </row>
    <row r="14243" spans="2:37">
      <c r="B14243" s="834" t="str">
        <f t="shared" si="525"/>
        <v>|||</v>
      </c>
      <c r="H14243" s="835">
        <f t="shared" si="526"/>
        <v>31</v>
      </c>
      <c r="AF14243" s="831" t="s">
        <v>11518</v>
      </c>
      <c r="AG14243" s="831" t="s">
        <v>2674</v>
      </c>
      <c r="AH14243" s="831" t="s">
        <v>558</v>
      </c>
      <c r="AI14243" s="831">
        <v>0</v>
      </c>
      <c r="AJ14243" s="835">
        <v>41820</v>
      </c>
      <c r="AK14243" s="831">
        <v>775838125</v>
      </c>
    </row>
    <row r="14244" spans="2:37">
      <c r="B14244" s="834" t="str">
        <f t="shared" si="525"/>
        <v>|||</v>
      </c>
      <c r="H14244" s="835">
        <f t="shared" si="526"/>
        <v>31</v>
      </c>
      <c r="AF14244" s="831" t="s">
        <v>11519</v>
      </c>
      <c r="AG14244" s="831" t="s">
        <v>2674</v>
      </c>
      <c r="AH14244" s="831" t="s">
        <v>65</v>
      </c>
      <c r="AI14244" s="831">
        <v>0</v>
      </c>
      <c r="AJ14244" s="835">
        <v>41820</v>
      </c>
      <c r="AK14244" s="831">
        <v>81270371</v>
      </c>
    </row>
    <row r="14245" spans="2:37">
      <c r="B14245" s="834" t="str">
        <f t="shared" si="525"/>
        <v>|||</v>
      </c>
      <c r="H14245" s="835">
        <f t="shared" si="526"/>
        <v>31</v>
      </c>
      <c r="AF14245" s="831" t="s">
        <v>11520</v>
      </c>
      <c r="AG14245" s="831" t="s">
        <v>2674</v>
      </c>
      <c r="AH14245" s="831" t="s">
        <v>89</v>
      </c>
      <c r="AI14245" s="831">
        <v>0</v>
      </c>
      <c r="AJ14245" s="835">
        <v>41820</v>
      </c>
      <c r="AK14245" s="831">
        <v>156581</v>
      </c>
    </row>
    <row r="14246" spans="2:37">
      <c r="B14246" s="834" t="str">
        <f t="shared" si="525"/>
        <v>|||</v>
      </c>
      <c r="H14246" s="835">
        <f t="shared" si="526"/>
        <v>31</v>
      </c>
      <c r="AF14246" s="831" t="s">
        <v>11521</v>
      </c>
      <c r="AG14246" s="831" t="s">
        <v>2674</v>
      </c>
      <c r="AH14246" s="831" t="s">
        <v>557</v>
      </c>
      <c r="AI14246" s="831">
        <v>0</v>
      </c>
      <c r="AJ14246" s="835">
        <v>41820</v>
      </c>
      <c r="AK14246" s="831">
        <v>175816</v>
      </c>
    </row>
    <row r="14247" spans="2:37">
      <c r="B14247" s="834" t="str">
        <f t="shared" si="525"/>
        <v>|||</v>
      </c>
      <c r="H14247" s="835">
        <f t="shared" si="526"/>
        <v>31</v>
      </c>
      <c r="AF14247" s="831" t="s">
        <v>11522</v>
      </c>
      <c r="AG14247" s="831" t="s">
        <v>2674</v>
      </c>
      <c r="AH14247" s="831" t="s">
        <v>29</v>
      </c>
      <c r="AI14247" s="831">
        <v>0</v>
      </c>
      <c r="AJ14247" s="835">
        <v>41820</v>
      </c>
      <c r="AK14247" s="831">
        <v>1326248.81</v>
      </c>
    </row>
    <row r="14248" spans="2:37">
      <c r="B14248" s="834" t="str">
        <f t="shared" si="525"/>
        <v>|||</v>
      </c>
      <c r="H14248" s="835">
        <f t="shared" si="526"/>
        <v>31</v>
      </c>
      <c r="AF14248" s="831" t="s">
        <v>11523</v>
      </c>
      <c r="AG14248" s="831" t="s">
        <v>2674</v>
      </c>
      <c r="AH14248" s="831" t="s">
        <v>2688</v>
      </c>
      <c r="AI14248" s="831">
        <v>0</v>
      </c>
      <c r="AJ14248" s="835">
        <v>41820</v>
      </c>
      <c r="AK14248" s="831">
        <v>4329800.9399999995</v>
      </c>
    </row>
    <row r="14249" spans="2:37">
      <c r="B14249" s="834" t="str">
        <f t="shared" si="525"/>
        <v>|||</v>
      </c>
      <c r="H14249" s="835">
        <f t="shared" si="526"/>
        <v>31</v>
      </c>
      <c r="AF14249" s="831" t="s">
        <v>11524</v>
      </c>
      <c r="AG14249" s="831" t="s">
        <v>2674</v>
      </c>
      <c r="AH14249" s="831" t="s">
        <v>556</v>
      </c>
      <c r="AI14249" s="831">
        <v>0</v>
      </c>
      <c r="AJ14249" s="835">
        <v>41820</v>
      </c>
      <c r="AK14249" s="831">
        <v>3274918</v>
      </c>
    </row>
    <row r="14250" spans="2:37">
      <c r="B14250" s="834" t="str">
        <f t="shared" si="525"/>
        <v>|||</v>
      </c>
      <c r="H14250" s="835">
        <f t="shared" si="526"/>
        <v>31</v>
      </c>
      <c r="AF14250" s="831" t="s">
        <v>11525</v>
      </c>
      <c r="AG14250" s="831" t="s">
        <v>2674</v>
      </c>
      <c r="AH14250" s="831" t="s">
        <v>555</v>
      </c>
      <c r="AI14250" s="831">
        <v>0</v>
      </c>
      <c r="AJ14250" s="835">
        <v>41820</v>
      </c>
      <c r="AK14250" s="831">
        <v>507133542</v>
      </c>
    </row>
    <row r="14251" spans="2:37">
      <c r="B14251" s="834" t="str">
        <f t="shared" si="525"/>
        <v>|||</v>
      </c>
      <c r="H14251" s="835">
        <f t="shared" si="526"/>
        <v>31</v>
      </c>
      <c r="AF14251" s="831" t="s">
        <v>11526</v>
      </c>
      <c r="AG14251" s="831" t="s">
        <v>2674</v>
      </c>
      <c r="AH14251" s="831" t="s">
        <v>554</v>
      </c>
      <c r="AI14251" s="831">
        <v>0</v>
      </c>
      <c r="AJ14251" s="835">
        <v>41820</v>
      </c>
      <c r="AK14251" s="831">
        <v>519019570</v>
      </c>
    </row>
    <row r="14252" spans="2:37">
      <c r="B14252" s="834" t="str">
        <f t="shared" si="525"/>
        <v>|||</v>
      </c>
      <c r="H14252" s="835">
        <f t="shared" si="526"/>
        <v>31</v>
      </c>
      <c r="AF14252" s="831" t="s">
        <v>11527</v>
      </c>
      <c r="AG14252" s="831" t="s">
        <v>2674</v>
      </c>
      <c r="AH14252" s="831" t="s">
        <v>553</v>
      </c>
      <c r="AI14252" s="831">
        <v>0</v>
      </c>
      <c r="AJ14252" s="835">
        <v>41820</v>
      </c>
      <c r="AK14252" s="831">
        <v>0</v>
      </c>
    </row>
    <row r="14253" spans="2:37">
      <c r="B14253" s="834" t="str">
        <f t="shared" si="525"/>
        <v>|||</v>
      </c>
      <c r="H14253" s="835">
        <f t="shared" si="526"/>
        <v>31</v>
      </c>
      <c r="AF14253" s="831" t="s">
        <v>11528</v>
      </c>
      <c r="AG14253" s="831" t="s">
        <v>2674</v>
      </c>
      <c r="AH14253" s="831" t="s">
        <v>552</v>
      </c>
      <c r="AI14253" s="831">
        <v>0</v>
      </c>
      <c r="AJ14253" s="835">
        <v>41820</v>
      </c>
      <c r="AK14253" s="831">
        <v>0</v>
      </c>
    </row>
    <row r="14254" spans="2:37">
      <c r="B14254" s="834" t="str">
        <f t="shared" si="525"/>
        <v>|||</v>
      </c>
      <c r="H14254" s="835">
        <f t="shared" si="526"/>
        <v>31</v>
      </c>
      <c r="AF14254" s="831" t="s">
        <v>11529</v>
      </c>
      <c r="AG14254" s="831" t="s">
        <v>2674</v>
      </c>
      <c r="AH14254" s="831" t="s">
        <v>551</v>
      </c>
      <c r="AI14254" s="831">
        <v>0</v>
      </c>
      <c r="AJ14254" s="835">
        <v>41820</v>
      </c>
      <c r="AK14254" s="831">
        <v>950588.81</v>
      </c>
    </row>
    <row r="14255" spans="2:37">
      <c r="B14255" s="834" t="str">
        <f t="shared" si="525"/>
        <v>|||</v>
      </c>
      <c r="H14255" s="835">
        <f t="shared" si="526"/>
        <v>31</v>
      </c>
      <c r="AF14255" s="831" t="s">
        <v>11530</v>
      </c>
      <c r="AG14255" s="831" t="s">
        <v>2674</v>
      </c>
      <c r="AH14255" s="831" t="s">
        <v>550</v>
      </c>
      <c r="AI14255" s="831">
        <v>0</v>
      </c>
      <c r="AJ14255" s="835">
        <v>41820</v>
      </c>
      <c r="AK14255" s="831">
        <v>131163748</v>
      </c>
    </row>
    <row r="14256" spans="2:37">
      <c r="B14256" s="834" t="str">
        <f t="shared" si="525"/>
        <v>|||</v>
      </c>
      <c r="H14256" s="835">
        <f t="shared" si="526"/>
        <v>31</v>
      </c>
      <c r="AF14256" s="831" t="s">
        <v>11531</v>
      </c>
      <c r="AG14256" s="831" t="s">
        <v>2674</v>
      </c>
      <c r="AH14256" s="831" t="s">
        <v>562</v>
      </c>
      <c r="AI14256" s="831">
        <v>0</v>
      </c>
      <c r="AJ14256" s="835">
        <v>41820</v>
      </c>
      <c r="AK14256" s="831">
        <v>0.78374999999999995</v>
      </c>
    </row>
    <row r="14257" spans="2:37">
      <c r="B14257" s="834" t="str">
        <f t="shared" si="525"/>
        <v>|||</v>
      </c>
      <c r="H14257" s="835">
        <f t="shared" si="526"/>
        <v>31</v>
      </c>
      <c r="AF14257" s="831" t="s">
        <v>11532</v>
      </c>
      <c r="AG14257" s="831" t="s">
        <v>2674</v>
      </c>
      <c r="AH14257" s="831" t="s">
        <v>2698</v>
      </c>
      <c r="AI14257" s="831">
        <v>0</v>
      </c>
      <c r="AJ14257" s="835">
        <v>41820</v>
      </c>
      <c r="AK14257" s="831">
        <v>0.78385000000000005</v>
      </c>
    </row>
    <row r="14258" spans="2:37">
      <c r="B14258" s="834" t="str">
        <f t="shared" si="525"/>
        <v>|||</v>
      </c>
      <c r="H14258" s="835">
        <f t="shared" si="526"/>
        <v>31</v>
      </c>
      <c r="AF14258" s="831" t="s">
        <v>11533</v>
      </c>
      <c r="AG14258" s="831" t="s">
        <v>2674</v>
      </c>
      <c r="AH14258" s="831" t="s">
        <v>560</v>
      </c>
      <c r="AI14258" s="831">
        <v>0</v>
      </c>
      <c r="AJ14258" s="835">
        <v>41820</v>
      </c>
      <c r="AK14258" s="831">
        <v>0.78376666666666672</v>
      </c>
    </row>
    <row r="14259" spans="2:37">
      <c r="B14259" s="834" t="str">
        <f t="shared" si="525"/>
        <v>|||</v>
      </c>
      <c r="H14259" s="835">
        <f t="shared" si="526"/>
        <v>31</v>
      </c>
      <c r="AF14259" s="831" t="s">
        <v>11534</v>
      </c>
      <c r="AG14259" s="831" t="s">
        <v>2674</v>
      </c>
      <c r="AH14259" s="831" t="s">
        <v>559</v>
      </c>
      <c r="AI14259" s="831">
        <v>0</v>
      </c>
      <c r="AJ14259" s="835">
        <v>41820</v>
      </c>
      <c r="AK14259" s="831">
        <v>0.783775</v>
      </c>
    </row>
    <row r="14260" spans="2:37">
      <c r="B14260" s="834" t="str">
        <f t="shared" si="525"/>
        <v>|||</v>
      </c>
      <c r="H14260" s="835">
        <f t="shared" si="526"/>
        <v>31</v>
      </c>
      <c r="AF14260" s="831" t="s">
        <v>11535</v>
      </c>
      <c r="AG14260" s="831" t="s">
        <v>2674</v>
      </c>
      <c r="AH14260" s="831" t="s">
        <v>568</v>
      </c>
      <c r="AI14260" s="831">
        <v>0</v>
      </c>
      <c r="AJ14260" s="835">
        <v>41820</v>
      </c>
      <c r="AK14260" s="831">
        <v>619891357.84230769</v>
      </c>
    </row>
    <row r="14261" spans="2:37">
      <c r="B14261" s="834" t="str">
        <f t="shared" si="525"/>
        <v>|||</v>
      </c>
      <c r="H14261" s="835">
        <f t="shared" si="526"/>
        <v>31</v>
      </c>
      <c r="AF14261" s="831" t="s">
        <v>11536</v>
      </c>
      <c r="AG14261" s="831" t="s">
        <v>2674</v>
      </c>
      <c r="AH14261" s="831" t="s">
        <v>569</v>
      </c>
      <c r="AI14261" s="831">
        <v>0</v>
      </c>
      <c r="AJ14261" s="835">
        <v>41820</v>
      </c>
      <c r="AK14261" s="831">
        <v>763501602.97330773</v>
      </c>
    </row>
    <row r="14262" spans="2:37">
      <c r="B14262" s="834" t="str">
        <f t="shared" si="525"/>
        <v>|||</v>
      </c>
      <c r="H14262" s="835">
        <f t="shared" si="526"/>
        <v>31</v>
      </c>
      <c r="AF14262" s="831" t="s">
        <v>11537</v>
      </c>
      <c r="AG14262" s="831" t="s">
        <v>2674</v>
      </c>
      <c r="AH14262" s="831" t="s">
        <v>570</v>
      </c>
      <c r="AI14262" s="831">
        <v>0</v>
      </c>
      <c r="AJ14262" s="835">
        <v>41820</v>
      </c>
      <c r="AK14262" s="831">
        <v>120238638.75123075</v>
      </c>
    </row>
    <row r="14263" spans="2:37">
      <c r="B14263" s="834" t="str">
        <f t="shared" si="525"/>
        <v>|||</v>
      </c>
      <c r="H14263" s="835">
        <f t="shared" si="526"/>
        <v>31</v>
      </c>
      <c r="AF14263" s="831" t="s">
        <v>11538</v>
      </c>
      <c r="AG14263" s="831" t="s">
        <v>2674</v>
      </c>
      <c r="AH14263" s="831" t="s">
        <v>571</v>
      </c>
      <c r="AI14263" s="831">
        <v>0</v>
      </c>
      <c r="AJ14263" s="835">
        <v>41820</v>
      </c>
      <c r="AK14263" s="831">
        <v>372900260.97484618</v>
      </c>
    </row>
    <row r="14264" spans="2:37">
      <c r="B14264" s="834" t="str">
        <f t="shared" si="525"/>
        <v>|||</v>
      </c>
      <c r="H14264" s="835">
        <f t="shared" si="526"/>
        <v>31</v>
      </c>
      <c r="AF14264" s="831" t="s">
        <v>11539</v>
      </c>
      <c r="AG14264" s="831" t="s">
        <v>2674</v>
      </c>
      <c r="AH14264" s="831" t="s">
        <v>573</v>
      </c>
      <c r="AI14264" s="831">
        <v>0</v>
      </c>
      <c r="AJ14264" s="835">
        <v>41820</v>
      </c>
      <c r="AK14264" s="831">
        <v>829703301.08042848</v>
      </c>
    </row>
    <row r="14265" spans="2:37">
      <c r="B14265" s="834" t="str">
        <f t="shared" si="525"/>
        <v>|||</v>
      </c>
      <c r="H14265" s="835">
        <f t="shared" si="526"/>
        <v>31</v>
      </c>
      <c r="AF14265" s="831" t="s">
        <v>11540</v>
      </c>
      <c r="AG14265" s="831" t="s">
        <v>2674</v>
      </c>
      <c r="AH14265" s="831" t="s">
        <v>574</v>
      </c>
      <c r="AI14265" s="831">
        <v>0</v>
      </c>
      <c r="AJ14265" s="835">
        <v>41820</v>
      </c>
      <c r="AK14265" s="831">
        <v>674628835.57142854</v>
      </c>
    </row>
    <row r="14266" spans="2:37">
      <c r="B14266" s="834" t="str">
        <f t="shared" si="525"/>
        <v>|||</v>
      </c>
      <c r="H14266" s="835">
        <f t="shared" si="526"/>
        <v>31</v>
      </c>
      <c r="AF14266" s="831" t="s">
        <v>11541</v>
      </c>
      <c r="AG14266" s="831" t="s">
        <v>2674</v>
      </c>
      <c r="AH14266" s="831" t="s">
        <v>575</v>
      </c>
      <c r="AI14266" s="831">
        <v>0</v>
      </c>
      <c r="AJ14266" s="835">
        <v>41820</v>
      </c>
      <c r="AK14266" s="831">
        <v>124242857.13</v>
      </c>
    </row>
    <row r="14267" spans="2:37">
      <c r="B14267" s="834" t="str">
        <f t="shared" si="525"/>
        <v>|||</v>
      </c>
      <c r="H14267" s="835">
        <f t="shared" si="526"/>
        <v>31</v>
      </c>
      <c r="AF14267" s="831" t="s">
        <v>11542</v>
      </c>
      <c r="AG14267" s="831" t="s">
        <v>2674</v>
      </c>
      <c r="AH14267" s="831" t="s">
        <v>576</v>
      </c>
      <c r="AI14267" s="831">
        <v>0</v>
      </c>
      <c r="AJ14267" s="835">
        <v>41820</v>
      </c>
      <c r="AK14267" s="831">
        <v>407269836.23014289</v>
      </c>
    </row>
    <row r="14268" spans="2:37">
      <c r="B14268" s="834" t="str">
        <f t="shared" si="525"/>
        <v>|||</v>
      </c>
      <c r="H14268" s="835">
        <f t="shared" si="526"/>
        <v>31</v>
      </c>
      <c r="AF14268" s="831" t="s">
        <v>11543</v>
      </c>
      <c r="AG14268" s="831" t="s">
        <v>2674</v>
      </c>
      <c r="AH14268" s="831" t="s">
        <v>572</v>
      </c>
      <c r="AI14268" s="831">
        <v>0</v>
      </c>
      <c r="AJ14268" s="835">
        <v>41820</v>
      </c>
      <c r="AK14268" s="831">
        <v>32506327.956000008</v>
      </c>
    </row>
    <row r="14269" spans="2:37">
      <c r="B14269" s="834" t="str">
        <f t="shared" si="525"/>
        <v>|||</v>
      </c>
      <c r="H14269" s="835">
        <f t="shared" si="526"/>
        <v>31</v>
      </c>
      <c r="AF14269" s="831" t="s">
        <v>11544</v>
      </c>
      <c r="AG14269" s="831" t="s">
        <v>2674</v>
      </c>
      <c r="AH14269" s="831" t="s">
        <v>577</v>
      </c>
      <c r="AI14269" s="831">
        <v>0</v>
      </c>
      <c r="AJ14269" s="835">
        <v>41820</v>
      </c>
      <c r="AK14269" s="831">
        <v>153933560.76300001</v>
      </c>
    </row>
    <row r="14270" spans="2:37">
      <c r="B14270" s="834" t="str">
        <f t="shared" si="525"/>
        <v>|||</v>
      </c>
      <c r="H14270" s="835">
        <f t="shared" si="526"/>
        <v>31</v>
      </c>
      <c r="AF14270" s="831" t="s">
        <v>11545</v>
      </c>
      <c r="AG14270" s="831" t="s">
        <v>2674</v>
      </c>
      <c r="AH14270" s="831" t="s">
        <v>3042</v>
      </c>
      <c r="AI14270" s="831">
        <v>0</v>
      </c>
      <c r="AJ14270" s="835">
        <v>41820</v>
      </c>
      <c r="AK14270" s="831">
        <v>-43087678.527000003</v>
      </c>
    </row>
    <row r="14271" spans="2:37">
      <c r="B14271" s="834" t="str">
        <f t="shared" si="525"/>
        <v>|||</v>
      </c>
      <c r="H14271" s="835">
        <f t="shared" si="526"/>
        <v>31</v>
      </c>
      <c r="AF14271" s="831" t="s">
        <v>11546</v>
      </c>
      <c r="AG14271" s="831" t="s">
        <v>2674</v>
      </c>
      <c r="AH14271" s="831" t="s">
        <v>3044</v>
      </c>
      <c r="AI14271" s="831">
        <v>0</v>
      </c>
      <c r="AJ14271" s="835">
        <v>41820</v>
      </c>
      <c r="AK14271" s="831">
        <v>-2538336.8899999997</v>
      </c>
    </row>
    <row r="14272" spans="2:37">
      <c r="B14272" s="834" t="str">
        <f t="shared" si="525"/>
        <v>|||</v>
      </c>
      <c r="H14272" s="835">
        <f t="shared" si="526"/>
        <v>31</v>
      </c>
      <c r="AF14272" s="831" t="s">
        <v>11547</v>
      </c>
      <c r="AG14272" s="831" t="s">
        <v>2674</v>
      </c>
      <c r="AH14272" s="831" t="s">
        <v>580</v>
      </c>
      <c r="AI14272" s="831">
        <v>0</v>
      </c>
      <c r="AJ14272" s="835">
        <v>41820</v>
      </c>
      <c r="AK14272" s="831">
        <v>-71232950.306999996</v>
      </c>
    </row>
    <row r="14273" spans="2:37">
      <c r="B14273" s="834" t="str">
        <f t="shared" si="525"/>
        <v>|||</v>
      </c>
      <c r="H14273" s="835">
        <f t="shared" si="526"/>
        <v>31</v>
      </c>
      <c r="AF14273" s="831" t="s">
        <v>11548</v>
      </c>
      <c r="AG14273" s="831" t="s">
        <v>2674</v>
      </c>
      <c r="AH14273" s="831" t="s">
        <v>581</v>
      </c>
      <c r="AI14273" s="831">
        <v>0</v>
      </c>
      <c r="AJ14273" s="835">
        <v>41820</v>
      </c>
      <c r="AK14273" s="831">
        <v>5389272.8940000003</v>
      </c>
    </row>
    <row r="14274" spans="2:37">
      <c r="B14274" s="834" t="str">
        <f t="shared" si="525"/>
        <v>|||</v>
      </c>
      <c r="H14274" s="835">
        <f t="shared" si="526"/>
        <v>31</v>
      </c>
      <c r="AF14274" s="831" t="s">
        <v>11549</v>
      </c>
      <c r="AG14274" s="831" t="s">
        <v>2674</v>
      </c>
      <c r="AH14274" s="831" t="s">
        <v>105</v>
      </c>
      <c r="AI14274" s="831">
        <v>0</v>
      </c>
      <c r="AJ14274" s="835">
        <v>41820</v>
      </c>
      <c r="AK14274" s="831">
        <v>455536132</v>
      </c>
    </row>
    <row r="14275" spans="2:37">
      <c r="B14275" s="834" t="str">
        <f t="shared" si="525"/>
        <v>|||</v>
      </c>
      <c r="H14275" s="835">
        <f t="shared" si="526"/>
        <v>31</v>
      </c>
      <c r="AF14275" s="831" t="s">
        <v>11550</v>
      </c>
      <c r="AG14275" s="831" t="s">
        <v>2674</v>
      </c>
      <c r="AH14275" s="831" t="s">
        <v>3049</v>
      </c>
      <c r="AI14275" s="831">
        <v>0</v>
      </c>
      <c r="AJ14275" s="835">
        <v>41820</v>
      </c>
      <c r="AK14275" s="831">
        <v>754458364</v>
      </c>
    </row>
    <row r="14276" spans="2:37">
      <c r="B14276" s="834" t="str">
        <f t="shared" si="525"/>
        <v>|||</v>
      </c>
      <c r="H14276" s="835">
        <f t="shared" si="526"/>
        <v>31</v>
      </c>
      <c r="AF14276" s="831" t="s">
        <v>11551</v>
      </c>
      <c r="AG14276" s="831" t="s">
        <v>2674</v>
      </c>
      <c r="AH14276" s="831" t="s">
        <v>103</v>
      </c>
      <c r="AI14276" s="831">
        <v>0</v>
      </c>
      <c r="AJ14276" s="835">
        <v>41820</v>
      </c>
      <c r="AK14276" s="831">
        <v>298922232</v>
      </c>
    </row>
    <row r="14277" spans="2:37">
      <c r="B14277" s="834" t="str">
        <f t="shared" si="525"/>
        <v>|||</v>
      </c>
      <c r="H14277" s="835">
        <f t="shared" si="526"/>
        <v>31</v>
      </c>
      <c r="AF14277" s="831" t="s">
        <v>11552</v>
      </c>
      <c r="AG14277" s="831" t="s">
        <v>2674</v>
      </c>
      <c r="AH14277" s="831" t="s">
        <v>182</v>
      </c>
      <c r="AI14277" s="831">
        <v>0</v>
      </c>
      <c r="AJ14277" s="835">
        <v>41820</v>
      </c>
      <c r="AK14277" s="831">
        <v>71693060</v>
      </c>
    </row>
    <row r="14278" spans="2:37">
      <c r="B14278" s="834" t="str">
        <f t="shared" si="525"/>
        <v>|||</v>
      </c>
      <c r="H14278" s="835">
        <f t="shared" si="526"/>
        <v>31</v>
      </c>
      <c r="AF14278" s="831" t="s">
        <v>11553</v>
      </c>
      <c r="AG14278" s="831" t="s">
        <v>2674</v>
      </c>
      <c r="AH14278" s="831" t="s">
        <v>6600</v>
      </c>
      <c r="AI14278" s="831">
        <v>0</v>
      </c>
      <c r="AJ14278" s="835">
        <v>41820</v>
      </c>
      <c r="AK14278" s="831">
        <v>32506327.956000008</v>
      </c>
    </row>
    <row r="14279" spans="2:37">
      <c r="B14279" s="834" t="str">
        <f t="shared" si="525"/>
        <v>|||</v>
      </c>
      <c r="H14279" s="835">
        <f t="shared" si="526"/>
        <v>31</v>
      </c>
      <c r="AF14279" s="831" t="s">
        <v>11554</v>
      </c>
      <c r="AG14279" s="831" t="s">
        <v>2674</v>
      </c>
      <c r="AH14279" s="831" t="s">
        <v>6602</v>
      </c>
      <c r="AI14279" s="831">
        <v>0</v>
      </c>
      <c r="AJ14279" s="835">
        <v>41820</v>
      </c>
      <c r="AK14279" s="831">
        <v>18626919</v>
      </c>
    </row>
    <row r="14280" spans="2:37">
      <c r="B14280" s="834" t="str">
        <f t="shared" si="525"/>
        <v>|||</v>
      </c>
      <c r="H14280" s="835">
        <f t="shared" si="526"/>
        <v>31</v>
      </c>
      <c r="AF14280" s="831" t="s">
        <v>11555</v>
      </c>
      <c r="AG14280" s="831" t="s">
        <v>2674</v>
      </c>
      <c r="AH14280" s="831" t="s">
        <v>650</v>
      </c>
      <c r="AI14280" s="831">
        <v>0</v>
      </c>
      <c r="AJ14280" s="835">
        <v>41820</v>
      </c>
      <c r="AK14280" s="831">
        <v>250141744.03992307</v>
      </c>
    </row>
    <row r="14281" spans="2:37">
      <c r="B14281" s="834" t="str">
        <f t="shared" si="525"/>
        <v>|||</v>
      </c>
      <c r="H14281" s="835">
        <f t="shared" si="526"/>
        <v>31</v>
      </c>
      <c r="AF14281" s="831" t="s">
        <v>11556</v>
      </c>
      <c r="AG14281" s="831" t="s">
        <v>2674</v>
      </c>
      <c r="AH14281" s="831" t="s">
        <v>655</v>
      </c>
      <c r="AI14281" s="831">
        <v>0</v>
      </c>
      <c r="AJ14281" s="835">
        <v>41820</v>
      </c>
      <c r="AK14281" s="831">
        <v>739333.81</v>
      </c>
    </row>
    <row r="14282" spans="2:37">
      <c r="B14282" s="834" t="str">
        <f t="shared" si="525"/>
        <v>|||</v>
      </c>
      <c r="H14282" s="835">
        <f t="shared" si="526"/>
        <v>31</v>
      </c>
      <c r="AF14282" s="831" t="s">
        <v>11557</v>
      </c>
      <c r="AG14282" s="831" t="s">
        <v>2674</v>
      </c>
      <c r="AH14282" s="831" t="s">
        <v>546</v>
      </c>
      <c r="AI14282" s="831">
        <v>0</v>
      </c>
      <c r="AJ14282" s="835">
        <v>41851</v>
      </c>
      <c r="AK14282" s="831">
        <v>739176022</v>
      </c>
    </row>
    <row r="14283" spans="2:37">
      <c r="B14283" s="834" t="str">
        <f t="shared" si="525"/>
        <v>|||</v>
      </c>
      <c r="H14283" s="835">
        <f t="shared" si="526"/>
        <v>31</v>
      </c>
      <c r="AF14283" s="831" t="s">
        <v>11558</v>
      </c>
      <c r="AG14283" s="831" t="s">
        <v>2674</v>
      </c>
      <c r="AH14283" s="831" t="s">
        <v>370</v>
      </c>
      <c r="AI14283" s="831">
        <v>0</v>
      </c>
      <c r="AJ14283" s="835">
        <v>41851</v>
      </c>
      <c r="AK14283" s="831">
        <v>937279545</v>
      </c>
    </row>
    <row r="14284" spans="2:37">
      <c r="B14284" s="834" t="str">
        <f t="shared" si="525"/>
        <v>|||</v>
      </c>
      <c r="H14284" s="835">
        <f t="shared" si="526"/>
        <v>31</v>
      </c>
      <c r="AF14284" s="831" t="s">
        <v>11559</v>
      </c>
      <c r="AG14284" s="831" t="s">
        <v>2674</v>
      </c>
      <c r="AH14284" s="831" t="s">
        <v>126</v>
      </c>
      <c r="AI14284" s="831">
        <v>0</v>
      </c>
      <c r="AJ14284" s="835">
        <v>41851</v>
      </c>
      <c r="AK14284" s="831">
        <v>138005087</v>
      </c>
    </row>
    <row r="14285" spans="2:37">
      <c r="B14285" s="834" t="str">
        <f t="shared" si="525"/>
        <v>|||</v>
      </c>
      <c r="H14285" s="835">
        <f t="shared" si="526"/>
        <v>31</v>
      </c>
      <c r="AF14285" s="831" t="s">
        <v>11560</v>
      </c>
      <c r="AG14285" s="831" t="s">
        <v>2674</v>
      </c>
      <c r="AH14285" s="831" t="s">
        <v>268</v>
      </c>
      <c r="AI14285" s="831">
        <v>0</v>
      </c>
      <c r="AJ14285" s="835">
        <v>41851</v>
      </c>
      <c r="AK14285" s="831">
        <v>22009267</v>
      </c>
    </row>
    <row r="14286" spans="2:37">
      <c r="B14286" s="834" t="str">
        <f t="shared" si="525"/>
        <v>|||</v>
      </c>
      <c r="H14286" s="835">
        <f t="shared" si="526"/>
        <v>31</v>
      </c>
      <c r="AF14286" s="831" t="s">
        <v>11561</v>
      </c>
      <c r="AG14286" s="831" t="s">
        <v>2674</v>
      </c>
      <c r="AH14286" s="831" t="s">
        <v>547</v>
      </c>
      <c r="AI14286" s="831">
        <v>0</v>
      </c>
      <c r="AJ14286" s="835">
        <v>41851</v>
      </c>
      <c r="AK14286" s="831">
        <v>777719977</v>
      </c>
    </row>
    <row r="14287" spans="2:37">
      <c r="B14287" s="834" t="str">
        <f t="shared" si="525"/>
        <v>|||</v>
      </c>
      <c r="H14287" s="835">
        <f t="shared" si="526"/>
        <v>31</v>
      </c>
      <c r="AF14287" s="831" t="s">
        <v>11562</v>
      </c>
      <c r="AG14287" s="831" t="s">
        <v>2674</v>
      </c>
      <c r="AH14287" s="831" t="s">
        <v>548</v>
      </c>
      <c r="AI14287" s="831">
        <v>0</v>
      </c>
      <c r="AJ14287" s="835">
        <v>41851</v>
      </c>
      <c r="AK14287" s="831">
        <v>117105496</v>
      </c>
    </row>
    <row r="14288" spans="2:37">
      <c r="B14288" s="834" t="str">
        <f t="shared" si="525"/>
        <v>|||</v>
      </c>
      <c r="H14288" s="835">
        <f t="shared" si="526"/>
        <v>31</v>
      </c>
      <c r="AF14288" s="831" t="s">
        <v>11563</v>
      </c>
      <c r="AG14288" s="831" t="s">
        <v>2674</v>
      </c>
      <c r="AH14288" s="831" t="s">
        <v>549</v>
      </c>
      <c r="AI14288" s="831">
        <v>0</v>
      </c>
      <c r="AJ14288" s="835">
        <v>41851</v>
      </c>
      <c r="AK14288" s="831">
        <v>530405930</v>
      </c>
    </row>
    <row r="14289" spans="2:37">
      <c r="B14289" s="834" t="str">
        <f t="shared" ref="B14289:B14352" si="527">C14289&amp;"|"&amp;D14289&amp;"|"&amp;E14289&amp;"|"&amp;F14289</f>
        <v>|||</v>
      </c>
      <c r="H14289" s="835">
        <f t="shared" ref="H14289:H14352" si="528">EOMONTH(L14289,0)</f>
        <v>31</v>
      </c>
      <c r="AF14289" s="831" t="s">
        <v>11564</v>
      </c>
      <c r="AG14289" s="831" t="s">
        <v>2674</v>
      </c>
      <c r="AH14289" s="831" t="s">
        <v>192</v>
      </c>
      <c r="AI14289" s="831">
        <v>0</v>
      </c>
      <c r="AJ14289" s="835">
        <v>41851</v>
      </c>
      <c r="AK14289" s="831">
        <v>-11408077</v>
      </c>
    </row>
    <row r="14290" spans="2:37">
      <c r="B14290" s="834" t="str">
        <f t="shared" si="527"/>
        <v>|||</v>
      </c>
      <c r="H14290" s="835">
        <f t="shared" si="528"/>
        <v>31</v>
      </c>
      <c r="AF14290" s="831" t="s">
        <v>11565</v>
      </c>
      <c r="AG14290" s="831" t="s">
        <v>2674</v>
      </c>
      <c r="AH14290" s="831" t="s">
        <v>558</v>
      </c>
      <c r="AI14290" s="831">
        <v>0</v>
      </c>
      <c r="AJ14290" s="835">
        <v>41851</v>
      </c>
      <c r="AK14290" s="831">
        <v>799274458</v>
      </c>
    </row>
    <row r="14291" spans="2:37">
      <c r="B14291" s="834" t="str">
        <f t="shared" si="527"/>
        <v>|||</v>
      </c>
      <c r="H14291" s="835">
        <f t="shared" si="528"/>
        <v>31</v>
      </c>
      <c r="AF14291" s="831" t="s">
        <v>11566</v>
      </c>
      <c r="AG14291" s="831" t="s">
        <v>2674</v>
      </c>
      <c r="AH14291" s="831" t="s">
        <v>65</v>
      </c>
      <c r="AI14291" s="831">
        <v>0</v>
      </c>
      <c r="AJ14291" s="835">
        <v>41851</v>
      </c>
      <c r="AK14291" s="831">
        <v>96150192</v>
      </c>
    </row>
    <row r="14292" spans="2:37">
      <c r="B14292" s="834" t="str">
        <f t="shared" si="527"/>
        <v>|||</v>
      </c>
      <c r="H14292" s="835">
        <f t="shared" si="528"/>
        <v>31</v>
      </c>
      <c r="AF14292" s="831" t="s">
        <v>11567</v>
      </c>
      <c r="AG14292" s="831" t="s">
        <v>2674</v>
      </c>
      <c r="AH14292" s="831" t="s">
        <v>89</v>
      </c>
      <c r="AI14292" s="831">
        <v>0</v>
      </c>
      <c r="AJ14292" s="835">
        <v>41851</v>
      </c>
      <c r="AK14292" s="831">
        <v>157312</v>
      </c>
    </row>
    <row r="14293" spans="2:37">
      <c r="B14293" s="834" t="str">
        <f t="shared" si="527"/>
        <v>|||</v>
      </c>
      <c r="H14293" s="835">
        <f t="shared" si="528"/>
        <v>31</v>
      </c>
      <c r="AF14293" s="831" t="s">
        <v>11568</v>
      </c>
      <c r="AG14293" s="831" t="s">
        <v>2674</v>
      </c>
      <c r="AH14293" s="831" t="s">
        <v>557</v>
      </c>
      <c r="AI14293" s="831">
        <v>0</v>
      </c>
      <c r="AJ14293" s="835">
        <v>41851</v>
      </c>
      <c r="AK14293" s="831">
        <v>177567</v>
      </c>
    </row>
    <row r="14294" spans="2:37">
      <c r="B14294" s="834" t="str">
        <f t="shared" si="527"/>
        <v>|||</v>
      </c>
      <c r="H14294" s="835">
        <f t="shared" si="528"/>
        <v>31</v>
      </c>
      <c r="AF14294" s="831" t="s">
        <v>11569</v>
      </c>
      <c r="AG14294" s="831" t="s">
        <v>2674</v>
      </c>
      <c r="AH14294" s="831" t="s">
        <v>29</v>
      </c>
      <c r="AI14294" s="831">
        <v>0</v>
      </c>
      <c r="AJ14294" s="835">
        <v>41851</v>
      </c>
      <c r="AK14294" s="831">
        <v>1565767.49</v>
      </c>
    </row>
    <row r="14295" spans="2:37">
      <c r="B14295" s="834" t="str">
        <f t="shared" si="527"/>
        <v>|||</v>
      </c>
      <c r="H14295" s="835">
        <f t="shared" si="528"/>
        <v>31</v>
      </c>
      <c r="AF14295" s="831" t="s">
        <v>11570</v>
      </c>
      <c r="AG14295" s="831" t="s">
        <v>2674</v>
      </c>
      <c r="AH14295" s="831" t="s">
        <v>2688</v>
      </c>
      <c r="AI14295" s="831">
        <v>0</v>
      </c>
      <c r="AJ14295" s="835">
        <v>41851</v>
      </c>
      <c r="AK14295" s="831">
        <v>4315667.13</v>
      </c>
    </row>
    <row r="14296" spans="2:37">
      <c r="B14296" s="834" t="str">
        <f t="shared" si="527"/>
        <v>|||</v>
      </c>
      <c r="H14296" s="835">
        <f t="shared" si="528"/>
        <v>31</v>
      </c>
      <c r="AF14296" s="831" t="s">
        <v>11571</v>
      </c>
      <c r="AG14296" s="831" t="s">
        <v>2674</v>
      </c>
      <c r="AH14296" s="831" t="s">
        <v>556</v>
      </c>
      <c r="AI14296" s="831">
        <v>0</v>
      </c>
      <c r="AJ14296" s="835">
        <v>41851</v>
      </c>
      <c r="AK14296" s="831">
        <v>3260165</v>
      </c>
    </row>
    <row r="14297" spans="2:37">
      <c r="B14297" s="834" t="str">
        <f t="shared" si="527"/>
        <v>|||</v>
      </c>
      <c r="H14297" s="835">
        <f t="shared" si="528"/>
        <v>31</v>
      </c>
      <c r="AF14297" s="831" t="s">
        <v>11572</v>
      </c>
      <c r="AG14297" s="831" t="s">
        <v>2674</v>
      </c>
      <c r="AH14297" s="831" t="s">
        <v>555</v>
      </c>
      <c r="AI14297" s="831">
        <v>0</v>
      </c>
      <c r="AJ14297" s="835">
        <v>41851</v>
      </c>
      <c r="AK14297" s="831">
        <v>527670450</v>
      </c>
    </row>
    <row r="14298" spans="2:37">
      <c r="B14298" s="834" t="str">
        <f t="shared" si="527"/>
        <v>|||</v>
      </c>
      <c r="H14298" s="835">
        <f t="shared" si="528"/>
        <v>31</v>
      </c>
      <c r="AF14298" s="831" t="s">
        <v>11573</v>
      </c>
      <c r="AG14298" s="831" t="s">
        <v>2674</v>
      </c>
      <c r="AH14298" s="831" t="s">
        <v>554</v>
      </c>
      <c r="AI14298" s="831">
        <v>0</v>
      </c>
      <c r="AJ14298" s="835">
        <v>41851</v>
      </c>
      <c r="AK14298" s="831">
        <v>540050830</v>
      </c>
    </row>
    <row r="14299" spans="2:37">
      <c r="B14299" s="834" t="str">
        <f t="shared" si="527"/>
        <v>|||</v>
      </c>
      <c r="H14299" s="835">
        <f t="shared" si="528"/>
        <v>31</v>
      </c>
      <c r="AF14299" s="831" t="s">
        <v>11574</v>
      </c>
      <c r="AG14299" s="831" t="s">
        <v>2674</v>
      </c>
      <c r="AH14299" s="831" t="s">
        <v>553</v>
      </c>
      <c r="AI14299" s="831">
        <v>0</v>
      </c>
      <c r="AJ14299" s="835">
        <v>41851</v>
      </c>
      <c r="AK14299" s="831">
        <v>0</v>
      </c>
    </row>
    <row r="14300" spans="2:37">
      <c r="B14300" s="834" t="str">
        <f t="shared" si="527"/>
        <v>|||</v>
      </c>
      <c r="H14300" s="835">
        <f t="shared" si="528"/>
        <v>31</v>
      </c>
      <c r="AF14300" s="831" t="s">
        <v>11575</v>
      </c>
      <c r="AG14300" s="831" t="s">
        <v>2674</v>
      </c>
      <c r="AH14300" s="831" t="s">
        <v>552</v>
      </c>
      <c r="AI14300" s="831">
        <v>0</v>
      </c>
      <c r="AJ14300" s="835">
        <v>41851</v>
      </c>
      <c r="AK14300" s="831">
        <v>0</v>
      </c>
    </row>
    <row r="14301" spans="2:37">
      <c r="B14301" s="834" t="str">
        <f t="shared" si="527"/>
        <v>|||</v>
      </c>
      <c r="H14301" s="835">
        <f t="shared" si="528"/>
        <v>31</v>
      </c>
      <c r="AF14301" s="831" t="s">
        <v>11576</v>
      </c>
      <c r="AG14301" s="831" t="s">
        <v>2674</v>
      </c>
      <c r="AH14301" s="831" t="s">
        <v>551</v>
      </c>
      <c r="AI14301" s="831">
        <v>0</v>
      </c>
      <c r="AJ14301" s="835">
        <v>41851</v>
      </c>
      <c r="AK14301" s="831">
        <v>1101547.72</v>
      </c>
    </row>
    <row r="14302" spans="2:37">
      <c r="B14302" s="834" t="str">
        <f t="shared" si="527"/>
        <v>|||</v>
      </c>
      <c r="H14302" s="835">
        <f t="shared" si="528"/>
        <v>31</v>
      </c>
      <c r="AF14302" s="831" t="s">
        <v>11577</v>
      </c>
      <c r="AG14302" s="831" t="s">
        <v>2674</v>
      </c>
      <c r="AH14302" s="831" t="s">
        <v>550</v>
      </c>
      <c r="AI14302" s="831">
        <v>0</v>
      </c>
      <c r="AJ14302" s="835">
        <v>41851</v>
      </c>
      <c r="AK14302" s="831">
        <v>135362821</v>
      </c>
    </row>
    <row r="14303" spans="2:37">
      <c r="B14303" s="834" t="str">
        <f t="shared" si="527"/>
        <v>|||</v>
      </c>
      <c r="H14303" s="835">
        <f t="shared" si="528"/>
        <v>31</v>
      </c>
      <c r="AF14303" s="831" t="s">
        <v>11578</v>
      </c>
      <c r="AG14303" s="831" t="s">
        <v>2674</v>
      </c>
      <c r="AH14303" s="831" t="s">
        <v>562</v>
      </c>
      <c r="AI14303" s="831">
        <v>0</v>
      </c>
      <c r="AJ14303" s="835">
        <v>41851</v>
      </c>
      <c r="AK14303" s="831">
        <v>0.78364999999999996</v>
      </c>
    </row>
    <row r="14304" spans="2:37">
      <c r="B14304" s="834" t="str">
        <f t="shared" si="527"/>
        <v>|||</v>
      </c>
      <c r="H14304" s="835">
        <f t="shared" si="528"/>
        <v>31</v>
      </c>
      <c r="AF14304" s="831" t="s">
        <v>11579</v>
      </c>
      <c r="AG14304" s="831" t="s">
        <v>2674</v>
      </c>
      <c r="AH14304" s="831" t="s">
        <v>2698</v>
      </c>
      <c r="AI14304" s="831">
        <v>0</v>
      </c>
      <c r="AJ14304" s="835">
        <v>41851</v>
      </c>
      <c r="AK14304" s="831">
        <v>0.78374999999999995</v>
      </c>
    </row>
    <row r="14305" spans="2:37">
      <c r="B14305" s="834" t="str">
        <f t="shared" si="527"/>
        <v>|||</v>
      </c>
      <c r="H14305" s="835">
        <f t="shared" si="528"/>
        <v>31</v>
      </c>
      <c r="AF14305" s="831" t="s">
        <v>11580</v>
      </c>
      <c r="AG14305" s="831" t="s">
        <v>2674</v>
      </c>
      <c r="AH14305" s="831" t="s">
        <v>560</v>
      </c>
      <c r="AI14305" s="831">
        <v>0</v>
      </c>
      <c r="AJ14305" s="835">
        <v>41851</v>
      </c>
      <c r="AK14305" s="831">
        <v>0.78374999999999984</v>
      </c>
    </row>
    <row r="14306" spans="2:37">
      <c r="B14306" s="834" t="str">
        <f t="shared" si="527"/>
        <v>|||</v>
      </c>
      <c r="H14306" s="835">
        <f t="shared" si="528"/>
        <v>31</v>
      </c>
      <c r="AF14306" s="831" t="s">
        <v>11581</v>
      </c>
      <c r="AG14306" s="831" t="s">
        <v>2674</v>
      </c>
      <c r="AH14306" s="831" t="s">
        <v>559</v>
      </c>
      <c r="AI14306" s="831">
        <v>0</v>
      </c>
      <c r="AJ14306" s="835">
        <v>41851</v>
      </c>
      <c r="AK14306" s="831">
        <v>0.78376666666666661</v>
      </c>
    </row>
    <row r="14307" spans="2:37">
      <c r="B14307" s="834" t="str">
        <f t="shared" si="527"/>
        <v>|||</v>
      </c>
      <c r="H14307" s="835">
        <f t="shared" si="528"/>
        <v>31</v>
      </c>
      <c r="AF14307" s="831" t="s">
        <v>11582</v>
      </c>
      <c r="AG14307" s="831" t="s">
        <v>2674</v>
      </c>
      <c r="AH14307" s="831" t="s">
        <v>568</v>
      </c>
      <c r="AI14307" s="831">
        <v>0</v>
      </c>
      <c r="AJ14307" s="835">
        <v>41851</v>
      </c>
      <c r="AK14307" s="831">
        <v>637151141.61153841</v>
      </c>
    </row>
    <row r="14308" spans="2:37">
      <c r="B14308" s="834" t="str">
        <f t="shared" si="527"/>
        <v>|||</v>
      </c>
      <c r="H14308" s="835">
        <f t="shared" si="528"/>
        <v>31</v>
      </c>
      <c r="AF14308" s="831" t="s">
        <v>11583</v>
      </c>
      <c r="AG14308" s="831" t="s">
        <v>2674</v>
      </c>
      <c r="AH14308" s="831" t="s">
        <v>569</v>
      </c>
      <c r="AI14308" s="831">
        <v>0</v>
      </c>
      <c r="AJ14308" s="835">
        <v>41851</v>
      </c>
      <c r="AK14308" s="831">
        <v>786284543.74253845</v>
      </c>
    </row>
    <row r="14309" spans="2:37">
      <c r="B14309" s="834" t="str">
        <f t="shared" si="527"/>
        <v>|||</v>
      </c>
      <c r="H14309" s="835">
        <f t="shared" si="528"/>
        <v>31</v>
      </c>
      <c r="AF14309" s="831" t="s">
        <v>11584</v>
      </c>
      <c r="AG14309" s="831" t="s">
        <v>2674</v>
      </c>
      <c r="AH14309" s="831" t="s">
        <v>570</v>
      </c>
      <c r="AI14309" s="831">
        <v>0</v>
      </c>
      <c r="AJ14309" s="835">
        <v>41851</v>
      </c>
      <c r="AK14309" s="831">
        <v>122542079.44353844</v>
      </c>
    </row>
    <row r="14310" spans="2:37">
      <c r="B14310" s="834" t="str">
        <f t="shared" si="527"/>
        <v>|||</v>
      </c>
      <c r="H14310" s="835">
        <f t="shared" si="528"/>
        <v>31</v>
      </c>
      <c r="AF14310" s="831" t="s">
        <v>11585</v>
      </c>
      <c r="AG14310" s="831" t="s">
        <v>2674</v>
      </c>
      <c r="AH14310" s="831" t="s">
        <v>571</v>
      </c>
      <c r="AI14310" s="831">
        <v>0</v>
      </c>
      <c r="AJ14310" s="835">
        <v>41851</v>
      </c>
      <c r="AK14310" s="831">
        <v>385003742.66715389</v>
      </c>
    </row>
    <row r="14311" spans="2:37">
      <c r="B14311" s="834" t="str">
        <f t="shared" si="527"/>
        <v>|||</v>
      </c>
      <c r="H14311" s="835">
        <f t="shared" si="528"/>
        <v>31</v>
      </c>
      <c r="AF14311" s="831" t="s">
        <v>11586</v>
      </c>
      <c r="AG14311" s="831" t="s">
        <v>2674</v>
      </c>
      <c r="AH14311" s="831" t="s">
        <v>573</v>
      </c>
      <c r="AI14311" s="831">
        <v>0</v>
      </c>
      <c r="AJ14311" s="835">
        <v>41851</v>
      </c>
      <c r="AK14311" s="831">
        <v>843150331.57037497</v>
      </c>
    </row>
    <row r="14312" spans="2:37">
      <c r="B14312" s="834" t="str">
        <f t="shared" si="527"/>
        <v>|||</v>
      </c>
      <c r="H14312" s="835">
        <f t="shared" si="528"/>
        <v>31</v>
      </c>
      <c r="AF14312" s="831" t="s">
        <v>11587</v>
      </c>
      <c r="AG14312" s="831" t="s">
        <v>2674</v>
      </c>
      <c r="AH14312" s="831" t="s">
        <v>574</v>
      </c>
      <c r="AI14312" s="831">
        <v>0</v>
      </c>
      <c r="AJ14312" s="835">
        <v>41851</v>
      </c>
      <c r="AK14312" s="831">
        <v>682697233.875</v>
      </c>
    </row>
    <row r="14313" spans="2:37">
      <c r="B14313" s="834" t="str">
        <f t="shared" si="527"/>
        <v>|||</v>
      </c>
      <c r="H14313" s="835">
        <f t="shared" si="528"/>
        <v>31</v>
      </c>
      <c r="AF14313" s="831" t="s">
        <v>11588</v>
      </c>
      <c r="AG14313" s="831" t="s">
        <v>2674</v>
      </c>
      <c r="AH14313" s="831" t="s">
        <v>575</v>
      </c>
      <c r="AI14313" s="831">
        <v>0</v>
      </c>
      <c r="AJ14313" s="835">
        <v>41851</v>
      </c>
      <c r="AK14313" s="831">
        <v>125963135.86375</v>
      </c>
    </row>
    <row r="14314" spans="2:37">
      <c r="B14314" s="834" t="str">
        <f t="shared" si="527"/>
        <v>|||</v>
      </c>
      <c r="H14314" s="835">
        <f t="shared" si="528"/>
        <v>31</v>
      </c>
      <c r="AF14314" s="831" t="s">
        <v>11589</v>
      </c>
      <c r="AG14314" s="831" t="s">
        <v>2674</v>
      </c>
      <c r="AH14314" s="831" t="s">
        <v>576</v>
      </c>
      <c r="AI14314" s="831">
        <v>0</v>
      </c>
      <c r="AJ14314" s="835">
        <v>41851</v>
      </c>
      <c r="AK14314" s="831">
        <v>415372081.57637501</v>
      </c>
    </row>
    <row r="14315" spans="2:37">
      <c r="B14315" s="834" t="str">
        <f t="shared" si="527"/>
        <v>|||</v>
      </c>
      <c r="H14315" s="835">
        <f t="shared" si="528"/>
        <v>31</v>
      </c>
      <c r="AF14315" s="831" t="s">
        <v>11590</v>
      </c>
      <c r="AG14315" s="831" t="s">
        <v>2674</v>
      </c>
      <c r="AH14315" s="831" t="s">
        <v>572</v>
      </c>
      <c r="AI14315" s="831">
        <v>0</v>
      </c>
      <c r="AJ14315" s="835">
        <v>41851</v>
      </c>
      <c r="AK14315" s="831">
        <v>33061468.956000008</v>
      </c>
    </row>
    <row r="14316" spans="2:37">
      <c r="B14316" s="834" t="str">
        <f t="shared" si="527"/>
        <v>|||</v>
      </c>
      <c r="H14316" s="835">
        <f t="shared" si="528"/>
        <v>31</v>
      </c>
      <c r="AF14316" s="831" t="s">
        <v>11591</v>
      </c>
      <c r="AG14316" s="831" t="s">
        <v>2674</v>
      </c>
      <c r="AH14316" s="831" t="s">
        <v>577</v>
      </c>
      <c r="AI14316" s="831">
        <v>0</v>
      </c>
      <c r="AJ14316" s="835">
        <v>41851</v>
      </c>
      <c r="AK14316" s="831">
        <v>157027827.76300001</v>
      </c>
    </row>
    <row r="14317" spans="2:37">
      <c r="B14317" s="834" t="str">
        <f t="shared" si="527"/>
        <v>|||</v>
      </c>
      <c r="H14317" s="835">
        <f t="shared" si="528"/>
        <v>31</v>
      </c>
      <c r="AF14317" s="831" t="s">
        <v>11592</v>
      </c>
      <c r="AG14317" s="831" t="s">
        <v>2674</v>
      </c>
      <c r="AH14317" s="831" t="s">
        <v>3042</v>
      </c>
      <c r="AI14317" s="831">
        <v>0</v>
      </c>
      <c r="AJ14317" s="835">
        <v>41851</v>
      </c>
      <c r="AK14317" s="831">
        <v>-44607617.527000003</v>
      </c>
    </row>
    <row r="14318" spans="2:37">
      <c r="B14318" s="834" t="str">
        <f t="shared" si="527"/>
        <v>|||</v>
      </c>
      <c r="H14318" s="835">
        <f t="shared" si="528"/>
        <v>31</v>
      </c>
      <c r="AF14318" s="831" t="s">
        <v>11593</v>
      </c>
      <c r="AG14318" s="831" t="s">
        <v>2674</v>
      </c>
      <c r="AH14318" s="831" t="s">
        <v>3044</v>
      </c>
      <c r="AI14318" s="831">
        <v>0</v>
      </c>
      <c r="AJ14318" s="835">
        <v>41851</v>
      </c>
      <c r="AK14318" s="831">
        <v>-2462838.8899999997</v>
      </c>
    </row>
    <row r="14319" spans="2:37">
      <c r="B14319" s="834" t="str">
        <f t="shared" si="527"/>
        <v>|||</v>
      </c>
      <c r="H14319" s="835">
        <f t="shared" si="528"/>
        <v>31</v>
      </c>
      <c r="AF14319" s="831" t="s">
        <v>11594</v>
      </c>
      <c r="AG14319" s="831" t="s">
        <v>2674</v>
      </c>
      <c r="AH14319" s="831" t="s">
        <v>580</v>
      </c>
      <c r="AI14319" s="831">
        <v>0</v>
      </c>
      <c r="AJ14319" s="835">
        <v>41851</v>
      </c>
      <c r="AK14319" s="831">
        <v>-72554848.306999996</v>
      </c>
    </row>
    <row r="14320" spans="2:37">
      <c r="B14320" s="834" t="str">
        <f t="shared" si="527"/>
        <v>|||</v>
      </c>
      <c r="H14320" s="835">
        <f t="shared" si="528"/>
        <v>31</v>
      </c>
      <c r="AF14320" s="831" t="s">
        <v>11595</v>
      </c>
      <c r="AG14320" s="831" t="s">
        <v>2674</v>
      </c>
      <c r="AH14320" s="831" t="s">
        <v>581</v>
      </c>
      <c r="AI14320" s="831">
        <v>0</v>
      </c>
      <c r="AJ14320" s="835">
        <v>41851</v>
      </c>
      <c r="AK14320" s="831">
        <v>6023686.8940000003</v>
      </c>
    </row>
    <row r="14321" spans="2:37">
      <c r="B14321" s="834" t="str">
        <f t="shared" si="527"/>
        <v>|||</v>
      </c>
      <c r="H14321" s="835">
        <f t="shared" si="528"/>
        <v>31</v>
      </c>
      <c r="AF14321" s="831" t="s">
        <v>11596</v>
      </c>
      <c r="AG14321" s="831" t="s">
        <v>2674</v>
      </c>
      <c r="AH14321" s="831" t="s">
        <v>105</v>
      </c>
      <c r="AI14321" s="831">
        <v>0</v>
      </c>
      <c r="AJ14321" s="835">
        <v>41851</v>
      </c>
      <c r="AK14321" s="831">
        <v>472087799</v>
      </c>
    </row>
    <row r="14322" spans="2:37">
      <c r="B14322" s="834" t="str">
        <f t="shared" si="527"/>
        <v>|||</v>
      </c>
      <c r="H14322" s="835">
        <f t="shared" si="528"/>
        <v>31</v>
      </c>
      <c r="AF14322" s="831" t="s">
        <v>11597</v>
      </c>
      <c r="AG14322" s="831" t="s">
        <v>2674</v>
      </c>
      <c r="AH14322" s="831" t="s">
        <v>3049</v>
      </c>
      <c r="AI14322" s="831">
        <v>0</v>
      </c>
      <c r="AJ14322" s="835">
        <v>41851</v>
      </c>
      <c r="AK14322" s="831">
        <v>778154132</v>
      </c>
    </row>
    <row r="14323" spans="2:37">
      <c r="B14323" s="834" t="str">
        <f t="shared" si="527"/>
        <v>|||</v>
      </c>
      <c r="H14323" s="835">
        <f t="shared" si="528"/>
        <v>31</v>
      </c>
      <c r="AF14323" s="831" t="s">
        <v>11598</v>
      </c>
      <c r="AG14323" s="831" t="s">
        <v>2674</v>
      </c>
      <c r="AH14323" s="831" t="s">
        <v>103</v>
      </c>
      <c r="AI14323" s="831">
        <v>0</v>
      </c>
      <c r="AJ14323" s="835">
        <v>41851</v>
      </c>
      <c r="AK14323" s="831">
        <v>306066333</v>
      </c>
    </row>
    <row r="14324" spans="2:37">
      <c r="B14324" s="834" t="str">
        <f t="shared" si="527"/>
        <v>|||</v>
      </c>
      <c r="H14324" s="835">
        <f t="shared" si="528"/>
        <v>31</v>
      </c>
      <c r="AF14324" s="831" t="s">
        <v>11599</v>
      </c>
      <c r="AG14324" s="831" t="s">
        <v>2674</v>
      </c>
      <c r="AH14324" s="831" t="s">
        <v>182</v>
      </c>
      <c r="AI14324" s="831">
        <v>0</v>
      </c>
      <c r="AJ14324" s="835">
        <v>41851</v>
      </c>
      <c r="AK14324" s="831">
        <v>72589813.714285716</v>
      </c>
    </row>
    <row r="14325" spans="2:37">
      <c r="B14325" s="834" t="str">
        <f t="shared" si="527"/>
        <v>|||</v>
      </c>
      <c r="H14325" s="835">
        <f t="shared" si="528"/>
        <v>31</v>
      </c>
      <c r="AF14325" s="831" t="s">
        <v>11600</v>
      </c>
      <c r="AG14325" s="831" t="s">
        <v>2674</v>
      </c>
      <c r="AH14325" s="831" t="s">
        <v>6600</v>
      </c>
      <c r="AI14325" s="831">
        <v>0</v>
      </c>
      <c r="AJ14325" s="835">
        <v>41851</v>
      </c>
      <c r="AK14325" s="831">
        <v>33061468.956000008</v>
      </c>
    </row>
    <row r="14326" spans="2:37">
      <c r="B14326" s="834" t="str">
        <f t="shared" si="527"/>
        <v>|||</v>
      </c>
      <c r="H14326" s="835">
        <f t="shared" si="528"/>
        <v>31</v>
      </c>
      <c r="AF14326" s="831" t="s">
        <v>11601</v>
      </c>
      <c r="AG14326" s="831" t="s">
        <v>2674</v>
      </c>
      <c r="AH14326" s="831" t="s">
        <v>6602</v>
      </c>
      <c r="AI14326" s="831">
        <v>0</v>
      </c>
      <c r="AJ14326" s="835">
        <v>41851</v>
      </c>
      <c r="AK14326" s="831">
        <v>22009267</v>
      </c>
    </row>
    <row r="14327" spans="2:37">
      <c r="B14327" s="834" t="str">
        <f t="shared" si="527"/>
        <v>|||</v>
      </c>
      <c r="H14327" s="835">
        <f t="shared" si="528"/>
        <v>31</v>
      </c>
      <c r="AF14327" s="831" t="s">
        <v>11602</v>
      </c>
      <c r="AG14327" s="831" t="s">
        <v>2674</v>
      </c>
      <c r="AH14327" s="831" t="s">
        <v>650</v>
      </c>
      <c r="AI14327" s="831">
        <v>0</v>
      </c>
      <c r="AJ14327" s="835">
        <v>41851</v>
      </c>
      <c r="AK14327" s="831">
        <v>258051740.34761539</v>
      </c>
    </row>
    <row r="14328" spans="2:37">
      <c r="B14328" s="834" t="str">
        <f t="shared" si="527"/>
        <v>|||</v>
      </c>
      <c r="H14328" s="835">
        <f t="shared" si="528"/>
        <v>31</v>
      </c>
      <c r="AF14328" s="831" t="s">
        <v>11603</v>
      </c>
      <c r="AG14328" s="831" t="s">
        <v>2674</v>
      </c>
      <c r="AH14328" s="831" t="s">
        <v>655</v>
      </c>
      <c r="AI14328" s="831">
        <v>0</v>
      </c>
      <c r="AJ14328" s="835">
        <v>41851</v>
      </c>
      <c r="AK14328" s="831">
        <v>953974.79</v>
      </c>
    </row>
    <row r="14329" spans="2:37">
      <c r="B14329" s="834" t="str">
        <f t="shared" si="527"/>
        <v>|||</v>
      </c>
      <c r="H14329" s="835">
        <f t="shared" si="528"/>
        <v>31</v>
      </c>
      <c r="AF14329" s="831" t="s">
        <v>11604</v>
      </c>
      <c r="AG14329" s="831" t="s">
        <v>2674</v>
      </c>
      <c r="AH14329" s="831" t="s">
        <v>546</v>
      </c>
      <c r="AI14329" s="831">
        <v>0</v>
      </c>
      <c r="AJ14329" s="835">
        <v>41882</v>
      </c>
      <c r="AK14329" s="831">
        <v>752496052</v>
      </c>
    </row>
    <row r="14330" spans="2:37">
      <c r="B14330" s="834" t="str">
        <f t="shared" si="527"/>
        <v>|||</v>
      </c>
      <c r="H14330" s="835">
        <f t="shared" si="528"/>
        <v>31</v>
      </c>
      <c r="AF14330" s="831" t="s">
        <v>11605</v>
      </c>
      <c r="AG14330" s="831" t="s">
        <v>2674</v>
      </c>
      <c r="AH14330" s="831" t="s">
        <v>370</v>
      </c>
      <c r="AI14330" s="831">
        <v>0</v>
      </c>
      <c r="AJ14330" s="835">
        <v>41882</v>
      </c>
      <c r="AK14330" s="831">
        <v>955327873</v>
      </c>
    </row>
    <row r="14331" spans="2:37">
      <c r="B14331" s="834" t="str">
        <f t="shared" si="527"/>
        <v>|||</v>
      </c>
      <c r="H14331" s="835">
        <f t="shared" si="528"/>
        <v>31</v>
      </c>
      <c r="AF14331" s="831" t="s">
        <v>11606</v>
      </c>
      <c r="AG14331" s="831" t="s">
        <v>2674</v>
      </c>
      <c r="AH14331" s="831" t="s">
        <v>126</v>
      </c>
      <c r="AI14331" s="831">
        <v>0</v>
      </c>
      <c r="AJ14331" s="835">
        <v>41882</v>
      </c>
      <c r="AK14331" s="831">
        <v>141824046.03</v>
      </c>
    </row>
    <row r="14332" spans="2:37">
      <c r="B14332" s="834" t="str">
        <f t="shared" si="527"/>
        <v>|||</v>
      </c>
      <c r="H14332" s="835">
        <f t="shared" si="528"/>
        <v>31</v>
      </c>
      <c r="AF14332" s="831" t="s">
        <v>11607</v>
      </c>
      <c r="AG14332" s="831" t="s">
        <v>2674</v>
      </c>
      <c r="AH14332" s="831" t="s">
        <v>268</v>
      </c>
      <c r="AI14332" s="831">
        <v>0</v>
      </c>
      <c r="AJ14332" s="835">
        <v>41882</v>
      </c>
      <c r="AK14332" s="831">
        <v>25500774.76800001</v>
      </c>
    </row>
    <row r="14333" spans="2:37">
      <c r="B14333" s="834" t="str">
        <f t="shared" si="527"/>
        <v>|||</v>
      </c>
      <c r="H14333" s="835">
        <f t="shared" si="528"/>
        <v>31</v>
      </c>
      <c r="AF14333" s="831" t="s">
        <v>11608</v>
      </c>
      <c r="AG14333" s="831" t="s">
        <v>2674</v>
      </c>
      <c r="AH14333" s="831" t="s">
        <v>547</v>
      </c>
      <c r="AI14333" s="831">
        <v>0</v>
      </c>
      <c r="AJ14333" s="835">
        <v>41882</v>
      </c>
      <c r="AK14333" s="831">
        <v>777719977</v>
      </c>
    </row>
    <row r="14334" spans="2:37">
      <c r="B14334" s="834" t="str">
        <f t="shared" si="527"/>
        <v>|||</v>
      </c>
      <c r="H14334" s="835">
        <f t="shared" si="528"/>
        <v>31</v>
      </c>
      <c r="AF14334" s="831" t="s">
        <v>11609</v>
      </c>
      <c r="AG14334" s="831" t="s">
        <v>2674</v>
      </c>
      <c r="AH14334" s="831" t="s">
        <v>548</v>
      </c>
      <c r="AI14334" s="831">
        <v>0</v>
      </c>
      <c r="AJ14334" s="835">
        <v>41882</v>
      </c>
      <c r="AK14334" s="831">
        <v>117105496</v>
      </c>
    </row>
    <row r="14335" spans="2:37">
      <c r="B14335" s="834" t="str">
        <f t="shared" si="527"/>
        <v>|||</v>
      </c>
      <c r="H14335" s="835">
        <f t="shared" si="528"/>
        <v>31</v>
      </c>
      <c r="AF14335" s="831" t="s">
        <v>11610</v>
      </c>
      <c r="AG14335" s="831" t="s">
        <v>2674</v>
      </c>
      <c r="AH14335" s="831" t="s">
        <v>549</v>
      </c>
      <c r="AI14335" s="831">
        <v>0</v>
      </c>
      <c r="AJ14335" s="835">
        <v>41882</v>
      </c>
      <c r="AK14335" s="831">
        <v>548671343</v>
      </c>
    </row>
    <row r="14336" spans="2:37">
      <c r="B14336" s="834" t="str">
        <f t="shared" si="527"/>
        <v>|||</v>
      </c>
      <c r="H14336" s="835">
        <f t="shared" si="528"/>
        <v>31</v>
      </c>
      <c r="AF14336" s="831" t="s">
        <v>11611</v>
      </c>
      <c r="AG14336" s="831" t="s">
        <v>2674</v>
      </c>
      <c r="AH14336" s="831" t="s">
        <v>192</v>
      </c>
      <c r="AI14336" s="831">
        <v>0</v>
      </c>
      <c r="AJ14336" s="835">
        <v>41882</v>
      </c>
      <c r="AK14336" s="831">
        <v>-11209860</v>
      </c>
    </row>
    <row r="14337" spans="2:37">
      <c r="B14337" s="834" t="str">
        <f t="shared" si="527"/>
        <v>|||</v>
      </c>
      <c r="H14337" s="835">
        <f t="shared" si="528"/>
        <v>31</v>
      </c>
      <c r="AF14337" s="831" t="s">
        <v>11612</v>
      </c>
      <c r="AG14337" s="831" t="s">
        <v>2674</v>
      </c>
      <c r="AH14337" s="831" t="s">
        <v>558</v>
      </c>
      <c r="AI14337" s="831">
        <v>0</v>
      </c>
      <c r="AJ14337" s="835">
        <v>41882</v>
      </c>
      <c r="AK14337" s="831">
        <v>813503827.41700006</v>
      </c>
    </row>
    <row r="14338" spans="2:37">
      <c r="B14338" s="834" t="str">
        <f t="shared" si="527"/>
        <v>|||</v>
      </c>
      <c r="H14338" s="835">
        <f t="shared" si="528"/>
        <v>31</v>
      </c>
      <c r="AF14338" s="831" t="s">
        <v>11613</v>
      </c>
      <c r="AG14338" s="831" t="s">
        <v>2674</v>
      </c>
      <c r="AH14338" s="831" t="s">
        <v>65</v>
      </c>
      <c r="AI14338" s="831">
        <v>0</v>
      </c>
      <c r="AJ14338" s="835">
        <v>41882</v>
      </c>
      <c r="AK14338" s="831">
        <v>110886310.662</v>
      </c>
    </row>
    <row r="14339" spans="2:37">
      <c r="B14339" s="834" t="str">
        <f t="shared" si="527"/>
        <v>|||</v>
      </c>
      <c r="H14339" s="835">
        <f t="shared" si="528"/>
        <v>31</v>
      </c>
      <c r="AF14339" s="831" t="s">
        <v>11614</v>
      </c>
      <c r="AG14339" s="831" t="s">
        <v>2674</v>
      </c>
      <c r="AH14339" s="831" t="s">
        <v>89</v>
      </c>
      <c r="AI14339" s="831">
        <v>0</v>
      </c>
      <c r="AJ14339" s="835">
        <v>41882</v>
      </c>
      <c r="AK14339" s="831">
        <v>158540</v>
      </c>
    </row>
    <row r="14340" spans="2:37">
      <c r="B14340" s="834" t="str">
        <f t="shared" si="527"/>
        <v>|||</v>
      </c>
      <c r="H14340" s="835">
        <f t="shared" si="528"/>
        <v>31</v>
      </c>
      <c r="AF14340" s="831" t="s">
        <v>11615</v>
      </c>
      <c r="AG14340" s="831" t="s">
        <v>2674</v>
      </c>
      <c r="AH14340" s="831" t="s">
        <v>557</v>
      </c>
      <c r="AI14340" s="831">
        <v>0</v>
      </c>
      <c r="AJ14340" s="835">
        <v>41882</v>
      </c>
      <c r="AK14340" s="831">
        <v>176987</v>
      </c>
    </row>
    <row r="14341" spans="2:37">
      <c r="B14341" s="834" t="str">
        <f t="shared" si="527"/>
        <v>|||</v>
      </c>
      <c r="H14341" s="835">
        <f t="shared" si="528"/>
        <v>31</v>
      </c>
      <c r="AF14341" s="831" t="s">
        <v>11616</v>
      </c>
      <c r="AG14341" s="831" t="s">
        <v>2674</v>
      </c>
      <c r="AH14341" s="831" t="s">
        <v>29</v>
      </c>
      <c r="AI14341" s="831">
        <v>0</v>
      </c>
      <c r="AJ14341" s="835">
        <v>41882</v>
      </c>
      <c r="AK14341" s="831">
        <v>1746361.094</v>
      </c>
    </row>
    <row r="14342" spans="2:37">
      <c r="B14342" s="834" t="str">
        <f t="shared" si="527"/>
        <v>|||</v>
      </c>
      <c r="H14342" s="835">
        <f t="shared" si="528"/>
        <v>31</v>
      </c>
      <c r="AF14342" s="831" t="s">
        <v>11617</v>
      </c>
      <c r="AG14342" s="831" t="s">
        <v>2674</v>
      </c>
      <c r="AH14342" s="831" t="s">
        <v>2688</v>
      </c>
      <c r="AI14342" s="831">
        <v>0</v>
      </c>
      <c r="AJ14342" s="835">
        <v>41882</v>
      </c>
      <c r="AK14342" s="831">
        <v>4781420.7300000004</v>
      </c>
    </row>
    <row r="14343" spans="2:37">
      <c r="B14343" s="834" t="str">
        <f t="shared" si="527"/>
        <v>|||</v>
      </c>
      <c r="H14343" s="835">
        <f t="shared" si="528"/>
        <v>31</v>
      </c>
      <c r="AF14343" s="831" t="s">
        <v>11618</v>
      </c>
      <c r="AG14343" s="831" t="s">
        <v>2674</v>
      </c>
      <c r="AH14343" s="831" t="s">
        <v>556</v>
      </c>
      <c r="AI14343" s="831">
        <v>0</v>
      </c>
      <c r="AJ14343" s="835">
        <v>41882</v>
      </c>
      <c r="AK14343" s="831">
        <v>4890559</v>
      </c>
    </row>
    <row r="14344" spans="2:37">
      <c r="B14344" s="834" t="str">
        <f t="shared" si="527"/>
        <v>|||</v>
      </c>
      <c r="H14344" s="835">
        <f t="shared" si="528"/>
        <v>31</v>
      </c>
      <c r="AF14344" s="831" t="s">
        <v>11619</v>
      </c>
      <c r="AG14344" s="831" t="s">
        <v>2674</v>
      </c>
      <c r="AH14344" s="831" t="s">
        <v>555</v>
      </c>
      <c r="AI14344" s="831">
        <v>0</v>
      </c>
      <c r="AJ14344" s="835">
        <v>41882</v>
      </c>
      <c r="AK14344" s="831">
        <v>533401131</v>
      </c>
    </row>
    <row r="14345" spans="2:37">
      <c r="B14345" s="834" t="str">
        <f t="shared" si="527"/>
        <v>|||</v>
      </c>
      <c r="H14345" s="835">
        <f t="shared" si="528"/>
        <v>31</v>
      </c>
      <c r="AF14345" s="831" t="s">
        <v>11620</v>
      </c>
      <c r="AG14345" s="831" t="s">
        <v>2674</v>
      </c>
      <c r="AH14345" s="831" t="s">
        <v>554</v>
      </c>
      <c r="AI14345" s="831">
        <v>0</v>
      </c>
      <c r="AJ14345" s="835">
        <v>41882</v>
      </c>
      <c r="AK14345" s="831">
        <v>543423580</v>
      </c>
    </row>
    <row r="14346" spans="2:37">
      <c r="B14346" s="834" t="str">
        <f t="shared" si="527"/>
        <v>|||</v>
      </c>
      <c r="H14346" s="835">
        <f t="shared" si="528"/>
        <v>31</v>
      </c>
      <c r="AF14346" s="831" t="s">
        <v>11621</v>
      </c>
      <c r="AG14346" s="831" t="s">
        <v>2674</v>
      </c>
      <c r="AH14346" s="831" t="s">
        <v>553</v>
      </c>
      <c r="AI14346" s="831">
        <v>0</v>
      </c>
      <c r="AJ14346" s="835">
        <v>41882</v>
      </c>
      <c r="AK14346" s="831">
        <v>0</v>
      </c>
    </row>
    <row r="14347" spans="2:37">
      <c r="B14347" s="834" t="str">
        <f t="shared" si="527"/>
        <v>|||</v>
      </c>
      <c r="H14347" s="835">
        <f t="shared" si="528"/>
        <v>31</v>
      </c>
      <c r="AF14347" s="831" t="s">
        <v>11622</v>
      </c>
      <c r="AG14347" s="831" t="s">
        <v>2674</v>
      </c>
      <c r="AH14347" s="831" t="s">
        <v>552</v>
      </c>
      <c r="AI14347" s="831">
        <v>0</v>
      </c>
      <c r="AJ14347" s="835">
        <v>41882</v>
      </c>
      <c r="AK14347" s="831">
        <v>0</v>
      </c>
    </row>
    <row r="14348" spans="2:37">
      <c r="B14348" s="834" t="str">
        <f t="shared" si="527"/>
        <v>|||</v>
      </c>
      <c r="H14348" s="835">
        <f t="shared" si="528"/>
        <v>31</v>
      </c>
      <c r="AF14348" s="831" t="s">
        <v>11623</v>
      </c>
      <c r="AG14348" s="831" t="s">
        <v>2674</v>
      </c>
      <c r="AH14348" s="831" t="s">
        <v>551</v>
      </c>
      <c r="AI14348" s="831">
        <v>0</v>
      </c>
      <c r="AJ14348" s="835">
        <v>41882</v>
      </c>
      <c r="AK14348" s="831">
        <v>1392541.4989999998</v>
      </c>
    </row>
    <row r="14349" spans="2:37">
      <c r="B14349" s="834" t="str">
        <f t="shared" si="527"/>
        <v>|||</v>
      </c>
      <c r="H14349" s="835">
        <f t="shared" si="528"/>
        <v>31</v>
      </c>
      <c r="AF14349" s="831" t="s">
        <v>11624</v>
      </c>
      <c r="AG14349" s="831" t="s">
        <v>2674</v>
      </c>
      <c r="AH14349" s="831" t="s">
        <v>550</v>
      </c>
      <c r="AI14349" s="831">
        <v>0</v>
      </c>
      <c r="AJ14349" s="835">
        <v>41882</v>
      </c>
      <c r="AK14349" s="831">
        <v>138005087</v>
      </c>
    </row>
    <row r="14350" spans="2:37">
      <c r="B14350" s="834" t="str">
        <f t="shared" si="527"/>
        <v>|||</v>
      </c>
      <c r="H14350" s="835">
        <f t="shared" si="528"/>
        <v>31</v>
      </c>
      <c r="AF14350" s="831" t="s">
        <v>11625</v>
      </c>
      <c r="AG14350" s="831" t="s">
        <v>2674</v>
      </c>
      <c r="AH14350" s="831" t="s">
        <v>562</v>
      </c>
      <c r="AI14350" s="831">
        <v>0</v>
      </c>
      <c r="AJ14350" s="835">
        <v>41882</v>
      </c>
      <c r="AK14350" s="831">
        <v>0.7833</v>
      </c>
    </row>
    <row r="14351" spans="2:37">
      <c r="B14351" s="834" t="str">
        <f t="shared" si="527"/>
        <v>|||</v>
      </c>
      <c r="H14351" s="835">
        <f t="shared" si="528"/>
        <v>31</v>
      </c>
      <c r="AF14351" s="831" t="s">
        <v>11626</v>
      </c>
      <c r="AG14351" s="831" t="s">
        <v>2674</v>
      </c>
      <c r="AH14351" s="831" t="s">
        <v>2698</v>
      </c>
      <c r="AI14351" s="831">
        <v>0</v>
      </c>
      <c r="AJ14351" s="835">
        <v>41882</v>
      </c>
      <c r="AK14351" s="831">
        <v>0.78364999999999996</v>
      </c>
    </row>
    <row r="14352" spans="2:37">
      <c r="B14352" s="834" t="str">
        <f t="shared" si="527"/>
        <v>|||</v>
      </c>
      <c r="H14352" s="835">
        <f t="shared" si="528"/>
        <v>31</v>
      </c>
      <c r="AF14352" s="831" t="s">
        <v>11627</v>
      </c>
      <c r="AG14352" s="831" t="s">
        <v>2674</v>
      </c>
      <c r="AH14352" s="831" t="s">
        <v>560</v>
      </c>
      <c r="AI14352" s="831">
        <v>0</v>
      </c>
      <c r="AJ14352" s="835">
        <v>41882</v>
      </c>
      <c r="AK14352" s="831">
        <v>0.78369374999999997</v>
      </c>
    </row>
    <row r="14353" spans="2:37">
      <c r="B14353" s="834" t="str">
        <f t="shared" ref="B14353:B14416" si="529">C14353&amp;"|"&amp;D14353&amp;"|"&amp;E14353&amp;"|"&amp;F14353</f>
        <v>|||</v>
      </c>
      <c r="H14353" s="835">
        <f t="shared" ref="H14353:H14416" si="530">EOMONTH(L14353,0)</f>
        <v>31</v>
      </c>
      <c r="AF14353" s="831" t="s">
        <v>11628</v>
      </c>
      <c r="AG14353" s="831" t="s">
        <v>2674</v>
      </c>
      <c r="AH14353" s="831" t="s">
        <v>559</v>
      </c>
      <c r="AI14353" s="831">
        <v>0</v>
      </c>
      <c r="AJ14353" s="835">
        <v>41882</v>
      </c>
      <c r="AK14353" s="831">
        <v>0.78372083333333331</v>
      </c>
    </row>
    <row r="14354" spans="2:37">
      <c r="B14354" s="834" t="str">
        <f t="shared" si="529"/>
        <v>|||</v>
      </c>
      <c r="H14354" s="835">
        <f t="shared" si="530"/>
        <v>31</v>
      </c>
      <c r="AF14354" s="831" t="s">
        <v>11629</v>
      </c>
      <c r="AG14354" s="831" t="s">
        <v>2674</v>
      </c>
      <c r="AH14354" s="831" t="s">
        <v>568</v>
      </c>
      <c r="AI14354" s="831">
        <v>0</v>
      </c>
      <c r="AJ14354" s="835">
        <v>41882</v>
      </c>
      <c r="AK14354" s="831">
        <v>654234997.14999998</v>
      </c>
    </row>
    <row r="14355" spans="2:37">
      <c r="B14355" s="834" t="str">
        <f t="shared" si="529"/>
        <v>|||</v>
      </c>
      <c r="H14355" s="835">
        <f t="shared" si="530"/>
        <v>31</v>
      </c>
      <c r="AF14355" s="831" t="s">
        <v>11630</v>
      </c>
      <c r="AG14355" s="831" t="s">
        <v>2674</v>
      </c>
      <c r="AH14355" s="831" t="s">
        <v>569</v>
      </c>
      <c r="AI14355" s="831">
        <v>0</v>
      </c>
      <c r="AJ14355" s="835">
        <v>41882</v>
      </c>
      <c r="AK14355" s="831">
        <v>809130662.58869231</v>
      </c>
    </row>
    <row r="14356" spans="2:37">
      <c r="B14356" s="834" t="str">
        <f t="shared" si="529"/>
        <v>|||</v>
      </c>
      <c r="H14356" s="835">
        <f t="shared" si="530"/>
        <v>31</v>
      </c>
      <c r="AF14356" s="831" t="s">
        <v>11631</v>
      </c>
      <c r="AG14356" s="831" t="s">
        <v>2674</v>
      </c>
      <c r="AH14356" s="831" t="s">
        <v>570</v>
      </c>
      <c r="AI14356" s="831">
        <v>0</v>
      </c>
      <c r="AJ14356" s="835">
        <v>41882</v>
      </c>
      <c r="AK14356" s="831">
        <v>124921808.98430769</v>
      </c>
    </row>
    <row r="14357" spans="2:37">
      <c r="B14357" s="834" t="str">
        <f t="shared" si="529"/>
        <v>|||</v>
      </c>
      <c r="H14357" s="835">
        <f t="shared" si="530"/>
        <v>31</v>
      </c>
      <c r="AF14357" s="831" t="s">
        <v>11632</v>
      </c>
      <c r="AG14357" s="831" t="s">
        <v>2674</v>
      </c>
      <c r="AH14357" s="831" t="s">
        <v>571</v>
      </c>
      <c r="AI14357" s="831">
        <v>0</v>
      </c>
      <c r="AJ14357" s="835">
        <v>41882</v>
      </c>
      <c r="AK14357" s="831">
        <v>397063607.00692308</v>
      </c>
    </row>
    <row r="14358" spans="2:37">
      <c r="B14358" s="834" t="str">
        <f t="shared" si="529"/>
        <v>|||</v>
      </c>
      <c r="H14358" s="835">
        <f t="shared" si="530"/>
        <v>31</v>
      </c>
      <c r="AF14358" s="831" t="s">
        <v>11633</v>
      </c>
      <c r="AG14358" s="831" t="s">
        <v>2674</v>
      </c>
      <c r="AH14358" s="831" t="s">
        <v>573</v>
      </c>
      <c r="AI14358" s="831">
        <v>0</v>
      </c>
      <c r="AJ14358" s="835">
        <v>41882</v>
      </c>
      <c r="AK14358" s="831">
        <v>855614502.84033334</v>
      </c>
    </row>
    <row r="14359" spans="2:37">
      <c r="B14359" s="834" t="str">
        <f t="shared" si="529"/>
        <v>|||</v>
      </c>
      <c r="H14359" s="835">
        <f t="shared" si="530"/>
        <v>31</v>
      </c>
      <c r="AF14359" s="831" t="s">
        <v>11634</v>
      </c>
      <c r="AG14359" s="831" t="s">
        <v>2674</v>
      </c>
      <c r="AH14359" s="831" t="s">
        <v>574</v>
      </c>
      <c r="AI14359" s="831">
        <v>0</v>
      </c>
      <c r="AJ14359" s="835">
        <v>41882</v>
      </c>
      <c r="AK14359" s="831">
        <v>690452658.11111116</v>
      </c>
    </row>
    <row r="14360" spans="2:37">
      <c r="B14360" s="834" t="str">
        <f t="shared" si="529"/>
        <v>|||</v>
      </c>
      <c r="H14360" s="835">
        <f t="shared" si="530"/>
        <v>31</v>
      </c>
      <c r="AF14360" s="831" t="s">
        <v>11635</v>
      </c>
      <c r="AG14360" s="831" t="s">
        <v>2674</v>
      </c>
      <c r="AH14360" s="831" t="s">
        <v>575</v>
      </c>
      <c r="AI14360" s="831">
        <v>0</v>
      </c>
      <c r="AJ14360" s="835">
        <v>41882</v>
      </c>
      <c r="AK14360" s="831">
        <v>127725459.21555556</v>
      </c>
    </row>
    <row r="14361" spans="2:37">
      <c r="B14361" s="834" t="str">
        <f t="shared" si="529"/>
        <v>|||</v>
      </c>
      <c r="H14361" s="835">
        <f t="shared" si="530"/>
        <v>31</v>
      </c>
      <c r="AF14361" s="831" t="s">
        <v>11636</v>
      </c>
      <c r="AG14361" s="831" t="s">
        <v>2674</v>
      </c>
      <c r="AH14361" s="831" t="s">
        <v>576</v>
      </c>
      <c r="AI14361" s="831">
        <v>0</v>
      </c>
      <c r="AJ14361" s="835">
        <v>41882</v>
      </c>
      <c r="AK14361" s="831">
        <v>422408457.33644444</v>
      </c>
    </row>
    <row r="14362" spans="2:37">
      <c r="B14362" s="834" t="str">
        <f t="shared" si="529"/>
        <v>|||</v>
      </c>
      <c r="H14362" s="835">
        <f t="shared" si="530"/>
        <v>31</v>
      </c>
      <c r="AF14362" s="831" t="s">
        <v>11637</v>
      </c>
      <c r="AG14362" s="831" t="s">
        <v>2674</v>
      </c>
      <c r="AH14362" s="831" t="s">
        <v>572</v>
      </c>
      <c r="AI14362" s="831">
        <v>0</v>
      </c>
      <c r="AJ14362" s="835">
        <v>41882</v>
      </c>
      <c r="AK14362" s="831">
        <v>33565597.724000007</v>
      </c>
    </row>
    <row r="14363" spans="2:37">
      <c r="B14363" s="834" t="str">
        <f t="shared" si="529"/>
        <v>|||</v>
      </c>
      <c r="H14363" s="835">
        <f t="shared" si="530"/>
        <v>31</v>
      </c>
      <c r="AF14363" s="831" t="s">
        <v>11638</v>
      </c>
      <c r="AG14363" s="831" t="s">
        <v>2674</v>
      </c>
      <c r="AH14363" s="831" t="s">
        <v>577</v>
      </c>
      <c r="AI14363" s="831">
        <v>0</v>
      </c>
      <c r="AJ14363" s="835">
        <v>41882</v>
      </c>
      <c r="AK14363" s="831">
        <v>160354648.42500001</v>
      </c>
    </row>
    <row r="14364" spans="2:37">
      <c r="B14364" s="834" t="str">
        <f t="shared" si="529"/>
        <v>|||</v>
      </c>
      <c r="H14364" s="835">
        <f t="shared" si="530"/>
        <v>31</v>
      </c>
      <c r="AF14364" s="831" t="s">
        <v>11639</v>
      </c>
      <c r="AG14364" s="831" t="s">
        <v>2674</v>
      </c>
      <c r="AH14364" s="831" t="s">
        <v>3042</v>
      </c>
      <c r="AI14364" s="831">
        <v>0</v>
      </c>
      <c r="AJ14364" s="835">
        <v>41882</v>
      </c>
      <c r="AK14364" s="831">
        <v>-46384889.891000003</v>
      </c>
    </row>
    <row r="14365" spans="2:37">
      <c r="B14365" s="834" t="str">
        <f t="shared" si="529"/>
        <v>|||</v>
      </c>
      <c r="H14365" s="835">
        <f t="shared" si="530"/>
        <v>31</v>
      </c>
      <c r="AF14365" s="831" t="s">
        <v>11640</v>
      </c>
      <c r="AG14365" s="831" t="s">
        <v>2674</v>
      </c>
      <c r="AH14365" s="831" t="s">
        <v>3044</v>
      </c>
      <c r="AI14365" s="831">
        <v>0</v>
      </c>
      <c r="AJ14365" s="835">
        <v>41882</v>
      </c>
      <c r="AK14365" s="831">
        <v>-2154547.3159999996</v>
      </c>
    </row>
    <row r="14366" spans="2:37">
      <c r="B14366" s="834" t="str">
        <f t="shared" si="529"/>
        <v>|||</v>
      </c>
      <c r="H14366" s="835">
        <f t="shared" si="530"/>
        <v>31</v>
      </c>
      <c r="AF14366" s="831" t="s">
        <v>11641</v>
      </c>
      <c r="AG14366" s="831" t="s">
        <v>2674</v>
      </c>
      <c r="AH14366" s="831" t="s">
        <v>580</v>
      </c>
      <c r="AI14366" s="831">
        <v>0</v>
      </c>
      <c r="AJ14366" s="835">
        <v>41882</v>
      </c>
      <c r="AK14366" s="831">
        <v>-74112712.891000003</v>
      </c>
    </row>
    <row r="14367" spans="2:37">
      <c r="B14367" s="834" t="str">
        <f t="shared" si="529"/>
        <v>|||</v>
      </c>
      <c r="H14367" s="835">
        <f t="shared" si="530"/>
        <v>31</v>
      </c>
      <c r="AF14367" s="831" t="s">
        <v>11642</v>
      </c>
      <c r="AG14367" s="831" t="s">
        <v>2674</v>
      </c>
      <c r="AH14367" s="831" t="s">
        <v>581</v>
      </c>
      <c r="AI14367" s="831">
        <v>0</v>
      </c>
      <c r="AJ14367" s="835">
        <v>41882</v>
      </c>
      <c r="AK14367" s="831">
        <v>6514589.0720000006</v>
      </c>
    </row>
    <row r="14368" spans="2:37">
      <c r="B14368" s="834" t="str">
        <f t="shared" si="529"/>
        <v>|||</v>
      </c>
      <c r="H14368" s="835">
        <f t="shared" si="530"/>
        <v>31</v>
      </c>
      <c r="AF14368" s="831" t="s">
        <v>11643</v>
      </c>
      <c r="AG14368" s="831" t="s">
        <v>2674</v>
      </c>
      <c r="AH14368" s="831" t="s">
        <v>105</v>
      </c>
      <c r="AI14368" s="831">
        <v>0</v>
      </c>
      <c r="AJ14368" s="835">
        <v>41882</v>
      </c>
      <c r="AK14368" s="831">
        <v>478699463.41700006</v>
      </c>
    </row>
    <row r="14369" spans="2:37">
      <c r="B14369" s="834" t="str">
        <f t="shared" si="529"/>
        <v>|||</v>
      </c>
      <c r="H14369" s="835">
        <f t="shared" si="530"/>
        <v>31</v>
      </c>
      <c r="AF14369" s="831" t="s">
        <v>11644</v>
      </c>
      <c r="AG14369" s="831" t="s">
        <v>2674</v>
      </c>
      <c r="AH14369" s="831" t="s">
        <v>3049</v>
      </c>
      <c r="AI14369" s="831">
        <v>0</v>
      </c>
      <c r="AJ14369" s="835">
        <v>41882</v>
      </c>
      <c r="AK14369" s="831">
        <v>787453668.41700006</v>
      </c>
    </row>
    <row r="14370" spans="2:37">
      <c r="B14370" s="834" t="str">
        <f t="shared" si="529"/>
        <v>|||</v>
      </c>
      <c r="H14370" s="835">
        <f t="shared" si="530"/>
        <v>31</v>
      </c>
      <c r="AF14370" s="831" t="s">
        <v>11645</v>
      </c>
      <c r="AG14370" s="831" t="s">
        <v>2674</v>
      </c>
      <c r="AH14370" s="831" t="s">
        <v>103</v>
      </c>
      <c r="AI14370" s="831">
        <v>0</v>
      </c>
      <c r="AJ14370" s="835">
        <v>41882</v>
      </c>
      <c r="AK14370" s="831">
        <v>308754205</v>
      </c>
    </row>
    <row r="14371" spans="2:37">
      <c r="B14371" s="834" t="str">
        <f t="shared" si="529"/>
        <v>|||</v>
      </c>
      <c r="H14371" s="835">
        <f t="shared" si="530"/>
        <v>31</v>
      </c>
      <c r="AF14371" s="831" t="s">
        <v>11646</v>
      </c>
      <c r="AG14371" s="831" t="s">
        <v>2674</v>
      </c>
      <c r="AH14371" s="831" t="s">
        <v>182</v>
      </c>
      <c r="AI14371" s="831">
        <v>0</v>
      </c>
      <c r="AJ14371" s="835">
        <v>41882</v>
      </c>
      <c r="AK14371" s="831">
        <v>72923285.376000002</v>
      </c>
    </row>
    <row r="14372" spans="2:37">
      <c r="B14372" s="834" t="str">
        <f t="shared" si="529"/>
        <v>|||</v>
      </c>
      <c r="H14372" s="835">
        <f t="shared" si="530"/>
        <v>31</v>
      </c>
      <c r="AF14372" s="831" t="s">
        <v>11647</v>
      </c>
      <c r="AG14372" s="831" t="s">
        <v>2674</v>
      </c>
      <c r="AH14372" s="831" t="s">
        <v>6600</v>
      </c>
      <c r="AI14372" s="831">
        <v>0</v>
      </c>
      <c r="AJ14372" s="835">
        <v>41882</v>
      </c>
      <c r="AK14372" s="831">
        <v>33565597.724000007</v>
      </c>
    </row>
    <row r="14373" spans="2:37">
      <c r="B14373" s="834" t="str">
        <f t="shared" si="529"/>
        <v>|||</v>
      </c>
      <c r="H14373" s="835">
        <f t="shared" si="530"/>
        <v>31</v>
      </c>
      <c r="AF14373" s="831" t="s">
        <v>11648</v>
      </c>
      <c r="AG14373" s="831" t="s">
        <v>2674</v>
      </c>
      <c r="AH14373" s="831" t="s">
        <v>6602</v>
      </c>
      <c r="AI14373" s="831">
        <v>0</v>
      </c>
      <c r="AJ14373" s="835">
        <v>41882</v>
      </c>
      <c r="AK14373" s="831">
        <v>25500774.76800001</v>
      </c>
    </row>
    <row r="14374" spans="2:37">
      <c r="B14374" s="834" t="str">
        <f t="shared" si="529"/>
        <v>|||</v>
      </c>
      <c r="H14374" s="835">
        <f t="shared" si="530"/>
        <v>31</v>
      </c>
      <c r="AF14374" s="831" t="s">
        <v>11649</v>
      </c>
      <c r="AG14374" s="831" t="s">
        <v>2674</v>
      </c>
      <c r="AH14374" s="831" t="s">
        <v>650</v>
      </c>
      <c r="AI14374" s="831">
        <v>0</v>
      </c>
      <c r="AJ14374" s="835">
        <v>41882</v>
      </c>
      <c r="AK14374" s="831">
        <v>265538072.42453846</v>
      </c>
    </row>
    <row r="14375" spans="2:37">
      <c r="B14375" s="834" t="str">
        <f t="shared" si="529"/>
        <v>|||</v>
      </c>
      <c r="H14375" s="835">
        <f t="shared" si="530"/>
        <v>31</v>
      </c>
      <c r="AF14375" s="831" t="s">
        <v>11650</v>
      </c>
      <c r="AG14375" s="831" t="s">
        <v>2674</v>
      </c>
      <c r="AH14375" s="831" t="s">
        <v>655</v>
      </c>
      <c r="AI14375" s="831">
        <v>0</v>
      </c>
      <c r="AJ14375" s="835">
        <v>41882</v>
      </c>
      <c r="AK14375" s="831">
        <v>1018935.1089999999</v>
      </c>
    </row>
    <row r="14376" spans="2:37">
      <c r="B14376" s="834" t="str">
        <f t="shared" si="529"/>
        <v>|||</v>
      </c>
      <c r="H14376" s="835">
        <f t="shared" si="530"/>
        <v>31</v>
      </c>
      <c r="AF14376" s="831" t="s">
        <v>11651</v>
      </c>
      <c r="AG14376" s="831" t="s">
        <v>2674</v>
      </c>
      <c r="AH14376" s="831" t="s">
        <v>546</v>
      </c>
      <c r="AI14376" s="831">
        <v>0</v>
      </c>
      <c r="AJ14376" s="835">
        <v>41912</v>
      </c>
      <c r="AK14376" s="831">
        <v>775508043</v>
      </c>
    </row>
    <row r="14377" spans="2:37">
      <c r="B14377" s="834" t="str">
        <f t="shared" si="529"/>
        <v>|||</v>
      </c>
      <c r="H14377" s="835">
        <f t="shared" si="530"/>
        <v>31</v>
      </c>
      <c r="AF14377" s="831" t="s">
        <v>11652</v>
      </c>
      <c r="AG14377" s="831" t="s">
        <v>2674</v>
      </c>
      <c r="AH14377" s="831" t="s">
        <v>370</v>
      </c>
      <c r="AI14377" s="831">
        <v>0</v>
      </c>
      <c r="AJ14377" s="835">
        <v>41912</v>
      </c>
      <c r="AK14377" s="831">
        <v>955738548</v>
      </c>
    </row>
    <row r="14378" spans="2:37">
      <c r="B14378" s="834" t="str">
        <f t="shared" si="529"/>
        <v>|||</v>
      </c>
      <c r="H14378" s="835">
        <f t="shared" si="530"/>
        <v>31</v>
      </c>
      <c r="AF14378" s="831" t="s">
        <v>11653</v>
      </c>
      <c r="AG14378" s="831" t="s">
        <v>2674</v>
      </c>
      <c r="AH14378" s="831" t="s">
        <v>126</v>
      </c>
      <c r="AI14378" s="831">
        <v>0</v>
      </c>
      <c r="AJ14378" s="835">
        <v>41912</v>
      </c>
      <c r="AK14378" s="831">
        <v>145830225</v>
      </c>
    </row>
    <row r="14379" spans="2:37">
      <c r="B14379" s="834" t="str">
        <f t="shared" si="529"/>
        <v>|||</v>
      </c>
      <c r="H14379" s="835">
        <f t="shared" si="530"/>
        <v>31</v>
      </c>
      <c r="AF14379" s="831" t="s">
        <v>11654</v>
      </c>
      <c r="AG14379" s="831" t="s">
        <v>2674</v>
      </c>
      <c r="AH14379" s="831" t="s">
        <v>268</v>
      </c>
      <c r="AI14379" s="831">
        <v>0</v>
      </c>
      <c r="AJ14379" s="835">
        <v>41912</v>
      </c>
      <c r="AK14379" s="831">
        <v>29012035</v>
      </c>
    </row>
    <row r="14380" spans="2:37">
      <c r="B14380" s="834" t="str">
        <f t="shared" si="529"/>
        <v>|||</v>
      </c>
      <c r="H14380" s="835">
        <f t="shared" si="530"/>
        <v>31</v>
      </c>
      <c r="AF14380" s="831" t="s">
        <v>11655</v>
      </c>
      <c r="AG14380" s="831" t="s">
        <v>2674</v>
      </c>
      <c r="AH14380" s="831" t="s">
        <v>547</v>
      </c>
      <c r="AI14380" s="831">
        <v>0</v>
      </c>
      <c r="AJ14380" s="835">
        <v>41912</v>
      </c>
      <c r="AK14380" s="831">
        <v>777719977</v>
      </c>
    </row>
    <row r="14381" spans="2:37">
      <c r="B14381" s="834" t="str">
        <f t="shared" si="529"/>
        <v>|||</v>
      </c>
      <c r="H14381" s="835">
        <f t="shared" si="530"/>
        <v>31</v>
      </c>
      <c r="AF14381" s="831" t="s">
        <v>11656</v>
      </c>
      <c r="AG14381" s="831" t="s">
        <v>2674</v>
      </c>
      <c r="AH14381" s="831" t="s">
        <v>548</v>
      </c>
      <c r="AI14381" s="831">
        <v>0</v>
      </c>
      <c r="AJ14381" s="835">
        <v>41912</v>
      </c>
      <c r="AK14381" s="831">
        <v>117105496</v>
      </c>
    </row>
    <row r="14382" spans="2:37">
      <c r="B14382" s="834" t="str">
        <f t="shared" si="529"/>
        <v>|||</v>
      </c>
      <c r="H14382" s="835">
        <f t="shared" si="530"/>
        <v>31</v>
      </c>
      <c r="AF14382" s="831" t="s">
        <v>11657</v>
      </c>
      <c r="AG14382" s="831" t="s">
        <v>2674</v>
      </c>
      <c r="AH14382" s="831" t="s">
        <v>549</v>
      </c>
      <c r="AI14382" s="831">
        <v>0</v>
      </c>
      <c r="AJ14382" s="835">
        <v>41912</v>
      </c>
      <c r="AK14382" s="831">
        <v>563989028</v>
      </c>
    </row>
    <row r="14383" spans="2:37">
      <c r="B14383" s="834" t="str">
        <f t="shared" si="529"/>
        <v>|||</v>
      </c>
      <c r="H14383" s="835">
        <f t="shared" si="530"/>
        <v>31</v>
      </c>
      <c r="AF14383" s="831" t="s">
        <v>11658</v>
      </c>
      <c r="AG14383" s="831" t="s">
        <v>2674</v>
      </c>
      <c r="AH14383" s="831" t="s">
        <v>192</v>
      </c>
      <c r="AI14383" s="831">
        <v>0</v>
      </c>
      <c r="AJ14383" s="835">
        <v>41912</v>
      </c>
      <c r="AK14383" s="831">
        <v>-11006364</v>
      </c>
    </row>
    <row r="14384" spans="2:37">
      <c r="B14384" s="834" t="str">
        <f t="shared" si="529"/>
        <v>|||</v>
      </c>
      <c r="H14384" s="835">
        <f t="shared" si="530"/>
        <v>31</v>
      </c>
      <c r="AF14384" s="831" t="s">
        <v>11659</v>
      </c>
      <c r="AG14384" s="831" t="s">
        <v>2674</v>
      </c>
      <c r="AH14384" s="831" t="s">
        <v>558</v>
      </c>
      <c r="AI14384" s="831">
        <v>0</v>
      </c>
      <c r="AJ14384" s="835">
        <v>41912</v>
      </c>
      <c r="AK14384" s="831">
        <v>809908323</v>
      </c>
    </row>
    <row r="14385" spans="2:37">
      <c r="B14385" s="834" t="str">
        <f t="shared" si="529"/>
        <v>|||</v>
      </c>
      <c r="H14385" s="835">
        <f t="shared" si="530"/>
        <v>31</v>
      </c>
      <c r="AF14385" s="831" t="s">
        <v>11660</v>
      </c>
      <c r="AG14385" s="831" t="s">
        <v>2674</v>
      </c>
      <c r="AH14385" s="831" t="s">
        <v>65</v>
      </c>
      <c r="AI14385" s="831">
        <v>0</v>
      </c>
      <c r="AJ14385" s="835">
        <v>41912</v>
      </c>
      <c r="AK14385" s="831">
        <v>126643298</v>
      </c>
    </row>
    <row r="14386" spans="2:37">
      <c r="B14386" s="834" t="str">
        <f t="shared" si="529"/>
        <v>|||</v>
      </c>
      <c r="H14386" s="835">
        <f t="shared" si="530"/>
        <v>31</v>
      </c>
      <c r="AF14386" s="831" t="s">
        <v>11661</v>
      </c>
      <c r="AG14386" s="831" t="s">
        <v>2674</v>
      </c>
      <c r="AH14386" s="831" t="s">
        <v>89</v>
      </c>
      <c r="AI14386" s="831">
        <v>0</v>
      </c>
      <c r="AJ14386" s="835">
        <v>41912</v>
      </c>
      <c r="AK14386" s="831">
        <v>159987</v>
      </c>
    </row>
    <row r="14387" spans="2:37">
      <c r="B14387" s="834" t="str">
        <f t="shared" si="529"/>
        <v>|||</v>
      </c>
      <c r="H14387" s="835">
        <f t="shared" si="530"/>
        <v>31</v>
      </c>
      <c r="AF14387" s="831" t="s">
        <v>11662</v>
      </c>
      <c r="AG14387" s="831" t="s">
        <v>2674</v>
      </c>
      <c r="AH14387" s="831" t="s">
        <v>557</v>
      </c>
      <c r="AI14387" s="831">
        <v>0</v>
      </c>
      <c r="AJ14387" s="835">
        <v>41912</v>
      </c>
      <c r="AK14387" s="831">
        <v>180249</v>
      </c>
    </row>
    <row r="14388" spans="2:37">
      <c r="B14388" s="834" t="str">
        <f t="shared" si="529"/>
        <v>|||</v>
      </c>
      <c r="H14388" s="835">
        <f t="shared" si="530"/>
        <v>31</v>
      </c>
      <c r="AF14388" s="831" t="s">
        <v>11663</v>
      </c>
      <c r="AG14388" s="831" t="s">
        <v>2674</v>
      </c>
      <c r="AH14388" s="831" t="s">
        <v>29</v>
      </c>
      <c r="AI14388" s="831">
        <v>0</v>
      </c>
      <c r="AJ14388" s="835">
        <v>41912</v>
      </c>
      <c r="AK14388" s="831">
        <v>2332375</v>
      </c>
    </row>
    <row r="14389" spans="2:37">
      <c r="B14389" s="834" t="str">
        <f t="shared" si="529"/>
        <v>|||</v>
      </c>
      <c r="H14389" s="835">
        <f t="shared" si="530"/>
        <v>31</v>
      </c>
      <c r="AF14389" s="831" t="s">
        <v>11664</v>
      </c>
      <c r="AG14389" s="831" t="s">
        <v>2674</v>
      </c>
      <c r="AH14389" s="831" t="s">
        <v>2688</v>
      </c>
      <c r="AI14389" s="831">
        <v>0</v>
      </c>
      <c r="AJ14389" s="835">
        <v>41912</v>
      </c>
      <c r="AK14389" s="831">
        <v>4758526.78</v>
      </c>
    </row>
    <row r="14390" spans="2:37">
      <c r="B14390" s="834" t="str">
        <f t="shared" si="529"/>
        <v>|||</v>
      </c>
      <c r="H14390" s="835">
        <f t="shared" si="530"/>
        <v>31</v>
      </c>
      <c r="AF14390" s="831" t="s">
        <v>11665</v>
      </c>
      <c r="AG14390" s="831" t="s">
        <v>2674</v>
      </c>
      <c r="AH14390" s="831" t="s">
        <v>556</v>
      </c>
      <c r="AI14390" s="831">
        <v>0</v>
      </c>
      <c r="AJ14390" s="835">
        <v>41912</v>
      </c>
      <c r="AK14390" s="831">
        <v>6520953</v>
      </c>
    </row>
    <row r="14391" spans="2:37">
      <c r="B14391" s="834" t="str">
        <f t="shared" si="529"/>
        <v>|||</v>
      </c>
      <c r="H14391" s="835">
        <f t="shared" si="530"/>
        <v>31</v>
      </c>
      <c r="AF14391" s="831" t="s">
        <v>11666</v>
      </c>
      <c r="AG14391" s="831" t="s">
        <v>2674</v>
      </c>
      <c r="AH14391" s="831" t="s">
        <v>555</v>
      </c>
      <c r="AI14391" s="831">
        <v>0</v>
      </c>
      <c r="AJ14391" s="835">
        <v>41912</v>
      </c>
      <c r="AK14391" s="831">
        <v>528140339</v>
      </c>
    </row>
    <row r="14392" spans="2:37">
      <c r="B14392" s="834" t="str">
        <f t="shared" si="529"/>
        <v>|||</v>
      </c>
      <c r="H14392" s="835">
        <f t="shared" si="530"/>
        <v>31</v>
      </c>
      <c r="AF14392" s="831" t="s">
        <v>11667</v>
      </c>
      <c r="AG14392" s="831" t="s">
        <v>2674</v>
      </c>
      <c r="AH14392" s="831" t="s">
        <v>554</v>
      </c>
      <c r="AI14392" s="831">
        <v>0</v>
      </c>
      <c r="AJ14392" s="835">
        <v>41912</v>
      </c>
      <c r="AK14392" s="831">
        <v>536741460</v>
      </c>
    </row>
    <row r="14393" spans="2:37">
      <c r="B14393" s="834" t="str">
        <f t="shared" si="529"/>
        <v>|||</v>
      </c>
      <c r="H14393" s="835">
        <f t="shared" si="530"/>
        <v>31</v>
      </c>
      <c r="AF14393" s="831" t="s">
        <v>11668</v>
      </c>
      <c r="AG14393" s="831" t="s">
        <v>2674</v>
      </c>
      <c r="AH14393" s="831" t="s">
        <v>553</v>
      </c>
      <c r="AI14393" s="831">
        <v>0</v>
      </c>
      <c r="AJ14393" s="835">
        <v>41912</v>
      </c>
      <c r="AK14393" s="831">
        <v>0</v>
      </c>
    </row>
    <row r="14394" spans="2:37">
      <c r="B14394" s="834" t="str">
        <f t="shared" si="529"/>
        <v>|||</v>
      </c>
      <c r="H14394" s="835">
        <f t="shared" si="530"/>
        <v>31</v>
      </c>
      <c r="AF14394" s="831" t="s">
        <v>11669</v>
      </c>
      <c r="AG14394" s="831" t="s">
        <v>2674</v>
      </c>
      <c r="AH14394" s="831" t="s">
        <v>552</v>
      </c>
      <c r="AI14394" s="831">
        <v>0</v>
      </c>
      <c r="AJ14394" s="835">
        <v>41912</v>
      </c>
      <c r="AK14394" s="831">
        <v>0</v>
      </c>
    </row>
    <row r="14395" spans="2:37">
      <c r="B14395" s="834" t="str">
        <f t="shared" si="529"/>
        <v>|||</v>
      </c>
      <c r="H14395" s="835">
        <f t="shared" si="530"/>
        <v>31</v>
      </c>
      <c r="AF14395" s="831" t="s">
        <v>11670</v>
      </c>
      <c r="AG14395" s="831" t="s">
        <v>2674</v>
      </c>
      <c r="AH14395" s="831" t="s">
        <v>551</v>
      </c>
      <c r="AI14395" s="831">
        <v>0</v>
      </c>
      <c r="AJ14395" s="835">
        <v>41912</v>
      </c>
      <c r="AK14395" s="831">
        <v>1612094</v>
      </c>
    </row>
    <row r="14396" spans="2:37">
      <c r="B14396" s="834" t="str">
        <f t="shared" si="529"/>
        <v>|||</v>
      </c>
      <c r="H14396" s="835">
        <f t="shared" si="530"/>
        <v>31</v>
      </c>
      <c r="AF14396" s="831" t="s">
        <v>11671</v>
      </c>
      <c r="AG14396" s="831" t="s">
        <v>2674</v>
      </c>
      <c r="AH14396" s="831" t="s">
        <v>550</v>
      </c>
      <c r="AI14396" s="831">
        <v>0</v>
      </c>
      <c r="AJ14396" s="835">
        <v>41912</v>
      </c>
      <c r="AK14396" s="831">
        <v>141824046.03</v>
      </c>
    </row>
    <row r="14397" spans="2:37">
      <c r="B14397" s="834" t="str">
        <f t="shared" si="529"/>
        <v>|||</v>
      </c>
      <c r="H14397" s="835">
        <f t="shared" si="530"/>
        <v>31</v>
      </c>
      <c r="AF14397" s="831" t="s">
        <v>11672</v>
      </c>
      <c r="AG14397" s="831" t="s">
        <v>2674</v>
      </c>
      <c r="AH14397" s="831" t="s">
        <v>562</v>
      </c>
      <c r="AI14397" s="831">
        <v>0</v>
      </c>
      <c r="AJ14397" s="835">
        <v>41912</v>
      </c>
      <c r="AK14397" s="831">
        <v>0.78325</v>
      </c>
    </row>
    <row r="14398" spans="2:37">
      <c r="B14398" s="834" t="str">
        <f t="shared" si="529"/>
        <v>|||</v>
      </c>
      <c r="H14398" s="835">
        <f t="shared" si="530"/>
        <v>31</v>
      </c>
      <c r="AF14398" s="831" t="s">
        <v>11673</v>
      </c>
      <c r="AG14398" s="831" t="s">
        <v>2674</v>
      </c>
      <c r="AH14398" s="831" t="s">
        <v>2698</v>
      </c>
      <c r="AI14398" s="831">
        <v>0</v>
      </c>
      <c r="AJ14398" s="835">
        <v>41912</v>
      </c>
      <c r="AK14398" s="831">
        <v>0.7833</v>
      </c>
    </row>
    <row r="14399" spans="2:37">
      <c r="B14399" s="834" t="str">
        <f t="shared" si="529"/>
        <v>|||</v>
      </c>
      <c r="H14399" s="835">
        <f t="shared" si="530"/>
        <v>31</v>
      </c>
      <c r="AF14399" s="831" t="s">
        <v>11674</v>
      </c>
      <c r="AG14399" s="831" t="s">
        <v>2674</v>
      </c>
      <c r="AH14399" s="831" t="s">
        <v>560</v>
      </c>
      <c r="AI14399" s="831">
        <v>0</v>
      </c>
      <c r="AJ14399" s="835">
        <v>41912</v>
      </c>
      <c r="AK14399" s="831">
        <v>0.78364444444444448</v>
      </c>
    </row>
    <row r="14400" spans="2:37">
      <c r="B14400" s="834" t="str">
        <f t="shared" si="529"/>
        <v>|||</v>
      </c>
      <c r="H14400" s="835">
        <f t="shared" si="530"/>
        <v>31</v>
      </c>
      <c r="AF14400" s="831" t="s">
        <v>11675</v>
      </c>
      <c r="AG14400" s="831" t="s">
        <v>2674</v>
      </c>
      <c r="AH14400" s="831" t="s">
        <v>559</v>
      </c>
      <c r="AI14400" s="831">
        <v>0</v>
      </c>
      <c r="AJ14400" s="835">
        <v>41912</v>
      </c>
      <c r="AK14400" s="831">
        <v>0.78366250000000004</v>
      </c>
    </row>
    <row r="14401" spans="2:37">
      <c r="B14401" s="834" t="str">
        <f t="shared" si="529"/>
        <v>|||</v>
      </c>
      <c r="H14401" s="835">
        <f t="shared" si="530"/>
        <v>31</v>
      </c>
      <c r="AF14401" s="831" t="s">
        <v>11676</v>
      </c>
      <c r="AG14401" s="831" t="s">
        <v>2674</v>
      </c>
      <c r="AH14401" s="831" t="s">
        <v>568</v>
      </c>
      <c r="AI14401" s="831">
        <v>0</v>
      </c>
      <c r="AJ14401" s="835">
        <v>41912</v>
      </c>
      <c r="AK14401" s="831">
        <v>671683974.07307696</v>
      </c>
    </row>
    <row r="14402" spans="2:37">
      <c r="B14402" s="834" t="str">
        <f t="shared" si="529"/>
        <v>|||</v>
      </c>
      <c r="H14402" s="835">
        <f t="shared" si="530"/>
        <v>31</v>
      </c>
      <c r="AF14402" s="831" t="s">
        <v>11677</v>
      </c>
      <c r="AG14402" s="831" t="s">
        <v>2674</v>
      </c>
      <c r="AH14402" s="831" t="s">
        <v>569</v>
      </c>
      <c r="AI14402" s="831">
        <v>0</v>
      </c>
      <c r="AJ14402" s="835">
        <v>41912</v>
      </c>
      <c r="AK14402" s="831">
        <v>832078660.51176918</v>
      </c>
    </row>
    <row r="14403" spans="2:37">
      <c r="B14403" s="834" t="str">
        <f t="shared" si="529"/>
        <v>|||</v>
      </c>
      <c r="H14403" s="835">
        <f t="shared" si="530"/>
        <v>31</v>
      </c>
      <c r="AF14403" s="831" t="s">
        <v>11678</v>
      </c>
      <c r="AG14403" s="831" t="s">
        <v>2674</v>
      </c>
      <c r="AH14403" s="831" t="s">
        <v>570</v>
      </c>
      <c r="AI14403" s="831">
        <v>0</v>
      </c>
      <c r="AJ14403" s="835">
        <v>41912</v>
      </c>
      <c r="AK14403" s="831">
        <v>127379907.52276923</v>
      </c>
    </row>
    <row r="14404" spans="2:37">
      <c r="B14404" s="834" t="str">
        <f t="shared" si="529"/>
        <v>|||</v>
      </c>
      <c r="H14404" s="835">
        <f t="shared" si="530"/>
        <v>31</v>
      </c>
      <c r="AF14404" s="831" t="s">
        <v>11679</v>
      </c>
      <c r="AG14404" s="831" t="s">
        <v>2674</v>
      </c>
      <c r="AH14404" s="831" t="s">
        <v>571</v>
      </c>
      <c r="AI14404" s="831">
        <v>0</v>
      </c>
      <c r="AJ14404" s="835">
        <v>41912</v>
      </c>
      <c r="AK14404" s="831">
        <v>409242621.46846157</v>
      </c>
    </row>
    <row r="14405" spans="2:37">
      <c r="B14405" s="834" t="str">
        <f t="shared" si="529"/>
        <v>|||</v>
      </c>
      <c r="H14405" s="835">
        <f t="shared" si="530"/>
        <v>31</v>
      </c>
      <c r="AF14405" s="831" t="s">
        <v>11680</v>
      </c>
      <c r="AG14405" s="831" t="s">
        <v>2674</v>
      </c>
      <c r="AH14405" s="831" t="s">
        <v>573</v>
      </c>
      <c r="AI14405" s="831">
        <v>0</v>
      </c>
      <c r="AJ14405" s="835">
        <v>41912</v>
      </c>
      <c r="AK14405" s="831">
        <v>865626907.3563</v>
      </c>
    </row>
    <row r="14406" spans="2:37">
      <c r="B14406" s="834" t="str">
        <f t="shared" si="529"/>
        <v>|||</v>
      </c>
      <c r="H14406" s="835">
        <f t="shared" si="530"/>
        <v>31</v>
      </c>
      <c r="AF14406" s="831" t="s">
        <v>11681</v>
      </c>
      <c r="AG14406" s="831" t="s">
        <v>2674</v>
      </c>
      <c r="AH14406" s="831" t="s">
        <v>574</v>
      </c>
      <c r="AI14406" s="831">
        <v>0</v>
      </c>
      <c r="AJ14406" s="835">
        <v>41912</v>
      </c>
      <c r="AK14406" s="831">
        <v>698958196.60000002</v>
      </c>
    </row>
    <row r="14407" spans="2:37">
      <c r="B14407" s="834" t="str">
        <f t="shared" si="529"/>
        <v>|||</v>
      </c>
      <c r="H14407" s="835">
        <f t="shared" si="530"/>
        <v>31</v>
      </c>
      <c r="AF14407" s="831" t="s">
        <v>11682</v>
      </c>
      <c r="AG14407" s="831" t="s">
        <v>2674</v>
      </c>
      <c r="AH14407" s="831" t="s">
        <v>575</v>
      </c>
      <c r="AI14407" s="831">
        <v>0</v>
      </c>
      <c r="AJ14407" s="835">
        <v>41912</v>
      </c>
      <c r="AK14407" s="831">
        <v>129535935.794</v>
      </c>
    </row>
    <row r="14408" spans="2:37">
      <c r="B14408" s="834" t="str">
        <f t="shared" si="529"/>
        <v>|||</v>
      </c>
      <c r="H14408" s="835">
        <f t="shared" si="530"/>
        <v>31</v>
      </c>
      <c r="AF14408" s="831" t="s">
        <v>11683</v>
      </c>
      <c r="AG14408" s="831" t="s">
        <v>2674</v>
      </c>
      <c r="AH14408" s="831" t="s">
        <v>576</v>
      </c>
      <c r="AI14408" s="831">
        <v>0</v>
      </c>
      <c r="AJ14408" s="835">
        <v>41912</v>
      </c>
      <c r="AK14408" s="831">
        <v>427412859.60280001</v>
      </c>
    </row>
    <row r="14409" spans="2:37">
      <c r="B14409" s="834" t="str">
        <f t="shared" si="529"/>
        <v>|||</v>
      </c>
      <c r="H14409" s="835">
        <f t="shared" si="530"/>
        <v>31</v>
      </c>
      <c r="AF14409" s="831" t="s">
        <v>11684</v>
      </c>
      <c r="AG14409" s="831" t="s">
        <v>2674</v>
      </c>
      <c r="AH14409" s="831" t="s">
        <v>572</v>
      </c>
      <c r="AI14409" s="831">
        <v>0</v>
      </c>
      <c r="AJ14409" s="835">
        <v>41912</v>
      </c>
      <c r="AK14409" s="831">
        <v>33781162.955999985</v>
      </c>
    </row>
    <row r="14410" spans="2:37">
      <c r="B14410" s="834" t="str">
        <f t="shared" si="529"/>
        <v>|||</v>
      </c>
      <c r="H14410" s="835">
        <f t="shared" si="530"/>
        <v>31</v>
      </c>
      <c r="AF14410" s="831" t="s">
        <v>11685</v>
      </c>
      <c r="AG14410" s="831" t="s">
        <v>2674</v>
      </c>
      <c r="AH14410" s="831" t="s">
        <v>577</v>
      </c>
      <c r="AI14410" s="831">
        <v>0</v>
      </c>
      <c r="AJ14410" s="835">
        <v>41912</v>
      </c>
      <c r="AK14410" s="831">
        <v>164186629.76300001</v>
      </c>
    </row>
    <row r="14411" spans="2:37">
      <c r="B14411" s="834" t="str">
        <f t="shared" si="529"/>
        <v>|||</v>
      </c>
      <c r="H14411" s="835">
        <f t="shared" si="530"/>
        <v>31</v>
      </c>
      <c r="AF14411" s="831" t="s">
        <v>11686</v>
      </c>
      <c r="AG14411" s="831" t="s">
        <v>2674</v>
      </c>
      <c r="AH14411" s="831" t="s">
        <v>3042</v>
      </c>
      <c r="AI14411" s="831">
        <v>0</v>
      </c>
      <c r="AJ14411" s="835">
        <v>41912</v>
      </c>
      <c r="AK14411" s="831">
        <v>-47764358.527000003</v>
      </c>
    </row>
    <row r="14412" spans="2:37">
      <c r="B14412" s="834" t="str">
        <f t="shared" si="529"/>
        <v>|||</v>
      </c>
      <c r="H14412" s="835">
        <f t="shared" si="530"/>
        <v>31</v>
      </c>
      <c r="AF14412" s="831" t="s">
        <v>11687</v>
      </c>
      <c r="AG14412" s="831" t="s">
        <v>2674</v>
      </c>
      <c r="AH14412" s="831" t="s">
        <v>3044</v>
      </c>
      <c r="AI14412" s="831">
        <v>0</v>
      </c>
      <c r="AJ14412" s="835">
        <v>41912</v>
      </c>
      <c r="AK14412" s="831">
        <v>-2027515.8899999997</v>
      </c>
    </row>
    <row r="14413" spans="2:37">
      <c r="B14413" s="834" t="str">
        <f t="shared" si="529"/>
        <v>|||</v>
      </c>
      <c r="H14413" s="835">
        <f t="shared" si="530"/>
        <v>31</v>
      </c>
      <c r="AF14413" s="831" t="s">
        <v>11688</v>
      </c>
      <c r="AG14413" s="831" t="s">
        <v>2674</v>
      </c>
      <c r="AH14413" s="831" t="s">
        <v>580</v>
      </c>
      <c r="AI14413" s="831">
        <v>0</v>
      </c>
      <c r="AJ14413" s="835">
        <v>41912</v>
      </c>
      <c r="AK14413" s="831">
        <v>-75872333.307000011</v>
      </c>
    </row>
    <row r="14414" spans="2:37">
      <c r="B14414" s="834" t="str">
        <f t="shared" si="529"/>
        <v>|||</v>
      </c>
      <c r="H14414" s="835">
        <f t="shared" si="530"/>
        <v>31</v>
      </c>
      <c r="AF14414" s="831" t="s">
        <v>11689</v>
      </c>
      <c r="AG14414" s="831" t="s">
        <v>2674</v>
      </c>
      <c r="AH14414" s="831" t="s">
        <v>581</v>
      </c>
      <c r="AI14414" s="831">
        <v>0</v>
      </c>
      <c r="AJ14414" s="835">
        <v>41912</v>
      </c>
      <c r="AK14414" s="831">
        <v>6304407.8940000003</v>
      </c>
    </row>
    <row r="14415" spans="2:37">
      <c r="B14415" s="834" t="str">
        <f t="shared" si="529"/>
        <v>|||</v>
      </c>
      <c r="H14415" s="835">
        <f t="shared" si="530"/>
        <v>31</v>
      </c>
      <c r="AF14415" s="831" t="s">
        <v>11690</v>
      </c>
      <c r="AG14415" s="831" t="s">
        <v>2674</v>
      </c>
      <c r="AH14415" s="831" t="s">
        <v>105</v>
      </c>
      <c r="AI14415" s="831">
        <v>0</v>
      </c>
      <c r="AJ14415" s="835">
        <v>41912</v>
      </c>
      <c r="AK14415" s="831">
        <v>472452480</v>
      </c>
    </row>
    <row r="14416" spans="2:37">
      <c r="B14416" s="834" t="str">
        <f t="shared" si="529"/>
        <v>|||</v>
      </c>
      <c r="H14416" s="835">
        <f t="shared" si="530"/>
        <v>31</v>
      </c>
      <c r="AF14416" s="831" t="s">
        <v>11691</v>
      </c>
      <c r="AG14416" s="831" t="s">
        <v>2674</v>
      </c>
      <c r="AH14416" s="831" t="s">
        <v>3049</v>
      </c>
      <c r="AI14416" s="831">
        <v>0</v>
      </c>
      <c r="AJ14416" s="835">
        <v>41912</v>
      </c>
      <c r="AK14416" s="831">
        <v>783051294</v>
      </c>
    </row>
    <row r="14417" spans="2:37">
      <c r="B14417" s="834" t="str">
        <f t="shared" ref="B14417:B14480" si="531">C14417&amp;"|"&amp;D14417&amp;"|"&amp;E14417&amp;"|"&amp;F14417</f>
        <v>|||</v>
      </c>
      <c r="H14417" s="835">
        <f t="shared" ref="H14417:H14480" si="532">EOMONTH(L14417,0)</f>
        <v>31</v>
      </c>
      <c r="AF14417" s="831" t="s">
        <v>11692</v>
      </c>
      <c r="AG14417" s="831" t="s">
        <v>2674</v>
      </c>
      <c r="AH14417" s="831" t="s">
        <v>103</v>
      </c>
      <c r="AI14417" s="831">
        <v>0</v>
      </c>
      <c r="AJ14417" s="835">
        <v>41912</v>
      </c>
      <c r="AK14417" s="831">
        <v>310598814</v>
      </c>
    </row>
    <row r="14418" spans="2:37">
      <c r="B14418" s="834" t="str">
        <f t="shared" si="531"/>
        <v>|||</v>
      </c>
      <c r="H14418" s="835">
        <f t="shared" si="532"/>
        <v>31</v>
      </c>
      <c r="AF14418" s="831" t="s">
        <v>11693</v>
      </c>
      <c r="AG14418" s="831" t="s">
        <v>2674</v>
      </c>
      <c r="AH14418" s="831" t="s">
        <v>182</v>
      </c>
      <c r="AI14418" s="831">
        <v>0</v>
      </c>
      <c r="AJ14418" s="835">
        <v>41912</v>
      </c>
      <c r="AK14418" s="831">
        <v>73471997.333333328</v>
      </c>
    </row>
    <row r="14419" spans="2:37">
      <c r="B14419" s="834" t="str">
        <f t="shared" si="531"/>
        <v>|||</v>
      </c>
      <c r="H14419" s="835">
        <f t="shared" si="532"/>
        <v>31</v>
      </c>
      <c r="AF14419" s="831" t="s">
        <v>11694</v>
      </c>
      <c r="AG14419" s="831" t="s">
        <v>2674</v>
      </c>
      <c r="AH14419" s="831" t="s">
        <v>6600</v>
      </c>
      <c r="AI14419" s="831">
        <v>0</v>
      </c>
      <c r="AJ14419" s="835">
        <v>41912</v>
      </c>
      <c r="AK14419" s="831">
        <v>33781162.955999985</v>
      </c>
    </row>
    <row r="14420" spans="2:37">
      <c r="B14420" s="834" t="str">
        <f t="shared" si="531"/>
        <v>|||</v>
      </c>
      <c r="H14420" s="835">
        <f t="shared" si="532"/>
        <v>31</v>
      </c>
      <c r="AF14420" s="831" t="s">
        <v>11695</v>
      </c>
      <c r="AG14420" s="831" t="s">
        <v>2674</v>
      </c>
      <c r="AH14420" s="831" t="s">
        <v>6602</v>
      </c>
      <c r="AI14420" s="831">
        <v>0</v>
      </c>
      <c r="AJ14420" s="835">
        <v>41912</v>
      </c>
      <c r="AK14420" s="831">
        <v>29012035</v>
      </c>
    </row>
    <row r="14421" spans="2:37">
      <c r="B14421" s="834" t="str">
        <f t="shared" si="531"/>
        <v>|||</v>
      </c>
      <c r="H14421" s="835">
        <f t="shared" si="532"/>
        <v>31</v>
      </c>
      <c r="AF14421" s="831" t="s">
        <v>11696</v>
      </c>
      <c r="AG14421" s="831" t="s">
        <v>2674</v>
      </c>
      <c r="AH14421" s="831" t="s">
        <v>650</v>
      </c>
      <c r="AI14421" s="831">
        <v>0</v>
      </c>
      <c r="AJ14421" s="835">
        <v>41912</v>
      </c>
      <c r="AK14421" s="831">
        <v>273036122.95146155</v>
      </c>
    </row>
    <row r="14422" spans="2:37">
      <c r="B14422" s="834" t="str">
        <f t="shared" si="531"/>
        <v>|||</v>
      </c>
      <c r="H14422" s="835">
        <f t="shared" si="532"/>
        <v>31</v>
      </c>
      <c r="AF14422" s="831" t="s">
        <v>11697</v>
      </c>
      <c r="AG14422" s="831" t="s">
        <v>2674</v>
      </c>
      <c r="AH14422" s="831" t="s">
        <v>655</v>
      </c>
      <c r="AI14422" s="831">
        <v>0</v>
      </c>
      <c r="AJ14422" s="835">
        <v>41912</v>
      </c>
      <c r="AK14422" s="831">
        <v>1341189</v>
      </c>
    </row>
    <row r="14423" spans="2:37">
      <c r="B14423" s="834" t="str">
        <f t="shared" si="531"/>
        <v>|||</v>
      </c>
      <c r="H14423" s="835">
        <f t="shared" si="532"/>
        <v>31</v>
      </c>
      <c r="AF14423" s="831" t="s">
        <v>11698</v>
      </c>
      <c r="AG14423" s="831" t="s">
        <v>2674</v>
      </c>
      <c r="AH14423" s="831" t="s">
        <v>546</v>
      </c>
      <c r="AI14423" s="831">
        <v>0</v>
      </c>
      <c r="AJ14423" s="835">
        <v>41943</v>
      </c>
      <c r="AK14423" s="831">
        <v>788185615</v>
      </c>
    </row>
    <row r="14424" spans="2:37">
      <c r="B14424" s="834" t="str">
        <f t="shared" si="531"/>
        <v>|||</v>
      </c>
      <c r="H14424" s="835">
        <f t="shared" si="532"/>
        <v>31</v>
      </c>
      <c r="AF14424" s="831" t="s">
        <v>11699</v>
      </c>
      <c r="AG14424" s="831" t="s">
        <v>2674</v>
      </c>
      <c r="AH14424" s="831" t="s">
        <v>370</v>
      </c>
      <c r="AI14424" s="831">
        <v>0</v>
      </c>
      <c r="AJ14424" s="835">
        <v>41943</v>
      </c>
      <c r="AK14424" s="831">
        <v>999911217</v>
      </c>
    </row>
    <row r="14425" spans="2:37">
      <c r="B14425" s="834" t="str">
        <f t="shared" si="531"/>
        <v>|||</v>
      </c>
      <c r="H14425" s="835">
        <f t="shared" si="532"/>
        <v>31</v>
      </c>
      <c r="AF14425" s="831" t="s">
        <v>11700</v>
      </c>
      <c r="AG14425" s="831" t="s">
        <v>2674</v>
      </c>
      <c r="AH14425" s="831" t="s">
        <v>126</v>
      </c>
      <c r="AI14425" s="831">
        <v>0</v>
      </c>
      <c r="AJ14425" s="835">
        <v>41943</v>
      </c>
      <c r="AK14425" s="831">
        <v>149380039</v>
      </c>
    </row>
    <row r="14426" spans="2:37">
      <c r="B14426" s="834" t="str">
        <f t="shared" si="531"/>
        <v>|||</v>
      </c>
      <c r="H14426" s="835">
        <f t="shared" si="532"/>
        <v>31</v>
      </c>
      <c r="AF14426" s="831" t="s">
        <v>11701</v>
      </c>
      <c r="AG14426" s="831" t="s">
        <v>2674</v>
      </c>
      <c r="AH14426" s="831" t="s">
        <v>268</v>
      </c>
      <c r="AI14426" s="831">
        <v>0</v>
      </c>
      <c r="AJ14426" s="835">
        <v>41943</v>
      </c>
      <c r="AK14426" s="831">
        <v>32657533</v>
      </c>
    </row>
    <row r="14427" spans="2:37">
      <c r="B14427" s="834" t="str">
        <f t="shared" si="531"/>
        <v>|||</v>
      </c>
      <c r="H14427" s="835">
        <f t="shared" si="532"/>
        <v>31</v>
      </c>
      <c r="AF14427" s="831" t="s">
        <v>11702</v>
      </c>
      <c r="AG14427" s="831" t="s">
        <v>2674</v>
      </c>
      <c r="AH14427" s="831" t="s">
        <v>547</v>
      </c>
      <c r="AI14427" s="831">
        <v>0</v>
      </c>
      <c r="AJ14427" s="835">
        <v>41943</v>
      </c>
      <c r="AK14427" s="831">
        <v>777719977</v>
      </c>
    </row>
    <row r="14428" spans="2:37">
      <c r="B14428" s="834" t="str">
        <f t="shared" si="531"/>
        <v>|||</v>
      </c>
      <c r="H14428" s="835">
        <f t="shared" si="532"/>
        <v>31</v>
      </c>
      <c r="AF14428" s="831" t="s">
        <v>11703</v>
      </c>
      <c r="AG14428" s="831" t="s">
        <v>2674</v>
      </c>
      <c r="AH14428" s="831" t="s">
        <v>548</v>
      </c>
      <c r="AI14428" s="831">
        <v>0</v>
      </c>
      <c r="AJ14428" s="835">
        <v>41943</v>
      </c>
      <c r="AK14428" s="831">
        <v>117105496</v>
      </c>
    </row>
    <row r="14429" spans="2:37">
      <c r="B14429" s="834" t="str">
        <f t="shared" si="531"/>
        <v>|||</v>
      </c>
      <c r="H14429" s="835">
        <f t="shared" si="532"/>
        <v>31</v>
      </c>
      <c r="AF14429" s="831" t="s">
        <v>11704</v>
      </c>
      <c r="AG14429" s="831" t="s">
        <v>2674</v>
      </c>
      <c r="AH14429" s="831" t="s">
        <v>549</v>
      </c>
      <c r="AI14429" s="831">
        <v>0</v>
      </c>
      <c r="AJ14429" s="835">
        <v>41943</v>
      </c>
      <c r="AK14429" s="831">
        <v>580271359</v>
      </c>
    </row>
    <row r="14430" spans="2:37">
      <c r="B14430" s="834" t="str">
        <f t="shared" si="531"/>
        <v>|||</v>
      </c>
      <c r="H14430" s="835">
        <f t="shared" si="532"/>
        <v>31</v>
      </c>
      <c r="AF14430" s="831" t="s">
        <v>11705</v>
      </c>
      <c r="AG14430" s="831" t="s">
        <v>2674</v>
      </c>
      <c r="AH14430" s="831" t="s">
        <v>192</v>
      </c>
      <c r="AI14430" s="831">
        <v>0</v>
      </c>
      <c r="AJ14430" s="835">
        <v>41943</v>
      </c>
      <c r="AK14430" s="831">
        <v>-11001950</v>
      </c>
    </row>
    <row r="14431" spans="2:37">
      <c r="B14431" s="834" t="str">
        <f t="shared" si="531"/>
        <v>|||</v>
      </c>
      <c r="H14431" s="835">
        <f t="shared" si="532"/>
        <v>31</v>
      </c>
      <c r="AF14431" s="831" t="s">
        <v>11706</v>
      </c>
      <c r="AG14431" s="831" t="s">
        <v>2674</v>
      </c>
      <c r="AH14431" s="831" t="s">
        <v>558</v>
      </c>
      <c r="AI14431" s="831">
        <v>0</v>
      </c>
      <c r="AJ14431" s="835">
        <v>41943</v>
      </c>
      <c r="AK14431" s="831">
        <v>850531537</v>
      </c>
    </row>
    <row r="14432" spans="2:37">
      <c r="B14432" s="834" t="str">
        <f t="shared" si="531"/>
        <v>|||</v>
      </c>
      <c r="H14432" s="835">
        <f t="shared" si="532"/>
        <v>31</v>
      </c>
      <c r="AF14432" s="831" t="s">
        <v>11707</v>
      </c>
      <c r="AG14432" s="831" t="s">
        <v>2674</v>
      </c>
      <c r="AH14432" s="831" t="s">
        <v>65</v>
      </c>
      <c r="AI14432" s="831">
        <v>0</v>
      </c>
      <c r="AJ14432" s="835">
        <v>41943</v>
      </c>
      <c r="AK14432" s="831">
        <v>144545337</v>
      </c>
    </row>
    <row r="14433" spans="2:37">
      <c r="B14433" s="834" t="str">
        <f t="shared" si="531"/>
        <v>|||</v>
      </c>
      <c r="H14433" s="835">
        <f t="shared" si="532"/>
        <v>31</v>
      </c>
      <c r="AF14433" s="831" t="s">
        <v>11708</v>
      </c>
      <c r="AG14433" s="831" t="s">
        <v>2674</v>
      </c>
      <c r="AH14433" s="831" t="s">
        <v>89</v>
      </c>
      <c r="AI14433" s="831">
        <v>0</v>
      </c>
      <c r="AJ14433" s="835">
        <v>41943</v>
      </c>
      <c r="AK14433" s="831">
        <v>159189</v>
      </c>
    </row>
    <row r="14434" spans="2:37">
      <c r="B14434" s="834" t="str">
        <f t="shared" si="531"/>
        <v>|||</v>
      </c>
      <c r="H14434" s="835">
        <f t="shared" si="532"/>
        <v>31</v>
      </c>
      <c r="AF14434" s="831" t="s">
        <v>11709</v>
      </c>
      <c r="AG14434" s="831" t="s">
        <v>2674</v>
      </c>
      <c r="AH14434" s="831" t="s">
        <v>557</v>
      </c>
      <c r="AI14434" s="831">
        <v>0</v>
      </c>
      <c r="AJ14434" s="835">
        <v>41943</v>
      </c>
      <c r="AK14434" s="831">
        <v>176925</v>
      </c>
    </row>
    <row r="14435" spans="2:37">
      <c r="B14435" s="834" t="str">
        <f t="shared" si="531"/>
        <v>|||</v>
      </c>
      <c r="H14435" s="835">
        <f t="shared" si="532"/>
        <v>31</v>
      </c>
      <c r="AF14435" s="831" t="s">
        <v>11710</v>
      </c>
      <c r="AG14435" s="831" t="s">
        <v>2674</v>
      </c>
      <c r="AH14435" s="831" t="s">
        <v>29</v>
      </c>
      <c r="AI14435" s="831">
        <v>0</v>
      </c>
      <c r="AJ14435" s="835">
        <v>41943</v>
      </c>
      <c r="AK14435" s="831">
        <v>4443738</v>
      </c>
    </row>
    <row r="14436" spans="2:37">
      <c r="B14436" s="834" t="str">
        <f t="shared" si="531"/>
        <v>|||</v>
      </c>
      <c r="H14436" s="835">
        <f t="shared" si="532"/>
        <v>31</v>
      </c>
      <c r="AF14436" s="831" t="s">
        <v>11711</v>
      </c>
      <c r="AG14436" s="831" t="s">
        <v>2674</v>
      </c>
      <c r="AH14436" s="831" t="s">
        <v>2688</v>
      </c>
      <c r="AI14436" s="831">
        <v>0</v>
      </c>
      <c r="AJ14436" s="835">
        <v>41943</v>
      </c>
      <c r="AK14436" s="831">
        <v>4878770.040000001</v>
      </c>
    </row>
    <row r="14437" spans="2:37">
      <c r="B14437" s="834" t="str">
        <f t="shared" si="531"/>
        <v>|||</v>
      </c>
      <c r="H14437" s="835">
        <f t="shared" si="532"/>
        <v>31</v>
      </c>
      <c r="AF14437" s="831" t="s">
        <v>11712</v>
      </c>
      <c r="AG14437" s="831" t="s">
        <v>2674</v>
      </c>
      <c r="AH14437" s="831" t="s">
        <v>556</v>
      </c>
      <c r="AI14437" s="831">
        <v>0</v>
      </c>
      <c r="AJ14437" s="835">
        <v>41943</v>
      </c>
      <c r="AK14437" s="831">
        <v>8151347</v>
      </c>
    </row>
    <row r="14438" spans="2:37">
      <c r="B14438" s="834" t="str">
        <f t="shared" si="531"/>
        <v>|||</v>
      </c>
      <c r="H14438" s="835">
        <f t="shared" si="532"/>
        <v>31</v>
      </c>
      <c r="AF14438" s="831" t="s">
        <v>11713</v>
      </c>
      <c r="AG14438" s="831" t="s">
        <v>2674</v>
      </c>
      <c r="AH14438" s="831" t="s">
        <v>555</v>
      </c>
      <c r="AI14438" s="831">
        <v>0</v>
      </c>
      <c r="AJ14438" s="835">
        <v>41943</v>
      </c>
      <c r="AK14438" s="831">
        <v>560953709</v>
      </c>
    </row>
    <row r="14439" spans="2:37">
      <c r="B14439" s="834" t="str">
        <f t="shared" si="531"/>
        <v>|||</v>
      </c>
      <c r="H14439" s="835">
        <f t="shared" si="532"/>
        <v>31</v>
      </c>
      <c r="AF14439" s="831" t="s">
        <v>11714</v>
      </c>
      <c r="AG14439" s="831" t="s">
        <v>2674</v>
      </c>
      <c r="AH14439" s="831" t="s">
        <v>554</v>
      </c>
      <c r="AI14439" s="831">
        <v>0</v>
      </c>
      <c r="AJ14439" s="835">
        <v>41943</v>
      </c>
      <c r="AK14439" s="831">
        <v>571019140</v>
      </c>
    </row>
    <row r="14440" spans="2:37">
      <c r="B14440" s="834" t="str">
        <f t="shared" si="531"/>
        <v>|||</v>
      </c>
      <c r="H14440" s="835">
        <f t="shared" si="532"/>
        <v>31</v>
      </c>
      <c r="AF14440" s="831" t="s">
        <v>11715</v>
      </c>
      <c r="AG14440" s="831" t="s">
        <v>2674</v>
      </c>
      <c r="AH14440" s="831" t="s">
        <v>553</v>
      </c>
      <c r="AI14440" s="831">
        <v>0</v>
      </c>
      <c r="AJ14440" s="835">
        <v>41943</v>
      </c>
      <c r="AK14440" s="831">
        <v>0</v>
      </c>
    </row>
    <row r="14441" spans="2:37">
      <c r="B14441" s="834" t="str">
        <f t="shared" si="531"/>
        <v>|||</v>
      </c>
      <c r="H14441" s="835">
        <f t="shared" si="532"/>
        <v>31</v>
      </c>
      <c r="AF14441" s="831" t="s">
        <v>11716</v>
      </c>
      <c r="AG14441" s="831" t="s">
        <v>2674</v>
      </c>
      <c r="AH14441" s="831" t="s">
        <v>552</v>
      </c>
      <c r="AI14441" s="831">
        <v>0</v>
      </c>
      <c r="AJ14441" s="835">
        <v>41943</v>
      </c>
      <c r="AK14441" s="831">
        <v>0</v>
      </c>
    </row>
    <row r="14442" spans="2:37">
      <c r="B14442" s="834" t="str">
        <f t="shared" si="531"/>
        <v>|||</v>
      </c>
      <c r="H14442" s="835">
        <f t="shared" si="532"/>
        <v>31</v>
      </c>
      <c r="AF14442" s="831" t="s">
        <v>11717</v>
      </c>
      <c r="AG14442" s="831" t="s">
        <v>2674</v>
      </c>
      <c r="AH14442" s="831" t="s">
        <v>551</v>
      </c>
      <c r="AI14442" s="831">
        <v>0</v>
      </c>
      <c r="AJ14442" s="835">
        <v>41943</v>
      </c>
      <c r="AK14442" s="831">
        <v>1179234</v>
      </c>
    </row>
    <row r="14443" spans="2:37">
      <c r="B14443" s="834" t="str">
        <f t="shared" si="531"/>
        <v>|||</v>
      </c>
      <c r="H14443" s="835">
        <f t="shared" si="532"/>
        <v>31</v>
      </c>
      <c r="AF14443" s="831" t="s">
        <v>11718</v>
      </c>
      <c r="AG14443" s="831" t="s">
        <v>2674</v>
      </c>
      <c r="AH14443" s="831" t="s">
        <v>550</v>
      </c>
      <c r="AI14443" s="831">
        <v>0</v>
      </c>
      <c r="AJ14443" s="835">
        <v>41943</v>
      </c>
      <c r="AK14443" s="831">
        <v>145830225</v>
      </c>
    </row>
    <row r="14444" spans="2:37">
      <c r="B14444" s="834" t="str">
        <f t="shared" si="531"/>
        <v>|||</v>
      </c>
      <c r="H14444" s="835">
        <f t="shared" si="532"/>
        <v>31</v>
      </c>
      <c r="AF14444" s="831" t="s">
        <v>11719</v>
      </c>
      <c r="AG14444" s="831" t="s">
        <v>2674</v>
      </c>
      <c r="AH14444" s="831" t="s">
        <v>562</v>
      </c>
      <c r="AI14444" s="831">
        <v>0</v>
      </c>
      <c r="AJ14444" s="835">
        <v>41943</v>
      </c>
      <c r="AK14444" s="831">
        <v>0.78380000000000005</v>
      </c>
    </row>
    <row r="14445" spans="2:37">
      <c r="B14445" s="834" t="str">
        <f t="shared" si="531"/>
        <v>|||</v>
      </c>
      <c r="H14445" s="835">
        <f t="shared" si="532"/>
        <v>31</v>
      </c>
      <c r="AF14445" s="831" t="s">
        <v>11720</v>
      </c>
      <c r="AG14445" s="831" t="s">
        <v>2674</v>
      </c>
      <c r="AH14445" s="831" t="s">
        <v>2698</v>
      </c>
      <c r="AI14445" s="831">
        <v>0</v>
      </c>
      <c r="AJ14445" s="835">
        <v>41943</v>
      </c>
      <c r="AK14445" s="831">
        <v>0.78325</v>
      </c>
    </row>
    <row r="14446" spans="2:37">
      <c r="B14446" s="834" t="str">
        <f t="shared" si="531"/>
        <v>|||</v>
      </c>
      <c r="H14446" s="835">
        <f t="shared" si="532"/>
        <v>31</v>
      </c>
      <c r="AF14446" s="831" t="s">
        <v>11721</v>
      </c>
      <c r="AG14446" s="831" t="s">
        <v>2674</v>
      </c>
      <c r="AH14446" s="831" t="s">
        <v>560</v>
      </c>
      <c r="AI14446" s="831">
        <v>0</v>
      </c>
      <c r="AJ14446" s="835">
        <v>41943</v>
      </c>
      <c r="AK14446" s="831">
        <v>0.78366000000000002</v>
      </c>
    </row>
    <row r="14447" spans="2:37">
      <c r="B14447" s="834" t="str">
        <f t="shared" si="531"/>
        <v>|||</v>
      </c>
      <c r="H14447" s="835">
        <f t="shared" si="532"/>
        <v>31</v>
      </c>
      <c r="AF14447" s="831" t="s">
        <v>11722</v>
      </c>
      <c r="AG14447" s="831" t="s">
        <v>2674</v>
      </c>
      <c r="AH14447" s="831" t="s">
        <v>559</v>
      </c>
      <c r="AI14447" s="831">
        <v>0</v>
      </c>
      <c r="AJ14447" s="835">
        <v>41943</v>
      </c>
      <c r="AK14447" s="831">
        <v>0.78364999999999985</v>
      </c>
    </row>
    <row r="14448" spans="2:37">
      <c r="B14448" s="834" t="str">
        <f t="shared" si="531"/>
        <v>|||</v>
      </c>
      <c r="H14448" s="835">
        <f t="shared" si="532"/>
        <v>31</v>
      </c>
      <c r="AF14448" s="831" t="s">
        <v>11723</v>
      </c>
      <c r="AG14448" s="831" t="s">
        <v>2674</v>
      </c>
      <c r="AH14448" s="831" t="s">
        <v>568</v>
      </c>
      <c r="AI14448" s="831">
        <v>0</v>
      </c>
      <c r="AJ14448" s="835">
        <v>41943</v>
      </c>
      <c r="AK14448" s="831">
        <v>688929865.38076925</v>
      </c>
    </row>
    <row r="14449" spans="2:37">
      <c r="B14449" s="834" t="str">
        <f t="shared" si="531"/>
        <v>|||</v>
      </c>
      <c r="H14449" s="835">
        <f t="shared" si="532"/>
        <v>31</v>
      </c>
      <c r="AF14449" s="831" t="s">
        <v>11724</v>
      </c>
      <c r="AG14449" s="831" t="s">
        <v>2674</v>
      </c>
      <c r="AH14449" s="831" t="s">
        <v>569</v>
      </c>
      <c r="AI14449" s="831">
        <v>0</v>
      </c>
      <c r="AJ14449" s="835">
        <v>41943</v>
      </c>
      <c r="AK14449" s="831">
        <v>855702939.81946158</v>
      </c>
    </row>
    <row r="14450" spans="2:37">
      <c r="B14450" s="834" t="str">
        <f t="shared" si="531"/>
        <v>|||</v>
      </c>
      <c r="H14450" s="835">
        <f t="shared" si="532"/>
        <v>31</v>
      </c>
      <c r="AF14450" s="831" t="s">
        <v>11725</v>
      </c>
      <c r="AG14450" s="831" t="s">
        <v>2674</v>
      </c>
      <c r="AH14450" s="831" t="s">
        <v>570</v>
      </c>
      <c r="AI14450" s="831">
        <v>0</v>
      </c>
      <c r="AJ14450" s="835">
        <v>41943</v>
      </c>
      <c r="AK14450" s="831">
        <v>129857553.83046153</v>
      </c>
    </row>
    <row r="14451" spans="2:37">
      <c r="B14451" s="834" t="str">
        <f t="shared" si="531"/>
        <v>|||</v>
      </c>
      <c r="H14451" s="835">
        <f t="shared" si="532"/>
        <v>31</v>
      </c>
      <c r="AF14451" s="831" t="s">
        <v>11726</v>
      </c>
      <c r="AG14451" s="831" t="s">
        <v>2674</v>
      </c>
      <c r="AH14451" s="831" t="s">
        <v>571</v>
      </c>
      <c r="AI14451" s="831">
        <v>0</v>
      </c>
      <c r="AJ14451" s="835">
        <v>41943</v>
      </c>
      <c r="AK14451" s="831">
        <v>421465171.16076922</v>
      </c>
    </row>
    <row r="14452" spans="2:37">
      <c r="B14452" s="834" t="str">
        <f t="shared" si="531"/>
        <v>|||</v>
      </c>
      <c r="H14452" s="835">
        <f t="shared" si="532"/>
        <v>31</v>
      </c>
      <c r="AF14452" s="831" t="s">
        <v>11727</v>
      </c>
      <c r="AG14452" s="831" t="s">
        <v>2674</v>
      </c>
      <c r="AH14452" s="831" t="s">
        <v>573</v>
      </c>
      <c r="AI14452" s="831">
        <v>0</v>
      </c>
      <c r="AJ14452" s="835">
        <v>41943</v>
      </c>
      <c r="AK14452" s="831">
        <v>877834571.86936367</v>
      </c>
    </row>
    <row r="14453" spans="2:37">
      <c r="B14453" s="834" t="str">
        <f t="shared" si="531"/>
        <v>|||</v>
      </c>
      <c r="H14453" s="835">
        <f t="shared" si="532"/>
        <v>31</v>
      </c>
      <c r="AF14453" s="831" t="s">
        <v>11728</v>
      </c>
      <c r="AG14453" s="831" t="s">
        <v>2674</v>
      </c>
      <c r="AH14453" s="831" t="s">
        <v>574</v>
      </c>
      <c r="AI14453" s="831">
        <v>0</v>
      </c>
      <c r="AJ14453" s="835">
        <v>41943</v>
      </c>
      <c r="AK14453" s="831">
        <v>707069780.09090912</v>
      </c>
    </row>
    <row r="14454" spans="2:37">
      <c r="B14454" s="834" t="str">
        <f t="shared" si="531"/>
        <v>|||</v>
      </c>
      <c r="H14454" s="835">
        <f t="shared" si="532"/>
        <v>31</v>
      </c>
      <c r="AF14454" s="831" t="s">
        <v>11729</v>
      </c>
      <c r="AG14454" s="831" t="s">
        <v>2674</v>
      </c>
      <c r="AH14454" s="831" t="s">
        <v>575</v>
      </c>
      <c r="AI14454" s="831">
        <v>0</v>
      </c>
      <c r="AJ14454" s="835">
        <v>41943</v>
      </c>
      <c r="AK14454" s="831">
        <v>131339945.17636365</v>
      </c>
    </row>
    <row r="14455" spans="2:37">
      <c r="B14455" s="834" t="str">
        <f t="shared" si="531"/>
        <v>|||</v>
      </c>
      <c r="H14455" s="835">
        <f t="shared" si="532"/>
        <v>31</v>
      </c>
      <c r="AF14455" s="831" t="s">
        <v>11730</v>
      </c>
      <c r="AG14455" s="831" t="s">
        <v>2674</v>
      </c>
      <c r="AH14455" s="831" t="s">
        <v>576</v>
      </c>
      <c r="AI14455" s="831">
        <v>0</v>
      </c>
      <c r="AJ14455" s="835">
        <v>41943</v>
      </c>
      <c r="AK14455" s="831">
        <v>433816282.72981817</v>
      </c>
    </row>
    <row r="14456" spans="2:37">
      <c r="B14456" s="834" t="str">
        <f t="shared" si="531"/>
        <v>|||</v>
      </c>
      <c r="H14456" s="835">
        <f t="shared" si="532"/>
        <v>31</v>
      </c>
      <c r="AF14456" s="831" t="s">
        <v>11731</v>
      </c>
      <c r="AG14456" s="831" t="s">
        <v>2674</v>
      </c>
      <c r="AH14456" s="831" t="s">
        <v>572</v>
      </c>
      <c r="AI14456" s="831">
        <v>0</v>
      </c>
      <c r="AJ14456" s="835">
        <v>41943</v>
      </c>
      <c r="AK14456" s="831">
        <v>34306433.956</v>
      </c>
    </row>
    <row r="14457" spans="2:37">
      <c r="B14457" s="834" t="str">
        <f t="shared" si="531"/>
        <v>|||</v>
      </c>
      <c r="H14457" s="835">
        <f t="shared" si="532"/>
        <v>31</v>
      </c>
      <c r="AF14457" s="831" t="s">
        <v>11732</v>
      </c>
      <c r="AG14457" s="831" t="s">
        <v>2674</v>
      </c>
      <c r="AH14457" s="831" t="s">
        <v>577</v>
      </c>
      <c r="AI14457" s="831">
        <v>0</v>
      </c>
      <c r="AJ14457" s="835">
        <v>41943</v>
      </c>
      <c r="AK14457" s="831">
        <v>169874551.76300001</v>
      </c>
    </row>
    <row r="14458" spans="2:37">
      <c r="B14458" s="834" t="str">
        <f t="shared" si="531"/>
        <v>|||</v>
      </c>
      <c r="H14458" s="835">
        <f t="shared" si="532"/>
        <v>31</v>
      </c>
      <c r="AF14458" s="831" t="s">
        <v>11733</v>
      </c>
      <c r="AG14458" s="831" t="s">
        <v>2674</v>
      </c>
      <c r="AH14458" s="831" t="s">
        <v>3042</v>
      </c>
      <c r="AI14458" s="831">
        <v>0</v>
      </c>
      <c r="AJ14458" s="835">
        <v>41943</v>
      </c>
      <c r="AK14458" s="831">
        <v>-49231778.527000003</v>
      </c>
    </row>
    <row r="14459" spans="2:37">
      <c r="B14459" s="834" t="str">
        <f t="shared" si="531"/>
        <v>|||</v>
      </c>
      <c r="H14459" s="835">
        <f t="shared" si="532"/>
        <v>31</v>
      </c>
      <c r="AF14459" s="831" t="s">
        <v>11734</v>
      </c>
      <c r="AG14459" s="831" t="s">
        <v>2674</v>
      </c>
      <c r="AH14459" s="831" t="s">
        <v>3044</v>
      </c>
      <c r="AI14459" s="831">
        <v>0</v>
      </c>
      <c r="AJ14459" s="835">
        <v>41943</v>
      </c>
      <c r="AK14459" s="831">
        <v>-1676338.8899999997</v>
      </c>
    </row>
    <row r="14460" spans="2:37">
      <c r="B14460" s="834" t="str">
        <f t="shared" si="531"/>
        <v>|||</v>
      </c>
      <c r="H14460" s="835">
        <f t="shared" si="532"/>
        <v>31</v>
      </c>
      <c r="AF14460" s="831" t="s">
        <v>11735</v>
      </c>
      <c r="AG14460" s="831" t="s">
        <v>2674</v>
      </c>
      <c r="AH14460" s="831" t="s">
        <v>580</v>
      </c>
      <c r="AI14460" s="831">
        <v>0</v>
      </c>
      <c r="AJ14460" s="835">
        <v>41943</v>
      </c>
      <c r="AK14460" s="831">
        <v>-77780641.306999996</v>
      </c>
    </row>
    <row r="14461" spans="2:37">
      <c r="B14461" s="834" t="str">
        <f t="shared" si="531"/>
        <v>|||</v>
      </c>
      <c r="H14461" s="835">
        <f t="shared" si="532"/>
        <v>31</v>
      </c>
      <c r="AF14461" s="831" t="s">
        <v>11736</v>
      </c>
      <c r="AG14461" s="831" t="s">
        <v>2674</v>
      </c>
      <c r="AH14461" s="831" t="s">
        <v>581</v>
      </c>
      <c r="AI14461" s="831">
        <v>0</v>
      </c>
      <c r="AJ14461" s="835">
        <v>41943</v>
      </c>
      <c r="AK14461" s="831">
        <v>4385512.8940000003</v>
      </c>
    </row>
    <row r="14462" spans="2:37">
      <c r="B14462" s="834" t="str">
        <f t="shared" si="531"/>
        <v>|||</v>
      </c>
      <c r="H14462" s="835">
        <f t="shared" si="532"/>
        <v>31</v>
      </c>
      <c r="AF14462" s="831" t="s">
        <v>11737</v>
      </c>
      <c r="AG14462" s="831" t="s">
        <v>2674</v>
      </c>
      <c r="AH14462" s="831" t="s">
        <v>105</v>
      </c>
      <c r="AI14462" s="831">
        <v>0</v>
      </c>
      <c r="AJ14462" s="835">
        <v>41943</v>
      </c>
      <c r="AK14462" s="831">
        <v>497850514</v>
      </c>
    </row>
    <row r="14463" spans="2:37">
      <c r="B14463" s="834" t="str">
        <f t="shared" si="531"/>
        <v>|||</v>
      </c>
      <c r="H14463" s="835">
        <f t="shared" si="532"/>
        <v>31</v>
      </c>
      <c r="AF14463" s="831" t="s">
        <v>11738</v>
      </c>
      <c r="AG14463" s="831" t="s">
        <v>2674</v>
      </c>
      <c r="AH14463" s="831" t="s">
        <v>3049</v>
      </c>
      <c r="AI14463" s="831">
        <v>0</v>
      </c>
      <c r="AJ14463" s="835">
        <v>41943</v>
      </c>
      <c r="AK14463" s="831">
        <v>819726974</v>
      </c>
    </row>
    <row r="14464" spans="2:37">
      <c r="B14464" s="834" t="str">
        <f t="shared" si="531"/>
        <v>|||</v>
      </c>
      <c r="H14464" s="835">
        <f t="shared" si="532"/>
        <v>31</v>
      </c>
      <c r="AF14464" s="831" t="s">
        <v>11739</v>
      </c>
      <c r="AG14464" s="831" t="s">
        <v>2674</v>
      </c>
      <c r="AH14464" s="831" t="s">
        <v>103</v>
      </c>
      <c r="AI14464" s="831">
        <v>0</v>
      </c>
      <c r="AJ14464" s="835">
        <v>41943</v>
      </c>
      <c r="AK14464" s="831">
        <v>321876460</v>
      </c>
    </row>
    <row r="14465" spans="2:37">
      <c r="B14465" s="834" t="str">
        <f t="shared" si="531"/>
        <v>|||</v>
      </c>
      <c r="H14465" s="835">
        <f t="shared" si="532"/>
        <v>31</v>
      </c>
      <c r="AF14465" s="831" t="s">
        <v>11740</v>
      </c>
      <c r="AG14465" s="831" t="s">
        <v>2674</v>
      </c>
      <c r="AH14465" s="831" t="s">
        <v>182</v>
      </c>
      <c r="AI14465" s="831">
        <v>0</v>
      </c>
      <c r="AJ14465" s="835">
        <v>41943</v>
      </c>
      <c r="AK14465" s="831">
        <v>74624670</v>
      </c>
    </row>
    <row r="14466" spans="2:37">
      <c r="B14466" s="834" t="str">
        <f t="shared" si="531"/>
        <v>|||</v>
      </c>
      <c r="H14466" s="835">
        <f t="shared" si="532"/>
        <v>31</v>
      </c>
      <c r="AF14466" s="831" t="s">
        <v>11741</v>
      </c>
      <c r="AG14466" s="831" t="s">
        <v>2674</v>
      </c>
      <c r="AH14466" s="831" t="s">
        <v>6600</v>
      </c>
      <c r="AI14466" s="831">
        <v>0</v>
      </c>
      <c r="AJ14466" s="835">
        <v>41943</v>
      </c>
      <c r="AK14466" s="831">
        <v>34306433.956</v>
      </c>
    </row>
    <row r="14467" spans="2:37">
      <c r="B14467" s="834" t="str">
        <f t="shared" si="531"/>
        <v>|||</v>
      </c>
      <c r="H14467" s="835">
        <f t="shared" si="532"/>
        <v>31</v>
      </c>
      <c r="AF14467" s="831" t="s">
        <v>11742</v>
      </c>
      <c r="AG14467" s="831" t="s">
        <v>2674</v>
      </c>
      <c r="AH14467" s="831" t="s">
        <v>6602</v>
      </c>
      <c r="AI14467" s="831">
        <v>0</v>
      </c>
      <c r="AJ14467" s="835">
        <v>41943</v>
      </c>
      <c r="AK14467" s="831">
        <v>32657533</v>
      </c>
    </row>
    <row r="14468" spans="2:37">
      <c r="B14468" s="834" t="str">
        <f t="shared" si="531"/>
        <v>|||</v>
      </c>
      <c r="H14468" s="835">
        <f t="shared" si="532"/>
        <v>31</v>
      </c>
      <c r="AF14468" s="831" t="s">
        <v>11743</v>
      </c>
      <c r="AG14468" s="831" t="s">
        <v>2674</v>
      </c>
      <c r="AH14468" s="831" t="s">
        <v>650</v>
      </c>
      <c r="AI14468" s="831">
        <v>0</v>
      </c>
      <c r="AJ14468" s="835">
        <v>41943</v>
      </c>
      <c r="AK14468" s="831">
        <v>280875581.18223077</v>
      </c>
    </row>
    <row r="14469" spans="2:37">
      <c r="B14469" s="834" t="str">
        <f t="shared" si="531"/>
        <v>|||</v>
      </c>
      <c r="H14469" s="835">
        <f t="shared" si="532"/>
        <v>31</v>
      </c>
      <c r="AF14469" s="831" t="s">
        <v>11744</v>
      </c>
      <c r="AG14469" s="831" t="s">
        <v>2674</v>
      </c>
      <c r="AH14469" s="831" t="s">
        <v>655</v>
      </c>
      <c r="AI14469" s="831">
        <v>0</v>
      </c>
      <c r="AJ14469" s="835">
        <v>41943</v>
      </c>
      <c r="AK14469" s="831">
        <v>824847</v>
      </c>
    </row>
    <row r="14470" spans="2:37">
      <c r="B14470" s="834" t="str">
        <f t="shared" si="531"/>
        <v>|||</v>
      </c>
      <c r="H14470" s="835">
        <f t="shared" si="532"/>
        <v>31</v>
      </c>
      <c r="AF14470" s="831" t="s">
        <v>11745</v>
      </c>
      <c r="AG14470" s="831" t="s">
        <v>2674</v>
      </c>
      <c r="AH14470" s="831" t="s">
        <v>546</v>
      </c>
      <c r="AI14470" s="831">
        <v>0</v>
      </c>
      <c r="AJ14470" s="835">
        <v>41973</v>
      </c>
      <c r="AK14470" s="831">
        <v>802902472</v>
      </c>
    </row>
    <row r="14471" spans="2:37">
      <c r="B14471" s="834" t="str">
        <f t="shared" si="531"/>
        <v>|||</v>
      </c>
      <c r="H14471" s="835">
        <f t="shared" si="532"/>
        <v>31</v>
      </c>
      <c r="AF14471" s="831" t="s">
        <v>11746</v>
      </c>
      <c r="AG14471" s="831" t="s">
        <v>2674</v>
      </c>
      <c r="AH14471" s="831" t="s">
        <v>370</v>
      </c>
      <c r="AI14471" s="831">
        <v>0</v>
      </c>
      <c r="AJ14471" s="835">
        <v>41973</v>
      </c>
      <c r="AK14471" s="831">
        <v>1000702434</v>
      </c>
    </row>
    <row r="14472" spans="2:37">
      <c r="B14472" s="834" t="str">
        <f t="shared" si="531"/>
        <v>|||</v>
      </c>
      <c r="H14472" s="835">
        <f t="shared" si="532"/>
        <v>31</v>
      </c>
      <c r="AF14472" s="831" t="s">
        <v>11747</v>
      </c>
      <c r="AG14472" s="831" t="s">
        <v>2674</v>
      </c>
      <c r="AH14472" s="831" t="s">
        <v>126</v>
      </c>
      <c r="AI14472" s="831">
        <v>0</v>
      </c>
      <c r="AJ14472" s="835">
        <v>41973</v>
      </c>
      <c r="AK14472" s="831">
        <v>153599665</v>
      </c>
    </row>
    <row r="14473" spans="2:37">
      <c r="B14473" s="834" t="str">
        <f t="shared" si="531"/>
        <v>|||</v>
      </c>
      <c r="H14473" s="835">
        <f t="shared" si="532"/>
        <v>31</v>
      </c>
      <c r="AF14473" s="831" t="s">
        <v>11748</v>
      </c>
      <c r="AG14473" s="831" t="s">
        <v>2674</v>
      </c>
      <c r="AH14473" s="831" t="s">
        <v>268</v>
      </c>
      <c r="AI14473" s="831">
        <v>0</v>
      </c>
      <c r="AJ14473" s="835">
        <v>41973</v>
      </c>
      <c r="AK14473" s="831">
        <v>35013602</v>
      </c>
    </row>
    <row r="14474" spans="2:37">
      <c r="B14474" s="834" t="str">
        <f t="shared" si="531"/>
        <v>|||</v>
      </c>
      <c r="H14474" s="835">
        <f t="shared" si="532"/>
        <v>31</v>
      </c>
      <c r="AF14474" s="831" t="s">
        <v>11749</v>
      </c>
      <c r="AG14474" s="831" t="s">
        <v>2674</v>
      </c>
      <c r="AH14474" s="831" t="s">
        <v>547</v>
      </c>
      <c r="AI14474" s="831">
        <v>0</v>
      </c>
      <c r="AJ14474" s="835">
        <v>41973</v>
      </c>
      <c r="AK14474" s="831">
        <v>777719977</v>
      </c>
    </row>
    <row r="14475" spans="2:37">
      <c r="B14475" s="834" t="str">
        <f t="shared" si="531"/>
        <v>|||</v>
      </c>
      <c r="H14475" s="835">
        <f t="shared" si="532"/>
        <v>31</v>
      </c>
      <c r="AF14475" s="831" t="s">
        <v>11750</v>
      </c>
      <c r="AG14475" s="831" t="s">
        <v>2674</v>
      </c>
      <c r="AH14475" s="831" t="s">
        <v>548</v>
      </c>
      <c r="AI14475" s="831">
        <v>0</v>
      </c>
      <c r="AJ14475" s="835">
        <v>41973</v>
      </c>
      <c r="AK14475" s="831">
        <v>117105496</v>
      </c>
    </row>
    <row r="14476" spans="2:37">
      <c r="B14476" s="834" t="str">
        <f t="shared" si="531"/>
        <v>|||</v>
      </c>
      <c r="H14476" s="835">
        <f t="shared" si="532"/>
        <v>31</v>
      </c>
      <c r="AF14476" s="831" t="s">
        <v>11751</v>
      </c>
      <c r="AG14476" s="831" t="s">
        <v>2674</v>
      </c>
      <c r="AH14476" s="831" t="s">
        <v>549</v>
      </c>
      <c r="AI14476" s="831">
        <v>0</v>
      </c>
      <c r="AJ14476" s="835">
        <v>41973</v>
      </c>
      <c r="AK14476" s="831">
        <v>598049309.95000005</v>
      </c>
    </row>
    <row r="14477" spans="2:37">
      <c r="B14477" s="834" t="str">
        <f t="shared" si="531"/>
        <v>|||</v>
      </c>
      <c r="H14477" s="835">
        <f t="shared" si="532"/>
        <v>31</v>
      </c>
      <c r="AF14477" s="831" t="s">
        <v>11752</v>
      </c>
      <c r="AG14477" s="831" t="s">
        <v>2674</v>
      </c>
      <c r="AH14477" s="831" t="s">
        <v>192</v>
      </c>
      <c r="AI14477" s="831">
        <v>0</v>
      </c>
      <c r="AJ14477" s="835">
        <v>41973</v>
      </c>
      <c r="AK14477" s="831">
        <v>-10647566</v>
      </c>
    </row>
    <row r="14478" spans="2:37">
      <c r="B14478" s="834" t="str">
        <f t="shared" si="531"/>
        <v>|||</v>
      </c>
      <c r="H14478" s="835">
        <f t="shared" si="532"/>
        <v>31</v>
      </c>
      <c r="AF14478" s="831" t="s">
        <v>11753</v>
      </c>
      <c r="AG14478" s="831" t="s">
        <v>2674</v>
      </c>
      <c r="AH14478" s="831" t="s">
        <v>558</v>
      </c>
      <c r="AI14478" s="831">
        <v>0</v>
      </c>
      <c r="AJ14478" s="835">
        <v>41973</v>
      </c>
      <c r="AK14478" s="831">
        <v>847102769</v>
      </c>
    </row>
    <row r="14479" spans="2:37">
      <c r="B14479" s="834" t="str">
        <f t="shared" si="531"/>
        <v>|||</v>
      </c>
      <c r="H14479" s="835">
        <f t="shared" si="532"/>
        <v>31</v>
      </c>
      <c r="AF14479" s="831" t="s">
        <v>11754</v>
      </c>
      <c r="AG14479" s="831" t="s">
        <v>2674</v>
      </c>
      <c r="AH14479" s="831" t="s">
        <v>65</v>
      </c>
      <c r="AI14479" s="831">
        <v>0</v>
      </c>
      <c r="AJ14479" s="835">
        <v>41973</v>
      </c>
      <c r="AK14479" s="831">
        <v>160301151</v>
      </c>
    </row>
    <row r="14480" spans="2:37">
      <c r="B14480" s="834" t="str">
        <f t="shared" si="531"/>
        <v>|||</v>
      </c>
      <c r="H14480" s="835">
        <f t="shared" si="532"/>
        <v>31</v>
      </c>
      <c r="AF14480" s="831" t="s">
        <v>11755</v>
      </c>
      <c r="AG14480" s="831" t="s">
        <v>2674</v>
      </c>
      <c r="AH14480" s="831" t="s">
        <v>89</v>
      </c>
      <c r="AI14480" s="831">
        <v>0</v>
      </c>
      <c r="AJ14480" s="835">
        <v>41973</v>
      </c>
      <c r="AK14480" s="831">
        <v>158266</v>
      </c>
    </row>
    <row r="14481" spans="2:37">
      <c r="B14481" s="834" t="str">
        <f t="shared" ref="B14481:B14544" si="533">C14481&amp;"|"&amp;D14481&amp;"|"&amp;E14481&amp;"|"&amp;F14481</f>
        <v>|||</v>
      </c>
      <c r="H14481" s="835">
        <f t="shared" ref="H14481:H14544" si="534">EOMONTH(L14481,0)</f>
        <v>31</v>
      </c>
      <c r="AF14481" s="831" t="s">
        <v>11756</v>
      </c>
      <c r="AG14481" s="831" t="s">
        <v>2674</v>
      </c>
      <c r="AH14481" s="831" t="s">
        <v>557</v>
      </c>
      <c r="AI14481" s="831">
        <v>0</v>
      </c>
      <c r="AJ14481" s="835">
        <v>41973</v>
      </c>
      <c r="AK14481" s="831">
        <v>179245</v>
      </c>
    </row>
    <row r="14482" spans="2:37">
      <c r="B14482" s="834" t="str">
        <f t="shared" si="533"/>
        <v>|||</v>
      </c>
      <c r="H14482" s="835">
        <f t="shared" si="534"/>
        <v>31</v>
      </c>
      <c r="AF14482" s="831" t="s">
        <v>11757</v>
      </c>
      <c r="AG14482" s="831" t="s">
        <v>2674</v>
      </c>
      <c r="AH14482" s="831" t="s">
        <v>29</v>
      </c>
      <c r="AI14482" s="831">
        <v>0</v>
      </c>
      <c r="AJ14482" s="835">
        <v>41973</v>
      </c>
      <c r="AK14482" s="831">
        <v>4556685.3900000006</v>
      </c>
    </row>
    <row r="14483" spans="2:37">
      <c r="B14483" s="834" t="str">
        <f t="shared" si="533"/>
        <v>|||</v>
      </c>
      <c r="H14483" s="835">
        <f t="shared" si="534"/>
        <v>31</v>
      </c>
      <c r="AF14483" s="831" t="s">
        <v>11758</v>
      </c>
      <c r="AG14483" s="831" t="s">
        <v>2674</v>
      </c>
      <c r="AH14483" s="831" t="s">
        <v>2688</v>
      </c>
      <c r="AI14483" s="831">
        <v>0</v>
      </c>
      <c r="AJ14483" s="835">
        <v>41973</v>
      </c>
      <c r="AK14483" s="831">
        <v>4982602.75</v>
      </c>
    </row>
    <row r="14484" spans="2:37">
      <c r="B14484" s="834" t="str">
        <f t="shared" si="533"/>
        <v>|||</v>
      </c>
      <c r="H14484" s="835">
        <f t="shared" si="534"/>
        <v>31</v>
      </c>
      <c r="AF14484" s="831" t="s">
        <v>11759</v>
      </c>
      <c r="AG14484" s="831" t="s">
        <v>2674</v>
      </c>
      <c r="AH14484" s="831" t="s">
        <v>556</v>
      </c>
      <c r="AI14484" s="831">
        <v>0</v>
      </c>
      <c r="AJ14484" s="835">
        <v>41973</v>
      </c>
      <c r="AK14484" s="831">
        <v>9781741</v>
      </c>
    </row>
    <row r="14485" spans="2:37">
      <c r="B14485" s="834" t="str">
        <f t="shared" si="533"/>
        <v>|||</v>
      </c>
      <c r="H14485" s="835">
        <f t="shared" si="534"/>
        <v>31</v>
      </c>
      <c r="AF14485" s="831" t="s">
        <v>11760</v>
      </c>
      <c r="AG14485" s="831" t="s">
        <v>2674</v>
      </c>
      <c r="AH14485" s="831" t="s">
        <v>555</v>
      </c>
      <c r="AI14485" s="831">
        <v>0</v>
      </c>
      <c r="AJ14485" s="835">
        <v>41973</v>
      </c>
      <c r="AK14485" s="831">
        <v>559691148</v>
      </c>
    </row>
    <row r="14486" spans="2:37">
      <c r="B14486" s="834" t="str">
        <f t="shared" si="533"/>
        <v>|||</v>
      </c>
      <c r="H14486" s="835">
        <f t="shared" si="534"/>
        <v>31</v>
      </c>
      <c r="AF14486" s="831" t="s">
        <v>11761</v>
      </c>
      <c r="AG14486" s="831" t="s">
        <v>2674</v>
      </c>
      <c r="AH14486" s="831" t="s">
        <v>554</v>
      </c>
      <c r="AI14486" s="831">
        <v>0</v>
      </c>
      <c r="AJ14486" s="835">
        <v>41973</v>
      </c>
      <c r="AK14486" s="831">
        <v>562759560</v>
      </c>
    </row>
    <row r="14487" spans="2:37">
      <c r="B14487" s="834" t="str">
        <f t="shared" si="533"/>
        <v>|||</v>
      </c>
      <c r="H14487" s="835">
        <f t="shared" si="534"/>
        <v>31</v>
      </c>
      <c r="AF14487" s="831" t="s">
        <v>11762</v>
      </c>
      <c r="AG14487" s="831" t="s">
        <v>2674</v>
      </c>
      <c r="AH14487" s="831" t="s">
        <v>553</v>
      </c>
      <c r="AI14487" s="831">
        <v>0</v>
      </c>
      <c r="AJ14487" s="835">
        <v>41973</v>
      </c>
      <c r="AK14487" s="831">
        <v>0</v>
      </c>
    </row>
    <row r="14488" spans="2:37">
      <c r="B14488" s="834" t="str">
        <f t="shared" si="533"/>
        <v>|||</v>
      </c>
      <c r="H14488" s="835">
        <f t="shared" si="534"/>
        <v>31</v>
      </c>
      <c r="AF14488" s="831" t="s">
        <v>11763</v>
      </c>
      <c r="AG14488" s="831" t="s">
        <v>2674</v>
      </c>
      <c r="AH14488" s="831" t="s">
        <v>552</v>
      </c>
      <c r="AI14488" s="831">
        <v>0</v>
      </c>
      <c r="AJ14488" s="835">
        <v>41973</v>
      </c>
      <c r="AK14488" s="831">
        <v>0</v>
      </c>
    </row>
    <row r="14489" spans="2:37">
      <c r="B14489" s="834" t="str">
        <f t="shared" si="533"/>
        <v>|||</v>
      </c>
      <c r="H14489" s="835">
        <f t="shared" si="534"/>
        <v>31</v>
      </c>
      <c r="AF14489" s="831" t="s">
        <v>11764</v>
      </c>
      <c r="AG14489" s="831" t="s">
        <v>2674</v>
      </c>
      <c r="AH14489" s="831" t="s">
        <v>551</v>
      </c>
      <c r="AI14489" s="831">
        <v>0</v>
      </c>
      <c r="AJ14489" s="835">
        <v>41973</v>
      </c>
      <c r="AK14489" s="831">
        <v>3921189.3899999997</v>
      </c>
    </row>
    <row r="14490" spans="2:37">
      <c r="B14490" s="834" t="str">
        <f t="shared" si="533"/>
        <v>|||</v>
      </c>
      <c r="H14490" s="835">
        <f t="shared" si="534"/>
        <v>31</v>
      </c>
      <c r="AF14490" s="831" t="s">
        <v>11765</v>
      </c>
      <c r="AG14490" s="831" t="s">
        <v>2674</v>
      </c>
      <c r="AH14490" s="831" t="s">
        <v>550</v>
      </c>
      <c r="AI14490" s="831">
        <v>0</v>
      </c>
      <c r="AJ14490" s="835">
        <v>41973</v>
      </c>
      <c r="AK14490" s="831">
        <v>149380039</v>
      </c>
    </row>
    <row r="14491" spans="2:37">
      <c r="B14491" s="834" t="str">
        <f t="shared" si="533"/>
        <v>|||</v>
      </c>
      <c r="H14491" s="835">
        <f t="shared" si="534"/>
        <v>31</v>
      </c>
      <c r="AF14491" s="831" t="s">
        <v>11766</v>
      </c>
      <c r="AG14491" s="831" t="s">
        <v>2674</v>
      </c>
      <c r="AH14491" s="831" t="s">
        <v>562</v>
      </c>
      <c r="AI14491" s="831">
        <v>0</v>
      </c>
      <c r="AJ14491" s="835">
        <v>41973</v>
      </c>
      <c r="AK14491" s="831">
        <v>0.78390000000000004</v>
      </c>
    </row>
    <row r="14492" spans="2:37">
      <c r="B14492" s="834" t="str">
        <f t="shared" si="533"/>
        <v>|||</v>
      </c>
      <c r="H14492" s="835">
        <f t="shared" si="534"/>
        <v>31</v>
      </c>
      <c r="AF14492" s="831" t="s">
        <v>11767</v>
      </c>
      <c r="AG14492" s="831" t="s">
        <v>2674</v>
      </c>
      <c r="AH14492" s="831" t="s">
        <v>2698</v>
      </c>
      <c r="AI14492" s="831">
        <v>0</v>
      </c>
      <c r="AJ14492" s="835">
        <v>41973</v>
      </c>
      <c r="AK14492" s="831">
        <v>0.78380000000000005</v>
      </c>
    </row>
    <row r="14493" spans="2:37">
      <c r="B14493" s="834" t="str">
        <f t="shared" si="533"/>
        <v>|||</v>
      </c>
      <c r="H14493" s="835">
        <f t="shared" si="534"/>
        <v>31</v>
      </c>
      <c r="AF14493" s="831" t="s">
        <v>11768</v>
      </c>
      <c r="AG14493" s="831" t="s">
        <v>2674</v>
      </c>
      <c r="AH14493" s="831" t="s">
        <v>560</v>
      </c>
      <c r="AI14493" s="831">
        <v>0</v>
      </c>
      <c r="AJ14493" s="835">
        <v>41973</v>
      </c>
      <c r="AK14493" s="831">
        <v>0.78368181818181837</v>
      </c>
    </row>
    <row r="14494" spans="2:37">
      <c r="B14494" s="834" t="str">
        <f t="shared" si="533"/>
        <v>|||</v>
      </c>
      <c r="H14494" s="835">
        <f t="shared" si="534"/>
        <v>31</v>
      </c>
      <c r="AF14494" s="831" t="s">
        <v>11769</v>
      </c>
      <c r="AG14494" s="831" t="s">
        <v>2674</v>
      </c>
      <c r="AH14494" s="831" t="s">
        <v>559</v>
      </c>
      <c r="AI14494" s="831">
        <v>0</v>
      </c>
      <c r="AJ14494" s="835">
        <v>41973</v>
      </c>
      <c r="AK14494" s="831">
        <v>0.78365416666666687</v>
      </c>
    </row>
    <row r="14495" spans="2:37">
      <c r="B14495" s="834" t="str">
        <f t="shared" si="533"/>
        <v>|||</v>
      </c>
      <c r="H14495" s="835">
        <f t="shared" si="534"/>
        <v>31</v>
      </c>
      <c r="AF14495" s="831" t="s">
        <v>11770</v>
      </c>
      <c r="AG14495" s="831" t="s">
        <v>2674</v>
      </c>
      <c r="AH14495" s="831" t="s">
        <v>568</v>
      </c>
      <c r="AI14495" s="831">
        <v>0</v>
      </c>
      <c r="AJ14495" s="835">
        <v>41973</v>
      </c>
      <c r="AK14495" s="831">
        <v>706055335.61153853</v>
      </c>
    </row>
    <row r="14496" spans="2:37">
      <c r="B14496" s="834" t="str">
        <f t="shared" si="533"/>
        <v>|||</v>
      </c>
      <c r="H14496" s="835">
        <f t="shared" si="534"/>
        <v>31</v>
      </c>
      <c r="AF14496" s="831" t="s">
        <v>11771</v>
      </c>
      <c r="AG14496" s="831" t="s">
        <v>2674</v>
      </c>
      <c r="AH14496" s="831" t="s">
        <v>569</v>
      </c>
      <c r="AI14496" s="831">
        <v>0</v>
      </c>
      <c r="AJ14496" s="835">
        <v>41973</v>
      </c>
      <c r="AK14496" s="831">
        <v>877011865.12715387</v>
      </c>
    </row>
    <row r="14497" spans="2:37">
      <c r="B14497" s="834" t="str">
        <f t="shared" si="533"/>
        <v>|||</v>
      </c>
      <c r="H14497" s="835">
        <f t="shared" si="534"/>
        <v>31</v>
      </c>
      <c r="AF14497" s="831" t="s">
        <v>11772</v>
      </c>
      <c r="AG14497" s="831" t="s">
        <v>2674</v>
      </c>
      <c r="AH14497" s="831" t="s">
        <v>570</v>
      </c>
      <c r="AI14497" s="831">
        <v>0</v>
      </c>
      <c r="AJ14497" s="835">
        <v>41973</v>
      </c>
      <c r="AK14497" s="831">
        <v>132419769.36892308</v>
      </c>
    </row>
    <row r="14498" spans="2:37">
      <c r="B14498" s="834" t="str">
        <f t="shared" si="533"/>
        <v>|||</v>
      </c>
      <c r="H14498" s="835">
        <f t="shared" si="534"/>
        <v>31</v>
      </c>
      <c r="AF14498" s="831" t="s">
        <v>11773</v>
      </c>
      <c r="AG14498" s="831" t="s">
        <v>2674</v>
      </c>
      <c r="AH14498" s="831" t="s">
        <v>571</v>
      </c>
      <c r="AI14498" s="831">
        <v>0</v>
      </c>
      <c r="AJ14498" s="835">
        <v>41973</v>
      </c>
      <c r="AK14498" s="831">
        <v>432199968.69923079</v>
      </c>
    </row>
    <row r="14499" spans="2:37">
      <c r="B14499" s="834" t="str">
        <f t="shared" si="533"/>
        <v>|||</v>
      </c>
      <c r="H14499" s="835">
        <f t="shared" si="534"/>
        <v>31</v>
      </c>
      <c r="AF14499" s="831" t="s">
        <v>11774</v>
      </c>
      <c r="AG14499" s="831" t="s">
        <v>2674</v>
      </c>
      <c r="AH14499" s="831" t="s">
        <v>573</v>
      </c>
      <c r="AI14499" s="831">
        <v>0</v>
      </c>
      <c r="AJ14499" s="835">
        <v>41973</v>
      </c>
      <c r="AK14499" s="831">
        <v>888073560.38024998</v>
      </c>
    </row>
    <row r="14500" spans="2:37">
      <c r="B14500" s="834" t="str">
        <f t="shared" si="533"/>
        <v>|||</v>
      </c>
      <c r="H14500" s="835">
        <f t="shared" si="534"/>
        <v>31</v>
      </c>
      <c r="AF14500" s="831" t="s">
        <v>11775</v>
      </c>
      <c r="AG14500" s="831" t="s">
        <v>2674</v>
      </c>
      <c r="AH14500" s="831" t="s">
        <v>574</v>
      </c>
      <c r="AI14500" s="831">
        <v>0</v>
      </c>
      <c r="AJ14500" s="835">
        <v>41973</v>
      </c>
      <c r="AK14500" s="831">
        <v>715055837.75</v>
      </c>
    </row>
    <row r="14501" spans="2:37">
      <c r="B14501" s="834" t="str">
        <f t="shared" si="533"/>
        <v>|||</v>
      </c>
      <c r="H14501" s="835">
        <f t="shared" si="534"/>
        <v>31</v>
      </c>
      <c r="AF14501" s="831" t="s">
        <v>11776</v>
      </c>
      <c r="AG14501" s="831" t="s">
        <v>2674</v>
      </c>
      <c r="AH14501" s="831" t="s">
        <v>575</v>
      </c>
      <c r="AI14501" s="831">
        <v>0</v>
      </c>
      <c r="AJ14501" s="835">
        <v>41973</v>
      </c>
      <c r="AK14501" s="831">
        <v>133194921.82833333</v>
      </c>
    </row>
    <row r="14502" spans="2:37">
      <c r="B14502" s="834" t="str">
        <f t="shared" si="533"/>
        <v>|||</v>
      </c>
      <c r="H14502" s="835">
        <f t="shared" si="534"/>
        <v>31</v>
      </c>
      <c r="AF14502" s="831" t="s">
        <v>11777</v>
      </c>
      <c r="AG14502" s="831" t="s">
        <v>2674</v>
      </c>
      <c r="AH14502" s="831" t="s">
        <v>576</v>
      </c>
      <c r="AI14502" s="831">
        <v>0</v>
      </c>
      <c r="AJ14502" s="835">
        <v>41973</v>
      </c>
      <c r="AK14502" s="831">
        <v>438403431.08566666</v>
      </c>
    </row>
    <row r="14503" spans="2:37">
      <c r="B14503" s="834" t="str">
        <f t="shared" si="533"/>
        <v>|||</v>
      </c>
      <c r="H14503" s="835">
        <f t="shared" si="534"/>
        <v>31</v>
      </c>
      <c r="AF14503" s="831" t="s">
        <v>11778</v>
      </c>
      <c r="AG14503" s="831" t="s">
        <v>2674</v>
      </c>
      <c r="AH14503" s="831" t="s">
        <v>572</v>
      </c>
      <c r="AI14503" s="831">
        <v>0</v>
      </c>
      <c r="AJ14503" s="835">
        <v>41973</v>
      </c>
      <c r="AK14503" s="831">
        <v>33835425.924000025</v>
      </c>
    </row>
    <row r="14504" spans="2:37">
      <c r="B14504" s="834" t="str">
        <f t="shared" si="533"/>
        <v>|||</v>
      </c>
      <c r="H14504" s="835">
        <f t="shared" si="534"/>
        <v>31</v>
      </c>
      <c r="AF14504" s="831" t="s">
        <v>11779</v>
      </c>
      <c r="AG14504" s="831" t="s">
        <v>2674</v>
      </c>
      <c r="AH14504" s="831" t="s">
        <v>577</v>
      </c>
      <c r="AI14504" s="831">
        <v>0</v>
      </c>
      <c r="AJ14504" s="835">
        <v>41973</v>
      </c>
      <c r="AK14504" s="831">
        <v>173617070.52700001</v>
      </c>
    </row>
    <row r="14505" spans="2:37">
      <c r="B14505" s="834" t="str">
        <f t="shared" si="533"/>
        <v>|||</v>
      </c>
      <c r="H14505" s="835">
        <f t="shared" si="534"/>
        <v>31</v>
      </c>
      <c r="AF14505" s="831" t="s">
        <v>11780</v>
      </c>
      <c r="AG14505" s="831" t="s">
        <v>2674</v>
      </c>
      <c r="AH14505" s="831" t="s">
        <v>3042</v>
      </c>
      <c r="AI14505" s="831">
        <v>0</v>
      </c>
      <c r="AJ14505" s="835">
        <v>41973</v>
      </c>
      <c r="AK14505" s="831">
        <v>-50695273.862000003</v>
      </c>
    </row>
    <row r="14506" spans="2:37">
      <c r="B14506" s="834" t="str">
        <f t="shared" si="533"/>
        <v>|||</v>
      </c>
      <c r="H14506" s="835">
        <f t="shared" si="534"/>
        <v>31</v>
      </c>
      <c r="AF14506" s="831" t="s">
        <v>11781</v>
      </c>
      <c r="AG14506" s="831" t="s">
        <v>2674</v>
      </c>
      <c r="AH14506" s="831" t="s">
        <v>3044</v>
      </c>
      <c r="AI14506" s="831">
        <v>0</v>
      </c>
      <c r="AJ14506" s="835">
        <v>41973</v>
      </c>
      <c r="AK14506" s="831">
        <v>-2169383.0120000001</v>
      </c>
    </row>
    <row r="14507" spans="2:37">
      <c r="B14507" s="834" t="str">
        <f t="shared" si="533"/>
        <v>|||</v>
      </c>
      <c r="H14507" s="835">
        <f t="shared" si="534"/>
        <v>31</v>
      </c>
      <c r="AF14507" s="831" t="s">
        <v>11782</v>
      </c>
      <c r="AG14507" s="831" t="s">
        <v>2674</v>
      </c>
      <c r="AH14507" s="831" t="s">
        <v>580</v>
      </c>
      <c r="AI14507" s="831">
        <v>0</v>
      </c>
      <c r="AJ14507" s="835">
        <v>41973</v>
      </c>
      <c r="AK14507" s="831">
        <v>-79126603.180999994</v>
      </c>
    </row>
    <row r="14508" spans="2:37">
      <c r="B14508" s="834" t="str">
        <f t="shared" si="533"/>
        <v>|||</v>
      </c>
      <c r="H14508" s="835">
        <f t="shared" si="534"/>
        <v>31</v>
      </c>
      <c r="AF14508" s="831" t="s">
        <v>11783</v>
      </c>
      <c r="AG14508" s="831" t="s">
        <v>2674</v>
      </c>
      <c r="AH14508" s="831" t="s">
        <v>581</v>
      </c>
      <c r="AI14508" s="831">
        <v>0</v>
      </c>
      <c r="AJ14508" s="835">
        <v>41973</v>
      </c>
      <c r="AK14508" s="831">
        <v>4040122.4290000005</v>
      </c>
    </row>
    <row r="14509" spans="2:37">
      <c r="B14509" s="834" t="str">
        <f t="shared" si="533"/>
        <v>|||</v>
      </c>
      <c r="H14509" s="835">
        <f t="shared" si="534"/>
        <v>31</v>
      </c>
      <c r="AF14509" s="831" t="s">
        <v>11784</v>
      </c>
      <c r="AG14509" s="831" t="s">
        <v>2674</v>
      </c>
      <c r="AH14509" s="831" t="s">
        <v>105</v>
      </c>
      <c r="AI14509" s="831">
        <v>0</v>
      </c>
      <c r="AJ14509" s="835">
        <v>41973</v>
      </c>
      <c r="AK14509" s="831">
        <v>488862063</v>
      </c>
    </row>
    <row r="14510" spans="2:37">
      <c r="B14510" s="834" t="str">
        <f t="shared" si="533"/>
        <v>|||</v>
      </c>
      <c r="H14510" s="835">
        <f t="shared" si="534"/>
        <v>31</v>
      </c>
      <c r="AF14510" s="831" t="s">
        <v>11785</v>
      </c>
      <c r="AG14510" s="831" t="s">
        <v>2674</v>
      </c>
      <c r="AH14510" s="831" t="s">
        <v>3049</v>
      </c>
      <c r="AI14510" s="831">
        <v>0</v>
      </c>
      <c r="AJ14510" s="835">
        <v>41973</v>
      </c>
      <c r="AK14510" s="831">
        <v>810336503</v>
      </c>
    </row>
    <row r="14511" spans="2:37">
      <c r="B14511" s="834" t="str">
        <f t="shared" si="533"/>
        <v>|||</v>
      </c>
      <c r="H14511" s="835">
        <f t="shared" si="534"/>
        <v>31</v>
      </c>
      <c r="AF14511" s="831" t="s">
        <v>11786</v>
      </c>
      <c r="AG14511" s="831" t="s">
        <v>2674</v>
      </c>
      <c r="AH14511" s="831" t="s">
        <v>103</v>
      </c>
      <c r="AI14511" s="831">
        <v>0</v>
      </c>
      <c r="AJ14511" s="835">
        <v>41973</v>
      </c>
      <c r="AK14511" s="831">
        <v>321474440</v>
      </c>
    </row>
    <row r="14512" spans="2:37">
      <c r="B14512" s="834" t="str">
        <f t="shared" si="533"/>
        <v>|||</v>
      </c>
      <c r="H14512" s="835">
        <f t="shared" si="534"/>
        <v>31</v>
      </c>
      <c r="AF14512" s="831" t="s">
        <v>11787</v>
      </c>
      <c r="AG14512" s="831" t="s">
        <v>2674</v>
      </c>
      <c r="AH14512" s="831" t="s">
        <v>182</v>
      </c>
      <c r="AI14512" s="831">
        <v>0</v>
      </c>
      <c r="AJ14512" s="835">
        <v>41973</v>
      </c>
      <c r="AK14512" s="831">
        <v>75281666.181818187</v>
      </c>
    </row>
    <row r="14513" spans="2:37">
      <c r="B14513" s="834" t="str">
        <f t="shared" si="533"/>
        <v>|||</v>
      </c>
      <c r="H14513" s="835">
        <f t="shared" si="534"/>
        <v>31</v>
      </c>
      <c r="AF14513" s="831" t="s">
        <v>11788</v>
      </c>
      <c r="AG14513" s="831" t="s">
        <v>2674</v>
      </c>
      <c r="AH14513" s="831" t="s">
        <v>6600</v>
      </c>
      <c r="AI14513" s="831">
        <v>0</v>
      </c>
      <c r="AJ14513" s="835">
        <v>41973</v>
      </c>
      <c r="AK14513" s="831">
        <v>33835425.924000025</v>
      </c>
    </row>
    <row r="14514" spans="2:37">
      <c r="B14514" s="834" t="str">
        <f t="shared" si="533"/>
        <v>|||</v>
      </c>
      <c r="H14514" s="835">
        <f t="shared" si="534"/>
        <v>31</v>
      </c>
      <c r="AF14514" s="831" t="s">
        <v>11789</v>
      </c>
      <c r="AG14514" s="831" t="s">
        <v>2674</v>
      </c>
      <c r="AH14514" s="831" t="s">
        <v>6602</v>
      </c>
      <c r="AI14514" s="831">
        <v>0</v>
      </c>
      <c r="AJ14514" s="835">
        <v>41973</v>
      </c>
      <c r="AK14514" s="831">
        <v>35013602</v>
      </c>
    </row>
    <row r="14515" spans="2:37">
      <c r="B14515" s="834" t="str">
        <f t="shared" si="533"/>
        <v>|||</v>
      </c>
      <c r="H14515" s="835">
        <f t="shared" si="534"/>
        <v>31</v>
      </c>
      <c r="AF14515" s="831" t="s">
        <v>11790</v>
      </c>
      <c r="AG14515" s="831" t="s">
        <v>2674</v>
      </c>
      <c r="AH14515" s="831" t="s">
        <v>650</v>
      </c>
      <c r="AI14515" s="831">
        <v>0</v>
      </c>
      <c r="AJ14515" s="835">
        <v>41973</v>
      </c>
      <c r="AK14515" s="831">
        <v>287670371.56684613</v>
      </c>
    </row>
    <row r="14516" spans="2:37">
      <c r="B14516" s="834" t="str">
        <f t="shared" si="533"/>
        <v>|||</v>
      </c>
      <c r="H14516" s="835">
        <f t="shared" si="534"/>
        <v>31</v>
      </c>
      <c r="AF14516" s="831" t="s">
        <v>11791</v>
      </c>
      <c r="AG14516" s="831" t="s">
        <v>2674</v>
      </c>
      <c r="AH14516" s="831" t="s">
        <v>655</v>
      </c>
      <c r="AI14516" s="831">
        <v>0</v>
      </c>
      <c r="AJ14516" s="835">
        <v>41973</v>
      </c>
      <c r="AK14516" s="831">
        <v>919694.3899999999</v>
      </c>
    </row>
    <row r="14517" spans="2:37">
      <c r="B14517" s="834" t="str">
        <f t="shared" si="533"/>
        <v>|||</v>
      </c>
      <c r="H14517" s="835">
        <f t="shared" si="534"/>
        <v>31</v>
      </c>
      <c r="AF14517" s="831" t="s">
        <v>11792</v>
      </c>
      <c r="AG14517" s="831" t="s">
        <v>2674</v>
      </c>
      <c r="AH14517" s="831" t="s">
        <v>546</v>
      </c>
      <c r="AI14517" s="831">
        <v>0</v>
      </c>
      <c r="AJ14517" s="835">
        <v>42004</v>
      </c>
      <c r="AK14517" s="831">
        <v>828920000</v>
      </c>
    </row>
    <row r="14518" spans="2:37">
      <c r="B14518" s="834" t="str">
        <f t="shared" si="533"/>
        <v>|||</v>
      </c>
      <c r="H14518" s="835">
        <f t="shared" si="534"/>
        <v>31</v>
      </c>
      <c r="AF14518" s="831" t="s">
        <v>11793</v>
      </c>
      <c r="AG14518" s="831" t="s">
        <v>2674</v>
      </c>
      <c r="AH14518" s="831" t="s">
        <v>370</v>
      </c>
      <c r="AI14518" s="831">
        <v>0</v>
      </c>
      <c r="AJ14518" s="835">
        <v>42004</v>
      </c>
      <c r="AK14518" s="831">
        <v>1042210000</v>
      </c>
    </row>
    <row r="14519" spans="2:37">
      <c r="B14519" s="834" t="str">
        <f t="shared" si="533"/>
        <v>|||</v>
      </c>
      <c r="H14519" s="835">
        <f t="shared" si="534"/>
        <v>31</v>
      </c>
      <c r="AF14519" s="831" t="s">
        <v>11794</v>
      </c>
      <c r="AG14519" s="831" t="s">
        <v>2674</v>
      </c>
      <c r="AH14519" s="831" t="s">
        <v>126</v>
      </c>
      <c r="AI14519" s="831">
        <v>0</v>
      </c>
      <c r="AJ14519" s="835">
        <v>42004</v>
      </c>
      <c r="AK14519" s="831">
        <v>145409000</v>
      </c>
    </row>
    <row r="14520" spans="2:37">
      <c r="B14520" s="834" t="str">
        <f t="shared" si="533"/>
        <v>|||</v>
      </c>
      <c r="H14520" s="835">
        <f t="shared" si="534"/>
        <v>31</v>
      </c>
      <c r="AF14520" s="831" t="s">
        <v>11795</v>
      </c>
      <c r="AG14520" s="831" t="s">
        <v>2674</v>
      </c>
      <c r="AH14520" s="831" t="s">
        <v>268</v>
      </c>
      <c r="AI14520" s="831">
        <v>0</v>
      </c>
      <c r="AJ14520" s="835">
        <v>42004</v>
      </c>
      <c r="AK14520" s="831">
        <v>43040000</v>
      </c>
    </row>
    <row r="14521" spans="2:37">
      <c r="B14521" s="834" t="str">
        <f t="shared" si="533"/>
        <v>|||</v>
      </c>
      <c r="H14521" s="835">
        <f t="shared" si="534"/>
        <v>31</v>
      </c>
      <c r="AF14521" s="831" t="s">
        <v>11796</v>
      </c>
      <c r="AG14521" s="831" t="s">
        <v>2674</v>
      </c>
      <c r="AH14521" s="831" t="s">
        <v>547</v>
      </c>
      <c r="AI14521" s="831">
        <v>0</v>
      </c>
      <c r="AJ14521" s="835">
        <v>42004</v>
      </c>
      <c r="AK14521" s="831">
        <v>777719977</v>
      </c>
    </row>
    <row r="14522" spans="2:37">
      <c r="B14522" s="834" t="str">
        <f t="shared" si="533"/>
        <v>|||</v>
      </c>
      <c r="H14522" s="835">
        <f t="shared" si="534"/>
        <v>31</v>
      </c>
      <c r="AF14522" s="831" t="s">
        <v>11797</v>
      </c>
      <c r="AG14522" s="831" t="s">
        <v>2674</v>
      </c>
      <c r="AH14522" s="831" t="s">
        <v>548</v>
      </c>
      <c r="AI14522" s="831">
        <v>0</v>
      </c>
      <c r="AJ14522" s="835">
        <v>42004</v>
      </c>
      <c r="AK14522" s="831">
        <v>117105496</v>
      </c>
    </row>
    <row r="14523" spans="2:37">
      <c r="B14523" s="834" t="str">
        <f t="shared" si="533"/>
        <v>|||</v>
      </c>
      <c r="H14523" s="835">
        <f t="shared" si="534"/>
        <v>31</v>
      </c>
      <c r="AF14523" s="831" t="s">
        <v>11798</v>
      </c>
      <c r="AG14523" s="831" t="s">
        <v>2674</v>
      </c>
      <c r="AH14523" s="831" t="s">
        <v>549</v>
      </c>
      <c r="AI14523" s="831">
        <v>0</v>
      </c>
      <c r="AJ14523" s="835">
        <v>42004</v>
      </c>
      <c r="AK14523" s="831">
        <v>627874260</v>
      </c>
    </row>
    <row r="14524" spans="2:37">
      <c r="B14524" s="834" t="str">
        <f t="shared" si="533"/>
        <v>|||</v>
      </c>
      <c r="H14524" s="835">
        <f t="shared" si="534"/>
        <v>31</v>
      </c>
      <c r="AF14524" s="831" t="s">
        <v>11799</v>
      </c>
      <c r="AG14524" s="831" t="s">
        <v>2674</v>
      </c>
      <c r="AH14524" s="831" t="s">
        <v>192</v>
      </c>
      <c r="AI14524" s="831">
        <v>0</v>
      </c>
      <c r="AJ14524" s="835">
        <v>42004</v>
      </c>
      <c r="AK14524" s="831">
        <v>-9140000</v>
      </c>
    </row>
    <row r="14525" spans="2:37">
      <c r="B14525" s="834" t="str">
        <f t="shared" si="533"/>
        <v>|||</v>
      </c>
      <c r="H14525" s="835">
        <f t="shared" si="534"/>
        <v>31</v>
      </c>
      <c r="AF14525" s="831" t="s">
        <v>11800</v>
      </c>
      <c r="AG14525" s="831" t="s">
        <v>2674</v>
      </c>
      <c r="AH14525" s="831" t="s">
        <v>558</v>
      </c>
      <c r="AI14525" s="831">
        <v>0</v>
      </c>
      <c r="AJ14525" s="835">
        <v>42004</v>
      </c>
      <c r="AK14525" s="831">
        <v>896801000</v>
      </c>
    </row>
    <row r="14526" spans="2:37">
      <c r="B14526" s="834" t="str">
        <f t="shared" si="533"/>
        <v>|||</v>
      </c>
      <c r="H14526" s="835">
        <f t="shared" si="534"/>
        <v>31</v>
      </c>
      <c r="AF14526" s="831" t="s">
        <v>11801</v>
      </c>
      <c r="AG14526" s="831" t="s">
        <v>2674</v>
      </c>
      <c r="AH14526" s="831" t="s">
        <v>65</v>
      </c>
      <c r="AI14526" s="831">
        <v>0</v>
      </c>
      <c r="AJ14526" s="835">
        <v>42004</v>
      </c>
      <c r="AK14526" s="831">
        <v>169813000</v>
      </c>
    </row>
    <row r="14527" spans="2:37">
      <c r="B14527" s="834" t="str">
        <f t="shared" si="533"/>
        <v>|||</v>
      </c>
      <c r="H14527" s="835">
        <f t="shared" si="534"/>
        <v>31</v>
      </c>
      <c r="AF14527" s="831" t="s">
        <v>11802</v>
      </c>
      <c r="AG14527" s="831" t="s">
        <v>2674</v>
      </c>
      <c r="AH14527" s="831" t="s">
        <v>89</v>
      </c>
      <c r="AI14527" s="831">
        <v>0</v>
      </c>
      <c r="AJ14527" s="835">
        <v>42004</v>
      </c>
      <c r="AK14527" s="831">
        <v>157146</v>
      </c>
    </row>
    <row r="14528" spans="2:37">
      <c r="B14528" s="834" t="str">
        <f t="shared" si="533"/>
        <v>|||</v>
      </c>
      <c r="H14528" s="835">
        <f t="shared" si="534"/>
        <v>31</v>
      </c>
      <c r="AF14528" s="831" t="s">
        <v>11803</v>
      </c>
      <c r="AG14528" s="831" t="s">
        <v>2674</v>
      </c>
      <c r="AH14528" s="831" t="s">
        <v>557</v>
      </c>
      <c r="AI14528" s="831">
        <v>0</v>
      </c>
      <c r="AJ14528" s="835">
        <v>42004</v>
      </c>
      <c r="AK14528" s="831">
        <v>178484</v>
      </c>
    </row>
    <row r="14529" spans="2:37">
      <c r="B14529" s="834" t="str">
        <f t="shared" si="533"/>
        <v>|||</v>
      </c>
      <c r="H14529" s="835">
        <f t="shared" si="534"/>
        <v>31</v>
      </c>
      <c r="AF14529" s="831" t="s">
        <v>11804</v>
      </c>
      <c r="AG14529" s="831" t="s">
        <v>2674</v>
      </c>
      <c r="AH14529" s="831" t="s">
        <v>29</v>
      </c>
      <c r="AI14529" s="831">
        <v>0</v>
      </c>
      <c r="AJ14529" s="835">
        <v>42004</v>
      </c>
      <c r="AK14529" s="831">
        <v>6837000</v>
      </c>
    </row>
    <row r="14530" spans="2:37">
      <c r="B14530" s="834" t="str">
        <f t="shared" si="533"/>
        <v>|||</v>
      </c>
      <c r="H14530" s="835">
        <f t="shared" si="534"/>
        <v>31</v>
      </c>
      <c r="AF14530" s="831" t="s">
        <v>11805</v>
      </c>
      <c r="AG14530" s="831" t="s">
        <v>2674</v>
      </c>
      <c r="AH14530" s="831" t="s">
        <v>2688</v>
      </c>
      <c r="AI14530" s="831">
        <v>0</v>
      </c>
      <c r="AJ14530" s="835">
        <v>42004</v>
      </c>
      <c r="AK14530" s="831">
        <v>5048648</v>
      </c>
    </row>
    <row r="14531" spans="2:37">
      <c r="B14531" s="834" t="str">
        <f t="shared" si="533"/>
        <v>|||</v>
      </c>
      <c r="H14531" s="835">
        <f t="shared" si="534"/>
        <v>31</v>
      </c>
      <c r="AF14531" s="831" t="s">
        <v>11806</v>
      </c>
      <c r="AG14531" s="831" t="s">
        <v>2674</v>
      </c>
      <c r="AH14531" s="831" t="s">
        <v>556</v>
      </c>
      <c r="AI14531" s="831">
        <v>0</v>
      </c>
      <c r="AJ14531" s="835">
        <v>42004</v>
      </c>
      <c r="AK14531" s="831">
        <v>11412135</v>
      </c>
    </row>
    <row r="14532" spans="2:37">
      <c r="B14532" s="834" t="str">
        <f t="shared" si="533"/>
        <v>|||</v>
      </c>
      <c r="H14532" s="835">
        <f t="shared" si="534"/>
        <v>31</v>
      </c>
      <c r="AF14532" s="831" t="s">
        <v>11807</v>
      </c>
      <c r="AG14532" s="831" t="s">
        <v>2674</v>
      </c>
      <c r="AH14532" s="831" t="s">
        <v>555</v>
      </c>
      <c r="AI14532" s="831">
        <v>0</v>
      </c>
      <c r="AJ14532" s="835">
        <v>42004</v>
      </c>
      <c r="AK14532" s="831">
        <v>596336076</v>
      </c>
    </row>
    <row r="14533" spans="2:37">
      <c r="B14533" s="834" t="str">
        <f t="shared" si="533"/>
        <v>|||</v>
      </c>
      <c r="H14533" s="835">
        <f t="shared" si="534"/>
        <v>31</v>
      </c>
      <c r="AF14533" s="831" t="s">
        <v>11808</v>
      </c>
      <c r="AG14533" s="831" t="s">
        <v>2674</v>
      </c>
      <c r="AH14533" s="831" t="s">
        <v>554</v>
      </c>
      <c r="AI14533" s="831">
        <v>0</v>
      </c>
      <c r="AJ14533" s="835">
        <v>42004</v>
      </c>
      <c r="AK14533" s="831">
        <v>603608535</v>
      </c>
    </row>
    <row r="14534" spans="2:37">
      <c r="B14534" s="834" t="str">
        <f t="shared" si="533"/>
        <v>|||</v>
      </c>
      <c r="H14534" s="835">
        <f t="shared" si="534"/>
        <v>31</v>
      </c>
      <c r="AF14534" s="831" t="s">
        <v>11809</v>
      </c>
      <c r="AG14534" s="831" t="s">
        <v>2674</v>
      </c>
      <c r="AH14534" s="831" t="s">
        <v>553</v>
      </c>
      <c r="AI14534" s="831">
        <v>0</v>
      </c>
      <c r="AJ14534" s="835">
        <v>42004</v>
      </c>
      <c r="AK14534" s="831">
        <v>0</v>
      </c>
    </row>
    <row r="14535" spans="2:37">
      <c r="B14535" s="834" t="str">
        <f t="shared" si="533"/>
        <v>|||</v>
      </c>
      <c r="H14535" s="835">
        <f t="shared" si="534"/>
        <v>31</v>
      </c>
      <c r="AF14535" s="831" t="s">
        <v>11810</v>
      </c>
      <c r="AG14535" s="831" t="s">
        <v>2674</v>
      </c>
      <c r="AH14535" s="831" t="s">
        <v>552</v>
      </c>
      <c r="AI14535" s="831">
        <v>0</v>
      </c>
      <c r="AJ14535" s="835">
        <v>42004</v>
      </c>
      <c r="AK14535" s="831">
        <v>0</v>
      </c>
    </row>
    <row r="14536" spans="2:37">
      <c r="B14536" s="834" t="str">
        <f t="shared" si="533"/>
        <v>|||</v>
      </c>
      <c r="H14536" s="835">
        <f t="shared" si="534"/>
        <v>31</v>
      </c>
      <c r="AF14536" s="831" t="s">
        <v>11811</v>
      </c>
      <c r="AG14536" s="831" t="s">
        <v>2674</v>
      </c>
      <c r="AH14536" s="831" t="s">
        <v>551</v>
      </c>
      <c r="AI14536" s="831">
        <v>0</v>
      </c>
      <c r="AJ14536" s="835">
        <v>42004</v>
      </c>
      <c r="AK14536" s="831">
        <v>6446340</v>
      </c>
    </row>
    <row r="14537" spans="2:37">
      <c r="B14537" s="834" t="str">
        <f t="shared" si="533"/>
        <v>|||</v>
      </c>
      <c r="H14537" s="835">
        <f t="shared" si="534"/>
        <v>31</v>
      </c>
      <c r="AF14537" s="831" t="s">
        <v>11812</v>
      </c>
      <c r="AG14537" s="831" t="s">
        <v>2674</v>
      </c>
      <c r="AH14537" s="831" t="s">
        <v>550</v>
      </c>
      <c r="AI14537" s="831">
        <v>0</v>
      </c>
      <c r="AJ14537" s="835">
        <v>42004</v>
      </c>
      <c r="AK14537" s="831">
        <v>153599665</v>
      </c>
    </row>
    <row r="14538" spans="2:37">
      <c r="B14538" s="834" t="str">
        <f t="shared" si="533"/>
        <v>|||</v>
      </c>
      <c r="H14538" s="835">
        <f t="shared" si="534"/>
        <v>31</v>
      </c>
      <c r="AF14538" s="831" t="s">
        <v>11813</v>
      </c>
      <c r="AG14538" s="831" t="s">
        <v>2674</v>
      </c>
      <c r="AH14538" s="831" t="s">
        <v>562</v>
      </c>
      <c r="AI14538" s="831">
        <v>0</v>
      </c>
      <c r="AJ14538" s="835">
        <v>42004</v>
      </c>
      <c r="AK14538" s="831">
        <v>0.78310000000000002</v>
      </c>
    </row>
    <row r="14539" spans="2:37">
      <c r="B14539" s="834" t="str">
        <f t="shared" si="533"/>
        <v>|||</v>
      </c>
      <c r="H14539" s="835">
        <f t="shared" si="534"/>
        <v>31</v>
      </c>
      <c r="AF14539" s="831" t="s">
        <v>11814</v>
      </c>
      <c r="AG14539" s="831" t="s">
        <v>2674</v>
      </c>
      <c r="AH14539" s="831" t="s">
        <v>2698</v>
      </c>
      <c r="AI14539" s="831">
        <v>0</v>
      </c>
      <c r="AJ14539" s="835">
        <v>42004</v>
      </c>
      <c r="AK14539" s="831">
        <v>0.78390000000000004</v>
      </c>
    </row>
    <row r="14540" spans="2:37">
      <c r="B14540" s="834" t="str">
        <f t="shared" si="533"/>
        <v>|||</v>
      </c>
      <c r="H14540" s="835">
        <f t="shared" si="534"/>
        <v>31</v>
      </c>
      <c r="AF14540" s="831" t="s">
        <v>11815</v>
      </c>
      <c r="AG14540" s="831" t="s">
        <v>2674</v>
      </c>
      <c r="AH14540" s="831" t="s">
        <v>560</v>
      </c>
      <c r="AI14540" s="831">
        <v>0</v>
      </c>
      <c r="AJ14540" s="835">
        <v>42004</v>
      </c>
      <c r="AK14540" s="831">
        <v>0.78363333333333329</v>
      </c>
    </row>
    <row r="14541" spans="2:37">
      <c r="B14541" s="834" t="str">
        <f t="shared" si="533"/>
        <v>|||</v>
      </c>
      <c r="H14541" s="835">
        <f t="shared" si="534"/>
        <v>31</v>
      </c>
      <c r="AF14541" s="831" t="s">
        <v>11816</v>
      </c>
      <c r="AG14541" s="831" t="s">
        <v>2674</v>
      </c>
      <c r="AH14541" s="831" t="s">
        <v>559</v>
      </c>
      <c r="AI14541" s="831">
        <v>0</v>
      </c>
      <c r="AJ14541" s="835">
        <v>42004</v>
      </c>
      <c r="AK14541" s="831">
        <v>0.78363333333333329</v>
      </c>
    </row>
    <row r="14542" spans="2:37">
      <c r="B14542" s="834" t="str">
        <f t="shared" si="533"/>
        <v>|||</v>
      </c>
      <c r="H14542" s="835">
        <f t="shared" si="534"/>
        <v>31</v>
      </c>
      <c r="AF14542" s="831" t="s">
        <v>11817</v>
      </c>
      <c r="AG14542" s="831" t="s">
        <v>2674</v>
      </c>
      <c r="AH14542" s="831" t="s">
        <v>568</v>
      </c>
      <c r="AI14542" s="831">
        <v>0</v>
      </c>
      <c r="AJ14542" s="835">
        <v>42004</v>
      </c>
      <c r="AK14542" s="831">
        <v>723814619.46153843</v>
      </c>
    </row>
    <row r="14543" spans="2:37">
      <c r="B14543" s="834" t="str">
        <f t="shared" si="533"/>
        <v>|||</v>
      </c>
      <c r="H14543" s="835">
        <f t="shared" si="534"/>
        <v>31</v>
      </c>
      <c r="AF14543" s="831" t="s">
        <v>11818</v>
      </c>
      <c r="AG14543" s="831" t="s">
        <v>2674</v>
      </c>
      <c r="AH14543" s="831" t="s">
        <v>569</v>
      </c>
      <c r="AI14543" s="831">
        <v>0</v>
      </c>
      <c r="AJ14543" s="835">
        <v>42004</v>
      </c>
      <c r="AK14543" s="831">
        <v>899930209.58176923</v>
      </c>
    </row>
    <row r="14544" spans="2:37">
      <c r="B14544" s="834" t="str">
        <f t="shared" si="533"/>
        <v>|||</v>
      </c>
      <c r="H14544" s="835">
        <f t="shared" si="534"/>
        <v>31</v>
      </c>
      <c r="AF14544" s="831" t="s">
        <v>11819</v>
      </c>
      <c r="AG14544" s="831" t="s">
        <v>2674</v>
      </c>
      <c r="AH14544" s="831" t="s">
        <v>570</v>
      </c>
      <c r="AI14544" s="831">
        <v>0</v>
      </c>
      <c r="AJ14544" s="835">
        <v>42004</v>
      </c>
      <c r="AK14544" s="831">
        <v>134134466.30307692</v>
      </c>
    </row>
    <row r="14545" spans="2:37">
      <c r="B14545" s="834" t="str">
        <f t="shared" ref="B14545:B14608" si="535">C14545&amp;"|"&amp;D14545&amp;"|"&amp;E14545&amp;"|"&amp;F14545</f>
        <v>|||</v>
      </c>
      <c r="H14545" s="835">
        <f t="shared" ref="H14545:H14608" si="536">EOMONTH(L14545,0)</f>
        <v>31</v>
      </c>
      <c r="AF14545" s="831" t="s">
        <v>11820</v>
      </c>
      <c r="AG14545" s="831" t="s">
        <v>2674</v>
      </c>
      <c r="AH14545" s="831" t="s">
        <v>571</v>
      </c>
      <c r="AI14545" s="831">
        <v>0</v>
      </c>
      <c r="AJ14545" s="835">
        <v>42004</v>
      </c>
      <c r="AK14545" s="831">
        <v>445629705.61753845</v>
      </c>
    </row>
    <row r="14546" spans="2:37">
      <c r="B14546" s="834" t="str">
        <f t="shared" si="535"/>
        <v>|||</v>
      </c>
      <c r="H14546" s="835">
        <f t="shared" si="536"/>
        <v>31</v>
      </c>
      <c r="AF14546" s="831" t="s">
        <v>11821</v>
      </c>
      <c r="AG14546" s="831" t="s">
        <v>2674</v>
      </c>
      <c r="AH14546" s="831" t="s">
        <v>573</v>
      </c>
      <c r="AI14546" s="831">
        <v>0</v>
      </c>
      <c r="AJ14546" s="835">
        <v>42004</v>
      </c>
      <c r="AK14546" s="831">
        <v>899930209.58176923</v>
      </c>
    </row>
    <row r="14547" spans="2:37">
      <c r="B14547" s="834" t="str">
        <f t="shared" si="535"/>
        <v>|||</v>
      </c>
      <c r="H14547" s="835">
        <f t="shared" si="536"/>
        <v>31</v>
      </c>
      <c r="AF14547" s="831" t="s">
        <v>11822</v>
      </c>
      <c r="AG14547" s="831" t="s">
        <v>2674</v>
      </c>
      <c r="AH14547" s="831" t="s">
        <v>574</v>
      </c>
      <c r="AI14547" s="831">
        <v>0</v>
      </c>
      <c r="AJ14547" s="835">
        <v>42004</v>
      </c>
      <c r="AK14547" s="831">
        <v>723814619.46153843</v>
      </c>
    </row>
    <row r="14548" spans="2:37">
      <c r="B14548" s="834" t="str">
        <f t="shared" si="535"/>
        <v>|||</v>
      </c>
      <c r="H14548" s="835">
        <f t="shared" si="536"/>
        <v>31</v>
      </c>
      <c r="AF14548" s="831" t="s">
        <v>11823</v>
      </c>
      <c r="AG14548" s="831" t="s">
        <v>2674</v>
      </c>
      <c r="AH14548" s="831" t="s">
        <v>575</v>
      </c>
      <c r="AI14548" s="831">
        <v>0</v>
      </c>
      <c r="AJ14548" s="835">
        <v>42004</v>
      </c>
      <c r="AK14548" s="831">
        <v>134134466.30307692</v>
      </c>
    </row>
    <row r="14549" spans="2:37">
      <c r="B14549" s="834" t="str">
        <f t="shared" si="535"/>
        <v>|||</v>
      </c>
      <c r="H14549" s="835">
        <f t="shared" si="536"/>
        <v>31</v>
      </c>
      <c r="AF14549" s="831" t="s">
        <v>11824</v>
      </c>
      <c r="AG14549" s="831" t="s">
        <v>2674</v>
      </c>
      <c r="AH14549" s="831" t="s">
        <v>576</v>
      </c>
      <c r="AI14549" s="831">
        <v>0</v>
      </c>
      <c r="AJ14549" s="835">
        <v>42004</v>
      </c>
      <c r="AK14549" s="831">
        <v>445629705.61753845</v>
      </c>
    </row>
    <row r="14550" spans="2:37">
      <c r="B14550" s="834" t="str">
        <f t="shared" si="535"/>
        <v>|||</v>
      </c>
      <c r="H14550" s="835">
        <f t="shared" si="536"/>
        <v>31</v>
      </c>
      <c r="AF14550" s="831" t="s">
        <v>11825</v>
      </c>
      <c r="AG14550" s="831" t="s">
        <v>2674</v>
      </c>
      <c r="AH14550" s="831" t="s">
        <v>572</v>
      </c>
      <c r="AI14550" s="831">
        <v>0</v>
      </c>
      <c r="AJ14550" s="835">
        <v>42004</v>
      </c>
      <c r="AK14550" s="831">
        <v>43040000</v>
      </c>
    </row>
    <row r="14551" spans="2:37">
      <c r="B14551" s="834" t="str">
        <f t="shared" si="535"/>
        <v>|||</v>
      </c>
      <c r="H14551" s="835">
        <f t="shared" si="536"/>
        <v>31</v>
      </c>
      <c r="AF14551" s="831" t="s">
        <v>11826</v>
      </c>
      <c r="AG14551" s="831" t="s">
        <v>2674</v>
      </c>
      <c r="AH14551" s="831" t="s">
        <v>577</v>
      </c>
      <c r="AI14551" s="831">
        <v>0</v>
      </c>
      <c r="AJ14551" s="835">
        <v>42004</v>
      </c>
      <c r="AK14551" s="831">
        <v>169813000</v>
      </c>
    </row>
    <row r="14552" spans="2:37">
      <c r="B14552" s="834" t="str">
        <f t="shared" si="535"/>
        <v>|||</v>
      </c>
      <c r="H14552" s="835">
        <f t="shared" si="536"/>
        <v>31</v>
      </c>
      <c r="AF14552" s="831" t="s">
        <v>11827</v>
      </c>
      <c r="AG14552" s="831" t="s">
        <v>2674</v>
      </c>
      <c r="AH14552" s="831" t="s">
        <v>3042</v>
      </c>
      <c r="AI14552" s="831">
        <v>0</v>
      </c>
      <c r="AJ14552" s="835">
        <v>42004</v>
      </c>
      <c r="AK14552" s="831">
        <v>-51705000</v>
      </c>
    </row>
    <row r="14553" spans="2:37">
      <c r="B14553" s="834" t="str">
        <f t="shared" si="535"/>
        <v>|||</v>
      </c>
      <c r="H14553" s="835">
        <f t="shared" si="536"/>
        <v>31</v>
      </c>
      <c r="AF14553" s="831" t="s">
        <v>11828</v>
      </c>
      <c r="AG14553" s="831" t="s">
        <v>2674</v>
      </c>
      <c r="AH14553" s="831" t="s">
        <v>3044</v>
      </c>
      <c r="AI14553" s="831">
        <v>0</v>
      </c>
      <c r="AJ14553" s="835">
        <v>42004</v>
      </c>
      <c r="AK14553" s="831">
        <v>3515000</v>
      </c>
    </row>
    <row r="14554" spans="2:37">
      <c r="B14554" s="834" t="str">
        <f t="shared" si="535"/>
        <v>|||</v>
      </c>
      <c r="H14554" s="835">
        <f t="shared" si="536"/>
        <v>31</v>
      </c>
      <c r="AF14554" s="831" t="s">
        <v>11829</v>
      </c>
      <c r="AG14554" s="831" t="s">
        <v>2674</v>
      </c>
      <c r="AH14554" s="831" t="s">
        <v>580</v>
      </c>
      <c r="AI14554" s="831">
        <v>0</v>
      </c>
      <c r="AJ14554" s="835">
        <v>42004</v>
      </c>
      <c r="AK14554" s="831">
        <v>-78262000</v>
      </c>
    </row>
    <row r="14555" spans="2:37">
      <c r="B14555" s="834" t="str">
        <f t="shared" si="535"/>
        <v>|||</v>
      </c>
      <c r="H14555" s="835">
        <f t="shared" si="536"/>
        <v>31</v>
      </c>
      <c r="AF14555" s="831" t="s">
        <v>11830</v>
      </c>
      <c r="AG14555" s="831" t="s">
        <v>2674</v>
      </c>
      <c r="AH14555" s="831" t="s">
        <v>581</v>
      </c>
      <c r="AI14555" s="831">
        <v>0</v>
      </c>
      <c r="AJ14555" s="835">
        <v>42004</v>
      </c>
      <c r="AK14555" s="831">
        <v>9963000</v>
      </c>
    </row>
    <row r="14556" spans="2:37">
      <c r="B14556" s="834" t="str">
        <f t="shared" si="535"/>
        <v>|||</v>
      </c>
      <c r="H14556" s="835">
        <f t="shared" si="536"/>
        <v>31</v>
      </c>
      <c r="AF14556" s="831" t="s">
        <v>11831</v>
      </c>
      <c r="AG14556" s="831" t="s">
        <v>2674</v>
      </c>
      <c r="AH14556" s="831" t="s">
        <v>105</v>
      </c>
      <c r="AI14556" s="831">
        <v>0</v>
      </c>
      <c r="AJ14556" s="835">
        <v>42004</v>
      </c>
      <c r="AK14556" s="831">
        <v>532345000</v>
      </c>
    </row>
    <row r="14557" spans="2:37">
      <c r="B14557" s="834" t="str">
        <f t="shared" si="535"/>
        <v>|||</v>
      </c>
      <c r="H14557" s="835">
        <f t="shared" si="536"/>
        <v>31</v>
      </c>
      <c r="AF14557" s="831" t="s">
        <v>11832</v>
      </c>
      <c r="AG14557" s="831" t="s">
        <v>2674</v>
      </c>
      <c r="AH14557" s="831" t="s">
        <v>3049</v>
      </c>
      <c r="AI14557" s="831">
        <v>0</v>
      </c>
      <c r="AJ14557" s="835">
        <v>42004</v>
      </c>
      <c r="AK14557" s="831">
        <v>871130000</v>
      </c>
    </row>
    <row r="14558" spans="2:37">
      <c r="B14558" s="834" t="str">
        <f t="shared" si="535"/>
        <v>|||</v>
      </c>
      <c r="H14558" s="835">
        <f t="shared" si="536"/>
        <v>31</v>
      </c>
      <c r="AF14558" s="831" t="s">
        <v>11833</v>
      </c>
      <c r="AG14558" s="831" t="s">
        <v>2674</v>
      </c>
      <c r="AH14558" s="831" t="s">
        <v>103</v>
      </c>
      <c r="AI14558" s="831">
        <v>0</v>
      </c>
      <c r="AJ14558" s="835">
        <v>42004</v>
      </c>
      <c r="AK14558" s="831">
        <v>338785000</v>
      </c>
    </row>
    <row r="14559" spans="2:37">
      <c r="B14559" s="834" t="str">
        <f t="shared" si="535"/>
        <v>|||</v>
      </c>
      <c r="H14559" s="835">
        <f t="shared" si="536"/>
        <v>31</v>
      </c>
      <c r="AF14559" s="831" t="s">
        <v>11834</v>
      </c>
      <c r="AG14559" s="831" t="s">
        <v>2674</v>
      </c>
      <c r="AH14559" s="831" t="s">
        <v>182</v>
      </c>
      <c r="AI14559" s="831">
        <v>0</v>
      </c>
      <c r="AJ14559" s="835">
        <v>42004</v>
      </c>
      <c r="AK14559" s="831">
        <v>78262000</v>
      </c>
    </row>
    <row r="14560" spans="2:37">
      <c r="B14560" s="834" t="str">
        <f t="shared" si="535"/>
        <v>|||</v>
      </c>
      <c r="H14560" s="835">
        <f t="shared" si="536"/>
        <v>31</v>
      </c>
      <c r="AF14560" s="831" t="s">
        <v>11835</v>
      </c>
      <c r="AG14560" s="831" t="s">
        <v>2674</v>
      </c>
      <c r="AH14560" s="831" t="s">
        <v>6600</v>
      </c>
      <c r="AI14560" s="831">
        <v>0</v>
      </c>
      <c r="AJ14560" s="835">
        <v>42004</v>
      </c>
      <c r="AK14560" s="831">
        <v>43040000</v>
      </c>
    </row>
    <row r="14561" spans="2:37">
      <c r="B14561" s="834" t="str">
        <f t="shared" si="535"/>
        <v>|||</v>
      </c>
      <c r="H14561" s="835">
        <f t="shared" si="536"/>
        <v>31</v>
      </c>
      <c r="AF14561" s="831" t="s">
        <v>11836</v>
      </c>
      <c r="AG14561" s="831" t="s">
        <v>2674</v>
      </c>
      <c r="AH14561" s="831" t="s">
        <v>6602</v>
      </c>
      <c r="AI14561" s="831">
        <v>0</v>
      </c>
      <c r="AJ14561" s="835">
        <v>42004</v>
      </c>
      <c r="AK14561" s="831">
        <v>43040000</v>
      </c>
    </row>
    <row r="14562" spans="2:37">
      <c r="B14562" s="834" t="str">
        <f t="shared" si="535"/>
        <v>|||</v>
      </c>
      <c r="H14562" s="835">
        <f t="shared" si="536"/>
        <v>31</v>
      </c>
      <c r="AF14562" s="831" t="s">
        <v>11837</v>
      </c>
      <c r="AG14562" s="831" t="s">
        <v>2674</v>
      </c>
      <c r="AH14562" s="831" t="s">
        <v>650</v>
      </c>
      <c r="AI14562" s="831">
        <v>0</v>
      </c>
      <c r="AJ14562" s="835">
        <v>42004</v>
      </c>
      <c r="AK14562" s="831">
        <v>294946351.96523076</v>
      </c>
    </row>
    <row r="14563" spans="2:37">
      <c r="B14563" s="834" t="str">
        <f t="shared" si="535"/>
        <v>|||</v>
      </c>
      <c r="H14563" s="835">
        <f t="shared" si="536"/>
        <v>31</v>
      </c>
      <c r="AF14563" s="831" t="s">
        <v>11838</v>
      </c>
      <c r="AG14563" s="831" t="s">
        <v>2674</v>
      </c>
      <c r="AH14563" s="831" t="s">
        <v>655</v>
      </c>
      <c r="AI14563" s="831">
        <v>0</v>
      </c>
      <c r="AJ14563" s="835">
        <v>42004</v>
      </c>
      <c r="AK14563" s="831">
        <v>5599000</v>
      </c>
    </row>
    <row r="14564" spans="2:37">
      <c r="B14564" s="834" t="str">
        <f t="shared" si="535"/>
        <v>|||</v>
      </c>
      <c r="H14564" s="835">
        <f t="shared" si="536"/>
        <v>31</v>
      </c>
      <c r="AF14564" s="831" t="s">
        <v>11839</v>
      </c>
      <c r="AG14564" s="831" t="s">
        <v>2674</v>
      </c>
      <c r="AH14564" s="831" t="s">
        <v>546</v>
      </c>
      <c r="AI14564" s="831">
        <v>0</v>
      </c>
      <c r="AJ14564" s="835">
        <v>42035</v>
      </c>
      <c r="AK14564" s="831">
        <v>829753309</v>
      </c>
    </row>
    <row r="14565" spans="2:37">
      <c r="B14565" s="834" t="str">
        <f t="shared" si="535"/>
        <v>|||</v>
      </c>
      <c r="H14565" s="835">
        <f t="shared" si="536"/>
        <v>31</v>
      </c>
      <c r="AF14565" s="831" t="s">
        <v>11840</v>
      </c>
      <c r="AG14565" s="831" t="s">
        <v>2674</v>
      </c>
      <c r="AH14565" s="831" t="s">
        <v>370</v>
      </c>
      <c r="AI14565" s="831">
        <v>0</v>
      </c>
      <c r="AJ14565" s="835">
        <v>42035</v>
      </c>
      <c r="AK14565" s="831">
        <v>1044609243</v>
      </c>
    </row>
    <row r="14566" spans="2:37">
      <c r="B14566" s="834" t="str">
        <f t="shared" si="535"/>
        <v>|||</v>
      </c>
      <c r="H14566" s="835">
        <f t="shared" si="536"/>
        <v>31</v>
      </c>
      <c r="AF14566" s="831" t="s">
        <v>11841</v>
      </c>
      <c r="AG14566" s="831" t="s">
        <v>2674</v>
      </c>
      <c r="AH14566" s="831" t="s">
        <v>126</v>
      </c>
      <c r="AI14566" s="831">
        <v>0</v>
      </c>
      <c r="AJ14566" s="835">
        <v>42035</v>
      </c>
      <c r="AK14566" s="831">
        <v>148860224</v>
      </c>
    </row>
    <row r="14567" spans="2:37">
      <c r="B14567" s="834" t="str">
        <f t="shared" si="535"/>
        <v>|||</v>
      </c>
      <c r="H14567" s="835">
        <f t="shared" si="536"/>
        <v>31</v>
      </c>
      <c r="AF14567" s="831" t="s">
        <v>11842</v>
      </c>
      <c r="AG14567" s="831" t="s">
        <v>2674</v>
      </c>
      <c r="AH14567" s="831" t="s">
        <v>268</v>
      </c>
      <c r="AI14567" s="831">
        <v>0</v>
      </c>
      <c r="AJ14567" s="835">
        <v>42035</v>
      </c>
      <c r="AK14567" s="831">
        <v>3451938</v>
      </c>
    </row>
    <row r="14568" spans="2:37">
      <c r="B14568" s="834" t="str">
        <f t="shared" si="535"/>
        <v>|||</v>
      </c>
      <c r="H14568" s="835">
        <f t="shared" si="536"/>
        <v>31</v>
      </c>
      <c r="AF14568" s="831" t="s">
        <v>11843</v>
      </c>
      <c r="AG14568" s="831" t="s">
        <v>2674</v>
      </c>
      <c r="AH14568" s="831" t="s">
        <v>547</v>
      </c>
      <c r="AI14568" s="831">
        <v>0</v>
      </c>
      <c r="AJ14568" s="835">
        <v>42035</v>
      </c>
      <c r="AK14568" s="831">
        <v>1044609243</v>
      </c>
    </row>
    <row r="14569" spans="2:37">
      <c r="B14569" s="834" t="str">
        <f t="shared" si="535"/>
        <v>|||</v>
      </c>
      <c r="H14569" s="835">
        <f t="shared" si="536"/>
        <v>31</v>
      </c>
      <c r="AF14569" s="831" t="s">
        <v>11844</v>
      </c>
      <c r="AG14569" s="831" t="s">
        <v>2674</v>
      </c>
      <c r="AH14569" s="831" t="s">
        <v>548</v>
      </c>
      <c r="AI14569" s="831">
        <v>0</v>
      </c>
      <c r="AJ14569" s="835">
        <v>42035</v>
      </c>
      <c r="AK14569" s="831">
        <v>148860224</v>
      </c>
    </row>
    <row r="14570" spans="2:37">
      <c r="B14570" s="834" t="str">
        <f t="shared" si="535"/>
        <v>|||</v>
      </c>
      <c r="H14570" s="835">
        <f t="shared" si="536"/>
        <v>31</v>
      </c>
      <c r="AF14570" s="831" t="s">
        <v>11845</v>
      </c>
      <c r="AG14570" s="831" t="s">
        <v>2674</v>
      </c>
      <c r="AH14570" s="831" t="s">
        <v>549</v>
      </c>
      <c r="AI14570" s="831">
        <v>0</v>
      </c>
      <c r="AJ14570" s="835">
        <v>42035</v>
      </c>
      <c r="AK14570" s="831">
        <v>635618516</v>
      </c>
    </row>
    <row r="14571" spans="2:37">
      <c r="B14571" s="834" t="str">
        <f t="shared" si="535"/>
        <v>|||</v>
      </c>
      <c r="H14571" s="835">
        <f t="shared" si="536"/>
        <v>31</v>
      </c>
      <c r="AF14571" s="831" t="s">
        <v>11846</v>
      </c>
      <c r="AG14571" s="831" t="s">
        <v>2674</v>
      </c>
      <c r="AH14571" s="831" t="s">
        <v>192</v>
      </c>
      <c r="AI14571" s="831">
        <v>0</v>
      </c>
      <c r="AJ14571" s="835">
        <v>42035</v>
      </c>
      <c r="AK14571" s="831">
        <v>-9765211</v>
      </c>
    </row>
    <row r="14572" spans="2:37">
      <c r="B14572" s="834" t="str">
        <f t="shared" si="535"/>
        <v>|||</v>
      </c>
      <c r="H14572" s="835">
        <f t="shared" si="536"/>
        <v>31</v>
      </c>
      <c r="AF14572" s="831" t="s">
        <v>11847</v>
      </c>
      <c r="AG14572" s="831" t="s">
        <v>2674</v>
      </c>
      <c r="AH14572" s="831" t="s">
        <v>558</v>
      </c>
      <c r="AI14572" s="831">
        <v>0</v>
      </c>
      <c r="AJ14572" s="835">
        <v>42035</v>
      </c>
      <c r="AK14572" s="831">
        <v>895749019</v>
      </c>
    </row>
    <row r="14573" spans="2:37">
      <c r="B14573" s="834" t="str">
        <f t="shared" si="535"/>
        <v>|||</v>
      </c>
      <c r="H14573" s="835">
        <f t="shared" si="536"/>
        <v>31</v>
      </c>
      <c r="AF14573" s="831" t="s">
        <v>11848</v>
      </c>
      <c r="AG14573" s="831" t="s">
        <v>2674</v>
      </c>
      <c r="AH14573" s="831" t="s">
        <v>65</v>
      </c>
      <c r="AI14573" s="831">
        <v>0</v>
      </c>
      <c r="AJ14573" s="835">
        <v>42035</v>
      </c>
      <c r="AK14573" s="831">
        <v>16060962</v>
      </c>
    </row>
    <row r="14574" spans="2:37">
      <c r="B14574" s="834" t="str">
        <f t="shared" si="535"/>
        <v>|||</v>
      </c>
      <c r="H14574" s="835">
        <f t="shared" si="536"/>
        <v>31</v>
      </c>
      <c r="AF14574" s="831" t="s">
        <v>11849</v>
      </c>
      <c r="AG14574" s="831" t="s">
        <v>2674</v>
      </c>
      <c r="AH14574" s="831" t="s">
        <v>89</v>
      </c>
      <c r="AI14574" s="831">
        <v>0</v>
      </c>
      <c r="AJ14574" s="835">
        <v>42035</v>
      </c>
      <c r="AK14574" s="831">
        <v>158062</v>
      </c>
    </row>
    <row r="14575" spans="2:37">
      <c r="B14575" s="834" t="str">
        <f t="shared" si="535"/>
        <v>|||</v>
      </c>
      <c r="H14575" s="835">
        <f t="shared" si="536"/>
        <v>31</v>
      </c>
      <c r="AF14575" s="831" t="s">
        <v>11850</v>
      </c>
      <c r="AG14575" s="831" t="s">
        <v>2674</v>
      </c>
      <c r="AH14575" s="831" t="s">
        <v>557</v>
      </c>
      <c r="AI14575" s="831">
        <v>0</v>
      </c>
      <c r="AJ14575" s="835">
        <v>42035</v>
      </c>
      <c r="AK14575" s="831">
        <v>180227</v>
      </c>
    </row>
    <row r="14576" spans="2:37">
      <c r="B14576" s="834" t="str">
        <f t="shared" si="535"/>
        <v>|||</v>
      </c>
      <c r="H14576" s="835">
        <f t="shared" si="536"/>
        <v>31</v>
      </c>
      <c r="AF14576" s="831" t="s">
        <v>11851</v>
      </c>
      <c r="AG14576" s="831" t="s">
        <v>2674</v>
      </c>
      <c r="AH14576" s="831" t="s">
        <v>29</v>
      </c>
      <c r="AI14576" s="831">
        <v>0</v>
      </c>
      <c r="AJ14576" s="835">
        <v>42035</v>
      </c>
      <c r="AK14576" s="831">
        <v>7401483</v>
      </c>
    </row>
    <row r="14577" spans="2:37">
      <c r="B14577" s="834" t="str">
        <f t="shared" si="535"/>
        <v>|||</v>
      </c>
      <c r="H14577" s="835">
        <f t="shared" si="536"/>
        <v>31</v>
      </c>
      <c r="AF14577" s="831" t="s">
        <v>11852</v>
      </c>
      <c r="AG14577" s="831" t="s">
        <v>2674</v>
      </c>
      <c r="AH14577" s="831" t="s">
        <v>2688</v>
      </c>
      <c r="AI14577" s="831">
        <v>0</v>
      </c>
      <c r="AJ14577" s="835">
        <v>42035</v>
      </c>
      <c r="AK14577" s="831">
        <v>5438707</v>
      </c>
    </row>
    <row r="14578" spans="2:37">
      <c r="B14578" s="834" t="str">
        <f t="shared" si="535"/>
        <v>|||</v>
      </c>
      <c r="H14578" s="835">
        <f t="shared" si="536"/>
        <v>31</v>
      </c>
      <c r="AF14578" s="831" t="s">
        <v>11853</v>
      </c>
      <c r="AG14578" s="831" t="s">
        <v>2674</v>
      </c>
      <c r="AH14578" s="831" t="s">
        <v>556</v>
      </c>
      <c r="AI14578" s="831">
        <v>0</v>
      </c>
      <c r="AJ14578" s="835">
        <v>42035</v>
      </c>
      <c r="AK14578" s="831">
        <v>11412135</v>
      </c>
    </row>
    <row r="14579" spans="2:37">
      <c r="B14579" s="834" t="str">
        <f t="shared" si="535"/>
        <v>|||</v>
      </c>
      <c r="H14579" s="835">
        <f t="shared" si="536"/>
        <v>31</v>
      </c>
      <c r="AF14579" s="831" t="s">
        <v>11854</v>
      </c>
      <c r="AG14579" s="831" t="s">
        <v>2674</v>
      </c>
      <c r="AH14579" s="831" t="s">
        <v>555</v>
      </c>
      <c r="AI14579" s="831">
        <v>0</v>
      </c>
      <c r="AJ14579" s="835">
        <v>42035</v>
      </c>
      <c r="AK14579" s="831">
        <v>579511362</v>
      </c>
    </row>
    <row r="14580" spans="2:37">
      <c r="B14580" s="834" t="str">
        <f t="shared" si="535"/>
        <v>|||</v>
      </c>
      <c r="H14580" s="835">
        <f t="shared" si="536"/>
        <v>31</v>
      </c>
      <c r="AF14580" s="831" t="s">
        <v>11855</v>
      </c>
      <c r="AG14580" s="831" t="s">
        <v>2674</v>
      </c>
      <c r="AH14580" s="831" t="s">
        <v>554</v>
      </c>
      <c r="AI14580" s="831">
        <v>0</v>
      </c>
      <c r="AJ14580" s="835">
        <v>42035</v>
      </c>
      <c r="AK14580" s="831">
        <v>622474260</v>
      </c>
    </row>
    <row r="14581" spans="2:37">
      <c r="B14581" s="834" t="str">
        <f t="shared" si="535"/>
        <v>|||</v>
      </c>
      <c r="H14581" s="835">
        <f t="shared" si="536"/>
        <v>31</v>
      </c>
      <c r="AF14581" s="831" t="s">
        <v>11856</v>
      </c>
      <c r="AG14581" s="831" t="s">
        <v>2674</v>
      </c>
      <c r="AH14581" s="831" t="s">
        <v>553</v>
      </c>
      <c r="AI14581" s="831">
        <v>0</v>
      </c>
      <c r="AJ14581" s="835">
        <v>42035</v>
      </c>
      <c r="AK14581" s="831">
        <v>0</v>
      </c>
    </row>
    <row r="14582" spans="2:37">
      <c r="B14582" s="834" t="str">
        <f t="shared" si="535"/>
        <v>|||</v>
      </c>
      <c r="H14582" s="835">
        <f t="shared" si="536"/>
        <v>31</v>
      </c>
      <c r="AF14582" s="831" t="s">
        <v>11857</v>
      </c>
      <c r="AG14582" s="831" t="s">
        <v>2674</v>
      </c>
      <c r="AH14582" s="831" t="s">
        <v>552</v>
      </c>
      <c r="AI14582" s="831">
        <v>0</v>
      </c>
      <c r="AJ14582" s="835">
        <v>42035</v>
      </c>
      <c r="AK14582" s="831">
        <v>0</v>
      </c>
    </row>
    <row r="14583" spans="2:37">
      <c r="B14583" s="834" t="str">
        <f t="shared" si="535"/>
        <v>|||</v>
      </c>
      <c r="H14583" s="835">
        <f t="shared" si="536"/>
        <v>31</v>
      </c>
      <c r="AF14583" s="831" t="s">
        <v>11858</v>
      </c>
      <c r="AG14583" s="831" t="s">
        <v>2674</v>
      </c>
      <c r="AH14583" s="831" t="s">
        <v>551</v>
      </c>
      <c r="AI14583" s="831">
        <v>0</v>
      </c>
      <c r="AJ14583" s="835">
        <v>42035</v>
      </c>
      <c r="AK14583" s="831">
        <v>5260060</v>
      </c>
    </row>
    <row r="14584" spans="2:37">
      <c r="B14584" s="834" t="str">
        <f t="shared" si="535"/>
        <v>|||</v>
      </c>
      <c r="H14584" s="835">
        <f t="shared" si="536"/>
        <v>31</v>
      </c>
      <c r="AF14584" s="831" t="s">
        <v>11859</v>
      </c>
      <c r="AG14584" s="831" t="s">
        <v>2674</v>
      </c>
      <c r="AH14584" s="831" t="s">
        <v>550</v>
      </c>
      <c r="AI14584" s="831">
        <v>0</v>
      </c>
      <c r="AJ14584" s="835">
        <v>42035</v>
      </c>
      <c r="AK14584" s="831">
        <v>145409000</v>
      </c>
    </row>
    <row r="14585" spans="2:37">
      <c r="B14585" s="834" t="str">
        <f t="shared" si="535"/>
        <v>|||</v>
      </c>
      <c r="H14585" s="835">
        <f t="shared" si="536"/>
        <v>31</v>
      </c>
      <c r="AF14585" s="831" t="s">
        <v>11860</v>
      </c>
      <c r="AG14585" s="831" t="s">
        <v>2674</v>
      </c>
      <c r="AH14585" s="831" t="s">
        <v>562</v>
      </c>
      <c r="AI14585" s="831">
        <v>0</v>
      </c>
      <c r="AJ14585" s="835">
        <v>42035</v>
      </c>
      <c r="AK14585" s="831">
        <v>0.78439999999999999</v>
      </c>
    </row>
    <row r="14586" spans="2:37">
      <c r="B14586" s="834" t="str">
        <f t="shared" si="535"/>
        <v>|||</v>
      </c>
      <c r="H14586" s="835">
        <f t="shared" si="536"/>
        <v>31</v>
      </c>
      <c r="AF14586" s="831" t="s">
        <v>11861</v>
      </c>
      <c r="AG14586" s="831" t="s">
        <v>2674</v>
      </c>
      <c r="AH14586" s="831" t="s">
        <v>2698</v>
      </c>
      <c r="AI14586" s="831">
        <v>0</v>
      </c>
      <c r="AJ14586" s="835">
        <v>42035</v>
      </c>
      <c r="AK14586" s="831">
        <v>0.78310000000000002</v>
      </c>
    </row>
    <row r="14587" spans="2:37">
      <c r="B14587" s="834" t="str">
        <f t="shared" si="535"/>
        <v>|||</v>
      </c>
      <c r="H14587" s="835">
        <f t="shared" si="536"/>
        <v>31</v>
      </c>
      <c r="AF14587" s="831" t="s">
        <v>11862</v>
      </c>
      <c r="AG14587" s="831" t="s">
        <v>2674</v>
      </c>
      <c r="AH14587" s="831" t="s">
        <v>560</v>
      </c>
      <c r="AI14587" s="831">
        <v>0</v>
      </c>
      <c r="AJ14587" s="835">
        <v>42035</v>
      </c>
      <c r="AK14587" s="831">
        <v>0.78439999999999999</v>
      </c>
    </row>
    <row r="14588" spans="2:37">
      <c r="B14588" s="834" t="str">
        <f t="shared" si="535"/>
        <v>|||</v>
      </c>
      <c r="H14588" s="835">
        <f t="shared" si="536"/>
        <v>31</v>
      </c>
      <c r="AF14588" s="831" t="s">
        <v>11863</v>
      </c>
      <c r="AG14588" s="831" t="s">
        <v>2674</v>
      </c>
      <c r="AH14588" s="831" t="s">
        <v>559</v>
      </c>
      <c r="AI14588" s="831">
        <v>0</v>
      </c>
      <c r="AJ14588" s="835">
        <v>42035</v>
      </c>
      <c r="AK14588" s="831">
        <v>0.78369583333333326</v>
      </c>
    </row>
    <row r="14589" spans="2:37">
      <c r="B14589" s="834" t="str">
        <f t="shared" si="535"/>
        <v>|||</v>
      </c>
      <c r="H14589" s="835">
        <f t="shared" si="536"/>
        <v>31</v>
      </c>
      <c r="AF14589" s="831" t="s">
        <v>11864</v>
      </c>
      <c r="AG14589" s="831" t="s">
        <v>2674</v>
      </c>
      <c r="AH14589" s="831" t="s">
        <v>568</v>
      </c>
      <c r="AI14589" s="831">
        <v>0</v>
      </c>
      <c r="AJ14589" s="835">
        <v>42035</v>
      </c>
      <c r="AK14589" s="831">
        <v>739343777.07692313</v>
      </c>
    </row>
    <row r="14590" spans="2:37">
      <c r="B14590" s="834" t="str">
        <f t="shared" si="535"/>
        <v>|||</v>
      </c>
      <c r="H14590" s="835">
        <f t="shared" si="536"/>
        <v>31</v>
      </c>
      <c r="AF14590" s="831" t="s">
        <v>11865</v>
      </c>
      <c r="AG14590" s="831" t="s">
        <v>2674</v>
      </c>
      <c r="AH14590" s="831" t="s">
        <v>569</v>
      </c>
      <c r="AI14590" s="831">
        <v>0</v>
      </c>
      <c r="AJ14590" s="835">
        <v>42035</v>
      </c>
      <c r="AK14590" s="831">
        <v>919552846</v>
      </c>
    </row>
    <row r="14591" spans="2:37">
      <c r="B14591" s="834" t="str">
        <f t="shared" si="535"/>
        <v>|||</v>
      </c>
      <c r="H14591" s="835">
        <f t="shared" si="536"/>
        <v>31</v>
      </c>
      <c r="AF14591" s="831" t="s">
        <v>11866</v>
      </c>
      <c r="AG14591" s="831" t="s">
        <v>2674</v>
      </c>
      <c r="AH14591" s="831" t="s">
        <v>570</v>
      </c>
      <c r="AI14591" s="831">
        <v>0</v>
      </c>
      <c r="AJ14591" s="835">
        <v>42035</v>
      </c>
      <c r="AK14591" s="831">
        <v>136809116.92538461</v>
      </c>
    </row>
    <row r="14592" spans="2:37">
      <c r="B14592" s="834" t="str">
        <f t="shared" si="535"/>
        <v>|||</v>
      </c>
      <c r="H14592" s="835">
        <f t="shared" si="536"/>
        <v>31</v>
      </c>
      <c r="AF14592" s="831" t="s">
        <v>11867</v>
      </c>
      <c r="AG14592" s="831" t="s">
        <v>2674</v>
      </c>
      <c r="AH14592" s="831" t="s">
        <v>571</v>
      </c>
      <c r="AI14592" s="831">
        <v>0</v>
      </c>
      <c r="AJ14592" s="835">
        <v>42035</v>
      </c>
      <c r="AK14592" s="831">
        <v>456907538.41669232</v>
      </c>
    </row>
    <row r="14593" spans="2:37">
      <c r="B14593" s="834" t="str">
        <f t="shared" si="535"/>
        <v>|||</v>
      </c>
      <c r="H14593" s="835">
        <f t="shared" si="536"/>
        <v>31</v>
      </c>
      <c r="AF14593" s="831" t="s">
        <v>11868</v>
      </c>
      <c r="AG14593" s="831" t="s">
        <v>2674</v>
      </c>
      <c r="AH14593" s="831" t="s">
        <v>573</v>
      </c>
      <c r="AI14593" s="831">
        <v>0</v>
      </c>
      <c r="AJ14593" s="835">
        <v>42035</v>
      </c>
      <c r="AK14593" s="831">
        <v>1043409621.5</v>
      </c>
    </row>
    <row r="14594" spans="2:37">
      <c r="B14594" s="834" t="str">
        <f t="shared" si="535"/>
        <v>|||</v>
      </c>
      <c r="H14594" s="835">
        <f t="shared" si="536"/>
        <v>31</v>
      </c>
      <c r="AF14594" s="831" t="s">
        <v>11869</v>
      </c>
      <c r="AG14594" s="831" t="s">
        <v>2674</v>
      </c>
      <c r="AH14594" s="831" t="s">
        <v>574</v>
      </c>
      <c r="AI14594" s="831">
        <v>0</v>
      </c>
      <c r="AJ14594" s="835">
        <v>42035</v>
      </c>
      <c r="AK14594" s="831">
        <v>829336654.5</v>
      </c>
    </row>
    <row r="14595" spans="2:37">
      <c r="B14595" s="834" t="str">
        <f t="shared" si="535"/>
        <v>|||</v>
      </c>
      <c r="H14595" s="835">
        <f t="shared" si="536"/>
        <v>31</v>
      </c>
      <c r="AF14595" s="831" t="s">
        <v>11870</v>
      </c>
      <c r="AG14595" s="831" t="s">
        <v>2674</v>
      </c>
      <c r="AH14595" s="831" t="s">
        <v>575</v>
      </c>
      <c r="AI14595" s="831">
        <v>0</v>
      </c>
      <c r="AJ14595" s="835">
        <v>42035</v>
      </c>
      <c r="AK14595" s="831">
        <v>147134612</v>
      </c>
    </row>
    <row r="14596" spans="2:37">
      <c r="B14596" s="834" t="str">
        <f t="shared" si="535"/>
        <v>|||</v>
      </c>
      <c r="H14596" s="835">
        <f t="shared" si="536"/>
        <v>31</v>
      </c>
      <c r="AF14596" s="831" t="s">
        <v>11871</v>
      </c>
      <c r="AG14596" s="831" t="s">
        <v>2674</v>
      </c>
      <c r="AH14596" s="831" t="s">
        <v>576</v>
      </c>
      <c r="AI14596" s="831">
        <v>0</v>
      </c>
      <c r="AJ14596" s="835">
        <v>42035</v>
      </c>
      <c r="AK14596" s="831">
        <v>535265337</v>
      </c>
    </row>
    <row r="14597" spans="2:37">
      <c r="B14597" s="834" t="str">
        <f t="shared" si="535"/>
        <v>|||</v>
      </c>
      <c r="H14597" s="835">
        <f t="shared" si="536"/>
        <v>31</v>
      </c>
      <c r="AF14597" s="831" t="s">
        <v>11872</v>
      </c>
      <c r="AG14597" s="831" t="s">
        <v>2674</v>
      </c>
      <c r="AH14597" s="831" t="s">
        <v>572</v>
      </c>
      <c r="AI14597" s="831">
        <v>0</v>
      </c>
      <c r="AJ14597" s="835">
        <v>42035</v>
      </c>
      <c r="AK14597" s="831">
        <v>43193117</v>
      </c>
    </row>
    <row r="14598" spans="2:37">
      <c r="B14598" s="834" t="str">
        <f t="shared" si="535"/>
        <v>|||</v>
      </c>
      <c r="H14598" s="835">
        <f t="shared" si="536"/>
        <v>31</v>
      </c>
      <c r="AF14598" s="831" t="s">
        <v>11873</v>
      </c>
      <c r="AG14598" s="831" t="s">
        <v>2674</v>
      </c>
      <c r="AH14598" s="831" t="s">
        <v>577</v>
      </c>
      <c r="AI14598" s="831">
        <v>0</v>
      </c>
      <c r="AJ14598" s="835">
        <v>42035</v>
      </c>
      <c r="AK14598" s="831">
        <v>172605174</v>
      </c>
    </row>
    <row r="14599" spans="2:37">
      <c r="B14599" s="834" t="str">
        <f t="shared" si="535"/>
        <v>|||</v>
      </c>
      <c r="H14599" s="835">
        <f t="shared" si="536"/>
        <v>31</v>
      </c>
      <c r="AF14599" s="831" t="s">
        <v>11874</v>
      </c>
      <c r="AG14599" s="831" t="s">
        <v>2674</v>
      </c>
      <c r="AH14599" s="831" t="s">
        <v>3042</v>
      </c>
      <c r="AI14599" s="831">
        <v>0</v>
      </c>
      <c r="AJ14599" s="835">
        <v>42035</v>
      </c>
      <c r="AK14599" s="831">
        <v>-52806938</v>
      </c>
    </row>
    <row r="14600" spans="2:37">
      <c r="B14600" s="834" t="str">
        <f t="shared" si="535"/>
        <v>|||</v>
      </c>
      <c r="H14600" s="835">
        <f t="shared" si="536"/>
        <v>31</v>
      </c>
      <c r="AF14600" s="831" t="s">
        <v>11875</v>
      </c>
      <c r="AG14600" s="831" t="s">
        <v>2674</v>
      </c>
      <c r="AH14600" s="831" t="s">
        <v>3044</v>
      </c>
      <c r="AI14600" s="831">
        <v>0</v>
      </c>
      <c r="AJ14600" s="835">
        <v>42035</v>
      </c>
      <c r="AK14600" s="831">
        <v>3134380</v>
      </c>
    </row>
    <row r="14601" spans="2:37">
      <c r="B14601" s="834" t="str">
        <f t="shared" si="535"/>
        <v>|||</v>
      </c>
      <c r="H14601" s="835">
        <f t="shared" si="536"/>
        <v>31</v>
      </c>
      <c r="AF14601" s="831" t="s">
        <v>11876</v>
      </c>
      <c r="AG14601" s="831" t="s">
        <v>2674</v>
      </c>
      <c r="AH14601" s="831" t="s">
        <v>580</v>
      </c>
      <c r="AI14601" s="831">
        <v>0</v>
      </c>
      <c r="AJ14601" s="835">
        <v>42035</v>
      </c>
      <c r="AK14601" s="831">
        <v>-79238495</v>
      </c>
    </row>
    <row r="14602" spans="2:37">
      <c r="B14602" s="834" t="str">
        <f t="shared" si="535"/>
        <v>|||</v>
      </c>
      <c r="H14602" s="835">
        <f t="shared" si="536"/>
        <v>31</v>
      </c>
      <c r="AF14602" s="831" t="s">
        <v>11877</v>
      </c>
      <c r="AG14602" s="831" t="s">
        <v>2674</v>
      </c>
      <c r="AH14602" s="831" t="s">
        <v>581</v>
      </c>
      <c r="AI14602" s="831">
        <v>0</v>
      </c>
      <c r="AJ14602" s="835">
        <v>42035</v>
      </c>
      <c r="AK14602" s="831">
        <v>9801179</v>
      </c>
    </row>
    <row r="14603" spans="2:37">
      <c r="B14603" s="834" t="str">
        <f t="shared" si="535"/>
        <v>|||</v>
      </c>
      <c r="H14603" s="835">
        <f t="shared" si="536"/>
        <v>31</v>
      </c>
      <c r="AF14603" s="831" t="s">
        <v>11878</v>
      </c>
      <c r="AG14603" s="831" t="s">
        <v>2674</v>
      </c>
      <c r="AH14603" s="831" t="s">
        <v>105</v>
      </c>
      <c r="AI14603" s="831">
        <v>0</v>
      </c>
      <c r="AJ14603" s="835">
        <v>42035</v>
      </c>
      <c r="AK14603" s="831">
        <v>538185674</v>
      </c>
    </row>
    <row r="14604" spans="2:37">
      <c r="B14604" s="834" t="str">
        <f t="shared" si="535"/>
        <v>|||</v>
      </c>
      <c r="H14604" s="835">
        <f t="shared" si="536"/>
        <v>31</v>
      </c>
      <c r="AF14604" s="831" t="s">
        <v>11879</v>
      </c>
      <c r="AG14604" s="831" t="s">
        <v>2674</v>
      </c>
      <c r="AH14604" s="831" t="s">
        <v>3049</v>
      </c>
      <c r="AI14604" s="831">
        <v>0</v>
      </c>
      <c r="AJ14604" s="835">
        <v>42035</v>
      </c>
      <c r="AK14604" s="831">
        <v>868832996</v>
      </c>
    </row>
    <row r="14605" spans="2:37">
      <c r="B14605" s="834" t="str">
        <f t="shared" si="535"/>
        <v>|||</v>
      </c>
      <c r="H14605" s="835">
        <f t="shared" si="536"/>
        <v>31</v>
      </c>
      <c r="AF14605" s="831" t="s">
        <v>11880</v>
      </c>
      <c r="AG14605" s="831" t="s">
        <v>2674</v>
      </c>
      <c r="AH14605" s="831" t="s">
        <v>103</v>
      </c>
      <c r="AI14605" s="831">
        <v>0</v>
      </c>
      <c r="AJ14605" s="835">
        <v>42035</v>
      </c>
      <c r="AK14605" s="831">
        <v>330647322</v>
      </c>
    </row>
    <row r="14606" spans="2:37">
      <c r="B14606" s="834" t="str">
        <f t="shared" si="535"/>
        <v>|||</v>
      </c>
      <c r="H14606" s="835">
        <f t="shared" si="536"/>
        <v>31</v>
      </c>
      <c r="AF14606" s="831" t="s">
        <v>11881</v>
      </c>
      <c r="AG14606" s="831" t="s">
        <v>2674</v>
      </c>
      <c r="AH14606" s="831" t="s">
        <v>182</v>
      </c>
      <c r="AI14606" s="831">
        <v>0</v>
      </c>
      <c r="AJ14606" s="835">
        <v>42035</v>
      </c>
      <c r="AK14606" s="831">
        <v>79397220</v>
      </c>
    </row>
    <row r="14607" spans="2:37">
      <c r="B14607" s="834" t="str">
        <f t="shared" si="535"/>
        <v>|||</v>
      </c>
      <c r="H14607" s="835">
        <f t="shared" si="536"/>
        <v>31</v>
      </c>
      <c r="AF14607" s="831" t="s">
        <v>11882</v>
      </c>
      <c r="AG14607" s="831" t="s">
        <v>2674</v>
      </c>
      <c r="AH14607" s="831" t="s">
        <v>6600</v>
      </c>
      <c r="AI14607" s="831">
        <v>0</v>
      </c>
      <c r="AJ14607" s="835">
        <v>42035</v>
      </c>
      <c r="AK14607" s="831">
        <v>43193117</v>
      </c>
    </row>
    <row r="14608" spans="2:37">
      <c r="B14608" s="834" t="str">
        <f t="shared" si="535"/>
        <v>|||</v>
      </c>
      <c r="H14608" s="835">
        <f t="shared" si="536"/>
        <v>31</v>
      </c>
      <c r="AF14608" s="831" t="s">
        <v>11883</v>
      </c>
      <c r="AG14608" s="831" t="s">
        <v>2674</v>
      </c>
      <c r="AH14608" s="831" t="s">
        <v>6602</v>
      </c>
      <c r="AI14608" s="831">
        <v>0</v>
      </c>
      <c r="AJ14608" s="835">
        <v>42035</v>
      </c>
      <c r="AK14608" s="831">
        <v>3451938</v>
      </c>
    </row>
    <row r="14609" spans="2:37">
      <c r="B14609" s="834" t="str">
        <f t="shared" ref="B14609:B14672" si="537">C14609&amp;"|"&amp;D14609&amp;"|"&amp;E14609&amp;"|"&amp;F14609</f>
        <v>|||</v>
      </c>
      <c r="H14609" s="835">
        <f t="shared" ref="H14609:H14672" si="538">EOMONTH(L14609,0)</f>
        <v>31</v>
      </c>
      <c r="AF14609" s="831" t="s">
        <v>11884</v>
      </c>
      <c r="AG14609" s="831" t="s">
        <v>2674</v>
      </c>
      <c r="AH14609" s="831" t="s">
        <v>650</v>
      </c>
      <c r="AI14609" s="831">
        <v>0</v>
      </c>
      <c r="AJ14609" s="835">
        <v>42035</v>
      </c>
      <c r="AK14609" s="831">
        <v>300938254.07461542</v>
      </c>
    </row>
    <row r="14610" spans="2:37">
      <c r="B14610" s="834" t="str">
        <f t="shared" si="537"/>
        <v>|||</v>
      </c>
      <c r="H14610" s="835">
        <f t="shared" si="538"/>
        <v>31</v>
      </c>
      <c r="AF14610" s="831" t="s">
        <v>11885</v>
      </c>
      <c r="AG14610" s="831" t="s">
        <v>2674</v>
      </c>
      <c r="AH14610" s="831" t="s">
        <v>655</v>
      </c>
      <c r="AI14610" s="831">
        <v>0</v>
      </c>
      <c r="AJ14610" s="835">
        <v>42035</v>
      </c>
      <c r="AK14610" s="831">
        <v>4403089</v>
      </c>
    </row>
    <row r="14611" spans="2:37">
      <c r="B14611" s="834" t="str">
        <f t="shared" si="537"/>
        <v>|||</v>
      </c>
      <c r="H14611" s="835">
        <f t="shared" si="538"/>
        <v>31</v>
      </c>
      <c r="AF14611" s="831" t="s">
        <v>11886</v>
      </c>
      <c r="AG14611" s="831" t="s">
        <v>2674</v>
      </c>
      <c r="AH14611" s="831" t="s">
        <v>546</v>
      </c>
      <c r="AI14611" s="831">
        <v>0</v>
      </c>
      <c r="AJ14611" s="835">
        <v>42063</v>
      </c>
      <c r="AK14611" s="831">
        <v>965858339</v>
      </c>
    </row>
    <row r="14612" spans="2:37">
      <c r="B14612" s="834" t="str">
        <f t="shared" si="537"/>
        <v>|||</v>
      </c>
      <c r="H14612" s="835">
        <f t="shared" si="538"/>
        <v>31</v>
      </c>
      <c r="AF14612" s="831" t="s">
        <v>11887</v>
      </c>
      <c r="AG14612" s="831" t="s">
        <v>2674</v>
      </c>
      <c r="AH14612" s="831" t="s">
        <v>370</v>
      </c>
      <c r="AI14612" s="831">
        <v>0</v>
      </c>
      <c r="AJ14612" s="835">
        <v>42063</v>
      </c>
      <c r="AK14612" s="831">
        <v>1253581727</v>
      </c>
    </row>
    <row r="14613" spans="2:37">
      <c r="B14613" s="834" t="str">
        <f t="shared" si="537"/>
        <v>|||</v>
      </c>
      <c r="H14613" s="835">
        <f t="shared" si="538"/>
        <v>31</v>
      </c>
      <c r="AF14613" s="831" t="s">
        <v>11888</v>
      </c>
      <c r="AG14613" s="831" t="s">
        <v>2674</v>
      </c>
      <c r="AH14613" s="831" t="s">
        <v>126</v>
      </c>
      <c r="AI14613" s="831">
        <v>0</v>
      </c>
      <c r="AJ14613" s="835">
        <v>42063</v>
      </c>
      <c r="AK14613" s="831">
        <v>143500530</v>
      </c>
    </row>
    <row r="14614" spans="2:37">
      <c r="B14614" s="834" t="str">
        <f t="shared" si="537"/>
        <v>|||</v>
      </c>
      <c r="H14614" s="835">
        <f t="shared" si="538"/>
        <v>31</v>
      </c>
      <c r="AF14614" s="831" t="s">
        <v>11889</v>
      </c>
      <c r="AG14614" s="831" t="s">
        <v>2674</v>
      </c>
      <c r="AH14614" s="831" t="s">
        <v>268</v>
      </c>
      <c r="AI14614" s="831">
        <v>0</v>
      </c>
      <c r="AJ14614" s="835">
        <v>42063</v>
      </c>
      <c r="AK14614" s="831">
        <v>-1907756</v>
      </c>
    </row>
    <row r="14615" spans="2:37">
      <c r="B14615" s="834" t="str">
        <f t="shared" si="537"/>
        <v>|||</v>
      </c>
      <c r="H14615" s="835">
        <f t="shared" si="538"/>
        <v>31</v>
      </c>
      <c r="AF14615" s="831" t="s">
        <v>11890</v>
      </c>
      <c r="AG14615" s="831" t="s">
        <v>2674</v>
      </c>
      <c r="AH14615" s="831" t="s">
        <v>547</v>
      </c>
      <c r="AI14615" s="831">
        <v>0</v>
      </c>
      <c r="AJ14615" s="835">
        <v>42063</v>
      </c>
      <c r="AK14615" s="831">
        <v>1044609243</v>
      </c>
    </row>
    <row r="14616" spans="2:37">
      <c r="B14616" s="834" t="str">
        <f t="shared" si="537"/>
        <v>|||</v>
      </c>
      <c r="H14616" s="835">
        <f t="shared" si="538"/>
        <v>31</v>
      </c>
      <c r="AF14616" s="831" t="s">
        <v>11891</v>
      </c>
      <c r="AG14616" s="831" t="s">
        <v>2674</v>
      </c>
      <c r="AH14616" s="831" t="s">
        <v>548</v>
      </c>
      <c r="AI14616" s="831">
        <v>0</v>
      </c>
      <c r="AJ14616" s="835">
        <v>42063</v>
      </c>
      <c r="AK14616" s="831">
        <v>148860224</v>
      </c>
    </row>
    <row r="14617" spans="2:37">
      <c r="B14617" s="834" t="str">
        <f t="shared" si="537"/>
        <v>|||</v>
      </c>
      <c r="H14617" s="835">
        <f t="shared" si="538"/>
        <v>31</v>
      </c>
      <c r="AF14617" s="831" t="s">
        <v>11892</v>
      </c>
      <c r="AG14617" s="831" t="s">
        <v>2674</v>
      </c>
      <c r="AH14617" s="831" t="s">
        <v>549</v>
      </c>
      <c r="AI14617" s="831">
        <v>0</v>
      </c>
      <c r="AJ14617" s="835">
        <v>42063</v>
      </c>
      <c r="AK14617" s="831">
        <v>652795035</v>
      </c>
    </row>
    <row r="14618" spans="2:37">
      <c r="B14618" s="834" t="str">
        <f t="shared" si="537"/>
        <v>|||</v>
      </c>
      <c r="H14618" s="835">
        <f t="shared" si="538"/>
        <v>31</v>
      </c>
      <c r="AF14618" s="831" t="s">
        <v>11893</v>
      </c>
      <c r="AG14618" s="831" t="s">
        <v>2674</v>
      </c>
      <c r="AH14618" s="831" t="s">
        <v>192</v>
      </c>
      <c r="AI14618" s="831">
        <v>0</v>
      </c>
      <c r="AJ14618" s="835">
        <v>42063</v>
      </c>
      <c r="AK14618" s="831">
        <v>-13765211</v>
      </c>
    </row>
    <row r="14619" spans="2:37">
      <c r="B14619" s="834" t="str">
        <f t="shared" si="537"/>
        <v>|||</v>
      </c>
      <c r="H14619" s="835">
        <f t="shared" si="538"/>
        <v>31</v>
      </c>
      <c r="AF14619" s="831" t="s">
        <v>11894</v>
      </c>
      <c r="AG14619" s="831" t="s">
        <v>2674</v>
      </c>
      <c r="AH14619" s="831" t="s">
        <v>558</v>
      </c>
      <c r="AI14619" s="831">
        <v>0</v>
      </c>
      <c r="AJ14619" s="835">
        <v>42063</v>
      </c>
      <c r="AK14619" s="831">
        <v>1110081197</v>
      </c>
    </row>
    <row r="14620" spans="2:37">
      <c r="B14620" s="834" t="str">
        <f t="shared" si="537"/>
        <v>|||</v>
      </c>
      <c r="H14620" s="835">
        <f t="shared" si="538"/>
        <v>31</v>
      </c>
      <c r="AF14620" s="831" t="s">
        <v>11895</v>
      </c>
      <c r="AG14620" s="831" t="s">
        <v>2674</v>
      </c>
      <c r="AH14620" s="831" t="s">
        <v>65</v>
      </c>
      <c r="AI14620" s="831">
        <v>0</v>
      </c>
      <c r="AJ14620" s="835">
        <v>42063</v>
      </c>
      <c r="AK14620" s="831">
        <v>31017741</v>
      </c>
    </row>
    <row r="14621" spans="2:37">
      <c r="B14621" s="834" t="str">
        <f t="shared" si="537"/>
        <v>|||</v>
      </c>
      <c r="H14621" s="835">
        <f t="shared" si="538"/>
        <v>31</v>
      </c>
      <c r="AF14621" s="831" t="s">
        <v>11896</v>
      </c>
      <c r="AG14621" s="831" t="s">
        <v>2674</v>
      </c>
      <c r="AH14621" s="831" t="s">
        <v>89</v>
      </c>
      <c r="AI14621" s="831">
        <v>0</v>
      </c>
      <c r="AJ14621" s="835">
        <v>42063</v>
      </c>
      <c r="AK14621" s="831">
        <v>157073</v>
      </c>
    </row>
    <row r="14622" spans="2:37">
      <c r="B14622" s="834" t="str">
        <f t="shared" si="537"/>
        <v>|||</v>
      </c>
      <c r="H14622" s="835">
        <f t="shared" si="538"/>
        <v>31</v>
      </c>
      <c r="AF14622" s="831" t="s">
        <v>11897</v>
      </c>
      <c r="AG14622" s="831" t="s">
        <v>2674</v>
      </c>
      <c r="AH14622" s="831" t="s">
        <v>557</v>
      </c>
      <c r="AI14622" s="831">
        <v>0</v>
      </c>
      <c r="AJ14622" s="835">
        <v>42063</v>
      </c>
      <c r="AK14622" s="831">
        <v>179494</v>
      </c>
    </row>
    <row r="14623" spans="2:37">
      <c r="B14623" s="834" t="str">
        <f t="shared" si="537"/>
        <v>|||</v>
      </c>
      <c r="H14623" s="835">
        <f t="shared" si="538"/>
        <v>31</v>
      </c>
      <c r="AF14623" s="831" t="s">
        <v>11898</v>
      </c>
      <c r="AG14623" s="831" t="s">
        <v>2674</v>
      </c>
      <c r="AH14623" s="831" t="s">
        <v>29</v>
      </c>
      <c r="AI14623" s="831">
        <v>0</v>
      </c>
      <c r="AJ14623" s="835">
        <v>42063</v>
      </c>
      <c r="AK14623" s="831">
        <v>8683621</v>
      </c>
    </row>
    <row r="14624" spans="2:37">
      <c r="B14624" s="834" t="str">
        <f t="shared" si="537"/>
        <v>|||</v>
      </c>
      <c r="H14624" s="835">
        <f t="shared" si="538"/>
        <v>31</v>
      </c>
      <c r="AF14624" s="831" t="s">
        <v>11899</v>
      </c>
      <c r="AG14624" s="831" t="s">
        <v>2674</v>
      </c>
      <c r="AH14624" s="831" t="s">
        <v>2688</v>
      </c>
      <c r="AI14624" s="831">
        <v>0</v>
      </c>
      <c r="AJ14624" s="835">
        <v>42063</v>
      </c>
      <c r="AK14624" s="831">
        <v>11508492</v>
      </c>
    </row>
    <row r="14625" spans="2:37">
      <c r="B14625" s="834" t="str">
        <f t="shared" si="537"/>
        <v>|||</v>
      </c>
      <c r="H14625" s="835">
        <f t="shared" si="538"/>
        <v>31</v>
      </c>
      <c r="AF14625" s="831" t="s">
        <v>11900</v>
      </c>
      <c r="AG14625" s="831" t="s">
        <v>2674</v>
      </c>
      <c r="AH14625" s="831" t="s">
        <v>556</v>
      </c>
      <c r="AI14625" s="831">
        <v>0</v>
      </c>
      <c r="AJ14625" s="835">
        <v>42063</v>
      </c>
      <c r="AK14625" s="831">
        <v>11412135</v>
      </c>
    </row>
    <row r="14626" spans="2:37">
      <c r="B14626" s="834" t="str">
        <f t="shared" si="537"/>
        <v>|||</v>
      </c>
      <c r="H14626" s="835">
        <f t="shared" si="538"/>
        <v>31</v>
      </c>
      <c r="AF14626" s="831" t="s">
        <v>11901</v>
      </c>
      <c r="AG14626" s="831" t="s">
        <v>2674</v>
      </c>
      <c r="AH14626" s="831" t="s">
        <v>555</v>
      </c>
      <c r="AI14626" s="831">
        <v>0</v>
      </c>
      <c r="AJ14626" s="835">
        <v>42063</v>
      </c>
      <c r="AK14626" s="831">
        <v>771141919</v>
      </c>
    </row>
    <row r="14627" spans="2:37">
      <c r="B14627" s="834" t="str">
        <f t="shared" si="537"/>
        <v>|||</v>
      </c>
      <c r="H14627" s="835">
        <f t="shared" si="538"/>
        <v>31</v>
      </c>
      <c r="AF14627" s="831" t="s">
        <v>11902</v>
      </c>
      <c r="AG14627" s="831" t="s">
        <v>2674</v>
      </c>
      <c r="AH14627" s="831" t="s">
        <v>554</v>
      </c>
      <c r="AI14627" s="831">
        <v>0</v>
      </c>
      <c r="AJ14627" s="835">
        <v>42063</v>
      </c>
      <c r="AK14627" s="831">
        <v>856164850</v>
      </c>
    </row>
    <row r="14628" spans="2:37">
      <c r="B14628" s="834" t="str">
        <f t="shared" si="537"/>
        <v>|||</v>
      </c>
      <c r="H14628" s="835">
        <f t="shared" si="538"/>
        <v>31</v>
      </c>
      <c r="AF14628" s="831" t="s">
        <v>11903</v>
      </c>
      <c r="AG14628" s="831" t="s">
        <v>2674</v>
      </c>
      <c r="AH14628" s="831" t="s">
        <v>553</v>
      </c>
      <c r="AI14628" s="831">
        <v>0</v>
      </c>
      <c r="AJ14628" s="835">
        <v>42063</v>
      </c>
      <c r="AK14628" s="831">
        <v>92382400</v>
      </c>
    </row>
    <row r="14629" spans="2:37">
      <c r="B14629" s="834" t="str">
        <f t="shared" si="537"/>
        <v>|||</v>
      </c>
      <c r="H14629" s="835">
        <f t="shared" si="538"/>
        <v>31</v>
      </c>
      <c r="AF14629" s="831" t="s">
        <v>11904</v>
      </c>
      <c r="AG14629" s="831" t="s">
        <v>2674</v>
      </c>
      <c r="AH14629" s="831" t="s">
        <v>552</v>
      </c>
      <c r="AI14629" s="831">
        <v>0</v>
      </c>
      <c r="AJ14629" s="835">
        <v>42063</v>
      </c>
      <c r="AK14629" s="831">
        <v>0</v>
      </c>
    </row>
    <row r="14630" spans="2:37">
      <c r="B14630" s="834" t="str">
        <f t="shared" si="537"/>
        <v>|||</v>
      </c>
      <c r="H14630" s="835">
        <f t="shared" si="538"/>
        <v>31</v>
      </c>
      <c r="AF14630" s="831" t="s">
        <v>11905</v>
      </c>
      <c r="AG14630" s="831" t="s">
        <v>2674</v>
      </c>
      <c r="AH14630" s="831" t="s">
        <v>551</v>
      </c>
      <c r="AI14630" s="831">
        <v>0</v>
      </c>
      <c r="AJ14630" s="835">
        <v>42063</v>
      </c>
      <c r="AK14630" s="831">
        <v>7487687</v>
      </c>
    </row>
    <row r="14631" spans="2:37">
      <c r="B14631" s="834" t="str">
        <f t="shared" si="537"/>
        <v>|||</v>
      </c>
      <c r="H14631" s="835">
        <f t="shared" si="538"/>
        <v>31</v>
      </c>
      <c r="AF14631" s="831" t="s">
        <v>11906</v>
      </c>
      <c r="AG14631" s="831" t="s">
        <v>2674</v>
      </c>
      <c r="AH14631" s="831" t="s">
        <v>550</v>
      </c>
      <c r="AI14631" s="831">
        <v>0</v>
      </c>
      <c r="AJ14631" s="835">
        <v>42063</v>
      </c>
      <c r="AK14631" s="831">
        <v>148860224</v>
      </c>
    </row>
    <row r="14632" spans="2:37">
      <c r="B14632" s="834" t="str">
        <f t="shared" si="537"/>
        <v>|||</v>
      </c>
      <c r="H14632" s="835">
        <f t="shared" si="538"/>
        <v>31</v>
      </c>
      <c r="AF14632" s="831" t="s">
        <v>11907</v>
      </c>
      <c r="AG14632" s="831" t="s">
        <v>2674</v>
      </c>
      <c r="AH14632" s="831" t="s">
        <v>562</v>
      </c>
      <c r="AI14632" s="831">
        <v>0</v>
      </c>
      <c r="AJ14632" s="835">
        <v>42063</v>
      </c>
      <c r="AK14632" s="831">
        <v>1.04575</v>
      </c>
    </row>
    <row r="14633" spans="2:37">
      <c r="B14633" s="834" t="str">
        <f t="shared" si="537"/>
        <v>|||</v>
      </c>
      <c r="H14633" s="835">
        <f t="shared" si="538"/>
        <v>31</v>
      </c>
      <c r="AF14633" s="831" t="s">
        <v>11908</v>
      </c>
      <c r="AG14633" s="831" t="s">
        <v>2674</v>
      </c>
      <c r="AH14633" s="831" t="s">
        <v>2698</v>
      </c>
      <c r="AI14633" s="831">
        <v>0</v>
      </c>
      <c r="AJ14633" s="835">
        <v>42063</v>
      </c>
      <c r="AK14633" s="831">
        <v>0.78439999999999999</v>
      </c>
    </row>
    <row r="14634" spans="2:37">
      <c r="B14634" s="834" t="str">
        <f t="shared" si="537"/>
        <v>|||</v>
      </c>
      <c r="H14634" s="835">
        <f t="shared" si="538"/>
        <v>31</v>
      </c>
      <c r="AF14634" s="831" t="s">
        <v>11909</v>
      </c>
      <c r="AG14634" s="831" t="s">
        <v>2674</v>
      </c>
      <c r="AH14634" s="831" t="s">
        <v>560</v>
      </c>
      <c r="AI14634" s="831">
        <v>0</v>
      </c>
      <c r="AJ14634" s="835">
        <v>42063</v>
      </c>
      <c r="AK14634" s="831">
        <v>0.91507499999999997</v>
      </c>
    </row>
    <row r="14635" spans="2:37">
      <c r="B14635" s="834" t="str">
        <f t="shared" si="537"/>
        <v>|||</v>
      </c>
      <c r="H14635" s="835">
        <f t="shared" si="538"/>
        <v>31</v>
      </c>
      <c r="AF14635" s="831" t="s">
        <v>11910</v>
      </c>
      <c r="AG14635" s="831" t="s">
        <v>2674</v>
      </c>
      <c r="AH14635" s="831" t="s">
        <v>559</v>
      </c>
      <c r="AI14635" s="831">
        <v>0</v>
      </c>
      <c r="AJ14635" s="835">
        <v>42063</v>
      </c>
      <c r="AK14635" s="831">
        <v>0.80552083333333313</v>
      </c>
    </row>
    <row r="14636" spans="2:37">
      <c r="B14636" s="834" t="str">
        <f t="shared" si="537"/>
        <v>|||</v>
      </c>
      <c r="H14636" s="835">
        <f t="shared" si="538"/>
        <v>31</v>
      </c>
      <c r="AF14636" s="831" t="s">
        <v>11911</v>
      </c>
      <c r="AG14636" s="831" t="s">
        <v>2674</v>
      </c>
      <c r="AH14636" s="831" t="s">
        <v>568</v>
      </c>
      <c r="AI14636" s="831">
        <v>0</v>
      </c>
      <c r="AJ14636" s="835">
        <v>42063</v>
      </c>
      <c r="AK14636" s="831">
        <v>764746840.38461542</v>
      </c>
    </row>
    <row r="14637" spans="2:37">
      <c r="B14637" s="834" t="str">
        <f t="shared" si="537"/>
        <v>|||</v>
      </c>
      <c r="H14637" s="835">
        <f t="shared" si="538"/>
        <v>31</v>
      </c>
      <c r="AF14637" s="831" t="s">
        <v>11912</v>
      </c>
      <c r="AG14637" s="831" t="s">
        <v>2674</v>
      </c>
      <c r="AH14637" s="831" t="s">
        <v>569</v>
      </c>
      <c r="AI14637" s="831">
        <v>0</v>
      </c>
      <c r="AJ14637" s="835">
        <v>42063</v>
      </c>
      <c r="AK14637" s="831">
        <v>956157596</v>
      </c>
    </row>
    <row r="14638" spans="2:37">
      <c r="B14638" s="834" t="str">
        <f t="shared" si="537"/>
        <v>|||</v>
      </c>
      <c r="H14638" s="835">
        <f t="shared" si="538"/>
        <v>31</v>
      </c>
      <c r="AF14638" s="831" t="s">
        <v>11913</v>
      </c>
      <c r="AG14638" s="831" t="s">
        <v>2674</v>
      </c>
      <c r="AH14638" s="831" t="s">
        <v>570</v>
      </c>
      <c r="AI14638" s="831">
        <v>0</v>
      </c>
      <c r="AJ14638" s="835">
        <v>42063</v>
      </c>
      <c r="AK14638" s="831">
        <v>138839504.15615386</v>
      </c>
    </row>
    <row r="14639" spans="2:37">
      <c r="B14639" s="834" t="str">
        <f t="shared" si="537"/>
        <v>|||</v>
      </c>
      <c r="H14639" s="835">
        <f t="shared" si="538"/>
        <v>31</v>
      </c>
      <c r="AF14639" s="831" t="s">
        <v>11914</v>
      </c>
      <c r="AG14639" s="831" t="s">
        <v>2674</v>
      </c>
      <c r="AH14639" s="831" t="s">
        <v>571</v>
      </c>
      <c r="AI14639" s="831">
        <v>0</v>
      </c>
      <c r="AJ14639" s="835">
        <v>42063</v>
      </c>
      <c r="AK14639" s="831">
        <v>482774872.10899997</v>
      </c>
    </row>
    <row r="14640" spans="2:37">
      <c r="B14640" s="834" t="str">
        <f t="shared" si="537"/>
        <v>|||</v>
      </c>
      <c r="H14640" s="835">
        <f t="shared" si="538"/>
        <v>31</v>
      </c>
      <c r="AF14640" s="831" t="s">
        <v>11915</v>
      </c>
      <c r="AG14640" s="831" t="s">
        <v>2674</v>
      </c>
      <c r="AH14640" s="831" t="s">
        <v>573</v>
      </c>
      <c r="AI14640" s="831">
        <v>0</v>
      </c>
      <c r="AJ14640" s="835">
        <v>42063</v>
      </c>
      <c r="AK14640" s="831">
        <v>1113466990</v>
      </c>
    </row>
    <row r="14641" spans="2:37">
      <c r="B14641" s="834" t="str">
        <f t="shared" si="537"/>
        <v>|||</v>
      </c>
      <c r="H14641" s="835">
        <f t="shared" si="538"/>
        <v>31</v>
      </c>
      <c r="AF14641" s="831" t="s">
        <v>11916</v>
      </c>
      <c r="AG14641" s="831" t="s">
        <v>2674</v>
      </c>
      <c r="AH14641" s="831" t="s">
        <v>574</v>
      </c>
      <c r="AI14641" s="831">
        <v>0</v>
      </c>
      <c r="AJ14641" s="835">
        <v>42063</v>
      </c>
      <c r="AK14641" s="831">
        <v>874843882.66666663</v>
      </c>
    </row>
    <row r="14642" spans="2:37">
      <c r="B14642" s="834" t="str">
        <f t="shared" si="537"/>
        <v>|||</v>
      </c>
      <c r="H14642" s="835">
        <f t="shared" si="538"/>
        <v>31</v>
      </c>
      <c r="AF14642" s="831" t="s">
        <v>11917</v>
      </c>
      <c r="AG14642" s="831" t="s">
        <v>2674</v>
      </c>
      <c r="AH14642" s="831" t="s">
        <v>575</v>
      </c>
      <c r="AI14642" s="831">
        <v>0</v>
      </c>
      <c r="AJ14642" s="835">
        <v>42063</v>
      </c>
      <c r="AK14642" s="831">
        <v>145923251.33333334</v>
      </c>
    </row>
    <row r="14643" spans="2:37">
      <c r="B14643" s="834" t="str">
        <f t="shared" si="537"/>
        <v>|||</v>
      </c>
      <c r="H14643" s="835">
        <f t="shared" si="538"/>
        <v>31</v>
      </c>
      <c r="AF14643" s="831" t="s">
        <v>11918</v>
      </c>
      <c r="AG14643" s="831" t="s">
        <v>2674</v>
      </c>
      <c r="AH14643" s="831" t="s">
        <v>576</v>
      </c>
      <c r="AI14643" s="831">
        <v>0</v>
      </c>
      <c r="AJ14643" s="835">
        <v>42063</v>
      </c>
      <c r="AK14643" s="831">
        <v>595110401.33333337</v>
      </c>
    </row>
    <row r="14644" spans="2:37">
      <c r="B14644" s="834" t="str">
        <f t="shared" si="537"/>
        <v>|||</v>
      </c>
      <c r="H14644" s="835">
        <f t="shared" si="538"/>
        <v>31</v>
      </c>
      <c r="AF14644" s="831" t="s">
        <v>11919</v>
      </c>
      <c r="AG14644" s="831" t="s">
        <v>2674</v>
      </c>
      <c r="AH14644" s="831" t="s">
        <v>572</v>
      </c>
      <c r="AI14644" s="831">
        <v>0</v>
      </c>
      <c r="AJ14644" s="835">
        <v>42063</v>
      </c>
      <c r="AK14644" s="831">
        <v>33261949</v>
      </c>
    </row>
    <row r="14645" spans="2:37">
      <c r="B14645" s="834" t="str">
        <f t="shared" si="537"/>
        <v>|||</v>
      </c>
      <c r="H14645" s="835">
        <f t="shared" si="538"/>
        <v>31</v>
      </c>
      <c r="AF14645" s="831" t="s">
        <v>11920</v>
      </c>
      <c r="AG14645" s="831" t="s">
        <v>2674</v>
      </c>
      <c r="AH14645" s="831" t="s">
        <v>577</v>
      </c>
      <c r="AI14645" s="831">
        <v>0</v>
      </c>
      <c r="AJ14645" s="835">
        <v>42063</v>
      </c>
      <c r="AK14645" s="831">
        <v>173134660</v>
      </c>
    </row>
    <row r="14646" spans="2:37">
      <c r="B14646" s="834" t="str">
        <f t="shared" si="537"/>
        <v>|||</v>
      </c>
      <c r="H14646" s="835">
        <f t="shared" si="538"/>
        <v>31</v>
      </c>
      <c r="AF14646" s="831" t="s">
        <v>11921</v>
      </c>
      <c r="AG14646" s="831" t="s">
        <v>2674</v>
      </c>
      <c r="AH14646" s="831" t="s">
        <v>3042</v>
      </c>
      <c r="AI14646" s="831">
        <v>0</v>
      </c>
      <c r="AJ14646" s="835">
        <v>42063</v>
      </c>
      <c r="AK14646" s="831">
        <v>-53542458</v>
      </c>
    </row>
    <row r="14647" spans="2:37">
      <c r="B14647" s="834" t="str">
        <f t="shared" si="537"/>
        <v>|||</v>
      </c>
      <c r="H14647" s="835">
        <f t="shared" si="538"/>
        <v>31</v>
      </c>
      <c r="AF14647" s="831" t="s">
        <v>11922</v>
      </c>
      <c r="AG14647" s="831" t="s">
        <v>2674</v>
      </c>
      <c r="AH14647" s="831" t="s">
        <v>3044</v>
      </c>
      <c r="AI14647" s="831">
        <v>0</v>
      </c>
      <c r="AJ14647" s="835">
        <v>42063</v>
      </c>
      <c r="AK14647" s="831">
        <v>-787106</v>
      </c>
    </row>
    <row r="14648" spans="2:37">
      <c r="B14648" s="834" t="str">
        <f t="shared" si="537"/>
        <v>|||</v>
      </c>
      <c r="H14648" s="835">
        <f t="shared" si="538"/>
        <v>31</v>
      </c>
      <c r="AF14648" s="831" t="s">
        <v>11923</v>
      </c>
      <c r="AG14648" s="831" t="s">
        <v>2674</v>
      </c>
      <c r="AH14648" s="831" t="s">
        <v>580</v>
      </c>
      <c r="AI14648" s="831">
        <v>0</v>
      </c>
      <c r="AJ14648" s="835">
        <v>42063</v>
      </c>
      <c r="AK14648" s="831">
        <v>-82473719</v>
      </c>
    </row>
    <row r="14649" spans="2:37">
      <c r="B14649" s="834" t="str">
        <f t="shared" si="537"/>
        <v>|||</v>
      </c>
      <c r="H14649" s="835">
        <f t="shared" si="538"/>
        <v>31</v>
      </c>
      <c r="AF14649" s="831" t="s">
        <v>11924</v>
      </c>
      <c r="AG14649" s="831" t="s">
        <v>2674</v>
      </c>
      <c r="AH14649" s="831" t="s">
        <v>581</v>
      </c>
      <c r="AI14649" s="831">
        <v>0</v>
      </c>
      <c r="AJ14649" s="835">
        <v>42063</v>
      </c>
      <c r="AK14649" s="831">
        <v>11169610</v>
      </c>
    </row>
    <row r="14650" spans="2:37">
      <c r="B14650" s="834" t="str">
        <f t="shared" si="537"/>
        <v>|||</v>
      </c>
      <c r="H14650" s="835">
        <f t="shared" si="538"/>
        <v>31</v>
      </c>
      <c r="AF14650" s="831" t="s">
        <v>11925</v>
      </c>
      <c r="AG14650" s="831" t="s">
        <v>2674</v>
      </c>
      <c r="AH14650" s="831" t="s">
        <v>105</v>
      </c>
      <c r="AI14650" s="831">
        <v>0</v>
      </c>
      <c r="AJ14650" s="835">
        <v>42063</v>
      </c>
      <c r="AK14650" s="831">
        <v>714800530</v>
      </c>
    </row>
    <row r="14651" spans="2:37">
      <c r="B14651" s="834" t="str">
        <f t="shared" si="537"/>
        <v>|||</v>
      </c>
      <c r="H14651" s="835">
        <f t="shared" si="538"/>
        <v>31</v>
      </c>
      <c r="AF14651" s="831" t="s">
        <v>11926</v>
      </c>
      <c r="AG14651" s="831" t="s">
        <v>2674</v>
      </c>
      <c r="AH14651" s="831" t="s">
        <v>3049</v>
      </c>
      <c r="AI14651" s="831">
        <v>0</v>
      </c>
      <c r="AJ14651" s="835">
        <v>42063</v>
      </c>
      <c r="AK14651" s="831">
        <v>1078776977</v>
      </c>
    </row>
    <row r="14652" spans="2:37">
      <c r="B14652" s="834" t="str">
        <f t="shared" si="537"/>
        <v>|||</v>
      </c>
      <c r="H14652" s="835">
        <f t="shared" si="538"/>
        <v>31</v>
      </c>
      <c r="AF14652" s="831" t="s">
        <v>11927</v>
      </c>
      <c r="AG14652" s="831" t="s">
        <v>2674</v>
      </c>
      <c r="AH14652" s="831" t="s">
        <v>103</v>
      </c>
      <c r="AI14652" s="831">
        <v>0</v>
      </c>
      <c r="AJ14652" s="835">
        <v>42063</v>
      </c>
      <c r="AK14652" s="831">
        <v>363976447</v>
      </c>
    </row>
    <row r="14653" spans="2:37">
      <c r="B14653" s="834" t="str">
        <f t="shared" si="537"/>
        <v>|||</v>
      </c>
      <c r="H14653" s="835">
        <f t="shared" si="538"/>
        <v>31</v>
      </c>
      <c r="AF14653" s="831" t="s">
        <v>11928</v>
      </c>
      <c r="AG14653" s="831" t="s">
        <v>2674</v>
      </c>
      <c r="AH14653" s="831" t="s">
        <v>182</v>
      </c>
      <c r="AI14653" s="831">
        <v>0</v>
      </c>
      <c r="AJ14653" s="835">
        <v>42063</v>
      </c>
      <c r="AK14653" s="831">
        <v>91149096</v>
      </c>
    </row>
    <row r="14654" spans="2:37">
      <c r="B14654" s="834" t="str">
        <f t="shared" si="537"/>
        <v>|||</v>
      </c>
      <c r="H14654" s="835">
        <f t="shared" si="538"/>
        <v>31</v>
      </c>
      <c r="AF14654" s="831" t="s">
        <v>11929</v>
      </c>
      <c r="AG14654" s="831" t="s">
        <v>2674</v>
      </c>
      <c r="AH14654" s="831" t="s">
        <v>6600</v>
      </c>
      <c r="AI14654" s="831">
        <v>0</v>
      </c>
      <c r="AJ14654" s="835">
        <v>42063</v>
      </c>
      <c r="AK14654" s="831">
        <v>33261949</v>
      </c>
    </row>
    <row r="14655" spans="2:37">
      <c r="B14655" s="834" t="str">
        <f t="shared" si="537"/>
        <v>|||</v>
      </c>
      <c r="H14655" s="835">
        <f t="shared" si="538"/>
        <v>31</v>
      </c>
      <c r="AF14655" s="831" t="s">
        <v>11930</v>
      </c>
      <c r="AG14655" s="831" t="s">
        <v>2674</v>
      </c>
      <c r="AH14655" s="831" t="s">
        <v>6602</v>
      </c>
      <c r="AI14655" s="831">
        <v>0</v>
      </c>
      <c r="AJ14655" s="835">
        <v>42063</v>
      </c>
      <c r="AK14655" s="831">
        <v>-1907756</v>
      </c>
    </row>
    <row r="14656" spans="2:37">
      <c r="B14656" s="834" t="str">
        <f t="shared" si="537"/>
        <v>|||</v>
      </c>
      <c r="H14656" s="835">
        <f t="shared" si="538"/>
        <v>31</v>
      </c>
      <c r="AF14656" s="831" t="s">
        <v>11931</v>
      </c>
      <c r="AG14656" s="831" t="s">
        <v>2674</v>
      </c>
      <c r="AH14656" s="831" t="s">
        <v>650</v>
      </c>
      <c r="AI14656" s="831">
        <v>0</v>
      </c>
      <c r="AJ14656" s="835">
        <v>42063</v>
      </c>
      <c r="AK14656" s="831">
        <v>309129053.2630769</v>
      </c>
    </row>
    <row r="14657" spans="2:37">
      <c r="B14657" s="834" t="str">
        <f t="shared" si="537"/>
        <v>|||</v>
      </c>
      <c r="H14657" s="835">
        <f t="shared" si="538"/>
        <v>31</v>
      </c>
      <c r="AF14657" s="831" t="s">
        <v>11932</v>
      </c>
      <c r="AG14657" s="831" t="s">
        <v>2674</v>
      </c>
      <c r="AH14657" s="831" t="s">
        <v>655</v>
      </c>
      <c r="AI14657" s="831">
        <v>0</v>
      </c>
      <c r="AJ14657" s="835">
        <v>42063</v>
      </c>
      <c r="AK14657" s="831">
        <v>7002831</v>
      </c>
    </row>
    <row r="14658" spans="2:37">
      <c r="B14658" s="834" t="str">
        <f t="shared" si="537"/>
        <v>|||</v>
      </c>
      <c r="H14658" s="835">
        <f t="shared" si="538"/>
        <v>31</v>
      </c>
      <c r="AF14658" s="831" t="s">
        <v>11933</v>
      </c>
      <c r="AG14658" s="831" t="s">
        <v>2674</v>
      </c>
      <c r="AH14658" s="831" t="s">
        <v>546</v>
      </c>
      <c r="AI14658" s="831">
        <v>0</v>
      </c>
      <c r="AJ14658" s="835">
        <v>42094</v>
      </c>
      <c r="AK14658" s="831">
        <v>925259190</v>
      </c>
    </row>
    <row r="14659" spans="2:37">
      <c r="B14659" s="834" t="str">
        <f t="shared" si="537"/>
        <v>|||</v>
      </c>
      <c r="H14659" s="835">
        <f t="shared" si="538"/>
        <v>31</v>
      </c>
      <c r="AF14659" s="831" t="s">
        <v>11934</v>
      </c>
      <c r="AG14659" s="831" t="s">
        <v>2674</v>
      </c>
      <c r="AH14659" s="831" t="s">
        <v>370</v>
      </c>
      <c r="AI14659" s="831">
        <v>0</v>
      </c>
      <c r="AJ14659" s="835">
        <v>42094</v>
      </c>
      <c r="AK14659" s="831">
        <v>1161484479</v>
      </c>
    </row>
    <row r="14660" spans="2:37">
      <c r="B14660" s="834" t="str">
        <f t="shared" si="537"/>
        <v>|||</v>
      </c>
      <c r="H14660" s="835">
        <f t="shared" si="538"/>
        <v>31</v>
      </c>
      <c r="AF14660" s="831" t="s">
        <v>11935</v>
      </c>
      <c r="AG14660" s="831" t="s">
        <v>2674</v>
      </c>
      <c r="AH14660" s="831" t="s">
        <v>126</v>
      </c>
      <c r="AI14660" s="831">
        <v>0</v>
      </c>
      <c r="AJ14660" s="835">
        <v>42094</v>
      </c>
      <c r="AK14660" s="831">
        <v>147807134</v>
      </c>
    </row>
    <row r="14661" spans="2:37">
      <c r="B14661" s="834" t="str">
        <f t="shared" si="537"/>
        <v>|||</v>
      </c>
      <c r="H14661" s="835">
        <f t="shared" si="538"/>
        <v>31</v>
      </c>
      <c r="AF14661" s="831" t="s">
        <v>11936</v>
      </c>
      <c r="AG14661" s="831" t="s">
        <v>2674</v>
      </c>
      <c r="AH14661" s="831" t="s">
        <v>268</v>
      </c>
      <c r="AI14661" s="831">
        <v>0</v>
      </c>
      <c r="AJ14661" s="835">
        <v>42094</v>
      </c>
      <c r="AK14661" s="831">
        <v>2398849</v>
      </c>
    </row>
    <row r="14662" spans="2:37">
      <c r="B14662" s="834" t="str">
        <f t="shared" si="537"/>
        <v>|||</v>
      </c>
      <c r="H14662" s="835">
        <f t="shared" si="538"/>
        <v>31</v>
      </c>
      <c r="AF14662" s="831" t="s">
        <v>11937</v>
      </c>
      <c r="AG14662" s="831" t="s">
        <v>2674</v>
      </c>
      <c r="AH14662" s="831" t="s">
        <v>547</v>
      </c>
      <c r="AI14662" s="831">
        <v>0</v>
      </c>
      <c r="AJ14662" s="835">
        <v>42094</v>
      </c>
      <c r="AK14662" s="831">
        <v>1044609243</v>
      </c>
    </row>
    <row r="14663" spans="2:37">
      <c r="B14663" s="834" t="str">
        <f t="shared" si="537"/>
        <v>|||</v>
      </c>
      <c r="H14663" s="835">
        <f t="shared" si="538"/>
        <v>31</v>
      </c>
      <c r="AF14663" s="831" t="s">
        <v>11938</v>
      </c>
      <c r="AG14663" s="831" t="s">
        <v>2674</v>
      </c>
      <c r="AH14663" s="831" t="s">
        <v>548</v>
      </c>
      <c r="AI14663" s="831">
        <v>0</v>
      </c>
      <c r="AJ14663" s="835">
        <v>42094</v>
      </c>
      <c r="AK14663" s="831">
        <v>148860224</v>
      </c>
    </row>
    <row r="14664" spans="2:37">
      <c r="B14664" s="834" t="str">
        <f t="shared" si="537"/>
        <v>|||</v>
      </c>
      <c r="H14664" s="835">
        <f t="shared" si="538"/>
        <v>31</v>
      </c>
      <c r="AF14664" s="831" t="s">
        <v>11939</v>
      </c>
      <c r="AG14664" s="831" t="s">
        <v>2674</v>
      </c>
      <c r="AH14664" s="831" t="s">
        <v>549</v>
      </c>
      <c r="AI14664" s="831">
        <v>0</v>
      </c>
      <c r="AJ14664" s="835">
        <v>42094</v>
      </c>
      <c r="AK14664" s="831">
        <v>664153787</v>
      </c>
    </row>
    <row r="14665" spans="2:37">
      <c r="B14665" s="834" t="str">
        <f t="shared" si="537"/>
        <v>|||</v>
      </c>
      <c r="H14665" s="835">
        <f t="shared" si="538"/>
        <v>31</v>
      </c>
      <c r="AF14665" s="831" t="s">
        <v>11940</v>
      </c>
      <c r="AG14665" s="831" t="s">
        <v>2674</v>
      </c>
      <c r="AH14665" s="831" t="s">
        <v>192</v>
      </c>
      <c r="AI14665" s="831">
        <v>0</v>
      </c>
      <c r="AJ14665" s="835">
        <v>42094</v>
      </c>
      <c r="AK14665" s="831">
        <v>-15332196</v>
      </c>
    </row>
    <row r="14666" spans="2:37">
      <c r="B14666" s="834" t="str">
        <f t="shared" si="537"/>
        <v>|||</v>
      </c>
      <c r="H14666" s="835">
        <f t="shared" si="538"/>
        <v>31</v>
      </c>
      <c r="AF14666" s="831" t="s">
        <v>11941</v>
      </c>
      <c r="AG14666" s="831" t="s">
        <v>2674</v>
      </c>
      <c r="AH14666" s="831" t="s">
        <v>558</v>
      </c>
      <c r="AI14666" s="831">
        <v>0</v>
      </c>
      <c r="AJ14666" s="835">
        <v>42094</v>
      </c>
      <c r="AK14666" s="831">
        <v>1013677345</v>
      </c>
    </row>
    <row r="14667" spans="2:37">
      <c r="B14667" s="834" t="str">
        <f t="shared" si="537"/>
        <v>|||</v>
      </c>
      <c r="H14667" s="835">
        <f t="shared" si="538"/>
        <v>31</v>
      </c>
      <c r="AF14667" s="831" t="s">
        <v>11942</v>
      </c>
      <c r="AG14667" s="831" t="s">
        <v>2674</v>
      </c>
      <c r="AH14667" s="831" t="s">
        <v>65</v>
      </c>
      <c r="AI14667" s="831">
        <v>0</v>
      </c>
      <c r="AJ14667" s="835">
        <v>42094</v>
      </c>
      <c r="AK14667" s="831">
        <v>48515498</v>
      </c>
    </row>
    <row r="14668" spans="2:37">
      <c r="B14668" s="834" t="str">
        <f t="shared" si="537"/>
        <v>|||</v>
      </c>
      <c r="H14668" s="835">
        <f t="shared" si="538"/>
        <v>31</v>
      </c>
      <c r="AF14668" s="831" t="s">
        <v>11943</v>
      </c>
      <c r="AG14668" s="831" t="s">
        <v>2674</v>
      </c>
      <c r="AH14668" s="831" t="s">
        <v>89</v>
      </c>
      <c r="AI14668" s="831">
        <v>0</v>
      </c>
      <c r="AJ14668" s="835">
        <v>42094</v>
      </c>
      <c r="AK14668" s="831">
        <v>153039</v>
      </c>
    </row>
    <row r="14669" spans="2:37">
      <c r="B14669" s="834" t="str">
        <f t="shared" si="537"/>
        <v>|||</v>
      </c>
      <c r="H14669" s="835">
        <f t="shared" si="538"/>
        <v>31</v>
      </c>
      <c r="AF14669" s="831" t="s">
        <v>11944</v>
      </c>
      <c r="AG14669" s="831" t="s">
        <v>2674</v>
      </c>
      <c r="AH14669" s="831" t="s">
        <v>557</v>
      </c>
      <c r="AI14669" s="831">
        <v>0</v>
      </c>
      <c r="AJ14669" s="835">
        <v>42094</v>
      </c>
      <c r="AK14669" s="831">
        <v>174874</v>
      </c>
    </row>
    <row r="14670" spans="2:37">
      <c r="B14670" s="834" t="str">
        <f t="shared" si="537"/>
        <v>|||</v>
      </c>
      <c r="H14670" s="835">
        <f t="shared" si="538"/>
        <v>31</v>
      </c>
      <c r="AF14670" s="831" t="s">
        <v>11945</v>
      </c>
      <c r="AG14670" s="831" t="s">
        <v>2674</v>
      </c>
      <c r="AH14670" s="831" t="s">
        <v>29</v>
      </c>
      <c r="AI14670" s="831">
        <v>0</v>
      </c>
      <c r="AJ14670" s="835">
        <v>42094</v>
      </c>
      <c r="AK14670" s="831">
        <v>10801248</v>
      </c>
    </row>
    <row r="14671" spans="2:37">
      <c r="B14671" s="834" t="str">
        <f t="shared" si="537"/>
        <v>|||</v>
      </c>
      <c r="H14671" s="835">
        <f t="shared" si="538"/>
        <v>31</v>
      </c>
      <c r="AF14671" s="831" t="s">
        <v>11946</v>
      </c>
      <c r="AG14671" s="831" t="s">
        <v>2674</v>
      </c>
      <c r="AH14671" s="831" t="s">
        <v>2688</v>
      </c>
      <c r="AI14671" s="831">
        <v>0</v>
      </c>
      <c r="AJ14671" s="835">
        <v>42094</v>
      </c>
      <c r="AK14671" s="831">
        <v>88178967</v>
      </c>
    </row>
    <row r="14672" spans="2:37">
      <c r="B14672" s="834" t="str">
        <f t="shared" si="537"/>
        <v>|||</v>
      </c>
      <c r="H14672" s="835">
        <f t="shared" si="538"/>
        <v>31</v>
      </c>
      <c r="AF14672" s="831" t="s">
        <v>11947</v>
      </c>
      <c r="AG14672" s="831" t="s">
        <v>2674</v>
      </c>
      <c r="AH14672" s="831" t="s">
        <v>556</v>
      </c>
      <c r="AI14672" s="831">
        <v>0</v>
      </c>
      <c r="AJ14672" s="835">
        <v>42094</v>
      </c>
      <c r="AK14672" s="831">
        <v>11412135</v>
      </c>
    </row>
    <row r="14673" spans="2:37">
      <c r="B14673" s="834" t="str">
        <f t="shared" ref="B14673:B14736" si="539">C14673&amp;"|"&amp;D14673&amp;"|"&amp;E14673&amp;"|"&amp;F14673</f>
        <v>|||</v>
      </c>
      <c r="H14673" s="835">
        <f t="shared" ref="H14673:H14736" si="540">EOMONTH(L14673,0)</f>
        <v>31</v>
      </c>
      <c r="AF14673" s="831" t="s">
        <v>11948</v>
      </c>
      <c r="AG14673" s="831" t="s">
        <v>2674</v>
      </c>
      <c r="AH14673" s="831" t="s">
        <v>555</v>
      </c>
      <c r="AI14673" s="831">
        <v>0</v>
      </c>
      <c r="AJ14673" s="835">
        <v>42094</v>
      </c>
      <c r="AK14673" s="831">
        <v>794294654</v>
      </c>
    </row>
    <row r="14674" spans="2:37">
      <c r="B14674" s="834" t="str">
        <f t="shared" si="539"/>
        <v>|||</v>
      </c>
      <c r="H14674" s="835">
        <f t="shared" si="540"/>
        <v>31</v>
      </c>
      <c r="AF14674" s="831" t="s">
        <v>11949</v>
      </c>
      <c r="AG14674" s="831" t="s">
        <v>2674</v>
      </c>
      <c r="AH14674" s="831" t="s">
        <v>554</v>
      </c>
      <c r="AI14674" s="831">
        <v>0</v>
      </c>
      <c r="AJ14674" s="835">
        <v>42094</v>
      </c>
      <c r="AK14674" s="831">
        <v>796448359</v>
      </c>
    </row>
    <row r="14675" spans="2:37">
      <c r="B14675" s="834" t="str">
        <f t="shared" si="539"/>
        <v>|||</v>
      </c>
      <c r="H14675" s="835">
        <f t="shared" si="540"/>
        <v>31</v>
      </c>
      <c r="AF14675" s="831" t="s">
        <v>11950</v>
      </c>
      <c r="AG14675" s="831" t="s">
        <v>2674</v>
      </c>
      <c r="AH14675" s="831" t="s">
        <v>553</v>
      </c>
      <c r="AI14675" s="831">
        <v>0</v>
      </c>
      <c r="AJ14675" s="835">
        <v>42094</v>
      </c>
      <c r="AK14675" s="831">
        <v>52425000</v>
      </c>
    </row>
    <row r="14676" spans="2:37">
      <c r="B14676" s="834" t="str">
        <f t="shared" si="539"/>
        <v>|||</v>
      </c>
      <c r="H14676" s="835">
        <f t="shared" si="540"/>
        <v>31</v>
      </c>
      <c r="AF14676" s="831" t="s">
        <v>11951</v>
      </c>
      <c r="AG14676" s="831" t="s">
        <v>2674</v>
      </c>
      <c r="AH14676" s="831" t="s">
        <v>552</v>
      </c>
      <c r="AI14676" s="831">
        <v>0</v>
      </c>
      <c r="AJ14676" s="835">
        <v>42094</v>
      </c>
      <c r="AK14676" s="831">
        <v>0</v>
      </c>
    </row>
    <row r="14677" spans="2:37">
      <c r="B14677" s="834" t="str">
        <f t="shared" si="539"/>
        <v>|||</v>
      </c>
      <c r="H14677" s="835">
        <f t="shared" si="540"/>
        <v>31</v>
      </c>
      <c r="AF14677" s="831" t="s">
        <v>11952</v>
      </c>
      <c r="AG14677" s="831" t="s">
        <v>2674</v>
      </c>
      <c r="AH14677" s="831" t="s">
        <v>551</v>
      </c>
      <c r="AI14677" s="831">
        <v>0</v>
      </c>
      <c r="AJ14677" s="835">
        <v>42094</v>
      </c>
      <c r="AK14677" s="831">
        <v>8543411</v>
      </c>
    </row>
    <row r="14678" spans="2:37">
      <c r="B14678" s="834" t="str">
        <f t="shared" si="539"/>
        <v>|||</v>
      </c>
      <c r="H14678" s="835">
        <f t="shared" si="540"/>
        <v>31</v>
      </c>
      <c r="AF14678" s="831" t="s">
        <v>11953</v>
      </c>
      <c r="AG14678" s="831" t="s">
        <v>2674</v>
      </c>
      <c r="AH14678" s="831" t="s">
        <v>550</v>
      </c>
      <c r="AI14678" s="831">
        <v>0</v>
      </c>
      <c r="AJ14678" s="835">
        <v>42094</v>
      </c>
      <c r="AK14678" s="831">
        <v>143500530</v>
      </c>
    </row>
    <row r="14679" spans="2:37">
      <c r="B14679" s="834" t="str">
        <f t="shared" si="539"/>
        <v>|||</v>
      </c>
      <c r="H14679" s="835">
        <f t="shared" si="540"/>
        <v>31</v>
      </c>
      <c r="AF14679" s="831" t="s">
        <v>11954</v>
      </c>
      <c r="AG14679" s="831" t="s">
        <v>2674</v>
      </c>
      <c r="AH14679" s="831" t="s">
        <v>562</v>
      </c>
      <c r="AI14679" s="831">
        <v>0</v>
      </c>
      <c r="AJ14679" s="835">
        <v>42094</v>
      </c>
      <c r="AK14679" s="831">
        <v>1.0495000000000001</v>
      </c>
    </row>
    <row r="14680" spans="2:37">
      <c r="B14680" s="834" t="str">
        <f t="shared" si="539"/>
        <v>|||</v>
      </c>
      <c r="H14680" s="835">
        <f t="shared" si="540"/>
        <v>31</v>
      </c>
      <c r="AF14680" s="831" t="s">
        <v>11955</v>
      </c>
      <c r="AG14680" s="831" t="s">
        <v>2674</v>
      </c>
      <c r="AH14680" s="831" t="s">
        <v>2698</v>
      </c>
      <c r="AI14680" s="831">
        <v>0</v>
      </c>
      <c r="AJ14680" s="835">
        <v>42094</v>
      </c>
      <c r="AK14680" s="831">
        <v>1.04575</v>
      </c>
    </row>
    <row r="14681" spans="2:37">
      <c r="B14681" s="834" t="str">
        <f t="shared" si="539"/>
        <v>|||</v>
      </c>
      <c r="H14681" s="835">
        <f t="shared" si="540"/>
        <v>31</v>
      </c>
      <c r="AF14681" s="831" t="s">
        <v>11956</v>
      </c>
      <c r="AG14681" s="831" t="s">
        <v>2674</v>
      </c>
      <c r="AH14681" s="831" t="s">
        <v>560</v>
      </c>
      <c r="AI14681" s="831">
        <v>0</v>
      </c>
      <c r="AJ14681" s="835">
        <v>42094</v>
      </c>
      <c r="AK14681" s="831">
        <v>0.95988333333333331</v>
      </c>
    </row>
    <row r="14682" spans="2:37">
      <c r="B14682" s="834" t="str">
        <f t="shared" si="539"/>
        <v>|||</v>
      </c>
      <c r="H14682" s="835">
        <f t="shared" si="540"/>
        <v>31</v>
      </c>
      <c r="AF14682" s="831" t="s">
        <v>11957</v>
      </c>
      <c r="AG14682" s="831" t="s">
        <v>2674</v>
      </c>
      <c r="AH14682" s="831" t="s">
        <v>559</v>
      </c>
      <c r="AI14682" s="831">
        <v>0</v>
      </c>
      <c r="AJ14682" s="835">
        <v>42094</v>
      </c>
      <c r="AK14682" s="831">
        <v>0.82766666666666655</v>
      </c>
    </row>
    <row r="14683" spans="2:37">
      <c r="B14683" s="834" t="str">
        <f t="shared" si="539"/>
        <v>|||</v>
      </c>
      <c r="H14683" s="835">
        <f t="shared" si="540"/>
        <v>31</v>
      </c>
      <c r="AF14683" s="831" t="s">
        <v>11958</v>
      </c>
      <c r="AG14683" s="831" t="s">
        <v>2674</v>
      </c>
      <c r="AH14683" s="831" t="s">
        <v>568</v>
      </c>
      <c r="AI14683" s="831">
        <v>0</v>
      </c>
      <c r="AJ14683" s="835">
        <v>42094</v>
      </c>
      <c r="AK14683" s="831">
        <v>785705621.53846157</v>
      </c>
    </row>
    <row r="14684" spans="2:37">
      <c r="B14684" s="834" t="str">
        <f t="shared" si="539"/>
        <v>|||</v>
      </c>
      <c r="H14684" s="835">
        <f t="shared" si="540"/>
        <v>31</v>
      </c>
      <c r="AF14684" s="831" t="s">
        <v>11959</v>
      </c>
      <c r="AG14684" s="831" t="s">
        <v>2674</v>
      </c>
      <c r="AH14684" s="831" t="s">
        <v>569</v>
      </c>
      <c r="AI14684" s="831">
        <v>0</v>
      </c>
      <c r="AJ14684" s="835">
        <v>42094</v>
      </c>
      <c r="AK14684" s="831">
        <v>984393199.30769229</v>
      </c>
    </row>
    <row r="14685" spans="2:37">
      <c r="B14685" s="834" t="str">
        <f t="shared" si="539"/>
        <v>|||</v>
      </c>
      <c r="H14685" s="835">
        <f t="shared" si="540"/>
        <v>31</v>
      </c>
      <c r="AF14685" s="831" t="s">
        <v>11960</v>
      </c>
      <c r="AG14685" s="831" t="s">
        <v>2674</v>
      </c>
      <c r="AH14685" s="831" t="s">
        <v>570</v>
      </c>
      <c r="AI14685" s="831">
        <v>0</v>
      </c>
      <c r="AJ14685" s="835">
        <v>42094</v>
      </c>
      <c r="AK14685" s="831">
        <v>140931158.46384615</v>
      </c>
    </row>
    <row r="14686" spans="2:37">
      <c r="B14686" s="834" t="str">
        <f t="shared" si="539"/>
        <v>|||</v>
      </c>
      <c r="H14686" s="835">
        <f t="shared" si="540"/>
        <v>31</v>
      </c>
      <c r="AF14686" s="831" t="s">
        <v>11961</v>
      </c>
      <c r="AG14686" s="831" t="s">
        <v>2674</v>
      </c>
      <c r="AH14686" s="831" t="s">
        <v>571</v>
      </c>
      <c r="AI14686" s="831">
        <v>0</v>
      </c>
      <c r="AJ14686" s="835">
        <v>42094</v>
      </c>
      <c r="AK14686" s="831">
        <v>502500066.26284611</v>
      </c>
    </row>
    <row r="14687" spans="2:37">
      <c r="B14687" s="834" t="str">
        <f t="shared" si="539"/>
        <v>|||</v>
      </c>
      <c r="H14687" s="835">
        <f t="shared" si="540"/>
        <v>31</v>
      </c>
      <c r="AF14687" s="831" t="s">
        <v>11962</v>
      </c>
      <c r="AG14687" s="831" t="s">
        <v>2674</v>
      </c>
      <c r="AH14687" s="831" t="s">
        <v>573</v>
      </c>
      <c r="AI14687" s="831">
        <v>0</v>
      </c>
      <c r="AJ14687" s="835">
        <v>42094</v>
      </c>
      <c r="AK14687" s="831">
        <v>1125471362.25</v>
      </c>
    </row>
    <row r="14688" spans="2:37">
      <c r="B14688" s="834" t="str">
        <f t="shared" si="539"/>
        <v>|||</v>
      </c>
      <c r="H14688" s="835">
        <f t="shared" si="540"/>
        <v>31</v>
      </c>
      <c r="AF14688" s="831" t="s">
        <v>11963</v>
      </c>
      <c r="AG14688" s="831" t="s">
        <v>2674</v>
      </c>
      <c r="AH14688" s="831" t="s">
        <v>574</v>
      </c>
      <c r="AI14688" s="831">
        <v>0</v>
      </c>
      <c r="AJ14688" s="835">
        <v>42094</v>
      </c>
      <c r="AK14688" s="831">
        <v>887447709.5</v>
      </c>
    </row>
    <row r="14689" spans="2:37">
      <c r="B14689" s="834" t="str">
        <f t="shared" si="539"/>
        <v>|||</v>
      </c>
      <c r="H14689" s="835">
        <f t="shared" si="540"/>
        <v>31</v>
      </c>
      <c r="AF14689" s="831" t="s">
        <v>11964</v>
      </c>
      <c r="AG14689" s="831" t="s">
        <v>2674</v>
      </c>
      <c r="AH14689" s="831" t="s">
        <v>575</v>
      </c>
      <c r="AI14689" s="831">
        <v>0</v>
      </c>
      <c r="AJ14689" s="835">
        <v>42094</v>
      </c>
      <c r="AK14689" s="831">
        <v>146394222</v>
      </c>
    </row>
    <row r="14690" spans="2:37">
      <c r="B14690" s="834" t="str">
        <f t="shared" si="539"/>
        <v>|||</v>
      </c>
      <c r="H14690" s="835">
        <f t="shared" si="540"/>
        <v>31</v>
      </c>
      <c r="AF14690" s="831" t="s">
        <v>11965</v>
      </c>
      <c r="AG14690" s="831" t="s">
        <v>2674</v>
      </c>
      <c r="AH14690" s="831" t="s">
        <v>576</v>
      </c>
      <c r="AI14690" s="831">
        <v>0</v>
      </c>
      <c r="AJ14690" s="835">
        <v>42094</v>
      </c>
      <c r="AK14690" s="831">
        <v>606715260</v>
      </c>
    </row>
    <row r="14691" spans="2:37">
      <c r="B14691" s="834" t="str">
        <f t="shared" si="539"/>
        <v>|||</v>
      </c>
      <c r="H14691" s="835">
        <f t="shared" si="540"/>
        <v>31</v>
      </c>
      <c r="AF14691" s="831" t="s">
        <v>11966</v>
      </c>
      <c r="AG14691" s="831" t="s">
        <v>2674</v>
      </c>
      <c r="AH14691" s="831" t="s">
        <v>572</v>
      </c>
      <c r="AI14691" s="831">
        <v>0</v>
      </c>
      <c r="AJ14691" s="835">
        <v>42094</v>
      </c>
      <c r="AK14691" s="831">
        <v>36560084</v>
      </c>
    </row>
    <row r="14692" spans="2:37">
      <c r="B14692" s="834" t="str">
        <f t="shared" si="539"/>
        <v>|||</v>
      </c>
      <c r="H14692" s="835">
        <f t="shared" si="540"/>
        <v>31</v>
      </c>
      <c r="AF14692" s="831" t="s">
        <v>11967</v>
      </c>
      <c r="AG14692" s="831" t="s">
        <v>2674</v>
      </c>
      <c r="AH14692" s="831" t="s">
        <v>577</v>
      </c>
      <c r="AI14692" s="831">
        <v>0</v>
      </c>
      <c r="AJ14692" s="835">
        <v>42094</v>
      </c>
      <c r="AK14692" s="831">
        <v>179877214</v>
      </c>
    </row>
    <row r="14693" spans="2:37">
      <c r="B14693" s="834" t="str">
        <f t="shared" si="539"/>
        <v>|||</v>
      </c>
      <c r="H14693" s="835">
        <f t="shared" si="540"/>
        <v>31</v>
      </c>
      <c r="AF14693" s="831" t="s">
        <v>11968</v>
      </c>
      <c r="AG14693" s="831" t="s">
        <v>2674</v>
      </c>
      <c r="AH14693" s="831" t="s">
        <v>3042</v>
      </c>
      <c r="AI14693" s="831">
        <v>0</v>
      </c>
      <c r="AJ14693" s="835">
        <v>42094</v>
      </c>
      <c r="AK14693" s="831">
        <v>-55010221</v>
      </c>
    </row>
    <row r="14694" spans="2:37">
      <c r="B14694" s="834" t="str">
        <f t="shared" si="539"/>
        <v>|||</v>
      </c>
      <c r="H14694" s="835">
        <f t="shared" si="540"/>
        <v>31</v>
      </c>
      <c r="AF14694" s="831" t="s">
        <v>11969</v>
      </c>
      <c r="AG14694" s="831" t="s">
        <v>2674</v>
      </c>
      <c r="AH14694" s="831" t="s">
        <v>3044</v>
      </c>
      <c r="AI14694" s="831">
        <v>0</v>
      </c>
      <c r="AJ14694" s="835">
        <v>42094</v>
      </c>
      <c r="AK14694" s="831">
        <v>-2080886</v>
      </c>
    </row>
    <row r="14695" spans="2:37">
      <c r="B14695" s="834" t="str">
        <f t="shared" si="539"/>
        <v>|||</v>
      </c>
      <c r="H14695" s="835">
        <f t="shared" si="540"/>
        <v>31</v>
      </c>
      <c r="AF14695" s="831" t="s">
        <v>11970</v>
      </c>
      <c r="AG14695" s="831" t="s">
        <v>2674</v>
      </c>
      <c r="AH14695" s="831" t="s">
        <v>580</v>
      </c>
      <c r="AI14695" s="831">
        <v>0</v>
      </c>
      <c r="AJ14695" s="835">
        <v>42094</v>
      </c>
      <c r="AK14695" s="831">
        <v>-82773578</v>
      </c>
    </row>
    <row r="14696" spans="2:37">
      <c r="B14696" s="834" t="str">
        <f t="shared" si="539"/>
        <v>|||</v>
      </c>
      <c r="H14696" s="835">
        <f t="shared" si="540"/>
        <v>31</v>
      </c>
      <c r="AF14696" s="831" t="s">
        <v>11971</v>
      </c>
      <c r="AG14696" s="831" t="s">
        <v>2674</v>
      </c>
      <c r="AH14696" s="831" t="s">
        <v>581</v>
      </c>
      <c r="AI14696" s="831">
        <v>0</v>
      </c>
      <c r="AJ14696" s="835">
        <v>42094</v>
      </c>
      <c r="AK14696" s="831">
        <v>10684351</v>
      </c>
    </row>
    <row r="14697" spans="2:37">
      <c r="B14697" s="834" t="str">
        <f t="shared" si="539"/>
        <v>|||</v>
      </c>
      <c r="H14697" s="835">
        <f t="shared" si="540"/>
        <v>31</v>
      </c>
      <c r="AF14697" s="831" t="s">
        <v>11972</v>
      </c>
      <c r="AG14697" s="831" t="s">
        <v>2674</v>
      </c>
      <c r="AH14697" s="831" t="s">
        <v>105</v>
      </c>
      <c r="AI14697" s="831">
        <v>0</v>
      </c>
      <c r="AJ14697" s="835">
        <v>42094</v>
      </c>
      <c r="AK14697" s="831">
        <v>641529836</v>
      </c>
    </row>
    <row r="14698" spans="2:37">
      <c r="B14698" s="834" t="str">
        <f t="shared" si="539"/>
        <v>|||</v>
      </c>
      <c r="H14698" s="835">
        <f t="shared" si="540"/>
        <v>31</v>
      </c>
      <c r="AF14698" s="831" t="s">
        <v>11973</v>
      </c>
      <c r="AG14698" s="831" t="s">
        <v>2674</v>
      </c>
      <c r="AH14698" s="831" t="s">
        <v>3049</v>
      </c>
      <c r="AI14698" s="831">
        <v>0</v>
      </c>
      <c r="AJ14698" s="835">
        <v>42094</v>
      </c>
      <c r="AK14698" s="831">
        <v>986480670</v>
      </c>
    </row>
    <row r="14699" spans="2:37">
      <c r="B14699" s="834" t="str">
        <f t="shared" si="539"/>
        <v>|||</v>
      </c>
      <c r="H14699" s="835">
        <f t="shared" si="540"/>
        <v>31</v>
      </c>
      <c r="AF14699" s="831" t="s">
        <v>11974</v>
      </c>
      <c r="AG14699" s="831" t="s">
        <v>2674</v>
      </c>
      <c r="AH14699" s="831" t="s">
        <v>103</v>
      </c>
      <c r="AI14699" s="831">
        <v>0</v>
      </c>
      <c r="AJ14699" s="835">
        <v>42094</v>
      </c>
      <c r="AK14699" s="831">
        <v>344950834</v>
      </c>
    </row>
    <row r="14700" spans="2:37">
      <c r="B14700" s="834" t="str">
        <f t="shared" si="539"/>
        <v>|||</v>
      </c>
      <c r="H14700" s="835">
        <f t="shared" si="540"/>
        <v>31</v>
      </c>
      <c r="AF14700" s="831" t="s">
        <v>11975</v>
      </c>
      <c r="AG14700" s="831" t="s">
        <v>2674</v>
      </c>
      <c r="AH14700" s="831" t="s">
        <v>182</v>
      </c>
      <c r="AI14700" s="831">
        <v>0</v>
      </c>
      <c r="AJ14700" s="835">
        <v>42094</v>
      </c>
      <c r="AK14700" s="831">
        <v>85077948</v>
      </c>
    </row>
    <row r="14701" spans="2:37">
      <c r="B14701" s="834" t="str">
        <f t="shared" si="539"/>
        <v>|||</v>
      </c>
      <c r="H14701" s="835">
        <f t="shared" si="540"/>
        <v>31</v>
      </c>
      <c r="AF14701" s="831" t="s">
        <v>11976</v>
      </c>
      <c r="AG14701" s="831" t="s">
        <v>2674</v>
      </c>
      <c r="AH14701" s="831" t="s">
        <v>6600</v>
      </c>
      <c r="AI14701" s="831">
        <v>0</v>
      </c>
      <c r="AJ14701" s="835">
        <v>42094</v>
      </c>
      <c r="AK14701" s="831">
        <v>36560084</v>
      </c>
    </row>
    <row r="14702" spans="2:37">
      <c r="B14702" s="834" t="str">
        <f t="shared" si="539"/>
        <v>|||</v>
      </c>
      <c r="H14702" s="835">
        <f t="shared" si="540"/>
        <v>31</v>
      </c>
      <c r="AF14702" s="831" t="s">
        <v>11977</v>
      </c>
      <c r="AG14702" s="831" t="s">
        <v>2674</v>
      </c>
      <c r="AH14702" s="831" t="s">
        <v>6602</v>
      </c>
      <c r="AI14702" s="831">
        <v>0</v>
      </c>
      <c r="AJ14702" s="835">
        <v>42094</v>
      </c>
      <c r="AK14702" s="831">
        <v>2398849</v>
      </c>
    </row>
    <row r="14703" spans="2:37">
      <c r="B14703" s="834" t="str">
        <f t="shared" si="539"/>
        <v>|||</v>
      </c>
      <c r="H14703" s="835">
        <f t="shared" si="540"/>
        <v>31</v>
      </c>
      <c r="AF14703" s="831" t="s">
        <v>11978</v>
      </c>
      <c r="AG14703" s="831" t="s">
        <v>2674</v>
      </c>
      <c r="AH14703" s="831" t="s">
        <v>650</v>
      </c>
      <c r="AI14703" s="831">
        <v>0</v>
      </c>
      <c r="AJ14703" s="835">
        <v>42094</v>
      </c>
      <c r="AK14703" s="831">
        <v>315233998.53846157</v>
      </c>
    </row>
    <row r="14704" spans="2:37">
      <c r="B14704" s="834" t="str">
        <f t="shared" si="539"/>
        <v>|||</v>
      </c>
      <c r="H14704" s="835">
        <f t="shared" si="540"/>
        <v>31</v>
      </c>
      <c r="AF14704" s="831" t="s">
        <v>11979</v>
      </c>
      <c r="AG14704" s="831" t="s">
        <v>2674</v>
      </c>
      <c r="AH14704" s="831" t="s">
        <v>655</v>
      </c>
      <c r="AI14704" s="831">
        <v>0</v>
      </c>
      <c r="AJ14704" s="835">
        <v>42094</v>
      </c>
      <c r="AK14704" s="831">
        <v>7308574</v>
      </c>
    </row>
    <row r="14705" spans="2:37">
      <c r="B14705" s="834" t="str">
        <f t="shared" si="539"/>
        <v>|||</v>
      </c>
      <c r="H14705" s="835">
        <f t="shared" si="540"/>
        <v>31</v>
      </c>
      <c r="AF14705" s="831" t="s">
        <v>11980</v>
      </c>
      <c r="AG14705" s="831" t="s">
        <v>2674</v>
      </c>
      <c r="AH14705" s="831" t="s">
        <v>546</v>
      </c>
      <c r="AI14705" s="831">
        <v>0</v>
      </c>
      <c r="AJ14705" s="835">
        <v>42124</v>
      </c>
      <c r="AK14705" s="831">
        <v>887135523</v>
      </c>
    </row>
    <row r="14706" spans="2:37">
      <c r="B14706" s="834" t="str">
        <f t="shared" si="539"/>
        <v>|||</v>
      </c>
      <c r="H14706" s="835">
        <f t="shared" si="540"/>
        <v>31</v>
      </c>
      <c r="AF14706" s="831" t="s">
        <v>11981</v>
      </c>
      <c r="AG14706" s="831" t="s">
        <v>2674</v>
      </c>
      <c r="AH14706" s="831" t="s">
        <v>370</v>
      </c>
      <c r="AI14706" s="831">
        <v>0</v>
      </c>
      <c r="AJ14706" s="835">
        <v>42124</v>
      </c>
      <c r="AK14706" s="831">
        <v>1155982366</v>
      </c>
    </row>
    <row r="14707" spans="2:37">
      <c r="B14707" s="834" t="str">
        <f t="shared" si="539"/>
        <v>|||</v>
      </c>
      <c r="H14707" s="835">
        <f t="shared" si="540"/>
        <v>31</v>
      </c>
      <c r="AF14707" s="831" t="s">
        <v>11982</v>
      </c>
      <c r="AG14707" s="831" t="s">
        <v>2674</v>
      </c>
      <c r="AH14707" s="831" t="s">
        <v>126</v>
      </c>
      <c r="AI14707" s="831">
        <v>0</v>
      </c>
      <c r="AJ14707" s="835">
        <v>42124</v>
      </c>
      <c r="AK14707" s="831">
        <v>148898855</v>
      </c>
    </row>
    <row r="14708" spans="2:37">
      <c r="B14708" s="834" t="str">
        <f t="shared" si="539"/>
        <v>|||</v>
      </c>
      <c r="H14708" s="835">
        <f t="shared" si="540"/>
        <v>31</v>
      </c>
      <c r="AF14708" s="831" t="s">
        <v>11983</v>
      </c>
      <c r="AG14708" s="831" t="s">
        <v>2674</v>
      </c>
      <c r="AH14708" s="831" t="s">
        <v>268</v>
      </c>
      <c r="AI14708" s="831">
        <v>0</v>
      </c>
      <c r="AJ14708" s="835">
        <v>42124</v>
      </c>
      <c r="AK14708" s="831">
        <v>3490177</v>
      </c>
    </row>
    <row r="14709" spans="2:37">
      <c r="B14709" s="834" t="str">
        <f t="shared" si="539"/>
        <v>|||</v>
      </c>
      <c r="H14709" s="835">
        <f t="shared" si="540"/>
        <v>31</v>
      </c>
      <c r="AF14709" s="831" t="s">
        <v>11984</v>
      </c>
      <c r="AG14709" s="831" t="s">
        <v>2674</v>
      </c>
      <c r="AH14709" s="831" t="s">
        <v>547</v>
      </c>
      <c r="AI14709" s="831">
        <v>0</v>
      </c>
      <c r="AJ14709" s="835">
        <v>42124</v>
      </c>
      <c r="AK14709" s="831">
        <v>1044609243</v>
      </c>
    </row>
    <row r="14710" spans="2:37">
      <c r="B14710" s="834" t="str">
        <f t="shared" si="539"/>
        <v>|||</v>
      </c>
      <c r="H14710" s="835">
        <f t="shared" si="540"/>
        <v>31</v>
      </c>
      <c r="AF14710" s="831" t="s">
        <v>11985</v>
      </c>
      <c r="AG14710" s="831" t="s">
        <v>2674</v>
      </c>
      <c r="AH14710" s="831" t="s">
        <v>548</v>
      </c>
      <c r="AI14710" s="831">
        <v>0</v>
      </c>
      <c r="AJ14710" s="835">
        <v>42124</v>
      </c>
      <c r="AK14710" s="831">
        <v>148860224</v>
      </c>
    </row>
    <row r="14711" spans="2:37">
      <c r="B14711" s="834" t="str">
        <f t="shared" si="539"/>
        <v>|||</v>
      </c>
      <c r="H14711" s="835">
        <f t="shared" si="540"/>
        <v>31</v>
      </c>
      <c r="AF14711" s="831" t="s">
        <v>11986</v>
      </c>
      <c r="AG14711" s="831" t="s">
        <v>2674</v>
      </c>
      <c r="AH14711" s="831" t="s">
        <v>549</v>
      </c>
      <c r="AI14711" s="831">
        <v>0</v>
      </c>
      <c r="AJ14711" s="835">
        <v>42124</v>
      </c>
      <c r="AK14711" s="831">
        <v>695634421</v>
      </c>
    </row>
    <row r="14712" spans="2:37">
      <c r="B14712" s="834" t="str">
        <f t="shared" si="539"/>
        <v>|||</v>
      </c>
      <c r="H14712" s="835">
        <f t="shared" si="540"/>
        <v>31</v>
      </c>
      <c r="AF14712" s="831" t="s">
        <v>11987</v>
      </c>
      <c r="AG14712" s="831" t="s">
        <v>2674</v>
      </c>
      <c r="AH14712" s="831" t="s">
        <v>192</v>
      </c>
      <c r="AI14712" s="831">
        <v>0</v>
      </c>
      <c r="AJ14712" s="835">
        <v>42124</v>
      </c>
      <c r="AK14712" s="831">
        <v>-17978430</v>
      </c>
    </row>
    <row r="14713" spans="2:37">
      <c r="B14713" s="834" t="str">
        <f t="shared" si="539"/>
        <v>|||</v>
      </c>
      <c r="H14713" s="835">
        <f t="shared" si="540"/>
        <v>31</v>
      </c>
      <c r="AF14713" s="831" t="s">
        <v>11988</v>
      </c>
      <c r="AG14713" s="831" t="s">
        <v>2674</v>
      </c>
      <c r="AH14713" s="831" t="s">
        <v>558</v>
      </c>
      <c r="AI14713" s="831">
        <v>0</v>
      </c>
      <c r="AJ14713" s="835">
        <v>42124</v>
      </c>
      <c r="AK14713" s="831">
        <v>1007083670</v>
      </c>
    </row>
    <row r="14714" spans="2:37">
      <c r="B14714" s="834" t="str">
        <f t="shared" si="539"/>
        <v>|||</v>
      </c>
      <c r="H14714" s="835">
        <f t="shared" si="540"/>
        <v>31</v>
      </c>
      <c r="AF14714" s="831" t="s">
        <v>11989</v>
      </c>
      <c r="AG14714" s="831" t="s">
        <v>2674</v>
      </c>
      <c r="AH14714" s="831" t="s">
        <v>65</v>
      </c>
      <c r="AI14714" s="831">
        <v>0</v>
      </c>
      <c r="AJ14714" s="835">
        <v>42124</v>
      </c>
      <c r="AK14714" s="831">
        <v>64640929</v>
      </c>
    </row>
    <row r="14715" spans="2:37">
      <c r="B14715" s="834" t="str">
        <f t="shared" si="539"/>
        <v>|||</v>
      </c>
      <c r="H14715" s="835">
        <f t="shared" si="540"/>
        <v>31</v>
      </c>
      <c r="AF14715" s="831" t="s">
        <v>11990</v>
      </c>
      <c r="AG14715" s="831" t="s">
        <v>2674</v>
      </c>
      <c r="AH14715" s="831" t="s">
        <v>89</v>
      </c>
      <c r="AI14715" s="831">
        <v>0</v>
      </c>
      <c r="AJ14715" s="835">
        <v>42124</v>
      </c>
      <c r="AK14715" s="831">
        <v>147391</v>
      </c>
    </row>
    <row r="14716" spans="2:37">
      <c r="B14716" s="834" t="str">
        <f t="shared" si="539"/>
        <v>|||</v>
      </c>
      <c r="H14716" s="835">
        <f t="shared" si="540"/>
        <v>31</v>
      </c>
      <c r="AF14716" s="831" t="s">
        <v>11991</v>
      </c>
      <c r="AG14716" s="831" t="s">
        <v>2674</v>
      </c>
      <c r="AH14716" s="831" t="s">
        <v>557</v>
      </c>
      <c r="AI14716" s="831">
        <v>0</v>
      </c>
      <c r="AJ14716" s="835">
        <v>42124</v>
      </c>
      <c r="AK14716" s="831">
        <v>168436</v>
      </c>
    </row>
    <row r="14717" spans="2:37">
      <c r="B14717" s="834" t="str">
        <f t="shared" si="539"/>
        <v>|||</v>
      </c>
      <c r="H14717" s="835">
        <f t="shared" si="540"/>
        <v>31</v>
      </c>
      <c r="AF14717" s="831" t="s">
        <v>11992</v>
      </c>
      <c r="AG14717" s="831" t="s">
        <v>2674</v>
      </c>
      <c r="AH14717" s="831" t="s">
        <v>29</v>
      </c>
      <c r="AI14717" s="831">
        <v>0</v>
      </c>
      <c r="AJ14717" s="835">
        <v>42124</v>
      </c>
      <c r="AK14717" s="831">
        <v>18420222</v>
      </c>
    </row>
    <row r="14718" spans="2:37">
      <c r="B14718" s="834" t="str">
        <f t="shared" si="539"/>
        <v>|||</v>
      </c>
      <c r="H14718" s="835">
        <f t="shared" si="540"/>
        <v>31</v>
      </c>
      <c r="AF14718" s="831" t="s">
        <v>11993</v>
      </c>
      <c r="AG14718" s="831" t="s">
        <v>2674</v>
      </c>
      <c r="AH14718" s="831" t="s">
        <v>2688</v>
      </c>
      <c r="AI14718" s="831">
        <v>0</v>
      </c>
      <c r="AJ14718" s="835">
        <v>42124</v>
      </c>
      <c r="AK14718" s="831">
        <v>149665387</v>
      </c>
    </row>
    <row r="14719" spans="2:37">
      <c r="B14719" s="834" t="str">
        <f t="shared" si="539"/>
        <v>|||</v>
      </c>
      <c r="H14719" s="835">
        <f t="shared" si="540"/>
        <v>31</v>
      </c>
      <c r="AF14719" s="831" t="s">
        <v>11994</v>
      </c>
      <c r="AG14719" s="831" t="s">
        <v>2674</v>
      </c>
      <c r="AH14719" s="831" t="s">
        <v>556</v>
      </c>
      <c r="AI14719" s="831">
        <v>0</v>
      </c>
      <c r="AJ14719" s="835">
        <v>42124</v>
      </c>
      <c r="AK14719" s="831">
        <v>11412135</v>
      </c>
    </row>
    <row r="14720" spans="2:37">
      <c r="B14720" s="834" t="str">
        <f t="shared" si="539"/>
        <v>|||</v>
      </c>
      <c r="H14720" s="835">
        <f t="shared" si="540"/>
        <v>31</v>
      </c>
      <c r="AF14720" s="831" t="s">
        <v>11995</v>
      </c>
      <c r="AG14720" s="831" t="s">
        <v>2674</v>
      </c>
      <c r="AH14720" s="831" t="s">
        <v>555</v>
      </c>
      <c r="AI14720" s="831">
        <v>0</v>
      </c>
      <c r="AJ14720" s="835">
        <v>42124</v>
      </c>
      <c r="AK14720" s="831">
        <v>781614407</v>
      </c>
    </row>
    <row r="14721" spans="2:37">
      <c r="B14721" s="834" t="str">
        <f t="shared" si="539"/>
        <v>|||</v>
      </c>
      <c r="H14721" s="835">
        <f t="shared" si="540"/>
        <v>31</v>
      </c>
      <c r="AF14721" s="831" t="s">
        <v>11996</v>
      </c>
      <c r="AG14721" s="831" t="s">
        <v>2674</v>
      </c>
      <c r="AH14721" s="831" t="s">
        <v>554</v>
      </c>
      <c r="AI14721" s="831">
        <v>0</v>
      </c>
      <c r="AJ14721" s="835">
        <v>42124</v>
      </c>
      <c r="AK14721" s="831">
        <v>811049609</v>
      </c>
    </row>
    <row r="14722" spans="2:37">
      <c r="B14722" s="834" t="str">
        <f t="shared" si="539"/>
        <v>|||</v>
      </c>
      <c r="H14722" s="835">
        <f t="shared" si="540"/>
        <v>31</v>
      </c>
      <c r="AF14722" s="831" t="s">
        <v>11997</v>
      </c>
      <c r="AG14722" s="831" t="s">
        <v>2674</v>
      </c>
      <c r="AH14722" s="831" t="s">
        <v>553</v>
      </c>
      <c r="AI14722" s="831">
        <v>0</v>
      </c>
      <c r="AJ14722" s="835">
        <v>42124</v>
      </c>
      <c r="AK14722" s="831">
        <v>47191500</v>
      </c>
    </row>
    <row r="14723" spans="2:37">
      <c r="B14723" s="834" t="str">
        <f t="shared" si="539"/>
        <v>|||</v>
      </c>
      <c r="H14723" s="835">
        <f t="shared" si="540"/>
        <v>31</v>
      </c>
      <c r="AF14723" s="831" t="s">
        <v>11998</v>
      </c>
      <c r="AG14723" s="831" t="s">
        <v>2674</v>
      </c>
      <c r="AH14723" s="831" t="s">
        <v>552</v>
      </c>
      <c r="AI14723" s="831">
        <v>0</v>
      </c>
      <c r="AJ14723" s="835">
        <v>42124</v>
      </c>
      <c r="AK14723" s="831">
        <v>0</v>
      </c>
    </row>
    <row r="14724" spans="2:37">
      <c r="B14724" s="834" t="str">
        <f t="shared" si="539"/>
        <v>|||</v>
      </c>
      <c r="H14724" s="835">
        <f t="shared" si="540"/>
        <v>31</v>
      </c>
      <c r="AF14724" s="831" t="s">
        <v>11999</v>
      </c>
      <c r="AG14724" s="831" t="s">
        <v>2674</v>
      </c>
      <c r="AH14724" s="831" t="s">
        <v>551</v>
      </c>
      <c r="AI14724" s="831">
        <v>0</v>
      </c>
      <c r="AJ14724" s="835">
        <v>42124</v>
      </c>
      <c r="AK14724" s="831">
        <v>10773380</v>
      </c>
    </row>
    <row r="14725" spans="2:37">
      <c r="B14725" s="834" t="str">
        <f t="shared" si="539"/>
        <v>|||</v>
      </c>
      <c r="H14725" s="835">
        <f t="shared" si="540"/>
        <v>31</v>
      </c>
      <c r="AF14725" s="831" t="s">
        <v>12000</v>
      </c>
      <c r="AG14725" s="831" t="s">
        <v>2674</v>
      </c>
      <c r="AH14725" s="831" t="s">
        <v>550</v>
      </c>
      <c r="AI14725" s="831">
        <v>0</v>
      </c>
      <c r="AJ14725" s="835">
        <v>42124</v>
      </c>
      <c r="AK14725" s="831">
        <v>147807134</v>
      </c>
    </row>
    <row r="14726" spans="2:37">
      <c r="B14726" s="834" t="str">
        <f t="shared" si="539"/>
        <v>|||</v>
      </c>
      <c r="H14726" s="835">
        <f t="shared" si="540"/>
        <v>31</v>
      </c>
      <c r="AF14726" s="831" t="s">
        <v>12001</v>
      </c>
      <c r="AG14726" s="831" t="s">
        <v>2674</v>
      </c>
      <c r="AH14726" s="831" t="s">
        <v>562</v>
      </c>
      <c r="AI14726" s="831">
        <v>0</v>
      </c>
      <c r="AJ14726" s="835">
        <v>42124</v>
      </c>
      <c r="AK14726" s="831">
        <v>1.0471999999999999</v>
      </c>
    </row>
    <row r="14727" spans="2:37">
      <c r="B14727" s="834" t="str">
        <f t="shared" si="539"/>
        <v>|||</v>
      </c>
      <c r="H14727" s="835">
        <f t="shared" si="540"/>
        <v>31</v>
      </c>
      <c r="AF14727" s="831" t="s">
        <v>12002</v>
      </c>
      <c r="AG14727" s="831" t="s">
        <v>2674</v>
      </c>
      <c r="AH14727" s="831" t="s">
        <v>2698</v>
      </c>
      <c r="AI14727" s="831">
        <v>0</v>
      </c>
      <c r="AJ14727" s="835">
        <v>42124</v>
      </c>
      <c r="AK14727" s="831">
        <v>1.0495000000000001</v>
      </c>
    </row>
    <row r="14728" spans="2:37">
      <c r="B14728" s="834" t="str">
        <f t="shared" si="539"/>
        <v>|||</v>
      </c>
      <c r="H14728" s="835">
        <f t="shared" si="540"/>
        <v>31</v>
      </c>
      <c r="AF14728" s="831" t="s">
        <v>12003</v>
      </c>
      <c r="AG14728" s="831" t="s">
        <v>2674</v>
      </c>
      <c r="AH14728" s="831" t="s">
        <v>560</v>
      </c>
      <c r="AI14728" s="831">
        <v>0</v>
      </c>
      <c r="AJ14728" s="835">
        <v>42124</v>
      </c>
      <c r="AK14728" s="831">
        <v>0.98171249999999999</v>
      </c>
    </row>
    <row r="14729" spans="2:37">
      <c r="B14729" s="834" t="str">
        <f t="shared" si="539"/>
        <v>|||</v>
      </c>
      <c r="H14729" s="835">
        <f t="shared" si="540"/>
        <v>31</v>
      </c>
      <c r="AF14729" s="831" t="s">
        <v>12004</v>
      </c>
      <c r="AG14729" s="831" t="s">
        <v>2674</v>
      </c>
      <c r="AH14729" s="831" t="s">
        <v>559</v>
      </c>
      <c r="AI14729" s="831">
        <v>0</v>
      </c>
      <c r="AJ14729" s="835">
        <v>42124</v>
      </c>
      <c r="AK14729" s="831">
        <v>0.84962083333333327</v>
      </c>
    </row>
    <row r="14730" spans="2:37">
      <c r="B14730" s="834" t="str">
        <f t="shared" si="539"/>
        <v>|||</v>
      </c>
      <c r="H14730" s="835">
        <f t="shared" si="540"/>
        <v>31</v>
      </c>
      <c r="AF14730" s="831" t="s">
        <v>12005</v>
      </c>
      <c r="AG14730" s="831" t="s">
        <v>2674</v>
      </c>
      <c r="AH14730" s="831" t="s">
        <v>568</v>
      </c>
      <c r="AI14730" s="831">
        <v>0</v>
      </c>
      <c r="AJ14730" s="835">
        <v>42124</v>
      </c>
      <c r="AK14730" s="831">
        <v>802858062.76923072</v>
      </c>
    </row>
    <row r="14731" spans="2:37">
      <c r="B14731" s="834" t="str">
        <f t="shared" si="539"/>
        <v>|||</v>
      </c>
      <c r="H14731" s="835">
        <f t="shared" si="540"/>
        <v>31</v>
      </c>
      <c r="AF14731" s="831" t="s">
        <v>12006</v>
      </c>
      <c r="AG14731" s="831" t="s">
        <v>2674</v>
      </c>
      <c r="AH14731" s="831" t="s">
        <v>569</v>
      </c>
      <c r="AI14731" s="831">
        <v>0</v>
      </c>
      <c r="AJ14731" s="835">
        <v>42124</v>
      </c>
      <c r="AK14731" s="831">
        <v>1009137751.8461539</v>
      </c>
    </row>
    <row r="14732" spans="2:37">
      <c r="B14732" s="834" t="str">
        <f t="shared" si="539"/>
        <v>|||</v>
      </c>
      <c r="H14732" s="835">
        <f t="shared" si="540"/>
        <v>31</v>
      </c>
      <c r="AF14732" s="831" t="s">
        <v>12007</v>
      </c>
      <c r="AG14732" s="831" t="s">
        <v>2674</v>
      </c>
      <c r="AH14732" s="831" t="s">
        <v>570</v>
      </c>
      <c r="AI14732" s="831">
        <v>0</v>
      </c>
      <c r="AJ14732" s="835">
        <v>42124</v>
      </c>
      <c r="AK14732" s="831">
        <v>142830548.07923076</v>
      </c>
    </row>
    <row r="14733" spans="2:37">
      <c r="B14733" s="834" t="str">
        <f t="shared" si="539"/>
        <v>|||</v>
      </c>
      <c r="H14733" s="835">
        <f t="shared" si="540"/>
        <v>31</v>
      </c>
      <c r="AF14733" s="831" t="s">
        <v>12008</v>
      </c>
      <c r="AG14733" s="831" t="s">
        <v>2674</v>
      </c>
      <c r="AH14733" s="831" t="s">
        <v>571</v>
      </c>
      <c r="AI14733" s="831">
        <v>0</v>
      </c>
      <c r="AJ14733" s="835">
        <v>42124</v>
      </c>
      <c r="AK14733" s="831">
        <v>521003105.80130768</v>
      </c>
    </row>
    <row r="14734" spans="2:37">
      <c r="B14734" s="834" t="str">
        <f t="shared" si="539"/>
        <v>|||</v>
      </c>
      <c r="H14734" s="835">
        <f t="shared" si="540"/>
        <v>31</v>
      </c>
      <c r="AF14734" s="831" t="s">
        <v>12009</v>
      </c>
      <c r="AG14734" s="831" t="s">
        <v>2674</v>
      </c>
      <c r="AH14734" s="831" t="s">
        <v>573</v>
      </c>
      <c r="AI14734" s="831">
        <v>0</v>
      </c>
      <c r="AJ14734" s="835">
        <v>42124</v>
      </c>
      <c r="AK14734" s="831">
        <v>1131573563</v>
      </c>
    </row>
    <row r="14735" spans="2:37">
      <c r="B14735" s="834" t="str">
        <f t="shared" si="539"/>
        <v>|||</v>
      </c>
      <c r="H14735" s="835">
        <f t="shared" si="540"/>
        <v>31</v>
      </c>
      <c r="AF14735" s="831" t="s">
        <v>12010</v>
      </c>
      <c r="AG14735" s="831" t="s">
        <v>2674</v>
      </c>
      <c r="AH14735" s="831" t="s">
        <v>574</v>
      </c>
      <c r="AI14735" s="831">
        <v>0</v>
      </c>
      <c r="AJ14735" s="835">
        <v>42124</v>
      </c>
      <c r="AK14735" s="831">
        <v>887385272.20000005</v>
      </c>
    </row>
    <row r="14736" spans="2:37">
      <c r="B14736" s="834" t="str">
        <f t="shared" si="539"/>
        <v>|||</v>
      </c>
      <c r="H14736" s="835">
        <f t="shared" si="540"/>
        <v>31</v>
      </c>
      <c r="AF14736" s="831" t="s">
        <v>12011</v>
      </c>
      <c r="AG14736" s="831" t="s">
        <v>2674</v>
      </c>
      <c r="AH14736" s="831" t="s">
        <v>575</v>
      </c>
      <c r="AI14736" s="831">
        <v>0</v>
      </c>
      <c r="AJ14736" s="835">
        <v>42124</v>
      </c>
      <c r="AK14736" s="831">
        <v>146895148.59999999</v>
      </c>
    </row>
    <row r="14737" spans="2:37">
      <c r="B14737" s="834" t="str">
        <f t="shared" ref="B14737:B14800" si="541">C14737&amp;"|"&amp;D14737&amp;"|"&amp;E14737&amp;"|"&amp;F14737</f>
        <v>|||</v>
      </c>
      <c r="H14737" s="835">
        <f t="shared" ref="H14737:H14800" si="542">EOMONTH(L14737,0)</f>
        <v>31</v>
      </c>
      <c r="AF14737" s="831" t="s">
        <v>12012</v>
      </c>
      <c r="AG14737" s="831" t="s">
        <v>2674</v>
      </c>
      <c r="AH14737" s="831" t="s">
        <v>576</v>
      </c>
      <c r="AI14737" s="831">
        <v>0</v>
      </c>
      <c r="AJ14737" s="835">
        <v>42124</v>
      </c>
      <c r="AK14737" s="831">
        <v>615700522.39999998</v>
      </c>
    </row>
    <row r="14738" spans="2:37">
      <c r="B14738" s="834" t="str">
        <f t="shared" si="541"/>
        <v>|||</v>
      </c>
      <c r="H14738" s="835">
        <f t="shared" si="542"/>
        <v>31</v>
      </c>
      <c r="AF14738" s="831" t="s">
        <v>12013</v>
      </c>
      <c r="AG14738" s="831" t="s">
        <v>2674</v>
      </c>
      <c r="AH14738" s="831" t="s">
        <v>572</v>
      </c>
      <c r="AI14738" s="831">
        <v>0</v>
      </c>
      <c r="AJ14738" s="835">
        <v>42124</v>
      </c>
      <c r="AK14738" s="831">
        <v>34629345</v>
      </c>
    </row>
    <row r="14739" spans="2:37">
      <c r="B14739" s="834" t="str">
        <f t="shared" si="541"/>
        <v>|||</v>
      </c>
      <c r="H14739" s="835">
        <f t="shared" si="542"/>
        <v>31</v>
      </c>
      <c r="AF14739" s="831" t="s">
        <v>12014</v>
      </c>
      <c r="AG14739" s="831" t="s">
        <v>2674</v>
      </c>
      <c r="AH14739" s="831" t="s">
        <v>577</v>
      </c>
      <c r="AI14739" s="831">
        <v>0</v>
      </c>
      <c r="AJ14739" s="835">
        <v>42124</v>
      </c>
      <c r="AK14739" s="831">
        <v>182065430</v>
      </c>
    </row>
    <row r="14740" spans="2:37">
      <c r="B14740" s="834" t="str">
        <f t="shared" si="541"/>
        <v>|||</v>
      </c>
      <c r="H14740" s="835">
        <f t="shared" si="542"/>
        <v>31</v>
      </c>
      <c r="AF14740" s="831" t="s">
        <v>12015</v>
      </c>
      <c r="AG14740" s="831" t="s">
        <v>2674</v>
      </c>
      <c r="AH14740" s="831" t="s">
        <v>3042</v>
      </c>
      <c r="AI14740" s="831">
        <v>0</v>
      </c>
      <c r="AJ14740" s="835">
        <v>42124</v>
      </c>
      <c r="AK14740" s="831">
        <v>-55986090</v>
      </c>
    </row>
    <row r="14741" spans="2:37">
      <c r="B14741" s="834" t="str">
        <f t="shared" si="541"/>
        <v>|||</v>
      </c>
      <c r="H14741" s="835">
        <f t="shared" si="542"/>
        <v>31</v>
      </c>
      <c r="AF14741" s="831" t="s">
        <v>12016</v>
      </c>
      <c r="AG14741" s="831" t="s">
        <v>2674</v>
      </c>
      <c r="AH14741" s="831" t="s">
        <v>3044</v>
      </c>
      <c r="AI14741" s="831">
        <v>0</v>
      </c>
      <c r="AJ14741" s="835">
        <v>42124</v>
      </c>
      <c r="AK14741" s="831">
        <v>-4711846</v>
      </c>
    </row>
    <row r="14742" spans="2:37">
      <c r="B14742" s="834" t="str">
        <f t="shared" si="541"/>
        <v>|||</v>
      </c>
      <c r="H14742" s="835">
        <f t="shared" si="542"/>
        <v>31</v>
      </c>
      <c r="AF14742" s="831" t="s">
        <v>12017</v>
      </c>
      <c r="AG14742" s="831" t="s">
        <v>2674</v>
      </c>
      <c r="AH14742" s="831" t="s">
        <v>580</v>
      </c>
      <c r="AI14742" s="831">
        <v>0</v>
      </c>
      <c r="AJ14742" s="835">
        <v>42124</v>
      </c>
      <c r="AK14742" s="831">
        <v>-84657241</v>
      </c>
    </row>
    <row r="14743" spans="2:37">
      <c r="B14743" s="834" t="str">
        <f t="shared" si="541"/>
        <v>|||</v>
      </c>
      <c r="H14743" s="835">
        <f t="shared" si="542"/>
        <v>31</v>
      </c>
      <c r="AF14743" s="831" t="s">
        <v>12018</v>
      </c>
      <c r="AG14743" s="831" t="s">
        <v>2674</v>
      </c>
      <c r="AH14743" s="831" t="s">
        <v>581</v>
      </c>
      <c r="AI14743" s="831">
        <v>0</v>
      </c>
      <c r="AJ14743" s="835">
        <v>42124</v>
      </c>
      <c r="AK14743" s="831">
        <v>11310907</v>
      </c>
    </row>
    <row r="14744" spans="2:37">
      <c r="B14744" s="834" t="str">
        <f t="shared" si="541"/>
        <v>|||</v>
      </c>
      <c r="H14744" s="835">
        <f t="shared" si="542"/>
        <v>31</v>
      </c>
      <c r="AF14744" s="831" t="s">
        <v>12019</v>
      </c>
      <c r="AG14744" s="831" t="s">
        <v>2674</v>
      </c>
      <c r="AH14744" s="831" t="s">
        <v>105</v>
      </c>
      <c r="AI14744" s="831">
        <v>0</v>
      </c>
      <c r="AJ14744" s="835">
        <v>42124</v>
      </c>
      <c r="AK14744" s="831">
        <v>651641572</v>
      </c>
    </row>
    <row r="14745" spans="2:37">
      <c r="B14745" s="834" t="str">
        <f t="shared" si="541"/>
        <v>|||</v>
      </c>
      <c r="H14745" s="835">
        <f t="shared" si="542"/>
        <v>31</v>
      </c>
      <c r="AF14745" s="831" t="s">
        <v>12020</v>
      </c>
      <c r="AG14745" s="831" t="s">
        <v>2674</v>
      </c>
      <c r="AH14745" s="831" t="s">
        <v>3049</v>
      </c>
      <c r="AI14745" s="831">
        <v>0</v>
      </c>
      <c r="AJ14745" s="835">
        <v>42124</v>
      </c>
      <c r="AK14745" s="831">
        <v>980090700</v>
      </c>
    </row>
    <row r="14746" spans="2:37">
      <c r="B14746" s="834" t="str">
        <f t="shared" si="541"/>
        <v>|||</v>
      </c>
      <c r="H14746" s="835">
        <f t="shared" si="542"/>
        <v>31</v>
      </c>
      <c r="AF14746" s="831" t="s">
        <v>12021</v>
      </c>
      <c r="AG14746" s="831" t="s">
        <v>2674</v>
      </c>
      <c r="AH14746" s="831" t="s">
        <v>103</v>
      </c>
      <c r="AI14746" s="831">
        <v>0</v>
      </c>
      <c r="AJ14746" s="835">
        <v>42124</v>
      </c>
      <c r="AK14746" s="831">
        <v>328449128</v>
      </c>
    </row>
    <row r="14747" spans="2:37">
      <c r="B14747" s="834" t="str">
        <f t="shared" si="541"/>
        <v>|||</v>
      </c>
      <c r="H14747" s="835">
        <f t="shared" si="542"/>
        <v>31</v>
      </c>
      <c r="AF14747" s="831" t="s">
        <v>12022</v>
      </c>
      <c r="AG14747" s="831" t="s">
        <v>2674</v>
      </c>
      <c r="AH14747" s="831" t="s">
        <v>182</v>
      </c>
      <c r="AI14747" s="831">
        <v>0</v>
      </c>
      <c r="AJ14747" s="835">
        <v>42124</v>
      </c>
      <c r="AK14747" s="831">
        <v>88699464</v>
      </c>
    </row>
    <row r="14748" spans="2:37">
      <c r="B14748" s="834" t="str">
        <f t="shared" si="541"/>
        <v>|||</v>
      </c>
      <c r="H14748" s="835">
        <f t="shared" si="542"/>
        <v>31</v>
      </c>
      <c r="AF14748" s="831" t="s">
        <v>12023</v>
      </c>
      <c r="AG14748" s="831" t="s">
        <v>2674</v>
      </c>
      <c r="AH14748" s="831" t="s">
        <v>6600</v>
      </c>
      <c r="AI14748" s="831">
        <v>0</v>
      </c>
      <c r="AJ14748" s="835">
        <v>42124</v>
      </c>
      <c r="AK14748" s="831">
        <v>34629345</v>
      </c>
    </row>
    <row r="14749" spans="2:37">
      <c r="B14749" s="834" t="str">
        <f t="shared" si="541"/>
        <v>|||</v>
      </c>
      <c r="H14749" s="835">
        <f t="shared" si="542"/>
        <v>31</v>
      </c>
      <c r="AF14749" s="831" t="s">
        <v>12024</v>
      </c>
      <c r="AG14749" s="831" t="s">
        <v>2674</v>
      </c>
      <c r="AH14749" s="831" t="s">
        <v>6602</v>
      </c>
      <c r="AI14749" s="831">
        <v>0</v>
      </c>
      <c r="AJ14749" s="835">
        <v>42124</v>
      </c>
      <c r="AK14749" s="831">
        <v>3490177</v>
      </c>
    </row>
    <row r="14750" spans="2:37">
      <c r="B14750" s="834" t="str">
        <f t="shared" si="541"/>
        <v>|||</v>
      </c>
      <c r="H14750" s="835">
        <f t="shared" si="542"/>
        <v>31</v>
      </c>
      <c r="AF14750" s="831" t="s">
        <v>12025</v>
      </c>
      <c r="AG14750" s="831" t="s">
        <v>2674</v>
      </c>
      <c r="AH14750" s="831" t="s">
        <v>650</v>
      </c>
      <c r="AI14750" s="831">
        <v>0</v>
      </c>
      <c r="AJ14750" s="835">
        <v>42124</v>
      </c>
      <c r="AK14750" s="831">
        <v>319013929.69230771</v>
      </c>
    </row>
    <row r="14751" spans="2:37">
      <c r="B14751" s="834" t="str">
        <f t="shared" si="541"/>
        <v>|||</v>
      </c>
      <c r="H14751" s="835">
        <f t="shared" si="542"/>
        <v>31</v>
      </c>
      <c r="AF14751" s="831" t="s">
        <v>12026</v>
      </c>
      <c r="AG14751" s="831" t="s">
        <v>2674</v>
      </c>
      <c r="AH14751" s="831" t="s">
        <v>655</v>
      </c>
      <c r="AI14751" s="831">
        <v>0</v>
      </c>
      <c r="AJ14751" s="835">
        <v>42124</v>
      </c>
      <c r="AK14751" s="831">
        <v>8145535</v>
      </c>
    </row>
    <row r="14752" spans="2:37">
      <c r="B14752" s="834" t="str">
        <f t="shared" si="541"/>
        <v>|||</v>
      </c>
      <c r="H14752" s="835">
        <f t="shared" si="542"/>
        <v>31</v>
      </c>
      <c r="AF14752" s="831" t="s">
        <v>10335</v>
      </c>
      <c r="AG14752" s="831" t="s">
        <v>2674</v>
      </c>
      <c r="AH14752" s="831" t="s">
        <v>546</v>
      </c>
      <c r="AI14752" s="831">
        <v>0</v>
      </c>
      <c r="AJ14752" s="835">
        <v>41060</v>
      </c>
      <c r="AK14752" s="831">
        <v>339221349</v>
      </c>
    </row>
    <row r="14753" spans="2:37">
      <c r="B14753" s="834" t="str">
        <f t="shared" si="541"/>
        <v>|||</v>
      </c>
      <c r="H14753" s="835">
        <f t="shared" si="542"/>
        <v>31</v>
      </c>
      <c r="AF14753" s="831" t="s">
        <v>10336</v>
      </c>
      <c r="AG14753" s="831" t="s">
        <v>2674</v>
      </c>
      <c r="AH14753" s="831" t="s">
        <v>370</v>
      </c>
      <c r="AI14753" s="831">
        <v>0</v>
      </c>
      <c r="AJ14753" s="835">
        <v>41060</v>
      </c>
      <c r="AK14753" s="831">
        <v>412671638</v>
      </c>
    </row>
    <row r="14754" spans="2:37">
      <c r="B14754" s="834" t="str">
        <f t="shared" si="541"/>
        <v>|||</v>
      </c>
      <c r="H14754" s="835">
        <f t="shared" si="542"/>
        <v>31</v>
      </c>
      <c r="AF14754" s="831" t="s">
        <v>10337</v>
      </c>
      <c r="AG14754" s="831" t="s">
        <v>2674</v>
      </c>
      <c r="AH14754" s="831" t="s">
        <v>126</v>
      </c>
      <c r="AI14754" s="831">
        <v>0</v>
      </c>
      <c r="AJ14754" s="835">
        <v>41060</v>
      </c>
      <c r="AK14754" s="831">
        <v>90520261</v>
      </c>
    </row>
    <row r="14755" spans="2:37">
      <c r="B14755" s="834" t="str">
        <f t="shared" si="541"/>
        <v>|||</v>
      </c>
      <c r="H14755" s="835">
        <f t="shared" si="542"/>
        <v>31</v>
      </c>
      <c r="AF14755" s="831" t="s">
        <v>10338</v>
      </c>
      <c r="AG14755" s="831" t="s">
        <v>2674</v>
      </c>
      <c r="AH14755" s="831" t="s">
        <v>268</v>
      </c>
      <c r="AI14755" s="831">
        <v>0</v>
      </c>
      <c r="AJ14755" s="835">
        <v>41060</v>
      </c>
      <c r="AK14755" s="831">
        <v>5197337</v>
      </c>
    </row>
    <row r="14756" spans="2:37">
      <c r="B14756" s="834" t="str">
        <f t="shared" si="541"/>
        <v>|||</v>
      </c>
      <c r="H14756" s="835">
        <f t="shared" si="542"/>
        <v>31</v>
      </c>
      <c r="AF14756" s="831" t="s">
        <v>10339</v>
      </c>
      <c r="AG14756" s="831" t="s">
        <v>2674</v>
      </c>
      <c r="AH14756" s="831" t="s">
        <v>547</v>
      </c>
      <c r="AI14756" s="831">
        <v>0</v>
      </c>
      <c r="AJ14756" s="835">
        <v>41060</v>
      </c>
      <c r="AK14756" s="831">
        <v>0</v>
      </c>
    </row>
    <row r="14757" spans="2:37">
      <c r="B14757" s="834" t="str">
        <f t="shared" si="541"/>
        <v>|||</v>
      </c>
      <c r="H14757" s="835">
        <f t="shared" si="542"/>
        <v>31</v>
      </c>
      <c r="AF14757" s="831" t="s">
        <v>10340</v>
      </c>
      <c r="AG14757" s="831" t="s">
        <v>2674</v>
      </c>
      <c r="AH14757" s="831" t="s">
        <v>548</v>
      </c>
      <c r="AI14757" s="831">
        <v>0</v>
      </c>
      <c r="AJ14757" s="835">
        <v>41060</v>
      </c>
      <c r="AK14757" s="831">
        <v>0</v>
      </c>
    </row>
    <row r="14758" spans="2:37">
      <c r="B14758" s="834" t="str">
        <f t="shared" si="541"/>
        <v>|||</v>
      </c>
      <c r="H14758" s="835">
        <f t="shared" si="542"/>
        <v>31</v>
      </c>
      <c r="AF14758" s="831" t="s">
        <v>10341</v>
      </c>
      <c r="AG14758" s="831" t="s">
        <v>2674</v>
      </c>
      <c r="AH14758" s="831" t="s">
        <v>549</v>
      </c>
      <c r="AI14758" s="831">
        <v>0</v>
      </c>
      <c r="AJ14758" s="835">
        <v>41060</v>
      </c>
      <c r="AK14758" s="831">
        <v>0</v>
      </c>
    </row>
    <row r="14759" spans="2:37">
      <c r="B14759" s="834" t="str">
        <f t="shared" si="541"/>
        <v>|||</v>
      </c>
      <c r="H14759" s="835">
        <f t="shared" si="542"/>
        <v>31</v>
      </c>
      <c r="AF14759" s="831" t="s">
        <v>10342</v>
      </c>
      <c r="AG14759" s="831" t="s">
        <v>2674</v>
      </c>
      <c r="AH14759" s="831" t="s">
        <v>192</v>
      </c>
      <c r="AI14759" s="831">
        <v>0</v>
      </c>
      <c r="AJ14759" s="835">
        <v>41060</v>
      </c>
      <c r="AK14759" s="831">
        <v>-9254050</v>
      </c>
    </row>
    <row r="14760" spans="2:37">
      <c r="B14760" s="834" t="str">
        <f t="shared" si="541"/>
        <v>|||</v>
      </c>
      <c r="H14760" s="835">
        <f t="shared" si="542"/>
        <v>31</v>
      </c>
      <c r="AF14760" s="831" t="s">
        <v>10343</v>
      </c>
      <c r="AG14760" s="831" t="s">
        <v>2674</v>
      </c>
      <c r="AH14760" s="831" t="s">
        <v>558</v>
      </c>
      <c r="AI14760" s="831">
        <v>0</v>
      </c>
      <c r="AJ14760" s="835">
        <v>41060</v>
      </c>
      <c r="AK14760" s="831">
        <v>322151377</v>
      </c>
    </row>
    <row r="14761" spans="2:37">
      <c r="B14761" s="834" t="str">
        <f t="shared" si="541"/>
        <v>|||</v>
      </c>
      <c r="H14761" s="835">
        <f t="shared" si="542"/>
        <v>31</v>
      </c>
      <c r="AF14761" s="831" t="s">
        <v>10344</v>
      </c>
      <c r="AG14761" s="831" t="s">
        <v>2674</v>
      </c>
      <c r="AH14761" s="831" t="s">
        <v>65</v>
      </c>
      <c r="AI14761" s="831">
        <v>0</v>
      </c>
      <c r="AJ14761" s="835">
        <v>41060</v>
      </c>
      <c r="AK14761" s="831">
        <v>38110599</v>
      </c>
    </row>
    <row r="14762" spans="2:37">
      <c r="B14762" s="834" t="str">
        <f t="shared" si="541"/>
        <v>|||</v>
      </c>
      <c r="H14762" s="835">
        <f t="shared" si="542"/>
        <v>31</v>
      </c>
      <c r="AF14762" s="831" t="s">
        <v>10345</v>
      </c>
      <c r="AG14762" s="831" t="s">
        <v>2674</v>
      </c>
      <c r="AH14762" s="831" t="s">
        <v>89</v>
      </c>
      <c r="AI14762" s="831">
        <v>0</v>
      </c>
      <c r="AJ14762" s="835">
        <v>41060</v>
      </c>
      <c r="AK14762" s="831">
        <v>122430</v>
      </c>
    </row>
    <row r="14763" spans="2:37">
      <c r="B14763" s="834" t="str">
        <f t="shared" si="541"/>
        <v>|||</v>
      </c>
      <c r="H14763" s="835">
        <f t="shared" si="542"/>
        <v>31</v>
      </c>
      <c r="AF14763" s="831" t="s">
        <v>10346</v>
      </c>
      <c r="AG14763" s="831" t="s">
        <v>2674</v>
      </c>
      <c r="AH14763" s="831" t="s">
        <v>557</v>
      </c>
      <c r="AI14763" s="831">
        <v>0</v>
      </c>
      <c r="AJ14763" s="835">
        <v>41060</v>
      </c>
      <c r="AK14763" s="831">
        <v>124207</v>
      </c>
    </row>
    <row r="14764" spans="2:37">
      <c r="B14764" s="834" t="str">
        <f t="shared" si="541"/>
        <v>|||</v>
      </c>
      <c r="H14764" s="835">
        <f t="shared" si="542"/>
        <v>31</v>
      </c>
      <c r="AF14764" s="831" t="s">
        <v>10347</v>
      </c>
      <c r="AG14764" s="831" t="s">
        <v>2674</v>
      </c>
      <c r="AH14764" s="831" t="s">
        <v>29</v>
      </c>
      <c r="AI14764" s="831">
        <v>0</v>
      </c>
      <c r="AJ14764" s="835">
        <v>41060</v>
      </c>
      <c r="AK14764" s="831">
        <v>2528808</v>
      </c>
    </row>
    <row r="14765" spans="2:37">
      <c r="B14765" s="834" t="str">
        <f t="shared" si="541"/>
        <v>|||</v>
      </c>
      <c r="H14765" s="835">
        <f t="shared" si="542"/>
        <v>31</v>
      </c>
      <c r="AF14765" s="831" t="s">
        <v>10348</v>
      </c>
      <c r="AG14765" s="831" t="s">
        <v>2674</v>
      </c>
      <c r="AH14765" s="831" t="s">
        <v>2688</v>
      </c>
      <c r="AI14765" s="831">
        <v>0</v>
      </c>
      <c r="AJ14765" s="835">
        <v>41060</v>
      </c>
      <c r="AK14765" s="831">
        <v>3036435</v>
      </c>
    </row>
    <row r="14766" spans="2:37">
      <c r="B14766" s="834" t="str">
        <f t="shared" si="541"/>
        <v>|||</v>
      </c>
      <c r="H14766" s="835">
        <f t="shared" si="542"/>
        <v>31</v>
      </c>
      <c r="AF14766" s="831" t="s">
        <v>10349</v>
      </c>
      <c r="AG14766" s="831" t="s">
        <v>2674</v>
      </c>
      <c r="AH14766" s="831" t="s">
        <v>556</v>
      </c>
      <c r="AI14766" s="831">
        <v>0</v>
      </c>
      <c r="AJ14766" s="835">
        <v>41060</v>
      </c>
      <c r="AK14766" s="831">
        <v>0</v>
      </c>
    </row>
    <row r="14767" spans="2:37">
      <c r="B14767" s="834" t="str">
        <f t="shared" si="541"/>
        <v>|||</v>
      </c>
      <c r="H14767" s="835">
        <f t="shared" si="542"/>
        <v>31</v>
      </c>
      <c r="AF14767" s="831" t="s">
        <v>10350</v>
      </c>
      <c r="AG14767" s="831" t="s">
        <v>2674</v>
      </c>
      <c r="AH14767" s="831" t="s">
        <v>555</v>
      </c>
      <c r="AI14767" s="831">
        <v>0</v>
      </c>
      <c r="AJ14767" s="835">
        <v>41060</v>
      </c>
      <c r="AK14767" s="831">
        <v>196148980</v>
      </c>
    </row>
    <row r="14768" spans="2:37">
      <c r="B14768" s="834" t="str">
        <f t="shared" si="541"/>
        <v>|||</v>
      </c>
      <c r="H14768" s="835">
        <f t="shared" si="542"/>
        <v>31</v>
      </c>
      <c r="AF14768" s="831" t="s">
        <v>10351</v>
      </c>
      <c r="AG14768" s="831" t="s">
        <v>2674</v>
      </c>
      <c r="AH14768" s="831" t="s">
        <v>554</v>
      </c>
      <c r="AI14768" s="831">
        <v>0</v>
      </c>
      <c r="AJ14768" s="835">
        <v>41060</v>
      </c>
      <c r="AK14768" s="831">
        <v>194772980</v>
      </c>
    </row>
    <row r="14769" spans="2:37">
      <c r="B14769" s="834" t="str">
        <f t="shared" si="541"/>
        <v>|||</v>
      </c>
      <c r="H14769" s="835">
        <f t="shared" si="542"/>
        <v>31</v>
      </c>
      <c r="AF14769" s="831" t="s">
        <v>10352</v>
      </c>
      <c r="AG14769" s="831" t="s">
        <v>2674</v>
      </c>
      <c r="AH14769" s="831" t="s">
        <v>553</v>
      </c>
      <c r="AI14769" s="831">
        <v>0</v>
      </c>
      <c r="AJ14769" s="835">
        <v>41060</v>
      </c>
      <c r="AK14769" s="831">
        <v>0</v>
      </c>
    </row>
    <row r="14770" spans="2:37">
      <c r="B14770" s="834" t="str">
        <f t="shared" si="541"/>
        <v>|||</v>
      </c>
      <c r="H14770" s="835">
        <f t="shared" si="542"/>
        <v>31</v>
      </c>
      <c r="AF14770" s="831" t="s">
        <v>10353</v>
      </c>
      <c r="AG14770" s="831" t="s">
        <v>2674</v>
      </c>
      <c r="AH14770" s="831" t="s">
        <v>552</v>
      </c>
      <c r="AI14770" s="831">
        <v>0</v>
      </c>
      <c r="AJ14770" s="835">
        <v>41060</v>
      </c>
      <c r="AK14770" s="831">
        <v>0</v>
      </c>
    </row>
    <row r="14771" spans="2:37">
      <c r="B14771" s="834" t="str">
        <f t="shared" si="541"/>
        <v>|||</v>
      </c>
      <c r="H14771" s="835">
        <f t="shared" si="542"/>
        <v>31</v>
      </c>
      <c r="AF14771" s="831" t="s">
        <v>10354</v>
      </c>
      <c r="AG14771" s="831" t="s">
        <v>2674</v>
      </c>
      <c r="AH14771" s="831" t="s">
        <v>551</v>
      </c>
      <c r="AI14771" s="831">
        <v>0</v>
      </c>
      <c r="AJ14771" s="835">
        <v>41060</v>
      </c>
      <c r="AK14771" s="831">
        <v>2340522</v>
      </c>
    </row>
    <row r="14772" spans="2:37">
      <c r="B14772" s="834" t="str">
        <f t="shared" si="541"/>
        <v>|||</v>
      </c>
      <c r="H14772" s="835">
        <f t="shared" si="542"/>
        <v>31</v>
      </c>
      <c r="AF14772" s="831" t="s">
        <v>10355</v>
      </c>
      <c r="AG14772" s="831" t="s">
        <v>2674</v>
      </c>
      <c r="AH14772" s="831" t="s">
        <v>550</v>
      </c>
      <c r="AI14772" s="831">
        <v>0</v>
      </c>
      <c r="AJ14772" s="835">
        <v>41060</v>
      </c>
      <c r="AK14772" s="831">
        <v>0</v>
      </c>
    </row>
    <row r="14773" spans="2:37">
      <c r="B14773" s="834" t="str">
        <f t="shared" si="541"/>
        <v>|||</v>
      </c>
      <c r="H14773" s="835">
        <f t="shared" si="542"/>
        <v>31</v>
      </c>
      <c r="AF14773" s="831" t="s">
        <v>10356</v>
      </c>
      <c r="AG14773" s="831" t="s">
        <v>2674</v>
      </c>
      <c r="AH14773" s="831" t="s">
        <v>562</v>
      </c>
      <c r="AI14773" s="831">
        <v>0</v>
      </c>
      <c r="AJ14773" s="835">
        <v>41060</v>
      </c>
      <c r="AK14773" s="831">
        <v>0.78515000000000001</v>
      </c>
    </row>
    <row r="14774" spans="2:37">
      <c r="B14774" s="834" t="str">
        <f t="shared" si="541"/>
        <v>|||</v>
      </c>
      <c r="H14774" s="835">
        <f t="shared" si="542"/>
        <v>31</v>
      </c>
      <c r="AF14774" s="831" t="s">
        <v>10357</v>
      </c>
      <c r="AG14774" s="831" t="s">
        <v>2674</v>
      </c>
      <c r="AH14774" s="831" t="s">
        <v>2698</v>
      </c>
      <c r="AI14774" s="831">
        <v>0</v>
      </c>
      <c r="AJ14774" s="835">
        <v>41060</v>
      </c>
      <c r="AK14774" s="831">
        <v>0.78585000000000005</v>
      </c>
    </row>
    <row r="14775" spans="2:37">
      <c r="B14775" s="834" t="str">
        <f t="shared" si="541"/>
        <v>|||</v>
      </c>
      <c r="H14775" s="835">
        <f t="shared" si="542"/>
        <v>31</v>
      </c>
      <c r="AF14775" s="831" t="s">
        <v>10358</v>
      </c>
      <c r="AG14775" s="831" t="s">
        <v>2674</v>
      </c>
      <c r="AH14775" s="831" t="s">
        <v>560</v>
      </c>
      <c r="AI14775" s="831">
        <v>0</v>
      </c>
      <c r="AJ14775" s="835">
        <v>41060</v>
      </c>
      <c r="AK14775" s="831">
        <v>0.78580000000000005</v>
      </c>
    </row>
    <row r="14776" spans="2:37">
      <c r="B14776" s="834" t="str">
        <f t="shared" si="541"/>
        <v>|||</v>
      </c>
      <c r="H14776" s="835">
        <f t="shared" si="542"/>
        <v>31</v>
      </c>
      <c r="AF14776" s="831" t="s">
        <v>10359</v>
      </c>
      <c r="AG14776" s="831" t="s">
        <v>2674</v>
      </c>
      <c r="AH14776" s="831" t="s">
        <v>559</v>
      </c>
      <c r="AI14776" s="831">
        <v>0</v>
      </c>
      <c r="AJ14776" s="835">
        <v>41060</v>
      </c>
      <c r="AK14776" s="831">
        <v>0.78569999999999995</v>
      </c>
    </row>
    <row r="14777" spans="2:37">
      <c r="B14777" s="834" t="str">
        <f t="shared" si="541"/>
        <v>|||</v>
      </c>
      <c r="H14777" s="835">
        <f t="shared" si="542"/>
        <v>31</v>
      </c>
      <c r="AF14777" s="831" t="s">
        <v>10360</v>
      </c>
      <c r="AG14777" s="831" t="s">
        <v>2674</v>
      </c>
      <c r="AH14777" s="831" t="s">
        <v>568</v>
      </c>
      <c r="AI14777" s="831">
        <v>0</v>
      </c>
      <c r="AJ14777" s="835">
        <v>41060</v>
      </c>
      <c r="AK14777" s="831">
        <v>0</v>
      </c>
    </row>
    <row r="14778" spans="2:37">
      <c r="B14778" s="834" t="str">
        <f t="shared" si="541"/>
        <v>|||</v>
      </c>
      <c r="H14778" s="835">
        <f t="shared" si="542"/>
        <v>31</v>
      </c>
      <c r="AF14778" s="831" t="s">
        <v>10361</v>
      </c>
      <c r="AG14778" s="831" t="s">
        <v>2674</v>
      </c>
      <c r="AH14778" s="831" t="s">
        <v>569</v>
      </c>
      <c r="AI14778" s="831">
        <v>0</v>
      </c>
      <c r="AJ14778" s="835">
        <v>41060</v>
      </c>
      <c r="AK14778" s="831">
        <v>0</v>
      </c>
    </row>
    <row r="14779" spans="2:37">
      <c r="B14779" s="834" t="str">
        <f t="shared" si="541"/>
        <v>|||</v>
      </c>
      <c r="H14779" s="835">
        <f t="shared" si="542"/>
        <v>31</v>
      </c>
      <c r="AF14779" s="831" t="s">
        <v>10362</v>
      </c>
      <c r="AG14779" s="831" t="s">
        <v>2674</v>
      </c>
      <c r="AH14779" s="831" t="s">
        <v>570</v>
      </c>
      <c r="AI14779" s="831">
        <v>0</v>
      </c>
      <c r="AJ14779" s="835">
        <v>41060</v>
      </c>
      <c r="AK14779" s="831">
        <v>0</v>
      </c>
    </row>
    <row r="14780" spans="2:37">
      <c r="B14780" s="834" t="str">
        <f t="shared" si="541"/>
        <v>|||</v>
      </c>
      <c r="H14780" s="835">
        <f t="shared" si="542"/>
        <v>31</v>
      </c>
      <c r="AF14780" s="831" t="s">
        <v>10363</v>
      </c>
      <c r="AG14780" s="831" t="s">
        <v>2674</v>
      </c>
      <c r="AH14780" s="831" t="s">
        <v>571</v>
      </c>
      <c r="AI14780" s="831">
        <v>0</v>
      </c>
      <c r="AJ14780" s="835">
        <v>41060</v>
      </c>
      <c r="AK14780" s="831">
        <v>0</v>
      </c>
    </row>
    <row r="14781" spans="2:37">
      <c r="B14781" s="834" t="str">
        <f t="shared" si="541"/>
        <v>|||</v>
      </c>
      <c r="H14781" s="835">
        <f t="shared" si="542"/>
        <v>31</v>
      </c>
      <c r="AF14781" s="831" t="s">
        <v>10364</v>
      </c>
      <c r="AG14781" s="831" t="s">
        <v>2674</v>
      </c>
      <c r="AH14781" s="831" t="s">
        <v>573</v>
      </c>
      <c r="AI14781" s="831">
        <v>0</v>
      </c>
      <c r="AJ14781" s="835">
        <v>41060</v>
      </c>
      <c r="AK14781" s="831">
        <v>0</v>
      </c>
    </row>
    <row r="14782" spans="2:37">
      <c r="B14782" s="834" t="str">
        <f t="shared" si="541"/>
        <v>|||</v>
      </c>
      <c r="H14782" s="835">
        <f t="shared" si="542"/>
        <v>31</v>
      </c>
      <c r="AF14782" s="831" t="s">
        <v>10365</v>
      </c>
      <c r="AG14782" s="831" t="s">
        <v>2674</v>
      </c>
      <c r="AH14782" s="831" t="s">
        <v>574</v>
      </c>
      <c r="AI14782" s="831">
        <v>0</v>
      </c>
      <c r="AJ14782" s="835">
        <v>41060</v>
      </c>
      <c r="AK14782" s="831">
        <v>0</v>
      </c>
    </row>
    <row r="14783" spans="2:37">
      <c r="B14783" s="834" t="str">
        <f t="shared" si="541"/>
        <v>|||</v>
      </c>
      <c r="H14783" s="835">
        <f t="shared" si="542"/>
        <v>31</v>
      </c>
      <c r="AF14783" s="831" t="s">
        <v>10366</v>
      </c>
      <c r="AG14783" s="831" t="s">
        <v>2674</v>
      </c>
      <c r="AH14783" s="831" t="s">
        <v>575</v>
      </c>
      <c r="AI14783" s="831">
        <v>0</v>
      </c>
      <c r="AJ14783" s="835">
        <v>41060</v>
      </c>
      <c r="AK14783" s="831">
        <v>0</v>
      </c>
    </row>
    <row r="14784" spans="2:37">
      <c r="B14784" s="834" t="str">
        <f t="shared" si="541"/>
        <v>|||</v>
      </c>
      <c r="H14784" s="835">
        <f t="shared" si="542"/>
        <v>31</v>
      </c>
      <c r="AF14784" s="831" t="s">
        <v>10367</v>
      </c>
      <c r="AG14784" s="831" t="s">
        <v>2674</v>
      </c>
      <c r="AH14784" s="831" t="s">
        <v>576</v>
      </c>
      <c r="AI14784" s="831">
        <v>0</v>
      </c>
      <c r="AJ14784" s="835">
        <v>41060</v>
      </c>
      <c r="AK14784" s="831">
        <v>0</v>
      </c>
    </row>
    <row r="14785" spans="2:37">
      <c r="B14785" s="834" t="str">
        <f t="shared" si="541"/>
        <v>|||</v>
      </c>
      <c r="H14785" s="835">
        <f t="shared" si="542"/>
        <v>31</v>
      </c>
      <c r="AF14785" s="831" t="s">
        <v>10368</v>
      </c>
      <c r="AG14785" s="831" t="s">
        <v>2674</v>
      </c>
      <c r="AH14785" s="831" t="s">
        <v>572</v>
      </c>
      <c r="AI14785" s="831">
        <v>0</v>
      </c>
      <c r="AJ14785" s="835">
        <v>41060</v>
      </c>
      <c r="AK14785" s="831">
        <v>-2146826246</v>
      </c>
    </row>
    <row r="14786" spans="2:37">
      <c r="B14786" s="834" t="str">
        <f t="shared" si="541"/>
        <v>|||</v>
      </c>
      <c r="H14786" s="835">
        <f t="shared" si="542"/>
        <v>31</v>
      </c>
      <c r="AF14786" s="831" t="s">
        <v>10369</v>
      </c>
      <c r="AG14786" s="831" t="s">
        <v>2674</v>
      </c>
      <c r="AH14786" s="831" t="s">
        <v>577</v>
      </c>
      <c r="AI14786" s="831">
        <v>0</v>
      </c>
      <c r="AJ14786" s="835">
        <v>41060</v>
      </c>
      <c r="AK14786" s="831">
        <v>-2146826246</v>
      </c>
    </row>
    <row r="14787" spans="2:37">
      <c r="B14787" s="834" t="str">
        <f t="shared" si="541"/>
        <v>|||</v>
      </c>
      <c r="H14787" s="835">
        <f t="shared" si="542"/>
        <v>31</v>
      </c>
      <c r="AF14787" s="831" t="s">
        <v>10370</v>
      </c>
      <c r="AG14787" s="831" t="s">
        <v>2674</v>
      </c>
      <c r="AH14787" s="831" t="s">
        <v>3042</v>
      </c>
      <c r="AI14787" s="831">
        <v>0</v>
      </c>
      <c r="AJ14787" s="835">
        <v>41060</v>
      </c>
      <c r="AK14787" s="831">
        <v>-2146826246</v>
      </c>
    </row>
    <row r="14788" spans="2:37">
      <c r="B14788" s="834" t="str">
        <f t="shared" si="541"/>
        <v>|||</v>
      </c>
      <c r="H14788" s="835">
        <f t="shared" si="542"/>
        <v>31</v>
      </c>
      <c r="AF14788" s="831" t="s">
        <v>10371</v>
      </c>
      <c r="AG14788" s="831" t="s">
        <v>2674</v>
      </c>
      <c r="AH14788" s="831" t="s">
        <v>3044</v>
      </c>
      <c r="AI14788" s="831">
        <v>0</v>
      </c>
      <c r="AJ14788" s="835">
        <v>41060</v>
      </c>
      <c r="AK14788" s="831">
        <v>-2146826246</v>
      </c>
    </row>
    <row r="14789" spans="2:37">
      <c r="B14789" s="834" t="str">
        <f t="shared" si="541"/>
        <v>|||</v>
      </c>
      <c r="H14789" s="835">
        <f t="shared" si="542"/>
        <v>31</v>
      </c>
      <c r="AF14789" s="831" t="s">
        <v>10372</v>
      </c>
      <c r="AG14789" s="831" t="s">
        <v>2674</v>
      </c>
      <c r="AH14789" s="831" t="s">
        <v>580</v>
      </c>
      <c r="AI14789" s="831">
        <v>0</v>
      </c>
      <c r="AJ14789" s="835">
        <v>41060</v>
      </c>
      <c r="AK14789" s="831">
        <v>-2146826246</v>
      </c>
    </row>
    <row r="14790" spans="2:37">
      <c r="B14790" s="834" t="str">
        <f t="shared" si="541"/>
        <v>|||</v>
      </c>
      <c r="H14790" s="835">
        <f t="shared" si="542"/>
        <v>31</v>
      </c>
      <c r="AF14790" s="831" t="s">
        <v>10373</v>
      </c>
      <c r="AG14790" s="831" t="s">
        <v>2674</v>
      </c>
      <c r="AH14790" s="831" t="s">
        <v>581</v>
      </c>
      <c r="AI14790" s="831">
        <v>0</v>
      </c>
      <c r="AJ14790" s="835">
        <v>41060</v>
      </c>
      <c r="AK14790" s="831">
        <v>-2146826246</v>
      </c>
    </row>
    <row r="14791" spans="2:37">
      <c r="B14791" s="834" t="str">
        <f t="shared" si="541"/>
        <v>|||</v>
      </c>
      <c r="H14791" s="835">
        <f t="shared" si="542"/>
        <v>31</v>
      </c>
      <c r="AF14791" s="831" t="s">
        <v>10374</v>
      </c>
      <c r="AG14791" s="831" t="s">
        <v>2674</v>
      </c>
      <c r="AH14791" s="831" t="s">
        <v>105</v>
      </c>
      <c r="AI14791" s="831">
        <v>0</v>
      </c>
      <c r="AJ14791" s="835">
        <v>41060</v>
      </c>
      <c r="AK14791" s="831">
        <v>149985593</v>
      </c>
    </row>
    <row r="14792" spans="2:37">
      <c r="B14792" s="834" t="str">
        <f t="shared" si="541"/>
        <v>|||</v>
      </c>
      <c r="H14792" s="835">
        <f t="shared" si="542"/>
        <v>31</v>
      </c>
      <c r="AF14792" s="831" t="s">
        <v>10375</v>
      </c>
      <c r="AG14792" s="831" t="s">
        <v>2674</v>
      </c>
      <c r="AH14792" s="831" t="s">
        <v>3049</v>
      </c>
      <c r="AI14792" s="831">
        <v>0</v>
      </c>
      <c r="AJ14792" s="835">
        <v>41060</v>
      </c>
      <c r="AK14792" s="831">
        <v>309400000</v>
      </c>
    </row>
    <row r="14793" spans="2:37">
      <c r="B14793" s="834" t="str">
        <f t="shared" si="541"/>
        <v>|||</v>
      </c>
      <c r="H14793" s="835">
        <f t="shared" si="542"/>
        <v>31</v>
      </c>
      <c r="AF14793" s="831" t="s">
        <v>10376</v>
      </c>
      <c r="AG14793" s="831" t="s">
        <v>2674</v>
      </c>
      <c r="AH14793" s="831" t="s">
        <v>103</v>
      </c>
      <c r="AI14793" s="831">
        <v>0</v>
      </c>
      <c r="AJ14793" s="835">
        <v>41060</v>
      </c>
      <c r="AK14793" s="831">
        <v>159414407</v>
      </c>
    </row>
    <row r="14794" spans="2:37">
      <c r="B14794" s="834" t="str">
        <f t="shared" si="541"/>
        <v>|||</v>
      </c>
      <c r="H14794" s="835">
        <f t="shared" si="542"/>
        <v>31</v>
      </c>
      <c r="AF14794" s="831" t="s">
        <v>10377</v>
      </c>
      <c r="AG14794" s="831" t="s">
        <v>2674</v>
      </c>
      <c r="AH14794" s="831" t="s">
        <v>182</v>
      </c>
      <c r="AI14794" s="831">
        <v>0</v>
      </c>
      <c r="AJ14794" s="835">
        <v>41060</v>
      </c>
      <c r="AK14794" s="831">
        <v>50472969.600000001</v>
      </c>
    </row>
    <row r="14795" spans="2:37">
      <c r="B14795" s="834" t="str">
        <f t="shared" si="541"/>
        <v>|||</v>
      </c>
      <c r="H14795" s="835">
        <f t="shared" si="542"/>
        <v>31</v>
      </c>
      <c r="AF14795" s="831" t="s">
        <v>10378</v>
      </c>
      <c r="AG14795" s="831" t="s">
        <v>2674</v>
      </c>
      <c r="AH14795" s="831" t="s">
        <v>6600</v>
      </c>
      <c r="AI14795" s="831">
        <v>0</v>
      </c>
      <c r="AJ14795" s="835">
        <v>41060</v>
      </c>
      <c r="AK14795" s="831">
        <v>-2146826246</v>
      </c>
    </row>
    <row r="14796" spans="2:37">
      <c r="B14796" s="834" t="str">
        <f t="shared" si="541"/>
        <v>|||</v>
      </c>
      <c r="H14796" s="835">
        <f t="shared" si="542"/>
        <v>31</v>
      </c>
      <c r="AF14796" s="831" t="s">
        <v>10379</v>
      </c>
      <c r="AG14796" s="831" t="s">
        <v>2674</v>
      </c>
      <c r="AH14796" s="831" t="s">
        <v>6602</v>
      </c>
      <c r="AI14796" s="831">
        <v>0</v>
      </c>
      <c r="AJ14796" s="835">
        <v>41060</v>
      </c>
      <c r="AK14796" s="831">
        <v>5197337</v>
      </c>
    </row>
    <row r="14797" spans="2:37">
      <c r="B14797" s="834" t="str">
        <f t="shared" si="541"/>
        <v>|||</v>
      </c>
      <c r="H14797" s="835">
        <f t="shared" si="542"/>
        <v>31</v>
      </c>
      <c r="AF14797" s="831" t="s">
        <v>10380</v>
      </c>
      <c r="AG14797" s="831" t="s">
        <v>2674</v>
      </c>
      <c r="AH14797" s="831" t="s">
        <v>650</v>
      </c>
      <c r="AI14797" s="831">
        <v>0</v>
      </c>
      <c r="AJ14797" s="835">
        <v>41060</v>
      </c>
      <c r="AK14797" s="831">
        <v>0</v>
      </c>
    </row>
    <row r="14798" spans="2:37">
      <c r="B14798" s="834" t="str">
        <f t="shared" si="541"/>
        <v>|||</v>
      </c>
      <c r="H14798" s="835">
        <f t="shared" si="542"/>
        <v>31</v>
      </c>
      <c r="AF14798" s="831" t="s">
        <v>10381</v>
      </c>
      <c r="AG14798" s="831" t="s">
        <v>2674</v>
      </c>
      <c r="AH14798" s="831" t="s">
        <v>655</v>
      </c>
      <c r="AI14798" s="831">
        <v>0</v>
      </c>
      <c r="AJ14798" s="835">
        <v>41060</v>
      </c>
      <c r="AK14798" s="831">
        <v>2125799</v>
      </c>
    </row>
    <row r="14799" spans="2:37">
      <c r="B14799" s="834" t="str">
        <f t="shared" si="541"/>
        <v>|||</v>
      </c>
      <c r="H14799" s="835">
        <f t="shared" si="542"/>
        <v>31</v>
      </c>
      <c r="AF14799" s="831" t="s">
        <v>10382</v>
      </c>
      <c r="AG14799" s="831" t="s">
        <v>2674</v>
      </c>
      <c r="AH14799" s="831" t="s">
        <v>546</v>
      </c>
      <c r="AI14799" s="831">
        <v>0</v>
      </c>
      <c r="AJ14799" s="835">
        <v>41090</v>
      </c>
      <c r="AK14799" s="831">
        <v>342628450</v>
      </c>
    </row>
    <row r="14800" spans="2:37">
      <c r="B14800" s="834" t="str">
        <f t="shared" si="541"/>
        <v>|||</v>
      </c>
      <c r="H14800" s="835">
        <f t="shared" si="542"/>
        <v>31</v>
      </c>
      <c r="AF14800" s="831" t="s">
        <v>10383</v>
      </c>
      <c r="AG14800" s="831" t="s">
        <v>2674</v>
      </c>
      <c r="AH14800" s="831" t="s">
        <v>370</v>
      </c>
      <c r="AI14800" s="831">
        <v>0</v>
      </c>
      <c r="AJ14800" s="835">
        <v>41090</v>
      </c>
      <c r="AK14800" s="831">
        <v>422295379</v>
      </c>
    </row>
    <row r="14801" spans="2:37">
      <c r="B14801" s="834" t="str">
        <f t="shared" ref="B14801:B14864" si="543">C14801&amp;"|"&amp;D14801&amp;"|"&amp;E14801&amp;"|"&amp;F14801</f>
        <v>|||</v>
      </c>
      <c r="H14801" s="835">
        <f t="shared" ref="H14801:H14864" si="544">EOMONTH(L14801,0)</f>
        <v>31</v>
      </c>
      <c r="AF14801" s="831" t="s">
        <v>10384</v>
      </c>
      <c r="AG14801" s="831" t="s">
        <v>2674</v>
      </c>
      <c r="AH14801" s="831" t="s">
        <v>126</v>
      </c>
      <c r="AI14801" s="831">
        <v>0</v>
      </c>
      <c r="AJ14801" s="835">
        <v>41090</v>
      </c>
      <c r="AK14801" s="831">
        <v>91675016</v>
      </c>
    </row>
    <row r="14802" spans="2:37">
      <c r="B14802" s="834" t="str">
        <f t="shared" si="543"/>
        <v>|||</v>
      </c>
      <c r="H14802" s="835">
        <f t="shared" si="544"/>
        <v>31</v>
      </c>
      <c r="AF14802" s="831" t="s">
        <v>10385</v>
      </c>
      <c r="AG14802" s="831" t="s">
        <v>2674</v>
      </c>
      <c r="AH14802" s="831" t="s">
        <v>268</v>
      </c>
      <c r="AI14802" s="831">
        <v>0</v>
      </c>
      <c r="AJ14802" s="835">
        <v>41090</v>
      </c>
      <c r="AK14802" s="831">
        <v>6352093</v>
      </c>
    </row>
    <row r="14803" spans="2:37">
      <c r="B14803" s="834" t="str">
        <f t="shared" si="543"/>
        <v>|||</v>
      </c>
      <c r="H14803" s="835">
        <f t="shared" si="544"/>
        <v>31</v>
      </c>
      <c r="AF14803" s="831" t="s">
        <v>10386</v>
      </c>
      <c r="AG14803" s="831" t="s">
        <v>2674</v>
      </c>
      <c r="AH14803" s="831" t="s">
        <v>547</v>
      </c>
      <c r="AI14803" s="831">
        <v>0</v>
      </c>
      <c r="AJ14803" s="835">
        <v>41090</v>
      </c>
      <c r="AK14803" s="831">
        <v>0</v>
      </c>
    </row>
    <row r="14804" spans="2:37">
      <c r="B14804" s="834" t="str">
        <f t="shared" si="543"/>
        <v>|||</v>
      </c>
      <c r="H14804" s="835">
        <f t="shared" si="544"/>
        <v>31</v>
      </c>
      <c r="AF14804" s="831" t="s">
        <v>10387</v>
      </c>
      <c r="AG14804" s="831" t="s">
        <v>2674</v>
      </c>
      <c r="AH14804" s="831" t="s">
        <v>548</v>
      </c>
      <c r="AI14804" s="831">
        <v>0</v>
      </c>
      <c r="AJ14804" s="835">
        <v>41090</v>
      </c>
      <c r="AK14804" s="831">
        <v>0</v>
      </c>
    </row>
    <row r="14805" spans="2:37">
      <c r="B14805" s="834" t="str">
        <f t="shared" si="543"/>
        <v>|||</v>
      </c>
      <c r="H14805" s="835">
        <f t="shared" si="544"/>
        <v>31</v>
      </c>
      <c r="AF14805" s="831" t="s">
        <v>10388</v>
      </c>
      <c r="AG14805" s="831" t="s">
        <v>2674</v>
      </c>
      <c r="AH14805" s="831" t="s">
        <v>549</v>
      </c>
      <c r="AI14805" s="831">
        <v>0</v>
      </c>
      <c r="AJ14805" s="835">
        <v>41090</v>
      </c>
      <c r="AK14805" s="831">
        <v>0</v>
      </c>
    </row>
    <row r="14806" spans="2:37">
      <c r="B14806" s="834" t="str">
        <f t="shared" si="543"/>
        <v>|||</v>
      </c>
      <c r="H14806" s="835">
        <f t="shared" si="544"/>
        <v>31</v>
      </c>
      <c r="AF14806" s="831" t="s">
        <v>10389</v>
      </c>
      <c r="AG14806" s="831" t="s">
        <v>2674</v>
      </c>
      <c r="AH14806" s="831" t="s">
        <v>192</v>
      </c>
      <c r="AI14806" s="831">
        <v>0</v>
      </c>
      <c r="AJ14806" s="835">
        <v>41090</v>
      </c>
      <c r="AK14806" s="831">
        <v>-9357224</v>
      </c>
    </row>
    <row r="14807" spans="2:37">
      <c r="B14807" s="834" t="str">
        <f t="shared" si="543"/>
        <v>|||</v>
      </c>
      <c r="H14807" s="835">
        <f t="shared" si="544"/>
        <v>31</v>
      </c>
      <c r="AF14807" s="831" t="s">
        <v>10390</v>
      </c>
      <c r="AG14807" s="831" t="s">
        <v>2674</v>
      </c>
      <c r="AH14807" s="831" t="s">
        <v>558</v>
      </c>
      <c r="AI14807" s="831">
        <v>0</v>
      </c>
      <c r="AJ14807" s="835">
        <v>41090</v>
      </c>
      <c r="AK14807" s="831">
        <v>330620363</v>
      </c>
    </row>
    <row r="14808" spans="2:37">
      <c r="B14808" s="834" t="str">
        <f t="shared" si="543"/>
        <v>|||</v>
      </c>
      <c r="H14808" s="835">
        <f t="shared" si="544"/>
        <v>31</v>
      </c>
      <c r="AF14808" s="831" t="s">
        <v>10391</v>
      </c>
      <c r="AG14808" s="831" t="s">
        <v>2674</v>
      </c>
      <c r="AH14808" s="831" t="s">
        <v>65</v>
      </c>
      <c r="AI14808" s="831">
        <v>0</v>
      </c>
      <c r="AJ14808" s="835">
        <v>41090</v>
      </c>
      <c r="AK14808" s="831">
        <v>46070355</v>
      </c>
    </row>
    <row r="14809" spans="2:37">
      <c r="B14809" s="834" t="str">
        <f t="shared" si="543"/>
        <v>|||</v>
      </c>
      <c r="H14809" s="835">
        <f t="shared" si="544"/>
        <v>31</v>
      </c>
      <c r="AF14809" s="831" t="s">
        <v>10392</v>
      </c>
      <c r="AG14809" s="831" t="s">
        <v>2674</v>
      </c>
      <c r="AH14809" s="831" t="s">
        <v>89</v>
      </c>
      <c r="AI14809" s="831">
        <v>0</v>
      </c>
      <c r="AJ14809" s="835">
        <v>41090</v>
      </c>
      <c r="AK14809" s="831">
        <v>122094</v>
      </c>
    </row>
    <row r="14810" spans="2:37">
      <c r="B14810" s="834" t="str">
        <f t="shared" si="543"/>
        <v>|||</v>
      </c>
      <c r="H14810" s="835">
        <f t="shared" si="544"/>
        <v>31</v>
      </c>
      <c r="AF14810" s="831" t="s">
        <v>10393</v>
      </c>
      <c r="AG14810" s="831" t="s">
        <v>2674</v>
      </c>
      <c r="AH14810" s="831" t="s">
        <v>557</v>
      </c>
      <c r="AI14810" s="831">
        <v>0</v>
      </c>
      <c r="AJ14810" s="835">
        <v>41090</v>
      </c>
      <c r="AK14810" s="831">
        <v>123933</v>
      </c>
    </row>
    <row r="14811" spans="2:37">
      <c r="B14811" s="834" t="str">
        <f t="shared" si="543"/>
        <v>|||</v>
      </c>
      <c r="H14811" s="835">
        <f t="shared" si="544"/>
        <v>31</v>
      </c>
      <c r="AF14811" s="831" t="s">
        <v>10394</v>
      </c>
      <c r="AG14811" s="831" t="s">
        <v>2674</v>
      </c>
      <c r="AH14811" s="831" t="s">
        <v>29</v>
      </c>
      <c r="AI14811" s="831">
        <v>0</v>
      </c>
      <c r="AJ14811" s="835">
        <v>41090</v>
      </c>
      <c r="AK14811" s="831">
        <v>2579950</v>
      </c>
    </row>
    <row r="14812" spans="2:37">
      <c r="B14812" s="834" t="str">
        <f t="shared" si="543"/>
        <v>|||</v>
      </c>
      <c r="H14812" s="835">
        <f t="shared" si="544"/>
        <v>31</v>
      </c>
      <c r="AF14812" s="831" t="s">
        <v>10395</v>
      </c>
      <c r="AG14812" s="831" t="s">
        <v>2674</v>
      </c>
      <c r="AH14812" s="831" t="s">
        <v>2688</v>
      </c>
      <c r="AI14812" s="831">
        <v>0</v>
      </c>
      <c r="AJ14812" s="835">
        <v>41090</v>
      </c>
      <c r="AK14812" s="831">
        <v>2983420</v>
      </c>
    </row>
    <row r="14813" spans="2:37">
      <c r="B14813" s="834" t="str">
        <f t="shared" si="543"/>
        <v>|||</v>
      </c>
      <c r="H14813" s="835">
        <f t="shared" si="544"/>
        <v>31</v>
      </c>
      <c r="AF14813" s="831" t="s">
        <v>10396</v>
      </c>
      <c r="AG14813" s="831" t="s">
        <v>2674</v>
      </c>
      <c r="AH14813" s="831" t="s">
        <v>556</v>
      </c>
      <c r="AI14813" s="831">
        <v>0</v>
      </c>
      <c r="AJ14813" s="835">
        <v>41090</v>
      </c>
      <c r="AK14813" s="831">
        <v>0</v>
      </c>
    </row>
    <row r="14814" spans="2:37">
      <c r="B14814" s="834" t="str">
        <f t="shared" si="543"/>
        <v>|||</v>
      </c>
      <c r="H14814" s="835">
        <f t="shared" si="544"/>
        <v>31</v>
      </c>
      <c r="AF14814" s="831" t="s">
        <v>10397</v>
      </c>
      <c r="AG14814" s="831" t="s">
        <v>2674</v>
      </c>
      <c r="AH14814" s="831" t="s">
        <v>555</v>
      </c>
      <c r="AI14814" s="831">
        <v>0</v>
      </c>
      <c r="AJ14814" s="835">
        <v>41090</v>
      </c>
      <c r="AK14814" s="831">
        <v>197249400</v>
      </c>
    </row>
    <row r="14815" spans="2:37">
      <c r="B14815" s="834" t="str">
        <f t="shared" si="543"/>
        <v>|||</v>
      </c>
      <c r="H14815" s="835">
        <f t="shared" si="544"/>
        <v>31</v>
      </c>
      <c r="AF14815" s="831" t="s">
        <v>10398</v>
      </c>
      <c r="AG14815" s="831" t="s">
        <v>2674</v>
      </c>
      <c r="AH14815" s="831" t="s">
        <v>554</v>
      </c>
      <c r="AI14815" s="831">
        <v>0</v>
      </c>
      <c r="AJ14815" s="835">
        <v>41090</v>
      </c>
      <c r="AK14815" s="831">
        <v>196927620</v>
      </c>
    </row>
    <row r="14816" spans="2:37">
      <c r="B14816" s="834" t="str">
        <f t="shared" si="543"/>
        <v>|||</v>
      </c>
      <c r="H14816" s="835">
        <f t="shared" si="544"/>
        <v>31</v>
      </c>
      <c r="AF14816" s="831" t="s">
        <v>10399</v>
      </c>
      <c r="AG14816" s="831" t="s">
        <v>2674</v>
      </c>
      <c r="AH14816" s="831" t="s">
        <v>553</v>
      </c>
      <c r="AI14816" s="831">
        <v>0</v>
      </c>
      <c r="AJ14816" s="835">
        <v>41090</v>
      </c>
      <c r="AK14816" s="831">
        <v>0</v>
      </c>
    </row>
    <row r="14817" spans="2:37">
      <c r="B14817" s="834" t="str">
        <f t="shared" si="543"/>
        <v>|||</v>
      </c>
      <c r="H14817" s="835">
        <f t="shared" si="544"/>
        <v>31</v>
      </c>
      <c r="AF14817" s="831" t="s">
        <v>10400</v>
      </c>
      <c r="AG14817" s="831" t="s">
        <v>2674</v>
      </c>
      <c r="AH14817" s="831" t="s">
        <v>552</v>
      </c>
      <c r="AI14817" s="831">
        <v>0</v>
      </c>
      <c r="AJ14817" s="835">
        <v>41090</v>
      </c>
      <c r="AK14817" s="831">
        <v>0</v>
      </c>
    </row>
    <row r="14818" spans="2:37">
      <c r="B14818" s="834" t="str">
        <f t="shared" si="543"/>
        <v>|||</v>
      </c>
      <c r="H14818" s="835">
        <f t="shared" si="544"/>
        <v>31</v>
      </c>
      <c r="AF14818" s="831" t="s">
        <v>10401</v>
      </c>
      <c r="AG14818" s="831" t="s">
        <v>2674</v>
      </c>
      <c r="AH14818" s="831" t="s">
        <v>551</v>
      </c>
      <c r="AI14818" s="831">
        <v>0</v>
      </c>
      <c r="AJ14818" s="835">
        <v>41090</v>
      </c>
      <c r="AK14818" s="831">
        <v>2420279</v>
      </c>
    </row>
    <row r="14819" spans="2:37">
      <c r="B14819" s="834" t="str">
        <f t="shared" si="543"/>
        <v>|||</v>
      </c>
      <c r="H14819" s="835">
        <f t="shared" si="544"/>
        <v>31</v>
      </c>
      <c r="AF14819" s="831" t="s">
        <v>10402</v>
      </c>
      <c r="AG14819" s="831" t="s">
        <v>2674</v>
      </c>
      <c r="AH14819" s="831" t="s">
        <v>550</v>
      </c>
      <c r="AI14819" s="831">
        <v>0</v>
      </c>
      <c r="AJ14819" s="835">
        <v>41090</v>
      </c>
      <c r="AK14819" s="831">
        <v>90520261</v>
      </c>
    </row>
    <row r="14820" spans="2:37">
      <c r="B14820" s="834" t="str">
        <f t="shared" si="543"/>
        <v>|||</v>
      </c>
      <c r="H14820" s="835">
        <f t="shared" si="544"/>
        <v>31</v>
      </c>
      <c r="AF14820" s="831" t="s">
        <v>10403</v>
      </c>
      <c r="AG14820" s="831" t="s">
        <v>2674</v>
      </c>
      <c r="AH14820" s="831" t="s">
        <v>562</v>
      </c>
      <c r="AI14820" s="831">
        <v>0</v>
      </c>
      <c r="AJ14820" s="835">
        <v>41090</v>
      </c>
      <c r="AK14820" s="831">
        <v>0.78505000000000003</v>
      </c>
    </row>
    <row r="14821" spans="2:37">
      <c r="B14821" s="834" t="str">
        <f t="shared" si="543"/>
        <v>|||</v>
      </c>
      <c r="H14821" s="835">
        <f t="shared" si="544"/>
        <v>31</v>
      </c>
      <c r="AF14821" s="831" t="s">
        <v>10404</v>
      </c>
      <c r="AG14821" s="831" t="s">
        <v>2674</v>
      </c>
      <c r="AH14821" s="831" t="s">
        <v>2698</v>
      </c>
      <c r="AI14821" s="831">
        <v>0</v>
      </c>
      <c r="AJ14821" s="835">
        <v>41090</v>
      </c>
      <c r="AK14821" s="831">
        <v>0.78515000000000001</v>
      </c>
    </row>
    <row r="14822" spans="2:37">
      <c r="B14822" s="834" t="str">
        <f t="shared" si="543"/>
        <v>|||</v>
      </c>
      <c r="H14822" s="835">
        <f t="shared" si="544"/>
        <v>31</v>
      </c>
      <c r="AF14822" s="831" t="s">
        <v>10405</v>
      </c>
      <c r="AG14822" s="831" t="s">
        <v>2674</v>
      </c>
      <c r="AH14822" s="831" t="s">
        <v>560</v>
      </c>
      <c r="AI14822" s="831">
        <v>0</v>
      </c>
      <c r="AJ14822" s="835">
        <v>41090</v>
      </c>
      <c r="AK14822" s="831">
        <v>0.78567500000000001</v>
      </c>
    </row>
    <row r="14823" spans="2:37">
      <c r="B14823" s="834" t="str">
        <f t="shared" si="543"/>
        <v>|||</v>
      </c>
      <c r="H14823" s="835">
        <f t="shared" si="544"/>
        <v>31</v>
      </c>
      <c r="AF14823" s="831" t="s">
        <v>10406</v>
      </c>
      <c r="AG14823" s="831" t="s">
        <v>2674</v>
      </c>
      <c r="AH14823" s="831" t="s">
        <v>559</v>
      </c>
      <c r="AI14823" s="831">
        <v>0</v>
      </c>
      <c r="AJ14823" s="835">
        <v>41090</v>
      </c>
      <c r="AK14823" s="831">
        <v>0.78561666666666674</v>
      </c>
    </row>
    <row r="14824" spans="2:37">
      <c r="B14824" s="834" t="str">
        <f t="shared" si="543"/>
        <v>|||</v>
      </c>
      <c r="H14824" s="835">
        <f t="shared" si="544"/>
        <v>31</v>
      </c>
      <c r="AF14824" s="831" t="s">
        <v>10407</v>
      </c>
      <c r="AG14824" s="831" t="s">
        <v>2674</v>
      </c>
      <c r="AH14824" s="831" t="s">
        <v>568</v>
      </c>
      <c r="AI14824" s="831">
        <v>0</v>
      </c>
      <c r="AJ14824" s="835">
        <v>41090</v>
      </c>
      <c r="AK14824" s="831">
        <v>0</v>
      </c>
    </row>
    <row r="14825" spans="2:37">
      <c r="B14825" s="834" t="str">
        <f t="shared" si="543"/>
        <v>|||</v>
      </c>
      <c r="H14825" s="835">
        <f t="shared" si="544"/>
        <v>31</v>
      </c>
      <c r="AF14825" s="831" t="s">
        <v>10408</v>
      </c>
      <c r="AG14825" s="831" t="s">
        <v>2674</v>
      </c>
      <c r="AH14825" s="831" t="s">
        <v>569</v>
      </c>
      <c r="AI14825" s="831">
        <v>0</v>
      </c>
      <c r="AJ14825" s="835">
        <v>41090</v>
      </c>
      <c r="AK14825" s="831">
        <v>0</v>
      </c>
    </row>
    <row r="14826" spans="2:37">
      <c r="B14826" s="834" t="str">
        <f t="shared" si="543"/>
        <v>|||</v>
      </c>
      <c r="H14826" s="835">
        <f t="shared" si="544"/>
        <v>31</v>
      </c>
      <c r="AF14826" s="831" t="s">
        <v>10409</v>
      </c>
      <c r="AG14826" s="831" t="s">
        <v>2674</v>
      </c>
      <c r="AH14826" s="831" t="s">
        <v>570</v>
      </c>
      <c r="AI14826" s="831">
        <v>0</v>
      </c>
      <c r="AJ14826" s="835">
        <v>41090</v>
      </c>
      <c r="AK14826" s="831">
        <v>0</v>
      </c>
    </row>
    <row r="14827" spans="2:37">
      <c r="B14827" s="834" t="str">
        <f t="shared" si="543"/>
        <v>|||</v>
      </c>
      <c r="H14827" s="835">
        <f t="shared" si="544"/>
        <v>31</v>
      </c>
      <c r="AF14827" s="831" t="s">
        <v>10410</v>
      </c>
      <c r="AG14827" s="831" t="s">
        <v>2674</v>
      </c>
      <c r="AH14827" s="831" t="s">
        <v>571</v>
      </c>
      <c r="AI14827" s="831">
        <v>0</v>
      </c>
      <c r="AJ14827" s="835">
        <v>41090</v>
      </c>
      <c r="AK14827" s="831">
        <v>0</v>
      </c>
    </row>
    <row r="14828" spans="2:37">
      <c r="B14828" s="834" t="str">
        <f t="shared" si="543"/>
        <v>|||</v>
      </c>
      <c r="H14828" s="835">
        <f t="shared" si="544"/>
        <v>31</v>
      </c>
      <c r="AF14828" s="831" t="s">
        <v>10411</v>
      </c>
      <c r="AG14828" s="831" t="s">
        <v>2674</v>
      </c>
      <c r="AH14828" s="831" t="s">
        <v>573</v>
      </c>
      <c r="AI14828" s="831">
        <v>0</v>
      </c>
      <c r="AJ14828" s="835">
        <v>41090</v>
      </c>
      <c r="AK14828" s="831">
        <v>0</v>
      </c>
    </row>
    <row r="14829" spans="2:37">
      <c r="B14829" s="834" t="str">
        <f t="shared" si="543"/>
        <v>|||</v>
      </c>
      <c r="H14829" s="835">
        <f t="shared" si="544"/>
        <v>31</v>
      </c>
      <c r="AF14829" s="831" t="s">
        <v>10412</v>
      </c>
      <c r="AG14829" s="831" t="s">
        <v>2674</v>
      </c>
      <c r="AH14829" s="831" t="s">
        <v>574</v>
      </c>
      <c r="AI14829" s="831">
        <v>0</v>
      </c>
      <c r="AJ14829" s="835">
        <v>41090</v>
      </c>
      <c r="AK14829" s="831">
        <v>0</v>
      </c>
    </row>
    <row r="14830" spans="2:37">
      <c r="B14830" s="834" t="str">
        <f t="shared" si="543"/>
        <v>|||</v>
      </c>
      <c r="H14830" s="835">
        <f t="shared" si="544"/>
        <v>31</v>
      </c>
      <c r="AF14830" s="831" t="s">
        <v>10413</v>
      </c>
      <c r="AG14830" s="831" t="s">
        <v>2674</v>
      </c>
      <c r="AH14830" s="831" t="s">
        <v>575</v>
      </c>
      <c r="AI14830" s="831">
        <v>0</v>
      </c>
      <c r="AJ14830" s="835">
        <v>41090</v>
      </c>
      <c r="AK14830" s="831">
        <v>0</v>
      </c>
    </row>
    <row r="14831" spans="2:37">
      <c r="B14831" s="834" t="str">
        <f t="shared" si="543"/>
        <v>|||</v>
      </c>
      <c r="H14831" s="835">
        <f t="shared" si="544"/>
        <v>31</v>
      </c>
      <c r="AF14831" s="831" t="s">
        <v>10414</v>
      </c>
      <c r="AG14831" s="831" t="s">
        <v>2674</v>
      </c>
      <c r="AH14831" s="831" t="s">
        <v>576</v>
      </c>
      <c r="AI14831" s="831">
        <v>0</v>
      </c>
      <c r="AJ14831" s="835">
        <v>41090</v>
      </c>
      <c r="AK14831" s="831">
        <v>0</v>
      </c>
    </row>
    <row r="14832" spans="2:37">
      <c r="B14832" s="834" t="str">
        <f t="shared" si="543"/>
        <v>|||</v>
      </c>
      <c r="H14832" s="835">
        <f t="shared" si="544"/>
        <v>31</v>
      </c>
      <c r="AF14832" s="831" t="s">
        <v>10415</v>
      </c>
      <c r="AG14832" s="831" t="s">
        <v>2674</v>
      </c>
      <c r="AH14832" s="831" t="s">
        <v>572</v>
      </c>
      <c r="AI14832" s="831">
        <v>0</v>
      </c>
      <c r="AJ14832" s="835">
        <v>41090</v>
      </c>
      <c r="AK14832" s="831">
        <v>-2146826246</v>
      </c>
    </row>
    <row r="14833" spans="2:37">
      <c r="B14833" s="834" t="str">
        <f t="shared" si="543"/>
        <v>|||</v>
      </c>
      <c r="H14833" s="835">
        <f t="shared" si="544"/>
        <v>31</v>
      </c>
      <c r="AF14833" s="831" t="s">
        <v>10416</v>
      </c>
      <c r="AG14833" s="831" t="s">
        <v>2674</v>
      </c>
      <c r="AH14833" s="831" t="s">
        <v>577</v>
      </c>
      <c r="AI14833" s="831">
        <v>0</v>
      </c>
      <c r="AJ14833" s="835">
        <v>41090</v>
      </c>
      <c r="AK14833" s="831">
        <v>-2146826246</v>
      </c>
    </row>
    <row r="14834" spans="2:37">
      <c r="B14834" s="834" t="str">
        <f t="shared" si="543"/>
        <v>|||</v>
      </c>
      <c r="H14834" s="835">
        <f t="shared" si="544"/>
        <v>31</v>
      </c>
      <c r="AF14834" s="831" t="s">
        <v>10417</v>
      </c>
      <c r="AG14834" s="831" t="s">
        <v>2674</v>
      </c>
      <c r="AH14834" s="831" t="s">
        <v>3042</v>
      </c>
      <c r="AI14834" s="831">
        <v>0</v>
      </c>
      <c r="AJ14834" s="835">
        <v>41090</v>
      </c>
      <c r="AK14834" s="831">
        <v>-2146826246</v>
      </c>
    </row>
    <row r="14835" spans="2:37">
      <c r="B14835" s="834" t="str">
        <f t="shared" si="543"/>
        <v>|||</v>
      </c>
      <c r="H14835" s="835">
        <f t="shared" si="544"/>
        <v>31</v>
      </c>
      <c r="AF14835" s="831" t="s">
        <v>10418</v>
      </c>
      <c r="AG14835" s="831" t="s">
        <v>2674</v>
      </c>
      <c r="AH14835" s="831" t="s">
        <v>3044</v>
      </c>
      <c r="AI14835" s="831">
        <v>0</v>
      </c>
      <c r="AJ14835" s="835">
        <v>41090</v>
      </c>
      <c r="AK14835" s="831">
        <v>-2146826246</v>
      </c>
    </row>
    <row r="14836" spans="2:37">
      <c r="B14836" s="834" t="str">
        <f t="shared" si="543"/>
        <v>|||</v>
      </c>
      <c r="H14836" s="835">
        <f t="shared" si="544"/>
        <v>31</v>
      </c>
      <c r="AF14836" s="831" t="s">
        <v>10419</v>
      </c>
      <c r="AG14836" s="831" t="s">
        <v>2674</v>
      </c>
      <c r="AH14836" s="831" t="s">
        <v>580</v>
      </c>
      <c r="AI14836" s="831">
        <v>0</v>
      </c>
      <c r="AJ14836" s="835">
        <v>41090</v>
      </c>
      <c r="AK14836" s="831">
        <v>-2146826246</v>
      </c>
    </row>
    <row r="14837" spans="2:37">
      <c r="B14837" s="834" t="str">
        <f t="shared" si="543"/>
        <v>|||</v>
      </c>
      <c r="H14837" s="835">
        <f t="shared" si="544"/>
        <v>31</v>
      </c>
      <c r="AF14837" s="831" t="s">
        <v>10420</v>
      </c>
      <c r="AG14837" s="831" t="s">
        <v>2674</v>
      </c>
      <c r="AH14837" s="831" t="s">
        <v>581</v>
      </c>
      <c r="AI14837" s="831">
        <v>0</v>
      </c>
      <c r="AJ14837" s="835">
        <v>41090</v>
      </c>
      <c r="AK14837" s="831">
        <v>-2146826246</v>
      </c>
    </row>
    <row r="14838" spans="2:37">
      <c r="B14838" s="834" t="str">
        <f t="shared" si="543"/>
        <v>|||</v>
      </c>
      <c r="H14838" s="835">
        <f t="shared" si="544"/>
        <v>31</v>
      </c>
      <c r="AF14838" s="831" t="s">
        <v>10421</v>
      </c>
      <c r="AG14838" s="831" t="s">
        <v>2674</v>
      </c>
      <c r="AH14838" s="831" t="s">
        <v>105</v>
      </c>
      <c r="AI14838" s="831">
        <v>0</v>
      </c>
      <c r="AJ14838" s="835">
        <v>41090</v>
      </c>
      <c r="AK14838" s="831">
        <v>152917631</v>
      </c>
    </row>
    <row r="14839" spans="2:37">
      <c r="B14839" s="834" t="str">
        <f t="shared" si="543"/>
        <v>|||</v>
      </c>
      <c r="H14839" s="835">
        <f t="shared" si="544"/>
        <v>31</v>
      </c>
      <c r="AF14839" s="831" t="s">
        <v>10422</v>
      </c>
      <c r="AG14839" s="831" t="s">
        <v>2674</v>
      </c>
      <c r="AH14839" s="831" t="s">
        <v>3049</v>
      </c>
      <c r="AI14839" s="831">
        <v>0</v>
      </c>
      <c r="AJ14839" s="835">
        <v>41090</v>
      </c>
      <c r="AK14839" s="831">
        <v>317640148</v>
      </c>
    </row>
    <row r="14840" spans="2:37">
      <c r="B14840" s="834" t="str">
        <f t="shared" si="543"/>
        <v>|||</v>
      </c>
      <c r="H14840" s="835">
        <f t="shared" si="544"/>
        <v>31</v>
      </c>
      <c r="AF14840" s="831" t="s">
        <v>10423</v>
      </c>
      <c r="AG14840" s="831" t="s">
        <v>2674</v>
      </c>
      <c r="AH14840" s="831" t="s">
        <v>103</v>
      </c>
      <c r="AI14840" s="831">
        <v>0</v>
      </c>
      <c r="AJ14840" s="835">
        <v>41090</v>
      </c>
      <c r="AK14840" s="831">
        <v>164722517</v>
      </c>
    </row>
    <row r="14841" spans="2:37">
      <c r="B14841" s="834" t="str">
        <f t="shared" si="543"/>
        <v>|||</v>
      </c>
      <c r="H14841" s="835">
        <f t="shared" si="544"/>
        <v>31</v>
      </c>
      <c r="AF14841" s="831" t="s">
        <v>10424</v>
      </c>
      <c r="AG14841" s="831" t="s">
        <v>2674</v>
      </c>
      <c r="AH14841" s="831" t="s">
        <v>182</v>
      </c>
      <c r="AI14841" s="831">
        <v>0</v>
      </c>
      <c r="AJ14841" s="835">
        <v>41090</v>
      </c>
      <c r="AK14841" s="831">
        <v>51276754</v>
      </c>
    </row>
    <row r="14842" spans="2:37">
      <c r="B14842" s="834" t="str">
        <f t="shared" si="543"/>
        <v>|||</v>
      </c>
      <c r="H14842" s="835">
        <f t="shared" si="544"/>
        <v>31</v>
      </c>
      <c r="AF14842" s="831" t="s">
        <v>10425</v>
      </c>
      <c r="AG14842" s="831" t="s">
        <v>2674</v>
      </c>
      <c r="AH14842" s="831" t="s">
        <v>6600</v>
      </c>
      <c r="AI14842" s="831">
        <v>0</v>
      </c>
      <c r="AJ14842" s="835">
        <v>41090</v>
      </c>
      <c r="AK14842" s="831">
        <v>-2146826246</v>
      </c>
    </row>
    <row r="14843" spans="2:37">
      <c r="B14843" s="834" t="str">
        <f t="shared" si="543"/>
        <v>|||</v>
      </c>
      <c r="H14843" s="835">
        <f t="shared" si="544"/>
        <v>31</v>
      </c>
      <c r="AF14843" s="831" t="s">
        <v>10426</v>
      </c>
      <c r="AG14843" s="831" t="s">
        <v>2674</v>
      </c>
      <c r="AH14843" s="831" t="s">
        <v>6602</v>
      </c>
      <c r="AI14843" s="831">
        <v>0</v>
      </c>
      <c r="AJ14843" s="835">
        <v>41090</v>
      </c>
      <c r="AK14843" s="831">
        <v>6352093</v>
      </c>
    </row>
    <row r="14844" spans="2:37">
      <c r="B14844" s="834" t="str">
        <f t="shared" si="543"/>
        <v>|||</v>
      </c>
      <c r="H14844" s="835">
        <f t="shared" si="544"/>
        <v>31</v>
      </c>
      <c r="AF14844" s="831" t="s">
        <v>10427</v>
      </c>
      <c r="AG14844" s="831" t="s">
        <v>2674</v>
      </c>
      <c r="AH14844" s="831" t="s">
        <v>650</v>
      </c>
      <c r="AI14844" s="831">
        <v>0</v>
      </c>
      <c r="AJ14844" s="835">
        <v>41090</v>
      </c>
      <c r="AK14844" s="831">
        <v>0</v>
      </c>
    </row>
    <row r="14845" spans="2:37">
      <c r="B14845" s="834" t="str">
        <f t="shared" si="543"/>
        <v>|||</v>
      </c>
      <c r="H14845" s="835">
        <f t="shared" si="544"/>
        <v>31</v>
      </c>
      <c r="AF14845" s="831" t="s">
        <v>10428</v>
      </c>
      <c r="AG14845" s="831" t="s">
        <v>2674</v>
      </c>
      <c r="AH14845" s="831" t="s">
        <v>655</v>
      </c>
      <c r="AI14845" s="831">
        <v>0</v>
      </c>
      <c r="AJ14845" s="835">
        <v>41090</v>
      </c>
      <c r="AK14845" s="831">
        <v>2251978</v>
      </c>
    </row>
    <row r="14846" spans="2:37">
      <c r="B14846" s="834" t="str">
        <f t="shared" si="543"/>
        <v>|||</v>
      </c>
      <c r="H14846" s="835">
        <f t="shared" si="544"/>
        <v>31</v>
      </c>
      <c r="AF14846" s="831" t="s">
        <v>10429</v>
      </c>
      <c r="AG14846" s="831" t="s">
        <v>2674</v>
      </c>
      <c r="AH14846" s="831" t="s">
        <v>546</v>
      </c>
      <c r="AI14846" s="831">
        <v>0</v>
      </c>
      <c r="AJ14846" s="835">
        <v>41121</v>
      </c>
      <c r="AK14846" s="831">
        <v>350104350</v>
      </c>
    </row>
    <row r="14847" spans="2:37">
      <c r="B14847" s="834" t="str">
        <f t="shared" si="543"/>
        <v>|||</v>
      </c>
      <c r="H14847" s="835">
        <f t="shared" si="544"/>
        <v>31</v>
      </c>
      <c r="AF14847" s="831" t="s">
        <v>10430</v>
      </c>
      <c r="AG14847" s="831" t="s">
        <v>2674</v>
      </c>
      <c r="AH14847" s="831" t="s">
        <v>370</v>
      </c>
      <c r="AI14847" s="831">
        <v>0</v>
      </c>
      <c r="AJ14847" s="835">
        <v>41121</v>
      </c>
      <c r="AK14847" s="831">
        <v>438122032</v>
      </c>
    </row>
    <row r="14848" spans="2:37">
      <c r="B14848" s="834" t="str">
        <f t="shared" si="543"/>
        <v>|||</v>
      </c>
      <c r="H14848" s="835">
        <f t="shared" si="544"/>
        <v>31</v>
      </c>
      <c r="AF14848" s="831" t="s">
        <v>10431</v>
      </c>
      <c r="AG14848" s="831" t="s">
        <v>2674</v>
      </c>
      <c r="AH14848" s="831" t="s">
        <v>126</v>
      </c>
      <c r="AI14848" s="831">
        <v>0</v>
      </c>
      <c r="AJ14848" s="835">
        <v>41121</v>
      </c>
      <c r="AK14848" s="831">
        <v>93426827</v>
      </c>
    </row>
    <row r="14849" spans="2:37">
      <c r="B14849" s="834" t="str">
        <f t="shared" si="543"/>
        <v>|||</v>
      </c>
      <c r="H14849" s="835">
        <f t="shared" si="544"/>
        <v>31</v>
      </c>
      <c r="AF14849" s="831" t="s">
        <v>10432</v>
      </c>
      <c r="AG14849" s="831" t="s">
        <v>2674</v>
      </c>
      <c r="AH14849" s="831" t="s">
        <v>268</v>
      </c>
      <c r="AI14849" s="831">
        <v>0</v>
      </c>
      <c r="AJ14849" s="835">
        <v>41121</v>
      </c>
      <c r="AK14849" s="831">
        <v>8103905</v>
      </c>
    </row>
    <row r="14850" spans="2:37">
      <c r="B14850" s="834" t="str">
        <f t="shared" si="543"/>
        <v>|||</v>
      </c>
      <c r="H14850" s="835">
        <f t="shared" si="544"/>
        <v>31</v>
      </c>
      <c r="AF14850" s="831" t="s">
        <v>10433</v>
      </c>
      <c r="AG14850" s="831" t="s">
        <v>2674</v>
      </c>
      <c r="AH14850" s="831" t="s">
        <v>547</v>
      </c>
      <c r="AI14850" s="831">
        <v>0</v>
      </c>
      <c r="AJ14850" s="835">
        <v>41121</v>
      </c>
      <c r="AK14850" s="831">
        <v>0</v>
      </c>
    </row>
    <row r="14851" spans="2:37">
      <c r="B14851" s="834" t="str">
        <f t="shared" si="543"/>
        <v>|||</v>
      </c>
      <c r="H14851" s="835">
        <f t="shared" si="544"/>
        <v>31</v>
      </c>
      <c r="AF14851" s="831" t="s">
        <v>10434</v>
      </c>
      <c r="AG14851" s="831" t="s">
        <v>2674</v>
      </c>
      <c r="AH14851" s="831" t="s">
        <v>548</v>
      </c>
      <c r="AI14851" s="831">
        <v>0</v>
      </c>
      <c r="AJ14851" s="835">
        <v>41121</v>
      </c>
      <c r="AK14851" s="831">
        <v>0</v>
      </c>
    </row>
    <row r="14852" spans="2:37">
      <c r="B14852" s="834" t="str">
        <f t="shared" si="543"/>
        <v>|||</v>
      </c>
      <c r="H14852" s="835">
        <f t="shared" si="544"/>
        <v>31</v>
      </c>
      <c r="AF14852" s="831" t="s">
        <v>10435</v>
      </c>
      <c r="AG14852" s="831" t="s">
        <v>2674</v>
      </c>
      <c r="AH14852" s="831" t="s">
        <v>549</v>
      </c>
      <c r="AI14852" s="831">
        <v>0</v>
      </c>
      <c r="AJ14852" s="835">
        <v>41121</v>
      </c>
      <c r="AK14852" s="831">
        <v>0</v>
      </c>
    </row>
    <row r="14853" spans="2:37">
      <c r="B14853" s="834" t="str">
        <f t="shared" si="543"/>
        <v>|||</v>
      </c>
      <c r="H14853" s="835">
        <f t="shared" si="544"/>
        <v>31</v>
      </c>
      <c r="AF14853" s="831" t="s">
        <v>10436</v>
      </c>
      <c r="AG14853" s="831" t="s">
        <v>2674</v>
      </c>
      <c r="AH14853" s="831" t="s">
        <v>192</v>
      </c>
      <c r="AI14853" s="831">
        <v>0</v>
      </c>
      <c r="AJ14853" s="835">
        <v>41121</v>
      </c>
      <c r="AK14853" s="831">
        <v>-9691486</v>
      </c>
    </row>
    <row r="14854" spans="2:37">
      <c r="B14854" s="834" t="str">
        <f t="shared" si="543"/>
        <v>|||</v>
      </c>
      <c r="H14854" s="835">
        <f t="shared" si="544"/>
        <v>31</v>
      </c>
      <c r="AF14854" s="831" t="s">
        <v>10437</v>
      </c>
      <c r="AG14854" s="831" t="s">
        <v>2674</v>
      </c>
      <c r="AH14854" s="831" t="s">
        <v>558</v>
      </c>
      <c r="AI14854" s="831">
        <v>0</v>
      </c>
      <c r="AJ14854" s="835">
        <v>41121</v>
      </c>
      <c r="AK14854" s="831">
        <v>344695205</v>
      </c>
    </row>
    <row r="14855" spans="2:37">
      <c r="B14855" s="834" t="str">
        <f t="shared" si="543"/>
        <v>|||</v>
      </c>
      <c r="H14855" s="835">
        <f t="shared" si="544"/>
        <v>31</v>
      </c>
      <c r="AF14855" s="831" t="s">
        <v>10438</v>
      </c>
      <c r="AG14855" s="831" t="s">
        <v>2674</v>
      </c>
      <c r="AH14855" s="831" t="s">
        <v>65</v>
      </c>
      <c r="AI14855" s="831">
        <v>0</v>
      </c>
      <c r="AJ14855" s="835">
        <v>41121</v>
      </c>
      <c r="AK14855" s="831">
        <v>54573964</v>
      </c>
    </row>
    <row r="14856" spans="2:37">
      <c r="B14856" s="834" t="str">
        <f t="shared" si="543"/>
        <v>|||</v>
      </c>
      <c r="H14856" s="835">
        <f t="shared" si="544"/>
        <v>31</v>
      </c>
      <c r="AF14856" s="831" t="s">
        <v>10439</v>
      </c>
      <c r="AG14856" s="831" t="s">
        <v>2674</v>
      </c>
      <c r="AH14856" s="831" t="s">
        <v>89</v>
      </c>
      <c r="AI14856" s="831">
        <v>0</v>
      </c>
      <c r="AJ14856" s="835">
        <v>41121</v>
      </c>
      <c r="AK14856" s="831">
        <v>121835</v>
      </c>
    </row>
    <row r="14857" spans="2:37">
      <c r="B14857" s="834" t="str">
        <f t="shared" si="543"/>
        <v>|||</v>
      </c>
      <c r="H14857" s="835">
        <f t="shared" si="544"/>
        <v>31</v>
      </c>
      <c r="AF14857" s="831" t="s">
        <v>10440</v>
      </c>
      <c r="AG14857" s="831" t="s">
        <v>2674</v>
      </c>
      <c r="AH14857" s="831" t="s">
        <v>557</v>
      </c>
      <c r="AI14857" s="831">
        <v>0</v>
      </c>
      <c r="AJ14857" s="835">
        <v>41121</v>
      </c>
      <c r="AK14857" s="831">
        <v>123680</v>
      </c>
    </row>
    <row r="14858" spans="2:37">
      <c r="B14858" s="834" t="str">
        <f t="shared" si="543"/>
        <v>|||</v>
      </c>
      <c r="H14858" s="835">
        <f t="shared" si="544"/>
        <v>31</v>
      </c>
      <c r="AF14858" s="831" t="s">
        <v>10441</v>
      </c>
      <c r="AG14858" s="831" t="s">
        <v>2674</v>
      </c>
      <c r="AH14858" s="831" t="s">
        <v>29</v>
      </c>
      <c r="AI14858" s="831">
        <v>0</v>
      </c>
      <c r="AJ14858" s="835">
        <v>41121</v>
      </c>
      <c r="AK14858" s="831">
        <v>2520940</v>
      </c>
    </row>
    <row r="14859" spans="2:37">
      <c r="B14859" s="834" t="str">
        <f t="shared" si="543"/>
        <v>|||</v>
      </c>
      <c r="H14859" s="835">
        <f t="shared" si="544"/>
        <v>31</v>
      </c>
      <c r="AF14859" s="831" t="s">
        <v>10442</v>
      </c>
      <c r="AG14859" s="831" t="s">
        <v>2674</v>
      </c>
      <c r="AH14859" s="831" t="s">
        <v>2688</v>
      </c>
      <c r="AI14859" s="831">
        <v>0</v>
      </c>
      <c r="AJ14859" s="835">
        <v>41121</v>
      </c>
      <c r="AK14859" s="831">
        <v>2874987.63</v>
      </c>
    </row>
    <row r="14860" spans="2:37">
      <c r="B14860" s="834" t="str">
        <f t="shared" si="543"/>
        <v>|||</v>
      </c>
      <c r="H14860" s="835">
        <f t="shared" si="544"/>
        <v>31</v>
      </c>
      <c r="AF14860" s="831" t="s">
        <v>10443</v>
      </c>
      <c r="AG14860" s="831" t="s">
        <v>2674</v>
      </c>
      <c r="AH14860" s="831" t="s">
        <v>556</v>
      </c>
      <c r="AI14860" s="831">
        <v>0</v>
      </c>
      <c r="AJ14860" s="835">
        <v>41121</v>
      </c>
      <c r="AK14860" s="831">
        <v>0</v>
      </c>
    </row>
    <row r="14861" spans="2:37">
      <c r="B14861" s="834" t="str">
        <f t="shared" si="543"/>
        <v>|||</v>
      </c>
      <c r="H14861" s="835">
        <f t="shared" si="544"/>
        <v>31</v>
      </c>
      <c r="AF14861" s="831" t="s">
        <v>10444</v>
      </c>
      <c r="AG14861" s="831" t="s">
        <v>2674</v>
      </c>
      <c r="AH14861" s="831" t="s">
        <v>555</v>
      </c>
      <c r="AI14861" s="831">
        <v>0</v>
      </c>
      <c r="AJ14861" s="835">
        <v>41121</v>
      </c>
      <c r="AK14861" s="831">
        <v>212532560</v>
      </c>
    </row>
    <row r="14862" spans="2:37">
      <c r="B14862" s="834" t="str">
        <f t="shared" si="543"/>
        <v>|||</v>
      </c>
      <c r="H14862" s="835">
        <f t="shared" si="544"/>
        <v>31</v>
      </c>
      <c r="AF14862" s="831" t="s">
        <v>10445</v>
      </c>
      <c r="AG14862" s="831" t="s">
        <v>2674</v>
      </c>
      <c r="AH14862" s="831" t="s">
        <v>554</v>
      </c>
      <c r="AI14862" s="831">
        <v>0</v>
      </c>
      <c r="AJ14862" s="835">
        <v>41121</v>
      </c>
      <c r="AK14862" s="831">
        <v>206644050</v>
      </c>
    </row>
    <row r="14863" spans="2:37">
      <c r="B14863" s="834" t="str">
        <f t="shared" si="543"/>
        <v>|||</v>
      </c>
      <c r="H14863" s="835">
        <f t="shared" si="544"/>
        <v>31</v>
      </c>
      <c r="AF14863" s="831" t="s">
        <v>10446</v>
      </c>
      <c r="AG14863" s="831" t="s">
        <v>2674</v>
      </c>
      <c r="AH14863" s="831" t="s">
        <v>553</v>
      </c>
      <c r="AI14863" s="831">
        <v>0</v>
      </c>
      <c r="AJ14863" s="835">
        <v>41121</v>
      </c>
      <c r="AK14863" s="831">
        <v>0</v>
      </c>
    </row>
    <row r="14864" spans="2:37">
      <c r="B14864" s="834" t="str">
        <f t="shared" si="543"/>
        <v>|||</v>
      </c>
      <c r="H14864" s="835">
        <f t="shared" si="544"/>
        <v>31</v>
      </c>
      <c r="AF14864" s="831" t="s">
        <v>10447</v>
      </c>
      <c r="AG14864" s="831" t="s">
        <v>2674</v>
      </c>
      <c r="AH14864" s="831" t="s">
        <v>552</v>
      </c>
      <c r="AI14864" s="831">
        <v>0</v>
      </c>
      <c r="AJ14864" s="835">
        <v>41121</v>
      </c>
      <c r="AK14864" s="831">
        <v>0</v>
      </c>
    </row>
    <row r="14865" spans="2:37">
      <c r="B14865" s="834" t="str">
        <f t="shared" ref="B14865:B14928" si="545">C14865&amp;"|"&amp;D14865&amp;"|"&amp;E14865&amp;"|"&amp;F14865</f>
        <v>|||</v>
      </c>
      <c r="H14865" s="835">
        <f t="shared" ref="H14865:H14928" si="546">EOMONTH(L14865,0)</f>
        <v>31</v>
      </c>
      <c r="AF14865" s="831" t="s">
        <v>10448</v>
      </c>
      <c r="AG14865" s="831" t="s">
        <v>2674</v>
      </c>
      <c r="AH14865" s="831" t="s">
        <v>551</v>
      </c>
      <c r="AI14865" s="831">
        <v>0</v>
      </c>
      <c r="AJ14865" s="835">
        <v>41121</v>
      </c>
      <c r="AK14865" s="831">
        <v>2408186</v>
      </c>
    </row>
    <row r="14866" spans="2:37">
      <c r="B14866" s="834" t="str">
        <f t="shared" si="545"/>
        <v>|||</v>
      </c>
      <c r="H14866" s="835">
        <f t="shared" si="546"/>
        <v>31</v>
      </c>
      <c r="AF14866" s="831" t="s">
        <v>10449</v>
      </c>
      <c r="AG14866" s="831" t="s">
        <v>2674</v>
      </c>
      <c r="AH14866" s="831" t="s">
        <v>550</v>
      </c>
      <c r="AI14866" s="831">
        <v>0</v>
      </c>
      <c r="AJ14866" s="835">
        <v>41121</v>
      </c>
      <c r="AK14866" s="831">
        <v>91675016</v>
      </c>
    </row>
    <row r="14867" spans="2:37">
      <c r="B14867" s="834" t="str">
        <f t="shared" si="545"/>
        <v>|||</v>
      </c>
      <c r="H14867" s="835">
        <f t="shared" si="546"/>
        <v>31</v>
      </c>
      <c r="AF14867" s="831" t="s">
        <v>10450</v>
      </c>
      <c r="AG14867" s="831" t="s">
        <v>2674</v>
      </c>
      <c r="AH14867" s="831" t="s">
        <v>562</v>
      </c>
      <c r="AI14867" s="831">
        <v>0</v>
      </c>
      <c r="AJ14867" s="835">
        <v>41121</v>
      </c>
      <c r="AK14867" s="831">
        <v>0.78495000000000004</v>
      </c>
    </row>
    <row r="14868" spans="2:37">
      <c r="B14868" s="834" t="str">
        <f t="shared" si="545"/>
        <v>|||</v>
      </c>
      <c r="H14868" s="835">
        <f t="shared" si="546"/>
        <v>31</v>
      </c>
      <c r="AF14868" s="831" t="s">
        <v>10451</v>
      </c>
      <c r="AG14868" s="831" t="s">
        <v>2674</v>
      </c>
      <c r="AH14868" s="831" t="s">
        <v>2698</v>
      </c>
      <c r="AI14868" s="831">
        <v>0</v>
      </c>
      <c r="AJ14868" s="835">
        <v>41121</v>
      </c>
      <c r="AK14868" s="831">
        <v>0.78505000000000003</v>
      </c>
    </row>
    <row r="14869" spans="2:37">
      <c r="B14869" s="834" t="str">
        <f t="shared" si="545"/>
        <v>|||</v>
      </c>
      <c r="H14869" s="835">
        <f t="shared" si="546"/>
        <v>31</v>
      </c>
      <c r="AF14869" s="831" t="s">
        <v>10452</v>
      </c>
      <c r="AG14869" s="831" t="s">
        <v>2674</v>
      </c>
      <c r="AH14869" s="831" t="s">
        <v>560</v>
      </c>
      <c r="AI14869" s="831">
        <v>0</v>
      </c>
      <c r="AJ14869" s="835">
        <v>41121</v>
      </c>
      <c r="AK14869" s="831">
        <v>0.7855714285714287</v>
      </c>
    </row>
    <row r="14870" spans="2:37">
      <c r="B14870" s="834" t="str">
        <f t="shared" si="545"/>
        <v>|||</v>
      </c>
      <c r="H14870" s="835">
        <f t="shared" si="546"/>
        <v>31</v>
      </c>
      <c r="AF14870" s="831" t="s">
        <v>10453</v>
      </c>
      <c r="AG14870" s="831" t="s">
        <v>2674</v>
      </c>
      <c r="AH14870" s="831" t="s">
        <v>559</v>
      </c>
      <c r="AI14870" s="831">
        <v>0</v>
      </c>
      <c r="AJ14870" s="835">
        <v>41121</v>
      </c>
      <c r="AK14870" s="831">
        <v>0.7854916666666667</v>
      </c>
    </row>
    <row r="14871" spans="2:37">
      <c r="B14871" s="834" t="str">
        <f t="shared" si="545"/>
        <v>|||</v>
      </c>
      <c r="H14871" s="835">
        <f t="shared" si="546"/>
        <v>31</v>
      </c>
      <c r="AF14871" s="831" t="s">
        <v>10454</v>
      </c>
      <c r="AG14871" s="831" t="s">
        <v>2674</v>
      </c>
      <c r="AH14871" s="831" t="s">
        <v>568</v>
      </c>
      <c r="AI14871" s="831">
        <v>0</v>
      </c>
      <c r="AJ14871" s="835">
        <v>41121</v>
      </c>
      <c r="AK14871" s="831">
        <v>0</v>
      </c>
    </row>
    <row r="14872" spans="2:37">
      <c r="B14872" s="834" t="str">
        <f t="shared" si="545"/>
        <v>|||</v>
      </c>
      <c r="H14872" s="835">
        <f t="shared" si="546"/>
        <v>31</v>
      </c>
      <c r="AF14872" s="831" t="s">
        <v>10455</v>
      </c>
      <c r="AG14872" s="831" t="s">
        <v>2674</v>
      </c>
      <c r="AH14872" s="831" t="s">
        <v>569</v>
      </c>
      <c r="AI14872" s="831">
        <v>0</v>
      </c>
      <c r="AJ14872" s="835">
        <v>41121</v>
      </c>
      <c r="AK14872" s="831">
        <v>0</v>
      </c>
    </row>
    <row r="14873" spans="2:37">
      <c r="B14873" s="834" t="str">
        <f t="shared" si="545"/>
        <v>|||</v>
      </c>
      <c r="H14873" s="835">
        <f t="shared" si="546"/>
        <v>31</v>
      </c>
      <c r="AF14873" s="831" t="s">
        <v>10456</v>
      </c>
      <c r="AG14873" s="831" t="s">
        <v>2674</v>
      </c>
      <c r="AH14873" s="831" t="s">
        <v>570</v>
      </c>
      <c r="AI14873" s="831">
        <v>0</v>
      </c>
      <c r="AJ14873" s="835">
        <v>41121</v>
      </c>
      <c r="AK14873" s="831">
        <v>0</v>
      </c>
    </row>
    <row r="14874" spans="2:37">
      <c r="B14874" s="834" t="str">
        <f t="shared" si="545"/>
        <v>|||</v>
      </c>
      <c r="H14874" s="835">
        <f t="shared" si="546"/>
        <v>31</v>
      </c>
      <c r="AF14874" s="831" t="s">
        <v>10457</v>
      </c>
      <c r="AG14874" s="831" t="s">
        <v>2674</v>
      </c>
      <c r="AH14874" s="831" t="s">
        <v>571</v>
      </c>
      <c r="AI14874" s="831">
        <v>0</v>
      </c>
      <c r="AJ14874" s="835">
        <v>41121</v>
      </c>
      <c r="AK14874" s="831">
        <v>0</v>
      </c>
    </row>
    <row r="14875" spans="2:37">
      <c r="B14875" s="834" t="str">
        <f t="shared" si="545"/>
        <v>|||</v>
      </c>
      <c r="H14875" s="835">
        <f t="shared" si="546"/>
        <v>31</v>
      </c>
      <c r="AF14875" s="831" t="s">
        <v>10458</v>
      </c>
      <c r="AG14875" s="831" t="s">
        <v>2674</v>
      </c>
      <c r="AH14875" s="831" t="s">
        <v>573</v>
      </c>
      <c r="AI14875" s="831">
        <v>0</v>
      </c>
      <c r="AJ14875" s="835">
        <v>41121</v>
      </c>
      <c r="AK14875" s="831">
        <v>0</v>
      </c>
    </row>
    <row r="14876" spans="2:37">
      <c r="B14876" s="834" t="str">
        <f t="shared" si="545"/>
        <v>|||</v>
      </c>
      <c r="H14876" s="835">
        <f t="shared" si="546"/>
        <v>31</v>
      </c>
      <c r="AF14876" s="831" t="s">
        <v>10459</v>
      </c>
      <c r="AG14876" s="831" t="s">
        <v>2674</v>
      </c>
      <c r="AH14876" s="831" t="s">
        <v>574</v>
      </c>
      <c r="AI14876" s="831">
        <v>0</v>
      </c>
      <c r="AJ14876" s="835">
        <v>41121</v>
      </c>
      <c r="AK14876" s="831">
        <v>0</v>
      </c>
    </row>
    <row r="14877" spans="2:37">
      <c r="B14877" s="834" t="str">
        <f t="shared" si="545"/>
        <v>|||</v>
      </c>
      <c r="H14877" s="835">
        <f t="shared" si="546"/>
        <v>31</v>
      </c>
      <c r="AF14877" s="831" t="s">
        <v>10460</v>
      </c>
      <c r="AG14877" s="831" t="s">
        <v>2674</v>
      </c>
      <c r="AH14877" s="831" t="s">
        <v>575</v>
      </c>
      <c r="AI14877" s="831">
        <v>0</v>
      </c>
      <c r="AJ14877" s="835">
        <v>41121</v>
      </c>
      <c r="AK14877" s="831">
        <v>0</v>
      </c>
    </row>
    <row r="14878" spans="2:37">
      <c r="B14878" s="834" t="str">
        <f t="shared" si="545"/>
        <v>|||</v>
      </c>
      <c r="H14878" s="835">
        <f t="shared" si="546"/>
        <v>31</v>
      </c>
      <c r="AF14878" s="831" t="s">
        <v>10461</v>
      </c>
      <c r="AG14878" s="831" t="s">
        <v>2674</v>
      </c>
      <c r="AH14878" s="831" t="s">
        <v>576</v>
      </c>
      <c r="AI14878" s="831">
        <v>0</v>
      </c>
      <c r="AJ14878" s="835">
        <v>41121</v>
      </c>
      <c r="AK14878" s="831">
        <v>0</v>
      </c>
    </row>
    <row r="14879" spans="2:37">
      <c r="B14879" s="834" t="str">
        <f t="shared" si="545"/>
        <v>|||</v>
      </c>
      <c r="H14879" s="835">
        <f t="shared" si="546"/>
        <v>31</v>
      </c>
      <c r="AF14879" s="831" t="s">
        <v>10462</v>
      </c>
      <c r="AG14879" s="831" t="s">
        <v>2674</v>
      </c>
      <c r="AH14879" s="831" t="s">
        <v>572</v>
      </c>
      <c r="AI14879" s="831">
        <v>0</v>
      </c>
      <c r="AJ14879" s="835">
        <v>41121</v>
      </c>
      <c r="AK14879" s="831">
        <v>-2146826246</v>
      </c>
    </row>
    <row r="14880" spans="2:37">
      <c r="B14880" s="834" t="str">
        <f t="shared" si="545"/>
        <v>|||</v>
      </c>
      <c r="H14880" s="835">
        <f t="shared" si="546"/>
        <v>31</v>
      </c>
      <c r="AF14880" s="831" t="s">
        <v>10463</v>
      </c>
      <c r="AG14880" s="831" t="s">
        <v>2674</v>
      </c>
      <c r="AH14880" s="831" t="s">
        <v>577</v>
      </c>
      <c r="AI14880" s="831">
        <v>0</v>
      </c>
      <c r="AJ14880" s="835">
        <v>41121</v>
      </c>
      <c r="AK14880" s="831">
        <v>-2146826246</v>
      </c>
    </row>
    <row r="14881" spans="2:37">
      <c r="B14881" s="834" t="str">
        <f t="shared" si="545"/>
        <v>|||</v>
      </c>
      <c r="H14881" s="835">
        <f t="shared" si="546"/>
        <v>31</v>
      </c>
      <c r="AF14881" s="831" t="s">
        <v>10464</v>
      </c>
      <c r="AG14881" s="831" t="s">
        <v>2674</v>
      </c>
      <c r="AH14881" s="831" t="s">
        <v>3042</v>
      </c>
      <c r="AI14881" s="831">
        <v>0</v>
      </c>
      <c r="AJ14881" s="835">
        <v>41121</v>
      </c>
      <c r="AK14881" s="831">
        <v>-2146826246</v>
      </c>
    </row>
    <row r="14882" spans="2:37">
      <c r="B14882" s="834" t="str">
        <f t="shared" si="545"/>
        <v>|||</v>
      </c>
      <c r="H14882" s="835">
        <f t="shared" si="546"/>
        <v>31</v>
      </c>
      <c r="AF14882" s="831" t="s">
        <v>10465</v>
      </c>
      <c r="AG14882" s="831" t="s">
        <v>2674</v>
      </c>
      <c r="AH14882" s="831" t="s">
        <v>3044</v>
      </c>
      <c r="AI14882" s="831">
        <v>0</v>
      </c>
      <c r="AJ14882" s="835">
        <v>41121</v>
      </c>
      <c r="AK14882" s="831">
        <v>-2146826246</v>
      </c>
    </row>
    <row r="14883" spans="2:37">
      <c r="B14883" s="834" t="str">
        <f t="shared" si="545"/>
        <v>|||</v>
      </c>
      <c r="H14883" s="835">
        <f t="shared" si="546"/>
        <v>31</v>
      </c>
      <c r="AF14883" s="831" t="s">
        <v>10466</v>
      </c>
      <c r="AG14883" s="831" t="s">
        <v>2674</v>
      </c>
      <c r="AH14883" s="831" t="s">
        <v>580</v>
      </c>
      <c r="AI14883" s="831">
        <v>0</v>
      </c>
      <c r="AJ14883" s="835">
        <v>41121</v>
      </c>
      <c r="AK14883" s="831">
        <v>-2146826246</v>
      </c>
    </row>
    <row r="14884" spans="2:37">
      <c r="B14884" s="834" t="str">
        <f t="shared" si="545"/>
        <v>|||</v>
      </c>
      <c r="H14884" s="835">
        <f t="shared" si="546"/>
        <v>31</v>
      </c>
      <c r="AF14884" s="831" t="s">
        <v>10467</v>
      </c>
      <c r="AG14884" s="831" t="s">
        <v>2674</v>
      </c>
      <c r="AH14884" s="831" t="s">
        <v>581</v>
      </c>
      <c r="AI14884" s="831">
        <v>0</v>
      </c>
      <c r="AJ14884" s="835">
        <v>41121</v>
      </c>
      <c r="AK14884" s="831">
        <v>-2146826246</v>
      </c>
    </row>
    <row r="14885" spans="2:37">
      <c r="B14885" s="834" t="str">
        <f t="shared" si="545"/>
        <v>|||</v>
      </c>
      <c r="H14885" s="835">
        <f t="shared" si="546"/>
        <v>31</v>
      </c>
      <c r="AF14885" s="831" t="s">
        <v>10468</v>
      </c>
      <c r="AG14885" s="831" t="s">
        <v>2674</v>
      </c>
      <c r="AH14885" s="831" t="s">
        <v>105</v>
      </c>
      <c r="AI14885" s="831">
        <v>0</v>
      </c>
      <c r="AJ14885" s="835">
        <v>41121</v>
      </c>
      <c r="AK14885" s="831">
        <v>164564846</v>
      </c>
    </row>
    <row r="14886" spans="2:37">
      <c r="B14886" s="834" t="str">
        <f t="shared" si="545"/>
        <v>|||</v>
      </c>
      <c r="H14886" s="835">
        <f t="shared" si="546"/>
        <v>31</v>
      </c>
      <c r="AF14886" s="831" t="s">
        <v>10469</v>
      </c>
      <c r="AG14886" s="831" t="s">
        <v>2674</v>
      </c>
      <c r="AH14886" s="831" t="s">
        <v>3049</v>
      </c>
      <c r="AI14886" s="831">
        <v>0</v>
      </c>
      <c r="AJ14886" s="835">
        <v>41121</v>
      </c>
      <c r="AK14886" s="831">
        <v>330970241</v>
      </c>
    </row>
    <row r="14887" spans="2:37">
      <c r="B14887" s="834" t="str">
        <f t="shared" si="545"/>
        <v>|||</v>
      </c>
      <c r="H14887" s="835">
        <f t="shared" si="546"/>
        <v>31</v>
      </c>
      <c r="AF14887" s="831" t="s">
        <v>10470</v>
      </c>
      <c r="AG14887" s="831" t="s">
        <v>2674</v>
      </c>
      <c r="AH14887" s="831" t="s">
        <v>103</v>
      </c>
      <c r="AI14887" s="831">
        <v>0</v>
      </c>
      <c r="AJ14887" s="835">
        <v>41121</v>
      </c>
      <c r="AK14887" s="831">
        <v>166405395</v>
      </c>
    </row>
    <row r="14888" spans="2:37">
      <c r="B14888" s="834" t="str">
        <f t="shared" si="545"/>
        <v>|||</v>
      </c>
      <c r="H14888" s="835">
        <f t="shared" si="546"/>
        <v>31</v>
      </c>
      <c r="AF14888" s="831" t="s">
        <v>10471</v>
      </c>
      <c r="AG14888" s="831" t="s">
        <v>2674</v>
      </c>
      <c r="AH14888" s="831" t="s">
        <v>182</v>
      </c>
      <c r="AI14888" s="831">
        <v>0</v>
      </c>
      <c r="AJ14888" s="835">
        <v>41121</v>
      </c>
      <c r="AK14888" s="831">
        <v>50915117.142857142</v>
      </c>
    </row>
    <row r="14889" spans="2:37">
      <c r="B14889" s="834" t="str">
        <f t="shared" si="545"/>
        <v>|||</v>
      </c>
      <c r="H14889" s="835">
        <f t="shared" si="546"/>
        <v>31</v>
      </c>
      <c r="AF14889" s="831" t="s">
        <v>10472</v>
      </c>
      <c r="AG14889" s="831" t="s">
        <v>2674</v>
      </c>
      <c r="AH14889" s="831" t="s">
        <v>6600</v>
      </c>
      <c r="AI14889" s="831">
        <v>0</v>
      </c>
      <c r="AJ14889" s="835">
        <v>41121</v>
      </c>
      <c r="AK14889" s="831">
        <v>-2146826246</v>
      </c>
    </row>
    <row r="14890" spans="2:37">
      <c r="B14890" s="834" t="str">
        <f t="shared" si="545"/>
        <v>|||</v>
      </c>
      <c r="H14890" s="835">
        <f t="shared" si="546"/>
        <v>31</v>
      </c>
      <c r="AF14890" s="831" t="s">
        <v>10473</v>
      </c>
      <c r="AG14890" s="831" t="s">
        <v>2674</v>
      </c>
      <c r="AH14890" s="831" t="s">
        <v>6602</v>
      </c>
      <c r="AI14890" s="831">
        <v>0</v>
      </c>
      <c r="AJ14890" s="835">
        <v>41121</v>
      </c>
      <c r="AK14890" s="831">
        <v>8103905</v>
      </c>
    </row>
    <row r="14891" spans="2:37">
      <c r="B14891" s="834" t="str">
        <f t="shared" si="545"/>
        <v>|||</v>
      </c>
      <c r="H14891" s="835">
        <f t="shared" si="546"/>
        <v>31</v>
      </c>
      <c r="AF14891" s="831" t="s">
        <v>10474</v>
      </c>
      <c r="AG14891" s="831" t="s">
        <v>2674</v>
      </c>
      <c r="AH14891" s="831" t="s">
        <v>650</v>
      </c>
      <c r="AI14891" s="831">
        <v>0</v>
      </c>
      <c r="AJ14891" s="835">
        <v>41121</v>
      </c>
      <c r="AK14891" s="831">
        <v>0</v>
      </c>
    </row>
    <row r="14892" spans="2:37">
      <c r="B14892" s="834" t="str">
        <f t="shared" si="545"/>
        <v>|||</v>
      </c>
      <c r="H14892" s="835">
        <f t="shared" si="546"/>
        <v>31</v>
      </c>
      <c r="AF14892" s="831" t="s">
        <v>10475</v>
      </c>
      <c r="AG14892" s="831" t="s">
        <v>2674</v>
      </c>
      <c r="AH14892" s="831" t="s">
        <v>655</v>
      </c>
      <c r="AI14892" s="831">
        <v>0</v>
      </c>
      <c r="AJ14892" s="835">
        <v>41121</v>
      </c>
      <c r="AK14892" s="831">
        <v>2307351</v>
      </c>
    </row>
    <row r="14893" spans="2:37">
      <c r="B14893" s="834" t="str">
        <f t="shared" si="545"/>
        <v>|||</v>
      </c>
      <c r="H14893" s="835">
        <f t="shared" si="546"/>
        <v>31</v>
      </c>
      <c r="AF14893" s="831" t="s">
        <v>10476</v>
      </c>
      <c r="AG14893" s="831" t="s">
        <v>2674</v>
      </c>
      <c r="AH14893" s="831" t="s">
        <v>546</v>
      </c>
      <c r="AI14893" s="831">
        <v>0</v>
      </c>
      <c r="AJ14893" s="835">
        <v>41152</v>
      </c>
      <c r="AK14893" s="831">
        <v>362295244</v>
      </c>
    </row>
    <row r="14894" spans="2:37">
      <c r="B14894" s="834" t="str">
        <f t="shared" si="545"/>
        <v>|||</v>
      </c>
      <c r="H14894" s="835">
        <f t="shared" si="546"/>
        <v>31</v>
      </c>
      <c r="AF14894" s="831" t="s">
        <v>10477</v>
      </c>
      <c r="AG14894" s="831" t="s">
        <v>2674</v>
      </c>
      <c r="AH14894" s="831" t="s">
        <v>370</v>
      </c>
      <c r="AI14894" s="831">
        <v>0</v>
      </c>
      <c r="AJ14894" s="835">
        <v>41152</v>
      </c>
      <c r="AK14894" s="831">
        <v>452262206</v>
      </c>
    </row>
    <row r="14895" spans="2:37">
      <c r="B14895" s="834" t="str">
        <f t="shared" si="545"/>
        <v>|||</v>
      </c>
      <c r="H14895" s="835">
        <f t="shared" si="546"/>
        <v>31</v>
      </c>
      <c r="AF14895" s="831" t="s">
        <v>10478</v>
      </c>
      <c r="AG14895" s="831" t="s">
        <v>2674</v>
      </c>
      <c r="AH14895" s="831" t="s">
        <v>126</v>
      </c>
      <c r="AI14895" s="831">
        <v>0</v>
      </c>
      <c r="AJ14895" s="835">
        <v>41152</v>
      </c>
      <c r="AK14895" s="831">
        <v>95414973</v>
      </c>
    </row>
    <row r="14896" spans="2:37">
      <c r="B14896" s="834" t="str">
        <f t="shared" si="545"/>
        <v>|||</v>
      </c>
      <c r="H14896" s="835">
        <f t="shared" si="546"/>
        <v>31</v>
      </c>
      <c r="AF14896" s="831" t="s">
        <v>10479</v>
      </c>
      <c r="AG14896" s="831" t="s">
        <v>2674</v>
      </c>
      <c r="AH14896" s="831" t="s">
        <v>268</v>
      </c>
      <c r="AI14896" s="831">
        <v>0</v>
      </c>
      <c r="AJ14896" s="835">
        <v>41152</v>
      </c>
      <c r="AK14896" s="831">
        <v>10092049</v>
      </c>
    </row>
    <row r="14897" spans="2:37">
      <c r="B14897" s="834" t="str">
        <f t="shared" si="545"/>
        <v>|||</v>
      </c>
      <c r="H14897" s="835">
        <f t="shared" si="546"/>
        <v>31</v>
      </c>
      <c r="AF14897" s="831" t="s">
        <v>10480</v>
      </c>
      <c r="AG14897" s="831" t="s">
        <v>2674</v>
      </c>
      <c r="AH14897" s="831" t="s">
        <v>547</v>
      </c>
      <c r="AI14897" s="831">
        <v>0</v>
      </c>
      <c r="AJ14897" s="835">
        <v>41152</v>
      </c>
      <c r="AK14897" s="831">
        <v>0</v>
      </c>
    </row>
    <row r="14898" spans="2:37">
      <c r="B14898" s="834" t="str">
        <f t="shared" si="545"/>
        <v>|||</v>
      </c>
      <c r="H14898" s="835">
        <f t="shared" si="546"/>
        <v>31</v>
      </c>
      <c r="AF14898" s="831" t="s">
        <v>10481</v>
      </c>
      <c r="AG14898" s="831" t="s">
        <v>2674</v>
      </c>
      <c r="AH14898" s="831" t="s">
        <v>548</v>
      </c>
      <c r="AI14898" s="831">
        <v>0</v>
      </c>
      <c r="AJ14898" s="835">
        <v>41152</v>
      </c>
      <c r="AK14898" s="831">
        <v>0</v>
      </c>
    </row>
    <row r="14899" spans="2:37">
      <c r="B14899" s="834" t="str">
        <f t="shared" si="545"/>
        <v>|||</v>
      </c>
      <c r="H14899" s="835">
        <f t="shared" si="546"/>
        <v>31</v>
      </c>
      <c r="AF14899" s="831" t="s">
        <v>10482</v>
      </c>
      <c r="AG14899" s="831" t="s">
        <v>2674</v>
      </c>
      <c r="AH14899" s="831" t="s">
        <v>549</v>
      </c>
      <c r="AI14899" s="831">
        <v>0</v>
      </c>
      <c r="AJ14899" s="835">
        <v>41152</v>
      </c>
      <c r="AK14899" s="831">
        <v>0</v>
      </c>
    </row>
    <row r="14900" spans="2:37">
      <c r="B14900" s="834" t="str">
        <f t="shared" si="545"/>
        <v>|||</v>
      </c>
      <c r="H14900" s="835">
        <f t="shared" si="546"/>
        <v>31</v>
      </c>
      <c r="AF14900" s="831" t="s">
        <v>10483</v>
      </c>
      <c r="AG14900" s="831" t="s">
        <v>2674</v>
      </c>
      <c r="AH14900" s="831" t="s">
        <v>192</v>
      </c>
      <c r="AI14900" s="831">
        <v>0</v>
      </c>
      <c r="AJ14900" s="835">
        <v>41152</v>
      </c>
      <c r="AK14900" s="831">
        <v>-9148265</v>
      </c>
    </row>
    <row r="14901" spans="2:37">
      <c r="B14901" s="834" t="str">
        <f t="shared" si="545"/>
        <v>|||</v>
      </c>
      <c r="H14901" s="835">
        <f t="shared" si="546"/>
        <v>31</v>
      </c>
      <c r="AF14901" s="831" t="s">
        <v>10484</v>
      </c>
      <c r="AG14901" s="831" t="s">
        <v>2674</v>
      </c>
      <c r="AH14901" s="831" t="s">
        <v>558</v>
      </c>
      <c r="AI14901" s="831">
        <v>0</v>
      </c>
      <c r="AJ14901" s="835">
        <v>41152</v>
      </c>
      <c r="AK14901" s="831">
        <v>356847233</v>
      </c>
    </row>
    <row r="14902" spans="2:37">
      <c r="B14902" s="834" t="str">
        <f t="shared" si="545"/>
        <v>|||</v>
      </c>
      <c r="H14902" s="835">
        <f t="shared" si="546"/>
        <v>31</v>
      </c>
      <c r="AF14902" s="831" t="s">
        <v>10485</v>
      </c>
      <c r="AG14902" s="831" t="s">
        <v>2674</v>
      </c>
      <c r="AH14902" s="831" t="s">
        <v>65</v>
      </c>
      <c r="AI14902" s="831">
        <v>0</v>
      </c>
      <c r="AJ14902" s="835">
        <v>41152</v>
      </c>
      <c r="AK14902" s="831">
        <v>63143485</v>
      </c>
    </row>
    <row r="14903" spans="2:37">
      <c r="B14903" s="834" t="str">
        <f t="shared" si="545"/>
        <v>|||</v>
      </c>
      <c r="H14903" s="835">
        <f t="shared" si="546"/>
        <v>31</v>
      </c>
      <c r="AF14903" s="831" t="s">
        <v>10486</v>
      </c>
      <c r="AG14903" s="831" t="s">
        <v>2674</v>
      </c>
      <c r="AH14903" s="831" t="s">
        <v>89</v>
      </c>
      <c r="AI14903" s="831">
        <v>0</v>
      </c>
      <c r="AJ14903" s="835">
        <v>41152</v>
      </c>
      <c r="AK14903" s="831">
        <v>122109</v>
      </c>
    </row>
    <row r="14904" spans="2:37">
      <c r="B14904" s="834" t="str">
        <f t="shared" si="545"/>
        <v>|||</v>
      </c>
      <c r="H14904" s="835">
        <f t="shared" si="546"/>
        <v>31</v>
      </c>
      <c r="AF14904" s="831" t="s">
        <v>10487</v>
      </c>
      <c r="AG14904" s="831" t="s">
        <v>2674</v>
      </c>
      <c r="AH14904" s="831" t="s">
        <v>557</v>
      </c>
      <c r="AI14904" s="831">
        <v>0</v>
      </c>
      <c r="AJ14904" s="835">
        <v>41152</v>
      </c>
      <c r="AK14904" s="831">
        <v>123973</v>
      </c>
    </row>
    <row r="14905" spans="2:37">
      <c r="B14905" s="834" t="str">
        <f t="shared" si="545"/>
        <v>|||</v>
      </c>
      <c r="H14905" s="835">
        <f t="shared" si="546"/>
        <v>31</v>
      </c>
      <c r="AF14905" s="831" t="s">
        <v>10488</v>
      </c>
      <c r="AG14905" s="831" t="s">
        <v>2674</v>
      </c>
      <c r="AH14905" s="831" t="s">
        <v>29</v>
      </c>
      <c r="AI14905" s="831">
        <v>0</v>
      </c>
      <c r="AJ14905" s="835">
        <v>41152</v>
      </c>
      <c r="AK14905" s="831">
        <v>2024314</v>
      </c>
    </row>
    <row r="14906" spans="2:37">
      <c r="B14906" s="834" t="str">
        <f t="shared" si="545"/>
        <v>|||</v>
      </c>
      <c r="H14906" s="835">
        <f t="shared" si="546"/>
        <v>31</v>
      </c>
      <c r="AF14906" s="831" t="s">
        <v>10489</v>
      </c>
      <c r="AG14906" s="831" t="s">
        <v>2674</v>
      </c>
      <c r="AH14906" s="831" t="s">
        <v>2688</v>
      </c>
      <c r="AI14906" s="831">
        <v>0</v>
      </c>
      <c r="AJ14906" s="835">
        <v>41152</v>
      </c>
      <c r="AK14906" s="831">
        <v>2600544</v>
      </c>
    </row>
    <row r="14907" spans="2:37">
      <c r="B14907" s="834" t="str">
        <f t="shared" si="545"/>
        <v>|||</v>
      </c>
      <c r="H14907" s="835">
        <f t="shared" si="546"/>
        <v>31</v>
      </c>
      <c r="AF14907" s="831" t="s">
        <v>10490</v>
      </c>
      <c r="AG14907" s="831" t="s">
        <v>2674</v>
      </c>
      <c r="AH14907" s="831" t="s">
        <v>556</v>
      </c>
      <c r="AI14907" s="831">
        <v>0</v>
      </c>
      <c r="AJ14907" s="835">
        <v>41152</v>
      </c>
      <c r="AK14907" s="831">
        <v>902857</v>
      </c>
    </row>
    <row r="14908" spans="2:37">
      <c r="B14908" s="834" t="str">
        <f t="shared" si="545"/>
        <v>|||</v>
      </c>
      <c r="H14908" s="835">
        <f t="shared" si="546"/>
        <v>31</v>
      </c>
      <c r="AF14908" s="831" t="s">
        <v>10491</v>
      </c>
      <c r="AG14908" s="831" t="s">
        <v>2674</v>
      </c>
      <c r="AH14908" s="831" t="s">
        <v>555</v>
      </c>
      <c r="AI14908" s="831">
        <v>0</v>
      </c>
      <c r="AJ14908" s="835">
        <v>41152</v>
      </c>
      <c r="AK14908" s="831">
        <v>221766870</v>
      </c>
    </row>
    <row r="14909" spans="2:37">
      <c r="B14909" s="834" t="str">
        <f t="shared" si="545"/>
        <v>|||</v>
      </c>
      <c r="H14909" s="835">
        <f t="shared" si="546"/>
        <v>31</v>
      </c>
      <c r="AF14909" s="831" t="s">
        <v>10492</v>
      </c>
      <c r="AG14909" s="831" t="s">
        <v>2674</v>
      </c>
      <c r="AH14909" s="831" t="s">
        <v>554</v>
      </c>
      <c r="AI14909" s="831">
        <v>0</v>
      </c>
      <c r="AJ14909" s="835">
        <v>41152</v>
      </c>
      <c r="AK14909" s="831">
        <v>217001920</v>
      </c>
    </row>
    <row r="14910" spans="2:37">
      <c r="B14910" s="834" t="str">
        <f t="shared" si="545"/>
        <v>|||</v>
      </c>
      <c r="H14910" s="835">
        <f t="shared" si="546"/>
        <v>31</v>
      </c>
      <c r="AF14910" s="831" t="s">
        <v>10493</v>
      </c>
      <c r="AG14910" s="831" t="s">
        <v>2674</v>
      </c>
      <c r="AH14910" s="831" t="s">
        <v>553</v>
      </c>
      <c r="AI14910" s="831">
        <v>0</v>
      </c>
      <c r="AJ14910" s="835">
        <v>41152</v>
      </c>
      <c r="AK14910" s="831">
        <v>0</v>
      </c>
    </row>
    <row r="14911" spans="2:37">
      <c r="B14911" s="834" t="str">
        <f t="shared" si="545"/>
        <v>|||</v>
      </c>
      <c r="H14911" s="835">
        <f t="shared" si="546"/>
        <v>31</v>
      </c>
      <c r="AF14911" s="831" t="s">
        <v>10494</v>
      </c>
      <c r="AG14911" s="831" t="s">
        <v>2674</v>
      </c>
      <c r="AH14911" s="831" t="s">
        <v>552</v>
      </c>
      <c r="AI14911" s="831">
        <v>0</v>
      </c>
      <c r="AJ14911" s="835">
        <v>41152</v>
      </c>
      <c r="AK14911" s="831">
        <v>0</v>
      </c>
    </row>
    <row r="14912" spans="2:37">
      <c r="B14912" s="834" t="str">
        <f t="shared" si="545"/>
        <v>|||</v>
      </c>
      <c r="H14912" s="835">
        <f t="shared" si="546"/>
        <v>31</v>
      </c>
      <c r="AF14912" s="831" t="s">
        <v>10495</v>
      </c>
      <c r="AG14912" s="831" t="s">
        <v>2674</v>
      </c>
      <c r="AH14912" s="831" t="s">
        <v>551</v>
      </c>
      <c r="AI14912" s="831">
        <v>0</v>
      </c>
      <c r="AJ14912" s="835">
        <v>41152</v>
      </c>
      <c r="AK14912" s="831">
        <v>1690236</v>
      </c>
    </row>
    <row r="14913" spans="2:37">
      <c r="B14913" s="834" t="str">
        <f t="shared" si="545"/>
        <v>|||</v>
      </c>
      <c r="H14913" s="835">
        <f t="shared" si="546"/>
        <v>31</v>
      </c>
      <c r="AF14913" s="831" t="s">
        <v>10496</v>
      </c>
      <c r="AG14913" s="831" t="s">
        <v>2674</v>
      </c>
      <c r="AH14913" s="831" t="s">
        <v>550</v>
      </c>
      <c r="AI14913" s="831">
        <v>0</v>
      </c>
      <c r="AJ14913" s="835">
        <v>41152</v>
      </c>
      <c r="AK14913" s="831">
        <v>93426827</v>
      </c>
    </row>
    <row r="14914" spans="2:37">
      <c r="B14914" s="834" t="str">
        <f t="shared" si="545"/>
        <v>|||</v>
      </c>
      <c r="H14914" s="835">
        <f t="shared" si="546"/>
        <v>31</v>
      </c>
      <c r="AF14914" s="831" t="s">
        <v>10497</v>
      </c>
      <c r="AG14914" s="831" t="s">
        <v>2674</v>
      </c>
      <c r="AH14914" s="831" t="s">
        <v>562</v>
      </c>
      <c r="AI14914" s="831">
        <v>0</v>
      </c>
      <c r="AJ14914" s="835">
        <v>41152</v>
      </c>
      <c r="AK14914" s="831">
        <v>0.78449999999999998</v>
      </c>
    </row>
    <row r="14915" spans="2:37">
      <c r="B14915" s="834" t="str">
        <f t="shared" si="545"/>
        <v>|||</v>
      </c>
      <c r="H14915" s="835">
        <f t="shared" si="546"/>
        <v>31</v>
      </c>
      <c r="AF14915" s="831" t="s">
        <v>10498</v>
      </c>
      <c r="AG14915" s="831" t="s">
        <v>2674</v>
      </c>
      <c r="AH14915" s="831" t="s">
        <v>2698</v>
      </c>
      <c r="AI14915" s="831">
        <v>0</v>
      </c>
      <c r="AJ14915" s="835">
        <v>41152</v>
      </c>
      <c r="AK14915" s="831">
        <v>0.78495000000000004</v>
      </c>
    </row>
    <row r="14916" spans="2:37">
      <c r="B14916" s="834" t="str">
        <f t="shared" si="545"/>
        <v>|||</v>
      </c>
      <c r="H14916" s="835">
        <f t="shared" si="546"/>
        <v>31</v>
      </c>
      <c r="AF14916" s="831" t="s">
        <v>10499</v>
      </c>
      <c r="AG14916" s="831" t="s">
        <v>2674</v>
      </c>
      <c r="AH14916" s="831" t="s">
        <v>560</v>
      </c>
      <c r="AI14916" s="831">
        <v>0</v>
      </c>
      <c r="AJ14916" s="835">
        <v>41152</v>
      </c>
      <c r="AK14916" s="831">
        <v>0.78543750000000001</v>
      </c>
    </row>
    <row r="14917" spans="2:37">
      <c r="B14917" s="834" t="str">
        <f t="shared" si="545"/>
        <v>|||</v>
      </c>
      <c r="H14917" s="835">
        <f t="shared" si="546"/>
        <v>31</v>
      </c>
      <c r="AF14917" s="831" t="s">
        <v>10500</v>
      </c>
      <c r="AG14917" s="831" t="s">
        <v>2674</v>
      </c>
      <c r="AH14917" s="831" t="s">
        <v>559</v>
      </c>
      <c r="AI14917" s="831">
        <v>0</v>
      </c>
      <c r="AJ14917" s="835">
        <v>41152</v>
      </c>
      <c r="AK14917" s="831">
        <v>0.78544999999999998</v>
      </c>
    </row>
    <row r="14918" spans="2:37">
      <c r="B14918" s="834" t="str">
        <f t="shared" si="545"/>
        <v>|||</v>
      </c>
      <c r="H14918" s="835">
        <f t="shared" si="546"/>
        <v>31</v>
      </c>
      <c r="AF14918" s="831" t="s">
        <v>10501</v>
      </c>
      <c r="AG14918" s="831" t="s">
        <v>2674</v>
      </c>
      <c r="AH14918" s="831" t="s">
        <v>568</v>
      </c>
      <c r="AI14918" s="831">
        <v>0</v>
      </c>
      <c r="AJ14918" s="835">
        <v>41152</v>
      </c>
      <c r="AK14918" s="831">
        <v>0</v>
      </c>
    </row>
    <row r="14919" spans="2:37">
      <c r="B14919" s="834" t="str">
        <f t="shared" si="545"/>
        <v>|||</v>
      </c>
      <c r="H14919" s="835">
        <f t="shared" si="546"/>
        <v>31</v>
      </c>
      <c r="AF14919" s="831" t="s">
        <v>10502</v>
      </c>
      <c r="AG14919" s="831" t="s">
        <v>2674</v>
      </c>
      <c r="AH14919" s="831" t="s">
        <v>569</v>
      </c>
      <c r="AI14919" s="831">
        <v>0</v>
      </c>
      <c r="AJ14919" s="835">
        <v>41152</v>
      </c>
      <c r="AK14919" s="831">
        <v>0</v>
      </c>
    </row>
    <row r="14920" spans="2:37">
      <c r="B14920" s="834" t="str">
        <f t="shared" si="545"/>
        <v>|||</v>
      </c>
      <c r="H14920" s="835">
        <f t="shared" si="546"/>
        <v>31</v>
      </c>
      <c r="AF14920" s="831" t="s">
        <v>10503</v>
      </c>
      <c r="AG14920" s="831" t="s">
        <v>2674</v>
      </c>
      <c r="AH14920" s="831" t="s">
        <v>570</v>
      </c>
      <c r="AI14920" s="831">
        <v>0</v>
      </c>
      <c r="AJ14920" s="835">
        <v>41152</v>
      </c>
      <c r="AK14920" s="831">
        <v>0</v>
      </c>
    </row>
    <row r="14921" spans="2:37">
      <c r="B14921" s="834" t="str">
        <f t="shared" si="545"/>
        <v>|||</v>
      </c>
      <c r="H14921" s="835">
        <f t="shared" si="546"/>
        <v>31</v>
      </c>
      <c r="AF14921" s="831" t="s">
        <v>10504</v>
      </c>
      <c r="AG14921" s="831" t="s">
        <v>2674</v>
      </c>
      <c r="AH14921" s="831" t="s">
        <v>571</v>
      </c>
      <c r="AI14921" s="831">
        <v>0</v>
      </c>
      <c r="AJ14921" s="835">
        <v>41152</v>
      </c>
      <c r="AK14921" s="831">
        <v>0</v>
      </c>
    </row>
    <row r="14922" spans="2:37">
      <c r="B14922" s="834" t="str">
        <f t="shared" si="545"/>
        <v>|||</v>
      </c>
      <c r="H14922" s="835">
        <f t="shared" si="546"/>
        <v>31</v>
      </c>
      <c r="AF14922" s="831" t="s">
        <v>10505</v>
      </c>
      <c r="AG14922" s="831" t="s">
        <v>2674</v>
      </c>
      <c r="AH14922" s="831" t="s">
        <v>573</v>
      </c>
      <c r="AI14922" s="831">
        <v>0</v>
      </c>
      <c r="AJ14922" s="835">
        <v>41152</v>
      </c>
      <c r="AK14922" s="831">
        <v>0</v>
      </c>
    </row>
    <row r="14923" spans="2:37">
      <c r="B14923" s="834" t="str">
        <f t="shared" si="545"/>
        <v>|||</v>
      </c>
      <c r="H14923" s="835">
        <f t="shared" si="546"/>
        <v>31</v>
      </c>
      <c r="AF14923" s="831" t="s">
        <v>10506</v>
      </c>
      <c r="AG14923" s="831" t="s">
        <v>2674</v>
      </c>
      <c r="AH14923" s="831" t="s">
        <v>574</v>
      </c>
      <c r="AI14923" s="831">
        <v>0</v>
      </c>
      <c r="AJ14923" s="835">
        <v>41152</v>
      </c>
      <c r="AK14923" s="831">
        <v>0</v>
      </c>
    </row>
    <row r="14924" spans="2:37">
      <c r="B14924" s="834" t="str">
        <f t="shared" si="545"/>
        <v>|||</v>
      </c>
      <c r="H14924" s="835">
        <f t="shared" si="546"/>
        <v>31</v>
      </c>
      <c r="AF14924" s="831" t="s">
        <v>10507</v>
      </c>
      <c r="AG14924" s="831" t="s">
        <v>2674</v>
      </c>
      <c r="AH14924" s="831" t="s">
        <v>575</v>
      </c>
      <c r="AI14924" s="831">
        <v>0</v>
      </c>
      <c r="AJ14924" s="835">
        <v>41152</v>
      </c>
      <c r="AK14924" s="831">
        <v>0</v>
      </c>
    </row>
    <row r="14925" spans="2:37">
      <c r="B14925" s="834" t="str">
        <f t="shared" si="545"/>
        <v>|||</v>
      </c>
      <c r="H14925" s="835">
        <f t="shared" si="546"/>
        <v>31</v>
      </c>
      <c r="AF14925" s="831" t="s">
        <v>10508</v>
      </c>
      <c r="AG14925" s="831" t="s">
        <v>2674</v>
      </c>
      <c r="AH14925" s="831" t="s">
        <v>576</v>
      </c>
      <c r="AI14925" s="831">
        <v>0</v>
      </c>
      <c r="AJ14925" s="835">
        <v>41152</v>
      </c>
      <c r="AK14925" s="831">
        <v>0</v>
      </c>
    </row>
    <row r="14926" spans="2:37">
      <c r="B14926" s="834" t="str">
        <f t="shared" si="545"/>
        <v>|||</v>
      </c>
      <c r="H14926" s="835">
        <f t="shared" si="546"/>
        <v>31</v>
      </c>
      <c r="AF14926" s="831" t="s">
        <v>10509</v>
      </c>
      <c r="AG14926" s="831" t="s">
        <v>2674</v>
      </c>
      <c r="AH14926" s="831" t="s">
        <v>572</v>
      </c>
      <c r="AI14926" s="831">
        <v>0</v>
      </c>
      <c r="AJ14926" s="835">
        <v>41152</v>
      </c>
      <c r="AK14926" s="831">
        <v>-2146826246</v>
      </c>
    </row>
    <row r="14927" spans="2:37">
      <c r="B14927" s="834" t="str">
        <f t="shared" si="545"/>
        <v>|||</v>
      </c>
      <c r="H14927" s="835">
        <f t="shared" si="546"/>
        <v>31</v>
      </c>
      <c r="AF14927" s="831" t="s">
        <v>10510</v>
      </c>
      <c r="AG14927" s="831" t="s">
        <v>2674</v>
      </c>
      <c r="AH14927" s="831" t="s">
        <v>577</v>
      </c>
      <c r="AI14927" s="831">
        <v>0</v>
      </c>
      <c r="AJ14927" s="835">
        <v>41152</v>
      </c>
      <c r="AK14927" s="831">
        <v>-2146826246</v>
      </c>
    </row>
    <row r="14928" spans="2:37">
      <c r="B14928" s="834" t="str">
        <f t="shared" si="545"/>
        <v>|||</v>
      </c>
      <c r="H14928" s="835">
        <f t="shared" si="546"/>
        <v>31</v>
      </c>
      <c r="AF14928" s="831" t="s">
        <v>10511</v>
      </c>
      <c r="AG14928" s="831" t="s">
        <v>2674</v>
      </c>
      <c r="AH14928" s="831" t="s">
        <v>3042</v>
      </c>
      <c r="AI14928" s="831">
        <v>0</v>
      </c>
      <c r="AJ14928" s="835">
        <v>41152</v>
      </c>
      <c r="AK14928" s="831">
        <v>-2146826246</v>
      </c>
    </row>
    <row r="14929" spans="2:37">
      <c r="B14929" s="834" t="str">
        <f t="shared" ref="B14929:B14992" si="547">C14929&amp;"|"&amp;D14929&amp;"|"&amp;E14929&amp;"|"&amp;F14929</f>
        <v>|||</v>
      </c>
      <c r="H14929" s="835">
        <f t="shared" ref="H14929:H14992" si="548">EOMONTH(L14929,0)</f>
        <v>31</v>
      </c>
      <c r="AF14929" s="831" t="s">
        <v>10512</v>
      </c>
      <c r="AG14929" s="831" t="s">
        <v>2674</v>
      </c>
      <c r="AH14929" s="831" t="s">
        <v>3044</v>
      </c>
      <c r="AI14929" s="831">
        <v>0</v>
      </c>
      <c r="AJ14929" s="835">
        <v>41152</v>
      </c>
      <c r="AK14929" s="831">
        <v>-2146826246</v>
      </c>
    </row>
    <row r="14930" spans="2:37">
      <c r="B14930" s="834" t="str">
        <f t="shared" si="547"/>
        <v>|||</v>
      </c>
      <c r="H14930" s="835">
        <f t="shared" si="548"/>
        <v>31</v>
      </c>
      <c r="AF14930" s="831" t="s">
        <v>10513</v>
      </c>
      <c r="AG14930" s="831" t="s">
        <v>2674</v>
      </c>
      <c r="AH14930" s="831" t="s">
        <v>580</v>
      </c>
      <c r="AI14930" s="831">
        <v>0</v>
      </c>
      <c r="AJ14930" s="835">
        <v>41152</v>
      </c>
      <c r="AK14930" s="831">
        <v>-2146826246</v>
      </c>
    </row>
    <row r="14931" spans="2:37">
      <c r="B14931" s="834" t="str">
        <f t="shared" si="547"/>
        <v>|||</v>
      </c>
      <c r="H14931" s="835">
        <f t="shared" si="548"/>
        <v>31</v>
      </c>
      <c r="AF14931" s="831" t="s">
        <v>10514</v>
      </c>
      <c r="AG14931" s="831" t="s">
        <v>2674</v>
      </c>
      <c r="AH14931" s="831" t="s">
        <v>581</v>
      </c>
      <c r="AI14931" s="831">
        <v>0</v>
      </c>
      <c r="AJ14931" s="835">
        <v>41152</v>
      </c>
      <c r="AK14931" s="831">
        <v>-2146826246</v>
      </c>
    </row>
    <row r="14932" spans="2:37">
      <c r="B14932" s="834" t="str">
        <f t="shared" si="547"/>
        <v>|||</v>
      </c>
      <c r="H14932" s="835">
        <f t="shared" si="548"/>
        <v>31</v>
      </c>
      <c r="AF14932" s="831" t="s">
        <v>10515</v>
      </c>
      <c r="AG14932" s="831" t="s">
        <v>2674</v>
      </c>
      <c r="AH14932" s="831" t="s">
        <v>105</v>
      </c>
      <c r="AI14932" s="831">
        <v>0</v>
      </c>
      <c r="AJ14932" s="835">
        <v>41152</v>
      </c>
      <c r="AK14932" s="831">
        <v>180384094</v>
      </c>
    </row>
    <row r="14933" spans="2:37">
      <c r="B14933" s="834" t="str">
        <f t="shared" si="547"/>
        <v>|||</v>
      </c>
      <c r="H14933" s="835">
        <f t="shared" si="548"/>
        <v>31</v>
      </c>
      <c r="AF14933" s="831" t="s">
        <v>10516</v>
      </c>
      <c r="AG14933" s="831" t="s">
        <v>2674</v>
      </c>
      <c r="AH14933" s="831" t="s">
        <v>3049</v>
      </c>
      <c r="AI14933" s="831">
        <v>0</v>
      </c>
      <c r="AJ14933" s="835">
        <v>41152</v>
      </c>
      <c r="AK14933" s="831">
        <v>343993651</v>
      </c>
    </row>
    <row r="14934" spans="2:37">
      <c r="B14934" s="834" t="str">
        <f t="shared" si="547"/>
        <v>|||</v>
      </c>
      <c r="H14934" s="835">
        <f t="shared" si="548"/>
        <v>31</v>
      </c>
      <c r="AF14934" s="831" t="s">
        <v>10517</v>
      </c>
      <c r="AG14934" s="831" t="s">
        <v>2674</v>
      </c>
      <c r="AH14934" s="831" t="s">
        <v>103</v>
      </c>
      <c r="AI14934" s="831">
        <v>0</v>
      </c>
      <c r="AJ14934" s="835">
        <v>41152</v>
      </c>
      <c r="AK14934" s="831">
        <v>163609557</v>
      </c>
    </row>
    <row r="14935" spans="2:37">
      <c r="B14935" s="834" t="str">
        <f t="shared" si="547"/>
        <v>|||</v>
      </c>
      <c r="H14935" s="835">
        <f t="shared" si="548"/>
        <v>31</v>
      </c>
      <c r="AF14935" s="831" t="s">
        <v>10518</v>
      </c>
      <c r="AG14935" s="831" t="s">
        <v>2674</v>
      </c>
      <c r="AH14935" s="831" t="s">
        <v>182</v>
      </c>
      <c r="AI14935" s="831">
        <v>0</v>
      </c>
      <c r="AJ14935" s="835">
        <v>41152</v>
      </c>
      <c r="AK14935" s="831">
        <v>50326770</v>
      </c>
    </row>
    <row r="14936" spans="2:37">
      <c r="B14936" s="834" t="str">
        <f t="shared" si="547"/>
        <v>|||</v>
      </c>
      <c r="H14936" s="835">
        <f t="shared" si="548"/>
        <v>31</v>
      </c>
      <c r="AF14936" s="831" t="s">
        <v>10519</v>
      </c>
      <c r="AG14936" s="831" t="s">
        <v>2674</v>
      </c>
      <c r="AH14936" s="831" t="s">
        <v>6600</v>
      </c>
      <c r="AI14936" s="831">
        <v>0</v>
      </c>
      <c r="AJ14936" s="835">
        <v>41152</v>
      </c>
      <c r="AK14936" s="831">
        <v>-2146826246</v>
      </c>
    </row>
    <row r="14937" spans="2:37">
      <c r="B14937" s="834" t="str">
        <f t="shared" si="547"/>
        <v>|||</v>
      </c>
      <c r="H14937" s="835">
        <f t="shared" si="548"/>
        <v>31</v>
      </c>
      <c r="AF14937" s="831" t="s">
        <v>10520</v>
      </c>
      <c r="AG14937" s="831" t="s">
        <v>2674</v>
      </c>
      <c r="AH14937" s="831" t="s">
        <v>6602</v>
      </c>
      <c r="AI14937" s="831">
        <v>0</v>
      </c>
      <c r="AJ14937" s="835">
        <v>41152</v>
      </c>
      <c r="AK14937" s="831">
        <v>10092049</v>
      </c>
    </row>
    <row r="14938" spans="2:37">
      <c r="B14938" s="834" t="str">
        <f t="shared" si="547"/>
        <v>|||</v>
      </c>
      <c r="H14938" s="835">
        <f t="shared" si="548"/>
        <v>31</v>
      </c>
      <c r="AF14938" s="831" t="s">
        <v>10521</v>
      </c>
      <c r="AG14938" s="831" t="s">
        <v>2674</v>
      </c>
      <c r="AH14938" s="831" t="s">
        <v>650</v>
      </c>
      <c r="AI14938" s="831">
        <v>0</v>
      </c>
      <c r="AJ14938" s="835">
        <v>41152</v>
      </c>
      <c r="AK14938" s="831">
        <v>0</v>
      </c>
    </row>
    <row r="14939" spans="2:37">
      <c r="B14939" s="834" t="str">
        <f t="shared" si="547"/>
        <v>|||</v>
      </c>
      <c r="H14939" s="835">
        <f t="shared" si="548"/>
        <v>31</v>
      </c>
      <c r="AF14939" s="831" t="s">
        <v>10522</v>
      </c>
      <c r="AG14939" s="831" t="s">
        <v>2674</v>
      </c>
      <c r="AH14939" s="831" t="s">
        <v>655</v>
      </c>
      <c r="AI14939" s="831">
        <v>0</v>
      </c>
      <c r="AJ14939" s="835">
        <v>41152</v>
      </c>
      <c r="AK14939" s="831">
        <v>1649423</v>
      </c>
    </row>
    <row r="14940" spans="2:37">
      <c r="B14940" s="834" t="str">
        <f t="shared" si="547"/>
        <v>|||</v>
      </c>
      <c r="H14940" s="835">
        <f t="shared" si="548"/>
        <v>31</v>
      </c>
      <c r="AF14940" s="831" t="s">
        <v>10523</v>
      </c>
      <c r="AG14940" s="831" t="s">
        <v>2674</v>
      </c>
      <c r="AH14940" s="831" t="s">
        <v>546</v>
      </c>
      <c r="AI14940" s="831">
        <v>0</v>
      </c>
      <c r="AJ14940" s="835">
        <v>41182</v>
      </c>
      <c r="AK14940" s="831">
        <v>367084945</v>
      </c>
    </row>
    <row r="14941" spans="2:37">
      <c r="B14941" s="834" t="str">
        <f t="shared" si="547"/>
        <v>|||</v>
      </c>
      <c r="H14941" s="835">
        <f t="shared" si="548"/>
        <v>31</v>
      </c>
      <c r="AF14941" s="831" t="s">
        <v>10524</v>
      </c>
      <c r="AG14941" s="831" t="s">
        <v>2674</v>
      </c>
      <c r="AH14941" s="831" t="s">
        <v>370</v>
      </c>
      <c r="AI14941" s="831">
        <v>0</v>
      </c>
      <c r="AJ14941" s="835">
        <v>41182</v>
      </c>
      <c r="AK14941" s="831">
        <v>456586970</v>
      </c>
    </row>
    <row r="14942" spans="2:37">
      <c r="B14942" s="834" t="str">
        <f t="shared" si="547"/>
        <v>|||</v>
      </c>
      <c r="H14942" s="835">
        <f t="shared" si="548"/>
        <v>31</v>
      </c>
      <c r="AF14942" s="831" t="s">
        <v>10525</v>
      </c>
      <c r="AG14942" s="831" t="s">
        <v>2674</v>
      </c>
      <c r="AH14942" s="831" t="s">
        <v>126</v>
      </c>
      <c r="AI14942" s="831">
        <v>0</v>
      </c>
      <c r="AJ14942" s="835">
        <v>41182</v>
      </c>
      <c r="AK14942" s="831">
        <v>97409403</v>
      </c>
    </row>
    <row r="14943" spans="2:37">
      <c r="B14943" s="834" t="str">
        <f t="shared" si="547"/>
        <v>|||</v>
      </c>
      <c r="H14943" s="835">
        <f t="shared" si="548"/>
        <v>31</v>
      </c>
      <c r="AF14943" s="831" t="s">
        <v>10526</v>
      </c>
      <c r="AG14943" s="831" t="s">
        <v>2674</v>
      </c>
      <c r="AH14943" s="831" t="s">
        <v>268</v>
      </c>
      <c r="AI14943" s="831">
        <v>0</v>
      </c>
      <c r="AJ14943" s="835">
        <v>41182</v>
      </c>
      <c r="AK14943" s="831">
        <v>12086480</v>
      </c>
    </row>
    <row r="14944" spans="2:37">
      <c r="B14944" s="834" t="str">
        <f t="shared" si="547"/>
        <v>|||</v>
      </c>
      <c r="H14944" s="835">
        <f t="shared" si="548"/>
        <v>31</v>
      </c>
      <c r="AF14944" s="831" t="s">
        <v>10527</v>
      </c>
      <c r="AG14944" s="831" t="s">
        <v>2674</v>
      </c>
      <c r="AH14944" s="831" t="s">
        <v>547</v>
      </c>
      <c r="AI14944" s="831">
        <v>0</v>
      </c>
      <c r="AJ14944" s="835">
        <v>41182</v>
      </c>
      <c r="AK14944" s="831">
        <v>0</v>
      </c>
    </row>
    <row r="14945" spans="2:37">
      <c r="B14945" s="834" t="str">
        <f t="shared" si="547"/>
        <v>|||</v>
      </c>
      <c r="H14945" s="835">
        <f t="shared" si="548"/>
        <v>31</v>
      </c>
      <c r="AF14945" s="831" t="s">
        <v>10528</v>
      </c>
      <c r="AG14945" s="831" t="s">
        <v>2674</v>
      </c>
      <c r="AH14945" s="831" t="s">
        <v>548</v>
      </c>
      <c r="AI14945" s="831">
        <v>0</v>
      </c>
      <c r="AJ14945" s="835">
        <v>41182</v>
      </c>
      <c r="AK14945" s="831">
        <v>0</v>
      </c>
    </row>
    <row r="14946" spans="2:37">
      <c r="B14946" s="834" t="str">
        <f t="shared" si="547"/>
        <v>|||</v>
      </c>
      <c r="H14946" s="835">
        <f t="shared" si="548"/>
        <v>31</v>
      </c>
      <c r="AF14946" s="831" t="s">
        <v>10529</v>
      </c>
      <c r="AG14946" s="831" t="s">
        <v>2674</v>
      </c>
      <c r="AH14946" s="831" t="s">
        <v>549</v>
      </c>
      <c r="AI14946" s="831">
        <v>0</v>
      </c>
      <c r="AJ14946" s="835">
        <v>41182</v>
      </c>
      <c r="AK14946" s="831">
        <v>0</v>
      </c>
    </row>
    <row r="14947" spans="2:37">
      <c r="B14947" s="834" t="str">
        <f t="shared" si="547"/>
        <v>|||</v>
      </c>
      <c r="H14947" s="835">
        <f t="shared" si="548"/>
        <v>31</v>
      </c>
      <c r="AF14947" s="831" t="s">
        <v>10530</v>
      </c>
      <c r="AG14947" s="831" t="s">
        <v>2674</v>
      </c>
      <c r="AH14947" s="831" t="s">
        <v>192</v>
      </c>
      <c r="AI14947" s="831">
        <v>0</v>
      </c>
      <c r="AJ14947" s="835">
        <v>41182</v>
      </c>
      <c r="AK14947" s="831">
        <v>-9429800</v>
      </c>
    </row>
    <row r="14948" spans="2:37">
      <c r="B14948" s="834" t="str">
        <f t="shared" si="547"/>
        <v>|||</v>
      </c>
      <c r="H14948" s="835">
        <f t="shared" si="548"/>
        <v>31</v>
      </c>
      <c r="AF14948" s="831" t="s">
        <v>10531</v>
      </c>
      <c r="AG14948" s="831" t="s">
        <v>2674</v>
      </c>
      <c r="AH14948" s="831" t="s">
        <v>558</v>
      </c>
      <c r="AI14948" s="831">
        <v>0</v>
      </c>
      <c r="AJ14948" s="835">
        <v>41182</v>
      </c>
      <c r="AK14948" s="831">
        <v>359177567</v>
      </c>
    </row>
    <row r="14949" spans="2:37">
      <c r="B14949" s="834" t="str">
        <f t="shared" si="547"/>
        <v>|||</v>
      </c>
      <c r="H14949" s="835">
        <f t="shared" si="548"/>
        <v>31</v>
      </c>
      <c r="AF14949" s="831" t="s">
        <v>10532</v>
      </c>
      <c r="AG14949" s="831" t="s">
        <v>2674</v>
      </c>
      <c r="AH14949" s="831" t="s">
        <v>65</v>
      </c>
      <c r="AI14949" s="831">
        <v>0</v>
      </c>
      <c r="AJ14949" s="835">
        <v>41182</v>
      </c>
      <c r="AK14949" s="831">
        <v>71268198</v>
      </c>
    </row>
    <row r="14950" spans="2:37">
      <c r="B14950" s="834" t="str">
        <f t="shared" si="547"/>
        <v>|||</v>
      </c>
      <c r="H14950" s="835">
        <f t="shared" si="548"/>
        <v>31</v>
      </c>
      <c r="AF14950" s="831" t="s">
        <v>10533</v>
      </c>
      <c r="AG14950" s="831" t="s">
        <v>2674</v>
      </c>
      <c r="AH14950" s="831" t="s">
        <v>89</v>
      </c>
      <c r="AI14950" s="831">
        <v>0</v>
      </c>
      <c r="AJ14950" s="835">
        <v>41182</v>
      </c>
      <c r="AK14950" s="831">
        <v>122822</v>
      </c>
    </row>
    <row r="14951" spans="2:37">
      <c r="B14951" s="834" t="str">
        <f t="shared" si="547"/>
        <v>|||</v>
      </c>
      <c r="H14951" s="835">
        <f t="shared" si="548"/>
        <v>31</v>
      </c>
      <c r="AF14951" s="831" t="s">
        <v>10534</v>
      </c>
      <c r="AG14951" s="831" t="s">
        <v>2674</v>
      </c>
      <c r="AH14951" s="831" t="s">
        <v>557</v>
      </c>
      <c r="AI14951" s="831">
        <v>0</v>
      </c>
      <c r="AJ14951" s="835">
        <v>41182</v>
      </c>
      <c r="AK14951" s="831">
        <v>124710</v>
      </c>
    </row>
    <row r="14952" spans="2:37">
      <c r="B14952" s="834" t="str">
        <f t="shared" si="547"/>
        <v>|||</v>
      </c>
      <c r="H14952" s="835">
        <f t="shared" si="548"/>
        <v>31</v>
      </c>
      <c r="AF14952" s="831" t="s">
        <v>10535</v>
      </c>
      <c r="AG14952" s="831" t="s">
        <v>2674</v>
      </c>
      <c r="AH14952" s="831" t="s">
        <v>29</v>
      </c>
      <c r="AI14952" s="831">
        <v>0</v>
      </c>
      <c r="AJ14952" s="835">
        <v>41182</v>
      </c>
      <c r="AK14952" s="831">
        <v>2101787</v>
      </c>
    </row>
    <row r="14953" spans="2:37">
      <c r="B14953" s="834" t="str">
        <f t="shared" si="547"/>
        <v>|||</v>
      </c>
      <c r="H14953" s="835">
        <f t="shared" si="548"/>
        <v>31</v>
      </c>
      <c r="AF14953" s="831" t="s">
        <v>10536</v>
      </c>
      <c r="AG14953" s="831" t="s">
        <v>2674</v>
      </c>
      <c r="AH14953" s="831" t="s">
        <v>2688</v>
      </c>
      <c r="AI14953" s="831">
        <v>0</v>
      </c>
      <c r="AJ14953" s="835">
        <v>41182</v>
      </c>
      <c r="AK14953" s="831">
        <v>2502472</v>
      </c>
    </row>
    <row r="14954" spans="2:37">
      <c r="B14954" s="834" t="str">
        <f t="shared" si="547"/>
        <v>|||</v>
      </c>
      <c r="H14954" s="835">
        <f t="shared" si="548"/>
        <v>31</v>
      </c>
      <c r="AF14954" s="831" t="s">
        <v>10537</v>
      </c>
      <c r="AG14954" s="831" t="s">
        <v>2674</v>
      </c>
      <c r="AH14954" s="831" t="s">
        <v>556</v>
      </c>
      <c r="AI14954" s="831">
        <v>0</v>
      </c>
      <c r="AJ14954" s="835">
        <v>41182</v>
      </c>
      <c r="AK14954" s="831">
        <v>902857</v>
      </c>
    </row>
    <row r="14955" spans="2:37">
      <c r="B14955" s="834" t="str">
        <f t="shared" si="547"/>
        <v>|||</v>
      </c>
      <c r="H14955" s="835">
        <f t="shared" si="548"/>
        <v>31</v>
      </c>
      <c r="AF14955" s="831" t="s">
        <v>10538</v>
      </c>
      <c r="AG14955" s="831" t="s">
        <v>2674</v>
      </c>
      <c r="AH14955" s="831" t="s">
        <v>555</v>
      </c>
      <c r="AI14955" s="831">
        <v>0</v>
      </c>
      <c r="AJ14955" s="835">
        <v>41182</v>
      </c>
      <c r="AK14955" s="831">
        <v>230223270</v>
      </c>
    </row>
    <row r="14956" spans="2:37">
      <c r="B14956" s="834" t="str">
        <f t="shared" si="547"/>
        <v>|||</v>
      </c>
      <c r="H14956" s="835">
        <f t="shared" si="548"/>
        <v>31</v>
      </c>
      <c r="AF14956" s="831" t="s">
        <v>10539</v>
      </c>
      <c r="AG14956" s="831" t="s">
        <v>2674</v>
      </c>
      <c r="AH14956" s="831" t="s">
        <v>554</v>
      </c>
      <c r="AI14956" s="831">
        <v>0</v>
      </c>
      <c r="AJ14956" s="835">
        <v>41182</v>
      </c>
      <c r="AK14956" s="831">
        <v>219562790</v>
      </c>
    </row>
    <row r="14957" spans="2:37">
      <c r="B14957" s="834" t="str">
        <f t="shared" si="547"/>
        <v>|||</v>
      </c>
      <c r="H14957" s="835">
        <f t="shared" si="548"/>
        <v>31</v>
      </c>
      <c r="AF14957" s="831" t="s">
        <v>10540</v>
      </c>
      <c r="AG14957" s="831" t="s">
        <v>2674</v>
      </c>
      <c r="AH14957" s="831" t="s">
        <v>553</v>
      </c>
      <c r="AI14957" s="831">
        <v>0</v>
      </c>
      <c r="AJ14957" s="835">
        <v>41182</v>
      </c>
      <c r="AK14957" s="831">
        <v>0</v>
      </c>
    </row>
    <row r="14958" spans="2:37">
      <c r="B14958" s="834" t="str">
        <f t="shared" si="547"/>
        <v>|||</v>
      </c>
      <c r="H14958" s="835">
        <f t="shared" si="548"/>
        <v>31</v>
      </c>
      <c r="AF14958" s="831" t="s">
        <v>10541</v>
      </c>
      <c r="AG14958" s="831" t="s">
        <v>2674</v>
      </c>
      <c r="AH14958" s="831" t="s">
        <v>552</v>
      </c>
      <c r="AI14958" s="831">
        <v>0</v>
      </c>
      <c r="AJ14958" s="835">
        <v>41182</v>
      </c>
      <c r="AK14958" s="831">
        <v>0</v>
      </c>
    </row>
    <row r="14959" spans="2:37">
      <c r="B14959" s="834" t="str">
        <f t="shared" si="547"/>
        <v>|||</v>
      </c>
      <c r="H14959" s="835">
        <f t="shared" si="548"/>
        <v>31</v>
      </c>
      <c r="AF14959" s="831" t="s">
        <v>10542</v>
      </c>
      <c r="AG14959" s="831" t="s">
        <v>2674</v>
      </c>
      <c r="AH14959" s="831" t="s">
        <v>551</v>
      </c>
      <c r="AI14959" s="831">
        <v>0</v>
      </c>
      <c r="AJ14959" s="835">
        <v>41182</v>
      </c>
      <c r="AK14959" s="831">
        <v>1960032</v>
      </c>
    </row>
    <row r="14960" spans="2:37">
      <c r="B14960" s="834" t="str">
        <f t="shared" si="547"/>
        <v>|||</v>
      </c>
      <c r="H14960" s="835">
        <f t="shared" si="548"/>
        <v>31</v>
      </c>
      <c r="AF14960" s="831" t="s">
        <v>10543</v>
      </c>
      <c r="AG14960" s="831" t="s">
        <v>2674</v>
      </c>
      <c r="AH14960" s="831" t="s">
        <v>550</v>
      </c>
      <c r="AI14960" s="831">
        <v>0</v>
      </c>
      <c r="AJ14960" s="835">
        <v>41182</v>
      </c>
      <c r="AK14960" s="831">
        <v>95414973</v>
      </c>
    </row>
    <row r="14961" spans="2:37">
      <c r="B14961" s="834" t="str">
        <f t="shared" si="547"/>
        <v>|||</v>
      </c>
      <c r="H14961" s="835">
        <f t="shared" si="548"/>
        <v>31</v>
      </c>
      <c r="AF14961" s="831" t="s">
        <v>10544</v>
      </c>
      <c r="AG14961" s="831" t="s">
        <v>2674</v>
      </c>
      <c r="AH14961" s="831" t="s">
        <v>562</v>
      </c>
      <c r="AI14961" s="831">
        <v>0</v>
      </c>
      <c r="AJ14961" s="835">
        <v>41182</v>
      </c>
      <c r="AK14961" s="831">
        <v>0.78464999999999996</v>
      </c>
    </row>
    <row r="14962" spans="2:37">
      <c r="B14962" s="834" t="str">
        <f t="shared" si="547"/>
        <v>|||</v>
      </c>
      <c r="H14962" s="835">
        <f t="shared" si="548"/>
        <v>31</v>
      </c>
      <c r="AF14962" s="831" t="s">
        <v>10545</v>
      </c>
      <c r="AG14962" s="831" t="s">
        <v>2674</v>
      </c>
      <c r="AH14962" s="831" t="s">
        <v>2698</v>
      </c>
      <c r="AI14962" s="831">
        <v>0</v>
      </c>
      <c r="AJ14962" s="835">
        <v>41182</v>
      </c>
      <c r="AK14962" s="831">
        <v>0.78449999999999998</v>
      </c>
    </row>
    <row r="14963" spans="2:37">
      <c r="B14963" s="834" t="str">
        <f t="shared" si="547"/>
        <v>|||</v>
      </c>
      <c r="H14963" s="835">
        <f t="shared" si="548"/>
        <v>31</v>
      </c>
      <c r="AF14963" s="831" t="s">
        <v>10546</v>
      </c>
      <c r="AG14963" s="831" t="s">
        <v>2674</v>
      </c>
      <c r="AH14963" s="831" t="s">
        <v>560</v>
      </c>
      <c r="AI14963" s="831">
        <v>0</v>
      </c>
      <c r="AJ14963" s="835">
        <v>41182</v>
      </c>
      <c r="AK14963" s="831">
        <v>0.78534999999999999</v>
      </c>
    </row>
    <row r="14964" spans="2:37">
      <c r="B14964" s="834" t="str">
        <f t="shared" si="547"/>
        <v>|||</v>
      </c>
      <c r="H14964" s="835">
        <f t="shared" si="548"/>
        <v>31</v>
      </c>
      <c r="AF14964" s="831" t="s">
        <v>10547</v>
      </c>
      <c r="AG14964" s="831" t="s">
        <v>2674</v>
      </c>
      <c r="AH14964" s="831" t="s">
        <v>559</v>
      </c>
      <c r="AI14964" s="831">
        <v>0</v>
      </c>
      <c r="AJ14964" s="835">
        <v>41182</v>
      </c>
      <c r="AK14964" s="831">
        <v>0.78557083333333333</v>
      </c>
    </row>
    <row r="14965" spans="2:37">
      <c r="B14965" s="834" t="str">
        <f t="shared" si="547"/>
        <v>|||</v>
      </c>
      <c r="H14965" s="835">
        <f t="shared" si="548"/>
        <v>31</v>
      </c>
      <c r="AF14965" s="831" t="s">
        <v>10548</v>
      </c>
      <c r="AG14965" s="831" t="s">
        <v>2674</v>
      </c>
      <c r="AH14965" s="831" t="s">
        <v>568</v>
      </c>
      <c r="AI14965" s="831">
        <v>0</v>
      </c>
      <c r="AJ14965" s="835">
        <v>41182</v>
      </c>
      <c r="AK14965" s="831">
        <v>0</v>
      </c>
    </row>
    <row r="14966" spans="2:37">
      <c r="B14966" s="834" t="str">
        <f t="shared" si="547"/>
        <v>|||</v>
      </c>
      <c r="H14966" s="835">
        <f t="shared" si="548"/>
        <v>31</v>
      </c>
      <c r="AF14966" s="831" t="s">
        <v>10549</v>
      </c>
      <c r="AG14966" s="831" t="s">
        <v>2674</v>
      </c>
      <c r="AH14966" s="831" t="s">
        <v>569</v>
      </c>
      <c r="AI14966" s="831">
        <v>0</v>
      </c>
      <c r="AJ14966" s="835">
        <v>41182</v>
      </c>
      <c r="AK14966" s="831">
        <v>0</v>
      </c>
    </row>
    <row r="14967" spans="2:37">
      <c r="B14967" s="834" t="str">
        <f t="shared" si="547"/>
        <v>|||</v>
      </c>
      <c r="H14967" s="835">
        <f t="shared" si="548"/>
        <v>31</v>
      </c>
      <c r="AF14967" s="831" t="s">
        <v>10550</v>
      </c>
      <c r="AG14967" s="831" t="s">
        <v>2674</v>
      </c>
      <c r="AH14967" s="831" t="s">
        <v>570</v>
      </c>
      <c r="AI14967" s="831">
        <v>0</v>
      </c>
      <c r="AJ14967" s="835">
        <v>41182</v>
      </c>
      <c r="AK14967" s="831">
        <v>0</v>
      </c>
    </row>
    <row r="14968" spans="2:37">
      <c r="B14968" s="834" t="str">
        <f t="shared" si="547"/>
        <v>|||</v>
      </c>
      <c r="H14968" s="835">
        <f t="shared" si="548"/>
        <v>31</v>
      </c>
      <c r="AF14968" s="831" t="s">
        <v>10551</v>
      </c>
      <c r="AG14968" s="831" t="s">
        <v>2674</v>
      </c>
      <c r="AH14968" s="831" t="s">
        <v>571</v>
      </c>
      <c r="AI14968" s="831">
        <v>0</v>
      </c>
      <c r="AJ14968" s="835">
        <v>41182</v>
      </c>
      <c r="AK14968" s="831">
        <v>0</v>
      </c>
    </row>
    <row r="14969" spans="2:37">
      <c r="B14969" s="834" t="str">
        <f t="shared" si="547"/>
        <v>|||</v>
      </c>
      <c r="H14969" s="835">
        <f t="shared" si="548"/>
        <v>31</v>
      </c>
      <c r="AF14969" s="831" t="s">
        <v>10552</v>
      </c>
      <c r="AG14969" s="831" t="s">
        <v>2674</v>
      </c>
      <c r="AH14969" s="831" t="s">
        <v>573</v>
      </c>
      <c r="AI14969" s="831">
        <v>0</v>
      </c>
      <c r="AJ14969" s="835">
        <v>41182</v>
      </c>
      <c r="AK14969" s="831">
        <v>0</v>
      </c>
    </row>
    <row r="14970" spans="2:37">
      <c r="B14970" s="834" t="str">
        <f t="shared" si="547"/>
        <v>|||</v>
      </c>
      <c r="H14970" s="835">
        <f t="shared" si="548"/>
        <v>31</v>
      </c>
      <c r="AF14970" s="831" t="s">
        <v>10553</v>
      </c>
      <c r="AG14970" s="831" t="s">
        <v>2674</v>
      </c>
      <c r="AH14970" s="831" t="s">
        <v>574</v>
      </c>
      <c r="AI14970" s="831">
        <v>0</v>
      </c>
      <c r="AJ14970" s="835">
        <v>41182</v>
      </c>
      <c r="AK14970" s="831">
        <v>0</v>
      </c>
    </row>
    <row r="14971" spans="2:37">
      <c r="B14971" s="834" t="str">
        <f t="shared" si="547"/>
        <v>|||</v>
      </c>
      <c r="H14971" s="835">
        <f t="shared" si="548"/>
        <v>31</v>
      </c>
      <c r="AF14971" s="831" t="s">
        <v>10554</v>
      </c>
      <c r="AG14971" s="831" t="s">
        <v>2674</v>
      </c>
      <c r="AH14971" s="831" t="s">
        <v>575</v>
      </c>
      <c r="AI14971" s="831">
        <v>0</v>
      </c>
      <c r="AJ14971" s="835">
        <v>41182</v>
      </c>
      <c r="AK14971" s="831">
        <v>0</v>
      </c>
    </row>
    <row r="14972" spans="2:37">
      <c r="B14972" s="834" t="str">
        <f t="shared" si="547"/>
        <v>|||</v>
      </c>
      <c r="H14972" s="835">
        <f t="shared" si="548"/>
        <v>31</v>
      </c>
      <c r="AF14972" s="831" t="s">
        <v>10555</v>
      </c>
      <c r="AG14972" s="831" t="s">
        <v>2674</v>
      </c>
      <c r="AH14972" s="831" t="s">
        <v>576</v>
      </c>
      <c r="AI14972" s="831">
        <v>0</v>
      </c>
      <c r="AJ14972" s="835">
        <v>41182</v>
      </c>
      <c r="AK14972" s="831">
        <v>0</v>
      </c>
    </row>
    <row r="14973" spans="2:37">
      <c r="B14973" s="834" t="str">
        <f t="shared" si="547"/>
        <v>|||</v>
      </c>
      <c r="H14973" s="835">
        <f t="shared" si="548"/>
        <v>31</v>
      </c>
      <c r="AF14973" s="831" t="s">
        <v>10556</v>
      </c>
      <c r="AG14973" s="831" t="s">
        <v>2674</v>
      </c>
      <c r="AH14973" s="831" t="s">
        <v>572</v>
      </c>
      <c r="AI14973" s="831">
        <v>0</v>
      </c>
      <c r="AJ14973" s="835">
        <v>41182</v>
      </c>
      <c r="AK14973" s="831">
        <v>-2146826246</v>
      </c>
    </row>
    <row r="14974" spans="2:37">
      <c r="B14974" s="834" t="str">
        <f t="shared" si="547"/>
        <v>|||</v>
      </c>
      <c r="H14974" s="835">
        <f t="shared" si="548"/>
        <v>31</v>
      </c>
      <c r="AF14974" s="831" t="s">
        <v>10557</v>
      </c>
      <c r="AG14974" s="831" t="s">
        <v>2674</v>
      </c>
      <c r="AH14974" s="831" t="s">
        <v>577</v>
      </c>
      <c r="AI14974" s="831">
        <v>0</v>
      </c>
      <c r="AJ14974" s="835">
        <v>41182</v>
      </c>
      <c r="AK14974" s="831">
        <v>-2146826246</v>
      </c>
    </row>
    <row r="14975" spans="2:37">
      <c r="B14975" s="834" t="str">
        <f t="shared" si="547"/>
        <v>|||</v>
      </c>
      <c r="H14975" s="835">
        <f t="shared" si="548"/>
        <v>31</v>
      </c>
      <c r="AF14975" s="831" t="s">
        <v>10558</v>
      </c>
      <c r="AG14975" s="831" t="s">
        <v>2674</v>
      </c>
      <c r="AH14975" s="831" t="s">
        <v>3042</v>
      </c>
      <c r="AI14975" s="831">
        <v>0</v>
      </c>
      <c r="AJ14975" s="835">
        <v>41182</v>
      </c>
      <c r="AK14975" s="831">
        <v>-2146826246</v>
      </c>
    </row>
    <row r="14976" spans="2:37">
      <c r="B14976" s="834" t="str">
        <f t="shared" si="547"/>
        <v>|||</v>
      </c>
      <c r="H14976" s="835">
        <f t="shared" si="548"/>
        <v>31</v>
      </c>
      <c r="AF14976" s="831" t="s">
        <v>10559</v>
      </c>
      <c r="AG14976" s="831" t="s">
        <v>2674</v>
      </c>
      <c r="AH14976" s="831" t="s">
        <v>3044</v>
      </c>
      <c r="AI14976" s="831">
        <v>0</v>
      </c>
      <c r="AJ14976" s="835">
        <v>41182</v>
      </c>
      <c r="AK14976" s="831">
        <v>-2146826246</v>
      </c>
    </row>
    <row r="14977" spans="2:37">
      <c r="B14977" s="834" t="str">
        <f t="shared" si="547"/>
        <v>|||</v>
      </c>
      <c r="H14977" s="835">
        <f t="shared" si="548"/>
        <v>31</v>
      </c>
      <c r="AF14977" s="831" t="s">
        <v>10560</v>
      </c>
      <c r="AG14977" s="831" t="s">
        <v>2674</v>
      </c>
      <c r="AH14977" s="831" t="s">
        <v>580</v>
      </c>
      <c r="AI14977" s="831">
        <v>0</v>
      </c>
      <c r="AJ14977" s="835">
        <v>41182</v>
      </c>
      <c r="AK14977" s="831">
        <v>-2146826246</v>
      </c>
    </row>
    <row r="14978" spans="2:37">
      <c r="B14978" s="834" t="str">
        <f t="shared" si="547"/>
        <v>|||</v>
      </c>
      <c r="H14978" s="835">
        <f t="shared" si="548"/>
        <v>31</v>
      </c>
      <c r="AF14978" s="831" t="s">
        <v>10561</v>
      </c>
      <c r="AG14978" s="831" t="s">
        <v>2674</v>
      </c>
      <c r="AH14978" s="831" t="s">
        <v>581</v>
      </c>
      <c r="AI14978" s="831">
        <v>0</v>
      </c>
      <c r="AJ14978" s="835">
        <v>41182</v>
      </c>
      <c r="AK14978" s="831">
        <v>-2146826246</v>
      </c>
    </row>
    <row r="14979" spans="2:37">
      <c r="B14979" s="834" t="str">
        <f t="shared" si="547"/>
        <v>|||</v>
      </c>
      <c r="H14979" s="835">
        <f t="shared" si="548"/>
        <v>31</v>
      </c>
      <c r="AF14979" s="831" t="s">
        <v>10562</v>
      </c>
      <c r="AG14979" s="831" t="s">
        <v>2674</v>
      </c>
      <c r="AH14979" s="831" t="s">
        <v>105</v>
      </c>
      <c r="AI14979" s="831">
        <v>0</v>
      </c>
      <c r="AJ14979" s="835">
        <v>41182</v>
      </c>
      <c r="AK14979" s="831">
        <v>185303362</v>
      </c>
    </row>
    <row r="14980" spans="2:37">
      <c r="B14980" s="834" t="str">
        <f t="shared" si="547"/>
        <v>|||</v>
      </c>
      <c r="H14980" s="835">
        <f t="shared" si="548"/>
        <v>31</v>
      </c>
      <c r="AF14980" s="831" t="s">
        <v>10563</v>
      </c>
      <c r="AG14980" s="831" t="s">
        <v>2674</v>
      </c>
      <c r="AH14980" s="831" t="s">
        <v>3049</v>
      </c>
      <c r="AI14980" s="831">
        <v>0</v>
      </c>
      <c r="AJ14980" s="835">
        <v>41182</v>
      </c>
      <c r="AK14980" s="831">
        <v>347265603</v>
      </c>
    </row>
    <row r="14981" spans="2:37">
      <c r="B14981" s="834" t="str">
        <f t="shared" si="547"/>
        <v>|||</v>
      </c>
      <c r="H14981" s="835">
        <f t="shared" si="548"/>
        <v>31</v>
      </c>
      <c r="AF14981" s="831" t="s">
        <v>10564</v>
      </c>
      <c r="AG14981" s="831" t="s">
        <v>2674</v>
      </c>
      <c r="AH14981" s="831" t="s">
        <v>103</v>
      </c>
      <c r="AI14981" s="831">
        <v>0</v>
      </c>
      <c r="AJ14981" s="835">
        <v>41182</v>
      </c>
      <c r="AK14981" s="831">
        <v>161962241</v>
      </c>
    </row>
    <row r="14982" spans="2:37">
      <c r="B14982" s="834" t="str">
        <f t="shared" si="547"/>
        <v>|||</v>
      </c>
      <c r="H14982" s="835">
        <f t="shared" si="548"/>
        <v>31</v>
      </c>
      <c r="AF14982" s="831" t="s">
        <v>10565</v>
      </c>
      <c r="AG14982" s="831" t="s">
        <v>2674</v>
      </c>
      <c r="AH14982" s="831" t="s">
        <v>182</v>
      </c>
      <c r="AI14982" s="831">
        <v>0</v>
      </c>
      <c r="AJ14982" s="835">
        <v>41182</v>
      </c>
      <c r="AK14982" s="831">
        <v>49982530.666666664</v>
      </c>
    </row>
    <row r="14983" spans="2:37">
      <c r="B14983" s="834" t="str">
        <f t="shared" si="547"/>
        <v>|||</v>
      </c>
      <c r="H14983" s="835">
        <f t="shared" si="548"/>
        <v>31</v>
      </c>
      <c r="AF14983" s="831" t="s">
        <v>10566</v>
      </c>
      <c r="AG14983" s="831" t="s">
        <v>2674</v>
      </c>
      <c r="AH14983" s="831" t="s">
        <v>6600</v>
      </c>
      <c r="AI14983" s="831">
        <v>0</v>
      </c>
      <c r="AJ14983" s="835">
        <v>41182</v>
      </c>
      <c r="AK14983" s="831">
        <v>-2146826246</v>
      </c>
    </row>
    <row r="14984" spans="2:37">
      <c r="B14984" s="834" t="str">
        <f t="shared" si="547"/>
        <v>|||</v>
      </c>
      <c r="H14984" s="835">
        <f t="shared" si="548"/>
        <v>31</v>
      </c>
      <c r="AF14984" s="831" t="s">
        <v>10567</v>
      </c>
      <c r="AG14984" s="831" t="s">
        <v>2674</v>
      </c>
      <c r="AH14984" s="831" t="s">
        <v>6602</v>
      </c>
      <c r="AI14984" s="831">
        <v>0</v>
      </c>
      <c r="AJ14984" s="835">
        <v>41182</v>
      </c>
      <c r="AK14984" s="831">
        <v>12086480</v>
      </c>
    </row>
    <row r="14985" spans="2:37">
      <c r="B14985" s="834" t="str">
        <f t="shared" si="547"/>
        <v>|||</v>
      </c>
      <c r="H14985" s="835">
        <f t="shared" si="548"/>
        <v>31</v>
      </c>
      <c r="AF14985" s="831" t="s">
        <v>10568</v>
      </c>
      <c r="AG14985" s="831" t="s">
        <v>2674</v>
      </c>
      <c r="AH14985" s="831" t="s">
        <v>650</v>
      </c>
      <c r="AI14985" s="831">
        <v>0</v>
      </c>
      <c r="AJ14985" s="835">
        <v>41182</v>
      </c>
      <c r="AK14985" s="831">
        <v>0</v>
      </c>
    </row>
    <row r="14986" spans="2:37">
      <c r="B14986" s="834" t="str">
        <f t="shared" si="547"/>
        <v>|||</v>
      </c>
      <c r="H14986" s="835">
        <f t="shared" si="548"/>
        <v>31</v>
      </c>
      <c r="AF14986" s="831" t="s">
        <v>10569</v>
      </c>
      <c r="AG14986" s="831" t="s">
        <v>2674</v>
      </c>
      <c r="AH14986" s="831" t="s">
        <v>655</v>
      </c>
      <c r="AI14986" s="831">
        <v>0</v>
      </c>
      <c r="AJ14986" s="835">
        <v>41182</v>
      </c>
      <c r="AK14986" s="831">
        <v>1640278</v>
      </c>
    </row>
    <row r="14987" spans="2:37">
      <c r="B14987" s="834" t="str">
        <f t="shared" si="547"/>
        <v>|||</v>
      </c>
      <c r="H14987" s="835">
        <f t="shared" si="548"/>
        <v>31</v>
      </c>
      <c r="AF14987" s="831" t="s">
        <v>10570</v>
      </c>
      <c r="AG14987" s="831" t="s">
        <v>2674</v>
      </c>
      <c r="AH14987" s="831" t="s">
        <v>546</v>
      </c>
      <c r="AI14987" s="831">
        <v>0</v>
      </c>
      <c r="AJ14987" s="835">
        <v>41213</v>
      </c>
      <c r="AK14987" s="831">
        <v>376404251</v>
      </c>
    </row>
    <row r="14988" spans="2:37">
      <c r="B14988" s="834" t="str">
        <f t="shared" si="547"/>
        <v>|||</v>
      </c>
      <c r="H14988" s="835">
        <f t="shared" si="548"/>
        <v>31</v>
      </c>
      <c r="AF14988" s="831" t="s">
        <v>10571</v>
      </c>
      <c r="AG14988" s="831" t="s">
        <v>2674</v>
      </c>
      <c r="AH14988" s="831" t="s">
        <v>370</v>
      </c>
      <c r="AI14988" s="831">
        <v>0</v>
      </c>
      <c r="AJ14988" s="835">
        <v>41213</v>
      </c>
      <c r="AK14988" s="831">
        <v>453336865</v>
      </c>
    </row>
    <row r="14989" spans="2:37">
      <c r="B14989" s="834" t="str">
        <f t="shared" si="547"/>
        <v>|||</v>
      </c>
      <c r="H14989" s="835">
        <f t="shared" si="548"/>
        <v>31</v>
      </c>
      <c r="AF14989" s="831" t="s">
        <v>10572</v>
      </c>
      <c r="AG14989" s="831" t="s">
        <v>2674</v>
      </c>
      <c r="AH14989" s="831" t="s">
        <v>126</v>
      </c>
      <c r="AI14989" s="831">
        <v>0</v>
      </c>
      <c r="AJ14989" s="835">
        <v>41213</v>
      </c>
      <c r="AK14989" s="831">
        <v>99431431</v>
      </c>
    </row>
    <row r="14990" spans="2:37">
      <c r="B14990" s="834" t="str">
        <f t="shared" si="547"/>
        <v>|||</v>
      </c>
      <c r="H14990" s="835">
        <f t="shared" si="548"/>
        <v>31</v>
      </c>
      <c r="AF14990" s="831" t="s">
        <v>10573</v>
      </c>
      <c r="AG14990" s="831" t="s">
        <v>2674</v>
      </c>
      <c r="AH14990" s="831" t="s">
        <v>268</v>
      </c>
      <c r="AI14990" s="831">
        <v>0</v>
      </c>
      <c r="AJ14990" s="835">
        <v>41213</v>
      </c>
      <c r="AK14990" s="831">
        <v>14108507</v>
      </c>
    </row>
    <row r="14991" spans="2:37">
      <c r="B14991" s="834" t="str">
        <f t="shared" si="547"/>
        <v>|||</v>
      </c>
      <c r="H14991" s="835">
        <f t="shared" si="548"/>
        <v>31</v>
      </c>
      <c r="AF14991" s="831" t="s">
        <v>10574</v>
      </c>
      <c r="AG14991" s="831" t="s">
        <v>2674</v>
      </c>
      <c r="AH14991" s="831" t="s">
        <v>547</v>
      </c>
      <c r="AI14991" s="831">
        <v>0</v>
      </c>
      <c r="AJ14991" s="835">
        <v>41213</v>
      </c>
      <c r="AK14991" s="831">
        <v>0</v>
      </c>
    </row>
    <row r="14992" spans="2:37">
      <c r="B14992" s="834" t="str">
        <f t="shared" si="547"/>
        <v>|||</v>
      </c>
      <c r="H14992" s="835">
        <f t="shared" si="548"/>
        <v>31</v>
      </c>
      <c r="AF14992" s="831" t="s">
        <v>10575</v>
      </c>
      <c r="AG14992" s="831" t="s">
        <v>2674</v>
      </c>
      <c r="AH14992" s="831" t="s">
        <v>548</v>
      </c>
      <c r="AI14992" s="831">
        <v>0</v>
      </c>
      <c r="AJ14992" s="835">
        <v>41213</v>
      </c>
      <c r="AK14992" s="831">
        <v>0</v>
      </c>
    </row>
    <row r="14993" spans="2:37">
      <c r="B14993" s="834" t="str">
        <f t="shared" ref="B14993:B15056" si="549">C14993&amp;"|"&amp;D14993&amp;"|"&amp;E14993&amp;"|"&amp;F14993</f>
        <v>|||</v>
      </c>
      <c r="H14993" s="835">
        <f t="shared" ref="H14993:H15056" si="550">EOMONTH(L14993,0)</f>
        <v>31</v>
      </c>
      <c r="AF14993" s="831" t="s">
        <v>10576</v>
      </c>
      <c r="AG14993" s="831" t="s">
        <v>2674</v>
      </c>
      <c r="AH14993" s="831" t="s">
        <v>549</v>
      </c>
      <c r="AI14993" s="831">
        <v>0</v>
      </c>
      <c r="AJ14993" s="835">
        <v>41213</v>
      </c>
      <c r="AK14993" s="831">
        <v>0</v>
      </c>
    </row>
    <row r="14994" spans="2:37">
      <c r="B14994" s="834" t="str">
        <f t="shared" si="549"/>
        <v>|||</v>
      </c>
      <c r="H14994" s="835">
        <f t="shared" si="550"/>
        <v>31</v>
      </c>
      <c r="AF14994" s="831" t="s">
        <v>10577</v>
      </c>
      <c r="AG14994" s="831" t="s">
        <v>2674</v>
      </c>
      <c r="AH14994" s="831" t="s">
        <v>192</v>
      </c>
      <c r="AI14994" s="831">
        <v>0</v>
      </c>
      <c r="AJ14994" s="835">
        <v>41213</v>
      </c>
      <c r="AK14994" s="831">
        <v>-9860253</v>
      </c>
    </row>
    <row r="14995" spans="2:37">
      <c r="B14995" s="834" t="str">
        <f t="shared" si="549"/>
        <v>|||</v>
      </c>
      <c r="H14995" s="835">
        <f t="shared" si="550"/>
        <v>31</v>
      </c>
      <c r="AF14995" s="831" t="s">
        <v>10578</v>
      </c>
      <c r="AG14995" s="831" t="s">
        <v>2674</v>
      </c>
      <c r="AH14995" s="831" t="s">
        <v>558</v>
      </c>
      <c r="AI14995" s="831">
        <v>0</v>
      </c>
      <c r="AJ14995" s="835">
        <v>41213</v>
      </c>
      <c r="AK14995" s="831">
        <v>353905434</v>
      </c>
    </row>
    <row r="14996" spans="2:37">
      <c r="B14996" s="834" t="str">
        <f t="shared" si="549"/>
        <v>|||</v>
      </c>
      <c r="H14996" s="835">
        <f t="shared" si="550"/>
        <v>31</v>
      </c>
      <c r="AF14996" s="831" t="s">
        <v>10579</v>
      </c>
      <c r="AG14996" s="831" t="s">
        <v>2674</v>
      </c>
      <c r="AH14996" s="831" t="s">
        <v>65</v>
      </c>
      <c r="AI14996" s="831">
        <v>0</v>
      </c>
      <c r="AJ14996" s="835">
        <v>41213</v>
      </c>
      <c r="AK14996" s="831">
        <v>80308330</v>
      </c>
    </row>
    <row r="14997" spans="2:37">
      <c r="B14997" s="834" t="str">
        <f t="shared" si="549"/>
        <v>|||</v>
      </c>
      <c r="H14997" s="835">
        <f t="shared" si="550"/>
        <v>31</v>
      </c>
      <c r="AF14997" s="831" t="s">
        <v>10580</v>
      </c>
      <c r="AG14997" s="831" t="s">
        <v>2674</v>
      </c>
      <c r="AH14997" s="831" t="s">
        <v>89</v>
      </c>
      <c r="AI14997" s="831">
        <v>0</v>
      </c>
      <c r="AJ14997" s="835">
        <v>41213</v>
      </c>
      <c r="AK14997" s="831">
        <v>123024</v>
      </c>
    </row>
    <row r="14998" spans="2:37">
      <c r="B14998" s="834" t="str">
        <f t="shared" si="549"/>
        <v>|||</v>
      </c>
      <c r="H14998" s="835">
        <f t="shared" si="550"/>
        <v>31</v>
      </c>
      <c r="AF14998" s="831" t="s">
        <v>10581</v>
      </c>
      <c r="AG14998" s="831" t="s">
        <v>2674</v>
      </c>
      <c r="AH14998" s="831" t="s">
        <v>557</v>
      </c>
      <c r="AI14998" s="831">
        <v>0</v>
      </c>
      <c r="AJ14998" s="835">
        <v>41213</v>
      </c>
      <c r="AK14998" s="831">
        <v>124999</v>
      </c>
    </row>
    <row r="14999" spans="2:37">
      <c r="B14999" s="834" t="str">
        <f t="shared" si="549"/>
        <v>|||</v>
      </c>
      <c r="H14999" s="835">
        <f t="shared" si="550"/>
        <v>31</v>
      </c>
      <c r="AF14999" s="831" t="s">
        <v>10582</v>
      </c>
      <c r="AG14999" s="831" t="s">
        <v>2674</v>
      </c>
      <c r="AH14999" s="831" t="s">
        <v>29</v>
      </c>
      <c r="AI14999" s="831">
        <v>0</v>
      </c>
      <c r="AJ14999" s="835">
        <v>41213</v>
      </c>
      <c r="AK14999" s="831">
        <v>2261339</v>
      </c>
    </row>
    <row r="15000" spans="2:37">
      <c r="B15000" s="834" t="str">
        <f t="shared" si="549"/>
        <v>|||</v>
      </c>
      <c r="H15000" s="835">
        <f t="shared" si="550"/>
        <v>31</v>
      </c>
      <c r="AF15000" s="831" t="s">
        <v>10583</v>
      </c>
      <c r="AG15000" s="831" t="s">
        <v>2674</v>
      </c>
      <c r="AH15000" s="831" t="s">
        <v>2688</v>
      </c>
      <c r="AI15000" s="831">
        <v>0</v>
      </c>
      <c r="AJ15000" s="835">
        <v>41213</v>
      </c>
      <c r="AK15000" s="831">
        <v>2480728</v>
      </c>
    </row>
    <row r="15001" spans="2:37">
      <c r="B15001" s="834" t="str">
        <f t="shared" si="549"/>
        <v>|||</v>
      </c>
      <c r="H15001" s="835">
        <f t="shared" si="550"/>
        <v>31</v>
      </c>
      <c r="AF15001" s="831" t="s">
        <v>10584</v>
      </c>
      <c r="AG15001" s="831" t="s">
        <v>2674</v>
      </c>
      <c r="AH15001" s="831" t="s">
        <v>556</v>
      </c>
      <c r="AI15001" s="831">
        <v>0</v>
      </c>
      <c r="AJ15001" s="835">
        <v>41213</v>
      </c>
      <c r="AK15001" s="831">
        <v>902857</v>
      </c>
    </row>
    <row r="15002" spans="2:37">
      <c r="B15002" s="834" t="str">
        <f t="shared" si="549"/>
        <v>|||</v>
      </c>
      <c r="H15002" s="835">
        <f t="shared" si="550"/>
        <v>31</v>
      </c>
      <c r="AF15002" s="831" t="s">
        <v>10585</v>
      </c>
      <c r="AG15002" s="831" t="s">
        <v>2674</v>
      </c>
      <c r="AH15002" s="831" t="s">
        <v>555</v>
      </c>
      <c r="AI15002" s="831">
        <v>0</v>
      </c>
      <c r="AJ15002" s="835">
        <v>41213</v>
      </c>
      <c r="AK15002" s="831">
        <v>223326560</v>
      </c>
    </row>
    <row r="15003" spans="2:37">
      <c r="B15003" s="834" t="str">
        <f t="shared" si="549"/>
        <v>|||</v>
      </c>
      <c r="H15003" s="835">
        <f t="shared" si="550"/>
        <v>31</v>
      </c>
      <c r="AF15003" s="831" t="s">
        <v>10586</v>
      </c>
      <c r="AG15003" s="831" t="s">
        <v>2674</v>
      </c>
      <c r="AH15003" s="831" t="s">
        <v>554</v>
      </c>
      <c r="AI15003" s="831">
        <v>0</v>
      </c>
      <c r="AJ15003" s="835">
        <v>41213</v>
      </c>
      <c r="AK15003" s="831">
        <v>217988230</v>
      </c>
    </row>
    <row r="15004" spans="2:37">
      <c r="B15004" s="834" t="str">
        <f t="shared" si="549"/>
        <v>|||</v>
      </c>
      <c r="H15004" s="835">
        <f t="shared" si="550"/>
        <v>31</v>
      </c>
      <c r="AF15004" s="831" t="s">
        <v>10587</v>
      </c>
      <c r="AG15004" s="831" t="s">
        <v>2674</v>
      </c>
      <c r="AH15004" s="831" t="s">
        <v>553</v>
      </c>
      <c r="AI15004" s="831">
        <v>0</v>
      </c>
      <c r="AJ15004" s="835">
        <v>41213</v>
      </c>
      <c r="AK15004" s="831">
        <v>0</v>
      </c>
    </row>
    <row r="15005" spans="2:37">
      <c r="B15005" s="834" t="str">
        <f t="shared" si="549"/>
        <v>|||</v>
      </c>
      <c r="H15005" s="835">
        <f t="shared" si="550"/>
        <v>31</v>
      </c>
      <c r="AF15005" s="831" t="s">
        <v>10588</v>
      </c>
      <c r="AG15005" s="831" t="s">
        <v>2674</v>
      </c>
      <c r="AH15005" s="831" t="s">
        <v>552</v>
      </c>
      <c r="AI15005" s="831">
        <v>0</v>
      </c>
      <c r="AJ15005" s="835">
        <v>41213</v>
      </c>
      <c r="AK15005" s="831">
        <v>0</v>
      </c>
    </row>
    <row r="15006" spans="2:37">
      <c r="B15006" s="834" t="str">
        <f t="shared" si="549"/>
        <v>|||</v>
      </c>
      <c r="H15006" s="835">
        <f t="shared" si="550"/>
        <v>31</v>
      </c>
      <c r="AF15006" s="831" t="s">
        <v>10589</v>
      </c>
      <c r="AG15006" s="831" t="s">
        <v>2674</v>
      </c>
      <c r="AH15006" s="831" t="s">
        <v>551</v>
      </c>
      <c r="AI15006" s="831">
        <v>0</v>
      </c>
      <c r="AJ15006" s="835">
        <v>41213</v>
      </c>
      <c r="AK15006" s="831">
        <v>2033933</v>
      </c>
    </row>
    <row r="15007" spans="2:37">
      <c r="B15007" s="834" t="str">
        <f t="shared" si="549"/>
        <v>|||</v>
      </c>
      <c r="H15007" s="835">
        <f t="shared" si="550"/>
        <v>31</v>
      </c>
      <c r="AF15007" s="831" t="s">
        <v>10590</v>
      </c>
      <c r="AG15007" s="831" t="s">
        <v>2674</v>
      </c>
      <c r="AH15007" s="831" t="s">
        <v>550</v>
      </c>
      <c r="AI15007" s="831">
        <v>0</v>
      </c>
      <c r="AJ15007" s="835">
        <v>41213</v>
      </c>
      <c r="AK15007" s="831">
        <v>97409403</v>
      </c>
    </row>
    <row r="15008" spans="2:37">
      <c r="B15008" s="834" t="str">
        <f t="shared" si="549"/>
        <v>|||</v>
      </c>
      <c r="H15008" s="835">
        <f t="shared" si="550"/>
        <v>31</v>
      </c>
      <c r="AF15008" s="831" t="s">
        <v>10591</v>
      </c>
      <c r="AG15008" s="831" t="s">
        <v>2674</v>
      </c>
      <c r="AH15008" s="831" t="s">
        <v>562</v>
      </c>
      <c r="AI15008" s="831">
        <v>0</v>
      </c>
      <c r="AJ15008" s="835">
        <v>41213</v>
      </c>
      <c r="AK15008" s="831">
        <v>0.78434999999999999</v>
      </c>
    </row>
    <row r="15009" spans="2:37">
      <c r="B15009" s="834" t="str">
        <f t="shared" si="549"/>
        <v>|||</v>
      </c>
      <c r="H15009" s="835">
        <f t="shared" si="550"/>
        <v>31</v>
      </c>
      <c r="AF15009" s="831" t="s">
        <v>10592</v>
      </c>
      <c r="AG15009" s="831" t="s">
        <v>2674</v>
      </c>
      <c r="AH15009" s="831" t="s">
        <v>2698</v>
      </c>
      <c r="AI15009" s="831">
        <v>0</v>
      </c>
      <c r="AJ15009" s="835">
        <v>41213</v>
      </c>
      <c r="AK15009" s="831">
        <v>0.78464999999999996</v>
      </c>
    </row>
    <row r="15010" spans="2:37">
      <c r="B15010" s="834" t="str">
        <f t="shared" si="549"/>
        <v>|||</v>
      </c>
      <c r="H15010" s="835">
        <f t="shared" si="550"/>
        <v>31</v>
      </c>
      <c r="AF15010" s="831" t="s">
        <v>10593</v>
      </c>
      <c r="AG15010" s="831" t="s">
        <v>2674</v>
      </c>
      <c r="AH15010" s="831" t="s">
        <v>560</v>
      </c>
      <c r="AI15010" s="831">
        <v>0</v>
      </c>
      <c r="AJ15010" s="835">
        <v>41213</v>
      </c>
      <c r="AK15010" s="831">
        <v>0.78525</v>
      </c>
    </row>
    <row r="15011" spans="2:37">
      <c r="B15011" s="834" t="str">
        <f t="shared" si="549"/>
        <v>|||</v>
      </c>
      <c r="H15011" s="835">
        <f t="shared" si="550"/>
        <v>31</v>
      </c>
      <c r="AF15011" s="831" t="s">
        <v>10594</v>
      </c>
      <c r="AG15011" s="831" t="s">
        <v>2674</v>
      </c>
      <c r="AH15011" s="831" t="s">
        <v>559</v>
      </c>
      <c r="AI15011" s="831">
        <v>0</v>
      </c>
      <c r="AJ15011" s="835">
        <v>41213</v>
      </c>
      <c r="AK15011" s="831">
        <v>0.78536666666666666</v>
      </c>
    </row>
    <row r="15012" spans="2:37">
      <c r="B15012" s="834" t="str">
        <f t="shared" si="549"/>
        <v>|||</v>
      </c>
      <c r="H15012" s="835">
        <f t="shared" si="550"/>
        <v>31</v>
      </c>
      <c r="AF15012" s="831" t="s">
        <v>10595</v>
      </c>
      <c r="AG15012" s="831" t="s">
        <v>2674</v>
      </c>
      <c r="AH15012" s="831" t="s">
        <v>568</v>
      </c>
      <c r="AI15012" s="831">
        <v>0</v>
      </c>
      <c r="AJ15012" s="835">
        <v>41213</v>
      </c>
      <c r="AK15012" s="831">
        <v>0</v>
      </c>
    </row>
    <row r="15013" spans="2:37">
      <c r="B15013" s="834" t="str">
        <f t="shared" si="549"/>
        <v>|||</v>
      </c>
      <c r="H15013" s="835">
        <f t="shared" si="550"/>
        <v>31</v>
      </c>
      <c r="AF15013" s="831" t="s">
        <v>10596</v>
      </c>
      <c r="AG15013" s="831" t="s">
        <v>2674</v>
      </c>
      <c r="AH15013" s="831" t="s">
        <v>569</v>
      </c>
      <c r="AI15013" s="831">
        <v>0</v>
      </c>
      <c r="AJ15013" s="835">
        <v>41213</v>
      </c>
      <c r="AK15013" s="831">
        <v>0</v>
      </c>
    </row>
    <row r="15014" spans="2:37">
      <c r="B15014" s="834" t="str">
        <f t="shared" si="549"/>
        <v>|||</v>
      </c>
      <c r="H15014" s="835">
        <f t="shared" si="550"/>
        <v>31</v>
      </c>
      <c r="AF15014" s="831" t="s">
        <v>10597</v>
      </c>
      <c r="AG15014" s="831" t="s">
        <v>2674</v>
      </c>
      <c r="AH15014" s="831" t="s">
        <v>570</v>
      </c>
      <c r="AI15014" s="831">
        <v>0</v>
      </c>
      <c r="AJ15014" s="835">
        <v>41213</v>
      </c>
      <c r="AK15014" s="831">
        <v>0</v>
      </c>
    </row>
    <row r="15015" spans="2:37">
      <c r="B15015" s="834" t="str">
        <f t="shared" si="549"/>
        <v>|||</v>
      </c>
      <c r="H15015" s="835">
        <f t="shared" si="550"/>
        <v>31</v>
      </c>
      <c r="AF15015" s="831" t="s">
        <v>10598</v>
      </c>
      <c r="AG15015" s="831" t="s">
        <v>2674</v>
      </c>
      <c r="AH15015" s="831" t="s">
        <v>571</v>
      </c>
      <c r="AI15015" s="831">
        <v>0</v>
      </c>
      <c r="AJ15015" s="835">
        <v>41213</v>
      </c>
      <c r="AK15015" s="831">
        <v>0</v>
      </c>
    </row>
    <row r="15016" spans="2:37">
      <c r="B15016" s="834" t="str">
        <f t="shared" si="549"/>
        <v>|||</v>
      </c>
      <c r="H15016" s="835">
        <f t="shared" si="550"/>
        <v>31</v>
      </c>
      <c r="AF15016" s="831" t="s">
        <v>10599</v>
      </c>
      <c r="AG15016" s="831" t="s">
        <v>2674</v>
      </c>
      <c r="AH15016" s="831" t="s">
        <v>573</v>
      </c>
      <c r="AI15016" s="831">
        <v>0</v>
      </c>
      <c r="AJ15016" s="835">
        <v>41213</v>
      </c>
      <c r="AK15016" s="831">
        <v>0</v>
      </c>
    </row>
    <row r="15017" spans="2:37">
      <c r="B15017" s="834" t="str">
        <f t="shared" si="549"/>
        <v>|||</v>
      </c>
      <c r="H15017" s="835">
        <f t="shared" si="550"/>
        <v>31</v>
      </c>
      <c r="AF15017" s="831" t="s">
        <v>10600</v>
      </c>
      <c r="AG15017" s="831" t="s">
        <v>2674</v>
      </c>
      <c r="AH15017" s="831" t="s">
        <v>574</v>
      </c>
      <c r="AI15017" s="831">
        <v>0</v>
      </c>
      <c r="AJ15017" s="835">
        <v>41213</v>
      </c>
      <c r="AK15017" s="831">
        <v>0</v>
      </c>
    </row>
    <row r="15018" spans="2:37">
      <c r="B15018" s="834" t="str">
        <f t="shared" si="549"/>
        <v>|||</v>
      </c>
      <c r="H15018" s="835">
        <f t="shared" si="550"/>
        <v>31</v>
      </c>
      <c r="AF15018" s="831" t="s">
        <v>10601</v>
      </c>
      <c r="AG15018" s="831" t="s">
        <v>2674</v>
      </c>
      <c r="AH15018" s="831" t="s">
        <v>575</v>
      </c>
      <c r="AI15018" s="831">
        <v>0</v>
      </c>
      <c r="AJ15018" s="835">
        <v>41213</v>
      </c>
      <c r="AK15018" s="831">
        <v>0</v>
      </c>
    </row>
    <row r="15019" spans="2:37">
      <c r="B15019" s="834" t="str">
        <f t="shared" si="549"/>
        <v>|||</v>
      </c>
      <c r="H15019" s="835">
        <f t="shared" si="550"/>
        <v>31</v>
      </c>
      <c r="AF15019" s="831" t="s">
        <v>10602</v>
      </c>
      <c r="AG15019" s="831" t="s">
        <v>2674</v>
      </c>
      <c r="AH15019" s="831" t="s">
        <v>576</v>
      </c>
      <c r="AI15019" s="831">
        <v>0</v>
      </c>
      <c r="AJ15019" s="835">
        <v>41213</v>
      </c>
      <c r="AK15019" s="831">
        <v>0</v>
      </c>
    </row>
    <row r="15020" spans="2:37">
      <c r="B15020" s="834" t="str">
        <f t="shared" si="549"/>
        <v>|||</v>
      </c>
      <c r="H15020" s="835">
        <f t="shared" si="550"/>
        <v>31</v>
      </c>
      <c r="AF15020" s="831" t="s">
        <v>10603</v>
      </c>
      <c r="AG15020" s="831" t="s">
        <v>2674</v>
      </c>
      <c r="AH15020" s="831" t="s">
        <v>572</v>
      </c>
      <c r="AI15020" s="831">
        <v>0</v>
      </c>
      <c r="AJ15020" s="835">
        <v>41213</v>
      </c>
      <c r="AK15020" s="831">
        <v>-2146826246</v>
      </c>
    </row>
    <row r="15021" spans="2:37">
      <c r="B15021" s="834" t="str">
        <f t="shared" si="549"/>
        <v>|||</v>
      </c>
      <c r="H15021" s="835">
        <f t="shared" si="550"/>
        <v>31</v>
      </c>
      <c r="AF15021" s="831" t="s">
        <v>10604</v>
      </c>
      <c r="AG15021" s="831" t="s">
        <v>2674</v>
      </c>
      <c r="AH15021" s="831" t="s">
        <v>577</v>
      </c>
      <c r="AI15021" s="831">
        <v>0</v>
      </c>
      <c r="AJ15021" s="835">
        <v>41213</v>
      </c>
      <c r="AK15021" s="831">
        <v>-2146826246</v>
      </c>
    </row>
    <row r="15022" spans="2:37">
      <c r="B15022" s="834" t="str">
        <f t="shared" si="549"/>
        <v>|||</v>
      </c>
      <c r="H15022" s="835">
        <f t="shared" si="550"/>
        <v>31</v>
      </c>
      <c r="AF15022" s="831" t="s">
        <v>10605</v>
      </c>
      <c r="AG15022" s="831" t="s">
        <v>2674</v>
      </c>
      <c r="AH15022" s="831" t="s">
        <v>3042</v>
      </c>
      <c r="AI15022" s="831">
        <v>0</v>
      </c>
      <c r="AJ15022" s="835">
        <v>41213</v>
      </c>
      <c r="AK15022" s="831">
        <v>-2146826246</v>
      </c>
    </row>
    <row r="15023" spans="2:37">
      <c r="B15023" s="834" t="str">
        <f t="shared" si="549"/>
        <v>|||</v>
      </c>
      <c r="H15023" s="835">
        <f t="shared" si="550"/>
        <v>31</v>
      </c>
      <c r="AF15023" s="831" t="s">
        <v>10606</v>
      </c>
      <c r="AG15023" s="831" t="s">
        <v>2674</v>
      </c>
      <c r="AH15023" s="831" t="s">
        <v>3044</v>
      </c>
      <c r="AI15023" s="831">
        <v>0</v>
      </c>
      <c r="AJ15023" s="835">
        <v>41213</v>
      </c>
      <c r="AK15023" s="831">
        <v>-2146826246</v>
      </c>
    </row>
    <row r="15024" spans="2:37">
      <c r="B15024" s="834" t="str">
        <f t="shared" si="549"/>
        <v>|||</v>
      </c>
      <c r="H15024" s="835">
        <f t="shared" si="550"/>
        <v>31</v>
      </c>
      <c r="AF15024" s="831" t="s">
        <v>10607</v>
      </c>
      <c r="AG15024" s="831" t="s">
        <v>2674</v>
      </c>
      <c r="AH15024" s="831" t="s">
        <v>580</v>
      </c>
      <c r="AI15024" s="831">
        <v>0</v>
      </c>
      <c r="AJ15024" s="835">
        <v>41213</v>
      </c>
      <c r="AK15024" s="831">
        <v>-2146826246</v>
      </c>
    </row>
    <row r="15025" spans="2:37">
      <c r="B15025" s="834" t="str">
        <f t="shared" si="549"/>
        <v>|||</v>
      </c>
      <c r="H15025" s="835">
        <f t="shared" si="550"/>
        <v>31</v>
      </c>
      <c r="AF15025" s="831" t="s">
        <v>10608</v>
      </c>
      <c r="AG15025" s="831" t="s">
        <v>2674</v>
      </c>
      <c r="AH15025" s="831" t="s">
        <v>581</v>
      </c>
      <c r="AI15025" s="831">
        <v>0</v>
      </c>
      <c r="AJ15025" s="835">
        <v>41213</v>
      </c>
      <c r="AK15025" s="831">
        <v>-2146826246</v>
      </c>
    </row>
    <row r="15026" spans="2:37">
      <c r="B15026" s="834" t="str">
        <f t="shared" si="549"/>
        <v>|||</v>
      </c>
      <c r="H15026" s="835">
        <f t="shared" si="550"/>
        <v>31</v>
      </c>
      <c r="AF15026" s="831" t="s">
        <v>10609</v>
      </c>
      <c r="AG15026" s="831" t="s">
        <v>2674</v>
      </c>
      <c r="AH15026" s="831" t="s">
        <v>105</v>
      </c>
      <c r="AI15026" s="831">
        <v>0</v>
      </c>
      <c r="AJ15026" s="835">
        <v>41213</v>
      </c>
      <c r="AK15026" s="831">
        <v>184676086</v>
      </c>
    </row>
    <row r="15027" spans="2:37">
      <c r="B15027" s="834" t="str">
        <f t="shared" si="549"/>
        <v>|||</v>
      </c>
      <c r="H15027" s="835">
        <f t="shared" si="550"/>
        <v>31</v>
      </c>
      <c r="AF15027" s="831" t="s">
        <v>10610</v>
      </c>
      <c r="AG15027" s="831" t="s">
        <v>2674</v>
      </c>
      <c r="AH15027" s="831" t="s">
        <v>3049</v>
      </c>
      <c r="AI15027" s="831">
        <v>0</v>
      </c>
      <c r="AJ15027" s="835">
        <v>41213</v>
      </c>
      <c r="AK15027" s="831">
        <v>342133447</v>
      </c>
    </row>
    <row r="15028" spans="2:37">
      <c r="B15028" s="834" t="str">
        <f t="shared" si="549"/>
        <v>|||</v>
      </c>
      <c r="H15028" s="835">
        <f t="shared" si="550"/>
        <v>31</v>
      </c>
      <c r="AF15028" s="831" t="s">
        <v>10611</v>
      </c>
      <c r="AG15028" s="831" t="s">
        <v>2674</v>
      </c>
      <c r="AH15028" s="831" t="s">
        <v>103</v>
      </c>
      <c r="AI15028" s="831">
        <v>0</v>
      </c>
      <c r="AJ15028" s="835">
        <v>41213</v>
      </c>
      <c r="AK15028" s="831">
        <v>157457361</v>
      </c>
    </row>
    <row r="15029" spans="2:37">
      <c r="B15029" s="834" t="str">
        <f t="shared" si="549"/>
        <v>|||</v>
      </c>
      <c r="H15029" s="835">
        <f t="shared" si="550"/>
        <v>31</v>
      </c>
      <c r="AF15029" s="831" t="s">
        <v>10612</v>
      </c>
      <c r="AG15029" s="831" t="s">
        <v>2674</v>
      </c>
      <c r="AH15029" s="831" t="s">
        <v>182</v>
      </c>
      <c r="AI15029" s="831">
        <v>0</v>
      </c>
      <c r="AJ15029" s="835">
        <v>41213</v>
      </c>
      <c r="AK15029" s="831">
        <v>49941625.200000003</v>
      </c>
    </row>
    <row r="15030" spans="2:37">
      <c r="B15030" s="834" t="str">
        <f t="shared" si="549"/>
        <v>|||</v>
      </c>
      <c r="H15030" s="835">
        <f t="shared" si="550"/>
        <v>31</v>
      </c>
      <c r="AF15030" s="831" t="s">
        <v>10613</v>
      </c>
      <c r="AG15030" s="831" t="s">
        <v>2674</v>
      </c>
      <c r="AH15030" s="831" t="s">
        <v>6600</v>
      </c>
      <c r="AI15030" s="831">
        <v>0</v>
      </c>
      <c r="AJ15030" s="835">
        <v>41213</v>
      </c>
      <c r="AK15030" s="831">
        <v>-2146826246</v>
      </c>
    </row>
    <row r="15031" spans="2:37">
      <c r="B15031" s="834" t="str">
        <f t="shared" si="549"/>
        <v>|||</v>
      </c>
      <c r="H15031" s="835">
        <f t="shared" si="550"/>
        <v>31</v>
      </c>
      <c r="AF15031" s="831" t="s">
        <v>10614</v>
      </c>
      <c r="AG15031" s="831" t="s">
        <v>2674</v>
      </c>
      <c r="AH15031" s="831" t="s">
        <v>6602</v>
      </c>
      <c r="AI15031" s="831">
        <v>0</v>
      </c>
      <c r="AJ15031" s="835">
        <v>41213</v>
      </c>
      <c r="AK15031" s="831">
        <v>14108507</v>
      </c>
    </row>
    <row r="15032" spans="2:37">
      <c r="B15032" s="834" t="str">
        <f t="shared" si="549"/>
        <v>|||</v>
      </c>
      <c r="H15032" s="835">
        <f t="shared" si="550"/>
        <v>31</v>
      </c>
      <c r="AF15032" s="831" t="s">
        <v>10615</v>
      </c>
      <c r="AG15032" s="831" t="s">
        <v>2674</v>
      </c>
      <c r="AH15032" s="831" t="s">
        <v>650</v>
      </c>
      <c r="AI15032" s="831">
        <v>0</v>
      </c>
      <c r="AJ15032" s="835">
        <v>41213</v>
      </c>
      <c r="AK15032" s="831">
        <v>0</v>
      </c>
    </row>
    <row r="15033" spans="2:37">
      <c r="B15033" s="834" t="str">
        <f t="shared" si="549"/>
        <v>|||</v>
      </c>
      <c r="H15033" s="835">
        <f t="shared" si="550"/>
        <v>31</v>
      </c>
      <c r="AF15033" s="831" t="s">
        <v>10616</v>
      </c>
      <c r="AG15033" s="831" t="s">
        <v>2674</v>
      </c>
      <c r="AH15033" s="831" t="s">
        <v>655</v>
      </c>
      <c r="AI15033" s="831">
        <v>0</v>
      </c>
      <c r="AJ15033" s="835">
        <v>41213</v>
      </c>
      <c r="AK15033" s="831">
        <v>1927116</v>
      </c>
    </row>
    <row r="15034" spans="2:37">
      <c r="B15034" s="834" t="str">
        <f t="shared" si="549"/>
        <v>|||</v>
      </c>
      <c r="H15034" s="835">
        <f t="shared" si="550"/>
        <v>31</v>
      </c>
      <c r="AF15034" s="831" t="s">
        <v>10617</v>
      </c>
      <c r="AG15034" s="831" t="s">
        <v>2674</v>
      </c>
      <c r="AH15034" s="831" t="s">
        <v>546</v>
      </c>
      <c r="AI15034" s="831">
        <v>0</v>
      </c>
      <c r="AJ15034" s="835">
        <v>41243</v>
      </c>
      <c r="AK15034" s="831">
        <v>394083786</v>
      </c>
    </row>
    <row r="15035" spans="2:37">
      <c r="B15035" s="834" t="str">
        <f t="shared" si="549"/>
        <v>|||</v>
      </c>
      <c r="H15035" s="835">
        <f t="shared" si="550"/>
        <v>31</v>
      </c>
      <c r="AF15035" s="831" t="s">
        <v>10618</v>
      </c>
      <c r="AG15035" s="831" t="s">
        <v>2674</v>
      </c>
      <c r="AH15035" s="831" t="s">
        <v>370</v>
      </c>
      <c r="AI15035" s="831">
        <v>0</v>
      </c>
      <c r="AJ15035" s="835">
        <v>41243</v>
      </c>
      <c r="AK15035" s="831">
        <v>468781857</v>
      </c>
    </row>
    <row r="15036" spans="2:37">
      <c r="B15036" s="834" t="str">
        <f t="shared" si="549"/>
        <v>|||</v>
      </c>
      <c r="H15036" s="835">
        <f t="shared" si="550"/>
        <v>31</v>
      </c>
      <c r="AF15036" s="831" t="s">
        <v>10619</v>
      </c>
      <c r="AG15036" s="831" t="s">
        <v>2674</v>
      </c>
      <c r="AH15036" s="831" t="s">
        <v>126</v>
      </c>
      <c r="AI15036" s="831">
        <v>0</v>
      </c>
      <c r="AJ15036" s="835">
        <v>41243</v>
      </c>
      <c r="AK15036" s="831">
        <v>101856827</v>
      </c>
    </row>
    <row r="15037" spans="2:37">
      <c r="B15037" s="834" t="str">
        <f t="shared" si="549"/>
        <v>|||</v>
      </c>
      <c r="H15037" s="835">
        <f t="shared" si="550"/>
        <v>31</v>
      </c>
      <c r="AF15037" s="831" t="s">
        <v>10620</v>
      </c>
      <c r="AG15037" s="831" t="s">
        <v>2674</v>
      </c>
      <c r="AH15037" s="831" t="s">
        <v>268</v>
      </c>
      <c r="AI15037" s="831">
        <v>0</v>
      </c>
      <c r="AJ15037" s="835">
        <v>41243</v>
      </c>
      <c r="AK15037" s="831">
        <v>16533903</v>
      </c>
    </row>
    <row r="15038" spans="2:37">
      <c r="B15038" s="834" t="str">
        <f t="shared" si="549"/>
        <v>|||</v>
      </c>
      <c r="H15038" s="835">
        <f t="shared" si="550"/>
        <v>31</v>
      </c>
      <c r="AF15038" s="831" t="s">
        <v>10621</v>
      </c>
      <c r="AG15038" s="831" t="s">
        <v>2674</v>
      </c>
      <c r="AH15038" s="831" t="s">
        <v>547</v>
      </c>
      <c r="AI15038" s="831">
        <v>0</v>
      </c>
      <c r="AJ15038" s="835">
        <v>41243</v>
      </c>
      <c r="AK15038" s="831">
        <v>0</v>
      </c>
    </row>
    <row r="15039" spans="2:37">
      <c r="B15039" s="834" t="str">
        <f t="shared" si="549"/>
        <v>|||</v>
      </c>
      <c r="H15039" s="835">
        <f t="shared" si="550"/>
        <v>31</v>
      </c>
      <c r="AF15039" s="831" t="s">
        <v>10622</v>
      </c>
      <c r="AG15039" s="831" t="s">
        <v>2674</v>
      </c>
      <c r="AH15039" s="831" t="s">
        <v>548</v>
      </c>
      <c r="AI15039" s="831">
        <v>0</v>
      </c>
      <c r="AJ15039" s="835">
        <v>41243</v>
      </c>
      <c r="AK15039" s="831">
        <v>0</v>
      </c>
    </row>
    <row r="15040" spans="2:37">
      <c r="B15040" s="834" t="str">
        <f t="shared" si="549"/>
        <v>|||</v>
      </c>
      <c r="H15040" s="835">
        <f t="shared" si="550"/>
        <v>31</v>
      </c>
      <c r="AF15040" s="831" t="s">
        <v>10623</v>
      </c>
      <c r="AG15040" s="831" t="s">
        <v>2674</v>
      </c>
      <c r="AH15040" s="831" t="s">
        <v>549</v>
      </c>
      <c r="AI15040" s="831">
        <v>0</v>
      </c>
      <c r="AJ15040" s="835">
        <v>41243</v>
      </c>
      <c r="AK15040" s="831">
        <v>0</v>
      </c>
    </row>
    <row r="15041" spans="2:37">
      <c r="B15041" s="834" t="str">
        <f t="shared" si="549"/>
        <v>|||</v>
      </c>
      <c r="H15041" s="835">
        <f t="shared" si="550"/>
        <v>31</v>
      </c>
      <c r="AF15041" s="831" t="s">
        <v>10624</v>
      </c>
      <c r="AG15041" s="831" t="s">
        <v>2674</v>
      </c>
      <c r="AH15041" s="831" t="s">
        <v>192</v>
      </c>
      <c r="AI15041" s="831">
        <v>0</v>
      </c>
      <c r="AJ15041" s="835">
        <v>41243</v>
      </c>
      <c r="AK15041" s="831">
        <v>-10079693</v>
      </c>
    </row>
    <row r="15042" spans="2:37">
      <c r="B15042" s="834" t="str">
        <f t="shared" si="549"/>
        <v>|||</v>
      </c>
      <c r="H15042" s="835">
        <f t="shared" si="550"/>
        <v>31</v>
      </c>
      <c r="AF15042" s="831" t="s">
        <v>10625</v>
      </c>
      <c r="AG15042" s="831" t="s">
        <v>2674</v>
      </c>
      <c r="AH15042" s="831" t="s">
        <v>558</v>
      </c>
      <c r="AI15042" s="831">
        <v>0</v>
      </c>
      <c r="AJ15042" s="835">
        <v>41243</v>
      </c>
      <c r="AK15042" s="831">
        <v>366925030</v>
      </c>
    </row>
    <row r="15043" spans="2:37">
      <c r="B15043" s="834" t="str">
        <f t="shared" si="549"/>
        <v>|||</v>
      </c>
      <c r="H15043" s="835">
        <f t="shared" si="550"/>
        <v>31</v>
      </c>
      <c r="AF15043" s="831" t="s">
        <v>10626</v>
      </c>
      <c r="AG15043" s="831" t="s">
        <v>2674</v>
      </c>
      <c r="AH15043" s="831" t="s">
        <v>65</v>
      </c>
      <c r="AI15043" s="831">
        <v>0</v>
      </c>
      <c r="AJ15043" s="835">
        <v>41243</v>
      </c>
      <c r="AK15043" s="831">
        <v>89510969</v>
      </c>
    </row>
    <row r="15044" spans="2:37">
      <c r="B15044" s="834" t="str">
        <f t="shared" si="549"/>
        <v>|||</v>
      </c>
      <c r="H15044" s="835">
        <f t="shared" si="550"/>
        <v>31</v>
      </c>
      <c r="AF15044" s="831" t="s">
        <v>10627</v>
      </c>
      <c r="AG15044" s="831" t="s">
        <v>2674</v>
      </c>
      <c r="AH15044" s="831" t="s">
        <v>89</v>
      </c>
      <c r="AI15044" s="831">
        <v>0</v>
      </c>
      <c r="AJ15044" s="835">
        <v>41243</v>
      </c>
      <c r="AK15044" s="831">
        <v>123534</v>
      </c>
    </row>
    <row r="15045" spans="2:37">
      <c r="B15045" s="834" t="str">
        <f t="shared" si="549"/>
        <v>|||</v>
      </c>
      <c r="H15045" s="835">
        <f t="shared" si="550"/>
        <v>31</v>
      </c>
      <c r="AF15045" s="831" t="s">
        <v>10628</v>
      </c>
      <c r="AG15045" s="831" t="s">
        <v>2674</v>
      </c>
      <c r="AH15045" s="831" t="s">
        <v>557</v>
      </c>
      <c r="AI15045" s="831">
        <v>0</v>
      </c>
      <c r="AJ15045" s="835">
        <v>41243</v>
      </c>
      <c r="AK15045" s="831">
        <v>125715</v>
      </c>
    </row>
    <row r="15046" spans="2:37">
      <c r="B15046" s="834" t="str">
        <f t="shared" si="549"/>
        <v>|||</v>
      </c>
      <c r="H15046" s="835">
        <f t="shared" si="550"/>
        <v>31</v>
      </c>
      <c r="AF15046" s="831" t="s">
        <v>10629</v>
      </c>
      <c r="AG15046" s="831" t="s">
        <v>2674</v>
      </c>
      <c r="AH15046" s="831" t="s">
        <v>29</v>
      </c>
      <c r="AI15046" s="831">
        <v>0</v>
      </c>
      <c r="AJ15046" s="835">
        <v>41243</v>
      </c>
      <c r="AK15046" s="831">
        <v>2094921</v>
      </c>
    </row>
    <row r="15047" spans="2:37">
      <c r="B15047" s="834" t="str">
        <f t="shared" si="549"/>
        <v>|||</v>
      </c>
      <c r="H15047" s="835">
        <f t="shared" si="550"/>
        <v>31</v>
      </c>
      <c r="AF15047" s="831" t="s">
        <v>10630</v>
      </c>
      <c r="AG15047" s="831" t="s">
        <v>2674</v>
      </c>
      <c r="AH15047" s="831" t="s">
        <v>2688</v>
      </c>
      <c r="AI15047" s="831">
        <v>0</v>
      </c>
      <c r="AJ15047" s="835">
        <v>41243</v>
      </c>
      <c r="AK15047" s="831">
        <v>2867819</v>
      </c>
    </row>
    <row r="15048" spans="2:37">
      <c r="B15048" s="834" t="str">
        <f t="shared" si="549"/>
        <v>|||</v>
      </c>
      <c r="H15048" s="835">
        <f t="shared" si="550"/>
        <v>31</v>
      </c>
      <c r="AF15048" s="831" t="s">
        <v>10631</v>
      </c>
      <c r="AG15048" s="831" t="s">
        <v>2674</v>
      </c>
      <c r="AH15048" s="831" t="s">
        <v>556</v>
      </c>
      <c r="AI15048" s="831">
        <v>0</v>
      </c>
      <c r="AJ15048" s="835">
        <v>41243</v>
      </c>
      <c r="AK15048" s="831">
        <v>902857</v>
      </c>
    </row>
    <row r="15049" spans="2:37">
      <c r="B15049" s="834" t="str">
        <f t="shared" si="549"/>
        <v>|||</v>
      </c>
      <c r="H15049" s="835">
        <f t="shared" si="550"/>
        <v>31</v>
      </c>
      <c r="AF15049" s="831" t="s">
        <v>10632</v>
      </c>
      <c r="AG15049" s="831" t="s">
        <v>2674</v>
      </c>
      <c r="AH15049" s="831" t="s">
        <v>555</v>
      </c>
      <c r="AI15049" s="831">
        <v>0</v>
      </c>
      <c r="AJ15049" s="835">
        <v>41243</v>
      </c>
      <c r="AK15049" s="831">
        <v>236413970</v>
      </c>
    </row>
    <row r="15050" spans="2:37">
      <c r="B15050" s="834" t="str">
        <f t="shared" si="549"/>
        <v>|||</v>
      </c>
      <c r="H15050" s="835">
        <f t="shared" si="550"/>
        <v>31</v>
      </c>
      <c r="AF15050" s="831" t="s">
        <v>10633</v>
      </c>
      <c r="AG15050" s="831" t="s">
        <v>2674</v>
      </c>
      <c r="AH15050" s="831" t="s">
        <v>554</v>
      </c>
      <c r="AI15050" s="831">
        <v>0</v>
      </c>
      <c r="AJ15050" s="835">
        <v>41243</v>
      </c>
      <c r="AK15050" s="831">
        <v>238298670</v>
      </c>
    </row>
    <row r="15051" spans="2:37">
      <c r="B15051" s="834" t="str">
        <f t="shared" si="549"/>
        <v>|||</v>
      </c>
      <c r="H15051" s="835">
        <f t="shared" si="550"/>
        <v>31</v>
      </c>
      <c r="AF15051" s="831" t="s">
        <v>10634</v>
      </c>
      <c r="AG15051" s="831" t="s">
        <v>2674</v>
      </c>
      <c r="AH15051" s="831" t="s">
        <v>553</v>
      </c>
      <c r="AI15051" s="831">
        <v>0</v>
      </c>
      <c r="AJ15051" s="835">
        <v>41243</v>
      </c>
      <c r="AK15051" s="831">
        <v>0</v>
      </c>
    </row>
    <row r="15052" spans="2:37">
      <c r="B15052" s="834" t="str">
        <f t="shared" si="549"/>
        <v>|||</v>
      </c>
      <c r="H15052" s="835">
        <f t="shared" si="550"/>
        <v>31</v>
      </c>
      <c r="AF15052" s="831" t="s">
        <v>10635</v>
      </c>
      <c r="AG15052" s="831" t="s">
        <v>2674</v>
      </c>
      <c r="AH15052" s="831" t="s">
        <v>552</v>
      </c>
      <c r="AI15052" s="831">
        <v>0</v>
      </c>
      <c r="AJ15052" s="835">
        <v>41243</v>
      </c>
      <c r="AK15052" s="831">
        <v>0</v>
      </c>
    </row>
    <row r="15053" spans="2:37">
      <c r="B15053" s="834" t="str">
        <f t="shared" si="549"/>
        <v>|||</v>
      </c>
      <c r="H15053" s="835">
        <f t="shared" si="550"/>
        <v>31</v>
      </c>
      <c r="AF15053" s="831" t="s">
        <v>10636</v>
      </c>
      <c r="AG15053" s="831" t="s">
        <v>2674</v>
      </c>
      <c r="AH15053" s="831" t="s">
        <v>551</v>
      </c>
      <c r="AI15053" s="831">
        <v>0</v>
      </c>
      <c r="AJ15053" s="835">
        <v>41243</v>
      </c>
      <c r="AK15053" s="831">
        <v>1916351</v>
      </c>
    </row>
    <row r="15054" spans="2:37">
      <c r="B15054" s="834" t="str">
        <f t="shared" si="549"/>
        <v>|||</v>
      </c>
      <c r="H15054" s="835">
        <f t="shared" si="550"/>
        <v>31</v>
      </c>
      <c r="AF15054" s="831" t="s">
        <v>10637</v>
      </c>
      <c r="AG15054" s="831" t="s">
        <v>2674</v>
      </c>
      <c r="AH15054" s="831" t="s">
        <v>550</v>
      </c>
      <c r="AI15054" s="831">
        <v>0</v>
      </c>
      <c r="AJ15054" s="835">
        <v>41243</v>
      </c>
      <c r="AK15054" s="831">
        <v>99431431</v>
      </c>
    </row>
    <row r="15055" spans="2:37">
      <c r="B15055" s="834" t="str">
        <f t="shared" si="549"/>
        <v>|||</v>
      </c>
      <c r="H15055" s="835">
        <f t="shared" si="550"/>
        <v>31</v>
      </c>
      <c r="AF15055" s="831" t="s">
        <v>10638</v>
      </c>
      <c r="AG15055" s="831" t="s">
        <v>2674</v>
      </c>
      <c r="AH15055" s="831" t="s">
        <v>562</v>
      </c>
      <c r="AI15055" s="831">
        <v>0</v>
      </c>
      <c r="AJ15055" s="835">
        <v>41243</v>
      </c>
      <c r="AK15055" s="831">
        <v>0.78415000000000001</v>
      </c>
    </row>
    <row r="15056" spans="2:37">
      <c r="B15056" s="834" t="str">
        <f t="shared" si="549"/>
        <v>|||</v>
      </c>
      <c r="H15056" s="835">
        <f t="shared" si="550"/>
        <v>31</v>
      </c>
      <c r="AF15056" s="831" t="s">
        <v>10639</v>
      </c>
      <c r="AG15056" s="831" t="s">
        <v>2674</v>
      </c>
      <c r="AH15056" s="831" t="s">
        <v>2698</v>
      </c>
      <c r="AI15056" s="831">
        <v>0</v>
      </c>
      <c r="AJ15056" s="835">
        <v>41243</v>
      </c>
      <c r="AK15056" s="831">
        <v>0.78434999999999999</v>
      </c>
    </row>
    <row r="15057" spans="2:37">
      <c r="B15057" s="834" t="str">
        <f t="shared" ref="B15057:B15120" si="551">C15057&amp;"|"&amp;D15057&amp;"|"&amp;E15057&amp;"|"&amp;F15057</f>
        <v>|||</v>
      </c>
      <c r="H15057" s="835">
        <f t="shared" ref="H15057:H15120" si="552">EOMONTH(L15057,0)</f>
        <v>31</v>
      </c>
      <c r="AF15057" s="831" t="s">
        <v>10640</v>
      </c>
      <c r="AG15057" s="831" t="s">
        <v>2674</v>
      </c>
      <c r="AH15057" s="831" t="s">
        <v>560</v>
      </c>
      <c r="AI15057" s="831">
        <v>0</v>
      </c>
      <c r="AJ15057" s="835">
        <v>41243</v>
      </c>
      <c r="AK15057" s="831">
        <v>0.7851499999999999</v>
      </c>
    </row>
    <row r="15058" spans="2:37">
      <c r="B15058" s="834" t="str">
        <f t="shared" si="551"/>
        <v>|||</v>
      </c>
      <c r="H15058" s="835">
        <f t="shared" si="552"/>
        <v>31</v>
      </c>
      <c r="AF15058" s="831" t="s">
        <v>10641</v>
      </c>
      <c r="AG15058" s="831" t="s">
        <v>2674</v>
      </c>
      <c r="AH15058" s="831" t="s">
        <v>559</v>
      </c>
      <c r="AI15058" s="831">
        <v>0</v>
      </c>
      <c r="AJ15058" s="835">
        <v>41243</v>
      </c>
      <c r="AK15058" s="831">
        <v>0.78524166666666673</v>
      </c>
    </row>
    <row r="15059" spans="2:37">
      <c r="B15059" s="834" t="str">
        <f t="shared" si="551"/>
        <v>|||</v>
      </c>
      <c r="H15059" s="835">
        <f t="shared" si="552"/>
        <v>31</v>
      </c>
      <c r="AF15059" s="831" t="s">
        <v>10642</v>
      </c>
      <c r="AG15059" s="831" t="s">
        <v>2674</v>
      </c>
      <c r="AH15059" s="831" t="s">
        <v>568</v>
      </c>
      <c r="AI15059" s="831">
        <v>0</v>
      </c>
      <c r="AJ15059" s="835">
        <v>41243</v>
      </c>
      <c r="AK15059" s="831">
        <v>0</v>
      </c>
    </row>
    <row r="15060" spans="2:37">
      <c r="B15060" s="834" t="str">
        <f t="shared" si="551"/>
        <v>|||</v>
      </c>
      <c r="H15060" s="835">
        <f t="shared" si="552"/>
        <v>31</v>
      </c>
      <c r="AF15060" s="831" t="s">
        <v>10643</v>
      </c>
      <c r="AG15060" s="831" t="s">
        <v>2674</v>
      </c>
      <c r="AH15060" s="831" t="s">
        <v>569</v>
      </c>
      <c r="AI15060" s="831">
        <v>0</v>
      </c>
      <c r="AJ15060" s="835">
        <v>41243</v>
      </c>
      <c r="AK15060" s="831">
        <v>0</v>
      </c>
    </row>
    <row r="15061" spans="2:37">
      <c r="B15061" s="834" t="str">
        <f t="shared" si="551"/>
        <v>|||</v>
      </c>
      <c r="H15061" s="835">
        <f t="shared" si="552"/>
        <v>31</v>
      </c>
      <c r="AF15061" s="831" t="s">
        <v>10644</v>
      </c>
      <c r="AG15061" s="831" t="s">
        <v>2674</v>
      </c>
      <c r="AH15061" s="831" t="s">
        <v>570</v>
      </c>
      <c r="AI15061" s="831">
        <v>0</v>
      </c>
      <c r="AJ15061" s="835">
        <v>41243</v>
      </c>
      <c r="AK15061" s="831">
        <v>0</v>
      </c>
    </row>
    <row r="15062" spans="2:37">
      <c r="B15062" s="834" t="str">
        <f t="shared" si="551"/>
        <v>|||</v>
      </c>
      <c r="H15062" s="835">
        <f t="shared" si="552"/>
        <v>31</v>
      </c>
      <c r="AF15062" s="831" t="s">
        <v>10645</v>
      </c>
      <c r="AG15062" s="831" t="s">
        <v>2674</v>
      </c>
      <c r="AH15062" s="831" t="s">
        <v>571</v>
      </c>
      <c r="AI15062" s="831">
        <v>0</v>
      </c>
      <c r="AJ15062" s="835">
        <v>41243</v>
      </c>
      <c r="AK15062" s="831">
        <v>0</v>
      </c>
    </row>
    <row r="15063" spans="2:37">
      <c r="B15063" s="834" t="str">
        <f t="shared" si="551"/>
        <v>|||</v>
      </c>
      <c r="H15063" s="835">
        <f t="shared" si="552"/>
        <v>31</v>
      </c>
      <c r="AF15063" s="831" t="s">
        <v>10646</v>
      </c>
      <c r="AG15063" s="831" t="s">
        <v>2674</v>
      </c>
      <c r="AH15063" s="831" t="s">
        <v>573</v>
      </c>
      <c r="AI15063" s="831">
        <v>0</v>
      </c>
      <c r="AJ15063" s="835">
        <v>41243</v>
      </c>
      <c r="AK15063" s="831">
        <v>0</v>
      </c>
    </row>
    <row r="15064" spans="2:37">
      <c r="B15064" s="834" t="str">
        <f t="shared" si="551"/>
        <v>|||</v>
      </c>
      <c r="H15064" s="835">
        <f t="shared" si="552"/>
        <v>31</v>
      </c>
      <c r="AF15064" s="831" t="s">
        <v>10647</v>
      </c>
      <c r="AG15064" s="831" t="s">
        <v>2674</v>
      </c>
      <c r="AH15064" s="831" t="s">
        <v>574</v>
      </c>
      <c r="AI15064" s="831">
        <v>0</v>
      </c>
      <c r="AJ15064" s="835">
        <v>41243</v>
      </c>
      <c r="AK15064" s="831">
        <v>0</v>
      </c>
    </row>
    <row r="15065" spans="2:37">
      <c r="B15065" s="834" t="str">
        <f t="shared" si="551"/>
        <v>|||</v>
      </c>
      <c r="H15065" s="835">
        <f t="shared" si="552"/>
        <v>31</v>
      </c>
      <c r="AF15065" s="831" t="s">
        <v>10648</v>
      </c>
      <c r="AG15065" s="831" t="s">
        <v>2674</v>
      </c>
      <c r="AH15065" s="831" t="s">
        <v>575</v>
      </c>
      <c r="AI15065" s="831">
        <v>0</v>
      </c>
      <c r="AJ15065" s="835">
        <v>41243</v>
      </c>
      <c r="AK15065" s="831">
        <v>0</v>
      </c>
    </row>
    <row r="15066" spans="2:37">
      <c r="B15066" s="834" t="str">
        <f t="shared" si="551"/>
        <v>|||</v>
      </c>
      <c r="H15066" s="835">
        <f t="shared" si="552"/>
        <v>31</v>
      </c>
      <c r="AF15066" s="831" t="s">
        <v>10649</v>
      </c>
      <c r="AG15066" s="831" t="s">
        <v>2674</v>
      </c>
      <c r="AH15066" s="831" t="s">
        <v>576</v>
      </c>
      <c r="AI15066" s="831">
        <v>0</v>
      </c>
      <c r="AJ15066" s="835">
        <v>41243</v>
      </c>
      <c r="AK15066" s="831">
        <v>0</v>
      </c>
    </row>
    <row r="15067" spans="2:37">
      <c r="B15067" s="834" t="str">
        <f t="shared" si="551"/>
        <v>|||</v>
      </c>
      <c r="H15067" s="835">
        <f t="shared" si="552"/>
        <v>31</v>
      </c>
      <c r="AF15067" s="831" t="s">
        <v>10650</v>
      </c>
      <c r="AG15067" s="831" t="s">
        <v>2674</v>
      </c>
      <c r="AH15067" s="831" t="s">
        <v>572</v>
      </c>
      <c r="AI15067" s="831">
        <v>0</v>
      </c>
      <c r="AJ15067" s="835">
        <v>41243</v>
      </c>
      <c r="AK15067" s="831">
        <v>-2146826246</v>
      </c>
    </row>
    <row r="15068" spans="2:37">
      <c r="B15068" s="834" t="str">
        <f t="shared" si="551"/>
        <v>|||</v>
      </c>
      <c r="H15068" s="835">
        <f t="shared" si="552"/>
        <v>31</v>
      </c>
      <c r="AF15068" s="831" t="s">
        <v>10651</v>
      </c>
      <c r="AG15068" s="831" t="s">
        <v>2674</v>
      </c>
      <c r="AH15068" s="831" t="s">
        <v>577</v>
      </c>
      <c r="AI15068" s="831">
        <v>0</v>
      </c>
      <c r="AJ15068" s="835">
        <v>41243</v>
      </c>
      <c r="AK15068" s="831">
        <v>-2146826246</v>
      </c>
    </row>
    <row r="15069" spans="2:37">
      <c r="B15069" s="834" t="str">
        <f t="shared" si="551"/>
        <v>|||</v>
      </c>
      <c r="H15069" s="835">
        <f t="shared" si="552"/>
        <v>31</v>
      </c>
      <c r="AF15069" s="831" t="s">
        <v>10652</v>
      </c>
      <c r="AG15069" s="831" t="s">
        <v>2674</v>
      </c>
      <c r="AH15069" s="831" t="s">
        <v>3042</v>
      </c>
      <c r="AI15069" s="831">
        <v>0</v>
      </c>
      <c r="AJ15069" s="835">
        <v>41243</v>
      </c>
      <c r="AK15069" s="831">
        <v>-2146826246</v>
      </c>
    </row>
    <row r="15070" spans="2:37">
      <c r="B15070" s="834" t="str">
        <f t="shared" si="551"/>
        <v>|||</v>
      </c>
      <c r="H15070" s="835">
        <f t="shared" si="552"/>
        <v>31</v>
      </c>
      <c r="AF15070" s="831" t="s">
        <v>10653</v>
      </c>
      <c r="AG15070" s="831" t="s">
        <v>2674</v>
      </c>
      <c r="AH15070" s="831" t="s">
        <v>3044</v>
      </c>
      <c r="AI15070" s="831">
        <v>0</v>
      </c>
      <c r="AJ15070" s="835">
        <v>41243</v>
      </c>
      <c r="AK15070" s="831">
        <v>-2146826246</v>
      </c>
    </row>
    <row r="15071" spans="2:37">
      <c r="B15071" s="834" t="str">
        <f t="shared" si="551"/>
        <v>|||</v>
      </c>
      <c r="H15071" s="835">
        <f t="shared" si="552"/>
        <v>31</v>
      </c>
      <c r="AF15071" s="831" t="s">
        <v>10654</v>
      </c>
      <c r="AG15071" s="831" t="s">
        <v>2674</v>
      </c>
      <c r="AH15071" s="831" t="s">
        <v>580</v>
      </c>
      <c r="AI15071" s="831">
        <v>0</v>
      </c>
      <c r="AJ15071" s="835">
        <v>41243</v>
      </c>
      <c r="AK15071" s="831">
        <v>-2146826246</v>
      </c>
    </row>
    <row r="15072" spans="2:37">
      <c r="B15072" s="834" t="str">
        <f t="shared" si="551"/>
        <v>|||</v>
      </c>
      <c r="H15072" s="835">
        <f t="shared" si="552"/>
        <v>31</v>
      </c>
      <c r="AF15072" s="831" t="s">
        <v>10655</v>
      </c>
      <c r="AG15072" s="831" t="s">
        <v>2674</v>
      </c>
      <c r="AH15072" s="831" t="s">
        <v>581</v>
      </c>
      <c r="AI15072" s="831">
        <v>0</v>
      </c>
      <c r="AJ15072" s="835">
        <v>41243</v>
      </c>
      <c r="AK15072" s="831">
        <v>-2146826246</v>
      </c>
    </row>
    <row r="15073" spans="2:37">
      <c r="B15073" s="834" t="str">
        <f t="shared" si="551"/>
        <v>|||</v>
      </c>
      <c r="H15073" s="835">
        <f t="shared" si="552"/>
        <v>31</v>
      </c>
      <c r="AF15073" s="831" t="s">
        <v>10656</v>
      </c>
      <c r="AG15073" s="831" t="s">
        <v>2674</v>
      </c>
      <c r="AH15073" s="831" t="s">
        <v>105</v>
      </c>
      <c r="AI15073" s="831">
        <v>0</v>
      </c>
      <c r="AJ15073" s="835">
        <v>41243</v>
      </c>
      <c r="AK15073" s="831">
        <v>202127506</v>
      </c>
    </row>
    <row r="15074" spans="2:37">
      <c r="B15074" s="834" t="str">
        <f t="shared" si="551"/>
        <v>|||</v>
      </c>
      <c r="H15074" s="835">
        <f t="shared" si="552"/>
        <v>31</v>
      </c>
      <c r="AF15074" s="831" t="s">
        <v>10657</v>
      </c>
      <c r="AG15074" s="831" t="s">
        <v>2674</v>
      </c>
      <c r="AH15074" s="831" t="s">
        <v>3049</v>
      </c>
      <c r="AI15074" s="831">
        <v>0</v>
      </c>
      <c r="AJ15074" s="835">
        <v>41243</v>
      </c>
      <c r="AK15074" s="831">
        <v>355103629</v>
      </c>
    </row>
    <row r="15075" spans="2:37">
      <c r="B15075" s="834" t="str">
        <f t="shared" si="551"/>
        <v>|||</v>
      </c>
      <c r="H15075" s="835">
        <f t="shared" si="552"/>
        <v>31</v>
      </c>
      <c r="AF15075" s="831" t="s">
        <v>10658</v>
      </c>
      <c r="AG15075" s="831" t="s">
        <v>2674</v>
      </c>
      <c r="AH15075" s="831" t="s">
        <v>103</v>
      </c>
      <c r="AI15075" s="831">
        <v>0</v>
      </c>
      <c r="AJ15075" s="835">
        <v>41243</v>
      </c>
      <c r="AK15075" s="831">
        <v>152976123</v>
      </c>
    </row>
    <row r="15076" spans="2:37">
      <c r="B15076" s="834" t="str">
        <f t="shared" si="551"/>
        <v>|||</v>
      </c>
      <c r="H15076" s="835">
        <f t="shared" si="552"/>
        <v>31</v>
      </c>
      <c r="AF15076" s="831" t="s">
        <v>10659</v>
      </c>
      <c r="AG15076" s="831" t="s">
        <v>2674</v>
      </c>
      <c r="AH15076" s="831" t="s">
        <v>182</v>
      </c>
      <c r="AI15076" s="831">
        <v>0</v>
      </c>
      <c r="AJ15076" s="835">
        <v>41243</v>
      </c>
      <c r="AK15076" s="831">
        <v>50142446.18181818</v>
      </c>
    </row>
    <row r="15077" spans="2:37">
      <c r="B15077" s="834" t="str">
        <f t="shared" si="551"/>
        <v>|||</v>
      </c>
      <c r="H15077" s="835">
        <f t="shared" si="552"/>
        <v>31</v>
      </c>
      <c r="AF15077" s="831" t="s">
        <v>10660</v>
      </c>
      <c r="AG15077" s="831" t="s">
        <v>2674</v>
      </c>
      <c r="AH15077" s="831" t="s">
        <v>6600</v>
      </c>
      <c r="AI15077" s="831">
        <v>0</v>
      </c>
      <c r="AJ15077" s="835">
        <v>41243</v>
      </c>
      <c r="AK15077" s="831">
        <v>-2146826246</v>
      </c>
    </row>
    <row r="15078" spans="2:37">
      <c r="B15078" s="834" t="str">
        <f t="shared" si="551"/>
        <v>|||</v>
      </c>
      <c r="H15078" s="835">
        <f t="shared" si="552"/>
        <v>31</v>
      </c>
      <c r="AF15078" s="831" t="s">
        <v>10661</v>
      </c>
      <c r="AG15078" s="831" t="s">
        <v>2674</v>
      </c>
      <c r="AH15078" s="831" t="s">
        <v>6602</v>
      </c>
      <c r="AI15078" s="831">
        <v>0</v>
      </c>
      <c r="AJ15078" s="835">
        <v>41243</v>
      </c>
      <c r="AK15078" s="831">
        <v>16533903</v>
      </c>
    </row>
    <row r="15079" spans="2:37">
      <c r="B15079" s="834" t="str">
        <f t="shared" si="551"/>
        <v>|||</v>
      </c>
      <c r="H15079" s="835">
        <f t="shared" si="552"/>
        <v>31</v>
      </c>
      <c r="AF15079" s="831" t="s">
        <v>10662</v>
      </c>
      <c r="AG15079" s="831" t="s">
        <v>2674</v>
      </c>
      <c r="AH15079" s="831" t="s">
        <v>650</v>
      </c>
      <c r="AI15079" s="831">
        <v>0</v>
      </c>
      <c r="AJ15079" s="835">
        <v>41243</v>
      </c>
      <c r="AK15079" s="831">
        <v>0</v>
      </c>
    </row>
    <row r="15080" spans="2:37">
      <c r="B15080" s="834" t="str">
        <f t="shared" si="551"/>
        <v>|||</v>
      </c>
      <c r="H15080" s="835">
        <f t="shared" si="552"/>
        <v>31</v>
      </c>
      <c r="AF15080" s="831" t="s">
        <v>10663</v>
      </c>
      <c r="AG15080" s="831" t="s">
        <v>2674</v>
      </c>
      <c r="AH15080" s="831" t="s">
        <v>655</v>
      </c>
      <c r="AI15080" s="831">
        <v>0</v>
      </c>
      <c r="AJ15080" s="835">
        <v>41243</v>
      </c>
      <c r="AK15080" s="831">
        <v>1720042</v>
      </c>
    </row>
    <row r="15081" spans="2:37">
      <c r="B15081" s="834" t="str">
        <f t="shared" si="551"/>
        <v>|||</v>
      </c>
      <c r="H15081" s="835">
        <f t="shared" si="552"/>
        <v>31</v>
      </c>
      <c r="AF15081" s="831" t="s">
        <v>10664</v>
      </c>
      <c r="AG15081" s="831" t="s">
        <v>2674</v>
      </c>
      <c r="AH15081" s="831" t="s">
        <v>546</v>
      </c>
      <c r="AI15081" s="831">
        <v>0</v>
      </c>
      <c r="AJ15081" s="835">
        <v>41274</v>
      </c>
      <c r="AK15081" s="831">
        <v>412125624</v>
      </c>
    </row>
    <row r="15082" spans="2:37">
      <c r="B15082" s="834" t="str">
        <f t="shared" si="551"/>
        <v>|||</v>
      </c>
      <c r="H15082" s="835">
        <f t="shared" si="552"/>
        <v>31</v>
      </c>
      <c r="AF15082" s="831" t="s">
        <v>10665</v>
      </c>
      <c r="AG15082" s="831" t="s">
        <v>2674</v>
      </c>
      <c r="AH15082" s="831" t="s">
        <v>370</v>
      </c>
      <c r="AI15082" s="831">
        <v>0</v>
      </c>
      <c r="AJ15082" s="835">
        <v>41274</v>
      </c>
      <c r="AK15082" s="831">
        <v>515268910</v>
      </c>
    </row>
    <row r="15083" spans="2:37">
      <c r="B15083" s="834" t="str">
        <f t="shared" si="551"/>
        <v>|||</v>
      </c>
      <c r="H15083" s="835">
        <f t="shared" si="552"/>
        <v>31</v>
      </c>
      <c r="AF15083" s="831" t="s">
        <v>10666</v>
      </c>
      <c r="AG15083" s="831" t="s">
        <v>2674</v>
      </c>
      <c r="AH15083" s="831" t="s">
        <v>126</v>
      </c>
      <c r="AI15083" s="831">
        <v>0</v>
      </c>
      <c r="AJ15083" s="835">
        <v>41274</v>
      </c>
      <c r="AK15083" s="831">
        <v>101162875</v>
      </c>
    </row>
    <row r="15084" spans="2:37">
      <c r="B15084" s="834" t="str">
        <f t="shared" si="551"/>
        <v>|||</v>
      </c>
      <c r="H15084" s="835">
        <f t="shared" si="552"/>
        <v>31</v>
      </c>
      <c r="AF15084" s="831" t="s">
        <v>10667</v>
      </c>
      <c r="AG15084" s="831" t="s">
        <v>2674</v>
      </c>
      <c r="AH15084" s="831" t="s">
        <v>268</v>
      </c>
      <c r="AI15084" s="831">
        <v>0</v>
      </c>
      <c r="AJ15084" s="835">
        <v>41274</v>
      </c>
      <c r="AK15084" s="831">
        <v>15839951</v>
      </c>
    </row>
    <row r="15085" spans="2:37">
      <c r="B15085" s="834" t="str">
        <f t="shared" si="551"/>
        <v>|||</v>
      </c>
      <c r="H15085" s="835">
        <f t="shared" si="552"/>
        <v>31</v>
      </c>
      <c r="AF15085" s="831" t="s">
        <v>10668</v>
      </c>
      <c r="AG15085" s="831" t="s">
        <v>2674</v>
      </c>
      <c r="AH15085" s="831" t="s">
        <v>547</v>
      </c>
      <c r="AI15085" s="831">
        <v>0</v>
      </c>
      <c r="AJ15085" s="835">
        <v>41274</v>
      </c>
      <c r="AK15085" s="831">
        <v>0</v>
      </c>
    </row>
    <row r="15086" spans="2:37">
      <c r="B15086" s="834" t="str">
        <f t="shared" si="551"/>
        <v>|||</v>
      </c>
      <c r="H15086" s="835">
        <f t="shared" si="552"/>
        <v>31</v>
      </c>
      <c r="AF15086" s="831" t="s">
        <v>10669</v>
      </c>
      <c r="AG15086" s="831" t="s">
        <v>2674</v>
      </c>
      <c r="AH15086" s="831" t="s">
        <v>548</v>
      </c>
      <c r="AI15086" s="831">
        <v>0</v>
      </c>
      <c r="AJ15086" s="835">
        <v>41274</v>
      </c>
      <c r="AK15086" s="831">
        <v>0</v>
      </c>
    </row>
    <row r="15087" spans="2:37">
      <c r="B15087" s="834" t="str">
        <f t="shared" si="551"/>
        <v>|||</v>
      </c>
      <c r="H15087" s="835">
        <f t="shared" si="552"/>
        <v>31</v>
      </c>
      <c r="AF15087" s="831" t="s">
        <v>10670</v>
      </c>
      <c r="AG15087" s="831" t="s">
        <v>2674</v>
      </c>
      <c r="AH15087" s="831" t="s">
        <v>549</v>
      </c>
      <c r="AI15087" s="831">
        <v>0</v>
      </c>
      <c r="AJ15087" s="835">
        <v>41274</v>
      </c>
      <c r="AK15087" s="831">
        <v>0</v>
      </c>
    </row>
    <row r="15088" spans="2:37">
      <c r="B15088" s="834" t="str">
        <f t="shared" si="551"/>
        <v>|||</v>
      </c>
      <c r="H15088" s="835">
        <f t="shared" si="552"/>
        <v>31</v>
      </c>
      <c r="AF15088" s="831" t="s">
        <v>10671</v>
      </c>
      <c r="AG15088" s="831" t="s">
        <v>2674</v>
      </c>
      <c r="AH15088" s="831" t="s">
        <v>192</v>
      </c>
      <c r="AI15088" s="831">
        <v>0</v>
      </c>
      <c r="AJ15088" s="835">
        <v>41274</v>
      </c>
      <c r="AK15088" s="831">
        <v>-10390612</v>
      </c>
    </row>
    <row r="15089" spans="2:37">
      <c r="B15089" s="834" t="str">
        <f t="shared" si="551"/>
        <v>|||</v>
      </c>
      <c r="H15089" s="835">
        <f t="shared" si="552"/>
        <v>31</v>
      </c>
      <c r="AF15089" s="831" t="s">
        <v>10672</v>
      </c>
      <c r="AG15089" s="831" t="s">
        <v>2674</v>
      </c>
      <c r="AH15089" s="831" t="s">
        <v>558</v>
      </c>
      <c r="AI15089" s="831">
        <v>0</v>
      </c>
      <c r="AJ15089" s="835">
        <v>41274</v>
      </c>
      <c r="AK15089" s="831">
        <v>414106035</v>
      </c>
    </row>
    <row r="15090" spans="2:37">
      <c r="B15090" s="834" t="str">
        <f t="shared" si="551"/>
        <v>|||</v>
      </c>
      <c r="H15090" s="835">
        <f t="shared" si="552"/>
        <v>31</v>
      </c>
      <c r="AF15090" s="831" t="s">
        <v>10673</v>
      </c>
      <c r="AG15090" s="831" t="s">
        <v>2674</v>
      </c>
      <c r="AH15090" s="831" t="s">
        <v>65</v>
      </c>
      <c r="AI15090" s="831">
        <v>0</v>
      </c>
      <c r="AJ15090" s="835">
        <v>41274</v>
      </c>
      <c r="AK15090" s="831">
        <v>98876380</v>
      </c>
    </row>
    <row r="15091" spans="2:37">
      <c r="B15091" s="834" t="str">
        <f t="shared" si="551"/>
        <v>|||</v>
      </c>
      <c r="H15091" s="835">
        <f t="shared" si="552"/>
        <v>31</v>
      </c>
      <c r="AF15091" s="831" t="s">
        <v>10674</v>
      </c>
      <c r="AG15091" s="831" t="s">
        <v>2674</v>
      </c>
      <c r="AH15091" s="831" t="s">
        <v>89</v>
      </c>
      <c r="AI15091" s="831">
        <v>0</v>
      </c>
      <c r="AJ15091" s="835">
        <v>41274</v>
      </c>
      <c r="AK15091" s="831">
        <v>124397</v>
      </c>
    </row>
    <row r="15092" spans="2:37">
      <c r="B15092" s="834" t="str">
        <f t="shared" si="551"/>
        <v>|||</v>
      </c>
      <c r="H15092" s="835">
        <f t="shared" si="552"/>
        <v>31</v>
      </c>
      <c r="AF15092" s="831" t="s">
        <v>10675</v>
      </c>
      <c r="AG15092" s="831" t="s">
        <v>2674</v>
      </c>
      <c r="AH15092" s="831" t="s">
        <v>557</v>
      </c>
      <c r="AI15092" s="831">
        <v>0</v>
      </c>
      <c r="AJ15092" s="835">
        <v>41274</v>
      </c>
      <c r="AK15092" s="831">
        <v>127200</v>
      </c>
    </row>
    <row r="15093" spans="2:37">
      <c r="B15093" s="834" t="str">
        <f t="shared" si="551"/>
        <v>|||</v>
      </c>
      <c r="H15093" s="835">
        <f t="shared" si="552"/>
        <v>31</v>
      </c>
      <c r="AF15093" s="831" t="s">
        <v>10676</v>
      </c>
      <c r="AG15093" s="831" t="s">
        <v>2674</v>
      </c>
      <c r="AH15093" s="831" t="s">
        <v>29</v>
      </c>
      <c r="AI15093" s="831">
        <v>0</v>
      </c>
      <c r="AJ15093" s="835">
        <v>41274</v>
      </c>
      <c r="AK15093" s="831">
        <v>1921756</v>
      </c>
    </row>
    <row r="15094" spans="2:37">
      <c r="B15094" s="834" t="str">
        <f t="shared" si="551"/>
        <v>|||</v>
      </c>
      <c r="H15094" s="835">
        <f t="shared" si="552"/>
        <v>31</v>
      </c>
      <c r="AF15094" s="831" t="s">
        <v>10677</v>
      </c>
      <c r="AG15094" s="831" t="s">
        <v>2674</v>
      </c>
      <c r="AH15094" s="831" t="s">
        <v>2688</v>
      </c>
      <c r="AI15094" s="831">
        <v>0</v>
      </c>
      <c r="AJ15094" s="835">
        <v>41274</v>
      </c>
      <c r="AK15094" s="831">
        <v>2457254</v>
      </c>
    </row>
    <row r="15095" spans="2:37">
      <c r="B15095" s="834" t="str">
        <f t="shared" si="551"/>
        <v>|||</v>
      </c>
      <c r="H15095" s="835">
        <f t="shared" si="552"/>
        <v>31</v>
      </c>
      <c r="AF15095" s="831" t="s">
        <v>10678</v>
      </c>
      <c r="AG15095" s="831" t="s">
        <v>2674</v>
      </c>
      <c r="AH15095" s="831" t="s">
        <v>556</v>
      </c>
      <c r="AI15095" s="831">
        <v>0</v>
      </c>
      <c r="AJ15095" s="835">
        <v>41274</v>
      </c>
      <c r="AK15095" s="831">
        <v>902857</v>
      </c>
    </row>
    <row r="15096" spans="2:37">
      <c r="B15096" s="834" t="str">
        <f t="shared" si="551"/>
        <v>|||</v>
      </c>
      <c r="H15096" s="835">
        <f t="shared" si="552"/>
        <v>31</v>
      </c>
      <c r="AF15096" s="831" t="s">
        <v>10679</v>
      </c>
      <c r="AG15096" s="831" t="s">
        <v>2674</v>
      </c>
      <c r="AH15096" s="831" t="s">
        <v>555</v>
      </c>
      <c r="AI15096" s="831">
        <v>0</v>
      </c>
      <c r="AJ15096" s="835">
        <v>41274</v>
      </c>
      <c r="AK15096" s="831">
        <v>274948010</v>
      </c>
    </row>
    <row r="15097" spans="2:37">
      <c r="B15097" s="834" t="str">
        <f t="shared" si="551"/>
        <v>|||</v>
      </c>
      <c r="H15097" s="835">
        <f t="shared" si="552"/>
        <v>31</v>
      </c>
      <c r="AF15097" s="831" t="s">
        <v>10680</v>
      </c>
      <c r="AG15097" s="831" t="s">
        <v>2674</v>
      </c>
      <c r="AH15097" s="831" t="s">
        <v>554</v>
      </c>
      <c r="AI15097" s="831">
        <v>0</v>
      </c>
      <c r="AJ15097" s="835">
        <v>41274</v>
      </c>
      <c r="AK15097" s="831">
        <v>273069880</v>
      </c>
    </row>
    <row r="15098" spans="2:37">
      <c r="B15098" s="834" t="str">
        <f t="shared" si="551"/>
        <v>|||</v>
      </c>
      <c r="H15098" s="835">
        <f t="shared" si="552"/>
        <v>31</v>
      </c>
      <c r="AF15098" s="831" t="s">
        <v>10681</v>
      </c>
      <c r="AG15098" s="831" t="s">
        <v>2674</v>
      </c>
      <c r="AH15098" s="831" t="s">
        <v>553</v>
      </c>
      <c r="AI15098" s="831">
        <v>0</v>
      </c>
      <c r="AJ15098" s="835">
        <v>41274</v>
      </c>
      <c r="AK15098" s="831">
        <v>0</v>
      </c>
    </row>
    <row r="15099" spans="2:37">
      <c r="B15099" s="834" t="str">
        <f t="shared" si="551"/>
        <v>|||</v>
      </c>
      <c r="H15099" s="835">
        <f t="shared" si="552"/>
        <v>31</v>
      </c>
      <c r="AF15099" s="831" t="s">
        <v>10682</v>
      </c>
      <c r="AG15099" s="831" t="s">
        <v>2674</v>
      </c>
      <c r="AH15099" s="831" t="s">
        <v>552</v>
      </c>
      <c r="AI15099" s="831">
        <v>0</v>
      </c>
      <c r="AJ15099" s="835">
        <v>41274</v>
      </c>
      <c r="AK15099" s="831">
        <v>0</v>
      </c>
    </row>
    <row r="15100" spans="2:37">
      <c r="B15100" s="834" t="str">
        <f t="shared" si="551"/>
        <v>|||</v>
      </c>
      <c r="H15100" s="835">
        <f t="shared" si="552"/>
        <v>31</v>
      </c>
      <c r="AF15100" s="831" t="s">
        <v>10683</v>
      </c>
      <c r="AG15100" s="831" t="s">
        <v>2674</v>
      </c>
      <c r="AH15100" s="831" t="s">
        <v>551</v>
      </c>
      <c r="AI15100" s="831">
        <v>0</v>
      </c>
      <c r="AJ15100" s="835">
        <v>41274</v>
      </c>
      <c r="AK15100" s="831">
        <v>1740472</v>
      </c>
    </row>
    <row r="15101" spans="2:37">
      <c r="B15101" s="834" t="str">
        <f t="shared" si="551"/>
        <v>|||</v>
      </c>
      <c r="H15101" s="835">
        <f t="shared" si="552"/>
        <v>31</v>
      </c>
      <c r="AF15101" s="831" t="s">
        <v>10684</v>
      </c>
      <c r="AG15101" s="831" t="s">
        <v>2674</v>
      </c>
      <c r="AH15101" s="831" t="s">
        <v>550</v>
      </c>
      <c r="AI15101" s="831">
        <v>0</v>
      </c>
      <c r="AJ15101" s="835">
        <v>41274</v>
      </c>
      <c r="AK15101" s="831">
        <v>101856827</v>
      </c>
    </row>
    <row r="15102" spans="2:37">
      <c r="B15102" s="834" t="str">
        <f t="shared" si="551"/>
        <v>|||</v>
      </c>
      <c r="H15102" s="835">
        <f t="shared" si="552"/>
        <v>31</v>
      </c>
      <c r="AF15102" s="831" t="s">
        <v>10685</v>
      </c>
      <c r="AG15102" s="831" t="s">
        <v>2674</v>
      </c>
      <c r="AH15102" s="831" t="s">
        <v>562</v>
      </c>
      <c r="AI15102" s="831">
        <v>0</v>
      </c>
      <c r="AJ15102" s="835">
        <v>41274</v>
      </c>
      <c r="AK15102" s="831">
        <v>0.78400000000000003</v>
      </c>
    </row>
    <row r="15103" spans="2:37">
      <c r="B15103" s="834" t="str">
        <f t="shared" si="551"/>
        <v>|||</v>
      </c>
      <c r="H15103" s="835">
        <f t="shared" si="552"/>
        <v>31</v>
      </c>
      <c r="AF15103" s="831" t="s">
        <v>10686</v>
      </c>
      <c r="AG15103" s="831" t="s">
        <v>2674</v>
      </c>
      <c r="AH15103" s="831" t="s">
        <v>2698</v>
      </c>
      <c r="AI15103" s="831">
        <v>0</v>
      </c>
      <c r="AJ15103" s="835">
        <v>41274</v>
      </c>
      <c r="AK15103" s="831">
        <v>0.78415000000000001</v>
      </c>
    </row>
    <row r="15104" spans="2:37">
      <c r="B15104" s="834" t="str">
        <f t="shared" si="551"/>
        <v>|||</v>
      </c>
      <c r="H15104" s="835">
        <f t="shared" si="552"/>
        <v>31</v>
      </c>
      <c r="AF15104" s="831" t="s">
        <v>10687</v>
      </c>
      <c r="AG15104" s="831" t="s">
        <v>2674</v>
      </c>
      <c r="AH15104" s="831" t="s">
        <v>560</v>
      </c>
      <c r="AI15104" s="831">
        <v>0</v>
      </c>
      <c r="AJ15104" s="835">
        <v>41274</v>
      </c>
      <c r="AK15104" s="831">
        <v>0.7850541666666665</v>
      </c>
    </row>
    <row r="15105" spans="2:37">
      <c r="B15105" s="834" t="str">
        <f t="shared" si="551"/>
        <v>|||</v>
      </c>
      <c r="H15105" s="835">
        <f t="shared" si="552"/>
        <v>31</v>
      </c>
      <c r="AF15105" s="831" t="s">
        <v>10688</v>
      </c>
      <c r="AG15105" s="831" t="s">
        <v>2674</v>
      </c>
      <c r="AH15105" s="831" t="s">
        <v>559</v>
      </c>
      <c r="AI15105" s="831">
        <v>0</v>
      </c>
      <c r="AJ15105" s="835">
        <v>41274</v>
      </c>
      <c r="AK15105" s="831">
        <v>0.7850541666666665</v>
      </c>
    </row>
    <row r="15106" spans="2:37">
      <c r="B15106" s="834" t="str">
        <f t="shared" si="551"/>
        <v>|||</v>
      </c>
      <c r="H15106" s="835">
        <f t="shared" si="552"/>
        <v>31</v>
      </c>
      <c r="AF15106" s="831" t="s">
        <v>10689</v>
      </c>
      <c r="AG15106" s="831" t="s">
        <v>2674</v>
      </c>
      <c r="AH15106" s="831" t="s">
        <v>568</v>
      </c>
      <c r="AI15106" s="831">
        <v>0</v>
      </c>
      <c r="AJ15106" s="835">
        <v>41274</v>
      </c>
      <c r="AK15106" s="831">
        <v>0</v>
      </c>
    </row>
    <row r="15107" spans="2:37">
      <c r="B15107" s="834" t="str">
        <f t="shared" si="551"/>
        <v>|||</v>
      </c>
      <c r="H15107" s="835">
        <f t="shared" si="552"/>
        <v>31</v>
      </c>
      <c r="AF15107" s="831" t="s">
        <v>10690</v>
      </c>
      <c r="AG15107" s="831" t="s">
        <v>2674</v>
      </c>
      <c r="AH15107" s="831" t="s">
        <v>569</v>
      </c>
      <c r="AI15107" s="831">
        <v>0</v>
      </c>
      <c r="AJ15107" s="835">
        <v>41274</v>
      </c>
      <c r="AK15107" s="831">
        <v>0</v>
      </c>
    </row>
    <row r="15108" spans="2:37">
      <c r="B15108" s="834" t="str">
        <f t="shared" si="551"/>
        <v>|||</v>
      </c>
      <c r="H15108" s="835">
        <f t="shared" si="552"/>
        <v>31</v>
      </c>
      <c r="AF15108" s="831" t="s">
        <v>10691</v>
      </c>
      <c r="AG15108" s="831" t="s">
        <v>2674</v>
      </c>
      <c r="AH15108" s="831" t="s">
        <v>570</v>
      </c>
      <c r="AI15108" s="831">
        <v>0</v>
      </c>
      <c r="AJ15108" s="835">
        <v>41274</v>
      </c>
      <c r="AK15108" s="831">
        <v>0</v>
      </c>
    </row>
    <row r="15109" spans="2:37">
      <c r="B15109" s="834" t="str">
        <f t="shared" si="551"/>
        <v>|||</v>
      </c>
      <c r="H15109" s="835">
        <f t="shared" si="552"/>
        <v>31</v>
      </c>
      <c r="AF15109" s="831" t="s">
        <v>10692</v>
      </c>
      <c r="AG15109" s="831" t="s">
        <v>2674</v>
      </c>
      <c r="AH15109" s="831" t="s">
        <v>571</v>
      </c>
      <c r="AI15109" s="831">
        <v>0</v>
      </c>
      <c r="AJ15109" s="835">
        <v>41274</v>
      </c>
      <c r="AK15109" s="831">
        <v>0</v>
      </c>
    </row>
    <row r="15110" spans="2:37">
      <c r="B15110" s="834" t="str">
        <f t="shared" si="551"/>
        <v>|||</v>
      </c>
      <c r="H15110" s="835">
        <f t="shared" si="552"/>
        <v>31</v>
      </c>
      <c r="AF15110" s="831" t="s">
        <v>10693</v>
      </c>
      <c r="AG15110" s="831" t="s">
        <v>2674</v>
      </c>
      <c r="AH15110" s="831" t="s">
        <v>573</v>
      </c>
      <c r="AI15110" s="831">
        <v>0</v>
      </c>
      <c r="AJ15110" s="835">
        <v>41274</v>
      </c>
      <c r="AK15110" s="831">
        <v>-2146826265</v>
      </c>
    </row>
    <row r="15111" spans="2:37">
      <c r="B15111" s="834" t="str">
        <f t="shared" si="551"/>
        <v>|||</v>
      </c>
      <c r="H15111" s="835">
        <f t="shared" si="552"/>
        <v>31</v>
      </c>
      <c r="AF15111" s="831" t="s">
        <v>10694</v>
      </c>
      <c r="AG15111" s="831" t="s">
        <v>2674</v>
      </c>
      <c r="AH15111" s="831" t="s">
        <v>574</v>
      </c>
      <c r="AI15111" s="831">
        <v>0</v>
      </c>
      <c r="AJ15111" s="835">
        <v>41274</v>
      </c>
      <c r="AK15111" s="831">
        <v>-2146826265</v>
      </c>
    </row>
    <row r="15112" spans="2:37">
      <c r="B15112" s="834" t="str">
        <f t="shared" si="551"/>
        <v>|||</v>
      </c>
      <c r="H15112" s="835">
        <f t="shared" si="552"/>
        <v>31</v>
      </c>
      <c r="AF15112" s="831" t="s">
        <v>10695</v>
      </c>
      <c r="AG15112" s="831" t="s">
        <v>2674</v>
      </c>
      <c r="AH15112" s="831" t="s">
        <v>575</v>
      </c>
      <c r="AI15112" s="831">
        <v>0</v>
      </c>
      <c r="AJ15112" s="835">
        <v>41274</v>
      </c>
      <c r="AK15112" s="831">
        <v>-2146826265</v>
      </c>
    </row>
    <row r="15113" spans="2:37">
      <c r="B15113" s="834" t="str">
        <f t="shared" si="551"/>
        <v>|||</v>
      </c>
      <c r="H15113" s="835">
        <f t="shared" si="552"/>
        <v>31</v>
      </c>
      <c r="AF15113" s="831" t="s">
        <v>10696</v>
      </c>
      <c r="AG15113" s="831" t="s">
        <v>2674</v>
      </c>
      <c r="AH15113" s="831" t="s">
        <v>576</v>
      </c>
      <c r="AI15113" s="831">
        <v>0</v>
      </c>
      <c r="AJ15113" s="835">
        <v>41274</v>
      </c>
      <c r="AK15113" s="831">
        <v>-2146826265</v>
      </c>
    </row>
    <row r="15114" spans="2:37">
      <c r="B15114" s="834" t="str">
        <f t="shared" si="551"/>
        <v>|||</v>
      </c>
      <c r="H15114" s="835">
        <f t="shared" si="552"/>
        <v>31</v>
      </c>
      <c r="AF15114" s="831" t="s">
        <v>10697</v>
      </c>
      <c r="AG15114" s="831" t="s">
        <v>2674</v>
      </c>
      <c r="AH15114" s="831" t="s">
        <v>572</v>
      </c>
      <c r="AI15114" s="831">
        <v>0</v>
      </c>
      <c r="AJ15114" s="835">
        <v>41274</v>
      </c>
      <c r="AK15114" s="831">
        <v>-2146826246</v>
      </c>
    </row>
    <row r="15115" spans="2:37">
      <c r="B15115" s="834" t="str">
        <f t="shared" si="551"/>
        <v>|||</v>
      </c>
      <c r="H15115" s="835">
        <f t="shared" si="552"/>
        <v>31</v>
      </c>
      <c r="AF15115" s="831" t="s">
        <v>10698</v>
      </c>
      <c r="AG15115" s="831" t="s">
        <v>2674</v>
      </c>
      <c r="AH15115" s="831" t="s">
        <v>577</v>
      </c>
      <c r="AI15115" s="831">
        <v>0</v>
      </c>
      <c r="AJ15115" s="835">
        <v>41274</v>
      </c>
      <c r="AK15115" s="831">
        <v>-2146826246</v>
      </c>
    </row>
    <row r="15116" spans="2:37">
      <c r="B15116" s="834" t="str">
        <f t="shared" si="551"/>
        <v>|||</v>
      </c>
      <c r="H15116" s="835">
        <f t="shared" si="552"/>
        <v>31</v>
      </c>
      <c r="AF15116" s="831" t="s">
        <v>10699</v>
      </c>
      <c r="AG15116" s="831" t="s">
        <v>2674</v>
      </c>
      <c r="AH15116" s="831" t="s">
        <v>3042</v>
      </c>
      <c r="AI15116" s="831">
        <v>0</v>
      </c>
      <c r="AJ15116" s="835">
        <v>41274</v>
      </c>
      <c r="AK15116" s="831">
        <v>-2146826246</v>
      </c>
    </row>
    <row r="15117" spans="2:37">
      <c r="B15117" s="834" t="str">
        <f t="shared" si="551"/>
        <v>|||</v>
      </c>
      <c r="H15117" s="835">
        <f t="shared" si="552"/>
        <v>31</v>
      </c>
      <c r="AF15117" s="831" t="s">
        <v>10700</v>
      </c>
      <c r="AG15117" s="831" t="s">
        <v>2674</v>
      </c>
      <c r="AH15117" s="831" t="s">
        <v>3044</v>
      </c>
      <c r="AI15117" s="831">
        <v>0</v>
      </c>
      <c r="AJ15117" s="835">
        <v>41274</v>
      </c>
      <c r="AK15117" s="831">
        <v>-2146826246</v>
      </c>
    </row>
    <row r="15118" spans="2:37">
      <c r="B15118" s="834" t="str">
        <f t="shared" si="551"/>
        <v>|||</v>
      </c>
      <c r="H15118" s="835">
        <f t="shared" si="552"/>
        <v>31</v>
      </c>
      <c r="AF15118" s="831" t="s">
        <v>10701</v>
      </c>
      <c r="AG15118" s="831" t="s">
        <v>2674</v>
      </c>
      <c r="AH15118" s="831" t="s">
        <v>580</v>
      </c>
      <c r="AI15118" s="831">
        <v>0</v>
      </c>
      <c r="AJ15118" s="835">
        <v>41274</v>
      </c>
      <c r="AK15118" s="831">
        <v>-2146826246</v>
      </c>
    </row>
    <row r="15119" spans="2:37">
      <c r="B15119" s="834" t="str">
        <f t="shared" si="551"/>
        <v>|||</v>
      </c>
      <c r="H15119" s="835">
        <f t="shared" si="552"/>
        <v>31</v>
      </c>
      <c r="AF15119" s="831" t="s">
        <v>10702</v>
      </c>
      <c r="AG15119" s="831" t="s">
        <v>2674</v>
      </c>
      <c r="AH15119" s="831" t="s">
        <v>581</v>
      </c>
      <c r="AI15119" s="831">
        <v>0</v>
      </c>
      <c r="AJ15119" s="835">
        <v>41274</v>
      </c>
      <c r="AK15119" s="831">
        <v>-2146826246</v>
      </c>
    </row>
    <row r="15120" spans="2:37">
      <c r="B15120" s="834" t="str">
        <f t="shared" si="551"/>
        <v>|||</v>
      </c>
      <c r="H15120" s="835">
        <f t="shared" si="552"/>
        <v>31</v>
      </c>
      <c r="AF15120" s="831" t="s">
        <v>10703</v>
      </c>
      <c r="AG15120" s="831" t="s">
        <v>2674</v>
      </c>
      <c r="AH15120" s="831" t="s">
        <v>105</v>
      </c>
      <c r="AI15120" s="831">
        <v>0</v>
      </c>
      <c r="AJ15120" s="835">
        <v>41274</v>
      </c>
      <c r="AK15120" s="831">
        <v>237580126</v>
      </c>
    </row>
    <row r="15121" spans="2:37">
      <c r="B15121" s="834" t="str">
        <f t="shared" ref="B15121:B15184" si="553">C15121&amp;"|"&amp;D15121&amp;"|"&amp;E15121&amp;"|"&amp;F15121</f>
        <v>|||</v>
      </c>
      <c r="H15121" s="835">
        <f t="shared" ref="H15121:H15184" si="554">EOMONTH(L15121,0)</f>
        <v>31</v>
      </c>
      <c r="AF15121" s="831" t="s">
        <v>10704</v>
      </c>
      <c r="AG15121" s="831" t="s">
        <v>2674</v>
      </c>
      <c r="AH15121" s="831" t="s">
        <v>3049</v>
      </c>
      <c r="AI15121" s="831">
        <v>0</v>
      </c>
      <c r="AJ15121" s="835">
        <v>41274</v>
      </c>
      <c r="AK15121" s="831">
        <v>400647257</v>
      </c>
    </row>
    <row r="15122" spans="2:37">
      <c r="B15122" s="834" t="str">
        <f t="shared" si="553"/>
        <v>|||</v>
      </c>
      <c r="H15122" s="835">
        <f t="shared" si="554"/>
        <v>31</v>
      </c>
      <c r="AF15122" s="831" t="s">
        <v>10705</v>
      </c>
      <c r="AG15122" s="831" t="s">
        <v>2674</v>
      </c>
      <c r="AH15122" s="831" t="s">
        <v>103</v>
      </c>
      <c r="AI15122" s="831">
        <v>0</v>
      </c>
      <c r="AJ15122" s="835">
        <v>41274</v>
      </c>
      <c r="AK15122" s="831">
        <v>163067131</v>
      </c>
    </row>
    <row r="15123" spans="2:37">
      <c r="B15123" s="834" t="str">
        <f t="shared" si="553"/>
        <v>|||</v>
      </c>
      <c r="H15123" s="835">
        <f t="shared" si="554"/>
        <v>31</v>
      </c>
      <c r="AF15123" s="831" t="s">
        <v>10706</v>
      </c>
      <c r="AG15123" s="831" t="s">
        <v>2674</v>
      </c>
      <c r="AH15123" s="831" t="s">
        <v>182</v>
      </c>
      <c r="AI15123" s="831">
        <v>0</v>
      </c>
      <c r="AJ15123" s="835">
        <v>41274</v>
      </c>
      <c r="AK15123" s="831">
        <v>53318071</v>
      </c>
    </row>
    <row r="15124" spans="2:37">
      <c r="B15124" s="834" t="str">
        <f t="shared" si="553"/>
        <v>|||</v>
      </c>
      <c r="H15124" s="835">
        <f t="shared" si="554"/>
        <v>31</v>
      </c>
      <c r="AF15124" s="831" t="s">
        <v>10707</v>
      </c>
      <c r="AG15124" s="831" t="s">
        <v>2674</v>
      </c>
      <c r="AH15124" s="831" t="s">
        <v>6600</v>
      </c>
      <c r="AI15124" s="831">
        <v>0</v>
      </c>
      <c r="AJ15124" s="835">
        <v>41274</v>
      </c>
      <c r="AK15124" s="831">
        <v>-2146826246</v>
      </c>
    </row>
    <row r="15125" spans="2:37">
      <c r="B15125" s="834" t="str">
        <f t="shared" si="553"/>
        <v>|||</v>
      </c>
      <c r="H15125" s="835">
        <f t="shared" si="554"/>
        <v>31</v>
      </c>
      <c r="AF15125" s="831" t="s">
        <v>10708</v>
      </c>
      <c r="AG15125" s="831" t="s">
        <v>2674</v>
      </c>
      <c r="AH15125" s="831" t="s">
        <v>6602</v>
      </c>
      <c r="AI15125" s="831">
        <v>0</v>
      </c>
      <c r="AJ15125" s="835">
        <v>41274</v>
      </c>
      <c r="AK15125" s="831">
        <v>15839951</v>
      </c>
    </row>
    <row r="15126" spans="2:37">
      <c r="B15126" s="834" t="str">
        <f t="shared" si="553"/>
        <v>|||</v>
      </c>
      <c r="H15126" s="835">
        <f t="shared" si="554"/>
        <v>31</v>
      </c>
      <c r="AF15126" s="831" t="s">
        <v>10709</v>
      </c>
      <c r="AG15126" s="831" t="s">
        <v>2674</v>
      </c>
      <c r="AH15126" s="831" t="s">
        <v>650</v>
      </c>
      <c r="AI15126" s="831">
        <v>0</v>
      </c>
      <c r="AJ15126" s="835">
        <v>41274</v>
      </c>
      <c r="AK15126" s="831">
        <v>0</v>
      </c>
    </row>
    <row r="15127" spans="2:37">
      <c r="B15127" s="834" t="str">
        <f t="shared" si="553"/>
        <v>|||</v>
      </c>
      <c r="H15127" s="835">
        <f t="shared" si="554"/>
        <v>31</v>
      </c>
      <c r="AF15127" s="831" t="s">
        <v>10710</v>
      </c>
      <c r="AG15127" s="831" t="s">
        <v>2674</v>
      </c>
      <c r="AH15127" s="831" t="s">
        <v>655</v>
      </c>
      <c r="AI15127" s="831">
        <v>0</v>
      </c>
      <c r="AJ15127" s="835">
        <v>41274</v>
      </c>
      <c r="AK15127" s="831">
        <v>1622276</v>
      </c>
    </row>
    <row r="15128" spans="2:37">
      <c r="B15128" s="834" t="str">
        <f t="shared" si="553"/>
        <v>|||</v>
      </c>
      <c r="H15128" s="835">
        <f t="shared" si="554"/>
        <v>31</v>
      </c>
      <c r="AF15128" s="831" t="s">
        <v>10711</v>
      </c>
      <c r="AG15128" s="831" t="s">
        <v>2674</v>
      </c>
      <c r="AH15128" s="831" t="s">
        <v>546</v>
      </c>
      <c r="AI15128" s="831">
        <v>0</v>
      </c>
      <c r="AJ15128" s="835">
        <v>41305</v>
      </c>
      <c r="AK15128" s="831">
        <v>421051783</v>
      </c>
    </row>
    <row r="15129" spans="2:37">
      <c r="B15129" s="834" t="str">
        <f t="shared" si="553"/>
        <v>|||</v>
      </c>
      <c r="H15129" s="835">
        <f t="shared" si="554"/>
        <v>31</v>
      </c>
      <c r="AF15129" s="831" t="s">
        <v>10712</v>
      </c>
      <c r="AG15129" s="831" t="s">
        <v>2674</v>
      </c>
      <c r="AH15129" s="831" t="s">
        <v>370</v>
      </c>
      <c r="AI15129" s="831">
        <v>0</v>
      </c>
      <c r="AJ15129" s="835">
        <v>41305</v>
      </c>
      <c r="AK15129" s="831">
        <v>511487760</v>
      </c>
    </row>
    <row r="15130" spans="2:37">
      <c r="B15130" s="834" t="str">
        <f t="shared" si="553"/>
        <v>|||</v>
      </c>
      <c r="H15130" s="835">
        <f t="shared" si="554"/>
        <v>31</v>
      </c>
      <c r="AF15130" s="831" t="s">
        <v>10713</v>
      </c>
      <c r="AG15130" s="831" t="s">
        <v>2674</v>
      </c>
      <c r="AH15130" s="831" t="s">
        <v>126</v>
      </c>
      <c r="AI15130" s="831">
        <v>0</v>
      </c>
      <c r="AJ15130" s="835">
        <v>41305</v>
      </c>
      <c r="AK15130" s="831">
        <v>96883184</v>
      </c>
    </row>
    <row r="15131" spans="2:37">
      <c r="B15131" s="834" t="str">
        <f t="shared" si="553"/>
        <v>|||</v>
      </c>
      <c r="H15131" s="835">
        <f t="shared" si="554"/>
        <v>31</v>
      </c>
      <c r="AF15131" s="831" t="s">
        <v>10714</v>
      </c>
      <c r="AG15131" s="831" t="s">
        <v>2674</v>
      </c>
      <c r="AH15131" s="831" t="s">
        <v>268</v>
      </c>
      <c r="AI15131" s="831">
        <v>0</v>
      </c>
      <c r="AJ15131" s="835">
        <v>41305</v>
      </c>
      <c r="AK15131" s="831">
        <v>2119961</v>
      </c>
    </row>
    <row r="15132" spans="2:37">
      <c r="B15132" s="834" t="str">
        <f t="shared" si="553"/>
        <v>|||</v>
      </c>
      <c r="H15132" s="835">
        <f t="shared" si="554"/>
        <v>31</v>
      </c>
      <c r="AF15132" s="831" t="s">
        <v>10715</v>
      </c>
      <c r="AG15132" s="831" t="s">
        <v>2674</v>
      </c>
      <c r="AH15132" s="831" t="s">
        <v>547</v>
      </c>
      <c r="AI15132" s="831">
        <v>0</v>
      </c>
      <c r="AJ15132" s="835">
        <v>41305</v>
      </c>
      <c r="AK15132" s="831">
        <v>511487760</v>
      </c>
    </row>
    <row r="15133" spans="2:37">
      <c r="B15133" s="834" t="str">
        <f t="shared" si="553"/>
        <v>|||</v>
      </c>
      <c r="H15133" s="835">
        <f t="shared" si="554"/>
        <v>31</v>
      </c>
      <c r="AF15133" s="831" t="s">
        <v>10716</v>
      </c>
      <c r="AG15133" s="831" t="s">
        <v>2674</v>
      </c>
      <c r="AH15133" s="831" t="s">
        <v>548</v>
      </c>
      <c r="AI15133" s="831">
        <v>0</v>
      </c>
      <c r="AJ15133" s="835">
        <v>41305</v>
      </c>
      <c r="AK15133" s="831">
        <v>96883184</v>
      </c>
    </row>
    <row r="15134" spans="2:37">
      <c r="B15134" s="834" t="str">
        <f t="shared" si="553"/>
        <v>|||</v>
      </c>
      <c r="H15134" s="835">
        <f t="shared" si="554"/>
        <v>31</v>
      </c>
      <c r="AF15134" s="831" t="s">
        <v>10717</v>
      </c>
      <c r="AG15134" s="831" t="s">
        <v>2674</v>
      </c>
      <c r="AH15134" s="831" t="s">
        <v>549</v>
      </c>
      <c r="AI15134" s="831">
        <v>0</v>
      </c>
      <c r="AJ15134" s="835">
        <v>41305</v>
      </c>
      <c r="AK15134" s="831">
        <v>0</v>
      </c>
    </row>
    <row r="15135" spans="2:37">
      <c r="B15135" s="834" t="str">
        <f t="shared" si="553"/>
        <v>|||</v>
      </c>
      <c r="H15135" s="835">
        <f t="shared" si="554"/>
        <v>31</v>
      </c>
      <c r="AF15135" s="831" t="s">
        <v>10718</v>
      </c>
      <c r="AG15135" s="831" t="s">
        <v>2674</v>
      </c>
      <c r="AH15135" s="831" t="s">
        <v>192</v>
      </c>
      <c r="AI15135" s="831">
        <v>0</v>
      </c>
      <c r="AJ15135" s="835">
        <v>41305</v>
      </c>
      <c r="AK15135" s="831">
        <v>-10696839</v>
      </c>
    </row>
    <row r="15136" spans="2:37">
      <c r="B15136" s="834" t="str">
        <f t="shared" si="553"/>
        <v>|||</v>
      </c>
      <c r="H15136" s="835">
        <f t="shared" si="554"/>
        <v>31</v>
      </c>
      <c r="AF15136" s="831" t="s">
        <v>10719</v>
      </c>
      <c r="AG15136" s="831" t="s">
        <v>2674</v>
      </c>
      <c r="AH15136" s="831" t="s">
        <v>558</v>
      </c>
      <c r="AI15136" s="831">
        <v>0</v>
      </c>
      <c r="AJ15136" s="835">
        <v>41305</v>
      </c>
      <c r="AK15136" s="831">
        <v>414604576</v>
      </c>
    </row>
    <row r="15137" spans="2:37">
      <c r="B15137" s="834" t="str">
        <f t="shared" si="553"/>
        <v>|||</v>
      </c>
      <c r="H15137" s="835">
        <f t="shared" si="554"/>
        <v>31</v>
      </c>
      <c r="AF15137" s="831" t="s">
        <v>10720</v>
      </c>
      <c r="AG15137" s="831" t="s">
        <v>2674</v>
      </c>
      <c r="AH15137" s="831" t="s">
        <v>65</v>
      </c>
      <c r="AI15137" s="831">
        <v>0</v>
      </c>
      <c r="AJ15137" s="835">
        <v>41305</v>
      </c>
      <c r="AK15137" s="831">
        <v>9476383</v>
      </c>
    </row>
    <row r="15138" spans="2:37">
      <c r="B15138" s="834" t="str">
        <f t="shared" si="553"/>
        <v>|||</v>
      </c>
      <c r="H15138" s="835">
        <f t="shared" si="554"/>
        <v>31</v>
      </c>
      <c r="AF15138" s="831" t="s">
        <v>10721</v>
      </c>
      <c r="AG15138" s="831" t="s">
        <v>2674</v>
      </c>
      <c r="AH15138" s="831" t="s">
        <v>89</v>
      </c>
      <c r="AI15138" s="831">
        <v>0</v>
      </c>
      <c r="AJ15138" s="835">
        <v>41305</v>
      </c>
      <c r="AK15138" s="831">
        <v>125947</v>
      </c>
    </row>
    <row r="15139" spans="2:37">
      <c r="B15139" s="834" t="str">
        <f t="shared" si="553"/>
        <v>|||</v>
      </c>
      <c r="H15139" s="835">
        <f t="shared" si="554"/>
        <v>31</v>
      </c>
      <c r="AF15139" s="831" t="s">
        <v>10722</v>
      </c>
      <c r="AG15139" s="831" t="s">
        <v>2674</v>
      </c>
      <c r="AH15139" s="831" t="s">
        <v>557</v>
      </c>
      <c r="AI15139" s="831">
        <v>0</v>
      </c>
      <c r="AJ15139" s="835">
        <v>41305</v>
      </c>
      <c r="AK15139" s="831">
        <v>128972</v>
      </c>
    </row>
    <row r="15140" spans="2:37">
      <c r="B15140" s="834" t="str">
        <f t="shared" si="553"/>
        <v>|||</v>
      </c>
      <c r="H15140" s="835">
        <f t="shared" si="554"/>
        <v>31</v>
      </c>
      <c r="AF15140" s="831" t="s">
        <v>10723</v>
      </c>
      <c r="AG15140" s="831" t="s">
        <v>2674</v>
      </c>
      <c r="AH15140" s="831" t="s">
        <v>29</v>
      </c>
      <c r="AI15140" s="831">
        <v>0</v>
      </c>
      <c r="AJ15140" s="835">
        <v>41305</v>
      </c>
      <c r="AK15140" s="831">
        <v>1949343</v>
      </c>
    </row>
    <row r="15141" spans="2:37">
      <c r="B15141" s="834" t="str">
        <f t="shared" si="553"/>
        <v>|||</v>
      </c>
      <c r="H15141" s="835">
        <f t="shared" si="554"/>
        <v>31</v>
      </c>
      <c r="AF15141" s="831" t="s">
        <v>10724</v>
      </c>
      <c r="AG15141" s="831" t="s">
        <v>2674</v>
      </c>
      <c r="AH15141" s="831" t="s">
        <v>2688</v>
      </c>
      <c r="AI15141" s="831">
        <v>0</v>
      </c>
      <c r="AJ15141" s="835">
        <v>41305</v>
      </c>
      <c r="AK15141" s="831">
        <v>2693419</v>
      </c>
    </row>
    <row r="15142" spans="2:37">
      <c r="B15142" s="834" t="str">
        <f t="shared" si="553"/>
        <v>|||</v>
      </c>
      <c r="H15142" s="835">
        <f t="shared" si="554"/>
        <v>31</v>
      </c>
      <c r="AF15142" s="831" t="s">
        <v>10725</v>
      </c>
      <c r="AG15142" s="831" t="s">
        <v>2674</v>
      </c>
      <c r="AH15142" s="831" t="s">
        <v>556</v>
      </c>
      <c r="AI15142" s="831">
        <v>0</v>
      </c>
      <c r="AJ15142" s="835">
        <v>41305</v>
      </c>
      <c r="AK15142" s="831">
        <v>902857</v>
      </c>
    </row>
    <row r="15143" spans="2:37">
      <c r="B15143" s="834" t="str">
        <f t="shared" si="553"/>
        <v>|||</v>
      </c>
      <c r="H15143" s="835">
        <f t="shared" si="554"/>
        <v>31</v>
      </c>
      <c r="AF15143" s="831" t="s">
        <v>10726</v>
      </c>
      <c r="AG15143" s="831" t="s">
        <v>2674</v>
      </c>
      <c r="AH15143" s="831" t="s">
        <v>555</v>
      </c>
      <c r="AI15143" s="831">
        <v>0</v>
      </c>
      <c r="AJ15143" s="835">
        <v>41305</v>
      </c>
      <c r="AK15143" s="831">
        <v>261608550</v>
      </c>
    </row>
    <row r="15144" spans="2:37">
      <c r="B15144" s="834" t="str">
        <f t="shared" si="553"/>
        <v>|||</v>
      </c>
      <c r="H15144" s="835">
        <f t="shared" si="554"/>
        <v>31</v>
      </c>
      <c r="AF15144" s="831" t="s">
        <v>10727</v>
      </c>
      <c r="AG15144" s="831" t="s">
        <v>2674</v>
      </c>
      <c r="AH15144" s="831" t="s">
        <v>554</v>
      </c>
      <c r="AI15144" s="831">
        <v>0</v>
      </c>
      <c r="AJ15144" s="835">
        <v>41305</v>
      </c>
      <c r="AK15144" s="831">
        <v>265544650</v>
      </c>
    </row>
    <row r="15145" spans="2:37">
      <c r="B15145" s="834" t="str">
        <f t="shared" si="553"/>
        <v>|||</v>
      </c>
      <c r="H15145" s="835">
        <f t="shared" si="554"/>
        <v>31</v>
      </c>
      <c r="AF15145" s="831" t="s">
        <v>10728</v>
      </c>
      <c r="AG15145" s="831" t="s">
        <v>2674</v>
      </c>
      <c r="AH15145" s="831" t="s">
        <v>553</v>
      </c>
      <c r="AI15145" s="831">
        <v>0</v>
      </c>
      <c r="AJ15145" s="835">
        <v>41305</v>
      </c>
      <c r="AK15145" s="831">
        <v>0</v>
      </c>
    </row>
    <row r="15146" spans="2:37">
      <c r="B15146" s="834" t="str">
        <f t="shared" si="553"/>
        <v>|||</v>
      </c>
      <c r="H15146" s="835">
        <f t="shared" si="554"/>
        <v>31</v>
      </c>
      <c r="AF15146" s="831" t="s">
        <v>10729</v>
      </c>
      <c r="AG15146" s="831" t="s">
        <v>2674</v>
      </c>
      <c r="AH15146" s="831" t="s">
        <v>552</v>
      </c>
      <c r="AI15146" s="831">
        <v>0</v>
      </c>
      <c r="AJ15146" s="835">
        <v>41305</v>
      </c>
      <c r="AK15146" s="831">
        <v>0</v>
      </c>
    </row>
    <row r="15147" spans="2:37">
      <c r="B15147" s="834" t="str">
        <f t="shared" si="553"/>
        <v>|||</v>
      </c>
      <c r="H15147" s="835">
        <f t="shared" si="554"/>
        <v>31</v>
      </c>
      <c r="AF15147" s="831" t="s">
        <v>10730</v>
      </c>
      <c r="AG15147" s="831" t="s">
        <v>2674</v>
      </c>
      <c r="AH15147" s="831" t="s">
        <v>551</v>
      </c>
      <c r="AI15147" s="831">
        <v>0</v>
      </c>
      <c r="AJ15147" s="835">
        <v>41305</v>
      </c>
      <c r="AK15147" s="831">
        <v>1906076</v>
      </c>
    </row>
    <row r="15148" spans="2:37">
      <c r="B15148" s="834" t="str">
        <f t="shared" si="553"/>
        <v>|||</v>
      </c>
      <c r="H15148" s="835">
        <f t="shared" si="554"/>
        <v>31</v>
      </c>
      <c r="AF15148" s="831" t="s">
        <v>10731</v>
      </c>
      <c r="AG15148" s="831" t="s">
        <v>2674</v>
      </c>
      <c r="AH15148" s="831" t="s">
        <v>550</v>
      </c>
      <c r="AI15148" s="831">
        <v>0</v>
      </c>
      <c r="AJ15148" s="835">
        <v>41305</v>
      </c>
      <c r="AK15148" s="831">
        <v>101162875</v>
      </c>
    </row>
    <row r="15149" spans="2:37">
      <c r="B15149" s="834" t="str">
        <f t="shared" si="553"/>
        <v>|||</v>
      </c>
      <c r="H15149" s="835">
        <f t="shared" si="554"/>
        <v>31</v>
      </c>
      <c r="AF15149" s="831" t="s">
        <v>10732</v>
      </c>
      <c r="AG15149" s="831" t="s">
        <v>2674</v>
      </c>
      <c r="AH15149" s="831" t="s">
        <v>562</v>
      </c>
      <c r="AI15149" s="831">
        <v>0</v>
      </c>
      <c r="AJ15149" s="835">
        <v>41305</v>
      </c>
      <c r="AK15149" s="831">
        <v>0.78385000000000005</v>
      </c>
    </row>
    <row r="15150" spans="2:37">
      <c r="B15150" s="834" t="str">
        <f t="shared" si="553"/>
        <v>|||</v>
      </c>
      <c r="H15150" s="835">
        <f t="shared" si="554"/>
        <v>31</v>
      </c>
      <c r="AF15150" s="831" t="s">
        <v>10733</v>
      </c>
      <c r="AG15150" s="831" t="s">
        <v>2674</v>
      </c>
      <c r="AH15150" s="831" t="s">
        <v>2698</v>
      </c>
      <c r="AI15150" s="831">
        <v>0</v>
      </c>
      <c r="AJ15150" s="835">
        <v>41305</v>
      </c>
      <c r="AK15150" s="831">
        <v>0.78400000000000003</v>
      </c>
    </row>
    <row r="15151" spans="2:37">
      <c r="B15151" s="834" t="str">
        <f t="shared" si="553"/>
        <v>|||</v>
      </c>
      <c r="H15151" s="835">
        <f t="shared" si="554"/>
        <v>31</v>
      </c>
      <c r="AF15151" s="831" t="s">
        <v>10734</v>
      </c>
      <c r="AG15151" s="831" t="s">
        <v>2674</v>
      </c>
      <c r="AH15151" s="831" t="s">
        <v>560</v>
      </c>
      <c r="AI15151" s="831">
        <v>0</v>
      </c>
      <c r="AJ15151" s="835">
        <v>41305</v>
      </c>
      <c r="AK15151" s="831">
        <v>0.78385000000000005</v>
      </c>
    </row>
    <row r="15152" spans="2:37">
      <c r="B15152" s="834" t="str">
        <f t="shared" si="553"/>
        <v>|||</v>
      </c>
      <c r="H15152" s="835">
        <f t="shared" si="554"/>
        <v>31</v>
      </c>
      <c r="AF15152" s="831" t="s">
        <v>10735</v>
      </c>
      <c r="AG15152" s="831" t="s">
        <v>2674</v>
      </c>
      <c r="AH15152" s="831" t="s">
        <v>559</v>
      </c>
      <c r="AI15152" s="831">
        <v>0</v>
      </c>
      <c r="AJ15152" s="835">
        <v>41305</v>
      </c>
      <c r="AK15152" s="831">
        <v>0.78486250000000002</v>
      </c>
    </row>
    <row r="15153" spans="2:37">
      <c r="B15153" s="834" t="str">
        <f t="shared" si="553"/>
        <v>|||</v>
      </c>
      <c r="H15153" s="835">
        <f t="shared" si="554"/>
        <v>31</v>
      </c>
      <c r="AF15153" s="831" t="s">
        <v>10736</v>
      </c>
      <c r="AG15153" s="831" t="s">
        <v>2674</v>
      </c>
      <c r="AH15153" s="831" t="s">
        <v>568</v>
      </c>
      <c r="AI15153" s="831">
        <v>0</v>
      </c>
      <c r="AJ15153" s="835">
        <v>41305</v>
      </c>
      <c r="AK15153" s="831">
        <v>373888864.66666669</v>
      </c>
    </row>
    <row r="15154" spans="2:37">
      <c r="B15154" s="834" t="str">
        <f t="shared" si="553"/>
        <v>|||</v>
      </c>
      <c r="H15154" s="835">
        <f t="shared" si="554"/>
        <v>31</v>
      </c>
      <c r="AF15154" s="831" t="s">
        <v>10737</v>
      </c>
      <c r="AG15154" s="831" t="s">
        <v>2674</v>
      </c>
      <c r="AH15154" s="831" t="s">
        <v>569</v>
      </c>
      <c r="AI15154" s="831">
        <v>0</v>
      </c>
      <c r="AJ15154" s="835">
        <v>41305</v>
      </c>
      <c r="AK15154" s="831">
        <v>458979290.77777779</v>
      </c>
    </row>
    <row r="15155" spans="2:37">
      <c r="B15155" s="834" t="str">
        <f t="shared" si="553"/>
        <v>|||</v>
      </c>
      <c r="H15155" s="835">
        <f t="shared" si="554"/>
        <v>31</v>
      </c>
      <c r="AF15155" s="831" t="s">
        <v>10738</v>
      </c>
      <c r="AG15155" s="831" t="s">
        <v>2674</v>
      </c>
      <c r="AH15155" s="831" t="s">
        <v>570</v>
      </c>
      <c r="AI15155" s="831">
        <v>0</v>
      </c>
      <c r="AJ15155" s="835">
        <v>41305</v>
      </c>
      <c r="AK15155" s="831">
        <v>96420088.555555552</v>
      </c>
    </row>
    <row r="15156" spans="2:37">
      <c r="B15156" s="834" t="str">
        <f t="shared" si="553"/>
        <v>|||</v>
      </c>
      <c r="H15156" s="835">
        <f t="shared" si="554"/>
        <v>31</v>
      </c>
      <c r="AF15156" s="831" t="s">
        <v>10739</v>
      </c>
      <c r="AG15156" s="831" t="s">
        <v>2674</v>
      </c>
      <c r="AH15156" s="831" t="s">
        <v>571</v>
      </c>
      <c r="AI15156" s="831">
        <v>0</v>
      </c>
      <c r="AJ15156" s="835">
        <v>41305</v>
      </c>
      <c r="AK15156" s="831">
        <v>187471539.44444445</v>
      </c>
    </row>
    <row r="15157" spans="2:37">
      <c r="B15157" s="834" t="str">
        <f t="shared" si="553"/>
        <v>|||</v>
      </c>
      <c r="H15157" s="835">
        <f t="shared" si="554"/>
        <v>31</v>
      </c>
      <c r="AF15157" s="831" t="s">
        <v>10740</v>
      </c>
      <c r="AG15157" s="831" t="s">
        <v>2674</v>
      </c>
      <c r="AH15157" s="831" t="s">
        <v>573</v>
      </c>
      <c r="AI15157" s="831">
        <v>0</v>
      </c>
      <c r="AJ15157" s="835">
        <v>41305</v>
      </c>
      <c r="AK15157" s="831">
        <v>513378335</v>
      </c>
    </row>
    <row r="15158" spans="2:37">
      <c r="B15158" s="834" t="str">
        <f t="shared" si="553"/>
        <v>|||</v>
      </c>
      <c r="H15158" s="835">
        <f t="shared" si="554"/>
        <v>31</v>
      </c>
      <c r="AF15158" s="831" t="s">
        <v>10741</v>
      </c>
      <c r="AG15158" s="831" t="s">
        <v>2674</v>
      </c>
      <c r="AH15158" s="831" t="s">
        <v>574</v>
      </c>
      <c r="AI15158" s="831">
        <v>0</v>
      </c>
      <c r="AJ15158" s="835">
        <v>41305</v>
      </c>
      <c r="AK15158" s="831">
        <v>416588703.5</v>
      </c>
    </row>
    <row r="15159" spans="2:37">
      <c r="B15159" s="834" t="str">
        <f t="shared" si="553"/>
        <v>|||</v>
      </c>
      <c r="H15159" s="835">
        <f t="shared" si="554"/>
        <v>31</v>
      </c>
      <c r="AF15159" s="831" t="s">
        <v>10742</v>
      </c>
      <c r="AG15159" s="831" t="s">
        <v>2674</v>
      </c>
      <c r="AH15159" s="831" t="s">
        <v>575</v>
      </c>
      <c r="AI15159" s="831">
        <v>0</v>
      </c>
      <c r="AJ15159" s="835">
        <v>41305</v>
      </c>
      <c r="AK15159" s="831">
        <v>99023029.5</v>
      </c>
    </row>
    <row r="15160" spans="2:37">
      <c r="B15160" s="834" t="str">
        <f t="shared" si="553"/>
        <v>|||</v>
      </c>
      <c r="H15160" s="835">
        <f t="shared" si="554"/>
        <v>31</v>
      </c>
      <c r="AF15160" s="831" t="s">
        <v>10743</v>
      </c>
      <c r="AG15160" s="831" t="s">
        <v>2674</v>
      </c>
      <c r="AH15160" s="831" t="s">
        <v>576</v>
      </c>
      <c r="AI15160" s="831">
        <v>0</v>
      </c>
      <c r="AJ15160" s="835">
        <v>41305</v>
      </c>
      <c r="AK15160" s="831">
        <v>233642368.5</v>
      </c>
    </row>
    <row r="15161" spans="2:37">
      <c r="B15161" s="834" t="str">
        <f t="shared" si="553"/>
        <v>|||</v>
      </c>
      <c r="H15161" s="835">
        <f t="shared" si="554"/>
        <v>31</v>
      </c>
      <c r="AF15161" s="831" t="s">
        <v>10744</v>
      </c>
      <c r="AG15161" s="831" t="s">
        <v>2674</v>
      </c>
      <c r="AH15161" s="831" t="s">
        <v>572</v>
      </c>
      <c r="AI15161" s="831">
        <v>0</v>
      </c>
      <c r="AJ15161" s="835">
        <v>41305</v>
      </c>
      <c r="AK15161" s="831">
        <v>-2146826246</v>
      </c>
    </row>
    <row r="15162" spans="2:37">
      <c r="B15162" s="834" t="str">
        <f t="shared" si="553"/>
        <v>|||</v>
      </c>
      <c r="H15162" s="835">
        <f t="shared" si="554"/>
        <v>31</v>
      </c>
      <c r="AF15162" s="831" t="s">
        <v>10745</v>
      </c>
      <c r="AG15162" s="831" t="s">
        <v>2674</v>
      </c>
      <c r="AH15162" s="831" t="s">
        <v>577</v>
      </c>
      <c r="AI15162" s="831">
        <v>0</v>
      </c>
      <c r="AJ15162" s="835">
        <v>41305</v>
      </c>
      <c r="AK15162" s="831">
        <v>-2146826246</v>
      </c>
    </row>
    <row r="15163" spans="2:37">
      <c r="B15163" s="834" t="str">
        <f t="shared" si="553"/>
        <v>|||</v>
      </c>
      <c r="H15163" s="835">
        <f t="shared" si="554"/>
        <v>31</v>
      </c>
      <c r="AF15163" s="831" t="s">
        <v>10746</v>
      </c>
      <c r="AG15163" s="831" t="s">
        <v>2674</v>
      </c>
      <c r="AH15163" s="831" t="s">
        <v>3042</v>
      </c>
      <c r="AI15163" s="831">
        <v>0</v>
      </c>
      <c r="AJ15163" s="835">
        <v>41305</v>
      </c>
      <c r="AK15163" s="831">
        <v>-2146826246</v>
      </c>
    </row>
    <row r="15164" spans="2:37">
      <c r="B15164" s="834" t="str">
        <f t="shared" si="553"/>
        <v>|||</v>
      </c>
      <c r="H15164" s="835">
        <f t="shared" si="554"/>
        <v>31</v>
      </c>
      <c r="AF15164" s="831" t="s">
        <v>10747</v>
      </c>
      <c r="AG15164" s="831" t="s">
        <v>2674</v>
      </c>
      <c r="AH15164" s="831" t="s">
        <v>3044</v>
      </c>
      <c r="AI15164" s="831">
        <v>0</v>
      </c>
      <c r="AJ15164" s="835">
        <v>41305</v>
      </c>
      <c r="AK15164" s="831">
        <v>-2146826246</v>
      </c>
    </row>
    <row r="15165" spans="2:37">
      <c r="B15165" s="834" t="str">
        <f t="shared" si="553"/>
        <v>|||</v>
      </c>
      <c r="H15165" s="835">
        <f t="shared" si="554"/>
        <v>31</v>
      </c>
      <c r="AF15165" s="831" t="s">
        <v>10748</v>
      </c>
      <c r="AG15165" s="831" t="s">
        <v>2674</v>
      </c>
      <c r="AH15165" s="831" t="s">
        <v>580</v>
      </c>
      <c r="AI15165" s="831">
        <v>0</v>
      </c>
      <c r="AJ15165" s="835">
        <v>41305</v>
      </c>
      <c r="AK15165" s="831">
        <v>-2146826246</v>
      </c>
    </row>
    <row r="15166" spans="2:37">
      <c r="B15166" s="834" t="str">
        <f t="shared" si="553"/>
        <v>|||</v>
      </c>
      <c r="H15166" s="835">
        <f t="shared" si="554"/>
        <v>31</v>
      </c>
      <c r="AF15166" s="831" t="s">
        <v>10749</v>
      </c>
      <c r="AG15166" s="831" t="s">
        <v>2674</v>
      </c>
      <c r="AH15166" s="831" t="s">
        <v>581</v>
      </c>
      <c r="AI15166" s="831">
        <v>0</v>
      </c>
      <c r="AJ15166" s="835">
        <v>41305</v>
      </c>
      <c r="AK15166" s="831">
        <v>-2146826246</v>
      </c>
    </row>
    <row r="15167" spans="2:37">
      <c r="B15167" s="834" t="str">
        <f t="shared" si="553"/>
        <v>|||</v>
      </c>
      <c r="H15167" s="835">
        <f t="shared" si="554"/>
        <v>31</v>
      </c>
      <c r="AF15167" s="831" t="s">
        <v>10750</v>
      </c>
      <c r="AG15167" s="831" t="s">
        <v>2674</v>
      </c>
      <c r="AH15167" s="831" t="s">
        <v>105</v>
      </c>
      <c r="AI15167" s="831">
        <v>0</v>
      </c>
      <c r="AJ15167" s="835">
        <v>41305</v>
      </c>
      <c r="AK15167" s="831">
        <v>229704611</v>
      </c>
    </row>
    <row r="15168" spans="2:37">
      <c r="B15168" s="834" t="str">
        <f t="shared" si="553"/>
        <v>|||</v>
      </c>
      <c r="H15168" s="835">
        <f t="shared" si="554"/>
        <v>31</v>
      </c>
      <c r="AF15168" s="831" t="s">
        <v>10751</v>
      </c>
      <c r="AG15168" s="831" t="s">
        <v>2674</v>
      </c>
      <c r="AH15168" s="831" t="s">
        <v>3049</v>
      </c>
      <c r="AI15168" s="831">
        <v>0</v>
      </c>
      <c r="AJ15168" s="835">
        <v>41305</v>
      </c>
      <c r="AK15168" s="831">
        <v>400579663</v>
      </c>
    </row>
    <row r="15169" spans="2:37">
      <c r="B15169" s="834" t="str">
        <f t="shared" si="553"/>
        <v>|||</v>
      </c>
      <c r="H15169" s="835">
        <f t="shared" si="554"/>
        <v>31</v>
      </c>
      <c r="AF15169" s="831" t="s">
        <v>10752</v>
      </c>
      <c r="AG15169" s="831" t="s">
        <v>2674</v>
      </c>
      <c r="AH15169" s="831" t="s">
        <v>103</v>
      </c>
      <c r="AI15169" s="831">
        <v>0</v>
      </c>
      <c r="AJ15169" s="835">
        <v>41305</v>
      </c>
      <c r="AK15169" s="831">
        <v>170875052</v>
      </c>
    </row>
    <row r="15170" spans="2:37">
      <c r="B15170" s="834" t="str">
        <f t="shared" si="553"/>
        <v>|||</v>
      </c>
      <c r="H15170" s="835">
        <f t="shared" si="554"/>
        <v>31</v>
      </c>
      <c r="AF15170" s="831" t="s">
        <v>10753</v>
      </c>
      <c r="AG15170" s="831" t="s">
        <v>2674</v>
      </c>
      <c r="AH15170" s="831" t="s">
        <v>182</v>
      </c>
      <c r="AI15170" s="831">
        <v>0</v>
      </c>
      <c r="AJ15170" s="835">
        <v>41305</v>
      </c>
      <c r="AK15170" s="831">
        <v>57203676</v>
      </c>
    </row>
    <row r="15171" spans="2:37">
      <c r="B15171" s="834" t="str">
        <f t="shared" si="553"/>
        <v>|||</v>
      </c>
      <c r="H15171" s="835">
        <f t="shared" si="554"/>
        <v>31</v>
      </c>
      <c r="AF15171" s="831" t="s">
        <v>10754</v>
      </c>
      <c r="AG15171" s="831" t="s">
        <v>2674</v>
      </c>
      <c r="AH15171" s="831" t="s">
        <v>6600</v>
      </c>
      <c r="AI15171" s="831">
        <v>0</v>
      </c>
      <c r="AJ15171" s="835">
        <v>41305</v>
      </c>
      <c r="AK15171" s="831">
        <v>-2146826246</v>
      </c>
    </row>
    <row r="15172" spans="2:37">
      <c r="B15172" s="834" t="str">
        <f t="shared" si="553"/>
        <v>|||</v>
      </c>
      <c r="H15172" s="835">
        <f t="shared" si="554"/>
        <v>31</v>
      </c>
      <c r="AF15172" s="831" t="s">
        <v>10755</v>
      </c>
      <c r="AG15172" s="831" t="s">
        <v>2674</v>
      </c>
      <c r="AH15172" s="831" t="s">
        <v>6602</v>
      </c>
      <c r="AI15172" s="831">
        <v>0</v>
      </c>
      <c r="AJ15172" s="835">
        <v>41305</v>
      </c>
      <c r="AK15172" s="831">
        <v>2119961</v>
      </c>
    </row>
    <row r="15173" spans="2:37">
      <c r="B15173" s="834" t="str">
        <f t="shared" si="553"/>
        <v>|||</v>
      </c>
      <c r="H15173" s="835">
        <f t="shared" si="554"/>
        <v>31</v>
      </c>
      <c r="AF15173" s="831" t="s">
        <v>10756</v>
      </c>
      <c r="AG15173" s="831" t="s">
        <v>2674</v>
      </c>
      <c r="AH15173" s="831" t="s">
        <v>650</v>
      </c>
      <c r="AI15173" s="831">
        <v>0</v>
      </c>
      <c r="AJ15173" s="835">
        <v>41305</v>
      </c>
      <c r="AK15173" s="831">
        <v>162276642.66666666</v>
      </c>
    </row>
    <row r="15174" spans="2:37">
      <c r="B15174" s="834" t="str">
        <f t="shared" si="553"/>
        <v>|||</v>
      </c>
      <c r="H15174" s="835">
        <f t="shared" si="554"/>
        <v>31</v>
      </c>
      <c r="AF15174" s="831" t="s">
        <v>10757</v>
      </c>
      <c r="AG15174" s="831" t="s">
        <v>2674</v>
      </c>
      <c r="AH15174" s="831" t="s">
        <v>655</v>
      </c>
      <c r="AI15174" s="831">
        <v>0</v>
      </c>
      <c r="AJ15174" s="835">
        <v>41305</v>
      </c>
      <c r="AK15174" s="831">
        <v>1743639</v>
      </c>
    </row>
    <row r="15175" spans="2:37">
      <c r="B15175" s="834" t="str">
        <f t="shared" si="553"/>
        <v>|||</v>
      </c>
      <c r="H15175" s="835">
        <f t="shared" si="554"/>
        <v>31</v>
      </c>
      <c r="AF15175" s="831" t="s">
        <v>10758</v>
      </c>
      <c r="AG15175" s="831" t="s">
        <v>2674</v>
      </c>
      <c r="AH15175" s="831" t="s">
        <v>546</v>
      </c>
      <c r="AI15175" s="831">
        <v>0</v>
      </c>
      <c r="AJ15175" s="835">
        <v>41333</v>
      </c>
      <c r="AK15175" s="831">
        <v>436810603</v>
      </c>
    </row>
    <row r="15176" spans="2:37">
      <c r="B15176" s="834" t="str">
        <f t="shared" si="553"/>
        <v>|||</v>
      </c>
      <c r="H15176" s="835">
        <f t="shared" si="554"/>
        <v>31</v>
      </c>
      <c r="AF15176" s="831" t="s">
        <v>10759</v>
      </c>
      <c r="AG15176" s="831" t="s">
        <v>2674</v>
      </c>
      <c r="AH15176" s="831" t="s">
        <v>370</v>
      </c>
      <c r="AI15176" s="831">
        <v>0</v>
      </c>
      <c r="AJ15176" s="835">
        <v>41333</v>
      </c>
      <c r="AK15176" s="831">
        <v>522076176</v>
      </c>
    </row>
    <row r="15177" spans="2:37">
      <c r="B15177" s="834" t="str">
        <f t="shared" si="553"/>
        <v>|||</v>
      </c>
      <c r="H15177" s="835">
        <f t="shared" si="554"/>
        <v>31</v>
      </c>
      <c r="AF15177" s="831" t="s">
        <v>10760</v>
      </c>
      <c r="AG15177" s="831" t="s">
        <v>2674</v>
      </c>
      <c r="AH15177" s="831" t="s">
        <v>126</v>
      </c>
      <c r="AI15177" s="831">
        <v>0</v>
      </c>
      <c r="AJ15177" s="835">
        <v>41333</v>
      </c>
      <c r="AK15177" s="831">
        <v>98581107</v>
      </c>
    </row>
    <row r="15178" spans="2:37">
      <c r="B15178" s="834" t="str">
        <f t="shared" si="553"/>
        <v>|||</v>
      </c>
      <c r="H15178" s="835">
        <f t="shared" si="554"/>
        <v>31</v>
      </c>
      <c r="AF15178" s="831" t="s">
        <v>10761</v>
      </c>
      <c r="AG15178" s="831" t="s">
        <v>2674</v>
      </c>
      <c r="AH15178" s="831" t="s">
        <v>268</v>
      </c>
      <c r="AI15178" s="831">
        <v>0</v>
      </c>
      <c r="AJ15178" s="835">
        <v>41333</v>
      </c>
      <c r="AK15178" s="831">
        <v>3817884</v>
      </c>
    </row>
    <row r="15179" spans="2:37">
      <c r="B15179" s="834" t="str">
        <f t="shared" si="553"/>
        <v>|||</v>
      </c>
      <c r="H15179" s="835">
        <f t="shared" si="554"/>
        <v>31</v>
      </c>
      <c r="AF15179" s="831" t="s">
        <v>10762</v>
      </c>
      <c r="AG15179" s="831" t="s">
        <v>2674</v>
      </c>
      <c r="AH15179" s="831" t="s">
        <v>547</v>
      </c>
      <c r="AI15179" s="831">
        <v>0</v>
      </c>
      <c r="AJ15179" s="835">
        <v>41333</v>
      </c>
      <c r="AK15179" s="831">
        <v>511487760</v>
      </c>
    </row>
    <row r="15180" spans="2:37">
      <c r="B15180" s="834" t="str">
        <f t="shared" si="553"/>
        <v>|||</v>
      </c>
      <c r="H15180" s="835">
        <f t="shared" si="554"/>
        <v>31</v>
      </c>
      <c r="AF15180" s="831" t="s">
        <v>10763</v>
      </c>
      <c r="AG15180" s="831" t="s">
        <v>2674</v>
      </c>
      <c r="AH15180" s="831" t="s">
        <v>548</v>
      </c>
      <c r="AI15180" s="831">
        <v>0</v>
      </c>
      <c r="AJ15180" s="835">
        <v>41333</v>
      </c>
      <c r="AK15180" s="831">
        <v>96883184</v>
      </c>
    </row>
    <row r="15181" spans="2:37">
      <c r="B15181" s="834" t="str">
        <f t="shared" si="553"/>
        <v>|||</v>
      </c>
      <c r="H15181" s="835">
        <f t="shared" si="554"/>
        <v>31</v>
      </c>
      <c r="AF15181" s="831" t="s">
        <v>10764</v>
      </c>
      <c r="AG15181" s="831" t="s">
        <v>2674</v>
      </c>
      <c r="AH15181" s="831" t="s">
        <v>549</v>
      </c>
      <c r="AI15181" s="831">
        <v>0</v>
      </c>
      <c r="AJ15181" s="835">
        <v>41333</v>
      </c>
      <c r="AK15181" s="831">
        <v>0</v>
      </c>
    </row>
    <row r="15182" spans="2:37">
      <c r="B15182" s="834" t="str">
        <f t="shared" si="553"/>
        <v>|||</v>
      </c>
      <c r="H15182" s="835">
        <f t="shared" si="554"/>
        <v>31</v>
      </c>
      <c r="AF15182" s="831" t="s">
        <v>10765</v>
      </c>
      <c r="AG15182" s="831" t="s">
        <v>2674</v>
      </c>
      <c r="AH15182" s="831" t="s">
        <v>192</v>
      </c>
      <c r="AI15182" s="831">
        <v>0</v>
      </c>
      <c r="AJ15182" s="835">
        <v>41333</v>
      </c>
      <c r="AK15182" s="831">
        <v>-11285954</v>
      </c>
    </row>
    <row r="15183" spans="2:37">
      <c r="B15183" s="834" t="str">
        <f t="shared" si="553"/>
        <v>|||</v>
      </c>
      <c r="H15183" s="835">
        <f t="shared" si="554"/>
        <v>31</v>
      </c>
      <c r="AF15183" s="831" t="s">
        <v>10766</v>
      </c>
      <c r="AG15183" s="831" t="s">
        <v>2674</v>
      </c>
      <c r="AH15183" s="831" t="s">
        <v>558</v>
      </c>
      <c r="AI15183" s="831">
        <v>0</v>
      </c>
      <c r="AJ15183" s="835">
        <v>41333</v>
      </c>
      <c r="AK15183" s="831">
        <v>423495069</v>
      </c>
    </row>
    <row r="15184" spans="2:37">
      <c r="B15184" s="834" t="str">
        <f t="shared" si="553"/>
        <v>|||</v>
      </c>
      <c r="H15184" s="835">
        <f t="shared" si="554"/>
        <v>31</v>
      </c>
      <c r="AF15184" s="831" t="s">
        <v>10767</v>
      </c>
      <c r="AG15184" s="831" t="s">
        <v>2674</v>
      </c>
      <c r="AH15184" s="831" t="s">
        <v>65</v>
      </c>
      <c r="AI15184" s="831">
        <v>0</v>
      </c>
      <c r="AJ15184" s="835">
        <v>41333</v>
      </c>
      <c r="AK15184" s="831">
        <v>18985748</v>
      </c>
    </row>
    <row r="15185" spans="2:37">
      <c r="B15185" s="834" t="str">
        <f t="shared" ref="B15185:B15248" si="555">C15185&amp;"|"&amp;D15185&amp;"|"&amp;E15185&amp;"|"&amp;F15185</f>
        <v>|||</v>
      </c>
      <c r="H15185" s="835">
        <f t="shared" ref="H15185:H15248" si="556">EOMONTH(L15185,0)</f>
        <v>31</v>
      </c>
      <c r="AF15185" s="831" t="s">
        <v>10768</v>
      </c>
      <c r="AG15185" s="831" t="s">
        <v>2674</v>
      </c>
      <c r="AH15185" s="831" t="s">
        <v>89</v>
      </c>
      <c r="AI15185" s="831">
        <v>0</v>
      </c>
      <c r="AJ15185" s="835">
        <v>41333</v>
      </c>
      <c r="AK15185" s="831">
        <v>127639</v>
      </c>
    </row>
    <row r="15186" spans="2:37">
      <c r="B15186" s="834" t="str">
        <f t="shared" si="555"/>
        <v>|||</v>
      </c>
      <c r="H15186" s="835">
        <f t="shared" si="556"/>
        <v>31</v>
      </c>
      <c r="AF15186" s="831" t="s">
        <v>10769</v>
      </c>
      <c r="AG15186" s="831" t="s">
        <v>2674</v>
      </c>
      <c r="AH15186" s="831" t="s">
        <v>557</v>
      </c>
      <c r="AI15186" s="831">
        <v>0</v>
      </c>
      <c r="AJ15186" s="835">
        <v>41333</v>
      </c>
      <c r="AK15186" s="831">
        <v>130995</v>
      </c>
    </row>
    <row r="15187" spans="2:37">
      <c r="B15187" s="834" t="str">
        <f t="shared" si="555"/>
        <v>|||</v>
      </c>
      <c r="H15187" s="835">
        <f t="shared" si="556"/>
        <v>31</v>
      </c>
      <c r="AF15187" s="831" t="s">
        <v>10770</v>
      </c>
      <c r="AG15187" s="831" t="s">
        <v>2674</v>
      </c>
      <c r="AH15187" s="831" t="s">
        <v>29</v>
      </c>
      <c r="AI15187" s="831">
        <v>0</v>
      </c>
      <c r="AJ15187" s="835">
        <v>41333</v>
      </c>
      <c r="AK15187" s="831">
        <v>2238797</v>
      </c>
    </row>
    <row r="15188" spans="2:37">
      <c r="B15188" s="834" t="str">
        <f t="shared" si="555"/>
        <v>|||</v>
      </c>
      <c r="H15188" s="835">
        <f t="shared" si="556"/>
        <v>31</v>
      </c>
      <c r="AF15188" s="831" t="s">
        <v>10771</v>
      </c>
      <c r="AG15188" s="831" t="s">
        <v>2674</v>
      </c>
      <c r="AH15188" s="831" t="s">
        <v>2688</v>
      </c>
      <c r="AI15188" s="831">
        <v>0</v>
      </c>
      <c r="AJ15188" s="835">
        <v>41333</v>
      </c>
      <c r="AK15188" s="831">
        <v>2647738</v>
      </c>
    </row>
    <row r="15189" spans="2:37">
      <c r="B15189" s="834" t="str">
        <f t="shared" si="555"/>
        <v>|||</v>
      </c>
      <c r="H15189" s="835">
        <f t="shared" si="556"/>
        <v>31</v>
      </c>
      <c r="AF15189" s="831" t="s">
        <v>10772</v>
      </c>
      <c r="AG15189" s="831" t="s">
        <v>2674</v>
      </c>
      <c r="AH15189" s="831" t="s">
        <v>556</v>
      </c>
      <c r="AI15189" s="831">
        <v>0</v>
      </c>
      <c r="AJ15189" s="835">
        <v>41333</v>
      </c>
      <c r="AK15189" s="831">
        <v>902857</v>
      </c>
    </row>
    <row r="15190" spans="2:37">
      <c r="B15190" s="834" t="str">
        <f t="shared" si="555"/>
        <v>|||</v>
      </c>
      <c r="H15190" s="835">
        <f t="shared" si="556"/>
        <v>31</v>
      </c>
      <c r="AF15190" s="831" t="s">
        <v>10773</v>
      </c>
      <c r="AG15190" s="831" t="s">
        <v>2674</v>
      </c>
      <c r="AH15190" s="831" t="s">
        <v>555</v>
      </c>
      <c r="AI15190" s="831">
        <v>0</v>
      </c>
      <c r="AJ15190" s="835">
        <v>41333</v>
      </c>
      <c r="AK15190" s="831">
        <v>267734690</v>
      </c>
    </row>
    <row r="15191" spans="2:37">
      <c r="B15191" s="834" t="str">
        <f t="shared" si="555"/>
        <v>|||</v>
      </c>
      <c r="H15191" s="835">
        <f t="shared" si="556"/>
        <v>31</v>
      </c>
      <c r="AF15191" s="831" t="s">
        <v>10774</v>
      </c>
      <c r="AG15191" s="831" t="s">
        <v>2674</v>
      </c>
      <c r="AH15191" s="831" t="s">
        <v>554</v>
      </c>
      <c r="AI15191" s="831">
        <v>0</v>
      </c>
      <c r="AJ15191" s="835">
        <v>41333</v>
      </c>
      <c r="AK15191" s="831">
        <v>272030190</v>
      </c>
    </row>
    <row r="15192" spans="2:37">
      <c r="B15192" s="834" t="str">
        <f t="shared" si="555"/>
        <v>|||</v>
      </c>
      <c r="H15192" s="835">
        <f t="shared" si="556"/>
        <v>31</v>
      </c>
      <c r="AF15192" s="831" t="s">
        <v>10775</v>
      </c>
      <c r="AG15192" s="831" t="s">
        <v>2674</v>
      </c>
      <c r="AH15192" s="831" t="s">
        <v>553</v>
      </c>
      <c r="AI15192" s="831">
        <v>0</v>
      </c>
      <c r="AJ15192" s="835">
        <v>41333</v>
      </c>
      <c r="AK15192" s="831">
        <v>0</v>
      </c>
    </row>
    <row r="15193" spans="2:37">
      <c r="B15193" s="834" t="str">
        <f t="shared" si="555"/>
        <v>|||</v>
      </c>
      <c r="H15193" s="835">
        <f t="shared" si="556"/>
        <v>31</v>
      </c>
      <c r="AF15193" s="831" t="s">
        <v>10776</v>
      </c>
      <c r="AG15193" s="831" t="s">
        <v>2674</v>
      </c>
      <c r="AH15193" s="831" t="s">
        <v>552</v>
      </c>
      <c r="AI15193" s="831">
        <v>0</v>
      </c>
      <c r="AJ15193" s="835">
        <v>41333</v>
      </c>
      <c r="AK15193" s="831">
        <v>0</v>
      </c>
    </row>
    <row r="15194" spans="2:37">
      <c r="B15194" s="834" t="str">
        <f t="shared" si="555"/>
        <v>|||</v>
      </c>
      <c r="H15194" s="835">
        <f t="shared" si="556"/>
        <v>31</v>
      </c>
      <c r="AF15194" s="831" t="s">
        <v>10777</v>
      </c>
      <c r="AG15194" s="831" t="s">
        <v>2674</v>
      </c>
      <c r="AH15194" s="831" t="s">
        <v>551</v>
      </c>
      <c r="AI15194" s="831">
        <v>0</v>
      </c>
      <c r="AJ15194" s="835">
        <v>41333</v>
      </c>
      <c r="AK15194" s="831">
        <v>1930398</v>
      </c>
    </row>
    <row r="15195" spans="2:37">
      <c r="B15195" s="834" t="str">
        <f t="shared" si="555"/>
        <v>|||</v>
      </c>
      <c r="H15195" s="835">
        <f t="shared" si="556"/>
        <v>31</v>
      </c>
      <c r="AF15195" s="831" t="s">
        <v>10778</v>
      </c>
      <c r="AG15195" s="831" t="s">
        <v>2674</v>
      </c>
      <c r="AH15195" s="831" t="s">
        <v>550</v>
      </c>
      <c r="AI15195" s="831">
        <v>0</v>
      </c>
      <c r="AJ15195" s="835">
        <v>41333</v>
      </c>
      <c r="AK15195" s="831">
        <v>96883184</v>
      </c>
    </row>
    <row r="15196" spans="2:37">
      <c r="B15196" s="834" t="str">
        <f t="shared" si="555"/>
        <v>|||</v>
      </c>
      <c r="H15196" s="835">
        <f t="shared" si="556"/>
        <v>31</v>
      </c>
      <c r="AF15196" s="831" t="s">
        <v>10779</v>
      </c>
      <c r="AG15196" s="831" t="s">
        <v>2674</v>
      </c>
      <c r="AH15196" s="831" t="s">
        <v>562</v>
      </c>
      <c r="AI15196" s="831">
        <v>0</v>
      </c>
      <c r="AJ15196" s="835">
        <v>41333</v>
      </c>
      <c r="AK15196" s="831">
        <v>0.78434999999999999</v>
      </c>
    </row>
    <row r="15197" spans="2:37">
      <c r="B15197" s="834" t="str">
        <f t="shared" si="555"/>
        <v>|||</v>
      </c>
      <c r="H15197" s="835">
        <f t="shared" si="556"/>
        <v>31</v>
      </c>
      <c r="AF15197" s="831" t="s">
        <v>10780</v>
      </c>
      <c r="AG15197" s="831" t="s">
        <v>2674</v>
      </c>
      <c r="AH15197" s="831" t="s">
        <v>2698</v>
      </c>
      <c r="AI15197" s="831">
        <v>0</v>
      </c>
      <c r="AJ15197" s="835">
        <v>41333</v>
      </c>
      <c r="AK15197" s="831">
        <v>0.78385000000000005</v>
      </c>
    </row>
    <row r="15198" spans="2:37">
      <c r="B15198" s="834" t="str">
        <f t="shared" si="555"/>
        <v>|||</v>
      </c>
      <c r="H15198" s="835">
        <f t="shared" si="556"/>
        <v>31</v>
      </c>
      <c r="AF15198" s="831" t="s">
        <v>10781</v>
      </c>
      <c r="AG15198" s="831" t="s">
        <v>2674</v>
      </c>
      <c r="AH15198" s="831" t="s">
        <v>560</v>
      </c>
      <c r="AI15198" s="831">
        <v>0</v>
      </c>
      <c r="AJ15198" s="835">
        <v>41333</v>
      </c>
      <c r="AK15198" s="831">
        <v>0.78410000000000002</v>
      </c>
    </row>
    <row r="15199" spans="2:37">
      <c r="B15199" s="834" t="str">
        <f t="shared" si="555"/>
        <v>|||</v>
      </c>
      <c r="H15199" s="835">
        <f t="shared" si="556"/>
        <v>31</v>
      </c>
      <c r="AF15199" s="831" t="s">
        <v>10782</v>
      </c>
      <c r="AG15199" s="831" t="s">
        <v>2674</v>
      </c>
      <c r="AH15199" s="831" t="s">
        <v>559</v>
      </c>
      <c r="AI15199" s="831">
        <v>0</v>
      </c>
      <c r="AJ15199" s="835">
        <v>41333</v>
      </c>
      <c r="AK15199" s="831">
        <v>0.78474583333333314</v>
      </c>
    </row>
    <row r="15200" spans="2:37">
      <c r="B15200" s="834" t="str">
        <f t="shared" si="555"/>
        <v>|||</v>
      </c>
      <c r="H15200" s="835">
        <f t="shared" si="556"/>
        <v>31</v>
      </c>
      <c r="AF15200" s="831" t="s">
        <v>10783</v>
      </c>
      <c r="AG15200" s="831" t="s">
        <v>2674</v>
      </c>
      <c r="AH15200" s="831" t="s">
        <v>568</v>
      </c>
      <c r="AI15200" s="831">
        <v>0</v>
      </c>
      <c r="AJ15200" s="835">
        <v>41333</v>
      </c>
      <c r="AK15200" s="831">
        <v>380181038.5</v>
      </c>
    </row>
    <row r="15201" spans="2:37">
      <c r="B15201" s="834" t="str">
        <f t="shared" si="555"/>
        <v>|||</v>
      </c>
      <c r="H15201" s="835">
        <f t="shared" si="556"/>
        <v>31</v>
      </c>
      <c r="AF15201" s="831" t="s">
        <v>10784</v>
      </c>
      <c r="AG15201" s="831" t="s">
        <v>2674</v>
      </c>
      <c r="AH15201" s="831" t="s">
        <v>569</v>
      </c>
      <c r="AI15201" s="831">
        <v>0</v>
      </c>
      <c r="AJ15201" s="835">
        <v>41333</v>
      </c>
      <c r="AK15201" s="831">
        <v>465288979.30000001</v>
      </c>
    </row>
    <row r="15202" spans="2:37">
      <c r="B15202" s="834" t="str">
        <f t="shared" si="555"/>
        <v>|||</v>
      </c>
      <c r="H15202" s="835">
        <f t="shared" si="556"/>
        <v>31</v>
      </c>
      <c r="AF15202" s="831" t="s">
        <v>10785</v>
      </c>
      <c r="AG15202" s="831" t="s">
        <v>2674</v>
      </c>
      <c r="AH15202" s="831" t="s">
        <v>570</v>
      </c>
      <c r="AI15202" s="831">
        <v>0</v>
      </c>
      <c r="AJ15202" s="835">
        <v>41333</v>
      </c>
      <c r="AK15202" s="831">
        <v>96636190.400000006</v>
      </c>
    </row>
    <row r="15203" spans="2:37">
      <c r="B15203" s="834" t="str">
        <f t="shared" si="555"/>
        <v>|||</v>
      </c>
      <c r="H15203" s="835">
        <f t="shared" si="556"/>
        <v>31</v>
      </c>
      <c r="AF15203" s="831" t="s">
        <v>10786</v>
      </c>
      <c r="AG15203" s="831" t="s">
        <v>2674</v>
      </c>
      <c r="AH15203" s="831" t="s">
        <v>571</v>
      </c>
      <c r="AI15203" s="831">
        <v>0</v>
      </c>
      <c r="AJ15203" s="835">
        <v>41333</v>
      </c>
      <c r="AK15203" s="831">
        <v>192024019</v>
      </c>
    </row>
    <row r="15204" spans="2:37">
      <c r="B15204" s="834" t="str">
        <f t="shared" si="555"/>
        <v>|||</v>
      </c>
      <c r="H15204" s="835">
        <f t="shared" si="556"/>
        <v>31</v>
      </c>
      <c r="AF15204" s="831" t="s">
        <v>10787</v>
      </c>
      <c r="AG15204" s="831" t="s">
        <v>2674</v>
      </c>
      <c r="AH15204" s="831" t="s">
        <v>573</v>
      </c>
      <c r="AI15204" s="831">
        <v>0</v>
      </c>
      <c r="AJ15204" s="835">
        <v>41333</v>
      </c>
      <c r="AK15204" s="831">
        <v>516277615.33333331</v>
      </c>
    </row>
    <row r="15205" spans="2:37">
      <c r="B15205" s="834" t="str">
        <f t="shared" si="555"/>
        <v>|||</v>
      </c>
      <c r="H15205" s="835">
        <f t="shared" si="556"/>
        <v>31</v>
      </c>
      <c r="AF15205" s="831" t="s">
        <v>10788</v>
      </c>
      <c r="AG15205" s="831" t="s">
        <v>2674</v>
      </c>
      <c r="AH15205" s="831" t="s">
        <v>574</v>
      </c>
      <c r="AI15205" s="831">
        <v>0</v>
      </c>
      <c r="AJ15205" s="835">
        <v>41333</v>
      </c>
      <c r="AK15205" s="831">
        <v>423329336.66666669</v>
      </c>
    </row>
    <row r="15206" spans="2:37">
      <c r="B15206" s="834" t="str">
        <f t="shared" si="555"/>
        <v>|||</v>
      </c>
      <c r="H15206" s="835">
        <f t="shared" si="556"/>
        <v>31</v>
      </c>
      <c r="AF15206" s="831" t="s">
        <v>10789</v>
      </c>
      <c r="AG15206" s="831" t="s">
        <v>2674</v>
      </c>
      <c r="AH15206" s="831" t="s">
        <v>575</v>
      </c>
      <c r="AI15206" s="831">
        <v>0</v>
      </c>
      <c r="AJ15206" s="835">
        <v>41333</v>
      </c>
      <c r="AK15206" s="831">
        <v>98875722</v>
      </c>
    </row>
    <row r="15207" spans="2:37">
      <c r="B15207" s="834" t="str">
        <f t="shared" si="555"/>
        <v>|||</v>
      </c>
      <c r="H15207" s="835">
        <f t="shared" si="556"/>
        <v>31</v>
      </c>
      <c r="AF15207" s="831" t="s">
        <v>10790</v>
      </c>
      <c r="AG15207" s="831" t="s">
        <v>2674</v>
      </c>
      <c r="AH15207" s="831" t="s">
        <v>576</v>
      </c>
      <c r="AI15207" s="831">
        <v>0</v>
      </c>
      <c r="AJ15207" s="835">
        <v>41333</v>
      </c>
      <c r="AK15207" s="831">
        <v>233427024</v>
      </c>
    </row>
    <row r="15208" spans="2:37">
      <c r="B15208" s="834" t="str">
        <f t="shared" si="555"/>
        <v>|||</v>
      </c>
      <c r="H15208" s="835">
        <f t="shared" si="556"/>
        <v>31</v>
      </c>
      <c r="AF15208" s="831" t="s">
        <v>10791</v>
      </c>
      <c r="AG15208" s="831" t="s">
        <v>2674</v>
      </c>
      <c r="AH15208" s="831" t="s">
        <v>572</v>
      </c>
      <c r="AI15208" s="831">
        <v>0</v>
      </c>
      <c r="AJ15208" s="835">
        <v>41333</v>
      </c>
      <c r="AK15208" s="831">
        <v>-2146826246</v>
      </c>
    </row>
    <row r="15209" spans="2:37">
      <c r="B15209" s="834" t="str">
        <f t="shared" si="555"/>
        <v>|||</v>
      </c>
      <c r="H15209" s="835">
        <f t="shared" si="556"/>
        <v>31</v>
      </c>
      <c r="AF15209" s="831" t="s">
        <v>10792</v>
      </c>
      <c r="AG15209" s="831" t="s">
        <v>2674</v>
      </c>
      <c r="AH15209" s="831" t="s">
        <v>577</v>
      </c>
      <c r="AI15209" s="831">
        <v>0</v>
      </c>
      <c r="AJ15209" s="835">
        <v>41333</v>
      </c>
      <c r="AK15209" s="831">
        <v>-2146826246</v>
      </c>
    </row>
    <row r="15210" spans="2:37">
      <c r="B15210" s="834" t="str">
        <f t="shared" si="555"/>
        <v>|||</v>
      </c>
      <c r="H15210" s="835">
        <f t="shared" si="556"/>
        <v>31</v>
      </c>
      <c r="AF15210" s="831" t="s">
        <v>10793</v>
      </c>
      <c r="AG15210" s="831" t="s">
        <v>2674</v>
      </c>
      <c r="AH15210" s="831" t="s">
        <v>3042</v>
      </c>
      <c r="AI15210" s="831">
        <v>0</v>
      </c>
      <c r="AJ15210" s="835">
        <v>41333</v>
      </c>
      <c r="AK15210" s="831">
        <v>-2146826246</v>
      </c>
    </row>
    <row r="15211" spans="2:37">
      <c r="B15211" s="834" t="str">
        <f t="shared" si="555"/>
        <v>|||</v>
      </c>
      <c r="H15211" s="835">
        <f t="shared" si="556"/>
        <v>31</v>
      </c>
      <c r="AF15211" s="831" t="s">
        <v>10794</v>
      </c>
      <c r="AG15211" s="831" t="s">
        <v>2674</v>
      </c>
      <c r="AH15211" s="831" t="s">
        <v>3044</v>
      </c>
      <c r="AI15211" s="831">
        <v>0</v>
      </c>
      <c r="AJ15211" s="835">
        <v>41333</v>
      </c>
      <c r="AK15211" s="831">
        <v>-2146826246</v>
      </c>
    </row>
    <row r="15212" spans="2:37">
      <c r="B15212" s="834" t="str">
        <f t="shared" si="555"/>
        <v>|||</v>
      </c>
      <c r="H15212" s="835">
        <f t="shared" si="556"/>
        <v>31</v>
      </c>
      <c r="AF15212" s="831" t="s">
        <v>10795</v>
      </c>
      <c r="AG15212" s="831" t="s">
        <v>2674</v>
      </c>
      <c r="AH15212" s="831" t="s">
        <v>580</v>
      </c>
      <c r="AI15212" s="831">
        <v>0</v>
      </c>
      <c r="AJ15212" s="835">
        <v>41333</v>
      </c>
      <c r="AK15212" s="831">
        <v>-2146826246</v>
      </c>
    </row>
    <row r="15213" spans="2:37">
      <c r="B15213" s="834" t="str">
        <f t="shared" si="555"/>
        <v>|||</v>
      </c>
      <c r="H15213" s="835">
        <f t="shared" si="556"/>
        <v>31</v>
      </c>
      <c r="AF15213" s="831" t="s">
        <v>10796</v>
      </c>
      <c r="AG15213" s="831" t="s">
        <v>2674</v>
      </c>
      <c r="AH15213" s="831" t="s">
        <v>581</v>
      </c>
      <c r="AI15213" s="831">
        <v>0</v>
      </c>
      <c r="AJ15213" s="835">
        <v>41333</v>
      </c>
      <c r="AK15213" s="831">
        <v>-2146826246</v>
      </c>
    </row>
    <row r="15214" spans="2:37">
      <c r="B15214" s="834" t="str">
        <f t="shared" si="555"/>
        <v>|||</v>
      </c>
      <c r="H15214" s="835">
        <f t="shared" si="556"/>
        <v>31</v>
      </c>
      <c r="AF15214" s="831" t="s">
        <v>10797</v>
      </c>
      <c r="AG15214" s="831" t="s">
        <v>2674</v>
      </c>
      <c r="AH15214" s="831" t="s">
        <v>105</v>
      </c>
      <c r="AI15214" s="831">
        <v>0</v>
      </c>
      <c r="AJ15214" s="835">
        <v>41333</v>
      </c>
      <c r="AK15214" s="831">
        <v>232996335</v>
      </c>
    </row>
    <row r="15215" spans="2:37">
      <c r="B15215" s="834" t="str">
        <f t="shared" si="555"/>
        <v>|||</v>
      </c>
      <c r="H15215" s="835">
        <f t="shared" si="556"/>
        <v>31</v>
      </c>
      <c r="AF15215" s="831" t="s">
        <v>10798</v>
      </c>
      <c r="AG15215" s="831" t="s">
        <v>2674</v>
      </c>
      <c r="AH15215" s="831" t="s">
        <v>3049</v>
      </c>
      <c r="AI15215" s="831">
        <v>0</v>
      </c>
      <c r="AJ15215" s="835">
        <v>41333</v>
      </c>
      <c r="AK15215" s="831">
        <v>409742104</v>
      </c>
    </row>
    <row r="15216" spans="2:37">
      <c r="B15216" s="834" t="str">
        <f t="shared" si="555"/>
        <v>|||</v>
      </c>
      <c r="H15216" s="835">
        <f t="shared" si="556"/>
        <v>31</v>
      </c>
      <c r="AF15216" s="831" t="s">
        <v>10799</v>
      </c>
      <c r="AG15216" s="831" t="s">
        <v>2674</v>
      </c>
      <c r="AH15216" s="831" t="s">
        <v>103</v>
      </c>
      <c r="AI15216" s="831">
        <v>0</v>
      </c>
      <c r="AJ15216" s="835">
        <v>41333</v>
      </c>
      <c r="AK15216" s="831">
        <v>176745769</v>
      </c>
    </row>
    <row r="15217" spans="2:37">
      <c r="B15217" s="834" t="str">
        <f t="shared" si="555"/>
        <v>|||</v>
      </c>
      <c r="H15217" s="835">
        <f t="shared" si="556"/>
        <v>31</v>
      </c>
      <c r="AF15217" s="831" t="s">
        <v>10800</v>
      </c>
      <c r="AG15217" s="831" t="s">
        <v>2674</v>
      </c>
      <c r="AH15217" s="831" t="s">
        <v>182</v>
      </c>
      <c r="AI15217" s="831">
        <v>0</v>
      </c>
      <c r="AJ15217" s="835">
        <v>41333</v>
      </c>
      <c r="AK15217" s="831">
        <v>55637232</v>
      </c>
    </row>
    <row r="15218" spans="2:37">
      <c r="B15218" s="834" t="str">
        <f t="shared" si="555"/>
        <v>|||</v>
      </c>
      <c r="H15218" s="835">
        <f t="shared" si="556"/>
        <v>31</v>
      </c>
      <c r="AF15218" s="831" t="s">
        <v>10801</v>
      </c>
      <c r="AG15218" s="831" t="s">
        <v>2674</v>
      </c>
      <c r="AH15218" s="831" t="s">
        <v>6600</v>
      </c>
      <c r="AI15218" s="831">
        <v>0</v>
      </c>
      <c r="AJ15218" s="835">
        <v>41333</v>
      </c>
      <c r="AK15218" s="831">
        <v>-2146826246</v>
      </c>
    </row>
    <row r="15219" spans="2:37">
      <c r="B15219" s="834" t="str">
        <f t="shared" si="555"/>
        <v>|||</v>
      </c>
      <c r="H15219" s="835">
        <f t="shared" si="556"/>
        <v>31</v>
      </c>
      <c r="AF15219" s="831" t="s">
        <v>10802</v>
      </c>
      <c r="AG15219" s="831" t="s">
        <v>2674</v>
      </c>
      <c r="AH15219" s="831" t="s">
        <v>6602</v>
      </c>
      <c r="AI15219" s="831">
        <v>0</v>
      </c>
      <c r="AJ15219" s="835">
        <v>41333</v>
      </c>
      <c r="AK15219" s="831">
        <v>3817884</v>
      </c>
    </row>
    <row r="15220" spans="2:37">
      <c r="B15220" s="834" t="str">
        <f t="shared" si="555"/>
        <v>|||</v>
      </c>
      <c r="H15220" s="835">
        <f t="shared" si="556"/>
        <v>31</v>
      </c>
      <c r="AF15220" s="831" t="s">
        <v>10803</v>
      </c>
      <c r="AG15220" s="831" t="s">
        <v>2674</v>
      </c>
      <c r="AH15220" s="831" t="s">
        <v>650</v>
      </c>
      <c r="AI15220" s="831">
        <v>0</v>
      </c>
      <c r="AJ15220" s="835">
        <v>41333</v>
      </c>
      <c r="AK15220" s="831">
        <v>163723555.30000001</v>
      </c>
    </row>
    <row r="15221" spans="2:37">
      <c r="B15221" s="834" t="str">
        <f t="shared" si="555"/>
        <v>|||</v>
      </c>
      <c r="H15221" s="835">
        <f t="shared" si="556"/>
        <v>31</v>
      </c>
      <c r="AF15221" s="831" t="s">
        <v>10804</v>
      </c>
      <c r="AG15221" s="831" t="s">
        <v>2674</v>
      </c>
      <c r="AH15221" s="831" t="s">
        <v>655</v>
      </c>
      <c r="AI15221" s="831">
        <v>0</v>
      </c>
      <c r="AJ15221" s="835">
        <v>41333</v>
      </c>
      <c r="AK15221" s="831">
        <v>1851569</v>
      </c>
    </row>
    <row r="15222" spans="2:37">
      <c r="B15222" s="834" t="str">
        <f t="shared" si="555"/>
        <v>|||</v>
      </c>
      <c r="H15222" s="835">
        <f t="shared" si="556"/>
        <v>31</v>
      </c>
      <c r="AF15222" s="831" t="s">
        <v>10805</v>
      </c>
      <c r="AG15222" s="831" t="s">
        <v>2674</v>
      </c>
      <c r="AH15222" s="831" t="s">
        <v>546</v>
      </c>
      <c r="AI15222" s="831">
        <v>0</v>
      </c>
      <c r="AJ15222" s="835">
        <v>41364</v>
      </c>
      <c r="AK15222" s="831">
        <v>455655641</v>
      </c>
    </row>
    <row r="15223" spans="2:37">
      <c r="B15223" s="834" t="str">
        <f t="shared" si="555"/>
        <v>|||</v>
      </c>
      <c r="H15223" s="835">
        <f t="shared" si="556"/>
        <v>31</v>
      </c>
      <c r="AF15223" s="831" t="s">
        <v>10806</v>
      </c>
      <c r="AG15223" s="831" t="s">
        <v>2674</v>
      </c>
      <c r="AH15223" s="831" t="s">
        <v>370</v>
      </c>
      <c r="AI15223" s="831">
        <v>0</v>
      </c>
      <c r="AJ15223" s="835">
        <v>41364</v>
      </c>
      <c r="AK15223" s="831">
        <v>548973661</v>
      </c>
    </row>
    <row r="15224" spans="2:37">
      <c r="B15224" s="834" t="str">
        <f t="shared" si="555"/>
        <v>|||</v>
      </c>
      <c r="H15224" s="835">
        <f t="shared" si="556"/>
        <v>31</v>
      </c>
      <c r="AF15224" s="831" t="s">
        <v>10807</v>
      </c>
      <c r="AG15224" s="831" t="s">
        <v>2674</v>
      </c>
      <c r="AH15224" s="831" t="s">
        <v>126</v>
      </c>
      <c r="AI15224" s="831">
        <v>0</v>
      </c>
      <c r="AJ15224" s="835">
        <v>41364</v>
      </c>
      <c r="AK15224" s="831">
        <v>100809389</v>
      </c>
    </row>
    <row r="15225" spans="2:37">
      <c r="B15225" s="834" t="str">
        <f t="shared" si="555"/>
        <v>|||</v>
      </c>
      <c r="H15225" s="835">
        <f t="shared" si="556"/>
        <v>31</v>
      </c>
      <c r="AF15225" s="831" t="s">
        <v>10808</v>
      </c>
      <c r="AG15225" s="831" t="s">
        <v>2674</v>
      </c>
      <c r="AH15225" s="831" t="s">
        <v>268</v>
      </c>
      <c r="AI15225" s="831">
        <v>0</v>
      </c>
      <c r="AJ15225" s="835">
        <v>41364</v>
      </c>
      <c r="AK15225" s="831">
        <v>6046166</v>
      </c>
    </row>
    <row r="15226" spans="2:37">
      <c r="B15226" s="834" t="str">
        <f t="shared" si="555"/>
        <v>|||</v>
      </c>
      <c r="H15226" s="835">
        <f t="shared" si="556"/>
        <v>31</v>
      </c>
      <c r="AF15226" s="831" t="s">
        <v>10809</v>
      </c>
      <c r="AG15226" s="831" t="s">
        <v>2674</v>
      </c>
      <c r="AH15226" s="831" t="s">
        <v>547</v>
      </c>
      <c r="AI15226" s="831">
        <v>0</v>
      </c>
      <c r="AJ15226" s="835">
        <v>41364</v>
      </c>
      <c r="AK15226" s="831">
        <v>511487760</v>
      </c>
    </row>
    <row r="15227" spans="2:37">
      <c r="B15227" s="834" t="str">
        <f t="shared" si="555"/>
        <v>|||</v>
      </c>
      <c r="H15227" s="835">
        <f t="shared" si="556"/>
        <v>31</v>
      </c>
      <c r="AF15227" s="831" t="s">
        <v>10810</v>
      </c>
      <c r="AG15227" s="831" t="s">
        <v>2674</v>
      </c>
      <c r="AH15227" s="831" t="s">
        <v>548</v>
      </c>
      <c r="AI15227" s="831">
        <v>0</v>
      </c>
      <c r="AJ15227" s="835">
        <v>41364</v>
      </c>
      <c r="AK15227" s="831">
        <v>96883184</v>
      </c>
    </row>
    <row r="15228" spans="2:37">
      <c r="B15228" s="834" t="str">
        <f t="shared" si="555"/>
        <v>|||</v>
      </c>
      <c r="H15228" s="835">
        <f t="shared" si="556"/>
        <v>31</v>
      </c>
      <c r="AF15228" s="831" t="s">
        <v>10811</v>
      </c>
      <c r="AG15228" s="831" t="s">
        <v>2674</v>
      </c>
      <c r="AH15228" s="831" t="s">
        <v>549</v>
      </c>
      <c r="AI15228" s="831">
        <v>0</v>
      </c>
      <c r="AJ15228" s="835">
        <v>41364</v>
      </c>
      <c r="AK15228" s="831">
        <v>0</v>
      </c>
    </row>
    <row r="15229" spans="2:37">
      <c r="B15229" s="834" t="str">
        <f t="shared" si="555"/>
        <v>|||</v>
      </c>
      <c r="H15229" s="835">
        <f t="shared" si="556"/>
        <v>31</v>
      </c>
      <c r="AF15229" s="831" t="s">
        <v>10812</v>
      </c>
      <c r="AG15229" s="831" t="s">
        <v>2674</v>
      </c>
      <c r="AH15229" s="831" t="s">
        <v>192</v>
      </c>
      <c r="AI15229" s="831">
        <v>0</v>
      </c>
      <c r="AJ15229" s="835">
        <v>41364</v>
      </c>
      <c r="AK15229" s="831">
        <v>-11725074</v>
      </c>
    </row>
    <row r="15230" spans="2:37">
      <c r="B15230" s="834" t="str">
        <f t="shared" si="555"/>
        <v>|||</v>
      </c>
      <c r="H15230" s="835">
        <f t="shared" si="556"/>
        <v>31</v>
      </c>
      <c r="AF15230" s="831" t="s">
        <v>10813</v>
      </c>
      <c r="AG15230" s="831" t="s">
        <v>2674</v>
      </c>
      <c r="AH15230" s="831" t="s">
        <v>558</v>
      </c>
      <c r="AI15230" s="831">
        <v>0</v>
      </c>
      <c r="AJ15230" s="835">
        <v>41364</v>
      </c>
      <c r="AK15230" s="831">
        <v>448164272</v>
      </c>
    </row>
    <row r="15231" spans="2:37">
      <c r="B15231" s="834" t="str">
        <f t="shared" si="555"/>
        <v>|||</v>
      </c>
      <c r="H15231" s="835">
        <f t="shared" si="556"/>
        <v>31</v>
      </c>
      <c r="AF15231" s="831" t="s">
        <v>10814</v>
      </c>
      <c r="AG15231" s="831" t="s">
        <v>2674</v>
      </c>
      <c r="AH15231" s="831" t="s">
        <v>65</v>
      </c>
      <c r="AI15231" s="831">
        <v>0</v>
      </c>
      <c r="AJ15231" s="835">
        <v>41364</v>
      </c>
      <c r="AK15231" s="831">
        <v>27883165</v>
      </c>
    </row>
    <row r="15232" spans="2:37">
      <c r="B15232" s="834" t="str">
        <f t="shared" si="555"/>
        <v>|||</v>
      </c>
      <c r="H15232" s="835">
        <f t="shared" si="556"/>
        <v>31</v>
      </c>
      <c r="AF15232" s="831" t="s">
        <v>10815</v>
      </c>
      <c r="AG15232" s="831" t="s">
        <v>2674</v>
      </c>
      <c r="AH15232" s="831" t="s">
        <v>89</v>
      </c>
      <c r="AI15232" s="831">
        <v>0</v>
      </c>
      <c r="AJ15232" s="835">
        <v>41364</v>
      </c>
      <c r="AK15232" s="831">
        <v>129296</v>
      </c>
    </row>
    <row r="15233" spans="2:37">
      <c r="B15233" s="834" t="str">
        <f t="shared" si="555"/>
        <v>|||</v>
      </c>
      <c r="H15233" s="835">
        <f t="shared" si="556"/>
        <v>31</v>
      </c>
      <c r="AF15233" s="831" t="s">
        <v>10816</v>
      </c>
      <c r="AG15233" s="831" t="s">
        <v>2674</v>
      </c>
      <c r="AH15233" s="831" t="s">
        <v>557</v>
      </c>
      <c r="AI15233" s="831">
        <v>0</v>
      </c>
      <c r="AJ15233" s="835">
        <v>41364</v>
      </c>
      <c r="AK15233" s="831">
        <v>133005</v>
      </c>
    </row>
    <row r="15234" spans="2:37">
      <c r="B15234" s="834" t="str">
        <f t="shared" si="555"/>
        <v>|||</v>
      </c>
      <c r="H15234" s="835">
        <f t="shared" si="556"/>
        <v>31</v>
      </c>
      <c r="AF15234" s="831" t="s">
        <v>10817</v>
      </c>
      <c r="AG15234" s="831" t="s">
        <v>2674</v>
      </c>
      <c r="AH15234" s="831" t="s">
        <v>29</v>
      </c>
      <c r="AI15234" s="831">
        <v>0</v>
      </c>
      <c r="AJ15234" s="835">
        <v>41364</v>
      </c>
      <c r="AK15234" s="831">
        <v>2674773</v>
      </c>
    </row>
    <row r="15235" spans="2:37">
      <c r="B15235" s="834" t="str">
        <f t="shared" si="555"/>
        <v>|||</v>
      </c>
      <c r="H15235" s="835">
        <f t="shared" si="556"/>
        <v>31</v>
      </c>
      <c r="AF15235" s="831" t="s">
        <v>10818</v>
      </c>
      <c r="AG15235" s="831" t="s">
        <v>2674</v>
      </c>
      <c r="AH15235" s="831" t="s">
        <v>2688</v>
      </c>
      <c r="AI15235" s="831">
        <v>0</v>
      </c>
      <c r="AJ15235" s="835">
        <v>41364</v>
      </c>
      <c r="AK15235" s="831">
        <v>2715490</v>
      </c>
    </row>
    <row r="15236" spans="2:37">
      <c r="B15236" s="834" t="str">
        <f t="shared" si="555"/>
        <v>|||</v>
      </c>
      <c r="H15236" s="835">
        <f t="shared" si="556"/>
        <v>31</v>
      </c>
      <c r="AF15236" s="831" t="s">
        <v>10819</v>
      </c>
      <c r="AG15236" s="831" t="s">
        <v>2674</v>
      </c>
      <c r="AH15236" s="831" t="s">
        <v>556</v>
      </c>
      <c r="AI15236" s="831">
        <v>0</v>
      </c>
      <c r="AJ15236" s="835">
        <v>41364</v>
      </c>
      <c r="AK15236" s="831">
        <v>902857</v>
      </c>
    </row>
    <row r="15237" spans="2:37">
      <c r="B15237" s="834" t="str">
        <f t="shared" si="555"/>
        <v>|||</v>
      </c>
      <c r="H15237" s="835">
        <f t="shared" si="556"/>
        <v>31</v>
      </c>
      <c r="AF15237" s="831" t="s">
        <v>10820</v>
      </c>
      <c r="AG15237" s="831" t="s">
        <v>2674</v>
      </c>
      <c r="AH15237" s="831" t="s">
        <v>555</v>
      </c>
      <c r="AI15237" s="831">
        <v>0</v>
      </c>
      <c r="AJ15237" s="835">
        <v>41364</v>
      </c>
      <c r="AK15237" s="831">
        <v>285158930</v>
      </c>
    </row>
    <row r="15238" spans="2:37">
      <c r="B15238" s="834" t="str">
        <f t="shared" si="555"/>
        <v>|||</v>
      </c>
      <c r="H15238" s="835">
        <f t="shared" si="556"/>
        <v>31</v>
      </c>
      <c r="AF15238" s="831" t="s">
        <v>10821</v>
      </c>
      <c r="AG15238" s="831" t="s">
        <v>2674</v>
      </c>
      <c r="AH15238" s="831" t="s">
        <v>554</v>
      </c>
      <c r="AI15238" s="831">
        <v>0</v>
      </c>
      <c r="AJ15238" s="835">
        <v>41364</v>
      </c>
      <c r="AK15238" s="831">
        <v>281381290</v>
      </c>
    </row>
    <row r="15239" spans="2:37">
      <c r="B15239" s="834" t="str">
        <f t="shared" si="555"/>
        <v>|||</v>
      </c>
      <c r="H15239" s="835">
        <f t="shared" si="556"/>
        <v>31</v>
      </c>
      <c r="AF15239" s="831" t="s">
        <v>10822</v>
      </c>
      <c r="AG15239" s="831" t="s">
        <v>2674</v>
      </c>
      <c r="AH15239" s="831" t="s">
        <v>553</v>
      </c>
      <c r="AI15239" s="831">
        <v>0</v>
      </c>
      <c r="AJ15239" s="835">
        <v>41364</v>
      </c>
      <c r="AK15239" s="831">
        <v>0</v>
      </c>
    </row>
    <row r="15240" spans="2:37">
      <c r="B15240" s="834" t="str">
        <f t="shared" si="555"/>
        <v>|||</v>
      </c>
      <c r="H15240" s="835">
        <f t="shared" si="556"/>
        <v>31</v>
      </c>
      <c r="AF15240" s="831" t="s">
        <v>10823</v>
      </c>
      <c r="AG15240" s="831" t="s">
        <v>2674</v>
      </c>
      <c r="AH15240" s="831" t="s">
        <v>552</v>
      </c>
      <c r="AI15240" s="831">
        <v>0</v>
      </c>
      <c r="AJ15240" s="835">
        <v>41364</v>
      </c>
      <c r="AK15240" s="831">
        <v>0</v>
      </c>
    </row>
    <row r="15241" spans="2:37">
      <c r="B15241" s="834" t="str">
        <f t="shared" si="555"/>
        <v>|||</v>
      </c>
      <c r="H15241" s="835">
        <f t="shared" si="556"/>
        <v>31</v>
      </c>
      <c r="AF15241" s="831" t="s">
        <v>10824</v>
      </c>
      <c r="AG15241" s="831" t="s">
        <v>2674</v>
      </c>
      <c r="AH15241" s="831" t="s">
        <v>551</v>
      </c>
      <c r="AI15241" s="831">
        <v>0</v>
      </c>
      <c r="AJ15241" s="835">
        <v>41364</v>
      </c>
      <c r="AK15241" s="831">
        <v>2175856</v>
      </c>
    </row>
    <row r="15242" spans="2:37">
      <c r="B15242" s="834" t="str">
        <f t="shared" si="555"/>
        <v>|||</v>
      </c>
      <c r="H15242" s="835">
        <f t="shared" si="556"/>
        <v>31</v>
      </c>
      <c r="AF15242" s="831" t="s">
        <v>10825</v>
      </c>
      <c r="AG15242" s="831" t="s">
        <v>2674</v>
      </c>
      <c r="AH15242" s="831" t="s">
        <v>550</v>
      </c>
      <c r="AI15242" s="831">
        <v>0</v>
      </c>
      <c r="AJ15242" s="835">
        <v>41364</v>
      </c>
      <c r="AK15242" s="831">
        <v>98581107</v>
      </c>
    </row>
    <row r="15243" spans="2:37">
      <c r="B15243" s="834" t="str">
        <f t="shared" si="555"/>
        <v>|||</v>
      </c>
      <c r="H15243" s="835">
        <f t="shared" si="556"/>
        <v>31</v>
      </c>
      <c r="AF15243" s="831" t="s">
        <v>10826</v>
      </c>
      <c r="AG15243" s="831" t="s">
        <v>2674</v>
      </c>
      <c r="AH15243" s="831" t="s">
        <v>562</v>
      </c>
      <c r="AI15243" s="831">
        <v>0</v>
      </c>
      <c r="AJ15243" s="835">
        <v>41364</v>
      </c>
      <c r="AK15243" s="831">
        <v>0.78425</v>
      </c>
    </row>
    <row r="15244" spans="2:37">
      <c r="B15244" s="834" t="str">
        <f t="shared" si="555"/>
        <v>|||</v>
      </c>
      <c r="H15244" s="835">
        <f t="shared" si="556"/>
        <v>31</v>
      </c>
      <c r="AF15244" s="831" t="s">
        <v>10827</v>
      </c>
      <c r="AG15244" s="831" t="s">
        <v>2674</v>
      </c>
      <c r="AH15244" s="831" t="s">
        <v>2698</v>
      </c>
      <c r="AI15244" s="831">
        <v>0</v>
      </c>
      <c r="AJ15244" s="835">
        <v>41364</v>
      </c>
      <c r="AK15244" s="831">
        <v>0.78434999999999999</v>
      </c>
    </row>
    <row r="15245" spans="2:37">
      <c r="B15245" s="834" t="str">
        <f t="shared" si="555"/>
        <v>|||</v>
      </c>
      <c r="H15245" s="835">
        <f t="shared" si="556"/>
        <v>31</v>
      </c>
      <c r="AF15245" s="831" t="s">
        <v>10828</v>
      </c>
      <c r="AG15245" s="831" t="s">
        <v>2674</v>
      </c>
      <c r="AH15245" s="831" t="s">
        <v>560</v>
      </c>
      <c r="AI15245" s="831">
        <v>0</v>
      </c>
      <c r="AJ15245" s="835">
        <v>41364</v>
      </c>
      <c r="AK15245" s="831">
        <v>0.78415000000000001</v>
      </c>
    </row>
    <row r="15246" spans="2:37">
      <c r="B15246" s="834" t="str">
        <f t="shared" si="555"/>
        <v>|||</v>
      </c>
      <c r="H15246" s="835">
        <f t="shared" si="556"/>
        <v>31</v>
      </c>
      <c r="AF15246" s="831" t="s">
        <v>10829</v>
      </c>
      <c r="AG15246" s="831" t="s">
        <v>2674</v>
      </c>
      <c r="AH15246" s="831" t="s">
        <v>559</v>
      </c>
      <c r="AI15246" s="831">
        <v>0</v>
      </c>
      <c r="AJ15246" s="835">
        <v>41364</v>
      </c>
      <c r="AK15246" s="831">
        <v>0.78459166666666669</v>
      </c>
    </row>
    <row r="15247" spans="2:37">
      <c r="B15247" s="834" t="str">
        <f t="shared" si="555"/>
        <v>|||</v>
      </c>
      <c r="H15247" s="835">
        <f t="shared" si="556"/>
        <v>31</v>
      </c>
      <c r="AF15247" s="831" t="s">
        <v>10830</v>
      </c>
      <c r="AG15247" s="831" t="s">
        <v>2674</v>
      </c>
      <c r="AH15247" s="831" t="s">
        <v>568</v>
      </c>
      <c r="AI15247" s="831">
        <v>0</v>
      </c>
      <c r="AJ15247" s="835">
        <v>41364</v>
      </c>
      <c r="AK15247" s="831">
        <v>387042366</v>
      </c>
    </row>
    <row r="15248" spans="2:37">
      <c r="B15248" s="834" t="str">
        <f t="shared" si="555"/>
        <v>|||</v>
      </c>
      <c r="H15248" s="835">
        <f t="shared" si="556"/>
        <v>31</v>
      </c>
      <c r="AF15248" s="831" t="s">
        <v>10831</v>
      </c>
      <c r="AG15248" s="831" t="s">
        <v>2674</v>
      </c>
      <c r="AH15248" s="831" t="s">
        <v>569</v>
      </c>
      <c r="AI15248" s="831">
        <v>0</v>
      </c>
      <c r="AJ15248" s="835">
        <v>41364</v>
      </c>
      <c r="AK15248" s="831">
        <v>472896677.63636363</v>
      </c>
    </row>
    <row r="15249" spans="2:37">
      <c r="B15249" s="834" t="str">
        <f t="shared" ref="B15249:B15312" si="557">C15249&amp;"|"&amp;D15249&amp;"|"&amp;E15249&amp;"|"&amp;F15249</f>
        <v>|||</v>
      </c>
      <c r="H15249" s="835">
        <f t="shared" ref="H15249:H15312" si="558">EOMONTH(L15249,0)</f>
        <v>31</v>
      </c>
      <c r="AF15249" s="831" t="s">
        <v>10832</v>
      </c>
      <c r="AG15249" s="831" t="s">
        <v>2674</v>
      </c>
      <c r="AH15249" s="831" t="s">
        <v>570</v>
      </c>
      <c r="AI15249" s="831">
        <v>0</v>
      </c>
      <c r="AJ15249" s="835">
        <v>41364</v>
      </c>
      <c r="AK15249" s="831">
        <v>97015572.090909094</v>
      </c>
    </row>
    <row r="15250" spans="2:37">
      <c r="B15250" s="834" t="str">
        <f t="shared" si="557"/>
        <v>|||</v>
      </c>
      <c r="H15250" s="835">
        <f t="shared" si="558"/>
        <v>31</v>
      </c>
      <c r="AF15250" s="831" t="s">
        <v>10833</v>
      </c>
      <c r="AG15250" s="831" t="s">
        <v>2674</v>
      </c>
      <c r="AH15250" s="831" t="s">
        <v>571</v>
      </c>
      <c r="AI15250" s="831">
        <v>0</v>
      </c>
      <c r="AJ15250" s="835">
        <v>41364</v>
      </c>
      <c r="AK15250" s="831">
        <v>197450778.09090909</v>
      </c>
    </row>
    <row r="15251" spans="2:37">
      <c r="B15251" s="834" t="str">
        <f t="shared" si="557"/>
        <v>|||</v>
      </c>
      <c r="H15251" s="835">
        <f t="shared" si="558"/>
        <v>31</v>
      </c>
      <c r="AF15251" s="831" t="s">
        <v>10834</v>
      </c>
      <c r="AG15251" s="831" t="s">
        <v>2674</v>
      </c>
      <c r="AH15251" s="831" t="s">
        <v>573</v>
      </c>
      <c r="AI15251" s="831">
        <v>0</v>
      </c>
      <c r="AJ15251" s="835">
        <v>41364</v>
      </c>
      <c r="AK15251" s="831">
        <v>524451626.75</v>
      </c>
    </row>
    <row r="15252" spans="2:37">
      <c r="B15252" s="834" t="str">
        <f t="shared" si="557"/>
        <v>|||</v>
      </c>
      <c r="H15252" s="835">
        <f t="shared" si="558"/>
        <v>31</v>
      </c>
      <c r="AF15252" s="831" t="s">
        <v>10835</v>
      </c>
      <c r="AG15252" s="831" t="s">
        <v>2674</v>
      </c>
      <c r="AH15252" s="831" t="s">
        <v>574</v>
      </c>
      <c r="AI15252" s="831">
        <v>0</v>
      </c>
      <c r="AJ15252" s="835">
        <v>41364</v>
      </c>
      <c r="AK15252" s="831">
        <v>431410912.75</v>
      </c>
    </row>
    <row r="15253" spans="2:37">
      <c r="B15253" s="834" t="str">
        <f t="shared" si="557"/>
        <v>|||</v>
      </c>
      <c r="H15253" s="835">
        <f t="shared" si="558"/>
        <v>31</v>
      </c>
      <c r="AF15253" s="831" t="s">
        <v>10836</v>
      </c>
      <c r="AG15253" s="831" t="s">
        <v>2674</v>
      </c>
      <c r="AH15253" s="831" t="s">
        <v>575</v>
      </c>
      <c r="AI15253" s="831">
        <v>0</v>
      </c>
      <c r="AJ15253" s="835">
        <v>41364</v>
      </c>
      <c r="AK15253" s="831">
        <v>99359138.75</v>
      </c>
    </row>
    <row r="15254" spans="2:37">
      <c r="B15254" s="834" t="str">
        <f t="shared" si="557"/>
        <v>|||</v>
      </c>
      <c r="H15254" s="835">
        <f t="shared" si="558"/>
        <v>31</v>
      </c>
      <c r="AF15254" s="831" t="s">
        <v>10837</v>
      </c>
      <c r="AG15254" s="831" t="s">
        <v>2674</v>
      </c>
      <c r="AH15254" s="831" t="s">
        <v>576</v>
      </c>
      <c r="AI15254" s="831">
        <v>0</v>
      </c>
      <c r="AJ15254" s="835">
        <v>41364</v>
      </c>
      <c r="AK15254" s="831">
        <v>237999860.25</v>
      </c>
    </row>
    <row r="15255" spans="2:37">
      <c r="B15255" s="834" t="str">
        <f t="shared" si="557"/>
        <v>|||</v>
      </c>
      <c r="H15255" s="835">
        <f t="shared" si="558"/>
        <v>31</v>
      </c>
      <c r="AF15255" s="831" t="s">
        <v>10838</v>
      </c>
      <c r="AG15255" s="831" t="s">
        <v>2674</v>
      </c>
      <c r="AH15255" s="831" t="s">
        <v>572</v>
      </c>
      <c r="AI15255" s="831">
        <v>0</v>
      </c>
      <c r="AJ15255" s="835">
        <v>41364</v>
      </c>
      <c r="AK15255" s="831">
        <v>-2146826246</v>
      </c>
    </row>
    <row r="15256" spans="2:37">
      <c r="B15256" s="834" t="str">
        <f t="shared" si="557"/>
        <v>|||</v>
      </c>
      <c r="H15256" s="835">
        <f t="shared" si="558"/>
        <v>31</v>
      </c>
      <c r="AF15256" s="831" t="s">
        <v>10839</v>
      </c>
      <c r="AG15256" s="831" t="s">
        <v>2674</v>
      </c>
      <c r="AH15256" s="831" t="s">
        <v>577</v>
      </c>
      <c r="AI15256" s="831">
        <v>0</v>
      </c>
      <c r="AJ15256" s="835">
        <v>41364</v>
      </c>
      <c r="AK15256" s="831">
        <v>-2146826246</v>
      </c>
    </row>
    <row r="15257" spans="2:37">
      <c r="B15257" s="834" t="str">
        <f t="shared" si="557"/>
        <v>|||</v>
      </c>
      <c r="H15257" s="835">
        <f t="shared" si="558"/>
        <v>31</v>
      </c>
      <c r="AF15257" s="831" t="s">
        <v>10840</v>
      </c>
      <c r="AG15257" s="831" t="s">
        <v>2674</v>
      </c>
      <c r="AH15257" s="831" t="s">
        <v>3042</v>
      </c>
      <c r="AI15257" s="831">
        <v>0</v>
      </c>
      <c r="AJ15257" s="835">
        <v>41364</v>
      </c>
      <c r="AK15257" s="831">
        <v>-2146826246</v>
      </c>
    </row>
    <row r="15258" spans="2:37">
      <c r="B15258" s="834" t="str">
        <f t="shared" si="557"/>
        <v>|||</v>
      </c>
      <c r="H15258" s="835">
        <f t="shared" si="558"/>
        <v>31</v>
      </c>
      <c r="AF15258" s="831" t="s">
        <v>10841</v>
      </c>
      <c r="AG15258" s="831" t="s">
        <v>2674</v>
      </c>
      <c r="AH15258" s="831" t="s">
        <v>3044</v>
      </c>
      <c r="AI15258" s="831">
        <v>0</v>
      </c>
      <c r="AJ15258" s="835">
        <v>41364</v>
      </c>
      <c r="AK15258" s="831">
        <v>-2146826246</v>
      </c>
    </row>
    <row r="15259" spans="2:37">
      <c r="B15259" s="834" t="str">
        <f t="shared" si="557"/>
        <v>|||</v>
      </c>
      <c r="H15259" s="835">
        <f t="shared" si="558"/>
        <v>31</v>
      </c>
      <c r="AF15259" s="831" t="s">
        <v>10842</v>
      </c>
      <c r="AG15259" s="831" t="s">
        <v>2674</v>
      </c>
      <c r="AH15259" s="831" t="s">
        <v>580</v>
      </c>
      <c r="AI15259" s="831">
        <v>0</v>
      </c>
      <c r="AJ15259" s="835">
        <v>41364</v>
      </c>
      <c r="AK15259" s="831">
        <v>-2146826246</v>
      </c>
    </row>
    <row r="15260" spans="2:37">
      <c r="B15260" s="834" t="str">
        <f t="shared" si="557"/>
        <v>|||</v>
      </c>
      <c r="H15260" s="835">
        <f t="shared" si="558"/>
        <v>31</v>
      </c>
      <c r="AF15260" s="831" t="s">
        <v>10843</v>
      </c>
      <c r="AG15260" s="831" t="s">
        <v>2674</v>
      </c>
      <c r="AH15260" s="831" t="s">
        <v>581</v>
      </c>
      <c r="AI15260" s="831">
        <v>0</v>
      </c>
      <c r="AJ15260" s="835">
        <v>41364</v>
      </c>
      <c r="AK15260" s="831">
        <v>-2146826246</v>
      </c>
    </row>
    <row r="15261" spans="2:37">
      <c r="B15261" s="834" t="str">
        <f t="shared" si="557"/>
        <v>|||</v>
      </c>
      <c r="H15261" s="835">
        <f t="shared" si="558"/>
        <v>31</v>
      </c>
      <c r="AF15261" s="831" t="s">
        <v>10844</v>
      </c>
      <c r="AG15261" s="831" t="s">
        <v>2674</v>
      </c>
      <c r="AH15261" s="831" t="s">
        <v>105</v>
      </c>
      <c r="AI15261" s="831">
        <v>0</v>
      </c>
      <c r="AJ15261" s="835">
        <v>41364</v>
      </c>
      <c r="AK15261" s="831">
        <v>251718369</v>
      </c>
    </row>
    <row r="15262" spans="2:37">
      <c r="B15262" s="834" t="str">
        <f t="shared" si="557"/>
        <v>|||</v>
      </c>
      <c r="H15262" s="835">
        <f t="shared" si="558"/>
        <v>31</v>
      </c>
      <c r="AF15262" s="831" t="s">
        <v>10845</v>
      </c>
      <c r="AG15262" s="831" t="s">
        <v>2674</v>
      </c>
      <c r="AH15262" s="831" t="s">
        <v>3049</v>
      </c>
      <c r="AI15262" s="831">
        <v>0</v>
      </c>
      <c r="AJ15262" s="835">
        <v>41364</v>
      </c>
      <c r="AK15262" s="831">
        <v>433573874</v>
      </c>
    </row>
    <row r="15263" spans="2:37">
      <c r="B15263" s="834" t="str">
        <f t="shared" si="557"/>
        <v>|||</v>
      </c>
      <c r="H15263" s="835">
        <f t="shared" si="558"/>
        <v>31</v>
      </c>
      <c r="AF15263" s="831" t="s">
        <v>10846</v>
      </c>
      <c r="AG15263" s="831" t="s">
        <v>2674</v>
      </c>
      <c r="AH15263" s="831" t="s">
        <v>103</v>
      </c>
      <c r="AI15263" s="831">
        <v>0</v>
      </c>
      <c r="AJ15263" s="835">
        <v>41364</v>
      </c>
      <c r="AK15263" s="831">
        <v>181855505</v>
      </c>
    </row>
    <row r="15264" spans="2:37">
      <c r="B15264" s="834" t="str">
        <f t="shared" si="557"/>
        <v>|||</v>
      </c>
      <c r="H15264" s="835">
        <f t="shared" si="558"/>
        <v>31</v>
      </c>
      <c r="AF15264" s="831" t="s">
        <v>10847</v>
      </c>
      <c r="AG15264" s="831" t="s">
        <v>2674</v>
      </c>
      <c r="AH15264" s="831" t="s">
        <v>182</v>
      </c>
      <c r="AI15264" s="831">
        <v>0</v>
      </c>
      <c r="AJ15264" s="835">
        <v>41364</v>
      </c>
      <c r="AK15264" s="831">
        <v>54931936</v>
      </c>
    </row>
    <row r="15265" spans="2:37">
      <c r="B15265" s="834" t="str">
        <f t="shared" si="557"/>
        <v>|||</v>
      </c>
      <c r="H15265" s="835">
        <f t="shared" si="558"/>
        <v>31</v>
      </c>
      <c r="AF15265" s="831" t="s">
        <v>10848</v>
      </c>
      <c r="AG15265" s="831" t="s">
        <v>2674</v>
      </c>
      <c r="AH15265" s="831" t="s">
        <v>6600</v>
      </c>
      <c r="AI15265" s="831">
        <v>0</v>
      </c>
      <c r="AJ15265" s="835">
        <v>41364</v>
      </c>
      <c r="AK15265" s="831">
        <v>-2146826246</v>
      </c>
    </row>
    <row r="15266" spans="2:37">
      <c r="B15266" s="834" t="str">
        <f t="shared" si="557"/>
        <v>|||</v>
      </c>
      <c r="H15266" s="835">
        <f t="shared" si="558"/>
        <v>31</v>
      </c>
      <c r="AF15266" s="831" t="s">
        <v>10849</v>
      </c>
      <c r="AG15266" s="831" t="s">
        <v>2674</v>
      </c>
      <c r="AH15266" s="831" t="s">
        <v>6602</v>
      </c>
      <c r="AI15266" s="831">
        <v>0</v>
      </c>
      <c r="AJ15266" s="835">
        <v>41364</v>
      </c>
      <c r="AK15266" s="831">
        <v>6046166</v>
      </c>
    </row>
    <row r="15267" spans="2:37">
      <c r="B15267" s="834" t="str">
        <f t="shared" si="557"/>
        <v>|||</v>
      </c>
      <c r="H15267" s="835">
        <f t="shared" si="558"/>
        <v>31</v>
      </c>
      <c r="AF15267" s="831" t="s">
        <v>10850</v>
      </c>
      <c r="AG15267" s="831" t="s">
        <v>2674</v>
      </c>
      <c r="AH15267" s="831" t="s">
        <v>650</v>
      </c>
      <c r="AI15267" s="831">
        <v>0</v>
      </c>
      <c r="AJ15267" s="835">
        <v>41364</v>
      </c>
      <c r="AK15267" s="831">
        <v>165371914.36363637</v>
      </c>
    </row>
    <row r="15268" spans="2:37">
      <c r="B15268" s="834" t="str">
        <f t="shared" si="557"/>
        <v>|||</v>
      </c>
      <c r="H15268" s="835">
        <f t="shared" si="558"/>
        <v>31</v>
      </c>
      <c r="AF15268" s="831" t="s">
        <v>10851</v>
      </c>
      <c r="AG15268" s="831" t="s">
        <v>2674</v>
      </c>
      <c r="AH15268" s="831" t="s">
        <v>655</v>
      </c>
      <c r="AI15268" s="831">
        <v>0</v>
      </c>
      <c r="AJ15268" s="835">
        <v>41364</v>
      </c>
      <c r="AK15268" s="831">
        <v>1831184</v>
      </c>
    </row>
    <row r="15269" spans="2:37">
      <c r="B15269" s="834" t="str">
        <f t="shared" si="557"/>
        <v>|||</v>
      </c>
      <c r="H15269" s="835">
        <f t="shared" si="558"/>
        <v>31</v>
      </c>
      <c r="AF15269" s="831" t="s">
        <v>10852</v>
      </c>
      <c r="AG15269" s="831" t="s">
        <v>2674</v>
      </c>
      <c r="AH15269" s="831" t="s">
        <v>546</v>
      </c>
      <c r="AI15269" s="831">
        <v>0</v>
      </c>
      <c r="AJ15269" s="835">
        <v>41394</v>
      </c>
      <c r="AK15269" s="831">
        <v>479771222</v>
      </c>
    </row>
    <row r="15270" spans="2:37">
      <c r="B15270" s="834" t="str">
        <f t="shared" si="557"/>
        <v>|||</v>
      </c>
      <c r="H15270" s="835">
        <f t="shared" si="558"/>
        <v>31</v>
      </c>
      <c r="AF15270" s="831" t="s">
        <v>10853</v>
      </c>
      <c r="AG15270" s="831" t="s">
        <v>2674</v>
      </c>
      <c r="AH15270" s="831" t="s">
        <v>370</v>
      </c>
      <c r="AI15270" s="831">
        <v>0</v>
      </c>
      <c r="AJ15270" s="835">
        <v>41394</v>
      </c>
      <c r="AK15270" s="831">
        <v>566329383</v>
      </c>
    </row>
    <row r="15271" spans="2:37">
      <c r="B15271" s="834" t="str">
        <f t="shared" si="557"/>
        <v>|||</v>
      </c>
      <c r="H15271" s="835">
        <f t="shared" si="558"/>
        <v>31</v>
      </c>
      <c r="AF15271" s="831" t="s">
        <v>10854</v>
      </c>
      <c r="AG15271" s="831" t="s">
        <v>2674</v>
      </c>
      <c r="AH15271" s="831" t="s">
        <v>126</v>
      </c>
      <c r="AI15271" s="831">
        <v>0</v>
      </c>
      <c r="AJ15271" s="835">
        <v>41394</v>
      </c>
      <c r="AK15271" s="831">
        <v>103327866</v>
      </c>
    </row>
    <row r="15272" spans="2:37">
      <c r="B15272" s="834" t="str">
        <f t="shared" si="557"/>
        <v>|||</v>
      </c>
      <c r="H15272" s="835">
        <f t="shared" si="558"/>
        <v>31</v>
      </c>
      <c r="AF15272" s="831" t="s">
        <v>10855</v>
      </c>
      <c r="AG15272" s="831" t="s">
        <v>2674</v>
      </c>
      <c r="AH15272" s="831" t="s">
        <v>268</v>
      </c>
      <c r="AI15272" s="831">
        <v>0</v>
      </c>
      <c r="AJ15272" s="835">
        <v>41394</v>
      </c>
      <c r="AK15272" s="831">
        <v>8564643</v>
      </c>
    </row>
    <row r="15273" spans="2:37">
      <c r="B15273" s="834" t="str">
        <f t="shared" si="557"/>
        <v>|||</v>
      </c>
      <c r="H15273" s="835">
        <f t="shared" si="558"/>
        <v>31</v>
      </c>
      <c r="AF15273" s="831" t="s">
        <v>10856</v>
      </c>
      <c r="AG15273" s="831" t="s">
        <v>2674</v>
      </c>
      <c r="AH15273" s="831" t="s">
        <v>547</v>
      </c>
      <c r="AI15273" s="831">
        <v>0</v>
      </c>
      <c r="AJ15273" s="835">
        <v>41394</v>
      </c>
      <c r="AK15273" s="831">
        <v>511487760</v>
      </c>
    </row>
    <row r="15274" spans="2:37">
      <c r="B15274" s="834" t="str">
        <f t="shared" si="557"/>
        <v>|||</v>
      </c>
      <c r="H15274" s="835">
        <f t="shared" si="558"/>
        <v>31</v>
      </c>
      <c r="AF15274" s="831" t="s">
        <v>10857</v>
      </c>
      <c r="AG15274" s="831" t="s">
        <v>2674</v>
      </c>
      <c r="AH15274" s="831" t="s">
        <v>548</v>
      </c>
      <c r="AI15274" s="831">
        <v>0</v>
      </c>
      <c r="AJ15274" s="835">
        <v>41394</v>
      </c>
      <c r="AK15274" s="831">
        <v>96883184</v>
      </c>
    </row>
    <row r="15275" spans="2:37">
      <c r="B15275" s="834" t="str">
        <f t="shared" si="557"/>
        <v>|||</v>
      </c>
      <c r="H15275" s="835">
        <f t="shared" si="558"/>
        <v>31</v>
      </c>
      <c r="AF15275" s="831" t="s">
        <v>10858</v>
      </c>
      <c r="AG15275" s="831" t="s">
        <v>2674</v>
      </c>
      <c r="AH15275" s="831" t="s">
        <v>549</v>
      </c>
      <c r="AI15275" s="831">
        <v>0</v>
      </c>
      <c r="AJ15275" s="835">
        <v>41394</v>
      </c>
      <c r="AK15275" s="831">
        <v>0</v>
      </c>
    </row>
    <row r="15276" spans="2:37">
      <c r="B15276" s="834" t="str">
        <f t="shared" si="557"/>
        <v>|||</v>
      </c>
      <c r="H15276" s="835">
        <f t="shared" si="558"/>
        <v>31</v>
      </c>
      <c r="AF15276" s="831" t="s">
        <v>10859</v>
      </c>
      <c r="AG15276" s="831" t="s">
        <v>2674</v>
      </c>
      <c r="AH15276" s="831" t="s">
        <v>192</v>
      </c>
      <c r="AI15276" s="831">
        <v>0</v>
      </c>
      <c r="AJ15276" s="835">
        <v>41394</v>
      </c>
      <c r="AK15276" s="831">
        <v>-12137335</v>
      </c>
    </row>
    <row r="15277" spans="2:37">
      <c r="B15277" s="834" t="str">
        <f t="shared" si="557"/>
        <v>|||</v>
      </c>
      <c r="H15277" s="835">
        <f t="shared" si="558"/>
        <v>31</v>
      </c>
      <c r="AF15277" s="831" t="s">
        <v>10860</v>
      </c>
      <c r="AG15277" s="831" t="s">
        <v>2674</v>
      </c>
      <c r="AH15277" s="831" t="s">
        <v>558</v>
      </c>
      <c r="AI15277" s="831">
        <v>0</v>
      </c>
      <c r="AJ15277" s="835">
        <v>41394</v>
      </c>
      <c r="AK15277" s="831">
        <v>463001517</v>
      </c>
    </row>
    <row r="15278" spans="2:37">
      <c r="B15278" s="834" t="str">
        <f t="shared" si="557"/>
        <v>|||</v>
      </c>
      <c r="H15278" s="835">
        <f t="shared" si="558"/>
        <v>31</v>
      </c>
      <c r="AF15278" s="831" t="s">
        <v>10861</v>
      </c>
      <c r="AG15278" s="831" t="s">
        <v>2674</v>
      </c>
      <c r="AH15278" s="831" t="s">
        <v>65</v>
      </c>
      <c r="AI15278" s="831">
        <v>0</v>
      </c>
      <c r="AJ15278" s="835">
        <v>41394</v>
      </c>
      <c r="AK15278" s="831">
        <v>38829477</v>
      </c>
    </row>
    <row r="15279" spans="2:37">
      <c r="B15279" s="834" t="str">
        <f t="shared" si="557"/>
        <v>|||</v>
      </c>
      <c r="H15279" s="835">
        <f t="shared" si="558"/>
        <v>31</v>
      </c>
      <c r="AF15279" s="831" t="s">
        <v>10862</v>
      </c>
      <c r="AG15279" s="831" t="s">
        <v>2674</v>
      </c>
      <c r="AH15279" s="831" t="s">
        <v>89</v>
      </c>
      <c r="AI15279" s="831">
        <v>0</v>
      </c>
      <c r="AJ15279" s="835">
        <v>41394</v>
      </c>
      <c r="AK15279" s="831">
        <v>132126</v>
      </c>
    </row>
    <row r="15280" spans="2:37">
      <c r="B15280" s="834" t="str">
        <f t="shared" si="557"/>
        <v>|||</v>
      </c>
      <c r="H15280" s="835">
        <f t="shared" si="558"/>
        <v>31</v>
      </c>
      <c r="AF15280" s="831" t="s">
        <v>10863</v>
      </c>
      <c r="AG15280" s="831" t="s">
        <v>2674</v>
      </c>
      <c r="AH15280" s="831" t="s">
        <v>557</v>
      </c>
      <c r="AI15280" s="831">
        <v>0</v>
      </c>
      <c r="AJ15280" s="835">
        <v>41394</v>
      </c>
      <c r="AK15280" s="831">
        <v>135969</v>
      </c>
    </row>
    <row r="15281" spans="2:37">
      <c r="B15281" s="834" t="str">
        <f t="shared" si="557"/>
        <v>|||</v>
      </c>
      <c r="H15281" s="835">
        <f t="shared" si="558"/>
        <v>31</v>
      </c>
      <c r="AF15281" s="831" t="s">
        <v>10864</v>
      </c>
      <c r="AG15281" s="831" t="s">
        <v>2674</v>
      </c>
      <c r="AH15281" s="831" t="s">
        <v>29</v>
      </c>
      <c r="AI15281" s="831">
        <v>0</v>
      </c>
      <c r="AJ15281" s="835">
        <v>41394</v>
      </c>
      <c r="AK15281" s="831">
        <v>3183810</v>
      </c>
    </row>
    <row r="15282" spans="2:37">
      <c r="B15282" s="834" t="str">
        <f t="shared" si="557"/>
        <v>|||</v>
      </c>
      <c r="H15282" s="835">
        <f t="shared" si="558"/>
        <v>31</v>
      </c>
      <c r="AF15282" s="831" t="s">
        <v>10865</v>
      </c>
      <c r="AG15282" s="831" t="s">
        <v>2674</v>
      </c>
      <c r="AH15282" s="831" t="s">
        <v>2688</v>
      </c>
      <c r="AI15282" s="831">
        <v>0</v>
      </c>
      <c r="AJ15282" s="835">
        <v>41394</v>
      </c>
      <c r="AK15282" s="831">
        <v>2795249</v>
      </c>
    </row>
    <row r="15283" spans="2:37">
      <c r="B15283" s="834" t="str">
        <f t="shared" si="557"/>
        <v>|||</v>
      </c>
      <c r="H15283" s="835">
        <f t="shared" si="558"/>
        <v>31</v>
      </c>
      <c r="AF15283" s="831" t="s">
        <v>10866</v>
      </c>
      <c r="AG15283" s="831" t="s">
        <v>2674</v>
      </c>
      <c r="AH15283" s="831" t="s">
        <v>556</v>
      </c>
      <c r="AI15283" s="831">
        <v>0</v>
      </c>
      <c r="AJ15283" s="835">
        <v>41394</v>
      </c>
      <c r="AK15283" s="831">
        <v>902857</v>
      </c>
    </row>
    <row r="15284" spans="2:37">
      <c r="B15284" s="834" t="str">
        <f t="shared" si="557"/>
        <v>|||</v>
      </c>
      <c r="H15284" s="835">
        <f t="shared" si="558"/>
        <v>31</v>
      </c>
      <c r="AF15284" s="831" t="s">
        <v>10867</v>
      </c>
      <c r="AG15284" s="831" t="s">
        <v>2674</v>
      </c>
      <c r="AH15284" s="831" t="s">
        <v>555</v>
      </c>
      <c r="AI15284" s="831">
        <v>0</v>
      </c>
      <c r="AJ15284" s="835">
        <v>41394</v>
      </c>
      <c r="AK15284" s="831">
        <v>292199280</v>
      </c>
    </row>
    <row r="15285" spans="2:37">
      <c r="B15285" s="834" t="str">
        <f t="shared" si="557"/>
        <v>|||</v>
      </c>
      <c r="H15285" s="835">
        <f t="shared" si="558"/>
        <v>31</v>
      </c>
      <c r="AF15285" s="831" t="s">
        <v>10868</v>
      </c>
      <c r="AG15285" s="831" t="s">
        <v>2674</v>
      </c>
      <c r="AH15285" s="831" t="s">
        <v>554</v>
      </c>
      <c r="AI15285" s="831">
        <v>0</v>
      </c>
      <c r="AJ15285" s="835">
        <v>41394</v>
      </c>
      <c r="AK15285" s="831">
        <v>282835760</v>
      </c>
    </row>
    <row r="15286" spans="2:37">
      <c r="B15286" s="834" t="str">
        <f t="shared" si="557"/>
        <v>|||</v>
      </c>
      <c r="H15286" s="835">
        <f t="shared" si="558"/>
        <v>31</v>
      </c>
      <c r="AF15286" s="831" t="s">
        <v>10869</v>
      </c>
      <c r="AG15286" s="831" t="s">
        <v>2674</v>
      </c>
      <c r="AH15286" s="831" t="s">
        <v>553</v>
      </c>
      <c r="AI15286" s="831">
        <v>0</v>
      </c>
      <c r="AJ15286" s="835">
        <v>41394</v>
      </c>
      <c r="AK15286" s="831">
        <v>0</v>
      </c>
    </row>
    <row r="15287" spans="2:37">
      <c r="B15287" s="834" t="str">
        <f t="shared" si="557"/>
        <v>|||</v>
      </c>
      <c r="H15287" s="835">
        <f t="shared" si="558"/>
        <v>31</v>
      </c>
      <c r="AF15287" s="831" t="s">
        <v>10870</v>
      </c>
      <c r="AG15287" s="831" t="s">
        <v>2674</v>
      </c>
      <c r="AH15287" s="831" t="s">
        <v>552</v>
      </c>
      <c r="AI15287" s="831">
        <v>0</v>
      </c>
      <c r="AJ15287" s="835">
        <v>41394</v>
      </c>
      <c r="AK15287" s="831">
        <v>0</v>
      </c>
    </row>
    <row r="15288" spans="2:37">
      <c r="B15288" s="834" t="str">
        <f t="shared" si="557"/>
        <v>|||</v>
      </c>
      <c r="H15288" s="835">
        <f t="shared" si="558"/>
        <v>31</v>
      </c>
      <c r="AF15288" s="831" t="s">
        <v>10871</v>
      </c>
      <c r="AG15288" s="831" t="s">
        <v>2674</v>
      </c>
      <c r="AH15288" s="831" t="s">
        <v>551</v>
      </c>
      <c r="AI15288" s="831">
        <v>0</v>
      </c>
      <c r="AJ15288" s="835">
        <v>41394</v>
      </c>
      <c r="AK15288" s="831">
        <v>3073568</v>
      </c>
    </row>
    <row r="15289" spans="2:37">
      <c r="B15289" s="834" t="str">
        <f t="shared" si="557"/>
        <v>|||</v>
      </c>
      <c r="H15289" s="835">
        <f t="shared" si="558"/>
        <v>31</v>
      </c>
      <c r="AF15289" s="831" t="s">
        <v>10872</v>
      </c>
      <c r="AG15289" s="831" t="s">
        <v>2674</v>
      </c>
      <c r="AH15289" s="831" t="s">
        <v>550</v>
      </c>
      <c r="AI15289" s="831">
        <v>0</v>
      </c>
      <c r="AJ15289" s="835">
        <v>41394</v>
      </c>
      <c r="AK15289" s="831">
        <v>100809389</v>
      </c>
    </row>
    <row r="15290" spans="2:37">
      <c r="B15290" s="834" t="str">
        <f t="shared" si="557"/>
        <v>|||</v>
      </c>
      <c r="H15290" s="835">
        <f t="shared" si="558"/>
        <v>31</v>
      </c>
      <c r="AF15290" s="831" t="s">
        <v>10873</v>
      </c>
      <c r="AG15290" s="831" t="s">
        <v>2674</v>
      </c>
      <c r="AH15290" s="831" t="s">
        <v>562</v>
      </c>
      <c r="AI15290" s="831">
        <v>0</v>
      </c>
      <c r="AJ15290" s="835">
        <v>41394</v>
      </c>
      <c r="AK15290" s="831">
        <v>0.78405000000000002</v>
      </c>
    </row>
    <row r="15291" spans="2:37">
      <c r="B15291" s="834" t="str">
        <f t="shared" si="557"/>
        <v>|||</v>
      </c>
      <c r="H15291" s="835">
        <f t="shared" si="558"/>
        <v>31</v>
      </c>
      <c r="AF15291" s="831" t="s">
        <v>10874</v>
      </c>
      <c r="AG15291" s="831" t="s">
        <v>2674</v>
      </c>
      <c r="AH15291" s="831" t="s">
        <v>2698</v>
      </c>
      <c r="AI15291" s="831">
        <v>0</v>
      </c>
      <c r="AJ15291" s="835">
        <v>41394</v>
      </c>
      <c r="AK15291" s="831">
        <v>0.78425</v>
      </c>
    </row>
    <row r="15292" spans="2:37">
      <c r="B15292" s="834" t="str">
        <f t="shared" si="557"/>
        <v>|||</v>
      </c>
      <c r="H15292" s="835">
        <f t="shared" si="558"/>
        <v>31</v>
      </c>
      <c r="AF15292" s="831" t="s">
        <v>10875</v>
      </c>
      <c r="AG15292" s="831" t="s">
        <v>2674</v>
      </c>
      <c r="AH15292" s="831" t="s">
        <v>560</v>
      </c>
      <c r="AI15292" s="831">
        <v>0</v>
      </c>
      <c r="AJ15292" s="835">
        <v>41394</v>
      </c>
      <c r="AK15292" s="831">
        <v>0.78412500000000007</v>
      </c>
    </row>
    <row r="15293" spans="2:37">
      <c r="B15293" s="834" t="str">
        <f t="shared" si="557"/>
        <v>|||</v>
      </c>
      <c r="H15293" s="835">
        <f t="shared" si="558"/>
        <v>31</v>
      </c>
      <c r="AF15293" s="831" t="s">
        <v>10876</v>
      </c>
      <c r="AG15293" s="831" t="s">
        <v>2674</v>
      </c>
      <c r="AH15293" s="831" t="s">
        <v>559</v>
      </c>
      <c r="AI15293" s="831">
        <v>0</v>
      </c>
      <c r="AJ15293" s="835">
        <v>41394</v>
      </c>
      <c r="AK15293" s="831">
        <v>0.78444166666666681</v>
      </c>
    </row>
    <row r="15294" spans="2:37">
      <c r="B15294" s="834" t="str">
        <f t="shared" si="557"/>
        <v>|||</v>
      </c>
      <c r="H15294" s="835">
        <f t="shared" si="558"/>
        <v>31</v>
      </c>
      <c r="AF15294" s="831" t="s">
        <v>10877</v>
      </c>
      <c r="AG15294" s="831" t="s">
        <v>2674</v>
      </c>
      <c r="AH15294" s="831" t="s">
        <v>568</v>
      </c>
      <c r="AI15294" s="831">
        <v>0</v>
      </c>
      <c r="AJ15294" s="835">
        <v>41394</v>
      </c>
      <c r="AK15294" s="831">
        <v>394769770.66666669</v>
      </c>
    </row>
    <row r="15295" spans="2:37">
      <c r="B15295" s="834" t="str">
        <f t="shared" si="557"/>
        <v>|||</v>
      </c>
      <c r="H15295" s="835">
        <f t="shared" si="558"/>
        <v>31</v>
      </c>
      <c r="AF15295" s="831" t="s">
        <v>10878</v>
      </c>
      <c r="AG15295" s="831" t="s">
        <v>2674</v>
      </c>
      <c r="AH15295" s="831" t="s">
        <v>569</v>
      </c>
      <c r="AI15295" s="831">
        <v>0</v>
      </c>
      <c r="AJ15295" s="835">
        <v>41394</v>
      </c>
      <c r="AK15295" s="831">
        <v>480682736.41666669</v>
      </c>
    </row>
    <row r="15296" spans="2:37">
      <c r="B15296" s="834" t="str">
        <f t="shared" si="557"/>
        <v>|||</v>
      </c>
      <c r="H15296" s="835">
        <f t="shared" si="558"/>
        <v>31</v>
      </c>
      <c r="AF15296" s="831" t="s">
        <v>10879</v>
      </c>
      <c r="AG15296" s="831" t="s">
        <v>2674</v>
      </c>
      <c r="AH15296" s="831" t="s">
        <v>570</v>
      </c>
      <c r="AI15296" s="831">
        <v>0</v>
      </c>
      <c r="AJ15296" s="835">
        <v>41394</v>
      </c>
      <c r="AK15296" s="831">
        <v>97541596.583333328</v>
      </c>
    </row>
    <row r="15297" spans="2:37">
      <c r="B15297" s="834" t="str">
        <f t="shared" si="557"/>
        <v>|||</v>
      </c>
      <c r="H15297" s="835">
        <f t="shared" si="558"/>
        <v>31</v>
      </c>
      <c r="AF15297" s="831" t="s">
        <v>10880</v>
      </c>
      <c r="AG15297" s="831" t="s">
        <v>2674</v>
      </c>
      <c r="AH15297" s="831" t="s">
        <v>571</v>
      </c>
      <c r="AI15297" s="831">
        <v>0</v>
      </c>
      <c r="AJ15297" s="835">
        <v>41394</v>
      </c>
      <c r="AK15297" s="831">
        <v>202392383.16666666</v>
      </c>
    </row>
    <row r="15298" spans="2:37">
      <c r="B15298" s="834" t="str">
        <f t="shared" si="557"/>
        <v>|||</v>
      </c>
      <c r="H15298" s="835">
        <f t="shared" si="558"/>
        <v>31</v>
      </c>
      <c r="AF15298" s="831" t="s">
        <v>10881</v>
      </c>
      <c r="AG15298" s="831" t="s">
        <v>2674</v>
      </c>
      <c r="AH15298" s="831" t="s">
        <v>573</v>
      </c>
      <c r="AI15298" s="831">
        <v>0</v>
      </c>
      <c r="AJ15298" s="835">
        <v>41394</v>
      </c>
      <c r="AK15298" s="831">
        <v>532827178</v>
      </c>
    </row>
    <row r="15299" spans="2:37">
      <c r="B15299" s="834" t="str">
        <f t="shared" si="557"/>
        <v>|||</v>
      </c>
      <c r="H15299" s="835">
        <f t="shared" si="558"/>
        <v>31</v>
      </c>
      <c r="AF15299" s="831" t="s">
        <v>10882</v>
      </c>
      <c r="AG15299" s="831" t="s">
        <v>2674</v>
      </c>
      <c r="AH15299" s="831" t="s">
        <v>574</v>
      </c>
      <c r="AI15299" s="831">
        <v>0</v>
      </c>
      <c r="AJ15299" s="835">
        <v>41394</v>
      </c>
      <c r="AK15299" s="831">
        <v>441082974.60000002</v>
      </c>
    </row>
    <row r="15300" spans="2:37">
      <c r="B15300" s="834" t="str">
        <f t="shared" si="557"/>
        <v>|||</v>
      </c>
      <c r="H15300" s="835">
        <f t="shared" si="558"/>
        <v>31</v>
      </c>
      <c r="AF15300" s="831" t="s">
        <v>10883</v>
      </c>
      <c r="AG15300" s="831" t="s">
        <v>2674</v>
      </c>
      <c r="AH15300" s="831" t="s">
        <v>575</v>
      </c>
      <c r="AI15300" s="831">
        <v>0</v>
      </c>
      <c r="AJ15300" s="835">
        <v>41394</v>
      </c>
      <c r="AK15300" s="831">
        <v>100152884.2</v>
      </c>
    </row>
    <row r="15301" spans="2:37">
      <c r="B15301" s="834" t="str">
        <f t="shared" si="557"/>
        <v>|||</v>
      </c>
      <c r="H15301" s="835">
        <f t="shared" si="558"/>
        <v>31</v>
      </c>
      <c r="AF15301" s="831" t="s">
        <v>10884</v>
      </c>
      <c r="AG15301" s="831" t="s">
        <v>2674</v>
      </c>
      <c r="AH15301" s="831" t="s">
        <v>576</v>
      </c>
      <c r="AI15301" s="831">
        <v>0</v>
      </c>
      <c r="AJ15301" s="835">
        <v>41394</v>
      </c>
      <c r="AK15301" s="831">
        <v>241749896</v>
      </c>
    </row>
    <row r="15302" spans="2:37">
      <c r="B15302" s="834" t="str">
        <f t="shared" si="557"/>
        <v>|||</v>
      </c>
      <c r="H15302" s="835">
        <f t="shared" si="558"/>
        <v>31</v>
      </c>
      <c r="AF15302" s="831" t="s">
        <v>10885</v>
      </c>
      <c r="AG15302" s="831" t="s">
        <v>2674</v>
      </c>
      <c r="AH15302" s="831" t="s">
        <v>572</v>
      </c>
      <c r="AI15302" s="831">
        <v>0</v>
      </c>
      <c r="AJ15302" s="835">
        <v>41394</v>
      </c>
      <c r="AK15302" s="831">
        <v>24404594</v>
      </c>
    </row>
    <row r="15303" spans="2:37">
      <c r="B15303" s="834" t="str">
        <f t="shared" si="557"/>
        <v>|||</v>
      </c>
      <c r="H15303" s="835">
        <f t="shared" si="558"/>
        <v>31</v>
      </c>
      <c r="AF15303" s="831" t="s">
        <v>10886</v>
      </c>
      <c r="AG15303" s="831" t="s">
        <v>2674</v>
      </c>
      <c r="AH15303" s="831" t="s">
        <v>577</v>
      </c>
      <c r="AI15303" s="831">
        <v>0</v>
      </c>
      <c r="AJ15303" s="835">
        <v>41394</v>
      </c>
      <c r="AK15303" s="831">
        <v>137705857</v>
      </c>
    </row>
    <row r="15304" spans="2:37">
      <c r="B15304" s="834" t="str">
        <f t="shared" si="557"/>
        <v>|||</v>
      </c>
      <c r="H15304" s="835">
        <f t="shared" si="558"/>
        <v>31</v>
      </c>
      <c r="AF15304" s="831" t="s">
        <v>10887</v>
      </c>
      <c r="AG15304" s="831" t="s">
        <v>2674</v>
      </c>
      <c r="AH15304" s="831" t="s">
        <v>3042</v>
      </c>
      <c r="AI15304" s="831">
        <v>0</v>
      </c>
      <c r="AJ15304" s="835">
        <v>41394</v>
      </c>
      <c r="AK15304" s="831">
        <v>-34403926</v>
      </c>
    </row>
    <row r="15305" spans="2:37">
      <c r="B15305" s="834" t="str">
        <f t="shared" si="557"/>
        <v>|||</v>
      </c>
      <c r="H15305" s="835">
        <f t="shared" si="558"/>
        <v>31</v>
      </c>
      <c r="AF15305" s="831" t="s">
        <v>10888</v>
      </c>
      <c r="AG15305" s="831" t="s">
        <v>2674</v>
      </c>
      <c r="AH15305" s="831" t="s">
        <v>3044</v>
      </c>
      <c r="AI15305" s="831">
        <v>0</v>
      </c>
      <c r="AJ15305" s="835">
        <v>41394</v>
      </c>
      <c r="AK15305" s="831">
        <v>-4759976</v>
      </c>
    </row>
    <row r="15306" spans="2:37">
      <c r="B15306" s="834" t="str">
        <f t="shared" si="557"/>
        <v>|||</v>
      </c>
      <c r="H15306" s="835">
        <f t="shared" si="558"/>
        <v>31</v>
      </c>
      <c r="AF15306" s="831" t="s">
        <v>10889</v>
      </c>
      <c r="AG15306" s="831" t="s">
        <v>2674</v>
      </c>
      <c r="AH15306" s="831" t="s">
        <v>580</v>
      </c>
      <c r="AI15306" s="831">
        <v>0</v>
      </c>
      <c r="AJ15306" s="835">
        <v>41394</v>
      </c>
      <c r="AK15306" s="831">
        <v>-71824276</v>
      </c>
    </row>
    <row r="15307" spans="2:37">
      <c r="B15307" s="834" t="str">
        <f t="shared" si="557"/>
        <v>|||</v>
      </c>
      <c r="H15307" s="835">
        <f t="shared" si="558"/>
        <v>31</v>
      </c>
      <c r="AF15307" s="831" t="s">
        <v>10890</v>
      </c>
      <c r="AG15307" s="831" t="s">
        <v>2674</v>
      </c>
      <c r="AH15307" s="831" t="s">
        <v>581</v>
      </c>
      <c r="AI15307" s="831">
        <v>0</v>
      </c>
      <c r="AJ15307" s="835">
        <v>41394</v>
      </c>
      <c r="AK15307" s="831">
        <v>4094604</v>
      </c>
    </row>
    <row r="15308" spans="2:37">
      <c r="B15308" s="834" t="str">
        <f t="shared" si="557"/>
        <v>|||</v>
      </c>
      <c r="H15308" s="835">
        <f t="shared" si="558"/>
        <v>31</v>
      </c>
      <c r="AF15308" s="831" t="s">
        <v>10891</v>
      </c>
      <c r="AG15308" s="831" t="s">
        <v>2674</v>
      </c>
      <c r="AH15308" s="831" t="s">
        <v>105</v>
      </c>
      <c r="AI15308" s="831">
        <v>0</v>
      </c>
      <c r="AJ15308" s="835">
        <v>41394</v>
      </c>
      <c r="AK15308" s="831">
        <v>256750039</v>
      </c>
    </row>
    <row r="15309" spans="2:37">
      <c r="B15309" s="834" t="str">
        <f t="shared" si="557"/>
        <v>|||</v>
      </c>
      <c r="H15309" s="835">
        <f t="shared" si="558"/>
        <v>31</v>
      </c>
      <c r="AF15309" s="831" t="s">
        <v>10892</v>
      </c>
      <c r="AG15309" s="831" t="s">
        <v>2674</v>
      </c>
      <c r="AH15309" s="831" t="s">
        <v>3049</v>
      </c>
      <c r="AI15309" s="831">
        <v>0</v>
      </c>
      <c r="AJ15309" s="835">
        <v>41394</v>
      </c>
      <c r="AK15309" s="831">
        <v>448399148</v>
      </c>
    </row>
    <row r="15310" spans="2:37">
      <c r="B15310" s="834" t="str">
        <f t="shared" si="557"/>
        <v>|||</v>
      </c>
      <c r="H15310" s="835">
        <f t="shared" si="558"/>
        <v>31</v>
      </c>
      <c r="AF15310" s="831" t="s">
        <v>10893</v>
      </c>
      <c r="AG15310" s="831" t="s">
        <v>2674</v>
      </c>
      <c r="AH15310" s="831" t="s">
        <v>103</v>
      </c>
      <c r="AI15310" s="831">
        <v>0</v>
      </c>
      <c r="AJ15310" s="835">
        <v>41394</v>
      </c>
      <c r="AK15310" s="831">
        <v>191649109</v>
      </c>
    </row>
    <row r="15311" spans="2:37">
      <c r="B15311" s="834" t="str">
        <f t="shared" si="557"/>
        <v>|||</v>
      </c>
      <c r="H15311" s="835">
        <f t="shared" si="558"/>
        <v>31</v>
      </c>
      <c r="AF15311" s="831" t="s">
        <v>10894</v>
      </c>
      <c r="AG15311" s="831" t="s">
        <v>2674</v>
      </c>
      <c r="AH15311" s="831" t="s">
        <v>182</v>
      </c>
      <c r="AI15311" s="831">
        <v>0</v>
      </c>
      <c r="AJ15311" s="835">
        <v>41394</v>
      </c>
      <c r="AK15311" s="831">
        <v>55518615</v>
      </c>
    </row>
    <row r="15312" spans="2:37">
      <c r="B15312" s="834" t="str">
        <f t="shared" si="557"/>
        <v>|||</v>
      </c>
      <c r="H15312" s="835">
        <f t="shared" si="558"/>
        <v>31</v>
      </c>
      <c r="AF15312" s="831" t="s">
        <v>10895</v>
      </c>
      <c r="AG15312" s="831" t="s">
        <v>2674</v>
      </c>
      <c r="AH15312" s="831" t="s">
        <v>6600</v>
      </c>
      <c r="AI15312" s="831">
        <v>0</v>
      </c>
      <c r="AJ15312" s="835">
        <v>41394</v>
      </c>
      <c r="AK15312" s="831">
        <v>24404594</v>
      </c>
    </row>
    <row r="15313" spans="2:37">
      <c r="B15313" s="834" t="str">
        <f t="shared" ref="B15313:B15376" si="559">C15313&amp;"|"&amp;D15313&amp;"|"&amp;E15313&amp;"|"&amp;F15313</f>
        <v>|||</v>
      </c>
      <c r="H15313" s="835">
        <f t="shared" ref="H15313:H15376" si="560">EOMONTH(L15313,0)</f>
        <v>31</v>
      </c>
      <c r="AF15313" s="831" t="s">
        <v>10896</v>
      </c>
      <c r="AG15313" s="831" t="s">
        <v>2674</v>
      </c>
      <c r="AH15313" s="831" t="s">
        <v>6602</v>
      </c>
      <c r="AI15313" s="831">
        <v>0</v>
      </c>
      <c r="AJ15313" s="835">
        <v>41394</v>
      </c>
      <c r="AK15313" s="831">
        <v>8564643</v>
      </c>
    </row>
    <row r="15314" spans="2:37">
      <c r="B15314" s="834" t="str">
        <f t="shared" si="559"/>
        <v>|||</v>
      </c>
      <c r="H15314" s="835">
        <f t="shared" si="560"/>
        <v>31</v>
      </c>
      <c r="AF15314" s="831" t="s">
        <v>10897</v>
      </c>
      <c r="AG15314" s="831" t="s">
        <v>2674</v>
      </c>
      <c r="AH15314" s="831" t="s">
        <v>650</v>
      </c>
      <c r="AI15314" s="831">
        <v>0</v>
      </c>
      <c r="AJ15314" s="835">
        <v>41394</v>
      </c>
      <c r="AK15314" s="831">
        <v>167561680.58333334</v>
      </c>
    </row>
    <row r="15315" spans="2:37">
      <c r="B15315" s="834" t="str">
        <f t="shared" si="559"/>
        <v>|||</v>
      </c>
      <c r="H15315" s="835">
        <f t="shared" si="560"/>
        <v>31</v>
      </c>
      <c r="AF15315" s="831" t="s">
        <v>10898</v>
      </c>
      <c r="AG15315" s="831" t="s">
        <v>2674</v>
      </c>
      <c r="AH15315" s="831" t="s">
        <v>655</v>
      </c>
      <c r="AI15315" s="831">
        <v>0</v>
      </c>
      <c r="AJ15315" s="835">
        <v>41394</v>
      </c>
      <c r="AK15315" s="831">
        <v>2577725</v>
      </c>
    </row>
    <row r="15316" spans="2:37">
      <c r="B15316" s="834" t="str">
        <f t="shared" si="559"/>
        <v>|||</v>
      </c>
      <c r="H15316" s="835">
        <f t="shared" si="560"/>
        <v>31</v>
      </c>
      <c r="AF15316" s="831" t="s">
        <v>10899</v>
      </c>
      <c r="AG15316" s="831" t="s">
        <v>2674</v>
      </c>
      <c r="AH15316" s="831" t="s">
        <v>546</v>
      </c>
      <c r="AI15316" s="831">
        <v>0</v>
      </c>
      <c r="AJ15316" s="835">
        <v>41425</v>
      </c>
      <c r="AK15316" s="831">
        <v>505264542</v>
      </c>
    </row>
    <row r="15317" spans="2:37">
      <c r="B15317" s="834" t="str">
        <f t="shared" si="559"/>
        <v>|||</v>
      </c>
      <c r="H15317" s="835">
        <f t="shared" si="560"/>
        <v>31</v>
      </c>
      <c r="AF15317" s="831" t="s">
        <v>10900</v>
      </c>
      <c r="AG15317" s="831" t="s">
        <v>2674</v>
      </c>
      <c r="AH15317" s="831" t="s">
        <v>370</v>
      </c>
      <c r="AI15317" s="831">
        <v>0</v>
      </c>
      <c r="AJ15317" s="835">
        <v>41425</v>
      </c>
      <c r="AK15317" s="831">
        <v>595292976</v>
      </c>
    </row>
    <row r="15318" spans="2:37">
      <c r="B15318" s="834" t="str">
        <f t="shared" si="559"/>
        <v>|||</v>
      </c>
      <c r="H15318" s="835">
        <f t="shared" si="560"/>
        <v>31</v>
      </c>
      <c r="AF15318" s="831" t="s">
        <v>10901</v>
      </c>
      <c r="AG15318" s="831" t="s">
        <v>2674</v>
      </c>
      <c r="AH15318" s="831" t="s">
        <v>126</v>
      </c>
      <c r="AI15318" s="831">
        <v>0</v>
      </c>
      <c r="AJ15318" s="835">
        <v>41425</v>
      </c>
      <c r="AK15318" s="831">
        <v>105651356</v>
      </c>
    </row>
    <row r="15319" spans="2:37">
      <c r="B15319" s="834" t="str">
        <f t="shared" si="559"/>
        <v>|||</v>
      </c>
      <c r="H15319" s="835">
        <f t="shared" si="560"/>
        <v>31</v>
      </c>
      <c r="AF15319" s="831" t="s">
        <v>10902</v>
      </c>
      <c r="AG15319" s="831" t="s">
        <v>2674</v>
      </c>
      <c r="AH15319" s="831" t="s">
        <v>268</v>
      </c>
      <c r="AI15319" s="831">
        <v>0</v>
      </c>
      <c r="AJ15319" s="835">
        <v>41425</v>
      </c>
      <c r="AK15319" s="831">
        <v>10888133</v>
      </c>
    </row>
    <row r="15320" spans="2:37">
      <c r="B15320" s="834" t="str">
        <f t="shared" si="559"/>
        <v>|||</v>
      </c>
      <c r="H15320" s="835">
        <f t="shared" si="560"/>
        <v>31</v>
      </c>
      <c r="AF15320" s="831" t="s">
        <v>10903</v>
      </c>
      <c r="AG15320" s="831" t="s">
        <v>2674</v>
      </c>
      <c r="AH15320" s="831" t="s">
        <v>547</v>
      </c>
      <c r="AI15320" s="831">
        <v>0</v>
      </c>
      <c r="AJ15320" s="835">
        <v>41425</v>
      </c>
      <c r="AK15320" s="831">
        <v>511487760</v>
      </c>
    </row>
    <row r="15321" spans="2:37">
      <c r="B15321" s="834" t="str">
        <f t="shared" si="559"/>
        <v>|||</v>
      </c>
      <c r="H15321" s="835">
        <f t="shared" si="560"/>
        <v>31</v>
      </c>
      <c r="AF15321" s="831" t="s">
        <v>10904</v>
      </c>
      <c r="AG15321" s="831" t="s">
        <v>2674</v>
      </c>
      <c r="AH15321" s="831" t="s">
        <v>548</v>
      </c>
      <c r="AI15321" s="831">
        <v>0</v>
      </c>
      <c r="AJ15321" s="835">
        <v>41425</v>
      </c>
      <c r="AK15321" s="831">
        <v>96883184</v>
      </c>
    </row>
    <row r="15322" spans="2:37">
      <c r="B15322" s="834" t="str">
        <f t="shared" si="559"/>
        <v>|||</v>
      </c>
      <c r="H15322" s="835">
        <f t="shared" si="560"/>
        <v>31</v>
      </c>
      <c r="AF15322" s="831" t="s">
        <v>10905</v>
      </c>
      <c r="AG15322" s="831" t="s">
        <v>2674</v>
      </c>
      <c r="AH15322" s="831" t="s">
        <v>549</v>
      </c>
      <c r="AI15322" s="831">
        <v>0</v>
      </c>
      <c r="AJ15322" s="835">
        <v>41425</v>
      </c>
      <c r="AK15322" s="831">
        <v>339221349</v>
      </c>
    </row>
    <row r="15323" spans="2:37">
      <c r="B15323" s="834" t="str">
        <f t="shared" si="559"/>
        <v>|||</v>
      </c>
      <c r="H15323" s="835">
        <f t="shared" si="560"/>
        <v>31</v>
      </c>
      <c r="AF15323" s="831" t="s">
        <v>10906</v>
      </c>
      <c r="AG15323" s="831" t="s">
        <v>2674</v>
      </c>
      <c r="AH15323" s="831" t="s">
        <v>192</v>
      </c>
      <c r="AI15323" s="831">
        <v>0</v>
      </c>
      <c r="AJ15323" s="835">
        <v>41425</v>
      </c>
      <c r="AK15323" s="831">
        <v>-12896676</v>
      </c>
    </row>
    <row r="15324" spans="2:37">
      <c r="B15324" s="834" t="str">
        <f t="shared" si="559"/>
        <v>|||</v>
      </c>
      <c r="H15324" s="835">
        <f t="shared" si="560"/>
        <v>31</v>
      </c>
      <c r="AF15324" s="831" t="s">
        <v>10907</v>
      </c>
      <c r="AG15324" s="831" t="s">
        <v>2674</v>
      </c>
      <c r="AH15324" s="831" t="s">
        <v>558</v>
      </c>
      <c r="AI15324" s="831">
        <v>0</v>
      </c>
      <c r="AJ15324" s="835">
        <v>41425</v>
      </c>
      <c r="AK15324" s="831">
        <v>489641620</v>
      </c>
    </row>
    <row r="15325" spans="2:37">
      <c r="B15325" s="834" t="str">
        <f t="shared" si="559"/>
        <v>|||</v>
      </c>
      <c r="H15325" s="835">
        <f t="shared" si="560"/>
        <v>31</v>
      </c>
      <c r="AF15325" s="831" t="s">
        <v>10908</v>
      </c>
      <c r="AG15325" s="831" t="s">
        <v>2674</v>
      </c>
      <c r="AH15325" s="831" t="s">
        <v>65</v>
      </c>
      <c r="AI15325" s="831">
        <v>0</v>
      </c>
      <c r="AJ15325" s="835">
        <v>41425</v>
      </c>
      <c r="AK15325" s="831">
        <v>49637231</v>
      </c>
    </row>
    <row r="15326" spans="2:37">
      <c r="B15326" s="834" t="str">
        <f t="shared" si="559"/>
        <v>|||</v>
      </c>
      <c r="H15326" s="835">
        <f t="shared" si="560"/>
        <v>31</v>
      </c>
      <c r="AF15326" s="831" t="s">
        <v>10909</v>
      </c>
      <c r="AG15326" s="831" t="s">
        <v>2674</v>
      </c>
      <c r="AH15326" s="831" t="s">
        <v>89</v>
      </c>
      <c r="AI15326" s="831">
        <v>0</v>
      </c>
      <c r="AJ15326" s="835">
        <v>41425</v>
      </c>
      <c r="AK15326" s="831">
        <v>135204</v>
      </c>
    </row>
    <row r="15327" spans="2:37">
      <c r="B15327" s="834" t="str">
        <f t="shared" si="559"/>
        <v>|||</v>
      </c>
      <c r="H15327" s="835">
        <f t="shared" si="560"/>
        <v>31</v>
      </c>
      <c r="AF15327" s="831" t="s">
        <v>10910</v>
      </c>
      <c r="AG15327" s="831" t="s">
        <v>2674</v>
      </c>
      <c r="AH15327" s="831" t="s">
        <v>557</v>
      </c>
      <c r="AI15327" s="831">
        <v>0</v>
      </c>
      <c r="AJ15327" s="835">
        <v>41425</v>
      </c>
      <c r="AK15327" s="831">
        <v>139930</v>
      </c>
    </row>
    <row r="15328" spans="2:37">
      <c r="B15328" s="834" t="str">
        <f t="shared" si="559"/>
        <v>|||</v>
      </c>
      <c r="H15328" s="835">
        <f t="shared" si="560"/>
        <v>31</v>
      </c>
      <c r="AF15328" s="831" t="s">
        <v>10911</v>
      </c>
      <c r="AG15328" s="831" t="s">
        <v>2674</v>
      </c>
      <c r="AH15328" s="831" t="s">
        <v>29</v>
      </c>
      <c r="AI15328" s="831">
        <v>0</v>
      </c>
      <c r="AJ15328" s="835">
        <v>41425</v>
      </c>
      <c r="AK15328" s="831">
        <v>2486253</v>
      </c>
    </row>
    <row r="15329" spans="2:37">
      <c r="B15329" s="834" t="str">
        <f t="shared" si="559"/>
        <v>|||</v>
      </c>
      <c r="H15329" s="835">
        <f t="shared" si="560"/>
        <v>31</v>
      </c>
      <c r="AF15329" s="831" t="s">
        <v>10912</v>
      </c>
      <c r="AG15329" s="831" t="s">
        <v>2674</v>
      </c>
      <c r="AH15329" s="831" t="s">
        <v>2688</v>
      </c>
      <c r="AI15329" s="831">
        <v>0</v>
      </c>
      <c r="AJ15329" s="835">
        <v>41425</v>
      </c>
      <c r="AK15329" s="831">
        <v>2733940</v>
      </c>
    </row>
    <row r="15330" spans="2:37">
      <c r="B15330" s="834" t="str">
        <f t="shared" si="559"/>
        <v>|||</v>
      </c>
      <c r="H15330" s="835">
        <f t="shared" si="560"/>
        <v>31</v>
      </c>
      <c r="AF15330" s="831" t="s">
        <v>10913</v>
      </c>
      <c r="AG15330" s="831" t="s">
        <v>2674</v>
      </c>
      <c r="AH15330" s="831" t="s">
        <v>556</v>
      </c>
      <c r="AI15330" s="831">
        <v>0</v>
      </c>
      <c r="AJ15330" s="835">
        <v>41425</v>
      </c>
      <c r="AK15330" s="831">
        <v>902857</v>
      </c>
    </row>
    <row r="15331" spans="2:37">
      <c r="B15331" s="834" t="str">
        <f t="shared" si="559"/>
        <v>|||</v>
      </c>
      <c r="H15331" s="835">
        <f t="shared" si="560"/>
        <v>31</v>
      </c>
      <c r="AF15331" s="831" t="s">
        <v>10914</v>
      </c>
      <c r="AG15331" s="831" t="s">
        <v>2674</v>
      </c>
      <c r="AH15331" s="831" t="s">
        <v>555</v>
      </c>
      <c r="AI15331" s="831">
        <v>0</v>
      </c>
      <c r="AJ15331" s="835">
        <v>41425</v>
      </c>
      <c r="AK15331" s="831">
        <v>310274630</v>
      </c>
    </row>
    <row r="15332" spans="2:37">
      <c r="B15332" s="834" t="str">
        <f t="shared" si="559"/>
        <v>|||</v>
      </c>
      <c r="H15332" s="835">
        <f t="shared" si="560"/>
        <v>31</v>
      </c>
      <c r="AF15332" s="831" t="s">
        <v>10915</v>
      </c>
      <c r="AG15332" s="831" t="s">
        <v>2674</v>
      </c>
      <c r="AH15332" s="831" t="s">
        <v>554</v>
      </c>
      <c r="AI15332" s="831">
        <v>0</v>
      </c>
      <c r="AJ15332" s="835">
        <v>41425</v>
      </c>
      <c r="AK15332" s="831">
        <v>296232200</v>
      </c>
    </row>
    <row r="15333" spans="2:37">
      <c r="B15333" s="834" t="str">
        <f t="shared" si="559"/>
        <v>|||</v>
      </c>
      <c r="H15333" s="835">
        <f t="shared" si="560"/>
        <v>31</v>
      </c>
      <c r="AF15333" s="831" t="s">
        <v>10916</v>
      </c>
      <c r="AG15333" s="831" t="s">
        <v>2674</v>
      </c>
      <c r="AH15333" s="831" t="s">
        <v>553</v>
      </c>
      <c r="AI15333" s="831">
        <v>0</v>
      </c>
      <c r="AJ15333" s="835">
        <v>41425</v>
      </c>
      <c r="AK15333" s="831">
        <v>0</v>
      </c>
    </row>
    <row r="15334" spans="2:37">
      <c r="B15334" s="834" t="str">
        <f t="shared" si="559"/>
        <v>|||</v>
      </c>
      <c r="H15334" s="835">
        <f t="shared" si="560"/>
        <v>31</v>
      </c>
      <c r="AF15334" s="831" t="s">
        <v>10917</v>
      </c>
      <c r="AG15334" s="831" t="s">
        <v>2674</v>
      </c>
      <c r="AH15334" s="831" t="s">
        <v>552</v>
      </c>
      <c r="AI15334" s="831">
        <v>0</v>
      </c>
      <c r="AJ15334" s="835">
        <v>41425</v>
      </c>
      <c r="AK15334" s="831">
        <v>0</v>
      </c>
    </row>
    <row r="15335" spans="2:37">
      <c r="B15335" s="834" t="str">
        <f t="shared" si="559"/>
        <v>|||</v>
      </c>
      <c r="H15335" s="835">
        <f t="shared" si="560"/>
        <v>31</v>
      </c>
      <c r="AF15335" s="831" t="s">
        <v>10918</v>
      </c>
      <c r="AG15335" s="831" t="s">
        <v>2674</v>
      </c>
      <c r="AH15335" s="831" t="s">
        <v>551</v>
      </c>
      <c r="AI15335" s="831">
        <v>0</v>
      </c>
      <c r="AJ15335" s="835">
        <v>41425</v>
      </c>
      <c r="AK15335" s="831">
        <v>2323653</v>
      </c>
    </row>
    <row r="15336" spans="2:37">
      <c r="B15336" s="834" t="str">
        <f t="shared" si="559"/>
        <v>|||</v>
      </c>
      <c r="H15336" s="835">
        <f t="shared" si="560"/>
        <v>31</v>
      </c>
      <c r="AF15336" s="831" t="s">
        <v>10919</v>
      </c>
      <c r="AG15336" s="831" t="s">
        <v>2674</v>
      </c>
      <c r="AH15336" s="831" t="s">
        <v>550</v>
      </c>
      <c r="AI15336" s="831">
        <v>0</v>
      </c>
      <c r="AJ15336" s="835">
        <v>41425</v>
      </c>
      <c r="AK15336" s="831">
        <v>103327866</v>
      </c>
    </row>
    <row r="15337" spans="2:37">
      <c r="B15337" s="834" t="str">
        <f t="shared" si="559"/>
        <v>|||</v>
      </c>
      <c r="H15337" s="835">
        <f t="shared" si="560"/>
        <v>31</v>
      </c>
      <c r="AF15337" s="831" t="s">
        <v>10920</v>
      </c>
      <c r="AG15337" s="831" t="s">
        <v>2674</v>
      </c>
      <c r="AH15337" s="831" t="s">
        <v>562</v>
      </c>
      <c r="AI15337" s="831">
        <v>0</v>
      </c>
      <c r="AJ15337" s="835">
        <v>41425</v>
      </c>
      <c r="AK15337" s="831">
        <v>0.78405000000000002</v>
      </c>
    </row>
    <row r="15338" spans="2:37">
      <c r="B15338" s="834" t="str">
        <f t="shared" si="559"/>
        <v>|||</v>
      </c>
      <c r="H15338" s="835">
        <f t="shared" si="560"/>
        <v>31</v>
      </c>
      <c r="AF15338" s="831" t="s">
        <v>10921</v>
      </c>
      <c r="AG15338" s="831" t="s">
        <v>2674</v>
      </c>
      <c r="AH15338" s="831" t="s">
        <v>2698</v>
      </c>
      <c r="AI15338" s="831">
        <v>0</v>
      </c>
      <c r="AJ15338" s="835">
        <v>41425</v>
      </c>
      <c r="AK15338" s="831">
        <v>0.78405000000000002</v>
      </c>
    </row>
    <row r="15339" spans="2:37">
      <c r="B15339" s="834" t="str">
        <f t="shared" si="559"/>
        <v>|||</v>
      </c>
      <c r="H15339" s="835">
        <f t="shared" si="560"/>
        <v>31</v>
      </c>
      <c r="AF15339" s="831" t="s">
        <v>10922</v>
      </c>
      <c r="AG15339" s="831" t="s">
        <v>2674</v>
      </c>
      <c r="AH15339" s="831" t="s">
        <v>560</v>
      </c>
      <c r="AI15339" s="831">
        <v>0</v>
      </c>
      <c r="AJ15339" s="835">
        <v>41425</v>
      </c>
      <c r="AK15339" s="831">
        <v>0.78410999999999997</v>
      </c>
    </row>
    <row r="15340" spans="2:37">
      <c r="B15340" s="834" t="str">
        <f t="shared" si="559"/>
        <v>|||</v>
      </c>
      <c r="H15340" s="835">
        <f t="shared" si="560"/>
        <v>31</v>
      </c>
      <c r="AF15340" s="831" t="s">
        <v>10923</v>
      </c>
      <c r="AG15340" s="831" t="s">
        <v>2674</v>
      </c>
      <c r="AH15340" s="831" t="s">
        <v>559</v>
      </c>
      <c r="AI15340" s="831">
        <v>0</v>
      </c>
      <c r="AJ15340" s="835">
        <v>41425</v>
      </c>
      <c r="AK15340" s="831">
        <v>0.78434999999999999</v>
      </c>
    </row>
    <row r="15341" spans="2:37">
      <c r="B15341" s="834" t="str">
        <f t="shared" si="559"/>
        <v>|||</v>
      </c>
      <c r="H15341" s="835">
        <f t="shared" si="560"/>
        <v>31</v>
      </c>
      <c r="AF15341" s="831" t="s">
        <v>10924</v>
      </c>
      <c r="AG15341" s="831" t="s">
        <v>2674</v>
      </c>
      <c r="AH15341" s="831" t="s">
        <v>568</v>
      </c>
      <c r="AI15341" s="831">
        <v>0</v>
      </c>
      <c r="AJ15341" s="835">
        <v>41425</v>
      </c>
      <c r="AK15341" s="831">
        <v>403269368.46153843</v>
      </c>
    </row>
    <row r="15342" spans="2:37">
      <c r="B15342" s="834" t="str">
        <f t="shared" si="559"/>
        <v>|||</v>
      </c>
      <c r="H15342" s="835">
        <f t="shared" si="560"/>
        <v>31</v>
      </c>
      <c r="AF15342" s="831" t="s">
        <v>10925</v>
      </c>
      <c r="AG15342" s="831" t="s">
        <v>2674</v>
      </c>
      <c r="AH15342" s="831" t="s">
        <v>569</v>
      </c>
      <c r="AI15342" s="831">
        <v>0</v>
      </c>
      <c r="AJ15342" s="835">
        <v>41425</v>
      </c>
      <c r="AK15342" s="831">
        <v>489498908.69230771</v>
      </c>
    </row>
    <row r="15343" spans="2:37">
      <c r="B15343" s="834" t="str">
        <f t="shared" si="559"/>
        <v>|||</v>
      </c>
      <c r="H15343" s="835">
        <f t="shared" si="560"/>
        <v>31</v>
      </c>
      <c r="AF15343" s="831" t="s">
        <v>10926</v>
      </c>
      <c r="AG15343" s="831" t="s">
        <v>2674</v>
      </c>
      <c r="AH15343" s="831" t="s">
        <v>570</v>
      </c>
      <c r="AI15343" s="831">
        <v>0</v>
      </c>
      <c r="AJ15343" s="835">
        <v>41425</v>
      </c>
      <c r="AK15343" s="831">
        <v>98165424.230769232</v>
      </c>
    </row>
    <row r="15344" spans="2:37">
      <c r="B15344" s="834" t="str">
        <f t="shared" si="559"/>
        <v>|||</v>
      </c>
      <c r="H15344" s="835">
        <f t="shared" si="560"/>
        <v>31</v>
      </c>
      <c r="AF15344" s="831" t="s">
        <v>10927</v>
      </c>
      <c r="AG15344" s="831" t="s">
        <v>2674</v>
      </c>
      <c r="AH15344" s="831" t="s">
        <v>571</v>
      </c>
      <c r="AI15344" s="831">
        <v>0</v>
      </c>
      <c r="AJ15344" s="835">
        <v>41425</v>
      </c>
      <c r="AK15344" s="831">
        <v>207953338.07692307</v>
      </c>
    </row>
    <row r="15345" spans="2:37">
      <c r="B15345" s="834" t="str">
        <f t="shared" si="559"/>
        <v>|||</v>
      </c>
      <c r="H15345" s="835">
        <f t="shared" si="560"/>
        <v>31</v>
      </c>
      <c r="AF15345" s="831" t="s">
        <v>10928</v>
      </c>
      <c r="AG15345" s="831" t="s">
        <v>2674</v>
      </c>
      <c r="AH15345" s="831" t="s">
        <v>573</v>
      </c>
      <c r="AI15345" s="831">
        <v>0</v>
      </c>
      <c r="AJ15345" s="835">
        <v>41425</v>
      </c>
      <c r="AK15345" s="831">
        <v>543238144.33333337</v>
      </c>
    </row>
    <row r="15346" spans="2:37">
      <c r="B15346" s="834" t="str">
        <f t="shared" si="559"/>
        <v>|||</v>
      </c>
      <c r="H15346" s="835">
        <f t="shared" si="560"/>
        <v>31</v>
      </c>
      <c r="AF15346" s="831" t="s">
        <v>10929</v>
      </c>
      <c r="AG15346" s="831" t="s">
        <v>2674</v>
      </c>
      <c r="AH15346" s="831" t="s">
        <v>574</v>
      </c>
      <c r="AI15346" s="831">
        <v>0</v>
      </c>
      <c r="AJ15346" s="835">
        <v>41425</v>
      </c>
      <c r="AK15346" s="831">
        <v>451779902.5</v>
      </c>
    </row>
    <row r="15347" spans="2:37">
      <c r="B15347" s="834" t="str">
        <f t="shared" si="559"/>
        <v>|||</v>
      </c>
      <c r="H15347" s="835">
        <f t="shared" si="560"/>
        <v>31</v>
      </c>
      <c r="AF15347" s="831" t="s">
        <v>10930</v>
      </c>
      <c r="AG15347" s="831" t="s">
        <v>2674</v>
      </c>
      <c r="AH15347" s="831" t="s">
        <v>575</v>
      </c>
      <c r="AI15347" s="831">
        <v>0</v>
      </c>
      <c r="AJ15347" s="835">
        <v>41425</v>
      </c>
      <c r="AK15347" s="831">
        <v>101069296.16666667</v>
      </c>
    </row>
    <row r="15348" spans="2:37">
      <c r="B15348" s="834" t="str">
        <f t="shared" si="559"/>
        <v>|||</v>
      </c>
      <c r="H15348" s="835">
        <f t="shared" si="560"/>
        <v>31</v>
      </c>
      <c r="AF15348" s="831" t="s">
        <v>10931</v>
      </c>
      <c r="AG15348" s="831" t="s">
        <v>2674</v>
      </c>
      <c r="AH15348" s="831" t="s">
        <v>576</v>
      </c>
      <c r="AI15348" s="831">
        <v>0</v>
      </c>
      <c r="AJ15348" s="835">
        <v>41425</v>
      </c>
      <c r="AK15348" s="831">
        <v>247239046.16666666</v>
      </c>
    </row>
    <row r="15349" spans="2:37">
      <c r="B15349" s="834" t="str">
        <f t="shared" si="559"/>
        <v>|||</v>
      </c>
      <c r="H15349" s="835">
        <f t="shared" si="560"/>
        <v>31</v>
      </c>
      <c r="AF15349" s="831" t="s">
        <v>10932</v>
      </c>
      <c r="AG15349" s="831" t="s">
        <v>2674</v>
      </c>
      <c r="AH15349" s="831" t="s">
        <v>572</v>
      </c>
      <c r="AI15349" s="831">
        <v>0</v>
      </c>
      <c r="AJ15349" s="835">
        <v>41425</v>
      </c>
      <c r="AK15349" s="831">
        <v>21530747</v>
      </c>
    </row>
    <row r="15350" spans="2:37">
      <c r="B15350" s="834" t="str">
        <f t="shared" si="559"/>
        <v>|||</v>
      </c>
      <c r="H15350" s="835">
        <f t="shared" si="560"/>
        <v>31</v>
      </c>
      <c r="AF15350" s="831" t="s">
        <v>10933</v>
      </c>
      <c r="AG15350" s="831" t="s">
        <v>2674</v>
      </c>
      <c r="AH15350" s="831" t="s">
        <v>577</v>
      </c>
      <c r="AI15350" s="831">
        <v>0</v>
      </c>
      <c r="AJ15350" s="835">
        <v>41425</v>
      </c>
      <c r="AK15350" s="831">
        <v>110403012</v>
      </c>
    </row>
    <row r="15351" spans="2:37">
      <c r="B15351" s="834" t="str">
        <f t="shared" si="559"/>
        <v>|||</v>
      </c>
      <c r="H15351" s="835">
        <f t="shared" si="560"/>
        <v>31</v>
      </c>
      <c r="AF15351" s="831" t="s">
        <v>10934</v>
      </c>
      <c r="AG15351" s="831" t="s">
        <v>2674</v>
      </c>
      <c r="AH15351" s="831" t="s">
        <v>3042</v>
      </c>
      <c r="AI15351" s="831">
        <v>0</v>
      </c>
      <c r="AJ15351" s="835">
        <v>41425</v>
      </c>
      <c r="AK15351" s="831">
        <v>-27020607</v>
      </c>
    </row>
    <row r="15352" spans="2:37">
      <c r="B15352" s="834" t="str">
        <f t="shared" si="559"/>
        <v>|||</v>
      </c>
      <c r="H15352" s="835">
        <f t="shared" si="560"/>
        <v>31</v>
      </c>
      <c r="AF15352" s="831" t="s">
        <v>10935</v>
      </c>
      <c r="AG15352" s="831" t="s">
        <v>2674</v>
      </c>
      <c r="AH15352" s="831" t="s">
        <v>3044</v>
      </c>
      <c r="AI15352" s="831">
        <v>0</v>
      </c>
      <c r="AJ15352" s="835">
        <v>41425</v>
      </c>
      <c r="AK15352" s="831">
        <v>-4070350</v>
      </c>
    </row>
    <row r="15353" spans="2:37">
      <c r="B15353" s="834" t="str">
        <f t="shared" si="559"/>
        <v>|||</v>
      </c>
      <c r="H15353" s="835">
        <f t="shared" si="560"/>
        <v>31</v>
      </c>
      <c r="AF15353" s="831" t="s">
        <v>10936</v>
      </c>
      <c r="AG15353" s="831" t="s">
        <v>2674</v>
      </c>
      <c r="AH15353" s="831" t="s">
        <v>580</v>
      </c>
      <c r="AI15353" s="831">
        <v>0</v>
      </c>
      <c r="AJ15353" s="835">
        <v>41425</v>
      </c>
      <c r="AK15353" s="831">
        <v>-55847177</v>
      </c>
    </row>
    <row r="15354" spans="2:37">
      <c r="B15354" s="834" t="str">
        <f t="shared" si="559"/>
        <v>|||</v>
      </c>
      <c r="H15354" s="835">
        <f t="shared" si="560"/>
        <v>31</v>
      </c>
      <c r="AF15354" s="831" t="s">
        <v>10937</v>
      </c>
      <c r="AG15354" s="831" t="s">
        <v>2674</v>
      </c>
      <c r="AH15354" s="831" t="s">
        <v>581</v>
      </c>
      <c r="AI15354" s="831">
        <v>0</v>
      </c>
      <c r="AJ15354" s="835">
        <v>41425</v>
      </c>
      <c r="AK15354" s="831">
        <v>3833349</v>
      </c>
    </row>
    <row r="15355" spans="2:37">
      <c r="B15355" s="834" t="str">
        <f t="shared" si="559"/>
        <v>|||</v>
      </c>
      <c r="H15355" s="835">
        <f t="shared" si="560"/>
        <v>31</v>
      </c>
      <c r="AF15355" s="831" t="s">
        <v>10938</v>
      </c>
      <c r="AG15355" s="831" t="s">
        <v>2674</v>
      </c>
      <c r="AH15355" s="831" t="s">
        <v>105</v>
      </c>
      <c r="AI15355" s="831">
        <v>0</v>
      </c>
      <c r="AJ15355" s="835">
        <v>41425</v>
      </c>
      <c r="AK15355" s="831">
        <v>274684797</v>
      </c>
    </row>
    <row r="15356" spans="2:37">
      <c r="B15356" s="834" t="str">
        <f t="shared" si="559"/>
        <v>|||</v>
      </c>
      <c r="H15356" s="835">
        <f t="shared" si="560"/>
        <v>31</v>
      </c>
      <c r="AF15356" s="831" t="s">
        <v>10939</v>
      </c>
      <c r="AG15356" s="831" t="s">
        <v>2674</v>
      </c>
      <c r="AH15356" s="831" t="s">
        <v>3049</v>
      </c>
      <c r="AI15356" s="831">
        <v>0</v>
      </c>
      <c r="AJ15356" s="835">
        <v>41425</v>
      </c>
      <c r="AK15356" s="831">
        <v>474215187</v>
      </c>
    </row>
    <row r="15357" spans="2:37">
      <c r="B15357" s="834" t="str">
        <f t="shared" si="559"/>
        <v>|||</v>
      </c>
      <c r="H15357" s="835">
        <f t="shared" si="560"/>
        <v>31</v>
      </c>
      <c r="AF15357" s="831" t="s">
        <v>10940</v>
      </c>
      <c r="AG15357" s="831" t="s">
        <v>2674</v>
      </c>
      <c r="AH15357" s="831" t="s">
        <v>103</v>
      </c>
      <c r="AI15357" s="831">
        <v>0</v>
      </c>
      <c r="AJ15357" s="835">
        <v>41425</v>
      </c>
      <c r="AK15357" s="831">
        <v>199530390</v>
      </c>
    </row>
    <row r="15358" spans="2:37">
      <c r="B15358" s="834" t="str">
        <f t="shared" si="559"/>
        <v>|||</v>
      </c>
      <c r="H15358" s="835">
        <f t="shared" si="560"/>
        <v>31</v>
      </c>
      <c r="AF15358" s="831" t="s">
        <v>10941</v>
      </c>
      <c r="AG15358" s="831" t="s">
        <v>2674</v>
      </c>
      <c r="AH15358" s="831" t="s">
        <v>182</v>
      </c>
      <c r="AI15358" s="831">
        <v>0</v>
      </c>
      <c r="AJ15358" s="835">
        <v>41425</v>
      </c>
      <c r="AK15358" s="831">
        <v>56542824</v>
      </c>
    </row>
    <row r="15359" spans="2:37">
      <c r="B15359" s="834" t="str">
        <f t="shared" si="559"/>
        <v>|||</v>
      </c>
      <c r="H15359" s="835">
        <f t="shared" si="560"/>
        <v>31</v>
      </c>
      <c r="AF15359" s="831" t="s">
        <v>10942</v>
      </c>
      <c r="AG15359" s="831" t="s">
        <v>2674</v>
      </c>
      <c r="AH15359" s="831" t="s">
        <v>6600</v>
      </c>
      <c r="AI15359" s="831">
        <v>0</v>
      </c>
      <c r="AJ15359" s="835">
        <v>41425</v>
      </c>
      <c r="AK15359" s="831">
        <v>21530747</v>
      </c>
    </row>
    <row r="15360" spans="2:37">
      <c r="B15360" s="834" t="str">
        <f t="shared" si="559"/>
        <v>|||</v>
      </c>
      <c r="H15360" s="835">
        <f t="shared" si="560"/>
        <v>31</v>
      </c>
      <c r="AF15360" s="831" t="s">
        <v>10943</v>
      </c>
      <c r="AG15360" s="831" t="s">
        <v>2674</v>
      </c>
      <c r="AH15360" s="831" t="s">
        <v>6602</v>
      </c>
      <c r="AI15360" s="831">
        <v>0</v>
      </c>
      <c r="AJ15360" s="835">
        <v>41425</v>
      </c>
      <c r="AK15360" s="831">
        <v>10888133</v>
      </c>
    </row>
    <row r="15361" spans="2:37">
      <c r="B15361" s="834" t="str">
        <f t="shared" si="559"/>
        <v>|||</v>
      </c>
      <c r="H15361" s="835">
        <f t="shared" si="560"/>
        <v>31</v>
      </c>
      <c r="AF15361" s="831" t="s">
        <v>10944</v>
      </c>
      <c r="AG15361" s="831" t="s">
        <v>2674</v>
      </c>
      <c r="AH15361" s="831" t="s">
        <v>650</v>
      </c>
      <c r="AI15361" s="831">
        <v>0</v>
      </c>
      <c r="AJ15361" s="835">
        <v>41425</v>
      </c>
      <c r="AK15361" s="831">
        <v>170020812.07692307</v>
      </c>
    </row>
    <row r="15362" spans="2:37">
      <c r="B15362" s="834" t="str">
        <f t="shared" si="559"/>
        <v>|||</v>
      </c>
      <c r="H15362" s="835">
        <f t="shared" si="560"/>
        <v>31</v>
      </c>
      <c r="AF15362" s="831" t="s">
        <v>10945</v>
      </c>
      <c r="AG15362" s="831" t="s">
        <v>2674</v>
      </c>
      <c r="AH15362" s="831" t="s">
        <v>655</v>
      </c>
      <c r="AI15362" s="831">
        <v>0</v>
      </c>
      <c r="AJ15362" s="835">
        <v>41425</v>
      </c>
      <c r="AK15362" s="831">
        <v>2273827</v>
      </c>
    </row>
    <row r="15363" spans="2:37">
      <c r="B15363" s="834" t="str">
        <f t="shared" si="559"/>
        <v>|||</v>
      </c>
      <c r="H15363" s="835">
        <f t="shared" si="560"/>
        <v>31</v>
      </c>
      <c r="AF15363" s="831" t="s">
        <v>10946</v>
      </c>
      <c r="AG15363" s="831" t="s">
        <v>2674</v>
      </c>
      <c r="AH15363" s="831" t="s">
        <v>546</v>
      </c>
      <c r="AI15363" s="831">
        <v>0</v>
      </c>
      <c r="AJ15363" s="835">
        <v>41455</v>
      </c>
      <c r="AK15363" s="831">
        <v>514798833</v>
      </c>
    </row>
    <row r="15364" spans="2:37">
      <c r="B15364" s="834" t="str">
        <f t="shared" si="559"/>
        <v>|||</v>
      </c>
      <c r="H15364" s="835">
        <f t="shared" si="560"/>
        <v>31</v>
      </c>
      <c r="AF15364" s="831" t="s">
        <v>10947</v>
      </c>
      <c r="AG15364" s="831" t="s">
        <v>2674</v>
      </c>
      <c r="AH15364" s="831" t="s">
        <v>370</v>
      </c>
      <c r="AI15364" s="831">
        <v>0</v>
      </c>
      <c r="AJ15364" s="835">
        <v>41455</v>
      </c>
      <c r="AK15364" s="831">
        <v>641101315</v>
      </c>
    </row>
    <row r="15365" spans="2:37">
      <c r="B15365" s="834" t="str">
        <f t="shared" si="559"/>
        <v>|||</v>
      </c>
      <c r="H15365" s="835">
        <f t="shared" si="560"/>
        <v>31</v>
      </c>
      <c r="AF15365" s="831" t="s">
        <v>10948</v>
      </c>
      <c r="AG15365" s="831" t="s">
        <v>2674</v>
      </c>
      <c r="AH15365" s="831" t="s">
        <v>126</v>
      </c>
      <c r="AI15365" s="831">
        <v>0</v>
      </c>
      <c r="AJ15365" s="835">
        <v>41455</v>
      </c>
      <c r="AK15365" s="831">
        <v>108060358</v>
      </c>
    </row>
    <row r="15366" spans="2:37">
      <c r="B15366" s="834" t="str">
        <f t="shared" si="559"/>
        <v>|||</v>
      </c>
      <c r="H15366" s="835">
        <f t="shared" si="560"/>
        <v>31</v>
      </c>
      <c r="AF15366" s="831" t="s">
        <v>10949</v>
      </c>
      <c r="AG15366" s="831" t="s">
        <v>2674</v>
      </c>
      <c r="AH15366" s="831" t="s">
        <v>268</v>
      </c>
      <c r="AI15366" s="831">
        <v>0</v>
      </c>
      <c r="AJ15366" s="835">
        <v>41455</v>
      </c>
      <c r="AK15366" s="831">
        <v>13297133</v>
      </c>
    </row>
    <row r="15367" spans="2:37">
      <c r="B15367" s="834" t="str">
        <f t="shared" si="559"/>
        <v>|||</v>
      </c>
      <c r="H15367" s="835">
        <f t="shared" si="560"/>
        <v>31</v>
      </c>
      <c r="AF15367" s="831" t="s">
        <v>10950</v>
      </c>
      <c r="AG15367" s="831" t="s">
        <v>2674</v>
      </c>
      <c r="AH15367" s="831" t="s">
        <v>547</v>
      </c>
      <c r="AI15367" s="831">
        <v>0</v>
      </c>
      <c r="AJ15367" s="835">
        <v>41455</v>
      </c>
      <c r="AK15367" s="831">
        <v>511487760</v>
      </c>
    </row>
    <row r="15368" spans="2:37">
      <c r="B15368" s="834" t="str">
        <f t="shared" si="559"/>
        <v>|||</v>
      </c>
      <c r="H15368" s="835">
        <f t="shared" si="560"/>
        <v>31</v>
      </c>
      <c r="AF15368" s="831" t="s">
        <v>10951</v>
      </c>
      <c r="AG15368" s="831" t="s">
        <v>2674</v>
      </c>
      <c r="AH15368" s="831" t="s">
        <v>548</v>
      </c>
      <c r="AI15368" s="831">
        <v>0</v>
      </c>
      <c r="AJ15368" s="835">
        <v>41455</v>
      </c>
      <c r="AK15368" s="831">
        <v>96883184</v>
      </c>
    </row>
    <row r="15369" spans="2:37">
      <c r="B15369" s="834" t="str">
        <f t="shared" si="559"/>
        <v>|||</v>
      </c>
      <c r="H15369" s="835">
        <f t="shared" si="560"/>
        <v>31</v>
      </c>
      <c r="AF15369" s="831" t="s">
        <v>10952</v>
      </c>
      <c r="AG15369" s="831" t="s">
        <v>2674</v>
      </c>
      <c r="AH15369" s="831" t="s">
        <v>549</v>
      </c>
      <c r="AI15369" s="831">
        <v>0</v>
      </c>
      <c r="AJ15369" s="835">
        <v>41455</v>
      </c>
      <c r="AK15369" s="831">
        <v>342628450</v>
      </c>
    </row>
    <row r="15370" spans="2:37">
      <c r="B15370" s="834" t="str">
        <f t="shared" si="559"/>
        <v>|||</v>
      </c>
      <c r="H15370" s="835">
        <f t="shared" si="560"/>
        <v>31</v>
      </c>
      <c r="AF15370" s="831" t="s">
        <v>10953</v>
      </c>
      <c r="AG15370" s="831" t="s">
        <v>2674</v>
      </c>
      <c r="AH15370" s="831" t="s">
        <v>192</v>
      </c>
      <c r="AI15370" s="831">
        <v>0</v>
      </c>
      <c r="AJ15370" s="835">
        <v>41455</v>
      </c>
      <c r="AK15370" s="831">
        <v>-11546784</v>
      </c>
    </row>
    <row r="15371" spans="2:37">
      <c r="B15371" s="834" t="str">
        <f t="shared" si="559"/>
        <v>|||</v>
      </c>
      <c r="H15371" s="835">
        <f t="shared" si="560"/>
        <v>31</v>
      </c>
      <c r="AF15371" s="831" t="s">
        <v>10954</v>
      </c>
      <c r="AG15371" s="831" t="s">
        <v>2674</v>
      </c>
      <c r="AH15371" s="831" t="s">
        <v>558</v>
      </c>
      <c r="AI15371" s="831">
        <v>0</v>
      </c>
      <c r="AJ15371" s="835">
        <v>41455</v>
      </c>
      <c r="AK15371" s="831">
        <v>533040957</v>
      </c>
    </row>
    <row r="15372" spans="2:37">
      <c r="B15372" s="834" t="str">
        <f t="shared" si="559"/>
        <v>|||</v>
      </c>
      <c r="H15372" s="835">
        <f t="shared" si="560"/>
        <v>31</v>
      </c>
      <c r="AF15372" s="831" t="s">
        <v>10955</v>
      </c>
      <c r="AG15372" s="831" t="s">
        <v>2674</v>
      </c>
      <c r="AH15372" s="831" t="s">
        <v>65</v>
      </c>
      <c r="AI15372" s="831">
        <v>0</v>
      </c>
      <c r="AJ15372" s="835">
        <v>41455</v>
      </c>
      <c r="AK15372" s="831">
        <v>60193699</v>
      </c>
    </row>
    <row r="15373" spans="2:37">
      <c r="B15373" s="834" t="str">
        <f t="shared" si="559"/>
        <v>|||</v>
      </c>
      <c r="H15373" s="835">
        <f t="shared" si="560"/>
        <v>31</v>
      </c>
      <c r="AF15373" s="831" t="s">
        <v>10956</v>
      </c>
      <c r="AG15373" s="831" t="s">
        <v>2674</v>
      </c>
      <c r="AH15373" s="831" t="s">
        <v>89</v>
      </c>
      <c r="AI15373" s="831">
        <v>0</v>
      </c>
      <c r="AJ15373" s="835">
        <v>41455</v>
      </c>
      <c r="AK15373" s="831">
        <v>136633</v>
      </c>
    </row>
    <row r="15374" spans="2:37">
      <c r="B15374" s="834" t="str">
        <f t="shared" si="559"/>
        <v>|||</v>
      </c>
      <c r="H15374" s="835">
        <f t="shared" si="560"/>
        <v>31</v>
      </c>
      <c r="AF15374" s="831" t="s">
        <v>10957</v>
      </c>
      <c r="AG15374" s="831" t="s">
        <v>2674</v>
      </c>
      <c r="AH15374" s="831" t="s">
        <v>557</v>
      </c>
      <c r="AI15374" s="831">
        <v>0</v>
      </c>
      <c r="AJ15374" s="835">
        <v>41455</v>
      </c>
      <c r="AK15374" s="831">
        <v>142092</v>
      </c>
    </row>
    <row r="15375" spans="2:37">
      <c r="B15375" s="834" t="str">
        <f t="shared" si="559"/>
        <v>|||</v>
      </c>
      <c r="H15375" s="835">
        <f t="shared" si="560"/>
        <v>31</v>
      </c>
      <c r="AF15375" s="831" t="s">
        <v>10958</v>
      </c>
      <c r="AG15375" s="831" t="s">
        <v>2674</v>
      </c>
      <c r="AH15375" s="831" t="s">
        <v>29</v>
      </c>
      <c r="AI15375" s="831">
        <v>0</v>
      </c>
      <c r="AJ15375" s="835">
        <v>41455</v>
      </c>
      <c r="AK15375" s="831">
        <v>1424399.06</v>
      </c>
    </row>
    <row r="15376" spans="2:37">
      <c r="B15376" s="834" t="str">
        <f t="shared" si="559"/>
        <v>|||</v>
      </c>
      <c r="H15376" s="835">
        <f t="shared" si="560"/>
        <v>31</v>
      </c>
      <c r="AF15376" s="831" t="s">
        <v>10959</v>
      </c>
      <c r="AG15376" s="831" t="s">
        <v>2674</v>
      </c>
      <c r="AH15376" s="831" t="s">
        <v>2688</v>
      </c>
      <c r="AI15376" s="831">
        <v>0</v>
      </c>
      <c r="AJ15376" s="835">
        <v>41455</v>
      </c>
      <c r="AK15376" s="831">
        <v>2204366.9500000002</v>
      </c>
    </row>
    <row r="15377" spans="2:37">
      <c r="B15377" s="834" t="str">
        <f t="shared" ref="B15377:B15440" si="561">C15377&amp;"|"&amp;D15377&amp;"|"&amp;E15377&amp;"|"&amp;F15377</f>
        <v>|||</v>
      </c>
      <c r="H15377" s="835">
        <f t="shared" ref="H15377:H15440" si="562">EOMONTH(L15377,0)</f>
        <v>31</v>
      </c>
      <c r="AF15377" s="831" t="s">
        <v>10960</v>
      </c>
      <c r="AG15377" s="831" t="s">
        <v>2674</v>
      </c>
      <c r="AH15377" s="831" t="s">
        <v>556</v>
      </c>
      <c r="AI15377" s="831">
        <v>0</v>
      </c>
      <c r="AJ15377" s="835">
        <v>41455</v>
      </c>
      <c r="AK15377" s="831">
        <v>902857</v>
      </c>
    </row>
    <row r="15378" spans="2:37">
      <c r="B15378" s="834" t="str">
        <f t="shared" si="561"/>
        <v>|||</v>
      </c>
      <c r="H15378" s="835">
        <f t="shared" si="562"/>
        <v>31</v>
      </c>
      <c r="AF15378" s="831" t="s">
        <v>10961</v>
      </c>
      <c r="AG15378" s="831" t="s">
        <v>2674</v>
      </c>
      <c r="AH15378" s="831" t="s">
        <v>555</v>
      </c>
      <c r="AI15378" s="831">
        <v>0</v>
      </c>
      <c r="AJ15378" s="835">
        <v>41455</v>
      </c>
      <c r="AK15378" s="831">
        <v>353611880</v>
      </c>
    </row>
    <row r="15379" spans="2:37">
      <c r="B15379" s="834" t="str">
        <f t="shared" si="561"/>
        <v>|||</v>
      </c>
      <c r="H15379" s="835">
        <f t="shared" si="562"/>
        <v>31</v>
      </c>
      <c r="AF15379" s="831" t="s">
        <v>10962</v>
      </c>
      <c r="AG15379" s="831" t="s">
        <v>2674</v>
      </c>
      <c r="AH15379" s="831" t="s">
        <v>554</v>
      </c>
      <c r="AI15379" s="831">
        <v>0</v>
      </c>
      <c r="AJ15379" s="835">
        <v>41455</v>
      </c>
      <c r="AK15379" s="831">
        <v>343079700</v>
      </c>
    </row>
    <row r="15380" spans="2:37">
      <c r="B15380" s="834" t="str">
        <f t="shared" si="561"/>
        <v>|||</v>
      </c>
      <c r="H15380" s="835">
        <f t="shared" si="562"/>
        <v>31</v>
      </c>
      <c r="AF15380" s="831" t="s">
        <v>10963</v>
      </c>
      <c r="AG15380" s="831" t="s">
        <v>2674</v>
      </c>
      <c r="AH15380" s="831" t="s">
        <v>553</v>
      </c>
      <c r="AI15380" s="831">
        <v>0</v>
      </c>
      <c r="AJ15380" s="835">
        <v>41455</v>
      </c>
      <c r="AK15380" s="831">
        <v>0</v>
      </c>
    </row>
    <row r="15381" spans="2:37">
      <c r="B15381" s="834" t="str">
        <f t="shared" si="561"/>
        <v>|||</v>
      </c>
      <c r="H15381" s="835">
        <f t="shared" si="562"/>
        <v>31</v>
      </c>
      <c r="AF15381" s="831" t="s">
        <v>10964</v>
      </c>
      <c r="AG15381" s="831" t="s">
        <v>2674</v>
      </c>
      <c r="AH15381" s="831" t="s">
        <v>552</v>
      </c>
      <c r="AI15381" s="831">
        <v>0</v>
      </c>
      <c r="AJ15381" s="835">
        <v>41455</v>
      </c>
      <c r="AK15381" s="831">
        <v>0</v>
      </c>
    </row>
    <row r="15382" spans="2:37">
      <c r="B15382" s="834" t="str">
        <f t="shared" si="561"/>
        <v>|||</v>
      </c>
      <c r="H15382" s="835">
        <f t="shared" si="562"/>
        <v>31</v>
      </c>
      <c r="AF15382" s="831" t="s">
        <v>10965</v>
      </c>
      <c r="AG15382" s="831" t="s">
        <v>2674</v>
      </c>
      <c r="AH15382" s="831" t="s">
        <v>551</v>
      </c>
      <c r="AI15382" s="831">
        <v>0</v>
      </c>
      <c r="AJ15382" s="835">
        <v>41455</v>
      </c>
      <c r="AK15382" s="831">
        <v>1176193.06</v>
      </c>
    </row>
    <row r="15383" spans="2:37">
      <c r="B15383" s="834" t="str">
        <f t="shared" si="561"/>
        <v>|||</v>
      </c>
      <c r="H15383" s="835">
        <f t="shared" si="562"/>
        <v>31</v>
      </c>
      <c r="AF15383" s="831" t="s">
        <v>10966</v>
      </c>
      <c r="AG15383" s="831" t="s">
        <v>2674</v>
      </c>
      <c r="AH15383" s="831" t="s">
        <v>550</v>
      </c>
      <c r="AI15383" s="831">
        <v>0</v>
      </c>
      <c r="AJ15383" s="835">
        <v>41455</v>
      </c>
      <c r="AK15383" s="831">
        <v>105651356</v>
      </c>
    </row>
    <row r="15384" spans="2:37">
      <c r="B15384" s="834" t="str">
        <f t="shared" si="561"/>
        <v>|||</v>
      </c>
      <c r="H15384" s="835">
        <f t="shared" si="562"/>
        <v>31</v>
      </c>
      <c r="AF15384" s="831" t="s">
        <v>10967</v>
      </c>
      <c r="AG15384" s="831" t="s">
        <v>2674</v>
      </c>
      <c r="AH15384" s="831" t="s">
        <v>562</v>
      </c>
      <c r="AI15384" s="831">
        <v>0</v>
      </c>
      <c r="AJ15384" s="835">
        <v>41455</v>
      </c>
      <c r="AK15384" s="831">
        <v>0.78395000000000004</v>
      </c>
    </row>
    <row r="15385" spans="2:37">
      <c r="B15385" s="834" t="str">
        <f t="shared" si="561"/>
        <v>|||</v>
      </c>
      <c r="H15385" s="835">
        <f t="shared" si="562"/>
        <v>31</v>
      </c>
      <c r="AF15385" s="831" t="s">
        <v>10968</v>
      </c>
      <c r="AG15385" s="831" t="s">
        <v>2674</v>
      </c>
      <c r="AH15385" s="831" t="s">
        <v>2698</v>
      </c>
      <c r="AI15385" s="831">
        <v>0</v>
      </c>
      <c r="AJ15385" s="835">
        <v>41455</v>
      </c>
      <c r="AK15385" s="831">
        <v>0.78405000000000002</v>
      </c>
    </row>
    <row r="15386" spans="2:37">
      <c r="B15386" s="834" t="str">
        <f t="shared" si="561"/>
        <v>|||</v>
      </c>
      <c r="H15386" s="835">
        <f t="shared" si="562"/>
        <v>31</v>
      </c>
      <c r="AF15386" s="831" t="s">
        <v>10969</v>
      </c>
      <c r="AG15386" s="831" t="s">
        <v>2674</v>
      </c>
      <c r="AH15386" s="831" t="s">
        <v>560</v>
      </c>
      <c r="AI15386" s="831">
        <v>0</v>
      </c>
      <c r="AJ15386" s="835">
        <v>41455</v>
      </c>
      <c r="AK15386" s="831">
        <v>0.78408333333333335</v>
      </c>
    </row>
    <row r="15387" spans="2:37">
      <c r="B15387" s="834" t="str">
        <f t="shared" si="561"/>
        <v>|||</v>
      </c>
      <c r="H15387" s="835">
        <f t="shared" si="562"/>
        <v>31</v>
      </c>
      <c r="AF15387" s="831" t="s">
        <v>10970</v>
      </c>
      <c r="AG15387" s="831" t="s">
        <v>2674</v>
      </c>
      <c r="AH15387" s="831" t="s">
        <v>559</v>
      </c>
      <c r="AI15387" s="831">
        <v>0</v>
      </c>
      <c r="AJ15387" s="835">
        <v>41455</v>
      </c>
      <c r="AK15387" s="831">
        <v>0.78425833333333339</v>
      </c>
    </row>
    <row r="15388" spans="2:37">
      <c r="B15388" s="834" t="str">
        <f t="shared" si="561"/>
        <v>|||</v>
      </c>
      <c r="H15388" s="835">
        <f t="shared" si="562"/>
        <v>31</v>
      </c>
      <c r="AF15388" s="831" t="s">
        <v>10971</v>
      </c>
      <c r="AG15388" s="831" t="s">
        <v>2674</v>
      </c>
      <c r="AH15388" s="831" t="s">
        <v>568</v>
      </c>
      <c r="AI15388" s="831">
        <v>0</v>
      </c>
      <c r="AJ15388" s="835">
        <v>41455</v>
      </c>
      <c r="AK15388" s="831">
        <v>416775328.76923078</v>
      </c>
    </row>
    <row r="15389" spans="2:37">
      <c r="B15389" s="834" t="str">
        <f t="shared" si="561"/>
        <v>|||</v>
      </c>
      <c r="H15389" s="835">
        <f t="shared" si="562"/>
        <v>31</v>
      </c>
      <c r="AF15389" s="831" t="s">
        <v>10972</v>
      </c>
      <c r="AG15389" s="831" t="s">
        <v>2674</v>
      </c>
      <c r="AH15389" s="831" t="s">
        <v>569</v>
      </c>
      <c r="AI15389" s="831">
        <v>0</v>
      </c>
      <c r="AJ15389" s="835">
        <v>41455</v>
      </c>
      <c r="AK15389" s="831">
        <v>507070422.30769229</v>
      </c>
    </row>
    <row r="15390" spans="2:37">
      <c r="B15390" s="834" t="str">
        <f t="shared" si="561"/>
        <v>|||</v>
      </c>
      <c r="H15390" s="835">
        <f t="shared" si="562"/>
        <v>31</v>
      </c>
      <c r="AF15390" s="831" t="s">
        <v>10973</v>
      </c>
      <c r="AG15390" s="831" t="s">
        <v>2674</v>
      </c>
      <c r="AH15390" s="831" t="s">
        <v>570</v>
      </c>
      <c r="AI15390" s="831">
        <v>0</v>
      </c>
      <c r="AJ15390" s="835">
        <v>41455</v>
      </c>
      <c r="AK15390" s="831">
        <v>99514662.461538464</v>
      </c>
    </row>
    <row r="15391" spans="2:37">
      <c r="B15391" s="834" t="str">
        <f t="shared" si="561"/>
        <v>|||</v>
      </c>
      <c r="H15391" s="835">
        <f t="shared" si="562"/>
        <v>31</v>
      </c>
      <c r="AF15391" s="831" t="s">
        <v>10974</v>
      </c>
      <c r="AG15391" s="831" t="s">
        <v>2674</v>
      </c>
      <c r="AH15391" s="831" t="s">
        <v>571</v>
      </c>
      <c r="AI15391" s="831">
        <v>0</v>
      </c>
      <c r="AJ15391" s="835">
        <v>41455</v>
      </c>
      <c r="AK15391" s="831">
        <v>220626949.15384614</v>
      </c>
    </row>
    <row r="15392" spans="2:37">
      <c r="B15392" s="834" t="str">
        <f t="shared" si="561"/>
        <v>|||</v>
      </c>
      <c r="H15392" s="835">
        <f t="shared" si="562"/>
        <v>31</v>
      </c>
      <c r="AF15392" s="831" t="s">
        <v>10975</v>
      </c>
      <c r="AG15392" s="831" t="s">
        <v>2674</v>
      </c>
      <c r="AH15392" s="831" t="s">
        <v>573</v>
      </c>
      <c r="AI15392" s="831">
        <v>0</v>
      </c>
      <c r="AJ15392" s="835">
        <v>41455</v>
      </c>
      <c r="AK15392" s="831">
        <v>557218597.28571427</v>
      </c>
    </row>
    <row r="15393" spans="2:37">
      <c r="B15393" s="834" t="str">
        <f t="shared" si="561"/>
        <v>|||</v>
      </c>
      <c r="H15393" s="835">
        <f t="shared" si="562"/>
        <v>31</v>
      </c>
      <c r="AF15393" s="831" t="s">
        <v>10976</v>
      </c>
      <c r="AG15393" s="831" t="s">
        <v>2674</v>
      </c>
      <c r="AH15393" s="831" t="s">
        <v>574</v>
      </c>
      <c r="AI15393" s="831">
        <v>0</v>
      </c>
      <c r="AJ15393" s="835">
        <v>41455</v>
      </c>
      <c r="AK15393" s="831">
        <v>460782606.85714287</v>
      </c>
    </row>
    <row r="15394" spans="2:37">
      <c r="B15394" s="834" t="str">
        <f t="shared" si="561"/>
        <v>|||</v>
      </c>
      <c r="H15394" s="835">
        <f t="shared" si="562"/>
        <v>31</v>
      </c>
      <c r="AF15394" s="831" t="s">
        <v>10977</v>
      </c>
      <c r="AG15394" s="831" t="s">
        <v>2674</v>
      </c>
      <c r="AH15394" s="831" t="s">
        <v>575</v>
      </c>
      <c r="AI15394" s="831">
        <v>0</v>
      </c>
      <c r="AJ15394" s="835">
        <v>41455</v>
      </c>
      <c r="AK15394" s="831">
        <v>102068019.28571428</v>
      </c>
    </row>
    <row r="15395" spans="2:37">
      <c r="B15395" s="834" t="str">
        <f t="shared" si="561"/>
        <v>|||</v>
      </c>
      <c r="H15395" s="835">
        <f t="shared" si="562"/>
        <v>31</v>
      </c>
      <c r="AF15395" s="831" t="s">
        <v>10978</v>
      </c>
      <c r="AG15395" s="831" t="s">
        <v>2674</v>
      </c>
      <c r="AH15395" s="831" t="s">
        <v>576</v>
      </c>
      <c r="AI15395" s="831">
        <v>0</v>
      </c>
      <c r="AJ15395" s="835">
        <v>41455</v>
      </c>
      <c r="AK15395" s="831">
        <v>256882402</v>
      </c>
    </row>
    <row r="15396" spans="2:37">
      <c r="B15396" s="834" t="str">
        <f t="shared" si="561"/>
        <v>|||</v>
      </c>
      <c r="H15396" s="835">
        <f t="shared" si="562"/>
        <v>31</v>
      </c>
      <c r="AF15396" s="831" t="s">
        <v>10979</v>
      </c>
      <c r="AG15396" s="831" t="s">
        <v>2674</v>
      </c>
      <c r="AH15396" s="831" t="s">
        <v>572</v>
      </c>
      <c r="AI15396" s="831">
        <v>0</v>
      </c>
      <c r="AJ15396" s="835">
        <v>41455</v>
      </c>
      <c r="AK15396" s="831">
        <v>22784991</v>
      </c>
    </row>
    <row r="15397" spans="2:37">
      <c r="B15397" s="834" t="str">
        <f t="shared" si="561"/>
        <v>|||</v>
      </c>
      <c r="H15397" s="835">
        <f t="shared" si="562"/>
        <v>31</v>
      </c>
      <c r="AF15397" s="831" t="s">
        <v>10980</v>
      </c>
      <c r="AG15397" s="831" t="s">
        <v>2674</v>
      </c>
      <c r="AH15397" s="831" t="s">
        <v>577</v>
      </c>
      <c r="AI15397" s="831">
        <v>0</v>
      </c>
      <c r="AJ15397" s="835">
        <v>41455</v>
      </c>
      <c r="AK15397" s="831">
        <v>112999724</v>
      </c>
    </row>
    <row r="15398" spans="2:37">
      <c r="B15398" s="834" t="str">
        <f t="shared" si="561"/>
        <v>|||</v>
      </c>
      <c r="H15398" s="835">
        <f t="shared" si="562"/>
        <v>31</v>
      </c>
      <c r="AF15398" s="831" t="s">
        <v>10981</v>
      </c>
      <c r="AG15398" s="831" t="s">
        <v>2674</v>
      </c>
      <c r="AH15398" s="831" t="s">
        <v>3042</v>
      </c>
      <c r="AI15398" s="831">
        <v>0</v>
      </c>
      <c r="AJ15398" s="835">
        <v>41455</v>
      </c>
      <c r="AK15398" s="831">
        <v>-27618860</v>
      </c>
    </row>
    <row r="15399" spans="2:37">
      <c r="B15399" s="834" t="str">
        <f t="shared" si="561"/>
        <v>|||</v>
      </c>
      <c r="H15399" s="835">
        <f t="shared" si="562"/>
        <v>31</v>
      </c>
      <c r="AF15399" s="831" t="s">
        <v>10982</v>
      </c>
      <c r="AG15399" s="831" t="s">
        <v>2674</v>
      </c>
      <c r="AH15399" s="831" t="s">
        <v>3044</v>
      </c>
      <c r="AI15399" s="831">
        <v>0</v>
      </c>
      <c r="AJ15399" s="835">
        <v>41455</v>
      </c>
      <c r="AK15399" s="831">
        <v>-4183071</v>
      </c>
    </row>
    <row r="15400" spans="2:37">
      <c r="B15400" s="834" t="str">
        <f t="shared" si="561"/>
        <v>|||</v>
      </c>
      <c r="H15400" s="835">
        <f t="shared" si="562"/>
        <v>31</v>
      </c>
      <c r="AF15400" s="831" t="s">
        <v>10983</v>
      </c>
      <c r="AG15400" s="831" t="s">
        <v>2674</v>
      </c>
      <c r="AH15400" s="831" t="s">
        <v>580</v>
      </c>
      <c r="AI15400" s="831">
        <v>0</v>
      </c>
      <c r="AJ15400" s="835">
        <v>41455</v>
      </c>
      <c r="AK15400" s="831">
        <v>-56400279</v>
      </c>
    </row>
    <row r="15401" spans="2:37">
      <c r="B15401" s="834" t="str">
        <f t="shared" si="561"/>
        <v>|||</v>
      </c>
      <c r="H15401" s="835">
        <f t="shared" si="562"/>
        <v>31</v>
      </c>
      <c r="AF15401" s="831" t="s">
        <v>10984</v>
      </c>
      <c r="AG15401" s="831" t="s">
        <v>2674</v>
      </c>
      <c r="AH15401" s="831" t="s">
        <v>581</v>
      </c>
      <c r="AI15401" s="831">
        <v>0</v>
      </c>
      <c r="AJ15401" s="835">
        <v>41455</v>
      </c>
      <c r="AK15401" s="831">
        <v>4204371</v>
      </c>
    </row>
    <row r="15402" spans="2:37">
      <c r="B15402" s="834" t="str">
        <f t="shared" si="561"/>
        <v>|||</v>
      </c>
      <c r="H15402" s="835">
        <f t="shared" si="562"/>
        <v>31</v>
      </c>
      <c r="AF15402" s="831" t="s">
        <v>10985</v>
      </c>
      <c r="AG15402" s="831" t="s">
        <v>2674</v>
      </c>
      <c r="AH15402" s="831" t="s">
        <v>105</v>
      </c>
      <c r="AI15402" s="831">
        <v>0</v>
      </c>
      <c r="AJ15402" s="835">
        <v>41455</v>
      </c>
      <c r="AK15402" s="831">
        <v>314742537</v>
      </c>
    </row>
    <row r="15403" spans="2:37">
      <c r="B15403" s="834" t="str">
        <f t="shared" si="561"/>
        <v>|||</v>
      </c>
      <c r="H15403" s="835">
        <f t="shared" si="562"/>
        <v>31</v>
      </c>
      <c r="AF15403" s="831" t="s">
        <v>10986</v>
      </c>
      <c r="AG15403" s="831" t="s">
        <v>2674</v>
      </c>
      <c r="AH15403" s="831" t="s">
        <v>3049</v>
      </c>
      <c r="AI15403" s="831">
        <v>0</v>
      </c>
      <c r="AJ15403" s="835">
        <v>41455</v>
      </c>
      <c r="AK15403" s="831">
        <v>517978918</v>
      </c>
    </row>
    <row r="15404" spans="2:37">
      <c r="B15404" s="834" t="str">
        <f t="shared" si="561"/>
        <v>|||</v>
      </c>
      <c r="H15404" s="835">
        <f t="shared" si="562"/>
        <v>31</v>
      </c>
      <c r="AF15404" s="831" t="s">
        <v>10987</v>
      </c>
      <c r="AG15404" s="831" t="s">
        <v>2674</v>
      </c>
      <c r="AH15404" s="831" t="s">
        <v>103</v>
      </c>
      <c r="AI15404" s="831">
        <v>0</v>
      </c>
      <c r="AJ15404" s="835">
        <v>41455</v>
      </c>
      <c r="AK15404" s="831">
        <v>203236381</v>
      </c>
    </row>
    <row r="15405" spans="2:37">
      <c r="B15405" s="834" t="str">
        <f t="shared" si="561"/>
        <v>|||</v>
      </c>
      <c r="H15405" s="835">
        <f t="shared" si="562"/>
        <v>31</v>
      </c>
      <c r="AF15405" s="831" t="s">
        <v>10988</v>
      </c>
      <c r="AG15405" s="831" t="s">
        <v>2674</v>
      </c>
      <c r="AH15405" s="831" t="s">
        <v>182</v>
      </c>
      <c r="AI15405" s="831">
        <v>0</v>
      </c>
      <c r="AJ15405" s="835">
        <v>41455</v>
      </c>
      <c r="AK15405" s="831">
        <v>57441170</v>
      </c>
    </row>
    <row r="15406" spans="2:37">
      <c r="B15406" s="834" t="str">
        <f t="shared" si="561"/>
        <v>|||</v>
      </c>
      <c r="H15406" s="835">
        <f t="shared" si="562"/>
        <v>31</v>
      </c>
      <c r="AF15406" s="831" t="s">
        <v>10989</v>
      </c>
      <c r="AG15406" s="831" t="s">
        <v>2674</v>
      </c>
      <c r="AH15406" s="831" t="s">
        <v>6600</v>
      </c>
      <c r="AI15406" s="831">
        <v>0</v>
      </c>
      <c r="AJ15406" s="835">
        <v>41455</v>
      </c>
      <c r="AK15406" s="831">
        <v>22784991</v>
      </c>
    </row>
    <row r="15407" spans="2:37">
      <c r="B15407" s="834" t="str">
        <f t="shared" si="561"/>
        <v>|||</v>
      </c>
      <c r="H15407" s="835">
        <f t="shared" si="562"/>
        <v>31</v>
      </c>
      <c r="AF15407" s="831" t="s">
        <v>10990</v>
      </c>
      <c r="AG15407" s="831" t="s">
        <v>2674</v>
      </c>
      <c r="AH15407" s="831" t="s">
        <v>6602</v>
      </c>
      <c r="AI15407" s="831">
        <v>0</v>
      </c>
      <c r="AJ15407" s="835">
        <v>41455</v>
      </c>
      <c r="AK15407" s="831">
        <v>13297133</v>
      </c>
    </row>
    <row r="15408" spans="2:37">
      <c r="B15408" s="834" t="str">
        <f t="shared" si="561"/>
        <v>|||</v>
      </c>
      <c r="H15408" s="835">
        <f t="shared" si="562"/>
        <v>31</v>
      </c>
      <c r="AF15408" s="831" t="s">
        <v>10991</v>
      </c>
      <c r="AG15408" s="831" t="s">
        <v>2674</v>
      </c>
      <c r="AH15408" s="831" t="s">
        <v>650</v>
      </c>
      <c r="AI15408" s="831">
        <v>0</v>
      </c>
      <c r="AJ15408" s="835">
        <v>41455</v>
      </c>
      <c r="AK15408" s="831">
        <v>173391733.15384614</v>
      </c>
    </row>
    <row r="15409" spans="2:37">
      <c r="B15409" s="834" t="str">
        <f t="shared" si="561"/>
        <v>|||</v>
      </c>
      <c r="H15409" s="835">
        <f t="shared" si="562"/>
        <v>31</v>
      </c>
      <c r="AF15409" s="831" t="s">
        <v>10992</v>
      </c>
      <c r="AG15409" s="831" t="s">
        <v>2674</v>
      </c>
      <c r="AH15409" s="831" t="s">
        <v>655</v>
      </c>
      <c r="AI15409" s="831">
        <v>0</v>
      </c>
      <c r="AJ15409" s="835">
        <v>41455</v>
      </c>
      <c r="AK15409" s="831">
        <v>1055339.06</v>
      </c>
    </row>
    <row r="15410" spans="2:37">
      <c r="B15410" s="834" t="str">
        <f t="shared" si="561"/>
        <v>|||</v>
      </c>
      <c r="H15410" s="835">
        <f t="shared" si="562"/>
        <v>31</v>
      </c>
      <c r="AF15410" s="831" t="s">
        <v>10993</v>
      </c>
      <c r="AG15410" s="831" t="s">
        <v>2674</v>
      </c>
      <c r="AH15410" s="831" t="s">
        <v>546</v>
      </c>
      <c r="AI15410" s="831">
        <v>0</v>
      </c>
      <c r="AJ15410" s="835">
        <v>41486</v>
      </c>
      <c r="AK15410" s="831">
        <v>530405930</v>
      </c>
    </row>
    <row r="15411" spans="2:37">
      <c r="B15411" s="834" t="str">
        <f t="shared" si="561"/>
        <v>|||</v>
      </c>
      <c r="H15411" s="835">
        <f t="shared" si="562"/>
        <v>31</v>
      </c>
      <c r="AF15411" s="831" t="s">
        <v>10994</v>
      </c>
      <c r="AG15411" s="831" t="s">
        <v>2674</v>
      </c>
      <c r="AH15411" s="831" t="s">
        <v>370</v>
      </c>
      <c r="AI15411" s="831">
        <v>0</v>
      </c>
      <c r="AJ15411" s="835">
        <v>41486</v>
      </c>
      <c r="AK15411" s="831">
        <v>658328328</v>
      </c>
    </row>
    <row r="15412" spans="2:37">
      <c r="B15412" s="834" t="str">
        <f t="shared" si="561"/>
        <v>|||</v>
      </c>
      <c r="H15412" s="835">
        <f t="shared" si="562"/>
        <v>31</v>
      </c>
      <c r="AF15412" s="831" t="s">
        <v>10995</v>
      </c>
      <c r="AG15412" s="831" t="s">
        <v>2674</v>
      </c>
      <c r="AH15412" s="831" t="s">
        <v>126</v>
      </c>
      <c r="AI15412" s="831">
        <v>0</v>
      </c>
      <c r="AJ15412" s="835">
        <v>41486</v>
      </c>
      <c r="AK15412" s="831">
        <v>110887562</v>
      </c>
    </row>
    <row r="15413" spans="2:37">
      <c r="B15413" s="834" t="str">
        <f t="shared" si="561"/>
        <v>|||</v>
      </c>
      <c r="H15413" s="835">
        <f t="shared" si="562"/>
        <v>31</v>
      </c>
      <c r="AF15413" s="831" t="s">
        <v>10996</v>
      </c>
      <c r="AG15413" s="831" t="s">
        <v>2674</v>
      </c>
      <c r="AH15413" s="831" t="s">
        <v>268</v>
      </c>
      <c r="AI15413" s="831">
        <v>0</v>
      </c>
      <c r="AJ15413" s="835">
        <v>41486</v>
      </c>
      <c r="AK15413" s="831">
        <v>16124340</v>
      </c>
    </row>
    <row r="15414" spans="2:37">
      <c r="B15414" s="834" t="str">
        <f t="shared" si="561"/>
        <v>|||</v>
      </c>
      <c r="H15414" s="835">
        <f t="shared" si="562"/>
        <v>31</v>
      </c>
      <c r="AF15414" s="831" t="s">
        <v>10997</v>
      </c>
      <c r="AG15414" s="831" t="s">
        <v>2674</v>
      </c>
      <c r="AH15414" s="831" t="s">
        <v>547</v>
      </c>
      <c r="AI15414" s="831">
        <v>0</v>
      </c>
      <c r="AJ15414" s="835">
        <v>41486</v>
      </c>
      <c r="AK15414" s="831">
        <v>511487760</v>
      </c>
    </row>
    <row r="15415" spans="2:37">
      <c r="B15415" s="834" t="str">
        <f t="shared" si="561"/>
        <v>|||</v>
      </c>
      <c r="H15415" s="835">
        <f t="shared" si="562"/>
        <v>31</v>
      </c>
      <c r="AF15415" s="831" t="s">
        <v>10998</v>
      </c>
      <c r="AG15415" s="831" t="s">
        <v>2674</v>
      </c>
      <c r="AH15415" s="831" t="s">
        <v>548</v>
      </c>
      <c r="AI15415" s="831">
        <v>0</v>
      </c>
      <c r="AJ15415" s="835">
        <v>41486</v>
      </c>
      <c r="AK15415" s="831">
        <v>96883184</v>
      </c>
    </row>
    <row r="15416" spans="2:37">
      <c r="B15416" s="834" t="str">
        <f t="shared" si="561"/>
        <v>|||</v>
      </c>
      <c r="H15416" s="835">
        <f t="shared" si="562"/>
        <v>31</v>
      </c>
      <c r="AF15416" s="831" t="s">
        <v>10999</v>
      </c>
      <c r="AG15416" s="831" t="s">
        <v>2674</v>
      </c>
      <c r="AH15416" s="831" t="s">
        <v>549</v>
      </c>
      <c r="AI15416" s="831">
        <v>0</v>
      </c>
      <c r="AJ15416" s="835">
        <v>41486</v>
      </c>
      <c r="AK15416" s="831">
        <v>350104350</v>
      </c>
    </row>
    <row r="15417" spans="2:37">
      <c r="B15417" s="834" t="str">
        <f t="shared" si="561"/>
        <v>|||</v>
      </c>
      <c r="H15417" s="835">
        <f t="shared" si="562"/>
        <v>31</v>
      </c>
      <c r="AF15417" s="831" t="s">
        <v>11000</v>
      </c>
      <c r="AG15417" s="831" t="s">
        <v>2674</v>
      </c>
      <c r="AH15417" s="831" t="s">
        <v>192</v>
      </c>
      <c r="AI15417" s="831">
        <v>0</v>
      </c>
      <c r="AJ15417" s="835">
        <v>41486</v>
      </c>
      <c r="AK15417" s="831">
        <v>-11946675</v>
      </c>
    </row>
    <row r="15418" spans="2:37">
      <c r="B15418" s="834" t="str">
        <f t="shared" si="561"/>
        <v>|||</v>
      </c>
      <c r="H15418" s="835">
        <f t="shared" si="562"/>
        <v>31</v>
      </c>
      <c r="AF15418" s="831" t="s">
        <v>11001</v>
      </c>
      <c r="AG15418" s="831" t="s">
        <v>2674</v>
      </c>
      <c r="AH15418" s="831" t="s">
        <v>558</v>
      </c>
      <c r="AI15418" s="831">
        <v>0</v>
      </c>
      <c r="AJ15418" s="835">
        <v>41486</v>
      </c>
      <c r="AK15418" s="831">
        <v>547440766</v>
      </c>
    </row>
    <row r="15419" spans="2:37">
      <c r="B15419" s="834" t="str">
        <f t="shared" si="561"/>
        <v>|||</v>
      </c>
      <c r="H15419" s="835">
        <f t="shared" si="562"/>
        <v>31</v>
      </c>
      <c r="AF15419" s="831" t="s">
        <v>11002</v>
      </c>
      <c r="AG15419" s="831" t="s">
        <v>2674</v>
      </c>
      <c r="AH15419" s="831" t="s">
        <v>65</v>
      </c>
      <c r="AI15419" s="831">
        <v>0</v>
      </c>
      <c r="AJ15419" s="835">
        <v>41486</v>
      </c>
      <c r="AK15419" s="831">
        <v>71979253</v>
      </c>
    </row>
    <row r="15420" spans="2:37">
      <c r="B15420" s="834" t="str">
        <f t="shared" si="561"/>
        <v>|||</v>
      </c>
      <c r="H15420" s="835">
        <f t="shared" si="562"/>
        <v>31</v>
      </c>
      <c r="AF15420" s="831" t="s">
        <v>11003</v>
      </c>
      <c r="AG15420" s="831" t="s">
        <v>2674</v>
      </c>
      <c r="AH15420" s="831" t="s">
        <v>89</v>
      </c>
      <c r="AI15420" s="831">
        <v>0</v>
      </c>
      <c r="AJ15420" s="835">
        <v>41486</v>
      </c>
      <c r="AK15420" s="831">
        <v>138057</v>
      </c>
    </row>
    <row r="15421" spans="2:37">
      <c r="B15421" s="834" t="str">
        <f t="shared" si="561"/>
        <v>|||</v>
      </c>
      <c r="H15421" s="835">
        <f t="shared" si="562"/>
        <v>31</v>
      </c>
      <c r="AF15421" s="831" t="s">
        <v>11004</v>
      </c>
      <c r="AG15421" s="831" t="s">
        <v>2674</v>
      </c>
      <c r="AH15421" s="831" t="s">
        <v>557</v>
      </c>
      <c r="AI15421" s="831">
        <v>0</v>
      </c>
      <c r="AJ15421" s="835">
        <v>41486</v>
      </c>
      <c r="AK15421" s="831">
        <v>145518</v>
      </c>
    </row>
    <row r="15422" spans="2:37">
      <c r="B15422" s="834" t="str">
        <f t="shared" si="561"/>
        <v>|||</v>
      </c>
      <c r="H15422" s="835">
        <f t="shared" si="562"/>
        <v>31</v>
      </c>
      <c r="AF15422" s="831" t="s">
        <v>11005</v>
      </c>
      <c r="AG15422" s="831" t="s">
        <v>2674</v>
      </c>
      <c r="AH15422" s="831" t="s">
        <v>29</v>
      </c>
      <c r="AI15422" s="831">
        <v>0</v>
      </c>
      <c r="AJ15422" s="835">
        <v>41486</v>
      </c>
      <c r="AK15422" s="831">
        <v>1452161.1670000001</v>
      </c>
    </row>
    <row r="15423" spans="2:37">
      <c r="B15423" s="834" t="str">
        <f t="shared" si="561"/>
        <v>|||</v>
      </c>
      <c r="H15423" s="835">
        <f t="shared" si="562"/>
        <v>31</v>
      </c>
      <c r="AF15423" s="831" t="s">
        <v>11006</v>
      </c>
      <c r="AG15423" s="831" t="s">
        <v>2674</v>
      </c>
      <c r="AH15423" s="831" t="s">
        <v>2688</v>
      </c>
      <c r="AI15423" s="831">
        <v>0</v>
      </c>
      <c r="AJ15423" s="835">
        <v>41486</v>
      </c>
      <c r="AK15423" s="831">
        <v>1987224.58</v>
      </c>
    </row>
    <row r="15424" spans="2:37">
      <c r="B15424" s="834" t="str">
        <f t="shared" si="561"/>
        <v>|||</v>
      </c>
      <c r="H15424" s="835">
        <f t="shared" si="562"/>
        <v>31</v>
      </c>
      <c r="AF15424" s="831" t="s">
        <v>11007</v>
      </c>
      <c r="AG15424" s="831" t="s">
        <v>2674</v>
      </c>
      <c r="AH15424" s="831" t="s">
        <v>556</v>
      </c>
      <c r="AI15424" s="831">
        <v>0</v>
      </c>
      <c r="AJ15424" s="835">
        <v>41486</v>
      </c>
      <c r="AK15424" s="831">
        <v>2547589</v>
      </c>
    </row>
    <row r="15425" spans="2:37">
      <c r="B15425" s="834" t="str">
        <f t="shared" si="561"/>
        <v>|||</v>
      </c>
      <c r="H15425" s="835">
        <f t="shared" si="562"/>
        <v>31</v>
      </c>
      <c r="AF15425" s="831" t="s">
        <v>11008</v>
      </c>
      <c r="AG15425" s="831" t="s">
        <v>2674</v>
      </c>
      <c r="AH15425" s="831" t="s">
        <v>555</v>
      </c>
      <c r="AI15425" s="831">
        <v>0</v>
      </c>
      <c r="AJ15425" s="835">
        <v>41486</v>
      </c>
      <c r="AK15425" s="831">
        <v>359140020</v>
      </c>
    </row>
    <row r="15426" spans="2:37">
      <c r="B15426" s="834" t="str">
        <f t="shared" si="561"/>
        <v>|||</v>
      </c>
      <c r="H15426" s="835">
        <f t="shared" si="562"/>
        <v>31</v>
      </c>
      <c r="AF15426" s="831" t="s">
        <v>11009</v>
      </c>
      <c r="AG15426" s="831" t="s">
        <v>2674</v>
      </c>
      <c r="AH15426" s="831" t="s">
        <v>554</v>
      </c>
      <c r="AI15426" s="831">
        <v>0</v>
      </c>
      <c r="AJ15426" s="835">
        <v>41486</v>
      </c>
      <c r="AK15426" s="831">
        <v>364984870</v>
      </c>
    </row>
    <row r="15427" spans="2:37">
      <c r="B15427" s="834" t="str">
        <f t="shared" si="561"/>
        <v>|||</v>
      </c>
      <c r="H15427" s="835">
        <f t="shared" si="562"/>
        <v>31</v>
      </c>
      <c r="AF15427" s="831" t="s">
        <v>11010</v>
      </c>
      <c r="AG15427" s="831" t="s">
        <v>2674</v>
      </c>
      <c r="AH15427" s="831" t="s">
        <v>553</v>
      </c>
      <c r="AI15427" s="831">
        <v>0</v>
      </c>
      <c r="AJ15427" s="835">
        <v>41486</v>
      </c>
      <c r="AK15427" s="831">
        <v>0</v>
      </c>
    </row>
    <row r="15428" spans="2:37">
      <c r="B15428" s="834" t="str">
        <f t="shared" si="561"/>
        <v>|||</v>
      </c>
      <c r="H15428" s="835">
        <f t="shared" si="562"/>
        <v>31</v>
      </c>
      <c r="AF15428" s="831" t="s">
        <v>11011</v>
      </c>
      <c r="AG15428" s="831" t="s">
        <v>2674</v>
      </c>
      <c r="AH15428" s="831" t="s">
        <v>552</v>
      </c>
      <c r="AI15428" s="831">
        <v>0</v>
      </c>
      <c r="AJ15428" s="835">
        <v>41486</v>
      </c>
      <c r="AK15428" s="831">
        <v>0</v>
      </c>
    </row>
    <row r="15429" spans="2:37">
      <c r="B15429" s="834" t="str">
        <f t="shared" si="561"/>
        <v>|||</v>
      </c>
      <c r="H15429" s="835">
        <f t="shared" si="562"/>
        <v>31</v>
      </c>
      <c r="AF15429" s="831" t="s">
        <v>11012</v>
      </c>
      <c r="AG15429" s="831" t="s">
        <v>2674</v>
      </c>
      <c r="AH15429" s="831" t="s">
        <v>551</v>
      </c>
      <c r="AI15429" s="831">
        <v>0</v>
      </c>
      <c r="AJ15429" s="835">
        <v>41486</v>
      </c>
      <c r="AK15429" s="831">
        <v>1334074.5780000002</v>
      </c>
    </row>
    <row r="15430" spans="2:37">
      <c r="B15430" s="834" t="str">
        <f t="shared" si="561"/>
        <v>|||</v>
      </c>
      <c r="H15430" s="835">
        <f t="shared" si="562"/>
        <v>31</v>
      </c>
      <c r="AF15430" s="831" t="s">
        <v>11013</v>
      </c>
      <c r="AG15430" s="831" t="s">
        <v>2674</v>
      </c>
      <c r="AH15430" s="831" t="s">
        <v>550</v>
      </c>
      <c r="AI15430" s="831">
        <v>0</v>
      </c>
      <c r="AJ15430" s="835">
        <v>41486</v>
      </c>
      <c r="AK15430" s="831">
        <v>108060358</v>
      </c>
    </row>
    <row r="15431" spans="2:37">
      <c r="B15431" s="834" t="str">
        <f t="shared" si="561"/>
        <v>|||</v>
      </c>
      <c r="H15431" s="835">
        <f t="shared" si="562"/>
        <v>31</v>
      </c>
      <c r="AF15431" s="831" t="s">
        <v>11014</v>
      </c>
      <c r="AG15431" s="831" t="s">
        <v>2674</v>
      </c>
      <c r="AH15431" s="831" t="s">
        <v>562</v>
      </c>
      <c r="AI15431" s="831">
        <v>0</v>
      </c>
      <c r="AJ15431" s="835">
        <v>41486</v>
      </c>
      <c r="AK15431" s="831">
        <v>0.78374999999999995</v>
      </c>
    </row>
    <row r="15432" spans="2:37">
      <c r="B15432" s="834" t="str">
        <f t="shared" si="561"/>
        <v>|||</v>
      </c>
      <c r="H15432" s="835">
        <f t="shared" si="562"/>
        <v>31</v>
      </c>
      <c r="AF15432" s="831" t="s">
        <v>11015</v>
      </c>
      <c r="AG15432" s="831" t="s">
        <v>2674</v>
      </c>
      <c r="AH15432" s="831" t="s">
        <v>2698</v>
      </c>
      <c r="AI15432" s="831">
        <v>0</v>
      </c>
      <c r="AJ15432" s="835">
        <v>41486</v>
      </c>
      <c r="AK15432" s="831">
        <v>0.78395000000000004</v>
      </c>
    </row>
    <row r="15433" spans="2:37">
      <c r="B15433" s="834" t="str">
        <f t="shared" si="561"/>
        <v>|||</v>
      </c>
      <c r="H15433" s="835">
        <f t="shared" si="562"/>
        <v>31</v>
      </c>
      <c r="AF15433" s="831" t="s">
        <v>11016</v>
      </c>
      <c r="AG15433" s="831" t="s">
        <v>2674</v>
      </c>
      <c r="AH15433" s="831" t="s">
        <v>560</v>
      </c>
      <c r="AI15433" s="831">
        <v>0</v>
      </c>
      <c r="AJ15433" s="835">
        <v>41486</v>
      </c>
      <c r="AK15433" s="831">
        <v>0.78403571428571439</v>
      </c>
    </row>
    <row r="15434" spans="2:37">
      <c r="B15434" s="834" t="str">
        <f t="shared" si="561"/>
        <v>|||</v>
      </c>
      <c r="H15434" s="835">
        <f t="shared" si="562"/>
        <v>31</v>
      </c>
      <c r="AF15434" s="831" t="s">
        <v>11017</v>
      </c>
      <c r="AG15434" s="831" t="s">
        <v>2674</v>
      </c>
      <c r="AH15434" s="831" t="s">
        <v>559</v>
      </c>
      <c r="AI15434" s="831">
        <v>0</v>
      </c>
      <c r="AJ15434" s="835">
        <v>41486</v>
      </c>
      <c r="AK15434" s="831">
        <v>0.7841583333333334</v>
      </c>
    </row>
    <row r="15435" spans="2:37">
      <c r="B15435" s="834" t="str">
        <f t="shared" si="561"/>
        <v>|||</v>
      </c>
      <c r="H15435" s="835">
        <f t="shared" si="562"/>
        <v>31</v>
      </c>
      <c r="AF15435" s="831" t="s">
        <v>11018</v>
      </c>
      <c r="AG15435" s="831" t="s">
        <v>2674</v>
      </c>
      <c r="AH15435" s="831" t="s">
        <v>568</v>
      </c>
      <c r="AI15435" s="831">
        <v>0</v>
      </c>
      <c r="AJ15435" s="835">
        <v>41486</v>
      </c>
      <c r="AK15435" s="831">
        <v>431219750.30769229</v>
      </c>
    </row>
    <row r="15436" spans="2:37">
      <c r="B15436" s="834" t="str">
        <f t="shared" si="561"/>
        <v>|||</v>
      </c>
      <c r="H15436" s="835">
        <f t="shared" si="562"/>
        <v>31</v>
      </c>
      <c r="AF15436" s="831" t="s">
        <v>11019</v>
      </c>
      <c r="AG15436" s="831" t="s">
        <v>2674</v>
      </c>
      <c r="AH15436" s="831" t="s">
        <v>569</v>
      </c>
      <c r="AI15436" s="831">
        <v>0</v>
      </c>
      <c r="AJ15436" s="835">
        <v>41486</v>
      </c>
      <c r="AK15436" s="831">
        <v>525226803</v>
      </c>
    </row>
    <row r="15437" spans="2:37">
      <c r="B15437" s="834" t="str">
        <f t="shared" si="561"/>
        <v>|||</v>
      </c>
      <c r="H15437" s="835">
        <f t="shared" si="562"/>
        <v>31</v>
      </c>
      <c r="AF15437" s="831" t="s">
        <v>11020</v>
      </c>
      <c r="AG15437" s="831" t="s">
        <v>2674</v>
      </c>
      <c r="AH15437" s="831" t="s">
        <v>570</v>
      </c>
      <c r="AI15437" s="831">
        <v>0</v>
      </c>
      <c r="AJ15437" s="835">
        <v>41486</v>
      </c>
      <c r="AK15437" s="831">
        <v>100992550.61538461</v>
      </c>
    </row>
    <row r="15438" spans="2:37">
      <c r="B15438" s="834" t="str">
        <f t="shared" si="561"/>
        <v>|||</v>
      </c>
      <c r="H15438" s="835">
        <f t="shared" si="562"/>
        <v>31</v>
      </c>
      <c r="AF15438" s="831" t="s">
        <v>11021</v>
      </c>
      <c r="AG15438" s="831" t="s">
        <v>2674</v>
      </c>
      <c r="AH15438" s="831" t="s">
        <v>571</v>
      </c>
      <c r="AI15438" s="831">
        <v>0</v>
      </c>
      <c r="AJ15438" s="835">
        <v>41486</v>
      </c>
      <c r="AK15438" s="831">
        <v>233627225.76923078</v>
      </c>
    </row>
    <row r="15439" spans="2:37">
      <c r="B15439" s="834" t="str">
        <f t="shared" si="561"/>
        <v>|||</v>
      </c>
      <c r="H15439" s="835">
        <f t="shared" si="562"/>
        <v>31</v>
      </c>
      <c r="AF15439" s="831" t="s">
        <v>11022</v>
      </c>
      <c r="AG15439" s="831" t="s">
        <v>2674</v>
      </c>
      <c r="AH15439" s="831" t="s">
        <v>573</v>
      </c>
      <c r="AI15439" s="831">
        <v>0</v>
      </c>
      <c r="AJ15439" s="835">
        <v>41486</v>
      </c>
      <c r="AK15439" s="831">
        <v>569857313.625</v>
      </c>
    </row>
    <row r="15440" spans="2:37">
      <c r="B15440" s="834" t="str">
        <f t="shared" si="561"/>
        <v>|||</v>
      </c>
      <c r="H15440" s="835">
        <f t="shared" si="562"/>
        <v>31</v>
      </c>
      <c r="AF15440" s="831" t="s">
        <v>11023</v>
      </c>
      <c r="AG15440" s="831" t="s">
        <v>2674</v>
      </c>
      <c r="AH15440" s="831" t="s">
        <v>574</v>
      </c>
      <c r="AI15440" s="831">
        <v>0</v>
      </c>
      <c r="AJ15440" s="835">
        <v>41486</v>
      </c>
      <c r="AK15440" s="831">
        <v>469485522.25</v>
      </c>
    </row>
    <row r="15441" spans="2:37">
      <c r="B15441" s="834" t="str">
        <f t="shared" ref="B15441:B15504" si="563">C15441&amp;"|"&amp;D15441&amp;"|"&amp;E15441&amp;"|"&amp;F15441</f>
        <v>|||</v>
      </c>
      <c r="H15441" s="835">
        <f t="shared" ref="H15441:H15504" si="564">EOMONTH(L15441,0)</f>
        <v>31</v>
      </c>
      <c r="AF15441" s="831" t="s">
        <v>11024</v>
      </c>
      <c r="AG15441" s="831" t="s">
        <v>2674</v>
      </c>
      <c r="AH15441" s="831" t="s">
        <v>575</v>
      </c>
      <c r="AI15441" s="831">
        <v>0</v>
      </c>
      <c r="AJ15441" s="835">
        <v>41486</v>
      </c>
      <c r="AK15441" s="831">
        <v>103170462.125</v>
      </c>
    </row>
    <row r="15442" spans="2:37">
      <c r="B15442" s="834" t="str">
        <f t="shared" si="563"/>
        <v>|||</v>
      </c>
      <c r="H15442" s="835">
        <f t="shared" si="564"/>
        <v>31</v>
      </c>
      <c r="AF15442" s="831" t="s">
        <v>11025</v>
      </c>
      <c r="AG15442" s="831" t="s">
        <v>2674</v>
      </c>
      <c r="AH15442" s="831" t="s">
        <v>576</v>
      </c>
      <c r="AI15442" s="831">
        <v>0</v>
      </c>
      <c r="AJ15442" s="835">
        <v>41486</v>
      </c>
      <c r="AK15442" s="831">
        <v>265012255.125</v>
      </c>
    </row>
    <row r="15443" spans="2:37">
      <c r="B15443" s="834" t="str">
        <f t="shared" si="563"/>
        <v>|||</v>
      </c>
      <c r="H15443" s="835">
        <f t="shared" si="564"/>
        <v>31</v>
      </c>
      <c r="AF15443" s="831" t="s">
        <v>11026</v>
      </c>
      <c r="AG15443" s="831" t="s">
        <v>2674</v>
      </c>
      <c r="AH15443" s="831" t="s">
        <v>572</v>
      </c>
      <c r="AI15443" s="831">
        <v>0</v>
      </c>
      <c r="AJ15443" s="835">
        <v>41486</v>
      </c>
      <c r="AK15443" s="831">
        <v>23860386</v>
      </c>
    </row>
    <row r="15444" spans="2:37">
      <c r="B15444" s="834" t="str">
        <f t="shared" si="563"/>
        <v>|||</v>
      </c>
      <c r="H15444" s="835">
        <f t="shared" si="564"/>
        <v>31</v>
      </c>
      <c r="AF15444" s="831" t="s">
        <v>11027</v>
      </c>
      <c r="AG15444" s="831" t="s">
        <v>2674</v>
      </c>
      <c r="AH15444" s="831" t="s">
        <v>577</v>
      </c>
      <c r="AI15444" s="831">
        <v>0</v>
      </c>
      <c r="AJ15444" s="835">
        <v>41486</v>
      </c>
      <c r="AK15444" s="831">
        <v>116281669</v>
      </c>
    </row>
    <row r="15445" spans="2:37">
      <c r="B15445" s="834" t="str">
        <f t="shared" si="563"/>
        <v>|||</v>
      </c>
      <c r="H15445" s="835">
        <f t="shared" si="564"/>
        <v>31</v>
      </c>
      <c r="AF15445" s="831" t="s">
        <v>11028</v>
      </c>
      <c r="AG15445" s="831" t="s">
        <v>2674</v>
      </c>
      <c r="AH15445" s="831" t="s">
        <v>3042</v>
      </c>
      <c r="AI15445" s="831">
        <v>0</v>
      </c>
      <c r="AJ15445" s="835">
        <v>41486</v>
      </c>
      <c r="AK15445" s="831">
        <v>-28313674</v>
      </c>
    </row>
    <row r="15446" spans="2:37">
      <c r="B15446" s="834" t="str">
        <f t="shared" si="563"/>
        <v>|||</v>
      </c>
      <c r="H15446" s="835">
        <f t="shared" si="564"/>
        <v>31</v>
      </c>
      <c r="AF15446" s="831" t="s">
        <v>11029</v>
      </c>
      <c r="AG15446" s="831" t="s">
        <v>2674</v>
      </c>
      <c r="AH15446" s="831" t="s">
        <v>3044</v>
      </c>
      <c r="AI15446" s="831">
        <v>0</v>
      </c>
      <c r="AJ15446" s="835">
        <v>41486</v>
      </c>
      <c r="AK15446" s="831">
        <v>-4195755</v>
      </c>
    </row>
    <row r="15447" spans="2:37">
      <c r="B15447" s="834" t="str">
        <f t="shared" si="563"/>
        <v>|||</v>
      </c>
      <c r="H15447" s="835">
        <f t="shared" si="564"/>
        <v>31</v>
      </c>
      <c r="AF15447" s="831" t="s">
        <v>11030</v>
      </c>
      <c r="AG15447" s="831" t="s">
        <v>2674</v>
      </c>
      <c r="AH15447" s="831" t="s">
        <v>580</v>
      </c>
      <c r="AI15447" s="831">
        <v>0</v>
      </c>
      <c r="AJ15447" s="835">
        <v>41486</v>
      </c>
      <c r="AK15447" s="831">
        <v>-57513801</v>
      </c>
    </row>
    <row r="15448" spans="2:37">
      <c r="B15448" s="834" t="str">
        <f t="shared" si="563"/>
        <v>|||</v>
      </c>
      <c r="H15448" s="835">
        <f t="shared" si="564"/>
        <v>31</v>
      </c>
      <c r="AF15448" s="831" t="s">
        <v>11031</v>
      </c>
      <c r="AG15448" s="831" t="s">
        <v>2674</v>
      </c>
      <c r="AH15448" s="831" t="s">
        <v>581</v>
      </c>
      <c r="AI15448" s="831">
        <v>0</v>
      </c>
      <c r="AJ15448" s="835">
        <v>41486</v>
      </c>
      <c r="AK15448" s="831">
        <v>4189789</v>
      </c>
    </row>
    <row r="15449" spans="2:37">
      <c r="B15449" s="834" t="str">
        <f t="shared" si="563"/>
        <v>|||</v>
      </c>
      <c r="H15449" s="835">
        <f t="shared" si="564"/>
        <v>31</v>
      </c>
      <c r="AF15449" s="831" t="s">
        <v>11032</v>
      </c>
      <c r="AG15449" s="831" t="s">
        <v>2674</v>
      </c>
      <c r="AH15449" s="831" t="s">
        <v>105</v>
      </c>
      <c r="AI15449" s="831">
        <v>0</v>
      </c>
      <c r="AJ15449" s="835">
        <v>41486</v>
      </c>
      <c r="AK15449" s="831">
        <v>321921227</v>
      </c>
    </row>
    <row r="15450" spans="2:37">
      <c r="B15450" s="834" t="str">
        <f t="shared" si="563"/>
        <v>|||</v>
      </c>
      <c r="H15450" s="835">
        <f t="shared" si="564"/>
        <v>31</v>
      </c>
      <c r="AF15450" s="831" t="s">
        <v>11033</v>
      </c>
      <c r="AG15450" s="831" t="s">
        <v>2674</v>
      </c>
      <c r="AH15450" s="831" t="s">
        <v>3049</v>
      </c>
      <c r="AI15450" s="831">
        <v>0</v>
      </c>
      <c r="AJ15450" s="835">
        <v>41486</v>
      </c>
      <c r="AK15450" s="831">
        <v>533353115</v>
      </c>
    </row>
    <row r="15451" spans="2:37">
      <c r="B15451" s="834" t="str">
        <f t="shared" si="563"/>
        <v>|||</v>
      </c>
      <c r="H15451" s="835">
        <f t="shared" si="564"/>
        <v>31</v>
      </c>
      <c r="AF15451" s="831" t="s">
        <v>11034</v>
      </c>
      <c r="AG15451" s="831" t="s">
        <v>2674</v>
      </c>
      <c r="AH15451" s="831" t="s">
        <v>103</v>
      </c>
      <c r="AI15451" s="831">
        <v>0</v>
      </c>
      <c r="AJ15451" s="835">
        <v>41486</v>
      </c>
      <c r="AK15451" s="831">
        <v>211431888</v>
      </c>
    </row>
    <row r="15452" spans="2:37">
      <c r="B15452" s="834" t="str">
        <f t="shared" si="563"/>
        <v>|||</v>
      </c>
      <c r="H15452" s="835">
        <f t="shared" si="564"/>
        <v>31</v>
      </c>
      <c r="AF15452" s="831" t="s">
        <v>11035</v>
      </c>
      <c r="AG15452" s="831" t="s">
        <v>2674</v>
      </c>
      <c r="AH15452" s="831" t="s">
        <v>182</v>
      </c>
      <c r="AI15452" s="831">
        <v>0</v>
      </c>
      <c r="AJ15452" s="835">
        <v>41486</v>
      </c>
      <c r="AK15452" s="831">
        <v>58107797.142857142</v>
      </c>
    </row>
    <row r="15453" spans="2:37">
      <c r="B15453" s="834" t="str">
        <f t="shared" si="563"/>
        <v>|||</v>
      </c>
      <c r="H15453" s="835">
        <f t="shared" si="564"/>
        <v>31</v>
      </c>
      <c r="AF15453" s="831" t="s">
        <v>11036</v>
      </c>
      <c r="AG15453" s="831" t="s">
        <v>2674</v>
      </c>
      <c r="AH15453" s="831" t="s">
        <v>6600</v>
      </c>
      <c r="AI15453" s="831">
        <v>0</v>
      </c>
      <c r="AJ15453" s="835">
        <v>41486</v>
      </c>
      <c r="AK15453" s="831">
        <v>23860386</v>
      </c>
    </row>
    <row r="15454" spans="2:37">
      <c r="B15454" s="834" t="str">
        <f t="shared" si="563"/>
        <v>|||</v>
      </c>
      <c r="H15454" s="835">
        <f t="shared" si="564"/>
        <v>31</v>
      </c>
      <c r="AF15454" s="831" t="s">
        <v>11037</v>
      </c>
      <c r="AG15454" s="831" t="s">
        <v>2674</v>
      </c>
      <c r="AH15454" s="831" t="s">
        <v>6602</v>
      </c>
      <c r="AI15454" s="831">
        <v>0</v>
      </c>
      <c r="AJ15454" s="835">
        <v>41486</v>
      </c>
      <c r="AK15454" s="831">
        <v>16124340</v>
      </c>
    </row>
    <row r="15455" spans="2:37">
      <c r="B15455" s="834" t="str">
        <f t="shared" si="563"/>
        <v>|||</v>
      </c>
      <c r="H15455" s="835">
        <f t="shared" si="564"/>
        <v>31</v>
      </c>
      <c r="AF15455" s="831" t="s">
        <v>11038</v>
      </c>
      <c r="AG15455" s="831" t="s">
        <v>2674</v>
      </c>
      <c r="AH15455" s="831" t="s">
        <v>650</v>
      </c>
      <c r="AI15455" s="831">
        <v>0</v>
      </c>
      <c r="AJ15455" s="835">
        <v>41486</v>
      </c>
      <c r="AK15455" s="831">
        <v>176984761.69230768</v>
      </c>
    </row>
    <row r="15456" spans="2:37">
      <c r="B15456" s="834" t="str">
        <f t="shared" si="563"/>
        <v>|||</v>
      </c>
      <c r="H15456" s="835">
        <f t="shared" si="564"/>
        <v>31</v>
      </c>
      <c r="AF15456" s="831" t="s">
        <v>11039</v>
      </c>
      <c r="AG15456" s="831" t="s">
        <v>2674</v>
      </c>
      <c r="AH15456" s="831" t="s">
        <v>655</v>
      </c>
      <c r="AI15456" s="831">
        <v>0</v>
      </c>
      <c r="AJ15456" s="835">
        <v>41486</v>
      </c>
      <c r="AK15456" s="831">
        <v>1081919.6189999999</v>
      </c>
    </row>
    <row r="15457" spans="2:37">
      <c r="B15457" s="834" t="str">
        <f t="shared" si="563"/>
        <v>|||</v>
      </c>
      <c r="H15457" s="835">
        <f t="shared" si="564"/>
        <v>31</v>
      </c>
      <c r="AF15457" s="831" t="s">
        <v>11040</v>
      </c>
      <c r="AG15457" s="831" t="s">
        <v>2674</v>
      </c>
      <c r="AH15457" s="831" t="s">
        <v>546</v>
      </c>
      <c r="AI15457" s="831">
        <v>0</v>
      </c>
      <c r="AJ15457" s="835">
        <v>41517</v>
      </c>
      <c r="AK15457" s="831">
        <v>548671343</v>
      </c>
    </row>
    <row r="15458" spans="2:37">
      <c r="B15458" s="834" t="str">
        <f t="shared" si="563"/>
        <v>|||</v>
      </c>
      <c r="H15458" s="835">
        <f t="shared" si="564"/>
        <v>31</v>
      </c>
      <c r="AF15458" s="831" t="s">
        <v>11041</v>
      </c>
      <c r="AG15458" s="831" t="s">
        <v>2674</v>
      </c>
      <c r="AH15458" s="831" t="s">
        <v>370</v>
      </c>
      <c r="AI15458" s="831">
        <v>0</v>
      </c>
      <c r="AJ15458" s="835">
        <v>41517</v>
      </c>
      <c r="AK15458" s="831">
        <v>657414575</v>
      </c>
    </row>
    <row r="15459" spans="2:37">
      <c r="B15459" s="834" t="str">
        <f t="shared" si="563"/>
        <v>|||</v>
      </c>
      <c r="H15459" s="835">
        <f t="shared" si="564"/>
        <v>31</v>
      </c>
      <c r="AF15459" s="831" t="s">
        <v>11042</v>
      </c>
      <c r="AG15459" s="831" t="s">
        <v>2674</v>
      </c>
      <c r="AH15459" s="831" t="s">
        <v>126</v>
      </c>
      <c r="AI15459" s="831">
        <v>0</v>
      </c>
      <c r="AJ15459" s="835">
        <v>41517</v>
      </c>
      <c r="AK15459" s="831">
        <v>113874944</v>
      </c>
    </row>
    <row r="15460" spans="2:37">
      <c r="B15460" s="834" t="str">
        <f t="shared" si="563"/>
        <v>|||</v>
      </c>
      <c r="H15460" s="835">
        <f t="shared" si="564"/>
        <v>31</v>
      </c>
      <c r="AF15460" s="831" t="s">
        <v>11043</v>
      </c>
      <c r="AG15460" s="831" t="s">
        <v>2674</v>
      </c>
      <c r="AH15460" s="831" t="s">
        <v>268</v>
      </c>
      <c r="AI15460" s="831">
        <v>0</v>
      </c>
      <c r="AJ15460" s="835">
        <v>41517</v>
      </c>
      <c r="AK15460" s="831">
        <v>19111719</v>
      </c>
    </row>
    <row r="15461" spans="2:37">
      <c r="B15461" s="834" t="str">
        <f t="shared" si="563"/>
        <v>|||</v>
      </c>
      <c r="H15461" s="835">
        <f t="shared" si="564"/>
        <v>31</v>
      </c>
      <c r="AF15461" s="831" t="s">
        <v>11044</v>
      </c>
      <c r="AG15461" s="831" t="s">
        <v>2674</v>
      </c>
      <c r="AH15461" s="831" t="s">
        <v>547</v>
      </c>
      <c r="AI15461" s="831">
        <v>0</v>
      </c>
      <c r="AJ15461" s="835">
        <v>41517</v>
      </c>
      <c r="AK15461" s="831">
        <v>511487760</v>
      </c>
    </row>
    <row r="15462" spans="2:37">
      <c r="B15462" s="834" t="str">
        <f t="shared" si="563"/>
        <v>|||</v>
      </c>
      <c r="H15462" s="835">
        <f t="shared" si="564"/>
        <v>31</v>
      </c>
      <c r="AF15462" s="831" t="s">
        <v>11045</v>
      </c>
      <c r="AG15462" s="831" t="s">
        <v>2674</v>
      </c>
      <c r="AH15462" s="831" t="s">
        <v>548</v>
      </c>
      <c r="AI15462" s="831">
        <v>0</v>
      </c>
      <c r="AJ15462" s="835">
        <v>41517</v>
      </c>
      <c r="AK15462" s="831">
        <v>96883184</v>
      </c>
    </row>
    <row r="15463" spans="2:37">
      <c r="B15463" s="834" t="str">
        <f t="shared" si="563"/>
        <v>|||</v>
      </c>
      <c r="H15463" s="835">
        <f t="shared" si="564"/>
        <v>31</v>
      </c>
      <c r="AF15463" s="831" t="s">
        <v>11046</v>
      </c>
      <c r="AG15463" s="831" t="s">
        <v>2674</v>
      </c>
      <c r="AH15463" s="831" t="s">
        <v>549</v>
      </c>
      <c r="AI15463" s="831">
        <v>0</v>
      </c>
      <c r="AJ15463" s="835">
        <v>41517</v>
      </c>
      <c r="AK15463" s="831">
        <v>362295244</v>
      </c>
    </row>
    <row r="15464" spans="2:37">
      <c r="B15464" s="834" t="str">
        <f t="shared" si="563"/>
        <v>|||</v>
      </c>
      <c r="H15464" s="835">
        <f t="shared" si="564"/>
        <v>31</v>
      </c>
      <c r="AF15464" s="831" t="s">
        <v>11047</v>
      </c>
      <c r="AG15464" s="831" t="s">
        <v>2674</v>
      </c>
      <c r="AH15464" s="831" t="s">
        <v>192</v>
      </c>
      <c r="AI15464" s="831">
        <v>0</v>
      </c>
      <c r="AJ15464" s="835">
        <v>41517</v>
      </c>
      <c r="AK15464" s="831">
        <v>-12472831</v>
      </c>
    </row>
    <row r="15465" spans="2:37">
      <c r="B15465" s="834" t="str">
        <f t="shared" si="563"/>
        <v>|||</v>
      </c>
      <c r="H15465" s="835">
        <f t="shared" si="564"/>
        <v>31</v>
      </c>
      <c r="AF15465" s="831" t="s">
        <v>11048</v>
      </c>
      <c r="AG15465" s="831" t="s">
        <v>2674</v>
      </c>
      <c r="AH15465" s="831" t="s">
        <v>558</v>
      </c>
      <c r="AI15465" s="831">
        <v>0</v>
      </c>
      <c r="AJ15465" s="835">
        <v>41517</v>
      </c>
      <c r="AK15465" s="831">
        <v>543539630.65999997</v>
      </c>
    </row>
    <row r="15466" spans="2:37">
      <c r="B15466" s="834" t="str">
        <f t="shared" si="563"/>
        <v>|||</v>
      </c>
      <c r="H15466" s="835">
        <f t="shared" si="564"/>
        <v>31</v>
      </c>
      <c r="AF15466" s="831" t="s">
        <v>11049</v>
      </c>
      <c r="AG15466" s="831" t="s">
        <v>2674</v>
      </c>
      <c r="AH15466" s="831" t="s">
        <v>65</v>
      </c>
      <c r="AI15466" s="831">
        <v>0</v>
      </c>
      <c r="AJ15466" s="835">
        <v>41517</v>
      </c>
      <c r="AK15466" s="831">
        <v>83388551</v>
      </c>
    </row>
    <row r="15467" spans="2:37">
      <c r="B15467" s="834" t="str">
        <f t="shared" si="563"/>
        <v>|||</v>
      </c>
      <c r="H15467" s="835">
        <f t="shared" si="564"/>
        <v>31</v>
      </c>
      <c r="AF15467" s="831" t="s">
        <v>11050</v>
      </c>
      <c r="AG15467" s="831" t="s">
        <v>2674</v>
      </c>
      <c r="AH15467" s="831" t="s">
        <v>89</v>
      </c>
      <c r="AI15467" s="831">
        <v>0</v>
      </c>
      <c r="AJ15467" s="835">
        <v>41517</v>
      </c>
      <c r="AK15467" s="831">
        <v>139614</v>
      </c>
    </row>
    <row r="15468" spans="2:37">
      <c r="B15468" s="834" t="str">
        <f t="shared" si="563"/>
        <v>|||</v>
      </c>
      <c r="H15468" s="835">
        <f t="shared" si="564"/>
        <v>31</v>
      </c>
      <c r="AF15468" s="831" t="s">
        <v>11051</v>
      </c>
      <c r="AG15468" s="831" t="s">
        <v>2674</v>
      </c>
      <c r="AH15468" s="831" t="s">
        <v>557</v>
      </c>
      <c r="AI15468" s="831">
        <v>0</v>
      </c>
      <c r="AJ15468" s="835">
        <v>41517</v>
      </c>
      <c r="AK15468" s="831">
        <v>147732</v>
      </c>
    </row>
    <row r="15469" spans="2:37">
      <c r="B15469" s="834" t="str">
        <f t="shared" si="563"/>
        <v>|||</v>
      </c>
      <c r="H15469" s="835">
        <f t="shared" si="564"/>
        <v>31</v>
      </c>
      <c r="AF15469" s="831" t="s">
        <v>11052</v>
      </c>
      <c r="AG15469" s="831" t="s">
        <v>2674</v>
      </c>
      <c r="AH15469" s="831" t="s">
        <v>29</v>
      </c>
      <c r="AI15469" s="831">
        <v>0</v>
      </c>
      <c r="AJ15469" s="835">
        <v>41517</v>
      </c>
      <c r="AK15469" s="831">
        <v>1641079.85</v>
      </c>
    </row>
    <row r="15470" spans="2:37">
      <c r="B15470" s="834" t="str">
        <f t="shared" si="563"/>
        <v>|||</v>
      </c>
      <c r="H15470" s="835">
        <f t="shared" si="564"/>
        <v>31</v>
      </c>
      <c r="AF15470" s="831" t="s">
        <v>11053</v>
      </c>
      <c r="AG15470" s="831" t="s">
        <v>2674</v>
      </c>
      <c r="AH15470" s="831" t="s">
        <v>2688</v>
      </c>
      <c r="AI15470" s="831">
        <v>0</v>
      </c>
      <c r="AJ15470" s="835">
        <v>41517</v>
      </c>
      <c r="AK15470" s="831">
        <v>1980496.8299999998</v>
      </c>
    </row>
    <row r="15471" spans="2:37">
      <c r="B15471" s="834" t="str">
        <f t="shared" si="563"/>
        <v>|||</v>
      </c>
      <c r="H15471" s="835">
        <f t="shared" si="564"/>
        <v>31</v>
      </c>
      <c r="AF15471" s="831" t="s">
        <v>11054</v>
      </c>
      <c r="AG15471" s="831" t="s">
        <v>2674</v>
      </c>
      <c r="AH15471" s="831" t="s">
        <v>556</v>
      </c>
      <c r="AI15471" s="831">
        <v>0</v>
      </c>
      <c r="AJ15471" s="835">
        <v>41517</v>
      </c>
      <c r="AK15471" s="831">
        <v>1644732</v>
      </c>
    </row>
    <row r="15472" spans="2:37">
      <c r="B15472" s="834" t="str">
        <f t="shared" si="563"/>
        <v>|||</v>
      </c>
      <c r="H15472" s="835">
        <f t="shared" si="564"/>
        <v>31</v>
      </c>
      <c r="AF15472" s="831" t="s">
        <v>11055</v>
      </c>
      <c r="AG15472" s="831" t="s">
        <v>2674</v>
      </c>
      <c r="AH15472" s="831" t="s">
        <v>555</v>
      </c>
      <c r="AI15472" s="831">
        <v>0</v>
      </c>
      <c r="AJ15472" s="835">
        <v>41517</v>
      </c>
      <c r="AK15472" s="831">
        <v>349976200</v>
      </c>
    </row>
    <row r="15473" spans="2:37">
      <c r="B15473" s="834" t="str">
        <f t="shared" si="563"/>
        <v>|||</v>
      </c>
      <c r="H15473" s="835">
        <f t="shared" si="564"/>
        <v>31</v>
      </c>
      <c r="AF15473" s="831" t="s">
        <v>11056</v>
      </c>
      <c r="AG15473" s="831" t="s">
        <v>2674</v>
      </c>
      <c r="AH15473" s="831" t="s">
        <v>554</v>
      </c>
      <c r="AI15473" s="831">
        <v>0</v>
      </c>
      <c r="AJ15473" s="835">
        <v>41517</v>
      </c>
      <c r="AK15473" s="831">
        <v>362271180</v>
      </c>
    </row>
    <row r="15474" spans="2:37">
      <c r="B15474" s="834" t="str">
        <f t="shared" si="563"/>
        <v>|||</v>
      </c>
      <c r="H15474" s="835">
        <f t="shared" si="564"/>
        <v>31</v>
      </c>
      <c r="AF15474" s="831" t="s">
        <v>11057</v>
      </c>
      <c r="AG15474" s="831" t="s">
        <v>2674</v>
      </c>
      <c r="AH15474" s="831" t="s">
        <v>553</v>
      </c>
      <c r="AI15474" s="831">
        <v>0</v>
      </c>
      <c r="AJ15474" s="835">
        <v>41517</v>
      </c>
      <c r="AK15474" s="831">
        <v>0</v>
      </c>
    </row>
    <row r="15475" spans="2:37">
      <c r="B15475" s="834" t="str">
        <f t="shared" si="563"/>
        <v>|||</v>
      </c>
      <c r="H15475" s="835">
        <f t="shared" si="564"/>
        <v>31</v>
      </c>
      <c r="AF15475" s="831" t="s">
        <v>11058</v>
      </c>
      <c r="AG15475" s="831" t="s">
        <v>2674</v>
      </c>
      <c r="AH15475" s="831" t="s">
        <v>552</v>
      </c>
      <c r="AI15475" s="831">
        <v>0</v>
      </c>
      <c r="AJ15475" s="835">
        <v>41517</v>
      </c>
      <c r="AK15475" s="831">
        <v>0</v>
      </c>
    </row>
    <row r="15476" spans="2:37">
      <c r="B15476" s="834" t="str">
        <f t="shared" si="563"/>
        <v>|||</v>
      </c>
      <c r="H15476" s="835">
        <f t="shared" si="564"/>
        <v>31</v>
      </c>
      <c r="AF15476" s="831" t="s">
        <v>11059</v>
      </c>
      <c r="AG15476" s="831" t="s">
        <v>2674</v>
      </c>
      <c r="AH15476" s="831" t="s">
        <v>551</v>
      </c>
      <c r="AI15476" s="831">
        <v>0</v>
      </c>
      <c r="AJ15476" s="835">
        <v>41517</v>
      </c>
      <c r="AK15476" s="831">
        <v>1337345.54</v>
      </c>
    </row>
    <row r="15477" spans="2:37">
      <c r="B15477" s="834" t="str">
        <f t="shared" si="563"/>
        <v>|||</v>
      </c>
      <c r="H15477" s="835">
        <f t="shared" si="564"/>
        <v>31</v>
      </c>
      <c r="AF15477" s="831" t="s">
        <v>11060</v>
      </c>
      <c r="AG15477" s="831" t="s">
        <v>2674</v>
      </c>
      <c r="AH15477" s="831" t="s">
        <v>550</v>
      </c>
      <c r="AI15477" s="831">
        <v>0</v>
      </c>
      <c r="AJ15477" s="835">
        <v>41517</v>
      </c>
      <c r="AK15477" s="831">
        <v>110887562</v>
      </c>
    </row>
    <row r="15478" spans="2:37">
      <c r="B15478" s="834" t="str">
        <f t="shared" si="563"/>
        <v>|||</v>
      </c>
      <c r="H15478" s="835">
        <f t="shared" si="564"/>
        <v>31</v>
      </c>
      <c r="AF15478" s="831" t="s">
        <v>11061</v>
      </c>
      <c r="AG15478" s="831" t="s">
        <v>2674</v>
      </c>
      <c r="AH15478" s="831" t="s">
        <v>562</v>
      </c>
      <c r="AI15478" s="831">
        <v>0</v>
      </c>
      <c r="AJ15478" s="835">
        <v>41517</v>
      </c>
      <c r="AK15478" s="831">
        <v>0.78385000000000005</v>
      </c>
    </row>
    <row r="15479" spans="2:37">
      <c r="B15479" s="834" t="str">
        <f t="shared" si="563"/>
        <v>|||</v>
      </c>
      <c r="H15479" s="835">
        <f t="shared" si="564"/>
        <v>31</v>
      </c>
      <c r="AF15479" s="831" t="s">
        <v>11062</v>
      </c>
      <c r="AG15479" s="831" t="s">
        <v>2674</v>
      </c>
      <c r="AH15479" s="831" t="s">
        <v>2698</v>
      </c>
      <c r="AI15479" s="831">
        <v>0</v>
      </c>
      <c r="AJ15479" s="835">
        <v>41517</v>
      </c>
      <c r="AK15479" s="831">
        <v>0.78374999999999995</v>
      </c>
    </row>
    <row r="15480" spans="2:37">
      <c r="B15480" s="834" t="str">
        <f t="shared" si="563"/>
        <v>|||</v>
      </c>
      <c r="H15480" s="835">
        <f t="shared" si="564"/>
        <v>31</v>
      </c>
      <c r="AF15480" s="831" t="s">
        <v>11063</v>
      </c>
      <c r="AG15480" s="831" t="s">
        <v>2674</v>
      </c>
      <c r="AH15480" s="831" t="s">
        <v>560</v>
      </c>
      <c r="AI15480" s="831">
        <v>0</v>
      </c>
      <c r="AJ15480" s="835">
        <v>41517</v>
      </c>
      <c r="AK15480" s="831">
        <v>0.7840125</v>
      </c>
    </row>
    <row r="15481" spans="2:37">
      <c r="B15481" s="834" t="str">
        <f t="shared" si="563"/>
        <v>|||</v>
      </c>
      <c r="H15481" s="835">
        <f t="shared" si="564"/>
        <v>31</v>
      </c>
      <c r="AF15481" s="831" t="s">
        <v>11064</v>
      </c>
      <c r="AG15481" s="831" t="s">
        <v>2674</v>
      </c>
      <c r="AH15481" s="831" t="s">
        <v>559</v>
      </c>
      <c r="AI15481" s="831">
        <v>0</v>
      </c>
      <c r="AJ15481" s="835">
        <v>41517</v>
      </c>
      <c r="AK15481" s="831">
        <v>0.78410416666666671</v>
      </c>
    </row>
    <row r="15482" spans="2:37">
      <c r="B15482" s="834" t="str">
        <f t="shared" si="563"/>
        <v>|||</v>
      </c>
      <c r="H15482" s="835">
        <f t="shared" si="564"/>
        <v>31</v>
      </c>
      <c r="AF15482" s="831" t="s">
        <v>11065</v>
      </c>
      <c r="AG15482" s="831" t="s">
        <v>2674</v>
      </c>
      <c r="AH15482" s="831" t="s">
        <v>568</v>
      </c>
      <c r="AI15482" s="831">
        <v>0</v>
      </c>
      <c r="AJ15482" s="835">
        <v>41517</v>
      </c>
      <c r="AK15482" s="831">
        <v>446494134.38461536</v>
      </c>
    </row>
    <row r="15483" spans="2:37">
      <c r="B15483" s="834" t="str">
        <f t="shared" si="563"/>
        <v>|||</v>
      </c>
      <c r="H15483" s="835">
        <f t="shared" si="564"/>
        <v>31</v>
      </c>
      <c r="AF15483" s="831" t="s">
        <v>11066</v>
      </c>
      <c r="AG15483" s="831" t="s">
        <v>2674</v>
      </c>
      <c r="AH15483" s="831" t="s">
        <v>569</v>
      </c>
      <c r="AI15483" s="831">
        <v>0</v>
      </c>
      <c r="AJ15483" s="835">
        <v>41517</v>
      </c>
      <c r="AK15483" s="831">
        <v>542095460.15384614</v>
      </c>
    </row>
    <row r="15484" spans="2:37">
      <c r="B15484" s="834" t="str">
        <f t="shared" si="563"/>
        <v>|||</v>
      </c>
      <c r="H15484" s="835">
        <f t="shared" si="564"/>
        <v>31</v>
      </c>
      <c r="AF15484" s="831" t="s">
        <v>11067</v>
      </c>
      <c r="AG15484" s="831" t="s">
        <v>2674</v>
      </c>
      <c r="AH15484" s="831" t="s">
        <v>570</v>
      </c>
      <c r="AI15484" s="831">
        <v>0</v>
      </c>
      <c r="AJ15484" s="835">
        <v>41517</v>
      </c>
      <c r="AK15484" s="831">
        <v>102565482.6923077</v>
      </c>
    </row>
    <row r="15485" spans="2:37">
      <c r="B15485" s="834" t="str">
        <f t="shared" si="563"/>
        <v>|||</v>
      </c>
      <c r="H15485" s="835">
        <f t="shared" si="564"/>
        <v>31</v>
      </c>
      <c r="AF15485" s="831" t="s">
        <v>11068</v>
      </c>
      <c r="AG15485" s="831" t="s">
        <v>2674</v>
      </c>
      <c r="AH15485" s="831" t="s">
        <v>571</v>
      </c>
      <c r="AI15485" s="831">
        <v>0</v>
      </c>
      <c r="AJ15485" s="835">
        <v>41517</v>
      </c>
      <c r="AK15485" s="831">
        <v>245131875.46153846</v>
      </c>
    </row>
    <row r="15486" spans="2:37">
      <c r="B15486" s="834" t="str">
        <f t="shared" si="563"/>
        <v>|||</v>
      </c>
      <c r="H15486" s="835">
        <f t="shared" si="564"/>
        <v>31</v>
      </c>
      <c r="AF15486" s="831" t="s">
        <v>11069</v>
      </c>
      <c r="AG15486" s="831" t="s">
        <v>2674</v>
      </c>
      <c r="AH15486" s="831" t="s">
        <v>573</v>
      </c>
      <c r="AI15486" s="831">
        <v>0</v>
      </c>
      <c r="AJ15486" s="835">
        <v>41517</v>
      </c>
      <c r="AK15486" s="831">
        <v>579585898.22222221</v>
      </c>
    </row>
    <row r="15487" spans="2:37">
      <c r="B15487" s="834" t="str">
        <f t="shared" si="563"/>
        <v>|||</v>
      </c>
      <c r="H15487" s="835">
        <f t="shared" si="564"/>
        <v>31</v>
      </c>
      <c r="AF15487" s="831" t="s">
        <v>11070</v>
      </c>
      <c r="AG15487" s="831" t="s">
        <v>2674</v>
      </c>
      <c r="AH15487" s="831" t="s">
        <v>574</v>
      </c>
      <c r="AI15487" s="831">
        <v>0</v>
      </c>
      <c r="AJ15487" s="835">
        <v>41517</v>
      </c>
      <c r="AK15487" s="831">
        <v>478283946.77777779</v>
      </c>
    </row>
    <row r="15488" spans="2:37">
      <c r="B15488" s="834" t="str">
        <f t="shared" si="563"/>
        <v>|||</v>
      </c>
      <c r="H15488" s="835">
        <f t="shared" si="564"/>
        <v>31</v>
      </c>
      <c r="AF15488" s="831" t="s">
        <v>11071</v>
      </c>
      <c r="AG15488" s="831" t="s">
        <v>2674</v>
      </c>
      <c r="AH15488" s="831" t="s">
        <v>575</v>
      </c>
      <c r="AI15488" s="831">
        <v>0</v>
      </c>
      <c r="AJ15488" s="835">
        <v>41517</v>
      </c>
      <c r="AK15488" s="831">
        <v>104359849</v>
      </c>
    </row>
    <row r="15489" spans="2:37">
      <c r="B15489" s="834" t="str">
        <f t="shared" si="563"/>
        <v>|||</v>
      </c>
      <c r="H15489" s="835">
        <f t="shared" si="564"/>
        <v>31</v>
      </c>
      <c r="AF15489" s="831" t="s">
        <v>11072</v>
      </c>
      <c r="AG15489" s="831" t="s">
        <v>2674</v>
      </c>
      <c r="AH15489" s="831" t="s">
        <v>576</v>
      </c>
      <c r="AI15489" s="831">
        <v>0</v>
      </c>
      <c r="AJ15489" s="835">
        <v>41517</v>
      </c>
      <c r="AK15489" s="831">
        <v>270469259.22222221</v>
      </c>
    </row>
    <row r="15490" spans="2:37">
      <c r="B15490" s="834" t="str">
        <f t="shared" si="563"/>
        <v>|||</v>
      </c>
      <c r="H15490" s="835">
        <f t="shared" si="564"/>
        <v>31</v>
      </c>
      <c r="AF15490" s="831" t="s">
        <v>11073</v>
      </c>
      <c r="AG15490" s="831" t="s">
        <v>2674</v>
      </c>
      <c r="AH15490" s="831" t="s">
        <v>572</v>
      </c>
      <c r="AI15490" s="831">
        <v>0</v>
      </c>
      <c r="AJ15490" s="835">
        <v>41517</v>
      </c>
      <c r="AK15490" s="831">
        <v>24859621</v>
      </c>
    </row>
    <row r="15491" spans="2:37">
      <c r="B15491" s="834" t="str">
        <f t="shared" si="563"/>
        <v>|||</v>
      </c>
      <c r="H15491" s="835">
        <f t="shared" si="564"/>
        <v>31</v>
      </c>
      <c r="AF15491" s="831" t="s">
        <v>11074</v>
      </c>
      <c r="AG15491" s="831" t="s">
        <v>2674</v>
      </c>
      <c r="AH15491" s="831" t="s">
        <v>577</v>
      </c>
      <c r="AI15491" s="831">
        <v>0</v>
      </c>
      <c r="AJ15491" s="835">
        <v>41517</v>
      </c>
      <c r="AK15491" s="831">
        <v>119121446</v>
      </c>
    </row>
    <row r="15492" spans="2:37">
      <c r="B15492" s="834" t="str">
        <f t="shared" si="563"/>
        <v>|||</v>
      </c>
      <c r="H15492" s="835">
        <f t="shared" si="564"/>
        <v>31</v>
      </c>
      <c r="AF15492" s="831" t="s">
        <v>11075</v>
      </c>
      <c r="AG15492" s="831" t="s">
        <v>2674</v>
      </c>
      <c r="AH15492" s="831" t="s">
        <v>3042</v>
      </c>
      <c r="AI15492" s="831">
        <v>0</v>
      </c>
      <c r="AJ15492" s="835">
        <v>41517</v>
      </c>
      <c r="AK15492" s="831">
        <v>-29143089</v>
      </c>
    </row>
    <row r="15493" spans="2:37">
      <c r="B15493" s="834" t="str">
        <f t="shared" si="563"/>
        <v>|||</v>
      </c>
      <c r="H15493" s="835">
        <f t="shared" si="564"/>
        <v>31</v>
      </c>
      <c r="AF15493" s="831" t="s">
        <v>11076</v>
      </c>
      <c r="AG15493" s="831" t="s">
        <v>2674</v>
      </c>
      <c r="AH15493" s="831" t="s">
        <v>3044</v>
      </c>
      <c r="AI15493" s="831">
        <v>0</v>
      </c>
      <c r="AJ15493" s="835">
        <v>41517</v>
      </c>
      <c r="AK15493" s="831">
        <v>-4417525</v>
      </c>
    </row>
    <row r="15494" spans="2:37">
      <c r="B15494" s="834" t="str">
        <f t="shared" si="563"/>
        <v>|||</v>
      </c>
      <c r="H15494" s="835">
        <f t="shared" si="564"/>
        <v>31</v>
      </c>
      <c r="AF15494" s="831" t="s">
        <v>11077</v>
      </c>
      <c r="AG15494" s="831" t="s">
        <v>2674</v>
      </c>
      <c r="AH15494" s="831" t="s">
        <v>580</v>
      </c>
      <c r="AI15494" s="831">
        <v>0</v>
      </c>
      <c r="AJ15494" s="835">
        <v>41517</v>
      </c>
      <c r="AK15494" s="831">
        <v>-58376707</v>
      </c>
    </row>
    <row r="15495" spans="2:37">
      <c r="B15495" s="834" t="str">
        <f t="shared" si="563"/>
        <v>|||</v>
      </c>
      <c r="H15495" s="835">
        <f t="shared" si="564"/>
        <v>31</v>
      </c>
      <c r="AF15495" s="831" t="s">
        <v>11078</v>
      </c>
      <c r="AG15495" s="831" t="s">
        <v>2674</v>
      </c>
      <c r="AH15495" s="831" t="s">
        <v>581</v>
      </c>
      <c r="AI15495" s="831">
        <v>0</v>
      </c>
      <c r="AJ15495" s="835">
        <v>41517</v>
      </c>
      <c r="AK15495" s="831">
        <v>4578677</v>
      </c>
    </row>
    <row r="15496" spans="2:37">
      <c r="B15496" s="834" t="str">
        <f t="shared" si="563"/>
        <v>|||</v>
      </c>
      <c r="H15496" s="835">
        <f t="shared" si="564"/>
        <v>31</v>
      </c>
      <c r="AF15496" s="831" t="s">
        <v>11079</v>
      </c>
      <c r="AG15496" s="831" t="s">
        <v>2674</v>
      </c>
      <c r="AH15496" s="831" t="s">
        <v>105</v>
      </c>
      <c r="AI15496" s="831">
        <v>0</v>
      </c>
      <c r="AJ15496" s="835">
        <v>41517</v>
      </c>
      <c r="AK15496" s="831">
        <v>314125292</v>
      </c>
    </row>
    <row r="15497" spans="2:37">
      <c r="B15497" s="834" t="str">
        <f t="shared" si="563"/>
        <v>|||</v>
      </c>
      <c r="H15497" s="835">
        <f t="shared" si="564"/>
        <v>31</v>
      </c>
      <c r="AF15497" s="831" t="s">
        <v>11080</v>
      </c>
      <c r="AG15497" s="831" t="s">
        <v>2674</v>
      </c>
      <c r="AH15497" s="831" t="s">
        <v>3049</v>
      </c>
      <c r="AI15497" s="831">
        <v>0</v>
      </c>
      <c r="AJ15497" s="835">
        <v>41517</v>
      </c>
      <c r="AK15497" s="831">
        <v>527249449.14999998</v>
      </c>
    </row>
    <row r="15498" spans="2:37">
      <c r="B15498" s="834" t="str">
        <f t="shared" si="563"/>
        <v>|||</v>
      </c>
      <c r="H15498" s="835">
        <f t="shared" si="564"/>
        <v>31</v>
      </c>
      <c r="AF15498" s="831" t="s">
        <v>11081</v>
      </c>
      <c r="AG15498" s="831" t="s">
        <v>2674</v>
      </c>
      <c r="AH15498" s="831" t="s">
        <v>103</v>
      </c>
      <c r="AI15498" s="831">
        <v>0</v>
      </c>
      <c r="AJ15498" s="835">
        <v>41517</v>
      </c>
      <c r="AK15498" s="831">
        <v>213124157.14999998</v>
      </c>
    </row>
    <row r="15499" spans="2:37">
      <c r="B15499" s="834" t="str">
        <f t="shared" si="563"/>
        <v>|||</v>
      </c>
      <c r="H15499" s="835">
        <f t="shared" si="564"/>
        <v>31</v>
      </c>
      <c r="AF15499" s="831" t="s">
        <v>11082</v>
      </c>
      <c r="AG15499" s="831" t="s">
        <v>2674</v>
      </c>
      <c r="AH15499" s="831" t="s">
        <v>182</v>
      </c>
      <c r="AI15499" s="831">
        <v>0</v>
      </c>
      <c r="AJ15499" s="835">
        <v>41517</v>
      </c>
      <c r="AK15499" s="831">
        <v>57914724</v>
      </c>
    </row>
    <row r="15500" spans="2:37">
      <c r="B15500" s="834" t="str">
        <f t="shared" si="563"/>
        <v>|||</v>
      </c>
      <c r="H15500" s="835">
        <f t="shared" si="564"/>
        <v>31</v>
      </c>
      <c r="AF15500" s="831" t="s">
        <v>11083</v>
      </c>
      <c r="AG15500" s="831" t="s">
        <v>2674</v>
      </c>
      <c r="AH15500" s="831" t="s">
        <v>6600</v>
      </c>
      <c r="AI15500" s="831">
        <v>0</v>
      </c>
      <c r="AJ15500" s="835">
        <v>41517</v>
      </c>
      <c r="AK15500" s="831">
        <v>24859621</v>
      </c>
    </row>
    <row r="15501" spans="2:37">
      <c r="B15501" s="834" t="str">
        <f t="shared" si="563"/>
        <v>|||</v>
      </c>
      <c r="H15501" s="835">
        <f t="shared" si="564"/>
        <v>31</v>
      </c>
      <c r="AF15501" s="831" t="s">
        <v>11084</v>
      </c>
      <c r="AG15501" s="831" t="s">
        <v>2674</v>
      </c>
      <c r="AH15501" s="831" t="s">
        <v>6602</v>
      </c>
      <c r="AI15501" s="831">
        <v>0</v>
      </c>
      <c r="AJ15501" s="835">
        <v>41517</v>
      </c>
      <c r="AK15501" s="831">
        <v>19111719</v>
      </c>
    </row>
    <row r="15502" spans="2:37">
      <c r="B15502" s="834" t="str">
        <f t="shared" si="563"/>
        <v>|||</v>
      </c>
      <c r="H15502" s="835">
        <f t="shared" si="564"/>
        <v>31</v>
      </c>
      <c r="AF15502" s="831" t="s">
        <v>11085</v>
      </c>
      <c r="AG15502" s="831" t="s">
        <v>2674</v>
      </c>
      <c r="AH15502" s="831" t="s">
        <v>650</v>
      </c>
      <c r="AI15502" s="831">
        <v>0</v>
      </c>
      <c r="AJ15502" s="835">
        <v>41517</v>
      </c>
      <c r="AK15502" s="831">
        <v>180578512.62692308</v>
      </c>
    </row>
    <row r="15503" spans="2:37">
      <c r="B15503" s="834" t="str">
        <f t="shared" si="563"/>
        <v>|||</v>
      </c>
      <c r="H15503" s="835">
        <f t="shared" si="564"/>
        <v>31</v>
      </c>
      <c r="AF15503" s="831" t="s">
        <v>11086</v>
      </c>
      <c r="AG15503" s="831" t="s">
        <v>2674</v>
      </c>
      <c r="AH15503" s="831" t="s">
        <v>655</v>
      </c>
      <c r="AI15503" s="831">
        <v>0</v>
      </c>
      <c r="AJ15503" s="835">
        <v>41517</v>
      </c>
      <c r="AK15503" s="831">
        <v>1231052.19</v>
      </c>
    </row>
    <row r="15504" spans="2:37">
      <c r="B15504" s="834" t="str">
        <f t="shared" si="563"/>
        <v>|||</v>
      </c>
      <c r="H15504" s="835">
        <f t="shared" si="564"/>
        <v>31</v>
      </c>
      <c r="AF15504" s="831" t="s">
        <v>11087</v>
      </c>
      <c r="AG15504" s="831" t="s">
        <v>2674</v>
      </c>
      <c r="AH15504" s="831" t="s">
        <v>546</v>
      </c>
      <c r="AI15504" s="831">
        <v>0</v>
      </c>
      <c r="AJ15504" s="835">
        <v>41547</v>
      </c>
      <c r="AK15504" s="831">
        <v>563989028</v>
      </c>
    </row>
    <row r="15505" spans="2:37">
      <c r="B15505" s="834" t="str">
        <f t="shared" ref="B15505:B15568" si="565">C15505&amp;"|"&amp;D15505&amp;"|"&amp;E15505&amp;"|"&amp;F15505</f>
        <v>|||</v>
      </c>
      <c r="H15505" s="835">
        <f t="shared" ref="H15505:H15568" si="566">EOMONTH(L15505,0)</f>
        <v>31</v>
      </c>
      <c r="AF15505" s="831" t="s">
        <v>11088</v>
      </c>
      <c r="AG15505" s="831" t="s">
        <v>2674</v>
      </c>
      <c r="AH15505" s="831" t="s">
        <v>370</v>
      </c>
      <c r="AI15505" s="831">
        <v>0</v>
      </c>
      <c r="AJ15505" s="835">
        <v>41547</v>
      </c>
      <c r="AK15505" s="831">
        <v>692795586</v>
      </c>
    </row>
    <row r="15506" spans="2:37">
      <c r="B15506" s="834" t="str">
        <f t="shared" si="565"/>
        <v>|||</v>
      </c>
      <c r="H15506" s="835">
        <f t="shared" si="566"/>
        <v>31</v>
      </c>
      <c r="AF15506" s="831" t="s">
        <v>11089</v>
      </c>
      <c r="AG15506" s="831" t="s">
        <v>2674</v>
      </c>
      <c r="AH15506" s="831" t="s">
        <v>126</v>
      </c>
      <c r="AI15506" s="831">
        <v>0</v>
      </c>
      <c r="AJ15506" s="835">
        <v>41547</v>
      </c>
      <c r="AK15506" s="831">
        <v>117170637</v>
      </c>
    </row>
    <row r="15507" spans="2:37">
      <c r="B15507" s="834" t="str">
        <f t="shared" si="565"/>
        <v>|||</v>
      </c>
      <c r="H15507" s="835">
        <f t="shared" si="566"/>
        <v>31</v>
      </c>
      <c r="AF15507" s="831" t="s">
        <v>11090</v>
      </c>
      <c r="AG15507" s="831" t="s">
        <v>2674</v>
      </c>
      <c r="AH15507" s="831" t="s">
        <v>268</v>
      </c>
      <c r="AI15507" s="831">
        <v>0</v>
      </c>
      <c r="AJ15507" s="835">
        <v>41547</v>
      </c>
      <c r="AK15507" s="831">
        <v>22407414</v>
      </c>
    </row>
    <row r="15508" spans="2:37">
      <c r="B15508" s="834" t="str">
        <f t="shared" si="565"/>
        <v>|||</v>
      </c>
      <c r="H15508" s="835">
        <f t="shared" si="566"/>
        <v>31</v>
      </c>
      <c r="AF15508" s="831" t="s">
        <v>11091</v>
      </c>
      <c r="AG15508" s="831" t="s">
        <v>2674</v>
      </c>
      <c r="AH15508" s="831" t="s">
        <v>547</v>
      </c>
      <c r="AI15508" s="831">
        <v>0</v>
      </c>
      <c r="AJ15508" s="835">
        <v>41547</v>
      </c>
      <c r="AK15508" s="831">
        <v>511487760</v>
      </c>
    </row>
    <row r="15509" spans="2:37">
      <c r="B15509" s="834" t="str">
        <f t="shared" si="565"/>
        <v>|||</v>
      </c>
      <c r="H15509" s="835">
        <f t="shared" si="566"/>
        <v>31</v>
      </c>
      <c r="AF15509" s="831" t="s">
        <v>11092</v>
      </c>
      <c r="AG15509" s="831" t="s">
        <v>2674</v>
      </c>
      <c r="AH15509" s="831" t="s">
        <v>548</v>
      </c>
      <c r="AI15509" s="831">
        <v>0</v>
      </c>
      <c r="AJ15509" s="835">
        <v>41547</v>
      </c>
      <c r="AK15509" s="831">
        <v>96883184</v>
      </c>
    </row>
    <row r="15510" spans="2:37">
      <c r="B15510" s="834" t="str">
        <f t="shared" si="565"/>
        <v>|||</v>
      </c>
      <c r="H15510" s="835">
        <f t="shared" si="566"/>
        <v>31</v>
      </c>
      <c r="AF15510" s="831" t="s">
        <v>11093</v>
      </c>
      <c r="AG15510" s="831" t="s">
        <v>2674</v>
      </c>
      <c r="AH15510" s="831" t="s">
        <v>549</v>
      </c>
      <c r="AI15510" s="831">
        <v>0</v>
      </c>
      <c r="AJ15510" s="835">
        <v>41547</v>
      </c>
      <c r="AK15510" s="831">
        <v>367084945</v>
      </c>
    </row>
    <row r="15511" spans="2:37">
      <c r="B15511" s="834" t="str">
        <f t="shared" si="565"/>
        <v>|||</v>
      </c>
      <c r="H15511" s="835">
        <f t="shared" si="566"/>
        <v>31</v>
      </c>
      <c r="AF15511" s="831" t="s">
        <v>11094</v>
      </c>
      <c r="AG15511" s="831" t="s">
        <v>2674</v>
      </c>
      <c r="AH15511" s="831" t="s">
        <v>192</v>
      </c>
      <c r="AI15511" s="831">
        <v>0</v>
      </c>
      <c r="AJ15511" s="835">
        <v>41547</v>
      </c>
      <c r="AK15511" s="831">
        <v>-12882814</v>
      </c>
    </row>
    <row r="15512" spans="2:37">
      <c r="B15512" s="834" t="str">
        <f t="shared" si="565"/>
        <v>|||</v>
      </c>
      <c r="H15512" s="835">
        <f t="shared" si="566"/>
        <v>31</v>
      </c>
      <c r="AF15512" s="831" t="s">
        <v>11095</v>
      </c>
      <c r="AG15512" s="831" t="s">
        <v>2674</v>
      </c>
      <c r="AH15512" s="831" t="s">
        <v>558</v>
      </c>
      <c r="AI15512" s="831">
        <v>0</v>
      </c>
      <c r="AJ15512" s="835">
        <v>41547</v>
      </c>
      <c r="AK15512" s="831">
        <v>575624949</v>
      </c>
    </row>
    <row r="15513" spans="2:37">
      <c r="B15513" s="834" t="str">
        <f t="shared" si="565"/>
        <v>|||</v>
      </c>
      <c r="H15513" s="835">
        <f t="shared" si="566"/>
        <v>31</v>
      </c>
      <c r="AF15513" s="831" t="s">
        <v>11096</v>
      </c>
      <c r="AG15513" s="831" t="s">
        <v>2674</v>
      </c>
      <c r="AH15513" s="831" t="s">
        <v>65</v>
      </c>
      <c r="AI15513" s="831">
        <v>0</v>
      </c>
      <c r="AJ15513" s="835">
        <v>41547</v>
      </c>
      <c r="AK15513" s="831">
        <v>95313557</v>
      </c>
    </row>
    <row r="15514" spans="2:37">
      <c r="B15514" s="834" t="str">
        <f t="shared" si="565"/>
        <v>|||</v>
      </c>
      <c r="H15514" s="835">
        <f t="shared" si="566"/>
        <v>31</v>
      </c>
      <c r="AF15514" s="831" t="s">
        <v>11097</v>
      </c>
      <c r="AG15514" s="831" t="s">
        <v>2674</v>
      </c>
      <c r="AH15514" s="831" t="s">
        <v>89</v>
      </c>
      <c r="AI15514" s="831">
        <v>0</v>
      </c>
      <c r="AJ15514" s="835">
        <v>41547</v>
      </c>
      <c r="AK15514" s="831">
        <v>141558</v>
      </c>
    </row>
    <row r="15515" spans="2:37">
      <c r="B15515" s="834" t="str">
        <f t="shared" si="565"/>
        <v>|||</v>
      </c>
      <c r="H15515" s="835">
        <f t="shared" si="566"/>
        <v>31</v>
      </c>
      <c r="AF15515" s="831" t="s">
        <v>11098</v>
      </c>
      <c r="AG15515" s="831" t="s">
        <v>2674</v>
      </c>
      <c r="AH15515" s="831" t="s">
        <v>557</v>
      </c>
      <c r="AI15515" s="831">
        <v>0</v>
      </c>
      <c r="AJ15515" s="835">
        <v>41547</v>
      </c>
      <c r="AK15515" s="831">
        <v>150480</v>
      </c>
    </row>
    <row r="15516" spans="2:37">
      <c r="B15516" s="834" t="str">
        <f t="shared" si="565"/>
        <v>|||</v>
      </c>
      <c r="H15516" s="835">
        <f t="shared" si="566"/>
        <v>31</v>
      </c>
      <c r="AF15516" s="831" t="s">
        <v>11099</v>
      </c>
      <c r="AG15516" s="831" t="s">
        <v>2674</v>
      </c>
      <c r="AH15516" s="831" t="s">
        <v>29</v>
      </c>
      <c r="AI15516" s="831">
        <v>0</v>
      </c>
      <c r="AJ15516" s="835">
        <v>41547</v>
      </c>
      <c r="AK15516" s="831">
        <v>1808536.49</v>
      </c>
    </row>
    <row r="15517" spans="2:37">
      <c r="B15517" s="834" t="str">
        <f t="shared" si="565"/>
        <v>|||</v>
      </c>
      <c r="H15517" s="835">
        <f t="shared" si="566"/>
        <v>31</v>
      </c>
      <c r="AF15517" s="831" t="s">
        <v>11100</v>
      </c>
      <c r="AG15517" s="831" t="s">
        <v>2674</v>
      </c>
      <c r="AH15517" s="831" t="s">
        <v>2688</v>
      </c>
      <c r="AI15517" s="831">
        <v>0</v>
      </c>
      <c r="AJ15517" s="835">
        <v>41547</v>
      </c>
      <c r="AK15517" s="831">
        <v>1944896.06</v>
      </c>
    </row>
    <row r="15518" spans="2:37">
      <c r="B15518" s="834" t="str">
        <f t="shared" si="565"/>
        <v>|||</v>
      </c>
      <c r="H15518" s="835">
        <f t="shared" si="566"/>
        <v>31</v>
      </c>
      <c r="AF15518" s="831" t="s">
        <v>11101</v>
      </c>
      <c r="AG15518" s="831" t="s">
        <v>2674</v>
      </c>
      <c r="AH15518" s="831" t="s">
        <v>556</v>
      </c>
      <c r="AI15518" s="831">
        <v>0</v>
      </c>
      <c r="AJ15518" s="835">
        <v>41547</v>
      </c>
      <c r="AK15518" s="831">
        <v>1644732</v>
      </c>
    </row>
    <row r="15519" spans="2:37">
      <c r="B15519" s="834" t="str">
        <f t="shared" si="565"/>
        <v>|||</v>
      </c>
      <c r="H15519" s="835">
        <f t="shared" si="566"/>
        <v>31</v>
      </c>
      <c r="AF15519" s="831" t="s">
        <v>11102</v>
      </c>
      <c r="AG15519" s="831" t="s">
        <v>2674</v>
      </c>
      <c r="AH15519" s="831" t="s">
        <v>555</v>
      </c>
      <c r="AI15519" s="831">
        <v>0</v>
      </c>
      <c r="AJ15519" s="835">
        <v>41547</v>
      </c>
      <c r="AK15519" s="831">
        <v>373785500</v>
      </c>
    </row>
    <row r="15520" spans="2:37">
      <c r="B15520" s="834" t="str">
        <f t="shared" si="565"/>
        <v>|||</v>
      </c>
      <c r="H15520" s="835">
        <f t="shared" si="566"/>
        <v>31</v>
      </c>
      <c r="AF15520" s="831" t="s">
        <v>11103</v>
      </c>
      <c r="AG15520" s="831" t="s">
        <v>2674</v>
      </c>
      <c r="AH15520" s="831" t="s">
        <v>554</v>
      </c>
      <c r="AI15520" s="831">
        <v>0</v>
      </c>
      <c r="AJ15520" s="835">
        <v>41547</v>
      </c>
      <c r="AK15520" s="831">
        <v>389313510</v>
      </c>
    </row>
    <row r="15521" spans="2:37">
      <c r="B15521" s="834" t="str">
        <f t="shared" si="565"/>
        <v>|||</v>
      </c>
      <c r="H15521" s="835">
        <f t="shared" si="566"/>
        <v>31</v>
      </c>
      <c r="AF15521" s="831" t="s">
        <v>11104</v>
      </c>
      <c r="AG15521" s="831" t="s">
        <v>2674</v>
      </c>
      <c r="AH15521" s="831" t="s">
        <v>553</v>
      </c>
      <c r="AI15521" s="831">
        <v>0</v>
      </c>
      <c r="AJ15521" s="835">
        <v>41547</v>
      </c>
      <c r="AK15521" s="831">
        <v>0</v>
      </c>
    </row>
    <row r="15522" spans="2:37">
      <c r="B15522" s="834" t="str">
        <f t="shared" si="565"/>
        <v>|||</v>
      </c>
      <c r="H15522" s="835">
        <f t="shared" si="566"/>
        <v>31</v>
      </c>
      <c r="AF15522" s="831" t="s">
        <v>11105</v>
      </c>
      <c r="AG15522" s="831" t="s">
        <v>2674</v>
      </c>
      <c r="AH15522" s="831" t="s">
        <v>552</v>
      </c>
      <c r="AI15522" s="831">
        <v>0</v>
      </c>
      <c r="AJ15522" s="835">
        <v>41547</v>
      </c>
      <c r="AK15522" s="831">
        <v>0</v>
      </c>
    </row>
    <row r="15523" spans="2:37">
      <c r="B15523" s="834" t="str">
        <f t="shared" si="565"/>
        <v>|||</v>
      </c>
      <c r="H15523" s="835">
        <f t="shared" si="566"/>
        <v>31</v>
      </c>
      <c r="AF15523" s="831" t="s">
        <v>11106</v>
      </c>
      <c r="AG15523" s="831" t="s">
        <v>2674</v>
      </c>
      <c r="AH15523" s="831" t="s">
        <v>551</v>
      </c>
      <c r="AI15523" s="831">
        <v>0</v>
      </c>
      <c r="AJ15523" s="835">
        <v>41547</v>
      </c>
      <c r="AK15523" s="831">
        <v>1611508.6</v>
      </c>
    </row>
    <row r="15524" spans="2:37">
      <c r="B15524" s="834" t="str">
        <f t="shared" si="565"/>
        <v>|||</v>
      </c>
      <c r="H15524" s="835">
        <f t="shared" si="566"/>
        <v>31</v>
      </c>
      <c r="AF15524" s="831" t="s">
        <v>11107</v>
      </c>
      <c r="AG15524" s="831" t="s">
        <v>2674</v>
      </c>
      <c r="AH15524" s="831" t="s">
        <v>550</v>
      </c>
      <c r="AI15524" s="831">
        <v>0</v>
      </c>
      <c r="AJ15524" s="835">
        <v>41547</v>
      </c>
      <c r="AK15524" s="831">
        <v>113874944</v>
      </c>
    </row>
    <row r="15525" spans="2:37">
      <c r="B15525" s="834" t="str">
        <f t="shared" si="565"/>
        <v>|||</v>
      </c>
      <c r="H15525" s="835">
        <f t="shared" si="566"/>
        <v>31</v>
      </c>
      <c r="AF15525" s="831" t="s">
        <v>11108</v>
      </c>
      <c r="AG15525" s="831" t="s">
        <v>2674</v>
      </c>
      <c r="AH15525" s="831" t="s">
        <v>562</v>
      </c>
      <c r="AI15525" s="831">
        <v>0</v>
      </c>
      <c r="AJ15525" s="835">
        <v>41547</v>
      </c>
      <c r="AK15525" s="831">
        <v>0.78395000000000004</v>
      </c>
    </row>
    <row r="15526" spans="2:37">
      <c r="B15526" s="834" t="str">
        <f t="shared" si="565"/>
        <v>|||</v>
      </c>
      <c r="H15526" s="835">
        <f t="shared" si="566"/>
        <v>31</v>
      </c>
      <c r="AF15526" s="831" t="s">
        <v>11109</v>
      </c>
      <c r="AG15526" s="831" t="s">
        <v>2674</v>
      </c>
      <c r="AH15526" s="831" t="s">
        <v>2698</v>
      </c>
      <c r="AI15526" s="831">
        <v>0</v>
      </c>
      <c r="AJ15526" s="835">
        <v>41547</v>
      </c>
      <c r="AK15526" s="831">
        <v>0.78385000000000005</v>
      </c>
    </row>
    <row r="15527" spans="2:37">
      <c r="B15527" s="834" t="str">
        <f t="shared" si="565"/>
        <v>|||</v>
      </c>
      <c r="H15527" s="835">
        <f t="shared" si="566"/>
        <v>31</v>
      </c>
      <c r="AF15527" s="831" t="s">
        <v>11110</v>
      </c>
      <c r="AG15527" s="831" t="s">
        <v>2674</v>
      </c>
      <c r="AH15527" s="831" t="s">
        <v>560</v>
      </c>
      <c r="AI15527" s="831">
        <v>0</v>
      </c>
      <c r="AJ15527" s="835">
        <v>41547</v>
      </c>
      <c r="AK15527" s="831">
        <v>0.78400555555555551</v>
      </c>
    </row>
    <row r="15528" spans="2:37">
      <c r="B15528" s="834" t="str">
        <f t="shared" si="565"/>
        <v>|||</v>
      </c>
      <c r="H15528" s="835">
        <f t="shared" si="566"/>
        <v>31</v>
      </c>
      <c r="AF15528" s="831" t="s">
        <v>11111</v>
      </c>
      <c r="AG15528" s="831" t="s">
        <v>2674</v>
      </c>
      <c r="AH15528" s="831" t="s">
        <v>559</v>
      </c>
      <c r="AI15528" s="831">
        <v>0</v>
      </c>
      <c r="AJ15528" s="835">
        <v>41547</v>
      </c>
      <c r="AK15528" s="831">
        <v>0.78404583333333333</v>
      </c>
    </row>
    <row r="15529" spans="2:37">
      <c r="B15529" s="834" t="str">
        <f t="shared" si="565"/>
        <v>|||</v>
      </c>
      <c r="H15529" s="835">
        <f t="shared" si="566"/>
        <v>31</v>
      </c>
      <c r="AF15529" s="831" t="s">
        <v>11112</v>
      </c>
      <c r="AG15529" s="831" t="s">
        <v>2674</v>
      </c>
      <c r="AH15529" s="831" t="s">
        <v>568</v>
      </c>
      <c r="AI15529" s="831">
        <v>0</v>
      </c>
      <c r="AJ15529" s="835">
        <v>41547</v>
      </c>
      <c r="AK15529" s="831">
        <v>462009040.84615386</v>
      </c>
    </row>
    <row r="15530" spans="2:37">
      <c r="B15530" s="834" t="str">
        <f t="shared" si="565"/>
        <v>|||</v>
      </c>
      <c r="H15530" s="835">
        <f t="shared" si="566"/>
        <v>31</v>
      </c>
      <c r="AF15530" s="831" t="s">
        <v>11113</v>
      </c>
      <c r="AG15530" s="831" t="s">
        <v>2674</v>
      </c>
      <c r="AH15530" s="831" t="s">
        <v>569</v>
      </c>
      <c r="AI15530" s="831">
        <v>0</v>
      </c>
      <c r="AJ15530" s="835">
        <v>41547</v>
      </c>
      <c r="AK15530" s="831">
        <v>560598027.84615386</v>
      </c>
    </row>
    <row r="15531" spans="2:37">
      <c r="B15531" s="834" t="str">
        <f t="shared" si="565"/>
        <v>|||</v>
      </c>
      <c r="H15531" s="835">
        <f t="shared" si="566"/>
        <v>31</v>
      </c>
      <c r="AF15531" s="831" t="s">
        <v>11114</v>
      </c>
      <c r="AG15531" s="831" t="s">
        <v>2674</v>
      </c>
      <c r="AH15531" s="831" t="s">
        <v>570</v>
      </c>
      <c r="AI15531" s="831">
        <v>0</v>
      </c>
      <c r="AJ15531" s="835">
        <v>41547</v>
      </c>
      <c r="AK15531" s="831">
        <v>104238995.3076923</v>
      </c>
    </row>
    <row r="15532" spans="2:37">
      <c r="B15532" s="834" t="str">
        <f t="shared" si="565"/>
        <v>|||</v>
      </c>
      <c r="H15532" s="835">
        <f t="shared" si="566"/>
        <v>31</v>
      </c>
      <c r="AF15532" s="831" t="s">
        <v>11115</v>
      </c>
      <c r="AG15532" s="831" t="s">
        <v>2674</v>
      </c>
      <c r="AH15532" s="831" t="s">
        <v>571</v>
      </c>
      <c r="AI15532" s="831">
        <v>0</v>
      </c>
      <c r="AJ15532" s="835">
        <v>41547</v>
      </c>
      <c r="AK15532" s="831">
        <v>257329819.61538461</v>
      </c>
    </row>
    <row r="15533" spans="2:37">
      <c r="B15533" s="834" t="str">
        <f t="shared" si="565"/>
        <v>|||</v>
      </c>
      <c r="H15533" s="835">
        <f t="shared" si="566"/>
        <v>31</v>
      </c>
      <c r="AF15533" s="831" t="s">
        <v>11116</v>
      </c>
      <c r="AG15533" s="831" t="s">
        <v>2674</v>
      </c>
      <c r="AH15533" s="831" t="s">
        <v>573</v>
      </c>
      <c r="AI15533" s="831">
        <v>0</v>
      </c>
      <c r="AJ15533" s="835">
        <v>41547</v>
      </c>
      <c r="AK15533" s="831">
        <v>590906867</v>
      </c>
    </row>
    <row r="15534" spans="2:37">
      <c r="B15534" s="834" t="str">
        <f t="shared" si="565"/>
        <v>|||</v>
      </c>
      <c r="H15534" s="835">
        <f t="shared" si="566"/>
        <v>31</v>
      </c>
      <c r="AF15534" s="831" t="s">
        <v>11117</v>
      </c>
      <c r="AG15534" s="831" t="s">
        <v>2674</v>
      </c>
      <c r="AH15534" s="831" t="s">
        <v>574</v>
      </c>
      <c r="AI15534" s="831">
        <v>0</v>
      </c>
      <c r="AJ15534" s="835">
        <v>41547</v>
      </c>
      <c r="AK15534" s="831">
        <v>486854454.89999998</v>
      </c>
    </row>
    <row r="15535" spans="2:37">
      <c r="B15535" s="834" t="str">
        <f t="shared" si="565"/>
        <v>|||</v>
      </c>
      <c r="H15535" s="835">
        <f t="shared" si="566"/>
        <v>31</v>
      </c>
      <c r="AF15535" s="831" t="s">
        <v>11118</v>
      </c>
      <c r="AG15535" s="831" t="s">
        <v>2674</v>
      </c>
      <c r="AH15535" s="831" t="s">
        <v>575</v>
      </c>
      <c r="AI15535" s="831">
        <v>0</v>
      </c>
      <c r="AJ15535" s="835">
        <v>41547</v>
      </c>
      <c r="AK15535" s="831">
        <v>105640927.8</v>
      </c>
    </row>
    <row r="15536" spans="2:37">
      <c r="B15536" s="834" t="str">
        <f t="shared" si="565"/>
        <v>|||</v>
      </c>
      <c r="H15536" s="835">
        <f t="shared" si="566"/>
        <v>31</v>
      </c>
      <c r="AF15536" s="831" t="s">
        <v>11119</v>
      </c>
      <c r="AG15536" s="831" t="s">
        <v>2674</v>
      </c>
      <c r="AH15536" s="831" t="s">
        <v>576</v>
      </c>
      <c r="AI15536" s="831">
        <v>0</v>
      </c>
      <c r="AJ15536" s="835">
        <v>41547</v>
      </c>
      <c r="AK15536" s="831">
        <v>277318070.10000002</v>
      </c>
    </row>
    <row r="15537" spans="2:37">
      <c r="B15537" s="834" t="str">
        <f t="shared" si="565"/>
        <v>|||</v>
      </c>
      <c r="H15537" s="835">
        <f t="shared" si="566"/>
        <v>31</v>
      </c>
      <c r="AF15537" s="831" t="s">
        <v>11120</v>
      </c>
      <c r="AG15537" s="831" t="s">
        <v>2674</v>
      </c>
      <c r="AH15537" s="831" t="s">
        <v>572</v>
      </c>
      <c r="AI15537" s="831">
        <v>0</v>
      </c>
      <c r="AJ15537" s="835">
        <v>41547</v>
      </c>
      <c r="AK15537" s="831">
        <v>26160885</v>
      </c>
    </row>
    <row r="15538" spans="2:37">
      <c r="B15538" s="834" t="str">
        <f t="shared" si="565"/>
        <v>|||</v>
      </c>
      <c r="H15538" s="835">
        <f t="shared" si="566"/>
        <v>31</v>
      </c>
      <c r="AF15538" s="831" t="s">
        <v>11121</v>
      </c>
      <c r="AG15538" s="831" t="s">
        <v>2674</v>
      </c>
      <c r="AH15538" s="831" t="s">
        <v>577</v>
      </c>
      <c r="AI15538" s="831">
        <v>0</v>
      </c>
      <c r="AJ15538" s="835">
        <v>41547</v>
      </c>
      <c r="AK15538" s="831">
        <v>122921739</v>
      </c>
    </row>
    <row r="15539" spans="2:37">
      <c r="B15539" s="834" t="str">
        <f t="shared" si="565"/>
        <v>|||</v>
      </c>
      <c r="H15539" s="835">
        <f t="shared" si="566"/>
        <v>31</v>
      </c>
      <c r="AF15539" s="831" t="s">
        <v>11122</v>
      </c>
      <c r="AG15539" s="831" t="s">
        <v>2674</v>
      </c>
      <c r="AH15539" s="831" t="s">
        <v>3042</v>
      </c>
      <c r="AI15539" s="831">
        <v>0</v>
      </c>
      <c r="AJ15539" s="835">
        <v>41547</v>
      </c>
      <c r="AK15539" s="831">
        <v>-30135210</v>
      </c>
    </row>
    <row r="15540" spans="2:37">
      <c r="B15540" s="834" t="str">
        <f t="shared" si="565"/>
        <v>|||</v>
      </c>
      <c r="H15540" s="835">
        <f t="shared" si="566"/>
        <v>31</v>
      </c>
      <c r="AF15540" s="831" t="s">
        <v>11123</v>
      </c>
      <c r="AG15540" s="831" t="s">
        <v>2674</v>
      </c>
      <c r="AH15540" s="831" t="s">
        <v>3044</v>
      </c>
      <c r="AI15540" s="831">
        <v>0</v>
      </c>
      <c r="AJ15540" s="835">
        <v>41547</v>
      </c>
      <c r="AK15540" s="831">
        <v>-4515854</v>
      </c>
    </row>
    <row r="15541" spans="2:37">
      <c r="B15541" s="834" t="str">
        <f t="shared" si="565"/>
        <v>|||</v>
      </c>
      <c r="H15541" s="835">
        <f t="shared" si="566"/>
        <v>31</v>
      </c>
      <c r="AF15541" s="831" t="s">
        <v>11124</v>
      </c>
      <c r="AG15541" s="831" t="s">
        <v>2674</v>
      </c>
      <c r="AH15541" s="831" t="s">
        <v>580</v>
      </c>
      <c r="AI15541" s="831">
        <v>0</v>
      </c>
      <c r="AJ15541" s="835">
        <v>41547</v>
      </c>
      <c r="AK15541" s="831">
        <v>-59169843</v>
      </c>
    </row>
    <row r="15542" spans="2:37">
      <c r="B15542" s="834" t="str">
        <f t="shared" si="565"/>
        <v>|||</v>
      </c>
      <c r="H15542" s="835">
        <f t="shared" si="566"/>
        <v>31</v>
      </c>
      <c r="AF15542" s="831" t="s">
        <v>11125</v>
      </c>
      <c r="AG15542" s="831" t="s">
        <v>2674</v>
      </c>
      <c r="AH15542" s="831" t="s">
        <v>581</v>
      </c>
      <c r="AI15542" s="831">
        <v>0</v>
      </c>
      <c r="AJ15542" s="835">
        <v>41547</v>
      </c>
      <c r="AK15542" s="831">
        <v>4375184</v>
      </c>
    </row>
    <row r="15543" spans="2:37">
      <c r="B15543" s="834" t="str">
        <f t="shared" si="565"/>
        <v>|||</v>
      </c>
      <c r="H15543" s="835">
        <f t="shared" si="566"/>
        <v>31</v>
      </c>
      <c r="AF15543" s="831" t="s">
        <v>11126</v>
      </c>
      <c r="AG15543" s="831" t="s">
        <v>2674</v>
      </c>
      <c r="AH15543" s="831" t="s">
        <v>105</v>
      </c>
      <c r="AI15543" s="831">
        <v>0</v>
      </c>
      <c r="AJ15543" s="835">
        <v>41547</v>
      </c>
      <c r="AK15543" s="831">
        <v>338957368</v>
      </c>
    </row>
    <row r="15544" spans="2:37">
      <c r="B15544" s="834" t="str">
        <f t="shared" si="565"/>
        <v>|||</v>
      </c>
      <c r="H15544" s="835">
        <f t="shared" si="566"/>
        <v>31</v>
      </c>
      <c r="AF15544" s="831" t="s">
        <v>11127</v>
      </c>
      <c r="AG15544" s="831" t="s">
        <v>2674</v>
      </c>
      <c r="AH15544" s="831" t="s">
        <v>3049</v>
      </c>
      <c r="AI15544" s="831">
        <v>0</v>
      </c>
      <c r="AJ15544" s="835">
        <v>41547</v>
      </c>
      <c r="AK15544" s="831">
        <v>558920871</v>
      </c>
    </row>
    <row r="15545" spans="2:37">
      <c r="B15545" s="834" t="str">
        <f t="shared" si="565"/>
        <v>|||</v>
      </c>
      <c r="H15545" s="835">
        <f t="shared" si="566"/>
        <v>31</v>
      </c>
      <c r="AF15545" s="831" t="s">
        <v>11128</v>
      </c>
      <c r="AG15545" s="831" t="s">
        <v>2674</v>
      </c>
      <c r="AH15545" s="831" t="s">
        <v>103</v>
      </c>
      <c r="AI15545" s="831">
        <v>0</v>
      </c>
      <c r="AJ15545" s="835">
        <v>41547</v>
      </c>
      <c r="AK15545" s="831">
        <v>219963503</v>
      </c>
    </row>
    <row r="15546" spans="2:37">
      <c r="B15546" s="834" t="str">
        <f t="shared" si="565"/>
        <v>|||</v>
      </c>
      <c r="H15546" s="835">
        <f t="shared" si="566"/>
        <v>31</v>
      </c>
      <c r="AF15546" s="831" t="s">
        <v>11129</v>
      </c>
      <c r="AG15546" s="831" t="s">
        <v>2674</v>
      </c>
      <c r="AH15546" s="831" t="s">
        <v>182</v>
      </c>
      <c r="AI15546" s="831">
        <v>0</v>
      </c>
      <c r="AJ15546" s="835">
        <v>41547</v>
      </c>
      <c r="AK15546" s="831">
        <v>57784893.333333336</v>
      </c>
    </row>
    <row r="15547" spans="2:37">
      <c r="B15547" s="834" t="str">
        <f t="shared" si="565"/>
        <v>|||</v>
      </c>
      <c r="H15547" s="835">
        <f t="shared" si="566"/>
        <v>31</v>
      </c>
      <c r="AF15547" s="831" t="s">
        <v>11130</v>
      </c>
      <c r="AG15547" s="831" t="s">
        <v>2674</v>
      </c>
      <c r="AH15547" s="831" t="s">
        <v>6600</v>
      </c>
      <c r="AI15547" s="831">
        <v>0</v>
      </c>
      <c r="AJ15547" s="835">
        <v>41547</v>
      </c>
      <c r="AK15547" s="831">
        <v>26160885</v>
      </c>
    </row>
    <row r="15548" spans="2:37">
      <c r="B15548" s="834" t="str">
        <f t="shared" si="565"/>
        <v>|||</v>
      </c>
      <c r="H15548" s="835">
        <f t="shared" si="566"/>
        <v>31</v>
      </c>
      <c r="AF15548" s="831" t="s">
        <v>11131</v>
      </c>
      <c r="AG15548" s="831" t="s">
        <v>2674</v>
      </c>
      <c r="AH15548" s="831" t="s">
        <v>6602</v>
      </c>
      <c r="AI15548" s="831">
        <v>0</v>
      </c>
      <c r="AJ15548" s="835">
        <v>41547</v>
      </c>
      <c r="AK15548" s="831">
        <v>22407414</v>
      </c>
    </row>
    <row r="15549" spans="2:37">
      <c r="B15549" s="834" t="str">
        <f t="shared" si="565"/>
        <v>|||</v>
      </c>
      <c r="H15549" s="835">
        <f t="shared" si="566"/>
        <v>31</v>
      </c>
      <c r="AF15549" s="831" t="s">
        <v>11132</v>
      </c>
      <c r="AG15549" s="831" t="s">
        <v>2674</v>
      </c>
      <c r="AH15549" s="831" t="s">
        <v>650</v>
      </c>
      <c r="AI15549" s="831">
        <v>0</v>
      </c>
      <c r="AJ15549" s="835">
        <v>41547</v>
      </c>
      <c r="AK15549" s="831">
        <v>184913431.55000001</v>
      </c>
    </row>
    <row r="15550" spans="2:37">
      <c r="B15550" s="834" t="str">
        <f t="shared" si="565"/>
        <v>|||</v>
      </c>
      <c r="H15550" s="835">
        <f t="shared" si="566"/>
        <v>31</v>
      </c>
      <c r="AF15550" s="831" t="s">
        <v>11133</v>
      </c>
      <c r="AG15550" s="831" t="s">
        <v>2674</v>
      </c>
      <c r="AH15550" s="831" t="s">
        <v>655</v>
      </c>
      <c r="AI15550" s="831">
        <v>0</v>
      </c>
      <c r="AJ15550" s="835">
        <v>41547</v>
      </c>
      <c r="AK15550" s="831">
        <v>1374522.24</v>
      </c>
    </row>
    <row r="15551" spans="2:37">
      <c r="B15551" s="834" t="str">
        <f t="shared" si="565"/>
        <v>|||</v>
      </c>
      <c r="H15551" s="835">
        <f t="shared" si="566"/>
        <v>31</v>
      </c>
      <c r="AF15551" s="831" t="s">
        <v>11134</v>
      </c>
      <c r="AG15551" s="831" t="s">
        <v>2674</v>
      </c>
      <c r="AH15551" s="831" t="s">
        <v>546</v>
      </c>
      <c r="AI15551" s="831">
        <v>0</v>
      </c>
      <c r="AJ15551" s="835">
        <v>41578</v>
      </c>
      <c r="AK15551" s="831">
        <v>580271359</v>
      </c>
    </row>
    <row r="15552" spans="2:37">
      <c r="B15552" s="834" t="str">
        <f t="shared" si="565"/>
        <v>|||</v>
      </c>
      <c r="H15552" s="835">
        <f t="shared" si="566"/>
        <v>31</v>
      </c>
      <c r="AF15552" s="831" t="s">
        <v>11135</v>
      </c>
      <c r="AG15552" s="831" t="s">
        <v>2674</v>
      </c>
      <c r="AH15552" s="831" t="s">
        <v>370</v>
      </c>
      <c r="AI15552" s="831">
        <v>0</v>
      </c>
      <c r="AJ15552" s="835">
        <v>41578</v>
      </c>
      <c r="AK15552" s="831">
        <v>723686405</v>
      </c>
    </row>
    <row r="15553" spans="2:37">
      <c r="B15553" s="834" t="str">
        <f t="shared" si="565"/>
        <v>|||</v>
      </c>
      <c r="H15553" s="835">
        <f t="shared" si="566"/>
        <v>31</v>
      </c>
      <c r="AF15553" s="831" t="s">
        <v>11136</v>
      </c>
      <c r="AG15553" s="831" t="s">
        <v>2674</v>
      </c>
      <c r="AH15553" s="831" t="s">
        <v>126</v>
      </c>
      <c r="AI15553" s="831">
        <v>0</v>
      </c>
      <c r="AJ15553" s="835">
        <v>41578</v>
      </c>
      <c r="AK15553" s="831">
        <v>120290863</v>
      </c>
    </row>
    <row r="15554" spans="2:37">
      <c r="B15554" s="834" t="str">
        <f t="shared" si="565"/>
        <v>|||</v>
      </c>
      <c r="H15554" s="835">
        <f t="shared" si="566"/>
        <v>31</v>
      </c>
      <c r="AF15554" s="831" t="s">
        <v>11137</v>
      </c>
      <c r="AG15554" s="831" t="s">
        <v>2674</v>
      </c>
      <c r="AH15554" s="831" t="s">
        <v>268</v>
      </c>
      <c r="AI15554" s="831">
        <v>0</v>
      </c>
      <c r="AJ15554" s="835">
        <v>41578</v>
      </c>
      <c r="AK15554" s="831">
        <v>25527641</v>
      </c>
    </row>
    <row r="15555" spans="2:37">
      <c r="B15555" s="834" t="str">
        <f t="shared" si="565"/>
        <v>|||</v>
      </c>
      <c r="H15555" s="835">
        <f t="shared" si="566"/>
        <v>31</v>
      </c>
      <c r="AF15555" s="831" t="s">
        <v>11138</v>
      </c>
      <c r="AG15555" s="831" t="s">
        <v>2674</v>
      </c>
      <c r="AH15555" s="831" t="s">
        <v>547</v>
      </c>
      <c r="AI15555" s="831">
        <v>0</v>
      </c>
      <c r="AJ15555" s="835">
        <v>41578</v>
      </c>
      <c r="AK15555" s="831">
        <v>511487760</v>
      </c>
    </row>
    <row r="15556" spans="2:37">
      <c r="B15556" s="834" t="str">
        <f t="shared" si="565"/>
        <v>|||</v>
      </c>
      <c r="H15556" s="835">
        <f t="shared" si="566"/>
        <v>31</v>
      </c>
      <c r="AF15556" s="831" t="s">
        <v>11139</v>
      </c>
      <c r="AG15556" s="831" t="s">
        <v>2674</v>
      </c>
      <c r="AH15556" s="831" t="s">
        <v>548</v>
      </c>
      <c r="AI15556" s="831">
        <v>0</v>
      </c>
      <c r="AJ15556" s="835">
        <v>41578</v>
      </c>
      <c r="AK15556" s="831">
        <v>96883184</v>
      </c>
    </row>
    <row r="15557" spans="2:37">
      <c r="B15557" s="834" t="str">
        <f t="shared" si="565"/>
        <v>|||</v>
      </c>
      <c r="H15557" s="835">
        <f t="shared" si="566"/>
        <v>31</v>
      </c>
      <c r="AF15557" s="831" t="s">
        <v>11140</v>
      </c>
      <c r="AG15557" s="831" t="s">
        <v>2674</v>
      </c>
      <c r="AH15557" s="831" t="s">
        <v>549</v>
      </c>
      <c r="AI15557" s="831">
        <v>0</v>
      </c>
      <c r="AJ15557" s="835">
        <v>41578</v>
      </c>
      <c r="AK15557" s="831">
        <v>376404251</v>
      </c>
    </row>
    <row r="15558" spans="2:37">
      <c r="B15558" s="834" t="str">
        <f t="shared" si="565"/>
        <v>|||</v>
      </c>
      <c r="H15558" s="835">
        <f t="shared" si="566"/>
        <v>31</v>
      </c>
      <c r="AF15558" s="831" t="s">
        <v>11141</v>
      </c>
      <c r="AG15558" s="831" t="s">
        <v>2674</v>
      </c>
      <c r="AH15558" s="831" t="s">
        <v>192</v>
      </c>
      <c r="AI15558" s="831">
        <v>0</v>
      </c>
      <c r="AJ15558" s="835">
        <v>41578</v>
      </c>
      <c r="AK15558" s="831">
        <v>-13193791</v>
      </c>
    </row>
    <row r="15559" spans="2:37">
      <c r="B15559" s="834" t="str">
        <f t="shared" si="565"/>
        <v>|||</v>
      </c>
      <c r="H15559" s="835">
        <f t="shared" si="566"/>
        <v>31</v>
      </c>
      <c r="AF15559" s="831" t="s">
        <v>11142</v>
      </c>
      <c r="AG15559" s="831" t="s">
        <v>2674</v>
      </c>
      <c r="AH15559" s="831" t="s">
        <v>558</v>
      </c>
      <c r="AI15559" s="831">
        <v>0</v>
      </c>
      <c r="AJ15559" s="835">
        <v>41578</v>
      </c>
      <c r="AK15559" s="831">
        <v>603395542</v>
      </c>
    </row>
    <row r="15560" spans="2:37">
      <c r="B15560" s="834" t="str">
        <f t="shared" si="565"/>
        <v>|||</v>
      </c>
      <c r="H15560" s="835">
        <f t="shared" si="566"/>
        <v>31</v>
      </c>
      <c r="AF15560" s="831" t="s">
        <v>11143</v>
      </c>
      <c r="AG15560" s="831" t="s">
        <v>2674</v>
      </c>
      <c r="AH15560" s="831" t="s">
        <v>65</v>
      </c>
      <c r="AI15560" s="831">
        <v>0</v>
      </c>
      <c r="AJ15560" s="835">
        <v>41578</v>
      </c>
      <c r="AK15560" s="831">
        <v>107527674</v>
      </c>
    </row>
    <row r="15561" spans="2:37">
      <c r="B15561" s="834" t="str">
        <f t="shared" si="565"/>
        <v>|||</v>
      </c>
      <c r="H15561" s="835">
        <f t="shared" si="566"/>
        <v>31</v>
      </c>
      <c r="AF15561" s="831" t="s">
        <v>11144</v>
      </c>
      <c r="AG15561" s="831" t="s">
        <v>2674</v>
      </c>
      <c r="AH15561" s="831" t="s">
        <v>89</v>
      </c>
      <c r="AI15561" s="831">
        <v>0</v>
      </c>
      <c r="AJ15561" s="835">
        <v>41578</v>
      </c>
      <c r="AK15561" s="831">
        <v>143295</v>
      </c>
    </row>
    <row r="15562" spans="2:37">
      <c r="B15562" s="834" t="str">
        <f t="shared" si="565"/>
        <v>|||</v>
      </c>
      <c r="H15562" s="835">
        <f t="shared" si="566"/>
        <v>31</v>
      </c>
      <c r="AF15562" s="831" t="s">
        <v>11145</v>
      </c>
      <c r="AG15562" s="831" t="s">
        <v>2674</v>
      </c>
      <c r="AH15562" s="831" t="s">
        <v>557</v>
      </c>
      <c r="AI15562" s="831">
        <v>0</v>
      </c>
      <c r="AJ15562" s="835">
        <v>41578</v>
      </c>
      <c r="AK15562" s="831">
        <v>153100</v>
      </c>
    </row>
    <row r="15563" spans="2:37">
      <c r="B15563" s="834" t="str">
        <f t="shared" si="565"/>
        <v>|||</v>
      </c>
      <c r="H15563" s="835">
        <f t="shared" si="566"/>
        <v>31</v>
      </c>
      <c r="AF15563" s="831" t="s">
        <v>11146</v>
      </c>
      <c r="AG15563" s="831" t="s">
        <v>2674</v>
      </c>
      <c r="AH15563" s="831" t="s">
        <v>29</v>
      </c>
      <c r="AI15563" s="831">
        <v>0</v>
      </c>
      <c r="AJ15563" s="835">
        <v>41578</v>
      </c>
      <c r="AK15563" s="831">
        <v>1718550.9230000002</v>
      </c>
    </row>
    <row r="15564" spans="2:37">
      <c r="B15564" s="834" t="str">
        <f t="shared" si="565"/>
        <v>|||</v>
      </c>
      <c r="H15564" s="835">
        <f t="shared" si="566"/>
        <v>31</v>
      </c>
      <c r="AF15564" s="831" t="s">
        <v>11147</v>
      </c>
      <c r="AG15564" s="831" t="s">
        <v>2674</v>
      </c>
      <c r="AH15564" s="831" t="s">
        <v>2688</v>
      </c>
      <c r="AI15564" s="831">
        <v>0</v>
      </c>
      <c r="AJ15564" s="835">
        <v>41578</v>
      </c>
      <c r="AK15564" s="831">
        <v>2316853.79</v>
      </c>
    </row>
    <row r="15565" spans="2:37">
      <c r="B15565" s="834" t="str">
        <f t="shared" si="565"/>
        <v>|||</v>
      </c>
      <c r="H15565" s="835">
        <f t="shared" si="566"/>
        <v>31</v>
      </c>
      <c r="AF15565" s="831" t="s">
        <v>11148</v>
      </c>
      <c r="AG15565" s="831" t="s">
        <v>2674</v>
      </c>
      <c r="AH15565" s="831" t="s">
        <v>556</v>
      </c>
      <c r="AI15565" s="831">
        <v>0</v>
      </c>
      <c r="AJ15565" s="835">
        <v>41578</v>
      </c>
      <c r="AK15565" s="831">
        <v>1644732</v>
      </c>
    </row>
    <row r="15566" spans="2:37">
      <c r="B15566" s="834" t="str">
        <f t="shared" si="565"/>
        <v>|||</v>
      </c>
      <c r="H15566" s="835">
        <f t="shared" si="566"/>
        <v>31</v>
      </c>
      <c r="AF15566" s="831" t="s">
        <v>11149</v>
      </c>
      <c r="AG15566" s="831" t="s">
        <v>2674</v>
      </c>
      <c r="AH15566" s="831" t="s">
        <v>555</v>
      </c>
      <c r="AI15566" s="831">
        <v>0</v>
      </c>
      <c r="AJ15566" s="835">
        <v>41578</v>
      </c>
      <c r="AK15566" s="831">
        <v>400055160</v>
      </c>
    </row>
    <row r="15567" spans="2:37">
      <c r="B15567" s="834" t="str">
        <f t="shared" si="565"/>
        <v>|||</v>
      </c>
      <c r="H15567" s="835">
        <f t="shared" si="566"/>
        <v>31</v>
      </c>
      <c r="AF15567" s="831" t="s">
        <v>11150</v>
      </c>
      <c r="AG15567" s="831" t="s">
        <v>2674</v>
      </c>
      <c r="AH15567" s="831" t="s">
        <v>554</v>
      </c>
      <c r="AI15567" s="831">
        <v>0</v>
      </c>
      <c r="AJ15567" s="835">
        <v>41578</v>
      </c>
      <c r="AK15567" s="831">
        <v>409100170</v>
      </c>
    </row>
    <row r="15568" spans="2:37">
      <c r="B15568" s="834" t="str">
        <f t="shared" si="565"/>
        <v>|||</v>
      </c>
      <c r="H15568" s="835">
        <f t="shared" si="566"/>
        <v>31</v>
      </c>
      <c r="AF15568" s="831" t="s">
        <v>11151</v>
      </c>
      <c r="AG15568" s="831" t="s">
        <v>2674</v>
      </c>
      <c r="AH15568" s="831" t="s">
        <v>553</v>
      </c>
      <c r="AI15568" s="831">
        <v>0</v>
      </c>
      <c r="AJ15568" s="835">
        <v>41578</v>
      </c>
      <c r="AK15568" s="831">
        <v>0</v>
      </c>
    </row>
    <row r="15569" spans="2:37">
      <c r="B15569" s="834" t="str">
        <f t="shared" ref="B15569:B15632" si="567">C15569&amp;"|"&amp;D15569&amp;"|"&amp;E15569&amp;"|"&amp;F15569</f>
        <v>|||</v>
      </c>
      <c r="H15569" s="835">
        <f t="shared" ref="H15569:H15632" si="568">EOMONTH(L15569,0)</f>
        <v>31</v>
      </c>
      <c r="AF15569" s="831" t="s">
        <v>11152</v>
      </c>
      <c r="AG15569" s="831" t="s">
        <v>2674</v>
      </c>
      <c r="AH15569" s="831" t="s">
        <v>552</v>
      </c>
      <c r="AI15569" s="831">
        <v>0</v>
      </c>
      <c r="AJ15569" s="835">
        <v>41578</v>
      </c>
      <c r="AK15569" s="831">
        <v>0</v>
      </c>
    </row>
    <row r="15570" spans="2:37">
      <c r="B15570" s="834" t="str">
        <f t="shared" si="567"/>
        <v>|||</v>
      </c>
      <c r="H15570" s="835">
        <f t="shared" si="568"/>
        <v>31</v>
      </c>
      <c r="AF15570" s="831" t="s">
        <v>11153</v>
      </c>
      <c r="AG15570" s="831" t="s">
        <v>2674</v>
      </c>
      <c r="AH15570" s="831" t="s">
        <v>551</v>
      </c>
      <c r="AI15570" s="831">
        <v>0</v>
      </c>
      <c r="AJ15570" s="835">
        <v>41578</v>
      </c>
      <c r="AK15570" s="831">
        <v>1543588.5830000001</v>
      </c>
    </row>
    <row r="15571" spans="2:37">
      <c r="B15571" s="834" t="str">
        <f t="shared" si="567"/>
        <v>|||</v>
      </c>
      <c r="H15571" s="835">
        <f t="shared" si="568"/>
        <v>31</v>
      </c>
      <c r="AF15571" s="831" t="s">
        <v>11154</v>
      </c>
      <c r="AG15571" s="831" t="s">
        <v>2674</v>
      </c>
      <c r="AH15571" s="831" t="s">
        <v>550</v>
      </c>
      <c r="AI15571" s="831">
        <v>0</v>
      </c>
      <c r="AJ15571" s="835">
        <v>41578</v>
      </c>
      <c r="AK15571" s="831">
        <v>117170637</v>
      </c>
    </row>
    <row r="15572" spans="2:37">
      <c r="B15572" s="834" t="str">
        <f t="shared" si="567"/>
        <v>|||</v>
      </c>
      <c r="H15572" s="835">
        <f t="shared" si="568"/>
        <v>31</v>
      </c>
      <c r="AF15572" s="831" t="s">
        <v>11155</v>
      </c>
      <c r="AG15572" s="831" t="s">
        <v>2674</v>
      </c>
      <c r="AH15572" s="831" t="s">
        <v>562</v>
      </c>
      <c r="AI15572" s="831">
        <v>0</v>
      </c>
      <c r="AJ15572" s="835">
        <v>41578</v>
      </c>
      <c r="AK15572" s="831">
        <v>0.78395000000000004</v>
      </c>
    </row>
    <row r="15573" spans="2:37">
      <c r="B15573" s="834" t="str">
        <f t="shared" si="567"/>
        <v>|||</v>
      </c>
      <c r="H15573" s="835">
        <f t="shared" si="568"/>
        <v>31</v>
      </c>
      <c r="AF15573" s="831" t="s">
        <v>11156</v>
      </c>
      <c r="AG15573" s="831" t="s">
        <v>2674</v>
      </c>
      <c r="AH15573" s="831" t="s">
        <v>2698</v>
      </c>
      <c r="AI15573" s="831">
        <v>0</v>
      </c>
      <c r="AJ15573" s="835">
        <v>41578</v>
      </c>
      <c r="AK15573" s="831">
        <v>0.78395000000000004</v>
      </c>
    </row>
    <row r="15574" spans="2:37">
      <c r="B15574" s="834" t="str">
        <f t="shared" si="567"/>
        <v>|||</v>
      </c>
      <c r="H15574" s="835">
        <f t="shared" si="568"/>
        <v>31</v>
      </c>
      <c r="AF15574" s="831" t="s">
        <v>11157</v>
      </c>
      <c r="AG15574" s="831" t="s">
        <v>2674</v>
      </c>
      <c r="AH15574" s="831" t="s">
        <v>560</v>
      </c>
      <c r="AI15574" s="831">
        <v>0</v>
      </c>
      <c r="AJ15574" s="835">
        <v>41578</v>
      </c>
      <c r="AK15574" s="831">
        <v>0.78400000000000003</v>
      </c>
    </row>
    <row r="15575" spans="2:37">
      <c r="B15575" s="834" t="str">
        <f t="shared" si="567"/>
        <v>|||</v>
      </c>
      <c r="H15575" s="835">
        <f t="shared" si="568"/>
        <v>31</v>
      </c>
      <c r="AF15575" s="831" t="s">
        <v>11158</v>
      </c>
      <c r="AG15575" s="831" t="s">
        <v>2674</v>
      </c>
      <c r="AH15575" s="831" t="s">
        <v>559</v>
      </c>
      <c r="AI15575" s="831">
        <v>0</v>
      </c>
      <c r="AJ15575" s="835">
        <v>41578</v>
      </c>
      <c r="AK15575" s="831">
        <v>0.78401250000000011</v>
      </c>
    </row>
    <row r="15576" spans="2:37">
      <c r="B15576" s="834" t="str">
        <f t="shared" si="567"/>
        <v>|||</v>
      </c>
      <c r="H15576" s="835">
        <f t="shared" si="568"/>
        <v>31</v>
      </c>
      <c r="AF15576" s="831" t="s">
        <v>11159</v>
      </c>
      <c r="AG15576" s="831" t="s">
        <v>2674</v>
      </c>
      <c r="AH15576" s="831" t="s">
        <v>568</v>
      </c>
      <c r="AI15576" s="831">
        <v>0</v>
      </c>
      <c r="AJ15576" s="835">
        <v>41578</v>
      </c>
      <c r="AK15576" s="831">
        <v>478407995.76923078</v>
      </c>
    </row>
    <row r="15577" spans="2:37">
      <c r="B15577" s="834" t="str">
        <f t="shared" si="567"/>
        <v>|||</v>
      </c>
      <c r="H15577" s="835">
        <f t="shared" si="568"/>
        <v>31</v>
      </c>
      <c r="AF15577" s="831" t="s">
        <v>11160</v>
      </c>
      <c r="AG15577" s="831" t="s">
        <v>2674</v>
      </c>
      <c r="AH15577" s="831" t="s">
        <v>569</v>
      </c>
      <c r="AI15577" s="831">
        <v>0</v>
      </c>
      <c r="AJ15577" s="835">
        <v>41578</v>
      </c>
      <c r="AK15577" s="831">
        <v>581144138.23076928</v>
      </c>
    </row>
    <row r="15578" spans="2:37">
      <c r="B15578" s="834" t="str">
        <f t="shared" si="567"/>
        <v>|||</v>
      </c>
      <c r="H15578" s="835">
        <f t="shared" si="568"/>
        <v>31</v>
      </c>
      <c r="AF15578" s="831" t="s">
        <v>11161</v>
      </c>
      <c r="AG15578" s="831" t="s">
        <v>2674</v>
      </c>
      <c r="AH15578" s="831" t="s">
        <v>570</v>
      </c>
      <c r="AI15578" s="831">
        <v>0</v>
      </c>
      <c r="AJ15578" s="835">
        <v>41578</v>
      </c>
      <c r="AK15578" s="831">
        <v>105999107.61538461</v>
      </c>
    </row>
    <row r="15579" spans="2:37">
      <c r="B15579" s="834" t="str">
        <f t="shared" si="567"/>
        <v>|||</v>
      </c>
      <c r="H15579" s="835">
        <f t="shared" si="568"/>
        <v>31</v>
      </c>
      <c r="AF15579" s="831" t="s">
        <v>11162</v>
      </c>
      <c r="AG15579" s="831" t="s">
        <v>2674</v>
      </c>
      <c r="AH15579" s="831" t="s">
        <v>571</v>
      </c>
      <c r="AI15579" s="831">
        <v>0</v>
      </c>
      <c r="AJ15579" s="835">
        <v>41578</v>
      </c>
      <c r="AK15579" s="831">
        <v>269945691.38461536</v>
      </c>
    </row>
    <row r="15580" spans="2:37">
      <c r="B15580" s="834" t="str">
        <f t="shared" si="567"/>
        <v>|||</v>
      </c>
      <c r="H15580" s="835">
        <f t="shared" si="568"/>
        <v>31</v>
      </c>
      <c r="AF15580" s="831" t="s">
        <v>11163</v>
      </c>
      <c r="AG15580" s="831" t="s">
        <v>2674</v>
      </c>
      <c r="AH15580" s="831" t="s">
        <v>573</v>
      </c>
      <c r="AI15580" s="831">
        <v>0</v>
      </c>
      <c r="AJ15580" s="835">
        <v>41578</v>
      </c>
      <c r="AK15580" s="831">
        <v>602977734.09090912</v>
      </c>
    </row>
    <row r="15581" spans="2:37">
      <c r="B15581" s="834" t="str">
        <f t="shared" si="567"/>
        <v>|||</v>
      </c>
      <c r="H15581" s="835">
        <f t="shared" si="568"/>
        <v>31</v>
      </c>
      <c r="AF15581" s="831" t="s">
        <v>11164</v>
      </c>
      <c r="AG15581" s="831" t="s">
        <v>2674</v>
      </c>
      <c r="AH15581" s="831" t="s">
        <v>574</v>
      </c>
      <c r="AI15581" s="831">
        <v>0</v>
      </c>
      <c r="AJ15581" s="835">
        <v>41578</v>
      </c>
      <c r="AK15581" s="831">
        <v>495346900.72727275</v>
      </c>
    </row>
    <row r="15582" spans="2:37">
      <c r="B15582" s="834" t="str">
        <f t="shared" si="567"/>
        <v>|||</v>
      </c>
      <c r="H15582" s="835">
        <f t="shared" si="568"/>
        <v>31</v>
      </c>
      <c r="AF15582" s="831" t="s">
        <v>11165</v>
      </c>
      <c r="AG15582" s="831" t="s">
        <v>2674</v>
      </c>
      <c r="AH15582" s="831" t="s">
        <v>575</v>
      </c>
      <c r="AI15582" s="831">
        <v>0</v>
      </c>
      <c r="AJ15582" s="835">
        <v>41578</v>
      </c>
      <c r="AK15582" s="831">
        <v>106972740.09090909</v>
      </c>
    </row>
    <row r="15583" spans="2:37">
      <c r="B15583" s="834" t="str">
        <f t="shared" si="567"/>
        <v>|||</v>
      </c>
      <c r="H15583" s="835">
        <f t="shared" si="568"/>
        <v>31</v>
      </c>
      <c r="AF15583" s="831" t="s">
        <v>11166</v>
      </c>
      <c r="AG15583" s="831" t="s">
        <v>2674</v>
      </c>
      <c r="AH15583" s="831" t="s">
        <v>576</v>
      </c>
      <c r="AI15583" s="831">
        <v>0</v>
      </c>
      <c r="AJ15583" s="835">
        <v>41578</v>
      </c>
      <c r="AK15583" s="831">
        <v>283862763.27272725</v>
      </c>
    </row>
    <row r="15584" spans="2:37">
      <c r="B15584" s="834" t="str">
        <f t="shared" si="567"/>
        <v>|||</v>
      </c>
      <c r="H15584" s="835">
        <f t="shared" si="568"/>
        <v>31</v>
      </c>
      <c r="AF15584" s="831" t="s">
        <v>11167</v>
      </c>
      <c r="AG15584" s="831" t="s">
        <v>2674</v>
      </c>
      <c r="AH15584" s="831" t="s">
        <v>572</v>
      </c>
      <c r="AI15584" s="831">
        <v>0</v>
      </c>
      <c r="AJ15584" s="835">
        <v>41578</v>
      </c>
      <c r="AK15584" s="831">
        <v>27259085</v>
      </c>
    </row>
    <row r="15585" spans="2:37">
      <c r="B15585" s="834" t="str">
        <f t="shared" si="567"/>
        <v>|||</v>
      </c>
      <c r="H15585" s="835">
        <f t="shared" si="568"/>
        <v>31</v>
      </c>
      <c r="AF15585" s="831" t="s">
        <v>11168</v>
      </c>
      <c r="AG15585" s="831" t="s">
        <v>2674</v>
      </c>
      <c r="AH15585" s="831" t="s">
        <v>577</v>
      </c>
      <c r="AI15585" s="831">
        <v>0</v>
      </c>
      <c r="AJ15585" s="835">
        <v>41578</v>
      </c>
      <c r="AK15585" s="831">
        <v>126095724</v>
      </c>
    </row>
    <row r="15586" spans="2:37">
      <c r="B15586" s="834" t="str">
        <f t="shared" si="567"/>
        <v>|||</v>
      </c>
      <c r="H15586" s="835">
        <f t="shared" si="568"/>
        <v>31</v>
      </c>
      <c r="AF15586" s="831" t="s">
        <v>11169</v>
      </c>
      <c r="AG15586" s="831" t="s">
        <v>2674</v>
      </c>
      <c r="AH15586" s="831" t="s">
        <v>3042</v>
      </c>
      <c r="AI15586" s="831">
        <v>0</v>
      </c>
      <c r="AJ15586" s="835">
        <v>41578</v>
      </c>
      <c r="AK15586" s="831">
        <v>-31522962</v>
      </c>
    </row>
    <row r="15587" spans="2:37">
      <c r="B15587" s="834" t="str">
        <f t="shared" si="567"/>
        <v>|||</v>
      </c>
      <c r="H15587" s="835">
        <f t="shared" si="568"/>
        <v>31</v>
      </c>
      <c r="AF15587" s="831" t="s">
        <v>11170</v>
      </c>
      <c r="AG15587" s="831" t="s">
        <v>2674</v>
      </c>
      <c r="AH15587" s="831" t="s">
        <v>3044</v>
      </c>
      <c r="AI15587" s="831">
        <v>0</v>
      </c>
      <c r="AJ15587" s="835">
        <v>41578</v>
      </c>
      <c r="AK15587" s="831">
        <v>-4397277</v>
      </c>
    </row>
    <row r="15588" spans="2:37">
      <c r="B15588" s="834" t="str">
        <f t="shared" si="567"/>
        <v>|||</v>
      </c>
      <c r="H15588" s="835">
        <f t="shared" si="568"/>
        <v>31</v>
      </c>
      <c r="AF15588" s="831" t="s">
        <v>11171</v>
      </c>
      <c r="AG15588" s="831" t="s">
        <v>2674</v>
      </c>
      <c r="AH15588" s="831" t="s">
        <v>580</v>
      </c>
      <c r="AI15588" s="831">
        <v>0</v>
      </c>
      <c r="AJ15588" s="835">
        <v>41578</v>
      </c>
      <c r="AK15588" s="831">
        <v>-60213639</v>
      </c>
    </row>
    <row r="15589" spans="2:37">
      <c r="B15589" s="834" t="str">
        <f t="shared" si="567"/>
        <v>|||</v>
      </c>
      <c r="H15589" s="835">
        <f t="shared" si="568"/>
        <v>31</v>
      </c>
      <c r="AF15589" s="831" t="s">
        <v>11172</v>
      </c>
      <c r="AG15589" s="831" t="s">
        <v>2674</v>
      </c>
      <c r="AH15589" s="831" t="s">
        <v>581</v>
      </c>
      <c r="AI15589" s="831">
        <v>0</v>
      </c>
      <c r="AJ15589" s="835">
        <v>41578</v>
      </c>
      <c r="AK15589" s="831">
        <v>4896268</v>
      </c>
    </row>
    <row r="15590" spans="2:37">
      <c r="B15590" s="834" t="str">
        <f t="shared" si="567"/>
        <v>|||</v>
      </c>
      <c r="H15590" s="835">
        <f t="shared" si="568"/>
        <v>31</v>
      </c>
      <c r="AF15590" s="831" t="s">
        <v>11173</v>
      </c>
      <c r="AG15590" s="831" t="s">
        <v>2674</v>
      </c>
      <c r="AH15590" s="831" t="s">
        <v>105</v>
      </c>
      <c r="AI15590" s="831">
        <v>0</v>
      </c>
      <c r="AJ15590" s="835">
        <v>41578</v>
      </c>
      <c r="AK15590" s="831">
        <v>349309695</v>
      </c>
    </row>
    <row r="15591" spans="2:37">
      <c r="B15591" s="834" t="str">
        <f t="shared" si="567"/>
        <v>|||</v>
      </c>
      <c r="H15591" s="835">
        <f t="shared" si="568"/>
        <v>31</v>
      </c>
      <c r="AF15591" s="831" t="s">
        <v>11174</v>
      </c>
      <c r="AG15591" s="831" t="s">
        <v>2674</v>
      </c>
      <c r="AH15591" s="831" t="s">
        <v>3049</v>
      </c>
      <c r="AI15591" s="831">
        <v>0</v>
      </c>
      <c r="AJ15591" s="835">
        <v>41578</v>
      </c>
      <c r="AK15591" s="831">
        <v>582451860</v>
      </c>
    </row>
    <row r="15592" spans="2:37">
      <c r="B15592" s="834" t="str">
        <f t="shared" si="567"/>
        <v>|||</v>
      </c>
      <c r="H15592" s="835">
        <f t="shared" si="568"/>
        <v>31</v>
      </c>
      <c r="AF15592" s="831" t="s">
        <v>11175</v>
      </c>
      <c r="AG15592" s="831" t="s">
        <v>2674</v>
      </c>
      <c r="AH15592" s="831" t="s">
        <v>103</v>
      </c>
      <c r="AI15592" s="831">
        <v>0</v>
      </c>
      <c r="AJ15592" s="835">
        <v>41578</v>
      </c>
      <c r="AK15592" s="831">
        <v>233142165</v>
      </c>
    </row>
    <row r="15593" spans="2:37">
      <c r="B15593" s="834" t="str">
        <f t="shared" si="567"/>
        <v>|||</v>
      </c>
      <c r="H15593" s="835">
        <f t="shared" si="568"/>
        <v>31</v>
      </c>
      <c r="AF15593" s="831" t="s">
        <v>11176</v>
      </c>
      <c r="AG15593" s="831" t="s">
        <v>2674</v>
      </c>
      <c r="AH15593" s="831" t="s">
        <v>182</v>
      </c>
      <c r="AI15593" s="831">
        <v>0</v>
      </c>
      <c r="AJ15593" s="835">
        <v>41578</v>
      </c>
      <c r="AK15593" s="831">
        <v>58216306.799999997</v>
      </c>
    </row>
    <row r="15594" spans="2:37">
      <c r="B15594" s="834" t="str">
        <f t="shared" si="567"/>
        <v>|||</v>
      </c>
      <c r="H15594" s="835">
        <f t="shared" si="568"/>
        <v>31</v>
      </c>
      <c r="AF15594" s="831" t="s">
        <v>11177</v>
      </c>
      <c r="AG15594" s="831" t="s">
        <v>2674</v>
      </c>
      <c r="AH15594" s="831" t="s">
        <v>6600</v>
      </c>
      <c r="AI15594" s="831">
        <v>0</v>
      </c>
      <c r="AJ15594" s="835">
        <v>41578</v>
      </c>
      <c r="AK15594" s="831">
        <v>27259085</v>
      </c>
    </row>
    <row r="15595" spans="2:37">
      <c r="B15595" s="834" t="str">
        <f t="shared" si="567"/>
        <v>|||</v>
      </c>
      <c r="H15595" s="835">
        <f t="shared" si="568"/>
        <v>31</v>
      </c>
      <c r="AF15595" s="831" t="s">
        <v>11178</v>
      </c>
      <c r="AG15595" s="831" t="s">
        <v>2674</v>
      </c>
      <c r="AH15595" s="831" t="s">
        <v>6602</v>
      </c>
      <c r="AI15595" s="831">
        <v>0</v>
      </c>
      <c r="AJ15595" s="835">
        <v>41578</v>
      </c>
      <c r="AK15595" s="831">
        <v>25527641</v>
      </c>
    </row>
    <row r="15596" spans="2:37">
      <c r="B15596" s="834" t="str">
        <f t="shared" si="567"/>
        <v>|||</v>
      </c>
      <c r="H15596" s="835">
        <f t="shared" si="568"/>
        <v>31</v>
      </c>
      <c r="AF15596" s="831" t="s">
        <v>11179</v>
      </c>
      <c r="AG15596" s="831" t="s">
        <v>2674</v>
      </c>
      <c r="AH15596" s="831" t="s">
        <v>650</v>
      </c>
      <c r="AI15596" s="831">
        <v>0</v>
      </c>
      <c r="AJ15596" s="835">
        <v>41578</v>
      </c>
      <c r="AK15596" s="831">
        <v>190388810.31923077</v>
      </c>
    </row>
    <row r="15597" spans="2:37">
      <c r="B15597" s="834" t="str">
        <f t="shared" si="567"/>
        <v>|||</v>
      </c>
      <c r="H15597" s="835">
        <f t="shared" si="568"/>
        <v>31</v>
      </c>
      <c r="AF15597" s="831" t="s">
        <v>11180</v>
      </c>
      <c r="AG15597" s="831" t="s">
        <v>2674</v>
      </c>
      <c r="AH15597" s="831" t="s">
        <v>655</v>
      </c>
      <c r="AI15597" s="831">
        <v>0</v>
      </c>
      <c r="AJ15597" s="835">
        <v>41578</v>
      </c>
      <c r="AK15597" s="831">
        <v>1325401.845</v>
      </c>
    </row>
    <row r="15598" spans="2:37">
      <c r="B15598" s="834" t="str">
        <f t="shared" si="567"/>
        <v>|||</v>
      </c>
      <c r="H15598" s="835">
        <f t="shared" si="568"/>
        <v>31</v>
      </c>
      <c r="AF15598" s="831" t="s">
        <v>11181</v>
      </c>
      <c r="AG15598" s="831" t="s">
        <v>2674</v>
      </c>
      <c r="AH15598" s="831" t="s">
        <v>546</v>
      </c>
      <c r="AI15598" s="831">
        <v>0</v>
      </c>
      <c r="AJ15598" s="835">
        <v>41608</v>
      </c>
      <c r="AK15598" s="831">
        <v>598049309.95000005</v>
      </c>
    </row>
    <row r="15599" spans="2:37">
      <c r="B15599" s="834" t="str">
        <f t="shared" si="567"/>
        <v>|||</v>
      </c>
      <c r="H15599" s="835">
        <f t="shared" si="568"/>
        <v>31</v>
      </c>
      <c r="AF15599" s="831" t="s">
        <v>11182</v>
      </c>
      <c r="AG15599" s="831" t="s">
        <v>2674</v>
      </c>
      <c r="AH15599" s="831" t="s">
        <v>370</v>
      </c>
      <c r="AI15599" s="831">
        <v>0</v>
      </c>
      <c r="AJ15599" s="835">
        <v>41608</v>
      </c>
      <c r="AK15599" s="831">
        <v>744271522.09000015</v>
      </c>
    </row>
    <row r="15600" spans="2:37">
      <c r="B15600" s="834" t="str">
        <f t="shared" si="567"/>
        <v>|||</v>
      </c>
      <c r="H15600" s="835">
        <f t="shared" si="568"/>
        <v>31</v>
      </c>
      <c r="AF15600" s="831" t="s">
        <v>11183</v>
      </c>
      <c r="AG15600" s="831" t="s">
        <v>2674</v>
      </c>
      <c r="AH15600" s="831" t="s">
        <v>126</v>
      </c>
      <c r="AI15600" s="831">
        <v>0</v>
      </c>
      <c r="AJ15600" s="835">
        <v>41608</v>
      </c>
      <c r="AK15600" s="831">
        <v>123117939.85600001</v>
      </c>
    </row>
    <row r="15601" spans="2:37">
      <c r="B15601" s="834" t="str">
        <f t="shared" si="567"/>
        <v>|||</v>
      </c>
      <c r="H15601" s="835">
        <f t="shared" si="568"/>
        <v>31</v>
      </c>
      <c r="AF15601" s="831" t="s">
        <v>11184</v>
      </c>
      <c r="AG15601" s="831" t="s">
        <v>2674</v>
      </c>
      <c r="AH15601" s="831" t="s">
        <v>268</v>
      </c>
      <c r="AI15601" s="831">
        <v>0</v>
      </c>
      <c r="AJ15601" s="835">
        <v>41608</v>
      </c>
      <c r="AK15601" s="831">
        <v>28354718.032000005</v>
      </c>
    </row>
    <row r="15602" spans="2:37">
      <c r="B15602" s="834" t="str">
        <f t="shared" si="567"/>
        <v>|||</v>
      </c>
      <c r="H15602" s="835">
        <f t="shared" si="568"/>
        <v>31</v>
      </c>
      <c r="AF15602" s="831" t="s">
        <v>11185</v>
      </c>
      <c r="AG15602" s="831" t="s">
        <v>2674</v>
      </c>
      <c r="AH15602" s="831" t="s">
        <v>547</v>
      </c>
      <c r="AI15602" s="831">
        <v>0</v>
      </c>
      <c r="AJ15602" s="835">
        <v>41608</v>
      </c>
      <c r="AK15602" s="831">
        <v>511487760</v>
      </c>
    </row>
    <row r="15603" spans="2:37">
      <c r="B15603" s="834" t="str">
        <f t="shared" si="567"/>
        <v>|||</v>
      </c>
      <c r="H15603" s="835">
        <f t="shared" si="568"/>
        <v>31</v>
      </c>
      <c r="AF15603" s="831" t="s">
        <v>11186</v>
      </c>
      <c r="AG15603" s="831" t="s">
        <v>2674</v>
      </c>
      <c r="AH15603" s="831" t="s">
        <v>548</v>
      </c>
      <c r="AI15603" s="831">
        <v>0</v>
      </c>
      <c r="AJ15603" s="835">
        <v>41608</v>
      </c>
      <c r="AK15603" s="831">
        <v>96883184</v>
      </c>
    </row>
    <row r="15604" spans="2:37">
      <c r="B15604" s="834" t="str">
        <f t="shared" si="567"/>
        <v>|||</v>
      </c>
      <c r="H15604" s="835">
        <f t="shared" si="568"/>
        <v>31</v>
      </c>
      <c r="AF15604" s="831" t="s">
        <v>11187</v>
      </c>
      <c r="AG15604" s="831" t="s">
        <v>2674</v>
      </c>
      <c r="AH15604" s="831" t="s">
        <v>549</v>
      </c>
      <c r="AI15604" s="831">
        <v>0</v>
      </c>
      <c r="AJ15604" s="835">
        <v>41608</v>
      </c>
      <c r="AK15604" s="831">
        <v>394083786</v>
      </c>
    </row>
    <row r="15605" spans="2:37">
      <c r="B15605" s="834" t="str">
        <f t="shared" si="567"/>
        <v>|||</v>
      </c>
      <c r="H15605" s="835">
        <f t="shared" si="568"/>
        <v>31</v>
      </c>
      <c r="AF15605" s="831" t="s">
        <v>11188</v>
      </c>
      <c r="AG15605" s="831" t="s">
        <v>2674</v>
      </c>
      <c r="AH15605" s="831" t="s">
        <v>192</v>
      </c>
      <c r="AI15605" s="831">
        <v>0</v>
      </c>
      <c r="AJ15605" s="835">
        <v>41608</v>
      </c>
      <c r="AK15605" s="831">
        <v>-13734258.050000001</v>
      </c>
    </row>
    <row r="15606" spans="2:37">
      <c r="B15606" s="834" t="str">
        <f t="shared" si="567"/>
        <v>|||</v>
      </c>
      <c r="H15606" s="835">
        <f t="shared" si="568"/>
        <v>31</v>
      </c>
      <c r="AF15606" s="831" t="s">
        <v>11189</v>
      </c>
      <c r="AG15606" s="831" t="s">
        <v>2674</v>
      </c>
      <c r="AH15606" s="831" t="s">
        <v>558</v>
      </c>
      <c r="AI15606" s="831">
        <v>0</v>
      </c>
      <c r="AJ15606" s="835">
        <v>41608</v>
      </c>
      <c r="AK15606" s="831">
        <v>621153581.74699998</v>
      </c>
    </row>
    <row r="15607" spans="2:37">
      <c r="B15607" s="834" t="str">
        <f t="shared" si="567"/>
        <v>|||</v>
      </c>
      <c r="H15607" s="835">
        <f t="shared" si="568"/>
        <v>31</v>
      </c>
      <c r="AF15607" s="831" t="s">
        <v>11190</v>
      </c>
      <c r="AG15607" s="831" t="s">
        <v>2674</v>
      </c>
      <c r="AH15607" s="831" t="s">
        <v>65</v>
      </c>
      <c r="AI15607" s="831">
        <v>0</v>
      </c>
      <c r="AJ15607" s="835">
        <v>41608</v>
      </c>
      <c r="AK15607" s="831">
        <v>119540969.236</v>
      </c>
    </row>
    <row r="15608" spans="2:37">
      <c r="B15608" s="834" t="str">
        <f t="shared" si="567"/>
        <v>|||</v>
      </c>
      <c r="H15608" s="835">
        <f t="shared" si="568"/>
        <v>31</v>
      </c>
      <c r="AF15608" s="831" t="s">
        <v>11191</v>
      </c>
      <c r="AG15608" s="831" t="s">
        <v>2674</v>
      </c>
      <c r="AH15608" s="831" t="s">
        <v>89</v>
      </c>
      <c r="AI15608" s="831">
        <v>0</v>
      </c>
      <c r="AJ15608" s="835">
        <v>41608</v>
      </c>
      <c r="AK15608" s="831">
        <v>145224</v>
      </c>
    </row>
    <row r="15609" spans="2:37">
      <c r="B15609" s="834" t="str">
        <f t="shared" si="567"/>
        <v>|||</v>
      </c>
      <c r="H15609" s="835">
        <f t="shared" si="568"/>
        <v>31</v>
      </c>
      <c r="AF15609" s="831" t="s">
        <v>11192</v>
      </c>
      <c r="AG15609" s="831" t="s">
        <v>2674</v>
      </c>
      <c r="AH15609" s="831" t="s">
        <v>557</v>
      </c>
      <c r="AI15609" s="831">
        <v>0</v>
      </c>
      <c r="AJ15609" s="835">
        <v>41608</v>
      </c>
      <c r="AK15609" s="831">
        <v>155996</v>
      </c>
    </row>
    <row r="15610" spans="2:37">
      <c r="B15610" s="834" t="str">
        <f t="shared" si="567"/>
        <v>|||</v>
      </c>
      <c r="H15610" s="835">
        <f t="shared" si="568"/>
        <v>31</v>
      </c>
      <c r="AF15610" s="831" t="s">
        <v>11193</v>
      </c>
      <c r="AG15610" s="831" t="s">
        <v>2674</v>
      </c>
      <c r="AH15610" s="831" t="s">
        <v>29</v>
      </c>
      <c r="AI15610" s="831">
        <v>0</v>
      </c>
      <c r="AJ15610" s="835">
        <v>41608</v>
      </c>
      <c r="AK15610" s="831">
        <v>1891894.6070000001</v>
      </c>
    </row>
    <row r="15611" spans="2:37">
      <c r="B15611" s="834" t="str">
        <f t="shared" si="567"/>
        <v>|||</v>
      </c>
      <c r="H15611" s="835">
        <f t="shared" si="568"/>
        <v>31</v>
      </c>
      <c r="AF15611" s="831" t="s">
        <v>11194</v>
      </c>
      <c r="AG15611" s="831" t="s">
        <v>2674</v>
      </c>
      <c r="AH15611" s="831" t="s">
        <v>2688</v>
      </c>
      <c r="AI15611" s="831">
        <v>0</v>
      </c>
      <c r="AJ15611" s="835">
        <v>41608</v>
      </c>
      <c r="AK15611" s="831">
        <v>3430395.37</v>
      </c>
    </row>
    <row r="15612" spans="2:37">
      <c r="B15612" s="834" t="str">
        <f t="shared" si="567"/>
        <v>|||</v>
      </c>
      <c r="H15612" s="835">
        <f t="shared" si="568"/>
        <v>31</v>
      </c>
      <c r="AF15612" s="831" t="s">
        <v>11195</v>
      </c>
      <c r="AG15612" s="831" t="s">
        <v>2674</v>
      </c>
      <c r="AH15612" s="831" t="s">
        <v>556</v>
      </c>
      <c r="AI15612" s="831">
        <v>0</v>
      </c>
      <c r="AJ15612" s="835">
        <v>41608</v>
      </c>
      <c r="AK15612" s="831">
        <v>1644732</v>
      </c>
    </row>
    <row r="15613" spans="2:37">
      <c r="B15613" s="834" t="str">
        <f t="shared" si="567"/>
        <v>|||</v>
      </c>
      <c r="H15613" s="835">
        <f t="shared" si="568"/>
        <v>31</v>
      </c>
      <c r="AF15613" s="831" t="s">
        <v>11196</v>
      </c>
      <c r="AG15613" s="831" t="s">
        <v>2674</v>
      </c>
      <c r="AH15613" s="831" t="s">
        <v>555</v>
      </c>
      <c r="AI15613" s="831">
        <v>0</v>
      </c>
      <c r="AJ15613" s="835">
        <v>41608</v>
      </c>
      <c r="AK15613" s="831">
        <v>414052390</v>
      </c>
    </row>
    <row r="15614" spans="2:37">
      <c r="B15614" s="834" t="str">
        <f t="shared" si="567"/>
        <v>|||</v>
      </c>
      <c r="H15614" s="835">
        <f t="shared" si="568"/>
        <v>31</v>
      </c>
      <c r="AF15614" s="831" t="s">
        <v>11197</v>
      </c>
      <c r="AG15614" s="831" t="s">
        <v>2674</v>
      </c>
      <c r="AH15614" s="831" t="s">
        <v>554</v>
      </c>
      <c r="AI15614" s="831">
        <v>0</v>
      </c>
      <c r="AJ15614" s="835">
        <v>41608</v>
      </c>
      <c r="AK15614" s="831">
        <v>421904620</v>
      </c>
    </row>
    <row r="15615" spans="2:37">
      <c r="B15615" s="834" t="str">
        <f t="shared" si="567"/>
        <v>|||</v>
      </c>
      <c r="H15615" s="835">
        <f t="shared" si="568"/>
        <v>31</v>
      </c>
      <c r="AF15615" s="831" t="s">
        <v>11198</v>
      </c>
      <c r="AG15615" s="831" t="s">
        <v>2674</v>
      </c>
      <c r="AH15615" s="831" t="s">
        <v>553</v>
      </c>
      <c r="AI15615" s="831">
        <v>0</v>
      </c>
      <c r="AJ15615" s="835">
        <v>41608</v>
      </c>
      <c r="AK15615" s="831">
        <v>0</v>
      </c>
    </row>
    <row r="15616" spans="2:37">
      <c r="B15616" s="834" t="str">
        <f t="shared" si="567"/>
        <v>|||</v>
      </c>
      <c r="H15616" s="835">
        <f t="shared" si="568"/>
        <v>31</v>
      </c>
      <c r="AF15616" s="831" t="s">
        <v>11199</v>
      </c>
      <c r="AG15616" s="831" t="s">
        <v>2674</v>
      </c>
      <c r="AH15616" s="831" t="s">
        <v>552</v>
      </c>
      <c r="AI15616" s="831">
        <v>0</v>
      </c>
      <c r="AJ15616" s="835">
        <v>41608</v>
      </c>
      <c r="AK15616" s="831">
        <v>0</v>
      </c>
    </row>
    <row r="15617" spans="2:37">
      <c r="B15617" s="834" t="str">
        <f t="shared" si="567"/>
        <v>|||</v>
      </c>
      <c r="H15617" s="835">
        <f t="shared" si="568"/>
        <v>31</v>
      </c>
      <c r="AF15617" s="831" t="s">
        <v>11200</v>
      </c>
      <c r="AG15617" s="831" t="s">
        <v>2674</v>
      </c>
      <c r="AH15617" s="831" t="s">
        <v>551</v>
      </c>
      <c r="AI15617" s="831">
        <v>0</v>
      </c>
      <c r="AJ15617" s="835">
        <v>41608</v>
      </c>
      <c r="AK15617" s="831">
        <v>1659941.3510000003</v>
      </c>
    </row>
    <row r="15618" spans="2:37">
      <c r="B15618" s="834" t="str">
        <f t="shared" si="567"/>
        <v>|||</v>
      </c>
      <c r="H15618" s="835">
        <f t="shared" si="568"/>
        <v>31</v>
      </c>
      <c r="AF15618" s="831" t="s">
        <v>11201</v>
      </c>
      <c r="AG15618" s="831" t="s">
        <v>2674</v>
      </c>
      <c r="AH15618" s="831" t="s">
        <v>550</v>
      </c>
      <c r="AI15618" s="831">
        <v>0</v>
      </c>
      <c r="AJ15618" s="835">
        <v>41608</v>
      </c>
      <c r="AK15618" s="831">
        <v>120290863</v>
      </c>
    </row>
    <row r="15619" spans="2:37">
      <c r="B15619" s="834" t="str">
        <f t="shared" si="567"/>
        <v>|||</v>
      </c>
      <c r="H15619" s="835">
        <f t="shared" si="568"/>
        <v>31</v>
      </c>
      <c r="AF15619" s="831" t="s">
        <v>11202</v>
      </c>
      <c r="AG15619" s="831" t="s">
        <v>2674</v>
      </c>
      <c r="AH15619" s="831" t="s">
        <v>562</v>
      </c>
      <c r="AI15619" s="831">
        <v>0</v>
      </c>
      <c r="AJ15619" s="835">
        <v>41608</v>
      </c>
      <c r="AK15619" s="831">
        <v>0.78385000000000005</v>
      </c>
    </row>
    <row r="15620" spans="2:37">
      <c r="B15620" s="834" t="str">
        <f t="shared" si="567"/>
        <v>|||</v>
      </c>
      <c r="H15620" s="835">
        <f t="shared" si="568"/>
        <v>31</v>
      </c>
      <c r="AF15620" s="831" t="s">
        <v>11203</v>
      </c>
      <c r="AG15620" s="831" t="s">
        <v>2674</v>
      </c>
      <c r="AH15620" s="831" t="s">
        <v>2698</v>
      </c>
      <c r="AI15620" s="831">
        <v>0</v>
      </c>
      <c r="AJ15620" s="835">
        <v>41608</v>
      </c>
      <c r="AK15620" s="831">
        <v>0.78395000000000004</v>
      </c>
    </row>
    <row r="15621" spans="2:37">
      <c r="B15621" s="834" t="str">
        <f t="shared" si="567"/>
        <v>|||</v>
      </c>
      <c r="H15621" s="835">
        <f t="shared" si="568"/>
        <v>31</v>
      </c>
      <c r="AF15621" s="831" t="s">
        <v>11204</v>
      </c>
      <c r="AG15621" s="831" t="s">
        <v>2674</v>
      </c>
      <c r="AH15621" s="831" t="s">
        <v>560</v>
      </c>
      <c r="AI15621" s="831">
        <v>0</v>
      </c>
      <c r="AJ15621" s="835">
        <v>41608</v>
      </c>
      <c r="AK15621" s="831">
        <v>0.78398636363636354</v>
      </c>
    </row>
    <row r="15622" spans="2:37">
      <c r="B15622" s="834" t="str">
        <f t="shared" si="567"/>
        <v>|||</v>
      </c>
      <c r="H15622" s="835">
        <f t="shared" si="568"/>
        <v>31</v>
      </c>
      <c r="AF15622" s="831" t="s">
        <v>11205</v>
      </c>
      <c r="AG15622" s="831" t="s">
        <v>2674</v>
      </c>
      <c r="AH15622" s="831" t="s">
        <v>559</v>
      </c>
      <c r="AI15622" s="831">
        <v>0</v>
      </c>
      <c r="AJ15622" s="835">
        <v>41608</v>
      </c>
      <c r="AK15622" s="831">
        <v>0.78398749999999995</v>
      </c>
    </row>
    <row r="15623" spans="2:37">
      <c r="B15623" s="834" t="str">
        <f t="shared" si="567"/>
        <v>|||</v>
      </c>
      <c r="H15623" s="835">
        <f t="shared" si="568"/>
        <v>31</v>
      </c>
      <c r="AF15623" s="831" t="s">
        <v>11206</v>
      </c>
      <c r="AG15623" s="831" t="s">
        <v>2674</v>
      </c>
      <c r="AH15623" s="831" t="s">
        <v>568</v>
      </c>
      <c r="AI15623" s="831">
        <v>0</v>
      </c>
      <c r="AJ15623" s="835">
        <v>41608</v>
      </c>
      <c r="AK15623" s="831">
        <v>495457615.68846154</v>
      </c>
    </row>
    <row r="15624" spans="2:37">
      <c r="B15624" s="834" t="str">
        <f t="shared" si="567"/>
        <v>|||</v>
      </c>
      <c r="H15624" s="835">
        <f t="shared" si="568"/>
        <v>31</v>
      </c>
      <c r="AF15624" s="831" t="s">
        <v>11207</v>
      </c>
      <c r="AG15624" s="831" t="s">
        <v>2674</v>
      </c>
      <c r="AH15624" s="831" t="s">
        <v>569</v>
      </c>
      <c r="AI15624" s="831">
        <v>0</v>
      </c>
      <c r="AJ15624" s="835">
        <v>41608</v>
      </c>
      <c r="AK15624" s="831">
        <v>603523727.23769236</v>
      </c>
    </row>
    <row r="15625" spans="2:37">
      <c r="B15625" s="834" t="str">
        <f t="shared" si="567"/>
        <v>|||</v>
      </c>
      <c r="H15625" s="835">
        <f t="shared" si="568"/>
        <v>31</v>
      </c>
      <c r="AF15625" s="831" t="s">
        <v>11208</v>
      </c>
      <c r="AG15625" s="831" t="s">
        <v>2674</v>
      </c>
      <c r="AH15625" s="831" t="s">
        <v>570</v>
      </c>
      <c r="AI15625" s="831">
        <v>0</v>
      </c>
      <c r="AJ15625" s="835">
        <v>41608</v>
      </c>
      <c r="AK15625" s="831">
        <v>107821146.75815384</v>
      </c>
    </row>
    <row r="15626" spans="2:37">
      <c r="B15626" s="834" t="str">
        <f t="shared" si="567"/>
        <v>|||</v>
      </c>
      <c r="H15626" s="835">
        <f t="shared" si="568"/>
        <v>31</v>
      </c>
      <c r="AF15626" s="831" t="s">
        <v>11209</v>
      </c>
      <c r="AG15626" s="831" t="s">
        <v>2674</v>
      </c>
      <c r="AH15626" s="831" t="s">
        <v>571</v>
      </c>
      <c r="AI15626" s="831">
        <v>0</v>
      </c>
      <c r="AJ15626" s="835">
        <v>41608</v>
      </c>
      <c r="AK15626" s="831">
        <v>283259717.08169228</v>
      </c>
    </row>
    <row r="15627" spans="2:37">
      <c r="B15627" s="834" t="str">
        <f t="shared" si="567"/>
        <v>|||</v>
      </c>
      <c r="H15627" s="835">
        <f t="shared" si="568"/>
        <v>31</v>
      </c>
      <c r="AF15627" s="831" t="s">
        <v>11210</v>
      </c>
      <c r="AG15627" s="831" t="s">
        <v>2674</v>
      </c>
      <c r="AH15627" s="831" t="s">
        <v>573</v>
      </c>
      <c r="AI15627" s="831">
        <v>0</v>
      </c>
      <c r="AJ15627" s="835">
        <v>41608</v>
      </c>
      <c r="AK15627" s="831">
        <v>614752216.42416668</v>
      </c>
    </row>
    <row r="15628" spans="2:37">
      <c r="B15628" s="834" t="str">
        <f t="shared" si="567"/>
        <v>|||</v>
      </c>
      <c r="H15628" s="835">
        <f t="shared" si="568"/>
        <v>31</v>
      </c>
      <c r="AF15628" s="831" t="s">
        <v>11211</v>
      </c>
      <c r="AG15628" s="831" t="s">
        <v>2674</v>
      </c>
      <c r="AH15628" s="831" t="s">
        <v>574</v>
      </c>
      <c r="AI15628" s="831">
        <v>0</v>
      </c>
      <c r="AJ15628" s="835">
        <v>41608</v>
      </c>
      <c r="AK15628" s="831">
        <v>503905434.82916665</v>
      </c>
    </row>
    <row r="15629" spans="2:37">
      <c r="B15629" s="834" t="str">
        <f t="shared" si="567"/>
        <v>|||</v>
      </c>
      <c r="H15629" s="835">
        <f t="shared" si="568"/>
        <v>31</v>
      </c>
      <c r="AF15629" s="831" t="s">
        <v>11212</v>
      </c>
      <c r="AG15629" s="831" t="s">
        <v>2674</v>
      </c>
      <c r="AH15629" s="831" t="s">
        <v>575</v>
      </c>
      <c r="AI15629" s="831">
        <v>0</v>
      </c>
      <c r="AJ15629" s="835">
        <v>41608</v>
      </c>
      <c r="AK15629" s="831">
        <v>108318173.40466666</v>
      </c>
    </row>
    <row r="15630" spans="2:37">
      <c r="B15630" s="834" t="str">
        <f t="shared" si="567"/>
        <v>|||</v>
      </c>
      <c r="H15630" s="835">
        <f t="shared" si="568"/>
        <v>31</v>
      </c>
      <c r="AF15630" s="831" t="s">
        <v>11213</v>
      </c>
      <c r="AG15630" s="831" t="s">
        <v>2674</v>
      </c>
      <c r="AH15630" s="831" t="s">
        <v>576</v>
      </c>
      <c r="AI15630" s="831">
        <v>0</v>
      </c>
      <c r="AJ15630" s="835">
        <v>41608</v>
      </c>
      <c r="AK15630" s="831">
        <v>290020734.67183334</v>
      </c>
    </row>
    <row r="15631" spans="2:37">
      <c r="B15631" s="834" t="str">
        <f t="shared" si="567"/>
        <v>|||</v>
      </c>
      <c r="H15631" s="835">
        <f t="shared" si="568"/>
        <v>31</v>
      </c>
      <c r="AF15631" s="831" t="s">
        <v>11214</v>
      </c>
      <c r="AG15631" s="831" t="s">
        <v>2674</v>
      </c>
      <c r="AH15631" s="831" t="s">
        <v>572</v>
      </c>
      <c r="AI15631" s="831">
        <v>0</v>
      </c>
      <c r="AJ15631" s="835">
        <v>41608</v>
      </c>
      <c r="AK15631" s="831">
        <v>27660766.032000005</v>
      </c>
    </row>
    <row r="15632" spans="2:37">
      <c r="B15632" s="834" t="str">
        <f t="shared" si="567"/>
        <v>|||</v>
      </c>
      <c r="H15632" s="835">
        <f t="shared" si="568"/>
        <v>31</v>
      </c>
      <c r="AF15632" s="831" t="s">
        <v>11215</v>
      </c>
      <c r="AG15632" s="831" t="s">
        <v>2674</v>
      </c>
      <c r="AH15632" s="831" t="s">
        <v>577</v>
      </c>
      <c r="AI15632" s="831">
        <v>0</v>
      </c>
      <c r="AJ15632" s="835">
        <v>41608</v>
      </c>
      <c r="AK15632" s="831">
        <v>128906380.236</v>
      </c>
    </row>
    <row r="15633" spans="2:37">
      <c r="B15633" s="834" t="str">
        <f t="shared" ref="B15633:B15696" si="569">C15633&amp;"|"&amp;D15633&amp;"|"&amp;E15633&amp;"|"&amp;F15633</f>
        <v>|||</v>
      </c>
      <c r="H15633" s="835">
        <f t="shared" ref="H15633:H15696" si="570">EOMONTH(L15633,0)</f>
        <v>31</v>
      </c>
      <c r="AF15633" s="831" t="s">
        <v>11216</v>
      </c>
      <c r="AG15633" s="831" t="s">
        <v>2674</v>
      </c>
      <c r="AH15633" s="831" t="s">
        <v>3042</v>
      </c>
      <c r="AI15633" s="831">
        <v>0</v>
      </c>
      <c r="AJ15633" s="835">
        <v>41608</v>
      </c>
      <c r="AK15633" s="831">
        <v>-32754423.664999999</v>
      </c>
    </row>
    <row r="15634" spans="2:37">
      <c r="B15634" s="834" t="str">
        <f t="shared" si="569"/>
        <v>|||</v>
      </c>
      <c r="H15634" s="835">
        <f t="shared" si="570"/>
        <v>31</v>
      </c>
      <c r="AF15634" s="831" t="s">
        <v>11217</v>
      </c>
      <c r="AG15634" s="831" t="s">
        <v>2674</v>
      </c>
      <c r="AH15634" s="831" t="s">
        <v>3044</v>
      </c>
      <c r="AI15634" s="831">
        <v>0</v>
      </c>
      <c r="AJ15634" s="835">
        <v>41608</v>
      </c>
      <c r="AK15634" s="831">
        <v>-4752350.8779999996</v>
      </c>
    </row>
    <row r="15635" spans="2:37">
      <c r="B15635" s="834" t="str">
        <f t="shared" si="569"/>
        <v>|||</v>
      </c>
      <c r="H15635" s="835">
        <f t="shared" si="570"/>
        <v>31</v>
      </c>
      <c r="AF15635" s="831" t="s">
        <v>11218</v>
      </c>
      <c r="AG15635" s="831" t="s">
        <v>2674</v>
      </c>
      <c r="AH15635" s="831" t="s">
        <v>580</v>
      </c>
      <c r="AI15635" s="831">
        <v>0</v>
      </c>
      <c r="AJ15635" s="835">
        <v>41608</v>
      </c>
      <c r="AK15635" s="831">
        <v>-61342758.126000002</v>
      </c>
    </row>
    <row r="15636" spans="2:37">
      <c r="B15636" s="834" t="str">
        <f t="shared" si="569"/>
        <v>|||</v>
      </c>
      <c r="H15636" s="835">
        <f t="shared" si="570"/>
        <v>31</v>
      </c>
      <c r="AF15636" s="831" t="s">
        <v>11219</v>
      </c>
      <c r="AG15636" s="831" t="s">
        <v>2674</v>
      </c>
      <c r="AH15636" s="831" t="s">
        <v>581</v>
      </c>
      <c r="AI15636" s="831">
        <v>0</v>
      </c>
      <c r="AJ15636" s="835">
        <v>41608</v>
      </c>
      <c r="AK15636" s="831">
        <v>5348437.4649999999</v>
      </c>
    </row>
    <row r="15637" spans="2:37">
      <c r="B15637" s="834" t="str">
        <f t="shared" si="569"/>
        <v>|||</v>
      </c>
      <c r="H15637" s="835">
        <f t="shared" si="570"/>
        <v>31</v>
      </c>
      <c r="AF15637" s="831" t="s">
        <v>11220</v>
      </c>
      <c r="AG15637" s="831" t="s">
        <v>2674</v>
      </c>
      <c r="AH15637" s="831" t="s">
        <v>105</v>
      </c>
      <c r="AI15637" s="831">
        <v>0</v>
      </c>
      <c r="AJ15637" s="835">
        <v>41608</v>
      </c>
      <c r="AK15637" s="831">
        <v>357758420.06199998</v>
      </c>
    </row>
    <row r="15638" spans="2:37">
      <c r="B15638" s="834" t="str">
        <f t="shared" si="569"/>
        <v>|||</v>
      </c>
      <c r="H15638" s="835">
        <f t="shared" si="570"/>
        <v>31</v>
      </c>
      <c r="AF15638" s="831" t="s">
        <v>11221</v>
      </c>
      <c r="AG15638" s="831" t="s">
        <v>2674</v>
      </c>
      <c r="AH15638" s="831" t="s">
        <v>3049</v>
      </c>
      <c r="AI15638" s="831">
        <v>0</v>
      </c>
      <c r="AJ15638" s="835">
        <v>41608</v>
      </c>
      <c r="AK15638" s="831">
        <v>601955674.8829999</v>
      </c>
    </row>
    <row r="15639" spans="2:37">
      <c r="B15639" s="834" t="str">
        <f t="shared" si="569"/>
        <v>|||</v>
      </c>
      <c r="H15639" s="835">
        <f t="shared" si="570"/>
        <v>31</v>
      </c>
      <c r="AF15639" s="831" t="s">
        <v>11222</v>
      </c>
      <c r="AG15639" s="831" t="s">
        <v>2674</v>
      </c>
      <c r="AH15639" s="831" t="s">
        <v>103</v>
      </c>
      <c r="AI15639" s="831">
        <v>0</v>
      </c>
      <c r="AJ15639" s="835">
        <v>41608</v>
      </c>
      <c r="AK15639" s="831">
        <v>244197254.82099998</v>
      </c>
    </row>
    <row r="15640" spans="2:37">
      <c r="B15640" s="834" t="str">
        <f t="shared" si="569"/>
        <v>|||</v>
      </c>
      <c r="H15640" s="835">
        <f t="shared" si="570"/>
        <v>31</v>
      </c>
      <c r="AF15640" s="831" t="s">
        <v>11223</v>
      </c>
      <c r="AG15640" s="831" t="s">
        <v>2674</v>
      </c>
      <c r="AH15640" s="831" t="s">
        <v>182</v>
      </c>
      <c r="AI15640" s="831">
        <v>0</v>
      </c>
      <c r="AJ15640" s="835">
        <v>41608</v>
      </c>
      <c r="AK15640" s="831">
        <v>58896650.319272734</v>
      </c>
    </row>
    <row r="15641" spans="2:37">
      <c r="B15641" s="834" t="str">
        <f t="shared" si="569"/>
        <v>|||</v>
      </c>
      <c r="H15641" s="835">
        <f t="shared" si="570"/>
        <v>31</v>
      </c>
      <c r="AF15641" s="831" t="s">
        <v>11224</v>
      </c>
      <c r="AG15641" s="831" t="s">
        <v>2674</v>
      </c>
      <c r="AH15641" s="831" t="s">
        <v>6600</v>
      </c>
      <c r="AI15641" s="831">
        <v>0</v>
      </c>
      <c r="AJ15641" s="835">
        <v>41608</v>
      </c>
      <c r="AK15641" s="831">
        <v>27660766.032000005</v>
      </c>
    </row>
    <row r="15642" spans="2:37">
      <c r="B15642" s="834" t="str">
        <f t="shared" si="569"/>
        <v>|||</v>
      </c>
      <c r="H15642" s="835">
        <f t="shared" si="570"/>
        <v>31</v>
      </c>
      <c r="AF15642" s="831" t="s">
        <v>11225</v>
      </c>
      <c r="AG15642" s="831" t="s">
        <v>2674</v>
      </c>
      <c r="AH15642" s="831" t="s">
        <v>6602</v>
      </c>
      <c r="AI15642" s="831">
        <v>0</v>
      </c>
      <c r="AJ15642" s="835">
        <v>41608</v>
      </c>
      <c r="AK15642" s="831">
        <v>28354718.032000005</v>
      </c>
    </row>
    <row r="15643" spans="2:37">
      <c r="B15643" s="834" t="str">
        <f t="shared" si="569"/>
        <v>|||</v>
      </c>
      <c r="H15643" s="835">
        <f t="shared" si="570"/>
        <v>31</v>
      </c>
      <c r="AF15643" s="831" t="s">
        <v>11226</v>
      </c>
      <c r="AG15643" s="831" t="s">
        <v>2674</v>
      </c>
      <c r="AH15643" s="831" t="s">
        <v>650</v>
      </c>
      <c r="AI15643" s="831">
        <v>0</v>
      </c>
      <c r="AJ15643" s="835">
        <v>41608</v>
      </c>
      <c r="AK15643" s="831">
        <v>197061109.84392309</v>
      </c>
    </row>
    <row r="15644" spans="2:37">
      <c r="B15644" s="834" t="str">
        <f t="shared" si="569"/>
        <v>|||</v>
      </c>
      <c r="H15644" s="835">
        <f t="shared" si="570"/>
        <v>31</v>
      </c>
      <c r="AF15644" s="831" t="s">
        <v>11227</v>
      </c>
      <c r="AG15644" s="831" t="s">
        <v>2674</v>
      </c>
      <c r="AH15644" s="831" t="s">
        <v>655</v>
      </c>
      <c r="AI15644" s="831">
        <v>0</v>
      </c>
      <c r="AJ15644" s="835">
        <v>41608</v>
      </c>
      <c r="AK15644" s="831">
        <v>1514274.5550000002</v>
      </c>
    </row>
    <row r="15645" spans="2:37">
      <c r="B15645" s="834" t="str">
        <f t="shared" si="569"/>
        <v>|||</v>
      </c>
      <c r="H15645" s="835">
        <f t="shared" si="570"/>
        <v>31</v>
      </c>
      <c r="AF15645" s="831" t="s">
        <v>11228</v>
      </c>
      <c r="AG15645" s="831" t="s">
        <v>2674</v>
      </c>
      <c r="AH15645" s="831" t="s">
        <v>546</v>
      </c>
      <c r="AI15645" s="831">
        <v>0</v>
      </c>
      <c r="AJ15645" s="835">
        <v>41639</v>
      </c>
      <c r="AK15645" s="831">
        <v>627874260</v>
      </c>
    </row>
    <row r="15646" spans="2:37">
      <c r="B15646" s="834" t="str">
        <f t="shared" si="569"/>
        <v>|||</v>
      </c>
      <c r="H15646" s="835">
        <f t="shared" si="570"/>
        <v>31</v>
      </c>
      <c r="AF15646" s="831" t="s">
        <v>11229</v>
      </c>
      <c r="AG15646" s="831" t="s">
        <v>2674</v>
      </c>
      <c r="AH15646" s="831" t="s">
        <v>370</v>
      </c>
      <c r="AI15646" s="831">
        <v>0</v>
      </c>
      <c r="AJ15646" s="835">
        <v>41639</v>
      </c>
      <c r="AK15646" s="831">
        <v>789514969.56299996</v>
      </c>
    </row>
    <row r="15647" spans="2:37">
      <c r="B15647" s="834" t="str">
        <f t="shared" si="569"/>
        <v>|||</v>
      </c>
      <c r="H15647" s="835">
        <f t="shared" si="570"/>
        <v>31</v>
      </c>
      <c r="AF15647" s="831" t="s">
        <v>11230</v>
      </c>
      <c r="AG15647" s="831" t="s">
        <v>2674</v>
      </c>
      <c r="AH15647" s="831" t="s">
        <v>126</v>
      </c>
      <c r="AI15647" s="831">
        <v>0</v>
      </c>
      <c r="AJ15647" s="835">
        <v>41639</v>
      </c>
      <c r="AK15647" s="831">
        <v>114089765.91</v>
      </c>
    </row>
    <row r="15648" spans="2:37">
      <c r="B15648" s="834" t="str">
        <f t="shared" si="569"/>
        <v>|||</v>
      </c>
      <c r="H15648" s="835">
        <f t="shared" si="570"/>
        <v>31</v>
      </c>
      <c r="AF15648" s="831" t="s">
        <v>11231</v>
      </c>
      <c r="AG15648" s="831" t="s">
        <v>2674</v>
      </c>
      <c r="AH15648" s="831" t="s">
        <v>268</v>
      </c>
      <c r="AI15648" s="831">
        <v>0</v>
      </c>
      <c r="AJ15648" s="835">
        <v>41639</v>
      </c>
      <c r="AK15648" s="831">
        <v>27176541.956000008</v>
      </c>
    </row>
    <row r="15649" spans="2:37">
      <c r="B15649" s="834" t="str">
        <f t="shared" si="569"/>
        <v>|||</v>
      </c>
      <c r="H15649" s="835">
        <f t="shared" si="570"/>
        <v>31</v>
      </c>
      <c r="AF15649" s="831" t="s">
        <v>11232</v>
      </c>
      <c r="AG15649" s="831" t="s">
        <v>2674</v>
      </c>
      <c r="AH15649" s="831" t="s">
        <v>547</v>
      </c>
      <c r="AI15649" s="831">
        <v>0</v>
      </c>
      <c r="AJ15649" s="835">
        <v>41639</v>
      </c>
      <c r="AK15649" s="831">
        <v>511487760</v>
      </c>
    </row>
    <row r="15650" spans="2:37">
      <c r="B15650" s="834" t="str">
        <f t="shared" si="569"/>
        <v>|||</v>
      </c>
      <c r="H15650" s="835">
        <f t="shared" si="570"/>
        <v>31</v>
      </c>
      <c r="AF15650" s="831" t="s">
        <v>11233</v>
      </c>
      <c r="AG15650" s="831" t="s">
        <v>2674</v>
      </c>
      <c r="AH15650" s="831" t="s">
        <v>548</v>
      </c>
      <c r="AI15650" s="831">
        <v>0</v>
      </c>
      <c r="AJ15650" s="835">
        <v>41639</v>
      </c>
      <c r="AK15650" s="831">
        <v>96883184</v>
      </c>
    </row>
    <row r="15651" spans="2:37">
      <c r="B15651" s="834" t="str">
        <f t="shared" si="569"/>
        <v>|||</v>
      </c>
      <c r="H15651" s="835">
        <f t="shared" si="570"/>
        <v>31</v>
      </c>
      <c r="AF15651" s="831" t="s">
        <v>11234</v>
      </c>
      <c r="AG15651" s="831" t="s">
        <v>2674</v>
      </c>
      <c r="AH15651" s="831" t="s">
        <v>549</v>
      </c>
      <c r="AI15651" s="831">
        <v>0</v>
      </c>
      <c r="AJ15651" s="835">
        <v>41639</v>
      </c>
      <c r="AK15651" s="831">
        <v>412125624</v>
      </c>
    </row>
    <row r="15652" spans="2:37">
      <c r="B15652" s="834" t="str">
        <f t="shared" si="569"/>
        <v>|||</v>
      </c>
      <c r="H15652" s="835">
        <f t="shared" si="570"/>
        <v>31</v>
      </c>
      <c r="AF15652" s="831" t="s">
        <v>11235</v>
      </c>
      <c r="AG15652" s="831" t="s">
        <v>2674</v>
      </c>
      <c r="AH15652" s="831" t="s">
        <v>192</v>
      </c>
      <c r="AI15652" s="831">
        <v>0</v>
      </c>
      <c r="AJ15652" s="835">
        <v>41639</v>
      </c>
      <c r="AK15652" s="831">
        <v>-13734258</v>
      </c>
    </row>
    <row r="15653" spans="2:37">
      <c r="B15653" s="834" t="str">
        <f t="shared" si="569"/>
        <v>|||</v>
      </c>
      <c r="H15653" s="835">
        <f t="shared" si="570"/>
        <v>31</v>
      </c>
      <c r="AF15653" s="831" t="s">
        <v>11236</v>
      </c>
      <c r="AG15653" s="831" t="s">
        <v>2674</v>
      </c>
      <c r="AH15653" s="831" t="s">
        <v>558</v>
      </c>
      <c r="AI15653" s="831">
        <v>0</v>
      </c>
      <c r="AJ15653" s="835">
        <v>41639</v>
      </c>
      <c r="AK15653" s="831">
        <v>675425203.71399999</v>
      </c>
    </row>
    <row r="15654" spans="2:37">
      <c r="B15654" s="834" t="str">
        <f t="shared" si="569"/>
        <v>|||</v>
      </c>
      <c r="H15654" s="835">
        <f t="shared" si="570"/>
        <v>31</v>
      </c>
      <c r="AF15654" s="831" t="s">
        <v>11237</v>
      </c>
      <c r="AG15654" s="831" t="s">
        <v>2674</v>
      </c>
      <c r="AH15654" s="831" t="s">
        <v>65</v>
      </c>
      <c r="AI15654" s="831">
        <v>0</v>
      </c>
      <c r="AJ15654" s="835">
        <v>41639</v>
      </c>
      <c r="AK15654" s="831">
        <v>132856888.763</v>
      </c>
    </row>
    <row r="15655" spans="2:37">
      <c r="B15655" s="834" t="str">
        <f t="shared" si="569"/>
        <v>|||</v>
      </c>
      <c r="H15655" s="835">
        <f t="shared" si="570"/>
        <v>31</v>
      </c>
      <c r="AF15655" s="831" t="s">
        <v>11238</v>
      </c>
      <c r="AG15655" s="831" t="s">
        <v>2674</v>
      </c>
      <c r="AH15655" s="831" t="s">
        <v>89</v>
      </c>
      <c r="AI15655" s="831">
        <v>0</v>
      </c>
      <c r="AJ15655" s="835">
        <v>41639</v>
      </c>
      <c r="AK15655" s="831">
        <v>147601</v>
      </c>
    </row>
    <row r="15656" spans="2:37">
      <c r="B15656" s="834" t="str">
        <f t="shared" si="569"/>
        <v>|||</v>
      </c>
      <c r="H15656" s="835">
        <f t="shared" si="570"/>
        <v>31</v>
      </c>
      <c r="AF15656" s="831" t="s">
        <v>11239</v>
      </c>
      <c r="AG15656" s="831" t="s">
        <v>2674</v>
      </c>
      <c r="AH15656" s="831" t="s">
        <v>557</v>
      </c>
      <c r="AI15656" s="831">
        <v>0</v>
      </c>
      <c r="AJ15656" s="835">
        <v>41639</v>
      </c>
      <c r="AK15656" s="831">
        <v>160431</v>
      </c>
    </row>
    <row r="15657" spans="2:37">
      <c r="B15657" s="834" t="str">
        <f t="shared" si="569"/>
        <v>|||</v>
      </c>
      <c r="H15657" s="835">
        <f t="shared" si="570"/>
        <v>31</v>
      </c>
      <c r="AF15657" s="831" t="s">
        <v>11240</v>
      </c>
      <c r="AG15657" s="831" t="s">
        <v>2674</v>
      </c>
      <c r="AH15657" s="831" t="s">
        <v>29</v>
      </c>
      <c r="AI15657" s="831">
        <v>0</v>
      </c>
      <c r="AJ15657" s="835">
        <v>41639</v>
      </c>
      <c r="AK15657" s="831">
        <v>1938216.4366000001</v>
      </c>
    </row>
    <row r="15658" spans="2:37">
      <c r="B15658" s="834" t="str">
        <f t="shared" si="569"/>
        <v>|||</v>
      </c>
      <c r="H15658" s="835">
        <f t="shared" si="570"/>
        <v>31</v>
      </c>
      <c r="AF15658" s="831" t="s">
        <v>11241</v>
      </c>
      <c r="AG15658" s="831" t="s">
        <v>2674</v>
      </c>
      <c r="AH15658" s="831" t="s">
        <v>2688</v>
      </c>
      <c r="AI15658" s="831">
        <v>0</v>
      </c>
      <c r="AJ15658" s="835">
        <v>41639</v>
      </c>
      <c r="AK15658" s="831">
        <v>3277121.17</v>
      </c>
    </row>
    <row r="15659" spans="2:37">
      <c r="B15659" s="834" t="str">
        <f t="shared" si="569"/>
        <v>|||</v>
      </c>
      <c r="H15659" s="835">
        <f t="shared" si="570"/>
        <v>31</v>
      </c>
      <c r="AF15659" s="831" t="s">
        <v>11242</v>
      </c>
      <c r="AG15659" s="831" t="s">
        <v>2674</v>
      </c>
      <c r="AH15659" s="831" t="s">
        <v>556</v>
      </c>
      <c r="AI15659" s="831">
        <v>0</v>
      </c>
      <c r="AJ15659" s="835">
        <v>41639</v>
      </c>
      <c r="AK15659" s="831">
        <v>1644732</v>
      </c>
    </row>
    <row r="15660" spans="2:37">
      <c r="B15660" s="834" t="str">
        <f t="shared" si="569"/>
        <v>|||</v>
      </c>
      <c r="H15660" s="835">
        <f t="shared" si="570"/>
        <v>31</v>
      </c>
      <c r="AF15660" s="831" t="s">
        <v>11243</v>
      </c>
      <c r="AG15660" s="831" t="s">
        <v>2674</v>
      </c>
      <c r="AH15660" s="831" t="s">
        <v>555</v>
      </c>
      <c r="AI15660" s="831">
        <v>0</v>
      </c>
      <c r="AJ15660" s="835">
        <v>41639</v>
      </c>
      <c r="AK15660" s="831">
        <v>435796650</v>
      </c>
    </row>
    <row r="15661" spans="2:37">
      <c r="B15661" s="834" t="str">
        <f t="shared" si="569"/>
        <v>|||</v>
      </c>
      <c r="H15661" s="835">
        <f t="shared" si="570"/>
        <v>31</v>
      </c>
      <c r="AF15661" s="831" t="s">
        <v>11244</v>
      </c>
      <c r="AG15661" s="831" t="s">
        <v>2674</v>
      </c>
      <c r="AH15661" s="831" t="s">
        <v>554</v>
      </c>
      <c r="AI15661" s="831">
        <v>0</v>
      </c>
      <c r="AJ15661" s="835">
        <v>41639</v>
      </c>
      <c r="AK15661" s="831">
        <v>428326680</v>
      </c>
    </row>
    <row r="15662" spans="2:37">
      <c r="B15662" s="834" t="str">
        <f t="shared" si="569"/>
        <v>|||</v>
      </c>
      <c r="H15662" s="835">
        <f t="shared" si="570"/>
        <v>31</v>
      </c>
      <c r="AF15662" s="831" t="s">
        <v>11245</v>
      </c>
      <c r="AG15662" s="831" t="s">
        <v>2674</v>
      </c>
      <c r="AH15662" s="831" t="s">
        <v>553</v>
      </c>
      <c r="AI15662" s="831">
        <v>0</v>
      </c>
      <c r="AJ15662" s="835">
        <v>41639</v>
      </c>
      <c r="AK15662" s="831">
        <v>0</v>
      </c>
    </row>
    <row r="15663" spans="2:37">
      <c r="B15663" s="834" t="str">
        <f t="shared" si="569"/>
        <v>|||</v>
      </c>
      <c r="H15663" s="835">
        <f t="shared" si="570"/>
        <v>31</v>
      </c>
      <c r="AF15663" s="831" t="s">
        <v>11246</v>
      </c>
      <c r="AG15663" s="831" t="s">
        <v>2674</v>
      </c>
      <c r="AH15663" s="831" t="s">
        <v>552</v>
      </c>
      <c r="AI15663" s="831">
        <v>0</v>
      </c>
      <c r="AJ15663" s="835">
        <v>41639</v>
      </c>
      <c r="AK15663" s="831">
        <v>0</v>
      </c>
    </row>
    <row r="15664" spans="2:37">
      <c r="B15664" s="834" t="str">
        <f t="shared" si="569"/>
        <v>|||</v>
      </c>
      <c r="H15664" s="835">
        <f t="shared" si="570"/>
        <v>31</v>
      </c>
      <c r="AF15664" s="831" t="s">
        <v>11247</v>
      </c>
      <c r="AG15664" s="831" t="s">
        <v>2674</v>
      </c>
      <c r="AH15664" s="831" t="s">
        <v>551</v>
      </c>
      <c r="AI15664" s="831">
        <v>0</v>
      </c>
      <c r="AJ15664" s="835">
        <v>41639</v>
      </c>
      <c r="AK15664" s="831">
        <v>1803383.8316000002</v>
      </c>
    </row>
    <row r="15665" spans="2:37">
      <c r="B15665" s="834" t="str">
        <f t="shared" si="569"/>
        <v>|||</v>
      </c>
      <c r="H15665" s="835">
        <f t="shared" si="570"/>
        <v>31</v>
      </c>
      <c r="AF15665" s="831" t="s">
        <v>11248</v>
      </c>
      <c r="AG15665" s="831" t="s">
        <v>2674</v>
      </c>
      <c r="AH15665" s="831" t="s">
        <v>550</v>
      </c>
      <c r="AI15665" s="831">
        <v>0</v>
      </c>
      <c r="AJ15665" s="835">
        <v>41639</v>
      </c>
      <c r="AK15665" s="831">
        <v>123117939.85600001</v>
      </c>
    </row>
    <row r="15666" spans="2:37">
      <c r="B15666" s="834" t="str">
        <f t="shared" si="569"/>
        <v>|||</v>
      </c>
      <c r="H15666" s="835">
        <f t="shared" si="570"/>
        <v>31</v>
      </c>
      <c r="AF15666" s="831" t="s">
        <v>11249</v>
      </c>
      <c r="AG15666" s="831" t="s">
        <v>2674</v>
      </c>
      <c r="AH15666" s="831" t="s">
        <v>562</v>
      </c>
      <c r="AI15666" s="831">
        <v>0</v>
      </c>
      <c r="AJ15666" s="835">
        <v>41639</v>
      </c>
      <c r="AK15666" s="831">
        <v>0.78334999999999999</v>
      </c>
    </row>
    <row r="15667" spans="2:37">
      <c r="B15667" s="834" t="str">
        <f t="shared" si="569"/>
        <v>|||</v>
      </c>
      <c r="H15667" s="835">
        <f t="shared" si="570"/>
        <v>31</v>
      </c>
      <c r="AF15667" s="831" t="s">
        <v>11250</v>
      </c>
      <c r="AG15667" s="831" t="s">
        <v>2674</v>
      </c>
      <c r="AH15667" s="831" t="s">
        <v>2698</v>
      </c>
      <c r="AI15667" s="831">
        <v>0</v>
      </c>
      <c r="AJ15667" s="835">
        <v>41639</v>
      </c>
      <c r="AK15667" s="831">
        <v>0.78385000000000005</v>
      </c>
    </row>
    <row r="15668" spans="2:37">
      <c r="B15668" s="834" t="str">
        <f t="shared" si="569"/>
        <v>|||</v>
      </c>
      <c r="H15668" s="835">
        <f t="shared" si="570"/>
        <v>31</v>
      </c>
      <c r="AF15668" s="831" t="s">
        <v>11251</v>
      </c>
      <c r="AG15668" s="831" t="s">
        <v>2674</v>
      </c>
      <c r="AH15668" s="831" t="s">
        <v>560</v>
      </c>
      <c r="AI15668" s="831">
        <v>0</v>
      </c>
      <c r="AJ15668" s="835">
        <v>41639</v>
      </c>
      <c r="AK15668" s="831">
        <v>0.78393333333333326</v>
      </c>
    </row>
    <row r="15669" spans="2:37">
      <c r="B15669" s="834" t="str">
        <f t="shared" si="569"/>
        <v>|||</v>
      </c>
      <c r="H15669" s="835">
        <f t="shared" si="570"/>
        <v>31</v>
      </c>
      <c r="AF15669" s="831" t="s">
        <v>11252</v>
      </c>
      <c r="AG15669" s="831" t="s">
        <v>2674</v>
      </c>
      <c r="AH15669" s="831" t="s">
        <v>559</v>
      </c>
      <c r="AI15669" s="831">
        <v>0</v>
      </c>
      <c r="AJ15669" s="835">
        <v>41639</v>
      </c>
      <c r="AK15669" s="831">
        <v>0.78393333333333326</v>
      </c>
    </row>
    <row r="15670" spans="2:37">
      <c r="B15670" s="834" t="str">
        <f t="shared" si="569"/>
        <v>|||</v>
      </c>
      <c r="H15670" s="835">
        <f t="shared" si="570"/>
        <v>31</v>
      </c>
      <c r="AF15670" s="831" t="s">
        <v>11253</v>
      </c>
      <c r="AG15670" s="831" t="s">
        <v>2674</v>
      </c>
      <c r="AH15670" s="831" t="s">
        <v>568</v>
      </c>
      <c r="AI15670" s="831">
        <v>0</v>
      </c>
      <c r="AJ15670" s="835">
        <v>41639</v>
      </c>
      <c r="AK15670" s="831">
        <v>513441498.30384612</v>
      </c>
    </row>
    <row r="15671" spans="2:37">
      <c r="B15671" s="834" t="str">
        <f t="shared" si="569"/>
        <v>|||</v>
      </c>
      <c r="H15671" s="835">
        <f t="shared" si="570"/>
        <v>31</v>
      </c>
      <c r="AF15671" s="831" t="s">
        <v>11254</v>
      </c>
      <c r="AG15671" s="831" t="s">
        <v>2674</v>
      </c>
      <c r="AH15671" s="831" t="s">
        <v>569</v>
      </c>
      <c r="AI15671" s="831">
        <v>0</v>
      </c>
      <c r="AJ15671" s="835">
        <v>41639</v>
      </c>
      <c r="AK15671" s="831">
        <v>628195505.12715387</v>
      </c>
    </row>
    <row r="15672" spans="2:37">
      <c r="B15672" s="834" t="str">
        <f t="shared" si="569"/>
        <v>|||</v>
      </c>
      <c r="H15672" s="835">
        <f t="shared" si="570"/>
        <v>31</v>
      </c>
      <c r="AF15672" s="831" t="s">
        <v>11255</v>
      </c>
      <c r="AG15672" s="831" t="s">
        <v>2674</v>
      </c>
      <c r="AH15672" s="831" t="s">
        <v>570</v>
      </c>
      <c r="AI15672" s="831">
        <v>0</v>
      </c>
      <c r="AJ15672" s="835">
        <v>41639</v>
      </c>
      <c r="AK15672" s="831">
        <v>108762142.05892308</v>
      </c>
    </row>
    <row r="15673" spans="2:37">
      <c r="B15673" s="834" t="str">
        <f t="shared" si="569"/>
        <v>|||</v>
      </c>
      <c r="H15673" s="835">
        <f t="shared" si="570"/>
        <v>31</v>
      </c>
      <c r="AF15673" s="831" t="s">
        <v>11256</v>
      </c>
      <c r="AG15673" s="831" t="s">
        <v>2674</v>
      </c>
      <c r="AH15673" s="831" t="s">
        <v>571</v>
      </c>
      <c r="AI15673" s="831">
        <v>0</v>
      </c>
      <c r="AJ15673" s="835">
        <v>41639</v>
      </c>
      <c r="AK15673" s="831">
        <v>297832512.59023076</v>
      </c>
    </row>
    <row r="15674" spans="2:37">
      <c r="B15674" s="834" t="str">
        <f t="shared" si="569"/>
        <v>|||</v>
      </c>
      <c r="H15674" s="835">
        <f t="shared" si="570"/>
        <v>31</v>
      </c>
      <c r="AF15674" s="831" t="s">
        <v>11257</v>
      </c>
      <c r="AG15674" s="831" t="s">
        <v>2674</v>
      </c>
      <c r="AH15674" s="831" t="s">
        <v>573</v>
      </c>
      <c r="AI15674" s="831">
        <v>0</v>
      </c>
      <c r="AJ15674" s="835">
        <v>41639</v>
      </c>
      <c r="AK15674" s="831">
        <v>628195505.12715387</v>
      </c>
    </row>
    <row r="15675" spans="2:37">
      <c r="B15675" s="834" t="str">
        <f t="shared" si="569"/>
        <v>|||</v>
      </c>
      <c r="H15675" s="835">
        <f t="shared" si="570"/>
        <v>31</v>
      </c>
      <c r="AF15675" s="831" t="s">
        <v>11258</v>
      </c>
      <c r="AG15675" s="831" t="s">
        <v>2674</v>
      </c>
      <c r="AH15675" s="831" t="s">
        <v>574</v>
      </c>
      <c r="AI15675" s="831">
        <v>0</v>
      </c>
      <c r="AJ15675" s="835">
        <v>41639</v>
      </c>
      <c r="AK15675" s="831">
        <v>513441498.30384612</v>
      </c>
    </row>
    <row r="15676" spans="2:37">
      <c r="B15676" s="834" t="str">
        <f t="shared" si="569"/>
        <v>|||</v>
      </c>
      <c r="H15676" s="835">
        <f t="shared" si="570"/>
        <v>31</v>
      </c>
      <c r="AF15676" s="831" t="s">
        <v>11259</v>
      </c>
      <c r="AG15676" s="831" t="s">
        <v>2674</v>
      </c>
      <c r="AH15676" s="831" t="s">
        <v>575</v>
      </c>
      <c r="AI15676" s="831">
        <v>0</v>
      </c>
      <c r="AJ15676" s="835">
        <v>41639</v>
      </c>
      <c r="AK15676" s="831">
        <v>108762142.05892308</v>
      </c>
    </row>
    <row r="15677" spans="2:37">
      <c r="B15677" s="834" t="str">
        <f t="shared" si="569"/>
        <v>|||</v>
      </c>
      <c r="H15677" s="835">
        <f t="shared" si="570"/>
        <v>31</v>
      </c>
      <c r="AF15677" s="831" t="s">
        <v>11260</v>
      </c>
      <c r="AG15677" s="831" t="s">
        <v>2674</v>
      </c>
      <c r="AH15677" s="831" t="s">
        <v>576</v>
      </c>
      <c r="AI15677" s="831">
        <v>0</v>
      </c>
      <c r="AJ15677" s="835">
        <v>41639</v>
      </c>
      <c r="AK15677" s="831">
        <v>297832512.59023076</v>
      </c>
    </row>
    <row r="15678" spans="2:37">
      <c r="B15678" s="834" t="str">
        <f t="shared" si="569"/>
        <v>|||</v>
      </c>
      <c r="H15678" s="835">
        <f t="shared" si="570"/>
        <v>31</v>
      </c>
      <c r="AF15678" s="831" t="s">
        <v>11261</v>
      </c>
      <c r="AG15678" s="831" t="s">
        <v>2674</v>
      </c>
      <c r="AH15678" s="831" t="s">
        <v>572</v>
      </c>
      <c r="AI15678" s="831">
        <v>0</v>
      </c>
      <c r="AJ15678" s="835">
        <v>41639</v>
      </c>
      <c r="AK15678" s="831">
        <v>27176541.956000008</v>
      </c>
    </row>
    <row r="15679" spans="2:37">
      <c r="B15679" s="834" t="str">
        <f t="shared" si="569"/>
        <v>|||</v>
      </c>
      <c r="H15679" s="835">
        <f t="shared" si="570"/>
        <v>31</v>
      </c>
      <c r="AF15679" s="831" t="s">
        <v>11262</v>
      </c>
      <c r="AG15679" s="831" t="s">
        <v>2674</v>
      </c>
      <c r="AH15679" s="831" t="s">
        <v>577</v>
      </c>
      <c r="AI15679" s="831">
        <v>0</v>
      </c>
      <c r="AJ15679" s="835">
        <v>41639</v>
      </c>
      <c r="AK15679" s="831">
        <v>132856888.763</v>
      </c>
    </row>
    <row r="15680" spans="2:37">
      <c r="B15680" s="834" t="str">
        <f t="shared" si="569"/>
        <v>|||</v>
      </c>
      <c r="H15680" s="835">
        <f t="shared" si="570"/>
        <v>31</v>
      </c>
      <c r="AF15680" s="831" t="s">
        <v>11263</v>
      </c>
      <c r="AG15680" s="831" t="s">
        <v>2674</v>
      </c>
      <c r="AH15680" s="831" t="s">
        <v>3042</v>
      </c>
      <c r="AI15680" s="831">
        <v>0</v>
      </c>
      <c r="AJ15680" s="835">
        <v>41639</v>
      </c>
      <c r="AK15680" s="831">
        <v>-34369525.527000003</v>
      </c>
    </row>
    <row r="15681" spans="2:37">
      <c r="B15681" s="834" t="str">
        <f t="shared" si="569"/>
        <v>|||</v>
      </c>
      <c r="H15681" s="835">
        <f t="shared" si="570"/>
        <v>31</v>
      </c>
      <c r="AF15681" s="831" t="s">
        <v>11264</v>
      </c>
      <c r="AG15681" s="831" t="s">
        <v>2674</v>
      </c>
      <c r="AH15681" s="831" t="s">
        <v>3044</v>
      </c>
      <c r="AI15681" s="831">
        <v>0</v>
      </c>
      <c r="AJ15681" s="835">
        <v>41639</v>
      </c>
      <c r="AK15681" s="831">
        <v>-4400746.8899999997</v>
      </c>
    </row>
    <row r="15682" spans="2:37">
      <c r="B15682" s="834" t="str">
        <f t="shared" si="569"/>
        <v>|||</v>
      </c>
      <c r="H15682" s="835">
        <f t="shared" si="570"/>
        <v>31</v>
      </c>
      <c r="AF15682" s="831" t="s">
        <v>11265</v>
      </c>
      <c r="AG15682" s="831" t="s">
        <v>2674</v>
      </c>
      <c r="AH15682" s="831" t="s">
        <v>580</v>
      </c>
      <c r="AI15682" s="831">
        <v>0</v>
      </c>
      <c r="AJ15682" s="835">
        <v>41639</v>
      </c>
      <c r="AK15682" s="831">
        <v>-64107005.306999996</v>
      </c>
    </row>
    <row r="15683" spans="2:37">
      <c r="B15683" s="834" t="str">
        <f t="shared" si="569"/>
        <v>|||</v>
      </c>
      <c r="H15683" s="835">
        <f t="shared" si="570"/>
        <v>31</v>
      </c>
      <c r="AF15683" s="831" t="s">
        <v>11266</v>
      </c>
      <c r="AG15683" s="831" t="s">
        <v>2674</v>
      </c>
      <c r="AH15683" s="831" t="s">
        <v>581</v>
      </c>
      <c r="AI15683" s="831">
        <v>0</v>
      </c>
      <c r="AJ15683" s="835">
        <v>41639</v>
      </c>
      <c r="AK15683" s="831">
        <v>5010635.8940000003</v>
      </c>
    </row>
    <row r="15684" spans="2:37">
      <c r="B15684" s="834" t="str">
        <f t="shared" si="569"/>
        <v>|||</v>
      </c>
      <c r="H15684" s="835">
        <f t="shared" si="570"/>
        <v>31</v>
      </c>
      <c r="AF15684" s="831" t="s">
        <v>11267</v>
      </c>
      <c r="AG15684" s="831" t="s">
        <v>2674</v>
      </c>
      <c r="AH15684" s="831" t="s">
        <v>105</v>
      </c>
      <c r="AI15684" s="831">
        <v>0</v>
      </c>
      <c r="AJ15684" s="835">
        <v>41639</v>
      </c>
      <c r="AK15684" s="831">
        <v>391573847.611</v>
      </c>
    </row>
    <row r="15685" spans="2:37">
      <c r="B15685" s="834" t="str">
        <f t="shared" si="569"/>
        <v>|||</v>
      </c>
      <c r="H15685" s="835">
        <f t="shared" si="570"/>
        <v>31</v>
      </c>
      <c r="AF15685" s="831" t="s">
        <v>11268</v>
      </c>
      <c r="AG15685" s="831" t="s">
        <v>2674</v>
      </c>
      <c r="AH15685" s="831" t="s">
        <v>3049</v>
      </c>
      <c r="AI15685" s="831">
        <v>0</v>
      </c>
      <c r="AJ15685" s="835">
        <v>41639</v>
      </c>
      <c r="AK15685" s="831">
        <v>644326442.18900001</v>
      </c>
    </row>
    <row r="15686" spans="2:37">
      <c r="B15686" s="834" t="str">
        <f t="shared" si="569"/>
        <v>|||</v>
      </c>
      <c r="H15686" s="835">
        <f t="shared" si="570"/>
        <v>31</v>
      </c>
      <c r="AF15686" s="831" t="s">
        <v>11269</v>
      </c>
      <c r="AG15686" s="831" t="s">
        <v>2674</v>
      </c>
      <c r="AH15686" s="831" t="s">
        <v>103</v>
      </c>
      <c r="AI15686" s="831">
        <v>0</v>
      </c>
      <c r="AJ15686" s="835">
        <v>41639</v>
      </c>
      <c r="AK15686" s="831">
        <v>252752594.57800001</v>
      </c>
    </row>
    <row r="15687" spans="2:37">
      <c r="B15687" s="834" t="str">
        <f t="shared" si="569"/>
        <v>|||</v>
      </c>
      <c r="H15687" s="835">
        <f t="shared" si="570"/>
        <v>31</v>
      </c>
      <c r="AF15687" s="831" t="s">
        <v>11270</v>
      </c>
      <c r="AG15687" s="831" t="s">
        <v>2674</v>
      </c>
      <c r="AH15687" s="831" t="s">
        <v>182</v>
      </c>
      <c r="AI15687" s="831">
        <v>0</v>
      </c>
      <c r="AJ15687" s="835">
        <v>41639</v>
      </c>
      <c r="AK15687" s="831">
        <v>64107005.307000004</v>
      </c>
    </row>
    <row r="15688" spans="2:37">
      <c r="B15688" s="834" t="str">
        <f t="shared" si="569"/>
        <v>|||</v>
      </c>
      <c r="H15688" s="835">
        <f t="shared" si="570"/>
        <v>31</v>
      </c>
      <c r="AF15688" s="831" t="s">
        <v>11271</v>
      </c>
      <c r="AG15688" s="831" t="s">
        <v>2674</v>
      </c>
      <c r="AH15688" s="831" t="s">
        <v>6600</v>
      </c>
      <c r="AI15688" s="831">
        <v>0</v>
      </c>
      <c r="AJ15688" s="835">
        <v>41639</v>
      </c>
      <c r="AK15688" s="831">
        <v>27176541.956000008</v>
      </c>
    </row>
    <row r="15689" spans="2:37">
      <c r="B15689" s="834" t="str">
        <f t="shared" si="569"/>
        <v>|||</v>
      </c>
      <c r="H15689" s="835">
        <f t="shared" si="570"/>
        <v>31</v>
      </c>
      <c r="AF15689" s="831" t="s">
        <v>11272</v>
      </c>
      <c r="AG15689" s="831" t="s">
        <v>2674</v>
      </c>
      <c r="AH15689" s="831" t="s">
        <v>6602</v>
      </c>
      <c r="AI15689" s="831">
        <v>0</v>
      </c>
      <c r="AJ15689" s="835">
        <v>41639</v>
      </c>
      <c r="AK15689" s="831">
        <v>27176541.956000008</v>
      </c>
    </row>
    <row r="15690" spans="2:37">
      <c r="B15690" s="834" t="str">
        <f t="shared" si="569"/>
        <v>|||</v>
      </c>
      <c r="H15690" s="835">
        <f t="shared" si="570"/>
        <v>31</v>
      </c>
      <c r="AF15690" s="831" t="s">
        <v>11273</v>
      </c>
      <c r="AG15690" s="831" t="s">
        <v>2674</v>
      </c>
      <c r="AH15690" s="831" t="s">
        <v>650</v>
      </c>
      <c r="AI15690" s="831">
        <v>0</v>
      </c>
      <c r="AJ15690" s="835">
        <v>41639</v>
      </c>
      <c r="AK15690" s="831">
        <v>204736223.04223078</v>
      </c>
    </row>
    <row r="15691" spans="2:37">
      <c r="B15691" s="834" t="str">
        <f t="shared" si="569"/>
        <v>|||</v>
      </c>
      <c r="H15691" s="835">
        <f t="shared" si="570"/>
        <v>31</v>
      </c>
      <c r="AF15691" s="831" t="s">
        <v>11274</v>
      </c>
      <c r="AG15691" s="831" t="s">
        <v>2674</v>
      </c>
      <c r="AH15691" s="831" t="s">
        <v>655</v>
      </c>
      <c r="AI15691" s="831">
        <v>0</v>
      </c>
      <c r="AJ15691" s="835">
        <v>41639</v>
      </c>
      <c r="AK15691" s="831">
        <v>1605185.0136000002</v>
      </c>
    </row>
    <row r="15692" spans="2:37">
      <c r="B15692" s="834" t="str">
        <f t="shared" si="569"/>
        <v>|||</v>
      </c>
      <c r="H15692" s="835">
        <f t="shared" si="570"/>
        <v>31</v>
      </c>
      <c r="AF15692" s="831" t="s">
        <v>11275</v>
      </c>
      <c r="AG15692" s="831" t="s">
        <v>2674</v>
      </c>
      <c r="AH15692" s="831" t="s">
        <v>546</v>
      </c>
      <c r="AI15692" s="831">
        <v>0</v>
      </c>
      <c r="AJ15692" s="835">
        <v>41670</v>
      </c>
      <c r="AK15692" s="831">
        <v>635618516</v>
      </c>
    </row>
    <row r="15693" spans="2:37">
      <c r="B15693" s="834" t="str">
        <f t="shared" si="569"/>
        <v>|||</v>
      </c>
      <c r="H15693" s="835">
        <f t="shared" si="570"/>
        <v>31</v>
      </c>
      <c r="AF15693" s="831" t="s">
        <v>11276</v>
      </c>
      <c r="AG15693" s="831" t="s">
        <v>2674</v>
      </c>
      <c r="AH15693" s="831" t="s">
        <v>370</v>
      </c>
      <c r="AI15693" s="831">
        <v>0</v>
      </c>
      <c r="AJ15693" s="835">
        <v>41670</v>
      </c>
      <c r="AK15693" s="831">
        <v>777719977</v>
      </c>
    </row>
    <row r="15694" spans="2:37">
      <c r="B15694" s="834" t="str">
        <f t="shared" si="569"/>
        <v>|||</v>
      </c>
      <c r="H15694" s="835">
        <f t="shared" si="570"/>
        <v>31</v>
      </c>
      <c r="AF15694" s="831" t="s">
        <v>11277</v>
      </c>
      <c r="AG15694" s="831" t="s">
        <v>2674</v>
      </c>
      <c r="AH15694" s="831" t="s">
        <v>126</v>
      </c>
      <c r="AI15694" s="831">
        <v>0</v>
      </c>
      <c r="AJ15694" s="835">
        <v>41670</v>
      </c>
      <c r="AK15694" s="831">
        <v>117105496</v>
      </c>
    </row>
    <row r="15695" spans="2:37">
      <c r="B15695" s="834" t="str">
        <f t="shared" si="569"/>
        <v>|||</v>
      </c>
      <c r="H15695" s="835">
        <f t="shared" si="570"/>
        <v>31</v>
      </c>
      <c r="AF15695" s="831" t="s">
        <v>11278</v>
      </c>
      <c r="AG15695" s="831" t="s">
        <v>2674</v>
      </c>
      <c r="AH15695" s="831" t="s">
        <v>268</v>
      </c>
      <c r="AI15695" s="831">
        <v>0</v>
      </c>
      <c r="AJ15695" s="835">
        <v>41670</v>
      </c>
      <c r="AK15695" s="831">
        <v>3298821</v>
      </c>
    </row>
    <row r="15696" spans="2:37">
      <c r="B15696" s="834" t="str">
        <f t="shared" si="569"/>
        <v>|||</v>
      </c>
      <c r="H15696" s="835">
        <f t="shared" si="570"/>
        <v>31</v>
      </c>
      <c r="AF15696" s="831" t="s">
        <v>11279</v>
      </c>
      <c r="AG15696" s="831" t="s">
        <v>2674</v>
      </c>
      <c r="AH15696" s="831" t="s">
        <v>547</v>
      </c>
      <c r="AI15696" s="831">
        <v>0</v>
      </c>
      <c r="AJ15696" s="835">
        <v>41670</v>
      </c>
      <c r="AK15696" s="831">
        <v>777719977</v>
      </c>
    </row>
    <row r="15697" spans="2:37">
      <c r="B15697" s="834" t="str">
        <f t="shared" ref="B15697:B15760" si="571">C15697&amp;"|"&amp;D15697&amp;"|"&amp;E15697&amp;"|"&amp;F15697</f>
        <v>|||</v>
      </c>
      <c r="H15697" s="835">
        <f t="shared" ref="H15697:H15760" si="572">EOMONTH(L15697,0)</f>
        <v>31</v>
      </c>
      <c r="AF15697" s="831" t="s">
        <v>11280</v>
      </c>
      <c r="AG15697" s="831" t="s">
        <v>2674</v>
      </c>
      <c r="AH15697" s="831" t="s">
        <v>548</v>
      </c>
      <c r="AI15697" s="831">
        <v>0</v>
      </c>
      <c r="AJ15697" s="835">
        <v>41670</v>
      </c>
      <c r="AK15697" s="831">
        <v>117105496</v>
      </c>
    </row>
    <row r="15698" spans="2:37">
      <c r="B15698" s="834" t="str">
        <f t="shared" si="571"/>
        <v>|||</v>
      </c>
      <c r="H15698" s="835">
        <f t="shared" si="572"/>
        <v>31</v>
      </c>
      <c r="AF15698" s="831" t="s">
        <v>11281</v>
      </c>
      <c r="AG15698" s="831" t="s">
        <v>2674</v>
      </c>
      <c r="AH15698" s="831" t="s">
        <v>549</v>
      </c>
      <c r="AI15698" s="831">
        <v>0</v>
      </c>
      <c r="AJ15698" s="835">
        <v>41670</v>
      </c>
      <c r="AK15698" s="831">
        <v>421051783</v>
      </c>
    </row>
    <row r="15699" spans="2:37">
      <c r="B15699" s="834" t="str">
        <f t="shared" si="571"/>
        <v>|||</v>
      </c>
      <c r="H15699" s="835">
        <f t="shared" si="572"/>
        <v>31</v>
      </c>
      <c r="AF15699" s="831" t="s">
        <v>11282</v>
      </c>
      <c r="AG15699" s="831" t="s">
        <v>2674</v>
      </c>
      <c r="AH15699" s="831" t="s">
        <v>192</v>
      </c>
      <c r="AI15699" s="831">
        <v>0</v>
      </c>
      <c r="AJ15699" s="835">
        <v>41670</v>
      </c>
      <c r="AK15699" s="831">
        <v>-14010990</v>
      </c>
    </row>
    <row r="15700" spans="2:37">
      <c r="B15700" s="834" t="str">
        <f t="shared" si="571"/>
        <v>|||</v>
      </c>
      <c r="H15700" s="835">
        <f t="shared" si="572"/>
        <v>31</v>
      </c>
      <c r="AF15700" s="831" t="s">
        <v>11283</v>
      </c>
      <c r="AG15700" s="831" t="s">
        <v>2674</v>
      </c>
      <c r="AH15700" s="831" t="s">
        <v>558</v>
      </c>
      <c r="AI15700" s="831">
        <v>0</v>
      </c>
      <c r="AJ15700" s="835">
        <v>41670</v>
      </c>
      <c r="AK15700" s="831">
        <v>660614481.35800004</v>
      </c>
    </row>
    <row r="15701" spans="2:37">
      <c r="B15701" s="834" t="str">
        <f t="shared" si="571"/>
        <v>|||</v>
      </c>
      <c r="H15701" s="835">
        <f t="shared" si="572"/>
        <v>31</v>
      </c>
      <c r="AF15701" s="831" t="s">
        <v>11284</v>
      </c>
      <c r="AG15701" s="831" t="s">
        <v>2674</v>
      </c>
      <c r="AH15701" s="831" t="s">
        <v>65</v>
      </c>
      <c r="AI15701" s="831">
        <v>0</v>
      </c>
      <c r="AJ15701" s="835">
        <v>41670</v>
      </c>
      <c r="AK15701" s="831">
        <v>13268788</v>
      </c>
    </row>
    <row r="15702" spans="2:37">
      <c r="B15702" s="834" t="str">
        <f t="shared" si="571"/>
        <v>|||</v>
      </c>
      <c r="H15702" s="835">
        <f t="shared" si="572"/>
        <v>31</v>
      </c>
      <c r="AF15702" s="831" t="s">
        <v>11285</v>
      </c>
      <c r="AG15702" s="831" t="s">
        <v>2674</v>
      </c>
      <c r="AH15702" s="831" t="s">
        <v>89</v>
      </c>
      <c r="AI15702" s="831">
        <v>0</v>
      </c>
      <c r="AJ15702" s="835">
        <v>41670</v>
      </c>
      <c r="AK15702" s="831">
        <v>149103</v>
      </c>
    </row>
    <row r="15703" spans="2:37">
      <c r="B15703" s="834" t="str">
        <f t="shared" si="571"/>
        <v>|||</v>
      </c>
      <c r="H15703" s="835">
        <f t="shared" si="572"/>
        <v>31</v>
      </c>
      <c r="AF15703" s="831" t="s">
        <v>11286</v>
      </c>
      <c r="AG15703" s="831" t="s">
        <v>2674</v>
      </c>
      <c r="AH15703" s="831" t="s">
        <v>557</v>
      </c>
      <c r="AI15703" s="831">
        <v>0</v>
      </c>
      <c r="AJ15703" s="835">
        <v>41670</v>
      </c>
      <c r="AK15703" s="831">
        <v>162799</v>
      </c>
    </row>
    <row r="15704" spans="2:37">
      <c r="B15704" s="834" t="str">
        <f t="shared" si="571"/>
        <v>|||</v>
      </c>
      <c r="H15704" s="835">
        <f t="shared" si="572"/>
        <v>31</v>
      </c>
      <c r="AF15704" s="831" t="s">
        <v>11287</v>
      </c>
      <c r="AG15704" s="831" t="s">
        <v>2674</v>
      </c>
      <c r="AH15704" s="831" t="s">
        <v>29</v>
      </c>
      <c r="AI15704" s="831">
        <v>0</v>
      </c>
      <c r="AJ15704" s="835">
        <v>41670</v>
      </c>
      <c r="AK15704" s="831">
        <v>1994542.716</v>
      </c>
    </row>
    <row r="15705" spans="2:37">
      <c r="B15705" s="834" t="str">
        <f t="shared" si="571"/>
        <v>|||</v>
      </c>
      <c r="H15705" s="835">
        <f t="shared" si="572"/>
        <v>31</v>
      </c>
      <c r="AF15705" s="831" t="s">
        <v>11288</v>
      </c>
      <c r="AG15705" s="831" t="s">
        <v>2674</v>
      </c>
      <c r="AH15705" s="831" t="s">
        <v>2688</v>
      </c>
      <c r="AI15705" s="831">
        <v>0</v>
      </c>
      <c r="AJ15705" s="835">
        <v>41670</v>
      </c>
      <c r="AK15705" s="831">
        <v>3487768.05</v>
      </c>
    </row>
    <row r="15706" spans="2:37">
      <c r="B15706" s="834" t="str">
        <f t="shared" si="571"/>
        <v>|||</v>
      </c>
      <c r="H15706" s="835">
        <f t="shared" si="572"/>
        <v>31</v>
      </c>
      <c r="AF15706" s="831" t="s">
        <v>11289</v>
      </c>
      <c r="AG15706" s="831" t="s">
        <v>2674</v>
      </c>
      <c r="AH15706" s="831" t="s">
        <v>556</v>
      </c>
      <c r="AI15706" s="831">
        <v>0</v>
      </c>
      <c r="AJ15706" s="835">
        <v>41670</v>
      </c>
      <c r="AK15706" s="831">
        <v>1644732</v>
      </c>
    </row>
    <row r="15707" spans="2:37">
      <c r="B15707" s="834" t="str">
        <f t="shared" si="571"/>
        <v>|||</v>
      </c>
      <c r="H15707" s="835">
        <f t="shared" si="572"/>
        <v>31</v>
      </c>
      <c r="AF15707" s="831" t="s">
        <v>11290</v>
      </c>
      <c r="AG15707" s="831" t="s">
        <v>2674</v>
      </c>
      <c r="AH15707" s="831" t="s">
        <v>555</v>
      </c>
      <c r="AI15707" s="831">
        <v>0</v>
      </c>
      <c r="AJ15707" s="835">
        <v>41670</v>
      </c>
      <c r="AK15707" s="831">
        <v>421635600</v>
      </c>
    </row>
    <row r="15708" spans="2:37">
      <c r="B15708" s="834" t="str">
        <f t="shared" si="571"/>
        <v>|||</v>
      </c>
      <c r="H15708" s="835">
        <f t="shared" si="572"/>
        <v>31</v>
      </c>
      <c r="AF15708" s="831" t="s">
        <v>11291</v>
      </c>
      <c r="AG15708" s="831" t="s">
        <v>2674</v>
      </c>
      <c r="AH15708" s="831" t="s">
        <v>554</v>
      </c>
      <c r="AI15708" s="831">
        <v>0</v>
      </c>
      <c r="AJ15708" s="835">
        <v>41670</v>
      </c>
      <c r="AK15708" s="831">
        <v>432162250</v>
      </c>
    </row>
    <row r="15709" spans="2:37">
      <c r="B15709" s="834" t="str">
        <f t="shared" si="571"/>
        <v>|||</v>
      </c>
      <c r="H15709" s="835">
        <f t="shared" si="572"/>
        <v>31</v>
      </c>
      <c r="AF15709" s="831" t="s">
        <v>11292</v>
      </c>
      <c r="AG15709" s="831" t="s">
        <v>2674</v>
      </c>
      <c r="AH15709" s="831" t="s">
        <v>553</v>
      </c>
      <c r="AI15709" s="831">
        <v>0</v>
      </c>
      <c r="AJ15709" s="835">
        <v>41670</v>
      </c>
      <c r="AK15709" s="831">
        <v>0</v>
      </c>
    </row>
    <row r="15710" spans="2:37">
      <c r="B15710" s="834" t="str">
        <f t="shared" si="571"/>
        <v>|||</v>
      </c>
      <c r="H15710" s="835">
        <f t="shared" si="572"/>
        <v>31</v>
      </c>
      <c r="AF15710" s="831" t="s">
        <v>11293</v>
      </c>
      <c r="AG15710" s="831" t="s">
        <v>2674</v>
      </c>
      <c r="AH15710" s="831" t="s">
        <v>552</v>
      </c>
      <c r="AI15710" s="831">
        <v>0</v>
      </c>
      <c r="AJ15710" s="835">
        <v>41670</v>
      </c>
      <c r="AK15710" s="831">
        <v>0</v>
      </c>
    </row>
    <row r="15711" spans="2:37">
      <c r="B15711" s="834" t="str">
        <f t="shared" si="571"/>
        <v>|||</v>
      </c>
      <c r="H15711" s="835">
        <f t="shared" si="572"/>
        <v>31</v>
      </c>
      <c r="AF15711" s="831" t="s">
        <v>11294</v>
      </c>
      <c r="AG15711" s="831" t="s">
        <v>2674</v>
      </c>
      <c r="AH15711" s="831" t="s">
        <v>551</v>
      </c>
      <c r="AI15711" s="831">
        <v>0</v>
      </c>
      <c r="AJ15711" s="835">
        <v>41670</v>
      </c>
      <c r="AK15711" s="831">
        <v>1853357.048</v>
      </c>
    </row>
    <row r="15712" spans="2:37">
      <c r="B15712" s="834" t="str">
        <f t="shared" si="571"/>
        <v>|||</v>
      </c>
      <c r="H15712" s="835">
        <f t="shared" si="572"/>
        <v>31</v>
      </c>
      <c r="AF15712" s="831" t="s">
        <v>11295</v>
      </c>
      <c r="AG15712" s="831" t="s">
        <v>2674</v>
      </c>
      <c r="AH15712" s="831" t="s">
        <v>550</v>
      </c>
      <c r="AI15712" s="831">
        <v>0</v>
      </c>
      <c r="AJ15712" s="835">
        <v>41670</v>
      </c>
      <c r="AK15712" s="831">
        <v>114089765.91</v>
      </c>
    </row>
    <row r="15713" spans="2:37">
      <c r="B15713" s="834" t="str">
        <f t="shared" si="571"/>
        <v>|||</v>
      </c>
      <c r="H15713" s="835">
        <f t="shared" si="572"/>
        <v>31</v>
      </c>
      <c r="AF15713" s="831" t="s">
        <v>11296</v>
      </c>
      <c r="AG15713" s="831" t="s">
        <v>2674</v>
      </c>
      <c r="AH15713" s="831" t="s">
        <v>562</v>
      </c>
      <c r="AI15713" s="831">
        <v>0</v>
      </c>
      <c r="AJ15713" s="835">
        <v>41670</v>
      </c>
      <c r="AK15713" s="831">
        <v>0.78364999999999996</v>
      </c>
    </row>
    <row r="15714" spans="2:37">
      <c r="B15714" s="834" t="str">
        <f t="shared" si="571"/>
        <v>|||</v>
      </c>
      <c r="H15714" s="835">
        <f t="shared" si="572"/>
        <v>31</v>
      </c>
      <c r="AF15714" s="831" t="s">
        <v>11297</v>
      </c>
      <c r="AG15714" s="831" t="s">
        <v>2674</v>
      </c>
      <c r="AH15714" s="831" t="s">
        <v>2698</v>
      </c>
      <c r="AI15714" s="831">
        <v>0</v>
      </c>
      <c r="AJ15714" s="835">
        <v>41670</v>
      </c>
      <c r="AK15714" s="831">
        <v>0.78334999999999999</v>
      </c>
    </row>
    <row r="15715" spans="2:37">
      <c r="B15715" s="834" t="str">
        <f t="shared" si="571"/>
        <v>|||</v>
      </c>
      <c r="H15715" s="835">
        <f t="shared" si="572"/>
        <v>31</v>
      </c>
      <c r="AF15715" s="831" t="s">
        <v>11298</v>
      </c>
      <c r="AG15715" s="831" t="s">
        <v>2674</v>
      </c>
      <c r="AH15715" s="831" t="s">
        <v>560</v>
      </c>
      <c r="AI15715" s="831">
        <v>0</v>
      </c>
      <c r="AJ15715" s="835">
        <v>41670</v>
      </c>
      <c r="AK15715" s="831">
        <v>0.78364999999999996</v>
      </c>
    </row>
    <row r="15716" spans="2:37">
      <c r="B15716" s="834" t="str">
        <f t="shared" si="571"/>
        <v>|||</v>
      </c>
      <c r="H15716" s="835">
        <f t="shared" si="572"/>
        <v>31</v>
      </c>
      <c r="AF15716" s="831" t="s">
        <v>11299</v>
      </c>
      <c r="AG15716" s="831" t="s">
        <v>2674</v>
      </c>
      <c r="AH15716" s="831" t="s">
        <v>559</v>
      </c>
      <c r="AI15716" s="831">
        <v>0</v>
      </c>
      <c r="AJ15716" s="835">
        <v>41670</v>
      </c>
      <c r="AK15716" s="831">
        <v>0.78391666666666648</v>
      </c>
    </row>
    <row r="15717" spans="2:37">
      <c r="B15717" s="834" t="str">
        <f t="shared" si="571"/>
        <v>|||</v>
      </c>
      <c r="H15717" s="835">
        <f t="shared" si="572"/>
        <v>31</v>
      </c>
      <c r="AF15717" s="831" t="s">
        <v>11300</v>
      </c>
      <c r="AG15717" s="831" t="s">
        <v>2674</v>
      </c>
      <c r="AH15717" s="831" t="s">
        <v>568</v>
      </c>
      <c r="AI15717" s="831">
        <v>0</v>
      </c>
      <c r="AJ15717" s="835">
        <v>41670</v>
      </c>
      <c r="AK15717" s="831">
        <v>530633259.22692305</v>
      </c>
    </row>
    <row r="15718" spans="2:37">
      <c r="B15718" s="834" t="str">
        <f t="shared" si="571"/>
        <v>|||</v>
      </c>
      <c r="H15718" s="835">
        <f t="shared" si="572"/>
        <v>31</v>
      </c>
      <c r="AF15718" s="831" t="s">
        <v>11301</v>
      </c>
      <c r="AG15718" s="831" t="s">
        <v>2674</v>
      </c>
      <c r="AH15718" s="831" t="s">
        <v>569</v>
      </c>
      <c r="AI15718" s="831">
        <v>0</v>
      </c>
      <c r="AJ15718" s="835">
        <v>41670</v>
      </c>
      <c r="AK15718" s="831">
        <v>648384048.74253845</v>
      </c>
    </row>
    <row r="15719" spans="2:37">
      <c r="B15719" s="834" t="str">
        <f t="shared" si="571"/>
        <v>|||</v>
      </c>
      <c r="H15719" s="835">
        <f t="shared" si="572"/>
        <v>31</v>
      </c>
      <c r="AF15719" s="831" t="s">
        <v>11302</v>
      </c>
      <c r="AG15719" s="831" t="s">
        <v>2674</v>
      </c>
      <c r="AH15719" s="831" t="s">
        <v>570</v>
      </c>
      <c r="AI15719" s="831">
        <v>0</v>
      </c>
      <c r="AJ15719" s="835">
        <v>41670</v>
      </c>
      <c r="AK15719" s="831">
        <v>109988497.52046154</v>
      </c>
    </row>
    <row r="15720" spans="2:37">
      <c r="B15720" s="834" t="str">
        <f t="shared" si="571"/>
        <v>|||</v>
      </c>
      <c r="H15720" s="835">
        <f t="shared" si="572"/>
        <v>31</v>
      </c>
      <c r="AF15720" s="831" t="s">
        <v>11303</v>
      </c>
      <c r="AG15720" s="831" t="s">
        <v>2674</v>
      </c>
      <c r="AH15720" s="831" t="s">
        <v>571</v>
      </c>
      <c r="AI15720" s="831">
        <v>0</v>
      </c>
      <c r="AJ15720" s="835">
        <v>41670</v>
      </c>
      <c r="AK15720" s="831">
        <v>308674440.74407691</v>
      </c>
    </row>
    <row r="15721" spans="2:37">
      <c r="B15721" s="834" t="str">
        <f t="shared" si="571"/>
        <v>|||</v>
      </c>
      <c r="H15721" s="835">
        <f t="shared" si="572"/>
        <v>31</v>
      </c>
      <c r="AF15721" s="831" t="s">
        <v>11304</v>
      </c>
      <c r="AG15721" s="831" t="s">
        <v>2674</v>
      </c>
      <c r="AH15721" s="831" t="s">
        <v>573</v>
      </c>
      <c r="AI15721" s="831">
        <v>0</v>
      </c>
      <c r="AJ15721" s="835">
        <v>41670</v>
      </c>
      <c r="AK15721" s="831">
        <v>783617473.28149998</v>
      </c>
    </row>
    <row r="15722" spans="2:37">
      <c r="B15722" s="834" t="str">
        <f t="shared" si="571"/>
        <v>|||</v>
      </c>
      <c r="H15722" s="835">
        <f t="shared" si="572"/>
        <v>31</v>
      </c>
      <c r="AF15722" s="831" t="s">
        <v>11305</v>
      </c>
      <c r="AG15722" s="831" t="s">
        <v>2674</v>
      </c>
      <c r="AH15722" s="831" t="s">
        <v>574</v>
      </c>
      <c r="AI15722" s="831">
        <v>0</v>
      </c>
      <c r="AJ15722" s="835">
        <v>41670</v>
      </c>
      <c r="AK15722" s="831">
        <v>631746388</v>
      </c>
    </row>
    <row r="15723" spans="2:37">
      <c r="B15723" s="834" t="str">
        <f t="shared" si="571"/>
        <v>|||</v>
      </c>
      <c r="H15723" s="835">
        <f t="shared" si="572"/>
        <v>31</v>
      </c>
      <c r="AF15723" s="831" t="s">
        <v>11306</v>
      </c>
      <c r="AG15723" s="831" t="s">
        <v>2674</v>
      </c>
      <c r="AH15723" s="831" t="s">
        <v>575</v>
      </c>
      <c r="AI15723" s="831">
        <v>0</v>
      </c>
      <c r="AJ15723" s="835">
        <v>41670</v>
      </c>
      <c r="AK15723" s="831">
        <v>115597630.955</v>
      </c>
    </row>
    <row r="15724" spans="2:37">
      <c r="B15724" s="834" t="str">
        <f t="shared" si="571"/>
        <v>|||</v>
      </c>
      <c r="H15724" s="835">
        <f t="shared" si="572"/>
        <v>31</v>
      </c>
      <c r="AF15724" s="831" t="s">
        <v>11307</v>
      </c>
      <c r="AG15724" s="831" t="s">
        <v>2674</v>
      </c>
      <c r="AH15724" s="831" t="s">
        <v>576</v>
      </c>
      <c r="AI15724" s="831">
        <v>0</v>
      </c>
      <c r="AJ15724" s="835">
        <v>41670</v>
      </c>
      <c r="AK15724" s="831">
        <v>385049519.80550003</v>
      </c>
    </row>
    <row r="15725" spans="2:37">
      <c r="B15725" s="834" t="str">
        <f t="shared" si="571"/>
        <v>|||</v>
      </c>
      <c r="H15725" s="835">
        <f t="shared" si="572"/>
        <v>31</v>
      </c>
      <c r="AF15725" s="831" t="s">
        <v>11308</v>
      </c>
      <c r="AG15725" s="831" t="s">
        <v>2674</v>
      </c>
      <c r="AH15725" s="831" t="s">
        <v>572</v>
      </c>
      <c r="AI15725" s="831">
        <v>0</v>
      </c>
      <c r="AJ15725" s="835">
        <v>41670</v>
      </c>
      <c r="AK15725" s="831">
        <v>28355401.956000008</v>
      </c>
    </row>
    <row r="15726" spans="2:37">
      <c r="B15726" s="834" t="str">
        <f t="shared" si="571"/>
        <v>|||</v>
      </c>
      <c r="H15726" s="835">
        <f t="shared" si="572"/>
        <v>31</v>
      </c>
      <c r="AF15726" s="831" t="s">
        <v>11309</v>
      </c>
      <c r="AG15726" s="831" t="s">
        <v>2674</v>
      </c>
      <c r="AH15726" s="831" t="s">
        <v>577</v>
      </c>
      <c r="AI15726" s="831">
        <v>0</v>
      </c>
      <c r="AJ15726" s="835">
        <v>41670</v>
      </c>
      <c r="AK15726" s="831">
        <v>136649293.76300001</v>
      </c>
    </row>
    <row r="15727" spans="2:37">
      <c r="B15727" s="834" t="str">
        <f t="shared" si="571"/>
        <v>|||</v>
      </c>
      <c r="H15727" s="835">
        <f t="shared" si="572"/>
        <v>31</v>
      </c>
      <c r="AF15727" s="831" t="s">
        <v>11310</v>
      </c>
      <c r="AG15727" s="831" t="s">
        <v>2674</v>
      </c>
      <c r="AH15727" s="831" t="s">
        <v>3042</v>
      </c>
      <c r="AI15727" s="831">
        <v>0</v>
      </c>
      <c r="AJ15727" s="835">
        <v>41670</v>
      </c>
      <c r="AK15727" s="831">
        <v>-35903077.527000003</v>
      </c>
    </row>
    <row r="15728" spans="2:37">
      <c r="B15728" s="834" t="str">
        <f t="shared" si="571"/>
        <v>|||</v>
      </c>
      <c r="H15728" s="835">
        <f t="shared" si="572"/>
        <v>31</v>
      </c>
      <c r="AF15728" s="831" t="s">
        <v>11311</v>
      </c>
      <c r="AG15728" s="831" t="s">
        <v>2674</v>
      </c>
      <c r="AH15728" s="831" t="s">
        <v>3044</v>
      </c>
      <c r="AI15728" s="831">
        <v>0</v>
      </c>
      <c r="AJ15728" s="835">
        <v>41670</v>
      </c>
      <c r="AK15728" s="831">
        <v>-4357745.8899999997</v>
      </c>
    </row>
    <row r="15729" spans="2:37">
      <c r="B15729" s="834" t="str">
        <f t="shared" si="571"/>
        <v>|||</v>
      </c>
      <c r="H15729" s="835">
        <f t="shared" si="572"/>
        <v>31</v>
      </c>
      <c r="AF15729" s="831" t="s">
        <v>11312</v>
      </c>
      <c r="AG15729" s="831" t="s">
        <v>2674</v>
      </c>
      <c r="AH15729" s="831" t="s">
        <v>580</v>
      </c>
      <c r="AI15729" s="831">
        <v>0</v>
      </c>
      <c r="AJ15729" s="835">
        <v>41670</v>
      </c>
      <c r="AK15729" s="831">
        <v>-64979972.306999996</v>
      </c>
    </row>
    <row r="15730" spans="2:37">
      <c r="B15730" s="834" t="str">
        <f t="shared" si="571"/>
        <v>|||</v>
      </c>
      <c r="H15730" s="835">
        <f t="shared" si="572"/>
        <v>31</v>
      </c>
      <c r="AF15730" s="831" t="s">
        <v>11313</v>
      </c>
      <c r="AG15730" s="831" t="s">
        <v>2674</v>
      </c>
      <c r="AH15730" s="831" t="s">
        <v>581</v>
      </c>
      <c r="AI15730" s="831">
        <v>0</v>
      </c>
      <c r="AJ15730" s="835">
        <v>41670</v>
      </c>
      <c r="AK15730" s="831">
        <v>5221448.8940000003</v>
      </c>
    </row>
    <row r="15731" spans="2:37">
      <c r="B15731" s="834" t="str">
        <f t="shared" si="571"/>
        <v>|||</v>
      </c>
      <c r="H15731" s="835">
        <f t="shared" si="572"/>
        <v>31</v>
      </c>
      <c r="AF15731" s="831" t="s">
        <v>11314</v>
      </c>
      <c r="AG15731" s="831" t="s">
        <v>2674</v>
      </c>
      <c r="AH15731" s="831" t="s">
        <v>105</v>
      </c>
      <c r="AI15731" s="831">
        <v>0</v>
      </c>
      <c r="AJ15731" s="835">
        <v>41670</v>
      </c>
      <c r="AK15731" s="831">
        <v>378525192</v>
      </c>
    </row>
    <row r="15732" spans="2:37">
      <c r="B15732" s="834" t="str">
        <f t="shared" si="571"/>
        <v>|||</v>
      </c>
      <c r="H15732" s="835">
        <f t="shared" si="572"/>
        <v>31</v>
      </c>
      <c r="AF15732" s="831" t="s">
        <v>11315</v>
      </c>
      <c r="AG15732" s="831" t="s">
        <v>2674</v>
      </c>
      <c r="AH15732" s="831" t="s">
        <v>3049</v>
      </c>
      <c r="AI15732" s="831">
        <v>0</v>
      </c>
      <c r="AJ15732" s="835">
        <v>41670</v>
      </c>
      <c r="AK15732" s="831">
        <v>636021249.54999995</v>
      </c>
    </row>
    <row r="15733" spans="2:37">
      <c r="B15733" s="834" t="str">
        <f t="shared" si="571"/>
        <v>|||</v>
      </c>
      <c r="H15733" s="835">
        <f t="shared" si="572"/>
        <v>31</v>
      </c>
      <c r="AF15733" s="831" t="s">
        <v>11316</v>
      </c>
      <c r="AG15733" s="831" t="s">
        <v>2674</v>
      </c>
      <c r="AH15733" s="831" t="s">
        <v>103</v>
      </c>
      <c r="AI15733" s="831">
        <v>0</v>
      </c>
      <c r="AJ15733" s="835">
        <v>41670</v>
      </c>
      <c r="AK15733" s="831">
        <v>257496057.55000001</v>
      </c>
    </row>
    <row r="15734" spans="2:37">
      <c r="B15734" s="834" t="str">
        <f t="shared" si="571"/>
        <v>|||</v>
      </c>
      <c r="H15734" s="835">
        <f t="shared" si="572"/>
        <v>31</v>
      </c>
      <c r="AF15734" s="831" t="s">
        <v>11317</v>
      </c>
      <c r="AG15734" s="831" t="s">
        <v>2674</v>
      </c>
      <c r="AH15734" s="831" t="s">
        <v>182</v>
      </c>
      <c r="AI15734" s="831">
        <v>0</v>
      </c>
      <c r="AJ15734" s="835">
        <v>41670</v>
      </c>
      <c r="AK15734" s="831">
        <v>67679280</v>
      </c>
    </row>
    <row r="15735" spans="2:37">
      <c r="B15735" s="834" t="str">
        <f t="shared" si="571"/>
        <v>|||</v>
      </c>
      <c r="H15735" s="835">
        <f t="shared" si="572"/>
        <v>31</v>
      </c>
      <c r="AF15735" s="831" t="s">
        <v>11318</v>
      </c>
      <c r="AG15735" s="831" t="s">
        <v>2674</v>
      </c>
      <c r="AH15735" s="831" t="s">
        <v>6600</v>
      </c>
      <c r="AI15735" s="831">
        <v>0</v>
      </c>
      <c r="AJ15735" s="835">
        <v>41670</v>
      </c>
      <c r="AK15735" s="831">
        <v>28355401.956000008</v>
      </c>
    </row>
    <row r="15736" spans="2:37">
      <c r="B15736" s="834" t="str">
        <f t="shared" si="571"/>
        <v>|||</v>
      </c>
      <c r="H15736" s="835">
        <f t="shared" si="572"/>
        <v>31</v>
      </c>
      <c r="AF15736" s="831" t="s">
        <v>11319</v>
      </c>
      <c r="AG15736" s="831" t="s">
        <v>2674</v>
      </c>
      <c r="AH15736" s="831" t="s">
        <v>6602</v>
      </c>
      <c r="AI15736" s="831">
        <v>0</v>
      </c>
      <c r="AJ15736" s="835">
        <v>41670</v>
      </c>
      <c r="AK15736" s="831">
        <v>3298821</v>
      </c>
    </row>
    <row r="15737" spans="2:37">
      <c r="B15737" s="834" t="str">
        <f t="shared" si="571"/>
        <v>|||</v>
      </c>
      <c r="H15737" s="835">
        <f t="shared" si="572"/>
        <v>31</v>
      </c>
      <c r="AF15737" s="831" t="s">
        <v>11320</v>
      </c>
      <c r="AG15737" s="831" t="s">
        <v>2674</v>
      </c>
      <c r="AH15737" s="831" t="s">
        <v>650</v>
      </c>
      <c r="AI15737" s="831">
        <v>0</v>
      </c>
      <c r="AJ15737" s="835">
        <v>41670</v>
      </c>
      <c r="AK15737" s="831">
        <v>211999986.62300003</v>
      </c>
    </row>
    <row r="15738" spans="2:37">
      <c r="B15738" s="834" t="str">
        <f t="shared" si="571"/>
        <v>|||</v>
      </c>
      <c r="H15738" s="835">
        <f t="shared" si="572"/>
        <v>31</v>
      </c>
      <c r="AF15738" s="831" t="s">
        <v>11321</v>
      </c>
      <c r="AG15738" s="831" t="s">
        <v>2674</v>
      </c>
      <c r="AH15738" s="831" t="s">
        <v>655</v>
      </c>
      <c r="AI15738" s="831">
        <v>0</v>
      </c>
      <c r="AJ15738" s="835">
        <v>41670</v>
      </c>
      <c r="AK15738" s="831">
        <v>1732566.0729999999</v>
      </c>
    </row>
    <row r="15739" spans="2:37">
      <c r="B15739" s="834" t="str">
        <f t="shared" si="571"/>
        <v>|||</v>
      </c>
      <c r="H15739" s="835">
        <f t="shared" si="572"/>
        <v>31</v>
      </c>
      <c r="AF15739" s="831" t="s">
        <v>11322</v>
      </c>
      <c r="AG15739" s="831" t="s">
        <v>2674</v>
      </c>
      <c r="AH15739" s="831" t="s">
        <v>546</v>
      </c>
      <c r="AI15739" s="831">
        <v>0</v>
      </c>
      <c r="AJ15739" s="835">
        <v>41698</v>
      </c>
      <c r="AK15739" s="831">
        <v>652795035</v>
      </c>
    </row>
    <row r="15740" spans="2:37">
      <c r="B15740" s="834" t="str">
        <f t="shared" si="571"/>
        <v>|||</v>
      </c>
      <c r="H15740" s="835">
        <f t="shared" si="572"/>
        <v>31</v>
      </c>
      <c r="AF15740" s="831" t="s">
        <v>11323</v>
      </c>
      <c r="AG15740" s="831" t="s">
        <v>2674</v>
      </c>
      <c r="AH15740" s="831" t="s">
        <v>370</v>
      </c>
      <c r="AI15740" s="831">
        <v>0</v>
      </c>
      <c r="AJ15740" s="835">
        <v>41698</v>
      </c>
      <c r="AK15740" s="831">
        <v>794421636</v>
      </c>
    </row>
    <row r="15741" spans="2:37">
      <c r="B15741" s="834" t="str">
        <f t="shared" si="571"/>
        <v>|||</v>
      </c>
      <c r="H15741" s="835">
        <f t="shared" si="572"/>
        <v>31</v>
      </c>
      <c r="AF15741" s="831" t="s">
        <v>11324</v>
      </c>
      <c r="AG15741" s="831" t="s">
        <v>2674</v>
      </c>
      <c r="AH15741" s="831" t="s">
        <v>126</v>
      </c>
      <c r="AI15741" s="831">
        <v>0</v>
      </c>
      <c r="AJ15741" s="835">
        <v>41698</v>
      </c>
      <c r="AK15741" s="831">
        <v>120615628</v>
      </c>
    </row>
    <row r="15742" spans="2:37">
      <c r="B15742" s="834" t="str">
        <f t="shared" si="571"/>
        <v>|||</v>
      </c>
      <c r="H15742" s="835">
        <f t="shared" si="572"/>
        <v>31</v>
      </c>
      <c r="AF15742" s="831" t="s">
        <v>11325</v>
      </c>
      <c r="AG15742" s="831" t="s">
        <v>2674</v>
      </c>
      <c r="AH15742" s="831" t="s">
        <v>268</v>
      </c>
      <c r="AI15742" s="831">
        <v>0</v>
      </c>
      <c r="AJ15742" s="835">
        <v>41698</v>
      </c>
      <c r="AK15742" s="831">
        <v>7870295</v>
      </c>
    </row>
    <row r="15743" spans="2:37">
      <c r="B15743" s="834" t="str">
        <f t="shared" si="571"/>
        <v>|||</v>
      </c>
      <c r="H15743" s="835">
        <f t="shared" si="572"/>
        <v>31</v>
      </c>
      <c r="AF15743" s="831" t="s">
        <v>11326</v>
      </c>
      <c r="AG15743" s="831" t="s">
        <v>2674</v>
      </c>
      <c r="AH15743" s="831" t="s">
        <v>547</v>
      </c>
      <c r="AI15743" s="831">
        <v>0</v>
      </c>
      <c r="AJ15743" s="835">
        <v>41698</v>
      </c>
      <c r="AK15743" s="831">
        <v>777719977</v>
      </c>
    </row>
    <row r="15744" spans="2:37">
      <c r="B15744" s="834" t="str">
        <f t="shared" si="571"/>
        <v>|||</v>
      </c>
      <c r="H15744" s="835">
        <f t="shared" si="572"/>
        <v>31</v>
      </c>
      <c r="AF15744" s="831" t="s">
        <v>11327</v>
      </c>
      <c r="AG15744" s="831" t="s">
        <v>2674</v>
      </c>
      <c r="AH15744" s="831" t="s">
        <v>548</v>
      </c>
      <c r="AI15744" s="831">
        <v>0</v>
      </c>
      <c r="AJ15744" s="835">
        <v>41698</v>
      </c>
      <c r="AK15744" s="831">
        <v>117105496</v>
      </c>
    </row>
    <row r="15745" spans="2:37">
      <c r="B15745" s="834" t="str">
        <f t="shared" si="571"/>
        <v>|||</v>
      </c>
      <c r="H15745" s="835">
        <f t="shared" si="572"/>
        <v>31</v>
      </c>
      <c r="AF15745" s="831" t="s">
        <v>11328</v>
      </c>
      <c r="AG15745" s="831" t="s">
        <v>2674</v>
      </c>
      <c r="AH15745" s="831" t="s">
        <v>549</v>
      </c>
      <c r="AI15745" s="831">
        <v>0</v>
      </c>
      <c r="AJ15745" s="835">
        <v>41698</v>
      </c>
      <c r="AK15745" s="831">
        <v>436810603</v>
      </c>
    </row>
    <row r="15746" spans="2:37">
      <c r="B15746" s="834" t="str">
        <f t="shared" si="571"/>
        <v>|||</v>
      </c>
      <c r="H15746" s="835">
        <f t="shared" si="572"/>
        <v>31</v>
      </c>
      <c r="AF15746" s="831" t="s">
        <v>11329</v>
      </c>
      <c r="AG15746" s="831" t="s">
        <v>2674</v>
      </c>
      <c r="AH15746" s="831" t="s">
        <v>192</v>
      </c>
      <c r="AI15746" s="831">
        <v>0</v>
      </c>
      <c r="AJ15746" s="835">
        <v>41698</v>
      </c>
      <c r="AK15746" s="831">
        <v>-13506118</v>
      </c>
    </row>
    <row r="15747" spans="2:37">
      <c r="B15747" s="834" t="str">
        <f t="shared" si="571"/>
        <v>|||</v>
      </c>
      <c r="H15747" s="835">
        <f t="shared" si="572"/>
        <v>31</v>
      </c>
      <c r="AF15747" s="831" t="s">
        <v>11330</v>
      </c>
      <c r="AG15747" s="831" t="s">
        <v>2674</v>
      </c>
      <c r="AH15747" s="831" t="s">
        <v>558</v>
      </c>
      <c r="AI15747" s="831">
        <v>0</v>
      </c>
      <c r="AJ15747" s="835">
        <v>41698</v>
      </c>
      <c r="AK15747" s="831">
        <v>673806008.21000004</v>
      </c>
    </row>
    <row r="15748" spans="2:37">
      <c r="B15748" s="834" t="str">
        <f t="shared" si="571"/>
        <v>|||</v>
      </c>
      <c r="H15748" s="835">
        <f t="shared" si="572"/>
        <v>31</v>
      </c>
      <c r="AF15748" s="831" t="s">
        <v>11331</v>
      </c>
      <c r="AG15748" s="831" t="s">
        <v>2674</v>
      </c>
      <c r="AH15748" s="831" t="s">
        <v>65</v>
      </c>
      <c r="AI15748" s="831">
        <v>0</v>
      </c>
      <c r="AJ15748" s="835">
        <v>41698</v>
      </c>
      <c r="AK15748" s="831">
        <v>27696081</v>
      </c>
    </row>
    <row r="15749" spans="2:37">
      <c r="B15749" s="834" t="str">
        <f t="shared" si="571"/>
        <v>|||</v>
      </c>
      <c r="H15749" s="835">
        <f t="shared" si="572"/>
        <v>31</v>
      </c>
      <c r="AF15749" s="831" t="s">
        <v>11332</v>
      </c>
      <c r="AG15749" s="831" t="s">
        <v>2674</v>
      </c>
      <c r="AH15749" s="831" t="s">
        <v>89</v>
      </c>
      <c r="AI15749" s="831">
        <v>0</v>
      </c>
      <c r="AJ15749" s="835">
        <v>41698</v>
      </c>
      <c r="AK15749" s="831">
        <v>150328</v>
      </c>
    </row>
    <row r="15750" spans="2:37">
      <c r="B15750" s="834" t="str">
        <f t="shared" si="571"/>
        <v>|||</v>
      </c>
      <c r="H15750" s="835">
        <f t="shared" si="572"/>
        <v>31</v>
      </c>
      <c r="AF15750" s="831" t="s">
        <v>11333</v>
      </c>
      <c r="AG15750" s="831" t="s">
        <v>2674</v>
      </c>
      <c r="AH15750" s="831" t="s">
        <v>557</v>
      </c>
      <c r="AI15750" s="831">
        <v>0</v>
      </c>
      <c r="AJ15750" s="835">
        <v>41698</v>
      </c>
      <c r="AK15750" s="831">
        <v>165052</v>
      </c>
    </row>
    <row r="15751" spans="2:37">
      <c r="B15751" s="834" t="str">
        <f t="shared" si="571"/>
        <v>|||</v>
      </c>
      <c r="H15751" s="835">
        <f t="shared" si="572"/>
        <v>31</v>
      </c>
      <c r="AF15751" s="831" t="s">
        <v>11334</v>
      </c>
      <c r="AG15751" s="831" t="s">
        <v>2674</v>
      </c>
      <c r="AH15751" s="831" t="s">
        <v>29</v>
      </c>
      <c r="AI15751" s="831">
        <v>0</v>
      </c>
      <c r="AJ15751" s="835">
        <v>41698</v>
      </c>
      <c r="AK15751" s="831">
        <v>2075568.541</v>
      </c>
    </row>
    <row r="15752" spans="2:37">
      <c r="B15752" s="834" t="str">
        <f t="shared" si="571"/>
        <v>|||</v>
      </c>
      <c r="H15752" s="835">
        <f t="shared" si="572"/>
        <v>31</v>
      </c>
      <c r="AF15752" s="831" t="s">
        <v>11335</v>
      </c>
      <c r="AG15752" s="831" t="s">
        <v>2674</v>
      </c>
      <c r="AH15752" s="831" t="s">
        <v>2688</v>
      </c>
      <c r="AI15752" s="831">
        <v>0</v>
      </c>
      <c r="AJ15752" s="835">
        <v>41698</v>
      </c>
      <c r="AK15752" s="831">
        <v>4740340.3599999994</v>
      </c>
    </row>
    <row r="15753" spans="2:37">
      <c r="B15753" s="834" t="str">
        <f t="shared" si="571"/>
        <v>|||</v>
      </c>
      <c r="H15753" s="835">
        <f t="shared" si="572"/>
        <v>31</v>
      </c>
      <c r="AF15753" s="831" t="s">
        <v>11336</v>
      </c>
      <c r="AG15753" s="831" t="s">
        <v>2674</v>
      </c>
      <c r="AH15753" s="831" t="s">
        <v>556</v>
      </c>
      <c r="AI15753" s="831">
        <v>0</v>
      </c>
      <c r="AJ15753" s="835">
        <v>41698</v>
      </c>
      <c r="AK15753" s="831">
        <v>1644732</v>
      </c>
    </row>
    <row r="15754" spans="2:37">
      <c r="B15754" s="834" t="str">
        <f t="shared" si="571"/>
        <v>|||</v>
      </c>
      <c r="H15754" s="835">
        <f t="shared" si="572"/>
        <v>31</v>
      </c>
      <c r="AF15754" s="831" t="s">
        <v>11337</v>
      </c>
      <c r="AG15754" s="831" t="s">
        <v>2674</v>
      </c>
      <c r="AH15754" s="831" t="s">
        <v>555</v>
      </c>
      <c r="AI15754" s="831">
        <v>0</v>
      </c>
      <c r="AJ15754" s="835">
        <v>41698</v>
      </c>
      <c r="AK15754" s="831">
        <v>437465824</v>
      </c>
    </row>
    <row r="15755" spans="2:37">
      <c r="B15755" s="834" t="str">
        <f t="shared" si="571"/>
        <v>|||</v>
      </c>
      <c r="H15755" s="835">
        <f t="shared" si="572"/>
        <v>31</v>
      </c>
      <c r="AF15755" s="831" t="s">
        <v>11338</v>
      </c>
      <c r="AG15755" s="831" t="s">
        <v>2674</v>
      </c>
      <c r="AH15755" s="831" t="s">
        <v>554</v>
      </c>
      <c r="AI15755" s="831">
        <v>0</v>
      </c>
      <c r="AJ15755" s="835">
        <v>41698</v>
      </c>
      <c r="AK15755" s="831">
        <v>440045130</v>
      </c>
    </row>
    <row r="15756" spans="2:37">
      <c r="B15756" s="834" t="str">
        <f t="shared" si="571"/>
        <v>|||</v>
      </c>
      <c r="H15756" s="835">
        <f t="shared" si="572"/>
        <v>31</v>
      </c>
      <c r="AF15756" s="831" t="s">
        <v>11339</v>
      </c>
      <c r="AG15756" s="831" t="s">
        <v>2674</v>
      </c>
      <c r="AH15756" s="831" t="s">
        <v>553</v>
      </c>
      <c r="AI15756" s="831">
        <v>0</v>
      </c>
      <c r="AJ15756" s="835">
        <v>41698</v>
      </c>
      <c r="AK15756" s="831">
        <v>0</v>
      </c>
    </row>
    <row r="15757" spans="2:37">
      <c r="B15757" s="834" t="str">
        <f t="shared" si="571"/>
        <v>|||</v>
      </c>
      <c r="H15757" s="835">
        <f t="shared" si="572"/>
        <v>31</v>
      </c>
      <c r="AF15757" s="831" t="s">
        <v>11340</v>
      </c>
      <c r="AG15757" s="831" t="s">
        <v>2674</v>
      </c>
      <c r="AH15757" s="831" t="s">
        <v>552</v>
      </c>
      <c r="AI15757" s="831">
        <v>0</v>
      </c>
      <c r="AJ15757" s="835">
        <v>41698</v>
      </c>
      <c r="AK15757" s="831">
        <v>0</v>
      </c>
    </row>
    <row r="15758" spans="2:37">
      <c r="B15758" s="834" t="str">
        <f t="shared" si="571"/>
        <v>|||</v>
      </c>
      <c r="H15758" s="835">
        <f t="shared" si="572"/>
        <v>31</v>
      </c>
      <c r="AF15758" s="831" t="s">
        <v>11341</v>
      </c>
      <c r="AG15758" s="831" t="s">
        <v>2674</v>
      </c>
      <c r="AH15758" s="831" t="s">
        <v>551</v>
      </c>
      <c r="AI15758" s="831">
        <v>0</v>
      </c>
      <c r="AJ15758" s="835">
        <v>41698</v>
      </c>
      <c r="AK15758" s="831">
        <v>1790155.7879999999</v>
      </c>
    </row>
    <row r="15759" spans="2:37">
      <c r="B15759" s="834" t="str">
        <f t="shared" si="571"/>
        <v>|||</v>
      </c>
      <c r="H15759" s="835">
        <f t="shared" si="572"/>
        <v>31</v>
      </c>
      <c r="AF15759" s="831" t="s">
        <v>11342</v>
      </c>
      <c r="AG15759" s="831" t="s">
        <v>2674</v>
      </c>
      <c r="AH15759" s="831" t="s">
        <v>550</v>
      </c>
      <c r="AI15759" s="831">
        <v>0</v>
      </c>
      <c r="AJ15759" s="835">
        <v>41698</v>
      </c>
      <c r="AK15759" s="831">
        <v>117105496</v>
      </c>
    </row>
    <row r="15760" spans="2:37">
      <c r="B15760" s="834" t="str">
        <f t="shared" si="571"/>
        <v>|||</v>
      </c>
      <c r="H15760" s="835">
        <f t="shared" si="572"/>
        <v>31</v>
      </c>
      <c r="AF15760" s="831" t="s">
        <v>11343</v>
      </c>
      <c r="AG15760" s="831" t="s">
        <v>2674</v>
      </c>
      <c r="AH15760" s="831" t="s">
        <v>562</v>
      </c>
      <c r="AI15760" s="831">
        <v>0</v>
      </c>
      <c r="AJ15760" s="835">
        <v>41698</v>
      </c>
      <c r="AK15760" s="831">
        <v>0.78385000000000005</v>
      </c>
    </row>
    <row r="15761" spans="2:37">
      <c r="B15761" s="834" t="str">
        <f t="shared" ref="B15761:B15824" si="573">C15761&amp;"|"&amp;D15761&amp;"|"&amp;E15761&amp;"|"&amp;F15761</f>
        <v>|||</v>
      </c>
      <c r="H15761" s="835">
        <f t="shared" ref="H15761:H15824" si="574">EOMONTH(L15761,0)</f>
        <v>31</v>
      </c>
      <c r="AF15761" s="831" t="s">
        <v>11344</v>
      </c>
      <c r="AG15761" s="831" t="s">
        <v>2674</v>
      </c>
      <c r="AH15761" s="831" t="s">
        <v>2698</v>
      </c>
      <c r="AI15761" s="831">
        <v>0</v>
      </c>
      <c r="AJ15761" s="835">
        <v>41698</v>
      </c>
      <c r="AK15761" s="831">
        <v>0.78364999999999996</v>
      </c>
    </row>
    <row r="15762" spans="2:37">
      <c r="B15762" s="834" t="str">
        <f t="shared" si="573"/>
        <v>|||</v>
      </c>
      <c r="H15762" s="835">
        <f t="shared" si="574"/>
        <v>31</v>
      </c>
      <c r="AF15762" s="831" t="s">
        <v>11345</v>
      </c>
      <c r="AG15762" s="831" t="s">
        <v>2674</v>
      </c>
      <c r="AH15762" s="831" t="s">
        <v>560</v>
      </c>
      <c r="AI15762" s="831">
        <v>0</v>
      </c>
      <c r="AJ15762" s="835">
        <v>41698</v>
      </c>
      <c r="AK15762" s="831">
        <v>0.78374999999999995</v>
      </c>
    </row>
    <row r="15763" spans="2:37">
      <c r="B15763" s="834" t="str">
        <f t="shared" si="573"/>
        <v>|||</v>
      </c>
      <c r="H15763" s="835">
        <f t="shared" si="574"/>
        <v>31</v>
      </c>
      <c r="AF15763" s="831" t="s">
        <v>11346</v>
      </c>
      <c r="AG15763" s="831" t="s">
        <v>2674</v>
      </c>
      <c r="AH15763" s="831" t="s">
        <v>559</v>
      </c>
      <c r="AI15763" s="831">
        <v>0</v>
      </c>
      <c r="AJ15763" s="835">
        <v>41698</v>
      </c>
      <c r="AK15763" s="831">
        <v>0.7838750000000001</v>
      </c>
    </row>
    <row r="15764" spans="2:37">
      <c r="B15764" s="834" t="str">
        <f t="shared" si="573"/>
        <v>|||</v>
      </c>
      <c r="H15764" s="835">
        <f t="shared" si="574"/>
        <v>31</v>
      </c>
      <c r="AF15764" s="831" t="s">
        <v>11347</v>
      </c>
      <c r="AG15764" s="831" t="s">
        <v>2674</v>
      </c>
      <c r="AH15764" s="831" t="s">
        <v>568</v>
      </c>
      <c r="AI15764" s="831">
        <v>0</v>
      </c>
      <c r="AJ15764" s="835">
        <v>41698</v>
      </c>
      <c r="AK15764" s="831">
        <v>548459663.22692311</v>
      </c>
    </row>
    <row r="15765" spans="2:37">
      <c r="B15765" s="834" t="str">
        <f t="shared" si="573"/>
        <v>|||</v>
      </c>
      <c r="H15765" s="835">
        <f t="shared" si="574"/>
        <v>31</v>
      </c>
      <c r="AF15765" s="831" t="s">
        <v>11348</v>
      </c>
      <c r="AG15765" s="831" t="s">
        <v>2674</v>
      </c>
      <c r="AH15765" s="831" t="s">
        <v>569</v>
      </c>
      <c r="AI15765" s="831">
        <v>0</v>
      </c>
      <c r="AJ15765" s="835">
        <v>41698</v>
      </c>
      <c r="AK15765" s="831">
        <v>670148193.05023074</v>
      </c>
    </row>
    <row r="15766" spans="2:37">
      <c r="B15766" s="834" t="str">
        <f t="shared" si="573"/>
        <v>|||</v>
      </c>
      <c r="H15766" s="835">
        <f t="shared" si="574"/>
        <v>31</v>
      </c>
      <c r="AF15766" s="831" t="s">
        <v>11349</v>
      </c>
      <c r="AG15766" s="831" t="s">
        <v>2674</v>
      </c>
      <c r="AH15766" s="831" t="s">
        <v>570</v>
      </c>
      <c r="AI15766" s="831">
        <v>0</v>
      </c>
      <c r="AJ15766" s="835">
        <v>41698</v>
      </c>
      <c r="AK15766" s="831">
        <v>111814070.13584615</v>
      </c>
    </row>
    <row r="15767" spans="2:37">
      <c r="B15767" s="834" t="str">
        <f t="shared" si="573"/>
        <v>|||</v>
      </c>
      <c r="H15767" s="835">
        <f t="shared" si="574"/>
        <v>31</v>
      </c>
      <c r="AF15767" s="831" t="s">
        <v>11350</v>
      </c>
      <c r="AG15767" s="831" t="s">
        <v>2674</v>
      </c>
      <c r="AH15767" s="831" t="s">
        <v>571</v>
      </c>
      <c r="AI15767" s="831">
        <v>0</v>
      </c>
      <c r="AJ15767" s="835">
        <v>41698</v>
      </c>
      <c r="AK15767" s="831">
        <v>320628110.0517692</v>
      </c>
    </row>
    <row r="15768" spans="2:37">
      <c r="B15768" s="834" t="str">
        <f t="shared" si="573"/>
        <v>|||</v>
      </c>
      <c r="H15768" s="835">
        <f t="shared" si="574"/>
        <v>31</v>
      </c>
      <c r="AF15768" s="831" t="s">
        <v>11351</v>
      </c>
      <c r="AG15768" s="831" t="s">
        <v>2674</v>
      </c>
      <c r="AH15768" s="831" t="s">
        <v>573</v>
      </c>
      <c r="AI15768" s="831">
        <v>0</v>
      </c>
      <c r="AJ15768" s="835">
        <v>41698</v>
      </c>
      <c r="AK15768" s="831">
        <v>787218860.85433328</v>
      </c>
    </row>
    <row r="15769" spans="2:37">
      <c r="B15769" s="834" t="str">
        <f t="shared" si="573"/>
        <v>|||</v>
      </c>
      <c r="H15769" s="835">
        <f t="shared" si="574"/>
        <v>31</v>
      </c>
      <c r="AF15769" s="831" t="s">
        <v>11352</v>
      </c>
      <c r="AG15769" s="831" t="s">
        <v>2674</v>
      </c>
      <c r="AH15769" s="831" t="s">
        <v>574</v>
      </c>
      <c r="AI15769" s="831">
        <v>0</v>
      </c>
      <c r="AJ15769" s="835">
        <v>41698</v>
      </c>
      <c r="AK15769" s="831">
        <v>638762603.66666663</v>
      </c>
    </row>
    <row r="15770" spans="2:37">
      <c r="B15770" s="834" t="str">
        <f t="shared" si="573"/>
        <v>|||</v>
      </c>
      <c r="H15770" s="835">
        <f t="shared" si="574"/>
        <v>31</v>
      </c>
      <c r="AF15770" s="831" t="s">
        <v>11353</v>
      </c>
      <c r="AG15770" s="831" t="s">
        <v>2674</v>
      </c>
      <c r="AH15770" s="831" t="s">
        <v>575</v>
      </c>
      <c r="AI15770" s="831">
        <v>0</v>
      </c>
      <c r="AJ15770" s="835">
        <v>41698</v>
      </c>
      <c r="AK15770" s="831">
        <v>117270296.63666666</v>
      </c>
    </row>
    <row r="15771" spans="2:37">
      <c r="B15771" s="834" t="str">
        <f t="shared" si="573"/>
        <v>|||</v>
      </c>
      <c r="H15771" s="835">
        <f t="shared" si="574"/>
        <v>31</v>
      </c>
      <c r="AF15771" s="831" t="s">
        <v>11354</v>
      </c>
      <c r="AG15771" s="831" t="s">
        <v>2674</v>
      </c>
      <c r="AH15771" s="831" t="s">
        <v>576</v>
      </c>
      <c r="AI15771" s="831">
        <v>0</v>
      </c>
      <c r="AJ15771" s="835">
        <v>41698</v>
      </c>
      <c r="AK15771" s="831">
        <v>385067117.20366669</v>
      </c>
    </row>
    <row r="15772" spans="2:37">
      <c r="B15772" s="834" t="str">
        <f t="shared" si="573"/>
        <v>|||</v>
      </c>
      <c r="H15772" s="835">
        <f t="shared" si="574"/>
        <v>31</v>
      </c>
      <c r="AF15772" s="831" t="s">
        <v>11355</v>
      </c>
      <c r="AG15772" s="831" t="s">
        <v>2674</v>
      </c>
      <c r="AH15772" s="831" t="s">
        <v>572</v>
      </c>
      <c r="AI15772" s="831">
        <v>0</v>
      </c>
      <c r="AJ15772" s="835">
        <v>41698</v>
      </c>
      <c r="AK15772" s="831">
        <v>31228952.956000008</v>
      </c>
    </row>
    <row r="15773" spans="2:37">
      <c r="B15773" s="834" t="str">
        <f t="shared" si="573"/>
        <v>|||</v>
      </c>
      <c r="H15773" s="835">
        <f t="shared" si="574"/>
        <v>31</v>
      </c>
      <c r="AF15773" s="831" t="s">
        <v>11356</v>
      </c>
      <c r="AG15773" s="831" t="s">
        <v>2674</v>
      </c>
      <c r="AH15773" s="831" t="s">
        <v>577</v>
      </c>
      <c r="AI15773" s="831">
        <v>0</v>
      </c>
      <c r="AJ15773" s="835">
        <v>41698</v>
      </c>
      <c r="AK15773" s="831">
        <v>141567221.76300001</v>
      </c>
    </row>
    <row r="15774" spans="2:37">
      <c r="B15774" s="834" t="str">
        <f t="shared" si="573"/>
        <v>|||</v>
      </c>
      <c r="H15774" s="835">
        <f t="shared" si="574"/>
        <v>31</v>
      </c>
      <c r="AF15774" s="831" t="s">
        <v>11357</v>
      </c>
      <c r="AG15774" s="831" t="s">
        <v>2674</v>
      </c>
      <c r="AH15774" s="831" t="s">
        <v>3042</v>
      </c>
      <c r="AI15774" s="831">
        <v>0</v>
      </c>
      <c r="AJ15774" s="835">
        <v>41698</v>
      </c>
      <c r="AK15774" s="831">
        <v>-37210157.527000003</v>
      </c>
    </row>
    <row r="15775" spans="2:37">
      <c r="B15775" s="834" t="str">
        <f t="shared" si="573"/>
        <v>|||</v>
      </c>
      <c r="H15775" s="835">
        <f t="shared" si="574"/>
        <v>31</v>
      </c>
      <c r="AF15775" s="831" t="s">
        <v>11358</v>
      </c>
      <c r="AG15775" s="831" t="s">
        <v>2674</v>
      </c>
      <c r="AH15775" s="831" t="s">
        <v>3044</v>
      </c>
      <c r="AI15775" s="831">
        <v>0</v>
      </c>
      <c r="AJ15775" s="835">
        <v>41698</v>
      </c>
      <c r="AK15775" s="831">
        <v>-3847935.8899999997</v>
      </c>
    </row>
    <row r="15776" spans="2:37">
      <c r="B15776" s="834" t="str">
        <f t="shared" si="573"/>
        <v>|||</v>
      </c>
      <c r="H15776" s="835">
        <f t="shared" si="574"/>
        <v>31</v>
      </c>
      <c r="AF15776" s="831" t="s">
        <v>11359</v>
      </c>
      <c r="AG15776" s="831" t="s">
        <v>2674</v>
      </c>
      <c r="AH15776" s="831" t="s">
        <v>580</v>
      </c>
      <c r="AI15776" s="831">
        <v>0</v>
      </c>
      <c r="AJ15776" s="835">
        <v>41698</v>
      </c>
      <c r="AK15776" s="831">
        <v>-65813930.306999996</v>
      </c>
    </row>
    <row r="15777" spans="2:37">
      <c r="B15777" s="834" t="str">
        <f t="shared" si="573"/>
        <v>|||</v>
      </c>
      <c r="H15777" s="835">
        <f t="shared" si="574"/>
        <v>31</v>
      </c>
      <c r="AF15777" s="831" t="s">
        <v>11360</v>
      </c>
      <c r="AG15777" s="831" t="s">
        <v>2674</v>
      </c>
      <c r="AH15777" s="831" t="s">
        <v>581</v>
      </c>
      <c r="AI15777" s="831">
        <v>0</v>
      </c>
      <c r="AJ15777" s="835">
        <v>41698</v>
      </c>
      <c r="AK15777" s="831">
        <v>5417725.8940000003</v>
      </c>
    </row>
    <row r="15778" spans="2:37">
      <c r="B15778" s="834" t="str">
        <f t="shared" si="573"/>
        <v>|||</v>
      </c>
      <c r="H15778" s="835">
        <f t="shared" si="574"/>
        <v>31</v>
      </c>
      <c r="AF15778" s="831" t="s">
        <v>11361</v>
      </c>
      <c r="AG15778" s="831" t="s">
        <v>2674</v>
      </c>
      <c r="AH15778" s="831" t="s">
        <v>105</v>
      </c>
      <c r="AI15778" s="831">
        <v>0</v>
      </c>
      <c r="AJ15778" s="835">
        <v>41698</v>
      </c>
      <c r="AK15778" s="831">
        <v>385102312</v>
      </c>
    </row>
    <row r="15779" spans="2:37">
      <c r="B15779" s="834" t="str">
        <f t="shared" si="573"/>
        <v>|||</v>
      </c>
      <c r="H15779" s="835">
        <f t="shared" si="574"/>
        <v>31</v>
      </c>
      <c r="AF15779" s="831" t="s">
        <v>11362</v>
      </c>
      <c r="AG15779" s="831" t="s">
        <v>2674</v>
      </c>
      <c r="AH15779" s="831" t="s">
        <v>3049</v>
      </c>
      <c r="AI15779" s="831">
        <v>0</v>
      </c>
      <c r="AJ15779" s="835">
        <v>41698</v>
      </c>
      <c r="AK15779" s="831">
        <v>650688857.41999996</v>
      </c>
    </row>
    <row r="15780" spans="2:37">
      <c r="B15780" s="834" t="str">
        <f t="shared" si="573"/>
        <v>|||</v>
      </c>
      <c r="H15780" s="835">
        <f t="shared" si="574"/>
        <v>31</v>
      </c>
      <c r="AF15780" s="831" t="s">
        <v>11363</v>
      </c>
      <c r="AG15780" s="831" t="s">
        <v>2674</v>
      </c>
      <c r="AH15780" s="831" t="s">
        <v>103</v>
      </c>
      <c r="AI15780" s="831">
        <v>0</v>
      </c>
      <c r="AJ15780" s="835">
        <v>41698</v>
      </c>
      <c r="AK15780" s="831">
        <v>265586545.41999999</v>
      </c>
    </row>
    <row r="15781" spans="2:37">
      <c r="B15781" s="834" t="str">
        <f t="shared" si="573"/>
        <v>|||</v>
      </c>
      <c r="H15781" s="835">
        <f t="shared" si="574"/>
        <v>31</v>
      </c>
      <c r="AF15781" s="831" t="s">
        <v>11364</v>
      </c>
      <c r="AG15781" s="831" t="s">
        <v>2674</v>
      </c>
      <c r="AH15781" s="831" t="s">
        <v>182</v>
      </c>
      <c r="AI15781" s="831">
        <v>0</v>
      </c>
      <c r="AJ15781" s="835">
        <v>41698</v>
      </c>
      <c r="AK15781" s="831">
        <v>65878782</v>
      </c>
    </row>
    <row r="15782" spans="2:37">
      <c r="B15782" s="834" t="str">
        <f t="shared" si="573"/>
        <v>|||</v>
      </c>
      <c r="H15782" s="835">
        <f t="shared" si="574"/>
        <v>31</v>
      </c>
      <c r="AF15782" s="831" t="s">
        <v>11365</v>
      </c>
      <c r="AG15782" s="831" t="s">
        <v>2674</v>
      </c>
      <c r="AH15782" s="831" t="s">
        <v>6600</v>
      </c>
      <c r="AI15782" s="831">
        <v>0</v>
      </c>
      <c r="AJ15782" s="835">
        <v>41698</v>
      </c>
      <c r="AK15782" s="831">
        <v>31228952.956000008</v>
      </c>
    </row>
    <row r="15783" spans="2:37">
      <c r="B15783" s="834" t="str">
        <f t="shared" si="573"/>
        <v>|||</v>
      </c>
      <c r="H15783" s="835">
        <f t="shared" si="574"/>
        <v>31</v>
      </c>
      <c r="AF15783" s="831" t="s">
        <v>11366</v>
      </c>
      <c r="AG15783" s="831" t="s">
        <v>2674</v>
      </c>
      <c r="AH15783" s="831" t="s">
        <v>6602</v>
      </c>
      <c r="AI15783" s="831">
        <v>0</v>
      </c>
      <c r="AJ15783" s="835">
        <v>41698</v>
      </c>
      <c r="AK15783" s="831">
        <v>7870295</v>
      </c>
    </row>
    <row r="15784" spans="2:37">
      <c r="B15784" s="834" t="str">
        <f t="shared" si="573"/>
        <v>|||</v>
      </c>
      <c r="H15784" s="835">
        <f t="shared" si="574"/>
        <v>31</v>
      </c>
      <c r="AF15784" s="831" t="s">
        <v>11367</v>
      </c>
      <c r="AG15784" s="831" t="s">
        <v>2674</v>
      </c>
      <c r="AH15784" s="831" t="s">
        <v>650</v>
      </c>
      <c r="AI15784" s="831">
        <v>0</v>
      </c>
      <c r="AJ15784" s="835">
        <v>41698</v>
      </c>
      <c r="AK15784" s="831">
        <v>219285486.1168462</v>
      </c>
    </row>
    <row r="15785" spans="2:37">
      <c r="B15785" s="834" t="str">
        <f t="shared" si="573"/>
        <v>|||</v>
      </c>
      <c r="H15785" s="835">
        <f t="shared" si="574"/>
        <v>31</v>
      </c>
      <c r="AF15785" s="831" t="s">
        <v>11368</v>
      </c>
      <c r="AG15785" s="831" t="s">
        <v>2674</v>
      </c>
      <c r="AH15785" s="831" t="s">
        <v>655</v>
      </c>
      <c r="AI15785" s="831">
        <v>0</v>
      </c>
      <c r="AJ15785" s="835">
        <v>41698</v>
      </c>
      <c r="AK15785" s="831">
        <v>1640758.8330000001</v>
      </c>
    </row>
    <row r="15786" spans="2:37">
      <c r="B15786" s="834" t="str">
        <f t="shared" si="573"/>
        <v>|||</v>
      </c>
      <c r="H15786" s="835">
        <f t="shared" si="574"/>
        <v>31</v>
      </c>
      <c r="AF15786" s="831" t="s">
        <v>11369</v>
      </c>
      <c r="AG15786" s="831" t="s">
        <v>2674</v>
      </c>
      <c r="AH15786" s="831" t="s">
        <v>546</v>
      </c>
      <c r="AI15786" s="831">
        <v>0</v>
      </c>
      <c r="AJ15786" s="835">
        <v>41729</v>
      </c>
      <c r="AK15786" s="831">
        <v>664153787</v>
      </c>
    </row>
    <row r="15787" spans="2:37">
      <c r="B15787" s="834" t="str">
        <f t="shared" si="573"/>
        <v>|||</v>
      </c>
      <c r="H15787" s="835">
        <f t="shared" si="574"/>
        <v>31</v>
      </c>
      <c r="AF15787" s="831" t="s">
        <v>11370</v>
      </c>
      <c r="AG15787" s="831" t="s">
        <v>2674</v>
      </c>
      <c r="AH15787" s="831" t="s">
        <v>370</v>
      </c>
      <c r="AI15787" s="831">
        <v>0</v>
      </c>
      <c r="AJ15787" s="835">
        <v>41729</v>
      </c>
      <c r="AK15787" s="831">
        <v>834303183</v>
      </c>
    </row>
    <row r="15788" spans="2:37">
      <c r="B15788" s="834" t="str">
        <f t="shared" si="573"/>
        <v>|||</v>
      </c>
      <c r="H15788" s="835">
        <f t="shared" si="574"/>
        <v>31</v>
      </c>
      <c r="AF15788" s="831" t="s">
        <v>11371</v>
      </c>
      <c r="AG15788" s="831" t="s">
        <v>2674</v>
      </c>
      <c r="AH15788" s="831" t="s">
        <v>126</v>
      </c>
      <c r="AI15788" s="831">
        <v>0</v>
      </c>
      <c r="AJ15788" s="835">
        <v>41729</v>
      </c>
      <c r="AK15788" s="831">
        <v>124206790</v>
      </c>
    </row>
    <row r="15789" spans="2:37">
      <c r="B15789" s="834" t="str">
        <f t="shared" si="573"/>
        <v>|||</v>
      </c>
      <c r="H15789" s="835">
        <f t="shared" si="574"/>
        <v>31</v>
      </c>
      <c r="AF15789" s="831" t="s">
        <v>11372</v>
      </c>
      <c r="AG15789" s="831" t="s">
        <v>2674</v>
      </c>
      <c r="AH15789" s="831" t="s">
        <v>268</v>
      </c>
      <c r="AI15789" s="831">
        <v>0</v>
      </c>
      <c r="AJ15789" s="835">
        <v>41729</v>
      </c>
      <c r="AK15789" s="831">
        <v>8878765</v>
      </c>
    </row>
    <row r="15790" spans="2:37">
      <c r="B15790" s="834" t="str">
        <f t="shared" si="573"/>
        <v>|||</v>
      </c>
      <c r="H15790" s="835">
        <f t="shared" si="574"/>
        <v>31</v>
      </c>
      <c r="AF15790" s="831" t="s">
        <v>11373</v>
      </c>
      <c r="AG15790" s="831" t="s">
        <v>2674</v>
      </c>
      <c r="AH15790" s="831" t="s">
        <v>547</v>
      </c>
      <c r="AI15790" s="831">
        <v>0</v>
      </c>
      <c r="AJ15790" s="835">
        <v>41729</v>
      </c>
      <c r="AK15790" s="831">
        <v>777719977</v>
      </c>
    </row>
    <row r="15791" spans="2:37">
      <c r="B15791" s="834" t="str">
        <f t="shared" si="573"/>
        <v>|||</v>
      </c>
      <c r="H15791" s="835">
        <f t="shared" si="574"/>
        <v>31</v>
      </c>
      <c r="AF15791" s="831" t="s">
        <v>11374</v>
      </c>
      <c r="AG15791" s="831" t="s">
        <v>2674</v>
      </c>
      <c r="AH15791" s="831" t="s">
        <v>548</v>
      </c>
      <c r="AI15791" s="831">
        <v>0</v>
      </c>
      <c r="AJ15791" s="835">
        <v>41729</v>
      </c>
      <c r="AK15791" s="831">
        <v>117105496</v>
      </c>
    </row>
    <row r="15792" spans="2:37">
      <c r="B15792" s="834" t="str">
        <f t="shared" si="573"/>
        <v>|||</v>
      </c>
      <c r="H15792" s="835">
        <f t="shared" si="574"/>
        <v>31</v>
      </c>
      <c r="AF15792" s="831" t="s">
        <v>11375</v>
      </c>
      <c r="AG15792" s="831" t="s">
        <v>2674</v>
      </c>
      <c r="AH15792" s="831" t="s">
        <v>549</v>
      </c>
      <c r="AI15792" s="831">
        <v>0</v>
      </c>
      <c r="AJ15792" s="835">
        <v>41729</v>
      </c>
      <c r="AK15792" s="831">
        <v>455655641</v>
      </c>
    </row>
    <row r="15793" spans="2:37">
      <c r="B15793" s="834" t="str">
        <f t="shared" si="573"/>
        <v>|||</v>
      </c>
      <c r="H15793" s="835">
        <f t="shared" si="574"/>
        <v>31</v>
      </c>
      <c r="AF15793" s="831" t="s">
        <v>11376</v>
      </c>
      <c r="AG15793" s="831" t="s">
        <v>2674</v>
      </c>
      <c r="AH15793" s="831" t="s">
        <v>192</v>
      </c>
      <c r="AI15793" s="831">
        <v>0</v>
      </c>
      <c r="AJ15793" s="835">
        <v>41729</v>
      </c>
      <c r="AK15793" s="831">
        <v>-12498345</v>
      </c>
    </row>
    <row r="15794" spans="2:37">
      <c r="B15794" s="834" t="str">
        <f t="shared" si="573"/>
        <v>|||</v>
      </c>
      <c r="H15794" s="835">
        <f t="shared" si="574"/>
        <v>31</v>
      </c>
      <c r="AF15794" s="831" t="s">
        <v>11377</v>
      </c>
      <c r="AG15794" s="831" t="s">
        <v>2674</v>
      </c>
      <c r="AH15794" s="831" t="s">
        <v>558</v>
      </c>
      <c r="AI15794" s="831">
        <v>0</v>
      </c>
      <c r="AJ15794" s="835">
        <v>41729</v>
      </c>
      <c r="AK15794" s="831">
        <v>710096393</v>
      </c>
    </row>
    <row r="15795" spans="2:37">
      <c r="B15795" s="834" t="str">
        <f t="shared" si="573"/>
        <v>|||</v>
      </c>
      <c r="H15795" s="835">
        <f t="shared" si="574"/>
        <v>31</v>
      </c>
      <c r="AF15795" s="831" t="s">
        <v>11378</v>
      </c>
      <c r="AG15795" s="831" t="s">
        <v>2674</v>
      </c>
      <c r="AH15795" s="831" t="s">
        <v>65</v>
      </c>
      <c r="AI15795" s="831">
        <v>0</v>
      </c>
      <c r="AJ15795" s="835">
        <v>41729</v>
      </c>
      <c r="AK15795" s="831">
        <v>38451284</v>
      </c>
    </row>
    <row r="15796" spans="2:37">
      <c r="B15796" s="834" t="str">
        <f t="shared" si="573"/>
        <v>|||</v>
      </c>
      <c r="H15796" s="835">
        <f t="shared" si="574"/>
        <v>31</v>
      </c>
      <c r="AF15796" s="831" t="s">
        <v>11379</v>
      </c>
      <c r="AG15796" s="831" t="s">
        <v>2674</v>
      </c>
      <c r="AH15796" s="831" t="s">
        <v>89</v>
      </c>
      <c r="AI15796" s="831">
        <v>0</v>
      </c>
      <c r="AJ15796" s="835">
        <v>41729</v>
      </c>
      <c r="AK15796" s="831">
        <v>151606</v>
      </c>
    </row>
    <row r="15797" spans="2:37">
      <c r="B15797" s="834" t="str">
        <f t="shared" si="573"/>
        <v>|||</v>
      </c>
      <c r="H15797" s="835">
        <f t="shared" si="574"/>
        <v>31</v>
      </c>
      <c r="AF15797" s="831" t="s">
        <v>11380</v>
      </c>
      <c r="AG15797" s="831" t="s">
        <v>2674</v>
      </c>
      <c r="AH15797" s="831" t="s">
        <v>557</v>
      </c>
      <c r="AI15797" s="831">
        <v>0</v>
      </c>
      <c r="AJ15797" s="835">
        <v>41729</v>
      </c>
      <c r="AK15797" s="831">
        <v>167127</v>
      </c>
    </row>
    <row r="15798" spans="2:37">
      <c r="B15798" s="834" t="str">
        <f t="shared" si="573"/>
        <v>|||</v>
      </c>
      <c r="H15798" s="835">
        <f t="shared" si="574"/>
        <v>31</v>
      </c>
      <c r="AF15798" s="831" t="s">
        <v>11381</v>
      </c>
      <c r="AG15798" s="831" t="s">
        <v>2674</v>
      </c>
      <c r="AH15798" s="831" t="s">
        <v>29</v>
      </c>
      <c r="AI15798" s="831">
        <v>0</v>
      </c>
      <c r="AJ15798" s="835">
        <v>41729</v>
      </c>
      <c r="AK15798" s="831">
        <v>2189531.31</v>
      </c>
    </row>
    <row r="15799" spans="2:37">
      <c r="B15799" s="834" t="str">
        <f t="shared" si="573"/>
        <v>|||</v>
      </c>
      <c r="H15799" s="835">
        <f t="shared" si="574"/>
        <v>31</v>
      </c>
      <c r="AF15799" s="831" t="s">
        <v>11382</v>
      </c>
      <c r="AG15799" s="831" t="s">
        <v>2674</v>
      </c>
      <c r="AH15799" s="831" t="s">
        <v>2688</v>
      </c>
      <c r="AI15799" s="831">
        <v>0</v>
      </c>
      <c r="AJ15799" s="835">
        <v>41729</v>
      </c>
      <c r="AK15799" s="831">
        <v>4729841</v>
      </c>
    </row>
    <row r="15800" spans="2:37">
      <c r="B15800" s="834" t="str">
        <f t="shared" si="573"/>
        <v>|||</v>
      </c>
      <c r="H15800" s="835">
        <f t="shared" si="574"/>
        <v>31</v>
      </c>
      <c r="AF15800" s="831" t="s">
        <v>11383</v>
      </c>
      <c r="AG15800" s="831" t="s">
        <v>2674</v>
      </c>
      <c r="AH15800" s="831" t="s">
        <v>556</v>
      </c>
      <c r="AI15800" s="831">
        <v>0</v>
      </c>
      <c r="AJ15800" s="835">
        <v>41729</v>
      </c>
      <c r="AK15800" s="831">
        <v>1644732</v>
      </c>
    </row>
    <row r="15801" spans="2:37">
      <c r="B15801" s="834" t="str">
        <f t="shared" si="573"/>
        <v>|||</v>
      </c>
      <c r="H15801" s="835">
        <f t="shared" si="574"/>
        <v>31</v>
      </c>
      <c r="AF15801" s="831" t="s">
        <v>11384</v>
      </c>
      <c r="AG15801" s="831" t="s">
        <v>2674</v>
      </c>
      <c r="AH15801" s="831" t="s">
        <v>555</v>
      </c>
      <c r="AI15801" s="831">
        <v>0</v>
      </c>
      <c r="AJ15801" s="835">
        <v>41729</v>
      </c>
      <c r="AK15801" s="831">
        <v>466790280</v>
      </c>
    </row>
    <row r="15802" spans="2:37">
      <c r="B15802" s="834" t="str">
        <f t="shared" si="573"/>
        <v>|||</v>
      </c>
      <c r="H15802" s="835">
        <f t="shared" si="574"/>
        <v>31</v>
      </c>
      <c r="AF15802" s="831" t="s">
        <v>11385</v>
      </c>
      <c r="AG15802" s="831" t="s">
        <v>2674</v>
      </c>
      <c r="AH15802" s="831" t="s">
        <v>554</v>
      </c>
      <c r="AI15802" s="831">
        <v>0</v>
      </c>
      <c r="AJ15802" s="835">
        <v>41729</v>
      </c>
      <c r="AK15802" s="831">
        <v>476154670</v>
      </c>
    </row>
    <row r="15803" spans="2:37">
      <c r="B15803" s="834" t="str">
        <f t="shared" si="573"/>
        <v>|||</v>
      </c>
      <c r="H15803" s="835">
        <f t="shared" si="574"/>
        <v>31</v>
      </c>
      <c r="AF15803" s="831" t="s">
        <v>11386</v>
      </c>
      <c r="AG15803" s="831" t="s">
        <v>2674</v>
      </c>
      <c r="AH15803" s="831" t="s">
        <v>553</v>
      </c>
      <c r="AI15803" s="831">
        <v>0</v>
      </c>
      <c r="AJ15803" s="835">
        <v>41729</v>
      </c>
      <c r="AK15803" s="831">
        <v>0</v>
      </c>
    </row>
    <row r="15804" spans="2:37">
      <c r="B15804" s="834" t="str">
        <f t="shared" si="573"/>
        <v>|||</v>
      </c>
      <c r="H15804" s="835">
        <f t="shared" si="574"/>
        <v>31</v>
      </c>
      <c r="AF15804" s="831" t="s">
        <v>11387</v>
      </c>
      <c r="AG15804" s="831" t="s">
        <v>2674</v>
      </c>
      <c r="AH15804" s="831" t="s">
        <v>552</v>
      </c>
      <c r="AI15804" s="831">
        <v>0</v>
      </c>
      <c r="AJ15804" s="835">
        <v>41729</v>
      </c>
      <c r="AK15804" s="831">
        <v>0</v>
      </c>
    </row>
    <row r="15805" spans="2:37">
      <c r="B15805" s="834" t="str">
        <f t="shared" si="573"/>
        <v>|||</v>
      </c>
      <c r="H15805" s="835">
        <f t="shared" si="574"/>
        <v>31</v>
      </c>
      <c r="AF15805" s="831" t="s">
        <v>11388</v>
      </c>
      <c r="AG15805" s="831" t="s">
        <v>2674</v>
      </c>
      <c r="AH15805" s="831" t="s">
        <v>551</v>
      </c>
      <c r="AI15805" s="831">
        <v>0</v>
      </c>
      <c r="AJ15805" s="835">
        <v>41729</v>
      </c>
      <c r="AK15805" s="831">
        <v>1979269.31</v>
      </c>
    </row>
    <row r="15806" spans="2:37">
      <c r="B15806" s="834" t="str">
        <f t="shared" si="573"/>
        <v>|||</v>
      </c>
      <c r="H15806" s="835">
        <f t="shared" si="574"/>
        <v>31</v>
      </c>
      <c r="AF15806" s="831" t="s">
        <v>11389</v>
      </c>
      <c r="AG15806" s="831" t="s">
        <v>2674</v>
      </c>
      <c r="AH15806" s="831" t="s">
        <v>550</v>
      </c>
      <c r="AI15806" s="831">
        <v>0</v>
      </c>
      <c r="AJ15806" s="835">
        <v>41729</v>
      </c>
      <c r="AK15806" s="831">
        <v>120615628</v>
      </c>
    </row>
    <row r="15807" spans="2:37">
      <c r="B15807" s="834" t="str">
        <f t="shared" si="573"/>
        <v>|||</v>
      </c>
      <c r="H15807" s="835">
        <f t="shared" si="574"/>
        <v>31</v>
      </c>
      <c r="AF15807" s="831" t="s">
        <v>11390</v>
      </c>
      <c r="AG15807" s="831" t="s">
        <v>2674</v>
      </c>
      <c r="AH15807" s="831" t="s">
        <v>562</v>
      </c>
      <c r="AI15807" s="831">
        <v>0</v>
      </c>
      <c r="AJ15807" s="835">
        <v>41729</v>
      </c>
      <c r="AK15807" s="831">
        <v>0.78374999999999995</v>
      </c>
    </row>
    <row r="15808" spans="2:37">
      <c r="B15808" s="834" t="str">
        <f t="shared" si="573"/>
        <v>|||</v>
      </c>
      <c r="H15808" s="835">
        <f t="shared" si="574"/>
        <v>31</v>
      </c>
      <c r="AF15808" s="831" t="s">
        <v>11391</v>
      </c>
      <c r="AG15808" s="831" t="s">
        <v>2674</v>
      </c>
      <c r="AH15808" s="831" t="s">
        <v>2698</v>
      </c>
      <c r="AI15808" s="831">
        <v>0</v>
      </c>
      <c r="AJ15808" s="835">
        <v>41729</v>
      </c>
      <c r="AK15808" s="831">
        <v>0.78385000000000005</v>
      </c>
    </row>
    <row r="15809" spans="2:37">
      <c r="B15809" s="834" t="str">
        <f t="shared" si="573"/>
        <v>|||</v>
      </c>
      <c r="H15809" s="835">
        <f t="shared" si="574"/>
        <v>31</v>
      </c>
      <c r="AF15809" s="831" t="s">
        <v>11392</v>
      </c>
      <c r="AG15809" s="831" t="s">
        <v>2674</v>
      </c>
      <c r="AH15809" s="831" t="s">
        <v>560</v>
      </c>
      <c r="AI15809" s="831">
        <v>0</v>
      </c>
      <c r="AJ15809" s="835">
        <v>41729</v>
      </c>
      <c r="AK15809" s="831">
        <v>0.78375000000000006</v>
      </c>
    </row>
    <row r="15810" spans="2:37">
      <c r="B15810" s="834" t="str">
        <f t="shared" si="573"/>
        <v>|||</v>
      </c>
      <c r="H15810" s="835">
        <f t="shared" si="574"/>
        <v>31</v>
      </c>
      <c r="AF15810" s="831" t="s">
        <v>11393</v>
      </c>
      <c r="AG15810" s="831" t="s">
        <v>2674</v>
      </c>
      <c r="AH15810" s="831" t="s">
        <v>559</v>
      </c>
      <c r="AI15810" s="831">
        <v>0</v>
      </c>
      <c r="AJ15810" s="835">
        <v>41729</v>
      </c>
      <c r="AK15810" s="831">
        <v>0.78383333333333338</v>
      </c>
    </row>
    <row r="15811" spans="2:37">
      <c r="B15811" s="834" t="str">
        <f t="shared" si="573"/>
        <v>|||</v>
      </c>
      <c r="H15811" s="835">
        <f t="shared" si="574"/>
        <v>31</v>
      </c>
      <c r="AF15811" s="831" t="s">
        <v>11394</v>
      </c>
      <c r="AG15811" s="831" t="s">
        <v>2674</v>
      </c>
      <c r="AH15811" s="831" t="s">
        <v>568</v>
      </c>
      <c r="AI15811" s="831">
        <v>0</v>
      </c>
      <c r="AJ15811" s="835">
        <v>41729</v>
      </c>
      <c r="AK15811" s="831">
        <v>565947600.45769227</v>
      </c>
    </row>
    <row r="15812" spans="2:37">
      <c r="B15812" s="834" t="str">
        <f t="shared" si="573"/>
        <v>|||</v>
      </c>
      <c r="H15812" s="835">
        <f t="shared" si="574"/>
        <v>31</v>
      </c>
      <c r="AF15812" s="831" t="s">
        <v>11395</v>
      </c>
      <c r="AG15812" s="831" t="s">
        <v>2674</v>
      </c>
      <c r="AH15812" s="831" t="s">
        <v>569</v>
      </c>
      <c r="AI15812" s="831">
        <v>0</v>
      </c>
      <c r="AJ15812" s="835">
        <v>41729</v>
      </c>
      <c r="AK15812" s="831">
        <v>694165655.12715387</v>
      </c>
    </row>
    <row r="15813" spans="2:37">
      <c r="B15813" s="834" t="str">
        <f t="shared" si="573"/>
        <v>|||</v>
      </c>
      <c r="H15813" s="835">
        <f t="shared" si="574"/>
        <v>31</v>
      </c>
      <c r="AF15813" s="831" t="s">
        <v>11396</v>
      </c>
      <c r="AG15813" s="831" t="s">
        <v>2674</v>
      </c>
      <c r="AH15813" s="831" t="s">
        <v>570</v>
      </c>
      <c r="AI15813" s="831">
        <v>0</v>
      </c>
      <c r="AJ15813" s="835">
        <v>41729</v>
      </c>
      <c r="AK15813" s="831">
        <v>113785276.52046154</v>
      </c>
    </row>
    <row r="15814" spans="2:37">
      <c r="B15814" s="834" t="str">
        <f t="shared" si="573"/>
        <v>|||</v>
      </c>
      <c r="H15814" s="835">
        <f t="shared" si="574"/>
        <v>31</v>
      </c>
      <c r="AF15814" s="831" t="s">
        <v>11397</v>
      </c>
      <c r="AG15814" s="831" t="s">
        <v>2674</v>
      </c>
      <c r="AH15814" s="831" t="s">
        <v>571</v>
      </c>
      <c r="AI15814" s="831">
        <v>0</v>
      </c>
      <c r="AJ15814" s="835">
        <v>41729</v>
      </c>
      <c r="AK15814" s="831">
        <v>334328550.28253847</v>
      </c>
    </row>
    <row r="15815" spans="2:37">
      <c r="B15815" s="834" t="str">
        <f t="shared" si="573"/>
        <v>|||</v>
      </c>
      <c r="H15815" s="835">
        <f t="shared" si="574"/>
        <v>31</v>
      </c>
      <c r="AF15815" s="831" t="s">
        <v>11398</v>
      </c>
      <c r="AG15815" s="831" t="s">
        <v>2674</v>
      </c>
      <c r="AH15815" s="831" t="s">
        <v>573</v>
      </c>
      <c r="AI15815" s="831">
        <v>0</v>
      </c>
      <c r="AJ15815" s="835">
        <v>41729</v>
      </c>
      <c r="AK15815" s="831">
        <v>798989941.39074993</v>
      </c>
    </row>
    <row r="15816" spans="2:37">
      <c r="B15816" s="834" t="str">
        <f t="shared" si="573"/>
        <v>|||</v>
      </c>
      <c r="H15816" s="835">
        <f t="shared" si="574"/>
        <v>31</v>
      </c>
      <c r="AF15816" s="831" t="s">
        <v>11399</v>
      </c>
      <c r="AG15816" s="831" t="s">
        <v>2674</v>
      </c>
      <c r="AH15816" s="831" t="s">
        <v>574</v>
      </c>
      <c r="AI15816" s="831">
        <v>0</v>
      </c>
      <c r="AJ15816" s="835">
        <v>41729</v>
      </c>
      <c r="AK15816" s="831">
        <v>645110399.5</v>
      </c>
    </row>
    <row r="15817" spans="2:37">
      <c r="B15817" s="834" t="str">
        <f t="shared" si="573"/>
        <v>|||</v>
      </c>
      <c r="H15817" s="835">
        <f t="shared" si="574"/>
        <v>31</v>
      </c>
      <c r="AF15817" s="831" t="s">
        <v>11400</v>
      </c>
      <c r="AG15817" s="831" t="s">
        <v>2674</v>
      </c>
      <c r="AH15817" s="831" t="s">
        <v>575</v>
      </c>
      <c r="AI15817" s="831">
        <v>0</v>
      </c>
      <c r="AJ15817" s="835">
        <v>41729</v>
      </c>
      <c r="AK15817" s="831">
        <v>119004419.97749999</v>
      </c>
    </row>
    <row r="15818" spans="2:37">
      <c r="B15818" s="834" t="str">
        <f t="shared" si="573"/>
        <v>|||</v>
      </c>
      <c r="H15818" s="835">
        <f t="shared" si="574"/>
        <v>31</v>
      </c>
      <c r="AF15818" s="831" t="s">
        <v>11401</v>
      </c>
      <c r="AG15818" s="831" t="s">
        <v>2674</v>
      </c>
      <c r="AH15818" s="831" t="s">
        <v>576</v>
      </c>
      <c r="AI15818" s="831">
        <v>0</v>
      </c>
      <c r="AJ15818" s="835">
        <v>41729</v>
      </c>
      <c r="AK15818" s="831">
        <v>391575852.40275002</v>
      </c>
    </row>
    <row r="15819" spans="2:37">
      <c r="B15819" s="834" t="str">
        <f t="shared" si="573"/>
        <v>|||</v>
      </c>
      <c r="H15819" s="835">
        <f t="shared" si="574"/>
        <v>31</v>
      </c>
      <c r="AF15819" s="831" t="s">
        <v>11402</v>
      </c>
      <c r="AG15819" s="831" t="s">
        <v>2674</v>
      </c>
      <c r="AH15819" s="831" t="s">
        <v>572</v>
      </c>
      <c r="AI15819" s="831">
        <v>0</v>
      </c>
      <c r="AJ15819" s="835">
        <v>41729</v>
      </c>
      <c r="AK15819" s="831">
        <v>30009140.956000008</v>
      </c>
    </row>
    <row r="15820" spans="2:37">
      <c r="B15820" s="834" t="str">
        <f t="shared" si="573"/>
        <v>|||</v>
      </c>
      <c r="H15820" s="835">
        <f t="shared" si="574"/>
        <v>31</v>
      </c>
      <c r="AF15820" s="831" t="s">
        <v>11403</v>
      </c>
      <c r="AG15820" s="831" t="s">
        <v>2674</v>
      </c>
      <c r="AH15820" s="831" t="s">
        <v>577</v>
      </c>
      <c r="AI15820" s="831">
        <v>0</v>
      </c>
      <c r="AJ15820" s="835">
        <v>41729</v>
      </c>
      <c r="AK15820" s="831">
        <v>143425007.76300001</v>
      </c>
    </row>
    <row r="15821" spans="2:37">
      <c r="B15821" s="834" t="str">
        <f t="shared" si="573"/>
        <v>|||</v>
      </c>
      <c r="H15821" s="835">
        <f t="shared" si="574"/>
        <v>31</v>
      </c>
      <c r="AF15821" s="831" t="s">
        <v>11404</v>
      </c>
      <c r="AG15821" s="831" t="s">
        <v>2674</v>
      </c>
      <c r="AH15821" s="831" t="s">
        <v>3042</v>
      </c>
      <c r="AI15821" s="831">
        <v>0</v>
      </c>
      <c r="AJ15821" s="835">
        <v>41729</v>
      </c>
      <c r="AK15821" s="831">
        <v>-38745656.527000003</v>
      </c>
    </row>
    <row r="15822" spans="2:37">
      <c r="B15822" s="834" t="str">
        <f t="shared" si="573"/>
        <v>|||</v>
      </c>
      <c r="H15822" s="835">
        <f t="shared" si="574"/>
        <v>31</v>
      </c>
      <c r="AF15822" s="831" t="s">
        <v>11405</v>
      </c>
      <c r="AG15822" s="831" t="s">
        <v>2674</v>
      </c>
      <c r="AH15822" s="831" t="s">
        <v>3044</v>
      </c>
      <c r="AI15822" s="831">
        <v>0</v>
      </c>
      <c r="AJ15822" s="835">
        <v>41729</v>
      </c>
      <c r="AK15822" s="831">
        <v>-3699815.8899999997</v>
      </c>
    </row>
    <row r="15823" spans="2:37">
      <c r="B15823" s="834" t="str">
        <f t="shared" si="573"/>
        <v>|||</v>
      </c>
      <c r="H15823" s="835">
        <f t="shared" si="574"/>
        <v>31</v>
      </c>
      <c r="AF15823" s="831" t="s">
        <v>11406</v>
      </c>
      <c r="AG15823" s="831" t="s">
        <v>2674</v>
      </c>
      <c r="AH15823" s="831" t="s">
        <v>580</v>
      </c>
      <c r="AI15823" s="831">
        <v>0</v>
      </c>
      <c r="AJ15823" s="835">
        <v>41729</v>
      </c>
      <c r="AK15823" s="831">
        <v>-67131930.306999996</v>
      </c>
    </row>
    <row r="15824" spans="2:37">
      <c r="B15824" s="834" t="str">
        <f t="shared" si="573"/>
        <v>|||</v>
      </c>
      <c r="H15824" s="835">
        <f t="shared" si="574"/>
        <v>31</v>
      </c>
      <c r="AF15824" s="831" t="s">
        <v>11407</v>
      </c>
      <c r="AG15824" s="831" t="s">
        <v>2674</v>
      </c>
      <c r="AH15824" s="831" t="s">
        <v>581</v>
      </c>
      <c r="AI15824" s="831">
        <v>0</v>
      </c>
      <c r="AJ15824" s="835">
        <v>41729</v>
      </c>
      <c r="AK15824" s="831">
        <v>5442741.8940000003</v>
      </c>
    </row>
    <row r="15825" spans="2:37">
      <c r="B15825" s="834" t="str">
        <f t="shared" ref="B15825:B15888" si="575">C15825&amp;"|"&amp;D15825&amp;"|"&amp;E15825&amp;"|"&amp;F15825</f>
        <v>|||</v>
      </c>
      <c r="H15825" s="835">
        <f t="shared" ref="H15825:H15888" si="576">EOMONTH(L15825,0)</f>
        <v>31</v>
      </c>
      <c r="AF15825" s="831" t="s">
        <v>11408</v>
      </c>
      <c r="AG15825" s="831" t="s">
        <v>2674</v>
      </c>
      <c r="AH15825" s="831" t="s">
        <v>105</v>
      </c>
      <c r="AI15825" s="831">
        <v>0</v>
      </c>
      <c r="AJ15825" s="835">
        <v>41729</v>
      </c>
      <c r="AK15825" s="831">
        <v>411102058</v>
      </c>
    </row>
    <row r="15826" spans="2:37">
      <c r="B15826" s="834" t="str">
        <f t="shared" si="575"/>
        <v>|||</v>
      </c>
      <c r="H15826" s="835">
        <f t="shared" si="576"/>
        <v>31</v>
      </c>
      <c r="AF15826" s="831" t="s">
        <v>11409</v>
      </c>
      <c r="AG15826" s="831" t="s">
        <v>2674</v>
      </c>
      <c r="AH15826" s="831" t="s">
        <v>3049</v>
      </c>
      <c r="AI15826" s="831">
        <v>0</v>
      </c>
      <c r="AJ15826" s="835">
        <v>41729</v>
      </c>
      <c r="AK15826" s="831">
        <v>690412081</v>
      </c>
    </row>
    <row r="15827" spans="2:37">
      <c r="B15827" s="834" t="str">
        <f t="shared" si="575"/>
        <v>|||</v>
      </c>
      <c r="H15827" s="835">
        <f t="shared" si="576"/>
        <v>31</v>
      </c>
      <c r="AF15827" s="831" t="s">
        <v>11410</v>
      </c>
      <c r="AG15827" s="831" t="s">
        <v>2674</v>
      </c>
      <c r="AH15827" s="831" t="s">
        <v>103</v>
      </c>
      <c r="AI15827" s="831">
        <v>0</v>
      </c>
      <c r="AJ15827" s="835">
        <v>41729</v>
      </c>
      <c r="AK15827" s="831">
        <v>279310023</v>
      </c>
    </row>
    <row r="15828" spans="2:37">
      <c r="B15828" s="834" t="str">
        <f t="shared" si="575"/>
        <v>|||</v>
      </c>
      <c r="H15828" s="835">
        <f t="shared" si="576"/>
        <v>31</v>
      </c>
      <c r="AF15828" s="831" t="s">
        <v>11411</v>
      </c>
      <c r="AG15828" s="831" t="s">
        <v>2674</v>
      </c>
      <c r="AH15828" s="831" t="s">
        <v>182</v>
      </c>
      <c r="AI15828" s="831">
        <v>0</v>
      </c>
      <c r="AJ15828" s="835">
        <v>41729</v>
      </c>
      <c r="AK15828" s="831">
        <v>67031636</v>
      </c>
    </row>
    <row r="15829" spans="2:37">
      <c r="B15829" s="834" t="str">
        <f t="shared" si="575"/>
        <v>|||</v>
      </c>
      <c r="H15829" s="835">
        <f t="shared" si="576"/>
        <v>31</v>
      </c>
      <c r="AF15829" s="831" t="s">
        <v>11412</v>
      </c>
      <c r="AG15829" s="831" t="s">
        <v>2674</v>
      </c>
      <c r="AH15829" s="831" t="s">
        <v>6600</v>
      </c>
      <c r="AI15829" s="831">
        <v>0</v>
      </c>
      <c r="AJ15829" s="835">
        <v>41729</v>
      </c>
      <c r="AK15829" s="831">
        <v>30009140.956000008</v>
      </c>
    </row>
    <row r="15830" spans="2:37">
      <c r="B15830" s="834" t="str">
        <f t="shared" si="575"/>
        <v>|||</v>
      </c>
      <c r="H15830" s="835">
        <f t="shared" si="576"/>
        <v>31</v>
      </c>
      <c r="AF15830" s="831" t="s">
        <v>11413</v>
      </c>
      <c r="AG15830" s="831" t="s">
        <v>2674</v>
      </c>
      <c r="AH15830" s="831" t="s">
        <v>6602</v>
      </c>
      <c r="AI15830" s="831">
        <v>0</v>
      </c>
      <c r="AJ15830" s="835">
        <v>41729</v>
      </c>
      <c r="AK15830" s="831">
        <v>8878765</v>
      </c>
    </row>
    <row r="15831" spans="2:37">
      <c r="B15831" s="834" t="str">
        <f t="shared" si="575"/>
        <v>|||</v>
      </c>
      <c r="H15831" s="835">
        <f t="shared" si="576"/>
        <v>31</v>
      </c>
      <c r="AF15831" s="831" t="s">
        <v>11414</v>
      </c>
      <c r="AG15831" s="831" t="s">
        <v>2674</v>
      </c>
      <c r="AH15831" s="831" t="s">
        <v>650</v>
      </c>
      <c r="AI15831" s="831">
        <v>0</v>
      </c>
      <c r="AJ15831" s="835">
        <v>41729</v>
      </c>
      <c r="AK15831" s="831">
        <v>227175044.1168462</v>
      </c>
    </row>
    <row r="15832" spans="2:37">
      <c r="B15832" s="834" t="str">
        <f t="shared" si="575"/>
        <v>|||</v>
      </c>
      <c r="H15832" s="835">
        <f t="shared" si="576"/>
        <v>31</v>
      </c>
      <c r="AF15832" s="831" t="s">
        <v>11415</v>
      </c>
      <c r="AG15832" s="831" t="s">
        <v>2674</v>
      </c>
      <c r="AH15832" s="831" t="s">
        <v>655</v>
      </c>
      <c r="AI15832" s="831">
        <v>0</v>
      </c>
      <c r="AJ15832" s="835">
        <v>41729</v>
      </c>
      <c r="AK15832" s="831">
        <v>1723087.31</v>
      </c>
    </row>
    <row r="15833" spans="2:37">
      <c r="B15833" s="834" t="str">
        <f t="shared" si="575"/>
        <v>|||</v>
      </c>
      <c r="H15833" s="835">
        <f t="shared" si="576"/>
        <v>31</v>
      </c>
      <c r="AF15833" s="831" t="s">
        <v>11416</v>
      </c>
      <c r="AG15833" s="831" t="s">
        <v>2674</v>
      </c>
      <c r="AH15833" s="831" t="s">
        <v>546</v>
      </c>
      <c r="AI15833" s="831">
        <v>0</v>
      </c>
      <c r="AJ15833" s="835">
        <v>41759</v>
      </c>
      <c r="AK15833" s="831">
        <v>695634421</v>
      </c>
    </row>
    <row r="15834" spans="2:37">
      <c r="B15834" s="834" t="str">
        <f t="shared" si="575"/>
        <v>|||</v>
      </c>
      <c r="H15834" s="835">
        <f t="shared" si="576"/>
        <v>31</v>
      </c>
      <c r="AF15834" s="831" t="s">
        <v>11417</v>
      </c>
      <c r="AG15834" s="831" t="s">
        <v>2674</v>
      </c>
      <c r="AH15834" s="831" t="s">
        <v>370</v>
      </c>
      <c r="AI15834" s="831">
        <v>0</v>
      </c>
      <c r="AJ15834" s="835">
        <v>41759</v>
      </c>
      <c r="AK15834" s="831">
        <v>838269546</v>
      </c>
    </row>
    <row r="15835" spans="2:37">
      <c r="B15835" s="834" t="str">
        <f t="shared" si="575"/>
        <v>|||</v>
      </c>
      <c r="H15835" s="835">
        <f t="shared" si="576"/>
        <v>31</v>
      </c>
      <c r="AF15835" s="831" t="s">
        <v>11418</v>
      </c>
      <c r="AG15835" s="831" t="s">
        <v>2674</v>
      </c>
      <c r="AH15835" s="831" t="s">
        <v>126</v>
      </c>
      <c r="AI15835" s="831">
        <v>0</v>
      </c>
      <c r="AJ15835" s="835">
        <v>41759</v>
      </c>
      <c r="AK15835" s="831">
        <v>127155751</v>
      </c>
    </row>
    <row r="15836" spans="2:37">
      <c r="B15836" s="834" t="str">
        <f t="shared" si="575"/>
        <v>|||</v>
      </c>
      <c r="H15836" s="835">
        <f t="shared" si="576"/>
        <v>31</v>
      </c>
      <c r="AF15836" s="831" t="s">
        <v>11419</v>
      </c>
      <c r="AG15836" s="831" t="s">
        <v>2674</v>
      </c>
      <c r="AH15836" s="831" t="s">
        <v>268</v>
      </c>
      <c r="AI15836" s="831">
        <v>0</v>
      </c>
      <c r="AJ15836" s="835">
        <v>41759</v>
      </c>
      <c r="AK15836" s="831">
        <v>11900832</v>
      </c>
    </row>
    <row r="15837" spans="2:37">
      <c r="B15837" s="834" t="str">
        <f t="shared" si="575"/>
        <v>|||</v>
      </c>
      <c r="H15837" s="835">
        <f t="shared" si="576"/>
        <v>31</v>
      </c>
      <c r="AF15837" s="831" t="s">
        <v>11420</v>
      </c>
      <c r="AG15837" s="831" t="s">
        <v>2674</v>
      </c>
      <c r="AH15837" s="831" t="s">
        <v>547</v>
      </c>
      <c r="AI15837" s="831">
        <v>0</v>
      </c>
      <c r="AJ15837" s="835">
        <v>41759</v>
      </c>
      <c r="AK15837" s="831">
        <v>777719977</v>
      </c>
    </row>
    <row r="15838" spans="2:37">
      <c r="B15838" s="834" t="str">
        <f t="shared" si="575"/>
        <v>|||</v>
      </c>
      <c r="H15838" s="835">
        <f t="shared" si="576"/>
        <v>31</v>
      </c>
      <c r="AF15838" s="831" t="s">
        <v>11421</v>
      </c>
      <c r="AG15838" s="831" t="s">
        <v>2674</v>
      </c>
      <c r="AH15838" s="831" t="s">
        <v>548</v>
      </c>
      <c r="AI15838" s="831">
        <v>0</v>
      </c>
      <c r="AJ15838" s="835">
        <v>41759</v>
      </c>
      <c r="AK15838" s="831">
        <v>117105496</v>
      </c>
    </row>
    <row r="15839" spans="2:37">
      <c r="B15839" s="834" t="str">
        <f t="shared" si="575"/>
        <v>|||</v>
      </c>
      <c r="H15839" s="835">
        <f t="shared" si="576"/>
        <v>31</v>
      </c>
      <c r="AF15839" s="831" t="s">
        <v>11422</v>
      </c>
      <c r="AG15839" s="831" t="s">
        <v>2674</v>
      </c>
      <c r="AH15839" s="831" t="s">
        <v>549</v>
      </c>
      <c r="AI15839" s="831">
        <v>0</v>
      </c>
      <c r="AJ15839" s="835">
        <v>41759</v>
      </c>
      <c r="AK15839" s="831">
        <v>479771222</v>
      </c>
    </row>
    <row r="15840" spans="2:37">
      <c r="B15840" s="834" t="str">
        <f t="shared" si="575"/>
        <v>|||</v>
      </c>
      <c r="H15840" s="835">
        <f t="shared" si="576"/>
        <v>31</v>
      </c>
      <c r="AF15840" s="831" t="s">
        <v>11423</v>
      </c>
      <c r="AG15840" s="831" t="s">
        <v>2674</v>
      </c>
      <c r="AH15840" s="831" t="s">
        <v>192</v>
      </c>
      <c r="AI15840" s="831">
        <v>0</v>
      </c>
      <c r="AJ15840" s="835">
        <v>41759</v>
      </c>
      <c r="AK15840" s="831">
        <v>-13335656</v>
      </c>
    </row>
    <row r="15841" spans="2:37">
      <c r="B15841" s="834" t="str">
        <f t="shared" si="575"/>
        <v>|||</v>
      </c>
      <c r="H15841" s="835">
        <f t="shared" si="576"/>
        <v>31</v>
      </c>
      <c r="AF15841" s="831" t="s">
        <v>11424</v>
      </c>
      <c r="AG15841" s="831" t="s">
        <v>2674</v>
      </c>
      <c r="AH15841" s="831" t="s">
        <v>558</v>
      </c>
      <c r="AI15841" s="831">
        <v>0</v>
      </c>
      <c r="AJ15841" s="835">
        <v>41759</v>
      </c>
      <c r="AK15841" s="831">
        <v>711113795</v>
      </c>
    </row>
    <row r="15842" spans="2:37">
      <c r="B15842" s="834" t="str">
        <f t="shared" si="575"/>
        <v>|||</v>
      </c>
      <c r="H15842" s="835">
        <f t="shared" si="576"/>
        <v>31</v>
      </c>
      <c r="AF15842" s="831" t="s">
        <v>11425</v>
      </c>
      <c r="AG15842" s="831" t="s">
        <v>2674</v>
      </c>
      <c r="AH15842" s="831" t="s">
        <v>65</v>
      </c>
      <c r="AI15842" s="831">
        <v>0</v>
      </c>
      <c r="AJ15842" s="835">
        <v>41759</v>
      </c>
      <c r="AK15842" s="831">
        <v>52388499</v>
      </c>
    </row>
    <row r="15843" spans="2:37">
      <c r="B15843" s="834" t="str">
        <f t="shared" si="575"/>
        <v>|||</v>
      </c>
      <c r="H15843" s="835">
        <f t="shared" si="576"/>
        <v>31</v>
      </c>
      <c r="AF15843" s="831" t="s">
        <v>11426</v>
      </c>
      <c r="AG15843" s="831" t="s">
        <v>2674</v>
      </c>
      <c r="AH15843" s="831" t="s">
        <v>89</v>
      </c>
      <c r="AI15843" s="831">
        <v>0</v>
      </c>
      <c r="AJ15843" s="835">
        <v>41759</v>
      </c>
      <c r="AK15843" s="831">
        <v>154230</v>
      </c>
    </row>
    <row r="15844" spans="2:37">
      <c r="B15844" s="834" t="str">
        <f t="shared" si="575"/>
        <v>|||</v>
      </c>
      <c r="H15844" s="835">
        <f t="shared" si="576"/>
        <v>31</v>
      </c>
      <c r="AF15844" s="831" t="s">
        <v>11427</v>
      </c>
      <c r="AG15844" s="831" t="s">
        <v>2674</v>
      </c>
      <c r="AH15844" s="831" t="s">
        <v>557</v>
      </c>
      <c r="AI15844" s="831">
        <v>0</v>
      </c>
      <c r="AJ15844" s="835">
        <v>41759</v>
      </c>
      <c r="AK15844" s="831">
        <v>171119</v>
      </c>
    </row>
    <row r="15845" spans="2:37">
      <c r="B15845" s="834" t="str">
        <f t="shared" si="575"/>
        <v>|||</v>
      </c>
      <c r="H15845" s="835">
        <f t="shared" si="576"/>
        <v>31</v>
      </c>
      <c r="AF15845" s="831" t="s">
        <v>11428</v>
      </c>
      <c r="AG15845" s="831" t="s">
        <v>2674</v>
      </c>
      <c r="AH15845" s="831" t="s">
        <v>29</v>
      </c>
      <c r="AI15845" s="831">
        <v>0</v>
      </c>
      <c r="AJ15845" s="835">
        <v>41759</v>
      </c>
      <c r="AK15845" s="831">
        <v>2260198</v>
      </c>
    </row>
    <row r="15846" spans="2:37">
      <c r="B15846" s="834" t="str">
        <f t="shared" si="575"/>
        <v>|||</v>
      </c>
      <c r="H15846" s="835">
        <f t="shared" si="576"/>
        <v>31</v>
      </c>
      <c r="AF15846" s="831" t="s">
        <v>11429</v>
      </c>
      <c r="AG15846" s="831" t="s">
        <v>2674</v>
      </c>
      <c r="AH15846" s="831" t="s">
        <v>2688</v>
      </c>
      <c r="AI15846" s="831">
        <v>0</v>
      </c>
      <c r="AJ15846" s="835">
        <v>41759</v>
      </c>
      <c r="AK15846" s="831">
        <v>4802589</v>
      </c>
    </row>
    <row r="15847" spans="2:37">
      <c r="B15847" s="834" t="str">
        <f t="shared" si="575"/>
        <v>|||</v>
      </c>
      <c r="H15847" s="835">
        <f t="shared" si="576"/>
        <v>31</v>
      </c>
      <c r="AF15847" s="831" t="s">
        <v>11430</v>
      </c>
      <c r="AG15847" s="831" t="s">
        <v>2674</v>
      </c>
      <c r="AH15847" s="831" t="s">
        <v>556</v>
      </c>
      <c r="AI15847" s="831">
        <v>0</v>
      </c>
      <c r="AJ15847" s="835">
        <v>41759</v>
      </c>
      <c r="AK15847" s="831">
        <v>1644732</v>
      </c>
    </row>
    <row r="15848" spans="2:37">
      <c r="B15848" s="834" t="str">
        <f t="shared" si="575"/>
        <v>|||</v>
      </c>
      <c r="H15848" s="835">
        <f t="shared" si="576"/>
        <v>31</v>
      </c>
      <c r="AF15848" s="831" t="s">
        <v>11431</v>
      </c>
      <c r="AG15848" s="831" t="s">
        <v>2674</v>
      </c>
      <c r="AH15848" s="831" t="s">
        <v>555</v>
      </c>
      <c r="AI15848" s="831">
        <v>0</v>
      </c>
      <c r="AJ15848" s="835">
        <v>41759</v>
      </c>
      <c r="AK15848" s="831">
        <v>465033436</v>
      </c>
    </row>
    <row r="15849" spans="2:37">
      <c r="B15849" s="834" t="str">
        <f t="shared" si="575"/>
        <v>|||</v>
      </c>
      <c r="H15849" s="835">
        <f t="shared" si="576"/>
        <v>31</v>
      </c>
      <c r="AF15849" s="831" t="s">
        <v>11432</v>
      </c>
      <c r="AG15849" s="831" t="s">
        <v>2674</v>
      </c>
      <c r="AH15849" s="831" t="s">
        <v>554</v>
      </c>
      <c r="AI15849" s="831">
        <v>0</v>
      </c>
      <c r="AJ15849" s="835">
        <v>41759</v>
      </c>
      <c r="AK15849" s="831">
        <v>471272450</v>
      </c>
    </row>
    <row r="15850" spans="2:37">
      <c r="B15850" s="834" t="str">
        <f t="shared" si="575"/>
        <v>|||</v>
      </c>
      <c r="H15850" s="835">
        <f t="shared" si="576"/>
        <v>31</v>
      </c>
      <c r="AF15850" s="831" t="s">
        <v>11433</v>
      </c>
      <c r="AG15850" s="831" t="s">
        <v>2674</v>
      </c>
      <c r="AH15850" s="831" t="s">
        <v>553</v>
      </c>
      <c r="AI15850" s="831">
        <v>0</v>
      </c>
      <c r="AJ15850" s="835">
        <v>41759</v>
      </c>
      <c r="AK15850" s="831">
        <v>0</v>
      </c>
    </row>
    <row r="15851" spans="2:37">
      <c r="B15851" s="834" t="str">
        <f t="shared" si="575"/>
        <v>|||</v>
      </c>
      <c r="H15851" s="835">
        <f t="shared" si="576"/>
        <v>31</v>
      </c>
      <c r="AF15851" s="831" t="s">
        <v>11434</v>
      </c>
      <c r="AG15851" s="831" t="s">
        <v>2674</v>
      </c>
      <c r="AH15851" s="831" t="s">
        <v>552</v>
      </c>
      <c r="AI15851" s="831">
        <v>0</v>
      </c>
      <c r="AJ15851" s="835">
        <v>41759</v>
      </c>
      <c r="AK15851" s="831">
        <v>0</v>
      </c>
    </row>
    <row r="15852" spans="2:37">
      <c r="B15852" s="834" t="str">
        <f t="shared" si="575"/>
        <v>|||</v>
      </c>
      <c r="H15852" s="835">
        <f t="shared" si="576"/>
        <v>31</v>
      </c>
      <c r="AF15852" s="831" t="s">
        <v>11435</v>
      </c>
      <c r="AG15852" s="831" t="s">
        <v>2674</v>
      </c>
      <c r="AH15852" s="831" t="s">
        <v>551</v>
      </c>
      <c r="AI15852" s="831">
        <v>0</v>
      </c>
      <c r="AJ15852" s="835">
        <v>41759</v>
      </c>
      <c r="AK15852" s="831">
        <v>2028560</v>
      </c>
    </row>
    <row r="15853" spans="2:37">
      <c r="B15853" s="834" t="str">
        <f t="shared" si="575"/>
        <v>|||</v>
      </c>
      <c r="H15853" s="835">
        <f t="shared" si="576"/>
        <v>31</v>
      </c>
      <c r="AF15853" s="831" t="s">
        <v>11436</v>
      </c>
      <c r="AG15853" s="831" t="s">
        <v>2674</v>
      </c>
      <c r="AH15853" s="831" t="s">
        <v>550</v>
      </c>
      <c r="AI15853" s="831">
        <v>0</v>
      </c>
      <c r="AJ15853" s="835">
        <v>41759</v>
      </c>
      <c r="AK15853" s="831">
        <v>124206790</v>
      </c>
    </row>
    <row r="15854" spans="2:37">
      <c r="B15854" s="834" t="str">
        <f t="shared" si="575"/>
        <v>|||</v>
      </c>
      <c r="H15854" s="835">
        <f t="shared" si="576"/>
        <v>31</v>
      </c>
      <c r="AF15854" s="831" t="s">
        <v>11437</v>
      </c>
      <c r="AG15854" s="831" t="s">
        <v>2674</v>
      </c>
      <c r="AH15854" s="831" t="s">
        <v>562</v>
      </c>
      <c r="AI15854" s="831">
        <v>0</v>
      </c>
      <c r="AJ15854" s="835">
        <v>41759</v>
      </c>
      <c r="AK15854" s="831">
        <v>0.78374999999999995</v>
      </c>
    </row>
    <row r="15855" spans="2:37">
      <c r="B15855" s="834" t="str">
        <f t="shared" si="575"/>
        <v>|||</v>
      </c>
      <c r="H15855" s="835">
        <f t="shared" si="576"/>
        <v>31</v>
      </c>
      <c r="AF15855" s="831" t="s">
        <v>11438</v>
      </c>
      <c r="AG15855" s="831" t="s">
        <v>2674</v>
      </c>
      <c r="AH15855" s="831" t="s">
        <v>2698</v>
      </c>
      <c r="AI15855" s="831">
        <v>0</v>
      </c>
      <c r="AJ15855" s="835">
        <v>41759</v>
      </c>
      <c r="AK15855" s="831">
        <v>0.78374999999999995</v>
      </c>
    </row>
    <row r="15856" spans="2:37">
      <c r="B15856" s="834" t="str">
        <f t="shared" si="575"/>
        <v>|||</v>
      </c>
      <c r="H15856" s="835">
        <f t="shared" si="576"/>
        <v>31</v>
      </c>
      <c r="AF15856" s="831" t="s">
        <v>11439</v>
      </c>
      <c r="AG15856" s="831" t="s">
        <v>2674</v>
      </c>
      <c r="AH15856" s="831" t="s">
        <v>560</v>
      </c>
      <c r="AI15856" s="831">
        <v>0</v>
      </c>
      <c r="AJ15856" s="835">
        <v>41759</v>
      </c>
      <c r="AK15856" s="831">
        <v>0.78374999999999995</v>
      </c>
    </row>
    <row r="15857" spans="2:37">
      <c r="B15857" s="834" t="str">
        <f t="shared" si="575"/>
        <v>|||</v>
      </c>
      <c r="H15857" s="835">
        <f t="shared" si="576"/>
        <v>31</v>
      </c>
      <c r="AF15857" s="831" t="s">
        <v>11440</v>
      </c>
      <c r="AG15857" s="831" t="s">
        <v>2674</v>
      </c>
      <c r="AH15857" s="831" t="s">
        <v>559</v>
      </c>
      <c r="AI15857" s="831">
        <v>0</v>
      </c>
      <c r="AJ15857" s="835">
        <v>41759</v>
      </c>
      <c r="AK15857" s="831">
        <v>0.78380833333333344</v>
      </c>
    </row>
    <row r="15858" spans="2:37">
      <c r="B15858" s="834" t="str">
        <f t="shared" si="575"/>
        <v>|||</v>
      </c>
      <c r="H15858" s="835">
        <f t="shared" si="576"/>
        <v>31</v>
      </c>
      <c r="AF15858" s="831" t="s">
        <v>11441</v>
      </c>
      <c r="AG15858" s="831" t="s">
        <v>2674</v>
      </c>
      <c r="AH15858" s="831" t="s">
        <v>568</v>
      </c>
      <c r="AI15858" s="831">
        <v>0</v>
      </c>
      <c r="AJ15858" s="835">
        <v>41759</v>
      </c>
      <c r="AK15858" s="831">
        <v>584407506.61153841</v>
      </c>
    </row>
    <row r="15859" spans="2:37">
      <c r="B15859" s="834" t="str">
        <f t="shared" si="575"/>
        <v>|||</v>
      </c>
      <c r="H15859" s="835">
        <f t="shared" si="576"/>
        <v>31</v>
      </c>
      <c r="AF15859" s="831" t="s">
        <v>11442</v>
      </c>
      <c r="AG15859" s="831" t="s">
        <v>2674</v>
      </c>
      <c r="AH15859" s="831" t="s">
        <v>569</v>
      </c>
      <c r="AI15859" s="831">
        <v>0</v>
      </c>
      <c r="AJ15859" s="835">
        <v>41759</v>
      </c>
      <c r="AK15859" s="831">
        <v>716419184.74253845</v>
      </c>
    </row>
    <row r="15860" spans="2:37">
      <c r="B15860" s="834" t="str">
        <f t="shared" si="575"/>
        <v>|||</v>
      </c>
      <c r="H15860" s="835">
        <f t="shared" si="576"/>
        <v>31</v>
      </c>
      <c r="AF15860" s="831" t="s">
        <v>11443</v>
      </c>
      <c r="AG15860" s="831" t="s">
        <v>2674</v>
      </c>
      <c r="AH15860" s="831" t="s">
        <v>570</v>
      </c>
      <c r="AI15860" s="831">
        <v>0</v>
      </c>
      <c r="AJ15860" s="835">
        <v>41759</v>
      </c>
      <c r="AK15860" s="831">
        <v>115811919.75123075</v>
      </c>
    </row>
    <row r="15861" spans="2:37">
      <c r="B15861" s="834" t="str">
        <f t="shared" si="575"/>
        <v>|||</v>
      </c>
      <c r="H15861" s="835">
        <f t="shared" si="576"/>
        <v>31</v>
      </c>
      <c r="AF15861" s="831" t="s">
        <v>11444</v>
      </c>
      <c r="AG15861" s="831" t="s">
        <v>2674</v>
      </c>
      <c r="AH15861" s="831" t="s">
        <v>571</v>
      </c>
      <c r="AI15861" s="831">
        <v>0</v>
      </c>
      <c r="AJ15861" s="835">
        <v>41759</v>
      </c>
      <c r="AK15861" s="831">
        <v>346424029.66715389</v>
      </c>
    </row>
    <row r="15862" spans="2:37">
      <c r="B15862" s="834" t="str">
        <f t="shared" si="575"/>
        <v>|||</v>
      </c>
      <c r="H15862" s="835">
        <f t="shared" si="576"/>
        <v>31</v>
      </c>
      <c r="AF15862" s="831" t="s">
        <v>11445</v>
      </c>
      <c r="AG15862" s="831" t="s">
        <v>2674</v>
      </c>
      <c r="AH15862" s="831" t="s">
        <v>573</v>
      </c>
      <c r="AI15862" s="831">
        <v>0</v>
      </c>
      <c r="AJ15862" s="835">
        <v>41759</v>
      </c>
      <c r="AK15862" s="831">
        <v>806845862.3125999</v>
      </c>
    </row>
    <row r="15863" spans="2:37">
      <c r="B15863" s="834" t="str">
        <f t="shared" si="575"/>
        <v>|||</v>
      </c>
      <c r="H15863" s="835">
        <f t="shared" si="576"/>
        <v>31</v>
      </c>
      <c r="AF15863" s="831" t="s">
        <v>11446</v>
      </c>
      <c r="AG15863" s="831" t="s">
        <v>2674</v>
      </c>
      <c r="AH15863" s="831" t="s">
        <v>574</v>
      </c>
      <c r="AI15863" s="831">
        <v>0</v>
      </c>
      <c r="AJ15863" s="835">
        <v>41759</v>
      </c>
      <c r="AK15863" s="831">
        <v>655215203.79999995</v>
      </c>
    </row>
    <row r="15864" spans="2:37">
      <c r="B15864" s="834" t="str">
        <f t="shared" si="575"/>
        <v>|||</v>
      </c>
      <c r="H15864" s="835">
        <f t="shared" si="576"/>
        <v>31</v>
      </c>
      <c r="AF15864" s="831" t="s">
        <v>11447</v>
      </c>
      <c r="AG15864" s="831" t="s">
        <v>2674</v>
      </c>
      <c r="AH15864" s="831" t="s">
        <v>575</v>
      </c>
      <c r="AI15864" s="831">
        <v>0</v>
      </c>
      <c r="AJ15864" s="835">
        <v>41759</v>
      </c>
      <c r="AK15864" s="831">
        <v>120634686.182</v>
      </c>
    </row>
    <row r="15865" spans="2:37">
      <c r="B15865" s="834" t="str">
        <f t="shared" si="575"/>
        <v>|||</v>
      </c>
      <c r="H15865" s="835">
        <f t="shared" si="576"/>
        <v>31</v>
      </c>
      <c r="AF15865" s="831" t="s">
        <v>11448</v>
      </c>
      <c r="AG15865" s="831" t="s">
        <v>2674</v>
      </c>
      <c r="AH15865" s="831" t="s">
        <v>576</v>
      </c>
      <c r="AI15865" s="831">
        <v>0</v>
      </c>
      <c r="AJ15865" s="835">
        <v>41759</v>
      </c>
      <c r="AK15865" s="831">
        <v>395052602.12220001</v>
      </c>
    </row>
    <row r="15866" spans="2:37">
      <c r="B15866" s="834" t="str">
        <f t="shared" si="575"/>
        <v>|||</v>
      </c>
      <c r="H15866" s="835">
        <f t="shared" si="576"/>
        <v>31</v>
      </c>
      <c r="AF15866" s="831" t="s">
        <v>11449</v>
      </c>
      <c r="AG15866" s="831" t="s">
        <v>2674</v>
      </c>
      <c r="AH15866" s="831" t="s">
        <v>572</v>
      </c>
      <c r="AI15866" s="831">
        <v>0</v>
      </c>
      <c r="AJ15866" s="835">
        <v>41759</v>
      </c>
      <c r="AK15866" s="831">
        <v>30512730.956000008</v>
      </c>
    </row>
    <row r="15867" spans="2:37">
      <c r="B15867" s="834" t="str">
        <f t="shared" si="575"/>
        <v>|||</v>
      </c>
      <c r="H15867" s="835">
        <f t="shared" si="576"/>
        <v>31</v>
      </c>
      <c r="AF15867" s="831" t="s">
        <v>11450</v>
      </c>
      <c r="AG15867" s="831" t="s">
        <v>2674</v>
      </c>
      <c r="AH15867" s="831" t="s">
        <v>577</v>
      </c>
      <c r="AI15867" s="831">
        <v>0</v>
      </c>
      <c r="AJ15867" s="835">
        <v>41759</v>
      </c>
      <c r="AK15867" s="831">
        <v>146415910.76300001</v>
      </c>
    </row>
    <row r="15868" spans="2:37">
      <c r="B15868" s="834" t="str">
        <f t="shared" si="575"/>
        <v>|||</v>
      </c>
      <c r="H15868" s="835">
        <f t="shared" si="576"/>
        <v>31</v>
      </c>
      <c r="AF15868" s="831" t="s">
        <v>11451</v>
      </c>
      <c r="AG15868" s="831" t="s">
        <v>2674</v>
      </c>
      <c r="AH15868" s="831" t="s">
        <v>3042</v>
      </c>
      <c r="AI15868" s="831">
        <v>0</v>
      </c>
      <c r="AJ15868" s="835">
        <v>41759</v>
      </c>
      <c r="AK15868" s="831">
        <v>-40083828.527000003</v>
      </c>
    </row>
    <row r="15869" spans="2:37">
      <c r="B15869" s="834" t="str">
        <f t="shared" si="575"/>
        <v>|||</v>
      </c>
      <c r="H15869" s="835">
        <f t="shared" si="576"/>
        <v>31</v>
      </c>
      <c r="AF15869" s="831" t="s">
        <v>11452</v>
      </c>
      <c r="AG15869" s="831" t="s">
        <v>2674</v>
      </c>
      <c r="AH15869" s="831" t="s">
        <v>3044</v>
      </c>
      <c r="AI15869" s="831">
        <v>0</v>
      </c>
      <c r="AJ15869" s="835">
        <v>41759</v>
      </c>
      <c r="AK15869" s="831">
        <v>-3325177.8899999997</v>
      </c>
    </row>
    <row r="15870" spans="2:37">
      <c r="B15870" s="834" t="str">
        <f t="shared" si="575"/>
        <v>|||</v>
      </c>
      <c r="H15870" s="835">
        <f t="shared" si="576"/>
        <v>31</v>
      </c>
      <c r="AF15870" s="831" t="s">
        <v>11453</v>
      </c>
      <c r="AG15870" s="831" t="s">
        <v>2674</v>
      </c>
      <c r="AH15870" s="831" t="s">
        <v>580</v>
      </c>
      <c r="AI15870" s="831">
        <v>0</v>
      </c>
      <c r="AJ15870" s="835">
        <v>41759</v>
      </c>
      <c r="AK15870" s="831">
        <v>-68772047.306999996</v>
      </c>
    </row>
    <row r="15871" spans="2:37">
      <c r="B15871" s="834" t="str">
        <f t="shared" si="575"/>
        <v>|||</v>
      </c>
      <c r="H15871" s="835">
        <f t="shared" si="576"/>
        <v>31</v>
      </c>
      <c r="AF15871" s="831" t="s">
        <v>11454</v>
      </c>
      <c r="AG15871" s="831" t="s">
        <v>2674</v>
      </c>
      <c r="AH15871" s="831" t="s">
        <v>581</v>
      </c>
      <c r="AI15871" s="831">
        <v>0</v>
      </c>
      <c r="AJ15871" s="835">
        <v>41759</v>
      </c>
      <c r="AK15871" s="831">
        <v>5605173.8940000003</v>
      </c>
    </row>
    <row r="15872" spans="2:37">
      <c r="B15872" s="834" t="str">
        <f t="shared" si="575"/>
        <v>|||</v>
      </c>
      <c r="H15872" s="835">
        <f t="shared" si="576"/>
        <v>31</v>
      </c>
      <c r="AF15872" s="831" t="s">
        <v>11455</v>
      </c>
      <c r="AG15872" s="831" t="s">
        <v>2674</v>
      </c>
      <c r="AH15872" s="831" t="s">
        <v>105</v>
      </c>
      <c r="AI15872" s="831">
        <v>0</v>
      </c>
      <c r="AJ15872" s="835">
        <v>41759</v>
      </c>
      <c r="AK15872" s="831">
        <v>408959601</v>
      </c>
    </row>
    <row r="15873" spans="2:37">
      <c r="B15873" s="834" t="str">
        <f t="shared" si="575"/>
        <v>|||</v>
      </c>
      <c r="H15873" s="835">
        <f t="shared" si="576"/>
        <v>31</v>
      </c>
      <c r="AF15873" s="831" t="s">
        <v>11456</v>
      </c>
      <c r="AG15873" s="831" t="s">
        <v>2674</v>
      </c>
      <c r="AH15873" s="831" t="s">
        <v>3049</v>
      </c>
      <c r="AI15873" s="831">
        <v>0</v>
      </c>
      <c r="AJ15873" s="835">
        <v>41759</v>
      </c>
      <c r="AK15873" s="831">
        <v>692167557</v>
      </c>
    </row>
    <row r="15874" spans="2:37">
      <c r="B15874" s="834" t="str">
        <f t="shared" si="575"/>
        <v>|||</v>
      </c>
      <c r="H15874" s="835">
        <f t="shared" si="576"/>
        <v>31</v>
      </c>
      <c r="AF15874" s="831" t="s">
        <v>11457</v>
      </c>
      <c r="AG15874" s="831" t="s">
        <v>2674</v>
      </c>
      <c r="AH15874" s="831" t="s">
        <v>103</v>
      </c>
      <c r="AI15874" s="831">
        <v>0</v>
      </c>
      <c r="AJ15874" s="835">
        <v>41759</v>
      </c>
      <c r="AK15874" s="831">
        <v>283207956</v>
      </c>
    </row>
    <row r="15875" spans="2:37">
      <c r="B15875" s="834" t="str">
        <f t="shared" si="575"/>
        <v>|||</v>
      </c>
      <c r="H15875" s="835">
        <f t="shared" si="576"/>
        <v>31</v>
      </c>
      <c r="AF15875" s="831" t="s">
        <v>11458</v>
      </c>
      <c r="AG15875" s="831" t="s">
        <v>2674</v>
      </c>
      <c r="AH15875" s="831" t="s">
        <v>182</v>
      </c>
      <c r="AI15875" s="831">
        <v>0</v>
      </c>
      <c r="AJ15875" s="835">
        <v>41759</v>
      </c>
      <c r="AK15875" s="831">
        <v>69513741</v>
      </c>
    </row>
    <row r="15876" spans="2:37">
      <c r="B15876" s="834" t="str">
        <f t="shared" si="575"/>
        <v>|||</v>
      </c>
      <c r="H15876" s="835">
        <f t="shared" si="576"/>
        <v>31</v>
      </c>
      <c r="AF15876" s="831" t="s">
        <v>11459</v>
      </c>
      <c r="AG15876" s="831" t="s">
        <v>2674</v>
      </c>
      <c r="AH15876" s="831" t="s">
        <v>6600</v>
      </c>
      <c r="AI15876" s="831">
        <v>0</v>
      </c>
      <c r="AJ15876" s="835">
        <v>41759</v>
      </c>
      <c r="AK15876" s="831">
        <v>30512730.956000008</v>
      </c>
    </row>
    <row r="15877" spans="2:37">
      <c r="B15877" s="834" t="str">
        <f t="shared" si="575"/>
        <v>|||</v>
      </c>
      <c r="H15877" s="835">
        <f t="shared" si="576"/>
        <v>31</v>
      </c>
      <c r="AF15877" s="831" t="s">
        <v>11460</v>
      </c>
      <c r="AG15877" s="831" t="s">
        <v>2674</v>
      </c>
      <c r="AH15877" s="831" t="s">
        <v>6602</v>
      </c>
      <c r="AI15877" s="831">
        <v>0</v>
      </c>
      <c r="AJ15877" s="835">
        <v>41759</v>
      </c>
      <c r="AK15877" s="831">
        <v>11900832</v>
      </c>
    </row>
    <row r="15878" spans="2:37">
      <c r="B15878" s="834" t="str">
        <f t="shared" si="575"/>
        <v>|||</v>
      </c>
      <c r="H15878" s="835">
        <f t="shared" si="576"/>
        <v>31</v>
      </c>
      <c r="AF15878" s="831" t="s">
        <v>11461</v>
      </c>
      <c r="AG15878" s="831" t="s">
        <v>2674</v>
      </c>
      <c r="AH15878" s="831" t="s">
        <v>650</v>
      </c>
      <c r="AI15878" s="831">
        <v>0</v>
      </c>
      <c r="AJ15878" s="835">
        <v>41759</v>
      </c>
      <c r="AK15878" s="831">
        <v>234971386.50146157</v>
      </c>
    </row>
    <row r="15879" spans="2:37">
      <c r="B15879" s="834" t="str">
        <f t="shared" si="575"/>
        <v>|||</v>
      </c>
      <c r="H15879" s="835">
        <f t="shared" si="576"/>
        <v>31</v>
      </c>
      <c r="AF15879" s="831" t="s">
        <v>11462</v>
      </c>
      <c r="AG15879" s="831" t="s">
        <v>2674</v>
      </c>
      <c r="AH15879" s="831" t="s">
        <v>655</v>
      </c>
      <c r="AI15879" s="831">
        <v>0</v>
      </c>
      <c r="AJ15879" s="835">
        <v>41759</v>
      </c>
      <c r="AK15879" s="831">
        <v>1842214</v>
      </c>
    </row>
    <row r="15880" spans="2:37">
      <c r="B15880" s="834" t="str">
        <f t="shared" si="575"/>
        <v>|||</v>
      </c>
      <c r="H15880" s="835">
        <f t="shared" si="576"/>
        <v>31</v>
      </c>
      <c r="AF15880" s="831" t="s">
        <v>11463</v>
      </c>
      <c r="AG15880" s="831" t="s">
        <v>2674</v>
      </c>
      <c r="AH15880" s="831" t="s">
        <v>546</v>
      </c>
      <c r="AI15880" s="831">
        <v>0</v>
      </c>
      <c r="AJ15880" s="835">
        <v>41790</v>
      </c>
      <c r="AK15880" s="831">
        <v>718268239</v>
      </c>
    </row>
    <row r="15881" spans="2:37">
      <c r="B15881" s="834" t="str">
        <f t="shared" si="575"/>
        <v>|||</v>
      </c>
      <c r="H15881" s="835">
        <f t="shared" si="576"/>
        <v>31</v>
      </c>
      <c r="AF15881" s="831" t="s">
        <v>11464</v>
      </c>
      <c r="AG15881" s="831" t="s">
        <v>2674</v>
      </c>
      <c r="AH15881" s="831" t="s">
        <v>370</v>
      </c>
      <c r="AI15881" s="831">
        <v>0</v>
      </c>
      <c r="AJ15881" s="835">
        <v>41790</v>
      </c>
      <c r="AK15881" s="831">
        <v>862492850</v>
      </c>
    </row>
    <row r="15882" spans="2:37">
      <c r="B15882" s="834" t="str">
        <f t="shared" si="575"/>
        <v>|||</v>
      </c>
      <c r="H15882" s="835">
        <f t="shared" si="576"/>
        <v>31</v>
      </c>
      <c r="AF15882" s="831" t="s">
        <v>11465</v>
      </c>
      <c r="AG15882" s="831" t="s">
        <v>2674</v>
      </c>
      <c r="AH15882" s="831" t="s">
        <v>126</v>
      </c>
      <c r="AI15882" s="831">
        <v>0</v>
      </c>
      <c r="AJ15882" s="835">
        <v>41790</v>
      </c>
      <c r="AK15882" s="831">
        <v>131163748</v>
      </c>
    </row>
    <row r="15883" spans="2:37">
      <c r="B15883" s="834" t="str">
        <f t="shared" si="575"/>
        <v>|||</v>
      </c>
      <c r="H15883" s="835">
        <f t="shared" si="576"/>
        <v>31</v>
      </c>
      <c r="AF15883" s="831" t="s">
        <v>11466</v>
      </c>
      <c r="AG15883" s="831" t="s">
        <v>2674</v>
      </c>
      <c r="AH15883" s="831" t="s">
        <v>268</v>
      </c>
      <c r="AI15883" s="831">
        <v>0</v>
      </c>
      <c r="AJ15883" s="835">
        <v>41790</v>
      </c>
      <c r="AK15883" s="831">
        <v>15708716</v>
      </c>
    </row>
    <row r="15884" spans="2:37">
      <c r="B15884" s="834" t="str">
        <f t="shared" si="575"/>
        <v>|||</v>
      </c>
      <c r="H15884" s="835">
        <f t="shared" si="576"/>
        <v>31</v>
      </c>
      <c r="AF15884" s="831" t="s">
        <v>11467</v>
      </c>
      <c r="AG15884" s="831" t="s">
        <v>2674</v>
      </c>
      <c r="AH15884" s="831" t="s">
        <v>547</v>
      </c>
      <c r="AI15884" s="831">
        <v>0</v>
      </c>
      <c r="AJ15884" s="835">
        <v>41790</v>
      </c>
      <c r="AK15884" s="831">
        <v>777719977</v>
      </c>
    </row>
    <row r="15885" spans="2:37">
      <c r="B15885" s="834" t="str">
        <f t="shared" si="575"/>
        <v>|||</v>
      </c>
      <c r="H15885" s="835">
        <f t="shared" si="576"/>
        <v>31</v>
      </c>
      <c r="AF15885" s="831" t="s">
        <v>11468</v>
      </c>
      <c r="AG15885" s="831" t="s">
        <v>2674</v>
      </c>
      <c r="AH15885" s="831" t="s">
        <v>548</v>
      </c>
      <c r="AI15885" s="831">
        <v>0</v>
      </c>
      <c r="AJ15885" s="835">
        <v>41790</v>
      </c>
      <c r="AK15885" s="831">
        <v>117105496</v>
      </c>
    </row>
    <row r="15886" spans="2:37">
      <c r="B15886" s="834" t="str">
        <f t="shared" si="575"/>
        <v>|||</v>
      </c>
      <c r="H15886" s="835">
        <f t="shared" si="576"/>
        <v>31</v>
      </c>
      <c r="AF15886" s="831" t="s">
        <v>11469</v>
      </c>
      <c r="AG15886" s="831" t="s">
        <v>2674</v>
      </c>
      <c r="AH15886" s="831" t="s">
        <v>549</v>
      </c>
      <c r="AI15886" s="831">
        <v>0</v>
      </c>
      <c r="AJ15886" s="835">
        <v>41790</v>
      </c>
      <c r="AK15886" s="831">
        <v>505264542</v>
      </c>
    </row>
    <row r="15887" spans="2:37">
      <c r="B15887" s="834" t="str">
        <f t="shared" si="575"/>
        <v>|||</v>
      </c>
      <c r="H15887" s="835">
        <f t="shared" si="576"/>
        <v>31</v>
      </c>
      <c r="AF15887" s="831" t="s">
        <v>11470</v>
      </c>
      <c r="AG15887" s="831" t="s">
        <v>2674</v>
      </c>
      <c r="AH15887" s="831" t="s">
        <v>192</v>
      </c>
      <c r="AI15887" s="831">
        <v>0</v>
      </c>
      <c r="AJ15887" s="835">
        <v>41790</v>
      </c>
      <c r="AK15887" s="831">
        <v>-13258185</v>
      </c>
    </row>
    <row r="15888" spans="2:37">
      <c r="B15888" s="834" t="str">
        <f t="shared" si="575"/>
        <v>|||</v>
      </c>
      <c r="H15888" s="835">
        <f t="shared" si="576"/>
        <v>31</v>
      </c>
      <c r="AF15888" s="831" t="s">
        <v>11471</v>
      </c>
      <c r="AG15888" s="831" t="s">
        <v>2674</v>
      </c>
      <c r="AH15888" s="831" t="s">
        <v>558</v>
      </c>
      <c r="AI15888" s="831">
        <v>0</v>
      </c>
      <c r="AJ15888" s="835">
        <v>41790</v>
      </c>
      <c r="AK15888" s="831">
        <v>731329102</v>
      </c>
    </row>
    <row r="15889" spans="2:37">
      <c r="B15889" s="834" t="str">
        <f t="shared" ref="B15889:B15952" si="577">C15889&amp;"|"&amp;D15889&amp;"|"&amp;E15889&amp;"|"&amp;F15889</f>
        <v>|||</v>
      </c>
      <c r="H15889" s="835">
        <f t="shared" ref="H15889:H15952" si="578">EOMONTH(L15889,0)</f>
        <v>31</v>
      </c>
      <c r="AF15889" s="831" t="s">
        <v>11472</v>
      </c>
      <c r="AG15889" s="831" t="s">
        <v>2674</v>
      </c>
      <c r="AH15889" s="831" t="s">
        <v>65</v>
      </c>
      <c r="AI15889" s="831">
        <v>0</v>
      </c>
      <c r="AJ15889" s="835">
        <v>41790</v>
      </c>
      <c r="AK15889" s="831">
        <v>66573989</v>
      </c>
    </row>
    <row r="15890" spans="2:37">
      <c r="B15890" s="834" t="str">
        <f t="shared" si="577"/>
        <v>|||</v>
      </c>
      <c r="H15890" s="835">
        <f t="shared" si="578"/>
        <v>31</v>
      </c>
      <c r="AF15890" s="831" t="s">
        <v>11473</v>
      </c>
      <c r="AG15890" s="831" t="s">
        <v>2674</v>
      </c>
      <c r="AH15890" s="831" t="s">
        <v>89</v>
      </c>
      <c r="AI15890" s="831">
        <v>0</v>
      </c>
      <c r="AJ15890" s="835">
        <v>41790</v>
      </c>
      <c r="AK15890" s="831">
        <v>156336</v>
      </c>
    </row>
    <row r="15891" spans="2:37">
      <c r="B15891" s="834" t="str">
        <f t="shared" si="577"/>
        <v>|||</v>
      </c>
      <c r="H15891" s="835">
        <f t="shared" si="578"/>
        <v>31</v>
      </c>
      <c r="AF15891" s="831" t="s">
        <v>11474</v>
      </c>
      <c r="AG15891" s="831" t="s">
        <v>2674</v>
      </c>
      <c r="AH15891" s="831" t="s">
        <v>557</v>
      </c>
      <c r="AI15891" s="831">
        <v>0</v>
      </c>
      <c r="AJ15891" s="835">
        <v>41790</v>
      </c>
      <c r="AK15891" s="831">
        <v>174602</v>
      </c>
    </row>
    <row r="15892" spans="2:37">
      <c r="B15892" s="834" t="str">
        <f t="shared" si="577"/>
        <v>|||</v>
      </c>
      <c r="H15892" s="835">
        <f t="shared" si="578"/>
        <v>31</v>
      </c>
      <c r="AF15892" s="831" t="s">
        <v>11475</v>
      </c>
      <c r="AG15892" s="831" t="s">
        <v>2674</v>
      </c>
      <c r="AH15892" s="831" t="s">
        <v>29</v>
      </c>
      <c r="AI15892" s="831">
        <v>0</v>
      </c>
      <c r="AJ15892" s="835">
        <v>41790</v>
      </c>
      <c r="AK15892" s="831">
        <v>2450103.0319999997</v>
      </c>
    </row>
    <row r="15893" spans="2:37">
      <c r="B15893" s="834" t="str">
        <f t="shared" si="577"/>
        <v>|||</v>
      </c>
      <c r="H15893" s="835">
        <f t="shared" si="578"/>
        <v>31</v>
      </c>
      <c r="AF15893" s="831" t="s">
        <v>11476</v>
      </c>
      <c r="AG15893" s="831" t="s">
        <v>2674</v>
      </c>
      <c r="AH15893" s="831" t="s">
        <v>2688</v>
      </c>
      <c r="AI15893" s="831">
        <v>0</v>
      </c>
      <c r="AJ15893" s="835">
        <v>41790</v>
      </c>
      <c r="AK15893" s="831">
        <v>4770534.2300000004</v>
      </c>
    </row>
    <row r="15894" spans="2:37">
      <c r="B15894" s="834" t="str">
        <f t="shared" si="577"/>
        <v>|||</v>
      </c>
      <c r="H15894" s="835">
        <f t="shared" si="578"/>
        <v>31</v>
      </c>
      <c r="AF15894" s="831" t="s">
        <v>11477</v>
      </c>
      <c r="AG15894" s="831" t="s">
        <v>2674</v>
      </c>
      <c r="AH15894" s="831" t="s">
        <v>556</v>
      </c>
      <c r="AI15894" s="831">
        <v>0</v>
      </c>
      <c r="AJ15894" s="835">
        <v>41790</v>
      </c>
      <c r="AK15894" s="831">
        <v>1644732</v>
      </c>
    </row>
    <row r="15895" spans="2:37">
      <c r="B15895" s="834" t="str">
        <f t="shared" si="577"/>
        <v>|||</v>
      </c>
      <c r="H15895" s="835">
        <f t="shared" si="578"/>
        <v>31</v>
      </c>
      <c r="AF15895" s="831" t="s">
        <v>11478</v>
      </c>
      <c r="AG15895" s="831" t="s">
        <v>2674</v>
      </c>
      <c r="AH15895" s="831" t="s">
        <v>555</v>
      </c>
      <c r="AI15895" s="831">
        <v>0</v>
      </c>
      <c r="AJ15895" s="835">
        <v>41790</v>
      </c>
      <c r="AK15895" s="831">
        <v>468159807</v>
      </c>
    </row>
    <row r="15896" spans="2:37">
      <c r="B15896" s="834" t="str">
        <f t="shared" si="577"/>
        <v>|||</v>
      </c>
      <c r="H15896" s="835">
        <f t="shared" si="578"/>
        <v>31</v>
      </c>
      <c r="AF15896" s="831" t="s">
        <v>11479</v>
      </c>
      <c r="AG15896" s="831" t="s">
        <v>2674</v>
      </c>
      <c r="AH15896" s="831" t="s">
        <v>554</v>
      </c>
      <c r="AI15896" s="831">
        <v>0</v>
      </c>
      <c r="AJ15896" s="835">
        <v>41790</v>
      </c>
      <c r="AK15896" s="831">
        <v>476165900</v>
      </c>
    </row>
    <row r="15897" spans="2:37">
      <c r="B15897" s="834" t="str">
        <f t="shared" si="577"/>
        <v>|||</v>
      </c>
      <c r="H15897" s="835">
        <f t="shared" si="578"/>
        <v>31</v>
      </c>
      <c r="AF15897" s="831" t="s">
        <v>11480</v>
      </c>
      <c r="AG15897" s="831" t="s">
        <v>2674</v>
      </c>
      <c r="AH15897" s="831" t="s">
        <v>553</v>
      </c>
      <c r="AI15897" s="831">
        <v>0</v>
      </c>
      <c r="AJ15897" s="835">
        <v>41790</v>
      </c>
      <c r="AK15897" s="831">
        <v>0</v>
      </c>
    </row>
    <row r="15898" spans="2:37">
      <c r="B15898" s="834" t="str">
        <f t="shared" si="577"/>
        <v>|||</v>
      </c>
      <c r="H15898" s="835">
        <f t="shared" si="578"/>
        <v>31</v>
      </c>
      <c r="AF15898" s="831" t="s">
        <v>11481</v>
      </c>
      <c r="AG15898" s="831" t="s">
        <v>2674</v>
      </c>
      <c r="AH15898" s="831" t="s">
        <v>552</v>
      </c>
      <c r="AI15898" s="831">
        <v>0</v>
      </c>
      <c r="AJ15898" s="835">
        <v>41790</v>
      </c>
      <c r="AK15898" s="831">
        <v>0</v>
      </c>
    </row>
    <row r="15899" spans="2:37">
      <c r="B15899" s="834" t="str">
        <f t="shared" si="577"/>
        <v>|||</v>
      </c>
      <c r="H15899" s="835">
        <f t="shared" si="578"/>
        <v>31</v>
      </c>
      <c r="AF15899" s="831" t="s">
        <v>11482</v>
      </c>
      <c r="AG15899" s="831" t="s">
        <v>2674</v>
      </c>
      <c r="AH15899" s="831" t="s">
        <v>551</v>
      </c>
      <c r="AI15899" s="831">
        <v>0</v>
      </c>
      <c r="AJ15899" s="835">
        <v>41790</v>
      </c>
      <c r="AK15899" s="831">
        <v>2150143.8450000002</v>
      </c>
    </row>
    <row r="15900" spans="2:37">
      <c r="B15900" s="834" t="str">
        <f t="shared" si="577"/>
        <v>|||</v>
      </c>
      <c r="H15900" s="835">
        <f t="shared" si="578"/>
        <v>31</v>
      </c>
      <c r="AF15900" s="831" t="s">
        <v>11483</v>
      </c>
      <c r="AG15900" s="831" t="s">
        <v>2674</v>
      </c>
      <c r="AH15900" s="831" t="s">
        <v>550</v>
      </c>
      <c r="AI15900" s="831">
        <v>0</v>
      </c>
      <c r="AJ15900" s="835">
        <v>41790</v>
      </c>
      <c r="AK15900" s="831">
        <v>127155751</v>
      </c>
    </row>
    <row r="15901" spans="2:37">
      <c r="B15901" s="834" t="str">
        <f t="shared" si="577"/>
        <v>|||</v>
      </c>
      <c r="H15901" s="835">
        <f t="shared" si="578"/>
        <v>31</v>
      </c>
      <c r="AF15901" s="831" t="s">
        <v>11484</v>
      </c>
      <c r="AG15901" s="831" t="s">
        <v>2674</v>
      </c>
      <c r="AH15901" s="831" t="s">
        <v>562</v>
      </c>
      <c r="AI15901" s="831">
        <v>0</v>
      </c>
      <c r="AJ15901" s="835">
        <v>41790</v>
      </c>
      <c r="AK15901" s="831">
        <v>0.78385000000000005</v>
      </c>
    </row>
    <row r="15902" spans="2:37">
      <c r="B15902" s="834" t="str">
        <f t="shared" si="577"/>
        <v>|||</v>
      </c>
      <c r="H15902" s="835">
        <f t="shared" si="578"/>
        <v>31</v>
      </c>
      <c r="AF15902" s="831" t="s">
        <v>11485</v>
      </c>
      <c r="AG15902" s="831" t="s">
        <v>2674</v>
      </c>
      <c r="AH15902" s="831" t="s">
        <v>2698</v>
      </c>
      <c r="AI15902" s="831">
        <v>0</v>
      </c>
      <c r="AJ15902" s="835">
        <v>41790</v>
      </c>
      <c r="AK15902" s="831">
        <v>0.78374999999999995</v>
      </c>
    </row>
    <row r="15903" spans="2:37">
      <c r="B15903" s="834" t="str">
        <f t="shared" si="577"/>
        <v>|||</v>
      </c>
      <c r="H15903" s="835">
        <f t="shared" si="578"/>
        <v>31</v>
      </c>
      <c r="AF15903" s="831" t="s">
        <v>11486</v>
      </c>
      <c r="AG15903" s="831" t="s">
        <v>2674</v>
      </c>
      <c r="AH15903" s="831" t="s">
        <v>560</v>
      </c>
      <c r="AI15903" s="831">
        <v>0</v>
      </c>
      <c r="AJ15903" s="835">
        <v>41790</v>
      </c>
      <c r="AK15903" s="831">
        <v>0.78376999999999997</v>
      </c>
    </row>
    <row r="15904" spans="2:37">
      <c r="B15904" s="834" t="str">
        <f t="shared" si="577"/>
        <v>|||</v>
      </c>
      <c r="H15904" s="835">
        <f t="shared" si="578"/>
        <v>31</v>
      </c>
      <c r="AF15904" s="831" t="s">
        <v>11487</v>
      </c>
      <c r="AG15904" s="831" t="s">
        <v>2674</v>
      </c>
      <c r="AH15904" s="831" t="s">
        <v>559</v>
      </c>
      <c r="AI15904" s="831">
        <v>0</v>
      </c>
      <c r="AJ15904" s="835">
        <v>41790</v>
      </c>
      <c r="AK15904" s="831">
        <v>0.78379166666666666</v>
      </c>
    </row>
    <row r="15905" spans="2:37">
      <c r="B15905" s="834" t="str">
        <f t="shared" si="577"/>
        <v>|||</v>
      </c>
      <c r="H15905" s="835">
        <f t="shared" si="578"/>
        <v>31</v>
      </c>
      <c r="AF15905" s="831" t="s">
        <v>11488</v>
      </c>
      <c r="AG15905" s="831" t="s">
        <v>2674</v>
      </c>
      <c r="AH15905" s="831" t="s">
        <v>568</v>
      </c>
      <c r="AI15905" s="831">
        <v>0</v>
      </c>
      <c r="AJ15905" s="835">
        <v>41790</v>
      </c>
      <c r="AK15905" s="831">
        <v>602753430.99615383</v>
      </c>
    </row>
    <row r="15906" spans="2:37">
      <c r="B15906" s="834" t="str">
        <f t="shared" si="577"/>
        <v>|||</v>
      </c>
      <c r="H15906" s="835">
        <f t="shared" si="578"/>
        <v>31</v>
      </c>
      <c r="AF15906" s="831" t="s">
        <v>11489</v>
      </c>
      <c r="AG15906" s="831" t="s">
        <v>2674</v>
      </c>
      <c r="AH15906" s="831" t="s">
        <v>569</v>
      </c>
      <c r="AI15906" s="831">
        <v>0</v>
      </c>
      <c r="AJ15906" s="835">
        <v>41790</v>
      </c>
      <c r="AK15906" s="831">
        <v>739200989.8963846</v>
      </c>
    </row>
    <row r="15907" spans="2:37">
      <c r="B15907" s="834" t="str">
        <f t="shared" si="577"/>
        <v>|||</v>
      </c>
      <c r="H15907" s="835">
        <f t="shared" si="578"/>
        <v>31</v>
      </c>
      <c r="AF15907" s="831" t="s">
        <v>11490</v>
      </c>
      <c r="AG15907" s="831" t="s">
        <v>2674</v>
      </c>
      <c r="AH15907" s="831" t="s">
        <v>570</v>
      </c>
      <c r="AI15907" s="831">
        <v>0</v>
      </c>
      <c r="AJ15907" s="835">
        <v>41790</v>
      </c>
      <c r="AK15907" s="831">
        <v>117953141.44353844</v>
      </c>
    </row>
    <row r="15908" spans="2:37">
      <c r="B15908" s="834" t="str">
        <f t="shared" si="577"/>
        <v>|||</v>
      </c>
      <c r="H15908" s="835">
        <f t="shared" si="578"/>
        <v>31</v>
      </c>
      <c r="AF15908" s="831" t="s">
        <v>11491</v>
      </c>
      <c r="AG15908" s="831" t="s">
        <v>2674</v>
      </c>
      <c r="AH15908" s="831" t="s">
        <v>571</v>
      </c>
      <c r="AI15908" s="831">
        <v>0</v>
      </c>
      <c r="AJ15908" s="835">
        <v>41790</v>
      </c>
      <c r="AK15908" s="831">
        <v>358988619.82100004</v>
      </c>
    </row>
    <row r="15909" spans="2:37">
      <c r="B15909" s="834" t="str">
        <f t="shared" si="577"/>
        <v>|||</v>
      </c>
      <c r="H15909" s="835">
        <f t="shared" si="578"/>
        <v>31</v>
      </c>
      <c r="AF15909" s="831" t="s">
        <v>11492</v>
      </c>
      <c r="AG15909" s="831" t="s">
        <v>2674</v>
      </c>
      <c r="AH15909" s="831" t="s">
        <v>573</v>
      </c>
      <c r="AI15909" s="831">
        <v>0</v>
      </c>
      <c r="AJ15909" s="835">
        <v>41790</v>
      </c>
      <c r="AK15909" s="831">
        <v>816120360.26049995</v>
      </c>
    </row>
    <row r="15910" spans="2:37">
      <c r="B15910" s="834" t="str">
        <f t="shared" si="577"/>
        <v>|||</v>
      </c>
      <c r="H15910" s="835">
        <f t="shared" si="578"/>
        <v>31</v>
      </c>
      <c r="AF15910" s="831" t="s">
        <v>11493</v>
      </c>
      <c r="AG15910" s="831" t="s">
        <v>2674</v>
      </c>
      <c r="AH15910" s="831" t="s">
        <v>574</v>
      </c>
      <c r="AI15910" s="831">
        <v>0</v>
      </c>
      <c r="AJ15910" s="835">
        <v>41790</v>
      </c>
      <c r="AK15910" s="831">
        <v>665724043</v>
      </c>
    </row>
    <row r="15911" spans="2:37">
      <c r="B15911" s="834" t="str">
        <f t="shared" si="577"/>
        <v>|||</v>
      </c>
      <c r="H15911" s="835">
        <f t="shared" si="578"/>
        <v>31</v>
      </c>
      <c r="AF15911" s="831" t="s">
        <v>11494</v>
      </c>
      <c r="AG15911" s="831" t="s">
        <v>2674</v>
      </c>
      <c r="AH15911" s="831" t="s">
        <v>575</v>
      </c>
      <c r="AI15911" s="831">
        <v>0</v>
      </c>
      <c r="AJ15911" s="835">
        <v>41790</v>
      </c>
      <c r="AK15911" s="831">
        <v>122389529.81833333</v>
      </c>
    </row>
    <row r="15912" spans="2:37">
      <c r="B15912" s="834" t="str">
        <f t="shared" si="577"/>
        <v>|||</v>
      </c>
      <c r="H15912" s="835">
        <f t="shared" si="578"/>
        <v>31</v>
      </c>
      <c r="AF15912" s="831" t="s">
        <v>11495</v>
      </c>
      <c r="AG15912" s="831" t="s">
        <v>2674</v>
      </c>
      <c r="AH15912" s="831" t="s">
        <v>576</v>
      </c>
      <c r="AI15912" s="831">
        <v>0</v>
      </c>
      <c r="AJ15912" s="835">
        <v>41790</v>
      </c>
      <c r="AK15912" s="831">
        <v>399225453.60183334</v>
      </c>
    </row>
    <row r="15913" spans="2:37">
      <c r="B15913" s="834" t="str">
        <f t="shared" si="577"/>
        <v>|||</v>
      </c>
      <c r="H15913" s="835">
        <f t="shared" si="578"/>
        <v>31</v>
      </c>
      <c r="AF15913" s="831" t="s">
        <v>11496</v>
      </c>
      <c r="AG15913" s="831" t="s">
        <v>2674</v>
      </c>
      <c r="AH15913" s="831" t="s">
        <v>572</v>
      </c>
      <c r="AI15913" s="831">
        <v>0</v>
      </c>
      <c r="AJ15913" s="835">
        <v>41790</v>
      </c>
      <c r="AK15913" s="831">
        <v>31997124.956000008</v>
      </c>
    </row>
    <row r="15914" spans="2:37">
      <c r="B15914" s="834" t="str">
        <f t="shared" si="577"/>
        <v>|||</v>
      </c>
      <c r="H15914" s="835">
        <f t="shared" si="578"/>
        <v>31</v>
      </c>
      <c r="AF15914" s="831" t="s">
        <v>11497</v>
      </c>
      <c r="AG15914" s="831" t="s">
        <v>2674</v>
      </c>
      <c r="AH15914" s="831" t="s">
        <v>577</v>
      </c>
      <c r="AI15914" s="831">
        <v>0</v>
      </c>
      <c r="AJ15914" s="835">
        <v>41790</v>
      </c>
      <c r="AK15914" s="831">
        <v>149793646.76300001</v>
      </c>
    </row>
    <row r="15915" spans="2:37">
      <c r="B15915" s="834" t="str">
        <f t="shared" si="577"/>
        <v>|||</v>
      </c>
      <c r="H15915" s="835">
        <f t="shared" si="578"/>
        <v>31</v>
      </c>
      <c r="AF15915" s="831" t="s">
        <v>11498</v>
      </c>
      <c r="AG15915" s="831" t="s">
        <v>2674</v>
      </c>
      <c r="AH15915" s="831" t="s">
        <v>3042</v>
      </c>
      <c r="AI15915" s="831">
        <v>0</v>
      </c>
      <c r="AJ15915" s="835">
        <v>41790</v>
      </c>
      <c r="AK15915" s="831">
        <v>-41488938.527000003</v>
      </c>
    </row>
    <row r="15916" spans="2:37">
      <c r="B15916" s="834" t="str">
        <f t="shared" si="577"/>
        <v>|||</v>
      </c>
      <c r="H15916" s="835">
        <f t="shared" si="578"/>
        <v>31</v>
      </c>
      <c r="AF15916" s="831" t="s">
        <v>11499</v>
      </c>
      <c r="AG15916" s="831" t="s">
        <v>2674</v>
      </c>
      <c r="AH15916" s="831" t="s">
        <v>3044</v>
      </c>
      <c r="AI15916" s="831">
        <v>0</v>
      </c>
      <c r="AJ15916" s="835">
        <v>41790</v>
      </c>
      <c r="AK15916" s="831">
        <v>-2734199.8899999997</v>
      </c>
    </row>
    <row r="15917" spans="2:37">
      <c r="B15917" s="834" t="str">
        <f t="shared" si="577"/>
        <v>|||</v>
      </c>
      <c r="H15917" s="835">
        <f t="shared" si="578"/>
        <v>31</v>
      </c>
      <c r="AF15917" s="831" t="s">
        <v>11500</v>
      </c>
      <c r="AG15917" s="831" t="s">
        <v>2674</v>
      </c>
      <c r="AH15917" s="831" t="s">
        <v>580</v>
      </c>
      <c r="AI15917" s="831">
        <v>0</v>
      </c>
      <c r="AJ15917" s="835">
        <v>41790</v>
      </c>
      <c r="AK15917" s="831">
        <v>-69707657.306999996</v>
      </c>
    </row>
    <row r="15918" spans="2:37">
      <c r="B15918" s="834" t="str">
        <f t="shared" si="577"/>
        <v>|||</v>
      </c>
      <c r="H15918" s="835">
        <f t="shared" si="578"/>
        <v>31</v>
      </c>
      <c r="AF15918" s="831" t="s">
        <v>11501</v>
      </c>
      <c r="AG15918" s="831" t="s">
        <v>2674</v>
      </c>
      <c r="AH15918" s="831" t="s">
        <v>581</v>
      </c>
      <c r="AI15918" s="831">
        <v>0</v>
      </c>
      <c r="AJ15918" s="835">
        <v>41790</v>
      </c>
      <c r="AK15918" s="831">
        <v>5958727.8940000003</v>
      </c>
    </row>
    <row r="15919" spans="2:37">
      <c r="B15919" s="834" t="str">
        <f t="shared" si="577"/>
        <v>|||</v>
      </c>
      <c r="H15919" s="835">
        <f t="shared" si="578"/>
        <v>31</v>
      </c>
      <c r="AF15919" s="831" t="s">
        <v>11502</v>
      </c>
      <c r="AG15919" s="831" t="s">
        <v>2674</v>
      </c>
      <c r="AH15919" s="831" t="s">
        <v>105</v>
      </c>
      <c r="AI15919" s="831">
        <v>0</v>
      </c>
      <c r="AJ15919" s="835">
        <v>41790</v>
      </c>
      <c r="AK15919" s="831">
        <v>420089711</v>
      </c>
    </row>
    <row r="15920" spans="2:37">
      <c r="B15920" s="834" t="str">
        <f t="shared" si="577"/>
        <v>|||</v>
      </c>
      <c r="H15920" s="835">
        <f t="shared" si="578"/>
        <v>31</v>
      </c>
      <c r="AF15920" s="831" t="s">
        <v>11503</v>
      </c>
      <c r="AG15920" s="831" t="s">
        <v>2674</v>
      </c>
      <c r="AH15920" s="831" t="s">
        <v>3049</v>
      </c>
      <c r="AI15920" s="831">
        <v>0</v>
      </c>
      <c r="AJ15920" s="835">
        <v>41790</v>
      </c>
      <c r="AK15920" s="831">
        <v>709561626</v>
      </c>
    </row>
    <row r="15921" spans="2:37">
      <c r="B15921" s="834" t="str">
        <f t="shared" si="577"/>
        <v>|||</v>
      </c>
      <c r="H15921" s="835">
        <f t="shared" si="578"/>
        <v>31</v>
      </c>
      <c r="AF15921" s="831" t="s">
        <v>11504</v>
      </c>
      <c r="AG15921" s="831" t="s">
        <v>2674</v>
      </c>
      <c r="AH15921" s="831" t="s">
        <v>103</v>
      </c>
      <c r="AI15921" s="831">
        <v>0</v>
      </c>
      <c r="AJ15921" s="835">
        <v>41790</v>
      </c>
      <c r="AK15921" s="831">
        <v>289471915</v>
      </c>
    </row>
    <row r="15922" spans="2:37">
      <c r="B15922" s="834" t="str">
        <f t="shared" si="577"/>
        <v>|||</v>
      </c>
      <c r="H15922" s="835">
        <f t="shared" si="578"/>
        <v>31</v>
      </c>
      <c r="AF15922" s="831" t="s">
        <v>11505</v>
      </c>
      <c r="AG15922" s="831" t="s">
        <v>2674</v>
      </c>
      <c r="AH15922" s="831" t="s">
        <v>182</v>
      </c>
      <c r="AI15922" s="831">
        <v>0</v>
      </c>
      <c r="AJ15922" s="835">
        <v>41790</v>
      </c>
      <c r="AK15922" s="831">
        <v>69984388.799999997</v>
      </c>
    </row>
    <row r="15923" spans="2:37">
      <c r="B15923" s="834" t="str">
        <f t="shared" si="577"/>
        <v>|||</v>
      </c>
      <c r="H15923" s="835">
        <f t="shared" si="578"/>
        <v>31</v>
      </c>
      <c r="AF15923" s="831" t="s">
        <v>11506</v>
      </c>
      <c r="AG15923" s="831" t="s">
        <v>2674</v>
      </c>
      <c r="AH15923" s="831" t="s">
        <v>6600</v>
      </c>
      <c r="AI15923" s="831">
        <v>0</v>
      </c>
      <c r="AJ15923" s="835">
        <v>41790</v>
      </c>
      <c r="AK15923" s="831">
        <v>31997124.956000008</v>
      </c>
    </row>
    <row r="15924" spans="2:37">
      <c r="B15924" s="834" t="str">
        <f t="shared" si="577"/>
        <v>|||</v>
      </c>
      <c r="H15924" s="835">
        <f t="shared" si="578"/>
        <v>31</v>
      </c>
      <c r="AF15924" s="831" t="s">
        <v>11507</v>
      </c>
      <c r="AG15924" s="831" t="s">
        <v>2674</v>
      </c>
      <c r="AH15924" s="831" t="s">
        <v>6602</v>
      </c>
      <c r="AI15924" s="831">
        <v>0</v>
      </c>
      <c r="AJ15924" s="835">
        <v>41790</v>
      </c>
      <c r="AK15924" s="831">
        <v>15708716</v>
      </c>
    </row>
    <row r="15925" spans="2:37">
      <c r="B15925" s="834" t="str">
        <f t="shared" si="577"/>
        <v>|||</v>
      </c>
      <c r="H15925" s="835">
        <f t="shared" si="578"/>
        <v>31</v>
      </c>
      <c r="AF15925" s="831" t="s">
        <v>11508</v>
      </c>
      <c r="AG15925" s="831" t="s">
        <v>2674</v>
      </c>
      <c r="AH15925" s="831" t="s">
        <v>650</v>
      </c>
      <c r="AI15925" s="831">
        <v>0</v>
      </c>
      <c r="AJ15925" s="835">
        <v>41790</v>
      </c>
      <c r="AK15925" s="831">
        <v>242496217.73223078</v>
      </c>
    </row>
    <row r="15926" spans="2:37">
      <c r="B15926" s="834" t="str">
        <f t="shared" si="577"/>
        <v>|||</v>
      </c>
      <c r="H15926" s="835">
        <f t="shared" si="578"/>
        <v>31</v>
      </c>
      <c r="AF15926" s="831" t="s">
        <v>11509</v>
      </c>
      <c r="AG15926" s="831" t="s">
        <v>2674</v>
      </c>
      <c r="AH15926" s="831" t="s">
        <v>655</v>
      </c>
      <c r="AI15926" s="831">
        <v>0</v>
      </c>
      <c r="AJ15926" s="835">
        <v>41790</v>
      </c>
      <c r="AK15926" s="831">
        <v>1936751.44</v>
      </c>
    </row>
    <row r="15927" spans="2:37">
      <c r="B15927" s="834" t="str">
        <f t="shared" si="577"/>
        <v>|||</v>
      </c>
      <c r="H15927" s="835">
        <f t="shared" si="578"/>
        <v>31</v>
      </c>
      <c r="AF15927" s="831" t="s">
        <v>11510</v>
      </c>
      <c r="AG15927" s="831" t="s">
        <v>2674</v>
      </c>
      <c r="AH15927" s="831" t="s">
        <v>546</v>
      </c>
      <c r="AI15927" s="831">
        <v>0</v>
      </c>
      <c r="AJ15927" s="835">
        <v>41820</v>
      </c>
      <c r="AK15927" s="831">
        <v>728057591</v>
      </c>
    </row>
    <row r="15928" spans="2:37">
      <c r="B15928" s="834" t="str">
        <f t="shared" si="577"/>
        <v>|||</v>
      </c>
      <c r="H15928" s="835">
        <f t="shared" si="578"/>
        <v>31</v>
      </c>
      <c r="AF15928" s="831" t="s">
        <v>11511</v>
      </c>
      <c r="AG15928" s="831" t="s">
        <v>2674</v>
      </c>
      <c r="AH15928" s="831" t="s">
        <v>370</v>
      </c>
      <c r="AI15928" s="831">
        <v>0</v>
      </c>
      <c r="AJ15928" s="835">
        <v>41820</v>
      </c>
      <c r="AK15928" s="831">
        <v>911200946</v>
      </c>
    </row>
    <row r="15929" spans="2:37">
      <c r="B15929" s="834" t="str">
        <f t="shared" si="577"/>
        <v>|||</v>
      </c>
      <c r="H15929" s="835">
        <f t="shared" si="578"/>
        <v>31</v>
      </c>
      <c r="AF15929" s="831" t="s">
        <v>11512</v>
      </c>
      <c r="AG15929" s="831" t="s">
        <v>2674</v>
      </c>
      <c r="AH15929" s="831" t="s">
        <v>126</v>
      </c>
      <c r="AI15929" s="831">
        <v>0</v>
      </c>
      <c r="AJ15929" s="835">
        <v>41820</v>
      </c>
      <c r="AK15929" s="831">
        <v>135362821</v>
      </c>
    </row>
    <row r="15930" spans="2:37">
      <c r="B15930" s="834" t="str">
        <f t="shared" si="577"/>
        <v>|||</v>
      </c>
      <c r="H15930" s="835">
        <f t="shared" si="578"/>
        <v>31</v>
      </c>
      <c r="AF15930" s="831" t="s">
        <v>11513</v>
      </c>
      <c r="AG15930" s="831" t="s">
        <v>2674</v>
      </c>
      <c r="AH15930" s="831" t="s">
        <v>268</v>
      </c>
      <c r="AI15930" s="831">
        <v>0</v>
      </c>
      <c r="AJ15930" s="835">
        <v>41820</v>
      </c>
      <c r="AK15930" s="831">
        <v>18626919</v>
      </c>
    </row>
    <row r="15931" spans="2:37">
      <c r="B15931" s="834" t="str">
        <f t="shared" si="577"/>
        <v>|||</v>
      </c>
      <c r="H15931" s="835">
        <f t="shared" si="578"/>
        <v>31</v>
      </c>
      <c r="AF15931" s="831" t="s">
        <v>11514</v>
      </c>
      <c r="AG15931" s="831" t="s">
        <v>2674</v>
      </c>
      <c r="AH15931" s="831" t="s">
        <v>547</v>
      </c>
      <c r="AI15931" s="831">
        <v>0</v>
      </c>
      <c r="AJ15931" s="835">
        <v>41820</v>
      </c>
      <c r="AK15931" s="831">
        <v>777719977</v>
      </c>
    </row>
    <row r="15932" spans="2:37">
      <c r="B15932" s="834" t="str">
        <f t="shared" si="577"/>
        <v>|||</v>
      </c>
      <c r="H15932" s="835">
        <f t="shared" si="578"/>
        <v>31</v>
      </c>
      <c r="AF15932" s="831" t="s">
        <v>11515</v>
      </c>
      <c r="AG15932" s="831" t="s">
        <v>2674</v>
      </c>
      <c r="AH15932" s="831" t="s">
        <v>548</v>
      </c>
      <c r="AI15932" s="831">
        <v>0</v>
      </c>
      <c r="AJ15932" s="835">
        <v>41820</v>
      </c>
      <c r="AK15932" s="831">
        <v>117105496</v>
      </c>
    </row>
    <row r="15933" spans="2:37">
      <c r="B15933" s="834" t="str">
        <f t="shared" si="577"/>
        <v>|||</v>
      </c>
      <c r="H15933" s="835">
        <f t="shared" si="578"/>
        <v>31</v>
      </c>
      <c r="AF15933" s="831" t="s">
        <v>11516</v>
      </c>
      <c r="AG15933" s="831" t="s">
        <v>2674</v>
      </c>
      <c r="AH15933" s="831" t="s">
        <v>549</v>
      </c>
      <c r="AI15933" s="831">
        <v>0</v>
      </c>
      <c r="AJ15933" s="835">
        <v>41820</v>
      </c>
      <c r="AK15933" s="831">
        <v>514798833</v>
      </c>
    </row>
    <row r="15934" spans="2:37">
      <c r="B15934" s="834" t="str">
        <f t="shared" si="577"/>
        <v>|||</v>
      </c>
      <c r="H15934" s="835">
        <f t="shared" si="578"/>
        <v>31</v>
      </c>
      <c r="AF15934" s="831" t="s">
        <v>11517</v>
      </c>
      <c r="AG15934" s="831" t="s">
        <v>2674</v>
      </c>
      <c r="AH15934" s="831" t="s">
        <v>192</v>
      </c>
      <c r="AI15934" s="831">
        <v>0</v>
      </c>
      <c r="AJ15934" s="835">
        <v>41820</v>
      </c>
      <c r="AK15934" s="831">
        <v>-11632261</v>
      </c>
    </row>
    <row r="15935" spans="2:37">
      <c r="B15935" s="834" t="str">
        <f t="shared" si="577"/>
        <v>|||</v>
      </c>
      <c r="H15935" s="835">
        <f t="shared" si="578"/>
        <v>31</v>
      </c>
      <c r="AF15935" s="831" t="s">
        <v>11518</v>
      </c>
      <c r="AG15935" s="831" t="s">
        <v>2674</v>
      </c>
      <c r="AH15935" s="831" t="s">
        <v>558</v>
      </c>
      <c r="AI15935" s="831">
        <v>0</v>
      </c>
      <c r="AJ15935" s="835">
        <v>41820</v>
      </c>
      <c r="AK15935" s="831">
        <v>775838125</v>
      </c>
    </row>
    <row r="15936" spans="2:37">
      <c r="B15936" s="834" t="str">
        <f t="shared" si="577"/>
        <v>|||</v>
      </c>
      <c r="H15936" s="835">
        <f t="shared" si="578"/>
        <v>31</v>
      </c>
      <c r="AF15936" s="831" t="s">
        <v>11519</v>
      </c>
      <c r="AG15936" s="831" t="s">
        <v>2674</v>
      </c>
      <c r="AH15936" s="831" t="s">
        <v>65</v>
      </c>
      <c r="AI15936" s="831">
        <v>0</v>
      </c>
      <c r="AJ15936" s="835">
        <v>41820</v>
      </c>
      <c r="AK15936" s="831">
        <v>81270371</v>
      </c>
    </row>
    <row r="15937" spans="2:37">
      <c r="B15937" s="834" t="str">
        <f t="shared" si="577"/>
        <v>|||</v>
      </c>
      <c r="H15937" s="835">
        <f t="shared" si="578"/>
        <v>31</v>
      </c>
      <c r="AF15937" s="831" t="s">
        <v>11520</v>
      </c>
      <c r="AG15937" s="831" t="s">
        <v>2674</v>
      </c>
      <c r="AH15937" s="831" t="s">
        <v>89</v>
      </c>
      <c r="AI15937" s="831">
        <v>0</v>
      </c>
      <c r="AJ15937" s="835">
        <v>41820</v>
      </c>
      <c r="AK15937" s="831">
        <v>156581</v>
      </c>
    </row>
    <row r="15938" spans="2:37">
      <c r="B15938" s="834" t="str">
        <f t="shared" si="577"/>
        <v>|||</v>
      </c>
      <c r="H15938" s="835">
        <f t="shared" si="578"/>
        <v>31</v>
      </c>
      <c r="AF15938" s="831" t="s">
        <v>11521</v>
      </c>
      <c r="AG15938" s="831" t="s">
        <v>2674</v>
      </c>
      <c r="AH15938" s="831" t="s">
        <v>557</v>
      </c>
      <c r="AI15938" s="831">
        <v>0</v>
      </c>
      <c r="AJ15938" s="835">
        <v>41820</v>
      </c>
      <c r="AK15938" s="831">
        <v>175816</v>
      </c>
    </row>
    <row r="15939" spans="2:37">
      <c r="B15939" s="834" t="str">
        <f t="shared" si="577"/>
        <v>|||</v>
      </c>
      <c r="H15939" s="835">
        <f t="shared" si="578"/>
        <v>31</v>
      </c>
      <c r="AF15939" s="831" t="s">
        <v>11522</v>
      </c>
      <c r="AG15939" s="831" t="s">
        <v>2674</v>
      </c>
      <c r="AH15939" s="831" t="s">
        <v>29</v>
      </c>
      <c r="AI15939" s="831">
        <v>0</v>
      </c>
      <c r="AJ15939" s="835">
        <v>41820</v>
      </c>
      <c r="AK15939" s="831">
        <v>1326248.81</v>
      </c>
    </row>
    <row r="15940" spans="2:37">
      <c r="B15940" s="834" t="str">
        <f t="shared" si="577"/>
        <v>|||</v>
      </c>
      <c r="H15940" s="835">
        <f t="shared" si="578"/>
        <v>31</v>
      </c>
      <c r="AF15940" s="831" t="s">
        <v>11523</v>
      </c>
      <c r="AG15940" s="831" t="s">
        <v>2674</v>
      </c>
      <c r="AH15940" s="831" t="s">
        <v>2688</v>
      </c>
      <c r="AI15940" s="831">
        <v>0</v>
      </c>
      <c r="AJ15940" s="835">
        <v>41820</v>
      </c>
      <c r="AK15940" s="831">
        <v>4329800.9399999995</v>
      </c>
    </row>
    <row r="15941" spans="2:37">
      <c r="B15941" s="834" t="str">
        <f t="shared" si="577"/>
        <v>|||</v>
      </c>
      <c r="H15941" s="835">
        <f t="shared" si="578"/>
        <v>31</v>
      </c>
      <c r="AF15941" s="831" t="s">
        <v>11524</v>
      </c>
      <c r="AG15941" s="831" t="s">
        <v>2674</v>
      </c>
      <c r="AH15941" s="831" t="s">
        <v>556</v>
      </c>
      <c r="AI15941" s="831">
        <v>0</v>
      </c>
      <c r="AJ15941" s="835">
        <v>41820</v>
      </c>
      <c r="AK15941" s="831">
        <v>3274918</v>
      </c>
    </row>
    <row r="15942" spans="2:37">
      <c r="B15942" s="834" t="str">
        <f t="shared" si="577"/>
        <v>|||</v>
      </c>
      <c r="H15942" s="835">
        <f t="shared" si="578"/>
        <v>31</v>
      </c>
      <c r="AF15942" s="831" t="s">
        <v>11525</v>
      </c>
      <c r="AG15942" s="831" t="s">
        <v>2674</v>
      </c>
      <c r="AH15942" s="831" t="s">
        <v>555</v>
      </c>
      <c r="AI15942" s="831">
        <v>0</v>
      </c>
      <c r="AJ15942" s="835">
        <v>41820</v>
      </c>
      <c r="AK15942" s="831">
        <v>507133542</v>
      </c>
    </row>
    <row r="15943" spans="2:37">
      <c r="B15943" s="834" t="str">
        <f t="shared" si="577"/>
        <v>|||</v>
      </c>
      <c r="H15943" s="835">
        <f t="shared" si="578"/>
        <v>31</v>
      </c>
      <c r="AF15943" s="831" t="s">
        <v>11526</v>
      </c>
      <c r="AG15943" s="831" t="s">
        <v>2674</v>
      </c>
      <c r="AH15943" s="831" t="s">
        <v>554</v>
      </c>
      <c r="AI15943" s="831">
        <v>0</v>
      </c>
      <c r="AJ15943" s="835">
        <v>41820</v>
      </c>
      <c r="AK15943" s="831">
        <v>519019570</v>
      </c>
    </row>
    <row r="15944" spans="2:37">
      <c r="B15944" s="834" t="str">
        <f t="shared" si="577"/>
        <v>|||</v>
      </c>
      <c r="H15944" s="835">
        <f t="shared" si="578"/>
        <v>31</v>
      </c>
      <c r="AF15944" s="831" t="s">
        <v>11527</v>
      </c>
      <c r="AG15944" s="831" t="s">
        <v>2674</v>
      </c>
      <c r="AH15944" s="831" t="s">
        <v>553</v>
      </c>
      <c r="AI15944" s="831">
        <v>0</v>
      </c>
      <c r="AJ15944" s="835">
        <v>41820</v>
      </c>
      <c r="AK15944" s="831">
        <v>0</v>
      </c>
    </row>
    <row r="15945" spans="2:37">
      <c r="B15945" s="834" t="str">
        <f t="shared" si="577"/>
        <v>|||</v>
      </c>
      <c r="H15945" s="835">
        <f t="shared" si="578"/>
        <v>31</v>
      </c>
      <c r="AF15945" s="831" t="s">
        <v>11528</v>
      </c>
      <c r="AG15945" s="831" t="s">
        <v>2674</v>
      </c>
      <c r="AH15945" s="831" t="s">
        <v>552</v>
      </c>
      <c r="AI15945" s="831">
        <v>0</v>
      </c>
      <c r="AJ15945" s="835">
        <v>41820</v>
      </c>
      <c r="AK15945" s="831">
        <v>0</v>
      </c>
    </row>
    <row r="15946" spans="2:37">
      <c r="B15946" s="834" t="str">
        <f t="shared" si="577"/>
        <v>|||</v>
      </c>
      <c r="H15946" s="835">
        <f t="shared" si="578"/>
        <v>31</v>
      </c>
      <c r="AF15946" s="831" t="s">
        <v>11529</v>
      </c>
      <c r="AG15946" s="831" t="s">
        <v>2674</v>
      </c>
      <c r="AH15946" s="831" t="s">
        <v>551</v>
      </c>
      <c r="AI15946" s="831">
        <v>0</v>
      </c>
      <c r="AJ15946" s="835">
        <v>41820</v>
      </c>
      <c r="AK15946" s="831">
        <v>950588.81</v>
      </c>
    </row>
    <row r="15947" spans="2:37">
      <c r="B15947" s="834" t="str">
        <f t="shared" si="577"/>
        <v>|||</v>
      </c>
      <c r="H15947" s="835">
        <f t="shared" si="578"/>
        <v>31</v>
      </c>
      <c r="AF15947" s="831" t="s">
        <v>11530</v>
      </c>
      <c r="AG15947" s="831" t="s">
        <v>2674</v>
      </c>
      <c r="AH15947" s="831" t="s">
        <v>550</v>
      </c>
      <c r="AI15947" s="831">
        <v>0</v>
      </c>
      <c r="AJ15947" s="835">
        <v>41820</v>
      </c>
      <c r="AK15947" s="831">
        <v>131163748</v>
      </c>
    </row>
    <row r="15948" spans="2:37">
      <c r="B15948" s="834" t="str">
        <f t="shared" si="577"/>
        <v>|||</v>
      </c>
      <c r="H15948" s="835">
        <f t="shared" si="578"/>
        <v>31</v>
      </c>
      <c r="AF15948" s="831" t="s">
        <v>11531</v>
      </c>
      <c r="AG15948" s="831" t="s">
        <v>2674</v>
      </c>
      <c r="AH15948" s="831" t="s">
        <v>562</v>
      </c>
      <c r="AI15948" s="831">
        <v>0</v>
      </c>
      <c r="AJ15948" s="835">
        <v>41820</v>
      </c>
      <c r="AK15948" s="831">
        <v>0.78374999999999995</v>
      </c>
    </row>
    <row r="15949" spans="2:37">
      <c r="B15949" s="834" t="str">
        <f t="shared" si="577"/>
        <v>|||</v>
      </c>
      <c r="H15949" s="835">
        <f t="shared" si="578"/>
        <v>31</v>
      </c>
      <c r="AF15949" s="831" t="s">
        <v>11532</v>
      </c>
      <c r="AG15949" s="831" t="s">
        <v>2674</v>
      </c>
      <c r="AH15949" s="831" t="s">
        <v>2698</v>
      </c>
      <c r="AI15949" s="831">
        <v>0</v>
      </c>
      <c r="AJ15949" s="835">
        <v>41820</v>
      </c>
      <c r="AK15949" s="831">
        <v>0.78385000000000005</v>
      </c>
    </row>
    <row r="15950" spans="2:37">
      <c r="B15950" s="834" t="str">
        <f t="shared" si="577"/>
        <v>|||</v>
      </c>
      <c r="H15950" s="835">
        <f t="shared" si="578"/>
        <v>31</v>
      </c>
      <c r="AF15950" s="831" t="s">
        <v>11533</v>
      </c>
      <c r="AG15950" s="831" t="s">
        <v>2674</v>
      </c>
      <c r="AH15950" s="831" t="s">
        <v>560</v>
      </c>
      <c r="AI15950" s="831">
        <v>0</v>
      </c>
      <c r="AJ15950" s="835">
        <v>41820</v>
      </c>
      <c r="AK15950" s="831">
        <v>0.78376666666666672</v>
      </c>
    </row>
    <row r="15951" spans="2:37">
      <c r="B15951" s="834" t="str">
        <f t="shared" si="577"/>
        <v>|||</v>
      </c>
      <c r="H15951" s="835">
        <f t="shared" si="578"/>
        <v>31</v>
      </c>
      <c r="AF15951" s="831" t="s">
        <v>11534</v>
      </c>
      <c r="AG15951" s="831" t="s">
        <v>2674</v>
      </c>
      <c r="AH15951" s="831" t="s">
        <v>559</v>
      </c>
      <c r="AI15951" s="831">
        <v>0</v>
      </c>
      <c r="AJ15951" s="835">
        <v>41820</v>
      </c>
      <c r="AK15951" s="831">
        <v>0.783775</v>
      </c>
    </row>
    <row r="15952" spans="2:37">
      <c r="B15952" s="834" t="str">
        <f t="shared" si="577"/>
        <v>|||</v>
      </c>
      <c r="H15952" s="835">
        <f t="shared" si="578"/>
        <v>31</v>
      </c>
      <c r="AF15952" s="831" t="s">
        <v>11535</v>
      </c>
      <c r="AG15952" s="831" t="s">
        <v>2674</v>
      </c>
      <c r="AH15952" s="831" t="s">
        <v>568</v>
      </c>
      <c r="AI15952" s="831">
        <v>0</v>
      </c>
      <c r="AJ15952" s="835">
        <v>41820</v>
      </c>
      <c r="AK15952" s="831">
        <v>619891357.84230769</v>
      </c>
    </row>
    <row r="15953" spans="2:37">
      <c r="B15953" s="834" t="str">
        <f t="shared" ref="B15953:B16016" si="579">C15953&amp;"|"&amp;D15953&amp;"|"&amp;E15953&amp;"|"&amp;F15953</f>
        <v>|||</v>
      </c>
      <c r="H15953" s="835">
        <f t="shared" ref="H15953:H16016" si="580">EOMONTH(L15953,0)</f>
        <v>31</v>
      </c>
      <c r="AF15953" s="831" t="s">
        <v>11536</v>
      </c>
      <c r="AG15953" s="831" t="s">
        <v>2674</v>
      </c>
      <c r="AH15953" s="831" t="s">
        <v>569</v>
      </c>
      <c r="AI15953" s="831">
        <v>0</v>
      </c>
      <c r="AJ15953" s="835">
        <v>41820</v>
      </c>
      <c r="AK15953" s="831">
        <v>763501602.97330773</v>
      </c>
    </row>
    <row r="15954" spans="2:37">
      <c r="B15954" s="834" t="str">
        <f t="shared" si="579"/>
        <v>|||</v>
      </c>
      <c r="H15954" s="835">
        <f t="shared" si="580"/>
        <v>31</v>
      </c>
      <c r="AF15954" s="831" t="s">
        <v>11537</v>
      </c>
      <c r="AG15954" s="831" t="s">
        <v>2674</v>
      </c>
      <c r="AH15954" s="831" t="s">
        <v>570</v>
      </c>
      <c r="AI15954" s="831">
        <v>0</v>
      </c>
      <c r="AJ15954" s="835">
        <v>41820</v>
      </c>
      <c r="AK15954" s="831">
        <v>120238638.75123075</v>
      </c>
    </row>
    <row r="15955" spans="2:37">
      <c r="B15955" s="834" t="str">
        <f t="shared" si="579"/>
        <v>|||</v>
      </c>
      <c r="H15955" s="835">
        <f t="shared" si="580"/>
        <v>31</v>
      </c>
      <c r="AF15955" s="831" t="s">
        <v>11538</v>
      </c>
      <c r="AG15955" s="831" t="s">
        <v>2674</v>
      </c>
      <c r="AH15955" s="831" t="s">
        <v>571</v>
      </c>
      <c r="AI15955" s="831">
        <v>0</v>
      </c>
      <c r="AJ15955" s="835">
        <v>41820</v>
      </c>
      <c r="AK15955" s="831">
        <v>372900260.97484618</v>
      </c>
    </row>
    <row r="15956" spans="2:37">
      <c r="B15956" s="834" t="str">
        <f t="shared" si="579"/>
        <v>|||</v>
      </c>
      <c r="H15956" s="835">
        <f t="shared" si="580"/>
        <v>31</v>
      </c>
      <c r="AF15956" s="831" t="s">
        <v>11539</v>
      </c>
      <c r="AG15956" s="831" t="s">
        <v>2674</v>
      </c>
      <c r="AH15956" s="831" t="s">
        <v>573</v>
      </c>
      <c r="AI15956" s="831">
        <v>0</v>
      </c>
      <c r="AJ15956" s="835">
        <v>41820</v>
      </c>
      <c r="AK15956" s="831">
        <v>829703301.08042848</v>
      </c>
    </row>
    <row r="15957" spans="2:37">
      <c r="B15957" s="834" t="str">
        <f t="shared" si="579"/>
        <v>|||</v>
      </c>
      <c r="H15957" s="835">
        <f t="shared" si="580"/>
        <v>31</v>
      </c>
      <c r="AF15957" s="831" t="s">
        <v>11540</v>
      </c>
      <c r="AG15957" s="831" t="s">
        <v>2674</v>
      </c>
      <c r="AH15957" s="831" t="s">
        <v>574</v>
      </c>
      <c r="AI15957" s="831">
        <v>0</v>
      </c>
      <c r="AJ15957" s="835">
        <v>41820</v>
      </c>
      <c r="AK15957" s="831">
        <v>674628835.57142854</v>
      </c>
    </row>
    <row r="15958" spans="2:37">
      <c r="B15958" s="834" t="str">
        <f t="shared" si="579"/>
        <v>|||</v>
      </c>
      <c r="H15958" s="835">
        <f t="shared" si="580"/>
        <v>31</v>
      </c>
      <c r="AF15958" s="831" t="s">
        <v>11541</v>
      </c>
      <c r="AG15958" s="831" t="s">
        <v>2674</v>
      </c>
      <c r="AH15958" s="831" t="s">
        <v>575</v>
      </c>
      <c r="AI15958" s="831">
        <v>0</v>
      </c>
      <c r="AJ15958" s="835">
        <v>41820</v>
      </c>
      <c r="AK15958" s="831">
        <v>124242857.13</v>
      </c>
    </row>
    <row r="15959" spans="2:37">
      <c r="B15959" s="834" t="str">
        <f t="shared" si="579"/>
        <v>|||</v>
      </c>
      <c r="H15959" s="835">
        <f t="shared" si="580"/>
        <v>31</v>
      </c>
      <c r="AF15959" s="831" t="s">
        <v>11542</v>
      </c>
      <c r="AG15959" s="831" t="s">
        <v>2674</v>
      </c>
      <c r="AH15959" s="831" t="s">
        <v>576</v>
      </c>
      <c r="AI15959" s="831">
        <v>0</v>
      </c>
      <c r="AJ15959" s="835">
        <v>41820</v>
      </c>
      <c r="AK15959" s="831">
        <v>407269836.23014289</v>
      </c>
    </row>
    <row r="15960" spans="2:37">
      <c r="B15960" s="834" t="str">
        <f t="shared" si="579"/>
        <v>|||</v>
      </c>
      <c r="H15960" s="835">
        <f t="shared" si="580"/>
        <v>31</v>
      </c>
      <c r="AF15960" s="831" t="s">
        <v>11543</v>
      </c>
      <c r="AG15960" s="831" t="s">
        <v>2674</v>
      </c>
      <c r="AH15960" s="831" t="s">
        <v>572</v>
      </c>
      <c r="AI15960" s="831">
        <v>0</v>
      </c>
      <c r="AJ15960" s="835">
        <v>41820</v>
      </c>
      <c r="AK15960" s="831">
        <v>32506327.956000008</v>
      </c>
    </row>
    <row r="15961" spans="2:37">
      <c r="B15961" s="834" t="str">
        <f t="shared" si="579"/>
        <v>|||</v>
      </c>
      <c r="H15961" s="835">
        <f t="shared" si="580"/>
        <v>31</v>
      </c>
      <c r="AF15961" s="831" t="s">
        <v>11544</v>
      </c>
      <c r="AG15961" s="831" t="s">
        <v>2674</v>
      </c>
      <c r="AH15961" s="831" t="s">
        <v>577</v>
      </c>
      <c r="AI15961" s="831">
        <v>0</v>
      </c>
      <c r="AJ15961" s="835">
        <v>41820</v>
      </c>
      <c r="AK15961" s="831">
        <v>153933560.76300001</v>
      </c>
    </row>
    <row r="15962" spans="2:37">
      <c r="B15962" s="834" t="str">
        <f t="shared" si="579"/>
        <v>|||</v>
      </c>
      <c r="H15962" s="835">
        <f t="shared" si="580"/>
        <v>31</v>
      </c>
      <c r="AF15962" s="831" t="s">
        <v>11545</v>
      </c>
      <c r="AG15962" s="831" t="s">
        <v>2674</v>
      </c>
      <c r="AH15962" s="831" t="s">
        <v>3042</v>
      </c>
      <c r="AI15962" s="831">
        <v>0</v>
      </c>
      <c r="AJ15962" s="835">
        <v>41820</v>
      </c>
      <c r="AK15962" s="831">
        <v>-43087678.527000003</v>
      </c>
    </row>
    <row r="15963" spans="2:37">
      <c r="B15963" s="834" t="str">
        <f t="shared" si="579"/>
        <v>|||</v>
      </c>
      <c r="H15963" s="835">
        <f t="shared" si="580"/>
        <v>31</v>
      </c>
      <c r="AF15963" s="831" t="s">
        <v>11546</v>
      </c>
      <c r="AG15963" s="831" t="s">
        <v>2674</v>
      </c>
      <c r="AH15963" s="831" t="s">
        <v>3044</v>
      </c>
      <c r="AI15963" s="831">
        <v>0</v>
      </c>
      <c r="AJ15963" s="835">
        <v>41820</v>
      </c>
      <c r="AK15963" s="831">
        <v>-2538336.8899999997</v>
      </c>
    </row>
    <row r="15964" spans="2:37">
      <c r="B15964" s="834" t="str">
        <f t="shared" si="579"/>
        <v>|||</v>
      </c>
      <c r="H15964" s="835">
        <f t="shared" si="580"/>
        <v>31</v>
      </c>
      <c r="AF15964" s="831" t="s">
        <v>11547</v>
      </c>
      <c r="AG15964" s="831" t="s">
        <v>2674</v>
      </c>
      <c r="AH15964" s="831" t="s">
        <v>580</v>
      </c>
      <c r="AI15964" s="831">
        <v>0</v>
      </c>
      <c r="AJ15964" s="835">
        <v>41820</v>
      </c>
      <c r="AK15964" s="831">
        <v>-71232950.306999996</v>
      </c>
    </row>
    <row r="15965" spans="2:37">
      <c r="B15965" s="834" t="str">
        <f t="shared" si="579"/>
        <v>|||</v>
      </c>
      <c r="H15965" s="835">
        <f t="shared" si="580"/>
        <v>31</v>
      </c>
      <c r="AF15965" s="831" t="s">
        <v>11548</v>
      </c>
      <c r="AG15965" s="831" t="s">
        <v>2674</v>
      </c>
      <c r="AH15965" s="831" t="s">
        <v>581</v>
      </c>
      <c r="AI15965" s="831">
        <v>0</v>
      </c>
      <c r="AJ15965" s="835">
        <v>41820</v>
      </c>
      <c r="AK15965" s="831">
        <v>5389272.8940000003</v>
      </c>
    </row>
    <row r="15966" spans="2:37">
      <c r="B15966" s="834" t="str">
        <f t="shared" si="579"/>
        <v>|||</v>
      </c>
      <c r="H15966" s="835">
        <f t="shared" si="580"/>
        <v>31</v>
      </c>
      <c r="AF15966" s="831" t="s">
        <v>11549</v>
      </c>
      <c r="AG15966" s="831" t="s">
        <v>2674</v>
      </c>
      <c r="AH15966" s="831" t="s">
        <v>105</v>
      </c>
      <c r="AI15966" s="831">
        <v>0</v>
      </c>
      <c r="AJ15966" s="835">
        <v>41820</v>
      </c>
      <c r="AK15966" s="831">
        <v>455536132</v>
      </c>
    </row>
    <row r="15967" spans="2:37">
      <c r="B15967" s="834" t="str">
        <f t="shared" si="579"/>
        <v>|||</v>
      </c>
      <c r="H15967" s="835">
        <f t="shared" si="580"/>
        <v>31</v>
      </c>
      <c r="AF15967" s="831" t="s">
        <v>11550</v>
      </c>
      <c r="AG15967" s="831" t="s">
        <v>2674</v>
      </c>
      <c r="AH15967" s="831" t="s">
        <v>3049</v>
      </c>
      <c r="AI15967" s="831">
        <v>0</v>
      </c>
      <c r="AJ15967" s="835">
        <v>41820</v>
      </c>
      <c r="AK15967" s="831">
        <v>754458364</v>
      </c>
    </row>
    <row r="15968" spans="2:37">
      <c r="B15968" s="834" t="str">
        <f t="shared" si="579"/>
        <v>|||</v>
      </c>
      <c r="H15968" s="835">
        <f t="shared" si="580"/>
        <v>31</v>
      </c>
      <c r="AF15968" s="831" t="s">
        <v>11551</v>
      </c>
      <c r="AG15968" s="831" t="s">
        <v>2674</v>
      </c>
      <c r="AH15968" s="831" t="s">
        <v>103</v>
      </c>
      <c r="AI15968" s="831">
        <v>0</v>
      </c>
      <c r="AJ15968" s="835">
        <v>41820</v>
      </c>
      <c r="AK15968" s="831">
        <v>298922232</v>
      </c>
    </row>
    <row r="15969" spans="2:37">
      <c r="B15969" s="834" t="str">
        <f t="shared" si="579"/>
        <v>|||</v>
      </c>
      <c r="H15969" s="835">
        <f t="shared" si="580"/>
        <v>31</v>
      </c>
      <c r="AF15969" s="831" t="s">
        <v>11552</v>
      </c>
      <c r="AG15969" s="831" t="s">
        <v>2674</v>
      </c>
      <c r="AH15969" s="831" t="s">
        <v>182</v>
      </c>
      <c r="AI15969" s="831">
        <v>0</v>
      </c>
      <c r="AJ15969" s="835">
        <v>41820</v>
      </c>
      <c r="AK15969" s="831">
        <v>71693060</v>
      </c>
    </row>
    <row r="15970" spans="2:37">
      <c r="B15970" s="834" t="str">
        <f t="shared" si="579"/>
        <v>|||</v>
      </c>
      <c r="H15970" s="835">
        <f t="shared" si="580"/>
        <v>31</v>
      </c>
      <c r="AF15970" s="831" t="s">
        <v>11553</v>
      </c>
      <c r="AG15970" s="831" t="s">
        <v>2674</v>
      </c>
      <c r="AH15970" s="831" t="s">
        <v>6600</v>
      </c>
      <c r="AI15970" s="831">
        <v>0</v>
      </c>
      <c r="AJ15970" s="835">
        <v>41820</v>
      </c>
      <c r="AK15970" s="831">
        <v>32506327.956000008</v>
      </c>
    </row>
    <row r="15971" spans="2:37">
      <c r="B15971" s="834" t="str">
        <f t="shared" si="579"/>
        <v>|||</v>
      </c>
      <c r="H15971" s="835">
        <f t="shared" si="580"/>
        <v>31</v>
      </c>
      <c r="AF15971" s="831" t="s">
        <v>11554</v>
      </c>
      <c r="AG15971" s="831" t="s">
        <v>2674</v>
      </c>
      <c r="AH15971" s="831" t="s">
        <v>6602</v>
      </c>
      <c r="AI15971" s="831">
        <v>0</v>
      </c>
      <c r="AJ15971" s="835">
        <v>41820</v>
      </c>
      <c r="AK15971" s="831">
        <v>18626919</v>
      </c>
    </row>
    <row r="15972" spans="2:37">
      <c r="B15972" s="834" t="str">
        <f t="shared" si="579"/>
        <v>|||</v>
      </c>
      <c r="H15972" s="835">
        <f t="shared" si="580"/>
        <v>31</v>
      </c>
      <c r="AF15972" s="831" t="s">
        <v>11555</v>
      </c>
      <c r="AG15972" s="831" t="s">
        <v>2674</v>
      </c>
      <c r="AH15972" s="831" t="s">
        <v>650</v>
      </c>
      <c r="AI15972" s="831">
        <v>0</v>
      </c>
      <c r="AJ15972" s="835">
        <v>41820</v>
      </c>
      <c r="AK15972" s="831">
        <v>250141744.03992307</v>
      </c>
    </row>
    <row r="15973" spans="2:37">
      <c r="B15973" s="834" t="str">
        <f t="shared" si="579"/>
        <v>|||</v>
      </c>
      <c r="H15973" s="835">
        <f t="shared" si="580"/>
        <v>31</v>
      </c>
      <c r="AF15973" s="831" t="s">
        <v>11556</v>
      </c>
      <c r="AG15973" s="831" t="s">
        <v>2674</v>
      </c>
      <c r="AH15973" s="831" t="s">
        <v>655</v>
      </c>
      <c r="AI15973" s="831">
        <v>0</v>
      </c>
      <c r="AJ15973" s="835">
        <v>41820</v>
      </c>
      <c r="AK15973" s="831">
        <v>739333.81</v>
      </c>
    </row>
    <row r="15974" spans="2:37">
      <c r="B15974" s="834" t="str">
        <f t="shared" si="579"/>
        <v>|||</v>
      </c>
      <c r="H15974" s="835">
        <f t="shared" si="580"/>
        <v>31</v>
      </c>
      <c r="AF15974" s="831" t="s">
        <v>11557</v>
      </c>
      <c r="AG15974" s="831" t="s">
        <v>2674</v>
      </c>
      <c r="AH15974" s="831" t="s">
        <v>546</v>
      </c>
      <c r="AI15974" s="831">
        <v>0</v>
      </c>
      <c r="AJ15974" s="835">
        <v>41851</v>
      </c>
      <c r="AK15974" s="831">
        <v>739176022</v>
      </c>
    </row>
    <row r="15975" spans="2:37">
      <c r="B15975" s="834" t="str">
        <f t="shared" si="579"/>
        <v>|||</v>
      </c>
      <c r="H15975" s="835">
        <f t="shared" si="580"/>
        <v>31</v>
      </c>
      <c r="AF15975" s="831" t="s">
        <v>11558</v>
      </c>
      <c r="AG15975" s="831" t="s">
        <v>2674</v>
      </c>
      <c r="AH15975" s="831" t="s">
        <v>370</v>
      </c>
      <c r="AI15975" s="831">
        <v>0</v>
      </c>
      <c r="AJ15975" s="835">
        <v>41851</v>
      </c>
      <c r="AK15975" s="831">
        <v>937279545</v>
      </c>
    </row>
    <row r="15976" spans="2:37">
      <c r="B15976" s="834" t="str">
        <f t="shared" si="579"/>
        <v>|||</v>
      </c>
      <c r="H15976" s="835">
        <f t="shared" si="580"/>
        <v>31</v>
      </c>
      <c r="AF15976" s="831" t="s">
        <v>11559</v>
      </c>
      <c r="AG15976" s="831" t="s">
        <v>2674</v>
      </c>
      <c r="AH15976" s="831" t="s">
        <v>126</v>
      </c>
      <c r="AI15976" s="831">
        <v>0</v>
      </c>
      <c r="AJ15976" s="835">
        <v>41851</v>
      </c>
      <c r="AK15976" s="831">
        <v>138005087</v>
      </c>
    </row>
    <row r="15977" spans="2:37">
      <c r="B15977" s="834" t="str">
        <f t="shared" si="579"/>
        <v>|||</v>
      </c>
      <c r="H15977" s="835">
        <f t="shared" si="580"/>
        <v>31</v>
      </c>
      <c r="AF15977" s="831" t="s">
        <v>11560</v>
      </c>
      <c r="AG15977" s="831" t="s">
        <v>2674</v>
      </c>
      <c r="AH15977" s="831" t="s">
        <v>268</v>
      </c>
      <c r="AI15977" s="831">
        <v>0</v>
      </c>
      <c r="AJ15977" s="835">
        <v>41851</v>
      </c>
      <c r="AK15977" s="831">
        <v>22009267</v>
      </c>
    </row>
    <row r="15978" spans="2:37">
      <c r="B15978" s="834" t="str">
        <f t="shared" si="579"/>
        <v>|||</v>
      </c>
      <c r="H15978" s="835">
        <f t="shared" si="580"/>
        <v>31</v>
      </c>
      <c r="AF15978" s="831" t="s">
        <v>11561</v>
      </c>
      <c r="AG15978" s="831" t="s">
        <v>2674</v>
      </c>
      <c r="AH15978" s="831" t="s">
        <v>547</v>
      </c>
      <c r="AI15978" s="831">
        <v>0</v>
      </c>
      <c r="AJ15978" s="835">
        <v>41851</v>
      </c>
      <c r="AK15978" s="831">
        <v>777719977</v>
      </c>
    </row>
    <row r="15979" spans="2:37">
      <c r="B15979" s="834" t="str">
        <f t="shared" si="579"/>
        <v>|||</v>
      </c>
      <c r="H15979" s="835">
        <f t="shared" si="580"/>
        <v>31</v>
      </c>
      <c r="AF15979" s="831" t="s">
        <v>11562</v>
      </c>
      <c r="AG15979" s="831" t="s">
        <v>2674</v>
      </c>
      <c r="AH15979" s="831" t="s">
        <v>548</v>
      </c>
      <c r="AI15979" s="831">
        <v>0</v>
      </c>
      <c r="AJ15979" s="835">
        <v>41851</v>
      </c>
      <c r="AK15979" s="831">
        <v>117105496</v>
      </c>
    </row>
    <row r="15980" spans="2:37">
      <c r="B15980" s="834" t="str">
        <f t="shared" si="579"/>
        <v>|||</v>
      </c>
      <c r="H15980" s="835">
        <f t="shared" si="580"/>
        <v>31</v>
      </c>
      <c r="AF15980" s="831" t="s">
        <v>11563</v>
      </c>
      <c r="AG15980" s="831" t="s">
        <v>2674</v>
      </c>
      <c r="AH15980" s="831" t="s">
        <v>549</v>
      </c>
      <c r="AI15980" s="831">
        <v>0</v>
      </c>
      <c r="AJ15980" s="835">
        <v>41851</v>
      </c>
      <c r="AK15980" s="831">
        <v>530405930</v>
      </c>
    </row>
    <row r="15981" spans="2:37">
      <c r="B15981" s="834" t="str">
        <f t="shared" si="579"/>
        <v>|||</v>
      </c>
      <c r="H15981" s="835">
        <f t="shared" si="580"/>
        <v>31</v>
      </c>
      <c r="AF15981" s="831" t="s">
        <v>11564</v>
      </c>
      <c r="AG15981" s="831" t="s">
        <v>2674</v>
      </c>
      <c r="AH15981" s="831" t="s">
        <v>192</v>
      </c>
      <c r="AI15981" s="831">
        <v>0</v>
      </c>
      <c r="AJ15981" s="835">
        <v>41851</v>
      </c>
      <c r="AK15981" s="831">
        <v>-11408077</v>
      </c>
    </row>
    <row r="15982" spans="2:37">
      <c r="B15982" s="834" t="str">
        <f t="shared" si="579"/>
        <v>|||</v>
      </c>
      <c r="H15982" s="835">
        <f t="shared" si="580"/>
        <v>31</v>
      </c>
      <c r="AF15982" s="831" t="s">
        <v>11565</v>
      </c>
      <c r="AG15982" s="831" t="s">
        <v>2674</v>
      </c>
      <c r="AH15982" s="831" t="s">
        <v>558</v>
      </c>
      <c r="AI15982" s="831">
        <v>0</v>
      </c>
      <c r="AJ15982" s="835">
        <v>41851</v>
      </c>
      <c r="AK15982" s="831">
        <v>799274458</v>
      </c>
    </row>
    <row r="15983" spans="2:37">
      <c r="B15983" s="834" t="str">
        <f t="shared" si="579"/>
        <v>|||</v>
      </c>
      <c r="H15983" s="835">
        <f t="shared" si="580"/>
        <v>31</v>
      </c>
      <c r="AF15983" s="831" t="s">
        <v>11566</v>
      </c>
      <c r="AG15983" s="831" t="s">
        <v>2674</v>
      </c>
      <c r="AH15983" s="831" t="s">
        <v>65</v>
      </c>
      <c r="AI15983" s="831">
        <v>0</v>
      </c>
      <c r="AJ15983" s="835">
        <v>41851</v>
      </c>
      <c r="AK15983" s="831">
        <v>96150192</v>
      </c>
    </row>
    <row r="15984" spans="2:37">
      <c r="B15984" s="834" t="str">
        <f t="shared" si="579"/>
        <v>|||</v>
      </c>
      <c r="H15984" s="835">
        <f t="shared" si="580"/>
        <v>31</v>
      </c>
      <c r="AF15984" s="831" t="s">
        <v>11567</v>
      </c>
      <c r="AG15984" s="831" t="s">
        <v>2674</v>
      </c>
      <c r="AH15984" s="831" t="s">
        <v>89</v>
      </c>
      <c r="AI15984" s="831">
        <v>0</v>
      </c>
      <c r="AJ15984" s="835">
        <v>41851</v>
      </c>
      <c r="AK15984" s="831">
        <v>157312</v>
      </c>
    </row>
    <row r="15985" spans="2:37">
      <c r="B15985" s="834" t="str">
        <f t="shared" si="579"/>
        <v>|||</v>
      </c>
      <c r="H15985" s="835">
        <f t="shared" si="580"/>
        <v>31</v>
      </c>
      <c r="AF15985" s="831" t="s">
        <v>11568</v>
      </c>
      <c r="AG15985" s="831" t="s">
        <v>2674</v>
      </c>
      <c r="AH15985" s="831" t="s">
        <v>557</v>
      </c>
      <c r="AI15985" s="831">
        <v>0</v>
      </c>
      <c r="AJ15985" s="835">
        <v>41851</v>
      </c>
      <c r="AK15985" s="831">
        <v>177567</v>
      </c>
    </row>
    <row r="15986" spans="2:37">
      <c r="B15986" s="834" t="str">
        <f t="shared" si="579"/>
        <v>|||</v>
      </c>
      <c r="H15986" s="835">
        <f t="shared" si="580"/>
        <v>31</v>
      </c>
      <c r="AF15986" s="831" t="s">
        <v>11569</v>
      </c>
      <c r="AG15986" s="831" t="s">
        <v>2674</v>
      </c>
      <c r="AH15986" s="831" t="s">
        <v>29</v>
      </c>
      <c r="AI15986" s="831">
        <v>0</v>
      </c>
      <c r="AJ15986" s="835">
        <v>41851</v>
      </c>
      <c r="AK15986" s="831">
        <v>1565767.49</v>
      </c>
    </row>
    <row r="15987" spans="2:37">
      <c r="B15987" s="834" t="str">
        <f t="shared" si="579"/>
        <v>|||</v>
      </c>
      <c r="H15987" s="835">
        <f t="shared" si="580"/>
        <v>31</v>
      </c>
      <c r="AF15987" s="831" t="s">
        <v>11570</v>
      </c>
      <c r="AG15987" s="831" t="s">
        <v>2674</v>
      </c>
      <c r="AH15987" s="831" t="s">
        <v>2688</v>
      </c>
      <c r="AI15987" s="831">
        <v>0</v>
      </c>
      <c r="AJ15987" s="835">
        <v>41851</v>
      </c>
      <c r="AK15987" s="831">
        <v>4315667.13</v>
      </c>
    </row>
    <row r="15988" spans="2:37">
      <c r="B15988" s="834" t="str">
        <f t="shared" si="579"/>
        <v>|||</v>
      </c>
      <c r="H15988" s="835">
        <f t="shared" si="580"/>
        <v>31</v>
      </c>
      <c r="AF15988" s="831" t="s">
        <v>11571</v>
      </c>
      <c r="AG15988" s="831" t="s">
        <v>2674</v>
      </c>
      <c r="AH15988" s="831" t="s">
        <v>556</v>
      </c>
      <c r="AI15988" s="831">
        <v>0</v>
      </c>
      <c r="AJ15988" s="835">
        <v>41851</v>
      </c>
      <c r="AK15988" s="831">
        <v>3260165</v>
      </c>
    </row>
    <row r="15989" spans="2:37">
      <c r="B15989" s="834" t="str">
        <f t="shared" si="579"/>
        <v>|||</v>
      </c>
      <c r="H15989" s="835">
        <f t="shared" si="580"/>
        <v>31</v>
      </c>
      <c r="AF15989" s="831" t="s">
        <v>11572</v>
      </c>
      <c r="AG15989" s="831" t="s">
        <v>2674</v>
      </c>
      <c r="AH15989" s="831" t="s">
        <v>555</v>
      </c>
      <c r="AI15989" s="831">
        <v>0</v>
      </c>
      <c r="AJ15989" s="835">
        <v>41851</v>
      </c>
      <c r="AK15989" s="831">
        <v>527670450</v>
      </c>
    </row>
    <row r="15990" spans="2:37">
      <c r="B15990" s="834" t="str">
        <f t="shared" si="579"/>
        <v>|||</v>
      </c>
      <c r="H15990" s="835">
        <f t="shared" si="580"/>
        <v>31</v>
      </c>
      <c r="AF15990" s="831" t="s">
        <v>11573</v>
      </c>
      <c r="AG15990" s="831" t="s">
        <v>2674</v>
      </c>
      <c r="AH15990" s="831" t="s">
        <v>554</v>
      </c>
      <c r="AI15990" s="831">
        <v>0</v>
      </c>
      <c r="AJ15990" s="835">
        <v>41851</v>
      </c>
      <c r="AK15990" s="831">
        <v>540050830</v>
      </c>
    </row>
    <row r="15991" spans="2:37">
      <c r="B15991" s="834" t="str">
        <f t="shared" si="579"/>
        <v>|||</v>
      </c>
      <c r="H15991" s="835">
        <f t="shared" si="580"/>
        <v>31</v>
      </c>
      <c r="AF15991" s="831" t="s">
        <v>11574</v>
      </c>
      <c r="AG15991" s="831" t="s">
        <v>2674</v>
      </c>
      <c r="AH15991" s="831" t="s">
        <v>553</v>
      </c>
      <c r="AI15991" s="831">
        <v>0</v>
      </c>
      <c r="AJ15991" s="835">
        <v>41851</v>
      </c>
      <c r="AK15991" s="831">
        <v>0</v>
      </c>
    </row>
    <row r="15992" spans="2:37">
      <c r="B15992" s="834" t="str">
        <f t="shared" si="579"/>
        <v>|||</v>
      </c>
      <c r="H15992" s="835">
        <f t="shared" si="580"/>
        <v>31</v>
      </c>
      <c r="AF15992" s="831" t="s">
        <v>11575</v>
      </c>
      <c r="AG15992" s="831" t="s">
        <v>2674</v>
      </c>
      <c r="AH15992" s="831" t="s">
        <v>552</v>
      </c>
      <c r="AI15992" s="831">
        <v>0</v>
      </c>
      <c r="AJ15992" s="835">
        <v>41851</v>
      </c>
      <c r="AK15992" s="831">
        <v>0</v>
      </c>
    </row>
    <row r="15993" spans="2:37">
      <c r="B15993" s="834" t="str">
        <f t="shared" si="579"/>
        <v>|||</v>
      </c>
      <c r="H15993" s="835">
        <f t="shared" si="580"/>
        <v>31</v>
      </c>
      <c r="AF15993" s="831" t="s">
        <v>11576</v>
      </c>
      <c r="AG15993" s="831" t="s">
        <v>2674</v>
      </c>
      <c r="AH15993" s="831" t="s">
        <v>551</v>
      </c>
      <c r="AI15993" s="831">
        <v>0</v>
      </c>
      <c r="AJ15993" s="835">
        <v>41851</v>
      </c>
      <c r="AK15993" s="831">
        <v>1101547.72</v>
      </c>
    </row>
    <row r="15994" spans="2:37">
      <c r="B15994" s="834" t="str">
        <f t="shared" si="579"/>
        <v>|||</v>
      </c>
      <c r="H15994" s="835">
        <f t="shared" si="580"/>
        <v>31</v>
      </c>
      <c r="AF15994" s="831" t="s">
        <v>11577</v>
      </c>
      <c r="AG15994" s="831" t="s">
        <v>2674</v>
      </c>
      <c r="AH15994" s="831" t="s">
        <v>550</v>
      </c>
      <c r="AI15994" s="831">
        <v>0</v>
      </c>
      <c r="AJ15994" s="835">
        <v>41851</v>
      </c>
      <c r="AK15994" s="831">
        <v>135362821</v>
      </c>
    </row>
    <row r="15995" spans="2:37">
      <c r="B15995" s="834" t="str">
        <f t="shared" si="579"/>
        <v>|||</v>
      </c>
      <c r="H15995" s="835">
        <f t="shared" si="580"/>
        <v>31</v>
      </c>
      <c r="AF15995" s="831" t="s">
        <v>11578</v>
      </c>
      <c r="AG15995" s="831" t="s">
        <v>2674</v>
      </c>
      <c r="AH15995" s="831" t="s">
        <v>562</v>
      </c>
      <c r="AI15995" s="831">
        <v>0</v>
      </c>
      <c r="AJ15995" s="835">
        <v>41851</v>
      </c>
      <c r="AK15995" s="831">
        <v>0.78364999999999996</v>
      </c>
    </row>
    <row r="15996" spans="2:37">
      <c r="B15996" s="834" t="str">
        <f t="shared" si="579"/>
        <v>|||</v>
      </c>
      <c r="H15996" s="835">
        <f t="shared" si="580"/>
        <v>31</v>
      </c>
      <c r="AF15996" s="831" t="s">
        <v>11579</v>
      </c>
      <c r="AG15996" s="831" t="s">
        <v>2674</v>
      </c>
      <c r="AH15996" s="831" t="s">
        <v>2698</v>
      </c>
      <c r="AI15996" s="831">
        <v>0</v>
      </c>
      <c r="AJ15996" s="835">
        <v>41851</v>
      </c>
      <c r="AK15996" s="831">
        <v>0.78374999999999995</v>
      </c>
    </row>
    <row r="15997" spans="2:37">
      <c r="B15997" s="834" t="str">
        <f t="shared" si="579"/>
        <v>|||</v>
      </c>
      <c r="H15997" s="835">
        <f t="shared" si="580"/>
        <v>31</v>
      </c>
      <c r="AF15997" s="831" t="s">
        <v>11580</v>
      </c>
      <c r="AG15997" s="831" t="s">
        <v>2674</v>
      </c>
      <c r="AH15997" s="831" t="s">
        <v>560</v>
      </c>
      <c r="AI15997" s="831">
        <v>0</v>
      </c>
      <c r="AJ15997" s="835">
        <v>41851</v>
      </c>
      <c r="AK15997" s="831">
        <v>0.78374999999999984</v>
      </c>
    </row>
    <row r="15998" spans="2:37">
      <c r="B15998" s="834" t="str">
        <f t="shared" si="579"/>
        <v>|||</v>
      </c>
      <c r="H15998" s="835">
        <f t="shared" si="580"/>
        <v>31</v>
      </c>
      <c r="AF15998" s="831" t="s">
        <v>11581</v>
      </c>
      <c r="AG15998" s="831" t="s">
        <v>2674</v>
      </c>
      <c r="AH15998" s="831" t="s">
        <v>559</v>
      </c>
      <c r="AI15998" s="831">
        <v>0</v>
      </c>
      <c r="AJ15998" s="835">
        <v>41851</v>
      </c>
      <c r="AK15998" s="831">
        <v>0.78376666666666661</v>
      </c>
    </row>
    <row r="15999" spans="2:37">
      <c r="B15999" s="834" t="str">
        <f t="shared" si="579"/>
        <v>|||</v>
      </c>
      <c r="H15999" s="835">
        <f t="shared" si="580"/>
        <v>31</v>
      </c>
      <c r="AF15999" s="831" t="s">
        <v>11582</v>
      </c>
      <c r="AG15999" s="831" t="s">
        <v>2674</v>
      </c>
      <c r="AH15999" s="831" t="s">
        <v>568</v>
      </c>
      <c r="AI15999" s="831">
        <v>0</v>
      </c>
      <c r="AJ15999" s="835">
        <v>41851</v>
      </c>
      <c r="AK15999" s="831">
        <v>637151141.61153841</v>
      </c>
    </row>
    <row r="16000" spans="2:37">
      <c r="B16000" s="834" t="str">
        <f t="shared" si="579"/>
        <v>|||</v>
      </c>
      <c r="H16000" s="835">
        <f t="shared" si="580"/>
        <v>31</v>
      </c>
      <c r="AF16000" s="831" t="s">
        <v>11583</v>
      </c>
      <c r="AG16000" s="831" t="s">
        <v>2674</v>
      </c>
      <c r="AH16000" s="831" t="s">
        <v>569</v>
      </c>
      <c r="AI16000" s="831">
        <v>0</v>
      </c>
      <c r="AJ16000" s="835">
        <v>41851</v>
      </c>
      <c r="AK16000" s="831">
        <v>786284543.74253845</v>
      </c>
    </row>
    <row r="16001" spans="2:37">
      <c r="B16001" s="834" t="str">
        <f t="shared" si="579"/>
        <v>|||</v>
      </c>
      <c r="H16001" s="835">
        <f t="shared" si="580"/>
        <v>31</v>
      </c>
      <c r="AF16001" s="831" t="s">
        <v>11584</v>
      </c>
      <c r="AG16001" s="831" t="s">
        <v>2674</v>
      </c>
      <c r="AH16001" s="831" t="s">
        <v>570</v>
      </c>
      <c r="AI16001" s="831">
        <v>0</v>
      </c>
      <c r="AJ16001" s="835">
        <v>41851</v>
      </c>
      <c r="AK16001" s="831">
        <v>122542079.44353844</v>
      </c>
    </row>
    <row r="16002" spans="2:37">
      <c r="B16002" s="834" t="str">
        <f t="shared" si="579"/>
        <v>|||</v>
      </c>
      <c r="H16002" s="835">
        <f t="shared" si="580"/>
        <v>31</v>
      </c>
      <c r="AF16002" s="831" t="s">
        <v>11585</v>
      </c>
      <c r="AG16002" s="831" t="s">
        <v>2674</v>
      </c>
      <c r="AH16002" s="831" t="s">
        <v>571</v>
      </c>
      <c r="AI16002" s="831">
        <v>0</v>
      </c>
      <c r="AJ16002" s="835">
        <v>41851</v>
      </c>
      <c r="AK16002" s="831">
        <v>385003742.66715389</v>
      </c>
    </row>
    <row r="16003" spans="2:37">
      <c r="B16003" s="834" t="str">
        <f t="shared" si="579"/>
        <v>|||</v>
      </c>
      <c r="H16003" s="835">
        <f t="shared" si="580"/>
        <v>31</v>
      </c>
      <c r="AF16003" s="831" t="s">
        <v>11586</v>
      </c>
      <c r="AG16003" s="831" t="s">
        <v>2674</v>
      </c>
      <c r="AH16003" s="831" t="s">
        <v>573</v>
      </c>
      <c r="AI16003" s="831">
        <v>0</v>
      </c>
      <c r="AJ16003" s="835">
        <v>41851</v>
      </c>
      <c r="AK16003" s="831">
        <v>843150331.57037497</v>
      </c>
    </row>
    <row r="16004" spans="2:37">
      <c r="B16004" s="834" t="str">
        <f t="shared" si="579"/>
        <v>|||</v>
      </c>
      <c r="H16004" s="835">
        <f t="shared" si="580"/>
        <v>31</v>
      </c>
      <c r="AF16004" s="831" t="s">
        <v>11587</v>
      </c>
      <c r="AG16004" s="831" t="s">
        <v>2674</v>
      </c>
      <c r="AH16004" s="831" t="s">
        <v>574</v>
      </c>
      <c r="AI16004" s="831">
        <v>0</v>
      </c>
      <c r="AJ16004" s="835">
        <v>41851</v>
      </c>
      <c r="AK16004" s="831">
        <v>682697233.875</v>
      </c>
    </row>
    <row r="16005" spans="2:37">
      <c r="B16005" s="834" t="str">
        <f t="shared" si="579"/>
        <v>|||</v>
      </c>
      <c r="H16005" s="835">
        <f t="shared" si="580"/>
        <v>31</v>
      </c>
      <c r="AF16005" s="831" t="s">
        <v>11588</v>
      </c>
      <c r="AG16005" s="831" t="s">
        <v>2674</v>
      </c>
      <c r="AH16005" s="831" t="s">
        <v>575</v>
      </c>
      <c r="AI16005" s="831">
        <v>0</v>
      </c>
      <c r="AJ16005" s="835">
        <v>41851</v>
      </c>
      <c r="AK16005" s="831">
        <v>125963135.86375</v>
      </c>
    </row>
    <row r="16006" spans="2:37">
      <c r="B16006" s="834" t="str">
        <f t="shared" si="579"/>
        <v>|||</v>
      </c>
      <c r="H16006" s="835">
        <f t="shared" si="580"/>
        <v>31</v>
      </c>
      <c r="AF16006" s="831" t="s">
        <v>11589</v>
      </c>
      <c r="AG16006" s="831" t="s">
        <v>2674</v>
      </c>
      <c r="AH16006" s="831" t="s">
        <v>576</v>
      </c>
      <c r="AI16006" s="831">
        <v>0</v>
      </c>
      <c r="AJ16006" s="835">
        <v>41851</v>
      </c>
      <c r="AK16006" s="831">
        <v>415372081.57637501</v>
      </c>
    </row>
    <row r="16007" spans="2:37">
      <c r="B16007" s="834" t="str">
        <f t="shared" si="579"/>
        <v>|||</v>
      </c>
      <c r="H16007" s="835">
        <f t="shared" si="580"/>
        <v>31</v>
      </c>
      <c r="AF16007" s="831" t="s">
        <v>11590</v>
      </c>
      <c r="AG16007" s="831" t="s">
        <v>2674</v>
      </c>
      <c r="AH16007" s="831" t="s">
        <v>572</v>
      </c>
      <c r="AI16007" s="831">
        <v>0</v>
      </c>
      <c r="AJ16007" s="835">
        <v>41851</v>
      </c>
      <c r="AK16007" s="831">
        <v>33061468.956000008</v>
      </c>
    </row>
    <row r="16008" spans="2:37">
      <c r="B16008" s="834" t="str">
        <f t="shared" si="579"/>
        <v>|||</v>
      </c>
      <c r="H16008" s="835">
        <f t="shared" si="580"/>
        <v>31</v>
      </c>
      <c r="AF16008" s="831" t="s">
        <v>11591</v>
      </c>
      <c r="AG16008" s="831" t="s">
        <v>2674</v>
      </c>
      <c r="AH16008" s="831" t="s">
        <v>577</v>
      </c>
      <c r="AI16008" s="831">
        <v>0</v>
      </c>
      <c r="AJ16008" s="835">
        <v>41851</v>
      </c>
      <c r="AK16008" s="831">
        <v>157027827.76300001</v>
      </c>
    </row>
    <row r="16009" spans="2:37">
      <c r="B16009" s="834" t="str">
        <f t="shared" si="579"/>
        <v>|||</v>
      </c>
      <c r="H16009" s="835">
        <f t="shared" si="580"/>
        <v>31</v>
      </c>
      <c r="AF16009" s="831" t="s">
        <v>11592</v>
      </c>
      <c r="AG16009" s="831" t="s">
        <v>2674</v>
      </c>
      <c r="AH16009" s="831" t="s">
        <v>3042</v>
      </c>
      <c r="AI16009" s="831">
        <v>0</v>
      </c>
      <c r="AJ16009" s="835">
        <v>41851</v>
      </c>
      <c r="AK16009" s="831">
        <v>-44607617.527000003</v>
      </c>
    </row>
    <row r="16010" spans="2:37">
      <c r="B16010" s="834" t="str">
        <f t="shared" si="579"/>
        <v>|||</v>
      </c>
      <c r="H16010" s="835">
        <f t="shared" si="580"/>
        <v>31</v>
      </c>
      <c r="AF16010" s="831" t="s">
        <v>11593</v>
      </c>
      <c r="AG16010" s="831" t="s">
        <v>2674</v>
      </c>
      <c r="AH16010" s="831" t="s">
        <v>3044</v>
      </c>
      <c r="AI16010" s="831">
        <v>0</v>
      </c>
      <c r="AJ16010" s="835">
        <v>41851</v>
      </c>
      <c r="AK16010" s="831">
        <v>-2462838.8899999997</v>
      </c>
    </row>
    <row r="16011" spans="2:37">
      <c r="B16011" s="834" t="str">
        <f t="shared" si="579"/>
        <v>|||</v>
      </c>
      <c r="H16011" s="835">
        <f t="shared" si="580"/>
        <v>31</v>
      </c>
      <c r="AF16011" s="831" t="s">
        <v>11594</v>
      </c>
      <c r="AG16011" s="831" t="s">
        <v>2674</v>
      </c>
      <c r="AH16011" s="831" t="s">
        <v>580</v>
      </c>
      <c r="AI16011" s="831">
        <v>0</v>
      </c>
      <c r="AJ16011" s="835">
        <v>41851</v>
      </c>
      <c r="AK16011" s="831">
        <v>-72554848.306999996</v>
      </c>
    </row>
    <row r="16012" spans="2:37">
      <c r="B16012" s="834" t="str">
        <f t="shared" si="579"/>
        <v>|||</v>
      </c>
      <c r="H16012" s="835">
        <f t="shared" si="580"/>
        <v>31</v>
      </c>
      <c r="AF16012" s="831" t="s">
        <v>11595</v>
      </c>
      <c r="AG16012" s="831" t="s">
        <v>2674</v>
      </c>
      <c r="AH16012" s="831" t="s">
        <v>581</v>
      </c>
      <c r="AI16012" s="831">
        <v>0</v>
      </c>
      <c r="AJ16012" s="835">
        <v>41851</v>
      </c>
      <c r="AK16012" s="831">
        <v>6023686.8940000003</v>
      </c>
    </row>
    <row r="16013" spans="2:37">
      <c r="B16013" s="834" t="str">
        <f t="shared" si="579"/>
        <v>|||</v>
      </c>
      <c r="H16013" s="835">
        <f t="shared" si="580"/>
        <v>31</v>
      </c>
      <c r="AF16013" s="831" t="s">
        <v>11596</v>
      </c>
      <c r="AG16013" s="831" t="s">
        <v>2674</v>
      </c>
      <c r="AH16013" s="831" t="s">
        <v>105</v>
      </c>
      <c r="AI16013" s="831">
        <v>0</v>
      </c>
      <c r="AJ16013" s="835">
        <v>41851</v>
      </c>
      <c r="AK16013" s="831">
        <v>472087799</v>
      </c>
    </row>
    <row r="16014" spans="2:37">
      <c r="B16014" s="834" t="str">
        <f t="shared" si="579"/>
        <v>|||</v>
      </c>
      <c r="H16014" s="835">
        <f t="shared" si="580"/>
        <v>31</v>
      </c>
      <c r="AF16014" s="831" t="s">
        <v>11597</v>
      </c>
      <c r="AG16014" s="831" t="s">
        <v>2674</v>
      </c>
      <c r="AH16014" s="831" t="s">
        <v>3049</v>
      </c>
      <c r="AI16014" s="831">
        <v>0</v>
      </c>
      <c r="AJ16014" s="835">
        <v>41851</v>
      </c>
      <c r="AK16014" s="831">
        <v>778154132</v>
      </c>
    </row>
    <row r="16015" spans="2:37">
      <c r="B16015" s="834" t="str">
        <f t="shared" si="579"/>
        <v>|||</v>
      </c>
      <c r="H16015" s="835">
        <f t="shared" si="580"/>
        <v>31</v>
      </c>
      <c r="AF16015" s="831" t="s">
        <v>11598</v>
      </c>
      <c r="AG16015" s="831" t="s">
        <v>2674</v>
      </c>
      <c r="AH16015" s="831" t="s">
        <v>103</v>
      </c>
      <c r="AI16015" s="831">
        <v>0</v>
      </c>
      <c r="AJ16015" s="835">
        <v>41851</v>
      </c>
      <c r="AK16015" s="831">
        <v>306066333</v>
      </c>
    </row>
    <row r="16016" spans="2:37">
      <c r="B16016" s="834" t="str">
        <f t="shared" si="579"/>
        <v>|||</v>
      </c>
      <c r="H16016" s="835">
        <f t="shared" si="580"/>
        <v>31</v>
      </c>
      <c r="AF16016" s="831" t="s">
        <v>11599</v>
      </c>
      <c r="AG16016" s="831" t="s">
        <v>2674</v>
      </c>
      <c r="AH16016" s="831" t="s">
        <v>182</v>
      </c>
      <c r="AI16016" s="831">
        <v>0</v>
      </c>
      <c r="AJ16016" s="835">
        <v>41851</v>
      </c>
      <c r="AK16016" s="831">
        <v>72589813.714285716</v>
      </c>
    </row>
    <row r="16017" spans="2:37">
      <c r="B16017" s="834" t="str">
        <f t="shared" ref="B16017:B16080" si="581">C16017&amp;"|"&amp;D16017&amp;"|"&amp;E16017&amp;"|"&amp;F16017</f>
        <v>|||</v>
      </c>
      <c r="H16017" s="835">
        <f t="shared" ref="H16017:H16080" si="582">EOMONTH(L16017,0)</f>
        <v>31</v>
      </c>
      <c r="AF16017" s="831" t="s">
        <v>11600</v>
      </c>
      <c r="AG16017" s="831" t="s">
        <v>2674</v>
      </c>
      <c r="AH16017" s="831" t="s">
        <v>6600</v>
      </c>
      <c r="AI16017" s="831">
        <v>0</v>
      </c>
      <c r="AJ16017" s="835">
        <v>41851</v>
      </c>
      <c r="AK16017" s="831">
        <v>33061468.956000008</v>
      </c>
    </row>
    <row r="16018" spans="2:37">
      <c r="B16018" s="834" t="str">
        <f t="shared" si="581"/>
        <v>|||</v>
      </c>
      <c r="H16018" s="835">
        <f t="shared" si="582"/>
        <v>31</v>
      </c>
      <c r="AF16018" s="831" t="s">
        <v>11601</v>
      </c>
      <c r="AG16018" s="831" t="s">
        <v>2674</v>
      </c>
      <c r="AH16018" s="831" t="s">
        <v>6602</v>
      </c>
      <c r="AI16018" s="831">
        <v>0</v>
      </c>
      <c r="AJ16018" s="835">
        <v>41851</v>
      </c>
      <c r="AK16018" s="831">
        <v>22009267</v>
      </c>
    </row>
    <row r="16019" spans="2:37">
      <c r="B16019" s="834" t="str">
        <f t="shared" si="581"/>
        <v>|||</v>
      </c>
      <c r="H16019" s="835">
        <f t="shared" si="582"/>
        <v>31</v>
      </c>
      <c r="AF16019" s="831" t="s">
        <v>11602</v>
      </c>
      <c r="AG16019" s="831" t="s">
        <v>2674</v>
      </c>
      <c r="AH16019" s="831" t="s">
        <v>650</v>
      </c>
      <c r="AI16019" s="831">
        <v>0</v>
      </c>
      <c r="AJ16019" s="835">
        <v>41851</v>
      </c>
      <c r="AK16019" s="831">
        <v>258051740.34761539</v>
      </c>
    </row>
    <row r="16020" spans="2:37">
      <c r="B16020" s="834" t="str">
        <f t="shared" si="581"/>
        <v>|||</v>
      </c>
      <c r="H16020" s="835">
        <f t="shared" si="582"/>
        <v>31</v>
      </c>
      <c r="AF16020" s="831" t="s">
        <v>11603</v>
      </c>
      <c r="AG16020" s="831" t="s">
        <v>2674</v>
      </c>
      <c r="AH16020" s="831" t="s">
        <v>655</v>
      </c>
      <c r="AI16020" s="831">
        <v>0</v>
      </c>
      <c r="AJ16020" s="835">
        <v>41851</v>
      </c>
      <c r="AK16020" s="831">
        <v>953974.79</v>
      </c>
    </row>
    <row r="16021" spans="2:37">
      <c r="B16021" s="834" t="str">
        <f t="shared" si="581"/>
        <v>|||</v>
      </c>
      <c r="H16021" s="835">
        <f t="shared" si="582"/>
        <v>31</v>
      </c>
      <c r="AF16021" s="831" t="s">
        <v>11604</v>
      </c>
      <c r="AG16021" s="831" t="s">
        <v>2674</v>
      </c>
      <c r="AH16021" s="831" t="s">
        <v>546</v>
      </c>
      <c r="AI16021" s="831">
        <v>0</v>
      </c>
      <c r="AJ16021" s="835">
        <v>41882</v>
      </c>
      <c r="AK16021" s="831">
        <v>752496052</v>
      </c>
    </row>
    <row r="16022" spans="2:37">
      <c r="B16022" s="834" t="str">
        <f t="shared" si="581"/>
        <v>|||</v>
      </c>
      <c r="H16022" s="835">
        <f t="shared" si="582"/>
        <v>31</v>
      </c>
      <c r="AF16022" s="831" t="s">
        <v>11605</v>
      </c>
      <c r="AG16022" s="831" t="s">
        <v>2674</v>
      </c>
      <c r="AH16022" s="831" t="s">
        <v>370</v>
      </c>
      <c r="AI16022" s="831">
        <v>0</v>
      </c>
      <c r="AJ16022" s="835">
        <v>41882</v>
      </c>
      <c r="AK16022" s="831">
        <v>955327873</v>
      </c>
    </row>
    <row r="16023" spans="2:37">
      <c r="B16023" s="834" t="str">
        <f t="shared" si="581"/>
        <v>|||</v>
      </c>
      <c r="H16023" s="835">
        <f t="shared" si="582"/>
        <v>31</v>
      </c>
      <c r="AF16023" s="831" t="s">
        <v>11606</v>
      </c>
      <c r="AG16023" s="831" t="s">
        <v>2674</v>
      </c>
      <c r="AH16023" s="831" t="s">
        <v>126</v>
      </c>
      <c r="AI16023" s="831">
        <v>0</v>
      </c>
      <c r="AJ16023" s="835">
        <v>41882</v>
      </c>
      <c r="AK16023" s="831">
        <v>141824046.03</v>
      </c>
    </row>
    <row r="16024" spans="2:37">
      <c r="B16024" s="834" t="str">
        <f t="shared" si="581"/>
        <v>|||</v>
      </c>
      <c r="H16024" s="835">
        <f t="shared" si="582"/>
        <v>31</v>
      </c>
      <c r="AF16024" s="831" t="s">
        <v>11607</v>
      </c>
      <c r="AG16024" s="831" t="s">
        <v>2674</v>
      </c>
      <c r="AH16024" s="831" t="s">
        <v>268</v>
      </c>
      <c r="AI16024" s="831">
        <v>0</v>
      </c>
      <c r="AJ16024" s="835">
        <v>41882</v>
      </c>
      <c r="AK16024" s="831">
        <v>25500774.76800001</v>
      </c>
    </row>
    <row r="16025" spans="2:37">
      <c r="B16025" s="834" t="str">
        <f t="shared" si="581"/>
        <v>|||</v>
      </c>
      <c r="H16025" s="835">
        <f t="shared" si="582"/>
        <v>31</v>
      </c>
      <c r="AF16025" s="831" t="s">
        <v>11608</v>
      </c>
      <c r="AG16025" s="831" t="s">
        <v>2674</v>
      </c>
      <c r="AH16025" s="831" t="s">
        <v>547</v>
      </c>
      <c r="AI16025" s="831">
        <v>0</v>
      </c>
      <c r="AJ16025" s="835">
        <v>41882</v>
      </c>
      <c r="AK16025" s="831">
        <v>777719977</v>
      </c>
    </row>
    <row r="16026" spans="2:37">
      <c r="B16026" s="834" t="str">
        <f t="shared" si="581"/>
        <v>|||</v>
      </c>
      <c r="H16026" s="835">
        <f t="shared" si="582"/>
        <v>31</v>
      </c>
      <c r="AF16026" s="831" t="s">
        <v>11609</v>
      </c>
      <c r="AG16026" s="831" t="s">
        <v>2674</v>
      </c>
      <c r="AH16026" s="831" t="s">
        <v>548</v>
      </c>
      <c r="AI16026" s="831">
        <v>0</v>
      </c>
      <c r="AJ16026" s="835">
        <v>41882</v>
      </c>
      <c r="AK16026" s="831">
        <v>117105496</v>
      </c>
    </row>
    <row r="16027" spans="2:37">
      <c r="B16027" s="834" t="str">
        <f t="shared" si="581"/>
        <v>|||</v>
      </c>
      <c r="H16027" s="835">
        <f t="shared" si="582"/>
        <v>31</v>
      </c>
      <c r="AF16027" s="831" t="s">
        <v>11610</v>
      </c>
      <c r="AG16027" s="831" t="s">
        <v>2674</v>
      </c>
      <c r="AH16027" s="831" t="s">
        <v>549</v>
      </c>
      <c r="AI16027" s="831">
        <v>0</v>
      </c>
      <c r="AJ16027" s="835">
        <v>41882</v>
      </c>
      <c r="AK16027" s="831">
        <v>548671343</v>
      </c>
    </row>
    <row r="16028" spans="2:37">
      <c r="B16028" s="834" t="str">
        <f t="shared" si="581"/>
        <v>|||</v>
      </c>
      <c r="H16028" s="835">
        <f t="shared" si="582"/>
        <v>31</v>
      </c>
      <c r="AF16028" s="831" t="s">
        <v>11611</v>
      </c>
      <c r="AG16028" s="831" t="s">
        <v>2674</v>
      </c>
      <c r="AH16028" s="831" t="s">
        <v>192</v>
      </c>
      <c r="AI16028" s="831">
        <v>0</v>
      </c>
      <c r="AJ16028" s="835">
        <v>41882</v>
      </c>
      <c r="AK16028" s="831">
        <v>-11209860</v>
      </c>
    </row>
    <row r="16029" spans="2:37">
      <c r="B16029" s="834" t="str">
        <f t="shared" si="581"/>
        <v>|||</v>
      </c>
      <c r="H16029" s="835">
        <f t="shared" si="582"/>
        <v>31</v>
      </c>
      <c r="AF16029" s="831" t="s">
        <v>11612</v>
      </c>
      <c r="AG16029" s="831" t="s">
        <v>2674</v>
      </c>
      <c r="AH16029" s="831" t="s">
        <v>558</v>
      </c>
      <c r="AI16029" s="831">
        <v>0</v>
      </c>
      <c r="AJ16029" s="835">
        <v>41882</v>
      </c>
      <c r="AK16029" s="831">
        <v>813503827.41700006</v>
      </c>
    </row>
    <row r="16030" spans="2:37">
      <c r="B16030" s="834" t="str">
        <f t="shared" si="581"/>
        <v>|||</v>
      </c>
      <c r="H16030" s="835">
        <f t="shared" si="582"/>
        <v>31</v>
      </c>
      <c r="AF16030" s="831" t="s">
        <v>11613</v>
      </c>
      <c r="AG16030" s="831" t="s">
        <v>2674</v>
      </c>
      <c r="AH16030" s="831" t="s">
        <v>65</v>
      </c>
      <c r="AI16030" s="831">
        <v>0</v>
      </c>
      <c r="AJ16030" s="835">
        <v>41882</v>
      </c>
      <c r="AK16030" s="831">
        <v>110886310.662</v>
      </c>
    </row>
    <row r="16031" spans="2:37">
      <c r="B16031" s="834" t="str">
        <f t="shared" si="581"/>
        <v>|||</v>
      </c>
      <c r="H16031" s="835">
        <f t="shared" si="582"/>
        <v>31</v>
      </c>
      <c r="AF16031" s="831" t="s">
        <v>11614</v>
      </c>
      <c r="AG16031" s="831" t="s">
        <v>2674</v>
      </c>
      <c r="AH16031" s="831" t="s">
        <v>89</v>
      </c>
      <c r="AI16031" s="831">
        <v>0</v>
      </c>
      <c r="AJ16031" s="835">
        <v>41882</v>
      </c>
      <c r="AK16031" s="831">
        <v>158540</v>
      </c>
    </row>
    <row r="16032" spans="2:37">
      <c r="B16032" s="834" t="str">
        <f t="shared" si="581"/>
        <v>|||</v>
      </c>
      <c r="H16032" s="835">
        <f t="shared" si="582"/>
        <v>31</v>
      </c>
      <c r="AF16032" s="831" t="s">
        <v>11615</v>
      </c>
      <c r="AG16032" s="831" t="s">
        <v>2674</v>
      </c>
      <c r="AH16032" s="831" t="s">
        <v>557</v>
      </c>
      <c r="AI16032" s="831">
        <v>0</v>
      </c>
      <c r="AJ16032" s="835">
        <v>41882</v>
      </c>
      <c r="AK16032" s="831">
        <v>176987</v>
      </c>
    </row>
    <row r="16033" spans="2:37">
      <c r="B16033" s="834" t="str">
        <f t="shared" si="581"/>
        <v>|||</v>
      </c>
      <c r="H16033" s="835">
        <f t="shared" si="582"/>
        <v>31</v>
      </c>
      <c r="AF16033" s="831" t="s">
        <v>11616</v>
      </c>
      <c r="AG16033" s="831" t="s">
        <v>2674</v>
      </c>
      <c r="AH16033" s="831" t="s">
        <v>29</v>
      </c>
      <c r="AI16033" s="831">
        <v>0</v>
      </c>
      <c r="AJ16033" s="835">
        <v>41882</v>
      </c>
      <c r="AK16033" s="831">
        <v>1746361.094</v>
      </c>
    </row>
    <row r="16034" spans="2:37">
      <c r="B16034" s="834" t="str">
        <f t="shared" si="581"/>
        <v>|||</v>
      </c>
      <c r="H16034" s="835">
        <f t="shared" si="582"/>
        <v>31</v>
      </c>
      <c r="AF16034" s="831" t="s">
        <v>11617</v>
      </c>
      <c r="AG16034" s="831" t="s">
        <v>2674</v>
      </c>
      <c r="AH16034" s="831" t="s">
        <v>2688</v>
      </c>
      <c r="AI16034" s="831">
        <v>0</v>
      </c>
      <c r="AJ16034" s="835">
        <v>41882</v>
      </c>
      <c r="AK16034" s="831">
        <v>4781420.7300000004</v>
      </c>
    </row>
    <row r="16035" spans="2:37">
      <c r="B16035" s="834" t="str">
        <f t="shared" si="581"/>
        <v>|||</v>
      </c>
      <c r="H16035" s="835">
        <f t="shared" si="582"/>
        <v>31</v>
      </c>
      <c r="AF16035" s="831" t="s">
        <v>11618</v>
      </c>
      <c r="AG16035" s="831" t="s">
        <v>2674</v>
      </c>
      <c r="AH16035" s="831" t="s">
        <v>556</v>
      </c>
      <c r="AI16035" s="831">
        <v>0</v>
      </c>
      <c r="AJ16035" s="835">
        <v>41882</v>
      </c>
      <c r="AK16035" s="831">
        <v>4890559</v>
      </c>
    </row>
    <row r="16036" spans="2:37">
      <c r="B16036" s="834" t="str">
        <f t="shared" si="581"/>
        <v>|||</v>
      </c>
      <c r="H16036" s="835">
        <f t="shared" si="582"/>
        <v>31</v>
      </c>
      <c r="AF16036" s="831" t="s">
        <v>11619</v>
      </c>
      <c r="AG16036" s="831" t="s">
        <v>2674</v>
      </c>
      <c r="AH16036" s="831" t="s">
        <v>555</v>
      </c>
      <c r="AI16036" s="831">
        <v>0</v>
      </c>
      <c r="AJ16036" s="835">
        <v>41882</v>
      </c>
      <c r="AK16036" s="831">
        <v>533401131</v>
      </c>
    </row>
    <row r="16037" spans="2:37">
      <c r="B16037" s="834" t="str">
        <f t="shared" si="581"/>
        <v>|||</v>
      </c>
      <c r="H16037" s="835">
        <f t="shared" si="582"/>
        <v>31</v>
      </c>
      <c r="AF16037" s="831" t="s">
        <v>11620</v>
      </c>
      <c r="AG16037" s="831" t="s">
        <v>2674</v>
      </c>
      <c r="AH16037" s="831" t="s">
        <v>554</v>
      </c>
      <c r="AI16037" s="831">
        <v>0</v>
      </c>
      <c r="AJ16037" s="835">
        <v>41882</v>
      </c>
      <c r="AK16037" s="831">
        <v>543423580</v>
      </c>
    </row>
    <row r="16038" spans="2:37">
      <c r="B16038" s="834" t="str">
        <f t="shared" si="581"/>
        <v>|||</v>
      </c>
      <c r="H16038" s="835">
        <f t="shared" si="582"/>
        <v>31</v>
      </c>
      <c r="AF16038" s="831" t="s">
        <v>11621</v>
      </c>
      <c r="AG16038" s="831" t="s">
        <v>2674</v>
      </c>
      <c r="AH16038" s="831" t="s">
        <v>553</v>
      </c>
      <c r="AI16038" s="831">
        <v>0</v>
      </c>
      <c r="AJ16038" s="835">
        <v>41882</v>
      </c>
      <c r="AK16038" s="831">
        <v>0</v>
      </c>
    </row>
    <row r="16039" spans="2:37">
      <c r="B16039" s="834" t="str">
        <f t="shared" si="581"/>
        <v>|||</v>
      </c>
      <c r="H16039" s="835">
        <f t="shared" si="582"/>
        <v>31</v>
      </c>
      <c r="AF16039" s="831" t="s">
        <v>11622</v>
      </c>
      <c r="AG16039" s="831" t="s">
        <v>2674</v>
      </c>
      <c r="AH16039" s="831" t="s">
        <v>552</v>
      </c>
      <c r="AI16039" s="831">
        <v>0</v>
      </c>
      <c r="AJ16039" s="835">
        <v>41882</v>
      </c>
      <c r="AK16039" s="831">
        <v>0</v>
      </c>
    </row>
    <row r="16040" spans="2:37">
      <c r="B16040" s="834" t="str">
        <f t="shared" si="581"/>
        <v>|||</v>
      </c>
      <c r="H16040" s="835">
        <f t="shared" si="582"/>
        <v>31</v>
      </c>
      <c r="AF16040" s="831" t="s">
        <v>11623</v>
      </c>
      <c r="AG16040" s="831" t="s">
        <v>2674</v>
      </c>
      <c r="AH16040" s="831" t="s">
        <v>551</v>
      </c>
      <c r="AI16040" s="831">
        <v>0</v>
      </c>
      <c r="AJ16040" s="835">
        <v>41882</v>
      </c>
      <c r="AK16040" s="831">
        <v>1392541.4989999998</v>
      </c>
    </row>
    <row r="16041" spans="2:37">
      <c r="B16041" s="834" t="str">
        <f t="shared" si="581"/>
        <v>|||</v>
      </c>
      <c r="H16041" s="835">
        <f t="shared" si="582"/>
        <v>31</v>
      </c>
      <c r="AF16041" s="831" t="s">
        <v>11624</v>
      </c>
      <c r="AG16041" s="831" t="s">
        <v>2674</v>
      </c>
      <c r="AH16041" s="831" t="s">
        <v>550</v>
      </c>
      <c r="AI16041" s="831">
        <v>0</v>
      </c>
      <c r="AJ16041" s="835">
        <v>41882</v>
      </c>
      <c r="AK16041" s="831">
        <v>138005087</v>
      </c>
    </row>
    <row r="16042" spans="2:37">
      <c r="B16042" s="834" t="str">
        <f t="shared" si="581"/>
        <v>|||</v>
      </c>
      <c r="H16042" s="835">
        <f t="shared" si="582"/>
        <v>31</v>
      </c>
      <c r="AF16042" s="831" t="s">
        <v>11625</v>
      </c>
      <c r="AG16042" s="831" t="s">
        <v>2674</v>
      </c>
      <c r="AH16042" s="831" t="s">
        <v>562</v>
      </c>
      <c r="AI16042" s="831">
        <v>0</v>
      </c>
      <c r="AJ16042" s="835">
        <v>41882</v>
      </c>
      <c r="AK16042" s="831">
        <v>0.7833</v>
      </c>
    </row>
    <row r="16043" spans="2:37">
      <c r="B16043" s="834" t="str">
        <f t="shared" si="581"/>
        <v>|||</v>
      </c>
      <c r="H16043" s="835">
        <f t="shared" si="582"/>
        <v>31</v>
      </c>
      <c r="AF16043" s="831" t="s">
        <v>11626</v>
      </c>
      <c r="AG16043" s="831" t="s">
        <v>2674</v>
      </c>
      <c r="AH16043" s="831" t="s">
        <v>2698</v>
      </c>
      <c r="AI16043" s="831">
        <v>0</v>
      </c>
      <c r="AJ16043" s="835">
        <v>41882</v>
      </c>
      <c r="AK16043" s="831">
        <v>0.78364999999999996</v>
      </c>
    </row>
    <row r="16044" spans="2:37">
      <c r="B16044" s="834" t="str">
        <f t="shared" si="581"/>
        <v>|||</v>
      </c>
      <c r="H16044" s="835">
        <f t="shared" si="582"/>
        <v>31</v>
      </c>
      <c r="AF16044" s="831" t="s">
        <v>11627</v>
      </c>
      <c r="AG16044" s="831" t="s">
        <v>2674</v>
      </c>
      <c r="AH16044" s="831" t="s">
        <v>560</v>
      </c>
      <c r="AI16044" s="831">
        <v>0</v>
      </c>
      <c r="AJ16044" s="835">
        <v>41882</v>
      </c>
      <c r="AK16044" s="831">
        <v>0.78369374999999997</v>
      </c>
    </row>
    <row r="16045" spans="2:37">
      <c r="B16045" s="834" t="str">
        <f t="shared" si="581"/>
        <v>|||</v>
      </c>
      <c r="H16045" s="835">
        <f t="shared" si="582"/>
        <v>31</v>
      </c>
      <c r="AF16045" s="831" t="s">
        <v>11628</v>
      </c>
      <c r="AG16045" s="831" t="s">
        <v>2674</v>
      </c>
      <c r="AH16045" s="831" t="s">
        <v>559</v>
      </c>
      <c r="AI16045" s="831">
        <v>0</v>
      </c>
      <c r="AJ16045" s="835">
        <v>41882</v>
      </c>
      <c r="AK16045" s="831">
        <v>0.78372083333333331</v>
      </c>
    </row>
    <row r="16046" spans="2:37">
      <c r="B16046" s="834" t="str">
        <f t="shared" si="581"/>
        <v>|||</v>
      </c>
      <c r="H16046" s="835">
        <f t="shared" si="582"/>
        <v>31</v>
      </c>
      <c r="AF16046" s="831" t="s">
        <v>11629</v>
      </c>
      <c r="AG16046" s="831" t="s">
        <v>2674</v>
      </c>
      <c r="AH16046" s="831" t="s">
        <v>568</v>
      </c>
      <c r="AI16046" s="831">
        <v>0</v>
      </c>
      <c r="AJ16046" s="835">
        <v>41882</v>
      </c>
      <c r="AK16046" s="831">
        <v>654234997.14999998</v>
      </c>
    </row>
    <row r="16047" spans="2:37">
      <c r="B16047" s="834" t="str">
        <f t="shared" si="581"/>
        <v>|||</v>
      </c>
      <c r="H16047" s="835">
        <f t="shared" si="582"/>
        <v>31</v>
      </c>
      <c r="AF16047" s="831" t="s">
        <v>11630</v>
      </c>
      <c r="AG16047" s="831" t="s">
        <v>2674</v>
      </c>
      <c r="AH16047" s="831" t="s">
        <v>569</v>
      </c>
      <c r="AI16047" s="831">
        <v>0</v>
      </c>
      <c r="AJ16047" s="835">
        <v>41882</v>
      </c>
      <c r="AK16047" s="831">
        <v>809130662.58869231</v>
      </c>
    </row>
    <row r="16048" spans="2:37">
      <c r="B16048" s="834" t="str">
        <f t="shared" si="581"/>
        <v>|||</v>
      </c>
      <c r="H16048" s="835">
        <f t="shared" si="582"/>
        <v>31</v>
      </c>
      <c r="AF16048" s="831" t="s">
        <v>11631</v>
      </c>
      <c r="AG16048" s="831" t="s">
        <v>2674</v>
      </c>
      <c r="AH16048" s="831" t="s">
        <v>570</v>
      </c>
      <c r="AI16048" s="831">
        <v>0</v>
      </c>
      <c r="AJ16048" s="835">
        <v>41882</v>
      </c>
      <c r="AK16048" s="831">
        <v>124921808.98430769</v>
      </c>
    </row>
    <row r="16049" spans="2:37">
      <c r="B16049" s="834" t="str">
        <f t="shared" si="581"/>
        <v>|||</v>
      </c>
      <c r="H16049" s="835">
        <f t="shared" si="582"/>
        <v>31</v>
      </c>
      <c r="AF16049" s="831" t="s">
        <v>11632</v>
      </c>
      <c r="AG16049" s="831" t="s">
        <v>2674</v>
      </c>
      <c r="AH16049" s="831" t="s">
        <v>571</v>
      </c>
      <c r="AI16049" s="831">
        <v>0</v>
      </c>
      <c r="AJ16049" s="835">
        <v>41882</v>
      </c>
      <c r="AK16049" s="831">
        <v>397063607.00692308</v>
      </c>
    </row>
    <row r="16050" spans="2:37">
      <c r="B16050" s="834" t="str">
        <f t="shared" si="581"/>
        <v>|||</v>
      </c>
      <c r="H16050" s="835">
        <f t="shared" si="582"/>
        <v>31</v>
      </c>
      <c r="AF16050" s="831" t="s">
        <v>11633</v>
      </c>
      <c r="AG16050" s="831" t="s">
        <v>2674</v>
      </c>
      <c r="AH16050" s="831" t="s">
        <v>573</v>
      </c>
      <c r="AI16050" s="831">
        <v>0</v>
      </c>
      <c r="AJ16050" s="835">
        <v>41882</v>
      </c>
      <c r="AK16050" s="831">
        <v>855614502.84033334</v>
      </c>
    </row>
    <row r="16051" spans="2:37">
      <c r="B16051" s="834" t="str">
        <f t="shared" si="581"/>
        <v>|||</v>
      </c>
      <c r="H16051" s="835">
        <f t="shared" si="582"/>
        <v>31</v>
      </c>
      <c r="AF16051" s="831" t="s">
        <v>11634</v>
      </c>
      <c r="AG16051" s="831" t="s">
        <v>2674</v>
      </c>
      <c r="AH16051" s="831" t="s">
        <v>574</v>
      </c>
      <c r="AI16051" s="831">
        <v>0</v>
      </c>
      <c r="AJ16051" s="835">
        <v>41882</v>
      </c>
      <c r="AK16051" s="831">
        <v>690452658.11111116</v>
      </c>
    </row>
    <row r="16052" spans="2:37">
      <c r="B16052" s="834" t="str">
        <f t="shared" si="581"/>
        <v>|||</v>
      </c>
      <c r="H16052" s="835">
        <f t="shared" si="582"/>
        <v>31</v>
      </c>
      <c r="AF16052" s="831" t="s">
        <v>11635</v>
      </c>
      <c r="AG16052" s="831" t="s">
        <v>2674</v>
      </c>
      <c r="AH16052" s="831" t="s">
        <v>575</v>
      </c>
      <c r="AI16052" s="831">
        <v>0</v>
      </c>
      <c r="AJ16052" s="835">
        <v>41882</v>
      </c>
      <c r="AK16052" s="831">
        <v>127725459.21555556</v>
      </c>
    </row>
    <row r="16053" spans="2:37">
      <c r="B16053" s="834" t="str">
        <f t="shared" si="581"/>
        <v>|||</v>
      </c>
      <c r="H16053" s="835">
        <f t="shared" si="582"/>
        <v>31</v>
      </c>
      <c r="AF16053" s="831" t="s">
        <v>11636</v>
      </c>
      <c r="AG16053" s="831" t="s">
        <v>2674</v>
      </c>
      <c r="AH16053" s="831" t="s">
        <v>576</v>
      </c>
      <c r="AI16053" s="831">
        <v>0</v>
      </c>
      <c r="AJ16053" s="835">
        <v>41882</v>
      </c>
      <c r="AK16053" s="831">
        <v>422408457.33644444</v>
      </c>
    </row>
    <row r="16054" spans="2:37">
      <c r="B16054" s="834" t="str">
        <f t="shared" si="581"/>
        <v>|||</v>
      </c>
      <c r="H16054" s="835">
        <f t="shared" si="582"/>
        <v>31</v>
      </c>
      <c r="AF16054" s="831" t="s">
        <v>11637</v>
      </c>
      <c r="AG16054" s="831" t="s">
        <v>2674</v>
      </c>
      <c r="AH16054" s="831" t="s">
        <v>572</v>
      </c>
      <c r="AI16054" s="831">
        <v>0</v>
      </c>
      <c r="AJ16054" s="835">
        <v>41882</v>
      </c>
      <c r="AK16054" s="831">
        <v>33565597.724000007</v>
      </c>
    </row>
    <row r="16055" spans="2:37">
      <c r="B16055" s="834" t="str">
        <f t="shared" si="581"/>
        <v>|||</v>
      </c>
      <c r="H16055" s="835">
        <f t="shared" si="582"/>
        <v>31</v>
      </c>
      <c r="AF16055" s="831" t="s">
        <v>11638</v>
      </c>
      <c r="AG16055" s="831" t="s">
        <v>2674</v>
      </c>
      <c r="AH16055" s="831" t="s">
        <v>577</v>
      </c>
      <c r="AI16055" s="831">
        <v>0</v>
      </c>
      <c r="AJ16055" s="835">
        <v>41882</v>
      </c>
      <c r="AK16055" s="831">
        <v>160354648.42500001</v>
      </c>
    </row>
    <row r="16056" spans="2:37">
      <c r="B16056" s="834" t="str">
        <f t="shared" si="581"/>
        <v>|||</v>
      </c>
      <c r="H16056" s="835">
        <f t="shared" si="582"/>
        <v>31</v>
      </c>
      <c r="AF16056" s="831" t="s">
        <v>11639</v>
      </c>
      <c r="AG16056" s="831" t="s">
        <v>2674</v>
      </c>
      <c r="AH16056" s="831" t="s">
        <v>3042</v>
      </c>
      <c r="AI16056" s="831">
        <v>0</v>
      </c>
      <c r="AJ16056" s="835">
        <v>41882</v>
      </c>
      <c r="AK16056" s="831">
        <v>-46384889.891000003</v>
      </c>
    </row>
    <row r="16057" spans="2:37">
      <c r="B16057" s="834" t="str">
        <f t="shared" si="581"/>
        <v>|||</v>
      </c>
      <c r="H16057" s="835">
        <f t="shared" si="582"/>
        <v>31</v>
      </c>
      <c r="AF16057" s="831" t="s">
        <v>11640</v>
      </c>
      <c r="AG16057" s="831" t="s">
        <v>2674</v>
      </c>
      <c r="AH16057" s="831" t="s">
        <v>3044</v>
      </c>
      <c r="AI16057" s="831">
        <v>0</v>
      </c>
      <c r="AJ16057" s="835">
        <v>41882</v>
      </c>
      <c r="AK16057" s="831">
        <v>-2154547.3159999996</v>
      </c>
    </row>
    <row r="16058" spans="2:37">
      <c r="B16058" s="834" t="str">
        <f t="shared" si="581"/>
        <v>|||</v>
      </c>
      <c r="H16058" s="835">
        <f t="shared" si="582"/>
        <v>31</v>
      </c>
      <c r="AF16058" s="831" t="s">
        <v>11641</v>
      </c>
      <c r="AG16058" s="831" t="s">
        <v>2674</v>
      </c>
      <c r="AH16058" s="831" t="s">
        <v>580</v>
      </c>
      <c r="AI16058" s="831">
        <v>0</v>
      </c>
      <c r="AJ16058" s="835">
        <v>41882</v>
      </c>
      <c r="AK16058" s="831">
        <v>-74112712.891000003</v>
      </c>
    </row>
    <row r="16059" spans="2:37">
      <c r="B16059" s="834" t="str">
        <f t="shared" si="581"/>
        <v>|||</v>
      </c>
      <c r="H16059" s="835">
        <f t="shared" si="582"/>
        <v>31</v>
      </c>
      <c r="AF16059" s="831" t="s">
        <v>11642</v>
      </c>
      <c r="AG16059" s="831" t="s">
        <v>2674</v>
      </c>
      <c r="AH16059" s="831" t="s">
        <v>581</v>
      </c>
      <c r="AI16059" s="831">
        <v>0</v>
      </c>
      <c r="AJ16059" s="835">
        <v>41882</v>
      </c>
      <c r="AK16059" s="831">
        <v>6514589.0720000006</v>
      </c>
    </row>
    <row r="16060" spans="2:37">
      <c r="B16060" s="834" t="str">
        <f t="shared" si="581"/>
        <v>|||</v>
      </c>
      <c r="H16060" s="835">
        <f t="shared" si="582"/>
        <v>31</v>
      </c>
      <c r="AF16060" s="831" t="s">
        <v>11643</v>
      </c>
      <c r="AG16060" s="831" t="s">
        <v>2674</v>
      </c>
      <c r="AH16060" s="831" t="s">
        <v>105</v>
      </c>
      <c r="AI16060" s="831">
        <v>0</v>
      </c>
      <c r="AJ16060" s="835">
        <v>41882</v>
      </c>
      <c r="AK16060" s="831">
        <v>478699463.41700006</v>
      </c>
    </row>
    <row r="16061" spans="2:37">
      <c r="B16061" s="834" t="str">
        <f t="shared" si="581"/>
        <v>|||</v>
      </c>
      <c r="H16061" s="835">
        <f t="shared" si="582"/>
        <v>31</v>
      </c>
      <c r="AF16061" s="831" t="s">
        <v>11644</v>
      </c>
      <c r="AG16061" s="831" t="s">
        <v>2674</v>
      </c>
      <c r="AH16061" s="831" t="s">
        <v>3049</v>
      </c>
      <c r="AI16061" s="831">
        <v>0</v>
      </c>
      <c r="AJ16061" s="835">
        <v>41882</v>
      </c>
      <c r="AK16061" s="831">
        <v>787453668.41700006</v>
      </c>
    </row>
    <row r="16062" spans="2:37">
      <c r="B16062" s="834" t="str">
        <f t="shared" si="581"/>
        <v>|||</v>
      </c>
      <c r="H16062" s="835">
        <f t="shared" si="582"/>
        <v>31</v>
      </c>
      <c r="AF16062" s="831" t="s">
        <v>11645</v>
      </c>
      <c r="AG16062" s="831" t="s">
        <v>2674</v>
      </c>
      <c r="AH16062" s="831" t="s">
        <v>103</v>
      </c>
      <c r="AI16062" s="831">
        <v>0</v>
      </c>
      <c r="AJ16062" s="835">
        <v>41882</v>
      </c>
      <c r="AK16062" s="831">
        <v>308754205</v>
      </c>
    </row>
    <row r="16063" spans="2:37">
      <c r="B16063" s="834" t="str">
        <f t="shared" si="581"/>
        <v>|||</v>
      </c>
      <c r="H16063" s="835">
        <f t="shared" si="582"/>
        <v>31</v>
      </c>
      <c r="AF16063" s="831" t="s">
        <v>11646</v>
      </c>
      <c r="AG16063" s="831" t="s">
        <v>2674</v>
      </c>
      <c r="AH16063" s="831" t="s">
        <v>182</v>
      </c>
      <c r="AI16063" s="831">
        <v>0</v>
      </c>
      <c r="AJ16063" s="835">
        <v>41882</v>
      </c>
      <c r="AK16063" s="831">
        <v>72923285.376000002</v>
      </c>
    </row>
    <row r="16064" spans="2:37">
      <c r="B16064" s="834" t="str">
        <f t="shared" si="581"/>
        <v>|||</v>
      </c>
      <c r="H16064" s="835">
        <f t="shared" si="582"/>
        <v>31</v>
      </c>
      <c r="AF16064" s="831" t="s">
        <v>11647</v>
      </c>
      <c r="AG16064" s="831" t="s">
        <v>2674</v>
      </c>
      <c r="AH16064" s="831" t="s">
        <v>6600</v>
      </c>
      <c r="AI16064" s="831">
        <v>0</v>
      </c>
      <c r="AJ16064" s="835">
        <v>41882</v>
      </c>
      <c r="AK16064" s="831">
        <v>33565597.724000007</v>
      </c>
    </row>
    <row r="16065" spans="2:37">
      <c r="B16065" s="834" t="str">
        <f t="shared" si="581"/>
        <v>|||</v>
      </c>
      <c r="H16065" s="835">
        <f t="shared" si="582"/>
        <v>31</v>
      </c>
      <c r="AF16065" s="831" t="s">
        <v>11648</v>
      </c>
      <c r="AG16065" s="831" t="s">
        <v>2674</v>
      </c>
      <c r="AH16065" s="831" t="s">
        <v>6602</v>
      </c>
      <c r="AI16065" s="831">
        <v>0</v>
      </c>
      <c r="AJ16065" s="835">
        <v>41882</v>
      </c>
      <c r="AK16065" s="831">
        <v>25500774.76800001</v>
      </c>
    </row>
    <row r="16066" spans="2:37">
      <c r="B16066" s="834" t="str">
        <f t="shared" si="581"/>
        <v>|||</v>
      </c>
      <c r="H16066" s="835">
        <f t="shared" si="582"/>
        <v>31</v>
      </c>
      <c r="AF16066" s="831" t="s">
        <v>11649</v>
      </c>
      <c r="AG16066" s="831" t="s">
        <v>2674</v>
      </c>
      <c r="AH16066" s="831" t="s">
        <v>650</v>
      </c>
      <c r="AI16066" s="831">
        <v>0</v>
      </c>
      <c r="AJ16066" s="835">
        <v>41882</v>
      </c>
      <c r="AK16066" s="831">
        <v>265538072.42453846</v>
      </c>
    </row>
    <row r="16067" spans="2:37">
      <c r="B16067" s="834" t="str">
        <f t="shared" si="581"/>
        <v>|||</v>
      </c>
      <c r="H16067" s="835">
        <f t="shared" si="582"/>
        <v>31</v>
      </c>
      <c r="AF16067" s="831" t="s">
        <v>11650</v>
      </c>
      <c r="AG16067" s="831" t="s">
        <v>2674</v>
      </c>
      <c r="AH16067" s="831" t="s">
        <v>655</v>
      </c>
      <c r="AI16067" s="831">
        <v>0</v>
      </c>
      <c r="AJ16067" s="835">
        <v>41882</v>
      </c>
      <c r="AK16067" s="831">
        <v>1018935.1089999999</v>
      </c>
    </row>
    <row r="16068" spans="2:37">
      <c r="B16068" s="834" t="str">
        <f t="shared" si="581"/>
        <v>|||</v>
      </c>
      <c r="H16068" s="835">
        <f t="shared" si="582"/>
        <v>31</v>
      </c>
      <c r="AF16068" s="831" t="s">
        <v>11651</v>
      </c>
      <c r="AG16068" s="831" t="s">
        <v>2674</v>
      </c>
      <c r="AH16068" s="831" t="s">
        <v>546</v>
      </c>
      <c r="AI16068" s="831">
        <v>0</v>
      </c>
      <c r="AJ16068" s="835">
        <v>41912</v>
      </c>
      <c r="AK16068" s="831">
        <v>775508043</v>
      </c>
    </row>
    <row r="16069" spans="2:37">
      <c r="B16069" s="834" t="str">
        <f t="shared" si="581"/>
        <v>|||</v>
      </c>
      <c r="H16069" s="835">
        <f t="shared" si="582"/>
        <v>31</v>
      </c>
      <c r="AF16069" s="831" t="s">
        <v>11652</v>
      </c>
      <c r="AG16069" s="831" t="s">
        <v>2674</v>
      </c>
      <c r="AH16069" s="831" t="s">
        <v>370</v>
      </c>
      <c r="AI16069" s="831">
        <v>0</v>
      </c>
      <c r="AJ16069" s="835">
        <v>41912</v>
      </c>
      <c r="AK16069" s="831">
        <v>955738548</v>
      </c>
    </row>
    <row r="16070" spans="2:37">
      <c r="B16070" s="834" t="str">
        <f t="shared" si="581"/>
        <v>|||</v>
      </c>
      <c r="H16070" s="835">
        <f t="shared" si="582"/>
        <v>31</v>
      </c>
      <c r="AF16070" s="831" t="s">
        <v>11653</v>
      </c>
      <c r="AG16070" s="831" t="s">
        <v>2674</v>
      </c>
      <c r="AH16070" s="831" t="s">
        <v>126</v>
      </c>
      <c r="AI16070" s="831">
        <v>0</v>
      </c>
      <c r="AJ16070" s="835">
        <v>41912</v>
      </c>
      <c r="AK16070" s="831">
        <v>145830225</v>
      </c>
    </row>
    <row r="16071" spans="2:37">
      <c r="B16071" s="834" t="str">
        <f t="shared" si="581"/>
        <v>|||</v>
      </c>
      <c r="H16071" s="835">
        <f t="shared" si="582"/>
        <v>31</v>
      </c>
      <c r="AF16071" s="831" t="s">
        <v>11654</v>
      </c>
      <c r="AG16071" s="831" t="s">
        <v>2674</v>
      </c>
      <c r="AH16071" s="831" t="s">
        <v>268</v>
      </c>
      <c r="AI16071" s="831">
        <v>0</v>
      </c>
      <c r="AJ16071" s="835">
        <v>41912</v>
      </c>
      <c r="AK16071" s="831">
        <v>29012035</v>
      </c>
    </row>
    <row r="16072" spans="2:37">
      <c r="B16072" s="834" t="str">
        <f t="shared" si="581"/>
        <v>|||</v>
      </c>
      <c r="H16072" s="835">
        <f t="shared" si="582"/>
        <v>31</v>
      </c>
      <c r="AF16072" s="831" t="s">
        <v>11655</v>
      </c>
      <c r="AG16072" s="831" t="s">
        <v>2674</v>
      </c>
      <c r="AH16072" s="831" t="s">
        <v>547</v>
      </c>
      <c r="AI16072" s="831">
        <v>0</v>
      </c>
      <c r="AJ16072" s="835">
        <v>41912</v>
      </c>
      <c r="AK16072" s="831">
        <v>777719977</v>
      </c>
    </row>
    <row r="16073" spans="2:37">
      <c r="B16073" s="834" t="str">
        <f t="shared" si="581"/>
        <v>|||</v>
      </c>
      <c r="H16073" s="835">
        <f t="shared" si="582"/>
        <v>31</v>
      </c>
      <c r="AF16073" s="831" t="s">
        <v>11656</v>
      </c>
      <c r="AG16073" s="831" t="s">
        <v>2674</v>
      </c>
      <c r="AH16073" s="831" t="s">
        <v>548</v>
      </c>
      <c r="AI16073" s="831">
        <v>0</v>
      </c>
      <c r="AJ16073" s="835">
        <v>41912</v>
      </c>
      <c r="AK16073" s="831">
        <v>117105496</v>
      </c>
    </row>
    <row r="16074" spans="2:37">
      <c r="B16074" s="834" t="str">
        <f t="shared" si="581"/>
        <v>|||</v>
      </c>
      <c r="H16074" s="835">
        <f t="shared" si="582"/>
        <v>31</v>
      </c>
      <c r="AF16074" s="831" t="s">
        <v>11657</v>
      </c>
      <c r="AG16074" s="831" t="s">
        <v>2674</v>
      </c>
      <c r="AH16074" s="831" t="s">
        <v>549</v>
      </c>
      <c r="AI16074" s="831">
        <v>0</v>
      </c>
      <c r="AJ16074" s="835">
        <v>41912</v>
      </c>
      <c r="AK16074" s="831">
        <v>563989028</v>
      </c>
    </row>
    <row r="16075" spans="2:37">
      <c r="B16075" s="834" t="str">
        <f t="shared" si="581"/>
        <v>|||</v>
      </c>
      <c r="H16075" s="835">
        <f t="shared" si="582"/>
        <v>31</v>
      </c>
      <c r="AF16075" s="831" t="s">
        <v>11658</v>
      </c>
      <c r="AG16075" s="831" t="s">
        <v>2674</v>
      </c>
      <c r="AH16075" s="831" t="s">
        <v>192</v>
      </c>
      <c r="AI16075" s="831">
        <v>0</v>
      </c>
      <c r="AJ16075" s="835">
        <v>41912</v>
      </c>
      <c r="AK16075" s="831">
        <v>-11006364</v>
      </c>
    </row>
    <row r="16076" spans="2:37">
      <c r="B16076" s="834" t="str">
        <f t="shared" si="581"/>
        <v>|||</v>
      </c>
      <c r="H16076" s="835">
        <f t="shared" si="582"/>
        <v>31</v>
      </c>
      <c r="AF16076" s="831" t="s">
        <v>11659</v>
      </c>
      <c r="AG16076" s="831" t="s">
        <v>2674</v>
      </c>
      <c r="AH16076" s="831" t="s">
        <v>558</v>
      </c>
      <c r="AI16076" s="831">
        <v>0</v>
      </c>
      <c r="AJ16076" s="835">
        <v>41912</v>
      </c>
      <c r="AK16076" s="831">
        <v>809908323</v>
      </c>
    </row>
    <row r="16077" spans="2:37">
      <c r="B16077" s="834" t="str">
        <f t="shared" si="581"/>
        <v>|||</v>
      </c>
      <c r="H16077" s="835">
        <f t="shared" si="582"/>
        <v>31</v>
      </c>
      <c r="AF16077" s="831" t="s">
        <v>11660</v>
      </c>
      <c r="AG16077" s="831" t="s">
        <v>2674</v>
      </c>
      <c r="AH16077" s="831" t="s">
        <v>65</v>
      </c>
      <c r="AI16077" s="831">
        <v>0</v>
      </c>
      <c r="AJ16077" s="835">
        <v>41912</v>
      </c>
      <c r="AK16077" s="831">
        <v>126643298</v>
      </c>
    </row>
    <row r="16078" spans="2:37">
      <c r="B16078" s="834" t="str">
        <f t="shared" si="581"/>
        <v>|||</v>
      </c>
      <c r="H16078" s="835">
        <f t="shared" si="582"/>
        <v>31</v>
      </c>
      <c r="AF16078" s="831" t="s">
        <v>11661</v>
      </c>
      <c r="AG16078" s="831" t="s">
        <v>2674</v>
      </c>
      <c r="AH16078" s="831" t="s">
        <v>89</v>
      </c>
      <c r="AI16078" s="831">
        <v>0</v>
      </c>
      <c r="AJ16078" s="835">
        <v>41912</v>
      </c>
      <c r="AK16078" s="831">
        <v>159987</v>
      </c>
    </row>
    <row r="16079" spans="2:37">
      <c r="B16079" s="834" t="str">
        <f t="shared" si="581"/>
        <v>|||</v>
      </c>
      <c r="H16079" s="835">
        <f t="shared" si="582"/>
        <v>31</v>
      </c>
      <c r="AF16079" s="831" t="s">
        <v>11662</v>
      </c>
      <c r="AG16079" s="831" t="s">
        <v>2674</v>
      </c>
      <c r="AH16079" s="831" t="s">
        <v>557</v>
      </c>
      <c r="AI16079" s="831">
        <v>0</v>
      </c>
      <c r="AJ16079" s="835">
        <v>41912</v>
      </c>
      <c r="AK16079" s="831">
        <v>180249</v>
      </c>
    </row>
    <row r="16080" spans="2:37">
      <c r="B16080" s="834" t="str">
        <f t="shared" si="581"/>
        <v>|||</v>
      </c>
      <c r="H16080" s="835">
        <f t="shared" si="582"/>
        <v>31</v>
      </c>
      <c r="AF16080" s="831" t="s">
        <v>11663</v>
      </c>
      <c r="AG16080" s="831" t="s">
        <v>2674</v>
      </c>
      <c r="AH16080" s="831" t="s">
        <v>29</v>
      </c>
      <c r="AI16080" s="831">
        <v>0</v>
      </c>
      <c r="AJ16080" s="835">
        <v>41912</v>
      </c>
      <c r="AK16080" s="831">
        <v>2332375</v>
      </c>
    </row>
    <row r="16081" spans="2:37">
      <c r="B16081" s="834" t="str">
        <f t="shared" ref="B16081:B16144" si="583">C16081&amp;"|"&amp;D16081&amp;"|"&amp;E16081&amp;"|"&amp;F16081</f>
        <v>|||</v>
      </c>
      <c r="H16081" s="835">
        <f t="shared" ref="H16081:H16144" si="584">EOMONTH(L16081,0)</f>
        <v>31</v>
      </c>
      <c r="AF16081" s="831" t="s">
        <v>11664</v>
      </c>
      <c r="AG16081" s="831" t="s">
        <v>2674</v>
      </c>
      <c r="AH16081" s="831" t="s">
        <v>2688</v>
      </c>
      <c r="AI16081" s="831">
        <v>0</v>
      </c>
      <c r="AJ16081" s="835">
        <v>41912</v>
      </c>
      <c r="AK16081" s="831">
        <v>4758526.78</v>
      </c>
    </row>
    <row r="16082" spans="2:37">
      <c r="B16082" s="834" t="str">
        <f t="shared" si="583"/>
        <v>|||</v>
      </c>
      <c r="H16082" s="835">
        <f t="shared" si="584"/>
        <v>31</v>
      </c>
      <c r="AF16082" s="831" t="s">
        <v>11665</v>
      </c>
      <c r="AG16082" s="831" t="s">
        <v>2674</v>
      </c>
      <c r="AH16082" s="831" t="s">
        <v>556</v>
      </c>
      <c r="AI16082" s="831">
        <v>0</v>
      </c>
      <c r="AJ16082" s="835">
        <v>41912</v>
      </c>
      <c r="AK16082" s="831">
        <v>6520953</v>
      </c>
    </row>
    <row r="16083" spans="2:37">
      <c r="B16083" s="834" t="str">
        <f t="shared" si="583"/>
        <v>|||</v>
      </c>
      <c r="H16083" s="835">
        <f t="shared" si="584"/>
        <v>31</v>
      </c>
      <c r="AF16083" s="831" t="s">
        <v>11666</v>
      </c>
      <c r="AG16083" s="831" t="s">
        <v>2674</v>
      </c>
      <c r="AH16083" s="831" t="s">
        <v>555</v>
      </c>
      <c r="AI16083" s="831">
        <v>0</v>
      </c>
      <c r="AJ16083" s="835">
        <v>41912</v>
      </c>
      <c r="AK16083" s="831">
        <v>528140339</v>
      </c>
    </row>
    <row r="16084" spans="2:37">
      <c r="B16084" s="834" t="str">
        <f t="shared" si="583"/>
        <v>|||</v>
      </c>
      <c r="H16084" s="835">
        <f t="shared" si="584"/>
        <v>31</v>
      </c>
      <c r="AF16084" s="831" t="s">
        <v>11667</v>
      </c>
      <c r="AG16084" s="831" t="s">
        <v>2674</v>
      </c>
      <c r="AH16084" s="831" t="s">
        <v>554</v>
      </c>
      <c r="AI16084" s="831">
        <v>0</v>
      </c>
      <c r="AJ16084" s="835">
        <v>41912</v>
      </c>
      <c r="AK16084" s="831">
        <v>536741460</v>
      </c>
    </row>
    <row r="16085" spans="2:37">
      <c r="B16085" s="834" t="str">
        <f t="shared" si="583"/>
        <v>|||</v>
      </c>
      <c r="H16085" s="835">
        <f t="shared" si="584"/>
        <v>31</v>
      </c>
      <c r="AF16085" s="831" t="s">
        <v>11668</v>
      </c>
      <c r="AG16085" s="831" t="s">
        <v>2674</v>
      </c>
      <c r="AH16085" s="831" t="s">
        <v>553</v>
      </c>
      <c r="AI16085" s="831">
        <v>0</v>
      </c>
      <c r="AJ16085" s="835">
        <v>41912</v>
      </c>
      <c r="AK16085" s="831">
        <v>0</v>
      </c>
    </row>
    <row r="16086" spans="2:37">
      <c r="B16086" s="834" t="str">
        <f t="shared" si="583"/>
        <v>|||</v>
      </c>
      <c r="H16086" s="835">
        <f t="shared" si="584"/>
        <v>31</v>
      </c>
      <c r="AF16086" s="831" t="s">
        <v>11669</v>
      </c>
      <c r="AG16086" s="831" t="s">
        <v>2674</v>
      </c>
      <c r="AH16086" s="831" t="s">
        <v>552</v>
      </c>
      <c r="AI16086" s="831">
        <v>0</v>
      </c>
      <c r="AJ16086" s="835">
        <v>41912</v>
      </c>
      <c r="AK16086" s="831">
        <v>0</v>
      </c>
    </row>
    <row r="16087" spans="2:37">
      <c r="B16087" s="834" t="str">
        <f t="shared" si="583"/>
        <v>|||</v>
      </c>
      <c r="H16087" s="835">
        <f t="shared" si="584"/>
        <v>31</v>
      </c>
      <c r="AF16087" s="831" t="s">
        <v>11670</v>
      </c>
      <c r="AG16087" s="831" t="s">
        <v>2674</v>
      </c>
      <c r="AH16087" s="831" t="s">
        <v>551</v>
      </c>
      <c r="AI16087" s="831">
        <v>0</v>
      </c>
      <c r="AJ16087" s="835">
        <v>41912</v>
      </c>
      <c r="AK16087" s="831">
        <v>1612094</v>
      </c>
    </row>
    <row r="16088" spans="2:37">
      <c r="B16088" s="834" t="str">
        <f t="shared" si="583"/>
        <v>|||</v>
      </c>
      <c r="H16088" s="835">
        <f t="shared" si="584"/>
        <v>31</v>
      </c>
      <c r="AF16088" s="831" t="s">
        <v>11671</v>
      </c>
      <c r="AG16088" s="831" t="s">
        <v>2674</v>
      </c>
      <c r="AH16088" s="831" t="s">
        <v>550</v>
      </c>
      <c r="AI16088" s="831">
        <v>0</v>
      </c>
      <c r="AJ16088" s="835">
        <v>41912</v>
      </c>
      <c r="AK16088" s="831">
        <v>141824046.03</v>
      </c>
    </row>
    <row r="16089" spans="2:37">
      <c r="B16089" s="834" t="str">
        <f t="shared" si="583"/>
        <v>|||</v>
      </c>
      <c r="H16089" s="835">
        <f t="shared" si="584"/>
        <v>31</v>
      </c>
      <c r="AF16089" s="831" t="s">
        <v>11672</v>
      </c>
      <c r="AG16089" s="831" t="s">
        <v>2674</v>
      </c>
      <c r="AH16089" s="831" t="s">
        <v>562</v>
      </c>
      <c r="AI16089" s="831">
        <v>0</v>
      </c>
      <c r="AJ16089" s="835">
        <v>41912</v>
      </c>
      <c r="AK16089" s="831">
        <v>0.78325</v>
      </c>
    </row>
    <row r="16090" spans="2:37">
      <c r="B16090" s="834" t="str">
        <f t="shared" si="583"/>
        <v>|||</v>
      </c>
      <c r="H16090" s="835">
        <f t="shared" si="584"/>
        <v>31</v>
      </c>
      <c r="AF16090" s="831" t="s">
        <v>11673</v>
      </c>
      <c r="AG16090" s="831" t="s">
        <v>2674</v>
      </c>
      <c r="AH16090" s="831" t="s">
        <v>2698</v>
      </c>
      <c r="AI16090" s="831">
        <v>0</v>
      </c>
      <c r="AJ16090" s="835">
        <v>41912</v>
      </c>
      <c r="AK16090" s="831">
        <v>0.7833</v>
      </c>
    </row>
    <row r="16091" spans="2:37">
      <c r="B16091" s="834" t="str">
        <f t="shared" si="583"/>
        <v>|||</v>
      </c>
      <c r="H16091" s="835">
        <f t="shared" si="584"/>
        <v>31</v>
      </c>
      <c r="AF16091" s="831" t="s">
        <v>11674</v>
      </c>
      <c r="AG16091" s="831" t="s">
        <v>2674</v>
      </c>
      <c r="AH16091" s="831" t="s">
        <v>560</v>
      </c>
      <c r="AI16091" s="831">
        <v>0</v>
      </c>
      <c r="AJ16091" s="835">
        <v>41912</v>
      </c>
      <c r="AK16091" s="831">
        <v>0.78364444444444448</v>
      </c>
    </row>
    <row r="16092" spans="2:37">
      <c r="B16092" s="834" t="str">
        <f t="shared" si="583"/>
        <v>|||</v>
      </c>
      <c r="H16092" s="835">
        <f t="shared" si="584"/>
        <v>31</v>
      </c>
      <c r="AF16092" s="831" t="s">
        <v>11675</v>
      </c>
      <c r="AG16092" s="831" t="s">
        <v>2674</v>
      </c>
      <c r="AH16092" s="831" t="s">
        <v>559</v>
      </c>
      <c r="AI16092" s="831">
        <v>0</v>
      </c>
      <c r="AJ16092" s="835">
        <v>41912</v>
      </c>
      <c r="AK16092" s="831">
        <v>0.78366250000000004</v>
      </c>
    </row>
    <row r="16093" spans="2:37">
      <c r="B16093" s="834" t="str">
        <f t="shared" si="583"/>
        <v>|||</v>
      </c>
      <c r="H16093" s="835">
        <f t="shared" si="584"/>
        <v>31</v>
      </c>
      <c r="AF16093" s="831" t="s">
        <v>11676</v>
      </c>
      <c r="AG16093" s="831" t="s">
        <v>2674</v>
      </c>
      <c r="AH16093" s="831" t="s">
        <v>568</v>
      </c>
      <c r="AI16093" s="831">
        <v>0</v>
      </c>
      <c r="AJ16093" s="835">
        <v>41912</v>
      </c>
      <c r="AK16093" s="831">
        <v>671683974.07307696</v>
      </c>
    </row>
    <row r="16094" spans="2:37">
      <c r="B16094" s="834" t="str">
        <f t="shared" si="583"/>
        <v>|||</v>
      </c>
      <c r="H16094" s="835">
        <f t="shared" si="584"/>
        <v>31</v>
      </c>
      <c r="AF16094" s="831" t="s">
        <v>11677</v>
      </c>
      <c r="AG16094" s="831" t="s">
        <v>2674</v>
      </c>
      <c r="AH16094" s="831" t="s">
        <v>569</v>
      </c>
      <c r="AI16094" s="831">
        <v>0</v>
      </c>
      <c r="AJ16094" s="835">
        <v>41912</v>
      </c>
      <c r="AK16094" s="831">
        <v>832078660.51176918</v>
      </c>
    </row>
    <row r="16095" spans="2:37">
      <c r="B16095" s="834" t="str">
        <f t="shared" si="583"/>
        <v>|||</v>
      </c>
      <c r="H16095" s="835">
        <f t="shared" si="584"/>
        <v>31</v>
      </c>
      <c r="AF16095" s="831" t="s">
        <v>11678</v>
      </c>
      <c r="AG16095" s="831" t="s">
        <v>2674</v>
      </c>
      <c r="AH16095" s="831" t="s">
        <v>570</v>
      </c>
      <c r="AI16095" s="831">
        <v>0</v>
      </c>
      <c r="AJ16095" s="835">
        <v>41912</v>
      </c>
      <c r="AK16095" s="831">
        <v>127379907.52276923</v>
      </c>
    </row>
    <row r="16096" spans="2:37">
      <c r="B16096" s="834" t="str">
        <f t="shared" si="583"/>
        <v>|||</v>
      </c>
      <c r="H16096" s="835">
        <f t="shared" si="584"/>
        <v>31</v>
      </c>
      <c r="AF16096" s="831" t="s">
        <v>11679</v>
      </c>
      <c r="AG16096" s="831" t="s">
        <v>2674</v>
      </c>
      <c r="AH16096" s="831" t="s">
        <v>571</v>
      </c>
      <c r="AI16096" s="831">
        <v>0</v>
      </c>
      <c r="AJ16096" s="835">
        <v>41912</v>
      </c>
      <c r="AK16096" s="831">
        <v>409242621.46846157</v>
      </c>
    </row>
    <row r="16097" spans="2:37">
      <c r="B16097" s="834" t="str">
        <f t="shared" si="583"/>
        <v>|||</v>
      </c>
      <c r="H16097" s="835">
        <f t="shared" si="584"/>
        <v>31</v>
      </c>
      <c r="AF16097" s="831" t="s">
        <v>11680</v>
      </c>
      <c r="AG16097" s="831" t="s">
        <v>2674</v>
      </c>
      <c r="AH16097" s="831" t="s">
        <v>573</v>
      </c>
      <c r="AI16097" s="831">
        <v>0</v>
      </c>
      <c r="AJ16097" s="835">
        <v>41912</v>
      </c>
      <c r="AK16097" s="831">
        <v>865626907.3563</v>
      </c>
    </row>
    <row r="16098" spans="2:37">
      <c r="B16098" s="834" t="str">
        <f t="shared" si="583"/>
        <v>|||</v>
      </c>
      <c r="H16098" s="835">
        <f t="shared" si="584"/>
        <v>31</v>
      </c>
      <c r="AF16098" s="831" t="s">
        <v>11681</v>
      </c>
      <c r="AG16098" s="831" t="s">
        <v>2674</v>
      </c>
      <c r="AH16098" s="831" t="s">
        <v>574</v>
      </c>
      <c r="AI16098" s="831">
        <v>0</v>
      </c>
      <c r="AJ16098" s="835">
        <v>41912</v>
      </c>
      <c r="AK16098" s="831">
        <v>698958196.60000002</v>
      </c>
    </row>
    <row r="16099" spans="2:37">
      <c r="B16099" s="834" t="str">
        <f t="shared" si="583"/>
        <v>|||</v>
      </c>
      <c r="H16099" s="835">
        <f t="shared" si="584"/>
        <v>31</v>
      </c>
      <c r="AF16099" s="831" t="s">
        <v>11682</v>
      </c>
      <c r="AG16099" s="831" t="s">
        <v>2674</v>
      </c>
      <c r="AH16099" s="831" t="s">
        <v>575</v>
      </c>
      <c r="AI16099" s="831">
        <v>0</v>
      </c>
      <c r="AJ16099" s="835">
        <v>41912</v>
      </c>
      <c r="AK16099" s="831">
        <v>129535935.794</v>
      </c>
    </row>
    <row r="16100" spans="2:37">
      <c r="B16100" s="834" t="str">
        <f t="shared" si="583"/>
        <v>|||</v>
      </c>
      <c r="H16100" s="835">
        <f t="shared" si="584"/>
        <v>31</v>
      </c>
      <c r="AF16100" s="831" t="s">
        <v>11683</v>
      </c>
      <c r="AG16100" s="831" t="s">
        <v>2674</v>
      </c>
      <c r="AH16100" s="831" t="s">
        <v>576</v>
      </c>
      <c r="AI16100" s="831">
        <v>0</v>
      </c>
      <c r="AJ16100" s="835">
        <v>41912</v>
      </c>
      <c r="AK16100" s="831">
        <v>427412859.60280001</v>
      </c>
    </row>
    <row r="16101" spans="2:37">
      <c r="B16101" s="834" t="str">
        <f t="shared" si="583"/>
        <v>|||</v>
      </c>
      <c r="H16101" s="835">
        <f t="shared" si="584"/>
        <v>31</v>
      </c>
      <c r="AF16101" s="831" t="s">
        <v>11684</v>
      </c>
      <c r="AG16101" s="831" t="s">
        <v>2674</v>
      </c>
      <c r="AH16101" s="831" t="s">
        <v>572</v>
      </c>
      <c r="AI16101" s="831">
        <v>0</v>
      </c>
      <c r="AJ16101" s="835">
        <v>41912</v>
      </c>
      <c r="AK16101" s="831">
        <v>33781162.955999985</v>
      </c>
    </row>
    <row r="16102" spans="2:37">
      <c r="B16102" s="834" t="str">
        <f t="shared" si="583"/>
        <v>|||</v>
      </c>
      <c r="H16102" s="835">
        <f t="shared" si="584"/>
        <v>31</v>
      </c>
      <c r="AF16102" s="831" t="s">
        <v>11685</v>
      </c>
      <c r="AG16102" s="831" t="s">
        <v>2674</v>
      </c>
      <c r="AH16102" s="831" t="s">
        <v>577</v>
      </c>
      <c r="AI16102" s="831">
        <v>0</v>
      </c>
      <c r="AJ16102" s="835">
        <v>41912</v>
      </c>
      <c r="AK16102" s="831">
        <v>164186629.76300001</v>
      </c>
    </row>
    <row r="16103" spans="2:37">
      <c r="B16103" s="834" t="str">
        <f t="shared" si="583"/>
        <v>|||</v>
      </c>
      <c r="H16103" s="835">
        <f t="shared" si="584"/>
        <v>31</v>
      </c>
      <c r="AF16103" s="831" t="s">
        <v>11686</v>
      </c>
      <c r="AG16103" s="831" t="s">
        <v>2674</v>
      </c>
      <c r="AH16103" s="831" t="s">
        <v>3042</v>
      </c>
      <c r="AI16103" s="831">
        <v>0</v>
      </c>
      <c r="AJ16103" s="835">
        <v>41912</v>
      </c>
      <c r="AK16103" s="831">
        <v>-47764358.527000003</v>
      </c>
    </row>
    <row r="16104" spans="2:37">
      <c r="B16104" s="834" t="str">
        <f t="shared" si="583"/>
        <v>|||</v>
      </c>
      <c r="H16104" s="835">
        <f t="shared" si="584"/>
        <v>31</v>
      </c>
      <c r="AF16104" s="831" t="s">
        <v>11687</v>
      </c>
      <c r="AG16104" s="831" t="s">
        <v>2674</v>
      </c>
      <c r="AH16104" s="831" t="s">
        <v>3044</v>
      </c>
      <c r="AI16104" s="831">
        <v>0</v>
      </c>
      <c r="AJ16104" s="835">
        <v>41912</v>
      </c>
      <c r="AK16104" s="831">
        <v>-2027515.8899999997</v>
      </c>
    </row>
    <row r="16105" spans="2:37">
      <c r="B16105" s="834" t="str">
        <f t="shared" si="583"/>
        <v>|||</v>
      </c>
      <c r="H16105" s="835">
        <f t="shared" si="584"/>
        <v>31</v>
      </c>
      <c r="AF16105" s="831" t="s">
        <v>11688</v>
      </c>
      <c r="AG16105" s="831" t="s">
        <v>2674</v>
      </c>
      <c r="AH16105" s="831" t="s">
        <v>580</v>
      </c>
      <c r="AI16105" s="831">
        <v>0</v>
      </c>
      <c r="AJ16105" s="835">
        <v>41912</v>
      </c>
      <c r="AK16105" s="831">
        <v>-75872333.307000011</v>
      </c>
    </row>
    <row r="16106" spans="2:37">
      <c r="B16106" s="834" t="str">
        <f t="shared" si="583"/>
        <v>|||</v>
      </c>
      <c r="H16106" s="835">
        <f t="shared" si="584"/>
        <v>31</v>
      </c>
      <c r="AF16106" s="831" t="s">
        <v>11689</v>
      </c>
      <c r="AG16106" s="831" t="s">
        <v>2674</v>
      </c>
      <c r="AH16106" s="831" t="s">
        <v>581</v>
      </c>
      <c r="AI16106" s="831">
        <v>0</v>
      </c>
      <c r="AJ16106" s="835">
        <v>41912</v>
      </c>
      <c r="AK16106" s="831">
        <v>6304407.8940000003</v>
      </c>
    </row>
    <row r="16107" spans="2:37">
      <c r="B16107" s="834" t="str">
        <f t="shared" si="583"/>
        <v>|||</v>
      </c>
      <c r="H16107" s="835">
        <f t="shared" si="584"/>
        <v>31</v>
      </c>
      <c r="AF16107" s="831" t="s">
        <v>11690</v>
      </c>
      <c r="AG16107" s="831" t="s">
        <v>2674</v>
      </c>
      <c r="AH16107" s="831" t="s">
        <v>105</v>
      </c>
      <c r="AI16107" s="831">
        <v>0</v>
      </c>
      <c r="AJ16107" s="835">
        <v>41912</v>
      </c>
      <c r="AK16107" s="831">
        <v>472452480</v>
      </c>
    </row>
    <row r="16108" spans="2:37">
      <c r="B16108" s="834" t="str">
        <f t="shared" si="583"/>
        <v>|||</v>
      </c>
      <c r="H16108" s="835">
        <f t="shared" si="584"/>
        <v>31</v>
      </c>
      <c r="AF16108" s="831" t="s">
        <v>11691</v>
      </c>
      <c r="AG16108" s="831" t="s">
        <v>2674</v>
      </c>
      <c r="AH16108" s="831" t="s">
        <v>3049</v>
      </c>
      <c r="AI16108" s="831">
        <v>0</v>
      </c>
      <c r="AJ16108" s="835">
        <v>41912</v>
      </c>
      <c r="AK16108" s="831">
        <v>783051294</v>
      </c>
    </row>
    <row r="16109" spans="2:37">
      <c r="B16109" s="834" t="str">
        <f t="shared" si="583"/>
        <v>|||</v>
      </c>
      <c r="H16109" s="835">
        <f t="shared" si="584"/>
        <v>31</v>
      </c>
      <c r="AF16109" s="831" t="s">
        <v>11692</v>
      </c>
      <c r="AG16109" s="831" t="s">
        <v>2674</v>
      </c>
      <c r="AH16109" s="831" t="s">
        <v>103</v>
      </c>
      <c r="AI16109" s="831">
        <v>0</v>
      </c>
      <c r="AJ16109" s="835">
        <v>41912</v>
      </c>
      <c r="AK16109" s="831">
        <v>310598814</v>
      </c>
    </row>
    <row r="16110" spans="2:37">
      <c r="B16110" s="834" t="str">
        <f t="shared" si="583"/>
        <v>|||</v>
      </c>
      <c r="H16110" s="835">
        <f t="shared" si="584"/>
        <v>31</v>
      </c>
      <c r="AF16110" s="831" t="s">
        <v>11693</v>
      </c>
      <c r="AG16110" s="831" t="s">
        <v>2674</v>
      </c>
      <c r="AH16110" s="831" t="s">
        <v>182</v>
      </c>
      <c r="AI16110" s="831">
        <v>0</v>
      </c>
      <c r="AJ16110" s="835">
        <v>41912</v>
      </c>
      <c r="AK16110" s="831">
        <v>73471997.333333328</v>
      </c>
    </row>
    <row r="16111" spans="2:37">
      <c r="B16111" s="834" t="str">
        <f t="shared" si="583"/>
        <v>|||</v>
      </c>
      <c r="H16111" s="835">
        <f t="shared" si="584"/>
        <v>31</v>
      </c>
      <c r="AF16111" s="831" t="s">
        <v>11694</v>
      </c>
      <c r="AG16111" s="831" t="s">
        <v>2674</v>
      </c>
      <c r="AH16111" s="831" t="s">
        <v>6600</v>
      </c>
      <c r="AI16111" s="831">
        <v>0</v>
      </c>
      <c r="AJ16111" s="835">
        <v>41912</v>
      </c>
      <c r="AK16111" s="831">
        <v>33781162.955999985</v>
      </c>
    </row>
    <row r="16112" spans="2:37">
      <c r="B16112" s="834" t="str">
        <f t="shared" si="583"/>
        <v>|||</v>
      </c>
      <c r="H16112" s="835">
        <f t="shared" si="584"/>
        <v>31</v>
      </c>
      <c r="AF16112" s="831" t="s">
        <v>11695</v>
      </c>
      <c r="AG16112" s="831" t="s">
        <v>2674</v>
      </c>
      <c r="AH16112" s="831" t="s">
        <v>6602</v>
      </c>
      <c r="AI16112" s="831">
        <v>0</v>
      </c>
      <c r="AJ16112" s="835">
        <v>41912</v>
      </c>
      <c r="AK16112" s="831">
        <v>29012035</v>
      </c>
    </row>
    <row r="16113" spans="2:37">
      <c r="B16113" s="834" t="str">
        <f t="shared" si="583"/>
        <v>|||</v>
      </c>
      <c r="H16113" s="835">
        <f t="shared" si="584"/>
        <v>31</v>
      </c>
      <c r="AF16113" s="831" t="s">
        <v>11696</v>
      </c>
      <c r="AG16113" s="831" t="s">
        <v>2674</v>
      </c>
      <c r="AH16113" s="831" t="s">
        <v>650</v>
      </c>
      <c r="AI16113" s="831">
        <v>0</v>
      </c>
      <c r="AJ16113" s="835">
        <v>41912</v>
      </c>
      <c r="AK16113" s="831">
        <v>273036122.95146155</v>
      </c>
    </row>
    <row r="16114" spans="2:37">
      <c r="B16114" s="834" t="str">
        <f t="shared" si="583"/>
        <v>|||</v>
      </c>
      <c r="H16114" s="835">
        <f t="shared" si="584"/>
        <v>31</v>
      </c>
      <c r="AF16114" s="831" t="s">
        <v>11697</v>
      </c>
      <c r="AG16114" s="831" t="s">
        <v>2674</v>
      </c>
      <c r="AH16114" s="831" t="s">
        <v>655</v>
      </c>
      <c r="AI16114" s="831">
        <v>0</v>
      </c>
      <c r="AJ16114" s="835">
        <v>41912</v>
      </c>
      <c r="AK16114" s="831">
        <v>1341189</v>
      </c>
    </row>
    <row r="16115" spans="2:37">
      <c r="B16115" s="834" t="str">
        <f t="shared" si="583"/>
        <v>|||</v>
      </c>
      <c r="H16115" s="835">
        <f t="shared" si="584"/>
        <v>31</v>
      </c>
      <c r="AF16115" s="831" t="s">
        <v>11698</v>
      </c>
      <c r="AG16115" s="831" t="s">
        <v>2674</v>
      </c>
      <c r="AH16115" s="831" t="s">
        <v>546</v>
      </c>
      <c r="AI16115" s="831">
        <v>0</v>
      </c>
      <c r="AJ16115" s="835">
        <v>41943</v>
      </c>
      <c r="AK16115" s="831">
        <v>788185615</v>
      </c>
    </row>
    <row r="16116" spans="2:37">
      <c r="B16116" s="834" t="str">
        <f t="shared" si="583"/>
        <v>|||</v>
      </c>
      <c r="H16116" s="835">
        <f t="shared" si="584"/>
        <v>31</v>
      </c>
      <c r="AF16116" s="831" t="s">
        <v>11699</v>
      </c>
      <c r="AG16116" s="831" t="s">
        <v>2674</v>
      </c>
      <c r="AH16116" s="831" t="s">
        <v>370</v>
      </c>
      <c r="AI16116" s="831">
        <v>0</v>
      </c>
      <c r="AJ16116" s="835">
        <v>41943</v>
      </c>
      <c r="AK16116" s="831">
        <v>999911217</v>
      </c>
    </row>
    <row r="16117" spans="2:37">
      <c r="B16117" s="834" t="str">
        <f t="shared" si="583"/>
        <v>|||</v>
      </c>
      <c r="H16117" s="835">
        <f t="shared" si="584"/>
        <v>31</v>
      </c>
      <c r="AF16117" s="831" t="s">
        <v>11700</v>
      </c>
      <c r="AG16117" s="831" t="s">
        <v>2674</v>
      </c>
      <c r="AH16117" s="831" t="s">
        <v>126</v>
      </c>
      <c r="AI16117" s="831">
        <v>0</v>
      </c>
      <c r="AJ16117" s="835">
        <v>41943</v>
      </c>
      <c r="AK16117" s="831">
        <v>149380039</v>
      </c>
    </row>
    <row r="16118" spans="2:37">
      <c r="B16118" s="834" t="str">
        <f t="shared" si="583"/>
        <v>|||</v>
      </c>
      <c r="H16118" s="835">
        <f t="shared" si="584"/>
        <v>31</v>
      </c>
      <c r="AF16118" s="831" t="s">
        <v>11701</v>
      </c>
      <c r="AG16118" s="831" t="s">
        <v>2674</v>
      </c>
      <c r="AH16118" s="831" t="s">
        <v>268</v>
      </c>
      <c r="AI16118" s="831">
        <v>0</v>
      </c>
      <c r="AJ16118" s="835">
        <v>41943</v>
      </c>
      <c r="AK16118" s="831">
        <v>32657533</v>
      </c>
    </row>
    <row r="16119" spans="2:37">
      <c r="B16119" s="834" t="str">
        <f t="shared" si="583"/>
        <v>|||</v>
      </c>
      <c r="H16119" s="835">
        <f t="shared" si="584"/>
        <v>31</v>
      </c>
      <c r="AF16119" s="831" t="s">
        <v>11702</v>
      </c>
      <c r="AG16119" s="831" t="s">
        <v>2674</v>
      </c>
      <c r="AH16119" s="831" t="s">
        <v>547</v>
      </c>
      <c r="AI16119" s="831">
        <v>0</v>
      </c>
      <c r="AJ16119" s="835">
        <v>41943</v>
      </c>
      <c r="AK16119" s="831">
        <v>777719977</v>
      </c>
    </row>
    <row r="16120" spans="2:37">
      <c r="B16120" s="834" t="str">
        <f t="shared" si="583"/>
        <v>|||</v>
      </c>
      <c r="H16120" s="835">
        <f t="shared" si="584"/>
        <v>31</v>
      </c>
      <c r="AF16120" s="831" t="s">
        <v>11703</v>
      </c>
      <c r="AG16120" s="831" t="s">
        <v>2674</v>
      </c>
      <c r="AH16120" s="831" t="s">
        <v>548</v>
      </c>
      <c r="AI16120" s="831">
        <v>0</v>
      </c>
      <c r="AJ16120" s="835">
        <v>41943</v>
      </c>
      <c r="AK16120" s="831">
        <v>117105496</v>
      </c>
    </row>
    <row r="16121" spans="2:37">
      <c r="B16121" s="834" t="str">
        <f t="shared" si="583"/>
        <v>|||</v>
      </c>
      <c r="H16121" s="835">
        <f t="shared" si="584"/>
        <v>31</v>
      </c>
      <c r="AF16121" s="831" t="s">
        <v>11704</v>
      </c>
      <c r="AG16121" s="831" t="s">
        <v>2674</v>
      </c>
      <c r="AH16121" s="831" t="s">
        <v>549</v>
      </c>
      <c r="AI16121" s="831">
        <v>0</v>
      </c>
      <c r="AJ16121" s="835">
        <v>41943</v>
      </c>
      <c r="AK16121" s="831">
        <v>580271359</v>
      </c>
    </row>
    <row r="16122" spans="2:37">
      <c r="B16122" s="834" t="str">
        <f t="shared" si="583"/>
        <v>|||</v>
      </c>
      <c r="H16122" s="835">
        <f t="shared" si="584"/>
        <v>31</v>
      </c>
      <c r="AF16122" s="831" t="s">
        <v>11705</v>
      </c>
      <c r="AG16122" s="831" t="s">
        <v>2674</v>
      </c>
      <c r="AH16122" s="831" t="s">
        <v>192</v>
      </c>
      <c r="AI16122" s="831">
        <v>0</v>
      </c>
      <c r="AJ16122" s="835">
        <v>41943</v>
      </c>
      <c r="AK16122" s="831">
        <v>-11001950</v>
      </c>
    </row>
    <row r="16123" spans="2:37">
      <c r="B16123" s="834" t="str">
        <f t="shared" si="583"/>
        <v>|||</v>
      </c>
      <c r="H16123" s="835">
        <f t="shared" si="584"/>
        <v>31</v>
      </c>
      <c r="AF16123" s="831" t="s">
        <v>11706</v>
      </c>
      <c r="AG16123" s="831" t="s">
        <v>2674</v>
      </c>
      <c r="AH16123" s="831" t="s">
        <v>558</v>
      </c>
      <c r="AI16123" s="831">
        <v>0</v>
      </c>
      <c r="AJ16123" s="835">
        <v>41943</v>
      </c>
      <c r="AK16123" s="831">
        <v>850531537</v>
      </c>
    </row>
    <row r="16124" spans="2:37">
      <c r="B16124" s="834" t="str">
        <f t="shared" si="583"/>
        <v>|||</v>
      </c>
      <c r="H16124" s="835">
        <f t="shared" si="584"/>
        <v>31</v>
      </c>
      <c r="AF16124" s="831" t="s">
        <v>11707</v>
      </c>
      <c r="AG16124" s="831" t="s">
        <v>2674</v>
      </c>
      <c r="AH16124" s="831" t="s">
        <v>65</v>
      </c>
      <c r="AI16124" s="831">
        <v>0</v>
      </c>
      <c r="AJ16124" s="835">
        <v>41943</v>
      </c>
      <c r="AK16124" s="831">
        <v>144545337</v>
      </c>
    </row>
    <row r="16125" spans="2:37">
      <c r="B16125" s="834" t="str">
        <f t="shared" si="583"/>
        <v>|||</v>
      </c>
      <c r="H16125" s="835">
        <f t="shared" si="584"/>
        <v>31</v>
      </c>
      <c r="AF16125" s="831" t="s">
        <v>11708</v>
      </c>
      <c r="AG16125" s="831" t="s">
        <v>2674</v>
      </c>
      <c r="AH16125" s="831" t="s">
        <v>89</v>
      </c>
      <c r="AI16125" s="831">
        <v>0</v>
      </c>
      <c r="AJ16125" s="835">
        <v>41943</v>
      </c>
      <c r="AK16125" s="831">
        <v>159189</v>
      </c>
    </row>
    <row r="16126" spans="2:37">
      <c r="B16126" s="834" t="str">
        <f t="shared" si="583"/>
        <v>|||</v>
      </c>
      <c r="H16126" s="835">
        <f t="shared" si="584"/>
        <v>31</v>
      </c>
      <c r="AF16126" s="831" t="s">
        <v>11709</v>
      </c>
      <c r="AG16126" s="831" t="s">
        <v>2674</v>
      </c>
      <c r="AH16126" s="831" t="s">
        <v>557</v>
      </c>
      <c r="AI16126" s="831">
        <v>0</v>
      </c>
      <c r="AJ16126" s="835">
        <v>41943</v>
      </c>
      <c r="AK16126" s="831">
        <v>176925</v>
      </c>
    </row>
    <row r="16127" spans="2:37">
      <c r="B16127" s="834" t="str">
        <f t="shared" si="583"/>
        <v>|||</v>
      </c>
      <c r="H16127" s="835">
        <f t="shared" si="584"/>
        <v>31</v>
      </c>
      <c r="AF16127" s="831" t="s">
        <v>11710</v>
      </c>
      <c r="AG16127" s="831" t="s">
        <v>2674</v>
      </c>
      <c r="AH16127" s="831" t="s">
        <v>29</v>
      </c>
      <c r="AI16127" s="831">
        <v>0</v>
      </c>
      <c r="AJ16127" s="835">
        <v>41943</v>
      </c>
      <c r="AK16127" s="831">
        <v>4443738</v>
      </c>
    </row>
    <row r="16128" spans="2:37">
      <c r="B16128" s="834" t="str">
        <f t="shared" si="583"/>
        <v>|||</v>
      </c>
      <c r="H16128" s="835">
        <f t="shared" si="584"/>
        <v>31</v>
      </c>
      <c r="AF16128" s="831" t="s">
        <v>11711</v>
      </c>
      <c r="AG16128" s="831" t="s">
        <v>2674</v>
      </c>
      <c r="AH16128" s="831" t="s">
        <v>2688</v>
      </c>
      <c r="AI16128" s="831">
        <v>0</v>
      </c>
      <c r="AJ16128" s="835">
        <v>41943</v>
      </c>
      <c r="AK16128" s="831">
        <v>4878770.040000001</v>
      </c>
    </row>
    <row r="16129" spans="2:37">
      <c r="B16129" s="834" t="str">
        <f t="shared" si="583"/>
        <v>|||</v>
      </c>
      <c r="H16129" s="835">
        <f t="shared" si="584"/>
        <v>31</v>
      </c>
      <c r="AF16129" s="831" t="s">
        <v>11712</v>
      </c>
      <c r="AG16129" s="831" t="s">
        <v>2674</v>
      </c>
      <c r="AH16129" s="831" t="s">
        <v>556</v>
      </c>
      <c r="AI16129" s="831">
        <v>0</v>
      </c>
      <c r="AJ16129" s="835">
        <v>41943</v>
      </c>
      <c r="AK16129" s="831">
        <v>8151347</v>
      </c>
    </row>
    <row r="16130" spans="2:37">
      <c r="B16130" s="834" t="str">
        <f t="shared" si="583"/>
        <v>|||</v>
      </c>
      <c r="H16130" s="835">
        <f t="shared" si="584"/>
        <v>31</v>
      </c>
      <c r="AF16130" s="831" t="s">
        <v>11713</v>
      </c>
      <c r="AG16130" s="831" t="s">
        <v>2674</v>
      </c>
      <c r="AH16130" s="831" t="s">
        <v>555</v>
      </c>
      <c r="AI16130" s="831">
        <v>0</v>
      </c>
      <c r="AJ16130" s="835">
        <v>41943</v>
      </c>
      <c r="AK16130" s="831">
        <v>560953709</v>
      </c>
    </row>
    <row r="16131" spans="2:37">
      <c r="B16131" s="834" t="str">
        <f t="shared" si="583"/>
        <v>|||</v>
      </c>
      <c r="H16131" s="835">
        <f t="shared" si="584"/>
        <v>31</v>
      </c>
      <c r="AF16131" s="831" t="s">
        <v>11714</v>
      </c>
      <c r="AG16131" s="831" t="s">
        <v>2674</v>
      </c>
      <c r="AH16131" s="831" t="s">
        <v>554</v>
      </c>
      <c r="AI16131" s="831">
        <v>0</v>
      </c>
      <c r="AJ16131" s="835">
        <v>41943</v>
      </c>
      <c r="AK16131" s="831">
        <v>571019140</v>
      </c>
    </row>
    <row r="16132" spans="2:37">
      <c r="B16132" s="834" t="str">
        <f t="shared" si="583"/>
        <v>|||</v>
      </c>
      <c r="H16132" s="835">
        <f t="shared" si="584"/>
        <v>31</v>
      </c>
      <c r="AF16132" s="831" t="s">
        <v>11715</v>
      </c>
      <c r="AG16132" s="831" t="s">
        <v>2674</v>
      </c>
      <c r="AH16132" s="831" t="s">
        <v>553</v>
      </c>
      <c r="AI16132" s="831">
        <v>0</v>
      </c>
      <c r="AJ16132" s="835">
        <v>41943</v>
      </c>
      <c r="AK16132" s="831">
        <v>0</v>
      </c>
    </row>
    <row r="16133" spans="2:37">
      <c r="B16133" s="834" t="str">
        <f t="shared" si="583"/>
        <v>|||</v>
      </c>
      <c r="H16133" s="835">
        <f t="shared" si="584"/>
        <v>31</v>
      </c>
      <c r="AF16133" s="831" t="s">
        <v>11716</v>
      </c>
      <c r="AG16133" s="831" t="s">
        <v>2674</v>
      </c>
      <c r="AH16133" s="831" t="s">
        <v>552</v>
      </c>
      <c r="AI16133" s="831">
        <v>0</v>
      </c>
      <c r="AJ16133" s="835">
        <v>41943</v>
      </c>
      <c r="AK16133" s="831">
        <v>0</v>
      </c>
    </row>
    <row r="16134" spans="2:37">
      <c r="B16134" s="834" t="str">
        <f t="shared" si="583"/>
        <v>|||</v>
      </c>
      <c r="H16134" s="835">
        <f t="shared" si="584"/>
        <v>31</v>
      </c>
      <c r="AF16134" s="831" t="s">
        <v>11717</v>
      </c>
      <c r="AG16134" s="831" t="s">
        <v>2674</v>
      </c>
      <c r="AH16134" s="831" t="s">
        <v>551</v>
      </c>
      <c r="AI16134" s="831">
        <v>0</v>
      </c>
      <c r="AJ16134" s="835">
        <v>41943</v>
      </c>
      <c r="AK16134" s="831">
        <v>1179234</v>
      </c>
    </row>
    <row r="16135" spans="2:37">
      <c r="B16135" s="834" t="str">
        <f t="shared" si="583"/>
        <v>|||</v>
      </c>
      <c r="H16135" s="835">
        <f t="shared" si="584"/>
        <v>31</v>
      </c>
      <c r="AF16135" s="831" t="s">
        <v>11718</v>
      </c>
      <c r="AG16135" s="831" t="s">
        <v>2674</v>
      </c>
      <c r="AH16135" s="831" t="s">
        <v>550</v>
      </c>
      <c r="AI16135" s="831">
        <v>0</v>
      </c>
      <c r="AJ16135" s="835">
        <v>41943</v>
      </c>
      <c r="AK16135" s="831">
        <v>145830225</v>
      </c>
    </row>
    <row r="16136" spans="2:37">
      <c r="B16136" s="834" t="str">
        <f t="shared" si="583"/>
        <v>|||</v>
      </c>
      <c r="H16136" s="835">
        <f t="shared" si="584"/>
        <v>31</v>
      </c>
      <c r="AF16136" s="831" t="s">
        <v>11719</v>
      </c>
      <c r="AG16136" s="831" t="s">
        <v>2674</v>
      </c>
      <c r="AH16136" s="831" t="s">
        <v>562</v>
      </c>
      <c r="AI16136" s="831">
        <v>0</v>
      </c>
      <c r="AJ16136" s="835">
        <v>41943</v>
      </c>
      <c r="AK16136" s="831">
        <v>0.78380000000000005</v>
      </c>
    </row>
    <row r="16137" spans="2:37">
      <c r="B16137" s="834" t="str">
        <f t="shared" si="583"/>
        <v>|||</v>
      </c>
      <c r="H16137" s="835">
        <f t="shared" si="584"/>
        <v>31</v>
      </c>
      <c r="AF16137" s="831" t="s">
        <v>11720</v>
      </c>
      <c r="AG16137" s="831" t="s">
        <v>2674</v>
      </c>
      <c r="AH16137" s="831" t="s">
        <v>2698</v>
      </c>
      <c r="AI16137" s="831">
        <v>0</v>
      </c>
      <c r="AJ16137" s="835">
        <v>41943</v>
      </c>
      <c r="AK16137" s="831">
        <v>0.78325</v>
      </c>
    </row>
    <row r="16138" spans="2:37">
      <c r="B16138" s="834" t="str">
        <f t="shared" si="583"/>
        <v>|||</v>
      </c>
      <c r="H16138" s="835">
        <f t="shared" si="584"/>
        <v>31</v>
      </c>
      <c r="AF16138" s="831" t="s">
        <v>11721</v>
      </c>
      <c r="AG16138" s="831" t="s">
        <v>2674</v>
      </c>
      <c r="AH16138" s="831" t="s">
        <v>560</v>
      </c>
      <c r="AI16138" s="831">
        <v>0</v>
      </c>
      <c r="AJ16138" s="835">
        <v>41943</v>
      </c>
      <c r="AK16138" s="831">
        <v>0.78366000000000002</v>
      </c>
    </row>
    <row r="16139" spans="2:37">
      <c r="B16139" s="834" t="str">
        <f t="shared" si="583"/>
        <v>|||</v>
      </c>
      <c r="H16139" s="835">
        <f t="shared" si="584"/>
        <v>31</v>
      </c>
      <c r="AF16139" s="831" t="s">
        <v>11722</v>
      </c>
      <c r="AG16139" s="831" t="s">
        <v>2674</v>
      </c>
      <c r="AH16139" s="831" t="s">
        <v>559</v>
      </c>
      <c r="AI16139" s="831">
        <v>0</v>
      </c>
      <c r="AJ16139" s="835">
        <v>41943</v>
      </c>
      <c r="AK16139" s="831">
        <v>0.78364999999999985</v>
      </c>
    </row>
    <row r="16140" spans="2:37">
      <c r="B16140" s="834" t="str">
        <f t="shared" si="583"/>
        <v>|||</v>
      </c>
      <c r="H16140" s="835">
        <f t="shared" si="584"/>
        <v>31</v>
      </c>
      <c r="AF16140" s="831" t="s">
        <v>11723</v>
      </c>
      <c r="AG16140" s="831" t="s">
        <v>2674</v>
      </c>
      <c r="AH16140" s="831" t="s">
        <v>568</v>
      </c>
      <c r="AI16140" s="831">
        <v>0</v>
      </c>
      <c r="AJ16140" s="835">
        <v>41943</v>
      </c>
      <c r="AK16140" s="831">
        <v>688929865.38076925</v>
      </c>
    </row>
    <row r="16141" spans="2:37">
      <c r="B16141" s="834" t="str">
        <f t="shared" si="583"/>
        <v>|||</v>
      </c>
      <c r="H16141" s="835">
        <f t="shared" si="584"/>
        <v>31</v>
      </c>
      <c r="AF16141" s="831" t="s">
        <v>11724</v>
      </c>
      <c r="AG16141" s="831" t="s">
        <v>2674</v>
      </c>
      <c r="AH16141" s="831" t="s">
        <v>569</v>
      </c>
      <c r="AI16141" s="831">
        <v>0</v>
      </c>
      <c r="AJ16141" s="835">
        <v>41943</v>
      </c>
      <c r="AK16141" s="831">
        <v>855702939.81946158</v>
      </c>
    </row>
    <row r="16142" spans="2:37">
      <c r="B16142" s="834" t="str">
        <f t="shared" si="583"/>
        <v>|||</v>
      </c>
      <c r="H16142" s="835">
        <f t="shared" si="584"/>
        <v>31</v>
      </c>
      <c r="AF16142" s="831" t="s">
        <v>11725</v>
      </c>
      <c r="AG16142" s="831" t="s">
        <v>2674</v>
      </c>
      <c r="AH16142" s="831" t="s">
        <v>570</v>
      </c>
      <c r="AI16142" s="831">
        <v>0</v>
      </c>
      <c r="AJ16142" s="835">
        <v>41943</v>
      </c>
      <c r="AK16142" s="831">
        <v>129857553.83046153</v>
      </c>
    </row>
    <row r="16143" spans="2:37">
      <c r="B16143" s="834" t="str">
        <f t="shared" si="583"/>
        <v>|||</v>
      </c>
      <c r="H16143" s="835">
        <f t="shared" si="584"/>
        <v>31</v>
      </c>
      <c r="AF16143" s="831" t="s">
        <v>11726</v>
      </c>
      <c r="AG16143" s="831" t="s">
        <v>2674</v>
      </c>
      <c r="AH16143" s="831" t="s">
        <v>571</v>
      </c>
      <c r="AI16143" s="831">
        <v>0</v>
      </c>
      <c r="AJ16143" s="835">
        <v>41943</v>
      </c>
      <c r="AK16143" s="831">
        <v>421465171.16076922</v>
      </c>
    </row>
    <row r="16144" spans="2:37">
      <c r="B16144" s="834" t="str">
        <f t="shared" si="583"/>
        <v>|||</v>
      </c>
      <c r="H16144" s="835">
        <f t="shared" si="584"/>
        <v>31</v>
      </c>
      <c r="AF16144" s="831" t="s">
        <v>11727</v>
      </c>
      <c r="AG16144" s="831" t="s">
        <v>2674</v>
      </c>
      <c r="AH16144" s="831" t="s">
        <v>573</v>
      </c>
      <c r="AI16144" s="831">
        <v>0</v>
      </c>
      <c r="AJ16144" s="835">
        <v>41943</v>
      </c>
      <c r="AK16144" s="831">
        <v>877834571.86936367</v>
      </c>
    </row>
    <row r="16145" spans="2:37">
      <c r="B16145" s="834" t="str">
        <f t="shared" ref="B16145:B16208" si="585">C16145&amp;"|"&amp;D16145&amp;"|"&amp;E16145&amp;"|"&amp;F16145</f>
        <v>|||</v>
      </c>
      <c r="H16145" s="835">
        <f t="shared" ref="H16145:H16208" si="586">EOMONTH(L16145,0)</f>
        <v>31</v>
      </c>
      <c r="AF16145" s="831" t="s">
        <v>11728</v>
      </c>
      <c r="AG16145" s="831" t="s">
        <v>2674</v>
      </c>
      <c r="AH16145" s="831" t="s">
        <v>574</v>
      </c>
      <c r="AI16145" s="831">
        <v>0</v>
      </c>
      <c r="AJ16145" s="835">
        <v>41943</v>
      </c>
      <c r="AK16145" s="831">
        <v>707069780.09090912</v>
      </c>
    </row>
    <row r="16146" spans="2:37">
      <c r="B16146" s="834" t="str">
        <f t="shared" si="585"/>
        <v>|||</v>
      </c>
      <c r="H16146" s="835">
        <f t="shared" si="586"/>
        <v>31</v>
      </c>
      <c r="AF16146" s="831" t="s">
        <v>11729</v>
      </c>
      <c r="AG16146" s="831" t="s">
        <v>2674</v>
      </c>
      <c r="AH16146" s="831" t="s">
        <v>575</v>
      </c>
      <c r="AI16146" s="831">
        <v>0</v>
      </c>
      <c r="AJ16146" s="835">
        <v>41943</v>
      </c>
      <c r="AK16146" s="831">
        <v>131339945.17636365</v>
      </c>
    </row>
    <row r="16147" spans="2:37">
      <c r="B16147" s="834" t="str">
        <f t="shared" si="585"/>
        <v>|||</v>
      </c>
      <c r="H16147" s="835">
        <f t="shared" si="586"/>
        <v>31</v>
      </c>
      <c r="AF16147" s="831" t="s">
        <v>11730</v>
      </c>
      <c r="AG16147" s="831" t="s">
        <v>2674</v>
      </c>
      <c r="AH16147" s="831" t="s">
        <v>576</v>
      </c>
      <c r="AI16147" s="831">
        <v>0</v>
      </c>
      <c r="AJ16147" s="835">
        <v>41943</v>
      </c>
      <c r="AK16147" s="831">
        <v>433816282.72981817</v>
      </c>
    </row>
    <row r="16148" spans="2:37">
      <c r="B16148" s="834" t="str">
        <f t="shared" si="585"/>
        <v>|||</v>
      </c>
      <c r="H16148" s="835">
        <f t="shared" si="586"/>
        <v>31</v>
      </c>
      <c r="AF16148" s="831" t="s">
        <v>11731</v>
      </c>
      <c r="AG16148" s="831" t="s">
        <v>2674</v>
      </c>
      <c r="AH16148" s="831" t="s">
        <v>572</v>
      </c>
      <c r="AI16148" s="831">
        <v>0</v>
      </c>
      <c r="AJ16148" s="835">
        <v>41943</v>
      </c>
      <c r="AK16148" s="831">
        <v>34306433.956</v>
      </c>
    </row>
    <row r="16149" spans="2:37">
      <c r="B16149" s="834" t="str">
        <f t="shared" si="585"/>
        <v>|||</v>
      </c>
      <c r="H16149" s="835">
        <f t="shared" si="586"/>
        <v>31</v>
      </c>
      <c r="AF16149" s="831" t="s">
        <v>11732</v>
      </c>
      <c r="AG16149" s="831" t="s">
        <v>2674</v>
      </c>
      <c r="AH16149" s="831" t="s">
        <v>577</v>
      </c>
      <c r="AI16149" s="831">
        <v>0</v>
      </c>
      <c r="AJ16149" s="835">
        <v>41943</v>
      </c>
      <c r="AK16149" s="831">
        <v>169874551.76300001</v>
      </c>
    </row>
    <row r="16150" spans="2:37">
      <c r="B16150" s="834" t="str">
        <f t="shared" si="585"/>
        <v>|||</v>
      </c>
      <c r="H16150" s="835">
        <f t="shared" si="586"/>
        <v>31</v>
      </c>
      <c r="AF16150" s="831" t="s">
        <v>11733</v>
      </c>
      <c r="AG16150" s="831" t="s">
        <v>2674</v>
      </c>
      <c r="AH16150" s="831" t="s">
        <v>3042</v>
      </c>
      <c r="AI16150" s="831">
        <v>0</v>
      </c>
      <c r="AJ16150" s="835">
        <v>41943</v>
      </c>
      <c r="AK16150" s="831">
        <v>-49231778.527000003</v>
      </c>
    </row>
    <row r="16151" spans="2:37">
      <c r="B16151" s="834" t="str">
        <f t="shared" si="585"/>
        <v>|||</v>
      </c>
      <c r="H16151" s="835">
        <f t="shared" si="586"/>
        <v>31</v>
      </c>
      <c r="AF16151" s="831" t="s">
        <v>11734</v>
      </c>
      <c r="AG16151" s="831" t="s">
        <v>2674</v>
      </c>
      <c r="AH16151" s="831" t="s">
        <v>3044</v>
      </c>
      <c r="AI16151" s="831">
        <v>0</v>
      </c>
      <c r="AJ16151" s="835">
        <v>41943</v>
      </c>
      <c r="AK16151" s="831">
        <v>-1676338.8899999997</v>
      </c>
    </row>
    <row r="16152" spans="2:37">
      <c r="B16152" s="834" t="str">
        <f t="shared" si="585"/>
        <v>|||</v>
      </c>
      <c r="H16152" s="835">
        <f t="shared" si="586"/>
        <v>31</v>
      </c>
      <c r="AF16152" s="831" t="s">
        <v>11735</v>
      </c>
      <c r="AG16152" s="831" t="s">
        <v>2674</v>
      </c>
      <c r="AH16152" s="831" t="s">
        <v>580</v>
      </c>
      <c r="AI16152" s="831">
        <v>0</v>
      </c>
      <c r="AJ16152" s="835">
        <v>41943</v>
      </c>
      <c r="AK16152" s="831">
        <v>-77780641.306999996</v>
      </c>
    </row>
    <row r="16153" spans="2:37">
      <c r="B16153" s="834" t="str">
        <f t="shared" si="585"/>
        <v>|||</v>
      </c>
      <c r="H16153" s="835">
        <f t="shared" si="586"/>
        <v>31</v>
      </c>
      <c r="AF16153" s="831" t="s">
        <v>11736</v>
      </c>
      <c r="AG16153" s="831" t="s">
        <v>2674</v>
      </c>
      <c r="AH16153" s="831" t="s">
        <v>581</v>
      </c>
      <c r="AI16153" s="831">
        <v>0</v>
      </c>
      <c r="AJ16153" s="835">
        <v>41943</v>
      </c>
      <c r="AK16153" s="831">
        <v>4385512.8940000003</v>
      </c>
    </row>
    <row r="16154" spans="2:37">
      <c r="B16154" s="834" t="str">
        <f t="shared" si="585"/>
        <v>|||</v>
      </c>
      <c r="H16154" s="835">
        <f t="shared" si="586"/>
        <v>31</v>
      </c>
      <c r="AF16154" s="831" t="s">
        <v>11737</v>
      </c>
      <c r="AG16154" s="831" t="s">
        <v>2674</v>
      </c>
      <c r="AH16154" s="831" t="s">
        <v>105</v>
      </c>
      <c r="AI16154" s="831">
        <v>0</v>
      </c>
      <c r="AJ16154" s="835">
        <v>41943</v>
      </c>
      <c r="AK16154" s="831">
        <v>497850514</v>
      </c>
    </row>
    <row r="16155" spans="2:37">
      <c r="B16155" s="834" t="str">
        <f t="shared" si="585"/>
        <v>|||</v>
      </c>
      <c r="H16155" s="835">
        <f t="shared" si="586"/>
        <v>31</v>
      </c>
      <c r="AF16155" s="831" t="s">
        <v>11738</v>
      </c>
      <c r="AG16155" s="831" t="s">
        <v>2674</v>
      </c>
      <c r="AH16155" s="831" t="s">
        <v>3049</v>
      </c>
      <c r="AI16155" s="831">
        <v>0</v>
      </c>
      <c r="AJ16155" s="835">
        <v>41943</v>
      </c>
      <c r="AK16155" s="831">
        <v>819726974</v>
      </c>
    </row>
    <row r="16156" spans="2:37">
      <c r="B16156" s="834" t="str">
        <f t="shared" si="585"/>
        <v>|||</v>
      </c>
      <c r="H16156" s="835">
        <f t="shared" si="586"/>
        <v>31</v>
      </c>
      <c r="AF16156" s="831" t="s">
        <v>11739</v>
      </c>
      <c r="AG16156" s="831" t="s">
        <v>2674</v>
      </c>
      <c r="AH16156" s="831" t="s">
        <v>103</v>
      </c>
      <c r="AI16156" s="831">
        <v>0</v>
      </c>
      <c r="AJ16156" s="835">
        <v>41943</v>
      </c>
      <c r="AK16156" s="831">
        <v>321876460</v>
      </c>
    </row>
    <row r="16157" spans="2:37">
      <c r="B16157" s="834" t="str">
        <f t="shared" si="585"/>
        <v>|||</v>
      </c>
      <c r="H16157" s="835">
        <f t="shared" si="586"/>
        <v>31</v>
      </c>
      <c r="AF16157" s="831" t="s">
        <v>11740</v>
      </c>
      <c r="AG16157" s="831" t="s">
        <v>2674</v>
      </c>
      <c r="AH16157" s="831" t="s">
        <v>182</v>
      </c>
      <c r="AI16157" s="831">
        <v>0</v>
      </c>
      <c r="AJ16157" s="835">
        <v>41943</v>
      </c>
      <c r="AK16157" s="831">
        <v>74624670</v>
      </c>
    </row>
    <row r="16158" spans="2:37">
      <c r="B16158" s="834" t="str">
        <f t="shared" si="585"/>
        <v>|||</v>
      </c>
      <c r="H16158" s="835">
        <f t="shared" si="586"/>
        <v>31</v>
      </c>
      <c r="AF16158" s="831" t="s">
        <v>11741</v>
      </c>
      <c r="AG16158" s="831" t="s">
        <v>2674</v>
      </c>
      <c r="AH16158" s="831" t="s">
        <v>6600</v>
      </c>
      <c r="AI16158" s="831">
        <v>0</v>
      </c>
      <c r="AJ16158" s="835">
        <v>41943</v>
      </c>
      <c r="AK16158" s="831">
        <v>34306433.956</v>
      </c>
    </row>
    <row r="16159" spans="2:37">
      <c r="B16159" s="834" t="str">
        <f t="shared" si="585"/>
        <v>|||</v>
      </c>
      <c r="H16159" s="835">
        <f t="shared" si="586"/>
        <v>31</v>
      </c>
      <c r="AF16159" s="831" t="s">
        <v>11742</v>
      </c>
      <c r="AG16159" s="831" t="s">
        <v>2674</v>
      </c>
      <c r="AH16159" s="831" t="s">
        <v>6602</v>
      </c>
      <c r="AI16159" s="831">
        <v>0</v>
      </c>
      <c r="AJ16159" s="835">
        <v>41943</v>
      </c>
      <c r="AK16159" s="831">
        <v>32657533</v>
      </c>
    </row>
    <row r="16160" spans="2:37">
      <c r="B16160" s="834" t="str">
        <f t="shared" si="585"/>
        <v>|||</v>
      </c>
      <c r="H16160" s="835">
        <f t="shared" si="586"/>
        <v>31</v>
      </c>
      <c r="AF16160" s="831" t="s">
        <v>11743</v>
      </c>
      <c r="AG16160" s="831" t="s">
        <v>2674</v>
      </c>
      <c r="AH16160" s="831" t="s">
        <v>650</v>
      </c>
      <c r="AI16160" s="831">
        <v>0</v>
      </c>
      <c r="AJ16160" s="835">
        <v>41943</v>
      </c>
      <c r="AK16160" s="831">
        <v>280875581.18223077</v>
      </c>
    </row>
    <row r="16161" spans="2:37">
      <c r="B16161" s="834" t="str">
        <f t="shared" si="585"/>
        <v>|||</v>
      </c>
      <c r="H16161" s="835">
        <f t="shared" si="586"/>
        <v>31</v>
      </c>
      <c r="AF16161" s="831" t="s">
        <v>11744</v>
      </c>
      <c r="AG16161" s="831" t="s">
        <v>2674</v>
      </c>
      <c r="AH16161" s="831" t="s">
        <v>655</v>
      </c>
      <c r="AI16161" s="831">
        <v>0</v>
      </c>
      <c r="AJ16161" s="835">
        <v>41943</v>
      </c>
      <c r="AK16161" s="831">
        <v>824847</v>
      </c>
    </row>
    <row r="16162" spans="2:37">
      <c r="B16162" s="834" t="str">
        <f t="shared" si="585"/>
        <v>|||</v>
      </c>
      <c r="H16162" s="835">
        <f t="shared" si="586"/>
        <v>31</v>
      </c>
      <c r="AF16162" s="831" t="s">
        <v>11745</v>
      </c>
      <c r="AG16162" s="831" t="s">
        <v>2674</v>
      </c>
      <c r="AH16162" s="831" t="s">
        <v>546</v>
      </c>
      <c r="AI16162" s="831">
        <v>0</v>
      </c>
      <c r="AJ16162" s="835">
        <v>41973</v>
      </c>
      <c r="AK16162" s="831">
        <v>802902472</v>
      </c>
    </row>
    <row r="16163" spans="2:37">
      <c r="B16163" s="834" t="str">
        <f t="shared" si="585"/>
        <v>|||</v>
      </c>
      <c r="H16163" s="835">
        <f t="shared" si="586"/>
        <v>31</v>
      </c>
      <c r="AF16163" s="831" t="s">
        <v>11746</v>
      </c>
      <c r="AG16163" s="831" t="s">
        <v>2674</v>
      </c>
      <c r="AH16163" s="831" t="s">
        <v>370</v>
      </c>
      <c r="AI16163" s="831">
        <v>0</v>
      </c>
      <c r="AJ16163" s="835">
        <v>41973</v>
      </c>
      <c r="AK16163" s="831">
        <v>1000702434</v>
      </c>
    </row>
    <row r="16164" spans="2:37">
      <c r="B16164" s="834" t="str">
        <f t="shared" si="585"/>
        <v>|||</v>
      </c>
      <c r="H16164" s="835">
        <f t="shared" si="586"/>
        <v>31</v>
      </c>
      <c r="AF16164" s="831" t="s">
        <v>11747</v>
      </c>
      <c r="AG16164" s="831" t="s">
        <v>2674</v>
      </c>
      <c r="AH16164" s="831" t="s">
        <v>126</v>
      </c>
      <c r="AI16164" s="831">
        <v>0</v>
      </c>
      <c r="AJ16164" s="835">
        <v>41973</v>
      </c>
      <c r="AK16164" s="831">
        <v>153599665</v>
      </c>
    </row>
    <row r="16165" spans="2:37">
      <c r="B16165" s="834" t="str">
        <f t="shared" si="585"/>
        <v>|||</v>
      </c>
      <c r="H16165" s="835">
        <f t="shared" si="586"/>
        <v>31</v>
      </c>
      <c r="AF16165" s="831" t="s">
        <v>11748</v>
      </c>
      <c r="AG16165" s="831" t="s">
        <v>2674</v>
      </c>
      <c r="AH16165" s="831" t="s">
        <v>268</v>
      </c>
      <c r="AI16165" s="831">
        <v>0</v>
      </c>
      <c r="AJ16165" s="835">
        <v>41973</v>
      </c>
      <c r="AK16165" s="831">
        <v>35013602</v>
      </c>
    </row>
    <row r="16166" spans="2:37">
      <c r="B16166" s="834" t="str">
        <f t="shared" si="585"/>
        <v>|||</v>
      </c>
      <c r="H16166" s="835">
        <f t="shared" si="586"/>
        <v>31</v>
      </c>
      <c r="AF16166" s="831" t="s">
        <v>11749</v>
      </c>
      <c r="AG16166" s="831" t="s">
        <v>2674</v>
      </c>
      <c r="AH16166" s="831" t="s">
        <v>547</v>
      </c>
      <c r="AI16166" s="831">
        <v>0</v>
      </c>
      <c r="AJ16166" s="835">
        <v>41973</v>
      </c>
      <c r="AK16166" s="831">
        <v>777719977</v>
      </c>
    </row>
    <row r="16167" spans="2:37">
      <c r="B16167" s="834" t="str">
        <f t="shared" si="585"/>
        <v>|||</v>
      </c>
      <c r="H16167" s="835">
        <f t="shared" si="586"/>
        <v>31</v>
      </c>
      <c r="AF16167" s="831" t="s">
        <v>11750</v>
      </c>
      <c r="AG16167" s="831" t="s">
        <v>2674</v>
      </c>
      <c r="AH16167" s="831" t="s">
        <v>548</v>
      </c>
      <c r="AI16167" s="831">
        <v>0</v>
      </c>
      <c r="AJ16167" s="835">
        <v>41973</v>
      </c>
      <c r="AK16167" s="831">
        <v>117105496</v>
      </c>
    </row>
    <row r="16168" spans="2:37">
      <c r="B16168" s="834" t="str">
        <f t="shared" si="585"/>
        <v>|||</v>
      </c>
      <c r="H16168" s="835">
        <f t="shared" si="586"/>
        <v>31</v>
      </c>
      <c r="AF16168" s="831" t="s">
        <v>11751</v>
      </c>
      <c r="AG16168" s="831" t="s">
        <v>2674</v>
      </c>
      <c r="AH16168" s="831" t="s">
        <v>549</v>
      </c>
      <c r="AI16168" s="831">
        <v>0</v>
      </c>
      <c r="AJ16168" s="835">
        <v>41973</v>
      </c>
      <c r="AK16168" s="831">
        <v>598049309.95000005</v>
      </c>
    </row>
    <row r="16169" spans="2:37">
      <c r="B16169" s="834" t="str">
        <f t="shared" si="585"/>
        <v>|||</v>
      </c>
      <c r="H16169" s="835">
        <f t="shared" si="586"/>
        <v>31</v>
      </c>
      <c r="AF16169" s="831" t="s">
        <v>11752</v>
      </c>
      <c r="AG16169" s="831" t="s">
        <v>2674</v>
      </c>
      <c r="AH16169" s="831" t="s">
        <v>192</v>
      </c>
      <c r="AI16169" s="831">
        <v>0</v>
      </c>
      <c r="AJ16169" s="835">
        <v>41973</v>
      </c>
      <c r="AK16169" s="831">
        <v>-10647566</v>
      </c>
    </row>
    <row r="16170" spans="2:37">
      <c r="B16170" s="834" t="str">
        <f t="shared" si="585"/>
        <v>|||</v>
      </c>
      <c r="H16170" s="835">
        <f t="shared" si="586"/>
        <v>31</v>
      </c>
      <c r="AF16170" s="831" t="s">
        <v>11753</v>
      </c>
      <c r="AG16170" s="831" t="s">
        <v>2674</v>
      </c>
      <c r="AH16170" s="831" t="s">
        <v>558</v>
      </c>
      <c r="AI16170" s="831">
        <v>0</v>
      </c>
      <c r="AJ16170" s="835">
        <v>41973</v>
      </c>
      <c r="AK16170" s="831">
        <v>847102769</v>
      </c>
    </row>
    <row r="16171" spans="2:37">
      <c r="B16171" s="834" t="str">
        <f t="shared" si="585"/>
        <v>|||</v>
      </c>
      <c r="H16171" s="835">
        <f t="shared" si="586"/>
        <v>31</v>
      </c>
      <c r="AF16171" s="831" t="s">
        <v>11754</v>
      </c>
      <c r="AG16171" s="831" t="s">
        <v>2674</v>
      </c>
      <c r="AH16171" s="831" t="s">
        <v>65</v>
      </c>
      <c r="AI16171" s="831">
        <v>0</v>
      </c>
      <c r="AJ16171" s="835">
        <v>41973</v>
      </c>
      <c r="AK16171" s="831">
        <v>160301151</v>
      </c>
    </row>
    <row r="16172" spans="2:37">
      <c r="B16172" s="834" t="str">
        <f t="shared" si="585"/>
        <v>|||</v>
      </c>
      <c r="H16172" s="835">
        <f t="shared" si="586"/>
        <v>31</v>
      </c>
      <c r="AF16172" s="831" t="s">
        <v>11755</v>
      </c>
      <c r="AG16172" s="831" t="s">
        <v>2674</v>
      </c>
      <c r="AH16172" s="831" t="s">
        <v>89</v>
      </c>
      <c r="AI16172" s="831">
        <v>0</v>
      </c>
      <c r="AJ16172" s="835">
        <v>41973</v>
      </c>
      <c r="AK16172" s="831">
        <v>158266</v>
      </c>
    </row>
    <row r="16173" spans="2:37">
      <c r="B16173" s="834" t="str">
        <f t="shared" si="585"/>
        <v>|||</v>
      </c>
      <c r="H16173" s="835">
        <f t="shared" si="586"/>
        <v>31</v>
      </c>
      <c r="AF16173" s="831" t="s">
        <v>11756</v>
      </c>
      <c r="AG16173" s="831" t="s">
        <v>2674</v>
      </c>
      <c r="AH16173" s="831" t="s">
        <v>557</v>
      </c>
      <c r="AI16173" s="831">
        <v>0</v>
      </c>
      <c r="AJ16173" s="835">
        <v>41973</v>
      </c>
      <c r="AK16173" s="831">
        <v>179245</v>
      </c>
    </row>
    <row r="16174" spans="2:37">
      <c r="B16174" s="834" t="str">
        <f t="shared" si="585"/>
        <v>|||</v>
      </c>
      <c r="H16174" s="835">
        <f t="shared" si="586"/>
        <v>31</v>
      </c>
      <c r="AF16174" s="831" t="s">
        <v>11757</v>
      </c>
      <c r="AG16174" s="831" t="s">
        <v>2674</v>
      </c>
      <c r="AH16174" s="831" t="s">
        <v>29</v>
      </c>
      <c r="AI16174" s="831">
        <v>0</v>
      </c>
      <c r="AJ16174" s="835">
        <v>41973</v>
      </c>
      <c r="AK16174" s="831">
        <v>4556685.3900000006</v>
      </c>
    </row>
    <row r="16175" spans="2:37">
      <c r="B16175" s="834" t="str">
        <f t="shared" si="585"/>
        <v>|||</v>
      </c>
      <c r="H16175" s="835">
        <f t="shared" si="586"/>
        <v>31</v>
      </c>
      <c r="AF16175" s="831" t="s">
        <v>11758</v>
      </c>
      <c r="AG16175" s="831" t="s">
        <v>2674</v>
      </c>
      <c r="AH16175" s="831" t="s">
        <v>2688</v>
      </c>
      <c r="AI16175" s="831">
        <v>0</v>
      </c>
      <c r="AJ16175" s="835">
        <v>41973</v>
      </c>
      <c r="AK16175" s="831">
        <v>4982602.75</v>
      </c>
    </row>
    <row r="16176" spans="2:37">
      <c r="B16176" s="834" t="str">
        <f t="shared" si="585"/>
        <v>|||</v>
      </c>
      <c r="H16176" s="835">
        <f t="shared" si="586"/>
        <v>31</v>
      </c>
      <c r="AF16176" s="831" t="s">
        <v>11759</v>
      </c>
      <c r="AG16176" s="831" t="s">
        <v>2674</v>
      </c>
      <c r="AH16176" s="831" t="s">
        <v>556</v>
      </c>
      <c r="AI16176" s="831">
        <v>0</v>
      </c>
      <c r="AJ16176" s="835">
        <v>41973</v>
      </c>
      <c r="AK16176" s="831">
        <v>9781741</v>
      </c>
    </row>
    <row r="16177" spans="2:37">
      <c r="B16177" s="834" t="str">
        <f t="shared" si="585"/>
        <v>|||</v>
      </c>
      <c r="H16177" s="835">
        <f t="shared" si="586"/>
        <v>31</v>
      </c>
      <c r="AF16177" s="831" t="s">
        <v>11760</v>
      </c>
      <c r="AG16177" s="831" t="s">
        <v>2674</v>
      </c>
      <c r="AH16177" s="831" t="s">
        <v>555</v>
      </c>
      <c r="AI16177" s="831">
        <v>0</v>
      </c>
      <c r="AJ16177" s="835">
        <v>41973</v>
      </c>
      <c r="AK16177" s="831">
        <v>559691148</v>
      </c>
    </row>
    <row r="16178" spans="2:37">
      <c r="B16178" s="834" t="str">
        <f t="shared" si="585"/>
        <v>|||</v>
      </c>
      <c r="H16178" s="835">
        <f t="shared" si="586"/>
        <v>31</v>
      </c>
      <c r="AF16178" s="831" t="s">
        <v>11761</v>
      </c>
      <c r="AG16178" s="831" t="s">
        <v>2674</v>
      </c>
      <c r="AH16178" s="831" t="s">
        <v>554</v>
      </c>
      <c r="AI16178" s="831">
        <v>0</v>
      </c>
      <c r="AJ16178" s="835">
        <v>41973</v>
      </c>
      <c r="AK16178" s="831">
        <v>562759560</v>
      </c>
    </row>
    <row r="16179" spans="2:37">
      <c r="B16179" s="834" t="str">
        <f t="shared" si="585"/>
        <v>|||</v>
      </c>
      <c r="H16179" s="835">
        <f t="shared" si="586"/>
        <v>31</v>
      </c>
      <c r="AF16179" s="831" t="s">
        <v>11762</v>
      </c>
      <c r="AG16179" s="831" t="s">
        <v>2674</v>
      </c>
      <c r="AH16179" s="831" t="s">
        <v>553</v>
      </c>
      <c r="AI16179" s="831">
        <v>0</v>
      </c>
      <c r="AJ16179" s="835">
        <v>41973</v>
      </c>
      <c r="AK16179" s="831">
        <v>0</v>
      </c>
    </row>
    <row r="16180" spans="2:37">
      <c r="B16180" s="834" t="str">
        <f t="shared" si="585"/>
        <v>|||</v>
      </c>
      <c r="H16180" s="835">
        <f t="shared" si="586"/>
        <v>31</v>
      </c>
      <c r="AF16180" s="831" t="s">
        <v>11763</v>
      </c>
      <c r="AG16180" s="831" t="s">
        <v>2674</v>
      </c>
      <c r="AH16180" s="831" t="s">
        <v>552</v>
      </c>
      <c r="AI16180" s="831">
        <v>0</v>
      </c>
      <c r="AJ16180" s="835">
        <v>41973</v>
      </c>
      <c r="AK16180" s="831">
        <v>0</v>
      </c>
    </row>
    <row r="16181" spans="2:37">
      <c r="B16181" s="834" t="str">
        <f t="shared" si="585"/>
        <v>|||</v>
      </c>
      <c r="H16181" s="835">
        <f t="shared" si="586"/>
        <v>31</v>
      </c>
      <c r="AF16181" s="831" t="s">
        <v>11764</v>
      </c>
      <c r="AG16181" s="831" t="s">
        <v>2674</v>
      </c>
      <c r="AH16181" s="831" t="s">
        <v>551</v>
      </c>
      <c r="AI16181" s="831">
        <v>0</v>
      </c>
      <c r="AJ16181" s="835">
        <v>41973</v>
      </c>
      <c r="AK16181" s="831">
        <v>3921189.3899999997</v>
      </c>
    </row>
    <row r="16182" spans="2:37">
      <c r="B16182" s="834" t="str">
        <f t="shared" si="585"/>
        <v>|||</v>
      </c>
      <c r="H16182" s="835">
        <f t="shared" si="586"/>
        <v>31</v>
      </c>
      <c r="AF16182" s="831" t="s">
        <v>11765</v>
      </c>
      <c r="AG16182" s="831" t="s">
        <v>2674</v>
      </c>
      <c r="AH16182" s="831" t="s">
        <v>550</v>
      </c>
      <c r="AI16182" s="831">
        <v>0</v>
      </c>
      <c r="AJ16182" s="835">
        <v>41973</v>
      </c>
      <c r="AK16182" s="831">
        <v>149380039</v>
      </c>
    </row>
    <row r="16183" spans="2:37">
      <c r="B16183" s="834" t="str">
        <f t="shared" si="585"/>
        <v>|||</v>
      </c>
      <c r="H16183" s="835">
        <f t="shared" si="586"/>
        <v>31</v>
      </c>
      <c r="AF16183" s="831" t="s">
        <v>11766</v>
      </c>
      <c r="AG16183" s="831" t="s">
        <v>2674</v>
      </c>
      <c r="AH16183" s="831" t="s">
        <v>562</v>
      </c>
      <c r="AI16183" s="831">
        <v>0</v>
      </c>
      <c r="AJ16183" s="835">
        <v>41973</v>
      </c>
      <c r="AK16183" s="831">
        <v>0.78390000000000004</v>
      </c>
    </row>
    <row r="16184" spans="2:37">
      <c r="B16184" s="834" t="str">
        <f t="shared" si="585"/>
        <v>|||</v>
      </c>
      <c r="H16184" s="835">
        <f t="shared" si="586"/>
        <v>31</v>
      </c>
      <c r="AF16184" s="831" t="s">
        <v>11767</v>
      </c>
      <c r="AG16184" s="831" t="s">
        <v>2674</v>
      </c>
      <c r="AH16184" s="831" t="s">
        <v>2698</v>
      </c>
      <c r="AI16184" s="831">
        <v>0</v>
      </c>
      <c r="AJ16184" s="835">
        <v>41973</v>
      </c>
      <c r="AK16184" s="831">
        <v>0.78380000000000005</v>
      </c>
    </row>
    <row r="16185" spans="2:37">
      <c r="B16185" s="834" t="str">
        <f t="shared" si="585"/>
        <v>|||</v>
      </c>
      <c r="H16185" s="835">
        <f t="shared" si="586"/>
        <v>31</v>
      </c>
      <c r="AF16185" s="831" t="s">
        <v>11768</v>
      </c>
      <c r="AG16185" s="831" t="s">
        <v>2674</v>
      </c>
      <c r="AH16185" s="831" t="s">
        <v>560</v>
      </c>
      <c r="AI16185" s="831">
        <v>0</v>
      </c>
      <c r="AJ16185" s="835">
        <v>41973</v>
      </c>
      <c r="AK16185" s="831">
        <v>0.78368181818181837</v>
      </c>
    </row>
    <row r="16186" spans="2:37">
      <c r="B16186" s="834" t="str">
        <f t="shared" si="585"/>
        <v>|||</v>
      </c>
      <c r="H16186" s="835">
        <f t="shared" si="586"/>
        <v>31</v>
      </c>
      <c r="AF16186" s="831" t="s">
        <v>11769</v>
      </c>
      <c r="AG16186" s="831" t="s">
        <v>2674</v>
      </c>
      <c r="AH16186" s="831" t="s">
        <v>559</v>
      </c>
      <c r="AI16186" s="831">
        <v>0</v>
      </c>
      <c r="AJ16186" s="835">
        <v>41973</v>
      </c>
      <c r="AK16186" s="831">
        <v>0.78365416666666687</v>
      </c>
    </row>
    <row r="16187" spans="2:37">
      <c r="B16187" s="834" t="str">
        <f t="shared" si="585"/>
        <v>|||</v>
      </c>
      <c r="H16187" s="835">
        <f t="shared" si="586"/>
        <v>31</v>
      </c>
      <c r="AF16187" s="831" t="s">
        <v>11770</v>
      </c>
      <c r="AG16187" s="831" t="s">
        <v>2674</v>
      </c>
      <c r="AH16187" s="831" t="s">
        <v>568</v>
      </c>
      <c r="AI16187" s="831">
        <v>0</v>
      </c>
      <c r="AJ16187" s="835">
        <v>41973</v>
      </c>
      <c r="AK16187" s="831">
        <v>706055335.61153853</v>
      </c>
    </row>
    <row r="16188" spans="2:37">
      <c r="B16188" s="834" t="str">
        <f t="shared" si="585"/>
        <v>|||</v>
      </c>
      <c r="H16188" s="835">
        <f t="shared" si="586"/>
        <v>31</v>
      </c>
      <c r="AF16188" s="831" t="s">
        <v>11771</v>
      </c>
      <c r="AG16188" s="831" t="s">
        <v>2674</v>
      </c>
      <c r="AH16188" s="831" t="s">
        <v>569</v>
      </c>
      <c r="AI16188" s="831">
        <v>0</v>
      </c>
      <c r="AJ16188" s="835">
        <v>41973</v>
      </c>
      <c r="AK16188" s="831">
        <v>877011865.12715387</v>
      </c>
    </row>
    <row r="16189" spans="2:37">
      <c r="B16189" s="834" t="str">
        <f t="shared" si="585"/>
        <v>|||</v>
      </c>
      <c r="H16189" s="835">
        <f t="shared" si="586"/>
        <v>31</v>
      </c>
      <c r="AF16189" s="831" t="s">
        <v>11772</v>
      </c>
      <c r="AG16189" s="831" t="s">
        <v>2674</v>
      </c>
      <c r="AH16189" s="831" t="s">
        <v>570</v>
      </c>
      <c r="AI16189" s="831">
        <v>0</v>
      </c>
      <c r="AJ16189" s="835">
        <v>41973</v>
      </c>
      <c r="AK16189" s="831">
        <v>132419769.36892308</v>
      </c>
    </row>
    <row r="16190" spans="2:37">
      <c r="B16190" s="834" t="str">
        <f t="shared" si="585"/>
        <v>|||</v>
      </c>
      <c r="H16190" s="835">
        <f t="shared" si="586"/>
        <v>31</v>
      </c>
      <c r="AF16190" s="831" t="s">
        <v>11773</v>
      </c>
      <c r="AG16190" s="831" t="s">
        <v>2674</v>
      </c>
      <c r="AH16190" s="831" t="s">
        <v>571</v>
      </c>
      <c r="AI16190" s="831">
        <v>0</v>
      </c>
      <c r="AJ16190" s="835">
        <v>41973</v>
      </c>
      <c r="AK16190" s="831">
        <v>432199968.69923079</v>
      </c>
    </row>
    <row r="16191" spans="2:37">
      <c r="B16191" s="834" t="str">
        <f t="shared" si="585"/>
        <v>|||</v>
      </c>
      <c r="H16191" s="835">
        <f t="shared" si="586"/>
        <v>31</v>
      </c>
      <c r="AF16191" s="831" t="s">
        <v>11774</v>
      </c>
      <c r="AG16191" s="831" t="s">
        <v>2674</v>
      </c>
      <c r="AH16191" s="831" t="s">
        <v>573</v>
      </c>
      <c r="AI16191" s="831">
        <v>0</v>
      </c>
      <c r="AJ16191" s="835">
        <v>41973</v>
      </c>
      <c r="AK16191" s="831">
        <v>888073560.38024998</v>
      </c>
    </row>
    <row r="16192" spans="2:37">
      <c r="B16192" s="834" t="str">
        <f t="shared" si="585"/>
        <v>|||</v>
      </c>
      <c r="H16192" s="835">
        <f t="shared" si="586"/>
        <v>31</v>
      </c>
      <c r="AF16192" s="831" t="s">
        <v>11775</v>
      </c>
      <c r="AG16192" s="831" t="s">
        <v>2674</v>
      </c>
      <c r="AH16192" s="831" t="s">
        <v>574</v>
      </c>
      <c r="AI16192" s="831">
        <v>0</v>
      </c>
      <c r="AJ16192" s="835">
        <v>41973</v>
      </c>
      <c r="AK16192" s="831">
        <v>715055837.75</v>
      </c>
    </row>
    <row r="16193" spans="2:37">
      <c r="B16193" s="834" t="str">
        <f t="shared" si="585"/>
        <v>|||</v>
      </c>
      <c r="H16193" s="835">
        <f t="shared" si="586"/>
        <v>31</v>
      </c>
      <c r="AF16193" s="831" t="s">
        <v>11776</v>
      </c>
      <c r="AG16193" s="831" t="s">
        <v>2674</v>
      </c>
      <c r="AH16193" s="831" t="s">
        <v>575</v>
      </c>
      <c r="AI16193" s="831">
        <v>0</v>
      </c>
      <c r="AJ16193" s="835">
        <v>41973</v>
      </c>
      <c r="AK16193" s="831">
        <v>133194921.82833333</v>
      </c>
    </row>
    <row r="16194" spans="2:37">
      <c r="B16194" s="834" t="str">
        <f t="shared" si="585"/>
        <v>|||</v>
      </c>
      <c r="H16194" s="835">
        <f t="shared" si="586"/>
        <v>31</v>
      </c>
      <c r="AF16194" s="831" t="s">
        <v>11777</v>
      </c>
      <c r="AG16194" s="831" t="s">
        <v>2674</v>
      </c>
      <c r="AH16194" s="831" t="s">
        <v>576</v>
      </c>
      <c r="AI16194" s="831">
        <v>0</v>
      </c>
      <c r="AJ16194" s="835">
        <v>41973</v>
      </c>
      <c r="AK16194" s="831">
        <v>438403431.08566666</v>
      </c>
    </row>
    <row r="16195" spans="2:37">
      <c r="B16195" s="834" t="str">
        <f t="shared" si="585"/>
        <v>|||</v>
      </c>
      <c r="H16195" s="835">
        <f t="shared" si="586"/>
        <v>31</v>
      </c>
      <c r="AF16195" s="831" t="s">
        <v>11778</v>
      </c>
      <c r="AG16195" s="831" t="s">
        <v>2674</v>
      </c>
      <c r="AH16195" s="831" t="s">
        <v>572</v>
      </c>
      <c r="AI16195" s="831">
        <v>0</v>
      </c>
      <c r="AJ16195" s="835">
        <v>41973</v>
      </c>
      <c r="AK16195" s="831">
        <v>33835425.924000025</v>
      </c>
    </row>
    <row r="16196" spans="2:37">
      <c r="B16196" s="834" t="str">
        <f t="shared" si="585"/>
        <v>|||</v>
      </c>
      <c r="H16196" s="835">
        <f t="shared" si="586"/>
        <v>31</v>
      </c>
      <c r="AF16196" s="831" t="s">
        <v>11779</v>
      </c>
      <c r="AG16196" s="831" t="s">
        <v>2674</v>
      </c>
      <c r="AH16196" s="831" t="s">
        <v>577</v>
      </c>
      <c r="AI16196" s="831">
        <v>0</v>
      </c>
      <c r="AJ16196" s="835">
        <v>41973</v>
      </c>
      <c r="AK16196" s="831">
        <v>173617070.52700001</v>
      </c>
    </row>
    <row r="16197" spans="2:37">
      <c r="B16197" s="834" t="str">
        <f t="shared" si="585"/>
        <v>|||</v>
      </c>
      <c r="H16197" s="835">
        <f t="shared" si="586"/>
        <v>31</v>
      </c>
      <c r="AF16197" s="831" t="s">
        <v>11780</v>
      </c>
      <c r="AG16197" s="831" t="s">
        <v>2674</v>
      </c>
      <c r="AH16197" s="831" t="s">
        <v>3042</v>
      </c>
      <c r="AI16197" s="831">
        <v>0</v>
      </c>
      <c r="AJ16197" s="835">
        <v>41973</v>
      </c>
      <c r="AK16197" s="831">
        <v>-50695273.862000003</v>
      </c>
    </row>
    <row r="16198" spans="2:37">
      <c r="B16198" s="834" t="str">
        <f t="shared" si="585"/>
        <v>|||</v>
      </c>
      <c r="H16198" s="835">
        <f t="shared" si="586"/>
        <v>31</v>
      </c>
      <c r="AF16198" s="831" t="s">
        <v>11781</v>
      </c>
      <c r="AG16198" s="831" t="s">
        <v>2674</v>
      </c>
      <c r="AH16198" s="831" t="s">
        <v>3044</v>
      </c>
      <c r="AI16198" s="831">
        <v>0</v>
      </c>
      <c r="AJ16198" s="835">
        <v>41973</v>
      </c>
      <c r="AK16198" s="831">
        <v>-2169383.0120000001</v>
      </c>
    </row>
    <row r="16199" spans="2:37">
      <c r="B16199" s="834" t="str">
        <f t="shared" si="585"/>
        <v>|||</v>
      </c>
      <c r="H16199" s="835">
        <f t="shared" si="586"/>
        <v>31</v>
      </c>
      <c r="AF16199" s="831" t="s">
        <v>11782</v>
      </c>
      <c r="AG16199" s="831" t="s">
        <v>2674</v>
      </c>
      <c r="AH16199" s="831" t="s">
        <v>580</v>
      </c>
      <c r="AI16199" s="831">
        <v>0</v>
      </c>
      <c r="AJ16199" s="835">
        <v>41973</v>
      </c>
      <c r="AK16199" s="831">
        <v>-79126603.180999994</v>
      </c>
    </row>
    <row r="16200" spans="2:37">
      <c r="B16200" s="834" t="str">
        <f t="shared" si="585"/>
        <v>|||</v>
      </c>
      <c r="H16200" s="835">
        <f t="shared" si="586"/>
        <v>31</v>
      </c>
      <c r="AF16200" s="831" t="s">
        <v>11783</v>
      </c>
      <c r="AG16200" s="831" t="s">
        <v>2674</v>
      </c>
      <c r="AH16200" s="831" t="s">
        <v>581</v>
      </c>
      <c r="AI16200" s="831">
        <v>0</v>
      </c>
      <c r="AJ16200" s="835">
        <v>41973</v>
      </c>
      <c r="AK16200" s="831">
        <v>4040122.4290000005</v>
      </c>
    </row>
    <row r="16201" spans="2:37">
      <c r="B16201" s="834" t="str">
        <f t="shared" si="585"/>
        <v>|||</v>
      </c>
      <c r="H16201" s="835">
        <f t="shared" si="586"/>
        <v>31</v>
      </c>
      <c r="AF16201" s="831" t="s">
        <v>11784</v>
      </c>
      <c r="AG16201" s="831" t="s">
        <v>2674</v>
      </c>
      <c r="AH16201" s="831" t="s">
        <v>105</v>
      </c>
      <c r="AI16201" s="831">
        <v>0</v>
      </c>
      <c r="AJ16201" s="835">
        <v>41973</v>
      </c>
      <c r="AK16201" s="831">
        <v>488862063</v>
      </c>
    </row>
    <row r="16202" spans="2:37">
      <c r="B16202" s="834" t="str">
        <f t="shared" si="585"/>
        <v>|||</v>
      </c>
      <c r="H16202" s="835">
        <f t="shared" si="586"/>
        <v>31</v>
      </c>
      <c r="AF16202" s="831" t="s">
        <v>11785</v>
      </c>
      <c r="AG16202" s="831" t="s">
        <v>2674</v>
      </c>
      <c r="AH16202" s="831" t="s">
        <v>3049</v>
      </c>
      <c r="AI16202" s="831">
        <v>0</v>
      </c>
      <c r="AJ16202" s="835">
        <v>41973</v>
      </c>
      <c r="AK16202" s="831">
        <v>810336503</v>
      </c>
    </row>
    <row r="16203" spans="2:37">
      <c r="B16203" s="834" t="str">
        <f t="shared" si="585"/>
        <v>|||</v>
      </c>
      <c r="H16203" s="835">
        <f t="shared" si="586"/>
        <v>31</v>
      </c>
      <c r="AF16203" s="831" t="s">
        <v>11786</v>
      </c>
      <c r="AG16203" s="831" t="s">
        <v>2674</v>
      </c>
      <c r="AH16203" s="831" t="s">
        <v>103</v>
      </c>
      <c r="AI16203" s="831">
        <v>0</v>
      </c>
      <c r="AJ16203" s="835">
        <v>41973</v>
      </c>
      <c r="AK16203" s="831">
        <v>321474440</v>
      </c>
    </row>
    <row r="16204" spans="2:37">
      <c r="B16204" s="834" t="str">
        <f t="shared" si="585"/>
        <v>|||</v>
      </c>
      <c r="H16204" s="835">
        <f t="shared" si="586"/>
        <v>31</v>
      </c>
      <c r="AF16204" s="831" t="s">
        <v>11787</v>
      </c>
      <c r="AG16204" s="831" t="s">
        <v>2674</v>
      </c>
      <c r="AH16204" s="831" t="s">
        <v>182</v>
      </c>
      <c r="AI16204" s="831">
        <v>0</v>
      </c>
      <c r="AJ16204" s="835">
        <v>41973</v>
      </c>
      <c r="AK16204" s="831">
        <v>75281666.181818187</v>
      </c>
    </row>
    <row r="16205" spans="2:37">
      <c r="B16205" s="834" t="str">
        <f t="shared" si="585"/>
        <v>|||</v>
      </c>
      <c r="H16205" s="835">
        <f t="shared" si="586"/>
        <v>31</v>
      </c>
      <c r="AF16205" s="831" t="s">
        <v>11788</v>
      </c>
      <c r="AG16205" s="831" t="s">
        <v>2674</v>
      </c>
      <c r="AH16205" s="831" t="s">
        <v>6600</v>
      </c>
      <c r="AI16205" s="831">
        <v>0</v>
      </c>
      <c r="AJ16205" s="835">
        <v>41973</v>
      </c>
      <c r="AK16205" s="831">
        <v>33835425.924000025</v>
      </c>
    </row>
    <row r="16206" spans="2:37">
      <c r="B16206" s="834" t="str">
        <f t="shared" si="585"/>
        <v>|||</v>
      </c>
      <c r="H16206" s="835">
        <f t="shared" si="586"/>
        <v>31</v>
      </c>
      <c r="AF16206" s="831" t="s">
        <v>11789</v>
      </c>
      <c r="AG16206" s="831" t="s">
        <v>2674</v>
      </c>
      <c r="AH16206" s="831" t="s">
        <v>6602</v>
      </c>
      <c r="AI16206" s="831">
        <v>0</v>
      </c>
      <c r="AJ16206" s="835">
        <v>41973</v>
      </c>
      <c r="AK16206" s="831">
        <v>35013602</v>
      </c>
    </row>
    <row r="16207" spans="2:37">
      <c r="B16207" s="834" t="str">
        <f t="shared" si="585"/>
        <v>|||</v>
      </c>
      <c r="H16207" s="835">
        <f t="shared" si="586"/>
        <v>31</v>
      </c>
      <c r="AF16207" s="831" t="s">
        <v>11790</v>
      </c>
      <c r="AG16207" s="831" t="s">
        <v>2674</v>
      </c>
      <c r="AH16207" s="831" t="s">
        <v>650</v>
      </c>
      <c r="AI16207" s="831">
        <v>0</v>
      </c>
      <c r="AJ16207" s="835">
        <v>41973</v>
      </c>
      <c r="AK16207" s="831">
        <v>287670371.56684613</v>
      </c>
    </row>
    <row r="16208" spans="2:37">
      <c r="B16208" s="834" t="str">
        <f t="shared" si="585"/>
        <v>|||</v>
      </c>
      <c r="H16208" s="835">
        <f t="shared" si="586"/>
        <v>31</v>
      </c>
      <c r="AF16208" s="831" t="s">
        <v>11791</v>
      </c>
      <c r="AG16208" s="831" t="s">
        <v>2674</v>
      </c>
      <c r="AH16208" s="831" t="s">
        <v>655</v>
      </c>
      <c r="AI16208" s="831">
        <v>0</v>
      </c>
      <c r="AJ16208" s="835">
        <v>41973</v>
      </c>
      <c r="AK16208" s="831">
        <v>919694.3899999999</v>
      </c>
    </row>
    <row r="16209" spans="2:37">
      <c r="B16209" s="834" t="str">
        <f t="shared" ref="B16209:B16272" si="587">C16209&amp;"|"&amp;D16209&amp;"|"&amp;E16209&amp;"|"&amp;F16209</f>
        <v>|||</v>
      </c>
      <c r="H16209" s="835">
        <f t="shared" ref="H16209:H16272" si="588">EOMONTH(L16209,0)</f>
        <v>31</v>
      </c>
      <c r="AF16209" s="831" t="s">
        <v>11792</v>
      </c>
      <c r="AG16209" s="831" t="s">
        <v>2674</v>
      </c>
      <c r="AH16209" s="831" t="s">
        <v>546</v>
      </c>
      <c r="AI16209" s="831">
        <v>0</v>
      </c>
      <c r="AJ16209" s="835">
        <v>42004</v>
      </c>
      <c r="AK16209" s="831">
        <v>828920000</v>
      </c>
    </row>
    <row r="16210" spans="2:37">
      <c r="B16210" s="834" t="str">
        <f t="shared" si="587"/>
        <v>|||</v>
      </c>
      <c r="H16210" s="835">
        <f t="shared" si="588"/>
        <v>31</v>
      </c>
      <c r="AF16210" s="831" t="s">
        <v>11793</v>
      </c>
      <c r="AG16210" s="831" t="s">
        <v>2674</v>
      </c>
      <c r="AH16210" s="831" t="s">
        <v>370</v>
      </c>
      <c r="AI16210" s="831">
        <v>0</v>
      </c>
      <c r="AJ16210" s="835">
        <v>42004</v>
      </c>
      <c r="AK16210" s="831">
        <v>1042210000</v>
      </c>
    </row>
    <row r="16211" spans="2:37">
      <c r="B16211" s="834" t="str">
        <f t="shared" si="587"/>
        <v>|||</v>
      </c>
      <c r="H16211" s="835">
        <f t="shared" si="588"/>
        <v>31</v>
      </c>
      <c r="AF16211" s="831" t="s">
        <v>11794</v>
      </c>
      <c r="AG16211" s="831" t="s">
        <v>2674</v>
      </c>
      <c r="AH16211" s="831" t="s">
        <v>126</v>
      </c>
      <c r="AI16211" s="831">
        <v>0</v>
      </c>
      <c r="AJ16211" s="835">
        <v>42004</v>
      </c>
      <c r="AK16211" s="831">
        <v>145409000</v>
      </c>
    </row>
    <row r="16212" spans="2:37">
      <c r="B16212" s="834" t="str">
        <f t="shared" si="587"/>
        <v>|||</v>
      </c>
      <c r="H16212" s="835">
        <f t="shared" si="588"/>
        <v>31</v>
      </c>
      <c r="AF16212" s="831" t="s">
        <v>11795</v>
      </c>
      <c r="AG16212" s="831" t="s">
        <v>2674</v>
      </c>
      <c r="AH16212" s="831" t="s">
        <v>268</v>
      </c>
      <c r="AI16212" s="831">
        <v>0</v>
      </c>
      <c r="AJ16212" s="835">
        <v>42004</v>
      </c>
      <c r="AK16212" s="831">
        <v>43040000</v>
      </c>
    </row>
    <row r="16213" spans="2:37">
      <c r="B16213" s="834" t="str">
        <f t="shared" si="587"/>
        <v>|||</v>
      </c>
      <c r="H16213" s="835">
        <f t="shared" si="588"/>
        <v>31</v>
      </c>
      <c r="AF16213" s="831" t="s">
        <v>11796</v>
      </c>
      <c r="AG16213" s="831" t="s">
        <v>2674</v>
      </c>
      <c r="AH16213" s="831" t="s">
        <v>547</v>
      </c>
      <c r="AI16213" s="831">
        <v>0</v>
      </c>
      <c r="AJ16213" s="835">
        <v>42004</v>
      </c>
      <c r="AK16213" s="831">
        <v>777719977</v>
      </c>
    </row>
    <row r="16214" spans="2:37">
      <c r="B16214" s="834" t="str">
        <f t="shared" si="587"/>
        <v>|||</v>
      </c>
      <c r="H16214" s="835">
        <f t="shared" si="588"/>
        <v>31</v>
      </c>
      <c r="AF16214" s="831" t="s">
        <v>11797</v>
      </c>
      <c r="AG16214" s="831" t="s">
        <v>2674</v>
      </c>
      <c r="AH16214" s="831" t="s">
        <v>548</v>
      </c>
      <c r="AI16214" s="831">
        <v>0</v>
      </c>
      <c r="AJ16214" s="835">
        <v>42004</v>
      </c>
      <c r="AK16214" s="831">
        <v>117105496</v>
      </c>
    </row>
    <row r="16215" spans="2:37">
      <c r="B16215" s="834" t="str">
        <f t="shared" si="587"/>
        <v>|||</v>
      </c>
      <c r="H16215" s="835">
        <f t="shared" si="588"/>
        <v>31</v>
      </c>
      <c r="AF16215" s="831" t="s">
        <v>11798</v>
      </c>
      <c r="AG16215" s="831" t="s">
        <v>2674</v>
      </c>
      <c r="AH16215" s="831" t="s">
        <v>549</v>
      </c>
      <c r="AI16215" s="831">
        <v>0</v>
      </c>
      <c r="AJ16215" s="835">
        <v>42004</v>
      </c>
      <c r="AK16215" s="831">
        <v>627874260</v>
      </c>
    </row>
    <row r="16216" spans="2:37">
      <c r="B16216" s="834" t="str">
        <f t="shared" si="587"/>
        <v>|||</v>
      </c>
      <c r="H16216" s="835">
        <f t="shared" si="588"/>
        <v>31</v>
      </c>
      <c r="AF16216" s="831" t="s">
        <v>11799</v>
      </c>
      <c r="AG16216" s="831" t="s">
        <v>2674</v>
      </c>
      <c r="AH16216" s="831" t="s">
        <v>192</v>
      </c>
      <c r="AI16216" s="831">
        <v>0</v>
      </c>
      <c r="AJ16216" s="835">
        <v>42004</v>
      </c>
      <c r="AK16216" s="831">
        <v>-9140000</v>
      </c>
    </row>
    <row r="16217" spans="2:37">
      <c r="B16217" s="834" t="str">
        <f t="shared" si="587"/>
        <v>|||</v>
      </c>
      <c r="H16217" s="835">
        <f t="shared" si="588"/>
        <v>31</v>
      </c>
      <c r="AF16217" s="831" t="s">
        <v>11800</v>
      </c>
      <c r="AG16217" s="831" t="s">
        <v>2674</v>
      </c>
      <c r="AH16217" s="831" t="s">
        <v>558</v>
      </c>
      <c r="AI16217" s="831">
        <v>0</v>
      </c>
      <c r="AJ16217" s="835">
        <v>42004</v>
      </c>
      <c r="AK16217" s="831">
        <v>896801000</v>
      </c>
    </row>
    <row r="16218" spans="2:37">
      <c r="B16218" s="834" t="str">
        <f t="shared" si="587"/>
        <v>|||</v>
      </c>
      <c r="H16218" s="835">
        <f t="shared" si="588"/>
        <v>31</v>
      </c>
      <c r="AF16218" s="831" t="s">
        <v>11801</v>
      </c>
      <c r="AG16218" s="831" t="s">
        <v>2674</v>
      </c>
      <c r="AH16218" s="831" t="s">
        <v>65</v>
      </c>
      <c r="AI16218" s="831">
        <v>0</v>
      </c>
      <c r="AJ16218" s="835">
        <v>42004</v>
      </c>
      <c r="AK16218" s="831">
        <v>169813000</v>
      </c>
    </row>
    <row r="16219" spans="2:37">
      <c r="B16219" s="834" t="str">
        <f t="shared" si="587"/>
        <v>|||</v>
      </c>
      <c r="H16219" s="835">
        <f t="shared" si="588"/>
        <v>31</v>
      </c>
      <c r="AF16219" s="831" t="s">
        <v>11802</v>
      </c>
      <c r="AG16219" s="831" t="s">
        <v>2674</v>
      </c>
      <c r="AH16219" s="831" t="s">
        <v>89</v>
      </c>
      <c r="AI16219" s="831">
        <v>0</v>
      </c>
      <c r="AJ16219" s="835">
        <v>42004</v>
      </c>
      <c r="AK16219" s="831">
        <v>157146</v>
      </c>
    </row>
    <row r="16220" spans="2:37">
      <c r="B16220" s="834" t="str">
        <f t="shared" si="587"/>
        <v>|||</v>
      </c>
      <c r="H16220" s="835">
        <f t="shared" si="588"/>
        <v>31</v>
      </c>
      <c r="AF16220" s="831" t="s">
        <v>11803</v>
      </c>
      <c r="AG16220" s="831" t="s">
        <v>2674</v>
      </c>
      <c r="AH16220" s="831" t="s">
        <v>557</v>
      </c>
      <c r="AI16220" s="831">
        <v>0</v>
      </c>
      <c r="AJ16220" s="835">
        <v>42004</v>
      </c>
      <c r="AK16220" s="831">
        <v>178484</v>
      </c>
    </row>
    <row r="16221" spans="2:37">
      <c r="B16221" s="834" t="str">
        <f t="shared" si="587"/>
        <v>|||</v>
      </c>
      <c r="H16221" s="835">
        <f t="shared" si="588"/>
        <v>31</v>
      </c>
      <c r="AF16221" s="831" t="s">
        <v>11804</v>
      </c>
      <c r="AG16221" s="831" t="s">
        <v>2674</v>
      </c>
      <c r="AH16221" s="831" t="s">
        <v>29</v>
      </c>
      <c r="AI16221" s="831">
        <v>0</v>
      </c>
      <c r="AJ16221" s="835">
        <v>42004</v>
      </c>
      <c r="AK16221" s="831">
        <v>6837000</v>
      </c>
    </row>
    <row r="16222" spans="2:37">
      <c r="B16222" s="834" t="str">
        <f t="shared" si="587"/>
        <v>|||</v>
      </c>
      <c r="H16222" s="835">
        <f t="shared" si="588"/>
        <v>31</v>
      </c>
      <c r="AF16222" s="831" t="s">
        <v>11805</v>
      </c>
      <c r="AG16222" s="831" t="s">
        <v>2674</v>
      </c>
      <c r="AH16222" s="831" t="s">
        <v>2688</v>
      </c>
      <c r="AI16222" s="831">
        <v>0</v>
      </c>
      <c r="AJ16222" s="835">
        <v>42004</v>
      </c>
      <c r="AK16222" s="831">
        <v>5048648</v>
      </c>
    </row>
    <row r="16223" spans="2:37">
      <c r="B16223" s="834" t="str">
        <f t="shared" si="587"/>
        <v>|||</v>
      </c>
      <c r="H16223" s="835">
        <f t="shared" si="588"/>
        <v>31</v>
      </c>
      <c r="AF16223" s="831" t="s">
        <v>11806</v>
      </c>
      <c r="AG16223" s="831" t="s">
        <v>2674</v>
      </c>
      <c r="AH16223" s="831" t="s">
        <v>556</v>
      </c>
      <c r="AI16223" s="831">
        <v>0</v>
      </c>
      <c r="AJ16223" s="835">
        <v>42004</v>
      </c>
      <c r="AK16223" s="831">
        <v>11412135</v>
      </c>
    </row>
    <row r="16224" spans="2:37">
      <c r="B16224" s="834" t="str">
        <f t="shared" si="587"/>
        <v>|||</v>
      </c>
      <c r="H16224" s="835">
        <f t="shared" si="588"/>
        <v>31</v>
      </c>
      <c r="AF16224" s="831" t="s">
        <v>11807</v>
      </c>
      <c r="AG16224" s="831" t="s">
        <v>2674</v>
      </c>
      <c r="AH16224" s="831" t="s">
        <v>555</v>
      </c>
      <c r="AI16224" s="831">
        <v>0</v>
      </c>
      <c r="AJ16224" s="835">
        <v>42004</v>
      </c>
      <c r="AK16224" s="831">
        <v>596336076</v>
      </c>
    </row>
    <row r="16225" spans="2:37">
      <c r="B16225" s="834" t="str">
        <f t="shared" si="587"/>
        <v>|||</v>
      </c>
      <c r="H16225" s="835">
        <f t="shared" si="588"/>
        <v>31</v>
      </c>
      <c r="AF16225" s="831" t="s">
        <v>11808</v>
      </c>
      <c r="AG16225" s="831" t="s">
        <v>2674</v>
      </c>
      <c r="AH16225" s="831" t="s">
        <v>554</v>
      </c>
      <c r="AI16225" s="831">
        <v>0</v>
      </c>
      <c r="AJ16225" s="835">
        <v>42004</v>
      </c>
      <c r="AK16225" s="831">
        <v>603608535</v>
      </c>
    </row>
    <row r="16226" spans="2:37">
      <c r="B16226" s="834" t="str">
        <f t="shared" si="587"/>
        <v>|||</v>
      </c>
      <c r="H16226" s="835">
        <f t="shared" si="588"/>
        <v>31</v>
      </c>
      <c r="AF16226" s="831" t="s">
        <v>11809</v>
      </c>
      <c r="AG16226" s="831" t="s">
        <v>2674</v>
      </c>
      <c r="AH16226" s="831" t="s">
        <v>553</v>
      </c>
      <c r="AI16226" s="831">
        <v>0</v>
      </c>
      <c r="AJ16226" s="835">
        <v>42004</v>
      </c>
      <c r="AK16226" s="831">
        <v>0</v>
      </c>
    </row>
    <row r="16227" spans="2:37">
      <c r="B16227" s="834" t="str">
        <f t="shared" si="587"/>
        <v>|||</v>
      </c>
      <c r="H16227" s="835">
        <f t="shared" si="588"/>
        <v>31</v>
      </c>
      <c r="AF16227" s="831" t="s">
        <v>11810</v>
      </c>
      <c r="AG16227" s="831" t="s">
        <v>2674</v>
      </c>
      <c r="AH16227" s="831" t="s">
        <v>552</v>
      </c>
      <c r="AI16227" s="831">
        <v>0</v>
      </c>
      <c r="AJ16227" s="835">
        <v>42004</v>
      </c>
      <c r="AK16227" s="831">
        <v>0</v>
      </c>
    </row>
    <row r="16228" spans="2:37">
      <c r="B16228" s="834" t="str">
        <f t="shared" si="587"/>
        <v>|||</v>
      </c>
      <c r="H16228" s="835">
        <f t="shared" si="588"/>
        <v>31</v>
      </c>
      <c r="AF16228" s="831" t="s">
        <v>11811</v>
      </c>
      <c r="AG16228" s="831" t="s">
        <v>2674</v>
      </c>
      <c r="AH16228" s="831" t="s">
        <v>551</v>
      </c>
      <c r="AI16228" s="831">
        <v>0</v>
      </c>
      <c r="AJ16228" s="835">
        <v>42004</v>
      </c>
      <c r="AK16228" s="831">
        <v>6446340</v>
      </c>
    </row>
    <row r="16229" spans="2:37">
      <c r="B16229" s="834" t="str">
        <f t="shared" si="587"/>
        <v>|||</v>
      </c>
      <c r="H16229" s="835">
        <f t="shared" si="588"/>
        <v>31</v>
      </c>
      <c r="AF16229" s="831" t="s">
        <v>11812</v>
      </c>
      <c r="AG16229" s="831" t="s">
        <v>2674</v>
      </c>
      <c r="AH16229" s="831" t="s">
        <v>550</v>
      </c>
      <c r="AI16229" s="831">
        <v>0</v>
      </c>
      <c r="AJ16229" s="835">
        <v>42004</v>
      </c>
      <c r="AK16229" s="831">
        <v>153599665</v>
      </c>
    </row>
    <row r="16230" spans="2:37">
      <c r="B16230" s="834" t="str">
        <f t="shared" si="587"/>
        <v>|||</v>
      </c>
      <c r="H16230" s="835">
        <f t="shared" si="588"/>
        <v>31</v>
      </c>
      <c r="AF16230" s="831" t="s">
        <v>11813</v>
      </c>
      <c r="AG16230" s="831" t="s">
        <v>2674</v>
      </c>
      <c r="AH16230" s="831" t="s">
        <v>562</v>
      </c>
      <c r="AI16230" s="831">
        <v>0</v>
      </c>
      <c r="AJ16230" s="835">
        <v>42004</v>
      </c>
      <c r="AK16230" s="831">
        <v>0.78310000000000002</v>
      </c>
    </row>
    <row r="16231" spans="2:37">
      <c r="B16231" s="834" t="str">
        <f t="shared" si="587"/>
        <v>|||</v>
      </c>
      <c r="H16231" s="835">
        <f t="shared" si="588"/>
        <v>31</v>
      </c>
      <c r="AF16231" s="831" t="s">
        <v>11814</v>
      </c>
      <c r="AG16231" s="831" t="s">
        <v>2674</v>
      </c>
      <c r="AH16231" s="831" t="s">
        <v>2698</v>
      </c>
      <c r="AI16231" s="831">
        <v>0</v>
      </c>
      <c r="AJ16231" s="835">
        <v>42004</v>
      </c>
      <c r="AK16231" s="831">
        <v>0.78390000000000004</v>
      </c>
    </row>
    <row r="16232" spans="2:37">
      <c r="B16232" s="834" t="str">
        <f t="shared" si="587"/>
        <v>|||</v>
      </c>
      <c r="H16232" s="835">
        <f t="shared" si="588"/>
        <v>31</v>
      </c>
      <c r="AF16232" s="831" t="s">
        <v>11815</v>
      </c>
      <c r="AG16232" s="831" t="s">
        <v>2674</v>
      </c>
      <c r="AH16232" s="831" t="s">
        <v>560</v>
      </c>
      <c r="AI16232" s="831">
        <v>0</v>
      </c>
      <c r="AJ16232" s="835">
        <v>42004</v>
      </c>
      <c r="AK16232" s="831">
        <v>0.78363333333333329</v>
      </c>
    </row>
    <row r="16233" spans="2:37">
      <c r="B16233" s="834" t="str">
        <f t="shared" si="587"/>
        <v>|||</v>
      </c>
      <c r="H16233" s="835">
        <f t="shared" si="588"/>
        <v>31</v>
      </c>
      <c r="AF16233" s="831" t="s">
        <v>11816</v>
      </c>
      <c r="AG16233" s="831" t="s">
        <v>2674</v>
      </c>
      <c r="AH16233" s="831" t="s">
        <v>559</v>
      </c>
      <c r="AI16233" s="831">
        <v>0</v>
      </c>
      <c r="AJ16233" s="835">
        <v>42004</v>
      </c>
      <c r="AK16233" s="831">
        <v>0.78363333333333329</v>
      </c>
    </row>
    <row r="16234" spans="2:37">
      <c r="B16234" s="834" t="str">
        <f t="shared" si="587"/>
        <v>|||</v>
      </c>
      <c r="H16234" s="835">
        <f t="shared" si="588"/>
        <v>31</v>
      </c>
      <c r="AF16234" s="831" t="s">
        <v>11817</v>
      </c>
      <c r="AG16234" s="831" t="s">
        <v>2674</v>
      </c>
      <c r="AH16234" s="831" t="s">
        <v>568</v>
      </c>
      <c r="AI16234" s="831">
        <v>0</v>
      </c>
      <c r="AJ16234" s="835">
        <v>42004</v>
      </c>
      <c r="AK16234" s="831">
        <v>723814619.46153843</v>
      </c>
    </row>
    <row r="16235" spans="2:37">
      <c r="B16235" s="834" t="str">
        <f t="shared" si="587"/>
        <v>|||</v>
      </c>
      <c r="H16235" s="835">
        <f t="shared" si="588"/>
        <v>31</v>
      </c>
      <c r="AF16235" s="831" t="s">
        <v>11818</v>
      </c>
      <c r="AG16235" s="831" t="s">
        <v>2674</v>
      </c>
      <c r="AH16235" s="831" t="s">
        <v>569</v>
      </c>
      <c r="AI16235" s="831">
        <v>0</v>
      </c>
      <c r="AJ16235" s="835">
        <v>42004</v>
      </c>
      <c r="AK16235" s="831">
        <v>899930209.58176923</v>
      </c>
    </row>
    <row r="16236" spans="2:37">
      <c r="B16236" s="834" t="str">
        <f t="shared" si="587"/>
        <v>|||</v>
      </c>
      <c r="H16236" s="835">
        <f t="shared" si="588"/>
        <v>31</v>
      </c>
      <c r="AF16236" s="831" t="s">
        <v>11819</v>
      </c>
      <c r="AG16236" s="831" t="s">
        <v>2674</v>
      </c>
      <c r="AH16236" s="831" t="s">
        <v>570</v>
      </c>
      <c r="AI16236" s="831">
        <v>0</v>
      </c>
      <c r="AJ16236" s="835">
        <v>42004</v>
      </c>
      <c r="AK16236" s="831">
        <v>134134466.30307692</v>
      </c>
    </row>
    <row r="16237" spans="2:37">
      <c r="B16237" s="834" t="str">
        <f t="shared" si="587"/>
        <v>|||</v>
      </c>
      <c r="H16237" s="835">
        <f t="shared" si="588"/>
        <v>31</v>
      </c>
      <c r="AF16237" s="831" t="s">
        <v>11820</v>
      </c>
      <c r="AG16237" s="831" t="s">
        <v>2674</v>
      </c>
      <c r="AH16237" s="831" t="s">
        <v>571</v>
      </c>
      <c r="AI16237" s="831">
        <v>0</v>
      </c>
      <c r="AJ16237" s="835">
        <v>42004</v>
      </c>
      <c r="AK16237" s="831">
        <v>445629705.61753845</v>
      </c>
    </row>
    <row r="16238" spans="2:37">
      <c r="B16238" s="834" t="str">
        <f t="shared" si="587"/>
        <v>|||</v>
      </c>
      <c r="H16238" s="835">
        <f t="shared" si="588"/>
        <v>31</v>
      </c>
      <c r="AF16238" s="831" t="s">
        <v>11821</v>
      </c>
      <c r="AG16238" s="831" t="s">
        <v>2674</v>
      </c>
      <c r="AH16238" s="831" t="s">
        <v>573</v>
      </c>
      <c r="AI16238" s="831">
        <v>0</v>
      </c>
      <c r="AJ16238" s="835">
        <v>42004</v>
      </c>
      <c r="AK16238" s="831">
        <v>899930209.58176923</v>
      </c>
    </row>
    <row r="16239" spans="2:37">
      <c r="B16239" s="834" t="str">
        <f t="shared" si="587"/>
        <v>|||</v>
      </c>
      <c r="H16239" s="835">
        <f t="shared" si="588"/>
        <v>31</v>
      </c>
      <c r="AF16239" s="831" t="s">
        <v>11822</v>
      </c>
      <c r="AG16239" s="831" t="s">
        <v>2674</v>
      </c>
      <c r="AH16239" s="831" t="s">
        <v>574</v>
      </c>
      <c r="AI16239" s="831">
        <v>0</v>
      </c>
      <c r="AJ16239" s="835">
        <v>42004</v>
      </c>
      <c r="AK16239" s="831">
        <v>723814619.46153843</v>
      </c>
    </row>
    <row r="16240" spans="2:37">
      <c r="B16240" s="834" t="str">
        <f t="shared" si="587"/>
        <v>|||</v>
      </c>
      <c r="H16240" s="835">
        <f t="shared" si="588"/>
        <v>31</v>
      </c>
      <c r="AF16240" s="831" t="s">
        <v>11823</v>
      </c>
      <c r="AG16240" s="831" t="s">
        <v>2674</v>
      </c>
      <c r="AH16240" s="831" t="s">
        <v>575</v>
      </c>
      <c r="AI16240" s="831">
        <v>0</v>
      </c>
      <c r="AJ16240" s="835">
        <v>42004</v>
      </c>
      <c r="AK16240" s="831">
        <v>134134466.30307692</v>
      </c>
    </row>
    <row r="16241" spans="2:37">
      <c r="B16241" s="834" t="str">
        <f t="shared" si="587"/>
        <v>|||</v>
      </c>
      <c r="H16241" s="835">
        <f t="shared" si="588"/>
        <v>31</v>
      </c>
      <c r="AF16241" s="831" t="s">
        <v>11824</v>
      </c>
      <c r="AG16241" s="831" t="s">
        <v>2674</v>
      </c>
      <c r="AH16241" s="831" t="s">
        <v>576</v>
      </c>
      <c r="AI16241" s="831">
        <v>0</v>
      </c>
      <c r="AJ16241" s="835">
        <v>42004</v>
      </c>
      <c r="AK16241" s="831">
        <v>445629705.61753845</v>
      </c>
    </row>
    <row r="16242" spans="2:37">
      <c r="B16242" s="834" t="str">
        <f t="shared" si="587"/>
        <v>|||</v>
      </c>
      <c r="H16242" s="835">
        <f t="shared" si="588"/>
        <v>31</v>
      </c>
      <c r="AF16242" s="831" t="s">
        <v>11825</v>
      </c>
      <c r="AG16242" s="831" t="s">
        <v>2674</v>
      </c>
      <c r="AH16242" s="831" t="s">
        <v>572</v>
      </c>
      <c r="AI16242" s="831">
        <v>0</v>
      </c>
      <c r="AJ16242" s="835">
        <v>42004</v>
      </c>
      <c r="AK16242" s="831">
        <v>43040000</v>
      </c>
    </row>
    <row r="16243" spans="2:37">
      <c r="B16243" s="834" t="str">
        <f t="shared" si="587"/>
        <v>|||</v>
      </c>
      <c r="H16243" s="835">
        <f t="shared" si="588"/>
        <v>31</v>
      </c>
      <c r="AF16243" s="831" t="s">
        <v>11826</v>
      </c>
      <c r="AG16243" s="831" t="s">
        <v>2674</v>
      </c>
      <c r="AH16243" s="831" t="s">
        <v>577</v>
      </c>
      <c r="AI16243" s="831">
        <v>0</v>
      </c>
      <c r="AJ16243" s="835">
        <v>42004</v>
      </c>
      <c r="AK16243" s="831">
        <v>169813000</v>
      </c>
    </row>
    <row r="16244" spans="2:37">
      <c r="B16244" s="834" t="str">
        <f t="shared" si="587"/>
        <v>|||</v>
      </c>
      <c r="H16244" s="835">
        <f t="shared" si="588"/>
        <v>31</v>
      </c>
      <c r="AF16244" s="831" t="s">
        <v>11827</v>
      </c>
      <c r="AG16244" s="831" t="s">
        <v>2674</v>
      </c>
      <c r="AH16244" s="831" t="s">
        <v>3042</v>
      </c>
      <c r="AI16244" s="831">
        <v>0</v>
      </c>
      <c r="AJ16244" s="835">
        <v>42004</v>
      </c>
      <c r="AK16244" s="831">
        <v>-51705000</v>
      </c>
    </row>
    <row r="16245" spans="2:37">
      <c r="B16245" s="834" t="str">
        <f t="shared" si="587"/>
        <v>|||</v>
      </c>
      <c r="H16245" s="835">
        <f t="shared" si="588"/>
        <v>31</v>
      </c>
      <c r="AF16245" s="831" t="s">
        <v>11828</v>
      </c>
      <c r="AG16245" s="831" t="s">
        <v>2674</v>
      </c>
      <c r="AH16245" s="831" t="s">
        <v>3044</v>
      </c>
      <c r="AI16245" s="831">
        <v>0</v>
      </c>
      <c r="AJ16245" s="835">
        <v>42004</v>
      </c>
      <c r="AK16245" s="831">
        <v>3515000</v>
      </c>
    </row>
    <row r="16246" spans="2:37">
      <c r="B16246" s="834" t="str">
        <f t="shared" si="587"/>
        <v>|||</v>
      </c>
      <c r="H16246" s="835">
        <f t="shared" si="588"/>
        <v>31</v>
      </c>
      <c r="AF16246" s="831" t="s">
        <v>11829</v>
      </c>
      <c r="AG16246" s="831" t="s">
        <v>2674</v>
      </c>
      <c r="AH16246" s="831" t="s">
        <v>580</v>
      </c>
      <c r="AI16246" s="831">
        <v>0</v>
      </c>
      <c r="AJ16246" s="835">
        <v>42004</v>
      </c>
      <c r="AK16246" s="831">
        <v>-78262000</v>
      </c>
    </row>
    <row r="16247" spans="2:37">
      <c r="B16247" s="834" t="str">
        <f t="shared" si="587"/>
        <v>|||</v>
      </c>
      <c r="H16247" s="835">
        <f t="shared" si="588"/>
        <v>31</v>
      </c>
      <c r="AF16247" s="831" t="s">
        <v>11830</v>
      </c>
      <c r="AG16247" s="831" t="s">
        <v>2674</v>
      </c>
      <c r="AH16247" s="831" t="s">
        <v>581</v>
      </c>
      <c r="AI16247" s="831">
        <v>0</v>
      </c>
      <c r="AJ16247" s="835">
        <v>42004</v>
      </c>
      <c r="AK16247" s="831">
        <v>9963000</v>
      </c>
    </row>
    <row r="16248" spans="2:37">
      <c r="B16248" s="834" t="str">
        <f t="shared" si="587"/>
        <v>|||</v>
      </c>
      <c r="H16248" s="835">
        <f t="shared" si="588"/>
        <v>31</v>
      </c>
      <c r="AF16248" s="831" t="s">
        <v>11831</v>
      </c>
      <c r="AG16248" s="831" t="s">
        <v>2674</v>
      </c>
      <c r="AH16248" s="831" t="s">
        <v>105</v>
      </c>
      <c r="AI16248" s="831">
        <v>0</v>
      </c>
      <c r="AJ16248" s="835">
        <v>42004</v>
      </c>
      <c r="AK16248" s="831">
        <v>532345000</v>
      </c>
    </row>
    <row r="16249" spans="2:37">
      <c r="B16249" s="834" t="str">
        <f t="shared" si="587"/>
        <v>|||</v>
      </c>
      <c r="H16249" s="835">
        <f t="shared" si="588"/>
        <v>31</v>
      </c>
      <c r="AF16249" s="831" t="s">
        <v>11832</v>
      </c>
      <c r="AG16249" s="831" t="s">
        <v>2674</v>
      </c>
      <c r="AH16249" s="831" t="s">
        <v>3049</v>
      </c>
      <c r="AI16249" s="831">
        <v>0</v>
      </c>
      <c r="AJ16249" s="835">
        <v>42004</v>
      </c>
      <c r="AK16249" s="831">
        <v>871130000</v>
      </c>
    </row>
    <row r="16250" spans="2:37">
      <c r="B16250" s="834" t="str">
        <f t="shared" si="587"/>
        <v>|||</v>
      </c>
      <c r="H16250" s="835">
        <f t="shared" si="588"/>
        <v>31</v>
      </c>
      <c r="AF16250" s="831" t="s">
        <v>11833</v>
      </c>
      <c r="AG16250" s="831" t="s">
        <v>2674</v>
      </c>
      <c r="AH16250" s="831" t="s">
        <v>103</v>
      </c>
      <c r="AI16250" s="831">
        <v>0</v>
      </c>
      <c r="AJ16250" s="835">
        <v>42004</v>
      </c>
      <c r="AK16250" s="831">
        <v>338785000</v>
      </c>
    </row>
    <row r="16251" spans="2:37">
      <c r="B16251" s="834" t="str">
        <f t="shared" si="587"/>
        <v>|||</v>
      </c>
      <c r="H16251" s="835">
        <f t="shared" si="588"/>
        <v>31</v>
      </c>
      <c r="AF16251" s="831" t="s">
        <v>11834</v>
      </c>
      <c r="AG16251" s="831" t="s">
        <v>2674</v>
      </c>
      <c r="AH16251" s="831" t="s">
        <v>182</v>
      </c>
      <c r="AI16251" s="831">
        <v>0</v>
      </c>
      <c r="AJ16251" s="835">
        <v>42004</v>
      </c>
      <c r="AK16251" s="831">
        <v>78262000</v>
      </c>
    </row>
    <row r="16252" spans="2:37">
      <c r="B16252" s="834" t="str">
        <f t="shared" si="587"/>
        <v>|||</v>
      </c>
      <c r="H16252" s="835">
        <f t="shared" si="588"/>
        <v>31</v>
      </c>
      <c r="AF16252" s="831" t="s">
        <v>11835</v>
      </c>
      <c r="AG16252" s="831" t="s">
        <v>2674</v>
      </c>
      <c r="AH16252" s="831" t="s">
        <v>6600</v>
      </c>
      <c r="AI16252" s="831">
        <v>0</v>
      </c>
      <c r="AJ16252" s="835">
        <v>42004</v>
      </c>
      <c r="AK16252" s="831">
        <v>43040000</v>
      </c>
    </row>
    <row r="16253" spans="2:37">
      <c r="B16253" s="834" t="str">
        <f t="shared" si="587"/>
        <v>|||</v>
      </c>
      <c r="H16253" s="835">
        <f t="shared" si="588"/>
        <v>31</v>
      </c>
      <c r="AF16253" s="831" t="s">
        <v>11836</v>
      </c>
      <c r="AG16253" s="831" t="s">
        <v>2674</v>
      </c>
      <c r="AH16253" s="831" t="s">
        <v>6602</v>
      </c>
      <c r="AI16253" s="831">
        <v>0</v>
      </c>
      <c r="AJ16253" s="835">
        <v>42004</v>
      </c>
      <c r="AK16253" s="831">
        <v>43040000</v>
      </c>
    </row>
    <row r="16254" spans="2:37">
      <c r="B16254" s="834" t="str">
        <f t="shared" si="587"/>
        <v>|||</v>
      </c>
      <c r="H16254" s="835">
        <f t="shared" si="588"/>
        <v>31</v>
      </c>
      <c r="AF16254" s="831" t="s">
        <v>11837</v>
      </c>
      <c r="AG16254" s="831" t="s">
        <v>2674</v>
      </c>
      <c r="AH16254" s="831" t="s">
        <v>650</v>
      </c>
      <c r="AI16254" s="831">
        <v>0</v>
      </c>
      <c r="AJ16254" s="835">
        <v>42004</v>
      </c>
      <c r="AK16254" s="831">
        <v>294946351.96523076</v>
      </c>
    </row>
    <row r="16255" spans="2:37">
      <c r="B16255" s="834" t="str">
        <f t="shared" si="587"/>
        <v>|||</v>
      </c>
      <c r="H16255" s="835">
        <f t="shared" si="588"/>
        <v>31</v>
      </c>
      <c r="AF16255" s="831" t="s">
        <v>11838</v>
      </c>
      <c r="AG16255" s="831" t="s">
        <v>2674</v>
      </c>
      <c r="AH16255" s="831" t="s">
        <v>655</v>
      </c>
      <c r="AI16255" s="831">
        <v>0</v>
      </c>
      <c r="AJ16255" s="835">
        <v>42004</v>
      </c>
      <c r="AK16255" s="831">
        <v>5599000</v>
      </c>
    </row>
    <row r="16256" spans="2:37">
      <c r="B16256" s="834" t="str">
        <f t="shared" si="587"/>
        <v>|||</v>
      </c>
      <c r="H16256" s="835">
        <f t="shared" si="588"/>
        <v>31</v>
      </c>
      <c r="AF16256" s="831" t="s">
        <v>11839</v>
      </c>
      <c r="AG16256" s="831" t="s">
        <v>2674</v>
      </c>
      <c r="AH16256" s="831" t="s">
        <v>546</v>
      </c>
      <c r="AI16256" s="831">
        <v>0</v>
      </c>
      <c r="AJ16256" s="835">
        <v>42035</v>
      </c>
      <c r="AK16256" s="831">
        <v>829753309</v>
      </c>
    </row>
    <row r="16257" spans="2:37">
      <c r="B16257" s="834" t="str">
        <f t="shared" si="587"/>
        <v>|||</v>
      </c>
      <c r="H16257" s="835">
        <f t="shared" si="588"/>
        <v>31</v>
      </c>
      <c r="AF16257" s="831" t="s">
        <v>11840</v>
      </c>
      <c r="AG16257" s="831" t="s">
        <v>2674</v>
      </c>
      <c r="AH16257" s="831" t="s">
        <v>370</v>
      </c>
      <c r="AI16257" s="831">
        <v>0</v>
      </c>
      <c r="AJ16257" s="835">
        <v>42035</v>
      </c>
      <c r="AK16257" s="831">
        <v>1044609243</v>
      </c>
    </row>
    <row r="16258" spans="2:37">
      <c r="B16258" s="834" t="str">
        <f t="shared" si="587"/>
        <v>|||</v>
      </c>
      <c r="H16258" s="835">
        <f t="shared" si="588"/>
        <v>31</v>
      </c>
      <c r="AF16258" s="831" t="s">
        <v>11841</v>
      </c>
      <c r="AG16258" s="831" t="s">
        <v>2674</v>
      </c>
      <c r="AH16258" s="831" t="s">
        <v>126</v>
      </c>
      <c r="AI16258" s="831">
        <v>0</v>
      </c>
      <c r="AJ16258" s="835">
        <v>42035</v>
      </c>
      <c r="AK16258" s="831">
        <v>148860224</v>
      </c>
    </row>
    <row r="16259" spans="2:37">
      <c r="B16259" s="834" t="str">
        <f t="shared" si="587"/>
        <v>|||</v>
      </c>
      <c r="H16259" s="835">
        <f t="shared" si="588"/>
        <v>31</v>
      </c>
      <c r="AF16259" s="831" t="s">
        <v>11842</v>
      </c>
      <c r="AG16259" s="831" t="s">
        <v>2674</v>
      </c>
      <c r="AH16259" s="831" t="s">
        <v>268</v>
      </c>
      <c r="AI16259" s="831">
        <v>0</v>
      </c>
      <c r="AJ16259" s="835">
        <v>42035</v>
      </c>
      <c r="AK16259" s="831">
        <v>3451938</v>
      </c>
    </row>
    <row r="16260" spans="2:37">
      <c r="B16260" s="834" t="str">
        <f t="shared" si="587"/>
        <v>|||</v>
      </c>
      <c r="H16260" s="835">
        <f t="shared" si="588"/>
        <v>31</v>
      </c>
      <c r="AF16260" s="831" t="s">
        <v>11843</v>
      </c>
      <c r="AG16260" s="831" t="s">
        <v>2674</v>
      </c>
      <c r="AH16260" s="831" t="s">
        <v>547</v>
      </c>
      <c r="AI16260" s="831">
        <v>0</v>
      </c>
      <c r="AJ16260" s="835">
        <v>42035</v>
      </c>
      <c r="AK16260" s="831">
        <v>1044609243</v>
      </c>
    </row>
    <row r="16261" spans="2:37">
      <c r="B16261" s="834" t="str">
        <f t="shared" si="587"/>
        <v>|||</v>
      </c>
      <c r="H16261" s="835">
        <f t="shared" si="588"/>
        <v>31</v>
      </c>
      <c r="AF16261" s="831" t="s">
        <v>11844</v>
      </c>
      <c r="AG16261" s="831" t="s">
        <v>2674</v>
      </c>
      <c r="AH16261" s="831" t="s">
        <v>548</v>
      </c>
      <c r="AI16261" s="831">
        <v>0</v>
      </c>
      <c r="AJ16261" s="835">
        <v>42035</v>
      </c>
      <c r="AK16261" s="831">
        <v>148860224</v>
      </c>
    </row>
    <row r="16262" spans="2:37">
      <c r="B16262" s="834" t="str">
        <f t="shared" si="587"/>
        <v>|||</v>
      </c>
      <c r="H16262" s="835">
        <f t="shared" si="588"/>
        <v>31</v>
      </c>
      <c r="AF16262" s="831" t="s">
        <v>11845</v>
      </c>
      <c r="AG16262" s="831" t="s">
        <v>2674</v>
      </c>
      <c r="AH16262" s="831" t="s">
        <v>549</v>
      </c>
      <c r="AI16262" s="831">
        <v>0</v>
      </c>
      <c r="AJ16262" s="835">
        <v>42035</v>
      </c>
      <c r="AK16262" s="831">
        <v>635618516</v>
      </c>
    </row>
    <row r="16263" spans="2:37">
      <c r="B16263" s="834" t="str">
        <f t="shared" si="587"/>
        <v>|||</v>
      </c>
      <c r="H16263" s="835">
        <f t="shared" si="588"/>
        <v>31</v>
      </c>
      <c r="AF16263" s="831" t="s">
        <v>11846</v>
      </c>
      <c r="AG16263" s="831" t="s">
        <v>2674</v>
      </c>
      <c r="AH16263" s="831" t="s">
        <v>192</v>
      </c>
      <c r="AI16263" s="831">
        <v>0</v>
      </c>
      <c r="AJ16263" s="835">
        <v>42035</v>
      </c>
      <c r="AK16263" s="831">
        <v>-9765211</v>
      </c>
    </row>
    <row r="16264" spans="2:37">
      <c r="B16264" s="834" t="str">
        <f t="shared" si="587"/>
        <v>|||</v>
      </c>
      <c r="H16264" s="835">
        <f t="shared" si="588"/>
        <v>31</v>
      </c>
      <c r="AF16264" s="831" t="s">
        <v>11847</v>
      </c>
      <c r="AG16264" s="831" t="s">
        <v>2674</v>
      </c>
      <c r="AH16264" s="831" t="s">
        <v>558</v>
      </c>
      <c r="AI16264" s="831">
        <v>0</v>
      </c>
      <c r="AJ16264" s="835">
        <v>42035</v>
      </c>
      <c r="AK16264" s="831">
        <v>895749019</v>
      </c>
    </row>
    <row r="16265" spans="2:37">
      <c r="B16265" s="834" t="str">
        <f t="shared" si="587"/>
        <v>|||</v>
      </c>
      <c r="H16265" s="835">
        <f t="shared" si="588"/>
        <v>31</v>
      </c>
      <c r="AF16265" s="831" t="s">
        <v>11848</v>
      </c>
      <c r="AG16265" s="831" t="s">
        <v>2674</v>
      </c>
      <c r="AH16265" s="831" t="s">
        <v>65</v>
      </c>
      <c r="AI16265" s="831">
        <v>0</v>
      </c>
      <c r="AJ16265" s="835">
        <v>42035</v>
      </c>
      <c r="AK16265" s="831">
        <v>16060962</v>
      </c>
    </row>
    <row r="16266" spans="2:37">
      <c r="B16266" s="834" t="str">
        <f t="shared" si="587"/>
        <v>|||</v>
      </c>
      <c r="H16266" s="835">
        <f t="shared" si="588"/>
        <v>31</v>
      </c>
      <c r="AF16266" s="831" t="s">
        <v>11849</v>
      </c>
      <c r="AG16266" s="831" t="s">
        <v>2674</v>
      </c>
      <c r="AH16266" s="831" t="s">
        <v>89</v>
      </c>
      <c r="AI16266" s="831">
        <v>0</v>
      </c>
      <c r="AJ16266" s="835">
        <v>42035</v>
      </c>
      <c r="AK16266" s="831">
        <v>158062</v>
      </c>
    </row>
    <row r="16267" spans="2:37">
      <c r="B16267" s="834" t="str">
        <f t="shared" si="587"/>
        <v>|||</v>
      </c>
      <c r="H16267" s="835">
        <f t="shared" si="588"/>
        <v>31</v>
      </c>
      <c r="AF16267" s="831" t="s">
        <v>11850</v>
      </c>
      <c r="AG16267" s="831" t="s">
        <v>2674</v>
      </c>
      <c r="AH16267" s="831" t="s">
        <v>557</v>
      </c>
      <c r="AI16267" s="831">
        <v>0</v>
      </c>
      <c r="AJ16267" s="835">
        <v>42035</v>
      </c>
      <c r="AK16267" s="831">
        <v>180227</v>
      </c>
    </row>
    <row r="16268" spans="2:37">
      <c r="B16268" s="834" t="str">
        <f t="shared" si="587"/>
        <v>|||</v>
      </c>
      <c r="H16268" s="835">
        <f t="shared" si="588"/>
        <v>31</v>
      </c>
      <c r="AF16268" s="831" t="s">
        <v>11851</v>
      </c>
      <c r="AG16268" s="831" t="s">
        <v>2674</v>
      </c>
      <c r="AH16268" s="831" t="s">
        <v>29</v>
      </c>
      <c r="AI16268" s="831">
        <v>0</v>
      </c>
      <c r="AJ16268" s="835">
        <v>42035</v>
      </c>
      <c r="AK16268" s="831">
        <v>7401483</v>
      </c>
    </row>
    <row r="16269" spans="2:37">
      <c r="B16269" s="834" t="str">
        <f t="shared" si="587"/>
        <v>|||</v>
      </c>
      <c r="H16269" s="835">
        <f t="shared" si="588"/>
        <v>31</v>
      </c>
      <c r="AF16269" s="831" t="s">
        <v>11852</v>
      </c>
      <c r="AG16269" s="831" t="s">
        <v>2674</v>
      </c>
      <c r="AH16269" s="831" t="s">
        <v>2688</v>
      </c>
      <c r="AI16269" s="831">
        <v>0</v>
      </c>
      <c r="AJ16269" s="835">
        <v>42035</v>
      </c>
      <c r="AK16269" s="831">
        <v>5438707</v>
      </c>
    </row>
    <row r="16270" spans="2:37">
      <c r="B16270" s="834" t="str">
        <f t="shared" si="587"/>
        <v>|||</v>
      </c>
      <c r="H16270" s="835">
        <f t="shared" si="588"/>
        <v>31</v>
      </c>
      <c r="AF16270" s="831" t="s">
        <v>11853</v>
      </c>
      <c r="AG16270" s="831" t="s">
        <v>2674</v>
      </c>
      <c r="AH16270" s="831" t="s">
        <v>556</v>
      </c>
      <c r="AI16270" s="831">
        <v>0</v>
      </c>
      <c r="AJ16270" s="835">
        <v>42035</v>
      </c>
      <c r="AK16270" s="831">
        <v>11412135</v>
      </c>
    </row>
    <row r="16271" spans="2:37">
      <c r="B16271" s="834" t="str">
        <f t="shared" si="587"/>
        <v>|||</v>
      </c>
      <c r="H16271" s="835">
        <f t="shared" si="588"/>
        <v>31</v>
      </c>
      <c r="AF16271" s="831" t="s">
        <v>11854</v>
      </c>
      <c r="AG16271" s="831" t="s">
        <v>2674</v>
      </c>
      <c r="AH16271" s="831" t="s">
        <v>555</v>
      </c>
      <c r="AI16271" s="831">
        <v>0</v>
      </c>
      <c r="AJ16271" s="835">
        <v>42035</v>
      </c>
      <c r="AK16271" s="831">
        <v>579511362</v>
      </c>
    </row>
    <row r="16272" spans="2:37">
      <c r="B16272" s="834" t="str">
        <f t="shared" si="587"/>
        <v>|||</v>
      </c>
      <c r="H16272" s="835">
        <f t="shared" si="588"/>
        <v>31</v>
      </c>
      <c r="AF16272" s="831" t="s">
        <v>11855</v>
      </c>
      <c r="AG16272" s="831" t="s">
        <v>2674</v>
      </c>
      <c r="AH16272" s="831" t="s">
        <v>554</v>
      </c>
      <c r="AI16272" s="831">
        <v>0</v>
      </c>
      <c r="AJ16272" s="835">
        <v>42035</v>
      </c>
      <c r="AK16272" s="831">
        <v>622474260</v>
      </c>
    </row>
    <row r="16273" spans="2:37">
      <c r="B16273" s="834" t="str">
        <f t="shared" ref="B16273:B16336" si="589">C16273&amp;"|"&amp;D16273&amp;"|"&amp;E16273&amp;"|"&amp;F16273</f>
        <v>|||</v>
      </c>
      <c r="H16273" s="835">
        <f t="shared" ref="H16273:H16336" si="590">EOMONTH(L16273,0)</f>
        <v>31</v>
      </c>
      <c r="AF16273" s="831" t="s">
        <v>11856</v>
      </c>
      <c r="AG16273" s="831" t="s">
        <v>2674</v>
      </c>
      <c r="AH16273" s="831" t="s">
        <v>553</v>
      </c>
      <c r="AI16273" s="831">
        <v>0</v>
      </c>
      <c r="AJ16273" s="835">
        <v>42035</v>
      </c>
      <c r="AK16273" s="831">
        <v>0</v>
      </c>
    </row>
    <row r="16274" spans="2:37">
      <c r="B16274" s="834" t="str">
        <f t="shared" si="589"/>
        <v>|||</v>
      </c>
      <c r="H16274" s="835">
        <f t="shared" si="590"/>
        <v>31</v>
      </c>
      <c r="AF16274" s="831" t="s">
        <v>11857</v>
      </c>
      <c r="AG16274" s="831" t="s">
        <v>2674</v>
      </c>
      <c r="AH16274" s="831" t="s">
        <v>552</v>
      </c>
      <c r="AI16274" s="831">
        <v>0</v>
      </c>
      <c r="AJ16274" s="835">
        <v>42035</v>
      </c>
      <c r="AK16274" s="831">
        <v>0</v>
      </c>
    </row>
    <row r="16275" spans="2:37">
      <c r="B16275" s="834" t="str">
        <f t="shared" si="589"/>
        <v>|||</v>
      </c>
      <c r="H16275" s="835">
        <f t="shared" si="590"/>
        <v>31</v>
      </c>
      <c r="AF16275" s="831" t="s">
        <v>11858</v>
      </c>
      <c r="AG16275" s="831" t="s">
        <v>2674</v>
      </c>
      <c r="AH16275" s="831" t="s">
        <v>551</v>
      </c>
      <c r="AI16275" s="831">
        <v>0</v>
      </c>
      <c r="AJ16275" s="835">
        <v>42035</v>
      </c>
      <c r="AK16275" s="831">
        <v>5260060</v>
      </c>
    </row>
    <row r="16276" spans="2:37">
      <c r="B16276" s="834" t="str">
        <f t="shared" si="589"/>
        <v>|||</v>
      </c>
      <c r="H16276" s="835">
        <f t="shared" si="590"/>
        <v>31</v>
      </c>
      <c r="AF16276" s="831" t="s">
        <v>11859</v>
      </c>
      <c r="AG16276" s="831" t="s">
        <v>2674</v>
      </c>
      <c r="AH16276" s="831" t="s">
        <v>550</v>
      </c>
      <c r="AI16276" s="831">
        <v>0</v>
      </c>
      <c r="AJ16276" s="835">
        <v>42035</v>
      </c>
      <c r="AK16276" s="831">
        <v>145409000</v>
      </c>
    </row>
    <row r="16277" spans="2:37">
      <c r="B16277" s="834" t="str">
        <f t="shared" si="589"/>
        <v>|||</v>
      </c>
      <c r="H16277" s="835">
        <f t="shared" si="590"/>
        <v>31</v>
      </c>
      <c r="AF16277" s="831" t="s">
        <v>11860</v>
      </c>
      <c r="AG16277" s="831" t="s">
        <v>2674</v>
      </c>
      <c r="AH16277" s="831" t="s">
        <v>562</v>
      </c>
      <c r="AI16277" s="831">
        <v>0</v>
      </c>
      <c r="AJ16277" s="835">
        <v>42035</v>
      </c>
      <c r="AK16277" s="831">
        <v>0.78439999999999999</v>
      </c>
    </row>
    <row r="16278" spans="2:37">
      <c r="B16278" s="834" t="str">
        <f t="shared" si="589"/>
        <v>|||</v>
      </c>
      <c r="H16278" s="835">
        <f t="shared" si="590"/>
        <v>31</v>
      </c>
      <c r="AF16278" s="831" t="s">
        <v>11861</v>
      </c>
      <c r="AG16278" s="831" t="s">
        <v>2674</v>
      </c>
      <c r="AH16278" s="831" t="s">
        <v>2698</v>
      </c>
      <c r="AI16278" s="831">
        <v>0</v>
      </c>
      <c r="AJ16278" s="835">
        <v>42035</v>
      </c>
      <c r="AK16278" s="831">
        <v>0.78310000000000002</v>
      </c>
    </row>
    <row r="16279" spans="2:37">
      <c r="B16279" s="834" t="str">
        <f t="shared" si="589"/>
        <v>|||</v>
      </c>
      <c r="H16279" s="835">
        <f t="shared" si="590"/>
        <v>31</v>
      </c>
      <c r="AF16279" s="831" t="s">
        <v>11862</v>
      </c>
      <c r="AG16279" s="831" t="s">
        <v>2674</v>
      </c>
      <c r="AH16279" s="831" t="s">
        <v>560</v>
      </c>
      <c r="AI16279" s="831">
        <v>0</v>
      </c>
      <c r="AJ16279" s="835">
        <v>42035</v>
      </c>
      <c r="AK16279" s="831">
        <v>0.78439999999999999</v>
      </c>
    </row>
    <row r="16280" spans="2:37">
      <c r="B16280" s="834" t="str">
        <f t="shared" si="589"/>
        <v>|||</v>
      </c>
      <c r="H16280" s="835">
        <f t="shared" si="590"/>
        <v>31</v>
      </c>
      <c r="AF16280" s="831" t="s">
        <v>11863</v>
      </c>
      <c r="AG16280" s="831" t="s">
        <v>2674</v>
      </c>
      <c r="AH16280" s="831" t="s">
        <v>559</v>
      </c>
      <c r="AI16280" s="831">
        <v>0</v>
      </c>
      <c r="AJ16280" s="835">
        <v>42035</v>
      </c>
      <c r="AK16280" s="831">
        <v>0.78369583333333326</v>
      </c>
    </row>
    <row r="16281" spans="2:37">
      <c r="B16281" s="834" t="str">
        <f t="shared" si="589"/>
        <v>|||</v>
      </c>
      <c r="H16281" s="835">
        <f t="shared" si="590"/>
        <v>31</v>
      </c>
      <c r="AF16281" s="831" t="s">
        <v>11864</v>
      </c>
      <c r="AG16281" s="831" t="s">
        <v>2674</v>
      </c>
      <c r="AH16281" s="831" t="s">
        <v>568</v>
      </c>
      <c r="AI16281" s="831">
        <v>0</v>
      </c>
      <c r="AJ16281" s="835">
        <v>42035</v>
      </c>
      <c r="AK16281" s="831">
        <v>739343777.07692313</v>
      </c>
    </row>
    <row r="16282" spans="2:37">
      <c r="B16282" s="834" t="str">
        <f t="shared" si="589"/>
        <v>|||</v>
      </c>
      <c r="H16282" s="835">
        <f t="shared" si="590"/>
        <v>31</v>
      </c>
      <c r="AF16282" s="831" t="s">
        <v>11865</v>
      </c>
      <c r="AG16282" s="831" t="s">
        <v>2674</v>
      </c>
      <c r="AH16282" s="831" t="s">
        <v>569</v>
      </c>
      <c r="AI16282" s="831">
        <v>0</v>
      </c>
      <c r="AJ16282" s="835">
        <v>42035</v>
      </c>
      <c r="AK16282" s="831">
        <v>919552846</v>
      </c>
    </row>
    <row r="16283" spans="2:37">
      <c r="B16283" s="834" t="str">
        <f t="shared" si="589"/>
        <v>|||</v>
      </c>
      <c r="H16283" s="835">
        <f t="shared" si="590"/>
        <v>31</v>
      </c>
      <c r="AF16283" s="831" t="s">
        <v>11866</v>
      </c>
      <c r="AG16283" s="831" t="s">
        <v>2674</v>
      </c>
      <c r="AH16283" s="831" t="s">
        <v>570</v>
      </c>
      <c r="AI16283" s="831">
        <v>0</v>
      </c>
      <c r="AJ16283" s="835">
        <v>42035</v>
      </c>
      <c r="AK16283" s="831">
        <v>136809116.92538461</v>
      </c>
    </row>
    <row r="16284" spans="2:37">
      <c r="B16284" s="834" t="str">
        <f t="shared" si="589"/>
        <v>|||</v>
      </c>
      <c r="H16284" s="835">
        <f t="shared" si="590"/>
        <v>31</v>
      </c>
      <c r="AF16284" s="831" t="s">
        <v>11867</v>
      </c>
      <c r="AG16284" s="831" t="s">
        <v>2674</v>
      </c>
      <c r="AH16284" s="831" t="s">
        <v>571</v>
      </c>
      <c r="AI16284" s="831">
        <v>0</v>
      </c>
      <c r="AJ16284" s="835">
        <v>42035</v>
      </c>
      <c r="AK16284" s="831">
        <v>456907538.41669232</v>
      </c>
    </row>
    <row r="16285" spans="2:37">
      <c r="B16285" s="834" t="str">
        <f t="shared" si="589"/>
        <v>|||</v>
      </c>
      <c r="H16285" s="835">
        <f t="shared" si="590"/>
        <v>31</v>
      </c>
      <c r="AF16285" s="831" t="s">
        <v>11868</v>
      </c>
      <c r="AG16285" s="831" t="s">
        <v>2674</v>
      </c>
      <c r="AH16285" s="831" t="s">
        <v>573</v>
      </c>
      <c r="AI16285" s="831">
        <v>0</v>
      </c>
      <c r="AJ16285" s="835">
        <v>42035</v>
      </c>
      <c r="AK16285" s="831">
        <v>1043409621.5</v>
      </c>
    </row>
    <row r="16286" spans="2:37">
      <c r="B16286" s="834" t="str">
        <f t="shared" si="589"/>
        <v>|||</v>
      </c>
      <c r="H16286" s="835">
        <f t="shared" si="590"/>
        <v>31</v>
      </c>
      <c r="AF16286" s="831" t="s">
        <v>11869</v>
      </c>
      <c r="AG16286" s="831" t="s">
        <v>2674</v>
      </c>
      <c r="AH16286" s="831" t="s">
        <v>574</v>
      </c>
      <c r="AI16286" s="831">
        <v>0</v>
      </c>
      <c r="AJ16286" s="835">
        <v>42035</v>
      </c>
      <c r="AK16286" s="831">
        <v>829336654.5</v>
      </c>
    </row>
    <row r="16287" spans="2:37">
      <c r="B16287" s="834" t="str">
        <f t="shared" si="589"/>
        <v>|||</v>
      </c>
      <c r="H16287" s="835">
        <f t="shared" si="590"/>
        <v>31</v>
      </c>
      <c r="AF16287" s="831" t="s">
        <v>11870</v>
      </c>
      <c r="AG16287" s="831" t="s">
        <v>2674</v>
      </c>
      <c r="AH16287" s="831" t="s">
        <v>575</v>
      </c>
      <c r="AI16287" s="831">
        <v>0</v>
      </c>
      <c r="AJ16287" s="835">
        <v>42035</v>
      </c>
      <c r="AK16287" s="831">
        <v>147134612</v>
      </c>
    </row>
    <row r="16288" spans="2:37">
      <c r="B16288" s="834" t="str">
        <f t="shared" si="589"/>
        <v>|||</v>
      </c>
      <c r="H16288" s="835">
        <f t="shared" si="590"/>
        <v>31</v>
      </c>
      <c r="AF16288" s="831" t="s">
        <v>11871</v>
      </c>
      <c r="AG16288" s="831" t="s">
        <v>2674</v>
      </c>
      <c r="AH16288" s="831" t="s">
        <v>576</v>
      </c>
      <c r="AI16288" s="831">
        <v>0</v>
      </c>
      <c r="AJ16288" s="835">
        <v>42035</v>
      </c>
      <c r="AK16288" s="831">
        <v>535265337</v>
      </c>
    </row>
    <row r="16289" spans="2:37">
      <c r="B16289" s="834" t="str">
        <f t="shared" si="589"/>
        <v>|||</v>
      </c>
      <c r="H16289" s="835">
        <f t="shared" si="590"/>
        <v>31</v>
      </c>
      <c r="AF16289" s="831" t="s">
        <v>11872</v>
      </c>
      <c r="AG16289" s="831" t="s">
        <v>2674</v>
      </c>
      <c r="AH16289" s="831" t="s">
        <v>572</v>
      </c>
      <c r="AI16289" s="831">
        <v>0</v>
      </c>
      <c r="AJ16289" s="835">
        <v>42035</v>
      </c>
      <c r="AK16289" s="831">
        <v>43193117</v>
      </c>
    </row>
    <row r="16290" spans="2:37">
      <c r="B16290" s="834" t="str">
        <f t="shared" si="589"/>
        <v>|||</v>
      </c>
      <c r="H16290" s="835">
        <f t="shared" si="590"/>
        <v>31</v>
      </c>
      <c r="AF16290" s="831" t="s">
        <v>11873</v>
      </c>
      <c r="AG16290" s="831" t="s">
        <v>2674</v>
      </c>
      <c r="AH16290" s="831" t="s">
        <v>577</v>
      </c>
      <c r="AI16290" s="831">
        <v>0</v>
      </c>
      <c r="AJ16290" s="835">
        <v>42035</v>
      </c>
      <c r="AK16290" s="831">
        <v>172605174</v>
      </c>
    </row>
    <row r="16291" spans="2:37">
      <c r="B16291" s="834" t="str">
        <f t="shared" si="589"/>
        <v>|||</v>
      </c>
      <c r="H16291" s="835">
        <f t="shared" si="590"/>
        <v>31</v>
      </c>
      <c r="AF16291" s="831" t="s">
        <v>11874</v>
      </c>
      <c r="AG16291" s="831" t="s">
        <v>2674</v>
      </c>
      <c r="AH16291" s="831" t="s">
        <v>3042</v>
      </c>
      <c r="AI16291" s="831">
        <v>0</v>
      </c>
      <c r="AJ16291" s="835">
        <v>42035</v>
      </c>
      <c r="AK16291" s="831">
        <v>-52806938</v>
      </c>
    </row>
    <row r="16292" spans="2:37">
      <c r="B16292" s="834" t="str">
        <f t="shared" si="589"/>
        <v>|||</v>
      </c>
      <c r="H16292" s="835">
        <f t="shared" si="590"/>
        <v>31</v>
      </c>
      <c r="AF16292" s="831" t="s">
        <v>11875</v>
      </c>
      <c r="AG16292" s="831" t="s">
        <v>2674</v>
      </c>
      <c r="AH16292" s="831" t="s">
        <v>3044</v>
      </c>
      <c r="AI16292" s="831">
        <v>0</v>
      </c>
      <c r="AJ16292" s="835">
        <v>42035</v>
      </c>
      <c r="AK16292" s="831">
        <v>3134380</v>
      </c>
    </row>
    <row r="16293" spans="2:37">
      <c r="B16293" s="834" t="str">
        <f t="shared" si="589"/>
        <v>|||</v>
      </c>
      <c r="H16293" s="835">
        <f t="shared" si="590"/>
        <v>31</v>
      </c>
      <c r="AF16293" s="831" t="s">
        <v>11876</v>
      </c>
      <c r="AG16293" s="831" t="s">
        <v>2674</v>
      </c>
      <c r="AH16293" s="831" t="s">
        <v>580</v>
      </c>
      <c r="AI16293" s="831">
        <v>0</v>
      </c>
      <c r="AJ16293" s="835">
        <v>42035</v>
      </c>
      <c r="AK16293" s="831">
        <v>-79238495</v>
      </c>
    </row>
    <row r="16294" spans="2:37">
      <c r="B16294" s="834" t="str">
        <f t="shared" si="589"/>
        <v>|||</v>
      </c>
      <c r="H16294" s="835">
        <f t="shared" si="590"/>
        <v>31</v>
      </c>
      <c r="AF16294" s="831" t="s">
        <v>11877</v>
      </c>
      <c r="AG16294" s="831" t="s">
        <v>2674</v>
      </c>
      <c r="AH16294" s="831" t="s">
        <v>581</v>
      </c>
      <c r="AI16294" s="831">
        <v>0</v>
      </c>
      <c r="AJ16294" s="835">
        <v>42035</v>
      </c>
      <c r="AK16294" s="831">
        <v>9801179</v>
      </c>
    </row>
    <row r="16295" spans="2:37">
      <c r="B16295" s="834" t="str">
        <f t="shared" si="589"/>
        <v>|||</v>
      </c>
      <c r="H16295" s="835">
        <f t="shared" si="590"/>
        <v>31</v>
      </c>
      <c r="AF16295" s="831" t="s">
        <v>11878</v>
      </c>
      <c r="AG16295" s="831" t="s">
        <v>2674</v>
      </c>
      <c r="AH16295" s="831" t="s">
        <v>105</v>
      </c>
      <c r="AI16295" s="831">
        <v>0</v>
      </c>
      <c r="AJ16295" s="835">
        <v>42035</v>
      </c>
      <c r="AK16295" s="831">
        <v>538185674</v>
      </c>
    </row>
    <row r="16296" spans="2:37">
      <c r="B16296" s="834" t="str">
        <f t="shared" si="589"/>
        <v>|||</v>
      </c>
      <c r="H16296" s="835">
        <f t="shared" si="590"/>
        <v>31</v>
      </c>
      <c r="AF16296" s="831" t="s">
        <v>11879</v>
      </c>
      <c r="AG16296" s="831" t="s">
        <v>2674</v>
      </c>
      <c r="AH16296" s="831" t="s">
        <v>3049</v>
      </c>
      <c r="AI16296" s="831">
        <v>0</v>
      </c>
      <c r="AJ16296" s="835">
        <v>42035</v>
      </c>
      <c r="AK16296" s="831">
        <v>868832996</v>
      </c>
    </row>
    <row r="16297" spans="2:37">
      <c r="B16297" s="834" t="str">
        <f t="shared" si="589"/>
        <v>|||</v>
      </c>
      <c r="H16297" s="835">
        <f t="shared" si="590"/>
        <v>31</v>
      </c>
      <c r="AF16297" s="831" t="s">
        <v>11880</v>
      </c>
      <c r="AG16297" s="831" t="s">
        <v>2674</v>
      </c>
      <c r="AH16297" s="831" t="s">
        <v>103</v>
      </c>
      <c r="AI16297" s="831">
        <v>0</v>
      </c>
      <c r="AJ16297" s="835">
        <v>42035</v>
      </c>
      <c r="AK16297" s="831">
        <v>330647322</v>
      </c>
    </row>
    <row r="16298" spans="2:37">
      <c r="B16298" s="834" t="str">
        <f t="shared" si="589"/>
        <v>|||</v>
      </c>
      <c r="H16298" s="835">
        <f t="shared" si="590"/>
        <v>31</v>
      </c>
      <c r="AF16298" s="831" t="s">
        <v>11881</v>
      </c>
      <c r="AG16298" s="831" t="s">
        <v>2674</v>
      </c>
      <c r="AH16298" s="831" t="s">
        <v>182</v>
      </c>
      <c r="AI16298" s="831">
        <v>0</v>
      </c>
      <c r="AJ16298" s="835">
        <v>42035</v>
      </c>
      <c r="AK16298" s="831">
        <v>79397220</v>
      </c>
    </row>
    <row r="16299" spans="2:37">
      <c r="B16299" s="834" t="str">
        <f t="shared" si="589"/>
        <v>|||</v>
      </c>
      <c r="H16299" s="835">
        <f t="shared" si="590"/>
        <v>31</v>
      </c>
      <c r="AF16299" s="831" t="s">
        <v>11882</v>
      </c>
      <c r="AG16299" s="831" t="s">
        <v>2674</v>
      </c>
      <c r="AH16299" s="831" t="s">
        <v>6600</v>
      </c>
      <c r="AI16299" s="831">
        <v>0</v>
      </c>
      <c r="AJ16299" s="835">
        <v>42035</v>
      </c>
      <c r="AK16299" s="831">
        <v>43193117</v>
      </c>
    </row>
    <row r="16300" spans="2:37">
      <c r="B16300" s="834" t="str">
        <f t="shared" si="589"/>
        <v>|||</v>
      </c>
      <c r="H16300" s="835">
        <f t="shared" si="590"/>
        <v>31</v>
      </c>
      <c r="AF16300" s="831" t="s">
        <v>11883</v>
      </c>
      <c r="AG16300" s="831" t="s">
        <v>2674</v>
      </c>
      <c r="AH16300" s="831" t="s">
        <v>6602</v>
      </c>
      <c r="AI16300" s="831">
        <v>0</v>
      </c>
      <c r="AJ16300" s="835">
        <v>42035</v>
      </c>
      <c r="AK16300" s="831">
        <v>3451938</v>
      </c>
    </row>
    <row r="16301" spans="2:37">
      <c r="B16301" s="834" t="str">
        <f t="shared" si="589"/>
        <v>|||</v>
      </c>
      <c r="H16301" s="835">
        <f t="shared" si="590"/>
        <v>31</v>
      </c>
      <c r="AF16301" s="831" t="s">
        <v>11884</v>
      </c>
      <c r="AG16301" s="831" t="s">
        <v>2674</v>
      </c>
      <c r="AH16301" s="831" t="s">
        <v>650</v>
      </c>
      <c r="AI16301" s="831">
        <v>0</v>
      </c>
      <c r="AJ16301" s="835">
        <v>42035</v>
      </c>
      <c r="AK16301" s="831">
        <v>300938254.07461542</v>
      </c>
    </row>
    <row r="16302" spans="2:37">
      <c r="B16302" s="834" t="str">
        <f t="shared" si="589"/>
        <v>|||</v>
      </c>
      <c r="H16302" s="835">
        <f t="shared" si="590"/>
        <v>31</v>
      </c>
      <c r="AF16302" s="831" t="s">
        <v>11885</v>
      </c>
      <c r="AG16302" s="831" t="s">
        <v>2674</v>
      </c>
      <c r="AH16302" s="831" t="s">
        <v>655</v>
      </c>
      <c r="AI16302" s="831">
        <v>0</v>
      </c>
      <c r="AJ16302" s="835">
        <v>42035</v>
      </c>
      <c r="AK16302" s="831">
        <v>4403089</v>
      </c>
    </row>
    <row r="16303" spans="2:37">
      <c r="B16303" s="834" t="str">
        <f t="shared" si="589"/>
        <v>|||</v>
      </c>
      <c r="H16303" s="835">
        <f t="shared" si="590"/>
        <v>31</v>
      </c>
      <c r="AF16303" s="831" t="s">
        <v>11886</v>
      </c>
      <c r="AG16303" s="831" t="s">
        <v>2674</v>
      </c>
      <c r="AH16303" s="831" t="s">
        <v>546</v>
      </c>
      <c r="AI16303" s="831">
        <v>0</v>
      </c>
      <c r="AJ16303" s="835">
        <v>42063</v>
      </c>
      <c r="AK16303" s="831">
        <v>965858339</v>
      </c>
    </row>
    <row r="16304" spans="2:37">
      <c r="B16304" s="834" t="str">
        <f t="shared" si="589"/>
        <v>|||</v>
      </c>
      <c r="H16304" s="835">
        <f t="shared" si="590"/>
        <v>31</v>
      </c>
      <c r="AF16304" s="831" t="s">
        <v>11887</v>
      </c>
      <c r="AG16304" s="831" t="s">
        <v>2674</v>
      </c>
      <c r="AH16304" s="831" t="s">
        <v>370</v>
      </c>
      <c r="AI16304" s="831">
        <v>0</v>
      </c>
      <c r="AJ16304" s="835">
        <v>42063</v>
      </c>
      <c r="AK16304" s="831">
        <v>1253581727</v>
      </c>
    </row>
    <row r="16305" spans="2:37">
      <c r="B16305" s="834" t="str">
        <f t="shared" si="589"/>
        <v>|||</v>
      </c>
      <c r="H16305" s="835">
        <f t="shared" si="590"/>
        <v>31</v>
      </c>
      <c r="AF16305" s="831" t="s">
        <v>11888</v>
      </c>
      <c r="AG16305" s="831" t="s">
        <v>2674</v>
      </c>
      <c r="AH16305" s="831" t="s">
        <v>126</v>
      </c>
      <c r="AI16305" s="831">
        <v>0</v>
      </c>
      <c r="AJ16305" s="835">
        <v>42063</v>
      </c>
      <c r="AK16305" s="831">
        <v>143500530</v>
      </c>
    </row>
    <row r="16306" spans="2:37">
      <c r="B16306" s="834" t="str">
        <f t="shared" si="589"/>
        <v>|||</v>
      </c>
      <c r="H16306" s="835">
        <f t="shared" si="590"/>
        <v>31</v>
      </c>
      <c r="AF16306" s="831" t="s">
        <v>11889</v>
      </c>
      <c r="AG16306" s="831" t="s">
        <v>2674</v>
      </c>
      <c r="AH16306" s="831" t="s">
        <v>268</v>
      </c>
      <c r="AI16306" s="831">
        <v>0</v>
      </c>
      <c r="AJ16306" s="835">
        <v>42063</v>
      </c>
      <c r="AK16306" s="831">
        <v>-1907756</v>
      </c>
    </row>
    <row r="16307" spans="2:37">
      <c r="B16307" s="834" t="str">
        <f t="shared" si="589"/>
        <v>|||</v>
      </c>
      <c r="H16307" s="835">
        <f t="shared" si="590"/>
        <v>31</v>
      </c>
      <c r="AF16307" s="831" t="s">
        <v>11890</v>
      </c>
      <c r="AG16307" s="831" t="s">
        <v>2674</v>
      </c>
      <c r="AH16307" s="831" t="s">
        <v>547</v>
      </c>
      <c r="AI16307" s="831">
        <v>0</v>
      </c>
      <c r="AJ16307" s="835">
        <v>42063</v>
      </c>
      <c r="AK16307" s="831">
        <v>1044609243</v>
      </c>
    </row>
    <row r="16308" spans="2:37">
      <c r="B16308" s="834" t="str">
        <f t="shared" si="589"/>
        <v>|||</v>
      </c>
      <c r="H16308" s="835">
        <f t="shared" si="590"/>
        <v>31</v>
      </c>
      <c r="AF16308" s="831" t="s">
        <v>11891</v>
      </c>
      <c r="AG16308" s="831" t="s">
        <v>2674</v>
      </c>
      <c r="AH16308" s="831" t="s">
        <v>548</v>
      </c>
      <c r="AI16308" s="831">
        <v>0</v>
      </c>
      <c r="AJ16308" s="835">
        <v>42063</v>
      </c>
      <c r="AK16308" s="831">
        <v>148860224</v>
      </c>
    </row>
    <row r="16309" spans="2:37">
      <c r="B16309" s="834" t="str">
        <f t="shared" si="589"/>
        <v>|||</v>
      </c>
      <c r="H16309" s="835">
        <f t="shared" si="590"/>
        <v>31</v>
      </c>
      <c r="AF16309" s="831" t="s">
        <v>11892</v>
      </c>
      <c r="AG16309" s="831" t="s">
        <v>2674</v>
      </c>
      <c r="AH16309" s="831" t="s">
        <v>549</v>
      </c>
      <c r="AI16309" s="831">
        <v>0</v>
      </c>
      <c r="AJ16309" s="835">
        <v>42063</v>
      </c>
      <c r="AK16309" s="831">
        <v>652795035</v>
      </c>
    </row>
    <row r="16310" spans="2:37">
      <c r="B16310" s="834" t="str">
        <f t="shared" si="589"/>
        <v>|||</v>
      </c>
      <c r="H16310" s="835">
        <f t="shared" si="590"/>
        <v>31</v>
      </c>
      <c r="AF16310" s="831" t="s">
        <v>11893</v>
      </c>
      <c r="AG16310" s="831" t="s">
        <v>2674</v>
      </c>
      <c r="AH16310" s="831" t="s">
        <v>192</v>
      </c>
      <c r="AI16310" s="831">
        <v>0</v>
      </c>
      <c r="AJ16310" s="835">
        <v>42063</v>
      </c>
      <c r="AK16310" s="831">
        <v>-13765211</v>
      </c>
    </row>
    <row r="16311" spans="2:37">
      <c r="B16311" s="834" t="str">
        <f t="shared" si="589"/>
        <v>|||</v>
      </c>
      <c r="H16311" s="835">
        <f t="shared" si="590"/>
        <v>31</v>
      </c>
      <c r="AF16311" s="831" t="s">
        <v>11894</v>
      </c>
      <c r="AG16311" s="831" t="s">
        <v>2674</v>
      </c>
      <c r="AH16311" s="831" t="s">
        <v>558</v>
      </c>
      <c r="AI16311" s="831">
        <v>0</v>
      </c>
      <c r="AJ16311" s="835">
        <v>42063</v>
      </c>
      <c r="AK16311" s="831">
        <v>1110081197</v>
      </c>
    </row>
    <row r="16312" spans="2:37">
      <c r="B16312" s="834" t="str">
        <f t="shared" si="589"/>
        <v>|||</v>
      </c>
      <c r="H16312" s="835">
        <f t="shared" si="590"/>
        <v>31</v>
      </c>
      <c r="AF16312" s="831" t="s">
        <v>11895</v>
      </c>
      <c r="AG16312" s="831" t="s">
        <v>2674</v>
      </c>
      <c r="AH16312" s="831" t="s">
        <v>65</v>
      </c>
      <c r="AI16312" s="831">
        <v>0</v>
      </c>
      <c r="AJ16312" s="835">
        <v>42063</v>
      </c>
      <c r="AK16312" s="831">
        <v>31017741</v>
      </c>
    </row>
    <row r="16313" spans="2:37">
      <c r="B16313" s="834" t="str">
        <f t="shared" si="589"/>
        <v>|||</v>
      </c>
      <c r="H16313" s="835">
        <f t="shared" si="590"/>
        <v>31</v>
      </c>
      <c r="AF16313" s="831" t="s">
        <v>11896</v>
      </c>
      <c r="AG16313" s="831" t="s">
        <v>2674</v>
      </c>
      <c r="AH16313" s="831" t="s">
        <v>89</v>
      </c>
      <c r="AI16313" s="831">
        <v>0</v>
      </c>
      <c r="AJ16313" s="835">
        <v>42063</v>
      </c>
      <c r="AK16313" s="831">
        <v>157073</v>
      </c>
    </row>
    <row r="16314" spans="2:37">
      <c r="B16314" s="834" t="str">
        <f t="shared" si="589"/>
        <v>|||</v>
      </c>
      <c r="H16314" s="835">
        <f t="shared" si="590"/>
        <v>31</v>
      </c>
      <c r="AF16314" s="831" t="s">
        <v>11897</v>
      </c>
      <c r="AG16314" s="831" t="s">
        <v>2674</v>
      </c>
      <c r="AH16314" s="831" t="s">
        <v>557</v>
      </c>
      <c r="AI16314" s="831">
        <v>0</v>
      </c>
      <c r="AJ16314" s="835">
        <v>42063</v>
      </c>
      <c r="AK16314" s="831">
        <v>179494</v>
      </c>
    </row>
    <row r="16315" spans="2:37">
      <c r="B16315" s="834" t="str">
        <f t="shared" si="589"/>
        <v>|||</v>
      </c>
      <c r="H16315" s="835">
        <f t="shared" si="590"/>
        <v>31</v>
      </c>
      <c r="AF16315" s="831" t="s">
        <v>11898</v>
      </c>
      <c r="AG16315" s="831" t="s">
        <v>2674</v>
      </c>
      <c r="AH16315" s="831" t="s">
        <v>29</v>
      </c>
      <c r="AI16315" s="831">
        <v>0</v>
      </c>
      <c r="AJ16315" s="835">
        <v>42063</v>
      </c>
      <c r="AK16315" s="831">
        <v>8683621</v>
      </c>
    </row>
    <row r="16316" spans="2:37">
      <c r="B16316" s="834" t="str">
        <f t="shared" si="589"/>
        <v>|||</v>
      </c>
      <c r="H16316" s="835">
        <f t="shared" si="590"/>
        <v>31</v>
      </c>
      <c r="AF16316" s="831" t="s">
        <v>11899</v>
      </c>
      <c r="AG16316" s="831" t="s">
        <v>2674</v>
      </c>
      <c r="AH16316" s="831" t="s">
        <v>2688</v>
      </c>
      <c r="AI16316" s="831">
        <v>0</v>
      </c>
      <c r="AJ16316" s="835">
        <v>42063</v>
      </c>
      <c r="AK16316" s="831">
        <v>11508492</v>
      </c>
    </row>
    <row r="16317" spans="2:37">
      <c r="B16317" s="834" t="str">
        <f t="shared" si="589"/>
        <v>|||</v>
      </c>
      <c r="H16317" s="835">
        <f t="shared" si="590"/>
        <v>31</v>
      </c>
      <c r="AF16317" s="831" t="s">
        <v>11900</v>
      </c>
      <c r="AG16317" s="831" t="s">
        <v>2674</v>
      </c>
      <c r="AH16317" s="831" t="s">
        <v>556</v>
      </c>
      <c r="AI16317" s="831">
        <v>0</v>
      </c>
      <c r="AJ16317" s="835">
        <v>42063</v>
      </c>
      <c r="AK16317" s="831">
        <v>11412135</v>
      </c>
    </row>
    <row r="16318" spans="2:37">
      <c r="B16318" s="834" t="str">
        <f t="shared" si="589"/>
        <v>|||</v>
      </c>
      <c r="H16318" s="835">
        <f t="shared" si="590"/>
        <v>31</v>
      </c>
      <c r="AF16318" s="831" t="s">
        <v>11901</v>
      </c>
      <c r="AG16318" s="831" t="s">
        <v>2674</v>
      </c>
      <c r="AH16318" s="831" t="s">
        <v>555</v>
      </c>
      <c r="AI16318" s="831">
        <v>0</v>
      </c>
      <c r="AJ16318" s="835">
        <v>42063</v>
      </c>
      <c r="AK16318" s="831">
        <v>771141919</v>
      </c>
    </row>
    <row r="16319" spans="2:37">
      <c r="B16319" s="834" t="str">
        <f t="shared" si="589"/>
        <v>|||</v>
      </c>
      <c r="H16319" s="835">
        <f t="shared" si="590"/>
        <v>31</v>
      </c>
      <c r="AF16319" s="831" t="s">
        <v>11902</v>
      </c>
      <c r="AG16319" s="831" t="s">
        <v>2674</v>
      </c>
      <c r="AH16319" s="831" t="s">
        <v>554</v>
      </c>
      <c r="AI16319" s="831">
        <v>0</v>
      </c>
      <c r="AJ16319" s="835">
        <v>42063</v>
      </c>
      <c r="AK16319" s="831">
        <v>856164850</v>
      </c>
    </row>
    <row r="16320" spans="2:37">
      <c r="B16320" s="834" t="str">
        <f t="shared" si="589"/>
        <v>|||</v>
      </c>
      <c r="H16320" s="835">
        <f t="shared" si="590"/>
        <v>31</v>
      </c>
      <c r="AF16320" s="831" t="s">
        <v>11903</v>
      </c>
      <c r="AG16320" s="831" t="s">
        <v>2674</v>
      </c>
      <c r="AH16320" s="831" t="s">
        <v>553</v>
      </c>
      <c r="AI16320" s="831">
        <v>0</v>
      </c>
      <c r="AJ16320" s="835">
        <v>42063</v>
      </c>
      <c r="AK16320" s="831">
        <v>92382400</v>
      </c>
    </row>
    <row r="16321" spans="2:37">
      <c r="B16321" s="834" t="str">
        <f t="shared" si="589"/>
        <v>|||</v>
      </c>
      <c r="H16321" s="835">
        <f t="shared" si="590"/>
        <v>31</v>
      </c>
      <c r="AF16321" s="831" t="s">
        <v>11904</v>
      </c>
      <c r="AG16321" s="831" t="s">
        <v>2674</v>
      </c>
      <c r="AH16321" s="831" t="s">
        <v>552</v>
      </c>
      <c r="AI16321" s="831">
        <v>0</v>
      </c>
      <c r="AJ16321" s="835">
        <v>42063</v>
      </c>
      <c r="AK16321" s="831">
        <v>0</v>
      </c>
    </row>
    <row r="16322" spans="2:37">
      <c r="B16322" s="834" t="str">
        <f t="shared" si="589"/>
        <v>|||</v>
      </c>
      <c r="H16322" s="835">
        <f t="shared" si="590"/>
        <v>31</v>
      </c>
      <c r="AF16322" s="831" t="s">
        <v>11905</v>
      </c>
      <c r="AG16322" s="831" t="s">
        <v>2674</v>
      </c>
      <c r="AH16322" s="831" t="s">
        <v>551</v>
      </c>
      <c r="AI16322" s="831">
        <v>0</v>
      </c>
      <c r="AJ16322" s="835">
        <v>42063</v>
      </c>
      <c r="AK16322" s="831">
        <v>7487687</v>
      </c>
    </row>
    <row r="16323" spans="2:37">
      <c r="B16323" s="834" t="str">
        <f t="shared" si="589"/>
        <v>|||</v>
      </c>
      <c r="H16323" s="835">
        <f t="shared" si="590"/>
        <v>31</v>
      </c>
      <c r="AF16323" s="831" t="s">
        <v>11906</v>
      </c>
      <c r="AG16323" s="831" t="s">
        <v>2674</v>
      </c>
      <c r="AH16323" s="831" t="s">
        <v>550</v>
      </c>
      <c r="AI16323" s="831">
        <v>0</v>
      </c>
      <c r="AJ16323" s="835">
        <v>42063</v>
      </c>
      <c r="AK16323" s="831">
        <v>148860224</v>
      </c>
    </row>
    <row r="16324" spans="2:37">
      <c r="B16324" s="834" t="str">
        <f t="shared" si="589"/>
        <v>|||</v>
      </c>
      <c r="H16324" s="835">
        <f t="shared" si="590"/>
        <v>31</v>
      </c>
      <c r="AF16324" s="831" t="s">
        <v>11907</v>
      </c>
      <c r="AG16324" s="831" t="s">
        <v>2674</v>
      </c>
      <c r="AH16324" s="831" t="s">
        <v>562</v>
      </c>
      <c r="AI16324" s="831">
        <v>0</v>
      </c>
      <c r="AJ16324" s="835">
        <v>42063</v>
      </c>
      <c r="AK16324" s="831">
        <v>1.04575</v>
      </c>
    </row>
    <row r="16325" spans="2:37">
      <c r="B16325" s="834" t="str">
        <f t="shared" si="589"/>
        <v>|||</v>
      </c>
      <c r="H16325" s="835">
        <f t="shared" si="590"/>
        <v>31</v>
      </c>
      <c r="AF16325" s="831" t="s">
        <v>11908</v>
      </c>
      <c r="AG16325" s="831" t="s">
        <v>2674</v>
      </c>
      <c r="AH16325" s="831" t="s">
        <v>2698</v>
      </c>
      <c r="AI16325" s="831">
        <v>0</v>
      </c>
      <c r="AJ16325" s="835">
        <v>42063</v>
      </c>
      <c r="AK16325" s="831">
        <v>0.78439999999999999</v>
      </c>
    </row>
    <row r="16326" spans="2:37">
      <c r="B16326" s="834" t="str">
        <f t="shared" si="589"/>
        <v>|||</v>
      </c>
      <c r="H16326" s="835">
        <f t="shared" si="590"/>
        <v>31</v>
      </c>
      <c r="AF16326" s="831" t="s">
        <v>11909</v>
      </c>
      <c r="AG16326" s="831" t="s">
        <v>2674</v>
      </c>
      <c r="AH16326" s="831" t="s">
        <v>560</v>
      </c>
      <c r="AI16326" s="831">
        <v>0</v>
      </c>
      <c r="AJ16326" s="835">
        <v>42063</v>
      </c>
      <c r="AK16326" s="831">
        <v>0.91507499999999997</v>
      </c>
    </row>
    <row r="16327" spans="2:37">
      <c r="B16327" s="834" t="str">
        <f t="shared" si="589"/>
        <v>|||</v>
      </c>
      <c r="H16327" s="835">
        <f t="shared" si="590"/>
        <v>31</v>
      </c>
      <c r="AF16327" s="831" t="s">
        <v>11910</v>
      </c>
      <c r="AG16327" s="831" t="s">
        <v>2674</v>
      </c>
      <c r="AH16327" s="831" t="s">
        <v>559</v>
      </c>
      <c r="AI16327" s="831">
        <v>0</v>
      </c>
      <c r="AJ16327" s="835">
        <v>42063</v>
      </c>
      <c r="AK16327" s="831">
        <v>0.80552083333333313</v>
      </c>
    </row>
    <row r="16328" spans="2:37">
      <c r="B16328" s="834" t="str">
        <f t="shared" si="589"/>
        <v>|||</v>
      </c>
      <c r="H16328" s="835">
        <f t="shared" si="590"/>
        <v>31</v>
      </c>
      <c r="AF16328" s="831" t="s">
        <v>11911</v>
      </c>
      <c r="AG16328" s="831" t="s">
        <v>2674</v>
      </c>
      <c r="AH16328" s="831" t="s">
        <v>568</v>
      </c>
      <c r="AI16328" s="831">
        <v>0</v>
      </c>
      <c r="AJ16328" s="835">
        <v>42063</v>
      </c>
      <c r="AK16328" s="831">
        <v>764746840.38461542</v>
      </c>
    </row>
    <row r="16329" spans="2:37">
      <c r="B16329" s="834" t="str">
        <f t="shared" si="589"/>
        <v>|||</v>
      </c>
      <c r="H16329" s="835">
        <f t="shared" si="590"/>
        <v>31</v>
      </c>
      <c r="AF16329" s="831" t="s">
        <v>11912</v>
      </c>
      <c r="AG16329" s="831" t="s">
        <v>2674</v>
      </c>
      <c r="AH16329" s="831" t="s">
        <v>569</v>
      </c>
      <c r="AI16329" s="831">
        <v>0</v>
      </c>
      <c r="AJ16329" s="835">
        <v>42063</v>
      </c>
      <c r="AK16329" s="831">
        <v>956157596</v>
      </c>
    </row>
    <row r="16330" spans="2:37">
      <c r="B16330" s="834" t="str">
        <f t="shared" si="589"/>
        <v>|||</v>
      </c>
      <c r="H16330" s="835">
        <f t="shared" si="590"/>
        <v>31</v>
      </c>
      <c r="AF16330" s="831" t="s">
        <v>11913</v>
      </c>
      <c r="AG16330" s="831" t="s">
        <v>2674</v>
      </c>
      <c r="AH16330" s="831" t="s">
        <v>570</v>
      </c>
      <c r="AI16330" s="831">
        <v>0</v>
      </c>
      <c r="AJ16330" s="835">
        <v>42063</v>
      </c>
      <c r="AK16330" s="831">
        <v>138839504.15615386</v>
      </c>
    </row>
    <row r="16331" spans="2:37">
      <c r="B16331" s="834" t="str">
        <f t="shared" si="589"/>
        <v>|||</v>
      </c>
      <c r="H16331" s="835">
        <f t="shared" si="590"/>
        <v>31</v>
      </c>
      <c r="AF16331" s="831" t="s">
        <v>11914</v>
      </c>
      <c r="AG16331" s="831" t="s">
        <v>2674</v>
      </c>
      <c r="AH16331" s="831" t="s">
        <v>571</v>
      </c>
      <c r="AI16331" s="831">
        <v>0</v>
      </c>
      <c r="AJ16331" s="835">
        <v>42063</v>
      </c>
      <c r="AK16331" s="831">
        <v>482774872.10899997</v>
      </c>
    </row>
    <row r="16332" spans="2:37">
      <c r="B16332" s="834" t="str">
        <f t="shared" si="589"/>
        <v>|||</v>
      </c>
      <c r="H16332" s="835">
        <f t="shared" si="590"/>
        <v>31</v>
      </c>
      <c r="AF16332" s="831" t="s">
        <v>11915</v>
      </c>
      <c r="AG16332" s="831" t="s">
        <v>2674</v>
      </c>
      <c r="AH16332" s="831" t="s">
        <v>573</v>
      </c>
      <c r="AI16332" s="831">
        <v>0</v>
      </c>
      <c r="AJ16332" s="835">
        <v>42063</v>
      </c>
      <c r="AK16332" s="831">
        <v>1113466990</v>
      </c>
    </row>
    <row r="16333" spans="2:37">
      <c r="B16333" s="834" t="str">
        <f t="shared" si="589"/>
        <v>|||</v>
      </c>
      <c r="H16333" s="835">
        <f t="shared" si="590"/>
        <v>31</v>
      </c>
      <c r="AF16333" s="831" t="s">
        <v>11916</v>
      </c>
      <c r="AG16333" s="831" t="s">
        <v>2674</v>
      </c>
      <c r="AH16333" s="831" t="s">
        <v>574</v>
      </c>
      <c r="AI16333" s="831">
        <v>0</v>
      </c>
      <c r="AJ16333" s="835">
        <v>42063</v>
      </c>
      <c r="AK16333" s="831">
        <v>874843882.66666663</v>
      </c>
    </row>
    <row r="16334" spans="2:37">
      <c r="B16334" s="834" t="str">
        <f t="shared" si="589"/>
        <v>|||</v>
      </c>
      <c r="H16334" s="835">
        <f t="shared" si="590"/>
        <v>31</v>
      </c>
      <c r="AF16334" s="831" t="s">
        <v>11917</v>
      </c>
      <c r="AG16334" s="831" t="s">
        <v>2674</v>
      </c>
      <c r="AH16334" s="831" t="s">
        <v>575</v>
      </c>
      <c r="AI16334" s="831">
        <v>0</v>
      </c>
      <c r="AJ16334" s="835">
        <v>42063</v>
      </c>
      <c r="AK16334" s="831">
        <v>145923251.33333334</v>
      </c>
    </row>
    <row r="16335" spans="2:37">
      <c r="B16335" s="834" t="str">
        <f t="shared" si="589"/>
        <v>|||</v>
      </c>
      <c r="H16335" s="835">
        <f t="shared" si="590"/>
        <v>31</v>
      </c>
      <c r="AF16335" s="831" t="s">
        <v>11918</v>
      </c>
      <c r="AG16335" s="831" t="s">
        <v>2674</v>
      </c>
      <c r="AH16335" s="831" t="s">
        <v>576</v>
      </c>
      <c r="AI16335" s="831">
        <v>0</v>
      </c>
      <c r="AJ16335" s="835">
        <v>42063</v>
      </c>
      <c r="AK16335" s="831">
        <v>595110401.33333337</v>
      </c>
    </row>
    <row r="16336" spans="2:37">
      <c r="B16336" s="834" t="str">
        <f t="shared" si="589"/>
        <v>|||</v>
      </c>
      <c r="H16336" s="835">
        <f t="shared" si="590"/>
        <v>31</v>
      </c>
      <c r="AF16336" s="831" t="s">
        <v>11919</v>
      </c>
      <c r="AG16336" s="831" t="s">
        <v>2674</v>
      </c>
      <c r="AH16336" s="831" t="s">
        <v>572</v>
      </c>
      <c r="AI16336" s="831">
        <v>0</v>
      </c>
      <c r="AJ16336" s="835">
        <v>42063</v>
      </c>
      <c r="AK16336" s="831">
        <v>33261949</v>
      </c>
    </row>
    <row r="16337" spans="2:37">
      <c r="B16337" s="834" t="str">
        <f t="shared" ref="B16337:B16400" si="591">C16337&amp;"|"&amp;D16337&amp;"|"&amp;E16337&amp;"|"&amp;F16337</f>
        <v>|||</v>
      </c>
      <c r="H16337" s="835">
        <f t="shared" ref="H16337:H16400" si="592">EOMONTH(L16337,0)</f>
        <v>31</v>
      </c>
      <c r="AF16337" s="831" t="s">
        <v>11920</v>
      </c>
      <c r="AG16337" s="831" t="s">
        <v>2674</v>
      </c>
      <c r="AH16337" s="831" t="s">
        <v>577</v>
      </c>
      <c r="AI16337" s="831">
        <v>0</v>
      </c>
      <c r="AJ16337" s="835">
        <v>42063</v>
      </c>
      <c r="AK16337" s="831">
        <v>173134660</v>
      </c>
    </row>
    <row r="16338" spans="2:37">
      <c r="B16338" s="834" t="str">
        <f t="shared" si="591"/>
        <v>|||</v>
      </c>
      <c r="H16338" s="835">
        <f t="shared" si="592"/>
        <v>31</v>
      </c>
      <c r="AF16338" s="831" t="s">
        <v>11921</v>
      </c>
      <c r="AG16338" s="831" t="s">
        <v>2674</v>
      </c>
      <c r="AH16338" s="831" t="s">
        <v>3042</v>
      </c>
      <c r="AI16338" s="831">
        <v>0</v>
      </c>
      <c r="AJ16338" s="835">
        <v>42063</v>
      </c>
      <c r="AK16338" s="831">
        <v>-53542458</v>
      </c>
    </row>
    <row r="16339" spans="2:37">
      <c r="B16339" s="834" t="str">
        <f t="shared" si="591"/>
        <v>|||</v>
      </c>
      <c r="H16339" s="835">
        <f t="shared" si="592"/>
        <v>31</v>
      </c>
      <c r="AF16339" s="831" t="s">
        <v>11922</v>
      </c>
      <c r="AG16339" s="831" t="s">
        <v>2674</v>
      </c>
      <c r="AH16339" s="831" t="s">
        <v>3044</v>
      </c>
      <c r="AI16339" s="831">
        <v>0</v>
      </c>
      <c r="AJ16339" s="835">
        <v>42063</v>
      </c>
      <c r="AK16339" s="831">
        <v>-787106</v>
      </c>
    </row>
    <row r="16340" spans="2:37">
      <c r="B16340" s="834" t="str">
        <f t="shared" si="591"/>
        <v>|||</v>
      </c>
      <c r="H16340" s="835">
        <f t="shared" si="592"/>
        <v>31</v>
      </c>
      <c r="AF16340" s="831" t="s">
        <v>11923</v>
      </c>
      <c r="AG16340" s="831" t="s">
        <v>2674</v>
      </c>
      <c r="AH16340" s="831" t="s">
        <v>580</v>
      </c>
      <c r="AI16340" s="831">
        <v>0</v>
      </c>
      <c r="AJ16340" s="835">
        <v>42063</v>
      </c>
      <c r="AK16340" s="831">
        <v>-82473719</v>
      </c>
    </row>
    <row r="16341" spans="2:37">
      <c r="B16341" s="834" t="str">
        <f t="shared" si="591"/>
        <v>|||</v>
      </c>
      <c r="H16341" s="835">
        <f t="shared" si="592"/>
        <v>31</v>
      </c>
      <c r="AF16341" s="831" t="s">
        <v>11924</v>
      </c>
      <c r="AG16341" s="831" t="s">
        <v>2674</v>
      </c>
      <c r="AH16341" s="831" t="s">
        <v>581</v>
      </c>
      <c r="AI16341" s="831">
        <v>0</v>
      </c>
      <c r="AJ16341" s="835">
        <v>42063</v>
      </c>
      <c r="AK16341" s="831">
        <v>11169610</v>
      </c>
    </row>
    <row r="16342" spans="2:37">
      <c r="B16342" s="834" t="str">
        <f t="shared" si="591"/>
        <v>|||</v>
      </c>
      <c r="H16342" s="835">
        <f t="shared" si="592"/>
        <v>31</v>
      </c>
      <c r="AF16342" s="831" t="s">
        <v>11925</v>
      </c>
      <c r="AG16342" s="831" t="s">
        <v>2674</v>
      </c>
      <c r="AH16342" s="831" t="s">
        <v>105</v>
      </c>
      <c r="AI16342" s="831">
        <v>0</v>
      </c>
      <c r="AJ16342" s="835">
        <v>42063</v>
      </c>
      <c r="AK16342" s="831">
        <v>714800530</v>
      </c>
    </row>
    <row r="16343" spans="2:37">
      <c r="B16343" s="834" t="str">
        <f t="shared" si="591"/>
        <v>|||</v>
      </c>
      <c r="H16343" s="835">
        <f t="shared" si="592"/>
        <v>31</v>
      </c>
      <c r="AF16343" s="831" t="s">
        <v>11926</v>
      </c>
      <c r="AG16343" s="831" t="s">
        <v>2674</v>
      </c>
      <c r="AH16343" s="831" t="s">
        <v>3049</v>
      </c>
      <c r="AI16343" s="831">
        <v>0</v>
      </c>
      <c r="AJ16343" s="835">
        <v>42063</v>
      </c>
      <c r="AK16343" s="831">
        <v>1078776977</v>
      </c>
    </row>
    <row r="16344" spans="2:37">
      <c r="B16344" s="834" t="str">
        <f t="shared" si="591"/>
        <v>|||</v>
      </c>
      <c r="H16344" s="835">
        <f t="shared" si="592"/>
        <v>31</v>
      </c>
      <c r="AF16344" s="831" t="s">
        <v>11927</v>
      </c>
      <c r="AG16344" s="831" t="s">
        <v>2674</v>
      </c>
      <c r="AH16344" s="831" t="s">
        <v>103</v>
      </c>
      <c r="AI16344" s="831">
        <v>0</v>
      </c>
      <c r="AJ16344" s="835">
        <v>42063</v>
      </c>
      <c r="AK16344" s="831">
        <v>363976447</v>
      </c>
    </row>
    <row r="16345" spans="2:37">
      <c r="B16345" s="834" t="str">
        <f t="shared" si="591"/>
        <v>|||</v>
      </c>
      <c r="H16345" s="835">
        <f t="shared" si="592"/>
        <v>31</v>
      </c>
      <c r="AF16345" s="831" t="s">
        <v>11928</v>
      </c>
      <c r="AG16345" s="831" t="s">
        <v>2674</v>
      </c>
      <c r="AH16345" s="831" t="s">
        <v>182</v>
      </c>
      <c r="AI16345" s="831">
        <v>0</v>
      </c>
      <c r="AJ16345" s="835">
        <v>42063</v>
      </c>
      <c r="AK16345" s="831">
        <v>91149096</v>
      </c>
    </row>
    <row r="16346" spans="2:37">
      <c r="B16346" s="834" t="str">
        <f t="shared" si="591"/>
        <v>|||</v>
      </c>
      <c r="H16346" s="835">
        <f t="shared" si="592"/>
        <v>31</v>
      </c>
      <c r="AF16346" s="831" t="s">
        <v>11929</v>
      </c>
      <c r="AG16346" s="831" t="s">
        <v>2674</v>
      </c>
      <c r="AH16346" s="831" t="s">
        <v>6600</v>
      </c>
      <c r="AI16346" s="831">
        <v>0</v>
      </c>
      <c r="AJ16346" s="835">
        <v>42063</v>
      </c>
      <c r="AK16346" s="831">
        <v>33261949</v>
      </c>
    </row>
    <row r="16347" spans="2:37">
      <c r="B16347" s="834" t="str">
        <f t="shared" si="591"/>
        <v>|||</v>
      </c>
      <c r="H16347" s="835">
        <f t="shared" si="592"/>
        <v>31</v>
      </c>
      <c r="AF16347" s="831" t="s">
        <v>11930</v>
      </c>
      <c r="AG16347" s="831" t="s">
        <v>2674</v>
      </c>
      <c r="AH16347" s="831" t="s">
        <v>6602</v>
      </c>
      <c r="AI16347" s="831">
        <v>0</v>
      </c>
      <c r="AJ16347" s="835">
        <v>42063</v>
      </c>
      <c r="AK16347" s="831">
        <v>-1907756</v>
      </c>
    </row>
    <row r="16348" spans="2:37">
      <c r="B16348" s="834" t="str">
        <f t="shared" si="591"/>
        <v>|||</v>
      </c>
      <c r="H16348" s="835">
        <f t="shared" si="592"/>
        <v>31</v>
      </c>
      <c r="AF16348" s="831" t="s">
        <v>11931</v>
      </c>
      <c r="AG16348" s="831" t="s">
        <v>2674</v>
      </c>
      <c r="AH16348" s="831" t="s">
        <v>650</v>
      </c>
      <c r="AI16348" s="831">
        <v>0</v>
      </c>
      <c r="AJ16348" s="835">
        <v>42063</v>
      </c>
      <c r="AK16348" s="831">
        <v>309129053.2630769</v>
      </c>
    </row>
    <row r="16349" spans="2:37">
      <c r="B16349" s="834" t="str">
        <f t="shared" si="591"/>
        <v>|||</v>
      </c>
      <c r="H16349" s="835">
        <f t="shared" si="592"/>
        <v>31</v>
      </c>
      <c r="AF16349" s="831" t="s">
        <v>11932</v>
      </c>
      <c r="AG16349" s="831" t="s">
        <v>2674</v>
      </c>
      <c r="AH16349" s="831" t="s">
        <v>655</v>
      </c>
      <c r="AI16349" s="831">
        <v>0</v>
      </c>
      <c r="AJ16349" s="835">
        <v>42063</v>
      </c>
      <c r="AK16349" s="831">
        <v>7002831</v>
      </c>
    </row>
    <row r="16350" spans="2:37">
      <c r="B16350" s="834" t="str">
        <f t="shared" si="591"/>
        <v>|||</v>
      </c>
      <c r="H16350" s="835">
        <f t="shared" si="592"/>
        <v>31</v>
      </c>
      <c r="AF16350" s="831" t="s">
        <v>11933</v>
      </c>
      <c r="AG16350" s="831" t="s">
        <v>2674</v>
      </c>
      <c r="AH16350" s="831" t="s">
        <v>546</v>
      </c>
      <c r="AI16350" s="831">
        <v>0</v>
      </c>
      <c r="AJ16350" s="835">
        <v>42094</v>
      </c>
      <c r="AK16350" s="831">
        <v>925259190</v>
      </c>
    </row>
    <row r="16351" spans="2:37">
      <c r="B16351" s="834" t="str">
        <f t="shared" si="591"/>
        <v>|||</v>
      </c>
      <c r="H16351" s="835">
        <f t="shared" si="592"/>
        <v>31</v>
      </c>
      <c r="AF16351" s="831" t="s">
        <v>11934</v>
      </c>
      <c r="AG16351" s="831" t="s">
        <v>2674</v>
      </c>
      <c r="AH16351" s="831" t="s">
        <v>370</v>
      </c>
      <c r="AI16351" s="831">
        <v>0</v>
      </c>
      <c r="AJ16351" s="835">
        <v>42094</v>
      </c>
      <c r="AK16351" s="831">
        <v>1161484479</v>
      </c>
    </row>
    <row r="16352" spans="2:37">
      <c r="B16352" s="834" t="str">
        <f t="shared" si="591"/>
        <v>|||</v>
      </c>
      <c r="H16352" s="835">
        <f t="shared" si="592"/>
        <v>31</v>
      </c>
      <c r="AF16352" s="831" t="s">
        <v>11935</v>
      </c>
      <c r="AG16352" s="831" t="s">
        <v>2674</v>
      </c>
      <c r="AH16352" s="831" t="s">
        <v>126</v>
      </c>
      <c r="AI16352" s="831">
        <v>0</v>
      </c>
      <c r="AJ16352" s="835">
        <v>42094</v>
      </c>
      <c r="AK16352" s="831">
        <v>147807134</v>
      </c>
    </row>
    <row r="16353" spans="2:37">
      <c r="B16353" s="834" t="str">
        <f t="shared" si="591"/>
        <v>|||</v>
      </c>
      <c r="H16353" s="835">
        <f t="shared" si="592"/>
        <v>31</v>
      </c>
      <c r="AF16353" s="831" t="s">
        <v>11936</v>
      </c>
      <c r="AG16353" s="831" t="s">
        <v>2674</v>
      </c>
      <c r="AH16353" s="831" t="s">
        <v>268</v>
      </c>
      <c r="AI16353" s="831">
        <v>0</v>
      </c>
      <c r="AJ16353" s="835">
        <v>42094</v>
      </c>
      <c r="AK16353" s="831">
        <v>2398849</v>
      </c>
    </row>
    <row r="16354" spans="2:37">
      <c r="B16354" s="834" t="str">
        <f t="shared" si="591"/>
        <v>|||</v>
      </c>
      <c r="H16354" s="835">
        <f t="shared" si="592"/>
        <v>31</v>
      </c>
      <c r="AF16354" s="831" t="s">
        <v>11937</v>
      </c>
      <c r="AG16354" s="831" t="s">
        <v>2674</v>
      </c>
      <c r="AH16354" s="831" t="s">
        <v>547</v>
      </c>
      <c r="AI16354" s="831">
        <v>0</v>
      </c>
      <c r="AJ16354" s="835">
        <v>42094</v>
      </c>
      <c r="AK16354" s="831">
        <v>1044609243</v>
      </c>
    </row>
    <row r="16355" spans="2:37">
      <c r="B16355" s="834" t="str">
        <f t="shared" si="591"/>
        <v>|||</v>
      </c>
      <c r="H16355" s="835">
        <f t="shared" si="592"/>
        <v>31</v>
      </c>
      <c r="AF16355" s="831" t="s">
        <v>11938</v>
      </c>
      <c r="AG16355" s="831" t="s">
        <v>2674</v>
      </c>
      <c r="AH16355" s="831" t="s">
        <v>548</v>
      </c>
      <c r="AI16355" s="831">
        <v>0</v>
      </c>
      <c r="AJ16355" s="835">
        <v>42094</v>
      </c>
      <c r="AK16355" s="831">
        <v>148860224</v>
      </c>
    </row>
    <row r="16356" spans="2:37">
      <c r="B16356" s="834" t="str">
        <f t="shared" si="591"/>
        <v>|||</v>
      </c>
      <c r="H16356" s="835">
        <f t="shared" si="592"/>
        <v>31</v>
      </c>
      <c r="AF16356" s="831" t="s">
        <v>11939</v>
      </c>
      <c r="AG16356" s="831" t="s">
        <v>2674</v>
      </c>
      <c r="AH16356" s="831" t="s">
        <v>549</v>
      </c>
      <c r="AI16356" s="831">
        <v>0</v>
      </c>
      <c r="AJ16356" s="835">
        <v>42094</v>
      </c>
      <c r="AK16356" s="831">
        <v>664153787</v>
      </c>
    </row>
    <row r="16357" spans="2:37">
      <c r="B16357" s="834" t="str">
        <f t="shared" si="591"/>
        <v>|||</v>
      </c>
      <c r="H16357" s="835">
        <f t="shared" si="592"/>
        <v>31</v>
      </c>
      <c r="AF16357" s="831" t="s">
        <v>11940</v>
      </c>
      <c r="AG16357" s="831" t="s">
        <v>2674</v>
      </c>
      <c r="AH16357" s="831" t="s">
        <v>192</v>
      </c>
      <c r="AI16357" s="831">
        <v>0</v>
      </c>
      <c r="AJ16357" s="835">
        <v>42094</v>
      </c>
      <c r="AK16357" s="831">
        <v>-15332196</v>
      </c>
    </row>
    <row r="16358" spans="2:37">
      <c r="B16358" s="834" t="str">
        <f t="shared" si="591"/>
        <v>|||</v>
      </c>
      <c r="H16358" s="835">
        <f t="shared" si="592"/>
        <v>31</v>
      </c>
      <c r="AF16358" s="831" t="s">
        <v>11941</v>
      </c>
      <c r="AG16358" s="831" t="s">
        <v>2674</v>
      </c>
      <c r="AH16358" s="831" t="s">
        <v>558</v>
      </c>
      <c r="AI16358" s="831">
        <v>0</v>
      </c>
      <c r="AJ16358" s="835">
        <v>42094</v>
      </c>
      <c r="AK16358" s="831">
        <v>1013677345</v>
      </c>
    </row>
    <row r="16359" spans="2:37">
      <c r="B16359" s="834" t="str">
        <f t="shared" si="591"/>
        <v>|||</v>
      </c>
      <c r="H16359" s="835">
        <f t="shared" si="592"/>
        <v>31</v>
      </c>
      <c r="AF16359" s="831" t="s">
        <v>11942</v>
      </c>
      <c r="AG16359" s="831" t="s">
        <v>2674</v>
      </c>
      <c r="AH16359" s="831" t="s">
        <v>65</v>
      </c>
      <c r="AI16359" s="831">
        <v>0</v>
      </c>
      <c r="AJ16359" s="835">
        <v>42094</v>
      </c>
      <c r="AK16359" s="831">
        <v>48515498</v>
      </c>
    </row>
    <row r="16360" spans="2:37">
      <c r="B16360" s="834" t="str">
        <f t="shared" si="591"/>
        <v>|||</v>
      </c>
      <c r="H16360" s="835">
        <f t="shared" si="592"/>
        <v>31</v>
      </c>
      <c r="AF16360" s="831" t="s">
        <v>11943</v>
      </c>
      <c r="AG16360" s="831" t="s">
        <v>2674</v>
      </c>
      <c r="AH16360" s="831" t="s">
        <v>89</v>
      </c>
      <c r="AI16360" s="831">
        <v>0</v>
      </c>
      <c r="AJ16360" s="835">
        <v>42094</v>
      </c>
      <c r="AK16360" s="831">
        <v>153039</v>
      </c>
    </row>
    <row r="16361" spans="2:37">
      <c r="B16361" s="834" t="str">
        <f t="shared" si="591"/>
        <v>|||</v>
      </c>
      <c r="H16361" s="835">
        <f t="shared" si="592"/>
        <v>31</v>
      </c>
      <c r="AF16361" s="831" t="s">
        <v>11944</v>
      </c>
      <c r="AG16361" s="831" t="s">
        <v>2674</v>
      </c>
      <c r="AH16361" s="831" t="s">
        <v>557</v>
      </c>
      <c r="AI16361" s="831">
        <v>0</v>
      </c>
      <c r="AJ16361" s="835">
        <v>42094</v>
      </c>
      <c r="AK16361" s="831">
        <v>174874</v>
      </c>
    </row>
    <row r="16362" spans="2:37">
      <c r="B16362" s="834" t="str">
        <f t="shared" si="591"/>
        <v>|||</v>
      </c>
      <c r="H16362" s="835">
        <f t="shared" si="592"/>
        <v>31</v>
      </c>
      <c r="AF16362" s="831" t="s">
        <v>11945</v>
      </c>
      <c r="AG16362" s="831" t="s">
        <v>2674</v>
      </c>
      <c r="AH16362" s="831" t="s">
        <v>29</v>
      </c>
      <c r="AI16362" s="831">
        <v>0</v>
      </c>
      <c r="AJ16362" s="835">
        <v>42094</v>
      </c>
      <c r="AK16362" s="831">
        <v>10801248</v>
      </c>
    </row>
    <row r="16363" spans="2:37">
      <c r="B16363" s="834" t="str">
        <f t="shared" si="591"/>
        <v>|||</v>
      </c>
      <c r="H16363" s="835">
        <f t="shared" si="592"/>
        <v>31</v>
      </c>
      <c r="AF16363" s="831" t="s">
        <v>11946</v>
      </c>
      <c r="AG16363" s="831" t="s">
        <v>2674</v>
      </c>
      <c r="AH16363" s="831" t="s">
        <v>2688</v>
      </c>
      <c r="AI16363" s="831">
        <v>0</v>
      </c>
      <c r="AJ16363" s="835">
        <v>42094</v>
      </c>
      <c r="AK16363" s="831">
        <v>88178967</v>
      </c>
    </row>
    <row r="16364" spans="2:37">
      <c r="B16364" s="834" t="str">
        <f t="shared" si="591"/>
        <v>|||</v>
      </c>
      <c r="H16364" s="835">
        <f t="shared" si="592"/>
        <v>31</v>
      </c>
      <c r="AF16364" s="831" t="s">
        <v>11947</v>
      </c>
      <c r="AG16364" s="831" t="s">
        <v>2674</v>
      </c>
      <c r="AH16364" s="831" t="s">
        <v>556</v>
      </c>
      <c r="AI16364" s="831">
        <v>0</v>
      </c>
      <c r="AJ16364" s="835">
        <v>42094</v>
      </c>
      <c r="AK16364" s="831">
        <v>11412135</v>
      </c>
    </row>
    <row r="16365" spans="2:37">
      <c r="B16365" s="834" t="str">
        <f t="shared" si="591"/>
        <v>|||</v>
      </c>
      <c r="H16365" s="835">
        <f t="shared" si="592"/>
        <v>31</v>
      </c>
      <c r="AF16365" s="831" t="s">
        <v>11948</v>
      </c>
      <c r="AG16365" s="831" t="s">
        <v>2674</v>
      </c>
      <c r="AH16365" s="831" t="s">
        <v>555</v>
      </c>
      <c r="AI16365" s="831">
        <v>0</v>
      </c>
      <c r="AJ16365" s="835">
        <v>42094</v>
      </c>
      <c r="AK16365" s="831">
        <v>794294654</v>
      </c>
    </row>
    <row r="16366" spans="2:37">
      <c r="B16366" s="834" t="str">
        <f t="shared" si="591"/>
        <v>|||</v>
      </c>
      <c r="H16366" s="835">
        <f t="shared" si="592"/>
        <v>31</v>
      </c>
      <c r="AF16366" s="831" t="s">
        <v>11949</v>
      </c>
      <c r="AG16366" s="831" t="s">
        <v>2674</v>
      </c>
      <c r="AH16366" s="831" t="s">
        <v>554</v>
      </c>
      <c r="AI16366" s="831">
        <v>0</v>
      </c>
      <c r="AJ16366" s="835">
        <v>42094</v>
      </c>
      <c r="AK16366" s="831">
        <v>796448359</v>
      </c>
    </row>
    <row r="16367" spans="2:37">
      <c r="B16367" s="834" t="str">
        <f t="shared" si="591"/>
        <v>|||</v>
      </c>
      <c r="H16367" s="835">
        <f t="shared" si="592"/>
        <v>31</v>
      </c>
      <c r="AF16367" s="831" t="s">
        <v>11950</v>
      </c>
      <c r="AG16367" s="831" t="s">
        <v>2674</v>
      </c>
      <c r="AH16367" s="831" t="s">
        <v>553</v>
      </c>
      <c r="AI16367" s="831">
        <v>0</v>
      </c>
      <c r="AJ16367" s="835">
        <v>42094</v>
      </c>
      <c r="AK16367" s="831">
        <v>52425000</v>
      </c>
    </row>
    <row r="16368" spans="2:37">
      <c r="B16368" s="834" t="str">
        <f t="shared" si="591"/>
        <v>|||</v>
      </c>
      <c r="H16368" s="835">
        <f t="shared" si="592"/>
        <v>31</v>
      </c>
      <c r="AF16368" s="831" t="s">
        <v>11951</v>
      </c>
      <c r="AG16368" s="831" t="s">
        <v>2674</v>
      </c>
      <c r="AH16368" s="831" t="s">
        <v>552</v>
      </c>
      <c r="AI16368" s="831">
        <v>0</v>
      </c>
      <c r="AJ16368" s="835">
        <v>42094</v>
      </c>
      <c r="AK16368" s="831">
        <v>0</v>
      </c>
    </row>
    <row r="16369" spans="2:37">
      <c r="B16369" s="834" t="str">
        <f t="shared" si="591"/>
        <v>|||</v>
      </c>
      <c r="H16369" s="835">
        <f t="shared" si="592"/>
        <v>31</v>
      </c>
      <c r="AF16369" s="831" t="s">
        <v>11952</v>
      </c>
      <c r="AG16369" s="831" t="s">
        <v>2674</v>
      </c>
      <c r="AH16369" s="831" t="s">
        <v>551</v>
      </c>
      <c r="AI16369" s="831">
        <v>0</v>
      </c>
      <c r="AJ16369" s="835">
        <v>42094</v>
      </c>
      <c r="AK16369" s="831">
        <v>8543411</v>
      </c>
    </row>
    <row r="16370" spans="2:37">
      <c r="B16370" s="834" t="str">
        <f t="shared" si="591"/>
        <v>|||</v>
      </c>
      <c r="H16370" s="835">
        <f t="shared" si="592"/>
        <v>31</v>
      </c>
      <c r="AF16370" s="831" t="s">
        <v>11953</v>
      </c>
      <c r="AG16370" s="831" t="s">
        <v>2674</v>
      </c>
      <c r="AH16370" s="831" t="s">
        <v>550</v>
      </c>
      <c r="AI16370" s="831">
        <v>0</v>
      </c>
      <c r="AJ16370" s="835">
        <v>42094</v>
      </c>
      <c r="AK16370" s="831">
        <v>143500530</v>
      </c>
    </row>
    <row r="16371" spans="2:37">
      <c r="B16371" s="834" t="str">
        <f t="shared" si="591"/>
        <v>|||</v>
      </c>
      <c r="H16371" s="835">
        <f t="shared" si="592"/>
        <v>31</v>
      </c>
      <c r="AF16371" s="831" t="s">
        <v>11954</v>
      </c>
      <c r="AG16371" s="831" t="s">
        <v>2674</v>
      </c>
      <c r="AH16371" s="831" t="s">
        <v>562</v>
      </c>
      <c r="AI16371" s="831">
        <v>0</v>
      </c>
      <c r="AJ16371" s="835">
        <v>42094</v>
      </c>
      <c r="AK16371" s="831">
        <v>1.0495000000000001</v>
      </c>
    </row>
    <row r="16372" spans="2:37">
      <c r="B16372" s="834" t="str">
        <f t="shared" si="591"/>
        <v>|||</v>
      </c>
      <c r="H16372" s="835">
        <f t="shared" si="592"/>
        <v>31</v>
      </c>
      <c r="AF16372" s="831" t="s">
        <v>11955</v>
      </c>
      <c r="AG16372" s="831" t="s">
        <v>2674</v>
      </c>
      <c r="AH16372" s="831" t="s">
        <v>2698</v>
      </c>
      <c r="AI16372" s="831">
        <v>0</v>
      </c>
      <c r="AJ16372" s="835">
        <v>42094</v>
      </c>
      <c r="AK16372" s="831">
        <v>1.04575</v>
      </c>
    </row>
    <row r="16373" spans="2:37">
      <c r="B16373" s="834" t="str">
        <f t="shared" si="591"/>
        <v>|||</v>
      </c>
      <c r="H16373" s="835">
        <f t="shared" si="592"/>
        <v>31</v>
      </c>
      <c r="AF16373" s="831" t="s">
        <v>11956</v>
      </c>
      <c r="AG16373" s="831" t="s">
        <v>2674</v>
      </c>
      <c r="AH16373" s="831" t="s">
        <v>560</v>
      </c>
      <c r="AI16373" s="831">
        <v>0</v>
      </c>
      <c r="AJ16373" s="835">
        <v>42094</v>
      </c>
      <c r="AK16373" s="831">
        <v>0.95988333333333331</v>
      </c>
    </row>
    <row r="16374" spans="2:37">
      <c r="B16374" s="834" t="str">
        <f t="shared" si="591"/>
        <v>|||</v>
      </c>
      <c r="H16374" s="835">
        <f t="shared" si="592"/>
        <v>31</v>
      </c>
      <c r="AF16374" s="831" t="s">
        <v>11957</v>
      </c>
      <c r="AG16374" s="831" t="s">
        <v>2674</v>
      </c>
      <c r="AH16374" s="831" t="s">
        <v>559</v>
      </c>
      <c r="AI16374" s="831">
        <v>0</v>
      </c>
      <c r="AJ16374" s="835">
        <v>42094</v>
      </c>
      <c r="AK16374" s="831">
        <v>0.82766666666666655</v>
      </c>
    </row>
    <row r="16375" spans="2:37">
      <c r="B16375" s="834" t="str">
        <f t="shared" si="591"/>
        <v>|||</v>
      </c>
      <c r="H16375" s="835">
        <f t="shared" si="592"/>
        <v>31</v>
      </c>
      <c r="AF16375" s="831" t="s">
        <v>11958</v>
      </c>
      <c r="AG16375" s="831" t="s">
        <v>2674</v>
      </c>
      <c r="AH16375" s="831" t="s">
        <v>568</v>
      </c>
      <c r="AI16375" s="831">
        <v>0</v>
      </c>
      <c r="AJ16375" s="835">
        <v>42094</v>
      </c>
      <c r="AK16375" s="831">
        <v>785705621.53846157</v>
      </c>
    </row>
    <row r="16376" spans="2:37">
      <c r="B16376" s="834" t="str">
        <f t="shared" si="591"/>
        <v>|||</v>
      </c>
      <c r="H16376" s="835">
        <f t="shared" si="592"/>
        <v>31</v>
      </c>
      <c r="AF16376" s="831" t="s">
        <v>11959</v>
      </c>
      <c r="AG16376" s="831" t="s">
        <v>2674</v>
      </c>
      <c r="AH16376" s="831" t="s">
        <v>569</v>
      </c>
      <c r="AI16376" s="831">
        <v>0</v>
      </c>
      <c r="AJ16376" s="835">
        <v>42094</v>
      </c>
      <c r="AK16376" s="831">
        <v>984393199.30769229</v>
      </c>
    </row>
    <row r="16377" spans="2:37">
      <c r="B16377" s="834" t="str">
        <f t="shared" si="591"/>
        <v>|||</v>
      </c>
      <c r="H16377" s="835">
        <f t="shared" si="592"/>
        <v>31</v>
      </c>
      <c r="AF16377" s="831" t="s">
        <v>11960</v>
      </c>
      <c r="AG16377" s="831" t="s">
        <v>2674</v>
      </c>
      <c r="AH16377" s="831" t="s">
        <v>570</v>
      </c>
      <c r="AI16377" s="831">
        <v>0</v>
      </c>
      <c r="AJ16377" s="835">
        <v>42094</v>
      </c>
      <c r="AK16377" s="831">
        <v>140931158.46384615</v>
      </c>
    </row>
    <row r="16378" spans="2:37">
      <c r="B16378" s="834" t="str">
        <f t="shared" si="591"/>
        <v>|||</v>
      </c>
      <c r="H16378" s="835">
        <f t="shared" si="592"/>
        <v>31</v>
      </c>
      <c r="AF16378" s="831" t="s">
        <v>11961</v>
      </c>
      <c r="AG16378" s="831" t="s">
        <v>2674</v>
      </c>
      <c r="AH16378" s="831" t="s">
        <v>571</v>
      </c>
      <c r="AI16378" s="831">
        <v>0</v>
      </c>
      <c r="AJ16378" s="835">
        <v>42094</v>
      </c>
      <c r="AK16378" s="831">
        <v>502500066.26284611</v>
      </c>
    </row>
    <row r="16379" spans="2:37">
      <c r="B16379" s="834" t="str">
        <f t="shared" si="591"/>
        <v>|||</v>
      </c>
      <c r="H16379" s="835">
        <f t="shared" si="592"/>
        <v>31</v>
      </c>
      <c r="AF16379" s="831" t="s">
        <v>11962</v>
      </c>
      <c r="AG16379" s="831" t="s">
        <v>2674</v>
      </c>
      <c r="AH16379" s="831" t="s">
        <v>573</v>
      </c>
      <c r="AI16379" s="831">
        <v>0</v>
      </c>
      <c r="AJ16379" s="835">
        <v>42094</v>
      </c>
      <c r="AK16379" s="831">
        <v>1125471362.25</v>
      </c>
    </row>
    <row r="16380" spans="2:37">
      <c r="B16380" s="834" t="str">
        <f t="shared" si="591"/>
        <v>|||</v>
      </c>
      <c r="H16380" s="835">
        <f t="shared" si="592"/>
        <v>31</v>
      </c>
      <c r="AF16380" s="831" t="s">
        <v>11963</v>
      </c>
      <c r="AG16380" s="831" t="s">
        <v>2674</v>
      </c>
      <c r="AH16380" s="831" t="s">
        <v>574</v>
      </c>
      <c r="AI16380" s="831">
        <v>0</v>
      </c>
      <c r="AJ16380" s="835">
        <v>42094</v>
      </c>
      <c r="AK16380" s="831">
        <v>887447709.5</v>
      </c>
    </row>
    <row r="16381" spans="2:37">
      <c r="B16381" s="834" t="str">
        <f t="shared" si="591"/>
        <v>|||</v>
      </c>
      <c r="H16381" s="835">
        <f t="shared" si="592"/>
        <v>31</v>
      </c>
      <c r="AF16381" s="831" t="s">
        <v>11964</v>
      </c>
      <c r="AG16381" s="831" t="s">
        <v>2674</v>
      </c>
      <c r="AH16381" s="831" t="s">
        <v>575</v>
      </c>
      <c r="AI16381" s="831">
        <v>0</v>
      </c>
      <c r="AJ16381" s="835">
        <v>42094</v>
      </c>
      <c r="AK16381" s="831">
        <v>146394222</v>
      </c>
    </row>
    <row r="16382" spans="2:37">
      <c r="B16382" s="834" t="str">
        <f t="shared" si="591"/>
        <v>|||</v>
      </c>
      <c r="H16382" s="835">
        <f t="shared" si="592"/>
        <v>31</v>
      </c>
      <c r="AF16382" s="831" t="s">
        <v>11965</v>
      </c>
      <c r="AG16382" s="831" t="s">
        <v>2674</v>
      </c>
      <c r="AH16382" s="831" t="s">
        <v>576</v>
      </c>
      <c r="AI16382" s="831">
        <v>0</v>
      </c>
      <c r="AJ16382" s="835">
        <v>42094</v>
      </c>
      <c r="AK16382" s="831">
        <v>606715260</v>
      </c>
    </row>
    <row r="16383" spans="2:37">
      <c r="B16383" s="834" t="str">
        <f t="shared" si="591"/>
        <v>|||</v>
      </c>
      <c r="H16383" s="835">
        <f t="shared" si="592"/>
        <v>31</v>
      </c>
      <c r="AF16383" s="831" t="s">
        <v>11966</v>
      </c>
      <c r="AG16383" s="831" t="s">
        <v>2674</v>
      </c>
      <c r="AH16383" s="831" t="s">
        <v>572</v>
      </c>
      <c r="AI16383" s="831">
        <v>0</v>
      </c>
      <c r="AJ16383" s="835">
        <v>42094</v>
      </c>
      <c r="AK16383" s="831">
        <v>36560084</v>
      </c>
    </row>
    <row r="16384" spans="2:37">
      <c r="B16384" s="834" t="str">
        <f t="shared" si="591"/>
        <v>|||</v>
      </c>
      <c r="H16384" s="835">
        <f t="shared" si="592"/>
        <v>31</v>
      </c>
      <c r="AF16384" s="831" t="s">
        <v>11967</v>
      </c>
      <c r="AG16384" s="831" t="s">
        <v>2674</v>
      </c>
      <c r="AH16384" s="831" t="s">
        <v>577</v>
      </c>
      <c r="AI16384" s="831">
        <v>0</v>
      </c>
      <c r="AJ16384" s="835">
        <v>42094</v>
      </c>
      <c r="AK16384" s="831">
        <v>179877214</v>
      </c>
    </row>
    <row r="16385" spans="2:37">
      <c r="B16385" s="834" t="str">
        <f t="shared" si="591"/>
        <v>|||</v>
      </c>
      <c r="H16385" s="835">
        <f t="shared" si="592"/>
        <v>31</v>
      </c>
      <c r="AF16385" s="831" t="s">
        <v>11968</v>
      </c>
      <c r="AG16385" s="831" t="s">
        <v>2674</v>
      </c>
      <c r="AH16385" s="831" t="s">
        <v>3042</v>
      </c>
      <c r="AI16385" s="831">
        <v>0</v>
      </c>
      <c r="AJ16385" s="835">
        <v>42094</v>
      </c>
      <c r="AK16385" s="831">
        <v>-55010221</v>
      </c>
    </row>
    <row r="16386" spans="2:37">
      <c r="B16386" s="834" t="str">
        <f t="shared" si="591"/>
        <v>|||</v>
      </c>
      <c r="H16386" s="835">
        <f t="shared" si="592"/>
        <v>31</v>
      </c>
      <c r="AF16386" s="831" t="s">
        <v>11969</v>
      </c>
      <c r="AG16386" s="831" t="s">
        <v>2674</v>
      </c>
      <c r="AH16386" s="831" t="s">
        <v>3044</v>
      </c>
      <c r="AI16386" s="831">
        <v>0</v>
      </c>
      <c r="AJ16386" s="835">
        <v>42094</v>
      </c>
      <c r="AK16386" s="831">
        <v>-2080886</v>
      </c>
    </row>
    <row r="16387" spans="2:37">
      <c r="B16387" s="834" t="str">
        <f t="shared" si="591"/>
        <v>|||</v>
      </c>
      <c r="H16387" s="835">
        <f t="shared" si="592"/>
        <v>31</v>
      </c>
      <c r="AF16387" s="831" t="s">
        <v>11970</v>
      </c>
      <c r="AG16387" s="831" t="s">
        <v>2674</v>
      </c>
      <c r="AH16387" s="831" t="s">
        <v>580</v>
      </c>
      <c r="AI16387" s="831">
        <v>0</v>
      </c>
      <c r="AJ16387" s="835">
        <v>42094</v>
      </c>
      <c r="AK16387" s="831">
        <v>-82773578</v>
      </c>
    </row>
    <row r="16388" spans="2:37">
      <c r="B16388" s="834" t="str">
        <f t="shared" si="591"/>
        <v>|||</v>
      </c>
      <c r="H16388" s="835">
        <f t="shared" si="592"/>
        <v>31</v>
      </c>
      <c r="AF16388" s="831" t="s">
        <v>11971</v>
      </c>
      <c r="AG16388" s="831" t="s">
        <v>2674</v>
      </c>
      <c r="AH16388" s="831" t="s">
        <v>581</v>
      </c>
      <c r="AI16388" s="831">
        <v>0</v>
      </c>
      <c r="AJ16388" s="835">
        <v>42094</v>
      </c>
      <c r="AK16388" s="831">
        <v>10684351</v>
      </c>
    </row>
    <row r="16389" spans="2:37">
      <c r="B16389" s="834" t="str">
        <f t="shared" si="591"/>
        <v>|||</v>
      </c>
      <c r="H16389" s="835">
        <f t="shared" si="592"/>
        <v>31</v>
      </c>
      <c r="AF16389" s="831" t="s">
        <v>11972</v>
      </c>
      <c r="AG16389" s="831" t="s">
        <v>2674</v>
      </c>
      <c r="AH16389" s="831" t="s">
        <v>105</v>
      </c>
      <c r="AI16389" s="831">
        <v>0</v>
      </c>
      <c r="AJ16389" s="835">
        <v>42094</v>
      </c>
      <c r="AK16389" s="831">
        <v>641529836</v>
      </c>
    </row>
    <row r="16390" spans="2:37">
      <c r="B16390" s="834" t="str">
        <f t="shared" si="591"/>
        <v>|||</v>
      </c>
      <c r="H16390" s="835">
        <f t="shared" si="592"/>
        <v>31</v>
      </c>
      <c r="AF16390" s="831" t="s">
        <v>11973</v>
      </c>
      <c r="AG16390" s="831" t="s">
        <v>2674</v>
      </c>
      <c r="AH16390" s="831" t="s">
        <v>3049</v>
      </c>
      <c r="AI16390" s="831">
        <v>0</v>
      </c>
      <c r="AJ16390" s="835">
        <v>42094</v>
      </c>
      <c r="AK16390" s="831">
        <v>986480670</v>
      </c>
    </row>
    <row r="16391" spans="2:37">
      <c r="B16391" s="834" t="str">
        <f t="shared" si="591"/>
        <v>|||</v>
      </c>
      <c r="H16391" s="835">
        <f t="shared" si="592"/>
        <v>31</v>
      </c>
      <c r="AF16391" s="831" t="s">
        <v>11974</v>
      </c>
      <c r="AG16391" s="831" t="s">
        <v>2674</v>
      </c>
      <c r="AH16391" s="831" t="s">
        <v>103</v>
      </c>
      <c r="AI16391" s="831">
        <v>0</v>
      </c>
      <c r="AJ16391" s="835">
        <v>42094</v>
      </c>
      <c r="AK16391" s="831">
        <v>344950834</v>
      </c>
    </row>
    <row r="16392" spans="2:37">
      <c r="B16392" s="834" t="str">
        <f t="shared" si="591"/>
        <v>|||</v>
      </c>
      <c r="H16392" s="835">
        <f t="shared" si="592"/>
        <v>31</v>
      </c>
      <c r="AF16392" s="831" t="s">
        <v>11975</v>
      </c>
      <c r="AG16392" s="831" t="s">
        <v>2674</v>
      </c>
      <c r="AH16392" s="831" t="s">
        <v>182</v>
      </c>
      <c r="AI16392" s="831">
        <v>0</v>
      </c>
      <c r="AJ16392" s="835">
        <v>42094</v>
      </c>
      <c r="AK16392" s="831">
        <v>85077948</v>
      </c>
    </row>
    <row r="16393" spans="2:37">
      <c r="B16393" s="834" t="str">
        <f t="shared" si="591"/>
        <v>|||</v>
      </c>
      <c r="H16393" s="835">
        <f t="shared" si="592"/>
        <v>31</v>
      </c>
      <c r="AF16393" s="831" t="s">
        <v>11976</v>
      </c>
      <c r="AG16393" s="831" t="s">
        <v>2674</v>
      </c>
      <c r="AH16393" s="831" t="s">
        <v>6600</v>
      </c>
      <c r="AI16393" s="831">
        <v>0</v>
      </c>
      <c r="AJ16393" s="835">
        <v>42094</v>
      </c>
      <c r="AK16393" s="831">
        <v>36560084</v>
      </c>
    </row>
    <row r="16394" spans="2:37">
      <c r="B16394" s="834" t="str">
        <f t="shared" si="591"/>
        <v>|||</v>
      </c>
      <c r="H16394" s="835">
        <f t="shared" si="592"/>
        <v>31</v>
      </c>
      <c r="AF16394" s="831" t="s">
        <v>11977</v>
      </c>
      <c r="AG16394" s="831" t="s">
        <v>2674</v>
      </c>
      <c r="AH16394" s="831" t="s">
        <v>6602</v>
      </c>
      <c r="AI16394" s="831">
        <v>0</v>
      </c>
      <c r="AJ16394" s="835">
        <v>42094</v>
      </c>
      <c r="AK16394" s="831">
        <v>2398849</v>
      </c>
    </row>
    <row r="16395" spans="2:37">
      <c r="B16395" s="834" t="str">
        <f t="shared" si="591"/>
        <v>|||</v>
      </c>
      <c r="H16395" s="835">
        <f t="shared" si="592"/>
        <v>31</v>
      </c>
      <c r="AF16395" s="831" t="s">
        <v>11978</v>
      </c>
      <c r="AG16395" s="831" t="s">
        <v>2674</v>
      </c>
      <c r="AH16395" s="831" t="s">
        <v>650</v>
      </c>
      <c r="AI16395" s="831">
        <v>0</v>
      </c>
      <c r="AJ16395" s="835">
        <v>42094</v>
      </c>
      <c r="AK16395" s="831">
        <v>315233998.53846157</v>
      </c>
    </row>
    <row r="16396" spans="2:37">
      <c r="B16396" s="834" t="str">
        <f t="shared" si="591"/>
        <v>|||</v>
      </c>
      <c r="H16396" s="835">
        <f t="shared" si="592"/>
        <v>31</v>
      </c>
      <c r="AF16396" s="831" t="s">
        <v>11979</v>
      </c>
      <c r="AG16396" s="831" t="s">
        <v>2674</v>
      </c>
      <c r="AH16396" s="831" t="s">
        <v>655</v>
      </c>
      <c r="AI16396" s="831">
        <v>0</v>
      </c>
      <c r="AJ16396" s="835">
        <v>42094</v>
      </c>
      <c r="AK16396" s="831">
        <v>7308574</v>
      </c>
    </row>
    <row r="16397" spans="2:37">
      <c r="B16397" s="834" t="str">
        <f t="shared" si="591"/>
        <v>|||</v>
      </c>
      <c r="H16397" s="835">
        <f t="shared" si="592"/>
        <v>31</v>
      </c>
      <c r="AF16397" s="831" t="s">
        <v>11980</v>
      </c>
      <c r="AG16397" s="831" t="s">
        <v>2674</v>
      </c>
      <c r="AH16397" s="831" t="s">
        <v>546</v>
      </c>
      <c r="AI16397" s="831">
        <v>0</v>
      </c>
      <c r="AJ16397" s="835">
        <v>42124</v>
      </c>
      <c r="AK16397" s="831">
        <v>887135523</v>
      </c>
    </row>
    <row r="16398" spans="2:37">
      <c r="B16398" s="834" t="str">
        <f t="shared" si="591"/>
        <v>|||</v>
      </c>
      <c r="H16398" s="835">
        <f t="shared" si="592"/>
        <v>31</v>
      </c>
      <c r="AF16398" s="831" t="s">
        <v>11981</v>
      </c>
      <c r="AG16398" s="831" t="s">
        <v>2674</v>
      </c>
      <c r="AH16398" s="831" t="s">
        <v>370</v>
      </c>
      <c r="AI16398" s="831">
        <v>0</v>
      </c>
      <c r="AJ16398" s="835">
        <v>42124</v>
      </c>
      <c r="AK16398" s="831">
        <v>1155982366</v>
      </c>
    </row>
    <row r="16399" spans="2:37">
      <c r="B16399" s="834" t="str">
        <f t="shared" si="591"/>
        <v>|||</v>
      </c>
      <c r="H16399" s="835">
        <f t="shared" si="592"/>
        <v>31</v>
      </c>
      <c r="AF16399" s="831" t="s">
        <v>11982</v>
      </c>
      <c r="AG16399" s="831" t="s">
        <v>2674</v>
      </c>
      <c r="AH16399" s="831" t="s">
        <v>126</v>
      </c>
      <c r="AI16399" s="831">
        <v>0</v>
      </c>
      <c r="AJ16399" s="835">
        <v>42124</v>
      </c>
      <c r="AK16399" s="831">
        <v>148898855</v>
      </c>
    </row>
    <row r="16400" spans="2:37">
      <c r="B16400" s="834" t="str">
        <f t="shared" si="591"/>
        <v>|||</v>
      </c>
      <c r="H16400" s="835">
        <f t="shared" si="592"/>
        <v>31</v>
      </c>
      <c r="AF16400" s="831" t="s">
        <v>11983</v>
      </c>
      <c r="AG16400" s="831" t="s">
        <v>2674</v>
      </c>
      <c r="AH16400" s="831" t="s">
        <v>268</v>
      </c>
      <c r="AI16400" s="831">
        <v>0</v>
      </c>
      <c r="AJ16400" s="835">
        <v>42124</v>
      </c>
      <c r="AK16400" s="831">
        <v>3490177</v>
      </c>
    </row>
    <row r="16401" spans="2:37">
      <c r="B16401" s="834" t="str">
        <f t="shared" ref="B16401:B16464" si="593">C16401&amp;"|"&amp;D16401&amp;"|"&amp;E16401&amp;"|"&amp;F16401</f>
        <v>|||</v>
      </c>
      <c r="H16401" s="835">
        <f t="shared" ref="H16401:H16464" si="594">EOMONTH(L16401,0)</f>
        <v>31</v>
      </c>
      <c r="AF16401" s="831" t="s">
        <v>11984</v>
      </c>
      <c r="AG16401" s="831" t="s">
        <v>2674</v>
      </c>
      <c r="AH16401" s="831" t="s">
        <v>547</v>
      </c>
      <c r="AI16401" s="831">
        <v>0</v>
      </c>
      <c r="AJ16401" s="835">
        <v>42124</v>
      </c>
      <c r="AK16401" s="831">
        <v>1044609243</v>
      </c>
    </row>
    <row r="16402" spans="2:37">
      <c r="B16402" s="834" t="str">
        <f t="shared" si="593"/>
        <v>|||</v>
      </c>
      <c r="H16402" s="835">
        <f t="shared" si="594"/>
        <v>31</v>
      </c>
      <c r="AF16402" s="831" t="s">
        <v>11985</v>
      </c>
      <c r="AG16402" s="831" t="s">
        <v>2674</v>
      </c>
      <c r="AH16402" s="831" t="s">
        <v>548</v>
      </c>
      <c r="AI16402" s="831">
        <v>0</v>
      </c>
      <c r="AJ16402" s="835">
        <v>42124</v>
      </c>
      <c r="AK16402" s="831">
        <v>148860224</v>
      </c>
    </row>
    <row r="16403" spans="2:37">
      <c r="B16403" s="834" t="str">
        <f t="shared" si="593"/>
        <v>|||</v>
      </c>
      <c r="H16403" s="835">
        <f t="shared" si="594"/>
        <v>31</v>
      </c>
      <c r="AF16403" s="831" t="s">
        <v>11986</v>
      </c>
      <c r="AG16403" s="831" t="s">
        <v>2674</v>
      </c>
      <c r="AH16403" s="831" t="s">
        <v>549</v>
      </c>
      <c r="AI16403" s="831">
        <v>0</v>
      </c>
      <c r="AJ16403" s="835">
        <v>42124</v>
      </c>
      <c r="AK16403" s="831">
        <v>695634421</v>
      </c>
    </row>
    <row r="16404" spans="2:37">
      <c r="B16404" s="834" t="str">
        <f t="shared" si="593"/>
        <v>|||</v>
      </c>
      <c r="H16404" s="835">
        <f t="shared" si="594"/>
        <v>31</v>
      </c>
      <c r="AF16404" s="831" t="s">
        <v>11987</v>
      </c>
      <c r="AG16404" s="831" t="s">
        <v>2674</v>
      </c>
      <c r="AH16404" s="831" t="s">
        <v>192</v>
      </c>
      <c r="AI16404" s="831">
        <v>0</v>
      </c>
      <c r="AJ16404" s="835">
        <v>42124</v>
      </c>
      <c r="AK16404" s="831">
        <v>-17978430</v>
      </c>
    </row>
    <row r="16405" spans="2:37">
      <c r="B16405" s="834" t="str">
        <f t="shared" si="593"/>
        <v>|||</v>
      </c>
      <c r="H16405" s="835">
        <f t="shared" si="594"/>
        <v>31</v>
      </c>
      <c r="AF16405" s="831" t="s">
        <v>11988</v>
      </c>
      <c r="AG16405" s="831" t="s">
        <v>2674</v>
      </c>
      <c r="AH16405" s="831" t="s">
        <v>558</v>
      </c>
      <c r="AI16405" s="831">
        <v>0</v>
      </c>
      <c r="AJ16405" s="835">
        <v>42124</v>
      </c>
      <c r="AK16405" s="831">
        <v>1007083670</v>
      </c>
    </row>
    <row r="16406" spans="2:37">
      <c r="B16406" s="834" t="str">
        <f t="shared" si="593"/>
        <v>|||</v>
      </c>
      <c r="H16406" s="835">
        <f t="shared" si="594"/>
        <v>31</v>
      </c>
      <c r="AF16406" s="831" t="s">
        <v>11989</v>
      </c>
      <c r="AG16406" s="831" t="s">
        <v>2674</v>
      </c>
      <c r="AH16406" s="831" t="s">
        <v>65</v>
      </c>
      <c r="AI16406" s="831">
        <v>0</v>
      </c>
      <c r="AJ16406" s="835">
        <v>42124</v>
      </c>
      <c r="AK16406" s="831">
        <v>64640929</v>
      </c>
    </row>
    <row r="16407" spans="2:37">
      <c r="B16407" s="834" t="str">
        <f t="shared" si="593"/>
        <v>|||</v>
      </c>
      <c r="H16407" s="835">
        <f t="shared" si="594"/>
        <v>31</v>
      </c>
      <c r="AF16407" s="831" t="s">
        <v>11990</v>
      </c>
      <c r="AG16407" s="831" t="s">
        <v>2674</v>
      </c>
      <c r="AH16407" s="831" t="s">
        <v>89</v>
      </c>
      <c r="AI16407" s="831">
        <v>0</v>
      </c>
      <c r="AJ16407" s="835">
        <v>42124</v>
      </c>
      <c r="AK16407" s="831">
        <v>147391</v>
      </c>
    </row>
    <row r="16408" spans="2:37">
      <c r="B16408" s="834" t="str">
        <f t="shared" si="593"/>
        <v>|||</v>
      </c>
      <c r="H16408" s="835">
        <f t="shared" si="594"/>
        <v>31</v>
      </c>
      <c r="AF16408" s="831" t="s">
        <v>11991</v>
      </c>
      <c r="AG16408" s="831" t="s">
        <v>2674</v>
      </c>
      <c r="AH16408" s="831" t="s">
        <v>557</v>
      </c>
      <c r="AI16408" s="831">
        <v>0</v>
      </c>
      <c r="AJ16408" s="835">
        <v>42124</v>
      </c>
      <c r="AK16408" s="831">
        <v>168436</v>
      </c>
    </row>
    <row r="16409" spans="2:37">
      <c r="B16409" s="834" t="str">
        <f t="shared" si="593"/>
        <v>|||</v>
      </c>
      <c r="H16409" s="835">
        <f t="shared" si="594"/>
        <v>31</v>
      </c>
      <c r="AF16409" s="831" t="s">
        <v>11992</v>
      </c>
      <c r="AG16409" s="831" t="s">
        <v>2674</v>
      </c>
      <c r="AH16409" s="831" t="s">
        <v>29</v>
      </c>
      <c r="AI16409" s="831">
        <v>0</v>
      </c>
      <c r="AJ16409" s="835">
        <v>42124</v>
      </c>
      <c r="AK16409" s="831">
        <v>18420222</v>
      </c>
    </row>
    <row r="16410" spans="2:37">
      <c r="B16410" s="834" t="str">
        <f t="shared" si="593"/>
        <v>|||</v>
      </c>
      <c r="H16410" s="835">
        <f t="shared" si="594"/>
        <v>31</v>
      </c>
      <c r="AF16410" s="831" t="s">
        <v>11993</v>
      </c>
      <c r="AG16410" s="831" t="s">
        <v>2674</v>
      </c>
      <c r="AH16410" s="831" t="s">
        <v>2688</v>
      </c>
      <c r="AI16410" s="831">
        <v>0</v>
      </c>
      <c r="AJ16410" s="835">
        <v>42124</v>
      </c>
      <c r="AK16410" s="831">
        <v>149665387</v>
      </c>
    </row>
    <row r="16411" spans="2:37">
      <c r="B16411" s="834" t="str">
        <f t="shared" si="593"/>
        <v>|||</v>
      </c>
      <c r="H16411" s="835">
        <f t="shared" si="594"/>
        <v>31</v>
      </c>
      <c r="AF16411" s="831" t="s">
        <v>11994</v>
      </c>
      <c r="AG16411" s="831" t="s">
        <v>2674</v>
      </c>
      <c r="AH16411" s="831" t="s">
        <v>556</v>
      </c>
      <c r="AI16411" s="831">
        <v>0</v>
      </c>
      <c r="AJ16411" s="835">
        <v>42124</v>
      </c>
      <c r="AK16411" s="831">
        <v>11412135</v>
      </c>
    </row>
    <row r="16412" spans="2:37">
      <c r="B16412" s="834" t="str">
        <f t="shared" si="593"/>
        <v>|||</v>
      </c>
      <c r="H16412" s="835">
        <f t="shared" si="594"/>
        <v>31</v>
      </c>
      <c r="AF16412" s="831" t="s">
        <v>11995</v>
      </c>
      <c r="AG16412" s="831" t="s">
        <v>2674</v>
      </c>
      <c r="AH16412" s="831" t="s">
        <v>555</v>
      </c>
      <c r="AI16412" s="831">
        <v>0</v>
      </c>
      <c r="AJ16412" s="835">
        <v>42124</v>
      </c>
      <c r="AK16412" s="831">
        <v>781614407</v>
      </c>
    </row>
    <row r="16413" spans="2:37">
      <c r="B16413" s="834" t="str">
        <f t="shared" si="593"/>
        <v>|||</v>
      </c>
      <c r="H16413" s="835">
        <f t="shared" si="594"/>
        <v>31</v>
      </c>
      <c r="AF16413" s="831" t="s">
        <v>11996</v>
      </c>
      <c r="AG16413" s="831" t="s">
        <v>2674</v>
      </c>
      <c r="AH16413" s="831" t="s">
        <v>554</v>
      </c>
      <c r="AI16413" s="831">
        <v>0</v>
      </c>
      <c r="AJ16413" s="835">
        <v>42124</v>
      </c>
      <c r="AK16413" s="831">
        <v>811049609</v>
      </c>
    </row>
    <row r="16414" spans="2:37">
      <c r="B16414" s="834" t="str">
        <f t="shared" si="593"/>
        <v>|||</v>
      </c>
      <c r="H16414" s="835">
        <f t="shared" si="594"/>
        <v>31</v>
      </c>
      <c r="AF16414" s="831" t="s">
        <v>11997</v>
      </c>
      <c r="AG16414" s="831" t="s">
        <v>2674</v>
      </c>
      <c r="AH16414" s="831" t="s">
        <v>553</v>
      </c>
      <c r="AI16414" s="831">
        <v>0</v>
      </c>
      <c r="AJ16414" s="835">
        <v>42124</v>
      </c>
      <c r="AK16414" s="831">
        <v>47191500</v>
      </c>
    </row>
    <row r="16415" spans="2:37">
      <c r="B16415" s="834" t="str">
        <f t="shared" si="593"/>
        <v>|||</v>
      </c>
      <c r="H16415" s="835">
        <f t="shared" si="594"/>
        <v>31</v>
      </c>
      <c r="AF16415" s="831" t="s">
        <v>11998</v>
      </c>
      <c r="AG16415" s="831" t="s">
        <v>2674</v>
      </c>
      <c r="AH16415" s="831" t="s">
        <v>552</v>
      </c>
      <c r="AI16415" s="831">
        <v>0</v>
      </c>
      <c r="AJ16415" s="835">
        <v>42124</v>
      </c>
      <c r="AK16415" s="831">
        <v>0</v>
      </c>
    </row>
    <row r="16416" spans="2:37">
      <c r="B16416" s="834" t="str">
        <f t="shared" si="593"/>
        <v>|||</v>
      </c>
      <c r="H16416" s="835">
        <f t="shared" si="594"/>
        <v>31</v>
      </c>
      <c r="AF16416" s="831" t="s">
        <v>11999</v>
      </c>
      <c r="AG16416" s="831" t="s">
        <v>2674</v>
      </c>
      <c r="AH16416" s="831" t="s">
        <v>551</v>
      </c>
      <c r="AI16416" s="831">
        <v>0</v>
      </c>
      <c r="AJ16416" s="835">
        <v>42124</v>
      </c>
      <c r="AK16416" s="831">
        <v>10773380</v>
      </c>
    </row>
    <row r="16417" spans="2:37">
      <c r="B16417" s="834" t="str">
        <f t="shared" si="593"/>
        <v>|||</v>
      </c>
      <c r="H16417" s="835">
        <f t="shared" si="594"/>
        <v>31</v>
      </c>
      <c r="AF16417" s="831" t="s">
        <v>12000</v>
      </c>
      <c r="AG16417" s="831" t="s">
        <v>2674</v>
      </c>
      <c r="AH16417" s="831" t="s">
        <v>550</v>
      </c>
      <c r="AI16417" s="831">
        <v>0</v>
      </c>
      <c r="AJ16417" s="835">
        <v>42124</v>
      </c>
      <c r="AK16417" s="831">
        <v>147807134</v>
      </c>
    </row>
    <row r="16418" spans="2:37">
      <c r="B16418" s="834" t="str">
        <f t="shared" si="593"/>
        <v>|||</v>
      </c>
      <c r="H16418" s="835">
        <f t="shared" si="594"/>
        <v>31</v>
      </c>
      <c r="AF16418" s="831" t="s">
        <v>12001</v>
      </c>
      <c r="AG16418" s="831" t="s">
        <v>2674</v>
      </c>
      <c r="AH16418" s="831" t="s">
        <v>562</v>
      </c>
      <c r="AI16418" s="831">
        <v>0</v>
      </c>
      <c r="AJ16418" s="835">
        <v>42124</v>
      </c>
      <c r="AK16418" s="831">
        <v>1.0471999999999999</v>
      </c>
    </row>
    <row r="16419" spans="2:37">
      <c r="B16419" s="834" t="str">
        <f t="shared" si="593"/>
        <v>|||</v>
      </c>
      <c r="H16419" s="835">
        <f t="shared" si="594"/>
        <v>31</v>
      </c>
      <c r="AF16419" s="831" t="s">
        <v>12002</v>
      </c>
      <c r="AG16419" s="831" t="s">
        <v>2674</v>
      </c>
      <c r="AH16419" s="831" t="s">
        <v>2698</v>
      </c>
      <c r="AI16419" s="831">
        <v>0</v>
      </c>
      <c r="AJ16419" s="835">
        <v>42124</v>
      </c>
      <c r="AK16419" s="831">
        <v>1.0495000000000001</v>
      </c>
    </row>
    <row r="16420" spans="2:37">
      <c r="B16420" s="834" t="str">
        <f t="shared" si="593"/>
        <v>|||</v>
      </c>
      <c r="H16420" s="835">
        <f t="shared" si="594"/>
        <v>31</v>
      </c>
      <c r="AF16420" s="831" t="s">
        <v>12003</v>
      </c>
      <c r="AG16420" s="831" t="s">
        <v>2674</v>
      </c>
      <c r="AH16420" s="831" t="s">
        <v>560</v>
      </c>
      <c r="AI16420" s="831">
        <v>0</v>
      </c>
      <c r="AJ16420" s="835">
        <v>42124</v>
      </c>
      <c r="AK16420" s="831">
        <v>0.98171249999999999</v>
      </c>
    </row>
    <row r="16421" spans="2:37">
      <c r="B16421" s="834" t="str">
        <f t="shared" si="593"/>
        <v>|||</v>
      </c>
      <c r="H16421" s="835">
        <f t="shared" si="594"/>
        <v>31</v>
      </c>
      <c r="AF16421" s="831" t="s">
        <v>12004</v>
      </c>
      <c r="AG16421" s="831" t="s">
        <v>2674</v>
      </c>
      <c r="AH16421" s="831" t="s">
        <v>559</v>
      </c>
      <c r="AI16421" s="831">
        <v>0</v>
      </c>
      <c r="AJ16421" s="835">
        <v>42124</v>
      </c>
      <c r="AK16421" s="831">
        <v>0.84962083333333327</v>
      </c>
    </row>
    <row r="16422" spans="2:37">
      <c r="B16422" s="834" t="str">
        <f t="shared" si="593"/>
        <v>|||</v>
      </c>
      <c r="H16422" s="835">
        <f t="shared" si="594"/>
        <v>31</v>
      </c>
      <c r="AF16422" s="831" t="s">
        <v>12005</v>
      </c>
      <c r="AG16422" s="831" t="s">
        <v>2674</v>
      </c>
      <c r="AH16422" s="831" t="s">
        <v>568</v>
      </c>
      <c r="AI16422" s="831">
        <v>0</v>
      </c>
      <c r="AJ16422" s="835">
        <v>42124</v>
      </c>
      <c r="AK16422" s="831">
        <v>802858062.76923072</v>
      </c>
    </row>
    <row r="16423" spans="2:37">
      <c r="B16423" s="834" t="str">
        <f t="shared" si="593"/>
        <v>|||</v>
      </c>
      <c r="H16423" s="835">
        <f t="shared" si="594"/>
        <v>31</v>
      </c>
      <c r="AF16423" s="831" t="s">
        <v>12006</v>
      </c>
      <c r="AG16423" s="831" t="s">
        <v>2674</v>
      </c>
      <c r="AH16423" s="831" t="s">
        <v>569</v>
      </c>
      <c r="AI16423" s="831">
        <v>0</v>
      </c>
      <c r="AJ16423" s="835">
        <v>42124</v>
      </c>
      <c r="AK16423" s="831">
        <v>1009137751.8461539</v>
      </c>
    </row>
    <row r="16424" spans="2:37">
      <c r="B16424" s="834" t="str">
        <f t="shared" si="593"/>
        <v>|||</v>
      </c>
      <c r="H16424" s="835">
        <f t="shared" si="594"/>
        <v>31</v>
      </c>
      <c r="AF16424" s="831" t="s">
        <v>12007</v>
      </c>
      <c r="AG16424" s="831" t="s">
        <v>2674</v>
      </c>
      <c r="AH16424" s="831" t="s">
        <v>570</v>
      </c>
      <c r="AI16424" s="831">
        <v>0</v>
      </c>
      <c r="AJ16424" s="835">
        <v>42124</v>
      </c>
      <c r="AK16424" s="831">
        <v>142830548.07923076</v>
      </c>
    </row>
    <row r="16425" spans="2:37">
      <c r="B16425" s="834" t="str">
        <f t="shared" si="593"/>
        <v>|||</v>
      </c>
      <c r="H16425" s="835">
        <f t="shared" si="594"/>
        <v>31</v>
      </c>
      <c r="AF16425" s="831" t="s">
        <v>12008</v>
      </c>
      <c r="AG16425" s="831" t="s">
        <v>2674</v>
      </c>
      <c r="AH16425" s="831" t="s">
        <v>571</v>
      </c>
      <c r="AI16425" s="831">
        <v>0</v>
      </c>
      <c r="AJ16425" s="835">
        <v>42124</v>
      </c>
      <c r="AK16425" s="831">
        <v>521003105.80130768</v>
      </c>
    </row>
    <row r="16426" spans="2:37">
      <c r="B16426" s="834" t="str">
        <f t="shared" si="593"/>
        <v>|||</v>
      </c>
      <c r="H16426" s="835">
        <f t="shared" si="594"/>
        <v>31</v>
      </c>
      <c r="AF16426" s="831" t="s">
        <v>12009</v>
      </c>
      <c r="AG16426" s="831" t="s">
        <v>2674</v>
      </c>
      <c r="AH16426" s="831" t="s">
        <v>573</v>
      </c>
      <c r="AI16426" s="831">
        <v>0</v>
      </c>
      <c r="AJ16426" s="835">
        <v>42124</v>
      </c>
      <c r="AK16426" s="831">
        <v>1131573563</v>
      </c>
    </row>
    <row r="16427" spans="2:37">
      <c r="B16427" s="834" t="str">
        <f t="shared" si="593"/>
        <v>|||</v>
      </c>
      <c r="H16427" s="835">
        <f t="shared" si="594"/>
        <v>31</v>
      </c>
      <c r="AF16427" s="831" t="s">
        <v>12010</v>
      </c>
      <c r="AG16427" s="831" t="s">
        <v>2674</v>
      </c>
      <c r="AH16427" s="831" t="s">
        <v>574</v>
      </c>
      <c r="AI16427" s="831">
        <v>0</v>
      </c>
      <c r="AJ16427" s="835">
        <v>42124</v>
      </c>
      <c r="AK16427" s="831">
        <v>887385272.20000005</v>
      </c>
    </row>
    <row r="16428" spans="2:37">
      <c r="B16428" s="834" t="str">
        <f t="shared" si="593"/>
        <v>|||</v>
      </c>
      <c r="H16428" s="835">
        <f t="shared" si="594"/>
        <v>31</v>
      </c>
      <c r="AF16428" s="831" t="s">
        <v>12011</v>
      </c>
      <c r="AG16428" s="831" t="s">
        <v>2674</v>
      </c>
      <c r="AH16428" s="831" t="s">
        <v>575</v>
      </c>
      <c r="AI16428" s="831">
        <v>0</v>
      </c>
      <c r="AJ16428" s="835">
        <v>42124</v>
      </c>
      <c r="AK16428" s="831">
        <v>146895148.59999999</v>
      </c>
    </row>
    <row r="16429" spans="2:37">
      <c r="B16429" s="834" t="str">
        <f t="shared" si="593"/>
        <v>|||</v>
      </c>
      <c r="H16429" s="835">
        <f t="shared" si="594"/>
        <v>31</v>
      </c>
      <c r="AF16429" s="831" t="s">
        <v>12012</v>
      </c>
      <c r="AG16429" s="831" t="s">
        <v>2674</v>
      </c>
      <c r="AH16429" s="831" t="s">
        <v>576</v>
      </c>
      <c r="AI16429" s="831">
        <v>0</v>
      </c>
      <c r="AJ16429" s="835">
        <v>42124</v>
      </c>
      <c r="AK16429" s="831">
        <v>615700522.39999998</v>
      </c>
    </row>
    <row r="16430" spans="2:37">
      <c r="B16430" s="834" t="str">
        <f t="shared" si="593"/>
        <v>|||</v>
      </c>
      <c r="H16430" s="835">
        <f t="shared" si="594"/>
        <v>31</v>
      </c>
      <c r="AF16430" s="831" t="s">
        <v>12013</v>
      </c>
      <c r="AG16430" s="831" t="s">
        <v>2674</v>
      </c>
      <c r="AH16430" s="831" t="s">
        <v>572</v>
      </c>
      <c r="AI16430" s="831">
        <v>0</v>
      </c>
      <c r="AJ16430" s="835">
        <v>42124</v>
      </c>
      <c r="AK16430" s="831">
        <v>34629345</v>
      </c>
    </row>
    <row r="16431" spans="2:37">
      <c r="B16431" s="834" t="str">
        <f t="shared" si="593"/>
        <v>|||</v>
      </c>
      <c r="H16431" s="835">
        <f t="shared" si="594"/>
        <v>31</v>
      </c>
      <c r="AF16431" s="831" t="s">
        <v>12014</v>
      </c>
      <c r="AG16431" s="831" t="s">
        <v>2674</v>
      </c>
      <c r="AH16431" s="831" t="s">
        <v>577</v>
      </c>
      <c r="AI16431" s="831">
        <v>0</v>
      </c>
      <c r="AJ16431" s="835">
        <v>42124</v>
      </c>
      <c r="AK16431" s="831">
        <v>182065430</v>
      </c>
    </row>
    <row r="16432" spans="2:37">
      <c r="B16432" s="834" t="str">
        <f t="shared" si="593"/>
        <v>|||</v>
      </c>
      <c r="H16432" s="835">
        <f t="shared" si="594"/>
        <v>31</v>
      </c>
      <c r="AF16432" s="831" t="s">
        <v>12015</v>
      </c>
      <c r="AG16432" s="831" t="s">
        <v>2674</v>
      </c>
      <c r="AH16432" s="831" t="s">
        <v>3042</v>
      </c>
      <c r="AI16432" s="831">
        <v>0</v>
      </c>
      <c r="AJ16432" s="835">
        <v>42124</v>
      </c>
      <c r="AK16432" s="831">
        <v>-55986090</v>
      </c>
    </row>
    <row r="16433" spans="2:37">
      <c r="B16433" s="834" t="str">
        <f t="shared" si="593"/>
        <v>|||</v>
      </c>
      <c r="H16433" s="835">
        <f t="shared" si="594"/>
        <v>31</v>
      </c>
      <c r="AF16433" s="831" t="s">
        <v>12016</v>
      </c>
      <c r="AG16433" s="831" t="s">
        <v>2674</v>
      </c>
      <c r="AH16433" s="831" t="s">
        <v>3044</v>
      </c>
      <c r="AI16433" s="831">
        <v>0</v>
      </c>
      <c r="AJ16433" s="835">
        <v>42124</v>
      </c>
      <c r="AK16433" s="831">
        <v>-4711846</v>
      </c>
    </row>
    <row r="16434" spans="2:37">
      <c r="B16434" s="834" t="str">
        <f t="shared" si="593"/>
        <v>|||</v>
      </c>
      <c r="H16434" s="835">
        <f t="shared" si="594"/>
        <v>31</v>
      </c>
      <c r="AF16434" s="831" t="s">
        <v>12017</v>
      </c>
      <c r="AG16434" s="831" t="s">
        <v>2674</v>
      </c>
      <c r="AH16434" s="831" t="s">
        <v>580</v>
      </c>
      <c r="AI16434" s="831">
        <v>0</v>
      </c>
      <c r="AJ16434" s="835">
        <v>42124</v>
      </c>
      <c r="AK16434" s="831">
        <v>-84657241</v>
      </c>
    </row>
    <row r="16435" spans="2:37">
      <c r="B16435" s="834" t="str">
        <f t="shared" si="593"/>
        <v>|||</v>
      </c>
      <c r="H16435" s="835">
        <f t="shared" si="594"/>
        <v>31</v>
      </c>
      <c r="AF16435" s="831" t="s">
        <v>12018</v>
      </c>
      <c r="AG16435" s="831" t="s">
        <v>2674</v>
      </c>
      <c r="AH16435" s="831" t="s">
        <v>581</v>
      </c>
      <c r="AI16435" s="831">
        <v>0</v>
      </c>
      <c r="AJ16435" s="835">
        <v>42124</v>
      </c>
      <c r="AK16435" s="831">
        <v>11310907</v>
      </c>
    </row>
    <row r="16436" spans="2:37">
      <c r="B16436" s="834" t="str">
        <f t="shared" si="593"/>
        <v>|||</v>
      </c>
      <c r="H16436" s="835">
        <f t="shared" si="594"/>
        <v>31</v>
      </c>
      <c r="AF16436" s="831" t="s">
        <v>12019</v>
      </c>
      <c r="AG16436" s="831" t="s">
        <v>2674</v>
      </c>
      <c r="AH16436" s="831" t="s">
        <v>105</v>
      </c>
      <c r="AI16436" s="831">
        <v>0</v>
      </c>
      <c r="AJ16436" s="835">
        <v>42124</v>
      </c>
      <c r="AK16436" s="831">
        <v>651641572</v>
      </c>
    </row>
    <row r="16437" spans="2:37">
      <c r="B16437" s="834" t="str">
        <f t="shared" si="593"/>
        <v>|||</v>
      </c>
      <c r="H16437" s="835">
        <f t="shared" si="594"/>
        <v>31</v>
      </c>
      <c r="AF16437" s="831" t="s">
        <v>12020</v>
      </c>
      <c r="AG16437" s="831" t="s">
        <v>2674</v>
      </c>
      <c r="AH16437" s="831" t="s">
        <v>3049</v>
      </c>
      <c r="AI16437" s="831">
        <v>0</v>
      </c>
      <c r="AJ16437" s="835">
        <v>42124</v>
      </c>
      <c r="AK16437" s="831">
        <v>980090700</v>
      </c>
    </row>
    <row r="16438" spans="2:37">
      <c r="B16438" s="834" t="str">
        <f t="shared" si="593"/>
        <v>|||</v>
      </c>
      <c r="H16438" s="835">
        <f t="shared" si="594"/>
        <v>31</v>
      </c>
      <c r="AF16438" s="831" t="s">
        <v>12021</v>
      </c>
      <c r="AG16438" s="831" t="s">
        <v>2674</v>
      </c>
      <c r="AH16438" s="831" t="s">
        <v>103</v>
      </c>
      <c r="AI16438" s="831">
        <v>0</v>
      </c>
      <c r="AJ16438" s="835">
        <v>42124</v>
      </c>
      <c r="AK16438" s="831">
        <v>328449128</v>
      </c>
    </row>
    <row r="16439" spans="2:37">
      <c r="B16439" s="834" t="str">
        <f t="shared" si="593"/>
        <v>|||</v>
      </c>
      <c r="H16439" s="835">
        <f t="shared" si="594"/>
        <v>31</v>
      </c>
      <c r="AF16439" s="831" t="s">
        <v>12022</v>
      </c>
      <c r="AG16439" s="831" t="s">
        <v>2674</v>
      </c>
      <c r="AH16439" s="831" t="s">
        <v>182</v>
      </c>
      <c r="AI16439" s="831">
        <v>0</v>
      </c>
      <c r="AJ16439" s="835">
        <v>42124</v>
      </c>
      <c r="AK16439" s="831">
        <v>88699464</v>
      </c>
    </row>
    <row r="16440" spans="2:37">
      <c r="B16440" s="834" t="str">
        <f t="shared" si="593"/>
        <v>|||</v>
      </c>
      <c r="H16440" s="835">
        <f t="shared" si="594"/>
        <v>31</v>
      </c>
      <c r="AF16440" s="831" t="s">
        <v>12023</v>
      </c>
      <c r="AG16440" s="831" t="s">
        <v>2674</v>
      </c>
      <c r="AH16440" s="831" t="s">
        <v>6600</v>
      </c>
      <c r="AI16440" s="831">
        <v>0</v>
      </c>
      <c r="AJ16440" s="835">
        <v>42124</v>
      </c>
      <c r="AK16440" s="831">
        <v>34629345</v>
      </c>
    </row>
    <row r="16441" spans="2:37">
      <c r="B16441" s="834" t="str">
        <f t="shared" si="593"/>
        <v>|||</v>
      </c>
      <c r="H16441" s="835">
        <f t="shared" si="594"/>
        <v>31</v>
      </c>
      <c r="AF16441" s="831" t="s">
        <v>12024</v>
      </c>
      <c r="AG16441" s="831" t="s">
        <v>2674</v>
      </c>
      <c r="AH16441" s="831" t="s">
        <v>6602</v>
      </c>
      <c r="AI16441" s="831">
        <v>0</v>
      </c>
      <c r="AJ16441" s="835">
        <v>42124</v>
      </c>
      <c r="AK16441" s="831">
        <v>3490177</v>
      </c>
    </row>
    <row r="16442" spans="2:37">
      <c r="B16442" s="834" t="str">
        <f t="shared" si="593"/>
        <v>|||</v>
      </c>
      <c r="H16442" s="835">
        <f t="shared" si="594"/>
        <v>31</v>
      </c>
      <c r="AF16442" s="831" t="s">
        <v>12025</v>
      </c>
      <c r="AG16442" s="831" t="s">
        <v>2674</v>
      </c>
      <c r="AH16442" s="831" t="s">
        <v>650</v>
      </c>
      <c r="AI16442" s="831">
        <v>0</v>
      </c>
      <c r="AJ16442" s="835">
        <v>42124</v>
      </c>
      <c r="AK16442" s="831">
        <v>319013929.69230771</v>
      </c>
    </row>
    <row r="16443" spans="2:37">
      <c r="B16443" s="834" t="str">
        <f t="shared" si="593"/>
        <v>|||</v>
      </c>
      <c r="H16443" s="835">
        <f t="shared" si="594"/>
        <v>31</v>
      </c>
      <c r="AF16443" s="831" t="s">
        <v>12026</v>
      </c>
      <c r="AG16443" s="831" t="s">
        <v>2674</v>
      </c>
      <c r="AH16443" s="831" t="s">
        <v>655</v>
      </c>
      <c r="AI16443" s="831">
        <v>0</v>
      </c>
      <c r="AJ16443" s="835">
        <v>42124</v>
      </c>
      <c r="AK16443" s="831">
        <v>8145535</v>
      </c>
    </row>
    <row r="16444" spans="2:37">
      <c r="B16444" s="834" t="str">
        <f t="shared" si="593"/>
        <v>|||</v>
      </c>
      <c r="H16444" s="835">
        <f t="shared" si="594"/>
        <v>31</v>
      </c>
      <c r="AF16444" s="831" t="s">
        <v>10335</v>
      </c>
      <c r="AG16444" s="831" t="s">
        <v>2674</v>
      </c>
      <c r="AH16444" s="831" t="s">
        <v>546</v>
      </c>
      <c r="AI16444" s="831">
        <v>0</v>
      </c>
      <c r="AJ16444" s="835">
        <v>41060</v>
      </c>
      <c r="AK16444" s="831">
        <v>339221349</v>
      </c>
    </row>
    <row r="16445" spans="2:37">
      <c r="B16445" s="834" t="str">
        <f t="shared" si="593"/>
        <v>|||</v>
      </c>
      <c r="H16445" s="835">
        <f t="shared" si="594"/>
        <v>31</v>
      </c>
      <c r="AF16445" s="831" t="s">
        <v>10336</v>
      </c>
      <c r="AG16445" s="831" t="s">
        <v>2674</v>
      </c>
      <c r="AH16445" s="831" t="s">
        <v>370</v>
      </c>
      <c r="AI16445" s="831">
        <v>0</v>
      </c>
      <c r="AJ16445" s="835">
        <v>41060</v>
      </c>
      <c r="AK16445" s="831">
        <v>412671638</v>
      </c>
    </row>
    <row r="16446" spans="2:37">
      <c r="B16446" s="834" t="str">
        <f t="shared" si="593"/>
        <v>|||</v>
      </c>
      <c r="H16446" s="835">
        <f t="shared" si="594"/>
        <v>31</v>
      </c>
      <c r="AF16446" s="831" t="s">
        <v>10337</v>
      </c>
      <c r="AG16446" s="831" t="s">
        <v>2674</v>
      </c>
      <c r="AH16446" s="831" t="s">
        <v>126</v>
      </c>
      <c r="AI16446" s="831">
        <v>0</v>
      </c>
      <c r="AJ16446" s="835">
        <v>41060</v>
      </c>
      <c r="AK16446" s="831">
        <v>90520261</v>
      </c>
    </row>
    <row r="16447" spans="2:37">
      <c r="B16447" s="834" t="str">
        <f t="shared" si="593"/>
        <v>|||</v>
      </c>
      <c r="H16447" s="835">
        <f t="shared" si="594"/>
        <v>31</v>
      </c>
      <c r="AF16447" s="831" t="s">
        <v>10338</v>
      </c>
      <c r="AG16447" s="831" t="s">
        <v>2674</v>
      </c>
      <c r="AH16447" s="831" t="s">
        <v>268</v>
      </c>
      <c r="AI16447" s="831">
        <v>0</v>
      </c>
      <c r="AJ16447" s="835">
        <v>41060</v>
      </c>
      <c r="AK16447" s="831">
        <v>5197337</v>
      </c>
    </row>
    <row r="16448" spans="2:37">
      <c r="B16448" s="834" t="str">
        <f t="shared" si="593"/>
        <v>|||</v>
      </c>
      <c r="H16448" s="835">
        <f t="shared" si="594"/>
        <v>31</v>
      </c>
      <c r="AF16448" s="831" t="s">
        <v>10339</v>
      </c>
      <c r="AG16448" s="831" t="s">
        <v>2674</v>
      </c>
      <c r="AH16448" s="831" t="s">
        <v>547</v>
      </c>
      <c r="AI16448" s="831">
        <v>0</v>
      </c>
      <c r="AJ16448" s="835">
        <v>41060</v>
      </c>
      <c r="AK16448" s="831">
        <v>0</v>
      </c>
    </row>
    <row r="16449" spans="2:37">
      <c r="B16449" s="834" t="str">
        <f t="shared" si="593"/>
        <v>|||</v>
      </c>
      <c r="H16449" s="835">
        <f t="shared" si="594"/>
        <v>31</v>
      </c>
      <c r="AF16449" s="831" t="s">
        <v>10340</v>
      </c>
      <c r="AG16449" s="831" t="s">
        <v>2674</v>
      </c>
      <c r="AH16449" s="831" t="s">
        <v>548</v>
      </c>
      <c r="AI16449" s="831">
        <v>0</v>
      </c>
      <c r="AJ16449" s="835">
        <v>41060</v>
      </c>
      <c r="AK16449" s="831">
        <v>0</v>
      </c>
    </row>
    <row r="16450" spans="2:37">
      <c r="B16450" s="834" t="str">
        <f t="shared" si="593"/>
        <v>|||</v>
      </c>
      <c r="H16450" s="835">
        <f t="shared" si="594"/>
        <v>31</v>
      </c>
      <c r="AF16450" s="831" t="s">
        <v>10341</v>
      </c>
      <c r="AG16450" s="831" t="s">
        <v>2674</v>
      </c>
      <c r="AH16450" s="831" t="s">
        <v>549</v>
      </c>
      <c r="AI16450" s="831">
        <v>0</v>
      </c>
      <c r="AJ16450" s="835">
        <v>41060</v>
      </c>
      <c r="AK16450" s="831">
        <v>0</v>
      </c>
    </row>
    <row r="16451" spans="2:37">
      <c r="B16451" s="834" t="str">
        <f t="shared" si="593"/>
        <v>|||</v>
      </c>
      <c r="H16451" s="835">
        <f t="shared" si="594"/>
        <v>31</v>
      </c>
      <c r="AF16451" s="831" t="s">
        <v>10342</v>
      </c>
      <c r="AG16451" s="831" t="s">
        <v>2674</v>
      </c>
      <c r="AH16451" s="831" t="s">
        <v>192</v>
      </c>
      <c r="AI16451" s="831">
        <v>0</v>
      </c>
      <c r="AJ16451" s="835">
        <v>41060</v>
      </c>
      <c r="AK16451" s="831">
        <v>-9254050</v>
      </c>
    </row>
    <row r="16452" spans="2:37">
      <c r="B16452" s="834" t="str">
        <f t="shared" si="593"/>
        <v>|||</v>
      </c>
      <c r="H16452" s="835">
        <f t="shared" si="594"/>
        <v>31</v>
      </c>
      <c r="AF16452" s="831" t="s">
        <v>10343</v>
      </c>
      <c r="AG16452" s="831" t="s">
        <v>2674</v>
      </c>
      <c r="AH16452" s="831" t="s">
        <v>558</v>
      </c>
      <c r="AI16452" s="831">
        <v>0</v>
      </c>
      <c r="AJ16452" s="835">
        <v>41060</v>
      </c>
      <c r="AK16452" s="831">
        <v>322151377</v>
      </c>
    </row>
    <row r="16453" spans="2:37">
      <c r="B16453" s="834" t="str">
        <f t="shared" si="593"/>
        <v>|||</v>
      </c>
      <c r="H16453" s="835">
        <f t="shared" si="594"/>
        <v>31</v>
      </c>
      <c r="AF16453" s="831" t="s">
        <v>10344</v>
      </c>
      <c r="AG16453" s="831" t="s">
        <v>2674</v>
      </c>
      <c r="AH16453" s="831" t="s">
        <v>65</v>
      </c>
      <c r="AI16453" s="831">
        <v>0</v>
      </c>
      <c r="AJ16453" s="835">
        <v>41060</v>
      </c>
      <c r="AK16453" s="831">
        <v>38110599</v>
      </c>
    </row>
    <row r="16454" spans="2:37">
      <c r="B16454" s="834" t="str">
        <f t="shared" si="593"/>
        <v>|||</v>
      </c>
      <c r="H16454" s="835">
        <f t="shared" si="594"/>
        <v>31</v>
      </c>
      <c r="AF16454" s="831" t="s">
        <v>10345</v>
      </c>
      <c r="AG16454" s="831" t="s">
        <v>2674</v>
      </c>
      <c r="AH16454" s="831" t="s">
        <v>89</v>
      </c>
      <c r="AI16454" s="831">
        <v>0</v>
      </c>
      <c r="AJ16454" s="835">
        <v>41060</v>
      </c>
      <c r="AK16454" s="831">
        <v>122430</v>
      </c>
    </row>
    <row r="16455" spans="2:37">
      <c r="B16455" s="834" t="str">
        <f t="shared" si="593"/>
        <v>|||</v>
      </c>
      <c r="H16455" s="835">
        <f t="shared" si="594"/>
        <v>31</v>
      </c>
      <c r="AF16455" s="831" t="s">
        <v>10346</v>
      </c>
      <c r="AG16455" s="831" t="s">
        <v>2674</v>
      </c>
      <c r="AH16455" s="831" t="s">
        <v>557</v>
      </c>
      <c r="AI16455" s="831">
        <v>0</v>
      </c>
      <c r="AJ16455" s="835">
        <v>41060</v>
      </c>
      <c r="AK16455" s="831">
        <v>124207</v>
      </c>
    </row>
    <row r="16456" spans="2:37">
      <c r="B16456" s="834" t="str">
        <f t="shared" si="593"/>
        <v>|||</v>
      </c>
      <c r="H16456" s="835">
        <f t="shared" si="594"/>
        <v>31</v>
      </c>
      <c r="AF16456" s="831" t="s">
        <v>10347</v>
      </c>
      <c r="AG16456" s="831" t="s">
        <v>2674</v>
      </c>
      <c r="AH16456" s="831" t="s">
        <v>29</v>
      </c>
      <c r="AI16456" s="831">
        <v>0</v>
      </c>
      <c r="AJ16456" s="835">
        <v>41060</v>
      </c>
      <c r="AK16456" s="831">
        <v>2528808</v>
      </c>
    </row>
    <row r="16457" spans="2:37">
      <c r="B16457" s="834" t="str">
        <f t="shared" si="593"/>
        <v>|||</v>
      </c>
      <c r="H16457" s="835">
        <f t="shared" si="594"/>
        <v>31</v>
      </c>
      <c r="AF16457" s="831" t="s">
        <v>10348</v>
      </c>
      <c r="AG16457" s="831" t="s">
        <v>2674</v>
      </c>
      <c r="AH16457" s="831" t="s">
        <v>2688</v>
      </c>
      <c r="AI16457" s="831">
        <v>0</v>
      </c>
      <c r="AJ16457" s="835">
        <v>41060</v>
      </c>
      <c r="AK16457" s="831">
        <v>3036435</v>
      </c>
    </row>
    <row r="16458" spans="2:37">
      <c r="B16458" s="834" t="str">
        <f t="shared" si="593"/>
        <v>|||</v>
      </c>
      <c r="H16458" s="835">
        <f t="shared" si="594"/>
        <v>31</v>
      </c>
      <c r="AF16458" s="831" t="s">
        <v>10349</v>
      </c>
      <c r="AG16458" s="831" t="s">
        <v>2674</v>
      </c>
      <c r="AH16458" s="831" t="s">
        <v>556</v>
      </c>
      <c r="AI16458" s="831">
        <v>0</v>
      </c>
      <c r="AJ16458" s="835">
        <v>41060</v>
      </c>
      <c r="AK16458" s="831">
        <v>0</v>
      </c>
    </row>
    <row r="16459" spans="2:37">
      <c r="B16459" s="834" t="str">
        <f t="shared" si="593"/>
        <v>|||</v>
      </c>
      <c r="H16459" s="835">
        <f t="shared" si="594"/>
        <v>31</v>
      </c>
      <c r="AF16459" s="831" t="s">
        <v>10350</v>
      </c>
      <c r="AG16459" s="831" t="s">
        <v>2674</v>
      </c>
      <c r="AH16459" s="831" t="s">
        <v>555</v>
      </c>
      <c r="AI16459" s="831">
        <v>0</v>
      </c>
      <c r="AJ16459" s="835">
        <v>41060</v>
      </c>
      <c r="AK16459" s="831">
        <v>196148980</v>
      </c>
    </row>
    <row r="16460" spans="2:37">
      <c r="B16460" s="834" t="str">
        <f t="shared" si="593"/>
        <v>|||</v>
      </c>
      <c r="H16460" s="835">
        <f t="shared" si="594"/>
        <v>31</v>
      </c>
      <c r="AF16460" s="831" t="s">
        <v>10351</v>
      </c>
      <c r="AG16460" s="831" t="s">
        <v>2674</v>
      </c>
      <c r="AH16460" s="831" t="s">
        <v>554</v>
      </c>
      <c r="AI16460" s="831">
        <v>0</v>
      </c>
      <c r="AJ16460" s="835">
        <v>41060</v>
      </c>
      <c r="AK16460" s="831">
        <v>194772980</v>
      </c>
    </row>
    <row r="16461" spans="2:37">
      <c r="B16461" s="834" t="str">
        <f t="shared" si="593"/>
        <v>|||</v>
      </c>
      <c r="H16461" s="835">
        <f t="shared" si="594"/>
        <v>31</v>
      </c>
      <c r="AF16461" s="831" t="s">
        <v>10352</v>
      </c>
      <c r="AG16461" s="831" t="s">
        <v>2674</v>
      </c>
      <c r="AH16461" s="831" t="s">
        <v>553</v>
      </c>
      <c r="AI16461" s="831">
        <v>0</v>
      </c>
      <c r="AJ16461" s="835">
        <v>41060</v>
      </c>
      <c r="AK16461" s="831">
        <v>0</v>
      </c>
    </row>
    <row r="16462" spans="2:37">
      <c r="B16462" s="834" t="str">
        <f t="shared" si="593"/>
        <v>|||</v>
      </c>
      <c r="H16462" s="835">
        <f t="shared" si="594"/>
        <v>31</v>
      </c>
      <c r="AF16462" s="831" t="s">
        <v>10353</v>
      </c>
      <c r="AG16462" s="831" t="s">
        <v>2674</v>
      </c>
      <c r="AH16462" s="831" t="s">
        <v>552</v>
      </c>
      <c r="AI16462" s="831">
        <v>0</v>
      </c>
      <c r="AJ16462" s="835">
        <v>41060</v>
      </c>
      <c r="AK16462" s="831">
        <v>0</v>
      </c>
    </row>
    <row r="16463" spans="2:37">
      <c r="B16463" s="834" t="str">
        <f t="shared" si="593"/>
        <v>|||</v>
      </c>
      <c r="H16463" s="835">
        <f t="shared" si="594"/>
        <v>31</v>
      </c>
      <c r="AF16463" s="831" t="s">
        <v>10354</v>
      </c>
      <c r="AG16463" s="831" t="s">
        <v>2674</v>
      </c>
      <c r="AH16463" s="831" t="s">
        <v>551</v>
      </c>
      <c r="AI16463" s="831">
        <v>0</v>
      </c>
      <c r="AJ16463" s="835">
        <v>41060</v>
      </c>
      <c r="AK16463" s="831">
        <v>2340522</v>
      </c>
    </row>
    <row r="16464" spans="2:37">
      <c r="B16464" s="834" t="str">
        <f t="shared" si="593"/>
        <v>|||</v>
      </c>
      <c r="H16464" s="835">
        <f t="shared" si="594"/>
        <v>31</v>
      </c>
      <c r="AF16464" s="831" t="s">
        <v>10355</v>
      </c>
      <c r="AG16464" s="831" t="s">
        <v>2674</v>
      </c>
      <c r="AH16464" s="831" t="s">
        <v>550</v>
      </c>
      <c r="AI16464" s="831">
        <v>0</v>
      </c>
      <c r="AJ16464" s="835">
        <v>41060</v>
      </c>
      <c r="AK16464" s="831">
        <v>0</v>
      </c>
    </row>
    <row r="16465" spans="2:37">
      <c r="B16465" s="834" t="str">
        <f t="shared" ref="B16465:B16528" si="595">C16465&amp;"|"&amp;D16465&amp;"|"&amp;E16465&amp;"|"&amp;F16465</f>
        <v>|||</v>
      </c>
      <c r="H16465" s="835">
        <f t="shared" ref="H16465:H16528" si="596">EOMONTH(L16465,0)</f>
        <v>31</v>
      </c>
      <c r="AF16465" s="831" t="s">
        <v>10356</v>
      </c>
      <c r="AG16465" s="831" t="s">
        <v>2674</v>
      </c>
      <c r="AH16465" s="831" t="s">
        <v>562</v>
      </c>
      <c r="AI16465" s="831">
        <v>0</v>
      </c>
      <c r="AJ16465" s="835">
        <v>41060</v>
      </c>
      <c r="AK16465" s="831">
        <v>0.78515000000000001</v>
      </c>
    </row>
    <row r="16466" spans="2:37">
      <c r="B16466" s="834" t="str">
        <f t="shared" si="595"/>
        <v>|||</v>
      </c>
      <c r="H16466" s="835">
        <f t="shared" si="596"/>
        <v>31</v>
      </c>
      <c r="AF16466" s="831" t="s">
        <v>10357</v>
      </c>
      <c r="AG16466" s="831" t="s">
        <v>2674</v>
      </c>
      <c r="AH16466" s="831" t="s">
        <v>2698</v>
      </c>
      <c r="AI16466" s="831">
        <v>0</v>
      </c>
      <c r="AJ16466" s="835">
        <v>41060</v>
      </c>
      <c r="AK16466" s="831">
        <v>0.78585000000000005</v>
      </c>
    </row>
    <row r="16467" spans="2:37">
      <c r="B16467" s="834" t="str">
        <f t="shared" si="595"/>
        <v>|||</v>
      </c>
      <c r="H16467" s="835">
        <f t="shared" si="596"/>
        <v>31</v>
      </c>
      <c r="AF16467" s="831" t="s">
        <v>10358</v>
      </c>
      <c r="AG16467" s="831" t="s">
        <v>2674</v>
      </c>
      <c r="AH16467" s="831" t="s">
        <v>560</v>
      </c>
      <c r="AI16467" s="831">
        <v>0</v>
      </c>
      <c r="AJ16467" s="835">
        <v>41060</v>
      </c>
      <c r="AK16467" s="831">
        <v>0.78580000000000005</v>
      </c>
    </row>
    <row r="16468" spans="2:37">
      <c r="B16468" s="834" t="str">
        <f t="shared" si="595"/>
        <v>|||</v>
      </c>
      <c r="H16468" s="835">
        <f t="shared" si="596"/>
        <v>31</v>
      </c>
      <c r="AF16468" s="831" t="s">
        <v>10359</v>
      </c>
      <c r="AG16468" s="831" t="s">
        <v>2674</v>
      </c>
      <c r="AH16468" s="831" t="s">
        <v>559</v>
      </c>
      <c r="AI16468" s="831">
        <v>0</v>
      </c>
      <c r="AJ16468" s="835">
        <v>41060</v>
      </c>
      <c r="AK16468" s="831">
        <v>0.78569999999999995</v>
      </c>
    </row>
    <row r="16469" spans="2:37">
      <c r="B16469" s="834" t="str">
        <f t="shared" si="595"/>
        <v>|||</v>
      </c>
      <c r="H16469" s="835">
        <f t="shared" si="596"/>
        <v>31</v>
      </c>
      <c r="AF16469" s="831" t="s">
        <v>10360</v>
      </c>
      <c r="AG16469" s="831" t="s">
        <v>2674</v>
      </c>
      <c r="AH16469" s="831" t="s">
        <v>568</v>
      </c>
      <c r="AI16469" s="831">
        <v>0</v>
      </c>
      <c r="AJ16469" s="835">
        <v>41060</v>
      </c>
      <c r="AK16469" s="831">
        <v>0</v>
      </c>
    </row>
    <row r="16470" spans="2:37">
      <c r="B16470" s="834" t="str">
        <f t="shared" si="595"/>
        <v>|||</v>
      </c>
      <c r="H16470" s="835">
        <f t="shared" si="596"/>
        <v>31</v>
      </c>
      <c r="AF16470" s="831" t="s">
        <v>10361</v>
      </c>
      <c r="AG16470" s="831" t="s">
        <v>2674</v>
      </c>
      <c r="AH16470" s="831" t="s">
        <v>569</v>
      </c>
      <c r="AI16470" s="831">
        <v>0</v>
      </c>
      <c r="AJ16470" s="835">
        <v>41060</v>
      </c>
      <c r="AK16470" s="831">
        <v>0</v>
      </c>
    </row>
    <row r="16471" spans="2:37">
      <c r="B16471" s="834" t="str">
        <f t="shared" si="595"/>
        <v>|||</v>
      </c>
      <c r="H16471" s="835">
        <f t="shared" si="596"/>
        <v>31</v>
      </c>
      <c r="AF16471" s="831" t="s">
        <v>10362</v>
      </c>
      <c r="AG16471" s="831" t="s">
        <v>2674</v>
      </c>
      <c r="AH16471" s="831" t="s">
        <v>570</v>
      </c>
      <c r="AI16471" s="831">
        <v>0</v>
      </c>
      <c r="AJ16471" s="835">
        <v>41060</v>
      </c>
      <c r="AK16471" s="831">
        <v>0</v>
      </c>
    </row>
    <row r="16472" spans="2:37">
      <c r="B16472" s="834" t="str">
        <f t="shared" si="595"/>
        <v>|||</v>
      </c>
      <c r="H16472" s="835">
        <f t="shared" si="596"/>
        <v>31</v>
      </c>
      <c r="AF16472" s="831" t="s">
        <v>10363</v>
      </c>
      <c r="AG16472" s="831" t="s">
        <v>2674</v>
      </c>
      <c r="AH16472" s="831" t="s">
        <v>571</v>
      </c>
      <c r="AI16472" s="831">
        <v>0</v>
      </c>
      <c r="AJ16472" s="835">
        <v>41060</v>
      </c>
      <c r="AK16472" s="831">
        <v>0</v>
      </c>
    </row>
    <row r="16473" spans="2:37">
      <c r="B16473" s="834" t="str">
        <f t="shared" si="595"/>
        <v>|||</v>
      </c>
      <c r="H16473" s="835">
        <f t="shared" si="596"/>
        <v>31</v>
      </c>
      <c r="AF16473" s="831" t="s">
        <v>10364</v>
      </c>
      <c r="AG16473" s="831" t="s">
        <v>2674</v>
      </c>
      <c r="AH16473" s="831" t="s">
        <v>573</v>
      </c>
      <c r="AI16473" s="831">
        <v>0</v>
      </c>
      <c r="AJ16473" s="835">
        <v>41060</v>
      </c>
      <c r="AK16473" s="831">
        <v>0</v>
      </c>
    </row>
    <row r="16474" spans="2:37">
      <c r="B16474" s="834" t="str">
        <f t="shared" si="595"/>
        <v>|||</v>
      </c>
      <c r="H16474" s="835">
        <f t="shared" si="596"/>
        <v>31</v>
      </c>
      <c r="AF16474" s="831" t="s">
        <v>10365</v>
      </c>
      <c r="AG16474" s="831" t="s">
        <v>2674</v>
      </c>
      <c r="AH16474" s="831" t="s">
        <v>574</v>
      </c>
      <c r="AI16474" s="831">
        <v>0</v>
      </c>
      <c r="AJ16474" s="835">
        <v>41060</v>
      </c>
      <c r="AK16474" s="831">
        <v>0</v>
      </c>
    </row>
    <row r="16475" spans="2:37">
      <c r="B16475" s="834" t="str">
        <f t="shared" si="595"/>
        <v>|||</v>
      </c>
      <c r="H16475" s="835">
        <f t="shared" si="596"/>
        <v>31</v>
      </c>
      <c r="AF16475" s="831" t="s">
        <v>10366</v>
      </c>
      <c r="AG16475" s="831" t="s">
        <v>2674</v>
      </c>
      <c r="AH16475" s="831" t="s">
        <v>575</v>
      </c>
      <c r="AI16475" s="831">
        <v>0</v>
      </c>
      <c r="AJ16475" s="835">
        <v>41060</v>
      </c>
      <c r="AK16475" s="831">
        <v>0</v>
      </c>
    </row>
    <row r="16476" spans="2:37">
      <c r="B16476" s="834" t="str">
        <f t="shared" si="595"/>
        <v>|||</v>
      </c>
      <c r="H16476" s="835">
        <f t="shared" si="596"/>
        <v>31</v>
      </c>
      <c r="AF16476" s="831" t="s">
        <v>10367</v>
      </c>
      <c r="AG16476" s="831" t="s">
        <v>2674</v>
      </c>
      <c r="AH16476" s="831" t="s">
        <v>576</v>
      </c>
      <c r="AI16476" s="831">
        <v>0</v>
      </c>
      <c r="AJ16476" s="835">
        <v>41060</v>
      </c>
      <c r="AK16476" s="831">
        <v>0</v>
      </c>
    </row>
    <row r="16477" spans="2:37">
      <c r="B16477" s="834" t="str">
        <f t="shared" si="595"/>
        <v>|||</v>
      </c>
      <c r="H16477" s="835">
        <f t="shared" si="596"/>
        <v>31</v>
      </c>
      <c r="AF16477" s="831" t="s">
        <v>10368</v>
      </c>
      <c r="AG16477" s="831" t="s">
        <v>2674</v>
      </c>
      <c r="AH16477" s="831" t="s">
        <v>572</v>
      </c>
      <c r="AI16477" s="831">
        <v>0</v>
      </c>
      <c r="AJ16477" s="835">
        <v>41060</v>
      </c>
      <c r="AK16477" s="831">
        <v>-2146826246</v>
      </c>
    </row>
    <row r="16478" spans="2:37">
      <c r="B16478" s="834" t="str">
        <f t="shared" si="595"/>
        <v>|||</v>
      </c>
      <c r="H16478" s="835">
        <f t="shared" si="596"/>
        <v>31</v>
      </c>
      <c r="AF16478" s="831" t="s">
        <v>10369</v>
      </c>
      <c r="AG16478" s="831" t="s">
        <v>2674</v>
      </c>
      <c r="AH16478" s="831" t="s">
        <v>577</v>
      </c>
      <c r="AI16478" s="831">
        <v>0</v>
      </c>
      <c r="AJ16478" s="835">
        <v>41060</v>
      </c>
      <c r="AK16478" s="831">
        <v>-2146826246</v>
      </c>
    </row>
    <row r="16479" spans="2:37">
      <c r="B16479" s="834" t="str">
        <f t="shared" si="595"/>
        <v>|||</v>
      </c>
      <c r="H16479" s="835">
        <f t="shared" si="596"/>
        <v>31</v>
      </c>
      <c r="AF16479" s="831" t="s">
        <v>10370</v>
      </c>
      <c r="AG16479" s="831" t="s">
        <v>2674</v>
      </c>
      <c r="AH16479" s="831" t="s">
        <v>3042</v>
      </c>
      <c r="AI16479" s="831">
        <v>0</v>
      </c>
      <c r="AJ16479" s="835">
        <v>41060</v>
      </c>
      <c r="AK16479" s="831">
        <v>-2146826246</v>
      </c>
    </row>
    <row r="16480" spans="2:37">
      <c r="B16480" s="834" t="str">
        <f t="shared" si="595"/>
        <v>|||</v>
      </c>
      <c r="H16480" s="835">
        <f t="shared" si="596"/>
        <v>31</v>
      </c>
      <c r="AF16480" s="831" t="s">
        <v>10371</v>
      </c>
      <c r="AG16480" s="831" t="s">
        <v>2674</v>
      </c>
      <c r="AH16480" s="831" t="s">
        <v>3044</v>
      </c>
      <c r="AI16480" s="831">
        <v>0</v>
      </c>
      <c r="AJ16480" s="835">
        <v>41060</v>
      </c>
      <c r="AK16480" s="831">
        <v>-2146826246</v>
      </c>
    </row>
    <row r="16481" spans="2:37">
      <c r="B16481" s="834" t="str">
        <f t="shared" si="595"/>
        <v>|||</v>
      </c>
      <c r="H16481" s="835">
        <f t="shared" si="596"/>
        <v>31</v>
      </c>
      <c r="AF16481" s="831" t="s">
        <v>10372</v>
      </c>
      <c r="AG16481" s="831" t="s">
        <v>2674</v>
      </c>
      <c r="AH16481" s="831" t="s">
        <v>580</v>
      </c>
      <c r="AI16481" s="831">
        <v>0</v>
      </c>
      <c r="AJ16481" s="835">
        <v>41060</v>
      </c>
      <c r="AK16481" s="831">
        <v>-2146826246</v>
      </c>
    </row>
    <row r="16482" spans="2:37">
      <c r="B16482" s="834" t="str">
        <f t="shared" si="595"/>
        <v>|||</v>
      </c>
      <c r="H16482" s="835">
        <f t="shared" si="596"/>
        <v>31</v>
      </c>
      <c r="AF16482" s="831" t="s">
        <v>10373</v>
      </c>
      <c r="AG16482" s="831" t="s">
        <v>2674</v>
      </c>
      <c r="AH16482" s="831" t="s">
        <v>581</v>
      </c>
      <c r="AI16482" s="831">
        <v>0</v>
      </c>
      <c r="AJ16482" s="835">
        <v>41060</v>
      </c>
      <c r="AK16482" s="831">
        <v>-2146826246</v>
      </c>
    </row>
    <row r="16483" spans="2:37">
      <c r="B16483" s="834" t="str">
        <f t="shared" si="595"/>
        <v>|||</v>
      </c>
      <c r="H16483" s="835">
        <f t="shared" si="596"/>
        <v>31</v>
      </c>
      <c r="AF16483" s="831" t="s">
        <v>10374</v>
      </c>
      <c r="AG16483" s="831" t="s">
        <v>2674</v>
      </c>
      <c r="AH16483" s="831" t="s">
        <v>105</v>
      </c>
      <c r="AI16483" s="831">
        <v>0</v>
      </c>
      <c r="AJ16483" s="835">
        <v>41060</v>
      </c>
      <c r="AK16483" s="831">
        <v>149985593</v>
      </c>
    </row>
    <row r="16484" spans="2:37">
      <c r="B16484" s="834" t="str">
        <f t="shared" si="595"/>
        <v>|||</v>
      </c>
      <c r="H16484" s="835">
        <f t="shared" si="596"/>
        <v>31</v>
      </c>
      <c r="AF16484" s="831" t="s">
        <v>10375</v>
      </c>
      <c r="AG16484" s="831" t="s">
        <v>2674</v>
      </c>
      <c r="AH16484" s="831" t="s">
        <v>3049</v>
      </c>
      <c r="AI16484" s="831">
        <v>0</v>
      </c>
      <c r="AJ16484" s="835">
        <v>41060</v>
      </c>
      <c r="AK16484" s="831">
        <v>309400000</v>
      </c>
    </row>
    <row r="16485" spans="2:37">
      <c r="B16485" s="834" t="str">
        <f t="shared" si="595"/>
        <v>|||</v>
      </c>
      <c r="H16485" s="835">
        <f t="shared" si="596"/>
        <v>31</v>
      </c>
      <c r="AF16485" s="831" t="s">
        <v>10376</v>
      </c>
      <c r="AG16485" s="831" t="s">
        <v>2674</v>
      </c>
      <c r="AH16485" s="831" t="s">
        <v>103</v>
      </c>
      <c r="AI16485" s="831">
        <v>0</v>
      </c>
      <c r="AJ16485" s="835">
        <v>41060</v>
      </c>
      <c r="AK16485" s="831">
        <v>159414407</v>
      </c>
    </row>
    <row r="16486" spans="2:37">
      <c r="B16486" s="834" t="str">
        <f t="shared" si="595"/>
        <v>|||</v>
      </c>
      <c r="H16486" s="835">
        <f t="shared" si="596"/>
        <v>31</v>
      </c>
      <c r="AF16486" s="831" t="s">
        <v>10377</v>
      </c>
      <c r="AG16486" s="831" t="s">
        <v>2674</v>
      </c>
      <c r="AH16486" s="831" t="s">
        <v>182</v>
      </c>
      <c r="AI16486" s="831">
        <v>0</v>
      </c>
      <c r="AJ16486" s="835">
        <v>41060</v>
      </c>
      <c r="AK16486" s="831">
        <v>50472969.600000001</v>
      </c>
    </row>
    <row r="16487" spans="2:37">
      <c r="B16487" s="834" t="str">
        <f t="shared" si="595"/>
        <v>|||</v>
      </c>
      <c r="H16487" s="835">
        <f t="shared" si="596"/>
        <v>31</v>
      </c>
      <c r="AF16487" s="831" t="s">
        <v>10378</v>
      </c>
      <c r="AG16487" s="831" t="s">
        <v>2674</v>
      </c>
      <c r="AH16487" s="831" t="s">
        <v>6600</v>
      </c>
      <c r="AI16487" s="831">
        <v>0</v>
      </c>
      <c r="AJ16487" s="835">
        <v>41060</v>
      </c>
      <c r="AK16487" s="831">
        <v>-2146826246</v>
      </c>
    </row>
    <row r="16488" spans="2:37">
      <c r="B16488" s="834" t="str">
        <f t="shared" si="595"/>
        <v>|||</v>
      </c>
      <c r="H16488" s="835">
        <f t="shared" si="596"/>
        <v>31</v>
      </c>
      <c r="AF16488" s="831" t="s">
        <v>10379</v>
      </c>
      <c r="AG16488" s="831" t="s">
        <v>2674</v>
      </c>
      <c r="AH16488" s="831" t="s">
        <v>6602</v>
      </c>
      <c r="AI16488" s="831">
        <v>0</v>
      </c>
      <c r="AJ16488" s="835">
        <v>41060</v>
      </c>
      <c r="AK16488" s="831">
        <v>5197337</v>
      </c>
    </row>
    <row r="16489" spans="2:37">
      <c r="B16489" s="834" t="str">
        <f t="shared" si="595"/>
        <v>|||</v>
      </c>
      <c r="H16489" s="835">
        <f t="shared" si="596"/>
        <v>31</v>
      </c>
      <c r="AF16489" s="831" t="s">
        <v>10380</v>
      </c>
      <c r="AG16489" s="831" t="s">
        <v>2674</v>
      </c>
      <c r="AH16489" s="831" t="s">
        <v>650</v>
      </c>
      <c r="AI16489" s="831">
        <v>0</v>
      </c>
      <c r="AJ16489" s="835">
        <v>41060</v>
      </c>
      <c r="AK16489" s="831">
        <v>0</v>
      </c>
    </row>
    <row r="16490" spans="2:37">
      <c r="B16490" s="834" t="str">
        <f t="shared" si="595"/>
        <v>|||</v>
      </c>
      <c r="H16490" s="835">
        <f t="shared" si="596"/>
        <v>31</v>
      </c>
      <c r="AF16490" s="831" t="s">
        <v>10381</v>
      </c>
      <c r="AG16490" s="831" t="s">
        <v>2674</v>
      </c>
      <c r="AH16490" s="831" t="s">
        <v>655</v>
      </c>
      <c r="AI16490" s="831">
        <v>0</v>
      </c>
      <c r="AJ16490" s="835">
        <v>41060</v>
      </c>
      <c r="AK16490" s="831">
        <v>2125799</v>
      </c>
    </row>
    <row r="16491" spans="2:37">
      <c r="B16491" s="834" t="str">
        <f t="shared" si="595"/>
        <v>|||</v>
      </c>
      <c r="H16491" s="835">
        <f t="shared" si="596"/>
        <v>31</v>
      </c>
      <c r="AF16491" s="831" t="s">
        <v>10382</v>
      </c>
      <c r="AG16491" s="831" t="s">
        <v>2674</v>
      </c>
      <c r="AH16491" s="831" t="s">
        <v>546</v>
      </c>
      <c r="AI16491" s="831">
        <v>0</v>
      </c>
      <c r="AJ16491" s="835">
        <v>41090</v>
      </c>
      <c r="AK16491" s="831">
        <v>342628450</v>
      </c>
    </row>
    <row r="16492" spans="2:37">
      <c r="B16492" s="834" t="str">
        <f t="shared" si="595"/>
        <v>|||</v>
      </c>
      <c r="H16492" s="835">
        <f t="shared" si="596"/>
        <v>31</v>
      </c>
      <c r="AF16492" s="831" t="s">
        <v>10383</v>
      </c>
      <c r="AG16492" s="831" t="s">
        <v>2674</v>
      </c>
      <c r="AH16492" s="831" t="s">
        <v>370</v>
      </c>
      <c r="AI16492" s="831">
        <v>0</v>
      </c>
      <c r="AJ16492" s="835">
        <v>41090</v>
      </c>
      <c r="AK16492" s="831">
        <v>422295379</v>
      </c>
    </row>
    <row r="16493" spans="2:37">
      <c r="B16493" s="834" t="str">
        <f t="shared" si="595"/>
        <v>|||</v>
      </c>
      <c r="H16493" s="835">
        <f t="shared" si="596"/>
        <v>31</v>
      </c>
      <c r="AF16493" s="831" t="s">
        <v>10384</v>
      </c>
      <c r="AG16493" s="831" t="s">
        <v>2674</v>
      </c>
      <c r="AH16493" s="831" t="s">
        <v>126</v>
      </c>
      <c r="AI16493" s="831">
        <v>0</v>
      </c>
      <c r="AJ16493" s="835">
        <v>41090</v>
      </c>
      <c r="AK16493" s="831">
        <v>91675016</v>
      </c>
    </row>
    <row r="16494" spans="2:37">
      <c r="B16494" s="834" t="str">
        <f t="shared" si="595"/>
        <v>|||</v>
      </c>
      <c r="H16494" s="835">
        <f t="shared" si="596"/>
        <v>31</v>
      </c>
      <c r="AF16494" s="831" t="s">
        <v>10385</v>
      </c>
      <c r="AG16494" s="831" t="s">
        <v>2674</v>
      </c>
      <c r="AH16494" s="831" t="s">
        <v>268</v>
      </c>
      <c r="AI16494" s="831">
        <v>0</v>
      </c>
      <c r="AJ16494" s="835">
        <v>41090</v>
      </c>
      <c r="AK16494" s="831">
        <v>6352093</v>
      </c>
    </row>
    <row r="16495" spans="2:37">
      <c r="B16495" s="834" t="str">
        <f t="shared" si="595"/>
        <v>|||</v>
      </c>
      <c r="H16495" s="835">
        <f t="shared" si="596"/>
        <v>31</v>
      </c>
      <c r="AF16495" s="831" t="s">
        <v>10386</v>
      </c>
      <c r="AG16495" s="831" t="s">
        <v>2674</v>
      </c>
      <c r="AH16495" s="831" t="s">
        <v>547</v>
      </c>
      <c r="AI16495" s="831">
        <v>0</v>
      </c>
      <c r="AJ16495" s="835">
        <v>41090</v>
      </c>
      <c r="AK16495" s="831">
        <v>0</v>
      </c>
    </row>
    <row r="16496" spans="2:37">
      <c r="B16496" s="834" t="str">
        <f t="shared" si="595"/>
        <v>|||</v>
      </c>
      <c r="H16496" s="835">
        <f t="shared" si="596"/>
        <v>31</v>
      </c>
      <c r="AF16496" s="831" t="s">
        <v>10387</v>
      </c>
      <c r="AG16496" s="831" t="s">
        <v>2674</v>
      </c>
      <c r="AH16496" s="831" t="s">
        <v>548</v>
      </c>
      <c r="AI16496" s="831">
        <v>0</v>
      </c>
      <c r="AJ16496" s="835">
        <v>41090</v>
      </c>
      <c r="AK16496" s="831">
        <v>0</v>
      </c>
    </row>
    <row r="16497" spans="2:37">
      <c r="B16497" s="834" t="str">
        <f t="shared" si="595"/>
        <v>|||</v>
      </c>
      <c r="H16497" s="835">
        <f t="shared" si="596"/>
        <v>31</v>
      </c>
      <c r="AF16497" s="831" t="s">
        <v>10388</v>
      </c>
      <c r="AG16497" s="831" t="s">
        <v>2674</v>
      </c>
      <c r="AH16497" s="831" t="s">
        <v>549</v>
      </c>
      <c r="AI16497" s="831">
        <v>0</v>
      </c>
      <c r="AJ16497" s="835">
        <v>41090</v>
      </c>
      <c r="AK16497" s="831">
        <v>0</v>
      </c>
    </row>
    <row r="16498" spans="2:37">
      <c r="B16498" s="834" t="str">
        <f t="shared" si="595"/>
        <v>|||</v>
      </c>
      <c r="H16498" s="835">
        <f t="shared" si="596"/>
        <v>31</v>
      </c>
      <c r="AF16498" s="831" t="s">
        <v>10389</v>
      </c>
      <c r="AG16498" s="831" t="s">
        <v>2674</v>
      </c>
      <c r="AH16498" s="831" t="s">
        <v>192</v>
      </c>
      <c r="AI16498" s="831">
        <v>0</v>
      </c>
      <c r="AJ16498" s="835">
        <v>41090</v>
      </c>
      <c r="AK16498" s="831">
        <v>-9357224</v>
      </c>
    </row>
    <row r="16499" spans="2:37">
      <c r="B16499" s="834" t="str">
        <f t="shared" si="595"/>
        <v>|||</v>
      </c>
      <c r="H16499" s="835">
        <f t="shared" si="596"/>
        <v>31</v>
      </c>
      <c r="AF16499" s="831" t="s">
        <v>10390</v>
      </c>
      <c r="AG16499" s="831" t="s">
        <v>2674</v>
      </c>
      <c r="AH16499" s="831" t="s">
        <v>558</v>
      </c>
      <c r="AI16499" s="831">
        <v>0</v>
      </c>
      <c r="AJ16499" s="835">
        <v>41090</v>
      </c>
      <c r="AK16499" s="831">
        <v>330620363</v>
      </c>
    </row>
    <row r="16500" spans="2:37">
      <c r="B16500" s="834" t="str">
        <f t="shared" si="595"/>
        <v>|||</v>
      </c>
      <c r="H16500" s="835">
        <f t="shared" si="596"/>
        <v>31</v>
      </c>
      <c r="AF16500" s="831" t="s">
        <v>10391</v>
      </c>
      <c r="AG16500" s="831" t="s">
        <v>2674</v>
      </c>
      <c r="AH16500" s="831" t="s">
        <v>65</v>
      </c>
      <c r="AI16500" s="831">
        <v>0</v>
      </c>
      <c r="AJ16500" s="835">
        <v>41090</v>
      </c>
      <c r="AK16500" s="831">
        <v>46070355</v>
      </c>
    </row>
    <row r="16501" spans="2:37">
      <c r="B16501" s="834" t="str">
        <f t="shared" si="595"/>
        <v>|||</v>
      </c>
      <c r="H16501" s="835">
        <f t="shared" si="596"/>
        <v>31</v>
      </c>
      <c r="AF16501" s="831" t="s">
        <v>10392</v>
      </c>
      <c r="AG16501" s="831" t="s">
        <v>2674</v>
      </c>
      <c r="AH16501" s="831" t="s">
        <v>89</v>
      </c>
      <c r="AI16501" s="831">
        <v>0</v>
      </c>
      <c r="AJ16501" s="835">
        <v>41090</v>
      </c>
      <c r="AK16501" s="831">
        <v>122094</v>
      </c>
    </row>
    <row r="16502" spans="2:37">
      <c r="B16502" s="834" t="str">
        <f t="shared" si="595"/>
        <v>|||</v>
      </c>
      <c r="H16502" s="835">
        <f t="shared" si="596"/>
        <v>31</v>
      </c>
      <c r="AF16502" s="831" t="s">
        <v>10393</v>
      </c>
      <c r="AG16502" s="831" t="s">
        <v>2674</v>
      </c>
      <c r="AH16502" s="831" t="s">
        <v>557</v>
      </c>
      <c r="AI16502" s="831">
        <v>0</v>
      </c>
      <c r="AJ16502" s="835">
        <v>41090</v>
      </c>
      <c r="AK16502" s="831">
        <v>123933</v>
      </c>
    </row>
    <row r="16503" spans="2:37">
      <c r="B16503" s="834" t="str">
        <f t="shared" si="595"/>
        <v>|||</v>
      </c>
      <c r="H16503" s="835">
        <f t="shared" si="596"/>
        <v>31</v>
      </c>
      <c r="AF16503" s="831" t="s">
        <v>10394</v>
      </c>
      <c r="AG16503" s="831" t="s">
        <v>2674</v>
      </c>
      <c r="AH16503" s="831" t="s">
        <v>29</v>
      </c>
      <c r="AI16503" s="831">
        <v>0</v>
      </c>
      <c r="AJ16503" s="835">
        <v>41090</v>
      </c>
      <c r="AK16503" s="831">
        <v>2579950</v>
      </c>
    </row>
    <row r="16504" spans="2:37">
      <c r="B16504" s="834" t="str">
        <f t="shared" si="595"/>
        <v>|||</v>
      </c>
      <c r="H16504" s="835">
        <f t="shared" si="596"/>
        <v>31</v>
      </c>
      <c r="AF16504" s="831" t="s">
        <v>10395</v>
      </c>
      <c r="AG16504" s="831" t="s">
        <v>2674</v>
      </c>
      <c r="AH16504" s="831" t="s">
        <v>2688</v>
      </c>
      <c r="AI16504" s="831">
        <v>0</v>
      </c>
      <c r="AJ16504" s="835">
        <v>41090</v>
      </c>
      <c r="AK16504" s="831">
        <v>2983420</v>
      </c>
    </row>
    <row r="16505" spans="2:37">
      <c r="B16505" s="834" t="str">
        <f t="shared" si="595"/>
        <v>|||</v>
      </c>
      <c r="H16505" s="835">
        <f t="shared" si="596"/>
        <v>31</v>
      </c>
      <c r="AF16505" s="831" t="s">
        <v>10396</v>
      </c>
      <c r="AG16505" s="831" t="s">
        <v>2674</v>
      </c>
      <c r="AH16505" s="831" t="s">
        <v>556</v>
      </c>
      <c r="AI16505" s="831">
        <v>0</v>
      </c>
      <c r="AJ16505" s="835">
        <v>41090</v>
      </c>
      <c r="AK16505" s="831">
        <v>0</v>
      </c>
    </row>
    <row r="16506" spans="2:37">
      <c r="B16506" s="834" t="str">
        <f t="shared" si="595"/>
        <v>|||</v>
      </c>
      <c r="H16506" s="835">
        <f t="shared" si="596"/>
        <v>31</v>
      </c>
      <c r="AF16506" s="831" t="s">
        <v>10397</v>
      </c>
      <c r="AG16506" s="831" t="s">
        <v>2674</v>
      </c>
      <c r="AH16506" s="831" t="s">
        <v>555</v>
      </c>
      <c r="AI16506" s="831">
        <v>0</v>
      </c>
      <c r="AJ16506" s="835">
        <v>41090</v>
      </c>
      <c r="AK16506" s="831">
        <v>197249400</v>
      </c>
    </row>
    <row r="16507" spans="2:37">
      <c r="B16507" s="834" t="str">
        <f t="shared" si="595"/>
        <v>|||</v>
      </c>
      <c r="H16507" s="835">
        <f t="shared" si="596"/>
        <v>31</v>
      </c>
      <c r="AF16507" s="831" t="s">
        <v>10398</v>
      </c>
      <c r="AG16507" s="831" t="s">
        <v>2674</v>
      </c>
      <c r="AH16507" s="831" t="s">
        <v>554</v>
      </c>
      <c r="AI16507" s="831">
        <v>0</v>
      </c>
      <c r="AJ16507" s="835">
        <v>41090</v>
      </c>
      <c r="AK16507" s="831">
        <v>196927620</v>
      </c>
    </row>
    <row r="16508" spans="2:37">
      <c r="B16508" s="834" t="str">
        <f t="shared" si="595"/>
        <v>|||</v>
      </c>
      <c r="H16508" s="835">
        <f t="shared" si="596"/>
        <v>31</v>
      </c>
      <c r="AF16508" s="831" t="s">
        <v>10399</v>
      </c>
      <c r="AG16508" s="831" t="s">
        <v>2674</v>
      </c>
      <c r="AH16508" s="831" t="s">
        <v>553</v>
      </c>
      <c r="AI16508" s="831">
        <v>0</v>
      </c>
      <c r="AJ16508" s="835">
        <v>41090</v>
      </c>
      <c r="AK16508" s="831">
        <v>0</v>
      </c>
    </row>
    <row r="16509" spans="2:37">
      <c r="B16509" s="834" t="str">
        <f t="shared" si="595"/>
        <v>|||</v>
      </c>
      <c r="H16509" s="835">
        <f t="shared" si="596"/>
        <v>31</v>
      </c>
      <c r="AF16509" s="831" t="s">
        <v>10400</v>
      </c>
      <c r="AG16509" s="831" t="s">
        <v>2674</v>
      </c>
      <c r="AH16509" s="831" t="s">
        <v>552</v>
      </c>
      <c r="AI16509" s="831">
        <v>0</v>
      </c>
      <c r="AJ16509" s="835">
        <v>41090</v>
      </c>
      <c r="AK16509" s="831">
        <v>0</v>
      </c>
    </row>
    <row r="16510" spans="2:37">
      <c r="B16510" s="834" t="str">
        <f t="shared" si="595"/>
        <v>|||</v>
      </c>
      <c r="H16510" s="835">
        <f t="shared" si="596"/>
        <v>31</v>
      </c>
      <c r="AF16510" s="831" t="s">
        <v>10401</v>
      </c>
      <c r="AG16510" s="831" t="s">
        <v>2674</v>
      </c>
      <c r="AH16510" s="831" t="s">
        <v>551</v>
      </c>
      <c r="AI16510" s="831">
        <v>0</v>
      </c>
      <c r="AJ16510" s="835">
        <v>41090</v>
      </c>
      <c r="AK16510" s="831">
        <v>2420279</v>
      </c>
    </row>
    <row r="16511" spans="2:37">
      <c r="B16511" s="834" t="str">
        <f t="shared" si="595"/>
        <v>|||</v>
      </c>
      <c r="H16511" s="835">
        <f t="shared" si="596"/>
        <v>31</v>
      </c>
      <c r="AF16511" s="831" t="s">
        <v>10402</v>
      </c>
      <c r="AG16511" s="831" t="s">
        <v>2674</v>
      </c>
      <c r="AH16511" s="831" t="s">
        <v>550</v>
      </c>
      <c r="AI16511" s="831">
        <v>0</v>
      </c>
      <c r="AJ16511" s="835">
        <v>41090</v>
      </c>
      <c r="AK16511" s="831">
        <v>90520261</v>
      </c>
    </row>
    <row r="16512" spans="2:37">
      <c r="B16512" s="834" t="str">
        <f t="shared" si="595"/>
        <v>|||</v>
      </c>
      <c r="H16512" s="835">
        <f t="shared" si="596"/>
        <v>31</v>
      </c>
      <c r="AF16512" s="831" t="s">
        <v>10403</v>
      </c>
      <c r="AG16512" s="831" t="s">
        <v>2674</v>
      </c>
      <c r="AH16512" s="831" t="s">
        <v>562</v>
      </c>
      <c r="AI16512" s="831">
        <v>0</v>
      </c>
      <c r="AJ16512" s="835">
        <v>41090</v>
      </c>
      <c r="AK16512" s="831">
        <v>0.78505000000000003</v>
      </c>
    </row>
    <row r="16513" spans="2:37">
      <c r="B16513" s="834" t="str">
        <f t="shared" si="595"/>
        <v>|||</v>
      </c>
      <c r="H16513" s="835">
        <f t="shared" si="596"/>
        <v>31</v>
      </c>
      <c r="AF16513" s="831" t="s">
        <v>10404</v>
      </c>
      <c r="AG16513" s="831" t="s">
        <v>2674</v>
      </c>
      <c r="AH16513" s="831" t="s">
        <v>2698</v>
      </c>
      <c r="AI16513" s="831">
        <v>0</v>
      </c>
      <c r="AJ16513" s="835">
        <v>41090</v>
      </c>
      <c r="AK16513" s="831">
        <v>0.78515000000000001</v>
      </c>
    </row>
    <row r="16514" spans="2:37">
      <c r="B16514" s="834" t="str">
        <f t="shared" si="595"/>
        <v>|||</v>
      </c>
      <c r="H16514" s="835">
        <f t="shared" si="596"/>
        <v>31</v>
      </c>
      <c r="AF16514" s="831" t="s">
        <v>10405</v>
      </c>
      <c r="AG16514" s="831" t="s">
        <v>2674</v>
      </c>
      <c r="AH16514" s="831" t="s">
        <v>560</v>
      </c>
      <c r="AI16514" s="831">
        <v>0</v>
      </c>
      <c r="AJ16514" s="835">
        <v>41090</v>
      </c>
      <c r="AK16514" s="831">
        <v>0.78567500000000001</v>
      </c>
    </row>
    <row r="16515" spans="2:37">
      <c r="B16515" s="834" t="str">
        <f t="shared" si="595"/>
        <v>|||</v>
      </c>
      <c r="H16515" s="835">
        <f t="shared" si="596"/>
        <v>31</v>
      </c>
      <c r="AF16515" s="831" t="s">
        <v>10406</v>
      </c>
      <c r="AG16515" s="831" t="s">
        <v>2674</v>
      </c>
      <c r="AH16515" s="831" t="s">
        <v>559</v>
      </c>
      <c r="AI16515" s="831">
        <v>0</v>
      </c>
      <c r="AJ16515" s="835">
        <v>41090</v>
      </c>
      <c r="AK16515" s="831">
        <v>0.78561666666666674</v>
      </c>
    </row>
    <row r="16516" spans="2:37">
      <c r="B16516" s="834" t="str">
        <f t="shared" si="595"/>
        <v>|||</v>
      </c>
      <c r="H16516" s="835">
        <f t="shared" si="596"/>
        <v>31</v>
      </c>
      <c r="AF16516" s="831" t="s">
        <v>10407</v>
      </c>
      <c r="AG16516" s="831" t="s">
        <v>2674</v>
      </c>
      <c r="AH16516" s="831" t="s">
        <v>568</v>
      </c>
      <c r="AI16516" s="831">
        <v>0</v>
      </c>
      <c r="AJ16516" s="835">
        <v>41090</v>
      </c>
      <c r="AK16516" s="831">
        <v>0</v>
      </c>
    </row>
    <row r="16517" spans="2:37">
      <c r="B16517" s="834" t="str">
        <f t="shared" si="595"/>
        <v>|||</v>
      </c>
      <c r="H16517" s="835">
        <f t="shared" si="596"/>
        <v>31</v>
      </c>
      <c r="AF16517" s="831" t="s">
        <v>10408</v>
      </c>
      <c r="AG16517" s="831" t="s">
        <v>2674</v>
      </c>
      <c r="AH16517" s="831" t="s">
        <v>569</v>
      </c>
      <c r="AI16517" s="831">
        <v>0</v>
      </c>
      <c r="AJ16517" s="835">
        <v>41090</v>
      </c>
      <c r="AK16517" s="831">
        <v>0</v>
      </c>
    </row>
    <row r="16518" spans="2:37">
      <c r="B16518" s="834" t="str">
        <f t="shared" si="595"/>
        <v>|||</v>
      </c>
      <c r="H16518" s="835">
        <f t="shared" si="596"/>
        <v>31</v>
      </c>
      <c r="AF16518" s="831" t="s">
        <v>10409</v>
      </c>
      <c r="AG16518" s="831" t="s">
        <v>2674</v>
      </c>
      <c r="AH16518" s="831" t="s">
        <v>570</v>
      </c>
      <c r="AI16518" s="831">
        <v>0</v>
      </c>
      <c r="AJ16518" s="835">
        <v>41090</v>
      </c>
      <c r="AK16518" s="831">
        <v>0</v>
      </c>
    </row>
    <row r="16519" spans="2:37">
      <c r="B16519" s="834" t="str">
        <f t="shared" si="595"/>
        <v>|||</v>
      </c>
      <c r="H16519" s="835">
        <f t="shared" si="596"/>
        <v>31</v>
      </c>
      <c r="AF16519" s="831" t="s">
        <v>10410</v>
      </c>
      <c r="AG16519" s="831" t="s">
        <v>2674</v>
      </c>
      <c r="AH16519" s="831" t="s">
        <v>571</v>
      </c>
      <c r="AI16519" s="831">
        <v>0</v>
      </c>
      <c r="AJ16519" s="835">
        <v>41090</v>
      </c>
      <c r="AK16519" s="831">
        <v>0</v>
      </c>
    </row>
    <row r="16520" spans="2:37">
      <c r="B16520" s="834" t="str">
        <f t="shared" si="595"/>
        <v>|||</v>
      </c>
      <c r="H16520" s="835">
        <f t="shared" si="596"/>
        <v>31</v>
      </c>
      <c r="AF16520" s="831" t="s">
        <v>10411</v>
      </c>
      <c r="AG16520" s="831" t="s">
        <v>2674</v>
      </c>
      <c r="AH16520" s="831" t="s">
        <v>573</v>
      </c>
      <c r="AI16520" s="831">
        <v>0</v>
      </c>
      <c r="AJ16520" s="835">
        <v>41090</v>
      </c>
      <c r="AK16520" s="831">
        <v>0</v>
      </c>
    </row>
    <row r="16521" spans="2:37">
      <c r="B16521" s="834" t="str">
        <f t="shared" si="595"/>
        <v>|||</v>
      </c>
      <c r="H16521" s="835">
        <f t="shared" si="596"/>
        <v>31</v>
      </c>
      <c r="AF16521" s="831" t="s">
        <v>10412</v>
      </c>
      <c r="AG16521" s="831" t="s">
        <v>2674</v>
      </c>
      <c r="AH16521" s="831" t="s">
        <v>574</v>
      </c>
      <c r="AI16521" s="831">
        <v>0</v>
      </c>
      <c r="AJ16521" s="835">
        <v>41090</v>
      </c>
      <c r="AK16521" s="831">
        <v>0</v>
      </c>
    </row>
    <row r="16522" spans="2:37">
      <c r="B16522" s="834" t="str">
        <f t="shared" si="595"/>
        <v>|||</v>
      </c>
      <c r="H16522" s="835">
        <f t="shared" si="596"/>
        <v>31</v>
      </c>
      <c r="AF16522" s="831" t="s">
        <v>10413</v>
      </c>
      <c r="AG16522" s="831" t="s">
        <v>2674</v>
      </c>
      <c r="AH16522" s="831" t="s">
        <v>575</v>
      </c>
      <c r="AI16522" s="831">
        <v>0</v>
      </c>
      <c r="AJ16522" s="835">
        <v>41090</v>
      </c>
      <c r="AK16522" s="831">
        <v>0</v>
      </c>
    </row>
    <row r="16523" spans="2:37">
      <c r="B16523" s="834" t="str">
        <f t="shared" si="595"/>
        <v>|||</v>
      </c>
      <c r="H16523" s="835">
        <f t="shared" si="596"/>
        <v>31</v>
      </c>
      <c r="AF16523" s="831" t="s">
        <v>10414</v>
      </c>
      <c r="AG16523" s="831" t="s">
        <v>2674</v>
      </c>
      <c r="AH16523" s="831" t="s">
        <v>576</v>
      </c>
      <c r="AI16523" s="831">
        <v>0</v>
      </c>
      <c r="AJ16523" s="835">
        <v>41090</v>
      </c>
      <c r="AK16523" s="831">
        <v>0</v>
      </c>
    </row>
    <row r="16524" spans="2:37">
      <c r="B16524" s="834" t="str">
        <f t="shared" si="595"/>
        <v>|||</v>
      </c>
      <c r="H16524" s="835">
        <f t="shared" si="596"/>
        <v>31</v>
      </c>
      <c r="AF16524" s="831" t="s">
        <v>10415</v>
      </c>
      <c r="AG16524" s="831" t="s">
        <v>2674</v>
      </c>
      <c r="AH16524" s="831" t="s">
        <v>572</v>
      </c>
      <c r="AI16524" s="831">
        <v>0</v>
      </c>
      <c r="AJ16524" s="835">
        <v>41090</v>
      </c>
      <c r="AK16524" s="831">
        <v>-2146826246</v>
      </c>
    </row>
    <row r="16525" spans="2:37">
      <c r="B16525" s="834" t="str">
        <f t="shared" si="595"/>
        <v>|||</v>
      </c>
      <c r="H16525" s="835">
        <f t="shared" si="596"/>
        <v>31</v>
      </c>
      <c r="AF16525" s="831" t="s">
        <v>10416</v>
      </c>
      <c r="AG16525" s="831" t="s">
        <v>2674</v>
      </c>
      <c r="AH16525" s="831" t="s">
        <v>577</v>
      </c>
      <c r="AI16525" s="831">
        <v>0</v>
      </c>
      <c r="AJ16525" s="835">
        <v>41090</v>
      </c>
      <c r="AK16525" s="831">
        <v>-2146826246</v>
      </c>
    </row>
    <row r="16526" spans="2:37">
      <c r="B16526" s="834" t="str">
        <f t="shared" si="595"/>
        <v>|||</v>
      </c>
      <c r="H16526" s="835">
        <f t="shared" si="596"/>
        <v>31</v>
      </c>
      <c r="AF16526" s="831" t="s">
        <v>10417</v>
      </c>
      <c r="AG16526" s="831" t="s">
        <v>2674</v>
      </c>
      <c r="AH16526" s="831" t="s">
        <v>3042</v>
      </c>
      <c r="AI16526" s="831">
        <v>0</v>
      </c>
      <c r="AJ16526" s="835">
        <v>41090</v>
      </c>
      <c r="AK16526" s="831">
        <v>-2146826246</v>
      </c>
    </row>
    <row r="16527" spans="2:37">
      <c r="B16527" s="834" t="str">
        <f t="shared" si="595"/>
        <v>|||</v>
      </c>
      <c r="H16527" s="835">
        <f t="shared" si="596"/>
        <v>31</v>
      </c>
      <c r="AF16527" s="831" t="s">
        <v>10418</v>
      </c>
      <c r="AG16527" s="831" t="s">
        <v>2674</v>
      </c>
      <c r="AH16527" s="831" t="s">
        <v>3044</v>
      </c>
      <c r="AI16527" s="831">
        <v>0</v>
      </c>
      <c r="AJ16527" s="835">
        <v>41090</v>
      </c>
      <c r="AK16527" s="831">
        <v>-2146826246</v>
      </c>
    </row>
    <row r="16528" spans="2:37">
      <c r="B16528" s="834" t="str">
        <f t="shared" si="595"/>
        <v>|||</v>
      </c>
      <c r="H16528" s="835">
        <f t="shared" si="596"/>
        <v>31</v>
      </c>
      <c r="AF16528" s="831" t="s">
        <v>10419</v>
      </c>
      <c r="AG16528" s="831" t="s">
        <v>2674</v>
      </c>
      <c r="AH16528" s="831" t="s">
        <v>580</v>
      </c>
      <c r="AI16528" s="831">
        <v>0</v>
      </c>
      <c r="AJ16528" s="835">
        <v>41090</v>
      </c>
      <c r="AK16528" s="831">
        <v>-2146826246</v>
      </c>
    </row>
    <row r="16529" spans="2:37">
      <c r="B16529" s="834" t="str">
        <f t="shared" ref="B16529:B16592" si="597">C16529&amp;"|"&amp;D16529&amp;"|"&amp;E16529&amp;"|"&amp;F16529</f>
        <v>|||</v>
      </c>
      <c r="H16529" s="835">
        <f t="shared" ref="H16529:H16592" si="598">EOMONTH(L16529,0)</f>
        <v>31</v>
      </c>
      <c r="AF16529" s="831" t="s">
        <v>10420</v>
      </c>
      <c r="AG16529" s="831" t="s">
        <v>2674</v>
      </c>
      <c r="AH16529" s="831" t="s">
        <v>581</v>
      </c>
      <c r="AI16529" s="831">
        <v>0</v>
      </c>
      <c r="AJ16529" s="835">
        <v>41090</v>
      </c>
      <c r="AK16529" s="831">
        <v>-2146826246</v>
      </c>
    </row>
    <row r="16530" spans="2:37">
      <c r="B16530" s="834" t="str">
        <f t="shared" si="597"/>
        <v>|||</v>
      </c>
      <c r="H16530" s="835">
        <f t="shared" si="598"/>
        <v>31</v>
      </c>
      <c r="AF16530" s="831" t="s">
        <v>10421</v>
      </c>
      <c r="AG16530" s="831" t="s">
        <v>2674</v>
      </c>
      <c r="AH16530" s="831" t="s">
        <v>105</v>
      </c>
      <c r="AI16530" s="831">
        <v>0</v>
      </c>
      <c r="AJ16530" s="835">
        <v>41090</v>
      </c>
      <c r="AK16530" s="831">
        <v>152917631</v>
      </c>
    </row>
    <row r="16531" spans="2:37">
      <c r="B16531" s="834" t="str">
        <f t="shared" si="597"/>
        <v>|||</v>
      </c>
      <c r="H16531" s="835">
        <f t="shared" si="598"/>
        <v>31</v>
      </c>
      <c r="AF16531" s="831" t="s">
        <v>10422</v>
      </c>
      <c r="AG16531" s="831" t="s">
        <v>2674</v>
      </c>
      <c r="AH16531" s="831" t="s">
        <v>3049</v>
      </c>
      <c r="AI16531" s="831">
        <v>0</v>
      </c>
      <c r="AJ16531" s="835">
        <v>41090</v>
      </c>
      <c r="AK16531" s="831">
        <v>317640148</v>
      </c>
    </row>
    <row r="16532" spans="2:37">
      <c r="B16532" s="834" t="str">
        <f t="shared" si="597"/>
        <v>|||</v>
      </c>
      <c r="H16532" s="835">
        <f t="shared" si="598"/>
        <v>31</v>
      </c>
      <c r="AF16532" s="831" t="s">
        <v>10423</v>
      </c>
      <c r="AG16532" s="831" t="s">
        <v>2674</v>
      </c>
      <c r="AH16532" s="831" t="s">
        <v>103</v>
      </c>
      <c r="AI16532" s="831">
        <v>0</v>
      </c>
      <c r="AJ16532" s="835">
        <v>41090</v>
      </c>
      <c r="AK16532" s="831">
        <v>164722517</v>
      </c>
    </row>
    <row r="16533" spans="2:37">
      <c r="B16533" s="834" t="str">
        <f t="shared" si="597"/>
        <v>|||</v>
      </c>
      <c r="H16533" s="835">
        <f t="shared" si="598"/>
        <v>31</v>
      </c>
      <c r="AF16533" s="831" t="s">
        <v>10424</v>
      </c>
      <c r="AG16533" s="831" t="s">
        <v>2674</v>
      </c>
      <c r="AH16533" s="831" t="s">
        <v>182</v>
      </c>
      <c r="AI16533" s="831">
        <v>0</v>
      </c>
      <c r="AJ16533" s="835">
        <v>41090</v>
      </c>
      <c r="AK16533" s="831">
        <v>51276754</v>
      </c>
    </row>
    <row r="16534" spans="2:37">
      <c r="B16534" s="834" t="str">
        <f t="shared" si="597"/>
        <v>|||</v>
      </c>
      <c r="H16534" s="835">
        <f t="shared" si="598"/>
        <v>31</v>
      </c>
      <c r="AF16534" s="831" t="s">
        <v>10425</v>
      </c>
      <c r="AG16534" s="831" t="s">
        <v>2674</v>
      </c>
      <c r="AH16534" s="831" t="s">
        <v>6600</v>
      </c>
      <c r="AI16534" s="831">
        <v>0</v>
      </c>
      <c r="AJ16534" s="835">
        <v>41090</v>
      </c>
      <c r="AK16534" s="831">
        <v>-2146826246</v>
      </c>
    </row>
    <row r="16535" spans="2:37">
      <c r="B16535" s="834" t="str">
        <f t="shared" si="597"/>
        <v>|||</v>
      </c>
      <c r="H16535" s="835">
        <f t="shared" si="598"/>
        <v>31</v>
      </c>
      <c r="AF16535" s="831" t="s">
        <v>10426</v>
      </c>
      <c r="AG16535" s="831" t="s">
        <v>2674</v>
      </c>
      <c r="AH16535" s="831" t="s">
        <v>6602</v>
      </c>
      <c r="AI16535" s="831">
        <v>0</v>
      </c>
      <c r="AJ16535" s="835">
        <v>41090</v>
      </c>
      <c r="AK16535" s="831">
        <v>6352093</v>
      </c>
    </row>
    <row r="16536" spans="2:37">
      <c r="B16536" s="834" t="str">
        <f t="shared" si="597"/>
        <v>|||</v>
      </c>
      <c r="H16536" s="835">
        <f t="shared" si="598"/>
        <v>31</v>
      </c>
      <c r="AF16536" s="831" t="s">
        <v>10427</v>
      </c>
      <c r="AG16536" s="831" t="s">
        <v>2674</v>
      </c>
      <c r="AH16536" s="831" t="s">
        <v>650</v>
      </c>
      <c r="AI16536" s="831">
        <v>0</v>
      </c>
      <c r="AJ16536" s="835">
        <v>41090</v>
      </c>
      <c r="AK16536" s="831">
        <v>0</v>
      </c>
    </row>
    <row r="16537" spans="2:37">
      <c r="B16537" s="834" t="str">
        <f t="shared" si="597"/>
        <v>|||</v>
      </c>
      <c r="H16537" s="835">
        <f t="shared" si="598"/>
        <v>31</v>
      </c>
      <c r="AF16537" s="831" t="s">
        <v>10428</v>
      </c>
      <c r="AG16537" s="831" t="s">
        <v>2674</v>
      </c>
      <c r="AH16537" s="831" t="s">
        <v>655</v>
      </c>
      <c r="AI16537" s="831">
        <v>0</v>
      </c>
      <c r="AJ16537" s="835">
        <v>41090</v>
      </c>
      <c r="AK16537" s="831">
        <v>2251978</v>
      </c>
    </row>
    <row r="16538" spans="2:37">
      <c r="B16538" s="834" t="str">
        <f t="shared" si="597"/>
        <v>|||</v>
      </c>
      <c r="H16538" s="835">
        <f t="shared" si="598"/>
        <v>31</v>
      </c>
      <c r="AF16538" s="831" t="s">
        <v>10429</v>
      </c>
      <c r="AG16538" s="831" t="s">
        <v>2674</v>
      </c>
      <c r="AH16538" s="831" t="s">
        <v>546</v>
      </c>
      <c r="AI16538" s="831">
        <v>0</v>
      </c>
      <c r="AJ16538" s="835">
        <v>41121</v>
      </c>
      <c r="AK16538" s="831">
        <v>350104350</v>
      </c>
    </row>
    <row r="16539" spans="2:37">
      <c r="B16539" s="834" t="str">
        <f t="shared" si="597"/>
        <v>|||</v>
      </c>
      <c r="H16539" s="835">
        <f t="shared" si="598"/>
        <v>31</v>
      </c>
      <c r="AF16539" s="831" t="s">
        <v>10430</v>
      </c>
      <c r="AG16539" s="831" t="s">
        <v>2674</v>
      </c>
      <c r="AH16539" s="831" t="s">
        <v>370</v>
      </c>
      <c r="AI16539" s="831">
        <v>0</v>
      </c>
      <c r="AJ16539" s="835">
        <v>41121</v>
      </c>
      <c r="AK16539" s="831">
        <v>438122032</v>
      </c>
    </row>
    <row r="16540" spans="2:37">
      <c r="B16540" s="834" t="str">
        <f t="shared" si="597"/>
        <v>|||</v>
      </c>
      <c r="H16540" s="835">
        <f t="shared" si="598"/>
        <v>31</v>
      </c>
      <c r="AF16540" s="831" t="s">
        <v>10431</v>
      </c>
      <c r="AG16540" s="831" t="s">
        <v>2674</v>
      </c>
      <c r="AH16540" s="831" t="s">
        <v>126</v>
      </c>
      <c r="AI16540" s="831">
        <v>0</v>
      </c>
      <c r="AJ16540" s="835">
        <v>41121</v>
      </c>
      <c r="AK16540" s="831">
        <v>93426827</v>
      </c>
    </row>
    <row r="16541" spans="2:37">
      <c r="B16541" s="834" t="str">
        <f t="shared" si="597"/>
        <v>|||</v>
      </c>
      <c r="H16541" s="835">
        <f t="shared" si="598"/>
        <v>31</v>
      </c>
      <c r="AF16541" s="831" t="s">
        <v>10432</v>
      </c>
      <c r="AG16541" s="831" t="s">
        <v>2674</v>
      </c>
      <c r="AH16541" s="831" t="s">
        <v>268</v>
      </c>
      <c r="AI16541" s="831">
        <v>0</v>
      </c>
      <c r="AJ16541" s="835">
        <v>41121</v>
      </c>
      <c r="AK16541" s="831">
        <v>8103905</v>
      </c>
    </row>
    <row r="16542" spans="2:37">
      <c r="B16542" s="834" t="str">
        <f t="shared" si="597"/>
        <v>|||</v>
      </c>
      <c r="H16542" s="835">
        <f t="shared" si="598"/>
        <v>31</v>
      </c>
      <c r="AF16542" s="831" t="s">
        <v>10433</v>
      </c>
      <c r="AG16542" s="831" t="s">
        <v>2674</v>
      </c>
      <c r="AH16542" s="831" t="s">
        <v>547</v>
      </c>
      <c r="AI16542" s="831">
        <v>0</v>
      </c>
      <c r="AJ16542" s="835">
        <v>41121</v>
      </c>
      <c r="AK16542" s="831">
        <v>0</v>
      </c>
    </row>
    <row r="16543" spans="2:37">
      <c r="B16543" s="834" t="str">
        <f t="shared" si="597"/>
        <v>|||</v>
      </c>
      <c r="H16543" s="835">
        <f t="shared" si="598"/>
        <v>31</v>
      </c>
      <c r="AF16543" s="831" t="s">
        <v>10434</v>
      </c>
      <c r="AG16543" s="831" t="s">
        <v>2674</v>
      </c>
      <c r="AH16543" s="831" t="s">
        <v>548</v>
      </c>
      <c r="AI16543" s="831">
        <v>0</v>
      </c>
      <c r="AJ16543" s="835">
        <v>41121</v>
      </c>
      <c r="AK16543" s="831">
        <v>0</v>
      </c>
    </row>
    <row r="16544" spans="2:37">
      <c r="B16544" s="834" t="str">
        <f t="shared" si="597"/>
        <v>|||</v>
      </c>
      <c r="H16544" s="835">
        <f t="shared" si="598"/>
        <v>31</v>
      </c>
      <c r="AF16544" s="831" t="s">
        <v>10435</v>
      </c>
      <c r="AG16544" s="831" t="s">
        <v>2674</v>
      </c>
      <c r="AH16544" s="831" t="s">
        <v>549</v>
      </c>
      <c r="AI16544" s="831">
        <v>0</v>
      </c>
      <c r="AJ16544" s="835">
        <v>41121</v>
      </c>
      <c r="AK16544" s="831">
        <v>0</v>
      </c>
    </row>
    <row r="16545" spans="2:37">
      <c r="B16545" s="834" t="str">
        <f t="shared" si="597"/>
        <v>|||</v>
      </c>
      <c r="H16545" s="835">
        <f t="shared" si="598"/>
        <v>31</v>
      </c>
      <c r="AF16545" s="831" t="s">
        <v>10436</v>
      </c>
      <c r="AG16545" s="831" t="s">
        <v>2674</v>
      </c>
      <c r="AH16545" s="831" t="s">
        <v>192</v>
      </c>
      <c r="AI16545" s="831">
        <v>0</v>
      </c>
      <c r="AJ16545" s="835">
        <v>41121</v>
      </c>
      <c r="AK16545" s="831">
        <v>-9691486</v>
      </c>
    </row>
    <row r="16546" spans="2:37">
      <c r="B16546" s="834" t="str">
        <f t="shared" si="597"/>
        <v>|||</v>
      </c>
      <c r="H16546" s="835">
        <f t="shared" si="598"/>
        <v>31</v>
      </c>
      <c r="AF16546" s="831" t="s">
        <v>10437</v>
      </c>
      <c r="AG16546" s="831" t="s">
        <v>2674</v>
      </c>
      <c r="AH16546" s="831" t="s">
        <v>558</v>
      </c>
      <c r="AI16546" s="831">
        <v>0</v>
      </c>
      <c r="AJ16546" s="835">
        <v>41121</v>
      </c>
      <c r="AK16546" s="831">
        <v>344695205</v>
      </c>
    </row>
    <row r="16547" spans="2:37">
      <c r="B16547" s="834" t="str">
        <f t="shared" si="597"/>
        <v>|||</v>
      </c>
      <c r="H16547" s="835">
        <f t="shared" si="598"/>
        <v>31</v>
      </c>
      <c r="AF16547" s="831" t="s">
        <v>10438</v>
      </c>
      <c r="AG16547" s="831" t="s">
        <v>2674</v>
      </c>
      <c r="AH16547" s="831" t="s">
        <v>65</v>
      </c>
      <c r="AI16547" s="831">
        <v>0</v>
      </c>
      <c r="AJ16547" s="835">
        <v>41121</v>
      </c>
      <c r="AK16547" s="831">
        <v>54573964</v>
      </c>
    </row>
    <row r="16548" spans="2:37">
      <c r="B16548" s="834" t="str">
        <f t="shared" si="597"/>
        <v>|||</v>
      </c>
      <c r="H16548" s="835">
        <f t="shared" si="598"/>
        <v>31</v>
      </c>
      <c r="AF16548" s="831" t="s">
        <v>10439</v>
      </c>
      <c r="AG16548" s="831" t="s">
        <v>2674</v>
      </c>
      <c r="AH16548" s="831" t="s">
        <v>89</v>
      </c>
      <c r="AI16548" s="831">
        <v>0</v>
      </c>
      <c r="AJ16548" s="835">
        <v>41121</v>
      </c>
      <c r="AK16548" s="831">
        <v>121835</v>
      </c>
    </row>
    <row r="16549" spans="2:37">
      <c r="B16549" s="834" t="str">
        <f t="shared" si="597"/>
        <v>|||</v>
      </c>
      <c r="H16549" s="835">
        <f t="shared" si="598"/>
        <v>31</v>
      </c>
      <c r="AF16549" s="831" t="s">
        <v>10440</v>
      </c>
      <c r="AG16549" s="831" t="s">
        <v>2674</v>
      </c>
      <c r="AH16549" s="831" t="s">
        <v>557</v>
      </c>
      <c r="AI16549" s="831">
        <v>0</v>
      </c>
      <c r="AJ16549" s="835">
        <v>41121</v>
      </c>
      <c r="AK16549" s="831">
        <v>123680</v>
      </c>
    </row>
    <row r="16550" spans="2:37">
      <c r="B16550" s="834" t="str">
        <f t="shared" si="597"/>
        <v>|||</v>
      </c>
      <c r="H16550" s="835">
        <f t="shared" si="598"/>
        <v>31</v>
      </c>
      <c r="AF16550" s="831" t="s">
        <v>10441</v>
      </c>
      <c r="AG16550" s="831" t="s">
        <v>2674</v>
      </c>
      <c r="AH16550" s="831" t="s">
        <v>29</v>
      </c>
      <c r="AI16550" s="831">
        <v>0</v>
      </c>
      <c r="AJ16550" s="835">
        <v>41121</v>
      </c>
      <c r="AK16550" s="831">
        <v>2520940</v>
      </c>
    </row>
    <row r="16551" spans="2:37">
      <c r="B16551" s="834" t="str">
        <f t="shared" si="597"/>
        <v>|||</v>
      </c>
      <c r="H16551" s="835">
        <f t="shared" si="598"/>
        <v>31</v>
      </c>
      <c r="AF16551" s="831" t="s">
        <v>10442</v>
      </c>
      <c r="AG16551" s="831" t="s">
        <v>2674</v>
      </c>
      <c r="AH16551" s="831" t="s">
        <v>2688</v>
      </c>
      <c r="AI16551" s="831">
        <v>0</v>
      </c>
      <c r="AJ16551" s="835">
        <v>41121</v>
      </c>
      <c r="AK16551" s="831">
        <v>2874987.63</v>
      </c>
    </row>
    <row r="16552" spans="2:37">
      <c r="B16552" s="834" t="str">
        <f t="shared" si="597"/>
        <v>|||</v>
      </c>
      <c r="H16552" s="835">
        <f t="shared" si="598"/>
        <v>31</v>
      </c>
      <c r="AF16552" s="831" t="s">
        <v>10443</v>
      </c>
      <c r="AG16552" s="831" t="s">
        <v>2674</v>
      </c>
      <c r="AH16552" s="831" t="s">
        <v>556</v>
      </c>
      <c r="AI16552" s="831">
        <v>0</v>
      </c>
      <c r="AJ16552" s="835">
        <v>41121</v>
      </c>
      <c r="AK16552" s="831">
        <v>0</v>
      </c>
    </row>
    <row r="16553" spans="2:37">
      <c r="B16553" s="834" t="str">
        <f t="shared" si="597"/>
        <v>|||</v>
      </c>
      <c r="H16553" s="835">
        <f t="shared" si="598"/>
        <v>31</v>
      </c>
      <c r="AF16553" s="831" t="s">
        <v>10444</v>
      </c>
      <c r="AG16553" s="831" t="s">
        <v>2674</v>
      </c>
      <c r="AH16553" s="831" t="s">
        <v>555</v>
      </c>
      <c r="AI16553" s="831">
        <v>0</v>
      </c>
      <c r="AJ16553" s="835">
        <v>41121</v>
      </c>
      <c r="AK16553" s="831">
        <v>212532560</v>
      </c>
    </row>
    <row r="16554" spans="2:37">
      <c r="B16554" s="834" t="str">
        <f t="shared" si="597"/>
        <v>|||</v>
      </c>
      <c r="H16554" s="835">
        <f t="shared" si="598"/>
        <v>31</v>
      </c>
      <c r="AF16554" s="831" t="s">
        <v>10445</v>
      </c>
      <c r="AG16554" s="831" t="s">
        <v>2674</v>
      </c>
      <c r="AH16554" s="831" t="s">
        <v>554</v>
      </c>
      <c r="AI16554" s="831">
        <v>0</v>
      </c>
      <c r="AJ16554" s="835">
        <v>41121</v>
      </c>
      <c r="AK16554" s="831">
        <v>206644050</v>
      </c>
    </row>
    <row r="16555" spans="2:37">
      <c r="B16555" s="834" t="str">
        <f t="shared" si="597"/>
        <v>|||</v>
      </c>
      <c r="H16555" s="835">
        <f t="shared" si="598"/>
        <v>31</v>
      </c>
      <c r="AF16555" s="831" t="s">
        <v>10446</v>
      </c>
      <c r="AG16555" s="831" t="s">
        <v>2674</v>
      </c>
      <c r="AH16555" s="831" t="s">
        <v>553</v>
      </c>
      <c r="AI16555" s="831">
        <v>0</v>
      </c>
      <c r="AJ16555" s="835">
        <v>41121</v>
      </c>
      <c r="AK16555" s="831">
        <v>0</v>
      </c>
    </row>
    <row r="16556" spans="2:37">
      <c r="B16556" s="834" t="str">
        <f t="shared" si="597"/>
        <v>|||</v>
      </c>
      <c r="H16556" s="835">
        <f t="shared" si="598"/>
        <v>31</v>
      </c>
      <c r="AF16556" s="831" t="s">
        <v>10447</v>
      </c>
      <c r="AG16556" s="831" t="s">
        <v>2674</v>
      </c>
      <c r="AH16556" s="831" t="s">
        <v>552</v>
      </c>
      <c r="AI16556" s="831">
        <v>0</v>
      </c>
      <c r="AJ16556" s="835">
        <v>41121</v>
      </c>
      <c r="AK16556" s="831">
        <v>0</v>
      </c>
    </row>
    <row r="16557" spans="2:37">
      <c r="B16557" s="834" t="str">
        <f t="shared" si="597"/>
        <v>|||</v>
      </c>
      <c r="H16557" s="835">
        <f t="shared" si="598"/>
        <v>31</v>
      </c>
      <c r="AF16557" s="831" t="s">
        <v>10448</v>
      </c>
      <c r="AG16557" s="831" t="s">
        <v>2674</v>
      </c>
      <c r="AH16557" s="831" t="s">
        <v>551</v>
      </c>
      <c r="AI16557" s="831">
        <v>0</v>
      </c>
      <c r="AJ16557" s="835">
        <v>41121</v>
      </c>
      <c r="AK16557" s="831">
        <v>2408186</v>
      </c>
    </row>
    <row r="16558" spans="2:37">
      <c r="B16558" s="834" t="str">
        <f t="shared" si="597"/>
        <v>|||</v>
      </c>
      <c r="H16558" s="835">
        <f t="shared" si="598"/>
        <v>31</v>
      </c>
      <c r="AF16558" s="831" t="s">
        <v>10449</v>
      </c>
      <c r="AG16558" s="831" t="s">
        <v>2674</v>
      </c>
      <c r="AH16558" s="831" t="s">
        <v>550</v>
      </c>
      <c r="AI16558" s="831">
        <v>0</v>
      </c>
      <c r="AJ16558" s="835">
        <v>41121</v>
      </c>
      <c r="AK16558" s="831">
        <v>91675016</v>
      </c>
    </row>
    <row r="16559" spans="2:37">
      <c r="B16559" s="834" t="str">
        <f t="shared" si="597"/>
        <v>|||</v>
      </c>
      <c r="H16559" s="835">
        <f t="shared" si="598"/>
        <v>31</v>
      </c>
      <c r="AF16559" s="831" t="s">
        <v>10450</v>
      </c>
      <c r="AG16559" s="831" t="s">
        <v>2674</v>
      </c>
      <c r="AH16559" s="831" t="s">
        <v>562</v>
      </c>
      <c r="AI16559" s="831">
        <v>0</v>
      </c>
      <c r="AJ16559" s="835">
        <v>41121</v>
      </c>
      <c r="AK16559" s="831">
        <v>0.78495000000000004</v>
      </c>
    </row>
    <row r="16560" spans="2:37">
      <c r="B16560" s="834" t="str">
        <f t="shared" si="597"/>
        <v>|||</v>
      </c>
      <c r="H16560" s="835">
        <f t="shared" si="598"/>
        <v>31</v>
      </c>
      <c r="AF16560" s="831" t="s">
        <v>10451</v>
      </c>
      <c r="AG16560" s="831" t="s">
        <v>2674</v>
      </c>
      <c r="AH16560" s="831" t="s">
        <v>2698</v>
      </c>
      <c r="AI16560" s="831">
        <v>0</v>
      </c>
      <c r="AJ16560" s="835">
        <v>41121</v>
      </c>
      <c r="AK16560" s="831">
        <v>0.78505000000000003</v>
      </c>
    </row>
    <row r="16561" spans="2:37">
      <c r="B16561" s="834" t="str">
        <f t="shared" si="597"/>
        <v>|||</v>
      </c>
      <c r="H16561" s="835">
        <f t="shared" si="598"/>
        <v>31</v>
      </c>
      <c r="AF16561" s="831" t="s">
        <v>10452</v>
      </c>
      <c r="AG16561" s="831" t="s">
        <v>2674</v>
      </c>
      <c r="AH16561" s="831" t="s">
        <v>560</v>
      </c>
      <c r="AI16561" s="831">
        <v>0</v>
      </c>
      <c r="AJ16561" s="835">
        <v>41121</v>
      </c>
      <c r="AK16561" s="831">
        <v>0.7855714285714287</v>
      </c>
    </row>
    <row r="16562" spans="2:37">
      <c r="B16562" s="834" t="str">
        <f t="shared" si="597"/>
        <v>|||</v>
      </c>
      <c r="H16562" s="835">
        <f t="shared" si="598"/>
        <v>31</v>
      </c>
      <c r="AF16562" s="831" t="s">
        <v>10453</v>
      </c>
      <c r="AG16562" s="831" t="s">
        <v>2674</v>
      </c>
      <c r="AH16562" s="831" t="s">
        <v>559</v>
      </c>
      <c r="AI16562" s="831">
        <v>0</v>
      </c>
      <c r="AJ16562" s="835">
        <v>41121</v>
      </c>
      <c r="AK16562" s="831">
        <v>0.7854916666666667</v>
      </c>
    </row>
    <row r="16563" spans="2:37">
      <c r="B16563" s="834" t="str">
        <f t="shared" si="597"/>
        <v>|||</v>
      </c>
      <c r="H16563" s="835">
        <f t="shared" si="598"/>
        <v>31</v>
      </c>
      <c r="AF16563" s="831" t="s">
        <v>10454</v>
      </c>
      <c r="AG16563" s="831" t="s">
        <v>2674</v>
      </c>
      <c r="AH16563" s="831" t="s">
        <v>568</v>
      </c>
      <c r="AI16563" s="831">
        <v>0</v>
      </c>
      <c r="AJ16563" s="835">
        <v>41121</v>
      </c>
      <c r="AK16563" s="831">
        <v>0</v>
      </c>
    </row>
    <row r="16564" spans="2:37">
      <c r="B16564" s="834" t="str">
        <f t="shared" si="597"/>
        <v>|||</v>
      </c>
      <c r="H16564" s="835">
        <f t="shared" si="598"/>
        <v>31</v>
      </c>
      <c r="AF16564" s="831" t="s">
        <v>10455</v>
      </c>
      <c r="AG16564" s="831" t="s">
        <v>2674</v>
      </c>
      <c r="AH16564" s="831" t="s">
        <v>569</v>
      </c>
      <c r="AI16564" s="831">
        <v>0</v>
      </c>
      <c r="AJ16564" s="835">
        <v>41121</v>
      </c>
      <c r="AK16564" s="831">
        <v>0</v>
      </c>
    </row>
    <row r="16565" spans="2:37">
      <c r="B16565" s="834" t="str">
        <f t="shared" si="597"/>
        <v>|||</v>
      </c>
      <c r="H16565" s="835">
        <f t="shared" si="598"/>
        <v>31</v>
      </c>
      <c r="AF16565" s="831" t="s">
        <v>10456</v>
      </c>
      <c r="AG16565" s="831" t="s">
        <v>2674</v>
      </c>
      <c r="AH16565" s="831" t="s">
        <v>570</v>
      </c>
      <c r="AI16565" s="831">
        <v>0</v>
      </c>
      <c r="AJ16565" s="835">
        <v>41121</v>
      </c>
      <c r="AK16565" s="831">
        <v>0</v>
      </c>
    </row>
    <row r="16566" spans="2:37">
      <c r="B16566" s="834" t="str">
        <f t="shared" si="597"/>
        <v>|||</v>
      </c>
      <c r="H16566" s="835">
        <f t="shared" si="598"/>
        <v>31</v>
      </c>
      <c r="AF16566" s="831" t="s">
        <v>10457</v>
      </c>
      <c r="AG16566" s="831" t="s">
        <v>2674</v>
      </c>
      <c r="AH16566" s="831" t="s">
        <v>571</v>
      </c>
      <c r="AI16566" s="831">
        <v>0</v>
      </c>
      <c r="AJ16566" s="835">
        <v>41121</v>
      </c>
      <c r="AK16566" s="831">
        <v>0</v>
      </c>
    </row>
    <row r="16567" spans="2:37">
      <c r="B16567" s="834" t="str">
        <f t="shared" si="597"/>
        <v>|||</v>
      </c>
      <c r="H16567" s="835">
        <f t="shared" si="598"/>
        <v>31</v>
      </c>
      <c r="AF16567" s="831" t="s">
        <v>10458</v>
      </c>
      <c r="AG16567" s="831" t="s">
        <v>2674</v>
      </c>
      <c r="AH16567" s="831" t="s">
        <v>573</v>
      </c>
      <c r="AI16567" s="831">
        <v>0</v>
      </c>
      <c r="AJ16567" s="835">
        <v>41121</v>
      </c>
      <c r="AK16567" s="831">
        <v>0</v>
      </c>
    </row>
    <row r="16568" spans="2:37">
      <c r="B16568" s="834" t="str">
        <f t="shared" si="597"/>
        <v>|||</v>
      </c>
      <c r="H16568" s="835">
        <f t="shared" si="598"/>
        <v>31</v>
      </c>
      <c r="AF16568" s="831" t="s">
        <v>10459</v>
      </c>
      <c r="AG16568" s="831" t="s">
        <v>2674</v>
      </c>
      <c r="AH16568" s="831" t="s">
        <v>574</v>
      </c>
      <c r="AI16568" s="831">
        <v>0</v>
      </c>
      <c r="AJ16568" s="835">
        <v>41121</v>
      </c>
      <c r="AK16568" s="831">
        <v>0</v>
      </c>
    </row>
    <row r="16569" spans="2:37">
      <c r="B16569" s="834" t="str">
        <f t="shared" si="597"/>
        <v>|||</v>
      </c>
      <c r="H16569" s="835">
        <f t="shared" si="598"/>
        <v>31</v>
      </c>
      <c r="AF16569" s="831" t="s">
        <v>10460</v>
      </c>
      <c r="AG16569" s="831" t="s">
        <v>2674</v>
      </c>
      <c r="AH16569" s="831" t="s">
        <v>575</v>
      </c>
      <c r="AI16569" s="831">
        <v>0</v>
      </c>
      <c r="AJ16569" s="835">
        <v>41121</v>
      </c>
      <c r="AK16569" s="831">
        <v>0</v>
      </c>
    </row>
    <row r="16570" spans="2:37">
      <c r="B16570" s="834" t="str">
        <f t="shared" si="597"/>
        <v>|||</v>
      </c>
      <c r="H16570" s="835">
        <f t="shared" si="598"/>
        <v>31</v>
      </c>
      <c r="AF16570" s="831" t="s">
        <v>10461</v>
      </c>
      <c r="AG16570" s="831" t="s">
        <v>2674</v>
      </c>
      <c r="AH16570" s="831" t="s">
        <v>576</v>
      </c>
      <c r="AI16570" s="831">
        <v>0</v>
      </c>
      <c r="AJ16570" s="835">
        <v>41121</v>
      </c>
      <c r="AK16570" s="831">
        <v>0</v>
      </c>
    </row>
    <row r="16571" spans="2:37">
      <c r="B16571" s="834" t="str">
        <f t="shared" si="597"/>
        <v>|||</v>
      </c>
      <c r="H16571" s="835">
        <f t="shared" si="598"/>
        <v>31</v>
      </c>
      <c r="AF16571" s="831" t="s">
        <v>10462</v>
      </c>
      <c r="AG16571" s="831" t="s">
        <v>2674</v>
      </c>
      <c r="AH16571" s="831" t="s">
        <v>572</v>
      </c>
      <c r="AI16571" s="831">
        <v>0</v>
      </c>
      <c r="AJ16571" s="835">
        <v>41121</v>
      </c>
      <c r="AK16571" s="831">
        <v>-2146826246</v>
      </c>
    </row>
    <row r="16572" spans="2:37">
      <c r="B16572" s="834" t="str">
        <f t="shared" si="597"/>
        <v>|||</v>
      </c>
      <c r="H16572" s="835">
        <f t="shared" si="598"/>
        <v>31</v>
      </c>
      <c r="AF16572" s="831" t="s">
        <v>10463</v>
      </c>
      <c r="AG16572" s="831" t="s">
        <v>2674</v>
      </c>
      <c r="AH16572" s="831" t="s">
        <v>577</v>
      </c>
      <c r="AI16572" s="831">
        <v>0</v>
      </c>
      <c r="AJ16572" s="835">
        <v>41121</v>
      </c>
      <c r="AK16572" s="831">
        <v>-2146826246</v>
      </c>
    </row>
    <row r="16573" spans="2:37">
      <c r="B16573" s="834" t="str">
        <f t="shared" si="597"/>
        <v>|||</v>
      </c>
      <c r="H16573" s="835">
        <f t="shared" si="598"/>
        <v>31</v>
      </c>
      <c r="AF16573" s="831" t="s">
        <v>10464</v>
      </c>
      <c r="AG16573" s="831" t="s">
        <v>2674</v>
      </c>
      <c r="AH16573" s="831" t="s">
        <v>3042</v>
      </c>
      <c r="AI16573" s="831">
        <v>0</v>
      </c>
      <c r="AJ16573" s="835">
        <v>41121</v>
      </c>
      <c r="AK16573" s="831">
        <v>-2146826246</v>
      </c>
    </row>
    <row r="16574" spans="2:37">
      <c r="B16574" s="834" t="str">
        <f t="shared" si="597"/>
        <v>|||</v>
      </c>
      <c r="H16574" s="835">
        <f t="shared" si="598"/>
        <v>31</v>
      </c>
      <c r="AF16574" s="831" t="s">
        <v>10465</v>
      </c>
      <c r="AG16574" s="831" t="s">
        <v>2674</v>
      </c>
      <c r="AH16574" s="831" t="s">
        <v>3044</v>
      </c>
      <c r="AI16574" s="831">
        <v>0</v>
      </c>
      <c r="AJ16574" s="835">
        <v>41121</v>
      </c>
      <c r="AK16574" s="831">
        <v>-2146826246</v>
      </c>
    </row>
    <row r="16575" spans="2:37">
      <c r="B16575" s="834" t="str">
        <f t="shared" si="597"/>
        <v>|||</v>
      </c>
      <c r="H16575" s="835">
        <f t="shared" si="598"/>
        <v>31</v>
      </c>
      <c r="AF16575" s="831" t="s">
        <v>10466</v>
      </c>
      <c r="AG16575" s="831" t="s">
        <v>2674</v>
      </c>
      <c r="AH16575" s="831" t="s">
        <v>580</v>
      </c>
      <c r="AI16575" s="831">
        <v>0</v>
      </c>
      <c r="AJ16575" s="835">
        <v>41121</v>
      </c>
      <c r="AK16575" s="831">
        <v>-2146826246</v>
      </c>
    </row>
    <row r="16576" spans="2:37">
      <c r="B16576" s="834" t="str">
        <f t="shared" si="597"/>
        <v>|||</v>
      </c>
      <c r="H16576" s="835">
        <f t="shared" si="598"/>
        <v>31</v>
      </c>
      <c r="AF16576" s="831" t="s">
        <v>10467</v>
      </c>
      <c r="AG16576" s="831" t="s">
        <v>2674</v>
      </c>
      <c r="AH16576" s="831" t="s">
        <v>581</v>
      </c>
      <c r="AI16576" s="831">
        <v>0</v>
      </c>
      <c r="AJ16576" s="835">
        <v>41121</v>
      </c>
      <c r="AK16576" s="831">
        <v>-2146826246</v>
      </c>
    </row>
    <row r="16577" spans="2:37">
      <c r="B16577" s="834" t="str">
        <f t="shared" si="597"/>
        <v>|||</v>
      </c>
      <c r="H16577" s="835">
        <f t="shared" si="598"/>
        <v>31</v>
      </c>
      <c r="AF16577" s="831" t="s">
        <v>10468</v>
      </c>
      <c r="AG16577" s="831" t="s">
        <v>2674</v>
      </c>
      <c r="AH16577" s="831" t="s">
        <v>105</v>
      </c>
      <c r="AI16577" s="831">
        <v>0</v>
      </c>
      <c r="AJ16577" s="835">
        <v>41121</v>
      </c>
      <c r="AK16577" s="831">
        <v>164564846</v>
      </c>
    </row>
    <row r="16578" spans="2:37">
      <c r="B16578" s="834" t="str">
        <f t="shared" si="597"/>
        <v>|||</v>
      </c>
      <c r="H16578" s="835">
        <f t="shared" si="598"/>
        <v>31</v>
      </c>
      <c r="AF16578" s="831" t="s">
        <v>10469</v>
      </c>
      <c r="AG16578" s="831" t="s">
        <v>2674</v>
      </c>
      <c r="AH16578" s="831" t="s">
        <v>3049</v>
      </c>
      <c r="AI16578" s="831">
        <v>0</v>
      </c>
      <c r="AJ16578" s="835">
        <v>41121</v>
      </c>
      <c r="AK16578" s="831">
        <v>330970241</v>
      </c>
    </row>
    <row r="16579" spans="2:37">
      <c r="B16579" s="834" t="str">
        <f t="shared" si="597"/>
        <v>|||</v>
      </c>
      <c r="H16579" s="835">
        <f t="shared" si="598"/>
        <v>31</v>
      </c>
      <c r="AF16579" s="831" t="s">
        <v>10470</v>
      </c>
      <c r="AG16579" s="831" t="s">
        <v>2674</v>
      </c>
      <c r="AH16579" s="831" t="s">
        <v>103</v>
      </c>
      <c r="AI16579" s="831">
        <v>0</v>
      </c>
      <c r="AJ16579" s="835">
        <v>41121</v>
      </c>
      <c r="AK16579" s="831">
        <v>166405395</v>
      </c>
    </row>
    <row r="16580" spans="2:37">
      <c r="B16580" s="834" t="str">
        <f t="shared" si="597"/>
        <v>|||</v>
      </c>
      <c r="H16580" s="835">
        <f t="shared" si="598"/>
        <v>31</v>
      </c>
      <c r="AF16580" s="831" t="s">
        <v>10471</v>
      </c>
      <c r="AG16580" s="831" t="s">
        <v>2674</v>
      </c>
      <c r="AH16580" s="831" t="s">
        <v>182</v>
      </c>
      <c r="AI16580" s="831">
        <v>0</v>
      </c>
      <c r="AJ16580" s="835">
        <v>41121</v>
      </c>
      <c r="AK16580" s="831">
        <v>50915117.142857142</v>
      </c>
    </row>
    <row r="16581" spans="2:37">
      <c r="B16581" s="834" t="str">
        <f t="shared" si="597"/>
        <v>|||</v>
      </c>
      <c r="H16581" s="835">
        <f t="shared" si="598"/>
        <v>31</v>
      </c>
      <c r="AF16581" s="831" t="s">
        <v>10472</v>
      </c>
      <c r="AG16581" s="831" t="s">
        <v>2674</v>
      </c>
      <c r="AH16581" s="831" t="s">
        <v>6600</v>
      </c>
      <c r="AI16581" s="831">
        <v>0</v>
      </c>
      <c r="AJ16581" s="835">
        <v>41121</v>
      </c>
      <c r="AK16581" s="831">
        <v>-2146826246</v>
      </c>
    </row>
    <row r="16582" spans="2:37">
      <c r="B16582" s="834" t="str">
        <f t="shared" si="597"/>
        <v>|||</v>
      </c>
      <c r="H16582" s="835">
        <f t="shared" si="598"/>
        <v>31</v>
      </c>
      <c r="AF16582" s="831" t="s">
        <v>10473</v>
      </c>
      <c r="AG16582" s="831" t="s">
        <v>2674</v>
      </c>
      <c r="AH16582" s="831" t="s">
        <v>6602</v>
      </c>
      <c r="AI16582" s="831">
        <v>0</v>
      </c>
      <c r="AJ16582" s="835">
        <v>41121</v>
      </c>
      <c r="AK16582" s="831">
        <v>8103905</v>
      </c>
    </row>
    <row r="16583" spans="2:37">
      <c r="B16583" s="834" t="str">
        <f t="shared" si="597"/>
        <v>|||</v>
      </c>
      <c r="H16583" s="835">
        <f t="shared" si="598"/>
        <v>31</v>
      </c>
      <c r="AF16583" s="831" t="s">
        <v>10474</v>
      </c>
      <c r="AG16583" s="831" t="s">
        <v>2674</v>
      </c>
      <c r="AH16583" s="831" t="s">
        <v>650</v>
      </c>
      <c r="AI16583" s="831">
        <v>0</v>
      </c>
      <c r="AJ16583" s="835">
        <v>41121</v>
      </c>
      <c r="AK16583" s="831">
        <v>0</v>
      </c>
    </row>
    <row r="16584" spans="2:37">
      <c r="B16584" s="834" t="str">
        <f t="shared" si="597"/>
        <v>|||</v>
      </c>
      <c r="H16584" s="835">
        <f t="shared" si="598"/>
        <v>31</v>
      </c>
      <c r="AF16584" s="831" t="s">
        <v>10475</v>
      </c>
      <c r="AG16584" s="831" t="s">
        <v>2674</v>
      </c>
      <c r="AH16584" s="831" t="s">
        <v>655</v>
      </c>
      <c r="AI16584" s="831">
        <v>0</v>
      </c>
      <c r="AJ16584" s="835">
        <v>41121</v>
      </c>
      <c r="AK16584" s="831">
        <v>2307351</v>
      </c>
    </row>
    <row r="16585" spans="2:37">
      <c r="B16585" s="834" t="str">
        <f t="shared" si="597"/>
        <v>|||</v>
      </c>
      <c r="H16585" s="835">
        <f t="shared" si="598"/>
        <v>31</v>
      </c>
      <c r="AF16585" s="831" t="s">
        <v>10476</v>
      </c>
      <c r="AG16585" s="831" t="s">
        <v>2674</v>
      </c>
      <c r="AH16585" s="831" t="s">
        <v>546</v>
      </c>
      <c r="AI16585" s="831">
        <v>0</v>
      </c>
      <c r="AJ16585" s="835">
        <v>41152</v>
      </c>
      <c r="AK16585" s="831">
        <v>362295244</v>
      </c>
    </row>
    <row r="16586" spans="2:37">
      <c r="B16586" s="834" t="str">
        <f t="shared" si="597"/>
        <v>|||</v>
      </c>
      <c r="H16586" s="835">
        <f t="shared" si="598"/>
        <v>31</v>
      </c>
      <c r="AF16586" s="831" t="s">
        <v>10477</v>
      </c>
      <c r="AG16586" s="831" t="s">
        <v>2674</v>
      </c>
      <c r="AH16586" s="831" t="s">
        <v>370</v>
      </c>
      <c r="AI16586" s="831">
        <v>0</v>
      </c>
      <c r="AJ16586" s="835">
        <v>41152</v>
      </c>
      <c r="AK16586" s="831">
        <v>452262206</v>
      </c>
    </row>
    <row r="16587" spans="2:37">
      <c r="B16587" s="834" t="str">
        <f t="shared" si="597"/>
        <v>|||</v>
      </c>
      <c r="H16587" s="835">
        <f t="shared" si="598"/>
        <v>31</v>
      </c>
      <c r="AF16587" s="831" t="s">
        <v>10478</v>
      </c>
      <c r="AG16587" s="831" t="s">
        <v>2674</v>
      </c>
      <c r="AH16587" s="831" t="s">
        <v>126</v>
      </c>
      <c r="AI16587" s="831">
        <v>0</v>
      </c>
      <c r="AJ16587" s="835">
        <v>41152</v>
      </c>
      <c r="AK16587" s="831">
        <v>95414973</v>
      </c>
    </row>
    <row r="16588" spans="2:37">
      <c r="B16588" s="834" t="str">
        <f t="shared" si="597"/>
        <v>|||</v>
      </c>
      <c r="H16588" s="835">
        <f t="shared" si="598"/>
        <v>31</v>
      </c>
      <c r="AF16588" s="831" t="s">
        <v>10479</v>
      </c>
      <c r="AG16588" s="831" t="s">
        <v>2674</v>
      </c>
      <c r="AH16588" s="831" t="s">
        <v>268</v>
      </c>
      <c r="AI16588" s="831">
        <v>0</v>
      </c>
      <c r="AJ16588" s="835">
        <v>41152</v>
      </c>
      <c r="AK16588" s="831">
        <v>10092049</v>
      </c>
    </row>
    <row r="16589" spans="2:37">
      <c r="B16589" s="834" t="str">
        <f t="shared" si="597"/>
        <v>|||</v>
      </c>
      <c r="H16589" s="835">
        <f t="shared" si="598"/>
        <v>31</v>
      </c>
      <c r="AF16589" s="831" t="s">
        <v>10480</v>
      </c>
      <c r="AG16589" s="831" t="s">
        <v>2674</v>
      </c>
      <c r="AH16589" s="831" t="s">
        <v>547</v>
      </c>
      <c r="AI16589" s="831">
        <v>0</v>
      </c>
      <c r="AJ16589" s="835">
        <v>41152</v>
      </c>
      <c r="AK16589" s="831">
        <v>0</v>
      </c>
    </row>
    <row r="16590" spans="2:37">
      <c r="B16590" s="834" t="str">
        <f t="shared" si="597"/>
        <v>|||</v>
      </c>
      <c r="H16590" s="835">
        <f t="shared" si="598"/>
        <v>31</v>
      </c>
      <c r="AF16590" s="831" t="s">
        <v>10481</v>
      </c>
      <c r="AG16590" s="831" t="s">
        <v>2674</v>
      </c>
      <c r="AH16590" s="831" t="s">
        <v>548</v>
      </c>
      <c r="AI16590" s="831">
        <v>0</v>
      </c>
      <c r="AJ16590" s="835">
        <v>41152</v>
      </c>
      <c r="AK16590" s="831">
        <v>0</v>
      </c>
    </row>
    <row r="16591" spans="2:37">
      <c r="B16591" s="834" t="str">
        <f t="shared" si="597"/>
        <v>|||</v>
      </c>
      <c r="H16591" s="835">
        <f t="shared" si="598"/>
        <v>31</v>
      </c>
      <c r="AF16591" s="831" t="s">
        <v>10482</v>
      </c>
      <c r="AG16591" s="831" t="s">
        <v>2674</v>
      </c>
      <c r="AH16591" s="831" t="s">
        <v>549</v>
      </c>
      <c r="AI16591" s="831">
        <v>0</v>
      </c>
      <c r="AJ16591" s="835">
        <v>41152</v>
      </c>
      <c r="AK16591" s="831">
        <v>0</v>
      </c>
    </row>
    <row r="16592" spans="2:37">
      <c r="B16592" s="834" t="str">
        <f t="shared" si="597"/>
        <v>|||</v>
      </c>
      <c r="H16592" s="835">
        <f t="shared" si="598"/>
        <v>31</v>
      </c>
      <c r="AF16592" s="831" t="s">
        <v>10483</v>
      </c>
      <c r="AG16592" s="831" t="s">
        <v>2674</v>
      </c>
      <c r="AH16592" s="831" t="s">
        <v>192</v>
      </c>
      <c r="AI16592" s="831">
        <v>0</v>
      </c>
      <c r="AJ16592" s="835">
        <v>41152</v>
      </c>
      <c r="AK16592" s="831">
        <v>-9148265</v>
      </c>
    </row>
    <row r="16593" spans="2:37">
      <c r="B16593" s="834" t="str">
        <f t="shared" ref="B16593:B16656" si="599">C16593&amp;"|"&amp;D16593&amp;"|"&amp;E16593&amp;"|"&amp;F16593</f>
        <v>|||</v>
      </c>
      <c r="H16593" s="835">
        <f t="shared" ref="H16593:H16656" si="600">EOMONTH(L16593,0)</f>
        <v>31</v>
      </c>
      <c r="AF16593" s="831" t="s">
        <v>10484</v>
      </c>
      <c r="AG16593" s="831" t="s">
        <v>2674</v>
      </c>
      <c r="AH16593" s="831" t="s">
        <v>558</v>
      </c>
      <c r="AI16593" s="831">
        <v>0</v>
      </c>
      <c r="AJ16593" s="835">
        <v>41152</v>
      </c>
      <c r="AK16593" s="831">
        <v>356847233</v>
      </c>
    </row>
    <row r="16594" spans="2:37">
      <c r="B16594" s="834" t="str">
        <f t="shared" si="599"/>
        <v>|||</v>
      </c>
      <c r="H16594" s="835">
        <f t="shared" si="600"/>
        <v>31</v>
      </c>
      <c r="AF16594" s="831" t="s">
        <v>10485</v>
      </c>
      <c r="AG16594" s="831" t="s">
        <v>2674</v>
      </c>
      <c r="AH16594" s="831" t="s">
        <v>65</v>
      </c>
      <c r="AI16594" s="831">
        <v>0</v>
      </c>
      <c r="AJ16594" s="835">
        <v>41152</v>
      </c>
      <c r="AK16594" s="831">
        <v>63143485</v>
      </c>
    </row>
    <row r="16595" spans="2:37">
      <c r="B16595" s="834" t="str">
        <f t="shared" si="599"/>
        <v>|||</v>
      </c>
      <c r="H16595" s="835">
        <f t="shared" si="600"/>
        <v>31</v>
      </c>
      <c r="AF16595" s="831" t="s">
        <v>10486</v>
      </c>
      <c r="AG16595" s="831" t="s">
        <v>2674</v>
      </c>
      <c r="AH16595" s="831" t="s">
        <v>89</v>
      </c>
      <c r="AI16595" s="831">
        <v>0</v>
      </c>
      <c r="AJ16595" s="835">
        <v>41152</v>
      </c>
      <c r="AK16595" s="831">
        <v>122109</v>
      </c>
    </row>
    <row r="16596" spans="2:37">
      <c r="B16596" s="834" t="str">
        <f t="shared" si="599"/>
        <v>|||</v>
      </c>
      <c r="H16596" s="835">
        <f t="shared" si="600"/>
        <v>31</v>
      </c>
      <c r="AF16596" s="831" t="s">
        <v>10487</v>
      </c>
      <c r="AG16596" s="831" t="s">
        <v>2674</v>
      </c>
      <c r="AH16596" s="831" t="s">
        <v>557</v>
      </c>
      <c r="AI16596" s="831">
        <v>0</v>
      </c>
      <c r="AJ16596" s="835">
        <v>41152</v>
      </c>
      <c r="AK16596" s="831">
        <v>123973</v>
      </c>
    </row>
    <row r="16597" spans="2:37">
      <c r="B16597" s="834" t="str">
        <f t="shared" si="599"/>
        <v>|||</v>
      </c>
      <c r="H16597" s="835">
        <f t="shared" si="600"/>
        <v>31</v>
      </c>
      <c r="AF16597" s="831" t="s">
        <v>10488</v>
      </c>
      <c r="AG16597" s="831" t="s">
        <v>2674</v>
      </c>
      <c r="AH16597" s="831" t="s">
        <v>29</v>
      </c>
      <c r="AI16597" s="831">
        <v>0</v>
      </c>
      <c r="AJ16597" s="835">
        <v>41152</v>
      </c>
      <c r="AK16597" s="831">
        <v>2024314</v>
      </c>
    </row>
    <row r="16598" spans="2:37">
      <c r="B16598" s="834" t="str">
        <f t="shared" si="599"/>
        <v>|||</v>
      </c>
      <c r="H16598" s="835">
        <f t="shared" si="600"/>
        <v>31</v>
      </c>
      <c r="AF16598" s="831" t="s">
        <v>10489</v>
      </c>
      <c r="AG16598" s="831" t="s">
        <v>2674</v>
      </c>
      <c r="AH16598" s="831" t="s">
        <v>2688</v>
      </c>
      <c r="AI16598" s="831">
        <v>0</v>
      </c>
      <c r="AJ16598" s="835">
        <v>41152</v>
      </c>
      <c r="AK16598" s="831">
        <v>2600544</v>
      </c>
    </row>
    <row r="16599" spans="2:37">
      <c r="B16599" s="834" t="str">
        <f t="shared" si="599"/>
        <v>|||</v>
      </c>
      <c r="H16599" s="835">
        <f t="shared" si="600"/>
        <v>31</v>
      </c>
      <c r="AF16599" s="831" t="s">
        <v>10490</v>
      </c>
      <c r="AG16599" s="831" t="s">
        <v>2674</v>
      </c>
      <c r="AH16599" s="831" t="s">
        <v>556</v>
      </c>
      <c r="AI16599" s="831">
        <v>0</v>
      </c>
      <c r="AJ16599" s="835">
        <v>41152</v>
      </c>
      <c r="AK16599" s="831">
        <v>902857</v>
      </c>
    </row>
    <row r="16600" spans="2:37">
      <c r="B16600" s="834" t="str">
        <f t="shared" si="599"/>
        <v>|||</v>
      </c>
      <c r="H16600" s="835">
        <f t="shared" si="600"/>
        <v>31</v>
      </c>
      <c r="AF16600" s="831" t="s">
        <v>10491</v>
      </c>
      <c r="AG16600" s="831" t="s">
        <v>2674</v>
      </c>
      <c r="AH16600" s="831" t="s">
        <v>555</v>
      </c>
      <c r="AI16600" s="831">
        <v>0</v>
      </c>
      <c r="AJ16600" s="835">
        <v>41152</v>
      </c>
      <c r="AK16600" s="831">
        <v>221766870</v>
      </c>
    </row>
    <row r="16601" spans="2:37">
      <c r="B16601" s="834" t="str">
        <f t="shared" si="599"/>
        <v>|||</v>
      </c>
      <c r="H16601" s="835">
        <f t="shared" si="600"/>
        <v>31</v>
      </c>
      <c r="AF16601" s="831" t="s">
        <v>10492</v>
      </c>
      <c r="AG16601" s="831" t="s">
        <v>2674</v>
      </c>
      <c r="AH16601" s="831" t="s">
        <v>554</v>
      </c>
      <c r="AI16601" s="831">
        <v>0</v>
      </c>
      <c r="AJ16601" s="835">
        <v>41152</v>
      </c>
      <c r="AK16601" s="831">
        <v>217001920</v>
      </c>
    </row>
    <row r="16602" spans="2:37">
      <c r="B16602" s="834" t="str">
        <f t="shared" si="599"/>
        <v>|||</v>
      </c>
      <c r="H16602" s="835">
        <f t="shared" si="600"/>
        <v>31</v>
      </c>
      <c r="AF16602" s="831" t="s">
        <v>10493</v>
      </c>
      <c r="AG16602" s="831" t="s">
        <v>2674</v>
      </c>
      <c r="AH16602" s="831" t="s">
        <v>553</v>
      </c>
      <c r="AI16602" s="831">
        <v>0</v>
      </c>
      <c r="AJ16602" s="835">
        <v>41152</v>
      </c>
      <c r="AK16602" s="831">
        <v>0</v>
      </c>
    </row>
    <row r="16603" spans="2:37">
      <c r="B16603" s="834" t="str">
        <f t="shared" si="599"/>
        <v>|||</v>
      </c>
      <c r="H16603" s="835">
        <f t="shared" si="600"/>
        <v>31</v>
      </c>
      <c r="AF16603" s="831" t="s">
        <v>10494</v>
      </c>
      <c r="AG16603" s="831" t="s">
        <v>2674</v>
      </c>
      <c r="AH16603" s="831" t="s">
        <v>552</v>
      </c>
      <c r="AI16603" s="831">
        <v>0</v>
      </c>
      <c r="AJ16603" s="835">
        <v>41152</v>
      </c>
      <c r="AK16603" s="831">
        <v>0</v>
      </c>
    </row>
    <row r="16604" spans="2:37">
      <c r="B16604" s="834" t="str">
        <f t="shared" si="599"/>
        <v>|||</v>
      </c>
      <c r="H16604" s="835">
        <f t="shared" si="600"/>
        <v>31</v>
      </c>
      <c r="AF16604" s="831" t="s">
        <v>10495</v>
      </c>
      <c r="AG16604" s="831" t="s">
        <v>2674</v>
      </c>
      <c r="AH16604" s="831" t="s">
        <v>551</v>
      </c>
      <c r="AI16604" s="831">
        <v>0</v>
      </c>
      <c r="AJ16604" s="835">
        <v>41152</v>
      </c>
      <c r="AK16604" s="831">
        <v>1690236</v>
      </c>
    </row>
    <row r="16605" spans="2:37">
      <c r="B16605" s="834" t="str">
        <f t="shared" si="599"/>
        <v>|||</v>
      </c>
      <c r="H16605" s="835">
        <f t="shared" si="600"/>
        <v>31</v>
      </c>
      <c r="AF16605" s="831" t="s">
        <v>10496</v>
      </c>
      <c r="AG16605" s="831" t="s">
        <v>2674</v>
      </c>
      <c r="AH16605" s="831" t="s">
        <v>550</v>
      </c>
      <c r="AI16605" s="831">
        <v>0</v>
      </c>
      <c r="AJ16605" s="835">
        <v>41152</v>
      </c>
      <c r="AK16605" s="831">
        <v>93426827</v>
      </c>
    </row>
    <row r="16606" spans="2:37">
      <c r="B16606" s="834" t="str">
        <f t="shared" si="599"/>
        <v>|||</v>
      </c>
      <c r="H16606" s="835">
        <f t="shared" si="600"/>
        <v>31</v>
      </c>
      <c r="AF16606" s="831" t="s">
        <v>10497</v>
      </c>
      <c r="AG16606" s="831" t="s">
        <v>2674</v>
      </c>
      <c r="AH16606" s="831" t="s">
        <v>562</v>
      </c>
      <c r="AI16606" s="831">
        <v>0</v>
      </c>
      <c r="AJ16606" s="835">
        <v>41152</v>
      </c>
      <c r="AK16606" s="831">
        <v>0.78449999999999998</v>
      </c>
    </row>
    <row r="16607" spans="2:37">
      <c r="B16607" s="834" t="str">
        <f t="shared" si="599"/>
        <v>|||</v>
      </c>
      <c r="H16607" s="835">
        <f t="shared" si="600"/>
        <v>31</v>
      </c>
      <c r="AF16607" s="831" t="s">
        <v>10498</v>
      </c>
      <c r="AG16607" s="831" t="s">
        <v>2674</v>
      </c>
      <c r="AH16607" s="831" t="s">
        <v>2698</v>
      </c>
      <c r="AI16607" s="831">
        <v>0</v>
      </c>
      <c r="AJ16607" s="835">
        <v>41152</v>
      </c>
      <c r="AK16607" s="831">
        <v>0.78495000000000004</v>
      </c>
    </row>
    <row r="16608" spans="2:37">
      <c r="B16608" s="834" t="str">
        <f t="shared" si="599"/>
        <v>|||</v>
      </c>
      <c r="H16608" s="835">
        <f t="shared" si="600"/>
        <v>31</v>
      </c>
      <c r="AF16608" s="831" t="s">
        <v>10499</v>
      </c>
      <c r="AG16608" s="831" t="s">
        <v>2674</v>
      </c>
      <c r="AH16608" s="831" t="s">
        <v>560</v>
      </c>
      <c r="AI16608" s="831">
        <v>0</v>
      </c>
      <c r="AJ16608" s="835">
        <v>41152</v>
      </c>
      <c r="AK16608" s="831">
        <v>0.78543750000000001</v>
      </c>
    </row>
    <row r="16609" spans="2:37">
      <c r="B16609" s="834" t="str">
        <f t="shared" si="599"/>
        <v>|||</v>
      </c>
      <c r="H16609" s="835">
        <f t="shared" si="600"/>
        <v>31</v>
      </c>
      <c r="AF16609" s="831" t="s">
        <v>10500</v>
      </c>
      <c r="AG16609" s="831" t="s">
        <v>2674</v>
      </c>
      <c r="AH16609" s="831" t="s">
        <v>559</v>
      </c>
      <c r="AI16609" s="831">
        <v>0</v>
      </c>
      <c r="AJ16609" s="835">
        <v>41152</v>
      </c>
      <c r="AK16609" s="831">
        <v>0.78544999999999998</v>
      </c>
    </row>
    <row r="16610" spans="2:37">
      <c r="B16610" s="834" t="str">
        <f t="shared" si="599"/>
        <v>|||</v>
      </c>
      <c r="H16610" s="835">
        <f t="shared" si="600"/>
        <v>31</v>
      </c>
      <c r="AF16610" s="831" t="s">
        <v>10501</v>
      </c>
      <c r="AG16610" s="831" t="s">
        <v>2674</v>
      </c>
      <c r="AH16610" s="831" t="s">
        <v>568</v>
      </c>
      <c r="AI16610" s="831">
        <v>0</v>
      </c>
      <c r="AJ16610" s="835">
        <v>41152</v>
      </c>
      <c r="AK16610" s="831">
        <v>0</v>
      </c>
    </row>
    <row r="16611" spans="2:37">
      <c r="B16611" s="834" t="str">
        <f t="shared" si="599"/>
        <v>|||</v>
      </c>
      <c r="H16611" s="835">
        <f t="shared" si="600"/>
        <v>31</v>
      </c>
      <c r="AF16611" s="831" t="s">
        <v>10502</v>
      </c>
      <c r="AG16611" s="831" t="s">
        <v>2674</v>
      </c>
      <c r="AH16611" s="831" t="s">
        <v>569</v>
      </c>
      <c r="AI16611" s="831">
        <v>0</v>
      </c>
      <c r="AJ16611" s="835">
        <v>41152</v>
      </c>
      <c r="AK16611" s="831">
        <v>0</v>
      </c>
    </row>
    <row r="16612" spans="2:37">
      <c r="B16612" s="834" t="str">
        <f t="shared" si="599"/>
        <v>|||</v>
      </c>
      <c r="H16612" s="835">
        <f t="shared" si="600"/>
        <v>31</v>
      </c>
      <c r="AF16612" s="831" t="s">
        <v>10503</v>
      </c>
      <c r="AG16612" s="831" t="s">
        <v>2674</v>
      </c>
      <c r="AH16612" s="831" t="s">
        <v>570</v>
      </c>
      <c r="AI16612" s="831">
        <v>0</v>
      </c>
      <c r="AJ16612" s="835">
        <v>41152</v>
      </c>
      <c r="AK16612" s="831">
        <v>0</v>
      </c>
    </row>
    <row r="16613" spans="2:37">
      <c r="B16613" s="834" t="str">
        <f t="shared" si="599"/>
        <v>|||</v>
      </c>
      <c r="H16613" s="835">
        <f t="shared" si="600"/>
        <v>31</v>
      </c>
      <c r="AF16613" s="831" t="s">
        <v>10504</v>
      </c>
      <c r="AG16613" s="831" t="s">
        <v>2674</v>
      </c>
      <c r="AH16613" s="831" t="s">
        <v>571</v>
      </c>
      <c r="AI16613" s="831">
        <v>0</v>
      </c>
      <c r="AJ16613" s="835">
        <v>41152</v>
      </c>
      <c r="AK16613" s="831">
        <v>0</v>
      </c>
    </row>
    <row r="16614" spans="2:37">
      <c r="B16614" s="834" t="str">
        <f t="shared" si="599"/>
        <v>|||</v>
      </c>
      <c r="H16614" s="835">
        <f t="shared" si="600"/>
        <v>31</v>
      </c>
      <c r="AF16614" s="831" t="s">
        <v>10505</v>
      </c>
      <c r="AG16614" s="831" t="s">
        <v>2674</v>
      </c>
      <c r="AH16614" s="831" t="s">
        <v>573</v>
      </c>
      <c r="AI16614" s="831">
        <v>0</v>
      </c>
      <c r="AJ16614" s="835">
        <v>41152</v>
      </c>
      <c r="AK16614" s="831">
        <v>0</v>
      </c>
    </row>
    <row r="16615" spans="2:37">
      <c r="B16615" s="834" t="str">
        <f t="shared" si="599"/>
        <v>|||</v>
      </c>
      <c r="H16615" s="835">
        <f t="shared" si="600"/>
        <v>31</v>
      </c>
      <c r="AF16615" s="831" t="s">
        <v>10506</v>
      </c>
      <c r="AG16615" s="831" t="s">
        <v>2674</v>
      </c>
      <c r="AH16615" s="831" t="s">
        <v>574</v>
      </c>
      <c r="AI16615" s="831">
        <v>0</v>
      </c>
      <c r="AJ16615" s="835">
        <v>41152</v>
      </c>
      <c r="AK16615" s="831">
        <v>0</v>
      </c>
    </row>
    <row r="16616" spans="2:37">
      <c r="B16616" s="834" t="str">
        <f t="shared" si="599"/>
        <v>|||</v>
      </c>
      <c r="H16616" s="835">
        <f t="shared" si="600"/>
        <v>31</v>
      </c>
      <c r="AF16616" s="831" t="s">
        <v>10507</v>
      </c>
      <c r="AG16616" s="831" t="s">
        <v>2674</v>
      </c>
      <c r="AH16616" s="831" t="s">
        <v>575</v>
      </c>
      <c r="AI16616" s="831">
        <v>0</v>
      </c>
      <c r="AJ16616" s="835">
        <v>41152</v>
      </c>
      <c r="AK16616" s="831">
        <v>0</v>
      </c>
    </row>
    <row r="16617" spans="2:37">
      <c r="B16617" s="834" t="str">
        <f t="shared" si="599"/>
        <v>|||</v>
      </c>
      <c r="H16617" s="835">
        <f t="shared" si="600"/>
        <v>31</v>
      </c>
      <c r="AF16617" s="831" t="s">
        <v>10508</v>
      </c>
      <c r="AG16617" s="831" t="s">
        <v>2674</v>
      </c>
      <c r="AH16617" s="831" t="s">
        <v>576</v>
      </c>
      <c r="AI16617" s="831">
        <v>0</v>
      </c>
      <c r="AJ16617" s="835">
        <v>41152</v>
      </c>
      <c r="AK16617" s="831">
        <v>0</v>
      </c>
    </row>
    <row r="16618" spans="2:37">
      <c r="B16618" s="834" t="str">
        <f t="shared" si="599"/>
        <v>|||</v>
      </c>
      <c r="H16618" s="835">
        <f t="shared" si="600"/>
        <v>31</v>
      </c>
      <c r="AF16618" s="831" t="s">
        <v>10509</v>
      </c>
      <c r="AG16618" s="831" t="s">
        <v>2674</v>
      </c>
      <c r="AH16618" s="831" t="s">
        <v>572</v>
      </c>
      <c r="AI16618" s="831">
        <v>0</v>
      </c>
      <c r="AJ16618" s="835">
        <v>41152</v>
      </c>
      <c r="AK16618" s="831">
        <v>-2146826246</v>
      </c>
    </row>
    <row r="16619" spans="2:37">
      <c r="B16619" s="834" t="str">
        <f t="shared" si="599"/>
        <v>|||</v>
      </c>
      <c r="H16619" s="835">
        <f t="shared" si="600"/>
        <v>31</v>
      </c>
      <c r="AF16619" s="831" t="s">
        <v>10510</v>
      </c>
      <c r="AG16619" s="831" t="s">
        <v>2674</v>
      </c>
      <c r="AH16619" s="831" t="s">
        <v>577</v>
      </c>
      <c r="AI16619" s="831">
        <v>0</v>
      </c>
      <c r="AJ16619" s="835">
        <v>41152</v>
      </c>
      <c r="AK16619" s="831">
        <v>-2146826246</v>
      </c>
    </row>
    <row r="16620" spans="2:37">
      <c r="B16620" s="834" t="str">
        <f t="shared" si="599"/>
        <v>|||</v>
      </c>
      <c r="H16620" s="835">
        <f t="shared" si="600"/>
        <v>31</v>
      </c>
      <c r="AF16620" s="831" t="s">
        <v>10511</v>
      </c>
      <c r="AG16620" s="831" t="s">
        <v>2674</v>
      </c>
      <c r="AH16620" s="831" t="s">
        <v>3042</v>
      </c>
      <c r="AI16620" s="831">
        <v>0</v>
      </c>
      <c r="AJ16620" s="835">
        <v>41152</v>
      </c>
      <c r="AK16620" s="831">
        <v>-2146826246</v>
      </c>
    </row>
    <row r="16621" spans="2:37">
      <c r="B16621" s="834" t="str">
        <f t="shared" si="599"/>
        <v>|||</v>
      </c>
      <c r="H16621" s="835">
        <f t="shared" si="600"/>
        <v>31</v>
      </c>
      <c r="AF16621" s="831" t="s">
        <v>10512</v>
      </c>
      <c r="AG16621" s="831" t="s">
        <v>2674</v>
      </c>
      <c r="AH16621" s="831" t="s">
        <v>3044</v>
      </c>
      <c r="AI16621" s="831">
        <v>0</v>
      </c>
      <c r="AJ16621" s="835">
        <v>41152</v>
      </c>
      <c r="AK16621" s="831">
        <v>-2146826246</v>
      </c>
    </row>
    <row r="16622" spans="2:37">
      <c r="B16622" s="834" t="str">
        <f t="shared" si="599"/>
        <v>|||</v>
      </c>
      <c r="H16622" s="835">
        <f t="shared" si="600"/>
        <v>31</v>
      </c>
      <c r="AF16622" s="831" t="s">
        <v>10513</v>
      </c>
      <c r="AG16622" s="831" t="s">
        <v>2674</v>
      </c>
      <c r="AH16622" s="831" t="s">
        <v>580</v>
      </c>
      <c r="AI16622" s="831">
        <v>0</v>
      </c>
      <c r="AJ16622" s="835">
        <v>41152</v>
      </c>
      <c r="AK16622" s="831">
        <v>-2146826246</v>
      </c>
    </row>
    <row r="16623" spans="2:37">
      <c r="B16623" s="834" t="str">
        <f t="shared" si="599"/>
        <v>|||</v>
      </c>
      <c r="H16623" s="835">
        <f t="shared" si="600"/>
        <v>31</v>
      </c>
      <c r="AF16623" s="831" t="s">
        <v>10514</v>
      </c>
      <c r="AG16623" s="831" t="s">
        <v>2674</v>
      </c>
      <c r="AH16623" s="831" t="s">
        <v>581</v>
      </c>
      <c r="AI16623" s="831">
        <v>0</v>
      </c>
      <c r="AJ16623" s="835">
        <v>41152</v>
      </c>
      <c r="AK16623" s="831">
        <v>-2146826246</v>
      </c>
    </row>
    <row r="16624" spans="2:37">
      <c r="B16624" s="834" t="str">
        <f t="shared" si="599"/>
        <v>|||</v>
      </c>
      <c r="H16624" s="835">
        <f t="shared" si="600"/>
        <v>31</v>
      </c>
      <c r="AF16624" s="831" t="s">
        <v>10515</v>
      </c>
      <c r="AG16624" s="831" t="s">
        <v>2674</v>
      </c>
      <c r="AH16624" s="831" t="s">
        <v>105</v>
      </c>
      <c r="AI16624" s="831">
        <v>0</v>
      </c>
      <c r="AJ16624" s="835">
        <v>41152</v>
      </c>
      <c r="AK16624" s="831">
        <v>180384094</v>
      </c>
    </row>
    <row r="16625" spans="2:37">
      <c r="B16625" s="834" t="str">
        <f t="shared" si="599"/>
        <v>|||</v>
      </c>
      <c r="H16625" s="835">
        <f t="shared" si="600"/>
        <v>31</v>
      </c>
      <c r="AF16625" s="831" t="s">
        <v>10516</v>
      </c>
      <c r="AG16625" s="831" t="s">
        <v>2674</v>
      </c>
      <c r="AH16625" s="831" t="s">
        <v>3049</v>
      </c>
      <c r="AI16625" s="831">
        <v>0</v>
      </c>
      <c r="AJ16625" s="835">
        <v>41152</v>
      </c>
      <c r="AK16625" s="831">
        <v>343993651</v>
      </c>
    </row>
    <row r="16626" spans="2:37">
      <c r="B16626" s="834" t="str">
        <f t="shared" si="599"/>
        <v>|||</v>
      </c>
      <c r="H16626" s="835">
        <f t="shared" si="600"/>
        <v>31</v>
      </c>
      <c r="AF16626" s="831" t="s">
        <v>10517</v>
      </c>
      <c r="AG16626" s="831" t="s">
        <v>2674</v>
      </c>
      <c r="AH16626" s="831" t="s">
        <v>103</v>
      </c>
      <c r="AI16626" s="831">
        <v>0</v>
      </c>
      <c r="AJ16626" s="835">
        <v>41152</v>
      </c>
      <c r="AK16626" s="831">
        <v>163609557</v>
      </c>
    </row>
    <row r="16627" spans="2:37">
      <c r="B16627" s="834" t="str">
        <f t="shared" si="599"/>
        <v>|||</v>
      </c>
      <c r="H16627" s="835">
        <f t="shared" si="600"/>
        <v>31</v>
      </c>
      <c r="AF16627" s="831" t="s">
        <v>10518</v>
      </c>
      <c r="AG16627" s="831" t="s">
        <v>2674</v>
      </c>
      <c r="AH16627" s="831" t="s">
        <v>182</v>
      </c>
      <c r="AI16627" s="831">
        <v>0</v>
      </c>
      <c r="AJ16627" s="835">
        <v>41152</v>
      </c>
      <c r="AK16627" s="831">
        <v>50326770</v>
      </c>
    </row>
    <row r="16628" spans="2:37">
      <c r="B16628" s="834" t="str">
        <f t="shared" si="599"/>
        <v>|||</v>
      </c>
      <c r="H16628" s="835">
        <f t="shared" si="600"/>
        <v>31</v>
      </c>
      <c r="AF16628" s="831" t="s">
        <v>10519</v>
      </c>
      <c r="AG16628" s="831" t="s">
        <v>2674</v>
      </c>
      <c r="AH16628" s="831" t="s">
        <v>6600</v>
      </c>
      <c r="AI16628" s="831">
        <v>0</v>
      </c>
      <c r="AJ16628" s="835">
        <v>41152</v>
      </c>
      <c r="AK16628" s="831">
        <v>-2146826246</v>
      </c>
    </row>
    <row r="16629" spans="2:37">
      <c r="B16629" s="834" t="str">
        <f t="shared" si="599"/>
        <v>|||</v>
      </c>
      <c r="H16629" s="835">
        <f t="shared" si="600"/>
        <v>31</v>
      </c>
      <c r="AF16629" s="831" t="s">
        <v>10520</v>
      </c>
      <c r="AG16629" s="831" t="s">
        <v>2674</v>
      </c>
      <c r="AH16629" s="831" t="s">
        <v>6602</v>
      </c>
      <c r="AI16629" s="831">
        <v>0</v>
      </c>
      <c r="AJ16629" s="835">
        <v>41152</v>
      </c>
      <c r="AK16629" s="831">
        <v>10092049</v>
      </c>
    </row>
    <row r="16630" spans="2:37">
      <c r="B16630" s="834" t="str">
        <f t="shared" si="599"/>
        <v>|||</v>
      </c>
      <c r="H16630" s="835">
        <f t="shared" si="600"/>
        <v>31</v>
      </c>
      <c r="AF16630" s="831" t="s">
        <v>10521</v>
      </c>
      <c r="AG16630" s="831" t="s">
        <v>2674</v>
      </c>
      <c r="AH16630" s="831" t="s">
        <v>650</v>
      </c>
      <c r="AI16630" s="831">
        <v>0</v>
      </c>
      <c r="AJ16630" s="835">
        <v>41152</v>
      </c>
      <c r="AK16630" s="831">
        <v>0</v>
      </c>
    </row>
    <row r="16631" spans="2:37">
      <c r="B16631" s="834" t="str">
        <f t="shared" si="599"/>
        <v>|||</v>
      </c>
      <c r="H16631" s="835">
        <f t="shared" si="600"/>
        <v>31</v>
      </c>
      <c r="AF16631" s="831" t="s">
        <v>10522</v>
      </c>
      <c r="AG16631" s="831" t="s">
        <v>2674</v>
      </c>
      <c r="AH16631" s="831" t="s">
        <v>655</v>
      </c>
      <c r="AI16631" s="831">
        <v>0</v>
      </c>
      <c r="AJ16631" s="835">
        <v>41152</v>
      </c>
      <c r="AK16631" s="831">
        <v>1649423</v>
      </c>
    </row>
    <row r="16632" spans="2:37">
      <c r="B16632" s="834" t="str">
        <f t="shared" si="599"/>
        <v>|||</v>
      </c>
      <c r="H16632" s="835">
        <f t="shared" si="600"/>
        <v>31</v>
      </c>
      <c r="AF16632" s="831" t="s">
        <v>10523</v>
      </c>
      <c r="AG16632" s="831" t="s">
        <v>2674</v>
      </c>
      <c r="AH16632" s="831" t="s">
        <v>546</v>
      </c>
      <c r="AI16632" s="831">
        <v>0</v>
      </c>
      <c r="AJ16632" s="835">
        <v>41182</v>
      </c>
      <c r="AK16632" s="831">
        <v>367084945</v>
      </c>
    </row>
    <row r="16633" spans="2:37">
      <c r="B16633" s="834" t="str">
        <f t="shared" si="599"/>
        <v>|||</v>
      </c>
      <c r="H16633" s="835">
        <f t="shared" si="600"/>
        <v>31</v>
      </c>
      <c r="AF16633" s="831" t="s">
        <v>10524</v>
      </c>
      <c r="AG16633" s="831" t="s">
        <v>2674</v>
      </c>
      <c r="AH16633" s="831" t="s">
        <v>370</v>
      </c>
      <c r="AI16633" s="831">
        <v>0</v>
      </c>
      <c r="AJ16633" s="835">
        <v>41182</v>
      </c>
      <c r="AK16633" s="831">
        <v>456586970</v>
      </c>
    </row>
    <row r="16634" spans="2:37">
      <c r="B16634" s="834" t="str">
        <f t="shared" si="599"/>
        <v>|||</v>
      </c>
      <c r="H16634" s="835">
        <f t="shared" si="600"/>
        <v>31</v>
      </c>
      <c r="AF16634" s="831" t="s">
        <v>10525</v>
      </c>
      <c r="AG16634" s="831" t="s">
        <v>2674</v>
      </c>
      <c r="AH16634" s="831" t="s">
        <v>126</v>
      </c>
      <c r="AI16634" s="831">
        <v>0</v>
      </c>
      <c r="AJ16634" s="835">
        <v>41182</v>
      </c>
      <c r="AK16634" s="831">
        <v>97409403</v>
      </c>
    </row>
    <row r="16635" spans="2:37">
      <c r="B16635" s="834" t="str">
        <f t="shared" si="599"/>
        <v>|||</v>
      </c>
      <c r="H16635" s="835">
        <f t="shared" si="600"/>
        <v>31</v>
      </c>
      <c r="AF16635" s="831" t="s">
        <v>10526</v>
      </c>
      <c r="AG16635" s="831" t="s">
        <v>2674</v>
      </c>
      <c r="AH16635" s="831" t="s">
        <v>268</v>
      </c>
      <c r="AI16635" s="831">
        <v>0</v>
      </c>
      <c r="AJ16635" s="835">
        <v>41182</v>
      </c>
      <c r="AK16635" s="831">
        <v>12086480</v>
      </c>
    </row>
    <row r="16636" spans="2:37">
      <c r="B16636" s="834" t="str">
        <f t="shared" si="599"/>
        <v>|||</v>
      </c>
      <c r="H16636" s="835">
        <f t="shared" si="600"/>
        <v>31</v>
      </c>
      <c r="AF16636" s="831" t="s">
        <v>10527</v>
      </c>
      <c r="AG16636" s="831" t="s">
        <v>2674</v>
      </c>
      <c r="AH16636" s="831" t="s">
        <v>547</v>
      </c>
      <c r="AI16636" s="831">
        <v>0</v>
      </c>
      <c r="AJ16636" s="835">
        <v>41182</v>
      </c>
      <c r="AK16636" s="831">
        <v>0</v>
      </c>
    </row>
    <row r="16637" spans="2:37">
      <c r="B16637" s="834" t="str">
        <f t="shared" si="599"/>
        <v>|||</v>
      </c>
      <c r="H16637" s="835">
        <f t="shared" si="600"/>
        <v>31</v>
      </c>
      <c r="AF16637" s="831" t="s">
        <v>10528</v>
      </c>
      <c r="AG16637" s="831" t="s">
        <v>2674</v>
      </c>
      <c r="AH16637" s="831" t="s">
        <v>548</v>
      </c>
      <c r="AI16637" s="831">
        <v>0</v>
      </c>
      <c r="AJ16637" s="835">
        <v>41182</v>
      </c>
      <c r="AK16637" s="831">
        <v>0</v>
      </c>
    </row>
    <row r="16638" spans="2:37">
      <c r="B16638" s="834" t="str">
        <f t="shared" si="599"/>
        <v>|||</v>
      </c>
      <c r="H16638" s="835">
        <f t="shared" si="600"/>
        <v>31</v>
      </c>
      <c r="AF16638" s="831" t="s">
        <v>10529</v>
      </c>
      <c r="AG16638" s="831" t="s">
        <v>2674</v>
      </c>
      <c r="AH16638" s="831" t="s">
        <v>549</v>
      </c>
      <c r="AI16638" s="831">
        <v>0</v>
      </c>
      <c r="AJ16638" s="835">
        <v>41182</v>
      </c>
      <c r="AK16638" s="831">
        <v>0</v>
      </c>
    </row>
    <row r="16639" spans="2:37">
      <c r="B16639" s="834" t="str">
        <f t="shared" si="599"/>
        <v>|||</v>
      </c>
      <c r="H16639" s="835">
        <f t="shared" si="600"/>
        <v>31</v>
      </c>
      <c r="AF16639" s="831" t="s">
        <v>10530</v>
      </c>
      <c r="AG16639" s="831" t="s">
        <v>2674</v>
      </c>
      <c r="AH16639" s="831" t="s">
        <v>192</v>
      </c>
      <c r="AI16639" s="831">
        <v>0</v>
      </c>
      <c r="AJ16639" s="835">
        <v>41182</v>
      </c>
      <c r="AK16639" s="831">
        <v>-9429800</v>
      </c>
    </row>
    <row r="16640" spans="2:37">
      <c r="B16640" s="834" t="str">
        <f t="shared" si="599"/>
        <v>|||</v>
      </c>
      <c r="H16640" s="835">
        <f t="shared" si="600"/>
        <v>31</v>
      </c>
      <c r="AF16640" s="831" t="s">
        <v>10531</v>
      </c>
      <c r="AG16640" s="831" t="s">
        <v>2674</v>
      </c>
      <c r="AH16640" s="831" t="s">
        <v>558</v>
      </c>
      <c r="AI16640" s="831">
        <v>0</v>
      </c>
      <c r="AJ16640" s="835">
        <v>41182</v>
      </c>
      <c r="AK16640" s="831">
        <v>359177567</v>
      </c>
    </row>
    <row r="16641" spans="2:37">
      <c r="B16641" s="834" t="str">
        <f t="shared" si="599"/>
        <v>|||</v>
      </c>
      <c r="H16641" s="835">
        <f t="shared" si="600"/>
        <v>31</v>
      </c>
      <c r="AF16641" s="831" t="s">
        <v>10532</v>
      </c>
      <c r="AG16641" s="831" t="s">
        <v>2674</v>
      </c>
      <c r="AH16641" s="831" t="s">
        <v>65</v>
      </c>
      <c r="AI16641" s="831">
        <v>0</v>
      </c>
      <c r="AJ16641" s="835">
        <v>41182</v>
      </c>
      <c r="AK16641" s="831">
        <v>71268198</v>
      </c>
    </row>
    <row r="16642" spans="2:37">
      <c r="B16642" s="834" t="str">
        <f t="shared" si="599"/>
        <v>|||</v>
      </c>
      <c r="H16642" s="835">
        <f t="shared" si="600"/>
        <v>31</v>
      </c>
      <c r="AF16642" s="831" t="s">
        <v>10533</v>
      </c>
      <c r="AG16642" s="831" t="s">
        <v>2674</v>
      </c>
      <c r="AH16642" s="831" t="s">
        <v>89</v>
      </c>
      <c r="AI16642" s="831">
        <v>0</v>
      </c>
      <c r="AJ16642" s="835">
        <v>41182</v>
      </c>
      <c r="AK16642" s="831">
        <v>122822</v>
      </c>
    </row>
    <row r="16643" spans="2:37">
      <c r="B16643" s="834" t="str">
        <f t="shared" si="599"/>
        <v>|||</v>
      </c>
      <c r="H16643" s="835">
        <f t="shared" si="600"/>
        <v>31</v>
      </c>
      <c r="AF16643" s="831" t="s">
        <v>10534</v>
      </c>
      <c r="AG16643" s="831" t="s">
        <v>2674</v>
      </c>
      <c r="AH16643" s="831" t="s">
        <v>557</v>
      </c>
      <c r="AI16643" s="831">
        <v>0</v>
      </c>
      <c r="AJ16643" s="835">
        <v>41182</v>
      </c>
      <c r="AK16643" s="831">
        <v>124710</v>
      </c>
    </row>
    <row r="16644" spans="2:37">
      <c r="B16644" s="834" t="str">
        <f t="shared" si="599"/>
        <v>|||</v>
      </c>
      <c r="H16644" s="835">
        <f t="shared" si="600"/>
        <v>31</v>
      </c>
      <c r="AF16644" s="831" t="s">
        <v>10535</v>
      </c>
      <c r="AG16644" s="831" t="s">
        <v>2674</v>
      </c>
      <c r="AH16644" s="831" t="s">
        <v>29</v>
      </c>
      <c r="AI16644" s="831">
        <v>0</v>
      </c>
      <c r="AJ16644" s="835">
        <v>41182</v>
      </c>
      <c r="AK16644" s="831">
        <v>2101787</v>
      </c>
    </row>
    <row r="16645" spans="2:37">
      <c r="B16645" s="834" t="str">
        <f t="shared" si="599"/>
        <v>|||</v>
      </c>
      <c r="H16645" s="835">
        <f t="shared" si="600"/>
        <v>31</v>
      </c>
      <c r="AF16645" s="831" t="s">
        <v>10536</v>
      </c>
      <c r="AG16645" s="831" t="s">
        <v>2674</v>
      </c>
      <c r="AH16645" s="831" t="s">
        <v>2688</v>
      </c>
      <c r="AI16645" s="831">
        <v>0</v>
      </c>
      <c r="AJ16645" s="835">
        <v>41182</v>
      </c>
      <c r="AK16645" s="831">
        <v>2502472</v>
      </c>
    </row>
    <row r="16646" spans="2:37">
      <c r="B16646" s="834" t="str">
        <f t="shared" si="599"/>
        <v>|||</v>
      </c>
      <c r="H16646" s="835">
        <f t="shared" si="600"/>
        <v>31</v>
      </c>
      <c r="AF16646" s="831" t="s">
        <v>10537</v>
      </c>
      <c r="AG16646" s="831" t="s">
        <v>2674</v>
      </c>
      <c r="AH16646" s="831" t="s">
        <v>556</v>
      </c>
      <c r="AI16646" s="831">
        <v>0</v>
      </c>
      <c r="AJ16646" s="835">
        <v>41182</v>
      </c>
      <c r="AK16646" s="831">
        <v>902857</v>
      </c>
    </row>
    <row r="16647" spans="2:37">
      <c r="B16647" s="834" t="str">
        <f t="shared" si="599"/>
        <v>|||</v>
      </c>
      <c r="H16647" s="835">
        <f t="shared" si="600"/>
        <v>31</v>
      </c>
      <c r="AF16647" s="831" t="s">
        <v>10538</v>
      </c>
      <c r="AG16647" s="831" t="s">
        <v>2674</v>
      </c>
      <c r="AH16647" s="831" t="s">
        <v>555</v>
      </c>
      <c r="AI16647" s="831">
        <v>0</v>
      </c>
      <c r="AJ16647" s="835">
        <v>41182</v>
      </c>
      <c r="AK16647" s="831">
        <v>230223270</v>
      </c>
    </row>
    <row r="16648" spans="2:37">
      <c r="B16648" s="834" t="str">
        <f t="shared" si="599"/>
        <v>|||</v>
      </c>
      <c r="H16648" s="835">
        <f t="shared" si="600"/>
        <v>31</v>
      </c>
      <c r="AF16648" s="831" t="s">
        <v>10539</v>
      </c>
      <c r="AG16648" s="831" t="s">
        <v>2674</v>
      </c>
      <c r="AH16648" s="831" t="s">
        <v>554</v>
      </c>
      <c r="AI16648" s="831">
        <v>0</v>
      </c>
      <c r="AJ16648" s="835">
        <v>41182</v>
      </c>
      <c r="AK16648" s="831">
        <v>219562790</v>
      </c>
    </row>
    <row r="16649" spans="2:37">
      <c r="B16649" s="834" t="str">
        <f t="shared" si="599"/>
        <v>|||</v>
      </c>
      <c r="H16649" s="835">
        <f t="shared" si="600"/>
        <v>31</v>
      </c>
      <c r="AF16649" s="831" t="s">
        <v>10540</v>
      </c>
      <c r="AG16649" s="831" t="s">
        <v>2674</v>
      </c>
      <c r="AH16649" s="831" t="s">
        <v>553</v>
      </c>
      <c r="AI16649" s="831">
        <v>0</v>
      </c>
      <c r="AJ16649" s="835">
        <v>41182</v>
      </c>
      <c r="AK16649" s="831">
        <v>0</v>
      </c>
    </row>
    <row r="16650" spans="2:37">
      <c r="B16650" s="834" t="str">
        <f t="shared" si="599"/>
        <v>|||</v>
      </c>
      <c r="H16650" s="835">
        <f t="shared" si="600"/>
        <v>31</v>
      </c>
      <c r="AF16650" s="831" t="s">
        <v>10541</v>
      </c>
      <c r="AG16650" s="831" t="s">
        <v>2674</v>
      </c>
      <c r="AH16650" s="831" t="s">
        <v>552</v>
      </c>
      <c r="AI16650" s="831">
        <v>0</v>
      </c>
      <c r="AJ16650" s="835">
        <v>41182</v>
      </c>
      <c r="AK16650" s="831">
        <v>0</v>
      </c>
    </row>
    <row r="16651" spans="2:37">
      <c r="B16651" s="834" t="str">
        <f t="shared" si="599"/>
        <v>|||</v>
      </c>
      <c r="H16651" s="835">
        <f t="shared" si="600"/>
        <v>31</v>
      </c>
      <c r="AF16651" s="831" t="s">
        <v>10542</v>
      </c>
      <c r="AG16651" s="831" t="s">
        <v>2674</v>
      </c>
      <c r="AH16651" s="831" t="s">
        <v>551</v>
      </c>
      <c r="AI16651" s="831">
        <v>0</v>
      </c>
      <c r="AJ16651" s="835">
        <v>41182</v>
      </c>
      <c r="AK16651" s="831">
        <v>1960032</v>
      </c>
    </row>
    <row r="16652" spans="2:37">
      <c r="B16652" s="834" t="str">
        <f t="shared" si="599"/>
        <v>|||</v>
      </c>
      <c r="H16652" s="835">
        <f t="shared" si="600"/>
        <v>31</v>
      </c>
      <c r="AF16652" s="831" t="s">
        <v>10543</v>
      </c>
      <c r="AG16652" s="831" t="s">
        <v>2674</v>
      </c>
      <c r="AH16652" s="831" t="s">
        <v>550</v>
      </c>
      <c r="AI16652" s="831">
        <v>0</v>
      </c>
      <c r="AJ16652" s="835">
        <v>41182</v>
      </c>
      <c r="AK16652" s="831">
        <v>95414973</v>
      </c>
    </row>
    <row r="16653" spans="2:37">
      <c r="B16653" s="834" t="str">
        <f t="shared" si="599"/>
        <v>|||</v>
      </c>
      <c r="H16653" s="835">
        <f t="shared" si="600"/>
        <v>31</v>
      </c>
      <c r="AF16653" s="831" t="s">
        <v>10544</v>
      </c>
      <c r="AG16653" s="831" t="s">
        <v>2674</v>
      </c>
      <c r="AH16653" s="831" t="s">
        <v>562</v>
      </c>
      <c r="AI16653" s="831">
        <v>0</v>
      </c>
      <c r="AJ16653" s="835">
        <v>41182</v>
      </c>
      <c r="AK16653" s="831">
        <v>0.78464999999999996</v>
      </c>
    </row>
    <row r="16654" spans="2:37">
      <c r="B16654" s="834" t="str">
        <f t="shared" si="599"/>
        <v>|||</v>
      </c>
      <c r="H16654" s="835">
        <f t="shared" si="600"/>
        <v>31</v>
      </c>
      <c r="AF16654" s="831" t="s">
        <v>10545</v>
      </c>
      <c r="AG16654" s="831" t="s">
        <v>2674</v>
      </c>
      <c r="AH16654" s="831" t="s">
        <v>2698</v>
      </c>
      <c r="AI16654" s="831">
        <v>0</v>
      </c>
      <c r="AJ16654" s="835">
        <v>41182</v>
      </c>
      <c r="AK16654" s="831">
        <v>0.78449999999999998</v>
      </c>
    </row>
    <row r="16655" spans="2:37">
      <c r="B16655" s="834" t="str">
        <f t="shared" si="599"/>
        <v>|||</v>
      </c>
      <c r="H16655" s="835">
        <f t="shared" si="600"/>
        <v>31</v>
      </c>
      <c r="AF16655" s="831" t="s">
        <v>10546</v>
      </c>
      <c r="AG16655" s="831" t="s">
        <v>2674</v>
      </c>
      <c r="AH16655" s="831" t="s">
        <v>560</v>
      </c>
      <c r="AI16655" s="831">
        <v>0</v>
      </c>
      <c r="AJ16655" s="835">
        <v>41182</v>
      </c>
      <c r="AK16655" s="831">
        <v>0.78534999999999999</v>
      </c>
    </row>
    <row r="16656" spans="2:37">
      <c r="B16656" s="834" t="str">
        <f t="shared" si="599"/>
        <v>|||</v>
      </c>
      <c r="H16656" s="835">
        <f t="shared" si="600"/>
        <v>31</v>
      </c>
      <c r="AF16656" s="831" t="s">
        <v>10547</v>
      </c>
      <c r="AG16656" s="831" t="s">
        <v>2674</v>
      </c>
      <c r="AH16656" s="831" t="s">
        <v>559</v>
      </c>
      <c r="AI16656" s="831">
        <v>0</v>
      </c>
      <c r="AJ16656" s="835">
        <v>41182</v>
      </c>
      <c r="AK16656" s="831">
        <v>0.78557083333333333</v>
      </c>
    </row>
    <row r="16657" spans="2:37">
      <c r="B16657" s="834" t="str">
        <f t="shared" ref="B16657:B16720" si="601">C16657&amp;"|"&amp;D16657&amp;"|"&amp;E16657&amp;"|"&amp;F16657</f>
        <v>|||</v>
      </c>
      <c r="H16657" s="835">
        <f t="shared" ref="H16657:H16720" si="602">EOMONTH(L16657,0)</f>
        <v>31</v>
      </c>
      <c r="AF16657" s="831" t="s">
        <v>10548</v>
      </c>
      <c r="AG16657" s="831" t="s">
        <v>2674</v>
      </c>
      <c r="AH16657" s="831" t="s">
        <v>568</v>
      </c>
      <c r="AI16657" s="831">
        <v>0</v>
      </c>
      <c r="AJ16657" s="835">
        <v>41182</v>
      </c>
      <c r="AK16657" s="831">
        <v>0</v>
      </c>
    </row>
    <row r="16658" spans="2:37">
      <c r="B16658" s="834" t="str">
        <f t="shared" si="601"/>
        <v>|||</v>
      </c>
      <c r="H16658" s="835">
        <f t="shared" si="602"/>
        <v>31</v>
      </c>
      <c r="AF16658" s="831" t="s">
        <v>10549</v>
      </c>
      <c r="AG16658" s="831" t="s">
        <v>2674</v>
      </c>
      <c r="AH16658" s="831" t="s">
        <v>569</v>
      </c>
      <c r="AI16658" s="831">
        <v>0</v>
      </c>
      <c r="AJ16658" s="835">
        <v>41182</v>
      </c>
      <c r="AK16658" s="831">
        <v>0</v>
      </c>
    </row>
    <row r="16659" spans="2:37">
      <c r="B16659" s="834" t="str">
        <f t="shared" si="601"/>
        <v>|||</v>
      </c>
      <c r="H16659" s="835">
        <f t="shared" si="602"/>
        <v>31</v>
      </c>
      <c r="AF16659" s="831" t="s">
        <v>10550</v>
      </c>
      <c r="AG16659" s="831" t="s">
        <v>2674</v>
      </c>
      <c r="AH16659" s="831" t="s">
        <v>570</v>
      </c>
      <c r="AI16659" s="831">
        <v>0</v>
      </c>
      <c r="AJ16659" s="835">
        <v>41182</v>
      </c>
      <c r="AK16659" s="831">
        <v>0</v>
      </c>
    </row>
    <row r="16660" spans="2:37">
      <c r="B16660" s="834" t="str">
        <f t="shared" si="601"/>
        <v>|||</v>
      </c>
      <c r="H16660" s="835">
        <f t="shared" si="602"/>
        <v>31</v>
      </c>
      <c r="AF16660" s="831" t="s">
        <v>10551</v>
      </c>
      <c r="AG16660" s="831" t="s">
        <v>2674</v>
      </c>
      <c r="AH16660" s="831" t="s">
        <v>571</v>
      </c>
      <c r="AI16660" s="831">
        <v>0</v>
      </c>
      <c r="AJ16660" s="835">
        <v>41182</v>
      </c>
      <c r="AK16660" s="831">
        <v>0</v>
      </c>
    </row>
    <row r="16661" spans="2:37">
      <c r="B16661" s="834" t="str">
        <f t="shared" si="601"/>
        <v>|||</v>
      </c>
      <c r="H16661" s="835">
        <f t="shared" si="602"/>
        <v>31</v>
      </c>
      <c r="AF16661" s="831" t="s">
        <v>10552</v>
      </c>
      <c r="AG16661" s="831" t="s">
        <v>2674</v>
      </c>
      <c r="AH16661" s="831" t="s">
        <v>573</v>
      </c>
      <c r="AI16661" s="831">
        <v>0</v>
      </c>
      <c r="AJ16661" s="835">
        <v>41182</v>
      </c>
      <c r="AK16661" s="831">
        <v>0</v>
      </c>
    </row>
    <row r="16662" spans="2:37">
      <c r="B16662" s="834" t="str">
        <f t="shared" si="601"/>
        <v>|||</v>
      </c>
      <c r="H16662" s="835">
        <f t="shared" si="602"/>
        <v>31</v>
      </c>
      <c r="AF16662" s="831" t="s">
        <v>10553</v>
      </c>
      <c r="AG16662" s="831" t="s">
        <v>2674</v>
      </c>
      <c r="AH16662" s="831" t="s">
        <v>574</v>
      </c>
      <c r="AI16662" s="831">
        <v>0</v>
      </c>
      <c r="AJ16662" s="835">
        <v>41182</v>
      </c>
      <c r="AK16662" s="831">
        <v>0</v>
      </c>
    </row>
    <row r="16663" spans="2:37">
      <c r="B16663" s="834" t="str">
        <f t="shared" si="601"/>
        <v>|||</v>
      </c>
      <c r="H16663" s="835">
        <f t="shared" si="602"/>
        <v>31</v>
      </c>
      <c r="AF16663" s="831" t="s">
        <v>10554</v>
      </c>
      <c r="AG16663" s="831" t="s">
        <v>2674</v>
      </c>
      <c r="AH16663" s="831" t="s">
        <v>575</v>
      </c>
      <c r="AI16663" s="831">
        <v>0</v>
      </c>
      <c r="AJ16663" s="835">
        <v>41182</v>
      </c>
      <c r="AK16663" s="831">
        <v>0</v>
      </c>
    </row>
    <row r="16664" spans="2:37">
      <c r="B16664" s="834" t="str">
        <f t="shared" si="601"/>
        <v>|||</v>
      </c>
      <c r="H16664" s="835">
        <f t="shared" si="602"/>
        <v>31</v>
      </c>
      <c r="AF16664" s="831" t="s">
        <v>10555</v>
      </c>
      <c r="AG16664" s="831" t="s">
        <v>2674</v>
      </c>
      <c r="AH16664" s="831" t="s">
        <v>576</v>
      </c>
      <c r="AI16664" s="831">
        <v>0</v>
      </c>
      <c r="AJ16664" s="835">
        <v>41182</v>
      </c>
      <c r="AK16664" s="831">
        <v>0</v>
      </c>
    </row>
    <row r="16665" spans="2:37">
      <c r="B16665" s="834" t="str">
        <f t="shared" si="601"/>
        <v>|||</v>
      </c>
      <c r="H16665" s="835">
        <f t="shared" si="602"/>
        <v>31</v>
      </c>
      <c r="AF16665" s="831" t="s">
        <v>10556</v>
      </c>
      <c r="AG16665" s="831" t="s">
        <v>2674</v>
      </c>
      <c r="AH16665" s="831" t="s">
        <v>572</v>
      </c>
      <c r="AI16665" s="831">
        <v>0</v>
      </c>
      <c r="AJ16665" s="835">
        <v>41182</v>
      </c>
      <c r="AK16665" s="831">
        <v>-2146826246</v>
      </c>
    </row>
    <row r="16666" spans="2:37">
      <c r="B16666" s="834" t="str">
        <f t="shared" si="601"/>
        <v>|||</v>
      </c>
      <c r="H16666" s="835">
        <f t="shared" si="602"/>
        <v>31</v>
      </c>
      <c r="AF16666" s="831" t="s">
        <v>10557</v>
      </c>
      <c r="AG16666" s="831" t="s">
        <v>2674</v>
      </c>
      <c r="AH16666" s="831" t="s">
        <v>577</v>
      </c>
      <c r="AI16666" s="831">
        <v>0</v>
      </c>
      <c r="AJ16666" s="835">
        <v>41182</v>
      </c>
      <c r="AK16666" s="831">
        <v>-2146826246</v>
      </c>
    </row>
    <row r="16667" spans="2:37">
      <c r="B16667" s="834" t="str">
        <f t="shared" si="601"/>
        <v>|||</v>
      </c>
      <c r="H16667" s="835">
        <f t="shared" si="602"/>
        <v>31</v>
      </c>
      <c r="AF16667" s="831" t="s">
        <v>10558</v>
      </c>
      <c r="AG16667" s="831" t="s">
        <v>2674</v>
      </c>
      <c r="AH16667" s="831" t="s">
        <v>3042</v>
      </c>
      <c r="AI16667" s="831">
        <v>0</v>
      </c>
      <c r="AJ16667" s="835">
        <v>41182</v>
      </c>
      <c r="AK16667" s="831">
        <v>-2146826246</v>
      </c>
    </row>
    <row r="16668" spans="2:37">
      <c r="B16668" s="834" t="str">
        <f t="shared" si="601"/>
        <v>|||</v>
      </c>
      <c r="H16668" s="835">
        <f t="shared" si="602"/>
        <v>31</v>
      </c>
      <c r="AF16668" s="831" t="s">
        <v>10559</v>
      </c>
      <c r="AG16668" s="831" t="s">
        <v>2674</v>
      </c>
      <c r="AH16668" s="831" t="s">
        <v>3044</v>
      </c>
      <c r="AI16668" s="831">
        <v>0</v>
      </c>
      <c r="AJ16668" s="835">
        <v>41182</v>
      </c>
      <c r="AK16668" s="831">
        <v>-2146826246</v>
      </c>
    </row>
    <row r="16669" spans="2:37">
      <c r="B16669" s="834" t="str">
        <f t="shared" si="601"/>
        <v>|||</v>
      </c>
      <c r="H16669" s="835">
        <f t="shared" si="602"/>
        <v>31</v>
      </c>
      <c r="AF16669" s="831" t="s">
        <v>10560</v>
      </c>
      <c r="AG16669" s="831" t="s">
        <v>2674</v>
      </c>
      <c r="AH16669" s="831" t="s">
        <v>580</v>
      </c>
      <c r="AI16669" s="831">
        <v>0</v>
      </c>
      <c r="AJ16669" s="835">
        <v>41182</v>
      </c>
      <c r="AK16669" s="831">
        <v>-2146826246</v>
      </c>
    </row>
    <row r="16670" spans="2:37">
      <c r="B16670" s="834" t="str">
        <f t="shared" si="601"/>
        <v>|||</v>
      </c>
      <c r="H16670" s="835">
        <f t="shared" si="602"/>
        <v>31</v>
      </c>
      <c r="AF16670" s="831" t="s">
        <v>10561</v>
      </c>
      <c r="AG16670" s="831" t="s">
        <v>2674</v>
      </c>
      <c r="AH16670" s="831" t="s">
        <v>581</v>
      </c>
      <c r="AI16670" s="831">
        <v>0</v>
      </c>
      <c r="AJ16670" s="835">
        <v>41182</v>
      </c>
      <c r="AK16670" s="831">
        <v>-2146826246</v>
      </c>
    </row>
    <row r="16671" spans="2:37">
      <c r="B16671" s="834" t="str">
        <f t="shared" si="601"/>
        <v>|||</v>
      </c>
      <c r="H16671" s="835">
        <f t="shared" si="602"/>
        <v>31</v>
      </c>
      <c r="AF16671" s="831" t="s">
        <v>10562</v>
      </c>
      <c r="AG16671" s="831" t="s">
        <v>2674</v>
      </c>
      <c r="AH16671" s="831" t="s">
        <v>105</v>
      </c>
      <c r="AI16671" s="831">
        <v>0</v>
      </c>
      <c r="AJ16671" s="835">
        <v>41182</v>
      </c>
      <c r="AK16671" s="831">
        <v>185303362</v>
      </c>
    </row>
    <row r="16672" spans="2:37">
      <c r="B16672" s="834" t="str">
        <f t="shared" si="601"/>
        <v>|||</v>
      </c>
      <c r="H16672" s="835">
        <f t="shared" si="602"/>
        <v>31</v>
      </c>
      <c r="AF16672" s="831" t="s">
        <v>10563</v>
      </c>
      <c r="AG16672" s="831" t="s">
        <v>2674</v>
      </c>
      <c r="AH16672" s="831" t="s">
        <v>3049</v>
      </c>
      <c r="AI16672" s="831">
        <v>0</v>
      </c>
      <c r="AJ16672" s="835">
        <v>41182</v>
      </c>
      <c r="AK16672" s="831">
        <v>347265603</v>
      </c>
    </row>
    <row r="16673" spans="2:37">
      <c r="B16673" s="834" t="str">
        <f t="shared" si="601"/>
        <v>|||</v>
      </c>
      <c r="H16673" s="835">
        <f t="shared" si="602"/>
        <v>31</v>
      </c>
      <c r="AF16673" s="831" t="s">
        <v>10564</v>
      </c>
      <c r="AG16673" s="831" t="s">
        <v>2674</v>
      </c>
      <c r="AH16673" s="831" t="s">
        <v>103</v>
      </c>
      <c r="AI16673" s="831">
        <v>0</v>
      </c>
      <c r="AJ16673" s="835">
        <v>41182</v>
      </c>
      <c r="AK16673" s="831">
        <v>161962241</v>
      </c>
    </row>
    <row r="16674" spans="2:37">
      <c r="B16674" s="834" t="str">
        <f t="shared" si="601"/>
        <v>|||</v>
      </c>
      <c r="H16674" s="835">
        <f t="shared" si="602"/>
        <v>31</v>
      </c>
      <c r="AF16674" s="831" t="s">
        <v>10565</v>
      </c>
      <c r="AG16674" s="831" t="s">
        <v>2674</v>
      </c>
      <c r="AH16674" s="831" t="s">
        <v>182</v>
      </c>
      <c r="AI16674" s="831">
        <v>0</v>
      </c>
      <c r="AJ16674" s="835">
        <v>41182</v>
      </c>
      <c r="AK16674" s="831">
        <v>49982530.666666664</v>
      </c>
    </row>
    <row r="16675" spans="2:37">
      <c r="B16675" s="834" t="str">
        <f t="shared" si="601"/>
        <v>|||</v>
      </c>
      <c r="H16675" s="835">
        <f t="shared" si="602"/>
        <v>31</v>
      </c>
      <c r="AF16675" s="831" t="s">
        <v>10566</v>
      </c>
      <c r="AG16675" s="831" t="s">
        <v>2674</v>
      </c>
      <c r="AH16675" s="831" t="s">
        <v>6600</v>
      </c>
      <c r="AI16675" s="831">
        <v>0</v>
      </c>
      <c r="AJ16675" s="835">
        <v>41182</v>
      </c>
      <c r="AK16675" s="831">
        <v>-2146826246</v>
      </c>
    </row>
    <row r="16676" spans="2:37">
      <c r="B16676" s="834" t="str">
        <f t="shared" si="601"/>
        <v>|||</v>
      </c>
      <c r="H16676" s="835">
        <f t="shared" si="602"/>
        <v>31</v>
      </c>
      <c r="AF16676" s="831" t="s">
        <v>10567</v>
      </c>
      <c r="AG16676" s="831" t="s">
        <v>2674</v>
      </c>
      <c r="AH16676" s="831" t="s">
        <v>6602</v>
      </c>
      <c r="AI16676" s="831">
        <v>0</v>
      </c>
      <c r="AJ16676" s="835">
        <v>41182</v>
      </c>
      <c r="AK16676" s="831">
        <v>12086480</v>
      </c>
    </row>
    <row r="16677" spans="2:37">
      <c r="B16677" s="834" t="str">
        <f t="shared" si="601"/>
        <v>|||</v>
      </c>
      <c r="H16677" s="835">
        <f t="shared" si="602"/>
        <v>31</v>
      </c>
      <c r="AF16677" s="831" t="s">
        <v>10568</v>
      </c>
      <c r="AG16677" s="831" t="s">
        <v>2674</v>
      </c>
      <c r="AH16677" s="831" t="s">
        <v>650</v>
      </c>
      <c r="AI16677" s="831">
        <v>0</v>
      </c>
      <c r="AJ16677" s="835">
        <v>41182</v>
      </c>
      <c r="AK16677" s="831">
        <v>0</v>
      </c>
    </row>
    <row r="16678" spans="2:37">
      <c r="B16678" s="834" t="str">
        <f t="shared" si="601"/>
        <v>|||</v>
      </c>
      <c r="H16678" s="835">
        <f t="shared" si="602"/>
        <v>31</v>
      </c>
      <c r="AF16678" s="831" t="s">
        <v>10569</v>
      </c>
      <c r="AG16678" s="831" t="s">
        <v>2674</v>
      </c>
      <c r="AH16678" s="831" t="s">
        <v>655</v>
      </c>
      <c r="AI16678" s="831">
        <v>0</v>
      </c>
      <c r="AJ16678" s="835">
        <v>41182</v>
      </c>
      <c r="AK16678" s="831">
        <v>1640278</v>
      </c>
    </row>
    <row r="16679" spans="2:37">
      <c r="B16679" s="834" t="str">
        <f t="shared" si="601"/>
        <v>|||</v>
      </c>
      <c r="H16679" s="835">
        <f t="shared" si="602"/>
        <v>31</v>
      </c>
      <c r="AF16679" s="831" t="s">
        <v>10570</v>
      </c>
      <c r="AG16679" s="831" t="s">
        <v>2674</v>
      </c>
      <c r="AH16679" s="831" t="s">
        <v>546</v>
      </c>
      <c r="AI16679" s="831">
        <v>0</v>
      </c>
      <c r="AJ16679" s="835">
        <v>41213</v>
      </c>
      <c r="AK16679" s="831">
        <v>376404251</v>
      </c>
    </row>
    <row r="16680" spans="2:37">
      <c r="B16680" s="834" t="str">
        <f t="shared" si="601"/>
        <v>|||</v>
      </c>
      <c r="H16680" s="835">
        <f t="shared" si="602"/>
        <v>31</v>
      </c>
      <c r="AF16680" s="831" t="s">
        <v>10571</v>
      </c>
      <c r="AG16680" s="831" t="s">
        <v>2674</v>
      </c>
      <c r="AH16680" s="831" t="s">
        <v>370</v>
      </c>
      <c r="AI16680" s="831">
        <v>0</v>
      </c>
      <c r="AJ16680" s="835">
        <v>41213</v>
      </c>
      <c r="AK16680" s="831">
        <v>453336865</v>
      </c>
    </row>
    <row r="16681" spans="2:37">
      <c r="B16681" s="834" t="str">
        <f t="shared" si="601"/>
        <v>|||</v>
      </c>
      <c r="H16681" s="835">
        <f t="shared" si="602"/>
        <v>31</v>
      </c>
      <c r="AF16681" s="831" t="s">
        <v>10572</v>
      </c>
      <c r="AG16681" s="831" t="s">
        <v>2674</v>
      </c>
      <c r="AH16681" s="831" t="s">
        <v>126</v>
      </c>
      <c r="AI16681" s="831">
        <v>0</v>
      </c>
      <c r="AJ16681" s="835">
        <v>41213</v>
      </c>
      <c r="AK16681" s="831">
        <v>99431431</v>
      </c>
    </row>
    <row r="16682" spans="2:37">
      <c r="B16682" s="834" t="str">
        <f t="shared" si="601"/>
        <v>|||</v>
      </c>
      <c r="H16682" s="835">
        <f t="shared" si="602"/>
        <v>31</v>
      </c>
      <c r="AF16682" s="831" t="s">
        <v>10573</v>
      </c>
      <c r="AG16682" s="831" t="s">
        <v>2674</v>
      </c>
      <c r="AH16682" s="831" t="s">
        <v>268</v>
      </c>
      <c r="AI16682" s="831">
        <v>0</v>
      </c>
      <c r="AJ16682" s="835">
        <v>41213</v>
      </c>
      <c r="AK16682" s="831">
        <v>14108507</v>
      </c>
    </row>
    <row r="16683" spans="2:37">
      <c r="B16683" s="834" t="str">
        <f t="shared" si="601"/>
        <v>|||</v>
      </c>
      <c r="H16683" s="835">
        <f t="shared" si="602"/>
        <v>31</v>
      </c>
      <c r="AF16683" s="831" t="s">
        <v>10574</v>
      </c>
      <c r="AG16683" s="831" t="s">
        <v>2674</v>
      </c>
      <c r="AH16683" s="831" t="s">
        <v>547</v>
      </c>
      <c r="AI16683" s="831">
        <v>0</v>
      </c>
      <c r="AJ16683" s="835">
        <v>41213</v>
      </c>
      <c r="AK16683" s="831">
        <v>0</v>
      </c>
    </row>
    <row r="16684" spans="2:37">
      <c r="B16684" s="834" t="str">
        <f t="shared" si="601"/>
        <v>|||</v>
      </c>
      <c r="H16684" s="835">
        <f t="shared" si="602"/>
        <v>31</v>
      </c>
      <c r="AF16684" s="831" t="s">
        <v>10575</v>
      </c>
      <c r="AG16684" s="831" t="s">
        <v>2674</v>
      </c>
      <c r="AH16684" s="831" t="s">
        <v>548</v>
      </c>
      <c r="AI16684" s="831">
        <v>0</v>
      </c>
      <c r="AJ16684" s="835">
        <v>41213</v>
      </c>
      <c r="AK16684" s="831">
        <v>0</v>
      </c>
    </row>
    <row r="16685" spans="2:37">
      <c r="B16685" s="834" t="str">
        <f t="shared" si="601"/>
        <v>|||</v>
      </c>
      <c r="H16685" s="835">
        <f t="shared" si="602"/>
        <v>31</v>
      </c>
      <c r="AF16685" s="831" t="s">
        <v>10576</v>
      </c>
      <c r="AG16685" s="831" t="s">
        <v>2674</v>
      </c>
      <c r="AH16685" s="831" t="s">
        <v>549</v>
      </c>
      <c r="AI16685" s="831">
        <v>0</v>
      </c>
      <c r="AJ16685" s="835">
        <v>41213</v>
      </c>
      <c r="AK16685" s="831">
        <v>0</v>
      </c>
    </row>
    <row r="16686" spans="2:37">
      <c r="B16686" s="834" t="str">
        <f t="shared" si="601"/>
        <v>|||</v>
      </c>
      <c r="H16686" s="835">
        <f t="shared" si="602"/>
        <v>31</v>
      </c>
      <c r="AF16686" s="831" t="s">
        <v>10577</v>
      </c>
      <c r="AG16686" s="831" t="s">
        <v>2674</v>
      </c>
      <c r="AH16686" s="831" t="s">
        <v>192</v>
      </c>
      <c r="AI16686" s="831">
        <v>0</v>
      </c>
      <c r="AJ16686" s="835">
        <v>41213</v>
      </c>
      <c r="AK16686" s="831">
        <v>-9860253</v>
      </c>
    </row>
    <row r="16687" spans="2:37">
      <c r="B16687" s="834" t="str">
        <f t="shared" si="601"/>
        <v>|||</v>
      </c>
      <c r="H16687" s="835">
        <f t="shared" si="602"/>
        <v>31</v>
      </c>
      <c r="AF16687" s="831" t="s">
        <v>10578</v>
      </c>
      <c r="AG16687" s="831" t="s">
        <v>2674</v>
      </c>
      <c r="AH16687" s="831" t="s">
        <v>558</v>
      </c>
      <c r="AI16687" s="831">
        <v>0</v>
      </c>
      <c r="AJ16687" s="835">
        <v>41213</v>
      </c>
      <c r="AK16687" s="831">
        <v>353905434</v>
      </c>
    </row>
    <row r="16688" spans="2:37">
      <c r="B16688" s="834" t="str">
        <f t="shared" si="601"/>
        <v>|||</v>
      </c>
      <c r="H16688" s="835">
        <f t="shared" si="602"/>
        <v>31</v>
      </c>
      <c r="AF16688" s="831" t="s">
        <v>10579</v>
      </c>
      <c r="AG16688" s="831" t="s">
        <v>2674</v>
      </c>
      <c r="AH16688" s="831" t="s">
        <v>65</v>
      </c>
      <c r="AI16688" s="831">
        <v>0</v>
      </c>
      <c r="AJ16688" s="835">
        <v>41213</v>
      </c>
      <c r="AK16688" s="831">
        <v>80308330</v>
      </c>
    </row>
    <row r="16689" spans="2:37">
      <c r="B16689" s="834" t="str">
        <f t="shared" si="601"/>
        <v>|||</v>
      </c>
      <c r="H16689" s="835">
        <f t="shared" si="602"/>
        <v>31</v>
      </c>
      <c r="AF16689" s="831" t="s">
        <v>10580</v>
      </c>
      <c r="AG16689" s="831" t="s">
        <v>2674</v>
      </c>
      <c r="AH16689" s="831" t="s">
        <v>89</v>
      </c>
      <c r="AI16689" s="831">
        <v>0</v>
      </c>
      <c r="AJ16689" s="835">
        <v>41213</v>
      </c>
      <c r="AK16689" s="831">
        <v>123024</v>
      </c>
    </row>
    <row r="16690" spans="2:37">
      <c r="B16690" s="834" t="str">
        <f t="shared" si="601"/>
        <v>|||</v>
      </c>
      <c r="H16690" s="835">
        <f t="shared" si="602"/>
        <v>31</v>
      </c>
      <c r="AF16690" s="831" t="s">
        <v>10581</v>
      </c>
      <c r="AG16690" s="831" t="s">
        <v>2674</v>
      </c>
      <c r="AH16690" s="831" t="s">
        <v>557</v>
      </c>
      <c r="AI16690" s="831">
        <v>0</v>
      </c>
      <c r="AJ16690" s="835">
        <v>41213</v>
      </c>
      <c r="AK16690" s="831">
        <v>124999</v>
      </c>
    </row>
    <row r="16691" spans="2:37">
      <c r="B16691" s="834" t="str">
        <f t="shared" si="601"/>
        <v>|||</v>
      </c>
      <c r="H16691" s="835">
        <f t="shared" si="602"/>
        <v>31</v>
      </c>
      <c r="AF16691" s="831" t="s">
        <v>10582</v>
      </c>
      <c r="AG16691" s="831" t="s">
        <v>2674</v>
      </c>
      <c r="AH16691" s="831" t="s">
        <v>29</v>
      </c>
      <c r="AI16691" s="831">
        <v>0</v>
      </c>
      <c r="AJ16691" s="835">
        <v>41213</v>
      </c>
      <c r="AK16691" s="831">
        <v>2261339</v>
      </c>
    </row>
    <row r="16692" spans="2:37">
      <c r="B16692" s="834" t="str">
        <f t="shared" si="601"/>
        <v>|||</v>
      </c>
      <c r="H16692" s="835">
        <f t="shared" si="602"/>
        <v>31</v>
      </c>
      <c r="AF16692" s="831" t="s">
        <v>10583</v>
      </c>
      <c r="AG16692" s="831" t="s">
        <v>2674</v>
      </c>
      <c r="AH16692" s="831" t="s">
        <v>2688</v>
      </c>
      <c r="AI16692" s="831">
        <v>0</v>
      </c>
      <c r="AJ16692" s="835">
        <v>41213</v>
      </c>
      <c r="AK16692" s="831">
        <v>2480728</v>
      </c>
    </row>
    <row r="16693" spans="2:37">
      <c r="B16693" s="834" t="str">
        <f t="shared" si="601"/>
        <v>|||</v>
      </c>
      <c r="H16693" s="835">
        <f t="shared" si="602"/>
        <v>31</v>
      </c>
      <c r="AF16693" s="831" t="s">
        <v>10584</v>
      </c>
      <c r="AG16693" s="831" t="s">
        <v>2674</v>
      </c>
      <c r="AH16693" s="831" t="s">
        <v>556</v>
      </c>
      <c r="AI16693" s="831">
        <v>0</v>
      </c>
      <c r="AJ16693" s="835">
        <v>41213</v>
      </c>
      <c r="AK16693" s="831">
        <v>902857</v>
      </c>
    </row>
    <row r="16694" spans="2:37">
      <c r="B16694" s="834" t="str">
        <f t="shared" si="601"/>
        <v>|||</v>
      </c>
      <c r="H16694" s="835">
        <f t="shared" si="602"/>
        <v>31</v>
      </c>
      <c r="AF16694" s="831" t="s">
        <v>10585</v>
      </c>
      <c r="AG16694" s="831" t="s">
        <v>2674</v>
      </c>
      <c r="AH16694" s="831" t="s">
        <v>555</v>
      </c>
      <c r="AI16694" s="831">
        <v>0</v>
      </c>
      <c r="AJ16694" s="835">
        <v>41213</v>
      </c>
      <c r="AK16694" s="831">
        <v>223326560</v>
      </c>
    </row>
    <row r="16695" spans="2:37">
      <c r="B16695" s="834" t="str">
        <f t="shared" si="601"/>
        <v>|||</v>
      </c>
      <c r="H16695" s="835">
        <f t="shared" si="602"/>
        <v>31</v>
      </c>
      <c r="AF16695" s="831" t="s">
        <v>10586</v>
      </c>
      <c r="AG16695" s="831" t="s">
        <v>2674</v>
      </c>
      <c r="AH16695" s="831" t="s">
        <v>554</v>
      </c>
      <c r="AI16695" s="831">
        <v>0</v>
      </c>
      <c r="AJ16695" s="835">
        <v>41213</v>
      </c>
      <c r="AK16695" s="831">
        <v>217988230</v>
      </c>
    </row>
    <row r="16696" spans="2:37">
      <c r="B16696" s="834" t="str">
        <f t="shared" si="601"/>
        <v>|||</v>
      </c>
      <c r="H16696" s="835">
        <f t="shared" si="602"/>
        <v>31</v>
      </c>
      <c r="AF16696" s="831" t="s">
        <v>10587</v>
      </c>
      <c r="AG16696" s="831" t="s">
        <v>2674</v>
      </c>
      <c r="AH16696" s="831" t="s">
        <v>553</v>
      </c>
      <c r="AI16696" s="831">
        <v>0</v>
      </c>
      <c r="AJ16696" s="835">
        <v>41213</v>
      </c>
      <c r="AK16696" s="831">
        <v>0</v>
      </c>
    </row>
    <row r="16697" spans="2:37">
      <c r="B16697" s="834" t="str">
        <f t="shared" si="601"/>
        <v>|||</v>
      </c>
      <c r="H16697" s="835">
        <f t="shared" si="602"/>
        <v>31</v>
      </c>
      <c r="AF16697" s="831" t="s">
        <v>10588</v>
      </c>
      <c r="AG16697" s="831" t="s">
        <v>2674</v>
      </c>
      <c r="AH16697" s="831" t="s">
        <v>552</v>
      </c>
      <c r="AI16697" s="831">
        <v>0</v>
      </c>
      <c r="AJ16697" s="835">
        <v>41213</v>
      </c>
      <c r="AK16697" s="831">
        <v>0</v>
      </c>
    </row>
    <row r="16698" spans="2:37">
      <c r="B16698" s="834" t="str">
        <f t="shared" si="601"/>
        <v>|||</v>
      </c>
      <c r="H16698" s="835">
        <f t="shared" si="602"/>
        <v>31</v>
      </c>
      <c r="AF16698" s="831" t="s">
        <v>10589</v>
      </c>
      <c r="AG16698" s="831" t="s">
        <v>2674</v>
      </c>
      <c r="AH16698" s="831" t="s">
        <v>551</v>
      </c>
      <c r="AI16698" s="831">
        <v>0</v>
      </c>
      <c r="AJ16698" s="835">
        <v>41213</v>
      </c>
      <c r="AK16698" s="831">
        <v>2033933</v>
      </c>
    </row>
    <row r="16699" spans="2:37">
      <c r="B16699" s="834" t="str">
        <f t="shared" si="601"/>
        <v>|||</v>
      </c>
      <c r="H16699" s="835">
        <f t="shared" si="602"/>
        <v>31</v>
      </c>
      <c r="AF16699" s="831" t="s">
        <v>10590</v>
      </c>
      <c r="AG16699" s="831" t="s">
        <v>2674</v>
      </c>
      <c r="AH16699" s="831" t="s">
        <v>550</v>
      </c>
      <c r="AI16699" s="831">
        <v>0</v>
      </c>
      <c r="AJ16699" s="835">
        <v>41213</v>
      </c>
      <c r="AK16699" s="831">
        <v>97409403</v>
      </c>
    </row>
    <row r="16700" spans="2:37">
      <c r="B16700" s="834" t="str">
        <f t="shared" si="601"/>
        <v>|||</v>
      </c>
      <c r="H16700" s="835">
        <f t="shared" si="602"/>
        <v>31</v>
      </c>
      <c r="AF16700" s="831" t="s">
        <v>10591</v>
      </c>
      <c r="AG16700" s="831" t="s">
        <v>2674</v>
      </c>
      <c r="AH16700" s="831" t="s">
        <v>562</v>
      </c>
      <c r="AI16700" s="831">
        <v>0</v>
      </c>
      <c r="AJ16700" s="835">
        <v>41213</v>
      </c>
      <c r="AK16700" s="831">
        <v>0.78434999999999999</v>
      </c>
    </row>
    <row r="16701" spans="2:37">
      <c r="B16701" s="834" t="str">
        <f t="shared" si="601"/>
        <v>|||</v>
      </c>
      <c r="H16701" s="835">
        <f t="shared" si="602"/>
        <v>31</v>
      </c>
      <c r="AF16701" s="831" t="s">
        <v>10592</v>
      </c>
      <c r="AG16701" s="831" t="s">
        <v>2674</v>
      </c>
      <c r="AH16701" s="831" t="s">
        <v>2698</v>
      </c>
      <c r="AI16701" s="831">
        <v>0</v>
      </c>
      <c r="AJ16701" s="835">
        <v>41213</v>
      </c>
      <c r="AK16701" s="831">
        <v>0.78464999999999996</v>
      </c>
    </row>
    <row r="16702" spans="2:37">
      <c r="B16702" s="834" t="str">
        <f t="shared" si="601"/>
        <v>|||</v>
      </c>
      <c r="H16702" s="835">
        <f t="shared" si="602"/>
        <v>31</v>
      </c>
      <c r="AF16702" s="831" t="s">
        <v>10593</v>
      </c>
      <c r="AG16702" s="831" t="s">
        <v>2674</v>
      </c>
      <c r="AH16702" s="831" t="s">
        <v>560</v>
      </c>
      <c r="AI16702" s="831">
        <v>0</v>
      </c>
      <c r="AJ16702" s="835">
        <v>41213</v>
      </c>
      <c r="AK16702" s="831">
        <v>0.78525</v>
      </c>
    </row>
    <row r="16703" spans="2:37">
      <c r="B16703" s="834" t="str">
        <f t="shared" si="601"/>
        <v>|||</v>
      </c>
      <c r="H16703" s="835">
        <f t="shared" si="602"/>
        <v>31</v>
      </c>
      <c r="AF16703" s="831" t="s">
        <v>10594</v>
      </c>
      <c r="AG16703" s="831" t="s">
        <v>2674</v>
      </c>
      <c r="AH16703" s="831" t="s">
        <v>559</v>
      </c>
      <c r="AI16703" s="831">
        <v>0</v>
      </c>
      <c r="AJ16703" s="835">
        <v>41213</v>
      </c>
      <c r="AK16703" s="831">
        <v>0.78536666666666666</v>
      </c>
    </row>
    <row r="16704" spans="2:37">
      <c r="B16704" s="834" t="str">
        <f t="shared" si="601"/>
        <v>|||</v>
      </c>
      <c r="H16704" s="835">
        <f t="shared" si="602"/>
        <v>31</v>
      </c>
      <c r="AF16704" s="831" t="s">
        <v>10595</v>
      </c>
      <c r="AG16704" s="831" t="s">
        <v>2674</v>
      </c>
      <c r="AH16704" s="831" t="s">
        <v>568</v>
      </c>
      <c r="AI16704" s="831">
        <v>0</v>
      </c>
      <c r="AJ16704" s="835">
        <v>41213</v>
      </c>
      <c r="AK16704" s="831">
        <v>0</v>
      </c>
    </row>
    <row r="16705" spans="2:37">
      <c r="B16705" s="834" t="str">
        <f t="shared" si="601"/>
        <v>|||</v>
      </c>
      <c r="H16705" s="835">
        <f t="shared" si="602"/>
        <v>31</v>
      </c>
      <c r="AF16705" s="831" t="s">
        <v>10596</v>
      </c>
      <c r="AG16705" s="831" t="s">
        <v>2674</v>
      </c>
      <c r="AH16705" s="831" t="s">
        <v>569</v>
      </c>
      <c r="AI16705" s="831">
        <v>0</v>
      </c>
      <c r="AJ16705" s="835">
        <v>41213</v>
      </c>
      <c r="AK16705" s="831">
        <v>0</v>
      </c>
    </row>
    <row r="16706" spans="2:37">
      <c r="B16706" s="834" t="str">
        <f t="shared" si="601"/>
        <v>|||</v>
      </c>
      <c r="H16706" s="835">
        <f t="shared" si="602"/>
        <v>31</v>
      </c>
      <c r="AF16706" s="831" t="s">
        <v>10597</v>
      </c>
      <c r="AG16706" s="831" t="s">
        <v>2674</v>
      </c>
      <c r="AH16706" s="831" t="s">
        <v>570</v>
      </c>
      <c r="AI16706" s="831">
        <v>0</v>
      </c>
      <c r="AJ16706" s="835">
        <v>41213</v>
      </c>
      <c r="AK16706" s="831">
        <v>0</v>
      </c>
    </row>
    <row r="16707" spans="2:37">
      <c r="B16707" s="834" t="str">
        <f t="shared" si="601"/>
        <v>|||</v>
      </c>
      <c r="H16707" s="835">
        <f t="shared" si="602"/>
        <v>31</v>
      </c>
      <c r="AF16707" s="831" t="s">
        <v>10598</v>
      </c>
      <c r="AG16707" s="831" t="s">
        <v>2674</v>
      </c>
      <c r="AH16707" s="831" t="s">
        <v>571</v>
      </c>
      <c r="AI16707" s="831">
        <v>0</v>
      </c>
      <c r="AJ16707" s="835">
        <v>41213</v>
      </c>
      <c r="AK16707" s="831">
        <v>0</v>
      </c>
    </row>
    <row r="16708" spans="2:37">
      <c r="B16708" s="834" t="str">
        <f t="shared" si="601"/>
        <v>|||</v>
      </c>
      <c r="H16708" s="835">
        <f t="shared" si="602"/>
        <v>31</v>
      </c>
      <c r="AF16708" s="831" t="s">
        <v>10599</v>
      </c>
      <c r="AG16708" s="831" t="s">
        <v>2674</v>
      </c>
      <c r="AH16708" s="831" t="s">
        <v>573</v>
      </c>
      <c r="AI16708" s="831">
        <v>0</v>
      </c>
      <c r="AJ16708" s="835">
        <v>41213</v>
      </c>
      <c r="AK16708" s="831">
        <v>0</v>
      </c>
    </row>
    <row r="16709" spans="2:37">
      <c r="B16709" s="834" t="str">
        <f t="shared" si="601"/>
        <v>|||</v>
      </c>
      <c r="H16709" s="835">
        <f t="shared" si="602"/>
        <v>31</v>
      </c>
      <c r="AF16709" s="831" t="s">
        <v>10600</v>
      </c>
      <c r="AG16709" s="831" t="s">
        <v>2674</v>
      </c>
      <c r="AH16709" s="831" t="s">
        <v>574</v>
      </c>
      <c r="AI16709" s="831">
        <v>0</v>
      </c>
      <c r="AJ16709" s="835">
        <v>41213</v>
      </c>
      <c r="AK16709" s="831">
        <v>0</v>
      </c>
    </row>
    <row r="16710" spans="2:37">
      <c r="B16710" s="834" t="str">
        <f t="shared" si="601"/>
        <v>|||</v>
      </c>
      <c r="H16710" s="835">
        <f t="shared" si="602"/>
        <v>31</v>
      </c>
      <c r="AF16710" s="831" t="s">
        <v>10601</v>
      </c>
      <c r="AG16710" s="831" t="s">
        <v>2674</v>
      </c>
      <c r="AH16710" s="831" t="s">
        <v>575</v>
      </c>
      <c r="AI16710" s="831">
        <v>0</v>
      </c>
      <c r="AJ16710" s="835">
        <v>41213</v>
      </c>
      <c r="AK16710" s="831">
        <v>0</v>
      </c>
    </row>
    <row r="16711" spans="2:37">
      <c r="B16711" s="834" t="str">
        <f t="shared" si="601"/>
        <v>|||</v>
      </c>
      <c r="H16711" s="835">
        <f t="shared" si="602"/>
        <v>31</v>
      </c>
      <c r="AF16711" s="831" t="s">
        <v>10602</v>
      </c>
      <c r="AG16711" s="831" t="s">
        <v>2674</v>
      </c>
      <c r="AH16711" s="831" t="s">
        <v>576</v>
      </c>
      <c r="AI16711" s="831">
        <v>0</v>
      </c>
      <c r="AJ16711" s="835">
        <v>41213</v>
      </c>
      <c r="AK16711" s="831">
        <v>0</v>
      </c>
    </row>
    <row r="16712" spans="2:37">
      <c r="B16712" s="834" t="str">
        <f t="shared" si="601"/>
        <v>|||</v>
      </c>
      <c r="H16712" s="835">
        <f t="shared" si="602"/>
        <v>31</v>
      </c>
      <c r="AF16712" s="831" t="s">
        <v>10603</v>
      </c>
      <c r="AG16712" s="831" t="s">
        <v>2674</v>
      </c>
      <c r="AH16712" s="831" t="s">
        <v>572</v>
      </c>
      <c r="AI16712" s="831">
        <v>0</v>
      </c>
      <c r="AJ16712" s="835">
        <v>41213</v>
      </c>
      <c r="AK16712" s="831">
        <v>-2146826246</v>
      </c>
    </row>
    <row r="16713" spans="2:37">
      <c r="B16713" s="834" t="str">
        <f t="shared" si="601"/>
        <v>|||</v>
      </c>
      <c r="H16713" s="835">
        <f t="shared" si="602"/>
        <v>31</v>
      </c>
      <c r="AF16713" s="831" t="s">
        <v>10604</v>
      </c>
      <c r="AG16713" s="831" t="s">
        <v>2674</v>
      </c>
      <c r="AH16713" s="831" t="s">
        <v>577</v>
      </c>
      <c r="AI16713" s="831">
        <v>0</v>
      </c>
      <c r="AJ16713" s="835">
        <v>41213</v>
      </c>
      <c r="AK16713" s="831">
        <v>-2146826246</v>
      </c>
    </row>
    <row r="16714" spans="2:37">
      <c r="B16714" s="834" t="str">
        <f t="shared" si="601"/>
        <v>|||</v>
      </c>
      <c r="H16714" s="835">
        <f t="shared" si="602"/>
        <v>31</v>
      </c>
      <c r="AF16714" s="831" t="s">
        <v>10605</v>
      </c>
      <c r="AG16714" s="831" t="s">
        <v>2674</v>
      </c>
      <c r="AH16714" s="831" t="s">
        <v>3042</v>
      </c>
      <c r="AI16714" s="831">
        <v>0</v>
      </c>
      <c r="AJ16714" s="835">
        <v>41213</v>
      </c>
      <c r="AK16714" s="831">
        <v>-2146826246</v>
      </c>
    </row>
    <row r="16715" spans="2:37">
      <c r="B16715" s="834" t="str">
        <f t="shared" si="601"/>
        <v>|||</v>
      </c>
      <c r="H16715" s="835">
        <f t="shared" si="602"/>
        <v>31</v>
      </c>
      <c r="AF16715" s="831" t="s">
        <v>10606</v>
      </c>
      <c r="AG16715" s="831" t="s">
        <v>2674</v>
      </c>
      <c r="AH16715" s="831" t="s">
        <v>3044</v>
      </c>
      <c r="AI16715" s="831">
        <v>0</v>
      </c>
      <c r="AJ16715" s="835">
        <v>41213</v>
      </c>
      <c r="AK16715" s="831">
        <v>-2146826246</v>
      </c>
    </row>
    <row r="16716" spans="2:37">
      <c r="B16716" s="834" t="str">
        <f t="shared" si="601"/>
        <v>|||</v>
      </c>
      <c r="H16716" s="835">
        <f t="shared" si="602"/>
        <v>31</v>
      </c>
      <c r="AF16716" s="831" t="s">
        <v>10607</v>
      </c>
      <c r="AG16716" s="831" t="s">
        <v>2674</v>
      </c>
      <c r="AH16716" s="831" t="s">
        <v>580</v>
      </c>
      <c r="AI16716" s="831">
        <v>0</v>
      </c>
      <c r="AJ16716" s="835">
        <v>41213</v>
      </c>
      <c r="AK16716" s="831">
        <v>-2146826246</v>
      </c>
    </row>
    <row r="16717" spans="2:37">
      <c r="B16717" s="834" t="str">
        <f t="shared" si="601"/>
        <v>|||</v>
      </c>
      <c r="H16717" s="835">
        <f t="shared" si="602"/>
        <v>31</v>
      </c>
      <c r="AF16717" s="831" t="s">
        <v>10608</v>
      </c>
      <c r="AG16717" s="831" t="s">
        <v>2674</v>
      </c>
      <c r="AH16717" s="831" t="s">
        <v>581</v>
      </c>
      <c r="AI16717" s="831">
        <v>0</v>
      </c>
      <c r="AJ16717" s="835">
        <v>41213</v>
      </c>
      <c r="AK16717" s="831">
        <v>-2146826246</v>
      </c>
    </row>
    <row r="16718" spans="2:37">
      <c r="B16718" s="834" t="str">
        <f t="shared" si="601"/>
        <v>|||</v>
      </c>
      <c r="H16718" s="835">
        <f t="shared" si="602"/>
        <v>31</v>
      </c>
      <c r="AF16718" s="831" t="s">
        <v>10609</v>
      </c>
      <c r="AG16718" s="831" t="s">
        <v>2674</v>
      </c>
      <c r="AH16718" s="831" t="s">
        <v>105</v>
      </c>
      <c r="AI16718" s="831">
        <v>0</v>
      </c>
      <c r="AJ16718" s="835">
        <v>41213</v>
      </c>
      <c r="AK16718" s="831">
        <v>184676086</v>
      </c>
    </row>
    <row r="16719" spans="2:37">
      <c r="B16719" s="834" t="str">
        <f t="shared" si="601"/>
        <v>|||</v>
      </c>
      <c r="H16719" s="835">
        <f t="shared" si="602"/>
        <v>31</v>
      </c>
      <c r="AF16719" s="831" t="s">
        <v>10610</v>
      </c>
      <c r="AG16719" s="831" t="s">
        <v>2674</v>
      </c>
      <c r="AH16719" s="831" t="s">
        <v>3049</v>
      </c>
      <c r="AI16719" s="831">
        <v>0</v>
      </c>
      <c r="AJ16719" s="835">
        <v>41213</v>
      </c>
      <c r="AK16719" s="831">
        <v>342133447</v>
      </c>
    </row>
    <row r="16720" spans="2:37">
      <c r="B16720" s="834" t="str">
        <f t="shared" si="601"/>
        <v>|||</v>
      </c>
      <c r="H16720" s="835">
        <f t="shared" si="602"/>
        <v>31</v>
      </c>
      <c r="AF16720" s="831" t="s">
        <v>10611</v>
      </c>
      <c r="AG16720" s="831" t="s">
        <v>2674</v>
      </c>
      <c r="AH16720" s="831" t="s">
        <v>103</v>
      </c>
      <c r="AI16720" s="831">
        <v>0</v>
      </c>
      <c r="AJ16720" s="835">
        <v>41213</v>
      </c>
      <c r="AK16720" s="831">
        <v>157457361</v>
      </c>
    </row>
    <row r="16721" spans="2:37">
      <c r="B16721" s="834" t="str">
        <f t="shared" ref="B16721:B16784" si="603">C16721&amp;"|"&amp;D16721&amp;"|"&amp;E16721&amp;"|"&amp;F16721</f>
        <v>|||</v>
      </c>
      <c r="H16721" s="835">
        <f t="shared" ref="H16721:H16784" si="604">EOMONTH(L16721,0)</f>
        <v>31</v>
      </c>
      <c r="AF16721" s="831" t="s">
        <v>10612</v>
      </c>
      <c r="AG16721" s="831" t="s">
        <v>2674</v>
      </c>
      <c r="AH16721" s="831" t="s">
        <v>182</v>
      </c>
      <c r="AI16721" s="831">
        <v>0</v>
      </c>
      <c r="AJ16721" s="835">
        <v>41213</v>
      </c>
      <c r="AK16721" s="831">
        <v>49941625.200000003</v>
      </c>
    </row>
    <row r="16722" spans="2:37">
      <c r="B16722" s="834" t="str">
        <f t="shared" si="603"/>
        <v>|||</v>
      </c>
      <c r="H16722" s="835">
        <f t="shared" si="604"/>
        <v>31</v>
      </c>
      <c r="AF16722" s="831" t="s">
        <v>10613</v>
      </c>
      <c r="AG16722" s="831" t="s">
        <v>2674</v>
      </c>
      <c r="AH16722" s="831" t="s">
        <v>6600</v>
      </c>
      <c r="AI16722" s="831">
        <v>0</v>
      </c>
      <c r="AJ16722" s="835">
        <v>41213</v>
      </c>
      <c r="AK16722" s="831">
        <v>-2146826246</v>
      </c>
    </row>
    <row r="16723" spans="2:37">
      <c r="B16723" s="834" t="str">
        <f t="shared" si="603"/>
        <v>|||</v>
      </c>
      <c r="H16723" s="835">
        <f t="shared" si="604"/>
        <v>31</v>
      </c>
      <c r="AF16723" s="831" t="s">
        <v>10614</v>
      </c>
      <c r="AG16723" s="831" t="s">
        <v>2674</v>
      </c>
      <c r="AH16723" s="831" t="s">
        <v>6602</v>
      </c>
      <c r="AI16723" s="831">
        <v>0</v>
      </c>
      <c r="AJ16723" s="835">
        <v>41213</v>
      </c>
      <c r="AK16723" s="831">
        <v>14108507</v>
      </c>
    </row>
    <row r="16724" spans="2:37">
      <c r="B16724" s="834" t="str">
        <f t="shared" si="603"/>
        <v>|||</v>
      </c>
      <c r="H16724" s="835">
        <f t="shared" si="604"/>
        <v>31</v>
      </c>
      <c r="AF16724" s="831" t="s">
        <v>10615</v>
      </c>
      <c r="AG16724" s="831" t="s">
        <v>2674</v>
      </c>
      <c r="AH16724" s="831" t="s">
        <v>650</v>
      </c>
      <c r="AI16724" s="831">
        <v>0</v>
      </c>
      <c r="AJ16724" s="835">
        <v>41213</v>
      </c>
      <c r="AK16724" s="831">
        <v>0</v>
      </c>
    </row>
    <row r="16725" spans="2:37">
      <c r="B16725" s="834" t="str">
        <f t="shared" si="603"/>
        <v>|||</v>
      </c>
      <c r="H16725" s="835">
        <f t="shared" si="604"/>
        <v>31</v>
      </c>
      <c r="AF16725" s="831" t="s">
        <v>10616</v>
      </c>
      <c r="AG16725" s="831" t="s">
        <v>2674</v>
      </c>
      <c r="AH16725" s="831" t="s">
        <v>655</v>
      </c>
      <c r="AI16725" s="831">
        <v>0</v>
      </c>
      <c r="AJ16725" s="835">
        <v>41213</v>
      </c>
      <c r="AK16725" s="831">
        <v>1927116</v>
      </c>
    </row>
    <row r="16726" spans="2:37">
      <c r="B16726" s="834" t="str">
        <f t="shared" si="603"/>
        <v>|||</v>
      </c>
      <c r="H16726" s="835">
        <f t="shared" si="604"/>
        <v>31</v>
      </c>
      <c r="AF16726" s="831" t="s">
        <v>10617</v>
      </c>
      <c r="AG16726" s="831" t="s">
        <v>2674</v>
      </c>
      <c r="AH16726" s="831" t="s">
        <v>546</v>
      </c>
      <c r="AI16726" s="831">
        <v>0</v>
      </c>
      <c r="AJ16726" s="835">
        <v>41243</v>
      </c>
      <c r="AK16726" s="831">
        <v>394083786</v>
      </c>
    </row>
    <row r="16727" spans="2:37">
      <c r="B16727" s="834" t="str">
        <f t="shared" si="603"/>
        <v>|||</v>
      </c>
      <c r="H16727" s="835">
        <f t="shared" si="604"/>
        <v>31</v>
      </c>
      <c r="AF16727" s="831" t="s">
        <v>10618</v>
      </c>
      <c r="AG16727" s="831" t="s">
        <v>2674</v>
      </c>
      <c r="AH16727" s="831" t="s">
        <v>370</v>
      </c>
      <c r="AI16727" s="831">
        <v>0</v>
      </c>
      <c r="AJ16727" s="835">
        <v>41243</v>
      </c>
      <c r="AK16727" s="831">
        <v>468781857</v>
      </c>
    </row>
    <row r="16728" spans="2:37">
      <c r="B16728" s="834" t="str">
        <f t="shared" si="603"/>
        <v>|||</v>
      </c>
      <c r="H16728" s="835">
        <f t="shared" si="604"/>
        <v>31</v>
      </c>
      <c r="AF16728" s="831" t="s">
        <v>10619</v>
      </c>
      <c r="AG16728" s="831" t="s">
        <v>2674</v>
      </c>
      <c r="AH16728" s="831" t="s">
        <v>126</v>
      </c>
      <c r="AI16728" s="831">
        <v>0</v>
      </c>
      <c r="AJ16728" s="835">
        <v>41243</v>
      </c>
      <c r="AK16728" s="831">
        <v>101856827</v>
      </c>
    </row>
    <row r="16729" spans="2:37">
      <c r="B16729" s="834" t="str">
        <f t="shared" si="603"/>
        <v>|||</v>
      </c>
      <c r="H16729" s="835">
        <f t="shared" si="604"/>
        <v>31</v>
      </c>
      <c r="AF16729" s="831" t="s">
        <v>10620</v>
      </c>
      <c r="AG16729" s="831" t="s">
        <v>2674</v>
      </c>
      <c r="AH16729" s="831" t="s">
        <v>268</v>
      </c>
      <c r="AI16729" s="831">
        <v>0</v>
      </c>
      <c r="AJ16729" s="835">
        <v>41243</v>
      </c>
      <c r="AK16729" s="831">
        <v>16533903</v>
      </c>
    </row>
    <row r="16730" spans="2:37">
      <c r="B16730" s="834" t="str">
        <f t="shared" si="603"/>
        <v>|||</v>
      </c>
      <c r="H16730" s="835">
        <f t="shared" si="604"/>
        <v>31</v>
      </c>
      <c r="AF16730" s="831" t="s">
        <v>10621</v>
      </c>
      <c r="AG16730" s="831" t="s">
        <v>2674</v>
      </c>
      <c r="AH16730" s="831" t="s">
        <v>547</v>
      </c>
      <c r="AI16730" s="831">
        <v>0</v>
      </c>
      <c r="AJ16730" s="835">
        <v>41243</v>
      </c>
      <c r="AK16730" s="831">
        <v>0</v>
      </c>
    </row>
    <row r="16731" spans="2:37">
      <c r="B16731" s="834" t="str">
        <f t="shared" si="603"/>
        <v>|||</v>
      </c>
      <c r="H16731" s="835">
        <f t="shared" si="604"/>
        <v>31</v>
      </c>
      <c r="AF16731" s="831" t="s">
        <v>10622</v>
      </c>
      <c r="AG16731" s="831" t="s">
        <v>2674</v>
      </c>
      <c r="AH16731" s="831" t="s">
        <v>548</v>
      </c>
      <c r="AI16731" s="831">
        <v>0</v>
      </c>
      <c r="AJ16731" s="835">
        <v>41243</v>
      </c>
      <c r="AK16731" s="831">
        <v>0</v>
      </c>
    </row>
    <row r="16732" spans="2:37">
      <c r="B16732" s="834" t="str">
        <f t="shared" si="603"/>
        <v>|||</v>
      </c>
      <c r="H16732" s="835">
        <f t="shared" si="604"/>
        <v>31</v>
      </c>
      <c r="AF16732" s="831" t="s">
        <v>10623</v>
      </c>
      <c r="AG16732" s="831" t="s">
        <v>2674</v>
      </c>
      <c r="AH16732" s="831" t="s">
        <v>549</v>
      </c>
      <c r="AI16732" s="831">
        <v>0</v>
      </c>
      <c r="AJ16732" s="835">
        <v>41243</v>
      </c>
      <c r="AK16732" s="831">
        <v>0</v>
      </c>
    </row>
    <row r="16733" spans="2:37">
      <c r="B16733" s="834" t="str">
        <f t="shared" si="603"/>
        <v>|||</v>
      </c>
      <c r="H16733" s="835">
        <f t="shared" si="604"/>
        <v>31</v>
      </c>
      <c r="AF16733" s="831" t="s">
        <v>10624</v>
      </c>
      <c r="AG16733" s="831" t="s">
        <v>2674</v>
      </c>
      <c r="AH16733" s="831" t="s">
        <v>192</v>
      </c>
      <c r="AI16733" s="831">
        <v>0</v>
      </c>
      <c r="AJ16733" s="835">
        <v>41243</v>
      </c>
      <c r="AK16733" s="831">
        <v>-10079693</v>
      </c>
    </row>
    <row r="16734" spans="2:37">
      <c r="B16734" s="834" t="str">
        <f t="shared" si="603"/>
        <v>|||</v>
      </c>
      <c r="H16734" s="835">
        <f t="shared" si="604"/>
        <v>31</v>
      </c>
      <c r="AF16734" s="831" t="s">
        <v>10625</v>
      </c>
      <c r="AG16734" s="831" t="s">
        <v>2674</v>
      </c>
      <c r="AH16734" s="831" t="s">
        <v>558</v>
      </c>
      <c r="AI16734" s="831">
        <v>0</v>
      </c>
      <c r="AJ16734" s="835">
        <v>41243</v>
      </c>
      <c r="AK16734" s="831">
        <v>366925030</v>
      </c>
    </row>
    <row r="16735" spans="2:37">
      <c r="B16735" s="834" t="str">
        <f t="shared" si="603"/>
        <v>|||</v>
      </c>
      <c r="H16735" s="835">
        <f t="shared" si="604"/>
        <v>31</v>
      </c>
      <c r="AF16735" s="831" t="s">
        <v>10626</v>
      </c>
      <c r="AG16735" s="831" t="s">
        <v>2674</v>
      </c>
      <c r="AH16735" s="831" t="s">
        <v>65</v>
      </c>
      <c r="AI16735" s="831">
        <v>0</v>
      </c>
      <c r="AJ16735" s="835">
        <v>41243</v>
      </c>
      <c r="AK16735" s="831">
        <v>89510969</v>
      </c>
    </row>
    <row r="16736" spans="2:37">
      <c r="B16736" s="834" t="str">
        <f t="shared" si="603"/>
        <v>|||</v>
      </c>
      <c r="H16736" s="835">
        <f t="shared" si="604"/>
        <v>31</v>
      </c>
      <c r="AF16736" s="831" t="s">
        <v>10627</v>
      </c>
      <c r="AG16736" s="831" t="s">
        <v>2674</v>
      </c>
      <c r="AH16736" s="831" t="s">
        <v>89</v>
      </c>
      <c r="AI16736" s="831">
        <v>0</v>
      </c>
      <c r="AJ16736" s="835">
        <v>41243</v>
      </c>
      <c r="AK16736" s="831">
        <v>123534</v>
      </c>
    </row>
    <row r="16737" spans="2:37">
      <c r="B16737" s="834" t="str">
        <f t="shared" si="603"/>
        <v>|||</v>
      </c>
      <c r="H16737" s="835">
        <f t="shared" si="604"/>
        <v>31</v>
      </c>
      <c r="AF16737" s="831" t="s">
        <v>10628</v>
      </c>
      <c r="AG16737" s="831" t="s">
        <v>2674</v>
      </c>
      <c r="AH16737" s="831" t="s">
        <v>557</v>
      </c>
      <c r="AI16737" s="831">
        <v>0</v>
      </c>
      <c r="AJ16737" s="835">
        <v>41243</v>
      </c>
      <c r="AK16737" s="831">
        <v>125715</v>
      </c>
    </row>
    <row r="16738" spans="2:37">
      <c r="B16738" s="834" t="str">
        <f t="shared" si="603"/>
        <v>|||</v>
      </c>
      <c r="H16738" s="835">
        <f t="shared" si="604"/>
        <v>31</v>
      </c>
      <c r="AF16738" s="831" t="s">
        <v>10629</v>
      </c>
      <c r="AG16738" s="831" t="s">
        <v>2674</v>
      </c>
      <c r="AH16738" s="831" t="s">
        <v>29</v>
      </c>
      <c r="AI16738" s="831">
        <v>0</v>
      </c>
      <c r="AJ16738" s="835">
        <v>41243</v>
      </c>
      <c r="AK16738" s="831">
        <v>2094921</v>
      </c>
    </row>
    <row r="16739" spans="2:37">
      <c r="B16739" s="834" t="str">
        <f t="shared" si="603"/>
        <v>|||</v>
      </c>
      <c r="H16739" s="835">
        <f t="shared" si="604"/>
        <v>31</v>
      </c>
      <c r="AF16739" s="831" t="s">
        <v>10630</v>
      </c>
      <c r="AG16739" s="831" t="s">
        <v>2674</v>
      </c>
      <c r="AH16739" s="831" t="s">
        <v>2688</v>
      </c>
      <c r="AI16739" s="831">
        <v>0</v>
      </c>
      <c r="AJ16739" s="835">
        <v>41243</v>
      </c>
      <c r="AK16739" s="831">
        <v>2867819</v>
      </c>
    </row>
    <row r="16740" spans="2:37">
      <c r="B16740" s="834" t="str">
        <f t="shared" si="603"/>
        <v>|||</v>
      </c>
      <c r="H16740" s="835">
        <f t="shared" si="604"/>
        <v>31</v>
      </c>
      <c r="AF16740" s="831" t="s">
        <v>10631</v>
      </c>
      <c r="AG16740" s="831" t="s">
        <v>2674</v>
      </c>
      <c r="AH16740" s="831" t="s">
        <v>556</v>
      </c>
      <c r="AI16740" s="831">
        <v>0</v>
      </c>
      <c r="AJ16740" s="835">
        <v>41243</v>
      </c>
      <c r="AK16740" s="831">
        <v>902857</v>
      </c>
    </row>
    <row r="16741" spans="2:37">
      <c r="B16741" s="834" t="str">
        <f t="shared" si="603"/>
        <v>|||</v>
      </c>
      <c r="H16741" s="835">
        <f t="shared" si="604"/>
        <v>31</v>
      </c>
      <c r="AF16741" s="831" t="s">
        <v>10632</v>
      </c>
      <c r="AG16741" s="831" t="s">
        <v>2674</v>
      </c>
      <c r="AH16741" s="831" t="s">
        <v>555</v>
      </c>
      <c r="AI16741" s="831">
        <v>0</v>
      </c>
      <c r="AJ16741" s="835">
        <v>41243</v>
      </c>
      <c r="AK16741" s="831">
        <v>236413970</v>
      </c>
    </row>
    <row r="16742" spans="2:37">
      <c r="B16742" s="834" t="str">
        <f t="shared" si="603"/>
        <v>|||</v>
      </c>
      <c r="H16742" s="835">
        <f t="shared" si="604"/>
        <v>31</v>
      </c>
      <c r="AF16742" s="831" t="s">
        <v>10633</v>
      </c>
      <c r="AG16742" s="831" t="s">
        <v>2674</v>
      </c>
      <c r="AH16742" s="831" t="s">
        <v>554</v>
      </c>
      <c r="AI16742" s="831">
        <v>0</v>
      </c>
      <c r="AJ16742" s="835">
        <v>41243</v>
      </c>
      <c r="AK16742" s="831">
        <v>238298670</v>
      </c>
    </row>
    <row r="16743" spans="2:37">
      <c r="B16743" s="834" t="str">
        <f t="shared" si="603"/>
        <v>|||</v>
      </c>
      <c r="H16743" s="835">
        <f t="shared" si="604"/>
        <v>31</v>
      </c>
      <c r="AF16743" s="831" t="s">
        <v>10634</v>
      </c>
      <c r="AG16743" s="831" t="s">
        <v>2674</v>
      </c>
      <c r="AH16743" s="831" t="s">
        <v>553</v>
      </c>
      <c r="AI16743" s="831">
        <v>0</v>
      </c>
      <c r="AJ16743" s="835">
        <v>41243</v>
      </c>
      <c r="AK16743" s="831">
        <v>0</v>
      </c>
    </row>
    <row r="16744" spans="2:37">
      <c r="B16744" s="834" t="str">
        <f t="shared" si="603"/>
        <v>|||</v>
      </c>
      <c r="H16744" s="835">
        <f t="shared" si="604"/>
        <v>31</v>
      </c>
      <c r="AF16744" s="831" t="s">
        <v>10635</v>
      </c>
      <c r="AG16744" s="831" t="s">
        <v>2674</v>
      </c>
      <c r="AH16744" s="831" t="s">
        <v>552</v>
      </c>
      <c r="AI16744" s="831">
        <v>0</v>
      </c>
      <c r="AJ16744" s="835">
        <v>41243</v>
      </c>
      <c r="AK16744" s="831">
        <v>0</v>
      </c>
    </row>
    <row r="16745" spans="2:37">
      <c r="B16745" s="834" t="str">
        <f t="shared" si="603"/>
        <v>|||</v>
      </c>
      <c r="H16745" s="835">
        <f t="shared" si="604"/>
        <v>31</v>
      </c>
      <c r="AF16745" s="831" t="s">
        <v>10636</v>
      </c>
      <c r="AG16745" s="831" t="s">
        <v>2674</v>
      </c>
      <c r="AH16745" s="831" t="s">
        <v>551</v>
      </c>
      <c r="AI16745" s="831">
        <v>0</v>
      </c>
      <c r="AJ16745" s="835">
        <v>41243</v>
      </c>
      <c r="AK16745" s="831">
        <v>1916351</v>
      </c>
    </row>
    <row r="16746" spans="2:37">
      <c r="B16746" s="834" t="str">
        <f t="shared" si="603"/>
        <v>|||</v>
      </c>
      <c r="H16746" s="835">
        <f t="shared" si="604"/>
        <v>31</v>
      </c>
      <c r="AF16746" s="831" t="s">
        <v>10637</v>
      </c>
      <c r="AG16746" s="831" t="s">
        <v>2674</v>
      </c>
      <c r="AH16746" s="831" t="s">
        <v>550</v>
      </c>
      <c r="AI16746" s="831">
        <v>0</v>
      </c>
      <c r="AJ16746" s="835">
        <v>41243</v>
      </c>
      <c r="AK16746" s="831">
        <v>99431431</v>
      </c>
    </row>
    <row r="16747" spans="2:37">
      <c r="B16747" s="834" t="str">
        <f t="shared" si="603"/>
        <v>|||</v>
      </c>
      <c r="H16747" s="835">
        <f t="shared" si="604"/>
        <v>31</v>
      </c>
      <c r="AF16747" s="831" t="s">
        <v>10638</v>
      </c>
      <c r="AG16747" s="831" t="s">
        <v>2674</v>
      </c>
      <c r="AH16747" s="831" t="s">
        <v>562</v>
      </c>
      <c r="AI16747" s="831">
        <v>0</v>
      </c>
      <c r="AJ16747" s="835">
        <v>41243</v>
      </c>
      <c r="AK16747" s="831">
        <v>0.78415000000000001</v>
      </c>
    </row>
    <row r="16748" spans="2:37">
      <c r="B16748" s="834" t="str">
        <f t="shared" si="603"/>
        <v>|||</v>
      </c>
      <c r="H16748" s="835">
        <f t="shared" si="604"/>
        <v>31</v>
      </c>
      <c r="AF16748" s="831" t="s">
        <v>10639</v>
      </c>
      <c r="AG16748" s="831" t="s">
        <v>2674</v>
      </c>
      <c r="AH16748" s="831" t="s">
        <v>2698</v>
      </c>
      <c r="AI16748" s="831">
        <v>0</v>
      </c>
      <c r="AJ16748" s="835">
        <v>41243</v>
      </c>
      <c r="AK16748" s="831">
        <v>0.78434999999999999</v>
      </c>
    </row>
    <row r="16749" spans="2:37">
      <c r="B16749" s="834" t="str">
        <f t="shared" si="603"/>
        <v>|||</v>
      </c>
      <c r="H16749" s="835">
        <f t="shared" si="604"/>
        <v>31</v>
      </c>
      <c r="AF16749" s="831" t="s">
        <v>10640</v>
      </c>
      <c r="AG16749" s="831" t="s">
        <v>2674</v>
      </c>
      <c r="AH16749" s="831" t="s">
        <v>560</v>
      </c>
      <c r="AI16749" s="831">
        <v>0</v>
      </c>
      <c r="AJ16749" s="835">
        <v>41243</v>
      </c>
      <c r="AK16749" s="831">
        <v>0.7851499999999999</v>
      </c>
    </row>
    <row r="16750" spans="2:37">
      <c r="B16750" s="834" t="str">
        <f t="shared" si="603"/>
        <v>|||</v>
      </c>
      <c r="H16750" s="835">
        <f t="shared" si="604"/>
        <v>31</v>
      </c>
      <c r="AF16750" s="831" t="s">
        <v>10641</v>
      </c>
      <c r="AG16750" s="831" t="s">
        <v>2674</v>
      </c>
      <c r="AH16750" s="831" t="s">
        <v>559</v>
      </c>
      <c r="AI16750" s="831">
        <v>0</v>
      </c>
      <c r="AJ16750" s="835">
        <v>41243</v>
      </c>
      <c r="AK16750" s="831">
        <v>0.78524166666666673</v>
      </c>
    </row>
    <row r="16751" spans="2:37">
      <c r="B16751" s="834" t="str">
        <f t="shared" si="603"/>
        <v>|||</v>
      </c>
      <c r="H16751" s="835">
        <f t="shared" si="604"/>
        <v>31</v>
      </c>
      <c r="AF16751" s="831" t="s">
        <v>10642</v>
      </c>
      <c r="AG16751" s="831" t="s">
        <v>2674</v>
      </c>
      <c r="AH16751" s="831" t="s">
        <v>568</v>
      </c>
      <c r="AI16751" s="831">
        <v>0</v>
      </c>
      <c r="AJ16751" s="835">
        <v>41243</v>
      </c>
      <c r="AK16751" s="831">
        <v>0</v>
      </c>
    </row>
    <row r="16752" spans="2:37">
      <c r="B16752" s="834" t="str">
        <f t="shared" si="603"/>
        <v>|||</v>
      </c>
      <c r="H16752" s="835">
        <f t="shared" si="604"/>
        <v>31</v>
      </c>
      <c r="AF16752" s="831" t="s">
        <v>10643</v>
      </c>
      <c r="AG16752" s="831" t="s">
        <v>2674</v>
      </c>
      <c r="AH16752" s="831" t="s">
        <v>569</v>
      </c>
      <c r="AI16752" s="831">
        <v>0</v>
      </c>
      <c r="AJ16752" s="835">
        <v>41243</v>
      </c>
      <c r="AK16752" s="831">
        <v>0</v>
      </c>
    </row>
    <row r="16753" spans="2:37">
      <c r="B16753" s="834" t="str">
        <f t="shared" si="603"/>
        <v>|||</v>
      </c>
      <c r="H16753" s="835">
        <f t="shared" si="604"/>
        <v>31</v>
      </c>
      <c r="AF16753" s="831" t="s">
        <v>10644</v>
      </c>
      <c r="AG16753" s="831" t="s">
        <v>2674</v>
      </c>
      <c r="AH16753" s="831" t="s">
        <v>570</v>
      </c>
      <c r="AI16753" s="831">
        <v>0</v>
      </c>
      <c r="AJ16753" s="835">
        <v>41243</v>
      </c>
      <c r="AK16753" s="831">
        <v>0</v>
      </c>
    </row>
    <row r="16754" spans="2:37">
      <c r="B16754" s="834" t="str">
        <f t="shared" si="603"/>
        <v>|||</v>
      </c>
      <c r="H16754" s="835">
        <f t="shared" si="604"/>
        <v>31</v>
      </c>
      <c r="AF16754" s="831" t="s">
        <v>10645</v>
      </c>
      <c r="AG16754" s="831" t="s">
        <v>2674</v>
      </c>
      <c r="AH16754" s="831" t="s">
        <v>571</v>
      </c>
      <c r="AI16754" s="831">
        <v>0</v>
      </c>
      <c r="AJ16754" s="835">
        <v>41243</v>
      </c>
      <c r="AK16754" s="831">
        <v>0</v>
      </c>
    </row>
    <row r="16755" spans="2:37">
      <c r="B16755" s="834" t="str">
        <f t="shared" si="603"/>
        <v>|||</v>
      </c>
      <c r="H16755" s="835">
        <f t="shared" si="604"/>
        <v>31</v>
      </c>
      <c r="AF16755" s="831" t="s">
        <v>10646</v>
      </c>
      <c r="AG16755" s="831" t="s">
        <v>2674</v>
      </c>
      <c r="AH16755" s="831" t="s">
        <v>573</v>
      </c>
      <c r="AI16755" s="831">
        <v>0</v>
      </c>
      <c r="AJ16755" s="835">
        <v>41243</v>
      </c>
      <c r="AK16755" s="831">
        <v>0</v>
      </c>
    </row>
    <row r="16756" spans="2:37">
      <c r="B16756" s="834" t="str">
        <f t="shared" si="603"/>
        <v>|||</v>
      </c>
      <c r="H16756" s="835">
        <f t="shared" si="604"/>
        <v>31</v>
      </c>
      <c r="AF16756" s="831" t="s">
        <v>10647</v>
      </c>
      <c r="AG16756" s="831" t="s">
        <v>2674</v>
      </c>
      <c r="AH16756" s="831" t="s">
        <v>574</v>
      </c>
      <c r="AI16756" s="831">
        <v>0</v>
      </c>
      <c r="AJ16756" s="835">
        <v>41243</v>
      </c>
      <c r="AK16756" s="831">
        <v>0</v>
      </c>
    </row>
    <row r="16757" spans="2:37">
      <c r="B16757" s="834" t="str">
        <f t="shared" si="603"/>
        <v>|||</v>
      </c>
      <c r="H16757" s="835">
        <f t="shared" si="604"/>
        <v>31</v>
      </c>
      <c r="AF16757" s="831" t="s">
        <v>10648</v>
      </c>
      <c r="AG16757" s="831" t="s">
        <v>2674</v>
      </c>
      <c r="AH16757" s="831" t="s">
        <v>575</v>
      </c>
      <c r="AI16757" s="831">
        <v>0</v>
      </c>
      <c r="AJ16757" s="835">
        <v>41243</v>
      </c>
      <c r="AK16757" s="831">
        <v>0</v>
      </c>
    </row>
    <row r="16758" spans="2:37">
      <c r="B16758" s="834" t="str">
        <f t="shared" si="603"/>
        <v>|||</v>
      </c>
      <c r="H16758" s="835">
        <f t="shared" si="604"/>
        <v>31</v>
      </c>
      <c r="AF16758" s="831" t="s">
        <v>10649</v>
      </c>
      <c r="AG16758" s="831" t="s">
        <v>2674</v>
      </c>
      <c r="AH16758" s="831" t="s">
        <v>576</v>
      </c>
      <c r="AI16758" s="831">
        <v>0</v>
      </c>
      <c r="AJ16758" s="835">
        <v>41243</v>
      </c>
      <c r="AK16758" s="831">
        <v>0</v>
      </c>
    </row>
    <row r="16759" spans="2:37">
      <c r="B16759" s="834" t="str">
        <f t="shared" si="603"/>
        <v>|||</v>
      </c>
      <c r="H16759" s="835">
        <f t="shared" si="604"/>
        <v>31</v>
      </c>
      <c r="AF16759" s="831" t="s">
        <v>10650</v>
      </c>
      <c r="AG16759" s="831" t="s">
        <v>2674</v>
      </c>
      <c r="AH16759" s="831" t="s">
        <v>572</v>
      </c>
      <c r="AI16759" s="831">
        <v>0</v>
      </c>
      <c r="AJ16759" s="835">
        <v>41243</v>
      </c>
      <c r="AK16759" s="831">
        <v>-2146826246</v>
      </c>
    </row>
    <row r="16760" spans="2:37">
      <c r="B16760" s="834" t="str">
        <f t="shared" si="603"/>
        <v>|||</v>
      </c>
      <c r="H16760" s="835">
        <f t="shared" si="604"/>
        <v>31</v>
      </c>
      <c r="AF16760" s="831" t="s">
        <v>10651</v>
      </c>
      <c r="AG16760" s="831" t="s">
        <v>2674</v>
      </c>
      <c r="AH16760" s="831" t="s">
        <v>577</v>
      </c>
      <c r="AI16760" s="831">
        <v>0</v>
      </c>
      <c r="AJ16760" s="835">
        <v>41243</v>
      </c>
      <c r="AK16760" s="831">
        <v>-2146826246</v>
      </c>
    </row>
    <row r="16761" spans="2:37">
      <c r="B16761" s="834" t="str">
        <f t="shared" si="603"/>
        <v>|||</v>
      </c>
      <c r="H16761" s="835">
        <f t="shared" si="604"/>
        <v>31</v>
      </c>
      <c r="AF16761" s="831" t="s">
        <v>10652</v>
      </c>
      <c r="AG16761" s="831" t="s">
        <v>2674</v>
      </c>
      <c r="AH16761" s="831" t="s">
        <v>3042</v>
      </c>
      <c r="AI16761" s="831">
        <v>0</v>
      </c>
      <c r="AJ16761" s="835">
        <v>41243</v>
      </c>
      <c r="AK16761" s="831">
        <v>-2146826246</v>
      </c>
    </row>
    <row r="16762" spans="2:37">
      <c r="B16762" s="834" t="str">
        <f t="shared" si="603"/>
        <v>|||</v>
      </c>
      <c r="H16762" s="835">
        <f t="shared" si="604"/>
        <v>31</v>
      </c>
      <c r="AF16762" s="831" t="s">
        <v>10653</v>
      </c>
      <c r="AG16762" s="831" t="s">
        <v>2674</v>
      </c>
      <c r="AH16762" s="831" t="s">
        <v>3044</v>
      </c>
      <c r="AI16762" s="831">
        <v>0</v>
      </c>
      <c r="AJ16762" s="835">
        <v>41243</v>
      </c>
      <c r="AK16762" s="831">
        <v>-2146826246</v>
      </c>
    </row>
    <row r="16763" spans="2:37">
      <c r="B16763" s="834" t="str">
        <f t="shared" si="603"/>
        <v>|||</v>
      </c>
      <c r="H16763" s="835">
        <f t="shared" si="604"/>
        <v>31</v>
      </c>
      <c r="AF16763" s="831" t="s">
        <v>10654</v>
      </c>
      <c r="AG16763" s="831" t="s">
        <v>2674</v>
      </c>
      <c r="AH16763" s="831" t="s">
        <v>580</v>
      </c>
      <c r="AI16763" s="831">
        <v>0</v>
      </c>
      <c r="AJ16763" s="835">
        <v>41243</v>
      </c>
      <c r="AK16763" s="831">
        <v>-2146826246</v>
      </c>
    </row>
    <row r="16764" spans="2:37">
      <c r="B16764" s="834" t="str">
        <f t="shared" si="603"/>
        <v>|||</v>
      </c>
      <c r="H16764" s="835">
        <f t="shared" si="604"/>
        <v>31</v>
      </c>
      <c r="AF16764" s="831" t="s">
        <v>10655</v>
      </c>
      <c r="AG16764" s="831" t="s">
        <v>2674</v>
      </c>
      <c r="AH16764" s="831" t="s">
        <v>581</v>
      </c>
      <c r="AI16764" s="831">
        <v>0</v>
      </c>
      <c r="AJ16764" s="835">
        <v>41243</v>
      </c>
      <c r="AK16764" s="831">
        <v>-2146826246</v>
      </c>
    </row>
    <row r="16765" spans="2:37">
      <c r="B16765" s="834" t="str">
        <f t="shared" si="603"/>
        <v>|||</v>
      </c>
      <c r="H16765" s="835">
        <f t="shared" si="604"/>
        <v>31</v>
      </c>
      <c r="AF16765" s="831" t="s">
        <v>10656</v>
      </c>
      <c r="AG16765" s="831" t="s">
        <v>2674</v>
      </c>
      <c r="AH16765" s="831" t="s">
        <v>105</v>
      </c>
      <c r="AI16765" s="831">
        <v>0</v>
      </c>
      <c r="AJ16765" s="835">
        <v>41243</v>
      </c>
      <c r="AK16765" s="831">
        <v>202127506</v>
      </c>
    </row>
    <row r="16766" spans="2:37">
      <c r="B16766" s="834" t="str">
        <f t="shared" si="603"/>
        <v>|||</v>
      </c>
      <c r="H16766" s="835">
        <f t="shared" si="604"/>
        <v>31</v>
      </c>
      <c r="AF16766" s="831" t="s">
        <v>10657</v>
      </c>
      <c r="AG16766" s="831" t="s">
        <v>2674</v>
      </c>
      <c r="AH16766" s="831" t="s">
        <v>3049</v>
      </c>
      <c r="AI16766" s="831">
        <v>0</v>
      </c>
      <c r="AJ16766" s="835">
        <v>41243</v>
      </c>
      <c r="AK16766" s="831">
        <v>355103629</v>
      </c>
    </row>
    <row r="16767" spans="2:37">
      <c r="B16767" s="834" t="str">
        <f t="shared" si="603"/>
        <v>|||</v>
      </c>
      <c r="H16767" s="835">
        <f t="shared" si="604"/>
        <v>31</v>
      </c>
      <c r="AF16767" s="831" t="s">
        <v>10658</v>
      </c>
      <c r="AG16767" s="831" t="s">
        <v>2674</v>
      </c>
      <c r="AH16767" s="831" t="s">
        <v>103</v>
      </c>
      <c r="AI16767" s="831">
        <v>0</v>
      </c>
      <c r="AJ16767" s="835">
        <v>41243</v>
      </c>
      <c r="AK16767" s="831">
        <v>152976123</v>
      </c>
    </row>
    <row r="16768" spans="2:37">
      <c r="B16768" s="834" t="str">
        <f t="shared" si="603"/>
        <v>|||</v>
      </c>
      <c r="H16768" s="835">
        <f t="shared" si="604"/>
        <v>31</v>
      </c>
      <c r="AF16768" s="831" t="s">
        <v>10659</v>
      </c>
      <c r="AG16768" s="831" t="s">
        <v>2674</v>
      </c>
      <c r="AH16768" s="831" t="s">
        <v>182</v>
      </c>
      <c r="AI16768" s="831">
        <v>0</v>
      </c>
      <c r="AJ16768" s="835">
        <v>41243</v>
      </c>
      <c r="AK16768" s="831">
        <v>50142446.18181818</v>
      </c>
    </row>
    <row r="16769" spans="2:37">
      <c r="B16769" s="834" t="str">
        <f t="shared" si="603"/>
        <v>|||</v>
      </c>
      <c r="H16769" s="835">
        <f t="shared" si="604"/>
        <v>31</v>
      </c>
      <c r="AF16769" s="831" t="s">
        <v>10660</v>
      </c>
      <c r="AG16769" s="831" t="s">
        <v>2674</v>
      </c>
      <c r="AH16769" s="831" t="s">
        <v>6600</v>
      </c>
      <c r="AI16769" s="831">
        <v>0</v>
      </c>
      <c r="AJ16769" s="835">
        <v>41243</v>
      </c>
      <c r="AK16769" s="831">
        <v>-2146826246</v>
      </c>
    </row>
    <row r="16770" spans="2:37">
      <c r="B16770" s="834" t="str">
        <f t="shared" si="603"/>
        <v>|||</v>
      </c>
      <c r="H16770" s="835">
        <f t="shared" si="604"/>
        <v>31</v>
      </c>
      <c r="AF16770" s="831" t="s">
        <v>10661</v>
      </c>
      <c r="AG16770" s="831" t="s">
        <v>2674</v>
      </c>
      <c r="AH16770" s="831" t="s">
        <v>6602</v>
      </c>
      <c r="AI16770" s="831">
        <v>0</v>
      </c>
      <c r="AJ16770" s="835">
        <v>41243</v>
      </c>
      <c r="AK16770" s="831">
        <v>16533903</v>
      </c>
    </row>
    <row r="16771" spans="2:37">
      <c r="B16771" s="834" t="str">
        <f t="shared" si="603"/>
        <v>|||</v>
      </c>
      <c r="H16771" s="835">
        <f t="shared" si="604"/>
        <v>31</v>
      </c>
      <c r="AF16771" s="831" t="s">
        <v>10662</v>
      </c>
      <c r="AG16771" s="831" t="s">
        <v>2674</v>
      </c>
      <c r="AH16771" s="831" t="s">
        <v>650</v>
      </c>
      <c r="AI16771" s="831">
        <v>0</v>
      </c>
      <c r="AJ16771" s="835">
        <v>41243</v>
      </c>
      <c r="AK16771" s="831">
        <v>0</v>
      </c>
    </row>
    <row r="16772" spans="2:37">
      <c r="B16772" s="834" t="str">
        <f t="shared" si="603"/>
        <v>|||</v>
      </c>
      <c r="H16772" s="835">
        <f t="shared" si="604"/>
        <v>31</v>
      </c>
      <c r="AF16772" s="831" t="s">
        <v>10663</v>
      </c>
      <c r="AG16772" s="831" t="s">
        <v>2674</v>
      </c>
      <c r="AH16772" s="831" t="s">
        <v>655</v>
      </c>
      <c r="AI16772" s="831">
        <v>0</v>
      </c>
      <c r="AJ16772" s="835">
        <v>41243</v>
      </c>
      <c r="AK16772" s="831">
        <v>1720042</v>
      </c>
    </row>
    <row r="16773" spans="2:37">
      <c r="B16773" s="834" t="str">
        <f t="shared" si="603"/>
        <v>|||</v>
      </c>
      <c r="H16773" s="835">
        <f t="shared" si="604"/>
        <v>31</v>
      </c>
      <c r="AF16773" s="831" t="s">
        <v>10664</v>
      </c>
      <c r="AG16773" s="831" t="s">
        <v>2674</v>
      </c>
      <c r="AH16773" s="831" t="s">
        <v>546</v>
      </c>
      <c r="AI16773" s="831">
        <v>0</v>
      </c>
      <c r="AJ16773" s="835">
        <v>41274</v>
      </c>
      <c r="AK16773" s="831">
        <v>412125624</v>
      </c>
    </row>
    <row r="16774" spans="2:37">
      <c r="B16774" s="834" t="str">
        <f t="shared" si="603"/>
        <v>|||</v>
      </c>
      <c r="H16774" s="835">
        <f t="shared" si="604"/>
        <v>31</v>
      </c>
      <c r="AF16774" s="831" t="s">
        <v>10665</v>
      </c>
      <c r="AG16774" s="831" t="s">
        <v>2674</v>
      </c>
      <c r="AH16774" s="831" t="s">
        <v>370</v>
      </c>
      <c r="AI16774" s="831">
        <v>0</v>
      </c>
      <c r="AJ16774" s="835">
        <v>41274</v>
      </c>
      <c r="AK16774" s="831">
        <v>515268910</v>
      </c>
    </row>
    <row r="16775" spans="2:37">
      <c r="B16775" s="834" t="str">
        <f t="shared" si="603"/>
        <v>|||</v>
      </c>
      <c r="H16775" s="835">
        <f t="shared" si="604"/>
        <v>31</v>
      </c>
      <c r="AF16775" s="831" t="s">
        <v>10666</v>
      </c>
      <c r="AG16775" s="831" t="s">
        <v>2674</v>
      </c>
      <c r="AH16775" s="831" t="s">
        <v>126</v>
      </c>
      <c r="AI16775" s="831">
        <v>0</v>
      </c>
      <c r="AJ16775" s="835">
        <v>41274</v>
      </c>
      <c r="AK16775" s="831">
        <v>101162875</v>
      </c>
    </row>
    <row r="16776" spans="2:37">
      <c r="B16776" s="834" t="str">
        <f t="shared" si="603"/>
        <v>|||</v>
      </c>
      <c r="H16776" s="835">
        <f t="shared" si="604"/>
        <v>31</v>
      </c>
      <c r="AF16776" s="831" t="s">
        <v>10667</v>
      </c>
      <c r="AG16776" s="831" t="s">
        <v>2674</v>
      </c>
      <c r="AH16776" s="831" t="s">
        <v>268</v>
      </c>
      <c r="AI16776" s="831">
        <v>0</v>
      </c>
      <c r="AJ16776" s="835">
        <v>41274</v>
      </c>
      <c r="AK16776" s="831">
        <v>15839951</v>
      </c>
    </row>
    <row r="16777" spans="2:37">
      <c r="B16777" s="834" t="str">
        <f t="shared" si="603"/>
        <v>|||</v>
      </c>
      <c r="H16777" s="835">
        <f t="shared" si="604"/>
        <v>31</v>
      </c>
      <c r="AF16777" s="831" t="s">
        <v>10668</v>
      </c>
      <c r="AG16777" s="831" t="s">
        <v>2674</v>
      </c>
      <c r="AH16777" s="831" t="s">
        <v>547</v>
      </c>
      <c r="AI16777" s="831">
        <v>0</v>
      </c>
      <c r="AJ16777" s="835">
        <v>41274</v>
      </c>
      <c r="AK16777" s="831">
        <v>0</v>
      </c>
    </row>
    <row r="16778" spans="2:37">
      <c r="B16778" s="834" t="str">
        <f t="shared" si="603"/>
        <v>|||</v>
      </c>
      <c r="H16778" s="835">
        <f t="shared" si="604"/>
        <v>31</v>
      </c>
      <c r="AF16778" s="831" t="s">
        <v>10669</v>
      </c>
      <c r="AG16778" s="831" t="s">
        <v>2674</v>
      </c>
      <c r="AH16778" s="831" t="s">
        <v>548</v>
      </c>
      <c r="AI16778" s="831">
        <v>0</v>
      </c>
      <c r="AJ16778" s="835">
        <v>41274</v>
      </c>
      <c r="AK16778" s="831">
        <v>0</v>
      </c>
    </row>
    <row r="16779" spans="2:37">
      <c r="B16779" s="834" t="str">
        <f t="shared" si="603"/>
        <v>|||</v>
      </c>
      <c r="H16779" s="835">
        <f t="shared" si="604"/>
        <v>31</v>
      </c>
      <c r="AF16779" s="831" t="s">
        <v>10670</v>
      </c>
      <c r="AG16779" s="831" t="s">
        <v>2674</v>
      </c>
      <c r="AH16779" s="831" t="s">
        <v>549</v>
      </c>
      <c r="AI16779" s="831">
        <v>0</v>
      </c>
      <c r="AJ16779" s="835">
        <v>41274</v>
      </c>
      <c r="AK16779" s="831">
        <v>0</v>
      </c>
    </row>
    <row r="16780" spans="2:37">
      <c r="B16780" s="834" t="str">
        <f t="shared" si="603"/>
        <v>|||</v>
      </c>
      <c r="H16780" s="835">
        <f t="shared" si="604"/>
        <v>31</v>
      </c>
      <c r="AF16780" s="831" t="s">
        <v>10671</v>
      </c>
      <c r="AG16780" s="831" t="s">
        <v>2674</v>
      </c>
      <c r="AH16780" s="831" t="s">
        <v>192</v>
      </c>
      <c r="AI16780" s="831">
        <v>0</v>
      </c>
      <c r="AJ16780" s="835">
        <v>41274</v>
      </c>
      <c r="AK16780" s="831">
        <v>-10390612</v>
      </c>
    </row>
    <row r="16781" spans="2:37">
      <c r="B16781" s="834" t="str">
        <f t="shared" si="603"/>
        <v>|||</v>
      </c>
      <c r="H16781" s="835">
        <f t="shared" si="604"/>
        <v>31</v>
      </c>
      <c r="AF16781" s="831" t="s">
        <v>10672</v>
      </c>
      <c r="AG16781" s="831" t="s">
        <v>2674</v>
      </c>
      <c r="AH16781" s="831" t="s">
        <v>558</v>
      </c>
      <c r="AI16781" s="831">
        <v>0</v>
      </c>
      <c r="AJ16781" s="835">
        <v>41274</v>
      </c>
      <c r="AK16781" s="831">
        <v>414106035</v>
      </c>
    </row>
    <row r="16782" spans="2:37">
      <c r="B16782" s="834" t="str">
        <f t="shared" si="603"/>
        <v>|||</v>
      </c>
      <c r="H16782" s="835">
        <f t="shared" si="604"/>
        <v>31</v>
      </c>
      <c r="AF16782" s="831" t="s">
        <v>10673</v>
      </c>
      <c r="AG16782" s="831" t="s">
        <v>2674</v>
      </c>
      <c r="AH16782" s="831" t="s">
        <v>65</v>
      </c>
      <c r="AI16782" s="831">
        <v>0</v>
      </c>
      <c r="AJ16782" s="835">
        <v>41274</v>
      </c>
      <c r="AK16782" s="831">
        <v>98876380</v>
      </c>
    </row>
    <row r="16783" spans="2:37">
      <c r="B16783" s="834" t="str">
        <f t="shared" si="603"/>
        <v>|||</v>
      </c>
      <c r="H16783" s="835">
        <f t="shared" si="604"/>
        <v>31</v>
      </c>
      <c r="AF16783" s="831" t="s">
        <v>10674</v>
      </c>
      <c r="AG16783" s="831" t="s">
        <v>2674</v>
      </c>
      <c r="AH16783" s="831" t="s">
        <v>89</v>
      </c>
      <c r="AI16783" s="831">
        <v>0</v>
      </c>
      <c r="AJ16783" s="835">
        <v>41274</v>
      </c>
      <c r="AK16783" s="831">
        <v>124397</v>
      </c>
    </row>
    <row r="16784" spans="2:37">
      <c r="B16784" s="834" t="str">
        <f t="shared" si="603"/>
        <v>|||</v>
      </c>
      <c r="H16784" s="835">
        <f t="shared" si="604"/>
        <v>31</v>
      </c>
      <c r="AF16784" s="831" t="s">
        <v>10675</v>
      </c>
      <c r="AG16784" s="831" t="s">
        <v>2674</v>
      </c>
      <c r="AH16784" s="831" t="s">
        <v>557</v>
      </c>
      <c r="AI16784" s="831">
        <v>0</v>
      </c>
      <c r="AJ16784" s="835">
        <v>41274</v>
      </c>
      <c r="AK16784" s="831">
        <v>127200</v>
      </c>
    </row>
    <row r="16785" spans="2:37">
      <c r="B16785" s="834" t="str">
        <f t="shared" ref="B16785:B16848" si="605">C16785&amp;"|"&amp;D16785&amp;"|"&amp;E16785&amp;"|"&amp;F16785</f>
        <v>|||</v>
      </c>
      <c r="H16785" s="835">
        <f t="shared" ref="H16785:H16848" si="606">EOMONTH(L16785,0)</f>
        <v>31</v>
      </c>
      <c r="AF16785" s="831" t="s">
        <v>10676</v>
      </c>
      <c r="AG16785" s="831" t="s">
        <v>2674</v>
      </c>
      <c r="AH16785" s="831" t="s">
        <v>29</v>
      </c>
      <c r="AI16785" s="831">
        <v>0</v>
      </c>
      <c r="AJ16785" s="835">
        <v>41274</v>
      </c>
      <c r="AK16785" s="831">
        <v>1921756</v>
      </c>
    </row>
    <row r="16786" spans="2:37">
      <c r="B16786" s="834" t="str">
        <f t="shared" si="605"/>
        <v>|||</v>
      </c>
      <c r="H16786" s="835">
        <f t="shared" si="606"/>
        <v>31</v>
      </c>
      <c r="AF16786" s="831" t="s">
        <v>10677</v>
      </c>
      <c r="AG16786" s="831" t="s">
        <v>2674</v>
      </c>
      <c r="AH16786" s="831" t="s">
        <v>2688</v>
      </c>
      <c r="AI16786" s="831">
        <v>0</v>
      </c>
      <c r="AJ16786" s="835">
        <v>41274</v>
      </c>
      <c r="AK16786" s="831">
        <v>2457254</v>
      </c>
    </row>
    <row r="16787" spans="2:37">
      <c r="B16787" s="834" t="str">
        <f t="shared" si="605"/>
        <v>|||</v>
      </c>
      <c r="H16787" s="835">
        <f t="shared" si="606"/>
        <v>31</v>
      </c>
      <c r="AF16787" s="831" t="s">
        <v>10678</v>
      </c>
      <c r="AG16787" s="831" t="s">
        <v>2674</v>
      </c>
      <c r="AH16787" s="831" t="s">
        <v>556</v>
      </c>
      <c r="AI16787" s="831">
        <v>0</v>
      </c>
      <c r="AJ16787" s="835">
        <v>41274</v>
      </c>
      <c r="AK16787" s="831">
        <v>902857</v>
      </c>
    </row>
    <row r="16788" spans="2:37">
      <c r="B16788" s="834" t="str">
        <f t="shared" si="605"/>
        <v>|||</v>
      </c>
      <c r="H16788" s="835">
        <f t="shared" si="606"/>
        <v>31</v>
      </c>
      <c r="AF16788" s="831" t="s">
        <v>10679</v>
      </c>
      <c r="AG16788" s="831" t="s">
        <v>2674</v>
      </c>
      <c r="AH16788" s="831" t="s">
        <v>555</v>
      </c>
      <c r="AI16788" s="831">
        <v>0</v>
      </c>
      <c r="AJ16788" s="835">
        <v>41274</v>
      </c>
      <c r="AK16788" s="831">
        <v>274948010</v>
      </c>
    </row>
    <row r="16789" spans="2:37">
      <c r="B16789" s="834" t="str">
        <f t="shared" si="605"/>
        <v>|||</v>
      </c>
      <c r="H16789" s="835">
        <f t="shared" si="606"/>
        <v>31</v>
      </c>
      <c r="AF16789" s="831" t="s">
        <v>10680</v>
      </c>
      <c r="AG16789" s="831" t="s">
        <v>2674</v>
      </c>
      <c r="AH16789" s="831" t="s">
        <v>554</v>
      </c>
      <c r="AI16789" s="831">
        <v>0</v>
      </c>
      <c r="AJ16789" s="835">
        <v>41274</v>
      </c>
      <c r="AK16789" s="831">
        <v>273069880</v>
      </c>
    </row>
    <row r="16790" spans="2:37">
      <c r="B16790" s="834" t="str">
        <f t="shared" si="605"/>
        <v>|||</v>
      </c>
      <c r="H16790" s="835">
        <f t="shared" si="606"/>
        <v>31</v>
      </c>
      <c r="AF16790" s="831" t="s">
        <v>10681</v>
      </c>
      <c r="AG16790" s="831" t="s">
        <v>2674</v>
      </c>
      <c r="AH16790" s="831" t="s">
        <v>553</v>
      </c>
      <c r="AI16790" s="831">
        <v>0</v>
      </c>
      <c r="AJ16790" s="835">
        <v>41274</v>
      </c>
      <c r="AK16790" s="831">
        <v>0</v>
      </c>
    </row>
    <row r="16791" spans="2:37">
      <c r="B16791" s="834" t="str">
        <f t="shared" si="605"/>
        <v>|||</v>
      </c>
      <c r="H16791" s="835">
        <f t="shared" si="606"/>
        <v>31</v>
      </c>
      <c r="AF16791" s="831" t="s">
        <v>10682</v>
      </c>
      <c r="AG16791" s="831" t="s">
        <v>2674</v>
      </c>
      <c r="AH16791" s="831" t="s">
        <v>552</v>
      </c>
      <c r="AI16791" s="831">
        <v>0</v>
      </c>
      <c r="AJ16791" s="835">
        <v>41274</v>
      </c>
      <c r="AK16791" s="831">
        <v>0</v>
      </c>
    </row>
    <row r="16792" spans="2:37">
      <c r="B16792" s="834" t="str">
        <f t="shared" si="605"/>
        <v>|||</v>
      </c>
      <c r="H16792" s="835">
        <f t="shared" si="606"/>
        <v>31</v>
      </c>
      <c r="AF16792" s="831" t="s">
        <v>10683</v>
      </c>
      <c r="AG16792" s="831" t="s">
        <v>2674</v>
      </c>
      <c r="AH16792" s="831" t="s">
        <v>551</v>
      </c>
      <c r="AI16792" s="831">
        <v>0</v>
      </c>
      <c r="AJ16792" s="835">
        <v>41274</v>
      </c>
      <c r="AK16792" s="831">
        <v>1740472</v>
      </c>
    </row>
    <row r="16793" spans="2:37">
      <c r="B16793" s="834" t="str">
        <f t="shared" si="605"/>
        <v>|||</v>
      </c>
      <c r="H16793" s="835">
        <f t="shared" si="606"/>
        <v>31</v>
      </c>
      <c r="AF16793" s="831" t="s">
        <v>10684</v>
      </c>
      <c r="AG16793" s="831" t="s">
        <v>2674</v>
      </c>
      <c r="AH16793" s="831" t="s">
        <v>550</v>
      </c>
      <c r="AI16793" s="831">
        <v>0</v>
      </c>
      <c r="AJ16793" s="835">
        <v>41274</v>
      </c>
      <c r="AK16793" s="831">
        <v>101856827</v>
      </c>
    </row>
    <row r="16794" spans="2:37">
      <c r="B16794" s="834" t="str">
        <f t="shared" si="605"/>
        <v>|||</v>
      </c>
      <c r="H16794" s="835">
        <f t="shared" si="606"/>
        <v>31</v>
      </c>
      <c r="AF16794" s="831" t="s">
        <v>10685</v>
      </c>
      <c r="AG16794" s="831" t="s">
        <v>2674</v>
      </c>
      <c r="AH16794" s="831" t="s">
        <v>562</v>
      </c>
      <c r="AI16794" s="831">
        <v>0</v>
      </c>
      <c r="AJ16794" s="835">
        <v>41274</v>
      </c>
      <c r="AK16794" s="831">
        <v>0.78400000000000003</v>
      </c>
    </row>
    <row r="16795" spans="2:37">
      <c r="B16795" s="834" t="str">
        <f t="shared" si="605"/>
        <v>|||</v>
      </c>
      <c r="H16795" s="835">
        <f t="shared" si="606"/>
        <v>31</v>
      </c>
      <c r="AF16795" s="831" t="s">
        <v>10686</v>
      </c>
      <c r="AG16795" s="831" t="s">
        <v>2674</v>
      </c>
      <c r="AH16795" s="831" t="s">
        <v>2698</v>
      </c>
      <c r="AI16795" s="831">
        <v>0</v>
      </c>
      <c r="AJ16795" s="835">
        <v>41274</v>
      </c>
      <c r="AK16795" s="831">
        <v>0.78415000000000001</v>
      </c>
    </row>
    <row r="16796" spans="2:37">
      <c r="B16796" s="834" t="str">
        <f t="shared" si="605"/>
        <v>|||</v>
      </c>
      <c r="H16796" s="835">
        <f t="shared" si="606"/>
        <v>31</v>
      </c>
      <c r="AF16796" s="831" t="s">
        <v>10687</v>
      </c>
      <c r="AG16796" s="831" t="s">
        <v>2674</v>
      </c>
      <c r="AH16796" s="831" t="s">
        <v>560</v>
      </c>
      <c r="AI16796" s="831">
        <v>0</v>
      </c>
      <c r="AJ16796" s="835">
        <v>41274</v>
      </c>
      <c r="AK16796" s="831">
        <v>0.7850541666666665</v>
      </c>
    </row>
    <row r="16797" spans="2:37">
      <c r="B16797" s="834" t="str">
        <f t="shared" si="605"/>
        <v>|||</v>
      </c>
      <c r="H16797" s="835">
        <f t="shared" si="606"/>
        <v>31</v>
      </c>
      <c r="AF16797" s="831" t="s">
        <v>10688</v>
      </c>
      <c r="AG16797" s="831" t="s">
        <v>2674</v>
      </c>
      <c r="AH16797" s="831" t="s">
        <v>559</v>
      </c>
      <c r="AI16797" s="831">
        <v>0</v>
      </c>
      <c r="AJ16797" s="835">
        <v>41274</v>
      </c>
      <c r="AK16797" s="831">
        <v>0.7850541666666665</v>
      </c>
    </row>
    <row r="16798" spans="2:37">
      <c r="B16798" s="834" t="str">
        <f t="shared" si="605"/>
        <v>|||</v>
      </c>
      <c r="H16798" s="835">
        <f t="shared" si="606"/>
        <v>31</v>
      </c>
      <c r="AF16798" s="831" t="s">
        <v>10689</v>
      </c>
      <c r="AG16798" s="831" t="s">
        <v>2674</v>
      </c>
      <c r="AH16798" s="831" t="s">
        <v>568</v>
      </c>
      <c r="AI16798" s="831">
        <v>0</v>
      </c>
      <c r="AJ16798" s="835">
        <v>41274</v>
      </c>
      <c r="AK16798" s="831">
        <v>0</v>
      </c>
    </row>
    <row r="16799" spans="2:37">
      <c r="B16799" s="834" t="str">
        <f t="shared" si="605"/>
        <v>|||</v>
      </c>
      <c r="H16799" s="835">
        <f t="shared" si="606"/>
        <v>31</v>
      </c>
      <c r="AF16799" s="831" t="s">
        <v>10690</v>
      </c>
      <c r="AG16799" s="831" t="s">
        <v>2674</v>
      </c>
      <c r="AH16799" s="831" t="s">
        <v>569</v>
      </c>
      <c r="AI16799" s="831">
        <v>0</v>
      </c>
      <c r="AJ16799" s="835">
        <v>41274</v>
      </c>
      <c r="AK16799" s="831">
        <v>0</v>
      </c>
    </row>
    <row r="16800" spans="2:37">
      <c r="B16800" s="834" t="str">
        <f t="shared" si="605"/>
        <v>|||</v>
      </c>
      <c r="H16800" s="835">
        <f t="shared" si="606"/>
        <v>31</v>
      </c>
      <c r="AF16800" s="831" t="s">
        <v>10691</v>
      </c>
      <c r="AG16800" s="831" t="s">
        <v>2674</v>
      </c>
      <c r="AH16800" s="831" t="s">
        <v>570</v>
      </c>
      <c r="AI16800" s="831">
        <v>0</v>
      </c>
      <c r="AJ16800" s="835">
        <v>41274</v>
      </c>
      <c r="AK16800" s="831">
        <v>0</v>
      </c>
    </row>
    <row r="16801" spans="2:37">
      <c r="B16801" s="834" t="str">
        <f t="shared" si="605"/>
        <v>|||</v>
      </c>
      <c r="H16801" s="835">
        <f t="shared" si="606"/>
        <v>31</v>
      </c>
      <c r="AF16801" s="831" t="s">
        <v>10692</v>
      </c>
      <c r="AG16801" s="831" t="s">
        <v>2674</v>
      </c>
      <c r="AH16801" s="831" t="s">
        <v>571</v>
      </c>
      <c r="AI16801" s="831">
        <v>0</v>
      </c>
      <c r="AJ16801" s="835">
        <v>41274</v>
      </c>
      <c r="AK16801" s="831">
        <v>0</v>
      </c>
    </row>
    <row r="16802" spans="2:37">
      <c r="B16802" s="834" t="str">
        <f t="shared" si="605"/>
        <v>|||</v>
      </c>
      <c r="H16802" s="835">
        <f t="shared" si="606"/>
        <v>31</v>
      </c>
      <c r="AF16802" s="831" t="s">
        <v>10693</v>
      </c>
      <c r="AG16802" s="831" t="s">
        <v>2674</v>
      </c>
      <c r="AH16802" s="831" t="s">
        <v>573</v>
      </c>
      <c r="AI16802" s="831">
        <v>0</v>
      </c>
      <c r="AJ16802" s="835">
        <v>41274</v>
      </c>
      <c r="AK16802" s="831">
        <v>-2146826265</v>
      </c>
    </row>
    <row r="16803" spans="2:37">
      <c r="B16803" s="834" t="str">
        <f t="shared" si="605"/>
        <v>|||</v>
      </c>
      <c r="H16803" s="835">
        <f t="shared" si="606"/>
        <v>31</v>
      </c>
      <c r="AF16803" s="831" t="s">
        <v>10694</v>
      </c>
      <c r="AG16803" s="831" t="s">
        <v>2674</v>
      </c>
      <c r="AH16803" s="831" t="s">
        <v>574</v>
      </c>
      <c r="AI16803" s="831">
        <v>0</v>
      </c>
      <c r="AJ16803" s="835">
        <v>41274</v>
      </c>
      <c r="AK16803" s="831">
        <v>-2146826265</v>
      </c>
    </row>
    <row r="16804" spans="2:37">
      <c r="B16804" s="834" t="str">
        <f t="shared" si="605"/>
        <v>|||</v>
      </c>
      <c r="H16804" s="835">
        <f t="shared" si="606"/>
        <v>31</v>
      </c>
      <c r="AF16804" s="831" t="s">
        <v>10695</v>
      </c>
      <c r="AG16804" s="831" t="s">
        <v>2674</v>
      </c>
      <c r="AH16804" s="831" t="s">
        <v>575</v>
      </c>
      <c r="AI16804" s="831">
        <v>0</v>
      </c>
      <c r="AJ16804" s="835">
        <v>41274</v>
      </c>
      <c r="AK16804" s="831">
        <v>-2146826265</v>
      </c>
    </row>
    <row r="16805" spans="2:37">
      <c r="B16805" s="834" t="str">
        <f t="shared" si="605"/>
        <v>|||</v>
      </c>
      <c r="H16805" s="835">
        <f t="shared" si="606"/>
        <v>31</v>
      </c>
      <c r="AF16805" s="831" t="s">
        <v>10696</v>
      </c>
      <c r="AG16805" s="831" t="s">
        <v>2674</v>
      </c>
      <c r="AH16805" s="831" t="s">
        <v>576</v>
      </c>
      <c r="AI16805" s="831">
        <v>0</v>
      </c>
      <c r="AJ16805" s="835">
        <v>41274</v>
      </c>
      <c r="AK16805" s="831">
        <v>-2146826265</v>
      </c>
    </row>
    <row r="16806" spans="2:37">
      <c r="B16806" s="834" t="str">
        <f t="shared" si="605"/>
        <v>|||</v>
      </c>
      <c r="H16806" s="835">
        <f t="shared" si="606"/>
        <v>31</v>
      </c>
      <c r="AF16806" s="831" t="s">
        <v>10697</v>
      </c>
      <c r="AG16806" s="831" t="s">
        <v>2674</v>
      </c>
      <c r="AH16806" s="831" t="s">
        <v>572</v>
      </c>
      <c r="AI16806" s="831">
        <v>0</v>
      </c>
      <c r="AJ16806" s="835">
        <v>41274</v>
      </c>
      <c r="AK16806" s="831">
        <v>-2146826246</v>
      </c>
    </row>
    <row r="16807" spans="2:37">
      <c r="B16807" s="834" t="str">
        <f t="shared" si="605"/>
        <v>|||</v>
      </c>
      <c r="H16807" s="835">
        <f t="shared" si="606"/>
        <v>31</v>
      </c>
      <c r="AF16807" s="831" t="s">
        <v>10698</v>
      </c>
      <c r="AG16807" s="831" t="s">
        <v>2674</v>
      </c>
      <c r="AH16807" s="831" t="s">
        <v>577</v>
      </c>
      <c r="AI16807" s="831">
        <v>0</v>
      </c>
      <c r="AJ16807" s="835">
        <v>41274</v>
      </c>
      <c r="AK16807" s="831">
        <v>-2146826246</v>
      </c>
    </row>
    <row r="16808" spans="2:37">
      <c r="B16808" s="834" t="str">
        <f t="shared" si="605"/>
        <v>|||</v>
      </c>
      <c r="H16808" s="835">
        <f t="shared" si="606"/>
        <v>31</v>
      </c>
      <c r="AF16808" s="831" t="s">
        <v>10699</v>
      </c>
      <c r="AG16808" s="831" t="s">
        <v>2674</v>
      </c>
      <c r="AH16808" s="831" t="s">
        <v>3042</v>
      </c>
      <c r="AI16808" s="831">
        <v>0</v>
      </c>
      <c r="AJ16808" s="835">
        <v>41274</v>
      </c>
      <c r="AK16808" s="831">
        <v>-2146826246</v>
      </c>
    </row>
    <row r="16809" spans="2:37">
      <c r="B16809" s="834" t="str">
        <f t="shared" si="605"/>
        <v>|||</v>
      </c>
      <c r="H16809" s="835">
        <f t="shared" si="606"/>
        <v>31</v>
      </c>
      <c r="AF16809" s="831" t="s">
        <v>10700</v>
      </c>
      <c r="AG16809" s="831" t="s">
        <v>2674</v>
      </c>
      <c r="AH16809" s="831" t="s">
        <v>3044</v>
      </c>
      <c r="AI16809" s="831">
        <v>0</v>
      </c>
      <c r="AJ16809" s="835">
        <v>41274</v>
      </c>
      <c r="AK16809" s="831">
        <v>-2146826246</v>
      </c>
    </row>
    <row r="16810" spans="2:37">
      <c r="B16810" s="834" t="str">
        <f t="shared" si="605"/>
        <v>|||</v>
      </c>
      <c r="H16810" s="835">
        <f t="shared" si="606"/>
        <v>31</v>
      </c>
      <c r="AF16810" s="831" t="s">
        <v>10701</v>
      </c>
      <c r="AG16810" s="831" t="s">
        <v>2674</v>
      </c>
      <c r="AH16810" s="831" t="s">
        <v>580</v>
      </c>
      <c r="AI16810" s="831">
        <v>0</v>
      </c>
      <c r="AJ16810" s="835">
        <v>41274</v>
      </c>
      <c r="AK16810" s="831">
        <v>-2146826246</v>
      </c>
    </row>
    <row r="16811" spans="2:37">
      <c r="B16811" s="834" t="str">
        <f t="shared" si="605"/>
        <v>|||</v>
      </c>
      <c r="H16811" s="835">
        <f t="shared" si="606"/>
        <v>31</v>
      </c>
      <c r="AF16811" s="831" t="s">
        <v>10702</v>
      </c>
      <c r="AG16811" s="831" t="s">
        <v>2674</v>
      </c>
      <c r="AH16811" s="831" t="s">
        <v>581</v>
      </c>
      <c r="AI16811" s="831">
        <v>0</v>
      </c>
      <c r="AJ16811" s="835">
        <v>41274</v>
      </c>
      <c r="AK16811" s="831">
        <v>-2146826246</v>
      </c>
    </row>
    <row r="16812" spans="2:37">
      <c r="B16812" s="834" t="str">
        <f t="shared" si="605"/>
        <v>|||</v>
      </c>
      <c r="H16812" s="835">
        <f t="shared" si="606"/>
        <v>31</v>
      </c>
      <c r="AF16812" s="831" t="s">
        <v>10703</v>
      </c>
      <c r="AG16812" s="831" t="s">
        <v>2674</v>
      </c>
      <c r="AH16812" s="831" t="s">
        <v>105</v>
      </c>
      <c r="AI16812" s="831">
        <v>0</v>
      </c>
      <c r="AJ16812" s="835">
        <v>41274</v>
      </c>
      <c r="AK16812" s="831">
        <v>237580126</v>
      </c>
    </row>
    <row r="16813" spans="2:37">
      <c r="B16813" s="834" t="str">
        <f t="shared" si="605"/>
        <v>|||</v>
      </c>
      <c r="H16813" s="835">
        <f t="shared" si="606"/>
        <v>31</v>
      </c>
      <c r="AF16813" s="831" t="s">
        <v>10704</v>
      </c>
      <c r="AG16813" s="831" t="s">
        <v>2674</v>
      </c>
      <c r="AH16813" s="831" t="s">
        <v>3049</v>
      </c>
      <c r="AI16813" s="831">
        <v>0</v>
      </c>
      <c r="AJ16813" s="835">
        <v>41274</v>
      </c>
      <c r="AK16813" s="831">
        <v>400647257</v>
      </c>
    </row>
    <row r="16814" spans="2:37">
      <c r="B16814" s="834" t="str">
        <f t="shared" si="605"/>
        <v>|||</v>
      </c>
      <c r="H16814" s="835">
        <f t="shared" si="606"/>
        <v>31</v>
      </c>
      <c r="AF16814" s="831" t="s">
        <v>10705</v>
      </c>
      <c r="AG16814" s="831" t="s">
        <v>2674</v>
      </c>
      <c r="AH16814" s="831" t="s">
        <v>103</v>
      </c>
      <c r="AI16814" s="831">
        <v>0</v>
      </c>
      <c r="AJ16814" s="835">
        <v>41274</v>
      </c>
      <c r="AK16814" s="831">
        <v>163067131</v>
      </c>
    </row>
    <row r="16815" spans="2:37">
      <c r="B16815" s="834" t="str">
        <f t="shared" si="605"/>
        <v>|||</v>
      </c>
      <c r="H16815" s="835">
        <f t="shared" si="606"/>
        <v>31</v>
      </c>
      <c r="AF16815" s="831" t="s">
        <v>10706</v>
      </c>
      <c r="AG16815" s="831" t="s">
        <v>2674</v>
      </c>
      <c r="AH16815" s="831" t="s">
        <v>182</v>
      </c>
      <c r="AI16815" s="831">
        <v>0</v>
      </c>
      <c r="AJ16815" s="835">
        <v>41274</v>
      </c>
      <c r="AK16815" s="831">
        <v>53318071</v>
      </c>
    </row>
    <row r="16816" spans="2:37">
      <c r="B16816" s="834" t="str">
        <f t="shared" si="605"/>
        <v>|||</v>
      </c>
      <c r="H16816" s="835">
        <f t="shared" si="606"/>
        <v>31</v>
      </c>
      <c r="AF16816" s="831" t="s">
        <v>10707</v>
      </c>
      <c r="AG16816" s="831" t="s">
        <v>2674</v>
      </c>
      <c r="AH16816" s="831" t="s">
        <v>6600</v>
      </c>
      <c r="AI16816" s="831">
        <v>0</v>
      </c>
      <c r="AJ16816" s="835">
        <v>41274</v>
      </c>
      <c r="AK16816" s="831">
        <v>-2146826246</v>
      </c>
    </row>
    <row r="16817" spans="2:37">
      <c r="B16817" s="834" t="str">
        <f t="shared" si="605"/>
        <v>|||</v>
      </c>
      <c r="H16817" s="835">
        <f t="shared" si="606"/>
        <v>31</v>
      </c>
      <c r="AF16817" s="831" t="s">
        <v>10708</v>
      </c>
      <c r="AG16817" s="831" t="s">
        <v>2674</v>
      </c>
      <c r="AH16817" s="831" t="s">
        <v>6602</v>
      </c>
      <c r="AI16817" s="831">
        <v>0</v>
      </c>
      <c r="AJ16817" s="835">
        <v>41274</v>
      </c>
      <c r="AK16817" s="831">
        <v>15839951</v>
      </c>
    </row>
    <row r="16818" spans="2:37">
      <c r="B16818" s="834" t="str">
        <f t="shared" si="605"/>
        <v>|||</v>
      </c>
      <c r="H16818" s="835">
        <f t="shared" si="606"/>
        <v>31</v>
      </c>
      <c r="AF16818" s="831" t="s">
        <v>10709</v>
      </c>
      <c r="AG16818" s="831" t="s">
        <v>2674</v>
      </c>
      <c r="AH16818" s="831" t="s">
        <v>650</v>
      </c>
      <c r="AI16818" s="831">
        <v>0</v>
      </c>
      <c r="AJ16818" s="835">
        <v>41274</v>
      </c>
      <c r="AK16818" s="831">
        <v>0</v>
      </c>
    </row>
    <row r="16819" spans="2:37">
      <c r="B16819" s="834" t="str">
        <f t="shared" si="605"/>
        <v>|||</v>
      </c>
      <c r="H16819" s="835">
        <f t="shared" si="606"/>
        <v>31</v>
      </c>
      <c r="AF16819" s="831" t="s">
        <v>10710</v>
      </c>
      <c r="AG16819" s="831" t="s">
        <v>2674</v>
      </c>
      <c r="AH16819" s="831" t="s">
        <v>655</v>
      </c>
      <c r="AI16819" s="831">
        <v>0</v>
      </c>
      <c r="AJ16819" s="835">
        <v>41274</v>
      </c>
      <c r="AK16819" s="831">
        <v>1622276</v>
      </c>
    </row>
    <row r="16820" spans="2:37">
      <c r="B16820" s="834" t="str">
        <f t="shared" si="605"/>
        <v>|||</v>
      </c>
      <c r="H16820" s="835">
        <f t="shared" si="606"/>
        <v>31</v>
      </c>
      <c r="AF16820" s="831" t="s">
        <v>10711</v>
      </c>
      <c r="AG16820" s="831" t="s">
        <v>2674</v>
      </c>
      <c r="AH16820" s="831" t="s">
        <v>546</v>
      </c>
      <c r="AI16820" s="831">
        <v>0</v>
      </c>
      <c r="AJ16820" s="835">
        <v>41305</v>
      </c>
      <c r="AK16820" s="831">
        <v>421051783</v>
      </c>
    </row>
    <row r="16821" spans="2:37">
      <c r="B16821" s="834" t="str">
        <f t="shared" si="605"/>
        <v>|||</v>
      </c>
      <c r="H16821" s="835">
        <f t="shared" si="606"/>
        <v>31</v>
      </c>
      <c r="AF16821" s="831" t="s">
        <v>10712</v>
      </c>
      <c r="AG16821" s="831" t="s">
        <v>2674</v>
      </c>
      <c r="AH16821" s="831" t="s">
        <v>370</v>
      </c>
      <c r="AI16821" s="831">
        <v>0</v>
      </c>
      <c r="AJ16821" s="835">
        <v>41305</v>
      </c>
      <c r="AK16821" s="831">
        <v>511487760</v>
      </c>
    </row>
    <row r="16822" spans="2:37">
      <c r="B16822" s="834" t="str">
        <f t="shared" si="605"/>
        <v>|||</v>
      </c>
      <c r="H16822" s="835">
        <f t="shared" si="606"/>
        <v>31</v>
      </c>
      <c r="AF16822" s="831" t="s">
        <v>10713</v>
      </c>
      <c r="AG16822" s="831" t="s">
        <v>2674</v>
      </c>
      <c r="AH16822" s="831" t="s">
        <v>126</v>
      </c>
      <c r="AI16822" s="831">
        <v>0</v>
      </c>
      <c r="AJ16822" s="835">
        <v>41305</v>
      </c>
      <c r="AK16822" s="831">
        <v>96883184</v>
      </c>
    </row>
    <row r="16823" spans="2:37">
      <c r="B16823" s="834" t="str">
        <f t="shared" si="605"/>
        <v>|||</v>
      </c>
      <c r="H16823" s="835">
        <f t="shared" si="606"/>
        <v>31</v>
      </c>
      <c r="AF16823" s="831" t="s">
        <v>10714</v>
      </c>
      <c r="AG16823" s="831" t="s">
        <v>2674</v>
      </c>
      <c r="AH16823" s="831" t="s">
        <v>268</v>
      </c>
      <c r="AI16823" s="831">
        <v>0</v>
      </c>
      <c r="AJ16823" s="835">
        <v>41305</v>
      </c>
      <c r="AK16823" s="831">
        <v>2119961</v>
      </c>
    </row>
    <row r="16824" spans="2:37">
      <c r="B16824" s="834" t="str">
        <f t="shared" si="605"/>
        <v>|||</v>
      </c>
      <c r="H16824" s="835">
        <f t="shared" si="606"/>
        <v>31</v>
      </c>
      <c r="AF16824" s="831" t="s">
        <v>10715</v>
      </c>
      <c r="AG16824" s="831" t="s">
        <v>2674</v>
      </c>
      <c r="AH16824" s="831" t="s">
        <v>547</v>
      </c>
      <c r="AI16824" s="831">
        <v>0</v>
      </c>
      <c r="AJ16824" s="835">
        <v>41305</v>
      </c>
      <c r="AK16824" s="831">
        <v>511487760</v>
      </c>
    </row>
    <row r="16825" spans="2:37">
      <c r="B16825" s="834" t="str">
        <f t="shared" si="605"/>
        <v>|||</v>
      </c>
      <c r="H16825" s="835">
        <f t="shared" si="606"/>
        <v>31</v>
      </c>
      <c r="AF16825" s="831" t="s">
        <v>10716</v>
      </c>
      <c r="AG16825" s="831" t="s">
        <v>2674</v>
      </c>
      <c r="AH16825" s="831" t="s">
        <v>548</v>
      </c>
      <c r="AI16825" s="831">
        <v>0</v>
      </c>
      <c r="AJ16825" s="835">
        <v>41305</v>
      </c>
      <c r="AK16825" s="831">
        <v>96883184</v>
      </c>
    </row>
    <row r="16826" spans="2:37">
      <c r="B16826" s="834" t="str">
        <f t="shared" si="605"/>
        <v>|||</v>
      </c>
      <c r="H16826" s="835">
        <f t="shared" si="606"/>
        <v>31</v>
      </c>
      <c r="AF16826" s="831" t="s">
        <v>10717</v>
      </c>
      <c r="AG16826" s="831" t="s">
        <v>2674</v>
      </c>
      <c r="AH16826" s="831" t="s">
        <v>549</v>
      </c>
      <c r="AI16826" s="831">
        <v>0</v>
      </c>
      <c r="AJ16826" s="835">
        <v>41305</v>
      </c>
      <c r="AK16826" s="831">
        <v>0</v>
      </c>
    </row>
    <row r="16827" spans="2:37">
      <c r="B16827" s="834" t="str">
        <f t="shared" si="605"/>
        <v>|||</v>
      </c>
      <c r="H16827" s="835">
        <f t="shared" si="606"/>
        <v>31</v>
      </c>
      <c r="AF16827" s="831" t="s">
        <v>10718</v>
      </c>
      <c r="AG16827" s="831" t="s">
        <v>2674</v>
      </c>
      <c r="AH16827" s="831" t="s">
        <v>192</v>
      </c>
      <c r="AI16827" s="831">
        <v>0</v>
      </c>
      <c r="AJ16827" s="835">
        <v>41305</v>
      </c>
      <c r="AK16827" s="831">
        <v>-10696839</v>
      </c>
    </row>
    <row r="16828" spans="2:37">
      <c r="B16828" s="834" t="str">
        <f t="shared" si="605"/>
        <v>|||</v>
      </c>
      <c r="H16828" s="835">
        <f t="shared" si="606"/>
        <v>31</v>
      </c>
      <c r="AF16828" s="831" t="s">
        <v>10719</v>
      </c>
      <c r="AG16828" s="831" t="s">
        <v>2674</v>
      </c>
      <c r="AH16828" s="831" t="s">
        <v>558</v>
      </c>
      <c r="AI16828" s="831">
        <v>0</v>
      </c>
      <c r="AJ16828" s="835">
        <v>41305</v>
      </c>
      <c r="AK16828" s="831">
        <v>414604576</v>
      </c>
    </row>
    <row r="16829" spans="2:37">
      <c r="B16829" s="834" t="str">
        <f t="shared" si="605"/>
        <v>|||</v>
      </c>
      <c r="H16829" s="835">
        <f t="shared" si="606"/>
        <v>31</v>
      </c>
      <c r="AF16829" s="831" t="s">
        <v>10720</v>
      </c>
      <c r="AG16829" s="831" t="s">
        <v>2674</v>
      </c>
      <c r="AH16829" s="831" t="s">
        <v>65</v>
      </c>
      <c r="AI16829" s="831">
        <v>0</v>
      </c>
      <c r="AJ16829" s="835">
        <v>41305</v>
      </c>
      <c r="AK16829" s="831">
        <v>9476383</v>
      </c>
    </row>
    <row r="16830" spans="2:37">
      <c r="B16830" s="834" t="str">
        <f t="shared" si="605"/>
        <v>|||</v>
      </c>
      <c r="H16830" s="835">
        <f t="shared" si="606"/>
        <v>31</v>
      </c>
      <c r="AF16830" s="831" t="s">
        <v>10721</v>
      </c>
      <c r="AG16830" s="831" t="s">
        <v>2674</v>
      </c>
      <c r="AH16830" s="831" t="s">
        <v>89</v>
      </c>
      <c r="AI16830" s="831">
        <v>0</v>
      </c>
      <c r="AJ16830" s="835">
        <v>41305</v>
      </c>
      <c r="AK16830" s="831">
        <v>125947</v>
      </c>
    </row>
    <row r="16831" spans="2:37">
      <c r="B16831" s="834" t="str">
        <f t="shared" si="605"/>
        <v>|||</v>
      </c>
      <c r="H16831" s="835">
        <f t="shared" si="606"/>
        <v>31</v>
      </c>
      <c r="AF16831" s="831" t="s">
        <v>10722</v>
      </c>
      <c r="AG16831" s="831" t="s">
        <v>2674</v>
      </c>
      <c r="AH16831" s="831" t="s">
        <v>557</v>
      </c>
      <c r="AI16831" s="831">
        <v>0</v>
      </c>
      <c r="AJ16831" s="835">
        <v>41305</v>
      </c>
      <c r="AK16831" s="831">
        <v>128972</v>
      </c>
    </row>
    <row r="16832" spans="2:37">
      <c r="B16832" s="834" t="str">
        <f t="shared" si="605"/>
        <v>|||</v>
      </c>
      <c r="H16832" s="835">
        <f t="shared" si="606"/>
        <v>31</v>
      </c>
      <c r="AF16832" s="831" t="s">
        <v>10723</v>
      </c>
      <c r="AG16832" s="831" t="s">
        <v>2674</v>
      </c>
      <c r="AH16832" s="831" t="s">
        <v>29</v>
      </c>
      <c r="AI16832" s="831">
        <v>0</v>
      </c>
      <c r="AJ16832" s="835">
        <v>41305</v>
      </c>
      <c r="AK16832" s="831">
        <v>1949343</v>
      </c>
    </row>
    <row r="16833" spans="2:37">
      <c r="B16833" s="834" t="str">
        <f t="shared" si="605"/>
        <v>|||</v>
      </c>
      <c r="H16833" s="835">
        <f t="shared" si="606"/>
        <v>31</v>
      </c>
      <c r="AF16833" s="831" t="s">
        <v>10724</v>
      </c>
      <c r="AG16833" s="831" t="s">
        <v>2674</v>
      </c>
      <c r="AH16833" s="831" t="s">
        <v>2688</v>
      </c>
      <c r="AI16833" s="831">
        <v>0</v>
      </c>
      <c r="AJ16833" s="835">
        <v>41305</v>
      </c>
      <c r="AK16833" s="831">
        <v>2693419</v>
      </c>
    </row>
    <row r="16834" spans="2:37">
      <c r="B16834" s="834" t="str">
        <f t="shared" si="605"/>
        <v>|||</v>
      </c>
      <c r="H16834" s="835">
        <f t="shared" si="606"/>
        <v>31</v>
      </c>
      <c r="AF16834" s="831" t="s">
        <v>10725</v>
      </c>
      <c r="AG16834" s="831" t="s">
        <v>2674</v>
      </c>
      <c r="AH16834" s="831" t="s">
        <v>556</v>
      </c>
      <c r="AI16834" s="831">
        <v>0</v>
      </c>
      <c r="AJ16834" s="835">
        <v>41305</v>
      </c>
      <c r="AK16834" s="831">
        <v>902857</v>
      </c>
    </row>
    <row r="16835" spans="2:37">
      <c r="B16835" s="834" t="str">
        <f t="shared" si="605"/>
        <v>|||</v>
      </c>
      <c r="H16835" s="835">
        <f t="shared" si="606"/>
        <v>31</v>
      </c>
      <c r="AF16835" s="831" t="s">
        <v>10726</v>
      </c>
      <c r="AG16835" s="831" t="s">
        <v>2674</v>
      </c>
      <c r="AH16835" s="831" t="s">
        <v>555</v>
      </c>
      <c r="AI16835" s="831">
        <v>0</v>
      </c>
      <c r="AJ16835" s="835">
        <v>41305</v>
      </c>
      <c r="AK16835" s="831">
        <v>261608550</v>
      </c>
    </row>
    <row r="16836" spans="2:37">
      <c r="B16836" s="834" t="str">
        <f t="shared" si="605"/>
        <v>|||</v>
      </c>
      <c r="H16836" s="835">
        <f t="shared" si="606"/>
        <v>31</v>
      </c>
      <c r="AF16836" s="831" t="s">
        <v>10727</v>
      </c>
      <c r="AG16836" s="831" t="s">
        <v>2674</v>
      </c>
      <c r="AH16836" s="831" t="s">
        <v>554</v>
      </c>
      <c r="AI16836" s="831">
        <v>0</v>
      </c>
      <c r="AJ16836" s="835">
        <v>41305</v>
      </c>
      <c r="AK16836" s="831">
        <v>265544650</v>
      </c>
    </row>
    <row r="16837" spans="2:37">
      <c r="B16837" s="834" t="str">
        <f t="shared" si="605"/>
        <v>|||</v>
      </c>
      <c r="H16837" s="835">
        <f t="shared" si="606"/>
        <v>31</v>
      </c>
      <c r="AF16837" s="831" t="s">
        <v>10728</v>
      </c>
      <c r="AG16837" s="831" t="s">
        <v>2674</v>
      </c>
      <c r="AH16837" s="831" t="s">
        <v>553</v>
      </c>
      <c r="AI16837" s="831">
        <v>0</v>
      </c>
      <c r="AJ16837" s="835">
        <v>41305</v>
      </c>
      <c r="AK16837" s="831">
        <v>0</v>
      </c>
    </row>
    <row r="16838" spans="2:37">
      <c r="B16838" s="834" t="str">
        <f t="shared" si="605"/>
        <v>|||</v>
      </c>
      <c r="H16838" s="835">
        <f t="shared" si="606"/>
        <v>31</v>
      </c>
      <c r="AF16838" s="831" t="s">
        <v>10729</v>
      </c>
      <c r="AG16838" s="831" t="s">
        <v>2674</v>
      </c>
      <c r="AH16838" s="831" t="s">
        <v>552</v>
      </c>
      <c r="AI16838" s="831">
        <v>0</v>
      </c>
      <c r="AJ16838" s="835">
        <v>41305</v>
      </c>
      <c r="AK16838" s="831">
        <v>0</v>
      </c>
    </row>
    <row r="16839" spans="2:37">
      <c r="B16839" s="834" t="str">
        <f t="shared" si="605"/>
        <v>|||</v>
      </c>
      <c r="H16839" s="835">
        <f t="shared" si="606"/>
        <v>31</v>
      </c>
      <c r="AF16839" s="831" t="s">
        <v>10730</v>
      </c>
      <c r="AG16839" s="831" t="s">
        <v>2674</v>
      </c>
      <c r="AH16839" s="831" t="s">
        <v>551</v>
      </c>
      <c r="AI16839" s="831">
        <v>0</v>
      </c>
      <c r="AJ16839" s="835">
        <v>41305</v>
      </c>
      <c r="AK16839" s="831">
        <v>1906076</v>
      </c>
    </row>
    <row r="16840" spans="2:37">
      <c r="B16840" s="834" t="str">
        <f t="shared" si="605"/>
        <v>|||</v>
      </c>
      <c r="H16840" s="835">
        <f t="shared" si="606"/>
        <v>31</v>
      </c>
      <c r="AF16840" s="831" t="s">
        <v>10731</v>
      </c>
      <c r="AG16840" s="831" t="s">
        <v>2674</v>
      </c>
      <c r="AH16840" s="831" t="s">
        <v>550</v>
      </c>
      <c r="AI16840" s="831">
        <v>0</v>
      </c>
      <c r="AJ16840" s="835">
        <v>41305</v>
      </c>
      <c r="AK16840" s="831">
        <v>101162875</v>
      </c>
    </row>
    <row r="16841" spans="2:37">
      <c r="B16841" s="834" t="str">
        <f t="shared" si="605"/>
        <v>|||</v>
      </c>
      <c r="H16841" s="835">
        <f t="shared" si="606"/>
        <v>31</v>
      </c>
      <c r="AF16841" s="831" t="s">
        <v>10732</v>
      </c>
      <c r="AG16841" s="831" t="s">
        <v>2674</v>
      </c>
      <c r="AH16841" s="831" t="s">
        <v>562</v>
      </c>
      <c r="AI16841" s="831">
        <v>0</v>
      </c>
      <c r="AJ16841" s="835">
        <v>41305</v>
      </c>
      <c r="AK16841" s="831">
        <v>0.78385000000000005</v>
      </c>
    </row>
    <row r="16842" spans="2:37">
      <c r="B16842" s="834" t="str">
        <f t="shared" si="605"/>
        <v>|||</v>
      </c>
      <c r="H16842" s="835">
        <f t="shared" si="606"/>
        <v>31</v>
      </c>
      <c r="AF16842" s="831" t="s">
        <v>10733</v>
      </c>
      <c r="AG16842" s="831" t="s">
        <v>2674</v>
      </c>
      <c r="AH16842" s="831" t="s">
        <v>2698</v>
      </c>
      <c r="AI16842" s="831">
        <v>0</v>
      </c>
      <c r="AJ16842" s="835">
        <v>41305</v>
      </c>
      <c r="AK16842" s="831">
        <v>0.78400000000000003</v>
      </c>
    </row>
    <row r="16843" spans="2:37">
      <c r="B16843" s="834" t="str">
        <f t="shared" si="605"/>
        <v>|||</v>
      </c>
      <c r="H16843" s="835">
        <f t="shared" si="606"/>
        <v>31</v>
      </c>
      <c r="AF16843" s="831" t="s">
        <v>10734</v>
      </c>
      <c r="AG16843" s="831" t="s">
        <v>2674</v>
      </c>
      <c r="AH16843" s="831" t="s">
        <v>560</v>
      </c>
      <c r="AI16843" s="831">
        <v>0</v>
      </c>
      <c r="AJ16843" s="835">
        <v>41305</v>
      </c>
      <c r="AK16843" s="831">
        <v>0.78385000000000005</v>
      </c>
    </row>
    <row r="16844" spans="2:37">
      <c r="B16844" s="834" t="str">
        <f t="shared" si="605"/>
        <v>|||</v>
      </c>
      <c r="H16844" s="835">
        <f t="shared" si="606"/>
        <v>31</v>
      </c>
      <c r="AF16844" s="831" t="s">
        <v>10735</v>
      </c>
      <c r="AG16844" s="831" t="s">
        <v>2674</v>
      </c>
      <c r="AH16844" s="831" t="s">
        <v>559</v>
      </c>
      <c r="AI16844" s="831">
        <v>0</v>
      </c>
      <c r="AJ16844" s="835">
        <v>41305</v>
      </c>
      <c r="AK16844" s="831">
        <v>0.78486250000000002</v>
      </c>
    </row>
    <row r="16845" spans="2:37">
      <c r="B16845" s="834" t="str">
        <f t="shared" si="605"/>
        <v>|||</v>
      </c>
      <c r="H16845" s="835">
        <f t="shared" si="606"/>
        <v>31</v>
      </c>
      <c r="AF16845" s="831" t="s">
        <v>10736</v>
      </c>
      <c r="AG16845" s="831" t="s">
        <v>2674</v>
      </c>
      <c r="AH16845" s="831" t="s">
        <v>568</v>
      </c>
      <c r="AI16845" s="831">
        <v>0</v>
      </c>
      <c r="AJ16845" s="835">
        <v>41305</v>
      </c>
      <c r="AK16845" s="831">
        <v>373888864.66666669</v>
      </c>
    </row>
    <row r="16846" spans="2:37">
      <c r="B16846" s="834" t="str">
        <f t="shared" si="605"/>
        <v>|||</v>
      </c>
      <c r="H16846" s="835">
        <f t="shared" si="606"/>
        <v>31</v>
      </c>
      <c r="AF16846" s="831" t="s">
        <v>10737</v>
      </c>
      <c r="AG16846" s="831" t="s">
        <v>2674</v>
      </c>
      <c r="AH16846" s="831" t="s">
        <v>569</v>
      </c>
      <c r="AI16846" s="831">
        <v>0</v>
      </c>
      <c r="AJ16846" s="835">
        <v>41305</v>
      </c>
      <c r="AK16846" s="831">
        <v>458979290.77777779</v>
      </c>
    </row>
    <row r="16847" spans="2:37">
      <c r="B16847" s="834" t="str">
        <f t="shared" si="605"/>
        <v>|||</v>
      </c>
      <c r="H16847" s="835">
        <f t="shared" si="606"/>
        <v>31</v>
      </c>
      <c r="AF16847" s="831" t="s">
        <v>10738</v>
      </c>
      <c r="AG16847" s="831" t="s">
        <v>2674</v>
      </c>
      <c r="AH16847" s="831" t="s">
        <v>570</v>
      </c>
      <c r="AI16847" s="831">
        <v>0</v>
      </c>
      <c r="AJ16847" s="835">
        <v>41305</v>
      </c>
      <c r="AK16847" s="831">
        <v>96420088.555555552</v>
      </c>
    </row>
    <row r="16848" spans="2:37">
      <c r="B16848" s="834" t="str">
        <f t="shared" si="605"/>
        <v>|||</v>
      </c>
      <c r="H16848" s="835">
        <f t="shared" si="606"/>
        <v>31</v>
      </c>
      <c r="AF16848" s="831" t="s">
        <v>10739</v>
      </c>
      <c r="AG16848" s="831" t="s">
        <v>2674</v>
      </c>
      <c r="AH16848" s="831" t="s">
        <v>571</v>
      </c>
      <c r="AI16848" s="831">
        <v>0</v>
      </c>
      <c r="AJ16848" s="835">
        <v>41305</v>
      </c>
      <c r="AK16848" s="831">
        <v>187471539.44444445</v>
      </c>
    </row>
    <row r="16849" spans="2:37">
      <c r="B16849" s="834" t="str">
        <f t="shared" ref="B16849:B16912" si="607">C16849&amp;"|"&amp;D16849&amp;"|"&amp;E16849&amp;"|"&amp;F16849</f>
        <v>|||</v>
      </c>
      <c r="H16849" s="835">
        <f t="shared" ref="H16849:H16912" si="608">EOMONTH(L16849,0)</f>
        <v>31</v>
      </c>
      <c r="AF16849" s="831" t="s">
        <v>10740</v>
      </c>
      <c r="AG16849" s="831" t="s">
        <v>2674</v>
      </c>
      <c r="AH16849" s="831" t="s">
        <v>573</v>
      </c>
      <c r="AI16849" s="831">
        <v>0</v>
      </c>
      <c r="AJ16849" s="835">
        <v>41305</v>
      </c>
      <c r="AK16849" s="831">
        <v>513378335</v>
      </c>
    </row>
    <row r="16850" spans="2:37">
      <c r="B16850" s="834" t="str">
        <f t="shared" si="607"/>
        <v>|||</v>
      </c>
      <c r="H16850" s="835">
        <f t="shared" si="608"/>
        <v>31</v>
      </c>
      <c r="AF16850" s="831" t="s">
        <v>10741</v>
      </c>
      <c r="AG16850" s="831" t="s">
        <v>2674</v>
      </c>
      <c r="AH16850" s="831" t="s">
        <v>574</v>
      </c>
      <c r="AI16850" s="831">
        <v>0</v>
      </c>
      <c r="AJ16850" s="835">
        <v>41305</v>
      </c>
      <c r="AK16850" s="831">
        <v>416588703.5</v>
      </c>
    </row>
    <row r="16851" spans="2:37">
      <c r="B16851" s="834" t="str">
        <f t="shared" si="607"/>
        <v>|||</v>
      </c>
      <c r="H16851" s="835">
        <f t="shared" si="608"/>
        <v>31</v>
      </c>
      <c r="AF16851" s="831" t="s">
        <v>10742</v>
      </c>
      <c r="AG16851" s="831" t="s">
        <v>2674</v>
      </c>
      <c r="AH16851" s="831" t="s">
        <v>575</v>
      </c>
      <c r="AI16851" s="831">
        <v>0</v>
      </c>
      <c r="AJ16851" s="835">
        <v>41305</v>
      </c>
      <c r="AK16851" s="831">
        <v>99023029.5</v>
      </c>
    </row>
    <row r="16852" spans="2:37">
      <c r="B16852" s="834" t="str">
        <f t="shared" si="607"/>
        <v>|||</v>
      </c>
      <c r="H16852" s="835">
        <f t="shared" si="608"/>
        <v>31</v>
      </c>
      <c r="AF16852" s="831" t="s">
        <v>10743</v>
      </c>
      <c r="AG16852" s="831" t="s">
        <v>2674</v>
      </c>
      <c r="AH16852" s="831" t="s">
        <v>576</v>
      </c>
      <c r="AI16852" s="831">
        <v>0</v>
      </c>
      <c r="AJ16852" s="835">
        <v>41305</v>
      </c>
      <c r="AK16852" s="831">
        <v>233642368.5</v>
      </c>
    </row>
    <row r="16853" spans="2:37">
      <c r="B16853" s="834" t="str">
        <f t="shared" si="607"/>
        <v>|||</v>
      </c>
      <c r="H16853" s="835">
        <f t="shared" si="608"/>
        <v>31</v>
      </c>
      <c r="AF16853" s="831" t="s">
        <v>10744</v>
      </c>
      <c r="AG16853" s="831" t="s">
        <v>2674</v>
      </c>
      <c r="AH16853" s="831" t="s">
        <v>572</v>
      </c>
      <c r="AI16853" s="831">
        <v>0</v>
      </c>
      <c r="AJ16853" s="835">
        <v>41305</v>
      </c>
      <c r="AK16853" s="831">
        <v>-2146826246</v>
      </c>
    </row>
    <row r="16854" spans="2:37">
      <c r="B16854" s="834" t="str">
        <f t="shared" si="607"/>
        <v>|||</v>
      </c>
      <c r="H16854" s="835">
        <f t="shared" si="608"/>
        <v>31</v>
      </c>
      <c r="AF16854" s="831" t="s">
        <v>10745</v>
      </c>
      <c r="AG16854" s="831" t="s">
        <v>2674</v>
      </c>
      <c r="AH16854" s="831" t="s">
        <v>577</v>
      </c>
      <c r="AI16854" s="831">
        <v>0</v>
      </c>
      <c r="AJ16854" s="835">
        <v>41305</v>
      </c>
      <c r="AK16854" s="831">
        <v>-2146826246</v>
      </c>
    </row>
    <row r="16855" spans="2:37">
      <c r="B16855" s="834" t="str">
        <f t="shared" si="607"/>
        <v>|||</v>
      </c>
      <c r="H16855" s="835">
        <f t="shared" si="608"/>
        <v>31</v>
      </c>
      <c r="AF16855" s="831" t="s">
        <v>10746</v>
      </c>
      <c r="AG16855" s="831" t="s">
        <v>2674</v>
      </c>
      <c r="AH16855" s="831" t="s">
        <v>3042</v>
      </c>
      <c r="AI16855" s="831">
        <v>0</v>
      </c>
      <c r="AJ16855" s="835">
        <v>41305</v>
      </c>
      <c r="AK16855" s="831">
        <v>-2146826246</v>
      </c>
    </row>
    <row r="16856" spans="2:37">
      <c r="B16856" s="834" t="str">
        <f t="shared" si="607"/>
        <v>|||</v>
      </c>
      <c r="H16856" s="835">
        <f t="shared" si="608"/>
        <v>31</v>
      </c>
      <c r="AF16856" s="831" t="s">
        <v>10747</v>
      </c>
      <c r="AG16856" s="831" t="s">
        <v>2674</v>
      </c>
      <c r="AH16856" s="831" t="s">
        <v>3044</v>
      </c>
      <c r="AI16856" s="831">
        <v>0</v>
      </c>
      <c r="AJ16856" s="835">
        <v>41305</v>
      </c>
      <c r="AK16856" s="831">
        <v>-2146826246</v>
      </c>
    </row>
    <row r="16857" spans="2:37">
      <c r="B16857" s="834" t="str">
        <f t="shared" si="607"/>
        <v>|||</v>
      </c>
      <c r="H16857" s="835">
        <f t="shared" si="608"/>
        <v>31</v>
      </c>
      <c r="AF16857" s="831" t="s">
        <v>10748</v>
      </c>
      <c r="AG16857" s="831" t="s">
        <v>2674</v>
      </c>
      <c r="AH16857" s="831" t="s">
        <v>580</v>
      </c>
      <c r="AI16857" s="831">
        <v>0</v>
      </c>
      <c r="AJ16857" s="835">
        <v>41305</v>
      </c>
      <c r="AK16857" s="831">
        <v>-2146826246</v>
      </c>
    </row>
    <row r="16858" spans="2:37">
      <c r="B16858" s="834" t="str">
        <f t="shared" si="607"/>
        <v>|||</v>
      </c>
      <c r="H16858" s="835">
        <f t="shared" si="608"/>
        <v>31</v>
      </c>
      <c r="AF16858" s="831" t="s">
        <v>10749</v>
      </c>
      <c r="AG16858" s="831" t="s">
        <v>2674</v>
      </c>
      <c r="AH16858" s="831" t="s">
        <v>581</v>
      </c>
      <c r="AI16858" s="831">
        <v>0</v>
      </c>
      <c r="AJ16858" s="835">
        <v>41305</v>
      </c>
      <c r="AK16858" s="831">
        <v>-2146826246</v>
      </c>
    </row>
    <row r="16859" spans="2:37">
      <c r="B16859" s="834" t="str">
        <f t="shared" si="607"/>
        <v>|||</v>
      </c>
      <c r="H16859" s="835">
        <f t="shared" si="608"/>
        <v>31</v>
      </c>
      <c r="AF16859" s="831" t="s">
        <v>10750</v>
      </c>
      <c r="AG16859" s="831" t="s">
        <v>2674</v>
      </c>
      <c r="AH16859" s="831" t="s">
        <v>105</v>
      </c>
      <c r="AI16859" s="831">
        <v>0</v>
      </c>
      <c r="AJ16859" s="835">
        <v>41305</v>
      </c>
      <c r="AK16859" s="831">
        <v>229704611</v>
      </c>
    </row>
    <row r="16860" spans="2:37">
      <c r="B16860" s="834" t="str">
        <f t="shared" si="607"/>
        <v>|||</v>
      </c>
      <c r="H16860" s="835">
        <f t="shared" si="608"/>
        <v>31</v>
      </c>
      <c r="AF16860" s="831" t="s">
        <v>10751</v>
      </c>
      <c r="AG16860" s="831" t="s">
        <v>2674</v>
      </c>
      <c r="AH16860" s="831" t="s">
        <v>3049</v>
      </c>
      <c r="AI16860" s="831">
        <v>0</v>
      </c>
      <c r="AJ16860" s="835">
        <v>41305</v>
      </c>
      <c r="AK16860" s="831">
        <v>400579663</v>
      </c>
    </row>
    <row r="16861" spans="2:37">
      <c r="B16861" s="834" t="str">
        <f t="shared" si="607"/>
        <v>|||</v>
      </c>
      <c r="H16861" s="835">
        <f t="shared" si="608"/>
        <v>31</v>
      </c>
      <c r="AF16861" s="831" t="s">
        <v>10752</v>
      </c>
      <c r="AG16861" s="831" t="s">
        <v>2674</v>
      </c>
      <c r="AH16861" s="831" t="s">
        <v>103</v>
      </c>
      <c r="AI16861" s="831">
        <v>0</v>
      </c>
      <c r="AJ16861" s="835">
        <v>41305</v>
      </c>
      <c r="AK16861" s="831">
        <v>170875052</v>
      </c>
    </row>
    <row r="16862" spans="2:37">
      <c r="B16862" s="834" t="str">
        <f t="shared" si="607"/>
        <v>|||</v>
      </c>
      <c r="H16862" s="835">
        <f t="shared" si="608"/>
        <v>31</v>
      </c>
      <c r="AF16862" s="831" t="s">
        <v>10753</v>
      </c>
      <c r="AG16862" s="831" t="s">
        <v>2674</v>
      </c>
      <c r="AH16862" s="831" t="s">
        <v>182</v>
      </c>
      <c r="AI16862" s="831">
        <v>0</v>
      </c>
      <c r="AJ16862" s="835">
        <v>41305</v>
      </c>
      <c r="AK16862" s="831">
        <v>57203676</v>
      </c>
    </row>
    <row r="16863" spans="2:37">
      <c r="B16863" s="834" t="str">
        <f t="shared" si="607"/>
        <v>|||</v>
      </c>
      <c r="H16863" s="835">
        <f t="shared" si="608"/>
        <v>31</v>
      </c>
      <c r="AF16863" s="831" t="s">
        <v>10754</v>
      </c>
      <c r="AG16863" s="831" t="s">
        <v>2674</v>
      </c>
      <c r="AH16863" s="831" t="s">
        <v>6600</v>
      </c>
      <c r="AI16863" s="831">
        <v>0</v>
      </c>
      <c r="AJ16863" s="835">
        <v>41305</v>
      </c>
      <c r="AK16863" s="831">
        <v>-2146826246</v>
      </c>
    </row>
    <row r="16864" spans="2:37">
      <c r="B16864" s="834" t="str">
        <f t="shared" si="607"/>
        <v>|||</v>
      </c>
      <c r="H16864" s="835">
        <f t="shared" si="608"/>
        <v>31</v>
      </c>
      <c r="AF16864" s="831" t="s">
        <v>10755</v>
      </c>
      <c r="AG16864" s="831" t="s">
        <v>2674</v>
      </c>
      <c r="AH16864" s="831" t="s">
        <v>6602</v>
      </c>
      <c r="AI16864" s="831">
        <v>0</v>
      </c>
      <c r="AJ16864" s="835">
        <v>41305</v>
      </c>
      <c r="AK16864" s="831">
        <v>2119961</v>
      </c>
    </row>
    <row r="16865" spans="2:37">
      <c r="B16865" s="834" t="str">
        <f t="shared" si="607"/>
        <v>|||</v>
      </c>
      <c r="H16865" s="835">
        <f t="shared" si="608"/>
        <v>31</v>
      </c>
      <c r="AF16865" s="831" t="s">
        <v>10756</v>
      </c>
      <c r="AG16865" s="831" t="s">
        <v>2674</v>
      </c>
      <c r="AH16865" s="831" t="s">
        <v>650</v>
      </c>
      <c r="AI16865" s="831">
        <v>0</v>
      </c>
      <c r="AJ16865" s="835">
        <v>41305</v>
      </c>
      <c r="AK16865" s="831">
        <v>162276642.66666666</v>
      </c>
    </row>
    <row r="16866" spans="2:37">
      <c r="B16866" s="834" t="str">
        <f t="shared" si="607"/>
        <v>|||</v>
      </c>
      <c r="H16866" s="835">
        <f t="shared" si="608"/>
        <v>31</v>
      </c>
      <c r="AF16866" s="831" t="s">
        <v>10757</v>
      </c>
      <c r="AG16866" s="831" t="s">
        <v>2674</v>
      </c>
      <c r="AH16866" s="831" t="s">
        <v>655</v>
      </c>
      <c r="AI16866" s="831">
        <v>0</v>
      </c>
      <c r="AJ16866" s="835">
        <v>41305</v>
      </c>
      <c r="AK16866" s="831">
        <v>1743639</v>
      </c>
    </row>
    <row r="16867" spans="2:37">
      <c r="B16867" s="834" t="str">
        <f t="shared" si="607"/>
        <v>|||</v>
      </c>
      <c r="H16867" s="835">
        <f t="shared" si="608"/>
        <v>31</v>
      </c>
      <c r="AF16867" s="831" t="s">
        <v>10758</v>
      </c>
      <c r="AG16867" s="831" t="s">
        <v>2674</v>
      </c>
      <c r="AH16867" s="831" t="s">
        <v>546</v>
      </c>
      <c r="AI16867" s="831">
        <v>0</v>
      </c>
      <c r="AJ16867" s="835">
        <v>41333</v>
      </c>
      <c r="AK16867" s="831">
        <v>436810603</v>
      </c>
    </row>
    <row r="16868" spans="2:37">
      <c r="B16868" s="834" t="str">
        <f t="shared" si="607"/>
        <v>|||</v>
      </c>
      <c r="H16868" s="835">
        <f t="shared" si="608"/>
        <v>31</v>
      </c>
      <c r="AF16868" s="831" t="s">
        <v>10759</v>
      </c>
      <c r="AG16868" s="831" t="s">
        <v>2674</v>
      </c>
      <c r="AH16868" s="831" t="s">
        <v>370</v>
      </c>
      <c r="AI16868" s="831">
        <v>0</v>
      </c>
      <c r="AJ16868" s="835">
        <v>41333</v>
      </c>
      <c r="AK16868" s="831">
        <v>522076176</v>
      </c>
    </row>
    <row r="16869" spans="2:37">
      <c r="B16869" s="834" t="str">
        <f t="shared" si="607"/>
        <v>|||</v>
      </c>
      <c r="H16869" s="835">
        <f t="shared" si="608"/>
        <v>31</v>
      </c>
      <c r="AF16869" s="831" t="s">
        <v>10760</v>
      </c>
      <c r="AG16869" s="831" t="s">
        <v>2674</v>
      </c>
      <c r="AH16869" s="831" t="s">
        <v>126</v>
      </c>
      <c r="AI16869" s="831">
        <v>0</v>
      </c>
      <c r="AJ16869" s="835">
        <v>41333</v>
      </c>
      <c r="AK16869" s="831">
        <v>98581107</v>
      </c>
    </row>
    <row r="16870" spans="2:37">
      <c r="B16870" s="834" t="str">
        <f t="shared" si="607"/>
        <v>|||</v>
      </c>
      <c r="H16870" s="835">
        <f t="shared" si="608"/>
        <v>31</v>
      </c>
      <c r="AF16870" s="831" t="s">
        <v>10761</v>
      </c>
      <c r="AG16870" s="831" t="s">
        <v>2674</v>
      </c>
      <c r="AH16870" s="831" t="s">
        <v>268</v>
      </c>
      <c r="AI16870" s="831">
        <v>0</v>
      </c>
      <c r="AJ16870" s="835">
        <v>41333</v>
      </c>
      <c r="AK16870" s="831">
        <v>3817884</v>
      </c>
    </row>
    <row r="16871" spans="2:37">
      <c r="B16871" s="834" t="str">
        <f t="shared" si="607"/>
        <v>|||</v>
      </c>
      <c r="H16871" s="835">
        <f t="shared" si="608"/>
        <v>31</v>
      </c>
      <c r="AF16871" s="831" t="s">
        <v>10762</v>
      </c>
      <c r="AG16871" s="831" t="s">
        <v>2674</v>
      </c>
      <c r="AH16871" s="831" t="s">
        <v>547</v>
      </c>
      <c r="AI16871" s="831">
        <v>0</v>
      </c>
      <c r="AJ16871" s="835">
        <v>41333</v>
      </c>
      <c r="AK16871" s="831">
        <v>511487760</v>
      </c>
    </row>
    <row r="16872" spans="2:37">
      <c r="B16872" s="834" t="str">
        <f t="shared" si="607"/>
        <v>|||</v>
      </c>
      <c r="H16872" s="835">
        <f t="shared" si="608"/>
        <v>31</v>
      </c>
      <c r="AF16872" s="831" t="s">
        <v>10763</v>
      </c>
      <c r="AG16872" s="831" t="s">
        <v>2674</v>
      </c>
      <c r="AH16872" s="831" t="s">
        <v>548</v>
      </c>
      <c r="AI16872" s="831">
        <v>0</v>
      </c>
      <c r="AJ16872" s="835">
        <v>41333</v>
      </c>
      <c r="AK16872" s="831">
        <v>96883184</v>
      </c>
    </row>
    <row r="16873" spans="2:37">
      <c r="B16873" s="834" t="str">
        <f t="shared" si="607"/>
        <v>|||</v>
      </c>
      <c r="H16873" s="835">
        <f t="shared" si="608"/>
        <v>31</v>
      </c>
      <c r="AF16873" s="831" t="s">
        <v>10764</v>
      </c>
      <c r="AG16873" s="831" t="s">
        <v>2674</v>
      </c>
      <c r="AH16873" s="831" t="s">
        <v>549</v>
      </c>
      <c r="AI16873" s="831">
        <v>0</v>
      </c>
      <c r="AJ16873" s="835">
        <v>41333</v>
      </c>
      <c r="AK16873" s="831">
        <v>0</v>
      </c>
    </row>
    <row r="16874" spans="2:37">
      <c r="B16874" s="834" t="str">
        <f t="shared" si="607"/>
        <v>|||</v>
      </c>
      <c r="H16874" s="835">
        <f t="shared" si="608"/>
        <v>31</v>
      </c>
      <c r="AF16874" s="831" t="s">
        <v>10765</v>
      </c>
      <c r="AG16874" s="831" t="s">
        <v>2674</v>
      </c>
      <c r="AH16874" s="831" t="s">
        <v>192</v>
      </c>
      <c r="AI16874" s="831">
        <v>0</v>
      </c>
      <c r="AJ16874" s="835">
        <v>41333</v>
      </c>
      <c r="AK16874" s="831">
        <v>-11285954</v>
      </c>
    </row>
    <row r="16875" spans="2:37">
      <c r="B16875" s="834" t="str">
        <f t="shared" si="607"/>
        <v>|||</v>
      </c>
      <c r="H16875" s="835">
        <f t="shared" si="608"/>
        <v>31</v>
      </c>
      <c r="AF16875" s="831" t="s">
        <v>10766</v>
      </c>
      <c r="AG16875" s="831" t="s">
        <v>2674</v>
      </c>
      <c r="AH16875" s="831" t="s">
        <v>558</v>
      </c>
      <c r="AI16875" s="831">
        <v>0</v>
      </c>
      <c r="AJ16875" s="835">
        <v>41333</v>
      </c>
      <c r="AK16875" s="831">
        <v>423495069</v>
      </c>
    </row>
    <row r="16876" spans="2:37">
      <c r="B16876" s="834" t="str">
        <f t="shared" si="607"/>
        <v>|||</v>
      </c>
      <c r="H16876" s="835">
        <f t="shared" si="608"/>
        <v>31</v>
      </c>
      <c r="AF16876" s="831" t="s">
        <v>10767</v>
      </c>
      <c r="AG16876" s="831" t="s">
        <v>2674</v>
      </c>
      <c r="AH16876" s="831" t="s">
        <v>65</v>
      </c>
      <c r="AI16876" s="831">
        <v>0</v>
      </c>
      <c r="AJ16876" s="835">
        <v>41333</v>
      </c>
      <c r="AK16876" s="831">
        <v>18985748</v>
      </c>
    </row>
    <row r="16877" spans="2:37">
      <c r="B16877" s="834" t="str">
        <f t="shared" si="607"/>
        <v>|||</v>
      </c>
      <c r="H16877" s="835">
        <f t="shared" si="608"/>
        <v>31</v>
      </c>
      <c r="AF16877" s="831" t="s">
        <v>10768</v>
      </c>
      <c r="AG16877" s="831" t="s">
        <v>2674</v>
      </c>
      <c r="AH16877" s="831" t="s">
        <v>89</v>
      </c>
      <c r="AI16877" s="831">
        <v>0</v>
      </c>
      <c r="AJ16877" s="835">
        <v>41333</v>
      </c>
      <c r="AK16877" s="831">
        <v>127639</v>
      </c>
    </row>
    <row r="16878" spans="2:37">
      <c r="B16878" s="834" t="str">
        <f t="shared" si="607"/>
        <v>|||</v>
      </c>
      <c r="H16878" s="835">
        <f t="shared" si="608"/>
        <v>31</v>
      </c>
      <c r="AF16878" s="831" t="s">
        <v>10769</v>
      </c>
      <c r="AG16878" s="831" t="s">
        <v>2674</v>
      </c>
      <c r="AH16878" s="831" t="s">
        <v>557</v>
      </c>
      <c r="AI16878" s="831">
        <v>0</v>
      </c>
      <c r="AJ16878" s="835">
        <v>41333</v>
      </c>
      <c r="AK16878" s="831">
        <v>130995</v>
      </c>
    </row>
    <row r="16879" spans="2:37">
      <c r="B16879" s="834" t="str">
        <f t="shared" si="607"/>
        <v>|||</v>
      </c>
      <c r="H16879" s="835">
        <f t="shared" si="608"/>
        <v>31</v>
      </c>
      <c r="AF16879" s="831" t="s">
        <v>10770</v>
      </c>
      <c r="AG16879" s="831" t="s">
        <v>2674</v>
      </c>
      <c r="AH16879" s="831" t="s">
        <v>29</v>
      </c>
      <c r="AI16879" s="831">
        <v>0</v>
      </c>
      <c r="AJ16879" s="835">
        <v>41333</v>
      </c>
      <c r="AK16879" s="831">
        <v>2238797</v>
      </c>
    </row>
    <row r="16880" spans="2:37">
      <c r="B16880" s="834" t="str">
        <f t="shared" si="607"/>
        <v>|||</v>
      </c>
      <c r="H16880" s="835">
        <f t="shared" si="608"/>
        <v>31</v>
      </c>
      <c r="AF16880" s="831" t="s">
        <v>10771</v>
      </c>
      <c r="AG16880" s="831" t="s">
        <v>2674</v>
      </c>
      <c r="AH16880" s="831" t="s">
        <v>2688</v>
      </c>
      <c r="AI16880" s="831">
        <v>0</v>
      </c>
      <c r="AJ16880" s="835">
        <v>41333</v>
      </c>
      <c r="AK16880" s="831">
        <v>2647738</v>
      </c>
    </row>
    <row r="16881" spans="2:37">
      <c r="B16881" s="834" t="str">
        <f t="shared" si="607"/>
        <v>|||</v>
      </c>
      <c r="H16881" s="835">
        <f t="shared" si="608"/>
        <v>31</v>
      </c>
      <c r="AF16881" s="831" t="s">
        <v>10772</v>
      </c>
      <c r="AG16881" s="831" t="s">
        <v>2674</v>
      </c>
      <c r="AH16881" s="831" t="s">
        <v>556</v>
      </c>
      <c r="AI16881" s="831">
        <v>0</v>
      </c>
      <c r="AJ16881" s="835">
        <v>41333</v>
      </c>
      <c r="AK16881" s="831">
        <v>902857</v>
      </c>
    </row>
    <row r="16882" spans="2:37">
      <c r="B16882" s="834" t="str">
        <f t="shared" si="607"/>
        <v>|||</v>
      </c>
      <c r="H16882" s="835">
        <f t="shared" si="608"/>
        <v>31</v>
      </c>
      <c r="AF16882" s="831" t="s">
        <v>10773</v>
      </c>
      <c r="AG16882" s="831" t="s">
        <v>2674</v>
      </c>
      <c r="AH16882" s="831" t="s">
        <v>555</v>
      </c>
      <c r="AI16882" s="831">
        <v>0</v>
      </c>
      <c r="AJ16882" s="835">
        <v>41333</v>
      </c>
      <c r="AK16882" s="831">
        <v>267734690</v>
      </c>
    </row>
    <row r="16883" spans="2:37">
      <c r="B16883" s="834" t="str">
        <f t="shared" si="607"/>
        <v>|||</v>
      </c>
      <c r="H16883" s="835">
        <f t="shared" si="608"/>
        <v>31</v>
      </c>
      <c r="AF16883" s="831" t="s">
        <v>10774</v>
      </c>
      <c r="AG16883" s="831" t="s">
        <v>2674</v>
      </c>
      <c r="AH16883" s="831" t="s">
        <v>554</v>
      </c>
      <c r="AI16883" s="831">
        <v>0</v>
      </c>
      <c r="AJ16883" s="835">
        <v>41333</v>
      </c>
      <c r="AK16883" s="831">
        <v>272030190</v>
      </c>
    </row>
    <row r="16884" spans="2:37">
      <c r="B16884" s="834" t="str">
        <f t="shared" si="607"/>
        <v>|||</v>
      </c>
      <c r="H16884" s="835">
        <f t="shared" si="608"/>
        <v>31</v>
      </c>
      <c r="AF16884" s="831" t="s">
        <v>10775</v>
      </c>
      <c r="AG16884" s="831" t="s">
        <v>2674</v>
      </c>
      <c r="AH16884" s="831" t="s">
        <v>553</v>
      </c>
      <c r="AI16884" s="831">
        <v>0</v>
      </c>
      <c r="AJ16884" s="835">
        <v>41333</v>
      </c>
      <c r="AK16884" s="831">
        <v>0</v>
      </c>
    </row>
    <row r="16885" spans="2:37">
      <c r="B16885" s="834" t="str">
        <f t="shared" si="607"/>
        <v>|||</v>
      </c>
      <c r="H16885" s="835">
        <f t="shared" si="608"/>
        <v>31</v>
      </c>
      <c r="AF16885" s="831" t="s">
        <v>10776</v>
      </c>
      <c r="AG16885" s="831" t="s">
        <v>2674</v>
      </c>
      <c r="AH16885" s="831" t="s">
        <v>552</v>
      </c>
      <c r="AI16885" s="831">
        <v>0</v>
      </c>
      <c r="AJ16885" s="835">
        <v>41333</v>
      </c>
      <c r="AK16885" s="831">
        <v>0</v>
      </c>
    </row>
    <row r="16886" spans="2:37">
      <c r="B16886" s="834" t="str">
        <f t="shared" si="607"/>
        <v>|||</v>
      </c>
      <c r="H16886" s="835">
        <f t="shared" si="608"/>
        <v>31</v>
      </c>
      <c r="AF16886" s="831" t="s">
        <v>10777</v>
      </c>
      <c r="AG16886" s="831" t="s">
        <v>2674</v>
      </c>
      <c r="AH16886" s="831" t="s">
        <v>551</v>
      </c>
      <c r="AI16886" s="831">
        <v>0</v>
      </c>
      <c r="AJ16886" s="835">
        <v>41333</v>
      </c>
      <c r="AK16886" s="831">
        <v>1930398</v>
      </c>
    </row>
    <row r="16887" spans="2:37">
      <c r="B16887" s="834" t="str">
        <f t="shared" si="607"/>
        <v>|||</v>
      </c>
      <c r="H16887" s="835">
        <f t="shared" si="608"/>
        <v>31</v>
      </c>
      <c r="AF16887" s="831" t="s">
        <v>10778</v>
      </c>
      <c r="AG16887" s="831" t="s">
        <v>2674</v>
      </c>
      <c r="AH16887" s="831" t="s">
        <v>550</v>
      </c>
      <c r="AI16887" s="831">
        <v>0</v>
      </c>
      <c r="AJ16887" s="835">
        <v>41333</v>
      </c>
      <c r="AK16887" s="831">
        <v>96883184</v>
      </c>
    </row>
    <row r="16888" spans="2:37">
      <c r="B16888" s="834" t="str">
        <f t="shared" si="607"/>
        <v>|||</v>
      </c>
      <c r="H16888" s="835">
        <f t="shared" si="608"/>
        <v>31</v>
      </c>
      <c r="AF16888" s="831" t="s">
        <v>10779</v>
      </c>
      <c r="AG16888" s="831" t="s">
        <v>2674</v>
      </c>
      <c r="AH16888" s="831" t="s">
        <v>562</v>
      </c>
      <c r="AI16888" s="831">
        <v>0</v>
      </c>
      <c r="AJ16888" s="835">
        <v>41333</v>
      </c>
      <c r="AK16888" s="831">
        <v>0.78434999999999999</v>
      </c>
    </row>
    <row r="16889" spans="2:37">
      <c r="B16889" s="834" t="str">
        <f t="shared" si="607"/>
        <v>|||</v>
      </c>
      <c r="H16889" s="835">
        <f t="shared" si="608"/>
        <v>31</v>
      </c>
      <c r="AF16889" s="831" t="s">
        <v>10780</v>
      </c>
      <c r="AG16889" s="831" t="s">
        <v>2674</v>
      </c>
      <c r="AH16889" s="831" t="s">
        <v>2698</v>
      </c>
      <c r="AI16889" s="831">
        <v>0</v>
      </c>
      <c r="AJ16889" s="835">
        <v>41333</v>
      </c>
      <c r="AK16889" s="831">
        <v>0.78385000000000005</v>
      </c>
    </row>
    <row r="16890" spans="2:37">
      <c r="B16890" s="834" t="str">
        <f t="shared" si="607"/>
        <v>|||</v>
      </c>
      <c r="H16890" s="835">
        <f t="shared" si="608"/>
        <v>31</v>
      </c>
      <c r="AF16890" s="831" t="s">
        <v>10781</v>
      </c>
      <c r="AG16890" s="831" t="s">
        <v>2674</v>
      </c>
      <c r="AH16890" s="831" t="s">
        <v>560</v>
      </c>
      <c r="AI16890" s="831">
        <v>0</v>
      </c>
      <c r="AJ16890" s="835">
        <v>41333</v>
      </c>
      <c r="AK16890" s="831">
        <v>0.78410000000000002</v>
      </c>
    </row>
    <row r="16891" spans="2:37">
      <c r="B16891" s="834" t="str">
        <f t="shared" si="607"/>
        <v>|||</v>
      </c>
      <c r="H16891" s="835">
        <f t="shared" si="608"/>
        <v>31</v>
      </c>
      <c r="AF16891" s="831" t="s">
        <v>10782</v>
      </c>
      <c r="AG16891" s="831" t="s">
        <v>2674</v>
      </c>
      <c r="AH16891" s="831" t="s">
        <v>559</v>
      </c>
      <c r="AI16891" s="831">
        <v>0</v>
      </c>
      <c r="AJ16891" s="835">
        <v>41333</v>
      </c>
      <c r="AK16891" s="831">
        <v>0.78474583333333314</v>
      </c>
    </row>
    <row r="16892" spans="2:37">
      <c r="B16892" s="834" t="str">
        <f t="shared" si="607"/>
        <v>|||</v>
      </c>
      <c r="H16892" s="835">
        <f t="shared" si="608"/>
        <v>31</v>
      </c>
      <c r="AF16892" s="831" t="s">
        <v>10783</v>
      </c>
      <c r="AG16892" s="831" t="s">
        <v>2674</v>
      </c>
      <c r="AH16892" s="831" t="s">
        <v>568</v>
      </c>
      <c r="AI16892" s="831">
        <v>0</v>
      </c>
      <c r="AJ16892" s="835">
        <v>41333</v>
      </c>
      <c r="AK16892" s="831">
        <v>380181038.5</v>
      </c>
    </row>
    <row r="16893" spans="2:37">
      <c r="B16893" s="834" t="str">
        <f t="shared" si="607"/>
        <v>|||</v>
      </c>
      <c r="H16893" s="835">
        <f t="shared" si="608"/>
        <v>31</v>
      </c>
      <c r="AF16893" s="831" t="s">
        <v>10784</v>
      </c>
      <c r="AG16893" s="831" t="s">
        <v>2674</v>
      </c>
      <c r="AH16893" s="831" t="s">
        <v>569</v>
      </c>
      <c r="AI16893" s="831">
        <v>0</v>
      </c>
      <c r="AJ16893" s="835">
        <v>41333</v>
      </c>
      <c r="AK16893" s="831">
        <v>465288979.30000001</v>
      </c>
    </row>
    <row r="16894" spans="2:37">
      <c r="B16894" s="834" t="str">
        <f t="shared" si="607"/>
        <v>|||</v>
      </c>
      <c r="H16894" s="835">
        <f t="shared" si="608"/>
        <v>31</v>
      </c>
      <c r="AF16894" s="831" t="s">
        <v>10785</v>
      </c>
      <c r="AG16894" s="831" t="s">
        <v>2674</v>
      </c>
      <c r="AH16894" s="831" t="s">
        <v>570</v>
      </c>
      <c r="AI16894" s="831">
        <v>0</v>
      </c>
      <c r="AJ16894" s="835">
        <v>41333</v>
      </c>
      <c r="AK16894" s="831">
        <v>96636190.400000006</v>
      </c>
    </row>
    <row r="16895" spans="2:37">
      <c r="B16895" s="834" t="str">
        <f t="shared" si="607"/>
        <v>|||</v>
      </c>
      <c r="H16895" s="835">
        <f t="shared" si="608"/>
        <v>31</v>
      </c>
      <c r="AF16895" s="831" t="s">
        <v>10786</v>
      </c>
      <c r="AG16895" s="831" t="s">
        <v>2674</v>
      </c>
      <c r="AH16895" s="831" t="s">
        <v>571</v>
      </c>
      <c r="AI16895" s="831">
        <v>0</v>
      </c>
      <c r="AJ16895" s="835">
        <v>41333</v>
      </c>
      <c r="AK16895" s="831">
        <v>192024019</v>
      </c>
    </row>
    <row r="16896" spans="2:37">
      <c r="B16896" s="834" t="str">
        <f t="shared" si="607"/>
        <v>|||</v>
      </c>
      <c r="H16896" s="835">
        <f t="shared" si="608"/>
        <v>31</v>
      </c>
      <c r="AF16896" s="831" t="s">
        <v>10787</v>
      </c>
      <c r="AG16896" s="831" t="s">
        <v>2674</v>
      </c>
      <c r="AH16896" s="831" t="s">
        <v>573</v>
      </c>
      <c r="AI16896" s="831">
        <v>0</v>
      </c>
      <c r="AJ16896" s="835">
        <v>41333</v>
      </c>
      <c r="AK16896" s="831">
        <v>516277615.33333331</v>
      </c>
    </row>
    <row r="16897" spans="2:37">
      <c r="B16897" s="834" t="str">
        <f t="shared" si="607"/>
        <v>|||</v>
      </c>
      <c r="H16897" s="835">
        <f t="shared" si="608"/>
        <v>31</v>
      </c>
      <c r="AF16897" s="831" t="s">
        <v>10788</v>
      </c>
      <c r="AG16897" s="831" t="s">
        <v>2674</v>
      </c>
      <c r="AH16897" s="831" t="s">
        <v>574</v>
      </c>
      <c r="AI16897" s="831">
        <v>0</v>
      </c>
      <c r="AJ16897" s="835">
        <v>41333</v>
      </c>
      <c r="AK16897" s="831">
        <v>423329336.66666669</v>
      </c>
    </row>
    <row r="16898" spans="2:37">
      <c r="B16898" s="834" t="str">
        <f t="shared" si="607"/>
        <v>|||</v>
      </c>
      <c r="H16898" s="835">
        <f t="shared" si="608"/>
        <v>31</v>
      </c>
      <c r="AF16898" s="831" t="s">
        <v>10789</v>
      </c>
      <c r="AG16898" s="831" t="s">
        <v>2674</v>
      </c>
      <c r="AH16898" s="831" t="s">
        <v>575</v>
      </c>
      <c r="AI16898" s="831">
        <v>0</v>
      </c>
      <c r="AJ16898" s="835">
        <v>41333</v>
      </c>
      <c r="AK16898" s="831">
        <v>98875722</v>
      </c>
    </row>
    <row r="16899" spans="2:37">
      <c r="B16899" s="834" t="str">
        <f t="shared" si="607"/>
        <v>|||</v>
      </c>
      <c r="H16899" s="835">
        <f t="shared" si="608"/>
        <v>31</v>
      </c>
      <c r="AF16899" s="831" t="s">
        <v>10790</v>
      </c>
      <c r="AG16899" s="831" t="s">
        <v>2674</v>
      </c>
      <c r="AH16899" s="831" t="s">
        <v>576</v>
      </c>
      <c r="AI16899" s="831">
        <v>0</v>
      </c>
      <c r="AJ16899" s="835">
        <v>41333</v>
      </c>
      <c r="AK16899" s="831">
        <v>233427024</v>
      </c>
    </row>
    <row r="16900" spans="2:37">
      <c r="B16900" s="834" t="str">
        <f t="shared" si="607"/>
        <v>|||</v>
      </c>
      <c r="H16900" s="835">
        <f t="shared" si="608"/>
        <v>31</v>
      </c>
      <c r="AF16900" s="831" t="s">
        <v>10791</v>
      </c>
      <c r="AG16900" s="831" t="s">
        <v>2674</v>
      </c>
      <c r="AH16900" s="831" t="s">
        <v>572</v>
      </c>
      <c r="AI16900" s="831">
        <v>0</v>
      </c>
      <c r="AJ16900" s="835">
        <v>41333</v>
      </c>
      <c r="AK16900" s="831">
        <v>-2146826246</v>
      </c>
    </row>
    <row r="16901" spans="2:37">
      <c r="B16901" s="834" t="str">
        <f t="shared" si="607"/>
        <v>|||</v>
      </c>
      <c r="H16901" s="835">
        <f t="shared" si="608"/>
        <v>31</v>
      </c>
      <c r="AF16901" s="831" t="s">
        <v>10792</v>
      </c>
      <c r="AG16901" s="831" t="s">
        <v>2674</v>
      </c>
      <c r="AH16901" s="831" t="s">
        <v>577</v>
      </c>
      <c r="AI16901" s="831">
        <v>0</v>
      </c>
      <c r="AJ16901" s="835">
        <v>41333</v>
      </c>
      <c r="AK16901" s="831">
        <v>-2146826246</v>
      </c>
    </row>
    <row r="16902" spans="2:37">
      <c r="B16902" s="834" t="str">
        <f t="shared" si="607"/>
        <v>|||</v>
      </c>
      <c r="H16902" s="835">
        <f t="shared" si="608"/>
        <v>31</v>
      </c>
      <c r="AF16902" s="831" t="s">
        <v>10793</v>
      </c>
      <c r="AG16902" s="831" t="s">
        <v>2674</v>
      </c>
      <c r="AH16902" s="831" t="s">
        <v>3042</v>
      </c>
      <c r="AI16902" s="831">
        <v>0</v>
      </c>
      <c r="AJ16902" s="835">
        <v>41333</v>
      </c>
      <c r="AK16902" s="831">
        <v>-2146826246</v>
      </c>
    </row>
    <row r="16903" spans="2:37">
      <c r="B16903" s="834" t="str">
        <f t="shared" si="607"/>
        <v>|||</v>
      </c>
      <c r="H16903" s="835">
        <f t="shared" si="608"/>
        <v>31</v>
      </c>
      <c r="AF16903" s="831" t="s">
        <v>10794</v>
      </c>
      <c r="AG16903" s="831" t="s">
        <v>2674</v>
      </c>
      <c r="AH16903" s="831" t="s">
        <v>3044</v>
      </c>
      <c r="AI16903" s="831">
        <v>0</v>
      </c>
      <c r="AJ16903" s="835">
        <v>41333</v>
      </c>
      <c r="AK16903" s="831">
        <v>-2146826246</v>
      </c>
    </row>
    <row r="16904" spans="2:37">
      <c r="B16904" s="834" t="str">
        <f t="shared" si="607"/>
        <v>|||</v>
      </c>
      <c r="H16904" s="835">
        <f t="shared" si="608"/>
        <v>31</v>
      </c>
      <c r="AF16904" s="831" t="s">
        <v>10795</v>
      </c>
      <c r="AG16904" s="831" t="s">
        <v>2674</v>
      </c>
      <c r="AH16904" s="831" t="s">
        <v>580</v>
      </c>
      <c r="AI16904" s="831">
        <v>0</v>
      </c>
      <c r="AJ16904" s="835">
        <v>41333</v>
      </c>
      <c r="AK16904" s="831">
        <v>-2146826246</v>
      </c>
    </row>
    <row r="16905" spans="2:37">
      <c r="B16905" s="834" t="str">
        <f t="shared" si="607"/>
        <v>|||</v>
      </c>
      <c r="H16905" s="835">
        <f t="shared" si="608"/>
        <v>31</v>
      </c>
      <c r="AF16905" s="831" t="s">
        <v>10796</v>
      </c>
      <c r="AG16905" s="831" t="s">
        <v>2674</v>
      </c>
      <c r="AH16905" s="831" t="s">
        <v>581</v>
      </c>
      <c r="AI16905" s="831">
        <v>0</v>
      </c>
      <c r="AJ16905" s="835">
        <v>41333</v>
      </c>
      <c r="AK16905" s="831">
        <v>-2146826246</v>
      </c>
    </row>
    <row r="16906" spans="2:37">
      <c r="B16906" s="834" t="str">
        <f t="shared" si="607"/>
        <v>|||</v>
      </c>
      <c r="H16906" s="835">
        <f t="shared" si="608"/>
        <v>31</v>
      </c>
      <c r="AF16906" s="831" t="s">
        <v>10797</v>
      </c>
      <c r="AG16906" s="831" t="s">
        <v>2674</v>
      </c>
      <c r="AH16906" s="831" t="s">
        <v>105</v>
      </c>
      <c r="AI16906" s="831">
        <v>0</v>
      </c>
      <c r="AJ16906" s="835">
        <v>41333</v>
      </c>
      <c r="AK16906" s="831">
        <v>232996335</v>
      </c>
    </row>
    <row r="16907" spans="2:37">
      <c r="B16907" s="834" t="str">
        <f t="shared" si="607"/>
        <v>|||</v>
      </c>
      <c r="H16907" s="835">
        <f t="shared" si="608"/>
        <v>31</v>
      </c>
      <c r="AF16907" s="831" t="s">
        <v>10798</v>
      </c>
      <c r="AG16907" s="831" t="s">
        <v>2674</v>
      </c>
      <c r="AH16907" s="831" t="s">
        <v>3049</v>
      </c>
      <c r="AI16907" s="831">
        <v>0</v>
      </c>
      <c r="AJ16907" s="835">
        <v>41333</v>
      </c>
      <c r="AK16907" s="831">
        <v>409742104</v>
      </c>
    </row>
    <row r="16908" spans="2:37">
      <c r="B16908" s="834" t="str">
        <f t="shared" si="607"/>
        <v>|||</v>
      </c>
      <c r="H16908" s="835">
        <f t="shared" si="608"/>
        <v>31</v>
      </c>
      <c r="AF16908" s="831" t="s">
        <v>10799</v>
      </c>
      <c r="AG16908" s="831" t="s">
        <v>2674</v>
      </c>
      <c r="AH16908" s="831" t="s">
        <v>103</v>
      </c>
      <c r="AI16908" s="831">
        <v>0</v>
      </c>
      <c r="AJ16908" s="835">
        <v>41333</v>
      </c>
      <c r="AK16908" s="831">
        <v>176745769</v>
      </c>
    </row>
    <row r="16909" spans="2:37">
      <c r="B16909" s="834" t="str">
        <f t="shared" si="607"/>
        <v>|||</v>
      </c>
      <c r="H16909" s="835">
        <f t="shared" si="608"/>
        <v>31</v>
      </c>
      <c r="AF16909" s="831" t="s">
        <v>10800</v>
      </c>
      <c r="AG16909" s="831" t="s">
        <v>2674</v>
      </c>
      <c r="AH16909" s="831" t="s">
        <v>182</v>
      </c>
      <c r="AI16909" s="831">
        <v>0</v>
      </c>
      <c r="AJ16909" s="835">
        <v>41333</v>
      </c>
      <c r="AK16909" s="831">
        <v>55637232</v>
      </c>
    </row>
    <row r="16910" spans="2:37">
      <c r="B16910" s="834" t="str">
        <f t="shared" si="607"/>
        <v>|||</v>
      </c>
      <c r="H16910" s="835">
        <f t="shared" si="608"/>
        <v>31</v>
      </c>
      <c r="AF16910" s="831" t="s">
        <v>10801</v>
      </c>
      <c r="AG16910" s="831" t="s">
        <v>2674</v>
      </c>
      <c r="AH16910" s="831" t="s">
        <v>6600</v>
      </c>
      <c r="AI16910" s="831">
        <v>0</v>
      </c>
      <c r="AJ16910" s="835">
        <v>41333</v>
      </c>
      <c r="AK16910" s="831">
        <v>-2146826246</v>
      </c>
    </row>
    <row r="16911" spans="2:37">
      <c r="B16911" s="834" t="str">
        <f t="shared" si="607"/>
        <v>|||</v>
      </c>
      <c r="H16911" s="835">
        <f t="shared" si="608"/>
        <v>31</v>
      </c>
      <c r="AF16911" s="831" t="s">
        <v>10802</v>
      </c>
      <c r="AG16911" s="831" t="s">
        <v>2674</v>
      </c>
      <c r="AH16911" s="831" t="s">
        <v>6602</v>
      </c>
      <c r="AI16911" s="831">
        <v>0</v>
      </c>
      <c r="AJ16911" s="835">
        <v>41333</v>
      </c>
      <c r="AK16911" s="831">
        <v>3817884</v>
      </c>
    </row>
    <row r="16912" spans="2:37">
      <c r="B16912" s="834" t="str">
        <f t="shared" si="607"/>
        <v>|||</v>
      </c>
      <c r="H16912" s="835">
        <f t="shared" si="608"/>
        <v>31</v>
      </c>
      <c r="AF16912" s="831" t="s">
        <v>10803</v>
      </c>
      <c r="AG16912" s="831" t="s">
        <v>2674</v>
      </c>
      <c r="AH16912" s="831" t="s">
        <v>650</v>
      </c>
      <c r="AI16912" s="831">
        <v>0</v>
      </c>
      <c r="AJ16912" s="835">
        <v>41333</v>
      </c>
      <c r="AK16912" s="831">
        <v>163723555.30000001</v>
      </c>
    </row>
    <row r="16913" spans="2:37">
      <c r="B16913" s="834" t="str">
        <f t="shared" ref="B16913:B16976" si="609">C16913&amp;"|"&amp;D16913&amp;"|"&amp;E16913&amp;"|"&amp;F16913</f>
        <v>|||</v>
      </c>
      <c r="H16913" s="835">
        <f t="shared" ref="H16913:H16976" si="610">EOMONTH(L16913,0)</f>
        <v>31</v>
      </c>
      <c r="AF16913" s="831" t="s">
        <v>10804</v>
      </c>
      <c r="AG16913" s="831" t="s">
        <v>2674</v>
      </c>
      <c r="AH16913" s="831" t="s">
        <v>655</v>
      </c>
      <c r="AI16913" s="831">
        <v>0</v>
      </c>
      <c r="AJ16913" s="835">
        <v>41333</v>
      </c>
      <c r="AK16913" s="831">
        <v>1851569</v>
      </c>
    </row>
    <row r="16914" spans="2:37">
      <c r="B16914" s="834" t="str">
        <f t="shared" si="609"/>
        <v>|||</v>
      </c>
      <c r="H16914" s="835">
        <f t="shared" si="610"/>
        <v>31</v>
      </c>
      <c r="AF16914" s="831" t="s">
        <v>10805</v>
      </c>
      <c r="AG16914" s="831" t="s">
        <v>2674</v>
      </c>
      <c r="AH16914" s="831" t="s">
        <v>546</v>
      </c>
      <c r="AI16914" s="831">
        <v>0</v>
      </c>
      <c r="AJ16914" s="835">
        <v>41364</v>
      </c>
      <c r="AK16914" s="831">
        <v>455655641</v>
      </c>
    </row>
    <row r="16915" spans="2:37">
      <c r="B16915" s="834" t="str">
        <f t="shared" si="609"/>
        <v>|||</v>
      </c>
      <c r="H16915" s="835">
        <f t="shared" si="610"/>
        <v>31</v>
      </c>
      <c r="AF16915" s="831" t="s">
        <v>10806</v>
      </c>
      <c r="AG16915" s="831" t="s">
        <v>2674</v>
      </c>
      <c r="AH16915" s="831" t="s">
        <v>370</v>
      </c>
      <c r="AI16915" s="831">
        <v>0</v>
      </c>
      <c r="AJ16915" s="835">
        <v>41364</v>
      </c>
      <c r="AK16915" s="831">
        <v>548973661</v>
      </c>
    </row>
    <row r="16916" spans="2:37">
      <c r="B16916" s="834" t="str">
        <f t="shared" si="609"/>
        <v>|||</v>
      </c>
      <c r="H16916" s="835">
        <f t="shared" si="610"/>
        <v>31</v>
      </c>
      <c r="AF16916" s="831" t="s">
        <v>10807</v>
      </c>
      <c r="AG16916" s="831" t="s">
        <v>2674</v>
      </c>
      <c r="AH16916" s="831" t="s">
        <v>126</v>
      </c>
      <c r="AI16916" s="831">
        <v>0</v>
      </c>
      <c r="AJ16916" s="835">
        <v>41364</v>
      </c>
      <c r="AK16916" s="831">
        <v>100809389</v>
      </c>
    </row>
    <row r="16917" spans="2:37">
      <c r="B16917" s="834" t="str">
        <f t="shared" si="609"/>
        <v>|||</v>
      </c>
      <c r="H16917" s="835">
        <f t="shared" si="610"/>
        <v>31</v>
      </c>
      <c r="AF16917" s="831" t="s">
        <v>10808</v>
      </c>
      <c r="AG16917" s="831" t="s">
        <v>2674</v>
      </c>
      <c r="AH16917" s="831" t="s">
        <v>268</v>
      </c>
      <c r="AI16917" s="831">
        <v>0</v>
      </c>
      <c r="AJ16917" s="835">
        <v>41364</v>
      </c>
      <c r="AK16917" s="831">
        <v>6046166</v>
      </c>
    </row>
    <row r="16918" spans="2:37">
      <c r="B16918" s="834" t="str">
        <f t="shared" si="609"/>
        <v>|||</v>
      </c>
      <c r="H16918" s="835">
        <f t="shared" si="610"/>
        <v>31</v>
      </c>
      <c r="AF16918" s="831" t="s">
        <v>10809</v>
      </c>
      <c r="AG16918" s="831" t="s">
        <v>2674</v>
      </c>
      <c r="AH16918" s="831" t="s">
        <v>547</v>
      </c>
      <c r="AI16918" s="831">
        <v>0</v>
      </c>
      <c r="AJ16918" s="835">
        <v>41364</v>
      </c>
      <c r="AK16918" s="831">
        <v>511487760</v>
      </c>
    </row>
    <row r="16919" spans="2:37">
      <c r="B16919" s="834" t="str">
        <f t="shared" si="609"/>
        <v>|||</v>
      </c>
      <c r="H16919" s="835">
        <f t="shared" si="610"/>
        <v>31</v>
      </c>
      <c r="AF16919" s="831" t="s">
        <v>10810</v>
      </c>
      <c r="AG16919" s="831" t="s">
        <v>2674</v>
      </c>
      <c r="AH16919" s="831" t="s">
        <v>548</v>
      </c>
      <c r="AI16919" s="831">
        <v>0</v>
      </c>
      <c r="AJ16919" s="835">
        <v>41364</v>
      </c>
      <c r="AK16919" s="831">
        <v>96883184</v>
      </c>
    </row>
    <row r="16920" spans="2:37">
      <c r="B16920" s="834" t="str">
        <f t="shared" si="609"/>
        <v>|||</v>
      </c>
      <c r="H16920" s="835">
        <f t="shared" si="610"/>
        <v>31</v>
      </c>
      <c r="AF16920" s="831" t="s">
        <v>10811</v>
      </c>
      <c r="AG16920" s="831" t="s">
        <v>2674</v>
      </c>
      <c r="AH16920" s="831" t="s">
        <v>549</v>
      </c>
      <c r="AI16920" s="831">
        <v>0</v>
      </c>
      <c r="AJ16920" s="835">
        <v>41364</v>
      </c>
      <c r="AK16920" s="831">
        <v>0</v>
      </c>
    </row>
    <row r="16921" spans="2:37">
      <c r="B16921" s="834" t="str">
        <f t="shared" si="609"/>
        <v>|||</v>
      </c>
      <c r="H16921" s="835">
        <f t="shared" si="610"/>
        <v>31</v>
      </c>
      <c r="AF16921" s="831" t="s">
        <v>10812</v>
      </c>
      <c r="AG16921" s="831" t="s">
        <v>2674</v>
      </c>
      <c r="AH16921" s="831" t="s">
        <v>192</v>
      </c>
      <c r="AI16921" s="831">
        <v>0</v>
      </c>
      <c r="AJ16921" s="835">
        <v>41364</v>
      </c>
      <c r="AK16921" s="831">
        <v>-11725074</v>
      </c>
    </row>
    <row r="16922" spans="2:37">
      <c r="B16922" s="834" t="str">
        <f t="shared" si="609"/>
        <v>|||</v>
      </c>
      <c r="H16922" s="835">
        <f t="shared" si="610"/>
        <v>31</v>
      </c>
      <c r="AF16922" s="831" t="s">
        <v>10813</v>
      </c>
      <c r="AG16922" s="831" t="s">
        <v>2674</v>
      </c>
      <c r="AH16922" s="831" t="s">
        <v>558</v>
      </c>
      <c r="AI16922" s="831">
        <v>0</v>
      </c>
      <c r="AJ16922" s="835">
        <v>41364</v>
      </c>
      <c r="AK16922" s="831">
        <v>448164272</v>
      </c>
    </row>
    <row r="16923" spans="2:37">
      <c r="B16923" s="834" t="str">
        <f t="shared" si="609"/>
        <v>|||</v>
      </c>
      <c r="H16923" s="835">
        <f t="shared" si="610"/>
        <v>31</v>
      </c>
      <c r="AF16923" s="831" t="s">
        <v>10814</v>
      </c>
      <c r="AG16923" s="831" t="s">
        <v>2674</v>
      </c>
      <c r="AH16923" s="831" t="s">
        <v>65</v>
      </c>
      <c r="AI16923" s="831">
        <v>0</v>
      </c>
      <c r="AJ16923" s="835">
        <v>41364</v>
      </c>
      <c r="AK16923" s="831">
        <v>27883165</v>
      </c>
    </row>
    <row r="16924" spans="2:37">
      <c r="B16924" s="834" t="str">
        <f t="shared" si="609"/>
        <v>|||</v>
      </c>
      <c r="H16924" s="835">
        <f t="shared" si="610"/>
        <v>31</v>
      </c>
      <c r="AF16924" s="831" t="s">
        <v>10815</v>
      </c>
      <c r="AG16924" s="831" t="s">
        <v>2674</v>
      </c>
      <c r="AH16924" s="831" t="s">
        <v>89</v>
      </c>
      <c r="AI16924" s="831">
        <v>0</v>
      </c>
      <c r="AJ16924" s="835">
        <v>41364</v>
      </c>
      <c r="AK16924" s="831">
        <v>129296</v>
      </c>
    </row>
    <row r="16925" spans="2:37">
      <c r="B16925" s="834" t="str">
        <f t="shared" si="609"/>
        <v>|||</v>
      </c>
      <c r="H16925" s="835">
        <f t="shared" si="610"/>
        <v>31</v>
      </c>
      <c r="AF16925" s="831" t="s">
        <v>10816</v>
      </c>
      <c r="AG16925" s="831" t="s">
        <v>2674</v>
      </c>
      <c r="AH16925" s="831" t="s">
        <v>557</v>
      </c>
      <c r="AI16925" s="831">
        <v>0</v>
      </c>
      <c r="AJ16925" s="835">
        <v>41364</v>
      </c>
      <c r="AK16925" s="831">
        <v>133005</v>
      </c>
    </row>
    <row r="16926" spans="2:37">
      <c r="B16926" s="834" t="str">
        <f t="shared" si="609"/>
        <v>|||</v>
      </c>
      <c r="H16926" s="835">
        <f t="shared" si="610"/>
        <v>31</v>
      </c>
      <c r="AF16926" s="831" t="s">
        <v>10817</v>
      </c>
      <c r="AG16926" s="831" t="s">
        <v>2674</v>
      </c>
      <c r="AH16926" s="831" t="s">
        <v>29</v>
      </c>
      <c r="AI16926" s="831">
        <v>0</v>
      </c>
      <c r="AJ16926" s="835">
        <v>41364</v>
      </c>
      <c r="AK16926" s="831">
        <v>2674773</v>
      </c>
    </row>
    <row r="16927" spans="2:37">
      <c r="B16927" s="834" t="str">
        <f t="shared" si="609"/>
        <v>|||</v>
      </c>
      <c r="H16927" s="835">
        <f t="shared" si="610"/>
        <v>31</v>
      </c>
      <c r="AF16927" s="831" t="s">
        <v>10818</v>
      </c>
      <c r="AG16927" s="831" t="s">
        <v>2674</v>
      </c>
      <c r="AH16927" s="831" t="s">
        <v>2688</v>
      </c>
      <c r="AI16927" s="831">
        <v>0</v>
      </c>
      <c r="AJ16927" s="835">
        <v>41364</v>
      </c>
      <c r="AK16927" s="831">
        <v>2715490</v>
      </c>
    </row>
    <row r="16928" spans="2:37">
      <c r="B16928" s="834" t="str">
        <f t="shared" si="609"/>
        <v>|||</v>
      </c>
      <c r="H16928" s="835">
        <f t="shared" si="610"/>
        <v>31</v>
      </c>
      <c r="AF16928" s="831" t="s">
        <v>10819</v>
      </c>
      <c r="AG16928" s="831" t="s">
        <v>2674</v>
      </c>
      <c r="AH16928" s="831" t="s">
        <v>556</v>
      </c>
      <c r="AI16928" s="831">
        <v>0</v>
      </c>
      <c r="AJ16928" s="835">
        <v>41364</v>
      </c>
      <c r="AK16928" s="831">
        <v>902857</v>
      </c>
    </row>
    <row r="16929" spans="2:37">
      <c r="B16929" s="834" t="str">
        <f t="shared" si="609"/>
        <v>|||</v>
      </c>
      <c r="H16929" s="835">
        <f t="shared" si="610"/>
        <v>31</v>
      </c>
      <c r="AF16929" s="831" t="s">
        <v>10820</v>
      </c>
      <c r="AG16929" s="831" t="s">
        <v>2674</v>
      </c>
      <c r="AH16929" s="831" t="s">
        <v>555</v>
      </c>
      <c r="AI16929" s="831">
        <v>0</v>
      </c>
      <c r="AJ16929" s="835">
        <v>41364</v>
      </c>
      <c r="AK16929" s="831">
        <v>285158930</v>
      </c>
    </row>
    <row r="16930" spans="2:37">
      <c r="B16930" s="834" t="str">
        <f t="shared" si="609"/>
        <v>|||</v>
      </c>
      <c r="H16930" s="835">
        <f t="shared" si="610"/>
        <v>31</v>
      </c>
      <c r="AF16930" s="831" t="s">
        <v>10821</v>
      </c>
      <c r="AG16930" s="831" t="s">
        <v>2674</v>
      </c>
      <c r="AH16930" s="831" t="s">
        <v>554</v>
      </c>
      <c r="AI16930" s="831">
        <v>0</v>
      </c>
      <c r="AJ16930" s="835">
        <v>41364</v>
      </c>
      <c r="AK16930" s="831">
        <v>281381290</v>
      </c>
    </row>
    <row r="16931" spans="2:37">
      <c r="B16931" s="834" t="str">
        <f t="shared" si="609"/>
        <v>|||</v>
      </c>
      <c r="H16931" s="835">
        <f t="shared" si="610"/>
        <v>31</v>
      </c>
      <c r="AF16931" s="831" t="s">
        <v>10822</v>
      </c>
      <c r="AG16931" s="831" t="s">
        <v>2674</v>
      </c>
      <c r="AH16931" s="831" t="s">
        <v>553</v>
      </c>
      <c r="AI16931" s="831">
        <v>0</v>
      </c>
      <c r="AJ16931" s="835">
        <v>41364</v>
      </c>
      <c r="AK16931" s="831">
        <v>0</v>
      </c>
    </row>
    <row r="16932" spans="2:37">
      <c r="B16932" s="834" t="str">
        <f t="shared" si="609"/>
        <v>|||</v>
      </c>
      <c r="H16932" s="835">
        <f t="shared" si="610"/>
        <v>31</v>
      </c>
      <c r="AF16932" s="831" t="s">
        <v>10823</v>
      </c>
      <c r="AG16932" s="831" t="s">
        <v>2674</v>
      </c>
      <c r="AH16932" s="831" t="s">
        <v>552</v>
      </c>
      <c r="AI16932" s="831">
        <v>0</v>
      </c>
      <c r="AJ16932" s="835">
        <v>41364</v>
      </c>
      <c r="AK16932" s="831">
        <v>0</v>
      </c>
    </row>
    <row r="16933" spans="2:37">
      <c r="B16933" s="834" t="str">
        <f t="shared" si="609"/>
        <v>|||</v>
      </c>
      <c r="H16933" s="835">
        <f t="shared" si="610"/>
        <v>31</v>
      </c>
      <c r="AF16933" s="831" t="s">
        <v>10824</v>
      </c>
      <c r="AG16933" s="831" t="s">
        <v>2674</v>
      </c>
      <c r="AH16933" s="831" t="s">
        <v>551</v>
      </c>
      <c r="AI16933" s="831">
        <v>0</v>
      </c>
      <c r="AJ16933" s="835">
        <v>41364</v>
      </c>
      <c r="AK16933" s="831">
        <v>2175856</v>
      </c>
    </row>
    <row r="16934" spans="2:37">
      <c r="B16934" s="834" t="str">
        <f t="shared" si="609"/>
        <v>|||</v>
      </c>
      <c r="H16934" s="835">
        <f t="shared" si="610"/>
        <v>31</v>
      </c>
      <c r="AF16934" s="831" t="s">
        <v>10825</v>
      </c>
      <c r="AG16934" s="831" t="s">
        <v>2674</v>
      </c>
      <c r="AH16934" s="831" t="s">
        <v>550</v>
      </c>
      <c r="AI16934" s="831">
        <v>0</v>
      </c>
      <c r="AJ16934" s="835">
        <v>41364</v>
      </c>
      <c r="AK16934" s="831">
        <v>98581107</v>
      </c>
    </row>
    <row r="16935" spans="2:37">
      <c r="B16935" s="834" t="str">
        <f t="shared" si="609"/>
        <v>|||</v>
      </c>
      <c r="H16935" s="835">
        <f t="shared" si="610"/>
        <v>31</v>
      </c>
      <c r="AF16935" s="831" t="s">
        <v>10826</v>
      </c>
      <c r="AG16935" s="831" t="s">
        <v>2674</v>
      </c>
      <c r="AH16935" s="831" t="s">
        <v>562</v>
      </c>
      <c r="AI16935" s="831">
        <v>0</v>
      </c>
      <c r="AJ16935" s="835">
        <v>41364</v>
      </c>
      <c r="AK16935" s="831">
        <v>0.78425</v>
      </c>
    </row>
    <row r="16936" spans="2:37">
      <c r="B16936" s="834" t="str">
        <f t="shared" si="609"/>
        <v>|||</v>
      </c>
      <c r="H16936" s="835">
        <f t="shared" si="610"/>
        <v>31</v>
      </c>
      <c r="AF16936" s="831" t="s">
        <v>10827</v>
      </c>
      <c r="AG16936" s="831" t="s">
        <v>2674</v>
      </c>
      <c r="AH16936" s="831" t="s">
        <v>2698</v>
      </c>
      <c r="AI16936" s="831">
        <v>0</v>
      </c>
      <c r="AJ16936" s="835">
        <v>41364</v>
      </c>
      <c r="AK16936" s="831">
        <v>0.78434999999999999</v>
      </c>
    </row>
    <row r="16937" spans="2:37">
      <c r="B16937" s="834" t="str">
        <f t="shared" si="609"/>
        <v>|||</v>
      </c>
      <c r="H16937" s="835">
        <f t="shared" si="610"/>
        <v>31</v>
      </c>
      <c r="AF16937" s="831" t="s">
        <v>10828</v>
      </c>
      <c r="AG16937" s="831" t="s">
        <v>2674</v>
      </c>
      <c r="AH16937" s="831" t="s">
        <v>560</v>
      </c>
      <c r="AI16937" s="831">
        <v>0</v>
      </c>
      <c r="AJ16937" s="835">
        <v>41364</v>
      </c>
      <c r="AK16937" s="831">
        <v>0.78415000000000001</v>
      </c>
    </row>
    <row r="16938" spans="2:37">
      <c r="B16938" s="834" t="str">
        <f t="shared" si="609"/>
        <v>|||</v>
      </c>
      <c r="H16938" s="835">
        <f t="shared" si="610"/>
        <v>31</v>
      </c>
      <c r="AF16938" s="831" t="s">
        <v>10829</v>
      </c>
      <c r="AG16938" s="831" t="s">
        <v>2674</v>
      </c>
      <c r="AH16938" s="831" t="s">
        <v>559</v>
      </c>
      <c r="AI16938" s="831">
        <v>0</v>
      </c>
      <c r="AJ16938" s="835">
        <v>41364</v>
      </c>
      <c r="AK16938" s="831">
        <v>0.78459166666666669</v>
      </c>
    </row>
    <row r="16939" spans="2:37">
      <c r="B16939" s="834" t="str">
        <f t="shared" si="609"/>
        <v>|||</v>
      </c>
      <c r="H16939" s="835">
        <f t="shared" si="610"/>
        <v>31</v>
      </c>
      <c r="AF16939" s="831" t="s">
        <v>10830</v>
      </c>
      <c r="AG16939" s="831" t="s">
        <v>2674</v>
      </c>
      <c r="AH16939" s="831" t="s">
        <v>568</v>
      </c>
      <c r="AI16939" s="831">
        <v>0</v>
      </c>
      <c r="AJ16939" s="835">
        <v>41364</v>
      </c>
      <c r="AK16939" s="831">
        <v>387042366</v>
      </c>
    </row>
    <row r="16940" spans="2:37">
      <c r="B16940" s="834" t="str">
        <f t="shared" si="609"/>
        <v>|||</v>
      </c>
      <c r="H16940" s="835">
        <f t="shared" si="610"/>
        <v>31</v>
      </c>
      <c r="AF16940" s="831" t="s">
        <v>10831</v>
      </c>
      <c r="AG16940" s="831" t="s">
        <v>2674</v>
      </c>
      <c r="AH16940" s="831" t="s">
        <v>569</v>
      </c>
      <c r="AI16940" s="831">
        <v>0</v>
      </c>
      <c r="AJ16940" s="835">
        <v>41364</v>
      </c>
      <c r="AK16940" s="831">
        <v>472896677.63636363</v>
      </c>
    </row>
    <row r="16941" spans="2:37">
      <c r="B16941" s="834" t="str">
        <f t="shared" si="609"/>
        <v>|||</v>
      </c>
      <c r="H16941" s="835">
        <f t="shared" si="610"/>
        <v>31</v>
      </c>
      <c r="AF16941" s="831" t="s">
        <v>10832</v>
      </c>
      <c r="AG16941" s="831" t="s">
        <v>2674</v>
      </c>
      <c r="AH16941" s="831" t="s">
        <v>570</v>
      </c>
      <c r="AI16941" s="831">
        <v>0</v>
      </c>
      <c r="AJ16941" s="835">
        <v>41364</v>
      </c>
      <c r="AK16941" s="831">
        <v>97015572.090909094</v>
      </c>
    </row>
    <row r="16942" spans="2:37">
      <c r="B16942" s="834" t="str">
        <f t="shared" si="609"/>
        <v>|||</v>
      </c>
      <c r="H16942" s="835">
        <f t="shared" si="610"/>
        <v>31</v>
      </c>
      <c r="AF16942" s="831" t="s">
        <v>10833</v>
      </c>
      <c r="AG16942" s="831" t="s">
        <v>2674</v>
      </c>
      <c r="AH16942" s="831" t="s">
        <v>571</v>
      </c>
      <c r="AI16942" s="831">
        <v>0</v>
      </c>
      <c r="AJ16942" s="835">
        <v>41364</v>
      </c>
      <c r="AK16942" s="831">
        <v>197450778.09090909</v>
      </c>
    </row>
    <row r="16943" spans="2:37">
      <c r="B16943" s="834" t="str">
        <f t="shared" si="609"/>
        <v>|||</v>
      </c>
      <c r="H16943" s="835">
        <f t="shared" si="610"/>
        <v>31</v>
      </c>
      <c r="AF16943" s="831" t="s">
        <v>10834</v>
      </c>
      <c r="AG16943" s="831" t="s">
        <v>2674</v>
      </c>
      <c r="AH16943" s="831" t="s">
        <v>573</v>
      </c>
      <c r="AI16943" s="831">
        <v>0</v>
      </c>
      <c r="AJ16943" s="835">
        <v>41364</v>
      </c>
      <c r="AK16943" s="831">
        <v>524451626.75</v>
      </c>
    </row>
    <row r="16944" spans="2:37">
      <c r="B16944" s="834" t="str">
        <f t="shared" si="609"/>
        <v>|||</v>
      </c>
      <c r="H16944" s="835">
        <f t="shared" si="610"/>
        <v>31</v>
      </c>
      <c r="AF16944" s="831" t="s">
        <v>10835</v>
      </c>
      <c r="AG16944" s="831" t="s">
        <v>2674</v>
      </c>
      <c r="AH16944" s="831" t="s">
        <v>574</v>
      </c>
      <c r="AI16944" s="831">
        <v>0</v>
      </c>
      <c r="AJ16944" s="835">
        <v>41364</v>
      </c>
      <c r="AK16944" s="831">
        <v>431410912.75</v>
      </c>
    </row>
    <row r="16945" spans="2:37">
      <c r="B16945" s="834" t="str">
        <f t="shared" si="609"/>
        <v>|||</v>
      </c>
      <c r="H16945" s="835">
        <f t="shared" si="610"/>
        <v>31</v>
      </c>
      <c r="AF16945" s="831" t="s">
        <v>10836</v>
      </c>
      <c r="AG16945" s="831" t="s">
        <v>2674</v>
      </c>
      <c r="AH16945" s="831" t="s">
        <v>575</v>
      </c>
      <c r="AI16945" s="831">
        <v>0</v>
      </c>
      <c r="AJ16945" s="835">
        <v>41364</v>
      </c>
      <c r="AK16945" s="831">
        <v>99359138.75</v>
      </c>
    </row>
    <row r="16946" spans="2:37">
      <c r="B16946" s="834" t="str">
        <f t="shared" si="609"/>
        <v>|||</v>
      </c>
      <c r="H16946" s="835">
        <f t="shared" si="610"/>
        <v>31</v>
      </c>
      <c r="AF16946" s="831" t="s">
        <v>10837</v>
      </c>
      <c r="AG16946" s="831" t="s">
        <v>2674</v>
      </c>
      <c r="AH16946" s="831" t="s">
        <v>576</v>
      </c>
      <c r="AI16946" s="831">
        <v>0</v>
      </c>
      <c r="AJ16946" s="835">
        <v>41364</v>
      </c>
      <c r="AK16946" s="831">
        <v>237999860.25</v>
      </c>
    </row>
    <row r="16947" spans="2:37">
      <c r="B16947" s="834" t="str">
        <f t="shared" si="609"/>
        <v>|||</v>
      </c>
      <c r="H16947" s="835">
        <f t="shared" si="610"/>
        <v>31</v>
      </c>
      <c r="AF16947" s="831" t="s">
        <v>10838</v>
      </c>
      <c r="AG16947" s="831" t="s">
        <v>2674</v>
      </c>
      <c r="AH16947" s="831" t="s">
        <v>572</v>
      </c>
      <c r="AI16947" s="831">
        <v>0</v>
      </c>
      <c r="AJ16947" s="835">
        <v>41364</v>
      </c>
      <c r="AK16947" s="831">
        <v>-2146826246</v>
      </c>
    </row>
    <row r="16948" spans="2:37">
      <c r="B16948" s="834" t="str">
        <f t="shared" si="609"/>
        <v>|||</v>
      </c>
      <c r="H16948" s="835">
        <f t="shared" si="610"/>
        <v>31</v>
      </c>
      <c r="AF16948" s="831" t="s">
        <v>10839</v>
      </c>
      <c r="AG16948" s="831" t="s">
        <v>2674</v>
      </c>
      <c r="AH16948" s="831" t="s">
        <v>577</v>
      </c>
      <c r="AI16948" s="831">
        <v>0</v>
      </c>
      <c r="AJ16948" s="835">
        <v>41364</v>
      </c>
      <c r="AK16948" s="831">
        <v>-2146826246</v>
      </c>
    </row>
    <row r="16949" spans="2:37">
      <c r="B16949" s="834" t="str">
        <f t="shared" si="609"/>
        <v>|||</v>
      </c>
      <c r="H16949" s="835">
        <f t="shared" si="610"/>
        <v>31</v>
      </c>
      <c r="AF16949" s="831" t="s">
        <v>10840</v>
      </c>
      <c r="AG16949" s="831" t="s">
        <v>2674</v>
      </c>
      <c r="AH16949" s="831" t="s">
        <v>3042</v>
      </c>
      <c r="AI16949" s="831">
        <v>0</v>
      </c>
      <c r="AJ16949" s="835">
        <v>41364</v>
      </c>
      <c r="AK16949" s="831">
        <v>-2146826246</v>
      </c>
    </row>
    <row r="16950" spans="2:37">
      <c r="B16950" s="834" t="str">
        <f t="shared" si="609"/>
        <v>|||</v>
      </c>
      <c r="H16950" s="835">
        <f t="shared" si="610"/>
        <v>31</v>
      </c>
      <c r="AF16950" s="831" t="s">
        <v>10841</v>
      </c>
      <c r="AG16950" s="831" t="s">
        <v>2674</v>
      </c>
      <c r="AH16950" s="831" t="s">
        <v>3044</v>
      </c>
      <c r="AI16950" s="831">
        <v>0</v>
      </c>
      <c r="AJ16950" s="835">
        <v>41364</v>
      </c>
      <c r="AK16950" s="831">
        <v>-2146826246</v>
      </c>
    </row>
    <row r="16951" spans="2:37">
      <c r="B16951" s="834" t="str">
        <f t="shared" si="609"/>
        <v>|||</v>
      </c>
      <c r="H16951" s="835">
        <f t="shared" si="610"/>
        <v>31</v>
      </c>
      <c r="AF16951" s="831" t="s">
        <v>10842</v>
      </c>
      <c r="AG16951" s="831" t="s">
        <v>2674</v>
      </c>
      <c r="AH16951" s="831" t="s">
        <v>580</v>
      </c>
      <c r="AI16951" s="831">
        <v>0</v>
      </c>
      <c r="AJ16951" s="835">
        <v>41364</v>
      </c>
      <c r="AK16951" s="831">
        <v>-2146826246</v>
      </c>
    </row>
    <row r="16952" spans="2:37">
      <c r="B16952" s="834" t="str">
        <f t="shared" si="609"/>
        <v>|||</v>
      </c>
      <c r="H16952" s="835">
        <f t="shared" si="610"/>
        <v>31</v>
      </c>
      <c r="AF16952" s="831" t="s">
        <v>10843</v>
      </c>
      <c r="AG16952" s="831" t="s">
        <v>2674</v>
      </c>
      <c r="AH16952" s="831" t="s">
        <v>581</v>
      </c>
      <c r="AI16952" s="831">
        <v>0</v>
      </c>
      <c r="AJ16952" s="835">
        <v>41364</v>
      </c>
      <c r="AK16952" s="831">
        <v>-2146826246</v>
      </c>
    </row>
    <row r="16953" spans="2:37">
      <c r="B16953" s="834" t="str">
        <f t="shared" si="609"/>
        <v>|||</v>
      </c>
      <c r="H16953" s="835">
        <f t="shared" si="610"/>
        <v>31</v>
      </c>
      <c r="AF16953" s="831" t="s">
        <v>10844</v>
      </c>
      <c r="AG16953" s="831" t="s">
        <v>2674</v>
      </c>
      <c r="AH16953" s="831" t="s">
        <v>105</v>
      </c>
      <c r="AI16953" s="831">
        <v>0</v>
      </c>
      <c r="AJ16953" s="835">
        <v>41364</v>
      </c>
      <c r="AK16953" s="831">
        <v>251718369</v>
      </c>
    </row>
    <row r="16954" spans="2:37">
      <c r="B16954" s="834" t="str">
        <f t="shared" si="609"/>
        <v>|||</v>
      </c>
      <c r="H16954" s="835">
        <f t="shared" si="610"/>
        <v>31</v>
      </c>
      <c r="AF16954" s="831" t="s">
        <v>10845</v>
      </c>
      <c r="AG16954" s="831" t="s">
        <v>2674</v>
      </c>
      <c r="AH16954" s="831" t="s">
        <v>3049</v>
      </c>
      <c r="AI16954" s="831">
        <v>0</v>
      </c>
      <c r="AJ16954" s="835">
        <v>41364</v>
      </c>
      <c r="AK16954" s="831">
        <v>433573874</v>
      </c>
    </row>
    <row r="16955" spans="2:37">
      <c r="B16955" s="834" t="str">
        <f t="shared" si="609"/>
        <v>|||</v>
      </c>
      <c r="H16955" s="835">
        <f t="shared" si="610"/>
        <v>31</v>
      </c>
      <c r="AF16955" s="831" t="s">
        <v>10846</v>
      </c>
      <c r="AG16955" s="831" t="s">
        <v>2674</v>
      </c>
      <c r="AH16955" s="831" t="s">
        <v>103</v>
      </c>
      <c r="AI16955" s="831">
        <v>0</v>
      </c>
      <c r="AJ16955" s="835">
        <v>41364</v>
      </c>
      <c r="AK16955" s="831">
        <v>181855505</v>
      </c>
    </row>
    <row r="16956" spans="2:37">
      <c r="B16956" s="834" t="str">
        <f t="shared" si="609"/>
        <v>|||</v>
      </c>
      <c r="H16956" s="835">
        <f t="shared" si="610"/>
        <v>31</v>
      </c>
      <c r="AF16956" s="831" t="s">
        <v>10847</v>
      </c>
      <c r="AG16956" s="831" t="s">
        <v>2674</v>
      </c>
      <c r="AH16956" s="831" t="s">
        <v>182</v>
      </c>
      <c r="AI16956" s="831">
        <v>0</v>
      </c>
      <c r="AJ16956" s="835">
        <v>41364</v>
      </c>
      <c r="AK16956" s="831">
        <v>54931936</v>
      </c>
    </row>
    <row r="16957" spans="2:37">
      <c r="B16957" s="834" t="str">
        <f t="shared" si="609"/>
        <v>|||</v>
      </c>
      <c r="H16957" s="835">
        <f t="shared" si="610"/>
        <v>31</v>
      </c>
      <c r="AF16957" s="831" t="s">
        <v>10848</v>
      </c>
      <c r="AG16957" s="831" t="s">
        <v>2674</v>
      </c>
      <c r="AH16957" s="831" t="s">
        <v>6600</v>
      </c>
      <c r="AI16957" s="831">
        <v>0</v>
      </c>
      <c r="AJ16957" s="835">
        <v>41364</v>
      </c>
      <c r="AK16957" s="831">
        <v>-2146826246</v>
      </c>
    </row>
    <row r="16958" spans="2:37">
      <c r="B16958" s="834" t="str">
        <f t="shared" si="609"/>
        <v>|||</v>
      </c>
      <c r="H16958" s="835">
        <f t="shared" si="610"/>
        <v>31</v>
      </c>
      <c r="AF16958" s="831" t="s">
        <v>10849</v>
      </c>
      <c r="AG16958" s="831" t="s">
        <v>2674</v>
      </c>
      <c r="AH16958" s="831" t="s">
        <v>6602</v>
      </c>
      <c r="AI16958" s="831">
        <v>0</v>
      </c>
      <c r="AJ16958" s="835">
        <v>41364</v>
      </c>
      <c r="AK16958" s="831">
        <v>6046166</v>
      </c>
    </row>
    <row r="16959" spans="2:37">
      <c r="B16959" s="834" t="str">
        <f t="shared" si="609"/>
        <v>|||</v>
      </c>
      <c r="H16959" s="835">
        <f t="shared" si="610"/>
        <v>31</v>
      </c>
      <c r="AF16959" s="831" t="s">
        <v>10850</v>
      </c>
      <c r="AG16959" s="831" t="s">
        <v>2674</v>
      </c>
      <c r="AH16959" s="831" t="s">
        <v>650</v>
      </c>
      <c r="AI16959" s="831">
        <v>0</v>
      </c>
      <c r="AJ16959" s="835">
        <v>41364</v>
      </c>
      <c r="AK16959" s="831">
        <v>165371914.36363637</v>
      </c>
    </row>
    <row r="16960" spans="2:37">
      <c r="B16960" s="834" t="str">
        <f t="shared" si="609"/>
        <v>|||</v>
      </c>
      <c r="H16960" s="835">
        <f t="shared" si="610"/>
        <v>31</v>
      </c>
      <c r="AF16960" s="831" t="s">
        <v>10851</v>
      </c>
      <c r="AG16960" s="831" t="s">
        <v>2674</v>
      </c>
      <c r="AH16960" s="831" t="s">
        <v>655</v>
      </c>
      <c r="AI16960" s="831">
        <v>0</v>
      </c>
      <c r="AJ16960" s="835">
        <v>41364</v>
      </c>
      <c r="AK16960" s="831">
        <v>1831184</v>
      </c>
    </row>
    <row r="16961" spans="2:37">
      <c r="B16961" s="834" t="str">
        <f t="shared" si="609"/>
        <v>|||</v>
      </c>
      <c r="H16961" s="835">
        <f t="shared" si="610"/>
        <v>31</v>
      </c>
      <c r="AF16961" s="831" t="s">
        <v>10852</v>
      </c>
      <c r="AG16961" s="831" t="s">
        <v>2674</v>
      </c>
      <c r="AH16961" s="831" t="s">
        <v>546</v>
      </c>
      <c r="AI16961" s="831">
        <v>0</v>
      </c>
      <c r="AJ16961" s="835">
        <v>41394</v>
      </c>
      <c r="AK16961" s="831">
        <v>479771222</v>
      </c>
    </row>
    <row r="16962" spans="2:37">
      <c r="B16962" s="834" t="str">
        <f t="shared" si="609"/>
        <v>|||</v>
      </c>
      <c r="H16962" s="835">
        <f t="shared" si="610"/>
        <v>31</v>
      </c>
      <c r="AF16962" s="831" t="s">
        <v>10853</v>
      </c>
      <c r="AG16962" s="831" t="s">
        <v>2674</v>
      </c>
      <c r="AH16962" s="831" t="s">
        <v>370</v>
      </c>
      <c r="AI16962" s="831">
        <v>0</v>
      </c>
      <c r="AJ16962" s="835">
        <v>41394</v>
      </c>
      <c r="AK16962" s="831">
        <v>566329383</v>
      </c>
    </row>
    <row r="16963" spans="2:37">
      <c r="B16963" s="834" t="str">
        <f t="shared" si="609"/>
        <v>|||</v>
      </c>
      <c r="H16963" s="835">
        <f t="shared" si="610"/>
        <v>31</v>
      </c>
      <c r="AF16963" s="831" t="s">
        <v>10854</v>
      </c>
      <c r="AG16963" s="831" t="s">
        <v>2674</v>
      </c>
      <c r="AH16963" s="831" t="s">
        <v>126</v>
      </c>
      <c r="AI16963" s="831">
        <v>0</v>
      </c>
      <c r="AJ16963" s="835">
        <v>41394</v>
      </c>
      <c r="AK16963" s="831">
        <v>103327866</v>
      </c>
    </row>
    <row r="16964" spans="2:37">
      <c r="B16964" s="834" t="str">
        <f t="shared" si="609"/>
        <v>|||</v>
      </c>
      <c r="H16964" s="835">
        <f t="shared" si="610"/>
        <v>31</v>
      </c>
      <c r="AF16964" s="831" t="s">
        <v>10855</v>
      </c>
      <c r="AG16964" s="831" t="s">
        <v>2674</v>
      </c>
      <c r="AH16964" s="831" t="s">
        <v>268</v>
      </c>
      <c r="AI16964" s="831">
        <v>0</v>
      </c>
      <c r="AJ16964" s="835">
        <v>41394</v>
      </c>
      <c r="AK16964" s="831">
        <v>8564643</v>
      </c>
    </row>
    <row r="16965" spans="2:37">
      <c r="B16965" s="834" t="str">
        <f t="shared" si="609"/>
        <v>|||</v>
      </c>
      <c r="H16965" s="835">
        <f t="shared" si="610"/>
        <v>31</v>
      </c>
      <c r="AF16965" s="831" t="s">
        <v>10856</v>
      </c>
      <c r="AG16965" s="831" t="s">
        <v>2674</v>
      </c>
      <c r="AH16965" s="831" t="s">
        <v>547</v>
      </c>
      <c r="AI16965" s="831">
        <v>0</v>
      </c>
      <c r="AJ16965" s="835">
        <v>41394</v>
      </c>
      <c r="AK16965" s="831">
        <v>511487760</v>
      </c>
    </row>
    <row r="16966" spans="2:37">
      <c r="B16966" s="834" t="str">
        <f t="shared" si="609"/>
        <v>|||</v>
      </c>
      <c r="H16966" s="835">
        <f t="shared" si="610"/>
        <v>31</v>
      </c>
      <c r="AF16966" s="831" t="s">
        <v>10857</v>
      </c>
      <c r="AG16966" s="831" t="s">
        <v>2674</v>
      </c>
      <c r="AH16966" s="831" t="s">
        <v>548</v>
      </c>
      <c r="AI16966" s="831">
        <v>0</v>
      </c>
      <c r="AJ16966" s="835">
        <v>41394</v>
      </c>
      <c r="AK16966" s="831">
        <v>96883184</v>
      </c>
    </row>
    <row r="16967" spans="2:37">
      <c r="B16967" s="834" t="str">
        <f t="shared" si="609"/>
        <v>|||</v>
      </c>
      <c r="H16967" s="835">
        <f t="shared" si="610"/>
        <v>31</v>
      </c>
      <c r="AF16967" s="831" t="s">
        <v>10858</v>
      </c>
      <c r="AG16967" s="831" t="s">
        <v>2674</v>
      </c>
      <c r="AH16967" s="831" t="s">
        <v>549</v>
      </c>
      <c r="AI16967" s="831">
        <v>0</v>
      </c>
      <c r="AJ16967" s="835">
        <v>41394</v>
      </c>
      <c r="AK16967" s="831">
        <v>0</v>
      </c>
    </row>
    <row r="16968" spans="2:37">
      <c r="B16968" s="834" t="str">
        <f t="shared" si="609"/>
        <v>|||</v>
      </c>
      <c r="H16968" s="835">
        <f t="shared" si="610"/>
        <v>31</v>
      </c>
      <c r="AF16968" s="831" t="s">
        <v>10859</v>
      </c>
      <c r="AG16968" s="831" t="s">
        <v>2674</v>
      </c>
      <c r="AH16968" s="831" t="s">
        <v>192</v>
      </c>
      <c r="AI16968" s="831">
        <v>0</v>
      </c>
      <c r="AJ16968" s="835">
        <v>41394</v>
      </c>
      <c r="AK16968" s="831">
        <v>-12137335</v>
      </c>
    </row>
    <row r="16969" spans="2:37">
      <c r="B16969" s="834" t="str">
        <f t="shared" si="609"/>
        <v>|||</v>
      </c>
      <c r="H16969" s="835">
        <f t="shared" si="610"/>
        <v>31</v>
      </c>
      <c r="AF16969" s="831" t="s">
        <v>10860</v>
      </c>
      <c r="AG16969" s="831" t="s">
        <v>2674</v>
      </c>
      <c r="AH16969" s="831" t="s">
        <v>558</v>
      </c>
      <c r="AI16969" s="831">
        <v>0</v>
      </c>
      <c r="AJ16969" s="835">
        <v>41394</v>
      </c>
      <c r="AK16969" s="831">
        <v>463001517</v>
      </c>
    </row>
    <row r="16970" spans="2:37">
      <c r="B16970" s="834" t="str">
        <f t="shared" si="609"/>
        <v>|||</v>
      </c>
      <c r="H16970" s="835">
        <f t="shared" si="610"/>
        <v>31</v>
      </c>
      <c r="AF16970" s="831" t="s">
        <v>10861</v>
      </c>
      <c r="AG16970" s="831" t="s">
        <v>2674</v>
      </c>
      <c r="AH16970" s="831" t="s">
        <v>65</v>
      </c>
      <c r="AI16970" s="831">
        <v>0</v>
      </c>
      <c r="AJ16970" s="835">
        <v>41394</v>
      </c>
      <c r="AK16970" s="831">
        <v>38829477</v>
      </c>
    </row>
    <row r="16971" spans="2:37">
      <c r="B16971" s="834" t="str">
        <f t="shared" si="609"/>
        <v>|||</v>
      </c>
      <c r="H16971" s="835">
        <f t="shared" si="610"/>
        <v>31</v>
      </c>
      <c r="AF16971" s="831" t="s">
        <v>10862</v>
      </c>
      <c r="AG16971" s="831" t="s">
        <v>2674</v>
      </c>
      <c r="AH16971" s="831" t="s">
        <v>89</v>
      </c>
      <c r="AI16971" s="831">
        <v>0</v>
      </c>
      <c r="AJ16971" s="835">
        <v>41394</v>
      </c>
      <c r="AK16971" s="831">
        <v>132126</v>
      </c>
    </row>
    <row r="16972" spans="2:37">
      <c r="B16972" s="834" t="str">
        <f t="shared" si="609"/>
        <v>|||</v>
      </c>
      <c r="H16972" s="835">
        <f t="shared" si="610"/>
        <v>31</v>
      </c>
      <c r="AF16972" s="831" t="s">
        <v>10863</v>
      </c>
      <c r="AG16972" s="831" t="s">
        <v>2674</v>
      </c>
      <c r="AH16972" s="831" t="s">
        <v>557</v>
      </c>
      <c r="AI16972" s="831">
        <v>0</v>
      </c>
      <c r="AJ16972" s="835">
        <v>41394</v>
      </c>
      <c r="AK16972" s="831">
        <v>135969</v>
      </c>
    </row>
    <row r="16973" spans="2:37">
      <c r="B16973" s="834" t="str">
        <f t="shared" si="609"/>
        <v>|||</v>
      </c>
      <c r="H16973" s="835">
        <f t="shared" si="610"/>
        <v>31</v>
      </c>
      <c r="AF16973" s="831" t="s">
        <v>10864</v>
      </c>
      <c r="AG16973" s="831" t="s">
        <v>2674</v>
      </c>
      <c r="AH16973" s="831" t="s">
        <v>29</v>
      </c>
      <c r="AI16973" s="831">
        <v>0</v>
      </c>
      <c r="AJ16973" s="835">
        <v>41394</v>
      </c>
      <c r="AK16973" s="831">
        <v>3183810</v>
      </c>
    </row>
    <row r="16974" spans="2:37">
      <c r="B16974" s="834" t="str">
        <f t="shared" si="609"/>
        <v>|||</v>
      </c>
      <c r="H16974" s="835">
        <f t="shared" si="610"/>
        <v>31</v>
      </c>
      <c r="AF16974" s="831" t="s">
        <v>10865</v>
      </c>
      <c r="AG16974" s="831" t="s">
        <v>2674</v>
      </c>
      <c r="AH16974" s="831" t="s">
        <v>2688</v>
      </c>
      <c r="AI16974" s="831">
        <v>0</v>
      </c>
      <c r="AJ16974" s="835">
        <v>41394</v>
      </c>
      <c r="AK16974" s="831">
        <v>2795249</v>
      </c>
    </row>
    <row r="16975" spans="2:37">
      <c r="B16975" s="834" t="str">
        <f t="shared" si="609"/>
        <v>|||</v>
      </c>
      <c r="H16975" s="835">
        <f t="shared" si="610"/>
        <v>31</v>
      </c>
      <c r="AF16975" s="831" t="s">
        <v>10866</v>
      </c>
      <c r="AG16975" s="831" t="s">
        <v>2674</v>
      </c>
      <c r="AH16975" s="831" t="s">
        <v>556</v>
      </c>
      <c r="AI16975" s="831">
        <v>0</v>
      </c>
      <c r="AJ16975" s="835">
        <v>41394</v>
      </c>
      <c r="AK16975" s="831">
        <v>902857</v>
      </c>
    </row>
    <row r="16976" spans="2:37">
      <c r="B16976" s="834" t="str">
        <f t="shared" si="609"/>
        <v>|||</v>
      </c>
      <c r="H16976" s="835">
        <f t="shared" si="610"/>
        <v>31</v>
      </c>
      <c r="AF16976" s="831" t="s">
        <v>10867</v>
      </c>
      <c r="AG16976" s="831" t="s">
        <v>2674</v>
      </c>
      <c r="AH16976" s="831" t="s">
        <v>555</v>
      </c>
      <c r="AI16976" s="831">
        <v>0</v>
      </c>
      <c r="AJ16976" s="835">
        <v>41394</v>
      </c>
      <c r="AK16976" s="831">
        <v>292199280</v>
      </c>
    </row>
    <row r="16977" spans="2:37">
      <c r="B16977" s="834" t="str">
        <f t="shared" ref="B16977:B17040" si="611">C16977&amp;"|"&amp;D16977&amp;"|"&amp;E16977&amp;"|"&amp;F16977</f>
        <v>|||</v>
      </c>
      <c r="H16977" s="835">
        <f t="shared" ref="H16977:H17040" si="612">EOMONTH(L16977,0)</f>
        <v>31</v>
      </c>
      <c r="AF16977" s="831" t="s">
        <v>10868</v>
      </c>
      <c r="AG16977" s="831" t="s">
        <v>2674</v>
      </c>
      <c r="AH16977" s="831" t="s">
        <v>554</v>
      </c>
      <c r="AI16977" s="831">
        <v>0</v>
      </c>
      <c r="AJ16977" s="835">
        <v>41394</v>
      </c>
      <c r="AK16977" s="831">
        <v>282835760</v>
      </c>
    </row>
    <row r="16978" spans="2:37">
      <c r="B16978" s="834" t="str">
        <f t="shared" si="611"/>
        <v>|||</v>
      </c>
      <c r="H16978" s="835">
        <f t="shared" si="612"/>
        <v>31</v>
      </c>
      <c r="AF16978" s="831" t="s">
        <v>10869</v>
      </c>
      <c r="AG16978" s="831" t="s">
        <v>2674</v>
      </c>
      <c r="AH16978" s="831" t="s">
        <v>553</v>
      </c>
      <c r="AI16978" s="831">
        <v>0</v>
      </c>
      <c r="AJ16978" s="835">
        <v>41394</v>
      </c>
      <c r="AK16978" s="831">
        <v>0</v>
      </c>
    </row>
    <row r="16979" spans="2:37">
      <c r="B16979" s="834" t="str">
        <f t="shared" si="611"/>
        <v>|||</v>
      </c>
      <c r="H16979" s="835">
        <f t="shared" si="612"/>
        <v>31</v>
      </c>
      <c r="AF16979" s="831" t="s">
        <v>10870</v>
      </c>
      <c r="AG16979" s="831" t="s">
        <v>2674</v>
      </c>
      <c r="AH16979" s="831" t="s">
        <v>552</v>
      </c>
      <c r="AI16979" s="831">
        <v>0</v>
      </c>
      <c r="AJ16979" s="835">
        <v>41394</v>
      </c>
      <c r="AK16979" s="831">
        <v>0</v>
      </c>
    </row>
    <row r="16980" spans="2:37">
      <c r="B16980" s="834" t="str">
        <f t="shared" si="611"/>
        <v>|||</v>
      </c>
      <c r="H16980" s="835">
        <f t="shared" si="612"/>
        <v>31</v>
      </c>
      <c r="AF16980" s="831" t="s">
        <v>10871</v>
      </c>
      <c r="AG16980" s="831" t="s">
        <v>2674</v>
      </c>
      <c r="AH16980" s="831" t="s">
        <v>551</v>
      </c>
      <c r="AI16980" s="831">
        <v>0</v>
      </c>
      <c r="AJ16980" s="835">
        <v>41394</v>
      </c>
      <c r="AK16980" s="831">
        <v>3073568</v>
      </c>
    </row>
    <row r="16981" spans="2:37">
      <c r="B16981" s="834" t="str">
        <f t="shared" si="611"/>
        <v>|||</v>
      </c>
      <c r="H16981" s="835">
        <f t="shared" si="612"/>
        <v>31</v>
      </c>
      <c r="AF16981" s="831" t="s">
        <v>10872</v>
      </c>
      <c r="AG16981" s="831" t="s">
        <v>2674</v>
      </c>
      <c r="AH16981" s="831" t="s">
        <v>550</v>
      </c>
      <c r="AI16981" s="831">
        <v>0</v>
      </c>
      <c r="AJ16981" s="835">
        <v>41394</v>
      </c>
      <c r="AK16981" s="831">
        <v>100809389</v>
      </c>
    </row>
    <row r="16982" spans="2:37">
      <c r="B16982" s="834" t="str">
        <f t="shared" si="611"/>
        <v>|||</v>
      </c>
      <c r="H16982" s="835">
        <f t="shared" si="612"/>
        <v>31</v>
      </c>
      <c r="AF16982" s="831" t="s">
        <v>10873</v>
      </c>
      <c r="AG16982" s="831" t="s">
        <v>2674</v>
      </c>
      <c r="AH16982" s="831" t="s">
        <v>562</v>
      </c>
      <c r="AI16982" s="831">
        <v>0</v>
      </c>
      <c r="AJ16982" s="835">
        <v>41394</v>
      </c>
      <c r="AK16982" s="831">
        <v>0.78405000000000002</v>
      </c>
    </row>
    <row r="16983" spans="2:37">
      <c r="B16983" s="834" t="str">
        <f t="shared" si="611"/>
        <v>|||</v>
      </c>
      <c r="H16983" s="835">
        <f t="shared" si="612"/>
        <v>31</v>
      </c>
      <c r="AF16983" s="831" t="s">
        <v>10874</v>
      </c>
      <c r="AG16983" s="831" t="s">
        <v>2674</v>
      </c>
      <c r="AH16983" s="831" t="s">
        <v>2698</v>
      </c>
      <c r="AI16983" s="831">
        <v>0</v>
      </c>
      <c r="AJ16983" s="835">
        <v>41394</v>
      </c>
      <c r="AK16983" s="831">
        <v>0.78425</v>
      </c>
    </row>
    <row r="16984" spans="2:37">
      <c r="B16984" s="834" t="str">
        <f t="shared" si="611"/>
        <v>|||</v>
      </c>
      <c r="H16984" s="835">
        <f t="shared" si="612"/>
        <v>31</v>
      </c>
      <c r="AF16984" s="831" t="s">
        <v>10875</v>
      </c>
      <c r="AG16984" s="831" t="s">
        <v>2674</v>
      </c>
      <c r="AH16984" s="831" t="s">
        <v>560</v>
      </c>
      <c r="AI16984" s="831">
        <v>0</v>
      </c>
      <c r="AJ16984" s="835">
        <v>41394</v>
      </c>
      <c r="AK16984" s="831">
        <v>0.78412500000000007</v>
      </c>
    </row>
    <row r="16985" spans="2:37">
      <c r="B16985" s="834" t="str">
        <f t="shared" si="611"/>
        <v>|||</v>
      </c>
      <c r="H16985" s="835">
        <f t="shared" si="612"/>
        <v>31</v>
      </c>
      <c r="AF16985" s="831" t="s">
        <v>10876</v>
      </c>
      <c r="AG16985" s="831" t="s">
        <v>2674</v>
      </c>
      <c r="AH16985" s="831" t="s">
        <v>559</v>
      </c>
      <c r="AI16985" s="831">
        <v>0</v>
      </c>
      <c r="AJ16985" s="835">
        <v>41394</v>
      </c>
      <c r="AK16985" s="831">
        <v>0.78444166666666681</v>
      </c>
    </row>
    <row r="16986" spans="2:37">
      <c r="B16986" s="834" t="str">
        <f t="shared" si="611"/>
        <v>|||</v>
      </c>
      <c r="H16986" s="835">
        <f t="shared" si="612"/>
        <v>31</v>
      </c>
      <c r="AF16986" s="831" t="s">
        <v>10877</v>
      </c>
      <c r="AG16986" s="831" t="s">
        <v>2674</v>
      </c>
      <c r="AH16986" s="831" t="s">
        <v>568</v>
      </c>
      <c r="AI16986" s="831">
        <v>0</v>
      </c>
      <c r="AJ16986" s="835">
        <v>41394</v>
      </c>
      <c r="AK16986" s="831">
        <v>394769770.66666669</v>
      </c>
    </row>
    <row r="16987" spans="2:37">
      <c r="B16987" s="834" t="str">
        <f t="shared" si="611"/>
        <v>|||</v>
      </c>
      <c r="H16987" s="835">
        <f t="shared" si="612"/>
        <v>31</v>
      </c>
      <c r="AF16987" s="831" t="s">
        <v>10878</v>
      </c>
      <c r="AG16987" s="831" t="s">
        <v>2674</v>
      </c>
      <c r="AH16987" s="831" t="s">
        <v>569</v>
      </c>
      <c r="AI16987" s="831">
        <v>0</v>
      </c>
      <c r="AJ16987" s="835">
        <v>41394</v>
      </c>
      <c r="AK16987" s="831">
        <v>480682736.41666669</v>
      </c>
    </row>
    <row r="16988" spans="2:37">
      <c r="B16988" s="834" t="str">
        <f t="shared" si="611"/>
        <v>|||</v>
      </c>
      <c r="H16988" s="835">
        <f t="shared" si="612"/>
        <v>31</v>
      </c>
      <c r="AF16988" s="831" t="s">
        <v>10879</v>
      </c>
      <c r="AG16988" s="831" t="s">
        <v>2674</v>
      </c>
      <c r="AH16988" s="831" t="s">
        <v>570</v>
      </c>
      <c r="AI16988" s="831">
        <v>0</v>
      </c>
      <c r="AJ16988" s="835">
        <v>41394</v>
      </c>
      <c r="AK16988" s="831">
        <v>97541596.583333328</v>
      </c>
    </row>
    <row r="16989" spans="2:37">
      <c r="B16989" s="834" t="str">
        <f t="shared" si="611"/>
        <v>|||</v>
      </c>
      <c r="H16989" s="835">
        <f t="shared" si="612"/>
        <v>31</v>
      </c>
      <c r="AF16989" s="831" t="s">
        <v>10880</v>
      </c>
      <c r="AG16989" s="831" t="s">
        <v>2674</v>
      </c>
      <c r="AH16989" s="831" t="s">
        <v>571</v>
      </c>
      <c r="AI16989" s="831">
        <v>0</v>
      </c>
      <c r="AJ16989" s="835">
        <v>41394</v>
      </c>
      <c r="AK16989" s="831">
        <v>202392383.16666666</v>
      </c>
    </row>
    <row r="16990" spans="2:37">
      <c r="B16990" s="834" t="str">
        <f t="shared" si="611"/>
        <v>|||</v>
      </c>
      <c r="H16990" s="835">
        <f t="shared" si="612"/>
        <v>31</v>
      </c>
      <c r="AF16990" s="831" t="s">
        <v>10881</v>
      </c>
      <c r="AG16990" s="831" t="s">
        <v>2674</v>
      </c>
      <c r="AH16990" s="831" t="s">
        <v>573</v>
      </c>
      <c r="AI16990" s="831">
        <v>0</v>
      </c>
      <c r="AJ16990" s="835">
        <v>41394</v>
      </c>
      <c r="AK16990" s="831">
        <v>532827178</v>
      </c>
    </row>
    <row r="16991" spans="2:37">
      <c r="B16991" s="834" t="str">
        <f t="shared" si="611"/>
        <v>|||</v>
      </c>
      <c r="H16991" s="835">
        <f t="shared" si="612"/>
        <v>31</v>
      </c>
      <c r="AF16991" s="831" t="s">
        <v>10882</v>
      </c>
      <c r="AG16991" s="831" t="s">
        <v>2674</v>
      </c>
      <c r="AH16991" s="831" t="s">
        <v>574</v>
      </c>
      <c r="AI16991" s="831">
        <v>0</v>
      </c>
      <c r="AJ16991" s="835">
        <v>41394</v>
      </c>
      <c r="AK16991" s="831">
        <v>441082974.60000002</v>
      </c>
    </row>
    <row r="16992" spans="2:37">
      <c r="B16992" s="834" t="str">
        <f t="shared" si="611"/>
        <v>|||</v>
      </c>
      <c r="H16992" s="835">
        <f t="shared" si="612"/>
        <v>31</v>
      </c>
      <c r="AF16992" s="831" t="s">
        <v>10883</v>
      </c>
      <c r="AG16992" s="831" t="s">
        <v>2674</v>
      </c>
      <c r="AH16992" s="831" t="s">
        <v>575</v>
      </c>
      <c r="AI16992" s="831">
        <v>0</v>
      </c>
      <c r="AJ16992" s="835">
        <v>41394</v>
      </c>
      <c r="AK16992" s="831">
        <v>100152884.2</v>
      </c>
    </row>
    <row r="16993" spans="2:37">
      <c r="B16993" s="834" t="str">
        <f t="shared" si="611"/>
        <v>|||</v>
      </c>
      <c r="H16993" s="835">
        <f t="shared" si="612"/>
        <v>31</v>
      </c>
      <c r="AF16993" s="831" t="s">
        <v>10884</v>
      </c>
      <c r="AG16993" s="831" t="s">
        <v>2674</v>
      </c>
      <c r="AH16993" s="831" t="s">
        <v>576</v>
      </c>
      <c r="AI16993" s="831">
        <v>0</v>
      </c>
      <c r="AJ16993" s="835">
        <v>41394</v>
      </c>
      <c r="AK16993" s="831">
        <v>241749896</v>
      </c>
    </row>
    <row r="16994" spans="2:37">
      <c r="B16994" s="834" t="str">
        <f t="shared" si="611"/>
        <v>|||</v>
      </c>
      <c r="H16994" s="835">
        <f t="shared" si="612"/>
        <v>31</v>
      </c>
      <c r="AF16994" s="831" t="s">
        <v>10885</v>
      </c>
      <c r="AG16994" s="831" t="s">
        <v>2674</v>
      </c>
      <c r="AH16994" s="831" t="s">
        <v>572</v>
      </c>
      <c r="AI16994" s="831">
        <v>0</v>
      </c>
      <c r="AJ16994" s="835">
        <v>41394</v>
      </c>
      <c r="AK16994" s="831">
        <v>24404594</v>
      </c>
    </row>
    <row r="16995" spans="2:37">
      <c r="B16995" s="834" t="str">
        <f t="shared" si="611"/>
        <v>|||</v>
      </c>
      <c r="H16995" s="835">
        <f t="shared" si="612"/>
        <v>31</v>
      </c>
      <c r="AF16995" s="831" t="s">
        <v>10886</v>
      </c>
      <c r="AG16995" s="831" t="s">
        <v>2674</v>
      </c>
      <c r="AH16995" s="831" t="s">
        <v>577</v>
      </c>
      <c r="AI16995" s="831">
        <v>0</v>
      </c>
      <c r="AJ16995" s="835">
        <v>41394</v>
      </c>
      <c r="AK16995" s="831">
        <v>137705857</v>
      </c>
    </row>
    <row r="16996" spans="2:37">
      <c r="B16996" s="834" t="str">
        <f t="shared" si="611"/>
        <v>|||</v>
      </c>
      <c r="H16996" s="835">
        <f t="shared" si="612"/>
        <v>31</v>
      </c>
      <c r="AF16996" s="831" t="s">
        <v>10887</v>
      </c>
      <c r="AG16996" s="831" t="s">
        <v>2674</v>
      </c>
      <c r="AH16996" s="831" t="s">
        <v>3042</v>
      </c>
      <c r="AI16996" s="831">
        <v>0</v>
      </c>
      <c r="AJ16996" s="835">
        <v>41394</v>
      </c>
      <c r="AK16996" s="831">
        <v>-34403926</v>
      </c>
    </row>
    <row r="16997" spans="2:37">
      <c r="B16997" s="834" t="str">
        <f t="shared" si="611"/>
        <v>|||</v>
      </c>
      <c r="H16997" s="835">
        <f t="shared" si="612"/>
        <v>31</v>
      </c>
      <c r="AF16997" s="831" t="s">
        <v>10888</v>
      </c>
      <c r="AG16997" s="831" t="s">
        <v>2674</v>
      </c>
      <c r="AH16997" s="831" t="s">
        <v>3044</v>
      </c>
      <c r="AI16997" s="831">
        <v>0</v>
      </c>
      <c r="AJ16997" s="835">
        <v>41394</v>
      </c>
      <c r="AK16997" s="831">
        <v>-4759976</v>
      </c>
    </row>
    <row r="16998" spans="2:37">
      <c r="B16998" s="834" t="str">
        <f t="shared" si="611"/>
        <v>|||</v>
      </c>
      <c r="H16998" s="835">
        <f t="shared" si="612"/>
        <v>31</v>
      </c>
      <c r="AF16998" s="831" t="s">
        <v>10889</v>
      </c>
      <c r="AG16998" s="831" t="s">
        <v>2674</v>
      </c>
      <c r="AH16998" s="831" t="s">
        <v>580</v>
      </c>
      <c r="AI16998" s="831">
        <v>0</v>
      </c>
      <c r="AJ16998" s="835">
        <v>41394</v>
      </c>
      <c r="AK16998" s="831">
        <v>-71824276</v>
      </c>
    </row>
    <row r="16999" spans="2:37">
      <c r="B16999" s="834" t="str">
        <f t="shared" si="611"/>
        <v>|||</v>
      </c>
      <c r="H16999" s="835">
        <f t="shared" si="612"/>
        <v>31</v>
      </c>
      <c r="AF16999" s="831" t="s">
        <v>10890</v>
      </c>
      <c r="AG16999" s="831" t="s">
        <v>2674</v>
      </c>
      <c r="AH16999" s="831" t="s">
        <v>581</v>
      </c>
      <c r="AI16999" s="831">
        <v>0</v>
      </c>
      <c r="AJ16999" s="835">
        <v>41394</v>
      </c>
      <c r="AK16999" s="831">
        <v>4094604</v>
      </c>
    </row>
    <row r="17000" spans="2:37">
      <c r="B17000" s="834" t="str">
        <f t="shared" si="611"/>
        <v>|||</v>
      </c>
      <c r="H17000" s="835">
        <f t="shared" si="612"/>
        <v>31</v>
      </c>
      <c r="AF17000" s="831" t="s">
        <v>10891</v>
      </c>
      <c r="AG17000" s="831" t="s">
        <v>2674</v>
      </c>
      <c r="AH17000" s="831" t="s">
        <v>105</v>
      </c>
      <c r="AI17000" s="831">
        <v>0</v>
      </c>
      <c r="AJ17000" s="835">
        <v>41394</v>
      </c>
      <c r="AK17000" s="831">
        <v>256750039</v>
      </c>
    </row>
    <row r="17001" spans="2:37">
      <c r="B17001" s="834" t="str">
        <f t="shared" si="611"/>
        <v>|||</v>
      </c>
      <c r="H17001" s="835">
        <f t="shared" si="612"/>
        <v>31</v>
      </c>
      <c r="AF17001" s="831" t="s">
        <v>10892</v>
      </c>
      <c r="AG17001" s="831" t="s">
        <v>2674</v>
      </c>
      <c r="AH17001" s="831" t="s">
        <v>3049</v>
      </c>
      <c r="AI17001" s="831">
        <v>0</v>
      </c>
      <c r="AJ17001" s="835">
        <v>41394</v>
      </c>
      <c r="AK17001" s="831">
        <v>448399148</v>
      </c>
    </row>
    <row r="17002" spans="2:37">
      <c r="B17002" s="834" t="str">
        <f t="shared" si="611"/>
        <v>|||</v>
      </c>
      <c r="H17002" s="835">
        <f t="shared" si="612"/>
        <v>31</v>
      </c>
      <c r="AF17002" s="831" t="s">
        <v>10893</v>
      </c>
      <c r="AG17002" s="831" t="s">
        <v>2674</v>
      </c>
      <c r="AH17002" s="831" t="s">
        <v>103</v>
      </c>
      <c r="AI17002" s="831">
        <v>0</v>
      </c>
      <c r="AJ17002" s="835">
        <v>41394</v>
      </c>
      <c r="AK17002" s="831">
        <v>191649109</v>
      </c>
    </row>
    <row r="17003" spans="2:37">
      <c r="B17003" s="834" t="str">
        <f t="shared" si="611"/>
        <v>|||</v>
      </c>
      <c r="H17003" s="835">
        <f t="shared" si="612"/>
        <v>31</v>
      </c>
      <c r="AF17003" s="831" t="s">
        <v>10894</v>
      </c>
      <c r="AG17003" s="831" t="s">
        <v>2674</v>
      </c>
      <c r="AH17003" s="831" t="s">
        <v>182</v>
      </c>
      <c r="AI17003" s="831">
        <v>0</v>
      </c>
      <c r="AJ17003" s="835">
        <v>41394</v>
      </c>
      <c r="AK17003" s="831">
        <v>55518615</v>
      </c>
    </row>
    <row r="17004" spans="2:37">
      <c r="B17004" s="834" t="str">
        <f t="shared" si="611"/>
        <v>|||</v>
      </c>
      <c r="H17004" s="835">
        <f t="shared" si="612"/>
        <v>31</v>
      </c>
      <c r="AF17004" s="831" t="s">
        <v>10895</v>
      </c>
      <c r="AG17004" s="831" t="s">
        <v>2674</v>
      </c>
      <c r="AH17004" s="831" t="s">
        <v>6600</v>
      </c>
      <c r="AI17004" s="831">
        <v>0</v>
      </c>
      <c r="AJ17004" s="835">
        <v>41394</v>
      </c>
      <c r="AK17004" s="831">
        <v>24404594</v>
      </c>
    </row>
    <row r="17005" spans="2:37">
      <c r="B17005" s="834" t="str">
        <f t="shared" si="611"/>
        <v>|||</v>
      </c>
      <c r="H17005" s="835">
        <f t="shared" si="612"/>
        <v>31</v>
      </c>
      <c r="AF17005" s="831" t="s">
        <v>10896</v>
      </c>
      <c r="AG17005" s="831" t="s">
        <v>2674</v>
      </c>
      <c r="AH17005" s="831" t="s">
        <v>6602</v>
      </c>
      <c r="AI17005" s="831">
        <v>0</v>
      </c>
      <c r="AJ17005" s="835">
        <v>41394</v>
      </c>
      <c r="AK17005" s="831">
        <v>8564643</v>
      </c>
    </row>
    <row r="17006" spans="2:37">
      <c r="B17006" s="834" t="str">
        <f t="shared" si="611"/>
        <v>|||</v>
      </c>
      <c r="H17006" s="835">
        <f t="shared" si="612"/>
        <v>31</v>
      </c>
      <c r="AF17006" s="831" t="s">
        <v>10897</v>
      </c>
      <c r="AG17006" s="831" t="s">
        <v>2674</v>
      </c>
      <c r="AH17006" s="831" t="s">
        <v>650</v>
      </c>
      <c r="AI17006" s="831">
        <v>0</v>
      </c>
      <c r="AJ17006" s="835">
        <v>41394</v>
      </c>
      <c r="AK17006" s="831">
        <v>167561680.58333334</v>
      </c>
    </row>
    <row r="17007" spans="2:37">
      <c r="B17007" s="834" t="str">
        <f t="shared" si="611"/>
        <v>|||</v>
      </c>
      <c r="H17007" s="835">
        <f t="shared" si="612"/>
        <v>31</v>
      </c>
      <c r="AF17007" s="831" t="s">
        <v>10898</v>
      </c>
      <c r="AG17007" s="831" t="s">
        <v>2674</v>
      </c>
      <c r="AH17007" s="831" t="s">
        <v>655</v>
      </c>
      <c r="AI17007" s="831">
        <v>0</v>
      </c>
      <c r="AJ17007" s="835">
        <v>41394</v>
      </c>
      <c r="AK17007" s="831">
        <v>2577725</v>
      </c>
    </row>
    <row r="17008" spans="2:37">
      <c r="B17008" s="834" t="str">
        <f t="shared" si="611"/>
        <v>|||</v>
      </c>
      <c r="H17008" s="835">
        <f t="shared" si="612"/>
        <v>31</v>
      </c>
      <c r="AF17008" s="831" t="s">
        <v>10899</v>
      </c>
      <c r="AG17008" s="831" t="s">
        <v>2674</v>
      </c>
      <c r="AH17008" s="831" t="s">
        <v>546</v>
      </c>
      <c r="AI17008" s="831">
        <v>0</v>
      </c>
      <c r="AJ17008" s="835">
        <v>41425</v>
      </c>
      <c r="AK17008" s="831">
        <v>505264542</v>
      </c>
    </row>
    <row r="17009" spans="2:37">
      <c r="B17009" s="834" t="str">
        <f t="shared" si="611"/>
        <v>|||</v>
      </c>
      <c r="H17009" s="835">
        <f t="shared" si="612"/>
        <v>31</v>
      </c>
      <c r="AF17009" s="831" t="s">
        <v>10900</v>
      </c>
      <c r="AG17009" s="831" t="s">
        <v>2674</v>
      </c>
      <c r="AH17009" s="831" t="s">
        <v>370</v>
      </c>
      <c r="AI17009" s="831">
        <v>0</v>
      </c>
      <c r="AJ17009" s="835">
        <v>41425</v>
      </c>
      <c r="AK17009" s="831">
        <v>595292976</v>
      </c>
    </row>
    <row r="17010" spans="2:37">
      <c r="B17010" s="834" t="str">
        <f t="shared" si="611"/>
        <v>|||</v>
      </c>
      <c r="H17010" s="835">
        <f t="shared" si="612"/>
        <v>31</v>
      </c>
      <c r="AF17010" s="831" t="s">
        <v>10901</v>
      </c>
      <c r="AG17010" s="831" t="s">
        <v>2674</v>
      </c>
      <c r="AH17010" s="831" t="s">
        <v>126</v>
      </c>
      <c r="AI17010" s="831">
        <v>0</v>
      </c>
      <c r="AJ17010" s="835">
        <v>41425</v>
      </c>
      <c r="AK17010" s="831">
        <v>105651356</v>
      </c>
    </row>
    <row r="17011" spans="2:37">
      <c r="B17011" s="834" t="str">
        <f t="shared" si="611"/>
        <v>|||</v>
      </c>
      <c r="H17011" s="835">
        <f t="shared" si="612"/>
        <v>31</v>
      </c>
      <c r="AF17011" s="831" t="s">
        <v>10902</v>
      </c>
      <c r="AG17011" s="831" t="s">
        <v>2674</v>
      </c>
      <c r="AH17011" s="831" t="s">
        <v>268</v>
      </c>
      <c r="AI17011" s="831">
        <v>0</v>
      </c>
      <c r="AJ17011" s="835">
        <v>41425</v>
      </c>
      <c r="AK17011" s="831">
        <v>10888133</v>
      </c>
    </row>
    <row r="17012" spans="2:37">
      <c r="B17012" s="834" t="str">
        <f t="shared" si="611"/>
        <v>|||</v>
      </c>
      <c r="H17012" s="835">
        <f t="shared" si="612"/>
        <v>31</v>
      </c>
      <c r="AF17012" s="831" t="s">
        <v>10903</v>
      </c>
      <c r="AG17012" s="831" t="s">
        <v>2674</v>
      </c>
      <c r="AH17012" s="831" t="s">
        <v>547</v>
      </c>
      <c r="AI17012" s="831">
        <v>0</v>
      </c>
      <c r="AJ17012" s="835">
        <v>41425</v>
      </c>
      <c r="AK17012" s="831">
        <v>511487760</v>
      </c>
    </row>
    <row r="17013" spans="2:37">
      <c r="B17013" s="834" t="str">
        <f t="shared" si="611"/>
        <v>|||</v>
      </c>
      <c r="H17013" s="835">
        <f t="shared" si="612"/>
        <v>31</v>
      </c>
      <c r="AF17013" s="831" t="s">
        <v>10904</v>
      </c>
      <c r="AG17013" s="831" t="s">
        <v>2674</v>
      </c>
      <c r="AH17013" s="831" t="s">
        <v>548</v>
      </c>
      <c r="AI17013" s="831">
        <v>0</v>
      </c>
      <c r="AJ17013" s="835">
        <v>41425</v>
      </c>
      <c r="AK17013" s="831">
        <v>96883184</v>
      </c>
    </row>
    <row r="17014" spans="2:37">
      <c r="B17014" s="834" t="str">
        <f t="shared" si="611"/>
        <v>|||</v>
      </c>
      <c r="H17014" s="835">
        <f t="shared" si="612"/>
        <v>31</v>
      </c>
      <c r="AF17014" s="831" t="s">
        <v>10905</v>
      </c>
      <c r="AG17014" s="831" t="s">
        <v>2674</v>
      </c>
      <c r="AH17014" s="831" t="s">
        <v>549</v>
      </c>
      <c r="AI17014" s="831">
        <v>0</v>
      </c>
      <c r="AJ17014" s="835">
        <v>41425</v>
      </c>
      <c r="AK17014" s="831">
        <v>339221349</v>
      </c>
    </row>
    <row r="17015" spans="2:37">
      <c r="B17015" s="834" t="str">
        <f t="shared" si="611"/>
        <v>|||</v>
      </c>
      <c r="H17015" s="835">
        <f t="shared" si="612"/>
        <v>31</v>
      </c>
      <c r="AF17015" s="831" t="s">
        <v>10906</v>
      </c>
      <c r="AG17015" s="831" t="s">
        <v>2674</v>
      </c>
      <c r="AH17015" s="831" t="s">
        <v>192</v>
      </c>
      <c r="AI17015" s="831">
        <v>0</v>
      </c>
      <c r="AJ17015" s="835">
        <v>41425</v>
      </c>
      <c r="AK17015" s="831">
        <v>-12896676</v>
      </c>
    </row>
    <row r="17016" spans="2:37">
      <c r="B17016" s="834" t="str">
        <f t="shared" si="611"/>
        <v>|||</v>
      </c>
      <c r="H17016" s="835">
        <f t="shared" si="612"/>
        <v>31</v>
      </c>
      <c r="AF17016" s="831" t="s">
        <v>10907</v>
      </c>
      <c r="AG17016" s="831" t="s">
        <v>2674</v>
      </c>
      <c r="AH17016" s="831" t="s">
        <v>558</v>
      </c>
      <c r="AI17016" s="831">
        <v>0</v>
      </c>
      <c r="AJ17016" s="835">
        <v>41425</v>
      </c>
      <c r="AK17016" s="831">
        <v>489641620</v>
      </c>
    </row>
    <row r="17017" spans="2:37">
      <c r="B17017" s="834" t="str">
        <f t="shared" si="611"/>
        <v>|||</v>
      </c>
      <c r="H17017" s="835">
        <f t="shared" si="612"/>
        <v>31</v>
      </c>
      <c r="AF17017" s="831" t="s">
        <v>10908</v>
      </c>
      <c r="AG17017" s="831" t="s">
        <v>2674</v>
      </c>
      <c r="AH17017" s="831" t="s">
        <v>65</v>
      </c>
      <c r="AI17017" s="831">
        <v>0</v>
      </c>
      <c r="AJ17017" s="835">
        <v>41425</v>
      </c>
      <c r="AK17017" s="831">
        <v>49637231</v>
      </c>
    </row>
    <row r="17018" spans="2:37">
      <c r="B17018" s="834" t="str">
        <f t="shared" si="611"/>
        <v>|||</v>
      </c>
      <c r="H17018" s="835">
        <f t="shared" si="612"/>
        <v>31</v>
      </c>
      <c r="AF17018" s="831" t="s">
        <v>10909</v>
      </c>
      <c r="AG17018" s="831" t="s">
        <v>2674</v>
      </c>
      <c r="AH17018" s="831" t="s">
        <v>89</v>
      </c>
      <c r="AI17018" s="831">
        <v>0</v>
      </c>
      <c r="AJ17018" s="835">
        <v>41425</v>
      </c>
      <c r="AK17018" s="831">
        <v>135204</v>
      </c>
    </row>
    <row r="17019" spans="2:37">
      <c r="B17019" s="834" t="str">
        <f t="shared" si="611"/>
        <v>|||</v>
      </c>
      <c r="H17019" s="835">
        <f t="shared" si="612"/>
        <v>31</v>
      </c>
      <c r="AF17019" s="831" t="s">
        <v>10910</v>
      </c>
      <c r="AG17019" s="831" t="s">
        <v>2674</v>
      </c>
      <c r="AH17019" s="831" t="s">
        <v>557</v>
      </c>
      <c r="AI17019" s="831">
        <v>0</v>
      </c>
      <c r="AJ17019" s="835">
        <v>41425</v>
      </c>
      <c r="AK17019" s="831">
        <v>139930</v>
      </c>
    </row>
    <row r="17020" spans="2:37">
      <c r="B17020" s="834" t="str">
        <f t="shared" si="611"/>
        <v>|||</v>
      </c>
      <c r="H17020" s="835">
        <f t="shared" si="612"/>
        <v>31</v>
      </c>
      <c r="AF17020" s="831" t="s">
        <v>10911</v>
      </c>
      <c r="AG17020" s="831" t="s">
        <v>2674</v>
      </c>
      <c r="AH17020" s="831" t="s">
        <v>29</v>
      </c>
      <c r="AI17020" s="831">
        <v>0</v>
      </c>
      <c r="AJ17020" s="835">
        <v>41425</v>
      </c>
      <c r="AK17020" s="831">
        <v>2486253</v>
      </c>
    </row>
    <row r="17021" spans="2:37">
      <c r="B17021" s="834" t="str">
        <f t="shared" si="611"/>
        <v>|||</v>
      </c>
      <c r="H17021" s="835">
        <f t="shared" si="612"/>
        <v>31</v>
      </c>
      <c r="AF17021" s="831" t="s">
        <v>10912</v>
      </c>
      <c r="AG17021" s="831" t="s">
        <v>2674</v>
      </c>
      <c r="AH17021" s="831" t="s">
        <v>2688</v>
      </c>
      <c r="AI17021" s="831">
        <v>0</v>
      </c>
      <c r="AJ17021" s="835">
        <v>41425</v>
      </c>
      <c r="AK17021" s="831">
        <v>2733940</v>
      </c>
    </row>
    <row r="17022" spans="2:37">
      <c r="B17022" s="834" t="str">
        <f t="shared" si="611"/>
        <v>|||</v>
      </c>
      <c r="H17022" s="835">
        <f t="shared" si="612"/>
        <v>31</v>
      </c>
      <c r="AF17022" s="831" t="s">
        <v>10913</v>
      </c>
      <c r="AG17022" s="831" t="s">
        <v>2674</v>
      </c>
      <c r="AH17022" s="831" t="s">
        <v>556</v>
      </c>
      <c r="AI17022" s="831">
        <v>0</v>
      </c>
      <c r="AJ17022" s="835">
        <v>41425</v>
      </c>
      <c r="AK17022" s="831">
        <v>902857</v>
      </c>
    </row>
    <row r="17023" spans="2:37">
      <c r="B17023" s="834" t="str">
        <f t="shared" si="611"/>
        <v>|||</v>
      </c>
      <c r="H17023" s="835">
        <f t="shared" si="612"/>
        <v>31</v>
      </c>
      <c r="AF17023" s="831" t="s">
        <v>10914</v>
      </c>
      <c r="AG17023" s="831" t="s">
        <v>2674</v>
      </c>
      <c r="AH17023" s="831" t="s">
        <v>555</v>
      </c>
      <c r="AI17023" s="831">
        <v>0</v>
      </c>
      <c r="AJ17023" s="835">
        <v>41425</v>
      </c>
      <c r="AK17023" s="831">
        <v>310274630</v>
      </c>
    </row>
    <row r="17024" spans="2:37">
      <c r="B17024" s="834" t="str">
        <f t="shared" si="611"/>
        <v>|||</v>
      </c>
      <c r="H17024" s="835">
        <f t="shared" si="612"/>
        <v>31</v>
      </c>
      <c r="AF17024" s="831" t="s">
        <v>10915</v>
      </c>
      <c r="AG17024" s="831" t="s">
        <v>2674</v>
      </c>
      <c r="AH17024" s="831" t="s">
        <v>554</v>
      </c>
      <c r="AI17024" s="831">
        <v>0</v>
      </c>
      <c r="AJ17024" s="835">
        <v>41425</v>
      </c>
      <c r="AK17024" s="831">
        <v>296232200</v>
      </c>
    </row>
    <row r="17025" spans="2:37">
      <c r="B17025" s="834" t="str">
        <f t="shared" si="611"/>
        <v>|||</v>
      </c>
      <c r="H17025" s="835">
        <f t="shared" si="612"/>
        <v>31</v>
      </c>
      <c r="AF17025" s="831" t="s">
        <v>10916</v>
      </c>
      <c r="AG17025" s="831" t="s">
        <v>2674</v>
      </c>
      <c r="AH17025" s="831" t="s">
        <v>553</v>
      </c>
      <c r="AI17025" s="831">
        <v>0</v>
      </c>
      <c r="AJ17025" s="835">
        <v>41425</v>
      </c>
      <c r="AK17025" s="831">
        <v>0</v>
      </c>
    </row>
    <row r="17026" spans="2:37">
      <c r="B17026" s="834" t="str">
        <f t="shared" si="611"/>
        <v>|||</v>
      </c>
      <c r="H17026" s="835">
        <f t="shared" si="612"/>
        <v>31</v>
      </c>
      <c r="AF17026" s="831" t="s">
        <v>10917</v>
      </c>
      <c r="AG17026" s="831" t="s">
        <v>2674</v>
      </c>
      <c r="AH17026" s="831" t="s">
        <v>552</v>
      </c>
      <c r="AI17026" s="831">
        <v>0</v>
      </c>
      <c r="AJ17026" s="835">
        <v>41425</v>
      </c>
      <c r="AK17026" s="831">
        <v>0</v>
      </c>
    </row>
    <row r="17027" spans="2:37">
      <c r="B17027" s="834" t="str">
        <f t="shared" si="611"/>
        <v>|||</v>
      </c>
      <c r="H17027" s="835">
        <f t="shared" si="612"/>
        <v>31</v>
      </c>
      <c r="AF17027" s="831" t="s">
        <v>10918</v>
      </c>
      <c r="AG17027" s="831" t="s">
        <v>2674</v>
      </c>
      <c r="AH17027" s="831" t="s">
        <v>551</v>
      </c>
      <c r="AI17027" s="831">
        <v>0</v>
      </c>
      <c r="AJ17027" s="835">
        <v>41425</v>
      </c>
      <c r="AK17027" s="831">
        <v>2323653</v>
      </c>
    </row>
    <row r="17028" spans="2:37">
      <c r="B17028" s="834" t="str">
        <f t="shared" si="611"/>
        <v>|||</v>
      </c>
      <c r="H17028" s="835">
        <f t="shared" si="612"/>
        <v>31</v>
      </c>
      <c r="AF17028" s="831" t="s">
        <v>10919</v>
      </c>
      <c r="AG17028" s="831" t="s">
        <v>2674</v>
      </c>
      <c r="AH17028" s="831" t="s">
        <v>550</v>
      </c>
      <c r="AI17028" s="831">
        <v>0</v>
      </c>
      <c r="AJ17028" s="835">
        <v>41425</v>
      </c>
      <c r="AK17028" s="831">
        <v>103327866</v>
      </c>
    </row>
    <row r="17029" spans="2:37">
      <c r="B17029" s="834" t="str">
        <f t="shared" si="611"/>
        <v>|||</v>
      </c>
      <c r="H17029" s="835">
        <f t="shared" si="612"/>
        <v>31</v>
      </c>
      <c r="AF17029" s="831" t="s">
        <v>10920</v>
      </c>
      <c r="AG17029" s="831" t="s">
        <v>2674</v>
      </c>
      <c r="AH17029" s="831" t="s">
        <v>562</v>
      </c>
      <c r="AI17029" s="831">
        <v>0</v>
      </c>
      <c r="AJ17029" s="835">
        <v>41425</v>
      </c>
      <c r="AK17029" s="831">
        <v>0.78405000000000002</v>
      </c>
    </row>
    <row r="17030" spans="2:37">
      <c r="B17030" s="834" t="str">
        <f t="shared" si="611"/>
        <v>|||</v>
      </c>
      <c r="H17030" s="835">
        <f t="shared" si="612"/>
        <v>31</v>
      </c>
      <c r="AF17030" s="831" t="s">
        <v>10921</v>
      </c>
      <c r="AG17030" s="831" t="s">
        <v>2674</v>
      </c>
      <c r="AH17030" s="831" t="s">
        <v>2698</v>
      </c>
      <c r="AI17030" s="831">
        <v>0</v>
      </c>
      <c r="AJ17030" s="835">
        <v>41425</v>
      </c>
      <c r="AK17030" s="831">
        <v>0.78405000000000002</v>
      </c>
    </row>
    <row r="17031" spans="2:37">
      <c r="B17031" s="834" t="str">
        <f t="shared" si="611"/>
        <v>|||</v>
      </c>
      <c r="H17031" s="835">
        <f t="shared" si="612"/>
        <v>31</v>
      </c>
      <c r="AF17031" s="831" t="s">
        <v>10922</v>
      </c>
      <c r="AG17031" s="831" t="s">
        <v>2674</v>
      </c>
      <c r="AH17031" s="831" t="s">
        <v>560</v>
      </c>
      <c r="AI17031" s="831">
        <v>0</v>
      </c>
      <c r="AJ17031" s="835">
        <v>41425</v>
      </c>
      <c r="AK17031" s="831">
        <v>0.78410999999999997</v>
      </c>
    </row>
    <row r="17032" spans="2:37">
      <c r="B17032" s="834" t="str">
        <f t="shared" si="611"/>
        <v>|||</v>
      </c>
      <c r="H17032" s="835">
        <f t="shared" si="612"/>
        <v>31</v>
      </c>
      <c r="AF17032" s="831" t="s">
        <v>10923</v>
      </c>
      <c r="AG17032" s="831" t="s">
        <v>2674</v>
      </c>
      <c r="AH17032" s="831" t="s">
        <v>559</v>
      </c>
      <c r="AI17032" s="831">
        <v>0</v>
      </c>
      <c r="AJ17032" s="835">
        <v>41425</v>
      </c>
      <c r="AK17032" s="831">
        <v>0.78434999999999999</v>
      </c>
    </row>
    <row r="17033" spans="2:37">
      <c r="B17033" s="834" t="str">
        <f t="shared" si="611"/>
        <v>|||</v>
      </c>
      <c r="H17033" s="835">
        <f t="shared" si="612"/>
        <v>31</v>
      </c>
      <c r="AF17033" s="831" t="s">
        <v>10924</v>
      </c>
      <c r="AG17033" s="831" t="s">
        <v>2674</v>
      </c>
      <c r="AH17033" s="831" t="s">
        <v>568</v>
      </c>
      <c r="AI17033" s="831">
        <v>0</v>
      </c>
      <c r="AJ17033" s="835">
        <v>41425</v>
      </c>
      <c r="AK17033" s="831">
        <v>403269368.46153843</v>
      </c>
    </row>
    <row r="17034" spans="2:37">
      <c r="B17034" s="834" t="str">
        <f t="shared" si="611"/>
        <v>|||</v>
      </c>
      <c r="H17034" s="835">
        <f t="shared" si="612"/>
        <v>31</v>
      </c>
      <c r="AF17034" s="831" t="s">
        <v>10925</v>
      </c>
      <c r="AG17034" s="831" t="s">
        <v>2674</v>
      </c>
      <c r="AH17034" s="831" t="s">
        <v>569</v>
      </c>
      <c r="AI17034" s="831">
        <v>0</v>
      </c>
      <c r="AJ17034" s="835">
        <v>41425</v>
      </c>
      <c r="AK17034" s="831">
        <v>489498908.69230771</v>
      </c>
    </row>
    <row r="17035" spans="2:37">
      <c r="B17035" s="834" t="str">
        <f t="shared" si="611"/>
        <v>|||</v>
      </c>
      <c r="H17035" s="835">
        <f t="shared" si="612"/>
        <v>31</v>
      </c>
      <c r="AF17035" s="831" t="s">
        <v>10926</v>
      </c>
      <c r="AG17035" s="831" t="s">
        <v>2674</v>
      </c>
      <c r="AH17035" s="831" t="s">
        <v>570</v>
      </c>
      <c r="AI17035" s="831">
        <v>0</v>
      </c>
      <c r="AJ17035" s="835">
        <v>41425</v>
      </c>
      <c r="AK17035" s="831">
        <v>98165424.230769232</v>
      </c>
    </row>
    <row r="17036" spans="2:37">
      <c r="B17036" s="834" t="str">
        <f t="shared" si="611"/>
        <v>|||</v>
      </c>
      <c r="H17036" s="835">
        <f t="shared" si="612"/>
        <v>31</v>
      </c>
      <c r="AF17036" s="831" t="s">
        <v>10927</v>
      </c>
      <c r="AG17036" s="831" t="s">
        <v>2674</v>
      </c>
      <c r="AH17036" s="831" t="s">
        <v>571</v>
      </c>
      <c r="AI17036" s="831">
        <v>0</v>
      </c>
      <c r="AJ17036" s="835">
        <v>41425</v>
      </c>
      <c r="AK17036" s="831">
        <v>207953338.07692307</v>
      </c>
    </row>
    <row r="17037" spans="2:37">
      <c r="B17037" s="834" t="str">
        <f t="shared" si="611"/>
        <v>|||</v>
      </c>
      <c r="H17037" s="835">
        <f t="shared" si="612"/>
        <v>31</v>
      </c>
      <c r="AF17037" s="831" t="s">
        <v>10928</v>
      </c>
      <c r="AG17037" s="831" t="s">
        <v>2674</v>
      </c>
      <c r="AH17037" s="831" t="s">
        <v>573</v>
      </c>
      <c r="AI17037" s="831">
        <v>0</v>
      </c>
      <c r="AJ17037" s="835">
        <v>41425</v>
      </c>
      <c r="AK17037" s="831">
        <v>543238144.33333337</v>
      </c>
    </row>
    <row r="17038" spans="2:37">
      <c r="B17038" s="834" t="str">
        <f t="shared" si="611"/>
        <v>|||</v>
      </c>
      <c r="H17038" s="835">
        <f t="shared" si="612"/>
        <v>31</v>
      </c>
      <c r="AF17038" s="831" t="s">
        <v>10929</v>
      </c>
      <c r="AG17038" s="831" t="s">
        <v>2674</v>
      </c>
      <c r="AH17038" s="831" t="s">
        <v>574</v>
      </c>
      <c r="AI17038" s="831">
        <v>0</v>
      </c>
      <c r="AJ17038" s="835">
        <v>41425</v>
      </c>
      <c r="AK17038" s="831">
        <v>451779902.5</v>
      </c>
    </row>
    <row r="17039" spans="2:37">
      <c r="B17039" s="834" t="str">
        <f t="shared" si="611"/>
        <v>|||</v>
      </c>
      <c r="H17039" s="835">
        <f t="shared" si="612"/>
        <v>31</v>
      </c>
      <c r="AF17039" s="831" t="s">
        <v>10930</v>
      </c>
      <c r="AG17039" s="831" t="s">
        <v>2674</v>
      </c>
      <c r="AH17039" s="831" t="s">
        <v>575</v>
      </c>
      <c r="AI17039" s="831">
        <v>0</v>
      </c>
      <c r="AJ17039" s="835">
        <v>41425</v>
      </c>
      <c r="AK17039" s="831">
        <v>101069296.16666667</v>
      </c>
    </row>
    <row r="17040" spans="2:37">
      <c r="B17040" s="834" t="str">
        <f t="shared" si="611"/>
        <v>|||</v>
      </c>
      <c r="H17040" s="835">
        <f t="shared" si="612"/>
        <v>31</v>
      </c>
      <c r="AF17040" s="831" t="s">
        <v>10931</v>
      </c>
      <c r="AG17040" s="831" t="s">
        <v>2674</v>
      </c>
      <c r="AH17040" s="831" t="s">
        <v>576</v>
      </c>
      <c r="AI17040" s="831">
        <v>0</v>
      </c>
      <c r="AJ17040" s="835">
        <v>41425</v>
      </c>
      <c r="AK17040" s="831">
        <v>247239046.16666666</v>
      </c>
    </row>
    <row r="17041" spans="2:37">
      <c r="B17041" s="834" t="str">
        <f t="shared" ref="B17041:B17104" si="613">C17041&amp;"|"&amp;D17041&amp;"|"&amp;E17041&amp;"|"&amp;F17041</f>
        <v>|||</v>
      </c>
      <c r="H17041" s="835">
        <f t="shared" ref="H17041:H17104" si="614">EOMONTH(L17041,0)</f>
        <v>31</v>
      </c>
      <c r="AF17041" s="831" t="s">
        <v>10932</v>
      </c>
      <c r="AG17041" s="831" t="s">
        <v>2674</v>
      </c>
      <c r="AH17041" s="831" t="s">
        <v>572</v>
      </c>
      <c r="AI17041" s="831">
        <v>0</v>
      </c>
      <c r="AJ17041" s="835">
        <v>41425</v>
      </c>
      <c r="AK17041" s="831">
        <v>21530747</v>
      </c>
    </row>
    <row r="17042" spans="2:37">
      <c r="B17042" s="834" t="str">
        <f t="shared" si="613"/>
        <v>|||</v>
      </c>
      <c r="H17042" s="835">
        <f t="shared" si="614"/>
        <v>31</v>
      </c>
      <c r="AF17042" s="831" t="s">
        <v>10933</v>
      </c>
      <c r="AG17042" s="831" t="s">
        <v>2674</v>
      </c>
      <c r="AH17042" s="831" t="s">
        <v>577</v>
      </c>
      <c r="AI17042" s="831">
        <v>0</v>
      </c>
      <c r="AJ17042" s="835">
        <v>41425</v>
      </c>
      <c r="AK17042" s="831">
        <v>110403012</v>
      </c>
    </row>
    <row r="17043" spans="2:37">
      <c r="B17043" s="834" t="str">
        <f t="shared" si="613"/>
        <v>|||</v>
      </c>
      <c r="H17043" s="835">
        <f t="shared" si="614"/>
        <v>31</v>
      </c>
      <c r="AF17043" s="831" t="s">
        <v>10934</v>
      </c>
      <c r="AG17043" s="831" t="s">
        <v>2674</v>
      </c>
      <c r="AH17043" s="831" t="s">
        <v>3042</v>
      </c>
      <c r="AI17043" s="831">
        <v>0</v>
      </c>
      <c r="AJ17043" s="835">
        <v>41425</v>
      </c>
      <c r="AK17043" s="831">
        <v>-27020607</v>
      </c>
    </row>
    <row r="17044" spans="2:37">
      <c r="B17044" s="834" t="str">
        <f t="shared" si="613"/>
        <v>|||</v>
      </c>
      <c r="H17044" s="835">
        <f t="shared" si="614"/>
        <v>31</v>
      </c>
      <c r="AF17044" s="831" t="s">
        <v>10935</v>
      </c>
      <c r="AG17044" s="831" t="s">
        <v>2674</v>
      </c>
      <c r="AH17044" s="831" t="s">
        <v>3044</v>
      </c>
      <c r="AI17044" s="831">
        <v>0</v>
      </c>
      <c r="AJ17044" s="835">
        <v>41425</v>
      </c>
      <c r="AK17044" s="831">
        <v>-4070350</v>
      </c>
    </row>
    <row r="17045" spans="2:37">
      <c r="B17045" s="834" t="str">
        <f t="shared" si="613"/>
        <v>|||</v>
      </c>
      <c r="H17045" s="835">
        <f t="shared" si="614"/>
        <v>31</v>
      </c>
      <c r="AF17045" s="831" t="s">
        <v>10936</v>
      </c>
      <c r="AG17045" s="831" t="s">
        <v>2674</v>
      </c>
      <c r="AH17045" s="831" t="s">
        <v>580</v>
      </c>
      <c r="AI17045" s="831">
        <v>0</v>
      </c>
      <c r="AJ17045" s="835">
        <v>41425</v>
      </c>
      <c r="AK17045" s="831">
        <v>-55847177</v>
      </c>
    </row>
    <row r="17046" spans="2:37">
      <c r="B17046" s="834" t="str">
        <f t="shared" si="613"/>
        <v>|||</v>
      </c>
      <c r="H17046" s="835">
        <f t="shared" si="614"/>
        <v>31</v>
      </c>
      <c r="AF17046" s="831" t="s">
        <v>10937</v>
      </c>
      <c r="AG17046" s="831" t="s">
        <v>2674</v>
      </c>
      <c r="AH17046" s="831" t="s">
        <v>581</v>
      </c>
      <c r="AI17046" s="831">
        <v>0</v>
      </c>
      <c r="AJ17046" s="835">
        <v>41425</v>
      </c>
      <c r="AK17046" s="831">
        <v>3833349</v>
      </c>
    </row>
    <row r="17047" spans="2:37">
      <c r="B17047" s="834" t="str">
        <f t="shared" si="613"/>
        <v>|||</v>
      </c>
      <c r="H17047" s="835">
        <f t="shared" si="614"/>
        <v>31</v>
      </c>
      <c r="AF17047" s="831" t="s">
        <v>10938</v>
      </c>
      <c r="AG17047" s="831" t="s">
        <v>2674</v>
      </c>
      <c r="AH17047" s="831" t="s">
        <v>105</v>
      </c>
      <c r="AI17047" s="831">
        <v>0</v>
      </c>
      <c r="AJ17047" s="835">
        <v>41425</v>
      </c>
      <c r="AK17047" s="831">
        <v>274684797</v>
      </c>
    </row>
    <row r="17048" spans="2:37">
      <c r="B17048" s="834" t="str">
        <f t="shared" si="613"/>
        <v>|||</v>
      </c>
      <c r="H17048" s="835">
        <f t="shared" si="614"/>
        <v>31</v>
      </c>
      <c r="AF17048" s="831" t="s">
        <v>10939</v>
      </c>
      <c r="AG17048" s="831" t="s">
        <v>2674</v>
      </c>
      <c r="AH17048" s="831" t="s">
        <v>3049</v>
      </c>
      <c r="AI17048" s="831">
        <v>0</v>
      </c>
      <c r="AJ17048" s="835">
        <v>41425</v>
      </c>
      <c r="AK17048" s="831">
        <v>474215187</v>
      </c>
    </row>
    <row r="17049" spans="2:37">
      <c r="B17049" s="834" t="str">
        <f t="shared" si="613"/>
        <v>|||</v>
      </c>
      <c r="H17049" s="835">
        <f t="shared" si="614"/>
        <v>31</v>
      </c>
      <c r="AF17049" s="831" t="s">
        <v>10940</v>
      </c>
      <c r="AG17049" s="831" t="s">
        <v>2674</v>
      </c>
      <c r="AH17049" s="831" t="s">
        <v>103</v>
      </c>
      <c r="AI17049" s="831">
        <v>0</v>
      </c>
      <c r="AJ17049" s="835">
        <v>41425</v>
      </c>
      <c r="AK17049" s="831">
        <v>199530390</v>
      </c>
    </row>
    <row r="17050" spans="2:37">
      <c r="B17050" s="834" t="str">
        <f t="shared" si="613"/>
        <v>|||</v>
      </c>
      <c r="H17050" s="835">
        <f t="shared" si="614"/>
        <v>31</v>
      </c>
      <c r="AF17050" s="831" t="s">
        <v>10941</v>
      </c>
      <c r="AG17050" s="831" t="s">
        <v>2674</v>
      </c>
      <c r="AH17050" s="831" t="s">
        <v>182</v>
      </c>
      <c r="AI17050" s="831">
        <v>0</v>
      </c>
      <c r="AJ17050" s="835">
        <v>41425</v>
      </c>
      <c r="AK17050" s="831">
        <v>56542824</v>
      </c>
    </row>
    <row r="17051" spans="2:37">
      <c r="B17051" s="834" t="str">
        <f t="shared" si="613"/>
        <v>|||</v>
      </c>
      <c r="H17051" s="835">
        <f t="shared" si="614"/>
        <v>31</v>
      </c>
      <c r="AF17051" s="831" t="s">
        <v>10942</v>
      </c>
      <c r="AG17051" s="831" t="s">
        <v>2674</v>
      </c>
      <c r="AH17051" s="831" t="s">
        <v>6600</v>
      </c>
      <c r="AI17051" s="831">
        <v>0</v>
      </c>
      <c r="AJ17051" s="835">
        <v>41425</v>
      </c>
      <c r="AK17051" s="831">
        <v>21530747</v>
      </c>
    </row>
    <row r="17052" spans="2:37">
      <c r="B17052" s="834" t="str">
        <f t="shared" si="613"/>
        <v>|||</v>
      </c>
      <c r="H17052" s="835">
        <f t="shared" si="614"/>
        <v>31</v>
      </c>
      <c r="AF17052" s="831" t="s">
        <v>10943</v>
      </c>
      <c r="AG17052" s="831" t="s">
        <v>2674</v>
      </c>
      <c r="AH17052" s="831" t="s">
        <v>6602</v>
      </c>
      <c r="AI17052" s="831">
        <v>0</v>
      </c>
      <c r="AJ17052" s="835">
        <v>41425</v>
      </c>
      <c r="AK17052" s="831">
        <v>10888133</v>
      </c>
    </row>
    <row r="17053" spans="2:37">
      <c r="B17053" s="834" t="str">
        <f t="shared" si="613"/>
        <v>|||</v>
      </c>
      <c r="H17053" s="835">
        <f t="shared" si="614"/>
        <v>31</v>
      </c>
      <c r="AF17053" s="831" t="s">
        <v>10944</v>
      </c>
      <c r="AG17053" s="831" t="s">
        <v>2674</v>
      </c>
      <c r="AH17053" s="831" t="s">
        <v>650</v>
      </c>
      <c r="AI17053" s="831">
        <v>0</v>
      </c>
      <c r="AJ17053" s="835">
        <v>41425</v>
      </c>
      <c r="AK17053" s="831">
        <v>170020812.07692307</v>
      </c>
    </row>
    <row r="17054" spans="2:37">
      <c r="B17054" s="834" t="str">
        <f t="shared" si="613"/>
        <v>|||</v>
      </c>
      <c r="H17054" s="835">
        <f t="shared" si="614"/>
        <v>31</v>
      </c>
      <c r="AF17054" s="831" t="s">
        <v>10945</v>
      </c>
      <c r="AG17054" s="831" t="s">
        <v>2674</v>
      </c>
      <c r="AH17054" s="831" t="s">
        <v>655</v>
      </c>
      <c r="AI17054" s="831">
        <v>0</v>
      </c>
      <c r="AJ17054" s="835">
        <v>41425</v>
      </c>
      <c r="AK17054" s="831">
        <v>2273827</v>
      </c>
    </row>
    <row r="17055" spans="2:37">
      <c r="B17055" s="834" t="str">
        <f t="shared" si="613"/>
        <v>|||</v>
      </c>
      <c r="H17055" s="835">
        <f t="shared" si="614"/>
        <v>31</v>
      </c>
      <c r="AF17055" s="831" t="s">
        <v>10946</v>
      </c>
      <c r="AG17055" s="831" t="s">
        <v>2674</v>
      </c>
      <c r="AH17055" s="831" t="s">
        <v>546</v>
      </c>
      <c r="AI17055" s="831">
        <v>0</v>
      </c>
      <c r="AJ17055" s="835">
        <v>41455</v>
      </c>
      <c r="AK17055" s="831">
        <v>514798833</v>
      </c>
    </row>
    <row r="17056" spans="2:37">
      <c r="B17056" s="834" t="str">
        <f t="shared" si="613"/>
        <v>|||</v>
      </c>
      <c r="H17056" s="835">
        <f t="shared" si="614"/>
        <v>31</v>
      </c>
      <c r="AF17056" s="831" t="s">
        <v>10947</v>
      </c>
      <c r="AG17056" s="831" t="s">
        <v>2674</v>
      </c>
      <c r="AH17056" s="831" t="s">
        <v>370</v>
      </c>
      <c r="AI17056" s="831">
        <v>0</v>
      </c>
      <c r="AJ17056" s="835">
        <v>41455</v>
      </c>
      <c r="AK17056" s="831">
        <v>641101315</v>
      </c>
    </row>
    <row r="17057" spans="2:37">
      <c r="B17057" s="834" t="str">
        <f t="shared" si="613"/>
        <v>|||</v>
      </c>
      <c r="H17057" s="835">
        <f t="shared" si="614"/>
        <v>31</v>
      </c>
      <c r="AF17057" s="831" t="s">
        <v>10948</v>
      </c>
      <c r="AG17057" s="831" t="s">
        <v>2674</v>
      </c>
      <c r="AH17057" s="831" t="s">
        <v>126</v>
      </c>
      <c r="AI17057" s="831">
        <v>0</v>
      </c>
      <c r="AJ17057" s="835">
        <v>41455</v>
      </c>
      <c r="AK17057" s="831">
        <v>108060358</v>
      </c>
    </row>
    <row r="17058" spans="2:37">
      <c r="B17058" s="834" t="str">
        <f t="shared" si="613"/>
        <v>|||</v>
      </c>
      <c r="H17058" s="835">
        <f t="shared" si="614"/>
        <v>31</v>
      </c>
      <c r="AF17058" s="831" t="s">
        <v>10949</v>
      </c>
      <c r="AG17058" s="831" t="s">
        <v>2674</v>
      </c>
      <c r="AH17058" s="831" t="s">
        <v>268</v>
      </c>
      <c r="AI17058" s="831">
        <v>0</v>
      </c>
      <c r="AJ17058" s="835">
        <v>41455</v>
      </c>
      <c r="AK17058" s="831">
        <v>13297133</v>
      </c>
    </row>
    <row r="17059" spans="2:37">
      <c r="B17059" s="834" t="str">
        <f t="shared" si="613"/>
        <v>|||</v>
      </c>
      <c r="H17059" s="835">
        <f t="shared" si="614"/>
        <v>31</v>
      </c>
      <c r="AF17059" s="831" t="s">
        <v>10950</v>
      </c>
      <c r="AG17059" s="831" t="s">
        <v>2674</v>
      </c>
      <c r="AH17059" s="831" t="s">
        <v>547</v>
      </c>
      <c r="AI17059" s="831">
        <v>0</v>
      </c>
      <c r="AJ17059" s="835">
        <v>41455</v>
      </c>
      <c r="AK17059" s="831">
        <v>511487760</v>
      </c>
    </row>
    <row r="17060" spans="2:37">
      <c r="B17060" s="834" t="str">
        <f t="shared" si="613"/>
        <v>|||</v>
      </c>
      <c r="H17060" s="835">
        <f t="shared" si="614"/>
        <v>31</v>
      </c>
      <c r="AF17060" s="831" t="s">
        <v>10951</v>
      </c>
      <c r="AG17060" s="831" t="s">
        <v>2674</v>
      </c>
      <c r="AH17060" s="831" t="s">
        <v>548</v>
      </c>
      <c r="AI17060" s="831">
        <v>0</v>
      </c>
      <c r="AJ17060" s="835">
        <v>41455</v>
      </c>
      <c r="AK17060" s="831">
        <v>96883184</v>
      </c>
    </row>
    <row r="17061" spans="2:37">
      <c r="B17061" s="834" t="str">
        <f t="shared" si="613"/>
        <v>|||</v>
      </c>
      <c r="H17061" s="835">
        <f t="shared" si="614"/>
        <v>31</v>
      </c>
      <c r="AF17061" s="831" t="s">
        <v>10952</v>
      </c>
      <c r="AG17061" s="831" t="s">
        <v>2674</v>
      </c>
      <c r="AH17061" s="831" t="s">
        <v>549</v>
      </c>
      <c r="AI17061" s="831">
        <v>0</v>
      </c>
      <c r="AJ17061" s="835">
        <v>41455</v>
      </c>
      <c r="AK17061" s="831">
        <v>342628450</v>
      </c>
    </row>
    <row r="17062" spans="2:37">
      <c r="B17062" s="834" t="str">
        <f t="shared" si="613"/>
        <v>|||</v>
      </c>
      <c r="H17062" s="835">
        <f t="shared" si="614"/>
        <v>31</v>
      </c>
      <c r="AF17062" s="831" t="s">
        <v>10953</v>
      </c>
      <c r="AG17062" s="831" t="s">
        <v>2674</v>
      </c>
      <c r="AH17062" s="831" t="s">
        <v>192</v>
      </c>
      <c r="AI17062" s="831">
        <v>0</v>
      </c>
      <c r="AJ17062" s="835">
        <v>41455</v>
      </c>
      <c r="AK17062" s="831">
        <v>-11546784</v>
      </c>
    </row>
    <row r="17063" spans="2:37">
      <c r="B17063" s="834" t="str">
        <f t="shared" si="613"/>
        <v>|||</v>
      </c>
      <c r="H17063" s="835">
        <f t="shared" si="614"/>
        <v>31</v>
      </c>
      <c r="AF17063" s="831" t="s">
        <v>10954</v>
      </c>
      <c r="AG17063" s="831" t="s">
        <v>2674</v>
      </c>
      <c r="AH17063" s="831" t="s">
        <v>558</v>
      </c>
      <c r="AI17063" s="831">
        <v>0</v>
      </c>
      <c r="AJ17063" s="835">
        <v>41455</v>
      </c>
      <c r="AK17063" s="831">
        <v>533040957</v>
      </c>
    </row>
    <row r="17064" spans="2:37">
      <c r="B17064" s="834" t="str">
        <f t="shared" si="613"/>
        <v>|||</v>
      </c>
      <c r="H17064" s="835">
        <f t="shared" si="614"/>
        <v>31</v>
      </c>
      <c r="AF17064" s="831" t="s">
        <v>10955</v>
      </c>
      <c r="AG17064" s="831" t="s">
        <v>2674</v>
      </c>
      <c r="AH17064" s="831" t="s">
        <v>65</v>
      </c>
      <c r="AI17064" s="831">
        <v>0</v>
      </c>
      <c r="AJ17064" s="835">
        <v>41455</v>
      </c>
      <c r="AK17064" s="831">
        <v>60193699</v>
      </c>
    </row>
    <row r="17065" spans="2:37">
      <c r="B17065" s="834" t="str">
        <f t="shared" si="613"/>
        <v>|||</v>
      </c>
      <c r="H17065" s="835">
        <f t="shared" si="614"/>
        <v>31</v>
      </c>
      <c r="AF17065" s="831" t="s">
        <v>10956</v>
      </c>
      <c r="AG17065" s="831" t="s">
        <v>2674</v>
      </c>
      <c r="AH17065" s="831" t="s">
        <v>89</v>
      </c>
      <c r="AI17065" s="831">
        <v>0</v>
      </c>
      <c r="AJ17065" s="835">
        <v>41455</v>
      </c>
      <c r="AK17065" s="831">
        <v>136633</v>
      </c>
    </row>
    <row r="17066" spans="2:37">
      <c r="B17066" s="834" t="str">
        <f t="shared" si="613"/>
        <v>|||</v>
      </c>
      <c r="H17066" s="835">
        <f t="shared" si="614"/>
        <v>31</v>
      </c>
      <c r="AF17066" s="831" t="s">
        <v>10957</v>
      </c>
      <c r="AG17066" s="831" t="s">
        <v>2674</v>
      </c>
      <c r="AH17066" s="831" t="s">
        <v>557</v>
      </c>
      <c r="AI17066" s="831">
        <v>0</v>
      </c>
      <c r="AJ17066" s="835">
        <v>41455</v>
      </c>
      <c r="AK17066" s="831">
        <v>142092</v>
      </c>
    </row>
    <row r="17067" spans="2:37">
      <c r="B17067" s="834" t="str">
        <f t="shared" si="613"/>
        <v>|||</v>
      </c>
      <c r="H17067" s="835">
        <f t="shared" si="614"/>
        <v>31</v>
      </c>
      <c r="AF17067" s="831" t="s">
        <v>10958</v>
      </c>
      <c r="AG17067" s="831" t="s">
        <v>2674</v>
      </c>
      <c r="AH17067" s="831" t="s">
        <v>29</v>
      </c>
      <c r="AI17067" s="831">
        <v>0</v>
      </c>
      <c r="AJ17067" s="835">
        <v>41455</v>
      </c>
      <c r="AK17067" s="831">
        <v>1424399.06</v>
      </c>
    </row>
    <row r="17068" spans="2:37">
      <c r="B17068" s="834" t="str">
        <f t="shared" si="613"/>
        <v>|||</v>
      </c>
      <c r="H17068" s="835">
        <f t="shared" si="614"/>
        <v>31</v>
      </c>
      <c r="AF17068" s="831" t="s">
        <v>10959</v>
      </c>
      <c r="AG17068" s="831" t="s">
        <v>2674</v>
      </c>
      <c r="AH17068" s="831" t="s">
        <v>2688</v>
      </c>
      <c r="AI17068" s="831">
        <v>0</v>
      </c>
      <c r="AJ17068" s="835">
        <v>41455</v>
      </c>
      <c r="AK17068" s="831">
        <v>2204366.9500000002</v>
      </c>
    </row>
    <row r="17069" spans="2:37">
      <c r="B17069" s="834" t="str">
        <f t="shared" si="613"/>
        <v>|||</v>
      </c>
      <c r="H17069" s="835">
        <f t="shared" si="614"/>
        <v>31</v>
      </c>
      <c r="AF17069" s="831" t="s">
        <v>10960</v>
      </c>
      <c r="AG17069" s="831" t="s">
        <v>2674</v>
      </c>
      <c r="AH17069" s="831" t="s">
        <v>556</v>
      </c>
      <c r="AI17069" s="831">
        <v>0</v>
      </c>
      <c r="AJ17069" s="835">
        <v>41455</v>
      </c>
      <c r="AK17069" s="831">
        <v>902857</v>
      </c>
    </row>
    <row r="17070" spans="2:37">
      <c r="B17070" s="834" t="str">
        <f t="shared" si="613"/>
        <v>|||</v>
      </c>
      <c r="H17070" s="835">
        <f t="shared" si="614"/>
        <v>31</v>
      </c>
      <c r="AF17070" s="831" t="s">
        <v>10961</v>
      </c>
      <c r="AG17070" s="831" t="s">
        <v>2674</v>
      </c>
      <c r="AH17070" s="831" t="s">
        <v>555</v>
      </c>
      <c r="AI17070" s="831">
        <v>0</v>
      </c>
      <c r="AJ17070" s="835">
        <v>41455</v>
      </c>
      <c r="AK17070" s="831">
        <v>353611880</v>
      </c>
    </row>
    <row r="17071" spans="2:37">
      <c r="B17071" s="834" t="str">
        <f t="shared" si="613"/>
        <v>|||</v>
      </c>
      <c r="H17071" s="835">
        <f t="shared" si="614"/>
        <v>31</v>
      </c>
      <c r="AF17071" s="831" t="s">
        <v>10962</v>
      </c>
      <c r="AG17071" s="831" t="s">
        <v>2674</v>
      </c>
      <c r="AH17071" s="831" t="s">
        <v>554</v>
      </c>
      <c r="AI17071" s="831">
        <v>0</v>
      </c>
      <c r="AJ17071" s="835">
        <v>41455</v>
      </c>
      <c r="AK17071" s="831">
        <v>343079700</v>
      </c>
    </row>
    <row r="17072" spans="2:37">
      <c r="B17072" s="834" t="str">
        <f t="shared" si="613"/>
        <v>|||</v>
      </c>
      <c r="H17072" s="835">
        <f t="shared" si="614"/>
        <v>31</v>
      </c>
      <c r="AF17072" s="831" t="s">
        <v>10963</v>
      </c>
      <c r="AG17072" s="831" t="s">
        <v>2674</v>
      </c>
      <c r="AH17072" s="831" t="s">
        <v>553</v>
      </c>
      <c r="AI17072" s="831">
        <v>0</v>
      </c>
      <c r="AJ17072" s="835">
        <v>41455</v>
      </c>
      <c r="AK17072" s="831">
        <v>0</v>
      </c>
    </row>
    <row r="17073" spans="2:37">
      <c r="B17073" s="834" t="str">
        <f t="shared" si="613"/>
        <v>|||</v>
      </c>
      <c r="H17073" s="835">
        <f t="shared" si="614"/>
        <v>31</v>
      </c>
      <c r="AF17073" s="831" t="s">
        <v>10964</v>
      </c>
      <c r="AG17073" s="831" t="s">
        <v>2674</v>
      </c>
      <c r="AH17073" s="831" t="s">
        <v>552</v>
      </c>
      <c r="AI17073" s="831">
        <v>0</v>
      </c>
      <c r="AJ17073" s="835">
        <v>41455</v>
      </c>
      <c r="AK17073" s="831">
        <v>0</v>
      </c>
    </row>
    <row r="17074" spans="2:37">
      <c r="B17074" s="834" t="str">
        <f t="shared" si="613"/>
        <v>|||</v>
      </c>
      <c r="H17074" s="835">
        <f t="shared" si="614"/>
        <v>31</v>
      </c>
      <c r="AF17074" s="831" t="s">
        <v>10965</v>
      </c>
      <c r="AG17074" s="831" t="s">
        <v>2674</v>
      </c>
      <c r="AH17074" s="831" t="s">
        <v>551</v>
      </c>
      <c r="AI17074" s="831">
        <v>0</v>
      </c>
      <c r="AJ17074" s="835">
        <v>41455</v>
      </c>
      <c r="AK17074" s="831">
        <v>1176193.06</v>
      </c>
    </row>
    <row r="17075" spans="2:37">
      <c r="B17075" s="834" t="str">
        <f t="shared" si="613"/>
        <v>|||</v>
      </c>
      <c r="H17075" s="835">
        <f t="shared" si="614"/>
        <v>31</v>
      </c>
      <c r="AF17075" s="831" t="s">
        <v>10966</v>
      </c>
      <c r="AG17075" s="831" t="s">
        <v>2674</v>
      </c>
      <c r="AH17075" s="831" t="s">
        <v>550</v>
      </c>
      <c r="AI17075" s="831">
        <v>0</v>
      </c>
      <c r="AJ17075" s="835">
        <v>41455</v>
      </c>
      <c r="AK17075" s="831">
        <v>105651356</v>
      </c>
    </row>
    <row r="17076" spans="2:37">
      <c r="B17076" s="834" t="str">
        <f t="shared" si="613"/>
        <v>|||</v>
      </c>
      <c r="H17076" s="835">
        <f t="shared" si="614"/>
        <v>31</v>
      </c>
      <c r="AF17076" s="831" t="s">
        <v>10967</v>
      </c>
      <c r="AG17076" s="831" t="s">
        <v>2674</v>
      </c>
      <c r="AH17076" s="831" t="s">
        <v>562</v>
      </c>
      <c r="AI17076" s="831">
        <v>0</v>
      </c>
      <c r="AJ17076" s="835">
        <v>41455</v>
      </c>
      <c r="AK17076" s="831">
        <v>0.78395000000000004</v>
      </c>
    </row>
    <row r="17077" spans="2:37">
      <c r="B17077" s="834" t="str">
        <f t="shared" si="613"/>
        <v>|||</v>
      </c>
      <c r="H17077" s="835">
        <f t="shared" si="614"/>
        <v>31</v>
      </c>
      <c r="AF17077" s="831" t="s">
        <v>10968</v>
      </c>
      <c r="AG17077" s="831" t="s">
        <v>2674</v>
      </c>
      <c r="AH17077" s="831" t="s">
        <v>2698</v>
      </c>
      <c r="AI17077" s="831">
        <v>0</v>
      </c>
      <c r="AJ17077" s="835">
        <v>41455</v>
      </c>
      <c r="AK17077" s="831">
        <v>0.78405000000000002</v>
      </c>
    </row>
    <row r="17078" spans="2:37">
      <c r="B17078" s="834" t="str">
        <f t="shared" si="613"/>
        <v>|||</v>
      </c>
      <c r="H17078" s="835">
        <f t="shared" si="614"/>
        <v>31</v>
      </c>
      <c r="AF17078" s="831" t="s">
        <v>10969</v>
      </c>
      <c r="AG17078" s="831" t="s">
        <v>2674</v>
      </c>
      <c r="AH17078" s="831" t="s">
        <v>560</v>
      </c>
      <c r="AI17078" s="831">
        <v>0</v>
      </c>
      <c r="AJ17078" s="835">
        <v>41455</v>
      </c>
      <c r="AK17078" s="831">
        <v>0.78408333333333335</v>
      </c>
    </row>
    <row r="17079" spans="2:37">
      <c r="B17079" s="834" t="str">
        <f t="shared" si="613"/>
        <v>|||</v>
      </c>
      <c r="H17079" s="835">
        <f t="shared" si="614"/>
        <v>31</v>
      </c>
      <c r="AF17079" s="831" t="s">
        <v>10970</v>
      </c>
      <c r="AG17079" s="831" t="s">
        <v>2674</v>
      </c>
      <c r="AH17079" s="831" t="s">
        <v>559</v>
      </c>
      <c r="AI17079" s="831">
        <v>0</v>
      </c>
      <c r="AJ17079" s="835">
        <v>41455</v>
      </c>
      <c r="AK17079" s="831">
        <v>0.78425833333333339</v>
      </c>
    </row>
    <row r="17080" spans="2:37">
      <c r="B17080" s="834" t="str">
        <f t="shared" si="613"/>
        <v>|||</v>
      </c>
      <c r="H17080" s="835">
        <f t="shared" si="614"/>
        <v>31</v>
      </c>
      <c r="AF17080" s="831" t="s">
        <v>10971</v>
      </c>
      <c r="AG17080" s="831" t="s">
        <v>2674</v>
      </c>
      <c r="AH17080" s="831" t="s">
        <v>568</v>
      </c>
      <c r="AI17080" s="831">
        <v>0</v>
      </c>
      <c r="AJ17080" s="835">
        <v>41455</v>
      </c>
      <c r="AK17080" s="831">
        <v>416775328.76923078</v>
      </c>
    </row>
    <row r="17081" spans="2:37">
      <c r="B17081" s="834" t="str">
        <f t="shared" si="613"/>
        <v>|||</v>
      </c>
      <c r="H17081" s="835">
        <f t="shared" si="614"/>
        <v>31</v>
      </c>
      <c r="AF17081" s="831" t="s">
        <v>10972</v>
      </c>
      <c r="AG17081" s="831" t="s">
        <v>2674</v>
      </c>
      <c r="AH17081" s="831" t="s">
        <v>569</v>
      </c>
      <c r="AI17081" s="831">
        <v>0</v>
      </c>
      <c r="AJ17081" s="835">
        <v>41455</v>
      </c>
      <c r="AK17081" s="831">
        <v>507070422.30769229</v>
      </c>
    </row>
    <row r="17082" spans="2:37">
      <c r="B17082" s="834" t="str">
        <f t="shared" si="613"/>
        <v>|||</v>
      </c>
      <c r="H17082" s="835">
        <f t="shared" si="614"/>
        <v>31</v>
      </c>
      <c r="AF17082" s="831" t="s">
        <v>10973</v>
      </c>
      <c r="AG17082" s="831" t="s">
        <v>2674</v>
      </c>
      <c r="AH17082" s="831" t="s">
        <v>570</v>
      </c>
      <c r="AI17082" s="831">
        <v>0</v>
      </c>
      <c r="AJ17082" s="835">
        <v>41455</v>
      </c>
      <c r="AK17082" s="831">
        <v>99514662.461538464</v>
      </c>
    </row>
    <row r="17083" spans="2:37">
      <c r="B17083" s="834" t="str">
        <f t="shared" si="613"/>
        <v>|||</v>
      </c>
      <c r="H17083" s="835">
        <f t="shared" si="614"/>
        <v>31</v>
      </c>
      <c r="AF17083" s="831" t="s">
        <v>10974</v>
      </c>
      <c r="AG17083" s="831" t="s">
        <v>2674</v>
      </c>
      <c r="AH17083" s="831" t="s">
        <v>571</v>
      </c>
      <c r="AI17083" s="831">
        <v>0</v>
      </c>
      <c r="AJ17083" s="835">
        <v>41455</v>
      </c>
      <c r="AK17083" s="831">
        <v>220626949.15384614</v>
      </c>
    </row>
    <row r="17084" spans="2:37">
      <c r="B17084" s="834" t="str">
        <f t="shared" si="613"/>
        <v>|||</v>
      </c>
      <c r="H17084" s="835">
        <f t="shared" si="614"/>
        <v>31</v>
      </c>
      <c r="AF17084" s="831" t="s">
        <v>10975</v>
      </c>
      <c r="AG17084" s="831" t="s">
        <v>2674</v>
      </c>
      <c r="AH17084" s="831" t="s">
        <v>573</v>
      </c>
      <c r="AI17084" s="831">
        <v>0</v>
      </c>
      <c r="AJ17084" s="835">
        <v>41455</v>
      </c>
      <c r="AK17084" s="831">
        <v>557218597.28571427</v>
      </c>
    </row>
    <row r="17085" spans="2:37">
      <c r="B17085" s="834" t="str">
        <f t="shared" si="613"/>
        <v>|||</v>
      </c>
      <c r="H17085" s="835">
        <f t="shared" si="614"/>
        <v>31</v>
      </c>
      <c r="AF17085" s="831" t="s">
        <v>10976</v>
      </c>
      <c r="AG17085" s="831" t="s">
        <v>2674</v>
      </c>
      <c r="AH17085" s="831" t="s">
        <v>574</v>
      </c>
      <c r="AI17085" s="831">
        <v>0</v>
      </c>
      <c r="AJ17085" s="835">
        <v>41455</v>
      </c>
      <c r="AK17085" s="831">
        <v>460782606.85714287</v>
      </c>
    </row>
    <row r="17086" spans="2:37">
      <c r="B17086" s="834" t="str">
        <f t="shared" si="613"/>
        <v>|||</v>
      </c>
      <c r="H17086" s="835">
        <f t="shared" si="614"/>
        <v>31</v>
      </c>
      <c r="AF17086" s="831" t="s">
        <v>10977</v>
      </c>
      <c r="AG17086" s="831" t="s">
        <v>2674</v>
      </c>
      <c r="AH17086" s="831" t="s">
        <v>575</v>
      </c>
      <c r="AI17086" s="831">
        <v>0</v>
      </c>
      <c r="AJ17086" s="835">
        <v>41455</v>
      </c>
      <c r="AK17086" s="831">
        <v>102068019.28571428</v>
      </c>
    </row>
    <row r="17087" spans="2:37">
      <c r="B17087" s="834" t="str">
        <f t="shared" si="613"/>
        <v>|||</v>
      </c>
      <c r="H17087" s="835">
        <f t="shared" si="614"/>
        <v>31</v>
      </c>
      <c r="AF17087" s="831" t="s">
        <v>10978</v>
      </c>
      <c r="AG17087" s="831" t="s">
        <v>2674</v>
      </c>
      <c r="AH17087" s="831" t="s">
        <v>576</v>
      </c>
      <c r="AI17087" s="831">
        <v>0</v>
      </c>
      <c r="AJ17087" s="835">
        <v>41455</v>
      </c>
      <c r="AK17087" s="831">
        <v>256882402</v>
      </c>
    </row>
    <row r="17088" spans="2:37">
      <c r="B17088" s="834" t="str">
        <f t="shared" si="613"/>
        <v>|||</v>
      </c>
      <c r="H17088" s="835">
        <f t="shared" si="614"/>
        <v>31</v>
      </c>
      <c r="AF17088" s="831" t="s">
        <v>10979</v>
      </c>
      <c r="AG17088" s="831" t="s">
        <v>2674</v>
      </c>
      <c r="AH17088" s="831" t="s">
        <v>572</v>
      </c>
      <c r="AI17088" s="831">
        <v>0</v>
      </c>
      <c r="AJ17088" s="835">
        <v>41455</v>
      </c>
      <c r="AK17088" s="831">
        <v>22784991</v>
      </c>
    </row>
    <row r="17089" spans="2:37">
      <c r="B17089" s="834" t="str">
        <f t="shared" si="613"/>
        <v>|||</v>
      </c>
      <c r="H17089" s="835">
        <f t="shared" si="614"/>
        <v>31</v>
      </c>
      <c r="AF17089" s="831" t="s">
        <v>10980</v>
      </c>
      <c r="AG17089" s="831" t="s">
        <v>2674</v>
      </c>
      <c r="AH17089" s="831" t="s">
        <v>577</v>
      </c>
      <c r="AI17089" s="831">
        <v>0</v>
      </c>
      <c r="AJ17089" s="835">
        <v>41455</v>
      </c>
      <c r="AK17089" s="831">
        <v>112999724</v>
      </c>
    </row>
    <row r="17090" spans="2:37">
      <c r="B17090" s="834" t="str">
        <f t="shared" si="613"/>
        <v>|||</v>
      </c>
      <c r="H17090" s="835">
        <f t="shared" si="614"/>
        <v>31</v>
      </c>
      <c r="AF17090" s="831" t="s">
        <v>10981</v>
      </c>
      <c r="AG17090" s="831" t="s">
        <v>2674</v>
      </c>
      <c r="AH17090" s="831" t="s">
        <v>3042</v>
      </c>
      <c r="AI17090" s="831">
        <v>0</v>
      </c>
      <c r="AJ17090" s="835">
        <v>41455</v>
      </c>
      <c r="AK17090" s="831">
        <v>-27618860</v>
      </c>
    </row>
    <row r="17091" spans="2:37">
      <c r="B17091" s="834" t="str">
        <f t="shared" si="613"/>
        <v>|||</v>
      </c>
      <c r="H17091" s="835">
        <f t="shared" si="614"/>
        <v>31</v>
      </c>
      <c r="AF17091" s="831" t="s">
        <v>10982</v>
      </c>
      <c r="AG17091" s="831" t="s">
        <v>2674</v>
      </c>
      <c r="AH17091" s="831" t="s">
        <v>3044</v>
      </c>
      <c r="AI17091" s="831">
        <v>0</v>
      </c>
      <c r="AJ17091" s="835">
        <v>41455</v>
      </c>
      <c r="AK17091" s="831">
        <v>-4183071</v>
      </c>
    </row>
    <row r="17092" spans="2:37">
      <c r="B17092" s="834" t="str">
        <f t="shared" si="613"/>
        <v>|||</v>
      </c>
      <c r="H17092" s="835">
        <f t="shared" si="614"/>
        <v>31</v>
      </c>
      <c r="AF17092" s="831" t="s">
        <v>10983</v>
      </c>
      <c r="AG17092" s="831" t="s">
        <v>2674</v>
      </c>
      <c r="AH17092" s="831" t="s">
        <v>580</v>
      </c>
      <c r="AI17092" s="831">
        <v>0</v>
      </c>
      <c r="AJ17092" s="835">
        <v>41455</v>
      </c>
      <c r="AK17092" s="831">
        <v>-56400279</v>
      </c>
    </row>
    <row r="17093" spans="2:37">
      <c r="B17093" s="834" t="str">
        <f t="shared" si="613"/>
        <v>|||</v>
      </c>
      <c r="H17093" s="835">
        <f t="shared" si="614"/>
        <v>31</v>
      </c>
      <c r="AF17093" s="831" t="s">
        <v>10984</v>
      </c>
      <c r="AG17093" s="831" t="s">
        <v>2674</v>
      </c>
      <c r="AH17093" s="831" t="s">
        <v>581</v>
      </c>
      <c r="AI17093" s="831">
        <v>0</v>
      </c>
      <c r="AJ17093" s="835">
        <v>41455</v>
      </c>
      <c r="AK17093" s="831">
        <v>4204371</v>
      </c>
    </row>
    <row r="17094" spans="2:37">
      <c r="B17094" s="834" t="str">
        <f t="shared" si="613"/>
        <v>|||</v>
      </c>
      <c r="H17094" s="835">
        <f t="shared" si="614"/>
        <v>31</v>
      </c>
      <c r="AF17094" s="831" t="s">
        <v>10985</v>
      </c>
      <c r="AG17094" s="831" t="s">
        <v>2674</v>
      </c>
      <c r="AH17094" s="831" t="s">
        <v>105</v>
      </c>
      <c r="AI17094" s="831">
        <v>0</v>
      </c>
      <c r="AJ17094" s="835">
        <v>41455</v>
      </c>
      <c r="AK17094" s="831">
        <v>314742537</v>
      </c>
    </row>
    <row r="17095" spans="2:37">
      <c r="B17095" s="834" t="str">
        <f t="shared" si="613"/>
        <v>|||</v>
      </c>
      <c r="H17095" s="835">
        <f t="shared" si="614"/>
        <v>31</v>
      </c>
      <c r="AF17095" s="831" t="s">
        <v>10986</v>
      </c>
      <c r="AG17095" s="831" t="s">
        <v>2674</v>
      </c>
      <c r="AH17095" s="831" t="s">
        <v>3049</v>
      </c>
      <c r="AI17095" s="831">
        <v>0</v>
      </c>
      <c r="AJ17095" s="835">
        <v>41455</v>
      </c>
      <c r="AK17095" s="831">
        <v>517978918</v>
      </c>
    </row>
    <row r="17096" spans="2:37">
      <c r="B17096" s="834" t="str">
        <f t="shared" si="613"/>
        <v>|||</v>
      </c>
      <c r="H17096" s="835">
        <f t="shared" si="614"/>
        <v>31</v>
      </c>
      <c r="AF17096" s="831" t="s">
        <v>10987</v>
      </c>
      <c r="AG17096" s="831" t="s">
        <v>2674</v>
      </c>
      <c r="AH17096" s="831" t="s">
        <v>103</v>
      </c>
      <c r="AI17096" s="831">
        <v>0</v>
      </c>
      <c r="AJ17096" s="835">
        <v>41455</v>
      </c>
      <c r="AK17096" s="831">
        <v>203236381</v>
      </c>
    </row>
    <row r="17097" spans="2:37">
      <c r="B17097" s="834" t="str">
        <f t="shared" si="613"/>
        <v>|||</v>
      </c>
      <c r="H17097" s="835">
        <f t="shared" si="614"/>
        <v>31</v>
      </c>
      <c r="AF17097" s="831" t="s">
        <v>10988</v>
      </c>
      <c r="AG17097" s="831" t="s">
        <v>2674</v>
      </c>
      <c r="AH17097" s="831" t="s">
        <v>182</v>
      </c>
      <c r="AI17097" s="831">
        <v>0</v>
      </c>
      <c r="AJ17097" s="835">
        <v>41455</v>
      </c>
      <c r="AK17097" s="831">
        <v>57441170</v>
      </c>
    </row>
    <row r="17098" spans="2:37">
      <c r="B17098" s="834" t="str">
        <f t="shared" si="613"/>
        <v>|||</v>
      </c>
      <c r="H17098" s="835">
        <f t="shared" si="614"/>
        <v>31</v>
      </c>
      <c r="AF17098" s="831" t="s">
        <v>10989</v>
      </c>
      <c r="AG17098" s="831" t="s">
        <v>2674</v>
      </c>
      <c r="AH17098" s="831" t="s">
        <v>6600</v>
      </c>
      <c r="AI17098" s="831">
        <v>0</v>
      </c>
      <c r="AJ17098" s="835">
        <v>41455</v>
      </c>
      <c r="AK17098" s="831">
        <v>22784991</v>
      </c>
    </row>
    <row r="17099" spans="2:37">
      <c r="B17099" s="834" t="str">
        <f t="shared" si="613"/>
        <v>|||</v>
      </c>
      <c r="H17099" s="835">
        <f t="shared" si="614"/>
        <v>31</v>
      </c>
      <c r="AF17099" s="831" t="s">
        <v>10990</v>
      </c>
      <c r="AG17099" s="831" t="s">
        <v>2674</v>
      </c>
      <c r="AH17099" s="831" t="s">
        <v>6602</v>
      </c>
      <c r="AI17099" s="831">
        <v>0</v>
      </c>
      <c r="AJ17099" s="835">
        <v>41455</v>
      </c>
      <c r="AK17099" s="831">
        <v>13297133</v>
      </c>
    </row>
    <row r="17100" spans="2:37">
      <c r="B17100" s="834" t="str">
        <f t="shared" si="613"/>
        <v>|||</v>
      </c>
      <c r="H17100" s="835">
        <f t="shared" si="614"/>
        <v>31</v>
      </c>
      <c r="AF17100" s="831" t="s">
        <v>10991</v>
      </c>
      <c r="AG17100" s="831" t="s">
        <v>2674</v>
      </c>
      <c r="AH17100" s="831" t="s">
        <v>650</v>
      </c>
      <c r="AI17100" s="831">
        <v>0</v>
      </c>
      <c r="AJ17100" s="835">
        <v>41455</v>
      </c>
      <c r="AK17100" s="831">
        <v>173391733.15384614</v>
      </c>
    </row>
    <row r="17101" spans="2:37">
      <c r="B17101" s="834" t="str">
        <f t="shared" si="613"/>
        <v>|||</v>
      </c>
      <c r="H17101" s="835">
        <f t="shared" si="614"/>
        <v>31</v>
      </c>
      <c r="AF17101" s="831" t="s">
        <v>10992</v>
      </c>
      <c r="AG17101" s="831" t="s">
        <v>2674</v>
      </c>
      <c r="AH17101" s="831" t="s">
        <v>655</v>
      </c>
      <c r="AI17101" s="831">
        <v>0</v>
      </c>
      <c r="AJ17101" s="835">
        <v>41455</v>
      </c>
      <c r="AK17101" s="831">
        <v>1055339.06</v>
      </c>
    </row>
    <row r="17102" spans="2:37">
      <c r="B17102" s="834" t="str">
        <f t="shared" si="613"/>
        <v>|||</v>
      </c>
      <c r="H17102" s="835">
        <f t="shared" si="614"/>
        <v>31</v>
      </c>
      <c r="AF17102" s="831" t="s">
        <v>10993</v>
      </c>
      <c r="AG17102" s="831" t="s">
        <v>2674</v>
      </c>
      <c r="AH17102" s="831" t="s">
        <v>546</v>
      </c>
      <c r="AI17102" s="831">
        <v>0</v>
      </c>
      <c r="AJ17102" s="835">
        <v>41486</v>
      </c>
      <c r="AK17102" s="831">
        <v>530405930</v>
      </c>
    </row>
    <row r="17103" spans="2:37">
      <c r="B17103" s="834" t="str">
        <f t="shared" si="613"/>
        <v>|||</v>
      </c>
      <c r="H17103" s="835">
        <f t="shared" si="614"/>
        <v>31</v>
      </c>
      <c r="AF17103" s="831" t="s">
        <v>10994</v>
      </c>
      <c r="AG17103" s="831" t="s">
        <v>2674</v>
      </c>
      <c r="AH17103" s="831" t="s">
        <v>370</v>
      </c>
      <c r="AI17103" s="831">
        <v>0</v>
      </c>
      <c r="AJ17103" s="835">
        <v>41486</v>
      </c>
      <c r="AK17103" s="831">
        <v>658328328</v>
      </c>
    </row>
    <row r="17104" spans="2:37">
      <c r="B17104" s="834" t="str">
        <f t="shared" si="613"/>
        <v>|||</v>
      </c>
      <c r="H17104" s="835">
        <f t="shared" si="614"/>
        <v>31</v>
      </c>
      <c r="AF17104" s="831" t="s">
        <v>10995</v>
      </c>
      <c r="AG17104" s="831" t="s">
        <v>2674</v>
      </c>
      <c r="AH17104" s="831" t="s">
        <v>126</v>
      </c>
      <c r="AI17104" s="831">
        <v>0</v>
      </c>
      <c r="AJ17104" s="835">
        <v>41486</v>
      </c>
      <c r="AK17104" s="831">
        <v>110887562</v>
      </c>
    </row>
    <row r="17105" spans="2:37">
      <c r="B17105" s="834" t="str">
        <f t="shared" ref="B17105:B17168" si="615">C17105&amp;"|"&amp;D17105&amp;"|"&amp;E17105&amp;"|"&amp;F17105</f>
        <v>|||</v>
      </c>
      <c r="H17105" s="835">
        <f t="shared" ref="H17105:H17168" si="616">EOMONTH(L17105,0)</f>
        <v>31</v>
      </c>
      <c r="AF17105" s="831" t="s">
        <v>10996</v>
      </c>
      <c r="AG17105" s="831" t="s">
        <v>2674</v>
      </c>
      <c r="AH17105" s="831" t="s">
        <v>268</v>
      </c>
      <c r="AI17105" s="831">
        <v>0</v>
      </c>
      <c r="AJ17105" s="835">
        <v>41486</v>
      </c>
      <c r="AK17105" s="831">
        <v>16124340</v>
      </c>
    </row>
    <row r="17106" spans="2:37">
      <c r="B17106" s="834" t="str">
        <f t="shared" si="615"/>
        <v>|||</v>
      </c>
      <c r="H17106" s="835">
        <f t="shared" si="616"/>
        <v>31</v>
      </c>
      <c r="AF17106" s="831" t="s">
        <v>10997</v>
      </c>
      <c r="AG17106" s="831" t="s">
        <v>2674</v>
      </c>
      <c r="AH17106" s="831" t="s">
        <v>547</v>
      </c>
      <c r="AI17106" s="831">
        <v>0</v>
      </c>
      <c r="AJ17106" s="835">
        <v>41486</v>
      </c>
      <c r="AK17106" s="831">
        <v>511487760</v>
      </c>
    </row>
    <row r="17107" spans="2:37">
      <c r="B17107" s="834" t="str">
        <f t="shared" si="615"/>
        <v>|||</v>
      </c>
      <c r="H17107" s="835">
        <f t="shared" si="616"/>
        <v>31</v>
      </c>
      <c r="AF17107" s="831" t="s">
        <v>10998</v>
      </c>
      <c r="AG17107" s="831" t="s">
        <v>2674</v>
      </c>
      <c r="AH17107" s="831" t="s">
        <v>548</v>
      </c>
      <c r="AI17107" s="831">
        <v>0</v>
      </c>
      <c r="AJ17107" s="835">
        <v>41486</v>
      </c>
      <c r="AK17107" s="831">
        <v>96883184</v>
      </c>
    </row>
    <row r="17108" spans="2:37">
      <c r="B17108" s="834" t="str">
        <f t="shared" si="615"/>
        <v>|||</v>
      </c>
      <c r="H17108" s="835">
        <f t="shared" si="616"/>
        <v>31</v>
      </c>
      <c r="AF17108" s="831" t="s">
        <v>10999</v>
      </c>
      <c r="AG17108" s="831" t="s">
        <v>2674</v>
      </c>
      <c r="AH17108" s="831" t="s">
        <v>549</v>
      </c>
      <c r="AI17108" s="831">
        <v>0</v>
      </c>
      <c r="AJ17108" s="835">
        <v>41486</v>
      </c>
      <c r="AK17108" s="831">
        <v>350104350</v>
      </c>
    </row>
    <row r="17109" spans="2:37">
      <c r="B17109" s="834" t="str">
        <f t="shared" si="615"/>
        <v>|||</v>
      </c>
      <c r="H17109" s="835">
        <f t="shared" si="616"/>
        <v>31</v>
      </c>
      <c r="AF17109" s="831" t="s">
        <v>11000</v>
      </c>
      <c r="AG17109" s="831" t="s">
        <v>2674</v>
      </c>
      <c r="AH17109" s="831" t="s">
        <v>192</v>
      </c>
      <c r="AI17109" s="831">
        <v>0</v>
      </c>
      <c r="AJ17109" s="835">
        <v>41486</v>
      </c>
      <c r="AK17109" s="831">
        <v>-11946675</v>
      </c>
    </row>
    <row r="17110" spans="2:37">
      <c r="B17110" s="834" t="str">
        <f t="shared" si="615"/>
        <v>|||</v>
      </c>
      <c r="H17110" s="835">
        <f t="shared" si="616"/>
        <v>31</v>
      </c>
      <c r="AF17110" s="831" t="s">
        <v>11001</v>
      </c>
      <c r="AG17110" s="831" t="s">
        <v>2674</v>
      </c>
      <c r="AH17110" s="831" t="s">
        <v>558</v>
      </c>
      <c r="AI17110" s="831">
        <v>0</v>
      </c>
      <c r="AJ17110" s="835">
        <v>41486</v>
      </c>
      <c r="AK17110" s="831">
        <v>547440766</v>
      </c>
    </row>
    <row r="17111" spans="2:37">
      <c r="B17111" s="834" t="str">
        <f t="shared" si="615"/>
        <v>|||</v>
      </c>
      <c r="H17111" s="835">
        <f t="shared" si="616"/>
        <v>31</v>
      </c>
      <c r="AF17111" s="831" t="s">
        <v>11002</v>
      </c>
      <c r="AG17111" s="831" t="s">
        <v>2674</v>
      </c>
      <c r="AH17111" s="831" t="s">
        <v>65</v>
      </c>
      <c r="AI17111" s="831">
        <v>0</v>
      </c>
      <c r="AJ17111" s="835">
        <v>41486</v>
      </c>
      <c r="AK17111" s="831">
        <v>71979253</v>
      </c>
    </row>
    <row r="17112" spans="2:37">
      <c r="B17112" s="834" t="str">
        <f t="shared" si="615"/>
        <v>|||</v>
      </c>
      <c r="H17112" s="835">
        <f t="shared" si="616"/>
        <v>31</v>
      </c>
      <c r="AF17112" s="831" t="s">
        <v>11003</v>
      </c>
      <c r="AG17112" s="831" t="s">
        <v>2674</v>
      </c>
      <c r="AH17112" s="831" t="s">
        <v>89</v>
      </c>
      <c r="AI17112" s="831">
        <v>0</v>
      </c>
      <c r="AJ17112" s="835">
        <v>41486</v>
      </c>
      <c r="AK17112" s="831">
        <v>138057</v>
      </c>
    </row>
    <row r="17113" spans="2:37">
      <c r="B17113" s="834" t="str">
        <f t="shared" si="615"/>
        <v>|||</v>
      </c>
      <c r="H17113" s="835">
        <f t="shared" si="616"/>
        <v>31</v>
      </c>
      <c r="AF17113" s="831" t="s">
        <v>11004</v>
      </c>
      <c r="AG17113" s="831" t="s">
        <v>2674</v>
      </c>
      <c r="AH17113" s="831" t="s">
        <v>557</v>
      </c>
      <c r="AI17113" s="831">
        <v>0</v>
      </c>
      <c r="AJ17113" s="835">
        <v>41486</v>
      </c>
      <c r="AK17113" s="831">
        <v>145518</v>
      </c>
    </row>
    <row r="17114" spans="2:37">
      <c r="B17114" s="834" t="str">
        <f t="shared" si="615"/>
        <v>|||</v>
      </c>
      <c r="H17114" s="835">
        <f t="shared" si="616"/>
        <v>31</v>
      </c>
      <c r="AF17114" s="831" t="s">
        <v>11005</v>
      </c>
      <c r="AG17114" s="831" t="s">
        <v>2674</v>
      </c>
      <c r="AH17114" s="831" t="s">
        <v>29</v>
      </c>
      <c r="AI17114" s="831">
        <v>0</v>
      </c>
      <c r="AJ17114" s="835">
        <v>41486</v>
      </c>
      <c r="AK17114" s="831">
        <v>1452161.1670000001</v>
      </c>
    </row>
    <row r="17115" spans="2:37">
      <c r="B17115" s="834" t="str">
        <f t="shared" si="615"/>
        <v>|||</v>
      </c>
      <c r="H17115" s="835">
        <f t="shared" si="616"/>
        <v>31</v>
      </c>
      <c r="AF17115" s="831" t="s">
        <v>11006</v>
      </c>
      <c r="AG17115" s="831" t="s">
        <v>2674</v>
      </c>
      <c r="AH17115" s="831" t="s">
        <v>2688</v>
      </c>
      <c r="AI17115" s="831">
        <v>0</v>
      </c>
      <c r="AJ17115" s="835">
        <v>41486</v>
      </c>
      <c r="AK17115" s="831">
        <v>1987224.58</v>
      </c>
    </row>
    <row r="17116" spans="2:37">
      <c r="B17116" s="834" t="str">
        <f t="shared" si="615"/>
        <v>|||</v>
      </c>
      <c r="H17116" s="835">
        <f t="shared" si="616"/>
        <v>31</v>
      </c>
      <c r="AF17116" s="831" t="s">
        <v>11007</v>
      </c>
      <c r="AG17116" s="831" t="s">
        <v>2674</v>
      </c>
      <c r="AH17116" s="831" t="s">
        <v>556</v>
      </c>
      <c r="AI17116" s="831">
        <v>0</v>
      </c>
      <c r="AJ17116" s="835">
        <v>41486</v>
      </c>
      <c r="AK17116" s="831">
        <v>2547589</v>
      </c>
    </row>
    <row r="17117" spans="2:37">
      <c r="B17117" s="834" t="str">
        <f t="shared" si="615"/>
        <v>|||</v>
      </c>
      <c r="H17117" s="835">
        <f t="shared" si="616"/>
        <v>31</v>
      </c>
      <c r="AF17117" s="831" t="s">
        <v>11008</v>
      </c>
      <c r="AG17117" s="831" t="s">
        <v>2674</v>
      </c>
      <c r="AH17117" s="831" t="s">
        <v>555</v>
      </c>
      <c r="AI17117" s="831">
        <v>0</v>
      </c>
      <c r="AJ17117" s="835">
        <v>41486</v>
      </c>
      <c r="AK17117" s="831">
        <v>359140020</v>
      </c>
    </row>
    <row r="17118" spans="2:37">
      <c r="B17118" s="834" t="str">
        <f t="shared" si="615"/>
        <v>|||</v>
      </c>
      <c r="H17118" s="835">
        <f t="shared" si="616"/>
        <v>31</v>
      </c>
      <c r="AF17118" s="831" t="s">
        <v>11009</v>
      </c>
      <c r="AG17118" s="831" t="s">
        <v>2674</v>
      </c>
      <c r="AH17118" s="831" t="s">
        <v>554</v>
      </c>
      <c r="AI17118" s="831">
        <v>0</v>
      </c>
      <c r="AJ17118" s="835">
        <v>41486</v>
      </c>
      <c r="AK17118" s="831">
        <v>364984870</v>
      </c>
    </row>
    <row r="17119" spans="2:37">
      <c r="B17119" s="834" t="str">
        <f t="shared" si="615"/>
        <v>|||</v>
      </c>
      <c r="H17119" s="835">
        <f t="shared" si="616"/>
        <v>31</v>
      </c>
      <c r="AF17119" s="831" t="s">
        <v>11010</v>
      </c>
      <c r="AG17119" s="831" t="s">
        <v>2674</v>
      </c>
      <c r="AH17119" s="831" t="s">
        <v>553</v>
      </c>
      <c r="AI17119" s="831">
        <v>0</v>
      </c>
      <c r="AJ17119" s="835">
        <v>41486</v>
      </c>
      <c r="AK17119" s="831">
        <v>0</v>
      </c>
    </row>
    <row r="17120" spans="2:37">
      <c r="B17120" s="834" t="str">
        <f t="shared" si="615"/>
        <v>|||</v>
      </c>
      <c r="H17120" s="835">
        <f t="shared" si="616"/>
        <v>31</v>
      </c>
      <c r="AF17120" s="831" t="s">
        <v>11011</v>
      </c>
      <c r="AG17120" s="831" t="s">
        <v>2674</v>
      </c>
      <c r="AH17120" s="831" t="s">
        <v>552</v>
      </c>
      <c r="AI17120" s="831">
        <v>0</v>
      </c>
      <c r="AJ17120" s="835">
        <v>41486</v>
      </c>
      <c r="AK17120" s="831">
        <v>0</v>
      </c>
    </row>
    <row r="17121" spans="2:37">
      <c r="B17121" s="834" t="str">
        <f t="shared" si="615"/>
        <v>|||</v>
      </c>
      <c r="H17121" s="835">
        <f t="shared" si="616"/>
        <v>31</v>
      </c>
      <c r="AF17121" s="831" t="s">
        <v>11012</v>
      </c>
      <c r="AG17121" s="831" t="s">
        <v>2674</v>
      </c>
      <c r="AH17121" s="831" t="s">
        <v>551</v>
      </c>
      <c r="AI17121" s="831">
        <v>0</v>
      </c>
      <c r="AJ17121" s="835">
        <v>41486</v>
      </c>
      <c r="AK17121" s="831">
        <v>1334074.5780000002</v>
      </c>
    </row>
    <row r="17122" spans="2:37">
      <c r="B17122" s="834" t="str">
        <f t="shared" si="615"/>
        <v>|||</v>
      </c>
      <c r="H17122" s="835">
        <f t="shared" si="616"/>
        <v>31</v>
      </c>
      <c r="AF17122" s="831" t="s">
        <v>11013</v>
      </c>
      <c r="AG17122" s="831" t="s">
        <v>2674</v>
      </c>
      <c r="AH17122" s="831" t="s">
        <v>550</v>
      </c>
      <c r="AI17122" s="831">
        <v>0</v>
      </c>
      <c r="AJ17122" s="835">
        <v>41486</v>
      </c>
      <c r="AK17122" s="831">
        <v>108060358</v>
      </c>
    </row>
    <row r="17123" spans="2:37">
      <c r="B17123" s="834" t="str">
        <f t="shared" si="615"/>
        <v>|||</v>
      </c>
      <c r="H17123" s="835">
        <f t="shared" si="616"/>
        <v>31</v>
      </c>
      <c r="AF17123" s="831" t="s">
        <v>11014</v>
      </c>
      <c r="AG17123" s="831" t="s">
        <v>2674</v>
      </c>
      <c r="AH17123" s="831" t="s">
        <v>562</v>
      </c>
      <c r="AI17123" s="831">
        <v>0</v>
      </c>
      <c r="AJ17123" s="835">
        <v>41486</v>
      </c>
      <c r="AK17123" s="831">
        <v>0.78374999999999995</v>
      </c>
    </row>
    <row r="17124" spans="2:37">
      <c r="B17124" s="834" t="str">
        <f t="shared" si="615"/>
        <v>|||</v>
      </c>
      <c r="H17124" s="835">
        <f t="shared" si="616"/>
        <v>31</v>
      </c>
      <c r="AF17124" s="831" t="s">
        <v>11015</v>
      </c>
      <c r="AG17124" s="831" t="s">
        <v>2674</v>
      </c>
      <c r="AH17124" s="831" t="s">
        <v>2698</v>
      </c>
      <c r="AI17124" s="831">
        <v>0</v>
      </c>
      <c r="AJ17124" s="835">
        <v>41486</v>
      </c>
      <c r="AK17124" s="831">
        <v>0.78395000000000004</v>
      </c>
    </row>
    <row r="17125" spans="2:37">
      <c r="B17125" s="834" t="str">
        <f t="shared" si="615"/>
        <v>|||</v>
      </c>
      <c r="H17125" s="835">
        <f t="shared" si="616"/>
        <v>31</v>
      </c>
      <c r="AF17125" s="831" t="s">
        <v>11016</v>
      </c>
      <c r="AG17125" s="831" t="s">
        <v>2674</v>
      </c>
      <c r="AH17125" s="831" t="s">
        <v>560</v>
      </c>
      <c r="AI17125" s="831">
        <v>0</v>
      </c>
      <c r="AJ17125" s="835">
        <v>41486</v>
      </c>
      <c r="AK17125" s="831">
        <v>0.78403571428571439</v>
      </c>
    </row>
    <row r="17126" spans="2:37">
      <c r="B17126" s="834" t="str">
        <f t="shared" si="615"/>
        <v>|||</v>
      </c>
      <c r="H17126" s="835">
        <f t="shared" si="616"/>
        <v>31</v>
      </c>
      <c r="AF17126" s="831" t="s">
        <v>11017</v>
      </c>
      <c r="AG17126" s="831" t="s">
        <v>2674</v>
      </c>
      <c r="AH17126" s="831" t="s">
        <v>559</v>
      </c>
      <c r="AI17126" s="831">
        <v>0</v>
      </c>
      <c r="AJ17126" s="835">
        <v>41486</v>
      </c>
      <c r="AK17126" s="831">
        <v>0.7841583333333334</v>
      </c>
    </row>
    <row r="17127" spans="2:37">
      <c r="B17127" s="834" t="str">
        <f t="shared" si="615"/>
        <v>|||</v>
      </c>
      <c r="H17127" s="835">
        <f t="shared" si="616"/>
        <v>31</v>
      </c>
      <c r="AF17127" s="831" t="s">
        <v>11018</v>
      </c>
      <c r="AG17127" s="831" t="s">
        <v>2674</v>
      </c>
      <c r="AH17127" s="831" t="s">
        <v>568</v>
      </c>
      <c r="AI17127" s="831">
        <v>0</v>
      </c>
      <c r="AJ17127" s="835">
        <v>41486</v>
      </c>
      <c r="AK17127" s="831">
        <v>431219750.30769229</v>
      </c>
    </row>
    <row r="17128" spans="2:37">
      <c r="B17128" s="834" t="str">
        <f t="shared" si="615"/>
        <v>|||</v>
      </c>
      <c r="H17128" s="835">
        <f t="shared" si="616"/>
        <v>31</v>
      </c>
      <c r="AF17128" s="831" t="s">
        <v>11019</v>
      </c>
      <c r="AG17128" s="831" t="s">
        <v>2674</v>
      </c>
      <c r="AH17128" s="831" t="s">
        <v>569</v>
      </c>
      <c r="AI17128" s="831">
        <v>0</v>
      </c>
      <c r="AJ17128" s="835">
        <v>41486</v>
      </c>
      <c r="AK17128" s="831">
        <v>525226803</v>
      </c>
    </row>
    <row r="17129" spans="2:37">
      <c r="B17129" s="834" t="str">
        <f t="shared" si="615"/>
        <v>|||</v>
      </c>
      <c r="H17129" s="835">
        <f t="shared" si="616"/>
        <v>31</v>
      </c>
      <c r="AF17129" s="831" t="s">
        <v>11020</v>
      </c>
      <c r="AG17129" s="831" t="s">
        <v>2674</v>
      </c>
      <c r="AH17129" s="831" t="s">
        <v>570</v>
      </c>
      <c r="AI17129" s="831">
        <v>0</v>
      </c>
      <c r="AJ17129" s="835">
        <v>41486</v>
      </c>
      <c r="AK17129" s="831">
        <v>100992550.61538461</v>
      </c>
    </row>
    <row r="17130" spans="2:37">
      <c r="B17130" s="834" t="str">
        <f t="shared" si="615"/>
        <v>|||</v>
      </c>
      <c r="H17130" s="835">
        <f t="shared" si="616"/>
        <v>31</v>
      </c>
      <c r="AF17130" s="831" t="s">
        <v>11021</v>
      </c>
      <c r="AG17130" s="831" t="s">
        <v>2674</v>
      </c>
      <c r="AH17130" s="831" t="s">
        <v>571</v>
      </c>
      <c r="AI17130" s="831">
        <v>0</v>
      </c>
      <c r="AJ17130" s="835">
        <v>41486</v>
      </c>
      <c r="AK17130" s="831">
        <v>233627225.76923078</v>
      </c>
    </row>
    <row r="17131" spans="2:37">
      <c r="B17131" s="834" t="str">
        <f t="shared" si="615"/>
        <v>|||</v>
      </c>
      <c r="H17131" s="835">
        <f t="shared" si="616"/>
        <v>31</v>
      </c>
      <c r="AF17131" s="831" t="s">
        <v>11022</v>
      </c>
      <c r="AG17131" s="831" t="s">
        <v>2674</v>
      </c>
      <c r="AH17131" s="831" t="s">
        <v>573</v>
      </c>
      <c r="AI17131" s="831">
        <v>0</v>
      </c>
      <c r="AJ17131" s="835">
        <v>41486</v>
      </c>
      <c r="AK17131" s="831">
        <v>569857313.625</v>
      </c>
    </row>
    <row r="17132" spans="2:37">
      <c r="B17132" s="834" t="str">
        <f t="shared" si="615"/>
        <v>|||</v>
      </c>
      <c r="H17132" s="835">
        <f t="shared" si="616"/>
        <v>31</v>
      </c>
      <c r="AF17132" s="831" t="s">
        <v>11023</v>
      </c>
      <c r="AG17132" s="831" t="s">
        <v>2674</v>
      </c>
      <c r="AH17132" s="831" t="s">
        <v>574</v>
      </c>
      <c r="AI17132" s="831">
        <v>0</v>
      </c>
      <c r="AJ17132" s="835">
        <v>41486</v>
      </c>
      <c r="AK17132" s="831">
        <v>469485522.25</v>
      </c>
    </row>
    <row r="17133" spans="2:37">
      <c r="B17133" s="834" t="str">
        <f t="shared" si="615"/>
        <v>|||</v>
      </c>
      <c r="H17133" s="835">
        <f t="shared" si="616"/>
        <v>31</v>
      </c>
      <c r="AF17133" s="831" t="s">
        <v>11024</v>
      </c>
      <c r="AG17133" s="831" t="s">
        <v>2674</v>
      </c>
      <c r="AH17133" s="831" t="s">
        <v>575</v>
      </c>
      <c r="AI17133" s="831">
        <v>0</v>
      </c>
      <c r="AJ17133" s="835">
        <v>41486</v>
      </c>
      <c r="AK17133" s="831">
        <v>103170462.125</v>
      </c>
    </row>
    <row r="17134" spans="2:37">
      <c r="B17134" s="834" t="str">
        <f t="shared" si="615"/>
        <v>|||</v>
      </c>
      <c r="H17134" s="835">
        <f t="shared" si="616"/>
        <v>31</v>
      </c>
      <c r="AF17134" s="831" t="s">
        <v>11025</v>
      </c>
      <c r="AG17134" s="831" t="s">
        <v>2674</v>
      </c>
      <c r="AH17134" s="831" t="s">
        <v>576</v>
      </c>
      <c r="AI17134" s="831">
        <v>0</v>
      </c>
      <c r="AJ17134" s="835">
        <v>41486</v>
      </c>
      <c r="AK17134" s="831">
        <v>265012255.125</v>
      </c>
    </row>
    <row r="17135" spans="2:37">
      <c r="B17135" s="834" t="str">
        <f t="shared" si="615"/>
        <v>|||</v>
      </c>
      <c r="H17135" s="835">
        <f t="shared" si="616"/>
        <v>31</v>
      </c>
      <c r="AF17135" s="831" t="s">
        <v>11026</v>
      </c>
      <c r="AG17135" s="831" t="s">
        <v>2674</v>
      </c>
      <c r="AH17135" s="831" t="s">
        <v>572</v>
      </c>
      <c r="AI17135" s="831">
        <v>0</v>
      </c>
      <c r="AJ17135" s="835">
        <v>41486</v>
      </c>
      <c r="AK17135" s="831">
        <v>23860386</v>
      </c>
    </row>
    <row r="17136" spans="2:37">
      <c r="B17136" s="834" t="str">
        <f t="shared" si="615"/>
        <v>|||</v>
      </c>
      <c r="H17136" s="835">
        <f t="shared" si="616"/>
        <v>31</v>
      </c>
      <c r="AF17136" s="831" t="s">
        <v>11027</v>
      </c>
      <c r="AG17136" s="831" t="s">
        <v>2674</v>
      </c>
      <c r="AH17136" s="831" t="s">
        <v>577</v>
      </c>
      <c r="AI17136" s="831">
        <v>0</v>
      </c>
      <c r="AJ17136" s="835">
        <v>41486</v>
      </c>
      <c r="AK17136" s="831">
        <v>116281669</v>
      </c>
    </row>
    <row r="17137" spans="2:37">
      <c r="B17137" s="834" t="str">
        <f t="shared" si="615"/>
        <v>|||</v>
      </c>
      <c r="H17137" s="835">
        <f t="shared" si="616"/>
        <v>31</v>
      </c>
      <c r="AF17137" s="831" t="s">
        <v>11028</v>
      </c>
      <c r="AG17137" s="831" t="s">
        <v>2674</v>
      </c>
      <c r="AH17137" s="831" t="s">
        <v>3042</v>
      </c>
      <c r="AI17137" s="831">
        <v>0</v>
      </c>
      <c r="AJ17137" s="835">
        <v>41486</v>
      </c>
      <c r="AK17137" s="831">
        <v>-28313674</v>
      </c>
    </row>
    <row r="17138" spans="2:37">
      <c r="B17138" s="834" t="str">
        <f t="shared" si="615"/>
        <v>|||</v>
      </c>
      <c r="H17138" s="835">
        <f t="shared" si="616"/>
        <v>31</v>
      </c>
      <c r="AF17138" s="831" t="s">
        <v>11029</v>
      </c>
      <c r="AG17138" s="831" t="s">
        <v>2674</v>
      </c>
      <c r="AH17138" s="831" t="s">
        <v>3044</v>
      </c>
      <c r="AI17138" s="831">
        <v>0</v>
      </c>
      <c r="AJ17138" s="835">
        <v>41486</v>
      </c>
      <c r="AK17138" s="831">
        <v>-4195755</v>
      </c>
    </row>
    <row r="17139" spans="2:37">
      <c r="B17139" s="834" t="str">
        <f t="shared" si="615"/>
        <v>|||</v>
      </c>
      <c r="H17139" s="835">
        <f t="shared" si="616"/>
        <v>31</v>
      </c>
      <c r="AF17139" s="831" t="s">
        <v>11030</v>
      </c>
      <c r="AG17139" s="831" t="s">
        <v>2674</v>
      </c>
      <c r="AH17139" s="831" t="s">
        <v>580</v>
      </c>
      <c r="AI17139" s="831">
        <v>0</v>
      </c>
      <c r="AJ17139" s="835">
        <v>41486</v>
      </c>
      <c r="AK17139" s="831">
        <v>-57513801</v>
      </c>
    </row>
    <row r="17140" spans="2:37">
      <c r="B17140" s="834" t="str">
        <f t="shared" si="615"/>
        <v>|||</v>
      </c>
      <c r="H17140" s="835">
        <f t="shared" si="616"/>
        <v>31</v>
      </c>
      <c r="AF17140" s="831" t="s">
        <v>11031</v>
      </c>
      <c r="AG17140" s="831" t="s">
        <v>2674</v>
      </c>
      <c r="AH17140" s="831" t="s">
        <v>581</v>
      </c>
      <c r="AI17140" s="831">
        <v>0</v>
      </c>
      <c r="AJ17140" s="835">
        <v>41486</v>
      </c>
      <c r="AK17140" s="831">
        <v>4189789</v>
      </c>
    </row>
    <row r="17141" spans="2:37">
      <c r="B17141" s="834" t="str">
        <f t="shared" si="615"/>
        <v>|||</v>
      </c>
      <c r="H17141" s="835">
        <f t="shared" si="616"/>
        <v>31</v>
      </c>
      <c r="AF17141" s="831" t="s">
        <v>11032</v>
      </c>
      <c r="AG17141" s="831" t="s">
        <v>2674</v>
      </c>
      <c r="AH17141" s="831" t="s">
        <v>105</v>
      </c>
      <c r="AI17141" s="831">
        <v>0</v>
      </c>
      <c r="AJ17141" s="835">
        <v>41486</v>
      </c>
      <c r="AK17141" s="831">
        <v>321921227</v>
      </c>
    </row>
    <row r="17142" spans="2:37">
      <c r="B17142" s="834" t="str">
        <f t="shared" si="615"/>
        <v>|||</v>
      </c>
      <c r="H17142" s="835">
        <f t="shared" si="616"/>
        <v>31</v>
      </c>
      <c r="AF17142" s="831" t="s">
        <v>11033</v>
      </c>
      <c r="AG17142" s="831" t="s">
        <v>2674</v>
      </c>
      <c r="AH17142" s="831" t="s">
        <v>3049</v>
      </c>
      <c r="AI17142" s="831">
        <v>0</v>
      </c>
      <c r="AJ17142" s="835">
        <v>41486</v>
      </c>
      <c r="AK17142" s="831">
        <v>533353115</v>
      </c>
    </row>
    <row r="17143" spans="2:37">
      <c r="B17143" s="834" t="str">
        <f t="shared" si="615"/>
        <v>|||</v>
      </c>
      <c r="H17143" s="835">
        <f t="shared" si="616"/>
        <v>31</v>
      </c>
      <c r="AF17143" s="831" t="s">
        <v>11034</v>
      </c>
      <c r="AG17143" s="831" t="s">
        <v>2674</v>
      </c>
      <c r="AH17143" s="831" t="s">
        <v>103</v>
      </c>
      <c r="AI17143" s="831">
        <v>0</v>
      </c>
      <c r="AJ17143" s="835">
        <v>41486</v>
      </c>
      <c r="AK17143" s="831">
        <v>211431888</v>
      </c>
    </row>
    <row r="17144" spans="2:37">
      <c r="B17144" s="834" t="str">
        <f t="shared" si="615"/>
        <v>|||</v>
      </c>
      <c r="H17144" s="835">
        <f t="shared" si="616"/>
        <v>31</v>
      </c>
      <c r="AF17144" s="831" t="s">
        <v>11035</v>
      </c>
      <c r="AG17144" s="831" t="s">
        <v>2674</v>
      </c>
      <c r="AH17144" s="831" t="s">
        <v>182</v>
      </c>
      <c r="AI17144" s="831">
        <v>0</v>
      </c>
      <c r="AJ17144" s="835">
        <v>41486</v>
      </c>
      <c r="AK17144" s="831">
        <v>58107797.142857142</v>
      </c>
    </row>
    <row r="17145" spans="2:37">
      <c r="B17145" s="834" t="str">
        <f t="shared" si="615"/>
        <v>|||</v>
      </c>
      <c r="H17145" s="835">
        <f t="shared" si="616"/>
        <v>31</v>
      </c>
      <c r="AF17145" s="831" t="s">
        <v>11036</v>
      </c>
      <c r="AG17145" s="831" t="s">
        <v>2674</v>
      </c>
      <c r="AH17145" s="831" t="s">
        <v>6600</v>
      </c>
      <c r="AI17145" s="831">
        <v>0</v>
      </c>
      <c r="AJ17145" s="835">
        <v>41486</v>
      </c>
      <c r="AK17145" s="831">
        <v>23860386</v>
      </c>
    </row>
    <row r="17146" spans="2:37">
      <c r="B17146" s="834" t="str">
        <f t="shared" si="615"/>
        <v>|||</v>
      </c>
      <c r="H17146" s="835">
        <f t="shared" si="616"/>
        <v>31</v>
      </c>
      <c r="AF17146" s="831" t="s">
        <v>11037</v>
      </c>
      <c r="AG17146" s="831" t="s">
        <v>2674</v>
      </c>
      <c r="AH17146" s="831" t="s">
        <v>6602</v>
      </c>
      <c r="AI17146" s="831">
        <v>0</v>
      </c>
      <c r="AJ17146" s="835">
        <v>41486</v>
      </c>
      <c r="AK17146" s="831">
        <v>16124340</v>
      </c>
    </row>
    <row r="17147" spans="2:37">
      <c r="B17147" s="834" t="str">
        <f t="shared" si="615"/>
        <v>|||</v>
      </c>
      <c r="H17147" s="835">
        <f t="shared" si="616"/>
        <v>31</v>
      </c>
      <c r="AF17147" s="831" t="s">
        <v>11038</v>
      </c>
      <c r="AG17147" s="831" t="s">
        <v>2674</v>
      </c>
      <c r="AH17147" s="831" t="s">
        <v>650</v>
      </c>
      <c r="AI17147" s="831">
        <v>0</v>
      </c>
      <c r="AJ17147" s="835">
        <v>41486</v>
      </c>
      <c r="AK17147" s="831">
        <v>176984761.69230768</v>
      </c>
    </row>
    <row r="17148" spans="2:37">
      <c r="B17148" s="834" t="str">
        <f t="shared" si="615"/>
        <v>|||</v>
      </c>
      <c r="H17148" s="835">
        <f t="shared" si="616"/>
        <v>31</v>
      </c>
      <c r="AF17148" s="831" t="s">
        <v>11039</v>
      </c>
      <c r="AG17148" s="831" t="s">
        <v>2674</v>
      </c>
      <c r="AH17148" s="831" t="s">
        <v>655</v>
      </c>
      <c r="AI17148" s="831">
        <v>0</v>
      </c>
      <c r="AJ17148" s="835">
        <v>41486</v>
      </c>
      <c r="AK17148" s="831">
        <v>1081919.6189999999</v>
      </c>
    </row>
    <row r="17149" spans="2:37">
      <c r="B17149" s="834" t="str">
        <f t="shared" si="615"/>
        <v>|||</v>
      </c>
      <c r="H17149" s="835">
        <f t="shared" si="616"/>
        <v>31</v>
      </c>
      <c r="AF17149" s="831" t="s">
        <v>11040</v>
      </c>
      <c r="AG17149" s="831" t="s">
        <v>2674</v>
      </c>
      <c r="AH17149" s="831" t="s">
        <v>546</v>
      </c>
      <c r="AI17149" s="831">
        <v>0</v>
      </c>
      <c r="AJ17149" s="835">
        <v>41517</v>
      </c>
      <c r="AK17149" s="831">
        <v>548671343</v>
      </c>
    </row>
    <row r="17150" spans="2:37">
      <c r="B17150" s="834" t="str">
        <f t="shared" si="615"/>
        <v>|||</v>
      </c>
      <c r="H17150" s="835">
        <f t="shared" si="616"/>
        <v>31</v>
      </c>
      <c r="AF17150" s="831" t="s">
        <v>11041</v>
      </c>
      <c r="AG17150" s="831" t="s">
        <v>2674</v>
      </c>
      <c r="AH17150" s="831" t="s">
        <v>370</v>
      </c>
      <c r="AI17150" s="831">
        <v>0</v>
      </c>
      <c r="AJ17150" s="835">
        <v>41517</v>
      </c>
      <c r="AK17150" s="831">
        <v>657414575</v>
      </c>
    </row>
    <row r="17151" spans="2:37">
      <c r="B17151" s="834" t="str">
        <f t="shared" si="615"/>
        <v>|||</v>
      </c>
      <c r="H17151" s="835">
        <f t="shared" si="616"/>
        <v>31</v>
      </c>
      <c r="AF17151" s="831" t="s">
        <v>11042</v>
      </c>
      <c r="AG17151" s="831" t="s">
        <v>2674</v>
      </c>
      <c r="AH17151" s="831" t="s">
        <v>126</v>
      </c>
      <c r="AI17151" s="831">
        <v>0</v>
      </c>
      <c r="AJ17151" s="835">
        <v>41517</v>
      </c>
      <c r="AK17151" s="831">
        <v>113874944</v>
      </c>
    </row>
    <row r="17152" spans="2:37">
      <c r="B17152" s="834" t="str">
        <f t="shared" si="615"/>
        <v>|||</v>
      </c>
      <c r="H17152" s="835">
        <f t="shared" si="616"/>
        <v>31</v>
      </c>
      <c r="AF17152" s="831" t="s">
        <v>11043</v>
      </c>
      <c r="AG17152" s="831" t="s">
        <v>2674</v>
      </c>
      <c r="AH17152" s="831" t="s">
        <v>268</v>
      </c>
      <c r="AI17152" s="831">
        <v>0</v>
      </c>
      <c r="AJ17152" s="835">
        <v>41517</v>
      </c>
      <c r="AK17152" s="831">
        <v>19111719</v>
      </c>
    </row>
    <row r="17153" spans="2:37">
      <c r="B17153" s="834" t="str">
        <f t="shared" si="615"/>
        <v>|||</v>
      </c>
      <c r="H17153" s="835">
        <f t="shared" si="616"/>
        <v>31</v>
      </c>
      <c r="AF17153" s="831" t="s">
        <v>11044</v>
      </c>
      <c r="AG17153" s="831" t="s">
        <v>2674</v>
      </c>
      <c r="AH17153" s="831" t="s">
        <v>547</v>
      </c>
      <c r="AI17153" s="831">
        <v>0</v>
      </c>
      <c r="AJ17153" s="835">
        <v>41517</v>
      </c>
      <c r="AK17153" s="831">
        <v>511487760</v>
      </c>
    </row>
    <row r="17154" spans="2:37">
      <c r="B17154" s="834" t="str">
        <f t="shared" si="615"/>
        <v>|||</v>
      </c>
      <c r="H17154" s="835">
        <f t="shared" si="616"/>
        <v>31</v>
      </c>
      <c r="AF17154" s="831" t="s">
        <v>11045</v>
      </c>
      <c r="AG17154" s="831" t="s">
        <v>2674</v>
      </c>
      <c r="AH17154" s="831" t="s">
        <v>548</v>
      </c>
      <c r="AI17154" s="831">
        <v>0</v>
      </c>
      <c r="AJ17154" s="835">
        <v>41517</v>
      </c>
      <c r="AK17154" s="831">
        <v>96883184</v>
      </c>
    </row>
    <row r="17155" spans="2:37">
      <c r="B17155" s="834" t="str">
        <f t="shared" si="615"/>
        <v>|||</v>
      </c>
      <c r="H17155" s="835">
        <f t="shared" si="616"/>
        <v>31</v>
      </c>
      <c r="AF17155" s="831" t="s">
        <v>11046</v>
      </c>
      <c r="AG17155" s="831" t="s">
        <v>2674</v>
      </c>
      <c r="AH17155" s="831" t="s">
        <v>549</v>
      </c>
      <c r="AI17155" s="831">
        <v>0</v>
      </c>
      <c r="AJ17155" s="835">
        <v>41517</v>
      </c>
      <c r="AK17155" s="831">
        <v>362295244</v>
      </c>
    </row>
    <row r="17156" spans="2:37">
      <c r="B17156" s="834" t="str">
        <f t="shared" si="615"/>
        <v>|||</v>
      </c>
      <c r="H17156" s="835">
        <f t="shared" si="616"/>
        <v>31</v>
      </c>
      <c r="AF17156" s="831" t="s">
        <v>11047</v>
      </c>
      <c r="AG17156" s="831" t="s">
        <v>2674</v>
      </c>
      <c r="AH17156" s="831" t="s">
        <v>192</v>
      </c>
      <c r="AI17156" s="831">
        <v>0</v>
      </c>
      <c r="AJ17156" s="835">
        <v>41517</v>
      </c>
      <c r="AK17156" s="831">
        <v>-12472831</v>
      </c>
    </row>
    <row r="17157" spans="2:37">
      <c r="B17157" s="834" t="str">
        <f t="shared" si="615"/>
        <v>|||</v>
      </c>
      <c r="H17157" s="835">
        <f t="shared" si="616"/>
        <v>31</v>
      </c>
      <c r="AF17157" s="831" t="s">
        <v>11048</v>
      </c>
      <c r="AG17157" s="831" t="s">
        <v>2674</v>
      </c>
      <c r="AH17157" s="831" t="s">
        <v>558</v>
      </c>
      <c r="AI17157" s="831">
        <v>0</v>
      </c>
      <c r="AJ17157" s="835">
        <v>41517</v>
      </c>
      <c r="AK17157" s="831">
        <v>543539630.65999997</v>
      </c>
    </row>
    <row r="17158" spans="2:37">
      <c r="B17158" s="834" t="str">
        <f t="shared" si="615"/>
        <v>|||</v>
      </c>
      <c r="H17158" s="835">
        <f t="shared" si="616"/>
        <v>31</v>
      </c>
      <c r="AF17158" s="831" t="s">
        <v>11049</v>
      </c>
      <c r="AG17158" s="831" t="s">
        <v>2674</v>
      </c>
      <c r="AH17158" s="831" t="s">
        <v>65</v>
      </c>
      <c r="AI17158" s="831">
        <v>0</v>
      </c>
      <c r="AJ17158" s="835">
        <v>41517</v>
      </c>
      <c r="AK17158" s="831">
        <v>83388551</v>
      </c>
    </row>
    <row r="17159" spans="2:37">
      <c r="B17159" s="834" t="str">
        <f t="shared" si="615"/>
        <v>|||</v>
      </c>
      <c r="H17159" s="835">
        <f t="shared" si="616"/>
        <v>31</v>
      </c>
      <c r="AF17159" s="831" t="s">
        <v>11050</v>
      </c>
      <c r="AG17159" s="831" t="s">
        <v>2674</v>
      </c>
      <c r="AH17159" s="831" t="s">
        <v>89</v>
      </c>
      <c r="AI17159" s="831">
        <v>0</v>
      </c>
      <c r="AJ17159" s="835">
        <v>41517</v>
      </c>
      <c r="AK17159" s="831">
        <v>139614</v>
      </c>
    </row>
    <row r="17160" spans="2:37">
      <c r="B17160" s="834" t="str">
        <f t="shared" si="615"/>
        <v>|||</v>
      </c>
      <c r="H17160" s="835">
        <f t="shared" si="616"/>
        <v>31</v>
      </c>
      <c r="AF17160" s="831" t="s">
        <v>11051</v>
      </c>
      <c r="AG17160" s="831" t="s">
        <v>2674</v>
      </c>
      <c r="AH17160" s="831" t="s">
        <v>557</v>
      </c>
      <c r="AI17160" s="831">
        <v>0</v>
      </c>
      <c r="AJ17160" s="835">
        <v>41517</v>
      </c>
      <c r="AK17160" s="831">
        <v>147732</v>
      </c>
    </row>
    <row r="17161" spans="2:37">
      <c r="B17161" s="834" t="str">
        <f t="shared" si="615"/>
        <v>|||</v>
      </c>
      <c r="H17161" s="835">
        <f t="shared" si="616"/>
        <v>31</v>
      </c>
      <c r="AF17161" s="831" t="s">
        <v>11052</v>
      </c>
      <c r="AG17161" s="831" t="s">
        <v>2674</v>
      </c>
      <c r="AH17161" s="831" t="s">
        <v>29</v>
      </c>
      <c r="AI17161" s="831">
        <v>0</v>
      </c>
      <c r="AJ17161" s="835">
        <v>41517</v>
      </c>
      <c r="AK17161" s="831">
        <v>1641079.85</v>
      </c>
    </row>
    <row r="17162" spans="2:37">
      <c r="B17162" s="834" t="str">
        <f t="shared" si="615"/>
        <v>|||</v>
      </c>
      <c r="H17162" s="835">
        <f t="shared" si="616"/>
        <v>31</v>
      </c>
      <c r="AF17162" s="831" t="s">
        <v>11053</v>
      </c>
      <c r="AG17162" s="831" t="s">
        <v>2674</v>
      </c>
      <c r="AH17162" s="831" t="s">
        <v>2688</v>
      </c>
      <c r="AI17162" s="831">
        <v>0</v>
      </c>
      <c r="AJ17162" s="835">
        <v>41517</v>
      </c>
      <c r="AK17162" s="831">
        <v>1980496.8299999998</v>
      </c>
    </row>
    <row r="17163" spans="2:37">
      <c r="B17163" s="834" t="str">
        <f t="shared" si="615"/>
        <v>|||</v>
      </c>
      <c r="H17163" s="835">
        <f t="shared" si="616"/>
        <v>31</v>
      </c>
      <c r="AF17163" s="831" t="s">
        <v>11054</v>
      </c>
      <c r="AG17163" s="831" t="s">
        <v>2674</v>
      </c>
      <c r="AH17163" s="831" t="s">
        <v>556</v>
      </c>
      <c r="AI17163" s="831">
        <v>0</v>
      </c>
      <c r="AJ17163" s="835">
        <v>41517</v>
      </c>
      <c r="AK17163" s="831">
        <v>1644732</v>
      </c>
    </row>
    <row r="17164" spans="2:37">
      <c r="B17164" s="834" t="str">
        <f t="shared" si="615"/>
        <v>|||</v>
      </c>
      <c r="H17164" s="835">
        <f t="shared" si="616"/>
        <v>31</v>
      </c>
      <c r="AF17164" s="831" t="s">
        <v>11055</v>
      </c>
      <c r="AG17164" s="831" t="s">
        <v>2674</v>
      </c>
      <c r="AH17164" s="831" t="s">
        <v>555</v>
      </c>
      <c r="AI17164" s="831">
        <v>0</v>
      </c>
      <c r="AJ17164" s="835">
        <v>41517</v>
      </c>
      <c r="AK17164" s="831">
        <v>349976200</v>
      </c>
    </row>
    <row r="17165" spans="2:37">
      <c r="B17165" s="834" t="str">
        <f t="shared" si="615"/>
        <v>|||</v>
      </c>
      <c r="H17165" s="835">
        <f t="shared" si="616"/>
        <v>31</v>
      </c>
      <c r="AF17165" s="831" t="s">
        <v>11056</v>
      </c>
      <c r="AG17165" s="831" t="s">
        <v>2674</v>
      </c>
      <c r="AH17165" s="831" t="s">
        <v>554</v>
      </c>
      <c r="AI17165" s="831">
        <v>0</v>
      </c>
      <c r="AJ17165" s="835">
        <v>41517</v>
      </c>
      <c r="AK17165" s="831">
        <v>362271180</v>
      </c>
    </row>
    <row r="17166" spans="2:37">
      <c r="B17166" s="834" t="str">
        <f t="shared" si="615"/>
        <v>|||</v>
      </c>
      <c r="H17166" s="835">
        <f t="shared" si="616"/>
        <v>31</v>
      </c>
      <c r="AF17166" s="831" t="s">
        <v>11057</v>
      </c>
      <c r="AG17166" s="831" t="s">
        <v>2674</v>
      </c>
      <c r="AH17166" s="831" t="s">
        <v>553</v>
      </c>
      <c r="AI17166" s="831">
        <v>0</v>
      </c>
      <c r="AJ17166" s="835">
        <v>41517</v>
      </c>
      <c r="AK17166" s="831">
        <v>0</v>
      </c>
    </row>
    <row r="17167" spans="2:37">
      <c r="B17167" s="834" t="str">
        <f t="shared" si="615"/>
        <v>|||</v>
      </c>
      <c r="H17167" s="835">
        <f t="shared" si="616"/>
        <v>31</v>
      </c>
      <c r="AF17167" s="831" t="s">
        <v>11058</v>
      </c>
      <c r="AG17167" s="831" t="s">
        <v>2674</v>
      </c>
      <c r="AH17167" s="831" t="s">
        <v>552</v>
      </c>
      <c r="AI17167" s="831">
        <v>0</v>
      </c>
      <c r="AJ17167" s="835">
        <v>41517</v>
      </c>
      <c r="AK17167" s="831">
        <v>0</v>
      </c>
    </row>
    <row r="17168" spans="2:37">
      <c r="B17168" s="834" t="str">
        <f t="shared" si="615"/>
        <v>|||</v>
      </c>
      <c r="H17168" s="835">
        <f t="shared" si="616"/>
        <v>31</v>
      </c>
      <c r="AF17168" s="831" t="s">
        <v>11059</v>
      </c>
      <c r="AG17168" s="831" t="s">
        <v>2674</v>
      </c>
      <c r="AH17168" s="831" t="s">
        <v>551</v>
      </c>
      <c r="AI17168" s="831">
        <v>0</v>
      </c>
      <c r="AJ17168" s="835">
        <v>41517</v>
      </c>
      <c r="AK17168" s="831">
        <v>1337345.54</v>
      </c>
    </row>
    <row r="17169" spans="2:37">
      <c r="B17169" s="834" t="str">
        <f t="shared" ref="B17169:B17232" si="617">C17169&amp;"|"&amp;D17169&amp;"|"&amp;E17169&amp;"|"&amp;F17169</f>
        <v>|||</v>
      </c>
      <c r="H17169" s="835">
        <f t="shared" ref="H17169:H17232" si="618">EOMONTH(L17169,0)</f>
        <v>31</v>
      </c>
      <c r="AF17169" s="831" t="s">
        <v>11060</v>
      </c>
      <c r="AG17169" s="831" t="s">
        <v>2674</v>
      </c>
      <c r="AH17169" s="831" t="s">
        <v>550</v>
      </c>
      <c r="AI17169" s="831">
        <v>0</v>
      </c>
      <c r="AJ17169" s="835">
        <v>41517</v>
      </c>
      <c r="AK17169" s="831">
        <v>110887562</v>
      </c>
    </row>
    <row r="17170" spans="2:37">
      <c r="B17170" s="834" t="str">
        <f t="shared" si="617"/>
        <v>|||</v>
      </c>
      <c r="H17170" s="835">
        <f t="shared" si="618"/>
        <v>31</v>
      </c>
      <c r="AF17170" s="831" t="s">
        <v>11061</v>
      </c>
      <c r="AG17170" s="831" t="s">
        <v>2674</v>
      </c>
      <c r="AH17170" s="831" t="s">
        <v>562</v>
      </c>
      <c r="AI17170" s="831">
        <v>0</v>
      </c>
      <c r="AJ17170" s="835">
        <v>41517</v>
      </c>
      <c r="AK17170" s="831">
        <v>0.78385000000000005</v>
      </c>
    </row>
    <row r="17171" spans="2:37">
      <c r="B17171" s="834" t="str">
        <f t="shared" si="617"/>
        <v>|||</v>
      </c>
      <c r="H17171" s="835">
        <f t="shared" si="618"/>
        <v>31</v>
      </c>
      <c r="AF17171" s="831" t="s">
        <v>11062</v>
      </c>
      <c r="AG17171" s="831" t="s">
        <v>2674</v>
      </c>
      <c r="AH17171" s="831" t="s">
        <v>2698</v>
      </c>
      <c r="AI17171" s="831">
        <v>0</v>
      </c>
      <c r="AJ17171" s="835">
        <v>41517</v>
      </c>
      <c r="AK17171" s="831">
        <v>0.78374999999999995</v>
      </c>
    </row>
    <row r="17172" spans="2:37">
      <c r="B17172" s="834" t="str">
        <f t="shared" si="617"/>
        <v>|||</v>
      </c>
      <c r="H17172" s="835">
        <f t="shared" si="618"/>
        <v>31</v>
      </c>
      <c r="AF17172" s="831" t="s">
        <v>11063</v>
      </c>
      <c r="AG17172" s="831" t="s">
        <v>2674</v>
      </c>
      <c r="AH17172" s="831" t="s">
        <v>560</v>
      </c>
      <c r="AI17172" s="831">
        <v>0</v>
      </c>
      <c r="AJ17172" s="835">
        <v>41517</v>
      </c>
      <c r="AK17172" s="831">
        <v>0.7840125</v>
      </c>
    </row>
    <row r="17173" spans="2:37">
      <c r="B17173" s="834" t="str">
        <f t="shared" si="617"/>
        <v>|||</v>
      </c>
      <c r="H17173" s="835">
        <f t="shared" si="618"/>
        <v>31</v>
      </c>
      <c r="AF17173" s="831" t="s">
        <v>11064</v>
      </c>
      <c r="AG17173" s="831" t="s">
        <v>2674</v>
      </c>
      <c r="AH17173" s="831" t="s">
        <v>559</v>
      </c>
      <c r="AI17173" s="831">
        <v>0</v>
      </c>
      <c r="AJ17173" s="835">
        <v>41517</v>
      </c>
      <c r="AK17173" s="831">
        <v>0.78410416666666671</v>
      </c>
    </row>
    <row r="17174" spans="2:37">
      <c r="B17174" s="834" t="str">
        <f t="shared" si="617"/>
        <v>|||</v>
      </c>
      <c r="H17174" s="835">
        <f t="shared" si="618"/>
        <v>31</v>
      </c>
      <c r="AF17174" s="831" t="s">
        <v>11065</v>
      </c>
      <c r="AG17174" s="831" t="s">
        <v>2674</v>
      </c>
      <c r="AH17174" s="831" t="s">
        <v>568</v>
      </c>
      <c r="AI17174" s="831">
        <v>0</v>
      </c>
      <c r="AJ17174" s="835">
        <v>41517</v>
      </c>
      <c r="AK17174" s="831">
        <v>446494134.38461536</v>
      </c>
    </row>
    <row r="17175" spans="2:37">
      <c r="B17175" s="834" t="str">
        <f t="shared" si="617"/>
        <v>|||</v>
      </c>
      <c r="H17175" s="835">
        <f t="shared" si="618"/>
        <v>31</v>
      </c>
      <c r="AF17175" s="831" t="s">
        <v>11066</v>
      </c>
      <c r="AG17175" s="831" t="s">
        <v>2674</v>
      </c>
      <c r="AH17175" s="831" t="s">
        <v>569</v>
      </c>
      <c r="AI17175" s="831">
        <v>0</v>
      </c>
      <c r="AJ17175" s="835">
        <v>41517</v>
      </c>
      <c r="AK17175" s="831">
        <v>542095460.15384614</v>
      </c>
    </row>
    <row r="17176" spans="2:37">
      <c r="B17176" s="834" t="str">
        <f t="shared" si="617"/>
        <v>|||</v>
      </c>
      <c r="H17176" s="835">
        <f t="shared" si="618"/>
        <v>31</v>
      </c>
      <c r="AF17176" s="831" t="s">
        <v>11067</v>
      </c>
      <c r="AG17176" s="831" t="s">
        <v>2674</v>
      </c>
      <c r="AH17176" s="831" t="s">
        <v>570</v>
      </c>
      <c r="AI17176" s="831">
        <v>0</v>
      </c>
      <c r="AJ17176" s="835">
        <v>41517</v>
      </c>
      <c r="AK17176" s="831">
        <v>102565482.6923077</v>
      </c>
    </row>
    <row r="17177" spans="2:37">
      <c r="B17177" s="834" t="str">
        <f t="shared" si="617"/>
        <v>|||</v>
      </c>
      <c r="H17177" s="835">
        <f t="shared" si="618"/>
        <v>31</v>
      </c>
      <c r="AF17177" s="831" t="s">
        <v>11068</v>
      </c>
      <c r="AG17177" s="831" t="s">
        <v>2674</v>
      </c>
      <c r="AH17177" s="831" t="s">
        <v>571</v>
      </c>
      <c r="AI17177" s="831">
        <v>0</v>
      </c>
      <c r="AJ17177" s="835">
        <v>41517</v>
      </c>
      <c r="AK17177" s="831">
        <v>245131875.46153846</v>
      </c>
    </row>
    <row r="17178" spans="2:37">
      <c r="B17178" s="834" t="str">
        <f t="shared" si="617"/>
        <v>|||</v>
      </c>
      <c r="H17178" s="835">
        <f t="shared" si="618"/>
        <v>31</v>
      </c>
      <c r="AF17178" s="831" t="s">
        <v>11069</v>
      </c>
      <c r="AG17178" s="831" t="s">
        <v>2674</v>
      </c>
      <c r="AH17178" s="831" t="s">
        <v>573</v>
      </c>
      <c r="AI17178" s="831">
        <v>0</v>
      </c>
      <c r="AJ17178" s="835">
        <v>41517</v>
      </c>
      <c r="AK17178" s="831">
        <v>579585898.22222221</v>
      </c>
    </row>
    <row r="17179" spans="2:37">
      <c r="B17179" s="834" t="str">
        <f t="shared" si="617"/>
        <v>|||</v>
      </c>
      <c r="H17179" s="835">
        <f t="shared" si="618"/>
        <v>31</v>
      </c>
      <c r="AF17179" s="831" t="s">
        <v>11070</v>
      </c>
      <c r="AG17179" s="831" t="s">
        <v>2674</v>
      </c>
      <c r="AH17179" s="831" t="s">
        <v>574</v>
      </c>
      <c r="AI17179" s="831">
        <v>0</v>
      </c>
      <c r="AJ17179" s="835">
        <v>41517</v>
      </c>
      <c r="AK17179" s="831">
        <v>478283946.77777779</v>
      </c>
    </row>
    <row r="17180" spans="2:37">
      <c r="B17180" s="834" t="str">
        <f t="shared" si="617"/>
        <v>|||</v>
      </c>
      <c r="H17180" s="835">
        <f t="shared" si="618"/>
        <v>31</v>
      </c>
      <c r="AF17180" s="831" t="s">
        <v>11071</v>
      </c>
      <c r="AG17180" s="831" t="s">
        <v>2674</v>
      </c>
      <c r="AH17180" s="831" t="s">
        <v>575</v>
      </c>
      <c r="AI17180" s="831">
        <v>0</v>
      </c>
      <c r="AJ17180" s="835">
        <v>41517</v>
      </c>
      <c r="AK17180" s="831">
        <v>104359849</v>
      </c>
    </row>
    <row r="17181" spans="2:37">
      <c r="B17181" s="834" t="str">
        <f t="shared" si="617"/>
        <v>|||</v>
      </c>
      <c r="H17181" s="835">
        <f t="shared" si="618"/>
        <v>31</v>
      </c>
      <c r="AF17181" s="831" t="s">
        <v>11072</v>
      </c>
      <c r="AG17181" s="831" t="s">
        <v>2674</v>
      </c>
      <c r="AH17181" s="831" t="s">
        <v>576</v>
      </c>
      <c r="AI17181" s="831">
        <v>0</v>
      </c>
      <c r="AJ17181" s="835">
        <v>41517</v>
      </c>
      <c r="AK17181" s="831">
        <v>270469259.22222221</v>
      </c>
    </row>
    <row r="17182" spans="2:37">
      <c r="B17182" s="834" t="str">
        <f t="shared" si="617"/>
        <v>|||</v>
      </c>
      <c r="H17182" s="835">
        <f t="shared" si="618"/>
        <v>31</v>
      </c>
      <c r="AF17182" s="831" t="s">
        <v>11073</v>
      </c>
      <c r="AG17182" s="831" t="s">
        <v>2674</v>
      </c>
      <c r="AH17182" s="831" t="s">
        <v>572</v>
      </c>
      <c r="AI17182" s="831">
        <v>0</v>
      </c>
      <c r="AJ17182" s="835">
        <v>41517</v>
      </c>
      <c r="AK17182" s="831">
        <v>24859621</v>
      </c>
    </row>
    <row r="17183" spans="2:37">
      <c r="B17183" s="834" t="str">
        <f t="shared" si="617"/>
        <v>|||</v>
      </c>
      <c r="H17183" s="835">
        <f t="shared" si="618"/>
        <v>31</v>
      </c>
      <c r="AF17183" s="831" t="s">
        <v>11074</v>
      </c>
      <c r="AG17183" s="831" t="s">
        <v>2674</v>
      </c>
      <c r="AH17183" s="831" t="s">
        <v>577</v>
      </c>
      <c r="AI17183" s="831">
        <v>0</v>
      </c>
      <c r="AJ17183" s="835">
        <v>41517</v>
      </c>
      <c r="AK17183" s="831">
        <v>119121446</v>
      </c>
    </row>
    <row r="17184" spans="2:37">
      <c r="B17184" s="834" t="str">
        <f t="shared" si="617"/>
        <v>|||</v>
      </c>
      <c r="H17184" s="835">
        <f t="shared" si="618"/>
        <v>31</v>
      </c>
      <c r="AF17184" s="831" t="s">
        <v>11075</v>
      </c>
      <c r="AG17184" s="831" t="s">
        <v>2674</v>
      </c>
      <c r="AH17184" s="831" t="s">
        <v>3042</v>
      </c>
      <c r="AI17184" s="831">
        <v>0</v>
      </c>
      <c r="AJ17184" s="835">
        <v>41517</v>
      </c>
      <c r="AK17184" s="831">
        <v>-29143089</v>
      </c>
    </row>
    <row r="17185" spans="2:37">
      <c r="B17185" s="834" t="str">
        <f t="shared" si="617"/>
        <v>|||</v>
      </c>
      <c r="H17185" s="835">
        <f t="shared" si="618"/>
        <v>31</v>
      </c>
      <c r="AF17185" s="831" t="s">
        <v>11076</v>
      </c>
      <c r="AG17185" s="831" t="s">
        <v>2674</v>
      </c>
      <c r="AH17185" s="831" t="s">
        <v>3044</v>
      </c>
      <c r="AI17185" s="831">
        <v>0</v>
      </c>
      <c r="AJ17185" s="835">
        <v>41517</v>
      </c>
      <c r="AK17185" s="831">
        <v>-4417525</v>
      </c>
    </row>
    <row r="17186" spans="2:37">
      <c r="B17186" s="834" t="str">
        <f t="shared" si="617"/>
        <v>|||</v>
      </c>
      <c r="H17186" s="835">
        <f t="shared" si="618"/>
        <v>31</v>
      </c>
      <c r="AF17186" s="831" t="s">
        <v>11077</v>
      </c>
      <c r="AG17186" s="831" t="s">
        <v>2674</v>
      </c>
      <c r="AH17186" s="831" t="s">
        <v>580</v>
      </c>
      <c r="AI17186" s="831">
        <v>0</v>
      </c>
      <c r="AJ17186" s="835">
        <v>41517</v>
      </c>
      <c r="AK17186" s="831">
        <v>-58376707</v>
      </c>
    </row>
    <row r="17187" spans="2:37">
      <c r="B17187" s="834" t="str">
        <f t="shared" si="617"/>
        <v>|||</v>
      </c>
      <c r="H17187" s="835">
        <f t="shared" si="618"/>
        <v>31</v>
      </c>
      <c r="AF17187" s="831" t="s">
        <v>11078</v>
      </c>
      <c r="AG17187" s="831" t="s">
        <v>2674</v>
      </c>
      <c r="AH17187" s="831" t="s">
        <v>581</v>
      </c>
      <c r="AI17187" s="831">
        <v>0</v>
      </c>
      <c r="AJ17187" s="835">
        <v>41517</v>
      </c>
      <c r="AK17187" s="831">
        <v>4578677</v>
      </c>
    </row>
    <row r="17188" spans="2:37">
      <c r="B17188" s="834" t="str">
        <f t="shared" si="617"/>
        <v>|||</v>
      </c>
      <c r="H17188" s="835">
        <f t="shared" si="618"/>
        <v>31</v>
      </c>
      <c r="AF17188" s="831" t="s">
        <v>11079</v>
      </c>
      <c r="AG17188" s="831" t="s">
        <v>2674</v>
      </c>
      <c r="AH17188" s="831" t="s">
        <v>105</v>
      </c>
      <c r="AI17188" s="831">
        <v>0</v>
      </c>
      <c r="AJ17188" s="835">
        <v>41517</v>
      </c>
      <c r="AK17188" s="831">
        <v>314125292</v>
      </c>
    </row>
    <row r="17189" spans="2:37">
      <c r="B17189" s="834" t="str">
        <f t="shared" si="617"/>
        <v>|||</v>
      </c>
      <c r="H17189" s="835">
        <f t="shared" si="618"/>
        <v>31</v>
      </c>
      <c r="AF17189" s="831" t="s">
        <v>11080</v>
      </c>
      <c r="AG17189" s="831" t="s">
        <v>2674</v>
      </c>
      <c r="AH17189" s="831" t="s">
        <v>3049</v>
      </c>
      <c r="AI17189" s="831">
        <v>0</v>
      </c>
      <c r="AJ17189" s="835">
        <v>41517</v>
      </c>
      <c r="AK17189" s="831">
        <v>527249449.14999998</v>
      </c>
    </row>
    <row r="17190" spans="2:37">
      <c r="B17190" s="834" t="str">
        <f t="shared" si="617"/>
        <v>|||</v>
      </c>
      <c r="H17190" s="835">
        <f t="shared" si="618"/>
        <v>31</v>
      </c>
      <c r="AF17190" s="831" t="s">
        <v>11081</v>
      </c>
      <c r="AG17190" s="831" t="s">
        <v>2674</v>
      </c>
      <c r="AH17190" s="831" t="s">
        <v>103</v>
      </c>
      <c r="AI17190" s="831">
        <v>0</v>
      </c>
      <c r="AJ17190" s="835">
        <v>41517</v>
      </c>
      <c r="AK17190" s="831">
        <v>213124157.14999998</v>
      </c>
    </row>
    <row r="17191" spans="2:37">
      <c r="B17191" s="834" t="str">
        <f t="shared" si="617"/>
        <v>|||</v>
      </c>
      <c r="H17191" s="835">
        <f t="shared" si="618"/>
        <v>31</v>
      </c>
      <c r="AF17191" s="831" t="s">
        <v>11082</v>
      </c>
      <c r="AG17191" s="831" t="s">
        <v>2674</v>
      </c>
      <c r="AH17191" s="831" t="s">
        <v>182</v>
      </c>
      <c r="AI17191" s="831">
        <v>0</v>
      </c>
      <c r="AJ17191" s="835">
        <v>41517</v>
      </c>
      <c r="AK17191" s="831">
        <v>57914724</v>
      </c>
    </row>
    <row r="17192" spans="2:37">
      <c r="B17192" s="834" t="str">
        <f t="shared" si="617"/>
        <v>|||</v>
      </c>
      <c r="H17192" s="835">
        <f t="shared" si="618"/>
        <v>31</v>
      </c>
      <c r="AF17192" s="831" t="s">
        <v>11083</v>
      </c>
      <c r="AG17192" s="831" t="s">
        <v>2674</v>
      </c>
      <c r="AH17192" s="831" t="s">
        <v>6600</v>
      </c>
      <c r="AI17192" s="831">
        <v>0</v>
      </c>
      <c r="AJ17192" s="835">
        <v>41517</v>
      </c>
      <c r="AK17192" s="831">
        <v>24859621</v>
      </c>
    </row>
    <row r="17193" spans="2:37">
      <c r="B17193" s="834" t="str">
        <f t="shared" si="617"/>
        <v>|||</v>
      </c>
      <c r="H17193" s="835">
        <f t="shared" si="618"/>
        <v>31</v>
      </c>
      <c r="AF17193" s="831" t="s">
        <v>11084</v>
      </c>
      <c r="AG17193" s="831" t="s">
        <v>2674</v>
      </c>
      <c r="AH17193" s="831" t="s">
        <v>6602</v>
      </c>
      <c r="AI17193" s="831">
        <v>0</v>
      </c>
      <c r="AJ17193" s="835">
        <v>41517</v>
      </c>
      <c r="AK17193" s="831">
        <v>19111719</v>
      </c>
    </row>
    <row r="17194" spans="2:37">
      <c r="B17194" s="834" t="str">
        <f t="shared" si="617"/>
        <v>|||</v>
      </c>
      <c r="H17194" s="835">
        <f t="shared" si="618"/>
        <v>31</v>
      </c>
      <c r="AF17194" s="831" t="s">
        <v>11085</v>
      </c>
      <c r="AG17194" s="831" t="s">
        <v>2674</v>
      </c>
      <c r="AH17194" s="831" t="s">
        <v>650</v>
      </c>
      <c r="AI17194" s="831">
        <v>0</v>
      </c>
      <c r="AJ17194" s="835">
        <v>41517</v>
      </c>
      <c r="AK17194" s="831">
        <v>180578512.62692308</v>
      </c>
    </row>
    <row r="17195" spans="2:37">
      <c r="B17195" s="834" t="str">
        <f t="shared" si="617"/>
        <v>|||</v>
      </c>
      <c r="H17195" s="835">
        <f t="shared" si="618"/>
        <v>31</v>
      </c>
      <c r="AF17195" s="831" t="s">
        <v>11086</v>
      </c>
      <c r="AG17195" s="831" t="s">
        <v>2674</v>
      </c>
      <c r="AH17195" s="831" t="s">
        <v>655</v>
      </c>
      <c r="AI17195" s="831">
        <v>0</v>
      </c>
      <c r="AJ17195" s="835">
        <v>41517</v>
      </c>
      <c r="AK17195" s="831">
        <v>1231052.19</v>
      </c>
    </row>
    <row r="17196" spans="2:37">
      <c r="B17196" s="834" t="str">
        <f t="shared" si="617"/>
        <v>|||</v>
      </c>
      <c r="H17196" s="835">
        <f t="shared" si="618"/>
        <v>31</v>
      </c>
      <c r="AF17196" s="831" t="s">
        <v>11087</v>
      </c>
      <c r="AG17196" s="831" t="s">
        <v>2674</v>
      </c>
      <c r="AH17196" s="831" t="s">
        <v>546</v>
      </c>
      <c r="AI17196" s="831">
        <v>0</v>
      </c>
      <c r="AJ17196" s="835">
        <v>41547</v>
      </c>
      <c r="AK17196" s="831">
        <v>563989028</v>
      </c>
    </row>
    <row r="17197" spans="2:37">
      <c r="B17197" s="834" t="str">
        <f t="shared" si="617"/>
        <v>|||</v>
      </c>
      <c r="H17197" s="835">
        <f t="shared" si="618"/>
        <v>31</v>
      </c>
      <c r="AF17197" s="831" t="s">
        <v>11088</v>
      </c>
      <c r="AG17197" s="831" t="s">
        <v>2674</v>
      </c>
      <c r="AH17197" s="831" t="s">
        <v>370</v>
      </c>
      <c r="AI17197" s="831">
        <v>0</v>
      </c>
      <c r="AJ17197" s="835">
        <v>41547</v>
      </c>
      <c r="AK17197" s="831">
        <v>692795586</v>
      </c>
    </row>
    <row r="17198" spans="2:37">
      <c r="B17198" s="834" t="str">
        <f t="shared" si="617"/>
        <v>|||</v>
      </c>
      <c r="H17198" s="835">
        <f t="shared" si="618"/>
        <v>31</v>
      </c>
      <c r="AF17198" s="831" t="s">
        <v>11089</v>
      </c>
      <c r="AG17198" s="831" t="s">
        <v>2674</v>
      </c>
      <c r="AH17198" s="831" t="s">
        <v>126</v>
      </c>
      <c r="AI17198" s="831">
        <v>0</v>
      </c>
      <c r="AJ17198" s="835">
        <v>41547</v>
      </c>
      <c r="AK17198" s="831">
        <v>117170637</v>
      </c>
    </row>
    <row r="17199" spans="2:37">
      <c r="B17199" s="834" t="str">
        <f t="shared" si="617"/>
        <v>|||</v>
      </c>
      <c r="H17199" s="835">
        <f t="shared" si="618"/>
        <v>31</v>
      </c>
      <c r="AF17199" s="831" t="s">
        <v>11090</v>
      </c>
      <c r="AG17199" s="831" t="s">
        <v>2674</v>
      </c>
      <c r="AH17199" s="831" t="s">
        <v>268</v>
      </c>
      <c r="AI17199" s="831">
        <v>0</v>
      </c>
      <c r="AJ17199" s="835">
        <v>41547</v>
      </c>
      <c r="AK17199" s="831">
        <v>22407414</v>
      </c>
    </row>
    <row r="17200" spans="2:37">
      <c r="B17200" s="834" t="str">
        <f t="shared" si="617"/>
        <v>|||</v>
      </c>
      <c r="H17200" s="835">
        <f t="shared" si="618"/>
        <v>31</v>
      </c>
      <c r="AF17200" s="831" t="s">
        <v>11091</v>
      </c>
      <c r="AG17200" s="831" t="s">
        <v>2674</v>
      </c>
      <c r="AH17200" s="831" t="s">
        <v>547</v>
      </c>
      <c r="AI17200" s="831">
        <v>0</v>
      </c>
      <c r="AJ17200" s="835">
        <v>41547</v>
      </c>
      <c r="AK17200" s="831">
        <v>511487760</v>
      </c>
    </row>
    <row r="17201" spans="2:37">
      <c r="B17201" s="834" t="str">
        <f t="shared" si="617"/>
        <v>|||</v>
      </c>
      <c r="H17201" s="835">
        <f t="shared" si="618"/>
        <v>31</v>
      </c>
      <c r="AF17201" s="831" t="s">
        <v>11092</v>
      </c>
      <c r="AG17201" s="831" t="s">
        <v>2674</v>
      </c>
      <c r="AH17201" s="831" t="s">
        <v>548</v>
      </c>
      <c r="AI17201" s="831">
        <v>0</v>
      </c>
      <c r="AJ17201" s="835">
        <v>41547</v>
      </c>
      <c r="AK17201" s="831">
        <v>96883184</v>
      </c>
    </row>
    <row r="17202" spans="2:37">
      <c r="B17202" s="834" t="str">
        <f t="shared" si="617"/>
        <v>|||</v>
      </c>
      <c r="H17202" s="835">
        <f t="shared" si="618"/>
        <v>31</v>
      </c>
      <c r="AF17202" s="831" t="s">
        <v>11093</v>
      </c>
      <c r="AG17202" s="831" t="s">
        <v>2674</v>
      </c>
      <c r="AH17202" s="831" t="s">
        <v>549</v>
      </c>
      <c r="AI17202" s="831">
        <v>0</v>
      </c>
      <c r="AJ17202" s="835">
        <v>41547</v>
      </c>
      <c r="AK17202" s="831">
        <v>367084945</v>
      </c>
    </row>
    <row r="17203" spans="2:37">
      <c r="B17203" s="834" t="str">
        <f t="shared" si="617"/>
        <v>|||</v>
      </c>
      <c r="H17203" s="835">
        <f t="shared" si="618"/>
        <v>31</v>
      </c>
      <c r="AF17203" s="831" t="s">
        <v>11094</v>
      </c>
      <c r="AG17203" s="831" t="s">
        <v>2674</v>
      </c>
      <c r="AH17203" s="831" t="s">
        <v>192</v>
      </c>
      <c r="AI17203" s="831">
        <v>0</v>
      </c>
      <c r="AJ17203" s="835">
        <v>41547</v>
      </c>
      <c r="AK17203" s="831">
        <v>-12882814</v>
      </c>
    </row>
    <row r="17204" spans="2:37">
      <c r="B17204" s="834" t="str">
        <f t="shared" si="617"/>
        <v>|||</v>
      </c>
      <c r="H17204" s="835">
        <f t="shared" si="618"/>
        <v>31</v>
      </c>
      <c r="AF17204" s="831" t="s">
        <v>11095</v>
      </c>
      <c r="AG17204" s="831" t="s">
        <v>2674</v>
      </c>
      <c r="AH17204" s="831" t="s">
        <v>558</v>
      </c>
      <c r="AI17204" s="831">
        <v>0</v>
      </c>
      <c r="AJ17204" s="835">
        <v>41547</v>
      </c>
      <c r="AK17204" s="831">
        <v>575624949</v>
      </c>
    </row>
    <row r="17205" spans="2:37">
      <c r="B17205" s="834" t="str">
        <f t="shared" si="617"/>
        <v>|||</v>
      </c>
      <c r="H17205" s="835">
        <f t="shared" si="618"/>
        <v>31</v>
      </c>
      <c r="AF17205" s="831" t="s">
        <v>11096</v>
      </c>
      <c r="AG17205" s="831" t="s">
        <v>2674</v>
      </c>
      <c r="AH17205" s="831" t="s">
        <v>65</v>
      </c>
      <c r="AI17205" s="831">
        <v>0</v>
      </c>
      <c r="AJ17205" s="835">
        <v>41547</v>
      </c>
      <c r="AK17205" s="831">
        <v>95313557</v>
      </c>
    </row>
    <row r="17206" spans="2:37">
      <c r="B17206" s="834" t="str">
        <f t="shared" si="617"/>
        <v>|||</v>
      </c>
      <c r="H17206" s="835">
        <f t="shared" si="618"/>
        <v>31</v>
      </c>
      <c r="AF17206" s="831" t="s">
        <v>11097</v>
      </c>
      <c r="AG17206" s="831" t="s">
        <v>2674</v>
      </c>
      <c r="AH17206" s="831" t="s">
        <v>89</v>
      </c>
      <c r="AI17206" s="831">
        <v>0</v>
      </c>
      <c r="AJ17206" s="835">
        <v>41547</v>
      </c>
      <c r="AK17206" s="831">
        <v>141558</v>
      </c>
    </row>
    <row r="17207" spans="2:37">
      <c r="B17207" s="834" t="str">
        <f t="shared" si="617"/>
        <v>|||</v>
      </c>
      <c r="H17207" s="835">
        <f t="shared" si="618"/>
        <v>31</v>
      </c>
      <c r="AF17207" s="831" t="s">
        <v>11098</v>
      </c>
      <c r="AG17207" s="831" t="s">
        <v>2674</v>
      </c>
      <c r="AH17207" s="831" t="s">
        <v>557</v>
      </c>
      <c r="AI17207" s="831">
        <v>0</v>
      </c>
      <c r="AJ17207" s="835">
        <v>41547</v>
      </c>
      <c r="AK17207" s="831">
        <v>150480</v>
      </c>
    </row>
    <row r="17208" spans="2:37">
      <c r="B17208" s="834" t="str">
        <f t="shared" si="617"/>
        <v>|||</v>
      </c>
      <c r="H17208" s="835">
        <f t="shared" si="618"/>
        <v>31</v>
      </c>
      <c r="AF17208" s="831" t="s">
        <v>11099</v>
      </c>
      <c r="AG17208" s="831" t="s">
        <v>2674</v>
      </c>
      <c r="AH17208" s="831" t="s">
        <v>29</v>
      </c>
      <c r="AI17208" s="831">
        <v>0</v>
      </c>
      <c r="AJ17208" s="835">
        <v>41547</v>
      </c>
      <c r="AK17208" s="831">
        <v>1808536.49</v>
      </c>
    </row>
    <row r="17209" spans="2:37">
      <c r="B17209" s="834" t="str">
        <f t="shared" si="617"/>
        <v>|||</v>
      </c>
      <c r="H17209" s="835">
        <f t="shared" si="618"/>
        <v>31</v>
      </c>
      <c r="AF17209" s="831" t="s">
        <v>11100</v>
      </c>
      <c r="AG17209" s="831" t="s">
        <v>2674</v>
      </c>
      <c r="AH17209" s="831" t="s">
        <v>2688</v>
      </c>
      <c r="AI17209" s="831">
        <v>0</v>
      </c>
      <c r="AJ17209" s="835">
        <v>41547</v>
      </c>
      <c r="AK17209" s="831">
        <v>1944896.06</v>
      </c>
    </row>
    <row r="17210" spans="2:37">
      <c r="B17210" s="834" t="str">
        <f t="shared" si="617"/>
        <v>|||</v>
      </c>
      <c r="H17210" s="835">
        <f t="shared" si="618"/>
        <v>31</v>
      </c>
      <c r="AF17210" s="831" t="s">
        <v>11101</v>
      </c>
      <c r="AG17210" s="831" t="s">
        <v>2674</v>
      </c>
      <c r="AH17210" s="831" t="s">
        <v>556</v>
      </c>
      <c r="AI17210" s="831">
        <v>0</v>
      </c>
      <c r="AJ17210" s="835">
        <v>41547</v>
      </c>
      <c r="AK17210" s="831">
        <v>1644732</v>
      </c>
    </row>
    <row r="17211" spans="2:37">
      <c r="B17211" s="834" t="str">
        <f t="shared" si="617"/>
        <v>|||</v>
      </c>
      <c r="H17211" s="835">
        <f t="shared" si="618"/>
        <v>31</v>
      </c>
      <c r="AF17211" s="831" t="s">
        <v>11102</v>
      </c>
      <c r="AG17211" s="831" t="s">
        <v>2674</v>
      </c>
      <c r="AH17211" s="831" t="s">
        <v>555</v>
      </c>
      <c r="AI17211" s="831">
        <v>0</v>
      </c>
      <c r="AJ17211" s="835">
        <v>41547</v>
      </c>
      <c r="AK17211" s="831">
        <v>373785500</v>
      </c>
    </row>
    <row r="17212" spans="2:37">
      <c r="B17212" s="834" t="str">
        <f t="shared" si="617"/>
        <v>|||</v>
      </c>
      <c r="H17212" s="835">
        <f t="shared" si="618"/>
        <v>31</v>
      </c>
      <c r="AF17212" s="831" t="s">
        <v>11103</v>
      </c>
      <c r="AG17212" s="831" t="s">
        <v>2674</v>
      </c>
      <c r="AH17212" s="831" t="s">
        <v>554</v>
      </c>
      <c r="AI17212" s="831">
        <v>0</v>
      </c>
      <c r="AJ17212" s="835">
        <v>41547</v>
      </c>
      <c r="AK17212" s="831">
        <v>389313510</v>
      </c>
    </row>
    <row r="17213" spans="2:37">
      <c r="B17213" s="834" t="str">
        <f t="shared" si="617"/>
        <v>|||</v>
      </c>
      <c r="H17213" s="835">
        <f t="shared" si="618"/>
        <v>31</v>
      </c>
      <c r="AF17213" s="831" t="s">
        <v>11104</v>
      </c>
      <c r="AG17213" s="831" t="s">
        <v>2674</v>
      </c>
      <c r="AH17213" s="831" t="s">
        <v>553</v>
      </c>
      <c r="AI17213" s="831">
        <v>0</v>
      </c>
      <c r="AJ17213" s="835">
        <v>41547</v>
      </c>
      <c r="AK17213" s="831">
        <v>0</v>
      </c>
    </row>
    <row r="17214" spans="2:37">
      <c r="B17214" s="834" t="str">
        <f t="shared" si="617"/>
        <v>|||</v>
      </c>
      <c r="H17214" s="835">
        <f t="shared" si="618"/>
        <v>31</v>
      </c>
      <c r="AF17214" s="831" t="s">
        <v>11105</v>
      </c>
      <c r="AG17214" s="831" t="s">
        <v>2674</v>
      </c>
      <c r="AH17214" s="831" t="s">
        <v>552</v>
      </c>
      <c r="AI17214" s="831">
        <v>0</v>
      </c>
      <c r="AJ17214" s="835">
        <v>41547</v>
      </c>
      <c r="AK17214" s="831">
        <v>0</v>
      </c>
    </row>
    <row r="17215" spans="2:37">
      <c r="B17215" s="834" t="str">
        <f t="shared" si="617"/>
        <v>|||</v>
      </c>
      <c r="H17215" s="835">
        <f t="shared" si="618"/>
        <v>31</v>
      </c>
      <c r="AF17215" s="831" t="s">
        <v>11106</v>
      </c>
      <c r="AG17215" s="831" t="s">
        <v>2674</v>
      </c>
      <c r="AH17215" s="831" t="s">
        <v>551</v>
      </c>
      <c r="AI17215" s="831">
        <v>0</v>
      </c>
      <c r="AJ17215" s="835">
        <v>41547</v>
      </c>
      <c r="AK17215" s="831">
        <v>1611508.6</v>
      </c>
    </row>
    <row r="17216" spans="2:37">
      <c r="B17216" s="834" t="str">
        <f t="shared" si="617"/>
        <v>|||</v>
      </c>
      <c r="H17216" s="835">
        <f t="shared" si="618"/>
        <v>31</v>
      </c>
      <c r="AF17216" s="831" t="s">
        <v>11107</v>
      </c>
      <c r="AG17216" s="831" t="s">
        <v>2674</v>
      </c>
      <c r="AH17216" s="831" t="s">
        <v>550</v>
      </c>
      <c r="AI17216" s="831">
        <v>0</v>
      </c>
      <c r="AJ17216" s="835">
        <v>41547</v>
      </c>
      <c r="AK17216" s="831">
        <v>113874944</v>
      </c>
    </row>
    <row r="17217" spans="2:37">
      <c r="B17217" s="834" t="str">
        <f t="shared" si="617"/>
        <v>|||</v>
      </c>
      <c r="H17217" s="835">
        <f t="shared" si="618"/>
        <v>31</v>
      </c>
      <c r="AF17217" s="831" t="s">
        <v>11108</v>
      </c>
      <c r="AG17217" s="831" t="s">
        <v>2674</v>
      </c>
      <c r="AH17217" s="831" t="s">
        <v>562</v>
      </c>
      <c r="AI17217" s="831">
        <v>0</v>
      </c>
      <c r="AJ17217" s="835">
        <v>41547</v>
      </c>
      <c r="AK17217" s="831">
        <v>0.78395000000000004</v>
      </c>
    </row>
    <row r="17218" spans="2:37">
      <c r="B17218" s="834" t="str">
        <f t="shared" si="617"/>
        <v>|||</v>
      </c>
      <c r="H17218" s="835">
        <f t="shared" si="618"/>
        <v>31</v>
      </c>
      <c r="AF17218" s="831" t="s">
        <v>11109</v>
      </c>
      <c r="AG17218" s="831" t="s">
        <v>2674</v>
      </c>
      <c r="AH17218" s="831" t="s">
        <v>2698</v>
      </c>
      <c r="AI17218" s="831">
        <v>0</v>
      </c>
      <c r="AJ17218" s="835">
        <v>41547</v>
      </c>
      <c r="AK17218" s="831">
        <v>0.78385000000000005</v>
      </c>
    </row>
    <row r="17219" spans="2:37">
      <c r="B17219" s="834" t="str">
        <f t="shared" si="617"/>
        <v>|||</v>
      </c>
      <c r="H17219" s="835">
        <f t="shared" si="618"/>
        <v>31</v>
      </c>
      <c r="AF17219" s="831" t="s">
        <v>11110</v>
      </c>
      <c r="AG17219" s="831" t="s">
        <v>2674</v>
      </c>
      <c r="AH17219" s="831" t="s">
        <v>560</v>
      </c>
      <c r="AI17219" s="831">
        <v>0</v>
      </c>
      <c r="AJ17219" s="835">
        <v>41547</v>
      </c>
      <c r="AK17219" s="831">
        <v>0.78400555555555551</v>
      </c>
    </row>
    <row r="17220" spans="2:37">
      <c r="B17220" s="834" t="str">
        <f t="shared" si="617"/>
        <v>|||</v>
      </c>
      <c r="H17220" s="835">
        <f t="shared" si="618"/>
        <v>31</v>
      </c>
      <c r="AF17220" s="831" t="s">
        <v>11111</v>
      </c>
      <c r="AG17220" s="831" t="s">
        <v>2674</v>
      </c>
      <c r="AH17220" s="831" t="s">
        <v>559</v>
      </c>
      <c r="AI17220" s="831">
        <v>0</v>
      </c>
      <c r="AJ17220" s="835">
        <v>41547</v>
      </c>
      <c r="AK17220" s="831">
        <v>0.78404583333333333</v>
      </c>
    </row>
    <row r="17221" spans="2:37">
      <c r="B17221" s="834" t="str">
        <f t="shared" si="617"/>
        <v>|||</v>
      </c>
      <c r="H17221" s="835">
        <f t="shared" si="618"/>
        <v>31</v>
      </c>
      <c r="AF17221" s="831" t="s">
        <v>11112</v>
      </c>
      <c r="AG17221" s="831" t="s">
        <v>2674</v>
      </c>
      <c r="AH17221" s="831" t="s">
        <v>568</v>
      </c>
      <c r="AI17221" s="831">
        <v>0</v>
      </c>
      <c r="AJ17221" s="835">
        <v>41547</v>
      </c>
      <c r="AK17221" s="831">
        <v>462009040.84615386</v>
      </c>
    </row>
    <row r="17222" spans="2:37">
      <c r="B17222" s="834" t="str">
        <f t="shared" si="617"/>
        <v>|||</v>
      </c>
      <c r="H17222" s="835">
        <f t="shared" si="618"/>
        <v>31</v>
      </c>
      <c r="AF17222" s="831" t="s">
        <v>11113</v>
      </c>
      <c r="AG17222" s="831" t="s">
        <v>2674</v>
      </c>
      <c r="AH17222" s="831" t="s">
        <v>569</v>
      </c>
      <c r="AI17222" s="831">
        <v>0</v>
      </c>
      <c r="AJ17222" s="835">
        <v>41547</v>
      </c>
      <c r="AK17222" s="831">
        <v>560598027.84615386</v>
      </c>
    </row>
    <row r="17223" spans="2:37">
      <c r="B17223" s="834" t="str">
        <f t="shared" si="617"/>
        <v>|||</v>
      </c>
      <c r="H17223" s="835">
        <f t="shared" si="618"/>
        <v>31</v>
      </c>
      <c r="AF17223" s="831" t="s">
        <v>11114</v>
      </c>
      <c r="AG17223" s="831" t="s">
        <v>2674</v>
      </c>
      <c r="AH17223" s="831" t="s">
        <v>570</v>
      </c>
      <c r="AI17223" s="831">
        <v>0</v>
      </c>
      <c r="AJ17223" s="835">
        <v>41547</v>
      </c>
      <c r="AK17223" s="831">
        <v>104238995.3076923</v>
      </c>
    </row>
    <row r="17224" spans="2:37">
      <c r="B17224" s="834" t="str">
        <f t="shared" si="617"/>
        <v>|||</v>
      </c>
      <c r="H17224" s="835">
        <f t="shared" si="618"/>
        <v>31</v>
      </c>
      <c r="AF17224" s="831" t="s">
        <v>11115</v>
      </c>
      <c r="AG17224" s="831" t="s">
        <v>2674</v>
      </c>
      <c r="AH17224" s="831" t="s">
        <v>571</v>
      </c>
      <c r="AI17224" s="831">
        <v>0</v>
      </c>
      <c r="AJ17224" s="835">
        <v>41547</v>
      </c>
      <c r="AK17224" s="831">
        <v>257329819.61538461</v>
      </c>
    </row>
    <row r="17225" spans="2:37">
      <c r="B17225" s="834" t="str">
        <f t="shared" si="617"/>
        <v>|||</v>
      </c>
      <c r="H17225" s="835">
        <f t="shared" si="618"/>
        <v>31</v>
      </c>
      <c r="AF17225" s="831" t="s">
        <v>11116</v>
      </c>
      <c r="AG17225" s="831" t="s">
        <v>2674</v>
      </c>
      <c r="AH17225" s="831" t="s">
        <v>573</v>
      </c>
      <c r="AI17225" s="831">
        <v>0</v>
      </c>
      <c r="AJ17225" s="835">
        <v>41547</v>
      </c>
      <c r="AK17225" s="831">
        <v>590906867</v>
      </c>
    </row>
    <row r="17226" spans="2:37">
      <c r="B17226" s="834" t="str">
        <f t="shared" si="617"/>
        <v>|||</v>
      </c>
      <c r="H17226" s="835">
        <f t="shared" si="618"/>
        <v>31</v>
      </c>
      <c r="AF17226" s="831" t="s">
        <v>11117</v>
      </c>
      <c r="AG17226" s="831" t="s">
        <v>2674</v>
      </c>
      <c r="AH17226" s="831" t="s">
        <v>574</v>
      </c>
      <c r="AI17226" s="831">
        <v>0</v>
      </c>
      <c r="AJ17226" s="835">
        <v>41547</v>
      </c>
      <c r="AK17226" s="831">
        <v>486854454.89999998</v>
      </c>
    </row>
    <row r="17227" spans="2:37">
      <c r="B17227" s="834" t="str">
        <f t="shared" si="617"/>
        <v>|||</v>
      </c>
      <c r="H17227" s="835">
        <f t="shared" si="618"/>
        <v>31</v>
      </c>
      <c r="AF17227" s="831" t="s">
        <v>11118</v>
      </c>
      <c r="AG17227" s="831" t="s">
        <v>2674</v>
      </c>
      <c r="AH17227" s="831" t="s">
        <v>575</v>
      </c>
      <c r="AI17227" s="831">
        <v>0</v>
      </c>
      <c r="AJ17227" s="835">
        <v>41547</v>
      </c>
      <c r="AK17227" s="831">
        <v>105640927.8</v>
      </c>
    </row>
    <row r="17228" spans="2:37">
      <c r="B17228" s="834" t="str">
        <f t="shared" si="617"/>
        <v>|||</v>
      </c>
      <c r="H17228" s="835">
        <f t="shared" si="618"/>
        <v>31</v>
      </c>
      <c r="AF17228" s="831" t="s">
        <v>11119</v>
      </c>
      <c r="AG17228" s="831" t="s">
        <v>2674</v>
      </c>
      <c r="AH17228" s="831" t="s">
        <v>576</v>
      </c>
      <c r="AI17228" s="831">
        <v>0</v>
      </c>
      <c r="AJ17228" s="835">
        <v>41547</v>
      </c>
      <c r="AK17228" s="831">
        <v>277318070.10000002</v>
      </c>
    </row>
    <row r="17229" spans="2:37">
      <c r="B17229" s="834" t="str">
        <f t="shared" si="617"/>
        <v>|||</v>
      </c>
      <c r="H17229" s="835">
        <f t="shared" si="618"/>
        <v>31</v>
      </c>
      <c r="AF17229" s="831" t="s">
        <v>11120</v>
      </c>
      <c r="AG17229" s="831" t="s">
        <v>2674</v>
      </c>
      <c r="AH17229" s="831" t="s">
        <v>572</v>
      </c>
      <c r="AI17229" s="831">
        <v>0</v>
      </c>
      <c r="AJ17229" s="835">
        <v>41547</v>
      </c>
      <c r="AK17229" s="831">
        <v>26160885</v>
      </c>
    </row>
    <row r="17230" spans="2:37">
      <c r="B17230" s="834" t="str">
        <f t="shared" si="617"/>
        <v>|||</v>
      </c>
      <c r="H17230" s="835">
        <f t="shared" si="618"/>
        <v>31</v>
      </c>
      <c r="AF17230" s="831" t="s">
        <v>11121</v>
      </c>
      <c r="AG17230" s="831" t="s">
        <v>2674</v>
      </c>
      <c r="AH17230" s="831" t="s">
        <v>577</v>
      </c>
      <c r="AI17230" s="831">
        <v>0</v>
      </c>
      <c r="AJ17230" s="835">
        <v>41547</v>
      </c>
      <c r="AK17230" s="831">
        <v>122921739</v>
      </c>
    </row>
    <row r="17231" spans="2:37">
      <c r="B17231" s="834" t="str">
        <f t="shared" si="617"/>
        <v>|||</v>
      </c>
      <c r="H17231" s="835">
        <f t="shared" si="618"/>
        <v>31</v>
      </c>
      <c r="AF17231" s="831" t="s">
        <v>11122</v>
      </c>
      <c r="AG17231" s="831" t="s">
        <v>2674</v>
      </c>
      <c r="AH17231" s="831" t="s">
        <v>3042</v>
      </c>
      <c r="AI17231" s="831">
        <v>0</v>
      </c>
      <c r="AJ17231" s="835">
        <v>41547</v>
      </c>
      <c r="AK17231" s="831">
        <v>-30135210</v>
      </c>
    </row>
    <row r="17232" spans="2:37">
      <c r="B17232" s="834" t="str">
        <f t="shared" si="617"/>
        <v>|||</v>
      </c>
      <c r="H17232" s="835">
        <f t="shared" si="618"/>
        <v>31</v>
      </c>
      <c r="AF17232" s="831" t="s">
        <v>11123</v>
      </c>
      <c r="AG17232" s="831" t="s">
        <v>2674</v>
      </c>
      <c r="AH17232" s="831" t="s">
        <v>3044</v>
      </c>
      <c r="AI17232" s="831">
        <v>0</v>
      </c>
      <c r="AJ17232" s="835">
        <v>41547</v>
      </c>
      <c r="AK17232" s="831">
        <v>-4515854</v>
      </c>
    </row>
    <row r="17233" spans="2:37">
      <c r="B17233" s="834" t="str">
        <f t="shared" ref="B17233:B17296" si="619">C17233&amp;"|"&amp;D17233&amp;"|"&amp;E17233&amp;"|"&amp;F17233</f>
        <v>|||</v>
      </c>
      <c r="H17233" s="835">
        <f t="shared" ref="H17233:H17296" si="620">EOMONTH(L17233,0)</f>
        <v>31</v>
      </c>
      <c r="AF17233" s="831" t="s">
        <v>11124</v>
      </c>
      <c r="AG17233" s="831" t="s">
        <v>2674</v>
      </c>
      <c r="AH17233" s="831" t="s">
        <v>580</v>
      </c>
      <c r="AI17233" s="831">
        <v>0</v>
      </c>
      <c r="AJ17233" s="835">
        <v>41547</v>
      </c>
      <c r="AK17233" s="831">
        <v>-59169843</v>
      </c>
    </row>
    <row r="17234" spans="2:37">
      <c r="B17234" s="834" t="str">
        <f t="shared" si="619"/>
        <v>|||</v>
      </c>
      <c r="H17234" s="835">
        <f t="shared" si="620"/>
        <v>31</v>
      </c>
      <c r="AF17234" s="831" t="s">
        <v>11125</v>
      </c>
      <c r="AG17234" s="831" t="s">
        <v>2674</v>
      </c>
      <c r="AH17234" s="831" t="s">
        <v>581</v>
      </c>
      <c r="AI17234" s="831">
        <v>0</v>
      </c>
      <c r="AJ17234" s="835">
        <v>41547</v>
      </c>
      <c r="AK17234" s="831">
        <v>4375184</v>
      </c>
    </row>
    <row r="17235" spans="2:37">
      <c r="B17235" s="834" t="str">
        <f t="shared" si="619"/>
        <v>|||</v>
      </c>
      <c r="H17235" s="835">
        <f t="shared" si="620"/>
        <v>31</v>
      </c>
      <c r="AF17235" s="831" t="s">
        <v>11126</v>
      </c>
      <c r="AG17235" s="831" t="s">
        <v>2674</v>
      </c>
      <c r="AH17235" s="831" t="s">
        <v>105</v>
      </c>
      <c r="AI17235" s="831">
        <v>0</v>
      </c>
      <c r="AJ17235" s="835">
        <v>41547</v>
      </c>
      <c r="AK17235" s="831">
        <v>338957368</v>
      </c>
    </row>
    <row r="17236" spans="2:37">
      <c r="B17236" s="834" t="str">
        <f t="shared" si="619"/>
        <v>|||</v>
      </c>
      <c r="H17236" s="835">
        <f t="shared" si="620"/>
        <v>31</v>
      </c>
      <c r="AF17236" s="831" t="s">
        <v>11127</v>
      </c>
      <c r="AG17236" s="831" t="s">
        <v>2674</v>
      </c>
      <c r="AH17236" s="831" t="s">
        <v>3049</v>
      </c>
      <c r="AI17236" s="831">
        <v>0</v>
      </c>
      <c r="AJ17236" s="835">
        <v>41547</v>
      </c>
      <c r="AK17236" s="831">
        <v>558920871</v>
      </c>
    </row>
    <row r="17237" spans="2:37">
      <c r="B17237" s="834" t="str">
        <f t="shared" si="619"/>
        <v>|||</v>
      </c>
      <c r="H17237" s="835">
        <f t="shared" si="620"/>
        <v>31</v>
      </c>
      <c r="AF17237" s="831" t="s">
        <v>11128</v>
      </c>
      <c r="AG17237" s="831" t="s">
        <v>2674</v>
      </c>
      <c r="AH17237" s="831" t="s">
        <v>103</v>
      </c>
      <c r="AI17237" s="831">
        <v>0</v>
      </c>
      <c r="AJ17237" s="835">
        <v>41547</v>
      </c>
      <c r="AK17237" s="831">
        <v>219963503</v>
      </c>
    </row>
    <row r="17238" spans="2:37">
      <c r="B17238" s="834" t="str">
        <f t="shared" si="619"/>
        <v>|||</v>
      </c>
      <c r="H17238" s="835">
        <f t="shared" si="620"/>
        <v>31</v>
      </c>
      <c r="AF17238" s="831" t="s">
        <v>11129</v>
      </c>
      <c r="AG17238" s="831" t="s">
        <v>2674</v>
      </c>
      <c r="AH17238" s="831" t="s">
        <v>182</v>
      </c>
      <c r="AI17238" s="831">
        <v>0</v>
      </c>
      <c r="AJ17238" s="835">
        <v>41547</v>
      </c>
      <c r="AK17238" s="831">
        <v>57784893.333333336</v>
      </c>
    </row>
    <row r="17239" spans="2:37">
      <c r="B17239" s="834" t="str">
        <f t="shared" si="619"/>
        <v>|||</v>
      </c>
      <c r="H17239" s="835">
        <f t="shared" si="620"/>
        <v>31</v>
      </c>
      <c r="AF17239" s="831" t="s">
        <v>11130</v>
      </c>
      <c r="AG17239" s="831" t="s">
        <v>2674</v>
      </c>
      <c r="AH17239" s="831" t="s">
        <v>6600</v>
      </c>
      <c r="AI17239" s="831">
        <v>0</v>
      </c>
      <c r="AJ17239" s="835">
        <v>41547</v>
      </c>
      <c r="AK17239" s="831">
        <v>26160885</v>
      </c>
    </row>
    <row r="17240" spans="2:37">
      <c r="B17240" s="834" t="str">
        <f t="shared" si="619"/>
        <v>|||</v>
      </c>
      <c r="H17240" s="835">
        <f t="shared" si="620"/>
        <v>31</v>
      </c>
      <c r="AF17240" s="831" t="s">
        <v>11131</v>
      </c>
      <c r="AG17240" s="831" t="s">
        <v>2674</v>
      </c>
      <c r="AH17240" s="831" t="s">
        <v>6602</v>
      </c>
      <c r="AI17240" s="831">
        <v>0</v>
      </c>
      <c r="AJ17240" s="835">
        <v>41547</v>
      </c>
      <c r="AK17240" s="831">
        <v>22407414</v>
      </c>
    </row>
    <row r="17241" spans="2:37">
      <c r="B17241" s="834" t="str">
        <f t="shared" si="619"/>
        <v>|||</v>
      </c>
      <c r="H17241" s="835">
        <f t="shared" si="620"/>
        <v>31</v>
      </c>
      <c r="AF17241" s="831" t="s">
        <v>11132</v>
      </c>
      <c r="AG17241" s="831" t="s">
        <v>2674</v>
      </c>
      <c r="AH17241" s="831" t="s">
        <v>650</v>
      </c>
      <c r="AI17241" s="831">
        <v>0</v>
      </c>
      <c r="AJ17241" s="835">
        <v>41547</v>
      </c>
      <c r="AK17241" s="831">
        <v>184913431.55000001</v>
      </c>
    </row>
    <row r="17242" spans="2:37">
      <c r="B17242" s="834" t="str">
        <f t="shared" si="619"/>
        <v>|||</v>
      </c>
      <c r="H17242" s="835">
        <f t="shared" si="620"/>
        <v>31</v>
      </c>
      <c r="AF17242" s="831" t="s">
        <v>11133</v>
      </c>
      <c r="AG17242" s="831" t="s">
        <v>2674</v>
      </c>
      <c r="AH17242" s="831" t="s">
        <v>655</v>
      </c>
      <c r="AI17242" s="831">
        <v>0</v>
      </c>
      <c r="AJ17242" s="835">
        <v>41547</v>
      </c>
      <c r="AK17242" s="831">
        <v>1374522.24</v>
      </c>
    </row>
    <row r="17243" spans="2:37">
      <c r="B17243" s="834" t="str">
        <f t="shared" si="619"/>
        <v>|||</v>
      </c>
      <c r="H17243" s="835">
        <f t="shared" si="620"/>
        <v>31</v>
      </c>
      <c r="AF17243" s="831" t="s">
        <v>11134</v>
      </c>
      <c r="AG17243" s="831" t="s">
        <v>2674</v>
      </c>
      <c r="AH17243" s="831" t="s">
        <v>546</v>
      </c>
      <c r="AI17243" s="831">
        <v>0</v>
      </c>
      <c r="AJ17243" s="835">
        <v>41578</v>
      </c>
      <c r="AK17243" s="831">
        <v>580271359</v>
      </c>
    </row>
    <row r="17244" spans="2:37">
      <c r="B17244" s="834" t="str">
        <f t="shared" si="619"/>
        <v>|||</v>
      </c>
      <c r="H17244" s="835">
        <f t="shared" si="620"/>
        <v>31</v>
      </c>
      <c r="AF17244" s="831" t="s">
        <v>11135</v>
      </c>
      <c r="AG17244" s="831" t="s">
        <v>2674</v>
      </c>
      <c r="AH17244" s="831" t="s">
        <v>370</v>
      </c>
      <c r="AI17244" s="831">
        <v>0</v>
      </c>
      <c r="AJ17244" s="835">
        <v>41578</v>
      </c>
      <c r="AK17244" s="831">
        <v>723686405</v>
      </c>
    </row>
    <row r="17245" spans="2:37">
      <c r="B17245" s="834" t="str">
        <f t="shared" si="619"/>
        <v>|||</v>
      </c>
      <c r="H17245" s="835">
        <f t="shared" si="620"/>
        <v>31</v>
      </c>
      <c r="AF17245" s="831" t="s">
        <v>11136</v>
      </c>
      <c r="AG17245" s="831" t="s">
        <v>2674</v>
      </c>
      <c r="AH17245" s="831" t="s">
        <v>126</v>
      </c>
      <c r="AI17245" s="831">
        <v>0</v>
      </c>
      <c r="AJ17245" s="835">
        <v>41578</v>
      </c>
      <c r="AK17245" s="831">
        <v>120290863</v>
      </c>
    </row>
    <row r="17246" spans="2:37">
      <c r="B17246" s="834" t="str">
        <f t="shared" si="619"/>
        <v>|||</v>
      </c>
      <c r="H17246" s="835">
        <f t="shared" si="620"/>
        <v>31</v>
      </c>
      <c r="AF17246" s="831" t="s">
        <v>11137</v>
      </c>
      <c r="AG17246" s="831" t="s">
        <v>2674</v>
      </c>
      <c r="AH17246" s="831" t="s">
        <v>268</v>
      </c>
      <c r="AI17246" s="831">
        <v>0</v>
      </c>
      <c r="AJ17246" s="835">
        <v>41578</v>
      </c>
      <c r="AK17246" s="831">
        <v>25527641</v>
      </c>
    </row>
    <row r="17247" spans="2:37">
      <c r="B17247" s="834" t="str">
        <f t="shared" si="619"/>
        <v>|||</v>
      </c>
      <c r="H17247" s="835">
        <f t="shared" si="620"/>
        <v>31</v>
      </c>
      <c r="AF17247" s="831" t="s">
        <v>11138</v>
      </c>
      <c r="AG17247" s="831" t="s">
        <v>2674</v>
      </c>
      <c r="AH17247" s="831" t="s">
        <v>547</v>
      </c>
      <c r="AI17247" s="831">
        <v>0</v>
      </c>
      <c r="AJ17247" s="835">
        <v>41578</v>
      </c>
      <c r="AK17247" s="831">
        <v>511487760</v>
      </c>
    </row>
    <row r="17248" spans="2:37">
      <c r="B17248" s="834" t="str">
        <f t="shared" si="619"/>
        <v>|||</v>
      </c>
      <c r="H17248" s="835">
        <f t="shared" si="620"/>
        <v>31</v>
      </c>
      <c r="AF17248" s="831" t="s">
        <v>11139</v>
      </c>
      <c r="AG17248" s="831" t="s">
        <v>2674</v>
      </c>
      <c r="AH17248" s="831" t="s">
        <v>548</v>
      </c>
      <c r="AI17248" s="831">
        <v>0</v>
      </c>
      <c r="AJ17248" s="835">
        <v>41578</v>
      </c>
      <c r="AK17248" s="831">
        <v>96883184</v>
      </c>
    </row>
    <row r="17249" spans="2:37">
      <c r="B17249" s="834" t="str">
        <f t="shared" si="619"/>
        <v>|||</v>
      </c>
      <c r="H17249" s="835">
        <f t="shared" si="620"/>
        <v>31</v>
      </c>
      <c r="AF17249" s="831" t="s">
        <v>11140</v>
      </c>
      <c r="AG17249" s="831" t="s">
        <v>2674</v>
      </c>
      <c r="AH17249" s="831" t="s">
        <v>549</v>
      </c>
      <c r="AI17249" s="831">
        <v>0</v>
      </c>
      <c r="AJ17249" s="835">
        <v>41578</v>
      </c>
      <c r="AK17249" s="831">
        <v>376404251</v>
      </c>
    </row>
    <row r="17250" spans="2:37">
      <c r="B17250" s="834" t="str">
        <f t="shared" si="619"/>
        <v>|||</v>
      </c>
      <c r="H17250" s="835">
        <f t="shared" si="620"/>
        <v>31</v>
      </c>
      <c r="AF17250" s="831" t="s">
        <v>11141</v>
      </c>
      <c r="AG17250" s="831" t="s">
        <v>2674</v>
      </c>
      <c r="AH17250" s="831" t="s">
        <v>192</v>
      </c>
      <c r="AI17250" s="831">
        <v>0</v>
      </c>
      <c r="AJ17250" s="835">
        <v>41578</v>
      </c>
      <c r="AK17250" s="831">
        <v>-13193791</v>
      </c>
    </row>
    <row r="17251" spans="2:37">
      <c r="B17251" s="834" t="str">
        <f t="shared" si="619"/>
        <v>|||</v>
      </c>
      <c r="H17251" s="835">
        <f t="shared" si="620"/>
        <v>31</v>
      </c>
      <c r="AF17251" s="831" t="s">
        <v>11142</v>
      </c>
      <c r="AG17251" s="831" t="s">
        <v>2674</v>
      </c>
      <c r="AH17251" s="831" t="s">
        <v>558</v>
      </c>
      <c r="AI17251" s="831">
        <v>0</v>
      </c>
      <c r="AJ17251" s="835">
        <v>41578</v>
      </c>
      <c r="AK17251" s="831">
        <v>603395542</v>
      </c>
    </row>
    <row r="17252" spans="2:37">
      <c r="B17252" s="834" t="str">
        <f t="shared" si="619"/>
        <v>|||</v>
      </c>
      <c r="H17252" s="835">
        <f t="shared" si="620"/>
        <v>31</v>
      </c>
      <c r="AF17252" s="831" t="s">
        <v>11143</v>
      </c>
      <c r="AG17252" s="831" t="s">
        <v>2674</v>
      </c>
      <c r="AH17252" s="831" t="s">
        <v>65</v>
      </c>
      <c r="AI17252" s="831">
        <v>0</v>
      </c>
      <c r="AJ17252" s="835">
        <v>41578</v>
      </c>
      <c r="AK17252" s="831">
        <v>107527674</v>
      </c>
    </row>
    <row r="17253" spans="2:37">
      <c r="B17253" s="834" t="str">
        <f t="shared" si="619"/>
        <v>|||</v>
      </c>
      <c r="H17253" s="835">
        <f t="shared" si="620"/>
        <v>31</v>
      </c>
      <c r="AF17253" s="831" t="s">
        <v>11144</v>
      </c>
      <c r="AG17253" s="831" t="s">
        <v>2674</v>
      </c>
      <c r="AH17253" s="831" t="s">
        <v>89</v>
      </c>
      <c r="AI17253" s="831">
        <v>0</v>
      </c>
      <c r="AJ17253" s="835">
        <v>41578</v>
      </c>
      <c r="AK17253" s="831">
        <v>143295</v>
      </c>
    </row>
    <row r="17254" spans="2:37">
      <c r="B17254" s="834" t="str">
        <f t="shared" si="619"/>
        <v>|||</v>
      </c>
      <c r="H17254" s="835">
        <f t="shared" si="620"/>
        <v>31</v>
      </c>
      <c r="AF17254" s="831" t="s">
        <v>11145</v>
      </c>
      <c r="AG17254" s="831" t="s">
        <v>2674</v>
      </c>
      <c r="AH17254" s="831" t="s">
        <v>557</v>
      </c>
      <c r="AI17254" s="831">
        <v>0</v>
      </c>
      <c r="AJ17254" s="835">
        <v>41578</v>
      </c>
      <c r="AK17254" s="831">
        <v>153100</v>
      </c>
    </row>
    <row r="17255" spans="2:37">
      <c r="B17255" s="834" t="str">
        <f t="shared" si="619"/>
        <v>|||</v>
      </c>
      <c r="H17255" s="835">
        <f t="shared" si="620"/>
        <v>31</v>
      </c>
      <c r="AF17255" s="831" t="s">
        <v>11146</v>
      </c>
      <c r="AG17255" s="831" t="s">
        <v>2674</v>
      </c>
      <c r="AH17255" s="831" t="s">
        <v>29</v>
      </c>
      <c r="AI17255" s="831">
        <v>0</v>
      </c>
      <c r="AJ17255" s="835">
        <v>41578</v>
      </c>
      <c r="AK17255" s="831">
        <v>1718550.9230000002</v>
      </c>
    </row>
    <row r="17256" spans="2:37">
      <c r="B17256" s="834" t="str">
        <f t="shared" si="619"/>
        <v>|||</v>
      </c>
      <c r="H17256" s="835">
        <f t="shared" si="620"/>
        <v>31</v>
      </c>
      <c r="AF17256" s="831" t="s">
        <v>11147</v>
      </c>
      <c r="AG17256" s="831" t="s">
        <v>2674</v>
      </c>
      <c r="AH17256" s="831" t="s">
        <v>2688</v>
      </c>
      <c r="AI17256" s="831">
        <v>0</v>
      </c>
      <c r="AJ17256" s="835">
        <v>41578</v>
      </c>
      <c r="AK17256" s="831">
        <v>2316853.79</v>
      </c>
    </row>
    <row r="17257" spans="2:37">
      <c r="B17257" s="834" t="str">
        <f t="shared" si="619"/>
        <v>|||</v>
      </c>
      <c r="H17257" s="835">
        <f t="shared" si="620"/>
        <v>31</v>
      </c>
      <c r="AF17257" s="831" t="s">
        <v>11148</v>
      </c>
      <c r="AG17257" s="831" t="s">
        <v>2674</v>
      </c>
      <c r="AH17257" s="831" t="s">
        <v>556</v>
      </c>
      <c r="AI17257" s="831">
        <v>0</v>
      </c>
      <c r="AJ17257" s="835">
        <v>41578</v>
      </c>
      <c r="AK17257" s="831">
        <v>1644732</v>
      </c>
    </row>
    <row r="17258" spans="2:37">
      <c r="B17258" s="834" t="str">
        <f t="shared" si="619"/>
        <v>|||</v>
      </c>
      <c r="H17258" s="835">
        <f t="shared" si="620"/>
        <v>31</v>
      </c>
      <c r="AF17258" s="831" t="s">
        <v>11149</v>
      </c>
      <c r="AG17258" s="831" t="s">
        <v>2674</v>
      </c>
      <c r="AH17258" s="831" t="s">
        <v>555</v>
      </c>
      <c r="AI17258" s="831">
        <v>0</v>
      </c>
      <c r="AJ17258" s="835">
        <v>41578</v>
      </c>
      <c r="AK17258" s="831">
        <v>400055160</v>
      </c>
    </row>
    <row r="17259" spans="2:37">
      <c r="B17259" s="834" t="str">
        <f t="shared" si="619"/>
        <v>|||</v>
      </c>
      <c r="H17259" s="835">
        <f t="shared" si="620"/>
        <v>31</v>
      </c>
      <c r="AF17259" s="831" t="s">
        <v>11150</v>
      </c>
      <c r="AG17259" s="831" t="s">
        <v>2674</v>
      </c>
      <c r="AH17259" s="831" t="s">
        <v>554</v>
      </c>
      <c r="AI17259" s="831">
        <v>0</v>
      </c>
      <c r="AJ17259" s="835">
        <v>41578</v>
      </c>
      <c r="AK17259" s="831">
        <v>409100170</v>
      </c>
    </row>
    <row r="17260" spans="2:37">
      <c r="B17260" s="834" t="str">
        <f t="shared" si="619"/>
        <v>|||</v>
      </c>
      <c r="H17260" s="835">
        <f t="shared" si="620"/>
        <v>31</v>
      </c>
      <c r="AF17260" s="831" t="s">
        <v>11151</v>
      </c>
      <c r="AG17260" s="831" t="s">
        <v>2674</v>
      </c>
      <c r="AH17260" s="831" t="s">
        <v>553</v>
      </c>
      <c r="AI17260" s="831">
        <v>0</v>
      </c>
      <c r="AJ17260" s="835">
        <v>41578</v>
      </c>
      <c r="AK17260" s="831">
        <v>0</v>
      </c>
    </row>
    <row r="17261" spans="2:37">
      <c r="B17261" s="834" t="str">
        <f t="shared" si="619"/>
        <v>|||</v>
      </c>
      <c r="H17261" s="835">
        <f t="shared" si="620"/>
        <v>31</v>
      </c>
      <c r="AF17261" s="831" t="s">
        <v>11152</v>
      </c>
      <c r="AG17261" s="831" t="s">
        <v>2674</v>
      </c>
      <c r="AH17261" s="831" t="s">
        <v>552</v>
      </c>
      <c r="AI17261" s="831">
        <v>0</v>
      </c>
      <c r="AJ17261" s="835">
        <v>41578</v>
      </c>
      <c r="AK17261" s="831">
        <v>0</v>
      </c>
    </row>
    <row r="17262" spans="2:37">
      <c r="B17262" s="834" t="str">
        <f t="shared" si="619"/>
        <v>|||</v>
      </c>
      <c r="H17262" s="835">
        <f t="shared" si="620"/>
        <v>31</v>
      </c>
      <c r="AF17262" s="831" t="s">
        <v>11153</v>
      </c>
      <c r="AG17262" s="831" t="s">
        <v>2674</v>
      </c>
      <c r="AH17262" s="831" t="s">
        <v>551</v>
      </c>
      <c r="AI17262" s="831">
        <v>0</v>
      </c>
      <c r="AJ17262" s="835">
        <v>41578</v>
      </c>
      <c r="AK17262" s="831">
        <v>1543588.5830000001</v>
      </c>
    </row>
    <row r="17263" spans="2:37">
      <c r="B17263" s="834" t="str">
        <f t="shared" si="619"/>
        <v>|||</v>
      </c>
      <c r="H17263" s="835">
        <f t="shared" si="620"/>
        <v>31</v>
      </c>
      <c r="AF17263" s="831" t="s">
        <v>11154</v>
      </c>
      <c r="AG17263" s="831" t="s">
        <v>2674</v>
      </c>
      <c r="AH17263" s="831" t="s">
        <v>550</v>
      </c>
      <c r="AI17263" s="831">
        <v>0</v>
      </c>
      <c r="AJ17263" s="835">
        <v>41578</v>
      </c>
      <c r="AK17263" s="831">
        <v>117170637</v>
      </c>
    </row>
    <row r="17264" spans="2:37">
      <c r="B17264" s="834" t="str">
        <f t="shared" si="619"/>
        <v>|||</v>
      </c>
      <c r="H17264" s="835">
        <f t="shared" si="620"/>
        <v>31</v>
      </c>
      <c r="AF17264" s="831" t="s">
        <v>11155</v>
      </c>
      <c r="AG17264" s="831" t="s">
        <v>2674</v>
      </c>
      <c r="AH17264" s="831" t="s">
        <v>562</v>
      </c>
      <c r="AI17264" s="831">
        <v>0</v>
      </c>
      <c r="AJ17264" s="835">
        <v>41578</v>
      </c>
      <c r="AK17264" s="831">
        <v>0.78395000000000004</v>
      </c>
    </row>
    <row r="17265" spans="2:37">
      <c r="B17265" s="834" t="str">
        <f t="shared" si="619"/>
        <v>|||</v>
      </c>
      <c r="H17265" s="835">
        <f t="shared" si="620"/>
        <v>31</v>
      </c>
      <c r="AF17265" s="831" t="s">
        <v>11156</v>
      </c>
      <c r="AG17265" s="831" t="s">
        <v>2674</v>
      </c>
      <c r="AH17265" s="831" t="s">
        <v>2698</v>
      </c>
      <c r="AI17265" s="831">
        <v>0</v>
      </c>
      <c r="AJ17265" s="835">
        <v>41578</v>
      </c>
      <c r="AK17265" s="831">
        <v>0.78395000000000004</v>
      </c>
    </row>
    <row r="17266" spans="2:37">
      <c r="B17266" s="834" t="str">
        <f t="shared" si="619"/>
        <v>|||</v>
      </c>
      <c r="H17266" s="835">
        <f t="shared" si="620"/>
        <v>31</v>
      </c>
      <c r="AF17266" s="831" t="s">
        <v>11157</v>
      </c>
      <c r="AG17266" s="831" t="s">
        <v>2674</v>
      </c>
      <c r="AH17266" s="831" t="s">
        <v>560</v>
      </c>
      <c r="AI17266" s="831">
        <v>0</v>
      </c>
      <c r="AJ17266" s="835">
        <v>41578</v>
      </c>
      <c r="AK17266" s="831">
        <v>0.78400000000000003</v>
      </c>
    </row>
    <row r="17267" spans="2:37">
      <c r="B17267" s="834" t="str">
        <f t="shared" si="619"/>
        <v>|||</v>
      </c>
      <c r="H17267" s="835">
        <f t="shared" si="620"/>
        <v>31</v>
      </c>
      <c r="AF17267" s="831" t="s">
        <v>11158</v>
      </c>
      <c r="AG17267" s="831" t="s">
        <v>2674</v>
      </c>
      <c r="AH17267" s="831" t="s">
        <v>559</v>
      </c>
      <c r="AI17267" s="831">
        <v>0</v>
      </c>
      <c r="AJ17267" s="835">
        <v>41578</v>
      </c>
      <c r="AK17267" s="831">
        <v>0.78401250000000011</v>
      </c>
    </row>
    <row r="17268" spans="2:37">
      <c r="B17268" s="834" t="str">
        <f t="shared" si="619"/>
        <v>|||</v>
      </c>
      <c r="H17268" s="835">
        <f t="shared" si="620"/>
        <v>31</v>
      </c>
      <c r="AF17268" s="831" t="s">
        <v>11159</v>
      </c>
      <c r="AG17268" s="831" t="s">
        <v>2674</v>
      </c>
      <c r="AH17268" s="831" t="s">
        <v>568</v>
      </c>
      <c r="AI17268" s="831">
        <v>0</v>
      </c>
      <c r="AJ17268" s="835">
        <v>41578</v>
      </c>
      <c r="AK17268" s="831">
        <v>478407995.76923078</v>
      </c>
    </row>
    <row r="17269" spans="2:37">
      <c r="B17269" s="834" t="str">
        <f t="shared" si="619"/>
        <v>|||</v>
      </c>
      <c r="H17269" s="835">
        <f t="shared" si="620"/>
        <v>31</v>
      </c>
      <c r="AF17269" s="831" t="s">
        <v>11160</v>
      </c>
      <c r="AG17269" s="831" t="s">
        <v>2674</v>
      </c>
      <c r="AH17269" s="831" t="s">
        <v>569</v>
      </c>
      <c r="AI17269" s="831">
        <v>0</v>
      </c>
      <c r="AJ17269" s="835">
        <v>41578</v>
      </c>
      <c r="AK17269" s="831">
        <v>581144138.23076928</v>
      </c>
    </row>
    <row r="17270" spans="2:37">
      <c r="B17270" s="834" t="str">
        <f t="shared" si="619"/>
        <v>|||</v>
      </c>
      <c r="H17270" s="835">
        <f t="shared" si="620"/>
        <v>31</v>
      </c>
      <c r="AF17270" s="831" t="s">
        <v>11161</v>
      </c>
      <c r="AG17270" s="831" t="s">
        <v>2674</v>
      </c>
      <c r="AH17270" s="831" t="s">
        <v>570</v>
      </c>
      <c r="AI17270" s="831">
        <v>0</v>
      </c>
      <c r="AJ17270" s="835">
        <v>41578</v>
      </c>
      <c r="AK17270" s="831">
        <v>105999107.61538461</v>
      </c>
    </row>
    <row r="17271" spans="2:37">
      <c r="B17271" s="834" t="str">
        <f t="shared" si="619"/>
        <v>|||</v>
      </c>
      <c r="H17271" s="835">
        <f t="shared" si="620"/>
        <v>31</v>
      </c>
      <c r="AF17271" s="831" t="s">
        <v>11162</v>
      </c>
      <c r="AG17271" s="831" t="s">
        <v>2674</v>
      </c>
      <c r="AH17271" s="831" t="s">
        <v>571</v>
      </c>
      <c r="AI17271" s="831">
        <v>0</v>
      </c>
      <c r="AJ17271" s="835">
        <v>41578</v>
      </c>
      <c r="AK17271" s="831">
        <v>269945691.38461536</v>
      </c>
    </row>
    <row r="17272" spans="2:37">
      <c r="B17272" s="834" t="str">
        <f t="shared" si="619"/>
        <v>|||</v>
      </c>
      <c r="H17272" s="835">
        <f t="shared" si="620"/>
        <v>31</v>
      </c>
      <c r="AF17272" s="831" t="s">
        <v>11163</v>
      </c>
      <c r="AG17272" s="831" t="s">
        <v>2674</v>
      </c>
      <c r="AH17272" s="831" t="s">
        <v>573</v>
      </c>
      <c r="AI17272" s="831">
        <v>0</v>
      </c>
      <c r="AJ17272" s="835">
        <v>41578</v>
      </c>
      <c r="AK17272" s="831">
        <v>602977734.09090912</v>
      </c>
    </row>
    <row r="17273" spans="2:37">
      <c r="B17273" s="834" t="str">
        <f t="shared" si="619"/>
        <v>|||</v>
      </c>
      <c r="H17273" s="835">
        <f t="shared" si="620"/>
        <v>31</v>
      </c>
      <c r="AF17273" s="831" t="s">
        <v>11164</v>
      </c>
      <c r="AG17273" s="831" t="s">
        <v>2674</v>
      </c>
      <c r="AH17273" s="831" t="s">
        <v>574</v>
      </c>
      <c r="AI17273" s="831">
        <v>0</v>
      </c>
      <c r="AJ17273" s="835">
        <v>41578</v>
      </c>
      <c r="AK17273" s="831">
        <v>495346900.72727275</v>
      </c>
    </row>
    <row r="17274" spans="2:37">
      <c r="B17274" s="834" t="str">
        <f t="shared" si="619"/>
        <v>|||</v>
      </c>
      <c r="H17274" s="835">
        <f t="shared" si="620"/>
        <v>31</v>
      </c>
      <c r="AF17274" s="831" t="s">
        <v>11165</v>
      </c>
      <c r="AG17274" s="831" t="s">
        <v>2674</v>
      </c>
      <c r="AH17274" s="831" t="s">
        <v>575</v>
      </c>
      <c r="AI17274" s="831">
        <v>0</v>
      </c>
      <c r="AJ17274" s="835">
        <v>41578</v>
      </c>
      <c r="AK17274" s="831">
        <v>106972740.09090909</v>
      </c>
    </row>
    <row r="17275" spans="2:37">
      <c r="B17275" s="834" t="str">
        <f t="shared" si="619"/>
        <v>|||</v>
      </c>
      <c r="H17275" s="835">
        <f t="shared" si="620"/>
        <v>31</v>
      </c>
      <c r="AF17275" s="831" t="s">
        <v>11166</v>
      </c>
      <c r="AG17275" s="831" t="s">
        <v>2674</v>
      </c>
      <c r="AH17275" s="831" t="s">
        <v>576</v>
      </c>
      <c r="AI17275" s="831">
        <v>0</v>
      </c>
      <c r="AJ17275" s="835">
        <v>41578</v>
      </c>
      <c r="AK17275" s="831">
        <v>283862763.27272725</v>
      </c>
    </row>
    <row r="17276" spans="2:37">
      <c r="B17276" s="834" t="str">
        <f t="shared" si="619"/>
        <v>|||</v>
      </c>
      <c r="H17276" s="835">
        <f t="shared" si="620"/>
        <v>31</v>
      </c>
      <c r="AF17276" s="831" t="s">
        <v>11167</v>
      </c>
      <c r="AG17276" s="831" t="s">
        <v>2674</v>
      </c>
      <c r="AH17276" s="831" t="s">
        <v>572</v>
      </c>
      <c r="AI17276" s="831">
        <v>0</v>
      </c>
      <c r="AJ17276" s="835">
        <v>41578</v>
      </c>
      <c r="AK17276" s="831">
        <v>27259085</v>
      </c>
    </row>
    <row r="17277" spans="2:37">
      <c r="B17277" s="834" t="str">
        <f t="shared" si="619"/>
        <v>|||</v>
      </c>
      <c r="H17277" s="835">
        <f t="shared" si="620"/>
        <v>31</v>
      </c>
      <c r="AF17277" s="831" t="s">
        <v>11168</v>
      </c>
      <c r="AG17277" s="831" t="s">
        <v>2674</v>
      </c>
      <c r="AH17277" s="831" t="s">
        <v>577</v>
      </c>
      <c r="AI17277" s="831">
        <v>0</v>
      </c>
      <c r="AJ17277" s="835">
        <v>41578</v>
      </c>
      <c r="AK17277" s="831">
        <v>126095724</v>
      </c>
    </row>
    <row r="17278" spans="2:37">
      <c r="B17278" s="834" t="str">
        <f t="shared" si="619"/>
        <v>|||</v>
      </c>
      <c r="H17278" s="835">
        <f t="shared" si="620"/>
        <v>31</v>
      </c>
      <c r="AF17278" s="831" t="s">
        <v>11169</v>
      </c>
      <c r="AG17278" s="831" t="s">
        <v>2674</v>
      </c>
      <c r="AH17278" s="831" t="s">
        <v>3042</v>
      </c>
      <c r="AI17278" s="831">
        <v>0</v>
      </c>
      <c r="AJ17278" s="835">
        <v>41578</v>
      </c>
      <c r="AK17278" s="831">
        <v>-31522962</v>
      </c>
    </row>
    <row r="17279" spans="2:37">
      <c r="B17279" s="834" t="str">
        <f t="shared" si="619"/>
        <v>|||</v>
      </c>
      <c r="H17279" s="835">
        <f t="shared" si="620"/>
        <v>31</v>
      </c>
      <c r="AF17279" s="831" t="s">
        <v>11170</v>
      </c>
      <c r="AG17279" s="831" t="s">
        <v>2674</v>
      </c>
      <c r="AH17279" s="831" t="s">
        <v>3044</v>
      </c>
      <c r="AI17279" s="831">
        <v>0</v>
      </c>
      <c r="AJ17279" s="835">
        <v>41578</v>
      </c>
      <c r="AK17279" s="831">
        <v>-4397277</v>
      </c>
    </row>
    <row r="17280" spans="2:37">
      <c r="B17280" s="834" t="str">
        <f t="shared" si="619"/>
        <v>|||</v>
      </c>
      <c r="H17280" s="835">
        <f t="shared" si="620"/>
        <v>31</v>
      </c>
      <c r="AF17280" s="831" t="s">
        <v>11171</v>
      </c>
      <c r="AG17280" s="831" t="s">
        <v>2674</v>
      </c>
      <c r="AH17280" s="831" t="s">
        <v>580</v>
      </c>
      <c r="AI17280" s="831">
        <v>0</v>
      </c>
      <c r="AJ17280" s="835">
        <v>41578</v>
      </c>
      <c r="AK17280" s="831">
        <v>-60213639</v>
      </c>
    </row>
    <row r="17281" spans="2:37">
      <c r="B17281" s="834" t="str">
        <f t="shared" si="619"/>
        <v>|||</v>
      </c>
      <c r="H17281" s="835">
        <f t="shared" si="620"/>
        <v>31</v>
      </c>
      <c r="AF17281" s="831" t="s">
        <v>11172</v>
      </c>
      <c r="AG17281" s="831" t="s">
        <v>2674</v>
      </c>
      <c r="AH17281" s="831" t="s">
        <v>581</v>
      </c>
      <c r="AI17281" s="831">
        <v>0</v>
      </c>
      <c r="AJ17281" s="835">
        <v>41578</v>
      </c>
      <c r="AK17281" s="831">
        <v>4896268</v>
      </c>
    </row>
    <row r="17282" spans="2:37">
      <c r="B17282" s="834" t="str">
        <f t="shared" si="619"/>
        <v>|||</v>
      </c>
      <c r="H17282" s="835">
        <f t="shared" si="620"/>
        <v>31</v>
      </c>
      <c r="AF17282" s="831" t="s">
        <v>11173</v>
      </c>
      <c r="AG17282" s="831" t="s">
        <v>2674</v>
      </c>
      <c r="AH17282" s="831" t="s">
        <v>105</v>
      </c>
      <c r="AI17282" s="831">
        <v>0</v>
      </c>
      <c r="AJ17282" s="835">
        <v>41578</v>
      </c>
      <c r="AK17282" s="831">
        <v>349309695</v>
      </c>
    </row>
    <row r="17283" spans="2:37">
      <c r="B17283" s="834" t="str">
        <f t="shared" si="619"/>
        <v>|||</v>
      </c>
      <c r="H17283" s="835">
        <f t="shared" si="620"/>
        <v>31</v>
      </c>
      <c r="AF17283" s="831" t="s">
        <v>11174</v>
      </c>
      <c r="AG17283" s="831" t="s">
        <v>2674</v>
      </c>
      <c r="AH17283" s="831" t="s">
        <v>3049</v>
      </c>
      <c r="AI17283" s="831">
        <v>0</v>
      </c>
      <c r="AJ17283" s="835">
        <v>41578</v>
      </c>
      <c r="AK17283" s="831">
        <v>582451860</v>
      </c>
    </row>
    <row r="17284" spans="2:37">
      <c r="B17284" s="834" t="str">
        <f t="shared" si="619"/>
        <v>|||</v>
      </c>
      <c r="H17284" s="835">
        <f t="shared" si="620"/>
        <v>31</v>
      </c>
      <c r="AF17284" s="831" t="s">
        <v>11175</v>
      </c>
      <c r="AG17284" s="831" t="s">
        <v>2674</v>
      </c>
      <c r="AH17284" s="831" t="s">
        <v>103</v>
      </c>
      <c r="AI17284" s="831">
        <v>0</v>
      </c>
      <c r="AJ17284" s="835">
        <v>41578</v>
      </c>
      <c r="AK17284" s="831">
        <v>233142165</v>
      </c>
    </row>
    <row r="17285" spans="2:37">
      <c r="B17285" s="834" t="str">
        <f t="shared" si="619"/>
        <v>|||</v>
      </c>
      <c r="H17285" s="835">
        <f t="shared" si="620"/>
        <v>31</v>
      </c>
      <c r="AF17285" s="831" t="s">
        <v>11176</v>
      </c>
      <c r="AG17285" s="831" t="s">
        <v>2674</v>
      </c>
      <c r="AH17285" s="831" t="s">
        <v>182</v>
      </c>
      <c r="AI17285" s="831">
        <v>0</v>
      </c>
      <c r="AJ17285" s="835">
        <v>41578</v>
      </c>
      <c r="AK17285" s="831">
        <v>58216306.799999997</v>
      </c>
    </row>
    <row r="17286" spans="2:37">
      <c r="B17286" s="834" t="str">
        <f t="shared" si="619"/>
        <v>|||</v>
      </c>
      <c r="H17286" s="835">
        <f t="shared" si="620"/>
        <v>31</v>
      </c>
      <c r="AF17286" s="831" t="s">
        <v>11177</v>
      </c>
      <c r="AG17286" s="831" t="s">
        <v>2674</v>
      </c>
      <c r="AH17286" s="831" t="s">
        <v>6600</v>
      </c>
      <c r="AI17286" s="831">
        <v>0</v>
      </c>
      <c r="AJ17286" s="835">
        <v>41578</v>
      </c>
      <c r="AK17286" s="831">
        <v>27259085</v>
      </c>
    </row>
    <row r="17287" spans="2:37">
      <c r="B17287" s="834" t="str">
        <f t="shared" si="619"/>
        <v>|||</v>
      </c>
      <c r="H17287" s="835">
        <f t="shared" si="620"/>
        <v>31</v>
      </c>
      <c r="AF17287" s="831" t="s">
        <v>11178</v>
      </c>
      <c r="AG17287" s="831" t="s">
        <v>2674</v>
      </c>
      <c r="AH17287" s="831" t="s">
        <v>6602</v>
      </c>
      <c r="AI17287" s="831">
        <v>0</v>
      </c>
      <c r="AJ17287" s="835">
        <v>41578</v>
      </c>
      <c r="AK17287" s="831">
        <v>25527641</v>
      </c>
    </row>
    <row r="17288" spans="2:37">
      <c r="B17288" s="834" t="str">
        <f t="shared" si="619"/>
        <v>|||</v>
      </c>
      <c r="H17288" s="835">
        <f t="shared" si="620"/>
        <v>31</v>
      </c>
      <c r="AF17288" s="831" t="s">
        <v>11179</v>
      </c>
      <c r="AG17288" s="831" t="s">
        <v>2674</v>
      </c>
      <c r="AH17288" s="831" t="s">
        <v>650</v>
      </c>
      <c r="AI17288" s="831">
        <v>0</v>
      </c>
      <c r="AJ17288" s="835">
        <v>41578</v>
      </c>
      <c r="AK17288" s="831">
        <v>190388810.31923077</v>
      </c>
    </row>
    <row r="17289" spans="2:37">
      <c r="B17289" s="834" t="str">
        <f t="shared" si="619"/>
        <v>|||</v>
      </c>
      <c r="H17289" s="835">
        <f t="shared" si="620"/>
        <v>31</v>
      </c>
      <c r="AF17289" s="831" t="s">
        <v>11180</v>
      </c>
      <c r="AG17289" s="831" t="s">
        <v>2674</v>
      </c>
      <c r="AH17289" s="831" t="s">
        <v>655</v>
      </c>
      <c r="AI17289" s="831">
        <v>0</v>
      </c>
      <c r="AJ17289" s="835">
        <v>41578</v>
      </c>
      <c r="AK17289" s="831">
        <v>1325401.845</v>
      </c>
    </row>
    <row r="17290" spans="2:37">
      <c r="B17290" s="834" t="str">
        <f t="shared" si="619"/>
        <v>|||</v>
      </c>
      <c r="H17290" s="835">
        <f t="shared" si="620"/>
        <v>31</v>
      </c>
      <c r="AF17290" s="831" t="s">
        <v>11181</v>
      </c>
      <c r="AG17290" s="831" t="s">
        <v>2674</v>
      </c>
      <c r="AH17290" s="831" t="s">
        <v>546</v>
      </c>
      <c r="AI17290" s="831">
        <v>0</v>
      </c>
      <c r="AJ17290" s="835">
        <v>41608</v>
      </c>
      <c r="AK17290" s="831">
        <v>598049309.95000005</v>
      </c>
    </row>
    <row r="17291" spans="2:37">
      <c r="B17291" s="834" t="str">
        <f t="shared" si="619"/>
        <v>|||</v>
      </c>
      <c r="H17291" s="835">
        <f t="shared" si="620"/>
        <v>31</v>
      </c>
      <c r="AF17291" s="831" t="s">
        <v>11182</v>
      </c>
      <c r="AG17291" s="831" t="s">
        <v>2674</v>
      </c>
      <c r="AH17291" s="831" t="s">
        <v>370</v>
      </c>
      <c r="AI17291" s="831">
        <v>0</v>
      </c>
      <c r="AJ17291" s="835">
        <v>41608</v>
      </c>
      <c r="AK17291" s="831">
        <v>744271522.09000015</v>
      </c>
    </row>
    <row r="17292" spans="2:37">
      <c r="B17292" s="834" t="str">
        <f t="shared" si="619"/>
        <v>|||</v>
      </c>
      <c r="H17292" s="835">
        <f t="shared" si="620"/>
        <v>31</v>
      </c>
      <c r="AF17292" s="831" t="s">
        <v>11183</v>
      </c>
      <c r="AG17292" s="831" t="s">
        <v>2674</v>
      </c>
      <c r="AH17292" s="831" t="s">
        <v>126</v>
      </c>
      <c r="AI17292" s="831">
        <v>0</v>
      </c>
      <c r="AJ17292" s="835">
        <v>41608</v>
      </c>
      <c r="AK17292" s="831">
        <v>123117939.85600001</v>
      </c>
    </row>
    <row r="17293" spans="2:37">
      <c r="B17293" s="834" t="str">
        <f t="shared" si="619"/>
        <v>|||</v>
      </c>
      <c r="H17293" s="835">
        <f t="shared" si="620"/>
        <v>31</v>
      </c>
      <c r="AF17293" s="831" t="s">
        <v>11184</v>
      </c>
      <c r="AG17293" s="831" t="s">
        <v>2674</v>
      </c>
      <c r="AH17293" s="831" t="s">
        <v>268</v>
      </c>
      <c r="AI17293" s="831">
        <v>0</v>
      </c>
      <c r="AJ17293" s="835">
        <v>41608</v>
      </c>
      <c r="AK17293" s="831">
        <v>28354718.032000005</v>
      </c>
    </row>
    <row r="17294" spans="2:37">
      <c r="B17294" s="834" t="str">
        <f t="shared" si="619"/>
        <v>|||</v>
      </c>
      <c r="H17294" s="835">
        <f t="shared" si="620"/>
        <v>31</v>
      </c>
      <c r="AF17294" s="831" t="s">
        <v>11185</v>
      </c>
      <c r="AG17294" s="831" t="s">
        <v>2674</v>
      </c>
      <c r="AH17294" s="831" t="s">
        <v>547</v>
      </c>
      <c r="AI17294" s="831">
        <v>0</v>
      </c>
      <c r="AJ17294" s="835">
        <v>41608</v>
      </c>
      <c r="AK17294" s="831">
        <v>511487760</v>
      </c>
    </row>
    <row r="17295" spans="2:37">
      <c r="B17295" s="834" t="str">
        <f t="shared" si="619"/>
        <v>|||</v>
      </c>
      <c r="H17295" s="835">
        <f t="shared" si="620"/>
        <v>31</v>
      </c>
      <c r="AF17295" s="831" t="s">
        <v>11186</v>
      </c>
      <c r="AG17295" s="831" t="s">
        <v>2674</v>
      </c>
      <c r="AH17295" s="831" t="s">
        <v>548</v>
      </c>
      <c r="AI17295" s="831">
        <v>0</v>
      </c>
      <c r="AJ17295" s="835">
        <v>41608</v>
      </c>
      <c r="AK17295" s="831">
        <v>96883184</v>
      </c>
    </row>
    <row r="17296" spans="2:37">
      <c r="B17296" s="834" t="str">
        <f t="shared" si="619"/>
        <v>|||</v>
      </c>
      <c r="H17296" s="835">
        <f t="shared" si="620"/>
        <v>31</v>
      </c>
      <c r="AF17296" s="831" t="s">
        <v>11187</v>
      </c>
      <c r="AG17296" s="831" t="s">
        <v>2674</v>
      </c>
      <c r="AH17296" s="831" t="s">
        <v>549</v>
      </c>
      <c r="AI17296" s="831">
        <v>0</v>
      </c>
      <c r="AJ17296" s="835">
        <v>41608</v>
      </c>
      <c r="AK17296" s="831">
        <v>394083786</v>
      </c>
    </row>
    <row r="17297" spans="2:37">
      <c r="B17297" s="834" t="str">
        <f t="shared" ref="B17297:B17360" si="621">C17297&amp;"|"&amp;D17297&amp;"|"&amp;E17297&amp;"|"&amp;F17297</f>
        <v>|||</v>
      </c>
      <c r="H17297" s="835">
        <f t="shared" ref="H17297:H17360" si="622">EOMONTH(L17297,0)</f>
        <v>31</v>
      </c>
      <c r="AF17297" s="831" t="s">
        <v>11188</v>
      </c>
      <c r="AG17297" s="831" t="s">
        <v>2674</v>
      </c>
      <c r="AH17297" s="831" t="s">
        <v>192</v>
      </c>
      <c r="AI17297" s="831">
        <v>0</v>
      </c>
      <c r="AJ17297" s="835">
        <v>41608</v>
      </c>
      <c r="AK17297" s="831">
        <v>-13734258.050000001</v>
      </c>
    </row>
    <row r="17298" spans="2:37">
      <c r="B17298" s="834" t="str">
        <f t="shared" si="621"/>
        <v>|||</v>
      </c>
      <c r="H17298" s="835">
        <f t="shared" si="622"/>
        <v>31</v>
      </c>
      <c r="AF17298" s="831" t="s">
        <v>11189</v>
      </c>
      <c r="AG17298" s="831" t="s">
        <v>2674</v>
      </c>
      <c r="AH17298" s="831" t="s">
        <v>558</v>
      </c>
      <c r="AI17298" s="831">
        <v>0</v>
      </c>
      <c r="AJ17298" s="835">
        <v>41608</v>
      </c>
      <c r="AK17298" s="831">
        <v>621153581.74699998</v>
      </c>
    </row>
    <row r="17299" spans="2:37">
      <c r="B17299" s="834" t="str">
        <f t="shared" si="621"/>
        <v>|||</v>
      </c>
      <c r="H17299" s="835">
        <f t="shared" si="622"/>
        <v>31</v>
      </c>
      <c r="AF17299" s="831" t="s">
        <v>11190</v>
      </c>
      <c r="AG17299" s="831" t="s">
        <v>2674</v>
      </c>
      <c r="AH17299" s="831" t="s">
        <v>65</v>
      </c>
      <c r="AI17299" s="831">
        <v>0</v>
      </c>
      <c r="AJ17299" s="835">
        <v>41608</v>
      </c>
      <c r="AK17299" s="831">
        <v>119540969.236</v>
      </c>
    </row>
    <row r="17300" spans="2:37">
      <c r="B17300" s="834" t="str">
        <f t="shared" si="621"/>
        <v>|||</v>
      </c>
      <c r="H17300" s="835">
        <f t="shared" si="622"/>
        <v>31</v>
      </c>
      <c r="AF17300" s="831" t="s">
        <v>11191</v>
      </c>
      <c r="AG17300" s="831" t="s">
        <v>2674</v>
      </c>
      <c r="AH17300" s="831" t="s">
        <v>89</v>
      </c>
      <c r="AI17300" s="831">
        <v>0</v>
      </c>
      <c r="AJ17300" s="835">
        <v>41608</v>
      </c>
      <c r="AK17300" s="831">
        <v>145224</v>
      </c>
    </row>
    <row r="17301" spans="2:37">
      <c r="B17301" s="834" t="str">
        <f t="shared" si="621"/>
        <v>|||</v>
      </c>
      <c r="H17301" s="835">
        <f t="shared" si="622"/>
        <v>31</v>
      </c>
      <c r="AF17301" s="831" t="s">
        <v>11192</v>
      </c>
      <c r="AG17301" s="831" t="s">
        <v>2674</v>
      </c>
      <c r="AH17301" s="831" t="s">
        <v>557</v>
      </c>
      <c r="AI17301" s="831">
        <v>0</v>
      </c>
      <c r="AJ17301" s="835">
        <v>41608</v>
      </c>
      <c r="AK17301" s="831">
        <v>155996</v>
      </c>
    </row>
    <row r="17302" spans="2:37">
      <c r="B17302" s="834" t="str">
        <f t="shared" si="621"/>
        <v>|||</v>
      </c>
      <c r="H17302" s="835">
        <f t="shared" si="622"/>
        <v>31</v>
      </c>
      <c r="AF17302" s="831" t="s">
        <v>11193</v>
      </c>
      <c r="AG17302" s="831" t="s">
        <v>2674</v>
      </c>
      <c r="AH17302" s="831" t="s">
        <v>29</v>
      </c>
      <c r="AI17302" s="831">
        <v>0</v>
      </c>
      <c r="AJ17302" s="835">
        <v>41608</v>
      </c>
      <c r="AK17302" s="831">
        <v>1891894.6070000001</v>
      </c>
    </row>
    <row r="17303" spans="2:37">
      <c r="B17303" s="834" t="str">
        <f t="shared" si="621"/>
        <v>|||</v>
      </c>
      <c r="H17303" s="835">
        <f t="shared" si="622"/>
        <v>31</v>
      </c>
      <c r="AF17303" s="831" t="s">
        <v>11194</v>
      </c>
      <c r="AG17303" s="831" t="s">
        <v>2674</v>
      </c>
      <c r="AH17303" s="831" t="s">
        <v>2688</v>
      </c>
      <c r="AI17303" s="831">
        <v>0</v>
      </c>
      <c r="AJ17303" s="835">
        <v>41608</v>
      </c>
      <c r="AK17303" s="831">
        <v>3430395.37</v>
      </c>
    </row>
    <row r="17304" spans="2:37">
      <c r="B17304" s="834" t="str">
        <f t="shared" si="621"/>
        <v>|||</v>
      </c>
      <c r="H17304" s="835">
        <f t="shared" si="622"/>
        <v>31</v>
      </c>
      <c r="AF17304" s="831" t="s">
        <v>11195</v>
      </c>
      <c r="AG17304" s="831" t="s">
        <v>2674</v>
      </c>
      <c r="AH17304" s="831" t="s">
        <v>556</v>
      </c>
      <c r="AI17304" s="831">
        <v>0</v>
      </c>
      <c r="AJ17304" s="835">
        <v>41608</v>
      </c>
      <c r="AK17304" s="831">
        <v>1644732</v>
      </c>
    </row>
    <row r="17305" spans="2:37">
      <c r="B17305" s="834" t="str">
        <f t="shared" si="621"/>
        <v>|||</v>
      </c>
      <c r="H17305" s="835">
        <f t="shared" si="622"/>
        <v>31</v>
      </c>
      <c r="AF17305" s="831" t="s">
        <v>11196</v>
      </c>
      <c r="AG17305" s="831" t="s">
        <v>2674</v>
      </c>
      <c r="AH17305" s="831" t="s">
        <v>555</v>
      </c>
      <c r="AI17305" s="831">
        <v>0</v>
      </c>
      <c r="AJ17305" s="835">
        <v>41608</v>
      </c>
      <c r="AK17305" s="831">
        <v>414052390</v>
      </c>
    </row>
    <row r="17306" spans="2:37">
      <c r="B17306" s="834" t="str">
        <f t="shared" si="621"/>
        <v>|||</v>
      </c>
      <c r="H17306" s="835">
        <f t="shared" si="622"/>
        <v>31</v>
      </c>
      <c r="AF17306" s="831" t="s">
        <v>11197</v>
      </c>
      <c r="AG17306" s="831" t="s">
        <v>2674</v>
      </c>
      <c r="AH17306" s="831" t="s">
        <v>554</v>
      </c>
      <c r="AI17306" s="831">
        <v>0</v>
      </c>
      <c r="AJ17306" s="835">
        <v>41608</v>
      </c>
      <c r="AK17306" s="831">
        <v>421904620</v>
      </c>
    </row>
    <row r="17307" spans="2:37">
      <c r="B17307" s="834" t="str">
        <f t="shared" si="621"/>
        <v>|||</v>
      </c>
      <c r="H17307" s="835">
        <f t="shared" si="622"/>
        <v>31</v>
      </c>
      <c r="AF17307" s="831" t="s">
        <v>11198</v>
      </c>
      <c r="AG17307" s="831" t="s">
        <v>2674</v>
      </c>
      <c r="AH17307" s="831" t="s">
        <v>553</v>
      </c>
      <c r="AI17307" s="831">
        <v>0</v>
      </c>
      <c r="AJ17307" s="835">
        <v>41608</v>
      </c>
      <c r="AK17307" s="831">
        <v>0</v>
      </c>
    </row>
    <row r="17308" spans="2:37">
      <c r="B17308" s="834" t="str">
        <f t="shared" si="621"/>
        <v>|||</v>
      </c>
      <c r="H17308" s="835">
        <f t="shared" si="622"/>
        <v>31</v>
      </c>
      <c r="AF17308" s="831" t="s">
        <v>11199</v>
      </c>
      <c r="AG17308" s="831" t="s">
        <v>2674</v>
      </c>
      <c r="AH17308" s="831" t="s">
        <v>552</v>
      </c>
      <c r="AI17308" s="831">
        <v>0</v>
      </c>
      <c r="AJ17308" s="835">
        <v>41608</v>
      </c>
      <c r="AK17308" s="831">
        <v>0</v>
      </c>
    </row>
    <row r="17309" spans="2:37">
      <c r="B17309" s="834" t="str">
        <f t="shared" si="621"/>
        <v>|||</v>
      </c>
      <c r="H17309" s="835">
        <f t="shared" si="622"/>
        <v>31</v>
      </c>
      <c r="AF17309" s="831" t="s">
        <v>11200</v>
      </c>
      <c r="AG17309" s="831" t="s">
        <v>2674</v>
      </c>
      <c r="AH17309" s="831" t="s">
        <v>551</v>
      </c>
      <c r="AI17309" s="831">
        <v>0</v>
      </c>
      <c r="AJ17309" s="835">
        <v>41608</v>
      </c>
      <c r="AK17309" s="831">
        <v>1659941.3510000003</v>
      </c>
    </row>
    <row r="17310" spans="2:37">
      <c r="B17310" s="834" t="str">
        <f t="shared" si="621"/>
        <v>|||</v>
      </c>
      <c r="H17310" s="835">
        <f t="shared" si="622"/>
        <v>31</v>
      </c>
      <c r="AF17310" s="831" t="s">
        <v>11201</v>
      </c>
      <c r="AG17310" s="831" t="s">
        <v>2674</v>
      </c>
      <c r="AH17310" s="831" t="s">
        <v>550</v>
      </c>
      <c r="AI17310" s="831">
        <v>0</v>
      </c>
      <c r="AJ17310" s="835">
        <v>41608</v>
      </c>
      <c r="AK17310" s="831">
        <v>120290863</v>
      </c>
    </row>
    <row r="17311" spans="2:37">
      <c r="B17311" s="834" t="str">
        <f t="shared" si="621"/>
        <v>|||</v>
      </c>
      <c r="H17311" s="835">
        <f t="shared" si="622"/>
        <v>31</v>
      </c>
      <c r="AF17311" s="831" t="s">
        <v>11202</v>
      </c>
      <c r="AG17311" s="831" t="s">
        <v>2674</v>
      </c>
      <c r="AH17311" s="831" t="s">
        <v>562</v>
      </c>
      <c r="AI17311" s="831">
        <v>0</v>
      </c>
      <c r="AJ17311" s="835">
        <v>41608</v>
      </c>
      <c r="AK17311" s="831">
        <v>0.78385000000000005</v>
      </c>
    </row>
    <row r="17312" spans="2:37">
      <c r="B17312" s="834" t="str">
        <f t="shared" si="621"/>
        <v>|||</v>
      </c>
      <c r="H17312" s="835">
        <f t="shared" si="622"/>
        <v>31</v>
      </c>
      <c r="AF17312" s="831" t="s">
        <v>11203</v>
      </c>
      <c r="AG17312" s="831" t="s">
        <v>2674</v>
      </c>
      <c r="AH17312" s="831" t="s">
        <v>2698</v>
      </c>
      <c r="AI17312" s="831">
        <v>0</v>
      </c>
      <c r="AJ17312" s="835">
        <v>41608</v>
      </c>
      <c r="AK17312" s="831">
        <v>0.78395000000000004</v>
      </c>
    </row>
    <row r="17313" spans="2:37">
      <c r="B17313" s="834" t="str">
        <f t="shared" si="621"/>
        <v>|||</v>
      </c>
      <c r="H17313" s="835">
        <f t="shared" si="622"/>
        <v>31</v>
      </c>
      <c r="AF17313" s="831" t="s">
        <v>11204</v>
      </c>
      <c r="AG17313" s="831" t="s">
        <v>2674</v>
      </c>
      <c r="AH17313" s="831" t="s">
        <v>560</v>
      </c>
      <c r="AI17313" s="831">
        <v>0</v>
      </c>
      <c r="AJ17313" s="835">
        <v>41608</v>
      </c>
      <c r="AK17313" s="831">
        <v>0.78398636363636354</v>
      </c>
    </row>
    <row r="17314" spans="2:37">
      <c r="B17314" s="834" t="str">
        <f t="shared" si="621"/>
        <v>|||</v>
      </c>
      <c r="H17314" s="835">
        <f t="shared" si="622"/>
        <v>31</v>
      </c>
      <c r="AF17314" s="831" t="s">
        <v>11205</v>
      </c>
      <c r="AG17314" s="831" t="s">
        <v>2674</v>
      </c>
      <c r="AH17314" s="831" t="s">
        <v>559</v>
      </c>
      <c r="AI17314" s="831">
        <v>0</v>
      </c>
      <c r="AJ17314" s="835">
        <v>41608</v>
      </c>
      <c r="AK17314" s="831">
        <v>0.78398749999999995</v>
      </c>
    </row>
    <row r="17315" spans="2:37">
      <c r="B17315" s="834" t="str">
        <f t="shared" si="621"/>
        <v>|||</v>
      </c>
      <c r="H17315" s="835">
        <f t="shared" si="622"/>
        <v>31</v>
      </c>
      <c r="AF17315" s="831" t="s">
        <v>11206</v>
      </c>
      <c r="AG17315" s="831" t="s">
        <v>2674</v>
      </c>
      <c r="AH17315" s="831" t="s">
        <v>568</v>
      </c>
      <c r="AI17315" s="831">
        <v>0</v>
      </c>
      <c r="AJ17315" s="835">
        <v>41608</v>
      </c>
      <c r="AK17315" s="831">
        <v>495457615.68846154</v>
      </c>
    </row>
    <row r="17316" spans="2:37">
      <c r="B17316" s="834" t="str">
        <f t="shared" si="621"/>
        <v>|||</v>
      </c>
      <c r="H17316" s="835">
        <f t="shared" si="622"/>
        <v>31</v>
      </c>
      <c r="AF17316" s="831" t="s">
        <v>11207</v>
      </c>
      <c r="AG17316" s="831" t="s">
        <v>2674</v>
      </c>
      <c r="AH17316" s="831" t="s">
        <v>569</v>
      </c>
      <c r="AI17316" s="831">
        <v>0</v>
      </c>
      <c r="AJ17316" s="835">
        <v>41608</v>
      </c>
      <c r="AK17316" s="831">
        <v>603523727.23769236</v>
      </c>
    </row>
    <row r="17317" spans="2:37">
      <c r="B17317" s="834" t="str">
        <f t="shared" si="621"/>
        <v>|||</v>
      </c>
      <c r="H17317" s="835">
        <f t="shared" si="622"/>
        <v>31</v>
      </c>
      <c r="AF17317" s="831" t="s">
        <v>11208</v>
      </c>
      <c r="AG17317" s="831" t="s">
        <v>2674</v>
      </c>
      <c r="AH17317" s="831" t="s">
        <v>570</v>
      </c>
      <c r="AI17317" s="831">
        <v>0</v>
      </c>
      <c r="AJ17317" s="835">
        <v>41608</v>
      </c>
      <c r="AK17317" s="831">
        <v>107821146.75815384</v>
      </c>
    </row>
    <row r="17318" spans="2:37">
      <c r="B17318" s="834" t="str">
        <f t="shared" si="621"/>
        <v>|||</v>
      </c>
      <c r="H17318" s="835">
        <f t="shared" si="622"/>
        <v>31</v>
      </c>
      <c r="AF17318" s="831" t="s">
        <v>11209</v>
      </c>
      <c r="AG17318" s="831" t="s">
        <v>2674</v>
      </c>
      <c r="AH17318" s="831" t="s">
        <v>571</v>
      </c>
      <c r="AI17318" s="831">
        <v>0</v>
      </c>
      <c r="AJ17318" s="835">
        <v>41608</v>
      </c>
      <c r="AK17318" s="831">
        <v>283259717.08169228</v>
      </c>
    </row>
    <row r="17319" spans="2:37">
      <c r="B17319" s="834" t="str">
        <f t="shared" si="621"/>
        <v>|||</v>
      </c>
      <c r="H17319" s="835">
        <f t="shared" si="622"/>
        <v>31</v>
      </c>
      <c r="AF17319" s="831" t="s">
        <v>11210</v>
      </c>
      <c r="AG17319" s="831" t="s">
        <v>2674</v>
      </c>
      <c r="AH17319" s="831" t="s">
        <v>573</v>
      </c>
      <c r="AI17319" s="831">
        <v>0</v>
      </c>
      <c r="AJ17319" s="835">
        <v>41608</v>
      </c>
      <c r="AK17319" s="831">
        <v>614752216.42416668</v>
      </c>
    </row>
    <row r="17320" spans="2:37">
      <c r="B17320" s="834" t="str">
        <f t="shared" si="621"/>
        <v>|||</v>
      </c>
      <c r="H17320" s="835">
        <f t="shared" si="622"/>
        <v>31</v>
      </c>
      <c r="AF17320" s="831" t="s">
        <v>11211</v>
      </c>
      <c r="AG17320" s="831" t="s">
        <v>2674</v>
      </c>
      <c r="AH17320" s="831" t="s">
        <v>574</v>
      </c>
      <c r="AI17320" s="831">
        <v>0</v>
      </c>
      <c r="AJ17320" s="835">
        <v>41608</v>
      </c>
      <c r="AK17320" s="831">
        <v>503905434.82916665</v>
      </c>
    </row>
    <row r="17321" spans="2:37">
      <c r="B17321" s="834" t="str">
        <f t="shared" si="621"/>
        <v>|||</v>
      </c>
      <c r="H17321" s="835">
        <f t="shared" si="622"/>
        <v>31</v>
      </c>
      <c r="AF17321" s="831" t="s">
        <v>11212</v>
      </c>
      <c r="AG17321" s="831" t="s">
        <v>2674</v>
      </c>
      <c r="AH17321" s="831" t="s">
        <v>575</v>
      </c>
      <c r="AI17321" s="831">
        <v>0</v>
      </c>
      <c r="AJ17321" s="835">
        <v>41608</v>
      </c>
      <c r="AK17321" s="831">
        <v>108318173.40466666</v>
      </c>
    </row>
    <row r="17322" spans="2:37">
      <c r="B17322" s="834" t="str">
        <f t="shared" si="621"/>
        <v>|||</v>
      </c>
      <c r="H17322" s="835">
        <f t="shared" si="622"/>
        <v>31</v>
      </c>
      <c r="AF17322" s="831" t="s">
        <v>11213</v>
      </c>
      <c r="AG17322" s="831" t="s">
        <v>2674</v>
      </c>
      <c r="AH17322" s="831" t="s">
        <v>576</v>
      </c>
      <c r="AI17322" s="831">
        <v>0</v>
      </c>
      <c r="AJ17322" s="835">
        <v>41608</v>
      </c>
      <c r="AK17322" s="831">
        <v>290020734.67183334</v>
      </c>
    </row>
    <row r="17323" spans="2:37">
      <c r="B17323" s="834" t="str">
        <f t="shared" si="621"/>
        <v>|||</v>
      </c>
      <c r="H17323" s="835">
        <f t="shared" si="622"/>
        <v>31</v>
      </c>
      <c r="AF17323" s="831" t="s">
        <v>11214</v>
      </c>
      <c r="AG17323" s="831" t="s">
        <v>2674</v>
      </c>
      <c r="AH17323" s="831" t="s">
        <v>572</v>
      </c>
      <c r="AI17323" s="831">
        <v>0</v>
      </c>
      <c r="AJ17323" s="835">
        <v>41608</v>
      </c>
      <c r="AK17323" s="831">
        <v>27660766.032000005</v>
      </c>
    </row>
    <row r="17324" spans="2:37">
      <c r="B17324" s="834" t="str">
        <f t="shared" si="621"/>
        <v>|||</v>
      </c>
      <c r="H17324" s="835">
        <f t="shared" si="622"/>
        <v>31</v>
      </c>
      <c r="AF17324" s="831" t="s">
        <v>11215</v>
      </c>
      <c r="AG17324" s="831" t="s">
        <v>2674</v>
      </c>
      <c r="AH17324" s="831" t="s">
        <v>577</v>
      </c>
      <c r="AI17324" s="831">
        <v>0</v>
      </c>
      <c r="AJ17324" s="835">
        <v>41608</v>
      </c>
      <c r="AK17324" s="831">
        <v>128906380.236</v>
      </c>
    </row>
    <row r="17325" spans="2:37">
      <c r="B17325" s="834" t="str">
        <f t="shared" si="621"/>
        <v>|||</v>
      </c>
      <c r="H17325" s="835">
        <f t="shared" si="622"/>
        <v>31</v>
      </c>
      <c r="AF17325" s="831" t="s">
        <v>11216</v>
      </c>
      <c r="AG17325" s="831" t="s">
        <v>2674</v>
      </c>
      <c r="AH17325" s="831" t="s">
        <v>3042</v>
      </c>
      <c r="AI17325" s="831">
        <v>0</v>
      </c>
      <c r="AJ17325" s="835">
        <v>41608</v>
      </c>
      <c r="AK17325" s="831">
        <v>-32754423.664999999</v>
      </c>
    </row>
    <row r="17326" spans="2:37">
      <c r="B17326" s="834" t="str">
        <f t="shared" si="621"/>
        <v>|||</v>
      </c>
      <c r="H17326" s="835">
        <f t="shared" si="622"/>
        <v>31</v>
      </c>
      <c r="AF17326" s="831" t="s">
        <v>11217</v>
      </c>
      <c r="AG17326" s="831" t="s">
        <v>2674</v>
      </c>
      <c r="AH17326" s="831" t="s">
        <v>3044</v>
      </c>
      <c r="AI17326" s="831">
        <v>0</v>
      </c>
      <c r="AJ17326" s="835">
        <v>41608</v>
      </c>
      <c r="AK17326" s="831">
        <v>-4752350.8779999996</v>
      </c>
    </row>
    <row r="17327" spans="2:37">
      <c r="B17327" s="834" t="str">
        <f t="shared" si="621"/>
        <v>|||</v>
      </c>
      <c r="H17327" s="835">
        <f t="shared" si="622"/>
        <v>31</v>
      </c>
      <c r="AF17327" s="831" t="s">
        <v>11218</v>
      </c>
      <c r="AG17327" s="831" t="s">
        <v>2674</v>
      </c>
      <c r="AH17327" s="831" t="s">
        <v>580</v>
      </c>
      <c r="AI17327" s="831">
        <v>0</v>
      </c>
      <c r="AJ17327" s="835">
        <v>41608</v>
      </c>
      <c r="AK17327" s="831">
        <v>-61342758.126000002</v>
      </c>
    </row>
    <row r="17328" spans="2:37">
      <c r="B17328" s="834" t="str">
        <f t="shared" si="621"/>
        <v>|||</v>
      </c>
      <c r="H17328" s="835">
        <f t="shared" si="622"/>
        <v>31</v>
      </c>
      <c r="AF17328" s="831" t="s">
        <v>11219</v>
      </c>
      <c r="AG17328" s="831" t="s">
        <v>2674</v>
      </c>
      <c r="AH17328" s="831" t="s">
        <v>581</v>
      </c>
      <c r="AI17328" s="831">
        <v>0</v>
      </c>
      <c r="AJ17328" s="835">
        <v>41608</v>
      </c>
      <c r="AK17328" s="831">
        <v>5348437.4649999999</v>
      </c>
    </row>
    <row r="17329" spans="2:37">
      <c r="B17329" s="834" t="str">
        <f t="shared" si="621"/>
        <v>|||</v>
      </c>
      <c r="H17329" s="835">
        <f t="shared" si="622"/>
        <v>31</v>
      </c>
      <c r="AF17329" s="831" t="s">
        <v>11220</v>
      </c>
      <c r="AG17329" s="831" t="s">
        <v>2674</v>
      </c>
      <c r="AH17329" s="831" t="s">
        <v>105</v>
      </c>
      <c r="AI17329" s="831">
        <v>0</v>
      </c>
      <c r="AJ17329" s="835">
        <v>41608</v>
      </c>
      <c r="AK17329" s="831">
        <v>357758420.06199998</v>
      </c>
    </row>
    <row r="17330" spans="2:37">
      <c r="B17330" s="834" t="str">
        <f t="shared" si="621"/>
        <v>|||</v>
      </c>
      <c r="H17330" s="835">
        <f t="shared" si="622"/>
        <v>31</v>
      </c>
      <c r="AF17330" s="831" t="s">
        <v>11221</v>
      </c>
      <c r="AG17330" s="831" t="s">
        <v>2674</v>
      </c>
      <c r="AH17330" s="831" t="s">
        <v>3049</v>
      </c>
      <c r="AI17330" s="831">
        <v>0</v>
      </c>
      <c r="AJ17330" s="835">
        <v>41608</v>
      </c>
      <c r="AK17330" s="831">
        <v>601955674.8829999</v>
      </c>
    </row>
    <row r="17331" spans="2:37">
      <c r="B17331" s="834" t="str">
        <f t="shared" si="621"/>
        <v>|||</v>
      </c>
      <c r="H17331" s="835">
        <f t="shared" si="622"/>
        <v>31</v>
      </c>
      <c r="AF17331" s="831" t="s">
        <v>11222</v>
      </c>
      <c r="AG17331" s="831" t="s">
        <v>2674</v>
      </c>
      <c r="AH17331" s="831" t="s">
        <v>103</v>
      </c>
      <c r="AI17331" s="831">
        <v>0</v>
      </c>
      <c r="AJ17331" s="835">
        <v>41608</v>
      </c>
      <c r="AK17331" s="831">
        <v>244197254.82099998</v>
      </c>
    </row>
    <row r="17332" spans="2:37">
      <c r="B17332" s="834" t="str">
        <f t="shared" si="621"/>
        <v>|||</v>
      </c>
      <c r="H17332" s="835">
        <f t="shared" si="622"/>
        <v>31</v>
      </c>
      <c r="AF17332" s="831" t="s">
        <v>11223</v>
      </c>
      <c r="AG17332" s="831" t="s">
        <v>2674</v>
      </c>
      <c r="AH17332" s="831" t="s">
        <v>182</v>
      </c>
      <c r="AI17332" s="831">
        <v>0</v>
      </c>
      <c r="AJ17332" s="835">
        <v>41608</v>
      </c>
      <c r="AK17332" s="831">
        <v>58896650.319272734</v>
      </c>
    </row>
    <row r="17333" spans="2:37">
      <c r="B17333" s="834" t="str">
        <f t="shared" si="621"/>
        <v>|||</v>
      </c>
      <c r="H17333" s="835">
        <f t="shared" si="622"/>
        <v>31</v>
      </c>
      <c r="AF17333" s="831" t="s">
        <v>11224</v>
      </c>
      <c r="AG17333" s="831" t="s">
        <v>2674</v>
      </c>
      <c r="AH17333" s="831" t="s">
        <v>6600</v>
      </c>
      <c r="AI17333" s="831">
        <v>0</v>
      </c>
      <c r="AJ17333" s="835">
        <v>41608</v>
      </c>
      <c r="AK17333" s="831">
        <v>27660766.032000005</v>
      </c>
    </row>
    <row r="17334" spans="2:37">
      <c r="B17334" s="834" t="str">
        <f t="shared" si="621"/>
        <v>|||</v>
      </c>
      <c r="H17334" s="835">
        <f t="shared" si="622"/>
        <v>31</v>
      </c>
      <c r="AF17334" s="831" t="s">
        <v>11225</v>
      </c>
      <c r="AG17334" s="831" t="s">
        <v>2674</v>
      </c>
      <c r="AH17334" s="831" t="s">
        <v>6602</v>
      </c>
      <c r="AI17334" s="831">
        <v>0</v>
      </c>
      <c r="AJ17334" s="835">
        <v>41608</v>
      </c>
      <c r="AK17334" s="831">
        <v>28354718.032000005</v>
      </c>
    </row>
    <row r="17335" spans="2:37">
      <c r="B17335" s="834" t="str">
        <f t="shared" si="621"/>
        <v>|||</v>
      </c>
      <c r="H17335" s="835">
        <f t="shared" si="622"/>
        <v>31</v>
      </c>
      <c r="AF17335" s="831" t="s">
        <v>11226</v>
      </c>
      <c r="AG17335" s="831" t="s">
        <v>2674</v>
      </c>
      <c r="AH17335" s="831" t="s">
        <v>650</v>
      </c>
      <c r="AI17335" s="831">
        <v>0</v>
      </c>
      <c r="AJ17335" s="835">
        <v>41608</v>
      </c>
      <c r="AK17335" s="831">
        <v>197061109.84392309</v>
      </c>
    </row>
    <row r="17336" spans="2:37">
      <c r="B17336" s="834" t="str">
        <f t="shared" si="621"/>
        <v>|||</v>
      </c>
      <c r="H17336" s="835">
        <f t="shared" si="622"/>
        <v>31</v>
      </c>
      <c r="AF17336" s="831" t="s">
        <v>11227</v>
      </c>
      <c r="AG17336" s="831" t="s">
        <v>2674</v>
      </c>
      <c r="AH17336" s="831" t="s">
        <v>655</v>
      </c>
      <c r="AI17336" s="831">
        <v>0</v>
      </c>
      <c r="AJ17336" s="835">
        <v>41608</v>
      </c>
      <c r="AK17336" s="831">
        <v>1514274.5550000002</v>
      </c>
    </row>
    <row r="17337" spans="2:37">
      <c r="B17337" s="834" t="str">
        <f t="shared" si="621"/>
        <v>|||</v>
      </c>
      <c r="H17337" s="835">
        <f t="shared" si="622"/>
        <v>31</v>
      </c>
      <c r="AF17337" s="831" t="s">
        <v>11228</v>
      </c>
      <c r="AG17337" s="831" t="s">
        <v>2674</v>
      </c>
      <c r="AH17337" s="831" t="s">
        <v>546</v>
      </c>
      <c r="AI17337" s="831">
        <v>0</v>
      </c>
      <c r="AJ17337" s="835">
        <v>41639</v>
      </c>
      <c r="AK17337" s="831">
        <v>627874260</v>
      </c>
    </row>
    <row r="17338" spans="2:37">
      <c r="B17338" s="834" t="str">
        <f t="shared" si="621"/>
        <v>|||</v>
      </c>
      <c r="H17338" s="835">
        <f t="shared" si="622"/>
        <v>31</v>
      </c>
      <c r="AF17338" s="831" t="s">
        <v>11229</v>
      </c>
      <c r="AG17338" s="831" t="s">
        <v>2674</v>
      </c>
      <c r="AH17338" s="831" t="s">
        <v>370</v>
      </c>
      <c r="AI17338" s="831">
        <v>0</v>
      </c>
      <c r="AJ17338" s="835">
        <v>41639</v>
      </c>
      <c r="AK17338" s="831">
        <v>789514969.56299996</v>
      </c>
    </row>
    <row r="17339" spans="2:37">
      <c r="B17339" s="834" t="str">
        <f t="shared" si="621"/>
        <v>|||</v>
      </c>
      <c r="H17339" s="835">
        <f t="shared" si="622"/>
        <v>31</v>
      </c>
      <c r="AF17339" s="831" t="s">
        <v>11230</v>
      </c>
      <c r="AG17339" s="831" t="s">
        <v>2674</v>
      </c>
      <c r="AH17339" s="831" t="s">
        <v>126</v>
      </c>
      <c r="AI17339" s="831">
        <v>0</v>
      </c>
      <c r="AJ17339" s="835">
        <v>41639</v>
      </c>
      <c r="AK17339" s="831">
        <v>114089765.91</v>
      </c>
    </row>
    <row r="17340" spans="2:37">
      <c r="B17340" s="834" t="str">
        <f t="shared" si="621"/>
        <v>|||</v>
      </c>
      <c r="H17340" s="835">
        <f t="shared" si="622"/>
        <v>31</v>
      </c>
      <c r="AF17340" s="831" t="s">
        <v>11231</v>
      </c>
      <c r="AG17340" s="831" t="s">
        <v>2674</v>
      </c>
      <c r="AH17340" s="831" t="s">
        <v>268</v>
      </c>
      <c r="AI17340" s="831">
        <v>0</v>
      </c>
      <c r="AJ17340" s="835">
        <v>41639</v>
      </c>
      <c r="AK17340" s="831">
        <v>27176541.956000008</v>
      </c>
    </row>
    <row r="17341" spans="2:37">
      <c r="B17341" s="834" t="str">
        <f t="shared" si="621"/>
        <v>|||</v>
      </c>
      <c r="H17341" s="835">
        <f t="shared" si="622"/>
        <v>31</v>
      </c>
      <c r="AF17341" s="831" t="s">
        <v>11232</v>
      </c>
      <c r="AG17341" s="831" t="s">
        <v>2674</v>
      </c>
      <c r="AH17341" s="831" t="s">
        <v>547</v>
      </c>
      <c r="AI17341" s="831">
        <v>0</v>
      </c>
      <c r="AJ17341" s="835">
        <v>41639</v>
      </c>
      <c r="AK17341" s="831">
        <v>511487760</v>
      </c>
    </row>
    <row r="17342" spans="2:37">
      <c r="B17342" s="834" t="str">
        <f t="shared" si="621"/>
        <v>|||</v>
      </c>
      <c r="H17342" s="835">
        <f t="shared" si="622"/>
        <v>31</v>
      </c>
      <c r="AF17342" s="831" t="s">
        <v>11233</v>
      </c>
      <c r="AG17342" s="831" t="s">
        <v>2674</v>
      </c>
      <c r="AH17342" s="831" t="s">
        <v>548</v>
      </c>
      <c r="AI17342" s="831">
        <v>0</v>
      </c>
      <c r="AJ17342" s="835">
        <v>41639</v>
      </c>
      <c r="AK17342" s="831">
        <v>96883184</v>
      </c>
    </row>
    <row r="17343" spans="2:37">
      <c r="B17343" s="834" t="str">
        <f t="shared" si="621"/>
        <v>|||</v>
      </c>
      <c r="H17343" s="835">
        <f t="shared" si="622"/>
        <v>31</v>
      </c>
      <c r="AF17343" s="831" t="s">
        <v>11234</v>
      </c>
      <c r="AG17343" s="831" t="s">
        <v>2674</v>
      </c>
      <c r="AH17343" s="831" t="s">
        <v>549</v>
      </c>
      <c r="AI17343" s="831">
        <v>0</v>
      </c>
      <c r="AJ17343" s="835">
        <v>41639</v>
      </c>
      <c r="AK17343" s="831">
        <v>412125624</v>
      </c>
    </row>
    <row r="17344" spans="2:37">
      <c r="B17344" s="834" t="str">
        <f t="shared" si="621"/>
        <v>|||</v>
      </c>
      <c r="H17344" s="835">
        <f t="shared" si="622"/>
        <v>31</v>
      </c>
      <c r="AF17344" s="831" t="s">
        <v>11235</v>
      </c>
      <c r="AG17344" s="831" t="s">
        <v>2674</v>
      </c>
      <c r="AH17344" s="831" t="s">
        <v>192</v>
      </c>
      <c r="AI17344" s="831">
        <v>0</v>
      </c>
      <c r="AJ17344" s="835">
        <v>41639</v>
      </c>
      <c r="AK17344" s="831">
        <v>-13734258</v>
      </c>
    </row>
    <row r="17345" spans="2:37">
      <c r="B17345" s="834" t="str">
        <f t="shared" si="621"/>
        <v>|||</v>
      </c>
      <c r="H17345" s="835">
        <f t="shared" si="622"/>
        <v>31</v>
      </c>
      <c r="AF17345" s="831" t="s">
        <v>11236</v>
      </c>
      <c r="AG17345" s="831" t="s">
        <v>2674</v>
      </c>
      <c r="AH17345" s="831" t="s">
        <v>558</v>
      </c>
      <c r="AI17345" s="831">
        <v>0</v>
      </c>
      <c r="AJ17345" s="835">
        <v>41639</v>
      </c>
      <c r="AK17345" s="831">
        <v>675425203.71399999</v>
      </c>
    </row>
    <row r="17346" spans="2:37">
      <c r="B17346" s="834" t="str">
        <f t="shared" si="621"/>
        <v>|||</v>
      </c>
      <c r="H17346" s="835">
        <f t="shared" si="622"/>
        <v>31</v>
      </c>
      <c r="AF17346" s="831" t="s">
        <v>11237</v>
      </c>
      <c r="AG17346" s="831" t="s">
        <v>2674</v>
      </c>
      <c r="AH17346" s="831" t="s">
        <v>65</v>
      </c>
      <c r="AI17346" s="831">
        <v>0</v>
      </c>
      <c r="AJ17346" s="835">
        <v>41639</v>
      </c>
      <c r="AK17346" s="831">
        <v>132856888.763</v>
      </c>
    </row>
    <row r="17347" spans="2:37">
      <c r="B17347" s="834" t="str">
        <f t="shared" si="621"/>
        <v>|||</v>
      </c>
      <c r="H17347" s="835">
        <f t="shared" si="622"/>
        <v>31</v>
      </c>
      <c r="AF17347" s="831" t="s">
        <v>11238</v>
      </c>
      <c r="AG17347" s="831" t="s">
        <v>2674</v>
      </c>
      <c r="AH17347" s="831" t="s">
        <v>89</v>
      </c>
      <c r="AI17347" s="831">
        <v>0</v>
      </c>
      <c r="AJ17347" s="835">
        <v>41639</v>
      </c>
      <c r="AK17347" s="831">
        <v>147601</v>
      </c>
    </row>
    <row r="17348" spans="2:37">
      <c r="B17348" s="834" t="str">
        <f t="shared" si="621"/>
        <v>|||</v>
      </c>
      <c r="H17348" s="835">
        <f t="shared" si="622"/>
        <v>31</v>
      </c>
      <c r="AF17348" s="831" t="s">
        <v>11239</v>
      </c>
      <c r="AG17348" s="831" t="s">
        <v>2674</v>
      </c>
      <c r="AH17348" s="831" t="s">
        <v>557</v>
      </c>
      <c r="AI17348" s="831">
        <v>0</v>
      </c>
      <c r="AJ17348" s="835">
        <v>41639</v>
      </c>
      <c r="AK17348" s="831">
        <v>160431</v>
      </c>
    </row>
    <row r="17349" spans="2:37">
      <c r="B17349" s="834" t="str">
        <f t="shared" si="621"/>
        <v>|||</v>
      </c>
      <c r="H17349" s="835">
        <f t="shared" si="622"/>
        <v>31</v>
      </c>
      <c r="AF17349" s="831" t="s">
        <v>11240</v>
      </c>
      <c r="AG17349" s="831" t="s">
        <v>2674</v>
      </c>
      <c r="AH17349" s="831" t="s">
        <v>29</v>
      </c>
      <c r="AI17349" s="831">
        <v>0</v>
      </c>
      <c r="AJ17349" s="835">
        <v>41639</v>
      </c>
      <c r="AK17349" s="831">
        <v>1938216.4366000001</v>
      </c>
    </row>
    <row r="17350" spans="2:37">
      <c r="B17350" s="834" t="str">
        <f t="shared" si="621"/>
        <v>|||</v>
      </c>
      <c r="H17350" s="835">
        <f t="shared" si="622"/>
        <v>31</v>
      </c>
      <c r="AF17350" s="831" t="s">
        <v>11241</v>
      </c>
      <c r="AG17350" s="831" t="s">
        <v>2674</v>
      </c>
      <c r="AH17350" s="831" t="s">
        <v>2688</v>
      </c>
      <c r="AI17350" s="831">
        <v>0</v>
      </c>
      <c r="AJ17350" s="835">
        <v>41639</v>
      </c>
      <c r="AK17350" s="831">
        <v>3277121.17</v>
      </c>
    </row>
    <row r="17351" spans="2:37">
      <c r="B17351" s="834" t="str">
        <f t="shared" si="621"/>
        <v>|||</v>
      </c>
      <c r="H17351" s="835">
        <f t="shared" si="622"/>
        <v>31</v>
      </c>
      <c r="AF17351" s="831" t="s">
        <v>11242</v>
      </c>
      <c r="AG17351" s="831" t="s">
        <v>2674</v>
      </c>
      <c r="AH17351" s="831" t="s">
        <v>556</v>
      </c>
      <c r="AI17351" s="831">
        <v>0</v>
      </c>
      <c r="AJ17351" s="835">
        <v>41639</v>
      </c>
      <c r="AK17351" s="831">
        <v>1644732</v>
      </c>
    </row>
    <row r="17352" spans="2:37">
      <c r="B17352" s="834" t="str">
        <f t="shared" si="621"/>
        <v>|||</v>
      </c>
      <c r="H17352" s="835">
        <f t="shared" si="622"/>
        <v>31</v>
      </c>
      <c r="AF17352" s="831" t="s">
        <v>11243</v>
      </c>
      <c r="AG17352" s="831" t="s">
        <v>2674</v>
      </c>
      <c r="AH17352" s="831" t="s">
        <v>555</v>
      </c>
      <c r="AI17352" s="831">
        <v>0</v>
      </c>
      <c r="AJ17352" s="835">
        <v>41639</v>
      </c>
      <c r="AK17352" s="831">
        <v>435796650</v>
      </c>
    </row>
    <row r="17353" spans="2:37">
      <c r="B17353" s="834" t="str">
        <f t="shared" si="621"/>
        <v>|||</v>
      </c>
      <c r="H17353" s="835">
        <f t="shared" si="622"/>
        <v>31</v>
      </c>
      <c r="AF17353" s="831" t="s">
        <v>11244</v>
      </c>
      <c r="AG17353" s="831" t="s">
        <v>2674</v>
      </c>
      <c r="AH17353" s="831" t="s">
        <v>554</v>
      </c>
      <c r="AI17353" s="831">
        <v>0</v>
      </c>
      <c r="AJ17353" s="835">
        <v>41639</v>
      </c>
      <c r="AK17353" s="831">
        <v>428326680</v>
      </c>
    </row>
    <row r="17354" spans="2:37">
      <c r="B17354" s="834" t="str">
        <f t="shared" si="621"/>
        <v>|||</v>
      </c>
      <c r="H17354" s="835">
        <f t="shared" si="622"/>
        <v>31</v>
      </c>
      <c r="AF17354" s="831" t="s">
        <v>11245</v>
      </c>
      <c r="AG17354" s="831" t="s">
        <v>2674</v>
      </c>
      <c r="AH17354" s="831" t="s">
        <v>553</v>
      </c>
      <c r="AI17354" s="831">
        <v>0</v>
      </c>
      <c r="AJ17354" s="835">
        <v>41639</v>
      </c>
      <c r="AK17354" s="831">
        <v>0</v>
      </c>
    </row>
    <row r="17355" spans="2:37">
      <c r="B17355" s="834" t="str">
        <f t="shared" si="621"/>
        <v>|||</v>
      </c>
      <c r="H17355" s="835">
        <f t="shared" si="622"/>
        <v>31</v>
      </c>
      <c r="AF17355" s="831" t="s">
        <v>11246</v>
      </c>
      <c r="AG17355" s="831" t="s">
        <v>2674</v>
      </c>
      <c r="AH17355" s="831" t="s">
        <v>552</v>
      </c>
      <c r="AI17355" s="831">
        <v>0</v>
      </c>
      <c r="AJ17355" s="835">
        <v>41639</v>
      </c>
      <c r="AK17355" s="831">
        <v>0</v>
      </c>
    </row>
    <row r="17356" spans="2:37">
      <c r="B17356" s="834" t="str">
        <f t="shared" si="621"/>
        <v>|||</v>
      </c>
      <c r="H17356" s="835">
        <f t="shared" si="622"/>
        <v>31</v>
      </c>
      <c r="AF17356" s="831" t="s">
        <v>11247</v>
      </c>
      <c r="AG17356" s="831" t="s">
        <v>2674</v>
      </c>
      <c r="AH17356" s="831" t="s">
        <v>551</v>
      </c>
      <c r="AI17356" s="831">
        <v>0</v>
      </c>
      <c r="AJ17356" s="835">
        <v>41639</v>
      </c>
      <c r="AK17356" s="831">
        <v>1803383.8316000002</v>
      </c>
    </row>
    <row r="17357" spans="2:37">
      <c r="B17357" s="834" t="str">
        <f t="shared" si="621"/>
        <v>|||</v>
      </c>
      <c r="H17357" s="835">
        <f t="shared" si="622"/>
        <v>31</v>
      </c>
      <c r="AF17357" s="831" t="s">
        <v>11248</v>
      </c>
      <c r="AG17357" s="831" t="s">
        <v>2674</v>
      </c>
      <c r="AH17357" s="831" t="s">
        <v>550</v>
      </c>
      <c r="AI17357" s="831">
        <v>0</v>
      </c>
      <c r="AJ17357" s="835">
        <v>41639</v>
      </c>
      <c r="AK17357" s="831">
        <v>123117939.85600001</v>
      </c>
    </row>
    <row r="17358" spans="2:37">
      <c r="B17358" s="834" t="str">
        <f t="shared" si="621"/>
        <v>|||</v>
      </c>
      <c r="H17358" s="835">
        <f t="shared" si="622"/>
        <v>31</v>
      </c>
      <c r="AF17358" s="831" t="s">
        <v>11249</v>
      </c>
      <c r="AG17358" s="831" t="s">
        <v>2674</v>
      </c>
      <c r="AH17358" s="831" t="s">
        <v>562</v>
      </c>
      <c r="AI17358" s="831">
        <v>0</v>
      </c>
      <c r="AJ17358" s="835">
        <v>41639</v>
      </c>
      <c r="AK17358" s="831">
        <v>0.78334999999999999</v>
      </c>
    </row>
    <row r="17359" spans="2:37">
      <c r="B17359" s="834" t="str">
        <f t="shared" si="621"/>
        <v>|||</v>
      </c>
      <c r="H17359" s="835">
        <f t="shared" si="622"/>
        <v>31</v>
      </c>
      <c r="AF17359" s="831" t="s">
        <v>11250</v>
      </c>
      <c r="AG17359" s="831" t="s">
        <v>2674</v>
      </c>
      <c r="AH17359" s="831" t="s">
        <v>2698</v>
      </c>
      <c r="AI17359" s="831">
        <v>0</v>
      </c>
      <c r="AJ17359" s="835">
        <v>41639</v>
      </c>
      <c r="AK17359" s="831">
        <v>0.78385000000000005</v>
      </c>
    </row>
    <row r="17360" spans="2:37">
      <c r="B17360" s="834" t="str">
        <f t="shared" si="621"/>
        <v>|||</v>
      </c>
      <c r="H17360" s="835">
        <f t="shared" si="622"/>
        <v>31</v>
      </c>
      <c r="AF17360" s="831" t="s">
        <v>11251</v>
      </c>
      <c r="AG17360" s="831" t="s">
        <v>2674</v>
      </c>
      <c r="AH17360" s="831" t="s">
        <v>560</v>
      </c>
      <c r="AI17360" s="831">
        <v>0</v>
      </c>
      <c r="AJ17360" s="835">
        <v>41639</v>
      </c>
      <c r="AK17360" s="831">
        <v>0.78393333333333326</v>
      </c>
    </row>
    <row r="17361" spans="2:37">
      <c r="B17361" s="834" t="str">
        <f t="shared" ref="B17361:B17424" si="623">C17361&amp;"|"&amp;D17361&amp;"|"&amp;E17361&amp;"|"&amp;F17361</f>
        <v>|||</v>
      </c>
      <c r="H17361" s="835">
        <f t="shared" ref="H17361:H17424" si="624">EOMONTH(L17361,0)</f>
        <v>31</v>
      </c>
      <c r="AF17361" s="831" t="s">
        <v>11252</v>
      </c>
      <c r="AG17361" s="831" t="s">
        <v>2674</v>
      </c>
      <c r="AH17361" s="831" t="s">
        <v>559</v>
      </c>
      <c r="AI17361" s="831">
        <v>0</v>
      </c>
      <c r="AJ17361" s="835">
        <v>41639</v>
      </c>
      <c r="AK17361" s="831">
        <v>0.78393333333333326</v>
      </c>
    </row>
    <row r="17362" spans="2:37">
      <c r="B17362" s="834" t="str">
        <f t="shared" si="623"/>
        <v>|||</v>
      </c>
      <c r="H17362" s="835">
        <f t="shared" si="624"/>
        <v>31</v>
      </c>
      <c r="AF17362" s="831" t="s">
        <v>11253</v>
      </c>
      <c r="AG17362" s="831" t="s">
        <v>2674</v>
      </c>
      <c r="AH17362" s="831" t="s">
        <v>568</v>
      </c>
      <c r="AI17362" s="831">
        <v>0</v>
      </c>
      <c r="AJ17362" s="835">
        <v>41639</v>
      </c>
      <c r="AK17362" s="831">
        <v>513441498.30384612</v>
      </c>
    </row>
    <row r="17363" spans="2:37">
      <c r="B17363" s="834" t="str">
        <f t="shared" si="623"/>
        <v>|||</v>
      </c>
      <c r="H17363" s="835">
        <f t="shared" si="624"/>
        <v>31</v>
      </c>
      <c r="AF17363" s="831" t="s">
        <v>11254</v>
      </c>
      <c r="AG17363" s="831" t="s">
        <v>2674</v>
      </c>
      <c r="AH17363" s="831" t="s">
        <v>569</v>
      </c>
      <c r="AI17363" s="831">
        <v>0</v>
      </c>
      <c r="AJ17363" s="835">
        <v>41639</v>
      </c>
      <c r="AK17363" s="831">
        <v>628195505.12715387</v>
      </c>
    </row>
    <row r="17364" spans="2:37">
      <c r="B17364" s="834" t="str">
        <f t="shared" si="623"/>
        <v>|||</v>
      </c>
      <c r="H17364" s="835">
        <f t="shared" si="624"/>
        <v>31</v>
      </c>
      <c r="AF17364" s="831" t="s">
        <v>11255</v>
      </c>
      <c r="AG17364" s="831" t="s">
        <v>2674</v>
      </c>
      <c r="AH17364" s="831" t="s">
        <v>570</v>
      </c>
      <c r="AI17364" s="831">
        <v>0</v>
      </c>
      <c r="AJ17364" s="835">
        <v>41639</v>
      </c>
      <c r="AK17364" s="831">
        <v>108762142.05892308</v>
      </c>
    </row>
    <row r="17365" spans="2:37">
      <c r="B17365" s="834" t="str">
        <f t="shared" si="623"/>
        <v>|||</v>
      </c>
      <c r="H17365" s="835">
        <f t="shared" si="624"/>
        <v>31</v>
      </c>
      <c r="AF17365" s="831" t="s">
        <v>11256</v>
      </c>
      <c r="AG17365" s="831" t="s">
        <v>2674</v>
      </c>
      <c r="AH17365" s="831" t="s">
        <v>571</v>
      </c>
      <c r="AI17365" s="831">
        <v>0</v>
      </c>
      <c r="AJ17365" s="835">
        <v>41639</v>
      </c>
      <c r="AK17365" s="831">
        <v>297832512.59023076</v>
      </c>
    </row>
    <row r="17366" spans="2:37">
      <c r="B17366" s="834" t="str">
        <f t="shared" si="623"/>
        <v>|||</v>
      </c>
      <c r="H17366" s="835">
        <f t="shared" si="624"/>
        <v>31</v>
      </c>
      <c r="AF17366" s="831" t="s">
        <v>11257</v>
      </c>
      <c r="AG17366" s="831" t="s">
        <v>2674</v>
      </c>
      <c r="AH17366" s="831" t="s">
        <v>573</v>
      </c>
      <c r="AI17366" s="831">
        <v>0</v>
      </c>
      <c r="AJ17366" s="835">
        <v>41639</v>
      </c>
      <c r="AK17366" s="831">
        <v>628195505.12715387</v>
      </c>
    </row>
    <row r="17367" spans="2:37">
      <c r="B17367" s="834" t="str">
        <f t="shared" si="623"/>
        <v>|||</v>
      </c>
      <c r="H17367" s="835">
        <f t="shared" si="624"/>
        <v>31</v>
      </c>
      <c r="AF17367" s="831" t="s">
        <v>11258</v>
      </c>
      <c r="AG17367" s="831" t="s">
        <v>2674</v>
      </c>
      <c r="AH17367" s="831" t="s">
        <v>574</v>
      </c>
      <c r="AI17367" s="831">
        <v>0</v>
      </c>
      <c r="AJ17367" s="835">
        <v>41639</v>
      </c>
      <c r="AK17367" s="831">
        <v>513441498.30384612</v>
      </c>
    </row>
    <row r="17368" spans="2:37">
      <c r="B17368" s="834" t="str">
        <f t="shared" si="623"/>
        <v>|||</v>
      </c>
      <c r="H17368" s="835">
        <f t="shared" si="624"/>
        <v>31</v>
      </c>
      <c r="AF17368" s="831" t="s">
        <v>11259</v>
      </c>
      <c r="AG17368" s="831" t="s">
        <v>2674</v>
      </c>
      <c r="AH17368" s="831" t="s">
        <v>575</v>
      </c>
      <c r="AI17368" s="831">
        <v>0</v>
      </c>
      <c r="AJ17368" s="835">
        <v>41639</v>
      </c>
      <c r="AK17368" s="831">
        <v>108762142.05892308</v>
      </c>
    </row>
    <row r="17369" spans="2:37">
      <c r="B17369" s="834" t="str">
        <f t="shared" si="623"/>
        <v>|||</v>
      </c>
      <c r="H17369" s="835">
        <f t="shared" si="624"/>
        <v>31</v>
      </c>
      <c r="AF17369" s="831" t="s">
        <v>11260</v>
      </c>
      <c r="AG17369" s="831" t="s">
        <v>2674</v>
      </c>
      <c r="AH17369" s="831" t="s">
        <v>576</v>
      </c>
      <c r="AI17369" s="831">
        <v>0</v>
      </c>
      <c r="AJ17369" s="835">
        <v>41639</v>
      </c>
      <c r="AK17369" s="831">
        <v>297832512.59023076</v>
      </c>
    </row>
    <row r="17370" spans="2:37">
      <c r="B17370" s="834" t="str">
        <f t="shared" si="623"/>
        <v>|||</v>
      </c>
      <c r="H17370" s="835">
        <f t="shared" si="624"/>
        <v>31</v>
      </c>
      <c r="AF17370" s="831" t="s">
        <v>11261</v>
      </c>
      <c r="AG17370" s="831" t="s">
        <v>2674</v>
      </c>
      <c r="AH17370" s="831" t="s">
        <v>572</v>
      </c>
      <c r="AI17370" s="831">
        <v>0</v>
      </c>
      <c r="AJ17370" s="835">
        <v>41639</v>
      </c>
      <c r="AK17370" s="831">
        <v>27176541.956000008</v>
      </c>
    </row>
    <row r="17371" spans="2:37">
      <c r="B17371" s="834" t="str">
        <f t="shared" si="623"/>
        <v>|||</v>
      </c>
      <c r="H17371" s="835">
        <f t="shared" si="624"/>
        <v>31</v>
      </c>
      <c r="AF17371" s="831" t="s">
        <v>11262</v>
      </c>
      <c r="AG17371" s="831" t="s">
        <v>2674</v>
      </c>
      <c r="AH17371" s="831" t="s">
        <v>577</v>
      </c>
      <c r="AI17371" s="831">
        <v>0</v>
      </c>
      <c r="AJ17371" s="835">
        <v>41639</v>
      </c>
      <c r="AK17371" s="831">
        <v>132856888.763</v>
      </c>
    </row>
    <row r="17372" spans="2:37">
      <c r="B17372" s="834" t="str">
        <f t="shared" si="623"/>
        <v>|||</v>
      </c>
      <c r="H17372" s="835">
        <f t="shared" si="624"/>
        <v>31</v>
      </c>
      <c r="AF17372" s="831" t="s">
        <v>11263</v>
      </c>
      <c r="AG17372" s="831" t="s">
        <v>2674</v>
      </c>
      <c r="AH17372" s="831" t="s">
        <v>3042</v>
      </c>
      <c r="AI17372" s="831">
        <v>0</v>
      </c>
      <c r="AJ17372" s="835">
        <v>41639</v>
      </c>
      <c r="AK17372" s="831">
        <v>-34369525.527000003</v>
      </c>
    </row>
    <row r="17373" spans="2:37">
      <c r="B17373" s="834" t="str">
        <f t="shared" si="623"/>
        <v>|||</v>
      </c>
      <c r="H17373" s="835">
        <f t="shared" si="624"/>
        <v>31</v>
      </c>
      <c r="AF17373" s="831" t="s">
        <v>11264</v>
      </c>
      <c r="AG17373" s="831" t="s">
        <v>2674</v>
      </c>
      <c r="AH17373" s="831" t="s">
        <v>3044</v>
      </c>
      <c r="AI17373" s="831">
        <v>0</v>
      </c>
      <c r="AJ17373" s="835">
        <v>41639</v>
      </c>
      <c r="AK17373" s="831">
        <v>-4400746.8899999997</v>
      </c>
    </row>
    <row r="17374" spans="2:37">
      <c r="B17374" s="834" t="str">
        <f t="shared" si="623"/>
        <v>|||</v>
      </c>
      <c r="H17374" s="835">
        <f t="shared" si="624"/>
        <v>31</v>
      </c>
      <c r="AF17374" s="831" t="s">
        <v>11265</v>
      </c>
      <c r="AG17374" s="831" t="s">
        <v>2674</v>
      </c>
      <c r="AH17374" s="831" t="s">
        <v>580</v>
      </c>
      <c r="AI17374" s="831">
        <v>0</v>
      </c>
      <c r="AJ17374" s="835">
        <v>41639</v>
      </c>
      <c r="AK17374" s="831">
        <v>-64107005.306999996</v>
      </c>
    </row>
    <row r="17375" spans="2:37">
      <c r="B17375" s="834" t="str">
        <f t="shared" si="623"/>
        <v>|||</v>
      </c>
      <c r="H17375" s="835">
        <f t="shared" si="624"/>
        <v>31</v>
      </c>
      <c r="AF17375" s="831" t="s">
        <v>11266</v>
      </c>
      <c r="AG17375" s="831" t="s">
        <v>2674</v>
      </c>
      <c r="AH17375" s="831" t="s">
        <v>581</v>
      </c>
      <c r="AI17375" s="831">
        <v>0</v>
      </c>
      <c r="AJ17375" s="835">
        <v>41639</v>
      </c>
      <c r="AK17375" s="831">
        <v>5010635.8940000003</v>
      </c>
    </row>
    <row r="17376" spans="2:37">
      <c r="B17376" s="834" t="str">
        <f t="shared" si="623"/>
        <v>|||</v>
      </c>
      <c r="H17376" s="835">
        <f t="shared" si="624"/>
        <v>31</v>
      </c>
      <c r="AF17376" s="831" t="s">
        <v>11267</v>
      </c>
      <c r="AG17376" s="831" t="s">
        <v>2674</v>
      </c>
      <c r="AH17376" s="831" t="s">
        <v>105</v>
      </c>
      <c r="AI17376" s="831">
        <v>0</v>
      </c>
      <c r="AJ17376" s="835">
        <v>41639</v>
      </c>
      <c r="AK17376" s="831">
        <v>391573847.611</v>
      </c>
    </row>
    <row r="17377" spans="2:37">
      <c r="B17377" s="834" t="str">
        <f t="shared" si="623"/>
        <v>|||</v>
      </c>
      <c r="H17377" s="835">
        <f t="shared" si="624"/>
        <v>31</v>
      </c>
      <c r="AF17377" s="831" t="s">
        <v>11268</v>
      </c>
      <c r="AG17377" s="831" t="s">
        <v>2674</v>
      </c>
      <c r="AH17377" s="831" t="s">
        <v>3049</v>
      </c>
      <c r="AI17377" s="831">
        <v>0</v>
      </c>
      <c r="AJ17377" s="835">
        <v>41639</v>
      </c>
      <c r="AK17377" s="831">
        <v>644326442.18900001</v>
      </c>
    </row>
    <row r="17378" spans="2:37">
      <c r="B17378" s="834" t="str">
        <f t="shared" si="623"/>
        <v>|||</v>
      </c>
      <c r="H17378" s="835">
        <f t="shared" si="624"/>
        <v>31</v>
      </c>
      <c r="AF17378" s="831" t="s">
        <v>11269</v>
      </c>
      <c r="AG17378" s="831" t="s">
        <v>2674</v>
      </c>
      <c r="AH17378" s="831" t="s">
        <v>103</v>
      </c>
      <c r="AI17378" s="831">
        <v>0</v>
      </c>
      <c r="AJ17378" s="835">
        <v>41639</v>
      </c>
      <c r="AK17378" s="831">
        <v>252752594.57800001</v>
      </c>
    </row>
    <row r="17379" spans="2:37">
      <c r="B17379" s="834" t="str">
        <f t="shared" si="623"/>
        <v>|||</v>
      </c>
      <c r="H17379" s="835">
        <f t="shared" si="624"/>
        <v>31</v>
      </c>
      <c r="AF17379" s="831" t="s">
        <v>11270</v>
      </c>
      <c r="AG17379" s="831" t="s">
        <v>2674</v>
      </c>
      <c r="AH17379" s="831" t="s">
        <v>182</v>
      </c>
      <c r="AI17379" s="831">
        <v>0</v>
      </c>
      <c r="AJ17379" s="835">
        <v>41639</v>
      </c>
      <c r="AK17379" s="831">
        <v>64107005.307000004</v>
      </c>
    </row>
    <row r="17380" spans="2:37">
      <c r="B17380" s="834" t="str">
        <f t="shared" si="623"/>
        <v>|||</v>
      </c>
      <c r="H17380" s="835">
        <f t="shared" si="624"/>
        <v>31</v>
      </c>
      <c r="AF17380" s="831" t="s">
        <v>11271</v>
      </c>
      <c r="AG17380" s="831" t="s">
        <v>2674</v>
      </c>
      <c r="AH17380" s="831" t="s">
        <v>6600</v>
      </c>
      <c r="AI17380" s="831">
        <v>0</v>
      </c>
      <c r="AJ17380" s="835">
        <v>41639</v>
      </c>
      <c r="AK17380" s="831">
        <v>27176541.956000008</v>
      </c>
    </row>
    <row r="17381" spans="2:37">
      <c r="B17381" s="834" t="str">
        <f t="shared" si="623"/>
        <v>|||</v>
      </c>
      <c r="H17381" s="835">
        <f t="shared" si="624"/>
        <v>31</v>
      </c>
      <c r="AF17381" s="831" t="s">
        <v>11272</v>
      </c>
      <c r="AG17381" s="831" t="s">
        <v>2674</v>
      </c>
      <c r="AH17381" s="831" t="s">
        <v>6602</v>
      </c>
      <c r="AI17381" s="831">
        <v>0</v>
      </c>
      <c r="AJ17381" s="835">
        <v>41639</v>
      </c>
      <c r="AK17381" s="831">
        <v>27176541.956000008</v>
      </c>
    </row>
    <row r="17382" spans="2:37">
      <c r="B17382" s="834" t="str">
        <f t="shared" si="623"/>
        <v>|||</v>
      </c>
      <c r="H17382" s="835">
        <f t="shared" si="624"/>
        <v>31</v>
      </c>
      <c r="AF17382" s="831" t="s">
        <v>11273</v>
      </c>
      <c r="AG17382" s="831" t="s">
        <v>2674</v>
      </c>
      <c r="AH17382" s="831" t="s">
        <v>650</v>
      </c>
      <c r="AI17382" s="831">
        <v>0</v>
      </c>
      <c r="AJ17382" s="835">
        <v>41639</v>
      </c>
      <c r="AK17382" s="831">
        <v>204736223.04223078</v>
      </c>
    </row>
    <row r="17383" spans="2:37">
      <c r="B17383" s="834" t="str">
        <f t="shared" si="623"/>
        <v>|||</v>
      </c>
      <c r="H17383" s="835">
        <f t="shared" si="624"/>
        <v>31</v>
      </c>
      <c r="AF17383" s="831" t="s">
        <v>11274</v>
      </c>
      <c r="AG17383" s="831" t="s">
        <v>2674</v>
      </c>
      <c r="AH17383" s="831" t="s">
        <v>655</v>
      </c>
      <c r="AI17383" s="831">
        <v>0</v>
      </c>
      <c r="AJ17383" s="835">
        <v>41639</v>
      </c>
      <c r="AK17383" s="831">
        <v>1605185.0136000002</v>
      </c>
    </row>
    <row r="17384" spans="2:37">
      <c r="B17384" s="834" t="str">
        <f t="shared" si="623"/>
        <v>|||</v>
      </c>
      <c r="H17384" s="835">
        <f t="shared" si="624"/>
        <v>31</v>
      </c>
      <c r="AF17384" s="831" t="s">
        <v>11275</v>
      </c>
      <c r="AG17384" s="831" t="s">
        <v>2674</v>
      </c>
      <c r="AH17384" s="831" t="s">
        <v>546</v>
      </c>
      <c r="AI17384" s="831">
        <v>0</v>
      </c>
      <c r="AJ17384" s="835">
        <v>41670</v>
      </c>
      <c r="AK17384" s="831">
        <v>635618516</v>
      </c>
    </row>
    <row r="17385" spans="2:37">
      <c r="B17385" s="834" t="str">
        <f t="shared" si="623"/>
        <v>|||</v>
      </c>
      <c r="H17385" s="835">
        <f t="shared" si="624"/>
        <v>31</v>
      </c>
      <c r="AF17385" s="831" t="s">
        <v>11276</v>
      </c>
      <c r="AG17385" s="831" t="s">
        <v>2674</v>
      </c>
      <c r="AH17385" s="831" t="s">
        <v>370</v>
      </c>
      <c r="AI17385" s="831">
        <v>0</v>
      </c>
      <c r="AJ17385" s="835">
        <v>41670</v>
      </c>
      <c r="AK17385" s="831">
        <v>777719977</v>
      </c>
    </row>
    <row r="17386" spans="2:37">
      <c r="B17386" s="834" t="str">
        <f t="shared" si="623"/>
        <v>|||</v>
      </c>
      <c r="H17386" s="835">
        <f t="shared" si="624"/>
        <v>31</v>
      </c>
      <c r="AF17386" s="831" t="s">
        <v>11277</v>
      </c>
      <c r="AG17386" s="831" t="s">
        <v>2674</v>
      </c>
      <c r="AH17386" s="831" t="s">
        <v>126</v>
      </c>
      <c r="AI17386" s="831">
        <v>0</v>
      </c>
      <c r="AJ17386" s="835">
        <v>41670</v>
      </c>
      <c r="AK17386" s="831">
        <v>117105496</v>
      </c>
    </row>
    <row r="17387" spans="2:37">
      <c r="B17387" s="834" t="str">
        <f t="shared" si="623"/>
        <v>|||</v>
      </c>
      <c r="H17387" s="835">
        <f t="shared" si="624"/>
        <v>31</v>
      </c>
      <c r="AF17387" s="831" t="s">
        <v>11278</v>
      </c>
      <c r="AG17387" s="831" t="s">
        <v>2674</v>
      </c>
      <c r="AH17387" s="831" t="s">
        <v>268</v>
      </c>
      <c r="AI17387" s="831">
        <v>0</v>
      </c>
      <c r="AJ17387" s="835">
        <v>41670</v>
      </c>
      <c r="AK17387" s="831">
        <v>3298821</v>
      </c>
    </row>
    <row r="17388" spans="2:37">
      <c r="B17388" s="834" t="str">
        <f t="shared" si="623"/>
        <v>|||</v>
      </c>
      <c r="H17388" s="835">
        <f t="shared" si="624"/>
        <v>31</v>
      </c>
      <c r="AF17388" s="831" t="s">
        <v>11279</v>
      </c>
      <c r="AG17388" s="831" t="s">
        <v>2674</v>
      </c>
      <c r="AH17388" s="831" t="s">
        <v>547</v>
      </c>
      <c r="AI17388" s="831">
        <v>0</v>
      </c>
      <c r="AJ17388" s="835">
        <v>41670</v>
      </c>
      <c r="AK17388" s="831">
        <v>777719977</v>
      </c>
    </row>
    <row r="17389" spans="2:37">
      <c r="B17389" s="834" t="str">
        <f t="shared" si="623"/>
        <v>|||</v>
      </c>
      <c r="H17389" s="835">
        <f t="shared" si="624"/>
        <v>31</v>
      </c>
      <c r="AF17389" s="831" t="s">
        <v>11280</v>
      </c>
      <c r="AG17389" s="831" t="s">
        <v>2674</v>
      </c>
      <c r="AH17389" s="831" t="s">
        <v>548</v>
      </c>
      <c r="AI17389" s="831">
        <v>0</v>
      </c>
      <c r="AJ17389" s="835">
        <v>41670</v>
      </c>
      <c r="AK17389" s="831">
        <v>117105496</v>
      </c>
    </row>
    <row r="17390" spans="2:37">
      <c r="B17390" s="834" t="str">
        <f t="shared" si="623"/>
        <v>|||</v>
      </c>
      <c r="H17390" s="835">
        <f t="shared" si="624"/>
        <v>31</v>
      </c>
      <c r="AF17390" s="831" t="s">
        <v>11281</v>
      </c>
      <c r="AG17390" s="831" t="s">
        <v>2674</v>
      </c>
      <c r="AH17390" s="831" t="s">
        <v>549</v>
      </c>
      <c r="AI17390" s="831">
        <v>0</v>
      </c>
      <c r="AJ17390" s="835">
        <v>41670</v>
      </c>
      <c r="AK17390" s="831">
        <v>421051783</v>
      </c>
    </row>
    <row r="17391" spans="2:37">
      <c r="B17391" s="834" t="str">
        <f t="shared" si="623"/>
        <v>|||</v>
      </c>
      <c r="H17391" s="835">
        <f t="shared" si="624"/>
        <v>31</v>
      </c>
      <c r="AF17391" s="831" t="s">
        <v>11282</v>
      </c>
      <c r="AG17391" s="831" t="s">
        <v>2674</v>
      </c>
      <c r="AH17391" s="831" t="s">
        <v>192</v>
      </c>
      <c r="AI17391" s="831">
        <v>0</v>
      </c>
      <c r="AJ17391" s="835">
        <v>41670</v>
      </c>
      <c r="AK17391" s="831">
        <v>-14010990</v>
      </c>
    </row>
    <row r="17392" spans="2:37">
      <c r="B17392" s="834" t="str">
        <f t="shared" si="623"/>
        <v>|||</v>
      </c>
      <c r="H17392" s="835">
        <f t="shared" si="624"/>
        <v>31</v>
      </c>
      <c r="AF17392" s="831" t="s">
        <v>11283</v>
      </c>
      <c r="AG17392" s="831" t="s">
        <v>2674</v>
      </c>
      <c r="AH17392" s="831" t="s">
        <v>558</v>
      </c>
      <c r="AI17392" s="831">
        <v>0</v>
      </c>
      <c r="AJ17392" s="835">
        <v>41670</v>
      </c>
      <c r="AK17392" s="831">
        <v>660614481.35800004</v>
      </c>
    </row>
    <row r="17393" spans="2:37">
      <c r="B17393" s="834" t="str">
        <f t="shared" si="623"/>
        <v>|||</v>
      </c>
      <c r="H17393" s="835">
        <f t="shared" si="624"/>
        <v>31</v>
      </c>
      <c r="AF17393" s="831" t="s">
        <v>11284</v>
      </c>
      <c r="AG17393" s="831" t="s">
        <v>2674</v>
      </c>
      <c r="AH17393" s="831" t="s">
        <v>65</v>
      </c>
      <c r="AI17393" s="831">
        <v>0</v>
      </c>
      <c r="AJ17393" s="835">
        <v>41670</v>
      </c>
      <c r="AK17393" s="831">
        <v>13268788</v>
      </c>
    </row>
    <row r="17394" spans="2:37">
      <c r="B17394" s="834" t="str">
        <f t="shared" si="623"/>
        <v>|||</v>
      </c>
      <c r="H17394" s="835">
        <f t="shared" si="624"/>
        <v>31</v>
      </c>
      <c r="AF17394" s="831" t="s">
        <v>11285</v>
      </c>
      <c r="AG17394" s="831" t="s">
        <v>2674</v>
      </c>
      <c r="AH17394" s="831" t="s">
        <v>89</v>
      </c>
      <c r="AI17394" s="831">
        <v>0</v>
      </c>
      <c r="AJ17394" s="835">
        <v>41670</v>
      </c>
      <c r="AK17394" s="831">
        <v>149103</v>
      </c>
    </row>
    <row r="17395" spans="2:37">
      <c r="B17395" s="834" t="str">
        <f t="shared" si="623"/>
        <v>|||</v>
      </c>
      <c r="H17395" s="835">
        <f t="shared" si="624"/>
        <v>31</v>
      </c>
      <c r="AF17395" s="831" t="s">
        <v>11286</v>
      </c>
      <c r="AG17395" s="831" t="s">
        <v>2674</v>
      </c>
      <c r="AH17395" s="831" t="s">
        <v>557</v>
      </c>
      <c r="AI17395" s="831">
        <v>0</v>
      </c>
      <c r="AJ17395" s="835">
        <v>41670</v>
      </c>
      <c r="AK17395" s="831">
        <v>162799</v>
      </c>
    </row>
    <row r="17396" spans="2:37">
      <c r="B17396" s="834" t="str">
        <f t="shared" si="623"/>
        <v>|||</v>
      </c>
      <c r="H17396" s="835">
        <f t="shared" si="624"/>
        <v>31</v>
      </c>
      <c r="AF17396" s="831" t="s">
        <v>11287</v>
      </c>
      <c r="AG17396" s="831" t="s">
        <v>2674</v>
      </c>
      <c r="AH17396" s="831" t="s">
        <v>29</v>
      </c>
      <c r="AI17396" s="831">
        <v>0</v>
      </c>
      <c r="AJ17396" s="835">
        <v>41670</v>
      </c>
      <c r="AK17396" s="831">
        <v>1994542.716</v>
      </c>
    </row>
    <row r="17397" spans="2:37">
      <c r="B17397" s="834" t="str">
        <f t="shared" si="623"/>
        <v>|||</v>
      </c>
      <c r="H17397" s="835">
        <f t="shared" si="624"/>
        <v>31</v>
      </c>
      <c r="AF17397" s="831" t="s">
        <v>11288</v>
      </c>
      <c r="AG17397" s="831" t="s">
        <v>2674</v>
      </c>
      <c r="AH17397" s="831" t="s">
        <v>2688</v>
      </c>
      <c r="AI17397" s="831">
        <v>0</v>
      </c>
      <c r="AJ17397" s="835">
        <v>41670</v>
      </c>
      <c r="AK17397" s="831">
        <v>3487768.05</v>
      </c>
    </row>
    <row r="17398" spans="2:37">
      <c r="B17398" s="834" t="str">
        <f t="shared" si="623"/>
        <v>|||</v>
      </c>
      <c r="H17398" s="835">
        <f t="shared" si="624"/>
        <v>31</v>
      </c>
      <c r="AF17398" s="831" t="s">
        <v>11289</v>
      </c>
      <c r="AG17398" s="831" t="s">
        <v>2674</v>
      </c>
      <c r="AH17398" s="831" t="s">
        <v>556</v>
      </c>
      <c r="AI17398" s="831">
        <v>0</v>
      </c>
      <c r="AJ17398" s="835">
        <v>41670</v>
      </c>
      <c r="AK17398" s="831">
        <v>1644732</v>
      </c>
    </row>
    <row r="17399" spans="2:37">
      <c r="B17399" s="834" t="str">
        <f t="shared" si="623"/>
        <v>|||</v>
      </c>
      <c r="H17399" s="835">
        <f t="shared" si="624"/>
        <v>31</v>
      </c>
      <c r="AF17399" s="831" t="s">
        <v>11290</v>
      </c>
      <c r="AG17399" s="831" t="s">
        <v>2674</v>
      </c>
      <c r="AH17399" s="831" t="s">
        <v>555</v>
      </c>
      <c r="AI17399" s="831">
        <v>0</v>
      </c>
      <c r="AJ17399" s="835">
        <v>41670</v>
      </c>
      <c r="AK17399" s="831">
        <v>421635600</v>
      </c>
    </row>
    <row r="17400" spans="2:37">
      <c r="B17400" s="834" t="str">
        <f t="shared" si="623"/>
        <v>|||</v>
      </c>
      <c r="H17400" s="835">
        <f t="shared" si="624"/>
        <v>31</v>
      </c>
      <c r="AF17400" s="831" t="s">
        <v>11291</v>
      </c>
      <c r="AG17400" s="831" t="s">
        <v>2674</v>
      </c>
      <c r="AH17400" s="831" t="s">
        <v>554</v>
      </c>
      <c r="AI17400" s="831">
        <v>0</v>
      </c>
      <c r="AJ17400" s="835">
        <v>41670</v>
      </c>
      <c r="AK17400" s="831">
        <v>432162250</v>
      </c>
    </row>
    <row r="17401" spans="2:37">
      <c r="B17401" s="834" t="str">
        <f t="shared" si="623"/>
        <v>|||</v>
      </c>
      <c r="H17401" s="835">
        <f t="shared" si="624"/>
        <v>31</v>
      </c>
      <c r="AF17401" s="831" t="s">
        <v>11292</v>
      </c>
      <c r="AG17401" s="831" t="s">
        <v>2674</v>
      </c>
      <c r="AH17401" s="831" t="s">
        <v>553</v>
      </c>
      <c r="AI17401" s="831">
        <v>0</v>
      </c>
      <c r="AJ17401" s="835">
        <v>41670</v>
      </c>
      <c r="AK17401" s="831">
        <v>0</v>
      </c>
    </row>
    <row r="17402" spans="2:37">
      <c r="B17402" s="834" t="str">
        <f t="shared" si="623"/>
        <v>|||</v>
      </c>
      <c r="H17402" s="835">
        <f t="shared" si="624"/>
        <v>31</v>
      </c>
      <c r="AF17402" s="831" t="s">
        <v>11293</v>
      </c>
      <c r="AG17402" s="831" t="s">
        <v>2674</v>
      </c>
      <c r="AH17402" s="831" t="s">
        <v>552</v>
      </c>
      <c r="AI17402" s="831">
        <v>0</v>
      </c>
      <c r="AJ17402" s="835">
        <v>41670</v>
      </c>
      <c r="AK17402" s="831">
        <v>0</v>
      </c>
    </row>
    <row r="17403" spans="2:37">
      <c r="B17403" s="834" t="str">
        <f t="shared" si="623"/>
        <v>|||</v>
      </c>
      <c r="H17403" s="835">
        <f t="shared" si="624"/>
        <v>31</v>
      </c>
      <c r="AF17403" s="831" t="s">
        <v>11294</v>
      </c>
      <c r="AG17403" s="831" t="s">
        <v>2674</v>
      </c>
      <c r="AH17403" s="831" t="s">
        <v>551</v>
      </c>
      <c r="AI17403" s="831">
        <v>0</v>
      </c>
      <c r="AJ17403" s="835">
        <v>41670</v>
      </c>
      <c r="AK17403" s="831">
        <v>1853357.048</v>
      </c>
    </row>
    <row r="17404" spans="2:37">
      <c r="B17404" s="834" t="str">
        <f t="shared" si="623"/>
        <v>|||</v>
      </c>
      <c r="H17404" s="835">
        <f t="shared" si="624"/>
        <v>31</v>
      </c>
      <c r="AF17404" s="831" t="s">
        <v>11295</v>
      </c>
      <c r="AG17404" s="831" t="s">
        <v>2674</v>
      </c>
      <c r="AH17404" s="831" t="s">
        <v>550</v>
      </c>
      <c r="AI17404" s="831">
        <v>0</v>
      </c>
      <c r="AJ17404" s="835">
        <v>41670</v>
      </c>
      <c r="AK17404" s="831">
        <v>114089765.91</v>
      </c>
    </row>
    <row r="17405" spans="2:37">
      <c r="B17405" s="834" t="str">
        <f t="shared" si="623"/>
        <v>|||</v>
      </c>
      <c r="H17405" s="835">
        <f t="shared" si="624"/>
        <v>31</v>
      </c>
      <c r="AF17405" s="831" t="s">
        <v>11296</v>
      </c>
      <c r="AG17405" s="831" t="s">
        <v>2674</v>
      </c>
      <c r="AH17405" s="831" t="s">
        <v>562</v>
      </c>
      <c r="AI17405" s="831">
        <v>0</v>
      </c>
      <c r="AJ17405" s="835">
        <v>41670</v>
      </c>
      <c r="AK17405" s="831">
        <v>0.78364999999999996</v>
      </c>
    </row>
    <row r="17406" spans="2:37">
      <c r="B17406" s="834" t="str">
        <f t="shared" si="623"/>
        <v>|||</v>
      </c>
      <c r="H17406" s="835">
        <f t="shared" si="624"/>
        <v>31</v>
      </c>
      <c r="AF17406" s="831" t="s">
        <v>11297</v>
      </c>
      <c r="AG17406" s="831" t="s">
        <v>2674</v>
      </c>
      <c r="AH17406" s="831" t="s">
        <v>2698</v>
      </c>
      <c r="AI17406" s="831">
        <v>0</v>
      </c>
      <c r="AJ17406" s="835">
        <v>41670</v>
      </c>
      <c r="AK17406" s="831">
        <v>0.78334999999999999</v>
      </c>
    </row>
    <row r="17407" spans="2:37">
      <c r="B17407" s="834" t="str">
        <f t="shared" si="623"/>
        <v>|||</v>
      </c>
      <c r="H17407" s="835">
        <f t="shared" si="624"/>
        <v>31</v>
      </c>
      <c r="AF17407" s="831" t="s">
        <v>11298</v>
      </c>
      <c r="AG17407" s="831" t="s">
        <v>2674</v>
      </c>
      <c r="AH17407" s="831" t="s">
        <v>560</v>
      </c>
      <c r="AI17407" s="831">
        <v>0</v>
      </c>
      <c r="AJ17407" s="835">
        <v>41670</v>
      </c>
      <c r="AK17407" s="831">
        <v>0.78364999999999996</v>
      </c>
    </row>
    <row r="17408" spans="2:37">
      <c r="B17408" s="834" t="str">
        <f t="shared" si="623"/>
        <v>|||</v>
      </c>
      <c r="H17408" s="835">
        <f t="shared" si="624"/>
        <v>31</v>
      </c>
      <c r="AF17408" s="831" t="s">
        <v>11299</v>
      </c>
      <c r="AG17408" s="831" t="s">
        <v>2674</v>
      </c>
      <c r="AH17408" s="831" t="s">
        <v>559</v>
      </c>
      <c r="AI17408" s="831">
        <v>0</v>
      </c>
      <c r="AJ17408" s="835">
        <v>41670</v>
      </c>
      <c r="AK17408" s="831">
        <v>0.78391666666666648</v>
      </c>
    </row>
    <row r="17409" spans="2:37">
      <c r="B17409" s="834" t="str">
        <f t="shared" si="623"/>
        <v>|||</v>
      </c>
      <c r="H17409" s="835">
        <f t="shared" si="624"/>
        <v>31</v>
      </c>
      <c r="AF17409" s="831" t="s">
        <v>11300</v>
      </c>
      <c r="AG17409" s="831" t="s">
        <v>2674</v>
      </c>
      <c r="AH17409" s="831" t="s">
        <v>568</v>
      </c>
      <c r="AI17409" s="831">
        <v>0</v>
      </c>
      <c r="AJ17409" s="835">
        <v>41670</v>
      </c>
      <c r="AK17409" s="831">
        <v>530633259.22692305</v>
      </c>
    </row>
    <row r="17410" spans="2:37">
      <c r="B17410" s="834" t="str">
        <f t="shared" si="623"/>
        <v>|||</v>
      </c>
      <c r="H17410" s="835">
        <f t="shared" si="624"/>
        <v>31</v>
      </c>
      <c r="AF17410" s="831" t="s">
        <v>11301</v>
      </c>
      <c r="AG17410" s="831" t="s">
        <v>2674</v>
      </c>
      <c r="AH17410" s="831" t="s">
        <v>569</v>
      </c>
      <c r="AI17410" s="831">
        <v>0</v>
      </c>
      <c r="AJ17410" s="835">
        <v>41670</v>
      </c>
      <c r="AK17410" s="831">
        <v>648384048.74253845</v>
      </c>
    </row>
    <row r="17411" spans="2:37">
      <c r="B17411" s="834" t="str">
        <f t="shared" si="623"/>
        <v>|||</v>
      </c>
      <c r="H17411" s="835">
        <f t="shared" si="624"/>
        <v>31</v>
      </c>
      <c r="AF17411" s="831" t="s">
        <v>11302</v>
      </c>
      <c r="AG17411" s="831" t="s">
        <v>2674</v>
      </c>
      <c r="AH17411" s="831" t="s">
        <v>570</v>
      </c>
      <c r="AI17411" s="831">
        <v>0</v>
      </c>
      <c r="AJ17411" s="835">
        <v>41670</v>
      </c>
      <c r="AK17411" s="831">
        <v>109988497.52046154</v>
      </c>
    </row>
    <row r="17412" spans="2:37">
      <c r="B17412" s="834" t="str">
        <f t="shared" si="623"/>
        <v>|||</v>
      </c>
      <c r="H17412" s="835">
        <f t="shared" si="624"/>
        <v>31</v>
      </c>
      <c r="AF17412" s="831" t="s">
        <v>11303</v>
      </c>
      <c r="AG17412" s="831" t="s">
        <v>2674</v>
      </c>
      <c r="AH17412" s="831" t="s">
        <v>571</v>
      </c>
      <c r="AI17412" s="831">
        <v>0</v>
      </c>
      <c r="AJ17412" s="835">
        <v>41670</v>
      </c>
      <c r="AK17412" s="831">
        <v>308674440.74407691</v>
      </c>
    </row>
    <row r="17413" spans="2:37">
      <c r="B17413" s="834" t="str">
        <f t="shared" si="623"/>
        <v>|||</v>
      </c>
      <c r="H17413" s="835">
        <f t="shared" si="624"/>
        <v>31</v>
      </c>
      <c r="AF17413" s="831" t="s">
        <v>11304</v>
      </c>
      <c r="AG17413" s="831" t="s">
        <v>2674</v>
      </c>
      <c r="AH17413" s="831" t="s">
        <v>573</v>
      </c>
      <c r="AI17413" s="831">
        <v>0</v>
      </c>
      <c r="AJ17413" s="835">
        <v>41670</v>
      </c>
      <c r="AK17413" s="831">
        <v>783617473.28149998</v>
      </c>
    </row>
    <row r="17414" spans="2:37">
      <c r="B17414" s="834" t="str">
        <f t="shared" si="623"/>
        <v>|||</v>
      </c>
      <c r="H17414" s="835">
        <f t="shared" si="624"/>
        <v>31</v>
      </c>
      <c r="AF17414" s="831" t="s">
        <v>11305</v>
      </c>
      <c r="AG17414" s="831" t="s">
        <v>2674</v>
      </c>
      <c r="AH17414" s="831" t="s">
        <v>574</v>
      </c>
      <c r="AI17414" s="831">
        <v>0</v>
      </c>
      <c r="AJ17414" s="835">
        <v>41670</v>
      </c>
      <c r="AK17414" s="831">
        <v>631746388</v>
      </c>
    </row>
    <row r="17415" spans="2:37">
      <c r="B17415" s="834" t="str">
        <f t="shared" si="623"/>
        <v>|||</v>
      </c>
      <c r="H17415" s="835">
        <f t="shared" si="624"/>
        <v>31</v>
      </c>
      <c r="AF17415" s="831" t="s">
        <v>11306</v>
      </c>
      <c r="AG17415" s="831" t="s">
        <v>2674</v>
      </c>
      <c r="AH17415" s="831" t="s">
        <v>575</v>
      </c>
      <c r="AI17415" s="831">
        <v>0</v>
      </c>
      <c r="AJ17415" s="835">
        <v>41670</v>
      </c>
      <c r="AK17415" s="831">
        <v>115597630.955</v>
      </c>
    </row>
    <row r="17416" spans="2:37">
      <c r="B17416" s="834" t="str">
        <f t="shared" si="623"/>
        <v>|||</v>
      </c>
      <c r="H17416" s="835">
        <f t="shared" si="624"/>
        <v>31</v>
      </c>
      <c r="AF17416" s="831" t="s">
        <v>11307</v>
      </c>
      <c r="AG17416" s="831" t="s">
        <v>2674</v>
      </c>
      <c r="AH17416" s="831" t="s">
        <v>576</v>
      </c>
      <c r="AI17416" s="831">
        <v>0</v>
      </c>
      <c r="AJ17416" s="835">
        <v>41670</v>
      </c>
      <c r="AK17416" s="831">
        <v>385049519.80550003</v>
      </c>
    </row>
    <row r="17417" spans="2:37">
      <c r="B17417" s="834" t="str">
        <f t="shared" si="623"/>
        <v>|||</v>
      </c>
      <c r="H17417" s="835">
        <f t="shared" si="624"/>
        <v>31</v>
      </c>
      <c r="AF17417" s="831" t="s">
        <v>11308</v>
      </c>
      <c r="AG17417" s="831" t="s">
        <v>2674</v>
      </c>
      <c r="AH17417" s="831" t="s">
        <v>572</v>
      </c>
      <c r="AI17417" s="831">
        <v>0</v>
      </c>
      <c r="AJ17417" s="835">
        <v>41670</v>
      </c>
      <c r="AK17417" s="831">
        <v>28355401.956000008</v>
      </c>
    </row>
    <row r="17418" spans="2:37">
      <c r="B17418" s="834" t="str">
        <f t="shared" si="623"/>
        <v>|||</v>
      </c>
      <c r="H17418" s="835">
        <f t="shared" si="624"/>
        <v>31</v>
      </c>
      <c r="AF17418" s="831" t="s">
        <v>11309</v>
      </c>
      <c r="AG17418" s="831" t="s">
        <v>2674</v>
      </c>
      <c r="AH17418" s="831" t="s">
        <v>577</v>
      </c>
      <c r="AI17418" s="831">
        <v>0</v>
      </c>
      <c r="AJ17418" s="835">
        <v>41670</v>
      </c>
      <c r="AK17418" s="831">
        <v>136649293.76300001</v>
      </c>
    </row>
    <row r="17419" spans="2:37">
      <c r="B17419" s="834" t="str">
        <f t="shared" si="623"/>
        <v>|||</v>
      </c>
      <c r="H17419" s="835">
        <f t="shared" si="624"/>
        <v>31</v>
      </c>
      <c r="AF17419" s="831" t="s">
        <v>11310</v>
      </c>
      <c r="AG17419" s="831" t="s">
        <v>2674</v>
      </c>
      <c r="AH17419" s="831" t="s">
        <v>3042</v>
      </c>
      <c r="AI17419" s="831">
        <v>0</v>
      </c>
      <c r="AJ17419" s="835">
        <v>41670</v>
      </c>
      <c r="AK17419" s="831">
        <v>-35903077.527000003</v>
      </c>
    </row>
    <row r="17420" spans="2:37">
      <c r="B17420" s="834" t="str">
        <f t="shared" si="623"/>
        <v>|||</v>
      </c>
      <c r="H17420" s="835">
        <f t="shared" si="624"/>
        <v>31</v>
      </c>
      <c r="AF17420" s="831" t="s">
        <v>11311</v>
      </c>
      <c r="AG17420" s="831" t="s">
        <v>2674</v>
      </c>
      <c r="AH17420" s="831" t="s">
        <v>3044</v>
      </c>
      <c r="AI17420" s="831">
        <v>0</v>
      </c>
      <c r="AJ17420" s="835">
        <v>41670</v>
      </c>
      <c r="AK17420" s="831">
        <v>-4357745.8899999997</v>
      </c>
    </row>
    <row r="17421" spans="2:37">
      <c r="B17421" s="834" t="str">
        <f t="shared" si="623"/>
        <v>|||</v>
      </c>
      <c r="H17421" s="835">
        <f t="shared" si="624"/>
        <v>31</v>
      </c>
      <c r="AF17421" s="831" t="s">
        <v>11312</v>
      </c>
      <c r="AG17421" s="831" t="s">
        <v>2674</v>
      </c>
      <c r="AH17421" s="831" t="s">
        <v>580</v>
      </c>
      <c r="AI17421" s="831">
        <v>0</v>
      </c>
      <c r="AJ17421" s="835">
        <v>41670</v>
      </c>
      <c r="AK17421" s="831">
        <v>-64979972.306999996</v>
      </c>
    </row>
    <row r="17422" spans="2:37">
      <c r="B17422" s="834" t="str">
        <f t="shared" si="623"/>
        <v>|||</v>
      </c>
      <c r="H17422" s="835">
        <f t="shared" si="624"/>
        <v>31</v>
      </c>
      <c r="AF17422" s="831" t="s">
        <v>11313</v>
      </c>
      <c r="AG17422" s="831" t="s">
        <v>2674</v>
      </c>
      <c r="AH17422" s="831" t="s">
        <v>581</v>
      </c>
      <c r="AI17422" s="831">
        <v>0</v>
      </c>
      <c r="AJ17422" s="835">
        <v>41670</v>
      </c>
      <c r="AK17422" s="831">
        <v>5221448.8940000003</v>
      </c>
    </row>
    <row r="17423" spans="2:37">
      <c r="B17423" s="834" t="str">
        <f t="shared" si="623"/>
        <v>|||</v>
      </c>
      <c r="H17423" s="835">
        <f t="shared" si="624"/>
        <v>31</v>
      </c>
      <c r="AF17423" s="831" t="s">
        <v>11314</v>
      </c>
      <c r="AG17423" s="831" t="s">
        <v>2674</v>
      </c>
      <c r="AH17423" s="831" t="s">
        <v>105</v>
      </c>
      <c r="AI17423" s="831">
        <v>0</v>
      </c>
      <c r="AJ17423" s="835">
        <v>41670</v>
      </c>
      <c r="AK17423" s="831">
        <v>378525192</v>
      </c>
    </row>
    <row r="17424" spans="2:37">
      <c r="B17424" s="834" t="str">
        <f t="shared" si="623"/>
        <v>|||</v>
      </c>
      <c r="H17424" s="835">
        <f t="shared" si="624"/>
        <v>31</v>
      </c>
      <c r="AF17424" s="831" t="s">
        <v>11315</v>
      </c>
      <c r="AG17424" s="831" t="s">
        <v>2674</v>
      </c>
      <c r="AH17424" s="831" t="s">
        <v>3049</v>
      </c>
      <c r="AI17424" s="831">
        <v>0</v>
      </c>
      <c r="AJ17424" s="835">
        <v>41670</v>
      </c>
      <c r="AK17424" s="831">
        <v>636021249.54999995</v>
      </c>
    </row>
    <row r="17425" spans="2:37">
      <c r="B17425" s="834" t="str">
        <f t="shared" ref="B17425:B17488" si="625">C17425&amp;"|"&amp;D17425&amp;"|"&amp;E17425&amp;"|"&amp;F17425</f>
        <v>|||</v>
      </c>
      <c r="H17425" s="835">
        <f t="shared" ref="H17425:H17488" si="626">EOMONTH(L17425,0)</f>
        <v>31</v>
      </c>
      <c r="AF17425" s="831" t="s">
        <v>11316</v>
      </c>
      <c r="AG17425" s="831" t="s">
        <v>2674</v>
      </c>
      <c r="AH17425" s="831" t="s">
        <v>103</v>
      </c>
      <c r="AI17425" s="831">
        <v>0</v>
      </c>
      <c r="AJ17425" s="835">
        <v>41670</v>
      </c>
      <c r="AK17425" s="831">
        <v>257496057.55000001</v>
      </c>
    </row>
    <row r="17426" spans="2:37">
      <c r="B17426" s="834" t="str">
        <f t="shared" si="625"/>
        <v>|||</v>
      </c>
      <c r="H17426" s="835">
        <f t="shared" si="626"/>
        <v>31</v>
      </c>
      <c r="AF17426" s="831" t="s">
        <v>11317</v>
      </c>
      <c r="AG17426" s="831" t="s">
        <v>2674</v>
      </c>
      <c r="AH17426" s="831" t="s">
        <v>182</v>
      </c>
      <c r="AI17426" s="831">
        <v>0</v>
      </c>
      <c r="AJ17426" s="835">
        <v>41670</v>
      </c>
      <c r="AK17426" s="831">
        <v>67679280</v>
      </c>
    </row>
    <row r="17427" spans="2:37">
      <c r="B17427" s="834" t="str">
        <f t="shared" si="625"/>
        <v>|||</v>
      </c>
      <c r="H17427" s="835">
        <f t="shared" si="626"/>
        <v>31</v>
      </c>
      <c r="AF17427" s="831" t="s">
        <v>11318</v>
      </c>
      <c r="AG17427" s="831" t="s">
        <v>2674</v>
      </c>
      <c r="AH17427" s="831" t="s">
        <v>6600</v>
      </c>
      <c r="AI17427" s="831">
        <v>0</v>
      </c>
      <c r="AJ17427" s="835">
        <v>41670</v>
      </c>
      <c r="AK17427" s="831">
        <v>28355401.956000008</v>
      </c>
    </row>
    <row r="17428" spans="2:37">
      <c r="B17428" s="834" t="str">
        <f t="shared" si="625"/>
        <v>|||</v>
      </c>
      <c r="H17428" s="835">
        <f t="shared" si="626"/>
        <v>31</v>
      </c>
      <c r="AF17428" s="831" t="s">
        <v>11319</v>
      </c>
      <c r="AG17428" s="831" t="s">
        <v>2674</v>
      </c>
      <c r="AH17428" s="831" t="s">
        <v>6602</v>
      </c>
      <c r="AI17428" s="831">
        <v>0</v>
      </c>
      <c r="AJ17428" s="835">
        <v>41670</v>
      </c>
      <c r="AK17428" s="831">
        <v>3298821</v>
      </c>
    </row>
    <row r="17429" spans="2:37">
      <c r="B17429" s="834" t="str">
        <f t="shared" si="625"/>
        <v>|||</v>
      </c>
      <c r="H17429" s="835">
        <f t="shared" si="626"/>
        <v>31</v>
      </c>
      <c r="AF17429" s="831" t="s">
        <v>11320</v>
      </c>
      <c r="AG17429" s="831" t="s">
        <v>2674</v>
      </c>
      <c r="AH17429" s="831" t="s">
        <v>650</v>
      </c>
      <c r="AI17429" s="831">
        <v>0</v>
      </c>
      <c r="AJ17429" s="835">
        <v>41670</v>
      </c>
      <c r="AK17429" s="831">
        <v>211999986.62300003</v>
      </c>
    </row>
    <row r="17430" spans="2:37">
      <c r="B17430" s="834" t="str">
        <f t="shared" si="625"/>
        <v>|||</v>
      </c>
      <c r="H17430" s="835">
        <f t="shared" si="626"/>
        <v>31</v>
      </c>
      <c r="AF17430" s="831" t="s">
        <v>11321</v>
      </c>
      <c r="AG17430" s="831" t="s">
        <v>2674</v>
      </c>
      <c r="AH17430" s="831" t="s">
        <v>655</v>
      </c>
      <c r="AI17430" s="831">
        <v>0</v>
      </c>
      <c r="AJ17430" s="835">
        <v>41670</v>
      </c>
      <c r="AK17430" s="831">
        <v>1732566.0729999999</v>
      </c>
    </row>
    <row r="17431" spans="2:37">
      <c r="B17431" s="834" t="str">
        <f t="shared" si="625"/>
        <v>|||</v>
      </c>
      <c r="H17431" s="835">
        <f t="shared" si="626"/>
        <v>31</v>
      </c>
      <c r="AF17431" s="831" t="s">
        <v>11322</v>
      </c>
      <c r="AG17431" s="831" t="s">
        <v>2674</v>
      </c>
      <c r="AH17431" s="831" t="s">
        <v>546</v>
      </c>
      <c r="AI17431" s="831">
        <v>0</v>
      </c>
      <c r="AJ17431" s="835">
        <v>41698</v>
      </c>
      <c r="AK17431" s="831">
        <v>652795035</v>
      </c>
    </row>
    <row r="17432" spans="2:37">
      <c r="B17432" s="834" t="str">
        <f t="shared" si="625"/>
        <v>|||</v>
      </c>
      <c r="H17432" s="835">
        <f t="shared" si="626"/>
        <v>31</v>
      </c>
      <c r="AF17432" s="831" t="s">
        <v>11323</v>
      </c>
      <c r="AG17432" s="831" t="s">
        <v>2674</v>
      </c>
      <c r="AH17432" s="831" t="s">
        <v>370</v>
      </c>
      <c r="AI17432" s="831">
        <v>0</v>
      </c>
      <c r="AJ17432" s="835">
        <v>41698</v>
      </c>
      <c r="AK17432" s="831">
        <v>794421636</v>
      </c>
    </row>
    <row r="17433" spans="2:37">
      <c r="B17433" s="834" t="str">
        <f t="shared" si="625"/>
        <v>|||</v>
      </c>
      <c r="H17433" s="835">
        <f t="shared" si="626"/>
        <v>31</v>
      </c>
      <c r="AF17433" s="831" t="s">
        <v>11324</v>
      </c>
      <c r="AG17433" s="831" t="s">
        <v>2674</v>
      </c>
      <c r="AH17433" s="831" t="s">
        <v>126</v>
      </c>
      <c r="AI17433" s="831">
        <v>0</v>
      </c>
      <c r="AJ17433" s="835">
        <v>41698</v>
      </c>
      <c r="AK17433" s="831">
        <v>120615628</v>
      </c>
    </row>
    <row r="17434" spans="2:37">
      <c r="B17434" s="834" t="str">
        <f t="shared" si="625"/>
        <v>|||</v>
      </c>
      <c r="H17434" s="835">
        <f t="shared" si="626"/>
        <v>31</v>
      </c>
      <c r="AF17434" s="831" t="s">
        <v>11325</v>
      </c>
      <c r="AG17434" s="831" t="s">
        <v>2674</v>
      </c>
      <c r="AH17434" s="831" t="s">
        <v>268</v>
      </c>
      <c r="AI17434" s="831">
        <v>0</v>
      </c>
      <c r="AJ17434" s="835">
        <v>41698</v>
      </c>
      <c r="AK17434" s="831">
        <v>7870295</v>
      </c>
    </row>
    <row r="17435" spans="2:37">
      <c r="B17435" s="834" t="str">
        <f t="shared" si="625"/>
        <v>|||</v>
      </c>
      <c r="H17435" s="835">
        <f t="shared" si="626"/>
        <v>31</v>
      </c>
      <c r="AF17435" s="831" t="s">
        <v>11326</v>
      </c>
      <c r="AG17435" s="831" t="s">
        <v>2674</v>
      </c>
      <c r="AH17435" s="831" t="s">
        <v>547</v>
      </c>
      <c r="AI17435" s="831">
        <v>0</v>
      </c>
      <c r="AJ17435" s="835">
        <v>41698</v>
      </c>
      <c r="AK17435" s="831">
        <v>777719977</v>
      </c>
    </row>
    <row r="17436" spans="2:37">
      <c r="B17436" s="834" t="str">
        <f t="shared" si="625"/>
        <v>|||</v>
      </c>
      <c r="H17436" s="835">
        <f t="shared" si="626"/>
        <v>31</v>
      </c>
      <c r="AF17436" s="831" t="s">
        <v>11327</v>
      </c>
      <c r="AG17436" s="831" t="s">
        <v>2674</v>
      </c>
      <c r="AH17436" s="831" t="s">
        <v>548</v>
      </c>
      <c r="AI17436" s="831">
        <v>0</v>
      </c>
      <c r="AJ17436" s="835">
        <v>41698</v>
      </c>
      <c r="AK17436" s="831">
        <v>117105496</v>
      </c>
    </row>
    <row r="17437" spans="2:37">
      <c r="B17437" s="834" t="str">
        <f t="shared" si="625"/>
        <v>|||</v>
      </c>
      <c r="H17437" s="835">
        <f t="shared" si="626"/>
        <v>31</v>
      </c>
      <c r="AF17437" s="831" t="s">
        <v>11328</v>
      </c>
      <c r="AG17437" s="831" t="s">
        <v>2674</v>
      </c>
      <c r="AH17437" s="831" t="s">
        <v>549</v>
      </c>
      <c r="AI17437" s="831">
        <v>0</v>
      </c>
      <c r="AJ17437" s="835">
        <v>41698</v>
      </c>
      <c r="AK17437" s="831">
        <v>436810603</v>
      </c>
    </row>
    <row r="17438" spans="2:37">
      <c r="B17438" s="834" t="str">
        <f t="shared" si="625"/>
        <v>|||</v>
      </c>
      <c r="H17438" s="835">
        <f t="shared" si="626"/>
        <v>31</v>
      </c>
      <c r="AF17438" s="831" t="s">
        <v>11329</v>
      </c>
      <c r="AG17438" s="831" t="s">
        <v>2674</v>
      </c>
      <c r="AH17438" s="831" t="s">
        <v>192</v>
      </c>
      <c r="AI17438" s="831">
        <v>0</v>
      </c>
      <c r="AJ17438" s="835">
        <v>41698</v>
      </c>
      <c r="AK17438" s="831">
        <v>-13506118</v>
      </c>
    </row>
    <row r="17439" spans="2:37">
      <c r="B17439" s="834" t="str">
        <f t="shared" si="625"/>
        <v>|||</v>
      </c>
      <c r="H17439" s="835">
        <f t="shared" si="626"/>
        <v>31</v>
      </c>
      <c r="AF17439" s="831" t="s">
        <v>11330</v>
      </c>
      <c r="AG17439" s="831" t="s">
        <v>2674</v>
      </c>
      <c r="AH17439" s="831" t="s">
        <v>558</v>
      </c>
      <c r="AI17439" s="831">
        <v>0</v>
      </c>
      <c r="AJ17439" s="835">
        <v>41698</v>
      </c>
      <c r="AK17439" s="831">
        <v>673806008.21000004</v>
      </c>
    </row>
    <row r="17440" spans="2:37">
      <c r="B17440" s="834" t="str">
        <f t="shared" si="625"/>
        <v>|||</v>
      </c>
      <c r="H17440" s="835">
        <f t="shared" si="626"/>
        <v>31</v>
      </c>
      <c r="AF17440" s="831" t="s">
        <v>11331</v>
      </c>
      <c r="AG17440" s="831" t="s">
        <v>2674</v>
      </c>
      <c r="AH17440" s="831" t="s">
        <v>65</v>
      </c>
      <c r="AI17440" s="831">
        <v>0</v>
      </c>
      <c r="AJ17440" s="835">
        <v>41698</v>
      </c>
      <c r="AK17440" s="831">
        <v>27696081</v>
      </c>
    </row>
    <row r="17441" spans="2:37">
      <c r="B17441" s="834" t="str">
        <f t="shared" si="625"/>
        <v>|||</v>
      </c>
      <c r="H17441" s="835">
        <f t="shared" si="626"/>
        <v>31</v>
      </c>
      <c r="AF17441" s="831" t="s">
        <v>11332</v>
      </c>
      <c r="AG17441" s="831" t="s">
        <v>2674</v>
      </c>
      <c r="AH17441" s="831" t="s">
        <v>89</v>
      </c>
      <c r="AI17441" s="831">
        <v>0</v>
      </c>
      <c r="AJ17441" s="835">
        <v>41698</v>
      </c>
      <c r="AK17441" s="831">
        <v>150328</v>
      </c>
    </row>
    <row r="17442" spans="2:37">
      <c r="B17442" s="834" t="str">
        <f t="shared" si="625"/>
        <v>|||</v>
      </c>
      <c r="H17442" s="835">
        <f t="shared" si="626"/>
        <v>31</v>
      </c>
      <c r="AF17442" s="831" t="s">
        <v>11333</v>
      </c>
      <c r="AG17442" s="831" t="s">
        <v>2674</v>
      </c>
      <c r="AH17442" s="831" t="s">
        <v>557</v>
      </c>
      <c r="AI17442" s="831">
        <v>0</v>
      </c>
      <c r="AJ17442" s="835">
        <v>41698</v>
      </c>
      <c r="AK17442" s="831">
        <v>165052</v>
      </c>
    </row>
    <row r="17443" spans="2:37">
      <c r="B17443" s="834" t="str">
        <f t="shared" si="625"/>
        <v>|||</v>
      </c>
      <c r="H17443" s="835">
        <f t="shared" si="626"/>
        <v>31</v>
      </c>
      <c r="AF17443" s="831" t="s">
        <v>11334</v>
      </c>
      <c r="AG17443" s="831" t="s">
        <v>2674</v>
      </c>
      <c r="AH17443" s="831" t="s">
        <v>29</v>
      </c>
      <c r="AI17443" s="831">
        <v>0</v>
      </c>
      <c r="AJ17443" s="835">
        <v>41698</v>
      </c>
      <c r="AK17443" s="831">
        <v>2075568.541</v>
      </c>
    </row>
    <row r="17444" spans="2:37">
      <c r="B17444" s="834" t="str">
        <f t="shared" si="625"/>
        <v>|||</v>
      </c>
      <c r="H17444" s="835">
        <f t="shared" si="626"/>
        <v>31</v>
      </c>
      <c r="AF17444" s="831" t="s">
        <v>11335</v>
      </c>
      <c r="AG17444" s="831" t="s">
        <v>2674</v>
      </c>
      <c r="AH17444" s="831" t="s">
        <v>2688</v>
      </c>
      <c r="AI17444" s="831">
        <v>0</v>
      </c>
      <c r="AJ17444" s="835">
        <v>41698</v>
      </c>
      <c r="AK17444" s="831">
        <v>4740340.3599999994</v>
      </c>
    </row>
    <row r="17445" spans="2:37">
      <c r="B17445" s="834" t="str">
        <f t="shared" si="625"/>
        <v>|||</v>
      </c>
      <c r="H17445" s="835">
        <f t="shared" si="626"/>
        <v>31</v>
      </c>
      <c r="AF17445" s="831" t="s">
        <v>11336</v>
      </c>
      <c r="AG17445" s="831" t="s">
        <v>2674</v>
      </c>
      <c r="AH17445" s="831" t="s">
        <v>556</v>
      </c>
      <c r="AI17445" s="831">
        <v>0</v>
      </c>
      <c r="AJ17445" s="835">
        <v>41698</v>
      </c>
      <c r="AK17445" s="831">
        <v>1644732</v>
      </c>
    </row>
    <row r="17446" spans="2:37">
      <c r="B17446" s="834" t="str">
        <f t="shared" si="625"/>
        <v>|||</v>
      </c>
      <c r="H17446" s="835">
        <f t="shared" si="626"/>
        <v>31</v>
      </c>
      <c r="AF17446" s="831" t="s">
        <v>11337</v>
      </c>
      <c r="AG17446" s="831" t="s">
        <v>2674</v>
      </c>
      <c r="AH17446" s="831" t="s">
        <v>555</v>
      </c>
      <c r="AI17446" s="831">
        <v>0</v>
      </c>
      <c r="AJ17446" s="835">
        <v>41698</v>
      </c>
      <c r="AK17446" s="831">
        <v>437465824</v>
      </c>
    </row>
    <row r="17447" spans="2:37">
      <c r="B17447" s="834" t="str">
        <f t="shared" si="625"/>
        <v>|||</v>
      </c>
      <c r="H17447" s="835">
        <f t="shared" si="626"/>
        <v>31</v>
      </c>
      <c r="AF17447" s="831" t="s">
        <v>11338</v>
      </c>
      <c r="AG17447" s="831" t="s">
        <v>2674</v>
      </c>
      <c r="AH17447" s="831" t="s">
        <v>554</v>
      </c>
      <c r="AI17447" s="831">
        <v>0</v>
      </c>
      <c r="AJ17447" s="835">
        <v>41698</v>
      </c>
      <c r="AK17447" s="831">
        <v>440045130</v>
      </c>
    </row>
    <row r="17448" spans="2:37">
      <c r="B17448" s="834" t="str">
        <f t="shared" si="625"/>
        <v>|||</v>
      </c>
      <c r="H17448" s="835">
        <f t="shared" si="626"/>
        <v>31</v>
      </c>
      <c r="AF17448" s="831" t="s">
        <v>11339</v>
      </c>
      <c r="AG17448" s="831" t="s">
        <v>2674</v>
      </c>
      <c r="AH17448" s="831" t="s">
        <v>553</v>
      </c>
      <c r="AI17448" s="831">
        <v>0</v>
      </c>
      <c r="AJ17448" s="835">
        <v>41698</v>
      </c>
      <c r="AK17448" s="831">
        <v>0</v>
      </c>
    </row>
    <row r="17449" spans="2:37">
      <c r="B17449" s="834" t="str">
        <f t="shared" si="625"/>
        <v>|||</v>
      </c>
      <c r="H17449" s="835">
        <f t="shared" si="626"/>
        <v>31</v>
      </c>
      <c r="AF17449" s="831" t="s">
        <v>11340</v>
      </c>
      <c r="AG17449" s="831" t="s">
        <v>2674</v>
      </c>
      <c r="AH17449" s="831" t="s">
        <v>552</v>
      </c>
      <c r="AI17449" s="831">
        <v>0</v>
      </c>
      <c r="AJ17449" s="835">
        <v>41698</v>
      </c>
      <c r="AK17449" s="831">
        <v>0</v>
      </c>
    </row>
    <row r="17450" spans="2:37">
      <c r="B17450" s="834" t="str">
        <f t="shared" si="625"/>
        <v>|||</v>
      </c>
      <c r="H17450" s="835">
        <f t="shared" si="626"/>
        <v>31</v>
      </c>
      <c r="AF17450" s="831" t="s">
        <v>11341</v>
      </c>
      <c r="AG17450" s="831" t="s">
        <v>2674</v>
      </c>
      <c r="AH17450" s="831" t="s">
        <v>551</v>
      </c>
      <c r="AI17450" s="831">
        <v>0</v>
      </c>
      <c r="AJ17450" s="835">
        <v>41698</v>
      </c>
      <c r="AK17450" s="831">
        <v>1790155.7879999999</v>
      </c>
    </row>
    <row r="17451" spans="2:37">
      <c r="B17451" s="834" t="str">
        <f t="shared" si="625"/>
        <v>|||</v>
      </c>
      <c r="H17451" s="835">
        <f t="shared" si="626"/>
        <v>31</v>
      </c>
      <c r="AF17451" s="831" t="s">
        <v>11342</v>
      </c>
      <c r="AG17451" s="831" t="s">
        <v>2674</v>
      </c>
      <c r="AH17451" s="831" t="s">
        <v>550</v>
      </c>
      <c r="AI17451" s="831">
        <v>0</v>
      </c>
      <c r="AJ17451" s="835">
        <v>41698</v>
      </c>
      <c r="AK17451" s="831">
        <v>117105496</v>
      </c>
    </row>
    <row r="17452" spans="2:37">
      <c r="B17452" s="834" t="str">
        <f t="shared" si="625"/>
        <v>|||</v>
      </c>
      <c r="H17452" s="835">
        <f t="shared" si="626"/>
        <v>31</v>
      </c>
      <c r="AF17452" s="831" t="s">
        <v>11343</v>
      </c>
      <c r="AG17452" s="831" t="s">
        <v>2674</v>
      </c>
      <c r="AH17452" s="831" t="s">
        <v>562</v>
      </c>
      <c r="AI17452" s="831">
        <v>0</v>
      </c>
      <c r="AJ17452" s="835">
        <v>41698</v>
      </c>
      <c r="AK17452" s="831">
        <v>0.78385000000000005</v>
      </c>
    </row>
    <row r="17453" spans="2:37">
      <c r="B17453" s="834" t="str">
        <f t="shared" si="625"/>
        <v>|||</v>
      </c>
      <c r="H17453" s="835">
        <f t="shared" si="626"/>
        <v>31</v>
      </c>
      <c r="AF17453" s="831" t="s">
        <v>11344</v>
      </c>
      <c r="AG17453" s="831" t="s">
        <v>2674</v>
      </c>
      <c r="AH17453" s="831" t="s">
        <v>2698</v>
      </c>
      <c r="AI17453" s="831">
        <v>0</v>
      </c>
      <c r="AJ17453" s="835">
        <v>41698</v>
      </c>
      <c r="AK17453" s="831">
        <v>0.78364999999999996</v>
      </c>
    </row>
    <row r="17454" spans="2:37">
      <c r="B17454" s="834" t="str">
        <f t="shared" si="625"/>
        <v>|||</v>
      </c>
      <c r="H17454" s="835">
        <f t="shared" si="626"/>
        <v>31</v>
      </c>
      <c r="AF17454" s="831" t="s">
        <v>11345</v>
      </c>
      <c r="AG17454" s="831" t="s">
        <v>2674</v>
      </c>
      <c r="AH17454" s="831" t="s">
        <v>560</v>
      </c>
      <c r="AI17454" s="831">
        <v>0</v>
      </c>
      <c r="AJ17454" s="835">
        <v>41698</v>
      </c>
      <c r="AK17454" s="831">
        <v>0.78374999999999995</v>
      </c>
    </row>
    <row r="17455" spans="2:37">
      <c r="B17455" s="834" t="str">
        <f t="shared" si="625"/>
        <v>|||</v>
      </c>
      <c r="H17455" s="835">
        <f t="shared" si="626"/>
        <v>31</v>
      </c>
      <c r="AF17455" s="831" t="s">
        <v>11346</v>
      </c>
      <c r="AG17455" s="831" t="s">
        <v>2674</v>
      </c>
      <c r="AH17455" s="831" t="s">
        <v>559</v>
      </c>
      <c r="AI17455" s="831">
        <v>0</v>
      </c>
      <c r="AJ17455" s="835">
        <v>41698</v>
      </c>
      <c r="AK17455" s="831">
        <v>0.7838750000000001</v>
      </c>
    </row>
    <row r="17456" spans="2:37">
      <c r="B17456" s="834" t="str">
        <f t="shared" si="625"/>
        <v>|||</v>
      </c>
      <c r="H17456" s="835">
        <f t="shared" si="626"/>
        <v>31</v>
      </c>
      <c r="AF17456" s="831" t="s">
        <v>11347</v>
      </c>
      <c r="AG17456" s="831" t="s">
        <v>2674</v>
      </c>
      <c r="AH17456" s="831" t="s">
        <v>568</v>
      </c>
      <c r="AI17456" s="831">
        <v>0</v>
      </c>
      <c r="AJ17456" s="835">
        <v>41698</v>
      </c>
      <c r="AK17456" s="831">
        <v>548459663.22692311</v>
      </c>
    </row>
    <row r="17457" spans="2:37">
      <c r="B17457" s="834" t="str">
        <f t="shared" si="625"/>
        <v>|||</v>
      </c>
      <c r="H17457" s="835">
        <f t="shared" si="626"/>
        <v>31</v>
      </c>
      <c r="AF17457" s="831" t="s">
        <v>11348</v>
      </c>
      <c r="AG17457" s="831" t="s">
        <v>2674</v>
      </c>
      <c r="AH17457" s="831" t="s">
        <v>569</v>
      </c>
      <c r="AI17457" s="831">
        <v>0</v>
      </c>
      <c r="AJ17457" s="835">
        <v>41698</v>
      </c>
      <c r="AK17457" s="831">
        <v>670148193.05023074</v>
      </c>
    </row>
    <row r="17458" spans="2:37">
      <c r="B17458" s="834" t="str">
        <f t="shared" si="625"/>
        <v>|||</v>
      </c>
      <c r="H17458" s="835">
        <f t="shared" si="626"/>
        <v>31</v>
      </c>
      <c r="AF17458" s="831" t="s">
        <v>11349</v>
      </c>
      <c r="AG17458" s="831" t="s">
        <v>2674</v>
      </c>
      <c r="AH17458" s="831" t="s">
        <v>570</v>
      </c>
      <c r="AI17458" s="831">
        <v>0</v>
      </c>
      <c r="AJ17458" s="835">
        <v>41698</v>
      </c>
      <c r="AK17458" s="831">
        <v>111814070.13584615</v>
      </c>
    </row>
    <row r="17459" spans="2:37">
      <c r="B17459" s="834" t="str">
        <f t="shared" si="625"/>
        <v>|||</v>
      </c>
      <c r="H17459" s="835">
        <f t="shared" si="626"/>
        <v>31</v>
      </c>
      <c r="AF17459" s="831" t="s">
        <v>11350</v>
      </c>
      <c r="AG17459" s="831" t="s">
        <v>2674</v>
      </c>
      <c r="AH17459" s="831" t="s">
        <v>571</v>
      </c>
      <c r="AI17459" s="831">
        <v>0</v>
      </c>
      <c r="AJ17459" s="835">
        <v>41698</v>
      </c>
      <c r="AK17459" s="831">
        <v>320628110.0517692</v>
      </c>
    </row>
    <row r="17460" spans="2:37">
      <c r="B17460" s="834" t="str">
        <f t="shared" si="625"/>
        <v>|||</v>
      </c>
      <c r="H17460" s="835">
        <f t="shared" si="626"/>
        <v>31</v>
      </c>
      <c r="AF17460" s="831" t="s">
        <v>11351</v>
      </c>
      <c r="AG17460" s="831" t="s">
        <v>2674</v>
      </c>
      <c r="AH17460" s="831" t="s">
        <v>573</v>
      </c>
      <c r="AI17460" s="831">
        <v>0</v>
      </c>
      <c r="AJ17460" s="835">
        <v>41698</v>
      </c>
      <c r="AK17460" s="831">
        <v>787218860.85433328</v>
      </c>
    </row>
    <row r="17461" spans="2:37">
      <c r="B17461" s="834" t="str">
        <f t="shared" si="625"/>
        <v>|||</v>
      </c>
      <c r="H17461" s="835">
        <f t="shared" si="626"/>
        <v>31</v>
      </c>
      <c r="AF17461" s="831" t="s">
        <v>11352</v>
      </c>
      <c r="AG17461" s="831" t="s">
        <v>2674</v>
      </c>
      <c r="AH17461" s="831" t="s">
        <v>574</v>
      </c>
      <c r="AI17461" s="831">
        <v>0</v>
      </c>
      <c r="AJ17461" s="835">
        <v>41698</v>
      </c>
      <c r="AK17461" s="831">
        <v>638762603.66666663</v>
      </c>
    </row>
    <row r="17462" spans="2:37">
      <c r="B17462" s="834" t="str">
        <f t="shared" si="625"/>
        <v>|||</v>
      </c>
      <c r="H17462" s="835">
        <f t="shared" si="626"/>
        <v>31</v>
      </c>
      <c r="AF17462" s="831" t="s">
        <v>11353</v>
      </c>
      <c r="AG17462" s="831" t="s">
        <v>2674</v>
      </c>
      <c r="AH17462" s="831" t="s">
        <v>575</v>
      </c>
      <c r="AI17462" s="831">
        <v>0</v>
      </c>
      <c r="AJ17462" s="835">
        <v>41698</v>
      </c>
      <c r="AK17462" s="831">
        <v>117270296.63666666</v>
      </c>
    </row>
    <row r="17463" spans="2:37">
      <c r="B17463" s="834" t="str">
        <f t="shared" si="625"/>
        <v>|||</v>
      </c>
      <c r="H17463" s="835">
        <f t="shared" si="626"/>
        <v>31</v>
      </c>
      <c r="AF17463" s="831" t="s">
        <v>11354</v>
      </c>
      <c r="AG17463" s="831" t="s">
        <v>2674</v>
      </c>
      <c r="AH17463" s="831" t="s">
        <v>576</v>
      </c>
      <c r="AI17463" s="831">
        <v>0</v>
      </c>
      <c r="AJ17463" s="835">
        <v>41698</v>
      </c>
      <c r="AK17463" s="831">
        <v>385067117.20366669</v>
      </c>
    </row>
    <row r="17464" spans="2:37">
      <c r="B17464" s="834" t="str">
        <f t="shared" si="625"/>
        <v>|||</v>
      </c>
      <c r="H17464" s="835">
        <f t="shared" si="626"/>
        <v>31</v>
      </c>
      <c r="AF17464" s="831" t="s">
        <v>11355</v>
      </c>
      <c r="AG17464" s="831" t="s">
        <v>2674</v>
      </c>
      <c r="AH17464" s="831" t="s">
        <v>572</v>
      </c>
      <c r="AI17464" s="831">
        <v>0</v>
      </c>
      <c r="AJ17464" s="835">
        <v>41698</v>
      </c>
      <c r="AK17464" s="831">
        <v>31228952.956000008</v>
      </c>
    </row>
    <row r="17465" spans="2:37">
      <c r="B17465" s="834" t="str">
        <f t="shared" si="625"/>
        <v>|||</v>
      </c>
      <c r="H17465" s="835">
        <f t="shared" si="626"/>
        <v>31</v>
      </c>
      <c r="AF17465" s="831" t="s">
        <v>11356</v>
      </c>
      <c r="AG17465" s="831" t="s">
        <v>2674</v>
      </c>
      <c r="AH17465" s="831" t="s">
        <v>577</v>
      </c>
      <c r="AI17465" s="831">
        <v>0</v>
      </c>
      <c r="AJ17465" s="835">
        <v>41698</v>
      </c>
      <c r="AK17465" s="831">
        <v>141567221.76300001</v>
      </c>
    </row>
    <row r="17466" spans="2:37">
      <c r="B17466" s="834" t="str">
        <f t="shared" si="625"/>
        <v>|||</v>
      </c>
      <c r="H17466" s="835">
        <f t="shared" si="626"/>
        <v>31</v>
      </c>
      <c r="AF17466" s="831" t="s">
        <v>11357</v>
      </c>
      <c r="AG17466" s="831" t="s">
        <v>2674</v>
      </c>
      <c r="AH17466" s="831" t="s">
        <v>3042</v>
      </c>
      <c r="AI17466" s="831">
        <v>0</v>
      </c>
      <c r="AJ17466" s="835">
        <v>41698</v>
      </c>
      <c r="AK17466" s="831">
        <v>-37210157.527000003</v>
      </c>
    </row>
    <row r="17467" spans="2:37">
      <c r="B17467" s="834" t="str">
        <f t="shared" si="625"/>
        <v>|||</v>
      </c>
      <c r="H17467" s="835">
        <f t="shared" si="626"/>
        <v>31</v>
      </c>
      <c r="AF17467" s="831" t="s">
        <v>11358</v>
      </c>
      <c r="AG17467" s="831" t="s">
        <v>2674</v>
      </c>
      <c r="AH17467" s="831" t="s">
        <v>3044</v>
      </c>
      <c r="AI17467" s="831">
        <v>0</v>
      </c>
      <c r="AJ17467" s="835">
        <v>41698</v>
      </c>
      <c r="AK17467" s="831">
        <v>-3847935.8899999997</v>
      </c>
    </row>
    <row r="17468" spans="2:37">
      <c r="B17468" s="834" t="str">
        <f t="shared" si="625"/>
        <v>|||</v>
      </c>
      <c r="H17468" s="835">
        <f t="shared" si="626"/>
        <v>31</v>
      </c>
      <c r="AF17468" s="831" t="s">
        <v>11359</v>
      </c>
      <c r="AG17468" s="831" t="s">
        <v>2674</v>
      </c>
      <c r="AH17468" s="831" t="s">
        <v>580</v>
      </c>
      <c r="AI17468" s="831">
        <v>0</v>
      </c>
      <c r="AJ17468" s="835">
        <v>41698</v>
      </c>
      <c r="AK17468" s="831">
        <v>-65813930.306999996</v>
      </c>
    </row>
    <row r="17469" spans="2:37">
      <c r="B17469" s="834" t="str">
        <f t="shared" si="625"/>
        <v>|||</v>
      </c>
      <c r="H17469" s="835">
        <f t="shared" si="626"/>
        <v>31</v>
      </c>
      <c r="AF17469" s="831" t="s">
        <v>11360</v>
      </c>
      <c r="AG17469" s="831" t="s">
        <v>2674</v>
      </c>
      <c r="AH17469" s="831" t="s">
        <v>581</v>
      </c>
      <c r="AI17469" s="831">
        <v>0</v>
      </c>
      <c r="AJ17469" s="835">
        <v>41698</v>
      </c>
      <c r="AK17469" s="831">
        <v>5417725.8940000003</v>
      </c>
    </row>
    <row r="17470" spans="2:37">
      <c r="B17470" s="834" t="str">
        <f t="shared" si="625"/>
        <v>|||</v>
      </c>
      <c r="H17470" s="835">
        <f t="shared" si="626"/>
        <v>31</v>
      </c>
      <c r="AF17470" s="831" t="s">
        <v>11361</v>
      </c>
      <c r="AG17470" s="831" t="s">
        <v>2674</v>
      </c>
      <c r="AH17470" s="831" t="s">
        <v>105</v>
      </c>
      <c r="AI17470" s="831">
        <v>0</v>
      </c>
      <c r="AJ17470" s="835">
        <v>41698</v>
      </c>
      <c r="AK17470" s="831">
        <v>385102312</v>
      </c>
    </row>
    <row r="17471" spans="2:37">
      <c r="B17471" s="834" t="str">
        <f t="shared" si="625"/>
        <v>|||</v>
      </c>
      <c r="H17471" s="835">
        <f t="shared" si="626"/>
        <v>31</v>
      </c>
      <c r="AF17471" s="831" t="s">
        <v>11362</v>
      </c>
      <c r="AG17471" s="831" t="s">
        <v>2674</v>
      </c>
      <c r="AH17471" s="831" t="s">
        <v>3049</v>
      </c>
      <c r="AI17471" s="831">
        <v>0</v>
      </c>
      <c r="AJ17471" s="835">
        <v>41698</v>
      </c>
      <c r="AK17471" s="831">
        <v>650688857.41999996</v>
      </c>
    </row>
    <row r="17472" spans="2:37">
      <c r="B17472" s="834" t="str">
        <f t="shared" si="625"/>
        <v>|||</v>
      </c>
      <c r="H17472" s="835">
        <f t="shared" si="626"/>
        <v>31</v>
      </c>
      <c r="AF17472" s="831" t="s">
        <v>11363</v>
      </c>
      <c r="AG17472" s="831" t="s">
        <v>2674</v>
      </c>
      <c r="AH17472" s="831" t="s">
        <v>103</v>
      </c>
      <c r="AI17472" s="831">
        <v>0</v>
      </c>
      <c r="AJ17472" s="835">
        <v>41698</v>
      </c>
      <c r="AK17472" s="831">
        <v>265586545.41999999</v>
      </c>
    </row>
    <row r="17473" spans="2:37">
      <c r="B17473" s="834" t="str">
        <f t="shared" si="625"/>
        <v>|||</v>
      </c>
      <c r="H17473" s="835">
        <f t="shared" si="626"/>
        <v>31</v>
      </c>
      <c r="AF17473" s="831" t="s">
        <v>11364</v>
      </c>
      <c r="AG17473" s="831" t="s">
        <v>2674</v>
      </c>
      <c r="AH17473" s="831" t="s">
        <v>182</v>
      </c>
      <c r="AI17473" s="831">
        <v>0</v>
      </c>
      <c r="AJ17473" s="835">
        <v>41698</v>
      </c>
      <c r="AK17473" s="831">
        <v>65878782</v>
      </c>
    </row>
    <row r="17474" spans="2:37">
      <c r="B17474" s="834" t="str">
        <f t="shared" si="625"/>
        <v>|||</v>
      </c>
      <c r="H17474" s="835">
        <f t="shared" si="626"/>
        <v>31</v>
      </c>
      <c r="AF17474" s="831" t="s">
        <v>11365</v>
      </c>
      <c r="AG17474" s="831" t="s">
        <v>2674</v>
      </c>
      <c r="AH17474" s="831" t="s">
        <v>6600</v>
      </c>
      <c r="AI17474" s="831">
        <v>0</v>
      </c>
      <c r="AJ17474" s="835">
        <v>41698</v>
      </c>
      <c r="AK17474" s="831">
        <v>31228952.956000008</v>
      </c>
    </row>
    <row r="17475" spans="2:37">
      <c r="B17475" s="834" t="str">
        <f t="shared" si="625"/>
        <v>|||</v>
      </c>
      <c r="H17475" s="835">
        <f t="shared" si="626"/>
        <v>31</v>
      </c>
      <c r="AF17475" s="831" t="s">
        <v>11366</v>
      </c>
      <c r="AG17475" s="831" t="s">
        <v>2674</v>
      </c>
      <c r="AH17475" s="831" t="s">
        <v>6602</v>
      </c>
      <c r="AI17475" s="831">
        <v>0</v>
      </c>
      <c r="AJ17475" s="835">
        <v>41698</v>
      </c>
      <c r="AK17475" s="831">
        <v>7870295</v>
      </c>
    </row>
    <row r="17476" spans="2:37">
      <c r="B17476" s="834" t="str">
        <f t="shared" si="625"/>
        <v>|||</v>
      </c>
      <c r="H17476" s="835">
        <f t="shared" si="626"/>
        <v>31</v>
      </c>
      <c r="AF17476" s="831" t="s">
        <v>11367</v>
      </c>
      <c r="AG17476" s="831" t="s">
        <v>2674</v>
      </c>
      <c r="AH17476" s="831" t="s">
        <v>650</v>
      </c>
      <c r="AI17476" s="831">
        <v>0</v>
      </c>
      <c r="AJ17476" s="835">
        <v>41698</v>
      </c>
      <c r="AK17476" s="831">
        <v>219285486.1168462</v>
      </c>
    </row>
    <row r="17477" spans="2:37">
      <c r="B17477" s="834" t="str">
        <f t="shared" si="625"/>
        <v>|||</v>
      </c>
      <c r="H17477" s="835">
        <f t="shared" si="626"/>
        <v>31</v>
      </c>
      <c r="AF17477" s="831" t="s">
        <v>11368</v>
      </c>
      <c r="AG17477" s="831" t="s">
        <v>2674</v>
      </c>
      <c r="AH17477" s="831" t="s">
        <v>655</v>
      </c>
      <c r="AI17477" s="831">
        <v>0</v>
      </c>
      <c r="AJ17477" s="835">
        <v>41698</v>
      </c>
      <c r="AK17477" s="831">
        <v>1640758.8330000001</v>
      </c>
    </row>
    <row r="17478" spans="2:37">
      <c r="B17478" s="834" t="str">
        <f t="shared" si="625"/>
        <v>|||</v>
      </c>
      <c r="H17478" s="835">
        <f t="shared" si="626"/>
        <v>31</v>
      </c>
      <c r="AF17478" s="831" t="s">
        <v>11369</v>
      </c>
      <c r="AG17478" s="831" t="s">
        <v>2674</v>
      </c>
      <c r="AH17478" s="831" t="s">
        <v>546</v>
      </c>
      <c r="AI17478" s="831">
        <v>0</v>
      </c>
      <c r="AJ17478" s="835">
        <v>41729</v>
      </c>
      <c r="AK17478" s="831">
        <v>664153787</v>
      </c>
    </row>
    <row r="17479" spans="2:37">
      <c r="B17479" s="834" t="str">
        <f t="shared" si="625"/>
        <v>|||</v>
      </c>
      <c r="H17479" s="835">
        <f t="shared" si="626"/>
        <v>31</v>
      </c>
      <c r="AF17479" s="831" t="s">
        <v>11370</v>
      </c>
      <c r="AG17479" s="831" t="s">
        <v>2674</v>
      </c>
      <c r="AH17479" s="831" t="s">
        <v>370</v>
      </c>
      <c r="AI17479" s="831">
        <v>0</v>
      </c>
      <c r="AJ17479" s="835">
        <v>41729</v>
      </c>
      <c r="AK17479" s="831">
        <v>834303183</v>
      </c>
    </row>
    <row r="17480" spans="2:37">
      <c r="B17480" s="834" t="str">
        <f t="shared" si="625"/>
        <v>|||</v>
      </c>
      <c r="H17480" s="835">
        <f t="shared" si="626"/>
        <v>31</v>
      </c>
      <c r="AF17480" s="831" t="s">
        <v>11371</v>
      </c>
      <c r="AG17480" s="831" t="s">
        <v>2674</v>
      </c>
      <c r="AH17480" s="831" t="s">
        <v>126</v>
      </c>
      <c r="AI17480" s="831">
        <v>0</v>
      </c>
      <c r="AJ17480" s="835">
        <v>41729</v>
      </c>
      <c r="AK17480" s="831">
        <v>124206790</v>
      </c>
    </row>
    <row r="17481" spans="2:37">
      <c r="B17481" s="834" t="str">
        <f t="shared" si="625"/>
        <v>|||</v>
      </c>
      <c r="H17481" s="835">
        <f t="shared" si="626"/>
        <v>31</v>
      </c>
      <c r="AF17481" s="831" t="s">
        <v>11372</v>
      </c>
      <c r="AG17481" s="831" t="s">
        <v>2674</v>
      </c>
      <c r="AH17481" s="831" t="s">
        <v>268</v>
      </c>
      <c r="AI17481" s="831">
        <v>0</v>
      </c>
      <c r="AJ17481" s="835">
        <v>41729</v>
      </c>
      <c r="AK17481" s="831">
        <v>8878765</v>
      </c>
    </row>
    <row r="17482" spans="2:37">
      <c r="B17482" s="834" t="str">
        <f t="shared" si="625"/>
        <v>|||</v>
      </c>
      <c r="H17482" s="835">
        <f t="shared" si="626"/>
        <v>31</v>
      </c>
      <c r="AF17482" s="831" t="s">
        <v>11373</v>
      </c>
      <c r="AG17482" s="831" t="s">
        <v>2674</v>
      </c>
      <c r="AH17482" s="831" t="s">
        <v>547</v>
      </c>
      <c r="AI17482" s="831">
        <v>0</v>
      </c>
      <c r="AJ17482" s="835">
        <v>41729</v>
      </c>
      <c r="AK17482" s="831">
        <v>777719977</v>
      </c>
    </row>
    <row r="17483" spans="2:37">
      <c r="B17483" s="834" t="str">
        <f t="shared" si="625"/>
        <v>|||</v>
      </c>
      <c r="H17483" s="835">
        <f t="shared" si="626"/>
        <v>31</v>
      </c>
      <c r="AF17483" s="831" t="s">
        <v>11374</v>
      </c>
      <c r="AG17483" s="831" t="s">
        <v>2674</v>
      </c>
      <c r="AH17483" s="831" t="s">
        <v>548</v>
      </c>
      <c r="AI17483" s="831">
        <v>0</v>
      </c>
      <c r="AJ17483" s="835">
        <v>41729</v>
      </c>
      <c r="AK17483" s="831">
        <v>117105496</v>
      </c>
    </row>
    <row r="17484" spans="2:37">
      <c r="B17484" s="834" t="str">
        <f t="shared" si="625"/>
        <v>|||</v>
      </c>
      <c r="H17484" s="835">
        <f t="shared" si="626"/>
        <v>31</v>
      </c>
      <c r="AF17484" s="831" t="s">
        <v>11375</v>
      </c>
      <c r="AG17484" s="831" t="s">
        <v>2674</v>
      </c>
      <c r="AH17484" s="831" t="s">
        <v>549</v>
      </c>
      <c r="AI17484" s="831">
        <v>0</v>
      </c>
      <c r="AJ17484" s="835">
        <v>41729</v>
      </c>
      <c r="AK17484" s="831">
        <v>455655641</v>
      </c>
    </row>
    <row r="17485" spans="2:37">
      <c r="B17485" s="834" t="str">
        <f t="shared" si="625"/>
        <v>|||</v>
      </c>
      <c r="H17485" s="835">
        <f t="shared" si="626"/>
        <v>31</v>
      </c>
      <c r="AF17485" s="831" t="s">
        <v>11376</v>
      </c>
      <c r="AG17485" s="831" t="s">
        <v>2674</v>
      </c>
      <c r="AH17485" s="831" t="s">
        <v>192</v>
      </c>
      <c r="AI17485" s="831">
        <v>0</v>
      </c>
      <c r="AJ17485" s="835">
        <v>41729</v>
      </c>
      <c r="AK17485" s="831">
        <v>-12498345</v>
      </c>
    </row>
    <row r="17486" spans="2:37">
      <c r="B17486" s="834" t="str">
        <f t="shared" si="625"/>
        <v>|||</v>
      </c>
      <c r="H17486" s="835">
        <f t="shared" si="626"/>
        <v>31</v>
      </c>
      <c r="AF17486" s="831" t="s">
        <v>11377</v>
      </c>
      <c r="AG17486" s="831" t="s">
        <v>2674</v>
      </c>
      <c r="AH17486" s="831" t="s">
        <v>558</v>
      </c>
      <c r="AI17486" s="831">
        <v>0</v>
      </c>
      <c r="AJ17486" s="835">
        <v>41729</v>
      </c>
      <c r="AK17486" s="831">
        <v>710096393</v>
      </c>
    </row>
    <row r="17487" spans="2:37">
      <c r="B17487" s="834" t="str">
        <f t="shared" si="625"/>
        <v>|||</v>
      </c>
      <c r="H17487" s="835">
        <f t="shared" si="626"/>
        <v>31</v>
      </c>
      <c r="AF17487" s="831" t="s">
        <v>11378</v>
      </c>
      <c r="AG17487" s="831" t="s">
        <v>2674</v>
      </c>
      <c r="AH17487" s="831" t="s">
        <v>65</v>
      </c>
      <c r="AI17487" s="831">
        <v>0</v>
      </c>
      <c r="AJ17487" s="835">
        <v>41729</v>
      </c>
      <c r="AK17487" s="831">
        <v>38451284</v>
      </c>
    </row>
    <row r="17488" spans="2:37">
      <c r="B17488" s="834" t="str">
        <f t="shared" si="625"/>
        <v>|||</v>
      </c>
      <c r="H17488" s="835">
        <f t="shared" si="626"/>
        <v>31</v>
      </c>
      <c r="AF17488" s="831" t="s">
        <v>11379</v>
      </c>
      <c r="AG17488" s="831" t="s">
        <v>2674</v>
      </c>
      <c r="AH17488" s="831" t="s">
        <v>89</v>
      </c>
      <c r="AI17488" s="831">
        <v>0</v>
      </c>
      <c r="AJ17488" s="835">
        <v>41729</v>
      </c>
      <c r="AK17488" s="831">
        <v>151606</v>
      </c>
    </row>
    <row r="17489" spans="2:37">
      <c r="B17489" s="834" t="str">
        <f t="shared" ref="B17489:B17552" si="627">C17489&amp;"|"&amp;D17489&amp;"|"&amp;E17489&amp;"|"&amp;F17489</f>
        <v>|||</v>
      </c>
      <c r="H17489" s="835">
        <f t="shared" ref="H17489:H17552" si="628">EOMONTH(L17489,0)</f>
        <v>31</v>
      </c>
      <c r="AF17489" s="831" t="s">
        <v>11380</v>
      </c>
      <c r="AG17489" s="831" t="s">
        <v>2674</v>
      </c>
      <c r="AH17489" s="831" t="s">
        <v>557</v>
      </c>
      <c r="AI17489" s="831">
        <v>0</v>
      </c>
      <c r="AJ17489" s="835">
        <v>41729</v>
      </c>
      <c r="AK17489" s="831">
        <v>167127</v>
      </c>
    </row>
    <row r="17490" spans="2:37">
      <c r="B17490" s="834" t="str">
        <f t="shared" si="627"/>
        <v>|||</v>
      </c>
      <c r="H17490" s="835">
        <f t="shared" si="628"/>
        <v>31</v>
      </c>
      <c r="AF17490" s="831" t="s">
        <v>11381</v>
      </c>
      <c r="AG17490" s="831" t="s">
        <v>2674</v>
      </c>
      <c r="AH17490" s="831" t="s">
        <v>29</v>
      </c>
      <c r="AI17490" s="831">
        <v>0</v>
      </c>
      <c r="AJ17490" s="835">
        <v>41729</v>
      </c>
      <c r="AK17490" s="831">
        <v>2189531.31</v>
      </c>
    </row>
    <row r="17491" spans="2:37">
      <c r="B17491" s="834" t="str">
        <f t="shared" si="627"/>
        <v>|||</v>
      </c>
      <c r="H17491" s="835">
        <f t="shared" si="628"/>
        <v>31</v>
      </c>
      <c r="AF17491" s="831" t="s">
        <v>11382</v>
      </c>
      <c r="AG17491" s="831" t="s">
        <v>2674</v>
      </c>
      <c r="AH17491" s="831" t="s">
        <v>2688</v>
      </c>
      <c r="AI17491" s="831">
        <v>0</v>
      </c>
      <c r="AJ17491" s="835">
        <v>41729</v>
      </c>
      <c r="AK17491" s="831">
        <v>4729841</v>
      </c>
    </row>
    <row r="17492" spans="2:37">
      <c r="B17492" s="834" t="str">
        <f t="shared" si="627"/>
        <v>|||</v>
      </c>
      <c r="H17492" s="835">
        <f t="shared" si="628"/>
        <v>31</v>
      </c>
      <c r="AF17492" s="831" t="s">
        <v>11383</v>
      </c>
      <c r="AG17492" s="831" t="s">
        <v>2674</v>
      </c>
      <c r="AH17492" s="831" t="s">
        <v>556</v>
      </c>
      <c r="AI17492" s="831">
        <v>0</v>
      </c>
      <c r="AJ17492" s="835">
        <v>41729</v>
      </c>
      <c r="AK17492" s="831">
        <v>1644732</v>
      </c>
    </row>
    <row r="17493" spans="2:37">
      <c r="B17493" s="834" t="str">
        <f t="shared" si="627"/>
        <v>|||</v>
      </c>
      <c r="H17493" s="835">
        <f t="shared" si="628"/>
        <v>31</v>
      </c>
      <c r="AF17493" s="831" t="s">
        <v>11384</v>
      </c>
      <c r="AG17493" s="831" t="s">
        <v>2674</v>
      </c>
      <c r="AH17493" s="831" t="s">
        <v>555</v>
      </c>
      <c r="AI17493" s="831">
        <v>0</v>
      </c>
      <c r="AJ17493" s="835">
        <v>41729</v>
      </c>
      <c r="AK17493" s="831">
        <v>466790280</v>
      </c>
    </row>
    <row r="17494" spans="2:37">
      <c r="B17494" s="834" t="str">
        <f t="shared" si="627"/>
        <v>|||</v>
      </c>
      <c r="H17494" s="835">
        <f t="shared" si="628"/>
        <v>31</v>
      </c>
      <c r="AF17494" s="831" t="s">
        <v>11385</v>
      </c>
      <c r="AG17494" s="831" t="s">
        <v>2674</v>
      </c>
      <c r="AH17494" s="831" t="s">
        <v>554</v>
      </c>
      <c r="AI17494" s="831">
        <v>0</v>
      </c>
      <c r="AJ17494" s="835">
        <v>41729</v>
      </c>
      <c r="AK17494" s="831">
        <v>476154670</v>
      </c>
    </row>
    <row r="17495" spans="2:37">
      <c r="B17495" s="834" t="str">
        <f t="shared" si="627"/>
        <v>|||</v>
      </c>
      <c r="H17495" s="835">
        <f t="shared" si="628"/>
        <v>31</v>
      </c>
      <c r="AF17495" s="831" t="s">
        <v>11386</v>
      </c>
      <c r="AG17495" s="831" t="s">
        <v>2674</v>
      </c>
      <c r="AH17495" s="831" t="s">
        <v>553</v>
      </c>
      <c r="AI17495" s="831">
        <v>0</v>
      </c>
      <c r="AJ17495" s="835">
        <v>41729</v>
      </c>
      <c r="AK17495" s="831">
        <v>0</v>
      </c>
    </row>
    <row r="17496" spans="2:37">
      <c r="B17496" s="834" t="str">
        <f t="shared" si="627"/>
        <v>|||</v>
      </c>
      <c r="H17496" s="835">
        <f t="shared" si="628"/>
        <v>31</v>
      </c>
      <c r="AF17496" s="831" t="s">
        <v>11387</v>
      </c>
      <c r="AG17496" s="831" t="s">
        <v>2674</v>
      </c>
      <c r="AH17496" s="831" t="s">
        <v>552</v>
      </c>
      <c r="AI17496" s="831">
        <v>0</v>
      </c>
      <c r="AJ17496" s="835">
        <v>41729</v>
      </c>
      <c r="AK17496" s="831">
        <v>0</v>
      </c>
    </row>
    <row r="17497" spans="2:37">
      <c r="B17497" s="834" t="str">
        <f t="shared" si="627"/>
        <v>|||</v>
      </c>
      <c r="H17497" s="835">
        <f t="shared" si="628"/>
        <v>31</v>
      </c>
      <c r="AF17497" s="831" t="s">
        <v>11388</v>
      </c>
      <c r="AG17497" s="831" t="s">
        <v>2674</v>
      </c>
      <c r="AH17497" s="831" t="s">
        <v>551</v>
      </c>
      <c r="AI17497" s="831">
        <v>0</v>
      </c>
      <c r="AJ17497" s="835">
        <v>41729</v>
      </c>
      <c r="AK17497" s="831">
        <v>1979269.31</v>
      </c>
    </row>
    <row r="17498" spans="2:37">
      <c r="B17498" s="834" t="str">
        <f t="shared" si="627"/>
        <v>|||</v>
      </c>
      <c r="H17498" s="835">
        <f t="shared" si="628"/>
        <v>31</v>
      </c>
      <c r="AF17498" s="831" t="s">
        <v>11389</v>
      </c>
      <c r="AG17498" s="831" t="s">
        <v>2674</v>
      </c>
      <c r="AH17498" s="831" t="s">
        <v>550</v>
      </c>
      <c r="AI17498" s="831">
        <v>0</v>
      </c>
      <c r="AJ17498" s="835">
        <v>41729</v>
      </c>
      <c r="AK17498" s="831">
        <v>120615628</v>
      </c>
    </row>
    <row r="17499" spans="2:37">
      <c r="B17499" s="834" t="str">
        <f t="shared" si="627"/>
        <v>|||</v>
      </c>
      <c r="H17499" s="835">
        <f t="shared" si="628"/>
        <v>31</v>
      </c>
      <c r="AF17499" s="831" t="s">
        <v>11390</v>
      </c>
      <c r="AG17499" s="831" t="s">
        <v>2674</v>
      </c>
      <c r="AH17499" s="831" t="s">
        <v>562</v>
      </c>
      <c r="AI17499" s="831">
        <v>0</v>
      </c>
      <c r="AJ17499" s="835">
        <v>41729</v>
      </c>
      <c r="AK17499" s="831">
        <v>0.78374999999999995</v>
      </c>
    </row>
    <row r="17500" spans="2:37">
      <c r="B17500" s="834" t="str">
        <f t="shared" si="627"/>
        <v>|||</v>
      </c>
      <c r="H17500" s="835">
        <f t="shared" si="628"/>
        <v>31</v>
      </c>
      <c r="AF17500" s="831" t="s">
        <v>11391</v>
      </c>
      <c r="AG17500" s="831" t="s">
        <v>2674</v>
      </c>
      <c r="AH17500" s="831" t="s">
        <v>2698</v>
      </c>
      <c r="AI17500" s="831">
        <v>0</v>
      </c>
      <c r="AJ17500" s="835">
        <v>41729</v>
      </c>
      <c r="AK17500" s="831">
        <v>0.78385000000000005</v>
      </c>
    </row>
    <row r="17501" spans="2:37">
      <c r="B17501" s="834" t="str">
        <f t="shared" si="627"/>
        <v>|||</v>
      </c>
      <c r="H17501" s="835">
        <f t="shared" si="628"/>
        <v>31</v>
      </c>
      <c r="AF17501" s="831" t="s">
        <v>11392</v>
      </c>
      <c r="AG17501" s="831" t="s">
        <v>2674</v>
      </c>
      <c r="AH17501" s="831" t="s">
        <v>560</v>
      </c>
      <c r="AI17501" s="831">
        <v>0</v>
      </c>
      <c r="AJ17501" s="835">
        <v>41729</v>
      </c>
      <c r="AK17501" s="831">
        <v>0.78375000000000006</v>
      </c>
    </row>
    <row r="17502" spans="2:37">
      <c r="B17502" s="834" t="str">
        <f t="shared" si="627"/>
        <v>|||</v>
      </c>
      <c r="H17502" s="835">
        <f t="shared" si="628"/>
        <v>31</v>
      </c>
      <c r="AF17502" s="831" t="s">
        <v>11393</v>
      </c>
      <c r="AG17502" s="831" t="s">
        <v>2674</v>
      </c>
      <c r="AH17502" s="831" t="s">
        <v>559</v>
      </c>
      <c r="AI17502" s="831">
        <v>0</v>
      </c>
      <c r="AJ17502" s="835">
        <v>41729</v>
      </c>
      <c r="AK17502" s="831">
        <v>0.78383333333333338</v>
      </c>
    </row>
    <row r="17503" spans="2:37">
      <c r="B17503" s="834" t="str">
        <f t="shared" si="627"/>
        <v>|||</v>
      </c>
      <c r="H17503" s="835">
        <f t="shared" si="628"/>
        <v>31</v>
      </c>
      <c r="AF17503" s="831" t="s">
        <v>11394</v>
      </c>
      <c r="AG17503" s="831" t="s">
        <v>2674</v>
      </c>
      <c r="AH17503" s="831" t="s">
        <v>568</v>
      </c>
      <c r="AI17503" s="831">
        <v>0</v>
      </c>
      <c r="AJ17503" s="835">
        <v>41729</v>
      </c>
      <c r="AK17503" s="831">
        <v>565947600.45769227</v>
      </c>
    </row>
    <row r="17504" spans="2:37">
      <c r="B17504" s="834" t="str">
        <f t="shared" si="627"/>
        <v>|||</v>
      </c>
      <c r="H17504" s="835">
        <f t="shared" si="628"/>
        <v>31</v>
      </c>
      <c r="AF17504" s="831" t="s">
        <v>11395</v>
      </c>
      <c r="AG17504" s="831" t="s">
        <v>2674</v>
      </c>
      <c r="AH17504" s="831" t="s">
        <v>569</v>
      </c>
      <c r="AI17504" s="831">
        <v>0</v>
      </c>
      <c r="AJ17504" s="835">
        <v>41729</v>
      </c>
      <c r="AK17504" s="831">
        <v>694165655.12715387</v>
      </c>
    </row>
    <row r="17505" spans="2:37">
      <c r="B17505" s="834" t="str">
        <f t="shared" si="627"/>
        <v>|||</v>
      </c>
      <c r="H17505" s="835">
        <f t="shared" si="628"/>
        <v>31</v>
      </c>
      <c r="AF17505" s="831" t="s">
        <v>11396</v>
      </c>
      <c r="AG17505" s="831" t="s">
        <v>2674</v>
      </c>
      <c r="AH17505" s="831" t="s">
        <v>570</v>
      </c>
      <c r="AI17505" s="831">
        <v>0</v>
      </c>
      <c r="AJ17505" s="835">
        <v>41729</v>
      </c>
      <c r="AK17505" s="831">
        <v>113785276.52046154</v>
      </c>
    </row>
    <row r="17506" spans="2:37">
      <c r="B17506" s="834" t="str">
        <f t="shared" si="627"/>
        <v>|||</v>
      </c>
      <c r="H17506" s="835">
        <f t="shared" si="628"/>
        <v>31</v>
      </c>
      <c r="AF17506" s="831" t="s">
        <v>11397</v>
      </c>
      <c r="AG17506" s="831" t="s">
        <v>2674</v>
      </c>
      <c r="AH17506" s="831" t="s">
        <v>571</v>
      </c>
      <c r="AI17506" s="831">
        <v>0</v>
      </c>
      <c r="AJ17506" s="835">
        <v>41729</v>
      </c>
      <c r="AK17506" s="831">
        <v>334328550.28253847</v>
      </c>
    </row>
    <row r="17507" spans="2:37">
      <c r="B17507" s="834" t="str">
        <f t="shared" si="627"/>
        <v>|||</v>
      </c>
      <c r="H17507" s="835">
        <f t="shared" si="628"/>
        <v>31</v>
      </c>
      <c r="AF17507" s="831" t="s">
        <v>11398</v>
      </c>
      <c r="AG17507" s="831" t="s">
        <v>2674</v>
      </c>
      <c r="AH17507" s="831" t="s">
        <v>573</v>
      </c>
      <c r="AI17507" s="831">
        <v>0</v>
      </c>
      <c r="AJ17507" s="835">
        <v>41729</v>
      </c>
      <c r="AK17507" s="831">
        <v>798989941.39074993</v>
      </c>
    </row>
    <row r="17508" spans="2:37">
      <c r="B17508" s="834" t="str">
        <f t="shared" si="627"/>
        <v>|||</v>
      </c>
      <c r="H17508" s="835">
        <f t="shared" si="628"/>
        <v>31</v>
      </c>
      <c r="AF17508" s="831" t="s">
        <v>11399</v>
      </c>
      <c r="AG17508" s="831" t="s">
        <v>2674</v>
      </c>
      <c r="AH17508" s="831" t="s">
        <v>574</v>
      </c>
      <c r="AI17508" s="831">
        <v>0</v>
      </c>
      <c r="AJ17508" s="835">
        <v>41729</v>
      </c>
      <c r="AK17508" s="831">
        <v>645110399.5</v>
      </c>
    </row>
    <row r="17509" spans="2:37">
      <c r="B17509" s="834" t="str">
        <f t="shared" si="627"/>
        <v>|||</v>
      </c>
      <c r="H17509" s="835">
        <f t="shared" si="628"/>
        <v>31</v>
      </c>
      <c r="AF17509" s="831" t="s">
        <v>11400</v>
      </c>
      <c r="AG17509" s="831" t="s">
        <v>2674</v>
      </c>
      <c r="AH17509" s="831" t="s">
        <v>575</v>
      </c>
      <c r="AI17509" s="831">
        <v>0</v>
      </c>
      <c r="AJ17509" s="835">
        <v>41729</v>
      </c>
      <c r="AK17509" s="831">
        <v>119004419.97749999</v>
      </c>
    </row>
    <row r="17510" spans="2:37">
      <c r="B17510" s="834" t="str">
        <f t="shared" si="627"/>
        <v>|||</v>
      </c>
      <c r="H17510" s="835">
        <f t="shared" si="628"/>
        <v>31</v>
      </c>
      <c r="AF17510" s="831" t="s">
        <v>11401</v>
      </c>
      <c r="AG17510" s="831" t="s">
        <v>2674</v>
      </c>
      <c r="AH17510" s="831" t="s">
        <v>576</v>
      </c>
      <c r="AI17510" s="831">
        <v>0</v>
      </c>
      <c r="AJ17510" s="835">
        <v>41729</v>
      </c>
      <c r="AK17510" s="831">
        <v>391575852.40275002</v>
      </c>
    </row>
    <row r="17511" spans="2:37">
      <c r="B17511" s="834" t="str">
        <f t="shared" si="627"/>
        <v>|||</v>
      </c>
      <c r="H17511" s="835">
        <f t="shared" si="628"/>
        <v>31</v>
      </c>
      <c r="AF17511" s="831" t="s">
        <v>11402</v>
      </c>
      <c r="AG17511" s="831" t="s">
        <v>2674</v>
      </c>
      <c r="AH17511" s="831" t="s">
        <v>572</v>
      </c>
      <c r="AI17511" s="831">
        <v>0</v>
      </c>
      <c r="AJ17511" s="835">
        <v>41729</v>
      </c>
      <c r="AK17511" s="831">
        <v>30009140.956000008</v>
      </c>
    </row>
    <row r="17512" spans="2:37">
      <c r="B17512" s="834" t="str">
        <f t="shared" si="627"/>
        <v>|||</v>
      </c>
      <c r="H17512" s="835">
        <f t="shared" si="628"/>
        <v>31</v>
      </c>
      <c r="AF17512" s="831" t="s">
        <v>11403</v>
      </c>
      <c r="AG17512" s="831" t="s">
        <v>2674</v>
      </c>
      <c r="AH17512" s="831" t="s">
        <v>577</v>
      </c>
      <c r="AI17512" s="831">
        <v>0</v>
      </c>
      <c r="AJ17512" s="835">
        <v>41729</v>
      </c>
      <c r="AK17512" s="831">
        <v>143425007.76300001</v>
      </c>
    </row>
    <row r="17513" spans="2:37">
      <c r="B17513" s="834" t="str">
        <f t="shared" si="627"/>
        <v>|||</v>
      </c>
      <c r="H17513" s="835">
        <f t="shared" si="628"/>
        <v>31</v>
      </c>
      <c r="AF17513" s="831" t="s">
        <v>11404</v>
      </c>
      <c r="AG17513" s="831" t="s">
        <v>2674</v>
      </c>
      <c r="AH17513" s="831" t="s">
        <v>3042</v>
      </c>
      <c r="AI17513" s="831">
        <v>0</v>
      </c>
      <c r="AJ17513" s="835">
        <v>41729</v>
      </c>
      <c r="AK17513" s="831">
        <v>-38745656.527000003</v>
      </c>
    </row>
    <row r="17514" spans="2:37">
      <c r="B17514" s="834" t="str">
        <f t="shared" si="627"/>
        <v>|||</v>
      </c>
      <c r="H17514" s="835">
        <f t="shared" si="628"/>
        <v>31</v>
      </c>
      <c r="AF17514" s="831" t="s">
        <v>11405</v>
      </c>
      <c r="AG17514" s="831" t="s">
        <v>2674</v>
      </c>
      <c r="AH17514" s="831" t="s">
        <v>3044</v>
      </c>
      <c r="AI17514" s="831">
        <v>0</v>
      </c>
      <c r="AJ17514" s="835">
        <v>41729</v>
      </c>
      <c r="AK17514" s="831">
        <v>-3699815.8899999997</v>
      </c>
    </row>
    <row r="17515" spans="2:37">
      <c r="B17515" s="834" t="str">
        <f t="shared" si="627"/>
        <v>|||</v>
      </c>
      <c r="H17515" s="835">
        <f t="shared" si="628"/>
        <v>31</v>
      </c>
      <c r="AF17515" s="831" t="s">
        <v>11406</v>
      </c>
      <c r="AG17515" s="831" t="s">
        <v>2674</v>
      </c>
      <c r="AH17515" s="831" t="s">
        <v>580</v>
      </c>
      <c r="AI17515" s="831">
        <v>0</v>
      </c>
      <c r="AJ17515" s="835">
        <v>41729</v>
      </c>
      <c r="AK17515" s="831">
        <v>-67131930.306999996</v>
      </c>
    </row>
    <row r="17516" spans="2:37">
      <c r="B17516" s="834" t="str">
        <f t="shared" si="627"/>
        <v>|||</v>
      </c>
      <c r="H17516" s="835">
        <f t="shared" si="628"/>
        <v>31</v>
      </c>
      <c r="AF17516" s="831" t="s">
        <v>11407</v>
      </c>
      <c r="AG17516" s="831" t="s">
        <v>2674</v>
      </c>
      <c r="AH17516" s="831" t="s">
        <v>581</v>
      </c>
      <c r="AI17516" s="831">
        <v>0</v>
      </c>
      <c r="AJ17516" s="835">
        <v>41729</v>
      </c>
      <c r="AK17516" s="831">
        <v>5442741.8940000003</v>
      </c>
    </row>
    <row r="17517" spans="2:37">
      <c r="B17517" s="834" t="str">
        <f t="shared" si="627"/>
        <v>|||</v>
      </c>
      <c r="H17517" s="835">
        <f t="shared" si="628"/>
        <v>31</v>
      </c>
      <c r="AF17517" s="831" t="s">
        <v>11408</v>
      </c>
      <c r="AG17517" s="831" t="s">
        <v>2674</v>
      </c>
      <c r="AH17517" s="831" t="s">
        <v>105</v>
      </c>
      <c r="AI17517" s="831">
        <v>0</v>
      </c>
      <c r="AJ17517" s="835">
        <v>41729</v>
      </c>
      <c r="AK17517" s="831">
        <v>411102058</v>
      </c>
    </row>
    <row r="17518" spans="2:37">
      <c r="B17518" s="834" t="str">
        <f t="shared" si="627"/>
        <v>|||</v>
      </c>
      <c r="H17518" s="835">
        <f t="shared" si="628"/>
        <v>31</v>
      </c>
      <c r="AF17518" s="831" t="s">
        <v>11409</v>
      </c>
      <c r="AG17518" s="831" t="s">
        <v>2674</v>
      </c>
      <c r="AH17518" s="831" t="s">
        <v>3049</v>
      </c>
      <c r="AI17518" s="831">
        <v>0</v>
      </c>
      <c r="AJ17518" s="835">
        <v>41729</v>
      </c>
      <c r="AK17518" s="831">
        <v>690412081</v>
      </c>
    </row>
    <row r="17519" spans="2:37">
      <c r="B17519" s="834" t="str">
        <f t="shared" si="627"/>
        <v>|||</v>
      </c>
      <c r="H17519" s="835">
        <f t="shared" si="628"/>
        <v>31</v>
      </c>
      <c r="AF17519" s="831" t="s">
        <v>11410</v>
      </c>
      <c r="AG17519" s="831" t="s">
        <v>2674</v>
      </c>
      <c r="AH17519" s="831" t="s">
        <v>103</v>
      </c>
      <c r="AI17519" s="831">
        <v>0</v>
      </c>
      <c r="AJ17519" s="835">
        <v>41729</v>
      </c>
      <c r="AK17519" s="831">
        <v>279310023</v>
      </c>
    </row>
    <row r="17520" spans="2:37">
      <c r="B17520" s="834" t="str">
        <f t="shared" si="627"/>
        <v>|||</v>
      </c>
      <c r="H17520" s="835">
        <f t="shared" si="628"/>
        <v>31</v>
      </c>
      <c r="AF17520" s="831" t="s">
        <v>11411</v>
      </c>
      <c r="AG17520" s="831" t="s">
        <v>2674</v>
      </c>
      <c r="AH17520" s="831" t="s">
        <v>182</v>
      </c>
      <c r="AI17520" s="831">
        <v>0</v>
      </c>
      <c r="AJ17520" s="835">
        <v>41729</v>
      </c>
      <c r="AK17520" s="831">
        <v>67031636</v>
      </c>
    </row>
    <row r="17521" spans="2:37">
      <c r="B17521" s="834" t="str">
        <f t="shared" si="627"/>
        <v>|||</v>
      </c>
      <c r="H17521" s="835">
        <f t="shared" si="628"/>
        <v>31</v>
      </c>
      <c r="AF17521" s="831" t="s">
        <v>11412</v>
      </c>
      <c r="AG17521" s="831" t="s">
        <v>2674</v>
      </c>
      <c r="AH17521" s="831" t="s">
        <v>6600</v>
      </c>
      <c r="AI17521" s="831">
        <v>0</v>
      </c>
      <c r="AJ17521" s="835">
        <v>41729</v>
      </c>
      <c r="AK17521" s="831">
        <v>30009140.956000008</v>
      </c>
    </row>
    <row r="17522" spans="2:37">
      <c r="B17522" s="834" t="str">
        <f t="shared" si="627"/>
        <v>|||</v>
      </c>
      <c r="H17522" s="835">
        <f t="shared" si="628"/>
        <v>31</v>
      </c>
      <c r="AF17522" s="831" t="s">
        <v>11413</v>
      </c>
      <c r="AG17522" s="831" t="s">
        <v>2674</v>
      </c>
      <c r="AH17522" s="831" t="s">
        <v>6602</v>
      </c>
      <c r="AI17522" s="831">
        <v>0</v>
      </c>
      <c r="AJ17522" s="835">
        <v>41729</v>
      </c>
      <c r="AK17522" s="831">
        <v>8878765</v>
      </c>
    </row>
    <row r="17523" spans="2:37">
      <c r="B17523" s="834" t="str">
        <f t="shared" si="627"/>
        <v>|||</v>
      </c>
      <c r="H17523" s="835">
        <f t="shared" si="628"/>
        <v>31</v>
      </c>
      <c r="AF17523" s="831" t="s">
        <v>11414</v>
      </c>
      <c r="AG17523" s="831" t="s">
        <v>2674</v>
      </c>
      <c r="AH17523" s="831" t="s">
        <v>650</v>
      </c>
      <c r="AI17523" s="831">
        <v>0</v>
      </c>
      <c r="AJ17523" s="835">
        <v>41729</v>
      </c>
      <c r="AK17523" s="831">
        <v>227175044.1168462</v>
      </c>
    </row>
    <row r="17524" spans="2:37">
      <c r="B17524" s="834" t="str">
        <f t="shared" si="627"/>
        <v>|||</v>
      </c>
      <c r="H17524" s="835">
        <f t="shared" si="628"/>
        <v>31</v>
      </c>
      <c r="AF17524" s="831" t="s">
        <v>11415</v>
      </c>
      <c r="AG17524" s="831" t="s">
        <v>2674</v>
      </c>
      <c r="AH17524" s="831" t="s">
        <v>655</v>
      </c>
      <c r="AI17524" s="831">
        <v>0</v>
      </c>
      <c r="AJ17524" s="835">
        <v>41729</v>
      </c>
      <c r="AK17524" s="831">
        <v>1723087.31</v>
      </c>
    </row>
    <row r="17525" spans="2:37">
      <c r="B17525" s="834" t="str">
        <f t="shared" si="627"/>
        <v>|||</v>
      </c>
      <c r="H17525" s="835">
        <f t="shared" si="628"/>
        <v>31</v>
      </c>
      <c r="AF17525" s="831" t="s">
        <v>11416</v>
      </c>
      <c r="AG17525" s="831" t="s">
        <v>2674</v>
      </c>
      <c r="AH17525" s="831" t="s">
        <v>546</v>
      </c>
      <c r="AI17525" s="831">
        <v>0</v>
      </c>
      <c r="AJ17525" s="835">
        <v>41759</v>
      </c>
      <c r="AK17525" s="831">
        <v>695634421</v>
      </c>
    </row>
    <row r="17526" spans="2:37">
      <c r="B17526" s="834" t="str">
        <f t="shared" si="627"/>
        <v>|||</v>
      </c>
      <c r="H17526" s="835">
        <f t="shared" si="628"/>
        <v>31</v>
      </c>
      <c r="AF17526" s="831" t="s">
        <v>11417</v>
      </c>
      <c r="AG17526" s="831" t="s">
        <v>2674</v>
      </c>
      <c r="AH17526" s="831" t="s">
        <v>370</v>
      </c>
      <c r="AI17526" s="831">
        <v>0</v>
      </c>
      <c r="AJ17526" s="835">
        <v>41759</v>
      </c>
      <c r="AK17526" s="831">
        <v>838269546</v>
      </c>
    </row>
    <row r="17527" spans="2:37">
      <c r="B17527" s="834" t="str">
        <f t="shared" si="627"/>
        <v>|||</v>
      </c>
      <c r="H17527" s="835">
        <f t="shared" si="628"/>
        <v>31</v>
      </c>
      <c r="AF17527" s="831" t="s">
        <v>11418</v>
      </c>
      <c r="AG17527" s="831" t="s">
        <v>2674</v>
      </c>
      <c r="AH17527" s="831" t="s">
        <v>126</v>
      </c>
      <c r="AI17527" s="831">
        <v>0</v>
      </c>
      <c r="AJ17527" s="835">
        <v>41759</v>
      </c>
      <c r="AK17527" s="831">
        <v>127155751</v>
      </c>
    </row>
    <row r="17528" spans="2:37">
      <c r="B17528" s="834" t="str">
        <f t="shared" si="627"/>
        <v>|||</v>
      </c>
      <c r="H17528" s="835">
        <f t="shared" si="628"/>
        <v>31</v>
      </c>
      <c r="AF17528" s="831" t="s">
        <v>11419</v>
      </c>
      <c r="AG17528" s="831" t="s">
        <v>2674</v>
      </c>
      <c r="AH17528" s="831" t="s">
        <v>268</v>
      </c>
      <c r="AI17528" s="831">
        <v>0</v>
      </c>
      <c r="AJ17528" s="835">
        <v>41759</v>
      </c>
      <c r="AK17528" s="831">
        <v>11900832</v>
      </c>
    </row>
    <row r="17529" spans="2:37">
      <c r="B17529" s="834" t="str">
        <f t="shared" si="627"/>
        <v>|||</v>
      </c>
      <c r="H17529" s="835">
        <f t="shared" si="628"/>
        <v>31</v>
      </c>
      <c r="AF17529" s="831" t="s">
        <v>11420</v>
      </c>
      <c r="AG17529" s="831" t="s">
        <v>2674</v>
      </c>
      <c r="AH17529" s="831" t="s">
        <v>547</v>
      </c>
      <c r="AI17529" s="831">
        <v>0</v>
      </c>
      <c r="AJ17529" s="835">
        <v>41759</v>
      </c>
      <c r="AK17529" s="831">
        <v>777719977</v>
      </c>
    </row>
    <row r="17530" spans="2:37">
      <c r="B17530" s="834" t="str">
        <f t="shared" si="627"/>
        <v>|||</v>
      </c>
      <c r="H17530" s="835">
        <f t="shared" si="628"/>
        <v>31</v>
      </c>
      <c r="AF17530" s="831" t="s">
        <v>11421</v>
      </c>
      <c r="AG17530" s="831" t="s">
        <v>2674</v>
      </c>
      <c r="AH17530" s="831" t="s">
        <v>548</v>
      </c>
      <c r="AI17530" s="831">
        <v>0</v>
      </c>
      <c r="AJ17530" s="835">
        <v>41759</v>
      </c>
      <c r="AK17530" s="831">
        <v>117105496</v>
      </c>
    </row>
    <row r="17531" spans="2:37">
      <c r="B17531" s="834" t="str">
        <f t="shared" si="627"/>
        <v>|||</v>
      </c>
      <c r="H17531" s="835">
        <f t="shared" si="628"/>
        <v>31</v>
      </c>
      <c r="AF17531" s="831" t="s">
        <v>11422</v>
      </c>
      <c r="AG17531" s="831" t="s">
        <v>2674</v>
      </c>
      <c r="AH17531" s="831" t="s">
        <v>549</v>
      </c>
      <c r="AI17531" s="831">
        <v>0</v>
      </c>
      <c r="AJ17531" s="835">
        <v>41759</v>
      </c>
      <c r="AK17531" s="831">
        <v>479771222</v>
      </c>
    </row>
    <row r="17532" spans="2:37">
      <c r="B17532" s="834" t="str">
        <f t="shared" si="627"/>
        <v>|||</v>
      </c>
      <c r="H17532" s="835">
        <f t="shared" si="628"/>
        <v>31</v>
      </c>
      <c r="AF17532" s="831" t="s">
        <v>11423</v>
      </c>
      <c r="AG17532" s="831" t="s">
        <v>2674</v>
      </c>
      <c r="AH17532" s="831" t="s">
        <v>192</v>
      </c>
      <c r="AI17532" s="831">
        <v>0</v>
      </c>
      <c r="AJ17532" s="835">
        <v>41759</v>
      </c>
      <c r="AK17532" s="831">
        <v>-13335656</v>
      </c>
    </row>
    <row r="17533" spans="2:37">
      <c r="B17533" s="834" t="str">
        <f t="shared" si="627"/>
        <v>|||</v>
      </c>
      <c r="H17533" s="835">
        <f t="shared" si="628"/>
        <v>31</v>
      </c>
      <c r="AF17533" s="831" t="s">
        <v>11424</v>
      </c>
      <c r="AG17533" s="831" t="s">
        <v>2674</v>
      </c>
      <c r="AH17533" s="831" t="s">
        <v>558</v>
      </c>
      <c r="AI17533" s="831">
        <v>0</v>
      </c>
      <c r="AJ17533" s="835">
        <v>41759</v>
      </c>
      <c r="AK17533" s="831">
        <v>711113795</v>
      </c>
    </row>
    <row r="17534" spans="2:37">
      <c r="B17534" s="834" t="str">
        <f t="shared" si="627"/>
        <v>|||</v>
      </c>
      <c r="H17534" s="835">
        <f t="shared" si="628"/>
        <v>31</v>
      </c>
      <c r="AF17534" s="831" t="s">
        <v>11425</v>
      </c>
      <c r="AG17534" s="831" t="s">
        <v>2674</v>
      </c>
      <c r="AH17534" s="831" t="s">
        <v>65</v>
      </c>
      <c r="AI17534" s="831">
        <v>0</v>
      </c>
      <c r="AJ17534" s="835">
        <v>41759</v>
      </c>
      <c r="AK17534" s="831">
        <v>52388499</v>
      </c>
    </row>
    <row r="17535" spans="2:37">
      <c r="B17535" s="834" t="str">
        <f t="shared" si="627"/>
        <v>|||</v>
      </c>
      <c r="H17535" s="835">
        <f t="shared" si="628"/>
        <v>31</v>
      </c>
      <c r="AF17535" s="831" t="s">
        <v>11426</v>
      </c>
      <c r="AG17535" s="831" t="s">
        <v>2674</v>
      </c>
      <c r="AH17535" s="831" t="s">
        <v>89</v>
      </c>
      <c r="AI17535" s="831">
        <v>0</v>
      </c>
      <c r="AJ17535" s="835">
        <v>41759</v>
      </c>
      <c r="AK17535" s="831">
        <v>154230</v>
      </c>
    </row>
    <row r="17536" spans="2:37">
      <c r="B17536" s="834" t="str">
        <f t="shared" si="627"/>
        <v>|||</v>
      </c>
      <c r="H17536" s="835">
        <f t="shared" si="628"/>
        <v>31</v>
      </c>
      <c r="AF17536" s="831" t="s">
        <v>11427</v>
      </c>
      <c r="AG17536" s="831" t="s">
        <v>2674</v>
      </c>
      <c r="AH17536" s="831" t="s">
        <v>557</v>
      </c>
      <c r="AI17536" s="831">
        <v>0</v>
      </c>
      <c r="AJ17536" s="835">
        <v>41759</v>
      </c>
      <c r="AK17536" s="831">
        <v>171119</v>
      </c>
    </row>
    <row r="17537" spans="2:37">
      <c r="B17537" s="834" t="str">
        <f t="shared" si="627"/>
        <v>|||</v>
      </c>
      <c r="H17537" s="835">
        <f t="shared" si="628"/>
        <v>31</v>
      </c>
      <c r="AF17537" s="831" t="s">
        <v>11428</v>
      </c>
      <c r="AG17537" s="831" t="s">
        <v>2674</v>
      </c>
      <c r="AH17537" s="831" t="s">
        <v>29</v>
      </c>
      <c r="AI17537" s="831">
        <v>0</v>
      </c>
      <c r="AJ17537" s="835">
        <v>41759</v>
      </c>
      <c r="AK17537" s="831">
        <v>2260198</v>
      </c>
    </row>
    <row r="17538" spans="2:37">
      <c r="B17538" s="834" t="str">
        <f t="shared" si="627"/>
        <v>|||</v>
      </c>
      <c r="H17538" s="835">
        <f t="shared" si="628"/>
        <v>31</v>
      </c>
      <c r="AF17538" s="831" t="s">
        <v>11429</v>
      </c>
      <c r="AG17538" s="831" t="s">
        <v>2674</v>
      </c>
      <c r="AH17538" s="831" t="s">
        <v>2688</v>
      </c>
      <c r="AI17538" s="831">
        <v>0</v>
      </c>
      <c r="AJ17538" s="835">
        <v>41759</v>
      </c>
      <c r="AK17538" s="831">
        <v>4802589</v>
      </c>
    </row>
    <row r="17539" spans="2:37">
      <c r="B17539" s="834" t="str">
        <f t="shared" si="627"/>
        <v>|||</v>
      </c>
      <c r="H17539" s="835">
        <f t="shared" si="628"/>
        <v>31</v>
      </c>
      <c r="AF17539" s="831" t="s">
        <v>11430</v>
      </c>
      <c r="AG17539" s="831" t="s">
        <v>2674</v>
      </c>
      <c r="AH17539" s="831" t="s">
        <v>556</v>
      </c>
      <c r="AI17539" s="831">
        <v>0</v>
      </c>
      <c r="AJ17539" s="835">
        <v>41759</v>
      </c>
      <c r="AK17539" s="831">
        <v>1644732</v>
      </c>
    </row>
    <row r="17540" spans="2:37">
      <c r="B17540" s="834" t="str">
        <f t="shared" si="627"/>
        <v>|||</v>
      </c>
      <c r="H17540" s="835">
        <f t="shared" si="628"/>
        <v>31</v>
      </c>
      <c r="AF17540" s="831" t="s">
        <v>11431</v>
      </c>
      <c r="AG17540" s="831" t="s">
        <v>2674</v>
      </c>
      <c r="AH17540" s="831" t="s">
        <v>555</v>
      </c>
      <c r="AI17540" s="831">
        <v>0</v>
      </c>
      <c r="AJ17540" s="835">
        <v>41759</v>
      </c>
      <c r="AK17540" s="831">
        <v>465033436</v>
      </c>
    </row>
    <row r="17541" spans="2:37">
      <c r="B17541" s="834" t="str">
        <f t="shared" si="627"/>
        <v>|||</v>
      </c>
      <c r="H17541" s="835">
        <f t="shared" si="628"/>
        <v>31</v>
      </c>
      <c r="AF17541" s="831" t="s">
        <v>11432</v>
      </c>
      <c r="AG17541" s="831" t="s">
        <v>2674</v>
      </c>
      <c r="AH17541" s="831" t="s">
        <v>554</v>
      </c>
      <c r="AI17541" s="831">
        <v>0</v>
      </c>
      <c r="AJ17541" s="835">
        <v>41759</v>
      </c>
      <c r="AK17541" s="831">
        <v>471272450</v>
      </c>
    </row>
    <row r="17542" spans="2:37">
      <c r="B17542" s="834" t="str">
        <f t="shared" si="627"/>
        <v>|||</v>
      </c>
      <c r="H17542" s="835">
        <f t="shared" si="628"/>
        <v>31</v>
      </c>
      <c r="AF17542" s="831" t="s">
        <v>11433</v>
      </c>
      <c r="AG17542" s="831" t="s">
        <v>2674</v>
      </c>
      <c r="AH17542" s="831" t="s">
        <v>553</v>
      </c>
      <c r="AI17542" s="831">
        <v>0</v>
      </c>
      <c r="AJ17542" s="835">
        <v>41759</v>
      </c>
      <c r="AK17542" s="831">
        <v>0</v>
      </c>
    </row>
    <row r="17543" spans="2:37">
      <c r="B17543" s="834" t="str">
        <f t="shared" si="627"/>
        <v>|||</v>
      </c>
      <c r="H17543" s="835">
        <f t="shared" si="628"/>
        <v>31</v>
      </c>
      <c r="AF17543" s="831" t="s">
        <v>11434</v>
      </c>
      <c r="AG17543" s="831" t="s">
        <v>2674</v>
      </c>
      <c r="AH17543" s="831" t="s">
        <v>552</v>
      </c>
      <c r="AI17543" s="831">
        <v>0</v>
      </c>
      <c r="AJ17543" s="835">
        <v>41759</v>
      </c>
      <c r="AK17543" s="831">
        <v>0</v>
      </c>
    </row>
    <row r="17544" spans="2:37">
      <c r="B17544" s="834" t="str">
        <f t="shared" si="627"/>
        <v>|||</v>
      </c>
      <c r="H17544" s="835">
        <f t="shared" si="628"/>
        <v>31</v>
      </c>
      <c r="AF17544" s="831" t="s">
        <v>11435</v>
      </c>
      <c r="AG17544" s="831" t="s">
        <v>2674</v>
      </c>
      <c r="AH17544" s="831" t="s">
        <v>551</v>
      </c>
      <c r="AI17544" s="831">
        <v>0</v>
      </c>
      <c r="AJ17544" s="835">
        <v>41759</v>
      </c>
      <c r="AK17544" s="831">
        <v>2028560</v>
      </c>
    </row>
    <row r="17545" spans="2:37">
      <c r="B17545" s="834" t="str">
        <f t="shared" si="627"/>
        <v>|||</v>
      </c>
      <c r="H17545" s="835">
        <f t="shared" si="628"/>
        <v>31</v>
      </c>
      <c r="AF17545" s="831" t="s">
        <v>11436</v>
      </c>
      <c r="AG17545" s="831" t="s">
        <v>2674</v>
      </c>
      <c r="AH17545" s="831" t="s">
        <v>550</v>
      </c>
      <c r="AI17545" s="831">
        <v>0</v>
      </c>
      <c r="AJ17545" s="835">
        <v>41759</v>
      </c>
      <c r="AK17545" s="831">
        <v>124206790</v>
      </c>
    </row>
    <row r="17546" spans="2:37">
      <c r="B17546" s="834" t="str">
        <f t="shared" si="627"/>
        <v>|||</v>
      </c>
      <c r="H17546" s="835">
        <f t="shared" si="628"/>
        <v>31</v>
      </c>
      <c r="AF17546" s="831" t="s">
        <v>11437</v>
      </c>
      <c r="AG17546" s="831" t="s">
        <v>2674</v>
      </c>
      <c r="AH17546" s="831" t="s">
        <v>562</v>
      </c>
      <c r="AI17546" s="831">
        <v>0</v>
      </c>
      <c r="AJ17546" s="835">
        <v>41759</v>
      </c>
      <c r="AK17546" s="831">
        <v>0.78374999999999995</v>
      </c>
    </row>
    <row r="17547" spans="2:37">
      <c r="B17547" s="834" t="str">
        <f t="shared" si="627"/>
        <v>|||</v>
      </c>
      <c r="H17547" s="835">
        <f t="shared" si="628"/>
        <v>31</v>
      </c>
      <c r="AF17547" s="831" t="s">
        <v>11438</v>
      </c>
      <c r="AG17547" s="831" t="s">
        <v>2674</v>
      </c>
      <c r="AH17547" s="831" t="s">
        <v>2698</v>
      </c>
      <c r="AI17547" s="831">
        <v>0</v>
      </c>
      <c r="AJ17547" s="835">
        <v>41759</v>
      </c>
      <c r="AK17547" s="831">
        <v>0.78374999999999995</v>
      </c>
    </row>
    <row r="17548" spans="2:37">
      <c r="B17548" s="834" t="str">
        <f t="shared" si="627"/>
        <v>|||</v>
      </c>
      <c r="H17548" s="835">
        <f t="shared" si="628"/>
        <v>31</v>
      </c>
      <c r="AF17548" s="831" t="s">
        <v>11439</v>
      </c>
      <c r="AG17548" s="831" t="s">
        <v>2674</v>
      </c>
      <c r="AH17548" s="831" t="s">
        <v>560</v>
      </c>
      <c r="AI17548" s="831">
        <v>0</v>
      </c>
      <c r="AJ17548" s="835">
        <v>41759</v>
      </c>
      <c r="AK17548" s="831">
        <v>0.78374999999999995</v>
      </c>
    </row>
    <row r="17549" spans="2:37">
      <c r="B17549" s="834" t="str">
        <f t="shared" si="627"/>
        <v>|||</v>
      </c>
      <c r="H17549" s="835">
        <f t="shared" si="628"/>
        <v>31</v>
      </c>
      <c r="AF17549" s="831" t="s">
        <v>11440</v>
      </c>
      <c r="AG17549" s="831" t="s">
        <v>2674</v>
      </c>
      <c r="AH17549" s="831" t="s">
        <v>559</v>
      </c>
      <c r="AI17549" s="831">
        <v>0</v>
      </c>
      <c r="AJ17549" s="835">
        <v>41759</v>
      </c>
      <c r="AK17549" s="831">
        <v>0.78380833333333344</v>
      </c>
    </row>
    <row r="17550" spans="2:37">
      <c r="B17550" s="834" t="str">
        <f t="shared" si="627"/>
        <v>|||</v>
      </c>
      <c r="H17550" s="835">
        <f t="shared" si="628"/>
        <v>31</v>
      </c>
      <c r="AF17550" s="831" t="s">
        <v>11441</v>
      </c>
      <c r="AG17550" s="831" t="s">
        <v>2674</v>
      </c>
      <c r="AH17550" s="831" t="s">
        <v>568</v>
      </c>
      <c r="AI17550" s="831">
        <v>0</v>
      </c>
      <c r="AJ17550" s="835">
        <v>41759</v>
      </c>
      <c r="AK17550" s="831">
        <v>584407506.61153841</v>
      </c>
    </row>
    <row r="17551" spans="2:37">
      <c r="B17551" s="834" t="str">
        <f t="shared" si="627"/>
        <v>|||</v>
      </c>
      <c r="H17551" s="835">
        <f t="shared" si="628"/>
        <v>31</v>
      </c>
      <c r="AF17551" s="831" t="s">
        <v>11442</v>
      </c>
      <c r="AG17551" s="831" t="s">
        <v>2674</v>
      </c>
      <c r="AH17551" s="831" t="s">
        <v>569</v>
      </c>
      <c r="AI17551" s="831">
        <v>0</v>
      </c>
      <c r="AJ17551" s="835">
        <v>41759</v>
      </c>
      <c r="AK17551" s="831">
        <v>716419184.74253845</v>
      </c>
    </row>
    <row r="17552" spans="2:37">
      <c r="B17552" s="834" t="str">
        <f t="shared" si="627"/>
        <v>|||</v>
      </c>
      <c r="H17552" s="835">
        <f t="shared" si="628"/>
        <v>31</v>
      </c>
      <c r="AF17552" s="831" t="s">
        <v>11443</v>
      </c>
      <c r="AG17552" s="831" t="s">
        <v>2674</v>
      </c>
      <c r="AH17552" s="831" t="s">
        <v>570</v>
      </c>
      <c r="AI17552" s="831">
        <v>0</v>
      </c>
      <c r="AJ17552" s="835">
        <v>41759</v>
      </c>
      <c r="AK17552" s="831">
        <v>115811919.75123075</v>
      </c>
    </row>
    <row r="17553" spans="2:37">
      <c r="B17553" s="834" t="str">
        <f t="shared" ref="B17553:B17616" si="629">C17553&amp;"|"&amp;D17553&amp;"|"&amp;E17553&amp;"|"&amp;F17553</f>
        <v>|||</v>
      </c>
      <c r="H17553" s="835">
        <f t="shared" ref="H17553:H17616" si="630">EOMONTH(L17553,0)</f>
        <v>31</v>
      </c>
      <c r="AF17553" s="831" t="s">
        <v>11444</v>
      </c>
      <c r="AG17553" s="831" t="s">
        <v>2674</v>
      </c>
      <c r="AH17553" s="831" t="s">
        <v>571</v>
      </c>
      <c r="AI17553" s="831">
        <v>0</v>
      </c>
      <c r="AJ17553" s="835">
        <v>41759</v>
      </c>
      <c r="AK17553" s="831">
        <v>346424029.66715389</v>
      </c>
    </row>
    <row r="17554" spans="2:37">
      <c r="B17554" s="834" t="str">
        <f t="shared" si="629"/>
        <v>|||</v>
      </c>
      <c r="H17554" s="835">
        <f t="shared" si="630"/>
        <v>31</v>
      </c>
      <c r="AF17554" s="831" t="s">
        <v>11445</v>
      </c>
      <c r="AG17554" s="831" t="s">
        <v>2674</v>
      </c>
      <c r="AH17554" s="831" t="s">
        <v>573</v>
      </c>
      <c r="AI17554" s="831">
        <v>0</v>
      </c>
      <c r="AJ17554" s="835">
        <v>41759</v>
      </c>
      <c r="AK17554" s="831">
        <v>806845862.3125999</v>
      </c>
    </row>
    <row r="17555" spans="2:37">
      <c r="B17555" s="834" t="str">
        <f t="shared" si="629"/>
        <v>|||</v>
      </c>
      <c r="H17555" s="835">
        <f t="shared" si="630"/>
        <v>31</v>
      </c>
      <c r="AF17555" s="831" t="s">
        <v>11446</v>
      </c>
      <c r="AG17555" s="831" t="s">
        <v>2674</v>
      </c>
      <c r="AH17555" s="831" t="s">
        <v>574</v>
      </c>
      <c r="AI17555" s="831">
        <v>0</v>
      </c>
      <c r="AJ17555" s="835">
        <v>41759</v>
      </c>
      <c r="AK17555" s="831">
        <v>655215203.79999995</v>
      </c>
    </row>
    <row r="17556" spans="2:37">
      <c r="B17556" s="834" t="str">
        <f t="shared" si="629"/>
        <v>|||</v>
      </c>
      <c r="H17556" s="835">
        <f t="shared" si="630"/>
        <v>31</v>
      </c>
      <c r="AF17556" s="831" t="s">
        <v>11447</v>
      </c>
      <c r="AG17556" s="831" t="s">
        <v>2674</v>
      </c>
      <c r="AH17556" s="831" t="s">
        <v>575</v>
      </c>
      <c r="AI17556" s="831">
        <v>0</v>
      </c>
      <c r="AJ17556" s="835">
        <v>41759</v>
      </c>
      <c r="AK17556" s="831">
        <v>120634686.182</v>
      </c>
    </row>
    <row r="17557" spans="2:37">
      <c r="B17557" s="834" t="str">
        <f t="shared" si="629"/>
        <v>|||</v>
      </c>
      <c r="H17557" s="835">
        <f t="shared" si="630"/>
        <v>31</v>
      </c>
      <c r="AF17557" s="831" t="s">
        <v>11448</v>
      </c>
      <c r="AG17557" s="831" t="s">
        <v>2674</v>
      </c>
      <c r="AH17557" s="831" t="s">
        <v>576</v>
      </c>
      <c r="AI17557" s="831">
        <v>0</v>
      </c>
      <c r="AJ17557" s="835">
        <v>41759</v>
      </c>
      <c r="AK17557" s="831">
        <v>395052602.12220001</v>
      </c>
    </row>
    <row r="17558" spans="2:37">
      <c r="B17558" s="834" t="str">
        <f t="shared" si="629"/>
        <v>|||</v>
      </c>
      <c r="H17558" s="835">
        <f t="shared" si="630"/>
        <v>31</v>
      </c>
      <c r="AF17558" s="831" t="s">
        <v>11449</v>
      </c>
      <c r="AG17558" s="831" t="s">
        <v>2674</v>
      </c>
      <c r="AH17558" s="831" t="s">
        <v>572</v>
      </c>
      <c r="AI17558" s="831">
        <v>0</v>
      </c>
      <c r="AJ17558" s="835">
        <v>41759</v>
      </c>
      <c r="AK17558" s="831">
        <v>30512730.956000008</v>
      </c>
    </row>
    <row r="17559" spans="2:37">
      <c r="B17559" s="834" t="str">
        <f t="shared" si="629"/>
        <v>|||</v>
      </c>
      <c r="H17559" s="835">
        <f t="shared" si="630"/>
        <v>31</v>
      </c>
      <c r="AF17559" s="831" t="s">
        <v>11450</v>
      </c>
      <c r="AG17559" s="831" t="s">
        <v>2674</v>
      </c>
      <c r="AH17559" s="831" t="s">
        <v>577</v>
      </c>
      <c r="AI17559" s="831">
        <v>0</v>
      </c>
      <c r="AJ17559" s="835">
        <v>41759</v>
      </c>
      <c r="AK17559" s="831">
        <v>146415910.76300001</v>
      </c>
    </row>
    <row r="17560" spans="2:37">
      <c r="B17560" s="834" t="str">
        <f t="shared" si="629"/>
        <v>|||</v>
      </c>
      <c r="H17560" s="835">
        <f t="shared" si="630"/>
        <v>31</v>
      </c>
      <c r="AF17560" s="831" t="s">
        <v>11451</v>
      </c>
      <c r="AG17560" s="831" t="s">
        <v>2674</v>
      </c>
      <c r="AH17560" s="831" t="s">
        <v>3042</v>
      </c>
      <c r="AI17560" s="831">
        <v>0</v>
      </c>
      <c r="AJ17560" s="835">
        <v>41759</v>
      </c>
      <c r="AK17560" s="831">
        <v>-40083828.527000003</v>
      </c>
    </row>
    <row r="17561" spans="2:37">
      <c r="B17561" s="834" t="str">
        <f t="shared" si="629"/>
        <v>|||</v>
      </c>
      <c r="H17561" s="835">
        <f t="shared" si="630"/>
        <v>31</v>
      </c>
      <c r="AF17561" s="831" t="s">
        <v>11452</v>
      </c>
      <c r="AG17561" s="831" t="s">
        <v>2674</v>
      </c>
      <c r="AH17561" s="831" t="s">
        <v>3044</v>
      </c>
      <c r="AI17561" s="831">
        <v>0</v>
      </c>
      <c r="AJ17561" s="835">
        <v>41759</v>
      </c>
      <c r="AK17561" s="831">
        <v>-3325177.8899999997</v>
      </c>
    </row>
    <row r="17562" spans="2:37">
      <c r="B17562" s="834" t="str">
        <f t="shared" si="629"/>
        <v>|||</v>
      </c>
      <c r="H17562" s="835">
        <f t="shared" si="630"/>
        <v>31</v>
      </c>
      <c r="AF17562" s="831" t="s">
        <v>11453</v>
      </c>
      <c r="AG17562" s="831" t="s">
        <v>2674</v>
      </c>
      <c r="AH17562" s="831" t="s">
        <v>580</v>
      </c>
      <c r="AI17562" s="831">
        <v>0</v>
      </c>
      <c r="AJ17562" s="835">
        <v>41759</v>
      </c>
      <c r="AK17562" s="831">
        <v>-68772047.306999996</v>
      </c>
    </row>
    <row r="17563" spans="2:37">
      <c r="B17563" s="834" t="str">
        <f t="shared" si="629"/>
        <v>|||</v>
      </c>
      <c r="H17563" s="835">
        <f t="shared" si="630"/>
        <v>31</v>
      </c>
      <c r="AF17563" s="831" t="s">
        <v>11454</v>
      </c>
      <c r="AG17563" s="831" t="s">
        <v>2674</v>
      </c>
      <c r="AH17563" s="831" t="s">
        <v>581</v>
      </c>
      <c r="AI17563" s="831">
        <v>0</v>
      </c>
      <c r="AJ17563" s="835">
        <v>41759</v>
      </c>
      <c r="AK17563" s="831">
        <v>5605173.8940000003</v>
      </c>
    </row>
    <row r="17564" spans="2:37">
      <c r="B17564" s="834" t="str">
        <f t="shared" si="629"/>
        <v>|||</v>
      </c>
      <c r="H17564" s="835">
        <f t="shared" si="630"/>
        <v>31</v>
      </c>
      <c r="AF17564" s="831" t="s">
        <v>11455</v>
      </c>
      <c r="AG17564" s="831" t="s">
        <v>2674</v>
      </c>
      <c r="AH17564" s="831" t="s">
        <v>105</v>
      </c>
      <c r="AI17564" s="831">
        <v>0</v>
      </c>
      <c r="AJ17564" s="835">
        <v>41759</v>
      </c>
      <c r="AK17564" s="831">
        <v>408959601</v>
      </c>
    </row>
    <row r="17565" spans="2:37">
      <c r="B17565" s="834" t="str">
        <f t="shared" si="629"/>
        <v>|||</v>
      </c>
      <c r="H17565" s="835">
        <f t="shared" si="630"/>
        <v>31</v>
      </c>
      <c r="AF17565" s="831" t="s">
        <v>11456</v>
      </c>
      <c r="AG17565" s="831" t="s">
        <v>2674</v>
      </c>
      <c r="AH17565" s="831" t="s">
        <v>3049</v>
      </c>
      <c r="AI17565" s="831">
        <v>0</v>
      </c>
      <c r="AJ17565" s="835">
        <v>41759</v>
      </c>
      <c r="AK17565" s="831">
        <v>692167557</v>
      </c>
    </row>
    <row r="17566" spans="2:37">
      <c r="B17566" s="834" t="str">
        <f t="shared" si="629"/>
        <v>|||</v>
      </c>
      <c r="H17566" s="835">
        <f t="shared" si="630"/>
        <v>31</v>
      </c>
      <c r="AF17566" s="831" t="s">
        <v>11457</v>
      </c>
      <c r="AG17566" s="831" t="s">
        <v>2674</v>
      </c>
      <c r="AH17566" s="831" t="s">
        <v>103</v>
      </c>
      <c r="AI17566" s="831">
        <v>0</v>
      </c>
      <c r="AJ17566" s="835">
        <v>41759</v>
      </c>
      <c r="AK17566" s="831">
        <v>283207956</v>
      </c>
    </row>
    <row r="17567" spans="2:37">
      <c r="B17567" s="834" t="str">
        <f t="shared" si="629"/>
        <v>|||</v>
      </c>
      <c r="H17567" s="835">
        <f t="shared" si="630"/>
        <v>31</v>
      </c>
      <c r="AF17567" s="831" t="s">
        <v>11458</v>
      </c>
      <c r="AG17567" s="831" t="s">
        <v>2674</v>
      </c>
      <c r="AH17567" s="831" t="s">
        <v>182</v>
      </c>
      <c r="AI17567" s="831">
        <v>0</v>
      </c>
      <c r="AJ17567" s="835">
        <v>41759</v>
      </c>
      <c r="AK17567" s="831">
        <v>69513741</v>
      </c>
    </row>
    <row r="17568" spans="2:37">
      <c r="B17568" s="834" t="str">
        <f t="shared" si="629"/>
        <v>|||</v>
      </c>
      <c r="H17568" s="835">
        <f t="shared" si="630"/>
        <v>31</v>
      </c>
      <c r="AF17568" s="831" t="s">
        <v>11459</v>
      </c>
      <c r="AG17568" s="831" t="s">
        <v>2674</v>
      </c>
      <c r="AH17568" s="831" t="s">
        <v>6600</v>
      </c>
      <c r="AI17568" s="831">
        <v>0</v>
      </c>
      <c r="AJ17568" s="835">
        <v>41759</v>
      </c>
      <c r="AK17568" s="831">
        <v>30512730.956000008</v>
      </c>
    </row>
    <row r="17569" spans="2:37">
      <c r="B17569" s="834" t="str">
        <f t="shared" si="629"/>
        <v>|||</v>
      </c>
      <c r="H17569" s="835">
        <f t="shared" si="630"/>
        <v>31</v>
      </c>
      <c r="AF17569" s="831" t="s">
        <v>11460</v>
      </c>
      <c r="AG17569" s="831" t="s">
        <v>2674</v>
      </c>
      <c r="AH17569" s="831" t="s">
        <v>6602</v>
      </c>
      <c r="AI17569" s="831">
        <v>0</v>
      </c>
      <c r="AJ17569" s="835">
        <v>41759</v>
      </c>
      <c r="AK17569" s="831">
        <v>11900832</v>
      </c>
    </row>
    <row r="17570" spans="2:37">
      <c r="B17570" s="834" t="str">
        <f t="shared" si="629"/>
        <v>|||</v>
      </c>
      <c r="H17570" s="835">
        <f t="shared" si="630"/>
        <v>31</v>
      </c>
      <c r="AF17570" s="831" t="s">
        <v>11461</v>
      </c>
      <c r="AG17570" s="831" t="s">
        <v>2674</v>
      </c>
      <c r="AH17570" s="831" t="s">
        <v>650</v>
      </c>
      <c r="AI17570" s="831">
        <v>0</v>
      </c>
      <c r="AJ17570" s="835">
        <v>41759</v>
      </c>
      <c r="AK17570" s="831">
        <v>234971386.50146157</v>
      </c>
    </row>
    <row r="17571" spans="2:37">
      <c r="B17571" s="834" t="str">
        <f t="shared" si="629"/>
        <v>|||</v>
      </c>
      <c r="H17571" s="835">
        <f t="shared" si="630"/>
        <v>31</v>
      </c>
      <c r="AF17571" s="831" t="s">
        <v>11462</v>
      </c>
      <c r="AG17571" s="831" t="s">
        <v>2674</v>
      </c>
      <c r="AH17571" s="831" t="s">
        <v>655</v>
      </c>
      <c r="AI17571" s="831">
        <v>0</v>
      </c>
      <c r="AJ17571" s="835">
        <v>41759</v>
      </c>
      <c r="AK17571" s="831">
        <v>1842214</v>
      </c>
    </row>
    <row r="17572" spans="2:37">
      <c r="B17572" s="834" t="str">
        <f t="shared" si="629"/>
        <v>|||</v>
      </c>
      <c r="H17572" s="835">
        <f t="shared" si="630"/>
        <v>31</v>
      </c>
      <c r="AF17572" s="831" t="s">
        <v>11463</v>
      </c>
      <c r="AG17572" s="831" t="s">
        <v>2674</v>
      </c>
      <c r="AH17572" s="831" t="s">
        <v>546</v>
      </c>
      <c r="AI17572" s="831">
        <v>0</v>
      </c>
      <c r="AJ17572" s="835">
        <v>41790</v>
      </c>
      <c r="AK17572" s="831">
        <v>718268239</v>
      </c>
    </row>
    <row r="17573" spans="2:37">
      <c r="B17573" s="834" t="str">
        <f t="shared" si="629"/>
        <v>|||</v>
      </c>
      <c r="H17573" s="835">
        <f t="shared" si="630"/>
        <v>31</v>
      </c>
      <c r="AF17573" s="831" t="s">
        <v>11464</v>
      </c>
      <c r="AG17573" s="831" t="s">
        <v>2674</v>
      </c>
      <c r="AH17573" s="831" t="s">
        <v>370</v>
      </c>
      <c r="AI17573" s="831">
        <v>0</v>
      </c>
      <c r="AJ17573" s="835">
        <v>41790</v>
      </c>
      <c r="AK17573" s="831">
        <v>862492850</v>
      </c>
    </row>
    <row r="17574" spans="2:37">
      <c r="B17574" s="834" t="str">
        <f t="shared" si="629"/>
        <v>|||</v>
      </c>
      <c r="H17574" s="835">
        <f t="shared" si="630"/>
        <v>31</v>
      </c>
      <c r="AF17574" s="831" t="s">
        <v>11465</v>
      </c>
      <c r="AG17574" s="831" t="s">
        <v>2674</v>
      </c>
      <c r="AH17574" s="831" t="s">
        <v>126</v>
      </c>
      <c r="AI17574" s="831">
        <v>0</v>
      </c>
      <c r="AJ17574" s="835">
        <v>41790</v>
      </c>
      <c r="AK17574" s="831">
        <v>131163748</v>
      </c>
    </row>
    <row r="17575" spans="2:37">
      <c r="B17575" s="834" t="str">
        <f t="shared" si="629"/>
        <v>|||</v>
      </c>
      <c r="H17575" s="835">
        <f t="shared" si="630"/>
        <v>31</v>
      </c>
      <c r="AF17575" s="831" t="s">
        <v>11466</v>
      </c>
      <c r="AG17575" s="831" t="s">
        <v>2674</v>
      </c>
      <c r="AH17575" s="831" t="s">
        <v>268</v>
      </c>
      <c r="AI17575" s="831">
        <v>0</v>
      </c>
      <c r="AJ17575" s="835">
        <v>41790</v>
      </c>
      <c r="AK17575" s="831">
        <v>15708716</v>
      </c>
    </row>
    <row r="17576" spans="2:37">
      <c r="B17576" s="834" t="str">
        <f t="shared" si="629"/>
        <v>|||</v>
      </c>
      <c r="H17576" s="835">
        <f t="shared" si="630"/>
        <v>31</v>
      </c>
      <c r="AF17576" s="831" t="s">
        <v>11467</v>
      </c>
      <c r="AG17576" s="831" t="s">
        <v>2674</v>
      </c>
      <c r="AH17576" s="831" t="s">
        <v>547</v>
      </c>
      <c r="AI17576" s="831">
        <v>0</v>
      </c>
      <c r="AJ17576" s="835">
        <v>41790</v>
      </c>
      <c r="AK17576" s="831">
        <v>777719977</v>
      </c>
    </row>
    <row r="17577" spans="2:37">
      <c r="B17577" s="834" t="str">
        <f t="shared" si="629"/>
        <v>|||</v>
      </c>
      <c r="H17577" s="835">
        <f t="shared" si="630"/>
        <v>31</v>
      </c>
      <c r="AF17577" s="831" t="s">
        <v>11468</v>
      </c>
      <c r="AG17577" s="831" t="s">
        <v>2674</v>
      </c>
      <c r="AH17577" s="831" t="s">
        <v>548</v>
      </c>
      <c r="AI17577" s="831">
        <v>0</v>
      </c>
      <c r="AJ17577" s="835">
        <v>41790</v>
      </c>
      <c r="AK17577" s="831">
        <v>117105496</v>
      </c>
    </row>
    <row r="17578" spans="2:37">
      <c r="B17578" s="834" t="str">
        <f t="shared" si="629"/>
        <v>|||</v>
      </c>
      <c r="H17578" s="835">
        <f t="shared" si="630"/>
        <v>31</v>
      </c>
      <c r="AF17578" s="831" t="s">
        <v>11469</v>
      </c>
      <c r="AG17578" s="831" t="s">
        <v>2674</v>
      </c>
      <c r="AH17578" s="831" t="s">
        <v>549</v>
      </c>
      <c r="AI17578" s="831">
        <v>0</v>
      </c>
      <c r="AJ17578" s="835">
        <v>41790</v>
      </c>
      <c r="AK17578" s="831">
        <v>505264542</v>
      </c>
    </row>
    <row r="17579" spans="2:37">
      <c r="B17579" s="834" t="str">
        <f t="shared" si="629"/>
        <v>|||</v>
      </c>
      <c r="H17579" s="835">
        <f t="shared" si="630"/>
        <v>31</v>
      </c>
      <c r="AF17579" s="831" t="s">
        <v>11470</v>
      </c>
      <c r="AG17579" s="831" t="s">
        <v>2674</v>
      </c>
      <c r="AH17579" s="831" t="s">
        <v>192</v>
      </c>
      <c r="AI17579" s="831">
        <v>0</v>
      </c>
      <c r="AJ17579" s="835">
        <v>41790</v>
      </c>
      <c r="AK17579" s="831">
        <v>-13258185</v>
      </c>
    </row>
    <row r="17580" spans="2:37">
      <c r="B17580" s="834" t="str">
        <f t="shared" si="629"/>
        <v>|||</v>
      </c>
      <c r="H17580" s="835">
        <f t="shared" si="630"/>
        <v>31</v>
      </c>
      <c r="AF17580" s="831" t="s">
        <v>11471</v>
      </c>
      <c r="AG17580" s="831" t="s">
        <v>2674</v>
      </c>
      <c r="AH17580" s="831" t="s">
        <v>558</v>
      </c>
      <c r="AI17580" s="831">
        <v>0</v>
      </c>
      <c r="AJ17580" s="835">
        <v>41790</v>
      </c>
      <c r="AK17580" s="831">
        <v>731329102</v>
      </c>
    </row>
    <row r="17581" spans="2:37">
      <c r="B17581" s="834" t="str">
        <f t="shared" si="629"/>
        <v>|||</v>
      </c>
      <c r="H17581" s="835">
        <f t="shared" si="630"/>
        <v>31</v>
      </c>
      <c r="AF17581" s="831" t="s">
        <v>11472</v>
      </c>
      <c r="AG17581" s="831" t="s">
        <v>2674</v>
      </c>
      <c r="AH17581" s="831" t="s">
        <v>65</v>
      </c>
      <c r="AI17581" s="831">
        <v>0</v>
      </c>
      <c r="AJ17581" s="835">
        <v>41790</v>
      </c>
      <c r="AK17581" s="831">
        <v>66573989</v>
      </c>
    </row>
    <row r="17582" spans="2:37">
      <c r="B17582" s="834" t="str">
        <f t="shared" si="629"/>
        <v>|||</v>
      </c>
      <c r="H17582" s="835">
        <f t="shared" si="630"/>
        <v>31</v>
      </c>
      <c r="AF17582" s="831" t="s">
        <v>11473</v>
      </c>
      <c r="AG17582" s="831" t="s">
        <v>2674</v>
      </c>
      <c r="AH17582" s="831" t="s">
        <v>89</v>
      </c>
      <c r="AI17582" s="831">
        <v>0</v>
      </c>
      <c r="AJ17582" s="835">
        <v>41790</v>
      </c>
      <c r="AK17582" s="831">
        <v>156336</v>
      </c>
    </row>
    <row r="17583" spans="2:37">
      <c r="B17583" s="834" t="str">
        <f t="shared" si="629"/>
        <v>|||</v>
      </c>
      <c r="H17583" s="835">
        <f t="shared" si="630"/>
        <v>31</v>
      </c>
      <c r="AF17583" s="831" t="s">
        <v>11474</v>
      </c>
      <c r="AG17583" s="831" t="s">
        <v>2674</v>
      </c>
      <c r="AH17583" s="831" t="s">
        <v>557</v>
      </c>
      <c r="AI17583" s="831">
        <v>0</v>
      </c>
      <c r="AJ17583" s="835">
        <v>41790</v>
      </c>
      <c r="AK17583" s="831">
        <v>174602</v>
      </c>
    </row>
    <row r="17584" spans="2:37">
      <c r="B17584" s="834" t="str">
        <f t="shared" si="629"/>
        <v>|||</v>
      </c>
      <c r="H17584" s="835">
        <f t="shared" si="630"/>
        <v>31</v>
      </c>
      <c r="AF17584" s="831" t="s">
        <v>11475</v>
      </c>
      <c r="AG17584" s="831" t="s">
        <v>2674</v>
      </c>
      <c r="AH17584" s="831" t="s">
        <v>29</v>
      </c>
      <c r="AI17584" s="831">
        <v>0</v>
      </c>
      <c r="AJ17584" s="835">
        <v>41790</v>
      </c>
      <c r="AK17584" s="831">
        <v>2450103.0319999997</v>
      </c>
    </row>
    <row r="17585" spans="2:37">
      <c r="B17585" s="834" t="str">
        <f t="shared" si="629"/>
        <v>|||</v>
      </c>
      <c r="H17585" s="835">
        <f t="shared" si="630"/>
        <v>31</v>
      </c>
      <c r="AF17585" s="831" t="s">
        <v>11476</v>
      </c>
      <c r="AG17585" s="831" t="s">
        <v>2674</v>
      </c>
      <c r="AH17585" s="831" t="s">
        <v>2688</v>
      </c>
      <c r="AI17585" s="831">
        <v>0</v>
      </c>
      <c r="AJ17585" s="835">
        <v>41790</v>
      </c>
      <c r="AK17585" s="831">
        <v>4770534.2300000004</v>
      </c>
    </row>
    <row r="17586" spans="2:37">
      <c r="B17586" s="834" t="str">
        <f t="shared" si="629"/>
        <v>|||</v>
      </c>
      <c r="H17586" s="835">
        <f t="shared" si="630"/>
        <v>31</v>
      </c>
      <c r="AF17586" s="831" t="s">
        <v>11477</v>
      </c>
      <c r="AG17586" s="831" t="s">
        <v>2674</v>
      </c>
      <c r="AH17586" s="831" t="s">
        <v>556</v>
      </c>
      <c r="AI17586" s="831">
        <v>0</v>
      </c>
      <c r="AJ17586" s="835">
        <v>41790</v>
      </c>
      <c r="AK17586" s="831">
        <v>1644732</v>
      </c>
    </row>
    <row r="17587" spans="2:37">
      <c r="B17587" s="834" t="str">
        <f t="shared" si="629"/>
        <v>|||</v>
      </c>
      <c r="H17587" s="835">
        <f t="shared" si="630"/>
        <v>31</v>
      </c>
      <c r="AF17587" s="831" t="s">
        <v>11478</v>
      </c>
      <c r="AG17587" s="831" t="s">
        <v>2674</v>
      </c>
      <c r="AH17587" s="831" t="s">
        <v>555</v>
      </c>
      <c r="AI17587" s="831">
        <v>0</v>
      </c>
      <c r="AJ17587" s="835">
        <v>41790</v>
      </c>
      <c r="AK17587" s="831">
        <v>468159807</v>
      </c>
    </row>
    <row r="17588" spans="2:37">
      <c r="B17588" s="834" t="str">
        <f t="shared" si="629"/>
        <v>|||</v>
      </c>
      <c r="H17588" s="835">
        <f t="shared" si="630"/>
        <v>31</v>
      </c>
      <c r="AF17588" s="831" t="s">
        <v>11479</v>
      </c>
      <c r="AG17588" s="831" t="s">
        <v>2674</v>
      </c>
      <c r="AH17588" s="831" t="s">
        <v>554</v>
      </c>
      <c r="AI17588" s="831">
        <v>0</v>
      </c>
      <c r="AJ17588" s="835">
        <v>41790</v>
      </c>
      <c r="AK17588" s="831">
        <v>476165900</v>
      </c>
    </row>
    <row r="17589" spans="2:37">
      <c r="B17589" s="834" t="str">
        <f t="shared" si="629"/>
        <v>|||</v>
      </c>
      <c r="H17589" s="835">
        <f t="shared" si="630"/>
        <v>31</v>
      </c>
      <c r="AF17589" s="831" t="s">
        <v>11480</v>
      </c>
      <c r="AG17589" s="831" t="s">
        <v>2674</v>
      </c>
      <c r="AH17589" s="831" t="s">
        <v>553</v>
      </c>
      <c r="AI17589" s="831">
        <v>0</v>
      </c>
      <c r="AJ17589" s="835">
        <v>41790</v>
      </c>
      <c r="AK17589" s="831">
        <v>0</v>
      </c>
    </row>
    <row r="17590" spans="2:37">
      <c r="B17590" s="834" t="str">
        <f t="shared" si="629"/>
        <v>|||</v>
      </c>
      <c r="H17590" s="835">
        <f t="shared" si="630"/>
        <v>31</v>
      </c>
      <c r="AF17590" s="831" t="s">
        <v>11481</v>
      </c>
      <c r="AG17590" s="831" t="s">
        <v>2674</v>
      </c>
      <c r="AH17590" s="831" t="s">
        <v>552</v>
      </c>
      <c r="AI17590" s="831">
        <v>0</v>
      </c>
      <c r="AJ17590" s="835">
        <v>41790</v>
      </c>
      <c r="AK17590" s="831">
        <v>0</v>
      </c>
    </row>
    <row r="17591" spans="2:37">
      <c r="B17591" s="834" t="str">
        <f t="shared" si="629"/>
        <v>|||</v>
      </c>
      <c r="H17591" s="835">
        <f t="shared" si="630"/>
        <v>31</v>
      </c>
      <c r="AF17591" s="831" t="s">
        <v>11482</v>
      </c>
      <c r="AG17591" s="831" t="s">
        <v>2674</v>
      </c>
      <c r="AH17591" s="831" t="s">
        <v>551</v>
      </c>
      <c r="AI17591" s="831">
        <v>0</v>
      </c>
      <c r="AJ17591" s="835">
        <v>41790</v>
      </c>
      <c r="AK17591" s="831">
        <v>2150143.8450000002</v>
      </c>
    </row>
    <row r="17592" spans="2:37">
      <c r="B17592" s="834" t="str">
        <f t="shared" si="629"/>
        <v>|||</v>
      </c>
      <c r="H17592" s="835">
        <f t="shared" si="630"/>
        <v>31</v>
      </c>
      <c r="AF17592" s="831" t="s">
        <v>11483</v>
      </c>
      <c r="AG17592" s="831" t="s">
        <v>2674</v>
      </c>
      <c r="AH17592" s="831" t="s">
        <v>550</v>
      </c>
      <c r="AI17592" s="831">
        <v>0</v>
      </c>
      <c r="AJ17592" s="835">
        <v>41790</v>
      </c>
      <c r="AK17592" s="831">
        <v>127155751</v>
      </c>
    </row>
    <row r="17593" spans="2:37">
      <c r="B17593" s="834" t="str">
        <f t="shared" si="629"/>
        <v>|||</v>
      </c>
      <c r="H17593" s="835">
        <f t="shared" si="630"/>
        <v>31</v>
      </c>
      <c r="AF17593" s="831" t="s">
        <v>11484</v>
      </c>
      <c r="AG17593" s="831" t="s">
        <v>2674</v>
      </c>
      <c r="AH17593" s="831" t="s">
        <v>562</v>
      </c>
      <c r="AI17593" s="831">
        <v>0</v>
      </c>
      <c r="AJ17593" s="835">
        <v>41790</v>
      </c>
      <c r="AK17593" s="831">
        <v>0.78385000000000005</v>
      </c>
    </row>
    <row r="17594" spans="2:37">
      <c r="B17594" s="834" t="str">
        <f t="shared" si="629"/>
        <v>|||</v>
      </c>
      <c r="H17594" s="835">
        <f t="shared" si="630"/>
        <v>31</v>
      </c>
      <c r="AF17594" s="831" t="s">
        <v>11485</v>
      </c>
      <c r="AG17594" s="831" t="s">
        <v>2674</v>
      </c>
      <c r="AH17594" s="831" t="s">
        <v>2698</v>
      </c>
      <c r="AI17594" s="831">
        <v>0</v>
      </c>
      <c r="AJ17594" s="835">
        <v>41790</v>
      </c>
      <c r="AK17594" s="831">
        <v>0.78374999999999995</v>
      </c>
    </row>
    <row r="17595" spans="2:37">
      <c r="B17595" s="834" t="str">
        <f t="shared" si="629"/>
        <v>|||</v>
      </c>
      <c r="H17595" s="835">
        <f t="shared" si="630"/>
        <v>31</v>
      </c>
      <c r="AF17595" s="831" t="s">
        <v>11486</v>
      </c>
      <c r="AG17595" s="831" t="s">
        <v>2674</v>
      </c>
      <c r="AH17595" s="831" t="s">
        <v>560</v>
      </c>
      <c r="AI17595" s="831">
        <v>0</v>
      </c>
      <c r="AJ17595" s="835">
        <v>41790</v>
      </c>
      <c r="AK17595" s="831">
        <v>0.78376999999999997</v>
      </c>
    </row>
    <row r="17596" spans="2:37">
      <c r="B17596" s="834" t="str">
        <f t="shared" si="629"/>
        <v>|||</v>
      </c>
      <c r="H17596" s="835">
        <f t="shared" si="630"/>
        <v>31</v>
      </c>
      <c r="AF17596" s="831" t="s">
        <v>11487</v>
      </c>
      <c r="AG17596" s="831" t="s">
        <v>2674</v>
      </c>
      <c r="AH17596" s="831" t="s">
        <v>559</v>
      </c>
      <c r="AI17596" s="831">
        <v>0</v>
      </c>
      <c r="AJ17596" s="835">
        <v>41790</v>
      </c>
      <c r="AK17596" s="831">
        <v>0.78379166666666666</v>
      </c>
    </row>
    <row r="17597" spans="2:37">
      <c r="B17597" s="834" t="str">
        <f t="shared" si="629"/>
        <v>|||</v>
      </c>
      <c r="H17597" s="835">
        <f t="shared" si="630"/>
        <v>31</v>
      </c>
      <c r="AF17597" s="831" t="s">
        <v>11488</v>
      </c>
      <c r="AG17597" s="831" t="s">
        <v>2674</v>
      </c>
      <c r="AH17597" s="831" t="s">
        <v>568</v>
      </c>
      <c r="AI17597" s="831">
        <v>0</v>
      </c>
      <c r="AJ17597" s="835">
        <v>41790</v>
      </c>
      <c r="AK17597" s="831">
        <v>602753430.99615383</v>
      </c>
    </row>
    <row r="17598" spans="2:37">
      <c r="B17598" s="834" t="str">
        <f t="shared" si="629"/>
        <v>|||</v>
      </c>
      <c r="H17598" s="835">
        <f t="shared" si="630"/>
        <v>31</v>
      </c>
      <c r="AF17598" s="831" t="s">
        <v>11489</v>
      </c>
      <c r="AG17598" s="831" t="s">
        <v>2674</v>
      </c>
      <c r="AH17598" s="831" t="s">
        <v>569</v>
      </c>
      <c r="AI17598" s="831">
        <v>0</v>
      </c>
      <c r="AJ17598" s="835">
        <v>41790</v>
      </c>
      <c r="AK17598" s="831">
        <v>739200989.8963846</v>
      </c>
    </row>
    <row r="17599" spans="2:37">
      <c r="B17599" s="834" t="str">
        <f t="shared" si="629"/>
        <v>|||</v>
      </c>
      <c r="H17599" s="835">
        <f t="shared" si="630"/>
        <v>31</v>
      </c>
      <c r="AF17599" s="831" t="s">
        <v>11490</v>
      </c>
      <c r="AG17599" s="831" t="s">
        <v>2674</v>
      </c>
      <c r="AH17599" s="831" t="s">
        <v>570</v>
      </c>
      <c r="AI17599" s="831">
        <v>0</v>
      </c>
      <c r="AJ17599" s="835">
        <v>41790</v>
      </c>
      <c r="AK17599" s="831">
        <v>117953141.44353844</v>
      </c>
    </row>
    <row r="17600" spans="2:37">
      <c r="B17600" s="834" t="str">
        <f t="shared" si="629"/>
        <v>|||</v>
      </c>
      <c r="H17600" s="835">
        <f t="shared" si="630"/>
        <v>31</v>
      </c>
      <c r="AF17600" s="831" t="s">
        <v>11491</v>
      </c>
      <c r="AG17600" s="831" t="s">
        <v>2674</v>
      </c>
      <c r="AH17600" s="831" t="s">
        <v>571</v>
      </c>
      <c r="AI17600" s="831">
        <v>0</v>
      </c>
      <c r="AJ17600" s="835">
        <v>41790</v>
      </c>
      <c r="AK17600" s="831">
        <v>358988619.82100004</v>
      </c>
    </row>
    <row r="17601" spans="2:37">
      <c r="B17601" s="834" t="str">
        <f t="shared" si="629"/>
        <v>|||</v>
      </c>
      <c r="H17601" s="835">
        <f t="shared" si="630"/>
        <v>31</v>
      </c>
      <c r="AF17601" s="831" t="s">
        <v>11492</v>
      </c>
      <c r="AG17601" s="831" t="s">
        <v>2674</v>
      </c>
      <c r="AH17601" s="831" t="s">
        <v>573</v>
      </c>
      <c r="AI17601" s="831">
        <v>0</v>
      </c>
      <c r="AJ17601" s="835">
        <v>41790</v>
      </c>
      <c r="AK17601" s="831">
        <v>816120360.26049995</v>
      </c>
    </row>
    <row r="17602" spans="2:37">
      <c r="B17602" s="834" t="str">
        <f t="shared" si="629"/>
        <v>|||</v>
      </c>
      <c r="H17602" s="835">
        <f t="shared" si="630"/>
        <v>31</v>
      </c>
      <c r="AF17602" s="831" t="s">
        <v>11493</v>
      </c>
      <c r="AG17602" s="831" t="s">
        <v>2674</v>
      </c>
      <c r="AH17602" s="831" t="s">
        <v>574</v>
      </c>
      <c r="AI17602" s="831">
        <v>0</v>
      </c>
      <c r="AJ17602" s="835">
        <v>41790</v>
      </c>
      <c r="AK17602" s="831">
        <v>665724043</v>
      </c>
    </row>
    <row r="17603" spans="2:37">
      <c r="B17603" s="834" t="str">
        <f t="shared" si="629"/>
        <v>|||</v>
      </c>
      <c r="H17603" s="835">
        <f t="shared" si="630"/>
        <v>31</v>
      </c>
      <c r="AF17603" s="831" t="s">
        <v>11494</v>
      </c>
      <c r="AG17603" s="831" t="s">
        <v>2674</v>
      </c>
      <c r="AH17603" s="831" t="s">
        <v>575</v>
      </c>
      <c r="AI17603" s="831">
        <v>0</v>
      </c>
      <c r="AJ17603" s="835">
        <v>41790</v>
      </c>
      <c r="AK17603" s="831">
        <v>122389529.81833333</v>
      </c>
    </row>
    <row r="17604" spans="2:37">
      <c r="B17604" s="834" t="str">
        <f t="shared" si="629"/>
        <v>|||</v>
      </c>
      <c r="H17604" s="835">
        <f t="shared" si="630"/>
        <v>31</v>
      </c>
      <c r="AF17604" s="831" t="s">
        <v>11495</v>
      </c>
      <c r="AG17604" s="831" t="s">
        <v>2674</v>
      </c>
      <c r="AH17604" s="831" t="s">
        <v>576</v>
      </c>
      <c r="AI17604" s="831">
        <v>0</v>
      </c>
      <c r="AJ17604" s="835">
        <v>41790</v>
      </c>
      <c r="AK17604" s="831">
        <v>399225453.60183334</v>
      </c>
    </row>
    <row r="17605" spans="2:37">
      <c r="B17605" s="834" t="str">
        <f t="shared" si="629"/>
        <v>|||</v>
      </c>
      <c r="H17605" s="835">
        <f t="shared" si="630"/>
        <v>31</v>
      </c>
      <c r="AF17605" s="831" t="s">
        <v>11496</v>
      </c>
      <c r="AG17605" s="831" t="s">
        <v>2674</v>
      </c>
      <c r="AH17605" s="831" t="s">
        <v>572</v>
      </c>
      <c r="AI17605" s="831">
        <v>0</v>
      </c>
      <c r="AJ17605" s="835">
        <v>41790</v>
      </c>
      <c r="AK17605" s="831">
        <v>31997124.956000008</v>
      </c>
    </row>
    <row r="17606" spans="2:37">
      <c r="B17606" s="834" t="str">
        <f t="shared" si="629"/>
        <v>|||</v>
      </c>
      <c r="H17606" s="835">
        <f t="shared" si="630"/>
        <v>31</v>
      </c>
      <c r="AF17606" s="831" t="s">
        <v>11497</v>
      </c>
      <c r="AG17606" s="831" t="s">
        <v>2674</v>
      </c>
      <c r="AH17606" s="831" t="s">
        <v>577</v>
      </c>
      <c r="AI17606" s="831">
        <v>0</v>
      </c>
      <c r="AJ17606" s="835">
        <v>41790</v>
      </c>
      <c r="AK17606" s="831">
        <v>149793646.76300001</v>
      </c>
    </row>
    <row r="17607" spans="2:37">
      <c r="B17607" s="834" t="str">
        <f t="shared" si="629"/>
        <v>|||</v>
      </c>
      <c r="H17607" s="835">
        <f t="shared" si="630"/>
        <v>31</v>
      </c>
      <c r="AF17607" s="831" t="s">
        <v>11498</v>
      </c>
      <c r="AG17607" s="831" t="s">
        <v>2674</v>
      </c>
      <c r="AH17607" s="831" t="s">
        <v>3042</v>
      </c>
      <c r="AI17607" s="831">
        <v>0</v>
      </c>
      <c r="AJ17607" s="835">
        <v>41790</v>
      </c>
      <c r="AK17607" s="831">
        <v>-41488938.527000003</v>
      </c>
    </row>
    <row r="17608" spans="2:37">
      <c r="B17608" s="834" t="str">
        <f t="shared" si="629"/>
        <v>|||</v>
      </c>
      <c r="H17608" s="835">
        <f t="shared" si="630"/>
        <v>31</v>
      </c>
      <c r="AF17608" s="831" t="s">
        <v>11499</v>
      </c>
      <c r="AG17608" s="831" t="s">
        <v>2674</v>
      </c>
      <c r="AH17608" s="831" t="s">
        <v>3044</v>
      </c>
      <c r="AI17608" s="831">
        <v>0</v>
      </c>
      <c r="AJ17608" s="835">
        <v>41790</v>
      </c>
      <c r="AK17608" s="831">
        <v>-2734199.8899999997</v>
      </c>
    </row>
    <row r="17609" spans="2:37">
      <c r="B17609" s="834" t="str">
        <f t="shared" si="629"/>
        <v>|||</v>
      </c>
      <c r="H17609" s="835">
        <f t="shared" si="630"/>
        <v>31</v>
      </c>
      <c r="AF17609" s="831" t="s">
        <v>11500</v>
      </c>
      <c r="AG17609" s="831" t="s">
        <v>2674</v>
      </c>
      <c r="AH17609" s="831" t="s">
        <v>580</v>
      </c>
      <c r="AI17609" s="831">
        <v>0</v>
      </c>
      <c r="AJ17609" s="835">
        <v>41790</v>
      </c>
      <c r="AK17609" s="831">
        <v>-69707657.306999996</v>
      </c>
    </row>
    <row r="17610" spans="2:37">
      <c r="B17610" s="834" t="str">
        <f t="shared" si="629"/>
        <v>|||</v>
      </c>
      <c r="H17610" s="835">
        <f t="shared" si="630"/>
        <v>31</v>
      </c>
      <c r="AF17610" s="831" t="s">
        <v>11501</v>
      </c>
      <c r="AG17610" s="831" t="s">
        <v>2674</v>
      </c>
      <c r="AH17610" s="831" t="s">
        <v>581</v>
      </c>
      <c r="AI17610" s="831">
        <v>0</v>
      </c>
      <c r="AJ17610" s="835">
        <v>41790</v>
      </c>
      <c r="AK17610" s="831">
        <v>5958727.8940000003</v>
      </c>
    </row>
    <row r="17611" spans="2:37">
      <c r="B17611" s="834" t="str">
        <f t="shared" si="629"/>
        <v>|||</v>
      </c>
      <c r="H17611" s="835">
        <f t="shared" si="630"/>
        <v>31</v>
      </c>
      <c r="AF17611" s="831" t="s">
        <v>11502</v>
      </c>
      <c r="AG17611" s="831" t="s">
        <v>2674</v>
      </c>
      <c r="AH17611" s="831" t="s">
        <v>105</v>
      </c>
      <c r="AI17611" s="831">
        <v>0</v>
      </c>
      <c r="AJ17611" s="835">
        <v>41790</v>
      </c>
      <c r="AK17611" s="831">
        <v>420089711</v>
      </c>
    </row>
    <row r="17612" spans="2:37">
      <c r="B17612" s="834" t="str">
        <f t="shared" si="629"/>
        <v>|||</v>
      </c>
      <c r="H17612" s="835">
        <f t="shared" si="630"/>
        <v>31</v>
      </c>
      <c r="AF17612" s="831" t="s">
        <v>11503</v>
      </c>
      <c r="AG17612" s="831" t="s">
        <v>2674</v>
      </c>
      <c r="AH17612" s="831" t="s">
        <v>3049</v>
      </c>
      <c r="AI17612" s="831">
        <v>0</v>
      </c>
      <c r="AJ17612" s="835">
        <v>41790</v>
      </c>
      <c r="AK17612" s="831">
        <v>709561626</v>
      </c>
    </row>
    <row r="17613" spans="2:37">
      <c r="B17613" s="834" t="str">
        <f t="shared" si="629"/>
        <v>|||</v>
      </c>
      <c r="H17613" s="835">
        <f t="shared" si="630"/>
        <v>31</v>
      </c>
      <c r="AF17613" s="831" t="s">
        <v>11504</v>
      </c>
      <c r="AG17613" s="831" t="s">
        <v>2674</v>
      </c>
      <c r="AH17613" s="831" t="s">
        <v>103</v>
      </c>
      <c r="AI17613" s="831">
        <v>0</v>
      </c>
      <c r="AJ17613" s="835">
        <v>41790</v>
      </c>
      <c r="AK17613" s="831">
        <v>289471915</v>
      </c>
    </row>
    <row r="17614" spans="2:37">
      <c r="B17614" s="834" t="str">
        <f t="shared" si="629"/>
        <v>|||</v>
      </c>
      <c r="H17614" s="835">
        <f t="shared" si="630"/>
        <v>31</v>
      </c>
      <c r="AF17614" s="831" t="s">
        <v>11505</v>
      </c>
      <c r="AG17614" s="831" t="s">
        <v>2674</v>
      </c>
      <c r="AH17614" s="831" t="s">
        <v>182</v>
      </c>
      <c r="AI17614" s="831">
        <v>0</v>
      </c>
      <c r="AJ17614" s="835">
        <v>41790</v>
      </c>
      <c r="AK17614" s="831">
        <v>69984388.799999997</v>
      </c>
    </row>
    <row r="17615" spans="2:37">
      <c r="B17615" s="834" t="str">
        <f t="shared" si="629"/>
        <v>|||</v>
      </c>
      <c r="H17615" s="835">
        <f t="shared" si="630"/>
        <v>31</v>
      </c>
      <c r="AF17615" s="831" t="s">
        <v>11506</v>
      </c>
      <c r="AG17615" s="831" t="s">
        <v>2674</v>
      </c>
      <c r="AH17615" s="831" t="s">
        <v>6600</v>
      </c>
      <c r="AI17615" s="831">
        <v>0</v>
      </c>
      <c r="AJ17615" s="835">
        <v>41790</v>
      </c>
      <c r="AK17615" s="831">
        <v>31997124.956000008</v>
      </c>
    </row>
    <row r="17616" spans="2:37">
      <c r="B17616" s="834" t="str">
        <f t="shared" si="629"/>
        <v>|||</v>
      </c>
      <c r="H17616" s="835">
        <f t="shared" si="630"/>
        <v>31</v>
      </c>
      <c r="AF17616" s="831" t="s">
        <v>11507</v>
      </c>
      <c r="AG17616" s="831" t="s">
        <v>2674</v>
      </c>
      <c r="AH17616" s="831" t="s">
        <v>6602</v>
      </c>
      <c r="AI17616" s="831">
        <v>0</v>
      </c>
      <c r="AJ17616" s="835">
        <v>41790</v>
      </c>
      <c r="AK17616" s="831">
        <v>15708716</v>
      </c>
    </row>
    <row r="17617" spans="2:37">
      <c r="B17617" s="834" t="str">
        <f t="shared" ref="B17617:B17680" si="631">C17617&amp;"|"&amp;D17617&amp;"|"&amp;E17617&amp;"|"&amp;F17617</f>
        <v>|||</v>
      </c>
      <c r="H17617" s="835">
        <f t="shared" ref="H17617:H17680" si="632">EOMONTH(L17617,0)</f>
        <v>31</v>
      </c>
      <c r="AF17617" s="831" t="s">
        <v>11508</v>
      </c>
      <c r="AG17617" s="831" t="s">
        <v>2674</v>
      </c>
      <c r="AH17617" s="831" t="s">
        <v>650</v>
      </c>
      <c r="AI17617" s="831">
        <v>0</v>
      </c>
      <c r="AJ17617" s="835">
        <v>41790</v>
      </c>
      <c r="AK17617" s="831">
        <v>242496217.73223078</v>
      </c>
    </row>
    <row r="17618" spans="2:37">
      <c r="B17618" s="834" t="str">
        <f t="shared" si="631"/>
        <v>|||</v>
      </c>
      <c r="H17618" s="835">
        <f t="shared" si="632"/>
        <v>31</v>
      </c>
      <c r="AF17618" s="831" t="s">
        <v>11509</v>
      </c>
      <c r="AG17618" s="831" t="s">
        <v>2674</v>
      </c>
      <c r="AH17618" s="831" t="s">
        <v>655</v>
      </c>
      <c r="AI17618" s="831">
        <v>0</v>
      </c>
      <c r="AJ17618" s="835">
        <v>41790</v>
      </c>
      <c r="AK17618" s="831">
        <v>1936751.44</v>
      </c>
    </row>
    <row r="17619" spans="2:37">
      <c r="B17619" s="834" t="str">
        <f t="shared" si="631"/>
        <v>|||</v>
      </c>
      <c r="H17619" s="835">
        <f t="shared" si="632"/>
        <v>31</v>
      </c>
      <c r="AF17619" s="831" t="s">
        <v>11510</v>
      </c>
      <c r="AG17619" s="831" t="s">
        <v>2674</v>
      </c>
      <c r="AH17619" s="831" t="s">
        <v>546</v>
      </c>
      <c r="AI17619" s="831">
        <v>0</v>
      </c>
      <c r="AJ17619" s="835">
        <v>41820</v>
      </c>
      <c r="AK17619" s="831">
        <v>728057591</v>
      </c>
    </row>
    <row r="17620" spans="2:37">
      <c r="B17620" s="834" t="str">
        <f t="shared" si="631"/>
        <v>|||</v>
      </c>
      <c r="H17620" s="835">
        <f t="shared" si="632"/>
        <v>31</v>
      </c>
      <c r="AF17620" s="831" t="s">
        <v>11511</v>
      </c>
      <c r="AG17620" s="831" t="s">
        <v>2674</v>
      </c>
      <c r="AH17620" s="831" t="s">
        <v>370</v>
      </c>
      <c r="AI17620" s="831">
        <v>0</v>
      </c>
      <c r="AJ17620" s="835">
        <v>41820</v>
      </c>
      <c r="AK17620" s="831">
        <v>911200946</v>
      </c>
    </row>
    <row r="17621" spans="2:37">
      <c r="B17621" s="834" t="str">
        <f t="shared" si="631"/>
        <v>|||</v>
      </c>
      <c r="H17621" s="835">
        <f t="shared" si="632"/>
        <v>31</v>
      </c>
      <c r="AF17621" s="831" t="s">
        <v>11512</v>
      </c>
      <c r="AG17621" s="831" t="s">
        <v>2674</v>
      </c>
      <c r="AH17621" s="831" t="s">
        <v>126</v>
      </c>
      <c r="AI17621" s="831">
        <v>0</v>
      </c>
      <c r="AJ17621" s="835">
        <v>41820</v>
      </c>
      <c r="AK17621" s="831">
        <v>135362821</v>
      </c>
    </row>
    <row r="17622" spans="2:37">
      <c r="B17622" s="834" t="str">
        <f t="shared" si="631"/>
        <v>|||</v>
      </c>
      <c r="H17622" s="835">
        <f t="shared" si="632"/>
        <v>31</v>
      </c>
      <c r="AF17622" s="831" t="s">
        <v>11513</v>
      </c>
      <c r="AG17622" s="831" t="s">
        <v>2674</v>
      </c>
      <c r="AH17622" s="831" t="s">
        <v>268</v>
      </c>
      <c r="AI17622" s="831">
        <v>0</v>
      </c>
      <c r="AJ17622" s="835">
        <v>41820</v>
      </c>
      <c r="AK17622" s="831">
        <v>18626919</v>
      </c>
    </row>
    <row r="17623" spans="2:37">
      <c r="B17623" s="834" t="str">
        <f t="shared" si="631"/>
        <v>|||</v>
      </c>
      <c r="H17623" s="835">
        <f t="shared" si="632"/>
        <v>31</v>
      </c>
      <c r="AF17623" s="831" t="s">
        <v>11514</v>
      </c>
      <c r="AG17623" s="831" t="s">
        <v>2674</v>
      </c>
      <c r="AH17623" s="831" t="s">
        <v>547</v>
      </c>
      <c r="AI17623" s="831">
        <v>0</v>
      </c>
      <c r="AJ17623" s="835">
        <v>41820</v>
      </c>
      <c r="AK17623" s="831">
        <v>777719977</v>
      </c>
    </row>
    <row r="17624" spans="2:37">
      <c r="B17624" s="834" t="str">
        <f t="shared" si="631"/>
        <v>|||</v>
      </c>
      <c r="H17624" s="835">
        <f t="shared" si="632"/>
        <v>31</v>
      </c>
      <c r="AF17624" s="831" t="s">
        <v>11515</v>
      </c>
      <c r="AG17624" s="831" t="s">
        <v>2674</v>
      </c>
      <c r="AH17624" s="831" t="s">
        <v>548</v>
      </c>
      <c r="AI17624" s="831">
        <v>0</v>
      </c>
      <c r="AJ17624" s="835">
        <v>41820</v>
      </c>
      <c r="AK17624" s="831">
        <v>117105496</v>
      </c>
    </row>
    <row r="17625" spans="2:37">
      <c r="B17625" s="834" t="str">
        <f t="shared" si="631"/>
        <v>|||</v>
      </c>
      <c r="H17625" s="835">
        <f t="shared" si="632"/>
        <v>31</v>
      </c>
      <c r="AF17625" s="831" t="s">
        <v>11516</v>
      </c>
      <c r="AG17625" s="831" t="s">
        <v>2674</v>
      </c>
      <c r="AH17625" s="831" t="s">
        <v>549</v>
      </c>
      <c r="AI17625" s="831">
        <v>0</v>
      </c>
      <c r="AJ17625" s="835">
        <v>41820</v>
      </c>
      <c r="AK17625" s="831">
        <v>514798833</v>
      </c>
    </row>
    <row r="17626" spans="2:37">
      <c r="B17626" s="834" t="str">
        <f t="shared" si="631"/>
        <v>|||</v>
      </c>
      <c r="H17626" s="835">
        <f t="shared" si="632"/>
        <v>31</v>
      </c>
      <c r="AF17626" s="831" t="s">
        <v>11517</v>
      </c>
      <c r="AG17626" s="831" t="s">
        <v>2674</v>
      </c>
      <c r="AH17626" s="831" t="s">
        <v>192</v>
      </c>
      <c r="AI17626" s="831">
        <v>0</v>
      </c>
      <c r="AJ17626" s="835">
        <v>41820</v>
      </c>
      <c r="AK17626" s="831">
        <v>-11632261</v>
      </c>
    </row>
    <row r="17627" spans="2:37">
      <c r="B17627" s="834" t="str">
        <f t="shared" si="631"/>
        <v>|||</v>
      </c>
      <c r="H17627" s="835">
        <f t="shared" si="632"/>
        <v>31</v>
      </c>
      <c r="AF17627" s="831" t="s">
        <v>11518</v>
      </c>
      <c r="AG17627" s="831" t="s">
        <v>2674</v>
      </c>
      <c r="AH17627" s="831" t="s">
        <v>558</v>
      </c>
      <c r="AI17627" s="831">
        <v>0</v>
      </c>
      <c r="AJ17627" s="835">
        <v>41820</v>
      </c>
      <c r="AK17627" s="831">
        <v>775838125</v>
      </c>
    </row>
    <row r="17628" spans="2:37">
      <c r="B17628" s="834" t="str">
        <f t="shared" si="631"/>
        <v>|||</v>
      </c>
      <c r="H17628" s="835">
        <f t="shared" si="632"/>
        <v>31</v>
      </c>
      <c r="AF17628" s="831" t="s">
        <v>11519</v>
      </c>
      <c r="AG17628" s="831" t="s">
        <v>2674</v>
      </c>
      <c r="AH17628" s="831" t="s">
        <v>65</v>
      </c>
      <c r="AI17628" s="831">
        <v>0</v>
      </c>
      <c r="AJ17628" s="835">
        <v>41820</v>
      </c>
      <c r="AK17628" s="831">
        <v>81270371</v>
      </c>
    </row>
    <row r="17629" spans="2:37">
      <c r="B17629" s="834" t="str">
        <f t="shared" si="631"/>
        <v>|||</v>
      </c>
      <c r="H17629" s="835">
        <f t="shared" si="632"/>
        <v>31</v>
      </c>
      <c r="AF17629" s="831" t="s">
        <v>11520</v>
      </c>
      <c r="AG17629" s="831" t="s">
        <v>2674</v>
      </c>
      <c r="AH17629" s="831" t="s">
        <v>89</v>
      </c>
      <c r="AI17629" s="831">
        <v>0</v>
      </c>
      <c r="AJ17629" s="835">
        <v>41820</v>
      </c>
      <c r="AK17629" s="831">
        <v>156581</v>
      </c>
    </row>
    <row r="17630" spans="2:37">
      <c r="B17630" s="834" t="str">
        <f t="shared" si="631"/>
        <v>|||</v>
      </c>
      <c r="H17630" s="835">
        <f t="shared" si="632"/>
        <v>31</v>
      </c>
      <c r="AF17630" s="831" t="s">
        <v>11521</v>
      </c>
      <c r="AG17630" s="831" t="s">
        <v>2674</v>
      </c>
      <c r="AH17630" s="831" t="s">
        <v>557</v>
      </c>
      <c r="AI17630" s="831">
        <v>0</v>
      </c>
      <c r="AJ17630" s="835">
        <v>41820</v>
      </c>
      <c r="AK17630" s="831">
        <v>175816</v>
      </c>
    </row>
    <row r="17631" spans="2:37">
      <c r="B17631" s="834" t="str">
        <f t="shared" si="631"/>
        <v>|||</v>
      </c>
      <c r="H17631" s="835">
        <f t="shared" si="632"/>
        <v>31</v>
      </c>
      <c r="AF17631" s="831" t="s">
        <v>11522</v>
      </c>
      <c r="AG17631" s="831" t="s">
        <v>2674</v>
      </c>
      <c r="AH17631" s="831" t="s">
        <v>29</v>
      </c>
      <c r="AI17631" s="831">
        <v>0</v>
      </c>
      <c r="AJ17631" s="835">
        <v>41820</v>
      </c>
      <c r="AK17631" s="831">
        <v>1326248.81</v>
      </c>
    </row>
    <row r="17632" spans="2:37">
      <c r="B17632" s="834" t="str">
        <f t="shared" si="631"/>
        <v>|||</v>
      </c>
      <c r="H17632" s="835">
        <f t="shared" si="632"/>
        <v>31</v>
      </c>
      <c r="AF17632" s="831" t="s">
        <v>11523</v>
      </c>
      <c r="AG17632" s="831" t="s">
        <v>2674</v>
      </c>
      <c r="AH17632" s="831" t="s">
        <v>2688</v>
      </c>
      <c r="AI17632" s="831">
        <v>0</v>
      </c>
      <c r="AJ17632" s="835">
        <v>41820</v>
      </c>
      <c r="AK17632" s="831">
        <v>4329800.9399999995</v>
      </c>
    </row>
    <row r="17633" spans="2:37">
      <c r="B17633" s="834" t="str">
        <f t="shared" si="631"/>
        <v>|||</v>
      </c>
      <c r="H17633" s="835">
        <f t="shared" si="632"/>
        <v>31</v>
      </c>
      <c r="AF17633" s="831" t="s">
        <v>11524</v>
      </c>
      <c r="AG17633" s="831" t="s">
        <v>2674</v>
      </c>
      <c r="AH17633" s="831" t="s">
        <v>556</v>
      </c>
      <c r="AI17633" s="831">
        <v>0</v>
      </c>
      <c r="AJ17633" s="835">
        <v>41820</v>
      </c>
      <c r="AK17633" s="831">
        <v>3274918</v>
      </c>
    </row>
    <row r="17634" spans="2:37">
      <c r="B17634" s="834" t="str">
        <f t="shared" si="631"/>
        <v>|||</v>
      </c>
      <c r="H17634" s="835">
        <f t="shared" si="632"/>
        <v>31</v>
      </c>
      <c r="AF17634" s="831" t="s">
        <v>11525</v>
      </c>
      <c r="AG17634" s="831" t="s">
        <v>2674</v>
      </c>
      <c r="AH17634" s="831" t="s">
        <v>555</v>
      </c>
      <c r="AI17634" s="831">
        <v>0</v>
      </c>
      <c r="AJ17634" s="835">
        <v>41820</v>
      </c>
      <c r="AK17634" s="831">
        <v>507133542</v>
      </c>
    </row>
    <row r="17635" spans="2:37">
      <c r="B17635" s="834" t="str">
        <f t="shared" si="631"/>
        <v>|||</v>
      </c>
      <c r="H17635" s="835">
        <f t="shared" si="632"/>
        <v>31</v>
      </c>
      <c r="AF17635" s="831" t="s">
        <v>11526</v>
      </c>
      <c r="AG17635" s="831" t="s">
        <v>2674</v>
      </c>
      <c r="AH17635" s="831" t="s">
        <v>554</v>
      </c>
      <c r="AI17635" s="831">
        <v>0</v>
      </c>
      <c r="AJ17635" s="835">
        <v>41820</v>
      </c>
      <c r="AK17635" s="831">
        <v>519019570</v>
      </c>
    </row>
    <row r="17636" spans="2:37">
      <c r="B17636" s="834" t="str">
        <f t="shared" si="631"/>
        <v>|||</v>
      </c>
      <c r="H17636" s="835">
        <f t="shared" si="632"/>
        <v>31</v>
      </c>
      <c r="AF17636" s="831" t="s">
        <v>11527</v>
      </c>
      <c r="AG17636" s="831" t="s">
        <v>2674</v>
      </c>
      <c r="AH17636" s="831" t="s">
        <v>553</v>
      </c>
      <c r="AI17636" s="831">
        <v>0</v>
      </c>
      <c r="AJ17636" s="835">
        <v>41820</v>
      </c>
      <c r="AK17636" s="831">
        <v>0</v>
      </c>
    </row>
    <row r="17637" spans="2:37">
      <c r="B17637" s="834" t="str">
        <f t="shared" si="631"/>
        <v>|||</v>
      </c>
      <c r="H17637" s="835">
        <f t="shared" si="632"/>
        <v>31</v>
      </c>
      <c r="AF17637" s="831" t="s">
        <v>11528</v>
      </c>
      <c r="AG17637" s="831" t="s">
        <v>2674</v>
      </c>
      <c r="AH17637" s="831" t="s">
        <v>552</v>
      </c>
      <c r="AI17637" s="831">
        <v>0</v>
      </c>
      <c r="AJ17637" s="835">
        <v>41820</v>
      </c>
      <c r="AK17637" s="831">
        <v>0</v>
      </c>
    </row>
    <row r="17638" spans="2:37">
      <c r="B17638" s="834" t="str">
        <f t="shared" si="631"/>
        <v>|||</v>
      </c>
      <c r="H17638" s="835">
        <f t="shared" si="632"/>
        <v>31</v>
      </c>
      <c r="AF17638" s="831" t="s">
        <v>11529</v>
      </c>
      <c r="AG17638" s="831" t="s">
        <v>2674</v>
      </c>
      <c r="AH17638" s="831" t="s">
        <v>551</v>
      </c>
      <c r="AI17638" s="831">
        <v>0</v>
      </c>
      <c r="AJ17638" s="835">
        <v>41820</v>
      </c>
      <c r="AK17638" s="831">
        <v>950588.81</v>
      </c>
    </row>
    <row r="17639" spans="2:37">
      <c r="B17639" s="834" t="str">
        <f t="shared" si="631"/>
        <v>|||</v>
      </c>
      <c r="H17639" s="835">
        <f t="shared" si="632"/>
        <v>31</v>
      </c>
      <c r="AF17639" s="831" t="s">
        <v>11530</v>
      </c>
      <c r="AG17639" s="831" t="s">
        <v>2674</v>
      </c>
      <c r="AH17639" s="831" t="s">
        <v>550</v>
      </c>
      <c r="AI17639" s="831">
        <v>0</v>
      </c>
      <c r="AJ17639" s="835">
        <v>41820</v>
      </c>
      <c r="AK17639" s="831">
        <v>131163748</v>
      </c>
    </row>
    <row r="17640" spans="2:37">
      <c r="B17640" s="834" t="str">
        <f t="shared" si="631"/>
        <v>|||</v>
      </c>
      <c r="H17640" s="835">
        <f t="shared" si="632"/>
        <v>31</v>
      </c>
      <c r="AF17640" s="831" t="s">
        <v>11531</v>
      </c>
      <c r="AG17640" s="831" t="s">
        <v>2674</v>
      </c>
      <c r="AH17640" s="831" t="s">
        <v>562</v>
      </c>
      <c r="AI17640" s="831">
        <v>0</v>
      </c>
      <c r="AJ17640" s="835">
        <v>41820</v>
      </c>
      <c r="AK17640" s="831">
        <v>0.78374999999999995</v>
      </c>
    </row>
    <row r="17641" spans="2:37">
      <c r="B17641" s="834" t="str">
        <f t="shared" si="631"/>
        <v>|||</v>
      </c>
      <c r="H17641" s="835">
        <f t="shared" si="632"/>
        <v>31</v>
      </c>
      <c r="AF17641" s="831" t="s">
        <v>11532</v>
      </c>
      <c r="AG17641" s="831" t="s">
        <v>2674</v>
      </c>
      <c r="AH17641" s="831" t="s">
        <v>2698</v>
      </c>
      <c r="AI17641" s="831">
        <v>0</v>
      </c>
      <c r="AJ17641" s="835">
        <v>41820</v>
      </c>
      <c r="AK17641" s="831">
        <v>0.78385000000000005</v>
      </c>
    </row>
    <row r="17642" spans="2:37">
      <c r="B17642" s="834" t="str">
        <f t="shared" si="631"/>
        <v>|||</v>
      </c>
      <c r="H17642" s="835">
        <f t="shared" si="632"/>
        <v>31</v>
      </c>
      <c r="AF17642" s="831" t="s">
        <v>11533</v>
      </c>
      <c r="AG17642" s="831" t="s">
        <v>2674</v>
      </c>
      <c r="AH17642" s="831" t="s">
        <v>560</v>
      </c>
      <c r="AI17642" s="831">
        <v>0</v>
      </c>
      <c r="AJ17642" s="835">
        <v>41820</v>
      </c>
      <c r="AK17642" s="831">
        <v>0.78376666666666672</v>
      </c>
    </row>
    <row r="17643" spans="2:37">
      <c r="B17643" s="834" t="str">
        <f t="shared" si="631"/>
        <v>|||</v>
      </c>
      <c r="H17643" s="835">
        <f t="shared" si="632"/>
        <v>31</v>
      </c>
      <c r="AF17643" s="831" t="s">
        <v>11534</v>
      </c>
      <c r="AG17643" s="831" t="s">
        <v>2674</v>
      </c>
      <c r="AH17643" s="831" t="s">
        <v>559</v>
      </c>
      <c r="AI17643" s="831">
        <v>0</v>
      </c>
      <c r="AJ17643" s="835">
        <v>41820</v>
      </c>
      <c r="AK17643" s="831">
        <v>0.783775</v>
      </c>
    </row>
    <row r="17644" spans="2:37">
      <c r="B17644" s="834" t="str">
        <f t="shared" si="631"/>
        <v>|||</v>
      </c>
      <c r="H17644" s="835">
        <f t="shared" si="632"/>
        <v>31</v>
      </c>
      <c r="AF17644" s="831" t="s">
        <v>11535</v>
      </c>
      <c r="AG17644" s="831" t="s">
        <v>2674</v>
      </c>
      <c r="AH17644" s="831" t="s">
        <v>568</v>
      </c>
      <c r="AI17644" s="831">
        <v>0</v>
      </c>
      <c r="AJ17644" s="835">
        <v>41820</v>
      </c>
      <c r="AK17644" s="831">
        <v>619891357.84230769</v>
      </c>
    </row>
    <row r="17645" spans="2:37">
      <c r="B17645" s="834" t="str">
        <f t="shared" si="631"/>
        <v>|||</v>
      </c>
      <c r="H17645" s="835">
        <f t="shared" si="632"/>
        <v>31</v>
      </c>
      <c r="AF17645" s="831" t="s">
        <v>11536</v>
      </c>
      <c r="AG17645" s="831" t="s">
        <v>2674</v>
      </c>
      <c r="AH17645" s="831" t="s">
        <v>569</v>
      </c>
      <c r="AI17645" s="831">
        <v>0</v>
      </c>
      <c r="AJ17645" s="835">
        <v>41820</v>
      </c>
      <c r="AK17645" s="831">
        <v>763501602.97330773</v>
      </c>
    </row>
    <row r="17646" spans="2:37">
      <c r="B17646" s="834" t="str">
        <f t="shared" si="631"/>
        <v>|||</v>
      </c>
      <c r="H17646" s="835">
        <f t="shared" si="632"/>
        <v>31</v>
      </c>
      <c r="AF17646" s="831" t="s">
        <v>11537</v>
      </c>
      <c r="AG17646" s="831" t="s">
        <v>2674</v>
      </c>
      <c r="AH17646" s="831" t="s">
        <v>570</v>
      </c>
      <c r="AI17646" s="831">
        <v>0</v>
      </c>
      <c r="AJ17646" s="835">
        <v>41820</v>
      </c>
      <c r="AK17646" s="831">
        <v>120238638.75123075</v>
      </c>
    </row>
    <row r="17647" spans="2:37">
      <c r="B17647" s="834" t="str">
        <f t="shared" si="631"/>
        <v>|||</v>
      </c>
      <c r="H17647" s="835">
        <f t="shared" si="632"/>
        <v>31</v>
      </c>
      <c r="AF17647" s="831" t="s">
        <v>11538</v>
      </c>
      <c r="AG17647" s="831" t="s">
        <v>2674</v>
      </c>
      <c r="AH17647" s="831" t="s">
        <v>571</v>
      </c>
      <c r="AI17647" s="831">
        <v>0</v>
      </c>
      <c r="AJ17647" s="835">
        <v>41820</v>
      </c>
      <c r="AK17647" s="831">
        <v>372900260.97484618</v>
      </c>
    </row>
    <row r="17648" spans="2:37">
      <c r="B17648" s="834" t="str">
        <f t="shared" si="631"/>
        <v>|||</v>
      </c>
      <c r="H17648" s="835">
        <f t="shared" si="632"/>
        <v>31</v>
      </c>
      <c r="AF17648" s="831" t="s">
        <v>11539</v>
      </c>
      <c r="AG17648" s="831" t="s">
        <v>2674</v>
      </c>
      <c r="AH17648" s="831" t="s">
        <v>573</v>
      </c>
      <c r="AI17648" s="831">
        <v>0</v>
      </c>
      <c r="AJ17648" s="835">
        <v>41820</v>
      </c>
      <c r="AK17648" s="831">
        <v>829703301.08042848</v>
      </c>
    </row>
    <row r="17649" spans="2:37">
      <c r="B17649" s="834" t="str">
        <f t="shared" si="631"/>
        <v>|||</v>
      </c>
      <c r="H17649" s="835">
        <f t="shared" si="632"/>
        <v>31</v>
      </c>
      <c r="AF17649" s="831" t="s">
        <v>11540</v>
      </c>
      <c r="AG17649" s="831" t="s">
        <v>2674</v>
      </c>
      <c r="AH17649" s="831" t="s">
        <v>574</v>
      </c>
      <c r="AI17649" s="831">
        <v>0</v>
      </c>
      <c r="AJ17649" s="835">
        <v>41820</v>
      </c>
      <c r="AK17649" s="831">
        <v>674628835.57142854</v>
      </c>
    </row>
    <row r="17650" spans="2:37">
      <c r="B17650" s="834" t="str">
        <f t="shared" si="631"/>
        <v>|||</v>
      </c>
      <c r="H17650" s="835">
        <f t="shared" si="632"/>
        <v>31</v>
      </c>
      <c r="AF17650" s="831" t="s">
        <v>11541</v>
      </c>
      <c r="AG17650" s="831" t="s">
        <v>2674</v>
      </c>
      <c r="AH17650" s="831" t="s">
        <v>575</v>
      </c>
      <c r="AI17650" s="831">
        <v>0</v>
      </c>
      <c r="AJ17650" s="835">
        <v>41820</v>
      </c>
      <c r="AK17650" s="831">
        <v>124242857.13</v>
      </c>
    </row>
    <row r="17651" spans="2:37">
      <c r="B17651" s="834" t="str">
        <f t="shared" si="631"/>
        <v>|||</v>
      </c>
      <c r="H17651" s="835">
        <f t="shared" si="632"/>
        <v>31</v>
      </c>
      <c r="AF17651" s="831" t="s">
        <v>11542</v>
      </c>
      <c r="AG17651" s="831" t="s">
        <v>2674</v>
      </c>
      <c r="AH17651" s="831" t="s">
        <v>576</v>
      </c>
      <c r="AI17651" s="831">
        <v>0</v>
      </c>
      <c r="AJ17651" s="835">
        <v>41820</v>
      </c>
      <c r="AK17651" s="831">
        <v>407269836.23014289</v>
      </c>
    </row>
    <row r="17652" spans="2:37">
      <c r="B17652" s="834" t="str">
        <f t="shared" si="631"/>
        <v>|||</v>
      </c>
      <c r="H17652" s="835">
        <f t="shared" si="632"/>
        <v>31</v>
      </c>
      <c r="AF17652" s="831" t="s">
        <v>11543</v>
      </c>
      <c r="AG17652" s="831" t="s">
        <v>2674</v>
      </c>
      <c r="AH17652" s="831" t="s">
        <v>572</v>
      </c>
      <c r="AI17652" s="831">
        <v>0</v>
      </c>
      <c r="AJ17652" s="835">
        <v>41820</v>
      </c>
      <c r="AK17652" s="831">
        <v>32506327.956000008</v>
      </c>
    </row>
    <row r="17653" spans="2:37">
      <c r="B17653" s="834" t="str">
        <f t="shared" si="631"/>
        <v>|||</v>
      </c>
      <c r="H17653" s="835">
        <f t="shared" si="632"/>
        <v>31</v>
      </c>
      <c r="AF17653" s="831" t="s">
        <v>11544</v>
      </c>
      <c r="AG17653" s="831" t="s">
        <v>2674</v>
      </c>
      <c r="AH17653" s="831" t="s">
        <v>577</v>
      </c>
      <c r="AI17653" s="831">
        <v>0</v>
      </c>
      <c r="AJ17653" s="835">
        <v>41820</v>
      </c>
      <c r="AK17653" s="831">
        <v>153933560.76300001</v>
      </c>
    </row>
    <row r="17654" spans="2:37">
      <c r="B17654" s="834" t="str">
        <f t="shared" si="631"/>
        <v>|||</v>
      </c>
      <c r="H17654" s="835">
        <f t="shared" si="632"/>
        <v>31</v>
      </c>
      <c r="AF17654" s="831" t="s">
        <v>11545</v>
      </c>
      <c r="AG17654" s="831" t="s">
        <v>2674</v>
      </c>
      <c r="AH17654" s="831" t="s">
        <v>3042</v>
      </c>
      <c r="AI17654" s="831">
        <v>0</v>
      </c>
      <c r="AJ17654" s="835">
        <v>41820</v>
      </c>
      <c r="AK17654" s="831">
        <v>-43087678.527000003</v>
      </c>
    </row>
    <row r="17655" spans="2:37">
      <c r="B17655" s="834" t="str">
        <f t="shared" si="631"/>
        <v>|||</v>
      </c>
      <c r="H17655" s="835">
        <f t="shared" si="632"/>
        <v>31</v>
      </c>
      <c r="AF17655" s="831" t="s">
        <v>11546</v>
      </c>
      <c r="AG17655" s="831" t="s">
        <v>2674</v>
      </c>
      <c r="AH17655" s="831" t="s">
        <v>3044</v>
      </c>
      <c r="AI17655" s="831">
        <v>0</v>
      </c>
      <c r="AJ17655" s="835">
        <v>41820</v>
      </c>
      <c r="AK17655" s="831">
        <v>-2538336.8899999997</v>
      </c>
    </row>
    <row r="17656" spans="2:37">
      <c r="B17656" s="834" t="str">
        <f t="shared" si="631"/>
        <v>|||</v>
      </c>
      <c r="H17656" s="835">
        <f t="shared" si="632"/>
        <v>31</v>
      </c>
      <c r="AF17656" s="831" t="s">
        <v>11547</v>
      </c>
      <c r="AG17656" s="831" t="s">
        <v>2674</v>
      </c>
      <c r="AH17656" s="831" t="s">
        <v>580</v>
      </c>
      <c r="AI17656" s="831">
        <v>0</v>
      </c>
      <c r="AJ17656" s="835">
        <v>41820</v>
      </c>
      <c r="AK17656" s="831">
        <v>-71232950.306999996</v>
      </c>
    </row>
    <row r="17657" spans="2:37">
      <c r="B17657" s="834" t="str">
        <f t="shared" si="631"/>
        <v>|||</v>
      </c>
      <c r="H17657" s="835">
        <f t="shared" si="632"/>
        <v>31</v>
      </c>
      <c r="AF17657" s="831" t="s">
        <v>11548</v>
      </c>
      <c r="AG17657" s="831" t="s">
        <v>2674</v>
      </c>
      <c r="AH17657" s="831" t="s">
        <v>581</v>
      </c>
      <c r="AI17657" s="831">
        <v>0</v>
      </c>
      <c r="AJ17657" s="835">
        <v>41820</v>
      </c>
      <c r="AK17657" s="831">
        <v>5389272.8940000003</v>
      </c>
    </row>
    <row r="17658" spans="2:37">
      <c r="B17658" s="834" t="str">
        <f t="shared" si="631"/>
        <v>|||</v>
      </c>
      <c r="H17658" s="835">
        <f t="shared" si="632"/>
        <v>31</v>
      </c>
      <c r="AF17658" s="831" t="s">
        <v>11549</v>
      </c>
      <c r="AG17658" s="831" t="s">
        <v>2674</v>
      </c>
      <c r="AH17658" s="831" t="s">
        <v>105</v>
      </c>
      <c r="AI17658" s="831">
        <v>0</v>
      </c>
      <c r="AJ17658" s="835">
        <v>41820</v>
      </c>
      <c r="AK17658" s="831">
        <v>455536132</v>
      </c>
    </row>
    <row r="17659" spans="2:37">
      <c r="B17659" s="834" t="str">
        <f t="shared" si="631"/>
        <v>|||</v>
      </c>
      <c r="H17659" s="835">
        <f t="shared" si="632"/>
        <v>31</v>
      </c>
      <c r="AF17659" s="831" t="s">
        <v>11550</v>
      </c>
      <c r="AG17659" s="831" t="s">
        <v>2674</v>
      </c>
      <c r="AH17659" s="831" t="s">
        <v>3049</v>
      </c>
      <c r="AI17659" s="831">
        <v>0</v>
      </c>
      <c r="AJ17659" s="835">
        <v>41820</v>
      </c>
      <c r="AK17659" s="831">
        <v>754458364</v>
      </c>
    </row>
    <row r="17660" spans="2:37">
      <c r="B17660" s="834" t="str">
        <f t="shared" si="631"/>
        <v>|||</v>
      </c>
      <c r="H17660" s="835">
        <f t="shared" si="632"/>
        <v>31</v>
      </c>
      <c r="AF17660" s="831" t="s">
        <v>11551</v>
      </c>
      <c r="AG17660" s="831" t="s">
        <v>2674</v>
      </c>
      <c r="AH17660" s="831" t="s">
        <v>103</v>
      </c>
      <c r="AI17660" s="831">
        <v>0</v>
      </c>
      <c r="AJ17660" s="835">
        <v>41820</v>
      </c>
      <c r="AK17660" s="831">
        <v>298922232</v>
      </c>
    </row>
    <row r="17661" spans="2:37">
      <c r="B17661" s="834" t="str">
        <f t="shared" si="631"/>
        <v>|||</v>
      </c>
      <c r="H17661" s="835">
        <f t="shared" si="632"/>
        <v>31</v>
      </c>
      <c r="AF17661" s="831" t="s">
        <v>11552</v>
      </c>
      <c r="AG17661" s="831" t="s">
        <v>2674</v>
      </c>
      <c r="AH17661" s="831" t="s">
        <v>182</v>
      </c>
      <c r="AI17661" s="831">
        <v>0</v>
      </c>
      <c r="AJ17661" s="835">
        <v>41820</v>
      </c>
      <c r="AK17661" s="831">
        <v>71693060</v>
      </c>
    </row>
    <row r="17662" spans="2:37">
      <c r="B17662" s="834" t="str">
        <f t="shared" si="631"/>
        <v>|||</v>
      </c>
      <c r="H17662" s="835">
        <f t="shared" si="632"/>
        <v>31</v>
      </c>
      <c r="AF17662" s="831" t="s">
        <v>11553</v>
      </c>
      <c r="AG17662" s="831" t="s">
        <v>2674</v>
      </c>
      <c r="AH17662" s="831" t="s">
        <v>6600</v>
      </c>
      <c r="AI17662" s="831">
        <v>0</v>
      </c>
      <c r="AJ17662" s="835">
        <v>41820</v>
      </c>
      <c r="AK17662" s="831">
        <v>32506327.956000008</v>
      </c>
    </row>
    <row r="17663" spans="2:37">
      <c r="B17663" s="834" t="str">
        <f t="shared" si="631"/>
        <v>|||</v>
      </c>
      <c r="H17663" s="835">
        <f t="shared" si="632"/>
        <v>31</v>
      </c>
      <c r="AF17663" s="831" t="s">
        <v>11554</v>
      </c>
      <c r="AG17663" s="831" t="s">
        <v>2674</v>
      </c>
      <c r="AH17663" s="831" t="s">
        <v>6602</v>
      </c>
      <c r="AI17663" s="831">
        <v>0</v>
      </c>
      <c r="AJ17663" s="835">
        <v>41820</v>
      </c>
      <c r="AK17663" s="831">
        <v>18626919</v>
      </c>
    </row>
    <row r="17664" spans="2:37">
      <c r="B17664" s="834" t="str">
        <f t="shared" si="631"/>
        <v>|||</v>
      </c>
      <c r="H17664" s="835">
        <f t="shared" si="632"/>
        <v>31</v>
      </c>
      <c r="AF17664" s="831" t="s">
        <v>11555</v>
      </c>
      <c r="AG17664" s="831" t="s">
        <v>2674</v>
      </c>
      <c r="AH17664" s="831" t="s">
        <v>650</v>
      </c>
      <c r="AI17664" s="831">
        <v>0</v>
      </c>
      <c r="AJ17664" s="835">
        <v>41820</v>
      </c>
      <c r="AK17664" s="831">
        <v>250141744.03992307</v>
      </c>
    </row>
    <row r="17665" spans="2:37">
      <c r="B17665" s="834" t="str">
        <f t="shared" si="631"/>
        <v>|||</v>
      </c>
      <c r="H17665" s="835">
        <f t="shared" si="632"/>
        <v>31</v>
      </c>
      <c r="AF17665" s="831" t="s">
        <v>11556</v>
      </c>
      <c r="AG17665" s="831" t="s">
        <v>2674</v>
      </c>
      <c r="AH17665" s="831" t="s">
        <v>655</v>
      </c>
      <c r="AI17665" s="831">
        <v>0</v>
      </c>
      <c r="AJ17665" s="835">
        <v>41820</v>
      </c>
      <c r="AK17665" s="831">
        <v>739333.81</v>
      </c>
    </row>
    <row r="17666" spans="2:37">
      <c r="B17666" s="834" t="str">
        <f t="shared" si="631"/>
        <v>|||</v>
      </c>
      <c r="H17666" s="835">
        <f t="shared" si="632"/>
        <v>31</v>
      </c>
      <c r="AF17666" s="831" t="s">
        <v>11557</v>
      </c>
      <c r="AG17666" s="831" t="s">
        <v>2674</v>
      </c>
      <c r="AH17666" s="831" t="s">
        <v>546</v>
      </c>
      <c r="AI17666" s="831">
        <v>0</v>
      </c>
      <c r="AJ17666" s="835">
        <v>41851</v>
      </c>
      <c r="AK17666" s="831">
        <v>739176022</v>
      </c>
    </row>
    <row r="17667" spans="2:37">
      <c r="B17667" s="834" t="str">
        <f t="shared" si="631"/>
        <v>|||</v>
      </c>
      <c r="H17667" s="835">
        <f t="shared" si="632"/>
        <v>31</v>
      </c>
      <c r="AF17667" s="831" t="s">
        <v>11558</v>
      </c>
      <c r="AG17667" s="831" t="s">
        <v>2674</v>
      </c>
      <c r="AH17667" s="831" t="s">
        <v>370</v>
      </c>
      <c r="AI17667" s="831">
        <v>0</v>
      </c>
      <c r="AJ17667" s="835">
        <v>41851</v>
      </c>
      <c r="AK17667" s="831">
        <v>937279545</v>
      </c>
    </row>
    <row r="17668" spans="2:37">
      <c r="B17668" s="834" t="str">
        <f t="shared" si="631"/>
        <v>|||</v>
      </c>
      <c r="H17668" s="835">
        <f t="shared" si="632"/>
        <v>31</v>
      </c>
      <c r="AF17668" s="831" t="s">
        <v>11559</v>
      </c>
      <c r="AG17668" s="831" t="s">
        <v>2674</v>
      </c>
      <c r="AH17668" s="831" t="s">
        <v>126</v>
      </c>
      <c r="AI17668" s="831">
        <v>0</v>
      </c>
      <c r="AJ17668" s="835">
        <v>41851</v>
      </c>
      <c r="AK17668" s="831">
        <v>138005087</v>
      </c>
    </row>
    <row r="17669" spans="2:37">
      <c r="B17669" s="834" t="str">
        <f t="shared" si="631"/>
        <v>|||</v>
      </c>
      <c r="H17669" s="835">
        <f t="shared" si="632"/>
        <v>31</v>
      </c>
      <c r="AF17669" s="831" t="s">
        <v>11560</v>
      </c>
      <c r="AG17669" s="831" t="s">
        <v>2674</v>
      </c>
      <c r="AH17669" s="831" t="s">
        <v>268</v>
      </c>
      <c r="AI17669" s="831">
        <v>0</v>
      </c>
      <c r="AJ17669" s="835">
        <v>41851</v>
      </c>
      <c r="AK17669" s="831">
        <v>22009267</v>
      </c>
    </row>
    <row r="17670" spans="2:37">
      <c r="B17670" s="834" t="str">
        <f t="shared" si="631"/>
        <v>|||</v>
      </c>
      <c r="H17670" s="835">
        <f t="shared" si="632"/>
        <v>31</v>
      </c>
      <c r="AF17670" s="831" t="s">
        <v>11561</v>
      </c>
      <c r="AG17670" s="831" t="s">
        <v>2674</v>
      </c>
      <c r="AH17670" s="831" t="s">
        <v>547</v>
      </c>
      <c r="AI17670" s="831">
        <v>0</v>
      </c>
      <c r="AJ17670" s="835">
        <v>41851</v>
      </c>
      <c r="AK17670" s="831">
        <v>777719977</v>
      </c>
    </row>
    <row r="17671" spans="2:37">
      <c r="B17671" s="834" t="str">
        <f t="shared" si="631"/>
        <v>|||</v>
      </c>
      <c r="H17671" s="835">
        <f t="shared" si="632"/>
        <v>31</v>
      </c>
      <c r="AF17671" s="831" t="s">
        <v>11562</v>
      </c>
      <c r="AG17671" s="831" t="s">
        <v>2674</v>
      </c>
      <c r="AH17671" s="831" t="s">
        <v>548</v>
      </c>
      <c r="AI17671" s="831">
        <v>0</v>
      </c>
      <c r="AJ17671" s="835">
        <v>41851</v>
      </c>
      <c r="AK17671" s="831">
        <v>117105496</v>
      </c>
    </row>
    <row r="17672" spans="2:37">
      <c r="B17672" s="834" t="str">
        <f t="shared" si="631"/>
        <v>|||</v>
      </c>
      <c r="H17672" s="835">
        <f t="shared" si="632"/>
        <v>31</v>
      </c>
      <c r="AF17672" s="831" t="s">
        <v>11563</v>
      </c>
      <c r="AG17672" s="831" t="s">
        <v>2674</v>
      </c>
      <c r="AH17672" s="831" t="s">
        <v>549</v>
      </c>
      <c r="AI17672" s="831">
        <v>0</v>
      </c>
      <c r="AJ17672" s="835">
        <v>41851</v>
      </c>
      <c r="AK17672" s="831">
        <v>530405930</v>
      </c>
    </row>
    <row r="17673" spans="2:37">
      <c r="B17673" s="834" t="str">
        <f t="shared" si="631"/>
        <v>|||</v>
      </c>
      <c r="H17673" s="835">
        <f t="shared" si="632"/>
        <v>31</v>
      </c>
      <c r="AF17673" s="831" t="s">
        <v>11564</v>
      </c>
      <c r="AG17673" s="831" t="s">
        <v>2674</v>
      </c>
      <c r="AH17673" s="831" t="s">
        <v>192</v>
      </c>
      <c r="AI17673" s="831">
        <v>0</v>
      </c>
      <c r="AJ17673" s="835">
        <v>41851</v>
      </c>
      <c r="AK17673" s="831">
        <v>-11408077</v>
      </c>
    </row>
    <row r="17674" spans="2:37">
      <c r="B17674" s="834" t="str">
        <f t="shared" si="631"/>
        <v>|||</v>
      </c>
      <c r="H17674" s="835">
        <f t="shared" si="632"/>
        <v>31</v>
      </c>
      <c r="AF17674" s="831" t="s">
        <v>11565</v>
      </c>
      <c r="AG17674" s="831" t="s">
        <v>2674</v>
      </c>
      <c r="AH17674" s="831" t="s">
        <v>558</v>
      </c>
      <c r="AI17674" s="831">
        <v>0</v>
      </c>
      <c r="AJ17674" s="835">
        <v>41851</v>
      </c>
      <c r="AK17674" s="831">
        <v>799274458</v>
      </c>
    </row>
    <row r="17675" spans="2:37">
      <c r="B17675" s="834" t="str">
        <f t="shared" si="631"/>
        <v>|||</v>
      </c>
      <c r="H17675" s="835">
        <f t="shared" si="632"/>
        <v>31</v>
      </c>
      <c r="AF17675" s="831" t="s">
        <v>11566</v>
      </c>
      <c r="AG17675" s="831" t="s">
        <v>2674</v>
      </c>
      <c r="AH17675" s="831" t="s">
        <v>65</v>
      </c>
      <c r="AI17675" s="831">
        <v>0</v>
      </c>
      <c r="AJ17675" s="835">
        <v>41851</v>
      </c>
      <c r="AK17675" s="831">
        <v>96150192</v>
      </c>
    </row>
    <row r="17676" spans="2:37">
      <c r="B17676" s="834" t="str">
        <f t="shared" si="631"/>
        <v>|||</v>
      </c>
      <c r="H17676" s="835">
        <f t="shared" si="632"/>
        <v>31</v>
      </c>
      <c r="AF17676" s="831" t="s">
        <v>11567</v>
      </c>
      <c r="AG17676" s="831" t="s">
        <v>2674</v>
      </c>
      <c r="AH17676" s="831" t="s">
        <v>89</v>
      </c>
      <c r="AI17676" s="831">
        <v>0</v>
      </c>
      <c r="AJ17676" s="835">
        <v>41851</v>
      </c>
      <c r="AK17676" s="831">
        <v>157312</v>
      </c>
    </row>
    <row r="17677" spans="2:37">
      <c r="B17677" s="834" t="str">
        <f t="shared" si="631"/>
        <v>|||</v>
      </c>
      <c r="H17677" s="835">
        <f t="shared" si="632"/>
        <v>31</v>
      </c>
      <c r="AF17677" s="831" t="s">
        <v>11568</v>
      </c>
      <c r="AG17677" s="831" t="s">
        <v>2674</v>
      </c>
      <c r="AH17677" s="831" t="s">
        <v>557</v>
      </c>
      <c r="AI17677" s="831">
        <v>0</v>
      </c>
      <c r="AJ17677" s="835">
        <v>41851</v>
      </c>
      <c r="AK17677" s="831">
        <v>177567</v>
      </c>
    </row>
    <row r="17678" spans="2:37">
      <c r="B17678" s="834" t="str">
        <f t="shared" si="631"/>
        <v>|||</v>
      </c>
      <c r="H17678" s="835">
        <f t="shared" si="632"/>
        <v>31</v>
      </c>
      <c r="AF17678" s="831" t="s">
        <v>11569</v>
      </c>
      <c r="AG17678" s="831" t="s">
        <v>2674</v>
      </c>
      <c r="AH17678" s="831" t="s">
        <v>29</v>
      </c>
      <c r="AI17678" s="831">
        <v>0</v>
      </c>
      <c r="AJ17678" s="835">
        <v>41851</v>
      </c>
      <c r="AK17678" s="831">
        <v>1565767.49</v>
      </c>
    </row>
    <row r="17679" spans="2:37">
      <c r="B17679" s="834" t="str">
        <f t="shared" si="631"/>
        <v>|||</v>
      </c>
      <c r="H17679" s="835">
        <f t="shared" si="632"/>
        <v>31</v>
      </c>
      <c r="AF17679" s="831" t="s">
        <v>11570</v>
      </c>
      <c r="AG17679" s="831" t="s">
        <v>2674</v>
      </c>
      <c r="AH17679" s="831" t="s">
        <v>2688</v>
      </c>
      <c r="AI17679" s="831">
        <v>0</v>
      </c>
      <c r="AJ17679" s="835">
        <v>41851</v>
      </c>
      <c r="AK17679" s="831">
        <v>4315667.13</v>
      </c>
    </row>
    <row r="17680" spans="2:37">
      <c r="B17680" s="834" t="str">
        <f t="shared" si="631"/>
        <v>|||</v>
      </c>
      <c r="H17680" s="835">
        <f t="shared" si="632"/>
        <v>31</v>
      </c>
      <c r="AF17680" s="831" t="s">
        <v>11571</v>
      </c>
      <c r="AG17680" s="831" t="s">
        <v>2674</v>
      </c>
      <c r="AH17680" s="831" t="s">
        <v>556</v>
      </c>
      <c r="AI17680" s="831">
        <v>0</v>
      </c>
      <c r="AJ17680" s="835">
        <v>41851</v>
      </c>
      <c r="AK17680" s="831">
        <v>3260165</v>
      </c>
    </row>
    <row r="17681" spans="2:37">
      <c r="B17681" s="834" t="str">
        <f t="shared" ref="B17681:B17744" si="633">C17681&amp;"|"&amp;D17681&amp;"|"&amp;E17681&amp;"|"&amp;F17681</f>
        <v>|||</v>
      </c>
      <c r="H17681" s="835">
        <f t="shared" ref="H17681:H17744" si="634">EOMONTH(L17681,0)</f>
        <v>31</v>
      </c>
      <c r="AF17681" s="831" t="s">
        <v>11572</v>
      </c>
      <c r="AG17681" s="831" t="s">
        <v>2674</v>
      </c>
      <c r="AH17681" s="831" t="s">
        <v>555</v>
      </c>
      <c r="AI17681" s="831">
        <v>0</v>
      </c>
      <c r="AJ17681" s="835">
        <v>41851</v>
      </c>
      <c r="AK17681" s="831">
        <v>527670450</v>
      </c>
    </row>
    <row r="17682" spans="2:37">
      <c r="B17682" s="834" t="str">
        <f t="shared" si="633"/>
        <v>|||</v>
      </c>
      <c r="H17682" s="835">
        <f t="shared" si="634"/>
        <v>31</v>
      </c>
      <c r="AF17682" s="831" t="s">
        <v>11573</v>
      </c>
      <c r="AG17682" s="831" t="s">
        <v>2674</v>
      </c>
      <c r="AH17682" s="831" t="s">
        <v>554</v>
      </c>
      <c r="AI17682" s="831">
        <v>0</v>
      </c>
      <c r="AJ17682" s="835">
        <v>41851</v>
      </c>
      <c r="AK17682" s="831">
        <v>540050830</v>
      </c>
    </row>
    <row r="17683" spans="2:37">
      <c r="B17683" s="834" t="str">
        <f t="shared" si="633"/>
        <v>|||</v>
      </c>
      <c r="H17683" s="835">
        <f t="shared" si="634"/>
        <v>31</v>
      </c>
      <c r="AF17683" s="831" t="s">
        <v>11574</v>
      </c>
      <c r="AG17683" s="831" t="s">
        <v>2674</v>
      </c>
      <c r="AH17683" s="831" t="s">
        <v>553</v>
      </c>
      <c r="AI17683" s="831">
        <v>0</v>
      </c>
      <c r="AJ17683" s="835">
        <v>41851</v>
      </c>
      <c r="AK17683" s="831">
        <v>0</v>
      </c>
    </row>
    <row r="17684" spans="2:37">
      <c r="B17684" s="834" t="str">
        <f t="shared" si="633"/>
        <v>|||</v>
      </c>
      <c r="H17684" s="835">
        <f t="shared" si="634"/>
        <v>31</v>
      </c>
      <c r="AF17684" s="831" t="s">
        <v>11575</v>
      </c>
      <c r="AG17684" s="831" t="s">
        <v>2674</v>
      </c>
      <c r="AH17684" s="831" t="s">
        <v>552</v>
      </c>
      <c r="AI17684" s="831">
        <v>0</v>
      </c>
      <c r="AJ17684" s="835">
        <v>41851</v>
      </c>
      <c r="AK17684" s="831">
        <v>0</v>
      </c>
    </row>
    <row r="17685" spans="2:37">
      <c r="B17685" s="834" t="str">
        <f t="shared" si="633"/>
        <v>|||</v>
      </c>
      <c r="H17685" s="835">
        <f t="shared" si="634"/>
        <v>31</v>
      </c>
      <c r="AF17685" s="831" t="s">
        <v>11576</v>
      </c>
      <c r="AG17685" s="831" t="s">
        <v>2674</v>
      </c>
      <c r="AH17685" s="831" t="s">
        <v>551</v>
      </c>
      <c r="AI17685" s="831">
        <v>0</v>
      </c>
      <c r="AJ17685" s="835">
        <v>41851</v>
      </c>
      <c r="AK17685" s="831">
        <v>1101547.72</v>
      </c>
    </row>
    <row r="17686" spans="2:37">
      <c r="B17686" s="834" t="str">
        <f t="shared" si="633"/>
        <v>|||</v>
      </c>
      <c r="H17686" s="835">
        <f t="shared" si="634"/>
        <v>31</v>
      </c>
      <c r="AF17686" s="831" t="s">
        <v>11577</v>
      </c>
      <c r="AG17686" s="831" t="s">
        <v>2674</v>
      </c>
      <c r="AH17686" s="831" t="s">
        <v>550</v>
      </c>
      <c r="AI17686" s="831">
        <v>0</v>
      </c>
      <c r="AJ17686" s="835">
        <v>41851</v>
      </c>
      <c r="AK17686" s="831">
        <v>135362821</v>
      </c>
    </row>
    <row r="17687" spans="2:37">
      <c r="B17687" s="834" t="str">
        <f t="shared" si="633"/>
        <v>|||</v>
      </c>
      <c r="H17687" s="835">
        <f t="shared" si="634"/>
        <v>31</v>
      </c>
      <c r="AF17687" s="831" t="s">
        <v>11578</v>
      </c>
      <c r="AG17687" s="831" t="s">
        <v>2674</v>
      </c>
      <c r="AH17687" s="831" t="s">
        <v>562</v>
      </c>
      <c r="AI17687" s="831">
        <v>0</v>
      </c>
      <c r="AJ17687" s="835">
        <v>41851</v>
      </c>
      <c r="AK17687" s="831">
        <v>0.78364999999999996</v>
      </c>
    </row>
    <row r="17688" spans="2:37">
      <c r="B17688" s="834" t="str">
        <f t="shared" si="633"/>
        <v>|||</v>
      </c>
      <c r="H17688" s="835">
        <f t="shared" si="634"/>
        <v>31</v>
      </c>
      <c r="AF17688" s="831" t="s">
        <v>11579</v>
      </c>
      <c r="AG17688" s="831" t="s">
        <v>2674</v>
      </c>
      <c r="AH17688" s="831" t="s">
        <v>2698</v>
      </c>
      <c r="AI17688" s="831">
        <v>0</v>
      </c>
      <c r="AJ17688" s="835">
        <v>41851</v>
      </c>
      <c r="AK17688" s="831">
        <v>0.78374999999999995</v>
      </c>
    </row>
    <row r="17689" spans="2:37">
      <c r="B17689" s="834" t="str">
        <f t="shared" si="633"/>
        <v>|||</v>
      </c>
      <c r="H17689" s="835">
        <f t="shared" si="634"/>
        <v>31</v>
      </c>
      <c r="AF17689" s="831" t="s">
        <v>11580</v>
      </c>
      <c r="AG17689" s="831" t="s">
        <v>2674</v>
      </c>
      <c r="AH17689" s="831" t="s">
        <v>560</v>
      </c>
      <c r="AI17689" s="831">
        <v>0</v>
      </c>
      <c r="AJ17689" s="835">
        <v>41851</v>
      </c>
      <c r="AK17689" s="831">
        <v>0.78374999999999984</v>
      </c>
    </row>
    <row r="17690" spans="2:37">
      <c r="B17690" s="834" t="str">
        <f t="shared" si="633"/>
        <v>|||</v>
      </c>
      <c r="H17690" s="835">
        <f t="shared" si="634"/>
        <v>31</v>
      </c>
      <c r="AF17690" s="831" t="s">
        <v>11581</v>
      </c>
      <c r="AG17690" s="831" t="s">
        <v>2674</v>
      </c>
      <c r="AH17690" s="831" t="s">
        <v>559</v>
      </c>
      <c r="AI17690" s="831">
        <v>0</v>
      </c>
      <c r="AJ17690" s="835">
        <v>41851</v>
      </c>
      <c r="AK17690" s="831">
        <v>0.78376666666666661</v>
      </c>
    </row>
    <row r="17691" spans="2:37">
      <c r="B17691" s="834" t="str">
        <f t="shared" si="633"/>
        <v>|||</v>
      </c>
      <c r="H17691" s="835">
        <f t="shared" si="634"/>
        <v>31</v>
      </c>
      <c r="AF17691" s="831" t="s">
        <v>11582</v>
      </c>
      <c r="AG17691" s="831" t="s">
        <v>2674</v>
      </c>
      <c r="AH17691" s="831" t="s">
        <v>568</v>
      </c>
      <c r="AI17691" s="831">
        <v>0</v>
      </c>
      <c r="AJ17691" s="835">
        <v>41851</v>
      </c>
      <c r="AK17691" s="831">
        <v>637151141.61153841</v>
      </c>
    </row>
    <row r="17692" spans="2:37">
      <c r="B17692" s="834" t="str">
        <f t="shared" si="633"/>
        <v>|||</v>
      </c>
      <c r="H17692" s="835">
        <f t="shared" si="634"/>
        <v>31</v>
      </c>
      <c r="AF17692" s="831" t="s">
        <v>11583</v>
      </c>
      <c r="AG17692" s="831" t="s">
        <v>2674</v>
      </c>
      <c r="AH17692" s="831" t="s">
        <v>569</v>
      </c>
      <c r="AI17692" s="831">
        <v>0</v>
      </c>
      <c r="AJ17692" s="835">
        <v>41851</v>
      </c>
      <c r="AK17692" s="831">
        <v>786284543.74253845</v>
      </c>
    </row>
    <row r="17693" spans="2:37">
      <c r="B17693" s="834" t="str">
        <f t="shared" si="633"/>
        <v>|||</v>
      </c>
      <c r="H17693" s="835">
        <f t="shared" si="634"/>
        <v>31</v>
      </c>
      <c r="AF17693" s="831" t="s">
        <v>11584</v>
      </c>
      <c r="AG17693" s="831" t="s">
        <v>2674</v>
      </c>
      <c r="AH17693" s="831" t="s">
        <v>570</v>
      </c>
      <c r="AI17693" s="831">
        <v>0</v>
      </c>
      <c r="AJ17693" s="835">
        <v>41851</v>
      </c>
      <c r="AK17693" s="831">
        <v>122542079.44353844</v>
      </c>
    </row>
    <row r="17694" spans="2:37">
      <c r="B17694" s="834" t="str">
        <f t="shared" si="633"/>
        <v>|||</v>
      </c>
      <c r="H17694" s="835">
        <f t="shared" si="634"/>
        <v>31</v>
      </c>
      <c r="AF17694" s="831" t="s">
        <v>11585</v>
      </c>
      <c r="AG17694" s="831" t="s">
        <v>2674</v>
      </c>
      <c r="AH17694" s="831" t="s">
        <v>571</v>
      </c>
      <c r="AI17694" s="831">
        <v>0</v>
      </c>
      <c r="AJ17694" s="835">
        <v>41851</v>
      </c>
      <c r="AK17694" s="831">
        <v>385003742.66715389</v>
      </c>
    </row>
    <row r="17695" spans="2:37">
      <c r="B17695" s="834" t="str">
        <f t="shared" si="633"/>
        <v>|||</v>
      </c>
      <c r="H17695" s="835">
        <f t="shared" si="634"/>
        <v>31</v>
      </c>
      <c r="AF17695" s="831" t="s">
        <v>11586</v>
      </c>
      <c r="AG17695" s="831" t="s">
        <v>2674</v>
      </c>
      <c r="AH17695" s="831" t="s">
        <v>573</v>
      </c>
      <c r="AI17695" s="831">
        <v>0</v>
      </c>
      <c r="AJ17695" s="835">
        <v>41851</v>
      </c>
      <c r="AK17695" s="831">
        <v>843150331.57037497</v>
      </c>
    </row>
    <row r="17696" spans="2:37">
      <c r="B17696" s="834" t="str">
        <f t="shared" si="633"/>
        <v>|||</v>
      </c>
      <c r="H17696" s="835">
        <f t="shared" si="634"/>
        <v>31</v>
      </c>
      <c r="AF17696" s="831" t="s">
        <v>11587</v>
      </c>
      <c r="AG17696" s="831" t="s">
        <v>2674</v>
      </c>
      <c r="AH17696" s="831" t="s">
        <v>574</v>
      </c>
      <c r="AI17696" s="831">
        <v>0</v>
      </c>
      <c r="AJ17696" s="835">
        <v>41851</v>
      </c>
      <c r="AK17696" s="831">
        <v>682697233.875</v>
      </c>
    </row>
    <row r="17697" spans="2:37">
      <c r="B17697" s="834" t="str">
        <f t="shared" si="633"/>
        <v>|||</v>
      </c>
      <c r="H17697" s="835">
        <f t="shared" si="634"/>
        <v>31</v>
      </c>
      <c r="AF17697" s="831" t="s">
        <v>11588</v>
      </c>
      <c r="AG17697" s="831" t="s">
        <v>2674</v>
      </c>
      <c r="AH17697" s="831" t="s">
        <v>575</v>
      </c>
      <c r="AI17697" s="831">
        <v>0</v>
      </c>
      <c r="AJ17697" s="835">
        <v>41851</v>
      </c>
      <c r="AK17697" s="831">
        <v>125963135.86375</v>
      </c>
    </row>
    <row r="17698" spans="2:37">
      <c r="B17698" s="834" t="str">
        <f t="shared" si="633"/>
        <v>|||</v>
      </c>
      <c r="H17698" s="835">
        <f t="shared" si="634"/>
        <v>31</v>
      </c>
      <c r="AF17698" s="831" t="s">
        <v>11589</v>
      </c>
      <c r="AG17698" s="831" t="s">
        <v>2674</v>
      </c>
      <c r="AH17698" s="831" t="s">
        <v>576</v>
      </c>
      <c r="AI17698" s="831">
        <v>0</v>
      </c>
      <c r="AJ17698" s="835">
        <v>41851</v>
      </c>
      <c r="AK17698" s="831">
        <v>415372081.57637501</v>
      </c>
    </row>
    <row r="17699" spans="2:37">
      <c r="B17699" s="834" t="str">
        <f t="shared" si="633"/>
        <v>|||</v>
      </c>
      <c r="H17699" s="835">
        <f t="shared" si="634"/>
        <v>31</v>
      </c>
      <c r="AF17699" s="831" t="s">
        <v>11590</v>
      </c>
      <c r="AG17699" s="831" t="s">
        <v>2674</v>
      </c>
      <c r="AH17699" s="831" t="s">
        <v>572</v>
      </c>
      <c r="AI17699" s="831">
        <v>0</v>
      </c>
      <c r="AJ17699" s="835">
        <v>41851</v>
      </c>
      <c r="AK17699" s="831">
        <v>33061468.956000008</v>
      </c>
    </row>
    <row r="17700" spans="2:37">
      <c r="B17700" s="834" t="str">
        <f t="shared" si="633"/>
        <v>|||</v>
      </c>
      <c r="H17700" s="835">
        <f t="shared" si="634"/>
        <v>31</v>
      </c>
      <c r="AF17700" s="831" t="s">
        <v>11591</v>
      </c>
      <c r="AG17700" s="831" t="s">
        <v>2674</v>
      </c>
      <c r="AH17700" s="831" t="s">
        <v>577</v>
      </c>
      <c r="AI17700" s="831">
        <v>0</v>
      </c>
      <c r="AJ17700" s="835">
        <v>41851</v>
      </c>
      <c r="AK17700" s="831">
        <v>157027827.76300001</v>
      </c>
    </row>
    <row r="17701" spans="2:37">
      <c r="B17701" s="834" t="str">
        <f t="shared" si="633"/>
        <v>|||</v>
      </c>
      <c r="H17701" s="835">
        <f t="shared" si="634"/>
        <v>31</v>
      </c>
      <c r="AF17701" s="831" t="s">
        <v>11592</v>
      </c>
      <c r="AG17701" s="831" t="s">
        <v>2674</v>
      </c>
      <c r="AH17701" s="831" t="s">
        <v>3042</v>
      </c>
      <c r="AI17701" s="831">
        <v>0</v>
      </c>
      <c r="AJ17701" s="835">
        <v>41851</v>
      </c>
      <c r="AK17701" s="831">
        <v>-44607617.527000003</v>
      </c>
    </row>
    <row r="17702" spans="2:37">
      <c r="B17702" s="834" t="str">
        <f t="shared" si="633"/>
        <v>|||</v>
      </c>
      <c r="H17702" s="835">
        <f t="shared" si="634"/>
        <v>31</v>
      </c>
      <c r="AF17702" s="831" t="s">
        <v>11593</v>
      </c>
      <c r="AG17702" s="831" t="s">
        <v>2674</v>
      </c>
      <c r="AH17702" s="831" t="s">
        <v>3044</v>
      </c>
      <c r="AI17702" s="831">
        <v>0</v>
      </c>
      <c r="AJ17702" s="835">
        <v>41851</v>
      </c>
      <c r="AK17702" s="831">
        <v>-2462838.8899999997</v>
      </c>
    </row>
    <row r="17703" spans="2:37">
      <c r="B17703" s="834" t="str">
        <f t="shared" si="633"/>
        <v>|||</v>
      </c>
      <c r="H17703" s="835">
        <f t="shared" si="634"/>
        <v>31</v>
      </c>
      <c r="AF17703" s="831" t="s">
        <v>11594</v>
      </c>
      <c r="AG17703" s="831" t="s">
        <v>2674</v>
      </c>
      <c r="AH17703" s="831" t="s">
        <v>580</v>
      </c>
      <c r="AI17703" s="831">
        <v>0</v>
      </c>
      <c r="AJ17703" s="835">
        <v>41851</v>
      </c>
      <c r="AK17703" s="831">
        <v>-72554848.306999996</v>
      </c>
    </row>
    <row r="17704" spans="2:37">
      <c r="B17704" s="834" t="str">
        <f t="shared" si="633"/>
        <v>|||</v>
      </c>
      <c r="H17704" s="835">
        <f t="shared" si="634"/>
        <v>31</v>
      </c>
      <c r="AF17704" s="831" t="s">
        <v>11595</v>
      </c>
      <c r="AG17704" s="831" t="s">
        <v>2674</v>
      </c>
      <c r="AH17704" s="831" t="s">
        <v>581</v>
      </c>
      <c r="AI17704" s="831">
        <v>0</v>
      </c>
      <c r="AJ17704" s="835">
        <v>41851</v>
      </c>
      <c r="AK17704" s="831">
        <v>6023686.8940000003</v>
      </c>
    </row>
    <row r="17705" spans="2:37">
      <c r="B17705" s="834" t="str">
        <f t="shared" si="633"/>
        <v>|||</v>
      </c>
      <c r="H17705" s="835">
        <f t="shared" si="634"/>
        <v>31</v>
      </c>
      <c r="AF17705" s="831" t="s">
        <v>11596</v>
      </c>
      <c r="AG17705" s="831" t="s">
        <v>2674</v>
      </c>
      <c r="AH17705" s="831" t="s">
        <v>105</v>
      </c>
      <c r="AI17705" s="831">
        <v>0</v>
      </c>
      <c r="AJ17705" s="835">
        <v>41851</v>
      </c>
      <c r="AK17705" s="831">
        <v>472087799</v>
      </c>
    </row>
    <row r="17706" spans="2:37">
      <c r="B17706" s="834" t="str">
        <f t="shared" si="633"/>
        <v>|||</v>
      </c>
      <c r="H17706" s="835">
        <f t="shared" si="634"/>
        <v>31</v>
      </c>
      <c r="AF17706" s="831" t="s">
        <v>11597</v>
      </c>
      <c r="AG17706" s="831" t="s">
        <v>2674</v>
      </c>
      <c r="AH17706" s="831" t="s">
        <v>3049</v>
      </c>
      <c r="AI17706" s="831">
        <v>0</v>
      </c>
      <c r="AJ17706" s="835">
        <v>41851</v>
      </c>
      <c r="AK17706" s="831">
        <v>778154132</v>
      </c>
    </row>
    <row r="17707" spans="2:37">
      <c r="B17707" s="834" t="str">
        <f t="shared" si="633"/>
        <v>|||</v>
      </c>
      <c r="H17707" s="835">
        <f t="shared" si="634"/>
        <v>31</v>
      </c>
      <c r="AF17707" s="831" t="s">
        <v>11598</v>
      </c>
      <c r="AG17707" s="831" t="s">
        <v>2674</v>
      </c>
      <c r="AH17707" s="831" t="s">
        <v>103</v>
      </c>
      <c r="AI17707" s="831">
        <v>0</v>
      </c>
      <c r="AJ17707" s="835">
        <v>41851</v>
      </c>
      <c r="AK17707" s="831">
        <v>306066333</v>
      </c>
    </row>
    <row r="17708" spans="2:37">
      <c r="B17708" s="834" t="str">
        <f t="shared" si="633"/>
        <v>|||</v>
      </c>
      <c r="H17708" s="835">
        <f t="shared" si="634"/>
        <v>31</v>
      </c>
      <c r="AF17708" s="831" t="s">
        <v>11599</v>
      </c>
      <c r="AG17708" s="831" t="s">
        <v>2674</v>
      </c>
      <c r="AH17708" s="831" t="s">
        <v>182</v>
      </c>
      <c r="AI17708" s="831">
        <v>0</v>
      </c>
      <c r="AJ17708" s="835">
        <v>41851</v>
      </c>
      <c r="AK17708" s="831">
        <v>72589813.714285716</v>
      </c>
    </row>
    <row r="17709" spans="2:37">
      <c r="B17709" s="834" t="str">
        <f t="shared" si="633"/>
        <v>|||</v>
      </c>
      <c r="H17709" s="835">
        <f t="shared" si="634"/>
        <v>31</v>
      </c>
      <c r="AF17709" s="831" t="s">
        <v>11600</v>
      </c>
      <c r="AG17709" s="831" t="s">
        <v>2674</v>
      </c>
      <c r="AH17709" s="831" t="s">
        <v>6600</v>
      </c>
      <c r="AI17709" s="831">
        <v>0</v>
      </c>
      <c r="AJ17709" s="835">
        <v>41851</v>
      </c>
      <c r="AK17709" s="831">
        <v>33061468.956000008</v>
      </c>
    </row>
    <row r="17710" spans="2:37">
      <c r="B17710" s="834" t="str">
        <f t="shared" si="633"/>
        <v>|||</v>
      </c>
      <c r="H17710" s="835">
        <f t="shared" si="634"/>
        <v>31</v>
      </c>
      <c r="AF17710" s="831" t="s">
        <v>11601</v>
      </c>
      <c r="AG17710" s="831" t="s">
        <v>2674</v>
      </c>
      <c r="AH17710" s="831" t="s">
        <v>6602</v>
      </c>
      <c r="AI17710" s="831">
        <v>0</v>
      </c>
      <c r="AJ17710" s="835">
        <v>41851</v>
      </c>
      <c r="AK17710" s="831">
        <v>22009267</v>
      </c>
    </row>
    <row r="17711" spans="2:37">
      <c r="B17711" s="834" t="str">
        <f t="shared" si="633"/>
        <v>|||</v>
      </c>
      <c r="H17711" s="835">
        <f t="shared" si="634"/>
        <v>31</v>
      </c>
      <c r="AF17711" s="831" t="s">
        <v>11602</v>
      </c>
      <c r="AG17711" s="831" t="s">
        <v>2674</v>
      </c>
      <c r="AH17711" s="831" t="s">
        <v>650</v>
      </c>
      <c r="AI17711" s="831">
        <v>0</v>
      </c>
      <c r="AJ17711" s="835">
        <v>41851</v>
      </c>
      <c r="AK17711" s="831">
        <v>258051740.34761539</v>
      </c>
    </row>
    <row r="17712" spans="2:37">
      <c r="B17712" s="834" t="str">
        <f t="shared" si="633"/>
        <v>|||</v>
      </c>
      <c r="H17712" s="835">
        <f t="shared" si="634"/>
        <v>31</v>
      </c>
      <c r="AF17712" s="831" t="s">
        <v>11603</v>
      </c>
      <c r="AG17712" s="831" t="s">
        <v>2674</v>
      </c>
      <c r="AH17712" s="831" t="s">
        <v>655</v>
      </c>
      <c r="AI17712" s="831">
        <v>0</v>
      </c>
      <c r="AJ17712" s="835">
        <v>41851</v>
      </c>
      <c r="AK17712" s="831">
        <v>953974.79</v>
      </c>
    </row>
    <row r="17713" spans="2:37">
      <c r="B17713" s="834" t="str">
        <f t="shared" si="633"/>
        <v>|||</v>
      </c>
      <c r="H17713" s="835">
        <f t="shared" si="634"/>
        <v>31</v>
      </c>
      <c r="AF17713" s="831" t="s">
        <v>11604</v>
      </c>
      <c r="AG17713" s="831" t="s">
        <v>2674</v>
      </c>
      <c r="AH17713" s="831" t="s">
        <v>546</v>
      </c>
      <c r="AI17713" s="831">
        <v>0</v>
      </c>
      <c r="AJ17713" s="835">
        <v>41882</v>
      </c>
      <c r="AK17713" s="831">
        <v>752496052</v>
      </c>
    </row>
    <row r="17714" spans="2:37">
      <c r="B17714" s="834" t="str">
        <f t="shared" si="633"/>
        <v>|||</v>
      </c>
      <c r="H17714" s="835">
        <f t="shared" si="634"/>
        <v>31</v>
      </c>
      <c r="AF17714" s="831" t="s">
        <v>11605</v>
      </c>
      <c r="AG17714" s="831" t="s">
        <v>2674</v>
      </c>
      <c r="AH17714" s="831" t="s">
        <v>370</v>
      </c>
      <c r="AI17714" s="831">
        <v>0</v>
      </c>
      <c r="AJ17714" s="835">
        <v>41882</v>
      </c>
      <c r="AK17714" s="831">
        <v>955327873</v>
      </c>
    </row>
    <row r="17715" spans="2:37">
      <c r="B17715" s="834" t="str">
        <f t="shared" si="633"/>
        <v>|||</v>
      </c>
      <c r="H17715" s="835">
        <f t="shared" si="634"/>
        <v>31</v>
      </c>
      <c r="AF17715" s="831" t="s">
        <v>11606</v>
      </c>
      <c r="AG17715" s="831" t="s">
        <v>2674</v>
      </c>
      <c r="AH17715" s="831" t="s">
        <v>126</v>
      </c>
      <c r="AI17715" s="831">
        <v>0</v>
      </c>
      <c r="AJ17715" s="835">
        <v>41882</v>
      </c>
      <c r="AK17715" s="831">
        <v>141824046.03</v>
      </c>
    </row>
    <row r="17716" spans="2:37">
      <c r="B17716" s="834" t="str">
        <f t="shared" si="633"/>
        <v>|||</v>
      </c>
      <c r="H17716" s="835">
        <f t="shared" si="634"/>
        <v>31</v>
      </c>
      <c r="AF17716" s="831" t="s">
        <v>11607</v>
      </c>
      <c r="AG17716" s="831" t="s">
        <v>2674</v>
      </c>
      <c r="AH17716" s="831" t="s">
        <v>268</v>
      </c>
      <c r="AI17716" s="831">
        <v>0</v>
      </c>
      <c r="AJ17716" s="835">
        <v>41882</v>
      </c>
      <c r="AK17716" s="831">
        <v>25500774.76800001</v>
      </c>
    </row>
    <row r="17717" spans="2:37">
      <c r="B17717" s="834" t="str">
        <f t="shared" si="633"/>
        <v>|||</v>
      </c>
      <c r="H17717" s="835">
        <f t="shared" si="634"/>
        <v>31</v>
      </c>
      <c r="AF17717" s="831" t="s">
        <v>11608</v>
      </c>
      <c r="AG17717" s="831" t="s">
        <v>2674</v>
      </c>
      <c r="AH17717" s="831" t="s">
        <v>547</v>
      </c>
      <c r="AI17717" s="831">
        <v>0</v>
      </c>
      <c r="AJ17717" s="835">
        <v>41882</v>
      </c>
      <c r="AK17717" s="831">
        <v>777719977</v>
      </c>
    </row>
    <row r="17718" spans="2:37">
      <c r="B17718" s="834" t="str">
        <f t="shared" si="633"/>
        <v>|||</v>
      </c>
      <c r="H17718" s="835">
        <f t="shared" si="634"/>
        <v>31</v>
      </c>
      <c r="AF17718" s="831" t="s">
        <v>11609</v>
      </c>
      <c r="AG17718" s="831" t="s">
        <v>2674</v>
      </c>
      <c r="AH17718" s="831" t="s">
        <v>548</v>
      </c>
      <c r="AI17718" s="831">
        <v>0</v>
      </c>
      <c r="AJ17718" s="835">
        <v>41882</v>
      </c>
      <c r="AK17718" s="831">
        <v>117105496</v>
      </c>
    </row>
    <row r="17719" spans="2:37">
      <c r="B17719" s="834" t="str">
        <f t="shared" si="633"/>
        <v>|||</v>
      </c>
      <c r="H17719" s="835">
        <f t="shared" si="634"/>
        <v>31</v>
      </c>
      <c r="AF17719" s="831" t="s">
        <v>11610</v>
      </c>
      <c r="AG17719" s="831" t="s">
        <v>2674</v>
      </c>
      <c r="AH17719" s="831" t="s">
        <v>549</v>
      </c>
      <c r="AI17719" s="831">
        <v>0</v>
      </c>
      <c r="AJ17719" s="835">
        <v>41882</v>
      </c>
      <c r="AK17719" s="831">
        <v>548671343</v>
      </c>
    </row>
    <row r="17720" spans="2:37">
      <c r="B17720" s="834" t="str">
        <f t="shared" si="633"/>
        <v>|||</v>
      </c>
      <c r="H17720" s="835">
        <f t="shared" si="634"/>
        <v>31</v>
      </c>
      <c r="AF17720" s="831" t="s">
        <v>11611</v>
      </c>
      <c r="AG17720" s="831" t="s">
        <v>2674</v>
      </c>
      <c r="AH17720" s="831" t="s">
        <v>192</v>
      </c>
      <c r="AI17720" s="831">
        <v>0</v>
      </c>
      <c r="AJ17720" s="835">
        <v>41882</v>
      </c>
      <c r="AK17720" s="831">
        <v>-11209860</v>
      </c>
    </row>
    <row r="17721" spans="2:37">
      <c r="B17721" s="834" t="str">
        <f t="shared" si="633"/>
        <v>|||</v>
      </c>
      <c r="H17721" s="835">
        <f t="shared" si="634"/>
        <v>31</v>
      </c>
      <c r="AF17721" s="831" t="s">
        <v>11612</v>
      </c>
      <c r="AG17721" s="831" t="s">
        <v>2674</v>
      </c>
      <c r="AH17721" s="831" t="s">
        <v>558</v>
      </c>
      <c r="AI17721" s="831">
        <v>0</v>
      </c>
      <c r="AJ17721" s="835">
        <v>41882</v>
      </c>
      <c r="AK17721" s="831">
        <v>813503827.41700006</v>
      </c>
    </row>
    <row r="17722" spans="2:37">
      <c r="B17722" s="834" t="str">
        <f t="shared" si="633"/>
        <v>|||</v>
      </c>
      <c r="H17722" s="835">
        <f t="shared" si="634"/>
        <v>31</v>
      </c>
      <c r="AF17722" s="831" t="s">
        <v>11613</v>
      </c>
      <c r="AG17722" s="831" t="s">
        <v>2674</v>
      </c>
      <c r="AH17722" s="831" t="s">
        <v>65</v>
      </c>
      <c r="AI17722" s="831">
        <v>0</v>
      </c>
      <c r="AJ17722" s="835">
        <v>41882</v>
      </c>
      <c r="AK17722" s="831">
        <v>110886310.662</v>
      </c>
    </row>
    <row r="17723" spans="2:37">
      <c r="B17723" s="834" t="str">
        <f t="shared" si="633"/>
        <v>|||</v>
      </c>
      <c r="H17723" s="835">
        <f t="shared" si="634"/>
        <v>31</v>
      </c>
      <c r="AF17723" s="831" t="s">
        <v>11614</v>
      </c>
      <c r="AG17723" s="831" t="s">
        <v>2674</v>
      </c>
      <c r="AH17723" s="831" t="s">
        <v>89</v>
      </c>
      <c r="AI17723" s="831">
        <v>0</v>
      </c>
      <c r="AJ17723" s="835">
        <v>41882</v>
      </c>
      <c r="AK17723" s="831">
        <v>158540</v>
      </c>
    </row>
    <row r="17724" spans="2:37">
      <c r="B17724" s="834" t="str">
        <f t="shared" si="633"/>
        <v>|||</v>
      </c>
      <c r="H17724" s="835">
        <f t="shared" si="634"/>
        <v>31</v>
      </c>
      <c r="AF17724" s="831" t="s">
        <v>11615</v>
      </c>
      <c r="AG17724" s="831" t="s">
        <v>2674</v>
      </c>
      <c r="AH17724" s="831" t="s">
        <v>557</v>
      </c>
      <c r="AI17724" s="831">
        <v>0</v>
      </c>
      <c r="AJ17724" s="835">
        <v>41882</v>
      </c>
      <c r="AK17724" s="831">
        <v>176987</v>
      </c>
    </row>
    <row r="17725" spans="2:37">
      <c r="B17725" s="834" t="str">
        <f t="shared" si="633"/>
        <v>|||</v>
      </c>
      <c r="H17725" s="835">
        <f t="shared" si="634"/>
        <v>31</v>
      </c>
      <c r="AF17725" s="831" t="s">
        <v>11616</v>
      </c>
      <c r="AG17725" s="831" t="s">
        <v>2674</v>
      </c>
      <c r="AH17725" s="831" t="s">
        <v>29</v>
      </c>
      <c r="AI17725" s="831">
        <v>0</v>
      </c>
      <c r="AJ17725" s="835">
        <v>41882</v>
      </c>
      <c r="AK17725" s="831">
        <v>1746361.094</v>
      </c>
    </row>
    <row r="17726" spans="2:37">
      <c r="B17726" s="834" t="str">
        <f t="shared" si="633"/>
        <v>|||</v>
      </c>
      <c r="H17726" s="835">
        <f t="shared" si="634"/>
        <v>31</v>
      </c>
      <c r="AF17726" s="831" t="s">
        <v>11617</v>
      </c>
      <c r="AG17726" s="831" t="s">
        <v>2674</v>
      </c>
      <c r="AH17726" s="831" t="s">
        <v>2688</v>
      </c>
      <c r="AI17726" s="831">
        <v>0</v>
      </c>
      <c r="AJ17726" s="835">
        <v>41882</v>
      </c>
      <c r="AK17726" s="831">
        <v>4781420.7300000004</v>
      </c>
    </row>
    <row r="17727" spans="2:37">
      <c r="B17727" s="834" t="str">
        <f t="shared" si="633"/>
        <v>|||</v>
      </c>
      <c r="H17727" s="835">
        <f t="shared" si="634"/>
        <v>31</v>
      </c>
      <c r="AF17727" s="831" t="s">
        <v>11618</v>
      </c>
      <c r="AG17727" s="831" t="s">
        <v>2674</v>
      </c>
      <c r="AH17727" s="831" t="s">
        <v>556</v>
      </c>
      <c r="AI17727" s="831">
        <v>0</v>
      </c>
      <c r="AJ17727" s="835">
        <v>41882</v>
      </c>
      <c r="AK17727" s="831">
        <v>4890559</v>
      </c>
    </row>
    <row r="17728" spans="2:37">
      <c r="B17728" s="834" t="str">
        <f t="shared" si="633"/>
        <v>|||</v>
      </c>
      <c r="H17728" s="835">
        <f t="shared" si="634"/>
        <v>31</v>
      </c>
      <c r="AF17728" s="831" t="s">
        <v>11619</v>
      </c>
      <c r="AG17728" s="831" t="s">
        <v>2674</v>
      </c>
      <c r="AH17728" s="831" t="s">
        <v>555</v>
      </c>
      <c r="AI17728" s="831">
        <v>0</v>
      </c>
      <c r="AJ17728" s="835">
        <v>41882</v>
      </c>
      <c r="AK17728" s="831">
        <v>533401131</v>
      </c>
    </row>
    <row r="17729" spans="2:37">
      <c r="B17729" s="834" t="str">
        <f t="shared" si="633"/>
        <v>|||</v>
      </c>
      <c r="H17729" s="835">
        <f t="shared" si="634"/>
        <v>31</v>
      </c>
      <c r="AF17729" s="831" t="s">
        <v>11620</v>
      </c>
      <c r="AG17729" s="831" t="s">
        <v>2674</v>
      </c>
      <c r="AH17729" s="831" t="s">
        <v>554</v>
      </c>
      <c r="AI17729" s="831">
        <v>0</v>
      </c>
      <c r="AJ17729" s="835">
        <v>41882</v>
      </c>
      <c r="AK17729" s="831">
        <v>543423580</v>
      </c>
    </row>
    <row r="17730" spans="2:37">
      <c r="B17730" s="834" t="str">
        <f t="shared" si="633"/>
        <v>|||</v>
      </c>
      <c r="H17730" s="835">
        <f t="shared" si="634"/>
        <v>31</v>
      </c>
      <c r="AF17730" s="831" t="s">
        <v>11621</v>
      </c>
      <c r="AG17730" s="831" t="s">
        <v>2674</v>
      </c>
      <c r="AH17730" s="831" t="s">
        <v>553</v>
      </c>
      <c r="AI17730" s="831">
        <v>0</v>
      </c>
      <c r="AJ17730" s="835">
        <v>41882</v>
      </c>
      <c r="AK17730" s="831">
        <v>0</v>
      </c>
    </row>
    <row r="17731" spans="2:37">
      <c r="B17731" s="834" t="str">
        <f t="shared" si="633"/>
        <v>|||</v>
      </c>
      <c r="H17731" s="835">
        <f t="shared" si="634"/>
        <v>31</v>
      </c>
      <c r="AF17731" s="831" t="s">
        <v>11622</v>
      </c>
      <c r="AG17731" s="831" t="s">
        <v>2674</v>
      </c>
      <c r="AH17731" s="831" t="s">
        <v>552</v>
      </c>
      <c r="AI17731" s="831">
        <v>0</v>
      </c>
      <c r="AJ17731" s="835">
        <v>41882</v>
      </c>
      <c r="AK17731" s="831">
        <v>0</v>
      </c>
    </row>
    <row r="17732" spans="2:37">
      <c r="B17732" s="834" t="str">
        <f t="shared" si="633"/>
        <v>|||</v>
      </c>
      <c r="H17732" s="835">
        <f t="shared" si="634"/>
        <v>31</v>
      </c>
      <c r="AF17732" s="831" t="s">
        <v>11623</v>
      </c>
      <c r="AG17732" s="831" t="s">
        <v>2674</v>
      </c>
      <c r="AH17732" s="831" t="s">
        <v>551</v>
      </c>
      <c r="AI17732" s="831">
        <v>0</v>
      </c>
      <c r="AJ17732" s="835">
        <v>41882</v>
      </c>
      <c r="AK17732" s="831">
        <v>1392541.4989999998</v>
      </c>
    </row>
    <row r="17733" spans="2:37">
      <c r="B17733" s="834" t="str">
        <f t="shared" si="633"/>
        <v>|||</v>
      </c>
      <c r="H17733" s="835">
        <f t="shared" si="634"/>
        <v>31</v>
      </c>
      <c r="AF17733" s="831" t="s">
        <v>11624</v>
      </c>
      <c r="AG17733" s="831" t="s">
        <v>2674</v>
      </c>
      <c r="AH17733" s="831" t="s">
        <v>550</v>
      </c>
      <c r="AI17733" s="831">
        <v>0</v>
      </c>
      <c r="AJ17733" s="835">
        <v>41882</v>
      </c>
      <c r="AK17733" s="831">
        <v>138005087</v>
      </c>
    </row>
    <row r="17734" spans="2:37">
      <c r="B17734" s="834" t="str">
        <f t="shared" si="633"/>
        <v>|||</v>
      </c>
      <c r="H17734" s="835">
        <f t="shared" si="634"/>
        <v>31</v>
      </c>
      <c r="AF17734" s="831" t="s">
        <v>11625</v>
      </c>
      <c r="AG17734" s="831" t="s">
        <v>2674</v>
      </c>
      <c r="AH17734" s="831" t="s">
        <v>562</v>
      </c>
      <c r="AI17734" s="831">
        <v>0</v>
      </c>
      <c r="AJ17734" s="835">
        <v>41882</v>
      </c>
      <c r="AK17734" s="831">
        <v>0.7833</v>
      </c>
    </row>
    <row r="17735" spans="2:37">
      <c r="B17735" s="834" t="str">
        <f t="shared" si="633"/>
        <v>|||</v>
      </c>
      <c r="H17735" s="835">
        <f t="shared" si="634"/>
        <v>31</v>
      </c>
      <c r="AF17735" s="831" t="s">
        <v>11626</v>
      </c>
      <c r="AG17735" s="831" t="s">
        <v>2674</v>
      </c>
      <c r="AH17735" s="831" t="s">
        <v>2698</v>
      </c>
      <c r="AI17735" s="831">
        <v>0</v>
      </c>
      <c r="AJ17735" s="835">
        <v>41882</v>
      </c>
      <c r="AK17735" s="831">
        <v>0.78364999999999996</v>
      </c>
    </row>
    <row r="17736" spans="2:37">
      <c r="B17736" s="834" t="str">
        <f t="shared" si="633"/>
        <v>|||</v>
      </c>
      <c r="H17736" s="835">
        <f t="shared" si="634"/>
        <v>31</v>
      </c>
      <c r="AF17736" s="831" t="s">
        <v>11627</v>
      </c>
      <c r="AG17736" s="831" t="s">
        <v>2674</v>
      </c>
      <c r="AH17736" s="831" t="s">
        <v>560</v>
      </c>
      <c r="AI17736" s="831">
        <v>0</v>
      </c>
      <c r="AJ17736" s="835">
        <v>41882</v>
      </c>
      <c r="AK17736" s="831">
        <v>0.78369374999999997</v>
      </c>
    </row>
    <row r="17737" spans="2:37">
      <c r="B17737" s="834" t="str">
        <f t="shared" si="633"/>
        <v>|||</v>
      </c>
      <c r="H17737" s="835">
        <f t="shared" si="634"/>
        <v>31</v>
      </c>
      <c r="AF17737" s="831" t="s">
        <v>11628</v>
      </c>
      <c r="AG17737" s="831" t="s">
        <v>2674</v>
      </c>
      <c r="AH17737" s="831" t="s">
        <v>559</v>
      </c>
      <c r="AI17737" s="831">
        <v>0</v>
      </c>
      <c r="AJ17737" s="835">
        <v>41882</v>
      </c>
      <c r="AK17737" s="831">
        <v>0.78372083333333331</v>
      </c>
    </row>
    <row r="17738" spans="2:37">
      <c r="B17738" s="834" t="str">
        <f t="shared" si="633"/>
        <v>|||</v>
      </c>
      <c r="H17738" s="835">
        <f t="shared" si="634"/>
        <v>31</v>
      </c>
      <c r="AF17738" s="831" t="s">
        <v>11629</v>
      </c>
      <c r="AG17738" s="831" t="s">
        <v>2674</v>
      </c>
      <c r="AH17738" s="831" t="s">
        <v>568</v>
      </c>
      <c r="AI17738" s="831">
        <v>0</v>
      </c>
      <c r="AJ17738" s="835">
        <v>41882</v>
      </c>
      <c r="AK17738" s="831">
        <v>654234997.14999998</v>
      </c>
    </row>
    <row r="17739" spans="2:37">
      <c r="B17739" s="834" t="str">
        <f t="shared" si="633"/>
        <v>|||</v>
      </c>
      <c r="H17739" s="835">
        <f t="shared" si="634"/>
        <v>31</v>
      </c>
      <c r="AF17739" s="831" t="s">
        <v>11630</v>
      </c>
      <c r="AG17739" s="831" t="s">
        <v>2674</v>
      </c>
      <c r="AH17739" s="831" t="s">
        <v>569</v>
      </c>
      <c r="AI17739" s="831">
        <v>0</v>
      </c>
      <c r="AJ17739" s="835">
        <v>41882</v>
      </c>
      <c r="AK17739" s="831">
        <v>809130662.58869231</v>
      </c>
    </row>
    <row r="17740" spans="2:37">
      <c r="B17740" s="834" t="str">
        <f t="shared" si="633"/>
        <v>|||</v>
      </c>
      <c r="H17740" s="835">
        <f t="shared" si="634"/>
        <v>31</v>
      </c>
      <c r="AF17740" s="831" t="s">
        <v>11631</v>
      </c>
      <c r="AG17740" s="831" t="s">
        <v>2674</v>
      </c>
      <c r="AH17740" s="831" t="s">
        <v>570</v>
      </c>
      <c r="AI17740" s="831">
        <v>0</v>
      </c>
      <c r="AJ17740" s="835">
        <v>41882</v>
      </c>
      <c r="AK17740" s="831">
        <v>124921808.98430769</v>
      </c>
    </row>
    <row r="17741" spans="2:37">
      <c r="B17741" s="834" t="str">
        <f t="shared" si="633"/>
        <v>|||</v>
      </c>
      <c r="H17741" s="835">
        <f t="shared" si="634"/>
        <v>31</v>
      </c>
      <c r="AF17741" s="831" t="s">
        <v>11632</v>
      </c>
      <c r="AG17741" s="831" t="s">
        <v>2674</v>
      </c>
      <c r="AH17741" s="831" t="s">
        <v>571</v>
      </c>
      <c r="AI17741" s="831">
        <v>0</v>
      </c>
      <c r="AJ17741" s="835">
        <v>41882</v>
      </c>
      <c r="AK17741" s="831">
        <v>397063607.00692308</v>
      </c>
    </row>
    <row r="17742" spans="2:37">
      <c r="B17742" s="834" t="str">
        <f t="shared" si="633"/>
        <v>|||</v>
      </c>
      <c r="H17742" s="835">
        <f t="shared" si="634"/>
        <v>31</v>
      </c>
      <c r="AF17742" s="831" t="s">
        <v>11633</v>
      </c>
      <c r="AG17742" s="831" t="s">
        <v>2674</v>
      </c>
      <c r="AH17742" s="831" t="s">
        <v>573</v>
      </c>
      <c r="AI17742" s="831">
        <v>0</v>
      </c>
      <c r="AJ17742" s="835">
        <v>41882</v>
      </c>
      <c r="AK17742" s="831">
        <v>855614502.84033334</v>
      </c>
    </row>
    <row r="17743" spans="2:37">
      <c r="B17743" s="834" t="str">
        <f t="shared" si="633"/>
        <v>|||</v>
      </c>
      <c r="H17743" s="835">
        <f t="shared" si="634"/>
        <v>31</v>
      </c>
      <c r="AF17743" s="831" t="s">
        <v>11634</v>
      </c>
      <c r="AG17743" s="831" t="s">
        <v>2674</v>
      </c>
      <c r="AH17743" s="831" t="s">
        <v>574</v>
      </c>
      <c r="AI17743" s="831">
        <v>0</v>
      </c>
      <c r="AJ17743" s="835">
        <v>41882</v>
      </c>
      <c r="AK17743" s="831">
        <v>690452658.11111116</v>
      </c>
    </row>
    <row r="17744" spans="2:37">
      <c r="B17744" s="834" t="str">
        <f t="shared" si="633"/>
        <v>|||</v>
      </c>
      <c r="H17744" s="835">
        <f t="shared" si="634"/>
        <v>31</v>
      </c>
      <c r="AF17744" s="831" t="s">
        <v>11635</v>
      </c>
      <c r="AG17744" s="831" t="s">
        <v>2674</v>
      </c>
      <c r="AH17744" s="831" t="s">
        <v>575</v>
      </c>
      <c r="AI17744" s="831">
        <v>0</v>
      </c>
      <c r="AJ17744" s="835">
        <v>41882</v>
      </c>
      <c r="AK17744" s="831">
        <v>127725459.21555556</v>
      </c>
    </row>
    <row r="17745" spans="2:37">
      <c r="B17745" s="834" t="str">
        <f t="shared" ref="B17745:B17808" si="635">C17745&amp;"|"&amp;D17745&amp;"|"&amp;E17745&amp;"|"&amp;F17745</f>
        <v>|||</v>
      </c>
      <c r="H17745" s="835">
        <f t="shared" ref="H17745:H17808" si="636">EOMONTH(L17745,0)</f>
        <v>31</v>
      </c>
      <c r="AF17745" s="831" t="s">
        <v>11636</v>
      </c>
      <c r="AG17745" s="831" t="s">
        <v>2674</v>
      </c>
      <c r="AH17745" s="831" t="s">
        <v>576</v>
      </c>
      <c r="AI17745" s="831">
        <v>0</v>
      </c>
      <c r="AJ17745" s="835">
        <v>41882</v>
      </c>
      <c r="AK17745" s="831">
        <v>422408457.33644444</v>
      </c>
    </row>
    <row r="17746" spans="2:37">
      <c r="B17746" s="834" t="str">
        <f t="shared" si="635"/>
        <v>|||</v>
      </c>
      <c r="H17746" s="835">
        <f t="shared" si="636"/>
        <v>31</v>
      </c>
      <c r="AF17746" s="831" t="s">
        <v>11637</v>
      </c>
      <c r="AG17746" s="831" t="s">
        <v>2674</v>
      </c>
      <c r="AH17746" s="831" t="s">
        <v>572</v>
      </c>
      <c r="AI17746" s="831">
        <v>0</v>
      </c>
      <c r="AJ17746" s="835">
        <v>41882</v>
      </c>
      <c r="AK17746" s="831">
        <v>33565597.724000007</v>
      </c>
    </row>
    <row r="17747" spans="2:37">
      <c r="B17747" s="834" t="str">
        <f t="shared" si="635"/>
        <v>|||</v>
      </c>
      <c r="H17747" s="835">
        <f t="shared" si="636"/>
        <v>31</v>
      </c>
      <c r="AF17747" s="831" t="s">
        <v>11638</v>
      </c>
      <c r="AG17747" s="831" t="s">
        <v>2674</v>
      </c>
      <c r="AH17747" s="831" t="s">
        <v>577</v>
      </c>
      <c r="AI17747" s="831">
        <v>0</v>
      </c>
      <c r="AJ17747" s="835">
        <v>41882</v>
      </c>
      <c r="AK17747" s="831">
        <v>160354648.42500001</v>
      </c>
    </row>
    <row r="17748" spans="2:37">
      <c r="B17748" s="834" t="str">
        <f t="shared" si="635"/>
        <v>|||</v>
      </c>
      <c r="H17748" s="835">
        <f t="shared" si="636"/>
        <v>31</v>
      </c>
      <c r="AF17748" s="831" t="s">
        <v>11639</v>
      </c>
      <c r="AG17748" s="831" t="s">
        <v>2674</v>
      </c>
      <c r="AH17748" s="831" t="s">
        <v>3042</v>
      </c>
      <c r="AI17748" s="831">
        <v>0</v>
      </c>
      <c r="AJ17748" s="835">
        <v>41882</v>
      </c>
      <c r="AK17748" s="831">
        <v>-46384889.891000003</v>
      </c>
    </row>
    <row r="17749" spans="2:37">
      <c r="B17749" s="834" t="str">
        <f t="shared" si="635"/>
        <v>|||</v>
      </c>
      <c r="H17749" s="835">
        <f t="shared" si="636"/>
        <v>31</v>
      </c>
      <c r="AF17749" s="831" t="s">
        <v>11640</v>
      </c>
      <c r="AG17749" s="831" t="s">
        <v>2674</v>
      </c>
      <c r="AH17749" s="831" t="s">
        <v>3044</v>
      </c>
      <c r="AI17749" s="831">
        <v>0</v>
      </c>
      <c r="AJ17749" s="835">
        <v>41882</v>
      </c>
      <c r="AK17749" s="831">
        <v>-2154547.3159999996</v>
      </c>
    </row>
    <row r="17750" spans="2:37">
      <c r="B17750" s="834" t="str">
        <f t="shared" si="635"/>
        <v>|||</v>
      </c>
      <c r="H17750" s="835">
        <f t="shared" si="636"/>
        <v>31</v>
      </c>
      <c r="AF17750" s="831" t="s">
        <v>11641</v>
      </c>
      <c r="AG17750" s="831" t="s">
        <v>2674</v>
      </c>
      <c r="AH17750" s="831" t="s">
        <v>580</v>
      </c>
      <c r="AI17750" s="831">
        <v>0</v>
      </c>
      <c r="AJ17750" s="835">
        <v>41882</v>
      </c>
      <c r="AK17750" s="831">
        <v>-74112712.891000003</v>
      </c>
    </row>
    <row r="17751" spans="2:37">
      <c r="B17751" s="834" t="str">
        <f t="shared" si="635"/>
        <v>|||</v>
      </c>
      <c r="H17751" s="835">
        <f t="shared" si="636"/>
        <v>31</v>
      </c>
      <c r="AF17751" s="831" t="s">
        <v>11642</v>
      </c>
      <c r="AG17751" s="831" t="s">
        <v>2674</v>
      </c>
      <c r="AH17751" s="831" t="s">
        <v>581</v>
      </c>
      <c r="AI17751" s="831">
        <v>0</v>
      </c>
      <c r="AJ17751" s="835">
        <v>41882</v>
      </c>
      <c r="AK17751" s="831">
        <v>6514589.0720000006</v>
      </c>
    </row>
    <row r="17752" spans="2:37">
      <c r="B17752" s="834" t="str">
        <f t="shared" si="635"/>
        <v>|||</v>
      </c>
      <c r="H17752" s="835">
        <f t="shared" si="636"/>
        <v>31</v>
      </c>
      <c r="AF17752" s="831" t="s">
        <v>11643</v>
      </c>
      <c r="AG17752" s="831" t="s">
        <v>2674</v>
      </c>
      <c r="AH17752" s="831" t="s">
        <v>105</v>
      </c>
      <c r="AI17752" s="831">
        <v>0</v>
      </c>
      <c r="AJ17752" s="835">
        <v>41882</v>
      </c>
      <c r="AK17752" s="831">
        <v>478699463.41700006</v>
      </c>
    </row>
    <row r="17753" spans="2:37">
      <c r="B17753" s="834" t="str">
        <f t="shared" si="635"/>
        <v>|||</v>
      </c>
      <c r="H17753" s="835">
        <f t="shared" si="636"/>
        <v>31</v>
      </c>
      <c r="AF17753" s="831" t="s">
        <v>11644</v>
      </c>
      <c r="AG17753" s="831" t="s">
        <v>2674</v>
      </c>
      <c r="AH17753" s="831" t="s">
        <v>3049</v>
      </c>
      <c r="AI17753" s="831">
        <v>0</v>
      </c>
      <c r="AJ17753" s="835">
        <v>41882</v>
      </c>
      <c r="AK17753" s="831">
        <v>787453668.41700006</v>
      </c>
    </row>
    <row r="17754" spans="2:37">
      <c r="B17754" s="834" t="str">
        <f t="shared" si="635"/>
        <v>|||</v>
      </c>
      <c r="H17754" s="835">
        <f t="shared" si="636"/>
        <v>31</v>
      </c>
      <c r="AF17754" s="831" t="s">
        <v>11645</v>
      </c>
      <c r="AG17754" s="831" t="s">
        <v>2674</v>
      </c>
      <c r="AH17754" s="831" t="s">
        <v>103</v>
      </c>
      <c r="AI17754" s="831">
        <v>0</v>
      </c>
      <c r="AJ17754" s="835">
        <v>41882</v>
      </c>
      <c r="AK17754" s="831">
        <v>308754205</v>
      </c>
    </row>
    <row r="17755" spans="2:37">
      <c r="B17755" s="834" t="str">
        <f t="shared" si="635"/>
        <v>|||</v>
      </c>
      <c r="H17755" s="835">
        <f t="shared" si="636"/>
        <v>31</v>
      </c>
      <c r="AF17755" s="831" t="s">
        <v>11646</v>
      </c>
      <c r="AG17755" s="831" t="s">
        <v>2674</v>
      </c>
      <c r="AH17755" s="831" t="s">
        <v>182</v>
      </c>
      <c r="AI17755" s="831">
        <v>0</v>
      </c>
      <c r="AJ17755" s="835">
        <v>41882</v>
      </c>
      <c r="AK17755" s="831">
        <v>72923285.376000002</v>
      </c>
    </row>
    <row r="17756" spans="2:37">
      <c r="B17756" s="834" t="str">
        <f t="shared" si="635"/>
        <v>|||</v>
      </c>
      <c r="H17756" s="835">
        <f t="shared" si="636"/>
        <v>31</v>
      </c>
      <c r="AF17756" s="831" t="s">
        <v>11647</v>
      </c>
      <c r="AG17756" s="831" t="s">
        <v>2674</v>
      </c>
      <c r="AH17756" s="831" t="s">
        <v>6600</v>
      </c>
      <c r="AI17756" s="831">
        <v>0</v>
      </c>
      <c r="AJ17756" s="835">
        <v>41882</v>
      </c>
      <c r="AK17756" s="831">
        <v>33565597.724000007</v>
      </c>
    </row>
    <row r="17757" spans="2:37">
      <c r="B17757" s="834" t="str">
        <f t="shared" si="635"/>
        <v>|||</v>
      </c>
      <c r="H17757" s="835">
        <f t="shared" si="636"/>
        <v>31</v>
      </c>
      <c r="AF17757" s="831" t="s">
        <v>11648</v>
      </c>
      <c r="AG17757" s="831" t="s">
        <v>2674</v>
      </c>
      <c r="AH17757" s="831" t="s">
        <v>6602</v>
      </c>
      <c r="AI17757" s="831">
        <v>0</v>
      </c>
      <c r="AJ17757" s="835">
        <v>41882</v>
      </c>
      <c r="AK17757" s="831">
        <v>25500774.76800001</v>
      </c>
    </row>
    <row r="17758" spans="2:37">
      <c r="B17758" s="834" t="str">
        <f t="shared" si="635"/>
        <v>|||</v>
      </c>
      <c r="H17758" s="835">
        <f t="shared" si="636"/>
        <v>31</v>
      </c>
      <c r="AF17758" s="831" t="s">
        <v>11649</v>
      </c>
      <c r="AG17758" s="831" t="s">
        <v>2674</v>
      </c>
      <c r="AH17758" s="831" t="s">
        <v>650</v>
      </c>
      <c r="AI17758" s="831">
        <v>0</v>
      </c>
      <c r="AJ17758" s="835">
        <v>41882</v>
      </c>
      <c r="AK17758" s="831">
        <v>265538072.42453846</v>
      </c>
    </row>
    <row r="17759" spans="2:37">
      <c r="B17759" s="834" t="str">
        <f t="shared" si="635"/>
        <v>|||</v>
      </c>
      <c r="H17759" s="835">
        <f t="shared" si="636"/>
        <v>31</v>
      </c>
      <c r="AF17759" s="831" t="s">
        <v>11650</v>
      </c>
      <c r="AG17759" s="831" t="s">
        <v>2674</v>
      </c>
      <c r="AH17759" s="831" t="s">
        <v>655</v>
      </c>
      <c r="AI17759" s="831">
        <v>0</v>
      </c>
      <c r="AJ17759" s="835">
        <v>41882</v>
      </c>
      <c r="AK17759" s="831">
        <v>1018935.1089999999</v>
      </c>
    </row>
    <row r="17760" spans="2:37">
      <c r="B17760" s="834" t="str">
        <f t="shared" si="635"/>
        <v>|||</v>
      </c>
      <c r="H17760" s="835">
        <f t="shared" si="636"/>
        <v>31</v>
      </c>
      <c r="AF17760" s="831" t="s">
        <v>11651</v>
      </c>
      <c r="AG17760" s="831" t="s">
        <v>2674</v>
      </c>
      <c r="AH17760" s="831" t="s">
        <v>546</v>
      </c>
      <c r="AI17760" s="831">
        <v>0</v>
      </c>
      <c r="AJ17760" s="835">
        <v>41912</v>
      </c>
      <c r="AK17760" s="831">
        <v>775508043</v>
      </c>
    </row>
    <row r="17761" spans="2:37">
      <c r="B17761" s="834" t="str">
        <f t="shared" si="635"/>
        <v>|||</v>
      </c>
      <c r="H17761" s="835">
        <f t="shared" si="636"/>
        <v>31</v>
      </c>
      <c r="AF17761" s="831" t="s">
        <v>11652</v>
      </c>
      <c r="AG17761" s="831" t="s">
        <v>2674</v>
      </c>
      <c r="AH17761" s="831" t="s">
        <v>370</v>
      </c>
      <c r="AI17761" s="831">
        <v>0</v>
      </c>
      <c r="AJ17761" s="835">
        <v>41912</v>
      </c>
      <c r="AK17761" s="831">
        <v>955738548</v>
      </c>
    </row>
    <row r="17762" spans="2:37">
      <c r="B17762" s="834" t="str">
        <f t="shared" si="635"/>
        <v>|||</v>
      </c>
      <c r="H17762" s="835">
        <f t="shared" si="636"/>
        <v>31</v>
      </c>
      <c r="AF17762" s="831" t="s">
        <v>11653</v>
      </c>
      <c r="AG17762" s="831" t="s">
        <v>2674</v>
      </c>
      <c r="AH17762" s="831" t="s">
        <v>126</v>
      </c>
      <c r="AI17762" s="831">
        <v>0</v>
      </c>
      <c r="AJ17762" s="835">
        <v>41912</v>
      </c>
      <c r="AK17762" s="831">
        <v>145830225</v>
      </c>
    </row>
    <row r="17763" spans="2:37">
      <c r="B17763" s="834" t="str">
        <f t="shared" si="635"/>
        <v>|||</v>
      </c>
      <c r="H17763" s="835">
        <f t="shared" si="636"/>
        <v>31</v>
      </c>
      <c r="AF17763" s="831" t="s">
        <v>11654</v>
      </c>
      <c r="AG17763" s="831" t="s">
        <v>2674</v>
      </c>
      <c r="AH17763" s="831" t="s">
        <v>268</v>
      </c>
      <c r="AI17763" s="831">
        <v>0</v>
      </c>
      <c r="AJ17763" s="835">
        <v>41912</v>
      </c>
      <c r="AK17763" s="831">
        <v>29012035</v>
      </c>
    </row>
    <row r="17764" spans="2:37">
      <c r="B17764" s="834" t="str">
        <f t="shared" si="635"/>
        <v>|||</v>
      </c>
      <c r="H17764" s="835">
        <f t="shared" si="636"/>
        <v>31</v>
      </c>
      <c r="AF17764" s="831" t="s">
        <v>11655</v>
      </c>
      <c r="AG17764" s="831" t="s">
        <v>2674</v>
      </c>
      <c r="AH17764" s="831" t="s">
        <v>547</v>
      </c>
      <c r="AI17764" s="831">
        <v>0</v>
      </c>
      <c r="AJ17764" s="835">
        <v>41912</v>
      </c>
      <c r="AK17764" s="831">
        <v>777719977</v>
      </c>
    </row>
    <row r="17765" spans="2:37">
      <c r="B17765" s="834" t="str">
        <f t="shared" si="635"/>
        <v>|||</v>
      </c>
      <c r="H17765" s="835">
        <f t="shared" si="636"/>
        <v>31</v>
      </c>
      <c r="AF17765" s="831" t="s">
        <v>11656</v>
      </c>
      <c r="AG17765" s="831" t="s">
        <v>2674</v>
      </c>
      <c r="AH17765" s="831" t="s">
        <v>548</v>
      </c>
      <c r="AI17765" s="831">
        <v>0</v>
      </c>
      <c r="AJ17765" s="835">
        <v>41912</v>
      </c>
      <c r="AK17765" s="831">
        <v>117105496</v>
      </c>
    </row>
    <row r="17766" spans="2:37">
      <c r="B17766" s="834" t="str">
        <f t="shared" si="635"/>
        <v>|||</v>
      </c>
      <c r="H17766" s="835">
        <f t="shared" si="636"/>
        <v>31</v>
      </c>
      <c r="AF17766" s="831" t="s">
        <v>11657</v>
      </c>
      <c r="AG17766" s="831" t="s">
        <v>2674</v>
      </c>
      <c r="AH17766" s="831" t="s">
        <v>549</v>
      </c>
      <c r="AI17766" s="831">
        <v>0</v>
      </c>
      <c r="AJ17766" s="835">
        <v>41912</v>
      </c>
      <c r="AK17766" s="831">
        <v>563989028</v>
      </c>
    </row>
    <row r="17767" spans="2:37">
      <c r="B17767" s="834" t="str">
        <f t="shared" si="635"/>
        <v>|||</v>
      </c>
      <c r="H17767" s="835">
        <f t="shared" si="636"/>
        <v>31</v>
      </c>
      <c r="AF17767" s="831" t="s">
        <v>11658</v>
      </c>
      <c r="AG17767" s="831" t="s">
        <v>2674</v>
      </c>
      <c r="AH17767" s="831" t="s">
        <v>192</v>
      </c>
      <c r="AI17767" s="831">
        <v>0</v>
      </c>
      <c r="AJ17767" s="835">
        <v>41912</v>
      </c>
      <c r="AK17767" s="831">
        <v>-11006364</v>
      </c>
    </row>
    <row r="17768" spans="2:37">
      <c r="B17768" s="834" t="str">
        <f t="shared" si="635"/>
        <v>|||</v>
      </c>
      <c r="H17768" s="835">
        <f t="shared" si="636"/>
        <v>31</v>
      </c>
      <c r="AF17768" s="831" t="s">
        <v>11659</v>
      </c>
      <c r="AG17768" s="831" t="s">
        <v>2674</v>
      </c>
      <c r="AH17768" s="831" t="s">
        <v>558</v>
      </c>
      <c r="AI17768" s="831">
        <v>0</v>
      </c>
      <c r="AJ17768" s="835">
        <v>41912</v>
      </c>
      <c r="AK17768" s="831">
        <v>809908323</v>
      </c>
    </row>
    <row r="17769" spans="2:37">
      <c r="B17769" s="834" t="str">
        <f t="shared" si="635"/>
        <v>|||</v>
      </c>
      <c r="H17769" s="835">
        <f t="shared" si="636"/>
        <v>31</v>
      </c>
      <c r="AF17769" s="831" t="s">
        <v>11660</v>
      </c>
      <c r="AG17769" s="831" t="s">
        <v>2674</v>
      </c>
      <c r="AH17769" s="831" t="s">
        <v>65</v>
      </c>
      <c r="AI17769" s="831">
        <v>0</v>
      </c>
      <c r="AJ17769" s="835">
        <v>41912</v>
      </c>
      <c r="AK17769" s="831">
        <v>126643298</v>
      </c>
    </row>
    <row r="17770" spans="2:37">
      <c r="B17770" s="834" t="str">
        <f t="shared" si="635"/>
        <v>|||</v>
      </c>
      <c r="H17770" s="835">
        <f t="shared" si="636"/>
        <v>31</v>
      </c>
      <c r="AF17770" s="831" t="s">
        <v>11661</v>
      </c>
      <c r="AG17770" s="831" t="s">
        <v>2674</v>
      </c>
      <c r="AH17770" s="831" t="s">
        <v>89</v>
      </c>
      <c r="AI17770" s="831">
        <v>0</v>
      </c>
      <c r="AJ17770" s="835">
        <v>41912</v>
      </c>
      <c r="AK17770" s="831">
        <v>159987</v>
      </c>
    </row>
    <row r="17771" spans="2:37">
      <c r="B17771" s="834" t="str">
        <f t="shared" si="635"/>
        <v>|||</v>
      </c>
      <c r="H17771" s="835">
        <f t="shared" si="636"/>
        <v>31</v>
      </c>
      <c r="AF17771" s="831" t="s">
        <v>11662</v>
      </c>
      <c r="AG17771" s="831" t="s">
        <v>2674</v>
      </c>
      <c r="AH17771" s="831" t="s">
        <v>557</v>
      </c>
      <c r="AI17771" s="831">
        <v>0</v>
      </c>
      <c r="AJ17771" s="835">
        <v>41912</v>
      </c>
      <c r="AK17771" s="831">
        <v>180249</v>
      </c>
    </row>
    <row r="17772" spans="2:37">
      <c r="B17772" s="834" t="str">
        <f t="shared" si="635"/>
        <v>|||</v>
      </c>
      <c r="H17772" s="835">
        <f t="shared" si="636"/>
        <v>31</v>
      </c>
      <c r="AF17772" s="831" t="s">
        <v>11663</v>
      </c>
      <c r="AG17772" s="831" t="s">
        <v>2674</v>
      </c>
      <c r="AH17772" s="831" t="s">
        <v>29</v>
      </c>
      <c r="AI17772" s="831">
        <v>0</v>
      </c>
      <c r="AJ17772" s="835">
        <v>41912</v>
      </c>
      <c r="AK17772" s="831">
        <v>2332375</v>
      </c>
    </row>
    <row r="17773" spans="2:37">
      <c r="B17773" s="834" t="str">
        <f t="shared" si="635"/>
        <v>|||</v>
      </c>
      <c r="H17773" s="835">
        <f t="shared" si="636"/>
        <v>31</v>
      </c>
      <c r="AF17773" s="831" t="s">
        <v>11664</v>
      </c>
      <c r="AG17773" s="831" t="s">
        <v>2674</v>
      </c>
      <c r="AH17773" s="831" t="s">
        <v>2688</v>
      </c>
      <c r="AI17773" s="831">
        <v>0</v>
      </c>
      <c r="AJ17773" s="835">
        <v>41912</v>
      </c>
      <c r="AK17773" s="831">
        <v>4758526.78</v>
      </c>
    </row>
    <row r="17774" spans="2:37">
      <c r="B17774" s="834" t="str">
        <f t="shared" si="635"/>
        <v>|||</v>
      </c>
      <c r="H17774" s="835">
        <f t="shared" si="636"/>
        <v>31</v>
      </c>
      <c r="AF17774" s="831" t="s">
        <v>11665</v>
      </c>
      <c r="AG17774" s="831" t="s">
        <v>2674</v>
      </c>
      <c r="AH17774" s="831" t="s">
        <v>556</v>
      </c>
      <c r="AI17774" s="831">
        <v>0</v>
      </c>
      <c r="AJ17774" s="835">
        <v>41912</v>
      </c>
      <c r="AK17774" s="831">
        <v>6520953</v>
      </c>
    </row>
    <row r="17775" spans="2:37">
      <c r="B17775" s="834" t="str">
        <f t="shared" si="635"/>
        <v>|||</v>
      </c>
      <c r="H17775" s="835">
        <f t="shared" si="636"/>
        <v>31</v>
      </c>
      <c r="AF17775" s="831" t="s">
        <v>11666</v>
      </c>
      <c r="AG17775" s="831" t="s">
        <v>2674</v>
      </c>
      <c r="AH17775" s="831" t="s">
        <v>555</v>
      </c>
      <c r="AI17775" s="831">
        <v>0</v>
      </c>
      <c r="AJ17775" s="835">
        <v>41912</v>
      </c>
      <c r="AK17775" s="831">
        <v>528140339</v>
      </c>
    </row>
    <row r="17776" spans="2:37">
      <c r="B17776" s="834" t="str">
        <f t="shared" si="635"/>
        <v>|||</v>
      </c>
      <c r="H17776" s="835">
        <f t="shared" si="636"/>
        <v>31</v>
      </c>
      <c r="AF17776" s="831" t="s">
        <v>11667</v>
      </c>
      <c r="AG17776" s="831" t="s">
        <v>2674</v>
      </c>
      <c r="AH17776" s="831" t="s">
        <v>554</v>
      </c>
      <c r="AI17776" s="831">
        <v>0</v>
      </c>
      <c r="AJ17776" s="835">
        <v>41912</v>
      </c>
      <c r="AK17776" s="831">
        <v>536741460</v>
      </c>
    </row>
    <row r="17777" spans="2:37">
      <c r="B17777" s="834" t="str">
        <f t="shared" si="635"/>
        <v>|||</v>
      </c>
      <c r="H17777" s="835">
        <f t="shared" si="636"/>
        <v>31</v>
      </c>
      <c r="AF17777" s="831" t="s">
        <v>11668</v>
      </c>
      <c r="AG17777" s="831" t="s">
        <v>2674</v>
      </c>
      <c r="AH17777" s="831" t="s">
        <v>553</v>
      </c>
      <c r="AI17777" s="831">
        <v>0</v>
      </c>
      <c r="AJ17777" s="835">
        <v>41912</v>
      </c>
      <c r="AK17777" s="831">
        <v>0</v>
      </c>
    </row>
    <row r="17778" spans="2:37">
      <c r="B17778" s="834" t="str">
        <f t="shared" si="635"/>
        <v>|||</v>
      </c>
      <c r="H17778" s="835">
        <f t="shared" si="636"/>
        <v>31</v>
      </c>
      <c r="AF17778" s="831" t="s">
        <v>11669</v>
      </c>
      <c r="AG17778" s="831" t="s">
        <v>2674</v>
      </c>
      <c r="AH17778" s="831" t="s">
        <v>552</v>
      </c>
      <c r="AI17778" s="831">
        <v>0</v>
      </c>
      <c r="AJ17778" s="835">
        <v>41912</v>
      </c>
      <c r="AK17778" s="831">
        <v>0</v>
      </c>
    </row>
    <row r="17779" spans="2:37">
      <c r="B17779" s="834" t="str">
        <f t="shared" si="635"/>
        <v>|||</v>
      </c>
      <c r="H17779" s="835">
        <f t="shared" si="636"/>
        <v>31</v>
      </c>
      <c r="AF17779" s="831" t="s">
        <v>11670</v>
      </c>
      <c r="AG17779" s="831" t="s">
        <v>2674</v>
      </c>
      <c r="AH17779" s="831" t="s">
        <v>551</v>
      </c>
      <c r="AI17779" s="831">
        <v>0</v>
      </c>
      <c r="AJ17779" s="835">
        <v>41912</v>
      </c>
      <c r="AK17779" s="831">
        <v>1612094</v>
      </c>
    </row>
    <row r="17780" spans="2:37">
      <c r="B17780" s="834" t="str">
        <f t="shared" si="635"/>
        <v>|||</v>
      </c>
      <c r="H17780" s="835">
        <f t="shared" si="636"/>
        <v>31</v>
      </c>
      <c r="AF17780" s="831" t="s">
        <v>11671</v>
      </c>
      <c r="AG17780" s="831" t="s">
        <v>2674</v>
      </c>
      <c r="AH17780" s="831" t="s">
        <v>550</v>
      </c>
      <c r="AI17780" s="831">
        <v>0</v>
      </c>
      <c r="AJ17780" s="835">
        <v>41912</v>
      </c>
      <c r="AK17780" s="831">
        <v>141824046.03</v>
      </c>
    </row>
    <row r="17781" spans="2:37">
      <c r="B17781" s="834" t="str">
        <f t="shared" si="635"/>
        <v>|||</v>
      </c>
      <c r="H17781" s="835">
        <f t="shared" si="636"/>
        <v>31</v>
      </c>
      <c r="AF17781" s="831" t="s">
        <v>11672</v>
      </c>
      <c r="AG17781" s="831" t="s">
        <v>2674</v>
      </c>
      <c r="AH17781" s="831" t="s">
        <v>562</v>
      </c>
      <c r="AI17781" s="831">
        <v>0</v>
      </c>
      <c r="AJ17781" s="835">
        <v>41912</v>
      </c>
      <c r="AK17781" s="831">
        <v>0.78325</v>
      </c>
    </row>
    <row r="17782" spans="2:37">
      <c r="B17782" s="834" t="str">
        <f t="shared" si="635"/>
        <v>|||</v>
      </c>
      <c r="H17782" s="835">
        <f t="shared" si="636"/>
        <v>31</v>
      </c>
      <c r="AF17782" s="831" t="s">
        <v>11673</v>
      </c>
      <c r="AG17782" s="831" t="s">
        <v>2674</v>
      </c>
      <c r="AH17782" s="831" t="s">
        <v>2698</v>
      </c>
      <c r="AI17782" s="831">
        <v>0</v>
      </c>
      <c r="AJ17782" s="835">
        <v>41912</v>
      </c>
      <c r="AK17782" s="831">
        <v>0.7833</v>
      </c>
    </row>
    <row r="17783" spans="2:37">
      <c r="B17783" s="834" t="str">
        <f t="shared" si="635"/>
        <v>|||</v>
      </c>
      <c r="H17783" s="835">
        <f t="shared" si="636"/>
        <v>31</v>
      </c>
      <c r="AF17783" s="831" t="s">
        <v>11674</v>
      </c>
      <c r="AG17783" s="831" t="s">
        <v>2674</v>
      </c>
      <c r="AH17783" s="831" t="s">
        <v>560</v>
      </c>
      <c r="AI17783" s="831">
        <v>0</v>
      </c>
      <c r="AJ17783" s="835">
        <v>41912</v>
      </c>
      <c r="AK17783" s="831">
        <v>0.78364444444444448</v>
      </c>
    </row>
    <row r="17784" spans="2:37">
      <c r="B17784" s="834" t="str">
        <f t="shared" si="635"/>
        <v>|||</v>
      </c>
      <c r="H17784" s="835">
        <f t="shared" si="636"/>
        <v>31</v>
      </c>
      <c r="AF17784" s="831" t="s">
        <v>11675</v>
      </c>
      <c r="AG17784" s="831" t="s">
        <v>2674</v>
      </c>
      <c r="AH17784" s="831" t="s">
        <v>559</v>
      </c>
      <c r="AI17784" s="831">
        <v>0</v>
      </c>
      <c r="AJ17784" s="835">
        <v>41912</v>
      </c>
      <c r="AK17784" s="831">
        <v>0.78366250000000004</v>
      </c>
    </row>
    <row r="17785" spans="2:37">
      <c r="B17785" s="834" t="str">
        <f t="shared" si="635"/>
        <v>|||</v>
      </c>
      <c r="H17785" s="835">
        <f t="shared" si="636"/>
        <v>31</v>
      </c>
      <c r="AF17785" s="831" t="s">
        <v>11676</v>
      </c>
      <c r="AG17785" s="831" t="s">
        <v>2674</v>
      </c>
      <c r="AH17785" s="831" t="s">
        <v>568</v>
      </c>
      <c r="AI17785" s="831">
        <v>0</v>
      </c>
      <c r="AJ17785" s="835">
        <v>41912</v>
      </c>
      <c r="AK17785" s="831">
        <v>671683974.07307696</v>
      </c>
    </row>
    <row r="17786" spans="2:37">
      <c r="B17786" s="834" t="str">
        <f t="shared" si="635"/>
        <v>|||</v>
      </c>
      <c r="H17786" s="835">
        <f t="shared" si="636"/>
        <v>31</v>
      </c>
      <c r="AF17786" s="831" t="s">
        <v>11677</v>
      </c>
      <c r="AG17786" s="831" t="s">
        <v>2674</v>
      </c>
      <c r="AH17786" s="831" t="s">
        <v>569</v>
      </c>
      <c r="AI17786" s="831">
        <v>0</v>
      </c>
      <c r="AJ17786" s="835">
        <v>41912</v>
      </c>
      <c r="AK17786" s="831">
        <v>832078660.51176918</v>
      </c>
    </row>
    <row r="17787" spans="2:37">
      <c r="B17787" s="834" t="str">
        <f t="shared" si="635"/>
        <v>|||</v>
      </c>
      <c r="H17787" s="835">
        <f t="shared" si="636"/>
        <v>31</v>
      </c>
      <c r="AF17787" s="831" t="s">
        <v>11678</v>
      </c>
      <c r="AG17787" s="831" t="s">
        <v>2674</v>
      </c>
      <c r="AH17787" s="831" t="s">
        <v>570</v>
      </c>
      <c r="AI17787" s="831">
        <v>0</v>
      </c>
      <c r="AJ17787" s="835">
        <v>41912</v>
      </c>
      <c r="AK17787" s="831">
        <v>127379907.52276923</v>
      </c>
    </row>
    <row r="17788" spans="2:37">
      <c r="B17788" s="834" t="str">
        <f t="shared" si="635"/>
        <v>|||</v>
      </c>
      <c r="H17788" s="835">
        <f t="shared" si="636"/>
        <v>31</v>
      </c>
      <c r="AF17788" s="831" t="s">
        <v>11679</v>
      </c>
      <c r="AG17788" s="831" t="s">
        <v>2674</v>
      </c>
      <c r="AH17788" s="831" t="s">
        <v>571</v>
      </c>
      <c r="AI17788" s="831">
        <v>0</v>
      </c>
      <c r="AJ17788" s="835">
        <v>41912</v>
      </c>
      <c r="AK17788" s="831">
        <v>409242621.46846157</v>
      </c>
    </row>
    <row r="17789" spans="2:37">
      <c r="B17789" s="834" t="str">
        <f t="shared" si="635"/>
        <v>|||</v>
      </c>
      <c r="H17789" s="835">
        <f t="shared" si="636"/>
        <v>31</v>
      </c>
      <c r="AF17789" s="831" t="s">
        <v>11680</v>
      </c>
      <c r="AG17789" s="831" t="s">
        <v>2674</v>
      </c>
      <c r="AH17789" s="831" t="s">
        <v>573</v>
      </c>
      <c r="AI17789" s="831">
        <v>0</v>
      </c>
      <c r="AJ17789" s="835">
        <v>41912</v>
      </c>
      <c r="AK17789" s="831">
        <v>865626907.3563</v>
      </c>
    </row>
    <row r="17790" spans="2:37">
      <c r="B17790" s="834" t="str">
        <f t="shared" si="635"/>
        <v>|||</v>
      </c>
      <c r="H17790" s="835">
        <f t="shared" si="636"/>
        <v>31</v>
      </c>
      <c r="AF17790" s="831" t="s">
        <v>11681</v>
      </c>
      <c r="AG17790" s="831" t="s">
        <v>2674</v>
      </c>
      <c r="AH17790" s="831" t="s">
        <v>574</v>
      </c>
      <c r="AI17790" s="831">
        <v>0</v>
      </c>
      <c r="AJ17790" s="835">
        <v>41912</v>
      </c>
      <c r="AK17790" s="831">
        <v>698958196.60000002</v>
      </c>
    </row>
    <row r="17791" spans="2:37">
      <c r="B17791" s="834" t="str">
        <f t="shared" si="635"/>
        <v>|||</v>
      </c>
      <c r="H17791" s="835">
        <f t="shared" si="636"/>
        <v>31</v>
      </c>
      <c r="AF17791" s="831" t="s">
        <v>11682</v>
      </c>
      <c r="AG17791" s="831" t="s">
        <v>2674</v>
      </c>
      <c r="AH17791" s="831" t="s">
        <v>575</v>
      </c>
      <c r="AI17791" s="831">
        <v>0</v>
      </c>
      <c r="AJ17791" s="835">
        <v>41912</v>
      </c>
      <c r="AK17791" s="831">
        <v>129535935.794</v>
      </c>
    </row>
    <row r="17792" spans="2:37">
      <c r="B17792" s="834" t="str">
        <f t="shared" si="635"/>
        <v>|||</v>
      </c>
      <c r="H17792" s="835">
        <f t="shared" si="636"/>
        <v>31</v>
      </c>
      <c r="AF17792" s="831" t="s">
        <v>11683</v>
      </c>
      <c r="AG17792" s="831" t="s">
        <v>2674</v>
      </c>
      <c r="AH17792" s="831" t="s">
        <v>576</v>
      </c>
      <c r="AI17792" s="831">
        <v>0</v>
      </c>
      <c r="AJ17792" s="835">
        <v>41912</v>
      </c>
      <c r="AK17792" s="831">
        <v>427412859.60280001</v>
      </c>
    </row>
    <row r="17793" spans="2:37">
      <c r="B17793" s="834" t="str">
        <f t="shared" si="635"/>
        <v>|||</v>
      </c>
      <c r="H17793" s="835">
        <f t="shared" si="636"/>
        <v>31</v>
      </c>
      <c r="AF17793" s="831" t="s">
        <v>11684</v>
      </c>
      <c r="AG17793" s="831" t="s">
        <v>2674</v>
      </c>
      <c r="AH17793" s="831" t="s">
        <v>572</v>
      </c>
      <c r="AI17793" s="831">
        <v>0</v>
      </c>
      <c r="AJ17793" s="835">
        <v>41912</v>
      </c>
      <c r="AK17793" s="831">
        <v>33781162.955999985</v>
      </c>
    </row>
    <row r="17794" spans="2:37">
      <c r="B17794" s="834" t="str">
        <f t="shared" si="635"/>
        <v>|||</v>
      </c>
      <c r="H17794" s="835">
        <f t="shared" si="636"/>
        <v>31</v>
      </c>
      <c r="AF17794" s="831" t="s">
        <v>11685</v>
      </c>
      <c r="AG17794" s="831" t="s">
        <v>2674</v>
      </c>
      <c r="AH17794" s="831" t="s">
        <v>577</v>
      </c>
      <c r="AI17794" s="831">
        <v>0</v>
      </c>
      <c r="AJ17794" s="835">
        <v>41912</v>
      </c>
      <c r="AK17794" s="831">
        <v>164186629.76300001</v>
      </c>
    </row>
    <row r="17795" spans="2:37">
      <c r="B17795" s="834" t="str">
        <f t="shared" si="635"/>
        <v>|||</v>
      </c>
      <c r="H17795" s="835">
        <f t="shared" si="636"/>
        <v>31</v>
      </c>
      <c r="AF17795" s="831" t="s">
        <v>11686</v>
      </c>
      <c r="AG17795" s="831" t="s">
        <v>2674</v>
      </c>
      <c r="AH17795" s="831" t="s">
        <v>3042</v>
      </c>
      <c r="AI17795" s="831">
        <v>0</v>
      </c>
      <c r="AJ17795" s="835">
        <v>41912</v>
      </c>
      <c r="AK17795" s="831">
        <v>-47764358.527000003</v>
      </c>
    </row>
    <row r="17796" spans="2:37">
      <c r="B17796" s="834" t="str">
        <f t="shared" si="635"/>
        <v>|||</v>
      </c>
      <c r="H17796" s="835">
        <f t="shared" si="636"/>
        <v>31</v>
      </c>
      <c r="AF17796" s="831" t="s">
        <v>11687</v>
      </c>
      <c r="AG17796" s="831" t="s">
        <v>2674</v>
      </c>
      <c r="AH17796" s="831" t="s">
        <v>3044</v>
      </c>
      <c r="AI17796" s="831">
        <v>0</v>
      </c>
      <c r="AJ17796" s="835">
        <v>41912</v>
      </c>
      <c r="AK17796" s="831">
        <v>-2027515.8899999997</v>
      </c>
    </row>
    <row r="17797" spans="2:37">
      <c r="B17797" s="834" t="str">
        <f t="shared" si="635"/>
        <v>|||</v>
      </c>
      <c r="H17797" s="835">
        <f t="shared" si="636"/>
        <v>31</v>
      </c>
      <c r="AF17797" s="831" t="s">
        <v>11688</v>
      </c>
      <c r="AG17797" s="831" t="s">
        <v>2674</v>
      </c>
      <c r="AH17797" s="831" t="s">
        <v>580</v>
      </c>
      <c r="AI17797" s="831">
        <v>0</v>
      </c>
      <c r="AJ17797" s="835">
        <v>41912</v>
      </c>
      <c r="AK17797" s="831">
        <v>-75872333.307000011</v>
      </c>
    </row>
    <row r="17798" spans="2:37">
      <c r="B17798" s="834" t="str">
        <f t="shared" si="635"/>
        <v>|||</v>
      </c>
      <c r="H17798" s="835">
        <f t="shared" si="636"/>
        <v>31</v>
      </c>
      <c r="AF17798" s="831" t="s">
        <v>11689</v>
      </c>
      <c r="AG17798" s="831" t="s">
        <v>2674</v>
      </c>
      <c r="AH17798" s="831" t="s">
        <v>581</v>
      </c>
      <c r="AI17798" s="831">
        <v>0</v>
      </c>
      <c r="AJ17798" s="835">
        <v>41912</v>
      </c>
      <c r="AK17798" s="831">
        <v>6304407.8940000003</v>
      </c>
    </row>
    <row r="17799" spans="2:37">
      <c r="B17799" s="834" t="str">
        <f t="shared" si="635"/>
        <v>|||</v>
      </c>
      <c r="H17799" s="835">
        <f t="shared" si="636"/>
        <v>31</v>
      </c>
      <c r="AF17799" s="831" t="s">
        <v>11690</v>
      </c>
      <c r="AG17799" s="831" t="s">
        <v>2674</v>
      </c>
      <c r="AH17799" s="831" t="s">
        <v>105</v>
      </c>
      <c r="AI17799" s="831">
        <v>0</v>
      </c>
      <c r="AJ17799" s="835">
        <v>41912</v>
      </c>
      <c r="AK17799" s="831">
        <v>472452480</v>
      </c>
    </row>
    <row r="17800" spans="2:37">
      <c r="B17800" s="834" t="str">
        <f t="shared" si="635"/>
        <v>|||</v>
      </c>
      <c r="H17800" s="835">
        <f t="shared" si="636"/>
        <v>31</v>
      </c>
      <c r="AF17800" s="831" t="s">
        <v>11691</v>
      </c>
      <c r="AG17800" s="831" t="s">
        <v>2674</v>
      </c>
      <c r="AH17800" s="831" t="s">
        <v>3049</v>
      </c>
      <c r="AI17800" s="831">
        <v>0</v>
      </c>
      <c r="AJ17800" s="835">
        <v>41912</v>
      </c>
      <c r="AK17800" s="831">
        <v>783051294</v>
      </c>
    </row>
    <row r="17801" spans="2:37">
      <c r="B17801" s="834" t="str">
        <f t="shared" si="635"/>
        <v>|||</v>
      </c>
      <c r="H17801" s="835">
        <f t="shared" si="636"/>
        <v>31</v>
      </c>
      <c r="AF17801" s="831" t="s">
        <v>11692</v>
      </c>
      <c r="AG17801" s="831" t="s">
        <v>2674</v>
      </c>
      <c r="AH17801" s="831" t="s">
        <v>103</v>
      </c>
      <c r="AI17801" s="831">
        <v>0</v>
      </c>
      <c r="AJ17801" s="835">
        <v>41912</v>
      </c>
      <c r="AK17801" s="831">
        <v>310598814</v>
      </c>
    </row>
    <row r="17802" spans="2:37">
      <c r="B17802" s="834" t="str">
        <f t="shared" si="635"/>
        <v>|||</v>
      </c>
      <c r="H17802" s="835">
        <f t="shared" si="636"/>
        <v>31</v>
      </c>
      <c r="AF17802" s="831" t="s">
        <v>11693</v>
      </c>
      <c r="AG17802" s="831" t="s">
        <v>2674</v>
      </c>
      <c r="AH17802" s="831" t="s">
        <v>182</v>
      </c>
      <c r="AI17802" s="831">
        <v>0</v>
      </c>
      <c r="AJ17802" s="835">
        <v>41912</v>
      </c>
      <c r="AK17802" s="831">
        <v>73471997.333333328</v>
      </c>
    </row>
    <row r="17803" spans="2:37">
      <c r="B17803" s="834" t="str">
        <f t="shared" si="635"/>
        <v>|||</v>
      </c>
      <c r="H17803" s="835">
        <f t="shared" si="636"/>
        <v>31</v>
      </c>
      <c r="AF17803" s="831" t="s">
        <v>11694</v>
      </c>
      <c r="AG17803" s="831" t="s">
        <v>2674</v>
      </c>
      <c r="AH17803" s="831" t="s">
        <v>6600</v>
      </c>
      <c r="AI17803" s="831">
        <v>0</v>
      </c>
      <c r="AJ17803" s="835">
        <v>41912</v>
      </c>
      <c r="AK17803" s="831">
        <v>33781162.955999985</v>
      </c>
    </row>
    <row r="17804" spans="2:37">
      <c r="B17804" s="834" t="str">
        <f t="shared" si="635"/>
        <v>|||</v>
      </c>
      <c r="H17804" s="835">
        <f t="shared" si="636"/>
        <v>31</v>
      </c>
      <c r="AF17804" s="831" t="s">
        <v>11695</v>
      </c>
      <c r="AG17804" s="831" t="s">
        <v>2674</v>
      </c>
      <c r="AH17804" s="831" t="s">
        <v>6602</v>
      </c>
      <c r="AI17804" s="831">
        <v>0</v>
      </c>
      <c r="AJ17804" s="835">
        <v>41912</v>
      </c>
      <c r="AK17804" s="831">
        <v>29012035</v>
      </c>
    </row>
    <row r="17805" spans="2:37">
      <c r="B17805" s="834" t="str">
        <f t="shared" si="635"/>
        <v>|||</v>
      </c>
      <c r="H17805" s="835">
        <f t="shared" si="636"/>
        <v>31</v>
      </c>
      <c r="AF17805" s="831" t="s">
        <v>11696</v>
      </c>
      <c r="AG17805" s="831" t="s">
        <v>2674</v>
      </c>
      <c r="AH17805" s="831" t="s">
        <v>650</v>
      </c>
      <c r="AI17805" s="831">
        <v>0</v>
      </c>
      <c r="AJ17805" s="835">
        <v>41912</v>
      </c>
      <c r="AK17805" s="831">
        <v>273036122.95146155</v>
      </c>
    </row>
    <row r="17806" spans="2:37">
      <c r="B17806" s="834" t="str">
        <f t="shared" si="635"/>
        <v>|||</v>
      </c>
      <c r="H17806" s="835">
        <f t="shared" si="636"/>
        <v>31</v>
      </c>
      <c r="AF17806" s="831" t="s">
        <v>11697</v>
      </c>
      <c r="AG17806" s="831" t="s">
        <v>2674</v>
      </c>
      <c r="AH17806" s="831" t="s">
        <v>655</v>
      </c>
      <c r="AI17806" s="831">
        <v>0</v>
      </c>
      <c r="AJ17806" s="835">
        <v>41912</v>
      </c>
      <c r="AK17806" s="831">
        <v>1341189</v>
      </c>
    </row>
    <row r="17807" spans="2:37">
      <c r="B17807" s="834" t="str">
        <f t="shared" si="635"/>
        <v>|||</v>
      </c>
      <c r="H17807" s="835">
        <f t="shared" si="636"/>
        <v>31</v>
      </c>
      <c r="AF17807" s="831" t="s">
        <v>11698</v>
      </c>
      <c r="AG17807" s="831" t="s">
        <v>2674</v>
      </c>
      <c r="AH17807" s="831" t="s">
        <v>546</v>
      </c>
      <c r="AI17807" s="831">
        <v>0</v>
      </c>
      <c r="AJ17807" s="835">
        <v>41943</v>
      </c>
      <c r="AK17807" s="831">
        <v>788185615</v>
      </c>
    </row>
    <row r="17808" spans="2:37">
      <c r="B17808" s="834" t="str">
        <f t="shared" si="635"/>
        <v>|||</v>
      </c>
      <c r="H17808" s="835">
        <f t="shared" si="636"/>
        <v>31</v>
      </c>
      <c r="AF17808" s="831" t="s">
        <v>11699</v>
      </c>
      <c r="AG17808" s="831" t="s">
        <v>2674</v>
      </c>
      <c r="AH17808" s="831" t="s">
        <v>370</v>
      </c>
      <c r="AI17808" s="831">
        <v>0</v>
      </c>
      <c r="AJ17808" s="835">
        <v>41943</v>
      </c>
      <c r="AK17808" s="831">
        <v>999911217</v>
      </c>
    </row>
    <row r="17809" spans="2:37">
      <c r="B17809" s="834" t="str">
        <f t="shared" ref="B17809:B17872" si="637">C17809&amp;"|"&amp;D17809&amp;"|"&amp;E17809&amp;"|"&amp;F17809</f>
        <v>|||</v>
      </c>
      <c r="H17809" s="835">
        <f t="shared" ref="H17809:H17872" si="638">EOMONTH(L17809,0)</f>
        <v>31</v>
      </c>
      <c r="AF17809" s="831" t="s">
        <v>11700</v>
      </c>
      <c r="AG17809" s="831" t="s">
        <v>2674</v>
      </c>
      <c r="AH17809" s="831" t="s">
        <v>126</v>
      </c>
      <c r="AI17809" s="831">
        <v>0</v>
      </c>
      <c r="AJ17809" s="835">
        <v>41943</v>
      </c>
      <c r="AK17809" s="831">
        <v>149380039</v>
      </c>
    </row>
    <row r="17810" spans="2:37">
      <c r="B17810" s="834" t="str">
        <f t="shared" si="637"/>
        <v>|||</v>
      </c>
      <c r="H17810" s="835">
        <f t="shared" si="638"/>
        <v>31</v>
      </c>
      <c r="AF17810" s="831" t="s">
        <v>11701</v>
      </c>
      <c r="AG17810" s="831" t="s">
        <v>2674</v>
      </c>
      <c r="AH17810" s="831" t="s">
        <v>268</v>
      </c>
      <c r="AI17810" s="831">
        <v>0</v>
      </c>
      <c r="AJ17810" s="835">
        <v>41943</v>
      </c>
      <c r="AK17810" s="831">
        <v>32657533</v>
      </c>
    </row>
    <row r="17811" spans="2:37">
      <c r="B17811" s="834" t="str">
        <f t="shared" si="637"/>
        <v>|||</v>
      </c>
      <c r="H17811" s="835">
        <f t="shared" si="638"/>
        <v>31</v>
      </c>
      <c r="AF17811" s="831" t="s">
        <v>11702</v>
      </c>
      <c r="AG17811" s="831" t="s">
        <v>2674</v>
      </c>
      <c r="AH17811" s="831" t="s">
        <v>547</v>
      </c>
      <c r="AI17811" s="831">
        <v>0</v>
      </c>
      <c r="AJ17811" s="835">
        <v>41943</v>
      </c>
      <c r="AK17811" s="831">
        <v>777719977</v>
      </c>
    </row>
    <row r="17812" spans="2:37">
      <c r="B17812" s="834" t="str">
        <f t="shared" si="637"/>
        <v>|||</v>
      </c>
      <c r="H17812" s="835">
        <f t="shared" si="638"/>
        <v>31</v>
      </c>
      <c r="AF17812" s="831" t="s">
        <v>11703</v>
      </c>
      <c r="AG17812" s="831" t="s">
        <v>2674</v>
      </c>
      <c r="AH17812" s="831" t="s">
        <v>548</v>
      </c>
      <c r="AI17812" s="831">
        <v>0</v>
      </c>
      <c r="AJ17812" s="835">
        <v>41943</v>
      </c>
      <c r="AK17812" s="831">
        <v>117105496</v>
      </c>
    </row>
    <row r="17813" spans="2:37">
      <c r="B17813" s="834" t="str">
        <f t="shared" si="637"/>
        <v>|||</v>
      </c>
      <c r="H17813" s="835">
        <f t="shared" si="638"/>
        <v>31</v>
      </c>
      <c r="AF17813" s="831" t="s">
        <v>11704</v>
      </c>
      <c r="AG17813" s="831" t="s">
        <v>2674</v>
      </c>
      <c r="AH17813" s="831" t="s">
        <v>549</v>
      </c>
      <c r="AI17813" s="831">
        <v>0</v>
      </c>
      <c r="AJ17813" s="835">
        <v>41943</v>
      </c>
      <c r="AK17813" s="831">
        <v>580271359</v>
      </c>
    </row>
    <row r="17814" spans="2:37">
      <c r="B17814" s="834" t="str">
        <f t="shared" si="637"/>
        <v>|||</v>
      </c>
      <c r="H17814" s="835">
        <f t="shared" si="638"/>
        <v>31</v>
      </c>
      <c r="AF17814" s="831" t="s">
        <v>11705</v>
      </c>
      <c r="AG17814" s="831" t="s">
        <v>2674</v>
      </c>
      <c r="AH17814" s="831" t="s">
        <v>192</v>
      </c>
      <c r="AI17814" s="831">
        <v>0</v>
      </c>
      <c r="AJ17814" s="835">
        <v>41943</v>
      </c>
      <c r="AK17814" s="831">
        <v>-11001950</v>
      </c>
    </row>
    <row r="17815" spans="2:37">
      <c r="B17815" s="834" t="str">
        <f t="shared" si="637"/>
        <v>|||</v>
      </c>
      <c r="H17815" s="835">
        <f t="shared" si="638"/>
        <v>31</v>
      </c>
      <c r="AF17815" s="831" t="s">
        <v>11706</v>
      </c>
      <c r="AG17815" s="831" t="s">
        <v>2674</v>
      </c>
      <c r="AH17815" s="831" t="s">
        <v>558</v>
      </c>
      <c r="AI17815" s="831">
        <v>0</v>
      </c>
      <c r="AJ17815" s="835">
        <v>41943</v>
      </c>
      <c r="AK17815" s="831">
        <v>850531537</v>
      </c>
    </row>
    <row r="17816" spans="2:37">
      <c r="B17816" s="834" t="str">
        <f t="shared" si="637"/>
        <v>|||</v>
      </c>
      <c r="H17816" s="835">
        <f t="shared" si="638"/>
        <v>31</v>
      </c>
      <c r="AF17816" s="831" t="s">
        <v>11707</v>
      </c>
      <c r="AG17816" s="831" t="s">
        <v>2674</v>
      </c>
      <c r="AH17816" s="831" t="s">
        <v>65</v>
      </c>
      <c r="AI17816" s="831">
        <v>0</v>
      </c>
      <c r="AJ17816" s="835">
        <v>41943</v>
      </c>
      <c r="AK17816" s="831">
        <v>144545337</v>
      </c>
    </row>
    <row r="17817" spans="2:37">
      <c r="B17817" s="834" t="str">
        <f t="shared" si="637"/>
        <v>|||</v>
      </c>
      <c r="H17817" s="835">
        <f t="shared" si="638"/>
        <v>31</v>
      </c>
      <c r="AF17817" s="831" t="s">
        <v>11708</v>
      </c>
      <c r="AG17817" s="831" t="s">
        <v>2674</v>
      </c>
      <c r="AH17817" s="831" t="s">
        <v>89</v>
      </c>
      <c r="AI17817" s="831">
        <v>0</v>
      </c>
      <c r="AJ17817" s="835">
        <v>41943</v>
      </c>
      <c r="AK17817" s="831">
        <v>159189</v>
      </c>
    </row>
    <row r="17818" spans="2:37">
      <c r="B17818" s="834" t="str">
        <f t="shared" si="637"/>
        <v>|||</v>
      </c>
      <c r="H17818" s="835">
        <f t="shared" si="638"/>
        <v>31</v>
      </c>
      <c r="AF17818" s="831" t="s">
        <v>11709</v>
      </c>
      <c r="AG17818" s="831" t="s">
        <v>2674</v>
      </c>
      <c r="AH17818" s="831" t="s">
        <v>557</v>
      </c>
      <c r="AI17818" s="831">
        <v>0</v>
      </c>
      <c r="AJ17818" s="835">
        <v>41943</v>
      </c>
      <c r="AK17818" s="831">
        <v>176925</v>
      </c>
    </row>
    <row r="17819" spans="2:37">
      <c r="B17819" s="834" t="str">
        <f t="shared" si="637"/>
        <v>|||</v>
      </c>
      <c r="H17819" s="835">
        <f t="shared" si="638"/>
        <v>31</v>
      </c>
      <c r="AF17819" s="831" t="s">
        <v>11710</v>
      </c>
      <c r="AG17819" s="831" t="s">
        <v>2674</v>
      </c>
      <c r="AH17819" s="831" t="s">
        <v>29</v>
      </c>
      <c r="AI17819" s="831">
        <v>0</v>
      </c>
      <c r="AJ17819" s="835">
        <v>41943</v>
      </c>
      <c r="AK17819" s="831">
        <v>4443738</v>
      </c>
    </row>
    <row r="17820" spans="2:37">
      <c r="B17820" s="834" t="str">
        <f t="shared" si="637"/>
        <v>|||</v>
      </c>
      <c r="H17820" s="835">
        <f t="shared" si="638"/>
        <v>31</v>
      </c>
      <c r="AF17820" s="831" t="s">
        <v>11711</v>
      </c>
      <c r="AG17820" s="831" t="s">
        <v>2674</v>
      </c>
      <c r="AH17820" s="831" t="s">
        <v>2688</v>
      </c>
      <c r="AI17820" s="831">
        <v>0</v>
      </c>
      <c r="AJ17820" s="835">
        <v>41943</v>
      </c>
      <c r="AK17820" s="831">
        <v>4878770.040000001</v>
      </c>
    </row>
    <row r="17821" spans="2:37">
      <c r="B17821" s="834" t="str">
        <f t="shared" si="637"/>
        <v>|||</v>
      </c>
      <c r="H17821" s="835">
        <f t="shared" si="638"/>
        <v>31</v>
      </c>
      <c r="AF17821" s="831" t="s">
        <v>11712</v>
      </c>
      <c r="AG17821" s="831" t="s">
        <v>2674</v>
      </c>
      <c r="AH17821" s="831" t="s">
        <v>556</v>
      </c>
      <c r="AI17821" s="831">
        <v>0</v>
      </c>
      <c r="AJ17821" s="835">
        <v>41943</v>
      </c>
      <c r="AK17821" s="831">
        <v>8151347</v>
      </c>
    </row>
    <row r="17822" spans="2:37">
      <c r="B17822" s="834" t="str">
        <f t="shared" si="637"/>
        <v>|||</v>
      </c>
      <c r="H17822" s="835">
        <f t="shared" si="638"/>
        <v>31</v>
      </c>
      <c r="AF17822" s="831" t="s">
        <v>11713</v>
      </c>
      <c r="AG17822" s="831" t="s">
        <v>2674</v>
      </c>
      <c r="AH17822" s="831" t="s">
        <v>555</v>
      </c>
      <c r="AI17822" s="831">
        <v>0</v>
      </c>
      <c r="AJ17822" s="835">
        <v>41943</v>
      </c>
      <c r="AK17822" s="831">
        <v>560953709</v>
      </c>
    </row>
    <row r="17823" spans="2:37">
      <c r="B17823" s="834" t="str">
        <f t="shared" si="637"/>
        <v>|||</v>
      </c>
      <c r="H17823" s="835">
        <f t="shared" si="638"/>
        <v>31</v>
      </c>
      <c r="AF17823" s="831" t="s">
        <v>11714</v>
      </c>
      <c r="AG17823" s="831" t="s">
        <v>2674</v>
      </c>
      <c r="AH17823" s="831" t="s">
        <v>554</v>
      </c>
      <c r="AI17823" s="831">
        <v>0</v>
      </c>
      <c r="AJ17823" s="835">
        <v>41943</v>
      </c>
      <c r="AK17823" s="831">
        <v>571019140</v>
      </c>
    </row>
    <row r="17824" spans="2:37">
      <c r="B17824" s="834" t="str">
        <f t="shared" si="637"/>
        <v>|||</v>
      </c>
      <c r="H17824" s="835">
        <f t="shared" si="638"/>
        <v>31</v>
      </c>
      <c r="AF17824" s="831" t="s">
        <v>11715</v>
      </c>
      <c r="AG17824" s="831" t="s">
        <v>2674</v>
      </c>
      <c r="AH17824" s="831" t="s">
        <v>553</v>
      </c>
      <c r="AI17824" s="831">
        <v>0</v>
      </c>
      <c r="AJ17824" s="835">
        <v>41943</v>
      </c>
      <c r="AK17824" s="831">
        <v>0</v>
      </c>
    </row>
    <row r="17825" spans="2:37">
      <c r="B17825" s="834" t="str">
        <f t="shared" si="637"/>
        <v>|||</v>
      </c>
      <c r="H17825" s="835">
        <f t="shared" si="638"/>
        <v>31</v>
      </c>
      <c r="AF17825" s="831" t="s">
        <v>11716</v>
      </c>
      <c r="AG17825" s="831" t="s">
        <v>2674</v>
      </c>
      <c r="AH17825" s="831" t="s">
        <v>552</v>
      </c>
      <c r="AI17825" s="831">
        <v>0</v>
      </c>
      <c r="AJ17825" s="835">
        <v>41943</v>
      </c>
      <c r="AK17825" s="831">
        <v>0</v>
      </c>
    </row>
    <row r="17826" spans="2:37">
      <c r="B17826" s="834" t="str">
        <f t="shared" si="637"/>
        <v>|||</v>
      </c>
      <c r="H17826" s="835">
        <f t="shared" si="638"/>
        <v>31</v>
      </c>
      <c r="AF17826" s="831" t="s">
        <v>11717</v>
      </c>
      <c r="AG17826" s="831" t="s">
        <v>2674</v>
      </c>
      <c r="AH17826" s="831" t="s">
        <v>551</v>
      </c>
      <c r="AI17826" s="831">
        <v>0</v>
      </c>
      <c r="AJ17826" s="835">
        <v>41943</v>
      </c>
      <c r="AK17826" s="831">
        <v>1179234</v>
      </c>
    </row>
    <row r="17827" spans="2:37">
      <c r="B17827" s="834" t="str">
        <f t="shared" si="637"/>
        <v>|||</v>
      </c>
      <c r="H17827" s="835">
        <f t="shared" si="638"/>
        <v>31</v>
      </c>
      <c r="AF17827" s="831" t="s">
        <v>11718</v>
      </c>
      <c r="AG17827" s="831" t="s">
        <v>2674</v>
      </c>
      <c r="AH17827" s="831" t="s">
        <v>550</v>
      </c>
      <c r="AI17827" s="831">
        <v>0</v>
      </c>
      <c r="AJ17827" s="835">
        <v>41943</v>
      </c>
      <c r="AK17827" s="831">
        <v>145830225</v>
      </c>
    </row>
    <row r="17828" spans="2:37">
      <c r="B17828" s="834" t="str">
        <f t="shared" si="637"/>
        <v>|||</v>
      </c>
      <c r="H17828" s="835">
        <f t="shared" si="638"/>
        <v>31</v>
      </c>
      <c r="AF17828" s="831" t="s">
        <v>11719</v>
      </c>
      <c r="AG17828" s="831" t="s">
        <v>2674</v>
      </c>
      <c r="AH17828" s="831" t="s">
        <v>562</v>
      </c>
      <c r="AI17828" s="831">
        <v>0</v>
      </c>
      <c r="AJ17828" s="835">
        <v>41943</v>
      </c>
      <c r="AK17828" s="831">
        <v>0.78380000000000005</v>
      </c>
    </row>
    <row r="17829" spans="2:37">
      <c r="B17829" s="834" t="str">
        <f t="shared" si="637"/>
        <v>|||</v>
      </c>
      <c r="H17829" s="835">
        <f t="shared" si="638"/>
        <v>31</v>
      </c>
      <c r="AF17829" s="831" t="s">
        <v>11720</v>
      </c>
      <c r="AG17829" s="831" t="s">
        <v>2674</v>
      </c>
      <c r="AH17829" s="831" t="s">
        <v>2698</v>
      </c>
      <c r="AI17829" s="831">
        <v>0</v>
      </c>
      <c r="AJ17829" s="835">
        <v>41943</v>
      </c>
      <c r="AK17829" s="831">
        <v>0.78325</v>
      </c>
    </row>
    <row r="17830" spans="2:37">
      <c r="B17830" s="834" t="str">
        <f t="shared" si="637"/>
        <v>|||</v>
      </c>
      <c r="H17830" s="835">
        <f t="shared" si="638"/>
        <v>31</v>
      </c>
      <c r="AF17830" s="831" t="s">
        <v>11721</v>
      </c>
      <c r="AG17830" s="831" t="s">
        <v>2674</v>
      </c>
      <c r="AH17830" s="831" t="s">
        <v>560</v>
      </c>
      <c r="AI17830" s="831">
        <v>0</v>
      </c>
      <c r="AJ17830" s="835">
        <v>41943</v>
      </c>
      <c r="AK17830" s="831">
        <v>0.78366000000000002</v>
      </c>
    </row>
    <row r="17831" spans="2:37">
      <c r="B17831" s="834" t="str">
        <f t="shared" si="637"/>
        <v>|||</v>
      </c>
      <c r="H17831" s="835">
        <f t="shared" si="638"/>
        <v>31</v>
      </c>
      <c r="AF17831" s="831" t="s">
        <v>11722</v>
      </c>
      <c r="AG17831" s="831" t="s">
        <v>2674</v>
      </c>
      <c r="AH17831" s="831" t="s">
        <v>559</v>
      </c>
      <c r="AI17831" s="831">
        <v>0</v>
      </c>
      <c r="AJ17831" s="835">
        <v>41943</v>
      </c>
      <c r="AK17831" s="831">
        <v>0.78364999999999985</v>
      </c>
    </row>
    <row r="17832" spans="2:37">
      <c r="B17832" s="834" t="str">
        <f t="shared" si="637"/>
        <v>|||</v>
      </c>
      <c r="H17832" s="835">
        <f t="shared" si="638"/>
        <v>31</v>
      </c>
      <c r="AF17832" s="831" t="s">
        <v>11723</v>
      </c>
      <c r="AG17832" s="831" t="s">
        <v>2674</v>
      </c>
      <c r="AH17832" s="831" t="s">
        <v>568</v>
      </c>
      <c r="AI17832" s="831">
        <v>0</v>
      </c>
      <c r="AJ17832" s="835">
        <v>41943</v>
      </c>
      <c r="AK17832" s="831">
        <v>688929865.38076925</v>
      </c>
    </row>
    <row r="17833" spans="2:37">
      <c r="B17833" s="834" t="str">
        <f t="shared" si="637"/>
        <v>|||</v>
      </c>
      <c r="H17833" s="835">
        <f t="shared" si="638"/>
        <v>31</v>
      </c>
      <c r="AF17833" s="831" t="s">
        <v>11724</v>
      </c>
      <c r="AG17833" s="831" t="s">
        <v>2674</v>
      </c>
      <c r="AH17833" s="831" t="s">
        <v>569</v>
      </c>
      <c r="AI17833" s="831">
        <v>0</v>
      </c>
      <c r="AJ17833" s="835">
        <v>41943</v>
      </c>
      <c r="AK17833" s="831">
        <v>855702939.81946158</v>
      </c>
    </row>
    <row r="17834" spans="2:37">
      <c r="B17834" s="834" t="str">
        <f t="shared" si="637"/>
        <v>|||</v>
      </c>
      <c r="H17834" s="835">
        <f t="shared" si="638"/>
        <v>31</v>
      </c>
      <c r="AF17834" s="831" t="s">
        <v>11725</v>
      </c>
      <c r="AG17834" s="831" t="s">
        <v>2674</v>
      </c>
      <c r="AH17834" s="831" t="s">
        <v>570</v>
      </c>
      <c r="AI17834" s="831">
        <v>0</v>
      </c>
      <c r="AJ17834" s="835">
        <v>41943</v>
      </c>
      <c r="AK17834" s="831">
        <v>129857553.83046153</v>
      </c>
    </row>
    <row r="17835" spans="2:37">
      <c r="B17835" s="834" t="str">
        <f t="shared" si="637"/>
        <v>|||</v>
      </c>
      <c r="H17835" s="835">
        <f t="shared" si="638"/>
        <v>31</v>
      </c>
      <c r="AF17835" s="831" t="s">
        <v>11726</v>
      </c>
      <c r="AG17835" s="831" t="s">
        <v>2674</v>
      </c>
      <c r="AH17835" s="831" t="s">
        <v>571</v>
      </c>
      <c r="AI17835" s="831">
        <v>0</v>
      </c>
      <c r="AJ17835" s="835">
        <v>41943</v>
      </c>
      <c r="AK17835" s="831">
        <v>421465171.16076922</v>
      </c>
    </row>
    <row r="17836" spans="2:37">
      <c r="B17836" s="834" t="str">
        <f t="shared" si="637"/>
        <v>|||</v>
      </c>
      <c r="H17836" s="835">
        <f t="shared" si="638"/>
        <v>31</v>
      </c>
      <c r="AF17836" s="831" t="s">
        <v>11727</v>
      </c>
      <c r="AG17836" s="831" t="s">
        <v>2674</v>
      </c>
      <c r="AH17836" s="831" t="s">
        <v>573</v>
      </c>
      <c r="AI17836" s="831">
        <v>0</v>
      </c>
      <c r="AJ17836" s="835">
        <v>41943</v>
      </c>
      <c r="AK17836" s="831">
        <v>877834571.86936367</v>
      </c>
    </row>
    <row r="17837" spans="2:37">
      <c r="B17837" s="834" t="str">
        <f t="shared" si="637"/>
        <v>|||</v>
      </c>
      <c r="H17837" s="835">
        <f t="shared" si="638"/>
        <v>31</v>
      </c>
      <c r="AF17837" s="831" t="s">
        <v>11728</v>
      </c>
      <c r="AG17837" s="831" t="s">
        <v>2674</v>
      </c>
      <c r="AH17837" s="831" t="s">
        <v>574</v>
      </c>
      <c r="AI17837" s="831">
        <v>0</v>
      </c>
      <c r="AJ17837" s="835">
        <v>41943</v>
      </c>
      <c r="AK17837" s="831">
        <v>707069780.09090912</v>
      </c>
    </row>
    <row r="17838" spans="2:37">
      <c r="B17838" s="834" t="str">
        <f t="shared" si="637"/>
        <v>|||</v>
      </c>
      <c r="H17838" s="835">
        <f t="shared" si="638"/>
        <v>31</v>
      </c>
      <c r="AF17838" s="831" t="s">
        <v>11729</v>
      </c>
      <c r="AG17838" s="831" t="s">
        <v>2674</v>
      </c>
      <c r="AH17838" s="831" t="s">
        <v>575</v>
      </c>
      <c r="AI17838" s="831">
        <v>0</v>
      </c>
      <c r="AJ17838" s="835">
        <v>41943</v>
      </c>
      <c r="AK17838" s="831">
        <v>131339945.17636365</v>
      </c>
    </row>
    <row r="17839" spans="2:37">
      <c r="B17839" s="834" t="str">
        <f t="shared" si="637"/>
        <v>|||</v>
      </c>
      <c r="H17839" s="835">
        <f t="shared" si="638"/>
        <v>31</v>
      </c>
      <c r="AF17839" s="831" t="s">
        <v>11730</v>
      </c>
      <c r="AG17839" s="831" t="s">
        <v>2674</v>
      </c>
      <c r="AH17839" s="831" t="s">
        <v>576</v>
      </c>
      <c r="AI17839" s="831">
        <v>0</v>
      </c>
      <c r="AJ17839" s="835">
        <v>41943</v>
      </c>
      <c r="AK17839" s="831">
        <v>433816282.72981817</v>
      </c>
    </row>
    <row r="17840" spans="2:37">
      <c r="B17840" s="834" t="str">
        <f t="shared" si="637"/>
        <v>|||</v>
      </c>
      <c r="H17840" s="835">
        <f t="shared" si="638"/>
        <v>31</v>
      </c>
      <c r="AF17840" s="831" t="s">
        <v>11731</v>
      </c>
      <c r="AG17840" s="831" t="s">
        <v>2674</v>
      </c>
      <c r="AH17840" s="831" t="s">
        <v>572</v>
      </c>
      <c r="AI17840" s="831">
        <v>0</v>
      </c>
      <c r="AJ17840" s="835">
        <v>41943</v>
      </c>
      <c r="AK17840" s="831">
        <v>34306433.956</v>
      </c>
    </row>
    <row r="17841" spans="2:37">
      <c r="B17841" s="834" t="str">
        <f t="shared" si="637"/>
        <v>|||</v>
      </c>
      <c r="H17841" s="835">
        <f t="shared" si="638"/>
        <v>31</v>
      </c>
      <c r="AF17841" s="831" t="s">
        <v>11732</v>
      </c>
      <c r="AG17841" s="831" t="s">
        <v>2674</v>
      </c>
      <c r="AH17841" s="831" t="s">
        <v>577</v>
      </c>
      <c r="AI17841" s="831">
        <v>0</v>
      </c>
      <c r="AJ17841" s="835">
        <v>41943</v>
      </c>
      <c r="AK17841" s="831">
        <v>169874551.76300001</v>
      </c>
    </row>
    <row r="17842" spans="2:37">
      <c r="B17842" s="834" t="str">
        <f t="shared" si="637"/>
        <v>|||</v>
      </c>
      <c r="H17842" s="835">
        <f t="shared" si="638"/>
        <v>31</v>
      </c>
      <c r="AF17842" s="831" t="s">
        <v>11733</v>
      </c>
      <c r="AG17842" s="831" t="s">
        <v>2674</v>
      </c>
      <c r="AH17842" s="831" t="s">
        <v>3042</v>
      </c>
      <c r="AI17842" s="831">
        <v>0</v>
      </c>
      <c r="AJ17842" s="835">
        <v>41943</v>
      </c>
      <c r="AK17842" s="831">
        <v>-49231778.527000003</v>
      </c>
    </row>
    <row r="17843" spans="2:37">
      <c r="B17843" s="834" t="str">
        <f t="shared" si="637"/>
        <v>|||</v>
      </c>
      <c r="H17843" s="835">
        <f t="shared" si="638"/>
        <v>31</v>
      </c>
      <c r="AF17843" s="831" t="s">
        <v>11734</v>
      </c>
      <c r="AG17843" s="831" t="s">
        <v>2674</v>
      </c>
      <c r="AH17843" s="831" t="s">
        <v>3044</v>
      </c>
      <c r="AI17843" s="831">
        <v>0</v>
      </c>
      <c r="AJ17843" s="835">
        <v>41943</v>
      </c>
      <c r="AK17843" s="831">
        <v>-1676338.8899999997</v>
      </c>
    </row>
    <row r="17844" spans="2:37">
      <c r="B17844" s="834" t="str">
        <f t="shared" si="637"/>
        <v>|||</v>
      </c>
      <c r="H17844" s="835">
        <f t="shared" si="638"/>
        <v>31</v>
      </c>
      <c r="AF17844" s="831" t="s">
        <v>11735</v>
      </c>
      <c r="AG17844" s="831" t="s">
        <v>2674</v>
      </c>
      <c r="AH17844" s="831" t="s">
        <v>580</v>
      </c>
      <c r="AI17844" s="831">
        <v>0</v>
      </c>
      <c r="AJ17844" s="835">
        <v>41943</v>
      </c>
      <c r="AK17844" s="831">
        <v>-77780641.306999996</v>
      </c>
    </row>
    <row r="17845" spans="2:37">
      <c r="B17845" s="834" t="str">
        <f t="shared" si="637"/>
        <v>|||</v>
      </c>
      <c r="H17845" s="835">
        <f t="shared" si="638"/>
        <v>31</v>
      </c>
      <c r="AF17845" s="831" t="s">
        <v>11736</v>
      </c>
      <c r="AG17845" s="831" t="s">
        <v>2674</v>
      </c>
      <c r="AH17845" s="831" t="s">
        <v>581</v>
      </c>
      <c r="AI17845" s="831">
        <v>0</v>
      </c>
      <c r="AJ17845" s="835">
        <v>41943</v>
      </c>
      <c r="AK17845" s="831">
        <v>4385512.8940000003</v>
      </c>
    </row>
    <row r="17846" spans="2:37">
      <c r="B17846" s="834" t="str">
        <f t="shared" si="637"/>
        <v>|||</v>
      </c>
      <c r="H17846" s="835">
        <f t="shared" si="638"/>
        <v>31</v>
      </c>
      <c r="AF17846" s="831" t="s">
        <v>11737</v>
      </c>
      <c r="AG17846" s="831" t="s">
        <v>2674</v>
      </c>
      <c r="AH17846" s="831" t="s">
        <v>105</v>
      </c>
      <c r="AI17846" s="831">
        <v>0</v>
      </c>
      <c r="AJ17846" s="835">
        <v>41943</v>
      </c>
      <c r="AK17846" s="831">
        <v>497850514</v>
      </c>
    </row>
    <row r="17847" spans="2:37">
      <c r="B17847" s="834" t="str">
        <f t="shared" si="637"/>
        <v>|||</v>
      </c>
      <c r="H17847" s="835">
        <f t="shared" si="638"/>
        <v>31</v>
      </c>
      <c r="AF17847" s="831" t="s">
        <v>11738</v>
      </c>
      <c r="AG17847" s="831" t="s">
        <v>2674</v>
      </c>
      <c r="AH17847" s="831" t="s">
        <v>3049</v>
      </c>
      <c r="AI17847" s="831">
        <v>0</v>
      </c>
      <c r="AJ17847" s="835">
        <v>41943</v>
      </c>
      <c r="AK17847" s="831">
        <v>819726974</v>
      </c>
    </row>
    <row r="17848" spans="2:37">
      <c r="B17848" s="834" t="str">
        <f t="shared" si="637"/>
        <v>|||</v>
      </c>
      <c r="H17848" s="835">
        <f t="shared" si="638"/>
        <v>31</v>
      </c>
      <c r="AF17848" s="831" t="s">
        <v>11739</v>
      </c>
      <c r="AG17848" s="831" t="s">
        <v>2674</v>
      </c>
      <c r="AH17848" s="831" t="s">
        <v>103</v>
      </c>
      <c r="AI17848" s="831">
        <v>0</v>
      </c>
      <c r="AJ17848" s="835">
        <v>41943</v>
      </c>
      <c r="AK17848" s="831">
        <v>321876460</v>
      </c>
    </row>
    <row r="17849" spans="2:37">
      <c r="B17849" s="834" t="str">
        <f t="shared" si="637"/>
        <v>|||</v>
      </c>
      <c r="H17849" s="835">
        <f t="shared" si="638"/>
        <v>31</v>
      </c>
      <c r="AF17849" s="831" t="s">
        <v>11740</v>
      </c>
      <c r="AG17849" s="831" t="s">
        <v>2674</v>
      </c>
      <c r="AH17849" s="831" t="s">
        <v>182</v>
      </c>
      <c r="AI17849" s="831">
        <v>0</v>
      </c>
      <c r="AJ17849" s="835">
        <v>41943</v>
      </c>
      <c r="AK17849" s="831">
        <v>74624670</v>
      </c>
    </row>
    <row r="17850" spans="2:37">
      <c r="B17850" s="834" t="str">
        <f t="shared" si="637"/>
        <v>|||</v>
      </c>
      <c r="H17850" s="835">
        <f t="shared" si="638"/>
        <v>31</v>
      </c>
      <c r="AF17850" s="831" t="s">
        <v>11741</v>
      </c>
      <c r="AG17850" s="831" t="s">
        <v>2674</v>
      </c>
      <c r="AH17850" s="831" t="s">
        <v>6600</v>
      </c>
      <c r="AI17850" s="831">
        <v>0</v>
      </c>
      <c r="AJ17850" s="835">
        <v>41943</v>
      </c>
      <c r="AK17850" s="831">
        <v>34306433.956</v>
      </c>
    </row>
    <row r="17851" spans="2:37">
      <c r="B17851" s="834" t="str">
        <f t="shared" si="637"/>
        <v>|||</v>
      </c>
      <c r="H17851" s="835">
        <f t="shared" si="638"/>
        <v>31</v>
      </c>
      <c r="AF17851" s="831" t="s">
        <v>11742</v>
      </c>
      <c r="AG17851" s="831" t="s">
        <v>2674</v>
      </c>
      <c r="AH17851" s="831" t="s">
        <v>6602</v>
      </c>
      <c r="AI17851" s="831">
        <v>0</v>
      </c>
      <c r="AJ17851" s="835">
        <v>41943</v>
      </c>
      <c r="AK17851" s="831">
        <v>32657533</v>
      </c>
    </row>
    <row r="17852" spans="2:37">
      <c r="B17852" s="834" t="str">
        <f t="shared" si="637"/>
        <v>|||</v>
      </c>
      <c r="H17852" s="835">
        <f t="shared" si="638"/>
        <v>31</v>
      </c>
      <c r="AF17852" s="831" t="s">
        <v>11743</v>
      </c>
      <c r="AG17852" s="831" t="s">
        <v>2674</v>
      </c>
      <c r="AH17852" s="831" t="s">
        <v>650</v>
      </c>
      <c r="AI17852" s="831">
        <v>0</v>
      </c>
      <c r="AJ17852" s="835">
        <v>41943</v>
      </c>
      <c r="AK17852" s="831">
        <v>280875581.18223077</v>
      </c>
    </row>
    <row r="17853" spans="2:37">
      <c r="B17853" s="834" t="str">
        <f t="shared" si="637"/>
        <v>|||</v>
      </c>
      <c r="H17853" s="835">
        <f t="shared" si="638"/>
        <v>31</v>
      </c>
      <c r="AF17853" s="831" t="s">
        <v>11744</v>
      </c>
      <c r="AG17853" s="831" t="s">
        <v>2674</v>
      </c>
      <c r="AH17853" s="831" t="s">
        <v>655</v>
      </c>
      <c r="AI17853" s="831">
        <v>0</v>
      </c>
      <c r="AJ17853" s="835">
        <v>41943</v>
      </c>
      <c r="AK17853" s="831">
        <v>824847</v>
      </c>
    </row>
    <row r="17854" spans="2:37">
      <c r="B17854" s="834" t="str">
        <f t="shared" si="637"/>
        <v>|||</v>
      </c>
      <c r="H17854" s="835">
        <f t="shared" si="638"/>
        <v>31</v>
      </c>
      <c r="AF17854" s="831" t="s">
        <v>11745</v>
      </c>
      <c r="AG17854" s="831" t="s">
        <v>2674</v>
      </c>
      <c r="AH17854" s="831" t="s">
        <v>546</v>
      </c>
      <c r="AI17854" s="831">
        <v>0</v>
      </c>
      <c r="AJ17854" s="835">
        <v>41973</v>
      </c>
      <c r="AK17854" s="831">
        <v>802902472</v>
      </c>
    </row>
    <row r="17855" spans="2:37">
      <c r="B17855" s="834" t="str">
        <f t="shared" si="637"/>
        <v>|||</v>
      </c>
      <c r="H17855" s="835">
        <f t="shared" si="638"/>
        <v>31</v>
      </c>
      <c r="AF17855" s="831" t="s">
        <v>11746</v>
      </c>
      <c r="AG17855" s="831" t="s">
        <v>2674</v>
      </c>
      <c r="AH17855" s="831" t="s">
        <v>370</v>
      </c>
      <c r="AI17855" s="831">
        <v>0</v>
      </c>
      <c r="AJ17855" s="835">
        <v>41973</v>
      </c>
      <c r="AK17855" s="831">
        <v>1000702434</v>
      </c>
    </row>
    <row r="17856" spans="2:37">
      <c r="B17856" s="834" t="str">
        <f t="shared" si="637"/>
        <v>|||</v>
      </c>
      <c r="H17856" s="835">
        <f t="shared" si="638"/>
        <v>31</v>
      </c>
      <c r="AF17856" s="831" t="s">
        <v>11747</v>
      </c>
      <c r="AG17856" s="831" t="s">
        <v>2674</v>
      </c>
      <c r="AH17856" s="831" t="s">
        <v>126</v>
      </c>
      <c r="AI17856" s="831">
        <v>0</v>
      </c>
      <c r="AJ17856" s="835">
        <v>41973</v>
      </c>
      <c r="AK17856" s="831">
        <v>153599665</v>
      </c>
    </row>
    <row r="17857" spans="2:37">
      <c r="B17857" s="834" t="str">
        <f t="shared" si="637"/>
        <v>|||</v>
      </c>
      <c r="H17857" s="835">
        <f t="shared" si="638"/>
        <v>31</v>
      </c>
      <c r="AF17857" s="831" t="s">
        <v>11748</v>
      </c>
      <c r="AG17857" s="831" t="s">
        <v>2674</v>
      </c>
      <c r="AH17857" s="831" t="s">
        <v>268</v>
      </c>
      <c r="AI17857" s="831">
        <v>0</v>
      </c>
      <c r="AJ17857" s="835">
        <v>41973</v>
      </c>
      <c r="AK17857" s="831">
        <v>35013602</v>
      </c>
    </row>
    <row r="17858" spans="2:37">
      <c r="B17858" s="834" t="str">
        <f t="shared" si="637"/>
        <v>|||</v>
      </c>
      <c r="H17858" s="835">
        <f t="shared" si="638"/>
        <v>31</v>
      </c>
      <c r="AF17858" s="831" t="s">
        <v>11749</v>
      </c>
      <c r="AG17858" s="831" t="s">
        <v>2674</v>
      </c>
      <c r="AH17858" s="831" t="s">
        <v>547</v>
      </c>
      <c r="AI17858" s="831">
        <v>0</v>
      </c>
      <c r="AJ17858" s="835">
        <v>41973</v>
      </c>
      <c r="AK17858" s="831">
        <v>777719977</v>
      </c>
    </row>
    <row r="17859" spans="2:37">
      <c r="B17859" s="834" t="str">
        <f t="shared" si="637"/>
        <v>|||</v>
      </c>
      <c r="H17859" s="835">
        <f t="shared" si="638"/>
        <v>31</v>
      </c>
      <c r="AF17859" s="831" t="s">
        <v>11750</v>
      </c>
      <c r="AG17859" s="831" t="s">
        <v>2674</v>
      </c>
      <c r="AH17859" s="831" t="s">
        <v>548</v>
      </c>
      <c r="AI17859" s="831">
        <v>0</v>
      </c>
      <c r="AJ17859" s="835">
        <v>41973</v>
      </c>
      <c r="AK17859" s="831">
        <v>117105496</v>
      </c>
    </row>
    <row r="17860" spans="2:37">
      <c r="B17860" s="834" t="str">
        <f t="shared" si="637"/>
        <v>|||</v>
      </c>
      <c r="H17860" s="835">
        <f t="shared" si="638"/>
        <v>31</v>
      </c>
      <c r="AF17860" s="831" t="s">
        <v>11751</v>
      </c>
      <c r="AG17860" s="831" t="s">
        <v>2674</v>
      </c>
      <c r="AH17860" s="831" t="s">
        <v>549</v>
      </c>
      <c r="AI17860" s="831">
        <v>0</v>
      </c>
      <c r="AJ17860" s="835">
        <v>41973</v>
      </c>
      <c r="AK17860" s="831">
        <v>598049309.95000005</v>
      </c>
    </row>
    <row r="17861" spans="2:37">
      <c r="B17861" s="834" t="str">
        <f t="shared" si="637"/>
        <v>|||</v>
      </c>
      <c r="H17861" s="835">
        <f t="shared" si="638"/>
        <v>31</v>
      </c>
      <c r="AF17861" s="831" t="s">
        <v>11752</v>
      </c>
      <c r="AG17861" s="831" t="s">
        <v>2674</v>
      </c>
      <c r="AH17861" s="831" t="s">
        <v>192</v>
      </c>
      <c r="AI17861" s="831">
        <v>0</v>
      </c>
      <c r="AJ17861" s="835">
        <v>41973</v>
      </c>
      <c r="AK17861" s="831">
        <v>-10647566</v>
      </c>
    </row>
    <row r="17862" spans="2:37">
      <c r="B17862" s="834" t="str">
        <f t="shared" si="637"/>
        <v>|||</v>
      </c>
      <c r="H17862" s="835">
        <f t="shared" si="638"/>
        <v>31</v>
      </c>
      <c r="AF17862" s="831" t="s">
        <v>11753</v>
      </c>
      <c r="AG17862" s="831" t="s">
        <v>2674</v>
      </c>
      <c r="AH17862" s="831" t="s">
        <v>558</v>
      </c>
      <c r="AI17862" s="831">
        <v>0</v>
      </c>
      <c r="AJ17862" s="835">
        <v>41973</v>
      </c>
      <c r="AK17862" s="831">
        <v>847102769</v>
      </c>
    </row>
    <row r="17863" spans="2:37">
      <c r="B17863" s="834" t="str">
        <f t="shared" si="637"/>
        <v>|||</v>
      </c>
      <c r="H17863" s="835">
        <f t="shared" si="638"/>
        <v>31</v>
      </c>
      <c r="AF17863" s="831" t="s">
        <v>11754</v>
      </c>
      <c r="AG17863" s="831" t="s">
        <v>2674</v>
      </c>
      <c r="AH17863" s="831" t="s">
        <v>65</v>
      </c>
      <c r="AI17863" s="831">
        <v>0</v>
      </c>
      <c r="AJ17863" s="835">
        <v>41973</v>
      </c>
      <c r="AK17863" s="831">
        <v>160301151</v>
      </c>
    </row>
    <row r="17864" spans="2:37">
      <c r="B17864" s="834" t="str">
        <f t="shared" si="637"/>
        <v>|||</v>
      </c>
      <c r="H17864" s="835">
        <f t="shared" si="638"/>
        <v>31</v>
      </c>
      <c r="AF17864" s="831" t="s">
        <v>11755</v>
      </c>
      <c r="AG17864" s="831" t="s">
        <v>2674</v>
      </c>
      <c r="AH17864" s="831" t="s">
        <v>89</v>
      </c>
      <c r="AI17864" s="831">
        <v>0</v>
      </c>
      <c r="AJ17864" s="835">
        <v>41973</v>
      </c>
      <c r="AK17864" s="831">
        <v>158266</v>
      </c>
    </row>
    <row r="17865" spans="2:37">
      <c r="B17865" s="834" t="str">
        <f t="shared" si="637"/>
        <v>|||</v>
      </c>
      <c r="H17865" s="835">
        <f t="shared" si="638"/>
        <v>31</v>
      </c>
      <c r="AF17865" s="831" t="s">
        <v>11756</v>
      </c>
      <c r="AG17865" s="831" t="s">
        <v>2674</v>
      </c>
      <c r="AH17865" s="831" t="s">
        <v>557</v>
      </c>
      <c r="AI17865" s="831">
        <v>0</v>
      </c>
      <c r="AJ17865" s="835">
        <v>41973</v>
      </c>
      <c r="AK17865" s="831">
        <v>179245</v>
      </c>
    </row>
    <row r="17866" spans="2:37">
      <c r="B17866" s="834" t="str">
        <f t="shared" si="637"/>
        <v>|||</v>
      </c>
      <c r="H17866" s="835">
        <f t="shared" si="638"/>
        <v>31</v>
      </c>
      <c r="AF17866" s="831" t="s">
        <v>11757</v>
      </c>
      <c r="AG17866" s="831" t="s">
        <v>2674</v>
      </c>
      <c r="AH17866" s="831" t="s">
        <v>29</v>
      </c>
      <c r="AI17866" s="831">
        <v>0</v>
      </c>
      <c r="AJ17866" s="835">
        <v>41973</v>
      </c>
      <c r="AK17866" s="831">
        <v>4556685.3900000006</v>
      </c>
    </row>
    <row r="17867" spans="2:37">
      <c r="B17867" s="834" t="str">
        <f t="shared" si="637"/>
        <v>|||</v>
      </c>
      <c r="H17867" s="835">
        <f t="shared" si="638"/>
        <v>31</v>
      </c>
      <c r="AF17867" s="831" t="s">
        <v>11758</v>
      </c>
      <c r="AG17867" s="831" t="s">
        <v>2674</v>
      </c>
      <c r="AH17867" s="831" t="s">
        <v>2688</v>
      </c>
      <c r="AI17867" s="831">
        <v>0</v>
      </c>
      <c r="AJ17867" s="835">
        <v>41973</v>
      </c>
      <c r="AK17867" s="831">
        <v>4982602.75</v>
      </c>
    </row>
    <row r="17868" spans="2:37">
      <c r="B17868" s="834" t="str">
        <f t="shared" si="637"/>
        <v>|||</v>
      </c>
      <c r="H17868" s="835">
        <f t="shared" si="638"/>
        <v>31</v>
      </c>
      <c r="AF17868" s="831" t="s">
        <v>11759</v>
      </c>
      <c r="AG17868" s="831" t="s">
        <v>2674</v>
      </c>
      <c r="AH17868" s="831" t="s">
        <v>556</v>
      </c>
      <c r="AI17868" s="831">
        <v>0</v>
      </c>
      <c r="AJ17868" s="835">
        <v>41973</v>
      </c>
      <c r="AK17868" s="831">
        <v>9781741</v>
      </c>
    </row>
    <row r="17869" spans="2:37">
      <c r="B17869" s="834" t="str">
        <f t="shared" si="637"/>
        <v>|||</v>
      </c>
      <c r="H17869" s="835">
        <f t="shared" si="638"/>
        <v>31</v>
      </c>
      <c r="AF17869" s="831" t="s">
        <v>11760</v>
      </c>
      <c r="AG17869" s="831" t="s">
        <v>2674</v>
      </c>
      <c r="AH17869" s="831" t="s">
        <v>555</v>
      </c>
      <c r="AI17869" s="831">
        <v>0</v>
      </c>
      <c r="AJ17869" s="835">
        <v>41973</v>
      </c>
      <c r="AK17869" s="831">
        <v>559691148</v>
      </c>
    </row>
    <row r="17870" spans="2:37">
      <c r="B17870" s="834" t="str">
        <f t="shared" si="637"/>
        <v>|||</v>
      </c>
      <c r="H17870" s="835">
        <f t="shared" si="638"/>
        <v>31</v>
      </c>
      <c r="AF17870" s="831" t="s">
        <v>11761</v>
      </c>
      <c r="AG17870" s="831" t="s">
        <v>2674</v>
      </c>
      <c r="AH17870" s="831" t="s">
        <v>554</v>
      </c>
      <c r="AI17870" s="831">
        <v>0</v>
      </c>
      <c r="AJ17870" s="835">
        <v>41973</v>
      </c>
      <c r="AK17870" s="831">
        <v>562759560</v>
      </c>
    </row>
    <row r="17871" spans="2:37">
      <c r="B17871" s="834" t="str">
        <f t="shared" si="637"/>
        <v>|||</v>
      </c>
      <c r="H17871" s="835">
        <f t="shared" si="638"/>
        <v>31</v>
      </c>
      <c r="AF17871" s="831" t="s">
        <v>11762</v>
      </c>
      <c r="AG17871" s="831" t="s">
        <v>2674</v>
      </c>
      <c r="AH17871" s="831" t="s">
        <v>553</v>
      </c>
      <c r="AI17871" s="831">
        <v>0</v>
      </c>
      <c r="AJ17871" s="835">
        <v>41973</v>
      </c>
      <c r="AK17871" s="831">
        <v>0</v>
      </c>
    </row>
    <row r="17872" spans="2:37">
      <c r="B17872" s="834" t="str">
        <f t="shared" si="637"/>
        <v>|||</v>
      </c>
      <c r="H17872" s="835">
        <f t="shared" si="638"/>
        <v>31</v>
      </c>
      <c r="AF17872" s="831" t="s">
        <v>11763</v>
      </c>
      <c r="AG17872" s="831" t="s">
        <v>2674</v>
      </c>
      <c r="AH17872" s="831" t="s">
        <v>552</v>
      </c>
      <c r="AI17872" s="831">
        <v>0</v>
      </c>
      <c r="AJ17872" s="835">
        <v>41973</v>
      </c>
      <c r="AK17872" s="831">
        <v>0</v>
      </c>
    </row>
    <row r="17873" spans="2:37">
      <c r="B17873" s="834" t="str">
        <f t="shared" ref="B17873:B17936" si="639">C17873&amp;"|"&amp;D17873&amp;"|"&amp;E17873&amp;"|"&amp;F17873</f>
        <v>|||</v>
      </c>
      <c r="H17873" s="835">
        <f t="shared" ref="H17873:H17936" si="640">EOMONTH(L17873,0)</f>
        <v>31</v>
      </c>
      <c r="AF17873" s="831" t="s">
        <v>11764</v>
      </c>
      <c r="AG17873" s="831" t="s">
        <v>2674</v>
      </c>
      <c r="AH17873" s="831" t="s">
        <v>551</v>
      </c>
      <c r="AI17873" s="831">
        <v>0</v>
      </c>
      <c r="AJ17873" s="835">
        <v>41973</v>
      </c>
      <c r="AK17873" s="831">
        <v>3921189.3899999997</v>
      </c>
    </row>
    <row r="17874" spans="2:37">
      <c r="B17874" s="834" t="str">
        <f t="shared" si="639"/>
        <v>|||</v>
      </c>
      <c r="H17874" s="835">
        <f t="shared" si="640"/>
        <v>31</v>
      </c>
      <c r="AF17874" s="831" t="s">
        <v>11765</v>
      </c>
      <c r="AG17874" s="831" t="s">
        <v>2674</v>
      </c>
      <c r="AH17874" s="831" t="s">
        <v>550</v>
      </c>
      <c r="AI17874" s="831">
        <v>0</v>
      </c>
      <c r="AJ17874" s="835">
        <v>41973</v>
      </c>
      <c r="AK17874" s="831">
        <v>149380039</v>
      </c>
    </row>
    <row r="17875" spans="2:37">
      <c r="B17875" s="834" t="str">
        <f t="shared" si="639"/>
        <v>|||</v>
      </c>
      <c r="H17875" s="835">
        <f t="shared" si="640"/>
        <v>31</v>
      </c>
      <c r="AF17875" s="831" t="s">
        <v>11766</v>
      </c>
      <c r="AG17875" s="831" t="s">
        <v>2674</v>
      </c>
      <c r="AH17875" s="831" t="s">
        <v>562</v>
      </c>
      <c r="AI17875" s="831">
        <v>0</v>
      </c>
      <c r="AJ17875" s="835">
        <v>41973</v>
      </c>
      <c r="AK17875" s="831">
        <v>0.78390000000000004</v>
      </c>
    </row>
    <row r="17876" spans="2:37">
      <c r="B17876" s="834" t="str">
        <f t="shared" si="639"/>
        <v>|||</v>
      </c>
      <c r="H17876" s="835">
        <f t="shared" si="640"/>
        <v>31</v>
      </c>
      <c r="AF17876" s="831" t="s">
        <v>11767</v>
      </c>
      <c r="AG17876" s="831" t="s">
        <v>2674</v>
      </c>
      <c r="AH17876" s="831" t="s">
        <v>2698</v>
      </c>
      <c r="AI17876" s="831">
        <v>0</v>
      </c>
      <c r="AJ17876" s="835">
        <v>41973</v>
      </c>
      <c r="AK17876" s="831">
        <v>0.78380000000000005</v>
      </c>
    </row>
    <row r="17877" spans="2:37">
      <c r="B17877" s="834" t="str">
        <f t="shared" si="639"/>
        <v>|||</v>
      </c>
      <c r="H17877" s="835">
        <f t="shared" si="640"/>
        <v>31</v>
      </c>
      <c r="AF17877" s="831" t="s">
        <v>11768</v>
      </c>
      <c r="AG17877" s="831" t="s">
        <v>2674</v>
      </c>
      <c r="AH17877" s="831" t="s">
        <v>560</v>
      </c>
      <c r="AI17877" s="831">
        <v>0</v>
      </c>
      <c r="AJ17877" s="835">
        <v>41973</v>
      </c>
      <c r="AK17877" s="831">
        <v>0.78368181818181837</v>
      </c>
    </row>
    <row r="17878" spans="2:37">
      <c r="B17878" s="834" t="str">
        <f t="shared" si="639"/>
        <v>|||</v>
      </c>
      <c r="H17878" s="835">
        <f t="shared" si="640"/>
        <v>31</v>
      </c>
      <c r="AF17878" s="831" t="s">
        <v>11769</v>
      </c>
      <c r="AG17878" s="831" t="s">
        <v>2674</v>
      </c>
      <c r="AH17878" s="831" t="s">
        <v>559</v>
      </c>
      <c r="AI17878" s="831">
        <v>0</v>
      </c>
      <c r="AJ17878" s="835">
        <v>41973</v>
      </c>
      <c r="AK17878" s="831">
        <v>0.78365416666666687</v>
      </c>
    </row>
    <row r="17879" spans="2:37">
      <c r="B17879" s="834" t="str">
        <f t="shared" si="639"/>
        <v>|||</v>
      </c>
      <c r="H17879" s="835">
        <f t="shared" si="640"/>
        <v>31</v>
      </c>
      <c r="AF17879" s="831" t="s">
        <v>11770</v>
      </c>
      <c r="AG17879" s="831" t="s">
        <v>2674</v>
      </c>
      <c r="AH17879" s="831" t="s">
        <v>568</v>
      </c>
      <c r="AI17879" s="831">
        <v>0</v>
      </c>
      <c r="AJ17879" s="835">
        <v>41973</v>
      </c>
      <c r="AK17879" s="831">
        <v>706055335.61153853</v>
      </c>
    </row>
    <row r="17880" spans="2:37">
      <c r="B17880" s="834" t="str">
        <f t="shared" si="639"/>
        <v>|||</v>
      </c>
      <c r="H17880" s="835">
        <f t="shared" si="640"/>
        <v>31</v>
      </c>
      <c r="AF17880" s="831" t="s">
        <v>11771</v>
      </c>
      <c r="AG17880" s="831" t="s">
        <v>2674</v>
      </c>
      <c r="AH17880" s="831" t="s">
        <v>569</v>
      </c>
      <c r="AI17880" s="831">
        <v>0</v>
      </c>
      <c r="AJ17880" s="835">
        <v>41973</v>
      </c>
      <c r="AK17880" s="831">
        <v>877011865.12715387</v>
      </c>
    </row>
    <row r="17881" spans="2:37">
      <c r="B17881" s="834" t="str">
        <f t="shared" si="639"/>
        <v>|||</v>
      </c>
      <c r="H17881" s="835">
        <f t="shared" si="640"/>
        <v>31</v>
      </c>
      <c r="AF17881" s="831" t="s">
        <v>11772</v>
      </c>
      <c r="AG17881" s="831" t="s">
        <v>2674</v>
      </c>
      <c r="AH17881" s="831" t="s">
        <v>570</v>
      </c>
      <c r="AI17881" s="831">
        <v>0</v>
      </c>
      <c r="AJ17881" s="835">
        <v>41973</v>
      </c>
      <c r="AK17881" s="831">
        <v>132419769.36892308</v>
      </c>
    </row>
    <row r="17882" spans="2:37">
      <c r="B17882" s="834" t="str">
        <f t="shared" si="639"/>
        <v>|||</v>
      </c>
      <c r="H17882" s="835">
        <f t="shared" si="640"/>
        <v>31</v>
      </c>
      <c r="AF17882" s="831" t="s">
        <v>11773</v>
      </c>
      <c r="AG17882" s="831" t="s">
        <v>2674</v>
      </c>
      <c r="AH17882" s="831" t="s">
        <v>571</v>
      </c>
      <c r="AI17882" s="831">
        <v>0</v>
      </c>
      <c r="AJ17882" s="835">
        <v>41973</v>
      </c>
      <c r="AK17882" s="831">
        <v>432199968.69923079</v>
      </c>
    </row>
    <row r="17883" spans="2:37">
      <c r="B17883" s="834" t="str">
        <f t="shared" si="639"/>
        <v>|||</v>
      </c>
      <c r="H17883" s="835">
        <f t="shared" si="640"/>
        <v>31</v>
      </c>
      <c r="AF17883" s="831" t="s">
        <v>11774</v>
      </c>
      <c r="AG17883" s="831" t="s">
        <v>2674</v>
      </c>
      <c r="AH17883" s="831" t="s">
        <v>573</v>
      </c>
      <c r="AI17883" s="831">
        <v>0</v>
      </c>
      <c r="AJ17883" s="835">
        <v>41973</v>
      </c>
      <c r="AK17883" s="831">
        <v>888073560.38024998</v>
      </c>
    </row>
    <row r="17884" spans="2:37">
      <c r="B17884" s="834" t="str">
        <f t="shared" si="639"/>
        <v>|||</v>
      </c>
      <c r="H17884" s="835">
        <f t="shared" si="640"/>
        <v>31</v>
      </c>
      <c r="AF17884" s="831" t="s">
        <v>11775</v>
      </c>
      <c r="AG17884" s="831" t="s">
        <v>2674</v>
      </c>
      <c r="AH17884" s="831" t="s">
        <v>574</v>
      </c>
      <c r="AI17884" s="831">
        <v>0</v>
      </c>
      <c r="AJ17884" s="835">
        <v>41973</v>
      </c>
      <c r="AK17884" s="831">
        <v>715055837.75</v>
      </c>
    </row>
    <row r="17885" spans="2:37">
      <c r="B17885" s="834" t="str">
        <f t="shared" si="639"/>
        <v>|||</v>
      </c>
      <c r="H17885" s="835">
        <f t="shared" si="640"/>
        <v>31</v>
      </c>
      <c r="AF17885" s="831" t="s">
        <v>11776</v>
      </c>
      <c r="AG17885" s="831" t="s">
        <v>2674</v>
      </c>
      <c r="AH17885" s="831" t="s">
        <v>575</v>
      </c>
      <c r="AI17885" s="831">
        <v>0</v>
      </c>
      <c r="AJ17885" s="835">
        <v>41973</v>
      </c>
      <c r="AK17885" s="831">
        <v>133194921.82833333</v>
      </c>
    </row>
    <row r="17886" spans="2:37">
      <c r="B17886" s="834" t="str">
        <f t="shared" si="639"/>
        <v>|||</v>
      </c>
      <c r="H17886" s="835">
        <f t="shared" si="640"/>
        <v>31</v>
      </c>
      <c r="AF17886" s="831" t="s">
        <v>11777</v>
      </c>
      <c r="AG17886" s="831" t="s">
        <v>2674</v>
      </c>
      <c r="AH17886" s="831" t="s">
        <v>576</v>
      </c>
      <c r="AI17886" s="831">
        <v>0</v>
      </c>
      <c r="AJ17886" s="835">
        <v>41973</v>
      </c>
      <c r="AK17886" s="831">
        <v>438403431.08566666</v>
      </c>
    </row>
    <row r="17887" spans="2:37">
      <c r="B17887" s="834" t="str">
        <f t="shared" si="639"/>
        <v>|||</v>
      </c>
      <c r="H17887" s="835">
        <f t="shared" si="640"/>
        <v>31</v>
      </c>
      <c r="AF17887" s="831" t="s">
        <v>11778</v>
      </c>
      <c r="AG17887" s="831" t="s">
        <v>2674</v>
      </c>
      <c r="AH17887" s="831" t="s">
        <v>572</v>
      </c>
      <c r="AI17887" s="831">
        <v>0</v>
      </c>
      <c r="AJ17887" s="835">
        <v>41973</v>
      </c>
      <c r="AK17887" s="831">
        <v>33835425.924000025</v>
      </c>
    </row>
    <row r="17888" spans="2:37">
      <c r="B17888" s="834" t="str">
        <f t="shared" si="639"/>
        <v>|||</v>
      </c>
      <c r="H17888" s="835">
        <f t="shared" si="640"/>
        <v>31</v>
      </c>
      <c r="AF17888" s="831" t="s">
        <v>11779</v>
      </c>
      <c r="AG17888" s="831" t="s">
        <v>2674</v>
      </c>
      <c r="AH17888" s="831" t="s">
        <v>577</v>
      </c>
      <c r="AI17888" s="831">
        <v>0</v>
      </c>
      <c r="AJ17888" s="835">
        <v>41973</v>
      </c>
      <c r="AK17888" s="831">
        <v>173617070.52700001</v>
      </c>
    </row>
    <row r="17889" spans="2:37">
      <c r="B17889" s="834" t="str">
        <f t="shared" si="639"/>
        <v>|||</v>
      </c>
      <c r="H17889" s="835">
        <f t="shared" si="640"/>
        <v>31</v>
      </c>
      <c r="AF17889" s="831" t="s">
        <v>11780</v>
      </c>
      <c r="AG17889" s="831" t="s">
        <v>2674</v>
      </c>
      <c r="AH17889" s="831" t="s">
        <v>3042</v>
      </c>
      <c r="AI17889" s="831">
        <v>0</v>
      </c>
      <c r="AJ17889" s="835">
        <v>41973</v>
      </c>
      <c r="AK17889" s="831">
        <v>-50695273.862000003</v>
      </c>
    </row>
    <row r="17890" spans="2:37">
      <c r="B17890" s="834" t="str">
        <f t="shared" si="639"/>
        <v>|||</v>
      </c>
      <c r="H17890" s="835">
        <f t="shared" si="640"/>
        <v>31</v>
      </c>
      <c r="AF17890" s="831" t="s">
        <v>11781</v>
      </c>
      <c r="AG17890" s="831" t="s">
        <v>2674</v>
      </c>
      <c r="AH17890" s="831" t="s">
        <v>3044</v>
      </c>
      <c r="AI17890" s="831">
        <v>0</v>
      </c>
      <c r="AJ17890" s="835">
        <v>41973</v>
      </c>
      <c r="AK17890" s="831">
        <v>-2169383.0120000001</v>
      </c>
    </row>
    <row r="17891" spans="2:37">
      <c r="B17891" s="834" t="str">
        <f t="shared" si="639"/>
        <v>|||</v>
      </c>
      <c r="H17891" s="835">
        <f t="shared" si="640"/>
        <v>31</v>
      </c>
      <c r="AF17891" s="831" t="s">
        <v>11782</v>
      </c>
      <c r="AG17891" s="831" t="s">
        <v>2674</v>
      </c>
      <c r="AH17891" s="831" t="s">
        <v>580</v>
      </c>
      <c r="AI17891" s="831">
        <v>0</v>
      </c>
      <c r="AJ17891" s="835">
        <v>41973</v>
      </c>
      <c r="AK17891" s="831">
        <v>-79126603.180999994</v>
      </c>
    </row>
    <row r="17892" spans="2:37">
      <c r="B17892" s="834" t="str">
        <f t="shared" si="639"/>
        <v>|||</v>
      </c>
      <c r="H17892" s="835">
        <f t="shared" si="640"/>
        <v>31</v>
      </c>
      <c r="AF17892" s="831" t="s">
        <v>11783</v>
      </c>
      <c r="AG17892" s="831" t="s">
        <v>2674</v>
      </c>
      <c r="AH17892" s="831" t="s">
        <v>581</v>
      </c>
      <c r="AI17892" s="831">
        <v>0</v>
      </c>
      <c r="AJ17892" s="835">
        <v>41973</v>
      </c>
      <c r="AK17892" s="831">
        <v>4040122.4290000005</v>
      </c>
    </row>
    <row r="17893" spans="2:37">
      <c r="B17893" s="834" t="str">
        <f t="shared" si="639"/>
        <v>|||</v>
      </c>
      <c r="H17893" s="835">
        <f t="shared" si="640"/>
        <v>31</v>
      </c>
      <c r="AF17893" s="831" t="s">
        <v>11784</v>
      </c>
      <c r="AG17893" s="831" t="s">
        <v>2674</v>
      </c>
      <c r="AH17893" s="831" t="s">
        <v>105</v>
      </c>
      <c r="AI17893" s="831">
        <v>0</v>
      </c>
      <c r="AJ17893" s="835">
        <v>41973</v>
      </c>
      <c r="AK17893" s="831">
        <v>488862063</v>
      </c>
    </row>
    <row r="17894" spans="2:37">
      <c r="B17894" s="834" t="str">
        <f t="shared" si="639"/>
        <v>|||</v>
      </c>
      <c r="H17894" s="835">
        <f t="shared" si="640"/>
        <v>31</v>
      </c>
      <c r="AF17894" s="831" t="s">
        <v>11785</v>
      </c>
      <c r="AG17894" s="831" t="s">
        <v>2674</v>
      </c>
      <c r="AH17894" s="831" t="s">
        <v>3049</v>
      </c>
      <c r="AI17894" s="831">
        <v>0</v>
      </c>
      <c r="AJ17894" s="835">
        <v>41973</v>
      </c>
      <c r="AK17894" s="831">
        <v>810336503</v>
      </c>
    </row>
    <row r="17895" spans="2:37">
      <c r="B17895" s="834" t="str">
        <f t="shared" si="639"/>
        <v>|||</v>
      </c>
      <c r="H17895" s="835">
        <f t="shared" si="640"/>
        <v>31</v>
      </c>
      <c r="AF17895" s="831" t="s">
        <v>11786</v>
      </c>
      <c r="AG17895" s="831" t="s">
        <v>2674</v>
      </c>
      <c r="AH17895" s="831" t="s">
        <v>103</v>
      </c>
      <c r="AI17895" s="831">
        <v>0</v>
      </c>
      <c r="AJ17895" s="835">
        <v>41973</v>
      </c>
      <c r="AK17895" s="831">
        <v>321474440</v>
      </c>
    </row>
    <row r="17896" spans="2:37">
      <c r="B17896" s="834" t="str">
        <f t="shared" si="639"/>
        <v>|||</v>
      </c>
      <c r="H17896" s="835">
        <f t="shared" si="640"/>
        <v>31</v>
      </c>
      <c r="AF17896" s="831" t="s">
        <v>11787</v>
      </c>
      <c r="AG17896" s="831" t="s">
        <v>2674</v>
      </c>
      <c r="AH17896" s="831" t="s">
        <v>182</v>
      </c>
      <c r="AI17896" s="831">
        <v>0</v>
      </c>
      <c r="AJ17896" s="835">
        <v>41973</v>
      </c>
      <c r="AK17896" s="831">
        <v>75281666.181818187</v>
      </c>
    </row>
    <row r="17897" spans="2:37">
      <c r="B17897" s="834" t="str">
        <f t="shared" si="639"/>
        <v>|||</v>
      </c>
      <c r="H17897" s="835">
        <f t="shared" si="640"/>
        <v>31</v>
      </c>
      <c r="AF17897" s="831" t="s">
        <v>11788</v>
      </c>
      <c r="AG17897" s="831" t="s">
        <v>2674</v>
      </c>
      <c r="AH17897" s="831" t="s">
        <v>6600</v>
      </c>
      <c r="AI17897" s="831">
        <v>0</v>
      </c>
      <c r="AJ17897" s="835">
        <v>41973</v>
      </c>
      <c r="AK17897" s="831">
        <v>33835425.924000025</v>
      </c>
    </row>
    <row r="17898" spans="2:37">
      <c r="B17898" s="834" t="str">
        <f t="shared" si="639"/>
        <v>|||</v>
      </c>
      <c r="H17898" s="835">
        <f t="shared" si="640"/>
        <v>31</v>
      </c>
      <c r="AF17898" s="831" t="s">
        <v>11789</v>
      </c>
      <c r="AG17898" s="831" t="s">
        <v>2674</v>
      </c>
      <c r="AH17898" s="831" t="s">
        <v>6602</v>
      </c>
      <c r="AI17898" s="831">
        <v>0</v>
      </c>
      <c r="AJ17898" s="835">
        <v>41973</v>
      </c>
      <c r="AK17898" s="831">
        <v>35013602</v>
      </c>
    </row>
    <row r="17899" spans="2:37">
      <c r="B17899" s="834" t="str">
        <f t="shared" si="639"/>
        <v>|||</v>
      </c>
      <c r="H17899" s="835">
        <f t="shared" si="640"/>
        <v>31</v>
      </c>
      <c r="AF17899" s="831" t="s">
        <v>11790</v>
      </c>
      <c r="AG17899" s="831" t="s">
        <v>2674</v>
      </c>
      <c r="AH17899" s="831" t="s">
        <v>650</v>
      </c>
      <c r="AI17899" s="831">
        <v>0</v>
      </c>
      <c r="AJ17899" s="835">
        <v>41973</v>
      </c>
      <c r="AK17899" s="831">
        <v>287670371.56684613</v>
      </c>
    </row>
    <row r="17900" spans="2:37">
      <c r="B17900" s="834" t="str">
        <f t="shared" si="639"/>
        <v>|||</v>
      </c>
      <c r="H17900" s="835">
        <f t="shared" si="640"/>
        <v>31</v>
      </c>
      <c r="AF17900" s="831" t="s">
        <v>11791</v>
      </c>
      <c r="AG17900" s="831" t="s">
        <v>2674</v>
      </c>
      <c r="AH17900" s="831" t="s">
        <v>655</v>
      </c>
      <c r="AI17900" s="831">
        <v>0</v>
      </c>
      <c r="AJ17900" s="835">
        <v>41973</v>
      </c>
      <c r="AK17900" s="831">
        <v>919694.3899999999</v>
      </c>
    </row>
    <row r="17901" spans="2:37">
      <c r="B17901" s="834" t="str">
        <f t="shared" si="639"/>
        <v>|||</v>
      </c>
      <c r="H17901" s="835">
        <f t="shared" si="640"/>
        <v>31</v>
      </c>
      <c r="AF17901" s="831" t="s">
        <v>11792</v>
      </c>
      <c r="AG17901" s="831" t="s">
        <v>2674</v>
      </c>
      <c r="AH17901" s="831" t="s">
        <v>546</v>
      </c>
      <c r="AI17901" s="831">
        <v>0</v>
      </c>
      <c r="AJ17901" s="835">
        <v>42004</v>
      </c>
      <c r="AK17901" s="831">
        <v>828920000</v>
      </c>
    </row>
    <row r="17902" spans="2:37">
      <c r="B17902" s="834" t="str">
        <f t="shared" si="639"/>
        <v>|||</v>
      </c>
      <c r="H17902" s="835">
        <f t="shared" si="640"/>
        <v>31</v>
      </c>
      <c r="AF17902" s="831" t="s">
        <v>11793</v>
      </c>
      <c r="AG17902" s="831" t="s">
        <v>2674</v>
      </c>
      <c r="AH17902" s="831" t="s">
        <v>370</v>
      </c>
      <c r="AI17902" s="831">
        <v>0</v>
      </c>
      <c r="AJ17902" s="835">
        <v>42004</v>
      </c>
      <c r="AK17902" s="831">
        <v>1042210000</v>
      </c>
    </row>
    <row r="17903" spans="2:37">
      <c r="B17903" s="834" t="str">
        <f t="shared" si="639"/>
        <v>|||</v>
      </c>
      <c r="H17903" s="835">
        <f t="shared" si="640"/>
        <v>31</v>
      </c>
      <c r="AF17903" s="831" t="s">
        <v>11794</v>
      </c>
      <c r="AG17903" s="831" t="s">
        <v>2674</v>
      </c>
      <c r="AH17903" s="831" t="s">
        <v>126</v>
      </c>
      <c r="AI17903" s="831">
        <v>0</v>
      </c>
      <c r="AJ17903" s="835">
        <v>42004</v>
      </c>
      <c r="AK17903" s="831">
        <v>145409000</v>
      </c>
    </row>
    <row r="17904" spans="2:37">
      <c r="B17904" s="834" t="str">
        <f t="shared" si="639"/>
        <v>|||</v>
      </c>
      <c r="H17904" s="835">
        <f t="shared" si="640"/>
        <v>31</v>
      </c>
      <c r="AF17904" s="831" t="s">
        <v>11795</v>
      </c>
      <c r="AG17904" s="831" t="s">
        <v>2674</v>
      </c>
      <c r="AH17904" s="831" t="s">
        <v>268</v>
      </c>
      <c r="AI17904" s="831">
        <v>0</v>
      </c>
      <c r="AJ17904" s="835">
        <v>42004</v>
      </c>
      <c r="AK17904" s="831">
        <v>43040000</v>
      </c>
    </row>
    <row r="17905" spans="2:37">
      <c r="B17905" s="834" t="str">
        <f t="shared" si="639"/>
        <v>|||</v>
      </c>
      <c r="H17905" s="835">
        <f t="shared" si="640"/>
        <v>31</v>
      </c>
      <c r="AF17905" s="831" t="s">
        <v>11796</v>
      </c>
      <c r="AG17905" s="831" t="s">
        <v>2674</v>
      </c>
      <c r="AH17905" s="831" t="s">
        <v>547</v>
      </c>
      <c r="AI17905" s="831">
        <v>0</v>
      </c>
      <c r="AJ17905" s="835">
        <v>42004</v>
      </c>
      <c r="AK17905" s="831">
        <v>777719977</v>
      </c>
    </row>
    <row r="17906" spans="2:37">
      <c r="B17906" s="834" t="str">
        <f t="shared" si="639"/>
        <v>|||</v>
      </c>
      <c r="H17906" s="835">
        <f t="shared" si="640"/>
        <v>31</v>
      </c>
      <c r="AF17906" s="831" t="s">
        <v>11797</v>
      </c>
      <c r="AG17906" s="831" t="s">
        <v>2674</v>
      </c>
      <c r="AH17906" s="831" t="s">
        <v>548</v>
      </c>
      <c r="AI17906" s="831">
        <v>0</v>
      </c>
      <c r="AJ17906" s="835">
        <v>42004</v>
      </c>
      <c r="AK17906" s="831">
        <v>117105496</v>
      </c>
    </row>
    <row r="17907" spans="2:37">
      <c r="B17907" s="834" t="str">
        <f t="shared" si="639"/>
        <v>|||</v>
      </c>
      <c r="H17907" s="835">
        <f t="shared" si="640"/>
        <v>31</v>
      </c>
      <c r="AF17907" s="831" t="s">
        <v>11798</v>
      </c>
      <c r="AG17907" s="831" t="s">
        <v>2674</v>
      </c>
      <c r="AH17907" s="831" t="s">
        <v>549</v>
      </c>
      <c r="AI17907" s="831">
        <v>0</v>
      </c>
      <c r="AJ17907" s="835">
        <v>42004</v>
      </c>
      <c r="AK17907" s="831">
        <v>627874260</v>
      </c>
    </row>
    <row r="17908" spans="2:37">
      <c r="B17908" s="834" t="str">
        <f t="shared" si="639"/>
        <v>|||</v>
      </c>
      <c r="H17908" s="835">
        <f t="shared" si="640"/>
        <v>31</v>
      </c>
      <c r="AF17908" s="831" t="s">
        <v>11799</v>
      </c>
      <c r="AG17908" s="831" t="s">
        <v>2674</v>
      </c>
      <c r="AH17908" s="831" t="s">
        <v>192</v>
      </c>
      <c r="AI17908" s="831">
        <v>0</v>
      </c>
      <c r="AJ17908" s="835">
        <v>42004</v>
      </c>
      <c r="AK17908" s="831">
        <v>-9140000</v>
      </c>
    </row>
    <row r="17909" spans="2:37">
      <c r="B17909" s="834" t="str">
        <f t="shared" si="639"/>
        <v>|||</v>
      </c>
      <c r="H17909" s="835">
        <f t="shared" si="640"/>
        <v>31</v>
      </c>
      <c r="AF17909" s="831" t="s">
        <v>11800</v>
      </c>
      <c r="AG17909" s="831" t="s">
        <v>2674</v>
      </c>
      <c r="AH17909" s="831" t="s">
        <v>558</v>
      </c>
      <c r="AI17909" s="831">
        <v>0</v>
      </c>
      <c r="AJ17909" s="835">
        <v>42004</v>
      </c>
      <c r="AK17909" s="831">
        <v>896801000</v>
      </c>
    </row>
    <row r="17910" spans="2:37">
      <c r="B17910" s="834" t="str">
        <f t="shared" si="639"/>
        <v>|||</v>
      </c>
      <c r="H17910" s="835">
        <f t="shared" si="640"/>
        <v>31</v>
      </c>
      <c r="AF17910" s="831" t="s">
        <v>11801</v>
      </c>
      <c r="AG17910" s="831" t="s">
        <v>2674</v>
      </c>
      <c r="AH17910" s="831" t="s">
        <v>65</v>
      </c>
      <c r="AI17910" s="831">
        <v>0</v>
      </c>
      <c r="AJ17910" s="835">
        <v>42004</v>
      </c>
      <c r="AK17910" s="831">
        <v>169813000</v>
      </c>
    </row>
    <row r="17911" spans="2:37">
      <c r="B17911" s="834" t="str">
        <f t="shared" si="639"/>
        <v>|||</v>
      </c>
      <c r="H17911" s="835">
        <f t="shared" si="640"/>
        <v>31</v>
      </c>
      <c r="AF17911" s="831" t="s">
        <v>11802</v>
      </c>
      <c r="AG17911" s="831" t="s">
        <v>2674</v>
      </c>
      <c r="AH17911" s="831" t="s">
        <v>89</v>
      </c>
      <c r="AI17911" s="831">
        <v>0</v>
      </c>
      <c r="AJ17911" s="835">
        <v>42004</v>
      </c>
      <c r="AK17911" s="831">
        <v>157146</v>
      </c>
    </row>
    <row r="17912" spans="2:37">
      <c r="B17912" s="834" t="str">
        <f t="shared" si="639"/>
        <v>|||</v>
      </c>
      <c r="H17912" s="835">
        <f t="shared" si="640"/>
        <v>31</v>
      </c>
      <c r="AF17912" s="831" t="s">
        <v>11803</v>
      </c>
      <c r="AG17912" s="831" t="s">
        <v>2674</v>
      </c>
      <c r="AH17912" s="831" t="s">
        <v>557</v>
      </c>
      <c r="AI17912" s="831">
        <v>0</v>
      </c>
      <c r="AJ17912" s="835">
        <v>42004</v>
      </c>
      <c r="AK17912" s="831">
        <v>178484</v>
      </c>
    </row>
    <row r="17913" spans="2:37">
      <c r="B17913" s="834" t="str">
        <f t="shared" si="639"/>
        <v>|||</v>
      </c>
      <c r="H17913" s="835">
        <f t="shared" si="640"/>
        <v>31</v>
      </c>
      <c r="AF17913" s="831" t="s">
        <v>11804</v>
      </c>
      <c r="AG17913" s="831" t="s">
        <v>2674</v>
      </c>
      <c r="AH17913" s="831" t="s">
        <v>29</v>
      </c>
      <c r="AI17913" s="831">
        <v>0</v>
      </c>
      <c r="AJ17913" s="835">
        <v>42004</v>
      </c>
      <c r="AK17913" s="831">
        <v>6837000</v>
      </c>
    </row>
    <row r="17914" spans="2:37">
      <c r="B17914" s="834" t="str">
        <f t="shared" si="639"/>
        <v>|||</v>
      </c>
      <c r="H17914" s="835">
        <f t="shared" si="640"/>
        <v>31</v>
      </c>
      <c r="AF17914" s="831" t="s">
        <v>11805</v>
      </c>
      <c r="AG17914" s="831" t="s">
        <v>2674</v>
      </c>
      <c r="AH17914" s="831" t="s">
        <v>2688</v>
      </c>
      <c r="AI17914" s="831">
        <v>0</v>
      </c>
      <c r="AJ17914" s="835">
        <v>42004</v>
      </c>
      <c r="AK17914" s="831">
        <v>5048648</v>
      </c>
    </row>
    <row r="17915" spans="2:37">
      <c r="B17915" s="834" t="str">
        <f t="shared" si="639"/>
        <v>|||</v>
      </c>
      <c r="H17915" s="835">
        <f t="shared" si="640"/>
        <v>31</v>
      </c>
      <c r="AF17915" s="831" t="s">
        <v>11806</v>
      </c>
      <c r="AG17915" s="831" t="s">
        <v>2674</v>
      </c>
      <c r="AH17915" s="831" t="s">
        <v>556</v>
      </c>
      <c r="AI17915" s="831">
        <v>0</v>
      </c>
      <c r="AJ17915" s="835">
        <v>42004</v>
      </c>
      <c r="AK17915" s="831">
        <v>11412135</v>
      </c>
    </row>
    <row r="17916" spans="2:37">
      <c r="B17916" s="834" t="str">
        <f t="shared" si="639"/>
        <v>|||</v>
      </c>
      <c r="H17916" s="835">
        <f t="shared" si="640"/>
        <v>31</v>
      </c>
      <c r="AF17916" s="831" t="s">
        <v>11807</v>
      </c>
      <c r="AG17916" s="831" t="s">
        <v>2674</v>
      </c>
      <c r="AH17916" s="831" t="s">
        <v>555</v>
      </c>
      <c r="AI17916" s="831">
        <v>0</v>
      </c>
      <c r="AJ17916" s="835">
        <v>42004</v>
      </c>
      <c r="AK17916" s="831">
        <v>596336076</v>
      </c>
    </row>
    <row r="17917" spans="2:37">
      <c r="B17917" s="834" t="str">
        <f t="shared" si="639"/>
        <v>|||</v>
      </c>
      <c r="H17917" s="835">
        <f t="shared" si="640"/>
        <v>31</v>
      </c>
      <c r="AF17917" s="831" t="s">
        <v>11808</v>
      </c>
      <c r="AG17917" s="831" t="s">
        <v>2674</v>
      </c>
      <c r="AH17917" s="831" t="s">
        <v>554</v>
      </c>
      <c r="AI17917" s="831">
        <v>0</v>
      </c>
      <c r="AJ17917" s="835">
        <v>42004</v>
      </c>
      <c r="AK17917" s="831">
        <v>603608535</v>
      </c>
    </row>
    <row r="17918" spans="2:37">
      <c r="B17918" s="834" t="str">
        <f t="shared" si="639"/>
        <v>|||</v>
      </c>
      <c r="H17918" s="835">
        <f t="shared" si="640"/>
        <v>31</v>
      </c>
      <c r="AF17918" s="831" t="s">
        <v>11809</v>
      </c>
      <c r="AG17918" s="831" t="s">
        <v>2674</v>
      </c>
      <c r="AH17918" s="831" t="s">
        <v>553</v>
      </c>
      <c r="AI17918" s="831">
        <v>0</v>
      </c>
      <c r="AJ17918" s="835">
        <v>42004</v>
      </c>
      <c r="AK17918" s="831">
        <v>0</v>
      </c>
    </row>
    <row r="17919" spans="2:37">
      <c r="B17919" s="834" t="str">
        <f t="shared" si="639"/>
        <v>|||</v>
      </c>
      <c r="H17919" s="835">
        <f t="shared" si="640"/>
        <v>31</v>
      </c>
      <c r="AF17919" s="831" t="s">
        <v>11810</v>
      </c>
      <c r="AG17919" s="831" t="s">
        <v>2674</v>
      </c>
      <c r="AH17919" s="831" t="s">
        <v>552</v>
      </c>
      <c r="AI17919" s="831">
        <v>0</v>
      </c>
      <c r="AJ17919" s="835">
        <v>42004</v>
      </c>
      <c r="AK17919" s="831">
        <v>0</v>
      </c>
    </row>
    <row r="17920" spans="2:37">
      <c r="B17920" s="834" t="str">
        <f t="shared" si="639"/>
        <v>|||</v>
      </c>
      <c r="H17920" s="835">
        <f t="shared" si="640"/>
        <v>31</v>
      </c>
      <c r="AF17920" s="831" t="s">
        <v>11811</v>
      </c>
      <c r="AG17920" s="831" t="s">
        <v>2674</v>
      </c>
      <c r="AH17920" s="831" t="s">
        <v>551</v>
      </c>
      <c r="AI17920" s="831">
        <v>0</v>
      </c>
      <c r="AJ17920" s="835">
        <v>42004</v>
      </c>
      <c r="AK17920" s="831">
        <v>6446340</v>
      </c>
    </row>
    <row r="17921" spans="2:37">
      <c r="B17921" s="834" t="str">
        <f t="shared" si="639"/>
        <v>|||</v>
      </c>
      <c r="H17921" s="835">
        <f t="shared" si="640"/>
        <v>31</v>
      </c>
      <c r="AF17921" s="831" t="s">
        <v>11812</v>
      </c>
      <c r="AG17921" s="831" t="s">
        <v>2674</v>
      </c>
      <c r="AH17921" s="831" t="s">
        <v>550</v>
      </c>
      <c r="AI17921" s="831">
        <v>0</v>
      </c>
      <c r="AJ17921" s="835">
        <v>42004</v>
      </c>
      <c r="AK17921" s="831">
        <v>153599665</v>
      </c>
    </row>
    <row r="17922" spans="2:37">
      <c r="B17922" s="834" t="str">
        <f t="shared" si="639"/>
        <v>|||</v>
      </c>
      <c r="H17922" s="835">
        <f t="shared" si="640"/>
        <v>31</v>
      </c>
      <c r="AF17922" s="831" t="s">
        <v>11813</v>
      </c>
      <c r="AG17922" s="831" t="s">
        <v>2674</v>
      </c>
      <c r="AH17922" s="831" t="s">
        <v>562</v>
      </c>
      <c r="AI17922" s="831">
        <v>0</v>
      </c>
      <c r="AJ17922" s="835">
        <v>42004</v>
      </c>
      <c r="AK17922" s="831">
        <v>0.78310000000000002</v>
      </c>
    </row>
    <row r="17923" spans="2:37">
      <c r="B17923" s="834" t="str">
        <f t="shared" si="639"/>
        <v>|||</v>
      </c>
      <c r="H17923" s="835">
        <f t="shared" si="640"/>
        <v>31</v>
      </c>
      <c r="AF17923" s="831" t="s">
        <v>11814</v>
      </c>
      <c r="AG17923" s="831" t="s">
        <v>2674</v>
      </c>
      <c r="AH17923" s="831" t="s">
        <v>2698</v>
      </c>
      <c r="AI17923" s="831">
        <v>0</v>
      </c>
      <c r="AJ17923" s="835">
        <v>42004</v>
      </c>
      <c r="AK17923" s="831">
        <v>0.78390000000000004</v>
      </c>
    </row>
    <row r="17924" spans="2:37">
      <c r="B17924" s="834" t="str">
        <f t="shared" si="639"/>
        <v>|||</v>
      </c>
      <c r="H17924" s="835">
        <f t="shared" si="640"/>
        <v>31</v>
      </c>
      <c r="AF17924" s="831" t="s">
        <v>11815</v>
      </c>
      <c r="AG17924" s="831" t="s">
        <v>2674</v>
      </c>
      <c r="AH17924" s="831" t="s">
        <v>560</v>
      </c>
      <c r="AI17924" s="831">
        <v>0</v>
      </c>
      <c r="AJ17924" s="835">
        <v>42004</v>
      </c>
      <c r="AK17924" s="831">
        <v>0.78363333333333329</v>
      </c>
    </row>
    <row r="17925" spans="2:37">
      <c r="B17925" s="834" t="str">
        <f t="shared" si="639"/>
        <v>|||</v>
      </c>
      <c r="H17925" s="835">
        <f t="shared" si="640"/>
        <v>31</v>
      </c>
      <c r="AF17925" s="831" t="s">
        <v>11816</v>
      </c>
      <c r="AG17925" s="831" t="s">
        <v>2674</v>
      </c>
      <c r="AH17925" s="831" t="s">
        <v>559</v>
      </c>
      <c r="AI17925" s="831">
        <v>0</v>
      </c>
      <c r="AJ17925" s="835">
        <v>42004</v>
      </c>
      <c r="AK17925" s="831">
        <v>0.78363333333333329</v>
      </c>
    </row>
    <row r="17926" spans="2:37">
      <c r="B17926" s="834" t="str">
        <f t="shared" si="639"/>
        <v>|||</v>
      </c>
      <c r="H17926" s="835">
        <f t="shared" si="640"/>
        <v>31</v>
      </c>
      <c r="AF17926" s="831" t="s">
        <v>11817</v>
      </c>
      <c r="AG17926" s="831" t="s">
        <v>2674</v>
      </c>
      <c r="AH17926" s="831" t="s">
        <v>568</v>
      </c>
      <c r="AI17926" s="831">
        <v>0</v>
      </c>
      <c r="AJ17926" s="835">
        <v>42004</v>
      </c>
      <c r="AK17926" s="831">
        <v>723814619.46153843</v>
      </c>
    </row>
    <row r="17927" spans="2:37">
      <c r="B17927" s="834" t="str">
        <f t="shared" si="639"/>
        <v>|||</v>
      </c>
      <c r="H17927" s="835">
        <f t="shared" si="640"/>
        <v>31</v>
      </c>
      <c r="AF17927" s="831" t="s">
        <v>11818</v>
      </c>
      <c r="AG17927" s="831" t="s">
        <v>2674</v>
      </c>
      <c r="AH17927" s="831" t="s">
        <v>569</v>
      </c>
      <c r="AI17927" s="831">
        <v>0</v>
      </c>
      <c r="AJ17927" s="835">
        <v>42004</v>
      </c>
      <c r="AK17927" s="831">
        <v>899930209.58176923</v>
      </c>
    </row>
    <row r="17928" spans="2:37">
      <c r="B17928" s="834" t="str">
        <f t="shared" si="639"/>
        <v>|||</v>
      </c>
      <c r="H17928" s="835">
        <f t="shared" si="640"/>
        <v>31</v>
      </c>
      <c r="AF17928" s="831" t="s">
        <v>11819</v>
      </c>
      <c r="AG17928" s="831" t="s">
        <v>2674</v>
      </c>
      <c r="AH17928" s="831" t="s">
        <v>570</v>
      </c>
      <c r="AI17928" s="831">
        <v>0</v>
      </c>
      <c r="AJ17928" s="835">
        <v>42004</v>
      </c>
      <c r="AK17928" s="831">
        <v>134134466.30307692</v>
      </c>
    </row>
    <row r="17929" spans="2:37">
      <c r="B17929" s="834" t="str">
        <f t="shared" si="639"/>
        <v>|||</v>
      </c>
      <c r="H17929" s="835">
        <f t="shared" si="640"/>
        <v>31</v>
      </c>
      <c r="AF17929" s="831" t="s">
        <v>11820</v>
      </c>
      <c r="AG17929" s="831" t="s">
        <v>2674</v>
      </c>
      <c r="AH17929" s="831" t="s">
        <v>571</v>
      </c>
      <c r="AI17929" s="831">
        <v>0</v>
      </c>
      <c r="AJ17929" s="835">
        <v>42004</v>
      </c>
      <c r="AK17929" s="831">
        <v>445629705.61753845</v>
      </c>
    </row>
    <row r="17930" spans="2:37">
      <c r="B17930" s="834" t="str">
        <f t="shared" si="639"/>
        <v>|||</v>
      </c>
      <c r="H17930" s="835">
        <f t="shared" si="640"/>
        <v>31</v>
      </c>
      <c r="AF17930" s="831" t="s">
        <v>11821</v>
      </c>
      <c r="AG17930" s="831" t="s">
        <v>2674</v>
      </c>
      <c r="AH17930" s="831" t="s">
        <v>573</v>
      </c>
      <c r="AI17930" s="831">
        <v>0</v>
      </c>
      <c r="AJ17930" s="835">
        <v>42004</v>
      </c>
      <c r="AK17930" s="831">
        <v>899930209.58176923</v>
      </c>
    </row>
    <row r="17931" spans="2:37">
      <c r="B17931" s="834" t="str">
        <f t="shared" si="639"/>
        <v>|||</v>
      </c>
      <c r="H17931" s="835">
        <f t="shared" si="640"/>
        <v>31</v>
      </c>
      <c r="AF17931" s="831" t="s">
        <v>11822</v>
      </c>
      <c r="AG17931" s="831" t="s">
        <v>2674</v>
      </c>
      <c r="AH17931" s="831" t="s">
        <v>574</v>
      </c>
      <c r="AI17931" s="831">
        <v>0</v>
      </c>
      <c r="AJ17931" s="835">
        <v>42004</v>
      </c>
      <c r="AK17931" s="831">
        <v>723814619.46153843</v>
      </c>
    </row>
    <row r="17932" spans="2:37">
      <c r="B17932" s="834" t="str">
        <f t="shared" si="639"/>
        <v>|||</v>
      </c>
      <c r="H17932" s="835">
        <f t="shared" si="640"/>
        <v>31</v>
      </c>
      <c r="AF17932" s="831" t="s">
        <v>11823</v>
      </c>
      <c r="AG17932" s="831" t="s">
        <v>2674</v>
      </c>
      <c r="AH17932" s="831" t="s">
        <v>575</v>
      </c>
      <c r="AI17932" s="831">
        <v>0</v>
      </c>
      <c r="AJ17932" s="835">
        <v>42004</v>
      </c>
      <c r="AK17932" s="831">
        <v>134134466.30307692</v>
      </c>
    </row>
    <row r="17933" spans="2:37">
      <c r="B17933" s="834" t="str">
        <f t="shared" si="639"/>
        <v>|||</v>
      </c>
      <c r="H17933" s="835">
        <f t="shared" si="640"/>
        <v>31</v>
      </c>
      <c r="AF17933" s="831" t="s">
        <v>11824</v>
      </c>
      <c r="AG17933" s="831" t="s">
        <v>2674</v>
      </c>
      <c r="AH17933" s="831" t="s">
        <v>576</v>
      </c>
      <c r="AI17933" s="831">
        <v>0</v>
      </c>
      <c r="AJ17933" s="835">
        <v>42004</v>
      </c>
      <c r="AK17933" s="831">
        <v>445629705.61753845</v>
      </c>
    </row>
    <row r="17934" spans="2:37">
      <c r="B17934" s="834" t="str">
        <f t="shared" si="639"/>
        <v>|||</v>
      </c>
      <c r="H17934" s="835">
        <f t="shared" si="640"/>
        <v>31</v>
      </c>
      <c r="AF17934" s="831" t="s">
        <v>11825</v>
      </c>
      <c r="AG17934" s="831" t="s">
        <v>2674</v>
      </c>
      <c r="AH17934" s="831" t="s">
        <v>572</v>
      </c>
      <c r="AI17934" s="831">
        <v>0</v>
      </c>
      <c r="AJ17934" s="835">
        <v>42004</v>
      </c>
      <c r="AK17934" s="831">
        <v>43040000</v>
      </c>
    </row>
    <row r="17935" spans="2:37">
      <c r="B17935" s="834" t="str">
        <f t="shared" si="639"/>
        <v>|||</v>
      </c>
      <c r="H17935" s="835">
        <f t="shared" si="640"/>
        <v>31</v>
      </c>
      <c r="AF17935" s="831" t="s">
        <v>11826</v>
      </c>
      <c r="AG17935" s="831" t="s">
        <v>2674</v>
      </c>
      <c r="AH17935" s="831" t="s">
        <v>577</v>
      </c>
      <c r="AI17935" s="831">
        <v>0</v>
      </c>
      <c r="AJ17935" s="835">
        <v>42004</v>
      </c>
      <c r="AK17935" s="831">
        <v>169813000</v>
      </c>
    </row>
    <row r="17936" spans="2:37">
      <c r="B17936" s="834" t="str">
        <f t="shared" si="639"/>
        <v>|||</v>
      </c>
      <c r="H17936" s="835">
        <f t="shared" si="640"/>
        <v>31</v>
      </c>
      <c r="AF17936" s="831" t="s">
        <v>11827</v>
      </c>
      <c r="AG17936" s="831" t="s">
        <v>2674</v>
      </c>
      <c r="AH17936" s="831" t="s">
        <v>3042</v>
      </c>
      <c r="AI17936" s="831">
        <v>0</v>
      </c>
      <c r="AJ17936" s="835">
        <v>42004</v>
      </c>
      <c r="AK17936" s="831">
        <v>-51705000</v>
      </c>
    </row>
    <row r="17937" spans="2:37">
      <c r="B17937" s="834" t="str">
        <f t="shared" ref="B17937:B18000" si="641">C17937&amp;"|"&amp;D17937&amp;"|"&amp;E17937&amp;"|"&amp;F17937</f>
        <v>|||</v>
      </c>
      <c r="H17937" s="835">
        <f t="shared" ref="H17937:H18000" si="642">EOMONTH(L17937,0)</f>
        <v>31</v>
      </c>
      <c r="AF17937" s="831" t="s">
        <v>11828</v>
      </c>
      <c r="AG17937" s="831" t="s">
        <v>2674</v>
      </c>
      <c r="AH17937" s="831" t="s">
        <v>3044</v>
      </c>
      <c r="AI17937" s="831">
        <v>0</v>
      </c>
      <c r="AJ17937" s="835">
        <v>42004</v>
      </c>
      <c r="AK17937" s="831">
        <v>3515000</v>
      </c>
    </row>
    <row r="17938" spans="2:37">
      <c r="B17938" s="834" t="str">
        <f t="shared" si="641"/>
        <v>|||</v>
      </c>
      <c r="H17938" s="835">
        <f t="shared" si="642"/>
        <v>31</v>
      </c>
      <c r="AF17938" s="831" t="s">
        <v>11829</v>
      </c>
      <c r="AG17938" s="831" t="s">
        <v>2674</v>
      </c>
      <c r="AH17938" s="831" t="s">
        <v>580</v>
      </c>
      <c r="AI17938" s="831">
        <v>0</v>
      </c>
      <c r="AJ17938" s="835">
        <v>42004</v>
      </c>
      <c r="AK17938" s="831">
        <v>-78262000</v>
      </c>
    </row>
    <row r="17939" spans="2:37">
      <c r="B17939" s="834" t="str">
        <f t="shared" si="641"/>
        <v>|||</v>
      </c>
      <c r="H17939" s="835">
        <f t="shared" si="642"/>
        <v>31</v>
      </c>
      <c r="AF17939" s="831" t="s">
        <v>11830</v>
      </c>
      <c r="AG17939" s="831" t="s">
        <v>2674</v>
      </c>
      <c r="AH17939" s="831" t="s">
        <v>581</v>
      </c>
      <c r="AI17939" s="831">
        <v>0</v>
      </c>
      <c r="AJ17939" s="835">
        <v>42004</v>
      </c>
      <c r="AK17939" s="831">
        <v>9963000</v>
      </c>
    </row>
    <row r="17940" spans="2:37">
      <c r="B17940" s="834" t="str">
        <f t="shared" si="641"/>
        <v>|||</v>
      </c>
      <c r="H17940" s="835">
        <f t="shared" si="642"/>
        <v>31</v>
      </c>
      <c r="AF17940" s="831" t="s">
        <v>11831</v>
      </c>
      <c r="AG17940" s="831" t="s">
        <v>2674</v>
      </c>
      <c r="AH17940" s="831" t="s">
        <v>105</v>
      </c>
      <c r="AI17940" s="831">
        <v>0</v>
      </c>
      <c r="AJ17940" s="835">
        <v>42004</v>
      </c>
      <c r="AK17940" s="831">
        <v>532345000</v>
      </c>
    </row>
    <row r="17941" spans="2:37">
      <c r="B17941" s="834" t="str">
        <f t="shared" si="641"/>
        <v>|||</v>
      </c>
      <c r="H17941" s="835">
        <f t="shared" si="642"/>
        <v>31</v>
      </c>
      <c r="AF17941" s="831" t="s">
        <v>11832</v>
      </c>
      <c r="AG17941" s="831" t="s">
        <v>2674</v>
      </c>
      <c r="AH17941" s="831" t="s">
        <v>3049</v>
      </c>
      <c r="AI17941" s="831">
        <v>0</v>
      </c>
      <c r="AJ17941" s="835">
        <v>42004</v>
      </c>
      <c r="AK17941" s="831">
        <v>871130000</v>
      </c>
    </row>
    <row r="17942" spans="2:37">
      <c r="B17942" s="834" t="str">
        <f t="shared" si="641"/>
        <v>|||</v>
      </c>
      <c r="H17942" s="835">
        <f t="shared" si="642"/>
        <v>31</v>
      </c>
      <c r="AF17942" s="831" t="s">
        <v>11833</v>
      </c>
      <c r="AG17942" s="831" t="s">
        <v>2674</v>
      </c>
      <c r="AH17942" s="831" t="s">
        <v>103</v>
      </c>
      <c r="AI17942" s="831">
        <v>0</v>
      </c>
      <c r="AJ17942" s="835">
        <v>42004</v>
      </c>
      <c r="AK17942" s="831">
        <v>338785000</v>
      </c>
    </row>
    <row r="17943" spans="2:37">
      <c r="B17943" s="834" t="str">
        <f t="shared" si="641"/>
        <v>|||</v>
      </c>
      <c r="H17943" s="835">
        <f t="shared" si="642"/>
        <v>31</v>
      </c>
      <c r="AF17943" s="831" t="s">
        <v>11834</v>
      </c>
      <c r="AG17943" s="831" t="s">
        <v>2674</v>
      </c>
      <c r="AH17943" s="831" t="s">
        <v>182</v>
      </c>
      <c r="AI17943" s="831">
        <v>0</v>
      </c>
      <c r="AJ17943" s="835">
        <v>42004</v>
      </c>
      <c r="AK17943" s="831">
        <v>78262000</v>
      </c>
    </row>
    <row r="17944" spans="2:37">
      <c r="B17944" s="834" t="str">
        <f t="shared" si="641"/>
        <v>|||</v>
      </c>
      <c r="H17944" s="835">
        <f t="shared" si="642"/>
        <v>31</v>
      </c>
      <c r="AF17944" s="831" t="s">
        <v>11835</v>
      </c>
      <c r="AG17944" s="831" t="s">
        <v>2674</v>
      </c>
      <c r="AH17944" s="831" t="s">
        <v>6600</v>
      </c>
      <c r="AI17944" s="831">
        <v>0</v>
      </c>
      <c r="AJ17944" s="835">
        <v>42004</v>
      </c>
      <c r="AK17944" s="831">
        <v>43040000</v>
      </c>
    </row>
    <row r="17945" spans="2:37">
      <c r="B17945" s="834" t="str">
        <f t="shared" si="641"/>
        <v>|||</v>
      </c>
      <c r="H17945" s="835">
        <f t="shared" si="642"/>
        <v>31</v>
      </c>
      <c r="AF17945" s="831" t="s">
        <v>11836</v>
      </c>
      <c r="AG17945" s="831" t="s">
        <v>2674</v>
      </c>
      <c r="AH17945" s="831" t="s">
        <v>6602</v>
      </c>
      <c r="AI17945" s="831">
        <v>0</v>
      </c>
      <c r="AJ17945" s="835">
        <v>42004</v>
      </c>
      <c r="AK17945" s="831">
        <v>43040000</v>
      </c>
    </row>
    <row r="17946" spans="2:37">
      <c r="B17946" s="834" t="str">
        <f t="shared" si="641"/>
        <v>|||</v>
      </c>
      <c r="H17946" s="835">
        <f t="shared" si="642"/>
        <v>31</v>
      </c>
      <c r="AF17946" s="831" t="s">
        <v>11837</v>
      </c>
      <c r="AG17946" s="831" t="s">
        <v>2674</v>
      </c>
      <c r="AH17946" s="831" t="s">
        <v>650</v>
      </c>
      <c r="AI17946" s="831">
        <v>0</v>
      </c>
      <c r="AJ17946" s="835">
        <v>42004</v>
      </c>
      <c r="AK17946" s="831">
        <v>294946351.96523076</v>
      </c>
    </row>
    <row r="17947" spans="2:37">
      <c r="B17947" s="834" t="str">
        <f t="shared" si="641"/>
        <v>|||</v>
      </c>
      <c r="H17947" s="835">
        <f t="shared" si="642"/>
        <v>31</v>
      </c>
      <c r="AF17947" s="831" t="s">
        <v>11838</v>
      </c>
      <c r="AG17947" s="831" t="s">
        <v>2674</v>
      </c>
      <c r="AH17947" s="831" t="s">
        <v>655</v>
      </c>
      <c r="AI17947" s="831">
        <v>0</v>
      </c>
      <c r="AJ17947" s="835">
        <v>42004</v>
      </c>
      <c r="AK17947" s="831">
        <v>5599000</v>
      </c>
    </row>
    <row r="17948" spans="2:37">
      <c r="B17948" s="834" t="str">
        <f t="shared" si="641"/>
        <v>|||</v>
      </c>
      <c r="H17948" s="835">
        <f t="shared" si="642"/>
        <v>31</v>
      </c>
      <c r="AF17948" s="831" t="s">
        <v>11839</v>
      </c>
      <c r="AG17948" s="831" t="s">
        <v>2674</v>
      </c>
      <c r="AH17948" s="831" t="s">
        <v>546</v>
      </c>
      <c r="AI17948" s="831">
        <v>0</v>
      </c>
      <c r="AJ17948" s="835">
        <v>42035</v>
      </c>
      <c r="AK17948" s="831">
        <v>829753309</v>
      </c>
    </row>
    <row r="17949" spans="2:37">
      <c r="B17949" s="834" t="str">
        <f t="shared" si="641"/>
        <v>|||</v>
      </c>
      <c r="H17949" s="835">
        <f t="shared" si="642"/>
        <v>31</v>
      </c>
      <c r="AF17949" s="831" t="s">
        <v>11840</v>
      </c>
      <c r="AG17949" s="831" t="s">
        <v>2674</v>
      </c>
      <c r="AH17949" s="831" t="s">
        <v>370</v>
      </c>
      <c r="AI17949" s="831">
        <v>0</v>
      </c>
      <c r="AJ17949" s="835">
        <v>42035</v>
      </c>
      <c r="AK17949" s="831">
        <v>1044609243</v>
      </c>
    </row>
    <row r="17950" spans="2:37">
      <c r="B17950" s="834" t="str">
        <f t="shared" si="641"/>
        <v>|||</v>
      </c>
      <c r="H17950" s="835">
        <f t="shared" si="642"/>
        <v>31</v>
      </c>
      <c r="AF17950" s="831" t="s">
        <v>11841</v>
      </c>
      <c r="AG17950" s="831" t="s">
        <v>2674</v>
      </c>
      <c r="AH17950" s="831" t="s">
        <v>126</v>
      </c>
      <c r="AI17950" s="831">
        <v>0</v>
      </c>
      <c r="AJ17950" s="835">
        <v>42035</v>
      </c>
      <c r="AK17950" s="831">
        <v>148860224</v>
      </c>
    </row>
    <row r="17951" spans="2:37">
      <c r="B17951" s="834" t="str">
        <f t="shared" si="641"/>
        <v>|||</v>
      </c>
      <c r="H17951" s="835">
        <f t="shared" si="642"/>
        <v>31</v>
      </c>
      <c r="AF17951" s="831" t="s">
        <v>11842</v>
      </c>
      <c r="AG17951" s="831" t="s">
        <v>2674</v>
      </c>
      <c r="AH17951" s="831" t="s">
        <v>268</v>
      </c>
      <c r="AI17951" s="831">
        <v>0</v>
      </c>
      <c r="AJ17951" s="835">
        <v>42035</v>
      </c>
      <c r="AK17951" s="831">
        <v>3451938</v>
      </c>
    </row>
    <row r="17952" spans="2:37">
      <c r="B17952" s="834" t="str">
        <f t="shared" si="641"/>
        <v>|||</v>
      </c>
      <c r="H17952" s="835">
        <f t="shared" si="642"/>
        <v>31</v>
      </c>
      <c r="AF17952" s="831" t="s">
        <v>11843</v>
      </c>
      <c r="AG17952" s="831" t="s">
        <v>2674</v>
      </c>
      <c r="AH17952" s="831" t="s">
        <v>547</v>
      </c>
      <c r="AI17952" s="831">
        <v>0</v>
      </c>
      <c r="AJ17952" s="835">
        <v>42035</v>
      </c>
      <c r="AK17952" s="831">
        <v>1044609243</v>
      </c>
    </row>
    <row r="17953" spans="2:37">
      <c r="B17953" s="834" t="str">
        <f t="shared" si="641"/>
        <v>|||</v>
      </c>
      <c r="H17953" s="835">
        <f t="shared" si="642"/>
        <v>31</v>
      </c>
      <c r="AF17953" s="831" t="s">
        <v>11844</v>
      </c>
      <c r="AG17953" s="831" t="s">
        <v>2674</v>
      </c>
      <c r="AH17953" s="831" t="s">
        <v>548</v>
      </c>
      <c r="AI17953" s="831">
        <v>0</v>
      </c>
      <c r="AJ17953" s="835">
        <v>42035</v>
      </c>
      <c r="AK17953" s="831">
        <v>148860224</v>
      </c>
    </row>
    <row r="17954" spans="2:37">
      <c r="B17954" s="834" t="str">
        <f t="shared" si="641"/>
        <v>|||</v>
      </c>
      <c r="H17954" s="835">
        <f t="shared" si="642"/>
        <v>31</v>
      </c>
      <c r="AF17954" s="831" t="s">
        <v>11845</v>
      </c>
      <c r="AG17954" s="831" t="s">
        <v>2674</v>
      </c>
      <c r="AH17954" s="831" t="s">
        <v>549</v>
      </c>
      <c r="AI17954" s="831">
        <v>0</v>
      </c>
      <c r="AJ17954" s="835">
        <v>42035</v>
      </c>
      <c r="AK17954" s="831">
        <v>635618516</v>
      </c>
    </row>
    <row r="17955" spans="2:37">
      <c r="B17955" s="834" t="str">
        <f t="shared" si="641"/>
        <v>|||</v>
      </c>
      <c r="H17955" s="835">
        <f t="shared" si="642"/>
        <v>31</v>
      </c>
      <c r="AF17955" s="831" t="s">
        <v>11846</v>
      </c>
      <c r="AG17955" s="831" t="s">
        <v>2674</v>
      </c>
      <c r="AH17955" s="831" t="s">
        <v>192</v>
      </c>
      <c r="AI17955" s="831">
        <v>0</v>
      </c>
      <c r="AJ17955" s="835">
        <v>42035</v>
      </c>
      <c r="AK17955" s="831">
        <v>-9765211</v>
      </c>
    </row>
    <row r="17956" spans="2:37">
      <c r="B17956" s="834" t="str">
        <f t="shared" si="641"/>
        <v>|||</v>
      </c>
      <c r="H17956" s="835">
        <f t="shared" si="642"/>
        <v>31</v>
      </c>
      <c r="AF17956" s="831" t="s">
        <v>11847</v>
      </c>
      <c r="AG17956" s="831" t="s">
        <v>2674</v>
      </c>
      <c r="AH17956" s="831" t="s">
        <v>558</v>
      </c>
      <c r="AI17956" s="831">
        <v>0</v>
      </c>
      <c r="AJ17956" s="835">
        <v>42035</v>
      </c>
      <c r="AK17956" s="831">
        <v>895749019</v>
      </c>
    </row>
    <row r="17957" spans="2:37">
      <c r="B17957" s="834" t="str">
        <f t="shared" si="641"/>
        <v>|||</v>
      </c>
      <c r="H17957" s="835">
        <f t="shared" si="642"/>
        <v>31</v>
      </c>
      <c r="AF17957" s="831" t="s">
        <v>11848</v>
      </c>
      <c r="AG17957" s="831" t="s">
        <v>2674</v>
      </c>
      <c r="AH17957" s="831" t="s">
        <v>65</v>
      </c>
      <c r="AI17957" s="831">
        <v>0</v>
      </c>
      <c r="AJ17957" s="835">
        <v>42035</v>
      </c>
      <c r="AK17957" s="831">
        <v>16060962</v>
      </c>
    </row>
    <row r="17958" spans="2:37">
      <c r="B17958" s="834" t="str">
        <f t="shared" si="641"/>
        <v>|||</v>
      </c>
      <c r="H17958" s="835">
        <f t="shared" si="642"/>
        <v>31</v>
      </c>
      <c r="AF17958" s="831" t="s">
        <v>11849</v>
      </c>
      <c r="AG17958" s="831" t="s">
        <v>2674</v>
      </c>
      <c r="AH17958" s="831" t="s">
        <v>89</v>
      </c>
      <c r="AI17958" s="831">
        <v>0</v>
      </c>
      <c r="AJ17958" s="835">
        <v>42035</v>
      </c>
      <c r="AK17958" s="831">
        <v>158062</v>
      </c>
    </row>
    <row r="17959" spans="2:37">
      <c r="B17959" s="834" t="str">
        <f t="shared" si="641"/>
        <v>|||</v>
      </c>
      <c r="H17959" s="835">
        <f t="shared" si="642"/>
        <v>31</v>
      </c>
      <c r="AF17959" s="831" t="s">
        <v>11850</v>
      </c>
      <c r="AG17959" s="831" t="s">
        <v>2674</v>
      </c>
      <c r="AH17959" s="831" t="s">
        <v>557</v>
      </c>
      <c r="AI17959" s="831">
        <v>0</v>
      </c>
      <c r="AJ17959" s="835">
        <v>42035</v>
      </c>
      <c r="AK17959" s="831">
        <v>180227</v>
      </c>
    </row>
    <row r="17960" spans="2:37">
      <c r="B17960" s="834" t="str">
        <f t="shared" si="641"/>
        <v>|||</v>
      </c>
      <c r="H17960" s="835">
        <f t="shared" si="642"/>
        <v>31</v>
      </c>
      <c r="AF17960" s="831" t="s">
        <v>11851</v>
      </c>
      <c r="AG17960" s="831" t="s">
        <v>2674</v>
      </c>
      <c r="AH17960" s="831" t="s">
        <v>29</v>
      </c>
      <c r="AI17960" s="831">
        <v>0</v>
      </c>
      <c r="AJ17960" s="835">
        <v>42035</v>
      </c>
      <c r="AK17960" s="831">
        <v>7401483</v>
      </c>
    </row>
    <row r="17961" spans="2:37">
      <c r="B17961" s="834" t="str">
        <f t="shared" si="641"/>
        <v>|||</v>
      </c>
      <c r="H17961" s="835">
        <f t="shared" si="642"/>
        <v>31</v>
      </c>
      <c r="AF17961" s="831" t="s">
        <v>11852</v>
      </c>
      <c r="AG17961" s="831" t="s">
        <v>2674</v>
      </c>
      <c r="AH17961" s="831" t="s">
        <v>2688</v>
      </c>
      <c r="AI17961" s="831">
        <v>0</v>
      </c>
      <c r="AJ17961" s="835">
        <v>42035</v>
      </c>
      <c r="AK17961" s="831">
        <v>5438707</v>
      </c>
    </row>
    <row r="17962" spans="2:37">
      <c r="B17962" s="834" t="str">
        <f t="shared" si="641"/>
        <v>|||</v>
      </c>
      <c r="H17962" s="835">
        <f t="shared" si="642"/>
        <v>31</v>
      </c>
      <c r="AF17962" s="831" t="s">
        <v>11853</v>
      </c>
      <c r="AG17962" s="831" t="s">
        <v>2674</v>
      </c>
      <c r="AH17962" s="831" t="s">
        <v>556</v>
      </c>
      <c r="AI17962" s="831">
        <v>0</v>
      </c>
      <c r="AJ17962" s="835">
        <v>42035</v>
      </c>
      <c r="AK17962" s="831">
        <v>11412135</v>
      </c>
    </row>
    <row r="17963" spans="2:37">
      <c r="B17963" s="834" t="str">
        <f t="shared" si="641"/>
        <v>|||</v>
      </c>
      <c r="H17963" s="835">
        <f t="shared" si="642"/>
        <v>31</v>
      </c>
      <c r="AF17963" s="831" t="s">
        <v>11854</v>
      </c>
      <c r="AG17963" s="831" t="s">
        <v>2674</v>
      </c>
      <c r="AH17963" s="831" t="s">
        <v>555</v>
      </c>
      <c r="AI17963" s="831">
        <v>0</v>
      </c>
      <c r="AJ17963" s="835">
        <v>42035</v>
      </c>
      <c r="AK17963" s="831">
        <v>579511362</v>
      </c>
    </row>
    <row r="17964" spans="2:37">
      <c r="B17964" s="834" t="str">
        <f t="shared" si="641"/>
        <v>|||</v>
      </c>
      <c r="H17964" s="835">
        <f t="shared" si="642"/>
        <v>31</v>
      </c>
      <c r="AF17964" s="831" t="s">
        <v>11855</v>
      </c>
      <c r="AG17964" s="831" t="s">
        <v>2674</v>
      </c>
      <c r="AH17964" s="831" t="s">
        <v>554</v>
      </c>
      <c r="AI17964" s="831">
        <v>0</v>
      </c>
      <c r="AJ17964" s="835">
        <v>42035</v>
      </c>
      <c r="AK17964" s="831">
        <v>622474260</v>
      </c>
    </row>
    <row r="17965" spans="2:37">
      <c r="B17965" s="834" t="str">
        <f t="shared" si="641"/>
        <v>|||</v>
      </c>
      <c r="H17965" s="835">
        <f t="shared" si="642"/>
        <v>31</v>
      </c>
      <c r="AF17965" s="831" t="s">
        <v>11856</v>
      </c>
      <c r="AG17965" s="831" t="s">
        <v>2674</v>
      </c>
      <c r="AH17965" s="831" t="s">
        <v>553</v>
      </c>
      <c r="AI17965" s="831">
        <v>0</v>
      </c>
      <c r="AJ17965" s="835">
        <v>42035</v>
      </c>
      <c r="AK17965" s="831">
        <v>0</v>
      </c>
    </row>
    <row r="17966" spans="2:37">
      <c r="B17966" s="834" t="str">
        <f t="shared" si="641"/>
        <v>|||</v>
      </c>
      <c r="H17966" s="835">
        <f t="shared" si="642"/>
        <v>31</v>
      </c>
      <c r="AF17966" s="831" t="s">
        <v>11857</v>
      </c>
      <c r="AG17966" s="831" t="s">
        <v>2674</v>
      </c>
      <c r="AH17966" s="831" t="s">
        <v>552</v>
      </c>
      <c r="AI17966" s="831">
        <v>0</v>
      </c>
      <c r="AJ17966" s="835">
        <v>42035</v>
      </c>
      <c r="AK17966" s="831">
        <v>0</v>
      </c>
    </row>
    <row r="17967" spans="2:37">
      <c r="B17967" s="834" t="str">
        <f t="shared" si="641"/>
        <v>|||</v>
      </c>
      <c r="H17967" s="835">
        <f t="shared" si="642"/>
        <v>31</v>
      </c>
      <c r="AF17967" s="831" t="s">
        <v>11858</v>
      </c>
      <c r="AG17967" s="831" t="s">
        <v>2674</v>
      </c>
      <c r="AH17967" s="831" t="s">
        <v>551</v>
      </c>
      <c r="AI17967" s="831">
        <v>0</v>
      </c>
      <c r="AJ17967" s="835">
        <v>42035</v>
      </c>
      <c r="AK17967" s="831">
        <v>5260060</v>
      </c>
    </row>
    <row r="17968" spans="2:37">
      <c r="B17968" s="834" t="str">
        <f t="shared" si="641"/>
        <v>|||</v>
      </c>
      <c r="H17968" s="835">
        <f t="shared" si="642"/>
        <v>31</v>
      </c>
      <c r="AF17968" s="831" t="s">
        <v>11859</v>
      </c>
      <c r="AG17968" s="831" t="s">
        <v>2674</v>
      </c>
      <c r="AH17968" s="831" t="s">
        <v>550</v>
      </c>
      <c r="AI17968" s="831">
        <v>0</v>
      </c>
      <c r="AJ17968" s="835">
        <v>42035</v>
      </c>
      <c r="AK17968" s="831">
        <v>145409000</v>
      </c>
    </row>
    <row r="17969" spans="2:37">
      <c r="B17969" s="834" t="str">
        <f t="shared" si="641"/>
        <v>|||</v>
      </c>
      <c r="H17969" s="835">
        <f t="shared" si="642"/>
        <v>31</v>
      </c>
      <c r="AF17969" s="831" t="s">
        <v>11860</v>
      </c>
      <c r="AG17969" s="831" t="s">
        <v>2674</v>
      </c>
      <c r="AH17969" s="831" t="s">
        <v>562</v>
      </c>
      <c r="AI17969" s="831">
        <v>0</v>
      </c>
      <c r="AJ17969" s="835">
        <v>42035</v>
      </c>
      <c r="AK17969" s="831">
        <v>0.78439999999999999</v>
      </c>
    </row>
    <row r="17970" spans="2:37">
      <c r="B17970" s="834" t="str">
        <f t="shared" si="641"/>
        <v>|||</v>
      </c>
      <c r="H17970" s="835">
        <f t="shared" si="642"/>
        <v>31</v>
      </c>
      <c r="AF17970" s="831" t="s">
        <v>11861</v>
      </c>
      <c r="AG17970" s="831" t="s">
        <v>2674</v>
      </c>
      <c r="AH17970" s="831" t="s">
        <v>2698</v>
      </c>
      <c r="AI17970" s="831">
        <v>0</v>
      </c>
      <c r="AJ17970" s="835">
        <v>42035</v>
      </c>
      <c r="AK17970" s="831">
        <v>0.78310000000000002</v>
      </c>
    </row>
    <row r="17971" spans="2:37">
      <c r="B17971" s="834" t="str">
        <f t="shared" si="641"/>
        <v>|||</v>
      </c>
      <c r="H17971" s="835">
        <f t="shared" si="642"/>
        <v>31</v>
      </c>
      <c r="AF17971" s="831" t="s">
        <v>11862</v>
      </c>
      <c r="AG17971" s="831" t="s">
        <v>2674</v>
      </c>
      <c r="AH17971" s="831" t="s">
        <v>560</v>
      </c>
      <c r="AI17971" s="831">
        <v>0</v>
      </c>
      <c r="AJ17971" s="835">
        <v>42035</v>
      </c>
      <c r="AK17971" s="831">
        <v>0.78439999999999999</v>
      </c>
    </row>
    <row r="17972" spans="2:37">
      <c r="B17972" s="834" t="str">
        <f t="shared" si="641"/>
        <v>|||</v>
      </c>
      <c r="H17972" s="835">
        <f t="shared" si="642"/>
        <v>31</v>
      </c>
      <c r="AF17972" s="831" t="s">
        <v>11863</v>
      </c>
      <c r="AG17972" s="831" t="s">
        <v>2674</v>
      </c>
      <c r="AH17972" s="831" t="s">
        <v>559</v>
      </c>
      <c r="AI17972" s="831">
        <v>0</v>
      </c>
      <c r="AJ17972" s="835">
        <v>42035</v>
      </c>
      <c r="AK17972" s="831">
        <v>0.78369583333333326</v>
      </c>
    </row>
    <row r="17973" spans="2:37">
      <c r="B17973" s="834" t="str">
        <f t="shared" si="641"/>
        <v>|||</v>
      </c>
      <c r="H17973" s="835">
        <f t="shared" si="642"/>
        <v>31</v>
      </c>
      <c r="AF17973" s="831" t="s">
        <v>11864</v>
      </c>
      <c r="AG17973" s="831" t="s">
        <v>2674</v>
      </c>
      <c r="AH17973" s="831" t="s">
        <v>568</v>
      </c>
      <c r="AI17973" s="831">
        <v>0</v>
      </c>
      <c r="AJ17973" s="835">
        <v>42035</v>
      </c>
      <c r="AK17973" s="831">
        <v>739343777.07692313</v>
      </c>
    </row>
    <row r="17974" spans="2:37">
      <c r="B17974" s="834" t="str">
        <f t="shared" si="641"/>
        <v>|||</v>
      </c>
      <c r="H17974" s="835">
        <f t="shared" si="642"/>
        <v>31</v>
      </c>
      <c r="AF17974" s="831" t="s">
        <v>11865</v>
      </c>
      <c r="AG17974" s="831" t="s">
        <v>2674</v>
      </c>
      <c r="AH17974" s="831" t="s">
        <v>569</v>
      </c>
      <c r="AI17974" s="831">
        <v>0</v>
      </c>
      <c r="AJ17974" s="835">
        <v>42035</v>
      </c>
      <c r="AK17974" s="831">
        <v>919552846</v>
      </c>
    </row>
    <row r="17975" spans="2:37">
      <c r="B17975" s="834" t="str">
        <f t="shared" si="641"/>
        <v>|||</v>
      </c>
      <c r="H17975" s="835">
        <f t="shared" si="642"/>
        <v>31</v>
      </c>
      <c r="AF17975" s="831" t="s">
        <v>11866</v>
      </c>
      <c r="AG17975" s="831" t="s">
        <v>2674</v>
      </c>
      <c r="AH17975" s="831" t="s">
        <v>570</v>
      </c>
      <c r="AI17975" s="831">
        <v>0</v>
      </c>
      <c r="AJ17975" s="835">
        <v>42035</v>
      </c>
      <c r="AK17975" s="831">
        <v>136809116.92538461</v>
      </c>
    </row>
    <row r="17976" spans="2:37">
      <c r="B17976" s="834" t="str">
        <f t="shared" si="641"/>
        <v>|||</v>
      </c>
      <c r="H17976" s="835">
        <f t="shared" si="642"/>
        <v>31</v>
      </c>
      <c r="AF17976" s="831" t="s">
        <v>11867</v>
      </c>
      <c r="AG17976" s="831" t="s">
        <v>2674</v>
      </c>
      <c r="AH17976" s="831" t="s">
        <v>571</v>
      </c>
      <c r="AI17976" s="831">
        <v>0</v>
      </c>
      <c r="AJ17976" s="835">
        <v>42035</v>
      </c>
      <c r="AK17976" s="831">
        <v>456907538.41669232</v>
      </c>
    </row>
    <row r="17977" spans="2:37">
      <c r="B17977" s="834" t="str">
        <f t="shared" si="641"/>
        <v>|||</v>
      </c>
      <c r="H17977" s="835">
        <f t="shared" si="642"/>
        <v>31</v>
      </c>
      <c r="AF17977" s="831" t="s">
        <v>11868</v>
      </c>
      <c r="AG17977" s="831" t="s">
        <v>2674</v>
      </c>
      <c r="AH17977" s="831" t="s">
        <v>573</v>
      </c>
      <c r="AI17977" s="831">
        <v>0</v>
      </c>
      <c r="AJ17977" s="835">
        <v>42035</v>
      </c>
      <c r="AK17977" s="831">
        <v>1043409621.5</v>
      </c>
    </row>
    <row r="17978" spans="2:37">
      <c r="B17978" s="834" t="str">
        <f t="shared" si="641"/>
        <v>|||</v>
      </c>
      <c r="H17978" s="835">
        <f t="shared" si="642"/>
        <v>31</v>
      </c>
      <c r="AF17978" s="831" t="s">
        <v>11869</v>
      </c>
      <c r="AG17978" s="831" t="s">
        <v>2674</v>
      </c>
      <c r="AH17978" s="831" t="s">
        <v>574</v>
      </c>
      <c r="AI17978" s="831">
        <v>0</v>
      </c>
      <c r="AJ17978" s="835">
        <v>42035</v>
      </c>
      <c r="AK17978" s="831">
        <v>829336654.5</v>
      </c>
    </row>
    <row r="17979" spans="2:37">
      <c r="B17979" s="834" t="str">
        <f t="shared" si="641"/>
        <v>|||</v>
      </c>
      <c r="H17979" s="835">
        <f t="shared" si="642"/>
        <v>31</v>
      </c>
      <c r="AF17979" s="831" t="s">
        <v>11870</v>
      </c>
      <c r="AG17979" s="831" t="s">
        <v>2674</v>
      </c>
      <c r="AH17979" s="831" t="s">
        <v>575</v>
      </c>
      <c r="AI17979" s="831">
        <v>0</v>
      </c>
      <c r="AJ17979" s="835">
        <v>42035</v>
      </c>
      <c r="AK17979" s="831">
        <v>147134612</v>
      </c>
    </row>
    <row r="17980" spans="2:37">
      <c r="B17980" s="834" t="str">
        <f t="shared" si="641"/>
        <v>|||</v>
      </c>
      <c r="H17980" s="835">
        <f t="shared" si="642"/>
        <v>31</v>
      </c>
      <c r="AF17980" s="831" t="s">
        <v>11871</v>
      </c>
      <c r="AG17980" s="831" t="s">
        <v>2674</v>
      </c>
      <c r="AH17980" s="831" t="s">
        <v>576</v>
      </c>
      <c r="AI17980" s="831">
        <v>0</v>
      </c>
      <c r="AJ17980" s="835">
        <v>42035</v>
      </c>
      <c r="AK17980" s="831">
        <v>535265337</v>
      </c>
    </row>
    <row r="17981" spans="2:37">
      <c r="B17981" s="834" t="str">
        <f t="shared" si="641"/>
        <v>|||</v>
      </c>
      <c r="H17981" s="835">
        <f t="shared" si="642"/>
        <v>31</v>
      </c>
      <c r="AF17981" s="831" t="s">
        <v>11872</v>
      </c>
      <c r="AG17981" s="831" t="s">
        <v>2674</v>
      </c>
      <c r="AH17981" s="831" t="s">
        <v>572</v>
      </c>
      <c r="AI17981" s="831">
        <v>0</v>
      </c>
      <c r="AJ17981" s="835">
        <v>42035</v>
      </c>
      <c r="AK17981" s="831">
        <v>43193117</v>
      </c>
    </row>
    <row r="17982" spans="2:37">
      <c r="B17982" s="834" t="str">
        <f t="shared" si="641"/>
        <v>|||</v>
      </c>
      <c r="H17982" s="835">
        <f t="shared" si="642"/>
        <v>31</v>
      </c>
      <c r="AF17982" s="831" t="s">
        <v>11873</v>
      </c>
      <c r="AG17982" s="831" t="s">
        <v>2674</v>
      </c>
      <c r="AH17982" s="831" t="s">
        <v>577</v>
      </c>
      <c r="AI17982" s="831">
        <v>0</v>
      </c>
      <c r="AJ17982" s="835">
        <v>42035</v>
      </c>
      <c r="AK17982" s="831">
        <v>172605174</v>
      </c>
    </row>
    <row r="17983" spans="2:37">
      <c r="B17983" s="834" t="str">
        <f t="shared" si="641"/>
        <v>|||</v>
      </c>
      <c r="H17983" s="835">
        <f t="shared" si="642"/>
        <v>31</v>
      </c>
      <c r="AF17983" s="831" t="s">
        <v>11874</v>
      </c>
      <c r="AG17983" s="831" t="s">
        <v>2674</v>
      </c>
      <c r="AH17983" s="831" t="s">
        <v>3042</v>
      </c>
      <c r="AI17983" s="831">
        <v>0</v>
      </c>
      <c r="AJ17983" s="835">
        <v>42035</v>
      </c>
      <c r="AK17983" s="831">
        <v>-52806938</v>
      </c>
    </row>
    <row r="17984" spans="2:37">
      <c r="B17984" s="834" t="str">
        <f t="shared" si="641"/>
        <v>|||</v>
      </c>
      <c r="H17984" s="835">
        <f t="shared" si="642"/>
        <v>31</v>
      </c>
      <c r="AF17984" s="831" t="s">
        <v>11875</v>
      </c>
      <c r="AG17984" s="831" t="s">
        <v>2674</v>
      </c>
      <c r="AH17984" s="831" t="s">
        <v>3044</v>
      </c>
      <c r="AI17984" s="831">
        <v>0</v>
      </c>
      <c r="AJ17984" s="835">
        <v>42035</v>
      </c>
      <c r="AK17984" s="831">
        <v>3134380</v>
      </c>
    </row>
    <row r="17985" spans="2:37">
      <c r="B17985" s="834" t="str">
        <f t="shared" si="641"/>
        <v>|||</v>
      </c>
      <c r="H17985" s="835">
        <f t="shared" si="642"/>
        <v>31</v>
      </c>
      <c r="AF17985" s="831" t="s">
        <v>11876</v>
      </c>
      <c r="AG17985" s="831" t="s">
        <v>2674</v>
      </c>
      <c r="AH17985" s="831" t="s">
        <v>580</v>
      </c>
      <c r="AI17985" s="831">
        <v>0</v>
      </c>
      <c r="AJ17985" s="835">
        <v>42035</v>
      </c>
      <c r="AK17985" s="831">
        <v>-79238495</v>
      </c>
    </row>
    <row r="17986" spans="2:37">
      <c r="B17986" s="834" t="str">
        <f t="shared" si="641"/>
        <v>|||</v>
      </c>
      <c r="H17986" s="835">
        <f t="shared" si="642"/>
        <v>31</v>
      </c>
      <c r="AF17986" s="831" t="s">
        <v>11877</v>
      </c>
      <c r="AG17986" s="831" t="s">
        <v>2674</v>
      </c>
      <c r="AH17986" s="831" t="s">
        <v>581</v>
      </c>
      <c r="AI17986" s="831">
        <v>0</v>
      </c>
      <c r="AJ17986" s="835">
        <v>42035</v>
      </c>
      <c r="AK17986" s="831">
        <v>9801179</v>
      </c>
    </row>
    <row r="17987" spans="2:37">
      <c r="B17987" s="834" t="str">
        <f t="shared" si="641"/>
        <v>|||</v>
      </c>
      <c r="H17987" s="835">
        <f t="shared" si="642"/>
        <v>31</v>
      </c>
      <c r="AF17987" s="831" t="s">
        <v>11878</v>
      </c>
      <c r="AG17987" s="831" t="s">
        <v>2674</v>
      </c>
      <c r="AH17987" s="831" t="s">
        <v>105</v>
      </c>
      <c r="AI17987" s="831">
        <v>0</v>
      </c>
      <c r="AJ17987" s="835">
        <v>42035</v>
      </c>
      <c r="AK17987" s="831">
        <v>538185674</v>
      </c>
    </row>
    <row r="17988" spans="2:37">
      <c r="B17988" s="834" t="str">
        <f t="shared" si="641"/>
        <v>|||</v>
      </c>
      <c r="H17988" s="835">
        <f t="shared" si="642"/>
        <v>31</v>
      </c>
      <c r="AF17988" s="831" t="s">
        <v>11879</v>
      </c>
      <c r="AG17988" s="831" t="s">
        <v>2674</v>
      </c>
      <c r="AH17988" s="831" t="s">
        <v>3049</v>
      </c>
      <c r="AI17988" s="831">
        <v>0</v>
      </c>
      <c r="AJ17988" s="835">
        <v>42035</v>
      </c>
      <c r="AK17988" s="831">
        <v>868832996</v>
      </c>
    </row>
    <row r="17989" spans="2:37">
      <c r="B17989" s="834" t="str">
        <f t="shared" si="641"/>
        <v>|||</v>
      </c>
      <c r="H17989" s="835">
        <f t="shared" si="642"/>
        <v>31</v>
      </c>
      <c r="AF17989" s="831" t="s">
        <v>11880</v>
      </c>
      <c r="AG17989" s="831" t="s">
        <v>2674</v>
      </c>
      <c r="AH17989" s="831" t="s">
        <v>103</v>
      </c>
      <c r="AI17989" s="831">
        <v>0</v>
      </c>
      <c r="AJ17989" s="835">
        <v>42035</v>
      </c>
      <c r="AK17989" s="831">
        <v>330647322</v>
      </c>
    </row>
    <row r="17990" spans="2:37">
      <c r="B17990" s="834" t="str">
        <f t="shared" si="641"/>
        <v>|||</v>
      </c>
      <c r="H17990" s="835">
        <f t="shared" si="642"/>
        <v>31</v>
      </c>
      <c r="AF17990" s="831" t="s">
        <v>11881</v>
      </c>
      <c r="AG17990" s="831" t="s">
        <v>2674</v>
      </c>
      <c r="AH17990" s="831" t="s">
        <v>182</v>
      </c>
      <c r="AI17990" s="831">
        <v>0</v>
      </c>
      <c r="AJ17990" s="835">
        <v>42035</v>
      </c>
      <c r="AK17990" s="831">
        <v>79397220</v>
      </c>
    </row>
    <row r="17991" spans="2:37">
      <c r="B17991" s="834" t="str">
        <f t="shared" si="641"/>
        <v>|||</v>
      </c>
      <c r="H17991" s="835">
        <f t="shared" si="642"/>
        <v>31</v>
      </c>
      <c r="AF17991" s="831" t="s">
        <v>11882</v>
      </c>
      <c r="AG17991" s="831" t="s">
        <v>2674</v>
      </c>
      <c r="AH17991" s="831" t="s">
        <v>6600</v>
      </c>
      <c r="AI17991" s="831">
        <v>0</v>
      </c>
      <c r="AJ17991" s="835">
        <v>42035</v>
      </c>
      <c r="AK17991" s="831">
        <v>43193117</v>
      </c>
    </row>
    <row r="17992" spans="2:37">
      <c r="B17992" s="834" t="str">
        <f t="shared" si="641"/>
        <v>|||</v>
      </c>
      <c r="H17992" s="835">
        <f t="shared" si="642"/>
        <v>31</v>
      </c>
      <c r="AF17992" s="831" t="s">
        <v>11883</v>
      </c>
      <c r="AG17992" s="831" t="s">
        <v>2674</v>
      </c>
      <c r="AH17992" s="831" t="s">
        <v>6602</v>
      </c>
      <c r="AI17992" s="831">
        <v>0</v>
      </c>
      <c r="AJ17992" s="835">
        <v>42035</v>
      </c>
      <c r="AK17992" s="831">
        <v>3451938</v>
      </c>
    </row>
    <row r="17993" spans="2:37">
      <c r="B17993" s="834" t="str">
        <f t="shared" si="641"/>
        <v>|||</v>
      </c>
      <c r="H17993" s="835">
        <f t="shared" si="642"/>
        <v>31</v>
      </c>
      <c r="AF17993" s="831" t="s">
        <v>11884</v>
      </c>
      <c r="AG17993" s="831" t="s">
        <v>2674</v>
      </c>
      <c r="AH17993" s="831" t="s">
        <v>650</v>
      </c>
      <c r="AI17993" s="831">
        <v>0</v>
      </c>
      <c r="AJ17993" s="835">
        <v>42035</v>
      </c>
      <c r="AK17993" s="831">
        <v>300938254.07461542</v>
      </c>
    </row>
    <row r="17994" spans="2:37">
      <c r="B17994" s="834" t="str">
        <f t="shared" si="641"/>
        <v>|||</v>
      </c>
      <c r="H17994" s="835">
        <f t="shared" si="642"/>
        <v>31</v>
      </c>
      <c r="AF17994" s="831" t="s">
        <v>11885</v>
      </c>
      <c r="AG17994" s="831" t="s">
        <v>2674</v>
      </c>
      <c r="AH17994" s="831" t="s">
        <v>655</v>
      </c>
      <c r="AI17994" s="831">
        <v>0</v>
      </c>
      <c r="AJ17994" s="835">
        <v>42035</v>
      </c>
      <c r="AK17994" s="831">
        <v>4403089</v>
      </c>
    </row>
    <row r="17995" spans="2:37">
      <c r="B17995" s="834" t="str">
        <f t="shared" si="641"/>
        <v>|||</v>
      </c>
      <c r="H17995" s="835">
        <f t="shared" si="642"/>
        <v>31</v>
      </c>
      <c r="AF17995" s="831" t="s">
        <v>11886</v>
      </c>
      <c r="AG17995" s="831" t="s">
        <v>2674</v>
      </c>
      <c r="AH17995" s="831" t="s">
        <v>546</v>
      </c>
      <c r="AI17995" s="831">
        <v>0</v>
      </c>
      <c r="AJ17995" s="835">
        <v>42063</v>
      </c>
      <c r="AK17995" s="831">
        <v>965858339</v>
      </c>
    </row>
    <row r="17996" spans="2:37">
      <c r="B17996" s="834" t="str">
        <f t="shared" si="641"/>
        <v>|||</v>
      </c>
      <c r="H17996" s="835">
        <f t="shared" si="642"/>
        <v>31</v>
      </c>
      <c r="AF17996" s="831" t="s">
        <v>11887</v>
      </c>
      <c r="AG17996" s="831" t="s">
        <v>2674</v>
      </c>
      <c r="AH17996" s="831" t="s">
        <v>370</v>
      </c>
      <c r="AI17996" s="831">
        <v>0</v>
      </c>
      <c r="AJ17996" s="835">
        <v>42063</v>
      </c>
      <c r="AK17996" s="831">
        <v>1253581727</v>
      </c>
    </row>
    <row r="17997" spans="2:37">
      <c r="B17997" s="834" t="str">
        <f t="shared" si="641"/>
        <v>|||</v>
      </c>
      <c r="H17997" s="835">
        <f t="shared" si="642"/>
        <v>31</v>
      </c>
      <c r="AF17997" s="831" t="s">
        <v>11888</v>
      </c>
      <c r="AG17997" s="831" t="s">
        <v>2674</v>
      </c>
      <c r="AH17997" s="831" t="s">
        <v>126</v>
      </c>
      <c r="AI17997" s="831">
        <v>0</v>
      </c>
      <c r="AJ17997" s="835">
        <v>42063</v>
      </c>
      <c r="AK17997" s="831">
        <v>143500530</v>
      </c>
    </row>
    <row r="17998" spans="2:37">
      <c r="B17998" s="834" t="str">
        <f t="shared" si="641"/>
        <v>|||</v>
      </c>
      <c r="H17998" s="835">
        <f t="shared" si="642"/>
        <v>31</v>
      </c>
      <c r="AF17998" s="831" t="s">
        <v>11889</v>
      </c>
      <c r="AG17998" s="831" t="s">
        <v>2674</v>
      </c>
      <c r="AH17998" s="831" t="s">
        <v>268</v>
      </c>
      <c r="AI17998" s="831">
        <v>0</v>
      </c>
      <c r="AJ17998" s="835">
        <v>42063</v>
      </c>
      <c r="AK17998" s="831">
        <v>-1907756</v>
      </c>
    </row>
    <row r="17999" spans="2:37">
      <c r="B17999" s="834" t="str">
        <f t="shared" si="641"/>
        <v>|||</v>
      </c>
      <c r="H17999" s="835">
        <f t="shared" si="642"/>
        <v>31</v>
      </c>
      <c r="AF17999" s="831" t="s">
        <v>11890</v>
      </c>
      <c r="AG17999" s="831" t="s">
        <v>2674</v>
      </c>
      <c r="AH17999" s="831" t="s">
        <v>547</v>
      </c>
      <c r="AI17999" s="831">
        <v>0</v>
      </c>
      <c r="AJ17999" s="835">
        <v>42063</v>
      </c>
      <c r="AK17999" s="831">
        <v>1044609243</v>
      </c>
    </row>
    <row r="18000" spans="2:37">
      <c r="B18000" s="834" t="str">
        <f t="shared" si="641"/>
        <v>|||</v>
      </c>
      <c r="H18000" s="835">
        <f t="shared" si="642"/>
        <v>31</v>
      </c>
      <c r="AF18000" s="831" t="s">
        <v>11891</v>
      </c>
      <c r="AG18000" s="831" t="s">
        <v>2674</v>
      </c>
      <c r="AH18000" s="831" t="s">
        <v>548</v>
      </c>
      <c r="AI18000" s="831">
        <v>0</v>
      </c>
      <c r="AJ18000" s="835">
        <v>42063</v>
      </c>
      <c r="AK18000" s="831">
        <v>148860224</v>
      </c>
    </row>
    <row r="18001" spans="2:37">
      <c r="B18001" s="834" t="str">
        <f t="shared" ref="B18001:B18064" si="643">C18001&amp;"|"&amp;D18001&amp;"|"&amp;E18001&amp;"|"&amp;F18001</f>
        <v>|||</v>
      </c>
      <c r="H18001" s="835">
        <f t="shared" ref="H18001:H18064" si="644">EOMONTH(L18001,0)</f>
        <v>31</v>
      </c>
      <c r="AF18001" s="831" t="s">
        <v>11892</v>
      </c>
      <c r="AG18001" s="831" t="s">
        <v>2674</v>
      </c>
      <c r="AH18001" s="831" t="s">
        <v>549</v>
      </c>
      <c r="AI18001" s="831">
        <v>0</v>
      </c>
      <c r="AJ18001" s="835">
        <v>42063</v>
      </c>
      <c r="AK18001" s="831">
        <v>652795035</v>
      </c>
    </row>
    <row r="18002" spans="2:37">
      <c r="B18002" s="834" t="str">
        <f t="shared" si="643"/>
        <v>|||</v>
      </c>
      <c r="H18002" s="835">
        <f t="shared" si="644"/>
        <v>31</v>
      </c>
      <c r="AF18002" s="831" t="s">
        <v>11893</v>
      </c>
      <c r="AG18002" s="831" t="s">
        <v>2674</v>
      </c>
      <c r="AH18002" s="831" t="s">
        <v>192</v>
      </c>
      <c r="AI18002" s="831">
        <v>0</v>
      </c>
      <c r="AJ18002" s="835">
        <v>42063</v>
      </c>
      <c r="AK18002" s="831">
        <v>-13765211</v>
      </c>
    </row>
    <row r="18003" spans="2:37">
      <c r="B18003" s="834" t="str">
        <f t="shared" si="643"/>
        <v>|||</v>
      </c>
      <c r="H18003" s="835">
        <f t="shared" si="644"/>
        <v>31</v>
      </c>
      <c r="AF18003" s="831" t="s">
        <v>11894</v>
      </c>
      <c r="AG18003" s="831" t="s">
        <v>2674</v>
      </c>
      <c r="AH18003" s="831" t="s">
        <v>558</v>
      </c>
      <c r="AI18003" s="831">
        <v>0</v>
      </c>
      <c r="AJ18003" s="835">
        <v>42063</v>
      </c>
      <c r="AK18003" s="831">
        <v>1110081197</v>
      </c>
    </row>
    <row r="18004" spans="2:37">
      <c r="B18004" s="834" t="str">
        <f t="shared" si="643"/>
        <v>|||</v>
      </c>
      <c r="H18004" s="835">
        <f t="shared" si="644"/>
        <v>31</v>
      </c>
      <c r="AF18004" s="831" t="s">
        <v>11895</v>
      </c>
      <c r="AG18004" s="831" t="s">
        <v>2674</v>
      </c>
      <c r="AH18004" s="831" t="s">
        <v>65</v>
      </c>
      <c r="AI18004" s="831">
        <v>0</v>
      </c>
      <c r="AJ18004" s="835">
        <v>42063</v>
      </c>
      <c r="AK18004" s="831">
        <v>31017741</v>
      </c>
    </row>
    <row r="18005" spans="2:37">
      <c r="B18005" s="834" t="str">
        <f t="shared" si="643"/>
        <v>|||</v>
      </c>
      <c r="H18005" s="835">
        <f t="shared" si="644"/>
        <v>31</v>
      </c>
      <c r="AF18005" s="831" t="s">
        <v>11896</v>
      </c>
      <c r="AG18005" s="831" t="s">
        <v>2674</v>
      </c>
      <c r="AH18005" s="831" t="s">
        <v>89</v>
      </c>
      <c r="AI18005" s="831">
        <v>0</v>
      </c>
      <c r="AJ18005" s="835">
        <v>42063</v>
      </c>
      <c r="AK18005" s="831">
        <v>157073</v>
      </c>
    </row>
    <row r="18006" spans="2:37">
      <c r="B18006" s="834" t="str">
        <f t="shared" si="643"/>
        <v>|||</v>
      </c>
      <c r="H18006" s="835">
        <f t="shared" si="644"/>
        <v>31</v>
      </c>
      <c r="AF18006" s="831" t="s">
        <v>11897</v>
      </c>
      <c r="AG18006" s="831" t="s">
        <v>2674</v>
      </c>
      <c r="AH18006" s="831" t="s">
        <v>557</v>
      </c>
      <c r="AI18006" s="831">
        <v>0</v>
      </c>
      <c r="AJ18006" s="835">
        <v>42063</v>
      </c>
      <c r="AK18006" s="831">
        <v>179494</v>
      </c>
    </row>
    <row r="18007" spans="2:37">
      <c r="B18007" s="834" t="str">
        <f t="shared" si="643"/>
        <v>|||</v>
      </c>
      <c r="H18007" s="835">
        <f t="shared" si="644"/>
        <v>31</v>
      </c>
      <c r="AF18007" s="831" t="s">
        <v>11898</v>
      </c>
      <c r="AG18007" s="831" t="s">
        <v>2674</v>
      </c>
      <c r="AH18007" s="831" t="s">
        <v>29</v>
      </c>
      <c r="AI18007" s="831">
        <v>0</v>
      </c>
      <c r="AJ18007" s="835">
        <v>42063</v>
      </c>
      <c r="AK18007" s="831">
        <v>8683621</v>
      </c>
    </row>
    <row r="18008" spans="2:37">
      <c r="B18008" s="834" t="str">
        <f t="shared" si="643"/>
        <v>|||</v>
      </c>
      <c r="H18008" s="835">
        <f t="shared" si="644"/>
        <v>31</v>
      </c>
      <c r="AF18008" s="831" t="s">
        <v>11899</v>
      </c>
      <c r="AG18008" s="831" t="s">
        <v>2674</v>
      </c>
      <c r="AH18008" s="831" t="s">
        <v>2688</v>
      </c>
      <c r="AI18008" s="831">
        <v>0</v>
      </c>
      <c r="AJ18008" s="835">
        <v>42063</v>
      </c>
      <c r="AK18008" s="831">
        <v>11508492</v>
      </c>
    </row>
    <row r="18009" spans="2:37">
      <c r="B18009" s="834" t="str">
        <f t="shared" si="643"/>
        <v>|||</v>
      </c>
      <c r="H18009" s="835">
        <f t="shared" si="644"/>
        <v>31</v>
      </c>
      <c r="AF18009" s="831" t="s">
        <v>11900</v>
      </c>
      <c r="AG18009" s="831" t="s">
        <v>2674</v>
      </c>
      <c r="AH18009" s="831" t="s">
        <v>556</v>
      </c>
      <c r="AI18009" s="831">
        <v>0</v>
      </c>
      <c r="AJ18009" s="835">
        <v>42063</v>
      </c>
      <c r="AK18009" s="831">
        <v>11412135</v>
      </c>
    </row>
    <row r="18010" spans="2:37">
      <c r="B18010" s="834" t="str">
        <f t="shared" si="643"/>
        <v>|||</v>
      </c>
      <c r="H18010" s="835">
        <f t="shared" si="644"/>
        <v>31</v>
      </c>
      <c r="AF18010" s="831" t="s">
        <v>11901</v>
      </c>
      <c r="AG18010" s="831" t="s">
        <v>2674</v>
      </c>
      <c r="AH18010" s="831" t="s">
        <v>555</v>
      </c>
      <c r="AI18010" s="831">
        <v>0</v>
      </c>
      <c r="AJ18010" s="835">
        <v>42063</v>
      </c>
      <c r="AK18010" s="831">
        <v>771141919</v>
      </c>
    </row>
    <row r="18011" spans="2:37">
      <c r="B18011" s="834" t="str">
        <f t="shared" si="643"/>
        <v>|||</v>
      </c>
      <c r="H18011" s="835">
        <f t="shared" si="644"/>
        <v>31</v>
      </c>
      <c r="AF18011" s="831" t="s">
        <v>11902</v>
      </c>
      <c r="AG18011" s="831" t="s">
        <v>2674</v>
      </c>
      <c r="AH18011" s="831" t="s">
        <v>554</v>
      </c>
      <c r="AI18011" s="831">
        <v>0</v>
      </c>
      <c r="AJ18011" s="835">
        <v>42063</v>
      </c>
      <c r="AK18011" s="831">
        <v>856164850</v>
      </c>
    </row>
    <row r="18012" spans="2:37">
      <c r="B18012" s="834" t="str">
        <f t="shared" si="643"/>
        <v>|||</v>
      </c>
      <c r="H18012" s="835">
        <f t="shared" si="644"/>
        <v>31</v>
      </c>
      <c r="AF18012" s="831" t="s">
        <v>11903</v>
      </c>
      <c r="AG18012" s="831" t="s">
        <v>2674</v>
      </c>
      <c r="AH18012" s="831" t="s">
        <v>553</v>
      </c>
      <c r="AI18012" s="831">
        <v>0</v>
      </c>
      <c r="AJ18012" s="835">
        <v>42063</v>
      </c>
      <c r="AK18012" s="831">
        <v>92382400</v>
      </c>
    </row>
    <row r="18013" spans="2:37">
      <c r="B18013" s="834" t="str">
        <f t="shared" si="643"/>
        <v>|||</v>
      </c>
      <c r="H18013" s="835">
        <f t="shared" si="644"/>
        <v>31</v>
      </c>
      <c r="AF18013" s="831" t="s">
        <v>11904</v>
      </c>
      <c r="AG18013" s="831" t="s">
        <v>2674</v>
      </c>
      <c r="AH18013" s="831" t="s">
        <v>552</v>
      </c>
      <c r="AI18013" s="831">
        <v>0</v>
      </c>
      <c r="AJ18013" s="835">
        <v>42063</v>
      </c>
      <c r="AK18013" s="831">
        <v>0</v>
      </c>
    </row>
    <row r="18014" spans="2:37">
      <c r="B18014" s="834" t="str">
        <f t="shared" si="643"/>
        <v>|||</v>
      </c>
      <c r="H18014" s="835">
        <f t="shared" si="644"/>
        <v>31</v>
      </c>
      <c r="AF18014" s="831" t="s">
        <v>11905</v>
      </c>
      <c r="AG18014" s="831" t="s">
        <v>2674</v>
      </c>
      <c r="AH18014" s="831" t="s">
        <v>551</v>
      </c>
      <c r="AI18014" s="831">
        <v>0</v>
      </c>
      <c r="AJ18014" s="835">
        <v>42063</v>
      </c>
      <c r="AK18014" s="831">
        <v>7487687</v>
      </c>
    </row>
    <row r="18015" spans="2:37">
      <c r="B18015" s="834" t="str">
        <f t="shared" si="643"/>
        <v>|||</v>
      </c>
      <c r="H18015" s="835">
        <f t="shared" si="644"/>
        <v>31</v>
      </c>
      <c r="AF18015" s="831" t="s">
        <v>11906</v>
      </c>
      <c r="AG18015" s="831" t="s">
        <v>2674</v>
      </c>
      <c r="AH18015" s="831" t="s">
        <v>550</v>
      </c>
      <c r="AI18015" s="831">
        <v>0</v>
      </c>
      <c r="AJ18015" s="835">
        <v>42063</v>
      </c>
      <c r="AK18015" s="831">
        <v>148860224</v>
      </c>
    </row>
    <row r="18016" spans="2:37">
      <c r="B18016" s="834" t="str">
        <f t="shared" si="643"/>
        <v>|||</v>
      </c>
      <c r="H18016" s="835">
        <f t="shared" si="644"/>
        <v>31</v>
      </c>
      <c r="AF18016" s="831" t="s">
        <v>11907</v>
      </c>
      <c r="AG18016" s="831" t="s">
        <v>2674</v>
      </c>
      <c r="AH18016" s="831" t="s">
        <v>562</v>
      </c>
      <c r="AI18016" s="831">
        <v>0</v>
      </c>
      <c r="AJ18016" s="835">
        <v>42063</v>
      </c>
      <c r="AK18016" s="831">
        <v>1.04575</v>
      </c>
    </row>
    <row r="18017" spans="2:37">
      <c r="B18017" s="834" t="str">
        <f t="shared" si="643"/>
        <v>|||</v>
      </c>
      <c r="H18017" s="835">
        <f t="shared" si="644"/>
        <v>31</v>
      </c>
      <c r="AF18017" s="831" t="s">
        <v>11908</v>
      </c>
      <c r="AG18017" s="831" t="s">
        <v>2674</v>
      </c>
      <c r="AH18017" s="831" t="s">
        <v>2698</v>
      </c>
      <c r="AI18017" s="831">
        <v>0</v>
      </c>
      <c r="AJ18017" s="835">
        <v>42063</v>
      </c>
      <c r="AK18017" s="831">
        <v>0.78439999999999999</v>
      </c>
    </row>
    <row r="18018" spans="2:37">
      <c r="B18018" s="834" t="str">
        <f t="shared" si="643"/>
        <v>|||</v>
      </c>
      <c r="H18018" s="835">
        <f t="shared" si="644"/>
        <v>31</v>
      </c>
      <c r="AF18018" s="831" t="s">
        <v>11909</v>
      </c>
      <c r="AG18018" s="831" t="s">
        <v>2674</v>
      </c>
      <c r="AH18018" s="831" t="s">
        <v>560</v>
      </c>
      <c r="AI18018" s="831">
        <v>0</v>
      </c>
      <c r="AJ18018" s="835">
        <v>42063</v>
      </c>
      <c r="AK18018" s="831">
        <v>0.91507499999999997</v>
      </c>
    </row>
    <row r="18019" spans="2:37">
      <c r="B18019" s="834" t="str">
        <f t="shared" si="643"/>
        <v>|||</v>
      </c>
      <c r="H18019" s="835">
        <f t="shared" si="644"/>
        <v>31</v>
      </c>
      <c r="AF18019" s="831" t="s">
        <v>11910</v>
      </c>
      <c r="AG18019" s="831" t="s">
        <v>2674</v>
      </c>
      <c r="AH18019" s="831" t="s">
        <v>559</v>
      </c>
      <c r="AI18019" s="831">
        <v>0</v>
      </c>
      <c r="AJ18019" s="835">
        <v>42063</v>
      </c>
      <c r="AK18019" s="831">
        <v>0.80552083333333313</v>
      </c>
    </row>
    <row r="18020" spans="2:37">
      <c r="B18020" s="834" t="str">
        <f t="shared" si="643"/>
        <v>|||</v>
      </c>
      <c r="H18020" s="835">
        <f t="shared" si="644"/>
        <v>31</v>
      </c>
      <c r="AF18020" s="831" t="s">
        <v>11911</v>
      </c>
      <c r="AG18020" s="831" t="s">
        <v>2674</v>
      </c>
      <c r="AH18020" s="831" t="s">
        <v>568</v>
      </c>
      <c r="AI18020" s="831">
        <v>0</v>
      </c>
      <c r="AJ18020" s="835">
        <v>42063</v>
      </c>
      <c r="AK18020" s="831">
        <v>764746840.38461542</v>
      </c>
    </row>
    <row r="18021" spans="2:37">
      <c r="B18021" s="834" t="str">
        <f t="shared" si="643"/>
        <v>|||</v>
      </c>
      <c r="H18021" s="835">
        <f t="shared" si="644"/>
        <v>31</v>
      </c>
      <c r="AF18021" s="831" t="s">
        <v>11912</v>
      </c>
      <c r="AG18021" s="831" t="s">
        <v>2674</v>
      </c>
      <c r="AH18021" s="831" t="s">
        <v>569</v>
      </c>
      <c r="AI18021" s="831">
        <v>0</v>
      </c>
      <c r="AJ18021" s="835">
        <v>42063</v>
      </c>
      <c r="AK18021" s="831">
        <v>956157596</v>
      </c>
    </row>
    <row r="18022" spans="2:37">
      <c r="B18022" s="834" t="str">
        <f t="shared" si="643"/>
        <v>|||</v>
      </c>
      <c r="H18022" s="835">
        <f t="shared" si="644"/>
        <v>31</v>
      </c>
      <c r="AF18022" s="831" t="s">
        <v>11913</v>
      </c>
      <c r="AG18022" s="831" t="s">
        <v>2674</v>
      </c>
      <c r="AH18022" s="831" t="s">
        <v>570</v>
      </c>
      <c r="AI18022" s="831">
        <v>0</v>
      </c>
      <c r="AJ18022" s="835">
        <v>42063</v>
      </c>
      <c r="AK18022" s="831">
        <v>138839504.15615386</v>
      </c>
    </row>
    <row r="18023" spans="2:37">
      <c r="B18023" s="834" t="str">
        <f t="shared" si="643"/>
        <v>|||</v>
      </c>
      <c r="H18023" s="835">
        <f t="shared" si="644"/>
        <v>31</v>
      </c>
      <c r="AF18023" s="831" t="s">
        <v>11914</v>
      </c>
      <c r="AG18023" s="831" t="s">
        <v>2674</v>
      </c>
      <c r="AH18023" s="831" t="s">
        <v>571</v>
      </c>
      <c r="AI18023" s="831">
        <v>0</v>
      </c>
      <c r="AJ18023" s="835">
        <v>42063</v>
      </c>
      <c r="AK18023" s="831">
        <v>482774872.10899997</v>
      </c>
    </row>
    <row r="18024" spans="2:37">
      <c r="B18024" s="834" t="str">
        <f t="shared" si="643"/>
        <v>|||</v>
      </c>
      <c r="H18024" s="835">
        <f t="shared" si="644"/>
        <v>31</v>
      </c>
      <c r="AF18024" s="831" t="s">
        <v>11915</v>
      </c>
      <c r="AG18024" s="831" t="s">
        <v>2674</v>
      </c>
      <c r="AH18024" s="831" t="s">
        <v>573</v>
      </c>
      <c r="AI18024" s="831">
        <v>0</v>
      </c>
      <c r="AJ18024" s="835">
        <v>42063</v>
      </c>
      <c r="AK18024" s="831">
        <v>1113466990</v>
      </c>
    </row>
    <row r="18025" spans="2:37">
      <c r="B18025" s="834" t="str">
        <f t="shared" si="643"/>
        <v>|||</v>
      </c>
      <c r="H18025" s="835">
        <f t="shared" si="644"/>
        <v>31</v>
      </c>
      <c r="AF18025" s="831" t="s">
        <v>11916</v>
      </c>
      <c r="AG18025" s="831" t="s">
        <v>2674</v>
      </c>
      <c r="AH18025" s="831" t="s">
        <v>574</v>
      </c>
      <c r="AI18025" s="831">
        <v>0</v>
      </c>
      <c r="AJ18025" s="835">
        <v>42063</v>
      </c>
      <c r="AK18025" s="831">
        <v>874843882.66666663</v>
      </c>
    </row>
    <row r="18026" spans="2:37">
      <c r="B18026" s="834" t="str">
        <f t="shared" si="643"/>
        <v>|||</v>
      </c>
      <c r="H18026" s="835">
        <f t="shared" si="644"/>
        <v>31</v>
      </c>
      <c r="AF18026" s="831" t="s">
        <v>11917</v>
      </c>
      <c r="AG18026" s="831" t="s">
        <v>2674</v>
      </c>
      <c r="AH18026" s="831" t="s">
        <v>575</v>
      </c>
      <c r="AI18026" s="831">
        <v>0</v>
      </c>
      <c r="AJ18026" s="835">
        <v>42063</v>
      </c>
      <c r="AK18026" s="831">
        <v>145923251.33333334</v>
      </c>
    </row>
    <row r="18027" spans="2:37">
      <c r="B18027" s="834" t="str">
        <f t="shared" si="643"/>
        <v>|||</v>
      </c>
      <c r="H18027" s="835">
        <f t="shared" si="644"/>
        <v>31</v>
      </c>
      <c r="AF18027" s="831" t="s">
        <v>11918</v>
      </c>
      <c r="AG18027" s="831" t="s">
        <v>2674</v>
      </c>
      <c r="AH18027" s="831" t="s">
        <v>576</v>
      </c>
      <c r="AI18027" s="831">
        <v>0</v>
      </c>
      <c r="AJ18027" s="835">
        <v>42063</v>
      </c>
      <c r="AK18027" s="831">
        <v>595110401.33333337</v>
      </c>
    </row>
    <row r="18028" spans="2:37">
      <c r="B18028" s="834" t="str">
        <f t="shared" si="643"/>
        <v>|||</v>
      </c>
      <c r="H18028" s="835">
        <f t="shared" si="644"/>
        <v>31</v>
      </c>
      <c r="AF18028" s="831" t="s">
        <v>11919</v>
      </c>
      <c r="AG18028" s="831" t="s">
        <v>2674</v>
      </c>
      <c r="AH18028" s="831" t="s">
        <v>572</v>
      </c>
      <c r="AI18028" s="831">
        <v>0</v>
      </c>
      <c r="AJ18028" s="835">
        <v>42063</v>
      </c>
      <c r="AK18028" s="831">
        <v>33261949</v>
      </c>
    </row>
    <row r="18029" spans="2:37">
      <c r="B18029" s="834" t="str">
        <f t="shared" si="643"/>
        <v>|||</v>
      </c>
      <c r="H18029" s="835">
        <f t="shared" si="644"/>
        <v>31</v>
      </c>
      <c r="AF18029" s="831" t="s">
        <v>11920</v>
      </c>
      <c r="AG18029" s="831" t="s">
        <v>2674</v>
      </c>
      <c r="AH18029" s="831" t="s">
        <v>577</v>
      </c>
      <c r="AI18029" s="831">
        <v>0</v>
      </c>
      <c r="AJ18029" s="835">
        <v>42063</v>
      </c>
      <c r="AK18029" s="831">
        <v>173134660</v>
      </c>
    </row>
    <row r="18030" spans="2:37">
      <c r="B18030" s="834" t="str">
        <f t="shared" si="643"/>
        <v>|||</v>
      </c>
      <c r="H18030" s="835">
        <f t="shared" si="644"/>
        <v>31</v>
      </c>
      <c r="AF18030" s="831" t="s">
        <v>11921</v>
      </c>
      <c r="AG18030" s="831" t="s">
        <v>2674</v>
      </c>
      <c r="AH18030" s="831" t="s">
        <v>3042</v>
      </c>
      <c r="AI18030" s="831">
        <v>0</v>
      </c>
      <c r="AJ18030" s="835">
        <v>42063</v>
      </c>
      <c r="AK18030" s="831">
        <v>-53542458</v>
      </c>
    </row>
    <row r="18031" spans="2:37">
      <c r="B18031" s="834" t="str">
        <f t="shared" si="643"/>
        <v>|||</v>
      </c>
      <c r="H18031" s="835">
        <f t="shared" si="644"/>
        <v>31</v>
      </c>
      <c r="AF18031" s="831" t="s">
        <v>11922</v>
      </c>
      <c r="AG18031" s="831" t="s">
        <v>2674</v>
      </c>
      <c r="AH18031" s="831" t="s">
        <v>3044</v>
      </c>
      <c r="AI18031" s="831">
        <v>0</v>
      </c>
      <c r="AJ18031" s="835">
        <v>42063</v>
      </c>
      <c r="AK18031" s="831">
        <v>-787106</v>
      </c>
    </row>
    <row r="18032" spans="2:37">
      <c r="B18032" s="834" t="str">
        <f t="shared" si="643"/>
        <v>|||</v>
      </c>
      <c r="H18032" s="835">
        <f t="shared" si="644"/>
        <v>31</v>
      </c>
      <c r="AF18032" s="831" t="s">
        <v>11923</v>
      </c>
      <c r="AG18032" s="831" t="s">
        <v>2674</v>
      </c>
      <c r="AH18032" s="831" t="s">
        <v>580</v>
      </c>
      <c r="AI18032" s="831">
        <v>0</v>
      </c>
      <c r="AJ18032" s="835">
        <v>42063</v>
      </c>
      <c r="AK18032" s="831">
        <v>-82473719</v>
      </c>
    </row>
    <row r="18033" spans="2:37">
      <c r="B18033" s="834" t="str">
        <f t="shared" si="643"/>
        <v>|||</v>
      </c>
      <c r="H18033" s="835">
        <f t="shared" si="644"/>
        <v>31</v>
      </c>
      <c r="AF18033" s="831" t="s">
        <v>11924</v>
      </c>
      <c r="AG18033" s="831" t="s">
        <v>2674</v>
      </c>
      <c r="AH18033" s="831" t="s">
        <v>581</v>
      </c>
      <c r="AI18033" s="831">
        <v>0</v>
      </c>
      <c r="AJ18033" s="835">
        <v>42063</v>
      </c>
      <c r="AK18033" s="831">
        <v>11169610</v>
      </c>
    </row>
    <row r="18034" spans="2:37">
      <c r="B18034" s="834" t="str">
        <f t="shared" si="643"/>
        <v>|||</v>
      </c>
      <c r="H18034" s="835">
        <f t="shared" si="644"/>
        <v>31</v>
      </c>
      <c r="AF18034" s="831" t="s">
        <v>11925</v>
      </c>
      <c r="AG18034" s="831" t="s">
        <v>2674</v>
      </c>
      <c r="AH18034" s="831" t="s">
        <v>105</v>
      </c>
      <c r="AI18034" s="831">
        <v>0</v>
      </c>
      <c r="AJ18034" s="835">
        <v>42063</v>
      </c>
      <c r="AK18034" s="831">
        <v>714800530</v>
      </c>
    </row>
    <row r="18035" spans="2:37">
      <c r="B18035" s="834" t="str">
        <f t="shared" si="643"/>
        <v>|||</v>
      </c>
      <c r="H18035" s="835">
        <f t="shared" si="644"/>
        <v>31</v>
      </c>
      <c r="AF18035" s="831" t="s">
        <v>11926</v>
      </c>
      <c r="AG18035" s="831" t="s">
        <v>2674</v>
      </c>
      <c r="AH18035" s="831" t="s">
        <v>3049</v>
      </c>
      <c r="AI18035" s="831">
        <v>0</v>
      </c>
      <c r="AJ18035" s="835">
        <v>42063</v>
      </c>
      <c r="AK18035" s="831">
        <v>1078776977</v>
      </c>
    </row>
    <row r="18036" spans="2:37">
      <c r="B18036" s="834" t="str">
        <f t="shared" si="643"/>
        <v>|||</v>
      </c>
      <c r="H18036" s="835">
        <f t="shared" si="644"/>
        <v>31</v>
      </c>
      <c r="AF18036" s="831" t="s">
        <v>11927</v>
      </c>
      <c r="AG18036" s="831" t="s">
        <v>2674</v>
      </c>
      <c r="AH18036" s="831" t="s">
        <v>103</v>
      </c>
      <c r="AI18036" s="831">
        <v>0</v>
      </c>
      <c r="AJ18036" s="835">
        <v>42063</v>
      </c>
      <c r="AK18036" s="831">
        <v>363976447</v>
      </c>
    </row>
    <row r="18037" spans="2:37">
      <c r="B18037" s="834" t="str">
        <f t="shared" si="643"/>
        <v>|||</v>
      </c>
      <c r="H18037" s="835">
        <f t="shared" si="644"/>
        <v>31</v>
      </c>
      <c r="AF18037" s="831" t="s">
        <v>11928</v>
      </c>
      <c r="AG18037" s="831" t="s">
        <v>2674</v>
      </c>
      <c r="AH18037" s="831" t="s">
        <v>182</v>
      </c>
      <c r="AI18037" s="831">
        <v>0</v>
      </c>
      <c r="AJ18037" s="835">
        <v>42063</v>
      </c>
      <c r="AK18037" s="831">
        <v>91149096</v>
      </c>
    </row>
    <row r="18038" spans="2:37">
      <c r="B18038" s="834" t="str">
        <f t="shared" si="643"/>
        <v>|||</v>
      </c>
      <c r="H18038" s="835">
        <f t="shared" si="644"/>
        <v>31</v>
      </c>
      <c r="AF18038" s="831" t="s">
        <v>11929</v>
      </c>
      <c r="AG18038" s="831" t="s">
        <v>2674</v>
      </c>
      <c r="AH18038" s="831" t="s">
        <v>6600</v>
      </c>
      <c r="AI18038" s="831">
        <v>0</v>
      </c>
      <c r="AJ18038" s="835">
        <v>42063</v>
      </c>
      <c r="AK18038" s="831">
        <v>33261949</v>
      </c>
    </row>
    <row r="18039" spans="2:37">
      <c r="B18039" s="834" t="str">
        <f t="shared" si="643"/>
        <v>|||</v>
      </c>
      <c r="H18039" s="835">
        <f t="shared" si="644"/>
        <v>31</v>
      </c>
      <c r="AF18039" s="831" t="s">
        <v>11930</v>
      </c>
      <c r="AG18039" s="831" t="s">
        <v>2674</v>
      </c>
      <c r="AH18039" s="831" t="s">
        <v>6602</v>
      </c>
      <c r="AI18039" s="831">
        <v>0</v>
      </c>
      <c r="AJ18039" s="835">
        <v>42063</v>
      </c>
      <c r="AK18039" s="831">
        <v>-1907756</v>
      </c>
    </row>
    <row r="18040" spans="2:37">
      <c r="B18040" s="834" t="str">
        <f t="shared" si="643"/>
        <v>|||</v>
      </c>
      <c r="H18040" s="835">
        <f t="shared" si="644"/>
        <v>31</v>
      </c>
      <c r="AF18040" s="831" t="s">
        <v>11931</v>
      </c>
      <c r="AG18040" s="831" t="s">
        <v>2674</v>
      </c>
      <c r="AH18040" s="831" t="s">
        <v>650</v>
      </c>
      <c r="AI18040" s="831">
        <v>0</v>
      </c>
      <c r="AJ18040" s="835">
        <v>42063</v>
      </c>
      <c r="AK18040" s="831">
        <v>309129053.2630769</v>
      </c>
    </row>
    <row r="18041" spans="2:37">
      <c r="B18041" s="834" t="str">
        <f t="shared" si="643"/>
        <v>|||</v>
      </c>
      <c r="H18041" s="835">
        <f t="shared" si="644"/>
        <v>31</v>
      </c>
      <c r="AF18041" s="831" t="s">
        <v>11932</v>
      </c>
      <c r="AG18041" s="831" t="s">
        <v>2674</v>
      </c>
      <c r="AH18041" s="831" t="s">
        <v>655</v>
      </c>
      <c r="AI18041" s="831">
        <v>0</v>
      </c>
      <c r="AJ18041" s="835">
        <v>42063</v>
      </c>
      <c r="AK18041" s="831">
        <v>7002831</v>
      </c>
    </row>
    <row r="18042" spans="2:37">
      <c r="B18042" s="834" t="str">
        <f t="shared" si="643"/>
        <v>|||</v>
      </c>
      <c r="H18042" s="835">
        <f t="shared" si="644"/>
        <v>31</v>
      </c>
      <c r="AF18042" s="831" t="s">
        <v>11933</v>
      </c>
      <c r="AG18042" s="831" t="s">
        <v>2674</v>
      </c>
      <c r="AH18042" s="831" t="s">
        <v>546</v>
      </c>
      <c r="AI18042" s="831">
        <v>0</v>
      </c>
      <c r="AJ18042" s="835">
        <v>42094</v>
      </c>
      <c r="AK18042" s="831">
        <v>925259190</v>
      </c>
    </row>
    <row r="18043" spans="2:37">
      <c r="B18043" s="834" t="str">
        <f t="shared" si="643"/>
        <v>|||</v>
      </c>
      <c r="H18043" s="835">
        <f t="shared" si="644"/>
        <v>31</v>
      </c>
      <c r="AF18043" s="831" t="s">
        <v>11934</v>
      </c>
      <c r="AG18043" s="831" t="s">
        <v>2674</v>
      </c>
      <c r="AH18043" s="831" t="s">
        <v>370</v>
      </c>
      <c r="AI18043" s="831">
        <v>0</v>
      </c>
      <c r="AJ18043" s="835">
        <v>42094</v>
      </c>
      <c r="AK18043" s="831">
        <v>1161484479</v>
      </c>
    </row>
    <row r="18044" spans="2:37">
      <c r="B18044" s="834" t="str">
        <f t="shared" si="643"/>
        <v>|||</v>
      </c>
      <c r="H18044" s="835">
        <f t="shared" si="644"/>
        <v>31</v>
      </c>
      <c r="AF18044" s="831" t="s">
        <v>11935</v>
      </c>
      <c r="AG18044" s="831" t="s">
        <v>2674</v>
      </c>
      <c r="AH18044" s="831" t="s">
        <v>126</v>
      </c>
      <c r="AI18044" s="831">
        <v>0</v>
      </c>
      <c r="AJ18044" s="835">
        <v>42094</v>
      </c>
      <c r="AK18044" s="831">
        <v>147807134</v>
      </c>
    </row>
    <row r="18045" spans="2:37">
      <c r="B18045" s="834" t="str">
        <f t="shared" si="643"/>
        <v>|||</v>
      </c>
      <c r="H18045" s="835">
        <f t="shared" si="644"/>
        <v>31</v>
      </c>
      <c r="AF18045" s="831" t="s">
        <v>11936</v>
      </c>
      <c r="AG18045" s="831" t="s">
        <v>2674</v>
      </c>
      <c r="AH18045" s="831" t="s">
        <v>268</v>
      </c>
      <c r="AI18045" s="831">
        <v>0</v>
      </c>
      <c r="AJ18045" s="835">
        <v>42094</v>
      </c>
      <c r="AK18045" s="831">
        <v>2398849</v>
      </c>
    </row>
    <row r="18046" spans="2:37">
      <c r="B18046" s="834" t="str">
        <f t="shared" si="643"/>
        <v>|||</v>
      </c>
      <c r="H18046" s="835">
        <f t="shared" si="644"/>
        <v>31</v>
      </c>
      <c r="AF18046" s="831" t="s">
        <v>11937</v>
      </c>
      <c r="AG18046" s="831" t="s">
        <v>2674</v>
      </c>
      <c r="AH18046" s="831" t="s">
        <v>547</v>
      </c>
      <c r="AI18046" s="831">
        <v>0</v>
      </c>
      <c r="AJ18046" s="835">
        <v>42094</v>
      </c>
      <c r="AK18046" s="831">
        <v>1044609243</v>
      </c>
    </row>
    <row r="18047" spans="2:37">
      <c r="B18047" s="834" t="str">
        <f t="shared" si="643"/>
        <v>|||</v>
      </c>
      <c r="H18047" s="835">
        <f t="shared" si="644"/>
        <v>31</v>
      </c>
      <c r="AF18047" s="831" t="s">
        <v>11938</v>
      </c>
      <c r="AG18047" s="831" t="s">
        <v>2674</v>
      </c>
      <c r="AH18047" s="831" t="s">
        <v>548</v>
      </c>
      <c r="AI18047" s="831">
        <v>0</v>
      </c>
      <c r="AJ18047" s="835">
        <v>42094</v>
      </c>
      <c r="AK18047" s="831">
        <v>148860224</v>
      </c>
    </row>
    <row r="18048" spans="2:37">
      <c r="B18048" s="834" t="str">
        <f t="shared" si="643"/>
        <v>|||</v>
      </c>
      <c r="H18048" s="835">
        <f t="shared" si="644"/>
        <v>31</v>
      </c>
      <c r="AF18048" s="831" t="s">
        <v>11939</v>
      </c>
      <c r="AG18048" s="831" t="s">
        <v>2674</v>
      </c>
      <c r="AH18048" s="831" t="s">
        <v>549</v>
      </c>
      <c r="AI18048" s="831">
        <v>0</v>
      </c>
      <c r="AJ18048" s="835">
        <v>42094</v>
      </c>
      <c r="AK18048" s="831">
        <v>664153787</v>
      </c>
    </row>
    <row r="18049" spans="2:37">
      <c r="B18049" s="834" t="str">
        <f t="shared" si="643"/>
        <v>|||</v>
      </c>
      <c r="H18049" s="835">
        <f t="shared" si="644"/>
        <v>31</v>
      </c>
      <c r="AF18049" s="831" t="s">
        <v>11940</v>
      </c>
      <c r="AG18049" s="831" t="s">
        <v>2674</v>
      </c>
      <c r="AH18049" s="831" t="s">
        <v>192</v>
      </c>
      <c r="AI18049" s="831">
        <v>0</v>
      </c>
      <c r="AJ18049" s="835">
        <v>42094</v>
      </c>
      <c r="AK18049" s="831">
        <v>-15332196</v>
      </c>
    </row>
    <row r="18050" spans="2:37">
      <c r="B18050" s="834" t="str">
        <f t="shared" si="643"/>
        <v>|||</v>
      </c>
      <c r="H18050" s="835">
        <f t="shared" si="644"/>
        <v>31</v>
      </c>
      <c r="AF18050" s="831" t="s">
        <v>11941</v>
      </c>
      <c r="AG18050" s="831" t="s">
        <v>2674</v>
      </c>
      <c r="AH18050" s="831" t="s">
        <v>558</v>
      </c>
      <c r="AI18050" s="831">
        <v>0</v>
      </c>
      <c r="AJ18050" s="835">
        <v>42094</v>
      </c>
      <c r="AK18050" s="831">
        <v>1013677345</v>
      </c>
    </row>
    <row r="18051" spans="2:37">
      <c r="B18051" s="834" t="str">
        <f t="shared" si="643"/>
        <v>|||</v>
      </c>
      <c r="H18051" s="835">
        <f t="shared" si="644"/>
        <v>31</v>
      </c>
      <c r="AF18051" s="831" t="s">
        <v>11942</v>
      </c>
      <c r="AG18051" s="831" t="s">
        <v>2674</v>
      </c>
      <c r="AH18051" s="831" t="s">
        <v>65</v>
      </c>
      <c r="AI18051" s="831">
        <v>0</v>
      </c>
      <c r="AJ18051" s="835">
        <v>42094</v>
      </c>
      <c r="AK18051" s="831">
        <v>48515498</v>
      </c>
    </row>
    <row r="18052" spans="2:37">
      <c r="B18052" s="834" t="str">
        <f t="shared" si="643"/>
        <v>|||</v>
      </c>
      <c r="H18052" s="835">
        <f t="shared" si="644"/>
        <v>31</v>
      </c>
      <c r="AF18052" s="831" t="s">
        <v>11943</v>
      </c>
      <c r="AG18052" s="831" t="s">
        <v>2674</v>
      </c>
      <c r="AH18052" s="831" t="s">
        <v>89</v>
      </c>
      <c r="AI18052" s="831">
        <v>0</v>
      </c>
      <c r="AJ18052" s="835">
        <v>42094</v>
      </c>
      <c r="AK18052" s="831">
        <v>153039</v>
      </c>
    </row>
    <row r="18053" spans="2:37">
      <c r="B18053" s="834" t="str">
        <f t="shared" si="643"/>
        <v>|||</v>
      </c>
      <c r="H18053" s="835">
        <f t="shared" si="644"/>
        <v>31</v>
      </c>
      <c r="AF18053" s="831" t="s">
        <v>11944</v>
      </c>
      <c r="AG18053" s="831" t="s">
        <v>2674</v>
      </c>
      <c r="AH18053" s="831" t="s">
        <v>557</v>
      </c>
      <c r="AI18053" s="831">
        <v>0</v>
      </c>
      <c r="AJ18053" s="835">
        <v>42094</v>
      </c>
      <c r="AK18053" s="831">
        <v>174874</v>
      </c>
    </row>
    <row r="18054" spans="2:37">
      <c r="B18054" s="834" t="str">
        <f t="shared" si="643"/>
        <v>|||</v>
      </c>
      <c r="H18054" s="835">
        <f t="shared" si="644"/>
        <v>31</v>
      </c>
      <c r="AF18054" s="831" t="s">
        <v>11945</v>
      </c>
      <c r="AG18054" s="831" t="s">
        <v>2674</v>
      </c>
      <c r="AH18054" s="831" t="s">
        <v>29</v>
      </c>
      <c r="AI18054" s="831">
        <v>0</v>
      </c>
      <c r="AJ18054" s="835">
        <v>42094</v>
      </c>
      <c r="AK18054" s="831">
        <v>10801248</v>
      </c>
    </row>
    <row r="18055" spans="2:37">
      <c r="B18055" s="834" t="str">
        <f t="shared" si="643"/>
        <v>|||</v>
      </c>
      <c r="H18055" s="835">
        <f t="shared" si="644"/>
        <v>31</v>
      </c>
      <c r="AF18055" s="831" t="s">
        <v>11946</v>
      </c>
      <c r="AG18055" s="831" t="s">
        <v>2674</v>
      </c>
      <c r="AH18055" s="831" t="s">
        <v>2688</v>
      </c>
      <c r="AI18055" s="831">
        <v>0</v>
      </c>
      <c r="AJ18055" s="835">
        <v>42094</v>
      </c>
      <c r="AK18055" s="831">
        <v>88178967</v>
      </c>
    </row>
    <row r="18056" spans="2:37">
      <c r="B18056" s="834" t="str">
        <f t="shared" si="643"/>
        <v>|||</v>
      </c>
      <c r="H18056" s="835">
        <f t="shared" si="644"/>
        <v>31</v>
      </c>
      <c r="AF18056" s="831" t="s">
        <v>11947</v>
      </c>
      <c r="AG18056" s="831" t="s">
        <v>2674</v>
      </c>
      <c r="AH18056" s="831" t="s">
        <v>556</v>
      </c>
      <c r="AI18056" s="831">
        <v>0</v>
      </c>
      <c r="AJ18056" s="835">
        <v>42094</v>
      </c>
      <c r="AK18056" s="831">
        <v>11412135</v>
      </c>
    </row>
    <row r="18057" spans="2:37">
      <c r="B18057" s="834" t="str">
        <f t="shared" si="643"/>
        <v>|||</v>
      </c>
      <c r="H18057" s="835">
        <f t="shared" si="644"/>
        <v>31</v>
      </c>
      <c r="AF18057" s="831" t="s">
        <v>11948</v>
      </c>
      <c r="AG18057" s="831" t="s">
        <v>2674</v>
      </c>
      <c r="AH18057" s="831" t="s">
        <v>555</v>
      </c>
      <c r="AI18057" s="831">
        <v>0</v>
      </c>
      <c r="AJ18057" s="835">
        <v>42094</v>
      </c>
      <c r="AK18057" s="831">
        <v>794294654</v>
      </c>
    </row>
    <row r="18058" spans="2:37">
      <c r="B18058" s="834" t="str">
        <f t="shared" si="643"/>
        <v>|||</v>
      </c>
      <c r="H18058" s="835">
        <f t="shared" si="644"/>
        <v>31</v>
      </c>
      <c r="AF18058" s="831" t="s">
        <v>11949</v>
      </c>
      <c r="AG18058" s="831" t="s">
        <v>2674</v>
      </c>
      <c r="AH18058" s="831" t="s">
        <v>554</v>
      </c>
      <c r="AI18058" s="831">
        <v>0</v>
      </c>
      <c r="AJ18058" s="835">
        <v>42094</v>
      </c>
      <c r="AK18058" s="831">
        <v>796448359</v>
      </c>
    </row>
    <row r="18059" spans="2:37">
      <c r="B18059" s="834" t="str">
        <f t="shared" si="643"/>
        <v>|||</v>
      </c>
      <c r="H18059" s="835">
        <f t="shared" si="644"/>
        <v>31</v>
      </c>
      <c r="AF18059" s="831" t="s">
        <v>11950</v>
      </c>
      <c r="AG18059" s="831" t="s">
        <v>2674</v>
      </c>
      <c r="AH18059" s="831" t="s">
        <v>553</v>
      </c>
      <c r="AI18059" s="831">
        <v>0</v>
      </c>
      <c r="AJ18059" s="835">
        <v>42094</v>
      </c>
      <c r="AK18059" s="831">
        <v>52425000</v>
      </c>
    </row>
    <row r="18060" spans="2:37">
      <c r="B18060" s="834" t="str">
        <f t="shared" si="643"/>
        <v>|||</v>
      </c>
      <c r="H18060" s="835">
        <f t="shared" si="644"/>
        <v>31</v>
      </c>
      <c r="AF18060" s="831" t="s">
        <v>11951</v>
      </c>
      <c r="AG18060" s="831" t="s">
        <v>2674</v>
      </c>
      <c r="AH18060" s="831" t="s">
        <v>552</v>
      </c>
      <c r="AI18060" s="831">
        <v>0</v>
      </c>
      <c r="AJ18060" s="835">
        <v>42094</v>
      </c>
      <c r="AK18060" s="831">
        <v>0</v>
      </c>
    </row>
    <row r="18061" spans="2:37">
      <c r="B18061" s="834" t="str">
        <f t="shared" si="643"/>
        <v>|||</v>
      </c>
      <c r="H18061" s="835">
        <f t="shared" si="644"/>
        <v>31</v>
      </c>
      <c r="AF18061" s="831" t="s">
        <v>11952</v>
      </c>
      <c r="AG18061" s="831" t="s">
        <v>2674</v>
      </c>
      <c r="AH18061" s="831" t="s">
        <v>551</v>
      </c>
      <c r="AI18061" s="831">
        <v>0</v>
      </c>
      <c r="AJ18061" s="835">
        <v>42094</v>
      </c>
      <c r="AK18061" s="831">
        <v>8543411</v>
      </c>
    </row>
    <row r="18062" spans="2:37">
      <c r="B18062" s="834" t="str">
        <f t="shared" si="643"/>
        <v>|||</v>
      </c>
      <c r="H18062" s="835">
        <f t="shared" si="644"/>
        <v>31</v>
      </c>
      <c r="AF18062" s="831" t="s">
        <v>11953</v>
      </c>
      <c r="AG18062" s="831" t="s">
        <v>2674</v>
      </c>
      <c r="AH18062" s="831" t="s">
        <v>550</v>
      </c>
      <c r="AI18062" s="831">
        <v>0</v>
      </c>
      <c r="AJ18062" s="835">
        <v>42094</v>
      </c>
      <c r="AK18062" s="831">
        <v>143500530</v>
      </c>
    </row>
    <row r="18063" spans="2:37">
      <c r="B18063" s="834" t="str">
        <f t="shared" si="643"/>
        <v>|||</v>
      </c>
      <c r="H18063" s="835">
        <f t="shared" si="644"/>
        <v>31</v>
      </c>
      <c r="AF18063" s="831" t="s">
        <v>11954</v>
      </c>
      <c r="AG18063" s="831" t="s">
        <v>2674</v>
      </c>
      <c r="AH18063" s="831" t="s">
        <v>562</v>
      </c>
      <c r="AI18063" s="831">
        <v>0</v>
      </c>
      <c r="AJ18063" s="835">
        <v>42094</v>
      </c>
      <c r="AK18063" s="831">
        <v>1.0495000000000001</v>
      </c>
    </row>
    <row r="18064" spans="2:37">
      <c r="B18064" s="834" t="str">
        <f t="shared" si="643"/>
        <v>|||</v>
      </c>
      <c r="H18064" s="835">
        <f t="shared" si="644"/>
        <v>31</v>
      </c>
      <c r="AF18064" s="831" t="s">
        <v>11955</v>
      </c>
      <c r="AG18064" s="831" t="s">
        <v>2674</v>
      </c>
      <c r="AH18064" s="831" t="s">
        <v>2698</v>
      </c>
      <c r="AI18064" s="831">
        <v>0</v>
      </c>
      <c r="AJ18064" s="835">
        <v>42094</v>
      </c>
      <c r="AK18064" s="831">
        <v>1.04575</v>
      </c>
    </row>
    <row r="18065" spans="2:37">
      <c r="B18065" s="834" t="str">
        <f t="shared" ref="B18065:B18128" si="645">C18065&amp;"|"&amp;D18065&amp;"|"&amp;E18065&amp;"|"&amp;F18065</f>
        <v>|||</v>
      </c>
      <c r="H18065" s="835">
        <f t="shared" ref="H18065:H18128" si="646">EOMONTH(L18065,0)</f>
        <v>31</v>
      </c>
      <c r="AF18065" s="831" t="s">
        <v>11956</v>
      </c>
      <c r="AG18065" s="831" t="s">
        <v>2674</v>
      </c>
      <c r="AH18065" s="831" t="s">
        <v>560</v>
      </c>
      <c r="AI18065" s="831">
        <v>0</v>
      </c>
      <c r="AJ18065" s="835">
        <v>42094</v>
      </c>
      <c r="AK18065" s="831">
        <v>0.95988333333333331</v>
      </c>
    </row>
    <row r="18066" spans="2:37">
      <c r="B18066" s="834" t="str">
        <f t="shared" si="645"/>
        <v>|||</v>
      </c>
      <c r="H18066" s="835">
        <f t="shared" si="646"/>
        <v>31</v>
      </c>
      <c r="AF18066" s="831" t="s">
        <v>11957</v>
      </c>
      <c r="AG18066" s="831" t="s">
        <v>2674</v>
      </c>
      <c r="AH18066" s="831" t="s">
        <v>559</v>
      </c>
      <c r="AI18066" s="831">
        <v>0</v>
      </c>
      <c r="AJ18066" s="835">
        <v>42094</v>
      </c>
      <c r="AK18066" s="831">
        <v>0.82766666666666655</v>
      </c>
    </row>
    <row r="18067" spans="2:37">
      <c r="B18067" s="834" t="str">
        <f t="shared" si="645"/>
        <v>|||</v>
      </c>
      <c r="H18067" s="835">
        <f t="shared" si="646"/>
        <v>31</v>
      </c>
      <c r="AF18067" s="831" t="s">
        <v>11958</v>
      </c>
      <c r="AG18067" s="831" t="s">
        <v>2674</v>
      </c>
      <c r="AH18067" s="831" t="s">
        <v>568</v>
      </c>
      <c r="AI18067" s="831">
        <v>0</v>
      </c>
      <c r="AJ18067" s="835">
        <v>42094</v>
      </c>
      <c r="AK18067" s="831">
        <v>785705621.53846157</v>
      </c>
    </row>
    <row r="18068" spans="2:37">
      <c r="B18068" s="834" t="str">
        <f t="shared" si="645"/>
        <v>|||</v>
      </c>
      <c r="H18068" s="835">
        <f t="shared" si="646"/>
        <v>31</v>
      </c>
      <c r="AF18068" s="831" t="s">
        <v>11959</v>
      </c>
      <c r="AG18068" s="831" t="s">
        <v>2674</v>
      </c>
      <c r="AH18068" s="831" t="s">
        <v>569</v>
      </c>
      <c r="AI18068" s="831">
        <v>0</v>
      </c>
      <c r="AJ18068" s="835">
        <v>42094</v>
      </c>
      <c r="AK18068" s="831">
        <v>984393199.30769229</v>
      </c>
    </row>
    <row r="18069" spans="2:37">
      <c r="B18069" s="834" t="str">
        <f t="shared" si="645"/>
        <v>|||</v>
      </c>
      <c r="H18069" s="835">
        <f t="shared" si="646"/>
        <v>31</v>
      </c>
      <c r="AF18069" s="831" t="s">
        <v>11960</v>
      </c>
      <c r="AG18069" s="831" t="s">
        <v>2674</v>
      </c>
      <c r="AH18069" s="831" t="s">
        <v>570</v>
      </c>
      <c r="AI18069" s="831">
        <v>0</v>
      </c>
      <c r="AJ18069" s="835">
        <v>42094</v>
      </c>
      <c r="AK18069" s="831">
        <v>140931158.46384615</v>
      </c>
    </row>
    <row r="18070" spans="2:37">
      <c r="B18070" s="834" t="str">
        <f t="shared" si="645"/>
        <v>|||</v>
      </c>
      <c r="H18070" s="835">
        <f t="shared" si="646"/>
        <v>31</v>
      </c>
      <c r="AF18070" s="831" t="s">
        <v>11961</v>
      </c>
      <c r="AG18070" s="831" t="s">
        <v>2674</v>
      </c>
      <c r="AH18070" s="831" t="s">
        <v>571</v>
      </c>
      <c r="AI18070" s="831">
        <v>0</v>
      </c>
      <c r="AJ18070" s="835">
        <v>42094</v>
      </c>
      <c r="AK18070" s="831">
        <v>502500066.26284611</v>
      </c>
    </row>
    <row r="18071" spans="2:37">
      <c r="B18071" s="834" t="str">
        <f t="shared" si="645"/>
        <v>|||</v>
      </c>
      <c r="H18071" s="835">
        <f t="shared" si="646"/>
        <v>31</v>
      </c>
      <c r="AF18071" s="831" t="s">
        <v>11962</v>
      </c>
      <c r="AG18071" s="831" t="s">
        <v>2674</v>
      </c>
      <c r="AH18071" s="831" t="s">
        <v>573</v>
      </c>
      <c r="AI18071" s="831">
        <v>0</v>
      </c>
      <c r="AJ18071" s="835">
        <v>42094</v>
      </c>
      <c r="AK18071" s="831">
        <v>1125471362.25</v>
      </c>
    </row>
    <row r="18072" spans="2:37">
      <c r="B18072" s="834" t="str">
        <f t="shared" si="645"/>
        <v>|||</v>
      </c>
      <c r="H18072" s="835">
        <f t="shared" si="646"/>
        <v>31</v>
      </c>
      <c r="AF18072" s="831" t="s">
        <v>11963</v>
      </c>
      <c r="AG18072" s="831" t="s">
        <v>2674</v>
      </c>
      <c r="AH18072" s="831" t="s">
        <v>574</v>
      </c>
      <c r="AI18072" s="831">
        <v>0</v>
      </c>
      <c r="AJ18072" s="835">
        <v>42094</v>
      </c>
      <c r="AK18072" s="831">
        <v>887447709.5</v>
      </c>
    </row>
    <row r="18073" spans="2:37">
      <c r="B18073" s="834" t="str">
        <f t="shared" si="645"/>
        <v>|||</v>
      </c>
      <c r="H18073" s="835">
        <f t="shared" si="646"/>
        <v>31</v>
      </c>
      <c r="AF18073" s="831" t="s">
        <v>11964</v>
      </c>
      <c r="AG18073" s="831" t="s">
        <v>2674</v>
      </c>
      <c r="AH18073" s="831" t="s">
        <v>575</v>
      </c>
      <c r="AI18073" s="831">
        <v>0</v>
      </c>
      <c r="AJ18073" s="835">
        <v>42094</v>
      </c>
      <c r="AK18073" s="831">
        <v>146394222</v>
      </c>
    </row>
    <row r="18074" spans="2:37">
      <c r="B18074" s="834" t="str">
        <f t="shared" si="645"/>
        <v>|||</v>
      </c>
      <c r="H18074" s="835">
        <f t="shared" si="646"/>
        <v>31</v>
      </c>
      <c r="AF18074" s="831" t="s">
        <v>11965</v>
      </c>
      <c r="AG18074" s="831" t="s">
        <v>2674</v>
      </c>
      <c r="AH18074" s="831" t="s">
        <v>576</v>
      </c>
      <c r="AI18074" s="831">
        <v>0</v>
      </c>
      <c r="AJ18074" s="835">
        <v>42094</v>
      </c>
      <c r="AK18074" s="831">
        <v>606715260</v>
      </c>
    </row>
    <row r="18075" spans="2:37">
      <c r="B18075" s="834" t="str">
        <f t="shared" si="645"/>
        <v>|||</v>
      </c>
      <c r="H18075" s="835">
        <f t="shared" si="646"/>
        <v>31</v>
      </c>
      <c r="AF18075" s="831" t="s">
        <v>11966</v>
      </c>
      <c r="AG18075" s="831" t="s">
        <v>2674</v>
      </c>
      <c r="AH18075" s="831" t="s">
        <v>572</v>
      </c>
      <c r="AI18075" s="831">
        <v>0</v>
      </c>
      <c r="AJ18075" s="835">
        <v>42094</v>
      </c>
      <c r="AK18075" s="831">
        <v>36560084</v>
      </c>
    </row>
    <row r="18076" spans="2:37">
      <c r="B18076" s="834" t="str">
        <f t="shared" si="645"/>
        <v>|||</v>
      </c>
      <c r="H18076" s="835">
        <f t="shared" si="646"/>
        <v>31</v>
      </c>
      <c r="AF18076" s="831" t="s">
        <v>11967</v>
      </c>
      <c r="AG18076" s="831" t="s">
        <v>2674</v>
      </c>
      <c r="AH18076" s="831" t="s">
        <v>577</v>
      </c>
      <c r="AI18076" s="831">
        <v>0</v>
      </c>
      <c r="AJ18076" s="835">
        <v>42094</v>
      </c>
      <c r="AK18076" s="831">
        <v>179877214</v>
      </c>
    </row>
    <row r="18077" spans="2:37">
      <c r="B18077" s="834" t="str">
        <f t="shared" si="645"/>
        <v>|||</v>
      </c>
      <c r="H18077" s="835">
        <f t="shared" si="646"/>
        <v>31</v>
      </c>
      <c r="AF18077" s="831" t="s">
        <v>11968</v>
      </c>
      <c r="AG18077" s="831" t="s">
        <v>2674</v>
      </c>
      <c r="AH18077" s="831" t="s">
        <v>3042</v>
      </c>
      <c r="AI18077" s="831">
        <v>0</v>
      </c>
      <c r="AJ18077" s="835">
        <v>42094</v>
      </c>
      <c r="AK18077" s="831">
        <v>-55010221</v>
      </c>
    </row>
    <row r="18078" spans="2:37">
      <c r="B18078" s="834" t="str">
        <f t="shared" si="645"/>
        <v>|||</v>
      </c>
      <c r="H18078" s="835">
        <f t="shared" si="646"/>
        <v>31</v>
      </c>
      <c r="AF18078" s="831" t="s">
        <v>11969</v>
      </c>
      <c r="AG18078" s="831" t="s">
        <v>2674</v>
      </c>
      <c r="AH18078" s="831" t="s">
        <v>3044</v>
      </c>
      <c r="AI18078" s="831">
        <v>0</v>
      </c>
      <c r="AJ18078" s="835">
        <v>42094</v>
      </c>
      <c r="AK18078" s="831">
        <v>-2080886</v>
      </c>
    </row>
    <row r="18079" spans="2:37">
      <c r="B18079" s="834" t="str">
        <f t="shared" si="645"/>
        <v>|||</v>
      </c>
      <c r="H18079" s="835">
        <f t="shared" si="646"/>
        <v>31</v>
      </c>
      <c r="AF18079" s="831" t="s">
        <v>11970</v>
      </c>
      <c r="AG18079" s="831" t="s">
        <v>2674</v>
      </c>
      <c r="AH18079" s="831" t="s">
        <v>580</v>
      </c>
      <c r="AI18079" s="831">
        <v>0</v>
      </c>
      <c r="AJ18079" s="835">
        <v>42094</v>
      </c>
      <c r="AK18079" s="831">
        <v>-82773578</v>
      </c>
    </row>
    <row r="18080" spans="2:37">
      <c r="B18080" s="834" t="str">
        <f t="shared" si="645"/>
        <v>|||</v>
      </c>
      <c r="H18080" s="835">
        <f t="shared" si="646"/>
        <v>31</v>
      </c>
      <c r="AF18080" s="831" t="s">
        <v>11971</v>
      </c>
      <c r="AG18080" s="831" t="s">
        <v>2674</v>
      </c>
      <c r="AH18080" s="831" t="s">
        <v>581</v>
      </c>
      <c r="AI18080" s="831">
        <v>0</v>
      </c>
      <c r="AJ18080" s="835">
        <v>42094</v>
      </c>
      <c r="AK18080" s="831">
        <v>10684351</v>
      </c>
    </row>
    <row r="18081" spans="2:37">
      <c r="B18081" s="834" t="str">
        <f t="shared" si="645"/>
        <v>|||</v>
      </c>
      <c r="H18081" s="835">
        <f t="shared" si="646"/>
        <v>31</v>
      </c>
      <c r="AF18081" s="831" t="s">
        <v>11972</v>
      </c>
      <c r="AG18081" s="831" t="s">
        <v>2674</v>
      </c>
      <c r="AH18081" s="831" t="s">
        <v>105</v>
      </c>
      <c r="AI18081" s="831">
        <v>0</v>
      </c>
      <c r="AJ18081" s="835">
        <v>42094</v>
      </c>
      <c r="AK18081" s="831">
        <v>641529836</v>
      </c>
    </row>
    <row r="18082" spans="2:37">
      <c r="B18082" s="834" t="str">
        <f t="shared" si="645"/>
        <v>|||</v>
      </c>
      <c r="H18082" s="835">
        <f t="shared" si="646"/>
        <v>31</v>
      </c>
      <c r="AF18082" s="831" t="s">
        <v>11973</v>
      </c>
      <c r="AG18082" s="831" t="s">
        <v>2674</v>
      </c>
      <c r="AH18082" s="831" t="s">
        <v>3049</v>
      </c>
      <c r="AI18082" s="831">
        <v>0</v>
      </c>
      <c r="AJ18082" s="835">
        <v>42094</v>
      </c>
      <c r="AK18082" s="831">
        <v>986480670</v>
      </c>
    </row>
    <row r="18083" spans="2:37">
      <c r="B18083" s="834" t="str">
        <f t="shared" si="645"/>
        <v>|||</v>
      </c>
      <c r="H18083" s="835">
        <f t="shared" si="646"/>
        <v>31</v>
      </c>
      <c r="AF18083" s="831" t="s">
        <v>11974</v>
      </c>
      <c r="AG18083" s="831" t="s">
        <v>2674</v>
      </c>
      <c r="AH18083" s="831" t="s">
        <v>103</v>
      </c>
      <c r="AI18083" s="831">
        <v>0</v>
      </c>
      <c r="AJ18083" s="835">
        <v>42094</v>
      </c>
      <c r="AK18083" s="831">
        <v>344950834</v>
      </c>
    </row>
    <row r="18084" spans="2:37">
      <c r="B18084" s="834" t="str">
        <f t="shared" si="645"/>
        <v>|||</v>
      </c>
      <c r="H18084" s="835">
        <f t="shared" si="646"/>
        <v>31</v>
      </c>
      <c r="AF18084" s="831" t="s">
        <v>11975</v>
      </c>
      <c r="AG18084" s="831" t="s">
        <v>2674</v>
      </c>
      <c r="AH18084" s="831" t="s">
        <v>182</v>
      </c>
      <c r="AI18084" s="831">
        <v>0</v>
      </c>
      <c r="AJ18084" s="835">
        <v>42094</v>
      </c>
      <c r="AK18084" s="831">
        <v>85077948</v>
      </c>
    </row>
    <row r="18085" spans="2:37">
      <c r="B18085" s="834" t="str">
        <f t="shared" si="645"/>
        <v>|||</v>
      </c>
      <c r="H18085" s="835">
        <f t="shared" si="646"/>
        <v>31</v>
      </c>
      <c r="AF18085" s="831" t="s">
        <v>11976</v>
      </c>
      <c r="AG18085" s="831" t="s">
        <v>2674</v>
      </c>
      <c r="AH18085" s="831" t="s">
        <v>6600</v>
      </c>
      <c r="AI18085" s="831">
        <v>0</v>
      </c>
      <c r="AJ18085" s="835">
        <v>42094</v>
      </c>
      <c r="AK18085" s="831">
        <v>36560084</v>
      </c>
    </row>
    <row r="18086" spans="2:37">
      <c r="B18086" s="834" t="str">
        <f t="shared" si="645"/>
        <v>|||</v>
      </c>
      <c r="H18086" s="835">
        <f t="shared" si="646"/>
        <v>31</v>
      </c>
      <c r="AF18086" s="831" t="s">
        <v>11977</v>
      </c>
      <c r="AG18086" s="831" t="s">
        <v>2674</v>
      </c>
      <c r="AH18086" s="831" t="s">
        <v>6602</v>
      </c>
      <c r="AI18086" s="831">
        <v>0</v>
      </c>
      <c r="AJ18086" s="835">
        <v>42094</v>
      </c>
      <c r="AK18086" s="831">
        <v>2398849</v>
      </c>
    </row>
    <row r="18087" spans="2:37">
      <c r="B18087" s="834" t="str">
        <f t="shared" si="645"/>
        <v>|||</v>
      </c>
      <c r="H18087" s="835">
        <f t="shared" si="646"/>
        <v>31</v>
      </c>
      <c r="AF18087" s="831" t="s">
        <v>11978</v>
      </c>
      <c r="AG18087" s="831" t="s">
        <v>2674</v>
      </c>
      <c r="AH18087" s="831" t="s">
        <v>650</v>
      </c>
      <c r="AI18087" s="831">
        <v>0</v>
      </c>
      <c r="AJ18087" s="835">
        <v>42094</v>
      </c>
      <c r="AK18087" s="831">
        <v>315233998.53846157</v>
      </c>
    </row>
    <row r="18088" spans="2:37">
      <c r="B18088" s="834" t="str">
        <f t="shared" si="645"/>
        <v>|||</v>
      </c>
      <c r="H18088" s="835">
        <f t="shared" si="646"/>
        <v>31</v>
      </c>
      <c r="AF18088" s="831" t="s">
        <v>11979</v>
      </c>
      <c r="AG18088" s="831" t="s">
        <v>2674</v>
      </c>
      <c r="AH18088" s="831" t="s">
        <v>655</v>
      </c>
      <c r="AI18088" s="831">
        <v>0</v>
      </c>
      <c r="AJ18088" s="835">
        <v>42094</v>
      </c>
      <c r="AK18088" s="831">
        <v>7308574</v>
      </c>
    </row>
    <row r="18089" spans="2:37">
      <c r="B18089" s="834" t="str">
        <f t="shared" si="645"/>
        <v>|||</v>
      </c>
      <c r="H18089" s="835">
        <f t="shared" si="646"/>
        <v>31</v>
      </c>
      <c r="AF18089" s="831" t="s">
        <v>11980</v>
      </c>
      <c r="AG18089" s="831" t="s">
        <v>2674</v>
      </c>
      <c r="AH18089" s="831" t="s">
        <v>546</v>
      </c>
      <c r="AI18089" s="831">
        <v>0</v>
      </c>
      <c r="AJ18089" s="835">
        <v>42124</v>
      </c>
      <c r="AK18089" s="831">
        <v>887135523</v>
      </c>
    </row>
    <row r="18090" spans="2:37">
      <c r="B18090" s="834" t="str">
        <f t="shared" si="645"/>
        <v>|||</v>
      </c>
      <c r="H18090" s="835">
        <f t="shared" si="646"/>
        <v>31</v>
      </c>
      <c r="AF18090" s="831" t="s">
        <v>11981</v>
      </c>
      <c r="AG18090" s="831" t="s">
        <v>2674</v>
      </c>
      <c r="AH18090" s="831" t="s">
        <v>370</v>
      </c>
      <c r="AI18090" s="831">
        <v>0</v>
      </c>
      <c r="AJ18090" s="835">
        <v>42124</v>
      </c>
      <c r="AK18090" s="831">
        <v>1155982366</v>
      </c>
    </row>
    <row r="18091" spans="2:37">
      <c r="B18091" s="834" t="str">
        <f t="shared" si="645"/>
        <v>|||</v>
      </c>
      <c r="H18091" s="835">
        <f t="shared" si="646"/>
        <v>31</v>
      </c>
      <c r="AF18091" s="831" t="s">
        <v>11982</v>
      </c>
      <c r="AG18091" s="831" t="s">
        <v>2674</v>
      </c>
      <c r="AH18091" s="831" t="s">
        <v>126</v>
      </c>
      <c r="AI18091" s="831">
        <v>0</v>
      </c>
      <c r="AJ18091" s="835">
        <v>42124</v>
      </c>
      <c r="AK18091" s="831">
        <v>148898855</v>
      </c>
    </row>
    <row r="18092" spans="2:37">
      <c r="B18092" s="834" t="str">
        <f t="shared" si="645"/>
        <v>|||</v>
      </c>
      <c r="H18092" s="835">
        <f t="shared" si="646"/>
        <v>31</v>
      </c>
      <c r="AF18092" s="831" t="s">
        <v>11983</v>
      </c>
      <c r="AG18092" s="831" t="s">
        <v>2674</v>
      </c>
      <c r="AH18092" s="831" t="s">
        <v>268</v>
      </c>
      <c r="AI18092" s="831">
        <v>0</v>
      </c>
      <c r="AJ18092" s="835">
        <v>42124</v>
      </c>
      <c r="AK18092" s="831">
        <v>3490177</v>
      </c>
    </row>
    <row r="18093" spans="2:37">
      <c r="B18093" s="834" t="str">
        <f t="shared" si="645"/>
        <v>|||</v>
      </c>
      <c r="H18093" s="835">
        <f t="shared" si="646"/>
        <v>31</v>
      </c>
      <c r="AF18093" s="831" t="s">
        <v>11984</v>
      </c>
      <c r="AG18093" s="831" t="s">
        <v>2674</v>
      </c>
      <c r="AH18093" s="831" t="s">
        <v>547</v>
      </c>
      <c r="AI18093" s="831">
        <v>0</v>
      </c>
      <c r="AJ18093" s="835">
        <v>42124</v>
      </c>
      <c r="AK18093" s="831">
        <v>1044609243</v>
      </c>
    </row>
    <row r="18094" spans="2:37">
      <c r="B18094" s="834" t="str">
        <f t="shared" si="645"/>
        <v>|||</v>
      </c>
      <c r="H18094" s="835">
        <f t="shared" si="646"/>
        <v>31</v>
      </c>
      <c r="AF18094" s="831" t="s">
        <v>11985</v>
      </c>
      <c r="AG18094" s="831" t="s">
        <v>2674</v>
      </c>
      <c r="AH18094" s="831" t="s">
        <v>548</v>
      </c>
      <c r="AI18094" s="831">
        <v>0</v>
      </c>
      <c r="AJ18094" s="835">
        <v>42124</v>
      </c>
      <c r="AK18094" s="831">
        <v>148860224</v>
      </c>
    </row>
    <row r="18095" spans="2:37">
      <c r="B18095" s="834" t="str">
        <f t="shared" si="645"/>
        <v>|||</v>
      </c>
      <c r="H18095" s="835">
        <f t="shared" si="646"/>
        <v>31</v>
      </c>
      <c r="AF18095" s="831" t="s">
        <v>11986</v>
      </c>
      <c r="AG18095" s="831" t="s">
        <v>2674</v>
      </c>
      <c r="AH18095" s="831" t="s">
        <v>549</v>
      </c>
      <c r="AI18095" s="831">
        <v>0</v>
      </c>
      <c r="AJ18095" s="835">
        <v>42124</v>
      </c>
      <c r="AK18095" s="831">
        <v>695634421</v>
      </c>
    </row>
    <row r="18096" spans="2:37">
      <c r="B18096" s="834" t="str">
        <f t="shared" si="645"/>
        <v>|||</v>
      </c>
      <c r="H18096" s="835">
        <f t="shared" si="646"/>
        <v>31</v>
      </c>
      <c r="AF18096" s="831" t="s">
        <v>11987</v>
      </c>
      <c r="AG18096" s="831" t="s">
        <v>2674</v>
      </c>
      <c r="AH18096" s="831" t="s">
        <v>192</v>
      </c>
      <c r="AI18096" s="831">
        <v>0</v>
      </c>
      <c r="AJ18096" s="835">
        <v>42124</v>
      </c>
      <c r="AK18096" s="831">
        <v>-17978430</v>
      </c>
    </row>
    <row r="18097" spans="2:37">
      <c r="B18097" s="834" t="str">
        <f t="shared" si="645"/>
        <v>|||</v>
      </c>
      <c r="H18097" s="835">
        <f t="shared" si="646"/>
        <v>31</v>
      </c>
      <c r="AF18097" s="831" t="s">
        <v>11988</v>
      </c>
      <c r="AG18097" s="831" t="s">
        <v>2674</v>
      </c>
      <c r="AH18097" s="831" t="s">
        <v>558</v>
      </c>
      <c r="AI18097" s="831">
        <v>0</v>
      </c>
      <c r="AJ18097" s="835">
        <v>42124</v>
      </c>
      <c r="AK18097" s="831">
        <v>1007083670</v>
      </c>
    </row>
    <row r="18098" spans="2:37">
      <c r="B18098" s="834" t="str">
        <f t="shared" si="645"/>
        <v>|||</v>
      </c>
      <c r="H18098" s="835">
        <f t="shared" si="646"/>
        <v>31</v>
      </c>
      <c r="AF18098" s="831" t="s">
        <v>11989</v>
      </c>
      <c r="AG18098" s="831" t="s">
        <v>2674</v>
      </c>
      <c r="AH18098" s="831" t="s">
        <v>65</v>
      </c>
      <c r="AI18098" s="831">
        <v>0</v>
      </c>
      <c r="AJ18098" s="835">
        <v>42124</v>
      </c>
      <c r="AK18098" s="831">
        <v>64640929</v>
      </c>
    </row>
    <row r="18099" spans="2:37">
      <c r="B18099" s="834" t="str">
        <f t="shared" si="645"/>
        <v>|||</v>
      </c>
      <c r="H18099" s="835">
        <f t="shared" si="646"/>
        <v>31</v>
      </c>
      <c r="AF18099" s="831" t="s">
        <v>11990</v>
      </c>
      <c r="AG18099" s="831" t="s">
        <v>2674</v>
      </c>
      <c r="AH18099" s="831" t="s">
        <v>89</v>
      </c>
      <c r="AI18099" s="831">
        <v>0</v>
      </c>
      <c r="AJ18099" s="835">
        <v>42124</v>
      </c>
      <c r="AK18099" s="831">
        <v>147391</v>
      </c>
    </row>
    <row r="18100" spans="2:37">
      <c r="B18100" s="834" t="str">
        <f t="shared" si="645"/>
        <v>|||</v>
      </c>
      <c r="H18100" s="835">
        <f t="shared" si="646"/>
        <v>31</v>
      </c>
      <c r="AF18100" s="831" t="s">
        <v>11991</v>
      </c>
      <c r="AG18100" s="831" t="s">
        <v>2674</v>
      </c>
      <c r="AH18100" s="831" t="s">
        <v>557</v>
      </c>
      <c r="AI18100" s="831">
        <v>0</v>
      </c>
      <c r="AJ18100" s="835">
        <v>42124</v>
      </c>
      <c r="AK18100" s="831">
        <v>168436</v>
      </c>
    </row>
    <row r="18101" spans="2:37">
      <c r="B18101" s="834" t="str">
        <f t="shared" si="645"/>
        <v>|||</v>
      </c>
      <c r="H18101" s="835">
        <f t="shared" si="646"/>
        <v>31</v>
      </c>
      <c r="AF18101" s="831" t="s">
        <v>11992</v>
      </c>
      <c r="AG18101" s="831" t="s">
        <v>2674</v>
      </c>
      <c r="AH18101" s="831" t="s">
        <v>29</v>
      </c>
      <c r="AI18101" s="831">
        <v>0</v>
      </c>
      <c r="AJ18101" s="835">
        <v>42124</v>
      </c>
      <c r="AK18101" s="831">
        <v>18420222</v>
      </c>
    </row>
    <row r="18102" spans="2:37">
      <c r="B18102" s="834" t="str">
        <f t="shared" si="645"/>
        <v>|||</v>
      </c>
      <c r="H18102" s="835">
        <f t="shared" si="646"/>
        <v>31</v>
      </c>
      <c r="AF18102" s="831" t="s">
        <v>11993</v>
      </c>
      <c r="AG18102" s="831" t="s">
        <v>2674</v>
      </c>
      <c r="AH18102" s="831" t="s">
        <v>2688</v>
      </c>
      <c r="AI18102" s="831">
        <v>0</v>
      </c>
      <c r="AJ18102" s="835">
        <v>42124</v>
      </c>
      <c r="AK18102" s="831">
        <v>149665387</v>
      </c>
    </row>
    <row r="18103" spans="2:37">
      <c r="B18103" s="834" t="str">
        <f t="shared" si="645"/>
        <v>|||</v>
      </c>
      <c r="H18103" s="835">
        <f t="shared" si="646"/>
        <v>31</v>
      </c>
      <c r="AF18103" s="831" t="s">
        <v>11994</v>
      </c>
      <c r="AG18103" s="831" t="s">
        <v>2674</v>
      </c>
      <c r="AH18103" s="831" t="s">
        <v>556</v>
      </c>
      <c r="AI18103" s="831">
        <v>0</v>
      </c>
      <c r="AJ18103" s="835">
        <v>42124</v>
      </c>
      <c r="AK18103" s="831">
        <v>11412135</v>
      </c>
    </row>
    <row r="18104" spans="2:37">
      <c r="B18104" s="834" t="str">
        <f t="shared" si="645"/>
        <v>|||</v>
      </c>
      <c r="H18104" s="835">
        <f t="shared" si="646"/>
        <v>31</v>
      </c>
      <c r="AF18104" s="831" t="s">
        <v>11995</v>
      </c>
      <c r="AG18104" s="831" t="s">
        <v>2674</v>
      </c>
      <c r="AH18104" s="831" t="s">
        <v>555</v>
      </c>
      <c r="AI18104" s="831">
        <v>0</v>
      </c>
      <c r="AJ18104" s="835">
        <v>42124</v>
      </c>
      <c r="AK18104" s="831">
        <v>781614407</v>
      </c>
    </row>
    <row r="18105" spans="2:37">
      <c r="B18105" s="834" t="str">
        <f t="shared" si="645"/>
        <v>|||</v>
      </c>
      <c r="H18105" s="835">
        <f t="shared" si="646"/>
        <v>31</v>
      </c>
      <c r="AF18105" s="831" t="s">
        <v>11996</v>
      </c>
      <c r="AG18105" s="831" t="s">
        <v>2674</v>
      </c>
      <c r="AH18105" s="831" t="s">
        <v>554</v>
      </c>
      <c r="AI18105" s="831">
        <v>0</v>
      </c>
      <c r="AJ18105" s="835">
        <v>42124</v>
      </c>
      <c r="AK18105" s="831">
        <v>811049609</v>
      </c>
    </row>
    <row r="18106" spans="2:37">
      <c r="B18106" s="834" t="str">
        <f t="shared" si="645"/>
        <v>|||</v>
      </c>
      <c r="H18106" s="835">
        <f t="shared" si="646"/>
        <v>31</v>
      </c>
      <c r="AF18106" s="831" t="s">
        <v>11997</v>
      </c>
      <c r="AG18106" s="831" t="s">
        <v>2674</v>
      </c>
      <c r="AH18106" s="831" t="s">
        <v>553</v>
      </c>
      <c r="AI18106" s="831">
        <v>0</v>
      </c>
      <c r="AJ18106" s="835">
        <v>42124</v>
      </c>
      <c r="AK18106" s="831">
        <v>47191500</v>
      </c>
    </row>
    <row r="18107" spans="2:37">
      <c r="B18107" s="834" t="str">
        <f t="shared" si="645"/>
        <v>|||</v>
      </c>
      <c r="H18107" s="835">
        <f t="shared" si="646"/>
        <v>31</v>
      </c>
      <c r="AF18107" s="831" t="s">
        <v>11998</v>
      </c>
      <c r="AG18107" s="831" t="s">
        <v>2674</v>
      </c>
      <c r="AH18107" s="831" t="s">
        <v>552</v>
      </c>
      <c r="AI18107" s="831">
        <v>0</v>
      </c>
      <c r="AJ18107" s="835">
        <v>42124</v>
      </c>
      <c r="AK18107" s="831">
        <v>0</v>
      </c>
    </row>
    <row r="18108" spans="2:37">
      <c r="B18108" s="834" t="str">
        <f t="shared" si="645"/>
        <v>|||</v>
      </c>
      <c r="H18108" s="835">
        <f t="shared" si="646"/>
        <v>31</v>
      </c>
      <c r="AF18108" s="831" t="s">
        <v>11999</v>
      </c>
      <c r="AG18108" s="831" t="s">
        <v>2674</v>
      </c>
      <c r="AH18108" s="831" t="s">
        <v>551</v>
      </c>
      <c r="AI18108" s="831">
        <v>0</v>
      </c>
      <c r="AJ18108" s="835">
        <v>42124</v>
      </c>
      <c r="AK18108" s="831">
        <v>10773380</v>
      </c>
    </row>
    <row r="18109" spans="2:37">
      <c r="B18109" s="834" t="str">
        <f t="shared" si="645"/>
        <v>|||</v>
      </c>
      <c r="H18109" s="835">
        <f t="shared" si="646"/>
        <v>31</v>
      </c>
      <c r="AF18109" s="831" t="s">
        <v>12000</v>
      </c>
      <c r="AG18109" s="831" t="s">
        <v>2674</v>
      </c>
      <c r="AH18109" s="831" t="s">
        <v>550</v>
      </c>
      <c r="AI18109" s="831">
        <v>0</v>
      </c>
      <c r="AJ18109" s="835">
        <v>42124</v>
      </c>
      <c r="AK18109" s="831">
        <v>147807134</v>
      </c>
    </row>
    <row r="18110" spans="2:37">
      <c r="B18110" s="834" t="str">
        <f t="shared" si="645"/>
        <v>|||</v>
      </c>
      <c r="H18110" s="835">
        <f t="shared" si="646"/>
        <v>31</v>
      </c>
      <c r="AF18110" s="831" t="s">
        <v>12001</v>
      </c>
      <c r="AG18110" s="831" t="s">
        <v>2674</v>
      </c>
      <c r="AH18110" s="831" t="s">
        <v>562</v>
      </c>
      <c r="AI18110" s="831">
        <v>0</v>
      </c>
      <c r="AJ18110" s="835">
        <v>42124</v>
      </c>
      <c r="AK18110" s="831">
        <v>1.0471999999999999</v>
      </c>
    </row>
    <row r="18111" spans="2:37">
      <c r="B18111" s="834" t="str">
        <f t="shared" si="645"/>
        <v>|||</v>
      </c>
      <c r="H18111" s="835">
        <f t="shared" si="646"/>
        <v>31</v>
      </c>
      <c r="AF18111" s="831" t="s">
        <v>12002</v>
      </c>
      <c r="AG18111" s="831" t="s">
        <v>2674</v>
      </c>
      <c r="AH18111" s="831" t="s">
        <v>2698</v>
      </c>
      <c r="AI18111" s="831">
        <v>0</v>
      </c>
      <c r="AJ18111" s="835">
        <v>42124</v>
      </c>
      <c r="AK18111" s="831">
        <v>1.0495000000000001</v>
      </c>
    </row>
    <row r="18112" spans="2:37">
      <c r="B18112" s="834" t="str">
        <f t="shared" si="645"/>
        <v>|||</v>
      </c>
      <c r="H18112" s="835">
        <f t="shared" si="646"/>
        <v>31</v>
      </c>
      <c r="AF18112" s="831" t="s">
        <v>12003</v>
      </c>
      <c r="AG18112" s="831" t="s">
        <v>2674</v>
      </c>
      <c r="AH18112" s="831" t="s">
        <v>560</v>
      </c>
      <c r="AI18112" s="831">
        <v>0</v>
      </c>
      <c r="AJ18112" s="835">
        <v>42124</v>
      </c>
      <c r="AK18112" s="831">
        <v>0.98171249999999999</v>
      </c>
    </row>
    <row r="18113" spans="2:37">
      <c r="B18113" s="834" t="str">
        <f t="shared" si="645"/>
        <v>|||</v>
      </c>
      <c r="H18113" s="835">
        <f t="shared" si="646"/>
        <v>31</v>
      </c>
      <c r="AF18113" s="831" t="s">
        <v>12004</v>
      </c>
      <c r="AG18113" s="831" t="s">
        <v>2674</v>
      </c>
      <c r="AH18113" s="831" t="s">
        <v>559</v>
      </c>
      <c r="AI18113" s="831">
        <v>0</v>
      </c>
      <c r="AJ18113" s="835">
        <v>42124</v>
      </c>
      <c r="AK18113" s="831">
        <v>0.84962083333333327</v>
      </c>
    </row>
    <row r="18114" spans="2:37">
      <c r="B18114" s="834" t="str">
        <f t="shared" si="645"/>
        <v>|||</v>
      </c>
      <c r="H18114" s="835">
        <f t="shared" si="646"/>
        <v>31</v>
      </c>
      <c r="AF18114" s="831" t="s">
        <v>12005</v>
      </c>
      <c r="AG18114" s="831" t="s">
        <v>2674</v>
      </c>
      <c r="AH18114" s="831" t="s">
        <v>568</v>
      </c>
      <c r="AI18114" s="831">
        <v>0</v>
      </c>
      <c r="AJ18114" s="835">
        <v>42124</v>
      </c>
      <c r="AK18114" s="831">
        <v>802858062.76923072</v>
      </c>
    </row>
    <row r="18115" spans="2:37">
      <c r="B18115" s="834" t="str">
        <f t="shared" si="645"/>
        <v>|||</v>
      </c>
      <c r="H18115" s="835">
        <f t="shared" si="646"/>
        <v>31</v>
      </c>
      <c r="AF18115" s="831" t="s">
        <v>12006</v>
      </c>
      <c r="AG18115" s="831" t="s">
        <v>2674</v>
      </c>
      <c r="AH18115" s="831" t="s">
        <v>569</v>
      </c>
      <c r="AI18115" s="831">
        <v>0</v>
      </c>
      <c r="AJ18115" s="835">
        <v>42124</v>
      </c>
      <c r="AK18115" s="831">
        <v>1009137751.8461539</v>
      </c>
    </row>
    <row r="18116" spans="2:37">
      <c r="B18116" s="834" t="str">
        <f t="shared" si="645"/>
        <v>|||</v>
      </c>
      <c r="H18116" s="835">
        <f t="shared" si="646"/>
        <v>31</v>
      </c>
      <c r="AF18116" s="831" t="s">
        <v>12007</v>
      </c>
      <c r="AG18116" s="831" t="s">
        <v>2674</v>
      </c>
      <c r="AH18116" s="831" t="s">
        <v>570</v>
      </c>
      <c r="AI18116" s="831">
        <v>0</v>
      </c>
      <c r="AJ18116" s="835">
        <v>42124</v>
      </c>
      <c r="AK18116" s="831">
        <v>142830548.07923076</v>
      </c>
    </row>
    <row r="18117" spans="2:37">
      <c r="B18117" s="834" t="str">
        <f t="shared" si="645"/>
        <v>|||</v>
      </c>
      <c r="H18117" s="835">
        <f t="shared" si="646"/>
        <v>31</v>
      </c>
      <c r="AF18117" s="831" t="s">
        <v>12008</v>
      </c>
      <c r="AG18117" s="831" t="s">
        <v>2674</v>
      </c>
      <c r="AH18117" s="831" t="s">
        <v>571</v>
      </c>
      <c r="AI18117" s="831">
        <v>0</v>
      </c>
      <c r="AJ18117" s="835">
        <v>42124</v>
      </c>
      <c r="AK18117" s="831">
        <v>521003105.80130768</v>
      </c>
    </row>
    <row r="18118" spans="2:37">
      <c r="B18118" s="834" t="str">
        <f t="shared" si="645"/>
        <v>|||</v>
      </c>
      <c r="H18118" s="835">
        <f t="shared" si="646"/>
        <v>31</v>
      </c>
      <c r="AF18118" s="831" t="s">
        <v>12009</v>
      </c>
      <c r="AG18118" s="831" t="s">
        <v>2674</v>
      </c>
      <c r="AH18118" s="831" t="s">
        <v>573</v>
      </c>
      <c r="AI18118" s="831">
        <v>0</v>
      </c>
      <c r="AJ18118" s="835">
        <v>42124</v>
      </c>
      <c r="AK18118" s="831">
        <v>1131573563</v>
      </c>
    </row>
    <row r="18119" spans="2:37">
      <c r="B18119" s="834" t="str">
        <f t="shared" si="645"/>
        <v>|||</v>
      </c>
      <c r="H18119" s="835">
        <f t="shared" si="646"/>
        <v>31</v>
      </c>
      <c r="AF18119" s="831" t="s">
        <v>12010</v>
      </c>
      <c r="AG18119" s="831" t="s">
        <v>2674</v>
      </c>
      <c r="AH18119" s="831" t="s">
        <v>574</v>
      </c>
      <c r="AI18119" s="831">
        <v>0</v>
      </c>
      <c r="AJ18119" s="835">
        <v>42124</v>
      </c>
      <c r="AK18119" s="831">
        <v>887385272.20000005</v>
      </c>
    </row>
    <row r="18120" spans="2:37">
      <c r="B18120" s="834" t="str">
        <f t="shared" si="645"/>
        <v>|||</v>
      </c>
      <c r="H18120" s="835">
        <f t="shared" si="646"/>
        <v>31</v>
      </c>
      <c r="AF18120" s="831" t="s">
        <v>12011</v>
      </c>
      <c r="AG18120" s="831" t="s">
        <v>2674</v>
      </c>
      <c r="AH18120" s="831" t="s">
        <v>575</v>
      </c>
      <c r="AI18120" s="831">
        <v>0</v>
      </c>
      <c r="AJ18120" s="835">
        <v>42124</v>
      </c>
      <c r="AK18120" s="831">
        <v>146895148.59999999</v>
      </c>
    </row>
    <row r="18121" spans="2:37">
      <c r="B18121" s="834" t="str">
        <f t="shared" si="645"/>
        <v>|||</v>
      </c>
      <c r="H18121" s="835">
        <f t="shared" si="646"/>
        <v>31</v>
      </c>
      <c r="AF18121" s="831" t="s">
        <v>12012</v>
      </c>
      <c r="AG18121" s="831" t="s">
        <v>2674</v>
      </c>
      <c r="AH18121" s="831" t="s">
        <v>576</v>
      </c>
      <c r="AI18121" s="831">
        <v>0</v>
      </c>
      <c r="AJ18121" s="835">
        <v>42124</v>
      </c>
      <c r="AK18121" s="831">
        <v>615700522.39999998</v>
      </c>
    </row>
    <row r="18122" spans="2:37">
      <c r="B18122" s="834" t="str">
        <f t="shared" si="645"/>
        <v>|||</v>
      </c>
      <c r="H18122" s="835">
        <f t="shared" si="646"/>
        <v>31</v>
      </c>
      <c r="AF18122" s="831" t="s">
        <v>12013</v>
      </c>
      <c r="AG18122" s="831" t="s">
        <v>2674</v>
      </c>
      <c r="AH18122" s="831" t="s">
        <v>572</v>
      </c>
      <c r="AI18122" s="831">
        <v>0</v>
      </c>
      <c r="AJ18122" s="835">
        <v>42124</v>
      </c>
      <c r="AK18122" s="831">
        <v>34629345</v>
      </c>
    </row>
    <row r="18123" spans="2:37">
      <c r="B18123" s="834" t="str">
        <f t="shared" si="645"/>
        <v>|||</v>
      </c>
      <c r="H18123" s="835">
        <f t="shared" si="646"/>
        <v>31</v>
      </c>
      <c r="AF18123" s="831" t="s">
        <v>12014</v>
      </c>
      <c r="AG18123" s="831" t="s">
        <v>2674</v>
      </c>
      <c r="AH18123" s="831" t="s">
        <v>577</v>
      </c>
      <c r="AI18123" s="831">
        <v>0</v>
      </c>
      <c r="AJ18123" s="835">
        <v>42124</v>
      </c>
      <c r="AK18123" s="831">
        <v>182065430</v>
      </c>
    </row>
    <row r="18124" spans="2:37">
      <c r="B18124" s="834" t="str">
        <f t="shared" si="645"/>
        <v>|||</v>
      </c>
      <c r="H18124" s="835">
        <f t="shared" si="646"/>
        <v>31</v>
      </c>
      <c r="AF18124" s="831" t="s">
        <v>12015</v>
      </c>
      <c r="AG18124" s="831" t="s">
        <v>2674</v>
      </c>
      <c r="AH18124" s="831" t="s">
        <v>3042</v>
      </c>
      <c r="AI18124" s="831">
        <v>0</v>
      </c>
      <c r="AJ18124" s="835">
        <v>42124</v>
      </c>
      <c r="AK18124" s="831">
        <v>-55986090</v>
      </c>
    </row>
    <row r="18125" spans="2:37">
      <c r="B18125" s="834" t="str">
        <f t="shared" si="645"/>
        <v>|||</v>
      </c>
      <c r="H18125" s="835">
        <f t="shared" si="646"/>
        <v>31</v>
      </c>
      <c r="AF18125" s="831" t="s">
        <v>12016</v>
      </c>
      <c r="AG18125" s="831" t="s">
        <v>2674</v>
      </c>
      <c r="AH18125" s="831" t="s">
        <v>3044</v>
      </c>
      <c r="AI18125" s="831">
        <v>0</v>
      </c>
      <c r="AJ18125" s="835">
        <v>42124</v>
      </c>
      <c r="AK18125" s="831">
        <v>-4711846</v>
      </c>
    </row>
    <row r="18126" spans="2:37">
      <c r="B18126" s="834" t="str">
        <f t="shared" si="645"/>
        <v>|||</v>
      </c>
      <c r="H18126" s="835">
        <f t="shared" si="646"/>
        <v>31</v>
      </c>
      <c r="AF18126" s="831" t="s">
        <v>12017</v>
      </c>
      <c r="AG18126" s="831" t="s">
        <v>2674</v>
      </c>
      <c r="AH18126" s="831" t="s">
        <v>580</v>
      </c>
      <c r="AI18126" s="831">
        <v>0</v>
      </c>
      <c r="AJ18126" s="835">
        <v>42124</v>
      </c>
      <c r="AK18126" s="831">
        <v>-84657241</v>
      </c>
    </row>
    <row r="18127" spans="2:37">
      <c r="B18127" s="834" t="str">
        <f t="shared" si="645"/>
        <v>|||</v>
      </c>
      <c r="H18127" s="835">
        <f t="shared" si="646"/>
        <v>31</v>
      </c>
      <c r="AF18127" s="831" t="s">
        <v>12018</v>
      </c>
      <c r="AG18127" s="831" t="s">
        <v>2674</v>
      </c>
      <c r="AH18127" s="831" t="s">
        <v>581</v>
      </c>
      <c r="AI18127" s="831">
        <v>0</v>
      </c>
      <c r="AJ18127" s="835">
        <v>42124</v>
      </c>
      <c r="AK18127" s="831">
        <v>11310907</v>
      </c>
    </row>
    <row r="18128" spans="2:37">
      <c r="B18128" s="834" t="str">
        <f t="shared" si="645"/>
        <v>|||</v>
      </c>
      <c r="H18128" s="835">
        <f t="shared" si="646"/>
        <v>31</v>
      </c>
      <c r="AF18128" s="831" t="s">
        <v>12019</v>
      </c>
      <c r="AG18128" s="831" t="s">
        <v>2674</v>
      </c>
      <c r="AH18128" s="831" t="s">
        <v>105</v>
      </c>
      <c r="AI18128" s="831">
        <v>0</v>
      </c>
      <c r="AJ18128" s="835">
        <v>42124</v>
      </c>
      <c r="AK18128" s="831">
        <v>651641572</v>
      </c>
    </row>
    <row r="18129" spans="2:37">
      <c r="B18129" s="834" t="str">
        <f t="shared" ref="B18129:B18192" si="647">C18129&amp;"|"&amp;D18129&amp;"|"&amp;E18129&amp;"|"&amp;F18129</f>
        <v>|||</v>
      </c>
      <c r="H18129" s="835">
        <f t="shared" ref="H18129:H18192" si="648">EOMONTH(L18129,0)</f>
        <v>31</v>
      </c>
      <c r="AF18129" s="831" t="s">
        <v>12020</v>
      </c>
      <c r="AG18129" s="831" t="s">
        <v>2674</v>
      </c>
      <c r="AH18129" s="831" t="s">
        <v>3049</v>
      </c>
      <c r="AI18129" s="831">
        <v>0</v>
      </c>
      <c r="AJ18129" s="835">
        <v>42124</v>
      </c>
      <c r="AK18129" s="831">
        <v>980090700</v>
      </c>
    </row>
    <row r="18130" spans="2:37">
      <c r="B18130" s="834" t="str">
        <f t="shared" si="647"/>
        <v>|||</v>
      </c>
      <c r="H18130" s="835">
        <f t="shared" si="648"/>
        <v>31</v>
      </c>
      <c r="AF18130" s="831" t="s">
        <v>12021</v>
      </c>
      <c r="AG18130" s="831" t="s">
        <v>2674</v>
      </c>
      <c r="AH18130" s="831" t="s">
        <v>103</v>
      </c>
      <c r="AI18130" s="831">
        <v>0</v>
      </c>
      <c r="AJ18130" s="835">
        <v>42124</v>
      </c>
      <c r="AK18130" s="831">
        <v>328449128</v>
      </c>
    </row>
    <row r="18131" spans="2:37">
      <c r="B18131" s="834" t="str">
        <f t="shared" si="647"/>
        <v>|||</v>
      </c>
      <c r="H18131" s="835">
        <f t="shared" si="648"/>
        <v>31</v>
      </c>
      <c r="AF18131" s="831" t="s">
        <v>12022</v>
      </c>
      <c r="AG18131" s="831" t="s">
        <v>2674</v>
      </c>
      <c r="AH18131" s="831" t="s">
        <v>182</v>
      </c>
      <c r="AI18131" s="831">
        <v>0</v>
      </c>
      <c r="AJ18131" s="835">
        <v>42124</v>
      </c>
      <c r="AK18131" s="831">
        <v>88699464</v>
      </c>
    </row>
    <row r="18132" spans="2:37">
      <c r="B18132" s="834" t="str">
        <f t="shared" si="647"/>
        <v>|||</v>
      </c>
      <c r="H18132" s="835">
        <f t="shared" si="648"/>
        <v>31</v>
      </c>
      <c r="AF18132" s="831" t="s">
        <v>12023</v>
      </c>
      <c r="AG18132" s="831" t="s">
        <v>2674</v>
      </c>
      <c r="AH18132" s="831" t="s">
        <v>6600</v>
      </c>
      <c r="AI18132" s="831">
        <v>0</v>
      </c>
      <c r="AJ18132" s="835">
        <v>42124</v>
      </c>
      <c r="AK18132" s="831">
        <v>34629345</v>
      </c>
    </row>
    <row r="18133" spans="2:37">
      <c r="B18133" s="834" t="str">
        <f t="shared" si="647"/>
        <v>|||</v>
      </c>
      <c r="H18133" s="835">
        <f t="shared" si="648"/>
        <v>31</v>
      </c>
      <c r="AF18133" s="831" t="s">
        <v>12024</v>
      </c>
      <c r="AG18133" s="831" t="s">
        <v>2674</v>
      </c>
      <c r="AH18133" s="831" t="s">
        <v>6602</v>
      </c>
      <c r="AI18133" s="831">
        <v>0</v>
      </c>
      <c r="AJ18133" s="835">
        <v>42124</v>
      </c>
      <c r="AK18133" s="831">
        <v>3490177</v>
      </c>
    </row>
    <row r="18134" spans="2:37">
      <c r="B18134" s="834" t="str">
        <f t="shared" si="647"/>
        <v>|||</v>
      </c>
      <c r="H18134" s="835">
        <f t="shared" si="648"/>
        <v>31</v>
      </c>
      <c r="AF18134" s="831" t="s">
        <v>12025</v>
      </c>
      <c r="AG18134" s="831" t="s">
        <v>2674</v>
      </c>
      <c r="AH18134" s="831" t="s">
        <v>650</v>
      </c>
      <c r="AI18134" s="831">
        <v>0</v>
      </c>
      <c r="AJ18134" s="835">
        <v>42124</v>
      </c>
      <c r="AK18134" s="831">
        <v>319013929.69230771</v>
      </c>
    </row>
    <row r="18135" spans="2:37">
      <c r="B18135" s="834" t="str">
        <f t="shared" si="647"/>
        <v>|||</v>
      </c>
      <c r="H18135" s="835">
        <f t="shared" si="648"/>
        <v>31</v>
      </c>
      <c r="AF18135" s="831" t="s">
        <v>12026</v>
      </c>
      <c r="AG18135" s="831" t="s">
        <v>2674</v>
      </c>
      <c r="AH18135" s="831" t="s">
        <v>655</v>
      </c>
      <c r="AI18135" s="831">
        <v>0</v>
      </c>
      <c r="AJ18135" s="835">
        <v>42124</v>
      </c>
      <c r="AK18135" s="831">
        <v>8145535</v>
      </c>
    </row>
    <row r="18136" spans="2:37">
      <c r="B18136" s="834" t="str">
        <f t="shared" si="647"/>
        <v>|||</v>
      </c>
      <c r="H18136" s="835">
        <f t="shared" si="648"/>
        <v>31</v>
      </c>
      <c r="AF18136" s="831" t="s">
        <v>10335</v>
      </c>
      <c r="AG18136" s="831" t="s">
        <v>2674</v>
      </c>
      <c r="AH18136" s="831" t="s">
        <v>546</v>
      </c>
      <c r="AI18136" s="831">
        <v>0</v>
      </c>
      <c r="AJ18136" s="835">
        <v>41060</v>
      </c>
      <c r="AK18136" s="831">
        <v>339221349</v>
      </c>
    </row>
    <row r="18137" spans="2:37">
      <c r="B18137" s="834" t="str">
        <f t="shared" si="647"/>
        <v>|||</v>
      </c>
      <c r="H18137" s="835">
        <f t="shared" si="648"/>
        <v>31</v>
      </c>
      <c r="AF18137" s="831" t="s">
        <v>10336</v>
      </c>
      <c r="AG18137" s="831" t="s">
        <v>2674</v>
      </c>
      <c r="AH18137" s="831" t="s">
        <v>370</v>
      </c>
      <c r="AI18137" s="831">
        <v>0</v>
      </c>
      <c r="AJ18137" s="835">
        <v>41060</v>
      </c>
      <c r="AK18137" s="831">
        <v>412671638</v>
      </c>
    </row>
    <row r="18138" spans="2:37">
      <c r="B18138" s="834" t="str">
        <f t="shared" si="647"/>
        <v>|||</v>
      </c>
      <c r="H18138" s="835">
        <f t="shared" si="648"/>
        <v>31</v>
      </c>
      <c r="AF18138" s="831" t="s">
        <v>10337</v>
      </c>
      <c r="AG18138" s="831" t="s">
        <v>2674</v>
      </c>
      <c r="AH18138" s="831" t="s">
        <v>126</v>
      </c>
      <c r="AI18138" s="831">
        <v>0</v>
      </c>
      <c r="AJ18138" s="835">
        <v>41060</v>
      </c>
      <c r="AK18138" s="831">
        <v>90520261</v>
      </c>
    </row>
    <row r="18139" spans="2:37">
      <c r="B18139" s="834" t="str">
        <f t="shared" si="647"/>
        <v>|||</v>
      </c>
      <c r="H18139" s="835">
        <f t="shared" si="648"/>
        <v>31</v>
      </c>
      <c r="AF18139" s="831" t="s">
        <v>10338</v>
      </c>
      <c r="AG18139" s="831" t="s">
        <v>2674</v>
      </c>
      <c r="AH18139" s="831" t="s">
        <v>268</v>
      </c>
      <c r="AI18139" s="831">
        <v>0</v>
      </c>
      <c r="AJ18139" s="835">
        <v>41060</v>
      </c>
      <c r="AK18139" s="831">
        <v>5197337</v>
      </c>
    </row>
    <row r="18140" spans="2:37">
      <c r="B18140" s="834" t="str">
        <f t="shared" si="647"/>
        <v>|||</v>
      </c>
      <c r="H18140" s="835">
        <f t="shared" si="648"/>
        <v>31</v>
      </c>
      <c r="AF18140" s="831" t="s">
        <v>10339</v>
      </c>
      <c r="AG18140" s="831" t="s">
        <v>2674</v>
      </c>
      <c r="AH18140" s="831" t="s">
        <v>547</v>
      </c>
      <c r="AI18140" s="831">
        <v>0</v>
      </c>
      <c r="AJ18140" s="835">
        <v>41060</v>
      </c>
      <c r="AK18140" s="831">
        <v>0</v>
      </c>
    </row>
    <row r="18141" spans="2:37">
      <c r="B18141" s="834" t="str">
        <f t="shared" si="647"/>
        <v>|||</v>
      </c>
      <c r="H18141" s="835">
        <f t="shared" si="648"/>
        <v>31</v>
      </c>
      <c r="AF18141" s="831" t="s">
        <v>10340</v>
      </c>
      <c r="AG18141" s="831" t="s">
        <v>2674</v>
      </c>
      <c r="AH18141" s="831" t="s">
        <v>548</v>
      </c>
      <c r="AI18141" s="831">
        <v>0</v>
      </c>
      <c r="AJ18141" s="835">
        <v>41060</v>
      </c>
      <c r="AK18141" s="831">
        <v>0</v>
      </c>
    </row>
    <row r="18142" spans="2:37">
      <c r="B18142" s="834" t="str">
        <f t="shared" si="647"/>
        <v>|||</v>
      </c>
      <c r="H18142" s="835">
        <f t="shared" si="648"/>
        <v>31</v>
      </c>
      <c r="AF18142" s="831" t="s">
        <v>10341</v>
      </c>
      <c r="AG18142" s="831" t="s">
        <v>2674</v>
      </c>
      <c r="AH18142" s="831" t="s">
        <v>549</v>
      </c>
      <c r="AI18142" s="831">
        <v>0</v>
      </c>
      <c r="AJ18142" s="835">
        <v>41060</v>
      </c>
      <c r="AK18142" s="831">
        <v>0</v>
      </c>
    </row>
    <row r="18143" spans="2:37">
      <c r="B18143" s="834" t="str">
        <f t="shared" si="647"/>
        <v>|||</v>
      </c>
      <c r="H18143" s="835">
        <f t="shared" si="648"/>
        <v>31</v>
      </c>
      <c r="AF18143" s="831" t="s">
        <v>10342</v>
      </c>
      <c r="AG18143" s="831" t="s">
        <v>2674</v>
      </c>
      <c r="AH18143" s="831" t="s">
        <v>192</v>
      </c>
      <c r="AI18143" s="831">
        <v>0</v>
      </c>
      <c r="AJ18143" s="835">
        <v>41060</v>
      </c>
      <c r="AK18143" s="831">
        <v>-9254050</v>
      </c>
    </row>
    <row r="18144" spans="2:37">
      <c r="B18144" s="834" t="str">
        <f t="shared" si="647"/>
        <v>|||</v>
      </c>
      <c r="H18144" s="835">
        <f t="shared" si="648"/>
        <v>31</v>
      </c>
      <c r="AF18144" s="831" t="s">
        <v>10343</v>
      </c>
      <c r="AG18144" s="831" t="s">
        <v>2674</v>
      </c>
      <c r="AH18144" s="831" t="s">
        <v>558</v>
      </c>
      <c r="AI18144" s="831">
        <v>0</v>
      </c>
      <c r="AJ18144" s="835">
        <v>41060</v>
      </c>
      <c r="AK18144" s="831">
        <v>322151377</v>
      </c>
    </row>
    <row r="18145" spans="2:37">
      <c r="B18145" s="834" t="str">
        <f t="shared" si="647"/>
        <v>|||</v>
      </c>
      <c r="H18145" s="835">
        <f t="shared" si="648"/>
        <v>31</v>
      </c>
      <c r="AF18145" s="831" t="s">
        <v>10344</v>
      </c>
      <c r="AG18145" s="831" t="s">
        <v>2674</v>
      </c>
      <c r="AH18145" s="831" t="s">
        <v>65</v>
      </c>
      <c r="AI18145" s="831">
        <v>0</v>
      </c>
      <c r="AJ18145" s="835">
        <v>41060</v>
      </c>
      <c r="AK18145" s="831">
        <v>38110599</v>
      </c>
    </row>
    <row r="18146" spans="2:37">
      <c r="B18146" s="834" t="str">
        <f t="shared" si="647"/>
        <v>|||</v>
      </c>
      <c r="H18146" s="835">
        <f t="shared" si="648"/>
        <v>31</v>
      </c>
      <c r="AF18146" s="831" t="s">
        <v>10345</v>
      </c>
      <c r="AG18146" s="831" t="s">
        <v>2674</v>
      </c>
      <c r="AH18146" s="831" t="s">
        <v>89</v>
      </c>
      <c r="AI18146" s="831">
        <v>0</v>
      </c>
      <c r="AJ18146" s="835">
        <v>41060</v>
      </c>
      <c r="AK18146" s="831">
        <v>122430</v>
      </c>
    </row>
    <row r="18147" spans="2:37">
      <c r="B18147" s="834" t="str">
        <f t="shared" si="647"/>
        <v>|||</v>
      </c>
      <c r="H18147" s="835">
        <f t="shared" si="648"/>
        <v>31</v>
      </c>
      <c r="AF18147" s="831" t="s">
        <v>10346</v>
      </c>
      <c r="AG18147" s="831" t="s">
        <v>2674</v>
      </c>
      <c r="AH18147" s="831" t="s">
        <v>557</v>
      </c>
      <c r="AI18147" s="831">
        <v>0</v>
      </c>
      <c r="AJ18147" s="835">
        <v>41060</v>
      </c>
      <c r="AK18147" s="831">
        <v>124207</v>
      </c>
    </row>
    <row r="18148" spans="2:37">
      <c r="B18148" s="834" t="str">
        <f t="shared" si="647"/>
        <v>|||</v>
      </c>
      <c r="H18148" s="835">
        <f t="shared" si="648"/>
        <v>31</v>
      </c>
      <c r="AF18148" s="831" t="s">
        <v>10347</v>
      </c>
      <c r="AG18148" s="831" t="s">
        <v>2674</v>
      </c>
      <c r="AH18148" s="831" t="s">
        <v>29</v>
      </c>
      <c r="AI18148" s="831">
        <v>0</v>
      </c>
      <c r="AJ18148" s="835">
        <v>41060</v>
      </c>
      <c r="AK18148" s="831">
        <v>2528808</v>
      </c>
    </row>
    <row r="18149" spans="2:37">
      <c r="B18149" s="834" t="str">
        <f t="shared" si="647"/>
        <v>|||</v>
      </c>
      <c r="H18149" s="835">
        <f t="shared" si="648"/>
        <v>31</v>
      </c>
      <c r="AF18149" s="831" t="s">
        <v>10348</v>
      </c>
      <c r="AG18149" s="831" t="s">
        <v>2674</v>
      </c>
      <c r="AH18149" s="831" t="s">
        <v>2688</v>
      </c>
      <c r="AI18149" s="831">
        <v>0</v>
      </c>
      <c r="AJ18149" s="835">
        <v>41060</v>
      </c>
      <c r="AK18149" s="831">
        <v>3036435</v>
      </c>
    </row>
    <row r="18150" spans="2:37">
      <c r="B18150" s="834" t="str">
        <f t="shared" si="647"/>
        <v>|||</v>
      </c>
      <c r="H18150" s="835">
        <f t="shared" si="648"/>
        <v>31</v>
      </c>
      <c r="AF18150" s="831" t="s">
        <v>10349</v>
      </c>
      <c r="AG18150" s="831" t="s">
        <v>2674</v>
      </c>
      <c r="AH18150" s="831" t="s">
        <v>556</v>
      </c>
      <c r="AI18150" s="831">
        <v>0</v>
      </c>
      <c r="AJ18150" s="835">
        <v>41060</v>
      </c>
      <c r="AK18150" s="831">
        <v>0</v>
      </c>
    </row>
    <row r="18151" spans="2:37">
      <c r="B18151" s="834" t="str">
        <f t="shared" si="647"/>
        <v>|||</v>
      </c>
      <c r="H18151" s="835">
        <f t="shared" si="648"/>
        <v>31</v>
      </c>
      <c r="AF18151" s="831" t="s">
        <v>10350</v>
      </c>
      <c r="AG18151" s="831" t="s">
        <v>2674</v>
      </c>
      <c r="AH18151" s="831" t="s">
        <v>555</v>
      </c>
      <c r="AI18151" s="831">
        <v>0</v>
      </c>
      <c r="AJ18151" s="835">
        <v>41060</v>
      </c>
      <c r="AK18151" s="831">
        <v>196148980</v>
      </c>
    </row>
    <row r="18152" spans="2:37">
      <c r="B18152" s="834" t="str">
        <f t="shared" si="647"/>
        <v>|||</v>
      </c>
      <c r="H18152" s="835">
        <f t="shared" si="648"/>
        <v>31</v>
      </c>
      <c r="AF18152" s="831" t="s">
        <v>10351</v>
      </c>
      <c r="AG18152" s="831" t="s">
        <v>2674</v>
      </c>
      <c r="AH18152" s="831" t="s">
        <v>554</v>
      </c>
      <c r="AI18152" s="831">
        <v>0</v>
      </c>
      <c r="AJ18152" s="835">
        <v>41060</v>
      </c>
      <c r="AK18152" s="831">
        <v>194772980</v>
      </c>
    </row>
    <row r="18153" spans="2:37">
      <c r="B18153" s="834" t="str">
        <f t="shared" si="647"/>
        <v>|||</v>
      </c>
      <c r="H18153" s="835">
        <f t="shared" si="648"/>
        <v>31</v>
      </c>
      <c r="AF18153" s="831" t="s">
        <v>10352</v>
      </c>
      <c r="AG18153" s="831" t="s">
        <v>2674</v>
      </c>
      <c r="AH18153" s="831" t="s">
        <v>553</v>
      </c>
      <c r="AI18153" s="831">
        <v>0</v>
      </c>
      <c r="AJ18153" s="835">
        <v>41060</v>
      </c>
      <c r="AK18153" s="831">
        <v>0</v>
      </c>
    </row>
    <row r="18154" spans="2:37">
      <c r="B18154" s="834" t="str">
        <f t="shared" si="647"/>
        <v>|||</v>
      </c>
      <c r="H18154" s="835">
        <f t="shared" si="648"/>
        <v>31</v>
      </c>
      <c r="AF18154" s="831" t="s">
        <v>10353</v>
      </c>
      <c r="AG18154" s="831" t="s">
        <v>2674</v>
      </c>
      <c r="AH18154" s="831" t="s">
        <v>552</v>
      </c>
      <c r="AI18154" s="831">
        <v>0</v>
      </c>
      <c r="AJ18154" s="835">
        <v>41060</v>
      </c>
      <c r="AK18154" s="831">
        <v>0</v>
      </c>
    </row>
    <row r="18155" spans="2:37">
      <c r="B18155" s="834" t="str">
        <f t="shared" si="647"/>
        <v>|||</v>
      </c>
      <c r="H18155" s="835">
        <f t="shared" si="648"/>
        <v>31</v>
      </c>
      <c r="AF18155" s="831" t="s">
        <v>10354</v>
      </c>
      <c r="AG18155" s="831" t="s">
        <v>2674</v>
      </c>
      <c r="AH18155" s="831" t="s">
        <v>551</v>
      </c>
      <c r="AI18155" s="831">
        <v>0</v>
      </c>
      <c r="AJ18155" s="835">
        <v>41060</v>
      </c>
      <c r="AK18155" s="831">
        <v>2340522</v>
      </c>
    </row>
    <row r="18156" spans="2:37">
      <c r="B18156" s="834" t="str">
        <f t="shared" si="647"/>
        <v>|||</v>
      </c>
      <c r="H18156" s="835">
        <f t="shared" si="648"/>
        <v>31</v>
      </c>
      <c r="AF18156" s="831" t="s">
        <v>10355</v>
      </c>
      <c r="AG18156" s="831" t="s">
        <v>2674</v>
      </c>
      <c r="AH18156" s="831" t="s">
        <v>550</v>
      </c>
      <c r="AI18156" s="831">
        <v>0</v>
      </c>
      <c r="AJ18156" s="835">
        <v>41060</v>
      </c>
      <c r="AK18156" s="831">
        <v>0</v>
      </c>
    </row>
    <row r="18157" spans="2:37">
      <c r="B18157" s="834" t="str">
        <f t="shared" si="647"/>
        <v>|||</v>
      </c>
      <c r="H18157" s="835">
        <f t="shared" si="648"/>
        <v>31</v>
      </c>
      <c r="AF18157" s="831" t="s">
        <v>10356</v>
      </c>
      <c r="AG18157" s="831" t="s">
        <v>2674</v>
      </c>
      <c r="AH18157" s="831" t="s">
        <v>562</v>
      </c>
      <c r="AI18157" s="831">
        <v>0</v>
      </c>
      <c r="AJ18157" s="835">
        <v>41060</v>
      </c>
      <c r="AK18157" s="831">
        <v>0.78515000000000001</v>
      </c>
    </row>
    <row r="18158" spans="2:37">
      <c r="B18158" s="834" t="str">
        <f t="shared" si="647"/>
        <v>|||</v>
      </c>
      <c r="H18158" s="835">
        <f t="shared" si="648"/>
        <v>31</v>
      </c>
      <c r="AF18158" s="831" t="s">
        <v>10357</v>
      </c>
      <c r="AG18158" s="831" t="s">
        <v>2674</v>
      </c>
      <c r="AH18158" s="831" t="s">
        <v>2698</v>
      </c>
      <c r="AI18158" s="831">
        <v>0</v>
      </c>
      <c r="AJ18158" s="835">
        <v>41060</v>
      </c>
      <c r="AK18158" s="831">
        <v>0.78585000000000005</v>
      </c>
    </row>
    <row r="18159" spans="2:37">
      <c r="B18159" s="834" t="str">
        <f t="shared" si="647"/>
        <v>|||</v>
      </c>
      <c r="H18159" s="835">
        <f t="shared" si="648"/>
        <v>31</v>
      </c>
      <c r="AF18159" s="831" t="s">
        <v>10358</v>
      </c>
      <c r="AG18159" s="831" t="s">
        <v>2674</v>
      </c>
      <c r="AH18159" s="831" t="s">
        <v>560</v>
      </c>
      <c r="AI18159" s="831">
        <v>0</v>
      </c>
      <c r="AJ18159" s="835">
        <v>41060</v>
      </c>
      <c r="AK18159" s="831">
        <v>0.78580000000000005</v>
      </c>
    </row>
    <row r="18160" spans="2:37">
      <c r="B18160" s="834" t="str">
        <f t="shared" si="647"/>
        <v>|||</v>
      </c>
      <c r="H18160" s="835">
        <f t="shared" si="648"/>
        <v>31</v>
      </c>
      <c r="AF18160" s="831" t="s">
        <v>10359</v>
      </c>
      <c r="AG18160" s="831" t="s">
        <v>2674</v>
      </c>
      <c r="AH18160" s="831" t="s">
        <v>559</v>
      </c>
      <c r="AI18160" s="831">
        <v>0</v>
      </c>
      <c r="AJ18160" s="835">
        <v>41060</v>
      </c>
      <c r="AK18160" s="831">
        <v>0.78569999999999995</v>
      </c>
    </row>
    <row r="18161" spans="2:37">
      <c r="B18161" s="834" t="str">
        <f t="shared" si="647"/>
        <v>|||</v>
      </c>
      <c r="H18161" s="835">
        <f t="shared" si="648"/>
        <v>31</v>
      </c>
      <c r="AF18161" s="831" t="s">
        <v>10360</v>
      </c>
      <c r="AG18161" s="831" t="s">
        <v>2674</v>
      </c>
      <c r="AH18161" s="831" t="s">
        <v>568</v>
      </c>
      <c r="AI18161" s="831">
        <v>0</v>
      </c>
      <c r="AJ18161" s="835">
        <v>41060</v>
      </c>
      <c r="AK18161" s="831">
        <v>0</v>
      </c>
    </row>
    <row r="18162" spans="2:37">
      <c r="B18162" s="834" t="str">
        <f t="shared" si="647"/>
        <v>|||</v>
      </c>
      <c r="H18162" s="835">
        <f t="shared" si="648"/>
        <v>31</v>
      </c>
      <c r="AF18162" s="831" t="s">
        <v>10361</v>
      </c>
      <c r="AG18162" s="831" t="s">
        <v>2674</v>
      </c>
      <c r="AH18162" s="831" t="s">
        <v>569</v>
      </c>
      <c r="AI18162" s="831">
        <v>0</v>
      </c>
      <c r="AJ18162" s="835">
        <v>41060</v>
      </c>
      <c r="AK18162" s="831">
        <v>0</v>
      </c>
    </row>
    <row r="18163" spans="2:37">
      <c r="B18163" s="834" t="str">
        <f t="shared" si="647"/>
        <v>|||</v>
      </c>
      <c r="H18163" s="835">
        <f t="shared" si="648"/>
        <v>31</v>
      </c>
      <c r="AF18163" s="831" t="s">
        <v>10362</v>
      </c>
      <c r="AG18163" s="831" t="s">
        <v>2674</v>
      </c>
      <c r="AH18163" s="831" t="s">
        <v>570</v>
      </c>
      <c r="AI18163" s="831">
        <v>0</v>
      </c>
      <c r="AJ18163" s="835">
        <v>41060</v>
      </c>
      <c r="AK18163" s="831">
        <v>0</v>
      </c>
    </row>
    <row r="18164" spans="2:37">
      <c r="B18164" s="834" t="str">
        <f t="shared" si="647"/>
        <v>|||</v>
      </c>
      <c r="H18164" s="835">
        <f t="shared" si="648"/>
        <v>31</v>
      </c>
      <c r="AF18164" s="831" t="s">
        <v>10363</v>
      </c>
      <c r="AG18164" s="831" t="s">
        <v>2674</v>
      </c>
      <c r="AH18164" s="831" t="s">
        <v>571</v>
      </c>
      <c r="AI18164" s="831">
        <v>0</v>
      </c>
      <c r="AJ18164" s="835">
        <v>41060</v>
      </c>
      <c r="AK18164" s="831">
        <v>0</v>
      </c>
    </row>
    <row r="18165" spans="2:37">
      <c r="B18165" s="834" t="str">
        <f t="shared" si="647"/>
        <v>|||</v>
      </c>
      <c r="H18165" s="835">
        <f t="shared" si="648"/>
        <v>31</v>
      </c>
      <c r="AF18165" s="831" t="s">
        <v>10364</v>
      </c>
      <c r="AG18165" s="831" t="s">
        <v>2674</v>
      </c>
      <c r="AH18165" s="831" t="s">
        <v>573</v>
      </c>
      <c r="AI18165" s="831">
        <v>0</v>
      </c>
      <c r="AJ18165" s="835">
        <v>41060</v>
      </c>
      <c r="AK18165" s="831">
        <v>0</v>
      </c>
    </row>
    <row r="18166" spans="2:37">
      <c r="B18166" s="834" t="str">
        <f t="shared" si="647"/>
        <v>|||</v>
      </c>
      <c r="H18166" s="835">
        <f t="shared" si="648"/>
        <v>31</v>
      </c>
      <c r="AF18166" s="831" t="s">
        <v>10365</v>
      </c>
      <c r="AG18166" s="831" t="s">
        <v>2674</v>
      </c>
      <c r="AH18166" s="831" t="s">
        <v>574</v>
      </c>
      <c r="AI18166" s="831">
        <v>0</v>
      </c>
      <c r="AJ18166" s="835">
        <v>41060</v>
      </c>
      <c r="AK18166" s="831">
        <v>0</v>
      </c>
    </row>
    <row r="18167" spans="2:37">
      <c r="B18167" s="834" t="str">
        <f t="shared" si="647"/>
        <v>|||</v>
      </c>
      <c r="H18167" s="835">
        <f t="shared" si="648"/>
        <v>31</v>
      </c>
      <c r="AF18167" s="831" t="s">
        <v>10366</v>
      </c>
      <c r="AG18167" s="831" t="s">
        <v>2674</v>
      </c>
      <c r="AH18167" s="831" t="s">
        <v>575</v>
      </c>
      <c r="AI18167" s="831">
        <v>0</v>
      </c>
      <c r="AJ18167" s="835">
        <v>41060</v>
      </c>
      <c r="AK18167" s="831">
        <v>0</v>
      </c>
    </row>
    <row r="18168" spans="2:37">
      <c r="B18168" s="834" t="str">
        <f t="shared" si="647"/>
        <v>|||</v>
      </c>
      <c r="H18168" s="835">
        <f t="shared" si="648"/>
        <v>31</v>
      </c>
      <c r="AF18168" s="831" t="s">
        <v>10367</v>
      </c>
      <c r="AG18168" s="831" t="s">
        <v>2674</v>
      </c>
      <c r="AH18168" s="831" t="s">
        <v>576</v>
      </c>
      <c r="AI18168" s="831">
        <v>0</v>
      </c>
      <c r="AJ18168" s="835">
        <v>41060</v>
      </c>
      <c r="AK18168" s="831">
        <v>0</v>
      </c>
    </row>
    <row r="18169" spans="2:37">
      <c r="B18169" s="834" t="str">
        <f t="shared" si="647"/>
        <v>|||</v>
      </c>
      <c r="H18169" s="835">
        <f t="shared" si="648"/>
        <v>31</v>
      </c>
      <c r="AF18169" s="831" t="s">
        <v>10368</v>
      </c>
      <c r="AG18169" s="831" t="s">
        <v>2674</v>
      </c>
      <c r="AH18169" s="831" t="s">
        <v>572</v>
      </c>
      <c r="AI18169" s="831">
        <v>0</v>
      </c>
      <c r="AJ18169" s="835">
        <v>41060</v>
      </c>
      <c r="AK18169" s="831">
        <v>-2146826246</v>
      </c>
    </row>
    <row r="18170" spans="2:37">
      <c r="B18170" s="834" t="str">
        <f t="shared" si="647"/>
        <v>|||</v>
      </c>
      <c r="H18170" s="835">
        <f t="shared" si="648"/>
        <v>31</v>
      </c>
      <c r="AF18170" s="831" t="s">
        <v>10369</v>
      </c>
      <c r="AG18170" s="831" t="s">
        <v>2674</v>
      </c>
      <c r="AH18170" s="831" t="s">
        <v>577</v>
      </c>
      <c r="AI18170" s="831">
        <v>0</v>
      </c>
      <c r="AJ18170" s="835">
        <v>41060</v>
      </c>
      <c r="AK18170" s="831">
        <v>-2146826246</v>
      </c>
    </row>
    <row r="18171" spans="2:37">
      <c r="B18171" s="834" t="str">
        <f t="shared" si="647"/>
        <v>|||</v>
      </c>
      <c r="H18171" s="835">
        <f t="shared" si="648"/>
        <v>31</v>
      </c>
      <c r="AF18171" s="831" t="s">
        <v>10370</v>
      </c>
      <c r="AG18171" s="831" t="s">
        <v>2674</v>
      </c>
      <c r="AH18171" s="831" t="s">
        <v>3042</v>
      </c>
      <c r="AI18171" s="831">
        <v>0</v>
      </c>
      <c r="AJ18171" s="835">
        <v>41060</v>
      </c>
      <c r="AK18171" s="831">
        <v>-2146826246</v>
      </c>
    </row>
    <row r="18172" spans="2:37">
      <c r="B18172" s="834" t="str">
        <f t="shared" si="647"/>
        <v>|||</v>
      </c>
      <c r="H18172" s="835">
        <f t="shared" si="648"/>
        <v>31</v>
      </c>
      <c r="AF18172" s="831" t="s">
        <v>10371</v>
      </c>
      <c r="AG18172" s="831" t="s">
        <v>2674</v>
      </c>
      <c r="AH18172" s="831" t="s">
        <v>3044</v>
      </c>
      <c r="AI18172" s="831">
        <v>0</v>
      </c>
      <c r="AJ18172" s="835">
        <v>41060</v>
      </c>
      <c r="AK18172" s="831">
        <v>-2146826246</v>
      </c>
    </row>
    <row r="18173" spans="2:37">
      <c r="B18173" s="834" t="str">
        <f t="shared" si="647"/>
        <v>|||</v>
      </c>
      <c r="H18173" s="835">
        <f t="shared" si="648"/>
        <v>31</v>
      </c>
      <c r="AF18173" s="831" t="s">
        <v>10372</v>
      </c>
      <c r="AG18173" s="831" t="s">
        <v>2674</v>
      </c>
      <c r="AH18173" s="831" t="s">
        <v>580</v>
      </c>
      <c r="AI18173" s="831">
        <v>0</v>
      </c>
      <c r="AJ18173" s="835">
        <v>41060</v>
      </c>
      <c r="AK18173" s="831">
        <v>-2146826246</v>
      </c>
    </row>
    <row r="18174" spans="2:37">
      <c r="B18174" s="834" t="str">
        <f t="shared" si="647"/>
        <v>|||</v>
      </c>
      <c r="H18174" s="835">
        <f t="shared" si="648"/>
        <v>31</v>
      </c>
      <c r="AF18174" s="831" t="s">
        <v>10373</v>
      </c>
      <c r="AG18174" s="831" t="s">
        <v>2674</v>
      </c>
      <c r="AH18174" s="831" t="s">
        <v>581</v>
      </c>
      <c r="AI18174" s="831">
        <v>0</v>
      </c>
      <c r="AJ18174" s="835">
        <v>41060</v>
      </c>
      <c r="AK18174" s="831">
        <v>-2146826246</v>
      </c>
    </row>
    <row r="18175" spans="2:37">
      <c r="B18175" s="834" t="str">
        <f t="shared" si="647"/>
        <v>|||</v>
      </c>
      <c r="H18175" s="835">
        <f t="shared" si="648"/>
        <v>31</v>
      </c>
      <c r="AF18175" s="831" t="s">
        <v>10374</v>
      </c>
      <c r="AG18175" s="831" t="s">
        <v>2674</v>
      </c>
      <c r="AH18175" s="831" t="s">
        <v>105</v>
      </c>
      <c r="AI18175" s="831">
        <v>0</v>
      </c>
      <c r="AJ18175" s="835">
        <v>41060</v>
      </c>
      <c r="AK18175" s="831">
        <v>149985593</v>
      </c>
    </row>
    <row r="18176" spans="2:37">
      <c r="B18176" s="834" t="str">
        <f t="shared" si="647"/>
        <v>|||</v>
      </c>
      <c r="H18176" s="835">
        <f t="shared" si="648"/>
        <v>31</v>
      </c>
      <c r="AF18176" s="831" t="s">
        <v>10375</v>
      </c>
      <c r="AG18176" s="831" t="s">
        <v>2674</v>
      </c>
      <c r="AH18176" s="831" t="s">
        <v>3049</v>
      </c>
      <c r="AI18176" s="831">
        <v>0</v>
      </c>
      <c r="AJ18176" s="835">
        <v>41060</v>
      </c>
      <c r="AK18176" s="831">
        <v>309400000</v>
      </c>
    </row>
    <row r="18177" spans="2:37">
      <c r="B18177" s="834" t="str">
        <f t="shared" si="647"/>
        <v>|||</v>
      </c>
      <c r="H18177" s="835">
        <f t="shared" si="648"/>
        <v>31</v>
      </c>
      <c r="AF18177" s="831" t="s">
        <v>10376</v>
      </c>
      <c r="AG18177" s="831" t="s">
        <v>2674</v>
      </c>
      <c r="AH18177" s="831" t="s">
        <v>103</v>
      </c>
      <c r="AI18177" s="831">
        <v>0</v>
      </c>
      <c r="AJ18177" s="835">
        <v>41060</v>
      </c>
      <c r="AK18177" s="831">
        <v>159414407</v>
      </c>
    </row>
    <row r="18178" spans="2:37">
      <c r="B18178" s="834" t="str">
        <f t="shared" si="647"/>
        <v>|||</v>
      </c>
      <c r="H18178" s="835">
        <f t="shared" si="648"/>
        <v>31</v>
      </c>
      <c r="AF18178" s="831" t="s">
        <v>10377</v>
      </c>
      <c r="AG18178" s="831" t="s">
        <v>2674</v>
      </c>
      <c r="AH18178" s="831" t="s">
        <v>182</v>
      </c>
      <c r="AI18178" s="831">
        <v>0</v>
      </c>
      <c r="AJ18178" s="835">
        <v>41060</v>
      </c>
      <c r="AK18178" s="831">
        <v>50472969.600000001</v>
      </c>
    </row>
    <row r="18179" spans="2:37">
      <c r="B18179" s="834" t="str">
        <f t="shared" si="647"/>
        <v>|||</v>
      </c>
      <c r="H18179" s="835">
        <f t="shared" si="648"/>
        <v>31</v>
      </c>
      <c r="AF18179" s="831" t="s">
        <v>10378</v>
      </c>
      <c r="AG18179" s="831" t="s">
        <v>2674</v>
      </c>
      <c r="AH18179" s="831" t="s">
        <v>6600</v>
      </c>
      <c r="AI18179" s="831">
        <v>0</v>
      </c>
      <c r="AJ18179" s="835">
        <v>41060</v>
      </c>
      <c r="AK18179" s="831">
        <v>-2146826246</v>
      </c>
    </row>
    <row r="18180" spans="2:37">
      <c r="B18180" s="834" t="str">
        <f t="shared" si="647"/>
        <v>|||</v>
      </c>
      <c r="H18180" s="835">
        <f t="shared" si="648"/>
        <v>31</v>
      </c>
      <c r="AF18180" s="831" t="s">
        <v>10379</v>
      </c>
      <c r="AG18180" s="831" t="s">
        <v>2674</v>
      </c>
      <c r="AH18180" s="831" t="s">
        <v>6602</v>
      </c>
      <c r="AI18180" s="831">
        <v>0</v>
      </c>
      <c r="AJ18180" s="835">
        <v>41060</v>
      </c>
      <c r="AK18180" s="831">
        <v>5197337</v>
      </c>
    </row>
    <row r="18181" spans="2:37">
      <c r="B18181" s="834" t="str">
        <f t="shared" si="647"/>
        <v>|||</v>
      </c>
      <c r="H18181" s="835">
        <f t="shared" si="648"/>
        <v>31</v>
      </c>
      <c r="AF18181" s="831" t="s">
        <v>10380</v>
      </c>
      <c r="AG18181" s="831" t="s">
        <v>2674</v>
      </c>
      <c r="AH18181" s="831" t="s">
        <v>650</v>
      </c>
      <c r="AI18181" s="831">
        <v>0</v>
      </c>
      <c r="AJ18181" s="835">
        <v>41060</v>
      </c>
      <c r="AK18181" s="831">
        <v>0</v>
      </c>
    </row>
    <row r="18182" spans="2:37">
      <c r="B18182" s="834" t="str">
        <f t="shared" si="647"/>
        <v>|||</v>
      </c>
      <c r="H18182" s="835">
        <f t="shared" si="648"/>
        <v>31</v>
      </c>
      <c r="AF18182" s="831" t="s">
        <v>10381</v>
      </c>
      <c r="AG18182" s="831" t="s">
        <v>2674</v>
      </c>
      <c r="AH18182" s="831" t="s">
        <v>655</v>
      </c>
      <c r="AI18182" s="831">
        <v>0</v>
      </c>
      <c r="AJ18182" s="835">
        <v>41060</v>
      </c>
      <c r="AK18182" s="831">
        <v>2125799</v>
      </c>
    </row>
    <row r="18183" spans="2:37">
      <c r="B18183" s="834" t="str">
        <f t="shared" si="647"/>
        <v>|||</v>
      </c>
      <c r="H18183" s="835">
        <f t="shared" si="648"/>
        <v>31</v>
      </c>
      <c r="AF18183" s="831" t="s">
        <v>10382</v>
      </c>
      <c r="AG18183" s="831" t="s">
        <v>2674</v>
      </c>
      <c r="AH18183" s="831" t="s">
        <v>546</v>
      </c>
      <c r="AI18183" s="831">
        <v>0</v>
      </c>
      <c r="AJ18183" s="835">
        <v>41090</v>
      </c>
      <c r="AK18183" s="831">
        <v>342628450</v>
      </c>
    </row>
    <row r="18184" spans="2:37">
      <c r="B18184" s="834" t="str">
        <f t="shared" si="647"/>
        <v>|||</v>
      </c>
      <c r="H18184" s="835">
        <f t="shared" si="648"/>
        <v>31</v>
      </c>
      <c r="AF18184" s="831" t="s">
        <v>10383</v>
      </c>
      <c r="AG18184" s="831" t="s">
        <v>2674</v>
      </c>
      <c r="AH18184" s="831" t="s">
        <v>370</v>
      </c>
      <c r="AI18184" s="831">
        <v>0</v>
      </c>
      <c r="AJ18184" s="835">
        <v>41090</v>
      </c>
      <c r="AK18184" s="831">
        <v>422295379</v>
      </c>
    </row>
    <row r="18185" spans="2:37">
      <c r="B18185" s="834" t="str">
        <f t="shared" si="647"/>
        <v>|||</v>
      </c>
      <c r="H18185" s="835">
        <f t="shared" si="648"/>
        <v>31</v>
      </c>
      <c r="AF18185" s="831" t="s">
        <v>10384</v>
      </c>
      <c r="AG18185" s="831" t="s">
        <v>2674</v>
      </c>
      <c r="AH18185" s="831" t="s">
        <v>126</v>
      </c>
      <c r="AI18185" s="831">
        <v>0</v>
      </c>
      <c r="AJ18185" s="835">
        <v>41090</v>
      </c>
      <c r="AK18185" s="831">
        <v>91675016</v>
      </c>
    </row>
    <row r="18186" spans="2:37">
      <c r="B18186" s="834" t="str">
        <f t="shared" si="647"/>
        <v>|||</v>
      </c>
      <c r="H18186" s="835">
        <f t="shared" si="648"/>
        <v>31</v>
      </c>
      <c r="AF18186" s="831" t="s">
        <v>10385</v>
      </c>
      <c r="AG18186" s="831" t="s">
        <v>2674</v>
      </c>
      <c r="AH18186" s="831" t="s">
        <v>268</v>
      </c>
      <c r="AI18186" s="831">
        <v>0</v>
      </c>
      <c r="AJ18186" s="835">
        <v>41090</v>
      </c>
      <c r="AK18186" s="831">
        <v>6352093</v>
      </c>
    </row>
    <row r="18187" spans="2:37">
      <c r="B18187" s="834" t="str">
        <f t="shared" si="647"/>
        <v>|||</v>
      </c>
      <c r="H18187" s="835">
        <f t="shared" si="648"/>
        <v>31</v>
      </c>
      <c r="AF18187" s="831" t="s">
        <v>10386</v>
      </c>
      <c r="AG18187" s="831" t="s">
        <v>2674</v>
      </c>
      <c r="AH18187" s="831" t="s">
        <v>547</v>
      </c>
      <c r="AI18187" s="831">
        <v>0</v>
      </c>
      <c r="AJ18187" s="835">
        <v>41090</v>
      </c>
      <c r="AK18187" s="831">
        <v>0</v>
      </c>
    </row>
    <row r="18188" spans="2:37">
      <c r="B18188" s="834" t="str">
        <f t="shared" si="647"/>
        <v>|||</v>
      </c>
      <c r="H18188" s="835">
        <f t="shared" si="648"/>
        <v>31</v>
      </c>
      <c r="AF18188" s="831" t="s">
        <v>10387</v>
      </c>
      <c r="AG18188" s="831" t="s">
        <v>2674</v>
      </c>
      <c r="AH18188" s="831" t="s">
        <v>548</v>
      </c>
      <c r="AI18188" s="831">
        <v>0</v>
      </c>
      <c r="AJ18188" s="835">
        <v>41090</v>
      </c>
      <c r="AK18188" s="831">
        <v>0</v>
      </c>
    </row>
    <row r="18189" spans="2:37">
      <c r="B18189" s="834" t="str">
        <f t="shared" si="647"/>
        <v>|||</v>
      </c>
      <c r="H18189" s="835">
        <f t="shared" si="648"/>
        <v>31</v>
      </c>
      <c r="AF18189" s="831" t="s">
        <v>10388</v>
      </c>
      <c r="AG18189" s="831" t="s">
        <v>2674</v>
      </c>
      <c r="AH18189" s="831" t="s">
        <v>549</v>
      </c>
      <c r="AI18189" s="831">
        <v>0</v>
      </c>
      <c r="AJ18189" s="835">
        <v>41090</v>
      </c>
      <c r="AK18189" s="831">
        <v>0</v>
      </c>
    </row>
    <row r="18190" spans="2:37">
      <c r="B18190" s="834" t="str">
        <f t="shared" si="647"/>
        <v>|||</v>
      </c>
      <c r="H18190" s="835">
        <f t="shared" si="648"/>
        <v>31</v>
      </c>
      <c r="AF18190" s="831" t="s">
        <v>10389</v>
      </c>
      <c r="AG18190" s="831" t="s">
        <v>2674</v>
      </c>
      <c r="AH18190" s="831" t="s">
        <v>192</v>
      </c>
      <c r="AI18190" s="831">
        <v>0</v>
      </c>
      <c r="AJ18190" s="835">
        <v>41090</v>
      </c>
      <c r="AK18190" s="831">
        <v>-9357224</v>
      </c>
    </row>
    <row r="18191" spans="2:37">
      <c r="B18191" s="834" t="str">
        <f t="shared" si="647"/>
        <v>|||</v>
      </c>
      <c r="H18191" s="835">
        <f t="shared" si="648"/>
        <v>31</v>
      </c>
      <c r="AF18191" s="831" t="s">
        <v>10390</v>
      </c>
      <c r="AG18191" s="831" t="s">
        <v>2674</v>
      </c>
      <c r="AH18191" s="831" t="s">
        <v>558</v>
      </c>
      <c r="AI18191" s="831">
        <v>0</v>
      </c>
      <c r="AJ18191" s="835">
        <v>41090</v>
      </c>
      <c r="AK18191" s="831">
        <v>330620363</v>
      </c>
    </row>
    <row r="18192" spans="2:37">
      <c r="B18192" s="834" t="str">
        <f t="shared" si="647"/>
        <v>|||</v>
      </c>
      <c r="H18192" s="835">
        <f t="shared" si="648"/>
        <v>31</v>
      </c>
      <c r="AF18192" s="831" t="s">
        <v>10391</v>
      </c>
      <c r="AG18192" s="831" t="s">
        <v>2674</v>
      </c>
      <c r="AH18192" s="831" t="s">
        <v>65</v>
      </c>
      <c r="AI18192" s="831">
        <v>0</v>
      </c>
      <c r="AJ18192" s="835">
        <v>41090</v>
      </c>
      <c r="AK18192" s="831">
        <v>46070355</v>
      </c>
    </row>
    <row r="18193" spans="2:37">
      <c r="B18193" s="834" t="str">
        <f t="shared" ref="B18193:B18256" si="649">C18193&amp;"|"&amp;D18193&amp;"|"&amp;E18193&amp;"|"&amp;F18193</f>
        <v>|||</v>
      </c>
      <c r="H18193" s="835">
        <f t="shared" ref="H18193:H18256" si="650">EOMONTH(L18193,0)</f>
        <v>31</v>
      </c>
      <c r="AF18193" s="831" t="s">
        <v>10392</v>
      </c>
      <c r="AG18193" s="831" t="s">
        <v>2674</v>
      </c>
      <c r="AH18193" s="831" t="s">
        <v>89</v>
      </c>
      <c r="AI18193" s="831">
        <v>0</v>
      </c>
      <c r="AJ18193" s="835">
        <v>41090</v>
      </c>
      <c r="AK18193" s="831">
        <v>122094</v>
      </c>
    </row>
    <row r="18194" spans="2:37">
      <c r="B18194" s="834" t="str">
        <f t="shared" si="649"/>
        <v>|||</v>
      </c>
      <c r="H18194" s="835">
        <f t="shared" si="650"/>
        <v>31</v>
      </c>
      <c r="AF18194" s="831" t="s">
        <v>10393</v>
      </c>
      <c r="AG18194" s="831" t="s">
        <v>2674</v>
      </c>
      <c r="AH18194" s="831" t="s">
        <v>557</v>
      </c>
      <c r="AI18194" s="831">
        <v>0</v>
      </c>
      <c r="AJ18194" s="835">
        <v>41090</v>
      </c>
      <c r="AK18194" s="831">
        <v>123933</v>
      </c>
    </row>
    <row r="18195" spans="2:37">
      <c r="B18195" s="834" t="str">
        <f t="shared" si="649"/>
        <v>|||</v>
      </c>
      <c r="H18195" s="835">
        <f t="shared" si="650"/>
        <v>31</v>
      </c>
      <c r="AF18195" s="831" t="s">
        <v>10394</v>
      </c>
      <c r="AG18195" s="831" t="s">
        <v>2674</v>
      </c>
      <c r="AH18195" s="831" t="s">
        <v>29</v>
      </c>
      <c r="AI18195" s="831">
        <v>0</v>
      </c>
      <c r="AJ18195" s="835">
        <v>41090</v>
      </c>
      <c r="AK18195" s="831">
        <v>2579950</v>
      </c>
    </row>
    <row r="18196" spans="2:37">
      <c r="B18196" s="834" t="str">
        <f t="shared" si="649"/>
        <v>|||</v>
      </c>
      <c r="H18196" s="835">
        <f t="shared" si="650"/>
        <v>31</v>
      </c>
      <c r="AF18196" s="831" t="s">
        <v>10395</v>
      </c>
      <c r="AG18196" s="831" t="s">
        <v>2674</v>
      </c>
      <c r="AH18196" s="831" t="s">
        <v>2688</v>
      </c>
      <c r="AI18196" s="831">
        <v>0</v>
      </c>
      <c r="AJ18196" s="835">
        <v>41090</v>
      </c>
      <c r="AK18196" s="831">
        <v>2983420</v>
      </c>
    </row>
    <row r="18197" spans="2:37">
      <c r="B18197" s="834" t="str">
        <f t="shared" si="649"/>
        <v>|||</v>
      </c>
      <c r="H18197" s="835">
        <f t="shared" si="650"/>
        <v>31</v>
      </c>
      <c r="AF18197" s="831" t="s">
        <v>10396</v>
      </c>
      <c r="AG18197" s="831" t="s">
        <v>2674</v>
      </c>
      <c r="AH18197" s="831" t="s">
        <v>556</v>
      </c>
      <c r="AI18197" s="831">
        <v>0</v>
      </c>
      <c r="AJ18197" s="835">
        <v>41090</v>
      </c>
      <c r="AK18197" s="831">
        <v>0</v>
      </c>
    </row>
    <row r="18198" spans="2:37">
      <c r="B18198" s="834" t="str">
        <f t="shared" si="649"/>
        <v>|||</v>
      </c>
      <c r="H18198" s="835">
        <f t="shared" si="650"/>
        <v>31</v>
      </c>
      <c r="AF18198" s="831" t="s">
        <v>10397</v>
      </c>
      <c r="AG18198" s="831" t="s">
        <v>2674</v>
      </c>
      <c r="AH18198" s="831" t="s">
        <v>555</v>
      </c>
      <c r="AI18198" s="831">
        <v>0</v>
      </c>
      <c r="AJ18198" s="835">
        <v>41090</v>
      </c>
      <c r="AK18198" s="831">
        <v>197249400</v>
      </c>
    </row>
    <row r="18199" spans="2:37">
      <c r="B18199" s="834" t="str">
        <f t="shared" si="649"/>
        <v>|||</v>
      </c>
      <c r="H18199" s="835">
        <f t="shared" si="650"/>
        <v>31</v>
      </c>
      <c r="AF18199" s="831" t="s">
        <v>10398</v>
      </c>
      <c r="AG18199" s="831" t="s">
        <v>2674</v>
      </c>
      <c r="AH18199" s="831" t="s">
        <v>554</v>
      </c>
      <c r="AI18199" s="831">
        <v>0</v>
      </c>
      <c r="AJ18199" s="835">
        <v>41090</v>
      </c>
      <c r="AK18199" s="831">
        <v>196927620</v>
      </c>
    </row>
    <row r="18200" spans="2:37">
      <c r="B18200" s="834" t="str">
        <f t="shared" si="649"/>
        <v>|||</v>
      </c>
      <c r="H18200" s="835">
        <f t="shared" si="650"/>
        <v>31</v>
      </c>
      <c r="AF18200" s="831" t="s">
        <v>10399</v>
      </c>
      <c r="AG18200" s="831" t="s">
        <v>2674</v>
      </c>
      <c r="AH18200" s="831" t="s">
        <v>553</v>
      </c>
      <c r="AI18200" s="831">
        <v>0</v>
      </c>
      <c r="AJ18200" s="835">
        <v>41090</v>
      </c>
      <c r="AK18200" s="831">
        <v>0</v>
      </c>
    </row>
    <row r="18201" spans="2:37">
      <c r="B18201" s="834" t="str">
        <f t="shared" si="649"/>
        <v>|||</v>
      </c>
      <c r="H18201" s="835">
        <f t="shared" si="650"/>
        <v>31</v>
      </c>
      <c r="AF18201" s="831" t="s">
        <v>10400</v>
      </c>
      <c r="AG18201" s="831" t="s">
        <v>2674</v>
      </c>
      <c r="AH18201" s="831" t="s">
        <v>552</v>
      </c>
      <c r="AI18201" s="831">
        <v>0</v>
      </c>
      <c r="AJ18201" s="835">
        <v>41090</v>
      </c>
      <c r="AK18201" s="831">
        <v>0</v>
      </c>
    </row>
    <row r="18202" spans="2:37">
      <c r="B18202" s="834" t="str">
        <f t="shared" si="649"/>
        <v>|||</v>
      </c>
      <c r="H18202" s="835">
        <f t="shared" si="650"/>
        <v>31</v>
      </c>
      <c r="AF18202" s="831" t="s">
        <v>10401</v>
      </c>
      <c r="AG18202" s="831" t="s">
        <v>2674</v>
      </c>
      <c r="AH18202" s="831" t="s">
        <v>551</v>
      </c>
      <c r="AI18202" s="831">
        <v>0</v>
      </c>
      <c r="AJ18202" s="835">
        <v>41090</v>
      </c>
      <c r="AK18202" s="831">
        <v>2420279</v>
      </c>
    </row>
    <row r="18203" spans="2:37">
      <c r="B18203" s="834" t="str">
        <f t="shared" si="649"/>
        <v>|||</v>
      </c>
      <c r="H18203" s="835">
        <f t="shared" si="650"/>
        <v>31</v>
      </c>
      <c r="AF18203" s="831" t="s">
        <v>10402</v>
      </c>
      <c r="AG18203" s="831" t="s">
        <v>2674</v>
      </c>
      <c r="AH18203" s="831" t="s">
        <v>550</v>
      </c>
      <c r="AI18203" s="831">
        <v>0</v>
      </c>
      <c r="AJ18203" s="835">
        <v>41090</v>
      </c>
      <c r="AK18203" s="831">
        <v>90520261</v>
      </c>
    </row>
    <row r="18204" spans="2:37">
      <c r="B18204" s="834" t="str">
        <f t="shared" si="649"/>
        <v>|||</v>
      </c>
      <c r="H18204" s="835">
        <f t="shared" si="650"/>
        <v>31</v>
      </c>
      <c r="AF18204" s="831" t="s">
        <v>10403</v>
      </c>
      <c r="AG18204" s="831" t="s">
        <v>2674</v>
      </c>
      <c r="AH18204" s="831" t="s">
        <v>562</v>
      </c>
      <c r="AI18204" s="831">
        <v>0</v>
      </c>
      <c r="AJ18204" s="835">
        <v>41090</v>
      </c>
      <c r="AK18204" s="831">
        <v>0.78505000000000003</v>
      </c>
    </row>
    <row r="18205" spans="2:37">
      <c r="B18205" s="834" t="str">
        <f t="shared" si="649"/>
        <v>|||</v>
      </c>
      <c r="H18205" s="835">
        <f t="shared" si="650"/>
        <v>31</v>
      </c>
      <c r="AF18205" s="831" t="s">
        <v>10404</v>
      </c>
      <c r="AG18205" s="831" t="s">
        <v>2674</v>
      </c>
      <c r="AH18205" s="831" t="s">
        <v>2698</v>
      </c>
      <c r="AI18205" s="831">
        <v>0</v>
      </c>
      <c r="AJ18205" s="835">
        <v>41090</v>
      </c>
      <c r="AK18205" s="831">
        <v>0.78515000000000001</v>
      </c>
    </row>
    <row r="18206" spans="2:37">
      <c r="B18206" s="834" t="str">
        <f t="shared" si="649"/>
        <v>|||</v>
      </c>
      <c r="H18206" s="835">
        <f t="shared" si="650"/>
        <v>31</v>
      </c>
      <c r="AF18206" s="831" t="s">
        <v>10405</v>
      </c>
      <c r="AG18206" s="831" t="s">
        <v>2674</v>
      </c>
      <c r="AH18206" s="831" t="s">
        <v>560</v>
      </c>
      <c r="AI18206" s="831">
        <v>0</v>
      </c>
      <c r="AJ18206" s="835">
        <v>41090</v>
      </c>
      <c r="AK18206" s="831">
        <v>0.78567500000000001</v>
      </c>
    </row>
    <row r="18207" spans="2:37">
      <c r="B18207" s="834" t="str">
        <f t="shared" si="649"/>
        <v>|||</v>
      </c>
      <c r="H18207" s="835">
        <f t="shared" si="650"/>
        <v>31</v>
      </c>
      <c r="AF18207" s="831" t="s">
        <v>10406</v>
      </c>
      <c r="AG18207" s="831" t="s">
        <v>2674</v>
      </c>
      <c r="AH18207" s="831" t="s">
        <v>559</v>
      </c>
      <c r="AI18207" s="831">
        <v>0</v>
      </c>
      <c r="AJ18207" s="835">
        <v>41090</v>
      </c>
      <c r="AK18207" s="831">
        <v>0.78561666666666674</v>
      </c>
    </row>
    <row r="18208" spans="2:37">
      <c r="B18208" s="834" t="str">
        <f t="shared" si="649"/>
        <v>|||</v>
      </c>
      <c r="H18208" s="835">
        <f t="shared" si="650"/>
        <v>31</v>
      </c>
      <c r="AF18208" s="831" t="s">
        <v>10407</v>
      </c>
      <c r="AG18208" s="831" t="s">
        <v>2674</v>
      </c>
      <c r="AH18208" s="831" t="s">
        <v>568</v>
      </c>
      <c r="AI18208" s="831">
        <v>0</v>
      </c>
      <c r="AJ18208" s="835">
        <v>41090</v>
      </c>
      <c r="AK18208" s="831">
        <v>0</v>
      </c>
    </row>
    <row r="18209" spans="2:37">
      <c r="B18209" s="834" t="str">
        <f t="shared" si="649"/>
        <v>|||</v>
      </c>
      <c r="H18209" s="835">
        <f t="shared" si="650"/>
        <v>31</v>
      </c>
      <c r="AF18209" s="831" t="s">
        <v>10408</v>
      </c>
      <c r="AG18209" s="831" t="s">
        <v>2674</v>
      </c>
      <c r="AH18209" s="831" t="s">
        <v>569</v>
      </c>
      <c r="AI18209" s="831">
        <v>0</v>
      </c>
      <c r="AJ18209" s="835">
        <v>41090</v>
      </c>
      <c r="AK18209" s="831">
        <v>0</v>
      </c>
    </row>
    <row r="18210" spans="2:37">
      <c r="B18210" s="834" t="str">
        <f t="shared" si="649"/>
        <v>|||</v>
      </c>
      <c r="H18210" s="835">
        <f t="shared" si="650"/>
        <v>31</v>
      </c>
      <c r="AF18210" s="831" t="s">
        <v>10409</v>
      </c>
      <c r="AG18210" s="831" t="s">
        <v>2674</v>
      </c>
      <c r="AH18210" s="831" t="s">
        <v>570</v>
      </c>
      <c r="AI18210" s="831">
        <v>0</v>
      </c>
      <c r="AJ18210" s="835">
        <v>41090</v>
      </c>
      <c r="AK18210" s="831">
        <v>0</v>
      </c>
    </row>
    <row r="18211" spans="2:37">
      <c r="B18211" s="834" t="str">
        <f t="shared" si="649"/>
        <v>|||</v>
      </c>
      <c r="H18211" s="835">
        <f t="shared" si="650"/>
        <v>31</v>
      </c>
      <c r="AF18211" s="831" t="s">
        <v>10410</v>
      </c>
      <c r="AG18211" s="831" t="s">
        <v>2674</v>
      </c>
      <c r="AH18211" s="831" t="s">
        <v>571</v>
      </c>
      <c r="AI18211" s="831">
        <v>0</v>
      </c>
      <c r="AJ18211" s="835">
        <v>41090</v>
      </c>
      <c r="AK18211" s="831">
        <v>0</v>
      </c>
    </row>
    <row r="18212" spans="2:37">
      <c r="B18212" s="834" t="str">
        <f t="shared" si="649"/>
        <v>|||</v>
      </c>
      <c r="H18212" s="835">
        <f t="shared" si="650"/>
        <v>31</v>
      </c>
      <c r="AF18212" s="831" t="s">
        <v>10411</v>
      </c>
      <c r="AG18212" s="831" t="s">
        <v>2674</v>
      </c>
      <c r="AH18212" s="831" t="s">
        <v>573</v>
      </c>
      <c r="AI18212" s="831">
        <v>0</v>
      </c>
      <c r="AJ18212" s="835">
        <v>41090</v>
      </c>
      <c r="AK18212" s="831">
        <v>0</v>
      </c>
    </row>
    <row r="18213" spans="2:37">
      <c r="B18213" s="834" t="str">
        <f t="shared" si="649"/>
        <v>|||</v>
      </c>
      <c r="H18213" s="835">
        <f t="shared" si="650"/>
        <v>31</v>
      </c>
      <c r="AF18213" s="831" t="s">
        <v>10412</v>
      </c>
      <c r="AG18213" s="831" t="s">
        <v>2674</v>
      </c>
      <c r="AH18213" s="831" t="s">
        <v>574</v>
      </c>
      <c r="AI18213" s="831">
        <v>0</v>
      </c>
      <c r="AJ18213" s="835">
        <v>41090</v>
      </c>
      <c r="AK18213" s="831">
        <v>0</v>
      </c>
    </row>
    <row r="18214" spans="2:37">
      <c r="B18214" s="834" t="str">
        <f t="shared" si="649"/>
        <v>|||</v>
      </c>
      <c r="H18214" s="835">
        <f t="shared" si="650"/>
        <v>31</v>
      </c>
      <c r="AF18214" s="831" t="s">
        <v>10413</v>
      </c>
      <c r="AG18214" s="831" t="s">
        <v>2674</v>
      </c>
      <c r="AH18214" s="831" t="s">
        <v>575</v>
      </c>
      <c r="AI18214" s="831">
        <v>0</v>
      </c>
      <c r="AJ18214" s="835">
        <v>41090</v>
      </c>
      <c r="AK18214" s="831">
        <v>0</v>
      </c>
    </row>
    <row r="18215" spans="2:37">
      <c r="B18215" s="834" t="str">
        <f t="shared" si="649"/>
        <v>|||</v>
      </c>
      <c r="H18215" s="835">
        <f t="shared" si="650"/>
        <v>31</v>
      </c>
      <c r="AF18215" s="831" t="s">
        <v>10414</v>
      </c>
      <c r="AG18215" s="831" t="s">
        <v>2674</v>
      </c>
      <c r="AH18215" s="831" t="s">
        <v>576</v>
      </c>
      <c r="AI18215" s="831">
        <v>0</v>
      </c>
      <c r="AJ18215" s="835">
        <v>41090</v>
      </c>
      <c r="AK18215" s="831">
        <v>0</v>
      </c>
    </row>
    <row r="18216" spans="2:37">
      <c r="B18216" s="834" t="str">
        <f t="shared" si="649"/>
        <v>|||</v>
      </c>
      <c r="H18216" s="835">
        <f t="shared" si="650"/>
        <v>31</v>
      </c>
      <c r="AF18216" s="831" t="s">
        <v>10415</v>
      </c>
      <c r="AG18216" s="831" t="s">
        <v>2674</v>
      </c>
      <c r="AH18216" s="831" t="s">
        <v>572</v>
      </c>
      <c r="AI18216" s="831">
        <v>0</v>
      </c>
      <c r="AJ18216" s="835">
        <v>41090</v>
      </c>
      <c r="AK18216" s="831">
        <v>-2146826246</v>
      </c>
    </row>
    <row r="18217" spans="2:37">
      <c r="B18217" s="834" t="str">
        <f t="shared" si="649"/>
        <v>|||</v>
      </c>
      <c r="H18217" s="835">
        <f t="shared" si="650"/>
        <v>31</v>
      </c>
      <c r="AF18217" s="831" t="s">
        <v>10416</v>
      </c>
      <c r="AG18217" s="831" t="s">
        <v>2674</v>
      </c>
      <c r="AH18217" s="831" t="s">
        <v>577</v>
      </c>
      <c r="AI18217" s="831">
        <v>0</v>
      </c>
      <c r="AJ18217" s="835">
        <v>41090</v>
      </c>
      <c r="AK18217" s="831">
        <v>-2146826246</v>
      </c>
    </row>
    <row r="18218" spans="2:37">
      <c r="B18218" s="834" t="str">
        <f t="shared" si="649"/>
        <v>|||</v>
      </c>
      <c r="H18218" s="835">
        <f t="shared" si="650"/>
        <v>31</v>
      </c>
      <c r="AF18218" s="831" t="s">
        <v>10417</v>
      </c>
      <c r="AG18218" s="831" t="s">
        <v>2674</v>
      </c>
      <c r="AH18218" s="831" t="s">
        <v>3042</v>
      </c>
      <c r="AI18218" s="831">
        <v>0</v>
      </c>
      <c r="AJ18218" s="835">
        <v>41090</v>
      </c>
      <c r="AK18218" s="831">
        <v>-2146826246</v>
      </c>
    </row>
    <row r="18219" spans="2:37">
      <c r="B18219" s="834" t="str">
        <f t="shared" si="649"/>
        <v>|||</v>
      </c>
      <c r="H18219" s="835">
        <f t="shared" si="650"/>
        <v>31</v>
      </c>
      <c r="AF18219" s="831" t="s">
        <v>10418</v>
      </c>
      <c r="AG18219" s="831" t="s">
        <v>2674</v>
      </c>
      <c r="AH18219" s="831" t="s">
        <v>3044</v>
      </c>
      <c r="AI18219" s="831">
        <v>0</v>
      </c>
      <c r="AJ18219" s="835">
        <v>41090</v>
      </c>
      <c r="AK18219" s="831">
        <v>-2146826246</v>
      </c>
    </row>
    <row r="18220" spans="2:37">
      <c r="B18220" s="834" t="str">
        <f t="shared" si="649"/>
        <v>|||</v>
      </c>
      <c r="H18220" s="835">
        <f t="shared" si="650"/>
        <v>31</v>
      </c>
      <c r="AF18220" s="831" t="s">
        <v>10419</v>
      </c>
      <c r="AG18220" s="831" t="s">
        <v>2674</v>
      </c>
      <c r="AH18220" s="831" t="s">
        <v>580</v>
      </c>
      <c r="AI18220" s="831">
        <v>0</v>
      </c>
      <c r="AJ18220" s="835">
        <v>41090</v>
      </c>
      <c r="AK18220" s="831">
        <v>-2146826246</v>
      </c>
    </row>
    <row r="18221" spans="2:37">
      <c r="B18221" s="834" t="str">
        <f t="shared" si="649"/>
        <v>|||</v>
      </c>
      <c r="H18221" s="835">
        <f t="shared" si="650"/>
        <v>31</v>
      </c>
      <c r="AF18221" s="831" t="s">
        <v>10420</v>
      </c>
      <c r="AG18221" s="831" t="s">
        <v>2674</v>
      </c>
      <c r="AH18221" s="831" t="s">
        <v>581</v>
      </c>
      <c r="AI18221" s="831">
        <v>0</v>
      </c>
      <c r="AJ18221" s="835">
        <v>41090</v>
      </c>
      <c r="AK18221" s="831">
        <v>-2146826246</v>
      </c>
    </row>
    <row r="18222" spans="2:37">
      <c r="B18222" s="834" t="str">
        <f t="shared" si="649"/>
        <v>|||</v>
      </c>
      <c r="H18222" s="835">
        <f t="shared" si="650"/>
        <v>31</v>
      </c>
      <c r="AF18222" s="831" t="s">
        <v>10421</v>
      </c>
      <c r="AG18222" s="831" t="s">
        <v>2674</v>
      </c>
      <c r="AH18222" s="831" t="s">
        <v>105</v>
      </c>
      <c r="AI18222" s="831">
        <v>0</v>
      </c>
      <c r="AJ18222" s="835">
        <v>41090</v>
      </c>
      <c r="AK18222" s="831">
        <v>152917631</v>
      </c>
    </row>
    <row r="18223" spans="2:37">
      <c r="B18223" s="834" t="str">
        <f t="shared" si="649"/>
        <v>|||</v>
      </c>
      <c r="H18223" s="835">
        <f t="shared" si="650"/>
        <v>31</v>
      </c>
      <c r="AF18223" s="831" t="s">
        <v>10422</v>
      </c>
      <c r="AG18223" s="831" t="s">
        <v>2674</v>
      </c>
      <c r="AH18223" s="831" t="s">
        <v>3049</v>
      </c>
      <c r="AI18223" s="831">
        <v>0</v>
      </c>
      <c r="AJ18223" s="835">
        <v>41090</v>
      </c>
      <c r="AK18223" s="831">
        <v>317640148</v>
      </c>
    </row>
    <row r="18224" spans="2:37">
      <c r="B18224" s="834" t="str">
        <f t="shared" si="649"/>
        <v>|||</v>
      </c>
      <c r="H18224" s="835">
        <f t="shared" si="650"/>
        <v>31</v>
      </c>
      <c r="AF18224" s="831" t="s">
        <v>10423</v>
      </c>
      <c r="AG18224" s="831" t="s">
        <v>2674</v>
      </c>
      <c r="AH18224" s="831" t="s">
        <v>103</v>
      </c>
      <c r="AI18224" s="831">
        <v>0</v>
      </c>
      <c r="AJ18224" s="835">
        <v>41090</v>
      </c>
      <c r="AK18224" s="831">
        <v>164722517</v>
      </c>
    </row>
    <row r="18225" spans="2:37">
      <c r="B18225" s="834" t="str">
        <f t="shared" si="649"/>
        <v>|||</v>
      </c>
      <c r="H18225" s="835">
        <f t="shared" si="650"/>
        <v>31</v>
      </c>
      <c r="AF18225" s="831" t="s">
        <v>10424</v>
      </c>
      <c r="AG18225" s="831" t="s">
        <v>2674</v>
      </c>
      <c r="AH18225" s="831" t="s">
        <v>182</v>
      </c>
      <c r="AI18225" s="831">
        <v>0</v>
      </c>
      <c r="AJ18225" s="835">
        <v>41090</v>
      </c>
      <c r="AK18225" s="831">
        <v>51276754</v>
      </c>
    </row>
    <row r="18226" spans="2:37">
      <c r="B18226" s="834" t="str">
        <f t="shared" si="649"/>
        <v>|||</v>
      </c>
      <c r="H18226" s="835">
        <f t="shared" si="650"/>
        <v>31</v>
      </c>
      <c r="AF18226" s="831" t="s">
        <v>10425</v>
      </c>
      <c r="AG18226" s="831" t="s">
        <v>2674</v>
      </c>
      <c r="AH18226" s="831" t="s">
        <v>6600</v>
      </c>
      <c r="AI18226" s="831">
        <v>0</v>
      </c>
      <c r="AJ18226" s="835">
        <v>41090</v>
      </c>
      <c r="AK18226" s="831">
        <v>-2146826246</v>
      </c>
    </row>
    <row r="18227" spans="2:37">
      <c r="B18227" s="834" t="str">
        <f t="shared" si="649"/>
        <v>|||</v>
      </c>
      <c r="H18227" s="835">
        <f t="shared" si="650"/>
        <v>31</v>
      </c>
      <c r="AF18227" s="831" t="s">
        <v>10426</v>
      </c>
      <c r="AG18227" s="831" t="s">
        <v>2674</v>
      </c>
      <c r="AH18227" s="831" t="s">
        <v>6602</v>
      </c>
      <c r="AI18227" s="831">
        <v>0</v>
      </c>
      <c r="AJ18227" s="835">
        <v>41090</v>
      </c>
      <c r="AK18227" s="831">
        <v>6352093</v>
      </c>
    </row>
    <row r="18228" spans="2:37">
      <c r="B18228" s="834" t="str">
        <f t="shared" si="649"/>
        <v>|||</v>
      </c>
      <c r="H18228" s="835">
        <f t="shared" si="650"/>
        <v>31</v>
      </c>
      <c r="AF18228" s="831" t="s">
        <v>10427</v>
      </c>
      <c r="AG18228" s="831" t="s">
        <v>2674</v>
      </c>
      <c r="AH18228" s="831" t="s">
        <v>650</v>
      </c>
      <c r="AI18228" s="831">
        <v>0</v>
      </c>
      <c r="AJ18228" s="835">
        <v>41090</v>
      </c>
      <c r="AK18228" s="831">
        <v>0</v>
      </c>
    </row>
    <row r="18229" spans="2:37">
      <c r="B18229" s="834" t="str">
        <f t="shared" si="649"/>
        <v>|||</v>
      </c>
      <c r="H18229" s="835">
        <f t="shared" si="650"/>
        <v>31</v>
      </c>
      <c r="AF18229" s="831" t="s">
        <v>10428</v>
      </c>
      <c r="AG18229" s="831" t="s">
        <v>2674</v>
      </c>
      <c r="AH18229" s="831" t="s">
        <v>655</v>
      </c>
      <c r="AI18229" s="831">
        <v>0</v>
      </c>
      <c r="AJ18229" s="835">
        <v>41090</v>
      </c>
      <c r="AK18229" s="831">
        <v>2251978</v>
      </c>
    </row>
    <row r="18230" spans="2:37">
      <c r="B18230" s="834" t="str">
        <f t="shared" si="649"/>
        <v>|||</v>
      </c>
      <c r="H18230" s="835">
        <f t="shared" si="650"/>
        <v>31</v>
      </c>
      <c r="AF18230" s="831" t="s">
        <v>10429</v>
      </c>
      <c r="AG18230" s="831" t="s">
        <v>2674</v>
      </c>
      <c r="AH18230" s="831" t="s">
        <v>546</v>
      </c>
      <c r="AI18230" s="831">
        <v>0</v>
      </c>
      <c r="AJ18230" s="835">
        <v>41121</v>
      </c>
      <c r="AK18230" s="831">
        <v>350104350</v>
      </c>
    </row>
    <row r="18231" spans="2:37">
      <c r="B18231" s="834" t="str">
        <f t="shared" si="649"/>
        <v>|||</v>
      </c>
      <c r="H18231" s="835">
        <f t="shared" si="650"/>
        <v>31</v>
      </c>
      <c r="AF18231" s="831" t="s">
        <v>10430</v>
      </c>
      <c r="AG18231" s="831" t="s">
        <v>2674</v>
      </c>
      <c r="AH18231" s="831" t="s">
        <v>370</v>
      </c>
      <c r="AI18231" s="831">
        <v>0</v>
      </c>
      <c r="AJ18231" s="835">
        <v>41121</v>
      </c>
      <c r="AK18231" s="831">
        <v>438122032</v>
      </c>
    </row>
    <row r="18232" spans="2:37">
      <c r="B18232" s="834" t="str">
        <f t="shared" si="649"/>
        <v>|||</v>
      </c>
      <c r="H18232" s="835">
        <f t="shared" si="650"/>
        <v>31</v>
      </c>
      <c r="AF18232" s="831" t="s">
        <v>10431</v>
      </c>
      <c r="AG18232" s="831" t="s">
        <v>2674</v>
      </c>
      <c r="AH18232" s="831" t="s">
        <v>126</v>
      </c>
      <c r="AI18232" s="831">
        <v>0</v>
      </c>
      <c r="AJ18232" s="835">
        <v>41121</v>
      </c>
      <c r="AK18232" s="831">
        <v>93426827</v>
      </c>
    </row>
    <row r="18233" spans="2:37">
      <c r="B18233" s="834" t="str">
        <f t="shared" si="649"/>
        <v>|||</v>
      </c>
      <c r="H18233" s="835">
        <f t="shared" si="650"/>
        <v>31</v>
      </c>
      <c r="AF18233" s="831" t="s">
        <v>10432</v>
      </c>
      <c r="AG18233" s="831" t="s">
        <v>2674</v>
      </c>
      <c r="AH18233" s="831" t="s">
        <v>268</v>
      </c>
      <c r="AI18233" s="831">
        <v>0</v>
      </c>
      <c r="AJ18233" s="835">
        <v>41121</v>
      </c>
      <c r="AK18233" s="831">
        <v>8103905</v>
      </c>
    </row>
    <row r="18234" spans="2:37">
      <c r="B18234" s="834" t="str">
        <f t="shared" si="649"/>
        <v>|||</v>
      </c>
      <c r="H18234" s="835">
        <f t="shared" si="650"/>
        <v>31</v>
      </c>
      <c r="AF18234" s="831" t="s">
        <v>10433</v>
      </c>
      <c r="AG18234" s="831" t="s">
        <v>2674</v>
      </c>
      <c r="AH18234" s="831" t="s">
        <v>547</v>
      </c>
      <c r="AI18234" s="831">
        <v>0</v>
      </c>
      <c r="AJ18234" s="835">
        <v>41121</v>
      </c>
      <c r="AK18234" s="831">
        <v>0</v>
      </c>
    </row>
    <row r="18235" spans="2:37">
      <c r="B18235" s="834" t="str">
        <f t="shared" si="649"/>
        <v>|||</v>
      </c>
      <c r="H18235" s="835">
        <f t="shared" si="650"/>
        <v>31</v>
      </c>
      <c r="AF18235" s="831" t="s">
        <v>10434</v>
      </c>
      <c r="AG18235" s="831" t="s">
        <v>2674</v>
      </c>
      <c r="AH18235" s="831" t="s">
        <v>548</v>
      </c>
      <c r="AI18235" s="831">
        <v>0</v>
      </c>
      <c r="AJ18235" s="835">
        <v>41121</v>
      </c>
      <c r="AK18235" s="831">
        <v>0</v>
      </c>
    </row>
    <row r="18236" spans="2:37">
      <c r="B18236" s="834" t="str">
        <f t="shared" si="649"/>
        <v>|||</v>
      </c>
      <c r="H18236" s="835">
        <f t="shared" si="650"/>
        <v>31</v>
      </c>
      <c r="AF18236" s="831" t="s">
        <v>10435</v>
      </c>
      <c r="AG18236" s="831" t="s">
        <v>2674</v>
      </c>
      <c r="AH18236" s="831" t="s">
        <v>549</v>
      </c>
      <c r="AI18236" s="831">
        <v>0</v>
      </c>
      <c r="AJ18236" s="835">
        <v>41121</v>
      </c>
      <c r="AK18236" s="831">
        <v>0</v>
      </c>
    </row>
    <row r="18237" spans="2:37">
      <c r="B18237" s="834" t="str">
        <f t="shared" si="649"/>
        <v>|||</v>
      </c>
      <c r="H18237" s="835">
        <f t="shared" si="650"/>
        <v>31</v>
      </c>
      <c r="AF18237" s="831" t="s">
        <v>10436</v>
      </c>
      <c r="AG18237" s="831" t="s">
        <v>2674</v>
      </c>
      <c r="AH18237" s="831" t="s">
        <v>192</v>
      </c>
      <c r="AI18237" s="831">
        <v>0</v>
      </c>
      <c r="AJ18237" s="835">
        <v>41121</v>
      </c>
      <c r="AK18237" s="831">
        <v>-9691486</v>
      </c>
    </row>
    <row r="18238" spans="2:37">
      <c r="B18238" s="834" t="str">
        <f t="shared" si="649"/>
        <v>|||</v>
      </c>
      <c r="H18238" s="835">
        <f t="shared" si="650"/>
        <v>31</v>
      </c>
      <c r="AF18238" s="831" t="s">
        <v>10437</v>
      </c>
      <c r="AG18238" s="831" t="s">
        <v>2674</v>
      </c>
      <c r="AH18238" s="831" t="s">
        <v>558</v>
      </c>
      <c r="AI18238" s="831">
        <v>0</v>
      </c>
      <c r="AJ18238" s="835">
        <v>41121</v>
      </c>
      <c r="AK18238" s="831">
        <v>344695205</v>
      </c>
    </row>
    <row r="18239" spans="2:37">
      <c r="B18239" s="834" t="str">
        <f t="shared" si="649"/>
        <v>|||</v>
      </c>
      <c r="H18239" s="835">
        <f t="shared" si="650"/>
        <v>31</v>
      </c>
      <c r="AF18239" s="831" t="s">
        <v>10438</v>
      </c>
      <c r="AG18239" s="831" t="s">
        <v>2674</v>
      </c>
      <c r="AH18239" s="831" t="s">
        <v>65</v>
      </c>
      <c r="AI18239" s="831">
        <v>0</v>
      </c>
      <c r="AJ18239" s="835">
        <v>41121</v>
      </c>
      <c r="AK18239" s="831">
        <v>54573964</v>
      </c>
    </row>
    <row r="18240" spans="2:37">
      <c r="B18240" s="834" t="str">
        <f t="shared" si="649"/>
        <v>|||</v>
      </c>
      <c r="H18240" s="835">
        <f t="shared" si="650"/>
        <v>31</v>
      </c>
      <c r="AF18240" s="831" t="s">
        <v>10439</v>
      </c>
      <c r="AG18240" s="831" t="s">
        <v>2674</v>
      </c>
      <c r="AH18240" s="831" t="s">
        <v>89</v>
      </c>
      <c r="AI18240" s="831">
        <v>0</v>
      </c>
      <c r="AJ18240" s="835">
        <v>41121</v>
      </c>
      <c r="AK18240" s="831">
        <v>121835</v>
      </c>
    </row>
    <row r="18241" spans="2:37">
      <c r="B18241" s="834" t="str">
        <f t="shared" si="649"/>
        <v>|||</v>
      </c>
      <c r="H18241" s="835">
        <f t="shared" si="650"/>
        <v>31</v>
      </c>
      <c r="AF18241" s="831" t="s">
        <v>10440</v>
      </c>
      <c r="AG18241" s="831" t="s">
        <v>2674</v>
      </c>
      <c r="AH18241" s="831" t="s">
        <v>557</v>
      </c>
      <c r="AI18241" s="831">
        <v>0</v>
      </c>
      <c r="AJ18241" s="835">
        <v>41121</v>
      </c>
      <c r="AK18241" s="831">
        <v>123680</v>
      </c>
    </row>
    <row r="18242" spans="2:37">
      <c r="B18242" s="834" t="str">
        <f t="shared" si="649"/>
        <v>|||</v>
      </c>
      <c r="H18242" s="835">
        <f t="shared" si="650"/>
        <v>31</v>
      </c>
      <c r="AF18242" s="831" t="s">
        <v>10441</v>
      </c>
      <c r="AG18242" s="831" t="s">
        <v>2674</v>
      </c>
      <c r="AH18242" s="831" t="s">
        <v>29</v>
      </c>
      <c r="AI18242" s="831">
        <v>0</v>
      </c>
      <c r="AJ18242" s="835">
        <v>41121</v>
      </c>
      <c r="AK18242" s="831">
        <v>2520940</v>
      </c>
    </row>
    <row r="18243" spans="2:37">
      <c r="B18243" s="834" t="str">
        <f t="shared" si="649"/>
        <v>|||</v>
      </c>
      <c r="H18243" s="835">
        <f t="shared" si="650"/>
        <v>31</v>
      </c>
      <c r="AF18243" s="831" t="s">
        <v>10442</v>
      </c>
      <c r="AG18243" s="831" t="s">
        <v>2674</v>
      </c>
      <c r="AH18243" s="831" t="s">
        <v>2688</v>
      </c>
      <c r="AI18243" s="831">
        <v>0</v>
      </c>
      <c r="AJ18243" s="835">
        <v>41121</v>
      </c>
      <c r="AK18243" s="831">
        <v>2874987.63</v>
      </c>
    </row>
    <row r="18244" spans="2:37">
      <c r="B18244" s="834" t="str">
        <f t="shared" si="649"/>
        <v>|||</v>
      </c>
      <c r="H18244" s="835">
        <f t="shared" si="650"/>
        <v>31</v>
      </c>
      <c r="AF18244" s="831" t="s">
        <v>10443</v>
      </c>
      <c r="AG18244" s="831" t="s">
        <v>2674</v>
      </c>
      <c r="AH18244" s="831" t="s">
        <v>556</v>
      </c>
      <c r="AI18244" s="831">
        <v>0</v>
      </c>
      <c r="AJ18244" s="835">
        <v>41121</v>
      </c>
      <c r="AK18244" s="831">
        <v>0</v>
      </c>
    </row>
    <row r="18245" spans="2:37">
      <c r="B18245" s="834" t="str">
        <f t="shared" si="649"/>
        <v>|||</v>
      </c>
      <c r="H18245" s="835">
        <f t="shared" si="650"/>
        <v>31</v>
      </c>
      <c r="AF18245" s="831" t="s">
        <v>10444</v>
      </c>
      <c r="AG18245" s="831" t="s">
        <v>2674</v>
      </c>
      <c r="AH18245" s="831" t="s">
        <v>555</v>
      </c>
      <c r="AI18245" s="831">
        <v>0</v>
      </c>
      <c r="AJ18245" s="835">
        <v>41121</v>
      </c>
      <c r="AK18245" s="831">
        <v>212532560</v>
      </c>
    </row>
    <row r="18246" spans="2:37">
      <c r="B18246" s="834" t="str">
        <f t="shared" si="649"/>
        <v>|||</v>
      </c>
      <c r="H18246" s="835">
        <f t="shared" si="650"/>
        <v>31</v>
      </c>
      <c r="AF18246" s="831" t="s">
        <v>10445</v>
      </c>
      <c r="AG18246" s="831" t="s">
        <v>2674</v>
      </c>
      <c r="AH18246" s="831" t="s">
        <v>554</v>
      </c>
      <c r="AI18246" s="831">
        <v>0</v>
      </c>
      <c r="AJ18246" s="835">
        <v>41121</v>
      </c>
      <c r="AK18246" s="831">
        <v>206644050</v>
      </c>
    </row>
    <row r="18247" spans="2:37">
      <c r="B18247" s="834" t="str">
        <f t="shared" si="649"/>
        <v>|||</v>
      </c>
      <c r="H18247" s="835">
        <f t="shared" si="650"/>
        <v>31</v>
      </c>
      <c r="AF18247" s="831" t="s">
        <v>10446</v>
      </c>
      <c r="AG18247" s="831" t="s">
        <v>2674</v>
      </c>
      <c r="AH18247" s="831" t="s">
        <v>553</v>
      </c>
      <c r="AI18247" s="831">
        <v>0</v>
      </c>
      <c r="AJ18247" s="835">
        <v>41121</v>
      </c>
      <c r="AK18247" s="831">
        <v>0</v>
      </c>
    </row>
    <row r="18248" spans="2:37">
      <c r="B18248" s="834" t="str">
        <f t="shared" si="649"/>
        <v>|||</v>
      </c>
      <c r="H18248" s="835">
        <f t="shared" si="650"/>
        <v>31</v>
      </c>
      <c r="AF18248" s="831" t="s">
        <v>10447</v>
      </c>
      <c r="AG18248" s="831" t="s">
        <v>2674</v>
      </c>
      <c r="AH18248" s="831" t="s">
        <v>552</v>
      </c>
      <c r="AI18248" s="831">
        <v>0</v>
      </c>
      <c r="AJ18248" s="835">
        <v>41121</v>
      </c>
      <c r="AK18248" s="831">
        <v>0</v>
      </c>
    </row>
    <row r="18249" spans="2:37">
      <c r="B18249" s="834" t="str">
        <f t="shared" si="649"/>
        <v>|||</v>
      </c>
      <c r="H18249" s="835">
        <f t="shared" si="650"/>
        <v>31</v>
      </c>
      <c r="AF18249" s="831" t="s">
        <v>10448</v>
      </c>
      <c r="AG18249" s="831" t="s">
        <v>2674</v>
      </c>
      <c r="AH18249" s="831" t="s">
        <v>551</v>
      </c>
      <c r="AI18249" s="831">
        <v>0</v>
      </c>
      <c r="AJ18249" s="835">
        <v>41121</v>
      </c>
      <c r="AK18249" s="831">
        <v>2408186</v>
      </c>
    </row>
    <row r="18250" spans="2:37">
      <c r="B18250" s="834" t="str">
        <f t="shared" si="649"/>
        <v>|||</v>
      </c>
      <c r="H18250" s="835">
        <f t="shared" si="650"/>
        <v>31</v>
      </c>
      <c r="AF18250" s="831" t="s">
        <v>10449</v>
      </c>
      <c r="AG18250" s="831" t="s">
        <v>2674</v>
      </c>
      <c r="AH18250" s="831" t="s">
        <v>550</v>
      </c>
      <c r="AI18250" s="831">
        <v>0</v>
      </c>
      <c r="AJ18250" s="835">
        <v>41121</v>
      </c>
      <c r="AK18250" s="831">
        <v>91675016</v>
      </c>
    </row>
    <row r="18251" spans="2:37">
      <c r="B18251" s="834" t="str">
        <f t="shared" si="649"/>
        <v>|||</v>
      </c>
      <c r="H18251" s="835">
        <f t="shared" si="650"/>
        <v>31</v>
      </c>
      <c r="AF18251" s="831" t="s">
        <v>10450</v>
      </c>
      <c r="AG18251" s="831" t="s">
        <v>2674</v>
      </c>
      <c r="AH18251" s="831" t="s">
        <v>562</v>
      </c>
      <c r="AI18251" s="831">
        <v>0</v>
      </c>
      <c r="AJ18251" s="835">
        <v>41121</v>
      </c>
      <c r="AK18251" s="831">
        <v>0.78495000000000004</v>
      </c>
    </row>
    <row r="18252" spans="2:37">
      <c r="B18252" s="834" t="str">
        <f t="shared" si="649"/>
        <v>|||</v>
      </c>
      <c r="H18252" s="835">
        <f t="shared" si="650"/>
        <v>31</v>
      </c>
      <c r="AF18252" s="831" t="s">
        <v>10451</v>
      </c>
      <c r="AG18252" s="831" t="s">
        <v>2674</v>
      </c>
      <c r="AH18252" s="831" t="s">
        <v>2698</v>
      </c>
      <c r="AI18252" s="831">
        <v>0</v>
      </c>
      <c r="AJ18252" s="835">
        <v>41121</v>
      </c>
      <c r="AK18252" s="831">
        <v>0.78505000000000003</v>
      </c>
    </row>
    <row r="18253" spans="2:37">
      <c r="B18253" s="834" t="str">
        <f t="shared" si="649"/>
        <v>|||</v>
      </c>
      <c r="H18253" s="835">
        <f t="shared" si="650"/>
        <v>31</v>
      </c>
      <c r="AF18253" s="831" t="s">
        <v>10452</v>
      </c>
      <c r="AG18253" s="831" t="s">
        <v>2674</v>
      </c>
      <c r="AH18253" s="831" t="s">
        <v>560</v>
      </c>
      <c r="AI18253" s="831">
        <v>0</v>
      </c>
      <c r="AJ18253" s="835">
        <v>41121</v>
      </c>
      <c r="AK18253" s="831">
        <v>0.7855714285714287</v>
      </c>
    </row>
    <row r="18254" spans="2:37">
      <c r="B18254" s="834" t="str">
        <f t="shared" si="649"/>
        <v>|||</v>
      </c>
      <c r="H18254" s="835">
        <f t="shared" si="650"/>
        <v>31</v>
      </c>
      <c r="AF18254" s="831" t="s">
        <v>10453</v>
      </c>
      <c r="AG18254" s="831" t="s">
        <v>2674</v>
      </c>
      <c r="AH18254" s="831" t="s">
        <v>559</v>
      </c>
      <c r="AI18254" s="831">
        <v>0</v>
      </c>
      <c r="AJ18254" s="835">
        <v>41121</v>
      </c>
      <c r="AK18254" s="831">
        <v>0.7854916666666667</v>
      </c>
    </row>
    <row r="18255" spans="2:37">
      <c r="B18255" s="834" t="str">
        <f t="shared" si="649"/>
        <v>|||</v>
      </c>
      <c r="H18255" s="835">
        <f t="shared" si="650"/>
        <v>31</v>
      </c>
      <c r="AF18255" s="831" t="s">
        <v>10454</v>
      </c>
      <c r="AG18255" s="831" t="s">
        <v>2674</v>
      </c>
      <c r="AH18255" s="831" t="s">
        <v>568</v>
      </c>
      <c r="AI18255" s="831">
        <v>0</v>
      </c>
      <c r="AJ18255" s="835">
        <v>41121</v>
      </c>
      <c r="AK18255" s="831">
        <v>0</v>
      </c>
    </row>
    <row r="18256" spans="2:37">
      <c r="B18256" s="834" t="str">
        <f t="shared" si="649"/>
        <v>|||</v>
      </c>
      <c r="H18256" s="835">
        <f t="shared" si="650"/>
        <v>31</v>
      </c>
      <c r="AF18256" s="831" t="s">
        <v>10455</v>
      </c>
      <c r="AG18256" s="831" t="s">
        <v>2674</v>
      </c>
      <c r="AH18256" s="831" t="s">
        <v>569</v>
      </c>
      <c r="AI18256" s="831">
        <v>0</v>
      </c>
      <c r="AJ18256" s="835">
        <v>41121</v>
      </c>
      <c r="AK18256" s="831">
        <v>0</v>
      </c>
    </row>
    <row r="18257" spans="2:37">
      <c r="B18257" s="834" t="str">
        <f t="shared" ref="B18257:B18320" si="651">C18257&amp;"|"&amp;D18257&amp;"|"&amp;E18257&amp;"|"&amp;F18257</f>
        <v>|||</v>
      </c>
      <c r="H18257" s="835">
        <f t="shared" ref="H18257:H18320" si="652">EOMONTH(L18257,0)</f>
        <v>31</v>
      </c>
      <c r="AF18257" s="831" t="s">
        <v>10456</v>
      </c>
      <c r="AG18257" s="831" t="s">
        <v>2674</v>
      </c>
      <c r="AH18257" s="831" t="s">
        <v>570</v>
      </c>
      <c r="AI18257" s="831">
        <v>0</v>
      </c>
      <c r="AJ18257" s="835">
        <v>41121</v>
      </c>
      <c r="AK18257" s="831">
        <v>0</v>
      </c>
    </row>
    <row r="18258" spans="2:37">
      <c r="B18258" s="834" t="str">
        <f t="shared" si="651"/>
        <v>|||</v>
      </c>
      <c r="H18258" s="835">
        <f t="shared" si="652"/>
        <v>31</v>
      </c>
      <c r="AF18258" s="831" t="s">
        <v>10457</v>
      </c>
      <c r="AG18258" s="831" t="s">
        <v>2674</v>
      </c>
      <c r="AH18258" s="831" t="s">
        <v>571</v>
      </c>
      <c r="AI18258" s="831">
        <v>0</v>
      </c>
      <c r="AJ18258" s="835">
        <v>41121</v>
      </c>
      <c r="AK18258" s="831">
        <v>0</v>
      </c>
    </row>
    <row r="18259" spans="2:37">
      <c r="B18259" s="834" t="str">
        <f t="shared" si="651"/>
        <v>|||</v>
      </c>
      <c r="H18259" s="835">
        <f t="shared" si="652"/>
        <v>31</v>
      </c>
      <c r="AF18259" s="831" t="s">
        <v>10458</v>
      </c>
      <c r="AG18259" s="831" t="s">
        <v>2674</v>
      </c>
      <c r="AH18259" s="831" t="s">
        <v>573</v>
      </c>
      <c r="AI18259" s="831">
        <v>0</v>
      </c>
      <c r="AJ18259" s="835">
        <v>41121</v>
      </c>
      <c r="AK18259" s="831">
        <v>0</v>
      </c>
    </row>
    <row r="18260" spans="2:37">
      <c r="B18260" s="834" t="str">
        <f t="shared" si="651"/>
        <v>|||</v>
      </c>
      <c r="H18260" s="835">
        <f t="shared" si="652"/>
        <v>31</v>
      </c>
      <c r="AF18260" s="831" t="s">
        <v>10459</v>
      </c>
      <c r="AG18260" s="831" t="s">
        <v>2674</v>
      </c>
      <c r="AH18260" s="831" t="s">
        <v>574</v>
      </c>
      <c r="AI18260" s="831">
        <v>0</v>
      </c>
      <c r="AJ18260" s="835">
        <v>41121</v>
      </c>
      <c r="AK18260" s="831">
        <v>0</v>
      </c>
    </row>
    <row r="18261" spans="2:37">
      <c r="B18261" s="834" t="str">
        <f t="shared" si="651"/>
        <v>|||</v>
      </c>
      <c r="H18261" s="835">
        <f t="shared" si="652"/>
        <v>31</v>
      </c>
      <c r="AF18261" s="831" t="s">
        <v>10460</v>
      </c>
      <c r="AG18261" s="831" t="s">
        <v>2674</v>
      </c>
      <c r="AH18261" s="831" t="s">
        <v>575</v>
      </c>
      <c r="AI18261" s="831">
        <v>0</v>
      </c>
      <c r="AJ18261" s="835">
        <v>41121</v>
      </c>
      <c r="AK18261" s="831">
        <v>0</v>
      </c>
    </row>
    <row r="18262" spans="2:37">
      <c r="B18262" s="834" t="str">
        <f t="shared" si="651"/>
        <v>|||</v>
      </c>
      <c r="H18262" s="835">
        <f t="shared" si="652"/>
        <v>31</v>
      </c>
      <c r="AF18262" s="831" t="s">
        <v>10461</v>
      </c>
      <c r="AG18262" s="831" t="s">
        <v>2674</v>
      </c>
      <c r="AH18262" s="831" t="s">
        <v>576</v>
      </c>
      <c r="AI18262" s="831">
        <v>0</v>
      </c>
      <c r="AJ18262" s="835">
        <v>41121</v>
      </c>
      <c r="AK18262" s="831">
        <v>0</v>
      </c>
    </row>
    <row r="18263" spans="2:37">
      <c r="B18263" s="834" t="str">
        <f t="shared" si="651"/>
        <v>|||</v>
      </c>
      <c r="H18263" s="835">
        <f t="shared" si="652"/>
        <v>31</v>
      </c>
      <c r="AF18263" s="831" t="s">
        <v>10462</v>
      </c>
      <c r="AG18263" s="831" t="s">
        <v>2674</v>
      </c>
      <c r="AH18263" s="831" t="s">
        <v>572</v>
      </c>
      <c r="AI18263" s="831">
        <v>0</v>
      </c>
      <c r="AJ18263" s="835">
        <v>41121</v>
      </c>
      <c r="AK18263" s="831">
        <v>-2146826246</v>
      </c>
    </row>
    <row r="18264" spans="2:37">
      <c r="B18264" s="834" t="str">
        <f t="shared" si="651"/>
        <v>|||</v>
      </c>
      <c r="H18264" s="835">
        <f t="shared" si="652"/>
        <v>31</v>
      </c>
      <c r="AF18264" s="831" t="s">
        <v>10463</v>
      </c>
      <c r="AG18264" s="831" t="s">
        <v>2674</v>
      </c>
      <c r="AH18264" s="831" t="s">
        <v>577</v>
      </c>
      <c r="AI18264" s="831">
        <v>0</v>
      </c>
      <c r="AJ18264" s="835">
        <v>41121</v>
      </c>
      <c r="AK18264" s="831">
        <v>-2146826246</v>
      </c>
    </row>
    <row r="18265" spans="2:37">
      <c r="B18265" s="834" t="str">
        <f t="shared" si="651"/>
        <v>|||</v>
      </c>
      <c r="H18265" s="835">
        <f t="shared" si="652"/>
        <v>31</v>
      </c>
      <c r="AF18265" s="831" t="s">
        <v>10464</v>
      </c>
      <c r="AG18265" s="831" t="s">
        <v>2674</v>
      </c>
      <c r="AH18265" s="831" t="s">
        <v>3042</v>
      </c>
      <c r="AI18265" s="831">
        <v>0</v>
      </c>
      <c r="AJ18265" s="835">
        <v>41121</v>
      </c>
      <c r="AK18265" s="831">
        <v>-2146826246</v>
      </c>
    </row>
    <row r="18266" spans="2:37">
      <c r="B18266" s="834" t="str">
        <f t="shared" si="651"/>
        <v>|||</v>
      </c>
      <c r="H18266" s="835">
        <f t="shared" si="652"/>
        <v>31</v>
      </c>
      <c r="AF18266" s="831" t="s">
        <v>10465</v>
      </c>
      <c r="AG18266" s="831" t="s">
        <v>2674</v>
      </c>
      <c r="AH18266" s="831" t="s">
        <v>3044</v>
      </c>
      <c r="AI18266" s="831">
        <v>0</v>
      </c>
      <c r="AJ18266" s="835">
        <v>41121</v>
      </c>
      <c r="AK18266" s="831">
        <v>-2146826246</v>
      </c>
    </row>
    <row r="18267" spans="2:37">
      <c r="B18267" s="834" t="str">
        <f t="shared" si="651"/>
        <v>|||</v>
      </c>
      <c r="H18267" s="835">
        <f t="shared" si="652"/>
        <v>31</v>
      </c>
      <c r="AF18267" s="831" t="s">
        <v>10466</v>
      </c>
      <c r="AG18267" s="831" t="s">
        <v>2674</v>
      </c>
      <c r="AH18267" s="831" t="s">
        <v>580</v>
      </c>
      <c r="AI18267" s="831">
        <v>0</v>
      </c>
      <c r="AJ18267" s="835">
        <v>41121</v>
      </c>
      <c r="AK18267" s="831">
        <v>-2146826246</v>
      </c>
    </row>
    <row r="18268" spans="2:37">
      <c r="B18268" s="834" t="str">
        <f t="shared" si="651"/>
        <v>|||</v>
      </c>
      <c r="H18268" s="835">
        <f t="shared" si="652"/>
        <v>31</v>
      </c>
      <c r="AF18268" s="831" t="s">
        <v>10467</v>
      </c>
      <c r="AG18268" s="831" t="s">
        <v>2674</v>
      </c>
      <c r="AH18268" s="831" t="s">
        <v>581</v>
      </c>
      <c r="AI18268" s="831">
        <v>0</v>
      </c>
      <c r="AJ18268" s="835">
        <v>41121</v>
      </c>
      <c r="AK18268" s="831">
        <v>-2146826246</v>
      </c>
    </row>
    <row r="18269" spans="2:37">
      <c r="B18269" s="834" t="str">
        <f t="shared" si="651"/>
        <v>|||</v>
      </c>
      <c r="H18269" s="835">
        <f t="shared" si="652"/>
        <v>31</v>
      </c>
      <c r="AF18269" s="831" t="s">
        <v>10468</v>
      </c>
      <c r="AG18269" s="831" t="s">
        <v>2674</v>
      </c>
      <c r="AH18269" s="831" t="s">
        <v>105</v>
      </c>
      <c r="AI18269" s="831">
        <v>0</v>
      </c>
      <c r="AJ18269" s="835">
        <v>41121</v>
      </c>
      <c r="AK18269" s="831">
        <v>164564846</v>
      </c>
    </row>
    <row r="18270" spans="2:37">
      <c r="B18270" s="834" t="str">
        <f t="shared" si="651"/>
        <v>|||</v>
      </c>
      <c r="H18270" s="835">
        <f t="shared" si="652"/>
        <v>31</v>
      </c>
      <c r="AF18270" s="831" t="s">
        <v>10469</v>
      </c>
      <c r="AG18270" s="831" t="s">
        <v>2674</v>
      </c>
      <c r="AH18270" s="831" t="s">
        <v>3049</v>
      </c>
      <c r="AI18270" s="831">
        <v>0</v>
      </c>
      <c r="AJ18270" s="835">
        <v>41121</v>
      </c>
      <c r="AK18270" s="831">
        <v>330970241</v>
      </c>
    </row>
    <row r="18271" spans="2:37">
      <c r="B18271" s="834" t="str">
        <f t="shared" si="651"/>
        <v>|||</v>
      </c>
      <c r="H18271" s="835">
        <f t="shared" si="652"/>
        <v>31</v>
      </c>
      <c r="AF18271" s="831" t="s">
        <v>10470</v>
      </c>
      <c r="AG18271" s="831" t="s">
        <v>2674</v>
      </c>
      <c r="AH18271" s="831" t="s">
        <v>103</v>
      </c>
      <c r="AI18271" s="831">
        <v>0</v>
      </c>
      <c r="AJ18271" s="835">
        <v>41121</v>
      </c>
      <c r="AK18271" s="831">
        <v>166405395</v>
      </c>
    </row>
    <row r="18272" spans="2:37">
      <c r="B18272" s="834" t="str">
        <f t="shared" si="651"/>
        <v>|||</v>
      </c>
      <c r="H18272" s="835">
        <f t="shared" si="652"/>
        <v>31</v>
      </c>
      <c r="AF18272" s="831" t="s">
        <v>10471</v>
      </c>
      <c r="AG18272" s="831" t="s">
        <v>2674</v>
      </c>
      <c r="AH18272" s="831" t="s">
        <v>182</v>
      </c>
      <c r="AI18272" s="831">
        <v>0</v>
      </c>
      <c r="AJ18272" s="835">
        <v>41121</v>
      </c>
      <c r="AK18272" s="831">
        <v>50915117.142857142</v>
      </c>
    </row>
    <row r="18273" spans="2:37">
      <c r="B18273" s="834" t="str">
        <f t="shared" si="651"/>
        <v>|||</v>
      </c>
      <c r="H18273" s="835">
        <f t="shared" si="652"/>
        <v>31</v>
      </c>
      <c r="AF18273" s="831" t="s">
        <v>10472</v>
      </c>
      <c r="AG18273" s="831" t="s">
        <v>2674</v>
      </c>
      <c r="AH18273" s="831" t="s">
        <v>6600</v>
      </c>
      <c r="AI18273" s="831">
        <v>0</v>
      </c>
      <c r="AJ18273" s="835">
        <v>41121</v>
      </c>
      <c r="AK18273" s="831">
        <v>-2146826246</v>
      </c>
    </row>
    <row r="18274" spans="2:37">
      <c r="B18274" s="834" t="str">
        <f t="shared" si="651"/>
        <v>|||</v>
      </c>
      <c r="H18274" s="835">
        <f t="shared" si="652"/>
        <v>31</v>
      </c>
      <c r="AF18274" s="831" t="s">
        <v>10473</v>
      </c>
      <c r="AG18274" s="831" t="s">
        <v>2674</v>
      </c>
      <c r="AH18274" s="831" t="s">
        <v>6602</v>
      </c>
      <c r="AI18274" s="831">
        <v>0</v>
      </c>
      <c r="AJ18274" s="835">
        <v>41121</v>
      </c>
      <c r="AK18274" s="831">
        <v>8103905</v>
      </c>
    </row>
    <row r="18275" spans="2:37">
      <c r="B18275" s="834" t="str">
        <f t="shared" si="651"/>
        <v>|||</v>
      </c>
      <c r="H18275" s="835">
        <f t="shared" si="652"/>
        <v>31</v>
      </c>
      <c r="AF18275" s="831" t="s">
        <v>10474</v>
      </c>
      <c r="AG18275" s="831" t="s">
        <v>2674</v>
      </c>
      <c r="AH18275" s="831" t="s">
        <v>650</v>
      </c>
      <c r="AI18275" s="831">
        <v>0</v>
      </c>
      <c r="AJ18275" s="835">
        <v>41121</v>
      </c>
      <c r="AK18275" s="831">
        <v>0</v>
      </c>
    </row>
    <row r="18276" spans="2:37">
      <c r="B18276" s="834" t="str">
        <f t="shared" si="651"/>
        <v>|||</v>
      </c>
      <c r="H18276" s="835">
        <f t="shared" si="652"/>
        <v>31</v>
      </c>
      <c r="AF18276" s="831" t="s">
        <v>10475</v>
      </c>
      <c r="AG18276" s="831" t="s">
        <v>2674</v>
      </c>
      <c r="AH18276" s="831" t="s">
        <v>655</v>
      </c>
      <c r="AI18276" s="831">
        <v>0</v>
      </c>
      <c r="AJ18276" s="835">
        <v>41121</v>
      </c>
      <c r="AK18276" s="831">
        <v>2307351</v>
      </c>
    </row>
    <row r="18277" spans="2:37">
      <c r="B18277" s="834" t="str">
        <f t="shared" si="651"/>
        <v>|||</v>
      </c>
      <c r="H18277" s="835">
        <f t="shared" si="652"/>
        <v>31</v>
      </c>
      <c r="AF18277" s="831" t="s">
        <v>10476</v>
      </c>
      <c r="AG18277" s="831" t="s">
        <v>2674</v>
      </c>
      <c r="AH18277" s="831" t="s">
        <v>546</v>
      </c>
      <c r="AI18277" s="831">
        <v>0</v>
      </c>
      <c r="AJ18277" s="835">
        <v>41152</v>
      </c>
      <c r="AK18277" s="831">
        <v>362295244</v>
      </c>
    </row>
    <row r="18278" spans="2:37">
      <c r="B18278" s="834" t="str">
        <f t="shared" si="651"/>
        <v>|||</v>
      </c>
      <c r="H18278" s="835">
        <f t="shared" si="652"/>
        <v>31</v>
      </c>
      <c r="AF18278" s="831" t="s">
        <v>10477</v>
      </c>
      <c r="AG18278" s="831" t="s">
        <v>2674</v>
      </c>
      <c r="AH18278" s="831" t="s">
        <v>370</v>
      </c>
      <c r="AI18278" s="831">
        <v>0</v>
      </c>
      <c r="AJ18278" s="835">
        <v>41152</v>
      </c>
      <c r="AK18278" s="831">
        <v>452262206</v>
      </c>
    </row>
    <row r="18279" spans="2:37">
      <c r="B18279" s="834" t="str">
        <f t="shared" si="651"/>
        <v>|||</v>
      </c>
      <c r="H18279" s="835">
        <f t="shared" si="652"/>
        <v>31</v>
      </c>
      <c r="AF18279" s="831" t="s">
        <v>10478</v>
      </c>
      <c r="AG18279" s="831" t="s">
        <v>2674</v>
      </c>
      <c r="AH18279" s="831" t="s">
        <v>126</v>
      </c>
      <c r="AI18279" s="831">
        <v>0</v>
      </c>
      <c r="AJ18279" s="835">
        <v>41152</v>
      </c>
      <c r="AK18279" s="831">
        <v>95414973</v>
      </c>
    </row>
    <row r="18280" spans="2:37">
      <c r="B18280" s="834" t="str">
        <f t="shared" si="651"/>
        <v>|||</v>
      </c>
      <c r="H18280" s="835">
        <f t="shared" si="652"/>
        <v>31</v>
      </c>
      <c r="AF18280" s="831" t="s">
        <v>10479</v>
      </c>
      <c r="AG18280" s="831" t="s">
        <v>2674</v>
      </c>
      <c r="AH18280" s="831" t="s">
        <v>268</v>
      </c>
      <c r="AI18280" s="831">
        <v>0</v>
      </c>
      <c r="AJ18280" s="835">
        <v>41152</v>
      </c>
      <c r="AK18280" s="831">
        <v>10092049</v>
      </c>
    </row>
    <row r="18281" spans="2:37">
      <c r="B18281" s="834" t="str">
        <f t="shared" si="651"/>
        <v>|||</v>
      </c>
      <c r="H18281" s="835">
        <f t="shared" si="652"/>
        <v>31</v>
      </c>
      <c r="AF18281" s="831" t="s">
        <v>10480</v>
      </c>
      <c r="AG18281" s="831" t="s">
        <v>2674</v>
      </c>
      <c r="AH18281" s="831" t="s">
        <v>547</v>
      </c>
      <c r="AI18281" s="831">
        <v>0</v>
      </c>
      <c r="AJ18281" s="835">
        <v>41152</v>
      </c>
      <c r="AK18281" s="831">
        <v>0</v>
      </c>
    </row>
    <row r="18282" spans="2:37">
      <c r="B18282" s="834" t="str">
        <f t="shared" si="651"/>
        <v>|||</v>
      </c>
      <c r="H18282" s="835">
        <f t="shared" si="652"/>
        <v>31</v>
      </c>
      <c r="AF18282" s="831" t="s">
        <v>10481</v>
      </c>
      <c r="AG18282" s="831" t="s">
        <v>2674</v>
      </c>
      <c r="AH18282" s="831" t="s">
        <v>548</v>
      </c>
      <c r="AI18282" s="831">
        <v>0</v>
      </c>
      <c r="AJ18282" s="835">
        <v>41152</v>
      </c>
      <c r="AK18282" s="831">
        <v>0</v>
      </c>
    </row>
    <row r="18283" spans="2:37">
      <c r="B18283" s="834" t="str">
        <f t="shared" si="651"/>
        <v>|||</v>
      </c>
      <c r="H18283" s="835">
        <f t="shared" si="652"/>
        <v>31</v>
      </c>
      <c r="AF18283" s="831" t="s">
        <v>10482</v>
      </c>
      <c r="AG18283" s="831" t="s">
        <v>2674</v>
      </c>
      <c r="AH18283" s="831" t="s">
        <v>549</v>
      </c>
      <c r="AI18283" s="831">
        <v>0</v>
      </c>
      <c r="AJ18283" s="835">
        <v>41152</v>
      </c>
      <c r="AK18283" s="831">
        <v>0</v>
      </c>
    </row>
    <row r="18284" spans="2:37">
      <c r="B18284" s="834" t="str">
        <f t="shared" si="651"/>
        <v>|||</v>
      </c>
      <c r="H18284" s="835">
        <f t="shared" si="652"/>
        <v>31</v>
      </c>
      <c r="AF18284" s="831" t="s">
        <v>10483</v>
      </c>
      <c r="AG18284" s="831" t="s">
        <v>2674</v>
      </c>
      <c r="AH18284" s="831" t="s">
        <v>192</v>
      </c>
      <c r="AI18284" s="831">
        <v>0</v>
      </c>
      <c r="AJ18284" s="835">
        <v>41152</v>
      </c>
      <c r="AK18284" s="831">
        <v>-9148265</v>
      </c>
    </row>
    <row r="18285" spans="2:37">
      <c r="B18285" s="834" t="str">
        <f t="shared" si="651"/>
        <v>|||</v>
      </c>
      <c r="H18285" s="835">
        <f t="shared" si="652"/>
        <v>31</v>
      </c>
      <c r="AF18285" s="831" t="s">
        <v>10484</v>
      </c>
      <c r="AG18285" s="831" t="s">
        <v>2674</v>
      </c>
      <c r="AH18285" s="831" t="s">
        <v>558</v>
      </c>
      <c r="AI18285" s="831">
        <v>0</v>
      </c>
      <c r="AJ18285" s="835">
        <v>41152</v>
      </c>
      <c r="AK18285" s="831">
        <v>356847233</v>
      </c>
    </row>
    <row r="18286" spans="2:37">
      <c r="B18286" s="834" t="str">
        <f t="shared" si="651"/>
        <v>|||</v>
      </c>
      <c r="H18286" s="835">
        <f t="shared" si="652"/>
        <v>31</v>
      </c>
      <c r="AF18286" s="831" t="s">
        <v>10485</v>
      </c>
      <c r="AG18286" s="831" t="s">
        <v>2674</v>
      </c>
      <c r="AH18286" s="831" t="s">
        <v>65</v>
      </c>
      <c r="AI18286" s="831">
        <v>0</v>
      </c>
      <c r="AJ18286" s="835">
        <v>41152</v>
      </c>
      <c r="AK18286" s="831">
        <v>63143485</v>
      </c>
    </row>
    <row r="18287" spans="2:37">
      <c r="B18287" s="834" t="str">
        <f t="shared" si="651"/>
        <v>|||</v>
      </c>
      <c r="H18287" s="835">
        <f t="shared" si="652"/>
        <v>31</v>
      </c>
      <c r="AF18287" s="831" t="s">
        <v>10486</v>
      </c>
      <c r="AG18287" s="831" t="s">
        <v>2674</v>
      </c>
      <c r="AH18287" s="831" t="s">
        <v>89</v>
      </c>
      <c r="AI18287" s="831">
        <v>0</v>
      </c>
      <c r="AJ18287" s="835">
        <v>41152</v>
      </c>
      <c r="AK18287" s="831">
        <v>122109</v>
      </c>
    </row>
    <row r="18288" spans="2:37">
      <c r="B18288" s="834" t="str">
        <f t="shared" si="651"/>
        <v>|||</v>
      </c>
      <c r="H18288" s="835">
        <f t="shared" si="652"/>
        <v>31</v>
      </c>
      <c r="AF18288" s="831" t="s">
        <v>10487</v>
      </c>
      <c r="AG18288" s="831" t="s">
        <v>2674</v>
      </c>
      <c r="AH18288" s="831" t="s">
        <v>557</v>
      </c>
      <c r="AI18288" s="831">
        <v>0</v>
      </c>
      <c r="AJ18288" s="835">
        <v>41152</v>
      </c>
      <c r="AK18288" s="831">
        <v>123973</v>
      </c>
    </row>
    <row r="18289" spans="2:37">
      <c r="B18289" s="834" t="str">
        <f t="shared" si="651"/>
        <v>|||</v>
      </c>
      <c r="H18289" s="835">
        <f t="shared" si="652"/>
        <v>31</v>
      </c>
      <c r="AF18289" s="831" t="s">
        <v>10488</v>
      </c>
      <c r="AG18289" s="831" t="s">
        <v>2674</v>
      </c>
      <c r="AH18289" s="831" t="s">
        <v>29</v>
      </c>
      <c r="AI18289" s="831">
        <v>0</v>
      </c>
      <c r="AJ18289" s="835">
        <v>41152</v>
      </c>
      <c r="AK18289" s="831">
        <v>2024314</v>
      </c>
    </row>
    <row r="18290" spans="2:37">
      <c r="B18290" s="834" t="str">
        <f t="shared" si="651"/>
        <v>|||</v>
      </c>
      <c r="H18290" s="835">
        <f t="shared" si="652"/>
        <v>31</v>
      </c>
      <c r="AF18290" s="831" t="s">
        <v>10489</v>
      </c>
      <c r="AG18290" s="831" t="s">
        <v>2674</v>
      </c>
      <c r="AH18290" s="831" t="s">
        <v>2688</v>
      </c>
      <c r="AI18290" s="831">
        <v>0</v>
      </c>
      <c r="AJ18290" s="835">
        <v>41152</v>
      </c>
      <c r="AK18290" s="831">
        <v>2600544</v>
      </c>
    </row>
    <row r="18291" spans="2:37">
      <c r="B18291" s="834" t="str">
        <f t="shared" si="651"/>
        <v>|||</v>
      </c>
      <c r="H18291" s="835">
        <f t="shared" si="652"/>
        <v>31</v>
      </c>
      <c r="AF18291" s="831" t="s">
        <v>10490</v>
      </c>
      <c r="AG18291" s="831" t="s">
        <v>2674</v>
      </c>
      <c r="AH18291" s="831" t="s">
        <v>556</v>
      </c>
      <c r="AI18291" s="831">
        <v>0</v>
      </c>
      <c r="AJ18291" s="835">
        <v>41152</v>
      </c>
      <c r="AK18291" s="831">
        <v>902857</v>
      </c>
    </row>
    <row r="18292" spans="2:37">
      <c r="B18292" s="834" t="str">
        <f t="shared" si="651"/>
        <v>|||</v>
      </c>
      <c r="H18292" s="835">
        <f t="shared" si="652"/>
        <v>31</v>
      </c>
      <c r="AF18292" s="831" t="s">
        <v>10491</v>
      </c>
      <c r="AG18292" s="831" t="s">
        <v>2674</v>
      </c>
      <c r="AH18292" s="831" t="s">
        <v>555</v>
      </c>
      <c r="AI18292" s="831">
        <v>0</v>
      </c>
      <c r="AJ18292" s="835">
        <v>41152</v>
      </c>
      <c r="AK18292" s="831">
        <v>221766870</v>
      </c>
    </row>
    <row r="18293" spans="2:37">
      <c r="B18293" s="834" t="str">
        <f t="shared" si="651"/>
        <v>|||</v>
      </c>
      <c r="H18293" s="835">
        <f t="shared" si="652"/>
        <v>31</v>
      </c>
      <c r="AF18293" s="831" t="s">
        <v>10492</v>
      </c>
      <c r="AG18293" s="831" t="s">
        <v>2674</v>
      </c>
      <c r="AH18293" s="831" t="s">
        <v>554</v>
      </c>
      <c r="AI18293" s="831">
        <v>0</v>
      </c>
      <c r="AJ18293" s="835">
        <v>41152</v>
      </c>
      <c r="AK18293" s="831">
        <v>217001920</v>
      </c>
    </row>
    <row r="18294" spans="2:37">
      <c r="B18294" s="834" t="str">
        <f t="shared" si="651"/>
        <v>|||</v>
      </c>
      <c r="H18294" s="835">
        <f t="shared" si="652"/>
        <v>31</v>
      </c>
      <c r="AF18294" s="831" t="s">
        <v>10493</v>
      </c>
      <c r="AG18294" s="831" t="s">
        <v>2674</v>
      </c>
      <c r="AH18294" s="831" t="s">
        <v>553</v>
      </c>
      <c r="AI18294" s="831">
        <v>0</v>
      </c>
      <c r="AJ18294" s="835">
        <v>41152</v>
      </c>
      <c r="AK18294" s="831">
        <v>0</v>
      </c>
    </row>
    <row r="18295" spans="2:37">
      <c r="B18295" s="834" t="str">
        <f t="shared" si="651"/>
        <v>|||</v>
      </c>
      <c r="H18295" s="835">
        <f t="shared" si="652"/>
        <v>31</v>
      </c>
      <c r="AF18295" s="831" t="s">
        <v>10494</v>
      </c>
      <c r="AG18295" s="831" t="s">
        <v>2674</v>
      </c>
      <c r="AH18295" s="831" t="s">
        <v>552</v>
      </c>
      <c r="AI18295" s="831">
        <v>0</v>
      </c>
      <c r="AJ18295" s="835">
        <v>41152</v>
      </c>
      <c r="AK18295" s="831">
        <v>0</v>
      </c>
    </row>
    <row r="18296" spans="2:37">
      <c r="B18296" s="834" t="str">
        <f t="shared" si="651"/>
        <v>|||</v>
      </c>
      <c r="H18296" s="835">
        <f t="shared" si="652"/>
        <v>31</v>
      </c>
      <c r="AF18296" s="831" t="s">
        <v>10495</v>
      </c>
      <c r="AG18296" s="831" t="s">
        <v>2674</v>
      </c>
      <c r="AH18296" s="831" t="s">
        <v>551</v>
      </c>
      <c r="AI18296" s="831">
        <v>0</v>
      </c>
      <c r="AJ18296" s="835">
        <v>41152</v>
      </c>
      <c r="AK18296" s="831">
        <v>1690236</v>
      </c>
    </row>
    <row r="18297" spans="2:37">
      <c r="B18297" s="834" t="str">
        <f t="shared" si="651"/>
        <v>|||</v>
      </c>
      <c r="H18297" s="835">
        <f t="shared" si="652"/>
        <v>31</v>
      </c>
      <c r="AF18297" s="831" t="s">
        <v>10496</v>
      </c>
      <c r="AG18297" s="831" t="s">
        <v>2674</v>
      </c>
      <c r="AH18297" s="831" t="s">
        <v>550</v>
      </c>
      <c r="AI18297" s="831">
        <v>0</v>
      </c>
      <c r="AJ18297" s="835">
        <v>41152</v>
      </c>
      <c r="AK18297" s="831">
        <v>93426827</v>
      </c>
    </row>
    <row r="18298" spans="2:37">
      <c r="B18298" s="834" t="str">
        <f t="shared" si="651"/>
        <v>|||</v>
      </c>
      <c r="H18298" s="835">
        <f t="shared" si="652"/>
        <v>31</v>
      </c>
      <c r="AF18298" s="831" t="s">
        <v>10497</v>
      </c>
      <c r="AG18298" s="831" t="s">
        <v>2674</v>
      </c>
      <c r="AH18298" s="831" t="s">
        <v>562</v>
      </c>
      <c r="AI18298" s="831">
        <v>0</v>
      </c>
      <c r="AJ18298" s="835">
        <v>41152</v>
      </c>
      <c r="AK18298" s="831">
        <v>0.78449999999999998</v>
      </c>
    </row>
    <row r="18299" spans="2:37">
      <c r="B18299" s="834" t="str">
        <f t="shared" si="651"/>
        <v>|||</v>
      </c>
      <c r="H18299" s="835">
        <f t="shared" si="652"/>
        <v>31</v>
      </c>
      <c r="AF18299" s="831" t="s">
        <v>10498</v>
      </c>
      <c r="AG18299" s="831" t="s">
        <v>2674</v>
      </c>
      <c r="AH18299" s="831" t="s">
        <v>2698</v>
      </c>
      <c r="AI18299" s="831">
        <v>0</v>
      </c>
      <c r="AJ18299" s="835">
        <v>41152</v>
      </c>
      <c r="AK18299" s="831">
        <v>0.78495000000000004</v>
      </c>
    </row>
    <row r="18300" spans="2:37">
      <c r="B18300" s="834" t="str">
        <f t="shared" si="651"/>
        <v>|||</v>
      </c>
      <c r="H18300" s="835">
        <f t="shared" si="652"/>
        <v>31</v>
      </c>
      <c r="AF18300" s="831" t="s">
        <v>10499</v>
      </c>
      <c r="AG18300" s="831" t="s">
        <v>2674</v>
      </c>
      <c r="AH18300" s="831" t="s">
        <v>560</v>
      </c>
      <c r="AI18300" s="831">
        <v>0</v>
      </c>
      <c r="AJ18300" s="835">
        <v>41152</v>
      </c>
      <c r="AK18300" s="831">
        <v>0.78543750000000001</v>
      </c>
    </row>
    <row r="18301" spans="2:37">
      <c r="B18301" s="834" t="str">
        <f t="shared" si="651"/>
        <v>|||</v>
      </c>
      <c r="H18301" s="835">
        <f t="shared" si="652"/>
        <v>31</v>
      </c>
      <c r="AF18301" s="831" t="s">
        <v>10500</v>
      </c>
      <c r="AG18301" s="831" t="s">
        <v>2674</v>
      </c>
      <c r="AH18301" s="831" t="s">
        <v>559</v>
      </c>
      <c r="AI18301" s="831">
        <v>0</v>
      </c>
      <c r="AJ18301" s="835">
        <v>41152</v>
      </c>
      <c r="AK18301" s="831">
        <v>0.78544999999999998</v>
      </c>
    </row>
    <row r="18302" spans="2:37">
      <c r="B18302" s="834" t="str">
        <f t="shared" si="651"/>
        <v>|||</v>
      </c>
      <c r="H18302" s="835">
        <f t="shared" si="652"/>
        <v>31</v>
      </c>
      <c r="AF18302" s="831" t="s">
        <v>10501</v>
      </c>
      <c r="AG18302" s="831" t="s">
        <v>2674</v>
      </c>
      <c r="AH18302" s="831" t="s">
        <v>568</v>
      </c>
      <c r="AI18302" s="831">
        <v>0</v>
      </c>
      <c r="AJ18302" s="835">
        <v>41152</v>
      </c>
      <c r="AK18302" s="831">
        <v>0</v>
      </c>
    </row>
    <row r="18303" spans="2:37">
      <c r="B18303" s="834" t="str">
        <f t="shared" si="651"/>
        <v>|||</v>
      </c>
      <c r="H18303" s="835">
        <f t="shared" si="652"/>
        <v>31</v>
      </c>
      <c r="AF18303" s="831" t="s">
        <v>10502</v>
      </c>
      <c r="AG18303" s="831" t="s">
        <v>2674</v>
      </c>
      <c r="AH18303" s="831" t="s">
        <v>569</v>
      </c>
      <c r="AI18303" s="831">
        <v>0</v>
      </c>
      <c r="AJ18303" s="835">
        <v>41152</v>
      </c>
      <c r="AK18303" s="831">
        <v>0</v>
      </c>
    </row>
    <row r="18304" spans="2:37">
      <c r="B18304" s="834" t="str">
        <f t="shared" si="651"/>
        <v>|||</v>
      </c>
      <c r="H18304" s="835">
        <f t="shared" si="652"/>
        <v>31</v>
      </c>
      <c r="AF18304" s="831" t="s">
        <v>10503</v>
      </c>
      <c r="AG18304" s="831" t="s">
        <v>2674</v>
      </c>
      <c r="AH18304" s="831" t="s">
        <v>570</v>
      </c>
      <c r="AI18304" s="831">
        <v>0</v>
      </c>
      <c r="AJ18304" s="835">
        <v>41152</v>
      </c>
      <c r="AK18304" s="831">
        <v>0</v>
      </c>
    </row>
    <row r="18305" spans="2:37">
      <c r="B18305" s="834" t="str">
        <f t="shared" si="651"/>
        <v>|||</v>
      </c>
      <c r="H18305" s="835">
        <f t="shared" si="652"/>
        <v>31</v>
      </c>
      <c r="AF18305" s="831" t="s">
        <v>10504</v>
      </c>
      <c r="AG18305" s="831" t="s">
        <v>2674</v>
      </c>
      <c r="AH18305" s="831" t="s">
        <v>571</v>
      </c>
      <c r="AI18305" s="831">
        <v>0</v>
      </c>
      <c r="AJ18305" s="835">
        <v>41152</v>
      </c>
      <c r="AK18305" s="831">
        <v>0</v>
      </c>
    </row>
    <row r="18306" spans="2:37">
      <c r="B18306" s="834" t="str">
        <f t="shared" si="651"/>
        <v>|||</v>
      </c>
      <c r="H18306" s="835">
        <f t="shared" si="652"/>
        <v>31</v>
      </c>
      <c r="AF18306" s="831" t="s">
        <v>10505</v>
      </c>
      <c r="AG18306" s="831" t="s">
        <v>2674</v>
      </c>
      <c r="AH18306" s="831" t="s">
        <v>573</v>
      </c>
      <c r="AI18306" s="831">
        <v>0</v>
      </c>
      <c r="AJ18306" s="835">
        <v>41152</v>
      </c>
      <c r="AK18306" s="831">
        <v>0</v>
      </c>
    </row>
    <row r="18307" spans="2:37">
      <c r="B18307" s="834" t="str">
        <f t="shared" si="651"/>
        <v>|||</v>
      </c>
      <c r="H18307" s="835">
        <f t="shared" si="652"/>
        <v>31</v>
      </c>
      <c r="AF18307" s="831" t="s">
        <v>10506</v>
      </c>
      <c r="AG18307" s="831" t="s">
        <v>2674</v>
      </c>
      <c r="AH18307" s="831" t="s">
        <v>574</v>
      </c>
      <c r="AI18307" s="831">
        <v>0</v>
      </c>
      <c r="AJ18307" s="835">
        <v>41152</v>
      </c>
      <c r="AK18307" s="831">
        <v>0</v>
      </c>
    </row>
    <row r="18308" spans="2:37">
      <c r="B18308" s="834" t="str">
        <f t="shared" si="651"/>
        <v>|||</v>
      </c>
      <c r="H18308" s="835">
        <f t="shared" si="652"/>
        <v>31</v>
      </c>
      <c r="AF18308" s="831" t="s">
        <v>10507</v>
      </c>
      <c r="AG18308" s="831" t="s">
        <v>2674</v>
      </c>
      <c r="AH18308" s="831" t="s">
        <v>575</v>
      </c>
      <c r="AI18308" s="831">
        <v>0</v>
      </c>
      <c r="AJ18308" s="835">
        <v>41152</v>
      </c>
      <c r="AK18308" s="831">
        <v>0</v>
      </c>
    </row>
    <row r="18309" spans="2:37">
      <c r="B18309" s="834" t="str">
        <f t="shared" si="651"/>
        <v>|||</v>
      </c>
      <c r="H18309" s="835">
        <f t="shared" si="652"/>
        <v>31</v>
      </c>
      <c r="AF18309" s="831" t="s">
        <v>10508</v>
      </c>
      <c r="AG18309" s="831" t="s">
        <v>2674</v>
      </c>
      <c r="AH18309" s="831" t="s">
        <v>576</v>
      </c>
      <c r="AI18309" s="831">
        <v>0</v>
      </c>
      <c r="AJ18309" s="835">
        <v>41152</v>
      </c>
      <c r="AK18309" s="831">
        <v>0</v>
      </c>
    </row>
    <row r="18310" spans="2:37">
      <c r="B18310" s="834" t="str">
        <f t="shared" si="651"/>
        <v>|||</v>
      </c>
      <c r="H18310" s="835">
        <f t="shared" si="652"/>
        <v>31</v>
      </c>
      <c r="AF18310" s="831" t="s">
        <v>10509</v>
      </c>
      <c r="AG18310" s="831" t="s">
        <v>2674</v>
      </c>
      <c r="AH18310" s="831" t="s">
        <v>572</v>
      </c>
      <c r="AI18310" s="831">
        <v>0</v>
      </c>
      <c r="AJ18310" s="835">
        <v>41152</v>
      </c>
      <c r="AK18310" s="831">
        <v>-2146826246</v>
      </c>
    </row>
    <row r="18311" spans="2:37">
      <c r="B18311" s="834" t="str">
        <f t="shared" si="651"/>
        <v>|||</v>
      </c>
      <c r="H18311" s="835">
        <f t="shared" si="652"/>
        <v>31</v>
      </c>
      <c r="AF18311" s="831" t="s">
        <v>10510</v>
      </c>
      <c r="AG18311" s="831" t="s">
        <v>2674</v>
      </c>
      <c r="AH18311" s="831" t="s">
        <v>577</v>
      </c>
      <c r="AI18311" s="831">
        <v>0</v>
      </c>
      <c r="AJ18311" s="835">
        <v>41152</v>
      </c>
      <c r="AK18311" s="831">
        <v>-2146826246</v>
      </c>
    </row>
    <row r="18312" spans="2:37">
      <c r="B18312" s="834" t="str">
        <f t="shared" si="651"/>
        <v>|||</v>
      </c>
      <c r="H18312" s="835">
        <f t="shared" si="652"/>
        <v>31</v>
      </c>
      <c r="AF18312" s="831" t="s">
        <v>10511</v>
      </c>
      <c r="AG18312" s="831" t="s">
        <v>2674</v>
      </c>
      <c r="AH18312" s="831" t="s">
        <v>3042</v>
      </c>
      <c r="AI18312" s="831">
        <v>0</v>
      </c>
      <c r="AJ18312" s="835">
        <v>41152</v>
      </c>
      <c r="AK18312" s="831">
        <v>-2146826246</v>
      </c>
    </row>
    <row r="18313" spans="2:37">
      <c r="B18313" s="834" t="str">
        <f t="shared" si="651"/>
        <v>|||</v>
      </c>
      <c r="H18313" s="835">
        <f t="shared" si="652"/>
        <v>31</v>
      </c>
      <c r="AF18313" s="831" t="s">
        <v>10512</v>
      </c>
      <c r="AG18313" s="831" t="s">
        <v>2674</v>
      </c>
      <c r="AH18313" s="831" t="s">
        <v>3044</v>
      </c>
      <c r="AI18313" s="831">
        <v>0</v>
      </c>
      <c r="AJ18313" s="835">
        <v>41152</v>
      </c>
      <c r="AK18313" s="831">
        <v>-2146826246</v>
      </c>
    </row>
    <row r="18314" spans="2:37">
      <c r="B18314" s="834" t="str">
        <f t="shared" si="651"/>
        <v>|||</v>
      </c>
      <c r="H18314" s="835">
        <f t="shared" si="652"/>
        <v>31</v>
      </c>
      <c r="AF18314" s="831" t="s">
        <v>10513</v>
      </c>
      <c r="AG18314" s="831" t="s">
        <v>2674</v>
      </c>
      <c r="AH18314" s="831" t="s">
        <v>580</v>
      </c>
      <c r="AI18314" s="831">
        <v>0</v>
      </c>
      <c r="AJ18314" s="835">
        <v>41152</v>
      </c>
      <c r="AK18314" s="831">
        <v>-2146826246</v>
      </c>
    </row>
    <row r="18315" spans="2:37">
      <c r="B18315" s="834" t="str">
        <f t="shared" si="651"/>
        <v>|||</v>
      </c>
      <c r="H18315" s="835">
        <f t="shared" si="652"/>
        <v>31</v>
      </c>
      <c r="AF18315" s="831" t="s">
        <v>10514</v>
      </c>
      <c r="AG18315" s="831" t="s">
        <v>2674</v>
      </c>
      <c r="AH18315" s="831" t="s">
        <v>581</v>
      </c>
      <c r="AI18315" s="831">
        <v>0</v>
      </c>
      <c r="AJ18315" s="835">
        <v>41152</v>
      </c>
      <c r="AK18315" s="831">
        <v>-2146826246</v>
      </c>
    </row>
    <row r="18316" spans="2:37">
      <c r="B18316" s="834" t="str">
        <f t="shared" si="651"/>
        <v>|||</v>
      </c>
      <c r="H18316" s="835">
        <f t="shared" si="652"/>
        <v>31</v>
      </c>
      <c r="AF18316" s="831" t="s">
        <v>10515</v>
      </c>
      <c r="AG18316" s="831" t="s">
        <v>2674</v>
      </c>
      <c r="AH18316" s="831" t="s">
        <v>105</v>
      </c>
      <c r="AI18316" s="831">
        <v>0</v>
      </c>
      <c r="AJ18316" s="835">
        <v>41152</v>
      </c>
      <c r="AK18316" s="831">
        <v>180384094</v>
      </c>
    </row>
    <row r="18317" spans="2:37">
      <c r="B18317" s="834" t="str">
        <f t="shared" si="651"/>
        <v>|||</v>
      </c>
      <c r="H18317" s="835">
        <f t="shared" si="652"/>
        <v>31</v>
      </c>
      <c r="AF18317" s="831" t="s">
        <v>10516</v>
      </c>
      <c r="AG18317" s="831" t="s">
        <v>2674</v>
      </c>
      <c r="AH18317" s="831" t="s">
        <v>3049</v>
      </c>
      <c r="AI18317" s="831">
        <v>0</v>
      </c>
      <c r="AJ18317" s="835">
        <v>41152</v>
      </c>
      <c r="AK18317" s="831">
        <v>343993651</v>
      </c>
    </row>
    <row r="18318" spans="2:37">
      <c r="B18318" s="834" t="str">
        <f t="shared" si="651"/>
        <v>|||</v>
      </c>
      <c r="H18318" s="835">
        <f t="shared" si="652"/>
        <v>31</v>
      </c>
      <c r="AF18318" s="831" t="s">
        <v>10517</v>
      </c>
      <c r="AG18318" s="831" t="s">
        <v>2674</v>
      </c>
      <c r="AH18318" s="831" t="s">
        <v>103</v>
      </c>
      <c r="AI18318" s="831">
        <v>0</v>
      </c>
      <c r="AJ18318" s="835">
        <v>41152</v>
      </c>
      <c r="AK18318" s="831">
        <v>163609557</v>
      </c>
    </row>
    <row r="18319" spans="2:37">
      <c r="B18319" s="834" t="str">
        <f t="shared" si="651"/>
        <v>|||</v>
      </c>
      <c r="H18319" s="835">
        <f t="shared" si="652"/>
        <v>31</v>
      </c>
      <c r="AF18319" s="831" t="s">
        <v>10518</v>
      </c>
      <c r="AG18319" s="831" t="s">
        <v>2674</v>
      </c>
      <c r="AH18319" s="831" t="s">
        <v>182</v>
      </c>
      <c r="AI18319" s="831">
        <v>0</v>
      </c>
      <c r="AJ18319" s="835">
        <v>41152</v>
      </c>
      <c r="AK18319" s="831">
        <v>50326770</v>
      </c>
    </row>
    <row r="18320" spans="2:37">
      <c r="B18320" s="834" t="str">
        <f t="shared" si="651"/>
        <v>|||</v>
      </c>
      <c r="H18320" s="835">
        <f t="shared" si="652"/>
        <v>31</v>
      </c>
      <c r="AF18320" s="831" t="s">
        <v>10519</v>
      </c>
      <c r="AG18320" s="831" t="s">
        <v>2674</v>
      </c>
      <c r="AH18320" s="831" t="s">
        <v>6600</v>
      </c>
      <c r="AI18320" s="831">
        <v>0</v>
      </c>
      <c r="AJ18320" s="835">
        <v>41152</v>
      </c>
      <c r="AK18320" s="831">
        <v>-2146826246</v>
      </c>
    </row>
    <row r="18321" spans="2:37">
      <c r="B18321" s="834" t="str">
        <f t="shared" ref="B18321:B18384" si="653">C18321&amp;"|"&amp;D18321&amp;"|"&amp;E18321&amp;"|"&amp;F18321</f>
        <v>|||</v>
      </c>
      <c r="H18321" s="835">
        <f t="shared" ref="H18321:H18384" si="654">EOMONTH(L18321,0)</f>
        <v>31</v>
      </c>
      <c r="AF18321" s="831" t="s">
        <v>10520</v>
      </c>
      <c r="AG18321" s="831" t="s">
        <v>2674</v>
      </c>
      <c r="AH18321" s="831" t="s">
        <v>6602</v>
      </c>
      <c r="AI18321" s="831">
        <v>0</v>
      </c>
      <c r="AJ18321" s="835">
        <v>41152</v>
      </c>
      <c r="AK18321" s="831">
        <v>10092049</v>
      </c>
    </row>
    <row r="18322" spans="2:37">
      <c r="B18322" s="834" t="str">
        <f t="shared" si="653"/>
        <v>|||</v>
      </c>
      <c r="H18322" s="835">
        <f t="shared" si="654"/>
        <v>31</v>
      </c>
      <c r="AF18322" s="831" t="s">
        <v>10521</v>
      </c>
      <c r="AG18322" s="831" t="s">
        <v>2674</v>
      </c>
      <c r="AH18322" s="831" t="s">
        <v>650</v>
      </c>
      <c r="AI18322" s="831">
        <v>0</v>
      </c>
      <c r="AJ18322" s="835">
        <v>41152</v>
      </c>
      <c r="AK18322" s="831">
        <v>0</v>
      </c>
    </row>
    <row r="18323" spans="2:37">
      <c r="B18323" s="834" t="str">
        <f t="shared" si="653"/>
        <v>|||</v>
      </c>
      <c r="H18323" s="835">
        <f t="shared" si="654"/>
        <v>31</v>
      </c>
      <c r="AF18323" s="831" t="s">
        <v>10522</v>
      </c>
      <c r="AG18323" s="831" t="s">
        <v>2674</v>
      </c>
      <c r="AH18323" s="831" t="s">
        <v>655</v>
      </c>
      <c r="AI18323" s="831">
        <v>0</v>
      </c>
      <c r="AJ18323" s="835">
        <v>41152</v>
      </c>
      <c r="AK18323" s="831">
        <v>1649423</v>
      </c>
    </row>
    <row r="18324" spans="2:37">
      <c r="B18324" s="834" t="str">
        <f t="shared" si="653"/>
        <v>|||</v>
      </c>
      <c r="H18324" s="835">
        <f t="shared" si="654"/>
        <v>31</v>
      </c>
      <c r="AF18324" s="831" t="s">
        <v>10523</v>
      </c>
      <c r="AG18324" s="831" t="s">
        <v>2674</v>
      </c>
      <c r="AH18324" s="831" t="s">
        <v>546</v>
      </c>
      <c r="AI18324" s="831">
        <v>0</v>
      </c>
      <c r="AJ18324" s="835">
        <v>41182</v>
      </c>
      <c r="AK18324" s="831">
        <v>367084945</v>
      </c>
    </row>
    <row r="18325" spans="2:37">
      <c r="B18325" s="834" t="str">
        <f t="shared" si="653"/>
        <v>|||</v>
      </c>
      <c r="H18325" s="835">
        <f t="shared" si="654"/>
        <v>31</v>
      </c>
      <c r="AF18325" s="831" t="s">
        <v>10524</v>
      </c>
      <c r="AG18325" s="831" t="s">
        <v>2674</v>
      </c>
      <c r="AH18325" s="831" t="s">
        <v>370</v>
      </c>
      <c r="AI18325" s="831">
        <v>0</v>
      </c>
      <c r="AJ18325" s="835">
        <v>41182</v>
      </c>
      <c r="AK18325" s="831">
        <v>456586970</v>
      </c>
    </row>
    <row r="18326" spans="2:37">
      <c r="B18326" s="834" t="str">
        <f t="shared" si="653"/>
        <v>|||</v>
      </c>
      <c r="H18326" s="835">
        <f t="shared" si="654"/>
        <v>31</v>
      </c>
      <c r="AF18326" s="831" t="s">
        <v>10525</v>
      </c>
      <c r="AG18326" s="831" t="s">
        <v>2674</v>
      </c>
      <c r="AH18326" s="831" t="s">
        <v>126</v>
      </c>
      <c r="AI18326" s="831">
        <v>0</v>
      </c>
      <c r="AJ18326" s="835">
        <v>41182</v>
      </c>
      <c r="AK18326" s="831">
        <v>97409403</v>
      </c>
    </row>
    <row r="18327" spans="2:37">
      <c r="B18327" s="834" t="str">
        <f t="shared" si="653"/>
        <v>|||</v>
      </c>
      <c r="H18327" s="835">
        <f t="shared" si="654"/>
        <v>31</v>
      </c>
      <c r="AF18327" s="831" t="s">
        <v>10526</v>
      </c>
      <c r="AG18327" s="831" t="s">
        <v>2674</v>
      </c>
      <c r="AH18327" s="831" t="s">
        <v>268</v>
      </c>
      <c r="AI18327" s="831">
        <v>0</v>
      </c>
      <c r="AJ18327" s="835">
        <v>41182</v>
      </c>
      <c r="AK18327" s="831">
        <v>12086480</v>
      </c>
    </row>
    <row r="18328" spans="2:37">
      <c r="B18328" s="834" t="str">
        <f t="shared" si="653"/>
        <v>|||</v>
      </c>
      <c r="H18328" s="835">
        <f t="shared" si="654"/>
        <v>31</v>
      </c>
      <c r="AF18328" s="831" t="s">
        <v>10527</v>
      </c>
      <c r="AG18328" s="831" t="s">
        <v>2674</v>
      </c>
      <c r="AH18328" s="831" t="s">
        <v>547</v>
      </c>
      <c r="AI18328" s="831">
        <v>0</v>
      </c>
      <c r="AJ18328" s="835">
        <v>41182</v>
      </c>
      <c r="AK18328" s="831">
        <v>0</v>
      </c>
    </row>
    <row r="18329" spans="2:37">
      <c r="B18329" s="834" t="str">
        <f t="shared" si="653"/>
        <v>|||</v>
      </c>
      <c r="H18329" s="835">
        <f t="shared" si="654"/>
        <v>31</v>
      </c>
      <c r="AF18329" s="831" t="s">
        <v>10528</v>
      </c>
      <c r="AG18329" s="831" t="s">
        <v>2674</v>
      </c>
      <c r="AH18329" s="831" t="s">
        <v>548</v>
      </c>
      <c r="AI18329" s="831">
        <v>0</v>
      </c>
      <c r="AJ18329" s="835">
        <v>41182</v>
      </c>
      <c r="AK18329" s="831">
        <v>0</v>
      </c>
    </row>
    <row r="18330" spans="2:37">
      <c r="B18330" s="834" t="str">
        <f t="shared" si="653"/>
        <v>|||</v>
      </c>
      <c r="H18330" s="835">
        <f t="shared" si="654"/>
        <v>31</v>
      </c>
      <c r="AF18330" s="831" t="s">
        <v>10529</v>
      </c>
      <c r="AG18330" s="831" t="s">
        <v>2674</v>
      </c>
      <c r="AH18330" s="831" t="s">
        <v>549</v>
      </c>
      <c r="AI18330" s="831">
        <v>0</v>
      </c>
      <c r="AJ18330" s="835">
        <v>41182</v>
      </c>
      <c r="AK18330" s="831">
        <v>0</v>
      </c>
    </row>
    <row r="18331" spans="2:37">
      <c r="B18331" s="834" t="str">
        <f t="shared" si="653"/>
        <v>|||</v>
      </c>
      <c r="H18331" s="835">
        <f t="shared" si="654"/>
        <v>31</v>
      </c>
      <c r="AF18331" s="831" t="s">
        <v>10530</v>
      </c>
      <c r="AG18331" s="831" t="s">
        <v>2674</v>
      </c>
      <c r="AH18331" s="831" t="s">
        <v>192</v>
      </c>
      <c r="AI18331" s="831">
        <v>0</v>
      </c>
      <c r="AJ18331" s="835">
        <v>41182</v>
      </c>
      <c r="AK18331" s="831">
        <v>-9429800</v>
      </c>
    </row>
    <row r="18332" spans="2:37">
      <c r="B18332" s="834" t="str">
        <f t="shared" si="653"/>
        <v>|||</v>
      </c>
      <c r="H18332" s="835">
        <f t="shared" si="654"/>
        <v>31</v>
      </c>
      <c r="AF18332" s="831" t="s">
        <v>10531</v>
      </c>
      <c r="AG18332" s="831" t="s">
        <v>2674</v>
      </c>
      <c r="AH18332" s="831" t="s">
        <v>558</v>
      </c>
      <c r="AI18332" s="831">
        <v>0</v>
      </c>
      <c r="AJ18332" s="835">
        <v>41182</v>
      </c>
      <c r="AK18332" s="831">
        <v>359177567</v>
      </c>
    </row>
    <row r="18333" spans="2:37">
      <c r="B18333" s="834" t="str">
        <f t="shared" si="653"/>
        <v>|||</v>
      </c>
      <c r="H18333" s="835">
        <f t="shared" si="654"/>
        <v>31</v>
      </c>
      <c r="AF18333" s="831" t="s">
        <v>10532</v>
      </c>
      <c r="AG18333" s="831" t="s">
        <v>2674</v>
      </c>
      <c r="AH18333" s="831" t="s">
        <v>65</v>
      </c>
      <c r="AI18333" s="831">
        <v>0</v>
      </c>
      <c r="AJ18333" s="835">
        <v>41182</v>
      </c>
      <c r="AK18333" s="831">
        <v>71268198</v>
      </c>
    </row>
    <row r="18334" spans="2:37">
      <c r="B18334" s="834" t="str">
        <f t="shared" si="653"/>
        <v>|||</v>
      </c>
      <c r="H18334" s="835">
        <f t="shared" si="654"/>
        <v>31</v>
      </c>
      <c r="AF18334" s="831" t="s">
        <v>10533</v>
      </c>
      <c r="AG18334" s="831" t="s">
        <v>2674</v>
      </c>
      <c r="AH18334" s="831" t="s">
        <v>89</v>
      </c>
      <c r="AI18334" s="831">
        <v>0</v>
      </c>
      <c r="AJ18334" s="835">
        <v>41182</v>
      </c>
      <c r="AK18334" s="831">
        <v>122822</v>
      </c>
    </row>
    <row r="18335" spans="2:37">
      <c r="B18335" s="834" t="str">
        <f t="shared" si="653"/>
        <v>|||</v>
      </c>
      <c r="H18335" s="835">
        <f t="shared" si="654"/>
        <v>31</v>
      </c>
      <c r="AF18335" s="831" t="s">
        <v>10534</v>
      </c>
      <c r="AG18335" s="831" t="s">
        <v>2674</v>
      </c>
      <c r="AH18335" s="831" t="s">
        <v>557</v>
      </c>
      <c r="AI18335" s="831">
        <v>0</v>
      </c>
      <c r="AJ18335" s="835">
        <v>41182</v>
      </c>
      <c r="AK18335" s="831">
        <v>124710</v>
      </c>
    </row>
    <row r="18336" spans="2:37">
      <c r="B18336" s="834" t="str">
        <f t="shared" si="653"/>
        <v>|||</v>
      </c>
      <c r="H18336" s="835">
        <f t="shared" si="654"/>
        <v>31</v>
      </c>
      <c r="AF18336" s="831" t="s">
        <v>10535</v>
      </c>
      <c r="AG18336" s="831" t="s">
        <v>2674</v>
      </c>
      <c r="AH18336" s="831" t="s">
        <v>29</v>
      </c>
      <c r="AI18336" s="831">
        <v>0</v>
      </c>
      <c r="AJ18336" s="835">
        <v>41182</v>
      </c>
      <c r="AK18336" s="831">
        <v>2101787</v>
      </c>
    </row>
    <row r="18337" spans="2:37">
      <c r="B18337" s="834" t="str">
        <f t="shared" si="653"/>
        <v>|||</v>
      </c>
      <c r="H18337" s="835">
        <f t="shared" si="654"/>
        <v>31</v>
      </c>
      <c r="AF18337" s="831" t="s">
        <v>10536</v>
      </c>
      <c r="AG18337" s="831" t="s">
        <v>2674</v>
      </c>
      <c r="AH18337" s="831" t="s">
        <v>2688</v>
      </c>
      <c r="AI18337" s="831">
        <v>0</v>
      </c>
      <c r="AJ18337" s="835">
        <v>41182</v>
      </c>
      <c r="AK18337" s="831">
        <v>2502472</v>
      </c>
    </row>
    <row r="18338" spans="2:37">
      <c r="B18338" s="834" t="str">
        <f t="shared" si="653"/>
        <v>|||</v>
      </c>
      <c r="H18338" s="835">
        <f t="shared" si="654"/>
        <v>31</v>
      </c>
      <c r="AF18338" s="831" t="s">
        <v>10537</v>
      </c>
      <c r="AG18338" s="831" t="s">
        <v>2674</v>
      </c>
      <c r="AH18338" s="831" t="s">
        <v>556</v>
      </c>
      <c r="AI18338" s="831">
        <v>0</v>
      </c>
      <c r="AJ18338" s="835">
        <v>41182</v>
      </c>
      <c r="AK18338" s="831">
        <v>902857</v>
      </c>
    </row>
    <row r="18339" spans="2:37">
      <c r="B18339" s="834" t="str">
        <f t="shared" si="653"/>
        <v>|||</v>
      </c>
      <c r="H18339" s="835">
        <f t="shared" si="654"/>
        <v>31</v>
      </c>
      <c r="AF18339" s="831" t="s">
        <v>10538</v>
      </c>
      <c r="AG18339" s="831" t="s">
        <v>2674</v>
      </c>
      <c r="AH18339" s="831" t="s">
        <v>555</v>
      </c>
      <c r="AI18339" s="831">
        <v>0</v>
      </c>
      <c r="AJ18339" s="835">
        <v>41182</v>
      </c>
      <c r="AK18339" s="831">
        <v>230223270</v>
      </c>
    </row>
    <row r="18340" spans="2:37">
      <c r="B18340" s="834" t="str">
        <f t="shared" si="653"/>
        <v>|||</v>
      </c>
      <c r="H18340" s="835">
        <f t="shared" si="654"/>
        <v>31</v>
      </c>
      <c r="AF18340" s="831" t="s">
        <v>10539</v>
      </c>
      <c r="AG18340" s="831" t="s">
        <v>2674</v>
      </c>
      <c r="AH18340" s="831" t="s">
        <v>554</v>
      </c>
      <c r="AI18340" s="831">
        <v>0</v>
      </c>
      <c r="AJ18340" s="835">
        <v>41182</v>
      </c>
      <c r="AK18340" s="831">
        <v>219562790</v>
      </c>
    </row>
    <row r="18341" spans="2:37">
      <c r="B18341" s="834" t="str">
        <f t="shared" si="653"/>
        <v>|||</v>
      </c>
      <c r="H18341" s="835">
        <f t="shared" si="654"/>
        <v>31</v>
      </c>
      <c r="AF18341" s="831" t="s">
        <v>10540</v>
      </c>
      <c r="AG18341" s="831" t="s">
        <v>2674</v>
      </c>
      <c r="AH18341" s="831" t="s">
        <v>553</v>
      </c>
      <c r="AI18341" s="831">
        <v>0</v>
      </c>
      <c r="AJ18341" s="835">
        <v>41182</v>
      </c>
      <c r="AK18341" s="831">
        <v>0</v>
      </c>
    </row>
    <row r="18342" spans="2:37">
      <c r="B18342" s="834" t="str">
        <f t="shared" si="653"/>
        <v>|||</v>
      </c>
      <c r="H18342" s="835">
        <f t="shared" si="654"/>
        <v>31</v>
      </c>
      <c r="AF18342" s="831" t="s">
        <v>10541</v>
      </c>
      <c r="AG18342" s="831" t="s">
        <v>2674</v>
      </c>
      <c r="AH18342" s="831" t="s">
        <v>552</v>
      </c>
      <c r="AI18342" s="831">
        <v>0</v>
      </c>
      <c r="AJ18342" s="835">
        <v>41182</v>
      </c>
      <c r="AK18342" s="831">
        <v>0</v>
      </c>
    </row>
    <row r="18343" spans="2:37">
      <c r="B18343" s="834" t="str">
        <f t="shared" si="653"/>
        <v>|||</v>
      </c>
      <c r="H18343" s="835">
        <f t="shared" si="654"/>
        <v>31</v>
      </c>
      <c r="AF18343" s="831" t="s">
        <v>10542</v>
      </c>
      <c r="AG18343" s="831" t="s">
        <v>2674</v>
      </c>
      <c r="AH18343" s="831" t="s">
        <v>551</v>
      </c>
      <c r="AI18343" s="831">
        <v>0</v>
      </c>
      <c r="AJ18343" s="835">
        <v>41182</v>
      </c>
      <c r="AK18343" s="831">
        <v>1960032</v>
      </c>
    </row>
    <row r="18344" spans="2:37">
      <c r="B18344" s="834" t="str">
        <f t="shared" si="653"/>
        <v>|||</v>
      </c>
      <c r="H18344" s="835">
        <f t="shared" si="654"/>
        <v>31</v>
      </c>
      <c r="AF18344" s="831" t="s">
        <v>10543</v>
      </c>
      <c r="AG18344" s="831" t="s">
        <v>2674</v>
      </c>
      <c r="AH18344" s="831" t="s">
        <v>550</v>
      </c>
      <c r="AI18344" s="831">
        <v>0</v>
      </c>
      <c r="AJ18344" s="835">
        <v>41182</v>
      </c>
      <c r="AK18344" s="831">
        <v>95414973</v>
      </c>
    </row>
    <row r="18345" spans="2:37">
      <c r="B18345" s="834" t="str">
        <f t="shared" si="653"/>
        <v>|||</v>
      </c>
      <c r="H18345" s="835">
        <f t="shared" si="654"/>
        <v>31</v>
      </c>
      <c r="AF18345" s="831" t="s">
        <v>10544</v>
      </c>
      <c r="AG18345" s="831" t="s">
        <v>2674</v>
      </c>
      <c r="AH18345" s="831" t="s">
        <v>562</v>
      </c>
      <c r="AI18345" s="831">
        <v>0</v>
      </c>
      <c r="AJ18345" s="835">
        <v>41182</v>
      </c>
      <c r="AK18345" s="831">
        <v>0.78464999999999996</v>
      </c>
    </row>
    <row r="18346" spans="2:37">
      <c r="B18346" s="834" t="str">
        <f t="shared" si="653"/>
        <v>|||</v>
      </c>
      <c r="H18346" s="835">
        <f t="shared" si="654"/>
        <v>31</v>
      </c>
      <c r="AF18346" s="831" t="s">
        <v>10545</v>
      </c>
      <c r="AG18346" s="831" t="s">
        <v>2674</v>
      </c>
      <c r="AH18346" s="831" t="s">
        <v>2698</v>
      </c>
      <c r="AI18346" s="831">
        <v>0</v>
      </c>
      <c r="AJ18346" s="835">
        <v>41182</v>
      </c>
      <c r="AK18346" s="831">
        <v>0.78449999999999998</v>
      </c>
    </row>
    <row r="18347" spans="2:37">
      <c r="B18347" s="834" t="str">
        <f t="shared" si="653"/>
        <v>|||</v>
      </c>
      <c r="H18347" s="835">
        <f t="shared" si="654"/>
        <v>31</v>
      </c>
      <c r="AF18347" s="831" t="s">
        <v>10546</v>
      </c>
      <c r="AG18347" s="831" t="s">
        <v>2674</v>
      </c>
      <c r="AH18347" s="831" t="s">
        <v>560</v>
      </c>
      <c r="AI18347" s="831">
        <v>0</v>
      </c>
      <c r="AJ18347" s="835">
        <v>41182</v>
      </c>
      <c r="AK18347" s="831">
        <v>0.78534999999999999</v>
      </c>
    </row>
    <row r="18348" spans="2:37">
      <c r="B18348" s="834" t="str">
        <f t="shared" si="653"/>
        <v>|||</v>
      </c>
      <c r="H18348" s="835">
        <f t="shared" si="654"/>
        <v>31</v>
      </c>
      <c r="AF18348" s="831" t="s">
        <v>10547</v>
      </c>
      <c r="AG18348" s="831" t="s">
        <v>2674</v>
      </c>
      <c r="AH18348" s="831" t="s">
        <v>559</v>
      </c>
      <c r="AI18348" s="831">
        <v>0</v>
      </c>
      <c r="AJ18348" s="835">
        <v>41182</v>
      </c>
      <c r="AK18348" s="831">
        <v>0.78557083333333333</v>
      </c>
    </row>
    <row r="18349" spans="2:37">
      <c r="B18349" s="834" t="str">
        <f t="shared" si="653"/>
        <v>|||</v>
      </c>
      <c r="H18349" s="835">
        <f t="shared" si="654"/>
        <v>31</v>
      </c>
      <c r="AF18349" s="831" t="s">
        <v>10548</v>
      </c>
      <c r="AG18349" s="831" t="s">
        <v>2674</v>
      </c>
      <c r="AH18349" s="831" t="s">
        <v>568</v>
      </c>
      <c r="AI18349" s="831">
        <v>0</v>
      </c>
      <c r="AJ18349" s="835">
        <v>41182</v>
      </c>
      <c r="AK18349" s="831">
        <v>0</v>
      </c>
    </row>
    <row r="18350" spans="2:37">
      <c r="B18350" s="834" t="str">
        <f t="shared" si="653"/>
        <v>|||</v>
      </c>
      <c r="H18350" s="835">
        <f t="shared" si="654"/>
        <v>31</v>
      </c>
      <c r="AF18350" s="831" t="s">
        <v>10549</v>
      </c>
      <c r="AG18350" s="831" t="s">
        <v>2674</v>
      </c>
      <c r="AH18350" s="831" t="s">
        <v>569</v>
      </c>
      <c r="AI18350" s="831">
        <v>0</v>
      </c>
      <c r="AJ18350" s="835">
        <v>41182</v>
      </c>
      <c r="AK18350" s="831">
        <v>0</v>
      </c>
    </row>
    <row r="18351" spans="2:37">
      <c r="B18351" s="834" t="str">
        <f t="shared" si="653"/>
        <v>|||</v>
      </c>
      <c r="H18351" s="835">
        <f t="shared" si="654"/>
        <v>31</v>
      </c>
      <c r="AF18351" s="831" t="s">
        <v>10550</v>
      </c>
      <c r="AG18351" s="831" t="s">
        <v>2674</v>
      </c>
      <c r="AH18351" s="831" t="s">
        <v>570</v>
      </c>
      <c r="AI18351" s="831">
        <v>0</v>
      </c>
      <c r="AJ18351" s="835">
        <v>41182</v>
      </c>
      <c r="AK18351" s="831">
        <v>0</v>
      </c>
    </row>
    <row r="18352" spans="2:37">
      <c r="B18352" s="834" t="str">
        <f t="shared" si="653"/>
        <v>|||</v>
      </c>
      <c r="H18352" s="835">
        <f t="shared" si="654"/>
        <v>31</v>
      </c>
      <c r="AF18352" s="831" t="s">
        <v>10551</v>
      </c>
      <c r="AG18352" s="831" t="s">
        <v>2674</v>
      </c>
      <c r="AH18352" s="831" t="s">
        <v>571</v>
      </c>
      <c r="AI18352" s="831">
        <v>0</v>
      </c>
      <c r="AJ18352" s="835">
        <v>41182</v>
      </c>
      <c r="AK18352" s="831">
        <v>0</v>
      </c>
    </row>
    <row r="18353" spans="2:37">
      <c r="B18353" s="834" t="str">
        <f t="shared" si="653"/>
        <v>|||</v>
      </c>
      <c r="H18353" s="835">
        <f t="shared" si="654"/>
        <v>31</v>
      </c>
      <c r="AF18353" s="831" t="s">
        <v>10552</v>
      </c>
      <c r="AG18353" s="831" t="s">
        <v>2674</v>
      </c>
      <c r="AH18353" s="831" t="s">
        <v>573</v>
      </c>
      <c r="AI18353" s="831">
        <v>0</v>
      </c>
      <c r="AJ18353" s="835">
        <v>41182</v>
      </c>
      <c r="AK18353" s="831">
        <v>0</v>
      </c>
    </row>
    <row r="18354" spans="2:37">
      <c r="B18354" s="834" t="str">
        <f t="shared" si="653"/>
        <v>|||</v>
      </c>
      <c r="H18354" s="835">
        <f t="shared" si="654"/>
        <v>31</v>
      </c>
      <c r="AF18354" s="831" t="s">
        <v>10553</v>
      </c>
      <c r="AG18354" s="831" t="s">
        <v>2674</v>
      </c>
      <c r="AH18354" s="831" t="s">
        <v>574</v>
      </c>
      <c r="AI18354" s="831">
        <v>0</v>
      </c>
      <c r="AJ18354" s="835">
        <v>41182</v>
      </c>
      <c r="AK18354" s="831">
        <v>0</v>
      </c>
    </row>
    <row r="18355" spans="2:37">
      <c r="B18355" s="834" t="str">
        <f t="shared" si="653"/>
        <v>|||</v>
      </c>
      <c r="H18355" s="835">
        <f t="shared" si="654"/>
        <v>31</v>
      </c>
      <c r="AF18355" s="831" t="s">
        <v>10554</v>
      </c>
      <c r="AG18355" s="831" t="s">
        <v>2674</v>
      </c>
      <c r="AH18355" s="831" t="s">
        <v>575</v>
      </c>
      <c r="AI18355" s="831">
        <v>0</v>
      </c>
      <c r="AJ18355" s="835">
        <v>41182</v>
      </c>
      <c r="AK18355" s="831">
        <v>0</v>
      </c>
    </row>
    <row r="18356" spans="2:37">
      <c r="B18356" s="834" t="str">
        <f t="shared" si="653"/>
        <v>|||</v>
      </c>
      <c r="H18356" s="835">
        <f t="shared" si="654"/>
        <v>31</v>
      </c>
      <c r="AF18356" s="831" t="s">
        <v>10555</v>
      </c>
      <c r="AG18356" s="831" t="s">
        <v>2674</v>
      </c>
      <c r="AH18356" s="831" t="s">
        <v>576</v>
      </c>
      <c r="AI18356" s="831">
        <v>0</v>
      </c>
      <c r="AJ18356" s="835">
        <v>41182</v>
      </c>
      <c r="AK18356" s="831">
        <v>0</v>
      </c>
    </row>
    <row r="18357" spans="2:37">
      <c r="B18357" s="834" t="str">
        <f t="shared" si="653"/>
        <v>|||</v>
      </c>
      <c r="H18357" s="835">
        <f t="shared" si="654"/>
        <v>31</v>
      </c>
      <c r="AF18357" s="831" t="s">
        <v>10556</v>
      </c>
      <c r="AG18357" s="831" t="s">
        <v>2674</v>
      </c>
      <c r="AH18357" s="831" t="s">
        <v>572</v>
      </c>
      <c r="AI18357" s="831">
        <v>0</v>
      </c>
      <c r="AJ18357" s="835">
        <v>41182</v>
      </c>
      <c r="AK18357" s="831">
        <v>-2146826246</v>
      </c>
    </row>
    <row r="18358" spans="2:37">
      <c r="B18358" s="834" t="str">
        <f t="shared" si="653"/>
        <v>|||</v>
      </c>
      <c r="H18358" s="835">
        <f t="shared" si="654"/>
        <v>31</v>
      </c>
      <c r="AF18358" s="831" t="s">
        <v>10557</v>
      </c>
      <c r="AG18358" s="831" t="s">
        <v>2674</v>
      </c>
      <c r="AH18358" s="831" t="s">
        <v>577</v>
      </c>
      <c r="AI18358" s="831">
        <v>0</v>
      </c>
      <c r="AJ18358" s="835">
        <v>41182</v>
      </c>
      <c r="AK18358" s="831">
        <v>-2146826246</v>
      </c>
    </row>
    <row r="18359" spans="2:37">
      <c r="B18359" s="834" t="str">
        <f t="shared" si="653"/>
        <v>|||</v>
      </c>
      <c r="H18359" s="835">
        <f t="shared" si="654"/>
        <v>31</v>
      </c>
      <c r="AF18359" s="831" t="s">
        <v>10558</v>
      </c>
      <c r="AG18359" s="831" t="s">
        <v>2674</v>
      </c>
      <c r="AH18359" s="831" t="s">
        <v>3042</v>
      </c>
      <c r="AI18359" s="831">
        <v>0</v>
      </c>
      <c r="AJ18359" s="835">
        <v>41182</v>
      </c>
      <c r="AK18359" s="831">
        <v>-2146826246</v>
      </c>
    </row>
    <row r="18360" spans="2:37">
      <c r="B18360" s="834" t="str">
        <f t="shared" si="653"/>
        <v>|||</v>
      </c>
      <c r="H18360" s="835">
        <f t="shared" si="654"/>
        <v>31</v>
      </c>
      <c r="AF18360" s="831" t="s">
        <v>10559</v>
      </c>
      <c r="AG18360" s="831" t="s">
        <v>2674</v>
      </c>
      <c r="AH18360" s="831" t="s">
        <v>3044</v>
      </c>
      <c r="AI18360" s="831">
        <v>0</v>
      </c>
      <c r="AJ18360" s="835">
        <v>41182</v>
      </c>
      <c r="AK18360" s="831">
        <v>-2146826246</v>
      </c>
    </row>
    <row r="18361" spans="2:37">
      <c r="B18361" s="834" t="str">
        <f t="shared" si="653"/>
        <v>|||</v>
      </c>
      <c r="H18361" s="835">
        <f t="shared" si="654"/>
        <v>31</v>
      </c>
      <c r="AF18361" s="831" t="s">
        <v>10560</v>
      </c>
      <c r="AG18361" s="831" t="s">
        <v>2674</v>
      </c>
      <c r="AH18361" s="831" t="s">
        <v>580</v>
      </c>
      <c r="AI18361" s="831">
        <v>0</v>
      </c>
      <c r="AJ18361" s="835">
        <v>41182</v>
      </c>
      <c r="AK18361" s="831">
        <v>-2146826246</v>
      </c>
    </row>
    <row r="18362" spans="2:37">
      <c r="B18362" s="834" t="str">
        <f t="shared" si="653"/>
        <v>|||</v>
      </c>
      <c r="H18362" s="835">
        <f t="shared" si="654"/>
        <v>31</v>
      </c>
      <c r="AF18362" s="831" t="s">
        <v>10561</v>
      </c>
      <c r="AG18362" s="831" t="s">
        <v>2674</v>
      </c>
      <c r="AH18362" s="831" t="s">
        <v>581</v>
      </c>
      <c r="AI18362" s="831">
        <v>0</v>
      </c>
      <c r="AJ18362" s="835">
        <v>41182</v>
      </c>
      <c r="AK18362" s="831">
        <v>-2146826246</v>
      </c>
    </row>
    <row r="18363" spans="2:37">
      <c r="B18363" s="834" t="str">
        <f t="shared" si="653"/>
        <v>|||</v>
      </c>
      <c r="H18363" s="835">
        <f t="shared" si="654"/>
        <v>31</v>
      </c>
      <c r="AF18363" s="831" t="s">
        <v>10562</v>
      </c>
      <c r="AG18363" s="831" t="s">
        <v>2674</v>
      </c>
      <c r="AH18363" s="831" t="s">
        <v>105</v>
      </c>
      <c r="AI18363" s="831">
        <v>0</v>
      </c>
      <c r="AJ18363" s="835">
        <v>41182</v>
      </c>
      <c r="AK18363" s="831">
        <v>185303362</v>
      </c>
    </row>
    <row r="18364" spans="2:37">
      <c r="B18364" s="834" t="str">
        <f t="shared" si="653"/>
        <v>|||</v>
      </c>
      <c r="H18364" s="835">
        <f t="shared" si="654"/>
        <v>31</v>
      </c>
      <c r="AF18364" s="831" t="s">
        <v>10563</v>
      </c>
      <c r="AG18364" s="831" t="s">
        <v>2674</v>
      </c>
      <c r="AH18364" s="831" t="s">
        <v>3049</v>
      </c>
      <c r="AI18364" s="831">
        <v>0</v>
      </c>
      <c r="AJ18364" s="835">
        <v>41182</v>
      </c>
      <c r="AK18364" s="831">
        <v>347265603</v>
      </c>
    </row>
    <row r="18365" spans="2:37">
      <c r="B18365" s="834" t="str">
        <f t="shared" si="653"/>
        <v>|||</v>
      </c>
      <c r="H18365" s="835">
        <f t="shared" si="654"/>
        <v>31</v>
      </c>
      <c r="AF18365" s="831" t="s">
        <v>10564</v>
      </c>
      <c r="AG18365" s="831" t="s">
        <v>2674</v>
      </c>
      <c r="AH18365" s="831" t="s">
        <v>103</v>
      </c>
      <c r="AI18365" s="831">
        <v>0</v>
      </c>
      <c r="AJ18365" s="835">
        <v>41182</v>
      </c>
      <c r="AK18365" s="831">
        <v>161962241</v>
      </c>
    </row>
    <row r="18366" spans="2:37">
      <c r="B18366" s="834" t="str">
        <f t="shared" si="653"/>
        <v>|||</v>
      </c>
      <c r="H18366" s="835">
        <f t="shared" si="654"/>
        <v>31</v>
      </c>
      <c r="AF18366" s="831" t="s">
        <v>10565</v>
      </c>
      <c r="AG18366" s="831" t="s">
        <v>2674</v>
      </c>
      <c r="AH18366" s="831" t="s">
        <v>182</v>
      </c>
      <c r="AI18366" s="831">
        <v>0</v>
      </c>
      <c r="AJ18366" s="835">
        <v>41182</v>
      </c>
      <c r="AK18366" s="831">
        <v>49982530.666666664</v>
      </c>
    </row>
    <row r="18367" spans="2:37">
      <c r="B18367" s="834" t="str">
        <f t="shared" si="653"/>
        <v>|||</v>
      </c>
      <c r="H18367" s="835">
        <f t="shared" si="654"/>
        <v>31</v>
      </c>
      <c r="AF18367" s="831" t="s">
        <v>10566</v>
      </c>
      <c r="AG18367" s="831" t="s">
        <v>2674</v>
      </c>
      <c r="AH18367" s="831" t="s">
        <v>6600</v>
      </c>
      <c r="AI18367" s="831">
        <v>0</v>
      </c>
      <c r="AJ18367" s="835">
        <v>41182</v>
      </c>
      <c r="AK18367" s="831">
        <v>-2146826246</v>
      </c>
    </row>
    <row r="18368" spans="2:37">
      <c r="B18368" s="834" t="str">
        <f t="shared" si="653"/>
        <v>|||</v>
      </c>
      <c r="H18368" s="835">
        <f t="shared" si="654"/>
        <v>31</v>
      </c>
      <c r="AF18368" s="831" t="s">
        <v>10567</v>
      </c>
      <c r="AG18368" s="831" t="s">
        <v>2674</v>
      </c>
      <c r="AH18368" s="831" t="s">
        <v>6602</v>
      </c>
      <c r="AI18368" s="831">
        <v>0</v>
      </c>
      <c r="AJ18368" s="835">
        <v>41182</v>
      </c>
      <c r="AK18368" s="831">
        <v>12086480</v>
      </c>
    </row>
    <row r="18369" spans="2:37">
      <c r="B18369" s="834" t="str">
        <f t="shared" si="653"/>
        <v>|||</v>
      </c>
      <c r="H18369" s="835">
        <f t="shared" si="654"/>
        <v>31</v>
      </c>
      <c r="AF18369" s="831" t="s">
        <v>10568</v>
      </c>
      <c r="AG18369" s="831" t="s">
        <v>2674</v>
      </c>
      <c r="AH18369" s="831" t="s">
        <v>650</v>
      </c>
      <c r="AI18369" s="831">
        <v>0</v>
      </c>
      <c r="AJ18369" s="835">
        <v>41182</v>
      </c>
      <c r="AK18369" s="831">
        <v>0</v>
      </c>
    </row>
    <row r="18370" spans="2:37">
      <c r="B18370" s="834" t="str">
        <f t="shared" si="653"/>
        <v>|||</v>
      </c>
      <c r="H18370" s="835">
        <f t="shared" si="654"/>
        <v>31</v>
      </c>
      <c r="AF18370" s="831" t="s">
        <v>10569</v>
      </c>
      <c r="AG18370" s="831" t="s">
        <v>2674</v>
      </c>
      <c r="AH18370" s="831" t="s">
        <v>655</v>
      </c>
      <c r="AI18370" s="831">
        <v>0</v>
      </c>
      <c r="AJ18370" s="835">
        <v>41182</v>
      </c>
      <c r="AK18370" s="831">
        <v>1640278</v>
      </c>
    </row>
    <row r="18371" spans="2:37">
      <c r="B18371" s="834" t="str">
        <f t="shared" si="653"/>
        <v>|||</v>
      </c>
      <c r="H18371" s="835">
        <f t="shared" si="654"/>
        <v>31</v>
      </c>
      <c r="AF18371" s="831" t="s">
        <v>10570</v>
      </c>
      <c r="AG18371" s="831" t="s">
        <v>2674</v>
      </c>
      <c r="AH18371" s="831" t="s">
        <v>546</v>
      </c>
      <c r="AI18371" s="831">
        <v>0</v>
      </c>
      <c r="AJ18371" s="835">
        <v>41213</v>
      </c>
      <c r="AK18371" s="831">
        <v>376404251</v>
      </c>
    </row>
    <row r="18372" spans="2:37">
      <c r="B18372" s="834" t="str">
        <f t="shared" si="653"/>
        <v>|||</v>
      </c>
      <c r="H18372" s="835">
        <f t="shared" si="654"/>
        <v>31</v>
      </c>
      <c r="AF18372" s="831" t="s">
        <v>10571</v>
      </c>
      <c r="AG18372" s="831" t="s">
        <v>2674</v>
      </c>
      <c r="AH18372" s="831" t="s">
        <v>370</v>
      </c>
      <c r="AI18372" s="831">
        <v>0</v>
      </c>
      <c r="AJ18372" s="835">
        <v>41213</v>
      </c>
      <c r="AK18372" s="831">
        <v>453336865</v>
      </c>
    </row>
    <row r="18373" spans="2:37">
      <c r="B18373" s="834" t="str">
        <f t="shared" si="653"/>
        <v>|||</v>
      </c>
      <c r="H18373" s="835">
        <f t="shared" si="654"/>
        <v>31</v>
      </c>
      <c r="AF18373" s="831" t="s">
        <v>10572</v>
      </c>
      <c r="AG18373" s="831" t="s">
        <v>2674</v>
      </c>
      <c r="AH18373" s="831" t="s">
        <v>126</v>
      </c>
      <c r="AI18373" s="831">
        <v>0</v>
      </c>
      <c r="AJ18373" s="835">
        <v>41213</v>
      </c>
      <c r="AK18373" s="831">
        <v>99431431</v>
      </c>
    </row>
    <row r="18374" spans="2:37">
      <c r="B18374" s="834" t="str">
        <f t="shared" si="653"/>
        <v>|||</v>
      </c>
      <c r="H18374" s="835">
        <f t="shared" si="654"/>
        <v>31</v>
      </c>
      <c r="AF18374" s="831" t="s">
        <v>10573</v>
      </c>
      <c r="AG18374" s="831" t="s">
        <v>2674</v>
      </c>
      <c r="AH18374" s="831" t="s">
        <v>268</v>
      </c>
      <c r="AI18374" s="831">
        <v>0</v>
      </c>
      <c r="AJ18374" s="835">
        <v>41213</v>
      </c>
      <c r="AK18374" s="831">
        <v>14108507</v>
      </c>
    </row>
    <row r="18375" spans="2:37">
      <c r="B18375" s="834" t="str">
        <f t="shared" si="653"/>
        <v>|||</v>
      </c>
      <c r="H18375" s="835">
        <f t="shared" si="654"/>
        <v>31</v>
      </c>
      <c r="AF18375" s="831" t="s">
        <v>10574</v>
      </c>
      <c r="AG18375" s="831" t="s">
        <v>2674</v>
      </c>
      <c r="AH18375" s="831" t="s">
        <v>547</v>
      </c>
      <c r="AI18375" s="831">
        <v>0</v>
      </c>
      <c r="AJ18375" s="835">
        <v>41213</v>
      </c>
      <c r="AK18375" s="831">
        <v>0</v>
      </c>
    </row>
    <row r="18376" spans="2:37">
      <c r="B18376" s="834" t="str">
        <f t="shared" si="653"/>
        <v>|||</v>
      </c>
      <c r="H18376" s="835">
        <f t="shared" si="654"/>
        <v>31</v>
      </c>
      <c r="AF18376" s="831" t="s">
        <v>10575</v>
      </c>
      <c r="AG18376" s="831" t="s">
        <v>2674</v>
      </c>
      <c r="AH18376" s="831" t="s">
        <v>548</v>
      </c>
      <c r="AI18376" s="831">
        <v>0</v>
      </c>
      <c r="AJ18376" s="835">
        <v>41213</v>
      </c>
      <c r="AK18376" s="831">
        <v>0</v>
      </c>
    </row>
    <row r="18377" spans="2:37">
      <c r="B18377" s="834" t="str">
        <f t="shared" si="653"/>
        <v>|||</v>
      </c>
      <c r="H18377" s="835">
        <f t="shared" si="654"/>
        <v>31</v>
      </c>
      <c r="AF18377" s="831" t="s">
        <v>10576</v>
      </c>
      <c r="AG18377" s="831" t="s">
        <v>2674</v>
      </c>
      <c r="AH18377" s="831" t="s">
        <v>549</v>
      </c>
      <c r="AI18377" s="831">
        <v>0</v>
      </c>
      <c r="AJ18377" s="835">
        <v>41213</v>
      </c>
      <c r="AK18377" s="831">
        <v>0</v>
      </c>
    </row>
    <row r="18378" spans="2:37">
      <c r="B18378" s="834" t="str">
        <f t="shared" si="653"/>
        <v>|||</v>
      </c>
      <c r="H18378" s="835">
        <f t="shared" si="654"/>
        <v>31</v>
      </c>
      <c r="AF18378" s="831" t="s">
        <v>10577</v>
      </c>
      <c r="AG18378" s="831" t="s">
        <v>2674</v>
      </c>
      <c r="AH18378" s="831" t="s">
        <v>192</v>
      </c>
      <c r="AI18378" s="831">
        <v>0</v>
      </c>
      <c r="AJ18378" s="835">
        <v>41213</v>
      </c>
      <c r="AK18378" s="831">
        <v>-9860253</v>
      </c>
    </row>
    <row r="18379" spans="2:37">
      <c r="B18379" s="834" t="str">
        <f t="shared" si="653"/>
        <v>|||</v>
      </c>
      <c r="H18379" s="835">
        <f t="shared" si="654"/>
        <v>31</v>
      </c>
      <c r="AF18379" s="831" t="s">
        <v>10578</v>
      </c>
      <c r="AG18379" s="831" t="s">
        <v>2674</v>
      </c>
      <c r="AH18379" s="831" t="s">
        <v>558</v>
      </c>
      <c r="AI18379" s="831">
        <v>0</v>
      </c>
      <c r="AJ18379" s="835">
        <v>41213</v>
      </c>
      <c r="AK18379" s="831">
        <v>353905434</v>
      </c>
    </row>
    <row r="18380" spans="2:37">
      <c r="B18380" s="834" t="str">
        <f t="shared" si="653"/>
        <v>|||</v>
      </c>
      <c r="H18380" s="835">
        <f t="shared" si="654"/>
        <v>31</v>
      </c>
      <c r="AF18380" s="831" t="s">
        <v>10579</v>
      </c>
      <c r="AG18380" s="831" t="s">
        <v>2674</v>
      </c>
      <c r="AH18380" s="831" t="s">
        <v>65</v>
      </c>
      <c r="AI18380" s="831">
        <v>0</v>
      </c>
      <c r="AJ18380" s="835">
        <v>41213</v>
      </c>
      <c r="AK18380" s="831">
        <v>80308330</v>
      </c>
    </row>
    <row r="18381" spans="2:37">
      <c r="B18381" s="834" t="str">
        <f t="shared" si="653"/>
        <v>|||</v>
      </c>
      <c r="H18381" s="835">
        <f t="shared" si="654"/>
        <v>31</v>
      </c>
      <c r="AF18381" s="831" t="s">
        <v>10580</v>
      </c>
      <c r="AG18381" s="831" t="s">
        <v>2674</v>
      </c>
      <c r="AH18381" s="831" t="s">
        <v>89</v>
      </c>
      <c r="AI18381" s="831">
        <v>0</v>
      </c>
      <c r="AJ18381" s="835">
        <v>41213</v>
      </c>
      <c r="AK18381" s="831">
        <v>123024</v>
      </c>
    </row>
    <row r="18382" spans="2:37">
      <c r="B18382" s="834" t="str">
        <f t="shared" si="653"/>
        <v>|||</v>
      </c>
      <c r="H18382" s="835">
        <f t="shared" si="654"/>
        <v>31</v>
      </c>
      <c r="AF18382" s="831" t="s">
        <v>10581</v>
      </c>
      <c r="AG18382" s="831" t="s">
        <v>2674</v>
      </c>
      <c r="AH18382" s="831" t="s">
        <v>557</v>
      </c>
      <c r="AI18382" s="831">
        <v>0</v>
      </c>
      <c r="AJ18382" s="835">
        <v>41213</v>
      </c>
      <c r="AK18382" s="831">
        <v>124999</v>
      </c>
    </row>
    <row r="18383" spans="2:37">
      <c r="B18383" s="834" t="str">
        <f t="shared" si="653"/>
        <v>|||</v>
      </c>
      <c r="H18383" s="835">
        <f t="shared" si="654"/>
        <v>31</v>
      </c>
      <c r="AF18383" s="831" t="s">
        <v>10582</v>
      </c>
      <c r="AG18383" s="831" t="s">
        <v>2674</v>
      </c>
      <c r="AH18383" s="831" t="s">
        <v>29</v>
      </c>
      <c r="AI18383" s="831">
        <v>0</v>
      </c>
      <c r="AJ18383" s="835">
        <v>41213</v>
      </c>
      <c r="AK18383" s="831">
        <v>2261339</v>
      </c>
    </row>
    <row r="18384" spans="2:37">
      <c r="B18384" s="834" t="str">
        <f t="shared" si="653"/>
        <v>|||</v>
      </c>
      <c r="H18384" s="835">
        <f t="shared" si="654"/>
        <v>31</v>
      </c>
      <c r="AF18384" s="831" t="s">
        <v>10583</v>
      </c>
      <c r="AG18384" s="831" t="s">
        <v>2674</v>
      </c>
      <c r="AH18384" s="831" t="s">
        <v>2688</v>
      </c>
      <c r="AI18384" s="831">
        <v>0</v>
      </c>
      <c r="AJ18384" s="835">
        <v>41213</v>
      </c>
      <c r="AK18384" s="831">
        <v>2480728</v>
      </c>
    </row>
    <row r="18385" spans="2:37">
      <c r="B18385" s="834" t="str">
        <f t="shared" ref="B18385:B18448" si="655">C18385&amp;"|"&amp;D18385&amp;"|"&amp;E18385&amp;"|"&amp;F18385</f>
        <v>|||</v>
      </c>
      <c r="H18385" s="835">
        <f t="shared" ref="H18385:H18448" si="656">EOMONTH(L18385,0)</f>
        <v>31</v>
      </c>
      <c r="AF18385" s="831" t="s">
        <v>10584</v>
      </c>
      <c r="AG18385" s="831" t="s">
        <v>2674</v>
      </c>
      <c r="AH18385" s="831" t="s">
        <v>556</v>
      </c>
      <c r="AI18385" s="831">
        <v>0</v>
      </c>
      <c r="AJ18385" s="835">
        <v>41213</v>
      </c>
      <c r="AK18385" s="831">
        <v>902857</v>
      </c>
    </row>
    <row r="18386" spans="2:37">
      <c r="B18386" s="834" t="str">
        <f t="shared" si="655"/>
        <v>|||</v>
      </c>
      <c r="H18386" s="835">
        <f t="shared" si="656"/>
        <v>31</v>
      </c>
      <c r="AF18386" s="831" t="s">
        <v>10585</v>
      </c>
      <c r="AG18386" s="831" t="s">
        <v>2674</v>
      </c>
      <c r="AH18386" s="831" t="s">
        <v>555</v>
      </c>
      <c r="AI18386" s="831">
        <v>0</v>
      </c>
      <c r="AJ18386" s="835">
        <v>41213</v>
      </c>
      <c r="AK18386" s="831">
        <v>223326560</v>
      </c>
    </row>
    <row r="18387" spans="2:37">
      <c r="B18387" s="834" t="str">
        <f t="shared" si="655"/>
        <v>|||</v>
      </c>
      <c r="H18387" s="835">
        <f t="shared" si="656"/>
        <v>31</v>
      </c>
      <c r="AF18387" s="831" t="s">
        <v>10586</v>
      </c>
      <c r="AG18387" s="831" t="s">
        <v>2674</v>
      </c>
      <c r="AH18387" s="831" t="s">
        <v>554</v>
      </c>
      <c r="AI18387" s="831">
        <v>0</v>
      </c>
      <c r="AJ18387" s="835">
        <v>41213</v>
      </c>
      <c r="AK18387" s="831">
        <v>217988230</v>
      </c>
    </row>
    <row r="18388" spans="2:37">
      <c r="B18388" s="834" t="str">
        <f t="shared" si="655"/>
        <v>|||</v>
      </c>
      <c r="H18388" s="835">
        <f t="shared" si="656"/>
        <v>31</v>
      </c>
      <c r="AF18388" s="831" t="s">
        <v>10587</v>
      </c>
      <c r="AG18388" s="831" t="s">
        <v>2674</v>
      </c>
      <c r="AH18388" s="831" t="s">
        <v>553</v>
      </c>
      <c r="AI18388" s="831">
        <v>0</v>
      </c>
      <c r="AJ18388" s="835">
        <v>41213</v>
      </c>
      <c r="AK18388" s="831">
        <v>0</v>
      </c>
    </row>
    <row r="18389" spans="2:37">
      <c r="B18389" s="834" t="str">
        <f t="shared" si="655"/>
        <v>|||</v>
      </c>
      <c r="H18389" s="835">
        <f t="shared" si="656"/>
        <v>31</v>
      </c>
      <c r="AF18389" s="831" t="s">
        <v>10588</v>
      </c>
      <c r="AG18389" s="831" t="s">
        <v>2674</v>
      </c>
      <c r="AH18389" s="831" t="s">
        <v>552</v>
      </c>
      <c r="AI18389" s="831">
        <v>0</v>
      </c>
      <c r="AJ18389" s="835">
        <v>41213</v>
      </c>
      <c r="AK18389" s="831">
        <v>0</v>
      </c>
    </row>
    <row r="18390" spans="2:37">
      <c r="B18390" s="834" t="str">
        <f t="shared" si="655"/>
        <v>|||</v>
      </c>
      <c r="H18390" s="835">
        <f t="shared" si="656"/>
        <v>31</v>
      </c>
      <c r="AF18390" s="831" t="s">
        <v>10589</v>
      </c>
      <c r="AG18390" s="831" t="s">
        <v>2674</v>
      </c>
      <c r="AH18390" s="831" t="s">
        <v>551</v>
      </c>
      <c r="AI18390" s="831">
        <v>0</v>
      </c>
      <c r="AJ18390" s="835">
        <v>41213</v>
      </c>
      <c r="AK18390" s="831">
        <v>2033933</v>
      </c>
    </row>
    <row r="18391" spans="2:37">
      <c r="B18391" s="834" t="str">
        <f t="shared" si="655"/>
        <v>|||</v>
      </c>
      <c r="H18391" s="835">
        <f t="shared" si="656"/>
        <v>31</v>
      </c>
      <c r="AF18391" s="831" t="s">
        <v>10590</v>
      </c>
      <c r="AG18391" s="831" t="s">
        <v>2674</v>
      </c>
      <c r="AH18391" s="831" t="s">
        <v>550</v>
      </c>
      <c r="AI18391" s="831">
        <v>0</v>
      </c>
      <c r="AJ18391" s="835">
        <v>41213</v>
      </c>
      <c r="AK18391" s="831">
        <v>97409403</v>
      </c>
    </row>
    <row r="18392" spans="2:37">
      <c r="B18392" s="834" t="str">
        <f t="shared" si="655"/>
        <v>|||</v>
      </c>
      <c r="H18392" s="835">
        <f t="shared" si="656"/>
        <v>31</v>
      </c>
      <c r="AF18392" s="831" t="s">
        <v>10591</v>
      </c>
      <c r="AG18392" s="831" t="s">
        <v>2674</v>
      </c>
      <c r="AH18392" s="831" t="s">
        <v>562</v>
      </c>
      <c r="AI18392" s="831">
        <v>0</v>
      </c>
      <c r="AJ18392" s="835">
        <v>41213</v>
      </c>
      <c r="AK18392" s="831">
        <v>0.78434999999999999</v>
      </c>
    </row>
    <row r="18393" spans="2:37">
      <c r="B18393" s="834" t="str">
        <f t="shared" si="655"/>
        <v>|||</v>
      </c>
      <c r="H18393" s="835">
        <f t="shared" si="656"/>
        <v>31</v>
      </c>
      <c r="AF18393" s="831" t="s">
        <v>10592</v>
      </c>
      <c r="AG18393" s="831" t="s">
        <v>2674</v>
      </c>
      <c r="AH18393" s="831" t="s">
        <v>2698</v>
      </c>
      <c r="AI18393" s="831">
        <v>0</v>
      </c>
      <c r="AJ18393" s="835">
        <v>41213</v>
      </c>
      <c r="AK18393" s="831">
        <v>0.78464999999999996</v>
      </c>
    </row>
    <row r="18394" spans="2:37">
      <c r="B18394" s="834" t="str">
        <f t="shared" si="655"/>
        <v>|||</v>
      </c>
      <c r="H18394" s="835">
        <f t="shared" si="656"/>
        <v>31</v>
      </c>
      <c r="AF18394" s="831" t="s">
        <v>10593</v>
      </c>
      <c r="AG18394" s="831" t="s">
        <v>2674</v>
      </c>
      <c r="AH18394" s="831" t="s">
        <v>560</v>
      </c>
      <c r="AI18394" s="831">
        <v>0</v>
      </c>
      <c r="AJ18394" s="835">
        <v>41213</v>
      </c>
      <c r="AK18394" s="831">
        <v>0.78525</v>
      </c>
    </row>
    <row r="18395" spans="2:37">
      <c r="B18395" s="834" t="str">
        <f t="shared" si="655"/>
        <v>|||</v>
      </c>
      <c r="H18395" s="835">
        <f t="shared" si="656"/>
        <v>31</v>
      </c>
      <c r="AF18395" s="831" t="s">
        <v>10594</v>
      </c>
      <c r="AG18395" s="831" t="s">
        <v>2674</v>
      </c>
      <c r="AH18395" s="831" t="s">
        <v>559</v>
      </c>
      <c r="AI18395" s="831">
        <v>0</v>
      </c>
      <c r="AJ18395" s="835">
        <v>41213</v>
      </c>
      <c r="AK18395" s="831">
        <v>0.78536666666666666</v>
      </c>
    </row>
    <row r="18396" spans="2:37">
      <c r="B18396" s="834" t="str">
        <f t="shared" si="655"/>
        <v>|||</v>
      </c>
      <c r="H18396" s="835">
        <f t="shared" si="656"/>
        <v>31</v>
      </c>
      <c r="AF18396" s="831" t="s">
        <v>10595</v>
      </c>
      <c r="AG18396" s="831" t="s">
        <v>2674</v>
      </c>
      <c r="AH18396" s="831" t="s">
        <v>568</v>
      </c>
      <c r="AI18396" s="831">
        <v>0</v>
      </c>
      <c r="AJ18396" s="835">
        <v>41213</v>
      </c>
      <c r="AK18396" s="831">
        <v>0</v>
      </c>
    </row>
    <row r="18397" spans="2:37">
      <c r="B18397" s="834" t="str">
        <f t="shared" si="655"/>
        <v>|||</v>
      </c>
      <c r="H18397" s="835">
        <f t="shared" si="656"/>
        <v>31</v>
      </c>
      <c r="AF18397" s="831" t="s">
        <v>10596</v>
      </c>
      <c r="AG18397" s="831" t="s">
        <v>2674</v>
      </c>
      <c r="AH18397" s="831" t="s">
        <v>569</v>
      </c>
      <c r="AI18397" s="831">
        <v>0</v>
      </c>
      <c r="AJ18397" s="835">
        <v>41213</v>
      </c>
      <c r="AK18397" s="831">
        <v>0</v>
      </c>
    </row>
    <row r="18398" spans="2:37">
      <c r="B18398" s="834" t="str">
        <f t="shared" si="655"/>
        <v>|||</v>
      </c>
      <c r="H18398" s="835">
        <f t="shared" si="656"/>
        <v>31</v>
      </c>
      <c r="AF18398" s="831" t="s">
        <v>10597</v>
      </c>
      <c r="AG18398" s="831" t="s">
        <v>2674</v>
      </c>
      <c r="AH18398" s="831" t="s">
        <v>570</v>
      </c>
      <c r="AI18398" s="831">
        <v>0</v>
      </c>
      <c r="AJ18398" s="835">
        <v>41213</v>
      </c>
      <c r="AK18398" s="831">
        <v>0</v>
      </c>
    </row>
    <row r="18399" spans="2:37">
      <c r="B18399" s="834" t="str">
        <f t="shared" si="655"/>
        <v>|||</v>
      </c>
      <c r="H18399" s="835">
        <f t="shared" si="656"/>
        <v>31</v>
      </c>
      <c r="AF18399" s="831" t="s">
        <v>10598</v>
      </c>
      <c r="AG18399" s="831" t="s">
        <v>2674</v>
      </c>
      <c r="AH18399" s="831" t="s">
        <v>571</v>
      </c>
      <c r="AI18399" s="831">
        <v>0</v>
      </c>
      <c r="AJ18399" s="835">
        <v>41213</v>
      </c>
      <c r="AK18399" s="831">
        <v>0</v>
      </c>
    </row>
    <row r="18400" spans="2:37">
      <c r="B18400" s="834" t="str">
        <f t="shared" si="655"/>
        <v>|||</v>
      </c>
      <c r="H18400" s="835">
        <f t="shared" si="656"/>
        <v>31</v>
      </c>
      <c r="AF18400" s="831" t="s">
        <v>10599</v>
      </c>
      <c r="AG18400" s="831" t="s">
        <v>2674</v>
      </c>
      <c r="AH18400" s="831" t="s">
        <v>573</v>
      </c>
      <c r="AI18400" s="831">
        <v>0</v>
      </c>
      <c r="AJ18400" s="835">
        <v>41213</v>
      </c>
      <c r="AK18400" s="831">
        <v>0</v>
      </c>
    </row>
    <row r="18401" spans="2:37">
      <c r="B18401" s="834" t="str">
        <f t="shared" si="655"/>
        <v>|||</v>
      </c>
      <c r="H18401" s="835">
        <f t="shared" si="656"/>
        <v>31</v>
      </c>
      <c r="AF18401" s="831" t="s">
        <v>10600</v>
      </c>
      <c r="AG18401" s="831" t="s">
        <v>2674</v>
      </c>
      <c r="AH18401" s="831" t="s">
        <v>574</v>
      </c>
      <c r="AI18401" s="831">
        <v>0</v>
      </c>
      <c r="AJ18401" s="835">
        <v>41213</v>
      </c>
      <c r="AK18401" s="831">
        <v>0</v>
      </c>
    </row>
    <row r="18402" spans="2:37">
      <c r="B18402" s="834" t="str">
        <f t="shared" si="655"/>
        <v>|||</v>
      </c>
      <c r="H18402" s="835">
        <f t="shared" si="656"/>
        <v>31</v>
      </c>
      <c r="AF18402" s="831" t="s">
        <v>10601</v>
      </c>
      <c r="AG18402" s="831" t="s">
        <v>2674</v>
      </c>
      <c r="AH18402" s="831" t="s">
        <v>575</v>
      </c>
      <c r="AI18402" s="831">
        <v>0</v>
      </c>
      <c r="AJ18402" s="835">
        <v>41213</v>
      </c>
      <c r="AK18402" s="831">
        <v>0</v>
      </c>
    </row>
    <row r="18403" spans="2:37">
      <c r="B18403" s="834" t="str">
        <f t="shared" si="655"/>
        <v>|||</v>
      </c>
      <c r="H18403" s="835">
        <f t="shared" si="656"/>
        <v>31</v>
      </c>
      <c r="AF18403" s="831" t="s">
        <v>10602</v>
      </c>
      <c r="AG18403" s="831" t="s">
        <v>2674</v>
      </c>
      <c r="AH18403" s="831" t="s">
        <v>576</v>
      </c>
      <c r="AI18403" s="831">
        <v>0</v>
      </c>
      <c r="AJ18403" s="835">
        <v>41213</v>
      </c>
      <c r="AK18403" s="831">
        <v>0</v>
      </c>
    </row>
    <row r="18404" spans="2:37">
      <c r="B18404" s="834" t="str">
        <f t="shared" si="655"/>
        <v>|||</v>
      </c>
      <c r="H18404" s="835">
        <f t="shared" si="656"/>
        <v>31</v>
      </c>
      <c r="AF18404" s="831" t="s">
        <v>10603</v>
      </c>
      <c r="AG18404" s="831" t="s">
        <v>2674</v>
      </c>
      <c r="AH18404" s="831" t="s">
        <v>572</v>
      </c>
      <c r="AI18404" s="831">
        <v>0</v>
      </c>
      <c r="AJ18404" s="835">
        <v>41213</v>
      </c>
      <c r="AK18404" s="831">
        <v>-2146826246</v>
      </c>
    </row>
    <row r="18405" spans="2:37">
      <c r="B18405" s="834" t="str">
        <f t="shared" si="655"/>
        <v>|||</v>
      </c>
      <c r="H18405" s="835">
        <f t="shared" si="656"/>
        <v>31</v>
      </c>
      <c r="AF18405" s="831" t="s">
        <v>10604</v>
      </c>
      <c r="AG18405" s="831" t="s">
        <v>2674</v>
      </c>
      <c r="AH18405" s="831" t="s">
        <v>577</v>
      </c>
      <c r="AI18405" s="831">
        <v>0</v>
      </c>
      <c r="AJ18405" s="835">
        <v>41213</v>
      </c>
      <c r="AK18405" s="831">
        <v>-2146826246</v>
      </c>
    </row>
    <row r="18406" spans="2:37">
      <c r="B18406" s="834" t="str">
        <f t="shared" si="655"/>
        <v>|||</v>
      </c>
      <c r="H18406" s="835">
        <f t="shared" si="656"/>
        <v>31</v>
      </c>
      <c r="AF18406" s="831" t="s">
        <v>10605</v>
      </c>
      <c r="AG18406" s="831" t="s">
        <v>2674</v>
      </c>
      <c r="AH18406" s="831" t="s">
        <v>3042</v>
      </c>
      <c r="AI18406" s="831">
        <v>0</v>
      </c>
      <c r="AJ18406" s="835">
        <v>41213</v>
      </c>
      <c r="AK18406" s="831">
        <v>-2146826246</v>
      </c>
    </row>
    <row r="18407" spans="2:37">
      <c r="B18407" s="834" t="str">
        <f t="shared" si="655"/>
        <v>|||</v>
      </c>
      <c r="H18407" s="835">
        <f t="shared" si="656"/>
        <v>31</v>
      </c>
      <c r="AF18407" s="831" t="s">
        <v>10606</v>
      </c>
      <c r="AG18407" s="831" t="s">
        <v>2674</v>
      </c>
      <c r="AH18407" s="831" t="s">
        <v>3044</v>
      </c>
      <c r="AI18407" s="831">
        <v>0</v>
      </c>
      <c r="AJ18407" s="835">
        <v>41213</v>
      </c>
      <c r="AK18407" s="831">
        <v>-2146826246</v>
      </c>
    </row>
    <row r="18408" spans="2:37">
      <c r="B18408" s="834" t="str">
        <f t="shared" si="655"/>
        <v>|||</v>
      </c>
      <c r="H18408" s="835">
        <f t="shared" si="656"/>
        <v>31</v>
      </c>
      <c r="AF18408" s="831" t="s">
        <v>10607</v>
      </c>
      <c r="AG18408" s="831" t="s">
        <v>2674</v>
      </c>
      <c r="AH18408" s="831" t="s">
        <v>580</v>
      </c>
      <c r="AI18408" s="831">
        <v>0</v>
      </c>
      <c r="AJ18408" s="835">
        <v>41213</v>
      </c>
      <c r="AK18408" s="831">
        <v>-2146826246</v>
      </c>
    </row>
    <row r="18409" spans="2:37">
      <c r="B18409" s="834" t="str">
        <f t="shared" si="655"/>
        <v>|||</v>
      </c>
      <c r="H18409" s="835">
        <f t="shared" si="656"/>
        <v>31</v>
      </c>
      <c r="AF18409" s="831" t="s">
        <v>10608</v>
      </c>
      <c r="AG18409" s="831" t="s">
        <v>2674</v>
      </c>
      <c r="AH18409" s="831" t="s">
        <v>581</v>
      </c>
      <c r="AI18409" s="831">
        <v>0</v>
      </c>
      <c r="AJ18409" s="835">
        <v>41213</v>
      </c>
      <c r="AK18409" s="831">
        <v>-2146826246</v>
      </c>
    </row>
    <row r="18410" spans="2:37">
      <c r="B18410" s="834" t="str">
        <f t="shared" si="655"/>
        <v>|||</v>
      </c>
      <c r="H18410" s="835">
        <f t="shared" si="656"/>
        <v>31</v>
      </c>
      <c r="AF18410" s="831" t="s">
        <v>10609</v>
      </c>
      <c r="AG18410" s="831" t="s">
        <v>2674</v>
      </c>
      <c r="AH18410" s="831" t="s">
        <v>105</v>
      </c>
      <c r="AI18410" s="831">
        <v>0</v>
      </c>
      <c r="AJ18410" s="835">
        <v>41213</v>
      </c>
      <c r="AK18410" s="831">
        <v>184676086</v>
      </c>
    </row>
    <row r="18411" spans="2:37">
      <c r="B18411" s="834" t="str">
        <f t="shared" si="655"/>
        <v>|||</v>
      </c>
      <c r="H18411" s="835">
        <f t="shared" si="656"/>
        <v>31</v>
      </c>
      <c r="AF18411" s="831" t="s">
        <v>10610</v>
      </c>
      <c r="AG18411" s="831" t="s">
        <v>2674</v>
      </c>
      <c r="AH18411" s="831" t="s">
        <v>3049</v>
      </c>
      <c r="AI18411" s="831">
        <v>0</v>
      </c>
      <c r="AJ18411" s="835">
        <v>41213</v>
      </c>
      <c r="AK18411" s="831">
        <v>342133447</v>
      </c>
    </row>
    <row r="18412" spans="2:37">
      <c r="B18412" s="834" t="str">
        <f t="shared" si="655"/>
        <v>|||</v>
      </c>
      <c r="H18412" s="835">
        <f t="shared" si="656"/>
        <v>31</v>
      </c>
      <c r="AF18412" s="831" t="s">
        <v>10611</v>
      </c>
      <c r="AG18412" s="831" t="s">
        <v>2674</v>
      </c>
      <c r="AH18412" s="831" t="s">
        <v>103</v>
      </c>
      <c r="AI18412" s="831">
        <v>0</v>
      </c>
      <c r="AJ18412" s="835">
        <v>41213</v>
      </c>
      <c r="AK18412" s="831">
        <v>157457361</v>
      </c>
    </row>
    <row r="18413" spans="2:37">
      <c r="B18413" s="834" t="str">
        <f t="shared" si="655"/>
        <v>|||</v>
      </c>
      <c r="H18413" s="835">
        <f t="shared" si="656"/>
        <v>31</v>
      </c>
      <c r="AF18413" s="831" t="s">
        <v>10612</v>
      </c>
      <c r="AG18413" s="831" t="s">
        <v>2674</v>
      </c>
      <c r="AH18413" s="831" t="s">
        <v>182</v>
      </c>
      <c r="AI18413" s="831">
        <v>0</v>
      </c>
      <c r="AJ18413" s="835">
        <v>41213</v>
      </c>
      <c r="AK18413" s="831">
        <v>49941625.200000003</v>
      </c>
    </row>
    <row r="18414" spans="2:37">
      <c r="B18414" s="834" t="str">
        <f t="shared" si="655"/>
        <v>|||</v>
      </c>
      <c r="H18414" s="835">
        <f t="shared" si="656"/>
        <v>31</v>
      </c>
      <c r="AF18414" s="831" t="s">
        <v>10613</v>
      </c>
      <c r="AG18414" s="831" t="s">
        <v>2674</v>
      </c>
      <c r="AH18414" s="831" t="s">
        <v>6600</v>
      </c>
      <c r="AI18414" s="831">
        <v>0</v>
      </c>
      <c r="AJ18414" s="835">
        <v>41213</v>
      </c>
      <c r="AK18414" s="831">
        <v>-2146826246</v>
      </c>
    </row>
    <row r="18415" spans="2:37">
      <c r="B18415" s="834" t="str">
        <f t="shared" si="655"/>
        <v>|||</v>
      </c>
      <c r="H18415" s="835">
        <f t="shared" si="656"/>
        <v>31</v>
      </c>
      <c r="AF18415" s="831" t="s">
        <v>10614</v>
      </c>
      <c r="AG18415" s="831" t="s">
        <v>2674</v>
      </c>
      <c r="AH18415" s="831" t="s">
        <v>6602</v>
      </c>
      <c r="AI18415" s="831">
        <v>0</v>
      </c>
      <c r="AJ18415" s="835">
        <v>41213</v>
      </c>
      <c r="AK18415" s="831">
        <v>14108507</v>
      </c>
    </row>
    <row r="18416" spans="2:37">
      <c r="B18416" s="834" t="str">
        <f t="shared" si="655"/>
        <v>|||</v>
      </c>
      <c r="H18416" s="835">
        <f t="shared" si="656"/>
        <v>31</v>
      </c>
      <c r="AF18416" s="831" t="s">
        <v>10615</v>
      </c>
      <c r="AG18416" s="831" t="s">
        <v>2674</v>
      </c>
      <c r="AH18416" s="831" t="s">
        <v>650</v>
      </c>
      <c r="AI18416" s="831">
        <v>0</v>
      </c>
      <c r="AJ18416" s="835">
        <v>41213</v>
      </c>
      <c r="AK18416" s="831">
        <v>0</v>
      </c>
    </row>
    <row r="18417" spans="2:37">
      <c r="B18417" s="834" t="str">
        <f t="shared" si="655"/>
        <v>|||</v>
      </c>
      <c r="H18417" s="835">
        <f t="shared" si="656"/>
        <v>31</v>
      </c>
      <c r="AF18417" s="831" t="s">
        <v>10616</v>
      </c>
      <c r="AG18417" s="831" t="s">
        <v>2674</v>
      </c>
      <c r="AH18417" s="831" t="s">
        <v>655</v>
      </c>
      <c r="AI18417" s="831">
        <v>0</v>
      </c>
      <c r="AJ18417" s="835">
        <v>41213</v>
      </c>
      <c r="AK18417" s="831">
        <v>1927116</v>
      </c>
    </row>
    <row r="18418" spans="2:37">
      <c r="B18418" s="834" t="str">
        <f t="shared" si="655"/>
        <v>|||</v>
      </c>
      <c r="H18418" s="835">
        <f t="shared" si="656"/>
        <v>31</v>
      </c>
      <c r="AF18418" s="831" t="s">
        <v>10617</v>
      </c>
      <c r="AG18418" s="831" t="s">
        <v>2674</v>
      </c>
      <c r="AH18418" s="831" t="s">
        <v>546</v>
      </c>
      <c r="AI18418" s="831">
        <v>0</v>
      </c>
      <c r="AJ18418" s="835">
        <v>41243</v>
      </c>
      <c r="AK18418" s="831">
        <v>394083786</v>
      </c>
    </row>
    <row r="18419" spans="2:37">
      <c r="B18419" s="834" t="str">
        <f t="shared" si="655"/>
        <v>|||</v>
      </c>
      <c r="H18419" s="835">
        <f t="shared" si="656"/>
        <v>31</v>
      </c>
      <c r="AF18419" s="831" t="s">
        <v>10618</v>
      </c>
      <c r="AG18419" s="831" t="s">
        <v>2674</v>
      </c>
      <c r="AH18419" s="831" t="s">
        <v>370</v>
      </c>
      <c r="AI18419" s="831">
        <v>0</v>
      </c>
      <c r="AJ18419" s="835">
        <v>41243</v>
      </c>
      <c r="AK18419" s="831">
        <v>468781857</v>
      </c>
    </row>
    <row r="18420" spans="2:37">
      <c r="B18420" s="834" t="str">
        <f t="shared" si="655"/>
        <v>|||</v>
      </c>
      <c r="H18420" s="835">
        <f t="shared" si="656"/>
        <v>31</v>
      </c>
      <c r="AF18420" s="831" t="s">
        <v>10619</v>
      </c>
      <c r="AG18420" s="831" t="s">
        <v>2674</v>
      </c>
      <c r="AH18420" s="831" t="s">
        <v>126</v>
      </c>
      <c r="AI18420" s="831">
        <v>0</v>
      </c>
      <c r="AJ18420" s="835">
        <v>41243</v>
      </c>
      <c r="AK18420" s="831">
        <v>101856827</v>
      </c>
    </row>
    <row r="18421" spans="2:37">
      <c r="B18421" s="834" t="str">
        <f t="shared" si="655"/>
        <v>|||</v>
      </c>
      <c r="H18421" s="835">
        <f t="shared" si="656"/>
        <v>31</v>
      </c>
      <c r="AF18421" s="831" t="s">
        <v>10620</v>
      </c>
      <c r="AG18421" s="831" t="s">
        <v>2674</v>
      </c>
      <c r="AH18421" s="831" t="s">
        <v>268</v>
      </c>
      <c r="AI18421" s="831">
        <v>0</v>
      </c>
      <c r="AJ18421" s="835">
        <v>41243</v>
      </c>
      <c r="AK18421" s="831">
        <v>16533903</v>
      </c>
    </row>
    <row r="18422" spans="2:37">
      <c r="B18422" s="834" t="str">
        <f t="shared" si="655"/>
        <v>|||</v>
      </c>
      <c r="H18422" s="835">
        <f t="shared" si="656"/>
        <v>31</v>
      </c>
      <c r="AF18422" s="831" t="s">
        <v>10621</v>
      </c>
      <c r="AG18422" s="831" t="s">
        <v>2674</v>
      </c>
      <c r="AH18422" s="831" t="s">
        <v>547</v>
      </c>
      <c r="AI18422" s="831">
        <v>0</v>
      </c>
      <c r="AJ18422" s="835">
        <v>41243</v>
      </c>
      <c r="AK18422" s="831">
        <v>0</v>
      </c>
    </row>
    <row r="18423" spans="2:37">
      <c r="B18423" s="834" t="str">
        <f t="shared" si="655"/>
        <v>|||</v>
      </c>
      <c r="H18423" s="835">
        <f t="shared" si="656"/>
        <v>31</v>
      </c>
      <c r="AF18423" s="831" t="s">
        <v>10622</v>
      </c>
      <c r="AG18423" s="831" t="s">
        <v>2674</v>
      </c>
      <c r="AH18423" s="831" t="s">
        <v>548</v>
      </c>
      <c r="AI18423" s="831">
        <v>0</v>
      </c>
      <c r="AJ18423" s="835">
        <v>41243</v>
      </c>
      <c r="AK18423" s="831">
        <v>0</v>
      </c>
    </row>
    <row r="18424" spans="2:37">
      <c r="B18424" s="834" t="str">
        <f t="shared" si="655"/>
        <v>|||</v>
      </c>
      <c r="H18424" s="835">
        <f t="shared" si="656"/>
        <v>31</v>
      </c>
      <c r="AF18424" s="831" t="s">
        <v>10623</v>
      </c>
      <c r="AG18424" s="831" t="s">
        <v>2674</v>
      </c>
      <c r="AH18424" s="831" t="s">
        <v>549</v>
      </c>
      <c r="AI18424" s="831">
        <v>0</v>
      </c>
      <c r="AJ18424" s="835">
        <v>41243</v>
      </c>
      <c r="AK18424" s="831">
        <v>0</v>
      </c>
    </row>
    <row r="18425" spans="2:37">
      <c r="B18425" s="834" t="str">
        <f t="shared" si="655"/>
        <v>|||</v>
      </c>
      <c r="H18425" s="835">
        <f t="shared" si="656"/>
        <v>31</v>
      </c>
      <c r="AF18425" s="831" t="s">
        <v>10624</v>
      </c>
      <c r="AG18425" s="831" t="s">
        <v>2674</v>
      </c>
      <c r="AH18425" s="831" t="s">
        <v>192</v>
      </c>
      <c r="AI18425" s="831">
        <v>0</v>
      </c>
      <c r="AJ18425" s="835">
        <v>41243</v>
      </c>
      <c r="AK18425" s="831">
        <v>-10079693</v>
      </c>
    </row>
    <row r="18426" spans="2:37">
      <c r="B18426" s="834" t="str">
        <f t="shared" si="655"/>
        <v>|||</v>
      </c>
      <c r="H18426" s="835">
        <f t="shared" si="656"/>
        <v>31</v>
      </c>
      <c r="AF18426" s="831" t="s">
        <v>10625</v>
      </c>
      <c r="AG18426" s="831" t="s">
        <v>2674</v>
      </c>
      <c r="AH18426" s="831" t="s">
        <v>558</v>
      </c>
      <c r="AI18426" s="831">
        <v>0</v>
      </c>
      <c r="AJ18426" s="835">
        <v>41243</v>
      </c>
      <c r="AK18426" s="831">
        <v>366925030</v>
      </c>
    </row>
    <row r="18427" spans="2:37">
      <c r="B18427" s="834" t="str">
        <f t="shared" si="655"/>
        <v>|||</v>
      </c>
      <c r="H18427" s="835">
        <f t="shared" si="656"/>
        <v>31</v>
      </c>
      <c r="AF18427" s="831" t="s">
        <v>10626</v>
      </c>
      <c r="AG18427" s="831" t="s">
        <v>2674</v>
      </c>
      <c r="AH18427" s="831" t="s">
        <v>65</v>
      </c>
      <c r="AI18427" s="831">
        <v>0</v>
      </c>
      <c r="AJ18427" s="835">
        <v>41243</v>
      </c>
      <c r="AK18427" s="831">
        <v>89510969</v>
      </c>
    </row>
    <row r="18428" spans="2:37">
      <c r="B18428" s="834" t="str">
        <f t="shared" si="655"/>
        <v>|||</v>
      </c>
      <c r="H18428" s="835">
        <f t="shared" si="656"/>
        <v>31</v>
      </c>
      <c r="AF18428" s="831" t="s">
        <v>10627</v>
      </c>
      <c r="AG18428" s="831" t="s">
        <v>2674</v>
      </c>
      <c r="AH18428" s="831" t="s">
        <v>89</v>
      </c>
      <c r="AI18428" s="831">
        <v>0</v>
      </c>
      <c r="AJ18428" s="835">
        <v>41243</v>
      </c>
      <c r="AK18428" s="831">
        <v>123534</v>
      </c>
    </row>
    <row r="18429" spans="2:37">
      <c r="B18429" s="834" t="str">
        <f t="shared" si="655"/>
        <v>|||</v>
      </c>
      <c r="H18429" s="835">
        <f t="shared" si="656"/>
        <v>31</v>
      </c>
      <c r="AF18429" s="831" t="s">
        <v>10628</v>
      </c>
      <c r="AG18429" s="831" t="s">
        <v>2674</v>
      </c>
      <c r="AH18429" s="831" t="s">
        <v>557</v>
      </c>
      <c r="AI18429" s="831">
        <v>0</v>
      </c>
      <c r="AJ18429" s="835">
        <v>41243</v>
      </c>
      <c r="AK18429" s="831">
        <v>125715</v>
      </c>
    </row>
    <row r="18430" spans="2:37">
      <c r="B18430" s="834" t="str">
        <f t="shared" si="655"/>
        <v>|||</v>
      </c>
      <c r="H18430" s="835">
        <f t="shared" si="656"/>
        <v>31</v>
      </c>
      <c r="AF18430" s="831" t="s">
        <v>10629</v>
      </c>
      <c r="AG18430" s="831" t="s">
        <v>2674</v>
      </c>
      <c r="AH18430" s="831" t="s">
        <v>29</v>
      </c>
      <c r="AI18430" s="831">
        <v>0</v>
      </c>
      <c r="AJ18430" s="835">
        <v>41243</v>
      </c>
      <c r="AK18430" s="831">
        <v>2094921</v>
      </c>
    </row>
    <row r="18431" spans="2:37">
      <c r="B18431" s="834" t="str">
        <f t="shared" si="655"/>
        <v>|||</v>
      </c>
      <c r="H18431" s="835">
        <f t="shared" si="656"/>
        <v>31</v>
      </c>
      <c r="AF18431" s="831" t="s">
        <v>10630</v>
      </c>
      <c r="AG18431" s="831" t="s">
        <v>2674</v>
      </c>
      <c r="AH18431" s="831" t="s">
        <v>2688</v>
      </c>
      <c r="AI18431" s="831">
        <v>0</v>
      </c>
      <c r="AJ18431" s="835">
        <v>41243</v>
      </c>
      <c r="AK18431" s="831">
        <v>2867819</v>
      </c>
    </row>
    <row r="18432" spans="2:37">
      <c r="B18432" s="834" t="str">
        <f t="shared" si="655"/>
        <v>|||</v>
      </c>
      <c r="H18432" s="835">
        <f t="shared" si="656"/>
        <v>31</v>
      </c>
      <c r="AF18432" s="831" t="s">
        <v>10631</v>
      </c>
      <c r="AG18432" s="831" t="s">
        <v>2674</v>
      </c>
      <c r="AH18432" s="831" t="s">
        <v>556</v>
      </c>
      <c r="AI18432" s="831">
        <v>0</v>
      </c>
      <c r="AJ18432" s="835">
        <v>41243</v>
      </c>
      <c r="AK18432" s="831">
        <v>902857</v>
      </c>
    </row>
    <row r="18433" spans="2:37">
      <c r="B18433" s="834" t="str">
        <f t="shared" si="655"/>
        <v>|||</v>
      </c>
      <c r="H18433" s="835">
        <f t="shared" si="656"/>
        <v>31</v>
      </c>
      <c r="AF18433" s="831" t="s">
        <v>10632</v>
      </c>
      <c r="AG18433" s="831" t="s">
        <v>2674</v>
      </c>
      <c r="AH18433" s="831" t="s">
        <v>555</v>
      </c>
      <c r="AI18433" s="831">
        <v>0</v>
      </c>
      <c r="AJ18433" s="835">
        <v>41243</v>
      </c>
      <c r="AK18433" s="831">
        <v>236413970</v>
      </c>
    </row>
    <row r="18434" spans="2:37">
      <c r="B18434" s="834" t="str">
        <f t="shared" si="655"/>
        <v>|||</v>
      </c>
      <c r="H18434" s="835">
        <f t="shared" si="656"/>
        <v>31</v>
      </c>
      <c r="AF18434" s="831" t="s">
        <v>10633</v>
      </c>
      <c r="AG18434" s="831" t="s">
        <v>2674</v>
      </c>
      <c r="AH18434" s="831" t="s">
        <v>554</v>
      </c>
      <c r="AI18434" s="831">
        <v>0</v>
      </c>
      <c r="AJ18434" s="835">
        <v>41243</v>
      </c>
      <c r="AK18434" s="831">
        <v>238298670</v>
      </c>
    </row>
    <row r="18435" spans="2:37">
      <c r="B18435" s="834" t="str">
        <f t="shared" si="655"/>
        <v>|||</v>
      </c>
      <c r="H18435" s="835">
        <f t="shared" si="656"/>
        <v>31</v>
      </c>
      <c r="AF18435" s="831" t="s">
        <v>10634</v>
      </c>
      <c r="AG18435" s="831" t="s">
        <v>2674</v>
      </c>
      <c r="AH18435" s="831" t="s">
        <v>553</v>
      </c>
      <c r="AI18435" s="831">
        <v>0</v>
      </c>
      <c r="AJ18435" s="835">
        <v>41243</v>
      </c>
      <c r="AK18435" s="831">
        <v>0</v>
      </c>
    </row>
    <row r="18436" spans="2:37">
      <c r="B18436" s="834" t="str">
        <f t="shared" si="655"/>
        <v>|||</v>
      </c>
      <c r="H18436" s="835">
        <f t="shared" si="656"/>
        <v>31</v>
      </c>
      <c r="AF18436" s="831" t="s">
        <v>10635</v>
      </c>
      <c r="AG18436" s="831" t="s">
        <v>2674</v>
      </c>
      <c r="AH18436" s="831" t="s">
        <v>552</v>
      </c>
      <c r="AI18436" s="831">
        <v>0</v>
      </c>
      <c r="AJ18436" s="835">
        <v>41243</v>
      </c>
      <c r="AK18436" s="831">
        <v>0</v>
      </c>
    </row>
    <row r="18437" spans="2:37">
      <c r="B18437" s="834" t="str">
        <f t="shared" si="655"/>
        <v>|||</v>
      </c>
      <c r="H18437" s="835">
        <f t="shared" si="656"/>
        <v>31</v>
      </c>
      <c r="AF18437" s="831" t="s">
        <v>10636</v>
      </c>
      <c r="AG18437" s="831" t="s">
        <v>2674</v>
      </c>
      <c r="AH18437" s="831" t="s">
        <v>551</v>
      </c>
      <c r="AI18437" s="831">
        <v>0</v>
      </c>
      <c r="AJ18437" s="835">
        <v>41243</v>
      </c>
      <c r="AK18437" s="831">
        <v>1916351</v>
      </c>
    </row>
    <row r="18438" spans="2:37">
      <c r="B18438" s="834" t="str">
        <f t="shared" si="655"/>
        <v>|||</v>
      </c>
      <c r="H18438" s="835">
        <f t="shared" si="656"/>
        <v>31</v>
      </c>
      <c r="AF18438" s="831" t="s">
        <v>10637</v>
      </c>
      <c r="AG18438" s="831" t="s">
        <v>2674</v>
      </c>
      <c r="AH18438" s="831" t="s">
        <v>550</v>
      </c>
      <c r="AI18438" s="831">
        <v>0</v>
      </c>
      <c r="AJ18438" s="835">
        <v>41243</v>
      </c>
      <c r="AK18438" s="831">
        <v>99431431</v>
      </c>
    </row>
    <row r="18439" spans="2:37">
      <c r="B18439" s="834" t="str">
        <f t="shared" si="655"/>
        <v>|||</v>
      </c>
      <c r="H18439" s="835">
        <f t="shared" si="656"/>
        <v>31</v>
      </c>
      <c r="AF18439" s="831" t="s">
        <v>10638</v>
      </c>
      <c r="AG18439" s="831" t="s">
        <v>2674</v>
      </c>
      <c r="AH18439" s="831" t="s">
        <v>562</v>
      </c>
      <c r="AI18439" s="831">
        <v>0</v>
      </c>
      <c r="AJ18439" s="835">
        <v>41243</v>
      </c>
      <c r="AK18439" s="831">
        <v>0.78415000000000001</v>
      </c>
    </row>
    <row r="18440" spans="2:37">
      <c r="B18440" s="834" t="str">
        <f t="shared" si="655"/>
        <v>|||</v>
      </c>
      <c r="H18440" s="835">
        <f t="shared" si="656"/>
        <v>31</v>
      </c>
      <c r="AF18440" s="831" t="s">
        <v>10639</v>
      </c>
      <c r="AG18440" s="831" t="s">
        <v>2674</v>
      </c>
      <c r="AH18440" s="831" t="s">
        <v>2698</v>
      </c>
      <c r="AI18440" s="831">
        <v>0</v>
      </c>
      <c r="AJ18440" s="835">
        <v>41243</v>
      </c>
      <c r="AK18440" s="831">
        <v>0.78434999999999999</v>
      </c>
    </row>
    <row r="18441" spans="2:37">
      <c r="B18441" s="834" t="str">
        <f t="shared" si="655"/>
        <v>|||</v>
      </c>
      <c r="H18441" s="835">
        <f t="shared" si="656"/>
        <v>31</v>
      </c>
      <c r="AF18441" s="831" t="s">
        <v>10640</v>
      </c>
      <c r="AG18441" s="831" t="s">
        <v>2674</v>
      </c>
      <c r="AH18441" s="831" t="s">
        <v>560</v>
      </c>
      <c r="AI18441" s="831">
        <v>0</v>
      </c>
      <c r="AJ18441" s="835">
        <v>41243</v>
      </c>
      <c r="AK18441" s="831">
        <v>0.7851499999999999</v>
      </c>
    </row>
    <row r="18442" spans="2:37">
      <c r="B18442" s="834" t="str">
        <f t="shared" si="655"/>
        <v>|||</v>
      </c>
      <c r="H18442" s="835">
        <f t="shared" si="656"/>
        <v>31</v>
      </c>
      <c r="AF18442" s="831" t="s">
        <v>10641</v>
      </c>
      <c r="AG18442" s="831" t="s">
        <v>2674</v>
      </c>
      <c r="AH18442" s="831" t="s">
        <v>559</v>
      </c>
      <c r="AI18442" s="831">
        <v>0</v>
      </c>
      <c r="AJ18442" s="835">
        <v>41243</v>
      </c>
      <c r="AK18442" s="831">
        <v>0.78524166666666673</v>
      </c>
    </row>
    <row r="18443" spans="2:37">
      <c r="B18443" s="834" t="str">
        <f t="shared" si="655"/>
        <v>|||</v>
      </c>
      <c r="H18443" s="835">
        <f t="shared" si="656"/>
        <v>31</v>
      </c>
      <c r="AF18443" s="831" t="s">
        <v>10642</v>
      </c>
      <c r="AG18443" s="831" t="s">
        <v>2674</v>
      </c>
      <c r="AH18443" s="831" t="s">
        <v>568</v>
      </c>
      <c r="AI18443" s="831">
        <v>0</v>
      </c>
      <c r="AJ18443" s="835">
        <v>41243</v>
      </c>
      <c r="AK18443" s="831">
        <v>0</v>
      </c>
    </row>
    <row r="18444" spans="2:37">
      <c r="B18444" s="834" t="str">
        <f t="shared" si="655"/>
        <v>|||</v>
      </c>
      <c r="H18444" s="835">
        <f t="shared" si="656"/>
        <v>31</v>
      </c>
      <c r="AF18444" s="831" t="s">
        <v>10643</v>
      </c>
      <c r="AG18444" s="831" t="s">
        <v>2674</v>
      </c>
      <c r="AH18444" s="831" t="s">
        <v>569</v>
      </c>
      <c r="AI18444" s="831">
        <v>0</v>
      </c>
      <c r="AJ18444" s="835">
        <v>41243</v>
      </c>
      <c r="AK18444" s="831">
        <v>0</v>
      </c>
    </row>
    <row r="18445" spans="2:37">
      <c r="B18445" s="834" t="str">
        <f t="shared" si="655"/>
        <v>|||</v>
      </c>
      <c r="H18445" s="835">
        <f t="shared" si="656"/>
        <v>31</v>
      </c>
      <c r="AF18445" s="831" t="s">
        <v>10644</v>
      </c>
      <c r="AG18445" s="831" t="s">
        <v>2674</v>
      </c>
      <c r="AH18445" s="831" t="s">
        <v>570</v>
      </c>
      <c r="AI18445" s="831">
        <v>0</v>
      </c>
      <c r="AJ18445" s="835">
        <v>41243</v>
      </c>
      <c r="AK18445" s="831">
        <v>0</v>
      </c>
    </row>
    <row r="18446" spans="2:37">
      <c r="B18446" s="834" t="str">
        <f t="shared" si="655"/>
        <v>|||</v>
      </c>
      <c r="H18446" s="835">
        <f t="shared" si="656"/>
        <v>31</v>
      </c>
      <c r="AF18446" s="831" t="s">
        <v>10645</v>
      </c>
      <c r="AG18446" s="831" t="s">
        <v>2674</v>
      </c>
      <c r="AH18446" s="831" t="s">
        <v>571</v>
      </c>
      <c r="AI18446" s="831">
        <v>0</v>
      </c>
      <c r="AJ18446" s="835">
        <v>41243</v>
      </c>
      <c r="AK18446" s="831">
        <v>0</v>
      </c>
    </row>
    <row r="18447" spans="2:37">
      <c r="B18447" s="834" t="str">
        <f t="shared" si="655"/>
        <v>|||</v>
      </c>
      <c r="H18447" s="835">
        <f t="shared" si="656"/>
        <v>31</v>
      </c>
      <c r="AF18447" s="831" t="s">
        <v>10646</v>
      </c>
      <c r="AG18447" s="831" t="s">
        <v>2674</v>
      </c>
      <c r="AH18447" s="831" t="s">
        <v>573</v>
      </c>
      <c r="AI18447" s="831">
        <v>0</v>
      </c>
      <c r="AJ18447" s="835">
        <v>41243</v>
      </c>
      <c r="AK18447" s="831">
        <v>0</v>
      </c>
    </row>
    <row r="18448" spans="2:37">
      <c r="B18448" s="834" t="str">
        <f t="shared" si="655"/>
        <v>|||</v>
      </c>
      <c r="H18448" s="835">
        <f t="shared" si="656"/>
        <v>31</v>
      </c>
      <c r="AF18448" s="831" t="s">
        <v>10647</v>
      </c>
      <c r="AG18448" s="831" t="s">
        <v>2674</v>
      </c>
      <c r="AH18448" s="831" t="s">
        <v>574</v>
      </c>
      <c r="AI18448" s="831">
        <v>0</v>
      </c>
      <c r="AJ18448" s="835">
        <v>41243</v>
      </c>
      <c r="AK18448" s="831">
        <v>0</v>
      </c>
    </row>
    <row r="18449" spans="2:37">
      <c r="B18449" s="834" t="str">
        <f t="shared" ref="B18449:B18512" si="657">C18449&amp;"|"&amp;D18449&amp;"|"&amp;E18449&amp;"|"&amp;F18449</f>
        <v>|||</v>
      </c>
      <c r="H18449" s="835">
        <f t="shared" ref="H18449:H18512" si="658">EOMONTH(L18449,0)</f>
        <v>31</v>
      </c>
      <c r="AF18449" s="831" t="s">
        <v>10648</v>
      </c>
      <c r="AG18449" s="831" t="s">
        <v>2674</v>
      </c>
      <c r="AH18449" s="831" t="s">
        <v>575</v>
      </c>
      <c r="AI18449" s="831">
        <v>0</v>
      </c>
      <c r="AJ18449" s="835">
        <v>41243</v>
      </c>
      <c r="AK18449" s="831">
        <v>0</v>
      </c>
    </row>
    <row r="18450" spans="2:37">
      <c r="B18450" s="834" t="str">
        <f t="shared" si="657"/>
        <v>|||</v>
      </c>
      <c r="H18450" s="835">
        <f t="shared" si="658"/>
        <v>31</v>
      </c>
      <c r="AF18450" s="831" t="s">
        <v>10649</v>
      </c>
      <c r="AG18450" s="831" t="s">
        <v>2674</v>
      </c>
      <c r="AH18450" s="831" t="s">
        <v>576</v>
      </c>
      <c r="AI18450" s="831">
        <v>0</v>
      </c>
      <c r="AJ18450" s="835">
        <v>41243</v>
      </c>
      <c r="AK18450" s="831">
        <v>0</v>
      </c>
    </row>
    <row r="18451" spans="2:37">
      <c r="B18451" s="834" t="str">
        <f t="shared" si="657"/>
        <v>|||</v>
      </c>
      <c r="H18451" s="835">
        <f t="shared" si="658"/>
        <v>31</v>
      </c>
      <c r="AF18451" s="831" t="s">
        <v>10650</v>
      </c>
      <c r="AG18451" s="831" t="s">
        <v>2674</v>
      </c>
      <c r="AH18451" s="831" t="s">
        <v>572</v>
      </c>
      <c r="AI18451" s="831">
        <v>0</v>
      </c>
      <c r="AJ18451" s="835">
        <v>41243</v>
      </c>
      <c r="AK18451" s="831">
        <v>-2146826246</v>
      </c>
    </row>
    <row r="18452" spans="2:37">
      <c r="B18452" s="834" t="str">
        <f t="shared" si="657"/>
        <v>|||</v>
      </c>
      <c r="H18452" s="835">
        <f t="shared" si="658"/>
        <v>31</v>
      </c>
      <c r="AF18452" s="831" t="s">
        <v>10651</v>
      </c>
      <c r="AG18452" s="831" t="s">
        <v>2674</v>
      </c>
      <c r="AH18452" s="831" t="s">
        <v>577</v>
      </c>
      <c r="AI18452" s="831">
        <v>0</v>
      </c>
      <c r="AJ18452" s="835">
        <v>41243</v>
      </c>
      <c r="AK18452" s="831">
        <v>-2146826246</v>
      </c>
    </row>
    <row r="18453" spans="2:37">
      <c r="B18453" s="834" t="str">
        <f t="shared" si="657"/>
        <v>|||</v>
      </c>
      <c r="H18453" s="835">
        <f t="shared" si="658"/>
        <v>31</v>
      </c>
      <c r="AF18453" s="831" t="s">
        <v>10652</v>
      </c>
      <c r="AG18453" s="831" t="s">
        <v>2674</v>
      </c>
      <c r="AH18453" s="831" t="s">
        <v>3042</v>
      </c>
      <c r="AI18453" s="831">
        <v>0</v>
      </c>
      <c r="AJ18453" s="835">
        <v>41243</v>
      </c>
      <c r="AK18453" s="831">
        <v>-2146826246</v>
      </c>
    </row>
    <row r="18454" spans="2:37">
      <c r="B18454" s="834" t="str">
        <f t="shared" si="657"/>
        <v>|||</v>
      </c>
      <c r="H18454" s="835">
        <f t="shared" si="658"/>
        <v>31</v>
      </c>
      <c r="AF18454" s="831" t="s">
        <v>10653</v>
      </c>
      <c r="AG18454" s="831" t="s">
        <v>2674</v>
      </c>
      <c r="AH18454" s="831" t="s">
        <v>3044</v>
      </c>
      <c r="AI18454" s="831">
        <v>0</v>
      </c>
      <c r="AJ18454" s="835">
        <v>41243</v>
      </c>
      <c r="AK18454" s="831">
        <v>-2146826246</v>
      </c>
    </row>
    <row r="18455" spans="2:37">
      <c r="B18455" s="834" t="str">
        <f t="shared" si="657"/>
        <v>|||</v>
      </c>
      <c r="H18455" s="835">
        <f t="shared" si="658"/>
        <v>31</v>
      </c>
      <c r="AF18455" s="831" t="s">
        <v>10654</v>
      </c>
      <c r="AG18455" s="831" t="s">
        <v>2674</v>
      </c>
      <c r="AH18455" s="831" t="s">
        <v>580</v>
      </c>
      <c r="AI18455" s="831">
        <v>0</v>
      </c>
      <c r="AJ18455" s="835">
        <v>41243</v>
      </c>
      <c r="AK18455" s="831">
        <v>-2146826246</v>
      </c>
    </row>
    <row r="18456" spans="2:37">
      <c r="B18456" s="834" t="str">
        <f t="shared" si="657"/>
        <v>|||</v>
      </c>
      <c r="H18456" s="835">
        <f t="shared" si="658"/>
        <v>31</v>
      </c>
      <c r="AF18456" s="831" t="s">
        <v>10655</v>
      </c>
      <c r="AG18456" s="831" t="s">
        <v>2674</v>
      </c>
      <c r="AH18456" s="831" t="s">
        <v>581</v>
      </c>
      <c r="AI18456" s="831">
        <v>0</v>
      </c>
      <c r="AJ18456" s="835">
        <v>41243</v>
      </c>
      <c r="AK18456" s="831">
        <v>-2146826246</v>
      </c>
    </row>
    <row r="18457" spans="2:37">
      <c r="B18457" s="834" t="str">
        <f t="shared" si="657"/>
        <v>|||</v>
      </c>
      <c r="H18457" s="835">
        <f t="shared" si="658"/>
        <v>31</v>
      </c>
      <c r="AF18457" s="831" t="s">
        <v>10656</v>
      </c>
      <c r="AG18457" s="831" t="s">
        <v>2674</v>
      </c>
      <c r="AH18457" s="831" t="s">
        <v>105</v>
      </c>
      <c r="AI18457" s="831">
        <v>0</v>
      </c>
      <c r="AJ18457" s="835">
        <v>41243</v>
      </c>
      <c r="AK18457" s="831">
        <v>202127506</v>
      </c>
    </row>
    <row r="18458" spans="2:37">
      <c r="B18458" s="834" t="str">
        <f t="shared" si="657"/>
        <v>|||</v>
      </c>
      <c r="H18458" s="835">
        <f t="shared" si="658"/>
        <v>31</v>
      </c>
      <c r="AF18458" s="831" t="s">
        <v>10657</v>
      </c>
      <c r="AG18458" s="831" t="s">
        <v>2674</v>
      </c>
      <c r="AH18458" s="831" t="s">
        <v>3049</v>
      </c>
      <c r="AI18458" s="831">
        <v>0</v>
      </c>
      <c r="AJ18458" s="835">
        <v>41243</v>
      </c>
      <c r="AK18458" s="831">
        <v>355103629</v>
      </c>
    </row>
    <row r="18459" spans="2:37">
      <c r="B18459" s="834" t="str">
        <f t="shared" si="657"/>
        <v>|||</v>
      </c>
      <c r="H18459" s="835">
        <f t="shared" si="658"/>
        <v>31</v>
      </c>
      <c r="AF18459" s="831" t="s">
        <v>10658</v>
      </c>
      <c r="AG18459" s="831" t="s">
        <v>2674</v>
      </c>
      <c r="AH18459" s="831" t="s">
        <v>103</v>
      </c>
      <c r="AI18459" s="831">
        <v>0</v>
      </c>
      <c r="AJ18459" s="835">
        <v>41243</v>
      </c>
      <c r="AK18459" s="831">
        <v>152976123</v>
      </c>
    </row>
    <row r="18460" spans="2:37">
      <c r="B18460" s="834" t="str">
        <f t="shared" si="657"/>
        <v>|||</v>
      </c>
      <c r="H18460" s="835">
        <f t="shared" si="658"/>
        <v>31</v>
      </c>
      <c r="AF18460" s="831" t="s">
        <v>10659</v>
      </c>
      <c r="AG18460" s="831" t="s">
        <v>2674</v>
      </c>
      <c r="AH18460" s="831" t="s">
        <v>182</v>
      </c>
      <c r="AI18460" s="831">
        <v>0</v>
      </c>
      <c r="AJ18460" s="835">
        <v>41243</v>
      </c>
      <c r="AK18460" s="831">
        <v>50142446.18181818</v>
      </c>
    </row>
    <row r="18461" spans="2:37">
      <c r="B18461" s="834" t="str">
        <f t="shared" si="657"/>
        <v>|||</v>
      </c>
      <c r="H18461" s="835">
        <f t="shared" si="658"/>
        <v>31</v>
      </c>
      <c r="AF18461" s="831" t="s">
        <v>10660</v>
      </c>
      <c r="AG18461" s="831" t="s">
        <v>2674</v>
      </c>
      <c r="AH18461" s="831" t="s">
        <v>6600</v>
      </c>
      <c r="AI18461" s="831">
        <v>0</v>
      </c>
      <c r="AJ18461" s="835">
        <v>41243</v>
      </c>
      <c r="AK18461" s="831">
        <v>-2146826246</v>
      </c>
    </row>
    <row r="18462" spans="2:37">
      <c r="B18462" s="834" t="str">
        <f t="shared" si="657"/>
        <v>|||</v>
      </c>
      <c r="H18462" s="835">
        <f t="shared" si="658"/>
        <v>31</v>
      </c>
      <c r="AF18462" s="831" t="s">
        <v>10661</v>
      </c>
      <c r="AG18462" s="831" t="s">
        <v>2674</v>
      </c>
      <c r="AH18462" s="831" t="s">
        <v>6602</v>
      </c>
      <c r="AI18462" s="831">
        <v>0</v>
      </c>
      <c r="AJ18462" s="835">
        <v>41243</v>
      </c>
      <c r="AK18462" s="831">
        <v>16533903</v>
      </c>
    </row>
    <row r="18463" spans="2:37">
      <c r="B18463" s="834" t="str">
        <f t="shared" si="657"/>
        <v>|||</v>
      </c>
      <c r="H18463" s="835">
        <f t="shared" si="658"/>
        <v>31</v>
      </c>
      <c r="AF18463" s="831" t="s">
        <v>10662</v>
      </c>
      <c r="AG18463" s="831" t="s">
        <v>2674</v>
      </c>
      <c r="AH18463" s="831" t="s">
        <v>650</v>
      </c>
      <c r="AI18463" s="831">
        <v>0</v>
      </c>
      <c r="AJ18463" s="835">
        <v>41243</v>
      </c>
      <c r="AK18463" s="831">
        <v>0</v>
      </c>
    </row>
    <row r="18464" spans="2:37">
      <c r="B18464" s="834" t="str">
        <f t="shared" si="657"/>
        <v>|||</v>
      </c>
      <c r="H18464" s="835">
        <f t="shared" si="658"/>
        <v>31</v>
      </c>
      <c r="AF18464" s="831" t="s">
        <v>10663</v>
      </c>
      <c r="AG18464" s="831" t="s">
        <v>2674</v>
      </c>
      <c r="AH18464" s="831" t="s">
        <v>655</v>
      </c>
      <c r="AI18464" s="831">
        <v>0</v>
      </c>
      <c r="AJ18464" s="835">
        <v>41243</v>
      </c>
      <c r="AK18464" s="831">
        <v>1720042</v>
      </c>
    </row>
    <row r="18465" spans="2:37">
      <c r="B18465" s="834" t="str">
        <f t="shared" si="657"/>
        <v>|||</v>
      </c>
      <c r="H18465" s="835">
        <f t="shared" si="658"/>
        <v>31</v>
      </c>
      <c r="AF18465" s="831" t="s">
        <v>10664</v>
      </c>
      <c r="AG18465" s="831" t="s">
        <v>2674</v>
      </c>
      <c r="AH18465" s="831" t="s">
        <v>546</v>
      </c>
      <c r="AI18465" s="831">
        <v>0</v>
      </c>
      <c r="AJ18465" s="835">
        <v>41274</v>
      </c>
      <c r="AK18465" s="831">
        <v>412125624</v>
      </c>
    </row>
    <row r="18466" spans="2:37">
      <c r="B18466" s="834" t="str">
        <f t="shared" si="657"/>
        <v>|||</v>
      </c>
      <c r="H18466" s="835">
        <f t="shared" si="658"/>
        <v>31</v>
      </c>
      <c r="AF18466" s="831" t="s">
        <v>10665</v>
      </c>
      <c r="AG18466" s="831" t="s">
        <v>2674</v>
      </c>
      <c r="AH18466" s="831" t="s">
        <v>370</v>
      </c>
      <c r="AI18466" s="831">
        <v>0</v>
      </c>
      <c r="AJ18466" s="835">
        <v>41274</v>
      </c>
      <c r="AK18466" s="831">
        <v>515268910</v>
      </c>
    </row>
    <row r="18467" spans="2:37">
      <c r="B18467" s="834" t="str">
        <f t="shared" si="657"/>
        <v>|||</v>
      </c>
      <c r="H18467" s="835">
        <f t="shared" si="658"/>
        <v>31</v>
      </c>
      <c r="AF18467" s="831" t="s">
        <v>10666</v>
      </c>
      <c r="AG18467" s="831" t="s">
        <v>2674</v>
      </c>
      <c r="AH18467" s="831" t="s">
        <v>126</v>
      </c>
      <c r="AI18467" s="831">
        <v>0</v>
      </c>
      <c r="AJ18467" s="835">
        <v>41274</v>
      </c>
      <c r="AK18467" s="831">
        <v>101162875</v>
      </c>
    </row>
    <row r="18468" spans="2:37">
      <c r="B18468" s="834" t="str">
        <f t="shared" si="657"/>
        <v>|||</v>
      </c>
      <c r="H18468" s="835">
        <f t="shared" si="658"/>
        <v>31</v>
      </c>
      <c r="AF18468" s="831" t="s">
        <v>10667</v>
      </c>
      <c r="AG18468" s="831" t="s">
        <v>2674</v>
      </c>
      <c r="AH18468" s="831" t="s">
        <v>268</v>
      </c>
      <c r="AI18468" s="831">
        <v>0</v>
      </c>
      <c r="AJ18468" s="835">
        <v>41274</v>
      </c>
      <c r="AK18468" s="831">
        <v>15839951</v>
      </c>
    </row>
    <row r="18469" spans="2:37">
      <c r="B18469" s="834" t="str">
        <f t="shared" si="657"/>
        <v>|||</v>
      </c>
      <c r="H18469" s="835">
        <f t="shared" si="658"/>
        <v>31</v>
      </c>
      <c r="AF18469" s="831" t="s">
        <v>10668</v>
      </c>
      <c r="AG18469" s="831" t="s">
        <v>2674</v>
      </c>
      <c r="AH18469" s="831" t="s">
        <v>547</v>
      </c>
      <c r="AI18469" s="831">
        <v>0</v>
      </c>
      <c r="AJ18469" s="835">
        <v>41274</v>
      </c>
      <c r="AK18469" s="831">
        <v>0</v>
      </c>
    </row>
    <row r="18470" spans="2:37">
      <c r="B18470" s="834" t="str">
        <f t="shared" si="657"/>
        <v>|||</v>
      </c>
      <c r="H18470" s="835">
        <f t="shared" si="658"/>
        <v>31</v>
      </c>
      <c r="AF18470" s="831" t="s">
        <v>10669</v>
      </c>
      <c r="AG18470" s="831" t="s">
        <v>2674</v>
      </c>
      <c r="AH18470" s="831" t="s">
        <v>548</v>
      </c>
      <c r="AI18470" s="831">
        <v>0</v>
      </c>
      <c r="AJ18470" s="835">
        <v>41274</v>
      </c>
      <c r="AK18470" s="831">
        <v>0</v>
      </c>
    </row>
    <row r="18471" spans="2:37">
      <c r="B18471" s="834" t="str">
        <f t="shared" si="657"/>
        <v>|||</v>
      </c>
      <c r="H18471" s="835">
        <f t="shared" si="658"/>
        <v>31</v>
      </c>
      <c r="AF18471" s="831" t="s">
        <v>10670</v>
      </c>
      <c r="AG18471" s="831" t="s">
        <v>2674</v>
      </c>
      <c r="AH18471" s="831" t="s">
        <v>549</v>
      </c>
      <c r="AI18471" s="831">
        <v>0</v>
      </c>
      <c r="AJ18471" s="835">
        <v>41274</v>
      </c>
      <c r="AK18471" s="831">
        <v>0</v>
      </c>
    </row>
    <row r="18472" spans="2:37">
      <c r="B18472" s="834" t="str">
        <f t="shared" si="657"/>
        <v>|||</v>
      </c>
      <c r="H18472" s="835">
        <f t="shared" si="658"/>
        <v>31</v>
      </c>
      <c r="AF18472" s="831" t="s">
        <v>10671</v>
      </c>
      <c r="AG18472" s="831" t="s">
        <v>2674</v>
      </c>
      <c r="AH18472" s="831" t="s">
        <v>192</v>
      </c>
      <c r="AI18472" s="831">
        <v>0</v>
      </c>
      <c r="AJ18472" s="835">
        <v>41274</v>
      </c>
      <c r="AK18472" s="831">
        <v>-10390612</v>
      </c>
    </row>
    <row r="18473" spans="2:37">
      <c r="B18473" s="834" t="str">
        <f t="shared" si="657"/>
        <v>|||</v>
      </c>
      <c r="H18473" s="835">
        <f t="shared" si="658"/>
        <v>31</v>
      </c>
      <c r="AF18473" s="831" t="s">
        <v>10672</v>
      </c>
      <c r="AG18473" s="831" t="s">
        <v>2674</v>
      </c>
      <c r="AH18473" s="831" t="s">
        <v>558</v>
      </c>
      <c r="AI18473" s="831">
        <v>0</v>
      </c>
      <c r="AJ18473" s="835">
        <v>41274</v>
      </c>
      <c r="AK18473" s="831">
        <v>414106035</v>
      </c>
    </row>
    <row r="18474" spans="2:37">
      <c r="B18474" s="834" t="str">
        <f t="shared" si="657"/>
        <v>|||</v>
      </c>
      <c r="H18474" s="835">
        <f t="shared" si="658"/>
        <v>31</v>
      </c>
      <c r="AF18474" s="831" t="s">
        <v>10673</v>
      </c>
      <c r="AG18474" s="831" t="s">
        <v>2674</v>
      </c>
      <c r="AH18474" s="831" t="s">
        <v>65</v>
      </c>
      <c r="AI18474" s="831">
        <v>0</v>
      </c>
      <c r="AJ18474" s="835">
        <v>41274</v>
      </c>
      <c r="AK18474" s="831">
        <v>98876380</v>
      </c>
    </row>
    <row r="18475" spans="2:37">
      <c r="B18475" s="834" t="str">
        <f t="shared" si="657"/>
        <v>|||</v>
      </c>
      <c r="H18475" s="835">
        <f t="shared" si="658"/>
        <v>31</v>
      </c>
      <c r="AF18475" s="831" t="s">
        <v>10674</v>
      </c>
      <c r="AG18475" s="831" t="s">
        <v>2674</v>
      </c>
      <c r="AH18475" s="831" t="s">
        <v>89</v>
      </c>
      <c r="AI18475" s="831">
        <v>0</v>
      </c>
      <c r="AJ18475" s="835">
        <v>41274</v>
      </c>
      <c r="AK18475" s="831">
        <v>124397</v>
      </c>
    </row>
    <row r="18476" spans="2:37">
      <c r="B18476" s="834" t="str">
        <f t="shared" si="657"/>
        <v>|||</v>
      </c>
      <c r="H18476" s="835">
        <f t="shared" si="658"/>
        <v>31</v>
      </c>
      <c r="AF18476" s="831" t="s">
        <v>10675</v>
      </c>
      <c r="AG18476" s="831" t="s">
        <v>2674</v>
      </c>
      <c r="AH18476" s="831" t="s">
        <v>557</v>
      </c>
      <c r="AI18476" s="831">
        <v>0</v>
      </c>
      <c r="AJ18476" s="835">
        <v>41274</v>
      </c>
      <c r="AK18476" s="831">
        <v>127200</v>
      </c>
    </row>
    <row r="18477" spans="2:37">
      <c r="B18477" s="834" t="str">
        <f t="shared" si="657"/>
        <v>|||</v>
      </c>
      <c r="H18477" s="835">
        <f t="shared" si="658"/>
        <v>31</v>
      </c>
      <c r="AF18477" s="831" t="s">
        <v>10676</v>
      </c>
      <c r="AG18477" s="831" t="s">
        <v>2674</v>
      </c>
      <c r="AH18477" s="831" t="s">
        <v>29</v>
      </c>
      <c r="AI18477" s="831">
        <v>0</v>
      </c>
      <c r="AJ18477" s="835">
        <v>41274</v>
      </c>
      <c r="AK18477" s="831">
        <v>1921756</v>
      </c>
    </row>
    <row r="18478" spans="2:37">
      <c r="B18478" s="834" t="str">
        <f t="shared" si="657"/>
        <v>|||</v>
      </c>
      <c r="H18478" s="835">
        <f t="shared" si="658"/>
        <v>31</v>
      </c>
      <c r="AF18478" s="831" t="s">
        <v>10677</v>
      </c>
      <c r="AG18478" s="831" t="s">
        <v>2674</v>
      </c>
      <c r="AH18478" s="831" t="s">
        <v>2688</v>
      </c>
      <c r="AI18478" s="831">
        <v>0</v>
      </c>
      <c r="AJ18478" s="835">
        <v>41274</v>
      </c>
      <c r="AK18478" s="831">
        <v>2457254</v>
      </c>
    </row>
    <row r="18479" spans="2:37">
      <c r="B18479" s="834" t="str">
        <f t="shared" si="657"/>
        <v>|||</v>
      </c>
      <c r="H18479" s="835">
        <f t="shared" si="658"/>
        <v>31</v>
      </c>
      <c r="AF18479" s="831" t="s">
        <v>10678</v>
      </c>
      <c r="AG18479" s="831" t="s">
        <v>2674</v>
      </c>
      <c r="AH18479" s="831" t="s">
        <v>556</v>
      </c>
      <c r="AI18479" s="831">
        <v>0</v>
      </c>
      <c r="AJ18479" s="835">
        <v>41274</v>
      </c>
      <c r="AK18479" s="831">
        <v>902857</v>
      </c>
    </row>
    <row r="18480" spans="2:37">
      <c r="B18480" s="834" t="str">
        <f t="shared" si="657"/>
        <v>|||</v>
      </c>
      <c r="H18480" s="835">
        <f t="shared" si="658"/>
        <v>31</v>
      </c>
      <c r="AF18480" s="831" t="s">
        <v>10679</v>
      </c>
      <c r="AG18480" s="831" t="s">
        <v>2674</v>
      </c>
      <c r="AH18480" s="831" t="s">
        <v>555</v>
      </c>
      <c r="AI18480" s="831">
        <v>0</v>
      </c>
      <c r="AJ18480" s="835">
        <v>41274</v>
      </c>
      <c r="AK18480" s="831">
        <v>274948010</v>
      </c>
    </row>
    <row r="18481" spans="2:37">
      <c r="B18481" s="834" t="str">
        <f t="shared" si="657"/>
        <v>|||</v>
      </c>
      <c r="H18481" s="835">
        <f t="shared" si="658"/>
        <v>31</v>
      </c>
      <c r="AF18481" s="831" t="s">
        <v>10680</v>
      </c>
      <c r="AG18481" s="831" t="s">
        <v>2674</v>
      </c>
      <c r="AH18481" s="831" t="s">
        <v>554</v>
      </c>
      <c r="AI18481" s="831">
        <v>0</v>
      </c>
      <c r="AJ18481" s="835">
        <v>41274</v>
      </c>
      <c r="AK18481" s="831">
        <v>273069880</v>
      </c>
    </row>
    <row r="18482" spans="2:37">
      <c r="B18482" s="834" t="str">
        <f t="shared" si="657"/>
        <v>|||</v>
      </c>
      <c r="H18482" s="835">
        <f t="shared" si="658"/>
        <v>31</v>
      </c>
      <c r="AF18482" s="831" t="s">
        <v>10681</v>
      </c>
      <c r="AG18482" s="831" t="s">
        <v>2674</v>
      </c>
      <c r="AH18482" s="831" t="s">
        <v>553</v>
      </c>
      <c r="AI18482" s="831">
        <v>0</v>
      </c>
      <c r="AJ18482" s="835">
        <v>41274</v>
      </c>
      <c r="AK18482" s="831">
        <v>0</v>
      </c>
    </row>
    <row r="18483" spans="2:37">
      <c r="B18483" s="834" t="str">
        <f t="shared" si="657"/>
        <v>|||</v>
      </c>
      <c r="H18483" s="835">
        <f t="shared" si="658"/>
        <v>31</v>
      </c>
      <c r="AF18483" s="831" t="s">
        <v>10682</v>
      </c>
      <c r="AG18483" s="831" t="s">
        <v>2674</v>
      </c>
      <c r="AH18483" s="831" t="s">
        <v>552</v>
      </c>
      <c r="AI18483" s="831">
        <v>0</v>
      </c>
      <c r="AJ18483" s="835">
        <v>41274</v>
      </c>
      <c r="AK18483" s="831">
        <v>0</v>
      </c>
    </row>
    <row r="18484" spans="2:37">
      <c r="B18484" s="834" t="str">
        <f t="shared" si="657"/>
        <v>|||</v>
      </c>
      <c r="H18484" s="835">
        <f t="shared" si="658"/>
        <v>31</v>
      </c>
      <c r="AF18484" s="831" t="s">
        <v>10683</v>
      </c>
      <c r="AG18484" s="831" t="s">
        <v>2674</v>
      </c>
      <c r="AH18484" s="831" t="s">
        <v>551</v>
      </c>
      <c r="AI18484" s="831">
        <v>0</v>
      </c>
      <c r="AJ18484" s="835">
        <v>41274</v>
      </c>
      <c r="AK18484" s="831">
        <v>1740472</v>
      </c>
    </row>
    <row r="18485" spans="2:37">
      <c r="B18485" s="834" t="str">
        <f t="shared" si="657"/>
        <v>|||</v>
      </c>
      <c r="H18485" s="835">
        <f t="shared" si="658"/>
        <v>31</v>
      </c>
      <c r="AF18485" s="831" t="s">
        <v>10684</v>
      </c>
      <c r="AG18485" s="831" t="s">
        <v>2674</v>
      </c>
      <c r="AH18485" s="831" t="s">
        <v>550</v>
      </c>
      <c r="AI18485" s="831">
        <v>0</v>
      </c>
      <c r="AJ18485" s="835">
        <v>41274</v>
      </c>
      <c r="AK18485" s="831">
        <v>101856827</v>
      </c>
    </row>
    <row r="18486" spans="2:37">
      <c r="B18486" s="834" t="str">
        <f t="shared" si="657"/>
        <v>|||</v>
      </c>
      <c r="H18486" s="835">
        <f t="shared" si="658"/>
        <v>31</v>
      </c>
      <c r="AF18486" s="831" t="s">
        <v>10685</v>
      </c>
      <c r="AG18486" s="831" t="s">
        <v>2674</v>
      </c>
      <c r="AH18486" s="831" t="s">
        <v>562</v>
      </c>
      <c r="AI18486" s="831">
        <v>0</v>
      </c>
      <c r="AJ18486" s="835">
        <v>41274</v>
      </c>
      <c r="AK18486" s="831">
        <v>0.78400000000000003</v>
      </c>
    </row>
    <row r="18487" spans="2:37">
      <c r="B18487" s="834" t="str">
        <f t="shared" si="657"/>
        <v>|||</v>
      </c>
      <c r="H18487" s="835">
        <f t="shared" si="658"/>
        <v>31</v>
      </c>
      <c r="AF18487" s="831" t="s">
        <v>10686</v>
      </c>
      <c r="AG18487" s="831" t="s">
        <v>2674</v>
      </c>
      <c r="AH18487" s="831" t="s">
        <v>2698</v>
      </c>
      <c r="AI18487" s="831">
        <v>0</v>
      </c>
      <c r="AJ18487" s="835">
        <v>41274</v>
      </c>
      <c r="AK18487" s="831">
        <v>0.78415000000000001</v>
      </c>
    </row>
    <row r="18488" spans="2:37">
      <c r="B18488" s="834" t="str">
        <f t="shared" si="657"/>
        <v>|||</v>
      </c>
      <c r="H18488" s="835">
        <f t="shared" si="658"/>
        <v>31</v>
      </c>
      <c r="AF18488" s="831" t="s">
        <v>10687</v>
      </c>
      <c r="AG18488" s="831" t="s">
        <v>2674</v>
      </c>
      <c r="AH18488" s="831" t="s">
        <v>560</v>
      </c>
      <c r="AI18488" s="831">
        <v>0</v>
      </c>
      <c r="AJ18488" s="835">
        <v>41274</v>
      </c>
      <c r="AK18488" s="831">
        <v>0.7850541666666665</v>
      </c>
    </row>
    <row r="18489" spans="2:37">
      <c r="B18489" s="834" t="str">
        <f t="shared" si="657"/>
        <v>|||</v>
      </c>
      <c r="H18489" s="835">
        <f t="shared" si="658"/>
        <v>31</v>
      </c>
      <c r="AF18489" s="831" t="s">
        <v>10688</v>
      </c>
      <c r="AG18489" s="831" t="s">
        <v>2674</v>
      </c>
      <c r="AH18489" s="831" t="s">
        <v>559</v>
      </c>
      <c r="AI18489" s="831">
        <v>0</v>
      </c>
      <c r="AJ18489" s="835">
        <v>41274</v>
      </c>
      <c r="AK18489" s="831">
        <v>0.7850541666666665</v>
      </c>
    </row>
    <row r="18490" spans="2:37">
      <c r="B18490" s="834" t="str">
        <f t="shared" si="657"/>
        <v>|||</v>
      </c>
      <c r="H18490" s="835">
        <f t="shared" si="658"/>
        <v>31</v>
      </c>
      <c r="AF18490" s="831" t="s">
        <v>10689</v>
      </c>
      <c r="AG18490" s="831" t="s">
        <v>2674</v>
      </c>
      <c r="AH18490" s="831" t="s">
        <v>568</v>
      </c>
      <c r="AI18490" s="831">
        <v>0</v>
      </c>
      <c r="AJ18490" s="835">
        <v>41274</v>
      </c>
      <c r="AK18490" s="831">
        <v>0</v>
      </c>
    </row>
    <row r="18491" spans="2:37">
      <c r="B18491" s="834" t="str">
        <f t="shared" si="657"/>
        <v>|||</v>
      </c>
      <c r="H18491" s="835">
        <f t="shared" si="658"/>
        <v>31</v>
      </c>
      <c r="AF18491" s="831" t="s">
        <v>10690</v>
      </c>
      <c r="AG18491" s="831" t="s">
        <v>2674</v>
      </c>
      <c r="AH18491" s="831" t="s">
        <v>569</v>
      </c>
      <c r="AI18491" s="831">
        <v>0</v>
      </c>
      <c r="AJ18491" s="835">
        <v>41274</v>
      </c>
      <c r="AK18491" s="831">
        <v>0</v>
      </c>
    </row>
    <row r="18492" spans="2:37">
      <c r="B18492" s="834" t="str">
        <f t="shared" si="657"/>
        <v>|||</v>
      </c>
      <c r="H18492" s="835">
        <f t="shared" si="658"/>
        <v>31</v>
      </c>
      <c r="AF18492" s="831" t="s">
        <v>10691</v>
      </c>
      <c r="AG18492" s="831" t="s">
        <v>2674</v>
      </c>
      <c r="AH18492" s="831" t="s">
        <v>570</v>
      </c>
      <c r="AI18492" s="831">
        <v>0</v>
      </c>
      <c r="AJ18492" s="835">
        <v>41274</v>
      </c>
      <c r="AK18492" s="831">
        <v>0</v>
      </c>
    </row>
    <row r="18493" spans="2:37">
      <c r="B18493" s="834" t="str">
        <f t="shared" si="657"/>
        <v>|||</v>
      </c>
      <c r="H18493" s="835">
        <f t="shared" si="658"/>
        <v>31</v>
      </c>
      <c r="AF18493" s="831" t="s">
        <v>10692</v>
      </c>
      <c r="AG18493" s="831" t="s">
        <v>2674</v>
      </c>
      <c r="AH18493" s="831" t="s">
        <v>571</v>
      </c>
      <c r="AI18493" s="831">
        <v>0</v>
      </c>
      <c r="AJ18493" s="835">
        <v>41274</v>
      </c>
      <c r="AK18493" s="831">
        <v>0</v>
      </c>
    </row>
    <row r="18494" spans="2:37">
      <c r="B18494" s="834" t="str">
        <f t="shared" si="657"/>
        <v>|||</v>
      </c>
      <c r="H18494" s="835">
        <f t="shared" si="658"/>
        <v>31</v>
      </c>
      <c r="AF18494" s="831" t="s">
        <v>10693</v>
      </c>
      <c r="AG18494" s="831" t="s">
        <v>2674</v>
      </c>
      <c r="AH18494" s="831" t="s">
        <v>573</v>
      </c>
      <c r="AI18494" s="831">
        <v>0</v>
      </c>
      <c r="AJ18494" s="835">
        <v>41274</v>
      </c>
      <c r="AK18494" s="831">
        <v>-2146826265</v>
      </c>
    </row>
    <row r="18495" spans="2:37">
      <c r="B18495" s="834" t="str">
        <f t="shared" si="657"/>
        <v>|||</v>
      </c>
      <c r="H18495" s="835">
        <f t="shared" si="658"/>
        <v>31</v>
      </c>
      <c r="AF18495" s="831" t="s">
        <v>10694</v>
      </c>
      <c r="AG18495" s="831" t="s">
        <v>2674</v>
      </c>
      <c r="AH18495" s="831" t="s">
        <v>574</v>
      </c>
      <c r="AI18495" s="831">
        <v>0</v>
      </c>
      <c r="AJ18495" s="835">
        <v>41274</v>
      </c>
      <c r="AK18495" s="831">
        <v>-2146826265</v>
      </c>
    </row>
    <row r="18496" spans="2:37">
      <c r="B18496" s="834" t="str">
        <f t="shared" si="657"/>
        <v>|||</v>
      </c>
      <c r="H18496" s="835">
        <f t="shared" si="658"/>
        <v>31</v>
      </c>
      <c r="AF18496" s="831" t="s">
        <v>10695</v>
      </c>
      <c r="AG18496" s="831" t="s">
        <v>2674</v>
      </c>
      <c r="AH18496" s="831" t="s">
        <v>575</v>
      </c>
      <c r="AI18496" s="831">
        <v>0</v>
      </c>
      <c r="AJ18496" s="835">
        <v>41274</v>
      </c>
      <c r="AK18496" s="831">
        <v>-2146826265</v>
      </c>
    </row>
    <row r="18497" spans="2:37">
      <c r="B18497" s="834" t="str">
        <f t="shared" si="657"/>
        <v>|||</v>
      </c>
      <c r="H18497" s="835">
        <f t="shared" si="658"/>
        <v>31</v>
      </c>
      <c r="AF18497" s="831" t="s">
        <v>10696</v>
      </c>
      <c r="AG18497" s="831" t="s">
        <v>2674</v>
      </c>
      <c r="AH18497" s="831" t="s">
        <v>576</v>
      </c>
      <c r="AI18497" s="831">
        <v>0</v>
      </c>
      <c r="AJ18497" s="835">
        <v>41274</v>
      </c>
      <c r="AK18497" s="831">
        <v>-2146826265</v>
      </c>
    </row>
    <row r="18498" spans="2:37">
      <c r="B18498" s="834" t="str">
        <f t="shared" si="657"/>
        <v>|||</v>
      </c>
      <c r="H18498" s="835">
        <f t="shared" si="658"/>
        <v>31</v>
      </c>
      <c r="AF18498" s="831" t="s">
        <v>10697</v>
      </c>
      <c r="AG18498" s="831" t="s">
        <v>2674</v>
      </c>
      <c r="AH18498" s="831" t="s">
        <v>572</v>
      </c>
      <c r="AI18498" s="831">
        <v>0</v>
      </c>
      <c r="AJ18498" s="835">
        <v>41274</v>
      </c>
      <c r="AK18498" s="831">
        <v>-2146826246</v>
      </c>
    </row>
    <row r="18499" spans="2:37">
      <c r="B18499" s="834" t="str">
        <f t="shared" si="657"/>
        <v>|||</v>
      </c>
      <c r="H18499" s="835">
        <f t="shared" si="658"/>
        <v>31</v>
      </c>
      <c r="AF18499" s="831" t="s">
        <v>10698</v>
      </c>
      <c r="AG18499" s="831" t="s">
        <v>2674</v>
      </c>
      <c r="AH18499" s="831" t="s">
        <v>577</v>
      </c>
      <c r="AI18499" s="831">
        <v>0</v>
      </c>
      <c r="AJ18499" s="835">
        <v>41274</v>
      </c>
      <c r="AK18499" s="831">
        <v>-2146826246</v>
      </c>
    </row>
    <row r="18500" spans="2:37">
      <c r="B18500" s="834" t="str">
        <f t="shared" si="657"/>
        <v>|||</v>
      </c>
      <c r="H18500" s="835">
        <f t="shared" si="658"/>
        <v>31</v>
      </c>
      <c r="AF18500" s="831" t="s">
        <v>10699</v>
      </c>
      <c r="AG18500" s="831" t="s">
        <v>2674</v>
      </c>
      <c r="AH18500" s="831" t="s">
        <v>3042</v>
      </c>
      <c r="AI18500" s="831">
        <v>0</v>
      </c>
      <c r="AJ18500" s="835">
        <v>41274</v>
      </c>
      <c r="AK18500" s="831">
        <v>-2146826246</v>
      </c>
    </row>
    <row r="18501" spans="2:37">
      <c r="B18501" s="834" t="str">
        <f t="shared" si="657"/>
        <v>|||</v>
      </c>
      <c r="H18501" s="835">
        <f t="shared" si="658"/>
        <v>31</v>
      </c>
      <c r="AF18501" s="831" t="s">
        <v>10700</v>
      </c>
      <c r="AG18501" s="831" t="s">
        <v>2674</v>
      </c>
      <c r="AH18501" s="831" t="s">
        <v>3044</v>
      </c>
      <c r="AI18501" s="831">
        <v>0</v>
      </c>
      <c r="AJ18501" s="835">
        <v>41274</v>
      </c>
      <c r="AK18501" s="831">
        <v>-2146826246</v>
      </c>
    </row>
    <row r="18502" spans="2:37">
      <c r="B18502" s="834" t="str">
        <f t="shared" si="657"/>
        <v>|||</v>
      </c>
      <c r="H18502" s="835">
        <f t="shared" si="658"/>
        <v>31</v>
      </c>
      <c r="AF18502" s="831" t="s">
        <v>10701</v>
      </c>
      <c r="AG18502" s="831" t="s">
        <v>2674</v>
      </c>
      <c r="AH18502" s="831" t="s">
        <v>580</v>
      </c>
      <c r="AI18502" s="831">
        <v>0</v>
      </c>
      <c r="AJ18502" s="835">
        <v>41274</v>
      </c>
      <c r="AK18502" s="831">
        <v>-2146826246</v>
      </c>
    </row>
    <row r="18503" spans="2:37">
      <c r="B18503" s="834" t="str">
        <f t="shared" si="657"/>
        <v>|||</v>
      </c>
      <c r="H18503" s="835">
        <f t="shared" si="658"/>
        <v>31</v>
      </c>
      <c r="AF18503" s="831" t="s">
        <v>10702</v>
      </c>
      <c r="AG18503" s="831" t="s">
        <v>2674</v>
      </c>
      <c r="AH18503" s="831" t="s">
        <v>581</v>
      </c>
      <c r="AI18503" s="831">
        <v>0</v>
      </c>
      <c r="AJ18503" s="835">
        <v>41274</v>
      </c>
      <c r="AK18503" s="831">
        <v>-2146826246</v>
      </c>
    </row>
    <row r="18504" spans="2:37">
      <c r="B18504" s="834" t="str">
        <f t="shared" si="657"/>
        <v>|||</v>
      </c>
      <c r="H18504" s="835">
        <f t="shared" si="658"/>
        <v>31</v>
      </c>
      <c r="AF18504" s="831" t="s">
        <v>10703</v>
      </c>
      <c r="AG18504" s="831" t="s">
        <v>2674</v>
      </c>
      <c r="AH18504" s="831" t="s">
        <v>105</v>
      </c>
      <c r="AI18504" s="831">
        <v>0</v>
      </c>
      <c r="AJ18504" s="835">
        <v>41274</v>
      </c>
      <c r="AK18504" s="831">
        <v>237580126</v>
      </c>
    </row>
    <row r="18505" spans="2:37">
      <c r="B18505" s="834" t="str">
        <f t="shared" si="657"/>
        <v>|||</v>
      </c>
      <c r="H18505" s="835">
        <f t="shared" si="658"/>
        <v>31</v>
      </c>
      <c r="AF18505" s="831" t="s">
        <v>10704</v>
      </c>
      <c r="AG18505" s="831" t="s">
        <v>2674</v>
      </c>
      <c r="AH18505" s="831" t="s">
        <v>3049</v>
      </c>
      <c r="AI18505" s="831">
        <v>0</v>
      </c>
      <c r="AJ18505" s="835">
        <v>41274</v>
      </c>
      <c r="AK18505" s="831">
        <v>400647257</v>
      </c>
    </row>
    <row r="18506" spans="2:37">
      <c r="B18506" s="834" t="str">
        <f t="shared" si="657"/>
        <v>|||</v>
      </c>
      <c r="H18506" s="835">
        <f t="shared" si="658"/>
        <v>31</v>
      </c>
      <c r="AF18506" s="831" t="s">
        <v>10705</v>
      </c>
      <c r="AG18506" s="831" t="s">
        <v>2674</v>
      </c>
      <c r="AH18506" s="831" t="s">
        <v>103</v>
      </c>
      <c r="AI18506" s="831">
        <v>0</v>
      </c>
      <c r="AJ18506" s="835">
        <v>41274</v>
      </c>
      <c r="AK18506" s="831">
        <v>163067131</v>
      </c>
    </row>
    <row r="18507" spans="2:37">
      <c r="B18507" s="834" t="str">
        <f t="shared" si="657"/>
        <v>|||</v>
      </c>
      <c r="H18507" s="835">
        <f t="shared" si="658"/>
        <v>31</v>
      </c>
      <c r="AF18507" s="831" t="s">
        <v>10706</v>
      </c>
      <c r="AG18507" s="831" t="s">
        <v>2674</v>
      </c>
      <c r="AH18507" s="831" t="s">
        <v>182</v>
      </c>
      <c r="AI18507" s="831">
        <v>0</v>
      </c>
      <c r="AJ18507" s="835">
        <v>41274</v>
      </c>
      <c r="AK18507" s="831">
        <v>53318071</v>
      </c>
    </row>
    <row r="18508" spans="2:37">
      <c r="B18508" s="834" t="str">
        <f t="shared" si="657"/>
        <v>|||</v>
      </c>
      <c r="H18508" s="835">
        <f t="shared" si="658"/>
        <v>31</v>
      </c>
      <c r="AF18508" s="831" t="s">
        <v>10707</v>
      </c>
      <c r="AG18508" s="831" t="s">
        <v>2674</v>
      </c>
      <c r="AH18508" s="831" t="s">
        <v>6600</v>
      </c>
      <c r="AI18508" s="831">
        <v>0</v>
      </c>
      <c r="AJ18508" s="835">
        <v>41274</v>
      </c>
      <c r="AK18508" s="831">
        <v>-2146826246</v>
      </c>
    </row>
    <row r="18509" spans="2:37">
      <c r="B18509" s="834" t="str">
        <f t="shared" si="657"/>
        <v>|||</v>
      </c>
      <c r="H18509" s="835">
        <f t="shared" si="658"/>
        <v>31</v>
      </c>
      <c r="AF18509" s="831" t="s">
        <v>10708</v>
      </c>
      <c r="AG18509" s="831" t="s">
        <v>2674</v>
      </c>
      <c r="AH18509" s="831" t="s">
        <v>6602</v>
      </c>
      <c r="AI18509" s="831">
        <v>0</v>
      </c>
      <c r="AJ18509" s="835">
        <v>41274</v>
      </c>
      <c r="AK18509" s="831">
        <v>15839951</v>
      </c>
    </row>
    <row r="18510" spans="2:37">
      <c r="B18510" s="834" t="str">
        <f t="shared" si="657"/>
        <v>|||</v>
      </c>
      <c r="H18510" s="835">
        <f t="shared" si="658"/>
        <v>31</v>
      </c>
      <c r="AF18510" s="831" t="s">
        <v>10709</v>
      </c>
      <c r="AG18510" s="831" t="s">
        <v>2674</v>
      </c>
      <c r="AH18510" s="831" t="s">
        <v>650</v>
      </c>
      <c r="AI18510" s="831">
        <v>0</v>
      </c>
      <c r="AJ18510" s="835">
        <v>41274</v>
      </c>
      <c r="AK18510" s="831">
        <v>0</v>
      </c>
    </row>
    <row r="18511" spans="2:37">
      <c r="B18511" s="834" t="str">
        <f t="shared" si="657"/>
        <v>|||</v>
      </c>
      <c r="H18511" s="835">
        <f t="shared" si="658"/>
        <v>31</v>
      </c>
      <c r="AF18511" s="831" t="s">
        <v>10710</v>
      </c>
      <c r="AG18511" s="831" t="s">
        <v>2674</v>
      </c>
      <c r="AH18511" s="831" t="s">
        <v>655</v>
      </c>
      <c r="AI18511" s="831">
        <v>0</v>
      </c>
      <c r="AJ18511" s="835">
        <v>41274</v>
      </c>
      <c r="AK18511" s="831">
        <v>1622276</v>
      </c>
    </row>
    <row r="18512" spans="2:37">
      <c r="B18512" s="834" t="str">
        <f t="shared" si="657"/>
        <v>|||</v>
      </c>
      <c r="H18512" s="835">
        <f t="shared" si="658"/>
        <v>31</v>
      </c>
      <c r="AF18512" s="831" t="s">
        <v>10711</v>
      </c>
      <c r="AG18512" s="831" t="s">
        <v>2674</v>
      </c>
      <c r="AH18512" s="831" t="s">
        <v>546</v>
      </c>
      <c r="AI18512" s="831">
        <v>0</v>
      </c>
      <c r="AJ18512" s="835">
        <v>41305</v>
      </c>
      <c r="AK18512" s="831">
        <v>421051783</v>
      </c>
    </row>
    <row r="18513" spans="2:37">
      <c r="B18513" s="834" t="str">
        <f t="shared" ref="B18513:B18576" si="659">C18513&amp;"|"&amp;D18513&amp;"|"&amp;E18513&amp;"|"&amp;F18513</f>
        <v>|||</v>
      </c>
      <c r="H18513" s="835">
        <f t="shared" ref="H18513:H18576" si="660">EOMONTH(L18513,0)</f>
        <v>31</v>
      </c>
      <c r="AF18513" s="831" t="s">
        <v>10712</v>
      </c>
      <c r="AG18513" s="831" t="s">
        <v>2674</v>
      </c>
      <c r="AH18513" s="831" t="s">
        <v>370</v>
      </c>
      <c r="AI18513" s="831">
        <v>0</v>
      </c>
      <c r="AJ18513" s="835">
        <v>41305</v>
      </c>
      <c r="AK18513" s="831">
        <v>511487760</v>
      </c>
    </row>
    <row r="18514" spans="2:37">
      <c r="B18514" s="834" t="str">
        <f t="shared" si="659"/>
        <v>|||</v>
      </c>
      <c r="H18514" s="835">
        <f t="shared" si="660"/>
        <v>31</v>
      </c>
      <c r="AF18514" s="831" t="s">
        <v>10713</v>
      </c>
      <c r="AG18514" s="831" t="s">
        <v>2674</v>
      </c>
      <c r="AH18514" s="831" t="s">
        <v>126</v>
      </c>
      <c r="AI18514" s="831">
        <v>0</v>
      </c>
      <c r="AJ18514" s="835">
        <v>41305</v>
      </c>
      <c r="AK18514" s="831">
        <v>96883184</v>
      </c>
    </row>
    <row r="18515" spans="2:37">
      <c r="B18515" s="834" t="str">
        <f t="shared" si="659"/>
        <v>|||</v>
      </c>
      <c r="H18515" s="835">
        <f t="shared" si="660"/>
        <v>31</v>
      </c>
      <c r="AF18515" s="831" t="s">
        <v>10714</v>
      </c>
      <c r="AG18515" s="831" t="s">
        <v>2674</v>
      </c>
      <c r="AH18515" s="831" t="s">
        <v>268</v>
      </c>
      <c r="AI18515" s="831">
        <v>0</v>
      </c>
      <c r="AJ18515" s="835">
        <v>41305</v>
      </c>
      <c r="AK18515" s="831">
        <v>2119961</v>
      </c>
    </row>
    <row r="18516" spans="2:37">
      <c r="B18516" s="834" t="str">
        <f t="shared" si="659"/>
        <v>|||</v>
      </c>
      <c r="H18516" s="835">
        <f t="shared" si="660"/>
        <v>31</v>
      </c>
      <c r="AF18516" s="831" t="s">
        <v>10715</v>
      </c>
      <c r="AG18516" s="831" t="s">
        <v>2674</v>
      </c>
      <c r="AH18516" s="831" t="s">
        <v>547</v>
      </c>
      <c r="AI18516" s="831">
        <v>0</v>
      </c>
      <c r="AJ18516" s="835">
        <v>41305</v>
      </c>
      <c r="AK18516" s="831">
        <v>511487760</v>
      </c>
    </row>
    <row r="18517" spans="2:37">
      <c r="B18517" s="834" t="str">
        <f t="shared" si="659"/>
        <v>|||</v>
      </c>
      <c r="H18517" s="835">
        <f t="shared" si="660"/>
        <v>31</v>
      </c>
      <c r="AF18517" s="831" t="s">
        <v>10716</v>
      </c>
      <c r="AG18517" s="831" t="s">
        <v>2674</v>
      </c>
      <c r="AH18517" s="831" t="s">
        <v>548</v>
      </c>
      <c r="AI18517" s="831">
        <v>0</v>
      </c>
      <c r="AJ18517" s="835">
        <v>41305</v>
      </c>
      <c r="AK18517" s="831">
        <v>96883184</v>
      </c>
    </row>
    <row r="18518" spans="2:37">
      <c r="B18518" s="834" t="str">
        <f t="shared" si="659"/>
        <v>|||</v>
      </c>
      <c r="H18518" s="835">
        <f t="shared" si="660"/>
        <v>31</v>
      </c>
      <c r="AF18518" s="831" t="s">
        <v>10717</v>
      </c>
      <c r="AG18518" s="831" t="s">
        <v>2674</v>
      </c>
      <c r="AH18518" s="831" t="s">
        <v>549</v>
      </c>
      <c r="AI18518" s="831">
        <v>0</v>
      </c>
      <c r="AJ18518" s="835">
        <v>41305</v>
      </c>
      <c r="AK18518" s="831">
        <v>0</v>
      </c>
    </row>
    <row r="18519" spans="2:37">
      <c r="B18519" s="834" t="str">
        <f t="shared" si="659"/>
        <v>|||</v>
      </c>
      <c r="H18519" s="835">
        <f t="shared" si="660"/>
        <v>31</v>
      </c>
      <c r="AF18519" s="831" t="s">
        <v>10718</v>
      </c>
      <c r="AG18519" s="831" t="s">
        <v>2674</v>
      </c>
      <c r="AH18519" s="831" t="s">
        <v>192</v>
      </c>
      <c r="AI18519" s="831">
        <v>0</v>
      </c>
      <c r="AJ18519" s="835">
        <v>41305</v>
      </c>
      <c r="AK18519" s="831">
        <v>-10696839</v>
      </c>
    </row>
    <row r="18520" spans="2:37">
      <c r="B18520" s="834" t="str">
        <f t="shared" si="659"/>
        <v>|||</v>
      </c>
      <c r="H18520" s="835">
        <f t="shared" si="660"/>
        <v>31</v>
      </c>
      <c r="AF18520" s="831" t="s">
        <v>10719</v>
      </c>
      <c r="AG18520" s="831" t="s">
        <v>2674</v>
      </c>
      <c r="AH18520" s="831" t="s">
        <v>558</v>
      </c>
      <c r="AI18520" s="831">
        <v>0</v>
      </c>
      <c r="AJ18520" s="835">
        <v>41305</v>
      </c>
      <c r="AK18520" s="831">
        <v>414604576</v>
      </c>
    </row>
    <row r="18521" spans="2:37">
      <c r="B18521" s="834" t="str">
        <f t="shared" si="659"/>
        <v>|||</v>
      </c>
      <c r="H18521" s="835">
        <f t="shared" si="660"/>
        <v>31</v>
      </c>
      <c r="AF18521" s="831" t="s">
        <v>10720</v>
      </c>
      <c r="AG18521" s="831" t="s">
        <v>2674</v>
      </c>
      <c r="AH18521" s="831" t="s">
        <v>65</v>
      </c>
      <c r="AI18521" s="831">
        <v>0</v>
      </c>
      <c r="AJ18521" s="835">
        <v>41305</v>
      </c>
      <c r="AK18521" s="831">
        <v>9476383</v>
      </c>
    </row>
    <row r="18522" spans="2:37">
      <c r="B18522" s="834" t="str">
        <f t="shared" si="659"/>
        <v>|||</v>
      </c>
      <c r="H18522" s="835">
        <f t="shared" si="660"/>
        <v>31</v>
      </c>
      <c r="AF18522" s="831" t="s">
        <v>10721</v>
      </c>
      <c r="AG18522" s="831" t="s">
        <v>2674</v>
      </c>
      <c r="AH18522" s="831" t="s">
        <v>89</v>
      </c>
      <c r="AI18522" s="831">
        <v>0</v>
      </c>
      <c r="AJ18522" s="835">
        <v>41305</v>
      </c>
      <c r="AK18522" s="831">
        <v>125947</v>
      </c>
    </row>
    <row r="18523" spans="2:37">
      <c r="B18523" s="834" t="str">
        <f t="shared" si="659"/>
        <v>|||</v>
      </c>
      <c r="H18523" s="835">
        <f t="shared" si="660"/>
        <v>31</v>
      </c>
      <c r="AF18523" s="831" t="s">
        <v>10722</v>
      </c>
      <c r="AG18523" s="831" t="s">
        <v>2674</v>
      </c>
      <c r="AH18523" s="831" t="s">
        <v>557</v>
      </c>
      <c r="AI18523" s="831">
        <v>0</v>
      </c>
      <c r="AJ18523" s="835">
        <v>41305</v>
      </c>
      <c r="AK18523" s="831">
        <v>128972</v>
      </c>
    </row>
    <row r="18524" spans="2:37">
      <c r="B18524" s="834" t="str">
        <f t="shared" si="659"/>
        <v>|||</v>
      </c>
      <c r="H18524" s="835">
        <f t="shared" si="660"/>
        <v>31</v>
      </c>
      <c r="AF18524" s="831" t="s">
        <v>10723</v>
      </c>
      <c r="AG18524" s="831" t="s">
        <v>2674</v>
      </c>
      <c r="AH18524" s="831" t="s">
        <v>29</v>
      </c>
      <c r="AI18524" s="831">
        <v>0</v>
      </c>
      <c r="AJ18524" s="835">
        <v>41305</v>
      </c>
      <c r="AK18524" s="831">
        <v>1949343</v>
      </c>
    </row>
    <row r="18525" spans="2:37">
      <c r="B18525" s="834" t="str">
        <f t="shared" si="659"/>
        <v>|||</v>
      </c>
      <c r="H18525" s="835">
        <f t="shared" si="660"/>
        <v>31</v>
      </c>
      <c r="AF18525" s="831" t="s">
        <v>10724</v>
      </c>
      <c r="AG18525" s="831" t="s">
        <v>2674</v>
      </c>
      <c r="AH18525" s="831" t="s">
        <v>2688</v>
      </c>
      <c r="AI18525" s="831">
        <v>0</v>
      </c>
      <c r="AJ18525" s="835">
        <v>41305</v>
      </c>
      <c r="AK18525" s="831">
        <v>2693419</v>
      </c>
    </row>
    <row r="18526" spans="2:37">
      <c r="B18526" s="834" t="str">
        <f t="shared" si="659"/>
        <v>|||</v>
      </c>
      <c r="H18526" s="835">
        <f t="shared" si="660"/>
        <v>31</v>
      </c>
      <c r="AF18526" s="831" t="s">
        <v>10725</v>
      </c>
      <c r="AG18526" s="831" t="s">
        <v>2674</v>
      </c>
      <c r="AH18526" s="831" t="s">
        <v>556</v>
      </c>
      <c r="AI18526" s="831">
        <v>0</v>
      </c>
      <c r="AJ18526" s="835">
        <v>41305</v>
      </c>
      <c r="AK18526" s="831">
        <v>902857</v>
      </c>
    </row>
    <row r="18527" spans="2:37">
      <c r="B18527" s="834" t="str">
        <f t="shared" si="659"/>
        <v>|||</v>
      </c>
      <c r="H18527" s="835">
        <f t="shared" si="660"/>
        <v>31</v>
      </c>
      <c r="AF18527" s="831" t="s">
        <v>10726</v>
      </c>
      <c r="AG18527" s="831" t="s">
        <v>2674</v>
      </c>
      <c r="AH18527" s="831" t="s">
        <v>555</v>
      </c>
      <c r="AI18527" s="831">
        <v>0</v>
      </c>
      <c r="AJ18527" s="835">
        <v>41305</v>
      </c>
      <c r="AK18527" s="831">
        <v>261608550</v>
      </c>
    </row>
    <row r="18528" spans="2:37">
      <c r="B18528" s="834" t="str">
        <f t="shared" si="659"/>
        <v>|||</v>
      </c>
      <c r="H18528" s="835">
        <f t="shared" si="660"/>
        <v>31</v>
      </c>
      <c r="AF18528" s="831" t="s">
        <v>10727</v>
      </c>
      <c r="AG18528" s="831" t="s">
        <v>2674</v>
      </c>
      <c r="AH18528" s="831" t="s">
        <v>554</v>
      </c>
      <c r="AI18528" s="831">
        <v>0</v>
      </c>
      <c r="AJ18528" s="835">
        <v>41305</v>
      </c>
      <c r="AK18528" s="831">
        <v>265544650</v>
      </c>
    </row>
    <row r="18529" spans="2:37">
      <c r="B18529" s="834" t="str">
        <f t="shared" si="659"/>
        <v>|||</v>
      </c>
      <c r="H18529" s="835">
        <f t="shared" si="660"/>
        <v>31</v>
      </c>
      <c r="AF18529" s="831" t="s">
        <v>10728</v>
      </c>
      <c r="AG18529" s="831" t="s">
        <v>2674</v>
      </c>
      <c r="AH18529" s="831" t="s">
        <v>553</v>
      </c>
      <c r="AI18529" s="831">
        <v>0</v>
      </c>
      <c r="AJ18529" s="835">
        <v>41305</v>
      </c>
      <c r="AK18529" s="831">
        <v>0</v>
      </c>
    </row>
    <row r="18530" spans="2:37">
      <c r="B18530" s="834" t="str">
        <f t="shared" si="659"/>
        <v>|||</v>
      </c>
      <c r="H18530" s="835">
        <f t="shared" si="660"/>
        <v>31</v>
      </c>
      <c r="AF18530" s="831" t="s">
        <v>10729</v>
      </c>
      <c r="AG18530" s="831" t="s">
        <v>2674</v>
      </c>
      <c r="AH18530" s="831" t="s">
        <v>552</v>
      </c>
      <c r="AI18530" s="831">
        <v>0</v>
      </c>
      <c r="AJ18530" s="835">
        <v>41305</v>
      </c>
      <c r="AK18530" s="831">
        <v>0</v>
      </c>
    </row>
    <row r="18531" spans="2:37">
      <c r="B18531" s="834" t="str">
        <f t="shared" si="659"/>
        <v>|||</v>
      </c>
      <c r="H18531" s="835">
        <f t="shared" si="660"/>
        <v>31</v>
      </c>
      <c r="AF18531" s="831" t="s">
        <v>10730</v>
      </c>
      <c r="AG18531" s="831" t="s">
        <v>2674</v>
      </c>
      <c r="AH18531" s="831" t="s">
        <v>551</v>
      </c>
      <c r="AI18531" s="831">
        <v>0</v>
      </c>
      <c r="AJ18531" s="835">
        <v>41305</v>
      </c>
      <c r="AK18531" s="831">
        <v>1906076</v>
      </c>
    </row>
    <row r="18532" spans="2:37">
      <c r="B18532" s="834" t="str">
        <f t="shared" si="659"/>
        <v>|||</v>
      </c>
      <c r="H18532" s="835">
        <f t="shared" si="660"/>
        <v>31</v>
      </c>
      <c r="AF18532" s="831" t="s">
        <v>10731</v>
      </c>
      <c r="AG18532" s="831" t="s">
        <v>2674</v>
      </c>
      <c r="AH18532" s="831" t="s">
        <v>550</v>
      </c>
      <c r="AI18532" s="831">
        <v>0</v>
      </c>
      <c r="AJ18532" s="835">
        <v>41305</v>
      </c>
      <c r="AK18532" s="831">
        <v>101162875</v>
      </c>
    </row>
    <row r="18533" spans="2:37">
      <c r="B18533" s="834" t="str">
        <f t="shared" si="659"/>
        <v>|||</v>
      </c>
      <c r="H18533" s="835">
        <f t="shared" si="660"/>
        <v>31</v>
      </c>
      <c r="AF18533" s="831" t="s">
        <v>10732</v>
      </c>
      <c r="AG18533" s="831" t="s">
        <v>2674</v>
      </c>
      <c r="AH18533" s="831" t="s">
        <v>562</v>
      </c>
      <c r="AI18533" s="831">
        <v>0</v>
      </c>
      <c r="AJ18533" s="835">
        <v>41305</v>
      </c>
      <c r="AK18533" s="831">
        <v>0.78385000000000005</v>
      </c>
    </row>
    <row r="18534" spans="2:37">
      <c r="B18534" s="834" t="str">
        <f t="shared" si="659"/>
        <v>|||</v>
      </c>
      <c r="H18534" s="835">
        <f t="shared" si="660"/>
        <v>31</v>
      </c>
      <c r="AF18534" s="831" t="s">
        <v>10733</v>
      </c>
      <c r="AG18534" s="831" t="s">
        <v>2674</v>
      </c>
      <c r="AH18534" s="831" t="s">
        <v>2698</v>
      </c>
      <c r="AI18534" s="831">
        <v>0</v>
      </c>
      <c r="AJ18534" s="835">
        <v>41305</v>
      </c>
      <c r="AK18534" s="831">
        <v>0.78400000000000003</v>
      </c>
    </row>
    <row r="18535" spans="2:37">
      <c r="B18535" s="834" t="str">
        <f t="shared" si="659"/>
        <v>|||</v>
      </c>
      <c r="H18535" s="835">
        <f t="shared" si="660"/>
        <v>31</v>
      </c>
      <c r="AF18535" s="831" t="s">
        <v>10734</v>
      </c>
      <c r="AG18535" s="831" t="s">
        <v>2674</v>
      </c>
      <c r="AH18535" s="831" t="s">
        <v>560</v>
      </c>
      <c r="AI18535" s="831">
        <v>0</v>
      </c>
      <c r="AJ18535" s="835">
        <v>41305</v>
      </c>
      <c r="AK18535" s="831">
        <v>0.78385000000000005</v>
      </c>
    </row>
    <row r="18536" spans="2:37">
      <c r="B18536" s="834" t="str">
        <f t="shared" si="659"/>
        <v>|||</v>
      </c>
      <c r="H18536" s="835">
        <f t="shared" si="660"/>
        <v>31</v>
      </c>
      <c r="AF18536" s="831" t="s">
        <v>10735</v>
      </c>
      <c r="AG18536" s="831" t="s">
        <v>2674</v>
      </c>
      <c r="AH18536" s="831" t="s">
        <v>559</v>
      </c>
      <c r="AI18536" s="831">
        <v>0</v>
      </c>
      <c r="AJ18536" s="835">
        <v>41305</v>
      </c>
      <c r="AK18536" s="831">
        <v>0.78486250000000002</v>
      </c>
    </row>
    <row r="18537" spans="2:37">
      <c r="B18537" s="834" t="str">
        <f t="shared" si="659"/>
        <v>|||</v>
      </c>
      <c r="H18537" s="835">
        <f t="shared" si="660"/>
        <v>31</v>
      </c>
      <c r="AF18537" s="831" t="s">
        <v>10736</v>
      </c>
      <c r="AG18537" s="831" t="s">
        <v>2674</v>
      </c>
      <c r="AH18537" s="831" t="s">
        <v>568</v>
      </c>
      <c r="AI18537" s="831">
        <v>0</v>
      </c>
      <c r="AJ18537" s="835">
        <v>41305</v>
      </c>
      <c r="AK18537" s="831">
        <v>373888864.66666669</v>
      </c>
    </row>
    <row r="18538" spans="2:37">
      <c r="B18538" s="834" t="str">
        <f t="shared" si="659"/>
        <v>|||</v>
      </c>
      <c r="H18538" s="835">
        <f t="shared" si="660"/>
        <v>31</v>
      </c>
      <c r="AF18538" s="831" t="s">
        <v>10737</v>
      </c>
      <c r="AG18538" s="831" t="s">
        <v>2674</v>
      </c>
      <c r="AH18538" s="831" t="s">
        <v>569</v>
      </c>
      <c r="AI18538" s="831">
        <v>0</v>
      </c>
      <c r="AJ18538" s="835">
        <v>41305</v>
      </c>
      <c r="AK18538" s="831">
        <v>458979290.77777779</v>
      </c>
    </row>
    <row r="18539" spans="2:37">
      <c r="B18539" s="834" t="str">
        <f t="shared" si="659"/>
        <v>|||</v>
      </c>
      <c r="H18539" s="835">
        <f t="shared" si="660"/>
        <v>31</v>
      </c>
      <c r="AF18539" s="831" t="s">
        <v>10738</v>
      </c>
      <c r="AG18539" s="831" t="s">
        <v>2674</v>
      </c>
      <c r="AH18539" s="831" t="s">
        <v>570</v>
      </c>
      <c r="AI18539" s="831">
        <v>0</v>
      </c>
      <c r="AJ18539" s="835">
        <v>41305</v>
      </c>
      <c r="AK18539" s="831">
        <v>96420088.555555552</v>
      </c>
    </row>
    <row r="18540" spans="2:37">
      <c r="B18540" s="834" t="str">
        <f t="shared" si="659"/>
        <v>|||</v>
      </c>
      <c r="H18540" s="835">
        <f t="shared" si="660"/>
        <v>31</v>
      </c>
      <c r="AF18540" s="831" t="s">
        <v>10739</v>
      </c>
      <c r="AG18540" s="831" t="s">
        <v>2674</v>
      </c>
      <c r="AH18540" s="831" t="s">
        <v>571</v>
      </c>
      <c r="AI18540" s="831">
        <v>0</v>
      </c>
      <c r="AJ18540" s="835">
        <v>41305</v>
      </c>
      <c r="AK18540" s="831">
        <v>187471539.44444445</v>
      </c>
    </row>
    <row r="18541" spans="2:37">
      <c r="B18541" s="834" t="str">
        <f t="shared" si="659"/>
        <v>|||</v>
      </c>
      <c r="H18541" s="835">
        <f t="shared" si="660"/>
        <v>31</v>
      </c>
      <c r="AF18541" s="831" t="s">
        <v>10740</v>
      </c>
      <c r="AG18541" s="831" t="s">
        <v>2674</v>
      </c>
      <c r="AH18541" s="831" t="s">
        <v>573</v>
      </c>
      <c r="AI18541" s="831">
        <v>0</v>
      </c>
      <c r="AJ18541" s="835">
        <v>41305</v>
      </c>
      <c r="AK18541" s="831">
        <v>513378335</v>
      </c>
    </row>
    <row r="18542" spans="2:37">
      <c r="B18542" s="834" t="str">
        <f t="shared" si="659"/>
        <v>|||</v>
      </c>
      <c r="H18542" s="835">
        <f t="shared" si="660"/>
        <v>31</v>
      </c>
      <c r="AF18542" s="831" t="s">
        <v>10741</v>
      </c>
      <c r="AG18542" s="831" t="s">
        <v>2674</v>
      </c>
      <c r="AH18542" s="831" t="s">
        <v>574</v>
      </c>
      <c r="AI18542" s="831">
        <v>0</v>
      </c>
      <c r="AJ18542" s="835">
        <v>41305</v>
      </c>
      <c r="AK18542" s="831">
        <v>416588703.5</v>
      </c>
    </row>
    <row r="18543" spans="2:37">
      <c r="B18543" s="834" t="str">
        <f t="shared" si="659"/>
        <v>|||</v>
      </c>
      <c r="H18543" s="835">
        <f t="shared" si="660"/>
        <v>31</v>
      </c>
      <c r="AF18543" s="831" t="s">
        <v>10742</v>
      </c>
      <c r="AG18543" s="831" t="s">
        <v>2674</v>
      </c>
      <c r="AH18543" s="831" t="s">
        <v>575</v>
      </c>
      <c r="AI18543" s="831">
        <v>0</v>
      </c>
      <c r="AJ18543" s="835">
        <v>41305</v>
      </c>
      <c r="AK18543" s="831">
        <v>99023029.5</v>
      </c>
    </row>
    <row r="18544" spans="2:37">
      <c r="B18544" s="834" t="str">
        <f t="shared" si="659"/>
        <v>|||</v>
      </c>
      <c r="H18544" s="835">
        <f t="shared" si="660"/>
        <v>31</v>
      </c>
      <c r="AF18544" s="831" t="s">
        <v>10743</v>
      </c>
      <c r="AG18544" s="831" t="s">
        <v>2674</v>
      </c>
      <c r="AH18544" s="831" t="s">
        <v>576</v>
      </c>
      <c r="AI18544" s="831">
        <v>0</v>
      </c>
      <c r="AJ18544" s="835">
        <v>41305</v>
      </c>
      <c r="AK18544" s="831">
        <v>233642368.5</v>
      </c>
    </row>
    <row r="18545" spans="2:37">
      <c r="B18545" s="834" t="str">
        <f t="shared" si="659"/>
        <v>|||</v>
      </c>
      <c r="H18545" s="835">
        <f t="shared" si="660"/>
        <v>31</v>
      </c>
      <c r="AF18545" s="831" t="s">
        <v>10744</v>
      </c>
      <c r="AG18545" s="831" t="s">
        <v>2674</v>
      </c>
      <c r="AH18545" s="831" t="s">
        <v>572</v>
      </c>
      <c r="AI18545" s="831">
        <v>0</v>
      </c>
      <c r="AJ18545" s="835">
        <v>41305</v>
      </c>
      <c r="AK18545" s="831">
        <v>-2146826246</v>
      </c>
    </row>
    <row r="18546" spans="2:37">
      <c r="B18546" s="834" t="str">
        <f t="shared" si="659"/>
        <v>|||</v>
      </c>
      <c r="H18546" s="835">
        <f t="shared" si="660"/>
        <v>31</v>
      </c>
      <c r="AF18546" s="831" t="s">
        <v>10745</v>
      </c>
      <c r="AG18546" s="831" t="s">
        <v>2674</v>
      </c>
      <c r="AH18546" s="831" t="s">
        <v>577</v>
      </c>
      <c r="AI18546" s="831">
        <v>0</v>
      </c>
      <c r="AJ18546" s="835">
        <v>41305</v>
      </c>
      <c r="AK18546" s="831">
        <v>-2146826246</v>
      </c>
    </row>
    <row r="18547" spans="2:37">
      <c r="B18547" s="834" t="str">
        <f t="shared" si="659"/>
        <v>|||</v>
      </c>
      <c r="H18547" s="835">
        <f t="shared" si="660"/>
        <v>31</v>
      </c>
      <c r="AF18547" s="831" t="s">
        <v>10746</v>
      </c>
      <c r="AG18547" s="831" t="s">
        <v>2674</v>
      </c>
      <c r="AH18547" s="831" t="s">
        <v>3042</v>
      </c>
      <c r="AI18547" s="831">
        <v>0</v>
      </c>
      <c r="AJ18547" s="835">
        <v>41305</v>
      </c>
      <c r="AK18547" s="831">
        <v>-2146826246</v>
      </c>
    </row>
    <row r="18548" spans="2:37">
      <c r="B18548" s="834" t="str">
        <f t="shared" si="659"/>
        <v>|||</v>
      </c>
      <c r="H18548" s="835">
        <f t="shared" si="660"/>
        <v>31</v>
      </c>
      <c r="AF18548" s="831" t="s">
        <v>10747</v>
      </c>
      <c r="AG18548" s="831" t="s">
        <v>2674</v>
      </c>
      <c r="AH18548" s="831" t="s">
        <v>3044</v>
      </c>
      <c r="AI18548" s="831">
        <v>0</v>
      </c>
      <c r="AJ18548" s="835">
        <v>41305</v>
      </c>
      <c r="AK18548" s="831">
        <v>-2146826246</v>
      </c>
    </row>
    <row r="18549" spans="2:37">
      <c r="B18549" s="834" t="str">
        <f t="shared" si="659"/>
        <v>|||</v>
      </c>
      <c r="H18549" s="835">
        <f t="shared" si="660"/>
        <v>31</v>
      </c>
      <c r="AF18549" s="831" t="s">
        <v>10748</v>
      </c>
      <c r="AG18549" s="831" t="s">
        <v>2674</v>
      </c>
      <c r="AH18549" s="831" t="s">
        <v>580</v>
      </c>
      <c r="AI18549" s="831">
        <v>0</v>
      </c>
      <c r="AJ18549" s="835">
        <v>41305</v>
      </c>
      <c r="AK18549" s="831">
        <v>-2146826246</v>
      </c>
    </row>
    <row r="18550" spans="2:37">
      <c r="B18550" s="834" t="str">
        <f t="shared" si="659"/>
        <v>|||</v>
      </c>
      <c r="H18550" s="835">
        <f t="shared" si="660"/>
        <v>31</v>
      </c>
      <c r="AF18550" s="831" t="s">
        <v>10749</v>
      </c>
      <c r="AG18550" s="831" t="s">
        <v>2674</v>
      </c>
      <c r="AH18550" s="831" t="s">
        <v>581</v>
      </c>
      <c r="AI18550" s="831">
        <v>0</v>
      </c>
      <c r="AJ18550" s="835">
        <v>41305</v>
      </c>
      <c r="AK18550" s="831">
        <v>-2146826246</v>
      </c>
    </row>
    <row r="18551" spans="2:37">
      <c r="B18551" s="834" t="str">
        <f t="shared" si="659"/>
        <v>|||</v>
      </c>
      <c r="H18551" s="835">
        <f t="shared" si="660"/>
        <v>31</v>
      </c>
      <c r="AF18551" s="831" t="s">
        <v>10750</v>
      </c>
      <c r="AG18551" s="831" t="s">
        <v>2674</v>
      </c>
      <c r="AH18551" s="831" t="s">
        <v>105</v>
      </c>
      <c r="AI18551" s="831">
        <v>0</v>
      </c>
      <c r="AJ18551" s="835">
        <v>41305</v>
      </c>
      <c r="AK18551" s="831">
        <v>229704611</v>
      </c>
    </row>
    <row r="18552" spans="2:37">
      <c r="B18552" s="834" t="str">
        <f t="shared" si="659"/>
        <v>|||</v>
      </c>
      <c r="H18552" s="835">
        <f t="shared" si="660"/>
        <v>31</v>
      </c>
      <c r="AF18552" s="831" t="s">
        <v>10751</v>
      </c>
      <c r="AG18552" s="831" t="s">
        <v>2674</v>
      </c>
      <c r="AH18552" s="831" t="s">
        <v>3049</v>
      </c>
      <c r="AI18552" s="831">
        <v>0</v>
      </c>
      <c r="AJ18552" s="835">
        <v>41305</v>
      </c>
      <c r="AK18552" s="831">
        <v>400579663</v>
      </c>
    </row>
    <row r="18553" spans="2:37">
      <c r="B18553" s="834" t="str">
        <f t="shared" si="659"/>
        <v>|||</v>
      </c>
      <c r="H18553" s="835">
        <f t="shared" si="660"/>
        <v>31</v>
      </c>
      <c r="AF18553" s="831" t="s">
        <v>10752</v>
      </c>
      <c r="AG18553" s="831" t="s">
        <v>2674</v>
      </c>
      <c r="AH18553" s="831" t="s">
        <v>103</v>
      </c>
      <c r="AI18553" s="831">
        <v>0</v>
      </c>
      <c r="AJ18553" s="835">
        <v>41305</v>
      </c>
      <c r="AK18553" s="831">
        <v>170875052</v>
      </c>
    </row>
    <row r="18554" spans="2:37">
      <c r="B18554" s="834" t="str">
        <f t="shared" si="659"/>
        <v>|||</v>
      </c>
      <c r="H18554" s="835">
        <f t="shared" si="660"/>
        <v>31</v>
      </c>
      <c r="AF18554" s="831" t="s">
        <v>10753</v>
      </c>
      <c r="AG18554" s="831" t="s">
        <v>2674</v>
      </c>
      <c r="AH18554" s="831" t="s">
        <v>182</v>
      </c>
      <c r="AI18554" s="831">
        <v>0</v>
      </c>
      <c r="AJ18554" s="835">
        <v>41305</v>
      </c>
      <c r="AK18554" s="831">
        <v>57203676</v>
      </c>
    </row>
    <row r="18555" spans="2:37">
      <c r="B18555" s="834" t="str">
        <f t="shared" si="659"/>
        <v>|||</v>
      </c>
      <c r="H18555" s="835">
        <f t="shared" si="660"/>
        <v>31</v>
      </c>
      <c r="AF18555" s="831" t="s">
        <v>10754</v>
      </c>
      <c r="AG18555" s="831" t="s">
        <v>2674</v>
      </c>
      <c r="AH18555" s="831" t="s">
        <v>6600</v>
      </c>
      <c r="AI18555" s="831">
        <v>0</v>
      </c>
      <c r="AJ18555" s="835">
        <v>41305</v>
      </c>
      <c r="AK18555" s="831">
        <v>-2146826246</v>
      </c>
    </row>
    <row r="18556" spans="2:37">
      <c r="B18556" s="834" t="str">
        <f t="shared" si="659"/>
        <v>|||</v>
      </c>
      <c r="H18556" s="835">
        <f t="shared" si="660"/>
        <v>31</v>
      </c>
      <c r="AF18556" s="831" t="s">
        <v>10755</v>
      </c>
      <c r="AG18556" s="831" t="s">
        <v>2674</v>
      </c>
      <c r="AH18556" s="831" t="s">
        <v>6602</v>
      </c>
      <c r="AI18556" s="831">
        <v>0</v>
      </c>
      <c r="AJ18556" s="835">
        <v>41305</v>
      </c>
      <c r="AK18556" s="831">
        <v>2119961</v>
      </c>
    </row>
    <row r="18557" spans="2:37">
      <c r="B18557" s="834" t="str">
        <f t="shared" si="659"/>
        <v>|||</v>
      </c>
      <c r="H18557" s="835">
        <f t="shared" si="660"/>
        <v>31</v>
      </c>
      <c r="AF18557" s="831" t="s">
        <v>10756</v>
      </c>
      <c r="AG18557" s="831" t="s">
        <v>2674</v>
      </c>
      <c r="AH18557" s="831" t="s">
        <v>650</v>
      </c>
      <c r="AI18557" s="831">
        <v>0</v>
      </c>
      <c r="AJ18557" s="835">
        <v>41305</v>
      </c>
      <c r="AK18557" s="831">
        <v>162276642.66666666</v>
      </c>
    </row>
    <row r="18558" spans="2:37">
      <c r="B18558" s="834" t="str">
        <f t="shared" si="659"/>
        <v>|||</v>
      </c>
      <c r="H18558" s="835">
        <f t="shared" si="660"/>
        <v>31</v>
      </c>
      <c r="AF18558" s="831" t="s">
        <v>10757</v>
      </c>
      <c r="AG18558" s="831" t="s">
        <v>2674</v>
      </c>
      <c r="AH18558" s="831" t="s">
        <v>655</v>
      </c>
      <c r="AI18558" s="831">
        <v>0</v>
      </c>
      <c r="AJ18558" s="835">
        <v>41305</v>
      </c>
      <c r="AK18558" s="831">
        <v>1743639</v>
      </c>
    </row>
    <row r="18559" spans="2:37">
      <c r="B18559" s="834" t="str">
        <f t="shared" si="659"/>
        <v>|||</v>
      </c>
      <c r="H18559" s="835">
        <f t="shared" si="660"/>
        <v>31</v>
      </c>
      <c r="AF18559" s="831" t="s">
        <v>10758</v>
      </c>
      <c r="AG18559" s="831" t="s">
        <v>2674</v>
      </c>
      <c r="AH18559" s="831" t="s">
        <v>546</v>
      </c>
      <c r="AI18559" s="831">
        <v>0</v>
      </c>
      <c r="AJ18559" s="835">
        <v>41333</v>
      </c>
      <c r="AK18559" s="831">
        <v>436810603</v>
      </c>
    </row>
    <row r="18560" spans="2:37">
      <c r="B18560" s="834" t="str">
        <f t="shared" si="659"/>
        <v>|||</v>
      </c>
      <c r="H18560" s="835">
        <f t="shared" si="660"/>
        <v>31</v>
      </c>
      <c r="AF18560" s="831" t="s">
        <v>10759</v>
      </c>
      <c r="AG18560" s="831" t="s">
        <v>2674</v>
      </c>
      <c r="AH18560" s="831" t="s">
        <v>370</v>
      </c>
      <c r="AI18560" s="831">
        <v>0</v>
      </c>
      <c r="AJ18560" s="835">
        <v>41333</v>
      </c>
      <c r="AK18560" s="831">
        <v>522076176</v>
      </c>
    </row>
    <row r="18561" spans="2:37">
      <c r="B18561" s="834" t="str">
        <f t="shared" si="659"/>
        <v>|||</v>
      </c>
      <c r="H18561" s="835">
        <f t="shared" si="660"/>
        <v>31</v>
      </c>
      <c r="AF18561" s="831" t="s">
        <v>10760</v>
      </c>
      <c r="AG18561" s="831" t="s">
        <v>2674</v>
      </c>
      <c r="AH18561" s="831" t="s">
        <v>126</v>
      </c>
      <c r="AI18561" s="831">
        <v>0</v>
      </c>
      <c r="AJ18561" s="835">
        <v>41333</v>
      </c>
      <c r="AK18561" s="831">
        <v>98581107</v>
      </c>
    </row>
    <row r="18562" spans="2:37">
      <c r="B18562" s="834" t="str">
        <f t="shared" si="659"/>
        <v>|||</v>
      </c>
      <c r="H18562" s="835">
        <f t="shared" si="660"/>
        <v>31</v>
      </c>
      <c r="AF18562" s="831" t="s">
        <v>10761</v>
      </c>
      <c r="AG18562" s="831" t="s">
        <v>2674</v>
      </c>
      <c r="AH18562" s="831" t="s">
        <v>268</v>
      </c>
      <c r="AI18562" s="831">
        <v>0</v>
      </c>
      <c r="AJ18562" s="835">
        <v>41333</v>
      </c>
      <c r="AK18562" s="831">
        <v>3817884</v>
      </c>
    </row>
    <row r="18563" spans="2:37">
      <c r="B18563" s="834" t="str">
        <f t="shared" si="659"/>
        <v>|||</v>
      </c>
      <c r="H18563" s="835">
        <f t="shared" si="660"/>
        <v>31</v>
      </c>
      <c r="AF18563" s="831" t="s">
        <v>10762</v>
      </c>
      <c r="AG18563" s="831" t="s">
        <v>2674</v>
      </c>
      <c r="AH18563" s="831" t="s">
        <v>547</v>
      </c>
      <c r="AI18563" s="831">
        <v>0</v>
      </c>
      <c r="AJ18563" s="835">
        <v>41333</v>
      </c>
      <c r="AK18563" s="831">
        <v>511487760</v>
      </c>
    </row>
    <row r="18564" spans="2:37">
      <c r="B18564" s="834" t="str">
        <f t="shared" si="659"/>
        <v>|||</v>
      </c>
      <c r="H18564" s="835">
        <f t="shared" si="660"/>
        <v>31</v>
      </c>
      <c r="AF18564" s="831" t="s">
        <v>10763</v>
      </c>
      <c r="AG18564" s="831" t="s">
        <v>2674</v>
      </c>
      <c r="AH18564" s="831" t="s">
        <v>548</v>
      </c>
      <c r="AI18564" s="831">
        <v>0</v>
      </c>
      <c r="AJ18564" s="835">
        <v>41333</v>
      </c>
      <c r="AK18564" s="831">
        <v>96883184</v>
      </c>
    </row>
    <row r="18565" spans="2:37">
      <c r="B18565" s="834" t="str">
        <f t="shared" si="659"/>
        <v>|||</v>
      </c>
      <c r="H18565" s="835">
        <f t="shared" si="660"/>
        <v>31</v>
      </c>
      <c r="AF18565" s="831" t="s">
        <v>10764</v>
      </c>
      <c r="AG18565" s="831" t="s">
        <v>2674</v>
      </c>
      <c r="AH18565" s="831" t="s">
        <v>549</v>
      </c>
      <c r="AI18565" s="831">
        <v>0</v>
      </c>
      <c r="AJ18565" s="835">
        <v>41333</v>
      </c>
      <c r="AK18565" s="831">
        <v>0</v>
      </c>
    </row>
    <row r="18566" spans="2:37">
      <c r="B18566" s="834" t="str">
        <f t="shared" si="659"/>
        <v>|||</v>
      </c>
      <c r="H18566" s="835">
        <f t="shared" si="660"/>
        <v>31</v>
      </c>
      <c r="AF18566" s="831" t="s">
        <v>10765</v>
      </c>
      <c r="AG18566" s="831" t="s">
        <v>2674</v>
      </c>
      <c r="AH18566" s="831" t="s">
        <v>192</v>
      </c>
      <c r="AI18566" s="831">
        <v>0</v>
      </c>
      <c r="AJ18566" s="835">
        <v>41333</v>
      </c>
      <c r="AK18566" s="831">
        <v>-11285954</v>
      </c>
    </row>
    <row r="18567" spans="2:37">
      <c r="B18567" s="834" t="str">
        <f t="shared" si="659"/>
        <v>|||</v>
      </c>
      <c r="H18567" s="835">
        <f t="shared" si="660"/>
        <v>31</v>
      </c>
      <c r="AF18567" s="831" t="s">
        <v>10766</v>
      </c>
      <c r="AG18567" s="831" t="s">
        <v>2674</v>
      </c>
      <c r="AH18567" s="831" t="s">
        <v>558</v>
      </c>
      <c r="AI18567" s="831">
        <v>0</v>
      </c>
      <c r="AJ18567" s="835">
        <v>41333</v>
      </c>
      <c r="AK18567" s="831">
        <v>423495069</v>
      </c>
    </row>
    <row r="18568" spans="2:37">
      <c r="B18568" s="834" t="str">
        <f t="shared" si="659"/>
        <v>|||</v>
      </c>
      <c r="H18568" s="835">
        <f t="shared" si="660"/>
        <v>31</v>
      </c>
      <c r="AF18568" s="831" t="s">
        <v>10767</v>
      </c>
      <c r="AG18568" s="831" t="s">
        <v>2674</v>
      </c>
      <c r="AH18568" s="831" t="s">
        <v>65</v>
      </c>
      <c r="AI18568" s="831">
        <v>0</v>
      </c>
      <c r="AJ18568" s="835">
        <v>41333</v>
      </c>
      <c r="AK18568" s="831">
        <v>18985748</v>
      </c>
    </row>
    <row r="18569" spans="2:37">
      <c r="B18569" s="834" t="str">
        <f t="shared" si="659"/>
        <v>|||</v>
      </c>
      <c r="H18569" s="835">
        <f t="shared" si="660"/>
        <v>31</v>
      </c>
      <c r="AF18569" s="831" t="s">
        <v>10768</v>
      </c>
      <c r="AG18569" s="831" t="s">
        <v>2674</v>
      </c>
      <c r="AH18569" s="831" t="s">
        <v>89</v>
      </c>
      <c r="AI18569" s="831">
        <v>0</v>
      </c>
      <c r="AJ18569" s="835">
        <v>41333</v>
      </c>
      <c r="AK18569" s="831">
        <v>127639</v>
      </c>
    </row>
    <row r="18570" spans="2:37">
      <c r="B18570" s="834" t="str">
        <f t="shared" si="659"/>
        <v>|||</v>
      </c>
      <c r="H18570" s="835">
        <f t="shared" si="660"/>
        <v>31</v>
      </c>
      <c r="AF18570" s="831" t="s">
        <v>10769</v>
      </c>
      <c r="AG18570" s="831" t="s">
        <v>2674</v>
      </c>
      <c r="AH18570" s="831" t="s">
        <v>557</v>
      </c>
      <c r="AI18570" s="831">
        <v>0</v>
      </c>
      <c r="AJ18570" s="835">
        <v>41333</v>
      </c>
      <c r="AK18570" s="831">
        <v>130995</v>
      </c>
    </row>
    <row r="18571" spans="2:37">
      <c r="B18571" s="834" t="str">
        <f t="shared" si="659"/>
        <v>|||</v>
      </c>
      <c r="H18571" s="835">
        <f t="shared" si="660"/>
        <v>31</v>
      </c>
      <c r="AF18571" s="831" t="s">
        <v>10770</v>
      </c>
      <c r="AG18571" s="831" t="s">
        <v>2674</v>
      </c>
      <c r="AH18571" s="831" t="s">
        <v>29</v>
      </c>
      <c r="AI18571" s="831">
        <v>0</v>
      </c>
      <c r="AJ18571" s="835">
        <v>41333</v>
      </c>
      <c r="AK18571" s="831">
        <v>2238797</v>
      </c>
    </row>
    <row r="18572" spans="2:37">
      <c r="B18572" s="834" t="str">
        <f t="shared" si="659"/>
        <v>|||</v>
      </c>
      <c r="H18572" s="835">
        <f t="shared" si="660"/>
        <v>31</v>
      </c>
      <c r="AF18572" s="831" t="s">
        <v>10771</v>
      </c>
      <c r="AG18572" s="831" t="s">
        <v>2674</v>
      </c>
      <c r="AH18572" s="831" t="s">
        <v>2688</v>
      </c>
      <c r="AI18572" s="831">
        <v>0</v>
      </c>
      <c r="AJ18572" s="835">
        <v>41333</v>
      </c>
      <c r="AK18572" s="831">
        <v>2647738</v>
      </c>
    </row>
    <row r="18573" spans="2:37">
      <c r="B18573" s="834" t="str">
        <f t="shared" si="659"/>
        <v>|||</v>
      </c>
      <c r="H18573" s="835">
        <f t="shared" si="660"/>
        <v>31</v>
      </c>
      <c r="AF18573" s="831" t="s">
        <v>10772</v>
      </c>
      <c r="AG18573" s="831" t="s">
        <v>2674</v>
      </c>
      <c r="AH18573" s="831" t="s">
        <v>556</v>
      </c>
      <c r="AI18573" s="831">
        <v>0</v>
      </c>
      <c r="AJ18573" s="835">
        <v>41333</v>
      </c>
      <c r="AK18573" s="831">
        <v>902857</v>
      </c>
    </row>
    <row r="18574" spans="2:37">
      <c r="B18574" s="834" t="str">
        <f t="shared" si="659"/>
        <v>|||</v>
      </c>
      <c r="H18574" s="835">
        <f t="shared" si="660"/>
        <v>31</v>
      </c>
      <c r="AF18574" s="831" t="s">
        <v>10773</v>
      </c>
      <c r="AG18574" s="831" t="s">
        <v>2674</v>
      </c>
      <c r="AH18574" s="831" t="s">
        <v>555</v>
      </c>
      <c r="AI18574" s="831">
        <v>0</v>
      </c>
      <c r="AJ18574" s="835">
        <v>41333</v>
      </c>
      <c r="AK18574" s="831">
        <v>267734690</v>
      </c>
    </row>
    <row r="18575" spans="2:37">
      <c r="B18575" s="834" t="str">
        <f t="shared" si="659"/>
        <v>|||</v>
      </c>
      <c r="H18575" s="835">
        <f t="shared" si="660"/>
        <v>31</v>
      </c>
      <c r="AF18575" s="831" t="s">
        <v>10774</v>
      </c>
      <c r="AG18575" s="831" t="s">
        <v>2674</v>
      </c>
      <c r="AH18575" s="831" t="s">
        <v>554</v>
      </c>
      <c r="AI18575" s="831">
        <v>0</v>
      </c>
      <c r="AJ18575" s="835">
        <v>41333</v>
      </c>
      <c r="AK18575" s="831">
        <v>272030190</v>
      </c>
    </row>
    <row r="18576" spans="2:37">
      <c r="B18576" s="834" t="str">
        <f t="shared" si="659"/>
        <v>|||</v>
      </c>
      <c r="H18576" s="835">
        <f t="shared" si="660"/>
        <v>31</v>
      </c>
      <c r="AF18576" s="831" t="s">
        <v>10775</v>
      </c>
      <c r="AG18576" s="831" t="s">
        <v>2674</v>
      </c>
      <c r="AH18576" s="831" t="s">
        <v>553</v>
      </c>
      <c r="AI18576" s="831">
        <v>0</v>
      </c>
      <c r="AJ18576" s="835">
        <v>41333</v>
      </c>
      <c r="AK18576" s="831">
        <v>0</v>
      </c>
    </row>
    <row r="18577" spans="2:37">
      <c r="B18577" s="834" t="str">
        <f t="shared" ref="B18577:B18640" si="661">C18577&amp;"|"&amp;D18577&amp;"|"&amp;E18577&amp;"|"&amp;F18577</f>
        <v>|||</v>
      </c>
      <c r="H18577" s="835">
        <f t="shared" ref="H18577:H18640" si="662">EOMONTH(L18577,0)</f>
        <v>31</v>
      </c>
      <c r="AF18577" s="831" t="s">
        <v>10776</v>
      </c>
      <c r="AG18577" s="831" t="s">
        <v>2674</v>
      </c>
      <c r="AH18577" s="831" t="s">
        <v>552</v>
      </c>
      <c r="AI18577" s="831">
        <v>0</v>
      </c>
      <c r="AJ18577" s="835">
        <v>41333</v>
      </c>
      <c r="AK18577" s="831">
        <v>0</v>
      </c>
    </row>
    <row r="18578" spans="2:37">
      <c r="B18578" s="834" t="str">
        <f t="shared" si="661"/>
        <v>|||</v>
      </c>
      <c r="H18578" s="835">
        <f t="shared" si="662"/>
        <v>31</v>
      </c>
      <c r="AF18578" s="831" t="s">
        <v>10777</v>
      </c>
      <c r="AG18578" s="831" t="s">
        <v>2674</v>
      </c>
      <c r="AH18578" s="831" t="s">
        <v>551</v>
      </c>
      <c r="AI18578" s="831">
        <v>0</v>
      </c>
      <c r="AJ18578" s="835">
        <v>41333</v>
      </c>
      <c r="AK18578" s="831">
        <v>1930398</v>
      </c>
    </row>
    <row r="18579" spans="2:37">
      <c r="B18579" s="834" t="str">
        <f t="shared" si="661"/>
        <v>|||</v>
      </c>
      <c r="H18579" s="835">
        <f t="shared" si="662"/>
        <v>31</v>
      </c>
      <c r="AF18579" s="831" t="s">
        <v>10778</v>
      </c>
      <c r="AG18579" s="831" t="s">
        <v>2674</v>
      </c>
      <c r="AH18579" s="831" t="s">
        <v>550</v>
      </c>
      <c r="AI18579" s="831">
        <v>0</v>
      </c>
      <c r="AJ18579" s="835">
        <v>41333</v>
      </c>
      <c r="AK18579" s="831">
        <v>96883184</v>
      </c>
    </row>
    <row r="18580" spans="2:37">
      <c r="B18580" s="834" t="str">
        <f t="shared" si="661"/>
        <v>|||</v>
      </c>
      <c r="H18580" s="835">
        <f t="shared" si="662"/>
        <v>31</v>
      </c>
      <c r="AF18580" s="831" t="s">
        <v>10779</v>
      </c>
      <c r="AG18580" s="831" t="s">
        <v>2674</v>
      </c>
      <c r="AH18580" s="831" t="s">
        <v>562</v>
      </c>
      <c r="AI18580" s="831">
        <v>0</v>
      </c>
      <c r="AJ18580" s="835">
        <v>41333</v>
      </c>
      <c r="AK18580" s="831">
        <v>0.78434999999999999</v>
      </c>
    </row>
    <row r="18581" spans="2:37">
      <c r="B18581" s="834" t="str">
        <f t="shared" si="661"/>
        <v>|||</v>
      </c>
      <c r="H18581" s="835">
        <f t="shared" si="662"/>
        <v>31</v>
      </c>
      <c r="AF18581" s="831" t="s">
        <v>10780</v>
      </c>
      <c r="AG18581" s="831" t="s">
        <v>2674</v>
      </c>
      <c r="AH18581" s="831" t="s">
        <v>2698</v>
      </c>
      <c r="AI18581" s="831">
        <v>0</v>
      </c>
      <c r="AJ18581" s="835">
        <v>41333</v>
      </c>
      <c r="AK18581" s="831">
        <v>0.78385000000000005</v>
      </c>
    </row>
    <row r="18582" spans="2:37">
      <c r="B18582" s="834" t="str">
        <f t="shared" si="661"/>
        <v>|||</v>
      </c>
      <c r="H18582" s="835">
        <f t="shared" si="662"/>
        <v>31</v>
      </c>
      <c r="AF18582" s="831" t="s">
        <v>10781</v>
      </c>
      <c r="AG18582" s="831" t="s">
        <v>2674</v>
      </c>
      <c r="AH18582" s="831" t="s">
        <v>560</v>
      </c>
      <c r="AI18582" s="831">
        <v>0</v>
      </c>
      <c r="AJ18582" s="835">
        <v>41333</v>
      </c>
      <c r="AK18582" s="831">
        <v>0.78410000000000002</v>
      </c>
    </row>
    <row r="18583" spans="2:37">
      <c r="B18583" s="834" t="str">
        <f t="shared" si="661"/>
        <v>|||</v>
      </c>
      <c r="H18583" s="835">
        <f t="shared" si="662"/>
        <v>31</v>
      </c>
      <c r="AF18583" s="831" t="s">
        <v>10782</v>
      </c>
      <c r="AG18583" s="831" t="s">
        <v>2674</v>
      </c>
      <c r="AH18583" s="831" t="s">
        <v>559</v>
      </c>
      <c r="AI18583" s="831">
        <v>0</v>
      </c>
      <c r="AJ18583" s="835">
        <v>41333</v>
      </c>
      <c r="AK18583" s="831">
        <v>0.78474583333333314</v>
      </c>
    </row>
    <row r="18584" spans="2:37">
      <c r="B18584" s="834" t="str">
        <f t="shared" si="661"/>
        <v>|||</v>
      </c>
      <c r="H18584" s="835">
        <f t="shared" si="662"/>
        <v>31</v>
      </c>
      <c r="AF18584" s="831" t="s">
        <v>10783</v>
      </c>
      <c r="AG18584" s="831" t="s">
        <v>2674</v>
      </c>
      <c r="AH18584" s="831" t="s">
        <v>568</v>
      </c>
      <c r="AI18584" s="831">
        <v>0</v>
      </c>
      <c r="AJ18584" s="835">
        <v>41333</v>
      </c>
      <c r="AK18584" s="831">
        <v>380181038.5</v>
      </c>
    </row>
    <row r="18585" spans="2:37">
      <c r="B18585" s="834" t="str">
        <f t="shared" si="661"/>
        <v>|||</v>
      </c>
      <c r="H18585" s="835">
        <f t="shared" si="662"/>
        <v>31</v>
      </c>
      <c r="AF18585" s="831" t="s">
        <v>10784</v>
      </c>
      <c r="AG18585" s="831" t="s">
        <v>2674</v>
      </c>
      <c r="AH18585" s="831" t="s">
        <v>569</v>
      </c>
      <c r="AI18585" s="831">
        <v>0</v>
      </c>
      <c r="AJ18585" s="835">
        <v>41333</v>
      </c>
      <c r="AK18585" s="831">
        <v>465288979.30000001</v>
      </c>
    </row>
    <row r="18586" spans="2:37">
      <c r="B18586" s="834" t="str">
        <f t="shared" si="661"/>
        <v>|||</v>
      </c>
      <c r="H18586" s="835">
        <f t="shared" si="662"/>
        <v>31</v>
      </c>
      <c r="AF18586" s="831" t="s">
        <v>10785</v>
      </c>
      <c r="AG18586" s="831" t="s">
        <v>2674</v>
      </c>
      <c r="AH18586" s="831" t="s">
        <v>570</v>
      </c>
      <c r="AI18586" s="831">
        <v>0</v>
      </c>
      <c r="AJ18586" s="835">
        <v>41333</v>
      </c>
      <c r="AK18586" s="831">
        <v>96636190.400000006</v>
      </c>
    </row>
    <row r="18587" spans="2:37">
      <c r="B18587" s="834" t="str">
        <f t="shared" si="661"/>
        <v>|||</v>
      </c>
      <c r="H18587" s="835">
        <f t="shared" si="662"/>
        <v>31</v>
      </c>
      <c r="AF18587" s="831" t="s">
        <v>10786</v>
      </c>
      <c r="AG18587" s="831" t="s">
        <v>2674</v>
      </c>
      <c r="AH18587" s="831" t="s">
        <v>571</v>
      </c>
      <c r="AI18587" s="831">
        <v>0</v>
      </c>
      <c r="AJ18587" s="835">
        <v>41333</v>
      </c>
      <c r="AK18587" s="831">
        <v>192024019</v>
      </c>
    </row>
    <row r="18588" spans="2:37">
      <c r="B18588" s="834" t="str">
        <f t="shared" si="661"/>
        <v>|||</v>
      </c>
      <c r="H18588" s="835">
        <f t="shared" si="662"/>
        <v>31</v>
      </c>
      <c r="AF18588" s="831" t="s">
        <v>10787</v>
      </c>
      <c r="AG18588" s="831" t="s">
        <v>2674</v>
      </c>
      <c r="AH18588" s="831" t="s">
        <v>573</v>
      </c>
      <c r="AI18588" s="831">
        <v>0</v>
      </c>
      <c r="AJ18588" s="835">
        <v>41333</v>
      </c>
      <c r="AK18588" s="831">
        <v>516277615.33333331</v>
      </c>
    </row>
    <row r="18589" spans="2:37">
      <c r="B18589" s="834" t="str">
        <f t="shared" si="661"/>
        <v>|||</v>
      </c>
      <c r="H18589" s="835">
        <f t="shared" si="662"/>
        <v>31</v>
      </c>
      <c r="AF18589" s="831" t="s">
        <v>10788</v>
      </c>
      <c r="AG18589" s="831" t="s">
        <v>2674</v>
      </c>
      <c r="AH18589" s="831" t="s">
        <v>574</v>
      </c>
      <c r="AI18589" s="831">
        <v>0</v>
      </c>
      <c r="AJ18589" s="835">
        <v>41333</v>
      </c>
      <c r="AK18589" s="831">
        <v>423329336.66666669</v>
      </c>
    </row>
    <row r="18590" spans="2:37">
      <c r="B18590" s="834" t="str">
        <f t="shared" si="661"/>
        <v>|||</v>
      </c>
      <c r="H18590" s="835">
        <f t="shared" si="662"/>
        <v>31</v>
      </c>
      <c r="AF18590" s="831" t="s">
        <v>10789</v>
      </c>
      <c r="AG18590" s="831" t="s">
        <v>2674</v>
      </c>
      <c r="AH18590" s="831" t="s">
        <v>575</v>
      </c>
      <c r="AI18590" s="831">
        <v>0</v>
      </c>
      <c r="AJ18590" s="835">
        <v>41333</v>
      </c>
      <c r="AK18590" s="831">
        <v>98875722</v>
      </c>
    </row>
    <row r="18591" spans="2:37">
      <c r="B18591" s="834" t="str">
        <f t="shared" si="661"/>
        <v>|||</v>
      </c>
      <c r="H18591" s="835">
        <f t="shared" si="662"/>
        <v>31</v>
      </c>
      <c r="AF18591" s="831" t="s">
        <v>10790</v>
      </c>
      <c r="AG18591" s="831" t="s">
        <v>2674</v>
      </c>
      <c r="AH18591" s="831" t="s">
        <v>576</v>
      </c>
      <c r="AI18591" s="831">
        <v>0</v>
      </c>
      <c r="AJ18591" s="835">
        <v>41333</v>
      </c>
      <c r="AK18591" s="831">
        <v>233427024</v>
      </c>
    </row>
    <row r="18592" spans="2:37">
      <c r="B18592" s="834" t="str">
        <f t="shared" si="661"/>
        <v>|||</v>
      </c>
      <c r="H18592" s="835">
        <f t="shared" si="662"/>
        <v>31</v>
      </c>
      <c r="AF18592" s="831" t="s">
        <v>10791</v>
      </c>
      <c r="AG18592" s="831" t="s">
        <v>2674</v>
      </c>
      <c r="AH18592" s="831" t="s">
        <v>572</v>
      </c>
      <c r="AI18592" s="831">
        <v>0</v>
      </c>
      <c r="AJ18592" s="835">
        <v>41333</v>
      </c>
      <c r="AK18592" s="831">
        <v>-2146826246</v>
      </c>
    </row>
    <row r="18593" spans="2:37">
      <c r="B18593" s="834" t="str">
        <f t="shared" si="661"/>
        <v>|||</v>
      </c>
      <c r="H18593" s="835">
        <f t="shared" si="662"/>
        <v>31</v>
      </c>
      <c r="AF18593" s="831" t="s">
        <v>10792</v>
      </c>
      <c r="AG18593" s="831" t="s">
        <v>2674</v>
      </c>
      <c r="AH18593" s="831" t="s">
        <v>577</v>
      </c>
      <c r="AI18593" s="831">
        <v>0</v>
      </c>
      <c r="AJ18593" s="835">
        <v>41333</v>
      </c>
      <c r="AK18593" s="831">
        <v>-2146826246</v>
      </c>
    </row>
    <row r="18594" spans="2:37">
      <c r="B18594" s="834" t="str">
        <f t="shared" si="661"/>
        <v>|||</v>
      </c>
      <c r="H18594" s="835">
        <f t="shared" si="662"/>
        <v>31</v>
      </c>
      <c r="AF18594" s="831" t="s">
        <v>10793</v>
      </c>
      <c r="AG18594" s="831" t="s">
        <v>2674</v>
      </c>
      <c r="AH18594" s="831" t="s">
        <v>3042</v>
      </c>
      <c r="AI18594" s="831">
        <v>0</v>
      </c>
      <c r="AJ18594" s="835">
        <v>41333</v>
      </c>
      <c r="AK18594" s="831">
        <v>-2146826246</v>
      </c>
    </row>
    <row r="18595" spans="2:37">
      <c r="B18595" s="834" t="str">
        <f t="shared" si="661"/>
        <v>|||</v>
      </c>
      <c r="H18595" s="835">
        <f t="shared" si="662"/>
        <v>31</v>
      </c>
      <c r="AF18595" s="831" t="s">
        <v>10794</v>
      </c>
      <c r="AG18595" s="831" t="s">
        <v>2674</v>
      </c>
      <c r="AH18595" s="831" t="s">
        <v>3044</v>
      </c>
      <c r="AI18595" s="831">
        <v>0</v>
      </c>
      <c r="AJ18595" s="835">
        <v>41333</v>
      </c>
      <c r="AK18595" s="831">
        <v>-2146826246</v>
      </c>
    </row>
    <row r="18596" spans="2:37">
      <c r="B18596" s="834" t="str">
        <f t="shared" si="661"/>
        <v>|||</v>
      </c>
      <c r="H18596" s="835">
        <f t="shared" si="662"/>
        <v>31</v>
      </c>
      <c r="AF18596" s="831" t="s">
        <v>10795</v>
      </c>
      <c r="AG18596" s="831" t="s">
        <v>2674</v>
      </c>
      <c r="AH18596" s="831" t="s">
        <v>580</v>
      </c>
      <c r="AI18596" s="831">
        <v>0</v>
      </c>
      <c r="AJ18596" s="835">
        <v>41333</v>
      </c>
      <c r="AK18596" s="831">
        <v>-2146826246</v>
      </c>
    </row>
    <row r="18597" spans="2:37">
      <c r="B18597" s="834" t="str">
        <f t="shared" si="661"/>
        <v>|||</v>
      </c>
      <c r="H18597" s="835">
        <f t="shared" si="662"/>
        <v>31</v>
      </c>
      <c r="AF18597" s="831" t="s">
        <v>10796</v>
      </c>
      <c r="AG18597" s="831" t="s">
        <v>2674</v>
      </c>
      <c r="AH18597" s="831" t="s">
        <v>581</v>
      </c>
      <c r="AI18597" s="831">
        <v>0</v>
      </c>
      <c r="AJ18597" s="835">
        <v>41333</v>
      </c>
      <c r="AK18597" s="831">
        <v>-2146826246</v>
      </c>
    </row>
    <row r="18598" spans="2:37">
      <c r="B18598" s="834" t="str">
        <f t="shared" si="661"/>
        <v>|||</v>
      </c>
      <c r="H18598" s="835">
        <f t="shared" si="662"/>
        <v>31</v>
      </c>
      <c r="AF18598" s="831" t="s">
        <v>10797</v>
      </c>
      <c r="AG18598" s="831" t="s">
        <v>2674</v>
      </c>
      <c r="AH18598" s="831" t="s">
        <v>105</v>
      </c>
      <c r="AI18598" s="831">
        <v>0</v>
      </c>
      <c r="AJ18598" s="835">
        <v>41333</v>
      </c>
      <c r="AK18598" s="831">
        <v>232996335</v>
      </c>
    </row>
    <row r="18599" spans="2:37">
      <c r="B18599" s="834" t="str">
        <f t="shared" si="661"/>
        <v>|||</v>
      </c>
      <c r="H18599" s="835">
        <f t="shared" si="662"/>
        <v>31</v>
      </c>
      <c r="AF18599" s="831" t="s">
        <v>10798</v>
      </c>
      <c r="AG18599" s="831" t="s">
        <v>2674</v>
      </c>
      <c r="AH18599" s="831" t="s">
        <v>3049</v>
      </c>
      <c r="AI18599" s="831">
        <v>0</v>
      </c>
      <c r="AJ18599" s="835">
        <v>41333</v>
      </c>
      <c r="AK18599" s="831">
        <v>409742104</v>
      </c>
    </row>
    <row r="18600" spans="2:37">
      <c r="B18600" s="834" t="str">
        <f t="shared" si="661"/>
        <v>|||</v>
      </c>
      <c r="H18600" s="835">
        <f t="shared" si="662"/>
        <v>31</v>
      </c>
      <c r="AF18600" s="831" t="s">
        <v>10799</v>
      </c>
      <c r="AG18600" s="831" t="s">
        <v>2674</v>
      </c>
      <c r="AH18600" s="831" t="s">
        <v>103</v>
      </c>
      <c r="AI18600" s="831">
        <v>0</v>
      </c>
      <c r="AJ18600" s="835">
        <v>41333</v>
      </c>
      <c r="AK18600" s="831">
        <v>176745769</v>
      </c>
    </row>
    <row r="18601" spans="2:37">
      <c r="B18601" s="834" t="str">
        <f t="shared" si="661"/>
        <v>|||</v>
      </c>
      <c r="H18601" s="835">
        <f t="shared" si="662"/>
        <v>31</v>
      </c>
      <c r="AF18601" s="831" t="s">
        <v>10800</v>
      </c>
      <c r="AG18601" s="831" t="s">
        <v>2674</v>
      </c>
      <c r="AH18601" s="831" t="s">
        <v>182</v>
      </c>
      <c r="AI18601" s="831">
        <v>0</v>
      </c>
      <c r="AJ18601" s="835">
        <v>41333</v>
      </c>
      <c r="AK18601" s="831">
        <v>55637232</v>
      </c>
    </row>
    <row r="18602" spans="2:37">
      <c r="B18602" s="834" t="str">
        <f t="shared" si="661"/>
        <v>|||</v>
      </c>
      <c r="H18602" s="835">
        <f t="shared" si="662"/>
        <v>31</v>
      </c>
      <c r="AF18602" s="831" t="s">
        <v>10801</v>
      </c>
      <c r="AG18602" s="831" t="s">
        <v>2674</v>
      </c>
      <c r="AH18602" s="831" t="s">
        <v>6600</v>
      </c>
      <c r="AI18602" s="831">
        <v>0</v>
      </c>
      <c r="AJ18602" s="835">
        <v>41333</v>
      </c>
      <c r="AK18602" s="831">
        <v>-2146826246</v>
      </c>
    </row>
    <row r="18603" spans="2:37">
      <c r="B18603" s="834" t="str">
        <f t="shared" si="661"/>
        <v>|||</v>
      </c>
      <c r="H18603" s="835">
        <f t="shared" si="662"/>
        <v>31</v>
      </c>
      <c r="AF18603" s="831" t="s">
        <v>10802</v>
      </c>
      <c r="AG18603" s="831" t="s">
        <v>2674</v>
      </c>
      <c r="AH18603" s="831" t="s">
        <v>6602</v>
      </c>
      <c r="AI18603" s="831">
        <v>0</v>
      </c>
      <c r="AJ18603" s="835">
        <v>41333</v>
      </c>
      <c r="AK18603" s="831">
        <v>3817884</v>
      </c>
    </row>
    <row r="18604" spans="2:37">
      <c r="B18604" s="834" t="str">
        <f t="shared" si="661"/>
        <v>|||</v>
      </c>
      <c r="H18604" s="835">
        <f t="shared" si="662"/>
        <v>31</v>
      </c>
      <c r="AF18604" s="831" t="s">
        <v>10803</v>
      </c>
      <c r="AG18604" s="831" t="s">
        <v>2674</v>
      </c>
      <c r="AH18604" s="831" t="s">
        <v>650</v>
      </c>
      <c r="AI18604" s="831">
        <v>0</v>
      </c>
      <c r="AJ18604" s="835">
        <v>41333</v>
      </c>
      <c r="AK18604" s="831">
        <v>163723555.30000001</v>
      </c>
    </row>
    <row r="18605" spans="2:37">
      <c r="B18605" s="834" t="str">
        <f t="shared" si="661"/>
        <v>|||</v>
      </c>
      <c r="H18605" s="835">
        <f t="shared" si="662"/>
        <v>31</v>
      </c>
      <c r="AF18605" s="831" t="s">
        <v>10804</v>
      </c>
      <c r="AG18605" s="831" t="s">
        <v>2674</v>
      </c>
      <c r="AH18605" s="831" t="s">
        <v>655</v>
      </c>
      <c r="AI18605" s="831">
        <v>0</v>
      </c>
      <c r="AJ18605" s="835">
        <v>41333</v>
      </c>
      <c r="AK18605" s="831">
        <v>1851569</v>
      </c>
    </row>
    <row r="18606" spans="2:37">
      <c r="B18606" s="834" t="str">
        <f t="shared" si="661"/>
        <v>|||</v>
      </c>
      <c r="H18606" s="835">
        <f t="shared" si="662"/>
        <v>31</v>
      </c>
      <c r="AF18606" s="831" t="s">
        <v>10805</v>
      </c>
      <c r="AG18606" s="831" t="s">
        <v>2674</v>
      </c>
      <c r="AH18606" s="831" t="s">
        <v>546</v>
      </c>
      <c r="AI18606" s="831">
        <v>0</v>
      </c>
      <c r="AJ18606" s="835">
        <v>41364</v>
      </c>
      <c r="AK18606" s="831">
        <v>455655641</v>
      </c>
    </row>
    <row r="18607" spans="2:37">
      <c r="B18607" s="834" t="str">
        <f t="shared" si="661"/>
        <v>|||</v>
      </c>
      <c r="H18607" s="835">
        <f t="shared" si="662"/>
        <v>31</v>
      </c>
      <c r="AF18607" s="831" t="s">
        <v>10806</v>
      </c>
      <c r="AG18607" s="831" t="s">
        <v>2674</v>
      </c>
      <c r="AH18607" s="831" t="s">
        <v>370</v>
      </c>
      <c r="AI18607" s="831">
        <v>0</v>
      </c>
      <c r="AJ18607" s="835">
        <v>41364</v>
      </c>
      <c r="AK18607" s="831">
        <v>548973661</v>
      </c>
    </row>
    <row r="18608" spans="2:37">
      <c r="B18608" s="834" t="str">
        <f t="shared" si="661"/>
        <v>|||</v>
      </c>
      <c r="H18608" s="835">
        <f t="shared" si="662"/>
        <v>31</v>
      </c>
      <c r="AF18608" s="831" t="s">
        <v>10807</v>
      </c>
      <c r="AG18608" s="831" t="s">
        <v>2674</v>
      </c>
      <c r="AH18608" s="831" t="s">
        <v>126</v>
      </c>
      <c r="AI18608" s="831">
        <v>0</v>
      </c>
      <c r="AJ18608" s="835">
        <v>41364</v>
      </c>
      <c r="AK18608" s="831">
        <v>100809389</v>
      </c>
    </row>
    <row r="18609" spans="2:37">
      <c r="B18609" s="834" t="str">
        <f t="shared" si="661"/>
        <v>|||</v>
      </c>
      <c r="H18609" s="835">
        <f t="shared" si="662"/>
        <v>31</v>
      </c>
      <c r="AF18609" s="831" t="s">
        <v>10808</v>
      </c>
      <c r="AG18609" s="831" t="s">
        <v>2674</v>
      </c>
      <c r="AH18609" s="831" t="s">
        <v>268</v>
      </c>
      <c r="AI18609" s="831">
        <v>0</v>
      </c>
      <c r="AJ18609" s="835">
        <v>41364</v>
      </c>
      <c r="AK18609" s="831">
        <v>6046166</v>
      </c>
    </row>
    <row r="18610" spans="2:37">
      <c r="B18610" s="834" t="str">
        <f t="shared" si="661"/>
        <v>|||</v>
      </c>
      <c r="H18610" s="835">
        <f t="shared" si="662"/>
        <v>31</v>
      </c>
      <c r="AF18610" s="831" t="s">
        <v>10809</v>
      </c>
      <c r="AG18610" s="831" t="s">
        <v>2674</v>
      </c>
      <c r="AH18610" s="831" t="s">
        <v>547</v>
      </c>
      <c r="AI18610" s="831">
        <v>0</v>
      </c>
      <c r="AJ18610" s="835">
        <v>41364</v>
      </c>
      <c r="AK18610" s="831">
        <v>511487760</v>
      </c>
    </row>
    <row r="18611" spans="2:37">
      <c r="B18611" s="834" t="str">
        <f t="shared" si="661"/>
        <v>|||</v>
      </c>
      <c r="H18611" s="835">
        <f t="shared" si="662"/>
        <v>31</v>
      </c>
      <c r="AF18611" s="831" t="s">
        <v>10810</v>
      </c>
      <c r="AG18611" s="831" t="s">
        <v>2674</v>
      </c>
      <c r="AH18611" s="831" t="s">
        <v>548</v>
      </c>
      <c r="AI18611" s="831">
        <v>0</v>
      </c>
      <c r="AJ18611" s="835">
        <v>41364</v>
      </c>
      <c r="AK18611" s="831">
        <v>96883184</v>
      </c>
    </row>
    <row r="18612" spans="2:37">
      <c r="B18612" s="834" t="str">
        <f t="shared" si="661"/>
        <v>|||</v>
      </c>
      <c r="H18612" s="835">
        <f t="shared" si="662"/>
        <v>31</v>
      </c>
      <c r="AF18612" s="831" t="s">
        <v>10811</v>
      </c>
      <c r="AG18612" s="831" t="s">
        <v>2674</v>
      </c>
      <c r="AH18612" s="831" t="s">
        <v>549</v>
      </c>
      <c r="AI18612" s="831">
        <v>0</v>
      </c>
      <c r="AJ18612" s="835">
        <v>41364</v>
      </c>
      <c r="AK18612" s="831">
        <v>0</v>
      </c>
    </row>
    <row r="18613" spans="2:37">
      <c r="B18613" s="834" t="str">
        <f t="shared" si="661"/>
        <v>|||</v>
      </c>
      <c r="H18613" s="835">
        <f t="shared" si="662"/>
        <v>31</v>
      </c>
      <c r="AF18613" s="831" t="s">
        <v>10812</v>
      </c>
      <c r="AG18613" s="831" t="s">
        <v>2674</v>
      </c>
      <c r="AH18613" s="831" t="s">
        <v>192</v>
      </c>
      <c r="AI18613" s="831">
        <v>0</v>
      </c>
      <c r="AJ18613" s="835">
        <v>41364</v>
      </c>
      <c r="AK18613" s="831">
        <v>-11725074</v>
      </c>
    </row>
    <row r="18614" spans="2:37">
      <c r="B18614" s="834" t="str">
        <f t="shared" si="661"/>
        <v>|||</v>
      </c>
      <c r="H18614" s="835">
        <f t="shared" si="662"/>
        <v>31</v>
      </c>
      <c r="AF18614" s="831" t="s">
        <v>10813</v>
      </c>
      <c r="AG18614" s="831" t="s">
        <v>2674</v>
      </c>
      <c r="AH18614" s="831" t="s">
        <v>558</v>
      </c>
      <c r="AI18614" s="831">
        <v>0</v>
      </c>
      <c r="AJ18614" s="835">
        <v>41364</v>
      </c>
      <c r="AK18614" s="831">
        <v>448164272</v>
      </c>
    </row>
    <row r="18615" spans="2:37">
      <c r="B18615" s="834" t="str">
        <f t="shared" si="661"/>
        <v>|||</v>
      </c>
      <c r="H18615" s="835">
        <f t="shared" si="662"/>
        <v>31</v>
      </c>
      <c r="AF18615" s="831" t="s">
        <v>10814</v>
      </c>
      <c r="AG18615" s="831" t="s">
        <v>2674</v>
      </c>
      <c r="AH18615" s="831" t="s">
        <v>65</v>
      </c>
      <c r="AI18615" s="831">
        <v>0</v>
      </c>
      <c r="AJ18615" s="835">
        <v>41364</v>
      </c>
      <c r="AK18615" s="831">
        <v>27883165</v>
      </c>
    </row>
    <row r="18616" spans="2:37">
      <c r="B18616" s="834" t="str">
        <f t="shared" si="661"/>
        <v>|||</v>
      </c>
      <c r="H18616" s="835">
        <f t="shared" si="662"/>
        <v>31</v>
      </c>
      <c r="AF18616" s="831" t="s">
        <v>10815</v>
      </c>
      <c r="AG18616" s="831" t="s">
        <v>2674</v>
      </c>
      <c r="AH18616" s="831" t="s">
        <v>89</v>
      </c>
      <c r="AI18616" s="831">
        <v>0</v>
      </c>
      <c r="AJ18616" s="835">
        <v>41364</v>
      </c>
      <c r="AK18616" s="831">
        <v>129296</v>
      </c>
    </row>
    <row r="18617" spans="2:37">
      <c r="B18617" s="834" t="str">
        <f t="shared" si="661"/>
        <v>|||</v>
      </c>
      <c r="H18617" s="835">
        <f t="shared" si="662"/>
        <v>31</v>
      </c>
      <c r="AF18617" s="831" t="s">
        <v>10816</v>
      </c>
      <c r="AG18617" s="831" t="s">
        <v>2674</v>
      </c>
      <c r="AH18617" s="831" t="s">
        <v>557</v>
      </c>
      <c r="AI18617" s="831">
        <v>0</v>
      </c>
      <c r="AJ18617" s="835">
        <v>41364</v>
      </c>
      <c r="AK18617" s="831">
        <v>133005</v>
      </c>
    </row>
    <row r="18618" spans="2:37">
      <c r="B18618" s="834" t="str">
        <f t="shared" si="661"/>
        <v>|||</v>
      </c>
      <c r="H18618" s="835">
        <f t="shared" si="662"/>
        <v>31</v>
      </c>
      <c r="AF18618" s="831" t="s">
        <v>10817</v>
      </c>
      <c r="AG18618" s="831" t="s">
        <v>2674</v>
      </c>
      <c r="AH18618" s="831" t="s">
        <v>29</v>
      </c>
      <c r="AI18618" s="831">
        <v>0</v>
      </c>
      <c r="AJ18618" s="835">
        <v>41364</v>
      </c>
      <c r="AK18618" s="831">
        <v>2674773</v>
      </c>
    </row>
    <row r="18619" spans="2:37">
      <c r="B18619" s="834" t="str">
        <f t="shared" si="661"/>
        <v>|||</v>
      </c>
      <c r="H18619" s="835">
        <f t="shared" si="662"/>
        <v>31</v>
      </c>
      <c r="AF18619" s="831" t="s">
        <v>10818</v>
      </c>
      <c r="AG18619" s="831" t="s">
        <v>2674</v>
      </c>
      <c r="AH18619" s="831" t="s">
        <v>2688</v>
      </c>
      <c r="AI18619" s="831">
        <v>0</v>
      </c>
      <c r="AJ18619" s="835">
        <v>41364</v>
      </c>
      <c r="AK18619" s="831">
        <v>2715490</v>
      </c>
    </row>
    <row r="18620" spans="2:37">
      <c r="B18620" s="834" t="str">
        <f t="shared" si="661"/>
        <v>|||</v>
      </c>
      <c r="H18620" s="835">
        <f t="shared" si="662"/>
        <v>31</v>
      </c>
      <c r="AF18620" s="831" t="s">
        <v>10819</v>
      </c>
      <c r="AG18620" s="831" t="s">
        <v>2674</v>
      </c>
      <c r="AH18620" s="831" t="s">
        <v>556</v>
      </c>
      <c r="AI18620" s="831">
        <v>0</v>
      </c>
      <c r="AJ18620" s="835">
        <v>41364</v>
      </c>
      <c r="AK18620" s="831">
        <v>902857</v>
      </c>
    </row>
    <row r="18621" spans="2:37">
      <c r="B18621" s="834" t="str">
        <f t="shared" si="661"/>
        <v>|||</v>
      </c>
      <c r="H18621" s="835">
        <f t="shared" si="662"/>
        <v>31</v>
      </c>
      <c r="AF18621" s="831" t="s">
        <v>10820</v>
      </c>
      <c r="AG18621" s="831" t="s">
        <v>2674</v>
      </c>
      <c r="AH18621" s="831" t="s">
        <v>555</v>
      </c>
      <c r="AI18621" s="831">
        <v>0</v>
      </c>
      <c r="AJ18621" s="835">
        <v>41364</v>
      </c>
      <c r="AK18621" s="831">
        <v>285158930</v>
      </c>
    </row>
    <row r="18622" spans="2:37">
      <c r="B18622" s="834" t="str">
        <f t="shared" si="661"/>
        <v>|||</v>
      </c>
      <c r="H18622" s="835">
        <f t="shared" si="662"/>
        <v>31</v>
      </c>
      <c r="AF18622" s="831" t="s">
        <v>10821</v>
      </c>
      <c r="AG18622" s="831" t="s">
        <v>2674</v>
      </c>
      <c r="AH18622" s="831" t="s">
        <v>554</v>
      </c>
      <c r="AI18622" s="831">
        <v>0</v>
      </c>
      <c r="AJ18622" s="835">
        <v>41364</v>
      </c>
      <c r="AK18622" s="831">
        <v>281381290</v>
      </c>
    </row>
    <row r="18623" spans="2:37">
      <c r="B18623" s="834" t="str">
        <f t="shared" si="661"/>
        <v>|||</v>
      </c>
      <c r="H18623" s="835">
        <f t="shared" si="662"/>
        <v>31</v>
      </c>
      <c r="AF18623" s="831" t="s">
        <v>10822</v>
      </c>
      <c r="AG18623" s="831" t="s">
        <v>2674</v>
      </c>
      <c r="AH18623" s="831" t="s">
        <v>553</v>
      </c>
      <c r="AI18623" s="831">
        <v>0</v>
      </c>
      <c r="AJ18623" s="835">
        <v>41364</v>
      </c>
      <c r="AK18623" s="831">
        <v>0</v>
      </c>
    </row>
    <row r="18624" spans="2:37">
      <c r="B18624" s="834" t="str">
        <f t="shared" si="661"/>
        <v>|||</v>
      </c>
      <c r="H18624" s="835">
        <f t="shared" si="662"/>
        <v>31</v>
      </c>
      <c r="AF18624" s="831" t="s">
        <v>10823</v>
      </c>
      <c r="AG18624" s="831" t="s">
        <v>2674</v>
      </c>
      <c r="AH18624" s="831" t="s">
        <v>552</v>
      </c>
      <c r="AI18624" s="831">
        <v>0</v>
      </c>
      <c r="AJ18624" s="835">
        <v>41364</v>
      </c>
      <c r="AK18624" s="831">
        <v>0</v>
      </c>
    </row>
    <row r="18625" spans="2:37">
      <c r="B18625" s="834" t="str">
        <f t="shared" si="661"/>
        <v>|||</v>
      </c>
      <c r="H18625" s="835">
        <f t="shared" si="662"/>
        <v>31</v>
      </c>
      <c r="AF18625" s="831" t="s">
        <v>10824</v>
      </c>
      <c r="AG18625" s="831" t="s">
        <v>2674</v>
      </c>
      <c r="AH18625" s="831" t="s">
        <v>551</v>
      </c>
      <c r="AI18625" s="831">
        <v>0</v>
      </c>
      <c r="AJ18625" s="835">
        <v>41364</v>
      </c>
      <c r="AK18625" s="831">
        <v>2175856</v>
      </c>
    </row>
    <row r="18626" spans="2:37">
      <c r="B18626" s="834" t="str">
        <f t="shared" si="661"/>
        <v>|||</v>
      </c>
      <c r="H18626" s="835">
        <f t="shared" si="662"/>
        <v>31</v>
      </c>
      <c r="AF18626" s="831" t="s">
        <v>10825</v>
      </c>
      <c r="AG18626" s="831" t="s">
        <v>2674</v>
      </c>
      <c r="AH18626" s="831" t="s">
        <v>550</v>
      </c>
      <c r="AI18626" s="831">
        <v>0</v>
      </c>
      <c r="AJ18626" s="835">
        <v>41364</v>
      </c>
      <c r="AK18626" s="831">
        <v>98581107</v>
      </c>
    </row>
    <row r="18627" spans="2:37">
      <c r="B18627" s="834" t="str">
        <f t="shared" si="661"/>
        <v>|||</v>
      </c>
      <c r="H18627" s="835">
        <f t="shared" si="662"/>
        <v>31</v>
      </c>
      <c r="AF18627" s="831" t="s">
        <v>10826</v>
      </c>
      <c r="AG18627" s="831" t="s">
        <v>2674</v>
      </c>
      <c r="AH18627" s="831" t="s">
        <v>562</v>
      </c>
      <c r="AI18627" s="831">
        <v>0</v>
      </c>
      <c r="AJ18627" s="835">
        <v>41364</v>
      </c>
      <c r="AK18627" s="831">
        <v>0.78425</v>
      </c>
    </row>
    <row r="18628" spans="2:37">
      <c r="B18628" s="834" t="str">
        <f t="shared" si="661"/>
        <v>|||</v>
      </c>
      <c r="H18628" s="835">
        <f t="shared" si="662"/>
        <v>31</v>
      </c>
      <c r="AF18628" s="831" t="s">
        <v>10827</v>
      </c>
      <c r="AG18628" s="831" t="s">
        <v>2674</v>
      </c>
      <c r="AH18628" s="831" t="s">
        <v>2698</v>
      </c>
      <c r="AI18628" s="831">
        <v>0</v>
      </c>
      <c r="AJ18628" s="835">
        <v>41364</v>
      </c>
      <c r="AK18628" s="831">
        <v>0.78434999999999999</v>
      </c>
    </row>
    <row r="18629" spans="2:37">
      <c r="B18629" s="834" t="str">
        <f t="shared" si="661"/>
        <v>|||</v>
      </c>
      <c r="H18629" s="835">
        <f t="shared" si="662"/>
        <v>31</v>
      </c>
      <c r="AF18629" s="831" t="s">
        <v>10828</v>
      </c>
      <c r="AG18629" s="831" t="s">
        <v>2674</v>
      </c>
      <c r="AH18629" s="831" t="s">
        <v>560</v>
      </c>
      <c r="AI18629" s="831">
        <v>0</v>
      </c>
      <c r="AJ18629" s="835">
        <v>41364</v>
      </c>
      <c r="AK18629" s="831">
        <v>0.78415000000000001</v>
      </c>
    </row>
    <row r="18630" spans="2:37">
      <c r="B18630" s="834" t="str">
        <f t="shared" si="661"/>
        <v>|||</v>
      </c>
      <c r="H18630" s="835">
        <f t="shared" si="662"/>
        <v>31</v>
      </c>
      <c r="AF18630" s="831" t="s">
        <v>10829</v>
      </c>
      <c r="AG18630" s="831" t="s">
        <v>2674</v>
      </c>
      <c r="AH18630" s="831" t="s">
        <v>559</v>
      </c>
      <c r="AI18630" s="831">
        <v>0</v>
      </c>
      <c r="AJ18630" s="835">
        <v>41364</v>
      </c>
      <c r="AK18630" s="831">
        <v>0.78459166666666669</v>
      </c>
    </row>
    <row r="18631" spans="2:37">
      <c r="B18631" s="834" t="str">
        <f t="shared" si="661"/>
        <v>|||</v>
      </c>
      <c r="H18631" s="835">
        <f t="shared" si="662"/>
        <v>31</v>
      </c>
      <c r="AF18631" s="831" t="s">
        <v>10830</v>
      </c>
      <c r="AG18631" s="831" t="s">
        <v>2674</v>
      </c>
      <c r="AH18631" s="831" t="s">
        <v>568</v>
      </c>
      <c r="AI18631" s="831">
        <v>0</v>
      </c>
      <c r="AJ18631" s="835">
        <v>41364</v>
      </c>
      <c r="AK18631" s="831">
        <v>387042366</v>
      </c>
    </row>
    <row r="18632" spans="2:37">
      <c r="B18632" s="834" t="str">
        <f t="shared" si="661"/>
        <v>|||</v>
      </c>
      <c r="H18632" s="835">
        <f t="shared" si="662"/>
        <v>31</v>
      </c>
      <c r="AF18632" s="831" t="s">
        <v>10831</v>
      </c>
      <c r="AG18632" s="831" t="s">
        <v>2674</v>
      </c>
      <c r="AH18632" s="831" t="s">
        <v>569</v>
      </c>
      <c r="AI18632" s="831">
        <v>0</v>
      </c>
      <c r="AJ18632" s="835">
        <v>41364</v>
      </c>
      <c r="AK18632" s="831">
        <v>472896677.63636363</v>
      </c>
    </row>
    <row r="18633" spans="2:37">
      <c r="B18633" s="834" t="str">
        <f t="shared" si="661"/>
        <v>|||</v>
      </c>
      <c r="H18633" s="835">
        <f t="shared" si="662"/>
        <v>31</v>
      </c>
      <c r="AF18633" s="831" t="s">
        <v>10832</v>
      </c>
      <c r="AG18633" s="831" t="s">
        <v>2674</v>
      </c>
      <c r="AH18633" s="831" t="s">
        <v>570</v>
      </c>
      <c r="AI18633" s="831">
        <v>0</v>
      </c>
      <c r="AJ18633" s="835">
        <v>41364</v>
      </c>
      <c r="AK18633" s="831">
        <v>97015572.090909094</v>
      </c>
    </row>
    <row r="18634" spans="2:37">
      <c r="B18634" s="834" t="str">
        <f t="shared" si="661"/>
        <v>|||</v>
      </c>
      <c r="H18634" s="835">
        <f t="shared" si="662"/>
        <v>31</v>
      </c>
      <c r="AF18634" s="831" t="s">
        <v>10833</v>
      </c>
      <c r="AG18634" s="831" t="s">
        <v>2674</v>
      </c>
      <c r="AH18634" s="831" t="s">
        <v>571</v>
      </c>
      <c r="AI18634" s="831">
        <v>0</v>
      </c>
      <c r="AJ18634" s="835">
        <v>41364</v>
      </c>
      <c r="AK18634" s="831">
        <v>197450778.09090909</v>
      </c>
    </row>
    <row r="18635" spans="2:37">
      <c r="B18635" s="834" t="str">
        <f t="shared" si="661"/>
        <v>|||</v>
      </c>
      <c r="H18635" s="835">
        <f t="shared" si="662"/>
        <v>31</v>
      </c>
      <c r="AF18635" s="831" t="s">
        <v>10834</v>
      </c>
      <c r="AG18635" s="831" t="s">
        <v>2674</v>
      </c>
      <c r="AH18635" s="831" t="s">
        <v>573</v>
      </c>
      <c r="AI18635" s="831">
        <v>0</v>
      </c>
      <c r="AJ18635" s="835">
        <v>41364</v>
      </c>
      <c r="AK18635" s="831">
        <v>524451626.75</v>
      </c>
    </row>
    <row r="18636" spans="2:37">
      <c r="B18636" s="834" t="str">
        <f t="shared" si="661"/>
        <v>|||</v>
      </c>
      <c r="H18636" s="835">
        <f t="shared" si="662"/>
        <v>31</v>
      </c>
      <c r="AF18636" s="831" t="s">
        <v>10835</v>
      </c>
      <c r="AG18636" s="831" t="s">
        <v>2674</v>
      </c>
      <c r="AH18636" s="831" t="s">
        <v>574</v>
      </c>
      <c r="AI18636" s="831">
        <v>0</v>
      </c>
      <c r="AJ18636" s="835">
        <v>41364</v>
      </c>
      <c r="AK18636" s="831">
        <v>431410912.75</v>
      </c>
    </row>
    <row r="18637" spans="2:37">
      <c r="B18637" s="834" t="str">
        <f t="shared" si="661"/>
        <v>|||</v>
      </c>
      <c r="H18637" s="835">
        <f t="shared" si="662"/>
        <v>31</v>
      </c>
      <c r="AF18637" s="831" t="s">
        <v>10836</v>
      </c>
      <c r="AG18637" s="831" t="s">
        <v>2674</v>
      </c>
      <c r="AH18637" s="831" t="s">
        <v>575</v>
      </c>
      <c r="AI18637" s="831">
        <v>0</v>
      </c>
      <c r="AJ18637" s="835">
        <v>41364</v>
      </c>
      <c r="AK18637" s="831">
        <v>99359138.75</v>
      </c>
    </row>
    <row r="18638" spans="2:37">
      <c r="B18638" s="834" t="str">
        <f t="shared" si="661"/>
        <v>|||</v>
      </c>
      <c r="H18638" s="835">
        <f t="shared" si="662"/>
        <v>31</v>
      </c>
      <c r="AF18638" s="831" t="s">
        <v>10837</v>
      </c>
      <c r="AG18638" s="831" t="s">
        <v>2674</v>
      </c>
      <c r="AH18638" s="831" t="s">
        <v>576</v>
      </c>
      <c r="AI18638" s="831">
        <v>0</v>
      </c>
      <c r="AJ18638" s="835">
        <v>41364</v>
      </c>
      <c r="AK18638" s="831">
        <v>237999860.25</v>
      </c>
    </row>
    <row r="18639" spans="2:37">
      <c r="B18639" s="834" t="str">
        <f t="shared" si="661"/>
        <v>|||</v>
      </c>
      <c r="H18639" s="835">
        <f t="shared" si="662"/>
        <v>31</v>
      </c>
      <c r="AF18639" s="831" t="s">
        <v>10838</v>
      </c>
      <c r="AG18639" s="831" t="s">
        <v>2674</v>
      </c>
      <c r="AH18639" s="831" t="s">
        <v>572</v>
      </c>
      <c r="AI18639" s="831">
        <v>0</v>
      </c>
      <c r="AJ18639" s="835">
        <v>41364</v>
      </c>
      <c r="AK18639" s="831">
        <v>-2146826246</v>
      </c>
    </row>
    <row r="18640" spans="2:37">
      <c r="B18640" s="834" t="str">
        <f t="shared" si="661"/>
        <v>|||</v>
      </c>
      <c r="H18640" s="835">
        <f t="shared" si="662"/>
        <v>31</v>
      </c>
      <c r="AF18640" s="831" t="s">
        <v>10839</v>
      </c>
      <c r="AG18640" s="831" t="s">
        <v>2674</v>
      </c>
      <c r="AH18640" s="831" t="s">
        <v>577</v>
      </c>
      <c r="AI18640" s="831">
        <v>0</v>
      </c>
      <c r="AJ18640" s="835">
        <v>41364</v>
      </c>
      <c r="AK18640" s="831">
        <v>-2146826246</v>
      </c>
    </row>
    <row r="18641" spans="2:37">
      <c r="B18641" s="834" t="str">
        <f t="shared" ref="B18641:B18704" si="663">C18641&amp;"|"&amp;D18641&amp;"|"&amp;E18641&amp;"|"&amp;F18641</f>
        <v>|||</v>
      </c>
      <c r="H18641" s="835">
        <f t="shared" ref="H18641:H18704" si="664">EOMONTH(L18641,0)</f>
        <v>31</v>
      </c>
      <c r="AF18641" s="831" t="s">
        <v>10840</v>
      </c>
      <c r="AG18641" s="831" t="s">
        <v>2674</v>
      </c>
      <c r="AH18641" s="831" t="s">
        <v>3042</v>
      </c>
      <c r="AI18641" s="831">
        <v>0</v>
      </c>
      <c r="AJ18641" s="835">
        <v>41364</v>
      </c>
      <c r="AK18641" s="831">
        <v>-2146826246</v>
      </c>
    </row>
    <row r="18642" spans="2:37">
      <c r="B18642" s="834" t="str">
        <f t="shared" si="663"/>
        <v>|||</v>
      </c>
      <c r="H18642" s="835">
        <f t="shared" si="664"/>
        <v>31</v>
      </c>
      <c r="AF18642" s="831" t="s">
        <v>10841</v>
      </c>
      <c r="AG18642" s="831" t="s">
        <v>2674</v>
      </c>
      <c r="AH18642" s="831" t="s">
        <v>3044</v>
      </c>
      <c r="AI18642" s="831">
        <v>0</v>
      </c>
      <c r="AJ18642" s="835">
        <v>41364</v>
      </c>
      <c r="AK18642" s="831">
        <v>-2146826246</v>
      </c>
    </row>
    <row r="18643" spans="2:37">
      <c r="B18643" s="834" t="str">
        <f t="shared" si="663"/>
        <v>|||</v>
      </c>
      <c r="H18643" s="835">
        <f t="shared" si="664"/>
        <v>31</v>
      </c>
      <c r="AF18643" s="831" t="s">
        <v>10842</v>
      </c>
      <c r="AG18643" s="831" t="s">
        <v>2674</v>
      </c>
      <c r="AH18643" s="831" t="s">
        <v>580</v>
      </c>
      <c r="AI18643" s="831">
        <v>0</v>
      </c>
      <c r="AJ18643" s="835">
        <v>41364</v>
      </c>
      <c r="AK18643" s="831">
        <v>-2146826246</v>
      </c>
    </row>
    <row r="18644" spans="2:37">
      <c r="B18644" s="834" t="str">
        <f t="shared" si="663"/>
        <v>|||</v>
      </c>
      <c r="H18644" s="835">
        <f t="shared" si="664"/>
        <v>31</v>
      </c>
      <c r="AF18644" s="831" t="s">
        <v>10843</v>
      </c>
      <c r="AG18644" s="831" t="s">
        <v>2674</v>
      </c>
      <c r="AH18644" s="831" t="s">
        <v>581</v>
      </c>
      <c r="AI18644" s="831">
        <v>0</v>
      </c>
      <c r="AJ18644" s="835">
        <v>41364</v>
      </c>
      <c r="AK18644" s="831">
        <v>-2146826246</v>
      </c>
    </row>
    <row r="18645" spans="2:37">
      <c r="B18645" s="834" t="str">
        <f t="shared" si="663"/>
        <v>|||</v>
      </c>
      <c r="H18645" s="835">
        <f t="shared" si="664"/>
        <v>31</v>
      </c>
      <c r="AF18645" s="831" t="s">
        <v>10844</v>
      </c>
      <c r="AG18645" s="831" t="s">
        <v>2674</v>
      </c>
      <c r="AH18645" s="831" t="s">
        <v>105</v>
      </c>
      <c r="AI18645" s="831">
        <v>0</v>
      </c>
      <c r="AJ18645" s="835">
        <v>41364</v>
      </c>
      <c r="AK18645" s="831">
        <v>251718369</v>
      </c>
    </row>
    <row r="18646" spans="2:37">
      <c r="B18646" s="834" t="str">
        <f t="shared" si="663"/>
        <v>|||</v>
      </c>
      <c r="H18646" s="835">
        <f t="shared" si="664"/>
        <v>31</v>
      </c>
      <c r="AF18646" s="831" t="s">
        <v>10845</v>
      </c>
      <c r="AG18646" s="831" t="s">
        <v>2674</v>
      </c>
      <c r="AH18646" s="831" t="s">
        <v>3049</v>
      </c>
      <c r="AI18646" s="831">
        <v>0</v>
      </c>
      <c r="AJ18646" s="835">
        <v>41364</v>
      </c>
      <c r="AK18646" s="831">
        <v>433573874</v>
      </c>
    </row>
    <row r="18647" spans="2:37">
      <c r="B18647" s="834" t="str">
        <f t="shared" si="663"/>
        <v>|||</v>
      </c>
      <c r="H18647" s="835">
        <f t="shared" si="664"/>
        <v>31</v>
      </c>
      <c r="AF18647" s="831" t="s">
        <v>10846</v>
      </c>
      <c r="AG18647" s="831" t="s">
        <v>2674</v>
      </c>
      <c r="AH18647" s="831" t="s">
        <v>103</v>
      </c>
      <c r="AI18647" s="831">
        <v>0</v>
      </c>
      <c r="AJ18647" s="835">
        <v>41364</v>
      </c>
      <c r="AK18647" s="831">
        <v>181855505</v>
      </c>
    </row>
    <row r="18648" spans="2:37">
      <c r="B18648" s="834" t="str">
        <f t="shared" si="663"/>
        <v>|||</v>
      </c>
      <c r="H18648" s="835">
        <f t="shared" si="664"/>
        <v>31</v>
      </c>
      <c r="AF18648" s="831" t="s">
        <v>10847</v>
      </c>
      <c r="AG18648" s="831" t="s">
        <v>2674</v>
      </c>
      <c r="AH18648" s="831" t="s">
        <v>182</v>
      </c>
      <c r="AI18648" s="831">
        <v>0</v>
      </c>
      <c r="AJ18648" s="835">
        <v>41364</v>
      </c>
      <c r="AK18648" s="831">
        <v>54931936</v>
      </c>
    </row>
    <row r="18649" spans="2:37">
      <c r="B18649" s="834" t="str">
        <f t="shared" si="663"/>
        <v>|||</v>
      </c>
      <c r="H18649" s="835">
        <f t="shared" si="664"/>
        <v>31</v>
      </c>
      <c r="AF18649" s="831" t="s">
        <v>10848</v>
      </c>
      <c r="AG18649" s="831" t="s">
        <v>2674</v>
      </c>
      <c r="AH18649" s="831" t="s">
        <v>6600</v>
      </c>
      <c r="AI18649" s="831">
        <v>0</v>
      </c>
      <c r="AJ18649" s="835">
        <v>41364</v>
      </c>
      <c r="AK18649" s="831">
        <v>-2146826246</v>
      </c>
    </row>
    <row r="18650" spans="2:37">
      <c r="B18650" s="834" t="str">
        <f t="shared" si="663"/>
        <v>|||</v>
      </c>
      <c r="H18650" s="835">
        <f t="shared" si="664"/>
        <v>31</v>
      </c>
      <c r="AF18650" s="831" t="s">
        <v>10849</v>
      </c>
      <c r="AG18650" s="831" t="s">
        <v>2674</v>
      </c>
      <c r="AH18650" s="831" t="s">
        <v>6602</v>
      </c>
      <c r="AI18650" s="831">
        <v>0</v>
      </c>
      <c r="AJ18650" s="835">
        <v>41364</v>
      </c>
      <c r="AK18650" s="831">
        <v>6046166</v>
      </c>
    </row>
    <row r="18651" spans="2:37">
      <c r="B18651" s="834" t="str">
        <f t="shared" si="663"/>
        <v>|||</v>
      </c>
      <c r="H18651" s="835">
        <f t="shared" si="664"/>
        <v>31</v>
      </c>
      <c r="AF18651" s="831" t="s">
        <v>10850</v>
      </c>
      <c r="AG18651" s="831" t="s">
        <v>2674</v>
      </c>
      <c r="AH18651" s="831" t="s">
        <v>650</v>
      </c>
      <c r="AI18651" s="831">
        <v>0</v>
      </c>
      <c r="AJ18651" s="835">
        <v>41364</v>
      </c>
      <c r="AK18651" s="831">
        <v>165371914.36363637</v>
      </c>
    </row>
    <row r="18652" spans="2:37">
      <c r="B18652" s="834" t="str">
        <f t="shared" si="663"/>
        <v>|||</v>
      </c>
      <c r="H18652" s="835">
        <f t="shared" si="664"/>
        <v>31</v>
      </c>
      <c r="AF18652" s="831" t="s">
        <v>10851</v>
      </c>
      <c r="AG18652" s="831" t="s">
        <v>2674</v>
      </c>
      <c r="AH18652" s="831" t="s">
        <v>655</v>
      </c>
      <c r="AI18652" s="831">
        <v>0</v>
      </c>
      <c r="AJ18652" s="835">
        <v>41364</v>
      </c>
      <c r="AK18652" s="831">
        <v>1831184</v>
      </c>
    </row>
    <row r="18653" spans="2:37">
      <c r="B18653" s="834" t="str">
        <f t="shared" si="663"/>
        <v>|||</v>
      </c>
      <c r="H18653" s="835">
        <f t="shared" si="664"/>
        <v>31</v>
      </c>
      <c r="AF18653" s="831" t="s">
        <v>10852</v>
      </c>
      <c r="AG18653" s="831" t="s">
        <v>2674</v>
      </c>
      <c r="AH18653" s="831" t="s">
        <v>546</v>
      </c>
      <c r="AI18653" s="831">
        <v>0</v>
      </c>
      <c r="AJ18653" s="835">
        <v>41394</v>
      </c>
      <c r="AK18653" s="831">
        <v>479771222</v>
      </c>
    </row>
    <row r="18654" spans="2:37">
      <c r="B18654" s="834" t="str">
        <f t="shared" si="663"/>
        <v>|||</v>
      </c>
      <c r="H18654" s="835">
        <f t="shared" si="664"/>
        <v>31</v>
      </c>
      <c r="AF18654" s="831" t="s">
        <v>10853</v>
      </c>
      <c r="AG18654" s="831" t="s">
        <v>2674</v>
      </c>
      <c r="AH18654" s="831" t="s">
        <v>370</v>
      </c>
      <c r="AI18654" s="831">
        <v>0</v>
      </c>
      <c r="AJ18654" s="835">
        <v>41394</v>
      </c>
      <c r="AK18654" s="831">
        <v>566329383</v>
      </c>
    </row>
    <row r="18655" spans="2:37">
      <c r="B18655" s="834" t="str">
        <f t="shared" si="663"/>
        <v>|||</v>
      </c>
      <c r="H18655" s="835">
        <f t="shared" si="664"/>
        <v>31</v>
      </c>
      <c r="AF18655" s="831" t="s">
        <v>10854</v>
      </c>
      <c r="AG18655" s="831" t="s">
        <v>2674</v>
      </c>
      <c r="AH18655" s="831" t="s">
        <v>126</v>
      </c>
      <c r="AI18655" s="831">
        <v>0</v>
      </c>
      <c r="AJ18655" s="835">
        <v>41394</v>
      </c>
      <c r="AK18655" s="831">
        <v>103327866</v>
      </c>
    </row>
    <row r="18656" spans="2:37">
      <c r="B18656" s="834" t="str">
        <f t="shared" si="663"/>
        <v>|||</v>
      </c>
      <c r="H18656" s="835">
        <f t="shared" si="664"/>
        <v>31</v>
      </c>
      <c r="AF18656" s="831" t="s">
        <v>10855</v>
      </c>
      <c r="AG18656" s="831" t="s">
        <v>2674</v>
      </c>
      <c r="AH18656" s="831" t="s">
        <v>268</v>
      </c>
      <c r="AI18656" s="831">
        <v>0</v>
      </c>
      <c r="AJ18656" s="835">
        <v>41394</v>
      </c>
      <c r="AK18656" s="831">
        <v>8564643</v>
      </c>
    </row>
    <row r="18657" spans="2:37">
      <c r="B18657" s="834" t="str">
        <f t="shared" si="663"/>
        <v>|||</v>
      </c>
      <c r="H18657" s="835">
        <f t="shared" si="664"/>
        <v>31</v>
      </c>
      <c r="AF18657" s="831" t="s">
        <v>10856</v>
      </c>
      <c r="AG18657" s="831" t="s">
        <v>2674</v>
      </c>
      <c r="AH18657" s="831" t="s">
        <v>547</v>
      </c>
      <c r="AI18657" s="831">
        <v>0</v>
      </c>
      <c r="AJ18657" s="835">
        <v>41394</v>
      </c>
      <c r="AK18657" s="831">
        <v>511487760</v>
      </c>
    </row>
    <row r="18658" spans="2:37">
      <c r="B18658" s="834" t="str">
        <f t="shared" si="663"/>
        <v>|||</v>
      </c>
      <c r="H18658" s="835">
        <f t="shared" si="664"/>
        <v>31</v>
      </c>
      <c r="AF18658" s="831" t="s">
        <v>10857</v>
      </c>
      <c r="AG18658" s="831" t="s">
        <v>2674</v>
      </c>
      <c r="AH18658" s="831" t="s">
        <v>548</v>
      </c>
      <c r="AI18658" s="831">
        <v>0</v>
      </c>
      <c r="AJ18658" s="835">
        <v>41394</v>
      </c>
      <c r="AK18658" s="831">
        <v>96883184</v>
      </c>
    </row>
    <row r="18659" spans="2:37">
      <c r="B18659" s="834" t="str">
        <f t="shared" si="663"/>
        <v>|||</v>
      </c>
      <c r="H18659" s="835">
        <f t="shared" si="664"/>
        <v>31</v>
      </c>
      <c r="AF18659" s="831" t="s">
        <v>10858</v>
      </c>
      <c r="AG18659" s="831" t="s">
        <v>2674</v>
      </c>
      <c r="AH18659" s="831" t="s">
        <v>549</v>
      </c>
      <c r="AI18659" s="831">
        <v>0</v>
      </c>
      <c r="AJ18659" s="835">
        <v>41394</v>
      </c>
      <c r="AK18659" s="831">
        <v>0</v>
      </c>
    </row>
    <row r="18660" spans="2:37">
      <c r="B18660" s="834" t="str">
        <f t="shared" si="663"/>
        <v>|||</v>
      </c>
      <c r="H18660" s="835">
        <f t="shared" si="664"/>
        <v>31</v>
      </c>
      <c r="AF18660" s="831" t="s">
        <v>10859</v>
      </c>
      <c r="AG18660" s="831" t="s">
        <v>2674</v>
      </c>
      <c r="AH18660" s="831" t="s">
        <v>192</v>
      </c>
      <c r="AI18660" s="831">
        <v>0</v>
      </c>
      <c r="AJ18660" s="835">
        <v>41394</v>
      </c>
      <c r="AK18660" s="831">
        <v>-12137335</v>
      </c>
    </row>
    <row r="18661" spans="2:37">
      <c r="B18661" s="834" t="str">
        <f t="shared" si="663"/>
        <v>|||</v>
      </c>
      <c r="H18661" s="835">
        <f t="shared" si="664"/>
        <v>31</v>
      </c>
      <c r="AF18661" s="831" t="s">
        <v>10860</v>
      </c>
      <c r="AG18661" s="831" t="s">
        <v>2674</v>
      </c>
      <c r="AH18661" s="831" t="s">
        <v>558</v>
      </c>
      <c r="AI18661" s="831">
        <v>0</v>
      </c>
      <c r="AJ18661" s="835">
        <v>41394</v>
      </c>
      <c r="AK18661" s="831">
        <v>463001517</v>
      </c>
    </row>
    <row r="18662" spans="2:37">
      <c r="B18662" s="834" t="str">
        <f t="shared" si="663"/>
        <v>|||</v>
      </c>
      <c r="H18662" s="835">
        <f t="shared" si="664"/>
        <v>31</v>
      </c>
      <c r="AF18662" s="831" t="s">
        <v>10861</v>
      </c>
      <c r="AG18662" s="831" t="s">
        <v>2674</v>
      </c>
      <c r="AH18662" s="831" t="s">
        <v>65</v>
      </c>
      <c r="AI18662" s="831">
        <v>0</v>
      </c>
      <c r="AJ18662" s="835">
        <v>41394</v>
      </c>
      <c r="AK18662" s="831">
        <v>38829477</v>
      </c>
    </row>
    <row r="18663" spans="2:37">
      <c r="B18663" s="834" t="str">
        <f t="shared" si="663"/>
        <v>|||</v>
      </c>
      <c r="H18663" s="835">
        <f t="shared" si="664"/>
        <v>31</v>
      </c>
      <c r="AF18663" s="831" t="s">
        <v>10862</v>
      </c>
      <c r="AG18663" s="831" t="s">
        <v>2674</v>
      </c>
      <c r="AH18663" s="831" t="s">
        <v>89</v>
      </c>
      <c r="AI18663" s="831">
        <v>0</v>
      </c>
      <c r="AJ18663" s="835">
        <v>41394</v>
      </c>
      <c r="AK18663" s="831">
        <v>132126</v>
      </c>
    </row>
    <row r="18664" spans="2:37">
      <c r="B18664" s="834" t="str">
        <f t="shared" si="663"/>
        <v>|||</v>
      </c>
      <c r="H18664" s="835">
        <f t="shared" si="664"/>
        <v>31</v>
      </c>
      <c r="AF18664" s="831" t="s">
        <v>10863</v>
      </c>
      <c r="AG18664" s="831" t="s">
        <v>2674</v>
      </c>
      <c r="AH18664" s="831" t="s">
        <v>557</v>
      </c>
      <c r="AI18664" s="831">
        <v>0</v>
      </c>
      <c r="AJ18664" s="835">
        <v>41394</v>
      </c>
      <c r="AK18664" s="831">
        <v>135969</v>
      </c>
    </row>
    <row r="18665" spans="2:37">
      <c r="B18665" s="834" t="str">
        <f t="shared" si="663"/>
        <v>|||</v>
      </c>
      <c r="H18665" s="835">
        <f t="shared" si="664"/>
        <v>31</v>
      </c>
      <c r="AF18665" s="831" t="s">
        <v>10864</v>
      </c>
      <c r="AG18665" s="831" t="s">
        <v>2674</v>
      </c>
      <c r="AH18665" s="831" t="s">
        <v>29</v>
      </c>
      <c r="AI18665" s="831">
        <v>0</v>
      </c>
      <c r="AJ18665" s="835">
        <v>41394</v>
      </c>
      <c r="AK18665" s="831">
        <v>3183810</v>
      </c>
    </row>
    <row r="18666" spans="2:37">
      <c r="B18666" s="834" t="str">
        <f t="shared" si="663"/>
        <v>|||</v>
      </c>
      <c r="H18666" s="835">
        <f t="shared" si="664"/>
        <v>31</v>
      </c>
      <c r="AF18666" s="831" t="s">
        <v>10865</v>
      </c>
      <c r="AG18666" s="831" t="s">
        <v>2674</v>
      </c>
      <c r="AH18666" s="831" t="s">
        <v>2688</v>
      </c>
      <c r="AI18666" s="831">
        <v>0</v>
      </c>
      <c r="AJ18666" s="835">
        <v>41394</v>
      </c>
      <c r="AK18666" s="831">
        <v>2795249</v>
      </c>
    </row>
    <row r="18667" spans="2:37">
      <c r="B18667" s="834" t="str">
        <f t="shared" si="663"/>
        <v>|||</v>
      </c>
      <c r="H18667" s="835">
        <f t="shared" si="664"/>
        <v>31</v>
      </c>
      <c r="AF18667" s="831" t="s">
        <v>10866</v>
      </c>
      <c r="AG18667" s="831" t="s">
        <v>2674</v>
      </c>
      <c r="AH18667" s="831" t="s">
        <v>556</v>
      </c>
      <c r="AI18667" s="831">
        <v>0</v>
      </c>
      <c r="AJ18667" s="835">
        <v>41394</v>
      </c>
      <c r="AK18667" s="831">
        <v>902857</v>
      </c>
    </row>
    <row r="18668" spans="2:37">
      <c r="B18668" s="834" t="str">
        <f t="shared" si="663"/>
        <v>|||</v>
      </c>
      <c r="H18668" s="835">
        <f t="shared" si="664"/>
        <v>31</v>
      </c>
      <c r="AF18668" s="831" t="s">
        <v>10867</v>
      </c>
      <c r="AG18668" s="831" t="s">
        <v>2674</v>
      </c>
      <c r="AH18668" s="831" t="s">
        <v>555</v>
      </c>
      <c r="AI18668" s="831">
        <v>0</v>
      </c>
      <c r="AJ18668" s="835">
        <v>41394</v>
      </c>
      <c r="AK18668" s="831">
        <v>292199280</v>
      </c>
    </row>
    <row r="18669" spans="2:37">
      <c r="B18669" s="834" t="str">
        <f t="shared" si="663"/>
        <v>|||</v>
      </c>
      <c r="H18669" s="835">
        <f t="shared" si="664"/>
        <v>31</v>
      </c>
      <c r="AF18669" s="831" t="s">
        <v>10868</v>
      </c>
      <c r="AG18669" s="831" t="s">
        <v>2674</v>
      </c>
      <c r="AH18669" s="831" t="s">
        <v>554</v>
      </c>
      <c r="AI18669" s="831">
        <v>0</v>
      </c>
      <c r="AJ18669" s="835">
        <v>41394</v>
      </c>
      <c r="AK18669" s="831">
        <v>282835760</v>
      </c>
    </row>
    <row r="18670" spans="2:37">
      <c r="B18670" s="834" t="str">
        <f t="shared" si="663"/>
        <v>|||</v>
      </c>
      <c r="H18670" s="835">
        <f t="shared" si="664"/>
        <v>31</v>
      </c>
      <c r="AF18670" s="831" t="s">
        <v>10869</v>
      </c>
      <c r="AG18670" s="831" t="s">
        <v>2674</v>
      </c>
      <c r="AH18670" s="831" t="s">
        <v>553</v>
      </c>
      <c r="AI18670" s="831">
        <v>0</v>
      </c>
      <c r="AJ18670" s="835">
        <v>41394</v>
      </c>
      <c r="AK18670" s="831">
        <v>0</v>
      </c>
    </row>
    <row r="18671" spans="2:37">
      <c r="B18671" s="834" t="str">
        <f t="shared" si="663"/>
        <v>|||</v>
      </c>
      <c r="H18671" s="835">
        <f t="shared" si="664"/>
        <v>31</v>
      </c>
      <c r="AF18671" s="831" t="s">
        <v>10870</v>
      </c>
      <c r="AG18671" s="831" t="s">
        <v>2674</v>
      </c>
      <c r="AH18671" s="831" t="s">
        <v>552</v>
      </c>
      <c r="AI18671" s="831">
        <v>0</v>
      </c>
      <c r="AJ18671" s="835">
        <v>41394</v>
      </c>
      <c r="AK18671" s="831">
        <v>0</v>
      </c>
    </row>
    <row r="18672" spans="2:37">
      <c r="B18672" s="834" t="str">
        <f t="shared" si="663"/>
        <v>|||</v>
      </c>
      <c r="H18672" s="835">
        <f t="shared" si="664"/>
        <v>31</v>
      </c>
      <c r="AF18672" s="831" t="s">
        <v>10871</v>
      </c>
      <c r="AG18672" s="831" t="s">
        <v>2674</v>
      </c>
      <c r="AH18672" s="831" t="s">
        <v>551</v>
      </c>
      <c r="AI18672" s="831">
        <v>0</v>
      </c>
      <c r="AJ18672" s="835">
        <v>41394</v>
      </c>
      <c r="AK18672" s="831">
        <v>3073568</v>
      </c>
    </row>
    <row r="18673" spans="2:37">
      <c r="B18673" s="834" t="str">
        <f t="shared" si="663"/>
        <v>|||</v>
      </c>
      <c r="H18673" s="835">
        <f t="shared" si="664"/>
        <v>31</v>
      </c>
      <c r="AF18673" s="831" t="s">
        <v>10872</v>
      </c>
      <c r="AG18673" s="831" t="s">
        <v>2674</v>
      </c>
      <c r="AH18673" s="831" t="s">
        <v>550</v>
      </c>
      <c r="AI18673" s="831">
        <v>0</v>
      </c>
      <c r="AJ18673" s="835">
        <v>41394</v>
      </c>
      <c r="AK18673" s="831">
        <v>100809389</v>
      </c>
    </row>
    <row r="18674" spans="2:37">
      <c r="B18674" s="834" t="str">
        <f t="shared" si="663"/>
        <v>|||</v>
      </c>
      <c r="H18674" s="835">
        <f t="shared" si="664"/>
        <v>31</v>
      </c>
      <c r="AF18674" s="831" t="s">
        <v>10873</v>
      </c>
      <c r="AG18674" s="831" t="s">
        <v>2674</v>
      </c>
      <c r="AH18674" s="831" t="s">
        <v>562</v>
      </c>
      <c r="AI18674" s="831">
        <v>0</v>
      </c>
      <c r="AJ18674" s="835">
        <v>41394</v>
      </c>
      <c r="AK18674" s="831">
        <v>0.78405000000000002</v>
      </c>
    </row>
    <row r="18675" spans="2:37">
      <c r="B18675" s="834" t="str">
        <f t="shared" si="663"/>
        <v>|||</v>
      </c>
      <c r="H18675" s="835">
        <f t="shared" si="664"/>
        <v>31</v>
      </c>
      <c r="AF18675" s="831" t="s">
        <v>10874</v>
      </c>
      <c r="AG18675" s="831" t="s">
        <v>2674</v>
      </c>
      <c r="AH18675" s="831" t="s">
        <v>2698</v>
      </c>
      <c r="AI18675" s="831">
        <v>0</v>
      </c>
      <c r="AJ18675" s="835">
        <v>41394</v>
      </c>
      <c r="AK18675" s="831">
        <v>0.78425</v>
      </c>
    </row>
    <row r="18676" spans="2:37">
      <c r="B18676" s="834" t="str">
        <f t="shared" si="663"/>
        <v>|||</v>
      </c>
      <c r="H18676" s="835">
        <f t="shared" si="664"/>
        <v>31</v>
      </c>
      <c r="AF18676" s="831" t="s">
        <v>10875</v>
      </c>
      <c r="AG18676" s="831" t="s">
        <v>2674</v>
      </c>
      <c r="AH18676" s="831" t="s">
        <v>560</v>
      </c>
      <c r="AI18676" s="831">
        <v>0</v>
      </c>
      <c r="AJ18676" s="835">
        <v>41394</v>
      </c>
      <c r="AK18676" s="831">
        <v>0.78412500000000007</v>
      </c>
    </row>
    <row r="18677" spans="2:37">
      <c r="B18677" s="834" t="str">
        <f t="shared" si="663"/>
        <v>|||</v>
      </c>
      <c r="H18677" s="835">
        <f t="shared" si="664"/>
        <v>31</v>
      </c>
      <c r="AF18677" s="831" t="s">
        <v>10876</v>
      </c>
      <c r="AG18677" s="831" t="s">
        <v>2674</v>
      </c>
      <c r="AH18677" s="831" t="s">
        <v>559</v>
      </c>
      <c r="AI18677" s="831">
        <v>0</v>
      </c>
      <c r="AJ18677" s="835">
        <v>41394</v>
      </c>
      <c r="AK18677" s="831">
        <v>0.78444166666666681</v>
      </c>
    </row>
    <row r="18678" spans="2:37">
      <c r="B18678" s="834" t="str">
        <f t="shared" si="663"/>
        <v>|||</v>
      </c>
      <c r="H18678" s="835">
        <f t="shared" si="664"/>
        <v>31</v>
      </c>
      <c r="AF18678" s="831" t="s">
        <v>10877</v>
      </c>
      <c r="AG18678" s="831" t="s">
        <v>2674</v>
      </c>
      <c r="AH18678" s="831" t="s">
        <v>568</v>
      </c>
      <c r="AI18678" s="831">
        <v>0</v>
      </c>
      <c r="AJ18678" s="835">
        <v>41394</v>
      </c>
      <c r="AK18678" s="831">
        <v>394769770.66666669</v>
      </c>
    </row>
    <row r="18679" spans="2:37">
      <c r="B18679" s="834" t="str">
        <f t="shared" si="663"/>
        <v>|||</v>
      </c>
      <c r="H18679" s="835">
        <f t="shared" si="664"/>
        <v>31</v>
      </c>
      <c r="AF18679" s="831" t="s">
        <v>10878</v>
      </c>
      <c r="AG18679" s="831" t="s">
        <v>2674</v>
      </c>
      <c r="AH18679" s="831" t="s">
        <v>569</v>
      </c>
      <c r="AI18679" s="831">
        <v>0</v>
      </c>
      <c r="AJ18679" s="835">
        <v>41394</v>
      </c>
      <c r="AK18679" s="831">
        <v>480682736.41666669</v>
      </c>
    </row>
    <row r="18680" spans="2:37">
      <c r="B18680" s="834" t="str">
        <f t="shared" si="663"/>
        <v>|||</v>
      </c>
      <c r="H18680" s="835">
        <f t="shared" si="664"/>
        <v>31</v>
      </c>
      <c r="AF18680" s="831" t="s">
        <v>10879</v>
      </c>
      <c r="AG18680" s="831" t="s">
        <v>2674</v>
      </c>
      <c r="AH18680" s="831" t="s">
        <v>570</v>
      </c>
      <c r="AI18680" s="831">
        <v>0</v>
      </c>
      <c r="AJ18680" s="835">
        <v>41394</v>
      </c>
      <c r="AK18680" s="831">
        <v>97541596.583333328</v>
      </c>
    </row>
    <row r="18681" spans="2:37">
      <c r="B18681" s="834" t="str">
        <f t="shared" si="663"/>
        <v>|||</v>
      </c>
      <c r="H18681" s="835">
        <f t="shared" si="664"/>
        <v>31</v>
      </c>
      <c r="AF18681" s="831" t="s">
        <v>10880</v>
      </c>
      <c r="AG18681" s="831" t="s">
        <v>2674</v>
      </c>
      <c r="AH18681" s="831" t="s">
        <v>571</v>
      </c>
      <c r="AI18681" s="831">
        <v>0</v>
      </c>
      <c r="AJ18681" s="835">
        <v>41394</v>
      </c>
      <c r="AK18681" s="831">
        <v>202392383.16666666</v>
      </c>
    </row>
    <row r="18682" spans="2:37">
      <c r="B18682" s="834" t="str">
        <f t="shared" si="663"/>
        <v>|||</v>
      </c>
      <c r="H18682" s="835">
        <f t="shared" si="664"/>
        <v>31</v>
      </c>
      <c r="AF18682" s="831" t="s">
        <v>10881</v>
      </c>
      <c r="AG18682" s="831" t="s">
        <v>2674</v>
      </c>
      <c r="AH18682" s="831" t="s">
        <v>573</v>
      </c>
      <c r="AI18682" s="831">
        <v>0</v>
      </c>
      <c r="AJ18682" s="835">
        <v>41394</v>
      </c>
      <c r="AK18682" s="831">
        <v>532827178</v>
      </c>
    </row>
    <row r="18683" spans="2:37">
      <c r="B18683" s="834" t="str">
        <f t="shared" si="663"/>
        <v>|||</v>
      </c>
      <c r="H18683" s="835">
        <f t="shared" si="664"/>
        <v>31</v>
      </c>
      <c r="AF18683" s="831" t="s">
        <v>10882</v>
      </c>
      <c r="AG18683" s="831" t="s">
        <v>2674</v>
      </c>
      <c r="AH18683" s="831" t="s">
        <v>574</v>
      </c>
      <c r="AI18683" s="831">
        <v>0</v>
      </c>
      <c r="AJ18683" s="835">
        <v>41394</v>
      </c>
      <c r="AK18683" s="831">
        <v>441082974.60000002</v>
      </c>
    </row>
    <row r="18684" spans="2:37">
      <c r="B18684" s="834" t="str">
        <f t="shared" si="663"/>
        <v>|||</v>
      </c>
      <c r="H18684" s="835">
        <f t="shared" si="664"/>
        <v>31</v>
      </c>
      <c r="AF18684" s="831" t="s">
        <v>10883</v>
      </c>
      <c r="AG18684" s="831" t="s">
        <v>2674</v>
      </c>
      <c r="AH18684" s="831" t="s">
        <v>575</v>
      </c>
      <c r="AI18684" s="831">
        <v>0</v>
      </c>
      <c r="AJ18684" s="835">
        <v>41394</v>
      </c>
      <c r="AK18684" s="831">
        <v>100152884.2</v>
      </c>
    </row>
    <row r="18685" spans="2:37">
      <c r="B18685" s="834" t="str">
        <f t="shared" si="663"/>
        <v>|||</v>
      </c>
      <c r="H18685" s="835">
        <f t="shared" si="664"/>
        <v>31</v>
      </c>
      <c r="AF18685" s="831" t="s">
        <v>10884</v>
      </c>
      <c r="AG18685" s="831" t="s">
        <v>2674</v>
      </c>
      <c r="AH18685" s="831" t="s">
        <v>576</v>
      </c>
      <c r="AI18685" s="831">
        <v>0</v>
      </c>
      <c r="AJ18685" s="835">
        <v>41394</v>
      </c>
      <c r="AK18685" s="831">
        <v>241749896</v>
      </c>
    </row>
    <row r="18686" spans="2:37">
      <c r="B18686" s="834" t="str">
        <f t="shared" si="663"/>
        <v>|||</v>
      </c>
      <c r="H18686" s="835">
        <f t="shared" si="664"/>
        <v>31</v>
      </c>
      <c r="AF18686" s="831" t="s">
        <v>10885</v>
      </c>
      <c r="AG18686" s="831" t="s">
        <v>2674</v>
      </c>
      <c r="AH18686" s="831" t="s">
        <v>572</v>
      </c>
      <c r="AI18686" s="831">
        <v>0</v>
      </c>
      <c r="AJ18686" s="835">
        <v>41394</v>
      </c>
      <c r="AK18686" s="831">
        <v>24404594</v>
      </c>
    </row>
    <row r="18687" spans="2:37">
      <c r="B18687" s="834" t="str">
        <f t="shared" si="663"/>
        <v>|||</v>
      </c>
      <c r="H18687" s="835">
        <f t="shared" si="664"/>
        <v>31</v>
      </c>
      <c r="AF18687" s="831" t="s">
        <v>10886</v>
      </c>
      <c r="AG18687" s="831" t="s">
        <v>2674</v>
      </c>
      <c r="AH18687" s="831" t="s">
        <v>577</v>
      </c>
      <c r="AI18687" s="831">
        <v>0</v>
      </c>
      <c r="AJ18687" s="835">
        <v>41394</v>
      </c>
      <c r="AK18687" s="831">
        <v>137705857</v>
      </c>
    </row>
    <row r="18688" spans="2:37">
      <c r="B18688" s="834" t="str">
        <f t="shared" si="663"/>
        <v>|||</v>
      </c>
      <c r="H18688" s="835">
        <f t="shared" si="664"/>
        <v>31</v>
      </c>
      <c r="AF18688" s="831" t="s">
        <v>10887</v>
      </c>
      <c r="AG18688" s="831" t="s">
        <v>2674</v>
      </c>
      <c r="AH18688" s="831" t="s">
        <v>3042</v>
      </c>
      <c r="AI18688" s="831">
        <v>0</v>
      </c>
      <c r="AJ18688" s="835">
        <v>41394</v>
      </c>
      <c r="AK18688" s="831">
        <v>-34403926</v>
      </c>
    </row>
    <row r="18689" spans="2:37">
      <c r="B18689" s="834" t="str">
        <f t="shared" si="663"/>
        <v>|||</v>
      </c>
      <c r="H18689" s="835">
        <f t="shared" si="664"/>
        <v>31</v>
      </c>
      <c r="AF18689" s="831" t="s">
        <v>10888</v>
      </c>
      <c r="AG18689" s="831" t="s">
        <v>2674</v>
      </c>
      <c r="AH18689" s="831" t="s">
        <v>3044</v>
      </c>
      <c r="AI18689" s="831">
        <v>0</v>
      </c>
      <c r="AJ18689" s="835">
        <v>41394</v>
      </c>
      <c r="AK18689" s="831">
        <v>-4759976</v>
      </c>
    </row>
    <row r="18690" spans="2:37">
      <c r="B18690" s="834" t="str">
        <f t="shared" si="663"/>
        <v>|||</v>
      </c>
      <c r="H18690" s="835">
        <f t="shared" si="664"/>
        <v>31</v>
      </c>
      <c r="AF18690" s="831" t="s">
        <v>10889</v>
      </c>
      <c r="AG18690" s="831" t="s">
        <v>2674</v>
      </c>
      <c r="AH18690" s="831" t="s">
        <v>580</v>
      </c>
      <c r="AI18690" s="831">
        <v>0</v>
      </c>
      <c r="AJ18690" s="835">
        <v>41394</v>
      </c>
      <c r="AK18690" s="831">
        <v>-71824276</v>
      </c>
    </row>
    <row r="18691" spans="2:37">
      <c r="B18691" s="834" t="str">
        <f t="shared" si="663"/>
        <v>|||</v>
      </c>
      <c r="H18691" s="835">
        <f t="shared" si="664"/>
        <v>31</v>
      </c>
      <c r="AF18691" s="831" t="s">
        <v>10890</v>
      </c>
      <c r="AG18691" s="831" t="s">
        <v>2674</v>
      </c>
      <c r="AH18691" s="831" t="s">
        <v>581</v>
      </c>
      <c r="AI18691" s="831">
        <v>0</v>
      </c>
      <c r="AJ18691" s="835">
        <v>41394</v>
      </c>
      <c r="AK18691" s="831">
        <v>4094604</v>
      </c>
    </row>
    <row r="18692" spans="2:37">
      <c r="B18692" s="834" t="str">
        <f t="shared" si="663"/>
        <v>|||</v>
      </c>
      <c r="H18692" s="835">
        <f t="shared" si="664"/>
        <v>31</v>
      </c>
      <c r="AF18692" s="831" t="s">
        <v>10891</v>
      </c>
      <c r="AG18692" s="831" t="s">
        <v>2674</v>
      </c>
      <c r="AH18692" s="831" t="s">
        <v>105</v>
      </c>
      <c r="AI18692" s="831">
        <v>0</v>
      </c>
      <c r="AJ18692" s="835">
        <v>41394</v>
      </c>
      <c r="AK18692" s="831">
        <v>256750039</v>
      </c>
    </row>
    <row r="18693" spans="2:37">
      <c r="B18693" s="834" t="str">
        <f t="shared" si="663"/>
        <v>|||</v>
      </c>
      <c r="H18693" s="835">
        <f t="shared" si="664"/>
        <v>31</v>
      </c>
      <c r="AF18693" s="831" t="s">
        <v>10892</v>
      </c>
      <c r="AG18693" s="831" t="s">
        <v>2674</v>
      </c>
      <c r="AH18693" s="831" t="s">
        <v>3049</v>
      </c>
      <c r="AI18693" s="831">
        <v>0</v>
      </c>
      <c r="AJ18693" s="835">
        <v>41394</v>
      </c>
      <c r="AK18693" s="831">
        <v>448399148</v>
      </c>
    </row>
    <row r="18694" spans="2:37">
      <c r="B18694" s="834" t="str">
        <f t="shared" si="663"/>
        <v>|||</v>
      </c>
      <c r="H18694" s="835">
        <f t="shared" si="664"/>
        <v>31</v>
      </c>
      <c r="AF18694" s="831" t="s">
        <v>10893</v>
      </c>
      <c r="AG18694" s="831" t="s">
        <v>2674</v>
      </c>
      <c r="AH18694" s="831" t="s">
        <v>103</v>
      </c>
      <c r="AI18694" s="831">
        <v>0</v>
      </c>
      <c r="AJ18694" s="835">
        <v>41394</v>
      </c>
      <c r="AK18694" s="831">
        <v>191649109</v>
      </c>
    </row>
    <row r="18695" spans="2:37">
      <c r="B18695" s="834" t="str">
        <f t="shared" si="663"/>
        <v>|||</v>
      </c>
      <c r="H18695" s="835">
        <f t="shared" si="664"/>
        <v>31</v>
      </c>
      <c r="AF18695" s="831" t="s">
        <v>10894</v>
      </c>
      <c r="AG18695" s="831" t="s">
        <v>2674</v>
      </c>
      <c r="AH18695" s="831" t="s">
        <v>182</v>
      </c>
      <c r="AI18695" s="831">
        <v>0</v>
      </c>
      <c r="AJ18695" s="835">
        <v>41394</v>
      </c>
      <c r="AK18695" s="831">
        <v>55518615</v>
      </c>
    </row>
    <row r="18696" spans="2:37">
      <c r="B18696" s="834" t="str">
        <f t="shared" si="663"/>
        <v>|||</v>
      </c>
      <c r="H18696" s="835">
        <f t="shared" si="664"/>
        <v>31</v>
      </c>
      <c r="AF18696" s="831" t="s">
        <v>10895</v>
      </c>
      <c r="AG18696" s="831" t="s">
        <v>2674</v>
      </c>
      <c r="AH18696" s="831" t="s">
        <v>6600</v>
      </c>
      <c r="AI18696" s="831">
        <v>0</v>
      </c>
      <c r="AJ18696" s="835">
        <v>41394</v>
      </c>
      <c r="AK18696" s="831">
        <v>24404594</v>
      </c>
    </row>
    <row r="18697" spans="2:37">
      <c r="B18697" s="834" t="str">
        <f t="shared" si="663"/>
        <v>|||</v>
      </c>
      <c r="H18697" s="835">
        <f t="shared" si="664"/>
        <v>31</v>
      </c>
      <c r="AF18697" s="831" t="s">
        <v>10896</v>
      </c>
      <c r="AG18697" s="831" t="s">
        <v>2674</v>
      </c>
      <c r="AH18697" s="831" t="s">
        <v>6602</v>
      </c>
      <c r="AI18697" s="831">
        <v>0</v>
      </c>
      <c r="AJ18697" s="835">
        <v>41394</v>
      </c>
      <c r="AK18697" s="831">
        <v>8564643</v>
      </c>
    </row>
    <row r="18698" spans="2:37">
      <c r="B18698" s="834" t="str">
        <f t="shared" si="663"/>
        <v>|||</v>
      </c>
      <c r="H18698" s="835">
        <f t="shared" si="664"/>
        <v>31</v>
      </c>
      <c r="AF18698" s="831" t="s">
        <v>10897</v>
      </c>
      <c r="AG18698" s="831" t="s">
        <v>2674</v>
      </c>
      <c r="AH18698" s="831" t="s">
        <v>650</v>
      </c>
      <c r="AI18698" s="831">
        <v>0</v>
      </c>
      <c r="AJ18698" s="835">
        <v>41394</v>
      </c>
      <c r="AK18698" s="831">
        <v>167561680.58333334</v>
      </c>
    </row>
    <row r="18699" spans="2:37">
      <c r="B18699" s="834" t="str">
        <f t="shared" si="663"/>
        <v>|||</v>
      </c>
      <c r="H18699" s="835">
        <f t="shared" si="664"/>
        <v>31</v>
      </c>
      <c r="AF18699" s="831" t="s">
        <v>10898</v>
      </c>
      <c r="AG18699" s="831" t="s">
        <v>2674</v>
      </c>
      <c r="AH18699" s="831" t="s">
        <v>655</v>
      </c>
      <c r="AI18699" s="831">
        <v>0</v>
      </c>
      <c r="AJ18699" s="835">
        <v>41394</v>
      </c>
      <c r="AK18699" s="831">
        <v>2577725</v>
      </c>
    </row>
    <row r="18700" spans="2:37">
      <c r="B18700" s="834" t="str">
        <f t="shared" si="663"/>
        <v>|||</v>
      </c>
      <c r="H18700" s="835">
        <f t="shared" si="664"/>
        <v>31</v>
      </c>
      <c r="AF18700" s="831" t="s">
        <v>10899</v>
      </c>
      <c r="AG18700" s="831" t="s">
        <v>2674</v>
      </c>
      <c r="AH18700" s="831" t="s">
        <v>546</v>
      </c>
      <c r="AI18700" s="831">
        <v>0</v>
      </c>
      <c r="AJ18700" s="835">
        <v>41425</v>
      </c>
      <c r="AK18700" s="831">
        <v>505264542</v>
      </c>
    </row>
    <row r="18701" spans="2:37">
      <c r="B18701" s="834" t="str">
        <f t="shared" si="663"/>
        <v>|||</v>
      </c>
      <c r="H18701" s="835">
        <f t="shared" si="664"/>
        <v>31</v>
      </c>
      <c r="AF18701" s="831" t="s">
        <v>10900</v>
      </c>
      <c r="AG18701" s="831" t="s">
        <v>2674</v>
      </c>
      <c r="AH18701" s="831" t="s">
        <v>370</v>
      </c>
      <c r="AI18701" s="831">
        <v>0</v>
      </c>
      <c r="AJ18701" s="835">
        <v>41425</v>
      </c>
      <c r="AK18701" s="831">
        <v>595292976</v>
      </c>
    </row>
    <row r="18702" spans="2:37">
      <c r="B18702" s="834" t="str">
        <f t="shared" si="663"/>
        <v>|||</v>
      </c>
      <c r="H18702" s="835">
        <f t="shared" si="664"/>
        <v>31</v>
      </c>
      <c r="AF18702" s="831" t="s">
        <v>10901</v>
      </c>
      <c r="AG18702" s="831" t="s">
        <v>2674</v>
      </c>
      <c r="AH18702" s="831" t="s">
        <v>126</v>
      </c>
      <c r="AI18702" s="831">
        <v>0</v>
      </c>
      <c r="AJ18702" s="835">
        <v>41425</v>
      </c>
      <c r="AK18702" s="831">
        <v>105651356</v>
      </c>
    </row>
    <row r="18703" spans="2:37">
      <c r="B18703" s="834" t="str">
        <f t="shared" si="663"/>
        <v>|||</v>
      </c>
      <c r="H18703" s="835">
        <f t="shared" si="664"/>
        <v>31</v>
      </c>
      <c r="AF18703" s="831" t="s">
        <v>10902</v>
      </c>
      <c r="AG18703" s="831" t="s">
        <v>2674</v>
      </c>
      <c r="AH18703" s="831" t="s">
        <v>268</v>
      </c>
      <c r="AI18703" s="831">
        <v>0</v>
      </c>
      <c r="AJ18703" s="835">
        <v>41425</v>
      </c>
      <c r="AK18703" s="831">
        <v>10888133</v>
      </c>
    </row>
    <row r="18704" spans="2:37">
      <c r="B18704" s="834" t="str">
        <f t="shared" si="663"/>
        <v>|||</v>
      </c>
      <c r="H18704" s="835">
        <f t="shared" si="664"/>
        <v>31</v>
      </c>
      <c r="AF18704" s="831" t="s">
        <v>10903</v>
      </c>
      <c r="AG18704" s="831" t="s">
        <v>2674</v>
      </c>
      <c r="AH18704" s="831" t="s">
        <v>547</v>
      </c>
      <c r="AI18704" s="831">
        <v>0</v>
      </c>
      <c r="AJ18704" s="835">
        <v>41425</v>
      </c>
      <c r="AK18704" s="831">
        <v>511487760</v>
      </c>
    </row>
    <row r="18705" spans="2:37">
      <c r="B18705" s="834" t="str">
        <f t="shared" ref="B18705:B18768" si="665">C18705&amp;"|"&amp;D18705&amp;"|"&amp;E18705&amp;"|"&amp;F18705</f>
        <v>|||</v>
      </c>
      <c r="H18705" s="835">
        <f t="shared" ref="H18705:H18768" si="666">EOMONTH(L18705,0)</f>
        <v>31</v>
      </c>
      <c r="AF18705" s="831" t="s">
        <v>10904</v>
      </c>
      <c r="AG18705" s="831" t="s">
        <v>2674</v>
      </c>
      <c r="AH18705" s="831" t="s">
        <v>548</v>
      </c>
      <c r="AI18705" s="831">
        <v>0</v>
      </c>
      <c r="AJ18705" s="835">
        <v>41425</v>
      </c>
      <c r="AK18705" s="831">
        <v>96883184</v>
      </c>
    </row>
    <row r="18706" spans="2:37">
      <c r="B18706" s="834" t="str">
        <f t="shared" si="665"/>
        <v>|||</v>
      </c>
      <c r="H18706" s="835">
        <f t="shared" si="666"/>
        <v>31</v>
      </c>
      <c r="AF18706" s="831" t="s">
        <v>10905</v>
      </c>
      <c r="AG18706" s="831" t="s">
        <v>2674</v>
      </c>
      <c r="AH18706" s="831" t="s">
        <v>549</v>
      </c>
      <c r="AI18706" s="831">
        <v>0</v>
      </c>
      <c r="AJ18706" s="835">
        <v>41425</v>
      </c>
      <c r="AK18706" s="831">
        <v>339221349</v>
      </c>
    </row>
    <row r="18707" spans="2:37">
      <c r="B18707" s="834" t="str">
        <f t="shared" si="665"/>
        <v>|||</v>
      </c>
      <c r="H18707" s="835">
        <f t="shared" si="666"/>
        <v>31</v>
      </c>
      <c r="AF18707" s="831" t="s">
        <v>10906</v>
      </c>
      <c r="AG18707" s="831" t="s">
        <v>2674</v>
      </c>
      <c r="AH18707" s="831" t="s">
        <v>192</v>
      </c>
      <c r="AI18707" s="831">
        <v>0</v>
      </c>
      <c r="AJ18707" s="835">
        <v>41425</v>
      </c>
      <c r="AK18707" s="831">
        <v>-12896676</v>
      </c>
    </row>
    <row r="18708" spans="2:37">
      <c r="B18708" s="834" t="str">
        <f t="shared" si="665"/>
        <v>|||</v>
      </c>
      <c r="H18708" s="835">
        <f t="shared" si="666"/>
        <v>31</v>
      </c>
      <c r="AF18708" s="831" t="s">
        <v>10907</v>
      </c>
      <c r="AG18708" s="831" t="s">
        <v>2674</v>
      </c>
      <c r="AH18708" s="831" t="s">
        <v>558</v>
      </c>
      <c r="AI18708" s="831">
        <v>0</v>
      </c>
      <c r="AJ18708" s="835">
        <v>41425</v>
      </c>
      <c r="AK18708" s="831">
        <v>489641620</v>
      </c>
    </row>
    <row r="18709" spans="2:37">
      <c r="B18709" s="834" t="str">
        <f t="shared" si="665"/>
        <v>|||</v>
      </c>
      <c r="H18709" s="835">
        <f t="shared" si="666"/>
        <v>31</v>
      </c>
      <c r="AF18709" s="831" t="s">
        <v>10908</v>
      </c>
      <c r="AG18709" s="831" t="s">
        <v>2674</v>
      </c>
      <c r="AH18709" s="831" t="s">
        <v>65</v>
      </c>
      <c r="AI18709" s="831">
        <v>0</v>
      </c>
      <c r="AJ18709" s="835">
        <v>41425</v>
      </c>
      <c r="AK18709" s="831">
        <v>49637231</v>
      </c>
    </row>
    <row r="18710" spans="2:37">
      <c r="B18710" s="834" t="str">
        <f t="shared" si="665"/>
        <v>|||</v>
      </c>
      <c r="H18710" s="835">
        <f t="shared" si="666"/>
        <v>31</v>
      </c>
      <c r="AF18710" s="831" t="s">
        <v>10909</v>
      </c>
      <c r="AG18710" s="831" t="s">
        <v>2674</v>
      </c>
      <c r="AH18710" s="831" t="s">
        <v>89</v>
      </c>
      <c r="AI18710" s="831">
        <v>0</v>
      </c>
      <c r="AJ18710" s="835">
        <v>41425</v>
      </c>
      <c r="AK18710" s="831">
        <v>135204</v>
      </c>
    </row>
    <row r="18711" spans="2:37">
      <c r="B18711" s="834" t="str">
        <f t="shared" si="665"/>
        <v>|||</v>
      </c>
      <c r="H18711" s="835">
        <f t="shared" si="666"/>
        <v>31</v>
      </c>
      <c r="AF18711" s="831" t="s">
        <v>10910</v>
      </c>
      <c r="AG18711" s="831" t="s">
        <v>2674</v>
      </c>
      <c r="AH18711" s="831" t="s">
        <v>557</v>
      </c>
      <c r="AI18711" s="831">
        <v>0</v>
      </c>
      <c r="AJ18711" s="835">
        <v>41425</v>
      </c>
      <c r="AK18711" s="831">
        <v>139930</v>
      </c>
    </row>
    <row r="18712" spans="2:37">
      <c r="B18712" s="834" t="str">
        <f t="shared" si="665"/>
        <v>|||</v>
      </c>
      <c r="H18712" s="835">
        <f t="shared" si="666"/>
        <v>31</v>
      </c>
      <c r="AF18712" s="831" t="s">
        <v>10911</v>
      </c>
      <c r="AG18712" s="831" t="s">
        <v>2674</v>
      </c>
      <c r="AH18712" s="831" t="s">
        <v>29</v>
      </c>
      <c r="AI18712" s="831">
        <v>0</v>
      </c>
      <c r="AJ18712" s="835">
        <v>41425</v>
      </c>
      <c r="AK18712" s="831">
        <v>2486253</v>
      </c>
    </row>
    <row r="18713" spans="2:37">
      <c r="B18713" s="834" t="str">
        <f t="shared" si="665"/>
        <v>|||</v>
      </c>
      <c r="H18713" s="835">
        <f t="shared" si="666"/>
        <v>31</v>
      </c>
      <c r="AF18713" s="831" t="s">
        <v>10912</v>
      </c>
      <c r="AG18713" s="831" t="s">
        <v>2674</v>
      </c>
      <c r="AH18713" s="831" t="s">
        <v>2688</v>
      </c>
      <c r="AI18713" s="831">
        <v>0</v>
      </c>
      <c r="AJ18713" s="835">
        <v>41425</v>
      </c>
      <c r="AK18713" s="831">
        <v>2733940</v>
      </c>
    </row>
    <row r="18714" spans="2:37">
      <c r="B18714" s="834" t="str">
        <f t="shared" si="665"/>
        <v>|||</v>
      </c>
      <c r="H18714" s="835">
        <f t="shared" si="666"/>
        <v>31</v>
      </c>
      <c r="AF18714" s="831" t="s">
        <v>10913</v>
      </c>
      <c r="AG18714" s="831" t="s">
        <v>2674</v>
      </c>
      <c r="AH18714" s="831" t="s">
        <v>556</v>
      </c>
      <c r="AI18714" s="831">
        <v>0</v>
      </c>
      <c r="AJ18714" s="835">
        <v>41425</v>
      </c>
      <c r="AK18714" s="831">
        <v>902857</v>
      </c>
    </row>
    <row r="18715" spans="2:37">
      <c r="B18715" s="834" t="str">
        <f t="shared" si="665"/>
        <v>|||</v>
      </c>
      <c r="H18715" s="835">
        <f t="shared" si="666"/>
        <v>31</v>
      </c>
      <c r="AF18715" s="831" t="s">
        <v>10914</v>
      </c>
      <c r="AG18715" s="831" t="s">
        <v>2674</v>
      </c>
      <c r="AH18715" s="831" t="s">
        <v>555</v>
      </c>
      <c r="AI18715" s="831">
        <v>0</v>
      </c>
      <c r="AJ18715" s="835">
        <v>41425</v>
      </c>
      <c r="AK18715" s="831">
        <v>310274630</v>
      </c>
    </row>
    <row r="18716" spans="2:37">
      <c r="B18716" s="834" t="str">
        <f t="shared" si="665"/>
        <v>|||</v>
      </c>
      <c r="H18716" s="835">
        <f t="shared" si="666"/>
        <v>31</v>
      </c>
      <c r="AF18716" s="831" t="s">
        <v>10915</v>
      </c>
      <c r="AG18716" s="831" t="s">
        <v>2674</v>
      </c>
      <c r="AH18716" s="831" t="s">
        <v>554</v>
      </c>
      <c r="AI18716" s="831">
        <v>0</v>
      </c>
      <c r="AJ18716" s="835">
        <v>41425</v>
      </c>
      <c r="AK18716" s="831">
        <v>296232200</v>
      </c>
    </row>
    <row r="18717" spans="2:37">
      <c r="B18717" s="834" t="str">
        <f t="shared" si="665"/>
        <v>|||</v>
      </c>
      <c r="H18717" s="835">
        <f t="shared" si="666"/>
        <v>31</v>
      </c>
      <c r="AF18717" s="831" t="s">
        <v>10916</v>
      </c>
      <c r="AG18717" s="831" t="s">
        <v>2674</v>
      </c>
      <c r="AH18717" s="831" t="s">
        <v>553</v>
      </c>
      <c r="AI18717" s="831">
        <v>0</v>
      </c>
      <c r="AJ18717" s="835">
        <v>41425</v>
      </c>
      <c r="AK18717" s="831">
        <v>0</v>
      </c>
    </row>
    <row r="18718" spans="2:37">
      <c r="B18718" s="834" t="str">
        <f t="shared" si="665"/>
        <v>|||</v>
      </c>
      <c r="H18718" s="835">
        <f t="shared" si="666"/>
        <v>31</v>
      </c>
      <c r="AF18718" s="831" t="s">
        <v>10917</v>
      </c>
      <c r="AG18718" s="831" t="s">
        <v>2674</v>
      </c>
      <c r="AH18718" s="831" t="s">
        <v>552</v>
      </c>
      <c r="AI18718" s="831">
        <v>0</v>
      </c>
      <c r="AJ18718" s="835">
        <v>41425</v>
      </c>
      <c r="AK18718" s="831">
        <v>0</v>
      </c>
    </row>
    <row r="18719" spans="2:37">
      <c r="B18719" s="834" t="str">
        <f t="shared" si="665"/>
        <v>|||</v>
      </c>
      <c r="H18719" s="835">
        <f t="shared" si="666"/>
        <v>31</v>
      </c>
      <c r="AF18719" s="831" t="s">
        <v>10918</v>
      </c>
      <c r="AG18719" s="831" t="s">
        <v>2674</v>
      </c>
      <c r="AH18719" s="831" t="s">
        <v>551</v>
      </c>
      <c r="AI18719" s="831">
        <v>0</v>
      </c>
      <c r="AJ18719" s="835">
        <v>41425</v>
      </c>
      <c r="AK18719" s="831">
        <v>2323653</v>
      </c>
    </row>
    <row r="18720" spans="2:37">
      <c r="B18720" s="834" t="str">
        <f t="shared" si="665"/>
        <v>|||</v>
      </c>
      <c r="H18720" s="835">
        <f t="shared" si="666"/>
        <v>31</v>
      </c>
      <c r="AF18720" s="831" t="s">
        <v>10919</v>
      </c>
      <c r="AG18720" s="831" t="s">
        <v>2674</v>
      </c>
      <c r="AH18720" s="831" t="s">
        <v>550</v>
      </c>
      <c r="AI18720" s="831">
        <v>0</v>
      </c>
      <c r="AJ18720" s="835">
        <v>41425</v>
      </c>
      <c r="AK18720" s="831">
        <v>103327866</v>
      </c>
    </row>
    <row r="18721" spans="2:37">
      <c r="B18721" s="834" t="str">
        <f t="shared" si="665"/>
        <v>|||</v>
      </c>
      <c r="H18721" s="835">
        <f t="shared" si="666"/>
        <v>31</v>
      </c>
      <c r="AF18721" s="831" t="s">
        <v>10920</v>
      </c>
      <c r="AG18721" s="831" t="s">
        <v>2674</v>
      </c>
      <c r="AH18721" s="831" t="s">
        <v>562</v>
      </c>
      <c r="AI18721" s="831">
        <v>0</v>
      </c>
      <c r="AJ18721" s="835">
        <v>41425</v>
      </c>
      <c r="AK18721" s="831">
        <v>0.78405000000000002</v>
      </c>
    </row>
    <row r="18722" spans="2:37">
      <c r="B18722" s="834" t="str">
        <f t="shared" si="665"/>
        <v>|||</v>
      </c>
      <c r="H18722" s="835">
        <f t="shared" si="666"/>
        <v>31</v>
      </c>
      <c r="AF18722" s="831" t="s">
        <v>10921</v>
      </c>
      <c r="AG18722" s="831" t="s">
        <v>2674</v>
      </c>
      <c r="AH18722" s="831" t="s">
        <v>2698</v>
      </c>
      <c r="AI18722" s="831">
        <v>0</v>
      </c>
      <c r="AJ18722" s="835">
        <v>41425</v>
      </c>
      <c r="AK18722" s="831">
        <v>0.78405000000000002</v>
      </c>
    </row>
    <row r="18723" spans="2:37">
      <c r="B18723" s="834" t="str">
        <f t="shared" si="665"/>
        <v>|||</v>
      </c>
      <c r="H18723" s="835">
        <f t="shared" si="666"/>
        <v>31</v>
      </c>
      <c r="AF18723" s="831" t="s">
        <v>10922</v>
      </c>
      <c r="AG18723" s="831" t="s">
        <v>2674</v>
      </c>
      <c r="AH18723" s="831" t="s">
        <v>560</v>
      </c>
      <c r="AI18723" s="831">
        <v>0</v>
      </c>
      <c r="AJ18723" s="835">
        <v>41425</v>
      </c>
      <c r="AK18723" s="831">
        <v>0.78410999999999997</v>
      </c>
    </row>
    <row r="18724" spans="2:37">
      <c r="B18724" s="834" t="str">
        <f t="shared" si="665"/>
        <v>|||</v>
      </c>
      <c r="H18724" s="835">
        <f t="shared" si="666"/>
        <v>31</v>
      </c>
      <c r="AF18724" s="831" t="s">
        <v>10923</v>
      </c>
      <c r="AG18724" s="831" t="s">
        <v>2674</v>
      </c>
      <c r="AH18724" s="831" t="s">
        <v>559</v>
      </c>
      <c r="AI18724" s="831">
        <v>0</v>
      </c>
      <c r="AJ18724" s="835">
        <v>41425</v>
      </c>
      <c r="AK18724" s="831">
        <v>0.78434999999999999</v>
      </c>
    </row>
    <row r="18725" spans="2:37">
      <c r="B18725" s="834" t="str">
        <f t="shared" si="665"/>
        <v>|||</v>
      </c>
      <c r="H18725" s="835">
        <f t="shared" si="666"/>
        <v>31</v>
      </c>
      <c r="AF18725" s="831" t="s">
        <v>10924</v>
      </c>
      <c r="AG18725" s="831" t="s">
        <v>2674</v>
      </c>
      <c r="AH18725" s="831" t="s">
        <v>568</v>
      </c>
      <c r="AI18725" s="831">
        <v>0</v>
      </c>
      <c r="AJ18725" s="835">
        <v>41425</v>
      </c>
      <c r="AK18725" s="831">
        <v>403269368.46153843</v>
      </c>
    </row>
    <row r="18726" spans="2:37">
      <c r="B18726" s="834" t="str">
        <f t="shared" si="665"/>
        <v>|||</v>
      </c>
      <c r="H18726" s="835">
        <f t="shared" si="666"/>
        <v>31</v>
      </c>
      <c r="AF18726" s="831" t="s">
        <v>10925</v>
      </c>
      <c r="AG18726" s="831" t="s">
        <v>2674</v>
      </c>
      <c r="AH18726" s="831" t="s">
        <v>569</v>
      </c>
      <c r="AI18726" s="831">
        <v>0</v>
      </c>
      <c r="AJ18726" s="835">
        <v>41425</v>
      </c>
      <c r="AK18726" s="831">
        <v>489498908.69230771</v>
      </c>
    </row>
    <row r="18727" spans="2:37">
      <c r="B18727" s="834" t="str">
        <f t="shared" si="665"/>
        <v>|||</v>
      </c>
      <c r="H18727" s="835">
        <f t="shared" si="666"/>
        <v>31</v>
      </c>
      <c r="AF18727" s="831" t="s">
        <v>10926</v>
      </c>
      <c r="AG18727" s="831" t="s">
        <v>2674</v>
      </c>
      <c r="AH18727" s="831" t="s">
        <v>570</v>
      </c>
      <c r="AI18727" s="831">
        <v>0</v>
      </c>
      <c r="AJ18727" s="835">
        <v>41425</v>
      </c>
      <c r="AK18727" s="831">
        <v>98165424.230769232</v>
      </c>
    </row>
    <row r="18728" spans="2:37">
      <c r="B18728" s="834" t="str">
        <f t="shared" si="665"/>
        <v>|||</v>
      </c>
      <c r="H18728" s="835">
        <f t="shared" si="666"/>
        <v>31</v>
      </c>
      <c r="AF18728" s="831" t="s">
        <v>10927</v>
      </c>
      <c r="AG18728" s="831" t="s">
        <v>2674</v>
      </c>
      <c r="AH18728" s="831" t="s">
        <v>571</v>
      </c>
      <c r="AI18728" s="831">
        <v>0</v>
      </c>
      <c r="AJ18728" s="835">
        <v>41425</v>
      </c>
      <c r="AK18728" s="831">
        <v>207953338.07692307</v>
      </c>
    </row>
    <row r="18729" spans="2:37">
      <c r="B18729" s="834" t="str">
        <f t="shared" si="665"/>
        <v>|||</v>
      </c>
      <c r="H18729" s="835">
        <f t="shared" si="666"/>
        <v>31</v>
      </c>
      <c r="AF18729" s="831" t="s">
        <v>10928</v>
      </c>
      <c r="AG18729" s="831" t="s">
        <v>2674</v>
      </c>
      <c r="AH18729" s="831" t="s">
        <v>573</v>
      </c>
      <c r="AI18729" s="831">
        <v>0</v>
      </c>
      <c r="AJ18729" s="835">
        <v>41425</v>
      </c>
      <c r="AK18729" s="831">
        <v>543238144.33333337</v>
      </c>
    </row>
    <row r="18730" spans="2:37">
      <c r="B18730" s="834" t="str">
        <f t="shared" si="665"/>
        <v>|||</v>
      </c>
      <c r="H18730" s="835">
        <f t="shared" si="666"/>
        <v>31</v>
      </c>
      <c r="AF18730" s="831" t="s">
        <v>10929</v>
      </c>
      <c r="AG18730" s="831" t="s">
        <v>2674</v>
      </c>
      <c r="AH18730" s="831" t="s">
        <v>574</v>
      </c>
      <c r="AI18730" s="831">
        <v>0</v>
      </c>
      <c r="AJ18730" s="835">
        <v>41425</v>
      </c>
      <c r="AK18730" s="831">
        <v>451779902.5</v>
      </c>
    </row>
    <row r="18731" spans="2:37">
      <c r="B18731" s="834" t="str">
        <f t="shared" si="665"/>
        <v>|||</v>
      </c>
      <c r="H18731" s="835">
        <f t="shared" si="666"/>
        <v>31</v>
      </c>
      <c r="AF18731" s="831" t="s">
        <v>10930</v>
      </c>
      <c r="AG18731" s="831" t="s">
        <v>2674</v>
      </c>
      <c r="AH18731" s="831" t="s">
        <v>575</v>
      </c>
      <c r="AI18731" s="831">
        <v>0</v>
      </c>
      <c r="AJ18731" s="835">
        <v>41425</v>
      </c>
      <c r="AK18731" s="831">
        <v>101069296.16666667</v>
      </c>
    </row>
    <row r="18732" spans="2:37">
      <c r="B18732" s="834" t="str">
        <f t="shared" si="665"/>
        <v>|||</v>
      </c>
      <c r="H18732" s="835">
        <f t="shared" si="666"/>
        <v>31</v>
      </c>
      <c r="AF18732" s="831" t="s">
        <v>10931</v>
      </c>
      <c r="AG18732" s="831" t="s">
        <v>2674</v>
      </c>
      <c r="AH18732" s="831" t="s">
        <v>576</v>
      </c>
      <c r="AI18732" s="831">
        <v>0</v>
      </c>
      <c r="AJ18732" s="835">
        <v>41425</v>
      </c>
      <c r="AK18732" s="831">
        <v>247239046.16666666</v>
      </c>
    </row>
    <row r="18733" spans="2:37">
      <c r="B18733" s="834" t="str">
        <f t="shared" si="665"/>
        <v>|||</v>
      </c>
      <c r="H18733" s="835">
        <f t="shared" si="666"/>
        <v>31</v>
      </c>
      <c r="AF18733" s="831" t="s">
        <v>10932</v>
      </c>
      <c r="AG18733" s="831" t="s">
        <v>2674</v>
      </c>
      <c r="AH18733" s="831" t="s">
        <v>572</v>
      </c>
      <c r="AI18733" s="831">
        <v>0</v>
      </c>
      <c r="AJ18733" s="835">
        <v>41425</v>
      </c>
      <c r="AK18733" s="831">
        <v>21530747</v>
      </c>
    </row>
    <row r="18734" spans="2:37">
      <c r="B18734" s="834" t="str">
        <f t="shared" si="665"/>
        <v>|||</v>
      </c>
      <c r="H18734" s="835">
        <f t="shared" si="666"/>
        <v>31</v>
      </c>
      <c r="AF18734" s="831" t="s">
        <v>10933</v>
      </c>
      <c r="AG18734" s="831" t="s">
        <v>2674</v>
      </c>
      <c r="AH18734" s="831" t="s">
        <v>577</v>
      </c>
      <c r="AI18734" s="831">
        <v>0</v>
      </c>
      <c r="AJ18734" s="835">
        <v>41425</v>
      </c>
      <c r="AK18734" s="831">
        <v>110403012</v>
      </c>
    </row>
    <row r="18735" spans="2:37">
      <c r="B18735" s="834" t="str">
        <f t="shared" si="665"/>
        <v>|||</v>
      </c>
      <c r="H18735" s="835">
        <f t="shared" si="666"/>
        <v>31</v>
      </c>
      <c r="AF18735" s="831" t="s">
        <v>10934</v>
      </c>
      <c r="AG18735" s="831" t="s">
        <v>2674</v>
      </c>
      <c r="AH18735" s="831" t="s">
        <v>3042</v>
      </c>
      <c r="AI18735" s="831">
        <v>0</v>
      </c>
      <c r="AJ18735" s="835">
        <v>41425</v>
      </c>
      <c r="AK18735" s="831">
        <v>-27020607</v>
      </c>
    </row>
    <row r="18736" spans="2:37">
      <c r="B18736" s="834" t="str">
        <f t="shared" si="665"/>
        <v>|||</v>
      </c>
      <c r="H18736" s="835">
        <f t="shared" si="666"/>
        <v>31</v>
      </c>
      <c r="AF18736" s="831" t="s">
        <v>10935</v>
      </c>
      <c r="AG18736" s="831" t="s">
        <v>2674</v>
      </c>
      <c r="AH18736" s="831" t="s">
        <v>3044</v>
      </c>
      <c r="AI18736" s="831">
        <v>0</v>
      </c>
      <c r="AJ18736" s="835">
        <v>41425</v>
      </c>
      <c r="AK18736" s="831">
        <v>-4070350</v>
      </c>
    </row>
    <row r="18737" spans="2:37">
      <c r="B18737" s="834" t="str">
        <f t="shared" si="665"/>
        <v>|||</v>
      </c>
      <c r="H18737" s="835">
        <f t="shared" si="666"/>
        <v>31</v>
      </c>
      <c r="AF18737" s="831" t="s">
        <v>10936</v>
      </c>
      <c r="AG18737" s="831" t="s">
        <v>2674</v>
      </c>
      <c r="AH18737" s="831" t="s">
        <v>580</v>
      </c>
      <c r="AI18737" s="831">
        <v>0</v>
      </c>
      <c r="AJ18737" s="835">
        <v>41425</v>
      </c>
      <c r="AK18737" s="831">
        <v>-55847177</v>
      </c>
    </row>
    <row r="18738" spans="2:37">
      <c r="B18738" s="834" t="str">
        <f t="shared" si="665"/>
        <v>|||</v>
      </c>
      <c r="H18738" s="835">
        <f t="shared" si="666"/>
        <v>31</v>
      </c>
      <c r="AF18738" s="831" t="s">
        <v>10937</v>
      </c>
      <c r="AG18738" s="831" t="s">
        <v>2674</v>
      </c>
      <c r="AH18738" s="831" t="s">
        <v>581</v>
      </c>
      <c r="AI18738" s="831">
        <v>0</v>
      </c>
      <c r="AJ18738" s="835">
        <v>41425</v>
      </c>
      <c r="AK18738" s="831">
        <v>3833349</v>
      </c>
    </row>
    <row r="18739" spans="2:37">
      <c r="B18739" s="834" t="str">
        <f t="shared" si="665"/>
        <v>|||</v>
      </c>
      <c r="H18739" s="835">
        <f t="shared" si="666"/>
        <v>31</v>
      </c>
      <c r="AF18739" s="831" t="s">
        <v>10938</v>
      </c>
      <c r="AG18739" s="831" t="s">
        <v>2674</v>
      </c>
      <c r="AH18739" s="831" t="s">
        <v>105</v>
      </c>
      <c r="AI18739" s="831">
        <v>0</v>
      </c>
      <c r="AJ18739" s="835">
        <v>41425</v>
      </c>
      <c r="AK18739" s="831">
        <v>274684797</v>
      </c>
    </row>
    <row r="18740" spans="2:37">
      <c r="B18740" s="834" t="str">
        <f t="shared" si="665"/>
        <v>|||</v>
      </c>
      <c r="H18740" s="835">
        <f t="shared" si="666"/>
        <v>31</v>
      </c>
      <c r="AF18740" s="831" t="s">
        <v>10939</v>
      </c>
      <c r="AG18740" s="831" t="s">
        <v>2674</v>
      </c>
      <c r="AH18740" s="831" t="s">
        <v>3049</v>
      </c>
      <c r="AI18740" s="831">
        <v>0</v>
      </c>
      <c r="AJ18740" s="835">
        <v>41425</v>
      </c>
      <c r="AK18740" s="831">
        <v>474215187</v>
      </c>
    </row>
    <row r="18741" spans="2:37">
      <c r="B18741" s="834" t="str">
        <f t="shared" si="665"/>
        <v>|||</v>
      </c>
      <c r="H18741" s="835">
        <f t="shared" si="666"/>
        <v>31</v>
      </c>
      <c r="AF18741" s="831" t="s">
        <v>10940</v>
      </c>
      <c r="AG18741" s="831" t="s">
        <v>2674</v>
      </c>
      <c r="AH18741" s="831" t="s">
        <v>103</v>
      </c>
      <c r="AI18741" s="831">
        <v>0</v>
      </c>
      <c r="AJ18741" s="835">
        <v>41425</v>
      </c>
      <c r="AK18741" s="831">
        <v>199530390</v>
      </c>
    </row>
    <row r="18742" spans="2:37">
      <c r="B18742" s="834" t="str">
        <f t="shared" si="665"/>
        <v>|||</v>
      </c>
      <c r="H18742" s="835">
        <f t="shared" si="666"/>
        <v>31</v>
      </c>
      <c r="AF18742" s="831" t="s">
        <v>10941</v>
      </c>
      <c r="AG18742" s="831" t="s">
        <v>2674</v>
      </c>
      <c r="AH18742" s="831" t="s">
        <v>182</v>
      </c>
      <c r="AI18742" s="831">
        <v>0</v>
      </c>
      <c r="AJ18742" s="835">
        <v>41425</v>
      </c>
      <c r="AK18742" s="831">
        <v>56542824</v>
      </c>
    </row>
    <row r="18743" spans="2:37">
      <c r="B18743" s="834" t="str">
        <f t="shared" si="665"/>
        <v>|||</v>
      </c>
      <c r="H18743" s="835">
        <f t="shared" si="666"/>
        <v>31</v>
      </c>
      <c r="AF18743" s="831" t="s">
        <v>10942</v>
      </c>
      <c r="AG18743" s="831" t="s">
        <v>2674</v>
      </c>
      <c r="AH18743" s="831" t="s">
        <v>6600</v>
      </c>
      <c r="AI18743" s="831">
        <v>0</v>
      </c>
      <c r="AJ18743" s="835">
        <v>41425</v>
      </c>
      <c r="AK18743" s="831">
        <v>21530747</v>
      </c>
    </row>
    <row r="18744" spans="2:37">
      <c r="B18744" s="834" t="str">
        <f t="shared" si="665"/>
        <v>|||</v>
      </c>
      <c r="H18744" s="835">
        <f t="shared" si="666"/>
        <v>31</v>
      </c>
      <c r="AF18744" s="831" t="s">
        <v>10943</v>
      </c>
      <c r="AG18744" s="831" t="s">
        <v>2674</v>
      </c>
      <c r="AH18744" s="831" t="s">
        <v>6602</v>
      </c>
      <c r="AI18744" s="831">
        <v>0</v>
      </c>
      <c r="AJ18744" s="835">
        <v>41425</v>
      </c>
      <c r="AK18744" s="831">
        <v>10888133</v>
      </c>
    </row>
    <row r="18745" spans="2:37">
      <c r="B18745" s="834" t="str">
        <f t="shared" si="665"/>
        <v>|||</v>
      </c>
      <c r="H18745" s="835">
        <f t="shared" si="666"/>
        <v>31</v>
      </c>
      <c r="AF18745" s="831" t="s">
        <v>10944</v>
      </c>
      <c r="AG18745" s="831" t="s">
        <v>2674</v>
      </c>
      <c r="AH18745" s="831" t="s">
        <v>650</v>
      </c>
      <c r="AI18745" s="831">
        <v>0</v>
      </c>
      <c r="AJ18745" s="835">
        <v>41425</v>
      </c>
      <c r="AK18745" s="831">
        <v>170020812.07692307</v>
      </c>
    </row>
    <row r="18746" spans="2:37">
      <c r="B18746" s="834" t="str">
        <f t="shared" si="665"/>
        <v>|||</v>
      </c>
      <c r="H18746" s="835">
        <f t="shared" si="666"/>
        <v>31</v>
      </c>
      <c r="AF18746" s="831" t="s">
        <v>10945</v>
      </c>
      <c r="AG18746" s="831" t="s">
        <v>2674</v>
      </c>
      <c r="AH18746" s="831" t="s">
        <v>655</v>
      </c>
      <c r="AI18746" s="831">
        <v>0</v>
      </c>
      <c r="AJ18746" s="835">
        <v>41425</v>
      </c>
      <c r="AK18746" s="831">
        <v>2273827</v>
      </c>
    </row>
    <row r="18747" spans="2:37">
      <c r="B18747" s="834" t="str">
        <f t="shared" si="665"/>
        <v>|||</v>
      </c>
      <c r="H18747" s="835">
        <f t="shared" si="666"/>
        <v>31</v>
      </c>
      <c r="AF18747" s="831" t="s">
        <v>10946</v>
      </c>
      <c r="AG18747" s="831" t="s">
        <v>2674</v>
      </c>
      <c r="AH18747" s="831" t="s">
        <v>546</v>
      </c>
      <c r="AI18747" s="831">
        <v>0</v>
      </c>
      <c r="AJ18747" s="835">
        <v>41455</v>
      </c>
      <c r="AK18747" s="831">
        <v>514798833</v>
      </c>
    </row>
    <row r="18748" spans="2:37">
      <c r="B18748" s="834" t="str">
        <f t="shared" si="665"/>
        <v>|||</v>
      </c>
      <c r="H18748" s="835">
        <f t="shared" si="666"/>
        <v>31</v>
      </c>
      <c r="AF18748" s="831" t="s">
        <v>10947</v>
      </c>
      <c r="AG18748" s="831" t="s">
        <v>2674</v>
      </c>
      <c r="AH18748" s="831" t="s">
        <v>370</v>
      </c>
      <c r="AI18748" s="831">
        <v>0</v>
      </c>
      <c r="AJ18748" s="835">
        <v>41455</v>
      </c>
      <c r="AK18748" s="831">
        <v>641101315</v>
      </c>
    </row>
    <row r="18749" spans="2:37">
      <c r="B18749" s="834" t="str">
        <f t="shared" si="665"/>
        <v>|||</v>
      </c>
      <c r="H18749" s="835">
        <f t="shared" si="666"/>
        <v>31</v>
      </c>
      <c r="AF18749" s="831" t="s">
        <v>10948</v>
      </c>
      <c r="AG18749" s="831" t="s">
        <v>2674</v>
      </c>
      <c r="AH18749" s="831" t="s">
        <v>126</v>
      </c>
      <c r="AI18749" s="831">
        <v>0</v>
      </c>
      <c r="AJ18749" s="835">
        <v>41455</v>
      </c>
      <c r="AK18749" s="831">
        <v>108060358</v>
      </c>
    </row>
    <row r="18750" spans="2:37">
      <c r="B18750" s="834" t="str">
        <f t="shared" si="665"/>
        <v>|||</v>
      </c>
      <c r="H18750" s="835">
        <f t="shared" si="666"/>
        <v>31</v>
      </c>
      <c r="AF18750" s="831" t="s">
        <v>10949</v>
      </c>
      <c r="AG18750" s="831" t="s">
        <v>2674</v>
      </c>
      <c r="AH18750" s="831" t="s">
        <v>268</v>
      </c>
      <c r="AI18750" s="831">
        <v>0</v>
      </c>
      <c r="AJ18750" s="835">
        <v>41455</v>
      </c>
      <c r="AK18750" s="831">
        <v>13297133</v>
      </c>
    </row>
    <row r="18751" spans="2:37">
      <c r="B18751" s="834" t="str">
        <f t="shared" si="665"/>
        <v>|||</v>
      </c>
      <c r="H18751" s="835">
        <f t="shared" si="666"/>
        <v>31</v>
      </c>
      <c r="AF18751" s="831" t="s">
        <v>10950</v>
      </c>
      <c r="AG18751" s="831" t="s">
        <v>2674</v>
      </c>
      <c r="AH18751" s="831" t="s">
        <v>547</v>
      </c>
      <c r="AI18751" s="831">
        <v>0</v>
      </c>
      <c r="AJ18751" s="835">
        <v>41455</v>
      </c>
      <c r="AK18751" s="831">
        <v>511487760</v>
      </c>
    </row>
    <row r="18752" spans="2:37">
      <c r="B18752" s="834" t="str">
        <f t="shared" si="665"/>
        <v>|||</v>
      </c>
      <c r="H18752" s="835">
        <f t="shared" si="666"/>
        <v>31</v>
      </c>
      <c r="AF18752" s="831" t="s">
        <v>10951</v>
      </c>
      <c r="AG18752" s="831" t="s">
        <v>2674</v>
      </c>
      <c r="AH18752" s="831" t="s">
        <v>548</v>
      </c>
      <c r="AI18752" s="831">
        <v>0</v>
      </c>
      <c r="AJ18752" s="835">
        <v>41455</v>
      </c>
      <c r="AK18752" s="831">
        <v>96883184</v>
      </c>
    </row>
    <row r="18753" spans="2:37">
      <c r="B18753" s="834" t="str">
        <f t="shared" si="665"/>
        <v>|||</v>
      </c>
      <c r="H18753" s="835">
        <f t="shared" si="666"/>
        <v>31</v>
      </c>
      <c r="AF18753" s="831" t="s">
        <v>10952</v>
      </c>
      <c r="AG18753" s="831" t="s">
        <v>2674</v>
      </c>
      <c r="AH18753" s="831" t="s">
        <v>549</v>
      </c>
      <c r="AI18753" s="831">
        <v>0</v>
      </c>
      <c r="AJ18753" s="835">
        <v>41455</v>
      </c>
      <c r="AK18753" s="831">
        <v>342628450</v>
      </c>
    </row>
    <row r="18754" spans="2:37">
      <c r="B18754" s="834" t="str">
        <f t="shared" si="665"/>
        <v>|||</v>
      </c>
      <c r="H18754" s="835">
        <f t="shared" si="666"/>
        <v>31</v>
      </c>
      <c r="AF18754" s="831" t="s">
        <v>10953</v>
      </c>
      <c r="AG18754" s="831" t="s">
        <v>2674</v>
      </c>
      <c r="AH18754" s="831" t="s">
        <v>192</v>
      </c>
      <c r="AI18754" s="831">
        <v>0</v>
      </c>
      <c r="AJ18754" s="835">
        <v>41455</v>
      </c>
      <c r="AK18754" s="831">
        <v>-11546784</v>
      </c>
    </row>
    <row r="18755" spans="2:37">
      <c r="B18755" s="834" t="str">
        <f t="shared" si="665"/>
        <v>|||</v>
      </c>
      <c r="H18755" s="835">
        <f t="shared" si="666"/>
        <v>31</v>
      </c>
      <c r="AF18755" s="831" t="s">
        <v>10954</v>
      </c>
      <c r="AG18755" s="831" t="s">
        <v>2674</v>
      </c>
      <c r="AH18755" s="831" t="s">
        <v>558</v>
      </c>
      <c r="AI18755" s="831">
        <v>0</v>
      </c>
      <c r="AJ18755" s="835">
        <v>41455</v>
      </c>
      <c r="AK18755" s="831">
        <v>533040957</v>
      </c>
    </row>
    <row r="18756" spans="2:37">
      <c r="B18756" s="834" t="str">
        <f t="shared" si="665"/>
        <v>|||</v>
      </c>
      <c r="H18756" s="835">
        <f t="shared" si="666"/>
        <v>31</v>
      </c>
      <c r="AF18756" s="831" t="s">
        <v>10955</v>
      </c>
      <c r="AG18756" s="831" t="s">
        <v>2674</v>
      </c>
      <c r="AH18756" s="831" t="s">
        <v>65</v>
      </c>
      <c r="AI18756" s="831">
        <v>0</v>
      </c>
      <c r="AJ18756" s="835">
        <v>41455</v>
      </c>
      <c r="AK18756" s="831">
        <v>60193699</v>
      </c>
    </row>
    <row r="18757" spans="2:37">
      <c r="B18757" s="834" t="str">
        <f t="shared" si="665"/>
        <v>|||</v>
      </c>
      <c r="H18757" s="835">
        <f t="shared" si="666"/>
        <v>31</v>
      </c>
      <c r="AF18757" s="831" t="s">
        <v>10956</v>
      </c>
      <c r="AG18757" s="831" t="s">
        <v>2674</v>
      </c>
      <c r="AH18757" s="831" t="s">
        <v>89</v>
      </c>
      <c r="AI18757" s="831">
        <v>0</v>
      </c>
      <c r="AJ18757" s="835">
        <v>41455</v>
      </c>
      <c r="AK18757" s="831">
        <v>136633</v>
      </c>
    </row>
    <row r="18758" spans="2:37">
      <c r="B18758" s="834" t="str">
        <f t="shared" si="665"/>
        <v>|||</v>
      </c>
      <c r="H18758" s="835">
        <f t="shared" si="666"/>
        <v>31</v>
      </c>
      <c r="AF18758" s="831" t="s">
        <v>10957</v>
      </c>
      <c r="AG18758" s="831" t="s">
        <v>2674</v>
      </c>
      <c r="AH18758" s="831" t="s">
        <v>557</v>
      </c>
      <c r="AI18758" s="831">
        <v>0</v>
      </c>
      <c r="AJ18758" s="835">
        <v>41455</v>
      </c>
      <c r="AK18758" s="831">
        <v>142092</v>
      </c>
    </row>
    <row r="18759" spans="2:37">
      <c r="B18759" s="834" t="str">
        <f t="shared" si="665"/>
        <v>|||</v>
      </c>
      <c r="H18759" s="835">
        <f t="shared" si="666"/>
        <v>31</v>
      </c>
      <c r="AF18759" s="831" t="s">
        <v>10958</v>
      </c>
      <c r="AG18759" s="831" t="s">
        <v>2674</v>
      </c>
      <c r="AH18759" s="831" t="s">
        <v>29</v>
      </c>
      <c r="AI18759" s="831">
        <v>0</v>
      </c>
      <c r="AJ18759" s="835">
        <v>41455</v>
      </c>
      <c r="AK18759" s="831">
        <v>1424399.06</v>
      </c>
    </row>
    <row r="18760" spans="2:37">
      <c r="B18760" s="834" t="str">
        <f t="shared" si="665"/>
        <v>|||</v>
      </c>
      <c r="H18760" s="835">
        <f t="shared" si="666"/>
        <v>31</v>
      </c>
      <c r="AF18760" s="831" t="s">
        <v>10959</v>
      </c>
      <c r="AG18760" s="831" t="s">
        <v>2674</v>
      </c>
      <c r="AH18760" s="831" t="s">
        <v>2688</v>
      </c>
      <c r="AI18760" s="831">
        <v>0</v>
      </c>
      <c r="AJ18760" s="835">
        <v>41455</v>
      </c>
      <c r="AK18760" s="831">
        <v>2204366.9500000002</v>
      </c>
    </row>
    <row r="18761" spans="2:37">
      <c r="B18761" s="834" t="str">
        <f t="shared" si="665"/>
        <v>|||</v>
      </c>
      <c r="H18761" s="835">
        <f t="shared" si="666"/>
        <v>31</v>
      </c>
      <c r="AF18761" s="831" t="s">
        <v>10960</v>
      </c>
      <c r="AG18761" s="831" t="s">
        <v>2674</v>
      </c>
      <c r="AH18761" s="831" t="s">
        <v>556</v>
      </c>
      <c r="AI18761" s="831">
        <v>0</v>
      </c>
      <c r="AJ18761" s="835">
        <v>41455</v>
      </c>
      <c r="AK18761" s="831">
        <v>902857</v>
      </c>
    </row>
    <row r="18762" spans="2:37">
      <c r="B18762" s="834" t="str">
        <f t="shared" si="665"/>
        <v>|||</v>
      </c>
      <c r="H18762" s="835">
        <f t="shared" si="666"/>
        <v>31</v>
      </c>
      <c r="AF18762" s="831" t="s">
        <v>10961</v>
      </c>
      <c r="AG18762" s="831" t="s">
        <v>2674</v>
      </c>
      <c r="AH18762" s="831" t="s">
        <v>555</v>
      </c>
      <c r="AI18762" s="831">
        <v>0</v>
      </c>
      <c r="AJ18762" s="835">
        <v>41455</v>
      </c>
      <c r="AK18762" s="831">
        <v>353611880</v>
      </c>
    </row>
    <row r="18763" spans="2:37">
      <c r="B18763" s="834" t="str">
        <f t="shared" si="665"/>
        <v>|||</v>
      </c>
      <c r="H18763" s="835">
        <f t="shared" si="666"/>
        <v>31</v>
      </c>
      <c r="AF18763" s="831" t="s">
        <v>10962</v>
      </c>
      <c r="AG18763" s="831" t="s">
        <v>2674</v>
      </c>
      <c r="AH18763" s="831" t="s">
        <v>554</v>
      </c>
      <c r="AI18763" s="831">
        <v>0</v>
      </c>
      <c r="AJ18763" s="835">
        <v>41455</v>
      </c>
      <c r="AK18763" s="831">
        <v>343079700</v>
      </c>
    </row>
    <row r="18764" spans="2:37">
      <c r="B18764" s="834" t="str">
        <f t="shared" si="665"/>
        <v>|||</v>
      </c>
      <c r="H18764" s="835">
        <f t="shared" si="666"/>
        <v>31</v>
      </c>
      <c r="AF18764" s="831" t="s">
        <v>10963</v>
      </c>
      <c r="AG18764" s="831" t="s">
        <v>2674</v>
      </c>
      <c r="AH18764" s="831" t="s">
        <v>553</v>
      </c>
      <c r="AI18764" s="831">
        <v>0</v>
      </c>
      <c r="AJ18764" s="835">
        <v>41455</v>
      </c>
      <c r="AK18764" s="831">
        <v>0</v>
      </c>
    </row>
    <row r="18765" spans="2:37">
      <c r="B18765" s="834" t="str">
        <f t="shared" si="665"/>
        <v>|||</v>
      </c>
      <c r="H18765" s="835">
        <f t="shared" si="666"/>
        <v>31</v>
      </c>
      <c r="AF18765" s="831" t="s">
        <v>10964</v>
      </c>
      <c r="AG18765" s="831" t="s">
        <v>2674</v>
      </c>
      <c r="AH18765" s="831" t="s">
        <v>552</v>
      </c>
      <c r="AI18765" s="831">
        <v>0</v>
      </c>
      <c r="AJ18765" s="835">
        <v>41455</v>
      </c>
      <c r="AK18765" s="831">
        <v>0</v>
      </c>
    </row>
    <row r="18766" spans="2:37">
      <c r="B18766" s="834" t="str">
        <f t="shared" si="665"/>
        <v>|||</v>
      </c>
      <c r="H18766" s="835">
        <f t="shared" si="666"/>
        <v>31</v>
      </c>
      <c r="AF18766" s="831" t="s">
        <v>10965</v>
      </c>
      <c r="AG18766" s="831" t="s">
        <v>2674</v>
      </c>
      <c r="AH18766" s="831" t="s">
        <v>551</v>
      </c>
      <c r="AI18766" s="831">
        <v>0</v>
      </c>
      <c r="AJ18766" s="835">
        <v>41455</v>
      </c>
      <c r="AK18766" s="831">
        <v>1176193.06</v>
      </c>
    </row>
    <row r="18767" spans="2:37">
      <c r="B18767" s="834" t="str">
        <f t="shared" si="665"/>
        <v>|||</v>
      </c>
      <c r="H18767" s="835">
        <f t="shared" si="666"/>
        <v>31</v>
      </c>
      <c r="AF18767" s="831" t="s">
        <v>10966</v>
      </c>
      <c r="AG18767" s="831" t="s">
        <v>2674</v>
      </c>
      <c r="AH18767" s="831" t="s">
        <v>550</v>
      </c>
      <c r="AI18767" s="831">
        <v>0</v>
      </c>
      <c r="AJ18767" s="835">
        <v>41455</v>
      </c>
      <c r="AK18767" s="831">
        <v>105651356</v>
      </c>
    </row>
    <row r="18768" spans="2:37">
      <c r="B18768" s="834" t="str">
        <f t="shared" si="665"/>
        <v>|||</v>
      </c>
      <c r="H18768" s="835">
        <f t="shared" si="666"/>
        <v>31</v>
      </c>
      <c r="AF18768" s="831" t="s">
        <v>10967</v>
      </c>
      <c r="AG18768" s="831" t="s">
        <v>2674</v>
      </c>
      <c r="AH18768" s="831" t="s">
        <v>562</v>
      </c>
      <c r="AI18768" s="831">
        <v>0</v>
      </c>
      <c r="AJ18768" s="835">
        <v>41455</v>
      </c>
      <c r="AK18768" s="831">
        <v>0.78395000000000004</v>
      </c>
    </row>
    <row r="18769" spans="2:37">
      <c r="B18769" s="834" t="str">
        <f t="shared" ref="B18769:B18832" si="667">C18769&amp;"|"&amp;D18769&amp;"|"&amp;E18769&amp;"|"&amp;F18769</f>
        <v>|||</v>
      </c>
      <c r="H18769" s="835">
        <f t="shared" ref="H18769:H18832" si="668">EOMONTH(L18769,0)</f>
        <v>31</v>
      </c>
      <c r="AF18769" s="831" t="s">
        <v>10968</v>
      </c>
      <c r="AG18769" s="831" t="s">
        <v>2674</v>
      </c>
      <c r="AH18769" s="831" t="s">
        <v>2698</v>
      </c>
      <c r="AI18769" s="831">
        <v>0</v>
      </c>
      <c r="AJ18769" s="835">
        <v>41455</v>
      </c>
      <c r="AK18769" s="831">
        <v>0.78405000000000002</v>
      </c>
    </row>
    <row r="18770" spans="2:37">
      <c r="B18770" s="834" t="str">
        <f t="shared" si="667"/>
        <v>|||</v>
      </c>
      <c r="H18770" s="835">
        <f t="shared" si="668"/>
        <v>31</v>
      </c>
      <c r="AF18770" s="831" t="s">
        <v>10969</v>
      </c>
      <c r="AG18770" s="831" t="s">
        <v>2674</v>
      </c>
      <c r="AH18770" s="831" t="s">
        <v>560</v>
      </c>
      <c r="AI18770" s="831">
        <v>0</v>
      </c>
      <c r="AJ18770" s="835">
        <v>41455</v>
      </c>
      <c r="AK18770" s="831">
        <v>0.78408333333333335</v>
      </c>
    </row>
    <row r="18771" spans="2:37">
      <c r="B18771" s="834" t="str">
        <f t="shared" si="667"/>
        <v>|||</v>
      </c>
      <c r="H18771" s="835">
        <f t="shared" si="668"/>
        <v>31</v>
      </c>
      <c r="AF18771" s="831" t="s">
        <v>10970</v>
      </c>
      <c r="AG18771" s="831" t="s">
        <v>2674</v>
      </c>
      <c r="AH18771" s="831" t="s">
        <v>559</v>
      </c>
      <c r="AI18771" s="831">
        <v>0</v>
      </c>
      <c r="AJ18771" s="835">
        <v>41455</v>
      </c>
      <c r="AK18771" s="831">
        <v>0.78425833333333339</v>
      </c>
    </row>
    <row r="18772" spans="2:37">
      <c r="B18772" s="834" t="str">
        <f t="shared" si="667"/>
        <v>|||</v>
      </c>
      <c r="H18772" s="835">
        <f t="shared" si="668"/>
        <v>31</v>
      </c>
      <c r="AF18772" s="831" t="s">
        <v>10971</v>
      </c>
      <c r="AG18772" s="831" t="s">
        <v>2674</v>
      </c>
      <c r="AH18772" s="831" t="s">
        <v>568</v>
      </c>
      <c r="AI18772" s="831">
        <v>0</v>
      </c>
      <c r="AJ18772" s="835">
        <v>41455</v>
      </c>
      <c r="AK18772" s="831">
        <v>416775328.76923078</v>
      </c>
    </row>
    <row r="18773" spans="2:37">
      <c r="B18773" s="834" t="str">
        <f t="shared" si="667"/>
        <v>|||</v>
      </c>
      <c r="H18773" s="835">
        <f t="shared" si="668"/>
        <v>31</v>
      </c>
      <c r="AF18773" s="831" t="s">
        <v>10972</v>
      </c>
      <c r="AG18773" s="831" t="s">
        <v>2674</v>
      </c>
      <c r="AH18773" s="831" t="s">
        <v>569</v>
      </c>
      <c r="AI18773" s="831">
        <v>0</v>
      </c>
      <c r="AJ18773" s="835">
        <v>41455</v>
      </c>
      <c r="AK18773" s="831">
        <v>507070422.30769229</v>
      </c>
    </row>
    <row r="18774" spans="2:37">
      <c r="B18774" s="834" t="str">
        <f t="shared" si="667"/>
        <v>|||</v>
      </c>
      <c r="H18774" s="835">
        <f t="shared" si="668"/>
        <v>31</v>
      </c>
      <c r="AF18774" s="831" t="s">
        <v>10973</v>
      </c>
      <c r="AG18774" s="831" t="s">
        <v>2674</v>
      </c>
      <c r="AH18774" s="831" t="s">
        <v>570</v>
      </c>
      <c r="AI18774" s="831">
        <v>0</v>
      </c>
      <c r="AJ18774" s="835">
        <v>41455</v>
      </c>
      <c r="AK18774" s="831">
        <v>99514662.461538464</v>
      </c>
    </row>
    <row r="18775" spans="2:37">
      <c r="B18775" s="834" t="str">
        <f t="shared" si="667"/>
        <v>|||</v>
      </c>
      <c r="H18775" s="835">
        <f t="shared" si="668"/>
        <v>31</v>
      </c>
      <c r="AF18775" s="831" t="s">
        <v>10974</v>
      </c>
      <c r="AG18775" s="831" t="s">
        <v>2674</v>
      </c>
      <c r="AH18775" s="831" t="s">
        <v>571</v>
      </c>
      <c r="AI18775" s="831">
        <v>0</v>
      </c>
      <c r="AJ18775" s="835">
        <v>41455</v>
      </c>
      <c r="AK18775" s="831">
        <v>220626949.15384614</v>
      </c>
    </row>
    <row r="18776" spans="2:37">
      <c r="B18776" s="834" t="str">
        <f t="shared" si="667"/>
        <v>|||</v>
      </c>
      <c r="H18776" s="835">
        <f t="shared" si="668"/>
        <v>31</v>
      </c>
      <c r="AF18776" s="831" t="s">
        <v>10975</v>
      </c>
      <c r="AG18776" s="831" t="s">
        <v>2674</v>
      </c>
      <c r="AH18776" s="831" t="s">
        <v>573</v>
      </c>
      <c r="AI18776" s="831">
        <v>0</v>
      </c>
      <c r="AJ18776" s="835">
        <v>41455</v>
      </c>
      <c r="AK18776" s="831">
        <v>557218597.28571427</v>
      </c>
    </row>
    <row r="18777" spans="2:37">
      <c r="B18777" s="834" t="str">
        <f t="shared" si="667"/>
        <v>|||</v>
      </c>
      <c r="H18777" s="835">
        <f t="shared" si="668"/>
        <v>31</v>
      </c>
      <c r="AF18777" s="831" t="s">
        <v>10976</v>
      </c>
      <c r="AG18777" s="831" t="s">
        <v>2674</v>
      </c>
      <c r="AH18777" s="831" t="s">
        <v>574</v>
      </c>
      <c r="AI18777" s="831">
        <v>0</v>
      </c>
      <c r="AJ18777" s="835">
        <v>41455</v>
      </c>
      <c r="AK18777" s="831">
        <v>460782606.85714287</v>
      </c>
    </row>
    <row r="18778" spans="2:37">
      <c r="B18778" s="834" t="str">
        <f t="shared" si="667"/>
        <v>|||</v>
      </c>
      <c r="H18778" s="835">
        <f t="shared" si="668"/>
        <v>31</v>
      </c>
      <c r="AF18778" s="831" t="s">
        <v>10977</v>
      </c>
      <c r="AG18778" s="831" t="s">
        <v>2674</v>
      </c>
      <c r="AH18778" s="831" t="s">
        <v>575</v>
      </c>
      <c r="AI18778" s="831">
        <v>0</v>
      </c>
      <c r="AJ18778" s="835">
        <v>41455</v>
      </c>
      <c r="AK18778" s="831">
        <v>102068019.28571428</v>
      </c>
    </row>
    <row r="18779" spans="2:37">
      <c r="B18779" s="834" t="str">
        <f t="shared" si="667"/>
        <v>|||</v>
      </c>
      <c r="H18779" s="835">
        <f t="shared" si="668"/>
        <v>31</v>
      </c>
      <c r="AF18779" s="831" t="s">
        <v>10978</v>
      </c>
      <c r="AG18779" s="831" t="s">
        <v>2674</v>
      </c>
      <c r="AH18779" s="831" t="s">
        <v>576</v>
      </c>
      <c r="AI18779" s="831">
        <v>0</v>
      </c>
      <c r="AJ18779" s="835">
        <v>41455</v>
      </c>
      <c r="AK18779" s="831">
        <v>256882402</v>
      </c>
    </row>
    <row r="18780" spans="2:37">
      <c r="B18780" s="834" t="str">
        <f t="shared" si="667"/>
        <v>|||</v>
      </c>
      <c r="H18780" s="835">
        <f t="shared" si="668"/>
        <v>31</v>
      </c>
      <c r="AF18780" s="831" t="s">
        <v>10979</v>
      </c>
      <c r="AG18780" s="831" t="s">
        <v>2674</v>
      </c>
      <c r="AH18780" s="831" t="s">
        <v>572</v>
      </c>
      <c r="AI18780" s="831">
        <v>0</v>
      </c>
      <c r="AJ18780" s="835">
        <v>41455</v>
      </c>
      <c r="AK18780" s="831">
        <v>22784991</v>
      </c>
    </row>
    <row r="18781" spans="2:37">
      <c r="B18781" s="834" t="str">
        <f t="shared" si="667"/>
        <v>|||</v>
      </c>
      <c r="H18781" s="835">
        <f t="shared" si="668"/>
        <v>31</v>
      </c>
      <c r="AF18781" s="831" t="s">
        <v>10980</v>
      </c>
      <c r="AG18781" s="831" t="s">
        <v>2674</v>
      </c>
      <c r="AH18781" s="831" t="s">
        <v>577</v>
      </c>
      <c r="AI18781" s="831">
        <v>0</v>
      </c>
      <c r="AJ18781" s="835">
        <v>41455</v>
      </c>
      <c r="AK18781" s="831">
        <v>112999724</v>
      </c>
    </row>
    <row r="18782" spans="2:37">
      <c r="B18782" s="834" t="str">
        <f t="shared" si="667"/>
        <v>|||</v>
      </c>
      <c r="H18782" s="835">
        <f t="shared" si="668"/>
        <v>31</v>
      </c>
      <c r="AF18782" s="831" t="s">
        <v>10981</v>
      </c>
      <c r="AG18782" s="831" t="s">
        <v>2674</v>
      </c>
      <c r="AH18782" s="831" t="s">
        <v>3042</v>
      </c>
      <c r="AI18782" s="831">
        <v>0</v>
      </c>
      <c r="AJ18782" s="835">
        <v>41455</v>
      </c>
      <c r="AK18782" s="831">
        <v>-27618860</v>
      </c>
    </row>
    <row r="18783" spans="2:37">
      <c r="B18783" s="834" t="str">
        <f t="shared" si="667"/>
        <v>|||</v>
      </c>
      <c r="H18783" s="835">
        <f t="shared" si="668"/>
        <v>31</v>
      </c>
      <c r="AF18783" s="831" t="s">
        <v>10982</v>
      </c>
      <c r="AG18783" s="831" t="s">
        <v>2674</v>
      </c>
      <c r="AH18783" s="831" t="s">
        <v>3044</v>
      </c>
      <c r="AI18783" s="831">
        <v>0</v>
      </c>
      <c r="AJ18783" s="835">
        <v>41455</v>
      </c>
      <c r="AK18783" s="831">
        <v>-4183071</v>
      </c>
    </row>
    <row r="18784" spans="2:37">
      <c r="B18784" s="834" t="str">
        <f t="shared" si="667"/>
        <v>|||</v>
      </c>
      <c r="H18784" s="835">
        <f t="shared" si="668"/>
        <v>31</v>
      </c>
      <c r="AF18784" s="831" t="s">
        <v>10983</v>
      </c>
      <c r="AG18784" s="831" t="s">
        <v>2674</v>
      </c>
      <c r="AH18784" s="831" t="s">
        <v>580</v>
      </c>
      <c r="AI18784" s="831">
        <v>0</v>
      </c>
      <c r="AJ18784" s="835">
        <v>41455</v>
      </c>
      <c r="AK18784" s="831">
        <v>-56400279</v>
      </c>
    </row>
    <row r="18785" spans="2:37">
      <c r="B18785" s="834" t="str">
        <f t="shared" si="667"/>
        <v>|||</v>
      </c>
      <c r="H18785" s="835">
        <f t="shared" si="668"/>
        <v>31</v>
      </c>
      <c r="AF18785" s="831" t="s">
        <v>10984</v>
      </c>
      <c r="AG18785" s="831" t="s">
        <v>2674</v>
      </c>
      <c r="AH18785" s="831" t="s">
        <v>581</v>
      </c>
      <c r="AI18785" s="831">
        <v>0</v>
      </c>
      <c r="AJ18785" s="835">
        <v>41455</v>
      </c>
      <c r="AK18785" s="831">
        <v>4204371</v>
      </c>
    </row>
    <row r="18786" spans="2:37">
      <c r="B18786" s="834" t="str">
        <f t="shared" si="667"/>
        <v>|||</v>
      </c>
      <c r="H18786" s="835">
        <f t="shared" si="668"/>
        <v>31</v>
      </c>
      <c r="AF18786" s="831" t="s">
        <v>10985</v>
      </c>
      <c r="AG18786" s="831" t="s">
        <v>2674</v>
      </c>
      <c r="AH18786" s="831" t="s">
        <v>105</v>
      </c>
      <c r="AI18786" s="831">
        <v>0</v>
      </c>
      <c r="AJ18786" s="835">
        <v>41455</v>
      </c>
      <c r="AK18786" s="831">
        <v>314742537</v>
      </c>
    </row>
    <row r="18787" spans="2:37">
      <c r="B18787" s="834" t="str">
        <f t="shared" si="667"/>
        <v>|||</v>
      </c>
      <c r="H18787" s="835">
        <f t="shared" si="668"/>
        <v>31</v>
      </c>
      <c r="AF18787" s="831" t="s">
        <v>10986</v>
      </c>
      <c r="AG18787" s="831" t="s">
        <v>2674</v>
      </c>
      <c r="AH18787" s="831" t="s">
        <v>3049</v>
      </c>
      <c r="AI18787" s="831">
        <v>0</v>
      </c>
      <c r="AJ18787" s="835">
        <v>41455</v>
      </c>
      <c r="AK18787" s="831">
        <v>517978918</v>
      </c>
    </row>
    <row r="18788" spans="2:37">
      <c r="B18788" s="834" t="str">
        <f t="shared" si="667"/>
        <v>|||</v>
      </c>
      <c r="H18788" s="835">
        <f t="shared" si="668"/>
        <v>31</v>
      </c>
      <c r="AF18788" s="831" t="s">
        <v>10987</v>
      </c>
      <c r="AG18788" s="831" t="s">
        <v>2674</v>
      </c>
      <c r="AH18788" s="831" t="s">
        <v>103</v>
      </c>
      <c r="AI18788" s="831">
        <v>0</v>
      </c>
      <c r="AJ18788" s="835">
        <v>41455</v>
      </c>
      <c r="AK18788" s="831">
        <v>203236381</v>
      </c>
    </row>
    <row r="18789" spans="2:37">
      <c r="B18789" s="834" t="str">
        <f t="shared" si="667"/>
        <v>|||</v>
      </c>
      <c r="H18789" s="835">
        <f t="shared" si="668"/>
        <v>31</v>
      </c>
      <c r="AF18789" s="831" t="s">
        <v>10988</v>
      </c>
      <c r="AG18789" s="831" t="s">
        <v>2674</v>
      </c>
      <c r="AH18789" s="831" t="s">
        <v>182</v>
      </c>
      <c r="AI18789" s="831">
        <v>0</v>
      </c>
      <c r="AJ18789" s="835">
        <v>41455</v>
      </c>
      <c r="AK18789" s="831">
        <v>57441170</v>
      </c>
    </row>
    <row r="18790" spans="2:37">
      <c r="B18790" s="834" t="str">
        <f t="shared" si="667"/>
        <v>|||</v>
      </c>
      <c r="H18790" s="835">
        <f t="shared" si="668"/>
        <v>31</v>
      </c>
      <c r="AF18790" s="831" t="s">
        <v>10989</v>
      </c>
      <c r="AG18790" s="831" t="s">
        <v>2674</v>
      </c>
      <c r="AH18790" s="831" t="s">
        <v>6600</v>
      </c>
      <c r="AI18790" s="831">
        <v>0</v>
      </c>
      <c r="AJ18790" s="835">
        <v>41455</v>
      </c>
      <c r="AK18790" s="831">
        <v>22784991</v>
      </c>
    </row>
    <row r="18791" spans="2:37">
      <c r="B18791" s="834" t="str">
        <f t="shared" si="667"/>
        <v>|||</v>
      </c>
      <c r="H18791" s="835">
        <f t="shared" si="668"/>
        <v>31</v>
      </c>
      <c r="AF18791" s="831" t="s">
        <v>10990</v>
      </c>
      <c r="AG18791" s="831" t="s">
        <v>2674</v>
      </c>
      <c r="AH18791" s="831" t="s">
        <v>6602</v>
      </c>
      <c r="AI18791" s="831">
        <v>0</v>
      </c>
      <c r="AJ18791" s="835">
        <v>41455</v>
      </c>
      <c r="AK18791" s="831">
        <v>13297133</v>
      </c>
    </row>
    <row r="18792" spans="2:37">
      <c r="B18792" s="834" t="str">
        <f t="shared" si="667"/>
        <v>|||</v>
      </c>
      <c r="H18792" s="835">
        <f t="shared" si="668"/>
        <v>31</v>
      </c>
      <c r="AF18792" s="831" t="s">
        <v>10991</v>
      </c>
      <c r="AG18792" s="831" t="s">
        <v>2674</v>
      </c>
      <c r="AH18792" s="831" t="s">
        <v>650</v>
      </c>
      <c r="AI18792" s="831">
        <v>0</v>
      </c>
      <c r="AJ18792" s="835">
        <v>41455</v>
      </c>
      <c r="AK18792" s="831">
        <v>173391733.15384614</v>
      </c>
    </row>
    <row r="18793" spans="2:37">
      <c r="B18793" s="834" t="str">
        <f t="shared" si="667"/>
        <v>|||</v>
      </c>
      <c r="H18793" s="835">
        <f t="shared" si="668"/>
        <v>31</v>
      </c>
      <c r="AF18793" s="831" t="s">
        <v>10992</v>
      </c>
      <c r="AG18793" s="831" t="s">
        <v>2674</v>
      </c>
      <c r="AH18793" s="831" t="s">
        <v>655</v>
      </c>
      <c r="AI18793" s="831">
        <v>0</v>
      </c>
      <c r="AJ18793" s="835">
        <v>41455</v>
      </c>
      <c r="AK18793" s="831">
        <v>1055339.06</v>
      </c>
    </row>
    <row r="18794" spans="2:37">
      <c r="B18794" s="834" t="str">
        <f t="shared" si="667"/>
        <v>|||</v>
      </c>
      <c r="H18794" s="835">
        <f t="shared" si="668"/>
        <v>31</v>
      </c>
      <c r="AF18794" s="831" t="s">
        <v>10993</v>
      </c>
      <c r="AG18794" s="831" t="s">
        <v>2674</v>
      </c>
      <c r="AH18794" s="831" t="s">
        <v>546</v>
      </c>
      <c r="AI18794" s="831">
        <v>0</v>
      </c>
      <c r="AJ18794" s="835">
        <v>41486</v>
      </c>
      <c r="AK18794" s="831">
        <v>530405930</v>
      </c>
    </row>
    <row r="18795" spans="2:37">
      <c r="B18795" s="834" t="str">
        <f t="shared" si="667"/>
        <v>|||</v>
      </c>
      <c r="H18795" s="835">
        <f t="shared" si="668"/>
        <v>31</v>
      </c>
      <c r="AF18795" s="831" t="s">
        <v>10994</v>
      </c>
      <c r="AG18795" s="831" t="s">
        <v>2674</v>
      </c>
      <c r="AH18795" s="831" t="s">
        <v>370</v>
      </c>
      <c r="AI18795" s="831">
        <v>0</v>
      </c>
      <c r="AJ18795" s="835">
        <v>41486</v>
      </c>
      <c r="AK18795" s="831">
        <v>658328328</v>
      </c>
    </row>
    <row r="18796" spans="2:37">
      <c r="B18796" s="834" t="str">
        <f t="shared" si="667"/>
        <v>|||</v>
      </c>
      <c r="H18796" s="835">
        <f t="shared" si="668"/>
        <v>31</v>
      </c>
      <c r="AF18796" s="831" t="s">
        <v>10995</v>
      </c>
      <c r="AG18796" s="831" t="s">
        <v>2674</v>
      </c>
      <c r="AH18796" s="831" t="s">
        <v>126</v>
      </c>
      <c r="AI18796" s="831">
        <v>0</v>
      </c>
      <c r="AJ18796" s="835">
        <v>41486</v>
      </c>
      <c r="AK18796" s="831">
        <v>110887562</v>
      </c>
    </row>
    <row r="18797" spans="2:37">
      <c r="B18797" s="834" t="str">
        <f t="shared" si="667"/>
        <v>|||</v>
      </c>
      <c r="H18797" s="835">
        <f t="shared" si="668"/>
        <v>31</v>
      </c>
      <c r="AF18797" s="831" t="s">
        <v>10996</v>
      </c>
      <c r="AG18797" s="831" t="s">
        <v>2674</v>
      </c>
      <c r="AH18797" s="831" t="s">
        <v>268</v>
      </c>
      <c r="AI18797" s="831">
        <v>0</v>
      </c>
      <c r="AJ18797" s="835">
        <v>41486</v>
      </c>
      <c r="AK18797" s="831">
        <v>16124340</v>
      </c>
    </row>
    <row r="18798" spans="2:37">
      <c r="B18798" s="834" t="str">
        <f t="shared" si="667"/>
        <v>|||</v>
      </c>
      <c r="H18798" s="835">
        <f t="shared" si="668"/>
        <v>31</v>
      </c>
      <c r="AF18798" s="831" t="s">
        <v>10997</v>
      </c>
      <c r="AG18798" s="831" t="s">
        <v>2674</v>
      </c>
      <c r="AH18798" s="831" t="s">
        <v>547</v>
      </c>
      <c r="AI18798" s="831">
        <v>0</v>
      </c>
      <c r="AJ18798" s="835">
        <v>41486</v>
      </c>
      <c r="AK18798" s="831">
        <v>511487760</v>
      </c>
    </row>
    <row r="18799" spans="2:37">
      <c r="B18799" s="834" t="str">
        <f t="shared" si="667"/>
        <v>|||</v>
      </c>
      <c r="H18799" s="835">
        <f t="shared" si="668"/>
        <v>31</v>
      </c>
      <c r="AF18799" s="831" t="s">
        <v>10998</v>
      </c>
      <c r="AG18799" s="831" t="s">
        <v>2674</v>
      </c>
      <c r="AH18799" s="831" t="s">
        <v>548</v>
      </c>
      <c r="AI18799" s="831">
        <v>0</v>
      </c>
      <c r="AJ18799" s="835">
        <v>41486</v>
      </c>
      <c r="AK18799" s="831">
        <v>96883184</v>
      </c>
    </row>
    <row r="18800" spans="2:37">
      <c r="B18800" s="834" t="str">
        <f t="shared" si="667"/>
        <v>|||</v>
      </c>
      <c r="H18800" s="835">
        <f t="shared" si="668"/>
        <v>31</v>
      </c>
      <c r="AF18800" s="831" t="s">
        <v>10999</v>
      </c>
      <c r="AG18800" s="831" t="s">
        <v>2674</v>
      </c>
      <c r="AH18800" s="831" t="s">
        <v>549</v>
      </c>
      <c r="AI18800" s="831">
        <v>0</v>
      </c>
      <c r="AJ18800" s="835">
        <v>41486</v>
      </c>
      <c r="AK18800" s="831">
        <v>350104350</v>
      </c>
    </row>
    <row r="18801" spans="2:37">
      <c r="B18801" s="834" t="str">
        <f t="shared" si="667"/>
        <v>|||</v>
      </c>
      <c r="H18801" s="835">
        <f t="shared" si="668"/>
        <v>31</v>
      </c>
      <c r="AF18801" s="831" t="s">
        <v>11000</v>
      </c>
      <c r="AG18801" s="831" t="s">
        <v>2674</v>
      </c>
      <c r="AH18801" s="831" t="s">
        <v>192</v>
      </c>
      <c r="AI18801" s="831">
        <v>0</v>
      </c>
      <c r="AJ18801" s="835">
        <v>41486</v>
      </c>
      <c r="AK18801" s="831">
        <v>-11946675</v>
      </c>
    </row>
    <row r="18802" spans="2:37">
      <c r="B18802" s="834" t="str">
        <f t="shared" si="667"/>
        <v>|||</v>
      </c>
      <c r="H18802" s="835">
        <f t="shared" si="668"/>
        <v>31</v>
      </c>
      <c r="AF18802" s="831" t="s">
        <v>11001</v>
      </c>
      <c r="AG18802" s="831" t="s">
        <v>2674</v>
      </c>
      <c r="AH18802" s="831" t="s">
        <v>558</v>
      </c>
      <c r="AI18802" s="831">
        <v>0</v>
      </c>
      <c r="AJ18802" s="835">
        <v>41486</v>
      </c>
      <c r="AK18802" s="831">
        <v>547440766</v>
      </c>
    </row>
    <row r="18803" spans="2:37">
      <c r="B18803" s="834" t="str">
        <f t="shared" si="667"/>
        <v>|||</v>
      </c>
      <c r="H18803" s="835">
        <f t="shared" si="668"/>
        <v>31</v>
      </c>
      <c r="AF18803" s="831" t="s">
        <v>11002</v>
      </c>
      <c r="AG18803" s="831" t="s">
        <v>2674</v>
      </c>
      <c r="AH18803" s="831" t="s">
        <v>65</v>
      </c>
      <c r="AI18803" s="831">
        <v>0</v>
      </c>
      <c r="AJ18803" s="835">
        <v>41486</v>
      </c>
      <c r="AK18803" s="831">
        <v>71979253</v>
      </c>
    </row>
    <row r="18804" spans="2:37">
      <c r="B18804" s="834" t="str">
        <f t="shared" si="667"/>
        <v>|||</v>
      </c>
      <c r="H18804" s="835">
        <f t="shared" si="668"/>
        <v>31</v>
      </c>
      <c r="AF18804" s="831" t="s">
        <v>11003</v>
      </c>
      <c r="AG18804" s="831" t="s">
        <v>2674</v>
      </c>
      <c r="AH18804" s="831" t="s">
        <v>89</v>
      </c>
      <c r="AI18804" s="831">
        <v>0</v>
      </c>
      <c r="AJ18804" s="835">
        <v>41486</v>
      </c>
      <c r="AK18804" s="831">
        <v>138057</v>
      </c>
    </row>
    <row r="18805" spans="2:37">
      <c r="B18805" s="834" t="str">
        <f t="shared" si="667"/>
        <v>|||</v>
      </c>
      <c r="H18805" s="835">
        <f t="shared" si="668"/>
        <v>31</v>
      </c>
      <c r="AF18805" s="831" t="s">
        <v>11004</v>
      </c>
      <c r="AG18805" s="831" t="s">
        <v>2674</v>
      </c>
      <c r="AH18805" s="831" t="s">
        <v>557</v>
      </c>
      <c r="AI18805" s="831">
        <v>0</v>
      </c>
      <c r="AJ18805" s="835">
        <v>41486</v>
      </c>
      <c r="AK18805" s="831">
        <v>145518</v>
      </c>
    </row>
    <row r="18806" spans="2:37">
      <c r="B18806" s="834" t="str">
        <f t="shared" si="667"/>
        <v>|||</v>
      </c>
      <c r="H18806" s="835">
        <f t="shared" si="668"/>
        <v>31</v>
      </c>
      <c r="AF18806" s="831" t="s">
        <v>11005</v>
      </c>
      <c r="AG18806" s="831" t="s">
        <v>2674</v>
      </c>
      <c r="AH18806" s="831" t="s">
        <v>29</v>
      </c>
      <c r="AI18806" s="831">
        <v>0</v>
      </c>
      <c r="AJ18806" s="835">
        <v>41486</v>
      </c>
      <c r="AK18806" s="831">
        <v>1452161.1670000001</v>
      </c>
    </row>
    <row r="18807" spans="2:37">
      <c r="B18807" s="834" t="str">
        <f t="shared" si="667"/>
        <v>|||</v>
      </c>
      <c r="H18807" s="835">
        <f t="shared" si="668"/>
        <v>31</v>
      </c>
      <c r="AF18807" s="831" t="s">
        <v>11006</v>
      </c>
      <c r="AG18807" s="831" t="s">
        <v>2674</v>
      </c>
      <c r="AH18807" s="831" t="s">
        <v>2688</v>
      </c>
      <c r="AI18807" s="831">
        <v>0</v>
      </c>
      <c r="AJ18807" s="835">
        <v>41486</v>
      </c>
      <c r="AK18807" s="831">
        <v>1987224.58</v>
      </c>
    </row>
    <row r="18808" spans="2:37">
      <c r="B18808" s="834" t="str">
        <f t="shared" si="667"/>
        <v>|||</v>
      </c>
      <c r="H18808" s="835">
        <f t="shared" si="668"/>
        <v>31</v>
      </c>
      <c r="AF18808" s="831" t="s">
        <v>11007</v>
      </c>
      <c r="AG18808" s="831" t="s">
        <v>2674</v>
      </c>
      <c r="AH18808" s="831" t="s">
        <v>556</v>
      </c>
      <c r="AI18808" s="831">
        <v>0</v>
      </c>
      <c r="AJ18808" s="835">
        <v>41486</v>
      </c>
      <c r="AK18808" s="831">
        <v>2547589</v>
      </c>
    </row>
    <row r="18809" spans="2:37">
      <c r="B18809" s="834" t="str">
        <f t="shared" si="667"/>
        <v>|||</v>
      </c>
      <c r="H18809" s="835">
        <f t="shared" si="668"/>
        <v>31</v>
      </c>
      <c r="AF18809" s="831" t="s">
        <v>11008</v>
      </c>
      <c r="AG18809" s="831" t="s">
        <v>2674</v>
      </c>
      <c r="AH18809" s="831" t="s">
        <v>555</v>
      </c>
      <c r="AI18809" s="831">
        <v>0</v>
      </c>
      <c r="AJ18809" s="835">
        <v>41486</v>
      </c>
      <c r="AK18809" s="831">
        <v>359140020</v>
      </c>
    </row>
    <row r="18810" spans="2:37">
      <c r="B18810" s="834" t="str">
        <f t="shared" si="667"/>
        <v>|||</v>
      </c>
      <c r="H18810" s="835">
        <f t="shared" si="668"/>
        <v>31</v>
      </c>
      <c r="AF18810" s="831" t="s">
        <v>11009</v>
      </c>
      <c r="AG18810" s="831" t="s">
        <v>2674</v>
      </c>
      <c r="AH18810" s="831" t="s">
        <v>554</v>
      </c>
      <c r="AI18810" s="831">
        <v>0</v>
      </c>
      <c r="AJ18810" s="835">
        <v>41486</v>
      </c>
      <c r="AK18810" s="831">
        <v>364984870</v>
      </c>
    </row>
    <row r="18811" spans="2:37">
      <c r="B18811" s="834" t="str">
        <f t="shared" si="667"/>
        <v>|||</v>
      </c>
      <c r="H18811" s="835">
        <f t="shared" si="668"/>
        <v>31</v>
      </c>
      <c r="AF18811" s="831" t="s">
        <v>11010</v>
      </c>
      <c r="AG18811" s="831" t="s">
        <v>2674</v>
      </c>
      <c r="AH18811" s="831" t="s">
        <v>553</v>
      </c>
      <c r="AI18811" s="831">
        <v>0</v>
      </c>
      <c r="AJ18811" s="835">
        <v>41486</v>
      </c>
      <c r="AK18811" s="831">
        <v>0</v>
      </c>
    </row>
    <row r="18812" spans="2:37">
      <c r="B18812" s="834" t="str">
        <f t="shared" si="667"/>
        <v>|||</v>
      </c>
      <c r="H18812" s="835">
        <f t="shared" si="668"/>
        <v>31</v>
      </c>
      <c r="AF18812" s="831" t="s">
        <v>11011</v>
      </c>
      <c r="AG18812" s="831" t="s">
        <v>2674</v>
      </c>
      <c r="AH18812" s="831" t="s">
        <v>552</v>
      </c>
      <c r="AI18812" s="831">
        <v>0</v>
      </c>
      <c r="AJ18812" s="835">
        <v>41486</v>
      </c>
      <c r="AK18812" s="831">
        <v>0</v>
      </c>
    </row>
    <row r="18813" spans="2:37">
      <c r="B18813" s="834" t="str">
        <f t="shared" si="667"/>
        <v>|||</v>
      </c>
      <c r="H18813" s="835">
        <f t="shared" si="668"/>
        <v>31</v>
      </c>
      <c r="AF18813" s="831" t="s">
        <v>11012</v>
      </c>
      <c r="AG18813" s="831" t="s">
        <v>2674</v>
      </c>
      <c r="AH18813" s="831" t="s">
        <v>551</v>
      </c>
      <c r="AI18813" s="831">
        <v>0</v>
      </c>
      <c r="AJ18813" s="835">
        <v>41486</v>
      </c>
      <c r="AK18813" s="831">
        <v>1334074.5780000002</v>
      </c>
    </row>
    <row r="18814" spans="2:37">
      <c r="B18814" s="834" t="str">
        <f t="shared" si="667"/>
        <v>|||</v>
      </c>
      <c r="H18814" s="835">
        <f t="shared" si="668"/>
        <v>31</v>
      </c>
      <c r="AF18814" s="831" t="s">
        <v>11013</v>
      </c>
      <c r="AG18814" s="831" t="s">
        <v>2674</v>
      </c>
      <c r="AH18814" s="831" t="s">
        <v>550</v>
      </c>
      <c r="AI18814" s="831">
        <v>0</v>
      </c>
      <c r="AJ18814" s="835">
        <v>41486</v>
      </c>
      <c r="AK18814" s="831">
        <v>108060358</v>
      </c>
    </row>
    <row r="18815" spans="2:37">
      <c r="B18815" s="834" t="str">
        <f t="shared" si="667"/>
        <v>|||</v>
      </c>
      <c r="H18815" s="835">
        <f t="shared" si="668"/>
        <v>31</v>
      </c>
      <c r="AF18815" s="831" t="s">
        <v>11014</v>
      </c>
      <c r="AG18815" s="831" t="s">
        <v>2674</v>
      </c>
      <c r="AH18815" s="831" t="s">
        <v>562</v>
      </c>
      <c r="AI18815" s="831">
        <v>0</v>
      </c>
      <c r="AJ18815" s="835">
        <v>41486</v>
      </c>
      <c r="AK18815" s="831">
        <v>0.78374999999999995</v>
      </c>
    </row>
    <row r="18816" spans="2:37">
      <c r="B18816" s="834" t="str">
        <f t="shared" si="667"/>
        <v>|||</v>
      </c>
      <c r="H18816" s="835">
        <f t="shared" si="668"/>
        <v>31</v>
      </c>
      <c r="AF18816" s="831" t="s">
        <v>11015</v>
      </c>
      <c r="AG18816" s="831" t="s">
        <v>2674</v>
      </c>
      <c r="AH18816" s="831" t="s">
        <v>2698</v>
      </c>
      <c r="AI18816" s="831">
        <v>0</v>
      </c>
      <c r="AJ18816" s="835">
        <v>41486</v>
      </c>
      <c r="AK18816" s="831">
        <v>0.78395000000000004</v>
      </c>
    </row>
    <row r="18817" spans="2:37">
      <c r="B18817" s="834" t="str">
        <f t="shared" si="667"/>
        <v>|||</v>
      </c>
      <c r="H18817" s="835">
        <f t="shared" si="668"/>
        <v>31</v>
      </c>
      <c r="AF18817" s="831" t="s">
        <v>11016</v>
      </c>
      <c r="AG18817" s="831" t="s">
        <v>2674</v>
      </c>
      <c r="AH18817" s="831" t="s">
        <v>560</v>
      </c>
      <c r="AI18817" s="831">
        <v>0</v>
      </c>
      <c r="AJ18817" s="835">
        <v>41486</v>
      </c>
      <c r="AK18817" s="831">
        <v>0.78403571428571439</v>
      </c>
    </row>
    <row r="18818" spans="2:37">
      <c r="B18818" s="834" t="str">
        <f t="shared" si="667"/>
        <v>|||</v>
      </c>
      <c r="H18818" s="835">
        <f t="shared" si="668"/>
        <v>31</v>
      </c>
      <c r="AF18818" s="831" t="s">
        <v>11017</v>
      </c>
      <c r="AG18818" s="831" t="s">
        <v>2674</v>
      </c>
      <c r="AH18818" s="831" t="s">
        <v>559</v>
      </c>
      <c r="AI18818" s="831">
        <v>0</v>
      </c>
      <c r="AJ18818" s="835">
        <v>41486</v>
      </c>
      <c r="AK18818" s="831">
        <v>0.7841583333333334</v>
      </c>
    </row>
    <row r="18819" spans="2:37">
      <c r="B18819" s="834" t="str">
        <f t="shared" si="667"/>
        <v>|||</v>
      </c>
      <c r="H18819" s="835">
        <f t="shared" si="668"/>
        <v>31</v>
      </c>
      <c r="AF18819" s="831" t="s">
        <v>11018</v>
      </c>
      <c r="AG18819" s="831" t="s">
        <v>2674</v>
      </c>
      <c r="AH18819" s="831" t="s">
        <v>568</v>
      </c>
      <c r="AI18819" s="831">
        <v>0</v>
      </c>
      <c r="AJ18819" s="835">
        <v>41486</v>
      </c>
      <c r="AK18819" s="831">
        <v>431219750.30769229</v>
      </c>
    </row>
    <row r="18820" spans="2:37">
      <c r="B18820" s="834" t="str">
        <f t="shared" si="667"/>
        <v>|||</v>
      </c>
      <c r="H18820" s="835">
        <f t="shared" si="668"/>
        <v>31</v>
      </c>
      <c r="AF18820" s="831" t="s">
        <v>11019</v>
      </c>
      <c r="AG18820" s="831" t="s">
        <v>2674</v>
      </c>
      <c r="AH18820" s="831" t="s">
        <v>569</v>
      </c>
      <c r="AI18820" s="831">
        <v>0</v>
      </c>
      <c r="AJ18820" s="835">
        <v>41486</v>
      </c>
      <c r="AK18820" s="831">
        <v>525226803</v>
      </c>
    </row>
    <row r="18821" spans="2:37">
      <c r="B18821" s="834" t="str">
        <f t="shared" si="667"/>
        <v>|||</v>
      </c>
      <c r="H18821" s="835">
        <f t="shared" si="668"/>
        <v>31</v>
      </c>
      <c r="AF18821" s="831" t="s">
        <v>11020</v>
      </c>
      <c r="AG18821" s="831" t="s">
        <v>2674</v>
      </c>
      <c r="AH18821" s="831" t="s">
        <v>570</v>
      </c>
      <c r="AI18821" s="831">
        <v>0</v>
      </c>
      <c r="AJ18821" s="835">
        <v>41486</v>
      </c>
      <c r="AK18821" s="831">
        <v>100992550.61538461</v>
      </c>
    </row>
    <row r="18822" spans="2:37">
      <c r="B18822" s="834" t="str">
        <f t="shared" si="667"/>
        <v>|||</v>
      </c>
      <c r="H18822" s="835">
        <f t="shared" si="668"/>
        <v>31</v>
      </c>
      <c r="AF18822" s="831" t="s">
        <v>11021</v>
      </c>
      <c r="AG18822" s="831" t="s">
        <v>2674</v>
      </c>
      <c r="AH18822" s="831" t="s">
        <v>571</v>
      </c>
      <c r="AI18822" s="831">
        <v>0</v>
      </c>
      <c r="AJ18822" s="835">
        <v>41486</v>
      </c>
      <c r="AK18822" s="831">
        <v>233627225.76923078</v>
      </c>
    </row>
    <row r="18823" spans="2:37">
      <c r="B18823" s="834" t="str">
        <f t="shared" si="667"/>
        <v>|||</v>
      </c>
      <c r="H18823" s="835">
        <f t="shared" si="668"/>
        <v>31</v>
      </c>
      <c r="AF18823" s="831" t="s">
        <v>11022</v>
      </c>
      <c r="AG18823" s="831" t="s">
        <v>2674</v>
      </c>
      <c r="AH18823" s="831" t="s">
        <v>573</v>
      </c>
      <c r="AI18823" s="831">
        <v>0</v>
      </c>
      <c r="AJ18823" s="835">
        <v>41486</v>
      </c>
      <c r="AK18823" s="831">
        <v>569857313.625</v>
      </c>
    </row>
    <row r="18824" spans="2:37">
      <c r="B18824" s="834" t="str">
        <f t="shared" si="667"/>
        <v>|||</v>
      </c>
      <c r="H18824" s="835">
        <f t="shared" si="668"/>
        <v>31</v>
      </c>
      <c r="AF18824" s="831" t="s">
        <v>11023</v>
      </c>
      <c r="AG18824" s="831" t="s">
        <v>2674</v>
      </c>
      <c r="AH18824" s="831" t="s">
        <v>574</v>
      </c>
      <c r="AI18824" s="831">
        <v>0</v>
      </c>
      <c r="AJ18824" s="835">
        <v>41486</v>
      </c>
      <c r="AK18824" s="831">
        <v>469485522.25</v>
      </c>
    </row>
    <row r="18825" spans="2:37">
      <c r="B18825" s="834" t="str">
        <f t="shared" si="667"/>
        <v>|||</v>
      </c>
      <c r="H18825" s="835">
        <f t="shared" si="668"/>
        <v>31</v>
      </c>
      <c r="AF18825" s="831" t="s">
        <v>11024</v>
      </c>
      <c r="AG18825" s="831" t="s">
        <v>2674</v>
      </c>
      <c r="AH18825" s="831" t="s">
        <v>575</v>
      </c>
      <c r="AI18825" s="831">
        <v>0</v>
      </c>
      <c r="AJ18825" s="835">
        <v>41486</v>
      </c>
      <c r="AK18825" s="831">
        <v>103170462.125</v>
      </c>
    </row>
    <row r="18826" spans="2:37">
      <c r="B18826" s="834" t="str">
        <f t="shared" si="667"/>
        <v>|||</v>
      </c>
      <c r="H18826" s="835">
        <f t="shared" si="668"/>
        <v>31</v>
      </c>
      <c r="AF18826" s="831" t="s">
        <v>11025</v>
      </c>
      <c r="AG18826" s="831" t="s">
        <v>2674</v>
      </c>
      <c r="AH18826" s="831" t="s">
        <v>576</v>
      </c>
      <c r="AI18826" s="831">
        <v>0</v>
      </c>
      <c r="AJ18826" s="835">
        <v>41486</v>
      </c>
      <c r="AK18826" s="831">
        <v>265012255.125</v>
      </c>
    </row>
    <row r="18827" spans="2:37">
      <c r="B18827" s="834" t="str">
        <f t="shared" si="667"/>
        <v>|||</v>
      </c>
      <c r="H18827" s="835">
        <f t="shared" si="668"/>
        <v>31</v>
      </c>
      <c r="AF18827" s="831" t="s">
        <v>11026</v>
      </c>
      <c r="AG18827" s="831" t="s">
        <v>2674</v>
      </c>
      <c r="AH18827" s="831" t="s">
        <v>572</v>
      </c>
      <c r="AI18827" s="831">
        <v>0</v>
      </c>
      <c r="AJ18827" s="835">
        <v>41486</v>
      </c>
      <c r="AK18827" s="831">
        <v>23860386</v>
      </c>
    </row>
    <row r="18828" spans="2:37">
      <c r="B18828" s="834" t="str">
        <f t="shared" si="667"/>
        <v>|||</v>
      </c>
      <c r="H18828" s="835">
        <f t="shared" si="668"/>
        <v>31</v>
      </c>
      <c r="AF18828" s="831" t="s">
        <v>11027</v>
      </c>
      <c r="AG18828" s="831" t="s">
        <v>2674</v>
      </c>
      <c r="AH18828" s="831" t="s">
        <v>577</v>
      </c>
      <c r="AI18828" s="831">
        <v>0</v>
      </c>
      <c r="AJ18828" s="835">
        <v>41486</v>
      </c>
      <c r="AK18828" s="831">
        <v>116281669</v>
      </c>
    </row>
    <row r="18829" spans="2:37">
      <c r="B18829" s="834" t="str">
        <f t="shared" si="667"/>
        <v>|||</v>
      </c>
      <c r="H18829" s="835">
        <f t="shared" si="668"/>
        <v>31</v>
      </c>
      <c r="AF18829" s="831" t="s">
        <v>11028</v>
      </c>
      <c r="AG18829" s="831" t="s">
        <v>2674</v>
      </c>
      <c r="AH18829" s="831" t="s">
        <v>3042</v>
      </c>
      <c r="AI18829" s="831">
        <v>0</v>
      </c>
      <c r="AJ18829" s="835">
        <v>41486</v>
      </c>
      <c r="AK18829" s="831">
        <v>-28313674</v>
      </c>
    </row>
    <row r="18830" spans="2:37">
      <c r="B18830" s="834" t="str">
        <f t="shared" si="667"/>
        <v>|||</v>
      </c>
      <c r="H18830" s="835">
        <f t="shared" si="668"/>
        <v>31</v>
      </c>
      <c r="AF18830" s="831" t="s">
        <v>11029</v>
      </c>
      <c r="AG18830" s="831" t="s">
        <v>2674</v>
      </c>
      <c r="AH18830" s="831" t="s">
        <v>3044</v>
      </c>
      <c r="AI18830" s="831">
        <v>0</v>
      </c>
      <c r="AJ18830" s="835">
        <v>41486</v>
      </c>
      <c r="AK18830" s="831">
        <v>-4195755</v>
      </c>
    </row>
    <row r="18831" spans="2:37">
      <c r="B18831" s="834" t="str">
        <f t="shared" si="667"/>
        <v>|||</v>
      </c>
      <c r="H18831" s="835">
        <f t="shared" si="668"/>
        <v>31</v>
      </c>
      <c r="AF18831" s="831" t="s">
        <v>11030</v>
      </c>
      <c r="AG18831" s="831" t="s">
        <v>2674</v>
      </c>
      <c r="AH18831" s="831" t="s">
        <v>580</v>
      </c>
      <c r="AI18831" s="831">
        <v>0</v>
      </c>
      <c r="AJ18831" s="835">
        <v>41486</v>
      </c>
      <c r="AK18831" s="831">
        <v>-57513801</v>
      </c>
    </row>
    <row r="18832" spans="2:37">
      <c r="B18832" s="834" t="str">
        <f t="shared" si="667"/>
        <v>|||</v>
      </c>
      <c r="H18832" s="835">
        <f t="shared" si="668"/>
        <v>31</v>
      </c>
      <c r="AF18832" s="831" t="s">
        <v>11031</v>
      </c>
      <c r="AG18832" s="831" t="s">
        <v>2674</v>
      </c>
      <c r="AH18832" s="831" t="s">
        <v>581</v>
      </c>
      <c r="AI18832" s="831">
        <v>0</v>
      </c>
      <c r="AJ18832" s="835">
        <v>41486</v>
      </c>
      <c r="AK18832" s="831">
        <v>4189789</v>
      </c>
    </row>
    <row r="18833" spans="2:37">
      <c r="B18833" s="834" t="str">
        <f t="shared" ref="B18833:B18896" si="669">C18833&amp;"|"&amp;D18833&amp;"|"&amp;E18833&amp;"|"&amp;F18833</f>
        <v>|||</v>
      </c>
      <c r="H18833" s="835">
        <f t="shared" ref="H18833:H18896" si="670">EOMONTH(L18833,0)</f>
        <v>31</v>
      </c>
      <c r="AF18833" s="831" t="s">
        <v>11032</v>
      </c>
      <c r="AG18833" s="831" t="s">
        <v>2674</v>
      </c>
      <c r="AH18833" s="831" t="s">
        <v>105</v>
      </c>
      <c r="AI18833" s="831">
        <v>0</v>
      </c>
      <c r="AJ18833" s="835">
        <v>41486</v>
      </c>
      <c r="AK18833" s="831">
        <v>321921227</v>
      </c>
    </row>
    <row r="18834" spans="2:37">
      <c r="B18834" s="834" t="str">
        <f t="shared" si="669"/>
        <v>|||</v>
      </c>
      <c r="H18834" s="835">
        <f t="shared" si="670"/>
        <v>31</v>
      </c>
      <c r="AF18834" s="831" t="s">
        <v>11033</v>
      </c>
      <c r="AG18834" s="831" t="s">
        <v>2674</v>
      </c>
      <c r="AH18834" s="831" t="s">
        <v>3049</v>
      </c>
      <c r="AI18834" s="831">
        <v>0</v>
      </c>
      <c r="AJ18834" s="835">
        <v>41486</v>
      </c>
      <c r="AK18834" s="831">
        <v>533353115</v>
      </c>
    </row>
    <row r="18835" spans="2:37">
      <c r="B18835" s="834" t="str">
        <f t="shared" si="669"/>
        <v>|||</v>
      </c>
      <c r="H18835" s="835">
        <f t="shared" si="670"/>
        <v>31</v>
      </c>
      <c r="AF18835" s="831" t="s">
        <v>11034</v>
      </c>
      <c r="AG18835" s="831" t="s">
        <v>2674</v>
      </c>
      <c r="AH18835" s="831" t="s">
        <v>103</v>
      </c>
      <c r="AI18835" s="831">
        <v>0</v>
      </c>
      <c r="AJ18835" s="835">
        <v>41486</v>
      </c>
      <c r="AK18835" s="831">
        <v>211431888</v>
      </c>
    </row>
    <row r="18836" spans="2:37">
      <c r="B18836" s="834" t="str">
        <f t="shared" si="669"/>
        <v>|||</v>
      </c>
      <c r="H18836" s="835">
        <f t="shared" si="670"/>
        <v>31</v>
      </c>
      <c r="AF18836" s="831" t="s">
        <v>11035</v>
      </c>
      <c r="AG18836" s="831" t="s">
        <v>2674</v>
      </c>
      <c r="AH18836" s="831" t="s">
        <v>182</v>
      </c>
      <c r="AI18836" s="831">
        <v>0</v>
      </c>
      <c r="AJ18836" s="835">
        <v>41486</v>
      </c>
      <c r="AK18836" s="831">
        <v>58107797.142857142</v>
      </c>
    </row>
    <row r="18837" spans="2:37">
      <c r="B18837" s="834" t="str">
        <f t="shared" si="669"/>
        <v>|||</v>
      </c>
      <c r="H18837" s="835">
        <f t="shared" si="670"/>
        <v>31</v>
      </c>
      <c r="AF18837" s="831" t="s">
        <v>11036</v>
      </c>
      <c r="AG18837" s="831" t="s">
        <v>2674</v>
      </c>
      <c r="AH18837" s="831" t="s">
        <v>6600</v>
      </c>
      <c r="AI18837" s="831">
        <v>0</v>
      </c>
      <c r="AJ18837" s="835">
        <v>41486</v>
      </c>
      <c r="AK18837" s="831">
        <v>23860386</v>
      </c>
    </row>
    <row r="18838" spans="2:37">
      <c r="B18838" s="834" t="str">
        <f t="shared" si="669"/>
        <v>|||</v>
      </c>
      <c r="H18838" s="835">
        <f t="shared" si="670"/>
        <v>31</v>
      </c>
      <c r="AF18838" s="831" t="s">
        <v>11037</v>
      </c>
      <c r="AG18838" s="831" t="s">
        <v>2674</v>
      </c>
      <c r="AH18838" s="831" t="s">
        <v>6602</v>
      </c>
      <c r="AI18838" s="831">
        <v>0</v>
      </c>
      <c r="AJ18838" s="835">
        <v>41486</v>
      </c>
      <c r="AK18838" s="831">
        <v>16124340</v>
      </c>
    </row>
    <row r="18839" spans="2:37">
      <c r="B18839" s="834" t="str">
        <f t="shared" si="669"/>
        <v>|||</v>
      </c>
      <c r="H18839" s="835">
        <f t="shared" si="670"/>
        <v>31</v>
      </c>
      <c r="AF18839" s="831" t="s">
        <v>11038</v>
      </c>
      <c r="AG18839" s="831" t="s">
        <v>2674</v>
      </c>
      <c r="AH18839" s="831" t="s">
        <v>650</v>
      </c>
      <c r="AI18839" s="831">
        <v>0</v>
      </c>
      <c r="AJ18839" s="835">
        <v>41486</v>
      </c>
      <c r="AK18839" s="831">
        <v>176984761.69230768</v>
      </c>
    </row>
    <row r="18840" spans="2:37">
      <c r="B18840" s="834" t="str">
        <f t="shared" si="669"/>
        <v>|||</v>
      </c>
      <c r="H18840" s="835">
        <f t="shared" si="670"/>
        <v>31</v>
      </c>
      <c r="AF18840" s="831" t="s">
        <v>11039</v>
      </c>
      <c r="AG18840" s="831" t="s">
        <v>2674</v>
      </c>
      <c r="AH18840" s="831" t="s">
        <v>655</v>
      </c>
      <c r="AI18840" s="831">
        <v>0</v>
      </c>
      <c r="AJ18840" s="835">
        <v>41486</v>
      </c>
      <c r="AK18840" s="831">
        <v>1081919.6189999999</v>
      </c>
    </row>
    <row r="18841" spans="2:37">
      <c r="B18841" s="834" t="str">
        <f t="shared" si="669"/>
        <v>|||</v>
      </c>
      <c r="H18841" s="835">
        <f t="shared" si="670"/>
        <v>31</v>
      </c>
      <c r="AF18841" s="831" t="s">
        <v>11040</v>
      </c>
      <c r="AG18841" s="831" t="s">
        <v>2674</v>
      </c>
      <c r="AH18841" s="831" t="s">
        <v>546</v>
      </c>
      <c r="AI18841" s="831">
        <v>0</v>
      </c>
      <c r="AJ18841" s="835">
        <v>41517</v>
      </c>
      <c r="AK18841" s="831">
        <v>548671343</v>
      </c>
    </row>
    <row r="18842" spans="2:37">
      <c r="B18842" s="834" t="str">
        <f t="shared" si="669"/>
        <v>|||</v>
      </c>
      <c r="H18842" s="835">
        <f t="shared" si="670"/>
        <v>31</v>
      </c>
      <c r="AF18842" s="831" t="s">
        <v>11041</v>
      </c>
      <c r="AG18842" s="831" t="s">
        <v>2674</v>
      </c>
      <c r="AH18842" s="831" t="s">
        <v>370</v>
      </c>
      <c r="AI18842" s="831">
        <v>0</v>
      </c>
      <c r="AJ18842" s="835">
        <v>41517</v>
      </c>
      <c r="AK18842" s="831">
        <v>657414575</v>
      </c>
    </row>
    <row r="18843" spans="2:37">
      <c r="B18843" s="834" t="str">
        <f t="shared" si="669"/>
        <v>|||</v>
      </c>
      <c r="H18843" s="835">
        <f t="shared" si="670"/>
        <v>31</v>
      </c>
      <c r="AF18843" s="831" t="s">
        <v>11042</v>
      </c>
      <c r="AG18843" s="831" t="s">
        <v>2674</v>
      </c>
      <c r="AH18843" s="831" t="s">
        <v>126</v>
      </c>
      <c r="AI18843" s="831">
        <v>0</v>
      </c>
      <c r="AJ18843" s="835">
        <v>41517</v>
      </c>
      <c r="AK18843" s="831">
        <v>113874944</v>
      </c>
    </row>
    <row r="18844" spans="2:37">
      <c r="B18844" s="834" t="str">
        <f t="shared" si="669"/>
        <v>|||</v>
      </c>
      <c r="H18844" s="835">
        <f t="shared" si="670"/>
        <v>31</v>
      </c>
      <c r="AF18844" s="831" t="s">
        <v>11043</v>
      </c>
      <c r="AG18844" s="831" t="s">
        <v>2674</v>
      </c>
      <c r="AH18844" s="831" t="s">
        <v>268</v>
      </c>
      <c r="AI18844" s="831">
        <v>0</v>
      </c>
      <c r="AJ18844" s="835">
        <v>41517</v>
      </c>
      <c r="AK18844" s="831">
        <v>19111719</v>
      </c>
    </row>
    <row r="18845" spans="2:37">
      <c r="B18845" s="834" t="str">
        <f t="shared" si="669"/>
        <v>|||</v>
      </c>
      <c r="H18845" s="835">
        <f t="shared" si="670"/>
        <v>31</v>
      </c>
      <c r="AF18845" s="831" t="s">
        <v>11044</v>
      </c>
      <c r="AG18845" s="831" t="s">
        <v>2674</v>
      </c>
      <c r="AH18845" s="831" t="s">
        <v>547</v>
      </c>
      <c r="AI18845" s="831">
        <v>0</v>
      </c>
      <c r="AJ18845" s="835">
        <v>41517</v>
      </c>
      <c r="AK18845" s="831">
        <v>511487760</v>
      </c>
    </row>
    <row r="18846" spans="2:37">
      <c r="B18846" s="834" t="str">
        <f t="shared" si="669"/>
        <v>|||</v>
      </c>
      <c r="H18846" s="835">
        <f t="shared" si="670"/>
        <v>31</v>
      </c>
      <c r="AF18846" s="831" t="s">
        <v>11045</v>
      </c>
      <c r="AG18846" s="831" t="s">
        <v>2674</v>
      </c>
      <c r="AH18846" s="831" t="s">
        <v>548</v>
      </c>
      <c r="AI18846" s="831">
        <v>0</v>
      </c>
      <c r="AJ18846" s="835">
        <v>41517</v>
      </c>
      <c r="AK18846" s="831">
        <v>96883184</v>
      </c>
    </row>
    <row r="18847" spans="2:37">
      <c r="B18847" s="834" t="str">
        <f t="shared" si="669"/>
        <v>|||</v>
      </c>
      <c r="H18847" s="835">
        <f t="shared" si="670"/>
        <v>31</v>
      </c>
      <c r="AF18847" s="831" t="s">
        <v>11046</v>
      </c>
      <c r="AG18847" s="831" t="s">
        <v>2674</v>
      </c>
      <c r="AH18847" s="831" t="s">
        <v>549</v>
      </c>
      <c r="AI18847" s="831">
        <v>0</v>
      </c>
      <c r="AJ18847" s="835">
        <v>41517</v>
      </c>
      <c r="AK18847" s="831">
        <v>362295244</v>
      </c>
    </row>
    <row r="18848" spans="2:37">
      <c r="B18848" s="834" t="str">
        <f t="shared" si="669"/>
        <v>|||</v>
      </c>
      <c r="H18848" s="835">
        <f t="shared" si="670"/>
        <v>31</v>
      </c>
      <c r="AF18848" s="831" t="s">
        <v>11047</v>
      </c>
      <c r="AG18848" s="831" t="s">
        <v>2674</v>
      </c>
      <c r="AH18848" s="831" t="s">
        <v>192</v>
      </c>
      <c r="AI18848" s="831">
        <v>0</v>
      </c>
      <c r="AJ18848" s="835">
        <v>41517</v>
      </c>
      <c r="AK18848" s="831">
        <v>-12472831</v>
      </c>
    </row>
    <row r="18849" spans="2:37">
      <c r="B18849" s="834" t="str">
        <f t="shared" si="669"/>
        <v>|||</v>
      </c>
      <c r="H18849" s="835">
        <f t="shared" si="670"/>
        <v>31</v>
      </c>
      <c r="AF18849" s="831" t="s">
        <v>11048</v>
      </c>
      <c r="AG18849" s="831" t="s">
        <v>2674</v>
      </c>
      <c r="AH18849" s="831" t="s">
        <v>558</v>
      </c>
      <c r="AI18849" s="831">
        <v>0</v>
      </c>
      <c r="AJ18849" s="835">
        <v>41517</v>
      </c>
      <c r="AK18849" s="831">
        <v>543539630.65999997</v>
      </c>
    </row>
    <row r="18850" spans="2:37">
      <c r="B18850" s="834" t="str">
        <f t="shared" si="669"/>
        <v>|||</v>
      </c>
      <c r="H18850" s="835">
        <f t="shared" si="670"/>
        <v>31</v>
      </c>
      <c r="AF18850" s="831" t="s">
        <v>11049</v>
      </c>
      <c r="AG18850" s="831" t="s">
        <v>2674</v>
      </c>
      <c r="AH18850" s="831" t="s">
        <v>65</v>
      </c>
      <c r="AI18850" s="831">
        <v>0</v>
      </c>
      <c r="AJ18850" s="835">
        <v>41517</v>
      </c>
      <c r="AK18850" s="831">
        <v>83388551</v>
      </c>
    </row>
    <row r="18851" spans="2:37">
      <c r="B18851" s="834" t="str">
        <f t="shared" si="669"/>
        <v>|||</v>
      </c>
      <c r="H18851" s="835">
        <f t="shared" si="670"/>
        <v>31</v>
      </c>
      <c r="AF18851" s="831" t="s">
        <v>11050</v>
      </c>
      <c r="AG18851" s="831" t="s">
        <v>2674</v>
      </c>
      <c r="AH18851" s="831" t="s">
        <v>89</v>
      </c>
      <c r="AI18851" s="831">
        <v>0</v>
      </c>
      <c r="AJ18851" s="835">
        <v>41517</v>
      </c>
      <c r="AK18851" s="831">
        <v>139614</v>
      </c>
    </row>
    <row r="18852" spans="2:37">
      <c r="B18852" s="834" t="str">
        <f t="shared" si="669"/>
        <v>|||</v>
      </c>
      <c r="H18852" s="835">
        <f t="shared" si="670"/>
        <v>31</v>
      </c>
      <c r="AF18852" s="831" t="s">
        <v>11051</v>
      </c>
      <c r="AG18852" s="831" t="s">
        <v>2674</v>
      </c>
      <c r="AH18852" s="831" t="s">
        <v>557</v>
      </c>
      <c r="AI18852" s="831">
        <v>0</v>
      </c>
      <c r="AJ18852" s="835">
        <v>41517</v>
      </c>
      <c r="AK18852" s="831">
        <v>147732</v>
      </c>
    </row>
    <row r="18853" spans="2:37">
      <c r="B18853" s="834" t="str">
        <f t="shared" si="669"/>
        <v>|||</v>
      </c>
      <c r="H18853" s="835">
        <f t="shared" si="670"/>
        <v>31</v>
      </c>
      <c r="AF18853" s="831" t="s">
        <v>11052</v>
      </c>
      <c r="AG18853" s="831" t="s">
        <v>2674</v>
      </c>
      <c r="AH18853" s="831" t="s">
        <v>29</v>
      </c>
      <c r="AI18853" s="831">
        <v>0</v>
      </c>
      <c r="AJ18853" s="835">
        <v>41517</v>
      </c>
      <c r="AK18853" s="831">
        <v>1641079.85</v>
      </c>
    </row>
    <row r="18854" spans="2:37">
      <c r="B18854" s="834" t="str">
        <f t="shared" si="669"/>
        <v>|||</v>
      </c>
      <c r="H18854" s="835">
        <f t="shared" si="670"/>
        <v>31</v>
      </c>
      <c r="AF18854" s="831" t="s">
        <v>11053</v>
      </c>
      <c r="AG18854" s="831" t="s">
        <v>2674</v>
      </c>
      <c r="AH18854" s="831" t="s">
        <v>2688</v>
      </c>
      <c r="AI18854" s="831">
        <v>0</v>
      </c>
      <c r="AJ18854" s="835">
        <v>41517</v>
      </c>
      <c r="AK18854" s="831">
        <v>1980496.8299999998</v>
      </c>
    </row>
    <row r="18855" spans="2:37">
      <c r="B18855" s="834" t="str">
        <f t="shared" si="669"/>
        <v>|||</v>
      </c>
      <c r="H18855" s="835">
        <f t="shared" si="670"/>
        <v>31</v>
      </c>
      <c r="AF18855" s="831" t="s">
        <v>11054</v>
      </c>
      <c r="AG18855" s="831" t="s">
        <v>2674</v>
      </c>
      <c r="AH18855" s="831" t="s">
        <v>556</v>
      </c>
      <c r="AI18855" s="831">
        <v>0</v>
      </c>
      <c r="AJ18855" s="835">
        <v>41517</v>
      </c>
      <c r="AK18855" s="831">
        <v>1644732</v>
      </c>
    </row>
    <row r="18856" spans="2:37">
      <c r="B18856" s="834" t="str">
        <f t="shared" si="669"/>
        <v>|||</v>
      </c>
      <c r="H18856" s="835">
        <f t="shared" si="670"/>
        <v>31</v>
      </c>
      <c r="AF18856" s="831" t="s">
        <v>11055</v>
      </c>
      <c r="AG18856" s="831" t="s">
        <v>2674</v>
      </c>
      <c r="AH18856" s="831" t="s">
        <v>555</v>
      </c>
      <c r="AI18856" s="831">
        <v>0</v>
      </c>
      <c r="AJ18856" s="835">
        <v>41517</v>
      </c>
      <c r="AK18856" s="831">
        <v>349976200</v>
      </c>
    </row>
    <row r="18857" spans="2:37">
      <c r="B18857" s="834" t="str">
        <f t="shared" si="669"/>
        <v>|||</v>
      </c>
      <c r="H18857" s="835">
        <f t="shared" si="670"/>
        <v>31</v>
      </c>
      <c r="AF18857" s="831" t="s">
        <v>11056</v>
      </c>
      <c r="AG18857" s="831" t="s">
        <v>2674</v>
      </c>
      <c r="AH18857" s="831" t="s">
        <v>554</v>
      </c>
      <c r="AI18857" s="831">
        <v>0</v>
      </c>
      <c r="AJ18857" s="835">
        <v>41517</v>
      </c>
      <c r="AK18857" s="831">
        <v>362271180</v>
      </c>
    </row>
    <row r="18858" spans="2:37">
      <c r="B18858" s="834" t="str">
        <f t="shared" si="669"/>
        <v>|||</v>
      </c>
      <c r="H18858" s="835">
        <f t="shared" si="670"/>
        <v>31</v>
      </c>
      <c r="AF18858" s="831" t="s">
        <v>11057</v>
      </c>
      <c r="AG18858" s="831" t="s">
        <v>2674</v>
      </c>
      <c r="AH18858" s="831" t="s">
        <v>553</v>
      </c>
      <c r="AI18858" s="831">
        <v>0</v>
      </c>
      <c r="AJ18858" s="835">
        <v>41517</v>
      </c>
      <c r="AK18858" s="831">
        <v>0</v>
      </c>
    </row>
    <row r="18859" spans="2:37">
      <c r="B18859" s="834" t="str">
        <f t="shared" si="669"/>
        <v>|||</v>
      </c>
      <c r="H18859" s="835">
        <f t="shared" si="670"/>
        <v>31</v>
      </c>
      <c r="AF18859" s="831" t="s">
        <v>11058</v>
      </c>
      <c r="AG18859" s="831" t="s">
        <v>2674</v>
      </c>
      <c r="AH18859" s="831" t="s">
        <v>552</v>
      </c>
      <c r="AI18859" s="831">
        <v>0</v>
      </c>
      <c r="AJ18859" s="835">
        <v>41517</v>
      </c>
      <c r="AK18859" s="831">
        <v>0</v>
      </c>
    </row>
    <row r="18860" spans="2:37">
      <c r="B18860" s="834" t="str">
        <f t="shared" si="669"/>
        <v>|||</v>
      </c>
      <c r="H18860" s="835">
        <f t="shared" si="670"/>
        <v>31</v>
      </c>
      <c r="AF18860" s="831" t="s">
        <v>11059</v>
      </c>
      <c r="AG18860" s="831" t="s">
        <v>2674</v>
      </c>
      <c r="AH18860" s="831" t="s">
        <v>551</v>
      </c>
      <c r="AI18860" s="831">
        <v>0</v>
      </c>
      <c r="AJ18860" s="835">
        <v>41517</v>
      </c>
      <c r="AK18860" s="831">
        <v>1337345.54</v>
      </c>
    </row>
    <row r="18861" spans="2:37">
      <c r="B18861" s="834" t="str">
        <f t="shared" si="669"/>
        <v>|||</v>
      </c>
      <c r="H18861" s="835">
        <f t="shared" si="670"/>
        <v>31</v>
      </c>
      <c r="AF18861" s="831" t="s">
        <v>11060</v>
      </c>
      <c r="AG18861" s="831" t="s">
        <v>2674</v>
      </c>
      <c r="AH18861" s="831" t="s">
        <v>550</v>
      </c>
      <c r="AI18861" s="831">
        <v>0</v>
      </c>
      <c r="AJ18861" s="835">
        <v>41517</v>
      </c>
      <c r="AK18861" s="831">
        <v>110887562</v>
      </c>
    </row>
    <row r="18862" spans="2:37">
      <c r="B18862" s="834" t="str">
        <f t="shared" si="669"/>
        <v>|||</v>
      </c>
      <c r="H18862" s="835">
        <f t="shared" si="670"/>
        <v>31</v>
      </c>
      <c r="AF18862" s="831" t="s">
        <v>11061</v>
      </c>
      <c r="AG18862" s="831" t="s">
        <v>2674</v>
      </c>
      <c r="AH18862" s="831" t="s">
        <v>562</v>
      </c>
      <c r="AI18862" s="831">
        <v>0</v>
      </c>
      <c r="AJ18862" s="835">
        <v>41517</v>
      </c>
      <c r="AK18862" s="831">
        <v>0.78385000000000005</v>
      </c>
    </row>
    <row r="18863" spans="2:37">
      <c r="B18863" s="834" t="str">
        <f t="shared" si="669"/>
        <v>|||</v>
      </c>
      <c r="H18863" s="835">
        <f t="shared" si="670"/>
        <v>31</v>
      </c>
      <c r="AF18863" s="831" t="s">
        <v>11062</v>
      </c>
      <c r="AG18863" s="831" t="s">
        <v>2674</v>
      </c>
      <c r="AH18863" s="831" t="s">
        <v>2698</v>
      </c>
      <c r="AI18863" s="831">
        <v>0</v>
      </c>
      <c r="AJ18863" s="835">
        <v>41517</v>
      </c>
      <c r="AK18863" s="831">
        <v>0.78374999999999995</v>
      </c>
    </row>
    <row r="18864" spans="2:37">
      <c r="B18864" s="834" t="str">
        <f t="shared" si="669"/>
        <v>|||</v>
      </c>
      <c r="H18864" s="835">
        <f t="shared" si="670"/>
        <v>31</v>
      </c>
      <c r="AF18864" s="831" t="s">
        <v>11063</v>
      </c>
      <c r="AG18864" s="831" t="s">
        <v>2674</v>
      </c>
      <c r="AH18864" s="831" t="s">
        <v>560</v>
      </c>
      <c r="AI18864" s="831">
        <v>0</v>
      </c>
      <c r="AJ18864" s="835">
        <v>41517</v>
      </c>
      <c r="AK18864" s="831">
        <v>0.7840125</v>
      </c>
    </row>
    <row r="18865" spans="2:37">
      <c r="B18865" s="834" t="str">
        <f t="shared" si="669"/>
        <v>|||</v>
      </c>
      <c r="H18865" s="835">
        <f t="shared" si="670"/>
        <v>31</v>
      </c>
      <c r="AF18865" s="831" t="s">
        <v>11064</v>
      </c>
      <c r="AG18865" s="831" t="s">
        <v>2674</v>
      </c>
      <c r="AH18865" s="831" t="s">
        <v>559</v>
      </c>
      <c r="AI18865" s="831">
        <v>0</v>
      </c>
      <c r="AJ18865" s="835">
        <v>41517</v>
      </c>
      <c r="AK18865" s="831">
        <v>0.78410416666666671</v>
      </c>
    </row>
    <row r="18866" spans="2:37">
      <c r="B18866" s="834" t="str">
        <f t="shared" si="669"/>
        <v>|||</v>
      </c>
      <c r="H18866" s="835">
        <f t="shared" si="670"/>
        <v>31</v>
      </c>
      <c r="AF18866" s="831" t="s">
        <v>11065</v>
      </c>
      <c r="AG18866" s="831" t="s">
        <v>2674</v>
      </c>
      <c r="AH18866" s="831" t="s">
        <v>568</v>
      </c>
      <c r="AI18866" s="831">
        <v>0</v>
      </c>
      <c r="AJ18866" s="835">
        <v>41517</v>
      </c>
      <c r="AK18866" s="831">
        <v>446494134.38461536</v>
      </c>
    </row>
    <row r="18867" spans="2:37">
      <c r="B18867" s="834" t="str">
        <f t="shared" si="669"/>
        <v>|||</v>
      </c>
      <c r="H18867" s="835">
        <f t="shared" si="670"/>
        <v>31</v>
      </c>
      <c r="AF18867" s="831" t="s">
        <v>11066</v>
      </c>
      <c r="AG18867" s="831" t="s">
        <v>2674</v>
      </c>
      <c r="AH18867" s="831" t="s">
        <v>569</v>
      </c>
      <c r="AI18867" s="831">
        <v>0</v>
      </c>
      <c r="AJ18867" s="835">
        <v>41517</v>
      </c>
      <c r="AK18867" s="831">
        <v>542095460.15384614</v>
      </c>
    </row>
    <row r="18868" spans="2:37">
      <c r="B18868" s="834" t="str">
        <f t="shared" si="669"/>
        <v>|||</v>
      </c>
      <c r="H18868" s="835">
        <f t="shared" si="670"/>
        <v>31</v>
      </c>
      <c r="AF18868" s="831" t="s">
        <v>11067</v>
      </c>
      <c r="AG18868" s="831" t="s">
        <v>2674</v>
      </c>
      <c r="AH18868" s="831" t="s">
        <v>570</v>
      </c>
      <c r="AI18868" s="831">
        <v>0</v>
      </c>
      <c r="AJ18868" s="835">
        <v>41517</v>
      </c>
      <c r="AK18868" s="831">
        <v>102565482.6923077</v>
      </c>
    </row>
    <row r="18869" spans="2:37">
      <c r="B18869" s="834" t="str">
        <f t="shared" si="669"/>
        <v>|||</v>
      </c>
      <c r="H18869" s="835">
        <f t="shared" si="670"/>
        <v>31</v>
      </c>
      <c r="AF18869" s="831" t="s">
        <v>11068</v>
      </c>
      <c r="AG18869" s="831" t="s">
        <v>2674</v>
      </c>
      <c r="AH18869" s="831" t="s">
        <v>571</v>
      </c>
      <c r="AI18869" s="831">
        <v>0</v>
      </c>
      <c r="AJ18869" s="835">
        <v>41517</v>
      </c>
      <c r="AK18869" s="831">
        <v>245131875.46153846</v>
      </c>
    </row>
    <row r="18870" spans="2:37">
      <c r="B18870" s="834" t="str">
        <f t="shared" si="669"/>
        <v>|||</v>
      </c>
      <c r="H18870" s="835">
        <f t="shared" si="670"/>
        <v>31</v>
      </c>
      <c r="AF18870" s="831" t="s">
        <v>11069</v>
      </c>
      <c r="AG18870" s="831" t="s">
        <v>2674</v>
      </c>
      <c r="AH18870" s="831" t="s">
        <v>573</v>
      </c>
      <c r="AI18870" s="831">
        <v>0</v>
      </c>
      <c r="AJ18870" s="835">
        <v>41517</v>
      </c>
      <c r="AK18870" s="831">
        <v>579585898.22222221</v>
      </c>
    </row>
    <row r="18871" spans="2:37">
      <c r="B18871" s="834" t="str">
        <f t="shared" si="669"/>
        <v>|||</v>
      </c>
      <c r="H18871" s="835">
        <f t="shared" si="670"/>
        <v>31</v>
      </c>
      <c r="AF18871" s="831" t="s">
        <v>11070</v>
      </c>
      <c r="AG18871" s="831" t="s">
        <v>2674</v>
      </c>
      <c r="AH18871" s="831" t="s">
        <v>574</v>
      </c>
      <c r="AI18871" s="831">
        <v>0</v>
      </c>
      <c r="AJ18871" s="835">
        <v>41517</v>
      </c>
      <c r="AK18871" s="831">
        <v>478283946.77777779</v>
      </c>
    </row>
    <row r="18872" spans="2:37">
      <c r="B18872" s="834" t="str">
        <f t="shared" si="669"/>
        <v>|||</v>
      </c>
      <c r="H18872" s="835">
        <f t="shared" si="670"/>
        <v>31</v>
      </c>
      <c r="AF18872" s="831" t="s">
        <v>11071</v>
      </c>
      <c r="AG18872" s="831" t="s">
        <v>2674</v>
      </c>
      <c r="AH18872" s="831" t="s">
        <v>575</v>
      </c>
      <c r="AI18872" s="831">
        <v>0</v>
      </c>
      <c r="AJ18872" s="835">
        <v>41517</v>
      </c>
      <c r="AK18872" s="831">
        <v>104359849</v>
      </c>
    </row>
    <row r="18873" spans="2:37">
      <c r="B18873" s="834" t="str">
        <f t="shared" si="669"/>
        <v>|||</v>
      </c>
      <c r="H18873" s="835">
        <f t="shared" si="670"/>
        <v>31</v>
      </c>
      <c r="AF18873" s="831" t="s">
        <v>11072</v>
      </c>
      <c r="AG18873" s="831" t="s">
        <v>2674</v>
      </c>
      <c r="AH18873" s="831" t="s">
        <v>576</v>
      </c>
      <c r="AI18873" s="831">
        <v>0</v>
      </c>
      <c r="AJ18873" s="835">
        <v>41517</v>
      </c>
      <c r="AK18873" s="831">
        <v>270469259.22222221</v>
      </c>
    </row>
    <row r="18874" spans="2:37">
      <c r="B18874" s="834" t="str">
        <f t="shared" si="669"/>
        <v>|||</v>
      </c>
      <c r="H18874" s="835">
        <f t="shared" si="670"/>
        <v>31</v>
      </c>
      <c r="AF18874" s="831" t="s">
        <v>11073</v>
      </c>
      <c r="AG18874" s="831" t="s">
        <v>2674</v>
      </c>
      <c r="AH18874" s="831" t="s">
        <v>572</v>
      </c>
      <c r="AI18874" s="831">
        <v>0</v>
      </c>
      <c r="AJ18874" s="835">
        <v>41517</v>
      </c>
      <c r="AK18874" s="831">
        <v>24859621</v>
      </c>
    </row>
    <row r="18875" spans="2:37">
      <c r="B18875" s="834" t="str">
        <f t="shared" si="669"/>
        <v>|||</v>
      </c>
      <c r="H18875" s="835">
        <f t="shared" si="670"/>
        <v>31</v>
      </c>
      <c r="AF18875" s="831" t="s">
        <v>11074</v>
      </c>
      <c r="AG18875" s="831" t="s">
        <v>2674</v>
      </c>
      <c r="AH18875" s="831" t="s">
        <v>577</v>
      </c>
      <c r="AI18875" s="831">
        <v>0</v>
      </c>
      <c r="AJ18875" s="835">
        <v>41517</v>
      </c>
      <c r="AK18875" s="831">
        <v>119121446</v>
      </c>
    </row>
    <row r="18876" spans="2:37">
      <c r="B18876" s="834" t="str">
        <f t="shared" si="669"/>
        <v>|||</v>
      </c>
      <c r="H18876" s="835">
        <f t="shared" si="670"/>
        <v>31</v>
      </c>
      <c r="AF18876" s="831" t="s">
        <v>11075</v>
      </c>
      <c r="AG18876" s="831" t="s">
        <v>2674</v>
      </c>
      <c r="AH18876" s="831" t="s">
        <v>3042</v>
      </c>
      <c r="AI18876" s="831">
        <v>0</v>
      </c>
      <c r="AJ18876" s="835">
        <v>41517</v>
      </c>
      <c r="AK18876" s="831">
        <v>-29143089</v>
      </c>
    </row>
    <row r="18877" spans="2:37">
      <c r="B18877" s="834" t="str">
        <f t="shared" si="669"/>
        <v>|||</v>
      </c>
      <c r="H18877" s="835">
        <f t="shared" si="670"/>
        <v>31</v>
      </c>
      <c r="AF18877" s="831" t="s">
        <v>11076</v>
      </c>
      <c r="AG18877" s="831" t="s">
        <v>2674</v>
      </c>
      <c r="AH18877" s="831" t="s">
        <v>3044</v>
      </c>
      <c r="AI18877" s="831">
        <v>0</v>
      </c>
      <c r="AJ18877" s="835">
        <v>41517</v>
      </c>
      <c r="AK18877" s="831">
        <v>-4417525</v>
      </c>
    </row>
    <row r="18878" spans="2:37">
      <c r="B18878" s="834" t="str">
        <f t="shared" si="669"/>
        <v>|||</v>
      </c>
      <c r="H18878" s="835">
        <f t="shared" si="670"/>
        <v>31</v>
      </c>
      <c r="AF18878" s="831" t="s">
        <v>11077</v>
      </c>
      <c r="AG18878" s="831" t="s">
        <v>2674</v>
      </c>
      <c r="AH18878" s="831" t="s">
        <v>580</v>
      </c>
      <c r="AI18878" s="831">
        <v>0</v>
      </c>
      <c r="AJ18878" s="835">
        <v>41517</v>
      </c>
      <c r="AK18878" s="831">
        <v>-58376707</v>
      </c>
    </row>
    <row r="18879" spans="2:37">
      <c r="B18879" s="834" t="str">
        <f t="shared" si="669"/>
        <v>|||</v>
      </c>
      <c r="H18879" s="835">
        <f t="shared" si="670"/>
        <v>31</v>
      </c>
      <c r="AF18879" s="831" t="s">
        <v>11078</v>
      </c>
      <c r="AG18879" s="831" t="s">
        <v>2674</v>
      </c>
      <c r="AH18879" s="831" t="s">
        <v>581</v>
      </c>
      <c r="AI18879" s="831">
        <v>0</v>
      </c>
      <c r="AJ18879" s="835">
        <v>41517</v>
      </c>
      <c r="AK18879" s="831">
        <v>4578677</v>
      </c>
    </row>
    <row r="18880" spans="2:37">
      <c r="B18880" s="834" t="str">
        <f t="shared" si="669"/>
        <v>|||</v>
      </c>
      <c r="H18880" s="835">
        <f t="shared" si="670"/>
        <v>31</v>
      </c>
      <c r="AF18880" s="831" t="s">
        <v>11079</v>
      </c>
      <c r="AG18880" s="831" t="s">
        <v>2674</v>
      </c>
      <c r="AH18880" s="831" t="s">
        <v>105</v>
      </c>
      <c r="AI18880" s="831">
        <v>0</v>
      </c>
      <c r="AJ18880" s="835">
        <v>41517</v>
      </c>
      <c r="AK18880" s="831">
        <v>314125292</v>
      </c>
    </row>
    <row r="18881" spans="2:37">
      <c r="B18881" s="834" t="str">
        <f t="shared" si="669"/>
        <v>|||</v>
      </c>
      <c r="H18881" s="835">
        <f t="shared" si="670"/>
        <v>31</v>
      </c>
      <c r="AF18881" s="831" t="s">
        <v>11080</v>
      </c>
      <c r="AG18881" s="831" t="s">
        <v>2674</v>
      </c>
      <c r="AH18881" s="831" t="s">
        <v>3049</v>
      </c>
      <c r="AI18881" s="831">
        <v>0</v>
      </c>
      <c r="AJ18881" s="835">
        <v>41517</v>
      </c>
      <c r="AK18881" s="831">
        <v>527249449.14999998</v>
      </c>
    </row>
    <row r="18882" spans="2:37">
      <c r="B18882" s="834" t="str">
        <f t="shared" si="669"/>
        <v>|||</v>
      </c>
      <c r="H18882" s="835">
        <f t="shared" si="670"/>
        <v>31</v>
      </c>
      <c r="AF18882" s="831" t="s">
        <v>11081</v>
      </c>
      <c r="AG18882" s="831" t="s">
        <v>2674</v>
      </c>
      <c r="AH18882" s="831" t="s">
        <v>103</v>
      </c>
      <c r="AI18882" s="831">
        <v>0</v>
      </c>
      <c r="AJ18882" s="835">
        <v>41517</v>
      </c>
      <c r="AK18882" s="831">
        <v>213124157.14999998</v>
      </c>
    </row>
    <row r="18883" spans="2:37">
      <c r="B18883" s="834" t="str">
        <f t="shared" si="669"/>
        <v>|||</v>
      </c>
      <c r="H18883" s="835">
        <f t="shared" si="670"/>
        <v>31</v>
      </c>
      <c r="AF18883" s="831" t="s">
        <v>11082</v>
      </c>
      <c r="AG18883" s="831" t="s">
        <v>2674</v>
      </c>
      <c r="AH18883" s="831" t="s">
        <v>182</v>
      </c>
      <c r="AI18883" s="831">
        <v>0</v>
      </c>
      <c r="AJ18883" s="835">
        <v>41517</v>
      </c>
      <c r="AK18883" s="831">
        <v>57914724</v>
      </c>
    </row>
    <row r="18884" spans="2:37">
      <c r="B18884" s="834" t="str">
        <f t="shared" si="669"/>
        <v>|||</v>
      </c>
      <c r="H18884" s="835">
        <f t="shared" si="670"/>
        <v>31</v>
      </c>
      <c r="AF18884" s="831" t="s">
        <v>11083</v>
      </c>
      <c r="AG18884" s="831" t="s">
        <v>2674</v>
      </c>
      <c r="AH18884" s="831" t="s">
        <v>6600</v>
      </c>
      <c r="AI18884" s="831">
        <v>0</v>
      </c>
      <c r="AJ18884" s="835">
        <v>41517</v>
      </c>
      <c r="AK18884" s="831">
        <v>24859621</v>
      </c>
    </row>
    <row r="18885" spans="2:37">
      <c r="B18885" s="834" t="str">
        <f t="shared" si="669"/>
        <v>|||</v>
      </c>
      <c r="H18885" s="835">
        <f t="shared" si="670"/>
        <v>31</v>
      </c>
      <c r="AF18885" s="831" t="s">
        <v>11084</v>
      </c>
      <c r="AG18885" s="831" t="s">
        <v>2674</v>
      </c>
      <c r="AH18885" s="831" t="s">
        <v>6602</v>
      </c>
      <c r="AI18885" s="831">
        <v>0</v>
      </c>
      <c r="AJ18885" s="835">
        <v>41517</v>
      </c>
      <c r="AK18885" s="831">
        <v>19111719</v>
      </c>
    </row>
    <row r="18886" spans="2:37">
      <c r="B18886" s="834" t="str">
        <f t="shared" si="669"/>
        <v>|||</v>
      </c>
      <c r="H18886" s="835">
        <f t="shared" si="670"/>
        <v>31</v>
      </c>
      <c r="AF18886" s="831" t="s">
        <v>11085</v>
      </c>
      <c r="AG18886" s="831" t="s">
        <v>2674</v>
      </c>
      <c r="AH18886" s="831" t="s">
        <v>650</v>
      </c>
      <c r="AI18886" s="831">
        <v>0</v>
      </c>
      <c r="AJ18886" s="835">
        <v>41517</v>
      </c>
      <c r="AK18886" s="831">
        <v>180578512.62692308</v>
      </c>
    </row>
    <row r="18887" spans="2:37">
      <c r="B18887" s="834" t="str">
        <f t="shared" si="669"/>
        <v>|||</v>
      </c>
      <c r="H18887" s="835">
        <f t="shared" si="670"/>
        <v>31</v>
      </c>
      <c r="AF18887" s="831" t="s">
        <v>11086</v>
      </c>
      <c r="AG18887" s="831" t="s">
        <v>2674</v>
      </c>
      <c r="AH18887" s="831" t="s">
        <v>655</v>
      </c>
      <c r="AI18887" s="831">
        <v>0</v>
      </c>
      <c r="AJ18887" s="835">
        <v>41517</v>
      </c>
      <c r="AK18887" s="831">
        <v>1231052.19</v>
      </c>
    </row>
    <row r="18888" spans="2:37">
      <c r="B18888" s="834" t="str">
        <f t="shared" si="669"/>
        <v>|||</v>
      </c>
      <c r="H18888" s="835">
        <f t="shared" si="670"/>
        <v>31</v>
      </c>
      <c r="AF18888" s="831" t="s">
        <v>11087</v>
      </c>
      <c r="AG18888" s="831" t="s">
        <v>2674</v>
      </c>
      <c r="AH18888" s="831" t="s">
        <v>546</v>
      </c>
      <c r="AI18888" s="831">
        <v>0</v>
      </c>
      <c r="AJ18888" s="835">
        <v>41547</v>
      </c>
      <c r="AK18888" s="831">
        <v>563989028</v>
      </c>
    </row>
    <row r="18889" spans="2:37">
      <c r="B18889" s="834" t="str">
        <f t="shared" si="669"/>
        <v>|||</v>
      </c>
      <c r="H18889" s="835">
        <f t="shared" si="670"/>
        <v>31</v>
      </c>
      <c r="AF18889" s="831" t="s">
        <v>11088</v>
      </c>
      <c r="AG18889" s="831" t="s">
        <v>2674</v>
      </c>
      <c r="AH18889" s="831" t="s">
        <v>370</v>
      </c>
      <c r="AI18889" s="831">
        <v>0</v>
      </c>
      <c r="AJ18889" s="835">
        <v>41547</v>
      </c>
      <c r="AK18889" s="831">
        <v>692795586</v>
      </c>
    </row>
    <row r="18890" spans="2:37">
      <c r="B18890" s="834" t="str">
        <f t="shared" si="669"/>
        <v>|||</v>
      </c>
      <c r="H18890" s="835">
        <f t="shared" si="670"/>
        <v>31</v>
      </c>
      <c r="AF18890" s="831" t="s">
        <v>11089</v>
      </c>
      <c r="AG18890" s="831" t="s">
        <v>2674</v>
      </c>
      <c r="AH18890" s="831" t="s">
        <v>126</v>
      </c>
      <c r="AI18890" s="831">
        <v>0</v>
      </c>
      <c r="AJ18890" s="835">
        <v>41547</v>
      </c>
      <c r="AK18890" s="831">
        <v>117170637</v>
      </c>
    </row>
    <row r="18891" spans="2:37">
      <c r="B18891" s="834" t="str">
        <f t="shared" si="669"/>
        <v>|||</v>
      </c>
      <c r="H18891" s="835">
        <f t="shared" si="670"/>
        <v>31</v>
      </c>
      <c r="AF18891" s="831" t="s">
        <v>11090</v>
      </c>
      <c r="AG18891" s="831" t="s">
        <v>2674</v>
      </c>
      <c r="AH18891" s="831" t="s">
        <v>268</v>
      </c>
      <c r="AI18891" s="831">
        <v>0</v>
      </c>
      <c r="AJ18891" s="835">
        <v>41547</v>
      </c>
      <c r="AK18891" s="831">
        <v>22407414</v>
      </c>
    </row>
    <row r="18892" spans="2:37">
      <c r="B18892" s="834" t="str">
        <f t="shared" si="669"/>
        <v>|||</v>
      </c>
      <c r="H18892" s="835">
        <f t="shared" si="670"/>
        <v>31</v>
      </c>
      <c r="AF18892" s="831" t="s">
        <v>11091</v>
      </c>
      <c r="AG18892" s="831" t="s">
        <v>2674</v>
      </c>
      <c r="AH18892" s="831" t="s">
        <v>547</v>
      </c>
      <c r="AI18892" s="831">
        <v>0</v>
      </c>
      <c r="AJ18892" s="835">
        <v>41547</v>
      </c>
      <c r="AK18892" s="831">
        <v>511487760</v>
      </c>
    </row>
    <row r="18893" spans="2:37">
      <c r="B18893" s="834" t="str">
        <f t="shared" si="669"/>
        <v>|||</v>
      </c>
      <c r="H18893" s="835">
        <f t="shared" si="670"/>
        <v>31</v>
      </c>
      <c r="AF18893" s="831" t="s">
        <v>11092</v>
      </c>
      <c r="AG18893" s="831" t="s">
        <v>2674</v>
      </c>
      <c r="AH18893" s="831" t="s">
        <v>548</v>
      </c>
      <c r="AI18893" s="831">
        <v>0</v>
      </c>
      <c r="AJ18893" s="835">
        <v>41547</v>
      </c>
      <c r="AK18893" s="831">
        <v>96883184</v>
      </c>
    </row>
    <row r="18894" spans="2:37">
      <c r="B18894" s="834" t="str">
        <f t="shared" si="669"/>
        <v>|||</v>
      </c>
      <c r="H18894" s="835">
        <f t="shared" si="670"/>
        <v>31</v>
      </c>
      <c r="AF18894" s="831" t="s">
        <v>11093</v>
      </c>
      <c r="AG18894" s="831" t="s">
        <v>2674</v>
      </c>
      <c r="AH18894" s="831" t="s">
        <v>549</v>
      </c>
      <c r="AI18894" s="831">
        <v>0</v>
      </c>
      <c r="AJ18894" s="835">
        <v>41547</v>
      </c>
      <c r="AK18894" s="831">
        <v>367084945</v>
      </c>
    </row>
    <row r="18895" spans="2:37">
      <c r="B18895" s="834" t="str">
        <f t="shared" si="669"/>
        <v>|||</v>
      </c>
      <c r="H18895" s="835">
        <f t="shared" si="670"/>
        <v>31</v>
      </c>
      <c r="AF18895" s="831" t="s">
        <v>11094</v>
      </c>
      <c r="AG18895" s="831" t="s">
        <v>2674</v>
      </c>
      <c r="AH18895" s="831" t="s">
        <v>192</v>
      </c>
      <c r="AI18895" s="831">
        <v>0</v>
      </c>
      <c r="AJ18895" s="835">
        <v>41547</v>
      </c>
      <c r="AK18895" s="831">
        <v>-12882814</v>
      </c>
    </row>
    <row r="18896" spans="2:37">
      <c r="B18896" s="834" t="str">
        <f t="shared" si="669"/>
        <v>|||</v>
      </c>
      <c r="H18896" s="835">
        <f t="shared" si="670"/>
        <v>31</v>
      </c>
      <c r="AF18896" s="831" t="s">
        <v>11095</v>
      </c>
      <c r="AG18896" s="831" t="s">
        <v>2674</v>
      </c>
      <c r="AH18896" s="831" t="s">
        <v>558</v>
      </c>
      <c r="AI18896" s="831">
        <v>0</v>
      </c>
      <c r="AJ18896" s="835">
        <v>41547</v>
      </c>
      <c r="AK18896" s="831">
        <v>575624949</v>
      </c>
    </row>
    <row r="18897" spans="2:37">
      <c r="B18897" s="834" t="str">
        <f t="shared" ref="B18897:B18960" si="671">C18897&amp;"|"&amp;D18897&amp;"|"&amp;E18897&amp;"|"&amp;F18897</f>
        <v>|||</v>
      </c>
      <c r="H18897" s="835">
        <f t="shared" ref="H18897:H18960" si="672">EOMONTH(L18897,0)</f>
        <v>31</v>
      </c>
      <c r="AF18897" s="831" t="s">
        <v>11096</v>
      </c>
      <c r="AG18897" s="831" t="s">
        <v>2674</v>
      </c>
      <c r="AH18897" s="831" t="s">
        <v>65</v>
      </c>
      <c r="AI18897" s="831">
        <v>0</v>
      </c>
      <c r="AJ18897" s="835">
        <v>41547</v>
      </c>
      <c r="AK18897" s="831">
        <v>95313557</v>
      </c>
    </row>
    <row r="18898" spans="2:37">
      <c r="B18898" s="834" t="str">
        <f t="shared" si="671"/>
        <v>|||</v>
      </c>
      <c r="H18898" s="835">
        <f t="shared" si="672"/>
        <v>31</v>
      </c>
      <c r="AF18898" s="831" t="s">
        <v>11097</v>
      </c>
      <c r="AG18898" s="831" t="s">
        <v>2674</v>
      </c>
      <c r="AH18898" s="831" t="s">
        <v>89</v>
      </c>
      <c r="AI18898" s="831">
        <v>0</v>
      </c>
      <c r="AJ18898" s="835">
        <v>41547</v>
      </c>
      <c r="AK18898" s="831">
        <v>141558</v>
      </c>
    </row>
    <row r="18899" spans="2:37">
      <c r="B18899" s="834" t="str">
        <f t="shared" si="671"/>
        <v>|||</v>
      </c>
      <c r="H18899" s="835">
        <f t="shared" si="672"/>
        <v>31</v>
      </c>
      <c r="AF18899" s="831" t="s">
        <v>11098</v>
      </c>
      <c r="AG18899" s="831" t="s">
        <v>2674</v>
      </c>
      <c r="AH18899" s="831" t="s">
        <v>557</v>
      </c>
      <c r="AI18899" s="831">
        <v>0</v>
      </c>
      <c r="AJ18899" s="835">
        <v>41547</v>
      </c>
      <c r="AK18899" s="831">
        <v>150480</v>
      </c>
    </row>
    <row r="18900" spans="2:37">
      <c r="B18900" s="834" t="str">
        <f t="shared" si="671"/>
        <v>|||</v>
      </c>
      <c r="H18900" s="835">
        <f t="shared" si="672"/>
        <v>31</v>
      </c>
      <c r="AF18900" s="831" t="s">
        <v>11099</v>
      </c>
      <c r="AG18900" s="831" t="s">
        <v>2674</v>
      </c>
      <c r="AH18900" s="831" t="s">
        <v>29</v>
      </c>
      <c r="AI18900" s="831">
        <v>0</v>
      </c>
      <c r="AJ18900" s="835">
        <v>41547</v>
      </c>
      <c r="AK18900" s="831">
        <v>1808536.49</v>
      </c>
    </row>
    <row r="18901" spans="2:37">
      <c r="B18901" s="834" t="str">
        <f t="shared" si="671"/>
        <v>|||</v>
      </c>
      <c r="H18901" s="835">
        <f t="shared" si="672"/>
        <v>31</v>
      </c>
      <c r="AF18901" s="831" t="s">
        <v>11100</v>
      </c>
      <c r="AG18901" s="831" t="s">
        <v>2674</v>
      </c>
      <c r="AH18901" s="831" t="s">
        <v>2688</v>
      </c>
      <c r="AI18901" s="831">
        <v>0</v>
      </c>
      <c r="AJ18901" s="835">
        <v>41547</v>
      </c>
      <c r="AK18901" s="831">
        <v>1944896.06</v>
      </c>
    </row>
    <row r="18902" spans="2:37">
      <c r="B18902" s="834" t="str">
        <f t="shared" si="671"/>
        <v>|||</v>
      </c>
      <c r="H18902" s="835">
        <f t="shared" si="672"/>
        <v>31</v>
      </c>
      <c r="AF18902" s="831" t="s">
        <v>11101</v>
      </c>
      <c r="AG18902" s="831" t="s">
        <v>2674</v>
      </c>
      <c r="AH18902" s="831" t="s">
        <v>556</v>
      </c>
      <c r="AI18902" s="831">
        <v>0</v>
      </c>
      <c r="AJ18902" s="835">
        <v>41547</v>
      </c>
      <c r="AK18902" s="831">
        <v>1644732</v>
      </c>
    </row>
    <row r="18903" spans="2:37">
      <c r="B18903" s="834" t="str">
        <f t="shared" si="671"/>
        <v>|||</v>
      </c>
      <c r="H18903" s="835">
        <f t="shared" si="672"/>
        <v>31</v>
      </c>
      <c r="AF18903" s="831" t="s">
        <v>11102</v>
      </c>
      <c r="AG18903" s="831" t="s">
        <v>2674</v>
      </c>
      <c r="AH18903" s="831" t="s">
        <v>555</v>
      </c>
      <c r="AI18903" s="831">
        <v>0</v>
      </c>
      <c r="AJ18903" s="835">
        <v>41547</v>
      </c>
      <c r="AK18903" s="831">
        <v>373785500</v>
      </c>
    </row>
    <row r="18904" spans="2:37">
      <c r="B18904" s="834" t="str">
        <f t="shared" si="671"/>
        <v>|||</v>
      </c>
      <c r="H18904" s="835">
        <f t="shared" si="672"/>
        <v>31</v>
      </c>
      <c r="AF18904" s="831" t="s">
        <v>11103</v>
      </c>
      <c r="AG18904" s="831" t="s">
        <v>2674</v>
      </c>
      <c r="AH18904" s="831" t="s">
        <v>554</v>
      </c>
      <c r="AI18904" s="831">
        <v>0</v>
      </c>
      <c r="AJ18904" s="835">
        <v>41547</v>
      </c>
      <c r="AK18904" s="831">
        <v>389313510</v>
      </c>
    </row>
    <row r="18905" spans="2:37">
      <c r="B18905" s="834" t="str">
        <f t="shared" si="671"/>
        <v>|||</v>
      </c>
      <c r="H18905" s="835">
        <f t="shared" si="672"/>
        <v>31</v>
      </c>
      <c r="AF18905" s="831" t="s">
        <v>11104</v>
      </c>
      <c r="AG18905" s="831" t="s">
        <v>2674</v>
      </c>
      <c r="AH18905" s="831" t="s">
        <v>553</v>
      </c>
      <c r="AI18905" s="831">
        <v>0</v>
      </c>
      <c r="AJ18905" s="835">
        <v>41547</v>
      </c>
      <c r="AK18905" s="831">
        <v>0</v>
      </c>
    </row>
    <row r="18906" spans="2:37">
      <c r="B18906" s="834" t="str">
        <f t="shared" si="671"/>
        <v>|||</v>
      </c>
      <c r="H18906" s="835">
        <f t="shared" si="672"/>
        <v>31</v>
      </c>
      <c r="AF18906" s="831" t="s">
        <v>11105</v>
      </c>
      <c r="AG18906" s="831" t="s">
        <v>2674</v>
      </c>
      <c r="AH18906" s="831" t="s">
        <v>552</v>
      </c>
      <c r="AI18906" s="831">
        <v>0</v>
      </c>
      <c r="AJ18906" s="835">
        <v>41547</v>
      </c>
      <c r="AK18906" s="831">
        <v>0</v>
      </c>
    </row>
    <row r="18907" spans="2:37">
      <c r="B18907" s="834" t="str">
        <f t="shared" si="671"/>
        <v>|||</v>
      </c>
      <c r="H18907" s="835">
        <f t="shared" si="672"/>
        <v>31</v>
      </c>
      <c r="AF18907" s="831" t="s">
        <v>11106</v>
      </c>
      <c r="AG18907" s="831" t="s">
        <v>2674</v>
      </c>
      <c r="AH18907" s="831" t="s">
        <v>551</v>
      </c>
      <c r="AI18907" s="831">
        <v>0</v>
      </c>
      <c r="AJ18907" s="835">
        <v>41547</v>
      </c>
      <c r="AK18907" s="831">
        <v>1611508.6</v>
      </c>
    </row>
    <row r="18908" spans="2:37">
      <c r="B18908" s="834" t="str">
        <f t="shared" si="671"/>
        <v>|||</v>
      </c>
      <c r="H18908" s="835">
        <f t="shared" si="672"/>
        <v>31</v>
      </c>
      <c r="AF18908" s="831" t="s">
        <v>11107</v>
      </c>
      <c r="AG18908" s="831" t="s">
        <v>2674</v>
      </c>
      <c r="AH18908" s="831" t="s">
        <v>550</v>
      </c>
      <c r="AI18908" s="831">
        <v>0</v>
      </c>
      <c r="AJ18908" s="835">
        <v>41547</v>
      </c>
      <c r="AK18908" s="831">
        <v>113874944</v>
      </c>
    </row>
    <row r="18909" spans="2:37">
      <c r="B18909" s="834" t="str">
        <f t="shared" si="671"/>
        <v>|||</v>
      </c>
      <c r="H18909" s="835">
        <f t="shared" si="672"/>
        <v>31</v>
      </c>
      <c r="AF18909" s="831" t="s">
        <v>11108</v>
      </c>
      <c r="AG18909" s="831" t="s">
        <v>2674</v>
      </c>
      <c r="AH18909" s="831" t="s">
        <v>562</v>
      </c>
      <c r="AI18909" s="831">
        <v>0</v>
      </c>
      <c r="AJ18909" s="835">
        <v>41547</v>
      </c>
      <c r="AK18909" s="831">
        <v>0.78395000000000004</v>
      </c>
    </row>
    <row r="18910" spans="2:37">
      <c r="B18910" s="834" t="str">
        <f t="shared" si="671"/>
        <v>|||</v>
      </c>
      <c r="H18910" s="835">
        <f t="shared" si="672"/>
        <v>31</v>
      </c>
      <c r="AF18910" s="831" t="s">
        <v>11109</v>
      </c>
      <c r="AG18910" s="831" t="s">
        <v>2674</v>
      </c>
      <c r="AH18910" s="831" t="s">
        <v>2698</v>
      </c>
      <c r="AI18910" s="831">
        <v>0</v>
      </c>
      <c r="AJ18910" s="835">
        <v>41547</v>
      </c>
      <c r="AK18910" s="831">
        <v>0.78385000000000005</v>
      </c>
    </row>
    <row r="18911" spans="2:37">
      <c r="B18911" s="834" t="str">
        <f t="shared" si="671"/>
        <v>|||</v>
      </c>
      <c r="H18911" s="835">
        <f t="shared" si="672"/>
        <v>31</v>
      </c>
      <c r="AF18911" s="831" t="s">
        <v>11110</v>
      </c>
      <c r="AG18911" s="831" t="s">
        <v>2674</v>
      </c>
      <c r="AH18911" s="831" t="s">
        <v>560</v>
      </c>
      <c r="AI18911" s="831">
        <v>0</v>
      </c>
      <c r="AJ18911" s="835">
        <v>41547</v>
      </c>
      <c r="AK18911" s="831">
        <v>0.78400555555555551</v>
      </c>
    </row>
    <row r="18912" spans="2:37">
      <c r="B18912" s="834" t="str">
        <f t="shared" si="671"/>
        <v>|||</v>
      </c>
      <c r="H18912" s="835">
        <f t="shared" si="672"/>
        <v>31</v>
      </c>
      <c r="AF18912" s="831" t="s">
        <v>11111</v>
      </c>
      <c r="AG18912" s="831" t="s">
        <v>2674</v>
      </c>
      <c r="AH18912" s="831" t="s">
        <v>559</v>
      </c>
      <c r="AI18912" s="831">
        <v>0</v>
      </c>
      <c r="AJ18912" s="835">
        <v>41547</v>
      </c>
      <c r="AK18912" s="831">
        <v>0.78404583333333333</v>
      </c>
    </row>
    <row r="18913" spans="2:37">
      <c r="B18913" s="834" t="str">
        <f t="shared" si="671"/>
        <v>|||</v>
      </c>
      <c r="H18913" s="835">
        <f t="shared" si="672"/>
        <v>31</v>
      </c>
      <c r="AF18913" s="831" t="s">
        <v>11112</v>
      </c>
      <c r="AG18913" s="831" t="s">
        <v>2674</v>
      </c>
      <c r="AH18913" s="831" t="s">
        <v>568</v>
      </c>
      <c r="AI18913" s="831">
        <v>0</v>
      </c>
      <c r="AJ18913" s="835">
        <v>41547</v>
      </c>
      <c r="AK18913" s="831">
        <v>462009040.84615386</v>
      </c>
    </row>
    <row r="18914" spans="2:37">
      <c r="B18914" s="834" t="str">
        <f t="shared" si="671"/>
        <v>|||</v>
      </c>
      <c r="H18914" s="835">
        <f t="shared" si="672"/>
        <v>31</v>
      </c>
      <c r="AF18914" s="831" t="s">
        <v>11113</v>
      </c>
      <c r="AG18914" s="831" t="s">
        <v>2674</v>
      </c>
      <c r="AH18914" s="831" t="s">
        <v>569</v>
      </c>
      <c r="AI18914" s="831">
        <v>0</v>
      </c>
      <c r="AJ18914" s="835">
        <v>41547</v>
      </c>
      <c r="AK18914" s="831">
        <v>560598027.84615386</v>
      </c>
    </row>
    <row r="18915" spans="2:37">
      <c r="B18915" s="834" t="str">
        <f t="shared" si="671"/>
        <v>|||</v>
      </c>
      <c r="H18915" s="835">
        <f t="shared" si="672"/>
        <v>31</v>
      </c>
      <c r="AF18915" s="831" t="s">
        <v>11114</v>
      </c>
      <c r="AG18915" s="831" t="s">
        <v>2674</v>
      </c>
      <c r="AH18915" s="831" t="s">
        <v>570</v>
      </c>
      <c r="AI18915" s="831">
        <v>0</v>
      </c>
      <c r="AJ18915" s="835">
        <v>41547</v>
      </c>
      <c r="AK18915" s="831">
        <v>104238995.3076923</v>
      </c>
    </row>
    <row r="18916" spans="2:37">
      <c r="B18916" s="834" t="str">
        <f t="shared" si="671"/>
        <v>|||</v>
      </c>
      <c r="H18916" s="835">
        <f t="shared" si="672"/>
        <v>31</v>
      </c>
      <c r="AF18916" s="831" t="s">
        <v>11115</v>
      </c>
      <c r="AG18916" s="831" t="s">
        <v>2674</v>
      </c>
      <c r="AH18916" s="831" t="s">
        <v>571</v>
      </c>
      <c r="AI18916" s="831">
        <v>0</v>
      </c>
      <c r="AJ18916" s="835">
        <v>41547</v>
      </c>
      <c r="AK18916" s="831">
        <v>257329819.61538461</v>
      </c>
    </row>
    <row r="18917" spans="2:37">
      <c r="B18917" s="834" t="str">
        <f t="shared" si="671"/>
        <v>|||</v>
      </c>
      <c r="H18917" s="835">
        <f t="shared" si="672"/>
        <v>31</v>
      </c>
      <c r="AF18917" s="831" t="s">
        <v>11116</v>
      </c>
      <c r="AG18917" s="831" t="s">
        <v>2674</v>
      </c>
      <c r="AH18917" s="831" t="s">
        <v>573</v>
      </c>
      <c r="AI18917" s="831">
        <v>0</v>
      </c>
      <c r="AJ18917" s="835">
        <v>41547</v>
      </c>
      <c r="AK18917" s="831">
        <v>590906867</v>
      </c>
    </row>
    <row r="18918" spans="2:37">
      <c r="B18918" s="834" t="str">
        <f t="shared" si="671"/>
        <v>|||</v>
      </c>
      <c r="H18918" s="835">
        <f t="shared" si="672"/>
        <v>31</v>
      </c>
      <c r="AF18918" s="831" t="s">
        <v>11117</v>
      </c>
      <c r="AG18918" s="831" t="s">
        <v>2674</v>
      </c>
      <c r="AH18918" s="831" t="s">
        <v>574</v>
      </c>
      <c r="AI18918" s="831">
        <v>0</v>
      </c>
      <c r="AJ18918" s="835">
        <v>41547</v>
      </c>
      <c r="AK18918" s="831">
        <v>486854454.89999998</v>
      </c>
    </row>
    <row r="18919" spans="2:37">
      <c r="B18919" s="834" t="str">
        <f t="shared" si="671"/>
        <v>|||</v>
      </c>
      <c r="H18919" s="835">
        <f t="shared" si="672"/>
        <v>31</v>
      </c>
      <c r="AF18919" s="831" t="s">
        <v>11118</v>
      </c>
      <c r="AG18919" s="831" t="s">
        <v>2674</v>
      </c>
      <c r="AH18919" s="831" t="s">
        <v>575</v>
      </c>
      <c r="AI18919" s="831">
        <v>0</v>
      </c>
      <c r="AJ18919" s="835">
        <v>41547</v>
      </c>
      <c r="AK18919" s="831">
        <v>105640927.8</v>
      </c>
    </row>
    <row r="18920" spans="2:37">
      <c r="B18920" s="834" t="str">
        <f t="shared" si="671"/>
        <v>|||</v>
      </c>
      <c r="H18920" s="835">
        <f t="shared" si="672"/>
        <v>31</v>
      </c>
      <c r="AF18920" s="831" t="s">
        <v>11119</v>
      </c>
      <c r="AG18920" s="831" t="s">
        <v>2674</v>
      </c>
      <c r="AH18920" s="831" t="s">
        <v>576</v>
      </c>
      <c r="AI18920" s="831">
        <v>0</v>
      </c>
      <c r="AJ18920" s="835">
        <v>41547</v>
      </c>
      <c r="AK18920" s="831">
        <v>277318070.10000002</v>
      </c>
    </row>
    <row r="18921" spans="2:37">
      <c r="B18921" s="834" t="str">
        <f t="shared" si="671"/>
        <v>|||</v>
      </c>
      <c r="H18921" s="835">
        <f t="shared" si="672"/>
        <v>31</v>
      </c>
      <c r="AF18921" s="831" t="s">
        <v>11120</v>
      </c>
      <c r="AG18921" s="831" t="s">
        <v>2674</v>
      </c>
      <c r="AH18921" s="831" t="s">
        <v>572</v>
      </c>
      <c r="AI18921" s="831">
        <v>0</v>
      </c>
      <c r="AJ18921" s="835">
        <v>41547</v>
      </c>
      <c r="AK18921" s="831">
        <v>26160885</v>
      </c>
    </row>
    <row r="18922" spans="2:37">
      <c r="B18922" s="834" t="str">
        <f t="shared" si="671"/>
        <v>|||</v>
      </c>
      <c r="H18922" s="835">
        <f t="shared" si="672"/>
        <v>31</v>
      </c>
      <c r="AF18922" s="831" t="s">
        <v>11121</v>
      </c>
      <c r="AG18922" s="831" t="s">
        <v>2674</v>
      </c>
      <c r="AH18922" s="831" t="s">
        <v>577</v>
      </c>
      <c r="AI18922" s="831">
        <v>0</v>
      </c>
      <c r="AJ18922" s="835">
        <v>41547</v>
      </c>
      <c r="AK18922" s="831">
        <v>122921739</v>
      </c>
    </row>
    <row r="18923" spans="2:37">
      <c r="B18923" s="834" t="str">
        <f t="shared" si="671"/>
        <v>|||</v>
      </c>
      <c r="H18923" s="835">
        <f t="shared" si="672"/>
        <v>31</v>
      </c>
      <c r="AF18923" s="831" t="s">
        <v>11122</v>
      </c>
      <c r="AG18923" s="831" t="s">
        <v>2674</v>
      </c>
      <c r="AH18923" s="831" t="s">
        <v>3042</v>
      </c>
      <c r="AI18923" s="831">
        <v>0</v>
      </c>
      <c r="AJ18923" s="835">
        <v>41547</v>
      </c>
      <c r="AK18923" s="831">
        <v>-30135210</v>
      </c>
    </row>
    <row r="18924" spans="2:37">
      <c r="B18924" s="834" t="str">
        <f t="shared" si="671"/>
        <v>|||</v>
      </c>
      <c r="H18924" s="835">
        <f t="shared" si="672"/>
        <v>31</v>
      </c>
      <c r="AF18924" s="831" t="s">
        <v>11123</v>
      </c>
      <c r="AG18924" s="831" t="s">
        <v>2674</v>
      </c>
      <c r="AH18924" s="831" t="s">
        <v>3044</v>
      </c>
      <c r="AI18924" s="831">
        <v>0</v>
      </c>
      <c r="AJ18924" s="835">
        <v>41547</v>
      </c>
      <c r="AK18924" s="831">
        <v>-4515854</v>
      </c>
    </row>
    <row r="18925" spans="2:37">
      <c r="B18925" s="834" t="str">
        <f t="shared" si="671"/>
        <v>|||</v>
      </c>
      <c r="H18925" s="835">
        <f t="shared" si="672"/>
        <v>31</v>
      </c>
      <c r="AF18925" s="831" t="s">
        <v>11124</v>
      </c>
      <c r="AG18925" s="831" t="s">
        <v>2674</v>
      </c>
      <c r="AH18925" s="831" t="s">
        <v>580</v>
      </c>
      <c r="AI18925" s="831">
        <v>0</v>
      </c>
      <c r="AJ18925" s="835">
        <v>41547</v>
      </c>
      <c r="AK18925" s="831">
        <v>-59169843</v>
      </c>
    </row>
    <row r="18926" spans="2:37">
      <c r="B18926" s="834" t="str">
        <f t="shared" si="671"/>
        <v>|||</v>
      </c>
      <c r="H18926" s="835">
        <f t="shared" si="672"/>
        <v>31</v>
      </c>
      <c r="AF18926" s="831" t="s">
        <v>11125</v>
      </c>
      <c r="AG18926" s="831" t="s">
        <v>2674</v>
      </c>
      <c r="AH18926" s="831" t="s">
        <v>581</v>
      </c>
      <c r="AI18926" s="831">
        <v>0</v>
      </c>
      <c r="AJ18926" s="835">
        <v>41547</v>
      </c>
      <c r="AK18926" s="831">
        <v>4375184</v>
      </c>
    </row>
    <row r="18927" spans="2:37">
      <c r="B18927" s="834" t="str">
        <f t="shared" si="671"/>
        <v>|||</v>
      </c>
      <c r="H18927" s="835">
        <f t="shared" si="672"/>
        <v>31</v>
      </c>
      <c r="AF18927" s="831" t="s">
        <v>11126</v>
      </c>
      <c r="AG18927" s="831" t="s">
        <v>2674</v>
      </c>
      <c r="AH18927" s="831" t="s">
        <v>105</v>
      </c>
      <c r="AI18927" s="831">
        <v>0</v>
      </c>
      <c r="AJ18927" s="835">
        <v>41547</v>
      </c>
      <c r="AK18927" s="831">
        <v>338957368</v>
      </c>
    </row>
    <row r="18928" spans="2:37">
      <c r="B18928" s="834" t="str">
        <f t="shared" si="671"/>
        <v>|||</v>
      </c>
      <c r="H18928" s="835">
        <f t="shared" si="672"/>
        <v>31</v>
      </c>
      <c r="AF18928" s="831" t="s">
        <v>11127</v>
      </c>
      <c r="AG18928" s="831" t="s">
        <v>2674</v>
      </c>
      <c r="AH18928" s="831" t="s">
        <v>3049</v>
      </c>
      <c r="AI18928" s="831">
        <v>0</v>
      </c>
      <c r="AJ18928" s="835">
        <v>41547</v>
      </c>
      <c r="AK18928" s="831">
        <v>558920871</v>
      </c>
    </row>
    <row r="18929" spans="2:37">
      <c r="B18929" s="834" t="str">
        <f t="shared" si="671"/>
        <v>|||</v>
      </c>
      <c r="H18929" s="835">
        <f t="shared" si="672"/>
        <v>31</v>
      </c>
      <c r="AF18929" s="831" t="s">
        <v>11128</v>
      </c>
      <c r="AG18929" s="831" t="s">
        <v>2674</v>
      </c>
      <c r="AH18929" s="831" t="s">
        <v>103</v>
      </c>
      <c r="AI18929" s="831">
        <v>0</v>
      </c>
      <c r="AJ18929" s="835">
        <v>41547</v>
      </c>
      <c r="AK18929" s="831">
        <v>219963503</v>
      </c>
    </row>
    <row r="18930" spans="2:37">
      <c r="B18930" s="834" t="str">
        <f t="shared" si="671"/>
        <v>|||</v>
      </c>
      <c r="H18930" s="835">
        <f t="shared" si="672"/>
        <v>31</v>
      </c>
      <c r="AF18930" s="831" t="s">
        <v>11129</v>
      </c>
      <c r="AG18930" s="831" t="s">
        <v>2674</v>
      </c>
      <c r="AH18930" s="831" t="s">
        <v>182</v>
      </c>
      <c r="AI18930" s="831">
        <v>0</v>
      </c>
      <c r="AJ18930" s="835">
        <v>41547</v>
      </c>
      <c r="AK18930" s="831">
        <v>57784893.333333336</v>
      </c>
    </row>
    <row r="18931" spans="2:37">
      <c r="B18931" s="834" t="str">
        <f t="shared" si="671"/>
        <v>|||</v>
      </c>
      <c r="H18931" s="835">
        <f t="shared" si="672"/>
        <v>31</v>
      </c>
      <c r="AF18931" s="831" t="s">
        <v>11130</v>
      </c>
      <c r="AG18931" s="831" t="s">
        <v>2674</v>
      </c>
      <c r="AH18931" s="831" t="s">
        <v>6600</v>
      </c>
      <c r="AI18931" s="831">
        <v>0</v>
      </c>
      <c r="AJ18931" s="835">
        <v>41547</v>
      </c>
      <c r="AK18931" s="831">
        <v>26160885</v>
      </c>
    </row>
    <row r="18932" spans="2:37">
      <c r="B18932" s="834" t="str">
        <f t="shared" si="671"/>
        <v>|||</v>
      </c>
      <c r="H18932" s="835">
        <f t="shared" si="672"/>
        <v>31</v>
      </c>
      <c r="AF18932" s="831" t="s">
        <v>11131</v>
      </c>
      <c r="AG18932" s="831" t="s">
        <v>2674</v>
      </c>
      <c r="AH18932" s="831" t="s">
        <v>6602</v>
      </c>
      <c r="AI18932" s="831">
        <v>0</v>
      </c>
      <c r="AJ18932" s="835">
        <v>41547</v>
      </c>
      <c r="AK18932" s="831">
        <v>22407414</v>
      </c>
    </row>
    <row r="18933" spans="2:37">
      <c r="B18933" s="834" t="str">
        <f t="shared" si="671"/>
        <v>|||</v>
      </c>
      <c r="H18933" s="835">
        <f t="shared" si="672"/>
        <v>31</v>
      </c>
      <c r="AF18933" s="831" t="s">
        <v>11132</v>
      </c>
      <c r="AG18933" s="831" t="s">
        <v>2674</v>
      </c>
      <c r="AH18933" s="831" t="s">
        <v>650</v>
      </c>
      <c r="AI18933" s="831">
        <v>0</v>
      </c>
      <c r="AJ18933" s="835">
        <v>41547</v>
      </c>
      <c r="AK18933" s="831">
        <v>184913431.55000001</v>
      </c>
    </row>
    <row r="18934" spans="2:37">
      <c r="B18934" s="834" t="str">
        <f t="shared" si="671"/>
        <v>|||</v>
      </c>
      <c r="H18934" s="835">
        <f t="shared" si="672"/>
        <v>31</v>
      </c>
      <c r="AF18934" s="831" t="s">
        <v>11133</v>
      </c>
      <c r="AG18934" s="831" t="s">
        <v>2674</v>
      </c>
      <c r="AH18934" s="831" t="s">
        <v>655</v>
      </c>
      <c r="AI18934" s="831">
        <v>0</v>
      </c>
      <c r="AJ18934" s="835">
        <v>41547</v>
      </c>
      <c r="AK18934" s="831">
        <v>1374522.24</v>
      </c>
    </row>
    <row r="18935" spans="2:37">
      <c r="B18935" s="834" t="str">
        <f t="shared" si="671"/>
        <v>|||</v>
      </c>
      <c r="H18935" s="835">
        <f t="shared" si="672"/>
        <v>31</v>
      </c>
      <c r="AF18935" s="831" t="s">
        <v>11134</v>
      </c>
      <c r="AG18935" s="831" t="s">
        <v>2674</v>
      </c>
      <c r="AH18935" s="831" t="s">
        <v>546</v>
      </c>
      <c r="AI18935" s="831">
        <v>0</v>
      </c>
      <c r="AJ18935" s="835">
        <v>41578</v>
      </c>
      <c r="AK18935" s="831">
        <v>580271359</v>
      </c>
    </row>
    <row r="18936" spans="2:37">
      <c r="B18936" s="834" t="str">
        <f t="shared" si="671"/>
        <v>|||</v>
      </c>
      <c r="H18936" s="835">
        <f t="shared" si="672"/>
        <v>31</v>
      </c>
      <c r="AF18936" s="831" t="s">
        <v>11135</v>
      </c>
      <c r="AG18936" s="831" t="s">
        <v>2674</v>
      </c>
      <c r="AH18936" s="831" t="s">
        <v>370</v>
      </c>
      <c r="AI18936" s="831">
        <v>0</v>
      </c>
      <c r="AJ18936" s="835">
        <v>41578</v>
      </c>
      <c r="AK18936" s="831">
        <v>723686405</v>
      </c>
    </row>
    <row r="18937" spans="2:37">
      <c r="B18937" s="834" t="str">
        <f t="shared" si="671"/>
        <v>|||</v>
      </c>
      <c r="H18937" s="835">
        <f t="shared" si="672"/>
        <v>31</v>
      </c>
      <c r="AF18937" s="831" t="s">
        <v>11136</v>
      </c>
      <c r="AG18937" s="831" t="s">
        <v>2674</v>
      </c>
      <c r="AH18937" s="831" t="s">
        <v>126</v>
      </c>
      <c r="AI18937" s="831">
        <v>0</v>
      </c>
      <c r="AJ18937" s="835">
        <v>41578</v>
      </c>
      <c r="AK18937" s="831">
        <v>120290863</v>
      </c>
    </row>
    <row r="18938" spans="2:37">
      <c r="B18938" s="834" t="str">
        <f t="shared" si="671"/>
        <v>|||</v>
      </c>
      <c r="H18938" s="835">
        <f t="shared" si="672"/>
        <v>31</v>
      </c>
      <c r="AF18938" s="831" t="s">
        <v>11137</v>
      </c>
      <c r="AG18938" s="831" t="s">
        <v>2674</v>
      </c>
      <c r="AH18938" s="831" t="s">
        <v>268</v>
      </c>
      <c r="AI18938" s="831">
        <v>0</v>
      </c>
      <c r="AJ18938" s="835">
        <v>41578</v>
      </c>
      <c r="AK18938" s="831">
        <v>25527641</v>
      </c>
    </row>
    <row r="18939" spans="2:37">
      <c r="B18939" s="834" t="str">
        <f t="shared" si="671"/>
        <v>|||</v>
      </c>
      <c r="H18939" s="835">
        <f t="shared" si="672"/>
        <v>31</v>
      </c>
      <c r="AF18939" s="831" t="s">
        <v>11138</v>
      </c>
      <c r="AG18939" s="831" t="s">
        <v>2674</v>
      </c>
      <c r="AH18939" s="831" t="s">
        <v>547</v>
      </c>
      <c r="AI18939" s="831">
        <v>0</v>
      </c>
      <c r="AJ18939" s="835">
        <v>41578</v>
      </c>
      <c r="AK18939" s="831">
        <v>511487760</v>
      </c>
    </row>
    <row r="18940" spans="2:37">
      <c r="B18940" s="834" t="str">
        <f t="shared" si="671"/>
        <v>|||</v>
      </c>
      <c r="H18940" s="835">
        <f t="shared" si="672"/>
        <v>31</v>
      </c>
      <c r="AF18940" s="831" t="s">
        <v>11139</v>
      </c>
      <c r="AG18940" s="831" t="s">
        <v>2674</v>
      </c>
      <c r="AH18940" s="831" t="s">
        <v>548</v>
      </c>
      <c r="AI18940" s="831">
        <v>0</v>
      </c>
      <c r="AJ18940" s="835">
        <v>41578</v>
      </c>
      <c r="AK18940" s="831">
        <v>96883184</v>
      </c>
    </row>
    <row r="18941" spans="2:37">
      <c r="B18941" s="834" t="str">
        <f t="shared" si="671"/>
        <v>|||</v>
      </c>
      <c r="H18941" s="835">
        <f t="shared" si="672"/>
        <v>31</v>
      </c>
      <c r="AF18941" s="831" t="s">
        <v>11140</v>
      </c>
      <c r="AG18941" s="831" t="s">
        <v>2674</v>
      </c>
      <c r="AH18941" s="831" t="s">
        <v>549</v>
      </c>
      <c r="AI18941" s="831">
        <v>0</v>
      </c>
      <c r="AJ18941" s="835">
        <v>41578</v>
      </c>
      <c r="AK18941" s="831">
        <v>376404251</v>
      </c>
    </row>
    <row r="18942" spans="2:37">
      <c r="B18942" s="834" t="str">
        <f t="shared" si="671"/>
        <v>|||</v>
      </c>
      <c r="H18942" s="835">
        <f t="shared" si="672"/>
        <v>31</v>
      </c>
      <c r="AF18942" s="831" t="s">
        <v>11141</v>
      </c>
      <c r="AG18942" s="831" t="s">
        <v>2674</v>
      </c>
      <c r="AH18942" s="831" t="s">
        <v>192</v>
      </c>
      <c r="AI18942" s="831">
        <v>0</v>
      </c>
      <c r="AJ18942" s="835">
        <v>41578</v>
      </c>
      <c r="AK18942" s="831">
        <v>-13193791</v>
      </c>
    </row>
    <row r="18943" spans="2:37">
      <c r="B18943" s="834" t="str">
        <f t="shared" si="671"/>
        <v>|||</v>
      </c>
      <c r="H18943" s="835">
        <f t="shared" si="672"/>
        <v>31</v>
      </c>
      <c r="AF18943" s="831" t="s">
        <v>11142</v>
      </c>
      <c r="AG18943" s="831" t="s">
        <v>2674</v>
      </c>
      <c r="AH18943" s="831" t="s">
        <v>558</v>
      </c>
      <c r="AI18943" s="831">
        <v>0</v>
      </c>
      <c r="AJ18943" s="835">
        <v>41578</v>
      </c>
      <c r="AK18943" s="831">
        <v>603395542</v>
      </c>
    </row>
    <row r="18944" spans="2:37">
      <c r="B18944" s="834" t="str">
        <f t="shared" si="671"/>
        <v>|||</v>
      </c>
      <c r="H18944" s="835">
        <f t="shared" si="672"/>
        <v>31</v>
      </c>
      <c r="AF18944" s="831" t="s">
        <v>11143</v>
      </c>
      <c r="AG18944" s="831" t="s">
        <v>2674</v>
      </c>
      <c r="AH18944" s="831" t="s">
        <v>65</v>
      </c>
      <c r="AI18944" s="831">
        <v>0</v>
      </c>
      <c r="AJ18944" s="835">
        <v>41578</v>
      </c>
      <c r="AK18944" s="831">
        <v>107527674</v>
      </c>
    </row>
    <row r="18945" spans="2:37">
      <c r="B18945" s="834" t="str">
        <f t="shared" si="671"/>
        <v>|||</v>
      </c>
      <c r="H18945" s="835">
        <f t="shared" si="672"/>
        <v>31</v>
      </c>
      <c r="AF18945" s="831" t="s">
        <v>11144</v>
      </c>
      <c r="AG18945" s="831" t="s">
        <v>2674</v>
      </c>
      <c r="AH18945" s="831" t="s">
        <v>89</v>
      </c>
      <c r="AI18945" s="831">
        <v>0</v>
      </c>
      <c r="AJ18945" s="835">
        <v>41578</v>
      </c>
      <c r="AK18945" s="831">
        <v>143295</v>
      </c>
    </row>
    <row r="18946" spans="2:37">
      <c r="B18946" s="834" t="str">
        <f t="shared" si="671"/>
        <v>|||</v>
      </c>
      <c r="H18946" s="835">
        <f t="shared" si="672"/>
        <v>31</v>
      </c>
      <c r="AF18946" s="831" t="s">
        <v>11145</v>
      </c>
      <c r="AG18946" s="831" t="s">
        <v>2674</v>
      </c>
      <c r="AH18946" s="831" t="s">
        <v>557</v>
      </c>
      <c r="AI18946" s="831">
        <v>0</v>
      </c>
      <c r="AJ18946" s="835">
        <v>41578</v>
      </c>
      <c r="AK18946" s="831">
        <v>153100</v>
      </c>
    </row>
    <row r="18947" spans="2:37">
      <c r="B18947" s="834" t="str">
        <f t="shared" si="671"/>
        <v>|||</v>
      </c>
      <c r="H18947" s="835">
        <f t="shared" si="672"/>
        <v>31</v>
      </c>
      <c r="AF18947" s="831" t="s">
        <v>11146</v>
      </c>
      <c r="AG18947" s="831" t="s">
        <v>2674</v>
      </c>
      <c r="AH18947" s="831" t="s">
        <v>29</v>
      </c>
      <c r="AI18947" s="831">
        <v>0</v>
      </c>
      <c r="AJ18947" s="835">
        <v>41578</v>
      </c>
      <c r="AK18947" s="831">
        <v>1718550.9230000002</v>
      </c>
    </row>
    <row r="18948" spans="2:37">
      <c r="B18948" s="834" t="str">
        <f t="shared" si="671"/>
        <v>|||</v>
      </c>
      <c r="H18948" s="835">
        <f t="shared" si="672"/>
        <v>31</v>
      </c>
      <c r="AF18948" s="831" t="s">
        <v>11147</v>
      </c>
      <c r="AG18948" s="831" t="s">
        <v>2674</v>
      </c>
      <c r="AH18948" s="831" t="s">
        <v>2688</v>
      </c>
      <c r="AI18948" s="831">
        <v>0</v>
      </c>
      <c r="AJ18948" s="835">
        <v>41578</v>
      </c>
      <c r="AK18948" s="831">
        <v>2316853.79</v>
      </c>
    </row>
    <row r="18949" spans="2:37">
      <c r="B18949" s="834" t="str">
        <f t="shared" si="671"/>
        <v>|||</v>
      </c>
      <c r="H18949" s="835">
        <f t="shared" si="672"/>
        <v>31</v>
      </c>
      <c r="AF18949" s="831" t="s">
        <v>11148</v>
      </c>
      <c r="AG18949" s="831" t="s">
        <v>2674</v>
      </c>
      <c r="AH18949" s="831" t="s">
        <v>556</v>
      </c>
      <c r="AI18949" s="831">
        <v>0</v>
      </c>
      <c r="AJ18949" s="835">
        <v>41578</v>
      </c>
      <c r="AK18949" s="831">
        <v>1644732</v>
      </c>
    </row>
    <row r="18950" spans="2:37">
      <c r="B18950" s="834" t="str">
        <f t="shared" si="671"/>
        <v>|||</v>
      </c>
      <c r="H18950" s="835">
        <f t="shared" si="672"/>
        <v>31</v>
      </c>
      <c r="AF18950" s="831" t="s">
        <v>11149</v>
      </c>
      <c r="AG18950" s="831" t="s">
        <v>2674</v>
      </c>
      <c r="AH18950" s="831" t="s">
        <v>555</v>
      </c>
      <c r="AI18950" s="831">
        <v>0</v>
      </c>
      <c r="AJ18950" s="835">
        <v>41578</v>
      </c>
      <c r="AK18950" s="831">
        <v>400055160</v>
      </c>
    </row>
    <row r="18951" spans="2:37">
      <c r="B18951" s="834" t="str">
        <f t="shared" si="671"/>
        <v>|||</v>
      </c>
      <c r="H18951" s="835">
        <f t="shared" si="672"/>
        <v>31</v>
      </c>
      <c r="AF18951" s="831" t="s">
        <v>11150</v>
      </c>
      <c r="AG18951" s="831" t="s">
        <v>2674</v>
      </c>
      <c r="AH18951" s="831" t="s">
        <v>554</v>
      </c>
      <c r="AI18951" s="831">
        <v>0</v>
      </c>
      <c r="AJ18951" s="835">
        <v>41578</v>
      </c>
      <c r="AK18951" s="831">
        <v>409100170</v>
      </c>
    </row>
    <row r="18952" spans="2:37">
      <c r="B18952" s="834" t="str">
        <f t="shared" si="671"/>
        <v>|||</v>
      </c>
      <c r="H18952" s="835">
        <f t="shared" si="672"/>
        <v>31</v>
      </c>
      <c r="AF18952" s="831" t="s">
        <v>11151</v>
      </c>
      <c r="AG18952" s="831" t="s">
        <v>2674</v>
      </c>
      <c r="AH18952" s="831" t="s">
        <v>553</v>
      </c>
      <c r="AI18952" s="831">
        <v>0</v>
      </c>
      <c r="AJ18952" s="835">
        <v>41578</v>
      </c>
      <c r="AK18952" s="831">
        <v>0</v>
      </c>
    </row>
    <row r="18953" spans="2:37">
      <c r="B18953" s="834" t="str">
        <f t="shared" si="671"/>
        <v>|||</v>
      </c>
      <c r="H18953" s="835">
        <f t="shared" si="672"/>
        <v>31</v>
      </c>
      <c r="AF18953" s="831" t="s">
        <v>11152</v>
      </c>
      <c r="AG18953" s="831" t="s">
        <v>2674</v>
      </c>
      <c r="AH18953" s="831" t="s">
        <v>552</v>
      </c>
      <c r="AI18953" s="831">
        <v>0</v>
      </c>
      <c r="AJ18953" s="835">
        <v>41578</v>
      </c>
      <c r="AK18953" s="831">
        <v>0</v>
      </c>
    </row>
    <row r="18954" spans="2:37">
      <c r="B18954" s="834" t="str">
        <f t="shared" si="671"/>
        <v>|||</v>
      </c>
      <c r="H18954" s="835">
        <f t="shared" si="672"/>
        <v>31</v>
      </c>
      <c r="AF18954" s="831" t="s">
        <v>11153</v>
      </c>
      <c r="AG18954" s="831" t="s">
        <v>2674</v>
      </c>
      <c r="AH18954" s="831" t="s">
        <v>551</v>
      </c>
      <c r="AI18954" s="831">
        <v>0</v>
      </c>
      <c r="AJ18954" s="835">
        <v>41578</v>
      </c>
      <c r="AK18954" s="831">
        <v>1543588.5830000001</v>
      </c>
    </row>
    <row r="18955" spans="2:37">
      <c r="B18955" s="834" t="str">
        <f t="shared" si="671"/>
        <v>|||</v>
      </c>
      <c r="H18955" s="835">
        <f t="shared" si="672"/>
        <v>31</v>
      </c>
      <c r="AF18955" s="831" t="s">
        <v>11154</v>
      </c>
      <c r="AG18955" s="831" t="s">
        <v>2674</v>
      </c>
      <c r="AH18955" s="831" t="s">
        <v>550</v>
      </c>
      <c r="AI18955" s="831">
        <v>0</v>
      </c>
      <c r="AJ18955" s="835">
        <v>41578</v>
      </c>
      <c r="AK18955" s="831">
        <v>117170637</v>
      </c>
    </row>
    <row r="18956" spans="2:37">
      <c r="B18956" s="834" t="str">
        <f t="shared" si="671"/>
        <v>|||</v>
      </c>
      <c r="H18956" s="835">
        <f t="shared" si="672"/>
        <v>31</v>
      </c>
      <c r="AF18956" s="831" t="s">
        <v>11155</v>
      </c>
      <c r="AG18956" s="831" t="s">
        <v>2674</v>
      </c>
      <c r="AH18956" s="831" t="s">
        <v>562</v>
      </c>
      <c r="AI18956" s="831">
        <v>0</v>
      </c>
      <c r="AJ18956" s="835">
        <v>41578</v>
      </c>
      <c r="AK18956" s="831">
        <v>0.78395000000000004</v>
      </c>
    </row>
    <row r="18957" spans="2:37">
      <c r="B18957" s="834" t="str">
        <f t="shared" si="671"/>
        <v>|||</v>
      </c>
      <c r="H18957" s="835">
        <f t="shared" si="672"/>
        <v>31</v>
      </c>
      <c r="AF18957" s="831" t="s">
        <v>11156</v>
      </c>
      <c r="AG18957" s="831" t="s">
        <v>2674</v>
      </c>
      <c r="AH18957" s="831" t="s">
        <v>2698</v>
      </c>
      <c r="AI18957" s="831">
        <v>0</v>
      </c>
      <c r="AJ18957" s="835">
        <v>41578</v>
      </c>
      <c r="AK18957" s="831">
        <v>0.78395000000000004</v>
      </c>
    </row>
    <row r="18958" spans="2:37">
      <c r="B18958" s="834" t="str">
        <f t="shared" si="671"/>
        <v>|||</v>
      </c>
      <c r="H18958" s="835">
        <f t="shared" si="672"/>
        <v>31</v>
      </c>
      <c r="AF18958" s="831" t="s">
        <v>11157</v>
      </c>
      <c r="AG18958" s="831" t="s">
        <v>2674</v>
      </c>
      <c r="AH18958" s="831" t="s">
        <v>560</v>
      </c>
      <c r="AI18958" s="831">
        <v>0</v>
      </c>
      <c r="AJ18958" s="835">
        <v>41578</v>
      </c>
      <c r="AK18958" s="831">
        <v>0.78400000000000003</v>
      </c>
    </row>
    <row r="18959" spans="2:37">
      <c r="B18959" s="834" t="str">
        <f t="shared" si="671"/>
        <v>|||</v>
      </c>
      <c r="H18959" s="835">
        <f t="shared" si="672"/>
        <v>31</v>
      </c>
      <c r="AF18959" s="831" t="s">
        <v>11158</v>
      </c>
      <c r="AG18959" s="831" t="s">
        <v>2674</v>
      </c>
      <c r="AH18959" s="831" t="s">
        <v>559</v>
      </c>
      <c r="AI18959" s="831">
        <v>0</v>
      </c>
      <c r="AJ18959" s="835">
        <v>41578</v>
      </c>
      <c r="AK18959" s="831">
        <v>0.78401250000000011</v>
      </c>
    </row>
    <row r="18960" spans="2:37">
      <c r="B18960" s="834" t="str">
        <f t="shared" si="671"/>
        <v>|||</v>
      </c>
      <c r="H18960" s="835">
        <f t="shared" si="672"/>
        <v>31</v>
      </c>
      <c r="AF18960" s="831" t="s">
        <v>11159</v>
      </c>
      <c r="AG18960" s="831" t="s">
        <v>2674</v>
      </c>
      <c r="AH18960" s="831" t="s">
        <v>568</v>
      </c>
      <c r="AI18960" s="831">
        <v>0</v>
      </c>
      <c r="AJ18960" s="835">
        <v>41578</v>
      </c>
      <c r="AK18960" s="831">
        <v>478407995.76923078</v>
      </c>
    </row>
    <row r="18961" spans="2:37">
      <c r="B18961" s="834" t="str">
        <f t="shared" ref="B18961:B19024" si="673">C18961&amp;"|"&amp;D18961&amp;"|"&amp;E18961&amp;"|"&amp;F18961</f>
        <v>|||</v>
      </c>
      <c r="H18961" s="835">
        <f t="shared" ref="H18961:H19024" si="674">EOMONTH(L18961,0)</f>
        <v>31</v>
      </c>
      <c r="AF18961" s="831" t="s">
        <v>11160</v>
      </c>
      <c r="AG18961" s="831" t="s">
        <v>2674</v>
      </c>
      <c r="AH18961" s="831" t="s">
        <v>569</v>
      </c>
      <c r="AI18961" s="831">
        <v>0</v>
      </c>
      <c r="AJ18961" s="835">
        <v>41578</v>
      </c>
      <c r="AK18961" s="831">
        <v>581144138.23076928</v>
      </c>
    </row>
    <row r="18962" spans="2:37">
      <c r="B18962" s="834" t="str">
        <f t="shared" si="673"/>
        <v>|||</v>
      </c>
      <c r="H18962" s="835">
        <f t="shared" si="674"/>
        <v>31</v>
      </c>
      <c r="AF18962" s="831" t="s">
        <v>11161</v>
      </c>
      <c r="AG18962" s="831" t="s">
        <v>2674</v>
      </c>
      <c r="AH18962" s="831" t="s">
        <v>570</v>
      </c>
      <c r="AI18962" s="831">
        <v>0</v>
      </c>
      <c r="AJ18962" s="835">
        <v>41578</v>
      </c>
      <c r="AK18962" s="831">
        <v>105999107.61538461</v>
      </c>
    </row>
    <row r="18963" spans="2:37">
      <c r="B18963" s="834" t="str">
        <f t="shared" si="673"/>
        <v>|||</v>
      </c>
      <c r="H18963" s="835">
        <f t="shared" si="674"/>
        <v>31</v>
      </c>
      <c r="AF18963" s="831" t="s">
        <v>11162</v>
      </c>
      <c r="AG18963" s="831" t="s">
        <v>2674</v>
      </c>
      <c r="AH18963" s="831" t="s">
        <v>571</v>
      </c>
      <c r="AI18963" s="831">
        <v>0</v>
      </c>
      <c r="AJ18963" s="835">
        <v>41578</v>
      </c>
      <c r="AK18963" s="831">
        <v>269945691.38461536</v>
      </c>
    </row>
    <row r="18964" spans="2:37">
      <c r="B18964" s="834" t="str">
        <f t="shared" si="673"/>
        <v>|||</v>
      </c>
      <c r="H18964" s="835">
        <f t="shared" si="674"/>
        <v>31</v>
      </c>
      <c r="AF18964" s="831" t="s">
        <v>11163</v>
      </c>
      <c r="AG18964" s="831" t="s">
        <v>2674</v>
      </c>
      <c r="AH18964" s="831" t="s">
        <v>573</v>
      </c>
      <c r="AI18964" s="831">
        <v>0</v>
      </c>
      <c r="AJ18964" s="835">
        <v>41578</v>
      </c>
      <c r="AK18964" s="831">
        <v>602977734.09090912</v>
      </c>
    </row>
    <row r="18965" spans="2:37">
      <c r="B18965" s="834" t="str">
        <f t="shared" si="673"/>
        <v>|||</v>
      </c>
      <c r="H18965" s="835">
        <f t="shared" si="674"/>
        <v>31</v>
      </c>
      <c r="AF18965" s="831" t="s">
        <v>11164</v>
      </c>
      <c r="AG18965" s="831" t="s">
        <v>2674</v>
      </c>
      <c r="AH18965" s="831" t="s">
        <v>574</v>
      </c>
      <c r="AI18965" s="831">
        <v>0</v>
      </c>
      <c r="AJ18965" s="835">
        <v>41578</v>
      </c>
      <c r="AK18965" s="831">
        <v>495346900.72727275</v>
      </c>
    </row>
    <row r="18966" spans="2:37">
      <c r="B18966" s="834" t="str">
        <f t="shared" si="673"/>
        <v>|||</v>
      </c>
      <c r="H18966" s="835">
        <f t="shared" si="674"/>
        <v>31</v>
      </c>
      <c r="AF18966" s="831" t="s">
        <v>11165</v>
      </c>
      <c r="AG18966" s="831" t="s">
        <v>2674</v>
      </c>
      <c r="AH18966" s="831" t="s">
        <v>575</v>
      </c>
      <c r="AI18966" s="831">
        <v>0</v>
      </c>
      <c r="AJ18966" s="835">
        <v>41578</v>
      </c>
      <c r="AK18966" s="831">
        <v>106972740.09090909</v>
      </c>
    </row>
    <row r="18967" spans="2:37">
      <c r="B18967" s="834" t="str">
        <f t="shared" si="673"/>
        <v>|||</v>
      </c>
      <c r="H18967" s="835">
        <f t="shared" si="674"/>
        <v>31</v>
      </c>
      <c r="AF18967" s="831" t="s">
        <v>11166</v>
      </c>
      <c r="AG18967" s="831" t="s">
        <v>2674</v>
      </c>
      <c r="AH18967" s="831" t="s">
        <v>576</v>
      </c>
      <c r="AI18967" s="831">
        <v>0</v>
      </c>
      <c r="AJ18967" s="835">
        <v>41578</v>
      </c>
      <c r="AK18967" s="831">
        <v>283862763.27272725</v>
      </c>
    </row>
    <row r="18968" spans="2:37">
      <c r="B18968" s="834" t="str">
        <f t="shared" si="673"/>
        <v>|||</v>
      </c>
      <c r="H18968" s="835">
        <f t="shared" si="674"/>
        <v>31</v>
      </c>
      <c r="AF18968" s="831" t="s">
        <v>11167</v>
      </c>
      <c r="AG18968" s="831" t="s">
        <v>2674</v>
      </c>
      <c r="AH18968" s="831" t="s">
        <v>572</v>
      </c>
      <c r="AI18968" s="831">
        <v>0</v>
      </c>
      <c r="AJ18968" s="835">
        <v>41578</v>
      </c>
      <c r="AK18968" s="831">
        <v>27259085</v>
      </c>
    </row>
    <row r="18969" spans="2:37">
      <c r="B18969" s="834" t="str">
        <f t="shared" si="673"/>
        <v>|||</v>
      </c>
      <c r="H18969" s="835">
        <f t="shared" si="674"/>
        <v>31</v>
      </c>
      <c r="AF18969" s="831" t="s">
        <v>11168</v>
      </c>
      <c r="AG18969" s="831" t="s">
        <v>2674</v>
      </c>
      <c r="AH18969" s="831" t="s">
        <v>577</v>
      </c>
      <c r="AI18969" s="831">
        <v>0</v>
      </c>
      <c r="AJ18969" s="835">
        <v>41578</v>
      </c>
      <c r="AK18969" s="831">
        <v>126095724</v>
      </c>
    </row>
    <row r="18970" spans="2:37">
      <c r="B18970" s="834" t="str">
        <f t="shared" si="673"/>
        <v>|||</v>
      </c>
      <c r="H18970" s="835">
        <f t="shared" si="674"/>
        <v>31</v>
      </c>
      <c r="AF18970" s="831" t="s">
        <v>11169</v>
      </c>
      <c r="AG18970" s="831" t="s">
        <v>2674</v>
      </c>
      <c r="AH18970" s="831" t="s">
        <v>3042</v>
      </c>
      <c r="AI18970" s="831">
        <v>0</v>
      </c>
      <c r="AJ18970" s="835">
        <v>41578</v>
      </c>
      <c r="AK18970" s="831">
        <v>-31522962</v>
      </c>
    </row>
    <row r="18971" spans="2:37">
      <c r="B18971" s="834" t="str">
        <f t="shared" si="673"/>
        <v>|||</v>
      </c>
      <c r="H18971" s="835">
        <f t="shared" si="674"/>
        <v>31</v>
      </c>
      <c r="AF18971" s="831" t="s">
        <v>11170</v>
      </c>
      <c r="AG18971" s="831" t="s">
        <v>2674</v>
      </c>
      <c r="AH18971" s="831" t="s">
        <v>3044</v>
      </c>
      <c r="AI18971" s="831">
        <v>0</v>
      </c>
      <c r="AJ18971" s="835">
        <v>41578</v>
      </c>
      <c r="AK18971" s="831">
        <v>-4397277</v>
      </c>
    </row>
    <row r="18972" spans="2:37">
      <c r="B18972" s="834" t="str">
        <f t="shared" si="673"/>
        <v>|||</v>
      </c>
      <c r="H18972" s="835">
        <f t="shared" si="674"/>
        <v>31</v>
      </c>
      <c r="AF18972" s="831" t="s">
        <v>11171</v>
      </c>
      <c r="AG18972" s="831" t="s">
        <v>2674</v>
      </c>
      <c r="AH18972" s="831" t="s">
        <v>580</v>
      </c>
      <c r="AI18972" s="831">
        <v>0</v>
      </c>
      <c r="AJ18972" s="835">
        <v>41578</v>
      </c>
      <c r="AK18972" s="831">
        <v>-60213639</v>
      </c>
    </row>
    <row r="18973" spans="2:37">
      <c r="B18973" s="834" t="str">
        <f t="shared" si="673"/>
        <v>|||</v>
      </c>
      <c r="H18973" s="835">
        <f t="shared" si="674"/>
        <v>31</v>
      </c>
      <c r="AF18973" s="831" t="s">
        <v>11172</v>
      </c>
      <c r="AG18973" s="831" t="s">
        <v>2674</v>
      </c>
      <c r="AH18973" s="831" t="s">
        <v>581</v>
      </c>
      <c r="AI18973" s="831">
        <v>0</v>
      </c>
      <c r="AJ18973" s="835">
        <v>41578</v>
      </c>
      <c r="AK18973" s="831">
        <v>4896268</v>
      </c>
    </row>
    <row r="18974" spans="2:37">
      <c r="B18974" s="834" t="str">
        <f t="shared" si="673"/>
        <v>|||</v>
      </c>
      <c r="H18974" s="835">
        <f t="shared" si="674"/>
        <v>31</v>
      </c>
      <c r="AF18974" s="831" t="s">
        <v>11173</v>
      </c>
      <c r="AG18974" s="831" t="s">
        <v>2674</v>
      </c>
      <c r="AH18974" s="831" t="s">
        <v>105</v>
      </c>
      <c r="AI18974" s="831">
        <v>0</v>
      </c>
      <c r="AJ18974" s="835">
        <v>41578</v>
      </c>
      <c r="AK18974" s="831">
        <v>349309695</v>
      </c>
    </row>
    <row r="18975" spans="2:37">
      <c r="B18975" s="834" t="str">
        <f t="shared" si="673"/>
        <v>|||</v>
      </c>
      <c r="H18975" s="835">
        <f t="shared" si="674"/>
        <v>31</v>
      </c>
      <c r="AF18975" s="831" t="s">
        <v>11174</v>
      </c>
      <c r="AG18975" s="831" t="s">
        <v>2674</v>
      </c>
      <c r="AH18975" s="831" t="s">
        <v>3049</v>
      </c>
      <c r="AI18975" s="831">
        <v>0</v>
      </c>
      <c r="AJ18975" s="835">
        <v>41578</v>
      </c>
      <c r="AK18975" s="831">
        <v>582451860</v>
      </c>
    </row>
    <row r="18976" spans="2:37">
      <c r="B18976" s="834" t="str">
        <f t="shared" si="673"/>
        <v>|||</v>
      </c>
      <c r="H18976" s="835">
        <f t="shared" si="674"/>
        <v>31</v>
      </c>
      <c r="AF18976" s="831" t="s">
        <v>11175</v>
      </c>
      <c r="AG18976" s="831" t="s">
        <v>2674</v>
      </c>
      <c r="AH18976" s="831" t="s">
        <v>103</v>
      </c>
      <c r="AI18976" s="831">
        <v>0</v>
      </c>
      <c r="AJ18976" s="835">
        <v>41578</v>
      </c>
      <c r="AK18976" s="831">
        <v>233142165</v>
      </c>
    </row>
    <row r="18977" spans="2:37">
      <c r="B18977" s="834" t="str">
        <f t="shared" si="673"/>
        <v>|||</v>
      </c>
      <c r="H18977" s="835">
        <f t="shared" si="674"/>
        <v>31</v>
      </c>
      <c r="AF18977" s="831" t="s">
        <v>11176</v>
      </c>
      <c r="AG18977" s="831" t="s">
        <v>2674</v>
      </c>
      <c r="AH18977" s="831" t="s">
        <v>182</v>
      </c>
      <c r="AI18977" s="831">
        <v>0</v>
      </c>
      <c r="AJ18977" s="835">
        <v>41578</v>
      </c>
      <c r="AK18977" s="831">
        <v>58216306.799999997</v>
      </c>
    </row>
    <row r="18978" spans="2:37">
      <c r="B18978" s="834" t="str">
        <f t="shared" si="673"/>
        <v>|||</v>
      </c>
      <c r="H18978" s="835">
        <f t="shared" si="674"/>
        <v>31</v>
      </c>
      <c r="AF18978" s="831" t="s">
        <v>11177</v>
      </c>
      <c r="AG18978" s="831" t="s">
        <v>2674</v>
      </c>
      <c r="AH18978" s="831" t="s">
        <v>6600</v>
      </c>
      <c r="AI18978" s="831">
        <v>0</v>
      </c>
      <c r="AJ18978" s="835">
        <v>41578</v>
      </c>
      <c r="AK18978" s="831">
        <v>27259085</v>
      </c>
    </row>
    <row r="18979" spans="2:37">
      <c r="B18979" s="834" t="str">
        <f t="shared" si="673"/>
        <v>|||</v>
      </c>
      <c r="H18979" s="835">
        <f t="shared" si="674"/>
        <v>31</v>
      </c>
      <c r="AF18979" s="831" t="s">
        <v>11178</v>
      </c>
      <c r="AG18979" s="831" t="s">
        <v>2674</v>
      </c>
      <c r="AH18979" s="831" t="s">
        <v>6602</v>
      </c>
      <c r="AI18979" s="831">
        <v>0</v>
      </c>
      <c r="AJ18979" s="835">
        <v>41578</v>
      </c>
      <c r="AK18979" s="831">
        <v>25527641</v>
      </c>
    </row>
    <row r="18980" spans="2:37">
      <c r="B18980" s="834" t="str">
        <f t="shared" si="673"/>
        <v>|||</v>
      </c>
      <c r="H18980" s="835">
        <f t="shared" si="674"/>
        <v>31</v>
      </c>
      <c r="AF18980" s="831" t="s">
        <v>11179</v>
      </c>
      <c r="AG18980" s="831" t="s">
        <v>2674</v>
      </c>
      <c r="AH18980" s="831" t="s">
        <v>650</v>
      </c>
      <c r="AI18980" s="831">
        <v>0</v>
      </c>
      <c r="AJ18980" s="835">
        <v>41578</v>
      </c>
      <c r="AK18980" s="831">
        <v>190388810.31923077</v>
      </c>
    </row>
    <row r="18981" spans="2:37">
      <c r="B18981" s="834" t="str">
        <f t="shared" si="673"/>
        <v>|||</v>
      </c>
      <c r="H18981" s="835">
        <f t="shared" si="674"/>
        <v>31</v>
      </c>
      <c r="AF18981" s="831" t="s">
        <v>11180</v>
      </c>
      <c r="AG18981" s="831" t="s">
        <v>2674</v>
      </c>
      <c r="AH18981" s="831" t="s">
        <v>655</v>
      </c>
      <c r="AI18981" s="831">
        <v>0</v>
      </c>
      <c r="AJ18981" s="835">
        <v>41578</v>
      </c>
      <c r="AK18981" s="831">
        <v>1325401.845</v>
      </c>
    </row>
    <row r="18982" spans="2:37">
      <c r="B18982" s="834" t="str">
        <f t="shared" si="673"/>
        <v>|||</v>
      </c>
      <c r="H18982" s="835">
        <f t="shared" si="674"/>
        <v>31</v>
      </c>
      <c r="AF18982" s="831" t="s">
        <v>11181</v>
      </c>
      <c r="AG18982" s="831" t="s">
        <v>2674</v>
      </c>
      <c r="AH18982" s="831" t="s">
        <v>546</v>
      </c>
      <c r="AI18982" s="831">
        <v>0</v>
      </c>
      <c r="AJ18982" s="835">
        <v>41608</v>
      </c>
      <c r="AK18982" s="831">
        <v>598049309.95000005</v>
      </c>
    </row>
    <row r="18983" spans="2:37">
      <c r="B18983" s="834" t="str">
        <f t="shared" si="673"/>
        <v>|||</v>
      </c>
      <c r="H18983" s="835">
        <f t="shared" si="674"/>
        <v>31</v>
      </c>
      <c r="AF18983" s="831" t="s">
        <v>11182</v>
      </c>
      <c r="AG18983" s="831" t="s">
        <v>2674</v>
      </c>
      <c r="AH18983" s="831" t="s">
        <v>370</v>
      </c>
      <c r="AI18983" s="831">
        <v>0</v>
      </c>
      <c r="AJ18983" s="835">
        <v>41608</v>
      </c>
      <c r="AK18983" s="831">
        <v>744271522.09000015</v>
      </c>
    </row>
    <row r="18984" spans="2:37">
      <c r="B18984" s="834" t="str">
        <f t="shared" si="673"/>
        <v>|||</v>
      </c>
      <c r="H18984" s="835">
        <f t="shared" si="674"/>
        <v>31</v>
      </c>
      <c r="AF18984" s="831" t="s">
        <v>11183</v>
      </c>
      <c r="AG18984" s="831" t="s">
        <v>2674</v>
      </c>
      <c r="AH18984" s="831" t="s">
        <v>126</v>
      </c>
      <c r="AI18984" s="831">
        <v>0</v>
      </c>
      <c r="AJ18984" s="835">
        <v>41608</v>
      </c>
      <c r="AK18984" s="831">
        <v>123117939.85600001</v>
      </c>
    </row>
    <row r="18985" spans="2:37">
      <c r="B18985" s="834" t="str">
        <f t="shared" si="673"/>
        <v>|||</v>
      </c>
      <c r="H18985" s="835">
        <f t="shared" si="674"/>
        <v>31</v>
      </c>
      <c r="AF18985" s="831" t="s">
        <v>11184</v>
      </c>
      <c r="AG18985" s="831" t="s">
        <v>2674</v>
      </c>
      <c r="AH18985" s="831" t="s">
        <v>268</v>
      </c>
      <c r="AI18985" s="831">
        <v>0</v>
      </c>
      <c r="AJ18985" s="835">
        <v>41608</v>
      </c>
      <c r="AK18985" s="831">
        <v>28354718.032000005</v>
      </c>
    </row>
    <row r="18986" spans="2:37">
      <c r="B18986" s="834" t="str">
        <f t="shared" si="673"/>
        <v>|||</v>
      </c>
      <c r="H18986" s="835">
        <f t="shared" si="674"/>
        <v>31</v>
      </c>
      <c r="AF18986" s="831" t="s">
        <v>11185</v>
      </c>
      <c r="AG18986" s="831" t="s">
        <v>2674</v>
      </c>
      <c r="AH18986" s="831" t="s">
        <v>547</v>
      </c>
      <c r="AI18986" s="831">
        <v>0</v>
      </c>
      <c r="AJ18986" s="835">
        <v>41608</v>
      </c>
      <c r="AK18986" s="831">
        <v>511487760</v>
      </c>
    </row>
    <row r="18987" spans="2:37">
      <c r="B18987" s="834" t="str">
        <f t="shared" si="673"/>
        <v>|||</v>
      </c>
      <c r="H18987" s="835">
        <f t="shared" si="674"/>
        <v>31</v>
      </c>
      <c r="AF18987" s="831" t="s">
        <v>11186</v>
      </c>
      <c r="AG18987" s="831" t="s">
        <v>2674</v>
      </c>
      <c r="AH18987" s="831" t="s">
        <v>548</v>
      </c>
      <c r="AI18987" s="831">
        <v>0</v>
      </c>
      <c r="AJ18987" s="835">
        <v>41608</v>
      </c>
      <c r="AK18987" s="831">
        <v>96883184</v>
      </c>
    </row>
    <row r="18988" spans="2:37">
      <c r="B18988" s="834" t="str">
        <f t="shared" si="673"/>
        <v>|||</v>
      </c>
      <c r="H18988" s="835">
        <f t="shared" si="674"/>
        <v>31</v>
      </c>
      <c r="AF18988" s="831" t="s">
        <v>11187</v>
      </c>
      <c r="AG18988" s="831" t="s">
        <v>2674</v>
      </c>
      <c r="AH18988" s="831" t="s">
        <v>549</v>
      </c>
      <c r="AI18988" s="831">
        <v>0</v>
      </c>
      <c r="AJ18988" s="835">
        <v>41608</v>
      </c>
      <c r="AK18988" s="831">
        <v>394083786</v>
      </c>
    </row>
    <row r="18989" spans="2:37">
      <c r="B18989" s="834" t="str">
        <f t="shared" si="673"/>
        <v>|||</v>
      </c>
      <c r="H18989" s="835">
        <f t="shared" si="674"/>
        <v>31</v>
      </c>
      <c r="AF18989" s="831" t="s">
        <v>11188</v>
      </c>
      <c r="AG18989" s="831" t="s">
        <v>2674</v>
      </c>
      <c r="AH18989" s="831" t="s">
        <v>192</v>
      </c>
      <c r="AI18989" s="831">
        <v>0</v>
      </c>
      <c r="AJ18989" s="835">
        <v>41608</v>
      </c>
      <c r="AK18989" s="831">
        <v>-13734258.050000001</v>
      </c>
    </row>
    <row r="18990" spans="2:37">
      <c r="B18990" s="834" t="str">
        <f t="shared" si="673"/>
        <v>|||</v>
      </c>
      <c r="H18990" s="835">
        <f t="shared" si="674"/>
        <v>31</v>
      </c>
      <c r="AF18990" s="831" t="s">
        <v>11189</v>
      </c>
      <c r="AG18990" s="831" t="s">
        <v>2674</v>
      </c>
      <c r="AH18990" s="831" t="s">
        <v>558</v>
      </c>
      <c r="AI18990" s="831">
        <v>0</v>
      </c>
      <c r="AJ18990" s="835">
        <v>41608</v>
      </c>
      <c r="AK18990" s="831">
        <v>621153581.74699998</v>
      </c>
    </row>
    <row r="18991" spans="2:37">
      <c r="B18991" s="834" t="str">
        <f t="shared" si="673"/>
        <v>|||</v>
      </c>
      <c r="H18991" s="835">
        <f t="shared" si="674"/>
        <v>31</v>
      </c>
      <c r="AF18991" s="831" t="s">
        <v>11190</v>
      </c>
      <c r="AG18991" s="831" t="s">
        <v>2674</v>
      </c>
      <c r="AH18991" s="831" t="s">
        <v>65</v>
      </c>
      <c r="AI18991" s="831">
        <v>0</v>
      </c>
      <c r="AJ18991" s="835">
        <v>41608</v>
      </c>
      <c r="AK18991" s="831">
        <v>119540969.236</v>
      </c>
    </row>
    <row r="18992" spans="2:37">
      <c r="B18992" s="834" t="str">
        <f t="shared" si="673"/>
        <v>|||</v>
      </c>
      <c r="H18992" s="835">
        <f t="shared" si="674"/>
        <v>31</v>
      </c>
      <c r="AF18992" s="831" t="s">
        <v>11191</v>
      </c>
      <c r="AG18992" s="831" t="s">
        <v>2674</v>
      </c>
      <c r="AH18992" s="831" t="s">
        <v>89</v>
      </c>
      <c r="AI18992" s="831">
        <v>0</v>
      </c>
      <c r="AJ18992" s="835">
        <v>41608</v>
      </c>
      <c r="AK18992" s="831">
        <v>145224</v>
      </c>
    </row>
    <row r="18993" spans="2:37">
      <c r="B18993" s="834" t="str">
        <f t="shared" si="673"/>
        <v>|||</v>
      </c>
      <c r="H18993" s="835">
        <f t="shared" si="674"/>
        <v>31</v>
      </c>
      <c r="AF18993" s="831" t="s">
        <v>11192</v>
      </c>
      <c r="AG18993" s="831" t="s">
        <v>2674</v>
      </c>
      <c r="AH18993" s="831" t="s">
        <v>557</v>
      </c>
      <c r="AI18993" s="831">
        <v>0</v>
      </c>
      <c r="AJ18993" s="835">
        <v>41608</v>
      </c>
      <c r="AK18993" s="831">
        <v>155996</v>
      </c>
    </row>
    <row r="18994" spans="2:37">
      <c r="B18994" s="834" t="str">
        <f t="shared" si="673"/>
        <v>|||</v>
      </c>
      <c r="H18994" s="835">
        <f t="shared" si="674"/>
        <v>31</v>
      </c>
      <c r="AF18994" s="831" t="s">
        <v>11193</v>
      </c>
      <c r="AG18994" s="831" t="s">
        <v>2674</v>
      </c>
      <c r="AH18994" s="831" t="s">
        <v>29</v>
      </c>
      <c r="AI18994" s="831">
        <v>0</v>
      </c>
      <c r="AJ18994" s="835">
        <v>41608</v>
      </c>
      <c r="AK18994" s="831">
        <v>1891894.6070000001</v>
      </c>
    </row>
    <row r="18995" spans="2:37">
      <c r="B18995" s="834" t="str">
        <f t="shared" si="673"/>
        <v>|||</v>
      </c>
      <c r="H18995" s="835">
        <f t="shared" si="674"/>
        <v>31</v>
      </c>
      <c r="AF18995" s="831" t="s">
        <v>11194</v>
      </c>
      <c r="AG18995" s="831" t="s">
        <v>2674</v>
      </c>
      <c r="AH18995" s="831" t="s">
        <v>2688</v>
      </c>
      <c r="AI18995" s="831">
        <v>0</v>
      </c>
      <c r="AJ18995" s="835">
        <v>41608</v>
      </c>
      <c r="AK18995" s="831">
        <v>3430395.37</v>
      </c>
    </row>
    <row r="18996" spans="2:37">
      <c r="B18996" s="834" t="str">
        <f t="shared" si="673"/>
        <v>|||</v>
      </c>
      <c r="H18996" s="835">
        <f t="shared" si="674"/>
        <v>31</v>
      </c>
      <c r="AF18996" s="831" t="s">
        <v>11195</v>
      </c>
      <c r="AG18996" s="831" t="s">
        <v>2674</v>
      </c>
      <c r="AH18996" s="831" t="s">
        <v>556</v>
      </c>
      <c r="AI18996" s="831">
        <v>0</v>
      </c>
      <c r="AJ18996" s="835">
        <v>41608</v>
      </c>
      <c r="AK18996" s="831">
        <v>1644732</v>
      </c>
    </row>
    <row r="18997" spans="2:37">
      <c r="B18997" s="834" t="str">
        <f t="shared" si="673"/>
        <v>|||</v>
      </c>
      <c r="H18997" s="835">
        <f t="shared" si="674"/>
        <v>31</v>
      </c>
      <c r="AF18997" s="831" t="s">
        <v>11196</v>
      </c>
      <c r="AG18997" s="831" t="s">
        <v>2674</v>
      </c>
      <c r="AH18997" s="831" t="s">
        <v>555</v>
      </c>
      <c r="AI18997" s="831">
        <v>0</v>
      </c>
      <c r="AJ18997" s="835">
        <v>41608</v>
      </c>
      <c r="AK18997" s="831">
        <v>414052390</v>
      </c>
    </row>
    <row r="18998" spans="2:37">
      <c r="B18998" s="834" t="str">
        <f t="shared" si="673"/>
        <v>|||</v>
      </c>
      <c r="H18998" s="835">
        <f t="shared" si="674"/>
        <v>31</v>
      </c>
      <c r="AF18998" s="831" t="s">
        <v>11197</v>
      </c>
      <c r="AG18998" s="831" t="s">
        <v>2674</v>
      </c>
      <c r="AH18998" s="831" t="s">
        <v>554</v>
      </c>
      <c r="AI18998" s="831">
        <v>0</v>
      </c>
      <c r="AJ18998" s="835">
        <v>41608</v>
      </c>
      <c r="AK18998" s="831">
        <v>421904620</v>
      </c>
    </row>
    <row r="18999" spans="2:37">
      <c r="B18999" s="834" t="str">
        <f t="shared" si="673"/>
        <v>|||</v>
      </c>
      <c r="H18999" s="835">
        <f t="shared" si="674"/>
        <v>31</v>
      </c>
      <c r="AF18999" s="831" t="s">
        <v>11198</v>
      </c>
      <c r="AG18999" s="831" t="s">
        <v>2674</v>
      </c>
      <c r="AH18999" s="831" t="s">
        <v>553</v>
      </c>
      <c r="AI18999" s="831">
        <v>0</v>
      </c>
      <c r="AJ18999" s="835">
        <v>41608</v>
      </c>
      <c r="AK18999" s="831">
        <v>0</v>
      </c>
    </row>
    <row r="19000" spans="2:37">
      <c r="B19000" s="834" t="str">
        <f t="shared" si="673"/>
        <v>|||</v>
      </c>
      <c r="H19000" s="835">
        <f t="shared" si="674"/>
        <v>31</v>
      </c>
      <c r="AF19000" s="831" t="s">
        <v>11199</v>
      </c>
      <c r="AG19000" s="831" t="s">
        <v>2674</v>
      </c>
      <c r="AH19000" s="831" t="s">
        <v>552</v>
      </c>
      <c r="AI19000" s="831">
        <v>0</v>
      </c>
      <c r="AJ19000" s="835">
        <v>41608</v>
      </c>
      <c r="AK19000" s="831">
        <v>0</v>
      </c>
    </row>
    <row r="19001" spans="2:37">
      <c r="B19001" s="834" t="str">
        <f t="shared" si="673"/>
        <v>|||</v>
      </c>
      <c r="H19001" s="835">
        <f t="shared" si="674"/>
        <v>31</v>
      </c>
      <c r="AF19001" s="831" t="s">
        <v>11200</v>
      </c>
      <c r="AG19001" s="831" t="s">
        <v>2674</v>
      </c>
      <c r="AH19001" s="831" t="s">
        <v>551</v>
      </c>
      <c r="AI19001" s="831">
        <v>0</v>
      </c>
      <c r="AJ19001" s="835">
        <v>41608</v>
      </c>
      <c r="AK19001" s="831">
        <v>1659941.3510000003</v>
      </c>
    </row>
    <row r="19002" spans="2:37">
      <c r="B19002" s="834" t="str">
        <f t="shared" si="673"/>
        <v>|||</v>
      </c>
      <c r="H19002" s="835">
        <f t="shared" si="674"/>
        <v>31</v>
      </c>
      <c r="AF19002" s="831" t="s">
        <v>11201</v>
      </c>
      <c r="AG19002" s="831" t="s">
        <v>2674</v>
      </c>
      <c r="AH19002" s="831" t="s">
        <v>550</v>
      </c>
      <c r="AI19002" s="831">
        <v>0</v>
      </c>
      <c r="AJ19002" s="835">
        <v>41608</v>
      </c>
      <c r="AK19002" s="831">
        <v>120290863</v>
      </c>
    </row>
    <row r="19003" spans="2:37">
      <c r="B19003" s="834" t="str">
        <f t="shared" si="673"/>
        <v>|||</v>
      </c>
      <c r="H19003" s="835">
        <f t="shared" si="674"/>
        <v>31</v>
      </c>
      <c r="AF19003" s="831" t="s">
        <v>11202</v>
      </c>
      <c r="AG19003" s="831" t="s">
        <v>2674</v>
      </c>
      <c r="AH19003" s="831" t="s">
        <v>562</v>
      </c>
      <c r="AI19003" s="831">
        <v>0</v>
      </c>
      <c r="AJ19003" s="835">
        <v>41608</v>
      </c>
      <c r="AK19003" s="831">
        <v>0.78385000000000005</v>
      </c>
    </row>
    <row r="19004" spans="2:37">
      <c r="B19004" s="834" t="str">
        <f t="shared" si="673"/>
        <v>|||</v>
      </c>
      <c r="H19004" s="835">
        <f t="shared" si="674"/>
        <v>31</v>
      </c>
      <c r="AF19004" s="831" t="s">
        <v>11203</v>
      </c>
      <c r="AG19004" s="831" t="s">
        <v>2674</v>
      </c>
      <c r="AH19004" s="831" t="s">
        <v>2698</v>
      </c>
      <c r="AI19004" s="831">
        <v>0</v>
      </c>
      <c r="AJ19004" s="835">
        <v>41608</v>
      </c>
      <c r="AK19004" s="831">
        <v>0.78395000000000004</v>
      </c>
    </row>
    <row r="19005" spans="2:37">
      <c r="B19005" s="834" t="str">
        <f t="shared" si="673"/>
        <v>|||</v>
      </c>
      <c r="H19005" s="835">
        <f t="shared" si="674"/>
        <v>31</v>
      </c>
      <c r="AF19005" s="831" t="s">
        <v>11204</v>
      </c>
      <c r="AG19005" s="831" t="s">
        <v>2674</v>
      </c>
      <c r="AH19005" s="831" t="s">
        <v>560</v>
      </c>
      <c r="AI19005" s="831">
        <v>0</v>
      </c>
      <c r="AJ19005" s="835">
        <v>41608</v>
      </c>
      <c r="AK19005" s="831">
        <v>0.78398636363636354</v>
      </c>
    </row>
    <row r="19006" spans="2:37">
      <c r="B19006" s="834" t="str">
        <f t="shared" si="673"/>
        <v>|||</v>
      </c>
      <c r="H19006" s="835">
        <f t="shared" si="674"/>
        <v>31</v>
      </c>
      <c r="AF19006" s="831" t="s">
        <v>11205</v>
      </c>
      <c r="AG19006" s="831" t="s">
        <v>2674</v>
      </c>
      <c r="AH19006" s="831" t="s">
        <v>559</v>
      </c>
      <c r="AI19006" s="831">
        <v>0</v>
      </c>
      <c r="AJ19006" s="835">
        <v>41608</v>
      </c>
      <c r="AK19006" s="831">
        <v>0.78398749999999995</v>
      </c>
    </row>
    <row r="19007" spans="2:37">
      <c r="B19007" s="834" t="str">
        <f t="shared" si="673"/>
        <v>|||</v>
      </c>
      <c r="H19007" s="835">
        <f t="shared" si="674"/>
        <v>31</v>
      </c>
      <c r="AF19007" s="831" t="s">
        <v>11206</v>
      </c>
      <c r="AG19007" s="831" t="s">
        <v>2674</v>
      </c>
      <c r="AH19007" s="831" t="s">
        <v>568</v>
      </c>
      <c r="AI19007" s="831">
        <v>0</v>
      </c>
      <c r="AJ19007" s="835">
        <v>41608</v>
      </c>
      <c r="AK19007" s="831">
        <v>495457615.68846154</v>
      </c>
    </row>
    <row r="19008" spans="2:37">
      <c r="B19008" s="834" t="str">
        <f t="shared" si="673"/>
        <v>|||</v>
      </c>
      <c r="H19008" s="835">
        <f t="shared" si="674"/>
        <v>31</v>
      </c>
      <c r="AF19008" s="831" t="s">
        <v>11207</v>
      </c>
      <c r="AG19008" s="831" t="s">
        <v>2674</v>
      </c>
      <c r="AH19008" s="831" t="s">
        <v>569</v>
      </c>
      <c r="AI19008" s="831">
        <v>0</v>
      </c>
      <c r="AJ19008" s="835">
        <v>41608</v>
      </c>
      <c r="AK19008" s="831">
        <v>603523727.23769236</v>
      </c>
    </row>
    <row r="19009" spans="2:37">
      <c r="B19009" s="834" t="str">
        <f t="shared" si="673"/>
        <v>|||</v>
      </c>
      <c r="H19009" s="835">
        <f t="shared" si="674"/>
        <v>31</v>
      </c>
      <c r="AF19009" s="831" t="s">
        <v>11208</v>
      </c>
      <c r="AG19009" s="831" t="s">
        <v>2674</v>
      </c>
      <c r="AH19009" s="831" t="s">
        <v>570</v>
      </c>
      <c r="AI19009" s="831">
        <v>0</v>
      </c>
      <c r="AJ19009" s="835">
        <v>41608</v>
      </c>
      <c r="AK19009" s="831">
        <v>107821146.75815384</v>
      </c>
    </row>
    <row r="19010" spans="2:37">
      <c r="B19010" s="834" t="str">
        <f t="shared" si="673"/>
        <v>|||</v>
      </c>
      <c r="H19010" s="835">
        <f t="shared" si="674"/>
        <v>31</v>
      </c>
      <c r="AF19010" s="831" t="s">
        <v>11209</v>
      </c>
      <c r="AG19010" s="831" t="s">
        <v>2674</v>
      </c>
      <c r="AH19010" s="831" t="s">
        <v>571</v>
      </c>
      <c r="AI19010" s="831">
        <v>0</v>
      </c>
      <c r="AJ19010" s="835">
        <v>41608</v>
      </c>
      <c r="AK19010" s="831">
        <v>283259717.08169228</v>
      </c>
    </row>
    <row r="19011" spans="2:37">
      <c r="B19011" s="834" t="str">
        <f t="shared" si="673"/>
        <v>|||</v>
      </c>
      <c r="H19011" s="835">
        <f t="shared" si="674"/>
        <v>31</v>
      </c>
      <c r="AF19011" s="831" t="s">
        <v>11210</v>
      </c>
      <c r="AG19011" s="831" t="s">
        <v>2674</v>
      </c>
      <c r="AH19011" s="831" t="s">
        <v>573</v>
      </c>
      <c r="AI19011" s="831">
        <v>0</v>
      </c>
      <c r="AJ19011" s="835">
        <v>41608</v>
      </c>
      <c r="AK19011" s="831">
        <v>614752216.42416668</v>
      </c>
    </row>
    <row r="19012" spans="2:37">
      <c r="B19012" s="834" t="str">
        <f t="shared" si="673"/>
        <v>|||</v>
      </c>
      <c r="H19012" s="835">
        <f t="shared" si="674"/>
        <v>31</v>
      </c>
      <c r="AF19012" s="831" t="s">
        <v>11211</v>
      </c>
      <c r="AG19012" s="831" t="s">
        <v>2674</v>
      </c>
      <c r="AH19012" s="831" t="s">
        <v>574</v>
      </c>
      <c r="AI19012" s="831">
        <v>0</v>
      </c>
      <c r="AJ19012" s="835">
        <v>41608</v>
      </c>
      <c r="AK19012" s="831">
        <v>503905434.82916665</v>
      </c>
    </row>
    <row r="19013" spans="2:37">
      <c r="B19013" s="834" t="str">
        <f t="shared" si="673"/>
        <v>|||</v>
      </c>
      <c r="H19013" s="835">
        <f t="shared" si="674"/>
        <v>31</v>
      </c>
      <c r="AF19013" s="831" t="s">
        <v>11212</v>
      </c>
      <c r="AG19013" s="831" t="s">
        <v>2674</v>
      </c>
      <c r="AH19013" s="831" t="s">
        <v>575</v>
      </c>
      <c r="AI19013" s="831">
        <v>0</v>
      </c>
      <c r="AJ19013" s="835">
        <v>41608</v>
      </c>
      <c r="AK19013" s="831">
        <v>108318173.40466666</v>
      </c>
    </row>
    <row r="19014" spans="2:37">
      <c r="B19014" s="834" t="str">
        <f t="shared" si="673"/>
        <v>|||</v>
      </c>
      <c r="H19014" s="835">
        <f t="shared" si="674"/>
        <v>31</v>
      </c>
      <c r="AF19014" s="831" t="s">
        <v>11213</v>
      </c>
      <c r="AG19014" s="831" t="s">
        <v>2674</v>
      </c>
      <c r="AH19014" s="831" t="s">
        <v>576</v>
      </c>
      <c r="AI19014" s="831">
        <v>0</v>
      </c>
      <c r="AJ19014" s="835">
        <v>41608</v>
      </c>
      <c r="AK19014" s="831">
        <v>290020734.67183334</v>
      </c>
    </row>
    <row r="19015" spans="2:37">
      <c r="B19015" s="834" t="str">
        <f t="shared" si="673"/>
        <v>|||</v>
      </c>
      <c r="H19015" s="835">
        <f t="shared" si="674"/>
        <v>31</v>
      </c>
      <c r="AF19015" s="831" t="s">
        <v>11214</v>
      </c>
      <c r="AG19015" s="831" t="s">
        <v>2674</v>
      </c>
      <c r="AH19015" s="831" t="s">
        <v>572</v>
      </c>
      <c r="AI19015" s="831">
        <v>0</v>
      </c>
      <c r="AJ19015" s="835">
        <v>41608</v>
      </c>
      <c r="AK19015" s="831">
        <v>27660766.032000005</v>
      </c>
    </row>
    <row r="19016" spans="2:37">
      <c r="B19016" s="834" t="str">
        <f t="shared" si="673"/>
        <v>|||</v>
      </c>
      <c r="H19016" s="835">
        <f t="shared" si="674"/>
        <v>31</v>
      </c>
      <c r="AF19016" s="831" t="s">
        <v>11215</v>
      </c>
      <c r="AG19016" s="831" t="s">
        <v>2674</v>
      </c>
      <c r="AH19016" s="831" t="s">
        <v>577</v>
      </c>
      <c r="AI19016" s="831">
        <v>0</v>
      </c>
      <c r="AJ19016" s="835">
        <v>41608</v>
      </c>
      <c r="AK19016" s="831">
        <v>128906380.236</v>
      </c>
    </row>
    <row r="19017" spans="2:37">
      <c r="B19017" s="834" t="str">
        <f t="shared" si="673"/>
        <v>|||</v>
      </c>
      <c r="H19017" s="835">
        <f t="shared" si="674"/>
        <v>31</v>
      </c>
      <c r="AF19017" s="831" t="s">
        <v>11216</v>
      </c>
      <c r="AG19017" s="831" t="s">
        <v>2674</v>
      </c>
      <c r="AH19017" s="831" t="s">
        <v>3042</v>
      </c>
      <c r="AI19017" s="831">
        <v>0</v>
      </c>
      <c r="AJ19017" s="835">
        <v>41608</v>
      </c>
      <c r="AK19017" s="831">
        <v>-32754423.664999999</v>
      </c>
    </row>
    <row r="19018" spans="2:37">
      <c r="B19018" s="834" t="str">
        <f t="shared" si="673"/>
        <v>|||</v>
      </c>
      <c r="H19018" s="835">
        <f t="shared" si="674"/>
        <v>31</v>
      </c>
      <c r="AF19018" s="831" t="s">
        <v>11217</v>
      </c>
      <c r="AG19018" s="831" t="s">
        <v>2674</v>
      </c>
      <c r="AH19018" s="831" t="s">
        <v>3044</v>
      </c>
      <c r="AI19018" s="831">
        <v>0</v>
      </c>
      <c r="AJ19018" s="835">
        <v>41608</v>
      </c>
      <c r="AK19018" s="831">
        <v>-4752350.8779999996</v>
      </c>
    </row>
    <row r="19019" spans="2:37">
      <c r="B19019" s="834" t="str">
        <f t="shared" si="673"/>
        <v>|||</v>
      </c>
      <c r="H19019" s="835">
        <f t="shared" si="674"/>
        <v>31</v>
      </c>
      <c r="AF19019" s="831" t="s">
        <v>11218</v>
      </c>
      <c r="AG19019" s="831" t="s">
        <v>2674</v>
      </c>
      <c r="AH19019" s="831" t="s">
        <v>580</v>
      </c>
      <c r="AI19019" s="831">
        <v>0</v>
      </c>
      <c r="AJ19019" s="835">
        <v>41608</v>
      </c>
      <c r="AK19019" s="831">
        <v>-61342758.126000002</v>
      </c>
    </row>
    <row r="19020" spans="2:37">
      <c r="B19020" s="834" t="str">
        <f t="shared" si="673"/>
        <v>|||</v>
      </c>
      <c r="H19020" s="835">
        <f t="shared" si="674"/>
        <v>31</v>
      </c>
      <c r="AF19020" s="831" t="s">
        <v>11219</v>
      </c>
      <c r="AG19020" s="831" t="s">
        <v>2674</v>
      </c>
      <c r="AH19020" s="831" t="s">
        <v>581</v>
      </c>
      <c r="AI19020" s="831">
        <v>0</v>
      </c>
      <c r="AJ19020" s="835">
        <v>41608</v>
      </c>
      <c r="AK19020" s="831">
        <v>5348437.4649999999</v>
      </c>
    </row>
    <row r="19021" spans="2:37">
      <c r="B19021" s="834" t="str">
        <f t="shared" si="673"/>
        <v>|||</v>
      </c>
      <c r="H19021" s="835">
        <f t="shared" si="674"/>
        <v>31</v>
      </c>
      <c r="AF19021" s="831" t="s">
        <v>11220</v>
      </c>
      <c r="AG19021" s="831" t="s">
        <v>2674</v>
      </c>
      <c r="AH19021" s="831" t="s">
        <v>105</v>
      </c>
      <c r="AI19021" s="831">
        <v>0</v>
      </c>
      <c r="AJ19021" s="835">
        <v>41608</v>
      </c>
      <c r="AK19021" s="831">
        <v>357758420.06199998</v>
      </c>
    </row>
    <row r="19022" spans="2:37">
      <c r="B19022" s="834" t="str">
        <f t="shared" si="673"/>
        <v>|||</v>
      </c>
      <c r="H19022" s="835">
        <f t="shared" si="674"/>
        <v>31</v>
      </c>
      <c r="AF19022" s="831" t="s">
        <v>11221</v>
      </c>
      <c r="AG19022" s="831" t="s">
        <v>2674</v>
      </c>
      <c r="AH19022" s="831" t="s">
        <v>3049</v>
      </c>
      <c r="AI19022" s="831">
        <v>0</v>
      </c>
      <c r="AJ19022" s="835">
        <v>41608</v>
      </c>
      <c r="AK19022" s="831">
        <v>601955674.8829999</v>
      </c>
    </row>
    <row r="19023" spans="2:37">
      <c r="B19023" s="834" t="str">
        <f t="shared" si="673"/>
        <v>|||</v>
      </c>
      <c r="H19023" s="835">
        <f t="shared" si="674"/>
        <v>31</v>
      </c>
      <c r="AF19023" s="831" t="s">
        <v>11222</v>
      </c>
      <c r="AG19023" s="831" t="s">
        <v>2674</v>
      </c>
      <c r="AH19023" s="831" t="s">
        <v>103</v>
      </c>
      <c r="AI19023" s="831">
        <v>0</v>
      </c>
      <c r="AJ19023" s="835">
        <v>41608</v>
      </c>
      <c r="AK19023" s="831">
        <v>244197254.82099998</v>
      </c>
    </row>
    <row r="19024" spans="2:37">
      <c r="B19024" s="834" t="str">
        <f t="shared" si="673"/>
        <v>|||</v>
      </c>
      <c r="H19024" s="835">
        <f t="shared" si="674"/>
        <v>31</v>
      </c>
      <c r="AF19024" s="831" t="s">
        <v>11223</v>
      </c>
      <c r="AG19024" s="831" t="s">
        <v>2674</v>
      </c>
      <c r="AH19024" s="831" t="s">
        <v>182</v>
      </c>
      <c r="AI19024" s="831">
        <v>0</v>
      </c>
      <c r="AJ19024" s="835">
        <v>41608</v>
      </c>
      <c r="AK19024" s="831">
        <v>58896650.319272734</v>
      </c>
    </row>
    <row r="19025" spans="2:37">
      <c r="B19025" s="834" t="str">
        <f t="shared" ref="B19025:B19088" si="675">C19025&amp;"|"&amp;D19025&amp;"|"&amp;E19025&amp;"|"&amp;F19025</f>
        <v>|||</v>
      </c>
      <c r="H19025" s="835">
        <f t="shared" ref="H19025:H19088" si="676">EOMONTH(L19025,0)</f>
        <v>31</v>
      </c>
      <c r="AF19025" s="831" t="s">
        <v>11224</v>
      </c>
      <c r="AG19025" s="831" t="s">
        <v>2674</v>
      </c>
      <c r="AH19025" s="831" t="s">
        <v>6600</v>
      </c>
      <c r="AI19025" s="831">
        <v>0</v>
      </c>
      <c r="AJ19025" s="835">
        <v>41608</v>
      </c>
      <c r="AK19025" s="831">
        <v>27660766.032000005</v>
      </c>
    </row>
    <row r="19026" spans="2:37">
      <c r="B19026" s="834" t="str">
        <f t="shared" si="675"/>
        <v>|||</v>
      </c>
      <c r="H19026" s="835">
        <f t="shared" si="676"/>
        <v>31</v>
      </c>
      <c r="AF19026" s="831" t="s">
        <v>11225</v>
      </c>
      <c r="AG19026" s="831" t="s">
        <v>2674</v>
      </c>
      <c r="AH19026" s="831" t="s">
        <v>6602</v>
      </c>
      <c r="AI19026" s="831">
        <v>0</v>
      </c>
      <c r="AJ19026" s="835">
        <v>41608</v>
      </c>
      <c r="AK19026" s="831">
        <v>28354718.032000005</v>
      </c>
    </row>
    <row r="19027" spans="2:37">
      <c r="B19027" s="834" t="str">
        <f t="shared" si="675"/>
        <v>|||</v>
      </c>
      <c r="H19027" s="835">
        <f t="shared" si="676"/>
        <v>31</v>
      </c>
      <c r="AF19027" s="831" t="s">
        <v>11226</v>
      </c>
      <c r="AG19027" s="831" t="s">
        <v>2674</v>
      </c>
      <c r="AH19027" s="831" t="s">
        <v>650</v>
      </c>
      <c r="AI19027" s="831">
        <v>0</v>
      </c>
      <c r="AJ19027" s="835">
        <v>41608</v>
      </c>
      <c r="AK19027" s="831">
        <v>197061109.84392309</v>
      </c>
    </row>
    <row r="19028" spans="2:37">
      <c r="B19028" s="834" t="str">
        <f t="shared" si="675"/>
        <v>|||</v>
      </c>
      <c r="H19028" s="835">
        <f t="shared" si="676"/>
        <v>31</v>
      </c>
      <c r="AF19028" s="831" t="s">
        <v>11227</v>
      </c>
      <c r="AG19028" s="831" t="s">
        <v>2674</v>
      </c>
      <c r="AH19028" s="831" t="s">
        <v>655</v>
      </c>
      <c r="AI19028" s="831">
        <v>0</v>
      </c>
      <c r="AJ19028" s="835">
        <v>41608</v>
      </c>
      <c r="AK19028" s="831">
        <v>1514274.5550000002</v>
      </c>
    </row>
    <row r="19029" spans="2:37">
      <c r="B19029" s="834" t="str">
        <f t="shared" si="675"/>
        <v>|||</v>
      </c>
      <c r="H19029" s="835">
        <f t="shared" si="676"/>
        <v>31</v>
      </c>
      <c r="AF19029" s="831" t="s">
        <v>11228</v>
      </c>
      <c r="AG19029" s="831" t="s">
        <v>2674</v>
      </c>
      <c r="AH19029" s="831" t="s">
        <v>546</v>
      </c>
      <c r="AI19029" s="831">
        <v>0</v>
      </c>
      <c r="AJ19029" s="835">
        <v>41639</v>
      </c>
      <c r="AK19029" s="831">
        <v>627874260</v>
      </c>
    </row>
    <row r="19030" spans="2:37">
      <c r="B19030" s="834" t="str">
        <f t="shared" si="675"/>
        <v>|||</v>
      </c>
      <c r="H19030" s="835">
        <f t="shared" si="676"/>
        <v>31</v>
      </c>
      <c r="AF19030" s="831" t="s">
        <v>11229</v>
      </c>
      <c r="AG19030" s="831" t="s">
        <v>2674</v>
      </c>
      <c r="AH19030" s="831" t="s">
        <v>370</v>
      </c>
      <c r="AI19030" s="831">
        <v>0</v>
      </c>
      <c r="AJ19030" s="835">
        <v>41639</v>
      </c>
      <c r="AK19030" s="831">
        <v>789514969.56299996</v>
      </c>
    </row>
    <row r="19031" spans="2:37">
      <c r="B19031" s="834" t="str">
        <f t="shared" si="675"/>
        <v>|||</v>
      </c>
      <c r="H19031" s="835">
        <f t="shared" si="676"/>
        <v>31</v>
      </c>
      <c r="AF19031" s="831" t="s">
        <v>11230</v>
      </c>
      <c r="AG19031" s="831" t="s">
        <v>2674</v>
      </c>
      <c r="AH19031" s="831" t="s">
        <v>126</v>
      </c>
      <c r="AI19031" s="831">
        <v>0</v>
      </c>
      <c r="AJ19031" s="835">
        <v>41639</v>
      </c>
      <c r="AK19031" s="831">
        <v>114089765.91</v>
      </c>
    </row>
    <row r="19032" spans="2:37">
      <c r="B19032" s="834" t="str">
        <f t="shared" si="675"/>
        <v>|||</v>
      </c>
      <c r="H19032" s="835">
        <f t="shared" si="676"/>
        <v>31</v>
      </c>
      <c r="AF19032" s="831" t="s">
        <v>11231</v>
      </c>
      <c r="AG19032" s="831" t="s">
        <v>2674</v>
      </c>
      <c r="AH19032" s="831" t="s">
        <v>268</v>
      </c>
      <c r="AI19032" s="831">
        <v>0</v>
      </c>
      <c r="AJ19032" s="835">
        <v>41639</v>
      </c>
      <c r="AK19032" s="831">
        <v>27176541.956000008</v>
      </c>
    </row>
    <row r="19033" spans="2:37">
      <c r="B19033" s="834" t="str">
        <f t="shared" si="675"/>
        <v>|||</v>
      </c>
      <c r="H19033" s="835">
        <f t="shared" si="676"/>
        <v>31</v>
      </c>
      <c r="AF19033" s="831" t="s">
        <v>11232</v>
      </c>
      <c r="AG19033" s="831" t="s">
        <v>2674</v>
      </c>
      <c r="AH19033" s="831" t="s">
        <v>547</v>
      </c>
      <c r="AI19033" s="831">
        <v>0</v>
      </c>
      <c r="AJ19033" s="835">
        <v>41639</v>
      </c>
      <c r="AK19033" s="831">
        <v>511487760</v>
      </c>
    </row>
    <row r="19034" spans="2:37">
      <c r="B19034" s="834" t="str">
        <f t="shared" si="675"/>
        <v>|||</v>
      </c>
      <c r="H19034" s="835">
        <f t="shared" si="676"/>
        <v>31</v>
      </c>
      <c r="AF19034" s="831" t="s">
        <v>11233</v>
      </c>
      <c r="AG19034" s="831" t="s">
        <v>2674</v>
      </c>
      <c r="AH19034" s="831" t="s">
        <v>548</v>
      </c>
      <c r="AI19034" s="831">
        <v>0</v>
      </c>
      <c r="AJ19034" s="835">
        <v>41639</v>
      </c>
      <c r="AK19034" s="831">
        <v>96883184</v>
      </c>
    </row>
    <row r="19035" spans="2:37">
      <c r="B19035" s="834" t="str">
        <f t="shared" si="675"/>
        <v>|||</v>
      </c>
      <c r="H19035" s="835">
        <f t="shared" si="676"/>
        <v>31</v>
      </c>
      <c r="AF19035" s="831" t="s">
        <v>11234</v>
      </c>
      <c r="AG19035" s="831" t="s">
        <v>2674</v>
      </c>
      <c r="AH19035" s="831" t="s">
        <v>549</v>
      </c>
      <c r="AI19035" s="831">
        <v>0</v>
      </c>
      <c r="AJ19035" s="835">
        <v>41639</v>
      </c>
      <c r="AK19035" s="831">
        <v>412125624</v>
      </c>
    </row>
    <row r="19036" spans="2:37">
      <c r="B19036" s="834" t="str">
        <f t="shared" si="675"/>
        <v>|||</v>
      </c>
      <c r="H19036" s="835">
        <f t="shared" si="676"/>
        <v>31</v>
      </c>
      <c r="AF19036" s="831" t="s">
        <v>11235</v>
      </c>
      <c r="AG19036" s="831" t="s">
        <v>2674</v>
      </c>
      <c r="AH19036" s="831" t="s">
        <v>192</v>
      </c>
      <c r="AI19036" s="831">
        <v>0</v>
      </c>
      <c r="AJ19036" s="835">
        <v>41639</v>
      </c>
      <c r="AK19036" s="831">
        <v>-13734258</v>
      </c>
    </row>
    <row r="19037" spans="2:37">
      <c r="B19037" s="834" t="str">
        <f t="shared" si="675"/>
        <v>|||</v>
      </c>
      <c r="H19037" s="835">
        <f t="shared" si="676"/>
        <v>31</v>
      </c>
      <c r="AF19037" s="831" t="s">
        <v>11236</v>
      </c>
      <c r="AG19037" s="831" t="s">
        <v>2674</v>
      </c>
      <c r="AH19037" s="831" t="s">
        <v>558</v>
      </c>
      <c r="AI19037" s="831">
        <v>0</v>
      </c>
      <c r="AJ19037" s="835">
        <v>41639</v>
      </c>
      <c r="AK19037" s="831">
        <v>675425203.71399999</v>
      </c>
    </row>
    <row r="19038" spans="2:37">
      <c r="B19038" s="834" t="str">
        <f t="shared" si="675"/>
        <v>|||</v>
      </c>
      <c r="H19038" s="835">
        <f t="shared" si="676"/>
        <v>31</v>
      </c>
      <c r="AF19038" s="831" t="s">
        <v>11237</v>
      </c>
      <c r="AG19038" s="831" t="s">
        <v>2674</v>
      </c>
      <c r="AH19038" s="831" t="s">
        <v>65</v>
      </c>
      <c r="AI19038" s="831">
        <v>0</v>
      </c>
      <c r="AJ19038" s="835">
        <v>41639</v>
      </c>
      <c r="AK19038" s="831">
        <v>132856888.763</v>
      </c>
    </row>
    <row r="19039" spans="2:37">
      <c r="B19039" s="834" t="str">
        <f t="shared" si="675"/>
        <v>|||</v>
      </c>
      <c r="H19039" s="835">
        <f t="shared" si="676"/>
        <v>31</v>
      </c>
      <c r="AF19039" s="831" t="s">
        <v>11238</v>
      </c>
      <c r="AG19039" s="831" t="s">
        <v>2674</v>
      </c>
      <c r="AH19039" s="831" t="s">
        <v>89</v>
      </c>
      <c r="AI19039" s="831">
        <v>0</v>
      </c>
      <c r="AJ19039" s="835">
        <v>41639</v>
      </c>
      <c r="AK19039" s="831">
        <v>147601</v>
      </c>
    </row>
    <row r="19040" spans="2:37">
      <c r="B19040" s="834" t="str">
        <f t="shared" si="675"/>
        <v>|||</v>
      </c>
      <c r="H19040" s="835">
        <f t="shared" si="676"/>
        <v>31</v>
      </c>
      <c r="AF19040" s="831" t="s">
        <v>11239</v>
      </c>
      <c r="AG19040" s="831" t="s">
        <v>2674</v>
      </c>
      <c r="AH19040" s="831" t="s">
        <v>557</v>
      </c>
      <c r="AI19040" s="831">
        <v>0</v>
      </c>
      <c r="AJ19040" s="835">
        <v>41639</v>
      </c>
      <c r="AK19040" s="831">
        <v>160431</v>
      </c>
    </row>
    <row r="19041" spans="2:37">
      <c r="B19041" s="834" t="str">
        <f t="shared" si="675"/>
        <v>|||</v>
      </c>
      <c r="H19041" s="835">
        <f t="shared" si="676"/>
        <v>31</v>
      </c>
      <c r="AF19041" s="831" t="s">
        <v>11240</v>
      </c>
      <c r="AG19041" s="831" t="s">
        <v>2674</v>
      </c>
      <c r="AH19041" s="831" t="s">
        <v>29</v>
      </c>
      <c r="AI19041" s="831">
        <v>0</v>
      </c>
      <c r="AJ19041" s="835">
        <v>41639</v>
      </c>
      <c r="AK19041" s="831">
        <v>1938216.4366000001</v>
      </c>
    </row>
    <row r="19042" spans="2:37">
      <c r="B19042" s="834" t="str">
        <f t="shared" si="675"/>
        <v>|||</v>
      </c>
      <c r="H19042" s="835">
        <f t="shared" si="676"/>
        <v>31</v>
      </c>
      <c r="AF19042" s="831" t="s">
        <v>11241</v>
      </c>
      <c r="AG19042" s="831" t="s">
        <v>2674</v>
      </c>
      <c r="AH19042" s="831" t="s">
        <v>2688</v>
      </c>
      <c r="AI19042" s="831">
        <v>0</v>
      </c>
      <c r="AJ19042" s="835">
        <v>41639</v>
      </c>
      <c r="AK19042" s="831">
        <v>3277121.17</v>
      </c>
    </row>
    <row r="19043" spans="2:37">
      <c r="B19043" s="834" t="str">
        <f t="shared" si="675"/>
        <v>|||</v>
      </c>
      <c r="H19043" s="835">
        <f t="shared" si="676"/>
        <v>31</v>
      </c>
      <c r="AF19043" s="831" t="s">
        <v>11242</v>
      </c>
      <c r="AG19043" s="831" t="s">
        <v>2674</v>
      </c>
      <c r="AH19043" s="831" t="s">
        <v>556</v>
      </c>
      <c r="AI19043" s="831">
        <v>0</v>
      </c>
      <c r="AJ19043" s="835">
        <v>41639</v>
      </c>
      <c r="AK19043" s="831">
        <v>1644732</v>
      </c>
    </row>
    <row r="19044" spans="2:37">
      <c r="B19044" s="834" t="str">
        <f t="shared" si="675"/>
        <v>|||</v>
      </c>
      <c r="H19044" s="835">
        <f t="shared" si="676"/>
        <v>31</v>
      </c>
      <c r="AF19044" s="831" t="s">
        <v>11243</v>
      </c>
      <c r="AG19044" s="831" t="s">
        <v>2674</v>
      </c>
      <c r="AH19044" s="831" t="s">
        <v>555</v>
      </c>
      <c r="AI19044" s="831">
        <v>0</v>
      </c>
      <c r="AJ19044" s="835">
        <v>41639</v>
      </c>
      <c r="AK19044" s="831">
        <v>435796650</v>
      </c>
    </row>
    <row r="19045" spans="2:37">
      <c r="B19045" s="834" t="str">
        <f t="shared" si="675"/>
        <v>|||</v>
      </c>
      <c r="H19045" s="835">
        <f t="shared" si="676"/>
        <v>31</v>
      </c>
      <c r="AF19045" s="831" t="s">
        <v>11244</v>
      </c>
      <c r="AG19045" s="831" t="s">
        <v>2674</v>
      </c>
      <c r="AH19045" s="831" t="s">
        <v>554</v>
      </c>
      <c r="AI19045" s="831">
        <v>0</v>
      </c>
      <c r="AJ19045" s="835">
        <v>41639</v>
      </c>
      <c r="AK19045" s="831">
        <v>428326680</v>
      </c>
    </row>
    <row r="19046" spans="2:37">
      <c r="B19046" s="834" t="str">
        <f t="shared" si="675"/>
        <v>|||</v>
      </c>
      <c r="H19046" s="835">
        <f t="shared" si="676"/>
        <v>31</v>
      </c>
      <c r="AF19046" s="831" t="s">
        <v>11245</v>
      </c>
      <c r="AG19046" s="831" t="s">
        <v>2674</v>
      </c>
      <c r="AH19046" s="831" t="s">
        <v>553</v>
      </c>
      <c r="AI19046" s="831">
        <v>0</v>
      </c>
      <c r="AJ19046" s="835">
        <v>41639</v>
      </c>
      <c r="AK19046" s="831">
        <v>0</v>
      </c>
    </row>
    <row r="19047" spans="2:37">
      <c r="B19047" s="834" t="str">
        <f t="shared" si="675"/>
        <v>|||</v>
      </c>
      <c r="H19047" s="835">
        <f t="shared" si="676"/>
        <v>31</v>
      </c>
      <c r="AF19047" s="831" t="s">
        <v>11246</v>
      </c>
      <c r="AG19047" s="831" t="s">
        <v>2674</v>
      </c>
      <c r="AH19047" s="831" t="s">
        <v>552</v>
      </c>
      <c r="AI19047" s="831">
        <v>0</v>
      </c>
      <c r="AJ19047" s="835">
        <v>41639</v>
      </c>
      <c r="AK19047" s="831">
        <v>0</v>
      </c>
    </row>
    <row r="19048" spans="2:37">
      <c r="B19048" s="834" t="str">
        <f t="shared" si="675"/>
        <v>|||</v>
      </c>
      <c r="H19048" s="835">
        <f t="shared" si="676"/>
        <v>31</v>
      </c>
      <c r="AF19048" s="831" t="s">
        <v>11247</v>
      </c>
      <c r="AG19048" s="831" t="s">
        <v>2674</v>
      </c>
      <c r="AH19048" s="831" t="s">
        <v>551</v>
      </c>
      <c r="AI19048" s="831">
        <v>0</v>
      </c>
      <c r="AJ19048" s="835">
        <v>41639</v>
      </c>
      <c r="AK19048" s="831">
        <v>1803383.8316000002</v>
      </c>
    </row>
    <row r="19049" spans="2:37">
      <c r="B19049" s="834" t="str">
        <f t="shared" si="675"/>
        <v>|||</v>
      </c>
      <c r="H19049" s="835">
        <f t="shared" si="676"/>
        <v>31</v>
      </c>
      <c r="AF19049" s="831" t="s">
        <v>11248</v>
      </c>
      <c r="AG19049" s="831" t="s">
        <v>2674</v>
      </c>
      <c r="AH19049" s="831" t="s">
        <v>550</v>
      </c>
      <c r="AI19049" s="831">
        <v>0</v>
      </c>
      <c r="AJ19049" s="835">
        <v>41639</v>
      </c>
      <c r="AK19049" s="831">
        <v>123117939.85600001</v>
      </c>
    </row>
    <row r="19050" spans="2:37">
      <c r="B19050" s="834" t="str">
        <f t="shared" si="675"/>
        <v>|||</v>
      </c>
      <c r="H19050" s="835">
        <f t="shared" si="676"/>
        <v>31</v>
      </c>
      <c r="AF19050" s="831" t="s">
        <v>11249</v>
      </c>
      <c r="AG19050" s="831" t="s">
        <v>2674</v>
      </c>
      <c r="AH19050" s="831" t="s">
        <v>562</v>
      </c>
      <c r="AI19050" s="831">
        <v>0</v>
      </c>
      <c r="AJ19050" s="835">
        <v>41639</v>
      </c>
      <c r="AK19050" s="831">
        <v>0.78334999999999999</v>
      </c>
    </row>
    <row r="19051" spans="2:37">
      <c r="B19051" s="834" t="str">
        <f t="shared" si="675"/>
        <v>|||</v>
      </c>
      <c r="H19051" s="835">
        <f t="shared" si="676"/>
        <v>31</v>
      </c>
      <c r="AF19051" s="831" t="s">
        <v>11250</v>
      </c>
      <c r="AG19051" s="831" t="s">
        <v>2674</v>
      </c>
      <c r="AH19051" s="831" t="s">
        <v>2698</v>
      </c>
      <c r="AI19051" s="831">
        <v>0</v>
      </c>
      <c r="AJ19051" s="835">
        <v>41639</v>
      </c>
      <c r="AK19051" s="831">
        <v>0.78385000000000005</v>
      </c>
    </row>
    <row r="19052" spans="2:37">
      <c r="B19052" s="834" t="str">
        <f t="shared" si="675"/>
        <v>|||</v>
      </c>
      <c r="H19052" s="835">
        <f t="shared" si="676"/>
        <v>31</v>
      </c>
      <c r="AF19052" s="831" t="s">
        <v>11251</v>
      </c>
      <c r="AG19052" s="831" t="s">
        <v>2674</v>
      </c>
      <c r="AH19052" s="831" t="s">
        <v>560</v>
      </c>
      <c r="AI19052" s="831">
        <v>0</v>
      </c>
      <c r="AJ19052" s="835">
        <v>41639</v>
      </c>
      <c r="AK19052" s="831">
        <v>0.78393333333333326</v>
      </c>
    </row>
    <row r="19053" spans="2:37">
      <c r="B19053" s="834" t="str">
        <f t="shared" si="675"/>
        <v>|||</v>
      </c>
      <c r="H19053" s="835">
        <f t="shared" si="676"/>
        <v>31</v>
      </c>
      <c r="AF19053" s="831" t="s">
        <v>11252</v>
      </c>
      <c r="AG19053" s="831" t="s">
        <v>2674</v>
      </c>
      <c r="AH19053" s="831" t="s">
        <v>559</v>
      </c>
      <c r="AI19053" s="831">
        <v>0</v>
      </c>
      <c r="AJ19053" s="835">
        <v>41639</v>
      </c>
      <c r="AK19053" s="831">
        <v>0.78393333333333326</v>
      </c>
    </row>
    <row r="19054" spans="2:37">
      <c r="B19054" s="834" t="str">
        <f t="shared" si="675"/>
        <v>|||</v>
      </c>
      <c r="H19054" s="835">
        <f t="shared" si="676"/>
        <v>31</v>
      </c>
      <c r="AF19054" s="831" t="s">
        <v>11253</v>
      </c>
      <c r="AG19054" s="831" t="s">
        <v>2674</v>
      </c>
      <c r="AH19054" s="831" t="s">
        <v>568</v>
      </c>
      <c r="AI19054" s="831">
        <v>0</v>
      </c>
      <c r="AJ19054" s="835">
        <v>41639</v>
      </c>
      <c r="AK19054" s="831">
        <v>513441498.30384612</v>
      </c>
    </row>
    <row r="19055" spans="2:37">
      <c r="B19055" s="834" t="str">
        <f t="shared" si="675"/>
        <v>|||</v>
      </c>
      <c r="H19055" s="835">
        <f t="shared" si="676"/>
        <v>31</v>
      </c>
      <c r="AF19055" s="831" t="s">
        <v>11254</v>
      </c>
      <c r="AG19055" s="831" t="s">
        <v>2674</v>
      </c>
      <c r="AH19055" s="831" t="s">
        <v>569</v>
      </c>
      <c r="AI19055" s="831">
        <v>0</v>
      </c>
      <c r="AJ19055" s="835">
        <v>41639</v>
      </c>
      <c r="AK19055" s="831">
        <v>628195505.12715387</v>
      </c>
    </row>
    <row r="19056" spans="2:37">
      <c r="B19056" s="834" t="str">
        <f t="shared" si="675"/>
        <v>|||</v>
      </c>
      <c r="H19056" s="835">
        <f t="shared" si="676"/>
        <v>31</v>
      </c>
      <c r="AF19056" s="831" t="s">
        <v>11255</v>
      </c>
      <c r="AG19056" s="831" t="s">
        <v>2674</v>
      </c>
      <c r="AH19056" s="831" t="s">
        <v>570</v>
      </c>
      <c r="AI19056" s="831">
        <v>0</v>
      </c>
      <c r="AJ19056" s="835">
        <v>41639</v>
      </c>
      <c r="AK19056" s="831">
        <v>108762142.05892308</v>
      </c>
    </row>
    <row r="19057" spans="2:37">
      <c r="B19057" s="834" t="str">
        <f t="shared" si="675"/>
        <v>|||</v>
      </c>
      <c r="H19057" s="835">
        <f t="shared" si="676"/>
        <v>31</v>
      </c>
      <c r="AF19057" s="831" t="s">
        <v>11256</v>
      </c>
      <c r="AG19057" s="831" t="s">
        <v>2674</v>
      </c>
      <c r="AH19057" s="831" t="s">
        <v>571</v>
      </c>
      <c r="AI19057" s="831">
        <v>0</v>
      </c>
      <c r="AJ19057" s="835">
        <v>41639</v>
      </c>
      <c r="AK19057" s="831">
        <v>297832512.59023076</v>
      </c>
    </row>
    <row r="19058" spans="2:37">
      <c r="B19058" s="834" t="str">
        <f t="shared" si="675"/>
        <v>|||</v>
      </c>
      <c r="H19058" s="835">
        <f t="shared" si="676"/>
        <v>31</v>
      </c>
      <c r="AF19058" s="831" t="s">
        <v>11257</v>
      </c>
      <c r="AG19058" s="831" t="s">
        <v>2674</v>
      </c>
      <c r="AH19058" s="831" t="s">
        <v>573</v>
      </c>
      <c r="AI19058" s="831">
        <v>0</v>
      </c>
      <c r="AJ19058" s="835">
        <v>41639</v>
      </c>
      <c r="AK19058" s="831">
        <v>628195505.12715387</v>
      </c>
    </row>
    <row r="19059" spans="2:37">
      <c r="B19059" s="834" t="str">
        <f t="shared" si="675"/>
        <v>|||</v>
      </c>
      <c r="H19059" s="835">
        <f t="shared" si="676"/>
        <v>31</v>
      </c>
      <c r="AF19059" s="831" t="s">
        <v>11258</v>
      </c>
      <c r="AG19059" s="831" t="s">
        <v>2674</v>
      </c>
      <c r="AH19059" s="831" t="s">
        <v>574</v>
      </c>
      <c r="AI19059" s="831">
        <v>0</v>
      </c>
      <c r="AJ19059" s="835">
        <v>41639</v>
      </c>
      <c r="AK19059" s="831">
        <v>513441498.30384612</v>
      </c>
    </row>
    <row r="19060" spans="2:37">
      <c r="B19060" s="834" t="str">
        <f t="shared" si="675"/>
        <v>|||</v>
      </c>
      <c r="H19060" s="835">
        <f t="shared" si="676"/>
        <v>31</v>
      </c>
      <c r="AF19060" s="831" t="s">
        <v>11259</v>
      </c>
      <c r="AG19060" s="831" t="s">
        <v>2674</v>
      </c>
      <c r="AH19060" s="831" t="s">
        <v>575</v>
      </c>
      <c r="AI19060" s="831">
        <v>0</v>
      </c>
      <c r="AJ19060" s="835">
        <v>41639</v>
      </c>
      <c r="AK19060" s="831">
        <v>108762142.05892308</v>
      </c>
    </row>
    <row r="19061" spans="2:37">
      <c r="B19061" s="834" t="str">
        <f t="shared" si="675"/>
        <v>|||</v>
      </c>
      <c r="H19061" s="835">
        <f t="shared" si="676"/>
        <v>31</v>
      </c>
      <c r="AF19061" s="831" t="s">
        <v>11260</v>
      </c>
      <c r="AG19061" s="831" t="s">
        <v>2674</v>
      </c>
      <c r="AH19061" s="831" t="s">
        <v>576</v>
      </c>
      <c r="AI19061" s="831">
        <v>0</v>
      </c>
      <c r="AJ19061" s="835">
        <v>41639</v>
      </c>
      <c r="AK19061" s="831">
        <v>297832512.59023076</v>
      </c>
    </row>
    <row r="19062" spans="2:37">
      <c r="B19062" s="834" t="str">
        <f t="shared" si="675"/>
        <v>|||</v>
      </c>
      <c r="H19062" s="835">
        <f t="shared" si="676"/>
        <v>31</v>
      </c>
      <c r="AF19062" s="831" t="s">
        <v>11261</v>
      </c>
      <c r="AG19062" s="831" t="s">
        <v>2674</v>
      </c>
      <c r="AH19062" s="831" t="s">
        <v>572</v>
      </c>
      <c r="AI19062" s="831">
        <v>0</v>
      </c>
      <c r="AJ19062" s="835">
        <v>41639</v>
      </c>
      <c r="AK19062" s="831">
        <v>27176541.956000008</v>
      </c>
    </row>
    <row r="19063" spans="2:37">
      <c r="B19063" s="834" t="str">
        <f t="shared" si="675"/>
        <v>|||</v>
      </c>
      <c r="H19063" s="835">
        <f t="shared" si="676"/>
        <v>31</v>
      </c>
      <c r="AF19063" s="831" t="s">
        <v>11262</v>
      </c>
      <c r="AG19063" s="831" t="s">
        <v>2674</v>
      </c>
      <c r="AH19063" s="831" t="s">
        <v>577</v>
      </c>
      <c r="AI19063" s="831">
        <v>0</v>
      </c>
      <c r="AJ19063" s="835">
        <v>41639</v>
      </c>
      <c r="AK19063" s="831">
        <v>132856888.763</v>
      </c>
    </row>
    <row r="19064" spans="2:37">
      <c r="B19064" s="834" t="str">
        <f t="shared" si="675"/>
        <v>|||</v>
      </c>
      <c r="H19064" s="835">
        <f t="shared" si="676"/>
        <v>31</v>
      </c>
      <c r="AF19064" s="831" t="s">
        <v>11263</v>
      </c>
      <c r="AG19064" s="831" t="s">
        <v>2674</v>
      </c>
      <c r="AH19064" s="831" t="s">
        <v>3042</v>
      </c>
      <c r="AI19064" s="831">
        <v>0</v>
      </c>
      <c r="AJ19064" s="835">
        <v>41639</v>
      </c>
      <c r="AK19064" s="831">
        <v>-34369525.527000003</v>
      </c>
    </row>
    <row r="19065" spans="2:37">
      <c r="B19065" s="834" t="str">
        <f t="shared" si="675"/>
        <v>|||</v>
      </c>
      <c r="H19065" s="835">
        <f t="shared" si="676"/>
        <v>31</v>
      </c>
      <c r="AF19065" s="831" t="s">
        <v>11264</v>
      </c>
      <c r="AG19065" s="831" t="s">
        <v>2674</v>
      </c>
      <c r="AH19065" s="831" t="s">
        <v>3044</v>
      </c>
      <c r="AI19065" s="831">
        <v>0</v>
      </c>
      <c r="AJ19065" s="835">
        <v>41639</v>
      </c>
      <c r="AK19065" s="831">
        <v>-4400746.8899999997</v>
      </c>
    </row>
    <row r="19066" spans="2:37">
      <c r="B19066" s="834" t="str">
        <f t="shared" si="675"/>
        <v>|||</v>
      </c>
      <c r="H19066" s="835">
        <f t="shared" si="676"/>
        <v>31</v>
      </c>
      <c r="AF19066" s="831" t="s">
        <v>11265</v>
      </c>
      <c r="AG19066" s="831" t="s">
        <v>2674</v>
      </c>
      <c r="AH19066" s="831" t="s">
        <v>580</v>
      </c>
      <c r="AI19066" s="831">
        <v>0</v>
      </c>
      <c r="AJ19066" s="835">
        <v>41639</v>
      </c>
      <c r="AK19066" s="831">
        <v>-64107005.306999996</v>
      </c>
    </row>
    <row r="19067" spans="2:37">
      <c r="B19067" s="834" t="str">
        <f t="shared" si="675"/>
        <v>|||</v>
      </c>
      <c r="H19067" s="835">
        <f t="shared" si="676"/>
        <v>31</v>
      </c>
      <c r="AF19067" s="831" t="s">
        <v>11266</v>
      </c>
      <c r="AG19067" s="831" t="s">
        <v>2674</v>
      </c>
      <c r="AH19067" s="831" t="s">
        <v>581</v>
      </c>
      <c r="AI19067" s="831">
        <v>0</v>
      </c>
      <c r="AJ19067" s="835">
        <v>41639</v>
      </c>
      <c r="AK19067" s="831">
        <v>5010635.8940000003</v>
      </c>
    </row>
    <row r="19068" spans="2:37">
      <c r="B19068" s="834" t="str">
        <f t="shared" si="675"/>
        <v>|||</v>
      </c>
      <c r="H19068" s="835">
        <f t="shared" si="676"/>
        <v>31</v>
      </c>
      <c r="AF19068" s="831" t="s">
        <v>11267</v>
      </c>
      <c r="AG19068" s="831" t="s">
        <v>2674</v>
      </c>
      <c r="AH19068" s="831" t="s">
        <v>105</v>
      </c>
      <c r="AI19068" s="831">
        <v>0</v>
      </c>
      <c r="AJ19068" s="835">
        <v>41639</v>
      </c>
      <c r="AK19068" s="831">
        <v>391573847.611</v>
      </c>
    </row>
    <row r="19069" spans="2:37">
      <c r="B19069" s="834" t="str">
        <f t="shared" si="675"/>
        <v>|||</v>
      </c>
      <c r="H19069" s="835">
        <f t="shared" si="676"/>
        <v>31</v>
      </c>
      <c r="AF19069" s="831" t="s">
        <v>11268</v>
      </c>
      <c r="AG19069" s="831" t="s">
        <v>2674</v>
      </c>
      <c r="AH19069" s="831" t="s">
        <v>3049</v>
      </c>
      <c r="AI19069" s="831">
        <v>0</v>
      </c>
      <c r="AJ19069" s="835">
        <v>41639</v>
      </c>
      <c r="AK19069" s="831">
        <v>644326442.18900001</v>
      </c>
    </row>
    <row r="19070" spans="2:37">
      <c r="B19070" s="834" t="str">
        <f t="shared" si="675"/>
        <v>|||</v>
      </c>
      <c r="H19070" s="835">
        <f t="shared" si="676"/>
        <v>31</v>
      </c>
      <c r="AF19070" s="831" t="s">
        <v>11269</v>
      </c>
      <c r="AG19070" s="831" t="s">
        <v>2674</v>
      </c>
      <c r="AH19070" s="831" t="s">
        <v>103</v>
      </c>
      <c r="AI19070" s="831">
        <v>0</v>
      </c>
      <c r="AJ19070" s="835">
        <v>41639</v>
      </c>
      <c r="AK19070" s="831">
        <v>252752594.57800001</v>
      </c>
    </row>
    <row r="19071" spans="2:37">
      <c r="B19071" s="834" t="str">
        <f t="shared" si="675"/>
        <v>|||</v>
      </c>
      <c r="H19071" s="835">
        <f t="shared" si="676"/>
        <v>31</v>
      </c>
      <c r="AF19071" s="831" t="s">
        <v>11270</v>
      </c>
      <c r="AG19071" s="831" t="s">
        <v>2674</v>
      </c>
      <c r="AH19071" s="831" t="s">
        <v>182</v>
      </c>
      <c r="AI19071" s="831">
        <v>0</v>
      </c>
      <c r="AJ19071" s="835">
        <v>41639</v>
      </c>
      <c r="AK19071" s="831">
        <v>64107005.307000004</v>
      </c>
    </row>
    <row r="19072" spans="2:37">
      <c r="B19072" s="834" t="str">
        <f t="shared" si="675"/>
        <v>|||</v>
      </c>
      <c r="H19072" s="835">
        <f t="shared" si="676"/>
        <v>31</v>
      </c>
      <c r="AF19072" s="831" t="s">
        <v>11271</v>
      </c>
      <c r="AG19072" s="831" t="s">
        <v>2674</v>
      </c>
      <c r="AH19072" s="831" t="s">
        <v>6600</v>
      </c>
      <c r="AI19072" s="831">
        <v>0</v>
      </c>
      <c r="AJ19072" s="835">
        <v>41639</v>
      </c>
      <c r="AK19072" s="831">
        <v>27176541.956000008</v>
      </c>
    </row>
    <row r="19073" spans="2:37">
      <c r="B19073" s="834" t="str">
        <f t="shared" si="675"/>
        <v>|||</v>
      </c>
      <c r="H19073" s="835">
        <f t="shared" si="676"/>
        <v>31</v>
      </c>
      <c r="AF19073" s="831" t="s">
        <v>11272</v>
      </c>
      <c r="AG19073" s="831" t="s">
        <v>2674</v>
      </c>
      <c r="AH19073" s="831" t="s">
        <v>6602</v>
      </c>
      <c r="AI19073" s="831">
        <v>0</v>
      </c>
      <c r="AJ19073" s="835">
        <v>41639</v>
      </c>
      <c r="AK19073" s="831">
        <v>27176541.956000008</v>
      </c>
    </row>
    <row r="19074" spans="2:37">
      <c r="B19074" s="834" t="str">
        <f t="shared" si="675"/>
        <v>|||</v>
      </c>
      <c r="H19074" s="835">
        <f t="shared" si="676"/>
        <v>31</v>
      </c>
      <c r="AF19074" s="831" t="s">
        <v>11273</v>
      </c>
      <c r="AG19074" s="831" t="s">
        <v>2674</v>
      </c>
      <c r="AH19074" s="831" t="s">
        <v>650</v>
      </c>
      <c r="AI19074" s="831">
        <v>0</v>
      </c>
      <c r="AJ19074" s="835">
        <v>41639</v>
      </c>
      <c r="AK19074" s="831">
        <v>204736223.04223078</v>
      </c>
    </row>
    <row r="19075" spans="2:37">
      <c r="B19075" s="834" t="str">
        <f t="shared" si="675"/>
        <v>|||</v>
      </c>
      <c r="H19075" s="835">
        <f t="shared" si="676"/>
        <v>31</v>
      </c>
      <c r="AF19075" s="831" t="s">
        <v>11274</v>
      </c>
      <c r="AG19075" s="831" t="s">
        <v>2674</v>
      </c>
      <c r="AH19075" s="831" t="s">
        <v>655</v>
      </c>
      <c r="AI19075" s="831">
        <v>0</v>
      </c>
      <c r="AJ19075" s="835">
        <v>41639</v>
      </c>
      <c r="AK19075" s="831">
        <v>1605185.0136000002</v>
      </c>
    </row>
    <row r="19076" spans="2:37">
      <c r="B19076" s="834" t="str">
        <f t="shared" si="675"/>
        <v>|||</v>
      </c>
      <c r="H19076" s="835">
        <f t="shared" si="676"/>
        <v>31</v>
      </c>
      <c r="AF19076" s="831" t="s">
        <v>11275</v>
      </c>
      <c r="AG19076" s="831" t="s">
        <v>2674</v>
      </c>
      <c r="AH19076" s="831" t="s">
        <v>546</v>
      </c>
      <c r="AI19076" s="831">
        <v>0</v>
      </c>
      <c r="AJ19076" s="835">
        <v>41670</v>
      </c>
      <c r="AK19076" s="831">
        <v>635618516</v>
      </c>
    </row>
    <row r="19077" spans="2:37">
      <c r="B19077" s="834" t="str">
        <f t="shared" si="675"/>
        <v>|||</v>
      </c>
      <c r="H19077" s="835">
        <f t="shared" si="676"/>
        <v>31</v>
      </c>
      <c r="AF19077" s="831" t="s">
        <v>11276</v>
      </c>
      <c r="AG19077" s="831" t="s">
        <v>2674</v>
      </c>
      <c r="AH19077" s="831" t="s">
        <v>370</v>
      </c>
      <c r="AI19077" s="831">
        <v>0</v>
      </c>
      <c r="AJ19077" s="835">
        <v>41670</v>
      </c>
      <c r="AK19077" s="831">
        <v>777719977</v>
      </c>
    </row>
    <row r="19078" spans="2:37">
      <c r="B19078" s="834" t="str">
        <f t="shared" si="675"/>
        <v>|||</v>
      </c>
      <c r="H19078" s="835">
        <f t="shared" si="676"/>
        <v>31</v>
      </c>
      <c r="AF19078" s="831" t="s">
        <v>11277</v>
      </c>
      <c r="AG19078" s="831" t="s">
        <v>2674</v>
      </c>
      <c r="AH19078" s="831" t="s">
        <v>126</v>
      </c>
      <c r="AI19078" s="831">
        <v>0</v>
      </c>
      <c r="AJ19078" s="835">
        <v>41670</v>
      </c>
      <c r="AK19078" s="831">
        <v>117105496</v>
      </c>
    </row>
    <row r="19079" spans="2:37">
      <c r="B19079" s="834" t="str">
        <f t="shared" si="675"/>
        <v>|||</v>
      </c>
      <c r="H19079" s="835">
        <f t="shared" si="676"/>
        <v>31</v>
      </c>
      <c r="AF19079" s="831" t="s">
        <v>11278</v>
      </c>
      <c r="AG19079" s="831" t="s">
        <v>2674</v>
      </c>
      <c r="AH19079" s="831" t="s">
        <v>268</v>
      </c>
      <c r="AI19079" s="831">
        <v>0</v>
      </c>
      <c r="AJ19079" s="835">
        <v>41670</v>
      </c>
      <c r="AK19079" s="831">
        <v>3298821</v>
      </c>
    </row>
    <row r="19080" spans="2:37">
      <c r="B19080" s="834" t="str">
        <f t="shared" si="675"/>
        <v>|||</v>
      </c>
      <c r="H19080" s="835">
        <f t="shared" si="676"/>
        <v>31</v>
      </c>
      <c r="AF19080" s="831" t="s">
        <v>11279</v>
      </c>
      <c r="AG19080" s="831" t="s">
        <v>2674</v>
      </c>
      <c r="AH19080" s="831" t="s">
        <v>547</v>
      </c>
      <c r="AI19080" s="831">
        <v>0</v>
      </c>
      <c r="AJ19080" s="835">
        <v>41670</v>
      </c>
      <c r="AK19080" s="831">
        <v>777719977</v>
      </c>
    </row>
    <row r="19081" spans="2:37">
      <c r="B19081" s="834" t="str">
        <f t="shared" si="675"/>
        <v>|||</v>
      </c>
      <c r="H19081" s="835">
        <f t="shared" si="676"/>
        <v>31</v>
      </c>
      <c r="AF19081" s="831" t="s">
        <v>11280</v>
      </c>
      <c r="AG19081" s="831" t="s">
        <v>2674</v>
      </c>
      <c r="AH19081" s="831" t="s">
        <v>548</v>
      </c>
      <c r="AI19081" s="831">
        <v>0</v>
      </c>
      <c r="AJ19081" s="835">
        <v>41670</v>
      </c>
      <c r="AK19081" s="831">
        <v>117105496</v>
      </c>
    </row>
    <row r="19082" spans="2:37">
      <c r="B19082" s="834" t="str">
        <f t="shared" si="675"/>
        <v>|||</v>
      </c>
      <c r="H19082" s="835">
        <f t="shared" si="676"/>
        <v>31</v>
      </c>
      <c r="AF19082" s="831" t="s">
        <v>11281</v>
      </c>
      <c r="AG19082" s="831" t="s">
        <v>2674</v>
      </c>
      <c r="AH19082" s="831" t="s">
        <v>549</v>
      </c>
      <c r="AI19082" s="831">
        <v>0</v>
      </c>
      <c r="AJ19082" s="835">
        <v>41670</v>
      </c>
      <c r="AK19082" s="831">
        <v>421051783</v>
      </c>
    </row>
    <row r="19083" spans="2:37">
      <c r="B19083" s="834" t="str">
        <f t="shared" si="675"/>
        <v>|||</v>
      </c>
      <c r="H19083" s="835">
        <f t="shared" si="676"/>
        <v>31</v>
      </c>
      <c r="AF19083" s="831" t="s">
        <v>11282</v>
      </c>
      <c r="AG19083" s="831" t="s">
        <v>2674</v>
      </c>
      <c r="AH19083" s="831" t="s">
        <v>192</v>
      </c>
      <c r="AI19083" s="831">
        <v>0</v>
      </c>
      <c r="AJ19083" s="835">
        <v>41670</v>
      </c>
      <c r="AK19083" s="831">
        <v>-14010990</v>
      </c>
    </row>
    <row r="19084" spans="2:37">
      <c r="B19084" s="834" t="str">
        <f t="shared" si="675"/>
        <v>|||</v>
      </c>
      <c r="H19084" s="835">
        <f t="shared" si="676"/>
        <v>31</v>
      </c>
      <c r="AF19084" s="831" t="s">
        <v>11283</v>
      </c>
      <c r="AG19084" s="831" t="s">
        <v>2674</v>
      </c>
      <c r="AH19084" s="831" t="s">
        <v>558</v>
      </c>
      <c r="AI19084" s="831">
        <v>0</v>
      </c>
      <c r="AJ19084" s="835">
        <v>41670</v>
      </c>
      <c r="AK19084" s="831">
        <v>660614481.35800004</v>
      </c>
    </row>
    <row r="19085" spans="2:37">
      <c r="B19085" s="834" t="str">
        <f t="shared" si="675"/>
        <v>|||</v>
      </c>
      <c r="H19085" s="835">
        <f t="shared" si="676"/>
        <v>31</v>
      </c>
      <c r="AF19085" s="831" t="s">
        <v>11284</v>
      </c>
      <c r="AG19085" s="831" t="s">
        <v>2674</v>
      </c>
      <c r="AH19085" s="831" t="s">
        <v>65</v>
      </c>
      <c r="AI19085" s="831">
        <v>0</v>
      </c>
      <c r="AJ19085" s="835">
        <v>41670</v>
      </c>
      <c r="AK19085" s="831">
        <v>13268788</v>
      </c>
    </row>
    <row r="19086" spans="2:37">
      <c r="B19086" s="834" t="str">
        <f t="shared" si="675"/>
        <v>|||</v>
      </c>
      <c r="H19086" s="835">
        <f t="shared" si="676"/>
        <v>31</v>
      </c>
      <c r="AF19086" s="831" t="s">
        <v>11285</v>
      </c>
      <c r="AG19086" s="831" t="s">
        <v>2674</v>
      </c>
      <c r="AH19086" s="831" t="s">
        <v>89</v>
      </c>
      <c r="AI19086" s="831">
        <v>0</v>
      </c>
      <c r="AJ19086" s="835">
        <v>41670</v>
      </c>
      <c r="AK19086" s="831">
        <v>149103</v>
      </c>
    </row>
    <row r="19087" spans="2:37">
      <c r="B19087" s="834" t="str">
        <f t="shared" si="675"/>
        <v>|||</v>
      </c>
      <c r="H19087" s="835">
        <f t="shared" si="676"/>
        <v>31</v>
      </c>
      <c r="AF19087" s="831" t="s">
        <v>11286</v>
      </c>
      <c r="AG19087" s="831" t="s">
        <v>2674</v>
      </c>
      <c r="AH19087" s="831" t="s">
        <v>557</v>
      </c>
      <c r="AI19087" s="831">
        <v>0</v>
      </c>
      <c r="AJ19087" s="835">
        <v>41670</v>
      </c>
      <c r="AK19087" s="831">
        <v>162799</v>
      </c>
    </row>
    <row r="19088" spans="2:37">
      <c r="B19088" s="834" t="str">
        <f t="shared" si="675"/>
        <v>|||</v>
      </c>
      <c r="H19088" s="835">
        <f t="shared" si="676"/>
        <v>31</v>
      </c>
      <c r="AF19088" s="831" t="s">
        <v>11287</v>
      </c>
      <c r="AG19088" s="831" t="s">
        <v>2674</v>
      </c>
      <c r="AH19088" s="831" t="s">
        <v>29</v>
      </c>
      <c r="AI19088" s="831">
        <v>0</v>
      </c>
      <c r="AJ19088" s="835">
        <v>41670</v>
      </c>
      <c r="AK19088" s="831">
        <v>1994542.716</v>
      </c>
    </row>
    <row r="19089" spans="2:37">
      <c r="B19089" s="834" t="str">
        <f t="shared" ref="B19089:B19152" si="677">C19089&amp;"|"&amp;D19089&amp;"|"&amp;E19089&amp;"|"&amp;F19089</f>
        <v>|||</v>
      </c>
      <c r="H19089" s="835">
        <f t="shared" ref="H19089:H19152" si="678">EOMONTH(L19089,0)</f>
        <v>31</v>
      </c>
      <c r="AF19089" s="831" t="s">
        <v>11288</v>
      </c>
      <c r="AG19089" s="831" t="s">
        <v>2674</v>
      </c>
      <c r="AH19089" s="831" t="s">
        <v>2688</v>
      </c>
      <c r="AI19089" s="831">
        <v>0</v>
      </c>
      <c r="AJ19089" s="835">
        <v>41670</v>
      </c>
      <c r="AK19089" s="831">
        <v>3487768.05</v>
      </c>
    </row>
    <row r="19090" spans="2:37">
      <c r="B19090" s="834" t="str">
        <f t="shared" si="677"/>
        <v>|||</v>
      </c>
      <c r="H19090" s="835">
        <f t="shared" si="678"/>
        <v>31</v>
      </c>
      <c r="AF19090" s="831" t="s">
        <v>11289</v>
      </c>
      <c r="AG19090" s="831" t="s">
        <v>2674</v>
      </c>
      <c r="AH19090" s="831" t="s">
        <v>556</v>
      </c>
      <c r="AI19090" s="831">
        <v>0</v>
      </c>
      <c r="AJ19090" s="835">
        <v>41670</v>
      </c>
      <c r="AK19090" s="831">
        <v>1644732</v>
      </c>
    </row>
    <row r="19091" spans="2:37">
      <c r="B19091" s="834" t="str">
        <f t="shared" si="677"/>
        <v>|||</v>
      </c>
      <c r="H19091" s="835">
        <f t="shared" si="678"/>
        <v>31</v>
      </c>
      <c r="AF19091" s="831" t="s">
        <v>11290</v>
      </c>
      <c r="AG19091" s="831" t="s">
        <v>2674</v>
      </c>
      <c r="AH19091" s="831" t="s">
        <v>555</v>
      </c>
      <c r="AI19091" s="831">
        <v>0</v>
      </c>
      <c r="AJ19091" s="835">
        <v>41670</v>
      </c>
      <c r="AK19091" s="831">
        <v>421635600</v>
      </c>
    </row>
    <row r="19092" spans="2:37">
      <c r="B19092" s="834" t="str">
        <f t="shared" si="677"/>
        <v>|||</v>
      </c>
      <c r="H19092" s="835">
        <f t="shared" si="678"/>
        <v>31</v>
      </c>
      <c r="AF19092" s="831" t="s">
        <v>11291</v>
      </c>
      <c r="AG19092" s="831" t="s">
        <v>2674</v>
      </c>
      <c r="AH19092" s="831" t="s">
        <v>554</v>
      </c>
      <c r="AI19092" s="831">
        <v>0</v>
      </c>
      <c r="AJ19092" s="835">
        <v>41670</v>
      </c>
      <c r="AK19092" s="831">
        <v>432162250</v>
      </c>
    </row>
    <row r="19093" spans="2:37">
      <c r="B19093" s="834" t="str">
        <f t="shared" si="677"/>
        <v>|||</v>
      </c>
      <c r="H19093" s="835">
        <f t="shared" si="678"/>
        <v>31</v>
      </c>
      <c r="AF19093" s="831" t="s">
        <v>11292</v>
      </c>
      <c r="AG19093" s="831" t="s">
        <v>2674</v>
      </c>
      <c r="AH19093" s="831" t="s">
        <v>553</v>
      </c>
      <c r="AI19093" s="831">
        <v>0</v>
      </c>
      <c r="AJ19093" s="835">
        <v>41670</v>
      </c>
      <c r="AK19093" s="831">
        <v>0</v>
      </c>
    </row>
    <row r="19094" spans="2:37">
      <c r="B19094" s="834" t="str">
        <f t="shared" si="677"/>
        <v>|||</v>
      </c>
      <c r="H19094" s="835">
        <f t="shared" si="678"/>
        <v>31</v>
      </c>
      <c r="AF19094" s="831" t="s">
        <v>11293</v>
      </c>
      <c r="AG19094" s="831" t="s">
        <v>2674</v>
      </c>
      <c r="AH19094" s="831" t="s">
        <v>552</v>
      </c>
      <c r="AI19094" s="831">
        <v>0</v>
      </c>
      <c r="AJ19094" s="835">
        <v>41670</v>
      </c>
      <c r="AK19094" s="831">
        <v>0</v>
      </c>
    </row>
    <row r="19095" spans="2:37">
      <c r="B19095" s="834" t="str">
        <f t="shared" si="677"/>
        <v>|||</v>
      </c>
      <c r="H19095" s="835">
        <f t="shared" si="678"/>
        <v>31</v>
      </c>
      <c r="AF19095" s="831" t="s">
        <v>11294</v>
      </c>
      <c r="AG19095" s="831" t="s">
        <v>2674</v>
      </c>
      <c r="AH19095" s="831" t="s">
        <v>551</v>
      </c>
      <c r="AI19095" s="831">
        <v>0</v>
      </c>
      <c r="AJ19095" s="835">
        <v>41670</v>
      </c>
      <c r="AK19095" s="831">
        <v>1853357.048</v>
      </c>
    </row>
    <row r="19096" spans="2:37">
      <c r="B19096" s="834" t="str">
        <f t="shared" si="677"/>
        <v>|||</v>
      </c>
      <c r="H19096" s="835">
        <f t="shared" si="678"/>
        <v>31</v>
      </c>
      <c r="AF19096" s="831" t="s">
        <v>11295</v>
      </c>
      <c r="AG19096" s="831" t="s">
        <v>2674</v>
      </c>
      <c r="AH19096" s="831" t="s">
        <v>550</v>
      </c>
      <c r="AI19096" s="831">
        <v>0</v>
      </c>
      <c r="AJ19096" s="835">
        <v>41670</v>
      </c>
      <c r="AK19096" s="831">
        <v>114089765.91</v>
      </c>
    </row>
    <row r="19097" spans="2:37">
      <c r="B19097" s="834" t="str">
        <f t="shared" si="677"/>
        <v>|||</v>
      </c>
      <c r="H19097" s="835">
        <f t="shared" si="678"/>
        <v>31</v>
      </c>
      <c r="AF19097" s="831" t="s">
        <v>11296</v>
      </c>
      <c r="AG19097" s="831" t="s">
        <v>2674</v>
      </c>
      <c r="AH19097" s="831" t="s">
        <v>562</v>
      </c>
      <c r="AI19097" s="831">
        <v>0</v>
      </c>
      <c r="AJ19097" s="835">
        <v>41670</v>
      </c>
      <c r="AK19097" s="831">
        <v>0.78364999999999996</v>
      </c>
    </row>
    <row r="19098" spans="2:37">
      <c r="B19098" s="834" t="str">
        <f t="shared" si="677"/>
        <v>|||</v>
      </c>
      <c r="H19098" s="835">
        <f t="shared" si="678"/>
        <v>31</v>
      </c>
      <c r="AF19098" s="831" t="s">
        <v>11297</v>
      </c>
      <c r="AG19098" s="831" t="s">
        <v>2674</v>
      </c>
      <c r="AH19098" s="831" t="s">
        <v>2698</v>
      </c>
      <c r="AI19098" s="831">
        <v>0</v>
      </c>
      <c r="AJ19098" s="835">
        <v>41670</v>
      </c>
      <c r="AK19098" s="831">
        <v>0.78334999999999999</v>
      </c>
    </row>
    <row r="19099" spans="2:37">
      <c r="B19099" s="834" t="str">
        <f t="shared" si="677"/>
        <v>|||</v>
      </c>
      <c r="H19099" s="835">
        <f t="shared" si="678"/>
        <v>31</v>
      </c>
      <c r="AF19099" s="831" t="s">
        <v>11298</v>
      </c>
      <c r="AG19099" s="831" t="s">
        <v>2674</v>
      </c>
      <c r="AH19099" s="831" t="s">
        <v>560</v>
      </c>
      <c r="AI19099" s="831">
        <v>0</v>
      </c>
      <c r="AJ19099" s="835">
        <v>41670</v>
      </c>
      <c r="AK19099" s="831">
        <v>0.78364999999999996</v>
      </c>
    </row>
    <row r="19100" spans="2:37">
      <c r="B19100" s="834" t="str">
        <f t="shared" si="677"/>
        <v>|||</v>
      </c>
      <c r="H19100" s="835">
        <f t="shared" si="678"/>
        <v>31</v>
      </c>
      <c r="AF19100" s="831" t="s">
        <v>11299</v>
      </c>
      <c r="AG19100" s="831" t="s">
        <v>2674</v>
      </c>
      <c r="AH19100" s="831" t="s">
        <v>559</v>
      </c>
      <c r="AI19100" s="831">
        <v>0</v>
      </c>
      <c r="AJ19100" s="835">
        <v>41670</v>
      </c>
      <c r="AK19100" s="831">
        <v>0.78391666666666648</v>
      </c>
    </row>
    <row r="19101" spans="2:37">
      <c r="B19101" s="834" t="str">
        <f t="shared" si="677"/>
        <v>|||</v>
      </c>
      <c r="H19101" s="835">
        <f t="shared" si="678"/>
        <v>31</v>
      </c>
      <c r="AF19101" s="831" t="s">
        <v>11300</v>
      </c>
      <c r="AG19101" s="831" t="s">
        <v>2674</v>
      </c>
      <c r="AH19101" s="831" t="s">
        <v>568</v>
      </c>
      <c r="AI19101" s="831">
        <v>0</v>
      </c>
      <c r="AJ19101" s="835">
        <v>41670</v>
      </c>
      <c r="AK19101" s="831">
        <v>530633259.22692305</v>
      </c>
    </row>
    <row r="19102" spans="2:37">
      <c r="B19102" s="834" t="str">
        <f t="shared" si="677"/>
        <v>|||</v>
      </c>
      <c r="H19102" s="835">
        <f t="shared" si="678"/>
        <v>31</v>
      </c>
      <c r="AF19102" s="831" t="s">
        <v>11301</v>
      </c>
      <c r="AG19102" s="831" t="s">
        <v>2674</v>
      </c>
      <c r="AH19102" s="831" t="s">
        <v>569</v>
      </c>
      <c r="AI19102" s="831">
        <v>0</v>
      </c>
      <c r="AJ19102" s="835">
        <v>41670</v>
      </c>
      <c r="AK19102" s="831">
        <v>648384048.74253845</v>
      </c>
    </row>
    <row r="19103" spans="2:37">
      <c r="B19103" s="834" t="str">
        <f t="shared" si="677"/>
        <v>|||</v>
      </c>
      <c r="H19103" s="835">
        <f t="shared" si="678"/>
        <v>31</v>
      </c>
      <c r="AF19103" s="831" t="s">
        <v>11302</v>
      </c>
      <c r="AG19103" s="831" t="s">
        <v>2674</v>
      </c>
      <c r="AH19103" s="831" t="s">
        <v>570</v>
      </c>
      <c r="AI19103" s="831">
        <v>0</v>
      </c>
      <c r="AJ19103" s="835">
        <v>41670</v>
      </c>
      <c r="AK19103" s="831">
        <v>109988497.52046154</v>
      </c>
    </row>
    <row r="19104" spans="2:37">
      <c r="B19104" s="834" t="str">
        <f t="shared" si="677"/>
        <v>|||</v>
      </c>
      <c r="H19104" s="835">
        <f t="shared" si="678"/>
        <v>31</v>
      </c>
      <c r="AF19104" s="831" t="s">
        <v>11303</v>
      </c>
      <c r="AG19104" s="831" t="s">
        <v>2674</v>
      </c>
      <c r="AH19104" s="831" t="s">
        <v>571</v>
      </c>
      <c r="AI19104" s="831">
        <v>0</v>
      </c>
      <c r="AJ19104" s="835">
        <v>41670</v>
      </c>
      <c r="AK19104" s="831">
        <v>308674440.74407691</v>
      </c>
    </row>
    <row r="19105" spans="2:37">
      <c r="B19105" s="834" t="str">
        <f t="shared" si="677"/>
        <v>|||</v>
      </c>
      <c r="H19105" s="835">
        <f t="shared" si="678"/>
        <v>31</v>
      </c>
      <c r="AF19105" s="831" t="s">
        <v>11304</v>
      </c>
      <c r="AG19105" s="831" t="s">
        <v>2674</v>
      </c>
      <c r="AH19105" s="831" t="s">
        <v>573</v>
      </c>
      <c r="AI19105" s="831">
        <v>0</v>
      </c>
      <c r="AJ19105" s="835">
        <v>41670</v>
      </c>
      <c r="AK19105" s="831">
        <v>783617473.28149998</v>
      </c>
    </row>
    <row r="19106" spans="2:37">
      <c r="B19106" s="834" t="str">
        <f t="shared" si="677"/>
        <v>|||</v>
      </c>
      <c r="H19106" s="835">
        <f t="shared" si="678"/>
        <v>31</v>
      </c>
      <c r="AF19106" s="831" t="s">
        <v>11305</v>
      </c>
      <c r="AG19106" s="831" t="s">
        <v>2674</v>
      </c>
      <c r="AH19106" s="831" t="s">
        <v>574</v>
      </c>
      <c r="AI19106" s="831">
        <v>0</v>
      </c>
      <c r="AJ19106" s="835">
        <v>41670</v>
      </c>
      <c r="AK19106" s="831">
        <v>631746388</v>
      </c>
    </row>
    <row r="19107" spans="2:37">
      <c r="B19107" s="834" t="str">
        <f t="shared" si="677"/>
        <v>|||</v>
      </c>
      <c r="H19107" s="835">
        <f t="shared" si="678"/>
        <v>31</v>
      </c>
      <c r="AF19107" s="831" t="s">
        <v>11306</v>
      </c>
      <c r="AG19107" s="831" t="s">
        <v>2674</v>
      </c>
      <c r="AH19107" s="831" t="s">
        <v>575</v>
      </c>
      <c r="AI19107" s="831">
        <v>0</v>
      </c>
      <c r="AJ19107" s="835">
        <v>41670</v>
      </c>
      <c r="AK19107" s="831">
        <v>115597630.955</v>
      </c>
    </row>
    <row r="19108" spans="2:37">
      <c r="B19108" s="834" t="str">
        <f t="shared" si="677"/>
        <v>|||</v>
      </c>
      <c r="H19108" s="835">
        <f t="shared" si="678"/>
        <v>31</v>
      </c>
      <c r="AF19108" s="831" t="s">
        <v>11307</v>
      </c>
      <c r="AG19108" s="831" t="s">
        <v>2674</v>
      </c>
      <c r="AH19108" s="831" t="s">
        <v>576</v>
      </c>
      <c r="AI19108" s="831">
        <v>0</v>
      </c>
      <c r="AJ19108" s="835">
        <v>41670</v>
      </c>
      <c r="AK19108" s="831">
        <v>385049519.80550003</v>
      </c>
    </row>
    <row r="19109" spans="2:37">
      <c r="B19109" s="834" t="str">
        <f t="shared" si="677"/>
        <v>|||</v>
      </c>
      <c r="H19109" s="835">
        <f t="shared" si="678"/>
        <v>31</v>
      </c>
      <c r="AF19109" s="831" t="s">
        <v>11308</v>
      </c>
      <c r="AG19109" s="831" t="s">
        <v>2674</v>
      </c>
      <c r="AH19109" s="831" t="s">
        <v>572</v>
      </c>
      <c r="AI19109" s="831">
        <v>0</v>
      </c>
      <c r="AJ19109" s="835">
        <v>41670</v>
      </c>
      <c r="AK19109" s="831">
        <v>28355401.956000008</v>
      </c>
    </row>
    <row r="19110" spans="2:37">
      <c r="B19110" s="834" t="str">
        <f t="shared" si="677"/>
        <v>|||</v>
      </c>
      <c r="H19110" s="835">
        <f t="shared" si="678"/>
        <v>31</v>
      </c>
      <c r="AF19110" s="831" t="s">
        <v>11309</v>
      </c>
      <c r="AG19110" s="831" t="s">
        <v>2674</v>
      </c>
      <c r="AH19110" s="831" t="s">
        <v>577</v>
      </c>
      <c r="AI19110" s="831">
        <v>0</v>
      </c>
      <c r="AJ19110" s="835">
        <v>41670</v>
      </c>
      <c r="AK19110" s="831">
        <v>136649293.76300001</v>
      </c>
    </row>
    <row r="19111" spans="2:37">
      <c r="B19111" s="834" t="str">
        <f t="shared" si="677"/>
        <v>|||</v>
      </c>
      <c r="H19111" s="835">
        <f t="shared" si="678"/>
        <v>31</v>
      </c>
      <c r="AF19111" s="831" t="s">
        <v>11310</v>
      </c>
      <c r="AG19111" s="831" t="s">
        <v>2674</v>
      </c>
      <c r="AH19111" s="831" t="s">
        <v>3042</v>
      </c>
      <c r="AI19111" s="831">
        <v>0</v>
      </c>
      <c r="AJ19111" s="835">
        <v>41670</v>
      </c>
      <c r="AK19111" s="831">
        <v>-35903077.527000003</v>
      </c>
    </row>
    <row r="19112" spans="2:37">
      <c r="B19112" s="834" t="str">
        <f t="shared" si="677"/>
        <v>|||</v>
      </c>
      <c r="H19112" s="835">
        <f t="shared" si="678"/>
        <v>31</v>
      </c>
      <c r="AF19112" s="831" t="s">
        <v>11311</v>
      </c>
      <c r="AG19112" s="831" t="s">
        <v>2674</v>
      </c>
      <c r="AH19112" s="831" t="s">
        <v>3044</v>
      </c>
      <c r="AI19112" s="831">
        <v>0</v>
      </c>
      <c r="AJ19112" s="835">
        <v>41670</v>
      </c>
      <c r="AK19112" s="831">
        <v>-4357745.8899999997</v>
      </c>
    </row>
    <row r="19113" spans="2:37">
      <c r="B19113" s="834" t="str">
        <f t="shared" si="677"/>
        <v>|||</v>
      </c>
      <c r="H19113" s="835">
        <f t="shared" si="678"/>
        <v>31</v>
      </c>
      <c r="AF19113" s="831" t="s">
        <v>11312</v>
      </c>
      <c r="AG19113" s="831" t="s">
        <v>2674</v>
      </c>
      <c r="AH19113" s="831" t="s">
        <v>580</v>
      </c>
      <c r="AI19113" s="831">
        <v>0</v>
      </c>
      <c r="AJ19113" s="835">
        <v>41670</v>
      </c>
      <c r="AK19113" s="831">
        <v>-64979972.306999996</v>
      </c>
    </row>
    <row r="19114" spans="2:37">
      <c r="B19114" s="834" t="str">
        <f t="shared" si="677"/>
        <v>|||</v>
      </c>
      <c r="H19114" s="835">
        <f t="shared" si="678"/>
        <v>31</v>
      </c>
      <c r="AF19114" s="831" t="s">
        <v>11313</v>
      </c>
      <c r="AG19114" s="831" t="s">
        <v>2674</v>
      </c>
      <c r="AH19114" s="831" t="s">
        <v>581</v>
      </c>
      <c r="AI19114" s="831">
        <v>0</v>
      </c>
      <c r="AJ19114" s="835">
        <v>41670</v>
      </c>
      <c r="AK19114" s="831">
        <v>5221448.8940000003</v>
      </c>
    </row>
    <row r="19115" spans="2:37">
      <c r="B19115" s="834" t="str">
        <f t="shared" si="677"/>
        <v>|||</v>
      </c>
      <c r="H19115" s="835">
        <f t="shared" si="678"/>
        <v>31</v>
      </c>
      <c r="AF19115" s="831" t="s">
        <v>11314</v>
      </c>
      <c r="AG19115" s="831" t="s">
        <v>2674</v>
      </c>
      <c r="AH19115" s="831" t="s">
        <v>105</v>
      </c>
      <c r="AI19115" s="831">
        <v>0</v>
      </c>
      <c r="AJ19115" s="835">
        <v>41670</v>
      </c>
      <c r="AK19115" s="831">
        <v>378525192</v>
      </c>
    </row>
    <row r="19116" spans="2:37">
      <c r="B19116" s="834" t="str">
        <f t="shared" si="677"/>
        <v>|||</v>
      </c>
      <c r="H19116" s="835">
        <f t="shared" si="678"/>
        <v>31</v>
      </c>
      <c r="AF19116" s="831" t="s">
        <v>11315</v>
      </c>
      <c r="AG19116" s="831" t="s">
        <v>2674</v>
      </c>
      <c r="AH19116" s="831" t="s">
        <v>3049</v>
      </c>
      <c r="AI19116" s="831">
        <v>0</v>
      </c>
      <c r="AJ19116" s="835">
        <v>41670</v>
      </c>
      <c r="AK19116" s="831">
        <v>636021249.54999995</v>
      </c>
    </row>
    <row r="19117" spans="2:37">
      <c r="B19117" s="834" t="str">
        <f t="shared" si="677"/>
        <v>|||</v>
      </c>
      <c r="H19117" s="835">
        <f t="shared" si="678"/>
        <v>31</v>
      </c>
      <c r="AF19117" s="831" t="s">
        <v>11316</v>
      </c>
      <c r="AG19117" s="831" t="s">
        <v>2674</v>
      </c>
      <c r="AH19117" s="831" t="s">
        <v>103</v>
      </c>
      <c r="AI19117" s="831">
        <v>0</v>
      </c>
      <c r="AJ19117" s="835">
        <v>41670</v>
      </c>
      <c r="AK19117" s="831">
        <v>257496057.55000001</v>
      </c>
    </row>
    <row r="19118" spans="2:37">
      <c r="B19118" s="834" t="str">
        <f t="shared" si="677"/>
        <v>|||</v>
      </c>
      <c r="H19118" s="835">
        <f t="shared" si="678"/>
        <v>31</v>
      </c>
      <c r="AF19118" s="831" t="s">
        <v>11317</v>
      </c>
      <c r="AG19118" s="831" t="s">
        <v>2674</v>
      </c>
      <c r="AH19118" s="831" t="s">
        <v>182</v>
      </c>
      <c r="AI19118" s="831">
        <v>0</v>
      </c>
      <c r="AJ19118" s="835">
        <v>41670</v>
      </c>
      <c r="AK19118" s="831">
        <v>67679280</v>
      </c>
    </row>
    <row r="19119" spans="2:37">
      <c r="B19119" s="834" t="str">
        <f t="shared" si="677"/>
        <v>|||</v>
      </c>
      <c r="H19119" s="835">
        <f t="shared" si="678"/>
        <v>31</v>
      </c>
      <c r="AF19119" s="831" t="s">
        <v>11318</v>
      </c>
      <c r="AG19119" s="831" t="s">
        <v>2674</v>
      </c>
      <c r="AH19119" s="831" t="s">
        <v>6600</v>
      </c>
      <c r="AI19119" s="831">
        <v>0</v>
      </c>
      <c r="AJ19119" s="835">
        <v>41670</v>
      </c>
      <c r="AK19119" s="831">
        <v>28355401.956000008</v>
      </c>
    </row>
    <row r="19120" spans="2:37">
      <c r="B19120" s="834" t="str">
        <f t="shared" si="677"/>
        <v>|||</v>
      </c>
      <c r="H19120" s="835">
        <f t="shared" si="678"/>
        <v>31</v>
      </c>
      <c r="AF19120" s="831" t="s">
        <v>11319</v>
      </c>
      <c r="AG19120" s="831" t="s">
        <v>2674</v>
      </c>
      <c r="AH19120" s="831" t="s">
        <v>6602</v>
      </c>
      <c r="AI19120" s="831">
        <v>0</v>
      </c>
      <c r="AJ19120" s="835">
        <v>41670</v>
      </c>
      <c r="AK19120" s="831">
        <v>3298821</v>
      </c>
    </row>
    <row r="19121" spans="2:37">
      <c r="B19121" s="834" t="str">
        <f t="shared" si="677"/>
        <v>|||</v>
      </c>
      <c r="H19121" s="835">
        <f t="shared" si="678"/>
        <v>31</v>
      </c>
      <c r="AF19121" s="831" t="s">
        <v>11320</v>
      </c>
      <c r="AG19121" s="831" t="s">
        <v>2674</v>
      </c>
      <c r="AH19121" s="831" t="s">
        <v>650</v>
      </c>
      <c r="AI19121" s="831">
        <v>0</v>
      </c>
      <c r="AJ19121" s="835">
        <v>41670</v>
      </c>
      <c r="AK19121" s="831">
        <v>211999986.62300003</v>
      </c>
    </row>
    <row r="19122" spans="2:37">
      <c r="B19122" s="834" t="str">
        <f t="shared" si="677"/>
        <v>|||</v>
      </c>
      <c r="H19122" s="835">
        <f t="shared" si="678"/>
        <v>31</v>
      </c>
      <c r="AF19122" s="831" t="s">
        <v>11321</v>
      </c>
      <c r="AG19122" s="831" t="s">
        <v>2674</v>
      </c>
      <c r="AH19122" s="831" t="s">
        <v>655</v>
      </c>
      <c r="AI19122" s="831">
        <v>0</v>
      </c>
      <c r="AJ19122" s="835">
        <v>41670</v>
      </c>
      <c r="AK19122" s="831">
        <v>1732566.0729999999</v>
      </c>
    </row>
    <row r="19123" spans="2:37">
      <c r="B19123" s="834" t="str">
        <f t="shared" si="677"/>
        <v>|||</v>
      </c>
      <c r="H19123" s="835">
        <f t="shared" si="678"/>
        <v>31</v>
      </c>
      <c r="AF19123" s="831" t="s">
        <v>11322</v>
      </c>
      <c r="AG19123" s="831" t="s">
        <v>2674</v>
      </c>
      <c r="AH19123" s="831" t="s">
        <v>546</v>
      </c>
      <c r="AI19123" s="831">
        <v>0</v>
      </c>
      <c r="AJ19123" s="835">
        <v>41698</v>
      </c>
      <c r="AK19123" s="831">
        <v>652795035</v>
      </c>
    </row>
    <row r="19124" spans="2:37">
      <c r="B19124" s="834" t="str">
        <f t="shared" si="677"/>
        <v>|||</v>
      </c>
      <c r="H19124" s="835">
        <f t="shared" si="678"/>
        <v>31</v>
      </c>
      <c r="AF19124" s="831" t="s">
        <v>11323</v>
      </c>
      <c r="AG19124" s="831" t="s">
        <v>2674</v>
      </c>
      <c r="AH19124" s="831" t="s">
        <v>370</v>
      </c>
      <c r="AI19124" s="831">
        <v>0</v>
      </c>
      <c r="AJ19124" s="835">
        <v>41698</v>
      </c>
      <c r="AK19124" s="831">
        <v>794421636</v>
      </c>
    </row>
    <row r="19125" spans="2:37">
      <c r="B19125" s="834" t="str">
        <f t="shared" si="677"/>
        <v>|||</v>
      </c>
      <c r="H19125" s="835">
        <f t="shared" si="678"/>
        <v>31</v>
      </c>
      <c r="AF19125" s="831" t="s">
        <v>11324</v>
      </c>
      <c r="AG19125" s="831" t="s">
        <v>2674</v>
      </c>
      <c r="AH19125" s="831" t="s">
        <v>126</v>
      </c>
      <c r="AI19125" s="831">
        <v>0</v>
      </c>
      <c r="AJ19125" s="835">
        <v>41698</v>
      </c>
      <c r="AK19125" s="831">
        <v>120615628</v>
      </c>
    </row>
    <row r="19126" spans="2:37">
      <c r="B19126" s="834" t="str">
        <f t="shared" si="677"/>
        <v>|||</v>
      </c>
      <c r="H19126" s="835">
        <f t="shared" si="678"/>
        <v>31</v>
      </c>
      <c r="AF19126" s="831" t="s">
        <v>11325</v>
      </c>
      <c r="AG19126" s="831" t="s">
        <v>2674</v>
      </c>
      <c r="AH19126" s="831" t="s">
        <v>268</v>
      </c>
      <c r="AI19126" s="831">
        <v>0</v>
      </c>
      <c r="AJ19126" s="835">
        <v>41698</v>
      </c>
      <c r="AK19126" s="831">
        <v>7870295</v>
      </c>
    </row>
    <row r="19127" spans="2:37">
      <c r="B19127" s="834" t="str">
        <f t="shared" si="677"/>
        <v>|||</v>
      </c>
      <c r="H19127" s="835">
        <f t="shared" si="678"/>
        <v>31</v>
      </c>
      <c r="AF19127" s="831" t="s">
        <v>11326</v>
      </c>
      <c r="AG19127" s="831" t="s">
        <v>2674</v>
      </c>
      <c r="AH19127" s="831" t="s">
        <v>547</v>
      </c>
      <c r="AI19127" s="831">
        <v>0</v>
      </c>
      <c r="AJ19127" s="835">
        <v>41698</v>
      </c>
      <c r="AK19127" s="831">
        <v>777719977</v>
      </c>
    </row>
    <row r="19128" spans="2:37">
      <c r="B19128" s="834" t="str">
        <f t="shared" si="677"/>
        <v>|||</v>
      </c>
      <c r="H19128" s="835">
        <f t="shared" si="678"/>
        <v>31</v>
      </c>
      <c r="AF19128" s="831" t="s">
        <v>11327</v>
      </c>
      <c r="AG19128" s="831" t="s">
        <v>2674</v>
      </c>
      <c r="AH19128" s="831" t="s">
        <v>548</v>
      </c>
      <c r="AI19128" s="831">
        <v>0</v>
      </c>
      <c r="AJ19128" s="835">
        <v>41698</v>
      </c>
      <c r="AK19128" s="831">
        <v>117105496</v>
      </c>
    </row>
    <row r="19129" spans="2:37">
      <c r="B19129" s="834" t="str">
        <f t="shared" si="677"/>
        <v>|||</v>
      </c>
      <c r="H19129" s="835">
        <f t="shared" si="678"/>
        <v>31</v>
      </c>
      <c r="AF19129" s="831" t="s">
        <v>11328</v>
      </c>
      <c r="AG19129" s="831" t="s">
        <v>2674</v>
      </c>
      <c r="AH19129" s="831" t="s">
        <v>549</v>
      </c>
      <c r="AI19129" s="831">
        <v>0</v>
      </c>
      <c r="AJ19129" s="835">
        <v>41698</v>
      </c>
      <c r="AK19129" s="831">
        <v>436810603</v>
      </c>
    </row>
    <row r="19130" spans="2:37">
      <c r="B19130" s="834" t="str">
        <f t="shared" si="677"/>
        <v>|||</v>
      </c>
      <c r="H19130" s="835">
        <f t="shared" si="678"/>
        <v>31</v>
      </c>
      <c r="AF19130" s="831" t="s">
        <v>11329</v>
      </c>
      <c r="AG19130" s="831" t="s">
        <v>2674</v>
      </c>
      <c r="AH19130" s="831" t="s">
        <v>192</v>
      </c>
      <c r="AI19130" s="831">
        <v>0</v>
      </c>
      <c r="AJ19130" s="835">
        <v>41698</v>
      </c>
      <c r="AK19130" s="831">
        <v>-13506118</v>
      </c>
    </row>
    <row r="19131" spans="2:37">
      <c r="B19131" s="834" t="str">
        <f t="shared" si="677"/>
        <v>|||</v>
      </c>
      <c r="H19131" s="835">
        <f t="shared" si="678"/>
        <v>31</v>
      </c>
      <c r="AF19131" s="831" t="s">
        <v>11330</v>
      </c>
      <c r="AG19131" s="831" t="s">
        <v>2674</v>
      </c>
      <c r="AH19131" s="831" t="s">
        <v>558</v>
      </c>
      <c r="AI19131" s="831">
        <v>0</v>
      </c>
      <c r="AJ19131" s="835">
        <v>41698</v>
      </c>
      <c r="AK19131" s="831">
        <v>673806008.21000004</v>
      </c>
    </row>
    <row r="19132" spans="2:37">
      <c r="B19132" s="834" t="str">
        <f t="shared" si="677"/>
        <v>|||</v>
      </c>
      <c r="H19132" s="835">
        <f t="shared" si="678"/>
        <v>31</v>
      </c>
      <c r="AF19132" s="831" t="s">
        <v>11331</v>
      </c>
      <c r="AG19132" s="831" t="s">
        <v>2674</v>
      </c>
      <c r="AH19132" s="831" t="s">
        <v>65</v>
      </c>
      <c r="AI19132" s="831">
        <v>0</v>
      </c>
      <c r="AJ19132" s="835">
        <v>41698</v>
      </c>
      <c r="AK19132" s="831">
        <v>27696081</v>
      </c>
    </row>
    <row r="19133" spans="2:37">
      <c r="B19133" s="834" t="str">
        <f t="shared" si="677"/>
        <v>|||</v>
      </c>
      <c r="H19133" s="835">
        <f t="shared" si="678"/>
        <v>31</v>
      </c>
      <c r="AF19133" s="831" t="s">
        <v>11332</v>
      </c>
      <c r="AG19133" s="831" t="s">
        <v>2674</v>
      </c>
      <c r="AH19133" s="831" t="s">
        <v>89</v>
      </c>
      <c r="AI19133" s="831">
        <v>0</v>
      </c>
      <c r="AJ19133" s="835">
        <v>41698</v>
      </c>
      <c r="AK19133" s="831">
        <v>150328</v>
      </c>
    </row>
    <row r="19134" spans="2:37">
      <c r="B19134" s="834" t="str">
        <f t="shared" si="677"/>
        <v>|||</v>
      </c>
      <c r="H19134" s="835">
        <f t="shared" si="678"/>
        <v>31</v>
      </c>
      <c r="AF19134" s="831" t="s">
        <v>11333</v>
      </c>
      <c r="AG19134" s="831" t="s">
        <v>2674</v>
      </c>
      <c r="AH19134" s="831" t="s">
        <v>557</v>
      </c>
      <c r="AI19134" s="831">
        <v>0</v>
      </c>
      <c r="AJ19134" s="835">
        <v>41698</v>
      </c>
      <c r="AK19134" s="831">
        <v>165052</v>
      </c>
    </row>
    <row r="19135" spans="2:37">
      <c r="B19135" s="834" t="str">
        <f t="shared" si="677"/>
        <v>|||</v>
      </c>
      <c r="H19135" s="835">
        <f t="shared" si="678"/>
        <v>31</v>
      </c>
      <c r="AF19135" s="831" t="s">
        <v>11334</v>
      </c>
      <c r="AG19135" s="831" t="s">
        <v>2674</v>
      </c>
      <c r="AH19135" s="831" t="s">
        <v>29</v>
      </c>
      <c r="AI19135" s="831">
        <v>0</v>
      </c>
      <c r="AJ19135" s="835">
        <v>41698</v>
      </c>
      <c r="AK19135" s="831">
        <v>2075568.541</v>
      </c>
    </row>
    <row r="19136" spans="2:37">
      <c r="B19136" s="834" t="str">
        <f t="shared" si="677"/>
        <v>|||</v>
      </c>
      <c r="H19136" s="835">
        <f t="shared" si="678"/>
        <v>31</v>
      </c>
      <c r="AF19136" s="831" t="s">
        <v>11335</v>
      </c>
      <c r="AG19136" s="831" t="s">
        <v>2674</v>
      </c>
      <c r="AH19136" s="831" t="s">
        <v>2688</v>
      </c>
      <c r="AI19136" s="831">
        <v>0</v>
      </c>
      <c r="AJ19136" s="835">
        <v>41698</v>
      </c>
      <c r="AK19136" s="831">
        <v>4740340.3599999994</v>
      </c>
    </row>
    <row r="19137" spans="2:37">
      <c r="B19137" s="834" t="str">
        <f t="shared" si="677"/>
        <v>|||</v>
      </c>
      <c r="H19137" s="835">
        <f t="shared" si="678"/>
        <v>31</v>
      </c>
      <c r="AF19137" s="831" t="s">
        <v>11336</v>
      </c>
      <c r="AG19137" s="831" t="s">
        <v>2674</v>
      </c>
      <c r="AH19137" s="831" t="s">
        <v>556</v>
      </c>
      <c r="AI19137" s="831">
        <v>0</v>
      </c>
      <c r="AJ19137" s="835">
        <v>41698</v>
      </c>
      <c r="AK19137" s="831">
        <v>1644732</v>
      </c>
    </row>
    <row r="19138" spans="2:37">
      <c r="B19138" s="834" t="str">
        <f t="shared" si="677"/>
        <v>|||</v>
      </c>
      <c r="H19138" s="835">
        <f t="shared" si="678"/>
        <v>31</v>
      </c>
      <c r="AF19138" s="831" t="s">
        <v>11337</v>
      </c>
      <c r="AG19138" s="831" t="s">
        <v>2674</v>
      </c>
      <c r="AH19138" s="831" t="s">
        <v>555</v>
      </c>
      <c r="AI19138" s="831">
        <v>0</v>
      </c>
      <c r="AJ19138" s="835">
        <v>41698</v>
      </c>
      <c r="AK19138" s="831">
        <v>437465824</v>
      </c>
    </row>
    <row r="19139" spans="2:37">
      <c r="B19139" s="834" t="str">
        <f t="shared" si="677"/>
        <v>|||</v>
      </c>
      <c r="H19139" s="835">
        <f t="shared" si="678"/>
        <v>31</v>
      </c>
      <c r="AF19139" s="831" t="s">
        <v>11338</v>
      </c>
      <c r="AG19139" s="831" t="s">
        <v>2674</v>
      </c>
      <c r="AH19139" s="831" t="s">
        <v>554</v>
      </c>
      <c r="AI19139" s="831">
        <v>0</v>
      </c>
      <c r="AJ19139" s="835">
        <v>41698</v>
      </c>
      <c r="AK19139" s="831">
        <v>440045130</v>
      </c>
    </row>
    <row r="19140" spans="2:37">
      <c r="B19140" s="834" t="str">
        <f t="shared" si="677"/>
        <v>|||</v>
      </c>
      <c r="H19140" s="835">
        <f t="shared" si="678"/>
        <v>31</v>
      </c>
      <c r="AF19140" s="831" t="s">
        <v>11339</v>
      </c>
      <c r="AG19140" s="831" t="s">
        <v>2674</v>
      </c>
      <c r="AH19140" s="831" t="s">
        <v>553</v>
      </c>
      <c r="AI19140" s="831">
        <v>0</v>
      </c>
      <c r="AJ19140" s="835">
        <v>41698</v>
      </c>
      <c r="AK19140" s="831">
        <v>0</v>
      </c>
    </row>
    <row r="19141" spans="2:37">
      <c r="B19141" s="834" t="str">
        <f t="shared" si="677"/>
        <v>|||</v>
      </c>
      <c r="H19141" s="835">
        <f t="shared" si="678"/>
        <v>31</v>
      </c>
      <c r="AF19141" s="831" t="s">
        <v>11340</v>
      </c>
      <c r="AG19141" s="831" t="s">
        <v>2674</v>
      </c>
      <c r="AH19141" s="831" t="s">
        <v>552</v>
      </c>
      <c r="AI19141" s="831">
        <v>0</v>
      </c>
      <c r="AJ19141" s="835">
        <v>41698</v>
      </c>
      <c r="AK19141" s="831">
        <v>0</v>
      </c>
    </row>
    <row r="19142" spans="2:37">
      <c r="B19142" s="834" t="str">
        <f t="shared" si="677"/>
        <v>|||</v>
      </c>
      <c r="H19142" s="835">
        <f t="shared" si="678"/>
        <v>31</v>
      </c>
      <c r="AF19142" s="831" t="s">
        <v>11341</v>
      </c>
      <c r="AG19142" s="831" t="s">
        <v>2674</v>
      </c>
      <c r="AH19142" s="831" t="s">
        <v>551</v>
      </c>
      <c r="AI19142" s="831">
        <v>0</v>
      </c>
      <c r="AJ19142" s="835">
        <v>41698</v>
      </c>
      <c r="AK19142" s="831">
        <v>1790155.7879999999</v>
      </c>
    </row>
    <row r="19143" spans="2:37">
      <c r="B19143" s="834" t="str">
        <f t="shared" si="677"/>
        <v>|||</v>
      </c>
      <c r="H19143" s="835">
        <f t="shared" si="678"/>
        <v>31</v>
      </c>
      <c r="AF19143" s="831" t="s">
        <v>11342</v>
      </c>
      <c r="AG19143" s="831" t="s">
        <v>2674</v>
      </c>
      <c r="AH19143" s="831" t="s">
        <v>550</v>
      </c>
      <c r="AI19143" s="831">
        <v>0</v>
      </c>
      <c r="AJ19143" s="835">
        <v>41698</v>
      </c>
      <c r="AK19143" s="831">
        <v>117105496</v>
      </c>
    </row>
    <row r="19144" spans="2:37">
      <c r="B19144" s="834" t="str">
        <f t="shared" si="677"/>
        <v>|||</v>
      </c>
      <c r="H19144" s="835">
        <f t="shared" si="678"/>
        <v>31</v>
      </c>
      <c r="AF19144" s="831" t="s">
        <v>11343</v>
      </c>
      <c r="AG19144" s="831" t="s">
        <v>2674</v>
      </c>
      <c r="AH19144" s="831" t="s">
        <v>562</v>
      </c>
      <c r="AI19144" s="831">
        <v>0</v>
      </c>
      <c r="AJ19144" s="835">
        <v>41698</v>
      </c>
      <c r="AK19144" s="831">
        <v>0.78385000000000005</v>
      </c>
    </row>
    <row r="19145" spans="2:37">
      <c r="B19145" s="834" t="str">
        <f t="shared" si="677"/>
        <v>|||</v>
      </c>
      <c r="H19145" s="835">
        <f t="shared" si="678"/>
        <v>31</v>
      </c>
      <c r="AF19145" s="831" t="s">
        <v>11344</v>
      </c>
      <c r="AG19145" s="831" t="s">
        <v>2674</v>
      </c>
      <c r="AH19145" s="831" t="s">
        <v>2698</v>
      </c>
      <c r="AI19145" s="831">
        <v>0</v>
      </c>
      <c r="AJ19145" s="835">
        <v>41698</v>
      </c>
      <c r="AK19145" s="831">
        <v>0.78364999999999996</v>
      </c>
    </row>
    <row r="19146" spans="2:37">
      <c r="B19146" s="834" t="str">
        <f t="shared" si="677"/>
        <v>|||</v>
      </c>
      <c r="H19146" s="835">
        <f t="shared" si="678"/>
        <v>31</v>
      </c>
      <c r="AF19146" s="831" t="s">
        <v>11345</v>
      </c>
      <c r="AG19146" s="831" t="s">
        <v>2674</v>
      </c>
      <c r="AH19146" s="831" t="s">
        <v>560</v>
      </c>
      <c r="AI19146" s="831">
        <v>0</v>
      </c>
      <c r="AJ19146" s="835">
        <v>41698</v>
      </c>
      <c r="AK19146" s="831">
        <v>0.78374999999999995</v>
      </c>
    </row>
    <row r="19147" spans="2:37">
      <c r="B19147" s="834" t="str">
        <f t="shared" si="677"/>
        <v>|||</v>
      </c>
      <c r="H19147" s="835">
        <f t="shared" si="678"/>
        <v>31</v>
      </c>
      <c r="AF19147" s="831" t="s">
        <v>11346</v>
      </c>
      <c r="AG19147" s="831" t="s">
        <v>2674</v>
      </c>
      <c r="AH19147" s="831" t="s">
        <v>559</v>
      </c>
      <c r="AI19147" s="831">
        <v>0</v>
      </c>
      <c r="AJ19147" s="835">
        <v>41698</v>
      </c>
      <c r="AK19147" s="831">
        <v>0.7838750000000001</v>
      </c>
    </row>
    <row r="19148" spans="2:37">
      <c r="B19148" s="834" t="str">
        <f t="shared" si="677"/>
        <v>|||</v>
      </c>
      <c r="H19148" s="835">
        <f t="shared" si="678"/>
        <v>31</v>
      </c>
      <c r="AF19148" s="831" t="s">
        <v>11347</v>
      </c>
      <c r="AG19148" s="831" t="s">
        <v>2674</v>
      </c>
      <c r="AH19148" s="831" t="s">
        <v>568</v>
      </c>
      <c r="AI19148" s="831">
        <v>0</v>
      </c>
      <c r="AJ19148" s="835">
        <v>41698</v>
      </c>
      <c r="AK19148" s="831">
        <v>548459663.22692311</v>
      </c>
    </row>
    <row r="19149" spans="2:37">
      <c r="B19149" s="834" t="str">
        <f t="shared" si="677"/>
        <v>|||</v>
      </c>
      <c r="H19149" s="835">
        <f t="shared" si="678"/>
        <v>31</v>
      </c>
      <c r="AF19149" s="831" t="s">
        <v>11348</v>
      </c>
      <c r="AG19149" s="831" t="s">
        <v>2674</v>
      </c>
      <c r="AH19149" s="831" t="s">
        <v>569</v>
      </c>
      <c r="AI19149" s="831">
        <v>0</v>
      </c>
      <c r="AJ19149" s="835">
        <v>41698</v>
      </c>
      <c r="AK19149" s="831">
        <v>670148193.05023074</v>
      </c>
    </row>
    <row r="19150" spans="2:37">
      <c r="B19150" s="834" t="str">
        <f t="shared" si="677"/>
        <v>|||</v>
      </c>
      <c r="H19150" s="835">
        <f t="shared" si="678"/>
        <v>31</v>
      </c>
      <c r="AF19150" s="831" t="s">
        <v>11349</v>
      </c>
      <c r="AG19150" s="831" t="s">
        <v>2674</v>
      </c>
      <c r="AH19150" s="831" t="s">
        <v>570</v>
      </c>
      <c r="AI19150" s="831">
        <v>0</v>
      </c>
      <c r="AJ19150" s="835">
        <v>41698</v>
      </c>
      <c r="AK19150" s="831">
        <v>111814070.13584615</v>
      </c>
    </row>
    <row r="19151" spans="2:37">
      <c r="B19151" s="834" t="str">
        <f t="shared" si="677"/>
        <v>|||</v>
      </c>
      <c r="H19151" s="835">
        <f t="shared" si="678"/>
        <v>31</v>
      </c>
      <c r="AF19151" s="831" t="s">
        <v>11350</v>
      </c>
      <c r="AG19151" s="831" t="s">
        <v>2674</v>
      </c>
      <c r="AH19151" s="831" t="s">
        <v>571</v>
      </c>
      <c r="AI19151" s="831">
        <v>0</v>
      </c>
      <c r="AJ19151" s="835">
        <v>41698</v>
      </c>
      <c r="AK19151" s="831">
        <v>320628110.0517692</v>
      </c>
    </row>
    <row r="19152" spans="2:37">
      <c r="B19152" s="834" t="str">
        <f t="shared" si="677"/>
        <v>|||</v>
      </c>
      <c r="H19152" s="835">
        <f t="shared" si="678"/>
        <v>31</v>
      </c>
      <c r="AF19152" s="831" t="s">
        <v>11351</v>
      </c>
      <c r="AG19152" s="831" t="s">
        <v>2674</v>
      </c>
      <c r="AH19152" s="831" t="s">
        <v>573</v>
      </c>
      <c r="AI19152" s="831">
        <v>0</v>
      </c>
      <c r="AJ19152" s="835">
        <v>41698</v>
      </c>
      <c r="AK19152" s="831">
        <v>787218860.85433328</v>
      </c>
    </row>
    <row r="19153" spans="2:37">
      <c r="B19153" s="834" t="str">
        <f t="shared" ref="B19153:B19216" si="679">C19153&amp;"|"&amp;D19153&amp;"|"&amp;E19153&amp;"|"&amp;F19153</f>
        <v>|||</v>
      </c>
      <c r="H19153" s="835">
        <f t="shared" ref="H19153:H19216" si="680">EOMONTH(L19153,0)</f>
        <v>31</v>
      </c>
      <c r="AF19153" s="831" t="s">
        <v>11352</v>
      </c>
      <c r="AG19153" s="831" t="s">
        <v>2674</v>
      </c>
      <c r="AH19153" s="831" t="s">
        <v>574</v>
      </c>
      <c r="AI19153" s="831">
        <v>0</v>
      </c>
      <c r="AJ19153" s="835">
        <v>41698</v>
      </c>
      <c r="AK19153" s="831">
        <v>638762603.66666663</v>
      </c>
    </row>
    <row r="19154" spans="2:37">
      <c r="B19154" s="834" t="str">
        <f t="shared" si="679"/>
        <v>|||</v>
      </c>
      <c r="H19154" s="835">
        <f t="shared" si="680"/>
        <v>31</v>
      </c>
      <c r="AF19154" s="831" t="s">
        <v>11353</v>
      </c>
      <c r="AG19154" s="831" t="s">
        <v>2674</v>
      </c>
      <c r="AH19154" s="831" t="s">
        <v>575</v>
      </c>
      <c r="AI19154" s="831">
        <v>0</v>
      </c>
      <c r="AJ19154" s="835">
        <v>41698</v>
      </c>
      <c r="AK19154" s="831">
        <v>117270296.63666666</v>
      </c>
    </row>
    <row r="19155" spans="2:37">
      <c r="B19155" s="834" t="str">
        <f t="shared" si="679"/>
        <v>|||</v>
      </c>
      <c r="H19155" s="835">
        <f t="shared" si="680"/>
        <v>31</v>
      </c>
      <c r="AF19155" s="831" t="s">
        <v>11354</v>
      </c>
      <c r="AG19155" s="831" t="s">
        <v>2674</v>
      </c>
      <c r="AH19155" s="831" t="s">
        <v>576</v>
      </c>
      <c r="AI19155" s="831">
        <v>0</v>
      </c>
      <c r="AJ19155" s="835">
        <v>41698</v>
      </c>
      <c r="AK19155" s="831">
        <v>385067117.20366669</v>
      </c>
    </row>
    <row r="19156" spans="2:37">
      <c r="B19156" s="834" t="str">
        <f t="shared" si="679"/>
        <v>|||</v>
      </c>
      <c r="H19156" s="835">
        <f t="shared" si="680"/>
        <v>31</v>
      </c>
      <c r="AF19156" s="831" t="s">
        <v>11355</v>
      </c>
      <c r="AG19156" s="831" t="s">
        <v>2674</v>
      </c>
      <c r="AH19156" s="831" t="s">
        <v>572</v>
      </c>
      <c r="AI19156" s="831">
        <v>0</v>
      </c>
      <c r="AJ19156" s="835">
        <v>41698</v>
      </c>
      <c r="AK19156" s="831">
        <v>31228952.956000008</v>
      </c>
    </row>
    <row r="19157" spans="2:37">
      <c r="B19157" s="834" t="str">
        <f t="shared" si="679"/>
        <v>|||</v>
      </c>
      <c r="H19157" s="835">
        <f t="shared" si="680"/>
        <v>31</v>
      </c>
      <c r="AF19157" s="831" t="s">
        <v>11356</v>
      </c>
      <c r="AG19157" s="831" t="s">
        <v>2674</v>
      </c>
      <c r="AH19157" s="831" t="s">
        <v>577</v>
      </c>
      <c r="AI19157" s="831">
        <v>0</v>
      </c>
      <c r="AJ19157" s="835">
        <v>41698</v>
      </c>
      <c r="AK19157" s="831">
        <v>141567221.76300001</v>
      </c>
    </row>
    <row r="19158" spans="2:37">
      <c r="B19158" s="834" t="str">
        <f t="shared" si="679"/>
        <v>|||</v>
      </c>
      <c r="H19158" s="835">
        <f t="shared" si="680"/>
        <v>31</v>
      </c>
      <c r="AF19158" s="831" t="s">
        <v>11357</v>
      </c>
      <c r="AG19158" s="831" t="s">
        <v>2674</v>
      </c>
      <c r="AH19158" s="831" t="s">
        <v>3042</v>
      </c>
      <c r="AI19158" s="831">
        <v>0</v>
      </c>
      <c r="AJ19158" s="835">
        <v>41698</v>
      </c>
      <c r="AK19158" s="831">
        <v>-37210157.527000003</v>
      </c>
    </row>
    <row r="19159" spans="2:37">
      <c r="B19159" s="834" t="str">
        <f t="shared" si="679"/>
        <v>|||</v>
      </c>
      <c r="H19159" s="835">
        <f t="shared" si="680"/>
        <v>31</v>
      </c>
      <c r="AF19159" s="831" t="s">
        <v>11358</v>
      </c>
      <c r="AG19159" s="831" t="s">
        <v>2674</v>
      </c>
      <c r="AH19159" s="831" t="s">
        <v>3044</v>
      </c>
      <c r="AI19159" s="831">
        <v>0</v>
      </c>
      <c r="AJ19159" s="835">
        <v>41698</v>
      </c>
      <c r="AK19159" s="831">
        <v>-3847935.8899999997</v>
      </c>
    </row>
    <row r="19160" spans="2:37">
      <c r="B19160" s="834" t="str">
        <f t="shared" si="679"/>
        <v>|||</v>
      </c>
      <c r="H19160" s="835">
        <f t="shared" si="680"/>
        <v>31</v>
      </c>
      <c r="AF19160" s="831" t="s">
        <v>11359</v>
      </c>
      <c r="AG19160" s="831" t="s">
        <v>2674</v>
      </c>
      <c r="AH19160" s="831" t="s">
        <v>580</v>
      </c>
      <c r="AI19160" s="831">
        <v>0</v>
      </c>
      <c r="AJ19160" s="835">
        <v>41698</v>
      </c>
      <c r="AK19160" s="831">
        <v>-65813930.306999996</v>
      </c>
    </row>
    <row r="19161" spans="2:37">
      <c r="B19161" s="834" t="str">
        <f t="shared" si="679"/>
        <v>|||</v>
      </c>
      <c r="H19161" s="835">
        <f t="shared" si="680"/>
        <v>31</v>
      </c>
      <c r="AF19161" s="831" t="s">
        <v>11360</v>
      </c>
      <c r="AG19161" s="831" t="s">
        <v>2674</v>
      </c>
      <c r="AH19161" s="831" t="s">
        <v>581</v>
      </c>
      <c r="AI19161" s="831">
        <v>0</v>
      </c>
      <c r="AJ19161" s="835">
        <v>41698</v>
      </c>
      <c r="AK19161" s="831">
        <v>5417725.8940000003</v>
      </c>
    </row>
    <row r="19162" spans="2:37">
      <c r="B19162" s="834" t="str">
        <f t="shared" si="679"/>
        <v>|||</v>
      </c>
      <c r="H19162" s="835">
        <f t="shared" si="680"/>
        <v>31</v>
      </c>
      <c r="AF19162" s="831" t="s">
        <v>11361</v>
      </c>
      <c r="AG19162" s="831" t="s">
        <v>2674</v>
      </c>
      <c r="AH19162" s="831" t="s">
        <v>105</v>
      </c>
      <c r="AI19162" s="831">
        <v>0</v>
      </c>
      <c r="AJ19162" s="835">
        <v>41698</v>
      </c>
      <c r="AK19162" s="831">
        <v>385102312</v>
      </c>
    </row>
    <row r="19163" spans="2:37">
      <c r="B19163" s="834" t="str">
        <f t="shared" si="679"/>
        <v>|||</v>
      </c>
      <c r="H19163" s="835">
        <f t="shared" si="680"/>
        <v>31</v>
      </c>
      <c r="AF19163" s="831" t="s">
        <v>11362</v>
      </c>
      <c r="AG19163" s="831" t="s">
        <v>2674</v>
      </c>
      <c r="AH19163" s="831" t="s">
        <v>3049</v>
      </c>
      <c r="AI19163" s="831">
        <v>0</v>
      </c>
      <c r="AJ19163" s="835">
        <v>41698</v>
      </c>
      <c r="AK19163" s="831">
        <v>650688857.41999996</v>
      </c>
    </row>
    <row r="19164" spans="2:37">
      <c r="B19164" s="834" t="str">
        <f t="shared" si="679"/>
        <v>|||</v>
      </c>
      <c r="H19164" s="835">
        <f t="shared" si="680"/>
        <v>31</v>
      </c>
      <c r="AF19164" s="831" t="s">
        <v>11363</v>
      </c>
      <c r="AG19164" s="831" t="s">
        <v>2674</v>
      </c>
      <c r="AH19164" s="831" t="s">
        <v>103</v>
      </c>
      <c r="AI19164" s="831">
        <v>0</v>
      </c>
      <c r="AJ19164" s="835">
        <v>41698</v>
      </c>
      <c r="AK19164" s="831">
        <v>265586545.41999999</v>
      </c>
    </row>
    <row r="19165" spans="2:37">
      <c r="B19165" s="834" t="str">
        <f t="shared" si="679"/>
        <v>|||</v>
      </c>
      <c r="H19165" s="835">
        <f t="shared" si="680"/>
        <v>31</v>
      </c>
      <c r="AF19165" s="831" t="s">
        <v>11364</v>
      </c>
      <c r="AG19165" s="831" t="s">
        <v>2674</v>
      </c>
      <c r="AH19165" s="831" t="s">
        <v>182</v>
      </c>
      <c r="AI19165" s="831">
        <v>0</v>
      </c>
      <c r="AJ19165" s="835">
        <v>41698</v>
      </c>
      <c r="AK19165" s="831">
        <v>65878782</v>
      </c>
    </row>
    <row r="19166" spans="2:37">
      <c r="B19166" s="834" t="str">
        <f t="shared" si="679"/>
        <v>|||</v>
      </c>
      <c r="H19166" s="835">
        <f t="shared" si="680"/>
        <v>31</v>
      </c>
      <c r="AF19166" s="831" t="s">
        <v>11365</v>
      </c>
      <c r="AG19166" s="831" t="s">
        <v>2674</v>
      </c>
      <c r="AH19166" s="831" t="s">
        <v>6600</v>
      </c>
      <c r="AI19166" s="831">
        <v>0</v>
      </c>
      <c r="AJ19166" s="835">
        <v>41698</v>
      </c>
      <c r="AK19166" s="831">
        <v>31228952.956000008</v>
      </c>
    </row>
    <row r="19167" spans="2:37">
      <c r="B19167" s="834" t="str">
        <f t="shared" si="679"/>
        <v>|||</v>
      </c>
      <c r="H19167" s="835">
        <f t="shared" si="680"/>
        <v>31</v>
      </c>
      <c r="AF19167" s="831" t="s">
        <v>11366</v>
      </c>
      <c r="AG19167" s="831" t="s">
        <v>2674</v>
      </c>
      <c r="AH19167" s="831" t="s">
        <v>6602</v>
      </c>
      <c r="AI19167" s="831">
        <v>0</v>
      </c>
      <c r="AJ19167" s="835">
        <v>41698</v>
      </c>
      <c r="AK19167" s="831">
        <v>7870295</v>
      </c>
    </row>
    <row r="19168" spans="2:37">
      <c r="B19168" s="834" t="str">
        <f t="shared" si="679"/>
        <v>|||</v>
      </c>
      <c r="H19168" s="835">
        <f t="shared" si="680"/>
        <v>31</v>
      </c>
      <c r="AF19168" s="831" t="s">
        <v>11367</v>
      </c>
      <c r="AG19168" s="831" t="s">
        <v>2674</v>
      </c>
      <c r="AH19168" s="831" t="s">
        <v>650</v>
      </c>
      <c r="AI19168" s="831">
        <v>0</v>
      </c>
      <c r="AJ19168" s="835">
        <v>41698</v>
      </c>
      <c r="AK19168" s="831">
        <v>219285486.1168462</v>
      </c>
    </row>
    <row r="19169" spans="2:37">
      <c r="B19169" s="834" t="str">
        <f t="shared" si="679"/>
        <v>|||</v>
      </c>
      <c r="H19169" s="835">
        <f t="shared" si="680"/>
        <v>31</v>
      </c>
      <c r="AF19169" s="831" t="s">
        <v>11368</v>
      </c>
      <c r="AG19169" s="831" t="s">
        <v>2674</v>
      </c>
      <c r="AH19169" s="831" t="s">
        <v>655</v>
      </c>
      <c r="AI19169" s="831">
        <v>0</v>
      </c>
      <c r="AJ19169" s="835">
        <v>41698</v>
      </c>
      <c r="AK19169" s="831">
        <v>1640758.8330000001</v>
      </c>
    </row>
    <row r="19170" spans="2:37">
      <c r="B19170" s="834" t="str">
        <f t="shared" si="679"/>
        <v>|||</v>
      </c>
      <c r="H19170" s="835">
        <f t="shared" si="680"/>
        <v>31</v>
      </c>
      <c r="AF19170" s="831" t="s">
        <v>11369</v>
      </c>
      <c r="AG19170" s="831" t="s">
        <v>2674</v>
      </c>
      <c r="AH19170" s="831" t="s">
        <v>546</v>
      </c>
      <c r="AI19170" s="831">
        <v>0</v>
      </c>
      <c r="AJ19170" s="835">
        <v>41729</v>
      </c>
      <c r="AK19170" s="831">
        <v>664153787</v>
      </c>
    </row>
    <row r="19171" spans="2:37">
      <c r="B19171" s="834" t="str">
        <f t="shared" si="679"/>
        <v>|||</v>
      </c>
      <c r="H19171" s="835">
        <f t="shared" si="680"/>
        <v>31</v>
      </c>
      <c r="AF19171" s="831" t="s">
        <v>11370</v>
      </c>
      <c r="AG19171" s="831" t="s">
        <v>2674</v>
      </c>
      <c r="AH19171" s="831" t="s">
        <v>370</v>
      </c>
      <c r="AI19171" s="831">
        <v>0</v>
      </c>
      <c r="AJ19171" s="835">
        <v>41729</v>
      </c>
      <c r="AK19171" s="831">
        <v>834303183</v>
      </c>
    </row>
    <row r="19172" spans="2:37">
      <c r="B19172" s="834" t="str">
        <f t="shared" si="679"/>
        <v>|||</v>
      </c>
      <c r="H19172" s="835">
        <f t="shared" si="680"/>
        <v>31</v>
      </c>
      <c r="AF19172" s="831" t="s">
        <v>11371</v>
      </c>
      <c r="AG19172" s="831" t="s">
        <v>2674</v>
      </c>
      <c r="AH19172" s="831" t="s">
        <v>126</v>
      </c>
      <c r="AI19172" s="831">
        <v>0</v>
      </c>
      <c r="AJ19172" s="835">
        <v>41729</v>
      </c>
      <c r="AK19172" s="831">
        <v>124206790</v>
      </c>
    </row>
    <row r="19173" spans="2:37">
      <c r="B19173" s="834" t="str">
        <f t="shared" si="679"/>
        <v>|||</v>
      </c>
      <c r="H19173" s="835">
        <f t="shared" si="680"/>
        <v>31</v>
      </c>
      <c r="AF19173" s="831" t="s">
        <v>11372</v>
      </c>
      <c r="AG19173" s="831" t="s">
        <v>2674</v>
      </c>
      <c r="AH19173" s="831" t="s">
        <v>268</v>
      </c>
      <c r="AI19173" s="831">
        <v>0</v>
      </c>
      <c r="AJ19173" s="835">
        <v>41729</v>
      </c>
      <c r="AK19173" s="831">
        <v>8878765</v>
      </c>
    </row>
    <row r="19174" spans="2:37">
      <c r="B19174" s="834" t="str">
        <f t="shared" si="679"/>
        <v>|||</v>
      </c>
      <c r="H19174" s="835">
        <f t="shared" si="680"/>
        <v>31</v>
      </c>
      <c r="AF19174" s="831" t="s">
        <v>11373</v>
      </c>
      <c r="AG19174" s="831" t="s">
        <v>2674</v>
      </c>
      <c r="AH19174" s="831" t="s">
        <v>547</v>
      </c>
      <c r="AI19174" s="831">
        <v>0</v>
      </c>
      <c r="AJ19174" s="835">
        <v>41729</v>
      </c>
      <c r="AK19174" s="831">
        <v>777719977</v>
      </c>
    </row>
    <row r="19175" spans="2:37">
      <c r="B19175" s="834" t="str">
        <f t="shared" si="679"/>
        <v>|||</v>
      </c>
      <c r="H19175" s="835">
        <f t="shared" si="680"/>
        <v>31</v>
      </c>
      <c r="AF19175" s="831" t="s">
        <v>11374</v>
      </c>
      <c r="AG19175" s="831" t="s">
        <v>2674</v>
      </c>
      <c r="AH19175" s="831" t="s">
        <v>548</v>
      </c>
      <c r="AI19175" s="831">
        <v>0</v>
      </c>
      <c r="AJ19175" s="835">
        <v>41729</v>
      </c>
      <c r="AK19175" s="831">
        <v>117105496</v>
      </c>
    </row>
    <row r="19176" spans="2:37">
      <c r="B19176" s="834" t="str">
        <f t="shared" si="679"/>
        <v>|||</v>
      </c>
      <c r="H19176" s="835">
        <f t="shared" si="680"/>
        <v>31</v>
      </c>
      <c r="AF19176" s="831" t="s">
        <v>11375</v>
      </c>
      <c r="AG19176" s="831" t="s">
        <v>2674</v>
      </c>
      <c r="AH19176" s="831" t="s">
        <v>549</v>
      </c>
      <c r="AI19176" s="831">
        <v>0</v>
      </c>
      <c r="AJ19176" s="835">
        <v>41729</v>
      </c>
      <c r="AK19176" s="831">
        <v>455655641</v>
      </c>
    </row>
    <row r="19177" spans="2:37">
      <c r="B19177" s="834" t="str">
        <f t="shared" si="679"/>
        <v>|||</v>
      </c>
      <c r="H19177" s="835">
        <f t="shared" si="680"/>
        <v>31</v>
      </c>
      <c r="AF19177" s="831" t="s">
        <v>11376</v>
      </c>
      <c r="AG19177" s="831" t="s">
        <v>2674</v>
      </c>
      <c r="AH19177" s="831" t="s">
        <v>192</v>
      </c>
      <c r="AI19177" s="831">
        <v>0</v>
      </c>
      <c r="AJ19177" s="835">
        <v>41729</v>
      </c>
      <c r="AK19177" s="831">
        <v>-12498345</v>
      </c>
    </row>
    <row r="19178" spans="2:37">
      <c r="B19178" s="834" t="str">
        <f t="shared" si="679"/>
        <v>|||</v>
      </c>
      <c r="H19178" s="835">
        <f t="shared" si="680"/>
        <v>31</v>
      </c>
      <c r="AF19178" s="831" t="s">
        <v>11377</v>
      </c>
      <c r="AG19178" s="831" t="s">
        <v>2674</v>
      </c>
      <c r="AH19178" s="831" t="s">
        <v>558</v>
      </c>
      <c r="AI19178" s="831">
        <v>0</v>
      </c>
      <c r="AJ19178" s="835">
        <v>41729</v>
      </c>
      <c r="AK19178" s="831">
        <v>710096393</v>
      </c>
    </row>
    <row r="19179" spans="2:37">
      <c r="B19179" s="834" t="str">
        <f t="shared" si="679"/>
        <v>|||</v>
      </c>
      <c r="H19179" s="835">
        <f t="shared" si="680"/>
        <v>31</v>
      </c>
      <c r="AF19179" s="831" t="s">
        <v>11378</v>
      </c>
      <c r="AG19179" s="831" t="s">
        <v>2674</v>
      </c>
      <c r="AH19179" s="831" t="s">
        <v>65</v>
      </c>
      <c r="AI19179" s="831">
        <v>0</v>
      </c>
      <c r="AJ19179" s="835">
        <v>41729</v>
      </c>
      <c r="AK19179" s="831">
        <v>38451284</v>
      </c>
    </row>
    <row r="19180" spans="2:37">
      <c r="B19180" s="834" t="str">
        <f t="shared" si="679"/>
        <v>|||</v>
      </c>
      <c r="H19180" s="835">
        <f t="shared" si="680"/>
        <v>31</v>
      </c>
      <c r="AF19180" s="831" t="s">
        <v>11379</v>
      </c>
      <c r="AG19180" s="831" t="s">
        <v>2674</v>
      </c>
      <c r="AH19180" s="831" t="s">
        <v>89</v>
      </c>
      <c r="AI19180" s="831">
        <v>0</v>
      </c>
      <c r="AJ19180" s="835">
        <v>41729</v>
      </c>
      <c r="AK19180" s="831">
        <v>151606</v>
      </c>
    </row>
    <row r="19181" spans="2:37">
      <c r="B19181" s="834" t="str">
        <f t="shared" si="679"/>
        <v>|||</v>
      </c>
      <c r="H19181" s="835">
        <f t="shared" si="680"/>
        <v>31</v>
      </c>
      <c r="AF19181" s="831" t="s">
        <v>11380</v>
      </c>
      <c r="AG19181" s="831" t="s">
        <v>2674</v>
      </c>
      <c r="AH19181" s="831" t="s">
        <v>557</v>
      </c>
      <c r="AI19181" s="831">
        <v>0</v>
      </c>
      <c r="AJ19181" s="835">
        <v>41729</v>
      </c>
      <c r="AK19181" s="831">
        <v>167127</v>
      </c>
    </row>
    <row r="19182" spans="2:37">
      <c r="B19182" s="834" t="str">
        <f t="shared" si="679"/>
        <v>|||</v>
      </c>
      <c r="H19182" s="835">
        <f t="shared" si="680"/>
        <v>31</v>
      </c>
      <c r="AF19182" s="831" t="s">
        <v>11381</v>
      </c>
      <c r="AG19182" s="831" t="s">
        <v>2674</v>
      </c>
      <c r="AH19182" s="831" t="s">
        <v>29</v>
      </c>
      <c r="AI19182" s="831">
        <v>0</v>
      </c>
      <c r="AJ19182" s="835">
        <v>41729</v>
      </c>
      <c r="AK19182" s="831">
        <v>2189531.31</v>
      </c>
    </row>
    <row r="19183" spans="2:37">
      <c r="B19183" s="834" t="str">
        <f t="shared" si="679"/>
        <v>|||</v>
      </c>
      <c r="H19183" s="835">
        <f t="shared" si="680"/>
        <v>31</v>
      </c>
      <c r="AF19183" s="831" t="s">
        <v>11382</v>
      </c>
      <c r="AG19183" s="831" t="s">
        <v>2674</v>
      </c>
      <c r="AH19183" s="831" t="s">
        <v>2688</v>
      </c>
      <c r="AI19183" s="831">
        <v>0</v>
      </c>
      <c r="AJ19183" s="835">
        <v>41729</v>
      </c>
      <c r="AK19183" s="831">
        <v>4729841</v>
      </c>
    </row>
    <row r="19184" spans="2:37">
      <c r="B19184" s="834" t="str">
        <f t="shared" si="679"/>
        <v>|||</v>
      </c>
      <c r="H19184" s="835">
        <f t="shared" si="680"/>
        <v>31</v>
      </c>
      <c r="AF19184" s="831" t="s">
        <v>11383</v>
      </c>
      <c r="AG19184" s="831" t="s">
        <v>2674</v>
      </c>
      <c r="AH19184" s="831" t="s">
        <v>556</v>
      </c>
      <c r="AI19184" s="831">
        <v>0</v>
      </c>
      <c r="AJ19184" s="835">
        <v>41729</v>
      </c>
      <c r="AK19184" s="831">
        <v>1644732</v>
      </c>
    </row>
    <row r="19185" spans="2:37">
      <c r="B19185" s="834" t="str">
        <f t="shared" si="679"/>
        <v>|||</v>
      </c>
      <c r="H19185" s="835">
        <f t="shared" si="680"/>
        <v>31</v>
      </c>
      <c r="AF19185" s="831" t="s">
        <v>11384</v>
      </c>
      <c r="AG19185" s="831" t="s">
        <v>2674</v>
      </c>
      <c r="AH19185" s="831" t="s">
        <v>555</v>
      </c>
      <c r="AI19185" s="831">
        <v>0</v>
      </c>
      <c r="AJ19185" s="835">
        <v>41729</v>
      </c>
      <c r="AK19185" s="831">
        <v>466790280</v>
      </c>
    </row>
    <row r="19186" spans="2:37">
      <c r="B19186" s="834" t="str">
        <f t="shared" si="679"/>
        <v>|||</v>
      </c>
      <c r="H19186" s="835">
        <f t="shared" si="680"/>
        <v>31</v>
      </c>
      <c r="AF19186" s="831" t="s">
        <v>11385</v>
      </c>
      <c r="AG19186" s="831" t="s">
        <v>2674</v>
      </c>
      <c r="AH19186" s="831" t="s">
        <v>554</v>
      </c>
      <c r="AI19186" s="831">
        <v>0</v>
      </c>
      <c r="AJ19186" s="835">
        <v>41729</v>
      </c>
      <c r="AK19186" s="831">
        <v>476154670</v>
      </c>
    </row>
    <row r="19187" spans="2:37">
      <c r="B19187" s="834" t="str">
        <f t="shared" si="679"/>
        <v>|||</v>
      </c>
      <c r="H19187" s="835">
        <f t="shared" si="680"/>
        <v>31</v>
      </c>
      <c r="AF19187" s="831" t="s">
        <v>11386</v>
      </c>
      <c r="AG19187" s="831" t="s">
        <v>2674</v>
      </c>
      <c r="AH19187" s="831" t="s">
        <v>553</v>
      </c>
      <c r="AI19187" s="831">
        <v>0</v>
      </c>
      <c r="AJ19187" s="835">
        <v>41729</v>
      </c>
      <c r="AK19187" s="831">
        <v>0</v>
      </c>
    </row>
    <row r="19188" spans="2:37">
      <c r="B19188" s="834" t="str">
        <f t="shared" si="679"/>
        <v>|||</v>
      </c>
      <c r="H19188" s="835">
        <f t="shared" si="680"/>
        <v>31</v>
      </c>
      <c r="AF19188" s="831" t="s">
        <v>11387</v>
      </c>
      <c r="AG19188" s="831" t="s">
        <v>2674</v>
      </c>
      <c r="AH19188" s="831" t="s">
        <v>552</v>
      </c>
      <c r="AI19188" s="831">
        <v>0</v>
      </c>
      <c r="AJ19188" s="835">
        <v>41729</v>
      </c>
      <c r="AK19188" s="831">
        <v>0</v>
      </c>
    </row>
    <row r="19189" spans="2:37">
      <c r="B19189" s="834" t="str">
        <f t="shared" si="679"/>
        <v>|||</v>
      </c>
      <c r="H19189" s="835">
        <f t="shared" si="680"/>
        <v>31</v>
      </c>
      <c r="AF19189" s="831" t="s">
        <v>11388</v>
      </c>
      <c r="AG19189" s="831" t="s">
        <v>2674</v>
      </c>
      <c r="AH19189" s="831" t="s">
        <v>551</v>
      </c>
      <c r="AI19189" s="831">
        <v>0</v>
      </c>
      <c r="AJ19189" s="835">
        <v>41729</v>
      </c>
      <c r="AK19189" s="831">
        <v>1979269.31</v>
      </c>
    </row>
    <row r="19190" spans="2:37">
      <c r="B19190" s="834" t="str">
        <f t="shared" si="679"/>
        <v>|||</v>
      </c>
      <c r="H19190" s="835">
        <f t="shared" si="680"/>
        <v>31</v>
      </c>
      <c r="AF19190" s="831" t="s">
        <v>11389</v>
      </c>
      <c r="AG19190" s="831" t="s">
        <v>2674</v>
      </c>
      <c r="AH19190" s="831" t="s">
        <v>550</v>
      </c>
      <c r="AI19190" s="831">
        <v>0</v>
      </c>
      <c r="AJ19190" s="835">
        <v>41729</v>
      </c>
      <c r="AK19190" s="831">
        <v>120615628</v>
      </c>
    </row>
    <row r="19191" spans="2:37">
      <c r="B19191" s="834" t="str">
        <f t="shared" si="679"/>
        <v>|||</v>
      </c>
      <c r="H19191" s="835">
        <f t="shared" si="680"/>
        <v>31</v>
      </c>
      <c r="AF19191" s="831" t="s">
        <v>11390</v>
      </c>
      <c r="AG19191" s="831" t="s">
        <v>2674</v>
      </c>
      <c r="AH19191" s="831" t="s">
        <v>562</v>
      </c>
      <c r="AI19191" s="831">
        <v>0</v>
      </c>
      <c r="AJ19191" s="835">
        <v>41729</v>
      </c>
      <c r="AK19191" s="831">
        <v>0.78374999999999995</v>
      </c>
    </row>
    <row r="19192" spans="2:37">
      <c r="B19192" s="834" t="str">
        <f t="shared" si="679"/>
        <v>|||</v>
      </c>
      <c r="H19192" s="835">
        <f t="shared" si="680"/>
        <v>31</v>
      </c>
      <c r="AF19192" s="831" t="s">
        <v>11391</v>
      </c>
      <c r="AG19192" s="831" t="s">
        <v>2674</v>
      </c>
      <c r="AH19192" s="831" t="s">
        <v>2698</v>
      </c>
      <c r="AI19192" s="831">
        <v>0</v>
      </c>
      <c r="AJ19192" s="835">
        <v>41729</v>
      </c>
      <c r="AK19192" s="831">
        <v>0.78385000000000005</v>
      </c>
    </row>
    <row r="19193" spans="2:37">
      <c r="B19193" s="834" t="str">
        <f t="shared" si="679"/>
        <v>|||</v>
      </c>
      <c r="H19193" s="835">
        <f t="shared" si="680"/>
        <v>31</v>
      </c>
      <c r="AF19193" s="831" t="s">
        <v>11392</v>
      </c>
      <c r="AG19193" s="831" t="s">
        <v>2674</v>
      </c>
      <c r="AH19193" s="831" t="s">
        <v>560</v>
      </c>
      <c r="AI19193" s="831">
        <v>0</v>
      </c>
      <c r="AJ19193" s="835">
        <v>41729</v>
      </c>
      <c r="AK19193" s="831">
        <v>0.78375000000000006</v>
      </c>
    </row>
    <row r="19194" spans="2:37">
      <c r="B19194" s="834" t="str">
        <f t="shared" si="679"/>
        <v>|||</v>
      </c>
      <c r="H19194" s="835">
        <f t="shared" si="680"/>
        <v>31</v>
      </c>
      <c r="AF19194" s="831" t="s">
        <v>11393</v>
      </c>
      <c r="AG19194" s="831" t="s">
        <v>2674</v>
      </c>
      <c r="AH19194" s="831" t="s">
        <v>559</v>
      </c>
      <c r="AI19194" s="831">
        <v>0</v>
      </c>
      <c r="AJ19194" s="835">
        <v>41729</v>
      </c>
      <c r="AK19194" s="831">
        <v>0.78383333333333338</v>
      </c>
    </row>
    <row r="19195" spans="2:37">
      <c r="B19195" s="834" t="str">
        <f t="shared" si="679"/>
        <v>|||</v>
      </c>
      <c r="H19195" s="835">
        <f t="shared" si="680"/>
        <v>31</v>
      </c>
      <c r="AF19195" s="831" t="s">
        <v>11394</v>
      </c>
      <c r="AG19195" s="831" t="s">
        <v>2674</v>
      </c>
      <c r="AH19195" s="831" t="s">
        <v>568</v>
      </c>
      <c r="AI19195" s="831">
        <v>0</v>
      </c>
      <c r="AJ19195" s="835">
        <v>41729</v>
      </c>
      <c r="AK19195" s="831">
        <v>565947600.45769227</v>
      </c>
    </row>
    <row r="19196" spans="2:37">
      <c r="B19196" s="834" t="str">
        <f t="shared" si="679"/>
        <v>|||</v>
      </c>
      <c r="H19196" s="835">
        <f t="shared" si="680"/>
        <v>31</v>
      </c>
      <c r="AF19196" s="831" t="s">
        <v>11395</v>
      </c>
      <c r="AG19196" s="831" t="s">
        <v>2674</v>
      </c>
      <c r="AH19196" s="831" t="s">
        <v>569</v>
      </c>
      <c r="AI19196" s="831">
        <v>0</v>
      </c>
      <c r="AJ19196" s="835">
        <v>41729</v>
      </c>
      <c r="AK19196" s="831">
        <v>694165655.12715387</v>
      </c>
    </row>
    <row r="19197" spans="2:37">
      <c r="B19197" s="834" t="str">
        <f t="shared" si="679"/>
        <v>|||</v>
      </c>
      <c r="H19197" s="835">
        <f t="shared" si="680"/>
        <v>31</v>
      </c>
      <c r="AF19197" s="831" t="s">
        <v>11396</v>
      </c>
      <c r="AG19197" s="831" t="s">
        <v>2674</v>
      </c>
      <c r="AH19197" s="831" t="s">
        <v>570</v>
      </c>
      <c r="AI19197" s="831">
        <v>0</v>
      </c>
      <c r="AJ19197" s="835">
        <v>41729</v>
      </c>
      <c r="AK19197" s="831">
        <v>113785276.52046154</v>
      </c>
    </row>
    <row r="19198" spans="2:37">
      <c r="B19198" s="834" t="str">
        <f t="shared" si="679"/>
        <v>|||</v>
      </c>
      <c r="H19198" s="835">
        <f t="shared" si="680"/>
        <v>31</v>
      </c>
      <c r="AF19198" s="831" t="s">
        <v>11397</v>
      </c>
      <c r="AG19198" s="831" t="s">
        <v>2674</v>
      </c>
      <c r="AH19198" s="831" t="s">
        <v>571</v>
      </c>
      <c r="AI19198" s="831">
        <v>0</v>
      </c>
      <c r="AJ19198" s="835">
        <v>41729</v>
      </c>
      <c r="AK19198" s="831">
        <v>334328550.28253847</v>
      </c>
    </row>
    <row r="19199" spans="2:37">
      <c r="B19199" s="834" t="str">
        <f t="shared" si="679"/>
        <v>|||</v>
      </c>
      <c r="H19199" s="835">
        <f t="shared" si="680"/>
        <v>31</v>
      </c>
      <c r="AF19199" s="831" t="s">
        <v>11398</v>
      </c>
      <c r="AG19199" s="831" t="s">
        <v>2674</v>
      </c>
      <c r="AH19199" s="831" t="s">
        <v>573</v>
      </c>
      <c r="AI19199" s="831">
        <v>0</v>
      </c>
      <c r="AJ19199" s="835">
        <v>41729</v>
      </c>
      <c r="AK19199" s="831">
        <v>798989941.39074993</v>
      </c>
    </row>
    <row r="19200" spans="2:37">
      <c r="B19200" s="834" t="str">
        <f t="shared" si="679"/>
        <v>|||</v>
      </c>
      <c r="H19200" s="835">
        <f t="shared" si="680"/>
        <v>31</v>
      </c>
      <c r="AF19200" s="831" t="s">
        <v>11399</v>
      </c>
      <c r="AG19200" s="831" t="s">
        <v>2674</v>
      </c>
      <c r="AH19200" s="831" t="s">
        <v>574</v>
      </c>
      <c r="AI19200" s="831">
        <v>0</v>
      </c>
      <c r="AJ19200" s="835">
        <v>41729</v>
      </c>
      <c r="AK19200" s="831">
        <v>645110399.5</v>
      </c>
    </row>
    <row r="19201" spans="2:37">
      <c r="B19201" s="834" t="str">
        <f t="shared" si="679"/>
        <v>|||</v>
      </c>
      <c r="H19201" s="835">
        <f t="shared" si="680"/>
        <v>31</v>
      </c>
      <c r="AF19201" s="831" t="s">
        <v>11400</v>
      </c>
      <c r="AG19201" s="831" t="s">
        <v>2674</v>
      </c>
      <c r="AH19201" s="831" t="s">
        <v>575</v>
      </c>
      <c r="AI19201" s="831">
        <v>0</v>
      </c>
      <c r="AJ19201" s="835">
        <v>41729</v>
      </c>
      <c r="AK19201" s="831">
        <v>119004419.97749999</v>
      </c>
    </row>
    <row r="19202" spans="2:37">
      <c r="B19202" s="834" t="str">
        <f t="shared" si="679"/>
        <v>|||</v>
      </c>
      <c r="H19202" s="835">
        <f t="shared" si="680"/>
        <v>31</v>
      </c>
      <c r="AF19202" s="831" t="s">
        <v>11401</v>
      </c>
      <c r="AG19202" s="831" t="s">
        <v>2674</v>
      </c>
      <c r="AH19202" s="831" t="s">
        <v>576</v>
      </c>
      <c r="AI19202" s="831">
        <v>0</v>
      </c>
      <c r="AJ19202" s="835">
        <v>41729</v>
      </c>
      <c r="AK19202" s="831">
        <v>391575852.40275002</v>
      </c>
    </row>
    <row r="19203" spans="2:37">
      <c r="B19203" s="834" t="str">
        <f t="shared" si="679"/>
        <v>|||</v>
      </c>
      <c r="H19203" s="835">
        <f t="shared" si="680"/>
        <v>31</v>
      </c>
      <c r="AF19203" s="831" t="s">
        <v>11402</v>
      </c>
      <c r="AG19203" s="831" t="s">
        <v>2674</v>
      </c>
      <c r="AH19203" s="831" t="s">
        <v>572</v>
      </c>
      <c r="AI19203" s="831">
        <v>0</v>
      </c>
      <c r="AJ19203" s="835">
        <v>41729</v>
      </c>
      <c r="AK19203" s="831">
        <v>30009140.956000008</v>
      </c>
    </row>
    <row r="19204" spans="2:37">
      <c r="B19204" s="834" t="str">
        <f t="shared" si="679"/>
        <v>|||</v>
      </c>
      <c r="H19204" s="835">
        <f t="shared" si="680"/>
        <v>31</v>
      </c>
      <c r="AF19204" s="831" t="s">
        <v>11403</v>
      </c>
      <c r="AG19204" s="831" t="s">
        <v>2674</v>
      </c>
      <c r="AH19204" s="831" t="s">
        <v>577</v>
      </c>
      <c r="AI19204" s="831">
        <v>0</v>
      </c>
      <c r="AJ19204" s="835">
        <v>41729</v>
      </c>
      <c r="AK19204" s="831">
        <v>143425007.76300001</v>
      </c>
    </row>
    <row r="19205" spans="2:37">
      <c r="B19205" s="834" t="str">
        <f t="shared" si="679"/>
        <v>|||</v>
      </c>
      <c r="H19205" s="835">
        <f t="shared" si="680"/>
        <v>31</v>
      </c>
      <c r="AF19205" s="831" t="s">
        <v>11404</v>
      </c>
      <c r="AG19205" s="831" t="s">
        <v>2674</v>
      </c>
      <c r="AH19205" s="831" t="s">
        <v>3042</v>
      </c>
      <c r="AI19205" s="831">
        <v>0</v>
      </c>
      <c r="AJ19205" s="835">
        <v>41729</v>
      </c>
      <c r="AK19205" s="831">
        <v>-38745656.527000003</v>
      </c>
    </row>
    <row r="19206" spans="2:37">
      <c r="B19206" s="834" t="str">
        <f t="shared" si="679"/>
        <v>|||</v>
      </c>
      <c r="H19206" s="835">
        <f t="shared" si="680"/>
        <v>31</v>
      </c>
      <c r="AF19206" s="831" t="s">
        <v>11405</v>
      </c>
      <c r="AG19206" s="831" t="s">
        <v>2674</v>
      </c>
      <c r="AH19206" s="831" t="s">
        <v>3044</v>
      </c>
      <c r="AI19206" s="831">
        <v>0</v>
      </c>
      <c r="AJ19206" s="835">
        <v>41729</v>
      </c>
      <c r="AK19206" s="831">
        <v>-3699815.8899999997</v>
      </c>
    </row>
    <row r="19207" spans="2:37">
      <c r="B19207" s="834" t="str">
        <f t="shared" si="679"/>
        <v>|||</v>
      </c>
      <c r="H19207" s="835">
        <f t="shared" si="680"/>
        <v>31</v>
      </c>
      <c r="AF19207" s="831" t="s">
        <v>11406</v>
      </c>
      <c r="AG19207" s="831" t="s">
        <v>2674</v>
      </c>
      <c r="AH19207" s="831" t="s">
        <v>580</v>
      </c>
      <c r="AI19207" s="831">
        <v>0</v>
      </c>
      <c r="AJ19207" s="835">
        <v>41729</v>
      </c>
      <c r="AK19207" s="831">
        <v>-67131930.306999996</v>
      </c>
    </row>
    <row r="19208" spans="2:37">
      <c r="B19208" s="834" t="str">
        <f t="shared" si="679"/>
        <v>|||</v>
      </c>
      <c r="H19208" s="835">
        <f t="shared" si="680"/>
        <v>31</v>
      </c>
      <c r="AF19208" s="831" t="s">
        <v>11407</v>
      </c>
      <c r="AG19208" s="831" t="s">
        <v>2674</v>
      </c>
      <c r="AH19208" s="831" t="s">
        <v>581</v>
      </c>
      <c r="AI19208" s="831">
        <v>0</v>
      </c>
      <c r="AJ19208" s="835">
        <v>41729</v>
      </c>
      <c r="AK19208" s="831">
        <v>5442741.8940000003</v>
      </c>
    </row>
    <row r="19209" spans="2:37">
      <c r="B19209" s="834" t="str">
        <f t="shared" si="679"/>
        <v>|||</v>
      </c>
      <c r="H19209" s="835">
        <f t="shared" si="680"/>
        <v>31</v>
      </c>
      <c r="AF19209" s="831" t="s">
        <v>11408</v>
      </c>
      <c r="AG19209" s="831" t="s">
        <v>2674</v>
      </c>
      <c r="AH19209" s="831" t="s">
        <v>105</v>
      </c>
      <c r="AI19209" s="831">
        <v>0</v>
      </c>
      <c r="AJ19209" s="835">
        <v>41729</v>
      </c>
      <c r="AK19209" s="831">
        <v>411102058</v>
      </c>
    </row>
    <row r="19210" spans="2:37">
      <c r="B19210" s="834" t="str">
        <f t="shared" si="679"/>
        <v>|||</v>
      </c>
      <c r="H19210" s="835">
        <f t="shared" si="680"/>
        <v>31</v>
      </c>
      <c r="AF19210" s="831" t="s">
        <v>11409</v>
      </c>
      <c r="AG19210" s="831" t="s">
        <v>2674</v>
      </c>
      <c r="AH19210" s="831" t="s">
        <v>3049</v>
      </c>
      <c r="AI19210" s="831">
        <v>0</v>
      </c>
      <c r="AJ19210" s="835">
        <v>41729</v>
      </c>
      <c r="AK19210" s="831">
        <v>690412081</v>
      </c>
    </row>
    <row r="19211" spans="2:37">
      <c r="B19211" s="834" t="str">
        <f t="shared" si="679"/>
        <v>|||</v>
      </c>
      <c r="H19211" s="835">
        <f t="shared" si="680"/>
        <v>31</v>
      </c>
      <c r="AF19211" s="831" t="s">
        <v>11410</v>
      </c>
      <c r="AG19211" s="831" t="s">
        <v>2674</v>
      </c>
      <c r="AH19211" s="831" t="s">
        <v>103</v>
      </c>
      <c r="AI19211" s="831">
        <v>0</v>
      </c>
      <c r="AJ19211" s="835">
        <v>41729</v>
      </c>
      <c r="AK19211" s="831">
        <v>279310023</v>
      </c>
    </row>
    <row r="19212" spans="2:37">
      <c r="B19212" s="834" t="str">
        <f t="shared" si="679"/>
        <v>|||</v>
      </c>
      <c r="H19212" s="835">
        <f t="shared" si="680"/>
        <v>31</v>
      </c>
      <c r="AF19212" s="831" t="s">
        <v>11411</v>
      </c>
      <c r="AG19212" s="831" t="s">
        <v>2674</v>
      </c>
      <c r="AH19212" s="831" t="s">
        <v>182</v>
      </c>
      <c r="AI19212" s="831">
        <v>0</v>
      </c>
      <c r="AJ19212" s="835">
        <v>41729</v>
      </c>
      <c r="AK19212" s="831">
        <v>67031636</v>
      </c>
    </row>
    <row r="19213" spans="2:37">
      <c r="B19213" s="834" t="str">
        <f t="shared" si="679"/>
        <v>|||</v>
      </c>
      <c r="H19213" s="835">
        <f t="shared" si="680"/>
        <v>31</v>
      </c>
      <c r="AF19213" s="831" t="s">
        <v>11412</v>
      </c>
      <c r="AG19213" s="831" t="s">
        <v>2674</v>
      </c>
      <c r="AH19213" s="831" t="s">
        <v>6600</v>
      </c>
      <c r="AI19213" s="831">
        <v>0</v>
      </c>
      <c r="AJ19213" s="835">
        <v>41729</v>
      </c>
      <c r="AK19213" s="831">
        <v>30009140.956000008</v>
      </c>
    </row>
    <row r="19214" spans="2:37">
      <c r="B19214" s="834" t="str">
        <f t="shared" si="679"/>
        <v>|||</v>
      </c>
      <c r="H19214" s="835">
        <f t="shared" si="680"/>
        <v>31</v>
      </c>
      <c r="AF19214" s="831" t="s">
        <v>11413</v>
      </c>
      <c r="AG19214" s="831" t="s">
        <v>2674</v>
      </c>
      <c r="AH19214" s="831" t="s">
        <v>6602</v>
      </c>
      <c r="AI19214" s="831">
        <v>0</v>
      </c>
      <c r="AJ19214" s="835">
        <v>41729</v>
      </c>
      <c r="AK19214" s="831">
        <v>8878765</v>
      </c>
    </row>
    <row r="19215" spans="2:37">
      <c r="B19215" s="834" t="str">
        <f t="shared" si="679"/>
        <v>|||</v>
      </c>
      <c r="H19215" s="835">
        <f t="shared" si="680"/>
        <v>31</v>
      </c>
      <c r="AF19215" s="831" t="s">
        <v>11414</v>
      </c>
      <c r="AG19215" s="831" t="s">
        <v>2674</v>
      </c>
      <c r="AH19215" s="831" t="s">
        <v>650</v>
      </c>
      <c r="AI19215" s="831">
        <v>0</v>
      </c>
      <c r="AJ19215" s="835">
        <v>41729</v>
      </c>
      <c r="AK19215" s="831">
        <v>227175044.1168462</v>
      </c>
    </row>
    <row r="19216" spans="2:37">
      <c r="B19216" s="834" t="str">
        <f t="shared" si="679"/>
        <v>|||</v>
      </c>
      <c r="H19216" s="835">
        <f t="shared" si="680"/>
        <v>31</v>
      </c>
      <c r="AF19216" s="831" t="s">
        <v>11415</v>
      </c>
      <c r="AG19216" s="831" t="s">
        <v>2674</v>
      </c>
      <c r="AH19216" s="831" t="s">
        <v>655</v>
      </c>
      <c r="AI19216" s="831">
        <v>0</v>
      </c>
      <c r="AJ19216" s="835">
        <v>41729</v>
      </c>
      <c r="AK19216" s="831">
        <v>1723087.31</v>
      </c>
    </row>
    <row r="19217" spans="2:37">
      <c r="B19217" s="834" t="str">
        <f t="shared" ref="B19217:B19280" si="681">C19217&amp;"|"&amp;D19217&amp;"|"&amp;E19217&amp;"|"&amp;F19217</f>
        <v>|||</v>
      </c>
      <c r="H19217" s="835">
        <f t="shared" ref="H19217:H19280" si="682">EOMONTH(L19217,0)</f>
        <v>31</v>
      </c>
      <c r="AF19217" s="831" t="s">
        <v>11416</v>
      </c>
      <c r="AG19217" s="831" t="s">
        <v>2674</v>
      </c>
      <c r="AH19217" s="831" t="s">
        <v>546</v>
      </c>
      <c r="AI19217" s="831">
        <v>0</v>
      </c>
      <c r="AJ19217" s="835">
        <v>41759</v>
      </c>
      <c r="AK19217" s="831">
        <v>695634421</v>
      </c>
    </row>
    <row r="19218" spans="2:37">
      <c r="B19218" s="834" t="str">
        <f t="shared" si="681"/>
        <v>|||</v>
      </c>
      <c r="H19218" s="835">
        <f t="shared" si="682"/>
        <v>31</v>
      </c>
      <c r="AF19218" s="831" t="s">
        <v>11417</v>
      </c>
      <c r="AG19218" s="831" t="s">
        <v>2674</v>
      </c>
      <c r="AH19218" s="831" t="s">
        <v>370</v>
      </c>
      <c r="AI19218" s="831">
        <v>0</v>
      </c>
      <c r="AJ19218" s="835">
        <v>41759</v>
      </c>
      <c r="AK19218" s="831">
        <v>838269546</v>
      </c>
    </row>
    <row r="19219" spans="2:37">
      <c r="B19219" s="834" t="str">
        <f t="shared" si="681"/>
        <v>|||</v>
      </c>
      <c r="H19219" s="835">
        <f t="shared" si="682"/>
        <v>31</v>
      </c>
      <c r="AF19219" s="831" t="s">
        <v>11418</v>
      </c>
      <c r="AG19219" s="831" t="s">
        <v>2674</v>
      </c>
      <c r="AH19219" s="831" t="s">
        <v>126</v>
      </c>
      <c r="AI19219" s="831">
        <v>0</v>
      </c>
      <c r="AJ19219" s="835">
        <v>41759</v>
      </c>
      <c r="AK19219" s="831">
        <v>127155751</v>
      </c>
    </row>
    <row r="19220" spans="2:37">
      <c r="B19220" s="834" t="str">
        <f t="shared" si="681"/>
        <v>|||</v>
      </c>
      <c r="H19220" s="835">
        <f t="shared" si="682"/>
        <v>31</v>
      </c>
      <c r="AF19220" s="831" t="s">
        <v>11419</v>
      </c>
      <c r="AG19220" s="831" t="s">
        <v>2674</v>
      </c>
      <c r="AH19220" s="831" t="s">
        <v>268</v>
      </c>
      <c r="AI19220" s="831">
        <v>0</v>
      </c>
      <c r="AJ19220" s="835">
        <v>41759</v>
      </c>
      <c r="AK19220" s="831">
        <v>11900832</v>
      </c>
    </row>
    <row r="19221" spans="2:37">
      <c r="B19221" s="834" t="str">
        <f t="shared" si="681"/>
        <v>|||</v>
      </c>
      <c r="H19221" s="835">
        <f t="shared" si="682"/>
        <v>31</v>
      </c>
      <c r="AF19221" s="831" t="s">
        <v>11420</v>
      </c>
      <c r="AG19221" s="831" t="s">
        <v>2674</v>
      </c>
      <c r="AH19221" s="831" t="s">
        <v>547</v>
      </c>
      <c r="AI19221" s="831">
        <v>0</v>
      </c>
      <c r="AJ19221" s="835">
        <v>41759</v>
      </c>
      <c r="AK19221" s="831">
        <v>777719977</v>
      </c>
    </row>
    <row r="19222" spans="2:37">
      <c r="B19222" s="834" t="str">
        <f t="shared" si="681"/>
        <v>|||</v>
      </c>
      <c r="H19222" s="835">
        <f t="shared" si="682"/>
        <v>31</v>
      </c>
      <c r="AF19222" s="831" t="s">
        <v>11421</v>
      </c>
      <c r="AG19222" s="831" t="s">
        <v>2674</v>
      </c>
      <c r="AH19222" s="831" t="s">
        <v>548</v>
      </c>
      <c r="AI19222" s="831">
        <v>0</v>
      </c>
      <c r="AJ19222" s="835">
        <v>41759</v>
      </c>
      <c r="AK19222" s="831">
        <v>117105496</v>
      </c>
    </row>
    <row r="19223" spans="2:37">
      <c r="B19223" s="834" t="str">
        <f t="shared" si="681"/>
        <v>|||</v>
      </c>
      <c r="H19223" s="835">
        <f t="shared" si="682"/>
        <v>31</v>
      </c>
      <c r="AF19223" s="831" t="s">
        <v>11422</v>
      </c>
      <c r="AG19223" s="831" t="s">
        <v>2674</v>
      </c>
      <c r="AH19223" s="831" t="s">
        <v>549</v>
      </c>
      <c r="AI19223" s="831">
        <v>0</v>
      </c>
      <c r="AJ19223" s="835">
        <v>41759</v>
      </c>
      <c r="AK19223" s="831">
        <v>479771222</v>
      </c>
    </row>
    <row r="19224" spans="2:37">
      <c r="B19224" s="834" t="str">
        <f t="shared" si="681"/>
        <v>|||</v>
      </c>
      <c r="H19224" s="835">
        <f t="shared" si="682"/>
        <v>31</v>
      </c>
      <c r="AF19224" s="831" t="s">
        <v>11423</v>
      </c>
      <c r="AG19224" s="831" t="s">
        <v>2674</v>
      </c>
      <c r="AH19224" s="831" t="s">
        <v>192</v>
      </c>
      <c r="AI19224" s="831">
        <v>0</v>
      </c>
      <c r="AJ19224" s="835">
        <v>41759</v>
      </c>
      <c r="AK19224" s="831">
        <v>-13335656</v>
      </c>
    </row>
    <row r="19225" spans="2:37">
      <c r="B19225" s="834" t="str">
        <f t="shared" si="681"/>
        <v>|||</v>
      </c>
      <c r="H19225" s="835">
        <f t="shared" si="682"/>
        <v>31</v>
      </c>
      <c r="AF19225" s="831" t="s">
        <v>11424</v>
      </c>
      <c r="AG19225" s="831" t="s">
        <v>2674</v>
      </c>
      <c r="AH19225" s="831" t="s">
        <v>558</v>
      </c>
      <c r="AI19225" s="831">
        <v>0</v>
      </c>
      <c r="AJ19225" s="835">
        <v>41759</v>
      </c>
      <c r="AK19225" s="831">
        <v>711113795</v>
      </c>
    </row>
    <row r="19226" spans="2:37">
      <c r="B19226" s="834" t="str">
        <f t="shared" si="681"/>
        <v>|||</v>
      </c>
      <c r="H19226" s="835">
        <f t="shared" si="682"/>
        <v>31</v>
      </c>
      <c r="AF19226" s="831" t="s">
        <v>11425</v>
      </c>
      <c r="AG19226" s="831" t="s">
        <v>2674</v>
      </c>
      <c r="AH19226" s="831" t="s">
        <v>65</v>
      </c>
      <c r="AI19226" s="831">
        <v>0</v>
      </c>
      <c r="AJ19226" s="835">
        <v>41759</v>
      </c>
      <c r="AK19226" s="831">
        <v>52388499</v>
      </c>
    </row>
    <row r="19227" spans="2:37">
      <c r="B19227" s="834" t="str">
        <f t="shared" si="681"/>
        <v>|||</v>
      </c>
      <c r="H19227" s="835">
        <f t="shared" si="682"/>
        <v>31</v>
      </c>
      <c r="AF19227" s="831" t="s">
        <v>11426</v>
      </c>
      <c r="AG19227" s="831" t="s">
        <v>2674</v>
      </c>
      <c r="AH19227" s="831" t="s">
        <v>89</v>
      </c>
      <c r="AI19227" s="831">
        <v>0</v>
      </c>
      <c r="AJ19227" s="835">
        <v>41759</v>
      </c>
      <c r="AK19227" s="831">
        <v>154230</v>
      </c>
    </row>
    <row r="19228" spans="2:37">
      <c r="B19228" s="834" t="str">
        <f t="shared" si="681"/>
        <v>|||</v>
      </c>
      <c r="H19228" s="835">
        <f t="shared" si="682"/>
        <v>31</v>
      </c>
      <c r="AF19228" s="831" t="s">
        <v>11427</v>
      </c>
      <c r="AG19228" s="831" t="s">
        <v>2674</v>
      </c>
      <c r="AH19228" s="831" t="s">
        <v>557</v>
      </c>
      <c r="AI19228" s="831">
        <v>0</v>
      </c>
      <c r="AJ19228" s="835">
        <v>41759</v>
      </c>
      <c r="AK19228" s="831">
        <v>171119</v>
      </c>
    </row>
    <row r="19229" spans="2:37">
      <c r="B19229" s="834" t="str">
        <f t="shared" si="681"/>
        <v>|||</v>
      </c>
      <c r="H19229" s="835">
        <f t="shared" si="682"/>
        <v>31</v>
      </c>
      <c r="AF19229" s="831" t="s">
        <v>11428</v>
      </c>
      <c r="AG19229" s="831" t="s">
        <v>2674</v>
      </c>
      <c r="AH19229" s="831" t="s">
        <v>29</v>
      </c>
      <c r="AI19229" s="831">
        <v>0</v>
      </c>
      <c r="AJ19229" s="835">
        <v>41759</v>
      </c>
      <c r="AK19229" s="831">
        <v>2260198</v>
      </c>
    </row>
    <row r="19230" spans="2:37">
      <c r="B19230" s="834" t="str">
        <f t="shared" si="681"/>
        <v>|||</v>
      </c>
      <c r="H19230" s="835">
        <f t="shared" si="682"/>
        <v>31</v>
      </c>
      <c r="AF19230" s="831" t="s">
        <v>11429</v>
      </c>
      <c r="AG19230" s="831" t="s">
        <v>2674</v>
      </c>
      <c r="AH19230" s="831" t="s">
        <v>2688</v>
      </c>
      <c r="AI19230" s="831">
        <v>0</v>
      </c>
      <c r="AJ19230" s="835">
        <v>41759</v>
      </c>
      <c r="AK19230" s="831">
        <v>4802589</v>
      </c>
    </row>
    <row r="19231" spans="2:37">
      <c r="B19231" s="834" t="str">
        <f t="shared" si="681"/>
        <v>|||</v>
      </c>
      <c r="H19231" s="835">
        <f t="shared" si="682"/>
        <v>31</v>
      </c>
      <c r="AF19231" s="831" t="s">
        <v>11430</v>
      </c>
      <c r="AG19231" s="831" t="s">
        <v>2674</v>
      </c>
      <c r="AH19231" s="831" t="s">
        <v>556</v>
      </c>
      <c r="AI19231" s="831">
        <v>0</v>
      </c>
      <c r="AJ19231" s="835">
        <v>41759</v>
      </c>
      <c r="AK19231" s="831">
        <v>1644732</v>
      </c>
    </row>
    <row r="19232" spans="2:37">
      <c r="B19232" s="834" t="str">
        <f t="shared" si="681"/>
        <v>|||</v>
      </c>
      <c r="H19232" s="835">
        <f t="shared" si="682"/>
        <v>31</v>
      </c>
      <c r="AF19232" s="831" t="s">
        <v>11431</v>
      </c>
      <c r="AG19232" s="831" t="s">
        <v>2674</v>
      </c>
      <c r="AH19232" s="831" t="s">
        <v>555</v>
      </c>
      <c r="AI19232" s="831">
        <v>0</v>
      </c>
      <c r="AJ19232" s="835">
        <v>41759</v>
      </c>
      <c r="AK19232" s="831">
        <v>465033436</v>
      </c>
    </row>
    <row r="19233" spans="2:37">
      <c r="B19233" s="834" t="str">
        <f t="shared" si="681"/>
        <v>|||</v>
      </c>
      <c r="H19233" s="835">
        <f t="shared" si="682"/>
        <v>31</v>
      </c>
      <c r="AF19233" s="831" t="s">
        <v>11432</v>
      </c>
      <c r="AG19233" s="831" t="s">
        <v>2674</v>
      </c>
      <c r="AH19233" s="831" t="s">
        <v>554</v>
      </c>
      <c r="AI19233" s="831">
        <v>0</v>
      </c>
      <c r="AJ19233" s="835">
        <v>41759</v>
      </c>
      <c r="AK19233" s="831">
        <v>471272450</v>
      </c>
    </row>
    <row r="19234" spans="2:37">
      <c r="B19234" s="834" t="str">
        <f t="shared" si="681"/>
        <v>|||</v>
      </c>
      <c r="H19234" s="835">
        <f t="shared" si="682"/>
        <v>31</v>
      </c>
      <c r="AF19234" s="831" t="s">
        <v>11433</v>
      </c>
      <c r="AG19234" s="831" t="s">
        <v>2674</v>
      </c>
      <c r="AH19234" s="831" t="s">
        <v>553</v>
      </c>
      <c r="AI19234" s="831">
        <v>0</v>
      </c>
      <c r="AJ19234" s="835">
        <v>41759</v>
      </c>
      <c r="AK19234" s="831">
        <v>0</v>
      </c>
    </row>
    <row r="19235" spans="2:37">
      <c r="B19235" s="834" t="str">
        <f t="shared" si="681"/>
        <v>|||</v>
      </c>
      <c r="H19235" s="835">
        <f t="shared" si="682"/>
        <v>31</v>
      </c>
      <c r="AF19235" s="831" t="s">
        <v>11434</v>
      </c>
      <c r="AG19235" s="831" t="s">
        <v>2674</v>
      </c>
      <c r="AH19235" s="831" t="s">
        <v>552</v>
      </c>
      <c r="AI19235" s="831">
        <v>0</v>
      </c>
      <c r="AJ19235" s="835">
        <v>41759</v>
      </c>
      <c r="AK19235" s="831">
        <v>0</v>
      </c>
    </row>
    <row r="19236" spans="2:37">
      <c r="B19236" s="834" t="str">
        <f t="shared" si="681"/>
        <v>|||</v>
      </c>
      <c r="H19236" s="835">
        <f t="shared" si="682"/>
        <v>31</v>
      </c>
      <c r="AF19236" s="831" t="s">
        <v>11435</v>
      </c>
      <c r="AG19236" s="831" t="s">
        <v>2674</v>
      </c>
      <c r="AH19236" s="831" t="s">
        <v>551</v>
      </c>
      <c r="AI19236" s="831">
        <v>0</v>
      </c>
      <c r="AJ19236" s="835">
        <v>41759</v>
      </c>
      <c r="AK19236" s="831">
        <v>2028560</v>
      </c>
    </row>
    <row r="19237" spans="2:37">
      <c r="B19237" s="834" t="str">
        <f t="shared" si="681"/>
        <v>|||</v>
      </c>
      <c r="H19237" s="835">
        <f t="shared" si="682"/>
        <v>31</v>
      </c>
      <c r="AF19237" s="831" t="s">
        <v>11436</v>
      </c>
      <c r="AG19237" s="831" t="s">
        <v>2674</v>
      </c>
      <c r="AH19237" s="831" t="s">
        <v>550</v>
      </c>
      <c r="AI19237" s="831">
        <v>0</v>
      </c>
      <c r="AJ19237" s="835">
        <v>41759</v>
      </c>
      <c r="AK19237" s="831">
        <v>124206790</v>
      </c>
    </row>
    <row r="19238" spans="2:37">
      <c r="B19238" s="834" t="str">
        <f t="shared" si="681"/>
        <v>|||</v>
      </c>
      <c r="H19238" s="835">
        <f t="shared" si="682"/>
        <v>31</v>
      </c>
      <c r="AF19238" s="831" t="s">
        <v>11437</v>
      </c>
      <c r="AG19238" s="831" t="s">
        <v>2674</v>
      </c>
      <c r="AH19238" s="831" t="s">
        <v>562</v>
      </c>
      <c r="AI19238" s="831">
        <v>0</v>
      </c>
      <c r="AJ19238" s="835">
        <v>41759</v>
      </c>
      <c r="AK19238" s="831">
        <v>0.78374999999999995</v>
      </c>
    </row>
    <row r="19239" spans="2:37">
      <c r="B19239" s="834" t="str">
        <f t="shared" si="681"/>
        <v>|||</v>
      </c>
      <c r="H19239" s="835">
        <f t="shared" si="682"/>
        <v>31</v>
      </c>
      <c r="AF19239" s="831" t="s">
        <v>11438</v>
      </c>
      <c r="AG19239" s="831" t="s">
        <v>2674</v>
      </c>
      <c r="AH19239" s="831" t="s">
        <v>2698</v>
      </c>
      <c r="AI19239" s="831">
        <v>0</v>
      </c>
      <c r="AJ19239" s="835">
        <v>41759</v>
      </c>
      <c r="AK19239" s="831">
        <v>0.78374999999999995</v>
      </c>
    </row>
    <row r="19240" spans="2:37">
      <c r="B19240" s="834" t="str">
        <f t="shared" si="681"/>
        <v>|||</v>
      </c>
      <c r="H19240" s="835">
        <f t="shared" si="682"/>
        <v>31</v>
      </c>
      <c r="AF19240" s="831" t="s">
        <v>11439</v>
      </c>
      <c r="AG19240" s="831" t="s">
        <v>2674</v>
      </c>
      <c r="AH19240" s="831" t="s">
        <v>560</v>
      </c>
      <c r="AI19240" s="831">
        <v>0</v>
      </c>
      <c r="AJ19240" s="835">
        <v>41759</v>
      </c>
      <c r="AK19240" s="831">
        <v>0.78374999999999995</v>
      </c>
    </row>
    <row r="19241" spans="2:37">
      <c r="B19241" s="834" t="str">
        <f t="shared" si="681"/>
        <v>|||</v>
      </c>
      <c r="H19241" s="835">
        <f t="shared" si="682"/>
        <v>31</v>
      </c>
      <c r="AF19241" s="831" t="s">
        <v>11440</v>
      </c>
      <c r="AG19241" s="831" t="s">
        <v>2674</v>
      </c>
      <c r="AH19241" s="831" t="s">
        <v>559</v>
      </c>
      <c r="AI19241" s="831">
        <v>0</v>
      </c>
      <c r="AJ19241" s="835">
        <v>41759</v>
      </c>
      <c r="AK19241" s="831">
        <v>0.78380833333333344</v>
      </c>
    </row>
    <row r="19242" spans="2:37">
      <c r="B19242" s="834" t="str">
        <f t="shared" si="681"/>
        <v>|||</v>
      </c>
      <c r="H19242" s="835">
        <f t="shared" si="682"/>
        <v>31</v>
      </c>
      <c r="AF19242" s="831" t="s">
        <v>11441</v>
      </c>
      <c r="AG19242" s="831" t="s">
        <v>2674</v>
      </c>
      <c r="AH19242" s="831" t="s">
        <v>568</v>
      </c>
      <c r="AI19242" s="831">
        <v>0</v>
      </c>
      <c r="AJ19242" s="835">
        <v>41759</v>
      </c>
      <c r="AK19242" s="831">
        <v>584407506.61153841</v>
      </c>
    </row>
    <row r="19243" spans="2:37">
      <c r="B19243" s="834" t="str">
        <f t="shared" si="681"/>
        <v>|||</v>
      </c>
      <c r="H19243" s="835">
        <f t="shared" si="682"/>
        <v>31</v>
      </c>
      <c r="AF19243" s="831" t="s">
        <v>11442</v>
      </c>
      <c r="AG19243" s="831" t="s">
        <v>2674</v>
      </c>
      <c r="AH19243" s="831" t="s">
        <v>569</v>
      </c>
      <c r="AI19243" s="831">
        <v>0</v>
      </c>
      <c r="AJ19243" s="835">
        <v>41759</v>
      </c>
      <c r="AK19243" s="831">
        <v>716419184.74253845</v>
      </c>
    </row>
    <row r="19244" spans="2:37">
      <c r="B19244" s="834" t="str">
        <f t="shared" si="681"/>
        <v>|||</v>
      </c>
      <c r="H19244" s="835">
        <f t="shared" si="682"/>
        <v>31</v>
      </c>
      <c r="AF19244" s="831" t="s">
        <v>11443</v>
      </c>
      <c r="AG19244" s="831" t="s">
        <v>2674</v>
      </c>
      <c r="AH19244" s="831" t="s">
        <v>570</v>
      </c>
      <c r="AI19244" s="831">
        <v>0</v>
      </c>
      <c r="AJ19244" s="835">
        <v>41759</v>
      </c>
      <c r="AK19244" s="831">
        <v>115811919.75123075</v>
      </c>
    </row>
    <row r="19245" spans="2:37">
      <c r="B19245" s="834" t="str">
        <f t="shared" si="681"/>
        <v>|||</v>
      </c>
      <c r="H19245" s="835">
        <f t="shared" si="682"/>
        <v>31</v>
      </c>
      <c r="AF19245" s="831" t="s">
        <v>11444</v>
      </c>
      <c r="AG19245" s="831" t="s">
        <v>2674</v>
      </c>
      <c r="AH19245" s="831" t="s">
        <v>571</v>
      </c>
      <c r="AI19245" s="831">
        <v>0</v>
      </c>
      <c r="AJ19245" s="835">
        <v>41759</v>
      </c>
      <c r="AK19245" s="831">
        <v>346424029.66715389</v>
      </c>
    </row>
    <row r="19246" spans="2:37">
      <c r="B19246" s="834" t="str">
        <f t="shared" si="681"/>
        <v>|||</v>
      </c>
      <c r="H19246" s="835">
        <f t="shared" si="682"/>
        <v>31</v>
      </c>
      <c r="AF19246" s="831" t="s">
        <v>11445</v>
      </c>
      <c r="AG19246" s="831" t="s">
        <v>2674</v>
      </c>
      <c r="AH19246" s="831" t="s">
        <v>573</v>
      </c>
      <c r="AI19246" s="831">
        <v>0</v>
      </c>
      <c r="AJ19246" s="835">
        <v>41759</v>
      </c>
      <c r="AK19246" s="831">
        <v>806845862.3125999</v>
      </c>
    </row>
    <row r="19247" spans="2:37">
      <c r="B19247" s="834" t="str">
        <f t="shared" si="681"/>
        <v>|||</v>
      </c>
      <c r="H19247" s="835">
        <f t="shared" si="682"/>
        <v>31</v>
      </c>
      <c r="AF19247" s="831" t="s">
        <v>11446</v>
      </c>
      <c r="AG19247" s="831" t="s">
        <v>2674</v>
      </c>
      <c r="AH19247" s="831" t="s">
        <v>574</v>
      </c>
      <c r="AI19247" s="831">
        <v>0</v>
      </c>
      <c r="AJ19247" s="835">
        <v>41759</v>
      </c>
      <c r="AK19247" s="831">
        <v>655215203.79999995</v>
      </c>
    </row>
    <row r="19248" spans="2:37">
      <c r="B19248" s="834" t="str">
        <f t="shared" si="681"/>
        <v>|||</v>
      </c>
      <c r="H19248" s="835">
        <f t="shared" si="682"/>
        <v>31</v>
      </c>
      <c r="AF19248" s="831" t="s">
        <v>11447</v>
      </c>
      <c r="AG19248" s="831" t="s">
        <v>2674</v>
      </c>
      <c r="AH19248" s="831" t="s">
        <v>575</v>
      </c>
      <c r="AI19248" s="831">
        <v>0</v>
      </c>
      <c r="AJ19248" s="835">
        <v>41759</v>
      </c>
      <c r="AK19248" s="831">
        <v>120634686.182</v>
      </c>
    </row>
    <row r="19249" spans="2:37">
      <c r="B19249" s="834" t="str">
        <f t="shared" si="681"/>
        <v>|||</v>
      </c>
      <c r="H19249" s="835">
        <f t="shared" si="682"/>
        <v>31</v>
      </c>
      <c r="AF19249" s="831" t="s">
        <v>11448</v>
      </c>
      <c r="AG19249" s="831" t="s">
        <v>2674</v>
      </c>
      <c r="AH19249" s="831" t="s">
        <v>576</v>
      </c>
      <c r="AI19249" s="831">
        <v>0</v>
      </c>
      <c r="AJ19249" s="835">
        <v>41759</v>
      </c>
      <c r="AK19249" s="831">
        <v>395052602.12220001</v>
      </c>
    </row>
    <row r="19250" spans="2:37">
      <c r="B19250" s="834" t="str">
        <f t="shared" si="681"/>
        <v>|||</v>
      </c>
      <c r="H19250" s="835">
        <f t="shared" si="682"/>
        <v>31</v>
      </c>
      <c r="AF19250" s="831" t="s">
        <v>11449</v>
      </c>
      <c r="AG19250" s="831" t="s">
        <v>2674</v>
      </c>
      <c r="AH19250" s="831" t="s">
        <v>572</v>
      </c>
      <c r="AI19250" s="831">
        <v>0</v>
      </c>
      <c r="AJ19250" s="835">
        <v>41759</v>
      </c>
      <c r="AK19250" s="831">
        <v>30512730.956000008</v>
      </c>
    </row>
    <row r="19251" spans="2:37">
      <c r="B19251" s="834" t="str">
        <f t="shared" si="681"/>
        <v>|||</v>
      </c>
      <c r="H19251" s="835">
        <f t="shared" si="682"/>
        <v>31</v>
      </c>
      <c r="AF19251" s="831" t="s">
        <v>11450</v>
      </c>
      <c r="AG19251" s="831" t="s">
        <v>2674</v>
      </c>
      <c r="AH19251" s="831" t="s">
        <v>577</v>
      </c>
      <c r="AI19251" s="831">
        <v>0</v>
      </c>
      <c r="AJ19251" s="835">
        <v>41759</v>
      </c>
      <c r="AK19251" s="831">
        <v>146415910.76300001</v>
      </c>
    </row>
    <row r="19252" spans="2:37">
      <c r="B19252" s="834" t="str">
        <f t="shared" si="681"/>
        <v>|||</v>
      </c>
      <c r="H19252" s="835">
        <f t="shared" si="682"/>
        <v>31</v>
      </c>
      <c r="AF19252" s="831" t="s">
        <v>11451</v>
      </c>
      <c r="AG19252" s="831" t="s">
        <v>2674</v>
      </c>
      <c r="AH19252" s="831" t="s">
        <v>3042</v>
      </c>
      <c r="AI19252" s="831">
        <v>0</v>
      </c>
      <c r="AJ19252" s="835">
        <v>41759</v>
      </c>
      <c r="AK19252" s="831">
        <v>-40083828.527000003</v>
      </c>
    </row>
    <row r="19253" spans="2:37">
      <c r="B19253" s="834" t="str">
        <f t="shared" si="681"/>
        <v>|||</v>
      </c>
      <c r="H19253" s="835">
        <f t="shared" si="682"/>
        <v>31</v>
      </c>
      <c r="AF19253" s="831" t="s">
        <v>11452</v>
      </c>
      <c r="AG19253" s="831" t="s">
        <v>2674</v>
      </c>
      <c r="AH19253" s="831" t="s">
        <v>3044</v>
      </c>
      <c r="AI19253" s="831">
        <v>0</v>
      </c>
      <c r="AJ19253" s="835">
        <v>41759</v>
      </c>
      <c r="AK19253" s="831">
        <v>-3325177.8899999997</v>
      </c>
    </row>
    <row r="19254" spans="2:37">
      <c r="B19254" s="834" t="str">
        <f t="shared" si="681"/>
        <v>|||</v>
      </c>
      <c r="H19254" s="835">
        <f t="shared" si="682"/>
        <v>31</v>
      </c>
      <c r="AF19254" s="831" t="s">
        <v>11453</v>
      </c>
      <c r="AG19254" s="831" t="s">
        <v>2674</v>
      </c>
      <c r="AH19254" s="831" t="s">
        <v>580</v>
      </c>
      <c r="AI19254" s="831">
        <v>0</v>
      </c>
      <c r="AJ19254" s="835">
        <v>41759</v>
      </c>
      <c r="AK19254" s="831">
        <v>-68772047.306999996</v>
      </c>
    </row>
    <row r="19255" spans="2:37">
      <c r="B19255" s="834" t="str">
        <f t="shared" si="681"/>
        <v>|||</v>
      </c>
      <c r="H19255" s="835">
        <f t="shared" si="682"/>
        <v>31</v>
      </c>
      <c r="AF19255" s="831" t="s">
        <v>11454</v>
      </c>
      <c r="AG19255" s="831" t="s">
        <v>2674</v>
      </c>
      <c r="AH19255" s="831" t="s">
        <v>581</v>
      </c>
      <c r="AI19255" s="831">
        <v>0</v>
      </c>
      <c r="AJ19255" s="835">
        <v>41759</v>
      </c>
      <c r="AK19255" s="831">
        <v>5605173.8940000003</v>
      </c>
    </row>
    <row r="19256" spans="2:37">
      <c r="B19256" s="834" t="str">
        <f t="shared" si="681"/>
        <v>|||</v>
      </c>
      <c r="H19256" s="835">
        <f t="shared" si="682"/>
        <v>31</v>
      </c>
      <c r="AF19256" s="831" t="s">
        <v>11455</v>
      </c>
      <c r="AG19256" s="831" t="s">
        <v>2674</v>
      </c>
      <c r="AH19256" s="831" t="s">
        <v>105</v>
      </c>
      <c r="AI19256" s="831">
        <v>0</v>
      </c>
      <c r="AJ19256" s="835">
        <v>41759</v>
      </c>
      <c r="AK19256" s="831">
        <v>408959601</v>
      </c>
    </row>
    <row r="19257" spans="2:37">
      <c r="B19257" s="834" t="str">
        <f t="shared" si="681"/>
        <v>|||</v>
      </c>
      <c r="H19257" s="835">
        <f t="shared" si="682"/>
        <v>31</v>
      </c>
      <c r="AF19257" s="831" t="s">
        <v>11456</v>
      </c>
      <c r="AG19257" s="831" t="s">
        <v>2674</v>
      </c>
      <c r="AH19257" s="831" t="s">
        <v>3049</v>
      </c>
      <c r="AI19257" s="831">
        <v>0</v>
      </c>
      <c r="AJ19257" s="835">
        <v>41759</v>
      </c>
      <c r="AK19257" s="831">
        <v>692167557</v>
      </c>
    </row>
    <row r="19258" spans="2:37">
      <c r="B19258" s="834" t="str">
        <f t="shared" si="681"/>
        <v>|||</v>
      </c>
      <c r="H19258" s="835">
        <f t="shared" si="682"/>
        <v>31</v>
      </c>
      <c r="AF19258" s="831" t="s">
        <v>11457</v>
      </c>
      <c r="AG19258" s="831" t="s">
        <v>2674</v>
      </c>
      <c r="AH19258" s="831" t="s">
        <v>103</v>
      </c>
      <c r="AI19258" s="831">
        <v>0</v>
      </c>
      <c r="AJ19258" s="835">
        <v>41759</v>
      </c>
      <c r="AK19258" s="831">
        <v>283207956</v>
      </c>
    </row>
    <row r="19259" spans="2:37">
      <c r="B19259" s="834" t="str">
        <f t="shared" si="681"/>
        <v>|||</v>
      </c>
      <c r="H19259" s="835">
        <f t="shared" si="682"/>
        <v>31</v>
      </c>
      <c r="AF19259" s="831" t="s">
        <v>11458</v>
      </c>
      <c r="AG19259" s="831" t="s">
        <v>2674</v>
      </c>
      <c r="AH19259" s="831" t="s">
        <v>182</v>
      </c>
      <c r="AI19259" s="831">
        <v>0</v>
      </c>
      <c r="AJ19259" s="835">
        <v>41759</v>
      </c>
      <c r="AK19259" s="831">
        <v>69513741</v>
      </c>
    </row>
    <row r="19260" spans="2:37">
      <c r="B19260" s="834" t="str">
        <f t="shared" si="681"/>
        <v>|||</v>
      </c>
      <c r="H19260" s="835">
        <f t="shared" si="682"/>
        <v>31</v>
      </c>
      <c r="AF19260" s="831" t="s">
        <v>11459</v>
      </c>
      <c r="AG19260" s="831" t="s">
        <v>2674</v>
      </c>
      <c r="AH19260" s="831" t="s">
        <v>6600</v>
      </c>
      <c r="AI19260" s="831">
        <v>0</v>
      </c>
      <c r="AJ19260" s="835">
        <v>41759</v>
      </c>
      <c r="AK19260" s="831">
        <v>30512730.956000008</v>
      </c>
    </row>
    <row r="19261" spans="2:37">
      <c r="B19261" s="834" t="str">
        <f t="shared" si="681"/>
        <v>|||</v>
      </c>
      <c r="H19261" s="835">
        <f t="shared" si="682"/>
        <v>31</v>
      </c>
      <c r="AF19261" s="831" t="s">
        <v>11460</v>
      </c>
      <c r="AG19261" s="831" t="s">
        <v>2674</v>
      </c>
      <c r="AH19261" s="831" t="s">
        <v>6602</v>
      </c>
      <c r="AI19261" s="831">
        <v>0</v>
      </c>
      <c r="AJ19261" s="835">
        <v>41759</v>
      </c>
      <c r="AK19261" s="831">
        <v>11900832</v>
      </c>
    </row>
    <row r="19262" spans="2:37">
      <c r="B19262" s="834" t="str">
        <f t="shared" si="681"/>
        <v>|||</v>
      </c>
      <c r="H19262" s="835">
        <f t="shared" si="682"/>
        <v>31</v>
      </c>
      <c r="AF19262" s="831" t="s">
        <v>11461</v>
      </c>
      <c r="AG19262" s="831" t="s">
        <v>2674</v>
      </c>
      <c r="AH19262" s="831" t="s">
        <v>650</v>
      </c>
      <c r="AI19262" s="831">
        <v>0</v>
      </c>
      <c r="AJ19262" s="835">
        <v>41759</v>
      </c>
      <c r="AK19262" s="831">
        <v>234971386.50146157</v>
      </c>
    </row>
    <row r="19263" spans="2:37">
      <c r="B19263" s="834" t="str">
        <f t="shared" si="681"/>
        <v>|||</v>
      </c>
      <c r="H19263" s="835">
        <f t="shared" si="682"/>
        <v>31</v>
      </c>
      <c r="AF19263" s="831" t="s">
        <v>11462</v>
      </c>
      <c r="AG19263" s="831" t="s">
        <v>2674</v>
      </c>
      <c r="AH19263" s="831" t="s">
        <v>655</v>
      </c>
      <c r="AI19263" s="831">
        <v>0</v>
      </c>
      <c r="AJ19263" s="835">
        <v>41759</v>
      </c>
      <c r="AK19263" s="831">
        <v>1842214</v>
      </c>
    </row>
    <row r="19264" spans="2:37">
      <c r="B19264" s="834" t="str">
        <f t="shared" si="681"/>
        <v>|||</v>
      </c>
      <c r="H19264" s="835">
        <f t="shared" si="682"/>
        <v>31</v>
      </c>
      <c r="AF19264" s="831" t="s">
        <v>11463</v>
      </c>
      <c r="AG19264" s="831" t="s">
        <v>2674</v>
      </c>
      <c r="AH19264" s="831" t="s">
        <v>546</v>
      </c>
      <c r="AI19264" s="831">
        <v>0</v>
      </c>
      <c r="AJ19264" s="835">
        <v>41790</v>
      </c>
      <c r="AK19264" s="831">
        <v>718268239</v>
      </c>
    </row>
    <row r="19265" spans="2:37">
      <c r="B19265" s="834" t="str">
        <f t="shared" si="681"/>
        <v>|||</v>
      </c>
      <c r="H19265" s="835">
        <f t="shared" si="682"/>
        <v>31</v>
      </c>
      <c r="AF19265" s="831" t="s">
        <v>11464</v>
      </c>
      <c r="AG19265" s="831" t="s">
        <v>2674</v>
      </c>
      <c r="AH19265" s="831" t="s">
        <v>370</v>
      </c>
      <c r="AI19265" s="831">
        <v>0</v>
      </c>
      <c r="AJ19265" s="835">
        <v>41790</v>
      </c>
      <c r="AK19265" s="831">
        <v>862492850</v>
      </c>
    </row>
    <row r="19266" spans="2:37">
      <c r="B19266" s="834" t="str">
        <f t="shared" si="681"/>
        <v>|||</v>
      </c>
      <c r="H19266" s="835">
        <f t="shared" si="682"/>
        <v>31</v>
      </c>
      <c r="AF19266" s="831" t="s">
        <v>11465</v>
      </c>
      <c r="AG19266" s="831" t="s">
        <v>2674</v>
      </c>
      <c r="AH19266" s="831" t="s">
        <v>126</v>
      </c>
      <c r="AI19266" s="831">
        <v>0</v>
      </c>
      <c r="AJ19266" s="835">
        <v>41790</v>
      </c>
      <c r="AK19266" s="831">
        <v>131163748</v>
      </c>
    </row>
    <row r="19267" spans="2:37">
      <c r="B19267" s="834" t="str">
        <f t="shared" si="681"/>
        <v>|||</v>
      </c>
      <c r="H19267" s="835">
        <f t="shared" si="682"/>
        <v>31</v>
      </c>
      <c r="AF19267" s="831" t="s">
        <v>11466</v>
      </c>
      <c r="AG19267" s="831" t="s">
        <v>2674</v>
      </c>
      <c r="AH19267" s="831" t="s">
        <v>268</v>
      </c>
      <c r="AI19267" s="831">
        <v>0</v>
      </c>
      <c r="AJ19267" s="835">
        <v>41790</v>
      </c>
      <c r="AK19267" s="831">
        <v>15708716</v>
      </c>
    </row>
    <row r="19268" spans="2:37">
      <c r="B19268" s="834" t="str">
        <f t="shared" si="681"/>
        <v>|||</v>
      </c>
      <c r="H19268" s="835">
        <f t="shared" si="682"/>
        <v>31</v>
      </c>
      <c r="AF19268" s="831" t="s">
        <v>11467</v>
      </c>
      <c r="AG19268" s="831" t="s">
        <v>2674</v>
      </c>
      <c r="AH19268" s="831" t="s">
        <v>547</v>
      </c>
      <c r="AI19268" s="831">
        <v>0</v>
      </c>
      <c r="AJ19268" s="835">
        <v>41790</v>
      </c>
      <c r="AK19268" s="831">
        <v>777719977</v>
      </c>
    </row>
    <row r="19269" spans="2:37">
      <c r="B19269" s="834" t="str">
        <f t="shared" si="681"/>
        <v>|||</v>
      </c>
      <c r="H19269" s="835">
        <f t="shared" si="682"/>
        <v>31</v>
      </c>
      <c r="AF19269" s="831" t="s">
        <v>11468</v>
      </c>
      <c r="AG19269" s="831" t="s">
        <v>2674</v>
      </c>
      <c r="AH19269" s="831" t="s">
        <v>548</v>
      </c>
      <c r="AI19269" s="831">
        <v>0</v>
      </c>
      <c r="AJ19269" s="835">
        <v>41790</v>
      </c>
      <c r="AK19269" s="831">
        <v>117105496</v>
      </c>
    </row>
    <row r="19270" spans="2:37">
      <c r="B19270" s="834" t="str">
        <f t="shared" si="681"/>
        <v>|||</v>
      </c>
      <c r="H19270" s="835">
        <f t="shared" si="682"/>
        <v>31</v>
      </c>
      <c r="AF19270" s="831" t="s">
        <v>11469</v>
      </c>
      <c r="AG19270" s="831" t="s">
        <v>2674</v>
      </c>
      <c r="AH19270" s="831" t="s">
        <v>549</v>
      </c>
      <c r="AI19270" s="831">
        <v>0</v>
      </c>
      <c r="AJ19270" s="835">
        <v>41790</v>
      </c>
      <c r="AK19270" s="831">
        <v>505264542</v>
      </c>
    </row>
    <row r="19271" spans="2:37">
      <c r="B19271" s="834" t="str">
        <f t="shared" si="681"/>
        <v>|||</v>
      </c>
      <c r="H19271" s="835">
        <f t="shared" si="682"/>
        <v>31</v>
      </c>
      <c r="AF19271" s="831" t="s">
        <v>11470</v>
      </c>
      <c r="AG19271" s="831" t="s">
        <v>2674</v>
      </c>
      <c r="AH19271" s="831" t="s">
        <v>192</v>
      </c>
      <c r="AI19271" s="831">
        <v>0</v>
      </c>
      <c r="AJ19271" s="835">
        <v>41790</v>
      </c>
      <c r="AK19271" s="831">
        <v>-13258185</v>
      </c>
    </row>
    <row r="19272" spans="2:37">
      <c r="B19272" s="834" t="str">
        <f t="shared" si="681"/>
        <v>|||</v>
      </c>
      <c r="H19272" s="835">
        <f t="shared" si="682"/>
        <v>31</v>
      </c>
      <c r="AF19272" s="831" t="s">
        <v>11471</v>
      </c>
      <c r="AG19272" s="831" t="s">
        <v>2674</v>
      </c>
      <c r="AH19272" s="831" t="s">
        <v>558</v>
      </c>
      <c r="AI19272" s="831">
        <v>0</v>
      </c>
      <c r="AJ19272" s="835">
        <v>41790</v>
      </c>
      <c r="AK19272" s="831">
        <v>731329102</v>
      </c>
    </row>
    <row r="19273" spans="2:37">
      <c r="B19273" s="834" t="str">
        <f t="shared" si="681"/>
        <v>|||</v>
      </c>
      <c r="H19273" s="835">
        <f t="shared" si="682"/>
        <v>31</v>
      </c>
      <c r="AF19273" s="831" t="s">
        <v>11472</v>
      </c>
      <c r="AG19273" s="831" t="s">
        <v>2674</v>
      </c>
      <c r="AH19273" s="831" t="s">
        <v>65</v>
      </c>
      <c r="AI19273" s="831">
        <v>0</v>
      </c>
      <c r="AJ19273" s="835">
        <v>41790</v>
      </c>
      <c r="AK19273" s="831">
        <v>66573989</v>
      </c>
    </row>
    <row r="19274" spans="2:37">
      <c r="B19274" s="834" t="str">
        <f t="shared" si="681"/>
        <v>|||</v>
      </c>
      <c r="H19274" s="835">
        <f t="shared" si="682"/>
        <v>31</v>
      </c>
      <c r="AF19274" s="831" t="s">
        <v>11473</v>
      </c>
      <c r="AG19274" s="831" t="s">
        <v>2674</v>
      </c>
      <c r="AH19274" s="831" t="s">
        <v>89</v>
      </c>
      <c r="AI19274" s="831">
        <v>0</v>
      </c>
      <c r="AJ19274" s="835">
        <v>41790</v>
      </c>
      <c r="AK19274" s="831">
        <v>156336</v>
      </c>
    </row>
    <row r="19275" spans="2:37">
      <c r="B19275" s="834" t="str">
        <f t="shared" si="681"/>
        <v>|||</v>
      </c>
      <c r="H19275" s="835">
        <f t="shared" si="682"/>
        <v>31</v>
      </c>
      <c r="AF19275" s="831" t="s">
        <v>11474</v>
      </c>
      <c r="AG19275" s="831" t="s">
        <v>2674</v>
      </c>
      <c r="AH19275" s="831" t="s">
        <v>557</v>
      </c>
      <c r="AI19275" s="831">
        <v>0</v>
      </c>
      <c r="AJ19275" s="835">
        <v>41790</v>
      </c>
      <c r="AK19275" s="831">
        <v>174602</v>
      </c>
    </row>
    <row r="19276" spans="2:37">
      <c r="B19276" s="834" t="str">
        <f t="shared" si="681"/>
        <v>|||</v>
      </c>
      <c r="H19276" s="835">
        <f t="shared" si="682"/>
        <v>31</v>
      </c>
      <c r="AF19276" s="831" t="s">
        <v>11475</v>
      </c>
      <c r="AG19276" s="831" t="s">
        <v>2674</v>
      </c>
      <c r="AH19276" s="831" t="s">
        <v>29</v>
      </c>
      <c r="AI19276" s="831">
        <v>0</v>
      </c>
      <c r="AJ19276" s="835">
        <v>41790</v>
      </c>
      <c r="AK19276" s="831">
        <v>2450103.0319999997</v>
      </c>
    </row>
    <row r="19277" spans="2:37">
      <c r="B19277" s="834" t="str">
        <f t="shared" si="681"/>
        <v>|||</v>
      </c>
      <c r="H19277" s="835">
        <f t="shared" si="682"/>
        <v>31</v>
      </c>
      <c r="AF19277" s="831" t="s">
        <v>11476</v>
      </c>
      <c r="AG19277" s="831" t="s">
        <v>2674</v>
      </c>
      <c r="AH19277" s="831" t="s">
        <v>2688</v>
      </c>
      <c r="AI19277" s="831">
        <v>0</v>
      </c>
      <c r="AJ19277" s="835">
        <v>41790</v>
      </c>
      <c r="AK19277" s="831">
        <v>4770534.2300000004</v>
      </c>
    </row>
    <row r="19278" spans="2:37">
      <c r="B19278" s="834" t="str">
        <f t="shared" si="681"/>
        <v>|||</v>
      </c>
      <c r="H19278" s="835">
        <f t="shared" si="682"/>
        <v>31</v>
      </c>
      <c r="AF19278" s="831" t="s">
        <v>11477</v>
      </c>
      <c r="AG19278" s="831" t="s">
        <v>2674</v>
      </c>
      <c r="AH19278" s="831" t="s">
        <v>556</v>
      </c>
      <c r="AI19278" s="831">
        <v>0</v>
      </c>
      <c r="AJ19278" s="835">
        <v>41790</v>
      </c>
      <c r="AK19278" s="831">
        <v>1644732</v>
      </c>
    </row>
    <row r="19279" spans="2:37">
      <c r="B19279" s="834" t="str">
        <f t="shared" si="681"/>
        <v>|||</v>
      </c>
      <c r="H19279" s="835">
        <f t="shared" si="682"/>
        <v>31</v>
      </c>
      <c r="AF19279" s="831" t="s">
        <v>11478</v>
      </c>
      <c r="AG19279" s="831" t="s">
        <v>2674</v>
      </c>
      <c r="AH19279" s="831" t="s">
        <v>555</v>
      </c>
      <c r="AI19279" s="831">
        <v>0</v>
      </c>
      <c r="AJ19279" s="835">
        <v>41790</v>
      </c>
      <c r="AK19279" s="831">
        <v>468159807</v>
      </c>
    </row>
    <row r="19280" spans="2:37">
      <c r="B19280" s="834" t="str">
        <f t="shared" si="681"/>
        <v>|||</v>
      </c>
      <c r="H19280" s="835">
        <f t="shared" si="682"/>
        <v>31</v>
      </c>
      <c r="AF19280" s="831" t="s">
        <v>11479</v>
      </c>
      <c r="AG19280" s="831" t="s">
        <v>2674</v>
      </c>
      <c r="AH19280" s="831" t="s">
        <v>554</v>
      </c>
      <c r="AI19280" s="831">
        <v>0</v>
      </c>
      <c r="AJ19280" s="835">
        <v>41790</v>
      </c>
      <c r="AK19280" s="831">
        <v>476165900</v>
      </c>
    </row>
    <row r="19281" spans="2:37">
      <c r="B19281" s="834" t="str">
        <f t="shared" ref="B19281:B19344" si="683">C19281&amp;"|"&amp;D19281&amp;"|"&amp;E19281&amp;"|"&amp;F19281</f>
        <v>|||</v>
      </c>
      <c r="H19281" s="835">
        <f t="shared" ref="H19281:H19344" si="684">EOMONTH(L19281,0)</f>
        <v>31</v>
      </c>
      <c r="AF19281" s="831" t="s">
        <v>11480</v>
      </c>
      <c r="AG19281" s="831" t="s">
        <v>2674</v>
      </c>
      <c r="AH19281" s="831" t="s">
        <v>553</v>
      </c>
      <c r="AI19281" s="831">
        <v>0</v>
      </c>
      <c r="AJ19281" s="835">
        <v>41790</v>
      </c>
      <c r="AK19281" s="831">
        <v>0</v>
      </c>
    </row>
    <row r="19282" spans="2:37">
      <c r="B19282" s="834" t="str">
        <f t="shared" si="683"/>
        <v>|||</v>
      </c>
      <c r="H19282" s="835">
        <f t="shared" si="684"/>
        <v>31</v>
      </c>
      <c r="AF19282" s="831" t="s">
        <v>11481</v>
      </c>
      <c r="AG19282" s="831" t="s">
        <v>2674</v>
      </c>
      <c r="AH19282" s="831" t="s">
        <v>552</v>
      </c>
      <c r="AI19282" s="831">
        <v>0</v>
      </c>
      <c r="AJ19282" s="835">
        <v>41790</v>
      </c>
      <c r="AK19282" s="831">
        <v>0</v>
      </c>
    </row>
    <row r="19283" spans="2:37">
      <c r="B19283" s="834" t="str">
        <f t="shared" si="683"/>
        <v>|||</v>
      </c>
      <c r="H19283" s="835">
        <f t="shared" si="684"/>
        <v>31</v>
      </c>
      <c r="AF19283" s="831" t="s">
        <v>11482</v>
      </c>
      <c r="AG19283" s="831" t="s">
        <v>2674</v>
      </c>
      <c r="AH19283" s="831" t="s">
        <v>551</v>
      </c>
      <c r="AI19283" s="831">
        <v>0</v>
      </c>
      <c r="AJ19283" s="835">
        <v>41790</v>
      </c>
      <c r="AK19283" s="831">
        <v>2150143.8450000002</v>
      </c>
    </row>
    <row r="19284" spans="2:37">
      <c r="B19284" s="834" t="str">
        <f t="shared" si="683"/>
        <v>|||</v>
      </c>
      <c r="H19284" s="835">
        <f t="shared" si="684"/>
        <v>31</v>
      </c>
      <c r="AF19284" s="831" t="s">
        <v>11483</v>
      </c>
      <c r="AG19284" s="831" t="s">
        <v>2674</v>
      </c>
      <c r="AH19284" s="831" t="s">
        <v>550</v>
      </c>
      <c r="AI19284" s="831">
        <v>0</v>
      </c>
      <c r="AJ19284" s="835">
        <v>41790</v>
      </c>
      <c r="AK19284" s="831">
        <v>127155751</v>
      </c>
    </row>
    <row r="19285" spans="2:37">
      <c r="B19285" s="834" t="str">
        <f t="shared" si="683"/>
        <v>|||</v>
      </c>
      <c r="H19285" s="835">
        <f t="shared" si="684"/>
        <v>31</v>
      </c>
      <c r="AF19285" s="831" t="s">
        <v>11484</v>
      </c>
      <c r="AG19285" s="831" t="s">
        <v>2674</v>
      </c>
      <c r="AH19285" s="831" t="s">
        <v>562</v>
      </c>
      <c r="AI19285" s="831">
        <v>0</v>
      </c>
      <c r="AJ19285" s="835">
        <v>41790</v>
      </c>
      <c r="AK19285" s="831">
        <v>0.78385000000000005</v>
      </c>
    </row>
    <row r="19286" spans="2:37">
      <c r="B19286" s="834" t="str">
        <f t="shared" si="683"/>
        <v>|||</v>
      </c>
      <c r="H19286" s="835">
        <f t="shared" si="684"/>
        <v>31</v>
      </c>
      <c r="AF19286" s="831" t="s">
        <v>11485</v>
      </c>
      <c r="AG19286" s="831" t="s">
        <v>2674</v>
      </c>
      <c r="AH19286" s="831" t="s">
        <v>2698</v>
      </c>
      <c r="AI19286" s="831">
        <v>0</v>
      </c>
      <c r="AJ19286" s="835">
        <v>41790</v>
      </c>
      <c r="AK19286" s="831">
        <v>0.78374999999999995</v>
      </c>
    </row>
    <row r="19287" spans="2:37">
      <c r="B19287" s="834" t="str">
        <f t="shared" si="683"/>
        <v>|||</v>
      </c>
      <c r="H19287" s="835">
        <f t="shared" si="684"/>
        <v>31</v>
      </c>
      <c r="AF19287" s="831" t="s">
        <v>11486</v>
      </c>
      <c r="AG19287" s="831" t="s">
        <v>2674</v>
      </c>
      <c r="AH19287" s="831" t="s">
        <v>560</v>
      </c>
      <c r="AI19287" s="831">
        <v>0</v>
      </c>
      <c r="AJ19287" s="835">
        <v>41790</v>
      </c>
      <c r="AK19287" s="831">
        <v>0.78376999999999997</v>
      </c>
    </row>
    <row r="19288" spans="2:37">
      <c r="B19288" s="834" t="str">
        <f t="shared" si="683"/>
        <v>|||</v>
      </c>
      <c r="H19288" s="835">
        <f t="shared" si="684"/>
        <v>31</v>
      </c>
      <c r="AF19288" s="831" t="s">
        <v>11487</v>
      </c>
      <c r="AG19288" s="831" t="s">
        <v>2674</v>
      </c>
      <c r="AH19288" s="831" t="s">
        <v>559</v>
      </c>
      <c r="AI19288" s="831">
        <v>0</v>
      </c>
      <c r="AJ19288" s="835">
        <v>41790</v>
      </c>
      <c r="AK19288" s="831">
        <v>0.78379166666666666</v>
      </c>
    </row>
    <row r="19289" spans="2:37">
      <c r="B19289" s="834" t="str">
        <f t="shared" si="683"/>
        <v>|||</v>
      </c>
      <c r="H19289" s="835">
        <f t="shared" si="684"/>
        <v>31</v>
      </c>
      <c r="AF19289" s="831" t="s">
        <v>11488</v>
      </c>
      <c r="AG19289" s="831" t="s">
        <v>2674</v>
      </c>
      <c r="AH19289" s="831" t="s">
        <v>568</v>
      </c>
      <c r="AI19289" s="831">
        <v>0</v>
      </c>
      <c r="AJ19289" s="835">
        <v>41790</v>
      </c>
      <c r="AK19289" s="831">
        <v>602753430.99615383</v>
      </c>
    </row>
    <row r="19290" spans="2:37">
      <c r="B19290" s="834" t="str">
        <f t="shared" si="683"/>
        <v>|||</v>
      </c>
      <c r="H19290" s="835">
        <f t="shared" si="684"/>
        <v>31</v>
      </c>
      <c r="AF19290" s="831" t="s">
        <v>11489</v>
      </c>
      <c r="AG19290" s="831" t="s">
        <v>2674</v>
      </c>
      <c r="AH19290" s="831" t="s">
        <v>569</v>
      </c>
      <c r="AI19290" s="831">
        <v>0</v>
      </c>
      <c r="AJ19290" s="835">
        <v>41790</v>
      </c>
      <c r="AK19290" s="831">
        <v>739200989.8963846</v>
      </c>
    </row>
    <row r="19291" spans="2:37">
      <c r="B19291" s="834" t="str">
        <f t="shared" si="683"/>
        <v>|||</v>
      </c>
      <c r="H19291" s="835">
        <f t="shared" si="684"/>
        <v>31</v>
      </c>
      <c r="AF19291" s="831" t="s">
        <v>11490</v>
      </c>
      <c r="AG19291" s="831" t="s">
        <v>2674</v>
      </c>
      <c r="AH19291" s="831" t="s">
        <v>570</v>
      </c>
      <c r="AI19291" s="831">
        <v>0</v>
      </c>
      <c r="AJ19291" s="835">
        <v>41790</v>
      </c>
      <c r="AK19291" s="831">
        <v>117953141.44353844</v>
      </c>
    </row>
    <row r="19292" spans="2:37">
      <c r="B19292" s="834" t="str">
        <f t="shared" si="683"/>
        <v>|||</v>
      </c>
      <c r="H19292" s="835">
        <f t="shared" si="684"/>
        <v>31</v>
      </c>
      <c r="AF19292" s="831" t="s">
        <v>11491</v>
      </c>
      <c r="AG19292" s="831" t="s">
        <v>2674</v>
      </c>
      <c r="AH19292" s="831" t="s">
        <v>571</v>
      </c>
      <c r="AI19292" s="831">
        <v>0</v>
      </c>
      <c r="AJ19292" s="835">
        <v>41790</v>
      </c>
      <c r="AK19292" s="831">
        <v>358988619.82100004</v>
      </c>
    </row>
    <row r="19293" spans="2:37">
      <c r="B19293" s="834" t="str">
        <f t="shared" si="683"/>
        <v>|||</v>
      </c>
      <c r="H19293" s="835">
        <f t="shared" si="684"/>
        <v>31</v>
      </c>
      <c r="AF19293" s="831" t="s">
        <v>11492</v>
      </c>
      <c r="AG19293" s="831" t="s">
        <v>2674</v>
      </c>
      <c r="AH19293" s="831" t="s">
        <v>573</v>
      </c>
      <c r="AI19293" s="831">
        <v>0</v>
      </c>
      <c r="AJ19293" s="835">
        <v>41790</v>
      </c>
      <c r="AK19293" s="831">
        <v>816120360.26049995</v>
      </c>
    </row>
    <row r="19294" spans="2:37">
      <c r="B19294" s="834" t="str">
        <f t="shared" si="683"/>
        <v>|||</v>
      </c>
      <c r="H19294" s="835">
        <f t="shared" si="684"/>
        <v>31</v>
      </c>
      <c r="AF19294" s="831" t="s">
        <v>11493</v>
      </c>
      <c r="AG19294" s="831" t="s">
        <v>2674</v>
      </c>
      <c r="AH19294" s="831" t="s">
        <v>574</v>
      </c>
      <c r="AI19294" s="831">
        <v>0</v>
      </c>
      <c r="AJ19294" s="835">
        <v>41790</v>
      </c>
      <c r="AK19294" s="831">
        <v>665724043</v>
      </c>
    </row>
    <row r="19295" spans="2:37">
      <c r="B19295" s="834" t="str">
        <f t="shared" si="683"/>
        <v>|||</v>
      </c>
      <c r="H19295" s="835">
        <f t="shared" si="684"/>
        <v>31</v>
      </c>
      <c r="AF19295" s="831" t="s">
        <v>11494</v>
      </c>
      <c r="AG19295" s="831" t="s">
        <v>2674</v>
      </c>
      <c r="AH19295" s="831" t="s">
        <v>575</v>
      </c>
      <c r="AI19295" s="831">
        <v>0</v>
      </c>
      <c r="AJ19295" s="835">
        <v>41790</v>
      </c>
      <c r="AK19295" s="831">
        <v>122389529.81833333</v>
      </c>
    </row>
    <row r="19296" spans="2:37">
      <c r="B19296" s="834" t="str">
        <f t="shared" si="683"/>
        <v>|||</v>
      </c>
      <c r="H19296" s="835">
        <f t="shared" si="684"/>
        <v>31</v>
      </c>
      <c r="AF19296" s="831" t="s">
        <v>11495</v>
      </c>
      <c r="AG19296" s="831" t="s">
        <v>2674</v>
      </c>
      <c r="AH19296" s="831" t="s">
        <v>576</v>
      </c>
      <c r="AI19296" s="831">
        <v>0</v>
      </c>
      <c r="AJ19296" s="835">
        <v>41790</v>
      </c>
      <c r="AK19296" s="831">
        <v>399225453.60183334</v>
      </c>
    </row>
    <row r="19297" spans="2:37">
      <c r="B19297" s="834" t="str">
        <f t="shared" si="683"/>
        <v>|||</v>
      </c>
      <c r="H19297" s="835">
        <f t="shared" si="684"/>
        <v>31</v>
      </c>
      <c r="AF19297" s="831" t="s">
        <v>11496</v>
      </c>
      <c r="AG19297" s="831" t="s">
        <v>2674</v>
      </c>
      <c r="AH19297" s="831" t="s">
        <v>572</v>
      </c>
      <c r="AI19297" s="831">
        <v>0</v>
      </c>
      <c r="AJ19297" s="835">
        <v>41790</v>
      </c>
      <c r="AK19297" s="831">
        <v>31997124.956000008</v>
      </c>
    </row>
    <row r="19298" spans="2:37">
      <c r="B19298" s="834" t="str">
        <f t="shared" si="683"/>
        <v>|||</v>
      </c>
      <c r="H19298" s="835">
        <f t="shared" si="684"/>
        <v>31</v>
      </c>
      <c r="AF19298" s="831" t="s">
        <v>11497</v>
      </c>
      <c r="AG19298" s="831" t="s">
        <v>2674</v>
      </c>
      <c r="AH19298" s="831" t="s">
        <v>577</v>
      </c>
      <c r="AI19298" s="831">
        <v>0</v>
      </c>
      <c r="AJ19298" s="835">
        <v>41790</v>
      </c>
      <c r="AK19298" s="831">
        <v>149793646.76300001</v>
      </c>
    </row>
    <row r="19299" spans="2:37">
      <c r="B19299" s="834" t="str">
        <f t="shared" si="683"/>
        <v>|||</v>
      </c>
      <c r="H19299" s="835">
        <f t="shared" si="684"/>
        <v>31</v>
      </c>
      <c r="AF19299" s="831" t="s">
        <v>11498</v>
      </c>
      <c r="AG19299" s="831" t="s">
        <v>2674</v>
      </c>
      <c r="AH19299" s="831" t="s">
        <v>3042</v>
      </c>
      <c r="AI19299" s="831">
        <v>0</v>
      </c>
      <c r="AJ19299" s="835">
        <v>41790</v>
      </c>
      <c r="AK19299" s="831">
        <v>-41488938.527000003</v>
      </c>
    </row>
    <row r="19300" spans="2:37">
      <c r="B19300" s="834" t="str">
        <f t="shared" si="683"/>
        <v>|||</v>
      </c>
      <c r="H19300" s="835">
        <f t="shared" si="684"/>
        <v>31</v>
      </c>
      <c r="AF19300" s="831" t="s">
        <v>11499</v>
      </c>
      <c r="AG19300" s="831" t="s">
        <v>2674</v>
      </c>
      <c r="AH19300" s="831" t="s">
        <v>3044</v>
      </c>
      <c r="AI19300" s="831">
        <v>0</v>
      </c>
      <c r="AJ19300" s="835">
        <v>41790</v>
      </c>
      <c r="AK19300" s="831">
        <v>-2734199.8899999997</v>
      </c>
    </row>
    <row r="19301" spans="2:37">
      <c r="B19301" s="834" t="str">
        <f t="shared" si="683"/>
        <v>|||</v>
      </c>
      <c r="H19301" s="835">
        <f t="shared" si="684"/>
        <v>31</v>
      </c>
      <c r="AF19301" s="831" t="s">
        <v>11500</v>
      </c>
      <c r="AG19301" s="831" t="s">
        <v>2674</v>
      </c>
      <c r="AH19301" s="831" t="s">
        <v>580</v>
      </c>
      <c r="AI19301" s="831">
        <v>0</v>
      </c>
      <c r="AJ19301" s="835">
        <v>41790</v>
      </c>
      <c r="AK19301" s="831">
        <v>-69707657.306999996</v>
      </c>
    </row>
    <row r="19302" spans="2:37">
      <c r="B19302" s="834" t="str">
        <f t="shared" si="683"/>
        <v>|||</v>
      </c>
      <c r="H19302" s="835">
        <f t="shared" si="684"/>
        <v>31</v>
      </c>
      <c r="AF19302" s="831" t="s">
        <v>11501</v>
      </c>
      <c r="AG19302" s="831" t="s">
        <v>2674</v>
      </c>
      <c r="AH19302" s="831" t="s">
        <v>581</v>
      </c>
      <c r="AI19302" s="831">
        <v>0</v>
      </c>
      <c r="AJ19302" s="835">
        <v>41790</v>
      </c>
      <c r="AK19302" s="831">
        <v>5958727.8940000003</v>
      </c>
    </row>
    <row r="19303" spans="2:37">
      <c r="B19303" s="834" t="str">
        <f t="shared" si="683"/>
        <v>|||</v>
      </c>
      <c r="H19303" s="835">
        <f t="shared" si="684"/>
        <v>31</v>
      </c>
      <c r="AF19303" s="831" t="s">
        <v>11502</v>
      </c>
      <c r="AG19303" s="831" t="s">
        <v>2674</v>
      </c>
      <c r="AH19303" s="831" t="s">
        <v>105</v>
      </c>
      <c r="AI19303" s="831">
        <v>0</v>
      </c>
      <c r="AJ19303" s="835">
        <v>41790</v>
      </c>
      <c r="AK19303" s="831">
        <v>420089711</v>
      </c>
    </row>
    <row r="19304" spans="2:37">
      <c r="B19304" s="834" t="str">
        <f t="shared" si="683"/>
        <v>|||</v>
      </c>
      <c r="H19304" s="835">
        <f t="shared" si="684"/>
        <v>31</v>
      </c>
      <c r="AF19304" s="831" t="s">
        <v>11503</v>
      </c>
      <c r="AG19304" s="831" t="s">
        <v>2674</v>
      </c>
      <c r="AH19304" s="831" t="s">
        <v>3049</v>
      </c>
      <c r="AI19304" s="831">
        <v>0</v>
      </c>
      <c r="AJ19304" s="835">
        <v>41790</v>
      </c>
      <c r="AK19304" s="831">
        <v>709561626</v>
      </c>
    </row>
    <row r="19305" spans="2:37">
      <c r="B19305" s="834" t="str">
        <f t="shared" si="683"/>
        <v>|||</v>
      </c>
      <c r="H19305" s="835">
        <f t="shared" si="684"/>
        <v>31</v>
      </c>
      <c r="AF19305" s="831" t="s">
        <v>11504</v>
      </c>
      <c r="AG19305" s="831" t="s">
        <v>2674</v>
      </c>
      <c r="AH19305" s="831" t="s">
        <v>103</v>
      </c>
      <c r="AI19305" s="831">
        <v>0</v>
      </c>
      <c r="AJ19305" s="835">
        <v>41790</v>
      </c>
      <c r="AK19305" s="831">
        <v>289471915</v>
      </c>
    </row>
    <row r="19306" spans="2:37">
      <c r="B19306" s="834" t="str">
        <f t="shared" si="683"/>
        <v>|||</v>
      </c>
      <c r="H19306" s="835">
        <f t="shared" si="684"/>
        <v>31</v>
      </c>
      <c r="AF19306" s="831" t="s">
        <v>11505</v>
      </c>
      <c r="AG19306" s="831" t="s">
        <v>2674</v>
      </c>
      <c r="AH19306" s="831" t="s">
        <v>182</v>
      </c>
      <c r="AI19306" s="831">
        <v>0</v>
      </c>
      <c r="AJ19306" s="835">
        <v>41790</v>
      </c>
      <c r="AK19306" s="831">
        <v>69984388.799999997</v>
      </c>
    </row>
    <row r="19307" spans="2:37">
      <c r="B19307" s="834" t="str">
        <f t="shared" si="683"/>
        <v>|||</v>
      </c>
      <c r="H19307" s="835">
        <f t="shared" si="684"/>
        <v>31</v>
      </c>
      <c r="AF19307" s="831" t="s">
        <v>11506</v>
      </c>
      <c r="AG19307" s="831" t="s">
        <v>2674</v>
      </c>
      <c r="AH19307" s="831" t="s">
        <v>6600</v>
      </c>
      <c r="AI19307" s="831">
        <v>0</v>
      </c>
      <c r="AJ19307" s="835">
        <v>41790</v>
      </c>
      <c r="AK19307" s="831">
        <v>31997124.956000008</v>
      </c>
    </row>
    <row r="19308" spans="2:37">
      <c r="B19308" s="834" t="str">
        <f t="shared" si="683"/>
        <v>|||</v>
      </c>
      <c r="H19308" s="835">
        <f t="shared" si="684"/>
        <v>31</v>
      </c>
      <c r="AF19308" s="831" t="s">
        <v>11507</v>
      </c>
      <c r="AG19308" s="831" t="s">
        <v>2674</v>
      </c>
      <c r="AH19308" s="831" t="s">
        <v>6602</v>
      </c>
      <c r="AI19308" s="831">
        <v>0</v>
      </c>
      <c r="AJ19308" s="835">
        <v>41790</v>
      </c>
      <c r="AK19308" s="831">
        <v>15708716</v>
      </c>
    </row>
    <row r="19309" spans="2:37">
      <c r="B19309" s="834" t="str">
        <f t="shared" si="683"/>
        <v>|||</v>
      </c>
      <c r="H19309" s="835">
        <f t="shared" si="684"/>
        <v>31</v>
      </c>
      <c r="AF19309" s="831" t="s">
        <v>11508</v>
      </c>
      <c r="AG19309" s="831" t="s">
        <v>2674</v>
      </c>
      <c r="AH19309" s="831" t="s">
        <v>650</v>
      </c>
      <c r="AI19309" s="831">
        <v>0</v>
      </c>
      <c r="AJ19309" s="835">
        <v>41790</v>
      </c>
      <c r="AK19309" s="831">
        <v>242496217.73223078</v>
      </c>
    </row>
    <row r="19310" spans="2:37">
      <c r="B19310" s="834" t="str">
        <f t="shared" si="683"/>
        <v>|||</v>
      </c>
      <c r="H19310" s="835">
        <f t="shared" si="684"/>
        <v>31</v>
      </c>
      <c r="AF19310" s="831" t="s">
        <v>11509</v>
      </c>
      <c r="AG19310" s="831" t="s">
        <v>2674</v>
      </c>
      <c r="AH19310" s="831" t="s">
        <v>655</v>
      </c>
      <c r="AI19310" s="831">
        <v>0</v>
      </c>
      <c r="AJ19310" s="835">
        <v>41790</v>
      </c>
      <c r="AK19310" s="831">
        <v>1936751.44</v>
      </c>
    </row>
    <row r="19311" spans="2:37">
      <c r="B19311" s="834" t="str">
        <f t="shared" si="683"/>
        <v>|||</v>
      </c>
      <c r="H19311" s="835">
        <f t="shared" si="684"/>
        <v>31</v>
      </c>
      <c r="AF19311" s="831" t="s">
        <v>11510</v>
      </c>
      <c r="AG19311" s="831" t="s">
        <v>2674</v>
      </c>
      <c r="AH19311" s="831" t="s">
        <v>546</v>
      </c>
      <c r="AI19311" s="831">
        <v>0</v>
      </c>
      <c r="AJ19311" s="835">
        <v>41820</v>
      </c>
      <c r="AK19311" s="831">
        <v>728057591</v>
      </c>
    </row>
    <row r="19312" spans="2:37">
      <c r="B19312" s="834" t="str">
        <f t="shared" si="683"/>
        <v>|||</v>
      </c>
      <c r="H19312" s="835">
        <f t="shared" si="684"/>
        <v>31</v>
      </c>
      <c r="AF19312" s="831" t="s">
        <v>11511</v>
      </c>
      <c r="AG19312" s="831" t="s">
        <v>2674</v>
      </c>
      <c r="AH19312" s="831" t="s">
        <v>370</v>
      </c>
      <c r="AI19312" s="831">
        <v>0</v>
      </c>
      <c r="AJ19312" s="835">
        <v>41820</v>
      </c>
      <c r="AK19312" s="831">
        <v>911200946</v>
      </c>
    </row>
    <row r="19313" spans="2:37">
      <c r="B19313" s="834" t="str">
        <f t="shared" si="683"/>
        <v>|||</v>
      </c>
      <c r="H19313" s="835">
        <f t="shared" si="684"/>
        <v>31</v>
      </c>
      <c r="AF19313" s="831" t="s">
        <v>11512</v>
      </c>
      <c r="AG19313" s="831" t="s">
        <v>2674</v>
      </c>
      <c r="AH19313" s="831" t="s">
        <v>126</v>
      </c>
      <c r="AI19313" s="831">
        <v>0</v>
      </c>
      <c r="AJ19313" s="835">
        <v>41820</v>
      </c>
      <c r="AK19313" s="831">
        <v>135362821</v>
      </c>
    </row>
    <row r="19314" spans="2:37">
      <c r="B19314" s="834" t="str">
        <f t="shared" si="683"/>
        <v>|||</v>
      </c>
      <c r="H19314" s="835">
        <f t="shared" si="684"/>
        <v>31</v>
      </c>
      <c r="AF19314" s="831" t="s">
        <v>11513</v>
      </c>
      <c r="AG19314" s="831" t="s">
        <v>2674</v>
      </c>
      <c r="AH19314" s="831" t="s">
        <v>268</v>
      </c>
      <c r="AI19314" s="831">
        <v>0</v>
      </c>
      <c r="AJ19314" s="835">
        <v>41820</v>
      </c>
      <c r="AK19314" s="831">
        <v>18626919</v>
      </c>
    </row>
    <row r="19315" spans="2:37">
      <c r="B19315" s="834" t="str">
        <f t="shared" si="683"/>
        <v>|||</v>
      </c>
      <c r="H19315" s="835">
        <f t="shared" si="684"/>
        <v>31</v>
      </c>
      <c r="AF19315" s="831" t="s">
        <v>11514</v>
      </c>
      <c r="AG19315" s="831" t="s">
        <v>2674</v>
      </c>
      <c r="AH19315" s="831" t="s">
        <v>547</v>
      </c>
      <c r="AI19315" s="831">
        <v>0</v>
      </c>
      <c r="AJ19315" s="835">
        <v>41820</v>
      </c>
      <c r="AK19315" s="831">
        <v>777719977</v>
      </c>
    </row>
    <row r="19316" spans="2:37">
      <c r="B19316" s="834" t="str">
        <f t="shared" si="683"/>
        <v>|||</v>
      </c>
      <c r="H19316" s="835">
        <f t="shared" si="684"/>
        <v>31</v>
      </c>
      <c r="AF19316" s="831" t="s">
        <v>11515</v>
      </c>
      <c r="AG19316" s="831" t="s">
        <v>2674</v>
      </c>
      <c r="AH19316" s="831" t="s">
        <v>548</v>
      </c>
      <c r="AI19316" s="831">
        <v>0</v>
      </c>
      <c r="AJ19316" s="835">
        <v>41820</v>
      </c>
      <c r="AK19316" s="831">
        <v>117105496</v>
      </c>
    </row>
    <row r="19317" spans="2:37">
      <c r="B19317" s="834" t="str">
        <f t="shared" si="683"/>
        <v>|||</v>
      </c>
      <c r="H19317" s="835">
        <f t="shared" si="684"/>
        <v>31</v>
      </c>
      <c r="AF19317" s="831" t="s">
        <v>11516</v>
      </c>
      <c r="AG19317" s="831" t="s">
        <v>2674</v>
      </c>
      <c r="AH19317" s="831" t="s">
        <v>549</v>
      </c>
      <c r="AI19317" s="831">
        <v>0</v>
      </c>
      <c r="AJ19317" s="835">
        <v>41820</v>
      </c>
      <c r="AK19317" s="831">
        <v>514798833</v>
      </c>
    </row>
    <row r="19318" spans="2:37">
      <c r="B19318" s="834" t="str">
        <f t="shared" si="683"/>
        <v>|||</v>
      </c>
      <c r="H19318" s="835">
        <f t="shared" si="684"/>
        <v>31</v>
      </c>
      <c r="AF19318" s="831" t="s">
        <v>11517</v>
      </c>
      <c r="AG19318" s="831" t="s">
        <v>2674</v>
      </c>
      <c r="AH19318" s="831" t="s">
        <v>192</v>
      </c>
      <c r="AI19318" s="831">
        <v>0</v>
      </c>
      <c r="AJ19318" s="835">
        <v>41820</v>
      </c>
      <c r="AK19318" s="831">
        <v>-11632261</v>
      </c>
    </row>
    <row r="19319" spans="2:37">
      <c r="B19319" s="834" t="str">
        <f t="shared" si="683"/>
        <v>|||</v>
      </c>
      <c r="H19319" s="835">
        <f t="shared" si="684"/>
        <v>31</v>
      </c>
      <c r="AF19319" s="831" t="s">
        <v>11518</v>
      </c>
      <c r="AG19319" s="831" t="s">
        <v>2674</v>
      </c>
      <c r="AH19319" s="831" t="s">
        <v>558</v>
      </c>
      <c r="AI19319" s="831">
        <v>0</v>
      </c>
      <c r="AJ19319" s="835">
        <v>41820</v>
      </c>
      <c r="AK19319" s="831">
        <v>775838125</v>
      </c>
    </row>
    <row r="19320" spans="2:37">
      <c r="B19320" s="834" t="str">
        <f t="shared" si="683"/>
        <v>|||</v>
      </c>
      <c r="H19320" s="835">
        <f t="shared" si="684"/>
        <v>31</v>
      </c>
      <c r="AF19320" s="831" t="s">
        <v>11519</v>
      </c>
      <c r="AG19320" s="831" t="s">
        <v>2674</v>
      </c>
      <c r="AH19320" s="831" t="s">
        <v>65</v>
      </c>
      <c r="AI19320" s="831">
        <v>0</v>
      </c>
      <c r="AJ19320" s="835">
        <v>41820</v>
      </c>
      <c r="AK19320" s="831">
        <v>81270371</v>
      </c>
    </row>
    <row r="19321" spans="2:37">
      <c r="B19321" s="834" t="str">
        <f t="shared" si="683"/>
        <v>|||</v>
      </c>
      <c r="H19321" s="835">
        <f t="shared" si="684"/>
        <v>31</v>
      </c>
      <c r="AF19321" s="831" t="s">
        <v>11520</v>
      </c>
      <c r="AG19321" s="831" t="s">
        <v>2674</v>
      </c>
      <c r="AH19321" s="831" t="s">
        <v>89</v>
      </c>
      <c r="AI19321" s="831">
        <v>0</v>
      </c>
      <c r="AJ19321" s="835">
        <v>41820</v>
      </c>
      <c r="AK19321" s="831">
        <v>156581</v>
      </c>
    </row>
    <row r="19322" spans="2:37">
      <c r="B19322" s="834" t="str">
        <f t="shared" si="683"/>
        <v>|||</v>
      </c>
      <c r="H19322" s="835">
        <f t="shared" si="684"/>
        <v>31</v>
      </c>
      <c r="AF19322" s="831" t="s">
        <v>11521</v>
      </c>
      <c r="AG19322" s="831" t="s">
        <v>2674</v>
      </c>
      <c r="AH19322" s="831" t="s">
        <v>557</v>
      </c>
      <c r="AI19322" s="831">
        <v>0</v>
      </c>
      <c r="AJ19322" s="835">
        <v>41820</v>
      </c>
      <c r="AK19322" s="831">
        <v>175816</v>
      </c>
    </row>
    <row r="19323" spans="2:37">
      <c r="B19323" s="834" t="str">
        <f t="shared" si="683"/>
        <v>|||</v>
      </c>
      <c r="H19323" s="835">
        <f t="shared" si="684"/>
        <v>31</v>
      </c>
      <c r="AF19323" s="831" t="s">
        <v>11522</v>
      </c>
      <c r="AG19323" s="831" t="s">
        <v>2674</v>
      </c>
      <c r="AH19323" s="831" t="s">
        <v>29</v>
      </c>
      <c r="AI19323" s="831">
        <v>0</v>
      </c>
      <c r="AJ19323" s="835">
        <v>41820</v>
      </c>
      <c r="AK19323" s="831">
        <v>1326248.81</v>
      </c>
    </row>
    <row r="19324" spans="2:37">
      <c r="B19324" s="834" t="str">
        <f t="shared" si="683"/>
        <v>|||</v>
      </c>
      <c r="H19324" s="835">
        <f t="shared" si="684"/>
        <v>31</v>
      </c>
      <c r="AF19324" s="831" t="s">
        <v>11523</v>
      </c>
      <c r="AG19324" s="831" t="s">
        <v>2674</v>
      </c>
      <c r="AH19324" s="831" t="s">
        <v>2688</v>
      </c>
      <c r="AI19324" s="831">
        <v>0</v>
      </c>
      <c r="AJ19324" s="835">
        <v>41820</v>
      </c>
      <c r="AK19324" s="831">
        <v>4329800.9399999995</v>
      </c>
    </row>
    <row r="19325" spans="2:37">
      <c r="B19325" s="834" t="str">
        <f t="shared" si="683"/>
        <v>|||</v>
      </c>
      <c r="H19325" s="835">
        <f t="shared" si="684"/>
        <v>31</v>
      </c>
      <c r="AF19325" s="831" t="s">
        <v>11524</v>
      </c>
      <c r="AG19325" s="831" t="s">
        <v>2674</v>
      </c>
      <c r="AH19325" s="831" t="s">
        <v>556</v>
      </c>
      <c r="AI19325" s="831">
        <v>0</v>
      </c>
      <c r="AJ19325" s="835">
        <v>41820</v>
      </c>
      <c r="AK19325" s="831">
        <v>3274918</v>
      </c>
    </row>
    <row r="19326" spans="2:37">
      <c r="B19326" s="834" t="str">
        <f t="shared" si="683"/>
        <v>|||</v>
      </c>
      <c r="H19326" s="835">
        <f t="shared" si="684"/>
        <v>31</v>
      </c>
      <c r="AF19326" s="831" t="s">
        <v>11525</v>
      </c>
      <c r="AG19326" s="831" t="s">
        <v>2674</v>
      </c>
      <c r="AH19326" s="831" t="s">
        <v>555</v>
      </c>
      <c r="AI19326" s="831">
        <v>0</v>
      </c>
      <c r="AJ19326" s="835">
        <v>41820</v>
      </c>
      <c r="AK19326" s="831">
        <v>507133542</v>
      </c>
    </row>
    <row r="19327" spans="2:37">
      <c r="B19327" s="834" t="str">
        <f t="shared" si="683"/>
        <v>|||</v>
      </c>
      <c r="H19327" s="835">
        <f t="shared" si="684"/>
        <v>31</v>
      </c>
      <c r="AF19327" s="831" t="s">
        <v>11526</v>
      </c>
      <c r="AG19327" s="831" t="s">
        <v>2674</v>
      </c>
      <c r="AH19327" s="831" t="s">
        <v>554</v>
      </c>
      <c r="AI19327" s="831">
        <v>0</v>
      </c>
      <c r="AJ19327" s="835">
        <v>41820</v>
      </c>
      <c r="AK19327" s="831">
        <v>519019570</v>
      </c>
    </row>
    <row r="19328" spans="2:37">
      <c r="B19328" s="834" t="str">
        <f t="shared" si="683"/>
        <v>|||</v>
      </c>
      <c r="H19328" s="835">
        <f t="shared" si="684"/>
        <v>31</v>
      </c>
      <c r="AF19328" s="831" t="s">
        <v>11527</v>
      </c>
      <c r="AG19328" s="831" t="s">
        <v>2674</v>
      </c>
      <c r="AH19328" s="831" t="s">
        <v>553</v>
      </c>
      <c r="AI19328" s="831">
        <v>0</v>
      </c>
      <c r="AJ19328" s="835">
        <v>41820</v>
      </c>
      <c r="AK19328" s="831">
        <v>0</v>
      </c>
    </row>
    <row r="19329" spans="2:37">
      <c r="B19329" s="834" t="str">
        <f t="shared" si="683"/>
        <v>|||</v>
      </c>
      <c r="H19329" s="835">
        <f t="shared" si="684"/>
        <v>31</v>
      </c>
      <c r="AF19329" s="831" t="s">
        <v>11528</v>
      </c>
      <c r="AG19329" s="831" t="s">
        <v>2674</v>
      </c>
      <c r="AH19329" s="831" t="s">
        <v>552</v>
      </c>
      <c r="AI19329" s="831">
        <v>0</v>
      </c>
      <c r="AJ19329" s="835">
        <v>41820</v>
      </c>
      <c r="AK19329" s="831">
        <v>0</v>
      </c>
    </row>
    <row r="19330" spans="2:37">
      <c r="B19330" s="834" t="str">
        <f t="shared" si="683"/>
        <v>|||</v>
      </c>
      <c r="H19330" s="835">
        <f t="shared" si="684"/>
        <v>31</v>
      </c>
      <c r="AF19330" s="831" t="s">
        <v>11529</v>
      </c>
      <c r="AG19330" s="831" t="s">
        <v>2674</v>
      </c>
      <c r="AH19330" s="831" t="s">
        <v>551</v>
      </c>
      <c r="AI19330" s="831">
        <v>0</v>
      </c>
      <c r="AJ19330" s="835">
        <v>41820</v>
      </c>
      <c r="AK19330" s="831">
        <v>950588.81</v>
      </c>
    </row>
    <row r="19331" spans="2:37">
      <c r="B19331" s="834" t="str">
        <f t="shared" si="683"/>
        <v>|||</v>
      </c>
      <c r="H19331" s="835">
        <f t="shared" si="684"/>
        <v>31</v>
      </c>
      <c r="AF19331" s="831" t="s">
        <v>11530</v>
      </c>
      <c r="AG19331" s="831" t="s">
        <v>2674</v>
      </c>
      <c r="AH19331" s="831" t="s">
        <v>550</v>
      </c>
      <c r="AI19331" s="831">
        <v>0</v>
      </c>
      <c r="AJ19331" s="835">
        <v>41820</v>
      </c>
      <c r="AK19331" s="831">
        <v>131163748</v>
      </c>
    </row>
    <row r="19332" spans="2:37">
      <c r="B19332" s="834" t="str">
        <f t="shared" si="683"/>
        <v>|||</v>
      </c>
      <c r="H19332" s="835">
        <f t="shared" si="684"/>
        <v>31</v>
      </c>
      <c r="AF19332" s="831" t="s">
        <v>11531</v>
      </c>
      <c r="AG19332" s="831" t="s">
        <v>2674</v>
      </c>
      <c r="AH19332" s="831" t="s">
        <v>562</v>
      </c>
      <c r="AI19332" s="831">
        <v>0</v>
      </c>
      <c r="AJ19332" s="835">
        <v>41820</v>
      </c>
      <c r="AK19332" s="831">
        <v>0.78374999999999995</v>
      </c>
    </row>
    <row r="19333" spans="2:37">
      <c r="B19333" s="834" t="str">
        <f t="shared" si="683"/>
        <v>|||</v>
      </c>
      <c r="H19333" s="835">
        <f t="shared" si="684"/>
        <v>31</v>
      </c>
      <c r="AF19333" s="831" t="s">
        <v>11532</v>
      </c>
      <c r="AG19333" s="831" t="s">
        <v>2674</v>
      </c>
      <c r="AH19333" s="831" t="s">
        <v>2698</v>
      </c>
      <c r="AI19333" s="831">
        <v>0</v>
      </c>
      <c r="AJ19333" s="835">
        <v>41820</v>
      </c>
      <c r="AK19333" s="831">
        <v>0.78385000000000005</v>
      </c>
    </row>
    <row r="19334" spans="2:37">
      <c r="B19334" s="834" t="str">
        <f t="shared" si="683"/>
        <v>|||</v>
      </c>
      <c r="H19334" s="835">
        <f t="shared" si="684"/>
        <v>31</v>
      </c>
      <c r="AF19334" s="831" t="s">
        <v>11533</v>
      </c>
      <c r="AG19334" s="831" t="s">
        <v>2674</v>
      </c>
      <c r="AH19334" s="831" t="s">
        <v>560</v>
      </c>
      <c r="AI19334" s="831">
        <v>0</v>
      </c>
      <c r="AJ19334" s="835">
        <v>41820</v>
      </c>
      <c r="AK19334" s="831">
        <v>0.78376666666666672</v>
      </c>
    </row>
    <row r="19335" spans="2:37">
      <c r="B19335" s="834" t="str">
        <f t="shared" si="683"/>
        <v>|||</v>
      </c>
      <c r="H19335" s="835">
        <f t="shared" si="684"/>
        <v>31</v>
      </c>
      <c r="AF19335" s="831" t="s">
        <v>11534</v>
      </c>
      <c r="AG19335" s="831" t="s">
        <v>2674</v>
      </c>
      <c r="AH19335" s="831" t="s">
        <v>559</v>
      </c>
      <c r="AI19335" s="831">
        <v>0</v>
      </c>
      <c r="AJ19335" s="835">
        <v>41820</v>
      </c>
      <c r="AK19335" s="831">
        <v>0.783775</v>
      </c>
    </row>
    <row r="19336" spans="2:37">
      <c r="B19336" s="834" t="str">
        <f t="shared" si="683"/>
        <v>|||</v>
      </c>
      <c r="H19336" s="835">
        <f t="shared" si="684"/>
        <v>31</v>
      </c>
      <c r="AF19336" s="831" t="s">
        <v>11535</v>
      </c>
      <c r="AG19336" s="831" t="s">
        <v>2674</v>
      </c>
      <c r="AH19336" s="831" t="s">
        <v>568</v>
      </c>
      <c r="AI19336" s="831">
        <v>0</v>
      </c>
      <c r="AJ19336" s="835">
        <v>41820</v>
      </c>
      <c r="AK19336" s="831">
        <v>619891357.84230769</v>
      </c>
    </row>
    <row r="19337" spans="2:37">
      <c r="B19337" s="834" t="str">
        <f t="shared" si="683"/>
        <v>|||</v>
      </c>
      <c r="H19337" s="835">
        <f t="shared" si="684"/>
        <v>31</v>
      </c>
      <c r="AF19337" s="831" t="s">
        <v>11536</v>
      </c>
      <c r="AG19337" s="831" t="s">
        <v>2674</v>
      </c>
      <c r="AH19337" s="831" t="s">
        <v>569</v>
      </c>
      <c r="AI19337" s="831">
        <v>0</v>
      </c>
      <c r="AJ19337" s="835">
        <v>41820</v>
      </c>
      <c r="AK19337" s="831">
        <v>763501602.97330773</v>
      </c>
    </row>
    <row r="19338" spans="2:37">
      <c r="B19338" s="834" t="str">
        <f t="shared" si="683"/>
        <v>|||</v>
      </c>
      <c r="H19338" s="835">
        <f t="shared" si="684"/>
        <v>31</v>
      </c>
      <c r="AF19338" s="831" t="s">
        <v>11537</v>
      </c>
      <c r="AG19338" s="831" t="s">
        <v>2674</v>
      </c>
      <c r="AH19338" s="831" t="s">
        <v>570</v>
      </c>
      <c r="AI19338" s="831">
        <v>0</v>
      </c>
      <c r="AJ19338" s="835">
        <v>41820</v>
      </c>
      <c r="AK19338" s="831">
        <v>120238638.75123075</v>
      </c>
    </row>
    <row r="19339" spans="2:37">
      <c r="B19339" s="834" t="str">
        <f t="shared" si="683"/>
        <v>|||</v>
      </c>
      <c r="H19339" s="835">
        <f t="shared" si="684"/>
        <v>31</v>
      </c>
      <c r="AF19339" s="831" t="s">
        <v>11538</v>
      </c>
      <c r="AG19339" s="831" t="s">
        <v>2674</v>
      </c>
      <c r="AH19339" s="831" t="s">
        <v>571</v>
      </c>
      <c r="AI19339" s="831">
        <v>0</v>
      </c>
      <c r="AJ19339" s="835">
        <v>41820</v>
      </c>
      <c r="AK19339" s="831">
        <v>372900260.97484618</v>
      </c>
    </row>
    <row r="19340" spans="2:37">
      <c r="B19340" s="834" t="str">
        <f t="shared" si="683"/>
        <v>|||</v>
      </c>
      <c r="H19340" s="835">
        <f t="shared" si="684"/>
        <v>31</v>
      </c>
      <c r="AF19340" s="831" t="s">
        <v>11539</v>
      </c>
      <c r="AG19340" s="831" t="s">
        <v>2674</v>
      </c>
      <c r="AH19340" s="831" t="s">
        <v>573</v>
      </c>
      <c r="AI19340" s="831">
        <v>0</v>
      </c>
      <c r="AJ19340" s="835">
        <v>41820</v>
      </c>
      <c r="AK19340" s="831">
        <v>829703301.08042848</v>
      </c>
    </row>
    <row r="19341" spans="2:37">
      <c r="B19341" s="834" t="str">
        <f t="shared" si="683"/>
        <v>|||</v>
      </c>
      <c r="H19341" s="835">
        <f t="shared" si="684"/>
        <v>31</v>
      </c>
      <c r="AF19341" s="831" t="s">
        <v>11540</v>
      </c>
      <c r="AG19341" s="831" t="s">
        <v>2674</v>
      </c>
      <c r="AH19341" s="831" t="s">
        <v>574</v>
      </c>
      <c r="AI19341" s="831">
        <v>0</v>
      </c>
      <c r="AJ19341" s="835">
        <v>41820</v>
      </c>
      <c r="AK19341" s="831">
        <v>674628835.57142854</v>
      </c>
    </row>
    <row r="19342" spans="2:37">
      <c r="B19342" s="834" t="str">
        <f t="shared" si="683"/>
        <v>|||</v>
      </c>
      <c r="H19342" s="835">
        <f t="shared" si="684"/>
        <v>31</v>
      </c>
      <c r="AF19342" s="831" t="s">
        <v>11541</v>
      </c>
      <c r="AG19342" s="831" t="s">
        <v>2674</v>
      </c>
      <c r="AH19342" s="831" t="s">
        <v>575</v>
      </c>
      <c r="AI19342" s="831">
        <v>0</v>
      </c>
      <c r="AJ19342" s="835">
        <v>41820</v>
      </c>
      <c r="AK19342" s="831">
        <v>124242857.13</v>
      </c>
    </row>
    <row r="19343" spans="2:37">
      <c r="B19343" s="834" t="str">
        <f t="shared" si="683"/>
        <v>|||</v>
      </c>
      <c r="H19343" s="835">
        <f t="shared" si="684"/>
        <v>31</v>
      </c>
      <c r="AF19343" s="831" t="s">
        <v>11542</v>
      </c>
      <c r="AG19343" s="831" t="s">
        <v>2674</v>
      </c>
      <c r="AH19343" s="831" t="s">
        <v>576</v>
      </c>
      <c r="AI19343" s="831">
        <v>0</v>
      </c>
      <c r="AJ19343" s="835">
        <v>41820</v>
      </c>
      <c r="AK19343" s="831">
        <v>407269836.23014289</v>
      </c>
    </row>
    <row r="19344" spans="2:37">
      <c r="B19344" s="834" t="str">
        <f t="shared" si="683"/>
        <v>|||</v>
      </c>
      <c r="H19344" s="835">
        <f t="shared" si="684"/>
        <v>31</v>
      </c>
      <c r="AF19344" s="831" t="s">
        <v>11543</v>
      </c>
      <c r="AG19344" s="831" t="s">
        <v>2674</v>
      </c>
      <c r="AH19344" s="831" t="s">
        <v>572</v>
      </c>
      <c r="AI19344" s="831">
        <v>0</v>
      </c>
      <c r="AJ19344" s="835">
        <v>41820</v>
      </c>
      <c r="AK19344" s="831">
        <v>32506327.956000008</v>
      </c>
    </row>
    <row r="19345" spans="2:37">
      <c r="B19345" s="834" t="str">
        <f t="shared" ref="B19345:B19408" si="685">C19345&amp;"|"&amp;D19345&amp;"|"&amp;E19345&amp;"|"&amp;F19345</f>
        <v>|||</v>
      </c>
      <c r="H19345" s="835">
        <f t="shared" ref="H19345:H19408" si="686">EOMONTH(L19345,0)</f>
        <v>31</v>
      </c>
      <c r="AF19345" s="831" t="s">
        <v>11544</v>
      </c>
      <c r="AG19345" s="831" t="s">
        <v>2674</v>
      </c>
      <c r="AH19345" s="831" t="s">
        <v>577</v>
      </c>
      <c r="AI19345" s="831">
        <v>0</v>
      </c>
      <c r="AJ19345" s="835">
        <v>41820</v>
      </c>
      <c r="AK19345" s="831">
        <v>153933560.76300001</v>
      </c>
    </row>
    <row r="19346" spans="2:37">
      <c r="B19346" s="834" t="str">
        <f t="shared" si="685"/>
        <v>|||</v>
      </c>
      <c r="H19346" s="835">
        <f t="shared" si="686"/>
        <v>31</v>
      </c>
      <c r="AF19346" s="831" t="s">
        <v>11545</v>
      </c>
      <c r="AG19346" s="831" t="s">
        <v>2674</v>
      </c>
      <c r="AH19346" s="831" t="s">
        <v>3042</v>
      </c>
      <c r="AI19346" s="831">
        <v>0</v>
      </c>
      <c r="AJ19346" s="835">
        <v>41820</v>
      </c>
      <c r="AK19346" s="831">
        <v>-43087678.527000003</v>
      </c>
    </row>
    <row r="19347" spans="2:37">
      <c r="B19347" s="834" t="str">
        <f t="shared" si="685"/>
        <v>|||</v>
      </c>
      <c r="H19347" s="835">
        <f t="shared" si="686"/>
        <v>31</v>
      </c>
      <c r="AF19347" s="831" t="s">
        <v>11546</v>
      </c>
      <c r="AG19347" s="831" t="s">
        <v>2674</v>
      </c>
      <c r="AH19347" s="831" t="s">
        <v>3044</v>
      </c>
      <c r="AI19347" s="831">
        <v>0</v>
      </c>
      <c r="AJ19347" s="835">
        <v>41820</v>
      </c>
      <c r="AK19347" s="831">
        <v>-2538336.8899999997</v>
      </c>
    </row>
    <row r="19348" spans="2:37">
      <c r="B19348" s="834" t="str">
        <f t="shared" si="685"/>
        <v>|||</v>
      </c>
      <c r="H19348" s="835">
        <f t="shared" si="686"/>
        <v>31</v>
      </c>
      <c r="AF19348" s="831" t="s">
        <v>11547</v>
      </c>
      <c r="AG19348" s="831" t="s">
        <v>2674</v>
      </c>
      <c r="AH19348" s="831" t="s">
        <v>580</v>
      </c>
      <c r="AI19348" s="831">
        <v>0</v>
      </c>
      <c r="AJ19348" s="835">
        <v>41820</v>
      </c>
      <c r="AK19348" s="831">
        <v>-71232950.306999996</v>
      </c>
    </row>
    <row r="19349" spans="2:37">
      <c r="B19349" s="834" t="str">
        <f t="shared" si="685"/>
        <v>|||</v>
      </c>
      <c r="H19349" s="835">
        <f t="shared" si="686"/>
        <v>31</v>
      </c>
      <c r="AF19349" s="831" t="s">
        <v>11548</v>
      </c>
      <c r="AG19349" s="831" t="s">
        <v>2674</v>
      </c>
      <c r="AH19349" s="831" t="s">
        <v>581</v>
      </c>
      <c r="AI19349" s="831">
        <v>0</v>
      </c>
      <c r="AJ19349" s="835">
        <v>41820</v>
      </c>
      <c r="AK19349" s="831">
        <v>5389272.8940000003</v>
      </c>
    </row>
    <row r="19350" spans="2:37">
      <c r="B19350" s="834" t="str">
        <f t="shared" si="685"/>
        <v>|||</v>
      </c>
      <c r="H19350" s="835">
        <f t="shared" si="686"/>
        <v>31</v>
      </c>
      <c r="AF19350" s="831" t="s">
        <v>11549</v>
      </c>
      <c r="AG19350" s="831" t="s">
        <v>2674</v>
      </c>
      <c r="AH19350" s="831" t="s">
        <v>105</v>
      </c>
      <c r="AI19350" s="831">
        <v>0</v>
      </c>
      <c r="AJ19350" s="835">
        <v>41820</v>
      </c>
      <c r="AK19350" s="831">
        <v>455536132</v>
      </c>
    </row>
    <row r="19351" spans="2:37">
      <c r="B19351" s="834" t="str">
        <f t="shared" si="685"/>
        <v>|||</v>
      </c>
      <c r="H19351" s="835">
        <f t="shared" si="686"/>
        <v>31</v>
      </c>
      <c r="AF19351" s="831" t="s">
        <v>11550</v>
      </c>
      <c r="AG19351" s="831" t="s">
        <v>2674</v>
      </c>
      <c r="AH19351" s="831" t="s">
        <v>3049</v>
      </c>
      <c r="AI19351" s="831">
        <v>0</v>
      </c>
      <c r="AJ19351" s="835">
        <v>41820</v>
      </c>
      <c r="AK19351" s="831">
        <v>754458364</v>
      </c>
    </row>
    <row r="19352" spans="2:37">
      <c r="B19352" s="834" t="str">
        <f t="shared" si="685"/>
        <v>|||</v>
      </c>
      <c r="H19352" s="835">
        <f t="shared" si="686"/>
        <v>31</v>
      </c>
      <c r="AF19352" s="831" t="s">
        <v>11551</v>
      </c>
      <c r="AG19352" s="831" t="s">
        <v>2674</v>
      </c>
      <c r="AH19352" s="831" t="s">
        <v>103</v>
      </c>
      <c r="AI19352" s="831">
        <v>0</v>
      </c>
      <c r="AJ19352" s="835">
        <v>41820</v>
      </c>
      <c r="AK19352" s="831">
        <v>298922232</v>
      </c>
    </row>
    <row r="19353" spans="2:37">
      <c r="B19353" s="834" t="str">
        <f t="shared" si="685"/>
        <v>|||</v>
      </c>
      <c r="H19353" s="835">
        <f t="shared" si="686"/>
        <v>31</v>
      </c>
      <c r="AF19353" s="831" t="s">
        <v>11552</v>
      </c>
      <c r="AG19353" s="831" t="s">
        <v>2674</v>
      </c>
      <c r="AH19353" s="831" t="s">
        <v>182</v>
      </c>
      <c r="AI19353" s="831">
        <v>0</v>
      </c>
      <c r="AJ19353" s="835">
        <v>41820</v>
      </c>
      <c r="AK19353" s="831">
        <v>71693060</v>
      </c>
    </row>
    <row r="19354" spans="2:37">
      <c r="B19354" s="834" t="str">
        <f t="shared" si="685"/>
        <v>|||</v>
      </c>
      <c r="H19354" s="835">
        <f t="shared" si="686"/>
        <v>31</v>
      </c>
      <c r="AF19354" s="831" t="s">
        <v>11553</v>
      </c>
      <c r="AG19354" s="831" t="s">
        <v>2674</v>
      </c>
      <c r="AH19354" s="831" t="s">
        <v>6600</v>
      </c>
      <c r="AI19354" s="831">
        <v>0</v>
      </c>
      <c r="AJ19354" s="835">
        <v>41820</v>
      </c>
      <c r="AK19354" s="831">
        <v>32506327.956000008</v>
      </c>
    </row>
    <row r="19355" spans="2:37">
      <c r="B19355" s="834" t="str">
        <f t="shared" si="685"/>
        <v>|||</v>
      </c>
      <c r="H19355" s="835">
        <f t="shared" si="686"/>
        <v>31</v>
      </c>
      <c r="AF19355" s="831" t="s">
        <v>11554</v>
      </c>
      <c r="AG19355" s="831" t="s">
        <v>2674</v>
      </c>
      <c r="AH19355" s="831" t="s">
        <v>6602</v>
      </c>
      <c r="AI19355" s="831">
        <v>0</v>
      </c>
      <c r="AJ19355" s="835">
        <v>41820</v>
      </c>
      <c r="AK19355" s="831">
        <v>18626919</v>
      </c>
    </row>
    <row r="19356" spans="2:37">
      <c r="B19356" s="834" t="str">
        <f t="shared" si="685"/>
        <v>|||</v>
      </c>
      <c r="H19356" s="835">
        <f t="shared" si="686"/>
        <v>31</v>
      </c>
      <c r="AF19356" s="831" t="s">
        <v>11555</v>
      </c>
      <c r="AG19356" s="831" t="s">
        <v>2674</v>
      </c>
      <c r="AH19356" s="831" t="s">
        <v>650</v>
      </c>
      <c r="AI19356" s="831">
        <v>0</v>
      </c>
      <c r="AJ19356" s="835">
        <v>41820</v>
      </c>
      <c r="AK19356" s="831">
        <v>250141744.03992307</v>
      </c>
    </row>
    <row r="19357" spans="2:37">
      <c r="B19357" s="834" t="str">
        <f t="shared" si="685"/>
        <v>|||</v>
      </c>
      <c r="H19357" s="835">
        <f t="shared" si="686"/>
        <v>31</v>
      </c>
      <c r="AF19357" s="831" t="s">
        <v>11556</v>
      </c>
      <c r="AG19357" s="831" t="s">
        <v>2674</v>
      </c>
      <c r="AH19357" s="831" t="s">
        <v>655</v>
      </c>
      <c r="AI19357" s="831">
        <v>0</v>
      </c>
      <c r="AJ19357" s="835">
        <v>41820</v>
      </c>
      <c r="AK19357" s="831">
        <v>739333.81</v>
      </c>
    </row>
    <row r="19358" spans="2:37">
      <c r="B19358" s="834" t="str">
        <f t="shared" si="685"/>
        <v>|||</v>
      </c>
      <c r="H19358" s="835">
        <f t="shared" si="686"/>
        <v>31</v>
      </c>
      <c r="AF19358" s="831" t="s">
        <v>11557</v>
      </c>
      <c r="AG19358" s="831" t="s">
        <v>2674</v>
      </c>
      <c r="AH19358" s="831" t="s">
        <v>546</v>
      </c>
      <c r="AI19358" s="831">
        <v>0</v>
      </c>
      <c r="AJ19358" s="835">
        <v>41851</v>
      </c>
      <c r="AK19358" s="831">
        <v>739176022</v>
      </c>
    </row>
    <row r="19359" spans="2:37">
      <c r="B19359" s="834" t="str">
        <f t="shared" si="685"/>
        <v>|||</v>
      </c>
      <c r="H19359" s="835">
        <f t="shared" si="686"/>
        <v>31</v>
      </c>
      <c r="AF19359" s="831" t="s">
        <v>11558</v>
      </c>
      <c r="AG19359" s="831" t="s">
        <v>2674</v>
      </c>
      <c r="AH19359" s="831" t="s">
        <v>370</v>
      </c>
      <c r="AI19359" s="831">
        <v>0</v>
      </c>
      <c r="AJ19359" s="835">
        <v>41851</v>
      </c>
      <c r="AK19359" s="831">
        <v>937279545</v>
      </c>
    </row>
    <row r="19360" spans="2:37">
      <c r="B19360" s="834" t="str">
        <f t="shared" si="685"/>
        <v>|||</v>
      </c>
      <c r="H19360" s="835">
        <f t="shared" si="686"/>
        <v>31</v>
      </c>
      <c r="AF19360" s="831" t="s">
        <v>11559</v>
      </c>
      <c r="AG19360" s="831" t="s">
        <v>2674</v>
      </c>
      <c r="AH19360" s="831" t="s">
        <v>126</v>
      </c>
      <c r="AI19360" s="831">
        <v>0</v>
      </c>
      <c r="AJ19360" s="835">
        <v>41851</v>
      </c>
      <c r="AK19360" s="831">
        <v>138005087</v>
      </c>
    </row>
    <row r="19361" spans="2:37">
      <c r="B19361" s="834" t="str">
        <f t="shared" si="685"/>
        <v>|||</v>
      </c>
      <c r="H19361" s="835">
        <f t="shared" si="686"/>
        <v>31</v>
      </c>
      <c r="AF19361" s="831" t="s">
        <v>11560</v>
      </c>
      <c r="AG19361" s="831" t="s">
        <v>2674</v>
      </c>
      <c r="AH19361" s="831" t="s">
        <v>268</v>
      </c>
      <c r="AI19361" s="831">
        <v>0</v>
      </c>
      <c r="AJ19361" s="835">
        <v>41851</v>
      </c>
      <c r="AK19361" s="831">
        <v>22009267</v>
      </c>
    </row>
    <row r="19362" spans="2:37">
      <c r="B19362" s="834" t="str">
        <f t="shared" si="685"/>
        <v>|||</v>
      </c>
      <c r="H19362" s="835">
        <f t="shared" si="686"/>
        <v>31</v>
      </c>
      <c r="AF19362" s="831" t="s">
        <v>11561</v>
      </c>
      <c r="AG19362" s="831" t="s">
        <v>2674</v>
      </c>
      <c r="AH19362" s="831" t="s">
        <v>547</v>
      </c>
      <c r="AI19362" s="831">
        <v>0</v>
      </c>
      <c r="AJ19362" s="835">
        <v>41851</v>
      </c>
      <c r="AK19362" s="831">
        <v>777719977</v>
      </c>
    </row>
    <row r="19363" spans="2:37">
      <c r="B19363" s="834" t="str">
        <f t="shared" si="685"/>
        <v>|||</v>
      </c>
      <c r="H19363" s="835">
        <f t="shared" si="686"/>
        <v>31</v>
      </c>
      <c r="AF19363" s="831" t="s">
        <v>11562</v>
      </c>
      <c r="AG19363" s="831" t="s">
        <v>2674</v>
      </c>
      <c r="AH19363" s="831" t="s">
        <v>548</v>
      </c>
      <c r="AI19363" s="831">
        <v>0</v>
      </c>
      <c r="AJ19363" s="835">
        <v>41851</v>
      </c>
      <c r="AK19363" s="831">
        <v>117105496</v>
      </c>
    </row>
    <row r="19364" spans="2:37">
      <c r="B19364" s="834" t="str">
        <f t="shared" si="685"/>
        <v>|||</v>
      </c>
      <c r="H19364" s="835">
        <f t="shared" si="686"/>
        <v>31</v>
      </c>
      <c r="AF19364" s="831" t="s">
        <v>11563</v>
      </c>
      <c r="AG19364" s="831" t="s">
        <v>2674</v>
      </c>
      <c r="AH19364" s="831" t="s">
        <v>549</v>
      </c>
      <c r="AI19364" s="831">
        <v>0</v>
      </c>
      <c r="AJ19364" s="835">
        <v>41851</v>
      </c>
      <c r="AK19364" s="831">
        <v>530405930</v>
      </c>
    </row>
    <row r="19365" spans="2:37">
      <c r="B19365" s="834" t="str">
        <f t="shared" si="685"/>
        <v>|||</v>
      </c>
      <c r="H19365" s="835">
        <f t="shared" si="686"/>
        <v>31</v>
      </c>
      <c r="AF19365" s="831" t="s">
        <v>11564</v>
      </c>
      <c r="AG19365" s="831" t="s">
        <v>2674</v>
      </c>
      <c r="AH19365" s="831" t="s">
        <v>192</v>
      </c>
      <c r="AI19365" s="831">
        <v>0</v>
      </c>
      <c r="AJ19365" s="835">
        <v>41851</v>
      </c>
      <c r="AK19365" s="831">
        <v>-11408077</v>
      </c>
    </row>
    <row r="19366" spans="2:37">
      <c r="B19366" s="834" t="str">
        <f t="shared" si="685"/>
        <v>|||</v>
      </c>
      <c r="H19366" s="835">
        <f t="shared" si="686"/>
        <v>31</v>
      </c>
      <c r="AF19366" s="831" t="s">
        <v>11565</v>
      </c>
      <c r="AG19366" s="831" t="s">
        <v>2674</v>
      </c>
      <c r="AH19366" s="831" t="s">
        <v>558</v>
      </c>
      <c r="AI19366" s="831">
        <v>0</v>
      </c>
      <c r="AJ19366" s="835">
        <v>41851</v>
      </c>
      <c r="AK19366" s="831">
        <v>799274458</v>
      </c>
    </row>
    <row r="19367" spans="2:37">
      <c r="B19367" s="834" t="str">
        <f t="shared" si="685"/>
        <v>|||</v>
      </c>
      <c r="H19367" s="835">
        <f t="shared" si="686"/>
        <v>31</v>
      </c>
      <c r="AF19367" s="831" t="s">
        <v>11566</v>
      </c>
      <c r="AG19367" s="831" t="s">
        <v>2674</v>
      </c>
      <c r="AH19367" s="831" t="s">
        <v>65</v>
      </c>
      <c r="AI19367" s="831">
        <v>0</v>
      </c>
      <c r="AJ19367" s="835">
        <v>41851</v>
      </c>
      <c r="AK19367" s="831">
        <v>96150192</v>
      </c>
    </row>
    <row r="19368" spans="2:37">
      <c r="B19368" s="834" t="str">
        <f t="shared" si="685"/>
        <v>|||</v>
      </c>
      <c r="H19368" s="835">
        <f t="shared" si="686"/>
        <v>31</v>
      </c>
      <c r="AF19368" s="831" t="s">
        <v>11567</v>
      </c>
      <c r="AG19368" s="831" t="s">
        <v>2674</v>
      </c>
      <c r="AH19368" s="831" t="s">
        <v>89</v>
      </c>
      <c r="AI19368" s="831">
        <v>0</v>
      </c>
      <c r="AJ19368" s="835">
        <v>41851</v>
      </c>
      <c r="AK19368" s="831">
        <v>157312</v>
      </c>
    </row>
    <row r="19369" spans="2:37">
      <c r="B19369" s="834" t="str">
        <f t="shared" si="685"/>
        <v>|||</v>
      </c>
      <c r="H19369" s="835">
        <f t="shared" si="686"/>
        <v>31</v>
      </c>
      <c r="AF19369" s="831" t="s">
        <v>11568</v>
      </c>
      <c r="AG19369" s="831" t="s">
        <v>2674</v>
      </c>
      <c r="AH19369" s="831" t="s">
        <v>557</v>
      </c>
      <c r="AI19369" s="831">
        <v>0</v>
      </c>
      <c r="AJ19369" s="835">
        <v>41851</v>
      </c>
      <c r="AK19369" s="831">
        <v>177567</v>
      </c>
    </row>
    <row r="19370" spans="2:37">
      <c r="B19370" s="834" t="str">
        <f t="shared" si="685"/>
        <v>|||</v>
      </c>
      <c r="H19370" s="835">
        <f t="shared" si="686"/>
        <v>31</v>
      </c>
      <c r="AF19370" s="831" t="s">
        <v>11569</v>
      </c>
      <c r="AG19370" s="831" t="s">
        <v>2674</v>
      </c>
      <c r="AH19370" s="831" t="s">
        <v>29</v>
      </c>
      <c r="AI19370" s="831">
        <v>0</v>
      </c>
      <c r="AJ19370" s="835">
        <v>41851</v>
      </c>
      <c r="AK19370" s="831">
        <v>1565767.49</v>
      </c>
    </row>
    <row r="19371" spans="2:37">
      <c r="B19371" s="834" t="str">
        <f t="shared" si="685"/>
        <v>|||</v>
      </c>
      <c r="H19371" s="835">
        <f t="shared" si="686"/>
        <v>31</v>
      </c>
      <c r="AF19371" s="831" t="s">
        <v>11570</v>
      </c>
      <c r="AG19371" s="831" t="s">
        <v>2674</v>
      </c>
      <c r="AH19371" s="831" t="s">
        <v>2688</v>
      </c>
      <c r="AI19371" s="831">
        <v>0</v>
      </c>
      <c r="AJ19371" s="835">
        <v>41851</v>
      </c>
      <c r="AK19371" s="831">
        <v>4315667.13</v>
      </c>
    </row>
    <row r="19372" spans="2:37">
      <c r="B19372" s="834" t="str">
        <f t="shared" si="685"/>
        <v>|||</v>
      </c>
      <c r="H19372" s="835">
        <f t="shared" si="686"/>
        <v>31</v>
      </c>
      <c r="AF19372" s="831" t="s">
        <v>11571</v>
      </c>
      <c r="AG19372" s="831" t="s">
        <v>2674</v>
      </c>
      <c r="AH19372" s="831" t="s">
        <v>556</v>
      </c>
      <c r="AI19372" s="831">
        <v>0</v>
      </c>
      <c r="AJ19372" s="835">
        <v>41851</v>
      </c>
      <c r="AK19372" s="831">
        <v>3260165</v>
      </c>
    </row>
    <row r="19373" spans="2:37">
      <c r="B19373" s="834" t="str">
        <f t="shared" si="685"/>
        <v>|||</v>
      </c>
      <c r="H19373" s="835">
        <f t="shared" si="686"/>
        <v>31</v>
      </c>
      <c r="AF19373" s="831" t="s">
        <v>11572</v>
      </c>
      <c r="AG19373" s="831" t="s">
        <v>2674</v>
      </c>
      <c r="AH19373" s="831" t="s">
        <v>555</v>
      </c>
      <c r="AI19373" s="831">
        <v>0</v>
      </c>
      <c r="AJ19373" s="835">
        <v>41851</v>
      </c>
      <c r="AK19373" s="831">
        <v>527670450</v>
      </c>
    </row>
    <row r="19374" spans="2:37">
      <c r="B19374" s="834" t="str">
        <f t="shared" si="685"/>
        <v>|||</v>
      </c>
      <c r="H19374" s="835">
        <f t="shared" si="686"/>
        <v>31</v>
      </c>
      <c r="AF19374" s="831" t="s">
        <v>11573</v>
      </c>
      <c r="AG19374" s="831" t="s">
        <v>2674</v>
      </c>
      <c r="AH19374" s="831" t="s">
        <v>554</v>
      </c>
      <c r="AI19374" s="831">
        <v>0</v>
      </c>
      <c r="AJ19374" s="835">
        <v>41851</v>
      </c>
      <c r="AK19374" s="831">
        <v>540050830</v>
      </c>
    </row>
    <row r="19375" spans="2:37">
      <c r="B19375" s="834" t="str">
        <f t="shared" si="685"/>
        <v>|||</v>
      </c>
      <c r="H19375" s="835">
        <f t="shared" si="686"/>
        <v>31</v>
      </c>
      <c r="AF19375" s="831" t="s">
        <v>11574</v>
      </c>
      <c r="AG19375" s="831" t="s">
        <v>2674</v>
      </c>
      <c r="AH19375" s="831" t="s">
        <v>553</v>
      </c>
      <c r="AI19375" s="831">
        <v>0</v>
      </c>
      <c r="AJ19375" s="835">
        <v>41851</v>
      </c>
      <c r="AK19375" s="831">
        <v>0</v>
      </c>
    </row>
    <row r="19376" spans="2:37">
      <c r="B19376" s="834" t="str">
        <f t="shared" si="685"/>
        <v>|||</v>
      </c>
      <c r="H19376" s="835">
        <f t="shared" si="686"/>
        <v>31</v>
      </c>
      <c r="AF19376" s="831" t="s">
        <v>11575</v>
      </c>
      <c r="AG19376" s="831" t="s">
        <v>2674</v>
      </c>
      <c r="AH19376" s="831" t="s">
        <v>552</v>
      </c>
      <c r="AI19376" s="831">
        <v>0</v>
      </c>
      <c r="AJ19376" s="835">
        <v>41851</v>
      </c>
      <c r="AK19376" s="831">
        <v>0</v>
      </c>
    </row>
    <row r="19377" spans="2:37">
      <c r="B19377" s="834" t="str">
        <f t="shared" si="685"/>
        <v>|||</v>
      </c>
      <c r="H19377" s="835">
        <f t="shared" si="686"/>
        <v>31</v>
      </c>
      <c r="AF19377" s="831" t="s">
        <v>11576</v>
      </c>
      <c r="AG19377" s="831" t="s">
        <v>2674</v>
      </c>
      <c r="AH19377" s="831" t="s">
        <v>551</v>
      </c>
      <c r="AI19377" s="831">
        <v>0</v>
      </c>
      <c r="AJ19377" s="835">
        <v>41851</v>
      </c>
      <c r="AK19377" s="831">
        <v>1101547.72</v>
      </c>
    </row>
    <row r="19378" spans="2:37">
      <c r="B19378" s="834" t="str">
        <f t="shared" si="685"/>
        <v>|||</v>
      </c>
      <c r="H19378" s="835">
        <f t="shared" si="686"/>
        <v>31</v>
      </c>
      <c r="AF19378" s="831" t="s">
        <v>11577</v>
      </c>
      <c r="AG19378" s="831" t="s">
        <v>2674</v>
      </c>
      <c r="AH19378" s="831" t="s">
        <v>550</v>
      </c>
      <c r="AI19378" s="831">
        <v>0</v>
      </c>
      <c r="AJ19378" s="835">
        <v>41851</v>
      </c>
      <c r="AK19378" s="831">
        <v>135362821</v>
      </c>
    </row>
    <row r="19379" spans="2:37">
      <c r="B19379" s="834" t="str">
        <f t="shared" si="685"/>
        <v>|||</v>
      </c>
      <c r="H19379" s="835">
        <f t="shared" si="686"/>
        <v>31</v>
      </c>
      <c r="AF19379" s="831" t="s">
        <v>11578</v>
      </c>
      <c r="AG19379" s="831" t="s">
        <v>2674</v>
      </c>
      <c r="AH19379" s="831" t="s">
        <v>562</v>
      </c>
      <c r="AI19379" s="831">
        <v>0</v>
      </c>
      <c r="AJ19379" s="835">
        <v>41851</v>
      </c>
      <c r="AK19379" s="831">
        <v>0.78364999999999996</v>
      </c>
    </row>
    <row r="19380" spans="2:37">
      <c r="B19380" s="834" t="str">
        <f t="shared" si="685"/>
        <v>|||</v>
      </c>
      <c r="H19380" s="835">
        <f t="shared" si="686"/>
        <v>31</v>
      </c>
      <c r="AF19380" s="831" t="s">
        <v>11579</v>
      </c>
      <c r="AG19380" s="831" t="s">
        <v>2674</v>
      </c>
      <c r="AH19380" s="831" t="s">
        <v>2698</v>
      </c>
      <c r="AI19380" s="831">
        <v>0</v>
      </c>
      <c r="AJ19380" s="835">
        <v>41851</v>
      </c>
      <c r="AK19380" s="831">
        <v>0.78374999999999995</v>
      </c>
    </row>
    <row r="19381" spans="2:37">
      <c r="B19381" s="834" t="str">
        <f t="shared" si="685"/>
        <v>|||</v>
      </c>
      <c r="H19381" s="835">
        <f t="shared" si="686"/>
        <v>31</v>
      </c>
      <c r="AF19381" s="831" t="s">
        <v>11580</v>
      </c>
      <c r="AG19381" s="831" t="s">
        <v>2674</v>
      </c>
      <c r="AH19381" s="831" t="s">
        <v>560</v>
      </c>
      <c r="AI19381" s="831">
        <v>0</v>
      </c>
      <c r="AJ19381" s="835">
        <v>41851</v>
      </c>
      <c r="AK19381" s="831">
        <v>0.78374999999999984</v>
      </c>
    </row>
    <row r="19382" spans="2:37">
      <c r="B19382" s="834" t="str">
        <f t="shared" si="685"/>
        <v>|||</v>
      </c>
      <c r="H19382" s="835">
        <f t="shared" si="686"/>
        <v>31</v>
      </c>
      <c r="AF19382" s="831" t="s">
        <v>11581</v>
      </c>
      <c r="AG19382" s="831" t="s">
        <v>2674</v>
      </c>
      <c r="AH19382" s="831" t="s">
        <v>559</v>
      </c>
      <c r="AI19382" s="831">
        <v>0</v>
      </c>
      <c r="AJ19382" s="835">
        <v>41851</v>
      </c>
      <c r="AK19382" s="831">
        <v>0.78376666666666661</v>
      </c>
    </row>
    <row r="19383" spans="2:37">
      <c r="B19383" s="834" t="str">
        <f t="shared" si="685"/>
        <v>|||</v>
      </c>
      <c r="H19383" s="835">
        <f t="shared" si="686"/>
        <v>31</v>
      </c>
      <c r="AF19383" s="831" t="s">
        <v>11582</v>
      </c>
      <c r="AG19383" s="831" t="s">
        <v>2674</v>
      </c>
      <c r="AH19383" s="831" t="s">
        <v>568</v>
      </c>
      <c r="AI19383" s="831">
        <v>0</v>
      </c>
      <c r="AJ19383" s="835">
        <v>41851</v>
      </c>
      <c r="AK19383" s="831">
        <v>637151141.61153841</v>
      </c>
    </row>
    <row r="19384" spans="2:37">
      <c r="B19384" s="834" t="str">
        <f t="shared" si="685"/>
        <v>|||</v>
      </c>
      <c r="H19384" s="835">
        <f t="shared" si="686"/>
        <v>31</v>
      </c>
      <c r="AF19384" s="831" t="s">
        <v>11583</v>
      </c>
      <c r="AG19384" s="831" t="s">
        <v>2674</v>
      </c>
      <c r="AH19384" s="831" t="s">
        <v>569</v>
      </c>
      <c r="AI19384" s="831">
        <v>0</v>
      </c>
      <c r="AJ19384" s="835">
        <v>41851</v>
      </c>
      <c r="AK19384" s="831">
        <v>786284543.74253845</v>
      </c>
    </row>
    <row r="19385" spans="2:37">
      <c r="B19385" s="834" t="str">
        <f t="shared" si="685"/>
        <v>|||</v>
      </c>
      <c r="H19385" s="835">
        <f t="shared" si="686"/>
        <v>31</v>
      </c>
      <c r="AF19385" s="831" t="s">
        <v>11584</v>
      </c>
      <c r="AG19385" s="831" t="s">
        <v>2674</v>
      </c>
      <c r="AH19385" s="831" t="s">
        <v>570</v>
      </c>
      <c r="AI19385" s="831">
        <v>0</v>
      </c>
      <c r="AJ19385" s="835">
        <v>41851</v>
      </c>
      <c r="AK19385" s="831">
        <v>122542079.44353844</v>
      </c>
    </row>
    <row r="19386" spans="2:37">
      <c r="B19386" s="834" t="str">
        <f t="shared" si="685"/>
        <v>|||</v>
      </c>
      <c r="H19386" s="835">
        <f t="shared" si="686"/>
        <v>31</v>
      </c>
      <c r="AF19386" s="831" t="s">
        <v>11585</v>
      </c>
      <c r="AG19386" s="831" t="s">
        <v>2674</v>
      </c>
      <c r="AH19386" s="831" t="s">
        <v>571</v>
      </c>
      <c r="AI19386" s="831">
        <v>0</v>
      </c>
      <c r="AJ19386" s="835">
        <v>41851</v>
      </c>
      <c r="AK19386" s="831">
        <v>385003742.66715389</v>
      </c>
    </row>
    <row r="19387" spans="2:37">
      <c r="B19387" s="834" t="str">
        <f t="shared" si="685"/>
        <v>|||</v>
      </c>
      <c r="H19387" s="835">
        <f t="shared" si="686"/>
        <v>31</v>
      </c>
      <c r="AF19387" s="831" t="s">
        <v>11586</v>
      </c>
      <c r="AG19387" s="831" t="s">
        <v>2674</v>
      </c>
      <c r="AH19387" s="831" t="s">
        <v>573</v>
      </c>
      <c r="AI19387" s="831">
        <v>0</v>
      </c>
      <c r="AJ19387" s="835">
        <v>41851</v>
      </c>
      <c r="AK19387" s="831">
        <v>843150331.57037497</v>
      </c>
    </row>
    <row r="19388" spans="2:37">
      <c r="B19388" s="834" t="str">
        <f t="shared" si="685"/>
        <v>|||</v>
      </c>
      <c r="H19388" s="835">
        <f t="shared" si="686"/>
        <v>31</v>
      </c>
      <c r="AF19388" s="831" t="s">
        <v>11587</v>
      </c>
      <c r="AG19388" s="831" t="s">
        <v>2674</v>
      </c>
      <c r="AH19388" s="831" t="s">
        <v>574</v>
      </c>
      <c r="AI19388" s="831">
        <v>0</v>
      </c>
      <c r="AJ19388" s="835">
        <v>41851</v>
      </c>
      <c r="AK19388" s="831">
        <v>682697233.875</v>
      </c>
    </row>
    <row r="19389" spans="2:37">
      <c r="B19389" s="834" t="str">
        <f t="shared" si="685"/>
        <v>|||</v>
      </c>
      <c r="H19389" s="835">
        <f t="shared" si="686"/>
        <v>31</v>
      </c>
      <c r="AF19389" s="831" t="s">
        <v>11588</v>
      </c>
      <c r="AG19389" s="831" t="s">
        <v>2674</v>
      </c>
      <c r="AH19389" s="831" t="s">
        <v>575</v>
      </c>
      <c r="AI19389" s="831">
        <v>0</v>
      </c>
      <c r="AJ19389" s="835">
        <v>41851</v>
      </c>
      <c r="AK19389" s="831">
        <v>125963135.86375</v>
      </c>
    </row>
    <row r="19390" spans="2:37">
      <c r="B19390" s="834" t="str">
        <f t="shared" si="685"/>
        <v>|||</v>
      </c>
      <c r="H19390" s="835">
        <f t="shared" si="686"/>
        <v>31</v>
      </c>
      <c r="AF19390" s="831" t="s">
        <v>11589</v>
      </c>
      <c r="AG19390" s="831" t="s">
        <v>2674</v>
      </c>
      <c r="AH19390" s="831" t="s">
        <v>576</v>
      </c>
      <c r="AI19390" s="831">
        <v>0</v>
      </c>
      <c r="AJ19390" s="835">
        <v>41851</v>
      </c>
      <c r="AK19390" s="831">
        <v>415372081.57637501</v>
      </c>
    </row>
    <row r="19391" spans="2:37">
      <c r="B19391" s="834" t="str">
        <f t="shared" si="685"/>
        <v>|||</v>
      </c>
      <c r="H19391" s="835">
        <f t="shared" si="686"/>
        <v>31</v>
      </c>
      <c r="AF19391" s="831" t="s">
        <v>11590</v>
      </c>
      <c r="AG19391" s="831" t="s">
        <v>2674</v>
      </c>
      <c r="AH19391" s="831" t="s">
        <v>572</v>
      </c>
      <c r="AI19391" s="831">
        <v>0</v>
      </c>
      <c r="AJ19391" s="835">
        <v>41851</v>
      </c>
      <c r="AK19391" s="831">
        <v>33061468.956000008</v>
      </c>
    </row>
    <row r="19392" spans="2:37">
      <c r="B19392" s="834" t="str">
        <f t="shared" si="685"/>
        <v>|||</v>
      </c>
      <c r="H19392" s="835">
        <f t="shared" si="686"/>
        <v>31</v>
      </c>
      <c r="AF19392" s="831" t="s">
        <v>11591</v>
      </c>
      <c r="AG19392" s="831" t="s">
        <v>2674</v>
      </c>
      <c r="AH19392" s="831" t="s">
        <v>577</v>
      </c>
      <c r="AI19392" s="831">
        <v>0</v>
      </c>
      <c r="AJ19392" s="835">
        <v>41851</v>
      </c>
      <c r="AK19392" s="831">
        <v>157027827.76300001</v>
      </c>
    </row>
    <row r="19393" spans="2:37">
      <c r="B19393" s="834" t="str">
        <f t="shared" si="685"/>
        <v>|||</v>
      </c>
      <c r="H19393" s="835">
        <f t="shared" si="686"/>
        <v>31</v>
      </c>
      <c r="AF19393" s="831" t="s">
        <v>11592</v>
      </c>
      <c r="AG19393" s="831" t="s">
        <v>2674</v>
      </c>
      <c r="AH19393" s="831" t="s">
        <v>3042</v>
      </c>
      <c r="AI19393" s="831">
        <v>0</v>
      </c>
      <c r="AJ19393" s="835">
        <v>41851</v>
      </c>
      <c r="AK19393" s="831">
        <v>-44607617.527000003</v>
      </c>
    </row>
    <row r="19394" spans="2:37">
      <c r="B19394" s="834" t="str">
        <f t="shared" si="685"/>
        <v>|||</v>
      </c>
      <c r="H19394" s="835">
        <f t="shared" si="686"/>
        <v>31</v>
      </c>
      <c r="AF19394" s="831" t="s">
        <v>11593</v>
      </c>
      <c r="AG19394" s="831" t="s">
        <v>2674</v>
      </c>
      <c r="AH19394" s="831" t="s">
        <v>3044</v>
      </c>
      <c r="AI19394" s="831">
        <v>0</v>
      </c>
      <c r="AJ19394" s="835">
        <v>41851</v>
      </c>
      <c r="AK19394" s="831">
        <v>-2462838.8899999997</v>
      </c>
    </row>
    <row r="19395" spans="2:37">
      <c r="B19395" s="834" t="str">
        <f t="shared" si="685"/>
        <v>|||</v>
      </c>
      <c r="H19395" s="835">
        <f t="shared" si="686"/>
        <v>31</v>
      </c>
      <c r="AF19395" s="831" t="s">
        <v>11594</v>
      </c>
      <c r="AG19395" s="831" t="s">
        <v>2674</v>
      </c>
      <c r="AH19395" s="831" t="s">
        <v>580</v>
      </c>
      <c r="AI19395" s="831">
        <v>0</v>
      </c>
      <c r="AJ19395" s="835">
        <v>41851</v>
      </c>
      <c r="AK19395" s="831">
        <v>-72554848.306999996</v>
      </c>
    </row>
    <row r="19396" spans="2:37">
      <c r="B19396" s="834" t="str">
        <f t="shared" si="685"/>
        <v>|||</v>
      </c>
      <c r="H19396" s="835">
        <f t="shared" si="686"/>
        <v>31</v>
      </c>
      <c r="AF19396" s="831" t="s">
        <v>11595</v>
      </c>
      <c r="AG19396" s="831" t="s">
        <v>2674</v>
      </c>
      <c r="AH19396" s="831" t="s">
        <v>581</v>
      </c>
      <c r="AI19396" s="831">
        <v>0</v>
      </c>
      <c r="AJ19396" s="835">
        <v>41851</v>
      </c>
      <c r="AK19396" s="831">
        <v>6023686.8940000003</v>
      </c>
    </row>
    <row r="19397" spans="2:37">
      <c r="B19397" s="834" t="str">
        <f t="shared" si="685"/>
        <v>|||</v>
      </c>
      <c r="H19397" s="835">
        <f t="shared" si="686"/>
        <v>31</v>
      </c>
      <c r="AF19397" s="831" t="s">
        <v>11596</v>
      </c>
      <c r="AG19397" s="831" t="s">
        <v>2674</v>
      </c>
      <c r="AH19397" s="831" t="s">
        <v>105</v>
      </c>
      <c r="AI19397" s="831">
        <v>0</v>
      </c>
      <c r="AJ19397" s="835">
        <v>41851</v>
      </c>
      <c r="AK19397" s="831">
        <v>472087799</v>
      </c>
    </row>
    <row r="19398" spans="2:37">
      <c r="B19398" s="834" t="str">
        <f t="shared" si="685"/>
        <v>|||</v>
      </c>
      <c r="H19398" s="835">
        <f t="shared" si="686"/>
        <v>31</v>
      </c>
      <c r="AF19398" s="831" t="s">
        <v>11597</v>
      </c>
      <c r="AG19398" s="831" t="s">
        <v>2674</v>
      </c>
      <c r="AH19398" s="831" t="s">
        <v>3049</v>
      </c>
      <c r="AI19398" s="831">
        <v>0</v>
      </c>
      <c r="AJ19398" s="835">
        <v>41851</v>
      </c>
      <c r="AK19398" s="831">
        <v>778154132</v>
      </c>
    </row>
    <row r="19399" spans="2:37">
      <c r="B19399" s="834" t="str">
        <f t="shared" si="685"/>
        <v>|||</v>
      </c>
      <c r="H19399" s="835">
        <f t="shared" si="686"/>
        <v>31</v>
      </c>
      <c r="AF19399" s="831" t="s">
        <v>11598</v>
      </c>
      <c r="AG19399" s="831" t="s">
        <v>2674</v>
      </c>
      <c r="AH19399" s="831" t="s">
        <v>103</v>
      </c>
      <c r="AI19399" s="831">
        <v>0</v>
      </c>
      <c r="AJ19399" s="835">
        <v>41851</v>
      </c>
      <c r="AK19399" s="831">
        <v>306066333</v>
      </c>
    </row>
    <row r="19400" spans="2:37">
      <c r="B19400" s="834" t="str">
        <f t="shared" si="685"/>
        <v>|||</v>
      </c>
      <c r="H19400" s="835">
        <f t="shared" si="686"/>
        <v>31</v>
      </c>
      <c r="AF19400" s="831" t="s">
        <v>11599</v>
      </c>
      <c r="AG19400" s="831" t="s">
        <v>2674</v>
      </c>
      <c r="AH19400" s="831" t="s">
        <v>182</v>
      </c>
      <c r="AI19400" s="831">
        <v>0</v>
      </c>
      <c r="AJ19400" s="835">
        <v>41851</v>
      </c>
      <c r="AK19400" s="831">
        <v>72589813.714285716</v>
      </c>
    </row>
    <row r="19401" spans="2:37">
      <c r="B19401" s="834" t="str">
        <f t="shared" si="685"/>
        <v>|||</v>
      </c>
      <c r="H19401" s="835">
        <f t="shared" si="686"/>
        <v>31</v>
      </c>
      <c r="AF19401" s="831" t="s">
        <v>11600</v>
      </c>
      <c r="AG19401" s="831" t="s">
        <v>2674</v>
      </c>
      <c r="AH19401" s="831" t="s">
        <v>6600</v>
      </c>
      <c r="AI19401" s="831">
        <v>0</v>
      </c>
      <c r="AJ19401" s="835">
        <v>41851</v>
      </c>
      <c r="AK19401" s="831">
        <v>33061468.956000008</v>
      </c>
    </row>
    <row r="19402" spans="2:37">
      <c r="B19402" s="834" t="str">
        <f t="shared" si="685"/>
        <v>|||</v>
      </c>
      <c r="H19402" s="835">
        <f t="shared" si="686"/>
        <v>31</v>
      </c>
      <c r="AF19402" s="831" t="s">
        <v>11601</v>
      </c>
      <c r="AG19402" s="831" t="s">
        <v>2674</v>
      </c>
      <c r="AH19402" s="831" t="s">
        <v>6602</v>
      </c>
      <c r="AI19402" s="831">
        <v>0</v>
      </c>
      <c r="AJ19402" s="835">
        <v>41851</v>
      </c>
      <c r="AK19402" s="831">
        <v>22009267</v>
      </c>
    </row>
    <row r="19403" spans="2:37">
      <c r="B19403" s="834" t="str">
        <f t="shared" si="685"/>
        <v>|||</v>
      </c>
      <c r="H19403" s="835">
        <f t="shared" si="686"/>
        <v>31</v>
      </c>
      <c r="AF19403" s="831" t="s">
        <v>11602</v>
      </c>
      <c r="AG19403" s="831" t="s">
        <v>2674</v>
      </c>
      <c r="AH19403" s="831" t="s">
        <v>650</v>
      </c>
      <c r="AI19403" s="831">
        <v>0</v>
      </c>
      <c r="AJ19403" s="835">
        <v>41851</v>
      </c>
      <c r="AK19403" s="831">
        <v>258051740.34761539</v>
      </c>
    </row>
    <row r="19404" spans="2:37">
      <c r="B19404" s="834" t="str">
        <f t="shared" si="685"/>
        <v>|||</v>
      </c>
      <c r="H19404" s="835">
        <f t="shared" si="686"/>
        <v>31</v>
      </c>
      <c r="AF19404" s="831" t="s">
        <v>11603</v>
      </c>
      <c r="AG19404" s="831" t="s">
        <v>2674</v>
      </c>
      <c r="AH19404" s="831" t="s">
        <v>655</v>
      </c>
      <c r="AI19404" s="831">
        <v>0</v>
      </c>
      <c r="AJ19404" s="835">
        <v>41851</v>
      </c>
      <c r="AK19404" s="831">
        <v>953974.79</v>
      </c>
    </row>
    <row r="19405" spans="2:37">
      <c r="B19405" s="834" t="str">
        <f t="shared" si="685"/>
        <v>|||</v>
      </c>
      <c r="H19405" s="835">
        <f t="shared" si="686"/>
        <v>31</v>
      </c>
      <c r="AF19405" s="831" t="s">
        <v>11604</v>
      </c>
      <c r="AG19405" s="831" t="s">
        <v>2674</v>
      </c>
      <c r="AH19405" s="831" t="s">
        <v>546</v>
      </c>
      <c r="AI19405" s="831">
        <v>0</v>
      </c>
      <c r="AJ19405" s="835">
        <v>41882</v>
      </c>
      <c r="AK19405" s="831">
        <v>752496052</v>
      </c>
    </row>
    <row r="19406" spans="2:37">
      <c r="B19406" s="834" t="str">
        <f t="shared" si="685"/>
        <v>|||</v>
      </c>
      <c r="H19406" s="835">
        <f t="shared" si="686"/>
        <v>31</v>
      </c>
      <c r="AF19406" s="831" t="s">
        <v>11605</v>
      </c>
      <c r="AG19406" s="831" t="s">
        <v>2674</v>
      </c>
      <c r="AH19406" s="831" t="s">
        <v>370</v>
      </c>
      <c r="AI19406" s="831">
        <v>0</v>
      </c>
      <c r="AJ19406" s="835">
        <v>41882</v>
      </c>
      <c r="AK19406" s="831">
        <v>955327873</v>
      </c>
    </row>
    <row r="19407" spans="2:37">
      <c r="B19407" s="834" t="str">
        <f t="shared" si="685"/>
        <v>|||</v>
      </c>
      <c r="H19407" s="835">
        <f t="shared" si="686"/>
        <v>31</v>
      </c>
      <c r="AF19407" s="831" t="s">
        <v>11606</v>
      </c>
      <c r="AG19407" s="831" t="s">
        <v>2674</v>
      </c>
      <c r="AH19407" s="831" t="s">
        <v>126</v>
      </c>
      <c r="AI19407" s="831">
        <v>0</v>
      </c>
      <c r="AJ19407" s="835">
        <v>41882</v>
      </c>
      <c r="AK19407" s="831">
        <v>141824046.03</v>
      </c>
    </row>
    <row r="19408" spans="2:37">
      <c r="B19408" s="834" t="str">
        <f t="shared" si="685"/>
        <v>|||</v>
      </c>
      <c r="H19408" s="835">
        <f t="shared" si="686"/>
        <v>31</v>
      </c>
      <c r="AF19408" s="831" t="s">
        <v>11607</v>
      </c>
      <c r="AG19408" s="831" t="s">
        <v>2674</v>
      </c>
      <c r="AH19408" s="831" t="s">
        <v>268</v>
      </c>
      <c r="AI19408" s="831">
        <v>0</v>
      </c>
      <c r="AJ19408" s="835">
        <v>41882</v>
      </c>
      <c r="AK19408" s="831">
        <v>25500774.76800001</v>
      </c>
    </row>
    <row r="19409" spans="2:37">
      <c r="B19409" s="834" t="str">
        <f t="shared" ref="B19409:B19472" si="687">C19409&amp;"|"&amp;D19409&amp;"|"&amp;E19409&amp;"|"&amp;F19409</f>
        <v>|||</v>
      </c>
      <c r="H19409" s="835">
        <f t="shared" ref="H19409:H19472" si="688">EOMONTH(L19409,0)</f>
        <v>31</v>
      </c>
      <c r="AF19409" s="831" t="s">
        <v>11608</v>
      </c>
      <c r="AG19409" s="831" t="s">
        <v>2674</v>
      </c>
      <c r="AH19409" s="831" t="s">
        <v>547</v>
      </c>
      <c r="AI19409" s="831">
        <v>0</v>
      </c>
      <c r="AJ19409" s="835">
        <v>41882</v>
      </c>
      <c r="AK19409" s="831">
        <v>777719977</v>
      </c>
    </row>
    <row r="19410" spans="2:37">
      <c r="B19410" s="834" t="str">
        <f t="shared" si="687"/>
        <v>|||</v>
      </c>
      <c r="H19410" s="835">
        <f t="shared" si="688"/>
        <v>31</v>
      </c>
      <c r="AF19410" s="831" t="s">
        <v>11609</v>
      </c>
      <c r="AG19410" s="831" t="s">
        <v>2674</v>
      </c>
      <c r="AH19410" s="831" t="s">
        <v>548</v>
      </c>
      <c r="AI19410" s="831">
        <v>0</v>
      </c>
      <c r="AJ19410" s="835">
        <v>41882</v>
      </c>
      <c r="AK19410" s="831">
        <v>117105496</v>
      </c>
    </row>
    <row r="19411" spans="2:37">
      <c r="B19411" s="834" t="str">
        <f t="shared" si="687"/>
        <v>|||</v>
      </c>
      <c r="H19411" s="835">
        <f t="shared" si="688"/>
        <v>31</v>
      </c>
      <c r="AF19411" s="831" t="s">
        <v>11610</v>
      </c>
      <c r="AG19411" s="831" t="s">
        <v>2674</v>
      </c>
      <c r="AH19411" s="831" t="s">
        <v>549</v>
      </c>
      <c r="AI19411" s="831">
        <v>0</v>
      </c>
      <c r="AJ19411" s="835">
        <v>41882</v>
      </c>
      <c r="AK19411" s="831">
        <v>548671343</v>
      </c>
    </row>
    <row r="19412" spans="2:37">
      <c r="B19412" s="834" t="str">
        <f t="shared" si="687"/>
        <v>|||</v>
      </c>
      <c r="H19412" s="835">
        <f t="shared" si="688"/>
        <v>31</v>
      </c>
      <c r="AF19412" s="831" t="s">
        <v>11611</v>
      </c>
      <c r="AG19412" s="831" t="s">
        <v>2674</v>
      </c>
      <c r="AH19412" s="831" t="s">
        <v>192</v>
      </c>
      <c r="AI19412" s="831">
        <v>0</v>
      </c>
      <c r="AJ19412" s="835">
        <v>41882</v>
      </c>
      <c r="AK19412" s="831">
        <v>-11209860</v>
      </c>
    </row>
    <row r="19413" spans="2:37">
      <c r="B19413" s="834" t="str">
        <f t="shared" si="687"/>
        <v>|||</v>
      </c>
      <c r="H19413" s="835">
        <f t="shared" si="688"/>
        <v>31</v>
      </c>
      <c r="AF19413" s="831" t="s">
        <v>11612</v>
      </c>
      <c r="AG19413" s="831" t="s">
        <v>2674</v>
      </c>
      <c r="AH19413" s="831" t="s">
        <v>558</v>
      </c>
      <c r="AI19413" s="831">
        <v>0</v>
      </c>
      <c r="AJ19413" s="835">
        <v>41882</v>
      </c>
      <c r="AK19413" s="831">
        <v>813503827.41700006</v>
      </c>
    </row>
    <row r="19414" spans="2:37">
      <c r="B19414" s="834" t="str">
        <f t="shared" si="687"/>
        <v>|||</v>
      </c>
      <c r="H19414" s="835">
        <f t="shared" si="688"/>
        <v>31</v>
      </c>
      <c r="AF19414" s="831" t="s">
        <v>11613</v>
      </c>
      <c r="AG19414" s="831" t="s">
        <v>2674</v>
      </c>
      <c r="AH19414" s="831" t="s">
        <v>65</v>
      </c>
      <c r="AI19414" s="831">
        <v>0</v>
      </c>
      <c r="AJ19414" s="835">
        <v>41882</v>
      </c>
      <c r="AK19414" s="831">
        <v>110886310.662</v>
      </c>
    </row>
    <row r="19415" spans="2:37">
      <c r="B19415" s="834" t="str">
        <f t="shared" si="687"/>
        <v>|||</v>
      </c>
      <c r="H19415" s="835">
        <f t="shared" si="688"/>
        <v>31</v>
      </c>
      <c r="AF19415" s="831" t="s">
        <v>11614</v>
      </c>
      <c r="AG19415" s="831" t="s">
        <v>2674</v>
      </c>
      <c r="AH19415" s="831" t="s">
        <v>89</v>
      </c>
      <c r="AI19415" s="831">
        <v>0</v>
      </c>
      <c r="AJ19415" s="835">
        <v>41882</v>
      </c>
      <c r="AK19415" s="831">
        <v>158540</v>
      </c>
    </row>
    <row r="19416" spans="2:37">
      <c r="B19416" s="834" t="str">
        <f t="shared" si="687"/>
        <v>|||</v>
      </c>
      <c r="H19416" s="835">
        <f t="shared" si="688"/>
        <v>31</v>
      </c>
      <c r="AF19416" s="831" t="s">
        <v>11615</v>
      </c>
      <c r="AG19416" s="831" t="s">
        <v>2674</v>
      </c>
      <c r="AH19416" s="831" t="s">
        <v>557</v>
      </c>
      <c r="AI19416" s="831">
        <v>0</v>
      </c>
      <c r="AJ19416" s="835">
        <v>41882</v>
      </c>
      <c r="AK19416" s="831">
        <v>176987</v>
      </c>
    </row>
    <row r="19417" spans="2:37">
      <c r="B19417" s="834" t="str">
        <f t="shared" si="687"/>
        <v>|||</v>
      </c>
      <c r="H19417" s="835">
        <f t="shared" si="688"/>
        <v>31</v>
      </c>
      <c r="AF19417" s="831" t="s">
        <v>11616</v>
      </c>
      <c r="AG19417" s="831" t="s">
        <v>2674</v>
      </c>
      <c r="AH19417" s="831" t="s">
        <v>29</v>
      </c>
      <c r="AI19417" s="831">
        <v>0</v>
      </c>
      <c r="AJ19417" s="835">
        <v>41882</v>
      </c>
      <c r="AK19417" s="831">
        <v>1746361.094</v>
      </c>
    </row>
    <row r="19418" spans="2:37">
      <c r="B19418" s="834" t="str">
        <f t="shared" si="687"/>
        <v>|||</v>
      </c>
      <c r="H19418" s="835">
        <f t="shared" si="688"/>
        <v>31</v>
      </c>
      <c r="AF19418" s="831" t="s">
        <v>11617</v>
      </c>
      <c r="AG19418" s="831" t="s">
        <v>2674</v>
      </c>
      <c r="AH19418" s="831" t="s">
        <v>2688</v>
      </c>
      <c r="AI19418" s="831">
        <v>0</v>
      </c>
      <c r="AJ19418" s="835">
        <v>41882</v>
      </c>
      <c r="AK19418" s="831">
        <v>4781420.7300000004</v>
      </c>
    </row>
    <row r="19419" spans="2:37">
      <c r="B19419" s="834" t="str">
        <f t="shared" si="687"/>
        <v>|||</v>
      </c>
      <c r="H19419" s="835">
        <f t="shared" si="688"/>
        <v>31</v>
      </c>
      <c r="AF19419" s="831" t="s">
        <v>11618</v>
      </c>
      <c r="AG19419" s="831" t="s">
        <v>2674</v>
      </c>
      <c r="AH19419" s="831" t="s">
        <v>556</v>
      </c>
      <c r="AI19419" s="831">
        <v>0</v>
      </c>
      <c r="AJ19419" s="835">
        <v>41882</v>
      </c>
      <c r="AK19419" s="831">
        <v>4890559</v>
      </c>
    </row>
    <row r="19420" spans="2:37">
      <c r="B19420" s="834" t="str">
        <f t="shared" si="687"/>
        <v>|||</v>
      </c>
      <c r="H19420" s="835">
        <f t="shared" si="688"/>
        <v>31</v>
      </c>
      <c r="AF19420" s="831" t="s">
        <v>11619</v>
      </c>
      <c r="AG19420" s="831" t="s">
        <v>2674</v>
      </c>
      <c r="AH19420" s="831" t="s">
        <v>555</v>
      </c>
      <c r="AI19420" s="831">
        <v>0</v>
      </c>
      <c r="AJ19420" s="835">
        <v>41882</v>
      </c>
      <c r="AK19420" s="831">
        <v>533401131</v>
      </c>
    </row>
    <row r="19421" spans="2:37">
      <c r="B19421" s="834" t="str">
        <f t="shared" si="687"/>
        <v>|||</v>
      </c>
      <c r="H19421" s="835">
        <f t="shared" si="688"/>
        <v>31</v>
      </c>
      <c r="AF19421" s="831" t="s">
        <v>11620</v>
      </c>
      <c r="AG19421" s="831" t="s">
        <v>2674</v>
      </c>
      <c r="AH19421" s="831" t="s">
        <v>554</v>
      </c>
      <c r="AI19421" s="831">
        <v>0</v>
      </c>
      <c r="AJ19421" s="835">
        <v>41882</v>
      </c>
      <c r="AK19421" s="831">
        <v>543423580</v>
      </c>
    </row>
    <row r="19422" spans="2:37">
      <c r="B19422" s="834" t="str">
        <f t="shared" si="687"/>
        <v>|||</v>
      </c>
      <c r="H19422" s="835">
        <f t="shared" si="688"/>
        <v>31</v>
      </c>
      <c r="AF19422" s="831" t="s">
        <v>11621</v>
      </c>
      <c r="AG19422" s="831" t="s">
        <v>2674</v>
      </c>
      <c r="AH19422" s="831" t="s">
        <v>553</v>
      </c>
      <c r="AI19422" s="831">
        <v>0</v>
      </c>
      <c r="AJ19422" s="835">
        <v>41882</v>
      </c>
      <c r="AK19422" s="831">
        <v>0</v>
      </c>
    </row>
    <row r="19423" spans="2:37">
      <c r="B19423" s="834" t="str">
        <f t="shared" si="687"/>
        <v>|||</v>
      </c>
      <c r="H19423" s="835">
        <f t="shared" si="688"/>
        <v>31</v>
      </c>
      <c r="AF19423" s="831" t="s">
        <v>11622</v>
      </c>
      <c r="AG19423" s="831" t="s">
        <v>2674</v>
      </c>
      <c r="AH19423" s="831" t="s">
        <v>552</v>
      </c>
      <c r="AI19423" s="831">
        <v>0</v>
      </c>
      <c r="AJ19423" s="835">
        <v>41882</v>
      </c>
      <c r="AK19423" s="831">
        <v>0</v>
      </c>
    </row>
    <row r="19424" spans="2:37">
      <c r="B19424" s="834" t="str">
        <f t="shared" si="687"/>
        <v>|||</v>
      </c>
      <c r="H19424" s="835">
        <f t="shared" si="688"/>
        <v>31</v>
      </c>
      <c r="AF19424" s="831" t="s">
        <v>11623</v>
      </c>
      <c r="AG19424" s="831" t="s">
        <v>2674</v>
      </c>
      <c r="AH19424" s="831" t="s">
        <v>551</v>
      </c>
      <c r="AI19424" s="831">
        <v>0</v>
      </c>
      <c r="AJ19424" s="835">
        <v>41882</v>
      </c>
      <c r="AK19424" s="831">
        <v>1392541.4989999998</v>
      </c>
    </row>
    <row r="19425" spans="2:37">
      <c r="B19425" s="834" t="str">
        <f t="shared" si="687"/>
        <v>|||</v>
      </c>
      <c r="H19425" s="835">
        <f t="shared" si="688"/>
        <v>31</v>
      </c>
      <c r="AF19425" s="831" t="s">
        <v>11624</v>
      </c>
      <c r="AG19425" s="831" t="s">
        <v>2674</v>
      </c>
      <c r="AH19425" s="831" t="s">
        <v>550</v>
      </c>
      <c r="AI19425" s="831">
        <v>0</v>
      </c>
      <c r="AJ19425" s="835">
        <v>41882</v>
      </c>
      <c r="AK19425" s="831">
        <v>138005087</v>
      </c>
    </row>
    <row r="19426" spans="2:37">
      <c r="B19426" s="834" t="str">
        <f t="shared" si="687"/>
        <v>|||</v>
      </c>
      <c r="H19426" s="835">
        <f t="shared" si="688"/>
        <v>31</v>
      </c>
      <c r="AF19426" s="831" t="s">
        <v>11625</v>
      </c>
      <c r="AG19426" s="831" t="s">
        <v>2674</v>
      </c>
      <c r="AH19426" s="831" t="s">
        <v>562</v>
      </c>
      <c r="AI19426" s="831">
        <v>0</v>
      </c>
      <c r="AJ19426" s="835">
        <v>41882</v>
      </c>
      <c r="AK19426" s="831">
        <v>0.7833</v>
      </c>
    </row>
    <row r="19427" spans="2:37">
      <c r="B19427" s="834" t="str">
        <f t="shared" si="687"/>
        <v>|||</v>
      </c>
      <c r="H19427" s="835">
        <f t="shared" si="688"/>
        <v>31</v>
      </c>
      <c r="AF19427" s="831" t="s">
        <v>11626</v>
      </c>
      <c r="AG19427" s="831" t="s">
        <v>2674</v>
      </c>
      <c r="AH19427" s="831" t="s">
        <v>2698</v>
      </c>
      <c r="AI19427" s="831">
        <v>0</v>
      </c>
      <c r="AJ19427" s="835">
        <v>41882</v>
      </c>
      <c r="AK19427" s="831">
        <v>0.78364999999999996</v>
      </c>
    </row>
    <row r="19428" spans="2:37">
      <c r="B19428" s="834" t="str">
        <f t="shared" si="687"/>
        <v>|||</v>
      </c>
      <c r="H19428" s="835">
        <f t="shared" si="688"/>
        <v>31</v>
      </c>
      <c r="AF19428" s="831" t="s">
        <v>11627</v>
      </c>
      <c r="AG19428" s="831" t="s">
        <v>2674</v>
      </c>
      <c r="AH19428" s="831" t="s">
        <v>560</v>
      </c>
      <c r="AI19428" s="831">
        <v>0</v>
      </c>
      <c r="AJ19428" s="835">
        <v>41882</v>
      </c>
      <c r="AK19428" s="831">
        <v>0.78369374999999997</v>
      </c>
    </row>
    <row r="19429" spans="2:37">
      <c r="B19429" s="834" t="str">
        <f t="shared" si="687"/>
        <v>|||</v>
      </c>
      <c r="H19429" s="835">
        <f t="shared" si="688"/>
        <v>31</v>
      </c>
      <c r="AF19429" s="831" t="s">
        <v>11628</v>
      </c>
      <c r="AG19429" s="831" t="s">
        <v>2674</v>
      </c>
      <c r="AH19429" s="831" t="s">
        <v>559</v>
      </c>
      <c r="AI19429" s="831">
        <v>0</v>
      </c>
      <c r="AJ19429" s="835">
        <v>41882</v>
      </c>
      <c r="AK19429" s="831">
        <v>0.78372083333333331</v>
      </c>
    </row>
    <row r="19430" spans="2:37">
      <c r="B19430" s="834" t="str">
        <f t="shared" si="687"/>
        <v>|||</v>
      </c>
      <c r="H19430" s="835">
        <f t="shared" si="688"/>
        <v>31</v>
      </c>
      <c r="AF19430" s="831" t="s">
        <v>11629</v>
      </c>
      <c r="AG19430" s="831" t="s">
        <v>2674</v>
      </c>
      <c r="AH19430" s="831" t="s">
        <v>568</v>
      </c>
      <c r="AI19430" s="831">
        <v>0</v>
      </c>
      <c r="AJ19430" s="835">
        <v>41882</v>
      </c>
      <c r="AK19430" s="831">
        <v>654234997.14999998</v>
      </c>
    </row>
    <row r="19431" spans="2:37">
      <c r="B19431" s="834" t="str">
        <f t="shared" si="687"/>
        <v>|||</v>
      </c>
      <c r="H19431" s="835">
        <f t="shared" si="688"/>
        <v>31</v>
      </c>
      <c r="AF19431" s="831" t="s">
        <v>11630</v>
      </c>
      <c r="AG19431" s="831" t="s">
        <v>2674</v>
      </c>
      <c r="AH19431" s="831" t="s">
        <v>569</v>
      </c>
      <c r="AI19431" s="831">
        <v>0</v>
      </c>
      <c r="AJ19431" s="835">
        <v>41882</v>
      </c>
      <c r="AK19431" s="831">
        <v>809130662.58869231</v>
      </c>
    </row>
    <row r="19432" spans="2:37">
      <c r="B19432" s="834" t="str">
        <f t="shared" si="687"/>
        <v>|||</v>
      </c>
      <c r="H19432" s="835">
        <f t="shared" si="688"/>
        <v>31</v>
      </c>
      <c r="AF19432" s="831" t="s">
        <v>11631</v>
      </c>
      <c r="AG19432" s="831" t="s">
        <v>2674</v>
      </c>
      <c r="AH19432" s="831" t="s">
        <v>570</v>
      </c>
      <c r="AI19432" s="831">
        <v>0</v>
      </c>
      <c r="AJ19432" s="835">
        <v>41882</v>
      </c>
      <c r="AK19432" s="831">
        <v>124921808.98430769</v>
      </c>
    </row>
    <row r="19433" spans="2:37">
      <c r="B19433" s="834" t="str">
        <f t="shared" si="687"/>
        <v>|||</v>
      </c>
      <c r="H19433" s="835">
        <f t="shared" si="688"/>
        <v>31</v>
      </c>
      <c r="AF19433" s="831" t="s">
        <v>11632</v>
      </c>
      <c r="AG19433" s="831" t="s">
        <v>2674</v>
      </c>
      <c r="AH19433" s="831" t="s">
        <v>571</v>
      </c>
      <c r="AI19433" s="831">
        <v>0</v>
      </c>
      <c r="AJ19433" s="835">
        <v>41882</v>
      </c>
      <c r="AK19433" s="831">
        <v>397063607.00692308</v>
      </c>
    </row>
    <row r="19434" spans="2:37">
      <c r="B19434" s="834" t="str">
        <f t="shared" si="687"/>
        <v>|||</v>
      </c>
      <c r="H19434" s="835">
        <f t="shared" si="688"/>
        <v>31</v>
      </c>
      <c r="AF19434" s="831" t="s">
        <v>11633</v>
      </c>
      <c r="AG19434" s="831" t="s">
        <v>2674</v>
      </c>
      <c r="AH19434" s="831" t="s">
        <v>573</v>
      </c>
      <c r="AI19434" s="831">
        <v>0</v>
      </c>
      <c r="AJ19434" s="835">
        <v>41882</v>
      </c>
      <c r="AK19434" s="831">
        <v>855614502.84033334</v>
      </c>
    </row>
    <row r="19435" spans="2:37">
      <c r="B19435" s="834" t="str">
        <f t="shared" si="687"/>
        <v>|||</v>
      </c>
      <c r="H19435" s="835">
        <f t="shared" si="688"/>
        <v>31</v>
      </c>
      <c r="AF19435" s="831" t="s">
        <v>11634</v>
      </c>
      <c r="AG19435" s="831" t="s">
        <v>2674</v>
      </c>
      <c r="AH19435" s="831" t="s">
        <v>574</v>
      </c>
      <c r="AI19435" s="831">
        <v>0</v>
      </c>
      <c r="AJ19435" s="835">
        <v>41882</v>
      </c>
      <c r="AK19435" s="831">
        <v>690452658.11111116</v>
      </c>
    </row>
    <row r="19436" spans="2:37">
      <c r="B19436" s="834" t="str">
        <f t="shared" si="687"/>
        <v>|||</v>
      </c>
      <c r="H19436" s="835">
        <f t="shared" si="688"/>
        <v>31</v>
      </c>
      <c r="AF19436" s="831" t="s">
        <v>11635</v>
      </c>
      <c r="AG19436" s="831" t="s">
        <v>2674</v>
      </c>
      <c r="AH19436" s="831" t="s">
        <v>575</v>
      </c>
      <c r="AI19436" s="831">
        <v>0</v>
      </c>
      <c r="AJ19436" s="835">
        <v>41882</v>
      </c>
      <c r="AK19436" s="831">
        <v>127725459.21555556</v>
      </c>
    </row>
    <row r="19437" spans="2:37">
      <c r="B19437" s="834" t="str">
        <f t="shared" si="687"/>
        <v>|||</v>
      </c>
      <c r="H19437" s="835">
        <f t="shared" si="688"/>
        <v>31</v>
      </c>
      <c r="AF19437" s="831" t="s">
        <v>11636</v>
      </c>
      <c r="AG19437" s="831" t="s">
        <v>2674</v>
      </c>
      <c r="AH19437" s="831" t="s">
        <v>576</v>
      </c>
      <c r="AI19437" s="831">
        <v>0</v>
      </c>
      <c r="AJ19437" s="835">
        <v>41882</v>
      </c>
      <c r="AK19437" s="831">
        <v>422408457.33644444</v>
      </c>
    </row>
    <row r="19438" spans="2:37">
      <c r="B19438" s="834" t="str">
        <f t="shared" si="687"/>
        <v>|||</v>
      </c>
      <c r="H19438" s="835">
        <f t="shared" si="688"/>
        <v>31</v>
      </c>
      <c r="AF19438" s="831" t="s">
        <v>11637</v>
      </c>
      <c r="AG19438" s="831" t="s">
        <v>2674</v>
      </c>
      <c r="AH19438" s="831" t="s">
        <v>572</v>
      </c>
      <c r="AI19438" s="831">
        <v>0</v>
      </c>
      <c r="AJ19438" s="835">
        <v>41882</v>
      </c>
      <c r="AK19438" s="831">
        <v>33565597.724000007</v>
      </c>
    </row>
    <row r="19439" spans="2:37">
      <c r="B19439" s="834" t="str">
        <f t="shared" si="687"/>
        <v>|||</v>
      </c>
      <c r="H19439" s="835">
        <f t="shared" si="688"/>
        <v>31</v>
      </c>
      <c r="AF19439" s="831" t="s">
        <v>11638</v>
      </c>
      <c r="AG19439" s="831" t="s">
        <v>2674</v>
      </c>
      <c r="AH19439" s="831" t="s">
        <v>577</v>
      </c>
      <c r="AI19439" s="831">
        <v>0</v>
      </c>
      <c r="AJ19439" s="835">
        <v>41882</v>
      </c>
      <c r="AK19439" s="831">
        <v>160354648.42500001</v>
      </c>
    </row>
    <row r="19440" spans="2:37">
      <c r="B19440" s="834" t="str">
        <f t="shared" si="687"/>
        <v>|||</v>
      </c>
      <c r="H19440" s="835">
        <f t="shared" si="688"/>
        <v>31</v>
      </c>
      <c r="AF19440" s="831" t="s">
        <v>11639</v>
      </c>
      <c r="AG19440" s="831" t="s">
        <v>2674</v>
      </c>
      <c r="AH19440" s="831" t="s">
        <v>3042</v>
      </c>
      <c r="AI19440" s="831">
        <v>0</v>
      </c>
      <c r="AJ19440" s="835">
        <v>41882</v>
      </c>
      <c r="AK19440" s="831">
        <v>-46384889.891000003</v>
      </c>
    </row>
    <row r="19441" spans="2:37">
      <c r="B19441" s="834" t="str">
        <f t="shared" si="687"/>
        <v>|||</v>
      </c>
      <c r="H19441" s="835">
        <f t="shared" si="688"/>
        <v>31</v>
      </c>
      <c r="AF19441" s="831" t="s">
        <v>11640</v>
      </c>
      <c r="AG19441" s="831" t="s">
        <v>2674</v>
      </c>
      <c r="AH19441" s="831" t="s">
        <v>3044</v>
      </c>
      <c r="AI19441" s="831">
        <v>0</v>
      </c>
      <c r="AJ19441" s="835">
        <v>41882</v>
      </c>
      <c r="AK19441" s="831">
        <v>-2154547.3159999996</v>
      </c>
    </row>
    <row r="19442" spans="2:37">
      <c r="B19442" s="834" t="str">
        <f t="shared" si="687"/>
        <v>|||</v>
      </c>
      <c r="H19442" s="835">
        <f t="shared" si="688"/>
        <v>31</v>
      </c>
      <c r="AF19442" s="831" t="s">
        <v>11641</v>
      </c>
      <c r="AG19442" s="831" t="s">
        <v>2674</v>
      </c>
      <c r="AH19442" s="831" t="s">
        <v>580</v>
      </c>
      <c r="AI19442" s="831">
        <v>0</v>
      </c>
      <c r="AJ19442" s="835">
        <v>41882</v>
      </c>
      <c r="AK19442" s="831">
        <v>-74112712.891000003</v>
      </c>
    </row>
    <row r="19443" spans="2:37">
      <c r="B19443" s="834" t="str">
        <f t="shared" si="687"/>
        <v>|||</v>
      </c>
      <c r="H19443" s="835">
        <f t="shared" si="688"/>
        <v>31</v>
      </c>
      <c r="AF19443" s="831" t="s">
        <v>11642</v>
      </c>
      <c r="AG19443" s="831" t="s">
        <v>2674</v>
      </c>
      <c r="AH19443" s="831" t="s">
        <v>581</v>
      </c>
      <c r="AI19443" s="831">
        <v>0</v>
      </c>
      <c r="AJ19443" s="835">
        <v>41882</v>
      </c>
      <c r="AK19443" s="831">
        <v>6514589.0720000006</v>
      </c>
    </row>
    <row r="19444" spans="2:37">
      <c r="B19444" s="834" t="str">
        <f t="shared" si="687"/>
        <v>|||</v>
      </c>
      <c r="H19444" s="835">
        <f t="shared" si="688"/>
        <v>31</v>
      </c>
      <c r="AF19444" s="831" t="s">
        <v>11643</v>
      </c>
      <c r="AG19444" s="831" t="s">
        <v>2674</v>
      </c>
      <c r="AH19444" s="831" t="s">
        <v>105</v>
      </c>
      <c r="AI19444" s="831">
        <v>0</v>
      </c>
      <c r="AJ19444" s="835">
        <v>41882</v>
      </c>
      <c r="AK19444" s="831">
        <v>478699463.41700006</v>
      </c>
    </row>
    <row r="19445" spans="2:37">
      <c r="B19445" s="834" t="str">
        <f t="shared" si="687"/>
        <v>|||</v>
      </c>
      <c r="H19445" s="835">
        <f t="shared" si="688"/>
        <v>31</v>
      </c>
      <c r="AF19445" s="831" t="s">
        <v>11644</v>
      </c>
      <c r="AG19445" s="831" t="s">
        <v>2674</v>
      </c>
      <c r="AH19445" s="831" t="s">
        <v>3049</v>
      </c>
      <c r="AI19445" s="831">
        <v>0</v>
      </c>
      <c r="AJ19445" s="835">
        <v>41882</v>
      </c>
      <c r="AK19445" s="831">
        <v>787453668.41700006</v>
      </c>
    </row>
    <row r="19446" spans="2:37">
      <c r="B19446" s="834" t="str">
        <f t="shared" si="687"/>
        <v>|||</v>
      </c>
      <c r="H19446" s="835">
        <f t="shared" si="688"/>
        <v>31</v>
      </c>
      <c r="AF19446" s="831" t="s">
        <v>11645</v>
      </c>
      <c r="AG19446" s="831" t="s">
        <v>2674</v>
      </c>
      <c r="AH19446" s="831" t="s">
        <v>103</v>
      </c>
      <c r="AI19446" s="831">
        <v>0</v>
      </c>
      <c r="AJ19446" s="835">
        <v>41882</v>
      </c>
      <c r="AK19446" s="831">
        <v>308754205</v>
      </c>
    </row>
    <row r="19447" spans="2:37">
      <c r="B19447" s="834" t="str">
        <f t="shared" si="687"/>
        <v>|||</v>
      </c>
      <c r="H19447" s="835">
        <f t="shared" si="688"/>
        <v>31</v>
      </c>
      <c r="AF19447" s="831" t="s">
        <v>11646</v>
      </c>
      <c r="AG19447" s="831" t="s">
        <v>2674</v>
      </c>
      <c r="AH19447" s="831" t="s">
        <v>182</v>
      </c>
      <c r="AI19447" s="831">
        <v>0</v>
      </c>
      <c r="AJ19447" s="835">
        <v>41882</v>
      </c>
      <c r="AK19447" s="831">
        <v>72923285.376000002</v>
      </c>
    </row>
    <row r="19448" spans="2:37">
      <c r="B19448" s="834" t="str">
        <f t="shared" si="687"/>
        <v>|||</v>
      </c>
      <c r="H19448" s="835">
        <f t="shared" si="688"/>
        <v>31</v>
      </c>
      <c r="AF19448" s="831" t="s">
        <v>11647</v>
      </c>
      <c r="AG19448" s="831" t="s">
        <v>2674</v>
      </c>
      <c r="AH19448" s="831" t="s">
        <v>6600</v>
      </c>
      <c r="AI19448" s="831">
        <v>0</v>
      </c>
      <c r="AJ19448" s="835">
        <v>41882</v>
      </c>
      <c r="AK19448" s="831">
        <v>33565597.724000007</v>
      </c>
    </row>
    <row r="19449" spans="2:37">
      <c r="B19449" s="834" t="str">
        <f t="shared" si="687"/>
        <v>|||</v>
      </c>
      <c r="H19449" s="835">
        <f t="shared" si="688"/>
        <v>31</v>
      </c>
      <c r="AF19449" s="831" t="s">
        <v>11648</v>
      </c>
      <c r="AG19449" s="831" t="s">
        <v>2674</v>
      </c>
      <c r="AH19449" s="831" t="s">
        <v>6602</v>
      </c>
      <c r="AI19449" s="831">
        <v>0</v>
      </c>
      <c r="AJ19449" s="835">
        <v>41882</v>
      </c>
      <c r="AK19449" s="831">
        <v>25500774.76800001</v>
      </c>
    </row>
    <row r="19450" spans="2:37">
      <c r="B19450" s="834" t="str">
        <f t="shared" si="687"/>
        <v>|||</v>
      </c>
      <c r="H19450" s="835">
        <f t="shared" si="688"/>
        <v>31</v>
      </c>
      <c r="AF19450" s="831" t="s">
        <v>11649</v>
      </c>
      <c r="AG19450" s="831" t="s">
        <v>2674</v>
      </c>
      <c r="AH19450" s="831" t="s">
        <v>650</v>
      </c>
      <c r="AI19450" s="831">
        <v>0</v>
      </c>
      <c r="AJ19450" s="835">
        <v>41882</v>
      </c>
      <c r="AK19450" s="831">
        <v>265538072.42453846</v>
      </c>
    </row>
    <row r="19451" spans="2:37">
      <c r="B19451" s="834" t="str">
        <f t="shared" si="687"/>
        <v>|||</v>
      </c>
      <c r="H19451" s="835">
        <f t="shared" si="688"/>
        <v>31</v>
      </c>
      <c r="AF19451" s="831" t="s">
        <v>11650</v>
      </c>
      <c r="AG19451" s="831" t="s">
        <v>2674</v>
      </c>
      <c r="AH19451" s="831" t="s">
        <v>655</v>
      </c>
      <c r="AI19451" s="831">
        <v>0</v>
      </c>
      <c r="AJ19451" s="835">
        <v>41882</v>
      </c>
      <c r="AK19451" s="831">
        <v>1018935.1089999999</v>
      </c>
    </row>
    <row r="19452" spans="2:37">
      <c r="B19452" s="834" t="str">
        <f t="shared" si="687"/>
        <v>|||</v>
      </c>
      <c r="H19452" s="835">
        <f t="shared" si="688"/>
        <v>31</v>
      </c>
      <c r="AF19452" s="831" t="s">
        <v>11651</v>
      </c>
      <c r="AG19452" s="831" t="s">
        <v>2674</v>
      </c>
      <c r="AH19452" s="831" t="s">
        <v>546</v>
      </c>
      <c r="AI19452" s="831">
        <v>0</v>
      </c>
      <c r="AJ19452" s="835">
        <v>41912</v>
      </c>
      <c r="AK19452" s="831">
        <v>775508043</v>
      </c>
    </row>
    <row r="19453" spans="2:37">
      <c r="B19453" s="834" t="str">
        <f t="shared" si="687"/>
        <v>|||</v>
      </c>
      <c r="H19453" s="835">
        <f t="shared" si="688"/>
        <v>31</v>
      </c>
      <c r="AF19453" s="831" t="s">
        <v>11652</v>
      </c>
      <c r="AG19453" s="831" t="s">
        <v>2674</v>
      </c>
      <c r="AH19453" s="831" t="s">
        <v>370</v>
      </c>
      <c r="AI19453" s="831">
        <v>0</v>
      </c>
      <c r="AJ19453" s="835">
        <v>41912</v>
      </c>
      <c r="AK19453" s="831">
        <v>955738548</v>
      </c>
    </row>
    <row r="19454" spans="2:37">
      <c r="B19454" s="834" t="str">
        <f t="shared" si="687"/>
        <v>|||</v>
      </c>
      <c r="H19454" s="835">
        <f t="shared" si="688"/>
        <v>31</v>
      </c>
      <c r="AF19454" s="831" t="s">
        <v>11653</v>
      </c>
      <c r="AG19454" s="831" t="s">
        <v>2674</v>
      </c>
      <c r="AH19454" s="831" t="s">
        <v>126</v>
      </c>
      <c r="AI19454" s="831">
        <v>0</v>
      </c>
      <c r="AJ19454" s="835">
        <v>41912</v>
      </c>
      <c r="AK19454" s="831">
        <v>145830225</v>
      </c>
    </row>
    <row r="19455" spans="2:37">
      <c r="B19455" s="834" t="str">
        <f t="shared" si="687"/>
        <v>|||</v>
      </c>
      <c r="H19455" s="835">
        <f t="shared" si="688"/>
        <v>31</v>
      </c>
      <c r="AF19455" s="831" t="s">
        <v>11654</v>
      </c>
      <c r="AG19455" s="831" t="s">
        <v>2674</v>
      </c>
      <c r="AH19455" s="831" t="s">
        <v>268</v>
      </c>
      <c r="AI19455" s="831">
        <v>0</v>
      </c>
      <c r="AJ19455" s="835">
        <v>41912</v>
      </c>
      <c r="AK19455" s="831">
        <v>29012035</v>
      </c>
    </row>
    <row r="19456" spans="2:37">
      <c r="B19456" s="834" t="str">
        <f t="shared" si="687"/>
        <v>|||</v>
      </c>
      <c r="H19456" s="835">
        <f t="shared" si="688"/>
        <v>31</v>
      </c>
      <c r="AF19456" s="831" t="s">
        <v>11655</v>
      </c>
      <c r="AG19456" s="831" t="s">
        <v>2674</v>
      </c>
      <c r="AH19456" s="831" t="s">
        <v>547</v>
      </c>
      <c r="AI19456" s="831">
        <v>0</v>
      </c>
      <c r="AJ19456" s="835">
        <v>41912</v>
      </c>
      <c r="AK19456" s="831">
        <v>777719977</v>
      </c>
    </row>
    <row r="19457" spans="2:37">
      <c r="B19457" s="834" t="str">
        <f t="shared" si="687"/>
        <v>|||</v>
      </c>
      <c r="H19457" s="835">
        <f t="shared" si="688"/>
        <v>31</v>
      </c>
      <c r="AF19457" s="831" t="s">
        <v>11656</v>
      </c>
      <c r="AG19457" s="831" t="s">
        <v>2674</v>
      </c>
      <c r="AH19457" s="831" t="s">
        <v>548</v>
      </c>
      <c r="AI19457" s="831">
        <v>0</v>
      </c>
      <c r="AJ19457" s="835">
        <v>41912</v>
      </c>
      <c r="AK19457" s="831">
        <v>117105496</v>
      </c>
    </row>
    <row r="19458" spans="2:37">
      <c r="B19458" s="834" t="str">
        <f t="shared" si="687"/>
        <v>|||</v>
      </c>
      <c r="H19458" s="835">
        <f t="shared" si="688"/>
        <v>31</v>
      </c>
      <c r="AF19458" s="831" t="s">
        <v>11657</v>
      </c>
      <c r="AG19458" s="831" t="s">
        <v>2674</v>
      </c>
      <c r="AH19458" s="831" t="s">
        <v>549</v>
      </c>
      <c r="AI19458" s="831">
        <v>0</v>
      </c>
      <c r="AJ19458" s="835">
        <v>41912</v>
      </c>
      <c r="AK19458" s="831">
        <v>563989028</v>
      </c>
    </row>
    <row r="19459" spans="2:37">
      <c r="B19459" s="834" t="str">
        <f t="shared" si="687"/>
        <v>|||</v>
      </c>
      <c r="H19459" s="835">
        <f t="shared" si="688"/>
        <v>31</v>
      </c>
      <c r="AF19459" s="831" t="s">
        <v>11658</v>
      </c>
      <c r="AG19459" s="831" t="s">
        <v>2674</v>
      </c>
      <c r="AH19459" s="831" t="s">
        <v>192</v>
      </c>
      <c r="AI19459" s="831">
        <v>0</v>
      </c>
      <c r="AJ19459" s="835">
        <v>41912</v>
      </c>
      <c r="AK19459" s="831">
        <v>-11006364</v>
      </c>
    </row>
    <row r="19460" spans="2:37">
      <c r="B19460" s="834" t="str">
        <f t="shared" si="687"/>
        <v>|||</v>
      </c>
      <c r="H19460" s="835">
        <f t="shared" si="688"/>
        <v>31</v>
      </c>
      <c r="AF19460" s="831" t="s">
        <v>11659</v>
      </c>
      <c r="AG19460" s="831" t="s">
        <v>2674</v>
      </c>
      <c r="AH19460" s="831" t="s">
        <v>558</v>
      </c>
      <c r="AI19460" s="831">
        <v>0</v>
      </c>
      <c r="AJ19460" s="835">
        <v>41912</v>
      </c>
      <c r="AK19460" s="831">
        <v>809908323</v>
      </c>
    </row>
    <row r="19461" spans="2:37">
      <c r="B19461" s="834" t="str">
        <f t="shared" si="687"/>
        <v>|||</v>
      </c>
      <c r="H19461" s="835">
        <f t="shared" si="688"/>
        <v>31</v>
      </c>
      <c r="AF19461" s="831" t="s">
        <v>11660</v>
      </c>
      <c r="AG19461" s="831" t="s">
        <v>2674</v>
      </c>
      <c r="AH19461" s="831" t="s">
        <v>65</v>
      </c>
      <c r="AI19461" s="831">
        <v>0</v>
      </c>
      <c r="AJ19461" s="835">
        <v>41912</v>
      </c>
      <c r="AK19461" s="831">
        <v>126643298</v>
      </c>
    </row>
    <row r="19462" spans="2:37">
      <c r="B19462" s="834" t="str">
        <f t="shared" si="687"/>
        <v>|||</v>
      </c>
      <c r="H19462" s="835">
        <f t="shared" si="688"/>
        <v>31</v>
      </c>
      <c r="AF19462" s="831" t="s">
        <v>11661</v>
      </c>
      <c r="AG19462" s="831" t="s">
        <v>2674</v>
      </c>
      <c r="AH19462" s="831" t="s">
        <v>89</v>
      </c>
      <c r="AI19462" s="831">
        <v>0</v>
      </c>
      <c r="AJ19462" s="835">
        <v>41912</v>
      </c>
      <c r="AK19462" s="831">
        <v>159987</v>
      </c>
    </row>
    <row r="19463" spans="2:37">
      <c r="B19463" s="834" t="str">
        <f t="shared" si="687"/>
        <v>|||</v>
      </c>
      <c r="H19463" s="835">
        <f t="shared" si="688"/>
        <v>31</v>
      </c>
      <c r="AF19463" s="831" t="s">
        <v>11662</v>
      </c>
      <c r="AG19463" s="831" t="s">
        <v>2674</v>
      </c>
      <c r="AH19463" s="831" t="s">
        <v>557</v>
      </c>
      <c r="AI19463" s="831">
        <v>0</v>
      </c>
      <c r="AJ19463" s="835">
        <v>41912</v>
      </c>
      <c r="AK19463" s="831">
        <v>180249</v>
      </c>
    </row>
    <row r="19464" spans="2:37">
      <c r="B19464" s="834" t="str">
        <f t="shared" si="687"/>
        <v>|||</v>
      </c>
      <c r="H19464" s="835">
        <f t="shared" si="688"/>
        <v>31</v>
      </c>
      <c r="AF19464" s="831" t="s">
        <v>11663</v>
      </c>
      <c r="AG19464" s="831" t="s">
        <v>2674</v>
      </c>
      <c r="AH19464" s="831" t="s">
        <v>29</v>
      </c>
      <c r="AI19464" s="831">
        <v>0</v>
      </c>
      <c r="AJ19464" s="835">
        <v>41912</v>
      </c>
      <c r="AK19464" s="831">
        <v>2332375</v>
      </c>
    </row>
    <row r="19465" spans="2:37">
      <c r="B19465" s="834" t="str">
        <f t="shared" si="687"/>
        <v>|||</v>
      </c>
      <c r="H19465" s="835">
        <f t="shared" si="688"/>
        <v>31</v>
      </c>
      <c r="AF19465" s="831" t="s">
        <v>11664</v>
      </c>
      <c r="AG19465" s="831" t="s">
        <v>2674</v>
      </c>
      <c r="AH19465" s="831" t="s">
        <v>2688</v>
      </c>
      <c r="AI19465" s="831">
        <v>0</v>
      </c>
      <c r="AJ19465" s="835">
        <v>41912</v>
      </c>
      <c r="AK19465" s="831">
        <v>4758526.78</v>
      </c>
    </row>
    <row r="19466" spans="2:37">
      <c r="B19466" s="834" t="str">
        <f t="shared" si="687"/>
        <v>|||</v>
      </c>
      <c r="H19466" s="835">
        <f t="shared" si="688"/>
        <v>31</v>
      </c>
      <c r="AF19466" s="831" t="s">
        <v>11665</v>
      </c>
      <c r="AG19466" s="831" t="s">
        <v>2674</v>
      </c>
      <c r="AH19466" s="831" t="s">
        <v>556</v>
      </c>
      <c r="AI19466" s="831">
        <v>0</v>
      </c>
      <c r="AJ19466" s="835">
        <v>41912</v>
      </c>
      <c r="AK19466" s="831">
        <v>6520953</v>
      </c>
    </row>
    <row r="19467" spans="2:37">
      <c r="B19467" s="834" t="str">
        <f t="shared" si="687"/>
        <v>|||</v>
      </c>
      <c r="H19467" s="835">
        <f t="shared" si="688"/>
        <v>31</v>
      </c>
      <c r="AF19467" s="831" t="s">
        <v>11666</v>
      </c>
      <c r="AG19467" s="831" t="s">
        <v>2674</v>
      </c>
      <c r="AH19467" s="831" t="s">
        <v>555</v>
      </c>
      <c r="AI19467" s="831">
        <v>0</v>
      </c>
      <c r="AJ19467" s="835">
        <v>41912</v>
      </c>
      <c r="AK19467" s="831">
        <v>528140339</v>
      </c>
    </row>
    <row r="19468" spans="2:37">
      <c r="B19468" s="834" t="str">
        <f t="shared" si="687"/>
        <v>|||</v>
      </c>
      <c r="H19468" s="835">
        <f t="shared" si="688"/>
        <v>31</v>
      </c>
      <c r="AF19468" s="831" t="s">
        <v>11667</v>
      </c>
      <c r="AG19468" s="831" t="s">
        <v>2674</v>
      </c>
      <c r="AH19468" s="831" t="s">
        <v>554</v>
      </c>
      <c r="AI19468" s="831">
        <v>0</v>
      </c>
      <c r="AJ19468" s="835">
        <v>41912</v>
      </c>
      <c r="AK19468" s="831">
        <v>536741460</v>
      </c>
    </row>
    <row r="19469" spans="2:37">
      <c r="B19469" s="834" t="str">
        <f t="shared" si="687"/>
        <v>|||</v>
      </c>
      <c r="H19469" s="835">
        <f t="shared" si="688"/>
        <v>31</v>
      </c>
      <c r="AF19469" s="831" t="s">
        <v>11668</v>
      </c>
      <c r="AG19469" s="831" t="s">
        <v>2674</v>
      </c>
      <c r="AH19469" s="831" t="s">
        <v>553</v>
      </c>
      <c r="AI19469" s="831">
        <v>0</v>
      </c>
      <c r="AJ19469" s="835">
        <v>41912</v>
      </c>
      <c r="AK19469" s="831">
        <v>0</v>
      </c>
    </row>
    <row r="19470" spans="2:37">
      <c r="B19470" s="834" t="str">
        <f t="shared" si="687"/>
        <v>|||</v>
      </c>
      <c r="H19470" s="835">
        <f t="shared" si="688"/>
        <v>31</v>
      </c>
      <c r="AF19470" s="831" t="s">
        <v>11669</v>
      </c>
      <c r="AG19470" s="831" t="s">
        <v>2674</v>
      </c>
      <c r="AH19470" s="831" t="s">
        <v>552</v>
      </c>
      <c r="AI19470" s="831">
        <v>0</v>
      </c>
      <c r="AJ19470" s="835">
        <v>41912</v>
      </c>
      <c r="AK19470" s="831">
        <v>0</v>
      </c>
    </row>
    <row r="19471" spans="2:37">
      <c r="B19471" s="834" t="str">
        <f t="shared" si="687"/>
        <v>|||</v>
      </c>
      <c r="H19471" s="835">
        <f t="shared" si="688"/>
        <v>31</v>
      </c>
      <c r="AF19471" s="831" t="s">
        <v>11670</v>
      </c>
      <c r="AG19471" s="831" t="s">
        <v>2674</v>
      </c>
      <c r="AH19471" s="831" t="s">
        <v>551</v>
      </c>
      <c r="AI19471" s="831">
        <v>0</v>
      </c>
      <c r="AJ19471" s="835">
        <v>41912</v>
      </c>
      <c r="AK19471" s="831">
        <v>1612094</v>
      </c>
    </row>
    <row r="19472" spans="2:37">
      <c r="B19472" s="834" t="str">
        <f t="shared" si="687"/>
        <v>|||</v>
      </c>
      <c r="H19472" s="835">
        <f t="shared" si="688"/>
        <v>31</v>
      </c>
      <c r="AF19472" s="831" t="s">
        <v>11671</v>
      </c>
      <c r="AG19472" s="831" t="s">
        <v>2674</v>
      </c>
      <c r="AH19472" s="831" t="s">
        <v>550</v>
      </c>
      <c r="AI19472" s="831">
        <v>0</v>
      </c>
      <c r="AJ19472" s="835">
        <v>41912</v>
      </c>
      <c r="AK19472" s="831">
        <v>141824046.03</v>
      </c>
    </row>
    <row r="19473" spans="2:37">
      <c r="B19473" s="834" t="str">
        <f t="shared" ref="B19473:B19536" si="689">C19473&amp;"|"&amp;D19473&amp;"|"&amp;E19473&amp;"|"&amp;F19473</f>
        <v>|||</v>
      </c>
      <c r="H19473" s="835">
        <f t="shared" ref="H19473:H19536" si="690">EOMONTH(L19473,0)</f>
        <v>31</v>
      </c>
      <c r="AF19473" s="831" t="s">
        <v>11672</v>
      </c>
      <c r="AG19473" s="831" t="s">
        <v>2674</v>
      </c>
      <c r="AH19473" s="831" t="s">
        <v>562</v>
      </c>
      <c r="AI19473" s="831">
        <v>0</v>
      </c>
      <c r="AJ19473" s="835">
        <v>41912</v>
      </c>
      <c r="AK19473" s="831">
        <v>0.78325</v>
      </c>
    </row>
    <row r="19474" spans="2:37">
      <c r="B19474" s="834" t="str">
        <f t="shared" si="689"/>
        <v>|||</v>
      </c>
      <c r="H19474" s="835">
        <f t="shared" si="690"/>
        <v>31</v>
      </c>
      <c r="AF19474" s="831" t="s">
        <v>11673</v>
      </c>
      <c r="AG19474" s="831" t="s">
        <v>2674</v>
      </c>
      <c r="AH19474" s="831" t="s">
        <v>2698</v>
      </c>
      <c r="AI19474" s="831">
        <v>0</v>
      </c>
      <c r="AJ19474" s="835">
        <v>41912</v>
      </c>
      <c r="AK19474" s="831">
        <v>0.7833</v>
      </c>
    </row>
    <row r="19475" spans="2:37">
      <c r="B19475" s="834" t="str">
        <f t="shared" si="689"/>
        <v>|||</v>
      </c>
      <c r="H19475" s="835">
        <f t="shared" si="690"/>
        <v>31</v>
      </c>
      <c r="AF19475" s="831" t="s">
        <v>11674</v>
      </c>
      <c r="AG19475" s="831" t="s">
        <v>2674</v>
      </c>
      <c r="AH19475" s="831" t="s">
        <v>560</v>
      </c>
      <c r="AI19475" s="831">
        <v>0</v>
      </c>
      <c r="AJ19475" s="835">
        <v>41912</v>
      </c>
      <c r="AK19475" s="831">
        <v>0.78364444444444448</v>
      </c>
    </row>
    <row r="19476" spans="2:37">
      <c r="B19476" s="834" t="str">
        <f t="shared" si="689"/>
        <v>|||</v>
      </c>
      <c r="H19476" s="835">
        <f t="shared" si="690"/>
        <v>31</v>
      </c>
      <c r="AF19476" s="831" t="s">
        <v>11675</v>
      </c>
      <c r="AG19476" s="831" t="s">
        <v>2674</v>
      </c>
      <c r="AH19476" s="831" t="s">
        <v>559</v>
      </c>
      <c r="AI19476" s="831">
        <v>0</v>
      </c>
      <c r="AJ19476" s="835">
        <v>41912</v>
      </c>
      <c r="AK19476" s="831">
        <v>0.78366250000000004</v>
      </c>
    </row>
    <row r="19477" spans="2:37">
      <c r="B19477" s="834" t="str">
        <f t="shared" si="689"/>
        <v>|||</v>
      </c>
      <c r="H19477" s="835">
        <f t="shared" si="690"/>
        <v>31</v>
      </c>
      <c r="AF19477" s="831" t="s">
        <v>11676</v>
      </c>
      <c r="AG19477" s="831" t="s">
        <v>2674</v>
      </c>
      <c r="AH19477" s="831" t="s">
        <v>568</v>
      </c>
      <c r="AI19477" s="831">
        <v>0</v>
      </c>
      <c r="AJ19477" s="835">
        <v>41912</v>
      </c>
      <c r="AK19477" s="831">
        <v>671683974.07307696</v>
      </c>
    </row>
    <row r="19478" spans="2:37">
      <c r="B19478" s="834" t="str">
        <f t="shared" si="689"/>
        <v>|||</v>
      </c>
      <c r="H19478" s="835">
        <f t="shared" si="690"/>
        <v>31</v>
      </c>
      <c r="AF19478" s="831" t="s">
        <v>11677</v>
      </c>
      <c r="AG19478" s="831" t="s">
        <v>2674</v>
      </c>
      <c r="AH19478" s="831" t="s">
        <v>569</v>
      </c>
      <c r="AI19478" s="831">
        <v>0</v>
      </c>
      <c r="AJ19478" s="835">
        <v>41912</v>
      </c>
      <c r="AK19478" s="831">
        <v>832078660.51176918</v>
      </c>
    </row>
    <row r="19479" spans="2:37">
      <c r="B19479" s="834" t="str">
        <f t="shared" si="689"/>
        <v>|||</v>
      </c>
      <c r="H19479" s="835">
        <f t="shared" si="690"/>
        <v>31</v>
      </c>
      <c r="AF19479" s="831" t="s">
        <v>11678</v>
      </c>
      <c r="AG19479" s="831" t="s">
        <v>2674</v>
      </c>
      <c r="AH19479" s="831" t="s">
        <v>570</v>
      </c>
      <c r="AI19479" s="831">
        <v>0</v>
      </c>
      <c r="AJ19479" s="835">
        <v>41912</v>
      </c>
      <c r="AK19479" s="831">
        <v>127379907.52276923</v>
      </c>
    </row>
    <row r="19480" spans="2:37">
      <c r="B19480" s="834" t="str">
        <f t="shared" si="689"/>
        <v>|||</v>
      </c>
      <c r="H19480" s="835">
        <f t="shared" si="690"/>
        <v>31</v>
      </c>
      <c r="AF19480" s="831" t="s">
        <v>11679</v>
      </c>
      <c r="AG19480" s="831" t="s">
        <v>2674</v>
      </c>
      <c r="AH19480" s="831" t="s">
        <v>571</v>
      </c>
      <c r="AI19480" s="831">
        <v>0</v>
      </c>
      <c r="AJ19480" s="835">
        <v>41912</v>
      </c>
      <c r="AK19480" s="831">
        <v>409242621.46846157</v>
      </c>
    </row>
    <row r="19481" spans="2:37">
      <c r="B19481" s="834" t="str">
        <f t="shared" si="689"/>
        <v>|||</v>
      </c>
      <c r="H19481" s="835">
        <f t="shared" si="690"/>
        <v>31</v>
      </c>
      <c r="AF19481" s="831" t="s">
        <v>11680</v>
      </c>
      <c r="AG19481" s="831" t="s">
        <v>2674</v>
      </c>
      <c r="AH19481" s="831" t="s">
        <v>573</v>
      </c>
      <c r="AI19481" s="831">
        <v>0</v>
      </c>
      <c r="AJ19481" s="835">
        <v>41912</v>
      </c>
      <c r="AK19481" s="831">
        <v>865626907.3563</v>
      </c>
    </row>
    <row r="19482" spans="2:37">
      <c r="B19482" s="834" t="str">
        <f t="shared" si="689"/>
        <v>|||</v>
      </c>
      <c r="H19482" s="835">
        <f t="shared" si="690"/>
        <v>31</v>
      </c>
      <c r="AF19482" s="831" t="s">
        <v>11681</v>
      </c>
      <c r="AG19482" s="831" t="s">
        <v>2674</v>
      </c>
      <c r="AH19482" s="831" t="s">
        <v>574</v>
      </c>
      <c r="AI19482" s="831">
        <v>0</v>
      </c>
      <c r="AJ19482" s="835">
        <v>41912</v>
      </c>
      <c r="AK19482" s="831">
        <v>698958196.60000002</v>
      </c>
    </row>
    <row r="19483" spans="2:37">
      <c r="B19483" s="834" t="str">
        <f t="shared" si="689"/>
        <v>|||</v>
      </c>
      <c r="H19483" s="835">
        <f t="shared" si="690"/>
        <v>31</v>
      </c>
      <c r="AF19483" s="831" t="s">
        <v>11682</v>
      </c>
      <c r="AG19483" s="831" t="s">
        <v>2674</v>
      </c>
      <c r="AH19483" s="831" t="s">
        <v>575</v>
      </c>
      <c r="AI19483" s="831">
        <v>0</v>
      </c>
      <c r="AJ19483" s="835">
        <v>41912</v>
      </c>
      <c r="AK19483" s="831">
        <v>129535935.794</v>
      </c>
    </row>
    <row r="19484" spans="2:37">
      <c r="B19484" s="834" t="str">
        <f t="shared" si="689"/>
        <v>|||</v>
      </c>
      <c r="H19484" s="835">
        <f t="shared" si="690"/>
        <v>31</v>
      </c>
      <c r="AF19484" s="831" t="s">
        <v>11683</v>
      </c>
      <c r="AG19484" s="831" t="s">
        <v>2674</v>
      </c>
      <c r="AH19484" s="831" t="s">
        <v>576</v>
      </c>
      <c r="AI19484" s="831">
        <v>0</v>
      </c>
      <c r="AJ19484" s="835">
        <v>41912</v>
      </c>
      <c r="AK19484" s="831">
        <v>427412859.60280001</v>
      </c>
    </row>
    <row r="19485" spans="2:37">
      <c r="B19485" s="834" t="str">
        <f t="shared" si="689"/>
        <v>|||</v>
      </c>
      <c r="H19485" s="835">
        <f t="shared" si="690"/>
        <v>31</v>
      </c>
      <c r="AF19485" s="831" t="s">
        <v>11684</v>
      </c>
      <c r="AG19485" s="831" t="s">
        <v>2674</v>
      </c>
      <c r="AH19485" s="831" t="s">
        <v>572</v>
      </c>
      <c r="AI19485" s="831">
        <v>0</v>
      </c>
      <c r="AJ19485" s="835">
        <v>41912</v>
      </c>
      <c r="AK19485" s="831">
        <v>33781162.955999985</v>
      </c>
    </row>
    <row r="19486" spans="2:37">
      <c r="B19486" s="834" t="str">
        <f t="shared" si="689"/>
        <v>|||</v>
      </c>
      <c r="H19486" s="835">
        <f t="shared" si="690"/>
        <v>31</v>
      </c>
      <c r="AF19486" s="831" t="s">
        <v>11685</v>
      </c>
      <c r="AG19486" s="831" t="s">
        <v>2674</v>
      </c>
      <c r="AH19486" s="831" t="s">
        <v>577</v>
      </c>
      <c r="AI19486" s="831">
        <v>0</v>
      </c>
      <c r="AJ19486" s="835">
        <v>41912</v>
      </c>
      <c r="AK19486" s="831">
        <v>164186629.76300001</v>
      </c>
    </row>
    <row r="19487" spans="2:37">
      <c r="B19487" s="834" t="str">
        <f t="shared" si="689"/>
        <v>|||</v>
      </c>
      <c r="H19487" s="835">
        <f t="shared" si="690"/>
        <v>31</v>
      </c>
      <c r="AF19487" s="831" t="s">
        <v>11686</v>
      </c>
      <c r="AG19487" s="831" t="s">
        <v>2674</v>
      </c>
      <c r="AH19487" s="831" t="s">
        <v>3042</v>
      </c>
      <c r="AI19487" s="831">
        <v>0</v>
      </c>
      <c r="AJ19487" s="835">
        <v>41912</v>
      </c>
      <c r="AK19487" s="831">
        <v>-47764358.527000003</v>
      </c>
    </row>
    <row r="19488" spans="2:37">
      <c r="B19488" s="834" t="str">
        <f t="shared" si="689"/>
        <v>|||</v>
      </c>
      <c r="H19488" s="835">
        <f t="shared" si="690"/>
        <v>31</v>
      </c>
      <c r="AF19488" s="831" t="s">
        <v>11687</v>
      </c>
      <c r="AG19488" s="831" t="s">
        <v>2674</v>
      </c>
      <c r="AH19488" s="831" t="s">
        <v>3044</v>
      </c>
      <c r="AI19488" s="831">
        <v>0</v>
      </c>
      <c r="AJ19488" s="835">
        <v>41912</v>
      </c>
      <c r="AK19488" s="831">
        <v>-2027515.8899999997</v>
      </c>
    </row>
    <row r="19489" spans="2:37">
      <c r="B19489" s="834" t="str">
        <f t="shared" si="689"/>
        <v>|||</v>
      </c>
      <c r="H19489" s="835">
        <f t="shared" si="690"/>
        <v>31</v>
      </c>
      <c r="AF19489" s="831" t="s">
        <v>11688</v>
      </c>
      <c r="AG19489" s="831" t="s">
        <v>2674</v>
      </c>
      <c r="AH19489" s="831" t="s">
        <v>580</v>
      </c>
      <c r="AI19489" s="831">
        <v>0</v>
      </c>
      <c r="AJ19489" s="835">
        <v>41912</v>
      </c>
      <c r="AK19489" s="831">
        <v>-75872333.307000011</v>
      </c>
    </row>
    <row r="19490" spans="2:37">
      <c r="B19490" s="834" t="str">
        <f t="shared" si="689"/>
        <v>|||</v>
      </c>
      <c r="H19490" s="835">
        <f t="shared" si="690"/>
        <v>31</v>
      </c>
      <c r="AF19490" s="831" t="s">
        <v>11689</v>
      </c>
      <c r="AG19490" s="831" t="s">
        <v>2674</v>
      </c>
      <c r="AH19490" s="831" t="s">
        <v>581</v>
      </c>
      <c r="AI19490" s="831">
        <v>0</v>
      </c>
      <c r="AJ19490" s="835">
        <v>41912</v>
      </c>
      <c r="AK19490" s="831">
        <v>6304407.8940000003</v>
      </c>
    </row>
    <row r="19491" spans="2:37">
      <c r="B19491" s="834" t="str">
        <f t="shared" si="689"/>
        <v>|||</v>
      </c>
      <c r="H19491" s="835">
        <f t="shared" si="690"/>
        <v>31</v>
      </c>
      <c r="AF19491" s="831" t="s">
        <v>11690</v>
      </c>
      <c r="AG19491" s="831" t="s">
        <v>2674</v>
      </c>
      <c r="AH19491" s="831" t="s">
        <v>105</v>
      </c>
      <c r="AI19491" s="831">
        <v>0</v>
      </c>
      <c r="AJ19491" s="835">
        <v>41912</v>
      </c>
      <c r="AK19491" s="831">
        <v>472452480</v>
      </c>
    </row>
    <row r="19492" spans="2:37">
      <c r="B19492" s="834" t="str">
        <f t="shared" si="689"/>
        <v>|||</v>
      </c>
      <c r="H19492" s="835">
        <f t="shared" si="690"/>
        <v>31</v>
      </c>
      <c r="AF19492" s="831" t="s">
        <v>11691</v>
      </c>
      <c r="AG19492" s="831" t="s">
        <v>2674</v>
      </c>
      <c r="AH19492" s="831" t="s">
        <v>3049</v>
      </c>
      <c r="AI19492" s="831">
        <v>0</v>
      </c>
      <c r="AJ19492" s="835">
        <v>41912</v>
      </c>
      <c r="AK19492" s="831">
        <v>783051294</v>
      </c>
    </row>
    <row r="19493" spans="2:37">
      <c r="B19493" s="834" t="str">
        <f t="shared" si="689"/>
        <v>|||</v>
      </c>
      <c r="H19493" s="835">
        <f t="shared" si="690"/>
        <v>31</v>
      </c>
      <c r="AF19493" s="831" t="s">
        <v>11692</v>
      </c>
      <c r="AG19493" s="831" t="s">
        <v>2674</v>
      </c>
      <c r="AH19493" s="831" t="s">
        <v>103</v>
      </c>
      <c r="AI19493" s="831">
        <v>0</v>
      </c>
      <c r="AJ19493" s="835">
        <v>41912</v>
      </c>
      <c r="AK19493" s="831">
        <v>310598814</v>
      </c>
    </row>
    <row r="19494" spans="2:37">
      <c r="B19494" s="834" t="str">
        <f t="shared" si="689"/>
        <v>|||</v>
      </c>
      <c r="H19494" s="835">
        <f t="shared" si="690"/>
        <v>31</v>
      </c>
      <c r="AF19494" s="831" t="s">
        <v>11693</v>
      </c>
      <c r="AG19494" s="831" t="s">
        <v>2674</v>
      </c>
      <c r="AH19494" s="831" t="s">
        <v>182</v>
      </c>
      <c r="AI19494" s="831">
        <v>0</v>
      </c>
      <c r="AJ19494" s="835">
        <v>41912</v>
      </c>
      <c r="AK19494" s="831">
        <v>73471997.333333328</v>
      </c>
    </row>
    <row r="19495" spans="2:37">
      <c r="B19495" s="834" t="str">
        <f t="shared" si="689"/>
        <v>|||</v>
      </c>
      <c r="H19495" s="835">
        <f t="shared" si="690"/>
        <v>31</v>
      </c>
      <c r="AF19495" s="831" t="s">
        <v>11694</v>
      </c>
      <c r="AG19495" s="831" t="s">
        <v>2674</v>
      </c>
      <c r="AH19495" s="831" t="s">
        <v>6600</v>
      </c>
      <c r="AI19495" s="831">
        <v>0</v>
      </c>
      <c r="AJ19495" s="835">
        <v>41912</v>
      </c>
      <c r="AK19495" s="831">
        <v>33781162.955999985</v>
      </c>
    </row>
    <row r="19496" spans="2:37">
      <c r="B19496" s="834" t="str">
        <f t="shared" si="689"/>
        <v>|||</v>
      </c>
      <c r="H19496" s="835">
        <f t="shared" si="690"/>
        <v>31</v>
      </c>
      <c r="AF19496" s="831" t="s">
        <v>11695</v>
      </c>
      <c r="AG19496" s="831" t="s">
        <v>2674</v>
      </c>
      <c r="AH19496" s="831" t="s">
        <v>6602</v>
      </c>
      <c r="AI19496" s="831">
        <v>0</v>
      </c>
      <c r="AJ19496" s="835">
        <v>41912</v>
      </c>
      <c r="AK19496" s="831">
        <v>29012035</v>
      </c>
    </row>
    <row r="19497" spans="2:37">
      <c r="B19497" s="834" t="str">
        <f t="shared" si="689"/>
        <v>|||</v>
      </c>
      <c r="H19497" s="835">
        <f t="shared" si="690"/>
        <v>31</v>
      </c>
      <c r="AF19497" s="831" t="s">
        <v>11696</v>
      </c>
      <c r="AG19497" s="831" t="s">
        <v>2674</v>
      </c>
      <c r="AH19497" s="831" t="s">
        <v>650</v>
      </c>
      <c r="AI19497" s="831">
        <v>0</v>
      </c>
      <c r="AJ19497" s="835">
        <v>41912</v>
      </c>
      <c r="AK19497" s="831">
        <v>273036122.95146155</v>
      </c>
    </row>
    <row r="19498" spans="2:37">
      <c r="B19498" s="834" t="str">
        <f t="shared" si="689"/>
        <v>|||</v>
      </c>
      <c r="H19498" s="835">
        <f t="shared" si="690"/>
        <v>31</v>
      </c>
      <c r="AF19498" s="831" t="s">
        <v>11697</v>
      </c>
      <c r="AG19498" s="831" t="s">
        <v>2674</v>
      </c>
      <c r="AH19498" s="831" t="s">
        <v>655</v>
      </c>
      <c r="AI19498" s="831">
        <v>0</v>
      </c>
      <c r="AJ19498" s="835">
        <v>41912</v>
      </c>
      <c r="AK19498" s="831">
        <v>1341189</v>
      </c>
    </row>
    <row r="19499" spans="2:37">
      <c r="B19499" s="834" t="str">
        <f t="shared" si="689"/>
        <v>|||</v>
      </c>
      <c r="H19499" s="835">
        <f t="shared" si="690"/>
        <v>31</v>
      </c>
      <c r="AF19499" s="831" t="s">
        <v>11698</v>
      </c>
      <c r="AG19499" s="831" t="s">
        <v>2674</v>
      </c>
      <c r="AH19499" s="831" t="s">
        <v>546</v>
      </c>
      <c r="AI19499" s="831">
        <v>0</v>
      </c>
      <c r="AJ19499" s="835">
        <v>41943</v>
      </c>
      <c r="AK19499" s="831">
        <v>788185615</v>
      </c>
    </row>
    <row r="19500" spans="2:37">
      <c r="B19500" s="834" t="str">
        <f t="shared" si="689"/>
        <v>|||</v>
      </c>
      <c r="H19500" s="835">
        <f t="shared" si="690"/>
        <v>31</v>
      </c>
      <c r="AF19500" s="831" t="s">
        <v>11699</v>
      </c>
      <c r="AG19500" s="831" t="s">
        <v>2674</v>
      </c>
      <c r="AH19500" s="831" t="s">
        <v>370</v>
      </c>
      <c r="AI19500" s="831">
        <v>0</v>
      </c>
      <c r="AJ19500" s="835">
        <v>41943</v>
      </c>
      <c r="AK19500" s="831">
        <v>999911217</v>
      </c>
    </row>
    <row r="19501" spans="2:37">
      <c r="B19501" s="834" t="str">
        <f t="shared" si="689"/>
        <v>|||</v>
      </c>
      <c r="H19501" s="835">
        <f t="shared" si="690"/>
        <v>31</v>
      </c>
      <c r="AF19501" s="831" t="s">
        <v>11700</v>
      </c>
      <c r="AG19501" s="831" t="s">
        <v>2674</v>
      </c>
      <c r="AH19501" s="831" t="s">
        <v>126</v>
      </c>
      <c r="AI19501" s="831">
        <v>0</v>
      </c>
      <c r="AJ19501" s="835">
        <v>41943</v>
      </c>
      <c r="AK19501" s="831">
        <v>149380039</v>
      </c>
    </row>
    <row r="19502" spans="2:37">
      <c r="B19502" s="834" t="str">
        <f t="shared" si="689"/>
        <v>|||</v>
      </c>
      <c r="H19502" s="835">
        <f t="shared" si="690"/>
        <v>31</v>
      </c>
      <c r="AF19502" s="831" t="s">
        <v>11701</v>
      </c>
      <c r="AG19502" s="831" t="s">
        <v>2674</v>
      </c>
      <c r="AH19502" s="831" t="s">
        <v>268</v>
      </c>
      <c r="AI19502" s="831">
        <v>0</v>
      </c>
      <c r="AJ19502" s="835">
        <v>41943</v>
      </c>
      <c r="AK19502" s="831">
        <v>32657533</v>
      </c>
    </row>
    <row r="19503" spans="2:37">
      <c r="B19503" s="834" t="str">
        <f t="shared" si="689"/>
        <v>|||</v>
      </c>
      <c r="H19503" s="835">
        <f t="shared" si="690"/>
        <v>31</v>
      </c>
      <c r="AF19503" s="831" t="s">
        <v>11702</v>
      </c>
      <c r="AG19503" s="831" t="s">
        <v>2674</v>
      </c>
      <c r="AH19503" s="831" t="s">
        <v>547</v>
      </c>
      <c r="AI19503" s="831">
        <v>0</v>
      </c>
      <c r="AJ19503" s="835">
        <v>41943</v>
      </c>
      <c r="AK19503" s="831">
        <v>777719977</v>
      </c>
    </row>
    <row r="19504" spans="2:37">
      <c r="B19504" s="834" t="str">
        <f t="shared" si="689"/>
        <v>|||</v>
      </c>
      <c r="H19504" s="835">
        <f t="shared" si="690"/>
        <v>31</v>
      </c>
      <c r="AF19504" s="831" t="s">
        <v>11703</v>
      </c>
      <c r="AG19504" s="831" t="s">
        <v>2674</v>
      </c>
      <c r="AH19504" s="831" t="s">
        <v>548</v>
      </c>
      <c r="AI19504" s="831">
        <v>0</v>
      </c>
      <c r="AJ19504" s="835">
        <v>41943</v>
      </c>
      <c r="AK19504" s="831">
        <v>117105496</v>
      </c>
    </row>
    <row r="19505" spans="2:37">
      <c r="B19505" s="834" t="str">
        <f t="shared" si="689"/>
        <v>|||</v>
      </c>
      <c r="H19505" s="835">
        <f t="shared" si="690"/>
        <v>31</v>
      </c>
      <c r="AF19505" s="831" t="s">
        <v>11704</v>
      </c>
      <c r="AG19505" s="831" t="s">
        <v>2674</v>
      </c>
      <c r="AH19505" s="831" t="s">
        <v>549</v>
      </c>
      <c r="AI19505" s="831">
        <v>0</v>
      </c>
      <c r="AJ19505" s="835">
        <v>41943</v>
      </c>
      <c r="AK19505" s="831">
        <v>580271359</v>
      </c>
    </row>
    <row r="19506" spans="2:37">
      <c r="B19506" s="834" t="str">
        <f t="shared" si="689"/>
        <v>|||</v>
      </c>
      <c r="H19506" s="835">
        <f t="shared" si="690"/>
        <v>31</v>
      </c>
      <c r="AF19506" s="831" t="s">
        <v>11705</v>
      </c>
      <c r="AG19506" s="831" t="s">
        <v>2674</v>
      </c>
      <c r="AH19506" s="831" t="s">
        <v>192</v>
      </c>
      <c r="AI19506" s="831">
        <v>0</v>
      </c>
      <c r="AJ19506" s="835">
        <v>41943</v>
      </c>
      <c r="AK19506" s="831">
        <v>-11001950</v>
      </c>
    </row>
    <row r="19507" spans="2:37">
      <c r="B19507" s="834" t="str">
        <f t="shared" si="689"/>
        <v>|||</v>
      </c>
      <c r="H19507" s="835">
        <f t="shared" si="690"/>
        <v>31</v>
      </c>
      <c r="AF19507" s="831" t="s">
        <v>11706</v>
      </c>
      <c r="AG19507" s="831" t="s">
        <v>2674</v>
      </c>
      <c r="AH19507" s="831" t="s">
        <v>558</v>
      </c>
      <c r="AI19507" s="831">
        <v>0</v>
      </c>
      <c r="AJ19507" s="835">
        <v>41943</v>
      </c>
      <c r="AK19507" s="831">
        <v>850531537</v>
      </c>
    </row>
    <row r="19508" spans="2:37">
      <c r="B19508" s="834" t="str">
        <f t="shared" si="689"/>
        <v>|||</v>
      </c>
      <c r="H19508" s="835">
        <f t="shared" si="690"/>
        <v>31</v>
      </c>
      <c r="AF19508" s="831" t="s">
        <v>11707</v>
      </c>
      <c r="AG19508" s="831" t="s">
        <v>2674</v>
      </c>
      <c r="AH19508" s="831" t="s">
        <v>65</v>
      </c>
      <c r="AI19508" s="831">
        <v>0</v>
      </c>
      <c r="AJ19508" s="835">
        <v>41943</v>
      </c>
      <c r="AK19508" s="831">
        <v>144545337</v>
      </c>
    </row>
    <row r="19509" spans="2:37">
      <c r="B19509" s="834" t="str">
        <f t="shared" si="689"/>
        <v>|||</v>
      </c>
      <c r="H19509" s="835">
        <f t="shared" si="690"/>
        <v>31</v>
      </c>
      <c r="AF19509" s="831" t="s">
        <v>11708</v>
      </c>
      <c r="AG19509" s="831" t="s">
        <v>2674</v>
      </c>
      <c r="AH19509" s="831" t="s">
        <v>89</v>
      </c>
      <c r="AI19509" s="831">
        <v>0</v>
      </c>
      <c r="AJ19509" s="835">
        <v>41943</v>
      </c>
      <c r="AK19509" s="831">
        <v>159189</v>
      </c>
    </row>
    <row r="19510" spans="2:37">
      <c r="B19510" s="834" t="str">
        <f t="shared" si="689"/>
        <v>|||</v>
      </c>
      <c r="H19510" s="835">
        <f t="shared" si="690"/>
        <v>31</v>
      </c>
      <c r="AF19510" s="831" t="s">
        <v>11709</v>
      </c>
      <c r="AG19510" s="831" t="s">
        <v>2674</v>
      </c>
      <c r="AH19510" s="831" t="s">
        <v>557</v>
      </c>
      <c r="AI19510" s="831">
        <v>0</v>
      </c>
      <c r="AJ19510" s="835">
        <v>41943</v>
      </c>
      <c r="AK19510" s="831">
        <v>176925</v>
      </c>
    </row>
    <row r="19511" spans="2:37">
      <c r="B19511" s="834" t="str">
        <f t="shared" si="689"/>
        <v>|||</v>
      </c>
      <c r="H19511" s="835">
        <f t="shared" si="690"/>
        <v>31</v>
      </c>
      <c r="AF19511" s="831" t="s">
        <v>11710</v>
      </c>
      <c r="AG19511" s="831" t="s">
        <v>2674</v>
      </c>
      <c r="AH19511" s="831" t="s">
        <v>29</v>
      </c>
      <c r="AI19511" s="831">
        <v>0</v>
      </c>
      <c r="AJ19511" s="835">
        <v>41943</v>
      </c>
      <c r="AK19511" s="831">
        <v>4443738</v>
      </c>
    </row>
    <row r="19512" spans="2:37">
      <c r="B19512" s="834" t="str">
        <f t="shared" si="689"/>
        <v>|||</v>
      </c>
      <c r="H19512" s="835">
        <f t="shared" si="690"/>
        <v>31</v>
      </c>
      <c r="AF19512" s="831" t="s">
        <v>11711</v>
      </c>
      <c r="AG19512" s="831" t="s">
        <v>2674</v>
      </c>
      <c r="AH19512" s="831" t="s">
        <v>2688</v>
      </c>
      <c r="AI19512" s="831">
        <v>0</v>
      </c>
      <c r="AJ19512" s="835">
        <v>41943</v>
      </c>
      <c r="AK19512" s="831">
        <v>4878770.040000001</v>
      </c>
    </row>
    <row r="19513" spans="2:37">
      <c r="B19513" s="834" t="str">
        <f t="shared" si="689"/>
        <v>|||</v>
      </c>
      <c r="H19513" s="835">
        <f t="shared" si="690"/>
        <v>31</v>
      </c>
      <c r="AF19513" s="831" t="s">
        <v>11712</v>
      </c>
      <c r="AG19513" s="831" t="s">
        <v>2674</v>
      </c>
      <c r="AH19513" s="831" t="s">
        <v>556</v>
      </c>
      <c r="AI19513" s="831">
        <v>0</v>
      </c>
      <c r="AJ19513" s="835">
        <v>41943</v>
      </c>
      <c r="AK19513" s="831">
        <v>8151347</v>
      </c>
    </row>
    <row r="19514" spans="2:37">
      <c r="B19514" s="834" t="str">
        <f t="shared" si="689"/>
        <v>|||</v>
      </c>
      <c r="H19514" s="835">
        <f t="shared" si="690"/>
        <v>31</v>
      </c>
      <c r="AF19514" s="831" t="s">
        <v>11713</v>
      </c>
      <c r="AG19514" s="831" t="s">
        <v>2674</v>
      </c>
      <c r="AH19514" s="831" t="s">
        <v>555</v>
      </c>
      <c r="AI19514" s="831">
        <v>0</v>
      </c>
      <c r="AJ19514" s="835">
        <v>41943</v>
      </c>
      <c r="AK19514" s="831">
        <v>560953709</v>
      </c>
    </row>
    <row r="19515" spans="2:37">
      <c r="B19515" s="834" t="str">
        <f t="shared" si="689"/>
        <v>|||</v>
      </c>
      <c r="H19515" s="835">
        <f t="shared" si="690"/>
        <v>31</v>
      </c>
      <c r="AF19515" s="831" t="s">
        <v>11714</v>
      </c>
      <c r="AG19515" s="831" t="s">
        <v>2674</v>
      </c>
      <c r="AH19515" s="831" t="s">
        <v>554</v>
      </c>
      <c r="AI19515" s="831">
        <v>0</v>
      </c>
      <c r="AJ19515" s="835">
        <v>41943</v>
      </c>
      <c r="AK19515" s="831">
        <v>571019140</v>
      </c>
    </row>
    <row r="19516" spans="2:37">
      <c r="B19516" s="834" t="str">
        <f t="shared" si="689"/>
        <v>|||</v>
      </c>
      <c r="H19516" s="835">
        <f t="shared" si="690"/>
        <v>31</v>
      </c>
      <c r="AF19516" s="831" t="s">
        <v>11715</v>
      </c>
      <c r="AG19516" s="831" t="s">
        <v>2674</v>
      </c>
      <c r="AH19516" s="831" t="s">
        <v>553</v>
      </c>
      <c r="AI19516" s="831">
        <v>0</v>
      </c>
      <c r="AJ19516" s="835">
        <v>41943</v>
      </c>
      <c r="AK19516" s="831">
        <v>0</v>
      </c>
    </row>
    <row r="19517" spans="2:37">
      <c r="B19517" s="834" t="str">
        <f t="shared" si="689"/>
        <v>|||</v>
      </c>
      <c r="H19517" s="835">
        <f t="shared" si="690"/>
        <v>31</v>
      </c>
      <c r="AF19517" s="831" t="s">
        <v>11716</v>
      </c>
      <c r="AG19517" s="831" t="s">
        <v>2674</v>
      </c>
      <c r="AH19517" s="831" t="s">
        <v>552</v>
      </c>
      <c r="AI19517" s="831">
        <v>0</v>
      </c>
      <c r="AJ19517" s="835">
        <v>41943</v>
      </c>
      <c r="AK19517" s="831">
        <v>0</v>
      </c>
    </row>
    <row r="19518" spans="2:37">
      <c r="B19518" s="834" t="str">
        <f t="shared" si="689"/>
        <v>|||</v>
      </c>
      <c r="H19518" s="835">
        <f t="shared" si="690"/>
        <v>31</v>
      </c>
      <c r="AF19518" s="831" t="s">
        <v>11717</v>
      </c>
      <c r="AG19518" s="831" t="s">
        <v>2674</v>
      </c>
      <c r="AH19518" s="831" t="s">
        <v>551</v>
      </c>
      <c r="AI19518" s="831">
        <v>0</v>
      </c>
      <c r="AJ19518" s="835">
        <v>41943</v>
      </c>
      <c r="AK19518" s="831">
        <v>1179234</v>
      </c>
    </row>
    <row r="19519" spans="2:37">
      <c r="B19519" s="834" t="str">
        <f t="shared" si="689"/>
        <v>|||</v>
      </c>
      <c r="H19519" s="835">
        <f t="shared" si="690"/>
        <v>31</v>
      </c>
      <c r="AF19519" s="831" t="s">
        <v>11718</v>
      </c>
      <c r="AG19519" s="831" t="s">
        <v>2674</v>
      </c>
      <c r="AH19519" s="831" t="s">
        <v>550</v>
      </c>
      <c r="AI19519" s="831">
        <v>0</v>
      </c>
      <c r="AJ19519" s="835">
        <v>41943</v>
      </c>
      <c r="AK19519" s="831">
        <v>145830225</v>
      </c>
    </row>
    <row r="19520" spans="2:37">
      <c r="B19520" s="834" t="str">
        <f t="shared" si="689"/>
        <v>|||</v>
      </c>
      <c r="H19520" s="835">
        <f t="shared" si="690"/>
        <v>31</v>
      </c>
      <c r="AF19520" s="831" t="s">
        <v>11719</v>
      </c>
      <c r="AG19520" s="831" t="s">
        <v>2674</v>
      </c>
      <c r="AH19520" s="831" t="s">
        <v>562</v>
      </c>
      <c r="AI19520" s="831">
        <v>0</v>
      </c>
      <c r="AJ19520" s="835">
        <v>41943</v>
      </c>
      <c r="AK19520" s="831">
        <v>0.78380000000000005</v>
      </c>
    </row>
    <row r="19521" spans="2:37">
      <c r="B19521" s="834" t="str">
        <f t="shared" si="689"/>
        <v>|||</v>
      </c>
      <c r="H19521" s="835">
        <f t="shared" si="690"/>
        <v>31</v>
      </c>
      <c r="AF19521" s="831" t="s">
        <v>11720</v>
      </c>
      <c r="AG19521" s="831" t="s">
        <v>2674</v>
      </c>
      <c r="AH19521" s="831" t="s">
        <v>2698</v>
      </c>
      <c r="AI19521" s="831">
        <v>0</v>
      </c>
      <c r="AJ19521" s="835">
        <v>41943</v>
      </c>
      <c r="AK19521" s="831">
        <v>0.78325</v>
      </c>
    </row>
    <row r="19522" spans="2:37">
      <c r="B19522" s="834" t="str">
        <f t="shared" si="689"/>
        <v>|||</v>
      </c>
      <c r="H19522" s="835">
        <f t="shared" si="690"/>
        <v>31</v>
      </c>
      <c r="AF19522" s="831" t="s">
        <v>11721</v>
      </c>
      <c r="AG19522" s="831" t="s">
        <v>2674</v>
      </c>
      <c r="AH19522" s="831" t="s">
        <v>560</v>
      </c>
      <c r="AI19522" s="831">
        <v>0</v>
      </c>
      <c r="AJ19522" s="835">
        <v>41943</v>
      </c>
      <c r="AK19522" s="831">
        <v>0.78366000000000002</v>
      </c>
    </row>
    <row r="19523" spans="2:37">
      <c r="B19523" s="834" t="str">
        <f t="shared" si="689"/>
        <v>|||</v>
      </c>
      <c r="H19523" s="835">
        <f t="shared" si="690"/>
        <v>31</v>
      </c>
      <c r="AF19523" s="831" t="s">
        <v>11722</v>
      </c>
      <c r="AG19523" s="831" t="s">
        <v>2674</v>
      </c>
      <c r="AH19523" s="831" t="s">
        <v>559</v>
      </c>
      <c r="AI19523" s="831">
        <v>0</v>
      </c>
      <c r="AJ19523" s="835">
        <v>41943</v>
      </c>
      <c r="AK19523" s="831">
        <v>0.78364999999999985</v>
      </c>
    </row>
    <row r="19524" spans="2:37">
      <c r="B19524" s="834" t="str">
        <f t="shared" si="689"/>
        <v>|||</v>
      </c>
      <c r="H19524" s="835">
        <f t="shared" si="690"/>
        <v>31</v>
      </c>
      <c r="AF19524" s="831" t="s">
        <v>11723</v>
      </c>
      <c r="AG19524" s="831" t="s">
        <v>2674</v>
      </c>
      <c r="AH19524" s="831" t="s">
        <v>568</v>
      </c>
      <c r="AI19524" s="831">
        <v>0</v>
      </c>
      <c r="AJ19524" s="835">
        <v>41943</v>
      </c>
      <c r="AK19524" s="831">
        <v>688929865.38076925</v>
      </c>
    </row>
    <row r="19525" spans="2:37">
      <c r="B19525" s="834" t="str">
        <f t="shared" si="689"/>
        <v>|||</v>
      </c>
      <c r="H19525" s="835">
        <f t="shared" si="690"/>
        <v>31</v>
      </c>
      <c r="AF19525" s="831" t="s">
        <v>11724</v>
      </c>
      <c r="AG19525" s="831" t="s">
        <v>2674</v>
      </c>
      <c r="AH19525" s="831" t="s">
        <v>569</v>
      </c>
      <c r="AI19525" s="831">
        <v>0</v>
      </c>
      <c r="AJ19525" s="835">
        <v>41943</v>
      </c>
      <c r="AK19525" s="831">
        <v>855702939.81946158</v>
      </c>
    </row>
    <row r="19526" spans="2:37">
      <c r="B19526" s="834" t="str">
        <f t="shared" si="689"/>
        <v>|||</v>
      </c>
      <c r="H19526" s="835">
        <f t="shared" si="690"/>
        <v>31</v>
      </c>
      <c r="AF19526" s="831" t="s">
        <v>11725</v>
      </c>
      <c r="AG19526" s="831" t="s">
        <v>2674</v>
      </c>
      <c r="AH19526" s="831" t="s">
        <v>570</v>
      </c>
      <c r="AI19526" s="831">
        <v>0</v>
      </c>
      <c r="AJ19526" s="835">
        <v>41943</v>
      </c>
      <c r="AK19526" s="831">
        <v>129857553.83046153</v>
      </c>
    </row>
    <row r="19527" spans="2:37">
      <c r="B19527" s="834" t="str">
        <f t="shared" si="689"/>
        <v>|||</v>
      </c>
      <c r="H19527" s="835">
        <f t="shared" si="690"/>
        <v>31</v>
      </c>
      <c r="AF19527" s="831" t="s">
        <v>11726</v>
      </c>
      <c r="AG19527" s="831" t="s">
        <v>2674</v>
      </c>
      <c r="AH19527" s="831" t="s">
        <v>571</v>
      </c>
      <c r="AI19527" s="831">
        <v>0</v>
      </c>
      <c r="AJ19527" s="835">
        <v>41943</v>
      </c>
      <c r="AK19527" s="831">
        <v>421465171.16076922</v>
      </c>
    </row>
    <row r="19528" spans="2:37">
      <c r="B19528" s="834" t="str">
        <f t="shared" si="689"/>
        <v>|||</v>
      </c>
      <c r="H19528" s="835">
        <f t="shared" si="690"/>
        <v>31</v>
      </c>
      <c r="AF19528" s="831" t="s">
        <v>11727</v>
      </c>
      <c r="AG19528" s="831" t="s">
        <v>2674</v>
      </c>
      <c r="AH19528" s="831" t="s">
        <v>573</v>
      </c>
      <c r="AI19528" s="831">
        <v>0</v>
      </c>
      <c r="AJ19528" s="835">
        <v>41943</v>
      </c>
      <c r="AK19528" s="831">
        <v>877834571.86936367</v>
      </c>
    </row>
    <row r="19529" spans="2:37">
      <c r="B19529" s="834" t="str">
        <f t="shared" si="689"/>
        <v>|||</v>
      </c>
      <c r="H19529" s="835">
        <f t="shared" si="690"/>
        <v>31</v>
      </c>
      <c r="AF19529" s="831" t="s">
        <v>11728</v>
      </c>
      <c r="AG19529" s="831" t="s">
        <v>2674</v>
      </c>
      <c r="AH19529" s="831" t="s">
        <v>574</v>
      </c>
      <c r="AI19529" s="831">
        <v>0</v>
      </c>
      <c r="AJ19529" s="835">
        <v>41943</v>
      </c>
      <c r="AK19529" s="831">
        <v>707069780.09090912</v>
      </c>
    </row>
    <row r="19530" spans="2:37">
      <c r="B19530" s="834" t="str">
        <f t="shared" si="689"/>
        <v>|||</v>
      </c>
      <c r="H19530" s="835">
        <f t="shared" si="690"/>
        <v>31</v>
      </c>
      <c r="AF19530" s="831" t="s">
        <v>11729</v>
      </c>
      <c r="AG19530" s="831" t="s">
        <v>2674</v>
      </c>
      <c r="AH19530" s="831" t="s">
        <v>575</v>
      </c>
      <c r="AI19530" s="831">
        <v>0</v>
      </c>
      <c r="AJ19530" s="835">
        <v>41943</v>
      </c>
      <c r="AK19530" s="831">
        <v>131339945.17636365</v>
      </c>
    </row>
    <row r="19531" spans="2:37">
      <c r="B19531" s="834" t="str">
        <f t="shared" si="689"/>
        <v>|||</v>
      </c>
      <c r="H19531" s="835">
        <f t="shared" si="690"/>
        <v>31</v>
      </c>
      <c r="AF19531" s="831" t="s">
        <v>11730</v>
      </c>
      <c r="AG19531" s="831" t="s">
        <v>2674</v>
      </c>
      <c r="AH19531" s="831" t="s">
        <v>576</v>
      </c>
      <c r="AI19531" s="831">
        <v>0</v>
      </c>
      <c r="AJ19531" s="835">
        <v>41943</v>
      </c>
      <c r="AK19531" s="831">
        <v>433816282.72981817</v>
      </c>
    </row>
    <row r="19532" spans="2:37">
      <c r="B19532" s="834" t="str">
        <f t="shared" si="689"/>
        <v>|||</v>
      </c>
      <c r="H19532" s="835">
        <f t="shared" si="690"/>
        <v>31</v>
      </c>
      <c r="AF19532" s="831" t="s">
        <v>11731</v>
      </c>
      <c r="AG19532" s="831" t="s">
        <v>2674</v>
      </c>
      <c r="AH19532" s="831" t="s">
        <v>572</v>
      </c>
      <c r="AI19532" s="831">
        <v>0</v>
      </c>
      <c r="AJ19532" s="835">
        <v>41943</v>
      </c>
      <c r="AK19532" s="831">
        <v>34306433.956</v>
      </c>
    </row>
    <row r="19533" spans="2:37">
      <c r="B19533" s="834" t="str">
        <f t="shared" si="689"/>
        <v>|||</v>
      </c>
      <c r="H19533" s="835">
        <f t="shared" si="690"/>
        <v>31</v>
      </c>
      <c r="AF19533" s="831" t="s">
        <v>11732</v>
      </c>
      <c r="AG19533" s="831" t="s">
        <v>2674</v>
      </c>
      <c r="AH19533" s="831" t="s">
        <v>577</v>
      </c>
      <c r="AI19533" s="831">
        <v>0</v>
      </c>
      <c r="AJ19533" s="835">
        <v>41943</v>
      </c>
      <c r="AK19533" s="831">
        <v>169874551.76300001</v>
      </c>
    </row>
    <row r="19534" spans="2:37">
      <c r="B19534" s="834" t="str">
        <f t="shared" si="689"/>
        <v>|||</v>
      </c>
      <c r="H19534" s="835">
        <f t="shared" si="690"/>
        <v>31</v>
      </c>
      <c r="AF19534" s="831" t="s">
        <v>11733</v>
      </c>
      <c r="AG19534" s="831" t="s">
        <v>2674</v>
      </c>
      <c r="AH19534" s="831" t="s">
        <v>3042</v>
      </c>
      <c r="AI19534" s="831">
        <v>0</v>
      </c>
      <c r="AJ19534" s="835">
        <v>41943</v>
      </c>
      <c r="AK19534" s="831">
        <v>-49231778.527000003</v>
      </c>
    </row>
    <row r="19535" spans="2:37">
      <c r="B19535" s="834" t="str">
        <f t="shared" si="689"/>
        <v>|||</v>
      </c>
      <c r="H19535" s="835">
        <f t="shared" si="690"/>
        <v>31</v>
      </c>
      <c r="AF19535" s="831" t="s">
        <v>11734</v>
      </c>
      <c r="AG19535" s="831" t="s">
        <v>2674</v>
      </c>
      <c r="AH19535" s="831" t="s">
        <v>3044</v>
      </c>
      <c r="AI19535" s="831">
        <v>0</v>
      </c>
      <c r="AJ19535" s="835">
        <v>41943</v>
      </c>
      <c r="AK19535" s="831">
        <v>-1676338.8899999997</v>
      </c>
    </row>
    <row r="19536" spans="2:37">
      <c r="B19536" s="834" t="str">
        <f t="shared" si="689"/>
        <v>|||</v>
      </c>
      <c r="H19536" s="835">
        <f t="shared" si="690"/>
        <v>31</v>
      </c>
      <c r="AF19536" s="831" t="s">
        <v>11735</v>
      </c>
      <c r="AG19536" s="831" t="s">
        <v>2674</v>
      </c>
      <c r="AH19536" s="831" t="s">
        <v>580</v>
      </c>
      <c r="AI19536" s="831">
        <v>0</v>
      </c>
      <c r="AJ19536" s="835">
        <v>41943</v>
      </c>
      <c r="AK19536" s="831">
        <v>-77780641.306999996</v>
      </c>
    </row>
    <row r="19537" spans="2:37">
      <c r="B19537" s="834" t="str">
        <f t="shared" ref="B19537:B19600" si="691">C19537&amp;"|"&amp;D19537&amp;"|"&amp;E19537&amp;"|"&amp;F19537</f>
        <v>|||</v>
      </c>
      <c r="H19537" s="835">
        <f t="shared" ref="H19537:H19600" si="692">EOMONTH(L19537,0)</f>
        <v>31</v>
      </c>
      <c r="AF19537" s="831" t="s">
        <v>11736</v>
      </c>
      <c r="AG19537" s="831" t="s">
        <v>2674</v>
      </c>
      <c r="AH19537" s="831" t="s">
        <v>581</v>
      </c>
      <c r="AI19537" s="831">
        <v>0</v>
      </c>
      <c r="AJ19537" s="835">
        <v>41943</v>
      </c>
      <c r="AK19537" s="831">
        <v>4385512.8940000003</v>
      </c>
    </row>
    <row r="19538" spans="2:37">
      <c r="B19538" s="834" t="str">
        <f t="shared" si="691"/>
        <v>|||</v>
      </c>
      <c r="H19538" s="835">
        <f t="shared" si="692"/>
        <v>31</v>
      </c>
      <c r="AF19538" s="831" t="s">
        <v>11737</v>
      </c>
      <c r="AG19538" s="831" t="s">
        <v>2674</v>
      </c>
      <c r="AH19538" s="831" t="s">
        <v>105</v>
      </c>
      <c r="AI19538" s="831">
        <v>0</v>
      </c>
      <c r="AJ19538" s="835">
        <v>41943</v>
      </c>
      <c r="AK19538" s="831">
        <v>497850514</v>
      </c>
    </row>
    <row r="19539" spans="2:37">
      <c r="B19539" s="834" t="str">
        <f t="shared" si="691"/>
        <v>|||</v>
      </c>
      <c r="H19539" s="835">
        <f t="shared" si="692"/>
        <v>31</v>
      </c>
      <c r="AF19539" s="831" t="s">
        <v>11738</v>
      </c>
      <c r="AG19539" s="831" t="s">
        <v>2674</v>
      </c>
      <c r="AH19539" s="831" t="s">
        <v>3049</v>
      </c>
      <c r="AI19539" s="831">
        <v>0</v>
      </c>
      <c r="AJ19539" s="835">
        <v>41943</v>
      </c>
      <c r="AK19539" s="831">
        <v>819726974</v>
      </c>
    </row>
    <row r="19540" spans="2:37">
      <c r="B19540" s="834" t="str">
        <f t="shared" si="691"/>
        <v>|||</v>
      </c>
      <c r="H19540" s="835">
        <f t="shared" si="692"/>
        <v>31</v>
      </c>
      <c r="AF19540" s="831" t="s">
        <v>11739</v>
      </c>
      <c r="AG19540" s="831" t="s">
        <v>2674</v>
      </c>
      <c r="AH19540" s="831" t="s">
        <v>103</v>
      </c>
      <c r="AI19540" s="831">
        <v>0</v>
      </c>
      <c r="AJ19540" s="835">
        <v>41943</v>
      </c>
      <c r="AK19540" s="831">
        <v>321876460</v>
      </c>
    </row>
    <row r="19541" spans="2:37">
      <c r="B19541" s="834" t="str">
        <f t="shared" si="691"/>
        <v>|||</v>
      </c>
      <c r="H19541" s="835">
        <f t="shared" si="692"/>
        <v>31</v>
      </c>
      <c r="AF19541" s="831" t="s">
        <v>11740</v>
      </c>
      <c r="AG19541" s="831" t="s">
        <v>2674</v>
      </c>
      <c r="AH19541" s="831" t="s">
        <v>182</v>
      </c>
      <c r="AI19541" s="831">
        <v>0</v>
      </c>
      <c r="AJ19541" s="835">
        <v>41943</v>
      </c>
      <c r="AK19541" s="831">
        <v>74624670</v>
      </c>
    </row>
    <row r="19542" spans="2:37">
      <c r="B19542" s="834" t="str">
        <f t="shared" si="691"/>
        <v>|||</v>
      </c>
      <c r="H19542" s="835">
        <f t="shared" si="692"/>
        <v>31</v>
      </c>
      <c r="AF19542" s="831" t="s">
        <v>11741</v>
      </c>
      <c r="AG19542" s="831" t="s">
        <v>2674</v>
      </c>
      <c r="AH19542" s="831" t="s">
        <v>6600</v>
      </c>
      <c r="AI19542" s="831">
        <v>0</v>
      </c>
      <c r="AJ19542" s="835">
        <v>41943</v>
      </c>
      <c r="AK19542" s="831">
        <v>34306433.956</v>
      </c>
    </row>
    <row r="19543" spans="2:37">
      <c r="B19543" s="834" t="str">
        <f t="shared" si="691"/>
        <v>|||</v>
      </c>
      <c r="H19543" s="835">
        <f t="shared" si="692"/>
        <v>31</v>
      </c>
      <c r="AF19543" s="831" t="s">
        <v>11742</v>
      </c>
      <c r="AG19543" s="831" t="s">
        <v>2674</v>
      </c>
      <c r="AH19543" s="831" t="s">
        <v>6602</v>
      </c>
      <c r="AI19543" s="831">
        <v>0</v>
      </c>
      <c r="AJ19543" s="835">
        <v>41943</v>
      </c>
      <c r="AK19543" s="831">
        <v>32657533</v>
      </c>
    </row>
    <row r="19544" spans="2:37">
      <c r="B19544" s="834" t="str">
        <f t="shared" si="691"/>
        <v>|||</v>
      </c>
      <c r="H19544" s="835">
        <f t="shared" si="692"/>
        <v>31</v>
      </c>
      <c r="AF19544" s="831" t="s">
        <v>11743</v>
      </c>
      <c r="AG19544" s="831" t="s">
        <v>2674</v>
      </c>
      <c r="AH19544" s="831" t="s">
        <v>650</v>
      </c>
      <c r="AI19544" s="831">
        <v>0</v>
      </c>
      <c r="AJ19544" s="835">
        <v>41943</v>
      </c>
      <c r="AK19544" s="831">
        <v>280875581.18223077</v>
      </c>
    </row>
    <row r="19545" spans="2:37">
      <c r="B19545" s="834" t="str">
        <f t="shared" si="691"/>
        <v>|||</v>
      </c>
      <c r="H19545" s="835">
        <f t="shared" si="692"/>
        <v>31</v>
      </c>
      <c r="AF19545" s="831" t="s">
        <v>11744</v>
      </c>
      <c r="AG19545" s="831" t="s">
        <v>2674</v>
      </c>
      <c r="AH19545" s="831" t="s">
        <v>655</v>
      </c>
      <c r="AI19545" s="831">
        <v>0</v>
      </c>
      <c r="AJ19545" s="835">
        <v>41943</v>
      </c>
      <c r="AK19545" s="831">
        <v>824847</v>
      </c>
    </row>
    <row r="19546" spans="2:37">
      <c r="B19546" s="834" t="str">
        <f t="shared" si="691"/>
        <v>|||</v>
      </c>
      <c r="H19546" s="835">
        <f t="shared" si="692"/>
        <v>31</v>
      </c>
      <c r="AF19546" s="831" t="s">
        <v>11745</v>
      </c>
      <c r="AG19546" s="831" t="s">
        <v>2674</v>
      </c>
      <c r="AH19546" s="831" t="s">
        <v>546</v>
      </c>
      <c r="AI19546" s="831">
        <v>0</v>
      </c>
      <c r="AJ19546" s="835">
        <v>41973</v>
      </c>
      <c r="AK19546" s="831">
        <v>802902472</v>
      </c>
    </row>
    <row r="19547" spans="2:37">
      <c r="B19547" s="834" t="str">
        <f t="shared" si="691"/>
        <v>|||</v>
      </c>
      <c r="H19547" s="835">
        <f t="shared" si="692"/>
        <v>31</v>
      </c>
      <c r="AF19547" s="831" t="s">
        <v>11746</v>
      </c>
      <c r="AG19547" s="831" t="s">
        <v>2674</v>
      </c>
      <c r="AH19547" s="831" t="s">
        <v>370</v>
      </c>
      <c r="AI19547" s="831">
        <v>0</v>
      </c>
      <c r="AJ19547" s="835">
        <v>41973</v>
      </c>
      <c r="AK19547" s="831">
        <v>1000702434</v>
      </c>
    </row>
    <row r="19548" spans="2:37">
      <c r="B19548" s="834" t="str">
        <f t="shared" si="691"/>
        <v>|||</v>
      </c>
      <c r="H19548" s="835">
        <f t="shared" si="692"/>
        <v>31</v>
      </c>
      <c r="AF19548" s="831" t="s">
        <v>11747</v>
      </c>
      <c r="AG19548" s="831" t="s">
        <v>2674</v>
      </c>
      <c r="AH19548" s="831" t="s">
        <v>126</v>
      </c>
      <c r="AI19548" s="831">
        <v>0</v>
      </c>
      <c r="AJ19548" s="835">
        <v>41973</v>
      </c>
      <c r="AK19548" s="831">
        <v>153599665</v>
      </c>
    </row>
    <row r="19549" spans="2:37">
      <c r="B19549" s="834" t="str">
        <f t="shared" si="691"/>
        <v>|||</v>
      </c>
      <c r="H19549" s="835">
        <f t="shared" si="692"/>
        <v>31</v>
      </c>
      <c r="AF19549" s="831" t="s">
        <v>11748</v>
      </c>
      <c r="AG19549" s="831" t="s">
        <v>2674</v>
      </c>
      <c r="AH19549" s="831" t="s">
        <v>268</v>
      </c>
      <c r="AI19549" s="831">
        <v>0</v>
      </c>
      <c r="AJ19549" s="835">
        <v>41973</v>
      </c>
      <c r="AK19549" s="831">
        <v>35013602</v>
      </c>
    </row>
    <row r="19550" spans="2:37">
      <c r="B19550" s="834" t="str">
        <f t="shared" si="691"/>
        <v>|||</v>
      </c>
      <c r="H19550" s="835">
        <f t="shared" si="692"/>
        <v>31</v>
      </c>
      <c r="AF19550" s="831" t="s">
        <v>11749</v>
      </c>
      <c r="AG19550" s="831" t="s">
        <v>2674</v>
      </c>
      <c r="AH19550" s="831" t="s">
        <v>547</v>
      </c>
      <c r="AI19550" s="831">
        <v>0</v>
      </c>
      <c r="AJ19550" s="835">
        <v>41973</v>
      </c>
      <c r="AK19550" s="831">
        <v>777719977</v>
      </c>
    </row>
    <row r="19551" spans="2:37">
      <c r="B19551" s="834" t="str">
        <f t="shared" si="691"/>
        <v>|||</v>
      </c>
      <c r="H19551" s="835">
        <f t="shared" si="692"/>
        <v>31</v>
      </c>
      <c r="AF19551" s="831" t="s">
        <v>11750</v>
      </c>
      <c r="AG19551" s="831" t="s">
        <v>2674</v>
      </c>
      <c r="AH19551" s="831" t="s">
        <v>548</v>
      </c>
      <c r="AI19551" s="831">
        <v>0</v>
      </c>
      <c r="AJ19551" s="835">
        <v>41973</v>
      </c>
      <c r="AK19551" s="831">
        <v>117105496</v>
      </c>
    </row>
    <row r="19552" spans="2:37">
      <c r="B19552" s="834" t="str">
        <f t="shared" si="691"/>
        <v>|||</v>
      </c>
      <c r="H19552" s="835">
        <f t="shared" si="692"/>
        <v>31</v>
      </c>
      <c r="AF19552" s="831" t="s">
        <v>11751</v>
      </c>
      <c r="AG19552" s="831" t="s">
        <v>2674</v>
      </c>
      <c r="AH19552" s="831" t="s">
        <v>549</v>
      </c>
      <c r="AI19552" s="831">
        <v>0</v>
      </c>
      <c r="AJ19552" s="835">
        <v>41973</v>
      </c>
      <c r="AK19552" s="831">
        <v>598049309.95000005</v>
      </c>
    </row>
    <row r="19553" spans="2:37">
      <c r="B19553" s="834" t="str">
        <f t="shared" si="691"/>
        <v>|||</v>
      </c>
      <c r="H19553" s="835">
        <f t="shared" si="692"/>
        <v>31</v>
      </c>
      <c r="AF19553" s="831" t="s">
        <v>11752</v>
      </c>
      <c r="AG19553" s="831" t="s">
        <v>2674</v>
      </c>
      <c r="AH19553" s="831" t="s">
        <v>192</v>
      </c>
      <c r="AI19553" s="831">
        <v>0</v>
      </c>
      <c r="AJ19553" s="835">
        <v>41973</v>
      </c>
      <c r="AK19553" s="831">
        <v>-10647566</v>
      </c>
    </row>
    <row r="19554" spans="2:37">
      <c r="B19554" s="834" t="str">
        <f t="shared" si="691"/>
        <v>|||</v>
      </c>
      <c r="H19554" s="835">
        <f t="shared" si="692"/>
        <v>31</v>
      </c>
      <c r="AF19554" s="831" t="s">
        <v>11753</v>
      </c>
      <c r="AG19554" s="831" t="s">
        <v>2674</v>
      </c>
      <c r="AH19554" s="831" t="s">
        <v>558</v>
      </c>
      <c r="AI19554" s="831">
        <v>0</v>
      </c>
      <c r="AJ19554" s="835">
        <v>41973</v>
      </c>
      <c r="AK19554" s="831">
        <v>847102769</v>
      </c>
    </row>
    <row r="19555" spans="2:37">
      <c r="B19555" s="834" t="str">
        <f t="shared" si="691"/>
        <v>|||</v>
      </c>
      <c r="H19555" s="835">
        <f t="shared" si="692"/>
        <v>31</v>
      </c>
      <c r="AF19555" s="831" t="s">
        <v>11754</v>
      </c>
      <c r="AG19555" s="831" t="s">
        <v>2674</v>
      </c>
      <c r="AH19555" s="831" t="s">
        <v>65</v>
      </c>
      <c r="AI19555" s="831">
        <v>0</v>
      </c>
      <c r="AJ19555" s="835">
        <v>41973</v>
      </c>
      <c r="AK19555" s="831">
        <v>160301151</v>
      </c>
    </row>
    <row r="19556" spans="2:37">
      <c r="B19556" s="834" t="str">
        <f t="shared" si="691"/>
        <v>|||</v>
      </c>
      <c r="H19556" s="835">
        <f t="shared" si="692"/>
        <v>31</v>
      </c>
      <c r="AF19556" s="831" t="s">
        <v>11755</v>
      </c>
      <c r="AG19556" s="831" t="s">
        <v>2674</v>
      </c>
      <c r="AH19556" s="831" t="s">
        <v>89</v>
      </c>
      <c r="AI19556" s="831">
        <v>0</v>
      </c>
      <c r="AJ19556" s="835">
        <v>41973</v>
      </c>
      <c r="AK19556" s="831">
        <v>158266</v>
      </c>
    </row>
    <row r="19557" spans="2:37">
      <c r="B19557" s="834" t="str">
        <f t="shared" si="691"/>
        <v>|||</v>
      </c>
      <c r="H19557" s="835">
        <f t="shared" si="692"/>
        <v>31</v>
      </c>
      <c r="AF19557" s="831" t="s">
        <v>11756</v>
      </c>
      <c r="AG19557" s="831" t="s">
        <v>2674</v>
      </c>
      <c r="AH19557" s="831" t="s">
        <v>557</v>
      </c>
      <c r="AI19557" s="831">
        <v>0</v>
      </c>
      <c r="AJ19557" s="835">
        <v>41973</v>
      </c>
      <c r="AK19557" s="831">
        <v>179245</v>
      </c>
    </row>
    <row r="19558" spans="2:37">
      <c r="B19558" s="834" t="str">
        <f t="shared" si="691"/>
        <v>|||</v>
      </c>
      <c r="H19558" s="835">
        <f t="shared" si="692"/>
        <v>31</v>
      </c>
      <c r="AF19558" s="831" t="s">
        <v>11757</v>
      </c>
      <c r="AG19558" s="831" t="s">
        <v>2674</v>
      </c>
      <c r="AH19558" s="831" t="s">
        <v>29</v>
      </c>
      <c r="AI19558" s="831">
        <v>0</v>
      </c>
      <c r="AJ19558" s="835">
        <v>41973</v>
      </c>
      <c r="AK19558" s="831">
        <v>4556685.3900000006</v>
      </c>
    </row>
    <row r="19559" spans="2:37">
      <c r="B19559" s="834" t="str">
        <f t="shared" si="691"/>
        <v>|||</v>
      </c>
      <c r="H19559" s="835">
        <f t="shared" si="692"/>
        <v>31</v>
      </c>
      <c r="AF19559" s="831" t="s">
        <v>11758</v>
      </c>
      <c r="AG19559" s="831" t="s">
        <v>2674</v>
      </c>
      <c r="AH19559" s="831" t="s">
        <v>2688</v>
      </c>
      <c r="AI19559" s="831">
        <v>0</v>
      </c>
      <c r="AJ19559" s="835">
        <v>41973</v>
      </c>
      <c r="AK19559" s="831">
        <v>4982602.75</v>
      </c>
    </row>
    <row r="19560" spans="2:37">
      <c r="B19560" s="834" t="str">
        <f t="shared" si="691"/>
        <v>|||</v>
      </c>
      <c r="H19560" s="835">
        <f t="shared" si="692"/>
        <v>31</v>
      </c>
      <c r="AF19560" s="831" t="s">
        <v>11759</v>
      </c>
      <c r="AG19560" s="831" t="s">
        <v>2674</v>
      </c>
      <c r="AH19560" s="831" t="s">
        <v>556</v>
      </c>
      <c r="AI19560" s="831">
        <v>0</v>
      </c>
      <c r="AJ19560" s="835">
        <v>41973</v>
      </c>
      <c r="AK19560" s="831">
        <v>9781741</v>
      </c>
    </row>
    <row r="19561" spans="2:37">
      <c r="B19561" s="834" t="str">
        <f t="shared" si="691"/>
        <v>|||</v>
      </c>
      <c r="H19561" s="835">
        <f t="shared" si="692"/>
        <v>31</v>
      </c>
      <c r="AF19561" s="831" t="s">
        <v>11760</v>
      </c>
      <c r="AG19561" s="831" t="s">
        <v>2674</v>
      </c>
      <c r="AH19561" s="831" t="s">
        <v>555</v>
      </c>
      <c r="AI19561" s="831">
        <v>0</v>
      </c>
      <c r="AJ19561" s="835">
        <v>41973</v>
      </c>
      <c r="AK19561" s="831">
        <v>559691148</v>
      </c>
    </row>
    <row r="19562" spans="2:37">
      <c r="B19562" s="834" t="str">
        <f t="shared" si="691"/>
        <v>|||</v>
      </c>
      <c r="H19562" s="835">
        <f t="shared" si="692"/>
        <v>31</v>
      </c>
      <c r="AF19562" s="831" t="s">
        <v>11761</v>
      </c>
      <c r="AG19562" s="831" t="s">
        <v>2674</v>
      </c>
      <c r="AH19562" s="831" t="s">
        <v>554</v>
      </c>
      <c r="AI19562" s="831">
        <v>0</v>
      </c>
      <c r="AJ19562" s="835">
        <v>41973</v>
      </c>
      <c r="AK19562" s="831">
        <v>562759560</v>
      </c>
    </row>
    <row r="19563" spans="2:37">
      <c r="B19563" s="834" t="str">
        <f t="shared" si="691"/>
        <v>|||</v>
      </c>
      <c r="H19563" s="835">
        <f t="shared" si="692"/>
        <v>31</v>
      </c>
      <c r="AF19563" s="831" t="s">
        <v>11762</v>
      </c>
      <c r="AG19563" s="831" t="s">
        <v>2674</v>
      </c>
      <c r="AH19563" s="831" t="s">
        <v>553</v>
      </c>
      <c r="AI19563" s="831">
        <v>0</v>
      </c>
      <c r="AJ19563" s="835">
        <v>41973</v>
      </c>
      <c r="AK19563" s="831">
        <v>0</v>
      </c>
    </row>
    <row r="19564" spans="2:37">
      <c r="B19564" s="834" t="str">
        <f t="shared" si="691"/>
        <v>|||</v>
      </c>
      <c r="H19564" s="835">
        <f t="shared" si="692"/>
        <v>31</v>
      </c>
      <c r="AF19564" s="831" t="s">
        <v>11763</v>
      </c>
      <c r="AG19564" s="831" t="s">
        <v>2674</v>
      </c>
      <c r="AH19564" s="831" t="s">
        <v>552</v>
      </c>
      <c r="AI19564" s="831">
        <v>0</v>
      </c>
      <c r="AJ19564" s="835">
        <v>41973</v>
      </c>
      <c r="AK19564" s="831">
        <v>0</v>
      </c>
    </row>
    <row r="19565" spans="2:37">
      <c r="B19565" s="834" t="str">
        <f t="shared" si="691"/>
        <v>|||</v>
      </c>
      <c r="H19565" s="835">
        <f t="shared" si="692"/>
        <v>31</v>
      </c>
      <c r="AF19565" s="831" t="s">
        <v>11764</v>
      </c>
      <c r="AG19565" s="831" t="s">
        <v>2674</v>
      </c>
      <c r="AH19565" s="831" t="s">
        <v>551</v>
      </c>
      <c r="AI19565" s="831">
        <v>0</v>
      </c>
      <c r="AJ19565" s="835">
        <v>41973</v>
      </c>
      <c r="AK19565" s="831">
        <v>3921189.3899999997</v>
      </c>
    </row>
    <row r="19566" spans="2:37">
      <c r="B19566" s="834" t="str">
        <f t="shared" si="691"/>
        <v>|||</v>
      </c>
      <c r="H19566" s="835">
        <f t="shared" si="692"/>
        <v>31</v>
      </c>
      <c r="AF19566" s="831" t="s">
        <v>11765</v>
      </c>
      <c r="AG19566" s="831" t="s">
        <v>2674</v>
      </c>
      <c r="AH19566" s="831" t="s">
        <v>550</v>
      </c>
      <c r="AI19566" s="831">
        <v>0</v>
      </c>
      <c r="AJ19566" s="835">
        <v>41973</v>
      </c>
      <c r="AK19566" s="831">
        <v>149380039</v>
      </c>
    </row>
    <row r="19567" spans="2:37">
      <c r="B19567" s="834" t="str">
        <f t="shared" si="691"/>
        <v>|||</v>
      </c>
      <c r="H19567" s="835">
        <f t="shared" si="692"/>
        <v>31</v>
      </c>
      <c r="AF19567" s="831" t="s">
        <v>11766</v>
      </c>
      <c r="AG19567" s="831" t="s">
        <v>2674</v>
      </c>
      <c r="AH19567" s="831" t="s">
        <v>562</v>
      </c>
      <c r="AI19567" s="831">
        <v>0</v>
      </c>
      <c r="AJ19567" s="835">
        <v>41973</v>
      </c>
      <c r="AK19567" s="831">
        <v>0.78390000000000004</v>
      </c>
    </row>
    <row r="19568" spans="2:37">
      <c r="B19568" s="834" t="str">
        <f t="shared" si="691"/>
        <v>|||</v>
      </c>
      <c r="H19568" s="835">
        <f t="shared" si="692"/>
        <v>31</v>
      </c>
      <c r="AF19568" s="831" t="s">
        <v>11767</v>
      </c>
      <c r="AG19568" s="831" t="s">
        <v>2674</v>
      </c>
      <c r="AH19568" s="831" t="s">
        <v>2698</v>
      </c>
      <c r="AI19568" s="831">
        <v>0</v>
      </c>
      <c r="AJ19568" s="835">
        <v>41973</v>
      </c>
      <c r="AK19568" s="831">
        <v>0.78380000000000005</v>
      </c>
    </row>
    <row r="19569" spans="2:37">
      <c r="B19569" s="834" t="str">
        <f t="shared" si="691"/>
        <v>|||</v>
      </c>
      <c r="H19569" s="835">
        <f t="shared" si="692"/>
        <v>31</v>
      </c>
      <c r="AF19569" s="831" t="s">
        <v>11768</v>
      </c>
      <c r="AG19569" s="831" t="s">
        <v>2674</v>
      </c>
      <c r="AH19569" s="831" t="s">
        <v>560</v>
      </c>
      <c r="AI19569" s="831">
        <v>0</v>
      </c>
      <c r="AJ19569" s="835">
        <v>41973</v>
      </c>
      <c r="AK19569" s="831">
        <v>0.78368181818181837</v>
      </c>
    </row>
    <row r="19570" spans="2:37">
      <c r="B19570" s="834" t="str">
        <f t="shared" si="691"/>
        <v>|||</v>
      </c>
      <c r="H19570" s="835">
        <f t="shared" si="692"/>
        <v>31</v>
      </c>
      <c r="AF19570" s="831" t="s">
        <v>11769</v>
      </c>
      <c r="AG19570" s="831" t="s">
        <v>2674</v>
      </c>
      <c r="AH19570" s="831" t="s">
        <v>559</v>
      </c>
      <c r="AI19570" s="831">
        <v>0</v>
      </c>
      <c r="AJ19570" s="835">
        <v>41973</v>
      </c>
      <c r="AK19570" s="831">
        <v>0.78365416666666687</v>
      </c>
    </row>
    <row r="19571" spans="2:37">
      <c r="B19571" s="834" t="str">
        <f t="shared" si="691"/>
        <v>|||</v>
      </c>
      <c r="H19571" s="835">
        <f t="shared" si="692"/>
        <v>31</v>
      </c>
      <c r="AF19571" s="831" t="s">
        <v>11770</v>
      </c>
      <c r="AG19571" s="831" t="s">
        <v>2674</v>
      </c>
      <c r="AH19571" s="831" t="s">
        <v>568</v>
      </c>
      <c r="AI19571" s="831">
        <v>0</v>
      </c>
      <c r="AJ19571" s="835">
        <v>41973</v>
      </c>
      <c r="AK19571" s="831">
        <v>706055335.61153853</v>
      </c>
    </row>
    <row r="19572" spans="2:37">
      <c r="B19572" s="834" t="str">
        <f t="shared" si="691"/>
        <v>|||</v>
      </c>
      <c r="H19572" s="835">
        <f t="shared" si="692"/>
        <v>31</v>
      </c>
      <c r="AF19572" s="831" t="s">
        <v>11771</v>
      </c>
      <c r="AG19572" s="831" t="s">
        <v>2674</v>
      </c>
      <c r="AH19572" s="831" t="s">
        <v>569</v>
      </c>
      <c r="AI19572" s="831">
        <v>0</v>
      </c>
      <c r="AJ19572" s="835">
        <v>41973</v>
      </c>
      <c r="AK19572" s="831">
        <v>877011865.12715387</v>
      </c>
    </row>
    <row r="19573" spans="2:37">
      <c r="B19573" s="834" t="str">
        <f t="shared" si="691"/>
        <v>|||</v>
      </c>
      <c r="H19573" s="835">
        <f t="shared" si="692"/>
        <v>31</v>
      </c>
      <c r="AF19573" s="831" t="s">
        <v>11772</v>
      </c>
      <c r="AG19573" s="831" t="s">
        <v>2674</v>
      </c>
      <c r="AH19573" s="831" t="s">
        <v>570</v>
      </c>
      <c r="AI19573" s="831">
        <v>0</v>
      </c>
      <c r="AJ19573" s="835">
        <v>41973</v>
      </c>
      <c r="AK19573" s="831">
        <v>132419769.36892308</v>
      </c>
    </row>
    <row r="19574" spans="2:37">
      <c r="B19574" s="834" t="str">
        <f t="shared" si="691"/>
        <v>|||</v>
      </c>
      <c r="H19574" s="835">
        <f t="shared" si="692"/>
        <v>31</v>
      </c>
      <c r="AF19574" s="831" t="s">
        <v>11773</v>
      </c>
      <c r="AG19574" s="831" t="s">
        <v>2674</v>
      </c>
      <c r="AH19574" s="831" t="s">
        <v>571</v>
      </c>
      <c r="AI19574" s="831">
        <v>0</v>
      </c>
      <c r="AJ19574" s="835">
        <v>41973</v>
      </c>
      <c r="AK19574" s="831">
        <v>432199968.69923079</v>
      </c>
    </row>
    <row r="19575" spans="2:37">
      <c r="B19575" s="834" t="str">
        <f t="shared" si="691"/>
        <v>|||</v>
      </c>
      <c r="H19575" s="835">
        <f t="shared" si="692"/>
        <v>31</v>
      </c>
      <c r="AF19575" s="831" t="s">
        <v>11774</v>
      </c>
      <c r="AG19575" s="831" t="s">
        <v>2674</v>
      </c>
      <c r="AH19575" s="831" t="s">
        <v>573</v>
      </c>
      <c r="AI19575" s="831">
        <v>0</v>
      </c>
      <c r="AJ19575" s="835">
        <v>41973</v>
      </c>
      <c r="AK19575" s="831">
        <v>888073560.38024998</v>
      </c>
    </row>
    <row r="19576" spans="2:37">
      <c r="B19576" s="834" t="str">
        <f t="shared" si="691"/>
        <v>|||</v>
      </c>
      <c r="H19576" s="835">
        <f t="shared" si="692"/>
        <v>31</v>
      </c>
      <c r="AF19576" s="831" t="s">
        <v>11775</v>
      </c>
      <c r="AG19576" s="831" t="s">
        <v>2674</v>
      </c>
      <c r="AH19576" s="831" t="s">
        <v>574</v>
      </c>
      <c r="AI19576" s="831">
        <v>0</v>
      </c>
      <c r="AJ19576" s="835">
        <v>41973</v>
      </c>
      <c r="AK19576" s="831">
        <v>715055837.75</v>
      </c>
    </row>
    <row r="19577" spans="2:37">
      <c r="B19577" s="834" t="str">
        <f t="shared" si="691"/>
        <v>|||</v>
      </c>
      <c r="H19577" s="835">
        <f t="shared" si="692"/>
        <v>31</v>
      </c>
      <c r="AF19577" s="831" t="s">
        <v>11776</v>
      </c>
      <c r="AG19577" s="831" t="s">
        <v>2674</v>
      </c>
      <c r="AH19577" s="831" t="s">
        <v>575</v>
      </c>
      <c r="AI19577" s="831">
        <v>0</v>
      </c>
      <c r="AJ19577" s="835">
        <v>41973</v>
      </c>
      <c r="AK19577" s="831">
        <v>133194921.82833333</v>
      </c>
    </row>
    <row r="19578" spans="2:37">
      <c r="B19578" s="834" t="str">
        <f t="shared" si="691"/>
        <v>|||</v>
      </c>
      <c r="H19578" s="835">
        <f t="shared" si="692"/>
        <v>31</v>
      </c>
      <c r="AF19578" s="831" t="s">
        <v>11777</v>
      </c>
      <c r="AG19578" s="831" t="s">
        <v>2674</v>
      </c>
      <c r="AH19578" s="831" t="s">
        <v>576</v>
      </c>
      <c r="AI19578" s="831">
        <v>0</v>
      </c>
      <c r="AJ19578" s="835">
        <v>41973</v>
      </c>
      <c r="AK19578" s="831">
        <v>438403431.08566666</v>
      </c>
    </row>
    <row r="19579" spans="2:37">
      <c r="B19579" s="834" t="str">
        <f t="shared" si="691"/>
        <v>|||</v>
      </c>
      <c r="H19579" s="835">
        <f t="shared" si="692"/>
        <v>31</v>
      </c>
      <c r="AF19579" s="831" t="s">
        <v>11778</v>
      </c>
      <c r="AG19579" s="831" t="s">
        <v>2674</v>
      </c>
      <c r="AH19579" s="831" t="s">
        <v>572</v>
      </c>
      <c r="AI19579" s="831">
        <v>0</v>
      </c>
      <c r="AJ19579" s="835">
        <v>41973</v>
      </c>
      <c r="AK19579" s="831">
        <v>33835425.924000025</v>
      </c>
    </row>
    <row r="19580" spans="2:37">
      <c r="B19580" s="834" t="str">
        <f t="shared" si="691"/>
        <v>|||</v>
      </c>
      <c r="H19580" s="835">
        <f t="shared" si="692"/>
        <v>31</v>
      </c>
      <c r="AF19580" s="831" t="s">
        <v>11779</v>
      </c>
      <c r="AG19580" s="831" t="s">
        <v>2674</v>
      </c>
      <c r="AH19580" s="831" t="s">
        <v>577</v>
      </c>
      <c r="AI19580" s="831">
        <v>0</v>
      </c>
      <c r="AJ19580" s="835">
        <v>41973</v>
      </c>
      <c r="AK19580" s="831">
        <v>173617070.52700001</v>
      </c>
    </row>
    <row r="19581" spans="2:37">
      <c r="B19581" s="834" t="str">
        <f t="shared" si="691"/>
        <v>|||</v>
      </c>
      <c r="H19581" s="835">
        <f t="shared" si="692"/>
        <v>31</v>
      </c>
      <c r="AF19581" s="831" t="s">
        <v>11780</v>
      </c>
      <c r="AG19581" s="831" t="s">
        <v>2674</v>
      </c>
      <c r="AH19581" s="831" t="s">
        <v>3042</v>
      </c>
      <c r="AI19581" s="831">
        <v>0</v>
      </c>
      <c r="AJ19581" s="835">
        <v>41973</v>
      </c>
      <c r="AK19581" s="831">
        <v>-50695273.862000003</v>
      </c>
    </row>
    <row r="19582" spans="2:37">
      <c r="B19582" s="834" t="str">
        <f t="shared" si="691"/>
        <v>|||</v>
      </c>
      <c r="H19582" s="835">
        <f t="shared" si="692"/>
        <v>31</v>
      </c>
      <c r="AF19582" s="831" t="s">
        <v>11781</v>
      </c>
      <c r="AG19582" s="831" t="s">
        <v>2674</v>
      </c>
      <c r="AH19582" s="831" t="s">
        <v>3044</v>
      </c>
      <c r="AI19582" s="831">
        <v>0</v>
      </c>
      <c r="AJ19582" s="835">
        <v>41973</v>
      </c>
      <c r="AK19582" s="831">
        <v>-2169383.0120000001</v>
      </c>
    </row>
    <row r="19583" spans="2:37">
      <c r="B19583" s="834" t="str">
        <f t="shared" si="691"/>
        <v>|||</v>
      </c>
      <c r="H19583" s="835">
        <f t="shared" si="692"/>
        <v>31</v>
      </c>
      <c r="AF19583" s="831" t="s">
        <v>11782</v>
      </c>
      <c r="AG19583" s="831" t="s">
        <v>2674</v>
      </c>
      <c r="AH19583" s="831" t="s">
        <v>580</v>
      </c>
      <c r="AI19583" s="831">
        <v>0</v>
      </c>
      <c r="AJ19583" s="835">
        <v>41973</v>
      </c>
      <c r="AK19583" s="831">
        <v>-79126603.180999994</v>
      </c>
    </row>
    <row r="19584" spans="2:37">
      <c r="B19584" s="834" t="str">
        <f t="shared" si="691"/>
        <v>|||</v>
      </c>
      <c r="H19584" s="835">
        <f t="shared" si="692"/>
        <v>31</v>
      </c>
      <c r="AF19584" s="831" t="s">
        <v>11783</v>
      </c>
      <c r="AG19584" s="831" t="s">
        <v>2674</v>
      </c>
      <c r="AH19584" s="831" t="s">
        <v>581</v>
      </c>
      <c r="AI19584" s="831">
        <v>0</v>
      </c>
      <c r="AJ19584" s="835">
        <v>41973</v>
      </c>
      <c r="AK19584" s="831">
        <v>4040122.4290000005</v>
      </c>
    </row>
    <row r="19585" spans="2:37">
      <c r="B19585" s="834" t="str">
        <f t="shared" si="691"/>
        <v>|||</v>
      </c>
      <c r="H19585" s="835">
        <f t="shared" si="692"/>
        <v>31</v>
      </c>
      <c r="AF19585" s="831" t="s">
        <v>11784</v>
      </c>
      <c r="AG19585" s="831" t="s">
        <v>2674</v>
      </c>
      <c r="AH19585" s="831" t="s">
        <v>105</v>
      </c>
      <c r="AI19585" s="831">
        <v>0</v>
      </c>
      <c r="AJ19585" s="835">
        <v>41973</v>
      </c>
      <c r="AK19585" s="831">
        <v>488862063</v>
      </c>
    </row>
    <row r="19586" spans="2:37">
      <c r="B19586" s="834" t="str">
        <f t="shared" si="691"/>
        <v>|||</v>
      </c>
      <c r="H19586" s="835">
        <f t="shared" si="692"/>
        <v>31</v>
      </c>
      <c r="AF19586" s="831" t="s">
        <v>11785</v>
      </c>
      <c r="AG19586" s="831" t="s">
        <v>2674</v>
      </c>
      <c r="AH19586" s="831" t="s">
        <v>3049</v>
      </c>
      <c r="AI19586" s="831">
        <v>0</v>
      </c>
      <c r="AJ19586" s="835">
        <v>41973</v>
      </c>
      <c r="AK19586" s="831">
        <v>810336503</v>
      </c>
    </row>
    <row r="19587" spans="2:37">
      <c r="B19587" s="834" t="str">
        <f t="shared" si="691"/>
        <v>|||</v>
      </c>
      <c r="H19587" s="835">
        <f t="shared" si="692"/>
        <v>31</v>
      </c>
      <c r="AF19587" s="831" t="s">
        <v>11786</v>
      </c>
      <c r="AG19587" s="831" t="s">
        <v>2674</v>
      </c>
      <c r="AH19587" s="831" t="s">
        <v>103</v>
      </c>
      <c r="AI19587" s="831">
        <v>0</v>
      </c>
      <c r="AJ19587" s="835">
        <v>41973</v>
      </c>
      <c r="AK19587" s="831">
        <v>321474440</v>
      </c>
    </row>
    <row r="19588" spans="2:37">
      <c r="B19588" s="834" t="str">
        <f t="shared" si="691"/>
        <v>|||</v>
      </c>
      <c r="H19588" s="835">
        <f t="shared" si="692"/>
        <v>31</v>
      </c>
      <c r="AF19588" s="831" t="s">
        <v>11787</v>
      </c>
      <c r="AG19588" s="831" t="s">
        <v>2674</v>
      </c>
      <c r="AH19588" s="831" t="s">
        <v>182</v>
      </c>
      <c r="AI19588" s="831">
        <v>0</v>
      </c>
      <c r="AJ19588" s="835">
        <v>41973</v>
      </c>
      <c r="AK19588" s="831">
        <v>75281666.181818187</v>
      </c>
    </row>
    <row r="19589" spans="2:37">
      <c r="B19589" s="834" t="str">
        <f t="shared" si="691"/>
        <v>|||</v>
      </c>
      <c r="H19589" s="835">
        <f t="shared" si="692"/>
        <v>31</v>
      </c>
      <c r="AF19589" s="831" t="s">
        <v>11788</v>
      </c>
      <c r="AG19589" s="831" t="s">
        <v>2674</v>
      </c>
      <c r="AH19589" s="831" t="s">
        <v>6600</v>
      </c>
      <c r="AI19589" s="831">
        <v>0</v>
      </c>
      <c r="AJ19589" s="835">
        <v>41973</v>
      </c>
      <c r="AK19589" s="831">
        <v>33835425.924000025</v>
      </c>
    </row>
    <row r="19590" spans="2:37">
      <c r="B19590" s="834" t="str">
        <f t="shared" si="691"/>
        <v>|||</v>
      </c>
      <c r="H19590" s="835">
        <f t="shared" si="692"/>
        <v>31</v>
      </c>
      <c r="AF19590" s="831" t="s">
        <v>11789</v>
      </c>
      <c r="AG19590" s="831" t="s">
        <v>2674</v>
      </c>
      <c r="AH19590" s="831" t="s">
        <v>6602</v>
      </c>
      <c r="AI19590" s="831">
        <v>0</v>
      </c>
      <c r="AJ19590" s="835">
        <v>41973</v>
      </c>
      <c r="AK19590" s="831">
        <v>35013602</v>
      </c>
    </row>
    <row r="19591" spans="2:37">
      <c r="B19591" s="834" t="str">
        <f t="shared" si="691"/>
        <v>|||</v>
      </c>
      <c r="H19591" s="835">
        <f t="shared" si="692"/>
        <v>31</v>
      </c>
      <c r="AF19591" s="831" t="s">
        <v>11790</v>
      </c>
      <c r="AG19591" s="831" t="s">
        <v>2674</v>
      </c>
      <c r="AH19591" s="831" t="s">
        <v>650</v>
      </c>
      <c r="AI19591" s="831">
        <v>0</v>
      </c>
      <c r="AJ19591" s="835">
        <v>41973</v>
      </c>
      <c r="AK19591" s="831">
        <v>287670371.56684613</v>
      </c>
    </row>
    <row r="19592" spans="2:37">
      <c r="B19592" s="834" t="str">
        <f t="shared" si="691"/>
        <v>|||</v>
      </c>
      <c r="H19592" s="835">
        <f t="shared" si="692"/>
        <v>31</v>
      </c>
      <c r="AF19592" s="831" t="s">
        <v>11791</v>
      </c>
      <c r="AG19592" s="831" t="s">
        <v>2674</v>
      </c>
      <c r="AH19592" s="831" t="s">
        <v>655</v>
      </c>
      <c r="AI19592" s="831">
        <v>0</v>
      </c>
      <c r="AJ19592" s="835">
        <v>41973</v>
      </c>
      <c r="AK19592" s="831">
        <v>919694.3899999999</v>
      </c>
    </row>
    <row r="19593" spans="2:37">
      <c r="B19593" s="834" t="str">
        <f t="shared" si="691"/>
        <v>|||</v>
      </c>
      <c r="H19593" s="835">
        <f t="shared" si="692"/>
        <v>31</v>
      </c>
      <c r="AF19593" s="831" t="s">
        <v>11792</v>
      </c>
      <c r="AG19593" s="831" t="s">
        <v>2674</v>
      </c>
      <c r="AH19593" s="831" t="s">
        <v>546</v>
      </c>
      <c r="AI19593" s="831">
        <v>0</v>
      </c>
      <c r="AJ19593" s="835">
        <v>42004</v>
      </c>
      <c r="AK19593" s="831">
        <v>828920000</v>
      </c>
    </row>
    <row r="19594" spans="2:37">
      <c r="B19594" s="834" t="str">
        <f t="shared" si="691"/>
        <v>|||</v>
      </c>
      <c r="H19594" s="835">
        <f t="shared" si="692"/>
        <v>31</v>
      </c>
      <c r="AF19594" s="831" t="s">
        <v>11793</v>
      </c>
      <c r="AG19594" s="831" t="s">
        <v>2674</v>
      </c>
      <c r="AH19594" s="831" t="s">
        <v>370</v>
      </c>
      <c r="AI19594" s="831">
        <v>0</v>
      </c>
      <c r="AJ19594" s="835">
        <v>42004</v>
      </c>
      <c r="AK19594" s="831">
        <v>1042210000</v>
      </c>
    </row>
    <row r="19595" spans="2:37">
      <c r="B19595" s="834" t="str">
        <f t="shared" si="691"/>
        <v>|||</v>
      </c>
      <c r="H19595" s="835">
        <f t="shared" si="692"/>
        <v>31</v>
      </c>
      <c r="AF19595" s="831" t="s">
        <v>11794</v>
      </c>
      <c r="AG19595" s="831" t="s">
        <v>2674</v>
      </c>
      <c r="AH19595" s="831" t="s">
        <v>126</v>
      </c>
      <c r="AI19595" s="831">
        <v>0</v>
      </c>
      <c r="AJ19595" s="835">
        <v>42004</v>
      </c>
      <c r="AK19595" s="831">
        <v>145409000</v>
      </c>
    </row>
    <row r="19596" spans="2:37">
      <c r="B19596" s="834" t="str">
        <f t="shared" si="691"/>
        <v>|||</v>
      </c>
      <c r="H19596" s="835">
        <f t="shared" si="692"/>
        <v>31</v>
      </c>
      <c r="AF19596" s="831" t="s">
        <v>11795</v>
      </c>
      <c r="AG19596" s="831" t="s">
        <v>2674</v>
      </c>
      <c r="AH19596" s="831" t="s">
        <v>268</v>
      </c>
      <c r="AI19596" s="831">
        <v>0</v>
      </c>
      <c r="AJ19596" s="835">
        <v>42004</v>
      </c>
      <c r="AK19596" s="831">
        <v>43040000</v>
      </c>
    </row>
    <row r="19597" spans="2:37">
      <c r="B19597" s="834" t="str">
        <f t="shared" si="691"/>
        <v>|||</v>
      </c>
      <c r="H19597" s="835">
        <f t="shared" si="692"/>
        <v>31</v>
      </c>
      <c r="AF19597" s="831" t="s">
        <v>11796</v>
      </c>
      <c r="AG19597" s="831" t="s">
        <v>2674</v>
      </c>
      <c r="AH19597" s="831" t="s">
        <v>547</v>
      </c>
      <c r="AI19597" s="831">
        <v>0</v>
      </c>
      <c r="AJ19597" s="835">
        <v>42004</v>
      </c>
      <c r="AK19597" s="831">
        <v>777719977</v>
      </c>
    </row>
    <row r="19598" spans="2:37">
      <c r="B19598" s="834" t="str">
        <f t="shared" si="691"/>
        <v>|||</v>
      </c>
      <c r="H19598" s="835">
        <f t="shared" si="692"/>
        <v>31</v>
      </c>
      <c r="AF19598" s="831" t="s">
        <v>11797</v>
      </c>
      <c r="AG19598" s="831" t="s">
        <v>2674</v>
      </c>
      <c r="AH19598" s="831" t="s">
        <v>548</v>
      </c>
      <c r="AI19598" s="831">
        <v>0</v>
      </c>
      <c r="AJ19598" s="835">
        <v>42004</v>
      </c>
      <c r="AK19598" s="831">
        <v>117105496</v>
      </c>
    </row>
    <row r="19599" spans="2:37">
      <c r="B19599" s="834" t="str">
        <f t="shared" si="691"/>
        <v>|||</v>
      </c>
      <c r="H19599" s="835">
        <f t="shared" si="692"/>
        <v>31</v>
      </c>
      <c r="AF19599" s="831" t="s">
        <v>11798</v>
      </c>
      <c r="AG19599" s="831" t="s">
        <v>2674</v>
      </c>
      <c r="AH19599" s="831" t="s">
        <v>549</v>
      </c>
      <c r="AI19599" s="831">
        <v>0</v>
      </c>
      <c r="AJ19599" s="835">
        <v>42004</v>
      </c>
      <c r="AK19599" s="831">
        <v>627874260</v>
      </c>
    </row>
    <row r="19600" spans="2:37">
      <c r="B19600" s="834" t="str">
        <f t="shared" si="691"/>
        <v>|||</v>
      </c>
      <c r="H19600" s="835">
        <f t="shared" si="692"/>
        <v>31</v>
      </c>
      <c r="AF19600" s="831" t="s">
        <v>11799</v>
      </c>
      <c r="AG19600" s="831" t="s">
        <v>2674</v>
      </c>
      <c r="AH19600" s="831" t="s">
        <v>192</v>
      </c>
      <c r="AI19600" s="831">
        <v>0</v>
      </c>
      <c r="AJ19600" s="835">
        <v>42004</v>
      </c>
      <c r="AK19600" s="831">
        <v>-9140000</v>
      </c>
    </row>
    <row r="19601" spans="2:37">
      <c r="B19601" s="834" t="str">
        <f t="shared" ref="B19601:B19664" si="693">C19601&amp;"|"&amp;D19601&amp;"|"&amp;E19601&amp;"|"&amp;F19601</f>
        <v>|||</v>
      </c>
      <c r="H19601" s="835">
        <f t="shared" ref="H19601:H19664" si="694">EOMONTH(L19601,0)</f>
        <v>31</v>
      </c>
      <c r="AF19601" s="831" t="s">
        <v>11800</v>
      </c>
      <c r="AG19601" s="831" t="s">
        <v>2674</v>
      </c>
      <c r="AH19601" s="831" t="s">
        <v>558</v>
      </c>
      <c r="AI19601" s="831">
        <v>0</v>
      </c>
      <c r="AJ19601" s="835">
        <v>42004</v>
      </c>
      <c r="AK19601" s="831">
        <v>896801000</v>
      </c>
    </row>
    <row r="19602" spans="2:37">
      <c r="B19602" s="834" t="str">
        <f t="shared" si="693"/>
        <v>|||</v>
      </c>
      <c r="H19602" s="835">
        <f t="shared" si="694"/>
        <v>31</v>
      </c>
      <c r="AF19602" s="831" t="s">
        <v>11801</v>
      </c>
      <c r="AG19602" s="831" t="s">
        <v>2674</v>
      </c>
      <c r="AH19602" s="831" t="s">
        <v>65</v>
      </c>
      <c r="AI19602" s="831">
        <v>0</v>
      </c>
      <c r="AJ19602" s="835">
        <v>42004</v>
      </c>
      <c r="AK19602" s="831">
        <v>169813000</v>
      </c>
    </row>
    <row r="19603" spans="2:37">
      <c r="B19603" s="834" t="str">
        <f t="shared" si="693"/>
        <v>|||</v>
      </c>
      <c r="H19603" s="835">
        <f t="shared" si="694"/>
        <v>31</v>
      </c>
      <c r="AF19603" s="831" t="s">
        <v>11802</v>
      </c>
      <c r="AG19603" s="831" t="s">
        <v>2674</v>
      </c>
      <c r="AH19603" s="831" t="s">
        <v>89</v>
      </c>
      <c r="AI19603" s="831">
        <v>0</v>
      </c>
      <c r="AJ19603" s="835">
        <v>42004</v>
      </c>
      <c r="AK19603" s="831">
        <v>157146</v>
      </c>
    </row>
    <row r="19604" spans="2:37">
      <c r="B19604" s="834" t="str">
        <f t="shared" si="693"/>
        <v>|||</v>
      </c>
      <c r="H19604" s="835">
        <f t="shared" si="694"/>
        <v>31</v>
      </c>
      <c r="AF19604" s="831" t="s">
        <v>11803</v>
      </c>
      <c r="AG19604" s="831" t="s">
        <v>2674</v>
      </c>
      <c r="AH19604" s="831" t="s">
        <v>557</v>
      </c>
      <c r="AI19604" s="831">
        <v>0</v>
      </c>
      <c r="AJ19604" s="835">
        <v>42004</v>
      </c>
      <c r="AK19604" s="831">
        <v>178484</v>
      </c>
    </row>
    <row r="19605" spans="2:37">
      <c r="B19605" s="834" t="str">
        <f t="shared" si="693"/>
        <v>|||</v>
      </c>
      <c r="H19605" s="835">
        <f t="shared" si="694"/>
        <v>31</v>
      </c>
      <c r="AF19605" s="831" t="s">
        <v>11804</v>
      </c>
      <c r="AG19605" s="831" t="s">
        <v>2674</v>
      </c>
      <c r="AH19605" s="831" t="s">
        <v>29</v>
      </c>
      <c r="AI19605" s="831">
        <v>0</v>
      </c>
      <c r="AJ19605" s="835">
        <v>42004</v>
      </c>
      <c r="AK19605" s="831">
        <v>6837000</v>
      </c>
    </row>
    <row r="19606" spans="2:37">
      <c r="B19606" s="834" t="str">
        <f t="shared" si="693"/>
        <v>|||</v>
      </c>
      <c r="H19606" s="835">
        <f t="shared" si="694"/>
        <v>31</v>
      </c>
      <c r="AF19606" s="831" t="s">
        <v>11805</v>
      </c>
      <c r="AG19606" s="831" t="s">
        <v>2674</v>
      </c>
      <c r="AH19606" s="831" t="s">
        <v>2688</v>
      </c>
      <c r="AI19606" s="831">
        <v>0</v>
      </c>
      <c r="AJ19606" s="835">
        <v>42004</v>
      </c>
      <c r="AK19606" s="831">
        <v>5048648</v>
      </c>
    </row>
    <row r="19607" spans="2:37">
      <c r="B19607" s="834" t="str">
        <f t="shared" si="693"/>
        <v>|||</v>
      </c>
      <c r="H19607" s="835">
        <f t="shared" si="694"/>
        <v>31</v>
      </c>
      <c r="AF19607" s="831" t="s">
        <v>11806</v>
      </c>
      <c r="AG19607" s="831" t="s">
        <v>2674</v>
      </c>
      <c r="AH19607" s="831" t="s">
        <v>556</v>
      </c>
      <c r="AI19607" s="831">
        <v>0</v>
      </c>
      <c r="AJ19607" s="835">
        <v>42004</v>
      </c>
      <c r="AK19607" s="831">
        <v>11412135</v>
      </c>
    </row>
    <row r="19608" spans="2:37">
      <c r="B19608" s="834" t="str">
        <f t="shared" si="693"/>
        <v>|||</v>
      </c>
      <c r="H19608" s="835">
        <f t="shared" si="694"/>
        <v>31</v>
      </c>
      <c r="AF19608" s="831" t="s">
        <v>11807</v>
      </c>
      <c r="AG19608" s="831" t="s">
        <v>2674</v>
      </c>
      <c r="AH19608" s="831" t="s">
        <v>555</v>
      </c>
      <c r="AI19608" s="831">
        <v>0</v>
      </c>
      <c r="AJ19608" s="835">
        <v>42004</v>
      </c>
      <c r="AK19608" s="831">
        <v>596336076</v>
      </c>
    </row>
    <row r="19609" spans="2:37">
      <c r="B19609" s="834" t="str">
        <f t="shared" si="693"/>
        <v>|||</v>
      </c>
      <c r="H19609" s="835">
        <f t="shared" si="694"/>
        <v>31</v>
      </c>
      <c r="AF19609" s="831" t="s">
        <v>11808</v>
      </c>
      <c r="AG19609" s="831" t="s">
        <v>2674</v>
      </c>
      <c r="AH19609" s="831" t="s">
        <v>554</v>
      </c>
      <c r="AI19609" s="831">
        <v>0</v>
      </c>
      <c r="AJ19609" s="835">
        <v>42004</v>
      </c>
      <c r="AK19609" s="831">
        <v>603608535</v>
      </c>
    </row>
    <row r="19610" spans="2:37">
      <c r="B19610" s="834" t="str">
        <f t="shared" si="693"/>
        <v>|||</v>
      </c>
      <c r="H19610" s="835">
        <f t="shared" si="694"/>
        <v>31</v>
      </c>
      <c r="AF19610" s="831" t="s">
        <v>11809</v>
      </c>
      <c r="AG19610" s="831" t="s">
        <v>2674</v>
      </c>
      <c r="AH19610" s="831" t="s">
        <v>553</v>
      </c>
      <c r="AI19610" s="831">
        <v>0</v>
      </c>
      <c r="AJ19610" s="835">
        <v>42004</v>
      </c>
      <c r="AK19610" s="831">
        <v>0</v>
      </c>
    </row>
    <row r="19611" spans="2:37">
      <c r="B19611" s="834" t="str">
        <f t="shared" si="693"/>
        <v>|||</v>
      </c>
      <c r="H19611" s="835">
        <f t="shared" si="694"/>
        <v>31</v>
      </c>
      <c r="AF19611" s="831" t="s">
        <v>11810</v>
      </c>
      <c r="AG19611" s="831" t="s">
        <v>2674</v>
      </c>
      <c r="AH19611" s="831" t="s">
        <v>552</v>
      </c>
      <c r="AI19611" s="831">
        <v>0</v>
      </c>
      <c r="AJ19611" s="835">
        <v>42004</v>
      </c>
      <c r="AK19611" s="831">
        <v>0</v>
      </c>
    </row>
    <row r="19612" spans="2:37">
      <c r="B19612" s="834" t="str">
        <f t="shared" si="693"/>
        <v>|||</v>
      </c>
      <c r="H19612" s="835">
        <f t="shared" si="694"/>
        <v>31</v>
      </c>
      <c r="AF19612" s="831" t="s">
        <v>11811</v>
      </c>
      <c r="AG19612" s="831" t="s">
        <v>2674</v>
      </c>
      <c r="AH19612" s="831" t="s">
        <v>551</v>
      </c>
      <c r="AI19612" s="831">
        <v>0</v>
      </c>
      <c r="AJ19612" s="835">
        <v>42004</v>
      </c>
      <c r="AK19612" s="831">
        <v>6446340</v>
      </c>
    </row>
    <row r="19613" spans="2:37">
      <c r="B19613" s="834" t="str">
        <f t="shared" si="693"/>
        <v>|||</v>
      </c>
      <c r="H19613" s="835">
        <f t="shared" si="694"/>
        <v>31</v>
      </c>
      <c r="AF19613" s="831" t="s">
        <v>11812</v>
      </c>
      <c r="AG19613" s="831" t="s">
        <v>2674</v>
      </c>
      <c r="AH19613" s="831" t="s">
        <v>550</v>
      </c>
      <c r="AI19613" s="831">
        <v>0</v>
      </c>
      <c r="AJ19613" s="835">
        <v>42004</v>
      </c>
      <c r="AK19613" s="831">
        <v>153599665</v>
      </c>
    </row>
    <row r="19614" spans="2:37">
      <c r="B19614" s="834" t="str">
        <f t="shared" si="693"/>
        <v>|||</v>
      </c>
      <c r="H19614" s="835">
        <f t="shared" si="694"/>
        <v>31</v>
      </c>
      <c r="AF19614" s="831" t="s">
        <v>11813</v>
      </c>
      <c r="AG19614" s="831" t="s">
        <v>2674</v>
      </c>
      <c r="AH19614" s="831" t="s">
        <v>562</v>
      </c>
      <c r="AI19614" s="831">
        <v>0</v>
      </c>
      <c r="AJ19614" s="835">
        <v>42004</v>
      </c>
      <c r="AK19614" s="831">
        <v>0.78310000000000002</v>
      </c>
    </row>
    <row r="19615" spans="2:37">
      <c r="B19615" s="834" t="str">
        <f t="shared" si="693"/>
        <v>|||</v>
      </c>
      <c r="H19615" s="835">
        <f t="shared" si="694"/>
        <v>31</v>
      </c>
      <c r="AF19615" s="831" t="s">
        <v>11814</v>
      </c>
      <c r="AG19615" s="831" t="s">
        <v>2674</v>
      </c>
      <c r="AH19615" s="831" t="s">
        <v>2698</v>
      </c>
      <c r="AI19615" s="831">
        <v>0</v>
      </c>
      <c r="AJ19615" s="835">
        <v>42004</v>
      </c>
      <c r="AK19615" s="831">
        <v>0.78390000000000004</v>
      </c>
    </row>
    <row r="19616" spans="2:37">
      <c r="B19616" s="834" t="str">
        <f t="shared" si="693"/>
        <v>|||</v>
      </c>
      <c r="H19616" s="835">
        <f t="shared" si="694"/>
        <v>31</v>
      </c>
      <c r="AF19616" s="831" t="s">
        <v>11815</v>
      </c>
      <c r="AG19616" s="831" t="s">
        <v>2674</v>
      </c>
      <c r="AH19616" s="831" t="s">
        <v>560</v>
      </c>
      <c r="AI19616" s="831">
        <v>0</v>
      </c>
      <c r="AJ19616" s="835">
        <v>42004</v>
      </c>
      <c r="AK19616" s="831">
        <v>0.78363333333333329</v>
      </c>
    </row>
    <row r="19617" spans="2:37">
      <c r="B19617" s="834" t="str">
        <f t="shared" si="693"/>
        <v>|||</v>
      </c>
      <c r="H19617" s="835">
        <f t="shared" si="694"/>
        <v>31</v>
      </c>
      <c r="AF19617" s="831" t="s">
        <v>11816</v>
      </c>
      <c r="AG19617" s="831" t="s">
        <v>2674</v>
      </c>
      <c r="AH19617" s="831" t="s">
        <v>559</v>
      </c>
      <c r="AI19617" s="831">
        <v>0</v>
      </c>
      <c r="AJ19617" s="835">
        <v>42004</v>
      </c>
      <c r="AK19617" s="831">
        <v>0.78363333333333329</v>
      </c>
    </row>
    <row r="19618" spans="2:37">
      <c r="B19618" s="834" t="str">
        <f t="shared" si="693"/>
        <v>|||</v>
      </c>
      <c r="H19618" s="835">
        <f t="shared" si="694"/>
        <v>31</v>
      </c>
      <c r="AF19618" s="831" t="s">
        <v>11817</v>
      </c>
      <c r="AG19618" s="831" t="s">
        <v>2674</v>
      </c>
      <c r="AH19618" s="831" t="s">
        <v>568</v>
      </c>
      <c r="AI19618" s="831">
        <v>0</v>
      </c>
      <c r="AJ19618" s="835">
        <v>42004</v>
      </c>
      <c r="AK19618" s="831">
        <v>723814619.46153843</v>
      </c>
    </row>
    <row r="19619" spans="2:37">
      <c r="B19619" s="834" t="str">
        <f t="shared" si="693"/>
        <v>|||</v>
      </c>
      <c r="H19619" s="835">
        <f t="shared" si="694"/>
        <v>31</v>
      </c>
      <c r="AF19619" s="831" t="s">
        <v>11818</v>
      </c>
      <c r="AG19619" s="831" t="s">
        <v>2674</v>
      </c>
      <c r="AH19619" s="831" t="s">
        <v>569</v>
      </c>
      <c r="AI19619" s="831">
        <v>0</v>
      </c>
      <c r="AJ19619" s="835">
        <v>42004</v>
      </c>
      <c r="AK19619" s="831">
        <v>899930209.58176923</v>
      </c>
    </row>
    <row r="19620" spans="2:37">
      <c r="B19620" s="834" t="str">
        <f t="shared" si="693"/>
        <v>|||</v>
      </c>
      <c r="H19620" s="835">
        <f t="shared" si="694"/>
        <v>31</v>
      </c>
      <c r="AF19620" s="831" t="s">
        <v>11819</v>
      </c>
      <c r="AG19620" s="831" t="s">
        <v>2674</v>
      </c>
      <c r="AH19620" s="831" t="s">
        <v>570</v>
      </c>
      <c r="AI19620" s="831">
        <v>0</v>
      </c>
      <c r="AJ19620" s="835">
        <v>42004</v>
      </c>
      <c r="AK19620" s="831">
        <v>134134466.30307692</v>
      </c>
    </row>
    <row r="19621" spans="2:37">
      <c r="B19621" s="834" t="str">
        <f t="shared" si="693"/>
        <v>|||</v>
      </c>
      <c r="H19621" s="835">
        <f t="shared" si="694"/>
        <v>31</v>
      </c>
      <c r="AF19621" s="831" t="s">
        <v>11820</v>
      </c>
      <c r="AG19621" s="831" t="s">
        <v>2674</v>
      </c>
      <c r="AH19621" s="831" t="s">
        <v>571</v>
      </c>
      <c r="AI19621" s="831">
        <v>0</v>
      </c>
      <c r="AJ19621" s="835">
        <v>42004</v>
      </c>
      <c r="AK19621" s="831">
        <v>445629705.61753845</v>
      </c>
    </row>
    <row r="19622" spans="2:37">
      <c r="B19622" s="834" t="str">
        <f t="shared" si="693"/>
        <v>|||</v>
      </c>
      <c r="H19622" s="835">
        <f t="shared" si="694"/>
        <v>31</v>
      </c>
      <c r="AF19622" s="831" t="s">
        <v>11821</v>
      </c>
      <c r="AG19622" s="831" t="s">
        <v>2674</v>
      </c>
      <c r="AH19622" s="831" t="s">
        <v>573</v>
      </c>
      <c r="AI19622" s="831">
        <v>0</v>
      </c>
      <c r="AJ19622" s="835">
        <v>42004</v>
      </c>
      <c r="AK19622" s="831">
        <v>899930209.58176923</v>
      </c>
    </row>
    <row r="19623" spans="2:37">
      <c r="B19623" s="834" t="str">
        <f t="shared" si="693"/>
        <v>|||</v>
      </c>
      <c r="H19623" s="835">
        <f t="shared" si="694"/>
        <v>31</v>
      </c>
      <c r="AF19623" s="831" t="s">
        <v>11822</v>
      </c>
      <c r="AG19623" s="831" t="s">
        <v>2674</v>
      </c>
      <c r="AH19623" s="831" t="s">
        <v>574</v>
      </c>
      <c r="AI19623" s="831">
        <v>0</v>
      </c>
      <c r="AJ19623" s="835">
        <v>42004</v>
      </c>
      <c r="AK19623" s="831">
        <v>723814619.46153843</v>
      </c>
    </row>
    <row r="19624" spans="2:37">
      <c r="B19624" s="834" t="str">
        <f t="shared" si="693"/>
        <v>|||</v>
      </c>
      <c r="H19624" s="835">
        <f t="shared" si="694"/>
        <v>31</v>
      </c>
      <c r="AF19624" s="831" t="s">
        <v>11823</v>
      </c>
      <c r="AG19624" s="831" t="s">
        <v>2674</v>
      </c>
      <c r="AH19624" s="831" t="s">
        <v>575</v>
      </c>
      <c r="AI19624" s="831">
        <v>0</v>
      </c>
      <c r="AJ19624" s="835">
        <v>42004</v>
      </c>
      <c r="AK19624" s="831">
        <v>134134466.30307692</v>
      </c>
    </row>
    <row r="19625" spans="2:37">
      <c r="B19625" s="834" t="str">
        <f t="shared" si="693"/>
        <v>|||</v>
      </c>
      <c r="H19625" s="835">
        <f t="shared" si="694"/>
        <v>31</v>
      </c>
      <c r="AF19625" s="831" t="s">
        <v>11824</v>
      </c>
      <c r="AG19625" s="831" t="s">
        <v>2674</v>
      </c>
      <c r="AH19625" s="831" t="s">
        <v>576</v>
      </c>
      <c r="AI19625" s="831">
        <v>0</v>
      </c>
      <c r="AJ19625" s="835">
        <v>42004</v>
      </c>
      <c r="AK19625" s="831">
        <v>445629705.61753845</v>
      </c>
    </row>
    <row r="19626" spans="2:37">
      <c r="B19626" s="834" t="str">
        <f t="shared" si="693"/>
        <v>|||</v>
      </c>
      <c r="H19626" s="835">
        <f t="shared" si="694"/>
        <v>31</v>
      </c>
      <c r="AF19626" s="831" t="s">
        <v>11825</v>
      </c>
      <c r="AG19626" s="831" t="s">
        <v>2674</v>
      </c>
      <c r="AH19626" s="831" t="s">
        <v>572</v>
      </c>
      <c r="AI19626" s="831">
        <v>0</v>
      </c>
      <c r="AJ19626" s="835">
        <v>42004</v>
      </c>
      <c r="AK19626" s="831">
        <v>43040000</v>
      </c>
    </row>
    <row r="19627" spans="2:37">
      <c r="B19627" s="834" t="str">
        <f t="shared" si="693"/>
        <v>|||</v>
      </c>
      <c r="H19627" s="835">
        <f t="shared" si="694"/>
        <v>31</v>
      </c>
      <c r="AF19627" s="831" t="s">
        <v>11826</v>
      </c>
      <c r="AG19627" s="831" t="s">
        <v>2674</v>
      </c>
      <c r="AH19627" s="831" t="s">
        <v>577</v>
      </c>
      <c r="AI19627" s="831">
        <v>0</v>
      </c>
      <c r="AJ19627" s="835">
        <v>42004</v>
      </c>
      <c r="AK19627" s="831">
        <v>169813000</v>
      </c>
    </row>
    <row r="19628" spans="2:37">
      <c r="B19628" s="834" t="str">
        <f t="shared" si="693"/>
        <v>|||</v>
      </c>
      <c r="H19628" s="835">
        <f t="shared" si="694"/>
        <v>31</v>
      </c>
      <c r="AF19628" s="831" t="s">
        <v>11827</v>
      </c>
      <c r="AG19628" s="831" t="s">
        <v>2674</v>
      </c>
      <c r="AH19628" s="831" t="s">
        <v>3042</v>
      </c>
      <c r="AI19628" s="831">
        <v>0</v>
      </c>
      <c r="AJ19628" s="835">
        <v>42004</v>
      </c>
      <c r="AK19628" s="831">
        <v>-51705000</v>
      </c>
    </row>
    <row r="19629" spans="2:37">
      <c r="B19629" s="834" t="str">
        <f t="shared" si="693"/>
        <v>|||</v>
      </c>
      <c r="H19629" s="835">
        <f t="shared" si="694"/>
        <v>31</v>
      </c>
      <c r="AF19629" s="831" t="s">
        <v>11828</v>
      </c>
      <c r="AG19629" s="831" t="s">
        <v>2674</v>
      </c>
      <c r="AH19629" s="831" t="s">
        <v>3044</v>
      </c>
      <c r="AI19629" s="831">
        <v>0</v>
      </c>
      <c r="AJ19629" s="835">
        <v>42004</v>
      </c>
      <c r="AK19629" s="831">
        <v>3515000</v>
      </c>
    </row>
    <row r="19630" spans="2:37">
      <c r="B19630" s="834" t="str">
        <f t="shared" si="693"/>
        <v>|||</v>
      </c>
      <c r="H19630" s="835">
        <f t="shared" si="694"/>
        <v>31</v>
      </c>
      <c r="AF19630" s="831" t="s">
        <v>11829</v>
      </c>
      <c r="AG19630" s="831" t="s">
        <v>2674</v>
      </c>
      <c r="AH19630" s="831" t="s">
        <v>580</v>
      </c>
      <c r="AI19630" s="831">
        <v>0</v>
      </c>
      <c r="AJ19630" s="835">
        <v>42004</v>
      </c>
      <c r="AK19630" s="831">
        <v>-78262000</v>
      </c>
    </row>
    <row r="19631" spans="2:37">
      <c r="B19631" s="834" t="str">
        <f t="shared" si="693"/>
        <v>|||</v>
      </c>
      <c r="H19631" s="835">
        <f t="shared" si="694"/>
        <v>31</v>
      </c>
      <c r="AF19631" s="831" t="s">
        <v>11830</v>
      </c>
      <c r="AG19631" s="831" t="s">
        <v>2674</v>
      </c>
      <c r="AH19631" s="831" t="s">
        <v>581</v>
      </c>
      <c r="AI19631" s="831">
        <v>0</v>
      </c>
      <c r="AJ19631" s="835">
        <v>42004</v>
      </c>
      <c r="AK19631" s="831">
        <v>9963000</v>
      </c>
    </row>
    <row r="19632" spans="2:37">
      <c r="B19632" s="834" t="str">
        <f t="shared" si="693"/>
        <v>|||</v>
      </c>
      <c r="H19632" s="835">
        <f t="shared" si="694"/>
        <v>31</v>
      </c>
      <c r="AF19632" s="831" t="s">
        <v>11831</v>
      </c>
      <c r="AG19632" s="831" t="s">
        <v>2674</v>
      </c>
      <c r="AH19632" s="831" t="s">
        <v>105</v>
      </c>
      <c r="AI19632" s="831">
        <v>0</v>
      </c>
      <c r="AJ19632" s="835">
        <v>42004</v>
      </c>
      <c r="AK19632" s="831">
        <v>532345000</v>
      </c>
    </row>
    <row r="19633" spans="2:37">
      <c r="B19633" s="834" t="str">
        <f t="shared" si="693"/>
        <v>|||</v>
      </c>
      <c r="H19633" s="835">
        <f t="shared" si="694"/>
        <v>31</v>
      </c>
      <c r="AF19633" s="831" t="s">
        <v>11832</v>
      </c>
      <c r="AG19633" s="831" t="s">
        <v>2674</v>
      </c>
      <c r="AH19633" s="831" t="s">
        <v>3049</v>
      </c>
      <c r="AI19633" s="831">
        <v>0</v>
      </c>
      <c r="AJ19633" s="835">
        <v>42004</v>
      </c>
      <c r="AK19633" s="831">
        <v>871130000</v>
      </c>
    </row>
    <row r="19634" spans="2:37">
      <c r="B19634" s="834" t="str">
        <f t="shared" si="693"/>
        <v>|||</v>
      </c>
      <c r="H19634" s="835">
        <f t="shared" si="694"/>
        <v>31</v>
      </c>
      <c r="AF19634" s="831" t="s">
        <v>11833</v>
      </c>
      <c r="AG19634" s="831" t="s">
        <v>2674</v>
      </c>
      <c r="AH19634" s="831" t="s">
        <v>103</v>
      </c>
      <c r="AI19634" s="831">
        <v>0</v>
      </c>
      <c r="AJ19634" s="835">
        <v>42004</v>
      </c>
      <c r="AK19634" s="831">
        <v>338785000</v>
      </c>
    </row>
    <row r="19635" spans="2:37">
      <c r="B19635" s="834" t="str">
        <f t="shared" si="693"/>
        <v>|||</v>
      </c>
      <c r="H19635" s="835">
        <f t="shared" si="694"/>
        <v>31</v>
      </c>
      <c r="AF19635" s="831" t="s">
        <v>11834</v>
      </c>
      <c r="AG19635" s="831" t="s">
        <v>2674</v>
      </c>
      <c r="AH19635" s="831" t="s">
        <v>182</v>
      </c>
      <c r="AI19635" s="831">
        <v>0</v>
      </c>
      <c r="AJ19635" s="835">
        <v>42004</v>
      </c>
      <c r="AK19635" s="831">
        <v>78262000</v>
      </c>
    </row>
    <row r="19636" spans="2:37">
      <c r="B19636" s="834" t="str">
        <f t="shared" si="693"/>
        <v>|||</v>
      </c>
      <c r="H19636" s="835">
        <f t="shared" si="694"/>
        <v>31</v>
      </c>
      <c r="AF19636" s="831" t="s">
        <v>11835</v>
      </c>
      <c r="AG19636" s="831" t="s">
        <v>2674</v>
      </c>
      <c r="AH19636" s="831" t="s">
        <v>6600</v>
      </c>
      <c r="AI19636" s="831">
        <v>0</v>
      </c>
      <c r="AJ19636" s="835">
        <v>42004</v>
      </c>
      <c r="AK19636" s="831">
        <v>43040000</v>
      </c>
    </row>
    <row r="19637" spans="2:37">
      <c r="B19637" s="834" t="str">
        <f t="shared" si="693"/>
        <v>|||</v>
      </c>
      <c r="H19637" s="835">
        <f t="shared" si="694"/>
        <v>31</v>
      </c>
      <c r="AF19637" s="831" t="s">
        <v>11836</v>
      </c>
      <c r="AG19637" s="831" t="s">
        <v>2674</v>
      </c>
      <c r="AH19637" s="831" t="s">
        <v>6602</v>
      </c>
      <c r="AI19637" s="831">
        <v>0</v>
      </c>
      <c r="AJ19637" s="835">
        <v>42004</v>
      </c>
      <c r="AK19637" s="831">
        <v>43040000</v>
      </c>
    </row>
    <row r="19638" spans="2:37">
      <c r="B19638" s="834" t="str">
        <f t="shared" si="693"/>
        <v>|||</v>
      </c>
      <c r="H19638" s="835">
        <f t="shared" si="694"/>
        <v>31</v>
      </c>
      <c r="AF19638" s="831" t="s">
        <v>11837</v>
      </c>
      <c r="AG19638" s="831" t="s">
        <v>2674</v>
      </c>
      <c r="AH19638" s="831" t="s">
        <v>650</v>
      </c>
      <c r="AI19638" s="831">
        <v>0</v>
      </c>
      <c r="AJ19638" s="835">
        <v>42004</v>
      </c>
      <c r="AK19638" s="831">
        <v>294946351.96523076</v>
      </c>
    </row>
    <row r="19639" spans="2:37">
      <c r="B19639" s="834" t="str">
        <f t="shared" si="693"/>
        <v>|||</v>
      </c>
      <c r="H19639" s="835">
        <f t="shared" si="694"/>
        <v>31</v>
      </c>
      <c r="AF19639" s="831" t="s">
        <v>11838</v>
      </c>
      <c r="AG19639" s="831" t="s">
        <v>2674</v>
      </c>
      <c r="AH19639" s="831" t="s">
        <v>655</v>
      </c>
      <c r="AI19639" s="831">
        <v>0</v>
      </c>
      <c r="AJ19639" s="835">
        <v>42004</v>
      </c>
      <c r="AK19639" s="831">
        <v>5599000</v>
      </c>
    </row>
    <row r="19640" spans="2:37">
      <c r="B19640" s="834" t="str">
        <f t="shared" si="693"/>
        <v>|||</v>
      </c>
      <c r="H19640" s="835">
        <f t="shared" si="694"/>
        <v>31</v>
      </c>
      <c r="AF19640" s="831" t="s">
        <v>11839</v>
      </c>
      <c r="AG19640" s="831" t="s">
        <v>2674</v>
      </c>
      <c r="AH19640" s="831" t="s">
        <v>546</v>
      </c>
      <c r="AI19640" s="831">
        <v>0</v>
      </c>
      <c r="AJ19640" s="835">
        <v>42035</v>
      </c>
      <c r="AK19640" s="831">
        <v>829753309</v>
      </c>
    </row>
    <row r="19641" spans="2:37">
      <c r="B19641" s="834" t="str">
        <f t="shared" si="693"/>
        <v>|||</v>
      </c>
      <c r="H19641" s="835">
        <f t="shared" si="694"/>
        <v>31</v>
      </c>
      <c r="AF19641" s="831" t="s">
        <v>11840</v>
      </c>
      <c r="AG19641" s="831" t="s">
        <v>2674</v>
      </c>
      <c r="AH19641" s="831" t="s">
        <v>370</v>
      </c>
      <c r="AI19641" s="831">
        <v>0</v>
      </c>
      <c r="AJ19641" s="835">
        <v>42035</v>
      </c>
      <c r="AK19641" s="831">
        <v>1044609243</v>
      </c>
    </row>
    <row r="19642" spans="2:37">
      <c r="B19642" s="834" t="str">
        <f t="shared" si="693"/>
        <v>|||</v>
      </c>
      <c r="H19642" s="835">
        <f t="shared" si="694"/>
        <v>31</v>
      </c>
      <c r="AF19642" s="831" t="s">
        <v>11841</v>
      </c>
      <c r="AG19642" s="831" t="s">
        <v>2674</v>
      </c>
      <c r="AH19642" s="831" t="s">
        <v>126</v>
      </c>
      <c r="AI19642" s="831">
        <v>0</v>
      </c>
      <c r="AJ19642" s="835">
        <v>42035</v>
      </c>
      <c r="AK19642" s="831">
        <v>148860224</v>
      </c>
    </row>
    <row r="19643" spans="2:37">
      <c r="B19643" s="834" t="str">
        <f t="shared" si="693"/>
        <v>|||</v>
      </c>
      <c r="H19643" s="835">
        <f t="shared" si="694"/>
        <v>31</v>
      </c>
      <c r="AF19643" s="831" t="s">
        <v>11842</v>
      </c>
      <c r="AG19643" s="831" t="s">
        <v>2674</v>
      </c>
      <c r="AH19643" s="831" t="s">
        <v>268</v>
      </c>
      <c r="AI19643" s="831">
        <v>0</v>
      </c>
      <c r="AJ19643" s="835">
        <v>42035</v>
      </c>
      <c r="AK19643" s="831">
        <v>3451938</v>
      </c>
    </row>
    <row r="19644" spans="2:37">
      <c r="B19644" s="834" t="str">
        <f t="shared" si="693"/>
        <v>|||</v>
      </c>
      <c r="H19644" s="835">
        <f t="shared" si="694"/>
        <v>31</v>
      </c>
      <c r="AF19644" s="831" t="s">
        <v>11843</v>
      </c>
      <c r="AG19644" s="831" t="s">
        <v>2674</v>
      </c>
      <c r="AH19644" s="831" t="s">
        <v>547</v>
      </c>
      <c r="AI19644" s="831">
        <v>0</v>
      </c>
      <c r="AJ19644" s="835">
        <v>42035</v>
      </c>
      <c r="AK19644" s="831">
        <v>1044609243</v>
      </c>
    </row>
    <row r="19645" spans="2:37">
      <c r="B19645" s="834" t="str">
        <f t="shared" si="693"/>
        <v>|||</v>
      </c>
      <c r="H19645" s="835">
        <f t="shared" si="694"/>
        <v>31</v>
      </c>
      <c r="AF19645" s="831" t="s">
        <v>11844</v>
      </c>
      <c r="AG19645" s="831" t="s">
        <v>2674</v>
      </c>
      <c r="AH19645" s="831" t="s">
        <v>548</v>
      </c>
      <c r="AI19645" s="831">
        <v>0</v>
      </c>
      <c r="AJ19645" s="835">
        <v>42035</v>
      </c>
      <c r="AK19645" s="831">
        <v>148860224</v>
      </c>
    </row>
    <row r="19646" spans="2:37">
      <c r="B19646" s="834" t="str">
        <f t="shared" si="693"/>
        <v>|||</v>
      </c>
      <c r="H19646" s="835">
        <f t="shared" si="694"/>
        <v>31</v>
      </c>
      <c r="AF19646" s="831" t="s">
        <v>11845</v>
      </c>
      <c r="AG19646" s="831" t="s">
        <v>2674</v>
      </c>
      <c r="AH19646" s="831" t="s">
        <v>549</v>
      </c>
      <c r="AI19646" s="831">
        <v>0</v>
      </c>
      <c r="AJ19646" s="835">
        <v>42035</v>
      </c>
      <c r="AK19646" s="831">
        <v>635618516</v>
      </c>
    </row>
    <row r="19647" spans="2:37">
      <c r="B19647" s="834" t="str">
        <f t="shared" si="693"/>
        <v>|||</v>
      </c>
      <c r="H19647" s="835">
        <f t="shared" si="694"/>
        <v>31</v>
      </c>
      <c r="AF19647" s="831" t="s">
        <v>11846</v>
      </c>
      <c r="AG19647" s="831" t="s">
        <v>2674</v>
      </c>
      <c r="AH19647" s="831" t="s">
        <v>192</v>
      </c>
      <c r="AI19647" s="831">
        <v>0</v>
      </c>
      <c r="AJ19647" s="835">
        <v>42035</v>
      </c>
      <c r="AK19647" s="831">
        <v>-9765211</v>
      </c>
    </row>
    <row r="19648" spans="2:37">
      <c r="B19648" s="834" t="str">
        <f t="shared" si="693"/>
        <v>|||</v>
      </c>
      <c r="H19648" s="835">
        <f t="shared" si="694"/>
        <v>31</v>
      </c>
      <c r="AF19648" s="831" t="s">
        <v>11847</v>
      </c>
      <c r="AG19648" s="831" t="s">
        <v>2674</v>
      </c>
      <c r="AH19648" s="831" t="s">
        <v>558</v>
      </c>
      <c r="AI19648" s="831">
        <v>0</v>
      </c>
      <c r="AJ19648" s="835">
        <v>42035</v>
      </c>
      <c r="AK19648" s="831">
        <v>895749019</v>
      </c>
    </row>
    <row r="19649" spans="2:37">
      <c r="B19649" s="834" t="str">
        <f t="shared" si="693"/>
        <v>|||</v>
      </c>
      <c r="H19649" s="835">
        <f t="shared" si="694"/>
        <v>31</v>
      </c>
      <c r="AF19649" s="831" t="s">
        <v>11848</v>
      </c>
      <c r="AG19649" s="831" t="s">
        <v>2674</v>
      </c>
      <c r="AH19649" s="831" t="s">
        <v>65</v>
      </c>
      <c r="AI19649" s="831">
        <v>0</v>
      </c>
      <c r="AJ19649" s="835">
        <v>42035</v>
      </c>
      <c r="AK19649" s="831">
        <v>16060962</v>
      </c>
    </row>
    <row r="19650" spans="2:37">
      <c r="B19650" s="834" t="str">
        <f t="shared" si="693"/>
        <v>|||</v>
      </c>
      <c r="H19650" s="835">
        <f t="shared" si="694"/>
        <v>31</v>
      </c>
      <c r="AF19650" s="831" t="s">
        <v>11849</v>
      </c>
      <c r="AG19650" s="831" t="s">
        <v>2674</v>
      </c>
      <c r="AH19650" s="831" t="s">
        <v>89</v>
      </c>
      <c r="AI19650" s="831">
        <v>0</v>
      </c>
      <c r="AJ19650" s="835">
        <v>42035</v>
      </c>
      <c r="AK19650" s="831">
        <v>158062</v>
      </c>
    </row>
    <row r="19651" spans="2:37">
      <c r="B19651" s="834" t="str">
        <f t="shared" si="693"/>
        <v>|||</v>
      </c>
      <c r="H19651" s="835">
        <f t="shared" si="694"/>
        <v>31</v>
      </c>
      <c r="AF19651" s="831" t="s">
        <v>11850</v>
      </c>
      <c r="AG19651" s="831" t="s">
        <v>2674</v>
      </c>
      <c r="AH19651" s="831" t="s">
        <v>557</v>
      </c>
      <c r="AI19651" s="831">
        <v>0</v>
      </c>
      <c r="AJ19651" s="835">
        <v>42035</v>
      </c>
      <c r="AK19651" s="831">
        <v>180227</v>
      </c>
    </row>
    <row r="19652" spans="2:37">
      <c r="B19652" s="834" t="str">
        <f t="shared" si="693"/>
        <v>|||</v>
      </c>
      <c r="H19652" s="835">
        <f t="shared" si="694"/>
        <v>31</v>
      </c>
      <c r="AF19652" s="831" t="s">
        <v>11851</v>
      </c>
      <c r="AG19652" s="831" t="s">
        <v>2674</v>
      </c>
      <c r="AH19652" s="831" t="s">
        <v>29</v>
      </c>
      <c r="AI19652" s="831">
        <v>0</v>
      </c>
      <c r="AJ19652" s="835">
        <v>42035</v>
      </c>
      <c r="AK19652" s="831">
        <v>7401483</v>
      </c>
    </row>
    <row r="19653" spans="2:37">
      <c r="B19653" s="834" t="str">
        <f t="shared" si="693"/>
        <v>|||</v>
      </c>
      <c r="H19653" s="835">
        <f t="shared" si="694"/>
        <v>31</v>
      </c>
      <c r="AF19653" s="831" t="s">
        <v>11852</v>
      </c>
      <c r="AG19653" s="831" t="s">
        <v>2674</v>
      </c>
      <c r="AH19653" s="831" t="s">
        <v>2688</v>
      </c>
      <c r="AI19653" s="831">
        <v>0</v>
      </c>
      <c r="AJ19653" s="835">
        <v>42035</v>
      </c>
      <c r="AK19653" s="831">
        <v>5438707</v>
      </c>
    </row>
    <row r="19654" spans="2:37">
      <c r="B19654" s="834" t="str">
        <f t="shared" si="693"/>
        <v>|||</v>
      </c>
      <c r="H19654" s="835">
        <f t="shared" si="694"/>
        <v>31</v>
      </c>
      <c r="AF19654" s="831" t="s">
        <v>11853</v>
      </c>
      <c r="AG19654" s="831" t="s">
        <v>2674</v>
      </c>
      <c r="AH19654" s="831" t="s">
        <v>556</v>
      </c>
      <c r="AI19654" s="831">
        <v>0</v>
      </c>
      <c r="AJ19654" s="835">
        <v>42035</v>
      </c>
      <c r="AK19654" s="831">
        <v>11412135</v>
      </c>
    </row>
    <row r="19655" spans="2:37">
      <c r="B19655" s="834" t="str">
        <f t="shared" si="693"/>
        <v>|||</v>
      </c>
      <c r="H19655" s="835">
        <f t="shared" si="694"/>
        <v>31</v>
      </c>
      <c r="AF19655" s="831" t="s">
        <v>11854</v>
      </c>
      <c r="AG19655" s="831" t="s">
        <v>2674</v>
      </c>
      <c r="AH19655" s="831" t="s">
        <v>555</v>
      </c>
      <c r="AI19655" s="831">
        <v>0</v>
      </c>
      <c r="AJ19655" s="835">
        <v>42035</v>
      </c>
      <c r="AK19655" s="831">
        <v>579511362</v>
      </c>
    </row>
    <row r="19656" spans="2:37">
      <c r="B19656" s="834" t="str">
        <f t="shared" si="693"/>
        <v>|||</v>
      </c>
      <c r="H19656" s="835">
        <f t="shared" si="694"/>
        <v>31</v>
      </c>
      <c r="AF19656" s="831" t="s">
        <v>11855</v>
      </c>
      <c r="AG19656" s="831" t="s">
        <v>2674</v>
      </c>
      <c r="AH19656" s="831" t="s">
        <v>554</v>
      </c>
      <c r="AI19656" s="831">
        <v>0</v>
      </c>
      <c r="AJ19656" s="835">
        <v>42035</v>
      </c>
      <c r="AK19656" s="831">
        <v>622474260</v>
      </c>
    </row>
    <row r="19657" spans="2:37">
      <c r="B19657" s="834" t="str">
        <f t="shared" si="693"/>
        <v>|||</v>
      </c>
      <c r="H19657" s="835">
        <f t="shared" si="694"/>
        <v>31</v>
      </c>
      <c r="AF19657" s="831" t="s">
        <v>11856</v>
      </c>
      <c r="AG19657" s="831" t="s">
        <v>2674</v>
      </c>
      <c r="AH19657" s="831" t="s">
        <v>553</v>
      </c>
      <c r="AI19657" s="831">
        <v>0</v>
      </c>
      <c r="AJ19657" s="835">
        <v>42035</v>
      </c>
      <c r="AK19657" s="831">
        <v>0</v>
      </c>
    </row>
    <row r="19658" spans="2:37">
      <c r="B19658" s="834" t="str">
        <f t="shared" si="693"/>
        <v>|||</v>
      </c>
      <c r="H19658" s="835">
        <f t="shared" si="694"/>
        <v>31</v>
      </c>
      <c r="AF19658" s="831" t="s">
        <v>11857</v>
      </c>
      <c r="AG19658" s="831" t="s">
        <v>2674</v>
      </c>
      <c r="AH19658" s="831" t="s">
        <v>552</v>
      </c>
      <c r="AI19658" s="831">
        <v>0</v>
      </c>
      <c r="AJ19658" s="835">
        <v>42035</v>
      </c>
      <c r="AK19658" s="831">
        <v>0</v>
      </c>
    </row>
    <row r="19659" spans="2:37">
      <c r="B19659" s="834" t="str">
        <f t="shared" si="693"/>
        <v>|||</v>
      </c>
      <c r="H19659" s="835">
        <f t="shared" si="694"/>
        <v>31</v>
      </c>
      <c r="AF19659" s="831" t="s">
        <v>11858</v>
      </c>
      <c r="AG19659" s="831" t="s">
        <v>2674</v>
      </c>
      <c r="AH19659" s="831" t="s">
        <v>551</v>
      </c>
      <c r="AI19659" s="831">
        <v>0</v>
      </c>
      <c r="AJ19659" s="835">
        <v>42035</v>
      </c>
      <c r="AK19659" s="831">
        <v>5260060</v>
      </c>
    </row>
    <row r="19660" spans="2:37">
      <c r="B19660" s="834" t="str">
        <f t="shared" si="693"/>
        <v>|||</v>
      </c>
      <c r="H19660" s="835">
        <f t="shared" si="694"/>
        <v>31</v>
      </c>
      <c r="AF19660" s="831" t="s">
        <v>11859</v>
      </c>
      <c r="AG19660" s="831" t="s">
        <v>2674</v>
      </c>
      <c r="AH19660" s="831" t="s">
        <v>550</v>
      </c>
      <c r="AI19660" s="831">
        <v>0</v>
      </c>
      <c r="AJ19660" s="835">
        <v>42035</v>
      </c>
      <c r="AK19660" s="831">
        <v>145409000</v>
      </c>
    </row>
    <row r="19661" spans="2:37">
      <c r="B19661" s="834" t="str">
        <f t="shared" si="693"/>
        <v>|||</v>
      </c>
      <c r="H19661" s="835">
        <f t="shared" si="694"/>
        <v>31</v>
      </c>
      <c r="AF19661" s="831" t="s">
        <v>11860</v>
      </c>
      <c r="AG19661" s="831" t="s">
        <v>2674</v>
      </c>
      <c r="AH19661" s="831" t="s">
        <v>562</v>
      </c>
      <c r="AI19661" s="831">
        <v>0</v>
      </c>
      <c r="AJ19661" s="835">
        <v>42035</v>
      </c>
      <c r="AK19661" s="831">
        <v>0.78439999999999999</v>
      </c>
    </row>
    <row r="19662" spans="2:37">
      <c r="B19662" s="834" t="str">
        <f t="shared" si="693"/>
        <v>|||</v>
      </c>
      <c r="H19662" s="835">
        <f t="shared" si="694"/>
        <v>31</v>
      </c>
      <c r="AF19662" s="831" t="s">
        <v>11861</v>
      </c>
      <c r="AG19662" s="831" t="s">
        <v>2674</v>
      </c>
      <c r="AH19662" s="831" t="s">
        <v>2698</v>
      </c>
      <c r="AI19662" s="831">
        <v>0</v>
      </c>
      <c r="AJ19662" s="835">
        <v>42035</v>
      </c>
      <c r="AK19662" s="831">
        <v>0.78310000000000002</v>
      </c>
    </row>
    <row r="19663" spans="2:37">
      <c r="B19663" s="834" t="str">
        <f t="shared" si="693"/>
        <v>|||</v>
      </c>
      <c r="H19663" s="835">
        <f t="shared" si="694"/>
        <v>31</v>
      </c>
      <c r="AF19663" s="831" t="s">
        <v>11862</v>
      </c>
      <c r="AG19663" s="831" t="s">
        <v>2674</v>
      </c>
      <c r="AH19663" s="831" t="s">
        <v>560</v>
      </c>
      <c r="AI19663" s="831">
        <v>0</v>
      </c>
      <c r="AJ19663" s="835">
        <v>42035</v>
      </c>
      <c r="AK19663" s="831">
        <v>0.78439999999999999</v>
      </c>
    </row>
    <row r="19664" spans="2:37">
      <c r="B19664" s="834" t="str">
        <f t="shared" si="693"/>
        <v>|||</v>
      </c>
      <c r="H19664" s="835">
        <f t="shared" si="694"/>
        <v>31</v>
      </c>
      <c r="AF19664" s="831" t="s">
        <v>11863</v>
      </c>
      <c r="AG19664" s="831" t="s">
        <v>2674</v>
      </c>
      <c r="AH19664" s="831" t="s">
        <v>559</v>
      </c>
      <c r="AI19664" s="831">
        <v>0</v>
      </c>
      <c r="AJ19664" s="835">
        <v>42035</v>
      </c>
      <c r="AK19664" s="831">
        <v>0.78369583333333326</v>
      </c>
    </row>
    <row r="19665" spans="2:37">
      <c r="B19665" s="834" t="str">
        <f t="shared" ref="B19665:B19728" si="695">C19665&amp;"|"&amp;D19665&amp;"|"&amp;E19665&amp;"|"&amp;F19665</f>
        <v>|||</v>
      </c>
      <c r="H19665" s="835">
        <f t="shared" ref="H19665:H19728" si="696">EOMONTH(L19665,0)</f>
        <v>31</v>
      </c>
      <c r="AF19665" s="831" t="s">
        <v>11864</v>
      </c>
      <c r="AG19665" s="831" t="s">
        <v>2674</v>
      </c>
      <c r="AH19665" s="831" t="s">
        <v>568</v>
      </c>
      <c r="AI19665" s="831">
        <v>0</v>
      </c>
      <c r="AJ19665" s="835">
        <v>42035</v>
      </c>
      <c r="AK19665" s="831">
        <v>739343777.07692313</v>
      </c>
    </row>
    <row r="19666" spans="2:37">
      <c r="B19666" s="834" t="str">
        <f t="shared" si="695"/>
        <v>|||</v>
      </c>
      <c r="H19666" s="835">
        <f t="shared" si="696"/>
        <v>31</v>
      </c>
      <c r="AF19666" s="831" t="s">
        <v>11865</v>
      </c>
      <c r="AG19666" s="831" t="s">
        <v>2674</v>
      </c>
      <c r="AH19666" s="831" t="s">
        <v>569</v>
      </c>
      <c r="AI19666" s="831">
        <v>0</v>
      </c>
      <c r="AJ19666" s="835">
        <v>42035</v>
      </c>
      <c r="AK19666" s="831">
        <v>919552846</v>
      </c>
    </row>
    <row r="19667" spans="2:37">
      <c r="B19667" s="834" t="str">
        <f t="shared" si="695"/>
        <v>|||</v>
      </c>
      <c r="H19667" s="835">
        <f t="shared" si="696"/>
        <v>31</v>
      </c>
      <c r="AF19667" s="831" t="s">
        <v>11866</v>
      </c>
      <c r="AG19667" s="831" t="s">
        <v>2674</v>
      </c>
      <c r="AH19667" s="831" t="s">
        <v>570</v>
      </c>
      <c r="AI19667" s="831">
        <v>0</v>
      </c>
      <c r="AJ19667" s="835">
        <v>42035</v>
      </c>
      <c r="AK19667" s="831">
        <v>136809116.92538461</v>
      </c>
    </row>
    <row r="19668" spans="2:37">
      <c r="B19668" s="834" t="str">
        <f t="shared" si="695"/>
        <v>|||</v>
      </c>
      <c r="H19668" s="835">
        <f t="shared" si="696"/>
        <v>31</v>
      </c>
      <c r="AF19668" s="831" t="s">
        <v>11867</v>
      </c>
      <c r="AG19668" s="831" t="s">
        <v>2674</v>
      </c>
      <c r="AH19668" s="831" t="s">
        <v>571</v>
      </c>
      <c r="AI19668" s="831">
        <v>0</v>
      </c>
      <c r="AJ19668" s="835">
        <v>42035</v>
      </c>
      <c r="AK19668" s="831">
        <v>456907538.41669232</v>
      </c>
    </row>
    <row r="19669" spans="2:37">
      <c r="B19669" s="834" t="str">
        <f t="shared" si="695"/>
        <v>|||</v>
      </c>
      <c r="H19669" s="835">
        <f t="shared" si="696"/>
        <v>31</v>
      </c>
      <c r="AF19669" s="831" t="s">
        <v>11868</v>
      </c>
      <c r="AG19669" s="831" t="s">
        <v>2674</v>
      </c>
      <c r="AH19669" s="831" t="s">
        <v>573</v>
      </c>
      <c r="AI19669" s="831">
        <v>0</v>
      </c>
      <c r="AJ19669" s="835">
        <v>42035</v>
      </c>
      <c r="AK19669" s="831">
        <v>1043409621.5</v>
      </c>
    </row>
    <row r="19670" spans="2:37">
      <c r="B19670" s="834" t="str">
        <f t="shared" si="695"/>
        <v>|||</v>
      </c>
      <c r="H19670" s="835">
        <f t="shared" si="696"/>
        <v>31</v>
      </c>
      <c r="AF19670" s="831" t="s">
        <v>11869</v>
      </c>
      <c r="AG19670" s="831" t="s">
        <v>2674</v>
      </c>
      <c r="AH19670" s="831" t="s">
        <v>574</v>
      </c>
      <c r="AI19670" s="831">
        <v>0</v>
      </c>
      <c r="AJ19670" s="835">
        <v>42035</v>
      </c>
      <c r="AK19670" s="831">
        <v>829336654.5</v>
      </c>
    </row>
    <row r="19671" spans="2:37">
      <c r="B19671" s="834" t="str">
        <f t="shared" si="695"/>
        <v>|||</v>
      </c>
      <c r="H19671" s="835">
        <f t="shared" si="696"/>
        <v>31</v>
      </c>
      <c r="AF19671" s="831" t="s">
        <v>11870</v>
      </c>
      <c r="AG19671" s="831" t="s">
        <v>2674</v>
      </c>
      <c r="AH19671" s="831" t="s">
        <v>575</v>
      </c>
      <c r="AI19671" s="831">
        <v>0</v>
      </c>
      <c r="AJ19671" s="835">
        <v>42035</v>
      </c>
      <c r="AK19671" s="831">
        <v>147134612</v>
      </c>
    </row>
    <row r="19672" spans="2:37">
      <c r="B19672" s="834" t="str">
        <f t="shared" si="695"/>
        <v>|||</v>
      </c>
      <c r="H19672" s="835">
        <f t="shared" si="696"/>
        <v>31</v>
      </c>
      <c r="AF19672" s="831" t="s">
        <v>11871</v>
      </c>
      <c r="AG19672" s="831" t="s">
        <v>2674</v>
      </c>
      <c r="AH19672" s="831" t="s">
        <v>576</v>
      </c>
      <c r="AI19672" s="831">
        <v>0</v>
      </c>
      <c r="AJ19672" s="835">
        <v>42035</v>
      </c>
      <c r="AK19672" s="831">
        <v>535265337</v>
      </c>
    </row>
    <row r="19673" spans="2:37">
      <c r="B19673" s="834" t="str">
        <f t="shared" si="695"/>
        <v>|||</v>
      </c>
      <c r="H19673" s="835">
        <f t="shared" si="696"/>
        <v>31</v>
      </c>
      <c r="AF19673" s="831" t="s">
        <v>11872</v>
      </c>
      <c r="AG19673" s="831" t="s">
        <v>2674</v>
      </c>
      <c r="AH19673" s="831" t="s">
        <v>572</v>
      </c>
      <c r="AI19673" s="831">
        <v>0</v>
      </c>
      <c r="AJ19673" s="835">
        <v>42035</v>
      </c>
      <c r="AK19673" s="831">
        <v>43193117</v>
      </c>
    </row>
    <row r="19674" spans="2:37">
      <c r="B19674" s="834" t="str">
        <f t="shared" si="695"/>
        <v>|||</v>
      </c>
      <c r="H19674" s="835">
        <f t="shared" si="696"/>
        <v>31</v>
      </c>
      <c r="AF19674" s="831" t="s">
        <v>11873</v>
      </c>
      <c r="AG19674" s="831" t="s">
        <v>2674</v>
      </c>
      <c r="AH19674" s="831" t="s">
        <v>577</v>
      </c>
      <c r="AI19674" s="831">
        <v>0</v>
      </c>
      <c r="AJ19674" s="835">
        <v>42035</v>
      </c>
      <c r="AK19674" s="831">
        <v>172605174</v>
      </c>
    </row>
    <row r="19675" spans="2:37">
      <c r="B19675" s="834" t="str">
        <f t="shared" si="695"/>
        <v>|||</v>
      </c>
      <c r="H19675" s="835">
        <f t="shared" si="696"/>
        <v>31</v>
      </c>
      <c r="AF19675" s="831" t="s">
        <v>11874</v>
      </c>
      <c r="AG19675" s="831" t="s">
        <v>2674</v>
      </c>
      <c r="AH19675" s="831" t="s">
        <v>3042</v>
      </c>
      <c r="AI19675" s="831">
        <v>0</v>
      </c>
      <c r="AJ19675" s="835">
        <v>42035</v>
      </c>
      <c r="AK19675" s="831">
        <v>-52806938</v>
      </c>
    </row>
    <row r="19676" spans="2:37">
      <c r="B19676" s="834" t="str">
        <f t="shared" si="695"/>
        <v>|||</v>
      </c>
      <c r="H19676" s="835">
        <f t="shared" si="696"/>
        <v>31</v>
      </c>
      <c r="AF19676" s="831" t="s">
        <v>11875</v>
      </c>
      <c r="AG19676" s="831" t="s">
        <v>2674</v>
      </c>
      <c r="AH19676" s="831" t="s">
        <v>3044</v>
      </c>
      <c r="AI19676" s="831">
        <v>0</v>
      </c>
      <c r="AJ19676" s="835">
        <v>42035</v>
      </c>
      <c r="AK19676" s="831">
        <v>3134380</v>
      </c>
    </row>
    <row r="19677" spans="2:37">
      <c r="B19677" s="834" t="str">
        <f t="shared" si="695"/>
        <v>|||</v>
      </c>
      <c r="H19677" s="835">
        <f t="shared" si="696"/>
        <v>31</v>
      </c>
      <c r="AF19677" s="831" t="s">
        <v>11876</v>
      </c>
      <c r="AG19677" s="831" t="s">
        <v>2674</v>
      </c>
      <c r="AH19677" s="831" t="s">
        <v>580</v>
      </c>
      <c r="AI19677" s="831">
        <v>0</v>
      </c>
      <c r="AJ19677" s="835">
        <v>42035</v>
      </c>
      <c r="AK19677" s="831">
        <v>-79238495</v>
      </c>
    </row>
    <row r="19678" spans="2:37">
      <c r="B19678" s="834" t="str">
        <f t="shared" si="695"/>
        <v>|||</v>
      </c>
      <c r="H19678" s="835">
        <f t="shared" si="696"/>
        <v>31</v>
      </c>
      <c r="AF19678" s="831" t="s">
        <v>11877</v>
      </c>
      <c r="AG19678" s="831" t="s">
        <v>2674</v>
      </c>
      <c r="AH19678" s="831" t="s">
        <v>581</v>
      </c>
      <c r="AI19678" s="831">
        <v>0</v>
      </c>
      <c r="AJ19678" s="835">
        <v>42035</v>
      </c>
      <c r="AK19678" s="831">
        <v>9801179</v>
      </c>
    </row>
    <row r="19679" spans="2:37">
      <c r="B19679" s="834" t="str">
        <f t="shared" si="695"/>
        <v>|||</v>
      </c>
      <c r="H19679" s="835">
        <f t="shared" si="696"/>
        <v>31</v>
      </c>
      <c r="AF19679" s="831" t="s">
        <v>11878</v>
      </c>
      <c r="AG19679" s="831" t="s">
        <v>2674</v>
      </c>
      <c r="AH19679" s="831" t="s">
        <v>105</v>
      </c>
      <c r="AI19679" s="831">
        <v>0</v>
      </c>
      <c r="AJ19679" s="835">
        <v>42035</v>
      </c>
      <c r="AK19679" s="831">
        <v>538185674</v>
      </c>
    </row>
    <row r="19680" spans="2:37">
      <c r="B19680" s="834" t="str">
        <f t="shared" si="695"/>
        <v>|||</v>
      </c>
      <c r="H19680" s="835">
        <f t="shared" si="696"/>
        <v>31</v>
      </c>
      <c r="AF19680" s="831" t="s">
        <v>11879</v>
      </c>
      <c r="AG19680" s="831" t="s">
        <v>2674</v>
      </c>
      <c r="AH19680" s="831" t="s">
        <v>3049</v>
      </c>
      <c r="AI19680" s="831">
        <v>0</v>
      </c>
      <c r="AJ19680" s="835">
        <v>42035</v>
      </c>
      <c r="AK19680" s="831">
        <v>868832996</v>
      </c>
    </row>
    <row r="19681" spans="2:37">
      <c r="B19681" s="834" t="str">
        <f t="shared" si="695"/>
        <v>|||</v>
      </c>
      <c r="H19681" s="835">
        <f t="shared" si="696"/>
        <v>31</v>
      </c>
      <c r="AF19681" s="831" t="s">
        <v>11880</v>
      </c>
      <c r="AG19681" s="831" t="s">
        <v>2674</v>
      </c>
      <c r="AH19681" s="831" t="s">
        <v>103</v>
      </c>
      <c r="AI19681" s="831">
        <v>0</v>
      </c>
      <c r="AJ19681" s="835">
        <v>42035</v>
      </c>
      <c r="AK19681" s="831">
        <v>330647322</v>
      </c>
    </row>
    <row r="19682" spans="2:37">
      <c r="B19682" s="834" t="str">
        <f t="shared" si="695"/>
        <v>|||</v>
      </c>
      <c r="H19682" s="835">
        <f t="shared" si="696"/>
        <v>31</v>
      </c>
      <c r="AF19682" s="831" t="s">
        <v>11881</v>
      </c>
      <c r="AG19682" s="831" t="s">
        <v>2674</v>
      </c>
      <c r="AH19682" s="831" t="s">
        <v>182</v>
      </c>
      <c r="AI19682" s="831">
        <v>0</v>
      </c>
      <c r="AJ19682" s="835">
        <v>42035</v>
      </c>
      <c r="AK19682" s="831">
        <v>79397220</v>
      </c>
    </row>
    <row r="19683" spans="2:37">
      <c r="B19683" s="834" t="str">
        <f t="shared" si="695"/>
        <v>|||</v>
      </c>
      <c r="H19683" s="835">
        <f t="shared" si="696"/>
        <v>31</v>
      </c>
      <c r="AF19683" s="831" t="s">
        <v>11882</v>
      </c>
      <c r="AG19683" s="831" t="s">
        <v>2674</v>
      </c>
      <c r="AH19683" s="831" t="s">
        <v>6600</v>
      </c>
      <c r="AI19683" s="831">
        <v>0</v>
      </c>
      <c r="AJ19683" s="835">
        <v>42035</v>
      </c>
      <c r="AK19683" s="831">
        <v>43193117</v>
      </c>
    </row>
    <row r="19684" spans="2:37">
      <c r="B19684" s="834" t="str">
        <f t="shared" si="695"/>
        <v>|||</v>
      </c>
      <c r="H19684" s="835">
        <f t="shared" si="696"/>
        <v>31</v>
      </c>
      <c r="AF19684" s="831" t="s">
        <v>11883</v>
      </c>
      <c r="AG19684" s="831" t="s">
        <v>2674</v>
      </c>
      <c r="AH19684" s="831" t="s">
        <v>6602</v>
      </c>
      <c r="AI19684" s="831">
        <v>0</v>
      </c>
      <c r="AJ19684" s="835">
        <v>42035</v>
      </c>
      <c r="AK19684" s="831">
        <v>3451938</v>
      </c>
    </row>
    <row r="19685" spans="2:37">
      <c r="B19685" s="834" t="str">
        <f t="shared" si="695"/>
        <v>|||</v>
      </c>
      <c r="H19685" s="835">
        <f t="shared" si="696"/>
        <v>31</v>
      </c>
      <c r="AF19685" s="831" t="s">
        <v>11884</v>
      </c>
      <c r="AG19685" s="831" t="s">
        <v>2674</v>
      </c>
      <c r="AH19685" s="831" t="s">
        <v>650</v>
      </c>
      <c r="AI19685" s="831">
        <v>0</v>
      </c>
      <c r="AJ19685" s="835">
        <v>42035</v>
      </c>
      <c r="AK19685" s="831">
        <v>300938254.07461542</v>
      </c>
    </row>
    <row r="19686" spans="2:37">
      <c r="B19686" s="834" t="str">
        <f t="shared" si="695"/>
        <v>|||</v>
      </c>
      <c r="H19686" s="835">
        <f t="shared" si="696"/>
        <v>31</v>
      </c>
      <c r="AF19686" s="831" t="s">
        <v>11885</v>
      </c>
      <c r="AG19686" s="831" t="s">
        <v>2674</v>
      </c>
      <c r="AH19686" s="831" t="s">
        <v>655</v>
      </c>
      <c r="AI19686" s="831">
        <v>0</v>
      </c>
      <c r="AJ19686" s="835">
        <v>42035</v>
      </c>
      <c r="AK19686" s="831">
        <v>4403089</v>
      </c>
    </row>
    <row r="19687" spans="2:37">
      <c r="B19687" s="834" t="str">
        <f t="shared" si="695"/>
        <v>|||</v>
      </c>
      <c r="H19687" s="835">
        <f t="shared" si="696"/>
        <v>31</v>
      </c>
      <c r="AF19687" s="831" t="s">
        <v>11886</v>
      </c>
      <c r="AG19687" s="831" t="s">
        <v>2674</v>
      </c>
      <c r="AH19687" s="831" t="s">
        <v>546</v>
      </c>
      <c r="AI19687" s="831">
        <v>0</v>
      </c>
      <c r="AJ19687" s="835">
        <v>42063</v>
      </c>
      <c r="AK19687" s="831">
        <v>965858339</v>
      </c>
    </row>
    <row r="19688" spans="2:37">
      <c r="B19688" s="834" t="str">
        <f t="shared" si="695"/>
        <v>|||</v>
      </c>
      <c r="H19688" s="835">
        <f t="shared" si="696"/>
        <v>31</v>
      </c>
      <c r="AF19688" s="831" t="s">
        <v>11887</v>
      </c>
      <c r="AG19688" s="831" t="s">
        <v>2674</v>
      </c>
      <c r="AH19688" s="831" t="s">
        <v>370</v>
      </c>
      <c r="AI19688" s="831">
        <v>0</v>
      </c>
      <c r="AJ19688" s="835">
        <v>42063</v>
      </c>
      <c r="AK19688" s="831">
        <v>1253581727</v>
      </c>
    </row>
    <row r="19689" spans="2:37">
      <c r="B19689" s="834" t="str">
        <f t="shared" si="695"/>
        <v>|||</v>
      </c>
      <c r="H19689" s="835">
        <f t="shared" si="696"/>
        <v>31</v>
      </c>
      <c r="AF19689" s="831" t="s">
        <v>11888</v>
      </c>
      <c r="AG19689" s="831" t="s">
        <v>2674</v>
      </c>
      <c r="AH19689" s="831" t="s">
        <v>126</v>
      </c>
      <c r="AI19689" s="831">
        <v>0</v>
      </c>
      <c r="AJ19689" s="835">
        <v>42063</v>
      </c>
      <c r="AK19689" s="831">
        <v>143500530</v>
      </c>
    </row>
    <row r="19690" spans="2:37">
      <c r="B19690" s="834" t="str">
        <f t="shared" si="695"/>
        <v>|||</v>
      </c>
      <c r="H19690" s="835">
        <f t="shared" si="696"/>
        <v>31</v>
      </c>
      <c r="AF19690" s="831" t="s">
        <v>11889</v>
      </c>
      <c r="AG19690" s="831" t="s">
        <v>2674</v>
      </c>
      <c r="AH19690" s="831" t="s">
        <v>268</v>
      </c>
      <c r="AI19690" s="831">
        <v>0</v>
      </c>
      <c r="AJ19690" s="835">
        <v>42063</v>
      </c>
      <c r="AK19690" s="831">
        <v>-1907756</v>
      </c>
    </row>
    <row r="19691" spans="2:37">
      <c r="B19691" s="834" t="str">
        <f t="shared" si="695"/>
        <v>|||</v>
      </c>
      <c r="H19691" s="835">
        <f t="shared" si="696"/>
        <v>31</v>
      </c>
      <c r="AF19691" s="831" t="s">
        <v>11890</v>
      </c>
      <c r="AG19691" s="831" t="s">
        <v>2674</v>
      </c>
      <c r="AH19691" s="831" t="s">
        <v>547</v>
      </c>
      <c r="AI19691" s="831">
        <v>0</v>
      </c>
      <c r="AJ19691" s="835">
        <v>42063</v>
      </c>
      <c r="AK19691" s="831">
        <v>1044609243</v>
      </c>
    </row>
    <row r="19692" spans="2:37">
      <c r="B19692" s="834" t="str">
        <f t="shared" si="695"/>
        <v>|||</v>
      </c>
      <c r="H19692" s="835">
        <f t="shared" si="696"/>
        <v>31</v>
      </c>
      <c r="AF19692" s="831" t="s">
        <v>11891</v>
      </c>
      <c r="AG19692" s="831" t="s">
        <v>2674</v>
      </c>
      <c r="AH19692" s="831" t="s">
        <v>548</v>
      </c>
      <c r="AI19692" s="831">
        <v>0</v>
      </c>
      <c r="AJ19692" s="835">
        <v>42063</v>
      </c>
      <c r="AK19692" s="831">
        <v>148860224</v>
      </c>
    </row>
    <row r="19693" spans="2:37">
      <c r="B19693" s="834" t="str">
        <f t="shared" si="695"/>
        <v>|||</v>
      </c>
      <c r="H19693" s="835">
        <f t="shared" si="696"/>
        <v>31</v>
      </c>
      <c r="AF19693" s="831" t="s">
        <v>11892</v>
      </c>
      <c r="AG19693" s="831" t="s">
        <v>2674</v>
      </c>
      <c r="AH19693" s="831" t="s">
        <v>549</v>
      </c>
      <c r="AI19693" s="831">
        <v>0</v>
      </c>
      <c r="AJ19693" s="835">
        <v>42063</v>
      </c>
      <c r="AK19693" s="831">
        <v>652795035</v>
      </c>
    </row>
    <row r="19694" spans="2:37">
      <c r="B19694" s="834" t="str">
        <f t="shared" si="695"/>
        <v>|||</v>
      </c>
      <c r="H19694" s="835">
        <f t="shared" si="696"/>
        <v>31</v>
      </c>
      <c r="AF19694" s="831" t="s">
        <v>11893</v>
      </c>
      <c r="AG19694" s="831" t="s">
        <v>2674</v>
      </c>
      <c r="AH19694" s="831" t="s">
        <v>192</v>
      </c>
      <c r="AI19694" s="831">
        <v>0</v>
      </c>
      <c r="AJ19694" s="835">
        <v>42063</v>
      </c>
      <c r="AK19694" s="831">
        <v>-13765211</v>
      </c>
    </row>
    <row r="19695" spans="2:37">
      <c r="B19695" s="834" t="str">
        <f t="shared" si="695"/>
        <v>|||</v>
      </c>
      <c r="H19695" s="835">
        <f t="shared" si="696"/>
        <v>31</v>
      </c>
      <c r="AF19695" s="831" t="s">
        <v>11894</v>
      </c>
      <c r="AG19695" s="831" t="s">
        <v>2674</v>
      </c>
      <c r="AH19695" s="831" t="s">
        <v>558</v>
      </c>
      <c r="AI19695" s="831">
        <v>0</v>
      </c>
      <c r="AJ19695" s="835">
        <v>42063</v>
      </c>
      <c r="AK19695" s="831">
        <v>1110081197</v>
      </c>
    </row>
    <row r="19696" spans="2:37">
      <c r="B19696" s="834" t="str">
        <f t="shared" si="695"/>
        <v>|||</v>
      </c>
      <c r="H19696" s="835">
        <f t="shared" si="696"/>
        <v>31</v>
      </c>
      <c r="AF19696" s="831" t="s">
        <v>11895</v>
      </c>
      <c r="AG19696" s="831" t="s">
        <v>2674</v>
      </c>
      <c r="AH19696" s="831" t="s">
        <v>65</v>
      </c>
      <c r="AI19696" s="831">
        <v>0</v>
      </c>
      <c r="AJ19696" s="835">
        <v>42063</v>
      </c>
      <c r="AK19696" s="831">
        <v>31017741</v>
      </c>
    </row>
    <row r="19697" spans="2:37">
      <c r="B19697" s="834" t="str">
        <f t="shared" si="695"/>
        <v>|||</v>
      </c>
      <c r="H19697" s="835">
        <f t="shared" si="696"/>
        <v>31</v>
      </c>
      <c r="AF19697" s="831" t="s">
        <v>11896</v>
      </c>
      <c r="AG19697" s="831" t="s">
        <v>2674</v>
      </c>
      <c r="AH19697" s="831" t="s">
        <v>89</v>
      </c>
      <c r="AI19697" s="831">
        <v>0</v>
      </c>
      <c r="AJ19697" s="835">
        <v>42063</v>
      </c>
      <c r="AK19697" s="831">
        <v>157073</v>
      </c>
    </row>
    <row r="19698" spans="2:37">
      <c r="B19698" s="834" t="str">
        <f t="shared" si="695"/>
        <v>|||</v>
      </c>
      <c r="H19698" s="835">
        <f t="shared" si="696"/>
        <v>31</v>
      </c>
      <c r="AF19698" s="831" t="s">
        <v>11897</v>
      </c>
      <c r="AG19698" s="831" t="s">
        <v>2674</v>
      </c>
      <c r="AH19698" s="831" t="s">
        <v>557</v>
      </c>
      <c r="AI19698" s="831">
        <v>0</v>
      </c>
      <c r="AJ19698" s="835">
        <v>42063</v>
      </c>
      <c r="AK19698" s="831">
        <v>179494</v>
      </c>
    </row>
    <row r="19699" spans="2:37">
      <c r="B19699" s="834" t="str">
        <f t="shared" si="695"/>
        <v>|||</v>
      </c>
      <c r="H19699" s="835">
        <f t="shared" si="696"/>
        <v>31</v>
      </c>
      <c r="AF19699" s="831" t="s">
        <v>11898</v>
      </c>
      <c r="AG19699" s="831" t="s">
        <v>2674</v>
      </c>
      <c r="AH19699" s="831" t="s">
        <v>29</v>
      </c>
      <c r="AI19699" s="831">
        <v>0</v>
      </c>
      <c r="AJ19699" s="835">
        <v>42063</v>
      </c>
      <c r="AK19699" s="831">
        <v>8683621</v>
      </c>
    </row>
    <row r="19700" spans="2:37">
      <c r="B19700" s="834" t="str">
        <f t="shared" si="695"/>
        <v>|||</v>
      </c>
      <c r="H19700" s="835">
        <f t="shared" si="696"/>
        <v>31</v>
      </c>
      <c r="AF19700" s="831" t="s">
        <v>11899</v>
      </c>
      <c r="AG19700" s="831" t="s">
        <v>2674</v>
      </c>
      <c r="AH19700" s="831" t="s">
        <v>2688</v>
      </c>
      <c r="AI19700" s="831">
        <v>0</v>
      </c>
      <c r="AJ19700" s="835">
        <v>42063</v>
      </c>
      <c r="AK19700" s="831">
        <v>11508492</v>
      </c>
    </row>
    <row r="19701" spans="2:37">
      <c r="B19701" s="834" t="str">
        <f t="shared" si="695"/>
        <v>|||</v>
      </c>
      <c r="H19701" s="835">
        <f t="shared" si="696"/>
        <v>31</v>
      </c>
      <c r="AF19701" s="831" t="s">
        <v>11900</v>
      </c>
      <c r="AG19701" s="831" t="s">
        <v>2674</v>
      </c>
      <c r="AH19701" s="831" t="s">
        <v>556</v>
      </c>
      <c r="AI19701" s="831">
        <v>0</v>
      </c>
      <c r="AJ19701" s="835">
        <v>42063</v>
      </c>
      <c r="AK19701" s="831">
        <v>11412135</v>
      </c>
    </row>
    <row r="19702" spans="2:37">
      <c r="B19702" s="834" t="str">
        <f t="shared" si="695"/>
        <v>|||</v>
      </c>
      <c r="H19702" s="835">
        <f t="shared" si="696"/>
        <v>31</v>
      </c>
      <c r="AF19702" s="831" t="s">
        <v>11901</v>
      </c>
      <c r="AG19702" s="831" t="s">
        <v>2674</v>
      </c>
      <c r="AH19702" s="831" t="s">
        <v>555</v>
      </c>
      <c r="AI19702" s="831">
        <v>0</v>
      </c>
      <c r="AJ19702" s="835">
        <v>42063</v>
      </c>
      <c r="AK19702" s="831">
        <v>771141919</v>
      </c>
    </row>
    <row r="19703" spans="2:37">
      <c r="B19703" s="834" t="str">
        <f t="shared" si="695"/>
        <v>|||</v>
      </c>
      <c r="H19703" s="835">
        <f t="shared" si="696"/>
        <v>31</v>
      </c>
      <c r="AF19703" s="831" t="s">
        <v>11902</v>
      </c>
      <c r="AG19703" s="831" t="s">
        <v>2674</v>
      </c>
      <c r="AH19703" s="831" t="s">
        <v>554</v>
      </c>
      <c r="AI19703" s="831">
        <v>0</v>
      </c>
      <c r="AJ19703" s="835">
        <v>42063</v>
      </c>
      <c r="AK19703" s="831">
        <v>856164850</v>
      </c>
    </row>
    <row r="19704" spans="2:37">
      <c r="B19704" s="834" t="str">
        <f t="shared" si="695"/>
        <v>|||</v>
      </c>
      <c r="H19704" s="835">
        <f t="shared" si="696"/>
        <v>31</v>
      </c>
      <c r="AF19704" s="831" t="s">
        <v>11903</v>
      </c>
      <c r="AG19704" s="831" t="s">
        <v>2674</v>
      </c>
      <c r="AH19704" s="831" t="s">
        <v>553</v>
      </c>
      <c r="AI19704" s="831">
        <v>0</v>
      </c>
      <c r="AJ19704" s="835">
        <v>42063</v>
      </c>
      <c r="AK19704" s="831">
        <v>92382400</v>
      </c>
    </row>
    <row r="19705" spans="2:37">
      <c r="B19705" s="834" t="str">
        <f t="shared" si="695"/>
        <v>|||</v>
      </c>
      <c r="H19705" s="835">
        <f t="shared" si="696"/>
        <v>31</v>
      </c>
      <c r="AF19705" s="831" t="s">
        <v>11904</v>
      </c>
      <c r="AG19705" s="831" t="s">
        <v>2674</v>
      </c>
      <c r="AH19705" s="831" t="s">
        <v>552</v>
      </c>
      <c r="AI19705" s="831">
        <v>0</v>
      </c>
      <c r="AJ19705" s="835">
        <v>42063</v>
      </c>
      <c r="AK19705" s="831">
        <v>0</v>
      </c>
    </row>
    <row r="19706" spans="2:37">
      <c r="B19706" s="834" t="str">
        <f t="shared" si="695"/>
        <v>|||</v>
      </c>
      <c r="H19706" s="835">
        <f t="shared" si="696"/>
        <v>31</v>
      </c>
      <c r="AF19706" s="831" t="s">
        <v>11905</v>
      </c>
      <c r="AG19706" s="831" t="s">
        <v>2674</v>
      </c>
      <c r="AH19706" s="831" t="s">
        <v>551</v>
      </c>
      <c r="AI19706" s="831">
        <v>0</v>
      </c>
      <c r="AJ19706" s="835">
        <v>42063</v>
      </c>
      <c r="AK19706" s="831">
        <v>7487687</v>
      </c>
    </row>
    <row r="19707" spans="2:37">
      <c r="B19707" s="834" t="str">
        <f t="shared" si="695"/>
        <v>|||</v>
      </c>
      <c r="H19707" s="835">
        <f t="shared" si="696"/>
        <v>31</v>
      </c>
      <c r="AF19707" s="831" t="s">
        <v>11906</v>
      </c>
      <c r="AG19707" s="831" t="s">
        <v>2674</v>
      </c>
      <c r="AH19707" s="831" t="s">
        <v>550</v>
      </c>
      <c r="AI19707" s="831">
        <v>0</v>
      </c>
      <c r="AJ19707" s="835">
        <v>42063</v>
      </c>
      <c r="AK19707" s="831">
        <v>148860224</v>
      </c>
    </row>
    <row r="19708" spans="2:37">
      <c r="B19708" s="834" t="str">
        <f t="shared" si="695"/>
        <v>|||</v>
      </c>
      <c r="H19708" s="835">
        <f t="shared" si="696"/>
        <v>31</v>
      </c>
      <c r="AF19708" s="831" t="s">
        <v>11907</v>
      </c>
      <c r="AG19708" s="831" t="s">
        <v>2674</v>
      </c>
      <c r="AH19708" s="831" t="s">
        <v>562</v>
      </c>
      <c r="AI19708" s="831">
        <v>0</v>
      </c>
      <c r="AJ19708" s="835">
        <v>42063</v>
      </c>
      <c r="AK19708" s="831">
        <v>1.04575</v>
      </c>
    </row>
    <row r="19709" spans="2:37">
      <c r="B19709" s="834" t="str">
        <f t="shared" si="695"/>
        <v>|||</v>
      </c>
      <c r="H19709" s="835">
        <f t="shared" si="696"/>
        <v>31</v>
      </c>
      <c r="AF19709" s="831" t="s">
        <v>11908</v>
      </c>
      <c r="AG19709" s="831" t="s">
        <v>2674</v>
      </c>
      <c r="AH19709" s="831" t="s">
        <v>2698</v>
      </c>
      <c r="AI19709" s="831">
        <v>0</v>
      </c>
      <c r="AJ19709" s="835">
        <v>42063</v>
      </c>
      <c r="AK19709" s="831">
        <v>0.78439999999999999</v>
      </c>
    </row>
    <row r="19710" spans="2:37">
      <c r="B19710" s="834" t="str">
        <f t="shared" si="695"/>
        <v>|||</v>
      </c>
      <c r="H19710" s="835">
        <f t="shared" si="696"/>
        <v>31</v>
      </c>
      <c r="AF19710" s="831" t="s">
        <v>11909</v>
      </c>
      <c r="AG19710" s="831" t="s">
        <v>2674</v>
      </c>
      <c r="AH19710" s="831" t="s">
        <v>560</v>
      </c>
      <c r="AI19710" s="831">
        <v>0</v>
      </c>
      <c r="AJ19710" s="835">
        <v>42063</v>
      </c>
      <c r="AK19710" s="831">
        <v>0.91507499999999997</v>
      </c>
    </row>
    <row r="19711" spans="2:37">
      <c r="B19711" s="834" t="str">
        <f t="shared" si="695"/>
        <v>|||</v>
      </c>
      <c r="H19711" s="835">
        <f t="shared" si="696"/>
        <v>31</v>
      </c>
      <c r="AF19711" s="831" t="s">
        <v>11910</v>
      </c>
      <c r="AG19711" s="831" t="s">
        <v>2674</v>
      </c>
      <c r="AH19711" s="831" t="s">
        <v>559</v>
      </c>
      <c r="AI19711" s="831">
        <v>0</v>
      </c>
      <c r="AJ19711" s="835">
        <v>42063</v>
      </c>
      <c r="AK19711" s="831">
        <v>0.80552083333333313</v>
      </c>
    </row>
    <row r="19712" spans="2:37">
      <c r="B19712" s="834" t="str">
        <f t="shared" si="695"/>
        <v>|||</v>
      </c>
      <c r="H19712" s="835">
        <f t="shared" si="696"/>
        <v>31</v>
      </c>
      <c r="AF19712" s="831" t="s">
        <v>11911</v>
      </c>
      <c r="AG19712" s="831" t="s">
        <v>2674</v>
      </c>
      <c r="AH19712" s="831" t="s">
        <v>568</v>
      </c>
      <c r="AI19712" s="831">
        <v>0</v>
      </c>
      <c r="AJ19712" s="835">
        <v>42063</v>
      </c>
      <c r="AK19712" s="831">
        <v>764746840.38461542</v>
      </c>
    </row>
    <row r="19713" spans="2:37">
      <c r="B19713" s="834" t="str">
        <f t="shared" si="695"/>
        <v>|||</v>
      </c>
      <c r="H19713" s="835">
        <f t="shared" si="696"/>
        <v>31</v>
      </c>
      <c r="AF19713" s="831" t="s">
        <v>11912</v>
      </c>
      <c r="AG19713" s="831" t="s">
        <v>2674</v>
      </c>
      <c r="AH19713" s="831" t="s">
        <v>569</v>
      </c>
      <c r="AI19713" s="831">
        <v>0</v>
      </c>
      <c r="AJ19713" s="835">
        <v>42063</v>
      </c>
      <c r="AK19713" s="831">
        <v>956157596</v>
      </c>
    </row>
    <row r="19714" spans="2:37">
      <c r="B19714" s="834" t="str">
        <f t="shared" si="695"/>
        <v>|||</v>
      </c>
      <c r="H19714" s="835">
        <f t="shared" si="696"/>
        <v>31</v>
      </c>
      <c r="AF19714" s="831" t="s">
        <v>11913</v>
      </c>
      <c r="AG19714" s="831" t="s">
        <v>2674</v>
      </c>
      <c r="AH19714" s="831" t="s">
        <v>570</v>
      </c>
      <c r="AI19714" s="831">
        <v>0</v>
      </c>
      <c r="AJ19714" s="835">
        <v>42063</v>
      </c>
      <c r="AK19714" s="831">
        <v>138839504.15615386</v>
      </c>
    </row>
    <row r="19715" spans="2:37">
      <c r="B19715" s="834" t="str">
        <f t="shared" si="695"/>
        <v>|||</v>
      </c>
      <c r="H19715" s="835">
        <f t="shared" si="696"/>
        <v>31</v>
      </c>
      <c r="AF19715" s="831" t="s">
        <v>11914</v>
      </c>
      <c r="AG19715" s="831" t="s">
        <v>2674</v>
      </c>
      <c r="AH19715" s="831" t="s">
        <v>571</v>
      </c>
      <c r="AI19715" s="831">
        <v>0</v>
      </c>
      <c r="AJ19715" s="835">
        <v>42063</v>
      </c>
      <c r="AK19715" s="831">
        <v>482774872.10899997</v>
      </c>
    </row>
    <row r="19716" spans="2:37">
      <c r="B19716" s="834" t="str">
        <f t="shared" si="695"/>
        <v>|||</v>
      </c>
      <c r="H19716" s="835">
        <f t="shared" si="696"/>
        <v>31</v>
      </c>
      <c r="AF19716" s="831" t="s">
        <v>11915</v>
      </c>
      <c r="AG19716" s="831" t="s">
        <v>2674</v>
      </c>
      <c r="AH19716" s="831" t="s">
        <v>573</v>
      </c>
      <c r="AI19716" s="831">
        <v>0</v>
      </c>
      <c r="AJ19716" s="835">
        <v>42063</v>
      </c>
      <c r="AK19716" s="831">
        <v>1113466990</v>
      </c>
    </row>
    <row r="19717" spans="2:37">
      <c r="B19717" s="834" t="str">
        <f t="shared" si="695"/>
        <v>|||</v>
      </c>
      <c r="H19717" s="835">
        <f t="shared" si="696"/>
        <v>31</v>
      </c>
      <c r="AF19717" s="831" t="s">
        <v>11916</v>
      </c>
      <c r="AG19717" s="831" t="s">
        <v>2674</v>
      </c>
      <c r="AH19717" s="831" t="s">
        <v>574</v>
      </c>
      <c r="AI19717" s="831">
        <v>0</v>
      </c>
      <c r="AJ19717" s="835">
        <v>42063</v>
      </c>
      <c r="AK19717" s="831">
        <v>874843882.66666663</v>
      </c>
    </row>
    <row r="19718" spans="2:37">
      <c r="B19718" s="834" t="str">
        <f t="shared" si="695"/>
        <v>|||</v>
      </c>
      <c r="H19718" s="835">
        <f t="shared" si="696"/>
        <v>31</v>
      </c>
      <c r="AF19718" s="831" t="s">
        <v>11917</v>
      </c>
      <c r="AG19718" s="831" t="s">
        <v>2674</v>
      </c>
      <c r="AH19718" s="831" t="s">
        <v>575</v>
      </c>
      <c r="AI19718" s="831">
        <v>0</v>
      </c>
      <c r="AJ19718" s="835">
        <v>42063</v>
      </c>
      <c r="AK19718" s="831">
        <v>145923251.33333334</v>
      </c>
    </row>
    <row r="19719" spans="2:37">
      <c r="B19719" s="834" t="str">
        <f t="shared" si="695"/>
        <v>|||</v>
      </c>
      <c r="H19719" s="835">
        <f t="shared" si="696"/>
        <v>31</v>
      </c>
      <c r="AF19719" s="831" t="s">
        <v>11918</v>
      </c>
      <c r="AG19719" s="831" t="s">
        <v>2674</v>
      </c>
      <c r="AH19719" s="831" t="s">
        <v>576</v>
      </c>
      <c r="AI19719" s="831">
        <v>0</v>
      </c>
      <c r="AJ19719" s="835">
        <v>42063</v>
      </c>
      <c r="AK19719" s="831">
        <v>595110401.33333337</v>
      </c>
    </row>
    <row r="19720" spans="2:37">
      <c r="B19720" s="834" t="str">
        <f t="shared" si="695"/>
        <v>|||</v>
      </c>
      <c r="H19720" s="835">
        <f t="shared" si="696"/>
        <v>31</v>
      </c>
      <c r="AF19720" s="831" t="s">
        <v>11919</v>
      </c>
      <c r="AG19720" s="831" t="s">
        <v>2674</v>
      </c>
      <c r="AH19720" s="831" t="s">
        <v>572</v>
      </c>
      <c r="AI19720" s="831">
        <v>0</v>
      </c>
      <c r="AJ19720" s="835">
        <v>42063</v>
      </c>
      <c r="AK19720" s="831">
        <v>33261949</v>
      </c>
    </row>
    <row r="19721" spans="2:37">
      <c r="B19721" s="834" t="str">
        <f t="shared" si="695"/>
        <v>|||</v>
      </c>
      <c r="H19721" s="835">
        <f t="shared" si="696"/>
        <v>31</v>
      </c>
      <c r="AF19721" s="831" t="s">
        <v>11920</v>
      </c>
      <c r="AG19721" s="831" t="s">
        <v>2674</v>
      </c>
      <c r="AH19721" s="831" t="s">
        <v>577</v>
      </c>
      <c r="AI19721" s="831">
        <v>0</v>
      </c>
      <c r="AJ19721" s="835">
        <v>42063</v>
      </c>
      <c r="AK19721" s="831">
        <v>173134660</v>
      </c>
    </row>
    <row r="19722" spans="2:37">
      <c r="B19722" s="834" t="str">
        <f t="shared" si="695"/>
        <v>|||</v>
      </c>
      <c r="H19722" s="835">
        <f t="shared" si="696"/>
        <v>31</v>
      </c>
      <c r="AF19722" s="831" t="s">
        <v>11921</v>
      </c>
      <c r="AG19722" s="831" t="s">
        <v>2674</v>
      </c>
      <c r="AH19722" s="831" t="s">
        <v>3042</v>
      </c>
      <c r="AI19722" s="831">
        <v>0</v>
      </c>
      <c r="AJ19722" s="835">
        <v>42063</v>
      </c>
      <c r="AK19722" s="831">
        <v>-53542458</v>
      </c>
    </row>
    <row r="19723" spans="2:37">
      <c r="B19723" s="834" t="str">
        <f t="shared" si="695"/>
        <v>|||</v>
      </c>
      <c r="H19723" s="835">
        <f t="shared" si="696"/>
        <v>31</v>
      </c>
      <c r="AF19723" s="831" t="s">
        <v>11922</v>
      </c>
      <c r="AG19723" s="831" t="s">
        <v>2674</v>
      </c>
      <c r="AH19723" s="831" t="s">
        <v>3044</v>
      </c>
      <c r="AI19723" s="831">
        <v>0</v>
      </c>
      <c r="AJ19723" s="835">
        <v>42063</v>
      </c>
      <c r="AK19723" s="831">
        <v>-787106</v>
      </c>
    </row>
    <row r="19724" spans="2:37">
      <c r="B19724" s="834" t="str">
        <f t="shared" si="695"/>
        <v>|||</v>
      </c>
      <c r="H19724" s="835">
        <f t="shared" si="696"/>
        <v>31</v>
      </c>
      <c r="AF19724" s="831" t="s">
        <v>11923</v>
      </c>
      <c r="AG19724" s="831" t="s">
        <v>2674</v>
      </c>
      <c r="AH19724" s="831" t="s">
        <v>580</v>
      </c>
      <c r="AI19724" s="831">
        <v>0</v>
      </c>
      <c r="AJ19724" s="835">
        <v>42063</v>
      </c>
      <c r="AK19724" s="831">
        <v>-82473719</v>
      </c>
    </row>
    <row r="19725" spans="2:37">
      <c r="B19725" s="834" t="str">
        <f t="shared" si="695"/>
        <v>|||</v>
      </c>
      <c r="H19725" s="835">
        <f t="shared" si="696"/>
        <v>31</v>
      </c>
      <c r="AF19725" s="831" t="s">
        <v>11924</v>
      </c>
      <c r="AG19725" s="831" t="s">
        <v>2674</v>
      </c>
      <c r="AH19725" s="831" t="s">
        <v>581</v>
      </c>
      <c r="AI19725" s="831">
        <v>0</v>
      </c>
      <c r="AJ19725" s="835">
        <v>42063</v>
      </c>
      <c r="AK19725" s="831">
        <v>11169610</v>
      </c>
    </row>
    <row r="19726" spans="2:37">
      <c r="B19726" s="834" t="str">
        <f t="shared" si="695"/>
        <v>|||</v>
      </c>
      <c r="H19726" s="835">
        <f t="shared" si="696"/>
        <v>31</v>
      </c>
      <c r="AF19726" s="831" t="s">
        <v>11925</v>
      </c>
      <c r="AG19726" s="831" t="s">
        <v>2674</v>
      </c>
      <c r="AH19726" s="831" t="s">
        <v>105</v>
      </c>
      <c r="AI19726" s="831">
        <v>0</v>
      </c>
      <c r="AJ19726" s="835">
        <v>42063</v>
      </c>
      <c r="AK19726" s="831">
        <v>714800530</v>
      </c>
    </row>
    <row r="19727" spans="2:37">
      <c r="B19727" s="834" t="str">
        <f t="shared" si="695"/>
        <v>|||</v>
      </c>
      <c r="H19727" s="835">
        <f t="shared" si="696"/>
        <v>31</v>
      </c>
      <c r="AF19727" s="831" t="s">
        <v>11926</v>
      </c>
      <c r="AG19727" s="831" t="s">
        <v>2674</v>
      </c>
      <c r="AH19727" s="831" t="s">
        <v>3049</v>
      </c>
      <c r="AI19727" s="831">
        <v>0</v>
      </c>
      <c r="AJ19727" s="835">
        <v>42063</v>
      </c>
      <c r="AK19727" s="831">
        <v>1078776977</v>
      </c>
    </row>
    <row r="19728" spans="2:37">
      <c r="B19728" s="834" t="str">
        <f t="shared" si="695"/>
        <v>|||</v>
      </c>
      <c r="H19728" s="835">
        <f t="shared" si="696"/>
        <v>31</v>
      </c>
      <c r="AF19728" s="831" t="s">
        <v>11927</v>
      </c>
      <c r="AG19728" s="831" t="s">
        <v>2674</v>
      </c>
      <c r="AH19728" s="831" t="s">
        <v>103</v>
      </c>
      <c r="AI19728" s="831">
        <v>0</v>
      </c>
      <c r="AJ19728" s="835">
        <v>42063</v>
      </c>
      <c r="AK19728" s="831">
        <v>363976447</v>
      </c>
    </row>
    <row r="19729" spans="2:37">
      <c r="B19729" s="834" t="str">
        <f t="shared" ref="B19729:B19792" si="697">C19729&amp;"|"&amp;D19729&amp;"|"&amp;E19729&amp;"|"&amp;F19729</f>
        <v>|||</v>
      </c>
      <c r="H19729" s="835">
        <f t="shared" ref="H19729:H19792" si="698">EOMONTH(L19729,0)</f>
        <v>31</v>
      </c>
      <c r="AF19729" s="831" t="s">
        <v>11928</v>
      </c>
      <c r="AG19729" s="831" t="s">
        <v>2674</v>
      </c>
      <c r="AH19729" s="831" t="s">
        <v>182</v>
      </c>
      <c r="AI19729" s="831">
        <v>0</v>
      </c>
      <c r="AJ19729" s="835">
        <v>42063</v>
      </c>
      <c r="AK19729" s="831">
        <v>91149096</v>
      </c>
    </row>
    <row r="19730" spans="2:37">
      <c r="B19730" s="834" t="str">
        <f t="shared" si="697"/>
        <v>|||</v>
      </c>
      <c r="H19730" s="835">
        <f t="shared" si="698"/>
        <v>31</v>
      </c>
      <c r="AF19730" s="831" t="s">
        <v>11929</v>
      </c>
      <c r="AG19730" s="831" t="s">
        <v>2674</v>
      </c>
      <c r="AH19730" s="831" t="s">
        <v>6600</v>
      </c>
      <c r="AI19730" s="831">
        <v>0</v>
      </c>
      <c r="AJ19730" s="835">
        <v>42063</v>
      </c>
      <c r="AK19730" s="831">
        <v>33261949</v>
      </c>
    </row>
    <row r="19731" spans="2:37">
      <c r="B19731" s="834" t="str">
        <f t="shared" si="697"/>
        <v>|||</v>
      </c>
      <c r="H19731" s="835">
        <f t="shared" si="698"/>
        <v>31</v>
      </c>
      <c r="AF19731" s="831" t="s">
        <v>11930</v>
      </c>
      <c r="AG19731" s="831" t="s">
        <v>2674</v>
      </c>
      <c r="AH19731" s="831" t="s">
        <v>6602</v>
      </c>
      <c r="AI19731" s="831">
        <v>0</v>
      </c>
      <c r="AJ19731" s="835">
        <v>42063</v>
      </c>
      <c r="AK19731" s="831">
        <v>-1907756</v>
      </c>
    </row>
    <row r="19732" spans="2:37">
      <c r="B19732" s="834" t="str">
        <f t="shared" si="697"/>
        <v>|||</v>
      </c>
      <c r="H19732" s="835">
        <f t="shared" si="698"/>
        <v>31</v>
      </c>
      <c r="AF19732" s="831" t="s">
        <v>11931</v>
      </c>
      <c r="AG19732" s="831" t="s">
        <v>2674</v>
      </c>
      <c r="AH19732" s="831" t="s">
        <v>650</v>
      </c>
      <c r="AI19732" s="831">
        <v>0</v>
      </c>
      <c r="AJ19732" s="835">
        <v>42063</v>
      </c>
      <c r="AK19732" s="831">
        <v>309129053.2630769</v>
      </c>
    </row>
    <row r="19733" spans="2:37">
      <c r="B19733" s="834" t="str">
        <f t="shared" si="697"/>
        <v>|||</v>
      </c>
      <c r="H19733" s="835">
        <f t="shared" si="698"/>
        <v>31</v>
      </c>
      <c r="AF19733" s="831" t="s">
        <v>11932</v>
      </c>
      <c r="AG19733" s="831" t="s">
        <v>2674</v>
      </c>
      <c r="AH19733" s="831" t="s">
        <v>655</v>
      </c>
      <c r="AI19733" s="831">
        <v>0</v>
      </c>
      <c r="AJ19733" s="835">
        <v>42063</v>
      </c>
      <c r="AK19733" s="831">
        <v>7002831</v>
      </c>
    </row>
    <row r="19734" spans="2:37">
      <c r="B19734" s="834" t="str">
        <f t="shared" si="697"/>
        <v>|||</v>
      </c>
      <c r="H19734" s="835">
        <f t="shared" si="698"/>
        <v>31</v>
      </c>
      <c r="AF19734" s="831" t="s">
        <v>11933</v>
      </c>
      <c r="AG19734" s="831" t="s">
        <v>2674</v>
      </c>
      <c r="AH19734" s="831" t="s">
        <v>546</v>
      </c>
      <c r="AI19734" s="831">
        <v>0</v>
      </c>
      <c r="AJ19734" s="835">
        <v>42094</v>
      </c>
      <c r="AK19734" s="831">
        <v>925259190</v>
      </c>
    </row>
    <row r="19735" spans="2:37">
      <c r="B19735" s="834" t="str">
        <f t="shared" si="697"/>
        <v>|||</v>
      </c>
      <c r="H19735" s="835">
        <f t="shared" si="698"/>
        <v>31</v>
      </c>
      <c r="AF19735" s="831" t="s">
        <v>11934</v>
      </c>
      <c r="AG19735" s="831" t="s">
        <v>2674</v>
      </c>
      <c r="AH19735" s="831" t="s">
        <v>370</v>
      </c>
      <c r="AI19735" s="831">
        <v>0</v>
      </c>
      <c r="AJ19735" s="835">
        <v>42094</v>
      </c>
      <c r="AK19735" s="831">
        <v>1161484479</v>
      </c>
    </row>
    <row r="19736" spans="2:37">
      <c r="B19736" s="834" t="str">
        <f t="shared" si="697"/>
        <v>|||</v>
      </c>
      <c r="H19736" s="835">
        <f t="shared" si="698"/>
        <v>31</v>
      </c>
      <c r="AF19736" s="831" t="s">
        <v>11935</v>
      </c>
      <c r="AG19736" s="831" t="s">
        <v>2674</v>
      </c>
      <c r="AH19736" s="831" t="s">
        <v>126</v>
      </c>
      <c r="AI19736" s="831">
        <v>0</v>
      </c>
      <c r="AJ19736" s="835">
        <v>42094</v>
      </c>
      <c r="AK19736" s="831">
        <v>147807134</v>
      </c>
    </row>
    <row r="19737" spans="2:37">
      <c r="B19737" s="834" t="str">
        <f t="shared" si="697"/>
        <v>|||</v>
      </c>
      <c r="H19737" s="835">
        <f t="shared" si="698"/>
        <v>31</v>
      </c>
      <c r="AF19737" s="831" t="s">
        <v>11936</v>
      </c>
      <c r="AG19737" s="831" t="s">
        <v>2674</v>
      </c>
      <c r="AH19737" s="831" t="s">
        <v>268</v>
      </c>
      <c r="AI19737" s="831">
        <v>0</v>
      </c>
      <c r="AJ19737" s="835">
        <v>42094</v>
      </c>
      <c r="AK19737" s="831">
        <v>2398849</v>
      </c>
    </row>
    <row r="19738" spans="2:37">
      <c r="B19738" s="834" t="str">
        <f t="shared" si="697"/>
        <v>|||</v>
      </c>
      <c r="H19738" s="835">
        <f t="shared" si="698"/>
        <v>31</v>
      </c>
      <c r="AF19738" s="831" t="s">
        <v>11937</v>
      </c>
      <c r="AG19738" s="831" t="s">
        <v>2674</v>
      </c>
      <c r="AH19738" s="831" t="s">
        <v>547</v>
      </c>
      <c r="AI19738" s="831">
        <v>0</v>
      </c>
      <c r="AJ19738" s="835">
        <v>42094</v>
      </c>
      <c r="AK19738" s="831">
        <v>1044609243</v>
      </c>
    </row>
    <row r="19739" spans="2:37">
      <c r="B19739" s="834" t="str">
        <f t="shared" si="697"/>
        <v>|||</v>
      </c>
      <c r="H19739" s="835">
        <f t="shared" si="698"/>
        <v>31</v>
      </c>
      <c r="AF19739" s="831" t="s">
        <v>11938</v>
      </c>
      <c r="AG19739" s="831" t="s">
        <v>2674</v>
      </c>
      <c r="AH19739" s="831" t="s">
        <v>548</v>
      </c>
      <c r="AI19739" s="831">
        <v>0</v>
      </c>
      <c r="AJ19739" s="835">
        <v>42094</v>
      </c>
      <c r="AK19739" s="831">
        <v>148860224</v>
      </c>
    </row>
    <row r="19740" spans="2:37">
      <c r="B19740" s="834" t="str">
        <f t="shared" si="697"/>
        <v>|||</v>
      </c>
      <c r="H19740" s="835">
        <f t="shared" si="698"/>
        <v>31</v>
      </c>
      <c r="AF19740" s="831" t="s">
        <v>11939</v>
      </c>
      <c r="AG19740" s="831" t="s">
        <v>2674</v>
      </c>
      <c r="AH19740" s="831" t="s">
        <v>549</v>
      </c>
      <c r="AI19740" s="831">
        <v>0</v>
      </c>
      <c r="AJ19740" s="835">
        <v>42094</v>
      </c>
      <c r="AK19740" s="831">
        <v>664153787</v>
      </c>
    </row>
    <row r="19741" spans="2:37">
      <c r="B19741" s="834" t="str">
        <f t="shared" si="697"/>
        <v>|||</v>
      </c>
      <c r="H19741" s="835">
        <f t="shared" si="698"/>
        <v>31</v>
      </c>
      <c r="AF19741" s="831" t="s">
        <v>11940</v>
      </c>
      <c r="AG19741" s="831" t="s">
        <v>2674</v>
      </c>
      <c r="AH19741" s="831" t="s">
        <v>192</v>
      </c>
      <c r="AI19741" s="831">
        <v>0</v>
      </c>
      <c r="AJ19741" s="835">
        <v>42094</v>
      </c>
      <c r="AK19741" s="831">
        <v>-15332196</v>
      </c>
    </row>
    <row r="19742" spans="2:37">
      <c r="B19742" s="834" t="str">
        <f t="shared" si="697"/>
        <v>|||</v>
      </c>
      <c r="H19742" s="835">
        <f t="shared" si="698"/>
        <v>31</v>
      </c>
      <c r="AF19742" s="831" t="s">
        <v>11941</v>
      </c>
      <c r="AG19742" s="831" t="s">
        <v>2674</v>
      </c>
      <c r="AH19742" s="831" t="s">
        <v>558</v>
      </c>
      <c r="AI19742" s="831">
        <v>0</v>
      </c>
      <c r="AJ19742" s="835">
        <v>42094</v>
      </c>
      <c r="AK19742" s="831">
        <v>1013677345</v>
      </c>
    </row>
    <row r="19743" spans="2:37">
      <c r="B19743" s="834" t="str">
        <f t="shared" si="697"/>
        <v>|||</v>
      </c>
      <c r="H19743" s="835">
        <f t="shared" si="698"/>
        <v>31</v>
      </c>
      <c r="AF19743" s="831" t="s">
        <v>11942</v>
      </c>
      <c r="AG19743" s="831" t="s">
        <v>2674</v>
      </c>
      <c r="AH19743" s="831" t="s">
        <v>65</v>
      </c>
      <c r="AI19743" s="831">
        <v>0</v>
      </c>
      <c r="AJ19743" s="835">
        <v>42094</v>
      </c>
      <c r="AK19743" s="831">
        <v>48515498</v>
      </c>
    </row>
    <row r="19744" spans="2:37">
      <c r="B19744" s="834" t="str">
        <f t="shared" si="697"/>
        <v>|||</v>
      </c>
      <c r="H19744" s="835">
        <f t="shared" si="698"/>
        <v>31</v>
      </c>
      <c r="AF19744" s="831" t="s">
        <v>11943</v>
      </c>
      <c r="AG19744" s="831" t="s">
        <v>2674</v>
      </c>
      <c r="AH19744" s="831" t="s">
        <v>89</v>
      </c>
      <c r="AI19744" s="831">
        <v>0</v>
      </c>
      <c r="AJ19744" s="835">
        <v>42094</v>
      </c>
      <c r="AK19744" s="831">
        <v>153039</v>
      </c>
    </row>
    <row r="19745" spans="2:37">
      <c r="B19745" s="834" t="str">
        <f t="shared" si="697"/>
        <v>|||</v>
      </c>
      <c r="H19745" s="835">
        <f t="shared" si="698"/>
        <v>31</v>
      </c>
      <c r="AF19745" s="831" t="s">
        <v>11944</v>
      </c>
      <c r="AG19745" s="831" t="s">
        <v>2674</v>
      </c>
      <c r="AH19745" s="831" t="s">
        <v>557</v>
      </c>
      <c r="AI19745" s="831">
        <v>0</v>
      </c>
      <c r="AJ19745" s="835">
        <v>42094</v>
      </c>
      <c r="AK19745" s="831">
        <v>174874</v>
      </c>
    </row>
    <row r="19746" spans="2:37">
      <c r="B19746" s="834" t="str">
        <f t="shared" si="697"/>
        <v>|||</v>
      </c>
      <c r="H19746" s="835">
        <f t="shared" si="698"/>
        <v>31</v>
      </c>
      <c r="AF19746" s="831" t="s">
        <v>11945</v>
      </c>
      <c r="AG19746" s="831" t="s">
        <v>2674</v>
      </c>
      <c r="AH19746" s="831" t="s">
        <v>29</v>
      </c>
      <c r="AI19746" s="831">
        <v>0</v>
      </c>
      <c r="AJ19746" s="835">
        <v>42094</v>
      </c>
      <c r="AK19746" s="831">
        <v>10801248</v>
      </c>
    </row>
    <row r="19747" spans="2:37">
      <c r="B19747" s="834" t="str">
        <f t="shared" si="697"/>
        <v>|||</v>
      </c>
      <c r="H19747" s="835">
        <f t="shared" si="698"/>
        <v>31</v>
      </c>
      <c r="AF19747" s="831" t="s">
        <v>11946</v>
      </c>
      <c r="AG19747" s="831" t="s">
        <v>2674</v>
      </c>
      <c r="AH19747" s="831" t="s">
        <v>2688</v>
      </c>
      <c r="AI19747" s="831">
        <v>0</v>
      </c>
      <c r="AJ19747" s="835">
        <v>42094</v>
      </c>
      <c r="AK19747" s="831">
        <v>88178967</v>
      </c>
    </row>
    <row r="19748" spans="2:37">
      <c r="B19748" s="834" t="str">
        <f t="shared" si="697"/>
        <v>|||</v>
      </c>
      <c r="H19748" s="835">
        <f t="shared" si="698"/>
        <v>31</v>
      </c>
      <c r="AF19748" s="831" t="s">
        <v>11947</v>
      </c>
      <c r="AG19748" s="831" t="s">
        <v>2674</v>
      </c>
      <c r="AH19748" s="831" t="s">
        <v>556</v>
      </c>
      <c r="AI19748" s="831">
        <v>0</v>
      </c>
      <c r="AJ19748" s="835">
        <v>42094</v>
      </c>
      <c r="AK19748" s="831">
        <v>11412135</v>
      </c>
    </row>
    <row r="19749" spans="2:37">
      <c r="B19749" s="834" t="str">
        <f t="shared" si="697"/>
        <v>|||</v>
      </c>
      <c r="H19749" s="835">
        <f t="shared" si="698"/>
        <v>31</v>
      </c>
      <c r="AF19749" s="831" t="s">
        <v>11948</v>
      </c>
      <c r="AG19749" s="831" t="s">
        <v>2674</v>
      </c>
      <c r="AH19749" s="831" t="s">
        <v>555</v>
      </c>
      <c r="AI19749" s="831">
        <v>0</v>
      </c>
      <c r="AJ19749" s="835">
        <v>42094</v>
      </c>
      <c r="AK19749" s="831">
        <v>794294654</v>
      </c>
    </row>
    <row r="19750" spans="2:37">
      <c r="B19750" s="834" t="str">
        <f t="shared" si="697"/>
        <v>|||</v>
      </c>
      <c r="H19750" s="835">
        <f t="shared" si="698"/>
        <v>31</v>
      </c>
      <c r="AF19750" s="831" t="s">
        <v>11949</v>
      </c>
      <c r="AG19750" s="831" t="s">
        <v>2674</v>
      </c>
      <c r="AH19750" s="831" t="s">
        <v>554</v>
      </c>
      <c r="AI19750" s="831">
        <v>0</v>
      </c>
      <c r="AJ19750" s="835">
        <v>42094</v>
      </c>
      <c r="AK19750" s="831">
        <v>796448359</v>
      </c>
    </row>
    <row r="19751" spans="2:37">
      <c r="B19751" s="834" t="str">
        <f t="shared" si="697"/>
        <v>|||</v>
      </c>
      <c r="H19751" s="835">
        <f t="shared" si="698"/>
        <v>31</v>
      </c>
      <c r="AF19751" s="831" t="s">
        <v>11950</v>
      </c>
      <c r="AG19751" s="831" t="s">
        <v>2674</v>
      </c>
      <c r="AH19751" s="831" t="s">
        <v>553</v>
      </c>
      <c r="AI19751" s="831">
        <v>0</v>
      </c>
      <c r="AJ19751" s="835">
        <v>42094</v>
      </c>
      <c r="AK19751" s="831">
        <v>52425000</v>
      </c>
    </row>
    <row r="19752" spans="2:37">
      <c r="B19752" s="834" t="str">
        <f t="shared" si="697"/>
        <v>|||</v>
      </c>
      <c r="H19752" s="835">
        <f t="shared" si="698"/>
        <v>31</v>
      </c>
      <c r="AF19752" s="831" t="s">
        <v>11951</v>
      </c>
      <c r="AG19752" s="831" t="s">
        <v>2674</v>
      </c>
      <c r="AH19752" s="831" t="s">
        <v>552</v>
      </c>
      <c r="AI19752" s="831">
        <v>0</v>
      </c>
      <c r="AJ19752" s="835">
        <v>42094</v>
      </c>
      <c r="AK19752" s="831">
        <v>0</v>
      </c>
    </row>
    <row r="19753" spans="2:37">
      <c r="B19753" s="834" t="str">
        <f t="shared" si="697"/>
        <v>|||</v>
      </c>
      <c r="H19753" s="835">
        <f t="shared" si="698"/>
        <v>31</v>
      </c>
      <c r="AF19753" s="831" t="s">
        <v>11952</v>
      </c>
      <c r="AG19753" s="831" t="s">
        <v>2674</v>
      </c>
      <c r="AH19753" s="831" t="s">
        <v>551</v>
      </c>
      <c r="AI19753" s="831">
        <v>0</v>
      </c>
      <c r="AJ19753" s="835">
        <v>42094</v>
      </c>
      <c r="AK19753" s="831">
        <v>8543411</v>
      </c>
    </row>
    <row r="19754" spans="2:37">
      <c r="B19754" s="834" t="str">
        <f t="shared" si="697"/>
        <v>|||</v>
      </c>
      <c r="H19754" s="835">
        <f t="shared" si="698"/>
        <v>31</v>
      </c>
      <c r="AF19754" s="831" t="s">
        <v>11953</v>
      </c>
      <c r="AG19754" s="831" t="s">
        <v>2674</v>
      </c>
      <c r="AH19754" s="831" t="s">
        <v>550</v>
      </c>
      <c r="AI19754" s="831">
        <v>0</v>
      </c>
      <c r="AJ19754" s="835">
        <v>42094</v>
      </c>
      <c r="AK19754" s="831">
        <v>143500530</v>
      </c>
    </row>
    <row r="19755" spans="2:37">
      <c r="B19755" s="834" t="str">
        <f t="shared" si="697"/>
        <v>|||</v>
      </c>
      <c r="H19755" s="835">
        <f t="shared" si="698"/>
        <v>31</v>
      </c>
      <c r="AF19755" s="831" t="s">
        <v>11954</v>
      </c>
      <c r="AG19755" s="831" t="s">
        <v>2674</v>
      </c>
      <c r="AH19755" s="831" t="s">
        <v>562</v>
      </c>
      <c r="AI19755" s="831">
        <v>0</v>
      </c>
      <c r="AJ19755" s="835">
        <v>42094</v>
      </c>
      <c r="AK19755" s="831">
        <v>1.0495000000000001</v>
      </c>
    </row>
    <row r="19756" spans="2:37">
      <c r="B19756" s="834" t="str">
        <f t="shared" si="697"/>
        <v>|||</v>
      </c>
      <c r="H19756" s="835">
        <f t="shared" si="698"/>
        <v>31</v>
      </c>
      <c r="AF19756" s="831" t="s">
        <v>11955</v>
      </c>
      <c r="AG19756" s="831" t="s">
        <v>2674</v>
      </c>
      <c r="AH19756" s="831" t="s">
        <v>2698</v>
      </c>
      <c r="AI19756" s="831">
        <v>0</v>
      </c>
      <c r="AJ19756" s="835">
        <v>42094</v>
      </c>
      <c r="AK19756" s="831">
        <v>1.04575</v>
      </c>
    </row>
    <row r="19757" spans="2:37">
      <c r="B19757" s="834" t="str">
        <f t="shared" si="697"/>
        <v>|||</v>
      </c>
      <c r="H19757" s="835">
        <f t="shared" si="698"/>
        <v>31</v>
      </c>
      <c r="AF19757" s="831" t="s">
        <v>11956</v>
      </c>
      <c r="AG19757" s="831" t="s">
        <v>2674</v>
      </c>
      <c r="AH19757" s="831" t="s">
        <v>560</v>
      </c>
      <c r="AI19757" s="831">
        <v>0</v>
      </c>
      <c r="AJ19757" s="835">
        <v>42094</v>
      </c>
      <c r="AK19757" s="831">
        <v>0.95988333333333331</v>
      </c>
    </row>
    <row r="19758" spans="2:37">
      <c r="B19758" s="834" t="str">
        <f t="shared" si="697"/>
        <v>|||</v>
      </c>
      <c r="H19758" s="835">
        <f t="shared" si="698"/>
        <v>31</v>
      </c>
      <c r="AF19758" s="831" t="s">
        <v>11957</v>
      </c>
      <c r="AG19758" s="831" t="s">
        <v>2674</v>
      </c>
      <c r="AH19758" s="831" t="s">
        <v>559</v>
      </c>
      <c r="AI19758" s="831">
        <v>0</v>
      </c>
      <c r="AJ19758" s="835">
        <v>42094</v>
      </c>
      <c r="AK19758" s="831">
        <v>0.82766666666666655</v>
      </c>
    </row>
    <row r="19759" spans="2:37">
      <c r="B19759" s="834" t="str">
        <f t="shared" si="697"/>
        <v>|||</v>
      </c>
      <c r="H19759" s="835">
        <f t="shared" si="698"/>
        <v>31</v>
      </c>
      <c r="AF19759" s="831" t="s">
        <v>11958</v>
      </c>
      <c r="AG19759" s="831" t="s">
        <v>2674</v>
      </c>
      <c r="AH19759" s="831" t="s">
        <v>568</v>
      </c>
      <c r="AI19759" s="831">
        <v>0</v>
      </c>
      <c r="AJ19759" s="835">
        <v>42094</v>
      </c>
      <c r="AK19759" s="831">
        <v>785705621.53846157</v>
      </c>
    </row>
    <row r="19760" spans="2:37">
      <c r="B19760" s="834" t="str">
        <f t="shared" si="697"/>
        <v>|||</v>
      </c>
      <c r="H19760" s="835">
        <f t="shared" si="698"/>
        <v>31</v>
      </c>
      <c r="AF19760" s="831" t="s">
        <v>11959</v>
      </c>
      <c r="AG19760" s="831" t="s">
        <v>2674</v>
      </c>
      <c r="AH19760" s="831" t="s">
        <v>569</v>
      </c>
      <c r="AI19760" s="831">
        <v>0</v>
      </c>
      <c r="AJ19760" s="835">
        <v>42094</v>
      </c>
      <c r="AK19760" s="831">
        <v>984393199.30769229</v>
      </c>
    </row>
    <row r="19761" spans="2:37">
      <c r="B19761" s="834" t="str">
        <f t="shared" si="697"/>
        <v>|||</v>
      </c>
      <c r="H19761" s="835">
        <f t="shared" si="698"/>
        <v>31</v>
      </c>
      <c r="AF19761" s="831" t="s">
        <v>11960</v>
      </c>
      <c r="AG19761" s="831" t="s">
        <v>2674</v>
      </c>
      <c r="AH19761" s="831" t="s">
        <v>570</v>
      </c>
      <c r="AI19761" s="831">
        <v>0</v>
      </c>
      <c r="AJ19761" s="835">
        <v>42094</v>
      </c>
      <c r="AK19761" s="831">
        <v>140931158.46384615</v>
      </c>
    </row>
    <row r="19762" spans="2:37">
      <c r="B19762" s="834" t="str">
        <f t="shared" si="697"/>
        <v>|||</v>
      </c>
      <c r="H19762" s="835">
        <f t="shared" si="698"/>
        <v>31</v>
      </c>
      <c r="AF19762" s="831" t="s">
        <v>11961</v>
      </c>
      <c r="AG19762" s="831" t="s">
        <v>2674</v>
      </c>
      <c r="AH19762" s="831" t="s">
        <v>571</v>
      </c>
      <c r="AI19762" s="831">
        <v>0</v>
      </c>
      <c r="AJ19762" s="835">
        <v>42094</v>
      </c>
      <c r="AK19762" s="831">
        <v>502500066.26284611</v>
      </c>
    </row>
    <row r="19763" spans="2:37">
      <c r="B19763" s="834" t="str">
        <f t="shared" si="697"/>
        <v>|||</v>
      </c>
      <c r="H19763" s="835">
        <f t="shared" si="698"/>
        <v>31</v>
      </c>
      <c r="AF19763" s="831" t="s">
        <v>11962</v>
      </c>
      <c r="AG19763" s="831" t="s">
        <v>2674</v>
      </c>
      <c r="AH19763" s="831" t="s">
        <v>573</v>
      </c>
      <c r="AI19763" s="831">
        <v>0</v>
      </c>
      <c r="AJ19763" s="835">
        <v>42094</v>
      </c>
      <c r="AK19763" s="831">
        <v>1125471362.25</v>
      </c>
    </row>
    <row r="19764" spans="2:37">
      <c r="B19764" s="834" t="str">
        <f t="shared" si="697"/>
        <v>|||</v>
      </c>
      <c r="H19764" s="835">
        <f t="shared" si="698"/>
        <v>31</v>
      </c>
      <c r="AF19764" s="831" t="s">
        <v>11963</v>
      </c>
      <c r="AG19764" s="831" t="s">
        <v>2674</v>
      </c>
      <c r="AH19764" s="831" t="s">
        <v>574</v>
      </c>
      <c r="AI19764" s="831">
        <v>0</v>
      </c>
      <c r="AJ19764" s="835">
        <v>42094</v>
      </c>
      <c r="AK19764" s="831">
        <v>887447709.5</v>
      </c>
    </row>
    <row r="19765" spans="2:37">
      <c r="B19765" s="834" t="str">
        <f t="shared" si="697"/>
        <v>|||</v>
      </c>
      <c r="H19765" s="835">
        <f t="shared" si="698"/>
        <v>31</v>
      </c>
      <c r="AF19765" s="831" t="s">
        <v>11964</v>
      </c>
      <c r="AG19765" s="831" t="s">
        <v>2674</v>
      </c>
      <c r="AH19765" s="831" t="s">
        <v>575</v>
      </c>
      <c r="AI19765" s="831">
        <v>0</v>
      </c>
      <c r="AJ19765" s="835">
        <v>42094</v>
      </c>
      <c r="AK19765" s="831">
        <v>146394222</v>
      </c>
    </row>
    <row r="19766" spans="2:37">
      <c r="B19766" s="834" t="str">
        <f t="shared" si="697"/>
        <v>|||</v>
      </c>
      <c r="H19766" s="835">
        <f t="shared" si="698"/>
        <v>31</v>
      </c>
      <c r="AF19766" s="831" t="s">
        <v>11965</v>
      </c>
      <c r="AG19766" s="831" t="s">
        <v>2674</v>
      </c>
      <c r="AH19766" s="831" t="s">
        <v>576</v>
      </c>
      <c r="AI19766" s="831">
        <v>0</v>
      </c>
      <c r="AJ19766" s="835">
        <v>42094</v>
      </c>
      <c r="AK19766" s="831">
        <v>606715260</v>
      </c>
    </row>
    <row r="19767" spans="2:37">
      <c r="B19767" s="834" t="str">
        <f t="shared" si="697"/>
        <v>|||</v>
      </c>
      <c r="H19767" s="835">
        <f t="shared" si="698"/>
        <v>31</v>
      </c>
      <c r="AF19767" s="831" t="s">
        <v>11966</v>
      </c>
      <c r="AG19767" s="831" t="s">
        <v>2674</v>
      </c>
      <c r="AH19767" s="831" t="s">
        <v>572</v>
      </c>
      <c r="AI19767" s="831">
        <v>0</v>
      </c>
      <c r="AJ19767" s="835">
        <v>42094</v>
      </c>
      <c r="AK19767" s="831">
        <v>36560084</v>
      </c>
    </row>
    <row r="19768" spans="2:37">
      <c r="B19768" s="834" t="str">
        <f t="shared" si="697"/>
        <v>|||</v>
      </c>
      <c r="H19768" s="835">
        <f t="shared" si="698"/>
        <v>31</v>
      </c>
      <c r="AF19768" s="831" t="s">
        <v>11967</v>
      </c>
      <c r="AG19768" s="831" t="s">
        <v>2674</v>
      </c>
      <c r="AH19768" s="831" t="s">
        <v>577</v>
      </c>
      <c r="AI19768" s="831">
        <v>0</v>
      </c>
      <c r="AJ19768" s="835">
        <v>42094</v>
      </c>
      <c r="AK19768" s="831">
        <v>179877214</v>
      </c>
    </row>
    <row r="19769" spans="2:37">
      <c r="B19769" s="834" t="str">
        <f t="shared" si="697"/>
        <v>|||</v>
      </c>
      <c r="H19769" s="835">
        <f t="shared" si="698"/>
        <v>31</v>
      </c>
      <c r="AF19769" s="831" t="s">
        <v>11968</v>
      </c>
      <c r="AG19769" s="831" t="s">
        <v>2674</v>
      </c>
      <c r="AH19769" s="831" t="s">
        <v>3042</v>
      </c>
      <c r="AI19769" s="831">
        <v>0</v>
      </c>
      <c r="AJ19769" s="835">
        <v>42094</v>
      </c>
      <c r="AK19769" s="831">
        <v>-55010221</v>
      </c>
    </row>
    <row r="19770" spans="2:37">
      <c r="B19770" s="834" t="str">
        <f t="shared" si="697"/>
        <v>|||</v>
      </c>
      <c r="H19770" s="835">
        <f t="shared" si="698"/>
        <v>31</v>
      </c>
      <c r="AF19770" s="831" t="s">
        <v>11969</v>
      </c>
      <c r="AG19770" s="831" t="s">
        <v>2674</v>
      </c>
      <c r="AH19770" s="831" t="s">
        <v>3044</v>
      </c>
      <c r="AI19770" s="831">
        <v>0</v>
      </c>
      <c r="AJ19770" s="835">
        <v>42094</v>
      </c>
      <c r="AK19770" s="831">
        <v>-2080886</v>
      </c>
    </row>
    <row r="19771" spans="2:37">
      <c r="B19771" s="834" t="str">
        <f t="shared" si="697"/>
        <v>|||</v>
      </c>
      <c r="H19771" s="835">
        <f t="shared" si="698"/>
        <v>31</v>
      </c>
      <c r="AF19771" s="831" t="s">
        <v>11970</v>
      </c>
      <c r="AG19771" s="831" t="s">
        <v>2674</v>
      </c>
      <c r="AH19771" s="831" t="s">
        <v>580</v>
      </c>
      <c r="AI19771" s="831">
        <v>0</v>
      </c>
      <c r="AJ19771" s="835">
        <v>42094</v>
      </c>
      <c r="AK19771" s="831">
        <v>-82773578</v>
      </c>
    </row>
    <row r="19772" spans="2:37">
      <c r="B19772" s="834" t="str">
        <f t="shared" si="697"/>
        <v>|||</v>
      </c>
      <c r="H19772" s="835">
        <f t="shared" si="698"/>
        <v>31</v>
      </c>
      <c r="AF19772" s="831" t="s">
        <v>11971</v>
      </c>
      <c r="AG19772" s="831" t="s">
        <v>2674</v>
      </c>
      <c r="AH19772" s="831" t="s">
        <v>581</v>
      </c>
      <c r="AI19772" s="831">
        <v>0</v>
      </c>
      <c r="AJ19772" s="835">
        <v>42094</v>
      </c>
      <c r="AK19772" s="831">
        <v>10684351</v>
      </c>
    </row>
    <row r="19773" spans="2:37">
      <c r="B19773" s="834" t="str">
        <f t="shared" si="697"/>
        <v>|||</v>
      </c>
      <c r="H19773" s="835">
        <f t="shared" si="698"/>
        <v>31</v>
      </c>
      <c r="AF19773" s="831" t="s">
        <v>11972</v>
      </c>
      <c r="AG19773" s="831" t="s">
        <v>2674</v>
      </c>
      <c r="AH19773" s="831" t="s">
        <v>105</v>
      </c>
      <c r="AI19773" s="831">
        <v>0</v>
      </c>
      <c r="AJ19773" s="835">
        <v>42094</v>
      </c>
      <c r="AK19773" s="831">
        <v>641529836</v>
      </c>
    </row>
    <row r="19774" spans="2:37">
      <c r="B19774" s="834" t="str">
        <f t="shared" si="697"/>
        <v>|||</v>
      </c>
      <c r="H19774" s="835">
        <f t="shared" si="698"/>
        <v>31</v>
      </c>
      <c r="AF19774" s="831" t="s">
        <v>11973</v>
      </c>
      <c r="AG19774" s="831" t="s">
        <v>2674</v>
      </c>
      <c r="AH19774" s="831" t="s">
        <v>3049</v>
      </c>
      <c r="AI19774" s="831">
        <v>0</v>
      </c>
      <c r="AJ19774" s="835">
        <v>42094</v>
      </c>
      <c r="AK19774" s="831">
        <v>986480670</v>
      </c>
    </row>
    <row r="19775" spans="2:37">
      <c r="B19775" s="834" t="str">
        <f t="shared" si="697"/>
        <v>|||</v>
      </c>
      <c r="H19775" s="835">
        <f t="shared" si="698"/>
        <v>31</v>
      </c>
      <c r="AF19775" s="831" t="s">
        <v>11974</v>
      </c>
      <c r="AG19775" s="831" t="s">
        <v>2674</v>
      </c>
      <c r="AH19775" s="831" t="s">
        <v>103</v>
      </c>
      <c r="AI19775" s="831">
        <v>0</v>
      </c>
      <c r="AJ19775" s="835">
        <v>42094</v>
      </c>
      <c r="AK19775" s="831">
        <v>344950834</v>
      </c>
    </row>
    <row r="19776" spans="2:37">
      <c r="B19776" s="834" t="str">
        <f t="shared" si="697"/>
        <v>|||</v>
      </c>
      <c r="H19776" s="835">
        <f t="shared" si="698"/>
        <v>31</v>
      </c>
      <c r="AF19776" s="831" t="s">
        <v>11975</v>
      </c>
      <c r="AG19776" s="831" t="s">
        <v>2674</v>
      </c>
      <c r="AH19776" s="831" t="s">
        <v>182</v>
      </c>
      <c r="AI19776" s="831">
        <v>0</v>
      </c>
      <c r="AJ19776" s="835">
        <v>42094</v>
      </c>
      <c r="AK19776" s="831">
        <v>85077948</v>
      </c>
    </row>
    <row r="19777" spans="2:37">
      <c r="B19777" s="834" t="str">
        <f t="shared" si="697"/>
        <v>|||</v>
      </c>
      <c r="H19777" s="835">
        <f t="shared" si="698"/>
        <v>31</v>
      </c>
      <c r="AF19777" s="831" t="s">
        <v>11976</v>
      </c>
      <c r="AG19777" s="831" t="s">
        <v>2674</v>
      </c>
      <c r="AH19777" s="831" t="s">
        <v>6600</v>
      </c>
      <c r="AI19777" s="831">
        <v>0</v>
      </c>
      <c r="AJ19777" s="835">
        <v>42094</v>
      </c>
      <c r="AK19777" s="831">
        <v>36560084</v>
      </c>
    </row>
    <row r="19778" spans="2:37">
      <c r="B19778" s="834" t="str">
        <f t="shared" si="697"/>
        <v>|||</v>
      </c>
      <c r="H19778" s="835">
        <f t="shared" si="698"/>
        <v>31</v>
      </c>
      <c r="AF19778" s="831" t="s">
        <v>11977</v>
      </c>
      <c r="AG19778" s="831" t="s">
        <v>2674</v>
      </c>
      <c r="AH19778" s="831" t="s">
        <v>6602</v>
      </c>
      <c r="AI19778" s="831">
        <v>0</v>
      </c>
      <c r="AJ19778" s="835">
        <v>42094</v>
      </c>
      <c r="AK19778" s="831">
        <v>2398849</v>
      </c>
    </row>
    <row r="19779" spans="2:37">
      <c r="B19779" s="834" t="str">
        <f t="shared" si="697"/>
        <v>|||</v>
      </c>
      <c r="H19779" s="835">
        <f t="shared" si="698"/>
        <v>31</v>
      </c>
      <c r="AF19779" s="831" t="s">
        <v>11978</v>
      </c>
      <c r="AG19779" s="831" t="s">
        <v>2674</v>
      </c>
      <c r="AH19779" s="831" t="s">
        <v>650</v>
      </c>
      <c r="AI19779" s="831">
        <v>0</v>
      </c>
      <c r="AJ19779" s="835">
        <v>42094</v>
      </c>
      <c r="AK19779" s="831">
        <v>315233998.53846157</v>
      </c>
    </row>
    <row r="19780" spans="2:37">
      <c r="B19780" s="834" t="str">
        <f t="shared" si="697"/>
        <v>|||</v>
      </c>
      <c r="H19780" s="835">
        <f t="shared" si="698"/>
        <v>31</v>
      </c>
      <c r="AF19780" s="831" t="s">
        <v>11979</v>
      </c>
      <c r="AG19780" s="831" t="s">
        <v>2674</v>
      </c>
      <c r="AH19780" s="831" t="s">
        <v>655</v>
      </c>
      <c r="AI19780" s="831">
        <v>0</v>
      </c>
      <c r="AJ19780" s="835">
        <v>42094</v>
      </c>
      <c r="AK19780" s="831">
        <v>7308574</v>
      </c>
    </row>
    <row r="19781" spans="2:37">
      <c r="B19781" s="834" t="str">
        <f t="shared" si="697"/>
        <v>|||</v>
      </c>
      <c r="H19781" s="835">
        <f t="shared" si="698"/>
        <v>31</v>
      </c>
      <c r="AF19781" s="831" t="s">
        <v>11980</v>
      </c>
      <c r="AG19781" s="831" t="s">
        <v>2674</v>
      </c>
      <c r="AH19781" s="831" t="s">
        <v>546</v>
      </c>
      <c r="AI19781" s="831">
        <v>0</v>
      </c>
      <c r="AJ19781" s="835">
        <v>42124</v>
      </c>
      <c r="AK19781" s="831">
        <v>887135523</v>
      </c>
    </row>
    <row r="19782" spans="2:37">
      <c r="B19782" s="834" t="str">
        <f t="shared" si="697"/>
        <v>|||</v>
      </c>
      <c r="H19782" s="835">
        <f t="shared" si="698"/>
        <v>31</v>
      </c>
      <c r="AF19782" s="831" t="s">
        <v>11981</v>
      </c>
      <c r="AG19782" s="831" t="s">
        <v>2674</v>
      </c>
      <c r="AH19782" s="831" t="s">
        <v>370</v>
      </c>
      <c r="AI19782" s="831">
        <v>0</v>
      </c>
      <c r="AJ19782" s="835">
        <v>42124</v>
      </c>
      <c r="AK19782" s="831">
        <v>1155982366</v>
      </c>
    </row>
    <row r="19783" spans="2:37">
      <c r="B19783" s="834" t="str">
        <f t="shared" si="697"/>
        <v>|||</v>
      </c>
      <c r="H19783" s="835">
        <f t="shared" si="698"/>
        <v>31</v>
      </c>
      <c r="AF19783" s="831" t="s">
        <v>11982</v>
      </c>
      <c r="AG19783" s="831" t="s">
        <v>2674</v>
      </c>
      <c r="AH19783" s="831" t="s">
        <v>126</v>
      </c>
      <c r="AI19783" s="831">
        <v>0</v>
      </c>
      <c r="AJ19783" s="835">
        <v>42124</v>
      </c>
      <c r="AK19783" s="831">
        <v>148898855</v>
      </c>
    </row>
    <row r="19784" spans="2:37">
      <c r="B19784" s="834" t="str">
        <f t="shared" si="697"/>
        <v>|||</v>
      </c>
      <c r="H19784" s="835">
        <f t="shared" si="698"/>
        <v>31</v>
      </c>
      <c r="AF19784" s="831" t="s">
        <v>11983</v>
      </c>
      <c r="AG19784" s="831" t="s">
        <v>2674</v>
      </c>
      <c r="AH19784" s="831" t="s">
        <v>268</v>
      </c>
      <c r="AI19784" s="831">
        <v>0</v>
      </c>
      <c r="AJ19784" s="835">
        <v>42124</v>
      </c>
      <c r="AK19784" s="831">
        <v>3490177</v>
      </c>
    </row>
    <row r="19785" spans="2:37">
      <c r="B19785" s="834" t="str">
        <f t="shared" si="697"/>
        <v>|||</v>
      </c>
      <c r="H19785" s="835">
        <f t="shared" si="698"/>
        <v>31</v>
      </c>
      <c r="AF19785" s="831" t="s">
        <v>11984</v>
      </c>
      <c r="AG19785" s="831" t="s">
        <v>2674</v>
      </c>
      <c r="AH19785" s="831" t="s">
        <v>547</v>
      </c>
      <c r="AI19785" s="831">
        <v>0</v>
      </c>
      <c r="AJ19785" s="835">
        <v>42124</v>
      </c>
      <c r="AK19785" s="831">
        <v>1044609243</v>
      </c>
    </row>
    <row r="19786" spans="2:37">
      <c r="B19786" s="834" t="str">
        <f t="shared" si="697"/>
        <v>|||</v>
      </c>
      <c r="H19786" s="835">
        <f t="shared" si="698"/>
        <v>31</v>
      </c>
      <c r="AF19786" s="831" t="s">
        <v>11985</v>
      </c>
      <c r="AG19786" s="831" t="s">
        <v>2674</v>
      </c>
      <c r="AH19786" s="831" t="s">
        <v>548</v>
      </c>
      <c r="AI19786" s="831">
        <v>0</v>
      </c>
      <c r="AJ19786" s="835">
        <v>42124</v>
      </c>
      <c r="AK19786" s="831">
        <v>148860224</v>
      </c>
    </row>
    <row r="19787" spans="2:37">
      <c r="B19787" s="834" t="str">
        <f t="shared" si="697"/>
        <v>|||</v>
      </c>
      <c r="H19787" s="835">
        <f t="shared" si="698"/>
        <v>31</v>
      </c>
      <c r="AF19787" s="831" t="s">
        <v>11986</v>
      </c>
      <c r="AG19787" s="831" t="s">
        <v>2674</v>
      </c>
      <c r="AH19787" s="831" t="s">
        <v>549</v>
      </c>
      <c r="AI19787" s="831">
        <v>0</v>
      </c>
      <c r="AJ19787" s="835">
        <v>42124</v>
      </c>
      <c r="AK19787" s="831">
        <v>695634421</v>
      </c>
    </row>
    <row r="19788" spans="2:37">
      <c r="B19788" s="834" t="str">
        <f t="shared" si="697"/>
        <v>|||</v>
      </c>
      <c r="H19788" s="835">
        <f t="shared" si="698"/>
        <v>31</v>
      </c>
      <c r="AF19788" s="831" t="s">
        <v>11987</v>
      </c>
      <c r="AG19788" s="831" t="s">
        <v>2674</v>
      </c>
      <c r="AH19788" s="831" t="s">
        <v>192</v>
      </c>
      <c r="AI19788" s="831">
        <v>0</v>
      </c>
      <c r="AJ19788" s="835">
        <v>42124</v>
      </c>
      <c r="AK19788" s="831">
        <v>-17978430</v>
      </c>
    </row>
    <row r="19789" spans="2:37">
      <c r="B19789" s="834" t="str">
        <f t="shared" si="697"/>
        <v>|||</v>
      </c>
      <c r="H19789" s="835">
        <f t="shared" si="698"/>
        <v>31</v>
      </c>
      <c r="AF19789" s="831" t="s">
        <v>11988</v>
      </c>
      <c r="AG19789" s="831" t="s">
        <v>2674</v>
      </c>
      <c r="AH19789" s="831" t="s">
        <v>558</v>
      </c>
      <c r="AI19789" s="831">
        <v>0</v>
      </c>
      <c r="AJ19789" s="835">
        <v>42124</v>
      </c>
      <c r="AK19789" s="831">
        <v>1007083670</v>
      </c>
    </row>
    <row r="19790" spans="2:37">
      <c r="B19790" s="834" t="str">
        <f t="shared" si="697"/>
        <v>|||</v>
      </c>
      <c r="H19790" s="835">
        <f t="shared" si="698"/>
        <v>31</v>
      </c>
      <c r="AF19790" s="831" t="s">
        <v>11989</v>
      </c>
      <c r="AG19790" s="831" t="s">
        <v>2674</v>
      </c>
      <c r="AH19790" s="831" t="s">
        <v>65</v>
      </c>
      <c r="AI19790" s="831">
        <v>0</v>
      </c>
      <c r="AJ19790" s="835">
        <v>42124</v>
      </c>
      <c r="AK19790" s="831">
        <v>64640929</v>
      </c>
    </row>
    <row r="19791" spans="2:37">
      <c r="B19791" s="834" t="str">
        <f t="shared" si="697"/>
        <v>|||</v>
      </c>
      <c r="H19791" s="835">
        <f t="shared" si="698"/>
        <v>31</v>
      </c>
      <c r="AF19791" s="831" t="s">
        <v>11990</v>
      </c>
      <c r="AG19791" s="831" t="s">
        <v>2674</v>
      </c>
      <c r="AH19791" s="831" t="s">
        <v>89</v>
      </c>
      <c r="AI19791" s="831">
        <v>0</v>
      </c>
      <c r="AJ19791" s="835">
        <v>42124</v>
      </c>
      <c r="AK19791" s="831">
        <v>147391</v>
      </c>
    </row>
    <row r="19792" spans="2:37">
      <c r="B19792" s="834" t="str">
        <f t="shared" si="697"/>
        <v>|||</v>
      </c>
      <c r="H19792" s="835">
        <f t="shared" si="698"/>
        <v>31</v>
      </c>
      <c r="AF19792" s="831" t="s">
        <v>11991</v>
      </c>
      <c r="AG19792" s="831" t="s">
        <v>2674</v>
      </c>
      <c r="AH19792" s="831" t="s">
        <v>557</v>
      </c>
      <c r="AI19792" s="831">
        <v>0</v>
      </c>
      <c r="AJ19792" s="835">
        <v>42124</v>
      </c>
      <c r="AK19792" s="831">
        <v>168436</v>
      </c>
    </row>
    <row r="19793" spans="2:37">
      <c r="B19793" s="834" t="str">
        <f t="shared" ref="B19793:B19856" si="699">C19793&amp;"|"&amp;D19793&amp;"|"&amp;E19793&amp;"|"&amp;F19793</f>
        <v>|||</v>
      </c>
      <c r="H19793" s="835">
        <f t="shared" ref="H19793:H19856" si="700">EOMONTH(L19793,0)</f>
        <v>31</v>
      </c>
      <c r="AF19793" s="831" t="s">
        <v>11992</v>
      </c>
      <c r="AG19793" s="831" t="s">
        <v>2674</v>
      </c>
      <c r="AH19793" s="831" t="s">
        <v>29</v>
      </c>
      <c r="AI19793" s="831">
        <v>0</v>
      </c>
      <c r="AJ19793" s="835">
        <v>42124</v>
      </c>
      <c r="AK19793" s="831">
        <v>18420222</v>
      </c>
    </row>
    <row r="19794" spans="2:37">
      <c r="B19794" s="834" t="str">
        <f t="shared" si="699"/>
        <v>|||</v>
      </c>
      <c r="H19794" s="835">
        <f t="shared" si="700"/>
        <v>31</v>
      </c>
      <c r="AF19794" s="831" t="s">
        <v>11993</v>
      </c>
      <c r="AG19794" s="831" t="s">
        <v>2674</v>
      </c>
      <c r="AH19794" s="831" t="s">
        <v>2688</v>
      </c>
      <c r="AI19794" s="831">
        <v>0</v>
      </c>
      <c r="AJ19794" s="835">
        <v>42124</v>
      </c>
      <c r="AK19794" s="831">
        <v>149665387</v>
      </c>
    </row>
    <row r="19795" spans="2:37">
      <c r="B19795" s="834" t="str">
        <f t="shared" si="699"/>
        <v>|||</v>
      </c>
      <c r="H19795" s="835">
        <f t="shared" si="700"/>
        <v>31</v>
      </c>
      <c r="AF19795" s="831" t="s">
        <v>11994</v>
      </c>
      <c r="AG19795" s="831" t="s">
        <v>2674</v>
      </c>
      <c r="AH19795" s="831" t="s">
        <v>556</v>
      </c>
      <c r="AI19795" s="831">
        <v>0</v>
      </c>
      <c r="AJ19795" s="835">
        <v>42124</v>
      </c>
      <c r="AK19795" s="831">
        <v>11412135</v>
      </c>
    </row>
    <row r="19796" spans="2:37">
      <c r="B19796" s="834" t="str">
        <f t="shared" si="699"/>
        <v>|||</v>
      </c>
      <c r="H19796" s="835">
        <f t="shared" si="700"/>
        <v>31</v>
      </c>
      <c r="AF19796" s="831" t="s">
        <v>11995</v>
      </c>
      <c r="AG19796" s="831" t="s">
        <v>2674</v>
      </c>
      <c r="AH19796" s="831" t="s">
        <v>555</v>
      </c>
      <c r="AI19796" s="831">
        <v>0</v>
      </c>
      <c r="AJ19796" s="835">
        <v>42124</v>
      </c>
      <c r="AK19796" s="831">
        <v>781614407</v>
      </c>
    </row>
    <row r="19797" spans="2:37">
      <c r="B19797" s="834" t="str">
        <f t="shared" si="699"/>
        <v>|||</v>
      </c>
      <c r="H19797" s="835">
        <f t="shared" si="700"/>
        <v>31</v>
      </c>
      <c r="AF19797" s="831" t="s">
        <v>11996</v>
      </c>
      <c r="AG19797" s="831" t="s">
        <v>2674</v>
      </c>
      <c r="AH19797" s="831" t="s">
        <v>554</v>
      </c>
      <c r="AI19797" s="831">
        <v>0</v>
      </c>
      <c r="AJ19797" s="835">
        <v>42124</v>
      </c>
      <c r="AK19797" s="831">
        <v>811049609</v>
      </c>
    </row>
    <row r="19798" spans="2:37">
      <c r="B19798" s="834" t="str">
        <f t="shared" si="699"/>
        <v>|||</v>
      </c>
      <c r="H19798" s="835">
        <f t="shared" si="700"/>
        <v>31</v>
      </c>
      <c r="AF19798" s="831" t="s">
        <v>11997</v>
      </c>
      <c r="AG19798" s="831" t="s">
        <v>2674</v>
      </c>
      <c r="AH19798" s="831" t="s">
        <v>553</v>
      </c>
      <c r="AI19798" s="831">
        <v>0</v>
      </c>
      <c r="AJ19798" s="835">
        <v>42124</v>
      </c>
      <c r="AK19798" s="831">
        <v>47191500</v>
      </c>
    </row>
    <row r="19799" spans="2:37">
      <c r="B19799" s="834" t="str">
        <f t="shared" si="699"/>
        <v>|||</v>
      </c>
      <c r="H19799" s="835">
        <f t="shared" si="700"/>
        <v>31</v>
      </c>
      <c r="AF19799" s="831" t="s">
        <v>11998</v>
      </c>
      <c r="AG19799" s="831" t="s">
        <v>2674</v>
      </c>
      <c r="AH19799" s="831" t="s">
        <v>552</v>
      </c>
      <c r="AI19799" s="831">
        <v>0</v>
      </c>
      <c r="AJ19799" s="835">
        <v>42124</v>
      </c>
      <c r="AK19799" s="831">
        <v>0</v>
      </c>
    </row>
    <row r="19800" spans="2:37">
      <c r="B19800" s="834" t="str">
        <f t="shared" si="699"/>
        <v>|||</v>
      </c>
      <c r="H19800" s="835">
        <f t="shared" si="700"/>
        <v>31</v>
      </c>
      <c r="AF19800" s="831" t="s">
        <v>11999</v>
      </c>
      <c r="AG19800" s="831" t="s">
        <v>2674</v>
      </c>
      <c r="AH19800" s="831" t="s">
        <v>551</v>
      </c>
      <c r="AI19800" s="831">
        <v>0</v>
      </c>
      <c r="AJ19800" s="835">
        <v>42124</v>
      </c>
      <c r="AK19800" s="831">
        <v>10773380</v>
      </c>
    </row>
    <row r="19801" spans="2:37">
      <c r="B19801" s="834" t="str">
        <f t="shared" si="699"/>
        <v>|||</v>
      </c>
      <c r="H19801" s="835">
        <f t="shared" si="700"/>
        <v>31</v>
      </c>
      <c r="AF19801" s="831" t="s">
        <v>12000</v>
      </c>
      <c r="AG19801" s="831" t="s">
        <v>2674</v>
      </c>
      <c r="AH19801" s="831" t="s">
        <v>550</v>
      </c>
      <c r="AI19801" s="831">
        <v>0</v>
      </c>
      <c r="AJ19801" s="835">
        <v>42124</v>
      </c>
      <c r="AK19801" s="831">
        <v>147807134</v>
      </c>
    </row>
    <row r="19802" spans="2:37">
      <c r="B19802" s="834" t="str">
        <f t="shared" si="699"/>
        <v>|||</v>
      </c>
      <c r="H19802" s="835">
        <f t="shared" si="700"/>
        <v>31</v>
      </c>
      <c r="AF19802" s="831" t="s">
        <v>12001</v>
      </c>
      <c r="AG19802" s="831" t="s">
        <v>2674</v>
      </c>
      <c r="AH19802" s="831" t="s">
        <v>562</v>
      </c>
      <c r="AI19802" s="831">
        <v>0</v>
      </c>
      <c r="AJ19802" s="835">
        <v>42124</v>
      </c>
      <c r="AK19802" s="831">
        <v>1.0471999999999999</v>
      </c>
    </row>
    <row r="19803" spans="2:37">
      <c r="B19803" s="834" t="str">
        <f t="shared" si="699"/>
        <v>|||</v>
      </c>
      <c r="H19803" s="835">
        <f t="shared" si="700"/>
        <v>31</v>
      </c>
      <c r="AF19803" s="831" t="s">
        <v>12002</v>
      </c>
      <c r="AG19803" s="831" t="s">
        <v>2674</v>
      </c>
      <c r="AH19803" s="831" t="s">
        <v>2698</v>
      </c>
      <c r="AI19803" s="831">
        <v>0</v>
      </c>
      <c r="AJ19803" s="835">
        <v>42124</v>
      </c>
      <c r="AK19803" s="831">
        <v>1.0495000000000001</v>
      </c>
    </row>
    <row r="19804" spans="2:37">
      <c r="B19804" s="834" t="str">
        <f t="shared" si="699"/>
        <v>|||</v>
      </c>
      <c r="H19804" s="835">
        <f t="shared" si="700"/>
        <v>31</v>
      </c>
      <c r="AF19804" s="831" t="s">
        <v>12003</v>
      </c>
      <c r="AG19804" s="831" t="s">
        <v>2674</v>
      </c>
      <c r="AH19804" s="831" t="s">
        <v>560</v>
      </c>
      <c r="AI19804" s="831">
        <v>0</v>
      </c>
      <c r="AJ19804" s="835">
        <v>42124</v>
      </c>
      <c r="AK19804" s="831">
        <v>0.98171249999999999</v>
      </c>
    </row>
    <row r="19805" spans="2:37">
      <c r="B19805" s="834" t="str">
        <f t="shared" si="699"/>
        <v>|||</v>
      </c>
      <c r="H19805" s="835">
        <f t="shared" si="700"/>
        <v>31</v>
      </c>
      <c r="AF19805" s="831" t="s">
        <v>12004</v>
      </c>
      <c r="AG19805" s="831" t="s">
        <v>2674</v>
      </c>
      <c r="AH19805" s="831" t="s">
        <v>559</v>
      </c>
      <c r="AI19805" s="831">
        <v>0</v>
      </c>
      <c r="AJ19805" s="835">
        <v>42124</v>
      </c>
      <c r="AK19805" s="831">
        <v>0.84962083333333327</v>
      </c>
    </row>
    <row r="19806" spans="2:37">
      <c r="B19806" s="834" t="str">
        <f t="shared" si="699"/>
        <v>|||</v>
      </c>
      <c r="H19806" s="835">
        <f t="shared" si="700"/>
        <v>31</v>
      </c>
      <c r="AF19806" s="831" t="s">
        <v>12005</v>
      </c>
      <c r="AG19806" s="831" t="s">
        <v>2674</v>
      </c>
      <c r="AH19806" s="831" t="s">
        <v>568</v>
      </c>
      <c r="AI19806" s="831">
        <v>0</v>
      </c>
      <c r="AJ19806" s="835">
        <v>42124</v>
      </c>
      <c r="AK19806" s="831">
        <v>802858062.76923072</v>
      </c>
    </row>
    <row r="19807" spans="2:37">
      <c r="B19807" s="834" t="str">
        <f t="shared" si="699"/>
        <v>|||</v>
      </c>
      <c r="H19807" s="835">
        <f t="shared" si="700"/>
        <v>31</v>
      </c>
      <c r="AF19807" s="831" t="s">
        <v>12006</v>
      </c>
      <c r="AG19807" s="831" t="s">
        <v>2674</v>
      </c>
      <c r="AH19807" s="831" t="s">
        <v>569</v>
      </c>
      <c r="AI19807" s="831">
        <v>0</v>
      </c>
      <c r="AJ19807" s="835">
        <v>42124</v>
      </c>
      <c r="AK19807" s="831">
        <v>1009137751.8461539</v>
      </c>
    </row>
    <row r="19808" spans="2:37">
      <c r="B19808" s="834" t="str">
        <f t="shared" si="699"/>
        <v>|||</v>
      </c>
      <c r="H19808" s="835">
        <f t="shared" si="700"/>
        <v>31</v>
      </c>
      <c r="AF19808" s="831" t="s">
        <v>12007</v>
      </c>
      <c r="AG19808" s="831" t="s">
        <v>2674</v>
      </c>
      <c r="AH19808" s="831" t="s">
        <v>570</v>
      </c>
      <c r="AI19808" s="831">
        <v>0</v>
      </c>
      <c r="AJ19808" s="835">
        <v>42124</v>
      </c>
      <c r="AK19808" s="831">
        <v>142830548.07923076</v>
      </c>
    </row>
    <row r="19809" spans="2:37">
      <c r="B19809" s="834" t="str">
        <f t="shared" si="699"/>
        <v>|||</v>
      </c>
      <c r="H19809" s="835">
        <f t="shared" si="700"/>
        <v>31</v>
      </c>
      <c r="AF19809" s="831" t="s">
        <v>12008</v>
      </c>
      <c r="AG19809" s="831" t="s">
        <v>2674</v>
      </c>
      <c r="AH19809" s="831" t="s">
        <v>571</v>
      </c>
      <c r="AI19809" s="831">
        <v>0</v>
      </c>
      <c r="AJ19809" s="835">
        <v>42124</v>
      </c>
      <c r="AK19809" s="831">
        <v>521003105.80130768</v>
      </c>
    </row>
    <row r="19810" spans="2:37">
      <c r="B19810" s="834" t="str">
        <f t="shared" si="699"/>
        <v>|||</v>
      </c>
      <c r="H19810" s="835">
        <f t="shared" si="700"/>
        <v>31</v>
      </c>
      <c r="AF19810" s="831" t="s">
        <v>12009</v>
      </c>
      <c r="AG19810" s="831" t="s">
        <v>2674</v>
      </c>
      <c r="AH19810" s="831" t="s">
        <v>573</v>
      </c>
      <c r="AI19810" s="831">
        <v>0</v>
      </c>
      <c r="AJ19810" s="835">
        <v>42124</v>
      </c>
      <c r="AK19810" s="831">
        <v>1131573563</v>
      </c>
    </row>
    <row r="19811" spans="2:37">
      <c r="B19811" s="834" t="str">
        <f t="shared" si="699"/>
        <v>|||</v>
      </c>
      <c r="H19811" s="835">
        <f t="shared" si="700"/>
        <v>31</v>
      </c>
      <c r="AF19811" s="831" t="s">
        <v>12010</v>
      </c>
      <c r="AG19811" s="831" t="s">
        <v>2674</v>
      </c>
      <c r="AH19811" s="831" t="s">
        <v>574</v>
      </c>
      <c r="AI19811" s="831">
        <v>0</v>
      </c>
      <c r="AJ19811" s="835">
        <v>42124</v>
      </c>
      <c r="AK19811" s="831">
        <v>887385272.20000005</v>
      </c>
    </row>
    <row r="19812" spans="2:37">
      <c r="B19812" s="834" t="str">
        <f t="shared" si="699"/>
        <v>|||</v>
      </c>
      <c r="H19812" s="835">
        <f t="shared" si="700"/>
        <v>31</v>
      </c>
      <c r="AF19812" s="831" t="s">
        <v>12011</v>
      </c>
      <c r="AG19812" s="831" t="s">
        <v>2674</v>
      </c>
      <c r="AH19812" s="831" t="s">
        <v>575</v>
      </c>
      <c r="AI19812" s="831">
        <v>0</v>
      </c>
      <c r="AJ19812" s="835">
        <v>42124</v>
      </c>
      <c r="AK19812" s="831">
        <v>146895148.59999999</v>
      </c>
    </row>
    <row r="19813" spans="2:37">
      <c r="B19813" s="834" t="str">
        <f t="shared" si="699"/>
        <v>|||</v>
      </c>
      <c r="H19813" s="835">
        <f t="shared" si="700"/>
        <v>31</v>
      </c>
      <c r="AF19813" s="831" t="s">
        <v>12012</v>
      </c>
      <c r="AG19813" s="831" t="s">
        <v>2674</v>
      </c>
      <c r="AH19813" s="831" t="s">
        <v>576</v>
      </c>
      <c r="AI19813" s="831">
        <v>0</v>
      </c>
      <c r="AJ19813" s="835">
        <v>42124</v>
      </c>
      <c r="AK19813" s="831">
        <v>615700522.39999998</v>
      </c>
    </row>
    <row r="19814" spans="2:37">
      <c r="B19814" s="834" t="str">
        <f t="shared" si="699"/>
        <v>|||</v>
      </c>
      <c r="H19814" s="835">
        <f t="shared" si="700"/>
        <v>31</v>
      </c>
      <c r="AF19814" s="831" t="s">
        <v>12013</v>
      </c>
      <c r="AG19814" s="831" t="s">
        <v>2674</v>
      </c>
      <c r="AH19814" s="831" t="s">
        <v>572</v>
      </c>
      <c r="AI19814" s="831">
        <v>0</v>
      </c>
      <c r="AJ19814" s="835">
        <v>42124</v>
      </c>
      <c r="AK19814" s="831">
        <v>34629345</v>
      </c>
    </row>
    <row r="19815" spans="2:37">
      <c r="B19815" s="834" t="str">
        <f t="shared" si="699"/>
        <v>|||</v>
      </c>
      <c r="H19815" s="835">
        <f t="shared" si="700"/>
        <v>31</v>
      </c>
      <c r="AF19815" s="831" t="s">
        <v>12014</v>
      </c>
      <c r="AG19815" s="831" t="s">
        <v>2674</v>
      </c>
      <c r="AH19815" s="831" t="s">
        <v>577</v>
      </c>
      <c r="AI19815" s="831">
        <v>0</v>
      </c>
      <c r="AJ19815" s="835">
        <v>42124</v>
      </c>
      <c r="AK19815" s="831">
        <v>182065430</v>
      </c>
    </row>
    <row r="19816" spans="2:37">
      <c r="B19816" s="834" t="str">
        <f t="shared" si="699"/>
        <v>|||</v>
      </c>
      <c r="H19816" s="835">
        <f t="shared" si="700"/>
        <v>31</v>
      </c>
      <c r="AF19816" s="831" t="s">
        <v>12015</v>
      </c>
      <c r="AG19816" s="831" t="s">
        <v>2674</v>
      </c>
      <c r="AH19816" s="831" t="s">
        <v>3042</v>
      </c>
      <c r="AI19816" s="831">
        <v>0</v>
      </c>
      <c r="AJ19816" s="835">
        <v>42124</v>
      </c>
      <c r="AK19816" s="831">
        <v>-55986090</v>
      </c>
    </row>
    <row r="19817" spans="2:37">
      <c r="B19817" s="834" t="str">
        <f t="shared" si="699"/>
        <v>|||</v>
      </c>
      <c r="H19817" s="835">
        <f t="shared" si="700"/>
        <v>31</v>
      </c>
      <c r="AF19817" s="831" t="s">
        <v>12016</v>
      </c>
      <c r="AG19817" s="831" t="s">
        <v>2674</v>
      </c>
      <c r="AH19817" s="831" t="s">
        <v>3044</v>
      </c>
      <c r="AI19817" s="831">
        <v>0</v>
      </c>
      <c r="AJ19817" s="835">
        <v>42124</v>
      </c>
      <c r="AK19817" s="831">
        <v>-4711846</v>
      </c>
    </row>
    <row r="19818" spans="2:37">
      <c r="B19818" s="834" t="str">
        <f t="shared" si="699"/>
        <v>|||</v>
      </c>
      <c r="H19818" s="835">
        <f t="shared" si="700"/>
        <v>31</v>
      </c>
      <c r="AF19818" s="831" t="s">
        <v>12017</v>
      </c>
      <c r="AG19818" s="831" t="s">
        <v>2674</v>
      </c>
      <c r="AH19818" s="831" t="s">
        <v>580</v>
      </c>
      <c r="AI19818" s="831">
        <v>0</v>
      </c>
      <c r="AJ19818" s="835">
        <v>42124</v>
      </c>
      <c r="AK19818" s="831">
        <v>-84657241</v>
      </c>
    </row>
    <row r="19819" spans="2:37">
      <c r="B19819" s="834" t="str">
        <f t="shared" si="699"/>
        <v>|||</v>
      </c>
      <c r="H19819" s="835">
        <f t="shared" si="700"/>
        <v>31</v>
      </c>
      <c r="AF19819" s="831" t="s">
        <v>12018</v>
      </c>
      <c r="AG19819" s="831" t="s">
        <v>2674</v>
      </c>
      <c r="AH19819" s="831" t="s">
        <v>581</v>
      </c>
      <c r="AI19819" s="831">
        <v>0</v>
      </c>
      <c r="AJ19819" s="835">
        <v>42124</v>
      </c>
      <c r="AK19819" s="831">
        <v>11310907</v>
      </c>
    </row>
    <row r="19820" spans="2:37">
      <c r="B19820" s="834" t="str">
        <f t="shared" si="699"/>
        <v>|||</v>
      </c>
      <c r="H19820" s="835">
        <f t="shared" si="700"/>
        <v>31</v>
      </c>
      <c r="AF19820" s="831" t="s">
        <v>12019</v>
      </c>
      <c r="AG19820" s="831" t="s">
        <v>2674</v>
      </c>
      <c r="AH19820" s="831" t="s">
        <v>105</v>
      </c>
      <c r="AI19820" s="831">
        <v>0</v>
      </c>
      <c r="AJ19820" s="835">
        <v>42124</v>
      </c>
      <c r="AK19820" s="831">
        <v>651641572</v>
      </c>
    </row>
    <row r="19821" spans="2:37">
      <c r="B19821" s="834" t="str">
        <f t="shared" si="699"/>
        <v>|||</v>
      </c>
      <c r="H19821" s="835">
        <f t="shared" si="700"/>
        <v>31</v>
      </c>
      <c r="AF19821" s="831" t="s">
        <v>12020</v>
      </c>
      <c r="AG19821" s="831" t="s">
        <v>2674</v>
      </c>
      <c r="AH19821" s="831" t="s">
        <v>3049</v>
      </c>
      <c r="AI19821" s="831">
        <v>0</v>
      </c>
      <c r="AJ19821" s="835">
        <v>42124</v>
      </c>
      <c r="AK19821" s="831">
        <v>980090700</v>
      </c>
    </row>
    <row r="19822" spans="2:37">
      <c r="B19822" s="834" t="str">
        <f t="shared" si="699"/>
        <v>|||</v>
      </c>
      <c r="H19822" s="835">
        <f t="shared" si="700"/>
        <v>31</v>
      </c>
      <c r="AF19822" s="831" t="s">
        <v>12021</v>
      </c>
      <c r="AG19822" s="831" t="s">
        <v>2674</v>
      </c>
      <c r="AH19822" s="831" t="s">
        <v>103</v>
      </c>
      <c r="AI19822" s="831">
        <v>0</v>
      </c>
      <c r="AJ19822" s="835">
        <v>42124</v>
      </c>
      <c r="AK19822" s="831">
        <v>328449128</v>
      </c>
    </row>
    <row r="19823" spans="2:37">
      <c r="B19823" s="834" t="str">
        <f t="shared" si="699"/>
        <v>|||</v>
      </c>
      <c r="H19823" s="835">
        <f t="shared" si="700"/>
        <v>31</v>
      </c>
      <c r="AF19823" s="831" t="s">
        <v>12022</v>
      </c>
      <c r="AG19823" s="831" t="s">
        <v>2674</v>
      </c>
      <c r="AH19823" s="831" t="s">
        <v>182</v>
      </c>
      <c r="AI19823" s="831">
        <v>0</v>
      </c>
      <c r="AJ19823" s="835">
        <v>42124</v>
      </c>
      <c r="AK19823" s="831">
        <v>88699464</v>
      </c>
    </row>
    <row r="19824" spans="2:37">
      <c r="B19824" s="834" t="str">
        <f t="shared" si="699"/>
        <v>|||</v>
      </c>
      <c r="H19824" s="835">
        <f t="shared" si="700"/>
        <v>31</v>
      </c>
      <c r="AF19824" s="831" t="s">
        <v>12023</v>
      </c>
      <c r="AG19824" s="831" t="s">
        <v>2674</v>
      </c>
      <c r="AH19824" s="831" t="s">
        <v>6600</v>
      </c>
      <c r="AI19824" s="831">
        <v>0</v>
      </c>
      <c r="AJ19824" s="835">
        <v>42124</v>
      </c>
      <c r="AK19824" s="831">
        <v>34629345</v>
      </c>
    </row>
    <row r="19825" spans="2:37">
      <c r="B19825" s="834" t="str">
        <f t="shared" si="699"/>
        <v>|||</v>
      </c>
      <c r="H19825" s="835">
        <f t="shared" si="700"/>
        <v>31</v>
      </c>
      <c r="AF19825" s="831" t="s">
        <v>12024</v>
      </c>
      <c r="AG19825" s="831" t="s">
        <v>2674</v>
      </c>
      <c r="AH19825" s="831" t="s">
        <v>6602</v>
      </c>
      <c r="AI19825" s="831">
        <v>0</v>
      </c>
      <c r="AJ19825" s="835">
        <v>42124</v>
      </c>
      <c r="AK19825" s="831">
        <v>3490177</v>
      </c>
    </row>
    <row r="19826" spans="2:37">
      <c r="B19826" s="834" t="str">
        <f t="shared" si="699"/>
        <v>|||</v>
      </c>
      <c r="H19826" s="835">
        <f t="shared" si="700"/>
        <v>31</v>
      </c>
      <c r="AF19826" s="831" t="s">
        <v>12025</v>
      </c>
      <c r="AG19826" s="831" t="s">
        <v>2674</v>
      </c>
      <c r="AH19826" s="831" t="s">
        <v>650</v>
      </c>
      <c r="AI19826" s="831">
        <v>0</v>
      </c>
      <c r="AJ19826" s="835">
        <v>42124</v>
      </c>
      <c r="AK19826" s="831">
        <v>319013929.69230771</v>
      </c>
    </row>
    <row r="19827" spans="2:37">
      <c r="B19827" s="834" t="str">
        <f t="shared" si="699"/>
        <v>|||</v>
      </c>
      <c r="H19827" s="835">
        <f t="shared" si="700"/>
        <v>31</v>
      </c>
      <c r="AF19827" s="831" t="s">
        <v>12026</v>
      </c>
      <c r="AG19827" s="831" t="s">
        <v>2674</v>
      </c>
      <c r="AH19827" s="831" t="s">
        <v>655</v>
      </c>
      <c r="AI19827" s="831">
        <v>0</v>
      </c>
      <c r="AJ19827" s="835">
        <v>42124</v>
      </c>
      <c r="AK19827" s="831">
        <v>8145535</v>
      </c>
    </row>
    <row r="19828" spans="2:37">
      <c r="B19828" s="834" t="str">
        <f t="shared" si="699"/>
        <v>|||</v>
      </c>
      <c r="H19828" s="835">
        <f t="shared" si="700"/>
        <v>31</v>
      </c>
      <c r="AF19828" s="831" t="s">
        <v>10335</v>
      </c>
      <c r="AG19828" s="831" t="s">
        <v>2674</v>
      </c>
      <c r="AH19828" s="831" t="s">
        <v>546</v>
      </c>
      <c r="AI19828" s="831">
        <v>0</v>
      </c>
      <c r="AJ19828" s="835">
        <v>41060</v>
      </c>
      <c r="AK19828" s="831">
        <v>339221349</v>
      </c>
    </row>
    <row r="19829" spans="2:37">
      <c r="B19829" s="834" t="str">
        <f t="shared" si="699"/>
        <v>|||</v>
      </c>
      <c r="H19829" s="835">
        <f t="shared" si="700"/>
        <v>31</v>
      </c>
      <c r="AF19829" s="831" t="s">
        <v>10336</v>
      </c>
      <c r="AG19829" s="831" t="s">
        <v>2674</v>
      </c>
      <c r="AH19829" s="831" t="s">
        <v>370</v>
      </c>
      <c r="AI19829" s="831">
        <v>0</v>
      </c>
      <c r="AJ19829" s="835">
        <v>41060</v>
      </c>
      <c r="AK19829" s="831">
        <v>412671638</v>
      </c>
    </row>
    <row r="19830" spans="2:37">
      <c r="B19830" s="834" t="str">
        <f t="shared" si="699"/>
        <v>|||</v>
      </c>
      <c r="H19830" s="835">
        <f t="shared" si="700"/>
        <v>31</v>
      </c>
      <c r="AF19830" s="831" t="s">
        <v>10337</v>
      </c>
      <c r="AG19830" s="831" t="s">
        <v>2674</v>
      </c>
      <c r="AH19830" s="831" t="s">
        <v>126</v>
      </c>
      <c r="AI19830" s="831">
        <v>0</v>
      </c>
      <c r="AJ19830" s="835">
        <v>41060</v>
      </c>
      <c r="AK19830" s="831">
        <v>90520261</v>
      </c>
    </row>
    <row r="19831" spans="2:37">
      <c r="B19831" s="834" t="str">
        <f t="shared" si="699"/>
        <v>|||</v>
      </c>
      <c r="H19831" s="835">
        <f t="shared" si="700"/>
        <v>31</v>
      </c>
      <c r="AF19831" s="831" t="s">
        <v>10338</v>
      </c>
      <c r="AG19831" s="831" t="s">
        <v>2674</v>
      </c>
      <c r="AH19831" s="831" t="s">
        <v>268</v>
      </c>
      <c r="AI19831" s="831">
        <v>0</v>
      </c>
      <c r="AJ19831" s="835">
        <v>41060</v>
      </c>
      <c r="AK19831" s="831">
        <v>5197337</v>
      </c>
    </row>
    <row r="19832" spans="2:37">
      <c r="B19832" s="834" t="str">
        <f t="shared" si="699"/>
        <v>|||</v>
      </c>
      <c r="H19832" s="835">
        <f t="shared" si="700"/>
        <v>31</v>
      </c>
      <c r="AF19832" s="831" t="s">
        <v>10339</v>
      </c>
      <c r="AG19832" s="831" t="s">
        <v>2674</v>
      </c>
      <c r="AH19832" s="831" t="s">
        <v>547</v>
      </c>
      <c r="AI19832" s="831">
        <v>0</v>
      </c>
      <c r="AJ19832" s="835">
        <v>41060</v>
      </c>
      <c r="AK19832" s="831">
        <v>0</v>
      </c>
    </row>
    <row r="19833" spans="2:37">
      <c r="B19833" s="834" t="str">
        <f t="shared" si="699"/>
        <v>|||</v>
      </c>
      <c r="H19833" s="835">
        <f t="shared" si="700"/>
        <v>31</v>
      </c>
      <c r="AF19833" s="831" t="s">
        <v>10340</v>
      </c>
      <c r="AG19833" s="831" t="s">
        <v>2674</v>
      </c>
      <c r="AH19833" s="831" t="s">
        <v>548</v>
      </c>
      <c r="AI19833" s="831">
        <v>0</v>
      </c>
      <c r="AJ19833" s="835">
        <v>41060</v>
      </c>
      <c r="AK19833" s="831">
        <v>0</v>
      </c>
    </row>
    <row r="19834" spans="2:37">
      <c r="B19834" s="834" t="str">
        <f t="shared" si="699"/>
        <v>|||</v>
      </c>
      <c r="H19834" s="835">
        <f t="shared" si="700"/>
        <v>31</v>
      </c>
      <c r="AF19834" s="831" t="s">
        <v>10341</v>
      </c>
      <c r="AG19834" s="831" t="s">
        <v>2674</v>
      </c>
      <c r="AH19834" s="831" t="s">
        <v>549</v>
      </c>
      <c r="AI19834" s="831">
        <v>0</v>
      </c>
      <c r="AJ19834" s="835">
        <v>41060</v>
      </c>
      <c r="AK19834" s="831">
        <v>0</v>
      </c>
    </row>
    <row r="19835" spans="2:37">
      <c r="B19835" s="834" t="str">
        <f t="shared" si="699"/>
        <v>|||</v>
      </c>
      <c r="H19835" s="835">
        <f t="shared" si="700"/>
        <v>31</v>
      </c>
      <c r="AF19835" s="831" t="s">
        <v>10342</v>
      </c>
      <c r="AG19835" s="831" t="s">
        <v>2674</v>
      </c>
      <c r="AH19835" s="831" t="s">
        <v>192</v>
      </c>
      <c r="AI19835" s="831">
        <v>0</v>
      </c>
      <c r="AJ19835" s="835">
        <v>41060</v>
      </c>
      <c r="AK19835" s="831">
        <v>-9254050</v>
      </c>
    </row>
    <row r="19836" spans="2:37">
      <c r="B19836" s="834" t="str">
        <f t="shared" si="699"/>
        <v>|||</v>
      </c>
      <c r="H19836" s="835">
        <f t="shared" si="700"/>
        <v>31</v>
      </c>
      <c r="AF19836" s="831" t="s">
        <v>10343</v>
      </c>
      <c r="AG19836" s="831" t="s">
        <v>2674</v>
      </c>
      <c r="AH19836" s="831" t="s">
        <v>558</v>
      </c>
      <c r="AI19836" s="831">
        <v>0</v>
      </c>
      <c r="AJ19836" s="835">
        <v>41060</v>
      </c>
      <c r="AK19836" s="831">
        <v>322151377</v>
      </c>
    </row>
    <row r="19837" spans="2:37">
      <c r="B19837" s="834" t="str">
        <f t="shared" si="699"/>
        <v>|||</v>
      </c>
      <c r="H19837" s="835">
        <f t="shared" si="700"/>
        <v>31</v>
      </c>
      <c r="AF19837" s="831" t="s">
        <v>10344</v>
      </c>
      <c r="AG19837" s="831" t="s">
        <v>2674</v>
      </c>
      <c r="AH19837" s="831" t="s">
        <v>65</v>
      </c>
      <c r="AI19837" s="831">
        <v>0</v>
      </c>
      <c r="AJ19837" s="835">
        <v>41060</v>
      </c>
      <c r="AK19837" s="831">
        <v>38110599</v>
      </c>
    </row>
    <row r="19838" spans="2:37">
      <c r="B19838" s="834" t="str">
        <f t="shared" si="699"/>
        <v>|||</v>
      </c>
      <c r="H19838" s="835">
        <f t="shared" si="700"/>
        <v>31</v>
      </c>
      <c r="AF19838" s="831" t="s">
        <v>10345</v>
      </c>
      <c r="AG19838" s="831" t="s">
        <v>2674</v>
      </c>
      <c r="AH19838" s="831" t="s">
        <v>89</v>
      </c>
      <c r="AI19838" s="831">
        <v>0</v>
      </c>
      <c r="AJ19838" s="835">
        <v>41060</v>
      </c>
      <c r="AK19838" s="831">
        <v>122430</v>
      </c>
    </row>
    <row r="19839" spans="2:37">
      <c r="B19839" s="834" t="str">
        <f t="shared" si="699"/>
        <v>|||</v>
      </c>
      <c r="H19839" s="835">
        <f t="shared" si="700"/>
        <v>31</v>
      </c>
      <c r="AF19839" s="831" t="s">
        <v>10346</v>
      </c>
      <c r="AG19839" s="831" t="s">
        <v>2674</v>
      </c>
      <c r="AH19839" s="831" t="s">
        <v>557</v>
      </c>
      <c r="AI19839" s="831">
        <v>0</v>
      </c>
      <c r="AJ19839" s="835">
        <v>41060</v>
      </c>
      <c r="AK19839" s="831">
        <v>124207</v>
      </c>
    </row>
    <row r="19840" spans="2:37">
      <c r="B19840" s="834" t="str">
        <f t="shared" si="699"/>
        <v>|||</v>
      </c>
      <c r="H19840" s="835">
        <f t="shared" si="700"/>
        <v>31</v>
      </c>
      <c r="AF19840" s="831" t="s">
        <v>10347</v>
      </c>
      <c r="AG19840" s="831" t="s">
        <v>2674</v>
      </c>
      <c r="AH19840" s="831" t="s">
        <v>29</v>
      </c>
      <c r="AI19840" s="831">
        <v>0</v>
      </c>
      <c r="AJ19840" s="835">
        <v>41060</v>
      </c>
      <c r="AK19840" s="831">
        <v>2528808</v>
      </c>
    </row>
    <row r="19841" spans="2:37">
      <c r="B19841" s="834" t="str">
        <f t="shared" si="699"/>
        <v>|||</v>
      </c>
      <c r="H19841" s="835">
        <f t="shared" si="700"/>
        <v>31</v>
      </c>
      <c r="AF19841" s="831" t="s">
        <v>10348</v>
      </c>
      <c r="AG19841" s="831" t="s">
        <v>2674</v>
      </c>
      <c r="AH19841" s="831" t="s">
        <v>2688</v>
      </c>
      <c r="AI19841" s="831">
        <v>0</v>
      </c>
      <c r="AJ19841" s="835">
        <v>41060</v>
      </c>
      <c r="AK19841" s="831">
        <v>3036435</v>
      </c>
    </row>
    <row r="19842" spans="2:37">
      <c r="B19842" s="834" t="str">
        <f t="shared" si="699"/>
        <v>|||</v>
      </c>
      <c r="H19842" s="835">
        <f t="shared" si="700"/>
        <v>31</v>
      </c>
      <c r="AF19842" s="831" t="s">
        <v>10349</v>
      </c>
      <c r="AG19842" s="831" t="s">
        <v>2674</v>
      </c>
      <c r="AH19842" s="831" t="s">
        <v>556</v>
      </c>
      <c r="AI19842" s="831">
        <v>0</v>
      </c>
      <c r="AJ19842" s="835">
        <v>41060</v>
      </c>
      <c r="AK19842" s="831">
        <v>0</v>
      </c>
    </row>
    <row r="19843" spans="2:37">
      <c r="B19843" s="834" t="str">
        <f t="shared" si="699"/>
        <v>|||</v>
      </c>
      <c r="H19843" s="835">
        <f t="shared" si="700"/>
        <v>31</v>
      </c>
      <c r="AF19843" s="831" t="s">
        <v>10350</v>
      </c>
      <c r="AG19843" s="831" t="s">
        <v>2674</v>
      </c>
      <c r="AH19843" s="831" t="s">
        <v>555</v>
      </c>
      <c r="AI19843" s="831">
        <v>0</v>
      </c>
      <c r="AJ19843" s="835">
        <v>41060</v>
      </c>
      <c r="AK19843" s="831">
        <v>196148980</v>
      </c>
    </row>
    <row r="19844" spans="2:37">
      <c r="B19844" s="834" t="str">
        <f t="shared" si="699"/>
        <v>|||</v>
      </c>
      <c r="H19844" s="835">
        <f t="shared" si="700"/>
        <v>31</v>
      </c>
      <c r="AF19844" s="831" t="s">
        <v>10351</v>
      </c>
      <c r="AG19844" s="831" t="s">
        <v>2674</v>
      </c>
      <c r="AH19844" s="831" t="s">
        <v>554</v>
      </c>
      <c r="AI19844" s="831">
        <v>0</v>
      </c>
      <c r="AJ19844" s="835">
        <v>41060</v>
      </c>
      <c r="AK19844" s="831">
        <v>194772980</v>
      </c>
    </row>
    <row r="19845" spans="2:37">
      <c r="B19845" s="834" t="str">
        <f t="shared" si="699"/>
        <v>|||</v>
      </c>
      <c r="H19845" s="835">
        <f t="shared" si="700"/>
        <v>31</v>
      </c>
      <c r="AF19845" s="831" t="s">
        <v>10352</v>
      </c>
      <c r="AG19845" s="831" t="s">
        <v>2674</v>
      </c>
      <c r="AH19845" s="831" t="s">
        <v>553</v>
      </c>
      <c r="AI19845" s="831">
        <v>0</v>
      </c>
      <c r="AJ19845" s="835">
        <v>41060</v>
      </c>
      <c r="AK19845" s="831">
        <v>0</v>
      </c>
    </row>
    <row r="19846" spans="2:37">
      <c r="B19846" s="834" t="str">
        <f t="shared" si="699"/>
        <v>|||</v>
      </c>
      <c r="H19846" s="835">
        <f t="shared" si="700"/>
        <v>31</v>
      </c>
      <c r="AF19846" s="831" t="s">
        <v>10353</v>
      </c>
      <c r="AG19846" s="831" t="s">
        <v>2674</v>
      </c>
      <c r="AH19846" s="831" t="s">
        <v>552</v>
      </c>
      <c r="AI19846" s="831">
        <v>0</v>
      </c>
      <c r="AJ19846" s="835">
        <v>41060</v>
      </c>
      <c r="AK19846" s="831">
        <v>0</v>
      </c>
    </row>
    <row r="19847" spans="2:37">
      <c r="B19847" s="834" t="str">
        <f t="shared" si="699"/>
        <v>|||</v>
      </c>
      <c r="H19847" s="835">
        <f t="shared" si="700"/>
        <v>31</v>
      </c>
      <c r="AF19847" s="831" t="s">
        <v>10354</v>
      </c>
      <c r="AG19847" s="831" t="s">
        <v>2674</v>
      </c>
      <c r="AH19847" s="831" t="s">
        <v>551</v>
      </c>
      <c r="AI19847" s="831">
        <v>0</v>
      </c>
      <c r="AJ19847" s="835">
        <v>41060</v>
      </c>
      <c r="AK19847" s="831">
        <v>2340522</v>
      </c>
    </row>
    <row r="19848" spans="2:37">
      <c r="B19848" s="834" t="str">
        <f t="shared" si="699"/>
        <v>|||</v>
      </c>
      <c r="H19848" s="835">
        <f t="shared" si="700"/>
        <v>31</v>
      </c>
      <c r="AF19848" s="831" t="s">
        <v>10355</v>
      </c>
      <c r="AG19848" s="831" t="s">
        <v>2674</v>
      </c>
      <c r="AH19848" s="831" t="s">
        <v>550</v>
      </c>
      <c r="AI19848" s="831">
        <v>0</v>
      </c>
      <c r="AJ19848" s="835">
        <v>41060</v>
      </c>
      <c r="AK19848" s="831">
        <v>0</v>
      </c>
    </row>
    <row r="19849" spans="2:37">
      <c r="B19849" s="834" t="str">
        <f t="shared" si="699"/>
        <v>|||</v>
      </c>
      <c r="H19849" s="835">
        <f t="shared" si="700"/>
        <v>31</v>
      </c>
      <c r="AF19849" s="831" t="s">
        <v>10356</v>
      </c>
      <c r="AG19849" s="831" t="s">
        <v>2674</v>
      </c>
      <c r="AH19849" s="831" t="s">
        <v>562</v>
      </c>
      <c r="AI19849" s="831">
        <v>0</v>
      </c>
      <c r="AJ19849" s="835">
        <v>41060</v>
      </c>
      <c r="AK19849" s="831">
        <v>0.78515000000000001</v>
      </c>
    </row>
    <row r="19850" spans="2:37">
      <c r="B19850" s="834" t="str">
        <f t="shared" si="699"/>
        <v>|||</v>
      </c>
      <c r="H19850" s="835">
        <f t="shared" si="700"/>
        <v>31</v>
      </c>
      <c r="AF19850" s="831" t="s">
        <v>10357</v>
      </c>
      <c r="AG19850" s="831" t="s">
        <v>2674</v>
      </c>
      <c r="AH19850" s="831" t="s">
        <v>2698</v>
      </c>
      <c r="AI19850" s="831">
        <v>0</v>
      </c>
      <c r="AJ19850" s="835">
        <v>41060</v>
      </c>
      <c r="AK19850" s="831">
        <v>0.78585000000000005</v>
      </c>
    </row>
    <row r="19851" spans="2:37">
      <c r="B19851" s="834" t="str">
        <f t="shared" si="699"/>
        <v>|||</v>
      </c>
      <c r="H19851" s="835">
        <f t="shared" si="700"/>
        <v>31</v>
      </c>
      <c r="AF19851" s="831" t="s">
        <v>10358</v>
      </c>
      <c r="AG19851" s="831" t="s">
        <v>2674</v>
      </c>
      <c r="AH19851" s="831" t="s">
        <v>560</v>
      </c>
      <c r="AI19851" s="831">
        <v>0</v>
      </c>
      <c r="AJ19851" s="835">
        <v>41060</v>
      </c>
      <c r="AK19851" s="831">
        <v>0.78580000000000005</v>
      </c>
    </row>
    <row r="19852" spans="2:37">
      <c r="B19852" s="834" t="str">
        <f t="shared" si="699"/>
        <v>|||</v>
      </c>
      <c r="H19852" s="835">
        <f t="shared" si="700"/>
        <v>31</v>
      </c>
      <c r="AF19852" s="831" t="s">
        <v>10359</v>
      </c>
      <c r="AG19852" s="831" t="s">
        <v>2674</v>
      </c>
      <c r="AH19852" s="831" t="s">
        <v>559</v>
      </c>
      <c r="AI19852" s="831">
        <v>0</v>
      </c>
      <c r="AJ19852" s="835">
        <v>41060</v>
      </c>
      <c r="AK19852" s="831">
        <v>0.78569999999999995</v>
      </c>
    </row>
    <row r="19853" spans="2:37">
      <c r="B19853" s="834" t="str">
        <f t="shared" si="699"/>
        <v>|||</v>
      </c>
      <c r="H19853" s="835">
        <f t="shared" si="700"/>
        <v>31</v>
      </c>
      <c r="AF19853" s="831" t="s">
        <v>10360</v>
      </c>
      <c r="AG19853" s="831" t="s">
        <v>2674</v>
      </c>
      <c r="AH19853" s="831" t="s">
        <v>568</v>
      </c>
      <c r="AI19853" s="831">
        <v>0</v>
      </c>
      <c r="AJ19853" s="835">
        <v>41060</v>
      </c>
      <c r="AK19853" s="831">
        <v>0</v>
      </c>
    </row>
    <row r="19854" spans="2:37">
      <c r="B19854" s="834" t="str">
        <f t="shared" si="699"/>
        <v>|||</v>
      </c>
      <c r="H19854" s="835">
        <f t="shared" si="700"/>
        <v>31</v>
      </c>
      <c r="AF19854" s="831" t="s">
        <v>10361</v>
      </c>
      <c r="AG19854" s="831" t="s">
        <v>2674</v>
      </c>
      <c r="AH19854" s="831" t="s">
        <v>569</v>
      </c>
      <c r="AI19854" s="831">
        <v>0</v>
      </c>
      <c r="AJ19854" s="835">
        <v>41060</v>
      </c>
      <c r="AK19854" s="831">
        <v>0</v>
      </c>
    </row>
    <row r="19855" spans="2:37">
      <c r="B19855" s="834" t="str">
        <f t="shared" si="699"/>
        <v>|||</v>
      </c>
      <c r="H19855" s="835">
        <f t="shared" si="700"/>
        <v>31</v>
      </c>
      <c r="AF19855" s="831" t="s">
        <v>10362</v>
      </c>
      <c r="AG19855" s="831" t="s">
        <v>2674</v>
      </c>
      <c r="AH19855" s="831" t="s">
        <v>570</v>
      </c>
      <c r="AI19855" s="831">
        <v>0</v>
      </c>
      <c r="AJ19855" s="835">
        <v>41060</v>
      </c>
      <c r="AK19855" s="831">
        <v>0</v>
      </c>
    </row>
    <row r="19856" spans="2:37">
      <c r="B19856" s="834" t="str">
        <f t="shared" si="699"/>
        <v>|||</v>
      </c>
      <c r="H19856" s="835">
        <f t="shared" si="700"/>
        <v>31</v>
      </c>
      <c r="AF19856" s="831" t="s">
        <v>10363</v>
      </c>
      <c r="AG19856" s="831" t="s">
        <v>2674</v>
      </c>
      <c r="AH19856" s="831" t="s">
        <v>571</v>
      </c>
      <c r="AI19856" s="831">
        <v>0</v>
      </c>
      <c r="AJ19856" s="835">
        <v>41060</v>
      </c>
      <c r="AK19856" s="831">
        <v>0</v>
      </c>
    </row>
    <row r="19857" spans="2:37">
      <c r="B19857" s="834" t="str">
        <f t="shared" ref="B19857:B19920" si="701">C19857&amp;"|"&amp;D19857&amp;"|"&amp;E19857&amp;"|"&amp;F19857</f>
        <v>|||</v>
      </c>
      <c r="H19857" s="835">
        <f t="shared" ref="H19857:H19920" si="702">EOMONTH(L19857,0)</f>
        <v>31</v>
      </c>
      <c r="AF19857" s="831" t="s">
        <v>10364</v>
      </c>
      <c r="AG19857" s="831" t="s">
        <v>2674</v>
      </c>
      <c r="AH19857" s="831" t="s">
        <v>573</v>
      </c>
      <c r="AI19857" s="831">
        <v>0</v>
      </c>
      <c r="AJ19857" s="835">
        <v>41060</v>
      </c>
      <c r="AK19857" s="831">
        <v>0</v>
      </c>
    </row>
    <row r="19858" spans="2:37">
      <c r="B19858" s="834" t="str">
        <f t="shared" si="701"/>
        <v>|||</v>
      </c>
      <c r="H19858" s="835">
        <f t="shared" si="702"/>
        <v>31</v>
      </c>
      <c r="AF19858" s="831" t="s">
        <v>10365</v>
      </c>
      <c r="AG19858" s="831" t="s">
        <v>2674</v>
      </c>
      <c r="AH19858" s="831" t="s">
        <v>574</v>
      </c>
      <c r="AI19858" s="831">
        <v>0</v>
      </c>
      <c r="AJ19858" s="835">
        <v>41060</v>
      </c>
      <c r="AK19858" s="831">
        <v>0</v>
      </c>
    </row>
    <row r="19859" spans="2:37">
      <c r="B19859" s="834" t="str">
        <f t="shared" si="701"/>
        <v>|||</v>
      </c>
      <c r="H19859" s="835">
        <f t="shared" si="702"/>
        <v>31</v>
      </c>
      <c r="AF19859" s="831" t="s">
        <v>10366</v>
      </c>
      <c r="AG19859" s="831" t="s">
        <v>2674</v>
      </c>
      <c r="AH19859" s="831" t="s">
        <v>575</v>
      </c>
      <c r="AI19859" s="831">
        <v>0</v>
      </c>
      <c r="AJ19859" s="835">
        <v>41060</v>
      </c>
      <c r="AK19859" s="831">
        <v>0</v>
      </c>
    </row>
    <row r="19860" spans="2:37">
      <c r="B19860" s="834" t="str">
        <f t="shared" si="701"/>
        <v>|||</v>
      </c>
      <c r="H19860" s="835">
        <f t="shared" si="702"/>
        <v>31</v>
      </c>
      <c r="AF19860" s="831" t="s">
        <v>10367</v>
      </c>
      <c r="AG19860" s="831" t="s">
        <v>2674</v>
      </c>
      <c r="AH19860" s="831" t="s">
        <v>576</v>
      </c>
      <c r="AI19860" s="831">
        <v>0</v>
      </c>
      <c r="AJ19860" s="835">
        <v>41060</v>
      </c>
      <c r="AK19860" s="831">
        <v>0</v>
      </c>
    </row>
    <row r="19861" spans="2:37">
      <c r="B19861" s="834" t="str">
        <f t="shared" si="701"/>
        <v>|||</v>
      </c>
      <c r="H19861" s="835">
        <f t="shared" si="702"/>
        <v>31</v>
      </c>
      <c r="AF19861" s="831" t="s">
        <v>10368</v>
      </c>
      <c r="AG19861" s="831" t="s">
        <v>2674</v>
      </c>
      <c r="AH19861" s="831" t="s">
        <v>572</v>
      </c>
      <c r="AI19861" s="831">
        <v>0</v>
      </c>
      <c r="AJ19861" s="835">
        <v>41060</v>
      </c>
      <c r="AK19861" s="831">
        <v>-2146826246</v>
      </c>
    </row>
    <row r="19862" spans="2:37">
      <c r="B19862" s="834" t="str">
        <f t="shared" si="701"/>
        <v>|||</v>
      </c>
      <c r="H19862" s="835">
        <f t="shared" si="702"/>
        <v>31</v>
      </c>
      <c r="AF19862" s="831" t="s">
        <v>10369</v>
      </c>
      <c r="AG19862" s="831" t="s">
        <v>2674</v>
      </c>
      <c r="AH19862" s="831" t="s">
        <v>577</v>
      </c>
      <c r="AI19862" s="831">
        <v>0</v>
      </c>
      <c r="AJ19862" s="835">
        <v>41060</v>
      </c>
      <c r="AK19862" s="831">
        <v>-2146826246</v>
      </c>
    </row>
    <row r="19863" spans="2:37">
      <c r="B19863" s="834" t="str">
        <f t="shared" si="701"/>
        <v>|||</v>
      </c>
      <c r="H19863" s="835">
        <f t="shared" si="702"/>
        <v>31</v>
      </c>
      <c r="AF19863" s="831" t="s">
        <v>10370</v>
      </c>
      <c r="AG19863" s="831" t="s">
        <v>2674</v>
      </c>
      <c r="AH19863" s="831" t="s">
        <v>3042</v>
      </c>
      <c r="AI19863" s="831">
        <v>0</v>
      </c>
      <c r="AJ19863" s="835">
        <v>41060</v>
      </c>
      <c r="AK19863" s="831">
        <v>-2146826246</v>
      </c>
    </row>
    <row r="19864" spans="2:37">
      <c r="B19864" s="834" t="str">
        <f t="shared" si="701"/>
        <v>|||</v>
      </c>
      <c r="H19864" s="835">
        <f t="shared" si="702"/>
        <v>31</v>
      </c>
      <c r="AF19864" s="831" t="s">
        <v>10371</v>
      </c>
      <c r="AG19864" s="831" t="s">
        <v>2674</v>
      </c>
      <c r="AH19864" s="831" t="s">
        <v>3044</v>
      </c>
      <c r="AI19864" s="831">
        <v>0</v>
      </c>
      <c r="AJ19864" s="835">
        <v>41060</v>
      </c>
      <c r="AK19864" s="831">
        <v>-2146826246</v>
      </c>
    </row>
    <row r="19865" spans="2:37">
      <c r="B19865" s="834" t="str">
        <f t="shared" si="701"/>
        <v>|||</v>
      </c>
      <c r="H19865" s="835">
        <f t="shared" si="702"/>
        <v>31</v>
      </c>
      <c r="AF19865" s="831" t="s">
        <v>10372</v>
      </c>
      <c r="AG19865" s="831" t="s">
        <v>2674</v>
      </c>
      <c r="AH19865" s="831" t="s">
        <v>580</v>
      </c>
      <c r="AI19865" s="831">
        <v>0</v>
      </c>
      <c r="AJ19865" s="835">
        <v>41060</v>
      </c>
      <c r="AK19865" s="831">
        <v>-2146826246</v>
      </c>
    </row>
    <row r="19866" spans="2:37">
      <c r="B19866" s="834" t="str">
        <f t="shared" si="701"/>
        <v>|||</v>
      </c>
      <c r="H19866" s="835">
        <f t="shared" si="702"/>
        <v>31</v>
      </c>
      <c r="AF19866" s="831" t="s">
        <v>10373</v>
      </c>
      <c r="AG19866" s="831" t="s">
        <v>2674</v>
      </c>
      <c r="AH19866" s="831" t="s">
        <v>581</v>
      </c>
      <c r="AI19866" s="831">
        <v>0</v>
      </c>
      <c r="AJ19866" s="835">
        <v>41060</v>
      </c>
      <c r="AK19866" s="831">
        <v>-2146826246</v>
      </c>
    </row>
    <row r="19867" spans="2:37">
      <c r="B19867" s="834" t="str">
        <f t="shared" si="701"/>
        <v>|||</v>
      </c>
      <c r="H19867" s="835">
        <f t="shared" si="702"/>
        <v>31</v>
      </c>
      <c r="AF19867" s="831" t="s">
        <v>10374</v>
      </c>
      <c r="AG19867" s="831" t="s">
        <v>2674</v>
      </c>
      <c r="AH19867" s="831" t="s">
        <v>105</v>
      </c>
      <c r="AI19867" s="831">
        <v>0</v>
      </c>
      <c r="AJ19867" s="835">
        <v>41060</v>
      </c>
      <c r="AK19867" s="831">
        <v>149985593</v>
      </c>
    </row>
    <row r="19868" spans="2:37">
      <c r="B19868" s="834" t="str">
        <f t="shared" si="701"/>
        <v>|||</v>
      </c>
      <c r="H19868" s="835">
        <f t="shared" si="702"/>
        <v>31</v>
      </c>
      <c r="AF19868" s="831" t="s">
        <v>10375</v>
      </c>
      <c r="AG19868" s="831" t="s">
        <v>2674</v>
      </c>
      <c r="AH19868" s="831" t="s">
        <v>3049</v>
      </c>
      <c r="AI19868" s="831">
        <v>0</v>
      </c>
      <c r="AJ19868" s="835">
        <v>41060</v>
      </c>
      <c r="AK19868" s="831">
        <v>309400000</v>
      </c>
    </row>
    <row r="19869" spans="2:37">
      <c r="B19869" s="834" t="str">
        <f t="shared" si="701"/>
        <v>|||</v>
      </c>
      <c r="H19869" s="835">
        <f t="shared" si="702"/>
        <v>31</v>
      </c>
      <c r="AF19869" s="831" t="s">
        <v>10376</v>
      </c>
      <c r="AG19869" s="831" t="s">
        <v>2674</v>
      </c>
      <c r="AH19869" s="831" t="s">
        <v>103</v>
      </c>
      <c r="AI19869" s="831">
        <v>0</v>
      </c>
      <c r="AJ19869" s="835">
        <v>41060</v>
      </c>
      <c r="AK19869" s="831">
        <v>159414407</v>
      </c>
    </row>
    <row r="19870" spans="2:37">
      <c r="B19870" s="834" t="str">
        <f t="shared" si="701"/>
        <v>|||</v>
      </c>
      <c r="H19870" s="835">
        <f t="shared" si="702"/>
        <v>31</v>
      </c>
      <c r="AF19870" s="831" t="s">
        <v>10377</v>
      </c>
      <c r="AG19870" s="831" t="s">
        <v>2674</v>
      </c>
      <c r="AH19870" s="831" t="s">
        <v>182</v>
      </c>
      <c r="AI19870" s="831">
        <v>0</v>
      </c>
      <c r="AJ19870" s="835">
        <v>41060</v>
      </c>
      <c r="AK19870" s="831">
        <v>50472969.600000001</v>
      </c>
    </row>
    <row r="19871" spans="2:37">
      <c r="B19871" s="834" t="str">
        <f t="shared" si="701"/>
        <v>|||</v>
      </c>
      <c r="H19871" s="835">
        <f t="shared" si="702"/>
        <v>31</v>
      </c>
      <c r="AF19871" s="831" t="s">
        <v>10378</v>
      </c>
      <c r="AG19871" s="831" t="s">
        <v>2674</v>
      </c>
      <c r="AH19871" s="831" t="s">
        <v>6600</v>
      </c>
      <c r="AI19871" s="831">
        <v>0</v>
      </c>
      <c r="AJ19871" s="835">
        <v>41060</v>
      </c>
      <c r="AK19871" s="831">
        <v>-2146826246</v>
      </c>
    </row>
    <row r="19872" spans="2:37">
      <c r="B19872" s="834" t="str">
        <f t="shared" si="701"/>
        <v>|||</v>
      </c>
      <c r="H19872" s="835">
        <f t="shared" si="702"/>
        <v>31</v>
      </c>
      <c r="AF19872" s="831" t="s">
        <v>10379</v>
      </c>
      <c r="AG19872" s="831" t="s">
        <v>2674</v>
      </c>
      <c r="AH19872" s="831" t="s">
        <v>6602</v>
      </c>
      <c r="AI19872" s="831">
        <v>0</v>
      </c>
      <c r="AJ19872" s="835">
        <v>41060</v>
      </c>
      <c r="AK19872" s="831">
        <v>5197337</v>
      </c>
    </row>
    <row r="19873" spans="2:37">
      <c r="B19873" s="834" t="str">
        <f t="shared" si="701"/>
        <v>|||</v>
      </c>
      <c r="H19873" s="835">
        <f t="shared" si="702"/>
        <v>31</v>
      </c>
      <c r="AF19873" s="831" t="s">
        <v>10380</v>
      </c>
      <c r="AG19873" s="831" t="s">
        <v>2674</v>
      </c>
      <c r="AH19873" s="831" t="s">
        <v>650</v>
      </c>
      <c r="AI19873" s="831">
        <v>0</v>
      </c>
      <c r="AJ19873" s="835">
        <v>41060</v>
      </c>
      <c r="AK19873" s="831">
        <v>0</v>
      </c>
    </row>
    <row r="19874" spans="2:37">
      <c r="B19874" s="834" t="str">
        <f t="shared" si="701"/>
        <v>|||</v>
      </c>
      <c r="H19874" s="835">
        <f t="shared" si="702"/>
        <v>31</v>
      </c>
      <c r="AF19874" s="831" t="s">
        <v>10381</v>
      </c>
      <c r="AG19874" s="831" t="s">
        <v>2674</v>
      </c>
      <c r="AH19874" s="831" t="s">
        <v>655</v>
      </c>
      <c r="AI19874" s="831">
        <v>0</v>
      </c>
      <c r="AJ19874" s="835">
        <v>41060</v>
      </c>
      <c r="AK19874" s="831">
        <v>2125799</v>
      </c>
    </row>
    <row r="19875" spans="2:37">
      <c r="B19875" s="834" t="str">
        <f t="shared" si="701"/>
        <v>|||</v>
      </c>
      <c r="H19875" s="835">
        <f t="shared" si="702"/>
        <v>31</v>
      </c>
      <c r="AF19875" s="831" t="s">
        <v>10382</v>
      </c>
      <c r="AG19875" s="831" t="s">
        <v>2674</v>
      </c>
      <c r="AH19875" s="831" t="s">
        <v>546</v>
      </c>
      <c r="AI19875" s="831">
        <v>0</v>
      </c>
      <c r="AJ19875" s="835">
        <v>41090</v>
      </c>
      <c r="AK19875" s="831">
        <v>342628450</v>
      </c>
    </row>
    <row r="19876" spans="2:37">
      <c r="B19876" s="834" t="str">
        <f t="shared" si="701"/>
        <v>|||</v>
      </c>
      <c r="H19876" s="835">
        <f t="shared" si="702"/>
        <v>31</v>
      </c>
      <c r="AF19876" s="831" t="s">
        <v>10383</v>
      </c>
      <c r="AG19876" s="831" t="s">
        <v>2674</v>
      </c>
      <c r="AH19876" s="831" t="s">
        <v>370</v>
      </c>
      <c r="AI19876" s="831">
        <v>0</v>
      </c>
      <c r="AJ19876" s="835">
        <v>41090</v>
      </c>
      <c r="AK19876" s="831">
        <v>422295379</v>
      </c>
    </row>
    <row r="19877" spans="2:37">
      <c r="B19877" s="834" t="str">
        <f t="shared" si="701"/>
        <v>|||</v>
      </c>
      <c r="H19877" s="835">
        <f t="shared" si="702"/>
        <v>31</v>
      </c>
      <c r="AF19877" s="831" t="s">
        <v>10384</v>
      </c>
      <c r="AG19877" s="831" t="s">
        <v>2674</v>
      </c>
      <c r="AH19877" s="831" t="s">
        <v>126</v>
      </c>
      <c r="AI19877" s="831">
        <v>0</v>
      </c>
      <c r="AJ19877" s="835">
        <v>41090</v>
      </c>
      <c r="AK19877" s="831">
        <v>91675016</v>
      </c>
    </row>
    <row r="19878" spans="2:37">
      <c r="B19878" s="834" t="str">
        <f t="shared" si="701"/>
        <v>|||</v>
      </c>
      <c r="H19878" s="835">
        <f t="shared" si="702"/>
        <v>31</v>
      </c>
      <c r="AF19878" s="831" t="s">
        <v>10385</v>
      </c>
      <c r="AG19878" s="831" t="s">
        <v>2674</v>
      </c>
      <c r="AH19878" s="831" t="s">
        <v>268</v>
      </c>
      <c r="AI19878" s="831">
        <v>0</v>
      </c>
      <c r="AJ19878" s="835">
        <v>41090</v>
      </c>
      <c r="AK19878" s="831">
        <v>6352093</v>
      </c>
    </row>
    <row r="19879" spans="2:37">
      <c r="B19879" s="834" t="str">
        <f t="shared" si="701"/>
        <v>|||</v>
      </c>
      <c r="H19879" s="835">
        <f t="shared" si="702"/>
        <v>31</v>
      </c>
      <c r="AF19879" s="831" t="s">
        <v>10386</v>
      </c>
      <c r="AG19879" s="831" t="s">
        <v>2674</v>
      </c>
      <c r="AH19879" s="831" t="s">
        <v>547</v>
      </c>
      <c r="AI19879" s="831">
        <v>0</v>
      </c>
      <c r="AJ19879" s="835">
        <v>41090</v>
      </c>
      <c r="AK19879" s="831">
        <v>0</v>
      </c>
    </row>
    <row r="19880" spans="2:37">
      <c r="B19880" s="834" t="str">
        <f t="shared" si="701"/>
        <v>|||</v>
      </c>
      <c r="H19880" s="835">
        <f t="shared" si="702"/>
        <v>31</v>
      </c>
      <c r="AF19880" s="831" t="s">
        <v>10387</v>
      </c>
      <c r="AG19880" s="831" t="s">
        <v>2674</v>
      </c>
      <c r="AH19880" s="831" t="s">
        <v>548</v>
      </c>
      <c r="AI19880" s="831">
        <v>0</v>
      </c>
      <c r="AJ19880" s="835">
        <v>41090</v>
      </c>
      <c r="AK19880" s="831">
        <v>0</v>
      </c>
    </row>
    <row r="19881" spans="2:37">
      <c r="B19881" s="834" t="str">
        <f t="shared" si="701"/>
        <v>|||</v>
      </c>
      <c r="H19881" s="835">
        <f t="shared" si="702"/>
        <v>31</v>
      </c>
      <c r="AF19881" s="831" t="s">
        <v>10388</v>
      </c>
      <c r="AG19881" s="831" t="s">
        <v>2674</v>
      </c>
      <c r="AH19881" s="831" t="s">
        <v>549</v>
      </c>
      <c r="AI19881" s="831">
        <v>0</v>
      </c>
      <c r="AJ19881" s="835">
        <v>41090</v>
      </c>
      <c r="AK19881" s="831">
        <v>0</v>
      </c>
    </row>
    <row r="19882" spans="2:37">
      <c r="B19882" s="834" t="str">
        <f t="shared" si="701"/>
        <v>|||</v>
      </c>
      <c r="H19882" s="835">
        <f t="shared" si="702"/>
        <v>31</v>
      </c>
      <c r="AF19882" s="831" t="s">
        <v>10389</v>
      </c>
      <c r="AG19882" s="831" t="s">
        <v>2674</v>
      </c>
      <c r="AH19882" s="831" t="s">
        <v>192</v>
      </c>
      <c r="AI19882" s="831">
        <v>0</v>
      </c>
      <c r="AJ19882" s="835">
        <v>41090</v>
      </c>
      <c r="AK19882" s="831">
        <v>-9357224</v>
      </c>
    </row>
    <row r="19883" spans="2:37">
      <c r="B19883" s="834" t="str">
        <f t="shared" si="701"/>
        <v>|||</v>
      </c>
      <c r="H19883" s="835">
        <f t="shared" si="702"/>
        <v>31</v>
      </c>
      <c r="AF19883" s="831" t="s">
        <v>10390</v>
      </c>
      <c r="AG19883" s="831" t="s">
        <v>2674</v>
      </c>
      <c r="AH19883" s="831" t="s">
        <v>558</v>
      </c>
      <c r="AI19883" s="831">
        <v>0</v>
      </c>
      <c r="AJ19883" s="835">
        <v>41090</v>
      </c>
      <c r="AK19883" s="831">
        <v>330620363</v>
      </c>
    </row>
    <row r="19884" spans="2:37">
      <c r="B19884" s="834" t="str">
        <f t="shared" si="701"/>
        <v>|||</v>
      </c>
      <c r="H19884" s="835">
        <f t="shared" si="702"/>
        <v>31</v>
      </c>
      <c r="AF19884" s="831" t="s">
        <v>10391</v>
      </c>
      <c r="AG19884" s="831" t="s">
        <v>2674</v>
      </c>
      <c r="AH19884" s="831" t="s">
        <v>65</v>
      </c>
      <c r="AI19884" s="831">
        <v>0</v>
      </c>
      <c r="AJ19884" s="835">
        <v>41090</v>
      </c>
      <c r="AK19884" s="831">
        <v>46070355</v>
      </c>
    </row>
    <row r="19885" spans="2:37">
      <c r="B19885" s="834" t="str">
        <f t="shared" si="701"/>
        <v>|||</v>
      </c>
      <c r="H19885" s="835">
        <f t="shared" si="702"/>
        <v>31</v>
      </c>
      <c r="AF19885" s="831" t="s">
        <v>10392</v>
      </c>
      <c r="AG19885" s="831" t="s">
        <v>2674</v>
      </c>
      <c r="AH19885" s="831" t="s">
        <v>89</v>
      </c>
      <c r="AI19885" s="831">
        <v>0</v>
      </c>
      <c r="AJ19885" s="835">
        <v>41090</v>
      </c>
      <c r="AK19885" s="831">
        <v>122094</v>
      </c>
    </row>
    <row r="19886" spans="2:37">
      <c r="B19886" s="834" t="str">
        <f t="shared" si="701"/>
        <v>|||</v>
      </c>
      <c r="H19886" s="835">
        <f t="shared" si="702"/>
        <v>31</v>
      </c>
      <c r="AF19886" s="831" t="s">
        <v>10393</v>
      </c>
      <c r="AG19886" s="831" t="s">
        <v>2674</v>
      </c>
      <c r="AH19886" s="831" t="s">
        <v>557</v>
      </c>
      <c r="AI19886" s="831">
        <v>0</v>
      </c>
      <c r="AJ19886" s="835">
        <v>41090</v>
      </c>
      <c r="AK19886" s="831">
        <v>123933</v>
      </c>
    </row>
    <row r="19887" spans="2:37">
      <c r="B19887" s="834" t="str">
        <f t="shared" si="701"/>
        <v>|||</v>
      </c>
      <c r="H19887" s="835">
        <f t="shared" si="702"/>
        <v>31</v>
      </c>
      <c r="AF19887" s="831" t="s">
        <v>10394</v>
      </c>
      <c r="AG19887" s="831" t="s">
        <v>2674</v>
      </c>
      <c r="AH19887" s="831" t="s">
        <v>29</v>
      </c>
      <c r="AI19887" s="831">
        <v>0</v>
      </c>
      <c r="AJ19887" s="835">
        <v>41090</v>
      </c>
      <c r="AK19887" s="831">
        <v>2579950</v>
      </c>
    </row>
    <row r="19888" spans="2:37">
      <c r="B19888" s="834" t="str">
        <f t="shared" si="701"/>
        <v>|||</v>
      </c>
      <c r="H19888" s="835">
        <f t="shared" si="702"/>
        <v>31</v>
      </c>
      <c r="AF19888" s="831" t="s">
        <v>10395</v>
      </c>
      <c r="AG19888" s="831" t="s">
        <v>2674</v>
      </c>
      <c r="AH19888" s="831" t="s">
        <v>2688</v>
      </c>
      <c r="AI19888" s="831">
        <v>0</v>
      </c>
      <c r="AJ19888" s="835">
        <v>41090</v>
      </c>
      <c r="AK19888" s="831">
        <v>2983420</v>
      </c>
    </row>
    <row r="19889" spans="2:37">
      <c r="B19889" s="834" t="str">
        <f t="shared" si="701"/>
        <v>|||</v>
      </c>
      <c r="H19889" s="835">
        <f t="shared" si="702"/>
        <v>31</v>
      </c>
      <c r="AF19889" s="831" t="s">
        <v>10396</v>
      </c>
      <c r="AG19889" s="831" t="s">
        <v>2674</v>
      </c>
      <c r="AH19889" s="831" t="s">
        <v>556</v>
      </c>
      <c r="AI19889" s="831">
        <v>0</v>
      </c>
      <c r="AJ19889" s="835">
        <v>41090</v>
      </c>
      <c r="AK19889" s="831">
        <v>0</v>
      </c>
    </row>
    <row r="19890" spans="2:37">
      <c r="B19890" s="834" t="str">
        <f t="shared" si="701"/>
        <v>|||</v>
      </c>
      <c r="H19890" s="835">
        <f t="shared" si="702"/>
        <v>31</v>
      </c>
      <c r="AF19890" s="831" t="s">
        <v>10397</v>
      </c>
      <c r="AG19890" s="831" t="s">
        <v>2674</v>
      </c>
      <c r="AH19890" s="831" t="s">
        <v>555</v>
      </c>
      <c r="AI19890" s="831">
        <v>0</v>
      </c>
      <c r="AJ19890" s="835">
        <v>41090</v>
      </c>
      <c r="AK19890" s="831">
        <v>197249400</v>
      </c>
    </row>
    <row r="19891" spans="2:37">
      <c r="B19891" s="834" t="str">
        <f t="shared" si="701"/>
        <v>|||</v>
      </c>
      <c r="H19891" s="835">
        <f t="shared" si="702"/>
        <v>31</v>
      </c>
      <c r="AF19891" s="831" t="s">
        <v>10398</v>
      </c>
      <c r="AG19891" s="831" t="s">
        <v>2674</v>
      </c>
      <c r="AH19891" s="831" t="s">
        <v>554</v>
      </c>
      <c r="AI19891" s="831">
        <v>0</v>
      </c>
      <c r="AJ19891" s="835">
        <v>41090</v>
      </c>
      <c r="AK19891" s="831">
        <v>196927620</v>
      </c>
    </row>
    <row r="19892" spans="2:37">
      <c r="B19892" s="834" t="str">
        <f t="shared" si="701"/>
        <v>|||</v>
      </c>
      <c r="H19892" s="835">
        <f t="shared" si="702"/>
        <v>31</v>
      </c>
      <c r="AF19892" s="831" t="s">
        <v>10399</v>
      </c>
      <c r="AG19892" s="831" t="s">
        <v>2674</v>
      </c>
      <c r="AH19892" s="831" t="s">
        <v>553</v>
      </c>
      <c r="AI19892" s="831">
        <v>0</v>
      </c>
      <c r="AJ19892" s="835">
        <v>41090</v>
      </c>
      <c r="AK19892" s="831">
        <v>0</v>
      </c>
    </row>
    <row r="19893" spans="2:37">
      <c r="B19893" s="834" t="str">
        <f t="shared" si="701"/>
        <v>|||</v>
      </c>
      <c r="H19893" s="835">
        <f t="shared" si="702"/>
        <v>31</v>
      </c>
      <c r="AF19893" s="831" t="s">
        <v>10400</v>
      </c>
      <c r="AG19893" s="831" t="s">
        <v>2674</v>
      </c>
      <c r="AH19893" s="831" t="s">
        <v>552</v>
      </c>
      <c r="AI19893" s="831">
        <v>0</v>
      </c>
      <c r="AJ19893" s="835">
        <v>41090</v>
      </c>
      <c r="AK19893" s="831">
        <v>0</v>
      </c>
    </row>
    <row r="19894" spans="2:37">
      <c r="B19894" s="834" t="str">
        <f t="shared" si="701"/>
        <v>|||</v>
      </c>
      <c r="H19894" s="835">
        <f t="shared" si="702"/>
        <v>31</v>
      </c>
      <c r="AF19894" s="831" t="s">
        <v>10401</v>
      </c>
      <c r="AG19894" s="831" t="s">
        <v>2674</v>
      </c>
      <c r="AH19894" s="831" t="s">
        <v>551</v>
      </c>
      <c r="AI19894" s="831">
        <v>0</v>
      </c>
      <c r="AJ19894" s="835">
        <v>41090</v>
      </c>
      <c r="AK19894" s="831">
        <v>2420279</v>
      </c>
    </row>
    <row r="19895" spans="2:37">
      <c r="B19895" s="834" t="str">
        <f t="shared" si="701"/>
        <v>|||</v>
      </c>
      <c r="H19895" s="835">
        <f t="shared" si="702"/>
        <v>31</v>
      </c>
      <c r="AF19895" s="831" t="s">
        <v>10402</v>
      </c>
      <c r="AG19895" s="831" t="s">
        <v>2674</v>
      </c>
      <c r="AH19895" s="831" t="s">
        <v>550</v>
      </c>
      <c r="AI19895" s="831">
        <v>0</v>
      </c>
      <c r="AJ19895" s="835">
        <v>41090</v>
      </c>
      <c r="AK19895" s="831">
        <v>90520261</v>
      </c>
    </row>
    <row r="19896" spans="2:37">
      <c r="B19896" s="834" t="str">
        <f t="shared" si="701"/>
        <v>|||</v>
      </c>
      <c r="H19896" s="835">
        <f t="shared" si="702"/>
        <v>31</v>
      </c>
      <c r="AF19896" s="831" t="s">
        <v>10403</v>
      </c>
      <c r="AG19896" s="831" t="s">
        <v>2674</v>
      </c>
      <c r="AH19896" s="831" t="s">
        <v>562</v>
      </c>
      <c r="AI19896" s="831">
        <v>0</v>
      </c>
      <c r="AJ19896" s="835">
        <v>41090</v>
      </c>
      <c r="AK19896" s="831">
        <v>0.78505000000000003</v>
      </c>
    </row>
    <row r="19897" spans="2:37">
      <c r="B19897" s="834" t="str">
        <f t="shared" si="701"/>
        <v>|||</v>
      </c>
      <c r="H19897" s="835">
        <f t="shared" si="702"/>
        <v>31</v>
      </c>
      <c r="AF19897" s="831" t="s">
        <v>10404</v>
      </c>
      <c r="AG19897" s="831" t="s">
        <v>2674</v>
      </c>
      <c r="AH19897" s="831" t="s">
        <v>2698</v>
      </c>
      <c r="AI19897" s="831">
        <v>0</v>
      </c>
      <c r="AJ19897" s="835">
        <v>41090</v>
      </c>
      <c r="AK19897" s="831">
        <v>0.78515000000000001</v>
      </c>
    </row>
    <row r="19898" spans="2:37">
      <c r="B19898" s="834" t="str">
        <f t="shared" si="701"/>
        <v>|||</v>
      </c>
      <c r="H19898" s="835">
        <f t="shared" si="702"/>
        <v>31</v>
      </c>
      <c r="AF19898" s="831" t="s">
        <v>10405</v>
      </c>
      <c r="AG19898" s="831" t="s">
        <v>2674</v>
      </c>
      <c r="AH19898" s="831" t="s">
        <v>560</v>
      </c>
      <c r="AI19898" s="831">
        <v>0</v>
      </c>
      <c r="AJ19898" s="835">
        <v>41090</v>
      </c>
      <c r="AK19898" s="831">
        <v>0.78567500000000001</v>
      </c>
    </row>
    <row r="19899" spans="2:37">
      <c r="B19899" s="834" t="str">
        <f t="shared" si="701"/>
        <v>|||</v>
      </c>
      <c r="H19899" s="835">
        <f t="shared" si="702"/>
        <v>31</v>
      </c>
      <c r="AF19899" s="831" t="s">
        <v>10406</v>
      </c>
      <c r="AG19899" s="831" t="s">
        <v>2674</v>
      </c>
      <c r="AH19899" s="831" t="s">
        <v>559</v>
      </c>
      <c r="AI19899" s="831">
        <v>0</v>
      </c>
      <c r="AJ19899" s="835">
        <v>41090</v>
      </c>
      <c r="AK19899" s="831">
        <v>0.78561666666666674</v>
      </c>
    </row>
    <row r="19900" spans="2:37">
      <c r="B19900" s="834" t="str">
        <f t="shared" si="701"/>
        <v>|||</v>
      </c>
      <c r="H19900" s="835">
        <f t="shared" si="702"/>
        <v>31</v>
      </c>
      <c r="AF19900" s="831" t="s">
        <v>10407</v>
      </c>
      <c r="AG19900" s="831" t="s">
        <v>2674</v>
      </c>
      <c r="AH19900" s="831" t="s">
        <v>568</v>
      </c>
      <c r="AI19900" s="831">
        <v>0</v>
      </c>
      <c r="AJ19900" s="835">
        <v>41090</v>
      </c>
      <c r="AK19900" s="831">
        <v>0</v>
      </c>
    </row>
    <row r="19901" spans="2:37">
      <c r="B19901" s="834" t="str">
        <f t="shared" si="701"/>
        <v>|||</v>
      </c>
      <c r="H19901" s="835">
        <f t="shared" si="702"/>
        <v>31</v>
      </c>
      <c r="AF19901" s="831" t="s">
        <v>10408</v>
      </c>
      <c r="AG19901" s="831" t="s">
        <v>2674</v>
      </c>
      <c r="AH19901" s="831" t="s">
        <v>569</v>
      </c>
      <c r="AI19901" s="831">
        <v>0</v>
      </c>
      <c r="AJ19901" s="835">
        <v>41090</v>
      </c>
      <c r="AK19901" s="831">
        <v>0</v>
      </c>
    </row>
    <row r="19902" spans="2:37">
      <c r="B19902" s="834" t="str">
        <f t="shared" si="701"/>
        <v>|||</v>
      </c>
      <c r="H19902" s="835">
        <f t="shared" si="702"/>
        <v>31</v>
      </c>
      <c r="AF19902" s="831" t="s">
        <v>10409</v>
      </c>
      <c r="AG19902" s="831" t="s">
        <v>2674</v>
      </c>
      <c r="AH19902" s="831" t="s">
        <v>570</v>
      </c>
      <c r="AI19902" s="831">
        <v>0</v>
      </c>
      <c r="AJ19902" s="835">
        <v>41090</v>
      </c>
      <c r="AK19902" s="831">
        <v>0</v>
      </c>
    </row>
    <row r="19903" spans="2:37">
      <c r="B19903" s="834" t="str">
        <f t="shared" si="701"/>
        <v>|||</v>
      </c>
      <c r="H19903" s="835">
        <f t="shared" si="702"/>
        <v>31</v>
      </c>
      <c r="AF19903" s="831" t="s">
        <v>10410</v>
      </c>
      <c r="AG19903" s="831" t="s">
        <v>2674</v>
      </c>
      <c r="AH19903" s="831" t="s">
        <v>571</v>
      </c>
      <c r="AI19903" s="831">
        <v>0</v>
      </c>
      <c r="AJ19903" s="835">
        <v>41090</v>
      </c>
      <c r="AK19903" s="831">
        <v>0</v>
      </c>
    </row>
    <row r="19904" spans="2:37">
      <c r="B19904" s="834" t="str">
        <f t="shared" si="701"/>
        <v>|||</v>
      </c>
      <c r="H19904" s="835">
        <f t="shared" si="702"/>
        <v>31</v>
      </c>
      <c r="AF19904" s="831" t="s">
        <v>10411</v>
      </c>
      <c r="AG19904" s="831" t="s">
        <v>2674</v>
      </c>
      <c r="AH19904" s="831" t="s">
        <v>573</v>
      </c>
      <c r="AI19904" s="831">
        <v>0</v>
      </c>
      <c r="AJ19904" s="835">
        <v>41090</v>
      </c>
      <c r="AK19904" s="831">
        <v>0</v>
      </c>
    </row>
    <row r="19905" spans="2:37">
      <c r="B19905" s="834" t="str">
        <f t="shared" si="701"/>
        <v>|||</v>
      </c>
      <c r="H19905" s="835">
        <f t="shared" si="702"/>
        <v>31</v>
      </c>
      <c r="AF19905" s="831" t="s">
        <v>10412</v>
      </c>
      <c r="AG19905" s="831" t="s">
        <v>2674</v>
      </c>
      <c r="AH19905" s="831" t="s">
        <v>574</v>
      </c>
      <c r="AI19905" s="831">
        <v>0</v>
      </c>
      <c r="AJ19905" s="835">
        <v>41090</v>
      </c>
      <c r="AK19905" s="831">
        <v>0</v>
      </c>
    </row>
    <row r="19906" spans="2:37">
      <c r="B19906" s="834" t="str">
        <f t="shared" si="701"/>
        <v>|||</v>
      </c>
      <c r="H19906" s="835">
        <f t="shared" si="702"/>
        <v>31</v>
      </c>
      <c r="AF19906" s="831" t="s">
        <v>10413</v>
      </c>
      <c r="AG19906" s="831" t="s">
        <v>2674</v>
      </c>
      <c r="AH19906" s="831" t="s">
        <v>575</v>
      </c>
      <c r="AI19906" s="831">
        <v>0</v>
      </c>
      <c r="AJ19906" s="835">
        <v>41090</v>
      </c>
      <c r="AK19906" s="831">
        <v>0</v>
      </c>
    </row>
    <row r="19907" spans="2:37">
      <c r="B19907" s="834" t="str">
        <f t="shared" si="701"/>
        <v>|||</v>
      </c>
      <c r="H19907" s="835">
        <f t="shared" si="702"/>
        <v>31</v>
      </c>
      <c r="AF19907" s="831" t="s">
        <v>10414</v>
      </c>
      <c r="AG19907" s="831" t="s">
        <v>2674</v>
      </c>
      <c r="AH19907" s="831" t="s">
        <v>576</v>
      </c>
      <c r="AI19907" s="831">
        <v>0</v>
      </c>
      <c r="AJ19907" s="835">
        <v>41090</v>
      </c>
      <c r="AK19907" s="831">
        <v>0</v>
      </c>
    </row>
    <row r="19908" spans="2:37">
      <c r="B19908" s="834" t="str">
        <f t="shared" si="701"/>
        <v>|||</v>
      </c>
      <c r="H19908" s="835">
        <f t="shared" si="702"/>
        <v>31</v>
      </c>
      <c r="AF19908" s="831" t="s">
        <v>10415</v>
      </c>
      <c r="AG19908" s="831" t="s">
        <v>2674</v>
      </c>
      <c r="AH19908" s="831" t="s">
        <v>572</v>
      </c>
      <c r="AI19908" s="831">
        <v>0</v>
      </c>
      <c r="AJ19908" s="835">
        <v>41090</v>
      </c>
      <c r="AK19908" s="831">
        <v>-2146826246</v>
      </c>
    </row>
    <row r="19909" spans="2:37">
      <c r="B19909" s="834" t="str">
        <f t="shared" si="701"/>
        <v>|||</v>
      </c>
      <c r="H19909" s="835">
        <f t="shared" si="702"/>
        <v>31</v>
      </c>
      <c r="AF19909" s="831" t="s">
        <v>10416</v>
      </c>
      <c r="AG19909" s="831" t="s">
        <v>2674</v>
      </c>
      <c r="AH19909" s="831" t="s">
        <v>577</v>
      </c>
      <c r="AI19909" s="831">
        <v>0</v>
      </c>
      <c r="AJ19909" s="835">
        <v>41090</v>
      </c>
      <c r="AK19909" s="831">
        <v>-2146826246</v>
      </c>
    </row>
    <row r="19910" spans="2:37">
      <c r="B19910" s="834" t="str">
        <f t="shared" si="701"/>
        <v>|||</v>
      </c>
      <c r="H19910" s="835">
        <f t="shared" si="702"/>
        <v>31</v>
      </c>
      <c r="AF19910" s="831" t="s">
        <v>10417</v>
      </c>
      <c r="AG19910" s="831" t="s">
        <v>2674</v>
      </c>
      <c r="AH19910" s="831" t="s">
        <v>3042</v>
      </c>
      <c r="AI19910" s="831">
        <v>0</v>
      </c>
      <c r="AJ19910" s="835">
        <v>41090</v>
      </c>
      <c r="AK19910" s="831">
        <v>-2146826246</v>
      </c>
    </row>
    <row r="19911" spans="2:37">
      <c r="B19911" s="834" t="str">
        <f t="shared" si="701"/>
        <v>|||</v>
      </c>
      <c r="H19911" s="835">
        <f t="shared" si="702"/>
        <v>31</v>
      </c>
      <c r="AF19911" s="831" t="s">
        <v>10418</v>
      </c>
      <c r="AG19911" s="831" t="s">
        <v>2674</v>
      </c>
      <c r="AH19911" s="831" t="s">
        <v>3044</v>
      </c>
      <c r="AI19911" s="831">
        <v>0</v>
      </c>
      <c r="AJ19911" s="835">
        <v>41090</v>
      </c>
      <c r="AK19911" s="831">
        <v>-2146826246</v>
      </c>
    </row>
    <row r="19912" spans="2:37">
      <c r="B19912" s="834" t="str">
        <f t="shared" si="701"/>
        <v>|||</v>
      </c>
      <c r="H19912" s="835">
        <f t="shared" si="702"/>
        <v>31</v>
      </c>
      <c r="AF19912" s="831" t="s">
        <v>10419</v>
      </c>
      <c r="AG19912" s="831" t="s">
        <v>2674</v>
      </c>
      <c r="AH19912" s="831" t="s">
        <v>580</v>
      </c>
      <c r="AI19912" s="831">
        <v>0</v>
      </c>
      <c r="AJ19912" s="835">
        <v>41090</v>
      </c>
      <c r="AK19912" s="831">
        <v>-2146826246</v>
      </c>
    </row>
    <row r="19913" spans="2:37">
      <c r="B19913" s="834" t="str">
        <f t="shared" si="701"/>
        <v>|||</v>
      </c>
      <c r="H19913" s="835">
        <f t="shared" si="702"/>
        <v>31</v>
      </c>
      <c r="AF19913" s="831" t="s">
        <v>10420</v>
      </c>
      <c r="AG19913" s="831" t="s">
        <v>2674</v>
      </c>
      <c r="AH19913" s="831" t="s">
        <v>581</v>
      </c>
      <c r="AI19913" s="831">
        <v>0</v>
      </c>
      <c r="AJ19913" s="835">
        <v>41090</v>
      </c>
      <c r="AK19913" s="831">
        <v>-2146826246</v>
      </c>
    </row>
    <row r="19914" spans="2:37">
      <c r="B19914" s="834" t="str">
        <f t="shared" si="701"/>
        <v>|||</v>
      </c>
      <c r="H19914" s="835">
        <f t="shared" si="702"/>
        <v>31</v>
      </c>
      <c r="AF19914" s="831" t="s">
        <v>10421</v>
      </c>
      <c r="AG19914" s="831" t="s">
        <v>2674</v>
      </c>
      <c r="AH19914" s="831" t="s">
        <v>105</v>
      </c>
      <c r="AI19914" s="831">
        <v>0</v>
      </c>
      <c r="AJ19914" s="835">
        <v>41090</v>
      </c>
      <c r="AK19914" s="831">
        <v>152917631</v>
      </c>
    </row>
    <row r="19915" spans="2:37">
      <c r="B19915" s="834" t="str">
        <f t="shared" si="701"/>
        <v>|||</v>
      </c>
      <c r="H19915" s="835">
        <f t="shared" si="702"/>
        <v>31</v>
      </c>
      <c r="AF19915" s="831" t="s">
        <v>10422</v>
      </c>
      <c r="AG19915" s="831" t="s">
        <v>2674</v>
      </c>
      <c r="AH19915" s="831" t="s">
        <v>3049</v>
      </c>
      <c r="AI19915" s="831">
        <v>0</v>
      </c>
      <c r="AJ19915" s="835">
        <v>41090</v>
      </c>
      <c r="AK19915" s="831">
        <v>317640148</v>
      </c>
    </row>
    <row r="19916" spans="2:37">
      <c r="B19916" s="834" t="str">
        <f t="shared" si="701"/>
        <v>|||</v>
      </c>
      <c r="H19916" s="835">
        <f t="shared" si="702"/>
        <v>31</v>
      </c>
      <c r="AF19916" s="831" t="s">
        <v>10423</v>
      </c>
      <c r="AG19916" s="831" t="s">
        <v>2674</v>
      </c>
      <c r="AH19916" s="831" t="s">
        <v>103</v>
      </c>
      <c r="AI19916" s="831">
        <v>0</v>
      </c>
      <c r="AJ19916" s="835">
        <v>41090</v>
      </c>
      <c r="AK19916" s="831">
        <v>164722517</v>
      </c>
    </row>
    <row r="19917" spans="2:37">
      <c r="B19917" s="834" t="str">
        <f t="shared" si="701"/>
        <v>|||</v>
      </c>
      <c r="H19917" s="835">
        <f t="shared" si="702"/>
        <v>31</v>
      </c>
      <c r="AF19917" s="831" t="s">
        <v>10424</v>
      </c>
      <c r="AG19917" s="831" t="s">
        <v>2674</v>
      </c>
      <c r="AH19917" s="831" t="s">
        <v>182</v>
      </c>
      <c r="AI19917" s="831">
        <v>0</v>
      </c>
      <c r="AJ19917" s="835">
        <v>41090</v>
      </c>
      <c r="AK19917" s="831">
        <v>51276754</v>
      </c>
    </row>
    <row r="19918" spans="2:37">
      <c r="B19918" s="834" t="str">
        <f t="shared" si="701"/>
        <v>|||</v>
      </c>
      <c r="H19918" s="835">
        <f t="shared" si="702"/>
        <v>31</v>
      </c>
      <c r="AF19918" s="831" t="s">
        <v>10425</v>
      </c>
      <c r="AG19918" s="831" t="s">
        <v>2674</v>
      </c>
      <c r="AH19918" s="831" t="s">
        <v>6600</v>
      </c>
      <c r="AI19918" s="831">
        <v>0</v>
      </c>
      <c r="AJ19918" s="835">
        <v>41090</v>
      </c>
      <c r="AK19918" s="831">
        <v>-2146826246</v>
      </c>
    </row>
    <row r="19919" spans="2:37">
      <c r="B19919" s="834" t="str">
        <f t="shared" si="701"/>
        <v>|||</v>
      </c>
      <c r="H19919" s="835">
        <f t="shared" si="702"/>
        <v>31</v>
      </c>
      <c r="AF19919" s="831" t="s">
        <v>10426</v>
      </c>
      <c r="AG19919" s="831" t="s">
        <v>2674</v>
      </c>
      <c r="AH19919" s="831" t="s">
        <v>6602</v>
      </c>
      <c r="AI19919" s="831">
        <v>0</v>
      </c>
      <c r="AJ19919" s="835">
        <v>41090</v>
      </c>
      <c r="AK19919" s="831">
        <v>6352093</v>
      </c>
    </row>
    <row r="19920" spans="2:37">
      <c r="B19920" s="834" t="str">
        <f t="shared" si="701"/>
        <v>|||</v>
      </c>
      <c r="H19920" s="835">
        <f t="shared" si="702"/>
        <v>31</v>
      </c>
      <c r="AF19920" s="831" t="s">
        <v>10427</v>
      </c>
      <c r="AG19920" s="831" t="s">
        <v>2674</v>
      </c>
      <c r="AH19920" s="831" t="s">
        <v>650</v>
      </c>
      <c r="AI19920" s="831">
        <v>0</v>
      </c>
      <c r="AJ19920" s="835">
        <v>41090</v>
      </c>
      <c r="AK19920" s="831">
        <v>0</v>
      </c>
    </row>
    <row r="19921" spans="2:37">
      <c r="B19921" s="834" t="str">
        <f t="shared" ref="B19921:B19984" si="703">C19921&amp;"|"&amp;D19921&amp;"|"&amp;E19921&amp;"|"&amp;F19921</f>
        <v>|||</v>
      </c>
      <c r="H19921" s="835">
        <f t="shared" ref="H19921:H19984" si="704">EOMONTH(L19921,0)</f>
        <v>31</v>
      </c>
      <c r="AF19921" s="831" t="s">
        <v>10428</v>
      </c>
      <c r="AG19921" s="831" t="s">
        <v>2674</v>
      </c>
      <c r="AH19921" s="831" t="s">
        <v>655</v>
      </c>
      <c r="AI19921" s="831">
        <v>0</v>
      </c>
      <c r="AJ19921" s="835">
        <v>41090</v>
      </c>
      <c r="AK19921" s="831">
        <v>2251978</v>
      </c>
    </row>
    <row r="19922" spans="2:37">
      <c r="B19922" s="834" t="str">
        <f t="shared" si="703"/>
        <v>|||</v>
      </c>
      <c r="H19922" s="835">
        <f t="shared" si="704"/>
        <v>31</v>
      </c>
      <c r="AF19922" s="831" t="s">
        <v>10429</v>
      </c>
      <c r="AG19922" s="831" t="s">
        <v>2674</v>
      </c>
      <c r="AH19922" s="831" t="s">
        <v>546</v>
      </c>
      <c r="AI19922" s="831">
        <v>0</v>
      </c>
      <c r="AJ19922" s="835">
        <v>41121</v>
      </c>
      <c r="AK19922" s="831">
        <v>350104350</v>
      </c>
    </row>
    <row r="19923" spans="2:37">
      <c r="B19923" s="834" t="str">
        <f t="shared" si="703"/>
        <v>|||</v>
      </c>
      <c r="H19923" s="835">
        <f t="shared" si="704"/>
        <v>31</v>
      </c>
      <c r="AF19923" s="831" t="s">
        <v>10430</v>
      </c>
      <c r="AG19923" s="831" t="s">
        <v>2674</v>
      </c>
      <c r="AH19923" s="831" t="s">
        <v>370</v>
      </c>
      <c r="AI19923" s="831">
        <v>0</v>
      </c>
      <c r="AJ19923" s="835">
        <v>41121</v>
      </c>
      <c r="AK19923" s="831">
        <v>438122032</v>
      </c>
    </row>
    <row r="19924" spans="2:37">
      <c r="B19924" s="834" t="str">
        <f t="shared" si="703"/>
        <v>|||</v>
      </c>
      <c r="H19924" s="835">
        <f t="shared" si="704"/>
        <v>31</v>
      </c>
      <c r="AF19924" s="831" t="s">
        <v>10431</v>
      </c>
      <c r="AG19924" s="831" t="s">
        <v>2674</v>
      </c>
      <c r="AH19924" s="831" t="s">
        <v>126</v>
      </c>
      <c r="AI19924" s="831">
        <v>0</v>
      </c>
      <c r="AJ19924" s="835">
        <v>41121</v>
      </c>
      <c r="AK19924" s="831">
        <v>93426827</v>
      </c>
    </row>
    <row r="19925" spans="2:37">
      <c r="B19925" s="834" t="str">
        <f t="shared" si="703"/>
        <v>|||</v>
      </c>
      <c r="H19925" s="835">
        <f t="shared" si="704"/>
        <v>31</v>
      </c>
      <c r="AF19925" s="831" t="s">
        <v>10432</v>
      </c>
      <c r="AG19925" s="831" t="s">
        <v>2674</v>
      </c>
      <c r="AH19925" s="831" t="s">
        <v>268</v>
      </c>
      <c r="AI19925" s="831">
        <v>0</v>
      </c>
      <c r="AJ19925" s="835">
        <v>41121</v>
      </c>
      <c r="AK19925" s="831">
        <v>8103905</v>
      </c>
    </row>
    <row r="19926" spans="2:37">
      <c r="B19926" s="834" t="str">
        <f t="shared" si="703"/>
        <v>|||</v>
      </c>
      <c r="H19926" s="835">
        <f t="shared" si="704"/>
        <v>31</v>
      </c>
      <c r="AF19926" s="831" t="s">
        <v>10433</v>
      </c>
      <c r="AG19926" s="831" t="s">
        <v>2674</v>
      </c>
      <c r="AH19926" s="831" t="s">
        <v>547</v>
      </c>
      <c r="AI19926" s="831">
        <v>0</v>
      </c>
      <c r="AJ19926" s="835">
        <v>41121</v>
      </c>
      <c r="AK19926" s="831">
        <v>0</v>
      </c>
    </row>
    <row r="19927" spans="2:37">
      <c r="B19927" s="834" t="str">
        <f t="shared" si="703"/>
        <v>|||</v>
      </c>
      <c r="H19927" s="835">
        <f t="shared" si="704"/>
        <v>31</v>
      </c>
      <c r="AF19927" s="831" t="s">
        <v>10434</v>
      </c>
      <c r="AG19927" s="831" t="s">
        <v>2674</v>
      </c>
      <c r="AH19927" s="831" t="s">
        <v>548</v>
      </c>
      <c r="AI19927" s="831">
        <v>0</v>
      </c>
      <c r="AJ19927" s="835">
        <v>41121</v>
      </c>
      <c r="AK19927" s="831">
        <v>0</v>
      </c>
    </row>
    <row r="19928" spans="2:37">
      <c r="B19928" s="834" t="str">
        <f t="shared" si="703"/>
        <v>|||</v>
      </c>
      <c r="H19928" s="835">
        <f t="shared" si="704"/>
        <v>31</v>
      </c>
      <c r="AF19928" s="831" t="s">
        <v>10435</v>
      </c>
      <c r="AG19928" s="831" t="s">
        <v>2674</v>
      </c>
      <c r="AH19928" s="831" t="s">
        <v>549</v>
      </c>
      <c r="AI19928" s="831">
        <v>0</v>
      </c>
      <c r="AJ19928" s="835">
        <v>41121</v>
      </c>
      <c r="AK19928" s="831">
        <v>0</v>
      </c>
    </row>
    <row r="19929" spans="2:37">
      <c r="B19929" s="834" t="str">
        <f t="shared" si="703"/>
        <v>|||</v>
      </c>
      <c r="H19929" s="835">
        <f t="shared" si="704"/>
        <v>31</v>
      </c>
      <c r="AF19929" s="831" t="s">
        <v>10436</v>
      </c>
      <c r="AG19929" s="831" t="s">
        <v>2674</v>
      </c>
      <c r="AH19929" s="831" t="s">
        <v>192</v>
      </c>
      <c r="AI19929" s="831">
        <v>0</v>
      </c>
      <c r="AJ19929" s="835">
        <v>41121</v>
      </c>
      <c r="AK19929" s="831">
        <v>-9691486</v>
      </c>
    </row>
    <row r="19930" spans="2:37">
      <c r="B19930" s="834" t="str">
        <f t="shared" si="703"/>
        <v>|||</v>
      </c>
      <c r="H19930" s="835">
        <f t="shared" si="704"/>
        <v>31</v>
      </c>
      <c r="AF19930" s="831" t="s">
        <v>10437</v>
      </c>
      <c r="AG19930" s="831" t="s">
        <v>2674</v>
      </c>
      <c r="AH19930" s="831" t="s">
        <v>558</v>
      </c>
      <c r="AI19930" s="831">
        <v>0</v>
      </c>
      <c r="AJ19930" s="835">
        <v>41121</v>
      </c>
      <c r="AK19930" s="831">
        <v>344695205</v>
      </c>
    </row>
    <row r="19931" spans="2:37">
      <c r="B19931" s="834" t="str">
        <f t="shared" si="703"/>
        <v>|||</v>
      </c>
      <c r="H19931" s="835">
        <f t="shared" si="704"/>
        <v>31</v>
      </c>
      <c r="AF19931" s="831" t="s">
        <v>10438</v>
      </c>
      <c r="AG19931" s="831" t="s">
        <v>2674</v>
      </c>
      <c r="AH19931" s="831" t="s">
        <v>65</v>
      </c>
      <c r="AI19931" s="831">
        <v>0</v>
      </c>
      <c r="AJ19931" s="835">
        <v>41121</v>
      </c>
      <c r="AK19931" s="831">
        <v>54573964</v>
      </c>
    </row>
    <row r="19932" spans="2:37">
      <c r="B19932" s="834" t="str">
        <f t="shared" si="703"/>
        <v>|||</v>
      </c>
      <c r="H19932" s="835">
        <f t="shared" si="704"/>
        <v>31</v>
      </c>
      <c r="AF19932" s="831" t="s">
        <v>10439</v>
      </c>
      <c r="AG19932" s="831" t="s">
        <v>2674</v>
      </c>
      <c r="AH19932" s="831" t="s">
        <v>89</v>
      </c>
      <c r="AI19932" s="831">
        <v>0</v>
      </c>
      <c r="AJ19932" s="835">
        <v>41121</v>
      </c>
      <c r="AK19932" s="831">
        <v>121835</v>
      </c>
    </row>
    <row r="19933" spans="2:37">
      <c r="B19933" s="834" t="str">
        <f t="shared" si="703"/>
        <v>|||</v>
      </c>
      <c r="H19933" s="835">
        <f t="shared" si="704"/>
        <v>31</v>
      </c>
      <c r="AF19933" s="831" t="s">
        <v>10440</v>
      </c>
      <c r="AG19933" s="831" t="s">
        <v>2674</v>
      </c>
      <c r="AH19933" s="831" t="s">
        <v>557</v>
      </c>
      <c r="AI19933" s="831">
        <v>0</v>
      </c>
      <c r="AJ19933" s="835">
        <v>41121</v>
      </c>
      <c r="AK19933" s="831">
        <v>123680</v>
      </c>
    </row>
    <row r="19934" spans="2:37">
      <c r="B19934" s="834" t="str">
        <f t="shared" si="703"/>
        <v>|||</v>
      </c>
      <c r="H19934" s="835">
        <f t="shared" si="704"/>
        <v>31</v>
      </c>
      <c r="AF19934" s="831" t="s">
        <v>10441</v>
      </c>
      <c r="AG19934" s="831" t="s">
        <v>2674</v>
      </c>
      <c r="AH19934" s="831" t="s">
        <v>29</v>
      </c>
      <c r="AI19934" s="831">
        <v>0</v>
      </c>
      <c r="AJ19934" s="835">
        <v>41121</v>
      </c>
      <c r="AK19934" s="831">
        <v>2520940</v>
      </c>
    </row>
    <row r="19935" spans="2:37">
      <c r="B19935" s="834" t="str">
        <f t="shared" si="703"/>
        <v>|||</v>
      </c>
      <c r="H19935" s="835">
        <f t="shared" si="704"/>
        <v>31</v>
      </c>
      <c r="AF19935" s="831" t="s">
        <v>10442</v>
      </c>
      <c r="AG19935" s="831" t="s">
        <v>2674</v>
      </c>
      <c r="AH19935" s="831" t="s">
        <v>2688</v>
      </c>
      <c r="AI19935" s="831">
        <v>0</v>
      </c>
      <c r="AJ19935" s="835">
        <v>41121</v>
      </c>
      <c r="AK19935" s="831">
        <v>2874987.63</v>
      </c>
    </row>
    <row r="19936" spans="2:37">
      <c r="B19936" s="834" t="str">
        <f t="shared" si="703"/>
        <v>|||</v>
      </c>
      <c r="H19936" s="835">
        <f t="shared" si="704"/>
        <v>31</v>
      </c>
      <c r="AF19936" s="831" t="s">
        <v>10443</v>
      </c>
      <c r="AG19936" s="831" t="s">
        <v>2674</v>
      </c>
      <c r="AH19936" s="831" t="s">
        <v>556</v>
      </c>
      <c r="AI19936" s="831">
        <v>0</v>
      </c>
      <c r="AJ19936" s="835">
        <v>41121</v>
      </c>
      <c r="AK19936" s="831">
        <v>0</v>
      </c>
    </row>
    <row r="19937" spans="2:37">
      <c r="B19937" s="834" t="str">
        <f t="shared" si="703"/>
        <v>|||</v>
      </c>
      <c r="H19937" s="835">
        <f t="shared" si="704"/>
        <v>31</v>
      </c>
      <c r="AF19937" s="831" t="s">
        <v>10444</v>
      </c>
      <c r="AG19937" s="831" t="s">
        <v>2674</v>
      </c>
      <c r="AH19937" s="831" t="s">
        <v>555</v>
      </c>
      <c r="AI19937" s="831">
        <v>0</v>
      </c>
      <c r="AJ19937" s="835">
        <v>41121</v>
      </c>
      <c r="AK19937" s="831">
        <v>212532560</v>
      </c>
    </row>
    <row r="19938" spans="2:37">
      <c r="B19938" s="834" t="str">
        <f t="shared" si="703"/>
        <v>|||</v>
      </c>
      <c r="H19938" s="835">
        <f t="shared" si="704"/>
        <v>31</v>
      </c>
      <c r="AF19938" s="831" t="s">
        <v>10445</v>
      </c>
      <c r="AG19938" s="831" t="s">
        <v>2674</v>
      </c>
      <c r="AH19938" s="831" t="s">
        <v>554</v>
      </c>
      <c r="AI19938" s="831">
        <v>0</v>
      </c>
      <c r="AJ19938" s="835">
        <v>41121</v>
      </c>
      <c r="AK19938" s="831">
        <v>206644050</v>
      </c>
    </row>
    <row r="19939" spans="2:37">
      <c r="B19939" s="834" t="str">
        <f t="shared" si="703"/>
        <v>|||</v>
      </c>
      <c r="H19939" s="835">
        <f t="shared" si="704"/>
        <v>31</v>
      </c>
      <c r="AF19939" s="831" t="s">
        <v>10446</v>
      </c>
      <c r="AG19939" s="831" t="s">
        <v>2674</v>
      </c>
      <c r="AH19939" s="831" t="s">
        <v>553</v>
      </c>
      <c r="AI19939" s="831">
        <v>0</v>
      </c>
      <c r="AJ19939" s="835">
        <v>41121</v>
      </c>
      <c r="AK19939" s="831">
        <v>0</v>
      </c>
    </row>
    <row r="19940" spans="2:37">
      <c r="B19940" s="834" t="str">
        <f t="shared" si="703"/>
        <v>|||</v>
      </c>
      <c r="H19940" s="835">
        <f t="shared" si="704"/>
        <v>31</v>
      </c>
      <c r="AF19940" s="831" t="s">
        <v>10447</v>
      </c>
      <c r="AG19940" s="831" t="s">
        <v>2674</v>
      </c>
      <c r="AH19940" s="831" t="s">
        <v>552</v>
      </c>
      <c r="AI19940" s="831">
        <v>0</v>
      </c>
      <c r="AJ19940" s="835">
        <v>41121</v>
      </c>
      <c r="AK19940" s="831">
        <v>0</v>
      </c>
    </row>
    <row r="19941" spans="2:37">
      <c r="B19941" s="834" t="str">
        <f t="shared" si="703"/>
        <v>|||</v>
      </c>
      <c r="H19941" s="835">
        <f t="shared" si="704"/>
        <v>31</v>
      </c>
      <c r="AF19941" s="831" t="s">
        <v>10448</v>
      </c>
      <c r="AG19941" s="831" t="s">
        <v>2674</v>
      </c>
      <c r="AH19941" s="831" t="s">
        <v>551</v>
      </c>
      <c r="AI19941" s="831">
        <v>0</v>
      </c>
      <c r="AJ19941" s="835">
        <v>41121</v>
      </c>
      <c r="AK19941" s="831">
        <v>2408186</v>
      </c>
    </row>
    <row r="19942" spans="2:37">
      <c r="B19942" s="834" t="str">
        <f t="shared" si="703"/>
        <v>|||</v>
      </c>
      <c r="H19942" s="835">
        <f t="shared" si="704"/>
        <v>31</v>
      </c>
      <c r="AF19942" s="831" t="s">
        <v>10449</v>
      </c>
      <c r="AG19942" s="831" t="s">
        <v>2674</v>
      </c>
      <c r="AH19942" s="831" t="s">
        <v>550</v>
      </c>
      <c r="AI19942" s="831">
        <v>0</v>
      </c>
      <c r="AJ19942" s="835">
        <v>41121</v>
      </c>
      <c r="AK19942" s="831">
        <v>91675016</v>
      </c>
    </row>
    <row r="19943" spans="2:37">
      <c r="B19943" s="834" t="str">
        <f t="shared" si="703"/>
        <v>|||</v>
      </c>
      <c r="H19943" s="835">
        <f t="shared" si="704"/>
        <v>31</v>
      </c>
      <c r="AF19943" s="831" t="s">
        <v>10450</v>
      </c>
      <c r="AG19943" s="831" t="s">
        <v>2674</v>
      </c>
      <c r="AH19943" s="831" t="s">
        <v>562</v>
      </c>
      <c r="AI19943" s="831">
        <v>0</v>
      </c>
      <c r="AJ19943" s="835">
        <v>41121</v>
      </c>
      <c r="AK19943" s="831">
        <v>0.78495000000000004</v>
      </c>
    </row>
    <row r="19944" spans="2:37">
      <c r="B19944" s="834" t="str">
        <f t="shared" si="703"/>
        <v>|||</v>
      </c>
      <c r="H19944" s="835">
        <f t="shared" si="704"/>
        <v>31</v>
      </c>
      <c r="AF19944" s="831" t="s">
        <v>10451</v>
      </c>
      <c r="AG19944" s="831" t="s">
        <v>2674</v>
      </c>
      <c r="AH19944" s="831" t="s">
        <v>2698</v>
      </c>
      <c r="AI19944" s="831">
        <v>0</v>
      </c>
      <c r="AJ19944" s="835">
        <v>41121</v>
      </c>
      <c r="AK19944" s="831">
        <v>0.78505000000000003</v>
      </c>
    </row>
    <row r="19945" spans="2:37">
      <c r="B19945" s="834" t="str">
        <f t="shared" si="703"/>
        <v>|||</v>
      </c>
      <c r="H19945" s="835">
        <f t="shared" si="704"/>
        <v>31</v>
      </c>
      <c r="AF19945" s="831" t="s">
        <v>10452</v>
      </c>
      <c r="AG19945" s="831" t="s">
        <v>2674</v>
      </c>
      <c r="AH19945" s="831" t="s">
        <v>560</v>
      </c>
      <c r="AI19945" s="831">
        <v>0</v>
      </c>
      <c r="AJ19945" s="835">
        <v>41121</v>
      </c>
      <c r="AK19945" s="831">
        <v>0.7855714285714287</v>
      </c>
    </row>
    <row r="19946" spans="2:37">
      <c r="B19946" s="834" t="str">
        <f t="shared" si="703"/>
        <v>|||</v>
      </c>
      <c r="H19946" s="835">
        <f t="shared" si="704"/>
        <v>31</v>
      </c>
      <c r="AF19946" s="831" t="s">
        <v>10453</v>
      </c>
      <c r="AG19946" s="831" t="s">
        <v>2674</v>
      </c>
      <c r="AH19946" s="831" t="s">
        <v>559</v>
      </c>
      <c r="AI19946" s="831">
        <v>0</v>
      </c>
      <c r="AJ19946" s="835">
        <v>41121</v>
      </c>
      <c r="AK19946" s="831">
        <v>0.7854916666666667</v>
      </c>
    </row>
    <row r="19947" spans="2:37">
      <c r="B19947" s="834" t="str">
        <f t="shared" si="703"/>
        <v>|||</v>
      </c>
      <c r="H19947" s="835">
        <f t="shared" si="704"/>
        <v>31</v>
      </c>
      <c r="AF19947" s="831" t="s">
        <v>10454</v>
      </c>
      <c r="AG19947" s="831" t="s">
        <v>2674</v>
      </c>
      <c r="AH19947" s="831" t="s">
        <v>568</v>
      </c>
      <c r="AI19947" s="831">
        <v>0</v>
      </c>
      <c r="AJ19947" s="835">
        <v>41121</v>
      </c>
      <c r="AK19947" s="831">
        <v>0</v>
      </c>
    </row>
    <row r="19948" spans="2:37">
      <c r="B19948" s="834" t="str">
        <f t="shared" si="703"/>
        <v>|||</v>
      </c>
      <c r="H19948" s="835">
        <f t="shared" si="704"/>
        <v>31</v>
      </c>
      <c r="AF19948" s="831" t="s">
        <v>10455</v>
      </c>
      <c r="AG19948" s="831" t="s">
        <v>2674</v>
      </c>
      <c r="AH19948" s="831" t="s">
        <v>569</v>
      </c>
      <c r="AI19948" s="831">
        <v>0</v>
      </c>
      <c r="AJ19948" s="835">
        <v>41121</v>
      </c>
      <c r="AK19948" s="831">
        <v>0</v>
      </c>
    </row>
    <row r="19949" spans="2:37">
      <c r="B19949" s="834" t="str">
        <f t="shared" si="703"/>
        <v>|||</v>
      </c>
      <c r="H19949" s="835">
        <f t="shared" si="704"/>
        <v>31</v>
      </c>
      <c r="AF19949" s="831" t="s">
        <v>10456</v>
      </c>
      <c r="AG19949" s="831" t="s">
        <v>2674</v>
      </c>
      <c r="AH19949" s="831" t="s">
        <v>570</v>
      </c>
      <c r="AI19949" s="831">
        <v>0</v>
      </c>
      <c r="AJ19949" s="835">
        <v>41121</v>
      </c>
      <c r="AK19949" s="831">
        <v>0</v>
      </c>
    </row>
    <row r="19950" spans="2:37">
      <c r="B19950" s="834" t="str">
        <f t="shared" si="703"/>
        <v>|||</v>
      </c>
      <c r="H19950" s="835">
        <f t="shared" si="704"/>
        <v>31</v>
      </c>
      <c r="AF19950" s="831" t="s">
        <v>10457</v>
      </c>
      <c r="AG19950" s="831" t="s">
        <v>2674</v>
      </c>
      <c r="AH19950" s="831" t="s">
        <v>571</v>
      </c>
      <c r="AI19950" s="831">
        <v>0</v>
      </c>
      <c r="AJ19950" s="835">
        <v>41121</v>
      </c>
      <c r="AK19950" s="831">
        <v>0</v>
      </c>
    </row>
    <row r="19951" spans="2:37">
      <c r="B19951" s="834" t="str">
        <f t="shared" si="703"/>
        <v>|||</v>
      </c>
      <c r="H19951" s="835">
        <f t="shared" si="704"/>
        <v>31</v>
      </c>
      <c r="AF19951" s="831" t="s">
        <v>10458</v>
      </c>
      <c r="AG19951" s="831" t="s">
        <v>2674</v>
      </c>
      <c r="AH19951" s="831" t="s">
        <v>573</v>
      </c>
      <c r="AI19951" s="831">
        <v>0</v>
      </c>
      <c r="AJ19951" s="835">
        <v>41121</v>
      </c>
      <c r="AK19951" s="831">
        <v>0</v>
      </c>
    </row>
    <row r="19952" spans="2:37">
      <c r="B19952" s="834" t="str">
        <f t="shared" si="703"/>
        <v>|||</v>
      </c>
      <c r="H19952" s="835">
        <f t="shared" si="704"/>
        <v>31</v>
      </c>
      <c r="AF19952" s="831" t="s">
        <v>10459</v>
      </c>
      <c r="AG19952" s="831" t="s">
        <v>2674</v>
      </c>
      <c r="AH19952" s="831" t="s">
        <v>574</v>
      </c>
      <c r="AI19952" s="831">
        <v>0</v>
      </c>
      <c r="AJ19952" s="835">
        <v>41121</v>
      </c>
      <c r="AK19952" s="831">
        <v>0</v>
      </c>
    </row>
    <row r="19953" spans="2:37">
      <c r="B19953" s="834" t="str">
        <f t="shared" si="703"/>
        <v>|||</v>
      </c>
      <c r="H19953" s="835">
        <f t="shared" si="704"/>
        <v>31</v>
      </c>
      <c r="AF19953" s="831" t="s">
        <v>10460</v>
      </c>
      <c r="AG19953" s="831" t="s">
        <v>2674</v>
      </c>
      <c r="AH19953" s="831" t="s">
        <v>575</v>
      </c>
      <c r="AI19953" s="831">
        <v>0</v>
      </c>
      <c r="AJ19953" s="835">
        <v>41121</v>
      </c>
      <c r="AK19953" s="831">
        <v>0</v>
      </c>
    </row>
    <row r="19954" spans="2:37">
      <c r="B19954" s="834" t="str">
        <f t="shared" si="703"/>
        <v>|||</v>
      </c>
      <c r="H19954" s="835">
        <f t="shared" si="704"/>
        <v>31</v>
      </c>
      <c r="AF19954" s="831" t="s">
        <v>10461</v>
      </c>
      <c r="AG19954" s="831" t="s">
        <v>2674</v>
      </c>
      <c r="AH19954" s="831" t="s">
        <v>576</v>
      </c>
      <c r="AI19954" s="831">
        <v>0</v>
      </c>
      <c r="AJ19954" s="835">
        <v>41121</v>
      </c>
      <c r="AK19954" s="831">
        <v>0</v>
      </c>
    </row>
    <row r="19955" spans="2:37">
      <c r="B19955" s="834" t="str">
        <f t="shared" si="703"/>
        <v>|||</v>
      </c>
      <c r="H19955" s="835">
        <f t="shared" si="704"/>
        <v>31</v>
      </c>
      <c r="AF19955" s="831" t="s">
        <v>10462</v>
      </c>
      <c r="AG19955" s="831" t="s">
        <v>2674</v>
      </c>
      <c r="AH19955" s="831" t="s">
        <v>572</v>
      </c>
      <c r="AI19955" s="831">
        <v>0</v>
      </c>
      <c r="AJ19955" s="835">
        <v>41121</v>
      </c>
      <c r="AK19955" s="831">
        <v>-2146826246</v>
      </c>
    </row>
    <row r="19956" spans="2:37">
      <c r="B19956" s="834" t="str">
        <f t="shared" si="703"/>
        <v>|||</v>
      </c>
      <c r="H19956" s="835">
        <f t="shared" si="704"/>
        <v>31</v>
      </c>
      <c r="AF19956" s="831" t="s">
        <v>10463</v>
      </c>
      <c r="AG19956" s="831" t="s">
        <v>2674</v>
      </c>
      <c r="AH19956" s="831" t="s">
        <v>577</v>
      </c>
      <c r="AI19956" s="831">
        <v>0</v>
      </c>
      <c r="AJ19956" s="835">
        <v>41121</v>
      </c>
      <c r="AK19956" s="831">
        <v>-2146826246</v>
      </c>
    </row>
    <row r="19957" spans="2:37">
      <c r="B19957" s="834" t="str">
        <f t="shared" si="703"/>
        <v>|||</v>
      </c>
      <c r="H19957" s="835">
        <f t="shared" si="704"/>
        <v>31</v>
      </c>
      <c r="AF19957" s="831" t="s">
        <v>10464</v>
      </c>
      <c r="AG19957" s="831" t="s">
        <v>2674</v>
      </c>
      <c r="AH19957" s="831" t="s">
        <v>3042</v>
      </c>
      <c r="AI19957" s="831">
        <v>0</v>
      </c>
      <c r="AJ19957" s="835">
        <v>41121</v>
      </c>
      <c r="AK19957" s="831">
        <v>-2146826246</v>
      </c>
    </row>
    <row r="19958" spans="2:37">
      <c r="B19958" s="834" t="str">
        <f t="shared" si="703"/>
        <v>|||</v>
      </c>
      <c r="H19958" s="835">
        <f t="shared" si="704"/>
        <v>31</v>
      </c>
      <c r="AF19958" s="831" t="s">
        <v>10465</v>
      </c>
      <c r="AG19958" s="831" t="s">
        <v>2674</v>
      </c>
      <c r="AH19958" s="831" t="s">
        <v>3044</v>
      </c>
      <c r="AI19958" s="831">
        <v>0</v>
      </c>
      <c r="AJ19958" s="835">
        <v>41121</v>
      </c>
      <c r="AK19958" s="831">
        <v>-2146826246</v>
      </c>
    </row>
    <row r="19959" spans="2:37">
      <c r="B19959" s="834" t="str">
        <f t="shared" si="703"/>
        <v>|||</v>
      </c>
      <c r="H19959" s="835">
        <f t="shared" si="704"/>
        <v>31</v>
      </c>
      <c r="AF19959" s="831" t="s">
        <v>10466</v>
      </c>
      <c r="AG19959" s="831" t="s">
        <v>2674</v>
      </c>
      <c r="AH19959" s="831" t="s">
        <v>580</v>
      </c>
      <c r="AI19959" s="831">
        <v>0</v>
      </c>
      <c r="AJ19959" s="835">
        <v>41121</v>
      </c>
      <c r="AK19959" s="831">
        <v>-2146826246</v>
      </c>
    </row>
    <row r="19960" spans="2:37">
      <c r="B19960" s="834" t="str">
        <f t="shared" si="703"/>
        <v>|||</v>
      </c>
      <c r="H19960" s="835">
        <f t="shared" si="704"/>
        <v>31</v>
      </c>
      <c r="AF19960" s="831" t="s">
        <v>10467</v>
      </c>
      <c r="AG19960" s="831" t="s">
        <v>2674</v>
      </c>
      <c r="AH19960" s="831" t="s">
        <v>581</v>
      </c>
      <c r="AI19960" s="831">
        <v>0</v>
      </c>
      <c r="AJ19960" s="835">
        <v>41121</v>
      </c>
      <c r="AK19960" s="831">
        <v>-2146826246</v>
      </c>
    </row>
    <row r="19961" spans="2:37">
      <c r="B19961" s="834" t="str">
        <f t="shared" si="703"/>
        <v>|||</v>
      </c>
      <c r="H19961" s="835">
        <f t="shared" si="704"/>
        <v>31</v>
      </c>
      <c r="AF19961" s="831" t="s">
        <v>10468</v>
      </c>
      <c r="AG19961" s="831" t="s">
        <v>2674</v>
      </c>
      <c r="AH19961" s="831" t="s">
        <v>105</v>
      </c>
      <c r="AI19961" s="831">
        <v>0</v>
      </c>
      <c r="AJ19961" s="835">
        <v>41121</v>
      </c>
      <c r="AK19961" s="831">
        <v>164564846</v>
      </c>
    </row>
    <row r="19962" spans="2:37">
      <c r="B19962" s="834" t="str">
        <f t="shared" si="703"/>
        <v>|||</v>
      </c>
      <c r="H19962" s="835">
        <f t="shared" si="704"/>
        <v>31</v>
      </c>
      <c r="AF19962" s="831" t="s">
        <v>10469</v>
      </c>
      <c r="AG19962" s="831" t="s">
        <v>2674</v>
      </c>
      <c r="AH19962" s="831" t="s">
        <v>3049</v>
      </c>
      <c r="AI19962" s="831">
        <v>0</v>
      </c>
      <c r="AJ19962" s="835">
        <v>41121</v>
      </c>
      <c r="AK19962" s="831">
        <v>330970241</v>
      </c>
    </row>
    <row r="19963" spans="2:37">
      <c r="B19963" s="834" t="str">
        <f t="shared" si="703"/>
        <v>|||</v>
      </c>
      <c r="H19963" s="835">
        <f t="shared" si="704"/>
        <v>31</v>
      </c>
      <c r="AF19963" s="831" t="s">
        <v>10470</v>
      </c>
      <c r="AG19963" s="831" t="s">
        <v>2674</v>
      </c>
      <c r="AH19963" s="831" t="s">
        <v>103</v>
      </c>
      <c r="AI19963" s="831">
        <v>0</v>
      </c>
      <c r="AJ19963" s="835">
        <v>41121</v>
      </c>
      <c r="AK19963" s="831">
        <v>166405395</v>
      </c>
    </row>
    <row r="19964" spans="2:37">
      <c r="B19964" s="834" t="str">
        <f t="shared" si="703"/>
        <v>|||</v>
      </c>
      <c r="H19964" s="835">
        <f t="shared" si="704"/>
        <v>31</v>
      </c>
      <c r="AF19964" s="831" t="s">
        <v>10471</v>
      </c>
      <c r="AG19964" s="831" t="s">
        <v>2674</v>
      </c>
      <c r="AH19964" s="831" t="s">
        <v>182</v>
      </c>
      <c r="AI19964" s="831">
        <v>0</v>
      </c>
      <c r="AJ19964" s="835">
        <v>41121</v>
      </c>
      <c r="AK19964" s="831">
        <v>50915117.142857142</v>
      </c>
    </row>
    <row r="19965" spans="2:37">
      <c r="B19965" s="834" t="str">
        <f t="shared" si="703"/>
        <v>|||</v>
      </c>
      <c r="H19965" s="835">
        <f t="shared" si="704"/>
        <v>31</v>
      </c>
      <c r="AF19965" s="831" t="s">
        <v>10472</v>
      </c>
      <c r="AG19965" s="831" t="s">
        <v>2674</v>
      </c>
      <c r="AH19965" s="831" t="s">
        <v>6600</v>
      </c>
      <c r="AI19965" s="831">
        <v>0</v>
      </c>
      <c r="AJ19965" s="835">
        <v>41121</v>
      </c>
      <c r="AK19965" s="831">
        <v>-2146826246</v>
      </c>
    </row>
    <row r="19966" spans="2:37">
      <c r="B19966" s="834" t="str">
        <f t="shared" si="703"/>
        <v>|||</v>
      </c>
      <c r="H19966" s="835">
        <f t="shared" si="704"/>
        <v>31</v>
      </c>
      <c r="AF19966" s="831" t="s">
        <v>10473</v>
      </c>
      <c r="AG19966" s="831" t="s">
        <v>2674</v>
      </c>
      <c r="AH19966" s="831" t="s">
        <v>6602</v>
      </c>
      <c r="AI19966" s="831">
        <v>0</v>
      </c>
      <c r="AJ19966" s="835">
        <v>41121</v>
      </c>
      <c r="AK19966" s="831">
        <v>8103905</v>
      </c>
    </row>
    <row r="19967" spans="2:37">
      <c r="B19967" s="834" t="str">
        <f t="shared" si="703"/>
        <v>|||</v>
      </c>
      <c r="H19967" s="835">
        <f t="shared" si="704"/>
        <v>31</v>
      </c>
      <c r="AF19967" s="831" t="s">
        <v>10474</v>
      </c>
      <c r="AG19967" s="831" t="s">
        <v>2674</v>
      </c>
      <c r="AH19967" s="831" t="s">
        <v>650</v>
      </c>
      <c r="AI19967" s="831">
        <v>0</v>
      </c>
      <c r="AJ19967" s="835">
        <v>41121</v>
      </c>
      <c r="AK19967" s="831">
        <v>0</v>
      </c>
    </row>
    <row r="19968" spans="2:37">
      <c r="B19968" s="834" t="str">
        <f t="shared" si="703"/>
        <v>|||</v>
      </c>
      <c r="H19968" s="835">
        <f t="shared" si="704"/>
        <v>31</v>
      </c>
      <c r="AF19968" s="831" t="s">
        <v>10475</v>
      </c>
      <c r="AG19968" s="831" t="s">
        <v>2674</v>
      </c>
      <c r="AH19968" s="831" t="s">
        <v>655</v>
      </c>
      <c r="AI19968" s="831">
        <v>0</v>
      </c>
      <c r="AJ19968" s="835">
        <v>41121</v>
      </c>
      <c r="AK19968" s="831">
        <v>2307351</v>
      </c>
    </row>
    <row r="19969" spans="2:37">
      <c r="B19969" s="834" t="str">
        <f t="shared" si="703"/>
        <v>|||</v>
      </c>
      <c r="H19969" s="835">
        <f t="shared" si="704"/>
        <v>31</v>
      </c>
      <c r="AF19969" s="831" t="s">
        <v>10476</v>
      </c>
      <c r="AG19969" s="831" t="s">
        <v>2674</v>
      </c>
      <c r="AH19969" s="831" t="s">
        <v>546</v>
      </c>
      <c r="AI19969" s="831">
        <v>0</v>
      </c>
      <c r="AJ19969" s="835">
        <v>41152</v>
      </c>
      <c r="AK19969" s="831">
        <v>362295244</v>
      </c>
    </row>
    <row r="19970" spans="2:37">
      <c r="B19970" s="834" t="str">
        <f t="shared" si="703"/>
        <v>|||</v>
      </c>
      <c r="H19970" s="835">
        <f t="shared" si="704"/>
        <v>31</v>
      </c>
      <c r="AF19970" s="831" t="s">
        <v>10477</v>
      </c>
      <c r="AG19970" s="831" t="s">
        <v>2674</v>
      </c>
      <c r="AH19970" s="831" t="s">
        <v>370</v>
      </c>
      <c r="AI19970" s="831">
        <v>0</v>
      </c>
      <c r="AJ19970" s="835">
        <v>41152</v>
      </c>
      <c r="AK19970" s="831">
        <v>452262206</v>
      </c>
    </row>
    <row r="19971" spans="2:37">
      <c r="B19971" s="834" t="str">
        <f t="shared" si="703"/>
        <v>|||</v>
      </c>
      <c r="H19971" s="835">
        <f t="shared" si="704"/>
        <v>31</v>
      </c>
      <c r="AF19971" s="831" t="s">
        <v>10478</v>
      </c>
      <c r="AG19971" s="831" t="s">
        <v>2674</v>
      </c>
      <c r="AH19971" s="831" t="s">
        <v>126</v>
      </c>
      <c r="AI19971" s="831">
        <v>0</v>
      </c>
      <c r="AJ19971" s="835">
        <v>41152</v>
      </c>
      <c r="AK19971" s="831">
        <v>95414973</v>
      </c>
    </row>
    <row r="19972" spans="2:37">
      <c r="B19972" s="834" t="str">
        <f t="shared" si="703"/>
        <v>|||</v>
      </c>
      <c r="H19972" s="835">
        <f t="shared" si="704"/>
        <v>31</v>
      </c>
      <c r="AF19972" s="831" t="s">
        <v>10479</v>
      </c>
      <c r="AG19972" s="831" t="s">
        <v>2674</v>
      </c>
      <c r="AH19972" s="831" t="s">
        <v>268</v>
      </c>
      <c r="AI19972" s="831">
        <v>0</v>
      </c>
      <c r="AJ19972" s="835">
        <v>41152</v>
      </c>
      <c r="AK19972" s="831">
        <v>10092049</v>
      </c>
    </row>
    <row r="19973" spans="2:37">
      <c r="B19973" s="834" t="str">
        <f t="shared" si="703"/>
        <v>|||</v>
      </c>
      <c r="H19973" s="835">
        <f t="shared" si="704"/>
        <v>31</v>
      </c>
      <c r="AF19973" s="831" t="s">
        <v>10480</v>
      </c>
      <c r="AG19973" s="831" t="s">
        <v>2674</v>
      </c>
      <c r="AH19973" s="831" t="s">
        <v>547</v>
      </c>
      <c r="AI19973" s="831">
        <v>0</v>
      </c>
      <c r="AJ19973" s="835">
        <v>41152</v>
      </c>
      <c r="AK19973" s="831">
        <v>0</v>
      </c>
    </row>
    <row r="19974" spans="2:37">
      <c r="B19974" s="834" t="str">
        <f t="shared" si="703"/>
        <v>|||</v>
      </c>
      <c r="H19974" s="835">
        <f t="shared" si="704"/>
        <v>31</v>
      </c>
      <c r="AF19974" s="831" t="s">
        <v>10481</v>
      </c>
      <c r="AG19974" s="831" t="s">
        <v>2674</v>
      </c>
      <c r="AH19974" s="831" t="s">
        <v>548</v>
      </c>
      <c r="AI19974" s="831">
        <v>0</v>
      </c>
      <c r="AJ19974" s="835">
        <v>41152</v>
      </c>
      <c r="AK19974" s="831">
        <v>0</v>
      </c>
    </row>
    <row r="19975" spans="2:37">
      <c r="B19975" s="834" t="str">
        <f t="shared" si="703"/>
        <v>|||</v>
      </c>
      <c r="H19975" s="835">
        <f t="shared" si="704"/>
        <v>31</v>
      </c>
      <c r="AF19975" s="831" t="s">
        <v>10482</v>
      </c>
      <c r="AG19975" s="831" t="s">
        <v>2674</v>
      </c>
      <c r="AH19975" s="831" t="s">
        <v>549</v>
      </c>
      <c r="AI19975" s="831">
        <v>0</v>
      </c>
      <c r="AJ19975" s="835">
        <v>41152</v>
      </c>
      <c r="AK19975" s="831">
        <v>0</v>
      </c>
    </row>
    <row r="19976" spans="2:37">
      <c r="B19976" s="834" t="str">
        <f t="shared" si="703"/>
        <v>|||</v>
      </c>
      <c r="H19976" s="835">
        <f t="shared" si="704"/>
        <v>31</v>
      </c>
      <c r="AF19976" s="831" t="s">
        <v>10483</v>
      </c>
      <c r="AG19976" s="831" t="s">
        <v>2674</v>
      </c>
      <c r="AH19976" s="831" t="s">
        <v>192</v>
      </c>
      <c r="AI19976" s="831">
        <v>0</v>
      </c>
      <c r="AJ19976" s="835">
        <v>41152</v>
      </c>
      <c r="AK19976" s="831">
        <v>-9148265</v>
      </c>
    </row>
    <row r="19977" spans="2:37">
      <c r="B19977" s="834" t="str">
        <f t="shared" si="703"/>
        <v>|||</v>
      </c>
      <c r="H19977" s="835">
        <f t="shared" si="704"/>
        <v>31</v>
      </c>
      <c r="AF19977" s="831" t="s">
        <v>10484</v>
      </c>
      <c r="AG19977" s="831" t="s">
        <v>2674</v>
      </c>
      <c r="AH19977" s="831" t="s">
        <v>558</v>
      </c>
      <c r="AI19977" s="831">
        <v>0</v>
      </c>
      <c r="AJ19977" s="835">
        <v>41152</v>
      </c>
      <c r="AK19977" s="831">
        <v>356847233</v>
      </c>
    </row>
    <row r="19978" spans="2:37">
      <c r="B19978" s="834" t="str">
        <f t="shared" si="703"/>
        <v>|||</v>
      </c>
      <c r="H19978" s="835">
        <f t="shared" si="704"/>
        <v>31</v>
      </c>
      <c r="AF19978" s="831" t="s">
        <v>10485</v>
      </c>
      <c r="AG19978" s="831" t="s">
        <v>2674</v>
      </c>
      <c r="AH19978" s="831" t="s">
        <v>65</v>
      </c>
      <c r="AI19978" s="831">
        <v>0</v>
      </c>
      <c r="AJ19978" s="835">
        <v>41152</v>
      </c>
      <c r="AK19978" s="831">
        <v>63143485</v>
      </c>
    </row>
    <row r="19979" spans="2:37">
      <c r="B19979" s="834" t="str">
        <f t="shared" si="703"/>
        <v>|||</v>
      </c>
      <c r="H19979" s="835">
        <f t="shared" si="704"/>
        <v>31</v>
      </c>
      <c r="AF19979" s="831" t="s">
        <v>10486</v>
      </c>
      <c r="AG19979" s="831" t="s">
        <v>2674</v>
      </c>
      <c r="AH19979" s="831" t="s">
        <v>89</v>
      </c>
      <c r="AI19979" s="831">
        <v>0</v>
      </c>
      <c r="AJ19979" s="835">
        <v>41152</v>
      </c>
      <c r="AK19979" s="831">
        <v>122109</v>
      </c>
    </row>
    <row r="19980" spans="2:37">
      <c r="B19980" s="834" t="str">
        <f t="shared" si="703"/>
        <v>|||</v>
      </c>
      <c r="H19980" s="835">
        <f t="shared" si="704"/>
        <v>31</v>
      </c>
      <c r="AF19980" s="831" t="s">
        <v>10487</v>
      </c>
      <c r="AG19980" s="831" t="s">
        <v>2674</v>
      </c>
      <c r="AH19980" s="831" t="s">
        <v>557</v>
      </c>
      <c r="AI19980" s="831">
        <v>0</v>
      </c>
      <c r="AJ19980" s="835">
        <v>41152</v>
      </c>
      <c r="AK19980" s="831">
        <v>123973</v>
      </c>
    </row>
    <row r="19981" spans="2:37">
      <c r="B19981" s="834" t="str">
        <f t="shared" si="703"/>
        <v>|||</v>
      </c>
      <c r="H19981" s="835">
        <f t="shared" si="704"/>
        <v>31</v>
      </c>
      <c r="AF19981" s="831" t="s">
        <v>10488</v>
      </c>
      <c r="AG19981" s="831" t="s">
        <v>2674</v>
      </c>
      <c r="AH19981" s="831" t="s">
        <v>29</v>
      </c>
      <c r="AI19981" s="831">
        <v>0</v>
      </c>
      <c r="AJ19981" s="835">
        <v>41152</v>
      </c>
      <c r="AK19981" s="831">
        <v>2024314</v>
      </c>
    </row>
    <row r="19982" spans="2:37">
      <c r="B19982" s="834" t="str">
        <f t="shared" si="703"/>
        <v>|||</v>
      </c>
      <c r="H19982" s="835">
        <f t="shared" si="704"/>
        <v>31</v>
      </c>
      <c r="AF19982" s="831" t="s">
        <v>10489</v>
      </c>
      <c r="AG19982" s="831" t="s">
        <v>2674</v>
      </c>
      <c r="AH19982" s="831" t="s">
        <v>2688</v>
      </c>
      <c r="AI19982" s="831">
        <v>0</v>
      </c>
      <c r="AJ19982" s="835">
        <v>41152</v>
      </c>
      <c r="AK19982" s="831">
        <v>2600544</v>
      </c>
    </row>
    <row r="19983" spans="2:37">
      <c r="B19983" s="834" t="str">
        <f t="shared" si="703"/>
        <v>|||</v>
      </c>
      <c r="H19983" s="835">
        <f t="shared" si="704"/>
        <v>31</v>
      </c>
      <c r="AF19983" s="831" t="s">
        <v>10490</v>
      </c>
      <c r="AG19983" s="831" t="s">
        <v>2674</v>
      </c>
      <c r="AH19983" s="831" t="s">
        <v>556</v>
      </c>
      <c r="AI19983" s="831">
        <v>0</v>
      </c>
      <c r="AJ19983" s="835">
        <v>41152</v>
      </c>
      <c r="AK19983" s="831">
        <v>902857</v>
      </c>
    </row>
    <row r="19984" spans="2:37">
      <c r="B19984" s="834" t="str">
        <f t="shared" si="703"/>
        <v>|||</v>
      </c>
      <c r="H19984" s="835">
        <f t="shared" si="704"/>
        <v>31</v>
      </c>
      <c r="AF19984" s="831" t="s">
        <v>10491</v>
      </c>
      <c r="AG19984" s="831" t="s">
        <v>2674</v>
      </c>
      <c r="AH19984" s="831" t="s">
        <v>555</v>
      </c>
      <c r="AI19984" s="831">
        <v>0</v>
      </c>
      <c r="AJ19984" s="835">
        <v>41152</v>
      </c>
      <c r="AK19984" s="831">
        <v>221766870</v>
      </c>
    </row>
    <row r="19985" spans="2:37">
      <c r="B19985" s="834" t="str">
        <f t="shared" ref="B19985:B20000" si="705">C19985&amp;"|"&amp;D19985&amp;"|"&amp;E19985&amp;"|"&amp;F19985</f>
        <v>|||</v>
      </c>
      <c r="H19985" s="835">
        <f t="shared" ref="H19985:H20000" si="706">EOMONTH(L19985,0)</f>
        <v>31</v>
      </c>
      <c r="AF19985" s="831" t="s">
        <v>10492</v>
      </c>
      <c r="AG19985" s="831" t="s">
        <v>2674</v>
      </c>
      <c r="AH19985" s="831" t="s">
        <v>554</v>
      </c>
      <c r="AI19985" s="831">
        <v>0</v>
      </c>
      <c r="AJ19985" s="835">
        <v>41152</v>
      </c>
      <c r="AK19985" s="831">
        <v>217001920</v>
      </c>
    </row>
    <row r="19986" spans="2:37">
      <c r="B19986" s="834" t="str">
        <f t="shared" si="705"/>
        <v>|||</v>
      </c>
      <c r="H19986" s="835">
        <f t="shared" si="706"/>
        <v>31</v>
      </c>
      <c r="AF19986" s="831" t="s">
        <v>10493</v>
      </c>
      <c r="AG19986" s="831" t="s">
        <v>2674</v>
      </c>
      <c r="AH19986" s="831" t="s">
        <v>553</v>
      </c>
      <c r="AI19986" s="831">
        <v>0</v>
      </c>
      <c r="AJ19986" s="835">
        <v>41152</v>
      </c>
      <c r="AK19986" s="831">
        <v>0</v>
      </c>
    </row>
    <row r="19987" spans="2:37">
      <c r="B19987" s="834" t="str">
        <f t="shared" si="705"/>
        <v>|||</v>
      </c>
      <c r="H19987" s="835">
        <f t="shared" si="706"/>
        <v>31</v>
      </c>
      <c r="AF19987" s="831" t="s">
        <v>10494</v>
      </c>
      <c r="AG19987" s="831" t="s">
        <v>2674</v>
      </c>
      <c r="AH19987" s="831" t="s">
        <v>552</v>
      </c>
      <c r="AI19987" s="831">
        <v>0</v>
      </c>
      <c r="AJ19987" s="835">
        <v>41152</v>
      </c>
      <c r="AK19987" s="831">
        <v>0</v>
      </c>
    </row>
    <row r="19988" spans="2:37">
      <c r="B19988" s="834" t="str">
        <f t="shared" si="705"/>
        <v>|||</v>
      </c>
      <c r="H19988" s="835">
        <f t="shared" si="706"/>
        <v>31</v>
      </c>
      <c r="AF19988" s="831" t="s">
        <v>10495</v>
      </c>
      <c r="AG19988" s="831" t="s">
        <v>2674</v>
      </c>
      <c r="AH19988" s="831" t="s">
        <v>551</v>
      </c>
      <c r="AI19988" s="831">
        <v>0</v>
      </c>
      <c r="AJ19988" s="835">
        <v>41152</v>
      </c>
      <c r="AK19988" s="831">
        <v>1690236</v>
      </c>
    </row>
    <row r="19989" spans="2:37">
      <c r="B19989" s="834" t="str">
        <f t="shared" si="705"/>
        <v>|||</v>
      </c>
      <c r="H19989" s="835">
        <f t="shared" si="706"/>
        <v>31</v>
      </c>
      <c r="AF19989" s="831" t="s">
        <v>10496</v>
      </c>
      <c r="AG19989" s="831" t="s">
        <v>2674</v>
      </c>
      <c r="AH19989" s="831" t="s">
        <v>550</v>
      </c>
      <c r="AI19989" s="831">
        <v>0</v>
      </c>
      <c r="AJ19989" s="835">
        <v>41152</v>
      </c>
      <c r="AK19989" s="831">
        <v>93426827</v>
      </c>
    </row>
    <row r="19990" spans="2:37">
      <c r="B19990" s="834" t="str">
        <f t="shared" si="705"/>
        <v>|||</v>
      </c>
      <c r="H19990" s="835">
        <f t="shared" si="706"/>
        <v>31</v>
      </c>
      <c r="AF19990" s="831" t="s">
        <v>10497</v>
      </c>
      <c r="AG19990" s="831" t="s">
        <v>2674</v>
      </c>
      <c r="AH19990" s="831" t="s">
        <v>562</v>
      </c>
      <c r="AI19990" s="831">
        <v>0</v>
      </c>
      <c r="AJ19990" s="835">
        <v>41152</v>
      </c>
      <c r="AK19990" s="831">
        <v>0.78449999999999998</v>
      </c>
    </row>
    <row r="19991" spans="2:37">
      <c r="B19991" s="834" t="str">
        <f t="shared" si="705"/>
        <v>|||</v>
      </c>
      <c r="H19991" s="835">
        <f t="shared" si="706"/>
        <v>31</v>
      </c>
      <c r="AF19991" s="831" t="s">
        <v>10498</v>
      </c>
      <c r="AG19991" s="831" t="s">
        <v>2674</v>
      </c>
      <c r="AH19991" s="831" t="s">
        <v>2698</v>
      </c>
      <c r="AI19991" s="831">
        <v>0</v>
      </c>
      <c r="AJ19991" s="835">
        <v>41152</v>
      </c>
      <c r="AK19991" s="831">
        <v>0.78495000000000004</v>
      </c>
    </row>
    <row r="19992" spans="2:37">
      <c r="B19992" s="834" t="str">
        <f t="shared" si="705"/>
        <v>|||</v>
      </c>
      <c r="H19992" s="835">
        <f t="shared" si="706"/>
        <v>31</v>
      </c>
      <c r="AF19992" s="831" t="s">
        <v>10499</v>
      </c>
      <c r="AG19992" s="831" t="s">
        <v>2674</v>
      </c>
      <c r="AH19992" s="831" t="s">
        <v>560</v>
      </c>
      <c r="AI19992" s="831">
        <v>0</v>
      </c>
      <c r="AJ19992" s="835">
        <v>41152</v>
      </c>
      <c r="AK19992" s="831">
        <v>0.78543750000000001</v>
      </c>
    </row>
    <row r="19993" spans="2:37">
      <c r="B19993" s="834" t="str">
        <f t="shared" si="705"/>
        <v>|||</v>
      </c>
      <c r="H19993" s="835">
        <f t="shared" si="706"/>
        <v>31</v>
      </c>
      <c r="AF19993" s="831" t="s">
        <v>10500</v>
      </c>
      <c r="AG19993" s="831" t="s">
        <v>2674</v>
      </c>
      <c r="AH19993" s="831" t="s">
        <v>559</v>
      </c>
      <c r="AI19993" s="831">
        <v>0</v>
      </c>
      <c r="AJ19993" s="835">
        <v>41152</v>
      </c>
      <c r="AK19993" s="831">
        <v>0.78544999999999998</v>
      </c>
    </row>
    <row r="19994" spans="2:37">
      <c r="B19994" s="834" t="str">
        <f t="shared" si="705"/>
        <v>|||</v>
      </c>
      <c r="H19994" s="835">
        <f t="shared" si="706"/>
        <v>31</v>
      </c>
      <c r="AF19994" s="831" t="s">
        <v>10501</v>
      </c>
      <c r="AG19994" s="831" t="s">
        <v>2674</v>
      </c>
      <c r="AH19994" s="831" t="s">
        <v>568</v>
      </c>
      <c r="AI19994" s="831">
        <v>0</v>
      </c>
      <c r="AJ19994" s="835">
        <v>41152</v>
      </c>
      <c r="AK19994" s="831">
        <v>0</v>
      </c>
    </row>
    <row r="19995" spans="2:37">
      <c r="B19995" s="834" t="str">
        <f t="shared" si="705"/>
        <v>|||</v>
      </c>
      <c r="H19995" s="835">
        <f t="shared" si="706"/>
        <v>31</v>
      </c>
      <c r="AF19995" s="831" t="s">
        <v>10502</v>
      </c>
      <c r="AG19995" s="831" t="s">
        <v>2674</v>
      </c>
      <c r="AH19995" s="831" t="s">
        <v>569</v>
      </c>
      <c r="AI19995" s="831">
        <v>0</v>
      </c>
      <c r="AJ19995" s="835">
        <v>41152</v>
      </c>
      <c r="AK19995" s="831">
        <v>0</v>
      </c>
    </row>
    <row r="19996" spans="2:37">
      <c r="B19996" s="834" t="str">
        <f t="shared" si="705"/>
        <v>|||</v>
      </c>
      <c r="H19996" s="835">
        <f t="shared" si="706"/>
        <v>31</v>
      </c>
      <c r="AF19996" s="831" t="s">
        <v>10503</v>
      </c>
      <c r="AG19996" s="831" t="s">
        <v>2674</v>
      </c>
      <c r="AH19996" s="831" t="s">
        <v>570</v>
      </c>
      <c r="AI19996" s="831">
        <v>0</v>
      </c>
      <c r="AJ19996" s="835">
        <v>41152</v>
      </c>
      <c r="AK19996" s="831">
        <v>0</v>
      </c>
    </row>
    <row r="19997" spans="2:37">
      <c r="B19997" s="834" t="str">
        <f t="shared" si="705"/>
        <v>|||</v>
      </c>
      <c r="H19997" s="835">
        <f t="shared" si="706"/>
        <v>31</v>
      </c>
      <c r="AF19997" s="831" t="s">
        <v>10504</v>
      </c>
      <c r="AG19997" s="831" t="s">
        <v>2674</v>
      </c>
      <c r="AH19997" s="831" t="s">
        <v>571</v>
      </c>
      <c r="AI19997" s="831">
        <v>0</v>
      </c>
      <c r="AJ19997" s="835">
        <v>41152</v>
      </c>
      <c r="AK19997" s="831">
        <v>0</v>
      </c>
    </row>
    <row r="19998" spans="2:37">
      <c r="B19998" s="834" t="str">
        <f t="shared" si="705"/>
        <v>|||</v>
      </c>
      <c r="H19998" s="835">
        <f t="shared" si="706"/>
        <v>31</v>
      </c>
      <c r="AF19998" s="831" t="s">
        <v>10505</v>
      </c>
      <c r="AG19998" s="831" t="s">
        <v>2674</v>
      </c>
      <c r="AH19998" s="831" t="s">
        <v>573</v>
      </c>
      <c r="AI19998" s="831">
        <v>0</v>
      </c>
      <c r="AJ19998" s="835">
        <v>41152</v>
      </c>
      <c r="AK19998" s="831">
        <v>0</v>
      </c>
    </row>
    <row r="19999" spans="2:37">
      <c r="B19999" s="834" t="str">
        <f t="shared" si="705"/>
        <v>|||</v>
      </c>
      <c r="H19999" s="835">
        <f t="shared" si="706"/>
        <v>31</v>
      </c>
      <c r="AF19999" s="831" t="s">
        <v>10506</v>
      </c>
      <c r="AG19999" s="831" t="s">
        <v>2674</v>
      </c>
      <c r="AH19999" s="831" t="s">
        <v>574</v>
      </c>
      <c r="AI19999" s="831">
        <v>0</v>
      </c>
      <c r="AJ19999" s="835">
        <v>41152</v>
      </c>
      <c r="AK19999" s="831">
        <v>0</v>
      </c>
    </row>
    <row r="20000" spans="2:37">
      <c r="B20000" s="834" t="str">
        <f t="shared" si="705"/>
        <v>|||</v>
      </c>
      <c r="H20000" s="835">
        <f t="shared" si="706"/>
        <v>31</v>
      </c>
      <c r="AF20000" s="831" t="s">
        <v>10507</v>
      </c>
      <c r="AG20000" s="831" t="s">
        <v>2674</v>
      </c>
      <c r="AH20000" s="831" t="s">
        <v>575</v>
      </c>
      <c r="AI20000" s="831">
        <v>0</v>
      </c>
      <c r="AJ20000" s="835">
        <v>41152</v>
      </c>
      <c r="AK20000" s="831">
        <v>0</v>
      </c>
    </row>
    <row r="20001" spans="32:37">
      <c r="AF20001" s="831" t="s">
        <v>10508</v>
      </c>
      <c r="AG20001" s="831" t="s">
        <v>2674</v>
      </c>
      <c r="AH20001" s="831" t="s">
        <v>576</v>
      </c>
      <c r="AI20001" s="831">
        <v>0</v>
      </c>
      <c r="AJ20001" s="835">
        <v>41152</v>
      </c>
      <c r="AK20001" s="831">
        <v>0</v>
      </c>
    </row>
    <row r="20002" spans="32:37">
      <c r="AF20002" s="831" t="s">
        <v>10509</v>
      </c>
      <c r="AG20002" s="831" t="s">
        <v>2674</v>
      </c>
      <c r="AH20002" s="831" t="s">
        <v>572</v>
      </c>
      <c r="AI20002" s="831">
        <v>0</v>
      </c>
      <c r="AJ20002" s="835">
        <v>41152</v>
      </c>
      <c r="AK20002" s="831">
        <v>-2146826246</v>
      </c>
    </row>
    <row r="20003" spans="32:37">
      <c r="AF20003" s="831" t="s">
        <v>10510</v>
      </c>
      <c r="AG20003" s="831" t="s">
        <v>2674</v>
      </c>
      <c r="AH20003" s="831" t="s">
        <v>577</v>
      </c>
      <c r="AI20003" s="831">
        <v>0</v>
      </c>
      <c r="AJ20003" s="835">
        <v>41152</v>
      </c>
      <c r="AK20003" s="831">
        <v>-2146826246</v>
      </c>
    </row>
    <row r="20004" spans="32:37">
      <c r="AF20004" s="831" t="s">
        <v>10511</v>
      </c>
      <c r="AG20004" s="831" t="s">
        <v>2674</v>
      </c>
      <c r="AH20004" s="831" t="s">
        <v>3042</v>
      </c>
      <c r="AI20004" s="831">
        <v>0</v>
      </c>
      <c r="AJ20004" s="835">
        <v>41152</v>
      </c>
      <c r="AK20004" s="831">
        <v>-2146826246</v>
      </c>
    </row>
    <row r="20005" spans="32:37">
      <c r="AF20005" s="831" t="s">
        <v>10512</v>
      </c>
      <c r="AG20005" s="831" t="s">
        <v>2674</v>
      </c>
      <c r="AH20005" s="831" t="s">
        <v>3044</v>
      </c>
      <c r="AI20005" s="831">
        <v>0</v>
      </c>
      <c r="AJ20005" s="835">
        <v>41152</v>
      </c>
      <c r="AK20005" s="831">
        <v>-2146826246</v>
      </c>
    </row>
    <row r="20006" spans="32:37">
      <c r="AF20006" s="831" t="s">
        <v>10513</v>
      </c>
      <c r="AG20006" s="831" t="s">
        <v>2674</v>
      </c>
      <c r="AH20006" s="831" t="s">
        <v>580</v>
      </c>
      <c r="AI20006" s="831">
        <v>0</v>
      </c>
      <c r="AJ20006" s="835">
        <v>41152</v>
      </c>
      <c r="AK20006" s="831">
        <v>-2146826246</v>
      </c>
    </row>
    <row r="20007" spans="32:37">
      <c r="AF20007" s="831" t="s">
        <v>10514</v>
      </c>
      <c r="AG20007" s="831" t="s">
        <v>2674</v>
      </c>
      <c r="AH20007" s="831" t="s">
        <v>581</v>
      </c>
      <c r="AI20007" s="831">
        <v>0</v>
      </c>
      <c r="AJ20007" s="835">
        <v>41152</v>
      </c>
      <c r="AK20007" s="831">
        <v>-2146826246</v>
      </c>
    </row>
    <row r="20008" spans="32:37">
      <c r="AF20008" s="831" t="s">
        <v>10515</v>
      </c>
      <c r="AG20008" s="831" t="s">
        <v>2674</v>
      </c>
      <c r="AH20008" s="831" t="s">
        <v>105</v>
      </c>
      <c r="AI20008" s="831">
        <v>0</v>
      </c>
      <c r="AJ20008" s="835">
        <v>41152</v>
      </c>
      <c r="AK20008" s="831">
        <v>180384094</v>
      </c>
    </row>
    <row r="20009" spans="32:37">
      <c r="AF20009" s="831" t="s">
        <v>10516</v>
      </c>
      <c r="AG20009" s="831" t="s">
        <v>2674</v>
      </c>
      <c r="AH20009" s="831" t="s">
        <v>3049</v>
      </c>
      <c r="AI20009" s="831">
        <v>0</v>
      </c>
      <c r="AJ20009" s="835">
        <v>41152</v>
      </c>
      <c r="AK20009" s="831">
        <v>343993651</v>
      </c>
    </row>
    <row r="20010" spans="32:37">
      <c r="AF20010" s="831" t="s">
        <v>10517</v>
      </c>
      <c r="AG20010" s="831" t="s">
        <v>2674</v>
      </c>
      <c r="AH20010" s="831" t="s">
        <v>103</v>
      </c>
      <c r="AI20010" s="831">
        <v>0</v>
      </c>
      <c r="AJ20010" s="835">
        <v>41152</v>
      </c>
      <c r="AK20010" s="831">
        <v>163609557</v>
      </c>
    </row>
    <row r="20011" spans="32:37">
      <c r="AF20011" s="831" t="s">
        <v>10518</v>
      </c>
      <c r="AG20011" s="831" t="s">
        <v>2674</v>
      </c>
      <c r="AH20011" s="831" t="s">
        <v>182</v>
      </c>
      <c r="AI20011" s="831">
        <v>0</v>
      </c>
      <c r="AJ20011" s="835">
        <v>41152</v>
      </c>
      <c r="AK20011" s="831">
        <v>50326770</v>
      </c>
    </row>
    <row r="20012" spans="32:37">
      <c r="AF20012" s="831" t="s">
        <v>10519</v>
      </c>
      <c r="AG20012" s="831" t="s">
        <v>2674</v>
      </c>
      <c r="AH20012" s="831" t="s">
        <v>6600</v>
      </c>
      <c r="AI20012" s="831">
        <v>0</v>
      </c>
      <c r="AJ20012" s="835">
        <v>41152</v>
      </c>
      <c r="AK20012" s="831">
        <v>-2146826246</v>
      </c>
    </row>
    <row r="20013" spans="32:37">
      <c r="AF20013" s="831" t="s">
        <v>10520</v>
      </c>
      <c r="AG20013" s="831" t="s">
        <v>2674</v>
      </c>
      <c r="AH20013" s="831" t="s">
        <v>6602</v>
      </c>
      <c r="AI20013" s="831">
        <v>0</v>
      </c>
      <c r="AJ20013" s="835">
        <v>41152</v>
      </c>
      <c r="AK20013" s="831">
        <v>10092049</v>
      </c>
    </row>
    <row r="20014" spans="32:37">
      <c r="AF20014" s="831" t="s">
        <v>10521</v>
      </c>
      <c r="AG20014" s="831" t="s">
        <v>2674</v>
      </c>
      <c r="AH20014" s="831" t="s">
        <v>650</v>
      </c>
      <c r="AI20014" s="831">
        <v>0</v>
      </c>
      <c r="AJ20014" s="835">
        <v>41152</v>
      </c>
      <c r="AK20014" s="831">
        <v>0</v>
      </c>
    </row>
    <row r="20015" spans="32:37">
      <c r="AF20015" s="831" t="s">
        <v>10522</v>
      </c>
      <c r="AG20015" s="831" t="s">
        <v>2674</v>
      </c>
      <c r="AH20015" s="831" t="s">
        <v>655</v>
      </c>
      <c r="AI20015" s="831">
        <v>0</v>
      </c>
      <c r="AJ20015" s="835">
        <v>41152</v>
      </c>
      <c r="AK20015" s="831">
        <v>1649423</v>
      </c>
    </row>
    <row r="20016" spans="32:37">
      <c r="AF20016" s="831" t="s">
        <v>10523</v>
      </c>
      <c r="AG20016" s="831" t="s">
        <v>2674</v>
      </c>
      <c r="AH20016" s="831" t="s">
        <v>546</v>
      </c>
      <c r="AI20016" s="831">
        <v>0</v>
      </c>
      <c r="AJ20016" s="835">
        <v>41182</v>
      </c>
      <c r="AK20016" s="831">
        <v>367084945</v>
      </c>
    </row>
    <row r="20017" spans="32:37">
      <c r="AF20017" s="831" t="s">
        <v>10524</v>
      </c>
      <c r="AG20017" s="831" t="s">
        <v>2674</v>
      </c>
      <c r="AH20017" s="831" t="s">
        <v>370</v>
      </c>
      <c r="AI20017" s="831">
        <v>0</v>
      </c>
      <c r="AJ20017" s="835">
        <v>41182</v>
      </c>
      <c r="AK20017" s="831">
        <v>456586970</v>
      </c>
    </row>
    <row r="20018" spans="32:37">
      <c r="AF20018" s="831" t="s">
        <v>10525</v>
      </c>
      <c r="AG20018" s="831" t="s">
        <v>2674</v>
      </c>
      <c r="AH20018" s="831" t="s">
        <v>126</v>
      </c>
      <c r="AI20018" s="831">
        <v>0</v>
      </c>
      <c r="AJ20018" s="835">
        <v>41182</v>
      </c>
      <c r="AK20018" s="831">
        <v>97409403</v>
      </c>
    </row>
    <row r="20019" spans="32:37">
      <c r="AF20019" s="831" t="s">
        <v>10526</v>
      </c>
      <c r="AG20019" s="831" t="s">
        <v>2674</v>
      </c>
      <c r="AH20019" s="831" t="s">
        <v>268</v>
      </c>
      <c r="AI20019" s="831">
        <v>0</v>
      </c>
      <c r="AJ20019" s="835">
        <v>41182</v>
      </c>
      <c r="AK20019" s="831">
        <v>12086480</v>
      </c>
    </row>
    <row r="20020" spans="32:37">
      <c r="AF20020" s="831" t="s">
        <v>10527</v>
      </c>
      <c r="AG20020" s="831" t="s">
        <v>2674</v>
      </c>
      <c r="AH20020" s="831" t="s">
        <v>547</v>
      </c>
      <c r="AI20020" s="831">
        <v>0</v>
      </c>
      <c r="AJ20020" s="835">
        <v>41182</v>
      </c>
      <c r="AK20020" s="831">
        <v>0</v>
      </c>
    </row>
    <row r="20021" spans="32:37">
      <c r="AF20021" s="831" t="s">
        <v>10528</v>
      </c>
      <c r="AG20021" s="831" t="s">
        <v>2674</v>
      </c>
      <c r="AH20021" s="831" t="s">
        <v>548</v>
      </c>
      <c r="AI20021" s="831">
        <v>0</v>
      </c>
      <c r="AJ20021" s="835">
        <v>41182</v>
      </c>
      <c r="AK20021" s="831">
        <v>0</v>
      </c>
    </row>
    <row r="20022" spans="32:37">
      <c r="AF20022" s="831" t="s">
        <v>10529</v>
      </c>
      <c r="AG20022" s="831" t="s">
        <v>2674</v>
      </c>
      <c r="AH20022" s="831" t="s">
        <v>549</v>
      </c>
      <c r="AI20022" s="831">
        <v>0</v>
      </c>
      <c r="AJ20022" s="835">
        <v>41182</v>
      </c>
      <c r="AK20022" s="831">
        <v>0</v>
      </c>
    </row>
    <row r="20023" spans="32:37">
      <c r="AF20023" s="831" t="s">
        <v>10530</v>
      </c>
      <c r="AG20023" s="831" t="s">
        <v>2674</v>
      </c>
      <c r="AH20023" s="831" t="s">
        <v>192</v>
      </c>
      <c r="AI20023" s="831">
        <v>0</v>
      </c>
      <c r="AJ20023" s="835">
        <v>41182</v>
      </c>
      <c r="AK20023" s="831">
        <v>-9429800</v>
      </c>
    </row>
    <row r="20024" spans="32:37">
      <c r="AF20024" s="831" t="s">
        <v>10531</v>
      </c>
      <c r="AG20024" s="831" t="s">
        <v>2674</v>
      </c>
      <c r="AH20024" s="831" t="s">
        <v>558</v>
      </c>
      <c r="AI20024" s="831">
        <v>0</v>
      </c>
      <c r="AJ20024" s="835">
        <v>41182</v>
      </c>
      <c r="AK20024" s="831">
        <v>359177567</v>
      </c>
    </row>
    <row r="20025" spans="32:37">
      <c r="AF20025" s="831" t="s">
        <v>10532</v>
      </c>
      <c r="AG20025" s="831" t="s">
        <v>2674</v>
      </c>
      <c r="AH20025" s="831" t="s">
        <v>65</v>
      </c>
      <c r="AI20025" s="831">
        <v>0</v>
      </c>
      <c r="AJ20025" s="835">
        <v>41182</v>
      </c>
      <c r="AK20025" s="831">
        <v>71268198</v>
      </c>
    </row>
    <row r="20026" spans="32:37">
      <c r="AF20026" s="831" t="s">
        <v>10533</v>
      </c>
      <c r="AG20026" s="831" t="s">
        <v>2674</v>
      </c>
      <c r="AH20026" s="831" t="s">
        <v>89</v>
      </c>
      <c r="AI20026" s="831">
        <v>0</v>
      </c>
      <c r="AJ20026" s="835">
        <v>41182</v>
      </c>
      <c r="AK20026" s="831">
        <v>122822</v>
      </c>
    </row>
    <row r="20027" spans="32:37">
      <c r="AF20027" s="831" t="s">
        <v>10534</v>
      </c>
      <c r="AG20027" s="831" t="s">
        <v>2674</v>
      </c>
      <c r="AH20027" s="831" t="s">
        <v>557</v>
      </c>
      <c r="AI20027" s="831">
        <v>0</v>
      </c>
      <c r="AJ20027" s="835">
        <v>41182</v>
      </c>
      <c r="AK20027" s="831">
        <v>124710</v>
      </c>
    </row>
    <row r="20028" spans="32:37">
      <c r="AF20028" s="831" t="s">
        <v>10535</v>
      </c>
      <c r="AG20028" s="831" t="s">
        <v>2674</v>
      </c>
      <c r="AH20028" s="831" t="s">
        <v>29</v>
      </c>
      <c r="AI20028" s="831">
        <v>0</v>
      </c>
      <c r="AJ20028" s="835">
        <v>41182</v>
      </c>
      <c r="AK20028" s="831">
        <v>2101787</v>
      </c>
    </row>
    <row r="20029" spans="32:37">
      <c r="AF20029" s="831" t="s">
        <v>10536</v>
      </c>
      <c r="AG20029" s="831" t="s">
        <v>2674</v>
      </c>
      <c r="AH20029" s="831" t="s">
        <v>2688</v>
      </c>
      <c r="AI20029" s="831">
        <v>0</v>
      </c>
      <c r="AJ20029" s="835">
        <v>41182</v>
      </c>
      <c r="AK20029" s="831">
        <v>2502472</v>
      </c>
    </row>
    <row r="20030" spans="32:37">
      <c r="AF20030" s="831" t="s">
        <v>10537</v>
      </c>
      <c r="AG20030" s="831" t="s">
        <v>2674</v>
      </c>
      <c r="AH20030" s="831" t="s">
        <v>556</v>
      </c>
      <c r="AI20030" s="831">
        <v>0</v>
      </c>
      <c r="AJ20030" s="835">
        <v>41182</v>
      </c>
      <c r="AK20030" s="831">
        <v>902857</v>
      </c>
    </row>
    <row r="20031" spans="32:37">
      <c r="AF20031" s="831" t="s">
        <v>10538</v>
      </c>
      <c r="AG20031" s="831" t="s">
        <v>2674</v>
      </c>
      <c r="AH20031" s="831" t="s">
        <v>555</v>
      </c>
      <c r="AI20031" s="831">
        <v>0</v>
      </c>
      <c r="AJ20031" s="835">
        <v>41182</v>
      </c>
      <c r="AK20031" s="831">
        <v>230223270</v>
      </c>
    </row>
    <row r="20032" spans="32:37">
      <c r="AF20032" s="831" t="s">
        <v>10539</v>
      </c>
      <c r="AG20032" s="831" t="s">
        <v>2674</v>
      </c>
      <c r="AH20032" s="831" t="s">
        <v>554</v>
      </c>
      <c r="AI20032" s="831">
        <v>0</v>
      </c>
      <c r="AJ20032" s="835">
        <v>41182</v>
      </c>
      <c r="AK20032" s="831">
        <v>219562790</v>
      </c>
    </row>
    <row r="20033" spans="32:37">
      <c r="AF20033" s="831" t="s">
        <v>10540</v>
      </c>
      <c r="AG20033" s="831" t="s">
        <v>2674</v>
      </c>
      <c r="AH20033" s="831" t="s">
        <v>553</v>
      </c>
      <c r="AI20033" s="831">
        <v>0</v>
      </c>
      <c r="AJ20033" s="835">
        <v>41182</v>
      </c>
      <c r="AK20033" s="831">
        <v>0</v>
      </c>
    </row>
    <row r="20034" spans="32:37">
      <c r="AF20034" s="831" t="s">
        <v>10541</v>
      </c>
      <c r="AG20034" s="831" t="s">
        <v>2674</v>
      </c>
      <c r="AH20034" s="831" t="s">
        <v>552</v>
      </c>
      <c r="AI20034" s="831">
        <v>0</v>
      </c>
      <c r="AJ20034" s="835">
        <v>41182</v>
      </c>
      <c r="AK20034" s="831">
        <v>0</v>
      </c>
    </row>
    <row r="20035" spans="32:37">
      <c r="AF20035" s="831" t="s">
        <v>10542</v>
      </c>
      <c r="AG20035" s="831" t="s">
        <v>2674</v>
      </c>
      <c r="AH20035" s="831" t="s">
        <v>551</v>
      </c>
      <c r="AI20035" s="831">
        <v>0</v>
      </c>
      <c r="AJ20035" s="835">
        <v>41182</v>
      </c>
      <c r="AK20035" s="831">
        <v>1960032</v>
      </c>
    </row>
    <row r="20036" spans="32:37">
      <c r="AF20036" s="831" t="s">
        <v>10543</v>
      </c>
      <c r="AG20036" s="831" t="s">
        <v>2674</v>
      </c>
      <c r="AH20036" s="831" t="s">
        <v>550</v>
      </c>
      <c r="AI20036" s="831">
        <v>0</v>
      </c>
      <c r="AJ20036" s="835">
        <v>41182</v>
      </c>
      <c r="AK20036" s="831">
        <v>95414973</v>
      </c>
    </row>
    <row r="20037" spans="32:37">
      <c r="AF20037" s="831" t="s">
        <v>10544</v>
      </c>
      <c r="AG20037" s="831" t="s">
        <v>2674</v>
      </c>
      <c r="AH20037" s="831" t="s">
        <v>562</v>
      </c>
      <c r="AI20037" s="831">
        <v>0</v>
      </c>
      <c r="AJ20037" s="835">
        <v>41182</v>
      </c>
      <c r="AK20037" s="831">
        <v>0.78464999999999996</v>
      </c>
    </row>
    <row r="20038" spans="32:37">
      <c r="AF20038" s="831" t="s">
        <v>10545</v>
      </c>
      <c r="AG20038" s="831" t="s">
        <v>2674</v>
      </c>
      <c r="AH20038" s="831" t="s">
        <v>2698</v>
      </c>
      <c r="AI20038" s="831">
        <v>0</v>
      </c>
      <c r="AJ20038" s="835">
        <v>41182</v>
      </c>
      <c r="AK20038" s="831">
        <v>0.78449999999999998</v>
      </c>
    </row>
    <row r="20039" spans="32:37">
      <c r="AF20039" s="831" t="s">
        <v>10546</v>
      </c>
      <c r="AG20039" s="831" t="s">
        <v>2674</v>
      </c>
      <c r="AH20039" s="831" t="s">
        <v>560</v>
      </c>
      <c r="AI20039" s="831">
        <v>0</v>
      </c>
      <c r="AJ20039" s="835">
        <v>41182</v>
      </c>
      <c r="AK20039" s="831">
        <v>0.78534999999999999</v>
      </c>
    </row>
    <row r="20040" spans="32:37">
      <c r="AF20040" s="831" t="s">
        <v>10547</v>
      </c>
      <c r="AG20040" s="831" t="s">
        <v>2674</v>
      </c>
      <c r="AH20040" s="831" t="s">
        <v>559</v>
      </c>
      <c r="AI20040" s="831">
        <v>0</v>
      </c>
      <c r="AJ20040" s="835">
        <v>41182</v>
      </c>
      <c r="AK20040" s="831">
        <v>0.78557083333333333</v>
      </c>
    </row>
    <row r="20041" spans="32:37">
      <c r="AF20041" s="831" t="s">
        <v>10548</v>
      </c>
      <c r="AG20041" s="831" t="s">
        <v>2674</v>
      </c>
      <c r="AH20041" s="831" t="s">
        <v>568</v>
      </c>
      <c r="AI20041" s="831">
        <v>0</v>
      </c>
      <c r="AJ20041" s="835">
        <v>41182</v>
      </c>
      <c r="AK20041" s="831">
        <v>0</v>
      </c>
    </row>
    <row r="20042" spans="32:37">
      <c r="AF20042" s="831" t="s">
        <v>10549</v>
      </c>
      <c r="AG20042" s="831" t="s">
        <v>2674</v>
      </c>
      <c r="AH20042" s="831" t="s">
        <v>569</v>
      </c>
      <c r="AI20042" s="831">
        <v>0</v>
      </c>
      <c r="AJ20042" s="835">
        <v>41182</v>
      </c>
      <c r="AK20042" s="831">
        <v>0</v>
      </c>
    </row>
    <row r="20043" spans="32:37">
      <c r="AF20043" s="831" t="s">
        <v>10550</v>
      </c>
      <c r="AG20043" s="831" t="s">
        <v>2674</v>
      </c>
      <c r="AH20043" s="831" t="s">
        <v>570</v>
      </c>
      <c r="AI20043" s="831">
        <v>0</v>
      </c>
      <c r="AJ20043" s="835">
        <v>41182</v>
      </c>
      <c r="AK20043" s="831">
        <v>0</v>
      </c>
    </row>
    <row r="20044" spans="32:37">
      <c r="AF20044" s="831" t="s">
        <v>10551</v>
      </c>
      <c r="AG20044" s="831" t="s">
        <v>2674</v>
      </c>
      <c r="AH20044" s="831" t="s">
        <v>571</v>
      </c>
      <c r="AI20044" s="831">
        <v>0</v>
      </c>
      <c r="AJ20044" s="835">
        <v>41182</v>
      </c>
      <c r="AK20044" s="831">
        <v>0</v>
      </c>
    </row>
    <row r="20045" spans="32:37">
      <c r="AF20045" s="831" t="s">
        <v>10552</v>
      </c>
      <c r="AG20045" s="831" t="s">
        <v>2674</v>
      </c>
      <c r="AH20045" s="831" t="s">
        <v>573</v>
      </c>
      <c r="AI20045" s="831">
        <v>0</v>
      </c>
      <c r="AJ20045" s="835">
        <v>41182</v>
      </c>
      <c r="AK20045" s="831">
        <v>0</v>
      </c>
    </row>
    <row r="20046" spans="32:37">
      <c r="AF20046" s="831" t="s">
        <v>10553</v>
      </c>
      <c r="AG20046" s="831" t="s">
        <v>2674</v>
      </c>
      <c r="AH20046" s="831" t="s">
        <v>574</v>
      </c>
      <c r="AI20046" s="831">
        <v>0</v>
      </c>
      <c r="AJ20046" s="835">
        <v>41182</v>
      </c>
      <c r="AK20046" s="831">
        <v>0</v>
      </c>
    </row>
    <row r="20047" spans="32:37">
      <c r="AF20047" s="831" t="s">
        <v>10554</v>
      </c>
      <c r="AG20047" s="831" t="s">
        <v>2674</v>
      </c>
      <c r="AH20047" s="831" t="s">
        <v>575</v>
      </c>
      <c r="AI20047" s="831">
        <v>0</v>
      </c>
      <c r="AJ20047" s="835">
        <v>41182</v>
      </c>
      <c r="AK20047" s="831">
        <v>0</v>
      </c>
    </row>
    <row r="20048" spans="32:37">
      <c r="AF20048" s="831" t="s">
        <v>10555</v>
      </c>
      <c r="AG20048" s="831" t="s">
        <v>2674</v>
      </c>
      <c r="AH20048" s="831" t="s">
        <v>576</v>
      </c>
      <c r="AI20048" s="831">
        <v>0</v>
      </c>
      <c r="AJ20048" s="835">
        <v>41182</v>
      </c>
      <c r="AK20048" s="831">
        <v>0</v>
      </c>
    </row>
    <row r="20049" spans="32:37">
      <c r="AF20049" s="831" t="s">
        <v>10556</v>
      </c>
      <c r="AG20049" s="831" t="s">
        <v>2674</v>
      </c>
      <c r="AH20049" s="831" t="s">
        <v>572</v>
      </c>
      <c r="AI20049" s="831">
        <v>0</v>
      </c>
      <c r="AJ20049" s="835">
        <v>41182</v>
      </c>
      <c r="AK20049" s="831">
        <v>-2146826246</v>
      </c>
    </row>
    <row r="20050" spans="32:37">
      <c r="AF20050" s="831" t="s">
        <v>10557</v>
      </c>
      <c r="AG20050" s="831" t="s">
        <v>2674</v>
      </c>
      <c r="AH20050" s="831" t="s">
        <v>577</v>
      </c>
      <c r="AI20050" s="831">
        <v>0</v>
      </c>
      <c r="AJ20050" s="835">
        <v>41182</v>
      </c>
      <c r="AK20050" s="831">
        <v>-2146826246</v>
      </c>
    </row>
    <row r="20051" spans="32:37">
      <c r="AF20051" s="831" t="s">
        <v>10558</v>
      </c>
      <c r="AG20051" s="831" t="s">
        <v>2674</v>
      </c>
      <c r="AH20051" s="831" t="s">
        <v>3042</v>
      </c>
      <c r="AI20051" s="831">
        <v>0</v>
      </c>
      <c r="AJ20051" s="835">
        <v>41182</v>
      </c>
      <c r="AK20051" s="831">
        <v>-2146826246</v>
      </c>
    </row>
    <row r="20052" spans="32:37">
      <c r="AF20052" s="831" t="s">
        <v>10559</v>
      </c>
      <c r="AG20052" s="831" t="s">
        <v>2674</v>
      </c>
      <c r="AH20052" s="831" t="s">
        <v>3044</v>
      </c>
      <c r="AI20052" s="831">
        <v>0</v>
      </c>
      <c r="AJ20052" s="835">
        <v>41182</v>
      </c>
      <c r="AK20052" s="831">
        <v>-2146826246</v>
      </c>
    </row>
    <row r="20053" spans="32:37">
      <c r="AF20053" s="831" t="s">
        <v>10560</v>
      </c>
      <c r="AG20053" s="831" t="s">
        <v>2674</v>
      </c>
      <c r="AH20053" s="831" t="s">
        <v>580</v>
      </c>
      <c r="AI20053" s="831">
        <v>0</v>
      </c>
      <c r="AJ20053" s="835">
        <v>41182</v>
      </c>
      <c r="AK20053" s="831">
        <v>-2146826246</v>
      </c>
    </row>
    <row r="20054" spans="32:37">
      <c r="AF20054" s="831" t="s">
        <v>10561</v>
      </c>
      <c r="AG20054" s="831" t="s">
        <v>2674</v>
      </c>
      <c r="AH20054" s="831" t="s">
        <v>581</v>
      </c>
      <c r="AI20054" s="831">
        <v>0</v>
      </c>
      <c r="AJ20054" s="835">
        <v>41182</v>
      </c>
      <c r="AK20054" s="831">
        <v>-2146826246</v>
      </c>
    </row>
    <row r="20055" spans="32:37">
      <c r="AF20055" s="831" t="s">
        <v>10562</v>
      </c>
      <c r="AG20055" s="831" t="s">
        <v>2674</v>
      </c>
      <c r="AH20055" s="831" t="s">
        <v>105</v>
      </c>
      <c r="AI20055" s="831">
        <v>0</v>
      </c>
      <c r="AJ20055" s="835">
        <v>41182</v>
      </c>
      <c r="AK20055" s="831">
        <v>185303362</v>
      </c>
    </row>
    <row r="20056" spans="32:37">
      <c r="AF20056" s="831" t="s">
        <v>10563</v>
      </c>
      <c r="AG20056" s="831" t="s">
        <v>2674</v>
      </c>
      <c r="AH20056" s="831" t="s">
        <v>3049</v>
      </c>
      <c r="AI20056" s="831">
        <v>0</v>
      </c>
      <c r="AJ20056" s="835">
        <v>41182</v>
      </c>
      <c r="AK20056" s="831">
        <v>347265603</v>
      </c>
    </row>
    <row r="20057" spans="32:37">
      <c r="AF20057" s="831" t="s">
        <v>10564</v>
      </c>
      <c r="AG20057" s="831" t="s">
        <v>2674</v>
      </c>
      <c r="AH20057" s="831" t="s">
        <v>103</v>
      </c>
      <c r="AI20057" s="831">
        <v>0</v>
      </c>
      <c r="AJ20057" s="835">
        <v>41182</v>
      </c>
      <c r="AK20057" s="831">
        <v>161962241</v>
      </c>
    </row>
    <row r="20058" spans="32:37">
      <c r="AF20058" s="831" t="s">
        <v>10565</v>
      </c>
      <c r="AG20058" s="831" t="s">
        <v>2674</v>
      </c>
      <c r="AH20058" s="831" t="s">
        <v>182</v>
      </c>
      <c r="AI20058" s="831">
        <v>0</v>
      </c>
      <c r="AJ20058" s="835">
        <v>41182</v>
      </c>
      <c r="AK20058" s="831">
        <v>49982530.666666664</v>
      </c>
    </row>
    <row r="20059" spans="32:37">
      <c r="AF20059" s="831" t="s">
        <v>10566</v>
      </c>
      <c r="AG20059" s="831" t="s">
        <v>2674</v>
      </c>
      <c r="AH20059" s="831" t="s">
        <v>6600</v>
      </c>
      <c r="AI20059" s="831">
        <v>0</v>
      </c>
      <c r="AJ20059" s="835">
        <v>41182</v>
      </c>
      <c r="AK20059" s="831">
        <v>-2146826246</v>
      </c>
    </row>
    <row r="20060" spans="32:37">
      <c r="AF20060" s="831" t="s">
        <v>10567</v>
      </c>
      <c r="AG20060" s="831" t="s">
        <v>2674</v>
      </c>
      <c r="AH20060" s="831" t="s">
        <v>6602</v>
      </c>
      <c r="AI20060" s="831">
        <v>0</v>
      </c>
      <c r="AJ20060" s="835">
        <v>41182</v>
      </c>
      <c r="AK20060" s="831">
        <v>12086480</v>
      </c>
    </row>
    <row r="20061" spans="32:37">
      <c r="AF20061" s="831" t="s">
        <v>10568</v>
      </c>
      <c r="AG20061" s="831" t="s">
        <v>2674</v>
      </c>
      <c r="AH20061" s="831" t="s">
        <v>650</v>
      </c>
      <c r="AI20061" s="831">
        <v>0</v>
      </c>
      <c r="AJ20061" s="835">
        <v>41182</v>
      </c>
      <c r="AK20061" s="831">
        <v>0</v>
      </c>
    </row>
    <row r="20062" spans="32:37">
      <c r="AF20062" s="831" t="s">
        <v>10569</v>
      </c>
      <c r="AG20062" s="831" t="s">
        <v>2674</v>
      </c>
      <c r="AH20062" s="831" t="s">
        <v>655</v>
      </c>
      <c r="AI20062" s="831">
        <v>0</v>
      </c>
      <c r="AJ20062" s="835">
        <v>41182</v>
      </c>
      <c r="AK20062" s="831">
        <v>1640278</v>
      </c>
    </row>
    <row r="20063" spans="32:37">
      <c r="AF20063" s="831" t="s">
        <v>10570</v>
      </c>
      <c r="AG20063" s="831" t="s">
        <v>2674</v>
      </c>
      <c r="AH20063" s="831" t="s">
        <v>546</v>
      </c>
      <c r="AI20063" s="831">
        <v>0</v>
      </c>
      <c r="AJ20063" s="835">
        <v>41213</v>
      </c>
      <c r="AK20063" s="831">
        <v>376404251</v>
      </c>
    </row>
    <row r="20064" spans="32:37">
      <c r="AF20064" s="831" t="s">
        <v>10571</v>
      </c>
      <c r="AG20064" s="831" t="s">
        <v>2674</v>
      </c>
      <c r="AH20064" s="831" t="s">
        <v>370</v>
      </c>
      <c r="AI20064" s="831">
        <v>0</v>
      </c>
      <c r="AJ20064" s="835">
        <v>41213</v>
      </c>
      <c r="AK20064" s="831">
        <v>453336865</v>
      </c>
    </row>
    <row r="20065" spans="32:37">
      <c r="AF20065" s="831" t="s">
        <v>10572</v>
      </c>
      <c r="AG20065" s="831" t="s">
        <v>2674</v>
      </c>
      <c r="AH20065" s="831" t="s">
        <v>126</v>
      </c>
      <c r="AI20065" s="831">
        <v>0</v>
      </c>
      <c r="AJ20065" s="835">
        <v>41213</v>
      </c>
      <c r="AK20065" s="831">
        <v>99431431</v>
      </c>
    </row>
    <row r="20066" spans="32:37">
      <c r="AF20066" s="831" t="s">
        <v>10573</v>
      </c>
      <c r="AG20066" s="831" t="s">
        <v>2674</v>
      </c>
      <c r="AH20066" s="831" t="s">
        <v>268</v>
      </c>
      <c r="AI20066" s="831">
        <v>0</v>
      </c>
      <c r="AJ20066" s="835">
        <v>41213</v>
      </c>
      <c r="AK20066" s="831">
        <v>14108507</v>
      </c>
    </row>
    <row r="20067" spans="32:37">
      <c r="AF20067" s="831" t="s">
        <v>10574</v>
      </c>
      <c r="AG20067" s="831" t="s">
        <v>2674</v>
      </c>
      <c r="AH20067" s="831" t="s">
        <v>547</v>
      </c>
      <c r="AI20067" s="831">
        <v>0</v>
      </c>
      <c r="AJ20067" s="835">
        <v>41213</v>
      </c>
      <c r="AK20067" s="831">
        <v>0</v>
      </c>
    </row>
    <row r="20068" spans="32:37">
      <c r="AF20068" s="831" t="s">
        <v>10575</v>
      </c>
      <c r="AG20068" s="831" t="s">
        <v>2674</v>
      </c>
      <c r="AH20068" s="831" t="s">
        <v>548</v>
      </c>
      <c r="AI20068" s="831">
        <v>0</v>
      </c>
      <c r="AJ20068" s="835">
        <v>41213</v>
      </c>
      <c r="AK20068" s="831">
        <v>0</v>
      </c>
    </row>
    <row r="20069" spans="32:37">
      <c r="AF20069" s="831" t="s">
        <v>10576</v>
      </c>
      <c r="AG20069" s="831" t="s">
        <v>2674</v>
      </c>
      <c r="AH20069" s="831" t="s">
        <v>549</v>
      </c>
      <c r="AI20069" s="831">
        <v>0</v>
      </c>
      <c r="AJ20069" s="835">
        <v>41213</v>
      </c>
      <c r="AK20069" s="831">
        <v>0</v>
      </c>
    </row>
    <row r="20070" spans="32:37">
      <c r="AF20070" s="831" t="s">
        <v>10577</v>
      </c>
      <c r="AG20070" s="831" t="s">
        <v>2674</v>
      </c>
      <c r="AH20070" s="831" t="s">
        <v>192</v>
      </c>
      <c r="AI20070" s="831">
        <v>0</v>
      </c>
      <c r="AJ20070" s="835">
        <v>41213</v>
      </c>
      <c r="AK20070" s="831">
        <v>-9860253</v>
      </c>
    </row>
    <row r="20071" spans="32:37">
      <c r="AF20071" s="831" t="s">
        <v>10578</v>
      </c>
      <c r="AG20071" s="831" t="s">
        <v>2674</v>
      </c>
      <c r="AH20071" s="831" t="s">
        <v>558</v>
      </c>
      <c r="AI20071" s="831">
        <v>0</v>
      </c>
      <c r="AJ20071" s="835">
        <v>41213</v>
      </c>
      <c r="AK20071" s="831">
        <v>353905434</v>
      </c>
    </row>
    <row r="20072" spans="32:37">
      <c r="AF20072" s="831" t="s">
        <v>10579</v>
      </c>
      <c r="AG20072" s="831" t="s">
        <v>2674</v>
      </c>
      <c r="AH20072" s="831" t="s">
        <v>65</v>
      </c>
      <c r="AI20072" s="831">
        <v>0</v>
      </c>
      <c r="AJ20072" s="835">
        <v>41213</v>
      </c>
      <c r="AK20072" s="831">
        <v>80308330</v>
      </c>
    </row>
    <row r="20073" spans="32:37">
      <c r="AF20073" s="831" t="s">
        <v>10580</v>
      </c>
      <c r="AG20073" s="831" t="s">
        <v>2674</v>
      </c>
      <c r="AH20073" s="831" t="s">
        <v>89</v>
      </c>
      <c r="AI20073" s="831">
        <v>0</v>
      </c>
      <c r="AJ20073" s="835">
        <v>41213</v>
      </c>
      <c r="AK20073" s="831">
        <v>123024</v>
      </c>
    </row>
    <row r="20074" spans="32:37">
      <c r="AF20074" s="831" t="s">
        <v>10581</v>
      </c>
      <c r="AG20074" s="831" t="s">
        <v>2674</v>
      </c>
      <c r="AH20074" s="831" t="s">
        <v>557</v>
      </c>
      <c r="AI20074" s="831">
        <v>0</v>
      </c>
      <c r="AJ20074" s="835">
        <v>41213</v>
      </c>
      <c r="AK20074" s="831">
        <v>124999</v>
      </c>
    </row>
    <row r="20075" spans="32:37">
      <c r="AF20075" s="831" t="s">
        <v>10582</v>
      </c>
      <c r="AG20075" s="831" t="s">
        <v>2674</v>
      </c>
      <c r="AH20075" s="831" t="s">
        <v>29</v>
      </c>
      <c r="AI20075" s="831">
        <v>0</v>
      </c>
      <c r="AJ20075" s="835">
        <v>41213</v>
      </c>
      <c r="AK20075" s="831">
        <v>2261339</v>
      </c>
    </row>
    <row r="20076" spans="32:37">
      <c r="AF20076" s="831" t="s">
        <v>10583</v>
      </c>
      <c r="AG20076" s="831" t="s">
        <v>2674</v>
      </c>
      <c r="AH20076" s="831" t="s">
        <v>2688</v>
      </c>
      <c r="AI20076" s="831">
        <v>0</v>
      </c>
      <c r="AJ20076" s="835">
        <v>41213</v>
      </c>
      <c r="AK20076" s="831">
        <v>2480728</v>
      </c>
    </row>
    <row r="20077" spans="32:37">
      <c r="AF20077" s="831" t="s">
        <v>10584</v>
      </c>
      <c r="AG20077" s="831" t="s">
        <v>2674</v>
      </c>
      <c r="AH20077" s="831" t="s">
        <v>556</v>
      </c>
      <c r="AI20077" s="831">
        <v>0</v>
      </c>
      <c r="AJ20077" s="835">
        <v>41213</v>
      </c>
      <c r="AK20077" s="831">
        <v>902857</v>
      </c>
    </row>
    <row r="20078" spans="32:37">
      <c r="AF20078" s="831" t="s">
        <v>10585</v>
      </c>
      <c r="AG20078" s="831" t="s">
        <v>2674</v>
      </c>
      <c r="AH20078" s="831" t="s">
        <v>555</v>
      </c>
      <c r="AI20078" s="831">
        <v>0</v>
      </c>
      <c r="AJ20078" s="835">
        <v>41213</v>
      </c>
      <c r="AK20078" s="831">
        <v>223326560</v>
      </c>
    </row>
    <row r="20079" spans="32:37">
      <c r="AF20079" s="831" t="s">
        <v>10586</v>
      </c>
      <c r="AG20079" s="831" t="s">
        <v>2674</v>
      </c>
      <c r="AH20079" s="831" t="s">
        <v>554</v>
      </c>
      <c r="AI20079" s="831">
        <v>0</v>
      </c>
      <c r="AJ20079" s="835">
        <v>41213</v>
      </c>
      <c r="AK20079" s="831">
        <v>217988230</v>
      </c>
    </row>
    <row r="20080" spans="32:37">
      <c r="AF20080" s="831" t="s">
        <v>10587</v>
      </c>
      <c r="AG20080" s="831" t="s">
        <v>2674</v>
      </c>
      <c r="AH20080" s="831" t="s">
        <v>553</v>
      </c>
      <c r="AI20080" s="831">
        <v>0</v>
      </c>
      <c r="AJ20080" s="835">
        <v>41213</v>
      </c>
      <c r="AK20080" s="831">
        <v>0</v>
      </c>
    </row>
    <row r="20081" spans="32:37">
      <c r="AF20081" s="831" t="s">
        <v>10588</v>
      </c>
      <c r="AG20081" s="831" t="s">
        <v>2674</v>
      </c>
      <c r="AH20081" s="831" t="s">
        <v>552</v>
      </c>
      <c r="AI20081" s="831">
        <v>0</v>
      </c>
      <c r="AJ20081" s="835">
        <v>41213</v>
      </c>
      <c r="AK20081" s="831">
        <v>0</v>
      </c>
    </row>
    <row r="20082" spans="32:37">
      <c r="AF20082" s="831" t="s">
        <v>10589</v>
      </c>
      <c r="AG20082" s="831" t="s">
        <v>2674</v>
      </c>
      <c r="AH20082" s="831" t="s">
        <v>551</v>
      </c>
      <c r="AI20082" s="831">
        <v>0</v>
      </c>
      <c r="AJ20082" s="835">
        <v>41213</v>
      </c>
      <c r="AK20082" s="831">
        <v>2033933</v>
      </c>
    </row>
    <row r="20083" spans="32:37">
      <c r="AF20083" s="831" t="s">
        <v>10590</v>
      </c>
      <c r="AG20083" s="831" t="s">
        <v>2674</v>
      </c>
      <c r="AH20083" s="831" t="s">
        <v>550</v>
      </c>
      <c r="AI20083" s="831">
        <v>0</v>
      </c>
      <c r="AJ20083" s="835">
        <v>41213</v>
      </c>
      <c r="AK20083" s="831">
        <v>97409403</v>
      </c>
    </row>
    <row r="20084" spans="32:37">
      <c r="AF20084" s="831" t="s">
        <v>10591</v>
      </c>
      <c r="AG20084" s="831" t="s">
        <v>2674</v>
      </c>
      <c r="AH20084" s="831" t="s">
        <v>562</v>
      </c>
      <c r="AI20084" s="831">
        <v>0</v>
      </c>
      <c r="AJ20084" s="835">
        <v>41213</v>
      </c>
      <c r="AK20084" s="831">
        <v>0.78434999999999999</v>
      </c>
    </row>
    <row r="20085" spans="32:37">
      <c r="AF20085" s="831" t="s">
        <v>10592</v>
      </c>
      <c r="AG20085" s="831" t="s">
        <v>2674</v>
      </c>
      <c r="AH20085" s="831" t="s">
        <v>2698</v>
      </c>
      <c r="AI20085" s="831">
        <v>0</v>
      </c>
      <c r="AJ20085" s="835">
        <v>41213</v>
      </c>
      <c r="AK20085" s="831">
        <v>0.78464999999999996</v>
      </c>
    </row>
    <row r="20086" spans="32:37">
      <c r="AF20086" s="831" t="s">
        <v>10593</v>
      </c>
      <c r="AG20086" s="831" t="s">
        <v>2674</v>
      </c>
      <c r="AH20086" s="831" t="s">
        <v>560</v>
      </c>
      <c r="AI20086" s="831">
        <v>0</v>
      </c>
      <c r="AJ20086" s="835">
        <v>41213</v>
      </c>
      <c r="AK20086" s="831">
        <v>0.78525</v>
      </c>
    </row>
    <row r="20087" spans="32:37">
      <c r="AF20087" s="831" t="s">
        <v>10594</v>
      </c>
      <c r="AG20087" s="831" t="s">
        <v>2674</v>
      </c>
      <c r="AH20087" s="831" t="s">
        <v>559</v>
      </c>
      <c r="AI20087" s="831">
        <v>0</v>
      </c>
      <c r="AJ20087" s="835">
        <v>41213</v>
      </c>
      <c r="AK20087" s="831">
        <v>0.78536666666666666</v>
      </c>
    </row>
    <row r="20088" spans="32:37">
      <c r="AF20088" s="831" t="s">
        <v>10595</v>
      </c>
      <c r="AG20088" s="831" t="s">
        <v>2674</v>
      </c>
      <c r="AH20088" s="831" t="s">
        <v>568</v>
      </c>
      <c r="AI20088" s="831">
        <v>0</v>
      </c>
      <c r="AJ20088" s="835">
        <v>41213</v>
      </c>
      <c r="AK20088" s="831">
        <v>0</v>
      </c>
    </row>
    <row r="20089" spans="32:37">
      <c r="AF20089" s="831" t="s">
        <v>10596</v>
      </c>
      <c r="AG20089" s="831" t="s">
        <v>2674</v>
      </c>
      <c r="AH20089" s="831" t="s">
        <v>569</v>
      </c>
      <c r="AI20089" s="831">
        <v>0</v>
      </c>
      <c r="AJ20089" s="835">
        <v>41213</v>
      </c>
      <c r="AK20089" s="831">
        <v>0</v>
      </c>
    </row>
    <row r="20090" spans="32:37">
      <c r="AF20090" s="831" t="s">
        <v>10597</v>
      </c>
      <c r="AG20090" s="831" t="s">
        <v>2674</v>
      </c>
      <c r="AH20090" s="831" t="s">
        <v>570</v>
      </c>
      <c r="AI20090" s="831">
        <v>0</v>
      </c>
      <c r="AJ20090" s="835">
        <v>41213</v>
      </c>
      <c r="AK20090" s="831">
        <v>0</v>
      </c>
    </row>
    <row r="20091" spans="32:37">
      <c r="AF20091" s="831" t="s">
        <v>10598</v>
      </c>
      <c r="AG20091" s="831" t="s">
        <v>2674</v>
      </c>
      <c r="AH20091" s="831" t="s">
        <v>571</v>
      </c>
      <c r="AI20091" s="831">
        <v>0</v>
      </c>
      <c r="AJ20091" s="835">
        <v>41213</v>
      </c>
      <c r="AK20091" s="831">
        <v>0</v>
      </c>
    </row>
    <row r="20092" spans="32:37">
      <c r="AF20092" s="831" t="s">
        <v>10599</v>
      </c>
      <c r="AG20092" s="831" t="s">
        <v>2674</v>
      </c>
      <c r="AH20092" s="831" t="s">
        <v>573</v>
      </c>
      <c r="AI20092" s="831">
        <v>0</v>
      </c>
      <c r="AJ20092" s="835">
        <v>41213</v>
      </c>
      <c r="AK20092" s="831">
        <v>0</v>
      </c>
    </row>
    <row r="20093" spans="32:37">
      <c r="AF20093" s="831" t="s">
        <v>10600</v>
      </c>
      <c r="AG20093" s="831" t="s">
        <v>2674</v>
      </c>
      <c r="AH20093" s="831" t="s">
        <v>574</v>
      </c>
      <c r="AI20093" s="831">
        <v>0</v>
      </c>
      <c r="AJ20093" s="835">
        <v>41213</v>
      </c>
      <c r="AK20093" s="831">
        <v>0</v>
      </c>
    </row>
    <row r="20094" spans="32:37">
      <c r="AF20094" s="831" t="s">
        <v>10601</v>
      </c>
      <c r="AG20094" s="831" t="s">
        <v>2674</v>
      </c>
      <c r="AH20094" s="831" t="s">
        <v>575</v>
      </c>
      <c r="AI20094" s="831">
        <v>0</v>
      </c>
      <c r="AJ20094" s="835">
        <v>41213</v>
      </c>
      <c r="AK20094" s="831">
        <v>0</v>
      </c>
    </row>
    <row r="20095" spans="32:37">
      <c r="AF20095" s="831" t="s">
        <v>10602</v>
      </c>
      <c r="AG20095" s="831" t="s">
        <v>2674</v>
      </c>
      <c r="AH20095" s="831" t="s">
        <v>576</v>
      </c>
      <c r="AI20095" s="831">
        <v>0</v>
      </c>
      <c r="AJ20095" s="835">
        <v>41213</v>
      </c>
      <c r="AK20095" s="831">
        <v>0</v>
      </c>
    </row>
    <row r="20096" spans="32:37">
      <c r="AF20096" s="831" t="s">
        <v>10603</v>
      </c>
      <c r="AG20096" s="831" t="s">
        <v>2674</v>
      </c>
      <c r="AH20096" s="831" t="s">
        <v>572</v>
      </c>
      <c r="AI20096" s="831">
        <v>0</v>
      </c>
      <c r="AJ20096" s="835">
        <v>41213</v>
      </c>
      <c r="AK20096" s="831">
        <v>-2146826246</v>
      </c>
    </row>
    <row r="20097" spans="32:37">
      <c r="AF20097" s="831" t="s">
        <v>10604</v>
      </c>
      <c r="AG20097" s="831" t="s">
        <v>2674</v>
      </c>
      <c r="AH20097" s="831" t="s">
        <v>577</v>
      </c>
      <c r="AI20097" s="831">
        <v>0</v>
      </c>
      <c r="AJ20097" s="835">
        <v>41213</v>
      </c>
      <c r="AK20097" s="831">
        <v>-2146826246</v>
      </c>
    </row>
    <row r="20098" spans="32:37">
      <c r="AF20098" s="831" t="s">
        <v>10605</v>
      </c>
      <c r="AG20098" s="831" t="s">
        <v>2674</v>
      </c>
      <c r="AH20098" s="831" t="s">
        <v>3042</v>
      </c>
      <c r="AI20098" s="831">
        <v>0</v>
      </c>
      <c r="AJ20098" s="835">
        <v>41213</v>
      </c>
      <c r="AK20098" s="831">
        <v>-2146826246</v>
      </c>
    </row>
    <row r="20099" spans="32:37">
      <c r="AF20099" s="831" t="s">
        <v>10606</v>
      </c>
      <c r="AG20099" s="831" t="s">
        <v>2674</v>
      </c>
      <c r="AH20099" s="831" t="s">
        <v>3044</v>
      </c>
      <c r="AI20099" s="831">
        <v>0</v>
      </c>
      <c r="AJ20099" s="835">
        <v>41213</v>
      </c>
      <c r="AK20099" s="831">
        <v>-2146826246</v>
      </c>
    </row>
    <row r="20100" spans="32:37">
      <c r="AF20100" s="831" t="s">
        <v>10607</v>
      </c>
      <c r="AG20100" s="831" t="s">
        <v>2674</v>
      </c>
      <c r="AH20100" s="831" t="s">
        <v>580</v>
      </c>
      <c r="AI20100" s="831">
        <v>0</v>
      </c>
      <c r="AJ20100" s="835">
        <v>41213</v>
      </c>
      <c r="AK20100" s="831">
        <v>-2146826246</v>
      </c>
    </row>
    <row r="20101" spans="32:37">
      <c r="AF20101" s="831" t="s">
        <v>10608</v>
      </c>
      <c r="AG20101" s="831" t="s">
        <v>2674</v>
      </c>
      <c r="AH20101" s="831" t="s">
        <v>581</v>
      </c>
      <c r="AI20101" s="831">
        <v>0</v>
      </c>
      <c r="AJ20101" s="835">
        <v>41213</v>
      </c>
      <c r="AK20101" s="831">
        <v>-2146826246</v>
      </c>
    </row>
    <row r="20102" spans="32:37">
      <c r="AF20102" s="831" t="s">
        <v>10609</v>
      </c>
      <c r="AG20102" s="831" t="s">
        <v>2674</v>
      </c>
      <c r="AH20102" s="831" t="s">
        <v>105</v>
      </c>
      <c r="AI20102" s="831">
        <v>0</v>
      </c>
      <c r="AJ20102" s="835">
        <v>41213</v>
      </c>
      <c r="AK20102" s="831">
        <v>184676086</v>
      </c>
    </row>
    <row r="20103" spans="32:37">
      <c r="AF20103" s="831" t="s">
        <v>10610</v>
      </c>
      <c r="AG20103" s="831" t="s">
        <v>2674</v>
      </c>
      <c r="AH20103" s="831" t="s">
        <v>3049</v>
      </c>
      <c r="AI20103" s="831">
        <v>0</v>
      </c>
      <c r="AJ20103" s="835">
        <v>41213</v>
      </c>
      <c r="AK20103" s="831">
        <v>342133447</v>
      </c>
    </row>
    <row r="20104" spans="32:37">
      <c r="AF20104" s="831" t="s">
        <v>10611</v>
      </c>
      <c r="AG20104" s="831" t="s">
        <v>2674</v>
      </c>
      <c r="AH20104" s="831" t="s">
        <v>103</v>
      </c>
      <c r="AI20104" s="831">
        <v>0</v>
      </c>
      <c r="AJ20104" s="835">
        <v>41213</v>
      </c>
      <c r="AK20104" s="831">
        <v>157457361</v>
      </c>
    </row>
    <row r="20105" spans="32:37">
      <c r="AF20105" s="831" t="s">
        <v>10612</v>
      </c>
      <c r="AG20105" s="831" t="s">
        <v>2674</v>
      </c>
      <c r="AH20105" s="831" t="s">
        <v>182</v>
      </c>
      <c r="AI20105" s="831">
        <v>0</v>
      </c>
      <c r="AJ20105" s="835">
        <v>41213</v>
      </c>
      <c r="AK20105" s="831">
        <v>49941625.200000003</v>
      </c>
    </row>
    <row r="20106" spans="32:37">
      <c r="AF20106" s="831" t="s">
        <v>10613</v>
      </c>
      <c r="AG20106" s="831" t="s">
        <v>2674</v>
      </c>
      <c r="AH20106" s="831" t="s">
        <v>6600</v>
      </c>
      <c r="AI20106" s="831">
        <v>0</v>
      </c>
      <c r="AJ20106" s="835">
        <v>41213</v>
      </c>
      <c r="AK20106" s="831">
        <v>-2146826246</v>
      </c>
    </row>
    <row r="20107" spans="32:37">
      <c r="AF20107" s="831" t="s">
        <v>10614</v>
      </c>
      <c r="AG20107" s="831" t="s">
        <v>2674</v>
      </c>
      <c r="AH20107" s="831" t="s">
        <v>6602</v>
      </c>
      <c r="AI20107" s="831">
        <v>0</v>
      </c>
      <c r="AJ20107" s="835">
        <v>41213</v>
      </c>
      <c r="AK20107" s="831">
        <v>14108507</v>
      </c>
    </row>
    <row r="20108" spans="32:37">
      <c r="AF20108" s="831" t="s">
        <v>10615</v>
      </c>
      <c r="AG20108" s="831" t="s">
        <v>2674</v>
      </c>
      <c r="AH20108" s="831" t="s">
        <v>650</v>
      </c>
      <c r="AI20108" s="831">
        <v>0</v>
      </c>
      <c r="AJ20108" s="835">
        <v>41213</v>
      </c>
      <c r="AK20108" s="831">
        <v>0</v>
      </c>
    </row>
    <row r="20109" spans="32:37">
      <c r="AF20109" s="831" t="s">
        <v>10616</v>
      </c>
      <c r="AG20109" s="831" t="s">
        <v>2674</v>
      </c>
      <c r="AH20109" s="831" t="s">
        <v>655</v>
      </c>
      <c r="AI20109" s="831">
        <v>0</v>
      </c>
      <c r="AJ20109" s="835">
        <v>41213</v>
      </c>
      <c r="AK20109" s="831">
        <v>1927116</v>
      </c>
    </row>
    <row r="20110" spans="32:37">
      <c r="AF20110" s="831" t="s">
        <v>10617</v>
      </c>
      <c r="AG20110" s="831" t="s">
        <v>2674</v>
      </c>
      <c r="AH20110" s="831" t="s">
        <v>546</v>
      </c>
      <c r="AI20110" s="831">
        <v>0</v>
      </c>
      <c r="AJ20110" s="835">
        <v>41243</v>
      </c>
      <c r="AK20110" s="831">
        <v>394083786</v>
      </c>
    </row>
    <row r="20111" spans="32:37">
      <c r="AF20111" s="831" t="s">
        <v>10618</v>
      </c>
      <c r="AG20111" s="831" t="s">
        <v>2674</v>
      </c>
      <c r="AH20111" s="831" t="s">
        <v>370</v>
      </c>
      <c r="AI20111" s="831">
        <v>0</v>
      </c>
      <c r="AJ20111" s="835">
        <v>41243</v>
      </c>
      <c r="AK20111" s="831">
        <v>468781857</v>
      </c>
    </row>
    <row r="20112" spans="32:37">
      <c r="AF20112" s="831" t="s">
        <v>10619</v>
      </c>
      <c r="AG20112" s="831" t="s">
        <v>2674</v>
      </c>
      <c r="AH20112" s="831" t="s">
        <v>126</v>
      </c>
      <c r="AI20112" s="831">
        <v>0</v>
      </c>
      <c r="AJ20112" s="835">
        <v>41243</v>
      </c>
      <c r="AK20112" s="831">
        <v>101856827</v>
      </c>
    </row>
    <row r="20113" spans="32:37">
      <c r="AF20113" s="831" t="s">
        <v>10620</v>
      </c>
      <c r="AG20113" s="831" t="s">
        <v>2674</v>
      </c>
      <c r="AH20113" s="831" t="s">
        <v>268</v>
      </c>
      <c r="AI20113" s="831">
        <v>0</v>
      </c>
      <c r="AJ20113" s="835">
        <v>41243</v>
      </c>
      <c r="AK20113" s="831">
        <v>16533903</v>
      </c>
    </row>
    <row r="20114" spans="32:37">
      <c r="AF20114" s="831" t="s">
        <v>10621</v>
      </c>
      <c r="AG20114" s="831" t="s">
        <v>2674</v>
      </c>
      <c r="AH20114" s="831" t="s">
        <v>547</v>
      </c>
      <c r="AI20114" s="831">
        <v>0</v>
      </c>
      <c r="AJ20114" s="835">
        <v>41243</v>
      </c>
      <c r="AK20114" s="831">
        <v>0</v>
      </c>
    </row>
    <row r="20115" spans="32:37">
      <c r="AF20115" s="831" t="s">
        <v>10622</v>
      </c>
      <c r="AG20115" s="831" t="s">
        <v>2674</v>
      </c>
      <c r="AH20115" s="831" t="s">
        <v>548</v>
      </c>
      <c r="AI20115" s="831">
        <v>0</v>
      </c>
      <c r="AJ20115" s="835">
        <v>41243</v>
      </c>
      <c r="AK20115" s="831">
        <v>0</v>
      </c>
    </row>
    <row r="20116" spans="32:37">
      <c r="AF20116" s="831" t="s">
        <v>10623</v>
      </c>
      <c r="AG20116" s="831" t="s">
        <v>2674</v>
      </c>
      <c r="AH20116" s="831" t="s">
        <v>549</v>
      </c>
      <c r="AI20116" s="831">
        <v>0</v>
      </c>
      <c r="AJ20116" s="835">
        <v>41243</v>
      </c>
      <c r="AK20116" s="831">
        <v>0</v>
      </c>
    </row>
    <row r="20117" spans="32:37">
      <c r="AF20117" s="831" t="s">
        <v>10624</v>
      </c>
      <c r="AG20117" s="831" t="s">
        <v>2674</v>
      </c>
      <c r="AH20117" s="831" t="s">
        <v>192</v>
      </c>
      <c r="AI20117" s="831">
        <v>0</v>
      </c>
      <c r="AJ20117" s="835">
        <v>41243</v>
      </c>
      <c r="AK20117" s="831">
        <v>-10079693</v>
      </c>
    </row>
    <row r="20118" spans="32:37">
      <c r="AF20118" s="831" t="s">
        <v>10625</v>
      </c>
      <c r="AG20118" s="831" t="s">
        <v>2674</v>
      </c>
      <c r="AH20118" s="831" t="s">
        <v>558</v>
      </c>
      <c r="AI20118" s="831">
        <v>0</v>
      </c>
      <c r="AJ20118" s="835">
        <v>41243</v>
      </c>
      <c r="AK20118" s="831">
        <v>366925030</v>
      </c>
    </row>
    <row r="20119" spans="32:37">
      <c r="AF20119" s="831" t="s">
        <v>10626</v>
      </c>
      <c r="AG20119" s="831" t="s">
        <v>2674</v>
      </c>
      <c r="AH20119" s="831" t="s">
        <v>65</v>
      </c>
      <c r="AI20119" s="831">
        <v>0</v>
      </c>
      <c r="AJ20119" s="835">
        <v>41243</v>
      </c>
      <c r="AK20119" s="831">
        <v>89510969</v>
      </c>
    </row>
    <row r="20120" spans="32:37">
      <c r="AF20120" s="831" t="s">
        <v>10627</v>
      </c>
      <c r="AG20120" s="831" t="s">
        <v>2674</v>
      </c>
      <c r="AH20120" s="831" t="s">
        <v>89</v>
      </c>
      <c r="AI20120" s="831">
        <v>0</v>
      </c>
      <c r="AJ20120" s="835">
        <v>41243</v>
      </c>
      <c r="AK20120" s="831">
        <v>123534</v>
      </c>
    </row>
    <row r="20121" spans="32:37">
      <c r="AF20121" s="831" t="s">
        <v>10628</v>
      </c>
      <c r="AG20121" s="831" t="s">
        <v>2674</v>
      </c>
      <c r="AH20121" s="831" t="s">
        <v>557</v>
      </c>
      <c r="AI20121" s="831">
        <v>0</v>
      </c>
      <c r="AJ20121" s="835">
        <v>41243</v>
      </c>
      <c r="AK20121" s="831">
        <v>125715</v>
      </c>
    </row>
    <row r="20122" spans="32:37">
      <c r="AF20122" s="831" t="s">
        <v>10629</v>
      </c>
      <c r="AG20122" s="831" t="s">
        <v>2674</v>
      </c>
      <c r="AH20122" s="831" t="s">
        <v>29</v>
      </c>
      <c r="AI20122" s="831">
        <v>0</v>
      </c>
      <c r="AJ20122" s="835">
        <v>41243</v>
      </c>
      <c r="AK20122" s="831">
        <v>2094921</v>
      </c>
    </row>
    <row r="20123" spans="32:37">
      <c r="AF20123" s="831" t="s">
        <v>10630</v>
      </c>
      <c r="AG20123" s="831" t="s">
        <v>2674</v>
      </c>
      <c r="AH20123" s="831" t="s">
        <v>2688</v>
      </c>
      <c r="AI20123" s="831">
        <v>0</v>
      </c>
      <c r="AJ20123" s="835">
        <v>41243</v>
      </c>
      <c r="AK20123" s="831">
        <v>2867819</v>
      </c>
    </row>
    <row r="20124" spans="32:37">
      <c r="AF20124" s="831" t="s">
        <v>10631</v>
      </c>
      <c r="AG20124" s="831" t="s">
        <v>2674</v>
      </c>
      <c r="AH20124" s="831" t="s">
        <v>556</v>
      </c>
      <c r="AI20124" s="831">
        <v>0</v>
      </c>
      <c r="AJ20124" s="835">
        <v>41243</v>
      </c>
      <c r="AK20124" s="831">
        <v>902857</v>
      </c>
    </row>
    <row r="20125" spans="32:37">
      <c r="AF20125" s="831" t="s">
        <v>10632</v>
      </c>
      <c r="AG20125" s="831" t="s">
        <v>2674</v>
      </c>
      <c r="AH20125" s="831" t="s">
        <v>555</v>
      </c>
      <c r="AI20125" s="831">
        <v>0</v>
      </c>
      <c r="AJ20125" s="835">
        <v>41243</v>
      </c>
      <c r="AK20125" s="831">
        <v>236413970</v>
      </c>
    </row>
    <row r="20126" spans="32:37">
      <c r="AF20126" s="831" t="s">
        <v>10633</v>
      </c>
      <c r="AG20126" s="831" t="s">
        <v>2674</v>
      </c>
      <c r="AH20126" s="831" t="s">
        <v>554</v>
      </c>
      <c r="AI20126" s="831">
        <v>0</v>
      </c>
      <c r="AJ20126" s="835">
        <v>41243</v>
      </c>
      <c r="AK20126" s="831">
        <v>238298670</v>
      </c>
    </row>
    <row r="20127" spans="32:37">
      <c r="AF20127" s="831" t="s">
        <v>10634</v>
      </c>
      <c r="AG20127" s="831" t="s">
        <v>2674</v>
      </c>
      <c r="AH20127" s="831" t="s">
        <v>553</v>
      </c>
      <c r="AI20127" s="831">
        <v>0</v>
      </c>
      <c r="AJ20127" s="835">
        <v>41243</v>
      </c>
      <c r="AK20127" s="831">
        <v>0</v>
      </c>
    </row>
    <row r="20128" spans="32:37">
      <c r="AF20128" s="831" t="s">
        <v>10635</v>
      </c>
      <c r="AG20128" s="831" t="s">
        <v>2674</v>
      </c>
      <c r="AH20128" s="831" t="s">
        <v>552</v>
      </c>
      <c r="AI20128" s="831">
        <v>0</v>
      </c>
      <c r="AJ20128" s="835">
        <v>41243</v>
      </c>
      <c r="AK20128" s="831">
        <v>0</v>
      </c>
    </row>
    <row r="20129" spans="32:37">
      <c r="AF20129" s="831" t="s">
        <v>10636</v>
      </c>
      <c r="AG20129" s="831" t="s">
        <v>2674</v>
      </c>
      <c r="AH20129" s="831" t="s">
        <v>551</v>
      </c>
      <c r="AI20129" s="831">
        <v>0</v>
      </c>
      <c r="AJ20129" s="835">
        <v>41243</v>
      </c>
      <c r="AK20129" s="831">
        <v>1916351</v>
      </c>
    </row>
    <row r="20130" spans="32:37">
      <c r="AF20130" s="831" t="s">
        <v>10637</v>
      </c>
      <c r="AG20130" s="831" t="s">
        <v>2674</v>
      </c>
      <c r="AH20130" s="831" t="s">
        <v>550</v>
      </c>
      <c r="AI20130" s="831">
        <v>0</v>
      </c>
      <c r="AJ20130" s="835">
        <v>41243</v>
      </c>
      <c r="AK20130" s="831">
        <v>99431431</v>
      </c>
    </row>
    <row r="20131" spans="32:37">
      <c r="AF20131" s="831" t="s">
        <v>10638</v>
      </c>
      <c r="AG20131" s="831" t="s">
        <v>2674</v>
      </c>
      <c r="AH20131" s="831" t="s">
        <v>562</v>
      </c>
      <c r="AI20131" s="831">
        <v>0</v>
      </c>
      <c r="AJ20131" s="835">
        <v>41243</v>
      </c>
      <c r="AK20131" s="831">
        <v>0.78415000000000001</v>
      </c>
    </row>
    <row r="20132" spans="32:37">
      <c r="AF20132" s="831" t="s">
        <v>10639</v>
      </c>
      <c r="AG20132" s="831" t="s">
        <v>2674</v>
      </c>
      <c r="AH20132" s="831" t="s">
        <v>2698</v>
      </c>
      <c r="AI20132" s="831">
        <v>0</v>
      </c>
      <c r="AJ20132" s="835">
        <v>41243</v>
      </c>
      <c r="AK20132" s="831">
        <v>0.78434999999999999</v>
      </c>
    </row>
    <row r="20133" spans="32:37">
      <c r="AF20133" s="831" t="s">
        <v>10640</v>
      </c>
      <c r="AG20133" s="831" t="s">
        <v>2674</v>
      </c>
      <c r="AH20133" s="831" t="s">
        <v>560</v>
      </c>
      <c r="AI20133" s="831">
        <v>0</v>
      </c>
      <c r="AJ20133" s="835">
        <v>41243</v>
      </c>
      <c r="AK20133" s="831">
        <v>0.7851499999999999</v>
      </c>
    </row>
    <row r="20134" spans="32:37">
      <c r="AF20134" s="831" t="s">
        <v>10641</v>
      </c>
      <c r="AG20134" s="831" t="s">
        <v>2674</v>
      </c>
      <c r="AH20134" s="831" t="s">
        <v>559</v>
      </c>
      <c r="AI20134" s="831">
        <v>0</v>
      </c>
      <c r="AJ20134" s="835">
        <v>41243</v>
      </c>
      <c r="AK20134" s="831">
        <v>0.78524166666666673</v>
      </c>
    </row>
    <row r="20135" spans="32:37">
      <c r="AF20135" s="831" t="s">
        <v>10642</v>
      </c>
      <c r="AG20135" s="831" t="s">
        <v>2674</v>
      </c>
      <c r="AH20135" s="831" t="s">
        <v>568</v>
      </c>
      <c r="AI20135" s="831">
        <v>0</v>
      </c>
      <c r="AJ20135" s="835">
        <v>41243</v>
      </c>
      <c r="AK20135" s="831">
        <v>0</v>
      </c>
    </row>
    <row r="20136" spans="32:37">
      <c r="AF20136" s="831" t="s">
        <v>10643</v>
      </c>
      <c r="AG20136" s="831" t="s">
        <v>2674</v>
      </c>
      <c r="AH20136" s="831" t="s">
        <v>569</v>
      </c>
      <c r="AI20136" s="831">
        <v>0</v>
      </c>
      <c r="AJ20136" s="835">
        <v>41243</v>
      </c>
      <c r="AK20136" s="831">
        <v>0</v>
      </c>
    </row>
    <row r="20137" spans="32:37">
      <c r="AF20137" s="831" t="s">
        <v>10644</v>
      </c>
      <c r="AG20137" s="831" t="s">
        <v>2674</v>
      </c>
      <c r="AH20137" s="831" t="s">
        <v>570</v>
      </c>
      <c r="AI20137" s="831">
        <v>0</v>
      </c>
      <c r="AJ20137" s="835">
        <v>41243</v>
      </c>
      <c r="AK20137" s="831">
        <v>0</v>
      </c>
    </row>
    <row r="20138" spans="32:37">
      <c r="AF20138" s="831" t="s">
        <v>10645</v>
      </c>
      <c r="AG20138" s="831" t="s">
        <v>2674</v>
      </c>
      <c r="AH20138" s="831" t="s">
        <v>571</v>
      </c>
      <c r="AI20138" s="831">
        <v>0</v>
      </c>
      <c r="AJ20138" s="835">
        <v>41243</v>
      </c>
      <c r="AK20138" s="831">
        <v>0</v>
      </c>
    </row>
    <row r="20139" spans="32:37">
      <c r="AF20139" s="831" t="s">
        <v>10646</v>
      </c>
      <c r="AG20139" s="831" t="s">
        <v>2674</v>
      </c>
      <c r="AH20139" s="831" t="s">
        <v>573</v>
      </c>
      <c r="AI20139" s="831">
        <v>0</v>
      </c>
      <c r="AJ20139" s="835">
        <v>41243</v>
      </c>
      <c r="AK20139" s="831">
        <v>0</v>
      </c>
    </row>
    <row r="20140" spans="32:37">
      <c r="AF20140" s="831" t="s">
        <v>10647</v>
      </c>
      <c r="AG20140" s="831" t="s">
        <v>2674</v>
      </c>
      <c r="AH20140" s="831" t="s">
        <v>574</v>
      </c>
      <c r="AI20140" s="831">
        <v>0</v>
      </c>
      <c r="AJ20140" s="835">
        <v>41243</v>
      </c>
      <c r="AK20140" s="831">
        <v>0</v>
      </c>
    </row>
    <row r="20141" spans="32:37">
      <c r="AF20141" s="831" t="s">
        <v>10648</v>
      </c>
      <c r="AG20141" s="831" t="s">
        <v>2674</v>
      </c>
      <c r="AH20141" s="831" t="s">
        <v>575</v>
      </c>
      <c r="AI20141" s="831">
        <v>0</v>
      </c>
      <c r="AJ20141" s="835">
        <v>41243</v>
      </c>
      <c r="AK20141" s="831">
        <v>0</v>
      </c>
    </row>
    <row r="20142" spans="32:37">
      <c r="AF20142" s="831" t="s">
        <v>10649</v>
      </c>
      <c r="AG20142" s="831" t="s">
        <v>2674</v>
      </c>
      <c r="AH20142" s="831" t="s">
        <v>576</v>
      </c>
      <c r="AI20142" s="831">
        <v>0</v>
      </c>
      <c r="AJ20142" s="835">
        <v>41243</v>
      </c>
      <c r="AK20142" s="831">
        <v>0</v>
      </c>
    </row>
    <row r="20143" spans="32:37">
      <c r="AF20143" s="831" t="s">
        <v>10650</v>
      </c>
      <c r="AG20143" s="831" t="s">
        <v>2674</v>
      </c>
      <c r="AH20143" s="831" t="s">
        <v>572</v>
      </c>
      <c r="AI20143" s="831">
        <v>0</v>
      </c>
      <c r="AJ20143" s="835">
        <v>41243</v>
      </c>
      <c r="AK20143" s="831">
        <v>-2146826246</v>
      </c>
    </row>
    <row r="20144" spans="32:37">
      <c r="AF20144" s="831" t="s">
        <v>10651</v>
      </c>
      <c r="AG20144" s="831" t="s">
        <v>2674</v>
      </c>
      <c r="AH20144" s="831" t="s">
        <v>577</v>
      </c>
      <c r="AI20144" s="831">
        <v>0</v>
      </c>
      <c r="AJ20144" s="835">
        <v>41243</v>
      </c>
      <c r="AK20144" s="831">
        <v>-2146826246</v>
      </c>
    </row>
    <row r="20145" spans="32:37">
      <c r="AF20145" s="831" t="s">
        <v>10652</v>
      </c>
      <c r="AG20145" s="831" t="s">
        <v>2674</v>
      </c>
      <c r="AH20145" s="831" t="s">
        <v>3042</v>
      </c>
      <c r="AI20145" s="831">
        <v>0</v>
      </c>
      <c r="AJ20145" s="835">
        <v>41243</v>
      </c>
      <c r="AK20145" s="831">
        <v>-2146826246</v>
      </c>
    </row>
    <row r="20146" spans="32:37">
      <c r="AF20146" s="831" t="s">
        <v>10653</v>
      </c>
      <c r="AG20146" s="831" t="s">
        <v>2674</v>
      </c>
      <c r="AH20146" s="831" t="s">
        <v>3044</v>
      </c>
      <c r="AI20146" s="831">
        <v>0</v>
      </c>
      <c r="AJ20146" s="835">
        <v>41243</v>
      </c>
      <c r="AK20146" s="831">
        <v>-2146826246</v>
      </c>
    </row>
    <row r="20147" spans="32:37">
      <c r="AF20147" s="831" t="s">
        <v>10654</v>
      </c>
      <c r="AG20147" s="831" t="s">
        <v>2674</v>
      </c>
      <c r="AH20147" s="831" t="s">
        <v>580</v>
      </c>
      <c r="AI20147" s="831">
        <v>0</v>
      </c>
      <c r="AJ20147" s="835">
        <v>41243</v>
      </c>
      <c r="AK20147" s="831">
        <v>-2146826246</v>
      </c>
    </row>
    <row r="20148" spans="32:37">
      <c r="AF20148" s="831" t="s">
        <v>10655</v>
      </c>
      <c r="AG20148" s="831" t="s">
        <v>2674</v>
      </c>
      <c r="AH20148" s="831" t="s">
        <v>581</v>
      </c>
      <c r="AI20148" s="831">
        <v>0</v>
      </c>
      <c r="AJ20148" s="835">
        <v>41243</v>
      </c>
      <c r="AK20148" s="831">
        <v>-2146826246</v>
      </c>
    </row>
    <row r="20149" spans="32:37">
      <c r="AF20149" s="831" t="s">
        <v>10656</v>
      </c>
      <c r="AG20149" s="831" t="s">
        <v>2674</v>
      </c>
      <c r="AH20149" s="831" t="s">
        <v>105</v>
      </c>
      <c r="AI20149" s="831">
        <v>0</v>
      </c>
      <c r="AJ20149" s="835">
        <v>41243</v>
      </c>
      <c r="AK20149" s="831">
        <v>202127506</v>
      </c>
    </row>
    <row r="20150" spans="32:37">
      <c r="AF20150" s="831" t="s">
        <v>10657</v>
      </c>
      <c r="AG20150" s="831" t="s">
        <v>2674</v>
      </c>
      <c r="AH20150" s="831" t="s">
        <v>3049</v>
      </c>
      <c r="AI20150" s="831">
        <v>0</v>
      </c>
      <c r="AJ20150" s="835">
        <v>41243</v>
      </c>
      <c r="AK20150" s="831">
        <v>355103629</v>
      </c>
    </row>
    <row r="20151" spans="32:37">
      <c r="AF20151" s="831" t="s">
        <v>10658</v>
      </c>
      <c r="AG20151" s="831" t="s">
        <v>2674</v>
      </c>
      <c r="AH20151" s="831" t="s">
        <v>103</v>
      </c>
      <c r="AI20151" s="831">
        <v>0</v>
      </c>
      <c r="AJ20151" s="835">
        <v>41243</v>
      </c>
      <c r="AK20151" s="831">
        <v>152976123</v>
      </c>
    </row>
    <row r="20152" spans="32:37">
      <c r="AF20152" s="831" t="s">
        <v>10659</v>
      </c>
      <c r="AG20152" s="831" t="s">
        <v>2674</v>
      </c>
      <c r="AH20152" s="831" t="s">
        <v>182</v>
      </c>
      <c r="AI20152" s="831">
        <v>0</v>
      </c>
      <c r="AJ20152" s="835">
        <v>41243</v>
      </c>
      <c r="AK20152" s="831">
        <v>50142446.18181818</v>
      </c>
    </row>
    <row r="20153" spans="32:37">
      <c r="AF20153" s="831" t="s">
        <v>10660</v>
      </c>
      <c r="AG20153" s="831" t="s">
        <v>2674</v>
      </c>
      <c r="AH20153" s="831" t="s">
        <v>6600</v>
      </c>
      <c r="AI20153" s="831">
        <v>0</v>
      </c>
      <c r="AJ20153" s="835">
        <v>41243</v>
      </c>
      <c r="AK20153" s="831">
        <v>-2146826246</v>
      </c>
    </row>
    <row r="20154" spans="32:37">
      <c r="AF20154" s="831" t="s">
        <v>10661</v>
      </c>
      <c r="AG20154" s="831" t="s">
        <v>2674</v>
      </c>
      <c r="AH20154" s="831" t="s">
        <v>6602</v>
      </c>
      <c r="AI20154" s="831">
        <v>0</v>
      </c>
      <c r="AJ20154" s="835">
        <v>41243</v>
      </c>
      <c r="AK20154" s="831">
        <v>16533903</v>
      </c>
    </row>
    <row r="20155" spans="32:37">
      <c r="AF20155" s="831" t="s">
        <v>10662</v>
      </c>
      <c r="AG20155" s="831" t="s">
        <v>2674</v>
      </c>
      <c r="AH20155" s="831" t="s">
        <v>650</v>
      </c>
      <c r="AI20155" s="831">
        <v>0</v>
      </c>
      <c r="AJ20155" s="835">
        <v>41243</v>
      </c>
      <c r="AK20155" s="831">
        <v>0</v>
      </c>
    </row>
    <row r="20156" spans="32:37">
      <c r="AF20156" s="831" t="s">
        <v>10663</v>
      </c>
      <c r="AG20156" s="831" t="s">
        <v>2674</v>
      </c>
      <c r="AH20156" s="831" t="s">
        <v>655</v>
      </c>
      <c r="AI20156" s="831">
        <v>0</v>
      </c>
      <c r="AJ20156" s="835">
        <v>41243</v>
      </c>
      <c r="AK20156" s="831">
        <v>1720042</v>
      </c>
    </row>
    <row r="20157" spans="32:37">
      <c r="AF20157" s="831" t="s">
        <v>10664</v>
      </c>
      <c r="AG20157" s="831" t="s">
        <v>2674</v>
      </c>
      <c r="AH20157" s="831" t="s">
        <v>546</v>
      </c>
      <c r="AI20157" s="831">
        <v>0</v>
      </c>
      <c r="AJ20157" s="835">
        <v>41274</v>
      </c>
      <c r="AK20157" s="831">
        <v>412125624</v>
      </c>
    </row>
    <row r="20158" spans="32:37">
      <c r="AF20158" s="831" t="s">
        <v>10665</v>
      </c>
      <c r="AG20158" s="831" t="s">
        <v>2674</v>
      </c>
      <c r="AH20158" s="831" t="s">
        <v>370</v>
      </c>
      <c r="AI20158" s="831">
        <v>0</v>
      </c>
      <c r="AJ20158" s="835">
        <v>41274</v>
      </c>
      <c r="AK20158" s="831">
        <v>515268910</v>
      </c>
    </row>
    <row r="20159" spans="32:37">
      <c r="AF20159" s="831" t="s">
        <v>10666</v>
      </c>
      <c r="AG20159" s="831" t="s">
        <v>2674</v>
      </c>
      <c r="AH20159" s="831" t="s">
        <v>126</v>
      </c>
      <c r="AI20159" s="831">
        <v>0</v>
      </c>
      <c r="AJ20159" s="835">
        <v>41274</v>
      </c>
      <c r="AK20159" s="831">
        <v>101162875</v>
      </c>
    </row>
    <row r="20160" spans="32:37">
      <c r="AF20160" s="831" t="s">
        <v>10667</v>
      </c>
      <c r="AG20160" s="831" t="s">
        <v>2674</v>
      </c>
      <c r="AH20160" s="831" t="s">
        <v>268</v>
      </c>
      <c r="AI20160" s="831">
        <v>0</v>
      </c>
      <c r="AJ20160" s="835">
        <v>41274</v>
      </c>
      <c r="AK20160" s="831">
        <v>15839951</v>
      </c>
    </row>
    <row r="20161" spans="32:37">
      <c r="AF20161" s="831" t="s">
        <v>10668</v>
      </c>
      <c r="AG20161" s="831" t="s">
        <v>2674</v>
      </c>
      <c r="AH20161" s="831" t="s">
        <v>547</v>
      </c>
      <c r="AI20161" s="831">
        <v>0</v>
      </c>
      <c r="AJ20161" s="835">
        <v>41274</v>
      </c>
      <c r="AK20161" s="831">
        <v>0</v>
      </c>
    </row>
    <row r="20162" spans="32:37">
      <c r="AF20162" s="831" t="s">
        <v>10669</v>
      </c>
      <c r="AG20162" s="831" t="s">
        <v>2674</v>
      </c>
      <c r="AH20162" s="831" t="s">
        <v>548</v>
      </c>
      <c r="AI20162" s="831">
        <v>0</v>
      </c>
      <c r="AJ20162" s="835">
        <v>41274</v>
      </c>
      <c r="AK20162" s="831">
        <v>0</v>
      </c>
    </row>
    <row r="20163" spans="32:37">
      <c r="AF20163" s="831" t="s">
        <v>10670</v>
      </c>
      <c r="AG20163" s="831" t="s">
        <v>2674</v>
      </c>
      <c r="AH20163" s="831" t="s">
        <v>549</v>
      </c>
      <c r="AI20163" s="831">
        <v>0</v>
      </c>
      <c r="AJ20163" s="835">
        <v>41274</v>
      </c>
      <c r="AK20163" s="831">
        <v>0</v>
      </c>
    </row>
    <row r="20164" spans="32:37">
      <c r="AF20164" s="831" t="s">
        <v>10671</v>
      </c>
      <c r="AG20164" s="831" t="s">
        <v>2674</v>
      </c>
      <c r="AH20164" s="831" t="s">
        <v>192</v>
      </c>
      <c r="AI20164" s="831">
        <v>0</v>
      </c>
      <c r="AJ20164" s="835">
        <v>41274</v>
      </c>
      <c r="AK20164" s="831">
        <v>-10390612</v>
      </c>
    </row>
    <row r="20165" spans="32:37">
      <c r="AF20165" s="831" t="s">
        <v>10672</v>
      </c>
      <c r="AG20165" s="831" t="s">
        <v>2674</v>
      </c>
      <c r="AH20165" s="831" t="s">
        <v>558</v>
      </c>
      <c r="AI20165" s="831">
        <v>0</v>
      </c>
      <c r="AJ20165" s="835">
        <v>41274</v>
      </c>
      <c r="AK20165" s="831">
        <v>414106035</v>
      </c>
    </row>
    <row r="20166" spans="32:37">
      <c r="AF20166" s="831" t="s">
        <v>10673</v>
      </c>
      <c r="AG20166" s="831" t="s">
        <v>2674</v>
      </c>
      <c r="AH20166" s="831" t="s">
        <v>65</v>
      </c>
      <c r="AI20166" s="831">
        <v>0</v>
      </c>
      <c r="AJ20166" s="835">
        <v>41274</v>
      </c>
      <c r="AK20166" s="831">
        <v>98876380</v>
      </c>
    </row>
    <row r="20167" spans="32:37">
      <c r="AF20167" s="831" t="s">
        <v>10674</v>
      </c>
      <c r="AG20167" s="831" t="s">
        <v>2674</v>
      </c>
      <c r="AH20167" s="831" t="s">
        <v>89</v>
      </c>
      <c r="AI20167" s="831">
        <v>0</v>
      </c>
      <c r="AJ20167" s="835">
        <v>41274</v>
      </c>
      <c r="AK20167" s="831">
        <v>124397</v>
      </c>
    </row>
    <row r="20168" spans="32:37">
      <c r="AF20168" s="831" t="s">
        <v>10675</v>
      </c>
      <c r="AG20168" s="831" t="s">
        <v>2674</v>
      </c>
      <c r="AH20168" s="831" t="s">
        <v>557</v>
      </c>
      <c r="AI20168" s="831">
        <v>0</v>
      </c>
      <c r="AJ20168" s="835">
        <v>41274</v>
      </c>
      <c r="AK20168" s="831">
        <v>127200</v>
      </c>
    </row>
    <row r="20169" spans="32:37">
      <c r="AF20169" s="831" t="s">
        <v>10676</v>
      </c>
      <c r="AG20169" s="831" t="s">
        <v>2674</v>
      </c>
      <c r="AH20169" s="831" t="s">
        <v>29</v>
      </c>
      <c r="AI20169" s="831">
        <v>0</v>
      </c>
      <c r="AJ20169" s="835">
        <v>41274</v>
      </c>
      <c r="AK20169" s="831">
        <v>1921756</v>
      </c>
    </row>
    <row r="20170" spans="32:37">
      <c r="AF20170" s="831" t="s">
        <v>10677</v>
      </c>
      <c r="AG20170" s="831" t="s">
        <v>2674</v>
      </c>
      <c r="AH20170" s="831" t="s">
        <v>2688</v>
      </c>
      <c r="AI20170" s="831">
        <v>0</v>
      </c>
      <c r="AJ20170" s="835">
        <v>41274</v>
      </c>
      <c r="AK20170" s="831">
        <v>2457254</v>
      </c>
    </row>
    <row r="20171" spans="32:37">
      <c r="AF20171" s="831" t="s">
        <v>10678</v>
      </c>
      <c r="AG20171" s="831" t="s">
        <v>2674</v>
      </c>
      <c r="AH20171" s="831" t="s">
        <v>556</v>
      </c>
      <c r="AI20171" s="831">
        <v>0</v>
      </c>
      <c r="AJ20171" s="835">
        <v>41274</v>
      </c>
      <c r="AK20171" s="831">
        <v>902857</v>
      </c>
    </row>
    <row r="20172" spans="32:37">
      <c r="AF20172" s="831" t="s">
        <v>10679</v>
      </c>
      <c r="AG20172" s="831" t="s">
        <v>2674</v>
      </c>
      <c r="AH20172" s="831" t="s">
        <v>555</v>
      </c>
      <c r="AI20172" s="831">
        <v>0</v>
      </c>
      <c r="AJ20172" s="835">
        <v>41274</v>
      </c>
      <c r="AK20172" s="831">
        <v>274948010</v>
      </c>
    </row>
    <row r="20173" spans="32:37">
      <c r="AF20173" s="831" t="s">
        <v>10680</v>
      </c>
      <c r="AG20173" s="831" t="s">
        <v>2674</v>
      </c>
      <c r="AH20173" s="831" t="s">
        <v>554</v>
      </c>
      <c r="AI20173" s="831">
        <v>0</v>
      </c>
      <c r="AJ20173" s="835">
        <v>41274</v>
      </c>
      <c r="AK20173" s="831">
        <v>273069880</v>
      </c>
    </row>
    <row r="20174" spans="32:37">
      <c r="AF20174" s="831" t="s">
        <v>10681</v>
      </c>
      <c r="AG20174" s="831" t="s">
        <v>2674</v>
      </c>
      <c r="AH20174" s="831" t="s">
        <v>553</v>
      </c>
      <c r="AI20174" s="831">
        <v>0</v>
      </c>
      <c r="AJ20174" s="835">
        <v>41274</v>
      </c>
      <c r="AK20174" s="831">
        <v>0</v>
      </c>
    </row>
    <row r="20175" spans="32:37">
      <c r="AF20175" s="831" t="s">
        <v>10682</v>
      </c>
      <c r="AG20175" s="831" t="s">
        <v>2674</v>
      </c>
      <c r="AH20175" s="831" t="s">
        <v>552</v>
      </c>
      <c r="AI20175" s="831">
        <v>0</v>
      </c>
      <c r="AJ20175" s="835">
        <v>41274</v>
      </c>
      <c r="AK20175" s="831">
        <v>0</v>
      </c>
    </row>
    <row r="20176" spans="32:37">
      <c r="AF20176" s="831" t="s">
        <v>10683</v>
      </c>
      <c r="AG20176" s="831" t="s">
        <v>2674</v>
      </c>
      <c r="AH20176" s="831" t="s">
        <v>551</v>
      </c>
      <c r="AI20176" s="831">
        <v>0</v>
      </c>
      <c r="AJ20176" s="835">
        <v>41274</v>
      </c>
      <c r="AK20176" s="831">
        <v>1740472</v>
      </c>
    </row>
    <row r="20177" spans="32:37">
      <c r="AF20177" s="831" t="s">
        <v>10684</v>
      </c>
      <c r="AG20177" s="831" t="s">
        <v>2674</v>
      </c>
      <c r="AH20177" s="831" t="s">
        <v>550</v>
      </c>
      <c r="AI20177" s="831">
        <v>0</v>
      </c>
      <c r="AJ20177" s="835">
        <v>41274</v>
      </c>
      <c r="AK20177" s="831">
        <v>101856827</v>
      </c>
    </row>
    <row r="20178" spans="32:37">
      <c r="AF20178" s="831" t="s">
        <v>10685</v>
      </c>
      <c r="AG20178" s="831" t="s">
        <v>2674</v>
      </c>
      <c r="AH20178" s="831" t="s">
        <v>562</v>
      </c>
      <c r="AI20178" s="831">
        <v>0</v>
      </c>
      <c r="AJ20178" s="835">
        <v>41274</v>
      </c>
      <c r="AK20178" s="831">
        <v>0.78400000000000003</v>
      </c>
    </row>
    <row r="20179" spans="32:37">
      <c r="AF20179" s="831" t="s">
        <v>10686</v>
      </c>
      <c r="AG20179" s="831" t="s">
        <v>2674</v>
      </c>
      <c r="AH20179" s="831" t="s">
        <v>2698</v>
      </c>
      <c r="AI20179" s="831">
        <v>0</v>
      </c>
      <c r="AJ20179" s="835">
        <v>41274</v>
      </c>
      <c r="AK20179" s="831">
        <v>0.78415000000000001</v>
      </c>
    </row>
    <row r="20180" spans="32:37">
      <c r="AF20180" s="831" t="s">
        <v>10687</v>
      </c>
      <c r="AG20180" s="831" t="s">
        <v>2674</v>
      </c>
      <c r="AH20180" s="831" t="s">
        <v>560</v>
      </c>
      <c r="AI20180" s="831">
        <v>0</v>
      </c>
      <c r="AJ20180" s="835">
        <v>41274</v>
      </c>
      <c r="AK20180" s="831">
        <v>0.7850541666666665</v>
      </c>
    </row>
    <row r="20181" spans="32:37">
      <c r="AF20181" s="831" t="s">
        <v>10688</v>
      </c>
      <c r="AG20181" s="831" t="s">
        <v>2674</v>
      </c>
      <c r="AH20181" s="831" t="s">
        <v>559</v>
      </c>
      <c r="AI20181" s="831">
        <v>0</v>
      </c>
      <c r="AJ20181" s="835">
        <v>41274</v>
      </c>
      <c r="AK20181" s="831">
        <v>0.7850541666666665</v>
      </c>
    </row>
    <row r="20182" spans="32:37">
      <c r="AF20182" s="831" t="s">
        <v>10689</v>
      </c>
      <c r="AG20182" s="831" t="s">
        <v>2674</v>
      </c>
      <c r="AH20182" s="831" t="s">
        <v>568</v>
      </c>
      <c r="AI20182" s="831">
        <v>0</v>
      </c>
      <c r="AJ20182" s="835">
        <v>41274</v>
      </c>
      <c r="AK20182" s="831">
        <v>0</v>
      </c>
    </row>
    <row r="20183" spans="32:37">
      <c r="AF20183" s="831" t="s">
        <v>10690</v>
      </c>
      <c r="AG20183" s="831" t="s">
        <v>2674</v>
      </c>
      <c r="AH20183" s="831" t="s">
        <v>569</v>
      </c>
      <c r="AI20183" s="831">
        <v>0</v>
      </c>
      <c r="AJ20183" s="835">
        <v>41274</v>
      </c>
      <c r="AK20183" s="831">
        <v>0</v>
      </c>
    </row>
    <row r="20184" spans="32:37">
      <c r="AF20184" s="831" t="s">
        <v>10691</v>
      </c>
      <c r="AG20184" s="831" t="s">
        <v>2674</v>
      </c>
      <c r="AH20184" s="831" t="s">
        <v>570</v>
      </c>
      <c r="AI20184" s="831">
        <v>0</v>
      </c>
      <c r="AJ20184" s="835">
        <v>41274</v>
      </c>
      <c r="AK20184" s="831">
        <v>0</v>
      </c>
    </row>
    <row r="20185" spans="32:37">
      <c r="AF20185" s="831" t="s">
        <v>10692</v>
      </c>
      <c r="AG20185" s="831" t="s">
        <v>2674</v>
      </c>
      <c r="AH20185" s="831" t="s">
        <v>571</v>
      </c>
      <c r="AI20185" s="831">
        <v>0</v>
      </c>
      <c r="AJ20185" s="835">
        <v>41274</v>
      </c>
      <c r="AK20185" s="831">
        <v>0</v>
      </c>
    </row>
    <row r="20186" spans="32:37">
      <c r="AF20186" s="831" t="s">
        <v>10693</v>
      </c>
      <c r="AG20186" s="831" t="s">
        <v>2674</v>
      </c>
      <c r="AH20186" s="831" t="s">
        <v>573</v>
      </c>
      <c r="AI20186" s="831">
        <v>0</v>
      </c>
      <c r="AJ20186" s="835">
        <v>41274</v>
      </c>
      <c r="AK20186" s="831">
        <v>-2146826265</v>
      </c>
    </row>
    <row r="20187" spans="32:37">
      <c r="AF20187" s="831" t="s">
        <v>10694</v>
      </c>
      <c r="AG20187" s="831" t="s">
        <v>2674</v>
      </c>
      <c r="AH20187" s="831" t="s">
        <v>574</v>
      </c>
      <c r="AI20187" s="831">
        <v>0</v>
      </c>
      <c r="AJ20187" s="835">
        <v>41274</v>
      </c>
      <c r="AK20187" s="831">
        <v>-2146826265</v>
      </c>
    </row>
    <row r="20188" spans="32:37">
      <c r="AF20188" s="831" t="s">
        <v>10695</v>
      </c>
      <c r="AG20188" s="831" t="s">
        <v>2674</v>
      </c>
      <c r="AH20188" s="831" t="s">
        <v>575</v>
      </c>
      <c r="AI20188" s="831">
        <v>0</v>
      </c>
      <c r="AJ20188" s="835">
        <v>41274</v>
      </c>
      <c r="AK20188" s="831">
        <v>-2146826265</v>
      </c>
    </row>
    <row r="20189" spans="32:37">
      <c r="AF20189" s="831" t="s">
        <v>10696</v>
      </c>
      <c r="AG20189" s="831" t="s">
        <v>2674</v>
      </c>
      <c r="AH20189" s="831" t="s">
        <v>576</v>
      </c>
      <c r="AI20189" s="831">
        <v>0</v>
      </c>
      <c r="AJ20189" s="835">
        <v>41274</v>
      </c>
      <c r="AK20189" s="831">
        <v>-2146826265</v>
      </c>
    </row>
    <row r="20190" spans="32:37">
      <c r="AF20190" s="831" t="s">
        <v>10697</v>
      </c>
      <c r="AG20190" s="831" t="s">
        <v>2674</v>
      </c>
      <c r="AH20190" s="831" t="s">
        <v>572</v>
      </c>
      <c r="AI20190" s="831">
        <v>0</v>
      </c>
      <c r="AJ20190" s="835">
        <v>41274</v>
      </c>
      <c r="AK20190" s="831">
        <v>-2146826246</v>
      </c>
    </row>
    <row r="20191" spans="32:37">
      <c r="AF20191" s="831" t="s">
        <v>10698</v>
      </c>
      <c r="AG20191" s="831" t="s">
        <v>2674</v>
      </c>
      <c r="AH20191" s="831" t="s">
        <v>577</v>
      </c>
      <c r="AI20191" s="831">
        <v>0</v>
      </c>
      <c r="AJ20191" s="835">
        <v>41274</v>
      </c>
      <c r="AK20191" s="831">
        <v>-2146826246</v>
      </c>
    </row>
    <row r="20192" spans="32:37">
      <c r="AF20192" s="831" t="s">
        <v>10699</v>
      </c>
      <c r="AG20192" s="831" t="s">
        <v>2674</v>
      </c>
      <c r="AH20192" s="831" t="s">
        <v>3042</v>
      </c>
      <c r="AI20192" s="831">
        <v>0</v>
      </c>
      <c r="AJ20192" s="835">
        <v>41274</v>
      </c>
      <c r="AK20192" s="831">
        <v>-2146826246</v>
      </c>
    </row>
    <row r="20193" spans="32:37">
      <c r="AF20193" s="831" t="s">
        <v>10700</v>
      </c>
      <c r="AG20193" s="831" t="s">
        <v>2674</v>
      </c>
      <c r="AH20193" s="831" t="s">
        <v>3044</v>
      </c>
      <c r="AI20193" s="831">
        <v>0</v>
      </c>
      <c r="AJ20193" s="835">
        <v>41274</v>
      </c>
      <c r="AK20193" s="831">
        <v>-2146826246</v>
      </c>
    </row>
    <row r="20194" spans="32:37">
      <c r="AF20194" s="831" t="s">
        <v>10701</v>
      </c>
      <c r="AG20194" s="831" t="s">
        <v>2674</v>
      </c>
      <c r="AH20194" s="831" t="s">
        <v>580</v>
      </c>
      <c r="AI20194" s="831">
        <v>0</v>
      </c>
      <c r="AJ20194" s="835">
        <v>41274</v>
      </c>
      <c r="AK20194" s="831">
        <v>-2146826246</v>
      </c>
    </row>
    <row r="20195" spans="32:37">
      <c r="AF20195" s="831" t="s">
        <v>10702</v>
      </c>
      <c r="AG20195" s="831" t="s">
        <v>2674</v>
      </c>
      <c r="AH20195" s="831" t="s">
        <v>581</v>
      </c>
      <c r="AI20195" s="831">
        <v>0</v>
      </c>
      <c r="AJ20195" s="835">
        <v>41274</v>
      </c>
      <c r="AK20195" s="831">
        <v>-2146826246</v>
      </c>
    </row>
    <row r="20196" spans="32:37">
      <c r="AF20196" s="831" t="s">
        <v>10703</v>
      </c>
      <c r="AG20196" s="831" t="s">
        <v>2674</v>
      </c>
      <c r="AH20196" s="831" t="s">
        <v>105</v>
      </c>
      <c r="AI20196" s="831">
        <v>0</v>
      </c>
      <c r="AJ20196" s="835">
        <v>41274</v>
      </c>
      <c r="AK20196" s="831">
        <v>237580126</v>
      </c>
    </row>
    <row r="20197" spans="32:37">
      <c r="AF20197" s="831" t="s">
        <v>10704</v>
      </c>
      <c r="AG20197" s="831" t="s">
        <v>2674</v>
      </c>
      <c r="AH20197" s="831" t="s">
        <v>3049</v>
      </c>
      <c r="AI20197" s="831">
        <v>0</v>
      </c>
      <c r="AJ20197" s="835">
        <v>41274</v>
      </c>
      <c r="AK20197" s="831">
        <v>400647257</v>
      </c>
    </row>
    <row r="20198" spans="32:37">
      <c r="AF20198" s="831" t="s">
        <v>10705</v>
      </c>
      <c r="AG20198" s="831" t="s">
        <v>2674</v>
      </c>
      <c r="AH20198" s="831" t="s">
        <v>103</v>
      </c>
      <c r="AI20198" s="831">
        <v>0</v>
      </c>
      <c r="AJ20198" s="835">
        <v>41274</v>
      </c>
      <c r="AK20198" s="831">
        <v>163067131</v>
      </c>
    </row>
    <row r="20199" spans="32:37">
      <c r="AF20199" s="831" t="s">
        <v>10706</v>
      </c>
      <c r="AG20199" s="831" t="s">
        <v>2674</v>
      </c>
      <c r="AH20199" s="831" t="s">
        <v>182</v>
      </c>
      <c r="AI20199" s="831">
        <v>0</v>
      </c>
      <c r="AJ20199" s="835">
        <v>41274</v>
      </c>
      <c r="AK20199" s="831">
        <v>53318071</v>
      </c>
    </row>
    <row r="20200" spans="32:37">
      <c r="AF20200" s="831" t="s">
        <v>10707</v>
      </c>
      <c r="AG20200" s="831" t="s">
        <v>2674</v>
      </c>
      <c r="AH20200" s="831" t="s">
        <v>6600</v>
      </c>
      <c r="AI20200" s="831">
        <v>0</v>
      </c>
      <c r="AJ20200" s="835">
        <v>41274</v>
      </c>
      <c r="AK20200" s="831">
        <v>-2146826246</v>
      </c>
    </row>
    <row r="20201" spans="32:37">
      <c r="AF20201" s="831" t="s">
        <v>10708</v>
      </c>
      <c r="AG20201" s="831" t="s">
        <v>2674</v>
      </c>
      <c r="AH20201" s="831" t="s">
        <v>6602</v>
      </c>
      <c r="AI20201" s="831">
        <v>0</v>
      </c>
      <c r="AJ20201" s="835">
        <v>41274</v>
      </c>
      <c r="AK20201" s="831">
        <v>15839951</v>
      </c>
    </row>
    <row r="20202" spans="32:37">
      <c r="AF20202" s="831" t="s">
        <v>10709</v>
      </c>
      <c r="AG20202" s="831" t="s">
        <v>2674</v>
      </c>
      <c r="AH20202" s="831" t="s">
        <v>650</v>
      </c>
      <c r="AI20202" s="831">
        <v>0</v>
      </c>
      <c r="AJ20202" s="835">
        <v>41274</v>
      </c>
      <c r="AK20202" s="831">
        <v>0</v>
      </c>
    </row>
    <row r="20203" spans="32:37">
      <c r="AF20203" s="831" t="s">
        <v>10710</v>
      </c>
      <c r="AG20203" s="831" t="s">
        <v>2674</v>
      </c>
      <c r="AH20203" s="831" t="s">
        <v>655</v>
      </c>
      <c r="AI20203" s="831">
        <v>0</v>
      </c>
      <c r="AJ20203" s="835">
        <v>41274</v>
      </c>
      <c r="AK20203" s="831">
        <v>1622276</v>
      </c>
    </row>
    <row r="20204" spans="32:37">
      <c r="AF20204" s="831" t="s">
        <v>10711</v>
      </c>
      <c r="AG20204" s="831" t="s">
        <v>2674</v>
      </c>
      <c r="AH20204" s="831" t="s">
        <v>546</v>
      </c>
      <c r="AI20204" s="831">
        <v>0</v>
      </c>
      <c r="AJ20204" s="835">
        <v>41305</v>
      </c>
      <c r="AK20204" s="831">
        <v>421051783</v>
      </c>
    </row>
    <row r="20205" spans="32:37">
      <c r="AF20205" s="831" t="s">
        <v>10712</v>
      </c>
      <c r="AG20205" s="831" t="s">
        <v>2674</v>
      </c>
      <c r="AH20205" s="831" t="s">
        <v>370</v>
      </c>
      <c r="AI20205" s="831">
        <v>0</v>
      </c>
      <c r="AJ20205" s="835">
        <v>41305</v>
      </c>
      <c r="AK20205" s="831">
        <v>511487760</v>
      </c>
    </row>
    <row r="20206" spans="32:37">
      <c r="AF20206" s="831" t="s">
        <v>10713</v>
      </c>
      <c r="AG20206" s="831" t="s">
        <v>2674</v>
      </c>
      <c r="AH20206" s="831" t="s">
        <v>126</v>
      </c>
      <c r="AI20206" s="831">
        <v>0</v>
      </c>
      <c r="AJ20206" s="835">
        <v>41305</v>
      </c>
      <c r="AK20206" s="831">
        <v>96883184</v>
      </c>
    </row>
    <row r="20207" spans="32:37">
      <c r="AF20207" s="831" t="s">
        <v>10714</v>
      </c>
      <c r="AG20207" s="831" t="s">
        <v>2674</v>
      </c>
      <c r="AH20207" s="831" t="s">
        <v>268</v>
      </c>
      <c r="AI20207" s="831">
        <v>0</v>
      </c>
      <c r="AJ20207" s="835">
        <v>41305</v>
      </c>
      <c r="AK20207" s="831">
        <v>2119961</v>
      </c>
    </row>
    <row r="20208" spans="32:37">
      <c r="AF20208" s="831" t="s">
        <v>10715</v>
      </c>
      <c r="AG20208" s="831" t="s">
        <v>2674</v>
      </c>
      <c r="AH20208" s="831" t="s">
        <v>547</v>
      </c>
      <c r="AI20208" s="831">
        <v>0</v>
      </c>
      <c r="AJ20208" s="835">
        <v>41305</v>
      </c>
      <c r="AK20208" s="831">
        <v>511487760</v>
      </c>
    </row>
    <row r="20209" spans="32:37">
      <c r="AF20209" s="831" t="s">
        <v>10716</v>
      </c>
      <c r="AG20209" s="831" t="s">
        <v>2674</v>
      </c>
      <c r="AH20209" s="831" t="s">
        <v>548</v>
      </c>
      <c r="AI20209" s="831">
        <v>0</v>
      </c>
      <c r="AJ20209" s="835">
        <v>41305</v>
      </c>
      <c r="AK20209" s="831">
        <v>96883184</v>
      </c>
    </row>
    <row r="20210" spans="32:37">
      <c r="AF20210" s="831" t="s">
        <v>10717</v>
      </c>
      <c r="AG20210" s="831" t="s">
        <v>2674</v>
      </c>
      <c r="AH20210" s="831" t="s">
        <v>549</v>
      </c>
      <c r="AI20210" s="831">
        <v>0</v>
      </c>
      <c r="AJ20210" s="835">
        <v>41305</v>
      </c>
      <c r="AK20210" s="831">
        <v>0</v>
      </c>
    </row>
    <row r="20211" spans="32:37">
      <c r="AF20211" s="831" t="s">
        <v>10718</v>
      </c>
      <c r="AG20211" s="831" t="s">
        <v>2674</v>
      </c>
      <c r="AH20211" s="831" t="s">
        <v>192</v>
      </c>
      <c r="AI20211" s="831">
        <v>0</v>
      </c>
      <c r="AJ20211" s="835">
        <v>41305</v>
      </c>
      <c r="AK20211" s="831">
        <v>-10696839</v>
      </c>
    </row>
    <row r="20212" spans="32:37">
      <c r="AF20212" s="831" t="s">
        <v>10719</v>
      </c>
      <c r="AG20212" s="831" t="s">
        <v>2674</v>
      </c>
      <c r="AH20212" s="831" t="s">
        <v>558</v>
      </c>
      <c r="AI20212" s="831">
        <v>0</v>
      </c>
      <c r="AJ20212" s="835">
        <v>41305</v>
      </c>
      <c r="AK20212" s="831">
        <v>414604576</v>
      </c>
    </row>
    <row r="20213" spans="32:37">
      <c r="AF20213" s="831" t="s">
        <v>10720</v>
      </c>
      <c r="AG20213" s="831" t="s">
        <v>2674</v>
      </c>
      <c r="AH20213" s="831" t="s">
        <v>65</v>
      </c>
      <c r="AI20213" s="831">
        <v>0</v>
      </c>
      <c r="AJ20213" s="835">
        <v>41305</v>
      </c>
      <c r="AK20213" s="831">
        <v>9476383</v>
      </c>
    </row>
    <row r="20214" spans="32:37">
      <c r="AF20214" s="831" t="s">
        <v>10721</v>
      </c>
      <c r="AG20214" s="831" t="s">
        <v>2674</v>
      </c>
      <c r="AH20214" s="831" t="s">
        <v>89</v>
      </c>
      <c r="AI20214" s="831">
        <v>0</v>
      </c>
      <c r="AJ20214" s="835">
        <v>41305</v>
      </c>
      <c r="AK20214" s="831">
        <v>125947</v>
      </c>
    </row>
    <row r="20215" spans="32:37">
      <c r="AF20215" s="831" t="s">
        <v>10722</v>
      </c>
      <c r="AG20215" s="831" t="s">
        <v>2674</v>
      </c>
      <c r="AH20215" s="831" t="s">
        <v>557</v>
      </c>
      <c r="AI20215" s="831">
        <v>0</v>
      </c>
      <c r="AJ20215" s="835">
        <v>41305</v>
      </c>
      <c r="AK20215" s="831">
        <v>128972</v>
      </c>
    </row>
    <row r="20216" spans="32:37">
      <c r="AF20216" s="831" t="s">
        <v>10723</v>
      </c>
      <c r="AG20216" s="831" t="s">
        <v>2674</v>
      </c>
      <c r="AH20216" s="831" t="s">
        <v>29</v>
      </c>
      <c r="AI20216" s="831">
        <v>0</v>
      </c>
      <c r="AJ20216" s="835">
        <v>41305</v>
      </c>
      <c r="AK20216" s="831">
        <v>1949343</v>
      </c>
    </row>
    <row r="20217" spans="32:37">
      <c r="AF20217" s="831" t="s">
        <v>10724</v>
      </c>
      <c r="AG20217" s="831" t="s">
        <v>2674</v>
      </c>
      <c r="AH20217" s="831" t="s">
        <v>2688</v>
      </c>
      <c r="AI20217" s="831">
        <v>0</v>
      </c>
      <c r="AJ20217" s="835">
        <v>41305</v>
      </c>
      <c r="AK20217" s="831">
        <v>2693419</v>
      </c>
    </row>
    <row r="20218" spans="32:37">
      <c r="AF20218" s="831" t="s">
        <v>10725</v>
      </c>
      <c r="AG20218" s="831" t="s">
        <v>2674</v>
      </c>
      <c r="AH20218" s="831" t="s">
        <v>556</v>
      </c>
      <c r="AI20218" s="831">
        <v>0</v>
      </c>
      <c r="AJ20218" s="835">
        <v>41305</v>
      </c>
      <c r="AK20218" s="831">
        <v>902857</v>
      </c>
    </row>
    <row r="20219" spans="32:37">
      <c r="AF20219" s="831" t="s">
        <v>10726</v>
      </c>
      <c r="AG20219" s="831" t="s">
        <v>2674</v>
      </c>
      <c r="AH20219" s="831" t="s">
        <v>555</v>
      </c>
      <c r="AI20219" s="831">
        <v>0</v>
      </c>
      <c r="AJ20219" s="835">
        <v>41305</v>
      </c>
      <c r="AK20219" s="831">
        <v>261608550</v>
      </c>
    </row>
    <row r="20220" spans="32:37">
      <c r="AF20220" s="831" t="s">
        <v>10727</v>
      </c>
      <c r="AG20220" s="831" t="s">
        <v>2674</v>
      </c>
      <c r="AH20220" s="831" t="s">
        <v>554</v>
      </c>
      <c r="AI20220" s="831">
        <v>0</v>
      </c>
      <c r="AJ20220" s="835">
        <v>41305</v>
      </c>
      <c r="AK20220" s="831">
        <v>265544650</v>
      </c>
    </row>
    <row r="20221" spans="32:37">
      <c r="AF20221" s="831" t="s">
        <v>10728</v>
      </c>
      <c r="AG20221" s="831" t="s">
        <v>2674</v>
      </c>
      <c r="AH20221" s="831" t="s">
        <v>553</v>
      </c>
      <c r="AI20221" s="831">
        <v>0</v>
      </c>
      <c r="AJ20221" s="835">
        <v>41305</v>
      </c>
      <c r="AK20221" s="831">
        <v>0</v>
      </c>
    </row>
    <row r="20222" spans="32:37">
      <c r="AF20222" s="831" t="s">
        <v>10729</v>
      </c>
      <c r="AG20222" s="831" t="s">
        <v>2674</v>
      </c>
      <c r="AH20222" s="831" t="s">
        <v>552</v>
      </c>
      <c r="AI20222" s="831">
        <v>0</v>
      </c>
      <c r="AJ20222" s="835">
        <v>41305</v>
      </c>
      <c r="AK20222" s="831">
        <v>0</v>
      </c>
    </row>
    <row r="20223" spans="32:37">
      <c r="AF20223" s="831" t="s">
        <v>10730</v>
      </c>
      <c r="AG20223" s="831" t="s">
        <v>2674</v>
      </c>
      <c r="AH20223" s="831" t="s">
        <v>551</v>
      </c>
      <c r="AI20223" s="831">
        <v>0</v>
      </c>
      <c r="AJ20223" s="835">
        <v>41305</v>
      </c>
      <c r="AK20223" s="831">
        <v>1906076</v>
      </c>
    </row>
    <row r="20224" spans="32:37">
      <c r="AF20224" s="831" t="s">
        <v>10731</v>
      </c>
      <c r="AG20224" s="831" t="s">
        <v>2674</v>
      </c>
      <c r="AH20224" s="831" t="s">
        <v>550</v>
      </c>
      <c r="AI20224" s="831">
        <v>0</v>
      </c>
      <c r="AJ20224" s="835">
        <v>41305</v>
      </c>
      <c r="AK20224" s="831">
        <v>101162875</v>
      </c>
    </row>
    <row r="20225" spans="32:37">
      <c r="AF20225" s="831" t="s">
        <v>10732</v>
      </c>
      <c r="AG20225" s="831" t="s">
        <v>2674</v>
      </c>
      <c r="AH20225" s="831" t="s">
        <v>562</v>
      </c>
      <c r="AI20225" s="831">
        <v>0</v>
      </c>
      <c r="AJ20225" s="835">
        <v>41305</v>
      </c>
      <c r="AK20225" s="831">
        <v>0.78385000000000005</v>
      </c>
    </row>
    <row r="20226" spans="32:37">
      <c r="AF20226" s="831" t="s">
        <v>10733</v>
      </c>
      <c r="AG20226" s="831" t="s">
        <v>2674</v>
      </c>
      <c r="AH20226" s="831" t="s">
        <v>2698</v>
      </c>
      <c r="AI20226" s="831">
        <v>0</v>
      </c>
      <c r="AJ20226" s="835">
        <v>41305</v>
      </c>
      <c r="AK20226" s="831">
        <v>0.78400000000000003</v>
      </c>
    </row>
    <row r="20227" spans="32:37">
      <c r="AF20227" s="831" t="s">
        <v>10734</v>
      </c>
      <c r="AG20227" s="831" t="s">
        <v>2674</v>
      </c>
      <c r="AH20227" s="831" t="s">
        <v>560</v>
      </c>
      <c r="AI20227" s="831">
        <v>0</v>
      </c>
      <c r="AJ20227" s="835">
        <v>41305</v>
      </c>
      <c r="AK20227" s="831">
        <v>0.78385000000000005</v>
      </c>
    </row>
    <row r="20228" spans="32:37">
      <c r="AF20228" s="831" t="s">
        <v>10735</v>
      </c>
      <c r="AG20228" s="831" t="s">
        <v>2674</v>
      </c>
      <c r="AH20228" s="831" t="s">
        <v>559</v>
      </c>
      <c r="AI20228" s="831">
        <v>0</v>
      </c>
      <c r="AJ20228" s="835">
        <v>41305</v>
      </c>
      <c r="AK20228" s="831">
        <v>0.78486250000000002</v>
      </c>
    </row>
    <row r="20229" spans="32:37">
      <c r="AF20229" s="831" t="s">
        <v>10736</v>
      </c>
      <c r="AG20229" s="831" t="s">
        <v>2674</v>
      </c>
      <c r="AH20229" s="831" t="s">
        <v>568</v>
      </c>
      <c r="AI20229" s="831">
        <v>0</v>
      </c>
      <c r="AJ20229" s="835">
        <v>41305</v>
      </c>
      <c r="AK20229" s="831">
        <v>373888864.66666669</v>
      </c>
    </row>
    <row r="20230" spans="32:37">
      <c r="AF20230" s="831" t="s">
        <v>10737</v>
      </c>
      <c r="AG20230" s="831" t="s">
        <v>2674</v>
      </c>
      <c r="AH20230" s="831" t="s">
        <v>569</v>
      </c>
      <c r="AI20230" s="831">
        <v>0</v>
      </c>
      <c r="AJ20230" s="835">
        <v>41305</v>
      </c>
      <c r="AK20230" s="831">
        <v>458979290.77777779</v>
      </c>
    </row>
    <row r="20231" spans="32:37">
      <c r="AF20231" s="831" t="s">
        <v>10738</v>
      </c>
      <c r="AG20231" s="831" t="s">
        <v>2674</v>
      </c>
      <c r="AH20231" s="831" t="s">
        <v>570</v>
      </c>
      <c r="AI20231" s="831">
        <v>0</v>
      </c>
      <c r="AJ20231" s="835">
        <v>41305</v>
      </c>
      <c r="AK20231" s="831">
        <v>96420088.555555552</v>
      </c>
    </row>
    <row r="20232" spans="32:37">
      <c r="AF20232" s="831" t="s">
        <v>10739</v>
      </c>
      <c r="AG20232" s="831" t="s">
        <v>2674</v>
      </c>
      <c r="AH20232" s="831" t="s">
        <v>571</v>
      </c>
      <c r="AI20232" s="831">
        <v>0</v>
      </c>
      <c r="AJ20232" s="835">
        <v>41305</v>
      </c>
      <c r="AK20232" s="831">
        <v>187471539.44444445</v>
      </c>
    </row>
    <row r="20233" spans="32:37">
      <c r="AF20233" s="831" t="s">
        <v>10740</v>
      </c>
      <c r="AG20233" s="831" t="s">
        <v>2674</v>
      </c>
      <c r="AH20233" s="831" t="s">
        <v>573</v>
      </c>
      <c r="AI20233" s="831">
        <v>0</v>
      </c>
      <c r="AJ20233" s="835">
        <v>41305</v>
      </c>
      <c r="AK20233" s="831">
        <v>513378335</v>
      </c>
    </row>
    <row r="20234" spans="32:37">
      <c r="AF20234" s="831" t="s">
        <v>10741</v>
      </c>
      <c r="AG20234" s="831" t="s">
        <v>2674</v>
      </c>
      <c r="AH20234" s="831" t="s">
        <v>574</v>
      </c>
      <c r="AI20234" s="831">
        <v>0</v>
      </c>
      <c r="AJ20234" s="835">
        <v>41305</v>
      </c>
      <c r="AK20234" s="831">
        <v>416588703.5</v>
      </c>
    </row>
    <row r="20235" spans="32:37">
      <c r="AF20235" s="831" t="s">
        <v>10742</v>
      </c>
      <c r="AG20235" s="831" t="s">
        <v>2674</v>
      </c>
      <c r="AH20235" s="831" t="s">
        <v>575</v>
      </c>
      <c r="AI20235" s="831">
        <v>0</v>
      </c>
      <c r="AJ20235" s="835">
        <v>41305</v>
      </c>
      <c r="AK20235" s="831">
        <v>99023029.5</v>
      </c>
    </row>
    <row r="20236" spans="32:37">
      <c r="AF20236" s="831" t="s">
        <v>10743</v>
      </c>
      <c r="AG20236" s="831" t="s">
        <v>2674</v>
      </c>
      <c r="AH20236" s="831" t="s">
        <v>576</v>
      </c>
      <c r="AI20236" s="831">
        <v>0</v>
      </c>
      <c r="AJ20236" s="835">
        <v>41305</v>
      </c>
      <c r="AK20236" s="831">
        <v>233642368.5</v>
      </c>
    </row>
    <row r="20237" spans="32:37">
      <c r="AF20237" s="831" t="s">
        <v>10744</v>
      </c>
      <c r="AG20237" s="831" t="s">
        <v>2674</v>
      </c>
      <c r="AH20237" s="831" t="s">
        <v>572</v>
      </c>
      <c r="AI20237" s="831">
        <v>0</v>
      </c>
      <c r="AJ20237" s="835">
        <v>41305</v>
      </c>
      <c r="AK20237" s="831">
        <v>-2146826246</v>
      </c>
    </row>
    <row r="20238" spans="32:37">
      <c r="AF20238" s="831" t="s">
        <v>10745</v>
      </c>
      <c r="AG20238" s="831" t="s">
        <v>2674</v>
      </c>
      <c r="AH20238" s="831" t="s">
        <v>577</v>
      </c>
      <c r="AI20238" s="831">
        <v>0</v>
      </c>
      <c r="AJ20238" s="835">
        <v>41305</v>
      </c>
      <c r="AK20238" s="831">
        <v>-2146826246</v>
      </c>
    </row>
    <row r="20239" spans="32:37">
      <c r="AF20239" s="831" t="s">
        <v>10746</v>
      </c>
      <c r="AG20239" s="831" t="s">
        <v>2674</v>
      </c>
      <c r="AH20239" s="831" t="s">
        <v>3042</v>
      </c>
      <c r="AI20239" s="831">
        <v>0</v>
      </c>
      <c r="AJ20239" s="835">
        <v>41305</v>
      </c>
      <c r="AK20239" s="831">
        <v>-2146826246</v>
      </c>
    </row>
    <row r="20240" spans="32:37">
      <c r="AF20240" s="831" t="s">
        <v>10747</v>
      </c>
      <c r="AG20240" s="831" t="s">
        <v>2674</v>
      </c>
      <c r="AH20240" s="831" t="s">
        <v>3044</v>
      </c>
      <c r="AI20240" s="831">
        <v>0</v>
      </c>
      <c r="AJ20240" s="835">
        <v>41305</v>
      </c>
      <c r="AK20240" s="831">
        <v>-2146826246</v>
      </c>
    </row>
    <row r="20241" spans="32:37">
      <c r="AF20241" s="831" t="s">
        <v>10748</v>
      </c>
      <c r="AG20241" s="831" t="s">
        <v>2674</v>
      </c>
      <c r="AH20241" s="831" t="s">
        <v>580</v>
      </c>
      <c r="AI20241" s="831">
        <v>0</v>
      </c>
      <c r="AJ20241" s="835">
        <v>41305</v>
      </c>
      <c r="AK20241" s="831">
        <v>-2146826246</v>
      </c>
    </row>
    <row r="20242" spans="32:37">
      <c r="AF20242" s="831" t="s">
        <v>10749</v>
      </c>
      <c r="AG20242" s="831" t="s">
        <v>2674</v>
      </c>
      <c r="AH20242" s="831" t="s">
        <v>581</v>
      </c>
      <c r="AI20242" s="831">
        <v>0</v>
      </c>
      <c r="AJ20242" s="835">
        <v>41305</v>
      </c>
      <c r="AK20242" s="831">
        <v>-2146826246</v>
      </c>
    </row>
    <row r="20243" spans="32:37">
      <c r="AF20243" s="831" t="s">
        <v>10750</v>
      </c>
      <c r="AG20243" s="831" t="s">
        <v>2674</v>
      </c>
      <c r="AH20243" s="831" t="s">
        <v>105</v>
      </c>
      <c r="AI20243" s="831">
        <v>0</v>
      </c>
      <c r="AJ20243" s="835">
        <v>41305</v>
      </c>
      <c r="AK20243" s="831">
        <v>229704611</v>
      </c>
    </row>
    <row r="20244" spans="32:37">
      <c r="AF20244" s="831" t="s">
        <v>10751</v>
      </c>
      <c r="AG20244" s="831" t="s">
        <v>2674</v>
      </c>
      <c r="AH20244" s="831" t="s">
        <v>3049</v>
      </c>
      <c r="AI20244" s="831">
        <v>0</v>
      </c>
      <c r="AJ20244" s="835">
        <v>41305</v>
      </c>
      <c r="AK20244" s="831">
        <v>400579663</v>
      </c>
    </row>
    <row r="20245" spans="32:37">
      <c r="AF20245" s="831" t="s">
        <v>10752</v>
      </c>
      <c r="AG20245" s="831" t="s">
        <v>2674</v>
      </c>
      <c r="AH20245" s="831" t="s">
        <v>103</v>
      </c>
      <c r="AI20245" s="831">
        <v>0</v>
      </c>
      <c r="AJ20245" s="835">
        <v>41305</v>
      </c>
      <c r="AK20245" s="831">
        <v>170875052</v>
      </c>
    </row>
    <row r="20246" spans="32:37">
      <c r="AF20246" s="831" t="s">
        <v>10753</v>
      </c>
      <c r="AG20246" s="831" t="s">
        <v>2674</v>
      </c>
      <c r="AH20246" s="831" t="s">
        <v>182</v>
      </c>
      <c r="AI20246" s="831">
        <v>0</v>
      </c>
      <c r="AJ20246" s="835">
        <v>41305</v>
      </c>
      <c r="AK20246" s="831">
        <v>57203676</v>
      </c>
    </row>
    <row r="20247" spans="32:37">
      <c r="AF20247" s="831" t="s">
        <v>10754</v>
      </c>
      <c r="AG20247" s="831" t="s">
        <v>2674</v>
      </c>
      <c r="AH20247" s="831" t="s">
        <v>6600</v>
      </c>
      <c r="AI20247" s="831">
        <v>0</v>
      </c>
      <c r="AJ20247" s="835">
        <v>41305</v>
      </c>
      <c r="AK20247" s="831">
        <v>-2146826246</v>
      </c>
    </row>
    <row r="20248" spans="32:37">
      <c r="AF20248" s="831" t="s">
        <v>10755</v>
      </c>
      <c r="AG20248" s="831" t="s">
        <v>2674</v>
      </c>
      <c r="AH20248" s="831" t="s">
        <v>6602</v>
      </c>
      <c r="AI20248" s="831">
        <v>0</v>
      </c>
      <c r="AJ20248" s="835">
        <v>41305</v>
      </c>
      <c r="AK20248" s="831">
        <v>2119961</v>
      </c>
    </row>
    <row r="20249" spans="32:37">
      <c r="AF20249" s="831" t="s">
        <v>10756</v>
      </c>
      <c r="AG20249" s="831" t="s">
        <v>2674</v>
      </c>
      <c r="AH20249" s="831" t="s">
        <v>650</v>
      </c>
      <c r="AI20249" s="831">
        <v>0</v>
      </c>
      <c r="AJ20249" s="835">
        <v>41305</v>
      </c>
      <c r="AK20249" s="831">
        <v>162276642.66666666</v>
      </c>
    </row>
    <row r="20250" spans="32:37">
      <c r="AF20250" s="831" t="s">
        <v>10757</v>
      </c>
      <c r="AG20250" s="831" t="s">
        <v>2674</v>
      </c>
      <c r="AH20250" s="831" t="s">
        <v>655</v>
      </c>
      <c r="AI20250" s="831">
        <v>0</v>
      </c>
      <c r="AJ20250" s="835">
        <v>41305</v>
      </c>
      <c r="AK20250" s="831">
        <v>1743639</v>
      </c>
    </row>
    <row r="20251" spans="32:37">
      <c r="AF20251" s="831" t="s">
        <v>10758</v>
      </c>
      <c r="AG20251" s="831" t="s">
        <v>2674</v>
      </c>
      <c r="AH20251" s="831" t="s">
        <v>546</v>
      </c>
      <c r="AI20251" s="831">
        <v>0</v>
      </c>
      <c r="AJ20251" s="835">
        <v>41333</v>
      </c>
      <c r="AK20251" s="831">
        <v>436810603</v>
      </c>
    </row>
    <row r="20252" spans="32:37">
      <c r="AF20252" s="831" t="s">
        <v>10759</v>
      </c>
      <c r="AG20252" s="831" t="s">
        <v>2674</v>
      </c>
      <c r="AH20252" s="831" t="s">
        <v>370</v>
      </c>
      <c r="AI20252" s="831">
        <v>0</v>
      </c>
      <c r="AJ20252" s="835">
        <v>41333</v>
      </c>
      <c r="AK20252" s="831">
        <v>522076176</v>
      </c>
    </row>
    <row r="20253" spans="32:37">
      <c r="AF20253" s="831" t="s">
        <v>10760</v>
      </c>
      <c r="AG20253" s="831" t="s">
        <v>2674</v>
      </c>
      <c r="AH20253" s="831" t="s">
        <v>126</v>
      </c>
      <c r="AI20253" s="831">
        <v>0</v>
      </c>
      <c r="AJ20253" s="835">
        <v>41333</v>
      </c>
      <c r="AK20253" s="831">
        <v>98581107</v>
      </c>
    </row>
    <row r="20254" spans="32:37">
      <c r="AF20254" s="831" t="s">
        <v>10761</v>
      </c>
      <c r="AG20254" s="831" t="s">
        <v>2674</v>
      </c>
      <c r="AH20254" s="831" t="s">
        <v>268</v>
      </c>
      <c r="AI20254" s="831">
        <v>0</v>
      </c>
      <c r="AJ20254" s="835">
        <v>41333</v>
      </c>
      <c r="AK20254" s="831">
        <v>3817884</v>
      </c>
    </row>
    <row r="20255" spans="32:37">
      <c r="AF20255" s="831" t="s">
        <v>10762</v>
      </c>
      <c r="AG20255" s="831" t="s">
        <v>2674</v>
      </c>
      <c r="AH20255" s="831" t="s">
        <v>547</v>
      </c>
      <c r="AI20255" s="831">
        <v>0</v>
      </c>
      <c r="AJ20255" s="835">
        <v>41333</v>
      </c>
      <c r="AK20255" s="831">
        <v>511487760</v>
      </c>
    </row>
    <row r="20256" spans="32:37">
      <c r="AF20256" s="831" t="s">
        <v>10763</v>
      </c>
      <c r="AG20256" s="831" t="s">
        <v>2674</v>
      </c>
      <c r="AH20256" s="831" t="s">
        <v>548</v>
      </c>
      <c r="AI20256" s="831">
        <v>0</v>
      </c>
      <c r="AJ20256" s="835">
        <v>41333</v>
      </c>
      <c r="AK20256" s="831">
        <v>96883184</v>
      </c>
    </row>
    <row r="20257" spans="32:37">
      <c r="AF20257" s="831" t="s">
        <v>10764</v>
      </c>
      <c r="AG20257" s="831" t="s">
        <v>2674</v>
      </c>
      <c r="AH20257" s="831" t="s">
        <v>549</v>
      </c>
      <c r="AI20257" s="831">
        <v>0</v>
      </c>
      <c r="AJ20257" s="835">
        <v>41333</v>
      </c>
      <c r="AK20257" s="831">
        <v>0</v>
      </c>
    </row>
    <row r="20258" spans="32:37">
      <c r="AF20258" s="831" t="s">
        <v>10765</v>
      </c>
      <c r="AG20258" s="831" t="s">
        <v>2674</v>
      </c>
      <c r="AH20258" s="831" t="s">
        <v>192</v>
      </c>
      <c r="AI20258" s="831">
        <v>0</v>
      </c>
      <c r="AJ20258" s="835">
        <v>41333</v>
      </c>
      <c r="AK20258" s="831">
        <v>-11285954</v>
      </c>
    </row>
    <row r="20259" spans="32:37">
      <c r="AF20259" s="831" t="s">
        <v>10766</v>
      </c>
      <c r="AG20259" s="831" t="s">
        <v>2674</v>
      </c>
      <c r="AH20259" s="831" t="s">
        <v>558</v>
      </c>
      <c r="AI20259" s="831">
        <v>0</v>
      </c>
      <c r="AJ20259" s="835">
        <v>41333</v>
      </c>
      <c r="AK20259" s="831">
        <v>423495069</v>
      </c>
    </row>
    <row r="20260" spans="32:37">
      <c r="AF20260" s="831" t="s">
        <v>10767</v>
      </c>
      <c r="AG20260" s="831" t="s">
        <v>2674</v>
      </c>
      <c r="AH20260" s="831" t="s">
        <v>65</v>
      </c>
      <c r="AI20260" s="831">
        <v>0</v>
      </c>
      <c r="AJ20260" s="835">
        <v>41333</v>
      </c>
      <c r="AK20260" s="831">
        <v>18985748</v>
      </c>
    </row>
    <row r="20261" spans="32:37">
      <c r="AF20261" s="831" t="s">
        <v>10768</v>
      </c>
      <c r="AG20261" s="831" t="s">
        <v>2674</v>
      </c>
      <c r="AH20261" s="831" t="s">
        <v>89</v>
      </c>
      <c r="AI20261" s="831">
        <v>0</v>
      </c>
      <c r="AJ20261" s="835">
        <v>41333</v>
      </c>
      <c r="AK20261" s="831">
        <v>127639</v>
      </c>
    </row>
    <row r="20262" spans="32:37">
      <c r="AF20262" s="831" t="s">
        <v>10769</v>
      </c>
      <c r="AG20262" s="831" t="s">
        <v>2674</v>
      </c>
      <c r="AH20262" s="831" t="s">
        <v>557</v>
      </c>
      <c r="AI20262" s="831">
        <v>0</v>
      </c>
      <c r="AJ20262" s="835">
        <v>41333</v>
      </c>
      <c r="AK20262" s="831">
        <v>130995</v>
      </c>
    </row>
    <row r="20263" spans="32:37">
      <c r="AF20263" s="831" t="s">
        <v>10770</v>
      </c>
      <c r="AG20263" s="831" t="s">
        <v>2674</v>
      </c>
      <c r="AH20263" s="831" t="s">
        <v>29</v>
      </c>
      <c r="AI20263" s="831">
        <v>0</v>
      </c>
      <c r="AJ20263" s="835">
        <v>41333</v>
      </c>
      <c r="AK20263" s="831">
        <v>2238797</v>
      </c>
    </row>
    <row r="20264" spans="32:37">
      <c r="AF20264" s="831" t="s">
        <v>10771</v>
      </c>
      <c r="AG20264" s="831" t="s">
        <v>2674</v>
      </c>
      <c r="AH20264" s="831" t="s">
        <v>2688</v>
      </c>
      <c r="AI20264" s="831">
        <v>0</v>
      </c>
      <c r="AJ20264" s="835">
        <v>41333</v>
      </c>
      <c r="AK20264" s="831">
        <v>2647738</v>
      </c>
    </row>
    <row r="20265" spans="32:37">
      <c r="AF20265" s="831" t="s">
        <v>10772</v>
      </c>
      <c r="AG20265" s="831" t="s">
        <v>2674</v>
      </c>
      <c r="AH20265" s="831" t="s">
        <v>556</v>
      </c>
      <c r="AI20265" s="831">
        <v>0</v>
      </c>
      <c r="AJ20265" s="835">
        <v>41333</v>
      </c>
      <c r="AK20265" s="831">
        <v>902857</v>
      </c>
    </row>
    <row r="20266" spans="32:37">
      <c r="AF20266" s="831" t="s">
        <v>10773</v>
      </c>
      <c r="AG20266" s="831" t="s">
        <v>2674</v>
      </c>
      <c r="AH20266" s="831" t="s">
        <v>555</v>
      </c>
      <c r="AI20266" s="831">
        <v>0</v>
      </c>
      <c r="AJ20266" s="835">
        <v>41333</v>
      </c>
      <c r="AK20266" s="831">
        <v>267734690</v>
      </c>
    </row>
    <row r="20267" spans="32:37">
      <c r="AF20267" s="831" t="s">
        <v>10774</v>
      </c>
      <c r="AG20267" s="831" t="s">
        <v>2674</v>
      </c>
      <c r="AH20267" s="831" t="s">
        <v>554</v>
      </c>
      <c r="AI20267" s="831">
        <v>0</v>
      </c>
      <c r="AJ20267" s="835">
        <v>41333</v>
      </c>
      <c r="AK20267" s="831">
        <v>272030190</v>
      </c>
    </row>
    <row r="20268" spans="32:37">
      <c r="AF20268" s="831" t="s">
        <v>10775</v>
      </c>
      <c r="AG20268" s="831" t="s">
        <v>2674</v>
      </c>
      <c r="AH20268" s="831" t="s">
        <v>553</v>
      </c>
      <c r="AI20268" s="831">
        <v>0</v>
      </c>
      <c r="AJ20268" s="835">
        <v>41333</v>
      </c>
      <c r="AK20268" s="831">
        <v>0</v>
      </c>
    </row>
    <row r="20269" spans="32:37">
      <c r="AF20269" s="831" t="s">
        <v>10776</v>
      </c>
      <c r="AG20269" s="831" t="s">
        <v>2674</v>
      </c>
      <c r="AH20269" s="831" t="s">
        <v>552</v>
      </c>
      <c r="AI20269" s="831">
        <v>0</v>
      </c>
      <c r="AJ20269" s="835">
        <v>41333</v>
      </c>
      <c r="AK20269" s="831">
        <v>0</v>
      </c>
    </row>
    <row r="20270" spans="32:37">
      <c r="AF20270" s="831" t="s">
        <v>10777</v>
      </c>
      <c r="AG20270" s="831" t="s">
        <v>2674</v>
      </c>
      <c r="AH20270" s="831" t="s">
        <v>551</v>
      </c>
      <c r="AI20270" s="831">
        <v>0</v>
      </c>
      <c r="AJ20270" s="835">
        <v>41333</v>
      </c>
      <c r="AK20270" s="831">
        <v>1930398</v>
      </c>
    </row>
    <row r="20271" spans="32:37">
      <c r="AF20271" s="831" t="s">
        <v>10778</v>
      </c>
      <c r="AG20271" s="831" t="s">
        <v>2674</v>
      </c>
      <c r="AH20271" s="831" t="s">
        <v>550</v>
      </c>
      <c r="AI20271" s="831">
        <v>0</v>
      </c>
      <c r="AJ20271" s="835">
        <v>41333</v>
      </c>
      <c r="AK20271" s="831">
        <v>96883184</v>
      </c>
    </row>
    <row r="20272" spans="32:37">
      <c r="AF20272" s="831" t="s">
        <v>10779</v>
      </c>
      <c r="AG20272" s="831" t="s">
        <v>2674</v>
      </c>
      <c r="AH20272" s="831" t="s">
        <v>562</v>
      </c>
      <c r="AI20272" s="831">
        <v>0</v>
      </c>
      <c r="AJ20272" s="835">
        <v>41333</v>
      </c>
      <c r="AK20272" s="831">
        <v>0.78434999999999999</v>
      </c>
    </row>
    <row r="20273" spans="32:37">
      <c r="AF20273" s="831" t="s">
        <v>10780</v>
      </c>
      <c r="AG20273" s="831" t="s">
        <v>2674</v>
      </c>
      <c r="AH20273" s="831" t="s">
        <v>2698</v>
      </c>
      <c r="AI20273" s="831">
        <v>0</v>
      </c>
      <c r="AJ20273" s="835">
        <v>41333</v>
      </c>
      <c r="AK20273" s="831">
        <v>0.78385000000000005</v>
      </c>
    </row>
    <row r="20274" spans="32:37">
      <c r="AF20274" s="831" t="s">
        <v>10781</v>
      </c>
      <c r="AG20274" s="831" t="s">
        <v>2674</v>
      </c>
      <c r="AH20274" s="831" t="s">
        <v>560</v>
      </c>
      <c r="AI20274" s="831">
        <v>0</v>
      </c>
      <c r="AJ20274" s="835">
        <v>41333</v>
      </c>
      <c r="AK20274" s="831">
        <v>0.78410000000000002</v>
      </c>
    </row>
    <row r="20275" spans="32:37">
      <c r="AF20275" s="831" t="s">
        <v>10782</v>
      </c>
      <c r="AG20275" s="831" t="s">
        <v>2674</v>
      </c>
      <c r="AH20275" s="831" t="s">
        <v>559</v>
      </c>
      <c r="AI20275" s="831">
        <v>0</v>
      </c>
      <c r="AJ20275" s="835">
        <v>41333</v>
      </c>
      <c r="AK20275" s="831">
        <v>0.78474583333333314</v>
      </c>
    </row>
    <row r="20276" spans="32:37">
      <c r="AF20276" s="831" t="s">
        <v>10783</v>
      </c>
      <c r="AG20276" s="831" t="s">
        <v>2674</v>
      </c>
      <c r="AH20276" s="831" t="s">
        <v>568</v>
      </c>
      <c r="AI20276" s="831">
        <v>0</v>
      </c>
      <c r="AJ20276" s="835">
        <v>41333</v>
      </c>
      <c r="AK20276" s="831">
        <v>380181038.5</v>
      </c>
    </row>
    <row r="20277" spans="32:37">
      <c r="AF20277" s="831" t="s">
        <v>10784</v>
      </c>
      <c r="AG20277" s="831" t="s">
        <v>2674</v>
      </c>
      <c r="AH20277" s="831" t="s">
        <v>569</v>
      </c>
      <c r="AI20277" s="831">
        <v>0</v>
      </c>
      <c r="AJ20277" s="835">
        <v>41333</v>
      </c>
      <c r="AK20277" s="831">
        <v>465288979.30000001</v>
      </c>
    </row>
    <row r="20278" spans="32:37">
      <c r="AF20278" s="831" t="s">
        <v>10785</v>
      </c>
      <c r="AG20278" s="831" t="s">
        <v>2674</v>
      </c>
      <c r="AH20278" s="831" t="s">
        <v>570</v>
      </c>
      <c r="AI20278" s="831">
        <v>0</v>
      </c>
      <c r="AJ20278" s="835">
        <v>41333</v>
      </c>
      <c r="AK20278" s="831">
        <v>96636190.400000006</v>
      </c>
    </row>
    <row r="20279" spans="32:37">
      <c r="AF20279" s="831" t="s">
        <v>10786</v>
      </c>
      <c r="AG20279" s="831" t="s">
        <v>2674</v>
      </c>
      <c r="AH20279" s="831" t="s">
        <v>571</v>
      </c>
      <c r="AI20279" s="831">
        <v>0</v>
      </c>
      <c r="AJ20279" s="835">
        <v>41333</v>
      </c>
      <c r="AK20279" s="831">
        <v>192024019</v>
      </c>
    </row>
    <row r="20280" spans="32:37">
      <c r="AF20280" s="831" t="s">
        <v>10787</v>
      </c>
      <c r="AG20280" s="831" t="s">
        <v>2674</v>
      </c>
      <c r="AH20280" s="831" t="s">
        <v>573</v>
      </c>
      <c r="AI20280" s="831">
        <v>0</v>
      </c>
      <c r="AJ20280" s="835">
        <v>41333</v>
      </c>
      <c r="AK20280" s="831">
        <v>516277615.33333331</v>
      </c>
    </row>
    <row r="20281" spans="32:37">
      <c r="AF20281" s="831" t="s">
        <v>10788</v>
      </c>
      <c r="AG20281" s="831" t="s">
        <v>2674</v>
      </c>
      <c r="AH20281" s="831" t="s">
        <v>574</v>
      </c>
      <c r="AI20281" s="831">
        <v>0</v>
      </c>
      <c r="AJ20281" s="835">
        <v>41333</v>
      </c>
      <c r="AK20281" s="831">
        <v>423329336.66666669</v>
      </c>
    </row>
    <row r="20282" spans="32:37">
      <c r="AF20282" s="831" t="s">
        <v>10789</v>
      </c>
      <c r="AG20282" s="831" t="s">
        <v>2674</v>
      </c>
      <c r="AH20282" s="831" t="s">
        <v>575</v>
      </c>
      <c r="AI20282" s="831">
        <v>0</v>
      </c>
      <c r="AJ20282" s="835">
        <v>41333</v>
      </c>
      <c r="AK20282" s="831">
        <v>98875722</v>
      </c>
    </row>
    <row r="20283" spans="32:37">
      <c r="AF20283" s="831" t="s">
        <v>10790</v>
      </c>
      <c r="AG20283" s="831" t="s">
        <v>2674</v>
      </c>
      <c r="AH20283" s="831" t="s">
        <v>576</v>
      </c>
      <c r="AI20283" s="831">
        <v>0</v>
      </c>
      <c r="AJ20283" s="835">
        <v>41333</v>
      </c>
      <c r="AK20283" s="831">
        <v>233427024</v>
      </c>
    </row>
    <row r="20284" spans="32:37">
      <c r="AF20284" s="831" t="s">
        <v>10791</v>
      </c>
      <c r="AG20284" s="831" t="s">
        <v>2674</v>
      </c>
      <c r="AH20284" s="831" t="s">
        <v>572</v>
      </c>
      <c r="AI20284" s="831">
        <v>0</v>
      </c>
      <c r="AJ20284" s="835">
        <v>41333</v>
      </c>
      <c r="AK20284" s="831">
        <v>-2146826246</v>
      </c>
    </row>
    <row r="20285" spans="32:37">
      <c r="AF20285" s="831" t="s">
        <v>10792</v>
      </c>
      <c r="AG20285" s="831" t="s">
        <v>2674</v>
      </c>
      <c r="AH20285" s="831" t="s">
        <v>577</v>
      </c>
      <c r="AI20285" s="831">
        <v>0</v>
      </c>
      <c r="AJ20285" s="835">
        <v>41333</v>
      </c>
      <c r="AK20285" s="831">
        <v>-2146826246</v>
      </c>
    </row>
    <row r="20286" spans="32:37">
      <c r="AF20286" s="831" t="s">
        <v>10793</v>
      </c>
      <c r="AG20286" s="831" t="s">
        <v>2674</v>
      </c>
      <c r="AH20286" s="831" t="s">
        <v>3042</v>
      </c>
      <c r="AI20286" s="831">
        <v>0</v>
      </c>
      <c r="AJ20286" s="835">
        <v>41333</v>
      </c>
      <c r="AK20286" s="831">
        <v>-2146826246</v>
      </c>
    </row>
    <row r="20287" spans="32:37">
      <c r="AF20287" s="831" t="s">
        <v>10794</v>
      </c>
      <c r="AG20287" s="831" t="s">
        <v>2674</v>
      </c>
      <c r="AH20287" s="831" t="s">
        <v>3044</v>
      </c>
      <c r="AI20287" s="831">
        <v>0</v>
      </c>
      <c r="AJ20287" s="835">
        <v>41333</v>
      </c>
      <c r="AK20287" s="831">
        <v>-2146826246</v>
      </c>
    </row>
    <row r="20288" spans="32:37">
      <c r="AF20288" s="831" t="s">
        <v>10795</v>
      </c>
      <c r="AG20288" s="831" t="s">
        <v>2674</v>
      </c>
      <c r="AH20288" s="831" t="s">
        <v>580</v>
      </c>
      <c r="AI20288" s="831">
        <v>0</v>
      </c>
      <c r="AJ20288" s="835">
        <v>41333</v>
      </c>
      <c r="AK20288" s="831">
        <v>-2146826246</v>
      </c>
    </row>
    <row r="20289" spans="32:37">
      <c r="AF20289" s="831" t="s">
        <v>10796</v>
      </c>
      <c r="AG20289" s="831" t="s">
        <v>2674</v>
      </c>
      <c r="AH20289" s="831" t="s">
        <v>581</v>
      </c>
      <c r="AI20289" s="831">
        <v>0</v>
      </c>
      <c r="AJ20289" s="835">
        <v>41333</v>
      </c>
      <c r="AK20289" s="831">
        <v>-2146826246</v>
      </c>
    </row>
    <row r="20290" spans="32:37">
      <c r="AF20290" s="831" t="s">
        <v>10797</v>
      </c>
      <c r="AG20290" s="831" t="s">
        <v>2674</v>
      </c>
      <c r="AH20290" s="831" t="s">
        <v>105</v>
      </c>
      <c r="AI20290" s="831">
        <v>0</v>
      </c>
      <c r="AJ20290" s="835">
        <v>41333</v>
      </c>
      <c r="AK20290" s="831">
        <v>232996335</v>
      </c>
    </row>
    <row r="20291" spans="32:37">
      <c r="AF20291" s="831" t="s">
        <v>10798</v>
      </c>
      <c r="AG20291" s="831" t="s">
        <v>2674</v>
      </c>
      <c r="AH20291" s="831" t="s">
        <v>3049</v>
      </c>
      <c r="AI20291" s="831">
        <v>0</v>
      </c>
      <c r="AJ20291" s="835">
        <v>41333</v>
      </c>
      <c r="AK20291" s="831">
        <v>409742104</v>
      </c>
    </row>
    <row r="20292" spans="32:37">
      <c r="AF20292" s="831" t="s">
        <v>10799</v>
      </c>
      <c r="AG20292" s="831" t="s">
        <v>2674</v>
      </c>
      <c r="AH20292" s="831" t="s">
        <v>103</v>
      </c>
      <c r="AI20292" s="831">
        <v>0</v>
      </c>
      <c r="AJ20292" s="835">
        <v>41333</v>
      </c>
      <c r="AK20292" s="831">
        <v>176745769</v>
      </c>
    </row>
    <row r="20293" spans="32:37">
      <c r="AF20293" s="831" t="s">
        <v>10800</v>
      </c>
      <c r="AG20293" s="831" t="s">
        <v>2674</v>
      </c>
      <c r="AH20293" s="831" t="s">
        <v>182</v>
      </c>
      <c r="AI20293" s="831">
        <v>0</v>
      </c>
      <c r="AJ20293" s="835">
        <v>41333</v>
      </c>
      <c r="AK20293" s="831">
        <v>55637232</v>
      </c>
    </row>
    <row r="20294" spans="32:37">
      <c r="AF20294" s="831" t="s">
        <v>10801</v>
      </c>
      <c r="AG20294" s="831" t="s">
        <v>2674</v>
      </c>
      <c r="AH20294" s="831" t="s">
        <v>6600</v>
      </c>
      <c r="AI20294" s="831">
        <v>0</v>
      </c>
      <c r="AJ20294" s="835">
        <v>41333</v>
      </c>
      <c r="AK20294" s="831">
        <v>-2146826246</v>
      </c>
    </row>
    <row r="20295" spans="32:37">
      <c r="AF20295" s="831" t="s">
        <v>10802</v>
      </c>
      <c r="AG20295" s="831" t="s">
        <v>2674</v>
      </c>
      <c r="AH20295" s="831" t="s">
        <v>6602</v>
      </c>
      <c r="AI20295" s="831">
        <v>0</v>
      </c>
      <c r="AJ20295" s="835">
        <v>41333</v>
      </c>
      <c r="AK20295" s="831">
        <v>3817884</v>
      </c>
    </row>
    <row r="20296" spans="32:37">
      <c r="AF20296" s="831" t="s">
        <v>10803</v>
      </c>
      <c r="AG20296" s="831" t="s">
        <v>2674</v>
      </c>
      <c r="AH20296" s="831" t="s">
        <v>650</v>
      </c>
      <c r="AI20296" s="831">
        <v>0</v>
      </c>
      <c r="AJ20296" s="835">
        <v>41333</v>
      </c>
      <c r="AK20296" s="831">
        <v>163723555.30000001</v>
      </c>
    </row>
    <row r="20297" spans="32:37">
      <c r="AF20297" s="831" t="s">
        <v>10804</v>
      </c>
      <c r="AG20297" s="831" t="s">
        <v>2674</v>
      </c>
      <c r="AH20297" s="831" t="s">
        <v>655</v>
      </c>
      <c r="AI20297" s="831">
        <v>0</v>
      </c>
      <c r="AJ20297" s="835">
        <v>41333</v>
      </c>
      <c r="AK20297" s="831">
        <v>1851569</v>
      </c>
    </row>
    <row r="20298" spans="32:37">
      <c r="AF20298" s="831" t="s">
        <v>10805</v>
      </c>
      <c r="AG20298" s="831" t="s">
        <v>2674</v>
      </c>
      <c r="AH20298" s="831" t="s">
        <v>546</v>
      </c>
      <c r="AI20298" s="831">
        <v>0</v>
      </c>
      <c r="AJ20298" s="835">
        <v>41364</v>
      </c>
      <c r="AK20298" s="831">
        <v>455655641</v>
      </c>
    </row>
    <row r="20299" spans="32:37">
      <c r="AF20299" s="831" t="s">
        <v>10806</v>
      </c>
      <c r="AG20299" s="831" t="s">
        <v>2674</v>
      </c>
      <c r="AH20299" s="831" t="s">
        <v>370</v>
      </c>
      <c r="AI20299" s="831">
        <v>0</v>
      </c>
      <c r="AJ20299" s="835">
        <v>41364</v>
      </c>
      <c r="AK20299" s="831">
        <v>548973661</v>
      </c>
    </row>
    <row r="20300" spans="32:37">
      <c r="AF20300" s="831" t="s">
        <v>10807</v>
      </c>
      <c r="AG20300" s="831" t="s">
        <v>2674</v>
      </c>
      <c r="AH20300" s="831" t="s">
        <v>126</v>
      </c>
      <c r="AI20300" s="831">
        <v>0</v>
      </c>
      <c r="AJ20300" s="835">
        <v>41364</v>
      </c>
      <c r="AK20300" s="831">
        <v>100809389</v>
      </c>
    </row>
    <row r="20301" spans="32:37">
      <c r="AF20301" s="831" t="s">
        <v>10808</v>
      </c>
      <c r="AG20301" s="831" t="s">
        <v>2674</v>
      </c>
      <c r="AH20301" s="831" t="s">
        <v>268</v>
      </c>
      <c r="AI20301" s="831">
        <v>0</v>
      </c>
      <c r="AJ20301" s="835">
        <v>41364</v>
      </c>
      <c r="AK20301" s="831">
        <v>6046166</v>
      </c>
    </row>
    <row r="20302" spans="32:37">
      <c r="AF20302" s="831" t="s">
        <v>10809</v>
      </c>
      <c r="AG20302" s="831" t="s">
        <v>2674</v>
      </c>
      <c r="AH20302" s="831" t="s">
        <v>547</v>
      </c>
      <c r="AI20302" s="831">
        <v>0</v>
      </c>
      <c r="AJ20302" s="835">
        <v>41364</v>
      </c>
      <c r="AK20302" s="831">
        <v>511487760</v>
      </c>
    </row>
    <row r="20303" spans="32:37">
      <c r="AF20303" s="831" t="s">
        <v>10810</v>
      </c>
      <c r="AG20303" s="831" t="s">
        <v>2674</v>
      </c>
      <c r="AH20303" s="831" t="s">
        <v>548</v>
      </c>
      <c r="AI20303" s="831">
        <v>0</v>
      </c>
      <c r="AJ20303" s="835">
        <v>41364</v>
      </c>
      <c r="AK20303" s="831">
        <v>96883184</v>
      </c>
    </row>
    <row r="20304" spans="32:37">
      <c r="AF20304" s="831" t="s">
        <v>10811</v>
      </c>
      <c r="AG20304" s="831" t="s">
        <v>2674</v>
      </c>
      <c r="AH20304" s="831" t="s">
        <v>549</v>
      </c>
      <c r="AI20304" s="831">
        <v>0</v>
      </c>
      <c r="AJ20304" s="835">
        <v>41364</v>
      </c>
      <c r="AK20304" s="831">
        <v>0</v>
      </c>
    </row>
    <row r="20305" spans="32:37">
      <c r="AF20305" s="831" t="s">
        <v>10812</v>
      </c>
      <c r="AG20305" s="831" t="s">
        <v>2674</v>
      </c>
      <c r="AH20305" s="831" t="s">
        <v>192</v>
      </c>
      <c r="AI20305" s="831">
        <v>0</v>
      </c>
      <c r="AJ20305" s="835">
        <v>41364</v>
      </c>
      <c r="AK20305" s="831">
        <v>-11725074</v>
      </c>
    </row>
    <row r="20306" spans="32:37">
      <c r="AF20306" s="831" t="s">
        <v>10813</v>
      </c>
      <c r="AG20306" s="831" t="s">
        <v>2674</v>
      </c>
      <c r="AH20306" s="831" t="s">
        <v>558</v>
      </c>
      <c r="AI20306" s="831">
        <v>0</v>
      </c>
      <c r="AJ20306" s="835">
        <v>41364</v>
      </c>
      <c r="AK20306" s="831">
        <v>448164272</v>
      </c>
    </row>
    <row r="20307" spans="32:37">
      <c r="AF20307" s="831" t="s">
        <v>10814</v>
      </c>
      <c r="AG20307" s="831" t="s">
        <v>2674</v>
      </c>
      <c r="AH20307" s="831" t="s">
        <v>65</v>
      </c>
      <c r="AI20307" s="831">
        <v>0</v>
      </c>
      <c r="AJ20307" s="835">
        <v>41364</v>
      </c>
      <c r="AK20307" s="831">
        <v>27883165</v>
      </c>
    </row>
    <row r="20308" spans="32:37">
      <c r="AF20308" s="831" t="s">
        <v>10815</v>
      </c>
      <c r="AG20308" s="831" t="s">
        <v>2674</v>
      </c>
      <c r="AH20308" s="831" t="s">
        <v>89</v>
      </c>
      <c r="AI20308" s="831">
        <v>0</v>
      </c>
      <c r="AJ20308" s="835">
        <v>41364</v>
      </c>
      <c r="AK20308" s="831">
        <v>129296</v>
      </c>
    </row>
    <row r="20309" spans="32:37">
      <c r="AF20309" s="831" t="s">
        <v>10816</v>
      </c>
      <c r="AG20309" s="831" t="s">
        <v>2674</v>
      </c>
      <c r="AH20309" s="831" t="s">
        <v>557</v>
      </c>
      <c r="AI20309" s="831">
        <v>0</v>
      </c>
      <c r="AJ20309" s="835">
        <v>41364</v>
      </c>
      <c r="AK20309" s="831">
        <v>133005</v>
      </c>
    </row>
    <row r="20310" spans="32:37">
      <c r="AF20310" s="831" t="s">
        <v>10817</v>
      </c>
      <c r="AG20310" s="831" t="s">
        <v>2674</v>
      </c>
      <c r="AH20310" s="831" t="s">
        <v>29</v>
      </c>
      <c r="AI20310" s="831">
        <v>0</v>
      </c>
      <c r="AJ20310" s="835">
        <v>41364</v>
      </c>
      <c r="AK20310" s="831">
        <v>2674773</v>
      </c>
    </row>
    <row r="20311" spans="32:37">
      <c r="AF20311" s="831" t="s">
        <v>10818</v>
      </c>
      <c r="AG20311" s="831" t="s">
        <v>2674</v>
      </c>
      <c r="AH20311" s="831" t="s">
        <v>2688</v>
      </c>
      <c r="AI20311" s="831">
        <v>0</v>
      </c>
      <c r="AJ20311" s="835">
        <v>41364</v>
      </c>
      <c r="AK20311" s="831">
        <v>2715490</v>
      </c>
    </row>
    <row r="20312" spans="32:37">
      <c r="AF20312" s="831" t="s">
        <v>10819</v>
      </c>
      <c r="AG20312" s="831" t="s">
        <v>2674</v>
      </c>
      <c r="AH20312" s="831" t="s">
        <v>556</v>
      </c>
      <c r="AI20312" s="831">
        <v>0</v>
      </c>
      <c r="AJ20312" s="835">
        <v>41364</v>
      </c>
      <c r="AK20312" s="831">
        <v>902857</v>
      </c>
    </row>
    <row r="20313" spans="32:37">
      <c r="AF20313" s="831" t="s">
        <v>10820</v>
      </c>
      <c r="AG20313" s="831" t="s">
        <v>2674</v>
      </c>
      <c r="AH20313" s="831" t="s">
        <v>555</v>
      </c>
      <c r="AI20313" s="831">
        <v>0</v>
      </c>
      <c r="AJ20313" s="835">
        <v>41364</v>
      </c>
      <c r="AK20313" s="831">
        <v>285158930</v>
      </c>
    </row>
    <row r="20314" spans="32:37">
      <c r="AF20314" s="831" t="s">
        <v>10821</v>
      </c>
      <c r="AG20314" s="831" t="s">
        <v>2674</v>
      </c>
      <c r="AH20314" s="831" t="s">
        <v>554</v>
      </c>
      <c r="AI20314" s="831">
        <v>0</v>
      </c>
      <c r="AJ20314" s="835">
        <v>41364</v>
      </c>
      <c r="AK20314" s="831">
        <v>281381290</v>
      </c>
    </row>
    <row r="20315" spans="32:37">
      <c r="AF20315" s="831" t="s">
        <v>10822</v>
      </c>
      <c r="AG20315" s="831" t="s">
        <v>2674</v>
      </c>
      <c r="AH20315" s="831" t="s">
        <v>553</v>
      </c>
      <c r="AI20315" s="831">
        <v>0</v>
      </c>
      <c r="AJ20315" s="835">
        <v>41364</v>
      </c>
      <c r="AK20315" s="831">
        <v>0</v>
      </c>
    </row>
    <row r="20316" spans="32:37">
      <c r="AF20316" s="831" t="s">
        <v>10823</v>
      </c>
      <c r="AG20316" s="831" t="s">
        <v>2674</v>
      </c>
      <c r="AH20316" s="831" t="s">
        <v>552</v>
      </c>
      <c r="AI20316" s="831">
        <v>0</v>
      </c>
      <c r="AJ20316" s="835">
        <v>41364</v>
      </c>
      <c r="AK20316" s="831">
        <v>0</v>
      </c>
    </row>
    <row r="20317" spans="32:37">
      <c r="AF20317" s="831" t="s">
        <v>10824</v>
      </c>
      <c r="AG20317" s="831" t="s">
        <v>2674</v>
      </c>
      <c r="AH20317" s="831" t="s">
        <v>551</v>
      </c>
      <c r="AI20317" s="831">
        <v>0</v>
      </c>
      <c r="AJ20317" s="835">
        <v>41364</v>
      </c>
      <c r="AK20317" s="831">
        <v>2175856</v>
      </c>
    </row>
    <row r="20318" spans="32:37">
      <c r="AF20318" s="831" t="s">
        <v>10825</v>
      </c>
      <c r="AG20318" s="831" t="s">
        <v>2674</v>
      </c>
      <c r="AH20318" s="831" t="s">
        <v>550</v>
      </c>
      <c r="AI20318" s="831">
        <v>0</v>
      </c>
      <c r="AJ20318" s="835">
        <v>41364</v>
      </c>
      <c r="AK20318" s="831">
        <v>98581107</v>
      </c>
    </row>
    <row r="20319" spans="32:37">
      <c r="AF20319" s="831" t="s">
        <v>10826</v>
      </c>
      <c r="AG20319" s="831" t="s">
        <v>2674</v>
      </c>
      <c r="AH20319" s="831" t="s">
        <v>562</v>
      </c>
      <c r="AI20319" s="831">
        <v>0</v>
      </c>
      <c r="AJ20319" s="835">
        <v>41364</v>
      </c>
      <c r="AK20319" s="831">
        <v>0.78425</v>
      </c>
    </row>
    <row r="20320" spans="32:37">
      <c r="AF20320" s="831" t="s">
        <v>10827</v>
      </c>
      <c r="AG20320" s="831" t="s">
        <v>2674</v>
      </c>
      <c r="AH20320" s="831" t="s">
        <v>2698</v>
      </c>
      <c r="AI20320" s="831">
        <v>0</v>
      </c>
      <c r="AJ20320" s="835">
        <v>41364</v>
      </c>
      <c r="AK20320" s="831">
        <v>0.78434999999999999</v>
      </c>
    </row>
    <row r="20321" spans="32:37">
      <c r="AF20321" s="831" t="s">
        <v>10828</v>
      </c>
      <c r="AG20321" s="831" t="s">
        <v>2674</v>
      </c>
      <c r="AH20321" s="831" t="s">
        <v>560</v>
      </c>
      <c r="AI20321" s="831">
        <v>0</v>
      </c>
      <c r="AJ20321" s="835">
        <v>41364</v>
      </c>
      <c r="AK20321" s="831">
        <v>0.78415000000000001</v>
      </c>
    </row>
    <row r="20322" spans="32:37">
      <c r="AF20322" s="831" t="s">
        <v>10829</v>
      </c>
      <c r="AG20322" s="831" t="s">
        <v>2674</v>
      </c>
      <c r="AH20322" s="831" t="s">
        <v>559</v>
      </c>
      <c r="AI20322" s="831">
        <v>0</v>
      </c>
      <c r="AJ20322" s="835">
        <v>41364</v>
      </c>
      <c r="AK20322" s="831">
        <v>0.78459166666666669</v>
      </c>
    </row>
    <row r="20323" spans="32:37">
      <c r="AF20323" s="831" t="s">
        <v>10830</v>
      </c>
      <c r="AG20323" s="831" t="s">
        <v>2674</v>
      </c>
      <c r="AH20323" s="831" t="s">
        <v>568</v>
      </c>
      <c r="AI20323" s="831">
        <v>0</v>
      </c>
      <c r="AJ20323" s="835">
        <v>41364</v>
      </c>
      <c r="AK20323" s="831">
        <v>387042366</v>
      </c>
    </row>
    <row r="20324" spans="32:37">
      <c r="AF20324" s="831" t="s">
        <v>10831</v>
      </c>
      <c r="AG20324" s="831" t="s">
        <v>2674</v>
      </c>
      <c r="AH20324" s="831" t="s">
        <v>569</v>
      </c>
      <c r="AI20324" s="831">
        <v>0</v>
      </c>
      <c r="AJ20324" s="835">
        <v>41364</v>
      </c>
      <c r="AK20324" s="831">
        <v>472896677.63636363</v>
      </c>
    </row>
    <row r="20325" spans="32:37">
      <c r="AF20325" s="831" t="s">
        <v>10832</v>
      </c>
      <c r="AG20325" s="831" t="s">
        <v>2674</v>
      </c>
      <c r="AH20325" s="831" t="s">
        <v>570</v>
      </c>
      <c r="AI20325" s="831">
        <v>0</v>
      </c>
      <c r="AJ20325" s="835">
        <v>41364</v>
      </c>
      <c r="AK20325" s="831">
        <v>97015572.090909094</v>
      </c>
    </row>
    <row r="20326" spans="32:37">
      <c r="AF20326" s="831" t="s">
        <v>10833</v>
      </c>
      <c r="AG20326" s="831" t="s">
        <v>2674</v>
      </c>
      <c r="AH20326" s="831" t="s">
        <v>571</v>
      </c>
      <c r="AI20326" s="831">
        <v>0</v>
      </c>
      <c r="AJ20326" s="835">
        <v>41364</v>
      </c>
      <c r="AK20326" s="831">
        <v>197450778.09090909</v>
      </c>
    </row>
    <row r="20327" spans="32:37">
      <c r="AF20327" s="831" t="s">
        <v>10834</v>
      </c>
      <c r="AG20327" s="831" t="s">
        <v>2674</v>
      </c>
      <c r="AH20327" s="831" t="s">
        <v>573</v>
      </c>
      <c r="AI20327" s="831">
        <v>0</v>
      </c>
      <c r="AJ20327" s="835">
        <v>41364</v>
      </c>
      <c r="AK20327" s="831">
        <v>524451626.75</v>
      </c>
    </row>
    <row r="20328" spans="32:37">
      <c r="AF20328" s="831" t="s">
        <v>10835</v>
      </c>
      <c r="AG20328" s="831" t="s">
        <v>2674</v>
      </c>
      <c r="AH20328" s="831" t="s">
        <v>574</v>
      </c>
      <c r="AI20328" s="831">
        <v>0</v>
      </c>
      <c r="AJ20328" s="835">
        <v>41364</v>
      </c>
      <c r="AK20328" s="831">
        <v>431410912.75</v>
      </c>
    </row>
    <row r="20329" spans="32:37">
      <c r="AF20329" s="831" t="s">
        <v>10836</v>
      </c>
      <c r="AG20329" s="831" t="s">
        <v>2674</v>
      </c>
      <c r="AH20329" s="831" t="s">
        <v>575</v>
      </c>
      <c r="AI20329" s="831">
        <v>0</v>
      </c>
      <c r="AJ20329" s="835">
        <v>41364</v>
      </c>
      <c r="AK20329" s="831">
        <v>99359138.75</v>
      </c>
    </row>
    <row r="20330" spans="32:37">
      <c r="AF20330" s="831" t="s">
        <v>10837</v>
      </c>
      <c r="AG20330" s="831" t="s">
        <v>2674</v>
      </c>
      <c r="AH20330" s="831" t="s">
        <v>576</v>
      </c>
      <c r="AI20330" s="831">
        <v>0</v>
      </c>
      <c r="AJ20330" s="835">
        <v>41364</v>
      </c>
      <c r="AK20330" s="831">
        <v>237999860.25</v>
      </c>
    </row>
    <row r="20331" spans="32:37">
      <c r="AF20331" s="831" t="s">
        <v>10838</v>
      </c>
      <c r="AG20331" s="831" t="s">
        <v>2674</v>
      </c>
      <c r="AH20331" s="831" t="s">
        <v>572</v>
      </c>
      <c r="AI20331" s="831">
        <v>0</v>
      </c>
      <c r="AJ20331" s="835">
        <v>41364</v>
      </c>
      <c r="AK20331" s="831">
        <v>-2146826246</v>
      </c>
    </row>
    <row r="20332" spans="32:37">
      <c r="AF20332" s="831" t="s">
        <v>10839</v>
      </c>
      <c r="AG20332" s="831" t="s">
        <v>2674</v>
      </c>
      <c r="AH20332" s="831" t="s">
        <v>577</v>
      </c>
      <c r="AI20332" s="831">
        <v>0</v>
      </c>
      <c r="AJ20332" s="835">
        <v>41364</v>
      </c>
      <c r="AK20332" s="831">
        <v>-2146826246</v>
      </c>
    </row>
    <row r="20333" spans="32:37">
      <c r="AF20333" s="831" t="s">
        <v>10840</v>
      </c>
      <c r="AG20333" s="831" t="s">
        <v>2674</v>
      </c>
      <c r="AH20333" s="831" t="s">
        <v>3042</v>
      </c>
      <c r="AI20333" s="831">
        <v>0</v>
      </c>
      <c r="AJ20333" s="835">
        <v>41364</v>
      </c>
      <c r="AK20333" s="831">
        <v>-2146826246</v>
      </c>
    </row>
    <row r="20334" spans="32:37">
      <c r="AF20334" s="831" t="s">
        <v>10841</v>
      </c>
      <c r="AG20334" s="831" t="s">
        <v>2674</v>
      </c>
      <c r="AH20334" s="831" t="s">
        <v>3044</v>
      </c>
      <c r="AI20334" s="831">
        <v>0</v>
      </c>
      <c r="AJ20334" s="835">
        <v>41364</v>
      </c>
      <c r="AK20334" s="831">
        <v>-2146826246</v>
      </c>
    </row>
    <row r="20335" spans="32:37">
      <c r="AF20335" s="831" t="s">
        <v>10842</v>
      </c>
      <c r="AG20335" s="831" t="s">
        <v>2674</v>
      </c>
      <c r="AH20335" s="831" t="s">
        <v>580</v>
      </c>
      <c r="AI20335" s="831">
        <v>0</v>
      </c>
      <c r="AJ20335" s="835">
        <v>41364</v>
      </c>
      <c r="AK20335" s="831">
        <v>-2146826246</v>
      </c>
    </row>
    <row r="20336" spans="32:37">
      <c r="AF20336" s="831" t="s">
        <v>10843</v>
      </c>
      <c r="AG20336" s="831" t="s">
        <v>2674</v>
      </c>
      <c r="AH20336" s="831" t="s">
        <v>581</v>
      </c>
      <c r="AI20336" s="831">
        <v>0</v>
      </c>
      <c r="AJ20336" s="835">
        <v>41364</v>
      </c>
      <c r="AK20336" s="831">
        <v>-2146826246</v>
      </c>
    </row>
    <row r="20337" spans="32:37">
      <c r="AF20337" s="831" t="s">
        <v>10844</v>
      </c>
      <c r="AG20337" s="831" t="s">
        <v>2674</v>
      </c>
      <c r="AH20337" s="831" t="s">
        <v>105</v>
      </c>
      <c r="AI20337" s="831">
        <v>0</v>
      </c>
      <c r="AJ20337" s="835">
        <v>41364</v>
      </c>
      <c r="AK20337" s="831">
        <v>251718369</v>
      </c>
    </row>
    <row r="20338" spans="32:37">
      <c r="AF20338" s="831" t="s">
        <v>10845</v>
      </c>
      <c r="AG20338" s="831" t="s">
        <v>2674</v>
      </c>
      <c r="AH20338" s="831" t="s">
        <v>3049</v>
      </c>
      <c r="AI20338" s="831">
        <v>0</v>
      </c>
      <c r="AJ20338" s="835">
        <v>41364</v>
      </c>
      <c r="AK20338" s="831">
        <v>433573874</v>
      </c>
    </row>
    <row r="20339" spans="32:37">
      <c r="AF20339" s="831" t="s">
        <v>10846</v>
      </c>
      <c r="AG20339" s="831" t="s">
        <v>2674</v>
      </c>
      <c r="AH20339" s="831" t="s">
        <v>103</v>
      </c>
      <c r="AI20339" s="831">
        <v>0</v>
      </c>
      <c r="AJ20339" s="835">
        <v>41364</v>
      </c>
      <c r="AK20339" s="831">
        <v>181855505</v>
      </c>
    </row>
    <row r="20340" spans="32:37">
      <c r="AF20340" s="831" t="s">
        <v>10847</v>
      </c>
      <c r="AG20340" s="831" t="s">
        <v>2674</v>
      </c>
      <c r="AH20340" s="831" t="s">
        <v>182</v>
      </c>
      <c r="AI20340" s="831">
        <v>0</v>
      </c>
      <c r="AJ20340" s="835">
        <v>41364</v>
      </c>
      <c r="AK20340" s="831">
        <v>54931936</v>
      </c>
    </row>
    <row r="20341" spans="32:37">
      <c r="AF20341" s="831" t="s">
        <v>10848</v>
      </c>
      <c r="AG20341" s="831" t="s">
        <v>2674</v>
      </c>
      <c r="AH20341" s="831" t="s">
        <v>6600</v>
      </c>
      <c r="AI20341" s="831">
        <v>0</v>
      </c>
      <c r="AJ20341" s="835">
        <v>41364</v>
      </c>
      <c r="AK20341" s="831">
        <v>-2146826246</v>
      </c>
    </row>
    <row r="20342" spans="32:37">
      <c r="AF20342" s="831" t="s">
        <v>10849</v>
      </c>
      <c r="AG20342" s="831" t="s">
        <v>2674</v>
      </c>
      <c r="AH20342" s="831" t="s">
        <v>6602</v>
      </c>
      <c r="AI20342" s="831">
        <v>0</v>
      </c>
      <c r="AJ20342" s="835">
        <v>41364</v>
      </c>
      <c r="AK20342" s="831">
        <v>6046166</v>
      </c>
    </row>
    <row r="20343" spans="32:37">
      <c r="AF20343" s="831" t="s">
        <v>10850</v>
      </c>
      <c r="AG20343" s="831" t="s">
        <v>2674</v>
      </c>
      <c r="AH20343" s="831" t="s">
        <v>650</v>
      </c>
      <c r="AI20343" s="831">
        <v>0</v>
      </c>
      <c r="AJ20343" s="835">
        <v>41364</v>
      </c>
      <c r="AK20343" s="831">
        <v>165371914.36363637</v>
      </c>
    </row>
    <row r="20344" spans="32:37">
      <c r="AF20344" s="831" t="s">
        <v>10851</v>
      </c>
      <c r="AG20344" s="831" t="s">
        <v>2674</v>
      </c>
      <c r="AH20344" s="831" t="s">
        <v>655</v>
      </c>
      <c r="AI20344" s="831">
        <v>0</v>
      </c>
      <c r="AJ20344" s="835">
        <v>41364</v>
      </c>
      <c r="AK20344" s="831">
        <v>1831184</v>
      </c>
    </row>
    <row r="20345" spans="32:37">
      <c r="AF20345" s="831" t="s">
        <v>10852</v>
      </c>
      <c r="AG20345" s="831" t="s">
        <v>2674</v>
      </c>
      <c r="AH20345" s="831" t="s">
        <v>546</v>
      </c>
      <c r="AI20345" s="831">
        <v>0</v>
      </c>
      <c r="AJ20345" s="835">
        <v>41394</v>
      </c>
      <c r="AK20345" s="831">
        <v>479771222</v>
      </c>
    </row>
    <row r="20346" spans="32:37">
      <c r="AF20346" s="831" t="s">
        <v>10853</v>
      </c>
      <c r="AG20346" s="831" t="s">
        <v>2674</v>
      </c>
      <c r="AH20346" s="831" t="s">
        <v>370</v>
      </c>
      <c r="AI20346" s="831">
        <v>0</v>
      </c>
      <c r="AJ20346" s="835">
        <v>41394</v>
      </c>
      <c r="AK20346" s="831">
        <v>566329383</v>
      </c>
    </row>
    <row r="20347" spans="32:37">
      <c r="AF20347" s="831" t="s">
        <v>10854</v>
      </c>
      <c r="AG20347" s="831" t="s">
        <v>2674</v>
      </c>
      <c r="AH20347" s="831" t="s">
        <v>126</v>
      </c>
      <c r="AI20347" s="831">
        <v>0</v>
      </c>
      <c r="AJ20347" s="835">
        <v>41394</v>
      </c>
      <c r="AK20347" s="831">
        <v>103327866</v>
      </c>
    </row>
    <row r="20348" spans="32:37">
      <c r="AF20348" s="831" t="s">
        <v>10855</v>
      </c>
      <c r="AG20348" s="831" t="s">
        <v>2674</v>
      </c>
      <c r="AH20348" s="831" t="s">
        <v>268</v>
      </c>
      <c r="AI20348" s="831">
        <v>0</v>
      </c>
      <c r="AJ20348" s="835">
        <v>41394</v>
      </c>
      <c r="AK20348" s="831">
        <v>8564643</v>
      </c>
    </row>
    <row r="20349" spans="32:37">
      <c r="AF20349" s="831" t="s">
        <v>10856</v>
      </c>
      <c r="AG20349" s="831" t="s">
        <v>2674</v>
      </c>
      <c r="AH20349" s="831" t="s">
        <v>547</v>
      </c>
      <c r="AI20349" s="831">
        <v>0</v>
      </c>
      <c r="AJ20349" s="835">
        <v>41394</v>
      </c>
      <c r="AK20349" s="831">
        <v>511487760</v>
      </c>
    </row>
    <row r="20350" spans="32:37">
      <c r="AF20350" s="831" t="s">
        <v>10857</v>
      </c>
      <c r="AG20350" s="831" t="s">
        <v>2674</v>
      </c>
      <c r="AH20350" s="831" t="s">
        <v>548</v>
      </c>
      <c r="AI20350" s="831">
        <v>0</v>
      </c>
      <c r="AJ20350" s="835">
        <v>41394</v>
      </c>
      <c r="AK20350" s="831">
        <v>96883184</v>
      </c>
    </row>
    <row r="20351" spans="32:37">
      <c r="AF20351" s="831" t="s">
        <v>10858</v>
      </c>
      <c r="AG20351" s="831" t="s">
        <v>2674</v>
      </c>
      <c r="AH20351" s="831" t="s">
        <v>549</v>
      </c>
      <c r="AI20351" s="831">
        <v>0</v>
      </c>
      <c r="AJ20351" s="835">
        <v>41394</v>
      </c>
      <c r="AK20351" s="831">
        <v>0</v>
      </c>
    </row>
    <row r="20352" spans="32:37">
      <c r="AF20352" s="831" t="s">
        <v>10859</v>
      </c>
      <c r="AG20352" s="831" t="s">
        <v>2674</v>
      </c>
      <c r="AH20352" s="831" t="s">
        <v>192</v>
      </c>
      <c r="AI20352" s="831">
        <v>0</v>
      </c>
      <c r="AJ20352" s="835">
        <v>41394</v>
      </c>
      <c r="AK20352" s="831">
        <v>-12137335</v>
      </c>
    </row>
    <row r="20353" spans="32:37">
      <c r="AF20353" s="831" t="s">
        <v>10860</v>
      </c>
      <c r="AG20353" s="831" t="s">
        <v>2674</v>
      </c>
      <c r="AH20353" s="831" t="s">
        <v>558</v>
      </c>
      <c r="AI20353" s="831">
        <v>0</v>
      </c>
      <c r="AJ20353" s="835">
        <v>41394</v>
      </c>
      <c r="AK20353" s="831">
        <v>463001517</v>
      </c>
    </row>
    <row r="20354" spans="32:37">
      <c r="AF20354" s="831" t="s">
        <v>10861</v>
      </c>
      <c r="AG20354" s="831" t="s">
        <v>2674</v>
      </c>
      <c r="AH20354" s="831" t="s">
        <v>65</v>
      </c>
      <c r="AI20354" s="831">
        <v>0</v>
      </c>
      <c r="AJ20354" s="835">
        <v>41394</v>
      </c>
      <c r="AK20354" s="831">
        <v>38829477</v>
      </c>
    </row>
    <row r="20355" spans="32:37">
      <c r="AF20355" s="831" t="s">
        <v>10862</v>
      </c>
      <c r="AG20355" s="831" t="s">
        <v>2674</v>
      </c>
      <c r="AH20355" s="831" t="s">
        <v>89</v>
      </c>
      <c r="AI20355" s="831">
        <v>0</v>
      </c>
      <c r="AJ20355" s="835">
        <v>41394</v>
      </c>
      <c r="AK20355" s="831">
        <v>132126</v>
      </c>
    </row>
    <row r="20356" spans="32:37">
      <c r="AF20356" s="831" t="s">
        <v>10863</v>
      </c>
      <c r="AG20356" s="831" t="s">
        <v>2674</v>
      </c>
      <c r="AH20356" s="831" t="s">
        <v>557</v>
      </c>
      <c r="AI20356" s="831">
        <v>0</v>
      </c>
      <c r="AJ20356" s="835">
        <v>41394</v>
      </c>
      <c r="AK20356" s="831">
        <v>135969</v>
      </c>
    </row>
    <row r="20357" spans="32:37">
      <c r="AF20357" s="831" t="s">
        <v>10864</v>
      </c>
      <c r="AG20357" s="831" t="s">
        <v>2674</v>
      </c>
      <c r="AH20357" s="831" t="s">
        <v>29</v>
      </c>
      <c r="AI20357" s="831">
        <v>0</v>
      </c>
      <c r="AJ20357" s="835">
        <v>41394</v>
      </c>
      <c r="AK20357" s="831">
        <v>3183810</v>
      </c>
    </row>
    <row r="20358" spans="32:37">
      <c r="AF20358" s="831" t="s">
        <v>10865</v>
      </c>
      <c r="AG20358" s="831" t="s">
        <v>2674</v>
      </c>
      <c r="AH20358" s="831" t="s">
        <v>2688</v>
      </c>
      <c r="AI20358" s="831">
        <v>0</v>
      </c>
      <c r="AJ20358" s="835">
        <v>41394</v>
      </c>
      <c r="AK20358" s="831">
        <v>2795249</v>
      </c>
    </row>
    <row r="20359" spans="32:37">
      <c r="AF20359" s="831" t="s">
        <v>10866</v>
      </c>
      <c r="AG20359" s="831" t="s">
        <v>2674</v>
      </c>
      <c r="AH20359" s="831" t="s">
        <v>556</v>
      </c>
      <c r="AI20359" s="831">
        <v>0</v>
      </c>
      <c r="AJ20359" s="835">
        <v>41394</v>
      </c>
      <c r="AK20359" s="831">
        <v>902857</v>
      </c>
    </row>
    <row r="20360" spans="32:37">
      <c r="AF20360" s="831" t="s">
        <v>10867</v>
      </c>
      <c r="AG20360" s="831" t="s">
        <v>2674</v>
      </c>
      <c r="AH20360" s="831" t="s">
        <v>555</v>
      </c>
      <c r="AI20360" s="831">
        <v>0</v>
      </c>
      <c r="AJ20360" s="835">
        <v>41394</v>
      </c>
      <c r="AK20360" s="831">
        <v>292199280</v>
      </c>
    </row>
    <row r="20361" spans="32:37">
      <c r="AF20361" s="831" t="s">
        <v>10868</v>
      </c>
      <c r="AG20361" s="831" t="s">
        <v>2674</v>
      </c>
      <c r="AH20361" s="831" t="s">
        <v>554</v>
      </c>
      <c r="AI20361" s="831">
        <v>0</v>
      </c>
      <c r="AJ20361" s="835">
        <v>41394</v>
      </c>
      <c r="AK20361" s="831">
        <v>282835760</v>
      </c>
    </row>
    <row r="20362" spans="32:37">
      <c r="AF20362" s="831" t="s">
        <v>10869</v>
      </c>
      <c r="AG20362" s="831" t="s">
        <v>2674</v>
      </c>
      <c r="AH20362" s="831" t="s">
        <v>553</v>
      </c>
      <c r="AI20362" s="831">
        <v>0</v>
      </c>
      <c r="AJ20362" s="835">
        <v>41394</v>
      </c>
      <c r="AK20362" s="831">
        <v>0</v>
      </c>
    </row>
    <row r="20363" spans="32:37">
      <c r="AF20363" s="831" t="s">
        <v>10870</v>
      </c>
      <c r="AG20363" s="831" t="s">
        <v>2674</v>
      </c>
      <c r="AH20363" s="831" t="s">
        <v>552</v>
      </c>
      <c r="AI20363" s="831">
        <v>0</v>
      </c>
      <c r="AJ20363" s="835">
        <v>41394</v>
      </c>
      <c r="AK20363" s="831">
        <v>0</v>
      </c>
    </row>
    <row r="20364" spans="32:37">
      <c r="AF20364" s="831" t="s">
        <v>10871</v>
      </c>
      <c r="AG20364" s="831" t="s">
        <v>2674</v>
      </c>
      <c r="AH20364" s="831" t="s">
        <v>551</v>
      </c>
      <c r="AI20364" s="831">
        <v>0</v>
      </c>
      <c r="AJ20364" s="835">
        <v>41394</v>
      </c>
      <c r="AK20364" s="831">
        <v>3073568</v>
      </c>
    </row>
    <row r="20365" spans="32:37">
      <c r="AF20365" s="831" t="s">
        <v>10872</v>
      </c>
      <c r="AG20365" s="831" t="s">
        <v>2674</v>
      </c>
      <c r="AH20365" s="831" t="s">
        <v>550</v>
      </c>
      <c r="AI20365" s="831">
        <v>0</v>
      </c>
      <c r="AJ20365" s="835">
        <v>41394</v>
      </c>
      <c r="AK20365" s="831">
        <v>100809389</v>
      </c>
    </row>
    <row r="20366" spans="32:37">
      <c r="AF20366" s="831" t="s">
        <v>10873</v>
      </c>
      <c r="AG20366" s="831" t="s">
        <v>2674</v>
      </c>
      <c r="AH20366" s="831" t="s">
        <v>562</v>
      </c>
      <c r="AI20366" s="831">
        <v>0</v>
      </c>
      <c r="AJ20366" s="835">
        <v>41394</v>
      </c>
      <c r="AK20366" s="831">
        <v>0.78405000000000002</v>
      </c>
    </row>
    <row r="20367" spans="32:37">
      <c r="AF20367" s="831" t="s">
        <v>10874</v>
      </c>
      <c r="AG20367" s="831" t="s">
        <v>2674</v>
      </c>
      <c r="AH20367" s="831" t="s">
        <v>2698</v>
      </c>
      <c r="AI20367" s="831">
        <v>0</v>
      </c>
      <c r="AJ20367" s="835">
        <v>41394</v>
      </c>
      <c r="AK20367" s="831">
        <v>0.78425</v>
      </c>
    </row>
    <row r="20368" spans="32:37">
      <c r="AF20368" s="831" t="s">
        <v>10875</v>
      </c>
      <c r="AG20368" s="831" t="s">
        <v>2674</v>
      </c>
      <c r="AH20368" s="831" t="s">
        <v>560</v>
      </c>
      <c r="AI20368" s="831">
        <v>0</v>
      </c>
      <c r="AJ20368" s="835">
        <v>41394</v>
      </c>
      <c r="AK20368" s="831">
        <v>0.78412500000000007</v>
      </c>
    </row>
    <row r="20369" spans="32:37">
      <c r="AF20369" s="831" t="s">
        <v>10876</v>
      </c>
      <c r="AG20369" s="831" t="s">
        <v>2674</v>
      </c>
      <c r="AH20369" s="831" t="s">
        <v>559</v>
      </c>
      <c r="AI20369" s="831">
        <v>0</v>
      </c>
      <c r="AJ20369" s="835">
        <v>41394</v>
      </c>
      <c r="AK20369" s="831">
        <v>0.78444166666666681</v>
      </c>
    </row>
    <row r="20370" spans="32:37">
      <c r="AF20370" s="831" t="s">
        <v>10877</v>
      </c>
      <c r="AG20370" s="831" t="s">
        <v>2674</v>
      </c>
      <c r="AH20370" s="831" t="s">
        <v>568</v>
      </c>
      <c r="AI20370" s="831">
        <v>0</v>
      </c>
      <c r="AJ20370" s="835">
        <v>41394</v>
      </c>
      <c r="AK20370" s="831">
        <v>394769770.66666669</v>
      </c>
    </row>
    <row r="20371" spans="32:37">
      <c r="AF20371" s="831" t="s">
        <v>10878</v>
      </c>
      <c r="AG20371" s="831" t="s">
        <v>2674</v>
      </c>
      <c r="AH20371" s="831" t="s">
        <v>569</v>
      </c>
      <c r="AI20371" s="831">
        <v>0</v>
      </c>
      <c r="AJ20371" s="835">
        <v>41394</v>
      </c>
      <c r="AK20371" s="831">
        <v>480682736.41666669</v>
      </c>
    </row>
    <row r="20372" spans="32:37">
      <c r="AF20372" s="831" t="s">
        <v>10879</v>
      </c>
      <c r="AG20372" s="831" t="s">
        <v>2674</v>
      </c>
      <c r="AH20372" s="831" t="s">
        <v>570</v>
      </c>
      <c r="AI20372" s="831">
        <v>0</v>
      </c>
      <c r="AJ20372" s="835">
        <v>41394</v>
      </c>
      <c r="AK20372" s="831">
        <v>97541596.583333328</v>
      </c>
    </row>
    <row r="20373" spans="32:37">
      <c r="AF20373" s="831" t="s">
        <v>10880</v>
      </c>
      <c r="AG20373" s="831" t="s">
        <v>2674</v>
      </c>
      <c r="AH20373" s="831" t="s">
        <v>571</v>
      </c>
      <c r="AI20373" s="831">
        <v>0</v>
      </c>
      <c r="AJ20373" s="835">
        <v>41394</v>
      </c>
      <c r="AK20373" s="831">
        <v>202392383.16666666</v>
      </c>
    </row>
    <row r="20374" spans="32:37">
      <c r="AF20374" s="831" t="s">
        <v>10881</v>
      </c>
      <c r="AG20374" s="831" t="s">
        <v>2674</v>
      </c>
      <c r="AH20374" s="831" t="s">
        <v>573</v>
      </c>
      <c r="AI20374" s="831">
        <v>0</v>
      </c>
      <c r="AJ20374" s="835">
        <v>41394</v>
      </c>
      <c r="AK20374" s="831">
        <v>532827178</v>
      </c>
    </row>
    <row r="20375" spans="32:37">
      <c r="AF20375" s="831" t="s">
        <v>10882</v>
      </c>
      <c r="AG20375" s="831" t="s">
        <v>2674</v>
      </c>
      <c r="AH20375" s="831" t="s">
        <v>574</v>
      </c>
      <c r="AI20375" s="831">
        <v>0</v>
      </c>
      <c r="AJ20375" s="835">
        <v>41394</v>
      </c>
      <c r="AK20375" s="831">
        <v>441082974.60000002</v>
      </c>
    </row>
    <row r="20376" spans="32:37">
      <c r="AF20376" s="831" t="s">
        <v>10883</v>
      </c>
      <c r="AG20376" s="831" t="s">
        <v>2674</v>
      </c>
      <c r="AH20376" s="831" t="s">
        <v>575</v>
      </c>
      <c r="AI20376" s="831">
        <v>0</v>
      </c>
      <c r="AJ20376" s="835">
        <v>41394</v>
      </c>
      <c r="AK20376" s="831">
        <v>100152884.2</v>
      </c>
    </row>
    <row r="20377" spans="32:37">
      <c r="AF20377" s="831" t="s">
        <v>10884</v>
      </c>
      <c r="AG20377" s="831" t="s">
        <v>2674</v>
      </c>
      <c r="AH20377" s="831" t="s">
        <v>576</v>
      </c>
      <c r="AI20377" s="831">
        <v>0</v>
      </c>
      <c r="AJ20377" s="835">
        <v>41394</v>
      </c>
      <c r="AK20377" s="831">
        <v>241749896</v>
      </c>
    </row>
    <row r="20378" spans="32:37">
      <c r="AF20378" s="831" t="s">
        <v>10885</v>
      </c>
      <c r="AG20378" s="831" t="s">
        <v>2674</v>
      </c>
      <c r="AH20378" s="831" t="s">
        <v>572</v>
      </c>
      <c r="AI20378" s="831">
        <v>0</v>
      </c>
      <c r="AJ20378" s="835">
        <v>41394</v>
      </c>
      <c r="AK20378" s="831">
        <v>24404594</v>
      </c>
    </row>
    <row r="20379" spans="32:37">
      <c r="AF20379" s="831" t="s">
        <v>10886</v>
      </c>
      <c r="AG20379" s="831" t="s">
        <v>2674</v>
      </c>
      <c r="AH20379" s="831" t="s">
        <v>577</v>
      </c>
      <c r="AI20379" s="831">
        <v>0</v>
      </c>
      <c r="AJ20379" s="835">
        <v>41394</v>
      </c>
      <c r="AK20379" s="831">
        <v>137705857</v>
      </c>
    </row>
    <row r="20380" spans="32:37">
      <c r="AF20380" s="831" t="s">
        <v>10887</v>
      </c>
      <c r="AG20380" s="831" t="s">
        <v>2674</v>
      </c>
      <c r="AH20380" s="831" t="s">
        <v>3042</v>
      </c>
      <c r="AI20380" s="831">
        <v>0</v>
      </c>
      <c r="AJ20380" s="835">
        <v>41394</v>
      </c>
      <c r="AK20380" s="831">
        <v>-34403926</v>
      </c>
    </row>
    <row r="20381" spans="32:37">
      <c r="AF20381" s="831" t="s">
        <v>10888</v>
      </c>
      <c r="AG20381" s="831" t="s">
        <v>2674</v>
      </c>
      <c r="AH20381" s="831" t="s">
        <v>3044</v>
      </c>
      <c r="AI20381" s="831">
        <v>0</v>
      </c>
      <c r="AJ20381" s="835">
        <v>41394</v>
      </c>
      <c r="AK20381" s="831">
        <v>-4759976</v>
      </c>
    </row>
    <row r="20382" spans="32:37">
      <c r="AF20382" s="831" t="s">
        <v>10889</v>
      </c>
      <c r="AG20382" s="831" t="s">
        <v>2674</v>
      </c>
      <c r="AH20382" s="831" t="s">
        <v>580</v>
      </c>
      <c r="AI20382" s="831">
        <v>0</v>
      </c>
      <c r="AJ20382" s="835">
        <v>41394</v>
      </c>
      <c r="AK20382" s="831">
        <v>-71824276</v>
      </c>
    </row>
    <row r="20383" spans="32:37">
      <c r="AF20383" s="831" t="s">
        <v>10890</v>
      </c>
      <c r="AG20383" s="831" t="s">
        <v>2674</v>
      </c>
      <c r="AH20383" s="831" t="s">
        <v>581</v>
      </c>
      <c r="AI20383" s="831">
        <v>0</v>
      </c>
      <c r="AJ20383" s="835">
        <v>41394</v>
      </c>
      <c r="AK20383" s="831">
        <v>4094604</v>
      </c>
    </row>
    <row r="20384" spans="32:37">
      <c r="AF20384" s="831" t="s">
        <v>10891</v>
      </c>
      <c r="AG20384" s="831" t="s">
        <v>2674</v>
      </c>
      <c r="AH20384" s="831" t="s">
        <v>105</v>
      </c>
      <c r="AI20384" s="831">
        <v>0</v>
      </c>
      <c r="AJ20384" s="835">
        <v>41394</v>
      </c>
      <c r="AK20384" s="831">
        <v>256750039</v>
      </c>
    </row>
    <row r="20385" spans="32:37">
      <c r="AF20385" s="831" t="s">
        <v>10892</v>
      </c>
      <c r="AG20385" s="831" t="s">
        <v>2674</v>
      </c>
      <c r="AH20385" s="831" t="s">
        <v>3049</v>
      </c>
      <c r="AI20385" s="831">
        <v>0</v>
      </c>
      <c r="AJ20385" s="835">
        <v>41394</v>
      </c>
      <c r="AK20385" s="831">
        <v>448399148</v>
      </c>
    </row>
    <row r="20386" spans="32:37">
      <c r="AF20386" s="831" t="s">
        <v>10893</v>
      </c>
      <c r="AG20386" s="831" t="s">
        <v>2674</v>
      </c>
      <c r="AH20386" s="831" t="s">
        <v>103</v>
      </c>
      <c r="AI20386" s="831">
        <v>0</v>
      </c>
      <c r="AJ20386" s="835">
        <v>41394</v>
      </c>
      <c r="AK20386" s="831">
        <v>191649109</v>
      </c>
    </row>
    <row r="20387" spans="32:37">
      <c r="AF20387" s="831" t="s">
        <v>10894</v>
      </c>
      <c r="AG20387" s="831" t="s">
        <v>2674</v>
      </c>
      <c r="AH20387" s="831" t="s">
        <v>182</v>
      </c>
      <c r="AI20387" s="831">
        <v>0</v>
      </c>
      <c r="AJ20387" s="835">
        <v>41394</v>
      </c>
      <c r="AK20387" s="831">
        <v>55518615</v>
      </c>
    </row>
    <row r="20388" spans="32:37">
      <c r="AF20388" s="831" t="s">
        <v>10895</v>
      </c>
      <c r="AG20388" s="831" t="s">
        <v>2674</v>
      </c>
      <c r="AH20388" s="831" t="s">
        <v>6600</v>
      </c>
      <c r="AI20388" s="831">
        <v>0</v>
      </c>
      <c r="AJ20388" s="835">
        <v>41394</v>
      </c>
      <c r="AK20388" s="831">
        <v>24404594</v>
      </c>
    </row>
    <row r="20389" spans="32:37">
      <c r="AF20389" s="831" t="s">
        <v>10896</v>
      </c>
      <c r="AG20389" s="831" t="s">
        <v>2674</v>
      </c>
      <c r="AH20389" s="831" t="s">
        <v>6602</v>
      </c>
      <c r="AI20389" s="831">
        <v>0</v>
      </c>
      <c r="AJ20389" s="835">
        <v>41394</v>
      </c>
      <c r="AK20389" s="831">
        <v>8564643</v>
      </c>
    </row>
    <row r="20390" spans="32:37">
      <c r="AF20390" s="831" t="s">
        <v>10897</v>
      </c>
      <c r="AG20390" s="831" t="s">
        <v>2674</v>
      </c>
      <c r="AH20390" s="831" t="s">
        <v>650</v>
      </c>
      <c r="AI20390" s="831">
        <v>0</v>
      </c>
      <c r="AJ20390" s="835">
        <v>41394</v>
      </c>
      <c r="AK20390" s="831">
        <v>167561680.58333334</v>
      </c>
    </row>
    <row r="20391" spans="32:37">
      <c r="AF20391" s="831" t="s">
        <v>10898</v>
      </c>
      <c r="AG20391" s="831" t="s">
        <v>2674</v>
      </c>
      <c r="AH20391" s="831" t="s">
        <v>655</v>
      </c>
      <c r="AI20391" s="831">
        <v>0</v>
      </c>
      <c r="AJ20391" s="835">
        <v>41394</v>
      </c>
      <c r="AK20391" s="831">
        <v>2577725</v>
      </c>
    </row>
    <row r="20392" spans="32:37">
      <c r="AF20392" s="831" t="s">
        <v>10899</v>
      </c>
      <c r="AG20392" s="831" t="s">
        <v>2674</v>
      </c>
      <c r="AH20392" s="831" t="s">
        <v>546</v>
      </c>
      <c r="AI20392" s="831">
        <v>0</v>
      </c>
      <c r="AJ20392" s="835">
        <v>41425</v>
      </c>
      <c r="AK20392" s="831">
        <v>505264542</v>
      </c>
    </row>
    <row r="20393" spans="32:37">
      <c r="AF20393" s="831" t="s">
        <v>10900</v>
      </c>
      <c r="AG20393" s="831" t="s">
        <v>2674</v>
      </c>
      <c r="AH20393" s="831" t="s">
        <v>370</v>
      </c>
      <c r="AI20393" s="831">
        <v>0</v>
      </c>
      <c r="AJ20393" s="835">
        <v>41425</v>
      </c>
      <c r="AK20393" s="831">
        <v>595292976</v>
      </c>
    </row>
    <row r="20394" spans="32:37">
      <c r="AF20394" s="831" t="s">
        <v>10901</v>
      </c>
      <c r="AG20394" s="831" t="s">
        <v>2674</v>
      </c>
      <c r="AH20394" s="831" t="s">
        <v>126</v>
      </c>
      <c r="AI20394" s="831">
        <v>0</v>
      </c>
      <c r="AJ20394" s="835">
        <v>41425</v>
      </c>
      <c r="AK20394" s="831">
        <v>105651356</v>
      </c>
    </row>
    <row r="20395" spans="32:37">
      <c r="AF20395" s="831" t="s">
        <v>10902</v>
      </c>
      <c r="AG20395" s="831" t="s">
        <v>2674</v>
      </c>
      <c r="AH20395" s="831" t="s">
        <v>268</v>
      </c>
      <c r="AI20395" s="831">
        <v>0</v>
      </c>
      <c r="AJ20395" s="835">
        <v>41425</v>
      </c>
      <c r="AK20395" s="831">
        <v>10888133</v>
      </c>
    </row>
    <row r="20396" spans="32:37">
      <c r="AF20396" s="831" t="s">
        <v>10903</v>
      </c>
      <c r="AG20396" s="831" t="s">
        <v>2674</v>
      </c>
      <c r="AH20396" s="831" t="s">
        <v>547</v>
      </c>
      <c r="AI20396" s="831">
        <v>0</v>
      </c>
      <c r="AJ20396" s="835">
        <v>41425</v>
      </c>
      <c r="AK20396" s="831">
        <v>511487760</v>
      </c>
    </row>
    <row r="20397" spans="32:37">
      <c r="AF20397" s="831" t="s">
        <v>10904</v>
      </c>
      <c r="AG20397" s="831" t="s">
        <v>2674</v>
      </c>
      <c r="AH20397" s="831" t="s">
        <v>548</v>
      </c>
      <c r="AI20397" s="831">
        <v>0</v>
      </c>
      <c r="AJ20397" s="835">
        <v>41425</v>
      </c>
      <c r="AK20397" s="831">
        <v>96883184</v>
      </c>
    </row>
    <row r="20398" spans="32:37">
      <c r="AF20398" s="831" t="s">
        <v>10905</v>
      </c>
      <c r="AG20398" s="831" t="s">
        <v>2674</v>
      </c>
      <c r="AH20398" s="831" t="s">
        <v>549</v>
      </c>
      <c r="AI20398" s="831">
        <v>0</v>
      </c>
      <c r="AJ20398" s="835">
        <v>41425</v>
      </c>
      <c r="AK20398" s="831">
        <v>339221349</v>
      </c>
    </row>
    <row r="20399" spans="32:37">
      <c r="AF20399" s="831" t="s">
        <v>10906</v>
      </c>
      <c r="AG20399" s="831" t="s">
        <v>2674</v>
      </c>
      <c r="AH20399" s="831" t="s">
        <v>192</v>
      </c>
      <c r="AI20399" s="831">
        <v>0</v>
      </c>
      <c r="AJ20399" s="835">
        <v>41425</v>
      </c>
      <c r="AK20399" s="831">
        <v>-12896676</v>
      </c>
    </row>
    <row r="20400" spans="32:37">
      <c r="AF20400" s="831" t="s">
        <v>10907</v>
      </c>
      <c r="AG20400" s="831" t="s">
        <v>2674</v>
      </c>
      <c r="AH20400" s="831" t="s">
        <v>558</v>
      </c>
      <c r="AI20400" s="831">
        <v>0</v>
      </c>
      <c r="AJ20400" s="835">
        <v>41425</v>
      </c>
      <c r="AK20400" s="831">
        <v>489641620</v>
      </c>
    </row>
    <row r="20401" spans="32:37">
      <c r="AF20401" s="831" t="s">
        <v>10908</v>
      </c>
      <c r="AG20401" s="831" t="s">
        <v>2674</v>
      </c>
      <c r="AH20401" s="831" t="s">
        <v>65</v>
      </c>
      <c r="AI20401" s="831">
        <v>0</v>
      </c>
      <c r="AJ20401" s="835">
        <v>41425</v>
      </c>
      <c r="AK20401" s="831">
        <v>49637231</v>
      </c>
    </row>
    <row r="20402" spans="32:37">
      <c r="AF20402" s="831" t="s">
        <v>10909</v>
      </c>
      <c r="AG20402" s="831" t="s">
        <v>2674</v>
      </c>
      <c r="AH20402" s="831" t="s">
        <v>89</v>
      </c>
      <c r="AI20402" s="831">
        <v>0</v>
      </c>
      <c r="AJ20402" s="835">
        <v>41425</v>
      </c>
      <c r="AK20402" s="831">
        <v>135204</v>
      </c>
    </row>
    <row r="20403" spans="32:37">
      <c r="AF20403" s="831" t="s">
        <v>10910</v>
      </c>
      <c r="AG20403" s="831" t="s">
        <v>2674</v>
      </c>
      <c r="AH20403" s="831" t="s">
        <v>557</v>
      </c>
      <c r="AI20403" s="831">
        <v>0</v>
      </c>
      <c r="AJ20403" s="835">
        <v>41425</v>
      </c>
      <c r="AK20403" s="831">
        <v>139930</v>
      </c>
    </row>
    <row r="20404" spans="32:37">
      <c r="AF20404" s="831" t="s">
        <v>10911</v>
      </c>
      <c r="AG20404" s="831" t="s">
        <v>2674</v>
      </c>
      <c r="AH20404" s="831" t="s">
        <v>29</v>
      </c>
      <c r="AI20404" s="831">
        <v>0</v>
      </c>
      <c r="AJ20404" s="835">
        <v>41425</v>
      </c>
      <c r="AK20404" s="831">
        <v>2486253</v>
      </c>
    </row>
    <row r="20405" spans="32:37">
      <c r="AF20405" s="831" t="s">
        <v>10912</v>
      </c>
      <c r="AG20405" s="831" t="s">
        <v>2674</v>
      </c>
      <c r="AH20405" s="831" t="s">
        <v>2688</v>
      </c>
      <c r="AI20405" s="831">
        <v>0</v>
      </c>
      <c r="AJ20405" s="835">
        <v>41425</v>
      </c>
      <c r="AK20405" s="831">
        <v>2733940</v>
      </c>
    </row>
    <row r="20406" spans="32:37">
      <c r="AF20406" s="831" t="s">
        <v>10913</v>
      </c>
      <c r="AG20406" s="831" t="s">
        <v>2674</v>
      </c>
      <c r="AH20406" s="831" t="s">
        <v>556</v>
      </c>
      <c r="AI20406" s="831">
        <v>0</v>
      </c>
      <c r="AJ20406" s="835">
        <v>41425</v>
      </c>
      <c r="AK20406" s="831">
        <v>902857</v>
      </c>
    </row>
    <row r="20407" spans="32:37">
      <c r="AF20407" s="831" t="s">
        <v>10914</v>
      </c>
      <c r="AG20407" s="831" t="s">
        <v>2674</v>
      </c>
      <c r="AH20407" s="831" t="s">
        <v>555</v>
      </c>
      <c r="AI20407" s="831">
        <v>0</v>
      </c>
      <c r="AJ20407" s="835">
        <v>41425</v>
      </c>
      <c r="AK20407" s="831">
        <v>310274630</v>
      </c>
    </row>
    <row r="20408" spans="32:37">
      <c r="AF20408" s="831" t="s">
        <v>10915</v>
      </c>
      <c r="AG20408" s="831" t="s">
        <v>2674</v>
      </c>
      <c r="AH20408" s="831" t="s">
        <v>554</v>
      </c>
      <c r="AI20408" s="831">
        <v>0</v>
      </c>
      <c r="AJ20408" s="835">
        <v>41425</v>
      </c>
      <c r="AK20408" s="831">
        <v>296232200</v>
      </c>
    </row>
    <row r="20409" spans="32:37">
      <c r="AF20409" s="831" t="s">
        <v>10916</v>
      </c>
      <c r="AG20409" s="831" t="s">
        <v>2674</v>
      </c>
      <c r="AH20409" s="831" t="s">
        <v>553</v>
      </c>
      <c r="AI20409" s="831">
        <v>0</v>
      </c>
      <c r="AJ20409" s="835">
        <v>41425</v>
      </c>
      <c r="AK20409" s="831">
        <v>0</v>
      </c>
    </row>
    <row r="20410" spans="32:37">
      <c r="AF20410" s="831" t="s">
        <v>10917</v>
      </c>
      <c r="AG20410" s="831" t="s">
        <v>2674</v>
      </c>
      <c r="AH20410" s="831" t="s">
        <v>552</v>
      </c>
      <c r="AI20410" s="831">
        <v>0</v>
      </c>
      <c r="AJ20410" s="835">
        <v>41425</v>
      </c>
      <c r="AK20410" s="831">
        <v>0</v>
      </c>
    </row>
    <row r="20411" spans="32:37">
      <c r="AF20411" s="831" t="s">
        <v>10918</v>
      </c>
      <c r="AG20411" s="831" t="s">
        <v>2674</v>
      </c>
      <c r="AH20411" s="831" t="s">
        <v>551</v>
      </c>
      <c r="AI20411" s="831">
        <v>0</v>
      </c>
      <c r="AJ20411" s="835">
        <v>41425</v>
      </c>
      <c r="AK20411" s="831">
        <v>2323653</v>
      </c>
    </row>
    <row r="20412" spans="32:37">
      <c r="AF20412" s="831" t="s">
        <v>10919</v>
      </c>
      <c r="AG20412" s="831" t="s">
        <v>2674</v>
      </c>
      <c r="AH20412" s="831" t="s">
        <v>550</v>
      </c>
      <c r="AI20412" s="831">
        <v>0</v>
      </c>
      <c r="AJ20412" s="835">
        <v>41425</v>
      </c>
      <c r="AK20412" s="831">
        <v>103327866</v>
      </c>
    </row>
    <row r="20413" spans="32:37">
      <c r="AF20413" s="831" t="s">
        <v>10920</v>
      </c>
      <c r="AG20413" s="831" t="s">
        <v>2674</v>
      </c>
      <c r="AH20413" s="831" t="s">
        <v>562</v>
      </c>
      <c r="AI20413" s="831">
        <v>0</v>
      </c>
      <c r="AJ20413" s="835">
        <v>41425</v>
      </c>
      <c r="AK20413" s="831">
        <v>0.78405000000000002</v>
      </c>
    </row>
    <row r="20414" spans="32:37">
      <c r="AF20414" s="831" t="s">
        <v>10921</v>
      </c>
      <c r="AG20414" s="831" t="s">
        <v>2674</v>
      </c>
      <c r="AH20414" s="831" t="s">
        <v>2698</v>
      </c>
      <c r="AI20414" s="831">
        <v>0</v>
      </c>
      <c r="AJ20414" s="835">
        <v>41425</v>
      </c>
      <c r="AK20414" s="831">
        <v>0.78405000000000002</v>
      </c>
    </row>
    <row r="20415" spans="32:37">
      <c r="AF20415" s="831" t="s">
        <v>10922</v>
      </c>
      <c r="AG20415" s="831" t="s">
        <v>2674</v>
      </c>
      <c r="AH20415" s="831" t="s">
        <v>560</v>
      </c>
      <c r="AI20415" s="831">
        <v>0</v>
      </c>
      <c r="AJ20415" s="835">
        <v>41425</v>
      </c>
      <c r="AK20415" s="831">
        <v>0.78410999999999997</v>
      </c>
    </row>
    <row r="20416" spans="32:37">
      <c r="AF20416" s="831" t="s">
        <v>10923</v>
      </c>
      <c r="AG20416" s="831" t="s">
        <v>2674</v>
      </c>
      <c r="AH20416" s="831" t="s">
        <v>559</v>
      </c>
      <c r="AI20416" s="831">
        <v>0</v>
      </c>
      <c r="AJ20416" s="835">
        <v>41425</v>
      </c>
      <c r="AK20416" s="831">
        <v>0.78434999999999999</v>
      </c>
    </row>
    <row r="20417" spans="32:37">
      <c r="AF20417" s="831" t="s">
        <v>10924</v>
      </c>
      <c r="AG20417" s="831" t="s">
        <v>2674</v>
      </c>
      <c r="AH20417" s="831" t="s">
        <v>568</v>
      </c>
      <c r="AI20417" s="831">
        <v>0</v>
      </c>
      <c r="AJ20417" s="835">
        <v>41425</v>
      </c>
      <c r="AK20417" s="831">
        <v>403269368.46153843</v>
      </c>
    </row>
    <row r="20418" spans="32:37">
      <c r="AF20418" s="831" t="s">
        <v>10925</v>
      </c>
      <c r="AG20418" s="831" t="s">
        <v>2674</v>
      </c>
      <c r="AH20418" s="831" t="s">
        <v>569</v>
      </c>
      <c r="AI20418" s="831">
        <v>0</v>
      </c>
      <c r="AJ20418" s="835">
        <v>41425</v>
      </c>
      <c r="AK20418" s="831">
        <v>489498908.69230771</v>
      </c>
    </row>
    <row r="20419" spans="32:37">
      <c r="AF20419" s="831" t="s">
        <v>10926</v>
      </c>
      <c r="AG20419" s="831" t="s">
        <v>2674</v>
      </c>
      <c r="AH20419" s="831" t="s">
        <v>570</v>
      </c>
      <c r="AI20419" s="831">
        <v>0</v>
      </c>
      <c r="AJ20419" s="835">
        <v>41425</v>
      </c>
      <c r="AK20419" s="831">
        <v>98165424.230769232</v>
      </c>
    </row>
    <row r="20420" spans="32:37">
      <c r="AF20420" s="831" t="s">
        <v>10927</v>
      </c>
      <c r="AG20420" s="831" t="s">
        <v>2674</v>
      </c>
      <c r="AH20420" s="831" t="s">
        <v>571</v>
      </c>
      <c r="AI20420" s="831">
        <v>0</v>
      </c>
      <c r="AJ20420" s="835">
        <v>41425</v>
      </c>
      <c r="AK20420" s="831">
        <v>207953338.07692307</v>
      </c>
    </row>
    <row r="20421" spans="32:37">
      <c r="AF20421" s="831" t="s">
        <v>10928</v>
      </c>
      <c r="AG20421" s="831" t="s">
        <v>2674</v>
      </c>
      <c r="AH20421" s="831" t="s">
        <v>573</v>
      </c>
      <c r="AI20421" s="831">
        <v>0</v>
      </c>
      <c r="AJ20421" s="835">
        <v>41425</v>
      </c>
      <c r="AK20421" s="831">
        <v>543238144.33333337</v>
      </c>
    </row>
    <row r="20422" spans="32:37">
      <c r="AF20422" s="831" t="s">
        <v>10929</v>
      </c>
      <c r="AG20422" s="831" t="s">
        <v>2674</v>
      </c>
      <c r="AH20422" s="831" t="s">
        <v>574</v>
      </c>
      <c r="AI20422" s="831">
        <v>0</v>
      </c>
      <c r="AJ20422" s="835">
        <v>41425</v>
      </c>
      <c r="AK20422" s="831">
        <v>451779902.5</v>
      </c>
    </row>
    <row r="20423" spans="32:37">
      <c r="AF20423" s="831" t="s">
        <v>10930</v>
      </c>
      <c r="AG20423" s="831" t="s">
        <v>2674</v>
      </c>
      <c r="AH20423" s="831" t="s">
        <v>575</v>
      </c>
      <c r="AI20423" s="831">
        <v>0</v>
      </c>
      <c r="AJ20423" s="835">
        <v>41425</v>
      </c>
      <c r="AK20423" s="831">
        <v>101069296.16666667</v>
      </c>
    </row>
    <row r="20424" spans="32:37">
      <c r="AF20424" s="831" t="s">
        <v>10931</v>
      </c>
      <c r="AG20424" s="831" t="s">
        <v>2674</v>
      </c>
      <c r="AH20424" s="831" t="s">
        <v>576</v>
      </c>
      <c r="AI20424" s="831">
        <v>0</v>
      </c>
      <c r="AJ20424" s="835">
        <v>41425</v>
      </c>
      <c r="AK20424" s="831">
        <v>247239046.16666666</v>
      </c>
    </row>
    <row r="20425" spans="32:37">
      <c r="AF20425" s="831" t="s">
        <v>10932</v>
      </c>
      <c r="AG20425" s="831" t="s">
        <v>2674</v>
      </c>
      <c r="AH20425" s="831" t="s">
        <v>572</v>
      </c>
      <c r="AI20425" s="831">
        <v>0</v>
      </c>
      <c r="AJ20425" s="835">
        <v>41425</v>
      </c>
      <c r="AK20425" s="831">
        <v>21530747</v>
      </c>
    </row>
    <row r="20426" spans="32:37">
      <c r="AF20426" s="831" t="s">
        <v>10933</v>
      </c>
      <c r="AG20426" s="831" t="s">
        <v>2674</v>
      </c>
      <c r="AH20426" s="831" t="s">
        <v>577</v>
      </c>
      <c r="AI20426" s="831">
        <v>0</v>
      </c>
      <c r="AJ20426" s="835">
        <v>41425</v>
      </c>
      <c r="AK20426" s="831">
        <v>110403012</v>
      </c>
    </row>
    <row r="20427" spans="32:37">
      <c r="AF20427" s="831" t="s">
        <v>10934</v>
      </c>
      <c r="AG20427" s="831" t="s">
        <v>2674</v>
      </c>
      <c r="AH20427" s="831" t="s">
        <v>3042</v>
      </c>
      <c r="AI20427" s="831">
        <v>0</v>
      </c>
      <c r="AJ20427" s="835">
        <v>41425</v>
      </c>
      <c r="AK20427" s="831">
        <v>-27020607</v>
      </c>
    </row>
    <row r="20428" spans="32:37">
      <c r="AF20428" s="831" t="s">
        <v>10935</v>
      </c>
      <c r="AG20428" s="831" t="s">
        <v>2674</v>
      </c>
      <c r="AH20428" s="831" t="s">
        <v>3044</v>
      </c>
      <c r="AI20428" s="831">
        <v>0</v>
      </c>
      <c r="AJ20428" s="835">
        <v>41425</v>
      </c>
      <c r="AK20428" s="831">
        <v>-4070350</v>
      </c>
    </row>
    <row r="20429" spans="32:37">
      <c r="AF20429" s="831" t="s">
        <v>10936</v>
      </c>
      <c r="AG20429" s="831" t="s">
        <v>2674</v>
      </c>
      <c r="AH20429" s="831" t="s">
        <v>580</v>
      </c>
      <c r="AI20429" s="831">
        <v>0</v>
      </c>
      <c r="AJ20429" s="835">
        <v>41425</v>
      </c>
      <c r="AK20429" s="831">
        <v>-55847177</v>
      </c>
    </row>
    <row r="20430" spans="32:37">
      <c r="AF20430" s="831" t="s">
        <v>10937</v>
      </c>
      <c r="AG20430" s="831" t="s">
        <v>2674</v>
      </c>
      <c r="AH20430" s="831" t="s">
        <v>581</v>
      </c>
      <c r="AI20430" s="831">
        <v>0</v>
      </c>
      <c r="AJ20430" s="835">
        <v>41425</v>
      </c>
      <c r="AK20430" s="831">
        <v>3833349</v>
      </c>
    </row>
    <row r="20431" spans="32:37">
      <c r="AF20431" s="831" t="s">
        <v>10938</v>
      </c>
      <c r="AG20431" s="831" t="s">
        <v>2674</v>
      </c>
      <c r="AH20431" s="831" t="s">
        <v>105</v>
      </c>
      <c r="AI20431" s="831">
        <v>0</v>
      </c>
      <c r="AJ20431" s="835">
        <v>41425</v>
      </c>
      <c r="AK20431" s="831">
        <v>274684797</v>
      </c>
    </row>
    <row r="20432" spans="32:37">
      <c r="AF20432" s="831" t="s">
        <v>10939</v>
      </c>
      <c r="AG20432" s="831" t="s">
        <v>2674</v>
      </c>
      <c r="AH20432" s="831" t="s">
        <v>3049</v>
      </c>
      <c r="AI20432" s="831">
        <v>0</v>
      </c>
      <c r="AJ20432" s="835">
        <v>41425</v>
      </c>
      <c r="AK20432" s="831">
        <v>474215187</v>
      </c>
    </row>
    <row r="20433" spans="32:37">
      <c r="AF20433" s="831" t="s">
        <v>10940</v>
      </c>
      <c r="AG20433" s="831" t="s">
        <v>2674</v>
      </c>
      <c r="AH20433" s="831" t="s">
        <v>103</v>
      </c>
      <c r="AI20433" s="831">
        <v>0</v>
      </c>
      <c r="AJ20433" s="835">
        <v>41425</v>
      </c>
      <c r="AK20433" s="831">
        <v>199530390</v>
      </c>
    </row>
    <row r="20434" spans="32:37">
      <c r="AF20434" s="831" t="s">
        <v>10941</v>
      </c>
      <c r="AG20434" s="831" t="s">
        <v>2674</v>
      </c>
      <c r="AH20434" s="831" t="s">
        <v>182</v>
      </c>
      <c r="AI20434" s="831">
        <v>0</v>
      </c>
      <c r="AJ20434" s="835">
        <v>41425</v>
      </c>
      <c r="AK20434" s="831">
        <v>56542824</v>
      </c>
    </row>
    <row r="20435" spans="32:37">
      <c r="AF20435" s="831" t="s">
        <v>10942</v>
      </c>
      <c r="AG20435" s="831" t="s">
        <v>2674</v>
      </c>
      <c r="AH20435" s="831" t="s">
        <v>6600</v>
      </c>
      <c r="AI20435" s="831">
        <v>0</v>
      </c>
      <c r="AJ20435" s="835">
        <v>41425</v>
      </c>
      <c r="AK20435" s="831">
        <v>21530747</v>
      </c>
    </row>
    <row r="20436" spans="32:37">
      <c r="AF20436" s="831" t="s">
        <v>10943</v>
      </c>
      <c r="AG20436" s="831" t="s">
        <v>2674</v>
      </c>
      <c r="AH20436" s="831" t="s">
        <v>6602</v>
      </c>
      <c r="AI20436" s="831">
        <v>0</v>
      </c>
      <c r="AJ20436" s="835">
        <v>41425</v>
      </c>
      <c r="AK20436" s="831">
        <v>10888133</v>
      </c>
    </row>
    <row r="20437" spans="32:37">
      <c r="AF20437" s="831" t="s">
        <v>10944</v>
      </c>
      <c r="AG20437" s="831" t="s">
        <v>2674</v>
      </c>
      <c r="AH20437" s="831" t="s">
        <v>650</v>
      </c>
      <c r="AI20437" s="831">
        <v>0</v>
      </c>
      <c r="AJ20437" s="835">
        <v>41425</v>
      </c>
      <c r="AK20437" s="831">
        <v>170020812.07692307</v>
      </c>
    </row>
    <row r="20438" spans="32:37">
      <c r="AF20438" s="831" t="s">
        <v>10945</v>
      </c>
      <c r="AG20438" s="831" t="s">
        <v>2674</v>
      </c>
      <c r="AH20438" s="831" t="s">
        <v>655</v>
      </c>
      <c r="AI20438" s="831">
        <v>0</v>
      </c>
      <c r="AJ20438" s="835">
        <v>41425</v>
      </c>
      <c r="AK20438" s="831">
        <v>2273827</v>
      </c>
    </row>
    <row r="20439" spans="32:37">
      <c r="AF20439" s="831" t="s">
        <v>10946</v>
      </c>
      <c r="AG20439" s="831" t="s">
        <v>2674</v>
      </c>
      <c r="AH20439" s="831" t="s">
        <v>546</v>
      </c>
      <c r="AI20439" s="831">
        <v>0</v>
      </c>
      <c r="AJ20439" s="835">
        <v>41455</v>
      </c>
      <c r="AK20439" s="831">
        <v>514798833</v>
      </c>
    </row>
    <row r="20440" spans="32:37">
      <c r="AF20440" s="831" t="s">
        <v>10947</v>
      </c>
      <c r="AG20440" s="831" t="s">
        <v>2674</v>
      </c>
      <c r="AH20440" s="831" t="s">
        <v>370</v>
      </c>
      <c r="AI20440" s="831">
        <v>0</v>
      </c>
      <c r="AJ20440" s="835">
        <v>41455</v>
      </c>
      <c r="AK20440" s="831">
        <v>641101315</v>
      </c>
    </row>
    <row r="20441" spans="32:37">
      <c r="AF20441" s="831" t="s">
        <v>10948</v>
      </c>
      <c r="AG20441" s="831" t="s">
        <v>2674</v>
      </c>
      <c r="AH20441" s="831" t="s">
        <v>126</v>
      </c>
      <c r="AI20441" s="831">
        <v>0</v>
      </c>
      <c r="AJ20441" s="835">
        <v>41455</v>
      </c>
      <c r="AK20441" s="831">
        <v>108060358</v>
      </c>
    </row>
    <row r="20442" spans="32:37">
      <c r="AF20442" s="831" t="s">
        <v>10949</v>
      </c>
      <c r="AG20442" s="831" t="s">
        <v>2674</v>
      </c>
      <c r="AH20442" s="831" t="s">
        <v>268</v>
      </c>
      <c r="AI20442" s="831">
        <v>0</v>
      </c>
      <c r="AJ20442" s="835">
        <v>41455</v>
      </c>
      <c r="AK20442" s="831">
        <v>13297133</v>
      </c>
    </row>
    <row r="20443" spans="32:37">
      <c r="AF20443" s="831" t="s">
        <v>10950</v>
      </c>
      <c r="AG20443" s="831" t="s">
        <v>2674</v>
      </c>
      <c r="AH20443" s="831" t="s">
        <v>547</v>
      </c>
      <c r="AI20443" s="831">
        <v>0</v>
      </c>
      <c r="AJ20443" s="835">
        <v>41455</v>
      </c>
      <c r="AK20443" s="831">
        <v>511487760</v>
      </c>
    </row>
    <row r="20444" spans="32:37">
      <c r="AF20444" s="831" t="s">
        <v>10951</v>
      </c>
      <c r="AG20444" s="831" t="s">
        <v>2674</v>
      </c>
      <c r="AH20444" s="831" t="s">
        <v>548</v>
      </c>
      <c r="AI20444" s="831">
        <v>0</v>
      </c>
      <c r="AJ20444" s="835">
        <v>41455</v>
      </c>
      <c r="AK20444" s="831">
        <v>96883184</v>
      </c>
    </row>
    <row r="20445" spans="32:37">
      <c r="AF20445" s="831" t="s">
        <v>10952</v>
      </c>
      <c r="AG20445" s="831" t="s">
        <v>2674</v>
      </c>
      <c r="AH20445" s="831" t="s">
        <v>549</v>
      </c>
      <c r="AI20445" s="831">
        <v>0</v>
      </c>
      <c r="AJ20445" s="835">
        <v>41455</v>
      </c>
      <c r="AK20445" s="831">
        <v>342628450</v>
      </c>
    </row>
    <row r="20446" spans="32:37">
      <c r="AF20446" s="831" t="s">
        <v>10953</v>
      </c>
      <c r="AG20446" s="831" t="s">
        <v>2674</v>
      </c>
      <c r="AH20446" s="831" t="s">
        <v>192</v>
      </c>
      <c r="AI20446" s="831">
        <v>0</v>
      </c>
      <c r="AJ20446" s="835">
        <v>41455</v>
      </c>
      <c r="AK20446" s="831">
        <v>-11546784</v>
      </c>
    </row>
    <row r="20447" spans="32:37">
      <c r="AF20447" s="831" t="s">
        <v>10954</v>
      </c>
      <c r="AG20447" s="831" t="s">
        <v>2674</v>
      </c>
      <c r="AH20447" s="831" t="s">
        <v>558</v>
      </c>
      <c r="AI20447" s="831">
        <v>0</v>
      </c>
      <c r="AJ20447" s="835">
        <v>41455</v>
      </c>
      <c r="AK20447" s="831">
        <v>533040957</v>
      </c>
    </row>
    <row r="20448" spans="32:37">
      <c r="AF20448" s="831" t="s">
        <v>10955</v>
      </c>
      <c r="AG20448" s="831" t="s">
        <v>2674</v>
      </c>
      <c r="AH20448" s="831" t="s">
        <v>65</v>
      </c>
      <c r="AI20448" s="831">
        <v>0</v>
      </c>
      <c r="AJ20448" s="835">
        <v>41455</v>
      </c>
      <c r="AK20448" s="831">
        <v>60193699</v>
      </c>
    </row>
    <row r="20449" spans="32:37">
      <c r="AF20449" s="831" t="s">
        <v>10956</v>
      </c>
      <c r="AG20449" s="831" t="s">
        <v>2674</v>
      </c>
      <c r="AH20449" s="831" t="s">
        <v>89</v>
      </c>
      <c r="AI20449" s="831">
        <v>0</v>
      </c>
      <c r="AJ20449" s="835">
        <v>41455</v>
      </c>
      <c r="AK20449" s="831">
        <v>136633</v>
      </c>
    </row>
    <row r="20450" spans="32:37">
      <c r="AF20450" s="831" t="s">
        <v>10957</v>
      </c>
      <c r="AG20450" s="831" t="s">
        <v>2674</v>
      </c>
      <c r="AH20450" s="831" t="s">
        <v>557</v>
      </c>
      <c r="AI20450" s="831">
        <v>0</v>
      </c>
      <c r="AJ20450" s="835">
        <v>41455</v>
      </c>
      <c r="AK20450" s="831">
        <v>142092</v>
      </c>
    </row>
    <row r="20451" spans="32:37">
      <c r="AF20451" s="831" t="s">
        <v>10958</v>
      </c>
      <c r="AG20451" s="831" t="s">
        <v>2674</v>
      </c>
      <c r="AH20451" s="831" t="s">
        <v>29</v>
      </c>
      <c r="AI20451" s="831">
        <v>0</v>
      </c>
      <c r="AJ20451" s="835">
        <v>41455</v>
      </c>
      <c r="AK20451" s="831">
        <v>1424399.06</v>
      </c>
    </row>
    <row r="20452" spans="32:37">
      <c r="AF20452" s="831" t="s">
        <v>10959</v>
      </c>
      <c r="AG20452" s="831" t="s">
        <v>2674</v>
      </c>
      <c r="AH20452" s="831" t="s">
        <v>2688</v>
      </c>
      <c r="AI20452" s="831">
        <v>0</v>
      </c>
      <c r="AJ20452" s="835">
        <v>41455</v>
      </c>
      <c r="AK20452" s="831">
        <v>2204366.9500000002</v>
      </c>
    </row>
    <row r="20453" spans="32:37">
      <c r="AF20453" s="831" t="s">
        <v>10960</v>
      </c>
      <c r="AG20453" s="831" t="s">
        <v>2674</v>
      </c>
      <c r="AH20453" s="831" t="s">
        <v>556</v>
      </c>
      <c r="AI20453" s="831">
        <v>0</v>
      </c>
      <c r="AJ20453" s="835">
        <v>41455</v>
      </c>
      <c r="AK20453" s="831">
        <v>902857</v>
      </c>
    </row>
    <row r="20454" spans="32:37">
      <c r="AF20454" s="831" t="s">
        <v>10961</v>
      </c>
      <c r="AG20454" s="831" t="s">
        <v>2674</v>
      </c>
      <c r="AH20454" s="831" t="s">
        <v>555</v>
      </c>
      <c r="AI20454" s="831">
        <v>0</v>
      </c>
      <c r="AJ20454" s="835">
        <v>41455</v>
      </c>
      <c r="AK20454" s="831">
        <v>353611880</v>
      </c>
    </row>
    <row r="20455" spans="32:37">
      <c r="AF20455" s="831" t="s">
        <v>10962</v>
      </c>
      <c r="AG20455" s="831" t="s">
        <v>2674</v>
      </c>
      <c r="AH20455" s="831" t="s">
        <v>554</v>
      </c>
      <c r="AI20455" s="831">
        <v>0</v>
      </c>
      <c r="AJ20455" s="835">
        <v>41455</v>
      </c>
      <c r="AK20455" s="831">
        <v>343079700</v>
      </c>
    </row>
    <row r="20456" spans="32:37">
      <c r="AF20456" s="831" t="s">
        <v>10963</v>
      </c>
      <c r="AG20456" s="831" t="s">
        <v>2674</v>
      </c>
      <c r="AH20456" s="831" t="s">
        <v>553</v>
      </c>
      <c r="AI20456" s="831">
        <v>0</v>
      </c>
      <c r="AJ20456" s="835">
        <v>41455</v>
      </c>
      <c r="AK20456" s="831">
        <v>0</v>
      </c>
    </row>
    <row r="20457" spans="32:37">
      <c r="AF20457" s="831" t="s">
        <v>10964</v>
      </c>
      <c r="AG20457" s="831" t="s">
        <v>2674</v>
      </c>
      <c r="AH20457" s="831" t="s">
        <v>552</v>
      </c>
      <c r="AI20457" s="831">
        <v>0</v>
      </c>
      <c r="AJ20457" s="835">
        <v>41455</v>
      </c>
      <c r="AK20457" s="831">
        <v>0</v>
      </c>
    </row>
    <row r="20458" spans="32:37">
      <c r="AF20458" s="831" t="s">
        <v>10965</v>
      </c>
      <c r="AG20458" s="831" t="s">
        <v>2674</v>
      </c>
      <c r="AH20458" s="831" t="s">
        <v>551</v>
      </c>
      <c r="AI20458" s="831">
        <v>0</v>
      </c>
      <c r="AJ20458" s="835">
        <v>41455</v>
      </c>
      <c r="AK20458" s="831">
        <v>1176193.06</v>
      </c>
    </row>
    <row r="20459" spans="32:37">
      <c r="AF20459" s="831" t="s">
        <v>10966</v>
      </c>
      <c r="AG20459" s="831" t="s">
        <v>2674</v>
      </c>
      <c r="AH20459" s="831" t="s">
        <v>550</v>
      </c>
      <c r="AI20459" s="831">
        <v>0</v>
      </c>
      <c r="AJ20459" s="835">
        <v>41455</v>
      </c>
      <c r="AK20459" s="831">
        <v>105651356</v>
      </c>
    </row>
    <row r="20460" spans="32:37">
      <c r="AF20460" s="831" t="s">
        <v>10967</v>
      </c>
      <c r="AG20460" s="831" t="s">
        <v>2674</v>
      </c>
      <c r="AH20460" s="831" t="s">
        <v>562</v>
      </c>
      <c r="AI20460" s="831">
        <v>0</v>
      </c>
      <c r="AJ20460" s="835">
        <v>41455</v>
      </c>
      <c r="AK20460" s="831">
        <v>0.78395000000000004</v>
      </c>
    </row>
    <row r="20461" spans="32:37">
      <c r="AF20461" s="831" t="s">
        <v>10968</v>
      </c>
      <c r="AG20461" s="831" t="s">
        <v>2674</v>
      </c>
      <c r="AH20461" s="831" t="s">
        <v>2698</v>
      </c>
      <c r="AI20461" s="831">
        <v>0</v>
      </c>
      <c r="AJ20461" s="835">
        <v>41455</v>
      </c>
      <c r="AK20461" s="831">
        <v>0.78405000000000002</v>
      </c>
    </row>
    <row r="20462" spans="32:37">
      <c r="AF20462" s="831" t="s">
        <v>10969</v>
      </c>
      <c r="AG20462" s="831" t="s">
        <v>2674</v>
      </c>
      <c r="AH20462" s="831" t="s">
        <v>560</v>
      </c>
      <c r="AI20462" s="831">
        <v>0</v>
      </c>
      <c r="AJ20462" s="835">
        <v>41455</v>
      </c>
      <c r="AK20462" s="831">
        <v>0.78408333333333335</v>
      </c>
    </row>
    <row r="20463" spans="32:37">
      <c r="AF20463" s="831" t="s">
        <v>10970</v>
      </c>
      <c r="AG20463" s="831" t="s">
        <v>2674</v>
      </c>
      <c r="AH20463" s="831" t="s">
        <v>559</v>
      </c>
      <c r="AI20463" s="831">
        <v>0</v>
      </c>
      <c r="AJ20463" s="835">
        <v>41455</v>
      </c>
      <c r="AK20463" s="831">
        <v>0.78425833333333339</v>
      </c>
    </row>
    <row r="20464" spans="32:37">
      <c r="AF20464" s="831" t="s">
        <v>10971</v>
      </c>
      <c r="AG20464" s="831" t="s">
        <v>2674</v>
      </c>
      <c r="AH20464" s="831" t="s">
        <v>568</v>
      </c>
      <c r="AI20464" s="831">
        <v>0</v>
      </c>
      <c r="AJ20464" s="835">
        <v>41455</v>
      </c>
      <c r="AK20464" s="831">
        <v>416775328.76923078</v>
      </c>
    </row>
    <row r="20465" spans="32:37">
      <c r="AF20465" s="831" t="s">
        <v>10972</v>
      </c>
      <c r="AG20465" s="831" t="s">
        <v>2674</v>
      </c>
      <c r="AH20465" s="831" t="s">
        <v>569</v>
      </c>
      <c r="AI20465" s="831">
        <v>0</v>
      </c>
      <c r="AJ20465" s="835">
        <v>41455</v>
      </c>
      <c r="AK20465" s="831">
        <v>507070422.30769229</v>
      </c>
    </row>
    <row r="20466" spans="32:37">
      <c r="AF20466" s="831" t="s">
        <v>10973</v>
      </c>
      <c r="AG20466" s="831" t="s">
        <v>2674</v>
      </c>
      <c r="AH20466" s="831" t="s">
        <v>570</v>
      </c>
      <c r="AI20466" s="831">
        <v>0</v>
      </c>
      <c r="AJ20466" s="835">
        <v>41455</v>
      </c>
      <c r="AK20466" s="831">
        <v>99514662.461538464</v>
      </c>
    </row>
    <row r="20467" spans="32:37">
      <c r="AF20467" s="831" t="s">
        <v>10974</v>
      </c>
      <c r="AG20467" s="831" t="s">
        <v>2674</v>
      </c>
      <c r="AH20467" s="831" t="s">
        <v>571</v>
      </c>
      <c r="AI20467" s="831">
        <v>0</v>
      </c>
      <c r="AJ20467" s="835">
        <v>41455</v>
      </c>
      <c r="AK20467" s="831">
        <v>220626949.15384614</v>
      </c>
    </row>
    <row r="20468" spans="32:37">
      <c r="AF20468" s="831" t="s">
        <v>10975</v>
      </c>
      <c r="AG20468" s="831" t="s">
        <v>2674</v>
      </c>
      <c r="AH20468" s="831" t="s">
        <v>573</v>
      </c>
      <c r="AI20468" s="831">
        <v>0</v>
      </c>
      <c r="AJ20468" s="835">
        <v>41455</v>
      </c>
      <c r="AK20468" s="831">
        <v>557218597.28571427</v>
      </c>
    </row>
    <row r="20469" spans="32:37">
      <c r="AF20469" s="831" t="s">
        <v>10976</v>
      </c>
      <c r="AG20469" s="831" t="s">
        <v>2674</v>
      </c>
      <c r="AH20469" s="831" t="s">
        <v>574</v>
      </c>
      <c r="AI20469" s="831">
        <v>0</v>
      </c>
      <c r="AJ20469" s="835">
        <v>41455</v>
      </c>
      <c r="AK20469" s="831">
        <v>460782606.85714287</v>
      </c>
    </row>
    <row r="20470" spans="32:37">
      <c r="AF20470" s="831" t="s">
        <v>10977</v>
      </c>
      <c r="AG20470" s="831" t="s">
        <v>2674</v>
      </c>
      <c r="AH20470" s="831" t="s">
        <v>575</v>
      </c>
      <c r="AI20470" s="831">
        <v>0</v>
      </c>
      <c r="AJ20470" s="835">
        <v>41455</v>
      </c>
      <c r="AK20470" s="831">
        <v>102068019.28571428</v>
      </c>
    </row>
    <row r="20471" spans="32:37">
      <c r="AF20471" s="831" t="s">
        <v>10978</v>
      </c>
      <c r="AG20471" s="831" t="s">
        <v>2674</v>
      </c>
      <c r="AH20471" s="831" t="s">
        <v>576</v>
      </c>
      <c r="AI20471" s="831">
        <v>0</v>
      </c>
      <c r="AJ20471" s="835">
        <v>41455</v>
      </c>
      <c r="AK20471" s="831">
        <v>256882402</v>
      </c>
    </row>
    <row r="20472" spans="32:37">
      <c r="AF20472" s="831" t="s">
        <v>10979</v>
      </c>
      <c r="AG20472" s="831" t="s">
        <v>2674</v>
      </c>
      <c r="AH20472" s="831" t="s">
        <v>572</v>
      </c>
      <c r="AI20472" s="831">
        <v>0</v>
      </c>
      <c r="AJ20472" s="835">
        <v>41455</v>
      </c>
      <c r="AK20472" s="831">
        <v>22784991</v>
      </c>
    </row>
    <row r="20473" spans="32:37">
      <c r="AF20473" s="831" t="s">
        <v>10980</v>
      </c>
      <c r="AG20473" s="831" t="s">
        <v>2674</v>
      </c>
      <c r="AH20473" s="831" t="s">
        <v>577</v>
      </c>
      <c r="AI20473" s="831">
        <v>0</v>
      </c>
      <c r="AJ20473" s="835">
        <v>41455</v>
      </c>
      <c r="AK20473" s="831">
        <v>112999724</v>
      </c>
    </row>
    <row r="20474" spans="32:37">
      <c r="AF20474" s="831" t="s">
        <v>10981</v>
      </c>
      <c r="AG20474" s="831" t="s">
        <v>2674</v>
      </c>
      <c r="AH20474" s="831" t="s">
        <v>3042</v>
      </c>
      <c r="AI20474" s="831">
        <v>0</v>
      </c>
      <c r="AJ20474" s="835">
        <v>41455</v>
      </c>
      <c r="AK20474" s="831">
        <v>-27618860</v>
      </c>
    </row>
    <row r="20475" spans="32:37">
      <c r="AF20475" s="831" t="s">
        <v>10982</v>
      </c>
      <c r="AG20475" s="831" t="s">
        <v>2674</v>
      </c>
      <c r="AH20475" s="831" t="s">
        <v>3044</v>
      </c>
      <c r="AI20475" s="831">
        <v>0</v>
      </c>
      <c r="AJ20475" s="835">
        <v>41455</v>
      </c>
      <c r="AK20475" s="831">
        <v>-4183071</v>
      </c>
    </row>
    <row r="20476" spans="32:37">
      <c r="AF20476" s="831" t="s">
        <v>10983</v>
      </c>
      <c r="AG20476" s="831" t="s">
        <v>2674</v>
      </c>
      <c r="AH20476" s="831" t="s">
        <v>580</v>
      </c>
      <c r="AI20476" s="831">
        <v>0</v>
      </c>
      <c r="AJ20476" s="835">
        <v>41455</v>
      </c>
      <c r="AK20476" s="831">
        <v>-56400279</v>
      </c>
    </row>
    <row r="20477" spans="32:37">
      <c r="AF20477" s="831" t="s">
        <v>10984</v>
      </c>
      <c r="AG20477" s="831" t="s">
        <v>2674</v>
      </c>
      <c r="AH20477" s="831" t="s">
        <v>581</v>
      </c>
      <c r="AI20477" s="831">
        <v>0</v>
      </c>
      <c r="AJ20477" s="835">
        <v>41455</v>
      </c>
      <c r="AK20477" s="831">
        <v>4204371</v>
      </c>
    </row>
    <row r="20478" spans="32:37">
      <c r="AF20478" s="831" t="s">
        <v>10985</v>
      </c>
      <c r="AG20478" s="831" t="s">
        <v>2674</v>
      </c>
      <c r="AH20478" s="831" t="s">
        <v>105</v>
      </c>
      <c r="AI20478" s="831">
        <v>0</v>
      </c>
      <c r="AJ20478" s="835">
        <v>41455</v>
      </c>
      <c r="AK20478" s="831">
        <v>314742537</v>
      </c>
    </row>
    <row r="20479" spans="32:37">
      <c r="AF20479" s="831" t="s">
        <v>10986</v>
      </c>
      <c r="AG20479" s="831" t="s">
        <v>2674</v>
      </c>
      <c r="AH20479" s="831" t="s">
        <v>3049</v>
      </c>
      <c r="AI20479" s="831">
        <v>0</v>
      </c>
      <c r="AJ20479" s="835">
        <v>41455</v>
      </c>
      <c r="AK20479" s="831">
        <v>517978918</v>
      </c>
    </row>
    <row r="20480" spans="32:37">
      <c r="AF20480" s="831" t="s">
        <v>10987</v>
      </c>
      <c r="AG20480" s="831" t="s">
        <v>2674</v>
      </c>
      <c r="AH20480" s="831" t="s">
        <v>103</v>
      </c>
      <c r="AI20480" s="831">
        <v>0</v>
      </c>
      <c r="AJ20480" s="835">
        <v>41455</v>
      </c>
      <c r="AK20480" s="831">
        <v>203236381</v>
      </c>
    </row>
    <row r="20481" spans="32:37">
      <c r="AF20481" s="831" t="s">
        <v>10988</v>
      </c>
      <c r="AG20481" s="831" t="s">
        <v>2674</v>
      </c>
      <c r="AH20481" s="831" t="s">
        <v>182</v>
      </c>
      <c r="AI20481" s="831">
        <v>0</v>
      </c>
      <c r="AJ20481" s="835">
        <v>41455</v>
      </c>
      <c r="AK20481" s="831">
        <v>57441170</v>
      </c>
    </row>
    <row r="20482" spans="32:37">
      <c r="AF20482" s="831" t="s">
        <v>10989</v>
      </c>
      <c r="AG20482" s="831" t="s">
        <v>2674</v>
      </c>
      <c r="AH20482" s="831" t="s">
        <v>6600</v>
      </c>
      <c r="AI20482" s="831">
        <v>0</v>
      </c>
      <c r="AJ20482" s="835">
        <v>41455</v>
      </c>
      <c r="AK20482" s="831">
        <v>22784991</v>
      </c>
    </row>
    <row r="20483" spans="32:37">
      <c r="AF20483" s="831" t="s">
        <v>10990</v>
      </c>
      <c r="AG20483" s="831" t="s">
        <v>2674</v>
      </c>
      <c r="AH20483" s="831" t="s">
        <v>6602</v>
      </c>
      <c r="AI20483" s="831">
        <v>0</v>
      </c>
      <c r="AJ20483" s="835">
        <v>41455</v>
      </c>
      <c r="AK20483" s="831">
        <v>13297133</v>
      </c>
    </row>
    <row r="20484" spans="32:37">
      <c r="AF20484" s="831" t="s">
        <v>10991</v>
      </c>
      <c r="AG20484" s="831" t="s">
        <v>2674</v>
      </c>
      <c r="AH20484" s="831" t="s">
        <v>650</v>
      </c>
      <c r="AI20484" s="831">
        <v>0</v>
      </c>
      <c r="AJ20484" s="835">
        <v>41455</v>
      </c>
      <c r="AK20484" s="831">
        <v>173391733.15384614</v>
      </c>
    </row>
    <row r="20485" spans="32:37">
      <c r="AF20485" s="831" t="s">
        <v>10992</v>
      </c>
      <c r="AG20485" s="831" t="s">
        <v>2674</v>
      </c>
      <c r="AH20485" s="831" t="s">
        <v>655</v>
      </c>
      <c r="AI20485" s="831">
        <v>0</v>
      </c>
      <c r="AJ20485" s="835">
        <v>41455</v>
      </c>
      <c r="AK20485" s="831">
        <v>1055339.06</v>
      </c>
    </row>
    <row r="20486" spans="32:37">
      <c r="AF20486" s="831" t="s">
        <v>10993</v>
      </c>
      <c r="AG20486" s="831" t="s">
        <v>2674</v>
      </c>
      <c r="AH20486" s="831" t="s">
        <v>546</v>
      </c>
      <c r="AI20486" s="831">
        <v>0</v>
      </c>
      <c r="AJ20486" s="835">
        <v>41486</v>
      </c>
      <c r="AK20486" s="831">
        <v>530405930</v>
      </c>
    </row>
    <row r="20487" spans="32:37">
      <c r="AF20487" s="831" t="s">
        <v>10994</v>
      </c>
      <c r="AG20487" s="831" t="s">
        <v>2674</v>
      </c>
      <c r="AH20487" s="831" t="s">
        <v>370</v>
      </c>
      <c r="AI20487" s="831">
        <v>0</v>
      </c>
      <c r="AJ20487" s="835">
        <v>41486</v>
      </c>
      <c r="AK20487" s="831">
        <v>658328328</v>
      </c>
    </row>
    <row r="20488" spans="32:37">
      <c r="AF20488" s="831" t="s">
        <v>10995</v>
      </c>
      <c r="AG20488" s="831" t="s">
        <v>2674</v>
      </c>
      <c r="AH20488" s="831" t="s">
        <v>126</v>
      </c>
      <c r="AI20488" s="831">
        <v>0</v>
      </c>
      <c r="AJ20488" s="835">
        <v>41486</v>
      </c>
      <c r="AK20488" s="831">
        <v>110887562</v>
      </c>
    </row>
    <row r="20489" spans="32:37">
      <c r="AF20489" s="831" t="s">
        <v>10996</v>
      </c>
      <c r="AG20489" s="831" t="s">
        <v>2674</v>
      </c>
      <c r="AH20489" s="831" t="s">
        <v>268</v>
      </c>
      <c r="AI20489" s="831">
        <v>0</v>
      </c>
      <c r="AJ20489" s="835">
        <v>41486</v>
      </c>
      <c r="AK20489" s="831">
        <v>16124340</v>
      </c>
    </row>
    <row r="20490" spans="32:37">
      <c r="AF20490" s="831" t="s">
        <v>10997</v>
      </c>
      <c r="AG20490" s="831" t="s">
        <v>2674</v>
      </c>
      <c r="AH20490" s="831" t="s">
        <v>547</v>
      </c>
      <c r="AI20490" s="831">
        <v>0</v>
      </c>
      <c r="AJ20490" s="835">
        <v>41486</v>
      </c>
      <c r="AK20490" s="831">
        <v>511487760</v>
      </c>
    </row>
    <row r="20491" spans="32:37">
      <c r="AF20491" s="831" t="s">
        <v>10998</v>
      </c>
      <c r="AG20491" s="831" t="s">
        <v>2674</v>
      </c>
      <c r="AH20491" s="831" t="s">
        <v>548</v>
      </c>
      <c r="AI20491" s="831">
        <v>0</v>
      </c>
      <c r="AJ20491" s="835">
        <v>41486</v>
      </c>
      <c r="AK20491" s="831">
        <v>96883184</v>
      </c>
    </row>
    <row r="20492" spans="32:37">
      <c r="AF20492" s="831" t="s">
        <v>10999</v>
      </c>
      <c r="AG20492" s="831" t="s">
        <v>2674</v>
      </c>
      <c r="AH20492" s="831" t="s">
        <v>549</v>
      </c>
      <c r="AI20492" s="831">
        <v>0</v>
      </c>
      <c r="AJ20492" s="835">
        <v>41486</v>
      </c>
      <c r="AK20492" s="831">
        <v>350104350</v>
      </c>
    </row>
    <row r="20493" spans="32:37">
      <c r="AF20493" s="831" t="s">
        <v>11000</v>
      </c>
      <c r="AG20493" s="831" t="s">
        <v>2674</v>
      </c>
      <c r="AH20493" s="831" t="s">
        <v>192</v>
      </c>
      <c r="AI20493" s="831">
        <v>0</v>
      </c>
      <c r="AJ20493" s="835">
        <v>41486</v>
      </c>
      <c r="AK20493" s="831">
        <v>-11946675</v>
      </c>
    </row>
    <row r="20494" spans="32:37">
      <c r="AF20494" s="831" t="s">
        <v>11001</v>
      </c>
      <c r="AG20494" s="831" t="s">
        <v>2674</v>
      </c>
      <c r="AH20494" s="831" t="s">
        <v>558</v>
      </c>
      <c r="AI20494" s="831">
        <v>0</v>
      </c>
      <c r="AJ20494" s="835">
        <v>41486</v>
      </c>
      <c r="AK20494" s="831">
        <v>547440766</v>
      </c>
    </row>
    <row r="20495" spans="32:37">
      <c r="AF20495" s="831" t="s">
        <v>11002</v>
      </c>
      <c r="AG20495" s="831" t="s">
        <v>2674</v>
      </c>
      <c r="AH20495" s="831" t="s">
        <v>65</v>
      </c>
      <c r="AI20495" s="831">
        <v>0</v>
      </c>
      <c r="AJ20495" s="835">
        <v>41486</v>
      </c>
      <c r="AK20495" s="831">
        <v>71979253</v>
      </c>
    </row>
    <row r="20496" spans="32:37">
      <c r="AF20496" s="831" t="s">
        <v>11003</v>
      </c>
      <c r="AG20496" s="831" t="s">
        <v>2674</v>
      </c>
      <c r="AH20496" s="831" t="s">
        <v>89</v>
      </c>
      <c r="AI20496" s="831">
        <v>0</v>
      </c>
      <c r="AJ20496" s="835">
        <v>41486</v>
      </c>
      <c r="AK20496" s="831">
        <v>138057</v>
      </c>
    </row>
    <row r="20497" spans="32:37">
      <c r="AF20497" s="831" t="s">
        <v>11004</v>
      </c>
      <c r="AG20497" s="831" t="s">
        <v>2674</v>
      </c>
      <c r="AH20497" s="831" t="s">
        <v>557</v>
      </c>
      <c r="AI20497" s="831">
        <v>0</v>
      </c>
      <c r="AJ20497" s="835">
        <v>41486</v>
      </c>
      <c r="AK20497" s="831">
        <v>145518</v>
      </c>
    </row>
    <row r="20498" spans="32:37">
      <c r="AF20498" s="831" t="s">
        <v>11005</v>
      </c>
      <c r="AG20498" s="831" t="s">
        <v>2674</v>
      </c>
      <c r="AH20498" s="831" t="s">
        <v>29</v>
      </c>
      <c r="AI20498" s="831">
        <v>0</v>
      </c>
      <c r="AJ20498" s="835">
        <v>41486</v>
      </c>
      <c r="AK20498" s="831">
        <v>1452161.1670000001</v>
      </c>
    </row>
    <row r="20499" spans="32:37">
      <c r="AF20499" s="831" t="s">
        <v>11006</v>
      </c>
      <c r="AG20499" s="831" t="s">
        <v>2674</v>
      </c>
      <c r="AH20499" s="831" t="s">
        <v>2688</v>
      </c>
      <c r="AI20499" s="831">
        <v>0</v>
      </c>
      <c r="AJ20499" s="835">
        <v>41486</v>
      </c>
      <c r="AK20499" s="831">
        <v>1987224.58</v>
      </c>
    </row>
    <row r="20500" spans="32:37">
      <c r="AF20500" s="831" t="s">
        <v>11007</v>
      </c>
      <c r="AG20500" s="831" t="s">
        <v>2674</v>
      </c>
      <c r="AH20500" s="831" t="s">
        <v>556</v>
      </c>
      <c r="AI20500" s="831">
        <v>0</v>
      </c>
      <c r="AJ20500" s="835">
        <v>41486</v>
      </c>
      <c r="AK20500" s="831">
        <v>2547589</v>
      </c>
    </row>
    <row r="20501" spans="32:37">
      <c r="AF20501" s="831" t="s">
        <v>11008</v>
      </c>
      <c r="AG20501" s="831" t="s">
        <v>2674</v>
      </c>
      <c r="AH20501" s="831" t="s">
        <v>555</v>
      </c>
      <c r="AI20501" s="831">
        <v>0</v>
      </c>
      <c r="AJ20501" s="835">
        <v>41486</v>
      </c>
      <c r="AK20501" s="831">
        <v>359140020</v>
      </c>
    </row>
    <row r="20502" spans="32:37">
      <c r="AF20502" s="831" t="s">
        <v>11009</v>
      </c>
      <c r="AG20502" s="831" t="s">
        <v>2674</v>
      </c>
      <c r="AH20502" s="831" t="s">
        <v>554</v>
      </c>
      <c r="AI20502" s="831">
        <v>0</v>
      </c>
      <c r="AJ20502" s="835">
        <v>41486</v>
      </c>
      <c r="AK20502" s="831">
        <v>364984870</v>
      </c>
    </row>
    <row r="20503" spans="32:37">
      <c r="AF20503" s="831" t="s">
        <v>11010</v>
      </c>
      <c r="AG20503" s="831" t="s">
        <v>2674</v>
      </c>
      <c r="AH20503" s="831" t="s">
        <v>553</v>
      </c>
      <c r="AI20503" s="831">
        <v>0</v>
      </c>
      <c r="AJ20503" s="835">
        <v>41486</v>
      </c>
      <c r="AK20503" s="831">
        <v>0</v>
      </c>
    </row>
    <row r="20504" spans="32:37">
      <c r="AF20504" s="831" t="s">
        <v>11011</v>
      </c>
      <c r="AG20504" s="831" t="s">
        <v>2674</v>
      </c>
      <c r="AH20504" s="831" t="s">
        <v>552</v>
      </c>
      <c r="AI20504" s="831">
        <v>0</v>
      </c>
      <c r="AJ20504" s="835">
        <v>41486</v>
      </c>
      <c r="AK20504" s="831">
        <v>0</v>
      </c>
    </row>
    <row r="20505" spans="32:37">
      <c r="AF20505" s="831" t="s">
        <v>11012</v>
      </c>
      <c r="AG20505" s="831" t="s">
        <v>2674</v>
      </c>
      <c r="AH20505" s="831" t="s">
        <v>551</v>
      </c>
      <c r="AI20505" s="831">
        <v>0</v>
      </c>
      <c r="AJ20505" s="835">
        <v>41486</v>
      </c>
      <c r="AK20505" s="831">
        <v>1334074.5780000002</v>
      </c>
    </row>
    <row r="20506" spans="32:37">
      <c r="AF20506" s="831" t="s">
        <v>11013</v>
      </c>
      <c r="AG20506" s="831" t="s">
        <v>2674</v>
      </c>
      <c r="AH20506" s="831" t="s">
        <v>550</v>
      </c>
      <c r="AI20506" s="831">
        <v>0</v>
      </c>
      <c r="AJ20506" s="835">
        <v>41486</v>
      </c>
      <c r="AK20506" s="831">
        <v>108060358</v>
      </c>
    </row>
    <row r="20507" spans="32:37">
      <c r="AF20507" s="831" t="s">
        <v>11014</v>
      </c>
      <c r="AG20507" s="831" t="s">
        <v>2674</v>
      </c>
      <c r="AH20507" s="831" t="s">
        <v>562</v>
      </c>
      <c r="AI20507" s="831">
        <v>0</v>
      </c>
      <c r="AJ20507" s="835">
        <v>41486</v>
      </c>
      <c r="AK20507" s="831">
        <v>0.78374999999999995</v>
      </c>
    </row>
    <row r="20508" spans="32:37">
      <c r="AF20508" s="831" t="s">
        <v>11015</v>
      </c>
      <c r="AG20508" s="831" t="s">
        <v>2674</v>
      </c>
      <c r="AH20508" s="831" t="s">
        <v>2698</v>
      </c>
      <c r="AI20508" s="831">
        <v>0</v>
      </c>
      <c r="AJ20508" s="835">
        <v>41486</v>
      </c>
      <c r="AK20508" s="831">
        <v>0.78395000000000004</v>
      </c>
    </row>
    <row r="20509" spans="32:37">
      <c r="AF20509" s="831" t="s">
        <v>11016</v>
      </c>
      <c r="AG20509" s="831" t="s">
        <v>2674</v>
      </c>
      <c r="AH20509" s="831" t="s">
        <v>560</v>
      </c>
      <c r="AI20509" s="831">
        <v>0</v>
      </c>
      <c r="AJ20509" s="835">
        <v>41486</v>
      </c>
      <c r="AK20509" s="831">
        <v>0.78403571428571439</v>
      </c>
    </row>
    <row r="20510" spans="32:37">
      <c r="AF20510" s="831" t="s">
        <v>11017</v>
      </c>
      <c r="AG20510" s="831" t="s">
        <v>2674</v>
      </c>
      <c r="AH20510" s="831" t="s">
        <v>559</v>
      </c>
      <c r="AI20510" s="831">
        <v>0</v>
      </c>
      <c r="AJ20510" s="835">
        <v>41486</v>
      </c>
      <c r="AK20510" s="831">
        <v>0.7841583333333334</v>
      </c>
    </row>
    <row r="20511" spans="32:37">
      <c r="AF20511" s="831" t="s">
        <v>11018</v>
      </c>
      <c r="AG20511" s="831" t="s">
        <v>2674</v>
      </c>
      <c r="AH20511" s="831" t="s">
        <v>568</v>
      </c>
      <c r="AI20511" s="831">
        <v>0</v>
      </c>
      <c r="AJ20511" s="835">
        <v>41486</v>
      </c>
      <c r="AK20511" s="831">
        <v>431219750.30769229</v>
      </c>
    </row>
    <row r="20512" spans="32:37">
      <c r="AF20512" s="831" t="s">
        <v>11019</v>
      </c>
      <c r="AG20512" s="831" t="s">
        <v>2674</v>
      </c>
      <c r="AH20512" s="831" t="s">
        <v>569</v>
      </c>
      <c r="AI20512" s="831">
        <v>0</v>
      </c>
      <c r="AJ20512" s="835">
        <v>41486</v>
      </c>
      <c r="AK20512" s="831">
        <v>525226803</v>
      </c>
    </row>
    <row r="20513" spans="32:37">
      <c r="AF20513" s="831" t="s">
        <v>11020</v>
      </c>
      <c r="AG20513" s="831" t="s">
        <v>2674</v>
      </c>
      <c r="AH20513" s="831" t="s">
        <v>570</v>
      </c>
      <c r="AI20513" s="831">
        <v>0</v>
      </c>
      <c r="AJ20513" s="835">
        <v>41486</v>
      </c>
      <c r="AK20513" s="831">
        <v>100992550.61538461</v>
      </c>
    </row>
    <row r="20514" spans="32:37">
      <c r="AF20514" s="831" t="s">
        <v>11021</v>
      </c>
      <c r="AG20514" s="831" t="s">
        <v>2674</v>
      </c>
      <c r="AH20514" s="831" t="s">
        <v>571</v>
      </c>
      <c r="AI20514" s="831">
        <v>0</v>
      </c>
      <c r="AJ20514" s="835">
        <v>41486</v>
      </c>
      <c r="AK20514" s="831">
        <v>233627225.76923078</v>
      </c>
    </row>
    <row r="20515" spans="32:37">
      <c r="AF20515" s="831" t="s">
        <v>11022</v>
      </c>
      <c r="AG20515" s="831" t="s">
        <v>2674</v>
      </c>
      <c r="AH20515" s="831" t="s">
        <v>573</v>
      </c>
      <c r="AI20515" s="831">
        <v>0</v>
      </c>
      <c r="AJ20515" s="835">
        <v>41486</v>
      </c>
      <c r="AK20515" s="831">
        <v>569857313.625</v>
      </c>
    </row>
    <row r="20516" spans="32:37">
      <c r="AF20516" s="831" t="s">
        <v>11023</v>
      </c>
      <c r="AG20516" s="831" t="s">
        <v>2674</v>
      </c>
      <c r="AH20516" s="831" t="s">
        <v>574</v>
      </c>
      <c r="AI20516" s="831">
        <v>0</v>
      </c>
      <c r="AJ20516" s="835">
        <v>41486</v>
      </c>
      <c r="AK20516" s="831">
        <v>469485522.25</v>
      </c>
    </row>
    <row r="20517" spans="32:37">
      <c r="AF20517" s="831" t="s">
        <v>11024</v>
      </c>
      <c r="AG20517" s="831" t="s">
        <v>2674</v>
      </c>
      <c r="AH20517" s="831" t="s">
        <v>575</v>
      </c>
      <c r="AI20517" s="831">
        <v>0</v>
      </c>
      <c r="AJ20517" s="835">
        <v>41486</v>
      </c>
      <c r="AK20517" s="831">
        <v>103170462.125</v>
      </c>
    </row>
    <row r="20518" spans="32:37">
      <c r="AF20518" s="831" t="s">
        <v>11025</v>
      </c>
      <c r="AG20518" s="831" t="s">
        <v>2674</v>
      </c>
      <c r="AH20518" s="831" t="s">
        <v>576</v>
      </c>
      <c r="AI20518" s="831">
        <v>0</v>
      </c>
      <c r="AJ20518" s="835">
        <v>41486</v>
      </c>
      <c r="AK20518" s="831">
        <v>265012255.125</v>
      </c>
    </row>
    <row r="20519" spans="32:37">
      <c r="AF20519" s="831" t="s">
        <v>11026</v>
      </c>
      <c r="AG20519" s="831" t="s">
        <v>2674</v>
      </c>
      <c r="AH20519" s="831" t="s">
        <v>572</v>
      </c>
      <c r="AI20519" s="831">
        <v>0</v>
      </c>
      <c r="AJ20519" s="835">
        <v>41486</v>
      </c>
      <c r="AK20519" s="831">
        <v>23860386</v>
      </c>
    </row>
    <row r="20520" spans="32:37">
      <c r="AF20520" s="831" t="s">
        <v>11027</v>
      </c>
      <c r="AG20520" s="831" t="s">
        <v>2674</v>
      </c>
      <c r="AH20520" s="831" t="s">
        <v>577</v>
      </c>
      <c r="AI20520" s="831">
        <v>0</v>
      </c>
      <c r="AJ20520" s="835">
        <v>41486</v>
      </c>
      <c r="AK20520" s="831">
        <v>116281669</v>
      </c>
    </row>
    <row r="20521" spans="32:37">
      <c r="AF20521" s="831" t="s">
        <v>11028</v>
      </c>
      <c r="AG20521" s="831" t="s">
        <v>2674</v>
      </c>
      <c r="AH20521" s="831" t="s">
        <v>3042</v>
      </c>
      <c r="AI20521" s="831">
        <v>0</v>
      </c>
      <c r="AJ20521" s="835">
        <v>41486</v>
      </c>
      <c r="AK20521" s="831">
        <v>-28313674</v>
      </c>
    </row>
    <row r="20522" spans="32:37">
      <c r="AF20522" s="831" t="s">
        <v>11029</v>
      </c>
      <c r="AG20522" s="831" t="s">
        <v>2674</v>
      </c>
      <c r="AH20522" s="831" t="s">
        <v>3044</v>
      </c>
      <c r="AI20522" s="831">
        <v>0</v>
      </c>
      <c r="AJ20522" s="835">
        <v>41486</v>
      </c>
      <c r="AK20522" s="831">
        <v>-4195755</v>
      </c>
    </row>
    <row r="20523" spans="32:37">
      <c r="AF20523" s="831" t="s">
        <v>11030</v>
      </c>
      <c r="AG20523" s="831" t="s">
        <v>2674</v>
      </c>
      <c r="AH20523" s="831" t="s">
        <v>580</v>
      </c>
      <c r="AI20523" s="831">
        <v>0</v>
      </c>
      <c r="AJ20523" s="835">
        <v>41486</v>
      </c>
      <c r="AK20523" s="831">
        <v>-57513801</v>
      </c>
    </row>
    <row r="20524" spans="32:37">
      <c r="AF20524" s="831" t="s">
        <v>11031</v>
      </c>
      <c r="AG20524" s="831" t="s">
        <v>2674</v>
      </c>
      <c r="AH20524" s="831" t="s">
        <v>581</v>
      </c>
      <c r="AI20524" s="831">
        <v>0</v>
      </c>
      <c r="AJ20524" s="835">
        <v>41486</v>
      </c>
      <c r="AK20524" s="831">
        <v>4189789</v>
      </c>
    </row>
    <row r="20525" spans="32:37">
      <c r="AF20525" s="831" t="s">
        <v>11032</v>
      </c>
      <c r="AG20525" s="831" t="s">
        <v>2674</v>
      </c>
      <c r="AH20525" s="831" t="s">
        <v>105</v>
      </c>
      <c r="AI20525" s="831">
        <v>0</v>
      </c>
      <c r="AJ20525" s="835">
        <v>41486</v>
      </c>
      <c r="AK20525" s="831">
        <v>321921227</v>
      </c>
    </row>
    <row r="20526" spans="32:37">
      <c r="AF20526" s="831" t="s">
        <v>11033</v>
      </c>
      <c r="AG20526" s="831" t="s">
        <v>2674</v>
      </c>
      <c r="AH20526" s="831" t="s">
        <v>3049</v>
      </c>
      <c r="AI20526" s="831">
        <v>0</v>
      </c>
      <c r="AJ20526" s="835">
        <v>41486</v>
      </c>
      <c r="AK20526" s="831">
        <v>533353115</v>
      </c>
    </row>
    <row r="20527" spans="32:37">
      <c r="AF20527" s="831" t="s">
        <v>11034</v>
      </c>
      <c r="AG20527" s="831" t="s">
        <v>2674</v>
      </c>
      <c r="AH20527" s="831" t="s">
        <v>103</v>
      </c>
      <c r="AI20527" s="831">
        <v>0</v>
      </c>
      <c r="AJ20527" s="835">
        <v>41486</v>
      </c>
      <c r="AK20527" s="831">
        <v>211431888</v>
      </c>
    </row>
    <row r="20528" spans="32:37">
      <c r="AF20528" s="831" t="s">
        <v>11035</v>
      </c>
      <c r="AG20528" s="831" t="s">
        <v>2674</v>
      </c>
      <c r="AH20528" s="831" t="s">
        <v>182</v>
      </c>
      <c r="AI20528" s="831">
        <v>0</v>
      </c>
      <c r="AJ20528" s="835">
        <v>41486</v>
      </c>
      <c r="AK20528" s="831">
        <v>58107797.142857142</v>
      </c>
    </row>
    <row r="20529" spans="32:37">
      <c r="AF20529" s="831" t="s">
        <v>11036</v>
      </c>
      <c r="AG20529" s="831" t="s">
        <v>2674</v>
      </c>
      <c r="AH20529" s="831" t="s">
        <v>6600</v>
      </c>
      <c r="AI20529" s="831">
        <v>0</v>
      </c>
      <c r="AJ20529" s="835">
        <v>41486</v>
      </c>
      <c r="AK20529" s="831">
        <v>23860386</v>
      </c>
    </row>
    <row r="20530" spans="32:37">
      <c r="AF20530" s="831" t="s">
        <v>11037</v>
      </c>
      <c r="AG20530" s="831" t="s">
        <v>2674</v>
      </c>
      <c r="AH20530" s="831" t="s">
        <v>6602</v>
      </c>
      <c r="AI20530" s="831">
        <v>0</v>
      </c>
      <c r="AJ20530" s="835">
        <v>41486</v>
      </c>
      <c r="AK20530" s="831">
        <v>16124340</v>
      </c>
    </row>
    <row r="20531" spans="32:37">
      <c r="AF20531" s="831" t="s">
        <v>11038</v>
      </c>
      <c r="AG20531" s="831" t="s">
        <v>2674</v>
      </c>
      <c r="AH20531" s="831" t="s">
        <v>650</v>
      </c>
      <c r="AI20531" s="831">
        <v>0</v>
      </c>
      <c r="AJ20531" s="835">
        <v>41486</v>
      </c>
      <c r="AK20531" s="831">
        <v>176984761.69230768</v>
      </c>
    </row>
    <row r="20532" spans="32:37">
      <c r="AF20532" s="831" t="s">
        <v>11039</v>
      </c>
      <c r="AG20532" s="831" t="s">
        <v>2674</v>
      </c>
      <c r="AH20532" s="831" t="s">
        <v>655</v>
      </c>
      <c r="AI20532" s="831">
        <v>0</v>
      </c>
      <c r="AJ20532" s="835">
        <v>41486</v>
      </c>
      <c r="AK20532" s="831">
        <v>1081919.6189999999</v>
      </c>
    </row>
    <row r="20533" spans="32:37">
      <c r="AF20533" s="831" t="s">
        <v>11040</v>
      </c>
      <c r="AG20533" s="831" t="s">
        <v>2674</v>
      </c>
      <c r="AH20533" s="831" t="s">
        <v>546</v>
      </c>
      <c r="AI20533" s="831">
        <v>0</v>
      </c>
      <c r="AJ20533" s="835">
        <v>41517</v>
      </c>
      <c r="AK20533" s="831">
        <v>548671343</v>
      </c>
    </row>
    <row r="20534" spans="32:37">
      <c r="AF20534" s="831" t="s">
        <v>11041</v>
      </c>
      <c r="AG20534" s="831" t="s">
        <v>2674</v>
      </c>
      <c r="AH20534" s="831" t="s">
        <v>370</v>
      </c>
      <c r="AI20534" s="831">
        <v>0</v>
      </c>
      <c r="AJ20534" s="835">
        <v>41517</v>
      </c>
      <c r="AK20534" s="831">
        <v>657414575</v>
      </c>
    </row>
    <row r="20535" spans="32:37">
      <c r="AF20535" s="831" t="s">
        <v>11042</v>
      </c>
      <c r="AG20535" s="831" t="s">
        <v>2674</v>
      </c>
      <c r="AH20535" s="831" t="s">
        <v>126</v>
      </c>
      <c r="AI20535" s="831">
        <v>0</v>
      </c>
      <c r="AJ20535" s="835">
        <v>41517</v>
      </c>
      <c r="AK20535" s="831">
        <v>113874944</v>
      </c>
    </row>
    <row r="20536" spans="32:37">
      <c r="AF20536" s="831" t="s">
        <v>11043</v>
      </c>
      <c r="AG20536" s="831" t="s">
        <v>2674</v>
      </c>
      <c r="AH20536" s="831" t="s">
        <v>268</v>
      </c>
      <c r="AI20536" s="831">
        <v>0</v>
      </c>
      <c r="AJ20536" s="835">
        <v>41517</v>
      </c>
      <c r="AK20536" s="831">
        <v>19111719</v>
      </c>
    </row>
    <row r="20537" spans="32:37">
      <c r="AF20537" s="831" t="s">
        <v>11044</v>
      </c>
      <c r="AG20537" s="831" t="s">
        <v>2674</v>
      </c>
      <c r="AH20537" s="831" t="s">
        <v>547</v>
      </c>
      <c r="AI20537" s="831">
        <v>0</v>
      </c>
      <c r="AJ20537" s="835">
        <v>41517</v>
      </c>
      <c r="AK20537" s="831">
        <v>511487760</v>
      </c>
    </row>
    <row r="20538" spans="32:37">
      <c r="AF20538" s="831" t="s">
        <v>11045</v>
      </c>
      <c r="AG20538" s="831" t="s">
        <v>2674</v>
      </c>
      <c r="AH20538" s="831" t="s">
        <v>548</v>
      </c>
      <c r="AI20538" s="831">
        <v>0</v>
      </c>
      <c r="AJ20538" s="835">
        <v>41517</v>
      </c>
      <c r="AK20538" s="831">
        <v>96883184</v>
      </c>
    </row>
    <row r="20539" spans="32:37">
      <c r="AF20539" s="831" t="s">
        <v>11046</v>
      </c>
      <c r="AG20539" s="831" t="s">
        <v>2674</v>
      </c>
      <c r="AH20539" s="831" t="s">
        <v>549</v>
      </c>
      <c r="AI20539" s="831">
        <v>0</v>
      </c>
      <c r="AJ20539" s="835">
        <v>41517</v>
      </c>
      <c r="AK20539" s="831">
        <v>362295244</v>
      </c>
    </row>
    <row r="20540" spans="32:37">
      <c r="AF20540" s="831" t="s">
        <v>11047</v>
      </c>
      <c r="AG20540" s="831" t="s">
        <v>2674</v>
      </c>
      <c r="AH20540" s="831" t="s">
        <v>192</v>
      </c>
      <c r="AI20540" s="831">
        <v>0</v>
      </c>
      <c r="AJ20540" s="835">
        <v>41517</v>
      </c>
      <c r="AK20540" s="831">
        <v>-12472831</v>
      </c>
    </row>
    <row r="20541" spans="32:37">
      <c r="AF20541" s="831" t="s">
        <v>11048</v>
      </c>
      <c r="AG20541" s="831" t="s">
        <v>2674</v>
      </c>
      <c r="AH20541" s="831" t="s">
        <v>558</v>
      </c>
      <c r="AI20541" s="831">
        <v>0</v>
      </c>
      <c r="AJ20541" s="835">
        <v>41517</v>
      </c>
      <c r="AK20541" s="831">
        <v>543539630.65999997</v>
      </c>
    </row>
    <row r="20542" spans="32:37">
      <c r="AF20542" s="831" t="s">
        <v>11049</v>
      </c>
      <c r="AG20542" s="831" t="s">
        <v>2674</v>
      </c>
      <c r="AH20542" s="831" t="s">
        <v>65</v>
      </c>
      <c r="AI20542" s="831">
        <v>0</v>
      </c>
      <c r="AJ20542" s="835">
        <v>41517</v>
      </c>
      <c r="AK20542" s="831">
        <v>83388551</v>
      </c>
    </row>
    <row r="20543" spans="32:37">
      <c r="AF20543" s="831" t="s">
        <v>11050</v>
      </c>
      <c r="AG20543" s="831" t="s">
        <v>2674</v>
      </c>
      <c r="AH20543" s="831" t="s">
        <v>89</v>
      </c>
      <c r="AI20543" s="831">
        <v>0</v>
      </c>
      <c r="AJ20543" s="835">
        <v>41517</v>
      </c>
      <c r="AK20543" s="831">
        <v>139614</v>
      </c>
    </row>
    <row r="20544" spans="32:37">
      <c r="AF20544" s="831" t="s">
        <v>11051</v>
      </c>
      <c r="AG20544" s="831" t="s">
        <v>2674</v>
      </c>
      <c r="AH20544" s="831" t="s">
        <v>557</v>
      </c>
      <c r="AI20544" s="831">
        <v>0</v>
      </c>
      <c r="AJ20544" s="835">
        <v>41517</v>
      </c>
      <c r="AK20544" s="831">
        <v>147732</v>
      </c>
    </row>
    <row r="20545" spans="32:37">
      <c r="AF20545" s="831" t="s">
        <v>11052</v>
      </c>
      <c r="AG20545" s="831" t="s">
        <v>2674</v>
      </c>
      <c r="AH20545" s="831" t="s">
        <v>29</v>
      </c>
      <c r="AI20545" s="831">
        <v>0</v>
      </c>
      <c r="AJ20545" s="835">
        <v>41517</v>
      </c>
      <c r="AK20545" s="831">
        <v>1641079.85</v>
      </c>
    </row>
    <row r="20546" spans="32:37">
      <c r="AF20546" s="831" t="s">
        <v>11053</v>
      </c>
      <c r="AG20546" s="831" t="s">
        <v>2674</v>
      </c>
      <c r="AH20546" s="831" t="s">
        <v>2688</v>
      </c>
      <c r="AI20546" s="831">
        <v>0</v>
      </c>
      <c r="AJ20546" s="835">
        <v>41517</v>
      </c>
      <c r="AK20546" s="831">
        <v>1980496.8299999998</v>
      </c>
    </row>
    <row r="20547" spans="32:37">
      <c r="AF20547" s="831" t="s">
        <v>11054</v>
      </c>
      <c r="AG20547" s="831" t="s">
        <v>2674</v>
      </c>
      <c r="AH20547" s="831" t="s">
        <v>556</v>
      </c>
      <c r="AI20547" s="831">
        <v>0</v>
      </c>
      <c r="AJ20547" s="835">
        <v>41517</v>
      </c>
      <c r="AK20547" s="831">
        <v>1644732</v>
      </c>
    </row>
    <row r="20548" spans="32:37">
      <c r="AF20548" s="831" t="s">
        <v>11055</v>
      </c>
      <c r="AG20548" s="831" t="s">
        <v>2674</v>
      </c>
      <c r="AH20548" s="831" t="s">
        <v>555</v>
      </c>
      <c r="AI20548" s="831">
        <v>0</v>
      </c>
      <c r="AJ20548" s="835">
        <v>41517</v>
      </c>
      <c r="AK20548" s="831">
        <v>349976200</v>
      </c>
    </row>
    <row r="20549" spans="32:37">
      <c r="AF20549" s="831" t="s">
        <v>11056</v>
      </c>
      <c r="AG20549" s="831" t="s">
        <v>2674</v>
      </c>
      <c r="AH20549" s="831" t="s">
        <v>554</v>
      </c>
      <c r="AI20549" s="831">
        <v>0</v>
      </c>
      <c r="AJ20549" s="835">
        <v>41517</v>
      </c>
      <c r="AK20549" s="831">
        <v>362271180</v>
      </c>
    </row>
    <row r="20550" spans="32:37">
      <c r="AF20550" s="831" t="s">
        <v>11057</v>
      </c>
      <c r="AG20550" s="831" t="s">
        <v>2674</v>
      </c>
      <c r="AH20550" s="831" t="s">
        <v>553</v>
      </c>
      <c r="AI20550" s="831">
        <v>0</v>
      </c>
      <c r="AJ20550" s="835">
        <v>41517</v>
      </c>
      <c r="AK20550" s="831">
        <v>0</v>
      </c>
    </row>
    <row r="20551" spans="32:37">
      <c r="AF20551" s="831" t="s">
        <v>11058</v>
      </c>
      <c r="AG20551" s="831" t="s">
        <v>2674</v>
      </c>
      <c r="AH20551" s="831" t="s">
        <v>552</v>
      </c>
      <c r="AI20551" s="831">
        <v>0</v>
      </c>
      <c r="AJ20551" s="835">
        <v>41517</v>
      </c>
      <c r="AK20551" s="831">
        <v>0</v>
      </c>
    </row>
    <row r="20552" spans="32:37">
      <c r="AF20552" s="831" t="s">
        <v>11059</v>
      </c>
      <c r="AG20552" s="831" t="s">
        <v>2674</v>
      </c>
      <c r="AH20552" s="831" t="s">
        <v>551</v>
      </c>
      <c r="AI20552" s="831">
        <v>0</v>
      </c>
      <c r="AJ20552" s="835">
        <v>41517</v>
      </c>
      <c r="AK20552" s="831">
        <v>1337345.54</v>
      </c>
    </row>
    <row r="20553" spans="32:37">
      <c r="AF20553" s="831" t="s">
        <v>11060</v>
      </c>
      <c r="AG20553" s="831" t="s">
        <v>2674</v>
      </c>
      <c r="AH20553" s="831" t="s">
        <v>550</v>
      </c>
      <c r="AI20553" s="831">
        <v>0</v>
      </c>
      <c r="AJ20553" s="835">
        <v>41517</v>
      </c>
      <c r="AK20553" s="831">
        <v>110887562</v>
      </c>
    </row>
    <row r="20554" spans="32:37">
      <c r="AF20554" s="831" t="s">
        <v>11061</v>
      </c>
      <c r="AG20554" s="831" t="s">
        <v>2674</v>
      </c>
      <c r="AH20554" s="831" t="s">
        <v>562</v>
      </c>
      <c r="AI20554" s="831">
        <v>0</v>
      </c>
      <c r="AJ20554" s="835">
        <v>41517</v>
      </c>
      <c r="AK20554" s="831">
        <v>0.78385000000000005</v>
      </c>
    </row>
    <row r="20555" spans="32:37">
      <c r="AF20555" s="831" t="s">
        <v>11062</v>
      </c>
      <c r="AG20555" s="831" t="s">
        <v>2674</v>
      </c>
      <c r="AH20555" s="831" t="s">
        <v>2698</v>
      </c>
      <c r="AI20555" s="831">
        <v>0</v>
      </c>
      <c r="AJ20555" s="835">
        <v>41517</v>
      </c>
      <c r="AK20555" s="831">
        <v>0.78374999999999995</v>
      </c>
    </row>
    <row r="20556" spans="32:37">
      <c r="AF20556" s="831" t="s">
        <v>11063</v>
      </c>
      <c r="AG20556" s="831" t="s">
        <v>2674</v>
      </c>
      <c r="AH20556" s="831" t="s">
        <v>560</v>
      </c>
      <c r="AI20556" s="831">
        <v>0</v>
      </c>
      <c r="AJ20556" s="835">
        <v>41517</v>
      </c>
      <c r="AK20556" s="831">
        <v>0.7840125</v>
      </c>
    </row>
    <row r="20557" spans="32:37">
      <c r="AF20557" s="831" t="s">
        <v>11064</v>
      </c>
      <c r="AG20557" s="831" t="s">
        <v>2674</v>
      </c>
      <c r="AH20557" s="831" t="s">
        <v>559</v>
      </c>
      <c r="AI20557" s="831">
        <v>0</v>
      </c>
      <c r="AJ20557" s="835">
        <v>41517</v>
      </c>
      <c r="AK20557" s="831">
        <v>0.78410416666666671</v>
      </c>
    </row>
    <row r="20558" spans="32:37">
      <c r="AF20558" s="831" t="s">
        <v>11065</v>
      </c>
      <c r="AG20558" s="831" t="s">
        <v>2674</v>
      </c>
      <c r="AH20558" s="831" t="s">
        <v>568</v>
      </c>
      <c r="AI20558" s="831">
        <v>0</v>
      </c>
      <c r="AJ20558" s="835">
        <v>41517</v>
      </c>
      <c r="AK20558" s="831">
        <v>446494134.38461536</v>
      </c>
    </row>
    <row r="20559" spans="32:37">
      <c r="AF20559" s="831" t="s">
        <v>11066</v>
      </c>
      <c r="AG20559" s="831" t="s">
        <v>2674</v>
      </c>
      <c r="AH20559" s="831" t="s">
        <v>569</v>
      </c>
      <c r="AI20559" s="831">
        <v>0</v>
      </c>
      <c r="AJ20559" s="835">
        <v>41517</v>
      </c>
      <c r="AK20559" s="831">
        <v>542095460.15384614</v>
      </c>
    </row>
    <row r="20560" spans="32:37">
      <c r="AF20560" s="831" t="s">
        <v>11067</v>
      </c>
      <c r="AG20560" s="831" t="s">
        <v>2674</v>
      </c>
      <c r="AH20560" s="831" t="s">
        <v>570</v>
      </c>
      <c r="AI20560" s="831">
        <v>0</v>
      </c>
      <c r="AJ20560" s="835">
        <v>41517</v>
      </c>
      <c r="AK20560" s="831">
        <v>102565482.6923077</v>
      </c>
    </row>
    <row r="20561" spans="32:37">
      <c r="AF20561" s="831" t="s">
        <v>11068</v>
      </c>
      <c r="AG20561" s="831" t="s">
        <v>2674</v>
      </c>
      <c r="AH20561" s="831" t="s">
        <v>571</v>
      </c>
      <c r="AI20561" s="831">
        <v>0</v>
      </c>
      <c r="AJ20561" s="835">
        <v>41517</v>
      </c>
      <c r="AK20561" s="831">
        <v>245131875.46153846</v>
      </c>
    </row>
    <row r="20562" spans="32:37">
      <c r="AF20562" s="831" t="s">
        <v>11069</v>
      </c>
      <c r="AG20562" s="831" t="s">
        <v>2674</v>
      </c>
      <c r="AH20562" s="831" t="s">
        <v>573</v>
      </c>
      <c r="AI20562" s="831">
        <v>0</v>
      </c>
      <c r="AJ20562" s="835">
        <v>41517</v>
      </c>
      <c r="AK20562" s="831">
        <v>579585898.22222221</v>
      </c>
    </row>
    <row r="20563" spans="32:37">
      <c r="AF20563" s="831" t="s">
        <v>11070</v>
      </c>
      <c r="AG20563" s="831" t="s">
        <v>2674</v>
      </c>
      <c r="AH20563" s="831" t="s">
        <v>574</v>
      </c>
      <c r="AI20563" s="831">
        <v>0</v>
      </c>
      <c r="AJ20563" s="835">
        <v>41517</v>
      </c>
      <c r="AK20563" s="831">
        <v>478283946.77777779</v>
      </c>
    </row>
    <row r="20564" spans="32:37">
      <c r="AF20564" s="831" t="s">
        <v>11071</v>
      </c>
      <c r="AG20564" s="831" t="s">
        <v>2674</v>
      </c>
      <c r="AH20564" s="831" t="s">
        <v>575</v>
      </c>
      <c r="AI20564" s="831">
        <v>0</v>
      </c>
      <c r="AJ20564" s="835">
        <v>41517</v>
      </c>
      <c r="AK20564" s="831">
        <v>104359849</v>
      </c>
    </row>
    <row r="20565" spans="32:37">
      <c r="AF20565" s="831" t="s">
        <v>11072</v>
      </c>
      <c r="AG20565" s="831" t="s">
        <v>2674</v>
      </c>
      <c r="AH20565" s="831" t="s">
        <v>576</v>
      </c>
      <c r="AI20565" s="831">
        <v>0</v>
      </c>
      <c r="AJ20565" s="835">
        <v>41517</v>
      </c>
      <c r="AK20565" s="831">
        <v>270469259.22222221</v>
      </c>
    </row>
    <row r="20566" spans="32:37">
      <c r="AF20566" s="831" t="s">
        <v>11073</v>
      </c>
      <c r="AG20566" s="831" t="s">
        <v>2674</v>
      </c>
      <c r="AH20566" s="831" t="s">
        <v>572</v>
      </c>
      <c r="AI20566" s="831">
        <v>0</v>
      </c>
      <c r="AJ20566" s="835">
        <v>41517</v>
      </c>
      <c r="AK20566" s="831">
        <v>24859621</v>
      </c>
    </row>
    <row r="20567" spans="32:37">
      <c r="AF20567" s="831" t="s">
        <v>11074</v>
      </c>
      <c r="AG20567" s="831" t="s">
        <v>2674</v>
      </c>
      <c r="AH20567" s="831" t="s">
        <v>577</v>
      </c>
      <c r="AI20567" s="831">
        <v>0</v>
      </c>
      <c r="AJ20567" s="835">
        <v>41517</v>
      </c>
      <c r="AK20567" s="831">
        <v>119121446</v>
      </c>
    </row>
    <row r="20568" spans="32:37">
      <c r="AF20568" s="831" t="s">
        <v>11075</v>
      </c>
      <c r="AG20568" s="831" t="s">
        <v>2674</v>
      </c>
      <c r="AH20568" s="831" t="s">
        <v>3042</v>
      </c>
      <c r="AI20568" s="831">
        <v>0</v>
      </c>
      <c r="AJ20568" s="835">
        <v>41517</v>
      </c>
      <c r="AK20568" s="831">
        <v>-29143089</v>
      </c>
    </row>
    <row r="20569" spans="32:37">
      <c r="AF20569" s="831" t="s">
        <v>11076</v>
      </c>
      <c r="AG20569" s="831" t="s">
        <v>2674</v>
      </c>
      <c r="AH20569" s="831" t="s">
        <v>3044</v>
      </c>
      <c r="AI20569" s="831">
        <v>0</v>
      </c>
      <c r="AJ20569" s="835">
        <v>41517</v>
      </c>
      <c r="AK20569" s="831">
        <v>-4417525</v>
      </c>
    </row>
    <row r="20570" spans="32:37">
      <c r="AF20570" s="831" t="s">
        <v>11077</v>
      </c>
      <c r="AG20570" s="831" t="s">
        <v>2674</v>
      </c>
      <c r="AH20570" s="831" t="s">
        <v>580</v>
      </c>
      <c r="AI20570" s="831">
        <v>0</v>
      </c>
      <c r="AJ20570" s="835">
        <v>41517</v>
      </c>
      <c r="AK20570" s="831">
        <v>-58376707</v>
      </c>
    </row>
    <row r="20571" spans="32:37">
      <c r="AF20571" s="831" t="s">
        <v>11078</v>
      </c>
      <c r="AG20571" s="831" t="s">
        <v>2674</v>
      </c>
      <c r="AH20571" s="831" t="s">
        <v>581</v>
      </c>
      <c r="AI20571" s="831">
        <v>0</v>
      </c>
      <c r="AJ20571" s="835">
        <v>41517</v>
      </c>
      <c r="AK20571" s="831">
        <v>4578677</v>
      </c>
    </row>
    <row r="20572" spans="32:37">
      <c r="AF20572" s="831" t="s">
        <v>11079</v>
      </c>
      <c r="AG20572" s="831" t="s">
        <v>2674</v>
      </c>
      <c r="AH20572" s="831" t="s">
        <v>105</v>
      </c>
      <c r="AI20572" s="831">
        <v>0</v>
      </c>
      <c r="AJ20572" s="835">
        <v>41517</v>
      </c>
      <c r="AK20572" s="831">
        <v>314125292</v>
      </c>
    </row>
    <row r="20573" spans="32:37">
      <c r="AF20573" s="831" t="s">
        <v>11080</v>
      </c>
      <c r="AG20573" s="831" t="s">
        <v>2674</v>
      </c>
      <c r="AH20573" s="831" t="s">
        <v>3049</v>
      </c>
      <c r="AI20573" s="831">
        <v>0</v>
      </c>
      <c r="AJ20573" s="835">
        <v>41517</v>
      </c>
      <c r="AK20573" s="831">
        <v>527249449.14999998</v>
      </c>
    </row>
    <row r="20574" spans="32:37">
      <c r="AF20574" s="831" t="s">
        <v>11081</v>
      </c>
      <c r="AG20574" s="831" t="s">
        <v>2674</v>
      </c>
      <c r="AH20574" s="831" t="s">
        <v>103</v>
      </c>
      <c r="AI20574" s="831">
        <v>0</v>
      </c>
      <c r="AJ20574" s="835">
        <v>41517</v>
      </c>
      <c r="AK20574" s="831">
        <v>213124157.14999998</v>
      </c>
    </row>
    <row r="20575" spans="32:37">
      <c r="AF20575" s="831" t="s">
        <v>11082</v>
      </c>
      <c r="AG20575" s="831" t="s">
        <v>2674</v>
      </c>
      <c r="AH20575" s="831" t="s">
        <v>182</v>
      </c>
      <c r="AI20575" s="831">
        <v>0</v>
      </c>
      <c r="AJ20575" s="835">
        <v>41517</v>
      </c>
      <c r="AK20575" s="831">
        <v>57914724</v>
      </c>
    </row>
    <row r="20576" spans="32:37">
      <c r="AF20576" s="831" t="s">
        <v>11083</v>
      </c>
      <c r="AG20576" s="831" t="s">
        <v>2674</v>
      </c>
      <c r="AH20576" s="831" t="s">
        <v>6600</v>
      </c>
      <c r="AI20576" s="831">
        <v>0</v>
      </c>
      <c r="AJ20576" s="835">
        <v>41517</v>
      </c>
      <c r="AK20576" s="831">
        <v>24859621</v>
      </c>
    </row>
    <row r="20577" spans="32:37">
      <c r="AF20577" s="831" t="s">
        <v>11084</v>
      </c>
      <c r="AG20577" s="831" t="s">
        <v>2674</v>
      </c>
      <c r="AH20577" s="831" t="s">
        <v>6602</v>
      </c>
      <c r="AI20577" s="831">
        <v>0</v>
      </c>
      <c r="AJ20577" s="835">
        <v>41517</v>
      </c>
      <c r="AK20577" s="831">
        <v>19111719</v>
      </c>
    </row>
    <row r="20578" spans="32:37">
      <c r="AF20578" s="831" t="s">
        <v>11085</v>
      </c>
      <c r="AG20578" s="831" t="s">
        <v>2674</v>
      </c>
      <c r="AH20578" s="831" t="s">
        <v>650</v>
      </c>
      <c r="AI20578" s="831">
        <v>0</v>
      </c>
      <c r="AJ20578" s="835">
        <v>41517</v>
      </c>
      <c r="AK20578" s="831">
        <v>180578512.62692308</v>
      </c>
    </row>
    <row r="20579" spans="32:37">
      <c r="AF20579" s="831" t="s">
        <v>11086</v>
      </c>
      <c r="AG20579" s="831" t="s">
        <v>2674</v>
      </c>
      <c r="AH20579" s="831" t="s">
        <v>655</v>
      </c>
      <c r="AI20579" s="831">
        <v>0</v>
      </c>
      <c r="AJ20579" s="835">
        <v>41517</v>
      </c>
      <c r="AK20579" s="831">
        <v>1231052.19</v>
      </c>
    </row>
    <row r="20580" spans="32:37">
      <c r="AF20580" s="831" t="s">
        <v>11087</v>
      </c>
      <c r="AG20580" s="831" t="s">
        <v>2674</v>
      </c>
      <c r="AH20580" s="831" t="s">
        <v>546</v>
      </c>
      <c r="AI20580" s="831">
        <v>0</v>
      </c>
      <c r="AJ20580" s="835">
        <v>41547</v>
      </c>
      <c r="AK20580" s="831">
        <v>563989028</v>
      </c>
    </row>
    <row r="20581" spans="32:37">
      <c r="AF20581" s="831" t="s">
        <v>11088</v>
      </c>
      <c r="AG20581" s="831" t="s">
        <v>2674</v>
      </c>
      <c r="AH20581" s="831" t="s">
        <v>370</v>
      </c>
      <c r="AI20581" s="831">
        <v>0</v>
      </c>
      <c r="AJ20581" s="835">
        <v>41547</v>
      </c>
      <c r="AK20581" s="831">
        <v>692795586</v>
      </c>
    </row>
    <row r="20582" spans="32:37">
      <c r="AF20582" s="831" t="s">
        <v>11089</v>
      </c>
      <c r="AG20582" s="831" t="s">
        <v>2674</v>
      </c>
      <c r="AH20582" s="831" t="s">
        <v>126</v>
      </c>
      <c r="AI20582" s="831">
        <v>0</v>
      </c>
      <c r="AJ20582" s="835">
        <v>41547</v>
      </c>
      <c r="AK20582" s="831">
        <v>117170637</v>
      </c>
    </row>
    <row r="20583" spans="32:37">
      <c r="AF20583" s="831" t="s">
        <v>11090</v>
      </c>
      <c r="AG20583" s="831" t="s">
        <v>2674</v>
      </c>
      <c r="AH20583" s="831" t="s">
        <v>268</v>
      </c>
      <c r="AI20583" s="831">
        <v>0</v>
      </c>
      <c r="AJ20583" s="835">
        <v>41547</v>
      </c>
      <c r="AK20583" s="831">
        <v>22407414</v>
      </c>
    </row>
    <row r="20584" spans="32:37">
      <c r="AF20584" s="831" t="s">
        <v>11091</v>
      </c>
      <c r="AG20584" s="831" t="s">
        <v>2674</v>
      </c>
      <c r="AH20584" s="831" t="s">
        <v>547</v>
      </c>
      <c r="AI20584" s="831">
        <v>0</v>
      </c>
      <c r="AJ20584" s="835">
        <v>41547</v>
      </c>
      <c r="AK20584" s="831">
        <v>511487760</v>
      </c>
    </row>
    <row r="20585" spans="32:37">
      <c r="AF20585" s="831" t="s">
        <v>11092</v>
      </c>
      <c r="AG20585" s="831" t="s">
        <v>2674</v>
      </c>
      <c r="AH20585" s="831" t="s">
        <v>548</v>
      </c>
      <c r="AI20585" s="831">
        <v>0</v>
      </c>
      <c r="AJ20585" s="835">
        <v>41547</v>
      </c>
      <c r="AK20585" s="831">
        <v>96883184</v>
      </c>
    </row>
    <row r="20586" spans="32:37">
      <c r="AF20586" s="831" t="s">
        <v>11093</v>
      </c>
      <c r="AG20586" s="831" t="s">
        <v>2674</v>
      </c>
      <c r="AH20586" s="831" t="s">
        <v>549</v>
      </c>
      <c r="AI20586" s="831">
        <v>0</v>
      </c>
      <c r="AJ20586" s="835">
        <v>41547</v>
      </c>
      <c r="AK20586" s="831">
        <v>367084945</v>
      </c>
    </row>
    <row r="20587" spans="32:37">
      <c r="AF20587" s="831" t="s">
        <v>11094</v>
      </c>
      <c r="AG20587" s="831" t="s">
        <v>2674</v>
      </c>
      <c r="AH20587" s="831" t="s">
        <v>192</v>
      </c>
      <c r="AI20587" s="831">
        <v>0</v>
      </c>
      <c r="AJ20587" s="835">
        <v>41547</v>
      </c>
      <c r="AK20587" s="831">
        <v>-12882814</v>
      </c>
    </row>
    <row r="20588" spans="32:37">
      <c r="AF20588" s="831" t="s">
        <v>11095</v>
      </c>
      <c r="AG20588" s="831" t="s">
        <v>2674</v>
      </c>
      <c r="AH20588" s="831" t="s">
        <v>558</v>
      </c>
      <c r="AI20588" s="831">
        <v>0</v>
      </c>
      <c r="AJ20588" s="835">
        <v>41547</v>
      </c>
      <c r="AK20588" s="831">
        <v>575624949</v>
      </c>
    </row>
    <row r="20589" spans="32:37">
      <c r="AF20589" s="831" t="s">
        <v>11096</v>
      </c>
      <c r="AG20589" s="831" t="s">
        <v>2674</v>
      </c>
      <c r="AH20589" s="831" t="s">
        <v>65</v>
      </c>
      <c r="AI20589" s="831">
        <v>0</v>
      </c>
      <c r="AJ20589" s="835">
        <v>41547</v>
      </c>
      <c r="AK20589" s="831">
        <v>95313557</v>
      </c>
    </row>
    <row r="20590" spans="32:37">
      <c r="AF20590" s="831" t="s">
        <v>11097</v>
      </c>
      <c r="AG20590" s="831" t="s">
        <v>2674</v>
      </c>
      <c r="AH20590" s="831" t="s">
        <v>89</v>
      </c>
      <c r="AI20590" s="831">
        <v>0</v>
      </c>
      <c r="AJ20590" s="835">
        <v>41547</v>
      </c>
      <c r="AK20590" s="831">
        <v>141558</v>
      </c>
    </row>
    <row r="20591" spans="32:37">
      <c r="AF20591" s="831" t="s">
        <v>11098</v>
      </c>
      <c r="AG20591" s="831" t="s">
        <v>2674</v>
      </c>
      <c r="AH20591" s="831" t="s">
        <v>557</v>
      </c>
      <c r="AI20591" s="831">
        <v>0</v>
      </c>
      <c r="AJ20591" s="835">
        <v>41547</v>
      </c>
      <c r="AK20591" s="831">
        <v>150480</v>
      </c>
    </row>
    <row r="20592" spans="32:37">
      <c r="AF20592" s="831" t="s">
        <v>11099</v>
      </c>
      <c r="AG20592" s="831" t="s">
        <v>2674</v>
      </c>
      <c r="AH20592" s="831" t="s">
        <v>29</v>
      </c>
      <c r="AI20592" s="831">
        <v>0</v>
      </c>
      <c r="AJ20592" s="835">
        <v>41547</v>
      </c>
      <c r="AK20592" s="831">
        <v>1808536.49</v>
      </c>
    </row>
    <row r="20593" spans="32:37">
      <c r="AF20593" s="831" t="s">
        <v>11100</v>
      </c>
      <c r="AG20593" s="831" t="s">
        <v>2674</v>
      </c>
      <c r="AH20593" s="831" t="s">
        <v>2688</v>
      </c>
      <c r="AI20593" s="831">
        <v>0</v>
      </c>
      <c r="AJ20593" s="835">
        <v>41547</v>
      </c>
      <c r="AK20593" s="831">
        <v>1944896.06</v>
      </c>
    </row>
    <row r="20594" spans="32:37">
      <c r="AF20594" s="831" t="s">
        <v>11101</v>
      </c>
      <c r="AG20594" s="831" t="s">
        <v>2674</v>
      </c>
      <c r="AH20594" s="831" t="s">
        <v>556</v>
      </c>
      <c r="AI20594" s="831">
        <v>0</v>
      </c>
      <c r="AJ20594" s="835">
        <v>41547</v>
      </c>
      <c r="AK20594" s="831">
        <v>1644732</v>
      </c>
    </row>
    <row r="20595" spans="32:37">
      <c r="AF20595" s="831" t="s">
        <v>11102</v>
      </c>
      <c r="AG20595" s="831" t="s">
        <v>2674</v>
      </c>
      <c r="AH20595" s="831" t="s">
        <v>555</v>
      </c>
      <c r="AI20595" s="831">
        <v>0</v>
      </c>
      <c r="AJ20595" s="835">
        <v>41547</v>
      </c>
      <c r="AK20595" s="831">
        <v>373785500</v>
      </c>
    </row>
    <row r="20596" spans="32:37">
      <c r="AF20596" s="831" t="s">
        <v>11103</v>
      </c>
      <c r="AG20596" s="831" t="s">
        <v>2674</v>
      </c>
      <c r="AH20596" s="831" t="s">
        <v>554</v>
      </c>
      <c r="AI20596" s="831">
        <v>0</v>
      </c>
      <c r="AJ20596" s="835">
        <v>41547</v>
      </c>
      <c r="AK20596" s="831">
        <v>389313510</v>
      </c>
    </row>
    <row r="20597" spans="32:37">
      <c r="AF20597" s="831" t="s">
        <v>11104</v>
      </c>
      <c r="AG20597" s="831" t="s">
        <v>2674</v>
      </c>
      <c r="AH20597" s="831" t="s">
        <v>553</v>
      </c>
      <c r="AI20597" s="831">
        <v>0</v>
      </c>
      <c r="AJ20597" s="835">
        <v>41547</v>
      </c>
      <c r="AK20597" s="831">
        <v>0</v>
      </c>
    </row>
    <row r="20598" spans="32:37">
      <c r="AF20598" s="831" t="s">
        <v>11105</v>
      </c>
      <c r="AG20598" s="831" t="s">
        <v>2674</v>
      </c>
      <c r="AH20598" s="831" t="s">
        <v>552</v>
      </c>
      <c r="AI20598" s="831">
        <v>0</v>
      </c>
      <c r="AJ20598" s="835">
        <v>41547</v>
      </c>
      <c r="AK20598" s="831">
        <v>0</v>
      </c>
    </row>
    <row r="20599" spans="32:37">
      <c r="AF20599" s="831" t="s">
        <v>11106</v>
      </c>
      <c r="AG20599" s="831" t="s">
        <v>2674</v>
      </c>
      <c r="AH20599" s="831" t="s">
        <v>551</v>
      </c>
      <c r="AI20599" s="831">
        <v>0</v>
      </c>
      <c r="AJ20599" s="835">
        <v>41547</v>
      </c>
      <c r="AK20599" s="831">
        <v>1611508.6</v>
      </c>
    </row>
    <row r="20600" spans="32:37">
      <c r="AF20600" s="831" t="s">
        <v>11107</v>
      </c>
      <c r="AG20600" s="831" t="s">
        <v>2674</v>
      </c>
      <c r="AH20600" s="831" t="s">
        <v>550</v>
      </c>
      <c r="AI20600" s="831">
        <v>0</v>
      </c>
      <c r="AJ20600" s="835">
        <v>41547</v>
      </c>
      <c r="AK20600" s="831">
        <v>113874944</v>
      </c>
    </row>
    <row r="20601" spans="32:37">
      <c r="AF20601" s="831" t="s">
        <v>11108</v>
      </c>
      <c r="AG20601" s="831" t="s">
        <v>2674</v>
      </c>
      <c r="AH20601" s="831" t="s">
        <v>562</v>
      </c>
      <c r="AI20601" s="831">
        <v>0</v>
      </c>
      <c r="AJ20601" s="835">
        <v>41547</v>
      </c>
      <c r="AK20601" s="831">
        <v>0.78395000000000004</v>
      </c>
    </row>
    <row r="20602" spans="32:37">
      <c r="AF20602" s="831" t="s">
        <v>11109</v>
      </c>
      <c r="AG20602" s="831" t="s">
        <v>2674</v>
      </c>
      <c r="AH20602" s="831" t="s">
        <v>2698</v>
      </c>
      <c r="AI20602" s="831">
        <v>0</v>
      </c>
      <c r="AJ20602" s="835">
        <v>41547</v>
      </c>
      <c r="AK20602" s="831">
        <v>0.78385000000000005</v>
      </c>
    </row>
    <row r="20603" spans="32:37">
      <c r="AF20603" s="831" t="s">
        <v>11110</v>
      </c>
      <c r="AG20603" s="831" t="s">
        <v>2674</v>
      </c>
      <c r="AH20603" s="831" t="s">
        <v>560</v>
      </c>
      <c r="AI20603" s="831">
        <v>0</v>
      </c>
      <c r="AJ20603" s="835">
        <v>41547</v>
      </c>
      <c r="AK20603" s="831">
        <v>0.78400555555555551</v>
      </c>
    </row>
    <row r="20604" spans="32:37">
      <c r="AF20604" s="831" t="s">
        <v>11111</v>
      </c>
      <c r="AG20604" s="831" t="s">
        <v>2674</v>
      </c>
      <c r="AH20604" s="831" t="s">
        <v>559</v>
      </c>
      <c r="AI20604" s="831">
        <v>0</v>
      </c>
      <c r="AJ20604" s="835">
        <v>41547</v>
      </c>
      <c r="AK20604" s="831">
        <v>0.78404583333333333</v>
      </c>
    </row>
    <row r="20605" spans="32:37">
      <c r="AF20605" s="831" t="s">
        <v>11112</v>
      </c>
      <c r="AG20605" s="831" t="s">
        <v>2674</v>
      </c>
      <c r="AH20605" s="831" t="s">
        <v>568</v>
      </c>
      <c r="AI20605" s="831">
        <v>0</v>
      </c>
      <c r="AJ20605" s="835">
        <v>41547</v>
      </c>
      <c r="AK20605" s="831">
        <v>462009040.84615386</v>
      </c>
    </row>
    <row r="20606" spans="32:37">
      <c r="AF20606" s="831" t="s">
        <v>11113</v>
      </c>
      <c r="AG20606" s="831" t="s">
        <v>2674</v>
      </c>
      <c r="AH20606" s="831" t="s">
        <v>569</v>
      </c>
      <c r="AI20606" s="831">
        <v>0</v>
      </c>
      <c r="AJ20606" s="835">
        <v>41547</v>
      </c>
      <c r="AK20606" s="831">
        <v>560598027.84615386</v>
      </c>
    </row>
    <row r="20607" spans="32:37">
      <c r="AF20607" s="831" t="s">
        <v>11114</v>
      </c>
      <c r="AG20607" s="831" t="s">
        <v>2674</v>
      </c>
      <c r="AH20607" s="831" t="s">
        <v>570</v>
      </c>
      <c r="AI20607" s="831">
        <v>0</v>
      </c>
      <c r="AJ20607" s="835">
        <v>41547</v>
      </c>
      <c r="AK20607" s="831">
        <v>104238995.3076923</v>
      </c>
    </row>
    <row r="20608" spans="32:37">
      <c r="AF20608" s="831" t="s">
        <v>11115</v>
      </c>
      <c r="AG20608" s="831" t="s">
        <v>2674</v>
      </c>
      <c r="AH20608" s="831" t="s">
        <v>571</v>
      </c>
      <c r="AI20608" s="831">
        <v>0</v>
      </c>
      <c r="AJ20608" s="835">
        <v>41547</v>
      </c>
      <c r="AK20608" s="831">
        <v>257329819.61538461</v>
      </c>
    </row>
    <row r="20609" spans="32:37">
      <c r="AF20609" s="831" t="s">
        <v>11116</v>
      </c>
      <c r="AG20609" s="831" t="s">
        <v>2674</v>
      </c>
      <c r="AH20609" s="831" t="s">
        <v>573</v>
      </c>
      <c r="AI20609" s="831">
        <v>0</v>
      </c>
      <c r="AJ20609" s="835">
        <v>41547</v>
      </c>
      <c r="AK20609" s="831">
        <v>590906867</v>
      </c>
    </row>
    <row r="20610" spans="32:37">
      <c r="AF20610" s="831" t="s">
        <v>11117</v>
      </c>
      <c r="AG20610" s="831" t="s">
        <v>2674</v>
      </c>
      <c r="AH20610" s="831" t="s">
        <v>574</v>
      </c>
      <c r="AI20610" s="831">
        <v>0</v>
      </c>
      <c r="AJ20610" s="835">
        <v>41547</v>
      </c>
      <c r="AK20610" s="831">
        <v>486854454.89999998</v>
      </c>
    </row>
    <row r="20611" spans="32:37">
      <c r="AF20611" s="831" t="s">
        <v>11118</v>
      </c>
      <c r="AG20611" s="831" t="s">
        <v>2674</v>
      </c>
      <c r="AH20611" s="831" t="s">
        <v>575</v>
      </c>
      <c r="AI20611" s="831">
        <v>0</v>
      </c>
      <c r="AJ20611" s="835">
        <v>41547</v>
      </c>
      <c r="AK20611" s="831">
        <v>105640927.8</v>
      </c>
    </row>
    <row r="20612" spans="32:37">
      <c r="AF20612" s="831" t="s">
        <v>11119</v>
      </c>
      <c r="AG20612" s="831" t="s">
        <v>2674</v>
      </c>
      <c r="AH20612" s="831" t="s">
        <v>576</v>
      </c>
      <c r="AI20612" s="831">
        <v>0</v>
      </c>
      <c r="AJ20612" s="835">
        <v>41547</v>
      </c>
      <c r="AK20612" s="831">
        <v>277318070.10000002</v>
      </c>
    </row>
    <row r="20613" spans="32:37">
      <c r="AF20613" s="831" t="s">
        <v>11120</v>
      </c>
      <c r="AG20613" s="831" t="s">
        <v>2674</v>
      </c>
      <c r="AH20613" s="831" t="s">
        <v>572</v>
      </c>
      <c r="AI20613" s="831">
        <v>0</v>
      </c>
      <c r="AJ20613" s="835">
        <v>41547</v>
      </c>
      <c r="AK20613" s="831">
        <v>26160885</v>
      </c>
    </row>
    <row r="20614" spans="32:37">
      <c r="AF20614" s="831" t="s">
        <v>11121</v>
      </c>
      <c r="AG20614" s="831" t="s">
        <v>2674</v>
      </c>
      <c r="AH20614" s="831" t="s">
        <v>577</v>
      </c>
      <c r="AI20614" s="831">
        <v>0</v>
      </c>
      <c r="AJ20614" s="835">
        <v>41547</v>
      </c>
      <c r="AK20614" s="831">
        <v>122921739</v>
      </c>
    </row>
    <row r="20615" spans="32:37">
      <c r="AF20615" s="831" t="s">
        <v>11122</v>
      </c>
      <c r="AG20615" s="831" t="s">
        <v>2674</v>
      </c>
      <c r="AH20615" s="831" t="s">
        <v>3042</v>
      </c>
      <c r="AI20615" s="831">
        <v>0</v>
      </c>
      <c r="AJ20615" s="835">
        <v>41547</v>
      </c>
      <c r="AK20615" s="831">
        <v>-30135210</v>
      </c>
    </row>
    <row r="20616" spans="32:37">
      <c r="AF20616" s="831" t="s">
        <v>11123</v>
      </c>
      <c r="AG20616" s="831" t="s">
        <v>2674</v>
      </c>
      <c r="AH20616" s="831" t="s">
        <v>3044</v>
      </c>
      <c r="AI20616" s="831">
        <v>0</v>
      </c>
      <c r="AJ20616" s="835">
        <v>41547</v>
      </c>
      <c r="AK20616" s="831">
        <v>-4515854</v>
      </c>
    </row>
    <row r="20617" spans="32:37">
      <c r="AF20617" s="831" t="s">
        <v>11124</v>
      </c>
      <c r="AG20617" s="831" t="s">
        <v>2674</v>
      </c>
      <c r="AH20617" s="831" t="s">
        <v>580</v>
      </c>
      <c r="AI20617" s="831">
        <v>0</v>
      </c>
      <c r="AJ20617" s="835">
        <v>41547</v>
      </c>
      <c r="AK20617" s="831">
        <v>-59169843</v>
      </c>
    </row>
    <row r="20618" spans="32:37">
      <c r="AF20618" s="831" t="s">
        <v>11125</v>
      </c>
      <c r="AG20618" s="831" t="s">
        <v>2674</v>
      </c>
      <c r="AH20618" s="831" t="s">
        <v>581</v>
      </c>
      <c r="AI20618" s="831">
        <v>0</v>
      </c>
      <c r="AJ20618" s="835">
        <v>41547</v>
      </c>
      <c r="AK20618" s="831">
        <v>4375184</v>
      </c>
    </row>
    <row r="20619" spans="32:37">
      <c r="AF20619" s="831" t="s">
        <v>11126</v>
      </c>
      <c r="AG20619" s="831" t="s">
        <v>2674</v>
      </c>
      <c r="AH20619" s="831" t="s">
        <v>105</v>
      </c>
      <c r="AI20619" s="831">
        <v>0</v>
      </c>
      <c r="AJ20619" s="835">
        <v>41547</v>
      </c>
      <c r="AK20619" s="831">
        <v>338957368</v>
      </c>
    </row>
    <row r="20620" spans="32:37">
      <c r="AF20620" s="831" t="s">
        <v>11127</v>
      </c>
      <c r="AG20620" s="831" t="s">
        <v>2674</v>
      </c>
      <c r="AH20620" s="831" t="s">
        <v>3049</v>
      </c>
      <c r="AI20620" s="831">
        <v>0</v>
      </c>
      <c r="AJ20620" s="835">
        <v>41547</v>
      </c>
      <c r="AK20620" s="831">
        <v>558920871</v>
      </c>
    </row>
    <row r="20621" spans="32:37">
      <c r="AF20621" s="831" t="s">
        <v>11128</v>
      </c>
      <c r="AG20621" s="831" t="s">
        <v>2674</v>
      </c>
      <c r="AH20621" s="831" t="s">
        <v>103</v>
      </c>
      <c r="AI20621" s="831">
        <v>0</v>
      </c>
      <c r="AJ20621" s="835">
        <v>41547</v>
      </c>
      <c r="AK20621" s="831">
        <v>219963503</v>
      </c>
    </row>
    <row r="20622" spans="32:37">
      <c r="AF20622" s="831" t="s">
        <v>11129</v>
      </c>
      <c r="AG20622" s="831" t="s">
        <v>2674</v>
      </c>
      <c r="AH20622" s="831" t="s">
        <v>182</v>
      </c>
      <c r="AI20622" s="831">
        <v>0</v>
      </c>
      <c r="AJ20622" s="835">
        <v>41547</v>
      </c>
      <c r="AK20622" s="831">
        <v>57784893.333333336</v>
      </c>
    </row>
    <row r="20623" spans="32:37">
      <c r="AF20623" s="831" t="s">
        <v>11130</v>
      </c>
      <c r="AG20623" s="831" t="s">
        <v>2674</v>
      </c>
      <c r="AH20623" s="831" t="s">
        <v>6600</v>
      </c>
      <c r="AI20623" s="831">
        <v>0</v>
      </c>
      <c r="AJ20623" s="835">
        <v>41547</v>
      </c>
      <c r="AK20623" s="831">
        <v>26160885</v>
      </c>
    </row>
    <row r="20624" spans="32:37">
      <c r="AF20624" s="831" t="s">
        <v>11131</v>
      </c>
      <c r="AG20624" s="831" t="s">
        <v>2674</v>
      </c>
      <c r="AH20624" s="831" t="s">
        <v>6602</v>
      </c>
      <c r="AI20624" s="831">
        <v>0</v>
      </c>
      <c r="AJ20624" s="835">
        <v>41547</v>
      </c>
      <c r="AK20624" s="831">
        <v>22407414</v>
      </c>
    </row>
    <row r="20625" spans="32:37">
      <c r="AF20625" s="831" t="s">
        <v>11132</v>
      </c>
      <c r="AG20625" s="831" t="s">
        <v>2674</v>
      </c>
      <c r="AH20625" s="831" t="s">
        <v>650</v>
      </c>
      <c r="AI20625" s="831">
        <v>0</v>
      </c>
      <c r="AJ20625" s="835">
        <v>41547</v>
      </c>
      <c r="AK20625" s="831">
        <v>184913431.55000001</v>
      </c>
    </row>
    <row r="20626" spans="32:37">
      <c r="AF20626" s="831" t="s">
        <v>11133</v>
      </c>
      <c r="AG20626" s="831" t="s">
        <v>2674</v>
      </c>
      <c r="AH20626" s="831" t="s">
        <v>655</v>
      </c>
      <c r="AI20626" s="831">
        <v>0</v>
      </c>
      <c r="AJ20626" s="835">
        <v>41547</v>
      </c>
      <c r="AK20626" s="831">
        <v>1374522.24</v>
      </c>
    </row>
    <row r="20627" spans="32:37">
      <c r="AF20627" s="831" t="s">
        <v>11134</v>
      </c>
      <c r="AG20627" s="831" t="s">
        <v>2674</v>
      </c>
      <c r="AH20627" s="831" t="s">
        <v>546</v>
      </c>
      <c r="AI20627" s="831">
        <v>0</v>
      </c>
      <c r="AJ20627" s="835">
        <v>41578</v>
      </c>
      <c r="AK20627" s="831">
        <v>580271359</v>
      </c>
    </row>
    <row r="20628" spans="32:37">
      <c r="AF20628" s="831" t="s">
        <v>11135</v>
      </c>
      <c r="AG20628" s="831" t="s">
        <v>2674</v>
      </c>
      <c r="AH20628" s="831" t="s">
        <v>370</v>
      </c>
      <c r="AI20628" s="831">
        <v>0</v>
      </c>
      <c r="AJ20628" s="835">
        <v>41578</v>
      </c>
      <c r="AK20628" s="831">
        <v>723686405</v>
      </c>
    </row>
    <row r="20629" spans="32:37">
      <c r="AF20629" s="831" t="s">
        <v>11136</v>
      </c>
      <c r="AG20629" s="831" t="s">
        <v>2674</v>
      </c>
      <c r="AH20629" s="831" t="s">
        <v>126</v>
      </c>
      <c r="AI20629" s="831">
        <v>0</v>
      </c>
      <c r="AJ20629" s="835">
        <v>41578</v>
      </c>
      <c r="AK20629" s="831">
        <v>120290863</v>
      </c>
    </row>
    <row r="20630" spans="32:37">
      <c r="AF20630" s="831" t="s">
        <v>11137</v>
      </c>
      <c r="AG20630" s="831" t="s">
        <v>2674</v>
      </c>
      <c r="AH20630" s="831" t="s">
        <v>268</v>
      </c>
      <c r="AI20630" s="831">
        <v>0</v>
      </c>
      <c r="AJ20630" s="835">
        <v>41578</v>
      </c>
      <c r="AK20630" s="831">
        <v>25527641</v>
      </c>
    </row>
    <row r="20631" spans="32:37">
      <c r="AF20631" s="831" t="s">
        <v>11138</v>
      </c>
      <c r="AG20631" s="831" t="s">
        <v>2674</v>
      </c>
      <c r="AH20631" s="831" t="s">
        <v>547</v>
      </c>
      <c r="AI20631" s="831">
        <v>0</v>
      </c>
      <c r="AJ20631" s="835">
        <v>41578</v>
      </c>
      <c r="AK20631" s="831">
        <v>511487760</v>
      </c>
    </row>
    <row r="20632" spans="32:37">
      <c r="AF20632" s="831" t="s">
        <v>11139</v>
      </c>
      <c r="AG20632" s="831" t="s">
        <v>2674</v>
      </c>
      <c r="AH20632" s="831" t="s">
        <v>548</v>
      </c>
      <c r="AI20632" s="831">
        <v>0</v>
      </c>
      <c r="AJ20632" s="835">
        <v>41578</v>
      </c>
      <c r="AK20632" s="831">
        <v>96883184</v>
      </c>
    </row>
    <row r="20633" spans="32:37">
      <c r="AF20633" s="831" t="s">
        <v>11140</v>
      </c>
      <c r="AG20633" s="831" t="s">
        <v>2674</v>
      </c>
      <c r="AH20633" s="831" t="s">
        <v>549</v>
      </c>
      <c r="AI20633" s="831">
        <v>0</v>
      </c>
      <c r="AJ20633" s="835">
        <v>41578</v>
      </c>
      <c r="AK20633" s="831">
        <v>376404251</v>
      </c>
    </row>
    <row r="20634" spans="32:37">
      <c r="AF20634" s="831" t="s">
        <v>11141</v>
      </c>
      <c r="AG20634" s="831" t="s">
        <v>2674</v>
      </c>
      <c r="AH20634" s="831" t="s">
        <v>192</v>
      </c>
      <c r="AI20634" s="831">
        <v>0</v>
      </c>
      <c r="AJ20634" s="835">
        <v>41578</v>
      </c>
      <c r="AK20634" s="831">
        <v>-13193791</v>
      </c>
    </row>
    <row r="20635" spans="32:37">
      <c r="AF20635" s="831" t="s">
        <v>11142</v>
      </c>
      <c r="AG20635" s="831" t="s">
        <v>2674</v>
      </c>
      <c r="AH20635" s="831" t="s">
        <v>558</v>
      </c>
      <c r="AI20635" s="831">
        <v>0</v>
      </c>
      <c r="AJ20635" s="835">
        <v>41578</v>
      </c>
      <c r="AK20635" s="831">
        <v>603395542</v>
      </c>
    </row>
    <row r="20636" spans="32:37">
      <c r="AF20636" s="831" t="s">
        <v>11143</v>
      </c>
      <c r="AG20636" s="831" t="s">
        <v>2674</v>
      </c>
      <c r="AH20636" s="831" t="s">
        <v>65</v>
      </c>
      <c r="AI20636" s="831">
        <v>0</v>
      </c>
      <c r="AJ20636" s="835">
        <v>41578</v>
      </c>
      <c r="AK20636" s="831">
        <v>107527674</v>
      </c>
    </row>
    <row r="20637" spans="32:37">
      <c r="AF20637" s="831" t="s">
        <v>11144</v>
      </c>
      <c r="AG20637" s="831" t="s">
        <v>2674</v>
      </c>
      <c r="AH20637" s="831" t="s">
        <v>89</v>
      </c>
      <c r="AI20637" s="831">
        <v>0</v>
      </c>
      <c r="AJ20637" s="835">
        <v>41578</v>
      </c>
      <c r="AK20637" s="831">
        <v>143295</v>
      </c>
    </row>
    <row r="20638" spans="32:37">
      <c r="AF20638" s="831" t="s">
        <v>11145</v>
      </c>
      <c r="AG20638" s="831" t="s">
        <v>2674</v>
      </c>
      <c r="AH20638" s="831" t="s">
        <v>557</v>
      </c>
      <c r="AI20638" s="831">
        <v>0</v>
      </c>
      <c r="AJ20638" s="835">
        <v>41578</v>
      </c>
      <c r="AK20638" s="831">
        <v>153100</v>
      </c>
    </row>
    <row r="20639" spans="32:37">
      <c r="AF20639" s="831" t="s">
        <v>11146</v>
      </c>
      <c r="AG20639" s="831" t="s">
        <v>2674</v>
      </c>
      <c r="AH20639" s="831" t="s">
        <v>29</v>
      </c>
      <c r="AI20639" s="831">
        <v>0</v>
      </c>
      <c r="AJ20639" s="835">
        <v>41578</v>
      </c>
      <c r="AK20639" s="831">
        <v>1718550.9230000002</v>
      </c>
    </row>
    <row r="20640" spans="32:37">
      <c r="AF20640" s="831" t="s">
        <v>11147</v>
      </c>
      <c r="AG20640" s="831" t="s">
        <v>2674</v>
      </c>
      <c r="AH20640" s="831" t="s">
        <v>2688</v>
      </c>
      <c r="AI20640" s="831">
        <v>0</v>
      </c>
      <c r="AJ20640" s="835">
        <v>41578</v>
      </c>
      <c r="AK20640" s="831">
        <v>2316853.79</v>
      </c>
    </row>
    <row r="20641" spans="32:37">
      <c r="AF20641" s="831" t="s">
        <v>11148</v>
      </c>
      <c r="AG20641" s="831" t="s">
        <v>2674</v>
      </c>
      <c r="AH20641" s="831" t="s">
        <v>556</v>
      </c>
      <c r="AI20641" s="831">
        <v>0</v>
      </c>
      <c r="AJ20641" s="835">
        <v>41578</v>
      </c>
      <c r="AK20641" s="831">
        <v>1644732</v>
      </c>
    </row>
    <row r="20642" spans="32:37">
      <c r="AF20642" s="831" t="s">
        <v>11149</v>
      </c>
      <c r="AG20642" s="831" t="s">
        <v>2674</v>
      </c>
      <c r="AH20642" s="831" t="s">
        <v>555</v>
      </c>
      <c r="AI20642" s="831">
        <v>0</v>
      </c>
      <c r="AJ20642" s="835">
        <v>41578</v>
      </c>
      <c r="AK20642" s="831">
        <v>400055160</v>
      </c>
    </row>
    <row r="20643" spans="32:37">
      <c r="AF20643" s="831" t="s">
        <v>11150</v>
      </c>
      <c r="AG20643" s="831" t="s">
        <v>2674</v>
      </c>
      <c r="AH20643" s="831" t="s">
        <v>554</v>
      </c>
      <c r="AI20643" s="831">
        <v>0</v>
      </c>
      <c r="AJ20643" s="835">
        <v>41578</v>
      </c>
      <c r="AK20643" s="831">
        <v>409100170</v>
      </c>
    </row>
    <row r="20644" spans="32:37">
      <c r="AF20644" s="831" t="s">
        <v>11151</v>
      </c>
      <c r="AG20644" s="831" t="s">
        <v>2674</v>
      </c>
      <c r="AH20644" s="831" t="s">
        <v>553</v>
      </c>
      <c r="AI20644" s="831">
        <v>0</v>
      </c>
      <c r="AJ20644" s="835">
        <v>41578</v>
      </c>
      <c r="AK20644" s="831">
        <v>0</v>
      </c>
    </row>
    <row r="20645" spans="32:37">
      <c r="AF20645" s="831" t="s">
        <v>11152</v>
      </c>
      <c r="AG20645" s="831" t="s">
        <v>2674</v>
      </c>
      <c r="AH20645" s="831" t="s">
        <v>552</v>
      </c>
      <c r="AI20645" s="831">
        <v>0</v>
      </c>
      <c r="AJ20645" s="835">
        <v>41578</v>
      </c>
      <c r="AK20645" s="831">
        <v>0</v>
      </c>
    </row>
    <row r="20646" spans="32:37">
      <c r="AF20646" s="831" t="s">
        <v>11153</v>
      </c>
      <c r="AG20646" s="831" t="s">
        <v>2674</v>
      </c>
      <c r="AH20646" s="831" t="s">
        <v>551</v>
      </c>
      <c r="AI20646" s="831">
        <v>0</v>
      </c>
      <c r="AJ20646" s="835">
        <v>41578</v>
      </c>
      <c r="AK20646" s="831">
        <v>1543588.5830000001</v>
      </c>
    </row>
    <row r="20647" spans="32:37">
      <c r="AF20647" s="831" t="s">
        <v>11154</v>
      </c>
      <c r="AG20647" s="831" t="s">
        <v>2674</v>
      </c>
      <c r="AH20647" s="831" t="s">
        <v>550</v>
      </c>
      <c r="AI20647" s="831">
        <v>0</v>
      </c>
      <c r="AJ20647" s="835">
        <v>41578</v>
      </c>
      <c r="AK20647" s="831">
        <v>117170637</v>
      </c>
    </row>
    <row r="20648" spans="32:37">
      <c r="AF20648" s="831" t="s">
        <v>11155</v>
      </c>
      <c r="AG20648" s="831" t="s">
        <v>2674</v>
      </c>
      <c r="AH20648" s="831" t="s">
        <v>562</v>
      </c>
      <c r="AI20648" s="831">
        <v>0</v>
      </c>
      <c r="AJ20648" s="835">
        <v>41578</v>
      </c>
      <c r="AK20648" s="831">
        <v>0.78395000000000004</v>
      </c>
    </row>
    <row r="20649" spans="32:37">
      <c r="AF20649" s="831" t="s">
        <v>11156</v>
      </c>
      <c r="AG20649" s="831" t="s">
        <v>2674</v>
      </c>
      <c r="AH20649" s="831" t="s">
        <v>2698</v>
      </c>
      <c r="AI20649" s="831">
        <v>0</v>
      </c>
      <c r="AJ20649" s="835">
        <v>41578</v>
      </c>
      <c r="AK20649" s="831">
        <v>0.78395000000000004</v>
      </c>
    </row>
    <row r="20650" spans="32:37">
      <c r="AF20650" s="831" t="s">
        <v>11157</v>
      </c>
      <c r="AG20650" s="831" t="s">
        <v>2674</v>
      </c>
      <c r="AH20650" s="831" t="s">
        <v>560</v>
      </c>
      <c r="AI20650" s="831">
        <v>0</v>
      </c>
      <c r="AJ20650" s="835">
        <v>41578</v>
      </c>
      <c r="AK20650" s="831">
        <v>0.78400000000000003</v>
      </c>
    </row>
    <row r="20651" spans="32:37">
      <c r="AF20651" s="831" t="s">
        <v>11158</v>
      </c>
      <c r="AG20651" s="831" t="s">
        <v>2674</v>
      </c>
      <c r="AH20651" s="831" t="s">
        <v>559</v>
      </c>
      <c r="AI20651" s="831">
        <v>0</v>
      </c>
      <c r="AJ20651" s="835">
        <v>41578</v>
      </c>
      <c r="AK20651" s="831">
        <v>0.78401250000000011</v>
      </c>
    </row>
    <row r="20652" spans="32:37">
      <c r="AF20652" s="831" t="s">
        <v>11159</v>
      </c>
      <c r="AG20652" s="831" t="s">
        <v>2674</v>
      </c>
      <c r="AH20652" s="831" t="s">
        <v>568</v>
      </c>
      <c r="AI20652" s="831">
        <v>0</v>
      </c>
      <c r="AJ20652" s="835">
        <v>41578</v>
      </c>
      <c r="AK20652" s="831">
        <v>478407995.76923078</v>
      </c>
    </row>
    <row r="20653" spans="32:37">
      <c r="AF20653" s="831" t="s">
        <v>11160</v>
      </c>
      <c r="AG20653" s="831" t="s">
        <v>2674</v>
      </c>
      <c r="AH20653" s="831" t="s">
        <v>569</v>
      </c>
      <c r="AI20653" s="831">
        <v>0</v>
      </c>
      <c r="AJ20653" s="835">
        <v>41578</v>
      </c>
      <c r="AK20653" s="831">
        <v>581144138.23076928</v>
      </c>
    </row>
    <row r="20654" spans="32:37">
      <c r="AF20654" s="831" t="s">
        <v>11161</v>
      </c>
      <c r="AG20654" s="831" t="s">
        <v>2674</v>
      </c>
      <c r="AH20654" s="831" t="s">
        <v>570</v>
      </c>
      <c r="AI20654" s="831">
        <v>0</v>
      </c>
      <c r="AJ20654" s="835">
        <v>41578</v>
      </c>
      <c r="AK20654" s="831">
        <v>105999107.61538461</v>
      </c>
    </row>
    <row r="20655" spans="32:37">
      <c r="AF20655" s="831" t="s">
        <v>11162</v>
      </c>
      <c r="AG20655" s="831" t="s">
        <v>2674</v>
      </c>
      <c r="AH20655" s="831" t="s">
        <v>571</v>
      </c>
      <c r="AI20655" s="831">
        <v>0</v>
      </c>
      <c r="AJ20655" s="835">
        <v>41578</v>
      </c>
      <c r="AK20655" s="831">
        <v>269945691.38461536</v>
      </c>
    </row>
    <row r="20656" spans="32:37">
      <c r="AF20656" s="831" t="s">
        <v>11163</v>
      </c>
      <c r="AG20656" s="831" t="s">
        <v>2674</v>
      </c>
      <c r="AH20656" s="831" t="s">
        <v>573</v>
      </c>
      <c r="AI20656" s="831">
        <v>0</v>
      </c>
      <c r="AJ20656" s="835">
        <v>41578</v>
      </c>
      <c r="AK20656" s="831">
        <v>602977734.09090912</v>
      </c>
    </row>
    <row r="20657" spans="32:37">
      <c r="AF20657" s="831" t="s">
        <v>11164</v>
      </c>
      <c r="AG20657" s="831" t="s">
        <v>2674</v>
      </c>
      <c r="AH20657" s="831" t="s">
        <v>574</v>
      </c>
      <c r="AI20657" s="831">
        <v>0</v>
      </c>
      <c r="AJ20657" s="835">
        <v>41578</v>
      </c>
      <c r="AK20657" s="831">
        <v>495346900.72727275</v>
      </c>
    </row>
    <row r="20658" spans="32:37">
      <c r="AF20658" s="831" t="s">
        <v>11165</v>
      </c>
      <c r="AG20658" s="831" t="s">
        <v>2674</v>
      </c>
      <c r="AH20658" s="831" t="s">
        <v>575</v>
      </c>
      <c r="AI20658" s="831">
        <v>0</v>
      </c>
      <c r="AJ20658" s="835">
        <v>41578</v>
      </c>
      <c r="AK20658" s="831">
        <v>106972740.09090909</v>
      </c>
    </row>
    <row r="20659" spans="32:37">
      <c r="AF20659" s="831" t="s">
        <v>11166</v>
      </c>
      <c r="AG20659" s="831" t="s">
        <v>2674</v>
      </c>
      <c r="AH20659" s="831" t="s">
        <v>576</v>
      </c>
      <c r="AI20659" s="831">
        <v>0</v>
      </c>
      <c r="AJ20659" s="835">
        <v>41578</v>
      </c>
      <c r="AK20659" s="831">
        <v>283862763.27272725</v>
      </c>
    </row>
    <row r="20660" spans="32:37">
      <c r="AF20660" s="831" t="s">
        <v>11167</v>
      </c>
      <c r="AG20660" s="831" t="s">
        <v>2674</v>
      </c>
      <c r="AH20660" s="831" t="s">
        <v>572</v>
      </c>
      <c r="AI20660" s="831">
        <v>0</v>
      </c>
      <c r="AJ20660" s="835">
        <v>41578</v>
      </c>
      <c r="AK20660" s="831">
        <v>27259085</v>
      </c>
    </row>
    <row r="20661" spans="32:37">
      <c r="AF20661" s="831" t="s">
        <v>11168</v>
      </c>
      <c r="AG20661" s="831" t="s">
        <v>2674</v>
      </c>
      <c r="AH20661" s="831" t="s">
        <v>577</v>
      </c>
      <c r="AI20661" s="831">
        <v>0</v>
      </c>
      <c r="AJ20661" s="835">
        <v>41578</v>
      </c>
      <c r="AK20661" s="831">
        <v>126095724</v>
      </c>
    </row>
    <row r="20662" spans="32:37">
      <c r="AF20662" s="831" t="s">
        <v>11169</v>
      </c>
      <c r="AG20662" s="831" t="s">
        <v>2674</v>
      </c>
      <c r="AH20662" s="831" t="s">
        <v>3042</v>
      </c>
      <c r="AI20662" s="831">
        <v>0</v>
      </c>
      <c r="AJ20662" s="835">
        <v>41578</v>
      </c>
      <c r="AK20662" s="831">
        <v>-31522962</v>
      </c>
    </row>
    <row r="20663" spans="32:37">
      <c r="AF20663" s="831" t="s">
        <v>11170</v>
      </c>
      <c r="AG20663" s="831" t="s">
        <v>2674</v>
      </c>
      <c r="AH20663" s="831" t="s">
        <v>3044</v>
      </c>
      <c r="AI20663" s="831">
        <v>0</v>
      </c>
      <c r="AJ20663" s="835">
        <v>41578</v>
      </c>
      <c r="AK20663" s="831">
        <v>-4397277</v>
      </c>
    </row>
    <row r="20664" spans="32:37">
      <c r="AF20664" s="831" t="s">
        <v>11171</v>
      </c>
      <c r="AG20664" s="831" t="s">
        <v>2674</v>
      </c>
      <c r="AH20664" s="831" t="s">
        <v>580</v>
      </c>
      <c r="AI20664" s="831">
        <v>0</v>
      </c>
      <c r="AJ20664" s="835">
        <v>41578</v>
      </c>
      <c r="AK20664" s="831">
        <v>-60213639</v>
      </c>
    </row>
    <row r="20665" spans="32:37">
      <c r="AF20665" s="831" t="s">
        <v>11172</v>
      </c>
      <c r="AG20665" s="831" t="s">
        <v>2674</v>
      </c>
      <c r="AH20665" s="831" t="s">
        <v>581</v>
      </c>
      <c r="AI20665" s="831">
        <v>0</v>
      </c>
      <c r="AJ20665" s="835">
        <v>41578</v>
      </c>
      <c r="AK20665" s="831">
        <v>4896268</v>
      </c>
    </row>
    <row r="20666" spans="32:37">
      <c r="AF20666" s="831" t="s">
        <v>11173</v>
      </c>
      <c r="AG20666" s="831" t="s">
        <v>2674</v>
      </c>
      <c r="AH20666" s="831" t="s">
        <v>105</v>
      </c>
      <c r="AI20666" s="831">
        <v>0</v>
      </c>
      <c r="AJ20666" s="835">
        <v>41578</v>
      </c>
      <c r="AK20666" s="831">
        <v>349309695</v>
      </c>
    </row>
    <row r="20667" spans="32:37">
      <c r="AF20667" s="831" t="s">
        <v>11174</v>
      </c>
      <c r="AG20667" s="831" t="s">
        <v>2674</v>
      </c>
      <c r="AH20667" s="831" t="s">
        <v>3049</v>
      </c>
      <c r="AI20667" s="831">
        <v>0</v>
      </c>
      <c r="AJ20667" s="835">
        <v>41578</v>
      </c>
      <c r="AK20667" s="831">
        <v>582451860</v>
      </c>
    </row>
    <row r="20668" spans="32:37">
      <c r="AF20668" s="831" t="s">
        <v>11175</v>
      </c>
      <c r="AG20668" s="831" t="s">
        <v>2674</v>
      </c>
      <c r="AH20668" s="831" t="s">
        <v>103</v>
      </c>
      <c r="AI20668" s="831">
        <v>0</v>
      </c>
      <c r="AJ20668" s="835">
        <v>41578</v>
      </c>
      <c r="AK20668" s="831">
        <v>233142165</v>
      </c>
    </row>
    <row r="20669" spans="32:37">
      <c r="AF20669" s="831" t="s">
        <v>11176</v>
      </c>
      <c r="AG20669" s="831" t="s">
        <v>2674</v>
      </c>
      <c r="AH20669" s="831" t="s">
        <v>182</v>
      </c>
      <c r="AI20669" s="831">
        <v>0</v>
      </c>
      <c r="AJ20669" s="835">
        <v>41578</v>
      </c>
      <c r="AK20669" s="831">
        <v>58216306.799999997</v>
      </c>
    </row>
    <row r="20670" spans="32:37">
      <c r="AF20670" s="831" t="s">
        <v>11177</v>
      </c>
      <c r="AG20670" s="831" t="s">
        <v>2674</v>
      </c>
      <c r="AH20670" s="831" t="s">
        <v>6600</v>
      </c>
      <c r="AI20670" s="831">
        <v>0</v>
      </c>
      <c r="AJ20670" s="835">
        <v>41578</v>
      </c>
      <c r="AK20670" s="831">
        <v>27259085</v>
      </c>
    </row>
    <row r="20671" spans="32:37">
      <c r="AF20671" s="831" t="s">
        <v>11178</v>
      </c>
      <c r="AG20671" s="831" t="s">
        <v>2674</v>
      </c>
      <c r="AH20671" s="831" t="s">
        <v>6602</v>
      </c>
      <c r="AI20671" s="831">
        <v>0</v>
      </c>
      <c r="AJ20671" s="835">
        <v>41578</v>
      </c>
      <c r="AK20671" s="831">
        <v>25527641</v>
      </c>
    </row>
    <row r="20672" spans="32:37">
      <c r="AF20672" s="831" t="s">
        <v>11179</v>
      </c>
      <c r="AG20672" s="831" t="s">
        <v>2674</v>
      </c>
      <c r="AH20672" s="831" t="s">
        <v>650</v>
      </c>
      <c r="AI20672" s="831">
        <v>0</v>
      </c>
      <c r="AJ20672" s="835">
        <v>41578</v>
      </c>
      <c r="AK20672" s="831">
        <v>190388810.31923077</v>
      </c>
    </row>
    <row r="20673" spans="32:37">
      <c r="AF20673" s="831" t="s">
        <v>11180</v>
      </c>
      <c r="AG20673" s="831" t="s">
        <v>2674</v>
      </c>
      <c r="AH20673" s="831" t="s">
        <v>655</v>
      </c>
      <c r="AI20673" s="831">
        <v>0</v>
      </c>
      <c r="AJ20673" s="835">
        <v>41578</v>
      </c>
      <c r="AK20673" s="831">
        <v>1325401.845</v>
      </c>
    </row>
    <row r="20674" spans="32:37">
      <c r="AF20674" s="831" t="s">
        <v>11181</v>
      </c>
      <c r="AG20674" s="831" t="s">
        <v>2674</v>
      </c>
      <c r="AH20674" s="831" t="s">
        <v>546</v>
      </c>
      <c r="AI20674" s="831">
        <v>0</v>
      </c>
      <c r="AJ20674" s="835">
        <v>41608</v>
      </c>
      <c r="AK20674" s="831">
        <v>598049309.95000005</v>
      </c>
    </row>
    <row r="20675" spans="32:37">
      <c r="AF20675" s="831" t="s">
        <v>11182</v>
      </c>
      <c r="AG20675" s="831" t="s">
        <v>2674</v>
      </c>
      <c r="AH20675" s="831" t="s">
        <v>370</v>
      </c>
      <c r="AI20675" s="831">
        <v>0</v>
      </c>
      <c r="AJ20675" s="835">
        <v>41608</v>
      </c>
      <c r="AK20675" s="831">
        <v>744271522.09000015</v>
      </c>
    </row>
    <row r="20676" spans="32:37">
      <c r="AF20676" s="831" t="s">
        <v>11183</v>
      </c>
      <c r="AG20676" s="831" t="s">
        <v>2674</v>
      </c>
      <c r="AH20676" s="831" t="s">
        <v>126</v>
      </c>
      <c r="AI20676" s="831">
        <v>0</v>
      </c>
      <c r="AJ20676" s="835">
        <v>41608</v>
      </c>
      <c r="AK20676" s="831">
        <v>123117939.85600001</v>
      </c>
    </row>
    <row r="20677" spans="32:37">
      <c r="AF20677" s="831" t="s">
        <v>11184</v>
      </c>
      <c r="AG20677" s="831" t="s">
        <v>2674</v>
      </c>
      <c r="AH20677" s="831" t="s">
        <v>268</v>
      </c>
      <c r="AI20677" s="831">
        <v>0</v>
      </c>
      <c r="AJ20677" s="835">
        <v>41608</v>
      </c>
      <c r="AK20677" s="831">
        <v>28354718.032000005</v>
      </c>
    </row>
    <row r="20678" spans="32:37">
      <c r="AF20678" s="831" t="s">
        <v>11185</v>
      </c>
      <c r="AG20678" s="831" t="s">
        <v>2674</v>
      </c>
      <c r="AH20678" s="831" t="s">
        <v>547</v>
      </c>
      <c r="AI20678" s="831">
        <v>0</v>
      </c>
      <c r="AJ20678" s="835">
        <v>41608</v>
      </c>
      <c r="AK20678" s="831">
        <v>511487760</v>
      </c>
    </row>
    <row r="20679" spans="32:37">
      <c r="AF20679" s="831" t="s">
        <v>11186</v>
      </c>
      <c r="AG20679" s="831" t="s">
        <v>2674</v>
      </c>
      <c r="AH20679" s="831" t="s">
        <v>548</v>
      </c>
      <c r="AI20679" s="831">
        <v>0</v>
      </c>
      <c r="AJ20679" s="835">
        <v>41608</v>
      </c>
      <c r="AK20679" s="831">
        <v>96883184</v>
      </c>
    </row>
    <row r="20680" spans="32:37">
      <c r="AF20680" s="831" t="s">
        <v>11187</v>
      </c>
      <c r="AG20680" s="831" t="s">
        <v>2674</v>
      </c>
      <c r="AH20680" s="831" t="s">
        <v>549</v>
      </c>
      <c r="AI20680" s="831">
        <v>0</v>
      </c>
      <c r="AJ20680" s="835">
        <v>41608</v>
      </c>
      <c r="AK20680" s="831">
        <v>394083786</v>
      </c>
    </row>
    <row r="20681" spans="32:37">
      <c r="AF20681" s="831" t="s">
        <v>11188</v>
      </c>
      <c r="AG20681" s="831" t="s">
        <v>2674</v>
      </c>
      <c r="AH20681" s="831" t="s">
        <v>192</v>
      </c>
      <c r="AI20681" s="831">
        <v>0</v>
      </c>
      <c r="AJ20681" s="835">
        <v>41608</v>
      </c>
      <c r="AK20681" s="831">
        <v>-13734258.050000001</v>
      </c>
    </row>
    <row r="20682" spans="32:37">
      <c r="AF20682" s="831" t="s">
        <v>11189</v>
      </c>
      <c r="AG20682" s="831" t="s">
        <v>2674</v>
      </c>
      <c r="AH20682" s="831" t="s">
        <v>558</v>
      </c>
      <c r="AI20682" s="831">
        <v>0</v>
      </c>
      <c r="AJ20682" s="835">
        <v>41608</v>
      </c>
      <c r="AK20682" s="831">
        <v>621153581.74699998</v>
      </c>
    </row>
    <row r="20683" spans="32:37">
      <c r="AF20683" s="831" t="s">
        <v>11190</v>
      </c>
      <c r="AG20683" s="831" t="s">
        <v>2674</v>
      </c>
      <c r="AH20683" s="831" t="s">
        <v>65</v>
      </c>
      <c r="AI20683" s="831">
        <v>0</v>
      </c>
      <c r="AJ20683" s="835">
        <v>41608</v>
      </c>
      <c r="AK20683" s="831">
        <v>119540969.236</v>
      </c>
    </row>
    <row r="20684" spans="32:37">
      <c r="AF20684" s="831" t="s">
        <v>11191</v>
      </c>
      <c r="AG20684" s="831" t="s">
        <v>2674</v>
      </c>
      <c r="AH20684" s="831" t="s">
        <v>89</v>
      </c>
      <c r="AI20684" s="831">
        <v>0</v>
      </c>
      <c r="AJ20684" s="835">
        <v>41608</v>
      </c>
      <c r="AK20684" s="831">
        <v>145224</v>
      </c>
    </row>
    <row r="20685" spans="32:37">
      <c r="AF20685" s="831" t="s">
        <v>11192</v>
      </c>
      <c r="AG20685" s="831" t="s">
        <v>2674</v>
      </c>
      <c r="AH20685" s="831" t="s">
        <v>557</v>
      </c>
      <c r="AI20685" s="831">
        <v>0</v>
      </c>
      <c r="AJ20685" s="835">
        <v>41608</v>
      </c>
      <c r="AK20685" s="831">
        <v>155996</v>
      </c>
    </row>
    <row r="20686" spans="32:37">
      <c r="AF20686" s="831" t="s">
        <v>11193</v>
      </c>
      <c r="AG20686" s="831" t="s">
        <v>2674</v>
      </c>
      <c r="AH20686" s="831" t="s">
        <v>29</v>
      </c>
      <c r="AI20686" s="831">
        <v>0</v>
      </c>
      <c r="AJ20686" s="835">
        <v>41608</v>
      </c>
      <c r="AK20686" s="831">
        <v>1891894.6070000001</v>
      </c>
    </row>
    <row r="20687" spans="32:37">
      <c r="AF20687" s="831" t="s">
        <v>11194</v>
      </c>
      <c r="AG20687" s="831" t="s">
        <v>2674</v>
      </c>
      <c r="AH20687" s="831" t="s">
        <v>2688</v>
      </c>
      <c r="AI20687" s="831">
        <v>0</v>
      </c>
      <c r="AJ20687" s="835">
        <v>41608</v>
      </c>
      <c r="AK20687" s="831">
        <v>3430395.37</v>
      </c>
    </row>
    <row r="20688" spans="32:37">
      <c r="AF20688" s="831" t="s">
        <v>11195</v>
      </c>
      <c r="AG20688" s="831" t="s">
        <v>2674</v>
      </c>
      <c r="AH20688" s="831" t="s">
        <v>556</v>
      </c>
      <c r="AI20688" s="831">
        <v>0</v>
      </c>
      <c r="AJ20688" s="835">
        <v>41608</v>
      </c>
      <c r="AK20688" s="831">
        <v>1644732</v>
      </c>
    </row>
    <row r="20689" spans="32:37">
      <c r="AF20689" s="831" t="s">
        <v>11196</v>
      </c>
      <c r="AG20689" s="831" t="s">
        <v>2674</v>
      </c>
      <c r="AH20689" s="831" t="s">
        <v>555</v>
      </c>
      <c r="AI20689" s="831">
        <v>0</v>
      </c>
      <c r="AJ20689" s="835">
        <v>41608</v>
      </c>
      <c r="AK20689" s="831">
        <v>414052390</v>
      </c>
    </row>
    <row r="20690" spans="32:37">
      <c r="AF20690" s="831" t="s">
        <v>11197</v>
      </c>
      <c r="AG20690" s="831" t="s">
        <v>2674</v>
      </c>
      <c r="AH20690" s="831" t="s">
        <v>554</v>
      </c>
      <c r="AI20690" s="831">
        <v>0</v>
      </c>
      <c r="AJ20690" s="835">
        <v>41608</v>
      </c>
      <c r="AK20690" s="831">
        <v>421904620</v>
      </c>
    </row>
    <row r="20691" spans="32:37">
      <c r="AF20691" s="831" t="s">
        <v>11198</v>
      </c>
      <c r="AG20691" s="831" t="s">
        <v>2674</v>
      </c>
      <c r="AH20691" s="831" t="s">
        <v>553</v>
      </c>
      <c r="AI20691" s="831">
        <v>0</v>
      </c>
      <c r="AJ20691" s="835">
        <v>41608</v>
      </c>
      <c r="AK20691" s="831">
        <v>0</v>
      </c>
    </row>
    <row r="20692" spans="32:37">
      <c r="AF20692" s="831" t="s">
        <v>11199</v>
      </c>
      <c r="AG20692" s="831" t="s">
        <v>2674</v>
      </c>
      <c r="AH20692" s="831" t="s">
        <v>552</v>
      </c>
      <c r="AI20692" s="831">
        <v>0</v>
      </c>
      <c r="AJ20692" s="835">
        <v>41608</v>
      </c>
      <c r="AK20692" s="831">
        <v>0</v>
      </c>
    </row>
    <row r="20693" spans="32:37">
      <c r="AF20693" s="831" t="s">
        <v>11200</v>
      </c>
      <c r="AG20693" s="831" t="s">
        <v>2674</v>
      </c>
      <c r="AH20693" s="831" t="s">
        <v>551</v>
      </c>
      <c r="AI20693" s="831">
        <v>0</v>
      </c>
      <c r="AJ20693" s="835">
        <v>41608</v>
      </c>
      <c r="AK20693" s="831">
        <v>1659941.3510000003</v>
      </c>
    </row>
    <row r="20694" spans="32:37">
      <c r="AF20694" s="831" t="s">
        <v>11201</v>
      </c>
      <c r="AG20694" s="831" t="s">
        <v>2674</v>
      </c>
      <c r="AH20694" s="831" t="s">
        <v>550</v>
      </c>
      <c r="AI20694" s="831">
        <v>0</v>
      </c>
      <c r="AJ20694" s="835">
        <v>41608</v>
      </c>
      <c r="AK20694" s="831">
        <v>120290863</v>
      </c>
    </row>
    <row r="20695" spans="32:37">
      <c r="AF20695" s="831" t="s">
        <v>11202</v>
      </c>
      <c r="AG20695" s="831" t="s">
        <v>2674</v>
      </c>
      <c r="AH20695" s="831" t="s">
        <v>562</v>
      </c>
      <c r="AI20695" s="831">
        <v>0</v>
      </c>
      <c r="AJ20695" s="835">
        <v>41608</v>
      </c>
      <c r="AK20695" s="831">
        <v>0.78385000000000005</v>
      </c>
    </row>
    <row r="20696" spans="32:37">
      <c r="AF20696" s="831" t="s">
        <v>11203</v>
      </c>
      <c r="AG20696" s="831" t="s">
        <v>2674</v>
      </c>
      <c r="AH20696" s="831" t="s">
        <v>2698</v>
      </c>
      <c r="AI20696" s="831">
        <v>0</v>
      </c>
      <c r="AJ20696" s="835">
        <v>41608</v>
      </c>
      <c r="AK20696" s="831">
        <v>0.78395000000000004</v>
      </c>
    </row>
    <row r="20697" spans="32:37">
      <c r="AF20697" s="831" t="s">
        <v>11204</v>
      </c>
      <c r="AG20697" s="831" t="s">
        <v>2674</v>
      </c>
      <c r="AH20697" s="831" t="s">
        <v>560</v>
      </c>
      <c r="AI20697" s="831">
        <v>0</v>
      </c>
      <c r="AJ20697" s="835">
        <v>41608</v>
      </c>
      <c r="AK20697" s="831">
        <v>0.78398636363636354</v>
      </c>
    </row>
    <row r="20698" spans="32:37">
      <c r="AF20698" s="831" t="s">
        <v>11205</v>
      </c>
      <c r="AG20698" s="831" t="s">
        <v>2674</v>
      </c>
      <c r="AH20698" s="831" t="s">
        <v>559</v>
      </c>
      <c r="AI20698" s="831">
        <v>0</v>
      </c>
      <c r="AJ20698" s="835">
        <v>41608</v>
      </c>
      <c r="AK20698" s="831">
        <v>0.78398749999999995</v>
      </c>
    </row>
    <row r="20699" spans="32:37">
      <c r="AF20699" s="831" t="s">
        <v>11206</v>
      </c>
      <c r="AG20699" s="831" t="s">
        <v>2674</v>
      </c>
      <c r="AH20699" s="831" t="s">
        <v>568</v>
      </c>
      <c r="AI20699" s="831">
        <v>0</v>
      </c>
      <c r="AJ20699" s="835">
        <v>41608</v>
      </c>
      <c r="AK20699" s="831">
        <v>495457615.68846154</v>
      </c>
    </row>
    <row r="20700" spans="32:37">
      <c r="AF20700" s="831" t="s">
        <v>11207</v>
      </c>
      <c r="AG20700" s="831" t="s">
        <v>2674</v>
      </c>
      <c r="AH20700" s="831" t="s">
        <v>569</v>
      </c>
      <c r="AI20700" s="831">
        <v>0</v>
      </c>
      <c r="AJ20700" s="835">
        <v>41608</v>
      </c>
      <c r="AK20700" s="831">
        <v>603523727.23769236</v>
      </c>
    </row>
    <row r="20701" spans="32:37">
      <c r="AF20701" s="831" t="s">
        <v>11208</v>
      </c>
      <c r="AG20701" s="831" t="s">
        <v>2674</v>
      </c>
      <c r="AH20701" s="831" t="s">
        <v>570</v>
      </c>
      <c r="AI20701" s="831">
        <v>0</v>
      </c>
      <c r="AJ20701" s="835">
        <v>41608</v>
      </c>
      <c r="AK20701" s="831">
        <v>107821146.75815384</v>
      </c>
    </row>
    <row r="20702" spans="32:37">
      <c r="AF20702" s="831" t="s">
        <v>11209</v>
      </c>
      <c r="AG20702" s="831" t="s">
        <v>2674</v>
      </c>
      <c r="AH20702" s="831" t="s">
        <v>571</v>
      </c>
      <c r="AI20702" s="831">
        <v>0</v>
      </c>
      <c r="AJ20702" s="835">
        <v>41608</v>
      </c>
      <c r="AK20702" s="831">
        <v>283259717.08169228</v>
      </c>
    </row>
    <row r="20703" spans="32:37">
      <c r="AF20703" s="831" t="s">
        <v>11210</v>
      </c>
      <c r="AG20703" s="831" t="s">
        <v>2674</v>
      </c>
      <c r="AH20703" s="831" t="s">
        <v>573</v>
      </c>
      <c r="AI20703" s="831">
        <v>0</v>
      </c>
      <c r="AJ20703" s="835">
        <v>41608</v>
      </c>
      <c r="AK20703" s="831">
        <v>614752216.42416668</v>
      </c>
    </row>
    <row r="20704" spans="32:37">
      <c r="AF20704" s="831" t="s">
        <v>11211</v>
      </c>
      <c r="AG20704" s="831" t="s">
        <v>2674</v>
      </c>
      <c r="AH20704" s="831" t="s">
        <v>574</v>
      </c>
      <c r="AI20704" s="831">
        <v>0</v>
      </c>
      <c r="AJ20704" s="835">
        <v>41608</v>
      </c>
      <c r="AK20704" s="831">
        <v>503905434.82916665</v>
      </c>
    </row>
    <row r="20705" spans="32:37">
      <c r="AF20705" s="831" t="s">
        <v>11212</v>
      </c>
      <c r="AG20705" s="831" t="s">
        <v>2674</v>
      </c>
      <c r="AH20705" s="831" t="s">
        <v>575</v>
      </c>
      <c r="AI20705" s="831">
        <v>0</v>
      </c>
      <c r="AJ20705" s="835">
        <v>41608</v>
      </c>
      <c r="AK20705" s="831">
        <v>108318173.40466666</v>
      </c>
    </row>
    <row r="20706" spans="32:37">
      <c r="AF20706" s="831" t="s">
        <v>11213</v>
      </c>
      <c r="AG20706" s="831" t="s">
        <v>2674</v>
      </c>
      <c r="AH20706" s="831" t="s">
        <v>576</v>
      </c>
      <c r="AI20706" s="831">
        <v>0</v>
      </c>
      <c r="AJ20706" s="835">
        <v>41608</v>
      </c>
      <c r="AK20706" s="831">
        <v>290020734.67183334</v>
      </c>
    </row>
    <row r="20707" spans="32:37">
      <c r="AF20707" s="831" t="s">
        <v>11214</v>
      </c>
      <c r="AG20707" s="831" t="s">
        <v>2674</v>
      </c>
      <c r="AH20707" s="831" t="s">
        <v>572</v>
      </c>
      <c r="AI20707" s="831">
        <v>0</v>
      </c>
      <c r="AJ20707" s="835">
        <v>41608</v>
      </c>
      <c r="AK20707" s="831">
        <v>27660766.032000005</v>
      </c>
    </row>
    <row r="20708" spans="32:37">
      <c r="AF20708" s="831" t="s">
        <v>11215</v>
      </c>
      <c r="AG20708" s="831" t="s">
        <v>2674</v>
      </c>
      <c r="AH20708" s="831" t="s">
        <v>577</v>
      </c>
      <c r="AI20708" s="831">
        <v>0</v>
      </c>
      <c r="AJ20708" s="835">
        <v>41608</v>
      </c>
      <c r="AK20708" s="831">
        <v>128906380.236</v>
      </c>
    </row>
    <row r="20709" spans="32:37">
      <c r="AF20709" s="831" t="s">
        <v>11216</v>
      </c>
      <c r="AG20709" s="831" t="s">
        <v>2674</v>
      </c>
      <c r="AH20709" s="831" t="s">
        <v>3042</v>
      </c>
      <c r="AI20709" s="831">
        <v>0</v>
      </c>
      <c r="AJ20709" s="835">
        <v>41608</v>
      </c>
      <c r="AK20709" s="831">
        <v>-32754423.664999999</v>
      </c>
    </row>
    <row r="20710" spans="32:37">
      <c r="AF20710" s="831" t="s">
        <v>11217</v>
      </c>
      <c r="AG20710" s="831" t="s">
        <v>2674</v>
      </c>
      <c r="AH20710" s="831" t="s">
        <v>3044</v>
      </c>
      <c r="AI20710" s="831">
        <v>0</v>
      </c>
      <c r="AJ20710" s="835">
        <v>41608</v>
      </c>
      <c r="AK20710" s="831">
        <v>-4752350.8779999996</v>
      </c>
    </row>
    <row r="20711" spans="32:37">
      <c r="AF20711" s="831" t="s">
        <v>11218</v>
      </c>
      <c r="AG20711" s="831" t="s">
        <v>2674</v>
      </c>
      <c r="AH20711" s="831" t="s">
        <v>580</v>
      </c>
      <c r="AI20711" s="831">
        <v>0</v>
      </c>
      <c r="AJ20711" s="835">
        <v>41608</v>
      </c>
      <c r="AK20711" s="831">
        <v>-61342758.126000002</v>
      </c>
    </row>
    <row r="20712" spans="32:37">
      <c r="AF20712" s="831" t="s">
        <v>11219</v>
      </c>
      <c r="AG20712" s="831" t="s">
        <v>2674</v>
      </c>
      <c r="AH20712" s="831" t="s">
        <v>581</v>
      </c>
      <c r="AI20712" s="831">
        <v>0</v>
      </c>
      <c r="AJ20712" s="835">
        <v>41608</v>
      </c>
      <c r="AK20712" s="831">
        <v>5348437.4649999999</v>
      </c>
    </row>
    <row r="20713" spans="32:37">
      <c r="AF20713" s="831" t="s">
        <v>11220</v>
      </c>
      <c r="AG20713" s="831" t="s">
        <v>2674</v>
      </c>
      <c r="AH20713" s="831" t="s">
        <v>105</v>
      </c>
      <c r="AI20713" s="831">
        <v>0</v>
      </c>
      <c r="AJ20713" s="835">
        <v>41608</v>
      </c>
      <c r="AK20713" s="831">
        <v>357758420.06199998</v>
      </c>
    </row>
    <row r="20714" spans="32:37">
      <c r="AF20714" s="831" t="s">
        <v>11221</v>
      </c>
      <c r="AG20714" s="831" t="s">
        <v>2674</v>
      </c>
      <c r="AH20714" s="831" t="s">
        <v>3049</v>
      </c>
      <c r="AI20714" s="831">
        <v>0</v>
      </c>
      <c r="AJ20714" s="835">
        <v>41608</v>
      </c>
      <c r="AK20714" s="831">
        <v>601955674.8829999</v>
      </c>
    </row>
    <row r="20715" spans="32:37">
      <c r="AF20715" s="831" t="s">
        <v>11222</v>
      </c>
      <c r="AG20715" s="831" t="s">
        <v>2674</v>
      </c>
      <c r="AH20715" s="831" t="s">
        <v>103</v>
      </c>
      <c r="AI20715" s="831">
        <v>0</v>
      </c>
      <c r="AJ20715" s="835">
        <v>41608</v>
      </c>
      <c r="AK20715" s="831">
        <v>244197254.82099998</v>
      </c>
    </row>
    <row r="20716" spans="32:37">
      <c r="AF20716" s="831" t="s">
        <v>11223</v>
      </c>
      <c r="AG20716" s="831" t="s">
        <v>2674</v>
      </c>
      <c r="AH20716" s="831" t="s">
        <v>182</v>
      </c>
      <c r="AI20716" s="831">
        <v>0</v>
      </c>
      <c r="AJ20716" s="835">
        <v>41608</v>
      </c>
      <c r="AK20716" s="831">
        <v>58896650.319272734</v>
      </c>
    </row>
    <row r="20717" spans="32:37">
      <c r="AF20717" s="831" t="s">
        <v>11224</v>
      </c>
      <c r="AG20717" s="831" t="s">
        <v>2674</v>
      </c>
      <c r="AH20717" s="831" t="s">
        <v>6600</v>
      </c>
      <c r="AI20717" s="831">
        <v>0</v>
      </c>
      <c r="AJ20717" s="835">
        <v>41608</v>
      </c>
      <c r="AK20717" s="831">
        <v>27660766.032000005</v>
      </c>
    </row>
    <row r="20718" spans="32:37">
      <c r="AF20718" s="831" t="s">
        <v>11225</v>
      </c>
      <c r="AG20718" s="831" t="s">
        <v>2674</v>
      </c>
      <c r="AH20718" s="831" t="s">
        <v>6602</v>
      </c>
      <c r="AI20718" s="831">
        <v>0</v>
      </c>
      <c r="AJ20718" s="835">
        <v>41608</v>
      </c>
      <c r="AK20718" s="831">
        <v>28354718.032000005</v>
      </c>
    </row>
    <row r="20719" spans="32:37">
      <c r="AF20719" s="831" t="s">
        <v>11226</v>
      </c>
      <c r="AG20719" s="831" t="s">
        <v>2674</v>
      </c>
      <c r="AH20719" s="831" t="s">
        <v>650</v>
      </c>
      <c r="AI20719" s="831">
        <v>0</v>
      </c>
      <c r="AJ20719" s="835">
        <v>41608</v>
      </c>
      <c r="AK20719" s="831">
        <v>197061109.84392309</v>
      </c>
    </row>
    <row r="20720" spans="32:37">
      <c r="AF20720" s="831" t="s">
        <v>11227</v>
      </c>
      <c r="AG20720" s="831" t="s">
        <v>2674</v>
      </c>
      <c r="AH20720" s="831" t="s">
        <v>655</v>
      </c>
      <c r="AI20720" s="831">
        <v>0</v>
      </c>
      <c r="AJ20720" s="835">
        <v>41608</v>
      </c>
      <c r="AK20720" s="831">
        <v>1514274.5550000002</v>
      </c>
    </row>
    <row r="20721" spans="32:37">
      <c r="AF20721" s="831" t="s">
        <v>11228</v>
      </c>
      <c r="AG20721" s="831" t="s">
        <v>2674</v>
      </c>
      <c r="AH20721" s="831" t="s">
        <v>546</v>
      </c>
      <c r="AI20721" s="831">
        <v>0</v>
      </c>
      <c r="AJ20721" s="835">
        <v>41639</v>
      </c>
      <c r="AK20721" s="831">
        <v>627874260</v>
      </c>
    </row>
    <row r="20722" spans="32:37">
      <c r="AF20722" s="831" t="s">
        <v>11229</v>
      </c>
      <c r="AG20722" s="831" t="s">
        <v>2674</v>
      </c>
      <c r="AH20722" s="831" t="s">
        <v>370</v>
      </c>
      <c r="AI20722" s="831">
        <v>0</v>
      </c>
      <c r="AJ20722" s="835">
        <v>41639</v>
      </c>
      <c r="AK20722" s="831">
        <v>789514969.56299996</v>
      </c>
    </row>
    <row r="20723" spans="32:37">
      <c r="AF20723" s="831" t="s">
        <v>11230</v>
      </c>
      <c r="AG20723" s="831" t="s">
        <v>2674</v>
      </c>
      <c r="AH20723" s="831" t="s">
        <v>126</v>
      </c>
      <c r="AI20723" s="831">
        <v>0</v>
      </c>
      <c r="AJ20723" s="835">
        <v>41639</v>
      </c>
      <c r="AK20723" s="831">
        <v>114089765.91</v>
      </c>
    </row>
    <row r="20724" spans="32:37">
      <c r="AF20724" s="831" t="s">
        <v>11231</v>
      </c>
      <c r="AG20724" s="831" t="s">
        <v>2674</v>
      </c>
      <c r="AH20724" s="831" t="s">
        <v>268</v>
      </c>
      <c r="AI20724" s="831">
        <v>0</v>
      </c>
      <c r="AJ20724" s="835">
        <v>41639</v>
      </c>
      <c r="AK20724" s="831">
        <v>27176541.956000008</v>
      </c>
    </row>
    <row r="20725" spans="32:37">
      <c r="AF20725" s="831" t="s">
        <v>11232</v>
      </c>
      <c r="AG20725" s="831" t="s">
        <v>2674</v>
      </c>
      <c r="AH20725" s="831" t="s">
        <v>547</v>
      </c>
      <c r="AI20725" s="831">
        <v>0</v>
      </c>
      <c r="AJ20725" s="835">
        <v>41639</v>
      </c>
      <c r="AK20725" s="831">
        <v>511487760</v>
      </c>
    </row>
    <row r="20726" spans="32:37">
      <c r="AF20726" s="831" t="s">
        <v>11233</v>
      </c>
      <c r="AG20726" s="831" t="s">
        <v>2674</v>
      </c>
      <c r="AH20726" s="831" t="s">
        <v>548</v>
      </c>
      <c r="AI20726" s="831">
        <v>0</v>
      </c>
      <c r="AJ20726" s="835">
        <v>41639</v>
      </c>
      <c r="AK20726" s="831">
        <v>96883184</v>
      </c>
    </row>
    <row r="20727" spans="32:37">
      <c r="AF20727" s="831" t="s">
        <v>11234</v>
      </c>
      <c r="AG20727" s="831" t="s">
        <v>2674</v>
      </c>
      <c r="AH20727" s="831" t="s">
        <v>549</v>
      </c>
      <c r="AI20727" s="831">
        <v>0</v>
      </c>
      <c r="AJ20727" s="835">
        <v>41639</v>
      </c>
      <c r="AK20727" s="831">
        <v>412125624</v>
      </c>
    </row>
    <row r="20728" spans="32:37">
      <c r="AF20728" s="831" t="s">
        <v>11235</v>
      </c>
      <c r="AG20728" s="831" t="s">
        <v>2674</v>
      </c>
      <c r="AH20728" s="831" t="s">
        <v>192</v>
      </c>
      <c r="AI20728" s="831">
        <v>0</v>
      </c>
      <c r="AJ20728" s="835">
        <v>41639</v>
      </c>
      <c r="AK20728" s="831">
        <v>-13734258</v>
      </c>
    </row>
    <row r="20729" spans="32:37">
      <c r="AF20729" s="831" t="s">
        <v>11236</v>
      </c>
      <c r="AG20729" s="831" t="s">
        <v>2674</v>
      </c>
      <c r="AH20729" s="831" t="s">
        <v>558</v>
      </c>
      <c r="AI20729" s="831">
        <v>0</v>
      </c>
      <c r="AJ20729" s="835">
        <v>41639</v>
      </c>
      <c r="AK20729" s="831">
        <v>675425203.71399999</v>
      </c>
    </row>
    <row r="20730" spans="32:37">
      <c r="AF20730" s="831" t="s">
        <v>11237</v>
      </c>
      <c r="AG20730" s="831" t="s">
        <v>2674</v>
      </c>
      <c r="AH20730" s="831" t="s">
        <v>65</v>
      </c>
      <c r="AI20730" s="831">
        <v>0</v>
      </c>
      <c r="AJ20730" s="835">
        <v>41639</v>
      </c>
      <c r="AK20730" s="831">
        <v>132856888.763</v>
      </c>
    </row>
    <row r="20731" spans="32:37">
      <c r="AF20731" s="831" t="s">
        <v>11238</v>
      </c>
      <c r="AG20731" s="831" t="s">
        <v>2674</v>
      </c>
      <c r="AH20731" s="831" t="s">
        <v>89</v>
      </c>
      <c r="AI20731" s="831">
        <v>0</v>
      </c>
      <c r="AJ20731" s="835">
        <v>41639</v>
      </c>
      <c r="AK20731" s="831">
        <v>147601</v>
      </c>
    </row>
    <row r="20732" spans="32:37">
      <c r="AF20732" s="831" t="s">
        <v>11239</v>
      </c>
      <c r="AG20732" s="831" t="s">
        <v>2674</v>
      </c>
      <c r="AH20732" s="831" t="s">
        <v>557</v>
      </c>
      <c r="AI20732" s="831">
        <v>0</v>
      </c>
      <c r="AJ20732" s="835">
        <v>41639</v>
      </c>
      <c r="AK20732" s="831">
        <v>160431</v>
      </c>
    </row>
    <row r="20733" spans="32:37">
      <c r="AF20733" s="831" t="s">
        <v>11240</v>
      </c>
      <c r="AG20733" s="831" t="s">
        <v>2674</v>
      </c>
      <c r="AH20733" s="831" t="s">
        <v>29</v>
      </c>
      <c r="AI20733" s="831">
        <v>0</v>
      </c>
      <c r="AJ20733" s="835">
        <v>41639</v>
      </c>
      <c r="AK20733" s="831">
        <v>1938216.4366000001</v>
      </c>
    </row>
    <row r="20734" spans="32:37">
      <c r="AF20734" s="831" t="s">
        <v>11241</v>
      </c>
      <c r="AG20734" s="831" t="s">
        <v>2674</v>
      </c>
      <c r="AH20734" s="831" t="s">
        <v>2688</v>
      </c>
      <c r="AI20734" s="831">
        <v>0</v>
      </c>
      <c r="AJ20734" s="835">
        <v>41639</v>
      </c>
      <c r="AK20734" s="831">
        <v>3277121.17</v>
      </c>
    </row>
    <row r="20735" spans="32:37">
      <c r="AF20735" s="831" t="s">
        <v>11242</v>
      </c>
      <c r="AG20735" s="831" t="s">
        <v>2674</v>
      </c>
      <c r="AH20735" s="831" t="s">
        <v>556</v>
      </c>
      <c r="AI20735" s="831">
        <v>0</v>
      </c>
      <c r="AJ20735" s="835">
        <v>41639</v>
      </c>
      <c r="AK20735" s="831">
        <v>1644732</v>
      </c>
    </row>
    <row r="20736" spans="32:37">
      <c r="AF20736" s="831" t="s">
        <v>11243</v>
      </c>
      <c r="AG20736" s="831" t="s">
        <v>2674</v>
      </c>
      <c r="AH20736" s="831" t="s">
        <v>555</v>
      </c>
      <c r="AI20736" s="831">
        <v>0</v>
      </c>
      <c r="AJ20736" s="835">
        <v>41639</v>
      </c>
      <c r="AK20736" s="831">
        <v>435796650</v>
      </c>
    </row>
    <row r="20737" spans="32:37">
      <c r="AF20737" s="831" t="s">
        <v>11244</v>
      </c>
      <c r="AG20737" s="831" t="s">
        <v>2674</v>
      </c>
      <c r="AH20737" s="831" t="s">
        <v>554</v>
      </c>
      <c r="AI20737" s="831">
        <v>0</v>
      </c>
      <c r="AJ20737" s="835">
        <v>41639</v>
      </c>
      <c r="AK20737" s="831">
        <v>428326680</v>
      </c>
    </row>
    <row r="20738" spans="32:37">
      <c r="AF20738" s="831" t="s">
        <v>11245</v>
      </c>
      <c r="AG20738" s="831" t="s">
        <v>2674</v>
      </c>
      <c r="AH20738" s="831" t="s">
        <v>553</v>
      </c>
      <c r="AI20738" s="831">
        <v>0</v>
      </c>
      <c r="AJ20738" s="835">
        <v>41639</v>
      </c>
      <c r="AK20738" s="831">
        <v>0</v>
      </c>
    </row>
    <row r="20739" spans="32:37">
      <c r="AF20739" s="831" t="s">
        <v>11246</v>
      </c>
      <c r="AG20739" s="831" t="s">
        <v>2674</v>
      </c>
      <c r="AH20739" s="831" t="s">
        <v>552</v>
      </c>
      <c r="AI20739" s="831">
        <v>0</v>
      </c>
      <c r="AJ20739" s="835">
        <v>41639</v>
      </c>
      <c r="AK20739" s="831">
        <v>0</v>
      </c>
    </row>
    <row r="20740" spans="32:37">
      <c r="AF20740" s="831" t="s">
        <v>11247</v>
      </c>
      <c r="AG20740" s="831" t="s">
        <v>2674</v>
      </c>
      <c r="AH20740" s="831" t="s">
        <v>551</v>
      </c>
      <c r="AI20740" s="831">
        <v>0</v>
      </c>
      <c r="AJ20740" s="835">
        <v>41639</v>
      </c>
      <c r="AK20740" s="831">
        <v>1803383.8316000002</v>
      </c>
    </row>
    <row r="20741" spans="32:37">
      <c r="AF20741" s="831" t="s">
        <v>11248</v>
      </c>
      <c r="AG20741" s="831" t="s">
        <v>2674</v>
      </c>
      <c r="AH20741" s="831" t="s">
        <v>550</v>
      </c>
      <c r="AI20741" s="831">
        <v>0</v>
      </c>
      <c r="AJ20741" s="835">
        <v>41639</v>
      </c>
      <c r="AK20741" s="831">
        <v>123117939.85600001</v>
      </c>
    </row>
    <row r="20742" spans="32:37">
      <c r="AF20742" s="831" t="s">
        <v>11249</v>
      </c>
      <c r="AG20742" s="831" t="s">
        <v>2674</v>
      </c>
      <c r="AH20742" s="831" t="s">
        <v>562</v>
      </c>
      <c r="AI20742" s="831">
        <v>0</v>
      </c>
      <c r="AJ20742" s="835">
        <v>41639</v>
      </c>
      <c r="AK20742" s="831">
        <v>0.78334999999999999</v>
      </c>
    </row>
    <row r="20743" spans="32:37">
      <c r="AF20743" s="831" t="s">
        <v>11250</v>
      </c>
      <c r="AG20743" s="831" t="s">
        <v>2674</v>
      </c>
      <c r="AH20743" s="831" t="s">
        <v>2698</v>
      </c>
      <c r="AI20743" s="831">
        <v>0</v>
      </c>
      <c r="AJ20743" s="835">
        <v>41639</v>
      </c>
      <c r="AK20743" s="831">
        <v>0.78385000000000005</v>
      </c>
    </row>
    <row r="20744" spans="32:37">
      <c r="AF20744" s="831" t="s">
        <v>11251</v>
      </c>
      <c r="AG20744" s="831" t="s">
        <v>2674</v>
      </c>
      <c r="AH20744" s="831" t="s">
        <v>560</v>
      </c>
      <c r="AI20744" s="831">
        <v>0</v>
      </c>
      <c r="AJ20744" s="835">
        <v>41639</v>
      </c>
      <c r="AK20744" s="831">
        <v>0.78393333333333326</v>
      </c>
    </row>
    <row r="20745" spans="32:37">
      <c r="AF20745" s="831" t="s">
        <v>11252</v>
      </c>
      <c r="AG20745" s="831" t="s">
        <v>2674</v>
      </c>
      <c r="AH20745" s="831" t="s">
        <v>559</v>
      </c>
      <c r="AI20745" s="831">
        <v>0</v>
      </c>
      <c r="AJ20745" s="835">
        <v>41639</v>
      </c>
      <c r="AK20745" s="831">
        <v>0.78393333333333326</v>
      </c>
    </row>
    <row r="20746" spans="32:37">
      <c r="AF20746" s="831" t="s">
        <v>11253</v>
      </c>
      <c r="AG20746" s="831" t="s">
        <v>2674</v>
      </c>
      <c r="AH20746" s="831" t="s">
        <v>568</v>
      </c>
      <c r="AI20746" s="831">
        <v>0</v>
      </c>
      <c r="AJ20746" s="835">
        <v>41639</v>
      </c>
      <c r="AK20746" s="831">
        <v>513441498.30384612</v>
      </c>
    </row>
    <row r="20747" spans="32:37">
      <c r="AF20747" s="831" t="s">
        <v>11254</v>
      </c>
      <c r="AG20747" s="831" t="s">
        <v>2674</v>
      </c>
      <c r="AH20747" s="831" t="s">
        <v>569</v>
      </c>
      <c r="AI20747" s="831">
        <v>0</v>
      </c>
      <c r="AJ20747" s="835">
        <v>41639</v>
      </c>
      <c r="AK20747" s="831">
        <v>628195505.12715387</v>
      </c>
    </row>
    <row r="20748" spans="32:37">
      <c r="AF20748" s="831" t="s">
        <v>11255</v>
      </c>
      <c r="AG20748" s="831" t="s">
        <v>2674</v>
      </c>
      <c r="AH20748" s="831" t="s">
        <v>570</v>
      </c>
      <c r="AI20748" s="831">
        <v>0</v>
      </c>
      <c r="AJ20748" s="835">
        <v>41639</v>
      </c>
      <c r="AK20748" s="831">
        <v>108762142.05892308</v>
      </c>
    </row>
    <row r="20749" spans="32:37">
      <c r="AF20749" s="831" t="s">
        <v>11256</v>
      </c>
      <c r="AG20749" s="831" t="s">
        <v>2674</v>
      </c>
      <c r="AH20749" s="831" t="s">
        <v>571</v>
      </c>
      <c r="AI20749" s="831">
        <v>0</v>
      </c>
      <c r="AJ20749" s="835">
        <v>41639</v>
      </c>
      <c r="AK20749" s="831">
        <v>297832512.59023076</v>
      </c>
    </row>
    <row r="20750" spans="32:37">
      <c r="AF20750" s="831" t="s">
        <v>11257</v>
      </c>
      <c r="AG20750" s="831" t="s">
        <v>2674</v>
      </c>
      <c r="AH20750" s="831" t="s">
        <v>573</v>
      </c>
      <c r="AI20750" s="831">
        <v>0</v>
      </c>
      <c r="AJ20750" s="835">
        <v>41639</v>
      </c>
      <c r="AK20750" s="831">
        <v>628195505.12715387</v>
      </c>
    </row>
    <row r="20751" spans="32:37">
      <c r="AF20751" s="831" t="s">
        <v>11258</v>
      </c>
      <c r="AG20751" s="831" t="s">
        <v>2674</v>
      </c>
      <c r="AH20751" s="831" t="s">
        <v>574</v>
      </c>
      <c r="AI20751" s="831">
        <v>0</v>
      </c>
      <c r="AJ20751" s="835">
        <v>41639</v>
      </c>
      <c r="AK20751" s="831">
        <v>513441498.30384612</v>
      </c>
    </row>
    <row r="20752" spans="32:37">
      <c r="AF20752" s="831" t="s">
        <v>11259</v>
      </c>
      <c r="AG20752" s="831" t="s">
        <v>2674</v>
      </c>
      <c r="AH20752" s="831" t="s">
        <v>575</v>
      </c>
      <c r="AI20752" s="831">
        <v>0</v>
      </c>
      <c r="AJ20752" s="835">
        <v>41639</v>
      </c>
      <c r="AK20752" s="831">
        <v>108762142.05892308</v>
      </c>
    </row>
    <row r="20753" spans="32:37">
      <c r="AF20753" s="831" t="s">
        <v>11260</v>
      </c>
      <c r="AG20753" s="831" t="s">
        <v>2674</v>
      </c>
      <c r="AH20753" s="831" t="s">
        <v>576</v>
      </c>
      <c r="AI20753" s="831">
        <v>0</v>
      </c>
      <c r="AJ20753" s="835">
        <v>41639</v>
      </c>
      <c r="AK20753" s="831">
        <v>297832512.59023076</v>
      </c>
    </row>
    <row r="20754" spans="32:37">
      <c r="AF20754" s="831" t="s">
        <v>11261</v>
      </c>
      <c r="AG20754" s="831" t="s">
        <v>2674</v>
      </c>
      <c r="AH20754" s="831" t="s">
        <v>572</v>
      </c>
      <c r="AI20754" s="831">
        <v>0</v>
      </c>
      <c r="AJ20754" s="835">
        <v>41639</v>
      </c>
      <c r="AK20754" s="831">
        <v>27176541.956000008</v>
      </c>
    </row>
    <row r="20755" spans="32:37">
      <c r="AF20755" s="831" t="s">
        <v>11262</v>
      </c>
      <c r="AG20755" s="831" t="s">
        <v>2674</v>
      </c>
      <c r="AH20755" s="831" t="s">
        <v>577</v>
      </c>
      <c r="AI20755" s="831">
        <v>0</v>
      </c>
      <c r="AJ20755" s="835">
        <v>41639</v>
      </c>
      <c r="AK20755" s="831">
        <v>132856888.763</v>
      </c>
    </row>
    <row r="20756" spans="32:37">
      <c r="AF20756" s="831" t="s">
        <v>11263</v>
      </c>
      <c r="AG20756" s="831" t="s">
        <v>2674</v>
      </c>
      <c r="AH20756" s="831" t="s">
        <v>3042</v>
      </c>
      <c r="AI20756" s="831">
        <v>0</v>
      </c>
      <c r="AJ20756" s="835">
        <v>41639</v>
      </c>
      <c r="AK20756" s="831">
        <v>-34369525.527000003</v>
      </c>
    </row>
    <row r="20757" spans="32:37">
      <c r="AF20757" s="831" t="s">
        <v>11264</v>
      </c>
      <c r="AG20757" s="831" t="s">
        <v>2674</v>
      </c>
      <c r="AH20757" s="831" t="s">
        <v>3044</v>
      </c>
      <c r="AI20757" s="831">
        <v>0</v>
      </c>
      <c r="AJ20757" s="835">
        <v>41639</v>
      </c>
      <c r="AK20757" s="831">
        <v>-4400746.8899999997</v>
      </c>
    </row>
    <row r="20758" spans="32:37">
      <c r="AF20758" s="831" t="s">
        <v>11265</v>
      </c>
      <c r="AG20758" s="831" t="s">
        <v>2674</v>
      </c>
      <c r="AH20758" s="831" t="s">
        <v>580</v>
      </c>
      <c r="AI20758" s="831">
        <v>0</v>
      </c>
      <c r="AJ20758" s="835">
        <v>41639</v>
      </c>
      <c r="AK20758" s="831">
        <v>-64107005.306999996</v>
      </c>
    </row>
    <row r="20759" spans="32:37">
      <c r="AF20759" s="831" t="s">
        <v>11266</v>
      </c>
      <c r="AG20759" s="831" t="s">
        <v>2674</v>
      </c>
      <c r="AH20759" s="831" t="s">
        <v>581</v>
      </c>
      <c r="AI20759" s="831">
        <v>0</v>
      </c>
      <c r="AJ20759" s="835">
        <v>41639</v>
      </c>
      <c r="AK20759" s="831">
        <v>5010635.8940000003</v>
      </c>
    </row>
    <row r="20760" spans="32:37">
      <c r="AF20760" s="831" t="s">
        <v>11267</v>
      </c>
      <c r="AG20760" s="831" t="s">
        <v>2674</v>
      </c>
      <c r="AH20760" s="831" t="s">
        <v>105</v>
      </c>
      <c r="AI20760" s="831">
        <v>0</v>
      </c>
      <c r="AJ20760" s="835">
        <v>41639</v>
      </c>
      <c r="AK20760" s="831">
        <v>391573847.611</v>
      </c>
    </row>
    <row r="20761" spans="32:37">
      <c r="AF20761" s="831" t="s">
        <v>11268</v>
      </c>
      <c r="AG20761" s="831" t="s">
        <v>2674</v>
      </c>
      <c r="AH20761" s="831" t="s">
        <v>3049</v>
      </c>
      <c r="AI20761" s="831">
        <v>0</v>
      </c>
      <c r="AJ20761" s="835">
        <v>41639</v>
      </c>
      <c r="AK20761" s="831">
        <v>644326442.18900001</v>
      </c>
    </row>
    <row r="20762" spans="32:37">
      <c r="AF20762" s="831" t="s">
        <v>11269</v>
      </c>
      <c r="AG20762" s="831" t="s">
        <v>2674</v>
      </c>
      <c r="AH20762" s="831" t="s">
        <v>103</v>
      </c>
      <c r="AI20762" s="831">
        <v>0</v>
      </c>
      <c r="AJ20762" s="835">
        <v>41639</v>
      </c>
      <c r="AK20762" s="831">
        <v>252752594.57800001</v>
      </c>
    </row>
    <row r="20763" spans="32:37">
      <c r="AF20763" s="831" t="s">
        <v>11270</v>
      </c>
      <c r="AG20763" s="831" t="s">
        <v>2674</v>
      </c>
      <c r="AH20763" s="831" t="s">
        <v>182</v>
      </c>
      <c r="AI20763" s="831">
        <v>0</v>
      </c>
      <c r="AJ20763" s="835">
        <v>41639</v>
      </c>
      <c r="AK20763" s="831">
        <v>64107005.307000004</v>
      </c>
    </row>
    <row r="20764" spans="32:37">
      <c r="AF20764" s="831" t="s">
        <v>11271</v>
      </c>
      <c r="AG20764" s="831" t="s">
        <v>2674</v>
      </c>
      <c r="AH20764" s="831" t="s">
        <v>6600</v>
      </c>
      <c r="AI20764" s="831">
        <v>0</v>
      </c>
      <c r="AJ20764" s="835">
        <v>41639</v>
      </c>
      <c r="AK20764" s="831">
        <v>27176541.956000008</v>
      </c>
    </row>
    <row r="20765" spans="32:37">
      <c r="AF20765" s="831" t="s">
        <v>11272</v>
      </c>
      <c r="AG20765" s="831" t="s">
        <v>2674</v>
      </c>
      <c r="AH20765" s="831" t="s">
        <v>6602</v>
      </c>
      <c r="AI20765" s="831">
        <v>0</v>
      </c>
      <c r="AJ20765" s="835">
        <v>41639</v>
      </c>
      <c r="AK20765" s="831">
        <v>27176541.956000008</v>
      </c>
    </row>
    <row r="20766" spans="32:37">
      <c r="AF20766" s="831" t="s">
        <v>11273</v>
      </c>
      <c r="AG20766" s="831" t="s">
        <v>2674</v>
      </c>
      <c r="AH20766" s="831" t="s">
        <v>650</v>
      </c>
      <c r="AI20766" s="831">
        <v>0</v>
      </c>
      <c r="AJ20766" s="835">
        <v>41639</v>
      </c>
      <c r="AK20766" s="831">
        <v>204736223.04223078</v>
      </c>
    </row>
    <row r="20767" spans="32:37">
      <c r="AF20767" s="831" t="s">
        <v>11274</v>
      </c>
      <c r="AG20767" s="831" t="s">
        <v>2674</v>
      </c>
      <c r="AH20767" s="831" t="s">
        <v>655</v>
      </c>
      <c r="AI20767" s="831">
        <v>0</v>
      </c>
      <c r="AJ20767" s="835">
        <v>41639</v>
      </c>
      <c r="AK20767" s="831">
        <v>1605185.0136000002</v>
      </c>
    </row>
    <row r="20768" spans="32:37">
      <c r="AF20768" s="831" t="s">
        <v>11275</v>
      </c>
      <c r="AG20768" s="831" t="s">
        <v>2674</v>
      </c>
      <c r="AH20768" s="831" t="s">
        <v>546</v>
      </c>
      <c r="AI20768" s="831">
        <v>0</v>
      </c>
      <c r="AJ20768" s="835">
        <v>41670</v>
      </c>
      <c r="AK20768" s="831">
        <v>635618516</v>
      </c>
    </row>
    <row r="20769" spans="32:37">
      <c r="AF20769" s="831" t="s">
        <v>11276</v>
      </c>
      <c r="AG20769" s="831" t="s">
        <v>2674</v>
      </c>
      <c r="AH20769" s="831" t="s">
        <v>370</v>
      </c>
      <c r="AI20769" s="831">
        <v>0</v>
      </c>
      <c r="AJ20769" s="835">
        <v>41670</v>
      </c>
      <c r="AK20769" s="831">
        <v>777719977</v>
      </c>
    </row>
    <row r="20770" spans="32:37">
      <c r="AF20770" s="831" t="s">
        <v>11277</v>
      </c>
      <c r="AG20770" s="831" t="s">
        <v>2674</v>
      </c>
      <c r="AH20770" s="831" t="s">
        <v>126</v>
      </c>
      <c r="AI20770" s="831">
        <v>0</v>
      </c>
      <c r="AJ20770" s="835">
        <v>41670</v>
      </c>
      <c r="AK20770" s="831">
        <v>117105496</v>
      </c>
    </row>
    <row r="20771" spans="32:37">
      <c r="AF20771" s="831" t="s">
        <v>11278</v>
      </c>
      <c r="AG20771" s="831" t="s">
        <v>2674</v>
      </c>
      <c r="AH20771" s="831" t="s">
        <v>268</v>
      </c>
      <c r="AI20771" s="831">
        <v>0</v>
      </c>
      <c r="AJ20771" s="835">
        <v>41670</v>
      </c>
      <c r="AK20771" s="831">
        <v>3298821</v>
      </c>
    </row>
    <row r="20772" spans="32:37">
      <c r="AF20772" s="831" t="s">
        <v>11279</v>
      </c>
      <c r="AG20772" s="831" t="s">
        <v>2674</v>
      </c>
      <c r="AH20772" s="831" t="s">
        <v>547</v>
      </c>
      <c r="AI20772" s="831">
        <v>0</v>
      </c>
      <c r="AJ20772" s="835">
        <v>41670</v>
      </c>
      <c r="AK20772" s="831">
        <v>777719977</v>
      </c>
    </row>
    <row r="20773" spans="32:37">
      <c r="AF20773" s="831" t="s">
        <v>11280</v>
      </c>
      <c r="AG20773" s="831" t="s">
        <v>2674</v>
      </c>
      <c r="AH20773" s="831" t="s">
        <v>548</v>
      </c>
      <c r="AI20773" s="831">
        <v>0</v>
      </c>
      <c r="AJ20773" s="835">
        <v>41670</v>
      </c>
      <c r="AK20773" s="831">
        <v>117105496</v>
      </c>
    </row>
    <row r="20774" spans="32:37">
      <c r="AF20774" s="831" t="s">
        <v>11281</v>
      </c>
      <c r="AG20774" s="831" t="s">
        <v>2674</v>
      </c>
      <c r="AH20774" s="831" t="s">
        <v>549</v>
      </c>
      <c r="AI20774" s="831">
        <v>0</v>
      </c>
      <c r="AJ20774" s="835">
        <v>41670</v>
      </c>
      <c r="AK20774" s="831">
        <v>421051783</v>
      </c>
    </row>
    <row r="20775" spans="32:37">
      <c r="AF20775" s="831" t="s">
        <v>11282</v>
      </c>
      <c r="AG20775" s="831" t="s">
        <v>2674</v>
      </c>
      <c r="AH20775" s="831" t="s">
        <v>192</v>
      </c>
      <c r="AI20775" s="831">
        <v>0</v>
      </c>
      <c r="AJ20775" s="835">
        <v>41670</v>
      </c>
      <c r="AK20775" s="831">
        <v>-14010990</v>
      </c>
    </row>
    <row r="20776" spans="32:37">
      <c r="AF20776" s="831" t="s">
        <v>11283</v>
      </c>
      <c r="AG20776" s="831" t="s">
        <v>2674</v>
      </c>
      <c r="AH20776" s="831" t="s">
        <v>558</v>
      </c>
      <c r="AI20776" s="831">
        <v>0</v>
      </c>
      <c r="AJ20776" s="835">
        <v>41670</v>
      </c>
      <c r="AK20776" s="831">
        <v>660614481.35800004</v>
      </c>
    </row>
    <row r="20777" spans="32:37">
      <c r="AF20777" s="831" t="s">
        <v>11284</v>
      </c>
      <c r="AG20777" s="831" t="s">
        <v>2674</v>
      </c>
      <c r="AH20777" s="831" t="s">
        <v>65</v>
      </c>
      <c r="AI20777" s="831">
        <v>0</v>
      </c>
      <c r="AJ20777" s="835">
        <v>41670</v>
      </c>
      <c r="AK20777" s="831">
        <v>13268788</v>
      </c>
    </row>
    <row r="20778" spans="32:37">
      <c r="AF20778" s="831" t="s">
        <v>11285</v>
      </c>
      <c r="AG20778" s="831" t="s">
        <v>2674</v>
      </c>
      <c r="AH20778" s="831" t="s">
        <v>89</v>
      </c>
      <c r="AI20778" s="831">
        <v>0</v>
      </c>
      <c r="AJ20778" s="835">
        <v>41670</v>
      </c>
      <c r="AK20778" s="831">
        <v>149103</v>
      </c>
    </row>
    <row r="20779" spans="32:37">
      <c r="AF20779" s="831" t="s">
        <v>11286</v>
      </c>
      <c r="AG20779" s="831" t="s">
        <v>2674</v>
      </c>
      <c r="AH20779" s="831" t="s">
        <v>557</v>
      </c>
      <c r="AI20779" s="831">
        <v>0</v>
      </c>
      <c r="AJ20779" s="835">
        <v>41670</v>
      </c>
      <c r="AK20779" s="831">
        <v>162799</v>
      </c>
    </row>
    <row r="20780" spans="32:37">
      <c r="AF20780" s="831" t="s">
        <v>11287</v>
      </c>
      <c r="AG20780" s="831" t="s">
        <v>2674</v>
      </c>
      <c r="AH20780" s="831" t="s">
        <v>29</v>
      </c>
      <c r="AI20780" s="831">
        <v>0</v>
      </c>
      <c r="AJ20780" s="835">
        <v>41670</v>
      </c>
      <c r="AK20780" s="831">
        <v>1994542.716</v>
      </c>
    </row>
    <row r="20781" spans="32:37">
      <c r="AF20781" s="831" t="s">
        <v>11288</v>
      </c>
      <c r="AG20781" s="831" t="s">
        <v>2674</v>
      </c>
      <c r="AH20781" s="831" t="s">
        <v>2688</v>
      </c>
      <c r="AI20781" s="831">
        <v>0</v>
      </c>
      <c r="AJ20781" s="835">
        <v>41670</v>
      </c>
      <c r="AK20781" s="831">
        <v>3487768.05</v>
      </c>
    </row>
    <row r="20782" spans="32:37">
      <c r="AF20782" s="831" t="s">
        <v>11289</v>
      </c>
      <c r="AG20782" s="831" t="s">
        <v>2674</v>
      </c>
      <c r="AH20782" s="831" t="s">
        <v>556</v>
      </c>
      <c r="AI20782" s="831">
        <v>0</v>
      </c>
      <c r="AJ20782" s="835">
        <v>41670</v>
      </c>
      <c r="AK20782" s="831">
        <v>1644732</v>
      </c>
    </row>
    <row r="20783" spans="32:37">
      <c r="AF20783" s="831" t="s">
        <v>11290</v>
      </c>
      <c r="AG20783" s="831" t="s">
        <v>2674</v>
      </c>
      <c r="AH20783" s="831" t="s">
        <v>555</v>
      </c>
      <c r="AI20783" s="831">
        <v>0</v>
      </c>
      <c r="AJ20783" s="835">
        <v>41670</v>
      </c>
      <c r="AK20783" s="831">
        <v>421635600</v>
      </c>
    </row>
    <row r="20784" spans="32:37">
      <c r="AF20784" s="831" t="s">
        <v>11291</v>
      </c>
      <c r="AG20784" s="831" t="s">
        <v>2674</v>
      </c>
      <c r="AH20784" s="831" t="s">
        <v>554</v>
      </c>
      <c r="AI20784" s="831">
        <v>0</v>
      </c>
      <c r="AJ20784" s="835">
        <v>41670</v>
      </c>
      <c r="AK20784" s="831">
        <v>432162250</v>
      </c>
    </row>
    <row r="20785" spans="32:37">
      <c r="AF20785" s="831" t="s">
        <v>11292</v>
      </c>
      <c r="AG20785" s="831" t="s">
        <v>2674</v>
      </c>
      <c r="AH20785" s="831" t="s">
        <v>553</v>
      </c>
      <c r="AI20785" s="831">
        <v>0</v>
      </c>
      <c r="AJ20785" s="835">
        <v>41670</v>
      </c>
      <c r="AK20785" s="831">
        <v>0</v>
      </c>
    </row>
    <row r="20786" spans="32:37">
      <c r="AF20786" s="831" t="s">
        <v>11293</v>
      </c>
      <c r="AG20786" s="831" t="s">
        <v>2674</v>
      </c>
      <c r="AH20786" s="831" t="s">
        <v>552</v>
      </c>
      <c r="AI20786" s="831">
        <v>0</v>
      </c>
      <c r="AJ20786" s="835">
        <v>41670</v>
      </c>
      <c r="AK20786" s="831">
        <v>0</v>
      </c>
    </row>
    <row r="20787" spans="32:37">
      <c r="AF20787" s="831" t="s">
        <v>11294</v>
      </c>
      <c r="AG20787" s="831" t="s">
        <v>2674</v>
      </c>
      <c r="AH20787" s="831" t="s">
        <v>551</v>
      </c>
      <c r="AI20787" s="831">
        <v>0</v>
      </c>
      <c r="AJ20787" s="835">
        <v>41670</v>
      </c>
      <c r="AK20787" s="831">
        <v>1853357.048</v>
      </c>
    </row>
    <row r="20788" spans="32:37">
      <c r="AF20788" s="831" t="s">
        <v>11295</v>
      </c>
      <c r="AG20788" s="831" t="s">
        <v>2674</v>
      </c>
      <c r="AH20788" s="831" t="s">
        <v>550</v>
      </c>
      <c r="AI20788" s="831">
        <v>0</v>
      </c>
      <c r="AJ20788" s="835">
        <v>41670</v>
      </c>
      <c r="AK20788" s="831">
        <v>114089765.91</v>
      </c>
    </row>
    <row r="20789" spans="32:37">
      <c r="AF20789" s="831" t="s">
        <v>11296</v>
      </c>
      <c r="AG20789" s="831" t="s">
        <v>2674</v>
      </c>
      <c r="AH20789" s="831" t="s">
        <v>562</v>
      </c>
      <c r="AI20789" s="831">
        <v>0</v>
      </c>
      <c r="AJ20789" s="835">
        <v>41670</v>
      </c>
      <c r="AK20789" s="831">
        <v>0.78364999999999996</v>
      </c>
    </row>
    <row r="20790" spans="32:37">
      <c r="AF20790" s="831" t="s">
        <v>11297</v>
      </c>
      <c r="AG20790" s="831" t="s">
        <v>2674</v>
      </c>
      <c r="AH20790" s="831" t="s">
        <v>2698</v>
      </c>
      <c r="AI20790" s="831">
        <v>0</v>
      </c>
      <c r="AJ20790" s="835">
        <v>41670</v>
      </c>
      <c r="AK20790" s="831">
        <v>0.78334999999999999</v>
      </c>
    </row>
    <row r="20791" spans="32:37">
      <c r="AF20791" s="831" t="s">
        <v>11298</v>
      </c>
      <c r="AG20791" s="831" t="s">
        <v>2674</v>
      </c>
      <c r="AH20791" s="831" t="s">
        <v>560</v>
      </c>
      <c r="AI20791" s="831">
        <v>0</v>
      </c>
      <c r="AJ20791" s="835">
        <v>41670</v>
      </c>
      <c r="AK20791" s="831">
        <v>0.78364999999999996</v>
      </c>
    </row>
    <row r="20792" spans="32:37">
      <c r="AF20792" s="831" t="s">
        <v>11299</v>
      </c>
      <c r="AG20792" s="831" t="s">
        <v>2674</v>
      </c>
      <c r="AH20792" s="831" t="s">
        <v>559</v>
      </c>
      <c r="AI20792" s="831">
        <v>0</v>
      </c>
      <c r="AJ20792" s="835">
        <v>41670</v>
      </c>
      <c r="AK20792" s="831">
        <v>0.78391666666666648</v>
      </c>
    </row>
    <row r="20793" spans="32:37">
      <c r="AF20793" s="831" t="s">
        <v>11300</v>
      </c>
      <c r="AG20793" s="831" t="s">
        <v>2674</v>
      </c>
      <c r="AH20793" s="831" t="s">
        <v>568</v>
      </c>
      <c r="AI20793" s="831">
        <v>0</v>
      </c>
      <c r="AJ20793" s="835">
        <v>41670</v>
      </c>
      <c r="AK20793" s="831">
        <v>530633259.22692305</v>
      </c>
    </row>
    <row r="20794" spans="32:37">
      <c r="AF20794" s="831" t="s">
        <v>11301</v>
      </c>
      <c r="AG20794" s="831" t="s">
        <v>2674</v>
      </c>
      <c r="AH20794" s="831" t="s">
        <v>569</v>
      </c>
      <c r="AI20794" s="831">
        <v>0</v>
      </c>
      <c r="AJ20794" s="835">
        <v>41670</v>
      </c>
      <c r="AK20794" s="831">
        <v>648384048.74253845</v>
      </c>
    </row>
    <row r="20795" spans="32:37">
      <c r="AF20795" s="831" t="s">
        <v>11302</v>
      </c>
      <c r="AG20795" s="831" t="s">
        <v>2674</v>
      </c>
      <c r="AH20795" s="831" t="s">
        <v>570</v>
      </c>
      <c r="AI20795" s="831">
        <v>0</v>
      </c>
      <c r="AJ20795" s="835">
        <v>41670</v>
      </c>
      <c r="AK20795" s="831">
        <v>109988497.52046154</v>
      </c>
    </row>
    <row r="20796" spans="32:37">
      <c r="AF20796" s="831" t="s">
        <v>11303</v>
      </c>
      <c r="AG20796" s="831" t="s">
        <v>2674</v>
      </c>
      <c r="AH20796" s="831" t="s">
        <v>571</v>
      </c>
      <c r="AI20796" s="831">
        <v>0</v>
      </c>
      <c r="AJ20796" s="835">
        <v>41670</v>
      </c>
      <c r="AK20796" s="831">
        <v>308674440.74407691</v>
      </c>
    </row>
    <row r="20797" spans="32:37">
      <c r="AF20797" s="831" t="s">
        <v>11304</v>
      </c>
      <c r="AG20797" s="831" t="s">
        <v>2674</v>
      </c>
      <c r="AH20797" s="831" t="s">
        <v>573</v>
      </c>
      <c r="AI20797" s="831">
        <v>0</v>
      </c>
      <c r="AJ20797" s="835">
        <v>41670</v>
      </c>
      <c r="AK20797" s="831">
        <v>783617473.28149998</v>
      </c>
    </row>
    <row r="20798" spans="32:37">
      <c r="AF20798" s="831" t="s">
        <v>11305</v>
      </c>
      <c r="AG20798" s="831" t="s">
        <v>2674</v>
      </c>
      <c r="AH20798" s="831" t="s">
        <v>574</v>
      </c>
      <c r="AI20798" s="831">
        <v>0</v>
      </c>
      <c r="AJ20798" s="835">
        <v>41670</v>
      </c>
      <c r="AK20798" s="831">
        <v>631746388</v>
      </c>
    </row>
    <row r="20799" spans="32:37">
      <c r="AF20799" s="831" t="s">
        <v>11306</v>
      </c>
      <c r="AG20799" s="831" t="s">
        <v>2674</v>
      </c>
      <c r="AH20799" s="831" t="s">
        <v>575</v>
      </c>
      <c r="AI20799" s="831">
        <v>0</v>
      </c>
      <c r="AJ20799" s="835">
        <v>41670</v>
      </c>
      <c r="AK20799" s="831">
        <v>115597630.955</v>
      </c>
    </row>
    <row r="20800" spans="32:37">
      <c r="AF20800" s="831" t="s">
        <v>11307</v>
      </c>
      <c r="AG20800" s="831" t="s">
        <v>2674</v>
      </c>
      <c r="AH20800" s="831" t="s">
        <v>576</v>
      </c>
      <c r="AI20800" s="831">
        <v>0</v>
      </c>
      <c r="AJ20800" s="835">
        <v>41670</v>
      </c>
      <c r="AK20800" s="831">
        <v>385049519.80550003</v>
      </c>
    </row>
    <row r="20801" spans="32:37">
      <c r="AF20801" s="831" t="s">
        <v>11308</v>
      </c>
      <c r="AG20801" s="831" t="s">
        <v>2674</v>
      </c>
      <c r="AH20801" s="831" t="s">
        <v>572</v>
      </c>
      <c r="AI20801" s="831">
        <v>0</v>
      </c>
      <c r="AJ20801" s="835">
        <v>41670</v>
      </c>
      <c r="AK20801" s="831">
        <v>28355401.956000008</v>
      </c>
    </row>
    <row r="20802" spans="32:37">
      <c r="AF20802" s="831" t="s">
        <v>11309</v>
      </c>
      <c r="AG20802" s="831" t="s">
        <v>2674</v>
      </c>
      <c r="AH20802" s="831" t="s">
        <v>577</v>
      </c>
      <c r="AI20802" s="831">
        <v>0</v>
      </c>
      <c r="AJ20802" s="835">
        <v>41670</v>
      </c>
      <c r="AK20802" s="831">
        <v>136649293.76300001</v>
      </c>
    </row>
    <row r="20803" spans="32:37">
      <c r="AF20803" s="831" t="s">
        <v>11310</v>
      </c>
      <c r="AG20803" s="831" t="s">
        <v>2674</v>
      </c>
      <c r="AH20803" s="831" t="s">
        <v>3042</v>
      </c>
      <c r="AI20803" s="831">
        <v>0</v>
      </c>
      <c r="AJ20803" s="835">
        <v>41670</v>
      </c>
      <c r="AK20803" s="831">
        <v>-35903077.527000003</v>
      </c>
    </row>
    <row r="20804" spans="32:37">
      <c r="AF20804" s="831" t="s">
        <v>11311</v>
      </c>
      <c r="AG20804" s="831" t="s">
        <v>2674</v>
      </c>
      <c r="AH20804" s="831" t="s">
        <v>3044</v>
      </c>
      <c r="AI20804" s="831">
        <v>0</v>
      </c>
      <c r="AJ20804" s="835">
        <v>41670</v>
      </c>
      <c r="AK20804" s="831">
        <v>-4357745.8899999997</v>
      </c>
    </row>
    <row r="20805" spans="32:37">
      <c r="AF20805" s="831" t="s">
        <v>11312</v>
      </c>
      <c r="AG20805" s="831" t="s">
        <v>2674</v>
      </c>
      <c r="AH20805" s="831" t="s">
        <v>580</v>
      </c>
      <c r="AI20805" s="831">
        <v>0</v>
      </c>
      <c r="AJ20805" s="835">
        <v>41670</v>
      </c>
      <c r="AK20805" s="831">
        <v>-64979972.306999996</v>
      </c>
    </row>
    <row r="20806" spans="32:37">
      <c r="AF20806" s="831" t="s">
        <v>11313</v>
      </c>
      <c r="AG20806" s="831" t="s">
        <v>2674</v>
      </c>
      <c r="AH20806" s="831" t="s">
        <v>581</v>
      </c>
      <c r="AI20806" s="831">
        <v>0</v>
      </c>
      <c r="AJ20806" s="835">
        <v>41670</v>
      </c>
      <c r="AK20806" s="831">
        <v>5221448.8940000003</v>
      </c>
    </row>
    <row r="20807" spans="32:37">
      <c r="AF20807" s="831" t="s">
        <v>11314</v>
      </c>
      <c r="AG20807" s="831" t="s">
        <v>2674</v>
      </c>
      <c r="AH20807" s="831" t="s">
        <v>105</v>
      </c>
      <c r="AI20807" s="831">
        <v>0</v>
      </c>
      <c r="AJ20807" s="835">
        <v>41670</v>
      </c>
      <c r="AK20807" s="831">
        <v>378525192</v>
      </c>
    </row>
    <row r="20808" spans="32:37">
      <c r="AF20808" s="831" t="s">
        <v>11315</v>
      </c>
      <c r="AG20808" s="831" t="s">
        <v>2674</v>
      </c>
      <c r="AH20808" s="831" t="s">
        <v>3049</v>
      </c>
      <c r="AI20808" s="831">
        <v>0</v>
      </c>
      <c r="AJ20808" s="835">
        <v>41670</v>
      </c>
      <c r="AK20808" s="831">
        <v>636021249.54999995</v>
      </c>
    </row>
    <row r="20809" spans="32:37">
      <c r="AF20809" s="831" t="s">
        <v>11316</v>
      </c>
      <c r="AG20809" s="831" t="s">
        <v>2674</v>
      </c>
      <c r="AH20809" s="831" t="s">
        <v>103</v>
      </c>
      <c r="AI20809" s="831">
        <v>0</v>
      </c>
      <c r="AJ20809" s="835">
        <v>41670</v>
      </c>
      <c r="AK20809" s="831">
        <v>257496057.55000001</v>
      </c>
    </row>
    <row r="20810" spans="32:37">
      <c r="AF20810" s="831" t="s">
        <v>11317</v>
      </c>
      <c r="AG20810" s="831" t="s">
        <v>2674</v>
      </c>
      <c r="AH20810" s="831" t="s">
        <v>182</v>
      </c>
      <c r="AI20810" s="831">
        <v>0</v>
      </c>
      <c r="AJ20810" s="835">
        <v>41670</v>
      </c>
      <c r="AK20810" s="831">
        <v>67679280</v>
      </c>
    </row>
    <row r="20811" spans="32:37">
      <c r="AF20811" s="831" t="s">
        <v>11318</v>
      </c>
      <c r="AG20811" s="831" t="s">
        <v>2674</v>
      </c>
      <c r="AH20811" s="831" t="s">
        <v>6600</v>
      </c>
      <c r="AI20811" s="831">
        <v>0</v>
      </c>
      <c r="AJ20811" s="835">
        <v>41670</v>
      </c>
      <c r="AK20811" s="831">
        <v>28355401.956000008</v>
      </c>
    </row>
    <row r="20812" spans="32:37">
      <c r="AF20812" s="831" t="s">
        <v>11319</v>
      </c>
      <c r="AG20812" s="831" t="s">
        <v>2674</v>
      </c>
      <c r="AH20812" s="831" t="s">
        <v>6602</v>
      </c>
      <c r="AI20812" s="831">
        <v>0</v>
      </c>
      <c r="AJ20812" s="835">
        <v>41670</v>
      </c>
      <c r="AK20812" s="831">
        <v>3298821</v>
      </c>
    </row>
    <row r="20813" spans="32:37">
      <c r="AF20813" s="831" t="s">
        <v>11320</v>
      </c>
      <c r="AG20813" s="831" t="s">
        <v>2674</v>
      </c>
      <c r="AH20813" s="831" t="s">
        <v>650</v>
      </c>
      <c r="AI20813" s="831">
        <v>0</v>
      </c>
      <c r="AJ20813" s="835">
        <v>41670</v>
      </c>
      <c r="AK20813" s="831">
        <v>211999986.62300003</v>
      </c>
    </row>
    <row r="20814" spans="32:37">
      <c r="AF20814" s="831" t="s">
        <v>11321</v>
      </c>
      <c r="AG20814" s="831" t="s">
        <v>2674</v>
      </c>
      <c r="AH20814" s="831" t="s">
        <v>655</v>
      </c>
      <c r="AI20814" s="831">
        <v>0</v>
      </c>
      <c r="AJ20814" s="835">
        <v>41670</v>
      </c>
      <c r="AK20814" s="831">
        <v>1732566.0729999999</v>
      </c>
    </row>
    <row r="20815" spans="32:37">
      <c r="AF20815" s="831" t="s">
        <v>11322</v>
      </c>
      <c r="AG20815" s="831" t="s">
        <v>2674</v>
      </c>
      <c r="AH20815" s="831" t="s">
        <v>546</v>
      </c>
      <c r="AI20815" s="831">
        <v>0</v>
      </c>
      <c r="AJ20815" s="835">
        <v>41698</v>
      </c>
      <c r="AK20815" s="831">
        <v>652795035</v>
      </c>
    </row>
    <row r="20816" spans="32:37">
      <c r="AF20816" s="831" t="s">
        <v>11323</v>
      </c>
      <c r="AG20816" s="831" t="s">
        <v>2674</v>
      </c>
      <c r="AH20816" s="831" t="s">
        <v>370</v>
      </c>
      <c r="AI20816" s="831">
        <v>0</v>
      </c>
      <c r="AJ20816" s="835">
        <v>41698</v>
      </c>
      <c r="AK20816" s="831">
        <v>794421636</v>
      </c>
    </row>
    <row r="20817" spans="32:37">
      <c r="AF20817" s="831" t="s">
        <v>11324</v>
      </c>
      <c r="AG20817" s="831" t="s">
        <v>2674</v>
      </c>
      <c r="AH20817" s="831" t="s">
        <v>126</v>
      </c>
      <c r="AI20817" s="831">
        <v>0</v>
      </c>
      <c r="AJ20817" s="835">
        <v>41698</v>
      </c>
      <c r="AK20817" s="831">
        <v>120615628</v>
      </c>
    </row>
    <row r="20818" spans="32:37">
      <c r="AF20818" s="831" t="s">
        <v>11325</v>
      </c>
      <c r="AG20818" s="831" t="s">
        <v>2674</v>
      </c>
      <c r="AH20818" s="831" t="s">
        <v>268</v>
      </c>
      <c r="AI20818" s="831">
        <v>0</v>
      </c>
      <c r="AJ20818" s="835">
        <v>41698</v>
      </c>
      <c r="AK20818" s="831">
        <v>7870295</v>
      </c>
    </row>
    <row r="20819" spans="32:37">
      <c r="AF20819" s="831" t="s">
        <v>11326</v>
      </c>
      <c r="AG20819" s="831" t="s">
        <v>2674</v>
      </c>
      <c r="AH20819" s="831" t="s">
        <v>547</v>
      </c>
      <c r="AI20819" s="831">
        <v>0</v>
      </c>
      <c r="AJ20819" s="835">
        <v>41698</v>
      </c>
      <c r="AK20819" s="831">
        <v>777719977</v>
      </c>
    </row>
    <row r="20820" spans="32:37">
      <c r="AF20820" s="831" t="s">
        <v>11327</v>
      </c>
      <c r="AG20820" s="831" t="s">
        <v>2674</v>
      </c>
      <c r="AH20820" s="831" t="s">
        <v>548</v>
      </c>
      <c r="AI20820" s="831">
        <v>0</v>
      </c>
      <c r="AJ20820" s="835">
        <v>41698</v>
      </c>
      <c r="AK20820" s="831">
        <v>117105496</v>
      </c>
    </row>
    <row r="20821" spans="32:37">
      <c r="AF20821" s="831" t="s">
        <v>11328</v>
      </c>
      <c r="AG20821" s="831" t="s">
        <v>2674</v>
      </c>
      <c r="AH20821" s="831" t="s">
        <v>549</v>
      </c>
      <c r="AI20821" s="831">
        <v>0</v>
      </c>
      <c r="AJ20821" s="835">
        <v>41698</v>
      </c>
      <c r="AK20821" s="831">
        <v>436810603</v>
      </c>
    </row>
    <row r="20822" spans="32:37">
      <c r="AF20822" s="831" t="s">
        <v>11329</v>
      </c>
      <c r="AG20822" s="831" t="s">
        <v>2674</v>
      </c>
      <c r="AH20822" s="831" t="s">
        <v>192</v>
      </c>
      <c r="AI20822" s="831">
        <v>0</v>
      </c>
      <c r="AJ20822" s="835">
        <v>41698</v>
      </c>
      <c r="AK20822" s="831">
        <v>-13506118</v>
      </c>
    </row>
    <row r="20823" spans="32:37">
      <c r="AF20823" s="831" t="s">
        <v>11330</v>
      </c>
      <c r="AG20823" s="831" t="s">
        <v>2674</v>
      </c>
      <c r="AH20823" s="831" t="s">
        <v>558</v>
      </c>
      <c r="AI20823" s="831">
        <v>0</v>
      </c>
      <c r="AJ20823" s="835">
        <v>41698</v>
      </c>
      <c r="AK20823" s="831">
        <v>673806008.21000004</v>
      </c>
    </row>
    <row r="20824" spans="32:37">
      <c r="AF20824" s="831" t="s">
        <v>11331</v>
      </c>
      <c r="AG20824" s="831" t="s">
        <v>2674</v>
      </c>
      <c r="AH20824" s="831" t="s">
        <v>65</v>
      </c>
      <c r="AI20824" s="831">
        <v>0</v>
      </c>
      <c r="AJ20824" s="835">
        <v>41698</v>
      </c>
      <c r="AK20824" s="831">
        <v>27696081</v>
      </c>
    </row>
    <row r="20825" spans="32:37">
      <c r="AF20825" s="831" t="s">
        <v>11332</v>
      </c>
      <c r="AG20825" s="831" t="s">
        <v>2674</v>
      </c>
      <c r="AH20825" s="831" t="s">
        <v>89</v>
      </c>
      <c r="AI20825" s="831">
        <v>0</v>
      </c>
      <c r="AJ20825" s="835">
        <v>41698</v>
      </c>
      <c r="AK20825" s="831">
        <v>150328</v>
      </c>
    </row>
    <row r="20826" spans="32:37">
      <c r="AF20826" s="831" t="s">
        <v>11333</v>
      </c>
      <c r="AG20826" s="831" t="s">
        <v>2674</v>
      </c>
      <c r="AH20826" s="831" t="s">
        <v>557</v>
      </c>
      <c r="AI20826" s="831">
        <v>0</v>
      </c>
      <c r="AJ20826" s="835">
        <v>41698</v>
      </c>
      <c r="AK20826" s="831">
        <v>165052</v>
      </c>
    </row>
    <row r="20827" spans="32:37">
      <c r="AF20827" s="831" t="s">
        <v>11334</v>
      </c>
      <c r="AG20827" s="831" t="s">
        <v>2674</v>
      </c>
      <c r="AH20827" s="831" t="s">
        <v>29</v>
      </c>
      <c r="AI20827" s="831">
        <v>0</v>
      </c>
      <c r="AJ20827" s="835">
        <v>41698</v>
      </c>
      <c r="AK20827" s="831">
        <v>2075568.541</v>
      </c>
    </row>
    <row r="20828" spans="32:37">
      <c r="AF20828" s="831" t="s">
        <v>11335</v>
      </c>
      <c r="AG20828" s="831" t="s">
        <v>2674</v>
      </c>
      <c r="AH20828" s="831" t="s">
        <v>2688</v>
      </c>
      <c r="AI20828" s="831">
        <v>0</v>
      </c>
      <c r="AJ20828" s="835">
        <v>41698</v>
      </c>
      <c r="AK20828" s="831">
        <v>4740340.3599999994</v>
      </c>
    </row>
    <row r="20829" spans="32:37">
      <c r="AF20829" s="831" t="s">
        <v>11336</v>
      </c>
      <c r="AG20829" s="831" t="s">
        <v>2674</v>
      </c>
      <c r="AH20829" s="831" t="s">
        <v>556</v>
      </c>
      <c r="AI20829" s="831">
        <v>0</v>
      </c>
      <c r="AJ20829" s="835">
        <v>41698</v>
      </c>
      <c r="AK20829" s="831">
        <v>1644732</v>
      </c>
    </row>
    <row r="20830" spans="32:37">
      <c r="AF20830" s="831" t="s">
        <v>11337</v>
      </c>
      <c r="AG20830" s="831" t="s">
        <v>2674</v>
      </c>
      <c r="AH20830" s="831" t="s">
        <v>555</v>
      </c>
      <c r="AI20830" s="831">
        <v>0</v>
      </c>
      <c r="AJ20830" s="835">
        <v>41698</v>
      </c>
      <c r="AK20830" s="831">
        <v>437465824</v>
      </c>
    </row>
    <row r="20831" spans="32:37">
      <c r="AF20831" s="831" t="s">
        <v>11338</v>
      </c>
      <c r="AG20831" s="831" t="s">
        <v>2674</v>
      </c>
      <c r="AH20831" s="831" t="s">
        <v>554</v>
      </c>
      <c r="AI20831" s="831">
        <v>0</v>
      </c>
      <c r="AJ20831" s="835">
        <v>41698</v>
      </c>
      <c r="AK20831" s="831">
        <v>440045130</v>
      </c>
    </row>
    <row r="20832" spans="32:37">
      <c r="AF20832" s="831" t="s">
        <v>11339</v>
      </c>
      <c r="AG20832" s="831" t="s">
        <v>2674</v>
      </c>
      <c r="AH20832" s="831" t="s">
        <v>553</v>
      </c>
      <c r="AI20832" s="831">
        <v>0</v>
      </c>
      <c r="AJ20832" s="835">
        <v>41698</v>
      </c>
      <c r="AK20832" s="831">
        <v>0</v>
      </c>
    </row>
    <row r="20833" spans="32:37">
      <c r="AF20833" s="831" t="s">
        <v>11340</v>
      </c>
      <c r="AG20833" s="831" t="s">
        <v>2674</v>
      </c>
      <c r="AH20833" s="831" t="s">
        <v>552</v>
      </c>
      <c r="AI20833" s="831">
        <v>0</v>
      </c>
      <c r="AJ20833" s="835">
        <v>41698</v>
      </c>
      <c r="AK20833" s="831">
        <v>0</v>
      </c>
    </row>
    <row r="20834" spans="32:37">
      <c r="AF20834" s="831" t="s">
        <v>11341</v>
      </c>
      <c r="AG20834" s="831" t="s">
        <v>2674</v>
      </c>
      <c r="AH20834" s="831" t="s">
        <v>551</v>
      </c>
      <c r="AI20834" s="831">
        <v>0</v>
      </c>
      <c r="AJ20834" s="835">
        <v>41698</v>
      </c>
      <c r="AK20834" s="831">
        <v>1790155.7879999999</v>
      </c>
    </row>
    <row r="20835" spans="32:37">
      <c r="AF20835" s="831" t="s">
        <v>11342</v>
      </c>
      <c r="AG20835" s="831" t="s">
        <v>2674</v>
      </c>
      <c r="AH20835" s="831" t="s">
        <v>550</v>
      </c>
      <c r="AI20835" s="831">
        <v>0</v>
      </c>
      <c r="AJ20835" s="835">
        <v>41698</v>
      </c>
      <c r="AK20835" s="831">
        <v>117105496</v>
      </c>
    </row>
    <row r="20836" spans="32:37">
      <c r="AF20836" s="831" t="s">
        <v>11343</v>
      </c>
      <c r="AG20836" s="831" t="s">
        <v>2674</v>
      </c>
      <c r="AH20836" s="831" t="s">
        <v>562</v>
      </c>
      <c r="AI20836" s="831">
        <v>0</v>
      </c>
      <c r="AJ20836" s="835">
        <v>41698</v>
      </c>
      <c r="AK20836" s="831">
        <v>0.78385000000000005</v>
      </c>
    </row>
    <row r="20837" spans="32:37">
      <c r="AF20837" s="831" t="s">
        <v>11344</v>
      </c>
      <c r="AG20837" s="831" t="s">
        <v>2674</v>
      </c>
      <c r="AH20837" s="831" t="s">
        <v>2698</v>
      </c>
      <c r="AI20837" s="831">
        <v>0</v>
      </c>
      <c r="AJ20837" s="835">
        <v>41698</v>
      </c>
      <c r="AK20837" s="831">
        <v>0.78364999999999996</v>
      </c>
    </row>
    <row r="20838" spans="32:37">
      <c r="AF20838" s="831" t="s">
        <v>11345</v>
      </c>
      <c r="AG20838" s="831" t="s">
        <v>2674</v>
      </c>
      <c r="AH20838" s="831" t="s">
        <v>560</v>
      </c>
      <c r="AI20838" s="831">
        <v>0</v>
      </c>
      <c r="AJ20838" s="835">
        <v>41698</v>
      </c>
      <c r="AK20838" s="831">
        <v>0.78374999999999995</v>
      </c>
    </row>
    <row r="20839" spans="32:37">
      <c r="AF20839" s="831" t="s">
        <v>11346</v>
      </c>
      <c r="AG20839" s="831" t="s">
        <v>2674</v>
      </c>
      <c r="AH20839" s="831" t="s">
        <v>559</v>
      </c>
      <c r="AI20839" s="831">
        <v>0</v>
      </c>
      <c r="AJ20839" s="835">
        <v>41698</v>
      </c>
      <c r="AK20839" s="831">
        <v>0.7838750000000001</v>
      </c>
    </row>
    <row r="20840" spans="32:37">
      <c r="AF20840" s="831" t="s">
        <v>11347</v>
      </c>
      <c r="AG20840" s="831" t="s">
        <v>2674</v>
      </c>
      <c r="AH20840" s="831" t="s">
        <v>568</v>
      </c>
      <c r="AI20840" s="831">
        <v>0</v>
      </c>
      <c r="AJ20840" s="835">
        <v>41698</v>
      </c>
      <c r="AK20840" s="831">
        <v>548459663.22692311</v>
      </c>
    </row>
    <row r="20841" spans="32:37">
      <c r="AF20841" s="831" t="s">
        <v>11348</v>
      </c>
      <c r="AG20841" s="831" t="s">
        <v>2674</v>
      </c>
      <c r="AH20841" s="831" t="s">
        <v>569</v>
      </c>
      <c r="AI20841" s="831">
        <v>0</v>
      </c>
      <c r="AJ20841" s="835">
        <v>41698</v>
      </c>
      <c r="AK20841" s="831">
        <v>670148193.05023074</v>
      </c>
    </row>
    <row r="20842" spans="32:37">
      <c r="AF20842" s="831" t="s">
        <v>11349</v>
      </c>
      <c r="AG20842" s="831" t="s">
        <v>2674</v>
      </c>
      <c r="AH20842" s="831" t="s">
        <v>570</v>
      </c>
      <c r="AI20842" s="831">
        <v>0</v>
      </c>
      <c r="AJ20842" s="835">
        <v>41698</v>
      </c>
      <c r="AK20842" s="831">
        <v>111814070.13584615</v>
      </c>
    </row>
    <row r="20843" spans="32:37">
      <c r="AF20843" s="831" t="s">
        <v>11350</v>
      </c>
      <c r="AG20843" s="831" t="s">
        <v>2674</v>
      </c>
      <c r="AH20843" s="831" t="s">
        <v>571</v>
      </c>
      <c r="AI20843" s="831">
        <v>0</v>
      </c>
      <c r="AJ20843" s="835">
        <v>41698</v>
      </c>
      <c r="AK20843" s="831">
        <v>320628110.0517692</v>
      </c>
    </row>
    <row r="20844" spans="32:37">
      <c r="AF20844" s="831" t="s">
        <v>11351</v>
      </c>
      <c r="AG20844" s="831" t="s">
        <v>2674</v>
      </c>
      <c r="AH20844" s="831" t="s">
        <v>573</v>
      </c>
      <c r="AI20844" s="831">
        <v>0</v>
      </c>
      <c r="AJ20844" s="835">
        <v>41698</v>
      </c>
      <c r="AK20844" s="831">
        <v>787218860.85433328</v>
      </c>
    </row>
    <row r="20845" spans="32:37">
      <c r="AF20845" s="831" t="s">
        <v>11352</v>
      </c>
      <c r="AG20845" s="831" t="s">
        <v>2674</v>
      </c>
      <c r="AH20845" s="831" t="s">
        <v>574</v>
      </c>
      <c r="AI20845" s="831">
        <v>0</v>
      </c>
      <c r="AJ20845" s="835">
        <v>41698</v>
      </c>
      <c r="AK20845" s="831">
        <v>638762603.66666663</v>
      </c>
    </row>
    <row r="20846" spans="32:37">
      <c r="AF20846" s="831" t="s">
        <v>11353</v>
      </c>
      <c r="AG20846" s="831" t="s">
        <v>2674</v>
      </c>
      <c r="AH20846" s="831" t="s">
        <v>575</v>
      </c>
      <c r="AI20846" s="831">
        <v>0</v>
      </c>
      <c r="AJ20846" s="835">
        <v>41698</v>
      </c>
      <c r="AK20846" s="831">
        <v>117270296.63666666</v>
      </c>
    </row>
    <row r="20847" spans="32:37">
      <c r="AF20847" s="831" t="s">
        <v>11354</v>
      </c>
      <c r="AG20847" s="831" t="s">
        <v>2674</v>
      </c>
      <c r="AH20847" s="831" t="s">
        <v>576</v>
      </c>
      <c r="AI20847" s="831">
        <v>0</v>
      </c>
      <c r="AJ20847" s="835">
        <v>41698</v>
      </c>
      <c r="AK20847" s="831">
        <v>385067117.20366669</v>
      </c>
    </row>
    <row r="20848" spans="32:37">
      <c r="AF20848" s="831" t="s">
        <v>11355</v>
      </c>
      <c r="AG20848" s="831" t="s">
        <v>2674</v>
      </c>
      <c r="AH20848" s="831" t="s">
        <v>572</v>
      </c>
      <c r="AI20848" s="831">
        <v>0</v>
      </c>
      <c r="AJ20848" s="835">
        <v>41698</v>
      </c>
      <c r="AK20848" s="831">
        <v>31228952.956000008</v>
      </c>
    </row>
    <row r="20849" spans="32:37">
      <c r="AF20849" s="831" t="s">
        <v>11356</v>
      </c>
      <c r="AG20849" s="831" t="s">
        <v>2674</v>
      </c>
      <c r="AH20849" s="831" t="s">
        <v>577</v>
      </c>
      <c r="AI20849" s="831">
        <v>0</v>
      </c>
      <c r="AJ20849" s="835">
        <v>41698</v>
      </c>
      <c r="AK20849" s="831">
        <v>141567221.76300001</v>
      </c>
    </row>
    <row r="20850" spans="32:37">
      <c r="AF20850" s="831" t="s">
        <v>11357</v>
      </c>
      <c r="AG20850" s="831" t="s">
        <v>2674</v>
      </c>
      <c r="AH20850" s="831" t="s">
        <v>3042</v>
      </c>
      <c r="AI20850" s="831">
        <v>0</v>
      </c>
      <c r="AJ20850" s="835">
        <v>41698</v>
      </c>
      <c r="AK20850" s="831">
        <v>-37210157.527000003</v>
      </c>
    </row>
    <row r="20851" spans="32:37">
      <c r="AF20851" s="831" t="s">
        <v>11358</v>
      </c>
      <c r="AG20851" s="831" t="s">
        <v>2674</v>
      </c>
      <c r="AH20851" s="831" t="s">
        <v>3044</v>
      </c>
      <c r="AI20851" s="831">
        <v>0</v>
      </c>
      <c r="AJ20851" s="835">
        <v>41698</v>
      </c>
      <c r="AK20851" s="831">
        <v>-3847935.8899999997</v>
      </c>
    </row>
    <row r="20852" spans="32:37">
      <c r="AF20852" s="831" t="s">
        <v>11359</v>
      </c>
      <c r="AG20852" s="831" t="s">
        <v>2674</v>
      </c>
      <c r="AH20852" s="831" t="s">
        <v>580</v>
      </c>
      <c r="AI20852" s="831">
        <v>0</v>
      </c>
      <c r="AJ20852" s="835">
        <v>41698</v>
      </c>
      <c r="AK20852" s="831">
        <v>-65813930.306999996</v>
      </c>
    </row>
    <row r="20853" spans="32:37">
      <c r="AF20853" s="831" t="s">
        <v>11360</v>
      </c>
      <c r="AG20853" s="831" t="s">
        <v>2674</v>
      </c>
      <c r="AH20853" s="831" t="s">
        <v>581</v>
      </c>
      <c r="AI20853" s="831">
        <v>0</v>
      </c>
      <c r="AJ20853" s="835">
        <v>41698</v>
      </c>
      <c r="AK20853" s="831">
        <v>5417725.8940000003</v>
      </c>
    </row>
    <row r="20854" spans="32:37">
      <c r="AF20854" s="831" t="s">
        <v>11361</v>
      </c>
      <c r="AG20854" s="831" t="s">
        <v>2674</v>
      </c>
      <c r="AH20854" s="831" t="s">
        <v>105</v>
      </c>
      <c r="AI20854" s="831">
        <v>0</v>
      </c>
      <c r="AJ20854" s="835">
        <v>41698</v>
      </c>
      <c r="AK20854" s="831">
        <v>385102312</v>
      </c>
    </row>
    <row r="20855" spans="32:37">
      <c r="AF20855" s="831" t="s">
        <v>11362</v>
      </c>
      <c r="AG20855" s="831" t="s">
        <v>2674</v>
      </c>
      <c r="AH20855" s="831" t="s">
        <v>3049</v>
      </c>
      <c r="AI20855" s="831">
        <v>0</v>
      </c>
      <c r="AJ20855" s="835">
        <v>41698</v>
      </c>
      <c r="AK20855" s="831">
        <v>650688857.41999996</v>
      </c>
    </row>
    <row r="20856" spans="32:37">
      <c r="AF20856" s="831" t="s">
        <v>11363</v>
      </c>
      <c r="AG20856" s="831" t="s">
        <v>2674</v>
      </c>
      <c r="AH20856" s="831" t="s">
        <v>103</v>
      </c>
      <c r="AI20856" s="831">
        <v>0</v>
      </c>
      <c r="AJ20856" s="835">
        <v>41698</v>
      </c>
      <c r="AK20856" s="831">
        <v>265586545.41999999</v>
      </c>
    </row>
    <row r="20857" spans="32:37">
      <c r="AF20857" s="831" t="s">
        <v>11364</v>
      </c>
      <c r="AG20857" s="831" t="s">
        <v>2674</v>
      </c>
      <c r="AH20857" s="831" t="s">
        <v>182</v>
      </c>
      <c r="AI20857" s="831">
        <v>0</v>
      </c>
      <c r="AJ20857" s="835">
        <v>41698</v>
      </c>
      <c r="AK20857" s="831">
        <v>65878782</v>
      </c>
    </row>
    <row r="20858" spans="32:37">
      <c r="AF20858" s="831" t="s">
        <v>11365</v>
      </c>
      <c r="AG20858" s="831" t="s">
        <v>2674</v>
      </c>
      <c r="AH20858" s="831" t="s">
        <v>6600</v>
      </c>
      <c r="AI20858" s="831">
        <v>0</v>
      </c>
      <c r="AJ20858" s="835">
        <v>41698</v>
      </c>
      <c r="AK20858" s="831">
        <v>31228952.956000008</v>
      </c>
    </row>
    <row r="20859" spans="32:37">
      <c r="AF20859" s="831" t="s">
        <v>11366</v>
      </c>
      <c r="AG20859" s="831" t="s">
        <v>2674</v>
      </c>
      <c r="AH20859" s="831" t="s">
        <v>6602</v>
      </c>
      <c r="AI20859" s="831">
        <v>0</v>
      </c>
      <c r="AJ20859" s="835">
        <v>41698</v>
      </c>
      <c r="AK20859" s="831">
        <v>7870295</v>
      </c>
    </row>
    <row r="20860" spans="32:37">
      <c r="AF20860" s="831" t="s">
        <v>11367</v>
      </c>
      <c r="AG20860" s="831" t="s">
        <v>2674</v>
      </c>
      <c r="AH20860" s="831" t="s">
        <v>650</v>
      </c>
      <c r="AI20860" s="831">
        <v>0</v>
      </c>
      <c r="AJ20860" s="835">
        <v>41698</v>
      </c>
      <c r="AK20860" s="831">
        <v>219285486.1168462</v>
      </c>
    </row>
    <row r="20861" spans="32:37">
      <c r="AF20861" s="831" t="s">
        <v>11368</v>
      </c>
      <c r="AG20861" s="831" t="s">
        <v>2674</v>
      </c>
      <c r="AH20861" s="831" t="s">
        <v>655</v>
      </c>
      <c r="AI20861" s="831">
        <v>0</v>
      </c>
      <c r="AJ20861" s="835">
        <v>41698</v>
      </c>
      <c r="AK20861" s="831">
        <v>1640758.8330000001</v>
      </c>
    </row>
    <row r="20862" spans="32:37">
      <c r="AF20862" s="831" t="s">
        <v>11369</v>
      </c>
      <c r="AG20862" s="831" t="s">
        <v>2674</v>
      </c>
      <c r="AH20862" s="831" t="s">
        <v>546</v>
      </c>
      <c r="AI20862" s="831">
        <v>0</v>
      </c>
      <c r="AJ20862" s="835">
        <v>41729</v>
      </c>
      <c r="AK20862" s="831">
        <v>664153787</v>
      </c>
    </row>
    <row r="20863" spans="32:37">
      <c r="AF20863" s="831" t="s">
        <v>11370</v>
      </c>
      <c r="AG20863" s="831" t="s">
        <v>2674</v>
      </c>
      <c r="AH20863" s="831" t="s">
        <v>370</v>
      </c>
      <c r="AI20863" s="831">
        <v>0</v>
      </c>
      <c r="AJ20863" s="835">
        <v>41729</v>
      </c>
      <c r="AK20863" s="831">
        <v>834303183</v>
      </c>
    </row>
    <row r="20864" spans="32:37">
      <c r="AF20864" s="831" t="s">
        <v>11371</v>
      </c>
      <c r="AG20864" s="831" t="s">
        <v>2674</v>
      </c>
      <c r="AH20864" s="831" t="s">
        <v>126</v>
      </c>
      <c r="AI20864" s="831">
        <v>0</v>
      </c>
      <c r="AJ20864" s="835">
        <v>41729</v>
      </c>
      <c r="AK20864" s="831">
        <v>124206790</v>
      </c>
    </row>
    <row r="20865" spans="32:37">
      <c r="AF20865" s="831" t="s">
        <v>11372</v>
      </c>
      <c r="AG20865" s="831" t="s">
        <v>2674</v>
      </c>
      <c r="AH20865" s="831" t="s">
        <v>268</v>
      </c>
      <c r="AI20865" s="831">
        <v>0</v>
      </c>
      <c r="AJ20865" s="835">
        <v>41729</v>
      </c>
      <c r="AK20865" s="831">
        <v>8878765</v>
      </c>
    </row>
    <row r="20866" spans="32:37">
      <c r="AF20866" s="831" t="s">
        <v>11373</v>
      </c>
      <c r="AG20866" s="831" t="s">
        <v>2674</v>
      </c>
      <c r="AH20866" s="831" t="s">
        <v>547</v>
      </c>
      <c r="AI20866" s="831">
        <v>0</v>
      </c>
      <c r="AJ20866" s="835">
        <v>41729</v>
      </c>
      <c r="AK20866" s="831">
        <v>777719977</v>
      </c>
    </row>
    <row r="20867" spans="32:37">
      <c r="AF20867" s="831" t="s">
        <v>11374</v>
      </c>
      <c r="AG20867" s="831" t="s">
        <v>2674</v>
      </c>
      <c r="AH20867" s="831" t="s">
        <v>548</v>
      </c>
      <c r="AI20867" s="831">
        <v>0</v>
      </c>
      <c r="AJ20867" s="835">
        <v>41729</v>
      </c>
      <c r="AK20867" s="831">
        <v>117105496</v>
      </c>
    </row>
    <row r="20868" spans="32:37">
      <c r="AF20868" s="831" t="s">
        <v>11375</v>
      </c>
      <c r="AG20868" s="831" t="s">
        <v>2674</v>
      </c>
      <c r="AH20868" s="831" t="s">
        <v>549</v>
      </c>
      <c r="AI20868" s="831">
        <v>0</v>
      </c>
      <c r="AJ20868" s="835">
        <v>41729</v>
      </c>
      <c r="AK20868" s="831">
        <v>455655641</v>
      </c>
    </row>
    <row r="20869" spans="32:37">
      <c r="AF20869" s="831" t="s">
        <v>11376</v>
      </c>
      <c r="AG20869" s="831" t="s">
        <v>2674</v>
      </c>
      <c r="AH20869" s="831" t="s">
        <v>192</v>
      </c>
      <c r="AI20869" s="831">
        <v>0</v>
      </c>
      <c r="AJ20869" s="835">
        <v>41729</v>
      </c>
      <c r="AK20869" s="831">
        <v>-12498345</v>
      </c>
    </row>
    <row r="20870" spans="32:37">
      <c r="AF20870" s="831" t="s">
        <v>11377</v>
      </c>
      <c r="AG20870" s="831" t="s">
        <v>2674</v>
      </c>
      <c r="AH20870" s="831" t="s">
        <v>558</v>
      </c>
      <c r="AI20870" s="831">
        <v>0</v>
      </c>
      <c r="AJ20870" s="835">
        <v>41729</v>
      </c>
      <c r="AK20870" s="831">
        <v>710096393</v>
      </c>
    </row>
    <row r="20871" spans="32:37">
      <c r="AF20871" s="831" t="s">
        <v>11378</v>
      </c>
      <c r="AG20871" s="831" t="s">
        <v>2674</v>
      </c>
      <c r="AH20871" s="831" t="s">
        <v>65</v>
      </c>
      <c r="AI20871" s="831">
        <v>0</v>
      </c>
      <c r="AJ20871" s="835">
        <v>41729</v>
      </c>
      <c r="AK20871" s="831">
        <v>38451284</v>
      </c>
    </row>
    <row r="20872" spans="32:37">
      <c r="AF20872" s="831" t="s">
        <v>11379</v>
      </c>
      <c r="AG20872" s="831" t="s">
        <v>2674</v>
      </c>
      <c r="AH20872" s="831" t="s">
        <v>89</v>
      </c>
      <c r="AI20872" s="831">
        <v>0</v>
      </c>
      <c r="AJ20872" s="835">
        <v>41729</v>
      </c>
      <c r="AK20872" s="831">
        <v>151606</v>
      </c>
    </row>
    <row r="20873" spans="32:37">
      <c r="AF20873" s="831" t="s">
        <v>11380</v>
      </c>
      <c r="AG20873" s="831" t="s">
        <v>2674</v>
      </c>
      <c r="AH20873" s="831" t="s">
        <v>557</v>
      </c>
      <c r="AI20873" s="831">
        <v>0</v>
      </c>
      <c r="AJ20873" s="835">
        <v>41729</v>
      </c>
      <c r="AK20873" s="831">
        <v>167127</v>
      </c>
    </row>
    <row r="20874" spans="32:37">
      <c r="AF20874" s="831" t="s">
        <v>11381</v>
      </c>
      <c r="AG20874" s="831" t="s">
        <v>2674</v>
      </c>
      <c r="AH20874" s="831" t="s">
        <v>29</v>
      </c>
      <c r="AI20874" s="831">
        <v>0</v>
      </c>
      <c r="AJ20874" s="835">
        <v>41729</v>
      </c>
      <c r="AK20874" s="831">
        <v>2189531.31</v>
      </c>
    </row>
    <row r="20875" spans="32:37">
      <c r="AF20875" s="831" t="s">
        <v>11382</v>
      </c>
      <c r="AG20875" s="831" t="s">
        <v>2674</v>
      </c>
      <c r="AH20875" s="831" t="s">
        <v>2688</v>
      </c>
      <c r="AI20875" s="831">
        <v>0</v>
      </c>
      <c r="AJ20875" s="835">
        <v>41729</v>
      </c>
      <c r="AK20875" s="831">
        <v>4729841</v>
      </c>
    </row>
    <row r="20876" spans="32:37">
      <c r="AF20876" s="831" t="s">
        <v>11383</v>
      </c>
      <c r="AG20876" s="831" t="s">
        <v>2674</v>
      </c>
      <c r="AH20876" s="831" t="s">
        <v>556</v>
      </c>
      <c r="AI20876" s="831">
        <v>0</v>
      </c>
      <c r="AJ20876" s="835">
        <v>41729</v>
      </c>
      <c r="AK20876" s="831">
        <v>1644732</v>
      </c>
    </row>
    <row r="20877" spans="32:37">
      <c r="AF20877" s="831" t="s">
        <v>11384</v>
      </c>
      <c r="AG20877" s="831" t="s">
        <v>2674</v>
      </c>
      <c r="AH20877" s="831" t="s">
        <v>555</v>
      </c>
      <c r="AI20877" s="831">
        <v>0</v>
      </c>
      <c r="AJ20877" s="835">
        <v>41729</v>
      </c>
      <c r="AK20877" s="831">
        <v>466790280</v>
      </c>
    </row>
    <row r="20878" spans="32:37">
      <c r="AF20878" s="831" t="s">
        <v>11385</v>
      </c>
      <c r="AG20878" s="831" t="s">
        <v>2674</v>
      </c>
      <c r="AH20878" s="831" t="s">
        <v>554</v>
      </c>
      <c r="AI20878" s="831">
        <v>0</v>
      </c>
      <c r="AJ20878" s="835">
        <v>41729</v>
      </c>
      <c r="AK20878" s="831">
        <v>476154670</v>
      </c>
    </row>
    <row r="20879" spans="32:37">
      <c r="AF20879" s="831" t="s">
        <v>11386</v>
      </c>
      <c r="AG20879" s="831" t="s">
        <v>2674</v>
      </c>
      <c r="AH20879" s="831" t="s">
        <v>553</v>
      </c>
      <c r="AI20879" s="831">
        <v>0</v>
      </c>
      <c r="AJ20879" s="835">
        <v>41729</v>
      </c>
      <c r="AK20879" s="831">
        <v>0</v>
      </c>
    </row>
    <row r="20880" spans="32:37">
      <c r="AF20880" s="831" t="s">
        <v>11387</v>
      </c>
      <c r="AG20880" s="831" t="s">
        <v>2674</v>
      </c>
      <c r="AH20880" s="831" t="s">
        <v>552</v>
      </c>
      <c r="AI20880" s="831">
        <v>0</v>
      </c>
      <c r="AJ20880" s="835">
        <v>41729</v>
      </c>
      <c r="AK20880" s="831">
        <v>0</v>
      </c>
    </row>
    <row r="20881" spans="32:37">
      <c r="AF20881" s="831" t="s">
        <v>11388</v>
      </c>
      <c r="AG20881" s="831" t="s">
        <v>2674</v>
      </c>
      <c r="AH20881" s="831" t="s">
        <v>551</v>
      </c>
      <c r="AI20881" s="831">
        <v>0</v>
      </c>
      <c r="AJ20881" s="835">
        <v>41729</v>
      </c>
      <c r="AK20881" s="831">
        <v>1979269.31</v>
      </c>
    </row>
    <row r="20882" spans="32:37">
      <c r="AF20882" s="831" t="s">
        <v>11389</v>
      </c>
      <c r="AG20882" s="831" t="s">
        <v>2674</v>
      </c>
      <c r="AH20882" s="831" t="s">
        <v>550</v>
      </c>
      <c r="AI20882" s="831">
        <v>0</v>
      </c>
      <c r="AJ20882" s="835">
        <v>41729</v>
      </c>
      <c r="AK20882" s="831">
        <v>120615628</v>
      </c>
    </row>
    <row r="20883" spans="32:37">
      <c r="AF20883" s="831" t="s">
        <v>11390</v>
      </c>
      <c r="AG20883" s="831" t="s">
        <v>2674</v>
      </c>
      <c r="AH20883" s="831" t="s">
        <v>562</v>
      </c>
      <c r="AI20883" s="831">
        <v>0</v>
      </c>
      <c r="AJ20883" s="835">
        <v>41729</v>
      </c>
      <c r="AK20883" s="831">
        <v>0.78374999999999995</v>
      </c>
    </row>
    <row r="20884" spans="32:37">
      <c r="AF20884" s="831" t="s">
        <v>11391</v>
      </c>
      <c r="AG20884" s="831" t="s">
        <v>2674</v>
      </c>
      <c r="AH20884" s="831" t="s">
        <v>2698</v>
      </c>
      <c r="AI20884" s="831">
        <v>0</v>
      </c>
      <c r="AJ20884" s="835">
        <v>41729</v>
      </c>
      <c r="AK20884" s="831">
        <v>0.78385000000000005</v>
      </c>
    </row>
    <row r="20885" spans="32:37">
      <c r="AF20885" s="831" t="s">
        <v>11392</v>
      </c>
      <c r="AG20885" s="831" t="s">
        <v>2674</v>
      </c>
      <c r="AH20885" s="831" t="s">
        <v>560</v>
      </c>
      <c r="AI20885" s="831">
        <v>0</v>
      </c>
      <c r="AJ20885" s="835">
        <v>41729</v>
      </c>
      <c r="AK20885" s="831">
        <v>0.78375000000000006</v>
      </c>
    </row>
    <row r="20886" spans="32:37">
      <c r="AF20886" s="831" t="s">
        <v>11393</v>
      </c>
      <c r="AG20886" s="831" t="s">
        <v>2674</v>
      </c>
      <c r="AH20886" s="831" t="s">
        <v>559</v>
      </c>
      <c r="AI20886" s="831">
        <v>0</v>
      </c>
      <c r="AJ20886" s="835">
        <v>41729</v>
      </c>
      <c r="AK20886" s="831">
        <v>0.78383333333333338</v>
      </c>
    </row>
    <row r="20887" spans="32:37">
      <c r="AF20887" s="831" t="s">
        <v>11394</v>
      </c>
      <c r="AG20887" s="831" t="s">
        <v>2674</v>
      </c>
      <c r="AH20887" s="831" t="s">
        <v>568</v>
      </c>
      <c r="AI20887" s="831">
        <v>0</v>
      </c>
      <c r="AJ20887" s="835">
        <v>41729</v>
      </c>
      <c r="AK20887" s="831">
        <v>565947600.45769227</v>
      </c>
    </row>
    <row r="20888" spans="32:37">
      <c r="AF20888" s="831" t="s">
        <v>11395</v>
      </c>
      <c r="AG20888" s="831" t="s">
        <v>2674</v>
      </c>
      <c r="AH20888" s="831" t="s">
        <v>569</v>
      </c>
      <c r="AI20888" s="831">
        <v>0</v>
      </c>
      <c r="AJ20888" s="835">
        <v>41729</v>
      </c>
      <c r="AK20888" s="831">
        <v>694165655.12715387</v>
      </c>
    </row>
    <row r="20889" spans="32:37">
      <c r="AF20889" s="831" t="s">
        <v>11396</v>
      </c>
      <c r="AG20889" s="831" t="s">
        <v>2674</v>
      </c>
      <c r="AH20889" s="831" t="s">
        <v>570</v>
      </c>
      <c r="AI20889" s="831">
        <v>0</v>
      </c>
      <c r="AJ20889" s="835">
        <v>41729</v>
      </c>
      <c r="AK20889" s="831">
        <v>113785276.52046154</v>
      </c>
    </row>
    <row r="20890" spans="32:37">
      <c r="AF20890" s="831" t="s">
        <v>11397</v>
      </c>
      <c r="AG20890" s="831" t="s">
        <v>2674</v>
      </c>
      <c r="AH20890" s="831" t="s">
        <v>571</v>
      </c>
      <c r="AI20890" s="831">
        <v>0</v>
      </c>
      <c r="AJ20890" s="835">
        <v>41729</v>
      </c>
      <c r="AK20890" s="831">
        <v>334328550.28253847</v>
      </c>
    </row>
    <row r="20891" spans="32:37">
      <c r="AF20891" s="831" t="s">
        <v>11398</v>
      </c>
      <c r="AG20891" s="831" t="s">
        <v>2674</v>
      </c>
      <c r="AH20891" s="831" t="s">
        <v>573</v>
      </c>
      <c r="AI20891" s="831">
        <v>0</v>
      </c>
      <c r="AJ20891" s="835">
        <v>41729</v>
      </c>
      <c r="AK20891" s="831">
        <v>798989941.39074993</v>
      </c>
    </row>
    <row r="20892" spans="32:37">
      <c r="AF20892" s="831" t="s">
        <v>11399</v>
      </c>
      <c r="AG20892" s="831" t="s">
        <v>2674</v>
      </c>
      <c r="AH20892" s="831" t="s">
        <v>574</v>
      </c>
      <c r="AI20892" s="831">
        <v>0</v>
      </c>
      <c r="AJ20892" s="835">
        <v>41729</v>
      </c>
      <c r="AK20892" s="831">
        <v>645110399.5</v>
      </c>
    </row>
    <row r="20893" spans="32:37">
      <c r="AF20893" s="831" t="s">
        <v>11400</v>
      </c>
      <c r="AG20893" s="831" t="s">
        <v>2674</v>
      </c>
      <c r="AH20893" s="831" t="s">
        <v>575</v>
      </c>
      <c r="AI20893" s="831">
        <v>0</v>
      </c>
      <c r="AJ20893" s="835">
        <v>41729</v>
      </c>
      <c r="AK20893" s="831">
        <v>119004419.97749999</v>
      </c>
    </row>
    <row r="20894" spans="32:37">
      <c r="AF20894" s="831" t="s">
        <v>11401</v>
      </c>
      <c r="AG20894" s="831" t="s">
        <v>2674</v>
      </c>
      <c r="AH20894" s="831" t="s">
        <v>576</v>
      </c>
      <c r="AI20894" s="831">
        <v>0</v>
      </c>
      <c r="AJ20894" s="835">
        <v>41729</v>
      </c>
      <c r="AK20894" s="831">
        <v>391575852.40275002</v>
      </c>
    </row>
    <row r="20895" spans="32:37">
      <c r="AF20895" s="831" t="s">
        <v>11402</v>
      </c>
      <c r="AG20895" s="831" t="s">
        <v>2674</v>
      </c>
      <c r="AH20895" s="831" t="s">
        <v>572</v>
      </c>
      <c r="AI20895" s="831">
        <v>0</v>
      </c>
      <c r="AJ20895" s="835">
        <v>41729</v>
      </c>
      <c r="AK20895" s="831">
        <v>30009140.956000008</v>
      </c>
    </row>
    <row r="20896" spans="32:37">
      <c r="AF20896" s="831" t="s">
        <v>11403</v>
      </c>
      <c r="AG20896" s="831" t="s">
        <v>2674</v>
      </c>
      <c r="AH20896" s="831" t="s">
        <v>577</v>
      </c>
      <c r="AI20896" s="831">
        <v>0</v>
      </c>
      <c r="AJ20896" s="835">
        <v>41729</v>
      </c>
      <c r="AK20896" s="831">
        <v>143425007.76300001</v>
      </c>
    </row>
    <row r="20897" spans="32:37">
      <c r="AF20897" s="831" t="s">
        <v>11404</v>
      </c>
      <c r="AG20897" s="831" t="s">
        <v>2674</v>
      </c>
      <c r="AH20897" s="831" t="s">
        <v>3042</v>
      </c>
      <c r="AI20897" s="831">
        <v>0</v>
      </c>
      <c r="AJ20897" s="835">
        <v>41729</v>
      </c>
      <c r="AK20897" s="831">
        <v>-38745656.527000003</v>
      </c>
    </row>
    <row r="20898" spans="32:37">
      <c r="AF20898" s="831" t="s">
        <v>11405</v>
      </c>
      <c r="AG20898" s="831" t="s">
        <v>2674</v>
      </c>
      <c r="AH20898" s="831" t="s">
        <v>3044</v>
      </c>
      <c r="AI20898" s="831">
        <v>0</v>
      </c>
      <c r="AJ20898" s="835">
        <v>41729</v>
      </c>
      <c r="AK20898" s="831">
        <v>-3699815.8899999997</v>
      </c>
    </row>
    <row r="20899" spans="32:37">
      <c r="AF20899" s="831" t="s">
        <v>11406</v>
      </c>
      <c r="AG20899" s="831" t="s">
        <v>2674</v>
      </c>
      <c r="AH20899" s="831" t="s">
        <v>580</v>
      </c>
      <c r="AI20899" s="831">
        <v>0</v>
      </c>
      <c r="AJ20899" s="835">
        <v>41729</v>
      </c>
      <c r="AK20899" s="831">
        <v>-67131930.306999996</v>
      </c>
    </row>
    <row r="20900" spans="32:37">
      <c r="AF20900" s="831" t="s">
        <v>11407</v>
      </c>
      <c r="AG20900" s="831" t="s">
        <v>2674</v>
      </c>
      <c r="AH20900" s="831" t="s">
        <v>581</v>
      </c>
      <c r="AI20900" s="831">
        <v>0</v>
      </c>
      <c r="AJ20900" s="835">
        <v>41729</v>
      </c>
      <c r="AK20900" s="831">
        <v>5442741.8940000003</v>
      </c>
    </row>
    <row r="20901" spans="32:37">
      <c r="AF20901" s="831" t="s">
        <v>11408</v>
      </c>
      <c r="AG20901" s="831" t="s">
        <v>2674</v>
      </c>
      <c r="AH20901" s="831" t="s">
        <v>105</v>
      </c>
      <c r="AI20901" s="831">
        <v>0</v>
      </c>
      <c r="AJ20901" s="835">
        <v>41729</v>
      </c>
      <c r="AK20901" s="831">
        <v>411102058</v>
      </c>
    </row>
    <row r="20902" spans="32:37">
      <c r="AF20902" s="831" t="s">
        <v>11409</v>
      </c>
      <c r="AG20902" s="831" t="s">
        <v>2674</v>
      </c>
      <c r="AH20902" s="831" t="s">
        <v>3049</v>
      </c>
      <c r="AI20902" s="831">
        <v>0</v>
      </c>
      <c r="AJ20902" s="835">
        <v>41729</v>
      </c>
      <c r="AK20902" s="831">
        <v>690412081</v>
      </c>
    </row>
    <row r="20903" spans="32:37">
      <c r="AF20903" s="831" t="s">
        <v>11410</v>
      </c>
      <c r="AG20903" s="831" t="s">
        <v>2674</v>
      </c>
      <c r="AH20903" s="831" t="s">
        <v>103</v>
      </c>
      <c r="AI20903" s="831">
        <v>0</v>
      </c>
      <c r="AJ20903" s="835">
        <v>41729</v>
      </c>
      <c r="AK20903" s="831">
        <v>279310023</v>
      </c>
    </row>
    <row r="20904" spans="32:37">
      <c r="AF20904" s="831" t="s">
        <v>11411</v>
      </c>
      <c r="AG20904" s="831" t="s">
        <v>2674</v>
      </c>
      <c r="AH20904" s="831" t="s">
        <v>182</v>
      </c>
      <c r="AI20904" s="831">
        <v>0</v>
      </c>
      <c r="AJ20904" s="835">
        <v>41729</v>
      </c>
      <c r="AK20904" s="831">
        <v>67031636</v>
      </c>
    </row>
    <row r="20905" spans="32:37">
      <c r="AF20905" s="831" t="s">
        <v>11412</v>
      </c>
      <c r="AG20905" s="831" t="s">
        <v>2674</v>
      </c>
      <c r="AH20905" s="831" t="s">
        <v>6600</v>
      </c>
      <c r="AI20905" s="831">
        <v>0</v>
      </c>
      <c r="AJ20905" s="835">
        <v>41729</v>
      </c>
      <c r="AK20905" s="831">
        <v>30009140.956000008</v>
      </c>
    </row>
    <row r="20906" spans="32:37">
      <c r="AF20906" s="831" t="s">
        <v>11413</v>
      </c>
      <c r="AG20906" s="831" t="s">
        <v>2674</v>
      </c>
      <c r="AH20906" s="831" t="s">
        <v>6602</v>
      </c>
      <c r="AI20906" s="831">
        <v>0</v>
      </c>
      <c r="AJ20906" s="835">
        <v>41729</v>
      </c>
      <c r="AK20906" s="831">
        <v>8878765</v>
      </c>
    </row>
    <row r="20907" spans="32:37">
      <c r="AF20907" s="831" t="s">
        <v>11414</v>
      </c>
      <c r="AG20907" s="831" t="s">
        <v>2674</v>
      </c>
      <c r="AH20907" s="831" t="s">
        <v>650</v>
      </c>
      <c r="AI20907" s="831">
        <v>0</v>
      </c>
      <c r="AJ20907" s="835">
        <v>41729</v>
      </c>
      <c r="AK20907" s="831">
        <v>227175044.1168462</v>
      </c>
    </row>
    <row r="20908" spans="32:37">
      <c r="AF20908" s="831" t="s">
        <v>11415</v>
      </c>
      <c r="AG20908" s="831" t="s">
        <v>2674</v>
      </c>
      <c r="AH20908" s="831" t="s">
        <v>655</v>
      </c>
      <c r="AI20908" s="831">
        <v>0</v>
      </c>
      <c r="AJ20908" s="835">
        <v>41729</v>
      </c>
      <c r="AK20908" s="831">
        <v>1723087.31</v>
      </c>
    </row>
    <row r="20909" spans="32:37">
      <c r="AF20909" s="831" t="s">
        <v>11416</v>
      </c>
      <c r="AG20909" s="831" t="s">
        <v>2674</v>
      </c>
      <c r="AH20909" s="831" t="s">
        <v>546</v>
      </c>
      <c r="AI20909" s="831">
        <v>0</v>
      </c>
      <c r="AJ20909" s="835">
        <v>41759</v>
      </c>
      <c r="AK20909" s="831">
        <v>695634421</v>
      </c>
    </row>
    <row r="20910" spans="32:37">
      <c r="AF20910" s="831" t="s">
        <v>11417</v>
      </c>
      <c r="AG20910" s="831" t="s">
        <v>2674</v>
      </c>
      <c r="AH20910" s="831" t="s">
        <v>370</v>
      </c>
      <c r="AI20910" s="831">
        <v>0</v>
      </c>
      <c r="AJ20910" s="835">
        <v>41759</v>
      </c>
      <c r="AK20910" s="831">
        <v>838269546</v>
      </c>
    </row>
    <row r="20911" spans="32:37">
      <c r="AF20911" s="831" t="s">
        <v>11418</v>
      </c>
      <c r="AG20911" s="831" t="s">
        <v>2674</v>
      </c>
      <c r="AH20911" s="831" t="s">
        <v>126</v>
      </c>
      <c r="AI20911" s="831">
        <v>0</v>
      </c>
      <c r="AJ20911" s="835">
        <v>41759</v>
      </c>
      <c r="AK20911" s="831">
        <v>127155751</v>
      </c>
    </row>
    <row r="20912" spans="32:37">
      <c r="AF20912" s="831" t="s">
        <v>11419</v>
      </c>
      <c r="AG20912" s="831" t="s">
        <v>2674</v>
      </c>
      <c r="AH20912" s="831" t="s">
        <v>268</v>
      </c>
      <c r="AI20912" s="831">
        <v>0</v>
      </c>
      <c r="AJ20912" s="835">
        <v>41759</v>
      </c>
      <c r="AK20912" s="831">
        <v>11900832</v>
      </c>
    </row>
    <row r="20913" spans="32:37">
      <c r="AF20913" s="831" t="s">
        <v>11420</v>
      </c>
      <c r="AG20913" s="831" t="s">
        <v>2674</v>
      </c>
      <c r="AH20913" s="831" t="s">
        <v>547</v>
      </c>
      <c r="AI20913" s="831">
        <v>0</v>
      </c>
      <c r="AJ20913" s="835">
        <v>41759</v>
      </c>
      <c r="AK20913" s="831">
        <v>777719977</v>
      </c>
    </row>
    <row r="20914" spans="32:37">
      <c r="AF20914" s="831" t="s">
        <v>11421</v>
      </c>
      <c r="AG20914" s="831" t="s">
        <v>2674</v>
      </c>
      <c r="AH20914" s="831" t="s">
        <v>548</v>
      </c>
      <c r="AI20914" s="831">
        <v>0</v>
      </c>
      <c r="AJ20914" s="835">
        <v>41759</v>
      </c>
      <c r="AK20914" s="831">
        <v>117105496</v>
      </c>
    </row>
    <row r="20915" spans="32:37">
      <c r="AF20915" s="831" t="s">
        <v>11422</v>
      </c>
      <c r="AG20915" s="831" t="s">
        <v>2674</v>
      </c>
      <c r="AH20915" s="831" t="s">
        <v>549</v>
      </c>
      <c r="AI20915" s="831">
        <v>0</v>
      </c>
      <c r="AJ20915" s="835">
        <v>41759</v>
      </c>
      <c r="AK20915" s="831">
        <v>479771222</v>
      </c>
    </row>
    <row r="20916" spans="32:37">
      <c r="AF20916" s="831" t="s">
        <v>11423</v>
      </c>
      <c r="AG20916" s="831" t="s">
        <v>2674</v>
      </c>
      <c r="AH20916" s="831" t="s">
        <v>192</v>
      </c>
      <c r="AI20916" s="831">
        <v>0</v>
      </c>
      <c r="AJ20916" s="835">
        <v>41759</v>
      </c>
      <c r="AK20916" s="831">
        <v>-13335656</v>
      </c>
    </row>
    <row r="20917" spans="32:37">
      <c r="AF20917" s="831" t="s">
        <v>11424</v>
      </c>
      <c r="AG20917" s="831" t="s">
        <v>2674</v>
      </c>
      <c r="AH20917" s="831" t="s">
        <v>558</v>
      </c>
      <c r="AI20917" s="831">
        <v>0</v>
      </c>
      <c r="AJ20917" s="835">
        <v>41759</v>
      </c>
      <c r="AK20917" s="831">
        <v>711113795</v>
      </c>
    </row>
    <row r="20918" spans="32:37">
      <c r="AF20918" s="831" t="s">
        <v>11425</v>
      </c>
      <c r="AG20918" s="831" t="s">
        <v>2674</v>
      </c>
      <c r="AH20918" s="831" t="s">
        <v>65</v>
      </c>
      <c r="AI20918" s="831">
        <v>0</v>
      </c>
      <c r="AJ20918" s="835">
        <v>41759</v>
      </c>
      <c r="AK20918" s="831">
        <v>52388499</v>
      </c>
    </row>
    <row r="20919" spans="32:37">
      <c r="AF20919" s="831" t="s">
        <v>11426</v>
      </c>
      <c r="AG20919" s="831" t="s">
        <v>2674</v>
      </c>
      <c r="AH20919" s="831" t="s">
        <v>89</v>
      </c>
      <c r="AI20919" s="831">
        <v>0</v>
      </c>
      <c r="AJ20919" s="835">
        <v>41759</v>
      </c>
      <c r="AK20919" s="831">
        <v>154230</v>
      </c>
    </row>
    <row r="20920" spans="32:37">
      <c r="AF20920" s="831" t="s">
        <v>11427</v>
      </c>
      <c r="AG20920" s="831" t="s">
        <v>2674</v>
      </c>
      <c r="AH20920" s="831" t="s">
        <v>557</v>
      </c>
      <c r="AI20920" s="831">
        <v>0</v>
      </c>
      <c r="AJ20920" s="835">
        <v>41759</v>
      </c>
      <c r="AK20920" s="831">
        <v>171119</v>
      </c>
    </row>
    <row r="20921" spans="32:37">
      <c r="AF20921" s="831" t="s">
        <v>11428</v>
      </c>
      <c r="AG20921" s="831" t="s">
        <v>2674</v>
      </c>
      <c r="AH20921" s="831" t="s">
        <v>29</v>
      </c>
      <c r="AI20921" s="831">
        <v>0</v>
      </c>
      <c r="AJ20921" s="835">
        <v>41759</v>
      </c>
      <c r="AK20921" s="831">
        <v>2260198</v>
      </c>
    </row>
    <row r="20922" spans="32:37">
      <c r="AF20922" s="831" t="s">
        <v>11429</v>
      </c>
      <c r="AG20922" s="831" t="s">
        <v>2674</v>
      </c>
      <c r="AH20922" s="831" t="s">
        <v>2688</v>
      </c>
      <c r="AI20922" s="831">
        <v>0</v>
      </c>
      <c r="AJ20922" s="835">
        <v>41759</v>
      </c>
      <c r="AK20922" s="831">
        <v>4802589</v>
      </c>
    </row>
    <row r="20923" spans="32:37">
      <c r="AF20923" s="831" t="s">
        <v>11430</v>
      </c>
      <c r="AG20923" s="831" t="s">
        <v>2674</v>
      </c>
      <c r="AH20923" s="831" t="s">
        <v>556</v>
      </c>
      <c r="AI20923" s="831">
        <v>0</v>
      </c>
      <c r="AJ20923" s="835">
        <v>41759</v>
      </c>
      <c r="AK20923" s="831">
        <v>1644732</v>
      </c>
    </row>
    <row r="20924" spans="32:37">
      <c r="AF20924" s="831" t="s">
        <v>11431</v>
      </c>
      <c r="AG20924" s="831" t="s">
        <v>2674</v>
      </c>
      <c r="AH20924" s="831" t="s">
        <v>555</v>
      </c>
      <c r="AI20924" s="831">
        <v>0</v>
      </c>
      <c r="AJ20924" s="835">
        <v>41759</v>
      </c>
      <c r="AK20924" s="831">
        <v>465033436</v>
      </c>
    </row>
    <row r="20925" spans="32:37">
      <c r="AF20925" s="831" t="s">
        <v>11432</v>
      </c>
      <c r="AG20925" s="831" t="s">
        <v>2674</v>
      </c>
      <c r="AH20925" s="831" t="s">
        <v>554</v>
      </c>
      <c r="AI20925" s="831">
        <v>0</v>
      </c>
      <c r="AJ20925" s="835">
        <v>41759</v>
      </c>
      <c r="AK20925" s="831">
        <v>471272450</v>
      </c>
    </row>
    <row r="20926" spans="32:37">
      <c r="AF20926" s="831" t="s">
        <v>11433</v>
      </c>
      <c r="AG20926" s="831" t="s">
        <v>2674</v>
      </c>
      <c r="AH20926" s="831" t="s">
        <v>553</v>
      </c>
      <c r="AI20926" s="831">
        <v>0</v>
      </c>
      <c r="AJ20926" s="835">
        <v>41759</v>
      </c>
      <c r="AK20926" s="831">
        <v>0</v>
      </c>
    </row>
    <row r="20927" spans="32:37">
      <c r="AF20927" s="831" t="s">
        <v>11434</v>
      </c>
      <c r="AG20927" s="831" t="s">
        <v>2674</v>
      </c>
      <c r="AH20927" s="831" t="s">
        <v>552</v>
      </c>
      <c r="AI20927" s="831">
        <v>0</v>
      </c>
      <c r="AJ20927" s="835">
        <v>41759</v>
      </c>
      <c r="AK20927" s="831">
        <v>0</v>
      </c>
    </row>
    <row r="20928" spans="32:37">
      <c r="AF20928" s="831" t="s">
        <v>11435</v>
      </c>
      <c r="AG20928" s="831" t="s">
        <v>2674</v>
      </c>
      <c r="AH20928" s="831" t="s">
        <v>551</v>
      </c>
      <c r="AI20928" s="831">
        <v>0</v>
      </c>
      <c r="AJ20928" s="835">
        <v>41759</v>
      </c>
      <c r="AK20928" s="831">
        <v>2028560</v>
      </c>
    </row>
    <row r="20929" spans="32:37">
      <c r="AF20929" s="831" t="s">
        <v>11436</v>
      </c>
      <c r="AG20929" s="831" t="s">
        <v>2674</v>
      </c>
      <c r="AH20929" s="831" t="s">
        <v>550</v>
      </c>
      <c r="AI20929" s="831">
        <v>0</v>
      </c>
      <c r="AJ20929" s="835">
        <v>41759</v>
      </c>
      <c r="AK20929" s="831">
        <v>124206790</v>
      </c>
    </row>
    <row r="20930" spans="32:37">
      <c r="AF20930" s="831" t="s">
        <v>11437</v>
      </c>
      <c r="AG20930" s="831" t="s">
        <v>2674</v>
      </c>
      <c r="AH20930" s="831" t="s">
        <v>562</v>
      </c>
      <c r="AI20930" s="831">
        <v>0</v>
      </c>
      <c r="AJ20930" s="835">
        <v>41759</v>
      </c>
      <c r="AK20930" s="831">
        <v>0.78374999999999995</v>
      </c>
    </row>
    <row r="20931" spans="32:37">
      <c r="AF20931" s="831" t="s">
        <v>11438</v>
      </c>
      <c r="AG20931" s="831" t="s">
        <v>2674</v>
      </c>
      <c r="AH20931" s="831" t="s">
        <v>2698</v>
      </c>
      <c r="AI20931" s="831">
        <v>0</v>
      </c>
      <c r="AJ20931" s="835">
        <v>41759</v>
      </c>
      <c r="AK20931" s="831">
        <v>0.78374999999999995</v>
      </c>
    </row>
    <row r="20932" spans="32:37">
      <c r="AF20932" s="831" t="s">
        <v>11439</v>
      </c>
      <c r="AG20932" s="831" t="s">
        <v>2674</v>
      </c>
      <c r="AH20932" s="831" t="s">
        <v>560</v>
      </c>
      <c r="AI20932" s="831">
        <v>0</v>
      </c>
      <c r="AJ20932" s="835">
        <v>41759</v>
      </c>
      <c r="AK20932" s="831">
        <v>0.78374999999999995</v>
      </c>
    </row>
    <row r="20933" spans="32:37">
      <c r="AF20933" s="831" t="s">
        <v>11440</v>
      </c>
      <c r="AG20933" s="831" t="s">
        <v>2674</v>
      </c>
      <c r="AH20933" s="831" t="s">
        <v>559</v>
      </c>
      <c r="AI20933" s="831">
        <v>0</v>
      </c>
      <c r="AJ20933" s="835">
        <v>41759</v>
      </c>
      <c r="AK20933" s="831">
        <v>0.78380833333333344</v>
      </c>
    </row>
    <row r="20934" spans="32:37">
      <c r="AF20934" s="831" t="s">
        <v>11441</v>
      </c>
      <c r="AG20934" s="831" t="s">
        <v>2674</v>
      </c>
      <c r="AH20934" s="831" t="s">
        <v>568</v>
      </c>
      <c r="AI20934" s="831">
        <v>0</v>
      </c>
      <c r="AJ20934" s="835">
        <v>41759</v>
      </c>
      <c r="AK20934" s="831">
        <v>584407506.61153841</v>
      </c>
    </row>
    <row r="20935" spans="32:37">
      <c r="AF20935" s="831" t="s">
        <v>11442</v>
      </c>
      <c r="AG20935" s="831" t="s">
        <v>2674</v>
      </c>
      <c r="AH20935" s="831" t="s">
        <v>569</v>
      </c>
      <c r="AI20935" s="831">
        <v>0</v>
      </c>
      <c r="AJ20935" s="835">
        <v>41759</v>
      </c>
      <c r="AK20935" s="831">
        <v>716419184.74253845</v>
      </c>
    </row>
    <row r="20936" spans="32:37">
      <c r="AF20936" s="831" t="s">
        <v>11443</v>
      </c>
      <c r="AG20936" s="831" t="s">
        <v>2674</v>
      </c>
      <c r="AH20936" s="831" t="s">
        <v>570</v>
      </c>
      <c r="AI20936" s="831">
        <v>0</v>
      </c>
      <c r="AJ20936" s="835">
        <v>41759</v>
      </c>
      <c r="AK20936" s="831">
        <v>115811919.75123075</v>
      </c>
    </row>
    <row r="20937" spans="32:37">
      <c r="AF20937" s="831" t="s">
        <v>11444</v>
      </c>
      <c r="AG20937" s="831" t="s">
        <v>2674</v>
      </c>
      <c r="AH20937" s="831" t="s">
        <v>571</v>
      </c>
      <c r="AI20937" s="831">
        <v>0</v>
      </c>
      <c r="AJ20937" s="835">
        <v>41759</v>
      </c>
      <c r="AK20937" s="831">
        <v>346424029.66715389</v>
      </c>
    </row>
    <row r="20938" spans="32:37">
      <c r="AF20938" s="831" t="s">
        <v>11445</v>
      </c>
      <c r="AG20938" s="831" t="s">
        <v>2674</v>
      </c>
      <c r="AH20938" s="831" t="s">
        <v>573</v>
      </c>
      <c r="AI20938" s="831">
        <v>0</v>
      </c>
      <c r="AJ20938" s="835">
        <v>41759</v>
      </c>
      <c r="AK20938" s="831">
        <v>806845862.3125999</v>
      </c>
    </row>
    <row r="20939" spans="32:37">
      <c r="AF20939" s="831" t="s">
        <v>11446</v>
      </c>
      <c r="AG20939" s="831" t="s">
        <v>2674</v>
      </c>
      <c r="AH20939" s="831" t="s">
        <v>574</v>
      </c>
      <c r="AI20939" s="831">
        <v>0</v>
      </c>
      <c r="AJ20939" s="835">
        <v>41759</v>
      </c>
      <c r="AK20939" s="831">
        <v>655215203.79999995</v>
      </c>
    </row>
    <row r="20940" spans="32:37">
      <c r="AF20940" s="831" t="s">
        <v>11447</v>
      </c>
      <c r="AG20940" s="831" t="s">
        <v>2674</v>
      </c>
      <c r="AH20940" s="831" t="s">
        <v>575</v>
      </c>
      <c r="AI20940" s="831">
        <v>0</v>
      </c>
      <c r="AJ20940" s="835">
        <v>41759</v>
      </c>
      <c r="AK20940" s="831">
        <v>120634686.182</v>
      </c>
    </row>
    <row r="20941" spans="32:37">
      <c r="AF20941" s="831" t="s">
        <v>11448</v>
      </c>
      <c r="AG20941" s="831" t="s">
        <v>2674</v>
      </c>
      <c r="AH20941" s="831" t="s">
        <v>576</v>
      </c>
      <c r="AI20941" s="831">
        <v>0</v>
      </c>
      <c r="AJ20941" s="835">
        <v>41759</v>
      </c>
      <c r="AK20941" s="831">
        <v>395052602.12220001</v>
      </c>
    </row>
    <row r="20942" spans="32:37">
      <c r="AF20942" s="831" t="s">
        <v>11449</v>
      </c>
      <c r="AG20942" s="831" t="s">
        <v>2674</v>
      </c>
      <c r="AH20942" s="831" t="s">
        <v>572</v>
      </c>
      <c r="AI20942" s="831">
        <v>0</v>
      </c>
      <c r="AJ20942" s="835">
        <v>41759</v>
      </c>
      <c r="AK20942" s="831">
        <v>30512730.956000008</v>
      </c>
    </row>
    <row r="20943" spans="32:37">
      <c r="AF20943" s="831" t="s">
        <v>11450</v>
      </c>
      <c r="AG20943" s="831" t="s">
        <v>2674</v>
      </c>
      <c r="AH20943" s="831" t="s">
        <v>577</v>
      </c>
      <c r="AI20943" s="831">
        <v>0</v>
      </c>
      <c r="AJ20943" s="835">
        <v>41759</v>
      </c>
      <c r="AK20943" s="831">
        <v>146415910.76300001</v>
      </c>
    </row>
    <row r="20944" spans="32:37">
      <c r="AF20944" s="831" t="s">
        <v>11451</v>
      </c>
      <c r="AG20944" s="831" t="s">
        <v>2674</v>
      </c>
      <c r="AH20944" s="831" t="s">
        <v>3042</v>
      </c>
      <c r="AI20944" s="831">
        <v>0</v>
      </c>
      <c r="AJ20944" s="835">
        <v>41759</v>
      </c>
      <c r="AK20944" s="831">
        <v>-40083828.527000003</v>
      </c>
    </row>
    <row r="20945" spans="32:37">
      <c r="AF20945" s="831" t="s">
        <v>11452</v>
      </c>
      <c r="AG20945" s="831" t="s">
        <v>2674</v>
      </c>
      <c r="AH20945" s="831" t="s">
        <v>3044</v>
      </c>
      <c r="AI20945" s="831">
        <v>0</v>
      </c>
      <c r="AJ20945" s="835">
        <v>41759</v>
      </c>
      <c r="AK20945" s="831">
        <v>-3325177.8899999997</v>
      </c>
    </row>
    <row r="20946" spans="32:37">
      <c r="AF20946" s="831" t="s">
        <v>11453</v>
      </c>
      <c r="AG20946" s="831" t="s">
        <v>2674</v>
      </c>
      <c r="AH20946" s="831" t="s">
        <v>580</v>
      </c>
      <c r="AI20946" s="831">
        <v>0</v>
      </c>
      <c r="AJ20946" s="835">
        <v>41759</v>
      </c>
      <c r="AK20946" s="831">
        <v>-68772047.306999996</v>
      </c>
    </row>
    <row r="20947" spans="32:37">
      <c r="AF20947" s="831" t="s">
        <v>11454</v>
      </c>
      <c r="AG20947" s="831" t="s">
        <v>2674</v>
      </c>
      <c r="AH20947" s="831" t="s">
        <v>581</v>
      </c>
      <c r="AI20947" s="831">
        <v>0</v>
      </c>
      <c r="AJ20947" s="835">
        <v>41759</v>
      </c>
      <c r="AK20947" s="831">
        <v>5605173.8940000003</v>
      </c>
    </row>
    <row r="20948" spans="32:37">
      <c r="AF20948" s="831" t="s">
        <v>11455</v>
      </c>
      <c r="AG20948" s="831" t="s">
        <v>2674</v>
      </c>
      <c r="AH20948" s="831" t="s">
        <v>105</v>
      </c>
      <c r="AI20948" s="831">
        <v>0</v>
      </c>
      <c r="AJ20948" s="835">
        <v>41759</v>
      </c>
      <c r="AK20948" s="831">
        <v>408959601</v>
      </c>
    </row>
    <row r="20949" spans="32:37">
      <c r="AF20949" s="831" t="s">
        <v>11456</v>
      </c>
      <c r="AG20949" s="831" t="s">
        <v>2674</v>
      </c>
      <c r="AH20949" s="831" t="s">
        <v>3049</v>
      </c>
      <c r="AI20949" s="831">
        <v>0</v>
      </c>
      <c r="AJ20949" s="835">
        <v>41759</v>
      </c>
      <c r="AK20949" s="831">
        <v>692167557</v>
      </c>
    </row>
    <row r="20950" spans="32:37">
      <c r="AF20950" s="831" t="s">
        <v>11457</v>
      </c>
      <c r="AG20950" s="831" t="s">
        <v>2674</v>
      </c>
      <c r="AH20950" s="831" t="s">
        <v>103</v>
      </c>
      <c r="AI20950" s="831">
        <v>0</v>
      </c>
      <c r="AJ20950" s="835">
        <v>41759</v>
      </c>
      <c r="AK20950" s="831">
        <v>283207956</v>
      </c>
    </row>
    <row r="20951" spans="32:37">
      <c r="AF20951" s="831" t="s">
        <v>11458</v>
      </c>
      <c r="AG20951" s="831" t="s">
        <v>2674</v>
      </c>
      <c r="AH20951" s="831" t="s">
        <v>182</v>
      </c>
      <c r="AI20951" s="831">
        <v>0</v>
      </c>
      <c r="AJ20951" s="835">
        <v>41759</v>
      </c>
      <c r="AK20951" s="831">
        <v>69513741</v>
      </c>
    </row>
    <row r="20952" spans="32:37">
      <c r="AF20952" s="831" t="s">
        <v>11459</v>
      </c>
      <c r="AG20952" s="831" t="s">
        <v>2674</v>
      </c>
      <c r="AH20952" s="831" t="s">
        <v>6600</v>
      </c>
      <c r="AI20952" s="831">
        <v>0</v>
      </c>
      <c r="AJ20952" s="835">
        <v>41759</v>
      </c>
      <c r="AK20952" s="831">
        <v>30512730.956000008</v>
      </c>
    </row>
    <row r="20953" spans="32:37">
      <c r="AF20953" s="831" t="s">
        <v>11460</v>
      </c>
      <c r="AG20953" s="831" t="s">
        <v>2674</v>
      </c>
      <c r="AH20953" s="831" t="s">
        <v>6602</v>
      </c>
      <c r="AI20953" s="831">
        <v>0</v>
      </c>
      <c r="AJ20953" s="835">
        <v>41759</v>
      </c>
      <c r="AK20953" s="831">
        <v>11900832</v>
      </c>
    </row>
    <row r="20954" spans="32:37">
      <c r="AF20954" s="831" t="s">
        <v>11461</v>
      </c>
      <c r="AG20954" s="831" t="s">
        <v>2674</v>
      </c>
      <c r="AH20954" s="831" t="s">
        <v>650</v>
      </c>
      <c r="AI20954" s="831">
        <v>0</v>
      </c>
      <c r="AJ20954" s="835">
        <v>41759</v>
      </c>
      <c r="AK20954" s="831">
        <v>234971386.50146157</v>
      </c>
    </row>
    <row r="20955" spans="32:37">
      <c r="AF20955" s="831" t="s">
        <v>11462</v>
      </c>
      <c r="AG20955" s="831" t="s">
        <v>2674</v>
      </c>
      <c r="AH20955" s="831" t="s">
        <v>655</v>
      </c>
      <c r="AI20955" s="831">
        <v>0</v>
      </c>
      <c r="AJ20955" s="835">
        <v>41759</v>
      </c>
      <c r="AK20955" s="831">
        <v>1842214</v>
      </c>
    </row>
    <row r="20956" spans="32:37">
      <c r="AF20956" s="831" t="s">
        <v>11463</v>
      </c>
      <c r="AG20956" s="831" t="s">
        <v>2674</v>
      </c>
      <c r="AH20956" s="831" t="s">
        <v>546</v>
      </c>
      <c r="AI20956" s="831">
        <v>0</v>
      </c>
      <c r="AJ20956" s="835">
        <v>41790</v>
      </c>
      <c r="AK20956" s="831">
        <v>718268239</v>
      </c>
    </row>
    <row r="20957" spans="32:37">
      <c r="AF20957" s="831" t="s">
        <v>11464</v>
      </c>
      <c r="AG20957" s="831" t="s">
        <v>2674</v>
      </c>
      <c r="AH20957" s="831" t="s">
        <v>370</v>
      </c>
      <c r="AI20957" s="831">
        <v>0</v>
      </c>
      <c r="AJ20957" s="835">
        <v>41790</v>
      </c>
      <c r="AK20957" s="831">
        <v>862492850</v>
      </c>
    </row>
    <row r="20958" spans="32:37">
      <c r="AF20958" s="831" t="s">
        <v>11465</v>
      </c>
      <c r="AG20958" s="831" t="s">
        <v>2674</v>
      </c>
      <c r="AH20958" s="831" t="s">
        <v>126</v>
      </c>
      <c r="AI20958" s="831">
        <v>0</v>
      </c>
      <c r="AJ20958" s="835">
        <v>41790</v>
      </c>
      <c r="AK20958" s="831">
        <v>131163748</v>
      </c>
    </row>
    <row r="20959" spans="32:37">
      <c r="AF20959" s="831" t="s">
        <v>11466</v>
      </c>
      <c r="AG20959" s="831" t="s">
        <v>2674</v>
      </c>
      <c r="AH20959" s="831" t="s">
        <v>268</v>
      </c>
      <c r="AI20959" s="831">
        <v>0</v>
      </c>
      <c r="AJ20959" s="835">
        <v>41790</v>
      </c>
      <c r="AK20959" s="831">
        <v>15708716</v>
      </c>
    </row>
    <row r="20960" spans="32:37">
      <c r="AF20960" s="831" t="s">
        <v>11467</v>
      </c>
      <c r="AG20960" s="831" t="s">
        <v>2674</v>
      </c>
      <c r="AH20960" s="831" t="s">
        <v>547</v>
      </c>
      <c r="AI20960" s="831">
        <v>0</v>
      </c>
      <c r="AJ20960" s="835">
        <v>41790</v>
      </c>
      <c r="AK20960" s="831">
        <v>777719977</v>
      </c>
    </row>
    <row r="20961" spans="32:37">
      <c r="AF20961" s="831" t="s">
        <v>11468</v>
      </c>
      <c r="AG20961" s="831" t="s">
        <v>2674</v>
      </c>
      <c r="AH20961" s="831" t="s">
        <v>548</v>
      </c>
      <c r="AI20961" s="831">
        <v>0</v>
      </c>
      <c r="AJ20961" s="835">
        <v>41790</v>
      </c>
      <c r="AK20961" s="831">
        <v>117105496</v>
      </c>
    </row>
    <row r="20962" spans="32:37">
      <c r="AF20962" s="831" t="s">
        <v>11469</v>
      </c>
      <c r="AG20962" s="831" t="s">
        <v>2674</v>
      </c>
      <c r="AH20962" s="831" t="s">
        <v>549</v>
      </c>
      <c r="AI20962" s="831">
        <v>0</v>
      </c>
      <c r="AJ20962" s="835">
        <v>41790</v>
      </c>
      <c r="AK20962" s="831">
        <v>505264542</v>
      </c>
    </row>
    <row r="20963" spans="32:37">
      <c r="AF20963" s="831" t="s">
        <v>11470</v>
      </c>
      <c r="AG20963" s="831" t="s">
        <v>2674</v>
      </c>
      <c r="AH20963" s="831" t="s">
        <v>192</v>
      </c>
      <c r="AI20963" s="831">
        <v>0</v>
      </c>
      <c r="AJ20963" s="835">
        <v>41790</v>
      </c>
      <c r="AK20963" s="831">
        <v>-13258185</v>
      </c>
    </row>
    <row r="20964" spans="32:37">
      <c r="AF20964" s="831" t="s">
        <v>11471</v>
      </c>
      <c r="AG20964" s="831" t="s">
        <v>2674</v>
      </c>
      <c r="AH20964" s="831" t="s">
        <v>558</v>
      </c>
      <c r="AI20964" s="831">
        <v>0</v>
      </c>
      <c r="AJ20964" s="835">
        <v>41790</v>
      </c>
      <c r="AK20964" s="831">
        <v>731329102</v>
      </c>
    </row>
    <row r="20965" spans="32:37">
      <c r="AF20965" s="831" t="s">
        <v>11472</v>
      </c>
      <c r="AG20965" s="831" t="s">
        <v>2674</v>
      </c>
      <c r="AH20965" s="831" t="s">
        <v>65</v>
      </c>
      <c r="AI20965" s="831">
        <v>0</v>
      </c>
      <c r="AJ20965" s="835">
        <v>41790</v>
      </c>
      <c r="AK20965" s="831">
        <v>66573989</v>
      </c>
    </row>
    <row r="20966" spans="32:37">
      <c r="AF20966" s="831" t="s">
        <v>11473</v>
      </c>
      <c r="AG20966" s="831" t="s">
        <v>2674</v>
      </c>
      <c r="AH20966" s="831" t="s">
        <v>89</v>
      </c>
      <c r="AI20966" s="831">
        <v>0</v>
      </c>
      <c r="AJ20966" s="835">
        <v>41790</v>
      </c>
      <c r="AK20966" s="831">
        <v>156336</v>
      </c>
    </row>
    <row r="20967" spans="32:37">
      <c r="AF20967" s="831" t="s">
        <v>11474</v>
      </c>
      <c r="AG20967" s="831" t="s">
        <v>2674</v>
      </c>
      <c r="AH20967" s="831" t="s">
        <v>557</v>
      </c>
      <c r="AI20967" s="831">
        <v>0</v>
      </c>
      <c r="AJ20967" s="835">
        <v>41790</v>
      </c>
      <c r="AK20967" s="831">
        <v>174602</v>
      </c>
    </row>
    <row r="20968" spans="32:37">
      <c r="AF20968" s="831" t="s">
        <v>11475</v>
      </c>
      <c r="AG20968" s="831" t="s">
        <v>2674</v>
      </c>
      <c r="AH20968" s="831" t="s">
        <v>29</v>
      </c>
      <c r="AI20968" s="831">
        <v>0</v>
      </c>
      <c r="AJ20968" s="835">
        <v>41790</v>
      </c>
      <c r="AK20968" s="831">
        <v>2450103.0319999997</v>
      </c>
    </row>
    <row r="20969" spans="32:37">
      <c r="AF20969" s="831" t="s">
        <v>11476</v>
      </c>
      <c r="AG20969" s="831" t="s">
        <v>2674</v>
      </c>
      <c r="AH20969" s="831" t="s">
        <v>2688</v>
      </c>
      <c r="AI20969" s="831">
        <v>0</v>
      </c>
      <c r="AJ20969" s="835">
        <v>41790</v>
      </c>
      <c r="AK20969" s="831">
        <v>4770534.2300000004</v>
      </c>
    </row>
    <row r="20970" spans="32:37">
      <c r="AF20970" s="831" t="s">
        <v>11477</v>
      </c>
      <c r="AG20970" s="831" t="s">
        <v>2674</v>
      </c>
      <c r="AH20970" s="831" t="s">
        <v>556</v>
      </c>
      <c r="AI20970" s="831">
        <v>0</v>
      </c>
      <c r="AJ20970" s="835">
        <v>41790</v>
      </c>
      <c r="AK20970" s="831">
        <v>1644732</v>
      </c>
    </row>
    <row r="20971" spans="32:37">
      <c r="AF20971" s="831" t="s">
        <v>11478</v>
      </c>
      <c r="AG20971" s="831" t="s">
        <v>2674</v>
      </c>
      <c r="AH20971" s="831" t="s">
        <v>555</v>
      </c>
      <c r="AI20971" s="831">
        <v>0</v>
      </c>
      <c r="AJ20971" s="835">
        <v>41790</v>
      </c>
      <c r="AK20971" s="831">
        <v>468159807</v>
      </c>
    </row>
    <row r="20972" spans="32:37">
      <c r="AF20972" s="831" t="s">
        <v>11479</v>
      </c>
      <c r="AG20972" s="831" t="s">
        <v>2674</v>
      </c>
      <c r="AH20972" s="831" t="s">
        <v>554</v>
      </c>
      <c r="AI20972" s="831">
        <v>0</v>
      </c>
      <c r="AJ20972" s="835">
        <v>41790</v>
      </c>
      <c r="AK20972" s="831">
        <v>476165900</v>
      </c>
    </row>
    <row r="20973" spans="32:37">
      <c r="AF20973" s="831" t="s">
        <v>11480</v>
      </c>
      <c r="AG20973" s="831" t="s">
        <v>2674</v>
      </c>
      <c r="AH20973" s="831" t="s">
        <v>553</v>
      </c>
      <c r="AI20973" s="831">
        <v>0</v>
      </c>
      <c r="AJ20973" s="835">
        <v>41790</v>
      </c>
      <c r="AK20973" s="831">
        <v>0</v>
      </c>
    </row>
    <row r="20974" spans="32:37">
      <c r="AF20974" s="831" t="s">
        <v>11481</v>
      </c>
      <c r="AG20974" s="831" t="s">
        <v>2674</v>
      </c>
      <c r="AH20974" s="831" t="s">
        <v>552</v>
      </c>
      <c r="AI20974" s="831">
        <v>0</v>
      </c>
      <c r="AJ20974" s="835">
        <v>41790</v>
      </c>
      <c r="AK20974" s="831">
        <v>0</v>
      </c>
    </row>
    <row r="20975" spans="32:37">
      <c r="AF20975" s="831" t="s">
        <v>11482</v>
      </c>
      <c r="AG20975" s="831" t="s">
        <v>2674</v>
      </c>
      <c r="AH20975" s="831" t="s">
        <v>551</v>
      </c>
      <c r="AI20975" s="831">
        <v>0</v>
      </c>
      <c r="AJ20975" s="835">
        <v>41790</v>
      </c>
      <c r="AK20975" s="831">
        <v>2150143.8450000002</v>
      </c>
    </row>
    <row r="20976" spans="32:37">
      <c r="AF20976" s="831" t="s">
        <v>11483</v>
      </c>
      <c r="AG20976" s="831" t="s">
        <v>2674</v>
      </c>
      <c r="AH20976" s="831" t="s">
        <v>550</v>
      </c>
      <c r="AI20976" s="831">
        <v>0</v>
      </c>
      <c r="AJ20976" s="835">
        <v>41790</v>
      </c>
      <c r="AK20976" s="831">
        <v>127155751</v>
      </c>
    </row>
    <row r="20977" spans="32:37">
      <c r="AF20977" s="831" t="s">
        <v>11484</v>
      </c>
      <c r="AG20977" s="831" t="s">
        <v>2674</v>
      </c>
      <c r="AH20977" s="831" t="s">
        <v>562</v>
      </c>
      <c r="AI20977" s="831">
        <v>0</v>
      </c>
      <c r="AJ20977" s="835">
        <v>41790</v>
      </c>
      <c r="AK20977" s="831">
        <v>0.78385000000000005</v>
      </c>
    </row>
    <row r="20978" spans="32:37">
      <c r="AF20978" s="831" t="s">
        <v>11485</v>
      </c>
      <c r="AG20978" s="831" t="s">
        <v>2674</v>
      </c>
      <c r="AH20978" s="831" t="s">
        <v>2698</v>
      </c>
      <c r="AI20978" s="831">
        <v>0</v>
      </c>
      <c r="AJ20978" s="835">
        <v>41790</v>
      </c>
      <c r="AK20978" s="831">
        <v>0.78374999999999995</v>
      </c>
    </row>
    <row r="20979" spans="32:37">
      <c r="AF20979" s="831" t="s">
        <v>11486</v>
      </c>
      <c r="AG20979" s="831" t="s">
        <v>2674</v>
      </c>
      <c r="AH20979" s="831" t="s">
        <v>560</v>
      </c>
      <c r="AI20979" s="831">
        <v>0</v>
      </c>
      <c r="AJ20979" s="835">
        <v>41790</v>
      </c>
      <c r="AK20979" s="831">
        <v>0.78376999999999997</v>
      </c>
    </row>
    <row r="20980" spans="32:37">
      <c r="AF20980" s="831" t="s">
        <v>11487</v>
      </c>
      <c r="AG20980" s="831" t="s">
        <v>2674</v>
      </c>
      <c r="AH20980" s="831" t="s">
        <v>559</v>
      </c>
      <c r="AI20980" s="831">
        <v>0</v>
      </c>
      <c r="AJ20980" s="835">
        <v>41790</v>
      </c>
      <c r="AK20980" s="831">
        <v>0.78379166666666666</v>
      </c>
    </row>
    <row r="20981" spans="32:37">
      <c r="AF20981" s="831" t="s">
        <v>11488</v>
      </c>
      <c r="AG20981" s="831" t="s">
        <v>2674</v>
      </c>
      <c r="AH20981" s="831" t="s">
        <v>568</v>
      </c>
      <c r="AI20981" s="831">
        <v>0</v>
      </c>
      <c r="AJ20981" s="835">
        <v>41790</v>
      </c>
      <c r="AK20981" s="831">
        <v>602753430.99615383</v>
      </c>
    </row>
    <row r="20982" spans="32:37">
      <c r="AF20982" s="831" t="s">
        <v>11489</v>
      </c>
      <c r="AG20982" s="831" t="s">
        <v>2674</v>
      </c>
      <c r="AH20982" s="831" t="s">
        <v>569</v>
      </c>
      <c r="AI20982" s="831">
        <v>0</v>
      </c>
      <c r="AJ20982" s="835">
        <v>41790</v>
      </c>
      <c r="AK20982" s="831">
        <v>739200989.8963846</v>
      </c>
    </row>
    <row r="20983" spans="32:37">
      <c r="AF20983" s="831" t="s">
        <v>11490</v>
      </c>
      <c r="AG20983" s="831" t="s">
        <v>2674</v>
      </c>
      <c r="AH20983" s="831" t="s">
        <v>570</v>
      </c>
      <c r="AI20983" s="831">
        <v>0</v>
      </c>
      <c r="AJ20983" s="835">
        <v>41790</v>
      </c>
      <c r="AK20983" s="831">
        <v>117953141.44353844</v>
      </c>
    </row>
    <row r="20984" spans="32:37">
      <c r="AF20984" s="831" t="s">
        <v>11491</v>
      </c>
      <c r="AG20984" s="831" t="s">
        <v>2674</v>
      </c>
      <c r="AH20984" s="831" t="s">
        <v>571</v>
      </c>
      <c r="AI20984" s="831">
        <v>0</v>
      </c>
      <c r="AJ20984" s="835">
        <v>41790</v>
      </c>
      <c r="AK20984" s="831">
        <v>358988619.82100004</v>
      </c>
    </row>
    <row r="20985" spans="32:37">
      <c r="AF20985" s="831" t="s">
        <v>11492</v>
      </c>
      <c r="AG20985" s="831" t="s">
        <v>2674</v>
      </c>
      <c r="AH20985" s="831" t="s">
        <v>573</v>
      </c>
      <c r="AI20985" s="831">
        <v>0</v>
      </c>
      <c r="AJ20985" s="835">
        <v>41790</v>
      </c>
      <c r="AK20985" s="831">
        <v>816120360.26049995</v>
      </c>
    </row>
    <row r="20986" spans="32:37">
      <c r="AF20986" s="831" t="s">
        <v>11493</v>
      </c>
      <c r="AG20986" s="831" t="s">
        <v>2674</v>
      </c>
      <c r="AH20986" s="831" t="s">
        <v>574</v>
      </c>
      <c r="AI20986" s="831">
        <v>0</v>
      </c>
      <c r="AJ20986" s="835">
        <v>41790</v>
      </c>
      <c r="AK20986" s="831">
        <v>665724043</v>
      </c>
    </row>
    <row r="20987" spans="32:37">
      <c r="AF20987" s="831" t="s">
        <v>11494</v>
      </c>
      <c r="AG20987" s="831" t="s">
        <v>2674</v>
      </c>
      <c r="AH20987" s="831" t="s">
        <v>575</v>
      </c>
      <c r="AI20987" s="831">
        <v>0</v>
      </c>
      <c r="AJ20987" s="835">
        <v>41790</v>
      </c>
      <c r="AK20987" s="831">
        <v>122389529.81833333</v>
      </c>
    </row>
    <row r="20988" spans="32:37">
      <c r="AF20988" s="831" t="s">
        <v>11495</v>
      </c>
      <c r="AG20988" s="831" t="s">
        <v>2674</v>
      </c>
      <c r="AH20988" s="831" t="s">
        <v>576</v>
      </c>
      <c r="AI20988" s="831">
        <v>0</v>
      </c>
      <c r="AJ20988" s="835">
        <v>41790</v>
      </c>
      <c r="AK20988" s="831">
        <v>399225453.60183334</v>
      </c>
    </row>
    <row r="20989" spans="32:37">
      <c r="AF20989" s="831" t="s">
        <v>11496</v>
      </c>
      <c r="AG20989" s="831" t="s">
        <v>2674</v>
      </c>
      <c r="AH20989" s="831" t="s">
        <v>572</v>
      </c>
      <c r="AI20989" s="831">
        <v>0</v>
      </c>
      <c r="AJ20989" s="835">
        <v>41790</v>
      </c>
      <c r="AK20989" s="831">
        <v>31997124.956000008</v>
      </c>
    </row>
    <row r="20990" spans="32:37">
      <c r="AF20990" s="831" t="s">
        <v>11497</v>
      </c>
      <c r="AG20990" s="831" t="s">
        <v>2674</v>
      </c>
      <c r="AH20990" s="831" t="s">
        <v>577</v>
      </c>
      <c r="AI20990" s="831">
        <v>0</v>
      </c>
      <c r="AJ20990" s="835">
        <v>41790</v>
      </c>
      <c r="AK20990" s="831">
        <v>149793646.76300001</v>
      </c>
    </row>
    <row r="20991" spans="32:37">
      <c r="AF20991" s="831" t="s">
        <v>11498</v>
      </c>
      <c r="AG20991" s="831" t="s">
        <v>2674</v>
      </c>
      <c r="AH20991" s="831" t="s">
        <v>3042</v>
      </c>
      <c r="AI20991" s="831">
        <v>0</v>
      </c>
      <c r="AJ20991" s="835">
        <v>41790</v>
      </c>
      <c r="AK20991" s="831">
        <v>-41488938.527000003</v>
      </c>
    </row>
    <row r="20992" spans="32:37">
      <c r="AF20992" s="831" t="s">
        <v>11499</v>
      </c>
      <c r="AG20992" s="831" t="s">
        <v>2674</v>
      </c>
      <c r="AH20992" s="831" t="s">
        <v>3044</v>
      </c>
      <c r="AI20992" s="831">
        <v>0</v>
      </c>
      <c r="AJ20992" s="835">
        <v>41790</v>
      </c>
      <c r="AK20992" s="831">
        <v>-2734199.8899999997</v>
      </c>
    </row>
    <row r="20993" spans="32:37">
      <c r="AF20993" s="831" t="s">
        <v>11500</v>
      </c>
      <c r="AG20993" s="831" t="s">
        <v>2674</v>
      </c>
      <c r="AH20993" s="831" t="s">
        <v>580</v>
      </c>
      <c r="AI20993" s="831">
        <v>0</v>
      </c>
      <c r="AJ20993" s="835">
        <v>41790</v>
      </c>
      <c r="AK20993" s="831">
        <v>-69707657.306999996</v>
      </c>
    </row>
    <row r="20994" spans="32:37">
      <c r="AF20994" s="831" t="s">
        <v>11501</v>
      </c>
      <c r="AG20994" s="831" t="s">
        <v>2674</v>
      </c>
      <c r="AH20994" s="831" t="s">
        <v>581</v>
      </c>
      <c r="AI20994" s="831">
        <v>0</v>
      </c>
      <c r="AJ20994" s="835">
        <v>41790</v>
      </c>
      <c r="AK20994" s="831">
        <v>5958727.8940000003</v>
      </c>
    </row>
    <row r="20995" spans="32:37">
      <c r="AF20995" s="831" t="s">
        <v>11502</v>
      </c>
      <c r="AG20995" s="831" t="s">
        <v>2674</v>
      </c>
      <c r="AH20995" s="831" t="s">
        <v>105</v>
      </c>
      <c r="AI20995" s="831">
        <v>0</v>
      </c>
      <c r="AJ20995" s="835">
        <v>41790</v>
      </c>
      <c r="AK20995" s="831">
        <v>420089711</v>
      </c>
    </row>
    <row r="20996" spans="32:37">
      <c r="AF20996" s="831" t="s">
        <v>11503</v>
      </c>
      <c r="AG20996" s="831" t="s">
        <v>2674</v>
      </c>
      <c r="AH20996" s="831" t="s">
        <v>3049</v>
      </c>
      <c r="AI20996" s="831">
        <v>0</v>
      </c>
      <c r="AJ20996" s="835">
        <v>41790</v>
      </c>
      <c r="AK20996" s="831">
        <v>709561626</v>
      </c>
    </row>
    <row r="20997" spans="32:37">
      <c r="AF20997" s="831" t="s">
        <v>11504</v>
      </c>
      <c r="AG20997" s="831" t="s">
        <v>2674</v>
      </c>
      <c r="AH20997" s="831" t="s">
        <v>103</v>
      </c>
      <c r="AI20997" s="831">
        <v>0</v>
      </c>
      <c r="AJ20997" s="835">
        <v>41790</v>
      </c>
      <c r="AK20997" s="831">
        <v>289471915</v>
      </c>
    </row>
    <row r="20998" spans="32:37">
      <c r="AF20998" s="831" t="s">
        <v>11505</v>
      </c>
      <c r="AG20998" s="831" t="s">
        <v>2674</v>
      </c>
      <c r="AH20998" s="831" t="s">
        <v>182</v>
      </c>
      <c r="AI20998" s="831">
        <v>0</v>
      </c>
      <c r="AJ20998" s="835">
        <v>41790</v>
      </c>
      <c r="AK20998" s="831">
        <v>69984388.799999997</v>
      </c>
    </row>
    <row r="20999" spans="32:37">
      <c r="AF20999" s="831" t="s">
        <v>11506</v>
      </c>
      <c r="AG20999" s="831" t="s">
        <v>2674</v>
      </c>
      <c r="AH20999" s="831" t="s">
        <v>6600</v>
      </c>
      <c r="AI20999" s="831">
        <v>0</v>
      </c>
      <c r="AJ20999" s="835">
        <v>41790</v>
      </c>
      <c r="AK20999" s="831">
        <v>31997124.956000008</v>
      </c>
    </row>
    <row r="21000" spans="32:37">
      <c r="AF21000" s="831" t="s">
        <v>11507</v>
      </c>
      <c r="AG21000" s="831" t="s">
        <v>2674</v>
      </c>
      <c r="AH21000" s="831" t="s">
        <v>6602</v>
      </c>
      <c r="AI21000" s="831">
        <v>0</v>
      </c>
      <c r="AJ21000" s="835">
        <v>41790</v>
      </c>
      <c r="AK21000" s="831">
        <v>15708716</v>
      </c>
    </row>
    <row r="21001" spans="32:37">
      <c r="AF21001" s="831" t="s">
        <v>11508</v>
      </c>
      <c r="AG21001" s="831" t="s">
        <v>2674</v>
      </c>
      <c r="AH21001" s="831" t="s">
        <v>650</v>
      </c>
      <c r="AI21001" s="831">
        <v>0</v>
      </c>
      <c r="AJ21001" s="835">
        <v>41790</v>
      </c>
      <c r="AK21001" s="831">
        <v>242496217.73223078</v>
      </c>
    </row>
    <row r="21002" spans="32:37">
      <c r="AF21002" s="831" t="s">
        <v>11509</v>
      </c>
      <c r="AG21002" s="831" t="s">
        <v>2674</v>
      </c>
      <c r="AH21002" s="831" t="s">
        <v>655</v>
      </c>
      <c r="AI21002" s="831">
        <v>0</v>
      </c>
      <c r="AJ21002" s="835">
        <v>41790</v>
      </c>
      <c r="AK21002" s="831">
        <v>1936751.44</v>
      </c>
    </row>
    <row r="21003" spans="32:37">
      <c r="AF21003" s="831" t="s">
        <v>11510</v>
      </c>
      <c r="AG21003" s="831" t="s">
        <v>2674</v>
      </c>
      <c r="AH21003" s="831" t="s">
        <v>546</v>
      </c>
      <c r="AI21003" s="831">
        <v>0</v>
      </c>
      <c r="AJ21003" s="835">
        <v>41820</v>
      </c>
      <c r="AK21003" s="831">
        <v>728057591</v>
      </c>
    </row>
    <row r="21004" spans="32:37">
      <c r="AF21004" s="831" t="s">
        <v>11511</v>
      </c>
      <c r="AG21004" s="831" t="s">
        <v>2674</v>
      </c>
      <c r="AH21004" s="831" t="s">
        <v>370</v>
      </c>
      <c r="AI21004" s="831">
        <v>0</v>
      </c>
      <c r="AJ21004" s="835">
        <v>41820</v>
      </c>
      <c r="AK21004" s="831">
        <v>911200946</v>
      </c>
    </row>
    <row r="21005" spans="32:37">
      <c r="AF21005" s="831" t="s">
        <v>11512</v>
      </c>
      <c r="AG21005" s="831" t="s">
        <v>2674</v>
      </c>
      <c r="AH21005" s="831" t="s">
        <v>126</v>
      </c>
      <c r="AI21005" s="831">
        <v>0</v>
      </c>
      <c r="AJ21005" s="835">
        <v>41820</v>
      </c>
      <c r="AK21005" s="831">
        <v>135362821</v>
      </c>
    </row>
    <row r="21006" spans="32:37">
      <c r="AF21006" s="831" t="s">
        <v>11513</v>
      </c>
      <c r="AG21006" s="831" t="s">
        <v>2674</v>
      </c>
      <c r="AH21006" s="831" t="s">
        <v>268</v>
      </c>
      <c r="AI21006" s="831">
        <v>0</v>
      </c>
      <c r="AJ21006" s="835">
        <v>41820</v>
      </c>
      <c r="AK21006" s="831">
        <v>18626919</v>
      </c>
    </row>
    <row r="21007" spans="32:37">
      <c r="AF21007" s="831" t="s">
        <v>11514</v>
      </c>
      <c r="AG21007" s="831" t="s">
        <v>2674</v>
      </c>
      <c r="AH21007" s="831" t="s">
        <v>547</v>
      </c>
      <c r="AI21007" s="831">
        <v>0</v>
      </c>
      <c r="AJ21007" s="835">
        <v>41820</v>
      </c>
      <c r="AK21007" s="831">
        <v>777719977</v>
      </c>
    </row>
    <row r="21008" spans="32:37">
      <c r="AF21008" s="831" t="s">
        <v>11515</v>
      </c>
      <c r="AG21008" s="831" t="s">
        <v>2674</v>
      </c>
      <c r="AH21008" s="831" t="s">
        <v>548</v>
      </c>
      <c r="AI21008" s="831">
        <v>0</v>
      </c>
      <c r="AJ21008" s="835">
        <v>41820</v>
      </c>
      <c r="AK21008" s="831">
        <v>117105496</v>
      </c>
    </row>
    <row r="21009" spans="32:37">
      <c r="AF21009" s="831" t="s">
        <v>11516</v>
      </c>
      <c r="AG21009" s="831" t="s">
        <v>2674</v>
      </c>
      <c r="AH21009" s="831" t="s">
        <v>549</v>
      </c>
      <c r="AI21009" s="831">
        <v>0</v>
      </c>
      <c r="AJ21009" s="835">
        <v>41820</v>
      </c>
      <c r="AK21009" s="831">
        <v>514798833</v>
      </c>
    </row>
    <row r="21010" spans="32:37">
      <c r="AF21010" s="831" t="s">
        <v>11517</v>
      </c>
      <c r="AG21010" s="831" t="s">
        <v>2674</v>
      </c>
      <c r="AH21010" s="831" t="s">
        <v>192</v>
      </c>
      <c r="AI21010" s="831">
        <v>0</v>
      </c>
      <c r="AJ21010" s="835">
        <v>41820</v>
      </c>
      <c r="AK21010" s="831">
        <v>-11632261</v>
      </c>
    </row>
    <row r="21011" spans="32:37">
      <c r="AF21011" s="831" t="s">
        <v>11518</v>
      </c>
      <c r="AG21011" s="831" t="s">
        <v>2674</v>
      </c>
      <c r="AH21011" s="831" t="s">
        <v>558</v>
      </c>
      <c r="AI21011" s="831">
        <v>0</v>
      </c>
      <c r="AJ21011" s="835">
        <v>41820</v>
      </c>
      <c r="AK21011" s="831">
        <v>775838125</v>
      </c>
    </row>
    <row r="21012" spans="32:37">
      <c r="AF21012" s="831" t="s">
        <v>11519</v>
      </c>
      <c r="AG21012" s="831" t="s">
        <v>2674</v>
      </c>
      <c r="AH21012" s="831" t="s">
        <v>65</v>
      </c>
      <c r="AI21012" s="831">
        <v>0</v>
      </c>
      <c r="AJ21012" s="835">
        <v>41820</v>
      </c>
      <c r="AK21012" s="831">
        <v>81270371</v>
      </c>
    </row>
    <row r="21013" spans="32:37">
      <c r="AF21013" s="831" t="s">
        <v>11520</v>
      </c>
      <c r="AG21013" s="831" t="s">
        <v>2674</v>
      </c>
      <c r="AH21013" s="831" t="s">
        <v>89</v>
      </c>
      <c r="AI21013" s="831">
        <v>0</v>
      </c>
      <c r="AJ21013" s="835">
        <v>41820</v>
      </c>
      <c r="AK21013" s="831">
        <v>156581</v>
      </c>
    </row>
    <row r="21014" spans="32:37">
      <c r="AF21014" s="831" t="s">
        <v>11521</v>
      </c>
      <c r="AG21014" s="831" t="s">
        <v>2674</v>
      </c>
      <c r="AH21014" s="831" t="s">
        <v>557</v>
      </c>
      <c r="AI21014" s="831">
        <v>0</v>
      </c>
      <c r="AJ21014" s="835">
        <v>41820</v>
      </c>
      <c r="AK21014" s="831">
        <v>175816</v>
      </c>
    </row>
    <row r="21015" spans="32:37">
      <c r="AF21015" s="831" t="s">
        <v>11522</v>
      </c>
      <c r="AG21015" s="831" t="s">
        <v>2674</v>
      </c>
      <c r="AH21015" s="831" t="s">
        <v>29</v>
      </c>
      <c r="AI21015" s="831">
        <v>0</v>
      </c>
      <c r="AJ21015" s="835">
        <v>41820</v>
      </c>
      <c r="AK21015" s="831">
        <v>1326248.81</v>
      </c>
    </row>
    <row r="21016" spans="32:37">
      <c r="AF21016" s="831" t="s">
        <v>11523</v>
      </c>
      <c r="AG21016" s="831" t="s">
        <v>2674</v>
      </c>
      <c r="AH21016" s="831" t="s">
        <v>2688</v>
      </c>
      <c r="AI21016" s="831">
        <v>0</v>
      </c>
      <c r="AJ21016" s="835">
        <v>41820</v>
      </c>
      <c r="AK21016" s="831">
        <v>4329800.9399999995</v>
      </c>
    </row>
    <row r="21017" spans="32:37">
      <c r="AF21017" s="831" t="s">
        <v>11524</v>
      </c>
      <c r="AG21017" s="831" t="s">
        <v>2674</v>
      </c>
      <c r="AH21017" s="831" t="s">
        <v>556</v>
      </c>
      <c r="AI21017" s="831">
        <v>0</v>
      </c>
      <c r="AJ21017" s="835">
        <v>41820</v>
      </c>
      <c r="AK21017" s="831">
        <v>3274918</v>
      </c>
    </row>
    <row r="21018" spans="32:37">
      <c r="AF21018" s="831" t="s">
        <v>11525</v>
      </c>
      <c r="AG21018" s="831" t="s">
        <v>2674</v>
      </c>
      <c r="AH21018" s="831" t="s">
        <v>555</v>
      </c>
      <c r="AI21018" s="831">
        <v>0</v>
      </c>
      <c r="AJ21018" s="835">
        <v>41820</v>
      </c>
      <c r="AK21018" s="831">
        <v>507133542</v>
      </c>
    </row>
    <row r="21019" spans="32:37">
      <c r="AF21019" s="831" t="s">
        <v>11526</v>
      </c>
      <c r="AG21019" s="831" t="s">
        <v>2674</v>
      </c>
      <c r="AH21019" s="831" t="s">
        <v>554</v>
      </c>
      <c r="AI21019" s="831">
        <v>0</v>
      </c>
      <c r="AJ21019" s="835">
        <v>41820</v>
      </c>
      <c r="AK21019" s="831">
        <v>519019570</v>
      </c>
    </row>
    <row r="21020" spans="32:37">
      <c r="AF21020" s="831" t="s">
        <v>11527</v>
      </c>
      <c r="AG21020" s="831" t="s">
        <v>2674</v>
      </c>
      <c r="AH21020" s="831" t="s">
        <v>553</v>
      </c>
      <c r="AI21020" s="831">
        <v>0</v>
      </c>
      <c r="AJ21020" s="835">
        <v>41820</v>
      </c>
      <c r="AK21020" s="831">
        <v>0</v>
      </c>
    </row>
    <row r="21021" spans="32:37">
      <c r="AF21021" s="831" t="s">
        <v>11528</v>
      </c>
      <c r="AG21021" s="831" t="s">
        <v>2674</v>
      </c>
      <c r="AH21021" s="831" t="s">
        <v>552</v>
      </c>
      <c r="AI21021" s="831">
        <v>0</v>
      </c>
      <c r="AJ21021" s="835">
        <v>41820</v>
      </c>
      <c r="AK21021" s="831">
        <v>0</v>
      </c>
    </row>
    <row r="21022" spans="32:37">
      <c r="AF21022" s="831" t="s">
        <v>11529</v>
      </c>
      <c r="AG21022" s="831" t="s">
        <v>2674</v>
      </c>
      <c r="AH21022" s="831" t="s">
        <v>551</v>
      </c>
      <c r="AI21022" s="831">
        <v>0</v>
      </c>
      <c r="AJ21022" s="835">
        <v>41820</v>
      </c>
      <c r="AK21022" s="831">
        <v>950588.81</v>
      </c>
    </row>
    <row r="21023" spans="32:37">
      <c r="AF21023" s="831" t="s">
        <v>11530</v>
      </c>
      <c r="AG21023" s="831" t="s">
        <v>2674</v>
      </c>
      <c r="AH21023" s="831" t="s">
        <v>550</v>
      </c>
      <c r="AI21023" s="831">
        <v>0</v>
      </c>
      <c r="AJ21023" s="835">
        <v>41820</v>
      </c>
      <c r="AK21023" s="831">
        <v>131163748</v>
      </c>
    </row>
    <row r="21024" spans="32:37">
      <c r="AF21024" s="831" t="s">
        <v>11531</v>
      </c>
      <c r="AG21024" s="831" t="s">
        <v>2674</v>
      </c>
      <c r="AH21024" s="831" t="s">
        <v>562</v>
      </c>
      <c r="AI21024" s="831">
        <v>0</v>
      </c>
      <c r="AJ21024" s="835">
        <v>41820</v>
      </c>
      <c r="AK21024" s="831">
        <v>0.78374999999999995</v>
      </c>
    </row>
    <row r="21025" spans="32:37">
      <c r="AF21025" s="831" t="s">
        <v>11532</v>
      </c>
      <c r="AG21025" s="831" t="s">
        <v>2674</v>
      </c>
      <c r="AH21025" s="831" t="s">
        <v>2698</v>
      </c>
      <c r="AI21025" s="831">
        <v>0</v>
      </c>
      <c r="AJ21025" s="835">
        <v>41820</v>
      </c>
      <c r="AK21025" s="831">
        <v>0.78385000000000005</v>
      </c>
    </row>
    <row r="21026" spans="32:37">
      <c r="AF21026" s="831" t="s">
        <v>11533</v>
      </c>
      <c r="AG21026" s="831" t="s">
        <v>2674</v>
      </c>
      <c r="AH21026" s="831" t="s">
        <v>560</v>
      </c>
      <c r="AI21026" s="831">
        <v>0</v>
      </c>
      <c r="AJ21026" s="835">
        <v>41820</v>
      </c>
      <c r="AK21026" s="831">
        <v>0.78376666666666672</v>
      </c>
    </row>
    <row r="21027" spans="32:37">
      <c r="AF21027" s="831" t="s">
        <v>11534</v>
      </c>
      <c r="AG21027" s="831" t="s">
        <v>2674</v>
      </c>
      <c r="AH21027" s="831" t="s">
        <v>559</v>
      </c>
      <c r="AI21027" s="831">
        <v>0</v>
      </c>
      <c r="AJ21027" s="835">
        <v>41820</v>
      </c>
      <c r="AK21027" s="831">
        <v>0.783775</v>
      </c>
    </row>
    <row r="21028" spans="32:37">
      <c r="AF21028" s="831" t="s">
        <v>11535</v>
      </c>
      <c r="AG21028" s="831" t="s">
        <v>2674</v>
      </c>
      <c r="AH21028" s="831" t="s">
        <v>568</v>
      </c>
      <c r="AI21028" s="831">
        <v>0</v>
      </c>
      <c r="AJ21028" s="835">
        <v>41820</v>
      </c>
      <c r="AK21028" s="831">
        <v>619891357.84230769</v>
      </c>
    </row>
    <row r="21029" spans="32:37">
      <c r="AF21029" s="831" t="s">
        <v>11536</v>
      </c>
      <c r="AG21029" s="831" t="s">
        <v>2674</v>
      </c>
      <c r="AH21029" s="831" t="s">
        <v>569</v>
      </c>
      <c r="AI21029" s="831">
        <v>0</v>
      </c>
      <c r="AJ21029" s="835">
        <v>41820</v>
      </c>
      <c r="AK21029" s="831">
        <v>763501602.97330773</v>
      </c>
    </row>
    <row r="21030" spans="32:37">
      <c r="AF21030" s="831" t="s">
        <v>11537</v>
      </c>
      <c r="AG21030" s="831" t="s">
        <v>2674</v>
      </c>
      <c r="AH21030" s="831" t="s">
        <v>570</v>
      </c>
      <c r="AI21030" s="831">
        <v>0</v>
      </c>
      <c r="AJ21030" s="835">
        <v>41820</v>
      </c>
      <c r="AK21030" s="831">
        <v>120238638.75123075</v>
      </c>
    </row>
    <row r="21031" spans="32:37">
      <c r="AF21031" s="831" t="s">
        <v>11538</v>
      </c>
      <c r="AG21031" s="831" t="s">
        <v>2674</v>
      </c>
      <c r="AH21031" s="831" t="s">
        <v>571</v>
      </c>
      <c r="AI21031" s="831">
        <v>0</v>
      </c>
      <c r="AJ21031" s="835">
        <v>41820</v>
      </c>
      <c r="AK21031" s="831">
        <v>372900260.97484618</v>
      </c>
    </row>
    <row r="21032" spans="32:37">
      <c r="AF21032" s="831" t="s">
        <v>11539</v>
      </c>
      <c r="AG21032" s="831" t="s">
        <v>2674</v>
      </c>
      <c r="AH21032" s="831" t="s">
        <v>573</v>
      </c>
      <c r="AI21032" s="831">
        <v>0</v>
      </c>
      <c r="AJ21032" s="835">
        <v>41820</v>
      </c>
      <c r="AK21032" s="831">
        <v>829703301.08042848</v>
      </c>
    </row>
    <row r="21033" spans="32:37">
      <c r="AF21033" s="831" t="s">
        <v>11540</v>
      </c>
      <c r="AG21033" s="831" t="s">
        <v>2674</v>
      </c>
      <c r="AH21033" s="831" t="s">
        <v>574</v>
      </c>
      <c r="AI21033" s="831">
        <v>0</v>
      </c>
      <c r="AJ21033" s="835">
        <v>41820</v>
      </c>
      <c r="AK21033" s="831">
        <v>674628835.57142854</v>
      </c>
    </row>
    <row r="21034" spans="32:37">
      <c r="AF21034" s="831" t="s">
        <v>11541</v>
      </c>
      <c r="AG21034" s="831" t="s">
        <v>2674</v>
      </c>
      <c r="AH21034" s="831" t="s">
        <v>575</v>
      </c>
      <c r="AI21034" s="831">
        <v>0</v>
      </c>
      <c r="AJ21034" s="835">
        <v>41820</v>
      </c>
      <c r="AK21034" s="831">
        <v>124242857.13</v>
      </c>
    </row>
    <row r="21035" spans="32:37">
      <c r="AF21035" s="831" t="s">
        <v>11542</v>
      </c>
      <c r="AG21035" s="831" t="s">
        <v>2674</v>
      </c>
      <c r="AH21035" s="831" t="s">
        <v>576</v>
      </c>
      <c r="AI21035" s="831">
        <v>0</v>
      </c>
      <c r="AJ21035" s="835">
        <v>41820</v>
      </c>
      <c r="AK21035" s="831">
        <v>407269836.23014289</v>
      </c>
    </row>
    <row r="21036" spans="32:37">
      <c r="AF21036" s="831" t="s">
        <v>11543</v>
      </c>
      <c r="AG21036" s="831" t="s">
        <v>2674</v>
      </c>
      <c r="AH21036" s="831" t="s">
        <v>572</v>
      </c>
      <c r="AI21036" s="831">
        <v>0</v>
      </c>
      <c r="AJ21036" s="835">
        <v>41820</v>
      </c>
      <c r="AK21036" s="831">
        <v>32506327.956000008</v>
      </c>
    </row>
    <row r="21037" spans="32:37">
      <c r="AF21037" s="831" t="s">
        <v>11544</v>
      </c>
      <c r="AG21037" s="831" t="s">
        <v>2674</v>
      </c>
      <c r="AH21037" s="831" t="s">
        <v>577</v>
      </c>
      <c r="AI21037" s="831">
        <v>0</v>
      </c>
      <c r="AJ21037" s="835">
        <v>41820</v>
      </c>
      <c r="AK21037" s="831">
        <v>153933560.76300001</v>
      </c>
    </row>
    <row r="21038" spans="32:37">
      <c r="AF21038" s="831" t="s">
        <v>11545</v>
      </c>
      <c r="AG21038" s="831" t="s">
        <v>2674</v>
      </c>
      <c r="AH21038" s="831" t="s">
        <v>3042</v>
      </c>
      <c r="AI21038" s="831">
        <v>0</v>
      </c>
      <c r="AJ21038" s="835">
        <v>41820</v>
      </c>
      <c r="AK21038" s="831">
        <v>-43087678.527000003</v>
      </c>
    </row>
    <row r="21039" spans="32:37">
      <c r="AF21039" s="831" t="s">
        <v>11546</v>
      </c>
      <c r="AG21039" s="831" t="s">
        <v>2674</v>
      </c>
      <c r="AH21039" s="831" t="s">
        <v>3044</v>
      </c>
      <c r="AI21039" s="831">
        <v>0</v>
      </c>
      <c r="AJ21039" s="835">
        <v>41820</v>
      </c>
      <c r="AK21039" s="831">
        <v>-2538336.8899999997</v>
      </c>
    </row>
    <row r="21040" spans="32:37">
      <c r="AF21040" s="831" t="s">
        <v>11547</v>
      </c>
      <c r="AG21040" s="831" t="s">
        <v>2674</v>
      </c>
      <c r="AH21040" s="831" t="s">
        <v>580</v>
      </c>
      <c r="AI21040" s="831">
        <v>0</v>
      </c>
      <c r="AJ21040" s="835">
        <v>41820</v>
      </c>
      <c r="AK21040" s="831">
        <v>-71232950.306999996</v>
      </c>
    </row>
    <row r="21041" spans="32:37">
      <c r="AF21041" s="831" t="s">
        <v>11548</v>
      </c>
      <c r="AG21041" s="831" t="s">
        <v>2674</v>
      </c>
      <c r="AH21041" s="831" t="s">
        <v>581</v>
      </c>
      <c r="AI21041" s="831">
        <v>0</v>
      </c>
      <c r="AJ21041" s="835">
        <v>41820</v>
      </c>
      <c r="AK21041" s="831">
        <v>5389272.8940000003</v>
      </c>
    </row>
    <row r="21042" spans="32:37">
      <c r="AF21042" s="831" t="s">
        <v>11549</v>
      </c>
      <c r="AG21042" s="831" t="s">
        <v>2674</v>
      </c>
      <c r="AH21042" s="831" t="s">
        <v>105</v>
      </c>
      <c r="AI21042" s="831">
        <v>0</v>
      </c>
      <c r="AJ21042" s="835">
        <v>41820</v>
      </c>
      <c r="AK21042" s="831">
        <v>455536132</v>
      </c>
    </row>
    <row r="21043" spans="32:37">
      <c r="AF21043" s="831" t="s">
        <v>11550</v>
      </c>
      <c r="AG21043" s="831" t="s">
        <v>2674</v>
      </c>
      <c r="AH21043" s="831" t="s">
        <v>3049</v>
      </c>
      <c r="AI21043" s="831">
        <v>0</v>
      </c>
      <c r="AJ21043" s="835">
        <v>41820</v>
      </c>
      <c r="AK21043" s="831">
        <v>754458364</v>
      </c>
    </row>
    <row r="21044" spans="32:37">
      <c r="AF21044" s="831" t="s">
        <v>11551</v>
      </c>
      <c r="AG21044" s="831" t="s">
        <v>2674</v>
      </c>
      <c r="AH21044" s="831" t="s">
        <v>103</v>
      </c>
      <c r="AI21044" s="831">
        <v>0</v>
      </c>
      <c r="AJ21044" s="835">
        <v>41820</v>
      </c>
      <c r="AK21044" s="831">
        <v>298922232</v>
      </c>
    </row>
    <row r="21045" spans="32:37">
      <c r="AF21045" s="831" t="s">
        <v>11552</v>
      </c>
      <c r="AG21045" s="831" t="s">
        <v>2674</v>
      </c>
      <c r="AH21045" s="831" t="s">
        <v>182</v>
      </c>
      <c r="AI21045" s="831">
        <v>0</v>
      </c>
      <c r="AJ21045" s="835">
        <v>41820</v>
      </c>
      <c r="AK21045" s="831">
        <v>71693060</v>
      </c>
    </row>
    <row r="21046" spans="32:37">
      <c r="AF21046" s="831" t="s">
        <v>11553</v>
      </c>
      <c r="AG21046" s="831" t="s">
        <v>2674</v>
      </c>
      <c r="AH21046" s="831" t="s">
        <v>6600</v>
      </c>
      <c r="AI21046" s="831">
        <v>0</v>
      </c>
      <c r="AJ21046" s="835">
        <v>41820</v>
      </c>
      <c r="AK21046" s="831">
        <v>32506327.956000008</v>
      </c>
    </row>
    <row r="21047" spans="32:37">
      <c r="AF21047" s="831" t="s">
        <v>11554</v>
      </c>
      <c r="AG21047" s="831" t="s">
        <v>2674</v>
      </c>
      <c r="AH21047" s="831" t="s">
        <v>6602</v>
      </c>
      <c r="AI21047" s="831">
        <v>0</v>
      </c>
      <c r="AJ21047" s="835">
        <v>41820</v>
      </c>
      <c r="AK21047" s="831">
        <v>18626919</v>
      </c>
    </row>
    <row r="21048" spans="32:37">
      <c r="AF21048" s="831" t="s">
        <v>11555</v>
      </c>
      <c r="AG21048" s="831" t="s">
        <v>2674</v>
      </c>
      <c r="AH21048" s="831" t="s">
        <v>650</v>
      </c>
      <c r="AI21048" s="831">
        <v>0</v>
      </c>
      <c r="AJ21048" s="835">
        <v>41820</v>
      </c>
      <c r="AK21048" s="831">
        <v>250141744.03992307</v>
      </c>
    </row>
    <row r="21049" spans="32:37">
      <c r="AF21049" s="831" t="s">
        <v>11556</v>
      </c>
      <c r="AG21049" s="831" t="s">
        <v>2674</v>
      </c>
      <c r="AH21049" s="831" t="s">
        <v>655</v>
      </c>
      <c r="AI21049" s="831">
        <v>0</v>
      </c>
      <c r="AJ21049" s="835">
        <v>41820</v>
      </c>
      <c r="AK21049" s="831">
        <v>739333.81</v>
      </c>
    </row>
    <row r="21050" spans="32:37">
      <c r="AF21050" s="831" t="s">
        <v>11557</v>
      </c>
      <c r="AG21050" s="831" t="s">
        <v>2674</v>
      </c>
      <c r="AH21050" s="831" t="s">
        <v>546</v>
      </c>
      <c r="AI21050" s="831">
        <v>0</v>
      </c>
      <c r="AJ21050" s="835">
        <v>41851</v>
      </c>
      <c r="AK21050" s="831">
        <v>739176022</v>
      </c>
    </row>
    <row r="21051" spans="32:37">
      <c r="AF21051" s="831" t="s">
        <v>11558</v>
      </c>
      <c r="AG21051" s="831" t="s">
        <v>2674</v>
      </c>
      <c r="AH21051" s="831" t="s">
        <v>370</v>
      </c>
      <c r="AI21051" s="831">
        <v>0</v>
      </c>
      <c r="AJ21051" s="835">
        <v>41851</v>
      </c>
      <c r="AK21051" s="831">
        <v>937279545</v>
      </c>
    </row>
    <row r="21052" spans="32:37">
      <c r="AF21052" s="831" t="s">
        <v>11559</v>
      </c>
      <c r="AG21052" s="831" t="s">
        <v>2674</v>
      </c>
      <c r="AH21052" s="831" t="s">
        <v>126</v>
      </c>
      <c r="AI21052" s="831">
        <v>0</v>
      </c>
      <c r="AJ21052" s="835">
        <v>41851</v>
      </c>
      <c r="AK21052" s="831">
        <v>138005087</v>
      </c>
    </row>
    <row r="21053" spans="32:37">
      <c r="AF21053" s="831" t="s">
        <v>11560</v>
      </c>
      <c r="AG21053" s="831" t="s">
        <v>2674</v>
      </c>
      <c r="AH21053" s="831" t="s">
        <v>268</v>
      </c>
      <c r="AI21053" s="831">
        <v>0</v>
      </c>
      <c r="AJ21053" s="835">
        <v>41851</v>
      </c>
      <c r="AK21053" s="831">
        <v>22009267</v>
      </c>
    </row>
    <row r="21054" spans="32:37">
      <c r="AF21054" s="831" t="s">
        <v>11561</v>
      </c>
      <c r="AG21054" s="831" t="s">
        <v>2674</v>
      </c>
      <c r="AH21054" s="831" t="s">
        <v>547</v>
      </c>
      <c r="AI21054" s="831">
        <v>0</v>
      </c>
      <c r="AJ21054" s="835">
        <v>41851</v>
      </c>
      <c r="AK21054" s="831">
        <v>777719977</v>
      </c>
    </row>
    <row r="21055" spans="32:37">
      <c r="AF21055" s="831" t="s">
        <v>11562</v>
      </c>
      <c r="AG21055" s="831" t="s">
        <v>2674</v>
      </c>
      <c r="AH21055" s="831" t="s">
        <v>548</v>
      </c>
      <c r="AI21055" s="831">
        <v>0</v>
      </c>
      <c r="AJ21055" s="835">
        <v>41851</v>
      </c>
      <c r="AK21055" s="831">
        <v>117105496</v>
      </c>
    </row>
    <row r="21056" spans="32:37">
      <c r="AF21056" s="831" t="s">
        <v>11563</v>
      </c>
      <c r="AG21056" s="831" t="s">
        <v>2674</v>
      </c>
      <c r="AH21056" s="831" t="s">
        <v>549</v>
      </c>
      <c r="AI21056" s="831">
        <v>0</v>
      </c>
      <c r="AJ21056" s="835">
        <v>41851</v>
      </c>
      <c r="AK21056" s="831">
        <v>530405930</v>
      </c>
    </row>
    <row r="21057" spans="32:37">
      <c r="AF21057" s="831" t="s">
        <v>11564</v>
      </c>
      <c r="AG21057" s="831" t="s">
        <v>2674</v>
      </c>
      <c r="AH21057" s="831" t="s">
        <v>192</v>
      </c>
      <c r="AI21057" s="831">
        <v>0</v>
      </c>
      <c r="AJ21057" s="835">
        <v>41851</v>
      </c>
      <c r="AK21057" s="831">
        <v>-11408077</v>
      </c>
    </row>
    <row r="21058" spans="32:37">
      <c r="AF21058" s="831" t="s">
        <v>11565</v>
      </c>
      <c r="AG21058" s="831" t="s">
        <v>2674</v>
      </c>
      <c r="AH21058" s="831" t="s">
        <v>558</v>
      </c>
      <c r="AI21058" s="831">
        <v>0</v>
      </c>
      <c r="AJ21058" s="835">
        <v>41851</v>
      </c>
      <c r="AK21058" s="831">
        <v>799274458</v>
      </c>
    </row>
    <row r="21059" spans="32:37">
      <c r="AF21059" s="831" t="s">
        <v>11566</v>
      </c>
      <c r="AG21059" s="831" t="s">
        <v>2674</v>
      </c>
      <c r="AH21059" s="831" t="s">
        <v>65</v>
      </c>
      <c r="AI21059" s="831">
        <v>0</v>
      </c>
      <c r="AJ21059" s="835">
        <v>41851</v>
      </c>
      <c r="AK21059" s="831">
        <v>96150192</v>
      </c>
    </row>
    <row r="21060" spans="32:37">
      <c r="AF21060" s="831" t="s">
        <v>11567</v>
      </c>
      <c r="AG21060" s="831" t="s">
        <v>2674</v>
      </c>
      <c r="AH21060" s="831" t="s">
        <v>89</v>
      </c>
      <c r="AI21060" s="831">
        <v>0</v>
      </c>
      <c r="AJ21060" s="835">
        <v>41851</v>
      </c>
      <c r="AK21060" s="831">
        <v>157312</v>
      </c>
    </row>
    <row r="21061" spans="32:37">
      <c r="AF21061" s="831" t="s">
        <v>11568</v>
      </c>
      <c r="AG21061" s="831" t="s">
        <v>2674</v>
      </c>
      <c r="AH21061" s="831" t="s">
        <v>557</v>
      </c>
      <c r="AI21061" s="831">
        <v>0</v>
      </c>
      <c r="AJ21061" s="835">
        <v>41851</v>
      </c>
      <c r="AK21061" s="831">
        <v>177567</v>
      </c>
    </row>
    <row r="21062" spans="32:37">
      <c r="AF21062" s="831" t="s">
        <v>11569</v>
      </c>
      <c r="AG21062" s="831" t="s">
        <v>2674</v>
      </c>
      <c r="AH21062" s="831" t="s">
        <v>29</v>
      </c>
      <c r="AI21062" s="831">
        <v>0</v>
      </c>
      <c r="AJ21062" s="835">
        <v>41851</v>
      </c>
      <c r="AK21062" s="831">
        <v>1565767.49</v>
      </c>
    </row>
    <row r="21063" spans="32:37">
      <c r="AF21063" s="831" t="s">
        <v>11570</v>
      </c>
      <c r="AG21063" s="831" t="s">
        <v>2674</v>
      </c>
      <c r="AH21063" s="831" t="s">
        <v>2688</v>
      </c>
      <c r="AI21063" s="831">
        <v>0</v>
      </c>
      <c r="AJ21063" s="835">
        <v>41851</v>
      </c>
      <c r="AK21063" s="831">
        <v>4315667.13</v>
      </c>
    </row>
    <row r="21064" spans="32:37">
      <c r="AF21064" s="831" t="s">
        <v>11571</v>
      </c>
      <c r="AG21064" s="831" t="s">
        <v>2674</v>
      </c>
      <c r="AH21064" s="831" t="s">
        <v>556</v>
      </c>
      <c r="AI21064" s="831">
        <v>0</v>
      </c>
      <c r="AJ21064" s="835">
        <v>41851</v>
      </c>
      <c r="AK21064" s="831">
        <v>3260165</v>
      </c>
    </row>
    <row r="21065" spans="32:37">
      <c r="AF21065" s="831" t="s">
        <v>11572</v>
      </c>
      <c r="AG21065" s="831" t="s">
        <v>2674</v>
      </c>
      <c r="AH21065" s="831" t="s">
        <v>555</v>
      </c>
      <c r="AI21065" s="831">
        <v>0</v>
      </c>
      <c r="AJ21065" s="835">
        <v>41851</v>
      </c>
      <c r="AK21065" s="831">
        <v>527670450</v>
      </c>
    </row>
    <row r="21066" spans="32:37">
      <c r="AF21066" s="831" t="s">
        <v>11573</v>
      </c>
      <c r="AG21066" s="831" t="s">
        <v>2674</v>
      </c>
      <c r="AH21066" s="831" t="s">
        <v>554</v>
      </c>
      <c r="AI21066" s="831">
        <v>0</v>
      </c>
      <c r="AJ21066" s="835">
        <v>41851</v>
      </c>
      <c r="AK21066" s="831">
        <v>540050830</v>
      </c>
    </row>
    <row r="21067" spans="32:37">
      <c r="AF21067" s="831" t="s">
        <v>11574</v>
      </c>
      <c r="AG21067" s="831" t="s">
        <v>2674</v>
      </c>
      <c r="AH21067" s="831" t="s">
        <v>553</v>
      </c>
      <c r="AI21067" s="831">
        <v>0</v>
      </c>
      <c r="AJ21067" s="835">
        <v>41851</v>
      </c>
      <c r="AK21067" s="831">
        <v>0</v>
      </c>
    </row>
    <row r="21068" spans="32:37">
      <c r="AF21068" s="831" t="s">
        <v>11575</v>
      </c>
      <c r="AG21068" s="831" t="s">
        <v>2674</v>
      </c>
      <c r="AH21068" s="831" t="s">
        <v>552</v>
      </c>
      <c r="AI21068" s="831">
        <v>0</v>
      </c>
      <c r="AJ21068" s="835">
        <v>41851</v>
      </c>
      <c r="AK21068" s="831">
        <v>0</v>
      </c>
    </row>
    <row r="21069" spans="32:37">
      <c r="AF21069" s="831" t="s">
        <v>11576</v>
      </c>
      <c r="AG21069" s="831" t="s">
        <v>2674</v>
      </c>
      <c r="AH21069" s="831" t="s">
        <v>551</v>
      </c>
      <c r="AI21069" s="831">
        <v>0</v>
      </c>
      <c r="AJ21069" s="835">
        <v>41851</v>
      </c>
      <c r="AK21069" s="831">
        <v>1101547.72</v>
      </c>
    </row>
    <row r="21070" spans="32:37">
      <c r="AF21070" s="831" t="s">
        <v>11577</v>
      </c>
      <c r="AG21070" s="831" t="s">
        <v>2674</v>
      </c>
      <c r="AH21070" s="831" t="s">
        <v>550</v>
      </c>
      <c r="AI21070" s="831">
        <v>0</v>
      </c>
      <c r="AJ21070" s="835">
        <v>41851</v>
      </c>
      <c r="AK21070" s="831">
        <v>135362821</v>
      </c>
    </row>
    <row r="21071" spans="32:37">
      <c r="AF21071" s="831" t="s">
        <v>11578</v>
      </c>
      <c r="AG21071" s="831" t="s">
        <v>2674</v>
      </c>
      <c r="AH21071" s="831" t="s">
        <v>562</v>
      </c>
      <c r="AI21071" s="831">
        <v>0</v>
      </c>
      <c r="AJ21071" s="835">
        <v>41851</v>
      </c>
      <c r="AK21071" s="831">
        <v>0.78364999999999996</v>
      </c>
    </row>
    <row r="21072" spans="32:37">
      <c r="AF21072" s="831" t="s">
        <v>11579</v>
      </c>
      <c r="AG21072" s="831" t="s">
        <v>2674</v>
      </c>
      <c r="AH21072" s="831" t="s">
        <v>2698</v>
      </c>
      <c r="AI21072" s="831">
        <v>0</v>
      </c>
      <c r="AJ21072" s="835">
        <v>41851</v>
      </c>
      <c r="AK21072" s="831">
        <v>0.78374999999999995</v>
      </c>
    </row>
    <row r="21073" spans="32:37">
      <c r="AF21073" s="831" t="s">
        <v>11580</v>
      </c>
      <c r="AG21073" s="831" t="s">
        <v>2674</v>
      </c>
      <c r="AH21073" s="831" t="s">
        <v>560</v>
      </c>
      <c r="AI21073" s="831">
        <v>0</v>
      </c>
      <c r="AJ21073" s="835">
        <v>41851</v>
      </c>
      <c r="AK21073" s="831">
        <v>0.78374999999999984</v>
      </c>
    </row>
    <row r="21074" spans="32:37">
      <c r="AF21074" s="831" t="s">
        <v>11581</v>
      </c>
      <c r="AG21074" s="831" t="s">
        <v>2674</v>
      </c>
      <c r="AH21074" s="831" t="s">
        <v>559</v>
      </c>
      <c r="AI21074" s="831">
        <v>0</v>
      </c>
      <c r="AJ21074" s="835">
        <v>41851</v>
      </c>
      <c r="AK21074" s="831">
        <v>0.78376666666666661</v>
      </c>
    </row>
    <row r="21075" spans="32:37">
      <c r="AF21075" s="831" t="s">
        <v>11582</v>
      </c>
      <c r="AG21075" s="831" t="s">
        <v>2674</v>
      </c>
      <c r="AH21075" s="831" t="s">
        <v>568</v>
      </c>
      <c r="AI21075" s="831">
        <v>0</v>
      </c>
      <c r="AJ21075" s="835">
        <v>41851</v>
      </c>
      <c r="AK21075" s="831">
        <v>637151141.61153841</v>
      </c>
    </row>
    <row r="21076" spans="32:37">
      <c r="AF21076" s="831" t="s">
        <v>11583</v>
      </c>
      <c r="AG21076" s="831" t="s">
        <v>2674</v>
      </c>
      <c r="AH21076" s="831" t="s">
        <v>569</v>
      </c>
      <c r="AI21076" s="831">
        <v>0</v>
      </c>
      <c r="AJ21076" s="835">
        <v>41851</v>
      </c>
      <c r="AK21076" s="831">
        <v>786284543.74253845</v>
      </c>
    </row>
    <row r="21077" spans="32:37">
      <c r="AF21077" s="831" t="s">
        <v>11584</v>
      </c>
      <c r="AG21077" s="831" t="s">
        <v>2674</v>
      </c>
      <c r="AH21077" s="831" t="s">
        <v>570</v>
      </c>
      <c r="AI21077" s="831">
        <v>0</v>
      </c>
      <c r="AJ21077" s="835">
        <v>41851</v>
      </c>
      <c r="AK21077" s="831">
        <v>122542079.44353844</v>
      </c>
    </row>
    <row r="21078" spans="32:37">
      <c r="AF21078" s="831" t="s">
        <v>11585</v>
      </c>
      <c r="AG21078" s="831" t="s">
        <v>2674</v>
      </c>
      <c r="AH21078" s="831" t="s">
        <v>571</v>
      </c>
      <c r="AI21078" s="831">
        <v>0</v>
      </c>
      <c r="AJ21078" s="835">
        <v>41851</v>
      </c>
      <c r="AK21078" s="831">
        <v>385003742.66715389</v>
      </c>
    </row>
    <row r="21079" spans="32:37">
      <c r="AF21079" s="831" t="s">
        <v>11586</v>
      </c>
      <c r="AG21079" s="831" t="s">
        <v>2674</v>
      </c>
      <c r="AH21079" s="831" t="s">
        <v>573</v>
      </c>
      <c r="AI21079" s="831">
        <v>0</v>
      </c>
      <c r="AJ21079" s="835">
        <v>41851</v>
      </c>
      <c r="AK21079" s="831">
        <v>843150331.57037497</v>
      </c>
    </row>
    <row r="21080" spans="32:37">
      <c r="AF21080" s="831" t="s">
        <v>11587</v>
      </c>
      <c r="AG21080" s="831" t="s">
        <v>2674</v>
      </c>
      <c r="AH21080" s="831" t="s">
        <v>574</v>
      </c>
      <c r="AI21080" s="831">
        <v>0</v>
      </c>
      <c r="AJ21080" s="835">
        <v>41851</v>
      </c>
      <c r="AK21080" s="831">
        <v>682697233.875</v>
      </c>
    </row>
    <row r="21081" spans="32:37">
      <c r="AF21081" s="831" t="s">
        <v>11588</v>
      </c>
      <c r="AG21081" s="831" t="s">
        <v>2674</v>
      </c>
      <c r="AH21081" s="831" t="s">
        <v>575</v>
      </c>
      <c r="AI21081" s="831">
        <v>0</v>
      </c>
      <c r="AJ21081" s="835">
        <v>41851</v>
      </c>
      <c r="AK21081" s="831">
        <v>125963135.86375</v>
      </c>
    </row>
    <row r="21082" spans="32:37">
      <c r="AF21082" s="831" t="s">
        <v>11589</v>
      </c>
      <c r="AG21082" s="831" t="s">
        <v>2674</v>
      </c>
      <c r="AH21082" s="831" t="s">
        <v>576</v>
      </c>
      <c r="AI21082" s="831">
        <v>0</v>
      </c>
      <c r="AJ21082" s="835">
        <v>41851</v>
      </c>
      <c r="AK21082" s="831">
        <v>415372081.57637501</v>
      </c>
    </row>
    <row r="21083" spans="32:37">
      <c r="AF21083" s="831" t="s">
        <v>11590</v>
      </c>
      <c r="AG21083" s="831" t="s">
        <v>2674</v>
      </c>
      <c r="AH21083" s="831" t="s">
        <v>572</v>
      </c>
      <c r="AI21083" s="831">
        <v>0</v>
      </c>
      <c r="AJ21083" s="835">
        <v>41851</v>
      </c>
      <c r="AK21083" s="831">
        <v>33061468.956000008</v>
      </c>
    </row>
    <row r="21084" spans="32:37">
      <c r="AF21084" s="831" t="s">
        <v>11591</v>
      </c>
      <c r="AG21084" s="831" t="s">
        <v>2674</v>
      </c>
      <c r="AH21084" s="831" t="s">
        <v>577</v>
      </c>
      <c r="AI21084" s="831">
        <v>0</v>
      </c>
      <c r="AJ21084" s="835">
        <v>41851</v>
      </c>
      <c r="AK21084" s="831">
        <v>157027827.76300001</v>
      </c>
    </row>
    <row r="21085" spans="32:37">
      <c r="AF21085" s="831" t="s">
        <v>11592</v>
      </c>
      <c r="AG21085" s="831" t="s">
        <v>2674</v>
      </c>
      <c r="AH21085" s="831" t="s">
        <v>3042</v>
      </c>
      <c r="AI21085" s="831">
        <v>0</v>
      </c>
      <c r="AJ21085" s="835">
        <v>41851</v>
      </c>
      <c r="AK21085" s="831">
        <v>-44607617.527000003</v>
      </c>
    </row>
    <row r="21086" spans="32:37">
      <c r="AF21086" s="831" t="s">
        <v>11593</v>
      </c>
      <c r="AG21086" s="831" t="s">
        <v>2674</v>
      </c>
      <c r="AH21086" s="831" t="s">
        <v>3044</v>
      </c>
      <c r="AI21086" s="831">
        <v>0</v>
      </c>
      <c r="AJ21086" s="835">
        <v>41851</v>
      </c>
      <c r="AK21086" s="831">
        <v>-2462838.8899999997</v>
      </c>
    </row>
    <row r="21087" spans="32:37">
      <c r="AF21087" s="831" t="s">
        <v>11594</v>
      </c>
      <c r="AG21087" s="831" t="s">
        <v>2674</v>
      </c>
      <c r="AH21087" s="831" t="s">
        <v>580</v>
      </c>
      <c r="AI21087" s="831">
        <v>0</v>
      </c>
      <c r="AJ21087" s="835">
        <v>41851</v>
      </c>
      <c r="AK21087" s="831">
        <v>-72554848.306999996</v>
      </c>
    </row>
    <row r="21088" spans="32:37">
      <c r="AF21088" s="831" t="s">
        <v>11595</v>
      </c>
      <c r="AG21088" s="831" t="s">
        <v>2674</v>
      </c>
      <c r="AH21088" s="831" t="s">
        <v>581</v>
      </c>
      <c r="AI21088" s="831">
        <v>0</v>
      </c>
      <c r="AJ21088" s="835">
        <v>41851</v>
      </c>
      <c r="AK21088" s="831">
        <v>6023686.8940000003</v>
      </c>
    </row>
    <row r="21089" spans="32:37">
      <c r="AF21089" s="831" t="s">
        <v>11596</v>
      </c>
      <c r="AG21089" s="831" t="s">
        <v>2674</v>
      </c>
      <c r="AH21089" s="831" t="s">
        <v>105</v>
      </c>
      <c r="AI21089" s="831">
        <v>0</v>
      </c>
      <c r="AJ21089" s="835">
        <v>41851</v>
      </c>
      <c r="AK21089" s="831">
        <v>472087799</v>
      </c>
    </row>
    <row r="21090" spans="32:37">
      <c r="AF21090" s="831" t="s">
        <v>11597</v>
      </c>
      <c r="AG21090" s="831" t="s">
        <v>2674</v>
      </c>
      <c r="AH21090" s="831" t="s">
        <v>3049</v>
      </c>
      <c r="AI21090" s="831">
        <v>0</v>
      </c>
      <c r="AJ21090" s="835">
        <v>41851</v>
      </c>
      <c r="AK21090" s="831">
        <v>778154132</v>
      </c>
    </row>
    <row r="21091" spans="32:37">
      <c r="AF21091" s="831" t="s">
        <v>11598</v>
      </c>
      <c r="AG21091" s="831" t="s">
        <v>2674</v>
      </c>
      <c r="AH21091" s="831" t="s">
        <v>103</v>
      </c>
      <c r="AI21091" s="831">
        <v>0</v>
      </c>
      <c r="AJ21091" s="835">
        <v>41851</v>
      </c>
      <c r="AK21091" s="831">
        <v>306066333</v>
      </c>
    </row>
    <row r="21092" spans="32:37">
      <c r="AF21092" s="831" t="s">
        <v>11599</v>
      </c>
      <c r="AG21092" s="831" t="s">
        <v>2674</v>
      </c>
      <c r="AH21092" s="831" t="s">
        <v>182</v>
      </c>
      <c r="AI21092" s="831">
        <v>0</v>
      </c>
      <c r="AJ21092" s="835">
        <v>41851</v>
      </c>
      <c r="AK21092" s="831">
        <v>72589813.714285716</v>
      </c>
    </row>
    <row r="21093" spans="32:37">
      <c r="AF21093" s="831" t="s">
        <v>11600</v>
      </c>
      <c r="AG21093" s="831" t="s">
        <v>2674</v>
      </c>
      <c r="AH21093" s="831" t="s">
        <v>6600</v>
      </c>
      <c r="AI21093" s="831">
        <v>0</v>
      </c>
      <c r="AJ21093" s="835">
        <v>41851</v>
      </c>
      <c r="AK21093" s="831">
        <v>33061468.956000008</v>
      </c>
    </row>
    <row r="21094" spans="32:37">
      <c r="AF21094" s="831" t="s">
        <v>11601</v>
      </c>
      <c r="AG21094" s="831" t="s">
        <v>2674</v>
      </c>
      <c r="AH21094" s="831" t="s">
        <v>6602</v>
      </c>
      <c r="AI21094" s="831">
        <v>0</v>
      </c>
      <c r="AJ21094" s="835">
        <v>41851</v>
      </c>
      <c r="AK21094" s="831">
        <v>22009267</v>
      </c>
    </row>
    <row r="21095" spans="32:37">
      <c r="AF21095" s="831" t="s">
        <v>11602</v>
      </c>
      <c r="AG21095" s="831" t="s">
        <v>2674</v>
      </c>
      <c r="AH21095" s="831" t="s">
        <v>650</v>
      </c>
      <c r="AI21095" s="831">
        <v>0</v>
      </c>
      <c r="AJ21095" s="835">
        <v>41851</v>
      </c>
      <c r="AK21095" s="831">
        <v>258051740.34761539</v>
      </c>
    </row>
    <row r="21096" spans="32:37">
      <c r="AF21096" s="831" t="s">
        <v>11603</v>
      </c>
      <c r="AG21096" s="831" t="s">
        <v>2674</v>
      </c>
      <c r="AH21096" s="831" t="s">
        <v>655</v>
      </c>
      <c r="AI21096" s="831">
        <v>0</v>
      </c>
      <c r="AJ21096" s="835">
        <v>41851</v>
      </c>
      <c r="AK21096" s="831">
        <v>953974.79</v>
      </c>
    </row>
    <row r="21097" spans="32:37">
      <c r="AF21097" s="831" t="s">
        <v>11604</v>
      </c>
      <c r="AG21097" s="831" t="s">
        <v>2674</v>
      </c>
      <c r="AH21097" s="831" t="s">
        <v>546</v>
      </c>
      <c r="AI21097" s="831">
        <v>0</v>
      </c>
      <c r="AJ21097" s="835">
        <v>41882</v>
      </c>
      <c r="AK21097" s="831">
        <v>752496052</v>
      </c>
    </row>
    <row r="21098" spans="32:37">
      <c r="AF21098" s="831" t="s">
        <v>11605</v>
      </c>
      <c r="AG21098" s="831" t="s">
        <v>2674</v>
      </c>
      <c r="AH21098" s="831" t="s">
        <v>370</v>
      </c>
      <c r="AI21098" s="831">
        <v>0</v>
      </c>
      <c r="AJ21098" s="835">
        <v>41882</v>
      </c>
      <c r="AK21098" s="831">
        <v>955327873</v>
      </c>
    </row>
    <row r="21099" spans="32:37">
      <c r="AF21099" s="831" t="s">
        <v>11606</v>
      </c>
      <c r="AG21099" s="831" t="s">
        <v>2674</v>
      </c>
      <c r="AH21099" s="831" t="s">
        <v>126</v>
      </c>
      <c r="AI21099" s="831">
        <v>0</v>
      </c>
      <c r="AJ21099" s="835">
        <v>41882</v>
      </c>
      <c r="AK21099" s="831">
        <v>141824046.03</v>
      </c>
    </row>
    <row r="21100" spans="32:37">
      <c r="AF21100" s="831" t="s">
        <v>11607</v>
      </c>
      <c r="AG21100" s="831" t="s">
        <v>2674</v>
      </c>
      <c r="AH21100" s="831" t="s">
        <v>268</v>
      </c>
      <c r="AI21100" s="831">
        <v>0</v>
      </c>
      <c r="AJ21100" s="835">
        <v>41882</v>
      </c>
      <c r="AK21100" s="831">
        <v>25500774.76800001</v>
      </c>
    </row>
    <row r="21101" spans="32:37">
      <c r="AF21101" s="831" t="s">
        <v>11608</v>
      </c>
      <c r="AG21101" s="831" t="s">
        <v>2674</v>
      </c>
      <c r="AH21101" s="831" t="s">
        <v>547</v>
      </c>
      <c r="AI21101" s="831">
        <v>0</v>
      </c>
      <c r="AJ21101" s="835">
        <v>41882</v>
      </c>
      <c r="AK21101" s="831">
        <v>777719977</v>
      </c>
    </row>
    <row r="21102" spans="32:37">
      <c r="AF21102" s="831" t="s">
        <v>11609</v>
      </c>
      <c r="AG21102" s="831" t="s">
        <v>2674</v>
      </c>
      <c r="AH21102" s="831" t="s">
        <v>548</v>
      </c>
      <c r="AI21102" s="831">
        <v>0</v>
      </c>
      <c r="AJ21102" s="835">
        <v>41882</v>
      </c>
      <c r="AK21102" s="831">
        <v>117105496</v>
      </c>
    </row>
    <row r="21103" spans="32:37">
      <c r="AF21103" s="831" t="s">
        <v>11610</v>
      </c>
      <c r="AG21103" s="831" t="s">
        <v>2674</v>
      </c>
      <c r="AH21103" s="831" t="s">
        <v>549</v>
      </c>
      <c r="AI21103" s="831">
        <v>0</v>
      </c>
      <c r="AJ21103" s="835">
        <v>41882</v>
      </c>
      <c r="AK21103" s="831">
        <v>548671343</v>
      </c>
    </row>
    <row r="21104" spans="32:37">
      <c r="AF21104" s="831" t="s">
        <v>11611</v>
      </c>
      <c r="AG21104" s="831" t="s">
        <v>2674</v>
      </c>
      <c r="AH21104" s="831" t="s">
        <v>192</v>
      </c>
      <c r="AI21104" s="831">
        <v>0</v>
      </c>
      <c r="AJ21104" s="835">
        <v>41882</v>
      </c>
      <c r="AK21104" s="831">
        <v>-11209860</v>
      </c>
    </row>
    <row r="21105" spans="32:37">
      <c r="AF21105" s="831" t="s">
        <v>11612</v>
      </c>
      <c r="AG21105" s="831" t="s">
        <v>2674</v>
      </c>
      <c r="AH21105" s="831" t="s">
        <v>558</v>
      </c>
      <c r="AI21105" s="831">
        <v>0</v>
      </c>
      <c r="AJ21105" s="835">
        <v>41882</v>
      </c>
      <c r="AK21105" s="831">
        <v>813503827.41700006</v>
      </c>
    </row>
    <row r="21106" spans="32:37">
      <c r="AF21106" s="831" t="s">
        <v>11613</v>
      </c>
      <c r="AG21106" s="831" t="s">
        <v>2674</v>
      </c>
      <c r="AH21106" s="831" t="s">
        <v>65</v>
      </c>
      <c r="AI21106" s="831">
        <v>0</v>
      </c>
      <c r="AJ21106" s="835">
        <v>41882</v>
      </c>
      <c r="AK21106" s="831">
        <v>110886310.662</v>
      </c>
    </row>
    <row r="21107" spans="32:37">
      <c r="AF21107" s="831" t="s">
        <v>11614</v>
      </c>
      <c r="AG21107" s="831" t="s">
        <v>2674</v>
      </c>
      <c r="AH21107" s="831" t="s">
        <v>89</v>
      </c>
      <c r="AI21107" s="831">
        <v>0</v>
      </c>
      <c r="AJ21107" s="835">
        <v>41882</v>
      </c>
      <c r="AK21107" s="831">
        <v>158540</v>
      </c>
    </row>
    <row r="21108" spans="32:37">
      <c r="AF21108" s="831" t="s">
        <v>11615</v>
      </c>
      <c r="AG21108" s="831" t="s">
        <v>2674</v>
      </c>
      <c r="AH21108" s="831" t="s">
        <v>557</v>
      </c>
      <c r="AI21108" s="831">
        <v>0</v>
      </c>
      <c r="AJ21108" s="835">
        <v>41882</v>
      </c>
      <c r="AK21108" s="831">
        <v>176987</v>
      </c>
    </row>
    <row r="21109" spans="32:37">
      <c r="AF21109" s="831" t="s">
        <v>11616</v>
      </c>
      <c r="AG21109" s="831" t="s">
        <v>2674</v>
      </c>
      <c r="AH21109" s="831" t="s">
        <v>29</v>
      </c>
      <c r="AI21109" s="831">
        <v>0</v>
      </c>
      <c r="AJ21109" s="835">
        <v>41882</v>
      </c>
      <c r="AK21109" s="831">
        <v>1746361.094</v>
      </c>
    </row>
    <row r="21110" spans="32:37">
      <c r="AF21110" s="831" t="s">
        <v>11617</v>
      </c>
      <c r="AG21110" s="831" t="s">
        <v>2674</v>
      </c>
      <c r="AH21110" s="831" t="s">
        <v>2688</v>
      </c>
      <c r="AI21110" s="831">
        <v>0</v>
      </c>
      <c r="AJ21110" s="835">
        <v>41882</v>
      </c>
      <c r="AK21110" s="831">
        <v>4781420.7300000004</v>
      </c>
    </row>
    <row r="21111" spans="32:37">
      <c r="AF21111" s="831" t="s">
        <v>11618</v>
      </c>
      <c r="AG21111" s="831" t="s">
        <v>2674</v>
      </c>
      <c r="AH21111" s="831" t="s">
        <v>556</v>
      </c>
      <c r="AI21111" s="831">
        <v>0</v>
      </c>
      <c r="AJ21111" s="835">
        <v>41882</v>
      </c>
      <c r="AK21111" s="831">
        <v>4890559</v>
      </c>
    </row>
    <row r="21112" spans="32:37">
      <c r="AF21112" s="831" t="s">
        <v>11619</v>
      </c>
      <c r="AG21112" s="831" t="s">
        <v>2674</v>
      </c>
      <c r="AH21112" s="831" t="s">
        <v>555</v>
      </c>
      <c r="AI21112" s="831">
        <v>0</v>
      </c>
      <c r="AJ21112" s="835">
        <v>41882</v>
      </c>
      <c r="AK21112" s="831">
        <v>533401131</v>
      </c>
    </row>
    <row r="21113" spans="32:37">
      <c r="AF21113" s="831" t="s">
        <v>11620</v>
      </c>
      <c r="AG21113" s="831" t="s">
        <v>2674</v>
      </c>
      <c r="AH21113" s="831" t="s">
        <v>554</v>
      </c>
      <c r="AI21113" s="831">
        <v>0</v>
      </c>
      <c r="AJ21113" s="835">
        <v>41882</v>
      </c>
      <c r="AK21113" s="831">
        <v>543423580</v>
      </c>
    </row>
    <row r="21114" spans="32:37">
      <c r="AF21114" s="831" t="s">
        <v>11621</v>
      </c>
      <c r="AG21114" s="831" t="s">
        <v>2674</v>
      </c>
      <c r="AH21114" s="831" t="s">
        <v>553</v>
      </c>
      <c r="AI21114" s="831">
        <v>0</v>
      </c>
      <c r="AJ21114" s="835">
        <v>41882</v>
      </c>
      <c r="AK21114" s="831">
        <v>0</v>
      </c>
    </row>
    <row r="21115" spans="32:37">
      <c r="AF21115" s="831" t="s">
        <v>11622</v>
      </c>
      <c r="AG21115" s="831" t="s">
        <v>2674</v>
      </c>
      <c r="AH21115" s="831" t="s">
        <v>552</v>
      </c>
      <c r="AI21115" s="831">
        <v>0</v>
      </c>
      <c r="AJ21115" s="835">
        <v>41882</v>
      </c>
      <c r="AK21115" s="831">
        <v>0</v>
      </c>
    </row>
    <row r="21116" spans="32:37">
      <c r="AF21116" s="831" t="s">
        <v>11623</v>
      </c>
      <c r="AG21116" s="831" t="s">
        <v>2674</v>
      </c>
      <c r="AH21116" s="831" t="s">
        <v>551</v>
      </c>
      <c r="AI21116" s="831">
        <v>0</v>
      </c>
      <c r="AJ21116" s="835">
        <v>41882</v>
      </c>
      <c r="AK21116" s="831">
        <v>1392541.4989999998</v>
      </c>
    </row>
    <row r="21117" spans="32:37">
      <c r="AF21117" s="831" t="s">
        <v>11624</v>
      </c>
      <c r="AG21117" s="831" t="s">
        <v>2674</v>
      </c>
      <c r="AH21117" s="831" t="s">
        <v>550</v>
      </c>
      <c r="AI21117" s="831">
        <v>0</v>
      </c>
      <c r="AJ21117" s="835">
        <v>41882</v>
      </c>
      <c r="AK21117" s="831">
        <v>138005087</v>
      </c>
    </row>
    <row r="21118" spans="32:37">
      <c r="AF21118" s="831" t="s">
        <v>11625</v>
      </c>
      <c r="AG21118" s="831" t="s">
        <v>2674</v>
      </c>
      <c r="AH21118" s="831" t="s">
        <v>562</v>
      </c>
      <c r="AI21118" s="831">
        <v>0</v>
      </c>
      <c r="AJ21118" s="835">
        <v>41882</v>
      </c>
      <c r="AK21118" s="831">
        <v>0.7833</v>
      </c>
    </row>
    <row r="21119" spans="32:37">
      <c r="AF21119" s="831" t="s">
        <v>11626</v>
      </c>
      <c r="AG21119" s="831" t="s">
        <v>2674</v>
      </c>
      <c r="AH21119" s="831" t="s">
        <v>2698</v>
      </c>
      <c r="AI21119" s="831">
        <v>0</v>
      </c>
      <c r="AJ21119" s="835">
        <v>41882</v>
      </c>
      <c r="AK21119" s="831">
        <v>0.78364999999999996</v>
      </c>
    </row>
    <row r="21120" spans="32:37">
      <c r="AF21120" s="831" t="s">
        <v>11627</v>
      </c>
      <c r="AG21120" s="831" t="s">
        <v>2674</v>
      </c>
      <c r="AH21120" s="831" t="s">
        <v>560</v>
      </c>
      <c r="AI21120" s="831">
        <v>0</v>
      </c>
      <c r="AJ21120" s="835">
        <v>41882</v>
      </c>
      <c r="AK21120" s="831">
        <v>0.78369374999999997</v>
      </c>
    </row>
    <row r="21121" spans="32:37">
      <c r="AF21121" s="831" t="s">
        <v>11628</v>
      </c>
      <c r="AG21121" s="831" t="s">
        <v>2674</v>
      </c>
      <c r="AH21121" s="831" t="s">
        <v>559</v>
      </c>
      <c r="AI21121" s="831">
        <v>0</v>
      </c>
      <c r="AJ21121" s="835">
        <v>41882</v>
      </c>
      <c r="AK21121" s="831">
        <v>0.78372083333333331</v>
      </c>
    </row>
    <row r="21122" spans="32:37">
      <c r="AF21122" s="831" t="s">
        <v>11629</v>
      </c>
      <c r="AG21122" s="831" t="s">
        <v>2674</v>
      </c>
      <c r="AH21122" s="831" t="s">
        <v>568</v>
      </c>
      <c r="AI21122" s="831">
        <v>0</v>
      </c>
      <c r="AJ21122" s="835">
        <v>41882</v>
      </c>
      <c r="AK21122" s="831">
        <v>654234997.14999998</v>
      </c>
    </row>
    <row r="21123" spans="32:37">
      <c r="AF21123" s="831" t="s">
        <v>11630</v>
      </c>
      <c r="AG21123" s="831" t="s">
        <v>2674</v>
      </c>
      <c r="AH21123" s="831" t="s">
        <v>569</v>
      </c>
      <c r="AI21123" s="831">
        <v>0</v>
      </c>
      <c r="AJ21123" s="835">
        <v>41882</v>
      </c>
      <c r="AK21123" s="831">
        <v>809130662.58869231</v>
      </c>
    </row>
    <row r="21124" spans="32:37">
      <c r="AF21124" s="831" t="s">
        <v>11631</v>
      </c>
      <c r="AG21124" s="831" t="s">
        <v>2674</v>
      </c>
      <c r="AH21124" s="831" t="s">
        <v>570</v>
      </c>
      <c r="AI21124" s="831">
        <v>0</v>
      </c>
      <c r="AJ21124" s="835">
        <v>41882</v>
      </c>
      <c r="AK21124" s="831">
        <v>124921808.98430769</v>
      </c>
    </row>
    <row r="21125" spans="32:37">
      <c r="AF21125" s="831" t="s">
        <v>11632</v>
      </c>
      <c r="AG21125" s="831" t="s">
        <v>2674</v>
      </c>
      <c r="AH21125" s="831" t="s">
        <v>571</v>
      </c>
      <c r="AI21125" s="831">
        <v>0</v>
      </c>
      <c r="AJ21125" s="835">
        <v>41882</v>
      </c>
      <c r="AK21125" s="831">
        <v>397063607.00692308</v>
      </c>
    </row>
    <row r="21126" spans="32:37">
      <c r="AF21126" s="831" t="s">
        <v>11633</v>
      </c>
      <c r="AG21126" s="831" t="s">
        <v>2674</v>
      </c>
      <c r="AH21126" s="831" t="s">
        <v>573</v>
      </c>
      <c r="AI21126" s="831">
        <v>0</v>
      </c>
      <c r="AJ21126" s="835">
        <v>41882</v>
      </c>
      <c r="AK21126" s="831">
        <v>855614502.84033334</v>
      </c>
    </row>
    <row r="21127" spans="32:37">
      <c r="AF21127" s="831" t="s">
        <v>11634</v>
      </c>
      <c r="AG21127" s="831" t="s">
        <v>2674</v>
      </c>
      <c r="AH21127" s="831" t="s">
        <v>574</v>
      </c>
      <c r="AI21127" s="831">
        <v>0</v>
      </c>
      <c r="AJ21127" s="835">
        <v>41882</v>
      </c>
      <c r="AK21127" s="831">
        <v>690452658.11111116</v>
      </c>
    </row>
    <row r="21128" spans="32:37">
      <c r="AF21128" s="831" t="s">
        <v>11635</v>
      </c>
      <c r="AG21128" s="831" t="s">
        <v>2674</v>
      </c>
      <c r="AH21128" s="831" t="s">
        <v>575</v>
      </c>
      <c r="AI21128" s="831">
        <v>0</v>
      </c>
      <c r="AJ21128" s="835">
        <v>41882</v>
      </c>
      <c r="AK21128" s="831">
        <v>127725459.21555556</v>
      </c>
    </row>
    <row r="21129" spans="32:37">
      <c r="AF21129" s="831" t="s">
        <v>11636</v>
      </c>
      <c r="AG21129" s="831" t="s">
        <v>2674</v>
      </c>
      <c r="AH21129" s="831" t="s">
        <v>576</v>
      </c>
      <c r="AI21129" s="831">
        <v>0</v>
      </c>
      <c r="AJ21129" s="835">
        <v>41882</v>
      </c>
      <c r="AK21129" s="831">
        <v>422408457.33644444</v>
      </c>
    </row>
    <row r="21130" spans="32:37">
      <c r="AF21130" s="831" t="s">
        <v>11637</v>
      </c>
      <c r="AG21130" s="831" t="s">
        <v>2674</v>
      </c>
      <c r="AH21130" s="831" t="s">
        <v>572</v>
      </c>
      <c r="AI21130" s="831">
        <v>0</v>
      </c>
      <c r="AJ21130" s="835">
        <v>41882</v>
      </c>
      <c r="AK21130" s="831">
        <v>33565597.724000007</v>
      </c>
    </row>
    <row r="21131" spans="32:37">
      <c r="AF21131" s="831" t="s">
        <v>11638</v>
      </c>
      <c r="AG21131" s="831" t="s">
        <v>2674</v>
      </c>
      <c r="AH21131" s="831" t="s">
        <v>577</v>
      </c>
      <c r="AI21131" s="831">
        <v>0</v>
      </c>
      <c r="AJ21131" s="835">
        <v>41882</v>
      </c>
      <c r="AK21131" s="831">
        <v>160354648.42500001</v>
      </c>
    </row>
    <row r="21132" spans="32:37">
      <c r="AF21132" s="831" t="s">
        <v>11639</v>
      </c>
      <c r="AG21132" s="831" t="s">
        <v>2674</v>
      </c>
      <c r="AH21132" s="831" t="s">
        <v>3042</v>
      </c>
      <c r="AI21132" s="831">
        <v>0</v>
      </c>
      <c r="AJ21132" s="835">
        <v>41882</v>
      </c>
      <c r="AK21132" s="831">
        <v>-46384889.891000003</v>
      </c>
    </row>
    <row r="21133" spans="32:37">
      <c r="AF21133" s="831" t="s">
        <v>11640</v>
      </c>
      <c r="AG21133" s="831" t="s">
        <v>2674</v>
      </c>
      <c r="AH21133" s="831" t="s">
        <v>3044</v>
      </c>
      <c r="AI21133" s="831">
        <v>0</v>
      </c>
      <c r="AJ21133" s="835">
        <v>41882</v>
      </c>
      <c r="AK21133" s="831">
        <v>-2154547.3159999996</v>
      </c>
    </row>
    <row r="21134" spans="32:37">
      <c r="AF21134" s="831" t="s">
        <v>11641</v>
      </c>
      <c r="AG21134" s="831" t="s">
        <v>2674</v>
      </c>
      <c r="AH21134" s="831" t="s">
        <v>580</v>
      </c>
      <c r="AI21134" s="831">
        <v>0</v>
      </c>
      <c r="AJ21134" s="835">
        <v>41882</v>
      </c>
      <c r="AK21134" s="831">
        <v>-74112712.891000003</v>
      </c>
    </row>
    <row r="21135" spans="32:37">
      <c r="AF21135" s="831" t="s">
        <v>11642</v>
      </c>
      <c r="AG21135" s="831" t="s">
        <v>2674</v>
      </c>
      <c r="AH21135" s="831" t="s">
        <v>581</v>
      </c>
      <c r="AI21135" s="831">
        <v>0</v>
      </c>
      <c r="AJ21135" s="835">
        <v>41882</v>
      </c>
      <c r="AK21135" s="831">
        <v>6514589.0720000006</v>
      </c>
    </row>
    <row r="21136" spans="32:37">
      <c r="AF21136" s="831" t="s">
        <v>11643</v>
      </c>
      <c r="AG21136" s="831" t="s">
        <v>2674</v>
      </c>
      <c r="AH21136" s="831" t="s">
        <v>105</v>
      </c>
      <c r="AI21136" s="831">
        <v>0</v>
      </c>
      <c r="AJ21136" s="835">
        <v>41882</v>
      </c>
      <c r="AK21136" s="831">
        <v>478699463.41700006</v>
      </c>
    </row>
    <row r="21137" spans="32:37">
      <c r="AF21137" s="831" t="s">
        <v>11644</v>
      </c>
      <c r="AG21137" s="831" t="s">
        <v>2674</v>
      </c>
      <c r="AH21137" s="831" t="s">
        <v>3049</v>
      </c>
      <c r="AI21137" s="831">
        <v>0</v>
      </c>
      <c r="AJ21137" s="835">
        <v>41882</v>
      </c>
      <c r="AK21137" s="831">
        <v>787453668.41700006</v>
      </c>
    </row>
    <row r="21138" spans="32:37">
      <c r="AF21138" s="831" t="s">
        <v>11645</v>
      </c>
      <c r="AG21138" s="831" t="s">
        <v>2674</v>
      </c>
      <c r="AH21138" s="831" t="s">
        <v>103</v>
      </c>
      <c r="AI21138" s="831">
        <v>0</v>
      </c>
      <c r="AJ21138" s="835">
        <v>41882</v>
      </c>
      <c r="AK21138" s="831">
        <v>308754205</v>
      </c>
    </row>
    <row r="21139" spans="32:37">
      <c r="AF21139" s="831" t="s">
        <v>11646</v>
      </c>
      <c r="AG21139" s="831" t="s">
        <v>2674</v>
      </c>
      <c r="AH21139" s="831" t="s">
        <v>182</v>
      </c>
      <c r="AI21139" s="831">
        <v>0</v>
      </c>
      <c r="AJ21139" s="835">
        <v>41882</v>
      </c>
      <c r="AK21139" s="831">
        <v>72923285.376000002</v>
      </c>
    </row>
    <row r="21140" spans="32:37">
      <c r="AF21140" s="831" t="s">
        <v>11647</v>
      </c>
      <c r="AG21140" s="831" t="s">
        <v>2674</v>
      </c>
      <c r="AH21140" s="831" t="s">
        <v>6600</v>
      </c>
      <c r="AI21140" s="831">
        <v>0</v>
      </c>
      <c r="AJ21140" s="835">
        <v>41882</v>
      </c>
      <c r="AK21140" s="831">
        <v>33565597.724000007</v>
      </c>
    </row>
    <row r="21141" spans="32:37">
      <c r="AF21141" s="831" t="s">
        <v>11648</v>
      </c>
      <c r="AG21141" s="831" t="s">
        <v>2674</v>
      </c>
      <c r="AH21141" s="831" t="s">
        <v>6602</v>
      </c>
      <c r="AI21141" s="831">
        <v>0</v>
      </c>
      <c r="AJ21141" s="835">
        <v>41882</v>
      </c>
      <c r="AK21141" s="831">
        <v>25500774.76800001</v>
      </c>
    </row>
    <row r="21142" spans="32:37">
      <c r="AF21142" s="831" t="s">
        <v>11649</v>
      </c>
      <c r="AG21142" s="831" t="s">
        <v>2674</v>
      </c>
      <c r="AH21142" s="831" t="s">
        <v>650</v>
      </c>
      <c r="AI21142" s="831">
        <v>0</v>
      </c>
      <c r="AJ21142" s="835">
        <v>41882</v>
      </c>
      <c r="AK21142" s="831">
        <v>265538072.42453846</v>
      </c>
    </row>
    <row r="21143" spans="32:37">
      <c r="AF21143" s="831" t="s">
        <v>11650</v>
      </c>
      <c r="AG21143" s="831" t="s">
        <v>2674</v>
      </c>
      <c r="AH21143" s="831" t="s">
        <v>655</v>
      </c>
      <c r="AI21143" s="831">
        <v>0</v>
      </c>
      <c r="AJ21143" s="835">
        <v>41882</v>
      </c>
      <c r="AK21143" s="831">
        <v>1018935.1089999999</v>
      </c>
    </row>
    <row r="21144" spans="32:37">
      <c r="AF21144" s="831" t="s">
        <v>11651</v>
      </c>
      <c r="AG21144" s="831" t="s">
        <v>2674</v>
      </c>
      <c r="AH21144" s="831" t="s">
        <v>546</v>
      </c>
      <c r="AI21144" s="831">
        <v>0</v>
      </c>
      <c r="AJ21144" s="835">
        <v>41912</v>
      </c>
      <c r="AK21144" s="831">
        <v>775508043</v>
      </c>
    </row>
    <row r="21145" spans="32:37">
      <c r="AF21145" s="831" t="s">
        <v>11652</v>
      </c>
      <c r="AG21145" s="831" t="s">
        <v>2674</v>
      </c>
      <c r="AH21145" s="831" t="s">
        <v>370</v>
      </c>
      <c r="AI21145" s="831">
        <v>0</v>
      </c>
      <c r="AJ21145" s="835">
        <v>41912</v>
      </c>
      <c r="AK21145" s="831">
        <v>955738548</v>
      </c>
    </row>
    <row r="21146" spans="32:37">
      <c r="AF21146" s="831" t="s">
        <v>11653</v>
      </c>
      <c r="AG21146" s="831" t="s">
        <v>2674</v>
      </c>
      <c r="AH21146" s="831" t="s">
        <v>126</v>
      </c>
      <c r="AI21146" s="831">
        <v>0</v>
      </c>
      <c r="AJ21146" s="835">
        <v>41912</v>
      </c>
      <c r="AK21146" s="831">
        <v>145830225</v>
      </c>
    </row>
    <row r="21147" spans="32:37">
      <c r="AF21147" s="831" t="s">
        <v>11654</v>
      </c>
      <c r="AG21147" s="831" t="s">
        <v>2674</v>
      </c>
      <c r="AH21147" s="831" t="s">
        <v>268</v>
      </c>
      <c r="AI21147" s="831">
        <v>0</v>
      </c>
      <c r="AJ21147" s="835">
        <v>41912</v>
      </c>
      <c r="AK21147" s="831">
        <v>29012035</v>
      </c>
    </row>
    <row r="21148" spans="32:37">
      <c r="AF21148" s="831" t="s">
        <v>11655</v>
      </c>
      <c r="AG21148" s="831" t="s">
        <v>2674</v>
      </c>
      <c r="AH21148" s="831" t="s">
        <v>547</v>
      </c>
      <c r="AI21148" s="831">
        <v>0</v>
      </c>
      <c r="AJ21148" s="835">
        <v>41912</v>
      </c>
      <c r="AK21148" s="831">
        <v>777719977</v>
      </c>
    </row>
    <row r="21149" spans="32:37">
      <c r="AF21149" s="831" t="s">
        <v>11656</v>
      </c>
      <c r="AG21149" s="831" t="s">
        <v>2674</v>
      </c>
      <c r="AH21149" s="831" t="s">
        <v>548</v>
      </c>
      <c r="AI21149" s="831">
        <v>0</v>
      </c>
      <c r="AJ21149" s="835">
        <v>41912</v>
      </c>
      <c r="AK21149" s="831">
        <v>117105496</v>
      </c>
    </row>
    <row r="21150" spans="32:37">
      <c r="AF21150" s="831" t="s">
        <v>11657</v>
      </c>
      <c r="AG21150" s="831" t="s">
        <v>2674</v>
      </c>
      <c r="AH21150" s="831" t="s">
        <v>549</v>
      </c>
      <c r="AI21150" s="831">
        <v>0</v>
      </c>
      <c r="AJ21150" s="835">
        <v>41912</v>
      </c>
      <c r="AK21150" s="831">
        <v>563989028</v>
      </c>
    </row>
    <row r="21151" spans="32:37">
      <c r="AF21151" s="831" t="s">
        <v>11658</v>
      </c>
      <c r="AG21151" s="831" t="s">
        <v>2674</v>
      </c>
      <c r="AH21151" s="831" t="s">
        <v>192</v>
      </c>
      <c r="AI21151" s="831">
        <v>0</v>
      </c>
      <c r="AJ21151" s="835">
        <v>41912</v>
      </c>
      <c r="AK21151" s="831">
        <v>-11006364</v>
      </c>
    </row>
    <row r="21152" spans="32:37">
      <c r="AF21152" s="831" t="s">
        <v>11659</v>
      </c>
      <c r="AG21152" s="831" t="s">
        <v>2674</v>
      </c>
      <c r="AH21152" s="831" t="s">
        <v>558</v>
      </c>
      <c r="AI21152" s="831">
        <v>0</v>
      </c>
      <c r="AJ21152" s="835">
        <v>41912</v>
      </c>
      <c r="AK21152" s="831">
        <v>809908323</v>
      </c>
    </row>
    <row r="21153" spans="32:37">
      <c r="AF21153" s="831" t="s">
        <v>11660</v>
      </c>
      <c r="AG21153" s="831" t="s">
        <v>2674</v>
      </c>
      <c r="AH21153" s="831" t="s">
        <v>65</v>
      </c>
      <c r="AI21153" s="831">
        <v>0</v>
      </c>
      <c r="AJ21153" s="835">
        <v>41912</v>
      </c>
      <c r="AK21153" s="831">
        <v>126643298</v>
      </c>
    </row>
    <row r="21154" spans="32:37">
      <c r="AF21154" s="831" t="s">
        <v>11661</v>
      </c>
      <c r="AG21154" s="831" t="s">
        <v>2674</v>
      </c>
      <c r="AH21154" s="831" t="s">
        <v>89</v>
      </c>
      <c r="AI21154" s="831">
        <v>0</v>
      </c>
      <c r="AJ21154" s="835">
        <v>41912</v>
      </c>
      <c r="AK21154" s="831">
        <v>159987</v>
      </c>
    </row>
    <row r="21155" spans="32:37">
      <c r="AF21155" s="831" t="s">
        <v>11662</v>
      </c>
      <c r="AG21155" s="831" t="s">
        <v>2674</v>
      </c>
      <c r="AH21155" s="831" t="s">
        <v>557</v>
      </c>
      <c r="AI21155" s="831">
        <v>0</v>
      </c>
      <c r="AJ21155" s="835">
        <v>41912</v>
      </c>
      <c r="AK21155" s="831">
        <v>180249</v>
      </c>
    </row>
    <row r="21156" spans="32:37">
      <c r="AF21156" s="831" t="s">
        <v>11663</v>
      </c>
      <c r="AG21156" s="831" t="s">
        <v>2674</v>
      </c>
      <c r="AH21156" s="831" t="s">
        <v>29</v>
      </c>
      <c r="AI21156" s="831">
        <v>0</v>
      </c>
      <c r="AJ21156" s="835">
        <v>41912</v>
      </c>
      <c r="AK21156" s="831">
        <v>2332375</v>
      </c>
    </row>
    <row r="21157" spans="32:37">
      <c r="AF21157" s="831" t="s">
        <v>11664</v>
      </c>
      <c r="AG21157" s="831" t="s">
        <v>2674</v>
      </c>
      <c r="AH21157" s="831" t="s">
        <v>2688</v>
      </c>
      <c r="AI21157" s="831">
        <v>0</v>
      </c>
      <c r="AJ21157" s="835">
        <v>41912</v>
      </c>
      <c r="AK21157" s="831">
        <v>4758526.78</v>
      </c>
    </row>
    <row r="21158" spans="32:37">
      <c r="AF21158" s="831" t="s">
        <v>11665</v>
      </c>
      <c r="AG21158" s="831" t="s">
        <v>2674</v>
      </c>
      <c r="AH21158" s="831" t="s">
        <v>556</v>
      </c>
      <c r="AI21158" s="831">
        <v>0</v>
      </c>
      <c r="AJ21158" s="835">
        <v>41912</v>
      </c>
      <c r="AK21158" s="831">
        <v>6520953</v>
      </c>
    </row>
    <row r="21159" spans="32:37">
      <c r="AF21159" s="831" t="s">
        <v>11666</v>
      </c>
      <c r="AG21159" s="831" t="s">
        <v>2674</v>
      </c>
      <c r="AH21159" s="831" t="s">
        <v>555</v>
      </c>
      <c r="AI21159" s="831">
        <v>0</v>
      </c>
      <c r="AJ21159" s="835">
        <v>41912</v>
      </c>
      <c r="AK21159" s="831">
        <v>528140339</v>
      </c>
    </row>
    <row r="21160" spans="32:37">
      <c r="AF21160" s="831" t="s">
        <v>11667</v>
      </c>
      <c r="AG21160" s="831" t="s">
        <v>2674</v>
      </c>
      <c r="AH21160" s="831" t="s">
        <v>554</v>
      </c>
      <c r="AI21160" s="831">
        <v>0</v>
      </c>
      <c r="AJ21160" s="835">
        <v>41912</v>
      </c>
      <c r="AK21160" s="831">
        <v>536741460</v>
      </c>
    </row>
    <row r="21161" spans="32:37">
      <c r="AF21161" s="831" t="s">
        <v>11668</v>
      </c>
      <c r="AG21161" s="831" t="s">
        <v>2674</v>
      </c>
      <c r="AH21161" s="831" t="s">
        <v>553</v>
      </c>
      <c r="AI21161" s="831">
        <v>0</v>
      </c>
      <c r="AJ21161" s="835">
        <v>41912</v>
      </c>
      <c r="AK21161" s="831">
        <v>0</v>
      </c>
    </row>
    <row r="21162" spans="32:37">
      <c r="AF21162" s="831" t="s">
        <v>11669</v>
      </c>
      <c r="AG21162" s="831" t="s">
        <v>2674</v>
      </c>
      <c r="AH21162" s="831" t="s">
        <v>552</v>
      </c>
      <c r="AI21162" s="831">
        <v>0</v>
      </c>
      <c r="AJ21162" s="835">
        <v>41912</v>
      </c>
      <c r="AK21162" s="831">
        <v>0</v>
      </c>
    </row>
    <row r="21163" spans="32:37">
      <c r="AF21163" s="831" t="s">
        <v>11670</v>
      </c>
      <c r="AG21163" s="831" t="s">
        <v>2674</v>
      </c>
      <c r="AH21163" s="831" t="s">
        <v>551</v>
      </c>
      <c r="AI21163" s="831">
        <v>0</v>
      </c>
      <c r="AJ21163" s="835">
        <v>41912</v>
      </c>
      <c r="AK21163" s="831">
        <v>1612094</v>
      </c>
    </row>
    <row r="21164" spans="32:37">
      <c r="AF21164" s="831" t="s">
        <v>11671</v>
      </c>
      <c r="AG21164" s="831" t="s">
        <v>2674</v>
      </c>
      <c r="AH21164" s="831" t="s">
        <v>550</v>
      </c>
      <c r="AI21164" s="831">
        <v>0</v>
      </c>
      <c r="AJ21164" s="835">
        <v>41912</v>
      </c>
      <c r="AK21164" s="831">
        <v>141824046.03</v>
      </c>
    </row>
    <row r="21165" spans="32:37">
      <c r="AF21165" s="831" t="s">
        <v>11672</v>
      </c>
      <c r="AG21165" s="831" t="s">
        <v>2674</v>
      </c>
      <c r="AH21165" s="831" t="s">
        <v>562</v>
      </c>
      <c r="AI21165" s="831">
        <v>0</v>
      </c>
      <c r="AJ21165" s="835">
        <v>41912</v>
      </c>
      <c r="AK21165" s="831">
        <v>0.78325</v>
      </c>
    </row>
    <row r="21166" spans="32:37">
      <c r="AF21166" s="831" t="s">
        <v>11673</v>
      </c>
      <c r="AG21166" s="831" t="s">
        <v>2674</v>
      </c>
      <c r="AH21166" s="831" t="s">
        <v>2698</v>
      </c>
      <c r="AI21166" s="831">
        <v>0</v>
      </c>
      <c r="AJ21166" s="835">
        <v>41912</v>
      </c>
      <c r="AK21166" s="831">
        <v>0.7833</v>
      </c>
    </row>
    <row r="21167" spans="32:37">
      <c r="AF21167" s="831" t="s">
        <v>11674</v>
      </c>
      <c r="AG21167" s="831" t="s">
        <v>2674</v>
      </c>
      <c r="AH21167" s="831" t="s">
        <v>560</v>
      </c>
      <c r="AI21167" s="831">
        <v>0</v>
      </c>
      <c r="AJ21167" s="835">
        <v>41912</v>
      </c>
      <c r="AK21167" s="831">
        <v>0.78364444444444448</v>
      </c>
    </row>
    <row r="21168" spans="32:37">
      <c r="AF21168" s="831" t="s">
        <v>11675</v>
      </c>
      <c r="AG21168" s="831" t="s">
        <v>2674</v>
      </c>
      <c r="AH21168" s="831" t="s">
        <v>559</v>
      </c>
      <c r="AI21168" s="831">
        <v>0</v>
      </c>
      <c r="AJ21168" s="835">
        <v>41912</v>
      </c>
      <c r="AK21168" s="831">
        <v>0.78366250000000004</v>
      </c>
    </row>
    <row r="21169" spans="32:37">
      <c r="AF21169" s="831" t="s">
        <v>11676</v>
      </c>
      <c r="AG21169" s="831" t="s">
        <v>2674</v>
      </c>
      <c r="AH21169" s="831" t="s">
        <v>568</v>
      </c>
      <c r="AI21169" s="831">
        <v>0</v>
      </c>
      <c r="AJ21169" s="835">
        <v>41912</v>
      </c>
      <c r="AK21169" s="831">
        <v>671683974.07307696</v>
      </c>
    </row>
    <row r="21170" spans="32:37">
      <c r="AF21170" s="831" t="s">
        <v>11677</v>
      </c>
      <c r="AG21170" s="831" t="s">
        <v>2674</v>
      </c>
      <c r="AH21170" s="831" t="s">
        <v>569</v>
      </c>
      <c r="AI21170" s="831">
        <v>0</v>
      </c>
      <c r="AJ21170" s="835">
        <v>41912</v>
      </c>
      <c r="AK21170" s="831">
        <v>832078660.51176918</v>
      </c>
    </row>
    <row r="21171" spans="32:37">
      <c r="AF21171" s="831" t="s">
        <v>11678</v>
      </c>
      <c r="AG21171" s="831" t="s">
        <v>2674</v>
      </c>
      <c r="AH21171" s="831" t="s">
        <v>570</v>
      </c>
      <c r="AI21171" s="831">
        <v>0</v>
      </c>
      <c r="AJ21171" s="835">
        <v>41912</v>
      </c>
      <c r="AK21171" s="831">
        <v>127379907.52276923</v>
      </c>
    </row>
    <row r="21172" spans="32:37">
      <c r="AF21172" s="831" t="s">
        <v>11679</v>
      </c>
      <c r="AG21172" s="831" t="s">
        <v>2674</v>
      </c>
      <c r="AH21172" s="831" t="s">
        <v>571</v>
      </c>
      <c r="AI21172" s="831">
        <v>0</v>
      </c>
      <c r="AJ21172" s="835">
        <v>41912</v>
      </c>
      <c r="AK21172" s="831">
        <v>409242621.46846157</v>
      </c>
    </row>
    <row r="21173" spans="32:37">
      <c r="AF21173" s="831" t="s">
        <v>11680</v>
      </c>
      <c r="AG21173" s="831" t="s">
        <v>2674</v>
      </c>
      <c r="AH21173" s="831" t="s">
        <v>573</v>
      </c>
      <c r="AI21173" s="831">
        <v>0</v>
      </c>
      <c r="AJ21173" s="835">
        <v>41912</v>
      </c>
      <c r="AK21173" s="831">
        <v>865626907.3563</v>
      </c>
    </row>
    <row r="21174" spans="32:37">
      <c r="AF21174" s="831" t="s">
        <v>11681</v>
      </c>
      <c r="AG21174" s="831" t="s">
        <v>2674</v>
      </c>
      <c r="AH21174" s="831" t="s">
        <v>574</v>
      </c>
      <c r="AI21174" s="831">
        <v>0</v>
      </c>
      <c r="AJ21174" s="835">
        <v>41912</v>
      </c>
      <c r="AK21174" s="831">
        <v>698958196.60000002</v>
      </c>
    </row>
    <row r="21175" spans="32:37">
      <c r="AF21175" s="831" t="s">
        <v>11682</v>
      </c>
      <c r="AG21175" s="831" t="s">
        <v>2674</v>
      </c>
      <c r="AH21175" s="831" t="s">
        <v>575</v>
      </c>
      <c r="AI21175" s="831">
        <v>0</v>
      </c>
      <c r="AJ21175" s="835">
        <v>41912</v>
      </c>
      <c r="AK21175" s="831">
        <v>129535935.794</v>
      </c>
    </row>
    <row r="21176" spans="32:37">
      <c r="AF21176" s="831" t="s">
        <v>11683</v>
      </c>
      <c r="AG21176" s="831" t="s">
        <v>2674</v>
      </c>
      <c r="AH21176" s="831" t="s">
        <v>576</v>
      </c>
      <c r="AI21176" s="831">
        <v>0</v>
      </c>
      <c r="AJ21176" s="835">
        <v>41912</v>
      </c>
      <c r="AK21176" s="831">
        <v>427412859.60280001</v>
      </c>
    </row>
    <row r="21177" spans="32:37">
      <c r="AF21177" s="831" t="s">
        <v>11684</v>
      </c>
      <c r="AG21177" s="831" t="s">
        <v>2674</v>
      </c>
      <c r="AH21177" s="831" t="s">
        <v>572</v>
      </c>
      <c r="AI21177" s="831">
        <v>0</v>
      </c>
      <c r="AJ21177" s="835">
        <v>41912</v>
      </c>
      <c r="AK21177" s="831">
        <v>33781162.955999985</v>
      </c>
    </row>
    <row r="21178" spans="32:37">
      <c r="AF21178" s="831" t="s">
        <v>11685</v>
      </c>
      <c r="AG21178" s="831" t="s">
        <v>2674</v>
      </c>
      <c r="AH21178" s="831" t="s">
        <v>577</v>
      </c>
      <c r="AI21178" s="831">
        <v>0</v>
      </c>
      <c r="AJ21178" s="835">
        <v>41912</v>
      </c>
      <c r="AK21178" s="831">
        <v>164186629.76300001</v>
      </c>
    </row>
    <row r="21179" spans="32:37">
      <c r="AF21179" s="831" t="s">
        <v>11686</v>
      </c>
      <c r="AG21179" s="831" t="s">
        <v>2674</v>
      </c>
      <c r="AH21179" s="831" t="s">
        <v>3042</v>
      </c>
      <c r="AI21179" s="831">
        <v>0</v>
      </c>
      <c r="AJ21179" s="835">
        <v>41912</v>
      </c>
      <c r="AK21179" s="831">
        <v>-47764358.527000003</v>
      </c>
    </row>
    <row r="21180" spans="32:37">
      <c r="AF21180" s="831" t="s">
        <v>11687</v>
      </c>
      <c r="AG21180" s="831" t="s">
        <v>2674</v>
      </c>
      <c r="AH21180" s="831" t="s">
        <v>3044</v>
      </c>
      <c r="AI21180" s="831">
        <v>0</v>
      </c>
      <c r="AJ21180" s="835">
        <v>41912</v>
      </c>
      <c r="AK21180" s="831">
        <v>-2027515.8899999997</v>
      </c>
    </row>
    <row r="21181" spans="32:37">
      <c r="AF21181" s="831" t="s">
        <v>11688</v>
      </c>
      <c r="AG21181" s="831" t="s">
        <v>2674</v>
      </c>
      <c r="AH21181" s="831" t="s">
        <v>580</v>
      </c>
      <c r="AI21181" s="831">
        <v>0</v>
      </c>
      <c r="AJ21181" s="835">
        <v>41912</v>
      </c>
      <c r="AK21181" s="831">
        <v>-75872333.307000011</v>
      </c>
    </row>
    <row r="21182" spans="32:37">
      <c r="AF21182" s="831" t="s">
        <v>11689</v>
      </c>
      <c r="AG21182" s="831" t="s">
        <v>2674</v>
      </c>
      <c r="AH21182" s="831" t="s">
        <v>581</v>
      </c>
      <c r="AI21182" s="831">
        <v>0</v>
      </c>
      <c r="AJ21182" s="835">
        <v>41912</v>
      </c>
      <c r="AK21182" s="831">
        <v>6304407.8940000003</v>
      </c>
    </row>
    <row r="21183" spans="32:37">
      <c r="AF21183" s="831" t="s">
        <v>11690</v>
      </c>
      <c r="AG21183" s="831" t="s">
        <v>2674</v>
      </c>
      <c r="AH21183" s="831" t="s">
        <v>105</v>
      </c>
      <c r="AI21183" s="831">
        <v>0</v>
      </c>
      <c r="AJ21183" s="835">
        <v>41912</v>
      </c>
      <c r="AK21183" s="831">
        <v>472452480</v>
      </c>
    </row>
    <row r="21184" spans="32:37">
      <c r="AF21184" s="831" t="s">
        <v>11691</v>
      </c>
      <c r="AG21184" s="831" t="s">
        <v>2674</v>
      </c>
      <c r="AH21184" s="831" t="s">
        <v>3049</v>
      </c>
      <c r="AI21184" s="831">
        <v>0</v>
      </c>
      <c r="AJ21184" s="835">
        <v>41912</v>
      </c>
      <c r="AK21184" s="831">
        <v>783051294</v>
      </c>
    </row>
    <row r="21185" spans="32:37">
      <c r="AF21185" s="831" t="s">
        <v>11692</v>
      </c>
      <c r="AG21185" s="831" t="s">
        <v>2674</v>
      </c>
      <c r="AH21185" s="831" t="s">
        <v>103</v>
      </c>
      <c r="AI21185" s="831">
        <v>0</v>
      </c>
      <c r="AJ21185" s="835">
        <v>41912</v>
      </c>
      <c r="AK21185" s="831">
        <v>310598814</v>
      </c>
    </row>
    <row r="21186" spans="32:37">
      <c r="AF21186" s="831" t="s">
        <v>11693</v>
      </c>
      <c r="AG21186" s="831" t="s">
        <v>2674</v>
      </c>
      <c r="AH21186" s="831" t="s">
        <v>182</v>
      </c>
      <c r="AI21186" s="831">
        <v>0</v>
      </c>
      <c r="AJ21186" s="835">
        <v>41912</v>
      </c>
      <c r="AK21186" s="831">
        <v>73471997.333333328</v>
      </c>
    </row>
    <row r="21187" spans="32:37">
      <c r="AF21187" s="831" t="s">
        <v>11694</v>
      </c>
      <c r="AG21187" s="831" t="s">
        <v>2674</v>
      </c>
      <c r="AH21187" s="831" t="s">
        <v>6600</v>
      </c>
      <c r="AI21187" s="831">
        <v>0</v>
      </c>
      <c r="AJ21187" s="835">
        <v>41912</v>
      </c>
      <c r="AK21187" s="831">
        <v>33781162.955999985</v>
      </c>
    </row>
    <row r="21188" spans="32:37">
      <c r="AF21188" s="831" t="s">
        <v>11695</v>
      </c>
      <c r="AG21188" s="831" t="s">
        <v>2674</v>
      </c>
      <c r="AH21188" s="831" t="s">
        <v>6602</v>
      </c>
      <c r="AI21188" s="831">
        <v>0</v>
      </c>
      <c r="AJ21188" s="835">
        <v>41912</v>
      </c>
      <c r="AK21188" s="831">
        <v>29012035</v>
      </c>
    </row>
    <row r="21189" spans="32:37">
      <c r="AF21189" s="831" t="s">
        <v>11696</v>
      </c>
      <c r="AG21189" s="831" t="s">
        <v>2674</v>
      </c>
      <c r="AH21189" s="831" t="s">
        <v>650</v>
      </c>
      <c r="AI21189" s="831">
        <v>0</v>
      </c>
      <c r="AJ21189" s="835">
        <v>41912</v>
      </c>
      <c r="AK21189" s="831">
        <v>273036122.95146155</v>
      </c>
    </row>
    <row r="21190" spans="32:37">
      <c r="AF21190" s="831" t="s">
        <v>11697</v>
      </c>
      <c r="AG21190" s="831" t="s">
        <v>2674</v>
      </c>
      <c r="AH21190" s="831" t="s">
        <v>655</v>
      </c>
      <c r="AI21190" s="831">
        <v>0</v>
      </c>
      <c r="AJ21190" s="835">
        <v>41912</v>
      </c>
      <c r="AK21190" s="831">
        <v>1341189</v>
      </c>
    </row>
    <row r="21191" spans="32:37">
      <c r="AF21191" s="831" t="s">
        <v>11698</v>
      </c>
      <c r="AG21191" s="831" t="s">
        <v>2674</v>
      </c>
      <c r="AH21191" s="831" t="s">
        <v>546</v>
      </c>
      <c r="AI21191" s="831">
        <v>0</v>
      </c>
      <c r="AJ21191" s="835">
        <v>41943</v>
      </c>
      <c r="AK21191" s="831">
        <v>788185615</v>
      </c>
    </row>
    <row r="21192" spans="32:37">
      <c r="AF21192" s="831" t="s">
        <v>11699</v>
      </c>
      <c r="AG21192" s="831" t="s">
        <v>2674</v>
      </c>
      <c r="AH21192" s="831" t="s">
        <v>370</v>
      </c>
      <c r="AI21192" s="831">
        <v>0</v>
      </c>
      <c r="AJ21192" s="835">
        <v>41943</v>
      </c>
      <c r="AK21192" s="831">
        <v>999911217</v>
      </c>
    </row>
    <row r="21193" spans="32:37">
      <c r="AF21193" s="831" t="s">
        <v>11700</v>
      </c>
      <c r="AG21193" s="831" t="s">
        <v>2674</v>
      </c>
      <c r="AH21193" s="831" t="s">
        <v>126</v>
      </c>
      <c r="AI21193" s="831">
        <v>0</v>
      </c>
      <c r="AJ21193" s="835">
        <v>41943</v>
      </c>
      <c r="AK21193" s="831">
        <v>149380039</v>
      </c>
    </row>
    <row r="21194" spans="32:37">
      <c r="AF21194" s="831" t="s">
        <v>11701</v>
      </c>
      <c r="AG21194" s="831" t="s">
        <v>2674</v>
      </c>
      <c r="AH21194" s="831" t="s">
        <v>268</v>
      </c>
      <c r="AI21194" s="831">
        <v>0</v>
      </c>
      <c r="AJ21194" s="835">
        <v>41943</v>
      </c>
      <c r="AK21194" s="831">
        <v>32657533</v>
      </c>
    </row>
    <row r="21195" spans="32:37">
      <c r="AF21195" s="831" t="s">
        <v>11702</v>
      </c>
      <c r="AG21195" s="831" t="s">
        <v>2674</v>
      </c>
      <c r="AH21195" s="831" t="s">
        <v>547</v>
      </c>
      <c r="AI21195" s="831">
        <v>0</v>
      </c>
      <c r="AJ21195" s="835">
        <v>41943</v>
      </c>
      <c r="AK21195" s="831">
        <v>777719977</v>
      </c>
    </row>
    <row r="21196" spans="32:37">
      <c r="AF21196" s="831" t="s">
        <v>11703</v>
      </c>
      <c r="AG21196" s="831" t="s">
        <v>2674</v>
      </c>
      <c r="AH21196" s="831" t="s">
        <v>548</v>
      </c>
      <c r="AI21196" s="831">
        <v>0</v>
      </c>
      <c r="AJ21196" s="835">
        <v>41943</v>
      </c>
      <c r="AK21196" s="831">
        <v>117105496</v>
      </c>
    </row>
    <row r="21197" spans="32:37">
      <c r="AF21197" s="831" t="s">
        <v>11704</v>
      </c>
      <c r="AG21197" s="831" t="s">
        <v>2674</v>
      </c>
      <c r="AH21197" s="831" t="s">
        <v>549</v>
      </c>
      <c r="AI21197" s="831">
        <v>0</v>
      </c>
      <c r="AJ21197" s="835">
        <v>41943</v>
      </c>
      <c r="AK21197" s="831">
        <v>580271359</v>
      </c>
    </row>
    <row r="21198" spans="32:37">
      <c r="AF21198" s="831" t="s">
        <v>11705</v>
      </c>
      <c r="AG21198" s="831" t="s">
        <v>2674</v>
      </c>
      <c r="AH21198" s="831" t="s">
        <v>192</v>
      </c>
      <c r="AI21198" s="831">
        <v>0</v>
      </c>
      <c r="AJ21198" s="835">
        <v>41943</v>
      </c>
      <c r="AK21198" s="831">
        <v>-11001950</v>
      </c>
    </row>
    <row r="21199" spans="32:37">
      <c r="AF21199" s="831" t="s">
        <v>11706</v>
      </c>
      <c r="AG21199" s="831" t="s">
        <v>2674</v>
      </c>
      <c r="AH21199" s="831" t="s">
        <v>558</v>
      </c>
      <c r="AI21199" s="831">
        <v>0</v>
      </c>
      <c r="AJ21199" s="835">
        <v>41943</v>
      </c>
      <c r="AK21199" s="831">
        <v>850531537</v>
      </c>
    </row>
    <row r="21200" spans="32:37">
      <c r="AF21200" s="831" t="s">
        <v>11707</v>
      </c>
      <c r="AG21200" s="831" t="s">
        <v>2674</v>
      </c>
      <c r="AH21200" s="831" t="s">
        <v>65</v>
      </c>
      <c r="AI21200" s="831">
        <v>0</v>
      </c>
      <c r="AJ21200" s="835">
        <v>41943</v>
      </c>
      <c r="AK21200" s="831">
        <v>144545337</v>
      </c>
    </row>
    <row r="21201" spans="32:37">
      <c r="AF21201" s="831" t="s">
        <v>11708</v>
      </c>
      <c r="AG21201" s="831" t="s">
        <v>2674</v>
      </c>
      <c r="AH21201" s="831" t="s">
        <v>89</v>
      </c>
      <c r="AI21201" s="831">
        <v>0</v>
      </c>
      <c r="AJ21201" s="835">
        <v>41943</v>
      </c>
      <c r="AK21201" s="831">
        <v>159189</v>
      </c>
    </row>
    <row r="21202" spans="32:37">
      <c r="AF21202" s="831" t="s">
        <v>11709</v>
      </c>
      <c r="AG21202" s="831" t="s">
        <v>2674</v>
      </c>
      <c r="AH21202" s="831" t="s">
        <v>557</v>
      </c>
      <c r="AI21202" s="831">
        <v>0</v>
      </c>
      <c r="AJ21202" s="835">
        <v>41943</v>
      </c>
      <c r="AK21202" s="831">
        <v>176925</v>
      </c>
    </row>
    <row r="21203" spans="32:37">
      <c r="AF21203" s="831" t="s">
        <v>11710</v>
      </c>
      <c r="AG21203" s="831" t="s">
        <v>2674</v>
      </c>
      <c r="AH21203" s="831" t="s">
        <v>29</v>
      </c>
      <c r="AI21203" s="831">
        <v>0</v>
      </c>
      <c r="AJ21203" s="835">
        <v>41943</v>
      </c>
      <c r="AK21203" s="831">
        <v>4443738</v>
      </c>
    </row>
    <row r="21204" spans="32:37">
      <c r="AF21204" s="831" t="s">
        <v>11711</v>
      </c>
      <c r="AG21204" s="831" t="s">
        <v>2674</v>
      </c>
      <c r="AH21204" s="831" t="s">
        <v>2688</v>
      </c>
      <c r="AI21204" s="831">
        <v>0</v>
      </c>
      <c r="AJ21204" s="835">
        <v>41943</v>
      </c>
      <c r="AK21204" s="831">
        <v>4878770.040000001</v>
      </c>
    </row>
    <row r="21205" spans="32:37">
      <c r="AF21205" s="831" t="s">
        <v>11712</v>
      </c>
      <c r="AG21205" s="831" t="s">
        <v>2674</v>
      </c>
      <c r="AH21205" s="831" t="s">
        <v>556</v>
      </c>
      <c r="AI21205" s="831">
        <v>0</v>
      </c>
      <c r="AJ21205" s="835">
        <v>41943</v>
      </c>
      <c r="AK21205" s="831">
        <v>8151347</v>
      </c>
    </row>
    <row r="21206" spans="32:37">
      <c r="AF21206" s="831" t="s">
        <v>11713</v>
      </c>
      <c r="AG21206" s="831" t="s">
        <v>2674</v>
      </c>
      <c r="AH21206" s="831" t="s">
        <v>555</v>
      </c>
      <c r="AI21206" s="831">
        <v>0</v>
      </c>
      <c r="AJ21206" s="835">
        <v>41943</v>
      </c>
      <c r="AK21206" s="831">
        <v>560953709</v>
      </c>
    </row>
    <row r="21207" spans="32:37">
      <c r="AF21207" s="831" t="s">
        <v>11714</v>
      </c>
      <c r="AG21207" s="831" t="s">
        <v>2674</v>
      </c>
      <c r="AH21207" s="831" t="s">
        <v>554</v>
      </c>
      <c r="AI21207" s="831">
        <v>0</v>
      </c>
      <c r="AJ21207" s="835">
        <v>41943</v>
      </c>
      <c r="AK21207" s="831">
        <v>571019140</v>
      </c>
    </row>
    <row r="21208" spans="32:37">
      <c r="AF21208" s="831" t="s">
        <v>11715</v>
      </c>
      <c r="AG21208" s="831" t="s">
        <v>2674</v>
      </c>
      <c r="AH21208" s="831" t="s">
        <v>553</v>
      </c>
      <c r="AI21208" s="831">
        <v>0</v>
      </c>
      <c r="AJ21208" s="835">
        <v>41943</v>
      </c>
      <c r="AK21208" s="831">
        <v>0</v>
      </c>
    </row>
    <row r="21209" spans="32:37">
      <c r="AF21209" s="831" t="s">
        <v>11716</v>
      </c>
      <c r="AG21209" s="831" t="s">
        <v>2674</v>
      </c>
      <c r="AH21209" s="831" t="s">
        <v>552</v>
      </c>
      <c r="AI21209" s="831">
        <v>0</v>
      </c>
      <c r="AJ21209" s="835">
        <v>41943</v>
      </c>
      <c r="AK21209" s="831">
        <v>0</v>
      </c>
    </row>
    <row r="21210" spans="32:37">
      <c r="AF21210" s="831" t="s">
        <v>11717</v>
      </c>
      <c r="AG21210" s="831" t="s">
        <v>2674</v>
      </c>
      <c r="AH21210" s="831" t="s">
        <v>551</v>
      </c>
      <c r="AI21210" s="831">
        <v>0</v>
      </c>
      <c r="AJ21210" s="835">
        <v>41943</v>
      </c>
      <c r="AK21210" s="831">
        <v>1179234</v>
      </c>
    </row>
    <row r="21211" spans="32:37">
      <c r="AF21211" s="831" t="s">
        <v>11718</v>
      </c>
      <c r="AG21211" s="831" t="s">
        <v>2674</v>
      </c>
      <c r="AH21211" s="831" t="s">
        <v>550</v>
      </c>
      <c r="AI21211" s="831">
        <v>0</v>
      </c>
      <c r="AJ21211" s="835">
        <v>41943</v>
      </c>
      <c r="AK21211" s="831">
        <v>145830225</v>
      </c>
    </row>
    <row r="21212" spans="32:37">
      <c r="AF21212" s="831" t="s">
        <v>11719</v>
      </c>
      <c r="AG21212" s="831" t="s">
        <v>2674</v>
      </c>
      <c r="AH21212" s="831" t="s">
        <v>562</v>
      </c>
      <c r="AI21212" s="831">
        <v>0</v>
      </c>
      <c r="AJ21212" s="835">
        <v>41943</v>
      </c>
      <c r="AK21212" s="831">
        <v>0.78380000000000005</v>
      </c>
    </row>
    <row r="21213" spans="32:37">
      <c r="AF21213" s="831" t="s">
        <v>11720</v>
      </c>
      <c r="AG21213" s="831" t="s">
        <v>2674</v>
      </c>
      <c r="AH21213" s="831" t="s">
        <v>2698</v>
      </c>
      <c r="AI21213" s="831">
        <v>0</v>
      </c>
      <c r="AJ21213" s="835">
        <v>41943</v>
      </c>
      <c r="AK21213" s="831">
        <v>0.78325</v>
      </c>
    </row>
    <row r="21214" spans="32:37">
      <c r="AF21214" s="831" t="s">
        <v>11721</v>
      </c>
      <c r="AG21214" s="831" t="s">
        <v>2674</v>
      </c>
      <c r="AH21214" s="831" t="s">
        <v>560</v>
      </c>
      <c r="AI21214" s="831">
        <v>0</v>
      </c>
      <c r="AJ21214" s="835">
        <v>41943</v>
      </c>
      <c r="AK21214" s="831">
        <v>0.78366000000000002</v>
      </c>
    </row>
    <row r="21215" spans="32:37">
      <c r="AF21215" s="831" t="s">
        <v>11722</v>
      </c>
      <c r="AG21215" s="831" t="s">
        <v>2674</v>
      </c>
      <c r="AH21215" s="831" t="s">
        <v>559</v>
      </c>
      <c r="AI21215" s="831">
        <v>0</v>
      </c>
      <c r="AJ21215" s="835">
        <v>41943</v>
      </c>
      <c r="AK21215" s="831">
        <v>0.78364999999999985</v>
      </c>
    </row>
    <row r="21216" spans="32:37">
      <c r="AF21216" s="831" t="s">
        <v>11723</v>
      </c>
      <c r="AG21216" s="831" t="s">
        <v>2674</v>
      </c>
      <c r="AH21216" s="831" t="s">
        <v>568</v>
      </c>
      <c r="AI21216" s="831">
        <v>0</v>
      </c>
      <c r="AJ21216" s="835">
        <v>41943</v>
      </c>
      <c r="AK21216" s="831">
        <v>688929865.38076925</v>
      </c>
    </row>
    <row r="21217" spans="32:37">
      <c r="AF21217" s="831" t="s">
        <v>11724</v>
      </c>
      <c r="AG21217" s="831" t="s">
        <v>2674</v>
      </c>
      <c r="AH21217" s="831" t="s">
        <v>569</v>
      </c>
      <c r="AI21217" s="831">
        <v>0</v>
      </c>
      <c r="AJ21217" s="835">
        <v>41943</v>
      </c>
      <c r="AK21217" s="831">
        <v>855702939.81946158</v>
      </c>
    </row>
    <row r="21218" spans="32:37">
      <c r="AF21218" s="831" t="s">
        <v>11725</v>
      </c>
      <c r="AG21218" s="831" t="s">
        <v>2674</v>
      </c>
      <c r="AH21218" s="831" t="s">
        <v>570</v>
      </c>
      <c r="AI21218" s="831">
        <v>0</v>
      </c>
      <c r="AJ21218" s="835">
        <v>41943</v>
      </c>
      <c r="AK21218" s="831">
        <v>129857553.83046153</v>
      </c>
    </row>
    <row r="21219" spans="32:37">
      <c r="AF21219" s="831" t="s">
        <v>11726</v>
      </c>
      <c r="AG21219" s="831" t="s">
        <v>2674</v>
      </c>
      <c r="AH21219" s="831" t="s">
        <v>571</v>
      </c>
      <c r="AI21219" s="831">
        <v>0</v>
      </c>
      <c r="AJ21219" s="835">
        <v>41943</v>
      </c>
      <c r="AK21219" s="831">
        <v>421465171.16076922</v>
      </c>
    </row>
    <row r="21220" spans="32:37">
      <c r="AF21220" s="831" t="s">
        <v>11727</v>
      </c>
      <c r="AG21220" s="831" t="s">
        <v>2674</v>
      </c>
      <c r="AH21220" s="831" t="s">
        <v>573</v>
      </c>
      <c r="AI21220" s="831">
        <v>0</v>
      </c>
      <c r="AJ21220" s="835">
        <v>41943</v>
      </c>
      <c r="AK21220" s="831">
        <v>877834571.86936367</v>
      </c>
    </row>
    <row r="21221" spans="32:37">
      <c r="AF21221" s="831" t="s">
        <v>11728</v>
      </c>
      <c r="AG21221" s="831" t="s">
        <v>2674</v>
      </c>
      <c r="AH21221" s="831" t="s">
        <v>574</v>
      </c>
      <c r="AI21221" s="831">
        <v>0</v>
      </c>
      <c r="AJ21221" s="835">
        <v>41943</v>
      </c>
      <c r="AK21221" s="831">
        <v>707069780.09090912</v>
      </c>
    </row>
    <row r="21222" spans="32:37">
      <c r="AF21222" s="831" t="s">
        <v>11729</v>
      </c>
      <c r="AG21222" s="831" t="s">
        <v>2674</v>
      </c>
      <c r="AH21222" s="831" t="s">
        <v>575</v>
      </c>
      <c r="AI21222" s="831">
        <v>0</v>
      </c>
      <c r="AJ21222" s="835">
        <v>41943</v>
      </c>
      <c r="AK21222" s="831">
        <v>131339945.17636365</v>
      </c>
    </row>
    <row r="21223" spans="32:37">
      <c r="AF21223" s="831" t="s">
        <v>11730</v>
      </c>
      <c r="AG21223" s="831" t="s">
        <v>2674</v>
      </c>
      <c r="AH21223" s="831" t="s">
        <v>576</v>
      </c>
      <c r="AI21223" s="831">
        <v>0</v>
      </c>
      <c r="AJ21223" s="835">
        <v>41943</v>
      </c>
      <c r="AK21223" s="831">
        <v>433816282.72981817</v>
      </c>
    </row>
    <row r="21224" spans="32:37">
      <c r="AF21224" s="831" t="s">
        <v>11731</v>
      </c>
      <c r="AG21224" s="831" t="s">
        <v>2674</v>
      </c>
      <c r="AH21224" s="831" t="s">
        <v>572</v>
      </c>
      <c r="AI21224" s="831">
        <v>0</v>
      </c>
      <c r="AJ21224" s="835">
        <v>41943</v>
      </c>
      <c r="AK21224" s="831">
        <v>34306433.956</v>
      </c>
    </row>
    <row r="21225" spans="32:37">
      <c r="AF21225" s="831" t="s">
        <v>11732</v>
      </c>
      <c r="AG21225" s="831" t="s">
        <v>2674</v>
      </c>
      <c r="AH21225" s="831" t="s">
        <v>577</v>
      </c>
      <c r="AI21225" s="831">
        <v>0</v>
      </c>
      <c r="AJ21225" s="835">
        <v>41943</v>
      </c>
      <c r="AK21225" s="831">
        <v>169874551.76300001</v>
      </c>
    </row>
    <row r="21226" spans="32:37">
      <c r="AF21226" s="831" t="s">
        <v>11733</v>
      </c>
      <c r="AG21226" s="831" t="s">
        <v>2674</v>
      </c>
      <c r="AH21226" s="831" t="s">
        <v>3042</v>
      </c>
      <c r="AI21226" s="831">
        <v>0</v>
      </c>
      <c r="AJ21226" s="835">
        <v>41943</v>
      </c>
      <c r="AK21226" s="831">
        <v>-49231778.527000003</v>
      </c>
    </row>
    <row r="21227" spans="32:37">
      <c r="AF21227" s="831" t="s">
        <v>11734</v>
      </c>
      <c r="AG21227" s="831" t="s">
        <v>2674</v>
      </c>
      <c r="AH21227" s="831" t="s">
        <v>3044</v>
      </c>
      <c r="AI21227" s="831">
        <v>0</v>
      </c>
      <c r="AJ21227" s="835">
        <v>41943</v>
      </c>
      <c r="AK21227" s="831">
        <v>-1676338.8899999997</v>
      </c>
    </row>
    <row r="21228" spans="32:37">
      <c r="AF21228" s="831" t="s">
        <v>11735</v>
      </c>
      <c r="AG21228" s="831" t="s">
        <v>2674</v>
      </c>
      <c r="AH21228" s="831" t="s">
        <v>580</v>
      </c>
      <c r="AI21228" s="831">
        <v>0</v>
      </c>
      <c r="AJ21228" s="835">
        <v>41943</v>
      </c>
      <c r="AK21228" s="831">
        <v>-77780641.306999996</v>
      </c>
    </row>
    <row r="21229" spans="32:37">
      <c r="AF21229" s="831" t="s">
        <v>11736</v>
      </c>
      <c r="AG21229" s="831" t="s">
        <v>2674</v>
      </c>
      <c r="AH21229" s="831" t="s">
        <v>581</v>
      </c>
      <c r="AI21229" s="831">
        <v>0</v>
      </c>
      <c r="AJ21229" s="835">
        <v>41943</v>
      </c>
      <c r="AK21229" s="831">
        <v>4385512.8940000003</v>
      </c>
    </row>
    <row r="21230" spans="32:37">
      <c r="AF21230" s="831" t="s">
        <v>11737</v>
      </c>
      <c r="AG21230" s="831" t="s">
        <v>2674</v>
      </c>
      <c r="AH21230" s="831" t="s">
        <v>105</v>
      </c>
      <c r="AI21230" s="831">
        <v>0</v>
      </c>
      <c r="AJ21230" s="835">
        <v>41943</v>
      </c>
      <c r="AK21230" s="831">
        <v>497850514</v>
      </c>
    </row>
    <row r="21231" spans="32:37">
      <c r="AF21231" s="831" t="s">
        <v>11738</v>
      </c>
      <c r="AG21231" s="831" t="s">
        <v>2674</v>
      </c>
      <c r="AH21231" s="831" t="s">
        <v>3049</v>
      </c>
      <c r="AI21231" s="831">
        <v>0</v>
      </c>
      <c r="AJ21231" s="835">
        <v>41943</v>
      </c>
      <c r="AK21231" s="831">
        <v>819726974</v>
      </c>
    </row>
    <row r="21232" spans="32:37">
      <c r="AF21232" s="831" t="s">
        <v>11739</v>
      </c>
      <c r="AG21232" s="831" t="s">
        <v>2674</v>
      </c>
      <c r="AH21232" s="831" t="s">
        <v>103</v>
      </c>
      <c r="AI21232" s="831">
        <v>0</v>
      </c>
      <c r="AJ21232" s="835">
        <v>41943</v>
      </c>
      <c r="AK21232" s="831">
        <v>321876460</v>
      </c>
    </row>
    <row r="21233" spans="32:37">
      <c r="AF21233" s="831" t="s">
        <v>11740</v>
      </c>
      <c r="AG21233" s="831" t="s">
        <v>2674</v>
      </c>
      <c r="AH21233" s="831" t="s">
        <v>182</v>
      </c>
      <c r="AI21233" s="831">
        <v>0</v>
      </c>
      <c r="AJ21233" s="835">
        <v>41943</v>
      </c>
      <c r="AK21233" s="831">
        <v>74624670</v>
      </c>
    </row>
    <row r="21234" spans="32:37">
      <c r="AF21234" s="831" t="s">
        <v>11741</v>
      </c>
      <c r="AG21234" s="831" t="s">
        <v>2674</v>
      </c>
      <c r="AH21234" s="831" t="s">
        <v>6600</v>
      </c>
      <c r="AI21234" s="831">
        <v>0</v>
      </c>
      <c r="AJ21234" s="835">
        <v>41943</v>
      </c>
      <c r="AK21234" s="831">
        <v>34306433.956</v>
      </c>
    </row>
    <row r="21235" spans="32:37">
      <c r="AF21235" s="831" t="s">
        <v>11742</v>
      </c>
      <c r="AG21235" s="831" t="s">
        <v>2674</v>
      </c>
      <c r="AH21235" s="831" t="s">
        <v>6602</v>
      </c>
      <c r="AI21235" s="831">
        <v>0</v>
      </c>
      <c r="AJ21235" s="835">
        <v>41943</v>
      </c>
      <c r="AK21235" s="831">
        <v>32657533</v>
      </c>
    </row>
    <row r="21236" spans="32:37">
      <c r="AF21236" s="831" t="s">
        <v>11743</v>
      </c>
      <c r="AG21236" s="831" t="s">
        <v>2674</v>
      </c>
      <c r="AH21236" s="831" t="s">
        <v>650</v>
      </c>
      <c r="AI21236" s="831">
        <v>0</v>
      </c>
      <c r="AJ21236" s="835">
        <v>41943</v>
      </c>
      <c r="AK21236" s="831">
        <v>280875581.18223077</v>
      </c>
    </row>
    <row r="21237" spans="32:37">
      <c r="AF21237" s="831" t="s">
        <v>11744</v>
      </c>
      <c r="AG21237" s="831" t="s">
        <v>2674</v>
      </c>
      <c r="AH21237" s="831" t="s">
        <v>655</v>
      </c>
      <c r="AI21237" s="831">
        <v>0</v>
      </c>
      <c r="AJ21237" s="835">
        <v>41943</v>
      </c>
      <c r="AK21237" s="831">
        <v>824847</v>
      </c>
    </row>
    <row r="21238" spans="32:37">
      <c r="AF21238" s="831" t="s">
        <v>11745</v>
      </c>
      <c r="AG21238" s="831" t="s">
        <v>2674</v>
      </c>
      <c r="AH21238" s="831" t="s">
        <v>546</v>
      </c>
      <c r="AI21238" s="831">
        <v>0</v>
      </c>
      <c r="AJ21238" s="835">
        <v>41973</v>
      </c>
      <c r="AK21238" s="831">
        <v>802902472</v>
      </c>
    </row>
    <row r="21239" spans="32:37">
      <c r="AF21239" s="831" t="s">
        <v>11746</v>
      </c>
      <c r="AG21239" s="831" t="s">
        <v>2674</v>
      </c>
      <c r="AH21239" s="831" t="s">
        <v>370</v>
      </c>
      <c r="AI21239" s="831">
        <v>0</v>
      </c>
      <c r="AJ21239" s="835">
        <v>41973</v>
      </c>
      <c r="AK21239" s="831">
        <v>1000702434</v>
      </c>
    </row>
    <row r="21240" spans="32:37">
      <c r="AF21240" s="831" t="s">
        <v>11747</v>
      </c>
      <c r="AG21240" s="831" t="s">
        <v>2674</v>
      </c>
      <c r="AH21240" s="831" t="s">
        <v>126</v>
      </c>
      <c r="AI21240" s="831">
        <v>0</v>
      </c>
      <c r="AJ21240" s="835">
        <v>41973</v>
      </c>
      <c r="AK21240" s="831">
        <v>153599665</v>
      </c>
    </row>
    <row r="21241" spans="32:37">
      <c r="AF21241" s="831" t="s">
        <v>11748</v>
      </c>
      <c r="AG21241" s="831" t="s">
        <v>2674</v>
      </c>
      <c r="AH21241" s="831" t="s">
        <v>268</v>
      </c>
      <c r="AI21241" s="831">
        <v>0</v>
      </c>
      <c r="AJ21241" s="835">
        <v>41973</v>
      </c>
      <c r="AK21241" s="831">
        <v>35013602</v>
      </c>
    </row>
    <row r="21242" spans="32:37">
      <c r="AF21242" s="831" t="s">
        <v>11749</v>
      </c>
      <c r="AG21242" s="831" t="s">
        <v>2674</v>
      </c>
      <c r="AH21242" s="831" t="s">
        <v>547</v>
      </c>
      <c r="AI21242" s="831">
        <v>0</v>
      </c>
      <c r="AJ21242" s="835">
        <v>41973</v>
      </c>
      <c r="AK21242" s="831">
        <v>777719977</v>
      </c>
    </row>
    <row r="21243" spans="32:37">
      <c r="AF21243" s="831" t="s">
        <v>11750</v>
      </c>
      <c r="AG21243" s="831" t="s">
        <v>2674</v>
      </c>
      <c r="AH21243" s="831" t="s">
        <v>548</v>
      </c>
      <c r="AI21243" s="831">
        <v>0</v>
      </c>
      <c r="AJ21243" s="835">
        <v>41973</v>
      </c>
      <c r="AK21243" s="831">
        <v>117105496</v>
      </c>
    </row>
    <row r="21244" spans="32:37">
      <c r="AF21244" s="831" t="s">
        <v>11751</v>
      </c>
      <c r="AG21244" s="831" t="s">
        <v>2674</v>
      </c>
      <c r="AH21244" s="831" t="s">
        <v>549</v>
      </c>
      <c r="AI21244" s="831">
        <v>0</v>
      </c>
      <c r="AJ21244" s="835">
        <v>41973</v>
      </c>
      <c r="AK21244" s="831">
        <v>598049309.95000005</v>
      </c>
    </row>
    <row r="21245" spans="32:37">
      <c r="AF21245" s="831" t="s">
        <v>11752</v>
      </c>
      <c r="AG21245" s="831" t="s">
        <v>2674</v>
      </c>
      <c r="AH21245" s="831" t="s">
        <v>192</v>
      </c>
      <c r="AI21245" s="831">
        <v>0</v>
      </c>
      <c r="AJ21245" s="835">
        <v>41973</v>
      </c>
      <c r="AK21245" s="831">
        <v>-10647566</v>
      </c>
    </row>
    <row r="21246" spans="32:37">
      <c r="AF21246" s="831" t="s">
        <v>11753</v>
      </c>
      <c r="AG21246" s="831" t="s">
        <v>2674</v>
      </c>
      <c r="AH21246" s="831" t="s">
        <v>558</v>
      </c>
      <c r="AI21246" s="831">
        <v>0</v>
      </c>
      <c r="AJ21246" s="835">
        <v>41973</v>
      </c>
      <c r="AK21246" s="831">
        <v>847102769</v>
      </c>
    </row>
    <row r="21247" spans="32:37">
      <c r="AF21247" s="831" t="s">
        <v>11754</v>
      </c>
      <c r="AG21247" s="831" t="s">
        <v>2674</v>
      </c>
      <c r="AH21247" s="831" t="s">
        <v>65</v>
      </c>
      <c r="AI21247" s="831">
        <v>0</v>
      </c>
      <c r="AJ21247" s="835">
        <v>41973</v>
      </c>
      <c r="AK21247" s="831">
        <v>160301151</v>
      </c>
    </row>
    <row r="21248" spans="32:37">
      <c r="AF21248" s="831" t="s">
        <v>11755</v>
      </c>
      <c r="AG21248" s="831" t="s">
        <v>2674</v>
      </c>
      <c r="AH21248" s="831" t="s">
        <v>89</v>
      </c>
      <c r="AI21248" s="831">
        <v>0</v>
      </c>
      <c r="AJ21248" s="835">
        <v>41973</v>
      </c>
      <c r="AK21248" s="831">
        <v>158266</v>
      </c>
    </row>
    <row r="21249" spans="32:37">
      <c r="AF21249" s="831" t="s">
        <v>11756</v>
      </c>
      <c r="AG21249" s="831" t="s">
        <v>2674</v>
      </c>
      <c r="AH21249" s="831" t="s">
        <v>557</v>
      </c>
      <c r="AI21249" s="831">
        <v>0</v>
      </c>
      <c r="AJ21249" s="835">
        <v>41973</v>
      </c>
      <c r="AK21249" s="831">
        <v>179245</v>
      </c>
    </row>
    <row r="21250" spans="32:37">
      <c r="AF21250" s="831" t="s">
        <v>11757</v>
      </c>
      <c r="AG21250" s="831" t="s">
        <v>2674</v>
      </c>
      <c r="AH21250" s="831" t="s">
        <v>29</v>
      </c>
      <c r="AI21250" s="831">
        <v>0</v>
      </c>
      <c r="AJ21250" s="835">
        <v>41973</v>
      </c>
      <c r="AK21250" s="831">
        <v>4556685.3900000006</v>
      </c>
    </row>
    <row r="21251" spans="32:37">
      <c r="AF21251" s="831" t="s">
        <v>11758</v>
      </c>
      <c r="AG21251" s="831" t="s">
        <v>2674</v>
      </c>
      <c r="AH21251" s="831" t="s">
        <v>2688</v>
      </c>
      <c r="AI21251" s="831">
        <v>0</v>
      </c>
      <c r="AJ21251" s="835">
        <v>41973</v>
      </c>
      <c r="AK21251" s="831">
        <v>4982602.75</v>
      </c>
    </row>
    <row r="21252" spans="32:37">
      <c r="AF21252" s="831" t="s">
        <v>11759</v>
      </c>
      <c r="AG21252" s="831" t="s">
        <v>2674</v>
      </c>
      <c r="AH21252" s="831" t="s">
        <v>556</v>
      </c>
      <c r="AI21252" s="831">
        <v>0</v>
      </c>
      <c r="AJ21252" s="835">
        <v>41973</v>
      </c>
      <c r="AK21252" s="831">
        <v>9781741</v>
      </c>
    </row>
    <row r="21253" spans="32:37">
      <c r="AF21253" s="831" t="s">
        <v>11760</v>
      </c>
      <c r="AG21253" s="831" t="s">
        <v>2674</v>
      </c>
      <c r="AH21253" s="831" t="s">
        <v>555</v>
      </c>
      <c r="AI21253" s="831">
        <v>0</v>
      </c>
      <c r="AJ21253" s="835">
        <v>41973</v>
      </c>
      <c r="AK21253" s="831">
        <v>559691148</v>
      </c>
    </row>
    <row r="21254" spans="32:37">
      <c r="AF21254" s="831" t="s">
        <v>11761</v>
      </c>
      <c r="AG21254" s="831" t="s">
        <v>2674</v>
      </c>
      <c r="AH21254" s="831" t="s">
        <v>554</v>
      </c>
      <c r="AI21254" s="831">
        <v>0</v>
      </c>
      <c r="AJ21254" s="835">
        <v>41973</v>
      </c>
      <c r="AK21254" s="831">
        <v>562759560</v>
      </c>
    </row>
    <row r="21255" spans="32:37">
      <c r="AF21255" s="831" t="s">
        <v>11762</v>
      </c>
      <c r="AG21255" s="831" t="s">
        <v>2674</v>
      </c>
      <c r="AH21255" s="831" t="s">
        <v>553</v>
      </c>
      <c r="AI21255" s="831">
        <v>0</v>
      </c>
      <c r="AJ21255" s="835">
        <v>41973</v>
      </c>
      <c r="AK21255" s="831">
        <v>0</v>
      </c>
    </row>
    <row r="21256" spans="32:37">
      <c r="AF21256" s="831" t="s">
        <v>11763</v>
      </c>
      <c r="AG21256" s="831" t="s">
        <v>2674</v>
      </c>
      <c r="AH21256" s="831" t="s">
        <v>552</v>
      </c>
      <c r="AI21256" s="831">
        <v>0</v>
      </c>
      <c r="AJ21256" s="835">
        <v>41973</v>
      </c>
      <c r="AK21256" s="831">
        <v>0</v>
      </c>
    </row>
    <row r="21257" spans="32:37">
      <c r="AF21257" s="831" t="s">
        <v>11764</v>
      </c>
      <c r="AG21257" s="831" t="s">
        <v>2674</v>
      </c>
      <c r="AH21257" s="831" t="s">
        <v>551</v>
      </c>
      <c r="AI21257" s="831">
        <v>0</v>
      </c>
      <c r="AJ21257" s="835">
        <v>41973</v>
      </c>
      <c r="AK21257" s="831">
        <v>3921189.3899999997</v>
      </c>
    </row>
    <row r="21258" spans="32:37">
      <c r="AF21258" s="831" t="s">
        <v>11765</v>
      </c>
      <c r="AG21258" s="831" t="s">
        <v>2674</v>
      </c>
      <c r="AH21258" s="831" t="s">
        <v>550</v>
      </c>
      <c r="AI21258" s="831">
        <v>0</v>
      </c>
      <c r="AJ21258" s="835">
        <v>41973</v>
      </c>
      <c r="AK21258" s="831">
        <v>149380039</v>
      </c>
    </row>
    <row r="21259" spans="32:37">
      <c r="AF21259" s="831" t="s">
        <v>11766</v>
      </c>
      <c r="AG21259" s="831" t="s">
        <v>2674</v>
      </c>
      <c r="AH21259" s="831" t="s">
        <v>562</v>
      </c>
      <c r="AI21259" s="831">
        <v>0</v>
      </c>
      <c r="AJ21259" s="835">
        <v>41973</v>
      </c>
      <c r="AK21259" s="831">
        <v>0.78390000000000004</v>
      </c>
    </row>
    <row r="21260" spans="32:37">
      <c r="AF21260" s="831" t="s">
        <v>11767</v>
      </c>
      <c r="AG21260" s="831" t="s">
        <v>2674</v>
      </c>
      <c r="AH21260" s="831" t="s">
        <v>2698</v>
      </c>
      <c r="AI21260" s="831">
        <v>0</v>
      </c>
      <c r="AJ21260" s="835">
        <v>41973</v>
      </c>
      <c r="AK21260" s="831">
        <v>0.78380000000000005</v>
      </c>
    </row>
    <row r="21261" spans="32:37">
      <c r="AF21261" s="831" t="s">
        <v>11768</v>
      </c>
      <c r="AG21261" s="831" t="s">
        <v>2674</v>
      </c>
      <c r="AH21261" s="831" t="s">
        <v>560</v>
      </c>
      <c r="AI21261" s="831">
        <v>0</v>
      </c>
      <c r="AJ21261" s="835">
        <v>41973</v>
      </c>
      <c r="AK21261" s="831">
        <v>0.78368181818181837</v>
      </c>
    </row>
    <row r="21262" spans="32:37">
      <c r="AF21262" s="831" t="s">
        <v>11769</v>
      </c>
      <c r="AG21262" s="831" t="s">
        <v>2674</v>
      </c>
      <c r="AH21262" s="831" t="s">
        <v>559</v>
      </c>
      <c r="AI21262" s="831">
        <v>0</v>
      </c>
      <c r="AJ21262" s="835">
        <v>41973</v>
      </c>
      <c r="AK21262" s="831">
        <v>0.78365416666666687</v>
      </c>
    </row>
    <row r="21263" spans="32:37">
      <c r="AF21263" s="831" t="s">
        <v>11770</v>
      </c>
      <c r="AG21263" s="831" t="s">
        <v>2674</v>
      </c>
      <c r="AH21263" s="831" t="s">
        <v>568</v>
      </c>
      <c r="AI21263" s="831">
        <v>0</v>
      </c>
      <c r="AJ21263" s="835">
        <v>41973</v>
      </c>
      <c r="AK21263" s="831">
        <v>706055335.61153853</v>
      </c>
    </row>
    <row r="21264" spans="32:37">
      <c r="AF21264" s="831" t="s">
        <v>11771</v>
      </c>
      <c r="AG21264" s="831" t="s">
        <v>2674</v>
      </c>
      <c r="AH21264" s="831" t="s">
        <v>569</v>
      </c>
      <c r="AI21264" s="831">
        <v>0</v>
      </c>
      <c r="AJ21264" s="835">
        <v>41973</v>
      </c>
      <c r="AK21264" s="831">
        <v>877011865.12715387</v>
      </c>
    </row>
    <row r="21265" spans="32:37">
      <c r="AF21265" s="831" t="s">
        <v>11772</v>
      </c>
      <c r="AG21265" s="831" t="s">
        <v>2674</v>
      </c>
      <c r="AH21265" s="831" t="s">
        <v>570</v>
      </c>
      <c r="AI21265" s="831">
        <v>0</v>
      </c>
      <c r="AJ21265" s="835">
        <v>41973</v>
      </c>
      <c r="AK21265" s="831">
        <v>132419769.36892308</v>
      </c>
    </row>
    <row r="21266" spans="32:37">
      <c r="AF21266" s="831" t="s">
        <v>11773</v>
      </c>
      <c r="AG21266" s="831" t="s">
        <v>2674</v>
      </c>
      <c r="AH21266" s="831" t="s">
        <v>571</v>
      </c>
      <c r="AI21266" s="831">
        <v>0</v>
      </c>
      <c r="AJ21266" s="835">
        <v>41973</v>
      </c>
      <c r="AK21266" s="831">
        <v>432199968.69923079</v>
      </c>
    </row>
    <row r="21267" spans="32:37">
      <c r="AF21267" s="831" t="s">
        <v>11774</v>
      </c>
      <c r="AG21267" s="831" t="s">
        <v>2674</v>
      </c>
      <c r="AH21267" s="831" t="s">
        <v>573</v>
      </c>
      <c r="AI21267" s="831">
        <v>0</v>
      </c>
      <c r="AJ21267" s="835">
        <v>41973</v>
      </c>
      <c r="AK21267" s="831">
        <v>888073560.38024998</v>
      </c>
    </row>
    <row r="21268" spans="32:37">
      <c r="AF21268" s="831" t="s">
        <v>11775</v>
      </c>
      <c r="AG21268" s="831" t="s">
        <v>2674</v>
      </c>
      <c r="AH21268" s="831" t="s">
        <v>574</v>
      </c>
      <c r="AI21268" s="831">
        <v>0</v>
      </c>
      <c r="AJ21268" s="835">
        <v>41973</v>
      </c>
      <c r="AK21268" s="831">
        <v>715055837.75</v>
      </c>
    </row>
    <row r="21269" spans="32:37">
      <c r="AF21269" s="831" t="s">
        <v>11776</v>
      </c>
      <c r="AG21269" s="831" t="s">
        <v>2674</v>
      </c>
      <c r="AH21269" s="831" t="s">
        <v>575</v>
      </c>
      <c r="AI21269" s="831">
        <v>0</v>
      </c>
      <c r="AJ21269" s="835">
        <v>41973</v>
      </c>
      <c r="AK21269" s="831">
        <v>133194921.82833333</v>
      </c>
    </row>
    <row r="21270" spans="32:37">
      <c r="AF21270" s="831" t="s">
        <v>11777</v>
      </c>
      <c r="AG21270" s="831" t="s">
        <v>2674</v>
      </c>
      <c r="AH21270" s="831" t="s">
        <v>576</v>
      </c>
      <c r="AI21270" s="831">
        <v>0</v>
      </c>
      <c r="AJ21270" s="835">
        <v>41973</v>
      </c>
      <c r="AK21270" s="831">
        <v>438403431.08566666</v>
      </c>
    </row>
    <row r="21271" spans="32:37">
      <c r="AF21271" s="831" t="s">
        <v>11778</v>
      </c>
      <c r="AG21271" s="831" t="s">
        <v>2674</v>
      </c>
      <c r="AH21271" s="831" t="s">
        <v>572</v>
      </c>
      <c r="AI21271" s="831">
        <v>0</v>
      </c>
      <c r="AJ21271" s="835">
        <v>41973</v>
      </c>
      <c r="AK21271" s="831">
        <v>33835425.924000025</v>
      </c>
    </row>
    <row r="21272" spans="32:37">
      <c r="AF21272" s="831" t="s">
        <v>11779</v>
      </c>
      <c r="AG21272" s="831" t="s">
        <v>2674</v>
      </c>
      <c r="AH21272" s="831" t="s">
        <v>577</v>
      </c>
      <c r="AI21272" s="831">
        <v>0</v>
      </c>
      <c r="AJ21272" s="835">
        <v>41973</v>
      </c>
      <c r="AK21272" s="831">
        <v>173617070.52700001</v>
      </c>
    </row>
    <row r="21273" spans="32:37">
      <c r="AF21273" s="831" t="s">
        <v>11780</v>
      </c>
      <c r="AG21273" s="831" t="s">
        <v>2674</v>
      </c>
      <c r="AH21273" s="831" t="s">
        <v>3042</v>
      </c>
      <c r="AI21273" s="831">
        <v>0</v>
      </c>
      <c r="AJ21273" s="835">
        <v>41973</v>
      </c>
      <c r="AK21273" s="831">
        <v>-50695273.862000003</v>
      </c>
    </row>
    <row r="21274" spans="32:37">
      <c r="AF21274" s="831" t="s">
        <v>11781</v>
      </c>
      <c r="AG21274" s="831" t="s">
        <v>2674</v>
      </c>
      <c r="AH21274" s="831" t="s">
        <v>3044</v>
      </c>
      <c r="AI21274" s="831">
        <v>0</v>
      </c>
      <c r="AJ21274" s="835">
        <v>41973</v>
      </c>
      <c r="AK21274" s="831">
        <v>-2169383.0120000001</v>
      </c>
    </row>
    <row r="21275" spans="32:37">
      <c r="AF21275" s="831" t="s">
        <v>11782</v>
      </c>
      <c r="AG21275" s="831" t="s">
        <v>2674</v>
      </c>
      <c r="AH21275" s="831" t="s">
        <v>580</v>
      </c>
      <c r="AI21275" s="831">
        <v>0</v>
      </c>
      <c r="AJ21275" s="835">
        <v>41973</v>
      </c>
      <c r="AK21275" s="831">
        <v>-79126603.180999994</v>
      </c>
    </row>
    <row r="21276" spans="32:37">
      <c r="AF21276" s="831" t="s">
        <v>11783</v>
      </c>
      <c r="AG21276" s="831" t="s">
        <v>2674</v>
      </c>
      <c r="AH21276" s="831" t="s">
        <v>581</v>
      </c>
      <c r="AI21276" s="831">
        <v>0</v>
      </c>
      <c r="AJ21276" s="835">
        <v>41973</v>
      </c>
      <c r="AK21276" s="831">
        <v>4040122.4290000005</v>
      </c>
    </row>
    <row r="21277" spans="32:37">
      <c r="AF21277" s="831" t="s">
        <v>11784</v>
      </c>
      <c r="AG21277" s="831" t="s">
        <v>2674</v>
      </c>
      <c r="AH21277" s="831" t="s">
        <v>105</v>
      </c>
      <c r="AI21277" s="831">
        <v>0</v>
      </c>
      <c r="AJ21277" s="835">
        <v>41973</v>
      </c>
      <c r="AK21277" s="831">
        <v>488862063</v>
      </c>
    </row>
    <row r="21278" spans="32:37">
      <c r="AF21278" s="831" t="s">
        <v>11785</v>
      </c>
      <c r="AG21278" s="831" t="s">
        <v>2674</v>
      </c>
      <c r="AH21278" s="831" t="s">
        <v>3049</v>
      </c>
      <c r="AI21278" s="831">
        <v>0</v>
      </c>
      <c r="AJ21278" s="835">
        <v>41973</v>
      </c>
      <c r="AK21278" s="831">
        <v>810336503</v>
      </c>
    </row>
    <row r="21279" spans="32:37">
      <c r="AF21279" s="831" t="s">
        <v>11786</v>
      </c>
      <c r="AG21279" s="831" t="s">
        <v>2674</v>
      </c>
      <c r="AH21279" s="831" t="s">
        <v>103</v>
      </c>
      <c r="AI21279" s="831">
        <v>0</v>
      </c>
      <c r="AJ21279" s="835">
        <v>41973</v>
      </c>
      <c r="AK21279" s="831">
        <v>321474440</v>
      </c>
    </row>
    <row r="21280" spans="32:37">
      <c r="AF21280" s="831" t="s">
        <v>11787</v>
      </c>
      <c r="AG21280" s="831" t="s">
        <v>2674</v>
      </c>
      <c r="AH21280" s="831" t="s">
        <v>182</v>
      </c>
      <c r="AI21280" s="831">
        <v>0</v>
      </c>
      <c r="AJ21280" s="835">
        <v>41973</v>
      </c>
      <c r="AK21280" s="831">
        <v>75281666.181818187</v>
      </c>
    </row>
    <row r="21281" spans="32:37">
      <c r="AF21281" s="831" t="s">
        <v>11788</v>
      </c>
      <c r="AG21281" s="831" t="s">
        <v>2674</v>
      </c>
      <c r="AH21281" s="831" t="s">
        <v>6600</v>
      </c>
      <c r="AI21281" s="831">
        <v>0</v>
      </c>
      <c r="AJ21281" s="835">
        <v>41973</v>
      </c>
      <c r="AK21281" s="831">
        <v>33835425.924000025</v>
      </c>
    </row>
    <row r="21282" spans="32:37">
      <c r="AF21282" s="831" t="s">
        <v>11789</v>
      </c>
      <c r="AG21282" s="831" t="s">
        <v>2674</v>
      </c>
      <c r="AH21282" s="831" t="s">
        <v>6602</v>
      </c>
      <c r="AI21282" s="831">
        <v>0</v>
      </c>
      <c r="AJ21282" s="835">
        <v>41973</v>
      </c>
      <c r="AK21282" s="831">
        <v>35013602</v>
      </c>
    </row>
    <row r="21283" spans="32:37">
      <c r="AF21283" s="831" t="s">
        <v>11790</v>
      </c>
      <c r="AG21283" s="831" t="s">
        <v>2674</v>
      </c>
      <c r="AH21283" s="831" t="s">
        <v>650</v>
      </c>
      <c r="AI21283" s="831">
        <v>0</v>
      </c>
      <c r="AJ21283" s="835">
        <v>41973</v>
      </c>
      <c r="AK21283" s="831">
        <v>287670371.56684613</v>
      </c>
    </row>
    <row r="21284" spans="32:37">
      <c r="AF21284" s="831" t="s">
        <v>11791</v>
      </c>
      <c r="AG21284" s="831" t="s">
        <v>2674</v>
      </c>
      <c r="AH21284" s="831" t="s">
        <v>655</v>
      </c>
      <c r="AI21284" s="831">
        <v>0</v>
      </c>
      <c r="AJ21284" s="835">
        <v>41973</v>
      </c>
      <c r="AK21284" s="831">
        <v>919694.3899999999</v>
      </c>
    </row>
    <row r="21285" spans="32:37">
      <c r="AF21285" s="831" t="s">
        <v>11792</v>
      </c>
      <c r="AG21285" s="831" t="s">
        <v>2674</v>
      </c>
      <c r="AH21285" s="831" t="s">
        <v>546</v>
      </c>
      <c r="AI21285" s="831">
        <v>0</v>
      </c>
      <c r="AJ21285" s="835">
        <v>42004</v>
      </c>
      <c r="AK21285" s="831">
        <v>828920000</v>
      </c>
    </row>
    <row r="21286" spans="32:37">
      <c r="AF21286" s="831" t="s">
        <v>11793</v>
      </c>
      <c r="AG21286" s="831" t="s">
        <v>2674</v>
      </c>
      <c r="AH21286" s="831" t="s">
        <v>370</v>
      </c>
      <c r="AI21286" s="831">
        <v>0</v>
      </c>
      <c r="AJ21286" s="835">
        <v>42004</v>
      </c>
      <c r="AK21286" s="831">
        <v>1042210000</v>
      </c>
    </row>
    <row r="21287" spans="32:37">
      <c r="AF21287" s="831" t="s">
        <v>11794</v>
      </c>
      <c r="AG21287" s="831" t="s">
        <v>2674</v>
      </c>
      <c r="AH21287" s="831" t="s">
        <v>126</v>
      </c>
      <c r="AI21287" s="831">
        <v>0</v>
      </c>
      <c r="AJ21287" s="835">
        <v>42004</v>
      </c>
      <c r="AK21287" s="831">
        <v>145409000</v>
      </c>
    </row>
    <row r="21288" spans="32:37">
      <c r="AF21288" s="831" t="s">
        <v>11795</v>
      </c>
      <c r="AG21288" s="831" t="s">
        <v>2674</v>
      </c>
      <c r="AH21288" s="831" t="s">
        <v>268</v>
      </c>
      <c r="AI21288" s="831">
        <v>0</v>
      </c>
      <c r="AJ21288" s="835">
        <v>42004</v>
      </c>
      <c r="AK21288" s="831">
        <v>43040000</v>
      </c>
    </row>
    <row r="21289" spans="32:37">
      <c r="AF21289" s="831" t="s">
        <v>11796</v>
      </c>
      <c r="AG21289" s="831" t="s">
        <v>2674</v>
      </c>
      <c r="AH21289" s="831" t="s">
        <v>547</v>
      </c>
      <c r="AI21289" s="831">
        <v>0</v>
      </c>
      <c r="AJ21289" s="835">
        <v>42004</v>
      </c>
      <c r="AK21289" s="831">
        <v>777719977</v>
      </c>
    </row>
    <row r="21290" spans="32:37">
      <c r="AF21290" s="831" t="s">
        <v>11797</v>
      </c>
      <c r="AG21290" s="831" t="s">
        <v>2674</v>
      </c>
      <c r="AH21290" s="831" t="s">
        <v>548</v>
      </c>
      <c r="AI21290" s="831">
        <v>0</v>
      </c>
      <c r="AJ21290" s="835">
        <v>42004</v>
      </c>
      <c r="AK21290" s="831">
        <v>117105496</v>
      </c>
    </row>
    <row r="21291" spans="32:37">
      <c r="AF21291" s="831" t="s">
        <v>11798</v>
      </c>
      <c r="AG21291" s="831" t="s">
        <v>2674</v>
      </c>
      <c r="AH21291" s="831" t="s">
        <v>549</v>
      </c>
      <c r="AI21291" s="831">
        <v>0</v>
      </c>
      <c r="AJ21291" s="835">
        <v>42004</v>
      </c>
      <c r="AK21291" s="831">
        <v>627874260</v>
      </c>
    </row>
    <row r="21292" spans="32:37">
      <c r="AF21292" s="831" t="s">
        <v>11799</v>
      </c>
      <c r="AG21292" s="831" t="s">
        <v>2674</v>
      </c>
      <c r="AH21292" s="831" t="s">
        <v>192</v>
      </c>
      <c r="AI21292" s="831">
        <v>0</v>
      </c>
      <c r="AJ21292" s="835">
        <v>42004</v>
      </c>
      <c r="AK21292" s="831">
        <v>-9140000</v>
      </c>
    </row>
    <row r="21293" spans="32:37">
      <c r="AF21293" s="831" t="s">
        <v>11800</v>
      </c>
      <c r="AG21293" s="831" t="s">
        <v>2674</v>
      </c>
      <c r="AH21293" s="831" t="s">
        <v>558</v>
      </c>
      <c r="AI21293" s="831">
        <v>0</v>
      </c>
      <c r="AJ21293" s="835">
        <v>42004</v>
      </c>
      <c r="AK21293" s="831">
        <v>896801000</v>
      </c>
    </row>
    <row r="21294" spans="32:37">
      <c r="AF21294" s="831" t="s">
        <v>11801</v>
      </c>
      <c r="AG21294" s="831" t="s">
        <v>2674</v>
      </c>
      <c r="AH21294" s="831" t="s">
        <v>65</v>
      </c>
      <c r="AI21294" s="831">
        <v>0</v>
      </c>
      <c r="AJ21294" s="835">
        <v>42004</v>
      </c>
      <c r="AK21294" s="831">
        <v>169813000</v>
      </c>
    </row>
    <row r="21295" spans="32:37">
      <c r="AF21295" s="831" t="s">
        <v>11802</v>
      </c>
      <c r="AG21295" s="831" t="s">
        <v>2674</v>
      </c>
      <c r="AH21295" s="831" t="s">
        <v>89</v>
      </c>
      <c r="AI21295" s="831">
        <v>0</v>
      </c>
      <c r="AJ21295" s="835">
        <v>42004</v>
      </c>
      <c r="AK21295" s="831">
        <v>157146</v>
      </c>
    </row>
    <row r="21296" spans="32:37">
      <c r="AF21296" s="831" t="s">
        <v>11803</v>
      </c>
      <c r="AG21296" s="831" t="s">
        <v>2674</v>
      </c>
      <c r="AH21296" s="831" t="s">
        <v>557</v>
      </c>
      <c r="AI21296" s="831">
        <v>0</v>
      </c>
      <c r="AJ21296" s="835">
        <v>42004</v>
      </c>
      <c r="AK21296" s="831">
        <v>178484</v>
      </c>
    </row>
    <row r="21297" spans="32:37">
      <c r="AF21297" s="831" t="s">
        <v>11804</v>
      </c>
      <c r="AG21297" s="831" t="s">
        <v>2674</v>
      </c>
      <c r="AH21297" s="831" t="s">
        <v>29</v>
      </c>
      <c r="AI21297" s="831">
        <v>0</v>
      </c>
      <c r="AJ21297" s="835">
        <v>42004</v>
      </c>
      <c r="AK21297" s="831">
        <v>6837000</v>
      </c>
    </row>
    <row r="21298" spans="32:37">
      <c r="AF21298" s="831" t="s">
        <v>11805</v>
      </c>
      <c r="AG21298" s="831" t="s">
        <v>2674</v>
      </c>
      <c r="AH21298" s="831" t="s">
        <v>2688</v>
      </c>
      <c r="AI21298" s="831">
        <v>0</v>
      </c>
      <c r="AJ21298" s="835">
        <v>42004</v>
      </c>
      <c r="AK21298" s="831">
        <v>5048648</v>
      </c>
    </row>
    <row r="21299" spans="32:37">
      <c r="AF21299" s="831" t="s">
        <v>11806</v>
      </c>
      <c r="AG21299" s="831" t="s">
        <v>2674</v>
      </c>
      <c r="AH21299" s="831" t="s">
        <v>556</v>
      </c>
      <c r="AI21299" s="831">
        <v>0</v>
      </c>
      <c r="AJ21299" s="835">
        <v>42004</v>
      </c>
      <c r="AK21299" s="831">
        <v>11412135</v>
      </c>
    </row>
    <row r="21300" spans="32:37">
      <c r="AF21300" s="831" t="s">
        <v>11807</v>
      </c>
      <c r="AG21300" s="831" t="s">
        <v>2674</v>
      </c>
      <c r="AH21300" s="831" t="s">
        <v>555</v>
      </c>
      <c r="AI21300" s="831">
        <v>0</v>
      </c>
      <c r="AJ21300" s="835">
        <v>42004</v>
      </c>
      <c r="AK21300" s="831">
        <v>596336076</v>
      </c>
    </row>
    <row r="21301" spans="32:37">
      <c r="AF21301" s="831" t="s">
        <v>11808</v>
      </c>
      <c r="AG21301" s="831" t="s">
        <v>2674</v>
      </c>
      <c r="AH21301" s="831" t="s">
        <v>554</v>
      </c>
      <c r="AI21301" s="831">
        <v>0</v>
      </c>
      <c r="AJ21301" s="835">
        <v>42004</v>
      </c>
      <c r="AK21301" s="831">
        <v>603608535</v>
      </c>
    </row>
    <row r="21302" spans="32:37">
      <c r="AF21302" s="831" t="s">
        <v>11809</v>
      </c>
      <c r="AG21302" s="831" t="s">
        <v>2674</v>
      </c>
      <c r="AH21302" s="831" t="s">
        <v>553</v>
      </c>
      <c r="AI21302" s="831">
        <v>0</v>
      </c>
      <c r="AJ21302" s="835">
        <v>42004</v>
      </c>
      <c r="AK21302" s="831">
        <v>0</v>
      </c>
    </row>
    <row r="21303" spans="32:37">
      <c r="AF21303" s="831" t="s">
        <v>11810</v>
      </c>
      <c r="AG21303" s="831" t="s">
        <v>2674</v>
      </c>
      <c r="AH21303" s="831" t="s">
        <v>552</v>
      </c>
      <c r="AI21303" s="831">
        <v>0</v>
      </c>
      <c r="AJ21303" s="835">
        <v>42004</v>
      </c>
      <c r="AK21303" s="831">
        <v>0</v>
      </c>
    </row>
    <row r="21304" spans="32:37">
      <c r="AF21304" s="831" t="s">
        <v>11811</v>
      </c>
      <c r="AG21304" s="831" t="s">
        <v>2674</v>
      </c>
      <c r="AH21304" s="831" t="s">
        <v>551</v>
      </c>
      <c r="AI21304" s="831">
        <v>0</v>
      </c>
      <c r="AJ21304" s="835">
        <v>42004</v>
      </c>
      <c r="AK21304" s="831">
        <v>6446340</v>
      </c>
    </row>
    <row r="21305" spans="32:37">
      <c r="AF21305" s="831" t="s">
        <v>11812</v>
      </c>
      <c r="AG21305" s="831" t="s">
        <v>2674</v>
      </c>
      <c r="AH21305" s="831" t="s">
        <v>550</v>
      </c>
      <c r="AI21305" s="831">
        <v>0</v>
      </c>
      <c r="AJ21305" s="835">
        <v>42004</v>
      </c>
      <c r="AK21305" s="831">
        <v>153599665</v>
      </c>
    </row>
    <row r="21306" spans="32:37">
      <c r="AF21306" s="831" t="s">
        <v>11813</v>
      </c>
      <c r="AG21306" s="831" t="s">
        <v>2674</v>
      </c>
      <c r="AH21306" s="831" t="s">
        <v>562</v>
      </c>
      <c r="AI21306" s="831">
        <v>0</v>
      </c>
      <c r="AJ21306" s="835">
        <v>42004</v>
      </c>
      <c r="AK21306" s="831">
        <v>0.78310000000000002</v>
      </c>
    </row>
    <row r="21307" spans="32:37">
      <c r="AF21307" s="831" t="s">
        <v>11814</v>
      </c>
      <c r="AG21307" s="831" t="s">
        <v>2674</v>
      </c>
      <c r="AH21307" s="831" t="s">
        <v>2698</v>
      </c>
      <c r="AI21307" s="831">
        <v>0</v>
      </c>
      <c r="AJ21307" s="835">
        <v>42004</v>
      </c>
      <c r="AK21307" s="831">
        <v>0.78390000000000004</v>
      </c>
    </row>
    <row r="21308" spans="32:37">
      <c r="AF21308" s="831" t="s">
        <v>11815</v>
      </c>
      <c r="AG21308" s="831" t="s">
        <v>2674</v>
      </c>
      <c r="AH21308" s="831" t="s">
        <v>560</v>
      </c>
      <c r="AI21308" s="831">
        <v>0</v>
      </c>
      <c r="AJ21308" s="835">
        <v>42004</v>
      </c>
      <c r="AK21308" s="831">
        <v>0.78363333333333329</v>
      </c>
    </row>
    <row r="21309" spans="32:37">
      <c r="AF21309" s="831" t="s">
        <v>11816</v>
      </c>
      <c r="AG21309" s="831" t="s">
        <v>2674</v>
      </c>
      <c r="AH21309" s="831" t="s">
        <v>559</v>
      </c>
      <c r="AI21309" s="831">
        <v>0</v>
      </c>
      <c r="AJ21309" s="835">
        <v>42004</v>
      </c>
      <c r="AK21309" s="831">
        <v>0.78363333333333329</v>
      </c>
    </row>
    <row r="21310" spans="32:37">
      <c r="AF21310" s="831" t="s">
        <v>11817</v>
      </c>
      <c r="AG21310" s="831" t="s">
        <v>2674</v>
      </c>
      <c r="AH21310" s="831" t="s">
        <v>568</v>
      </c>
      <c r="AI21310" s="831">
        <v>0</v>
      </c>
      <c r="AJ21310" s="835">
        <v>42004</v>
      </c>
      <c r="AK21310" s="831">
        <v>723814619.46153843</v>
      </c>
    </row>
    <row r="21311" spans="32:37">
      <c r="AF21311" s="831" t="s">
        <v>11818</v>
      </c>
      <c r="AG21311" s="831" t="s">
        <v>2674</v>
      </c>
      <c r="AH21311" s="831" t="s">
        <v>569</v>
      </c>
      <c r="AI21311" s="831">
        <v>0</v>
      </c>
      <c r="AJ21311" s="835">
        <v>42004</v>
      </c>
      <c r="AK21311" s="831">
        <v>899930209.58176923</v>
      </c>
    </row>
    <row r="21312" spans="32:37">
      <c r="AF21312" s="831" t="s">
        <v>11819</v>
      </c>
      <c r="AG21312" s="831" t="s">
        <v>2674</v>
      </c>
      <c r="AH21312" s="831" t="s">
        <v>570</v>
      </c>
      <c r="AI21312" s="831">
        <v>0</v>
      </c>
      <c r="AJ21312" s="835">
        <v>42004</v>
      </c>
      <c r="AK21312" s="831">
        <v>134134466.30307692</v>
      </c>
    </row>
    <row r="21313" spans="32:37">
      <c r="AF21313" s="831" t="s">
        <v>11820</v>
      </c>
      <c r="AG21313" s="831" t="s">
        <v>2674</v>
      </c>
      <c r="AH21313" s="831" t="s">
        <v>571</v>
      </c>
      <c r="AI21313" s="831">
        <v>0</v>
      </c>
      <c r="AJ21313" s="835">
        <v>42004</v>
      </c>
      <c r="AK21313" s="831">
        <v>445629705.61753845</v>
      </c>
    </row>
    <row r="21314" spans="32:37">
      <c r="AF21314" s="831" t="s">
        <v>11821</v>
      </c>
      <c r="AG21314" s="831" t="s">
        <v>2674</v>
      </c>
      <c r="AH21314" s="831" t="s">
        <v>573</v>
      </c>
      <c r="AI21314" s="831">
        <v>0</v>
      </c>
      <c r="AJ21314" s="835">
        <v>42004</v>
      </c>
      <c r="AK21314" s="831">
        <v>899930209.58176923</v>
      </c>
    </row>
    <row r="21315" spans="32:37">
      <c r="AF21315" s="831" t="s">
        <v>11822</v>
      </c>
      <c r="AG21315" s="831" t="s">
        <v>2674</v>
      </c>
      <c r="AH21315" s="831" t="s">
        <v>574</v>
      </c>
      <c r="AI21315" s="831">
        <v>0</v>
      </c>
      <c r="AJ21315" s="835">
        <v>42004</v>
      </c>
      <c r="AK21315" s="831">
        <v>723814619.46153843</v>
      </c>
    </row>
    <row r="21316" spans="32:37">
      <c r="AF21316" s="831" t="s">
        <v>11823</v>
      </c>
      <c r="AG21316" s="831" t="s">
        <v>2674</v>
      </c>
      <c r="AH21316" s="831" t="s">
        <v>575</v>
      </c>
      <c r="AI21316" s="831">
        <v>0</v>
      </c>
      <c r="AJ21316" s="835">
        <v>42004</v>
      </c>
      <c r="AK21316" s="831">
        <v>134134466.30307692</v>
      </c>
    </row>
    <row r="21317" spans="32:37">
      <c r="AF21317" s="831" t="s">
        <v>11824</v>
      </c>
      <c r="AG21317" s="831" t="s">
        <v>2674</v>
      </c>
      <c r="AH21317" s="831" t="s">
        <v>576</v>
      </c>
      <c r="AI21317" s="831">
        <v>0</v>
      </c>
      <c r="AJ21317" s="835">
        <v>42004</v>
      </c>
      <c r="AK21317" s="831">
        <v>445629705.61753845</v>
      </c>
    </row>
    <row r="21318" spans="32:37">
      <c r="AF21318" s="831" t="s">
        <v>11825</v>
      </c>
      <c r="AG21318" s="831" t="s">
        <v>2674</v>
      </c>
      <c r="AH21318" s="831" t="s">
        <v>572</v>
      </c>
      <c r="AI21318" s="831">
        <v>0</v>
      </c>
      <c r="AJ21318" s="835">
        <v>42004</v>
      </c>
      <c r="AK21318" s="831">
        <v>43040000</v>
      </c>
    </row>
    <row r="21319" spans="32:37">
      <c r="AF21319" s="831" t="s">
        <v>11826</v>
      </c>
      <c r="AG21319" s="831" t="s">
        <v>2674</v>
      </c>
      <c r="AH21319" s="831" t="s">
        <v>577</v>
      </c>
      <c r="AI21319" s="831">
        <v>0</v>
      </c>
      <c r="AJ21319" s="835">
        <v>42004</v>
      </c>
      <c r="AK21319" s="831">
        <v>169813000</v>
      </c>
    </row>
    <row r="21320" spans="32:37">
      <c r="AF21320" s="831" t="s">
        <v>11827</v>
      </c>
      <c r="AG21320" s="831" t="s">
        <v>2674</v>
      </c>
      <c r="AH21320" s="831" t="s">
        <v>3042</v>
      </c>
      <c r="AI21320" s="831">
        <v>0</v>
      </c>
      <c r="AJ21320" s="835">
        <v>42004</v>
      </c>
      <c r="AK21320" s="831">
        <v>-51705000</v>
      </c>
    </row>
    <row r="21321" spans="32:37">
      <c r="AF21321" s="831" t="s">
        <v>11828</v>
      </c>
      <c r="AG21321" s="831" t="s">
        <v>2674</v>
      </c>
      <c r="AH21321" s="831" t="s">
        <v>3044</v>
      </c>
      <c r="AI21321" s="831">
        <v>0</v>
      </c>
      <c r="AJ21321" s="835">
        <v>42004</v>
      </c>
      <c r="AK21321" s="831">
        <v>3515000</v>
      </c>
    </row>
    <row r="21322" spans="32:37">
      <c r="AF21322" s="831" t="s">
        <v>11829</v>
      </c>
      <c r="AG21322" s="831" t="s">
        <v>2674</v>
      </c>
      <c r="AH21322" s="831" t="s">
        <v>580</v>
      </c>
      <c r="AI21322" s="831">
        <v>0</v>
      </c>
      <c r="AJ21322" s="835">
        <v>42004</v>
      </c>
      <c r="AK21322" s="831">
        <v>-78262000</v>
      </c>
    </row>
    <row r="21323" spans="32:37">
      <c r="AF21323" s="831" t="s">
        <v>11830</v>
      </c>
      <c r="AG21323" s="831" t="s">
        <v>2674</v>
      </c>
      <c r="AH21323" s="831" t="s">
        <v>581</v>
      </c>
      <c r="AI21323" s="831">
        <v>0</v>
      </c>
      <c r="AJ21323" s="835">
        <v>42004</v>
      </c>
      <c r="AK21323" s="831">
        <v>9963000</v>
      </c>
    </row>
    <row r="21324" spans="32:37">
      <c r="AF21324" s="831" t="s">
        <v>11831</v>
      </c>
      <c r="AG21324" s="831" t="s">
        <v>2674</v>
      </c>
      <c r="AH21324" s="831" t="s">
        <v>105</v>
      </c>
      <c r="AI21324" s="831">
        <v>0</v>
      </c>
      <c r="AJ21324" s="835">
        <v>42004</v>
      </c>
      <c r="AK21324" s="831">
        <v>532345000</v>
      </c>
    </row>
    <row r="21325" spans="32:37">
      <c r="AF21325" s="831" t="s">
        <v>11832</v>
      </c>
      <c r="AG21325" s="831" t="s">
        <v>2674</v>
      </c>
      <c r="AH21325" s="831" t="s">
        <v>3049</v>
      </c>
      <c r="AI21325" s="831">
        <v>0</v>
      </c>
      <c r="AJ21325" s="835">
        <v>42004</v>
      </c>
      <c r="AK21325" s="831">
        <v>871130000</v>
      </c>
    </row>
    <row r="21326" spans="32:37">
      <c r="AF21326" s="831" t="s">
        <v>11833</v>
      </c>
      <c r="AG21326" s="831" t="s">
        <v>2674</v>
      </c>
      <c r="AH21326" s="831" t="s">
        <v>103</v>
      </c>
      <c r="AI21326" s="831">
        <v>0</v>
      </c>
      <c r="AJ21326" s="835">
        <v>42004</v>
      </c>
      <c r="AK21326" s="831">
        <v>338785000</v>
      </c>
    </row>
    <row r="21327" spans="32:37">
      <c r="AF21327" s="831" t="s">
        <v>11834</v>
      </c>
      <c r="AG21327" s="831" t="s">
        <v>2674</v>
      </c>
      <c r="AH21327" s="831" t="s">
        <v>182</v>
      </c>
      <c r="AI21327" s="831">
        <v>0</v>
      </c>
      <c r="AJ21327" s="835">
        <v>42004</v>
      </c>
      <c r="AK21327" s="831">
        <v>78262000</v>
      </c>
    </row>
    <row r="21328" spans="32:37">
      <c r="AF21328" s="831" t="s">
        <v>11835</v>
      </c>
      <c r="AG21328" s="831" t="s">
        <v>2674</v>
      </c>
      <c r="AH21328" s="831" t="s">
        <v>6600</v>
      </c>
      <c r="AI21328" s="831">
        <v>0</v>
      </c>
      <c r="AJ21328" s="835">
        <v>42004</v>
      </c>
      <c r="AK21328" s="831">
        <v>43040000</v>
      </c>
    </row>
    <row r="21329" spans="32:37">
      <c r="AF21329" s="831" t="s">
        <v>11836</v>
      </c>
      <c r="AG21329" s="831" t="s">
        <v>2674</v>
      </c>
      <c r="AH21329" s="831" t="s">
        <v>6602</v>
      </c>
      <c r="AI21329" s="831">
        <v>0</v>
      </c>
      <c r="AJ21329" s="835">
        <v>42004</v>
      </c>
      <c r="AK21329" s="831">
        <v>43040000</v>
      </c>
    </row>
    <row r="21330" spans="32:37">
      <c r="AF21330" s="831" t="s">
        <v>11837</v>
      </c>
      <c r="AG21330" s="831" t="s">
        <v>2674</v>
      </c>
      <c r="AH21330" s="831" t="s">
        <v>650</v>
      </c>
      <c r="AI21330" s="831">
        <v>0</v>
      </c>
      <c r="AJ21330" s="835">
        <v>42004</v>
      </c>
      <c r="AK21330" s="831">
        <v>294946351.96523076</v>
      </c>
    </row>
    <row r="21331" spans="32:37">
      <c r="AF21331" s="831" t="s">
        <v>11838</v>
      </c>
      <c r="AG21331" s="831" t="s">
        <v>2674</v>
      </c>
      <c r="AH21331" s="831" t="s">
        <v>655</v>
      </c>
      <c r="AI21331" s="831">
        <v>0</v>
      </c>
      <c r="AJ21331" s="835">
        <v>42004</v>
      </c>
      <c r="AK21331" s="831">
        <v>5599000</v>
      </c>
    </row>
    <row r="21332" spans="32:37">
      <c r="AF21332" s="831" t="s">
        <v>11839</v>
      </c>
      <c r="AG21332" s="831" t="s">
        <v>2674</v>
      </c>
      <c r="AH21332" s="831" t="s">
        <v>546</v>
      </c>
      <c r="AI21332" s="831">
        <v>0</v>
      </c>
      <c r="AJ21332" s="835">
        <v>42035</v>
      </c>
      <c r="AK21332" s="831">
        <v>829753309</v>
      </c>
    </row>
    <row r="21333" spans="32:37">
      <c r="AF21333" s="831" t="s">
        <v>11840</v>
      </c>
      <c r="AG21333" s="831" t="s">
        <v>2674</v>
      </c>
      <c r="AH21333" s="831" t="s">
        <v>370</v>
      </c>
      <c r="AI21333" s="831">
        <v>0</v>
      </c>
      <c r="AJ21333" s="835">
        <v>42035</v>
      </c>
      <c r="AK21333" s="831">
        <v>1044609243</v>
      </c>
    </row>
    <row r="21334" spans="32:37">
      <c r="AF21334" s="831" t="s">
        <v>11841</v>
      </c>
      <c r="AG21334" s="831" t="s">
        <v>2674</v>
      </c>
      <c r="AH21334" s="831" t="s">
        <v>126</v>
      </c>
      <c r="AI21334" s="831">
        <v>0</v>
      </c>
      <c r="AJ21334" s="835">
        <v>42035</v>
      </c>
      <c r="AK21334" s="831">
        <v>148860224</v>
      </c>
    </row>
    <row r="21335" spans="32:37">
      <c r="AF21335" s="831" t="s">
        <v>11842</v>
      </c>
      <c r="AG21335" s="831" t="s">
        <v>2674</v>
      </c>
      <c r="AH21335" s="831" t="s">
        <v>268</v>
      </c>
      <c r="AI21335" s="831">
        <v>0</v>
      </c>
      <c r="AJ21335" s="835">
        <v>42035</v>
      </c>
      <c r="AK21335" s="831">
        <v>3451938</v>
      </c>
    </row>
    <row r="21336" spans="32:37">
      <c r="AF21336" s="831" t="s">
        <v>11843</v>
      </c>
      <c r="AG21336" s="831" t="s">
        <v>2674</v>
      </c>
      <c r="AH21336" s="831" t="s">
        <v>547</v>
      </c>
      <c r="AI21336" s="831">
        <v>0</v>
      </c>
      <c r="AJ21336" s="835">
        <v>42035</v>
      </c>
      <c r="AK21336" s="831">
        <v>1044609243</v>
      </c>
    </row>
    <row r="21337" spans="32:37">
      <c r="AF21337" s="831" t="s">
        <v>11844</v>
      </c>
      <c r="AG21337" s="831" t="s">
        <v>2674</v>
      </c>
      <c r="AH21337" s="831" t="s">
        <v>548</v>
      </c>
      <c r="AI21337" s="831">
        <v>0</v>
      </c>
      <c r="AJ21337" s="835">
        <v>42035</v>
      </c>
      <c r="AK21337" s="831">
        <v>148860224</v>
      </c>
    </row>
    <row r="21338" spans="32:37">
      <c r="AF21338" s="831" t="s">
        <v>11845</v>
      </c>
      <c r="AG21338" s="831" t="s">
        <v>2674</v>
      </c>
      <c r="AH21338" s="831" t="s">
        <v>549</v>
      </c>
      <c r="AI21338" s="831">
        <v>0</v>
      </c>
      <c r="AJ21338" s="835">
        <v>42035</v>
      </c>
      <c r="AK21338" s="831">
        <v>635618516</v>
      </c>
    </row>
    <row r="21339" spans="32:37">
      <c r="AF21339" s="831" t="s">
        <v>11846</v>
      </c>
      <c r="AG21339" s="831" t="s">
        <v>2674</v>
      </c>
      <c r="AH21339" s="831" t="s">
        <v>192</v>
      </c>
      <c r="AI21339" s="831">
        <v>0</v>
      </c>
      <c r="AJ21339" s="835">
        <v>42035</v>
      </c>
      <c r="AK21339" s="831">
        <v>-9765211</v>
      </c>
    </row>
    <row r="21340" spans="32:37">
      <c r="AF21340" s="831" t="s">
        <v>11847</v>
      </c>
      <c r="AG21340" s="831" t="s">
        <v>2674</v>
      </c>
      <c r="AH21340" s="831" t="s">
        <v>558</v>
      </c>
      <c r="AI21340" s="831">
        <v>0</v>
      </c>
      <c r="AJ21340" s="835">
        <v>42035</v>
      </c>
      <c r="AK21340" s="831">
        <v>895749019</v>
      </c>
    </row>
    <row r="21341" spans="32:37">
      <c r="AF21341" s="831" t="s">
        <v>11848</v>
      </c>
      <c r="AG21341" s="831" t="s">
        <v>2674</v>
      </c>
      <c r="AH21341" s="831" t="s">
        <v>65</v>
      </c>
      <c r="AI21341" s="831">
        <v>0</v>
      </c>
      <c r="AJ21341" s="835">
        <v>42035</v>
      </c>
      <c r="AK21341" s="831">
        <v>16060962</v>
      </c>
    </row>
    <row r="21342" spans="32:37">
      <c r="AF21342" s="831" t="s">
        <v>11849</v>
      </c>
      <c r="AG21342" s="831" t="s">
        <v>2674</v>
      </c>
      <c r="AH21342" s="831" t="s">
        <v>89</v>
      </c>
      <c r="AI21342" s="831">
        <v>0</v>
      </c>
      <c r="AJ21342" s="835">
        <v>42035</v>
      </c>
      <c r="AK21342" s="831">
        <v>158062</v>
      </c>
    </row>
    <row r="21343" spans="32:37">
      <c r="AF21343" s="831" t="s">
        <v>11850</v>
      </c>
      <c r="AG21343" s="831" t="s">
        <v>2674</v>
      </c>
      <c r="AH21343" s="831" t="s">
        <v>557</v>
      </c>
      <c r="AI21343" s="831">
        <v>0</v>
      </c>
      <c r="AJ21343" s="835">
        <v>42035</v>
      </c>
      <c r="AK21343" s="831">
        <v>180227</v>
      </c>
    </row>
    <row r="21344" spans="32:37">
      <c r="AF21344" s="831" t="s">
        <v>11851</v>
      </c>
      <c r="AG21344" s="831" t="s">
        <v>2674</v>
      </c>
      <c r="AH21344" s="831" t="s">
        <v>29</v>
      </c>
      <c r="AI21344" s="831">
        <v>0</v>
      </c>
      <c r="AJ21344" s="835">
        <v>42035</v>
      </c>
      <c r="AK21344" s="831">
        <v>7401483</v>
      </c>
    </row>
    <row r="21345" spans="32:37">
      <c r="AF21345" s="831" t="s">
        <v>11852</v>
      </c>
      <c r="AG21345" s="831" t="s">
        <v>2674</v>
      </c>
      <c r="AH21345" s="831" t="s">
        <v>2688</v>
      </c>
      <c r="AI21345" s="831">
        <v>0</v>
      </c>
      <c r="AJ21345" s="835">
        <v>42035</v>
      </c>
      <c r="AK21345" s="831">
        <v>5438707</v>
      </c>
    </row>
    <row r="21346" spans="32:37">
      <c r="AF21346" s="831" t="s">
        <v>11853</v>
      </c>
      <c r="AG21346" s="831" t="s">
        <v>2674</v>
      </c>
      <c r="AH21346" s="831" t="s">
        <v>556</v>
      </c>
      <c r="AI21346" s="831">
        <v>0</v>
      </c>
      <c r="AJ21346" s="835">
        <v>42035</v>
      </c>
      <c r="AK21346" s="831">
        <v>11412135</v>
      </c>
    </row>
    <row r="21347" spans="32:37">
      <c r="AF21347" s="831" t="s">
        <v>11854</v>
      </c>
      <c r="AG21347" s="831" t="s">
        <v>2674</v>
      </c>
      <c r="AH21347" s="831" t="s">
        <v>555</v>
      </c>
      <c r="AI21347" s="831">
        <v>0</v>
      </c>
      <c r="AJ21347" s="835">
        <v>42035</v>
      </c>
      <c r="AK21347" s="831">
        <v>579511362</v>
      </c>
    </row>
    <row r="21348" spans="32:37">
      <c r="AF21348" s="831" t="s">
        <v>11855</v>
      </c>
      <c r="AG21348" s="831" t="s">
        <v>2674</v>
      </c>
      <c r="AH21348" s="831" t="s">
        <v>554</v>
      </c>
      <c r="AI21348" s="831">
        <v>0</v>
      </c>
      <c r="AJ21348" s="835">
        <v>42035</v>
      </c>
      <c r="AK21348" s="831">
        <v>622474260</v>
      </c>
    </row>
    <row r="21349" spans="32:37">
      <c r="AF21349" s="831" t="s">
        <v>11856</v>
      </c>
      <c r="AG21349" s="831" t="s">
        <v>2674</v>
      </c>
      <c r="AH21349" s="831" t="s">
        <v>553</v>
      </c>
      <c r="AI21349" s="831">
        <v>0</v>
      </c>
      <c r="AJ21349" s="835">
        <v>42035</v>
      </c>
      <c r="AK21349" s="831">
        <v>0</v>
      </c>
    </row>
    <row r="21350" spans="32:37">
      <c r="AF21350" s="831" t="s">
        <v>11857</v>
      </c>
      <c r="AG21350" s="831" t="s">
        <v>2674</v>
      </c>
      <c r="AH21350" s="831" t="s">
        <v>552</v>
      </c>
      <c r="AI21350" s="831">
        <v>0</v>
      </c>
      <c r="AJ21350" s="835">
        <v>42035</v>
      </c>
      <c r="AK21350" s="831">
        <v>0</v>
      </c>
    </row>
    <row r="21351" spans="32:37">
      <c r="AF21351" s="831" t="s">
        <v>11858</v>
      </c>
      <c r="AG21351" s="831" t="s">
        <v>2674</v>
      </c>
      <c r="AH21351" s="831" t="s">
        <v>551</v>
      </c>
      <c r="AI21351" s="831">
        <v>0</v>
      </c>
      <c r="AJ21351" s="835">
        <v>42035</v>
      </c>
      <c r="AK21351" s="831">
        <v>5260060</v>
      </c>
    </row>
    <row r="21352" spans="32:37">
      <c r="AF21352" s="831" t="s">
        <v>11859</v>
      </c>
      <c r="AG21352" s="831" t="s">
        <v>2674</v>
      </c>
      <c r="AH21352" s="831" t="s">
        <v>550</v>
      </c>
      <c r="AI21352" s="831">
        <v>0</v>
      </c>
      <c r="AJ21352" s="835">
        <v>42035</v>
      </c>
      <c r="AK21352" s="831">
        <v>145409000</v>
      </c>
    </row>
    <row r="21353" spans="32:37">
      <c r="AF21353" s="831" t="s">
        <v>11860</v>
      </c>
      <c r="AG21353" s="831" t="s">
        <v>2674</v>
      </c>
      <c r="AH21353" s="831" t="s">
        <v>562</v>
      </c>
      <c r="AI21353" s="831">
        <v>0</v>
      </c>
      <c r="AJ21353" s="835">
        <v>42035</v>
      </c>
      <c r="AK21353" s="831">
        <v>0.78439999999999999</v>
      </c>
    </row>
    <row r="21354" spans="32:37">
      <c r="AF21354" s="831" t="s">
        <v>11861</v>
      </c>
      <c r="AG21354" s="831" t="s">
        <v>2674</v>
      </c>
      <c r="AH21354" s="831" t="s">
        <v>2698</v>
      </c>
      <c r="AI21354" s="831">
        <v>0</v>
      </c>
      <c r="AJ21354" s="835">
        <v>42035</v>
      </c>
      <c r="AK21354" s="831">
        <v>0.78310000000000002</v>
      </c>
    </row>
    <row r="21355" spans="32:37">
      <c r="AF21355" s="831" t="s">
        <v>11862</v>
      </c>
      <c r="AG21355" s="831" t="s">
        <v>2674</v>
      </c>
      <c r="AH21355" s="831" t="s">
        <v>560</v>
      </c>
      <c r="AI21355" s="831">
        <v>0</v>
      </c>
      <c r="AJ21355" s="835">
        <v>42035</v>
      </c>
      <c r="AK21355" s="831">
        <v>0.78439999999999999</v>
      </c>
    </row>
    <row r="21356" spans="32:37">
      <c r="AF21356" s="831" t="s">
        <v>11863</v>
      </c>
      <c r="AG21356" s="831" t="s">
        <v>2674</v>
      </c>
      <c r="AH21356" s="831" t="s">
        <v>559</v>
      </c>
      <c r="AI21356" s="831">
        <v>0</v>
      </c>
      <c r="AJ21356" s="835">
        <v>42035</v>
      </c>
      <c r="AK21356" s="831">
        <v>0.78369583333333326</v>
      </c>
    </row>
    <row r="21357" spans="32:37">
      <c r="AF21357" s="831" t="s">
        <v>11864</v>
      </c>
      <c r="AG21357" s="831" t="s">
        <v>2674</v>
      </c>
      <c r="AH21357" s="831" t="s">
        <v>568</v>
      </c>
      <c r="AI21357" s="831">
        <v>0</v>
      </c>
      <c r="AJ21357" s="835">
        <v>42035</v>
      </c>
      <c r="AK21357" s="831">
        <v>739343777.07692313</v>
      </c>
    </row>
    <row r="21358" spans="32:37">
      <c r="AF21358" s="831" t="s">
        <v>11865</v>
      </c>
      <c r="AG21358" s="831" t="s">
        <v>2674</v>
      </c>
      <c r="AH21358" s="831" t="s">
        <v>569</v>
      </c>
      <c r="AI21358" s="831">
        <v>0</v>
      </c>
      <c r="AJ21358" s="835">
        <v>42035</v>
      </c>
      <c r="AK21358" s="831">
        <v>919552846</v>
      </c>
    </row>
    <row r="21359" spans="32:37">
      <c r="AF21359" s="831" t="s">
        <v>11866</v>
      </c>
      <c r="AG21359" s="831" t="s">
        <v>2674</v>
      </c>
      <c r="AH21359" s="831" t="s">
        <v>570</v>
      </c>
      <c r="AI21359" s="831">
        <v>0</v>
      </c>
      <c r="AJ21359" s="835">
        <v>42035</v>
      </c>
      <c r="AK21359" s="831">
        <v>136809116.92538461</v>
      </c>
    </row>
    <row r="21360" spans="32:37">
      <c r="AF21360" s="831" t="s">
        <v>11867</v>
      </c>
      <c r="AG21360" s="831" t="s">
        <v>2674</v>
      </c>
      <c r="AH21360" s="831" t="s">
        <v>571</v>
      </c>
      <c r="AI21360" s="831">
        <v>0</v>
      </c>
      <c r="AJ21360" s="835">
        <v>42035</v>
      </c>
      <c r="AK21360" s="831">
        <v>456907538.41669232</v>
      </c>
    </row>
    <row r="21361" spans="32:37">
      <c r="AF21361" s="831" t="s">
        <v>11868</v>
      </c>
      <c r="AG21361" s="831" t="s">
        <v>2674</v>
      </c>
      <c r="AH21361" s="831" t="s">
        <v>573</v>
      </c>
      <c r="AI21361" s="831">
        <v>0</v>
      </c>
      <c r="AJ21361" s="835">
        <v>42035</v>
      </c>
      <c r="AK21361" s="831">
        <v>1043409621.5</v>
      </c>
    </row>
    <row r="21362" spans="32:37">
      <c r="AF21362" s="831" t="s">
        <v>11869</v>
      </c>
      <c r="AG21362" s="831" t="s">
        <v>2674</v>
      </c>
      <c r="AH21362" s="831" t="s">
        <v>574</v>
      </c>
      <c r="AI21362" s="831">
        <v>0</v>
      </c>
      <c r="AJ21362" s="835">
        <v>42035</v>
      </c>
      <c r="AK21362" s="831">
        <v>829336654.5</v>
      </c>
    </row>
    <row r="21363" spans="32:37">
      <c r="AF21363" s="831" t="s">
        <v>11870</v>
      </c>
      <c r="AG21363" s="831" t="s">
        <v>2674</v>
      </c>
      <c r="AH21363" s="831" t="s">
        <v>575</v>
      </c>
      <c r="AI21363" s="831">
        <v>0</v>
      </c>
      <c r="AJ21363" s="835">
        <v>42035</v>
      </c>
      <c r="AK21363" s="831">
        <v>147134612</v>
      </c>
    </row>
    <row r="21364" spans="32:37">
      <c r="AF21364" s="831" t="s">
        <v>11871</v>
      </c>
      <c r="AG21364" s="831" t="s">
        <v>2674</v>
      </c>
      <c r="AH21364" s="831" t="s">
        <v>576</v>
      </c>
      <c r="AI21364" s="831">
        <v>0</v>
      </c>
      <c r="AJ21364" s="835">
        <v>42035</v>
      </c>
      <c r="AK21364" s="831">
        <v>535265337</v>
      </c>
    </row>
    <row r="21365" spans="32:37">
      <c r="AF21365" s="831" t="s">
        <v>11872</v>
      </c>
      <c r="AG21365" s="831" t="s">
        <v>2674</v>
      </c>
      <c r="AH21365" s="831" t="s">
        <v>572</v>
      </c>
      <c r="AI21365" s="831">
        <v>0</v>
      </c>
      <c r="AJ21365" s="835">
        <v>42035</v>
      </c>
      <c r="AK21365" s="831">
        <v>43193117</v>
      </c>
    </row>
    <row r="21366" spans="32:37">
      <c r="AF21366" s="831" t="s">
        <v>11873</v>
      </c>
      <c r="AG21366" s="831" t="s">
        <v>2674</v>
      </c>
      <c r="AH21366" s="831" t="s">
        <v>577</v>
      </c>
      <c r="AI21366" s="831">
        <v>0</v>
      </c>
      <c r="AJ21366" s="835">
        <v>42035</v>
      </c>
      <c r="AK21366" s="831">
        <v>172605174</v>
      </c>
    </row>
    <row r="21367" spans="32:37">
      <c r="AF21367" s="831" t="s">
        <v>11874</v>
      </c>
      <c r="AG21367" s="831" t="s">
        <v>2674</v>
      </c>
      <c r="AH21367" s="831" t="s">
        <v>3042</v>
      </c>
      <c r="AI21367" s="831">
        <v>0</v>
      </c>
      <c r="AJ21367" s="835">
        <v>42035</v>
      </c>
      <c r="AK21367" s="831">
        <v>-52806938</v>
      </c>
    </row>
    <row r="21368" spans="32:37">
      <c r="AF21368" s="831" t="s">
        <v>11875</v>
      </c>
      <c r="AG21368" s="831" t="s">
        <v>2674</v>
      </c>
      <c r="AH21368" s="831" t="s">
        <v>3044</v>
      </c>
      <c r="AI21368" s="831">
        <v>0</v>
      </c>
      <c r="AJ21368" s="835">
        <v>42035</v>
      </c>
      <c r="AK21368" s="831">
        <v>3134380</v>
      </c>
    </row>
    <row r="21369" spans="32:37">
      <c r="AF21369" s="831" t="s">
        <v>11876</v>
      </c>
      <c r="AG21369" s="831" t="s">
        <v>2674</v>
      </c>
      <c r="AH21369" s="831" t="s">
        <v>580</v>
      </c>
      <c r="AI21369" s="831">
        <v>0</v>
      </c>
      <c r="AJ21369" s="835">
        <v>42035</v>
      </c>
      <c r="AK21369" s="831">
        <v>-79238495</v>
      </c>
    </row>
    <row r="21370" spans="32:37">
      <c r="AF21370" s="831" t="s">
        <v>11877</v>
      </c>
      <c r="AG21370" s="831" t="s">
        <v>2674</v>
      </c>
      <c r="AH21370" s="831" t="s">
        <v>581</v>
      </c>
      <c r="AI21370" s="831">
        <v>0</v>
      </c>
      <c r="AJ21370" s="835">
        <v>42035</v>
      </c>
      <c r="AK21370" s="831">
        <v>9801179</v>
      </c>
    </row>
    <row r="21371" spans="32:37">
      <c r="AF21371" s="831" t="s">
        <v>11878</v>
      </c>
      <c r="AG21371" s="831" t="s">
        <v>2674</v>
      </c>
      <c r="AH21371" s="831" t="s">
        <v>105</v>
      </c>
      <c r="AI21371" s="831">
        <v>0</v>
      </c>
      <c r="AJ21371" s="835">
        <v>42035</v>
      </c>
      <c r="AK21371" s="831">
        <v>538185674</v>
      </c>
    </row>
    <row r="21372" spans="32:37">
      <c r="AF21372" s="831" t="s">
        <v>11879</v>
      </c>
      <c r="AG21372" s="831" t="s">
        <v>2674</v>
      </c>
      <c r="AH21372" s="831" t="s">
        <v>3049</v>
      </c>
      <c r="AI21372" s="831">
        <v>0</v>
      </c>
      <c r="AJ21372" s="835">
        <v>42035</v>
      </c>
      <c r="AK21372" s="831">
        <v>868832996</v>
      </c>
    </row>
    <row r="21373" spans="32:37">
      <c r="AF21373" s="831" t="s">
        <v>11880</v>
      </c>
      <c r="AG21373" s="831" t="s">
        <v>2674</v>
      </c>
      <c r="AH21373" s="831" t="s">
        <v>103</v>
      </c>
      <c r="AI21373" s="831">
        <v>0</v>
      </c>
      <c r="AJ21373" s="835">
        <v>42035</v>
      </c>
      <c r="AK21373" s="831">
        <v>330647322</v>
      </c>
    </row>
    <row r="21374" spans="32:37">
      <c r="AF21374" s="831" t="s">
        <v>11881</v>
      </c>
      <c r="AG21374" s="831" t="s">
        <v>2674</v>
      </c>
      <c r="AH21374" s="831" t="s">
        <v>182</v>
      </c>
      <c r="AI21374" s="831">
        <v>0</v>
      </c>
      <c r="AJ21374" s="835">
        <v>42035</v>
      </c>
      <c r="AK21374" s="831">
        <v>79397220</v>
      </c>
    </row>
    <row r="21375" spans="32:37">
      <c r="AF21375" s="831" t="s">
        <v>11882</v>
      </c>
      <c r="AG21375" s="831" t="s">
        <v>2674</v>
      </c>
      <c r="AH21375" s="831" t="s">
        <v>6600</v>
      </c>
      <c r="AI21375" s="831">
        <v>0</v>
      </c>
      <c r="AJ21375" s="835">
        <v>42035</v>
      </c>
      <c r="AK21375" s="831">
        <v>43193117</v>
      </c>
    </row>
    <row r="21376" spans="32:37">
      <c r="AF21376" s="831" t="s">
        <v>11883</v>
      </c>
      <c r="AG21376" s="831" t="s">
        <v>2674</v>
      </c>
      <c r="AH21376" s="831" t="s">
        <v>6602</v>
      </c>
      <c r="AI21376" s="831">
        <v>0</v>
      </c>
      <c r="AJ21376" s="835">
        <v>42035</v>
      </c>
      <c r="AK21376" s="831">
        <v>3451938</v>
      </c>
    </row>
    <row r="21377" spans="32:37">
      <c r="AF21377" s="831" t="s">
        <v>11884</v>
      </c>
      <c r="AG21377" s="831" t="s">
        <v>2674</v>
      </c>
      <c r="AH21377" s="831" t="s">
        <v>650</v>
      </c>
      <c r="AI21377" s="831">
        <v>0</v>
      </c>
      <c r="AJ21377" s="835">
        <v>42035</v>
      </c>
      <c r="AK21377" s="831">
        <v>300938254.07461542</v>
      </c>
    </row>
    <row r="21378" spans="32:37">
      <c r="AF21378" s="831" t="s">
        <v>11885</v>
      </c>
      <c r="AG21378" s="831" t="s">
        <v>2674</v>
      </c>
      <c r="AH21378" s="831" t="s">
        <v>655</v>
      </c>
      <c r="AI21378" s="831">
        <v>0</v>
      </c>
      <c r="AJ21378" s="835">
        <v>42035</v>
      </c>
      <c r="AK21378" s="831">
        <v>4403089</v>
      </c>
    </row>
    <row r="21379" spans="32:37">
      <c r="AF21379" s="831" t="s">
        <v>11886</v>
      </c>
      <c r="AG21379" s="831" t="s">
        <v>2674</v>
      </c>
      <c r="AH21379" s="831" t="s">
        <v>546</v>
      </c>
      <c r="AI21379" s="831">
        <v>0</v>
      </c>
      <c r="AJ21379" s="835">
        <v>42063</v>
      </c>
      <c r="AK21379" s="831">
        <v>965858339</v>
      </c>
    </row>
    <row r="21380" spans="32:37">
      <c r="AF21380" s="831" t="s">
        <v>11887</v>
      </c>
      <c r="AG21380" s="831" t="s">
        <v>2674</v>
      </c>
      <c r="AH21380" s="831" t="s">
        <v>370</v>
      </c>
      <c r="AI21380" s="831">
        <v>0</v>
      </c>
      <c r="AJ21380" s="835">
        <v>42063</v>
      </c>
      <c r="AK21380" s="831">
        <v>1253581727</v>
      </c>
    </row>
    <row r="21381" spans="32:37">
      <c r="AF21381" s="831" t="s">
        <v>11888</v>
      </c>
      <c r="AG21381" s="831" t="s">
        <v>2674</v>
      </c>
      <c r="AH21381" s="831" t="s">
        <v>126</v>
      </c>
      <c r="AI21381" s="831">
        <v>0</v>
      </c>
      <c r="AJ21381" s="835">
        <v>42063</v>
      </c>
      <c r="AK21381" s="831">
        <v>143500530</v>
      </c>
    </row>
    <row r="21382" spans="32:37">
      <c r="AF21382" s="831" t="s">
        <v>11889</v>
      </c>
      <c r="AG21382" s="831" t="s">
        <v>2674</v>
      </c>
      <c r="AH21382" s="831" t="s">
        <v>268</v>
      </c>
      <c r="AI21382" s="831">
        <v>0</v>
      </c>
      <c r="AJ21382" s="835">
        <v>42063</v>
      </c>
      <c r="AK21382" s="831">
        <v>-1907756</v>
      </c>
    </row>
    <row r="21383" spans="32:37">
      <c r="AF21383" s="831" t="s">
        <v>11890</v>
      </c>
      <c r="AG21383" s="831" t="s">
        <v>2674</v>
      </c>
      <c r="AH21383" s="831" t="s">
        <v>547</v>
      </c>
      <c r="AI21383" s="831">
        <v>0</v>
      </c>
      <c r="AJ21383" s="835">
        <v>42063</v>
      </c>
      <c r="AK21383" s="831">
        <v>1044609243</v>
      </c>
    </row>
    <row r="21384" spans="32:37">
      <c r="AF21384" s="831" t="s">
        <v>11891</v>
      </c>
      <c r="AG21384" s="831" t="s">
        <v>2674</v>
      </c>
      <c r="AH21384" s="831" t="s">
        <v>548</v>
      </c>
      <c r="AI21384" s="831">
        <v>0</v>
      </c>
      <c r="AJ21384" s="835">
        <v>42063</v>
      </c>
      <c r="AK21384" s="831">
        <v>148860224</v>
      </c>
    </row>
    <row r="21385" spans="32:37">
      <c r="AF21385" s="831" t="s">
        <v>11892</v>
      </c>
      <c r="AG21385" s="831" t="s">
        <v>2674</v>
      </c>
      <c r="AH21385" s="831" t="s">
        <v>549</v>
      </c>
      <c r="AI21385" s="831">
        <v>0</v>
      </c>
      <c r="AJ21385" s="835">
        <v>42063</v>
      </c>
      <c r="AK21385" s="831">
        <v>652795035</v>
      </c>
    </row>
    <row r="21386" spans="32:37">
      <c r="AF21386" s="831" t="s">
        <v>11893</v>
      </c>
      <c r="AG21386" s="831" t="s">
        <v>2674</v>
      </c>
      <c r="AH21386" s="831" t="s">
        <v>192</v>
      </c>
      <c r="AI21386" s="831">
        <v>0</v>
      </c>
      <c r="AJ21386" s="835">
        <v>42063</v>
      </c>
      <c r="AK21386" s="831">
        <v>-13765211</v>
      </c>
    </row>
    <row r="21387" spans="32:37">
      <c r="AF21387" s="831" t="s">
        <v>11894</v>
      </c>
      <c r="AG21387" s="831" t="s">
        <v>2674</v>
      </c>
      <c r="AH21387" s="831" t="s">
        <v>558</v>
      </c>
      <c r="AI21387" s="831">
        <v>0</v>
      </c>
      <c r="AJ21387" s="835">
        <v>42063</v>
      </c>
      <c r="AK21387" s="831">
        <v>1110081197</v>
      </c>
    </row>
    <row r="21388" spans="32:37">
      <c r="AF21388" s="831" t="s">
        <v>11895</v>
      </c>
      <c r="AG21388" s="831" t="s">
        <v>2674</v>
      </c>
      <c r="AH21388" s="831" t="s">
        <v>65</v>
      </c>
      <c r="AI21388" s="831">
        <v>0</v>
      </c>
      <c r="AJ21388" s="835">
        <v>42063</v>
      </c>
      <c r="AK21388" s="831">
        <v>31017741</v>
      </c>
    </row>
    <row r="21389" spans="32:37">
      <c r="AF21389" s="831" t="s">
        <v>11896</v>
      </c>
      <c r="AG21389" s="831" t="s">
        <v>2674</v>
      </c>
      <c r="AH21389" s="831" t="s">
        <v>89</v>
      </c>
      <c r="AI21389" s="831">
        <v>0</v>
      </c>
      <c r="AJ21389" s="835">
        <v>42063</v>
      </c>
      <c r="AK21389" s="831">
        <v>157073</v>
      </c>
    </row>
    <row r="21390" spans="32:37">
      <c r="AF21390" s="831" t="s">
        <v>11897</v>
      </c>
      <c r="AG21390" s="831" t="s">
        <v>2674</v>
      </c>
      <c r="AH21390" s="831" t="s">
        <v>557</v>
      </c>
      <c r="AI21390" s="831">
        <v>0</v>
      </c>
      <c r="AJ21390" s="835">
        <v>42063</v>
      </c>
      <c r="AK21390" s="831">
        <v>179494</v>
      </c>
    </row>
    <row r="21391" spans="32:37">
      <c r="AF21391" s="831" t="s">
        <v>11898</v>
      </c>
      <c r="AG21391" s="831" t="s">
        <v>2674</v>
      </c>
      <c r="AH21391" s="831" t="s">
        <v>29</v>
      </c>
      <c r="AI21391" s="831">
        <v>0</v>
      </c>
      <c r="AJ21391" s="835">
        <v>42063</v>
      </c>
      <c r="AK21391" s="831">
        <v>8683621</v>
      </c>
    </row>
    <row r="21392" spans="32:37">
      <c r="AF21392" s="831" t="s">
        <v>11899</v>
      </c>
      <c r="AG21392" s="831" t="s">
        <v>2674</v>
      </c>
      <c r="AH21392" s="831" t="s">
        <v>2688</v>
      </c>
      <c r="AI21392" s="831">
        <v>0</v>
      </c>
      <c r="AJ21392" s="835">
        <v>42063</v>
      </c>
      <c r="AK21392" s="831">
        <v>11508492</v>
      </c>
    </row>
    <row r="21393" spans="32:37">
      <c r="AF21393" s="831" t="s">
        <v>11900</v>
      </c>
      <c r="AG21393" s="831" t="s">
        <v>2674</v>
      </c>
      <c r="AH21393" s="831" t="s">
        <v>556</v>
      </c>
      <c r="AI21393" s="831">
        <v>0</v>
      </c>
      <c r="AJ21393" s="835">
        <v>42063</v>
      </c>
      <c r="AK21393" s="831">
        <v>11412135</v>
      </c>
    </row>
    <row r="21394" spans="32:37">
      <c r="AF21394" s="831" t="s">
        <v>11901</v>
      </c>
      <c r="AG21394" s="831" t="s">
        <v>2674</v>
      </c>
      <c r="AH21394" s="831" t="s">
        <v>555</v>
      </c>
      <c r="AI21394" s="831">
        <v>0</v>
      </c>
      <c r="AJ21394" s="835">
        <v>42063</v>
      </c>
      <c r="AK21394" s="831">
        <v>771141919</v>
      </c>
    </row>
    <row r="21395" spans="32:37">
      <c r="AF21395" s="831" t="s">
        <v>11902</v>
      </c>
      <c r="AG21395" s="831" t="s">
        <v>2674</v>
      </c>
      <c r="AH21395" s="831" t="s">
        <v>554</v>
      </c>
      <c r="AI21395" s="831">
        <v>0</v>
      </c>
      <c r="AJ21395" s="835">
        <v>42063</v>
      </c>
      <c r="AK21395" s="831">
        <v>856164850</v>
      </c>
    </row>
    <row r="21396" spans="32:37">
      <c r="AF21396" s="831" t="s">
        <v>11903</v>
      </c>
      <c r="AG21396" s="831" t="s">
        <v>2674</v>
      </c>
      <c r="AH21396" s="831" t="s">
        <v>553</v>
      </c>
      <c r="AI21396" s="831">
        <v>0</v>
      </c>
      <c r="AJ21396" s="835">
        <v>42063</v>
      </c>
      <c r="AK21396" s="831">
        <v>92382400</v>
      </c>
    </row>
    <row r="21397" spans="32:37">
      <c r="AF21397" s="831" t="s">
        <v>11904</v>
      </c>
      <c r="AG21397" s="831" t="s">
        <v>2674</v>
      </c>
      <c r="AH21397" s="831" t="s">
        <v>552</v>
      </c>
      <c r="AI21397" s="831">
        <v>0</v>
      </c>
      <c r="AJ21397" s="835">
        <v>42063</v>
      </c>
      <c r="AK21397" s="831">
        <v>0</v>
      </c>
    </row>
    <row r="21398" spans="32:37">
      <c r="AF21398" s="831" t="s">
        <v>11905</v>
      </c>
      <c r="AG21398" s="831" t="s">
        <v>2674</v>
      </c>
      <c r="AH21398" s="831" t="s">
        <v>551</v>
      </c>
      <c r="AI21398" s="831">
        <v>0</v>
      </c>
      <c r="AJ21398" s="835">
        <v>42063</v>
      </c>
      <c r="AK21398" s="831">
        <v>7487687</v>
      </c>
    </row>
    <row r="21399" spans="32:37">
      <c r="AF21399" s="831" t="s">
        <v>11906</v>
      </c>
      <c r="AG21399" s="831" t="s">
        <v>2674</v>
      </c>
      <c r="AH21399" s="831" t="s">
        <v>550</v>
      </c>
      <c r="AI21399" s="831">
        <v>0</v>
      </c>
      <c r="AJ21399" s="835">
        <v>42063</v>
      </c>
      <c r="AK21399" s="831">
        <v>148860224</v>
      </c>
    </row>
    <row r="21400" spans="32:37">
      <c r="AF21400" s="831" t="s">
        <v>11907</v>
      </c>
      <c r="AG21400" s="831" t="s">
        <v>2674</v>
      </c>
      <c r="AH21400" s="831" t="s">
        <v>562</v>
      </c>
      <c r="AI21400" s="831">
        <v>0</v>
      </c>
      <c r="AJ21400" s="835">
        <v>42063</v>
      </c>
      <c r="AK21400" s="831">
        <v>1.04575</v>
      </c>
    </row>
    <row r="21401" spans="32:37">
      <c r="AF21401" s="831" t="s">
        <v>11908</v>
      </c>
      <c r="AG21401" s="831" t="s">
        <v>2674</v>
      </c>
      <c r="AH21401" s="831" t="s">
        <v>2698</v>
      </c>
      <c r="AI21401" s="831">
        <v>0</v>
      </c>
      <c r="AJ21401" s="835">
        <v>42063</v>
      </c>
      <c r="AK21401" s="831">
        <v>0.78439999999999999</v>
      </c>
    </row>
    <row r="21402" spans="32:37">
      <c r="AF21402" s="831" t="s">
        <v>11909</v>
      </c>
      <c r="AG21402" s="831" t="s">
        <v>2674</v>
      </c>
      <c r="AH21402" s="831" t="s">
        <v>560</v>
      </c>
      <c r="AI21402" s="831">
        <v>0</v>
      </c>
      <c r="AJ21402" s="835">
        <v>42063</v>
      </c>
      <c r="AK21402" s="831">
        <v>0.91507499999999997</v>
      </c>
    </row>
    <row r="21403" spans="32:37">
      <c r="AF21403" s="831" t="s">
        <v>11910</v>
      </c>
      <c r="AG21403" s="831" t="s">
        <v>2674</v>
      </c>
      <c r="AH21403" s="831" t="s">
        <v>559</v>
      </c>
      <c r="AI21403" s="831">
        <v>0</v>
      </c>
      <c r="AJ21403" s="835">
        <v>42063</v>
      </c>
      <c r="AK21403" s="831">
        <v>0.80552083333333313</v>
      </c>
    </row>
    <row r="21404" spans="32:37">
      <c r="AF21404" s="831" t="s">
        <v>11911</v>
      </c>
      <c r="AG21404" s="831" t="s">
        <v>2674</v>
      </c>
      <c r="AH21404" s="831" t="s">
        <v>568</v>
      </c>
      <c r="AI21404" s="831">
        <v>0</v>
      </c>
      <c r="AJ21404" s="835">
        <v>42063</v>
      </c>
      <c r="AK21404" s="831">
        <v>764746840.38461542</v>
      </c>
    </row>
    <row r="21405" spans="32:37">
      <c r="AF21405" s="831" t="s">
        <v>11912</v>
      </c>
      <c r="AG21405" s="831" t="s">
        <v>2674</v>
      </c>
      <c r="AH21405" s="831" t="s">
        <v>569</v>
      </c>
      <c r="AI21405" s="831">
        <v>0</v>
      </c>
      <c r="AJ21405" s="835">
        <v>42063</v>
      </c>
      <c r="AK21405" s="831">
        <v>956157596</v>
      </c>
    </row>
    <row r="21406" spans="32:37">
      <c r="AF21406" s="831" t="s">
        <v>11913</v>
      </c>
      <c r="AG21406" s="831" t="s">
        <v>2674</v>
      </c>
      <c r="AH21406" s="831" t="s">
        <v>570</v>
      </c>
      <c r="AI21406" s="831">
        <v>0</v>
      </c>
      <c r="AJ21406" s="835">
        <v>42063</v>
      </c>
      <c r="AK21406" s="831">
        <v>138839504.15615386</v>
      </c>
    </row>
    <row r="21407" spans="32:37">
      <c r="AF21407" s="831" t="s">
        <v>11914</v>
      </c>
      <c r="AG21407" s="831" t="s">
        <v>2674</v>
      </c>
      <c r="AH21407" s="831" t="s">
        <v>571</v>
      </c>
      <c r="AI21407" s="831">
        <v>0</v>
      </c>
      <c r="AJ21407" s="835">
        <v>42063</v>
      </c>
      <c r="AK21407" s="831">
        <v>482774872.10899997</v>
      </c>
    </row>
    <row r="21408" spans="32:37">
      <c r="AF21408" s="831" t="s">
        <v>11915</v>
      </c>
      <c r="AG21408" s="831" t="s">
        <v>2674</v>
      </c>
      <c r="AH21408" s="831" t="s">
        <v>573</v>
      </c>
      <c r="AI21408" s="831">
        <v>0</v>
      </c>
      <c r="AJ21408" s="835">
        <v>42063</v>
      </c>
      <c r="AK21408" s="831">
        <v>1113466990</v>
      </c>
    </row>
    <row r="21409" spans="32:37">
      <c r="AF21409" s="831" t="s">
        <v>11916</v>
      </c>
      <c r="AG21409" s="831" t="s">
        <v>2674</v>
      </c>
      <c r="AH21409" s="831" t="s">
        <v>574</v>
      </c>
      <c r="AI21409" s="831">
        <v>0</v>
      </c>
      <c r="AJ21409" s="835">
        <v>42063</v>
      </c>
      <c r="AK21409" s="831">
        <v>874843882.66666663</v>
      </c>
    </row>
    <row r="21410" spans="32:37">
      <c r="AF21410" s="831" t="s">
        <v>11917</v>
      </c>
      <c r="AG21410" s="831" t="s">
        <v>2674</v>
      </c>
      <c r="AH21410" s="831" t="s">
        <v>575</v>
      </c>
      <c r="AI21410" s="831">
        <v>0</v>
      </c>
      <c r="AJ21410" s="835">
        <v>42063</v>
      </c>
      <c r="AK21410" s="831">
        <v>145923251.33333334</v>
      </c>
    </row>
    <row r="21411" spans="32:37">
      <c r="AF21411" s="831" t="s">
        <v>11918</v>
      </c>
      <c r="AG21411" s="831" t="s">
        <v>2674</v>
      </c>
      <c r="AH21411" s="831" t="s">
        <v>576</v>
      </c>
      <c r="AI21411" s="831">
        <v>0</v>
      </c>
      <c r="AJ21411" s="835">
        <v>42063</v>
      </c>
      <c r="AK21411" s="831">
        <v>595110401.33333337</v>
      </c>
    </row>
    <row r="21412" spans="32:37">
      <c r="AF21412" s="831" t="s">
        <v>11919</v>
      </c>
      <c r="AG21412" s="831" t="s">
        <v>2674</v>
      </c>
      <c r="AH21412" s="831" t="s">
        <v>572</v>
      </c>
      <c r="AI21412" s="831">
        <v>0</v>
      </c>
      <c r="AJ21412" s="835">
        <v>42063</v>
      </c>
      <c r="AK21412" s="831">
        <v>33261949</v>
      </c>
    </row>
    <row r="21413" spans="32:37">
      <c r="AF21413" s="831" t="s">
        <v>11920</v>
      </c>
      <c r="AG21413" s="831" t="s">
        <v>2674</v>
      </c>
      <c r="AH21413" s="831" t="s">
        <v>577</v>
      </c>
      <c r="AI21413" s="831">
        <v>0</v>
      </c>
      <c r="AJ21413" s="835">
        <v>42063</v>
      </c>
      <c r="AK21413" s="831">
        <v>173134660</v>
      </c>
    </row>
    <row r="21414" spans="32:37">
      <c r="AF21414" s="831" t="s">
        <v>11921</v>
      </c>
      <c r="AG21414" s="831" t="s">
        <v>2674</v>
      </c>
      <c r="AH21414" s="831" t="s">
        <v>3042</v>
      </c>
      <c r="AI21414" s="831">
        <v>0</v>
      </c>
      <c r="AJ21414" s="835">
        <v>42063</v>
      </c>
      <c r="AK21414" s="831">
        <v>-53542458</v>
      </c>
    </row>
    <row r="21415" spans="32:37">
      <c r="AF21415" s="831" t="s">
        <v>11922</v>
      </c>
      <c r="AG21415" s="831" t="s">
        <v>2674</v>
      </c>
      <c r="AH21415" s="831" t="s">
        <v>3044</v>
      </c>
      <c r="AI21415" s="831">
        <v>0</v>
      </c>
      <c r="AJ21415" s="835">
        <v>42063</v>
      </c>
      <c r="AK21415" s="831">
        <v>-787106</v>
      </c>
    </row>
    <row r="21416" spans="32:37">
      <c r="AF21416" s="831" t="s">
        <v>11923</v>
      </c>
      <c r="AG21416" s="831" t="s">
        <v>2674</v>
      </c>
      <c r="AH21416" s="831" t="s">
        <v>580</v>
      </c>
      <c r="AI21416" s="831">
        <v>0</v>
      </c>
      <c r="AJ21416" s="835">
        <v>42063</v>
      </c>
      <c r="AK21416" s="831">
        <v>-82473719</v>
      </c>
    </row>
    <row r="21417" spans="32:37">
      <c r="AF21417" s="831" t="s">
        <v>11924</v>
      </c>
      <c r="AG21417" s="831" t="s">
        <v>2674</v>
      </c>
      <c r="AH21417" s="831" t="s">
        <v>581</v>
      </c>
      <c r="AI21417" s="831">
        <v>0</v>
      </c>
      <c r="AJ21417" s="835">
        <v>42063</v>
      </c>
      <c r="AK21417" s="831">
        <v>11169610</v>
      </c>
    </row>
    <row r="21418" spans="32:37">
      <c r="AF21418" s="831" t="s">
        <v>11925</v>
      </c>
      <c r="AG21418" s="831" t="s">
        <v>2674</v>
      </c>
      <c r="AH21418" s="831" t="s">
        <v>105</v>
      </c>
      <c r="AI21418" s="831">
        <v>0</v>
      </c>
      <c r="AJ21418" s="835">
        <v>42063</v>
      </c>
      <c r="AK21418" s="831">
        <v>714800530</v>
      </c>
    </row>
    <row r="21419" spans="32:37">
      <c r="AF21419" s="831" t="s">
        <v>11926</v>
      </c>
      <c r="AG21419" s="831" t="s">
        <v>2674</v>
      </c>
      <c r="AH21419" s="831" t="s">
        <v>3049</v>
      </c>
      <c r="AI21419" s="831">
        <v>0</v>
      </c>
      <c r="AJ21419" s="835">
        <v>42063</v>
      </c>
      <c r="AK21419" s="831">
        <v>1078776977</v>
      </c>
    </row>
    <row r="21420" spans="32:37">
      <c r="AF21420" s="831" t="s">
        <v>11927</v>
      </c>
      <c r="AG21420" s="831" t="s">
        <v>2674</v>
      </c>
      <c r="AH21420" s="831" t="s">
        <v>103</v>
      </c>
      <c r="AI21420" s="831">
        <v>0</v>
      </c>
      <c r="AJ21420" s="835">
        <v>42063</v>
      </c>
      <c r="AK21420" s="831">
        <v>363976447</v>
      </c>
    </row>
    <row r="21421" spans="32:37">
      <c r="AF21421" s="831" t="s">
        <v>11928</v>
      </c>
      <c r="AG21421" s="831" t="s">
        <v>2674</v>
      </c>
      <c r="AH21421" s="831" t="s">
        <v>182</v>
      </c>
      <c r="AI21421" s="831">
        <v>0</v>
      </c>
      <c r="AJ21421" s="835">
        <v>42063</v>
      </c>
      <c r="AK21421" s="831">
        <v>91149096</v>
      </c>
    </row>
    <row r="21422" spans="32:37">
      <c r="AF21422" s="831" t="s">
        <v>11929</v>
      </c>
      <c r="AG21422" s="831" t="s">
        <v>2674</v>
      </c>
      <c r="AH21422" s="831" t="s">
        <v>6600</v>
      </c>
      <c r="AI21422" s="831">
        <v>0</v>
      </c>
      <c r="AJ21422" s="835">
        <v>42063</v>
      </c>
      <c r="AK21422" s="831">
        <v>33261949</v>
      </c>
    </row>
    <row r="21423" spans="32:37">
      <c r="AF21423" s="831" t="s">
        <v>11930</v>
      </c>
      <c r="AG21423" s="831" t="s">
        <v>2674</v>
      </c>
      <c r="AH21423" s="831" t="s">
        <v>6602</v>
      </c>
      <c r="AI21423" s="831">
        <v>0</v>
      </c>
      <c r="AJ21423" s="835">
        <v>42063</v>
      </c>
      <c r="AK21423" s="831">
        <v>-1907756</v>
      </c>
    </row>
    <row r="21424" spans="32:37">
      <c r="AF21424" s="831" t="s">
        <v>11931</v>
      </c>
      <c r="AG21424" s="831" t="s">
        <v>2674</v>
      </c>
      <c r="AH21424" s="831" t="s">
        <v>650</v>
      </c>
      <c r="AI21424" s="831">
        <v>0</v>
      </c>
      <c r="AJ21424" s="835">
        <v>42063</v>
      </c>
      <c r="AK21424" s="831">
        <v>309129053.2630769</v>
      </c>
    </row>
    <row r="21425" spans="32:37">
      <c r="AF21425" s="831" t="s">
        <v>11932</v>
      </c>
      <c r="AG21425" s="831" t="s">
        <v>2674</v>
      </c>
      <c r="AH21425" s="831" t="s">
        <v>655</v>
      </c>
      <c r="AI21425" s="831">
        <v>0</v>
      </c>
      <c r="AJ21425" s="835">
        <v>42063</v>
      </c>
      <c r="AK21425" s="831">
        <v>7002831</v>
      </c>
    </row>
    <row r="21426" spans="32:37">
      <c r="AF21426" s="831" t="s">
        <v>11933</v>
      </c>
      <c r="AG21426" s="831" t="s">
        <v>2674</v>
      </c>
      <c r="AH21426" s="831" t="s">
        <v>546</v>
      </c>
      <c r="AI21426" s="831">
        <v>0</v>
      </c>
      <c r="AJ21426" s="835">
        <v>42094</v>
      </c>
      <c r="AK21426" s="831">
        <v>925259190</v>
      </c>
    </row>
    <row r="21427" spans="32:37">
      <c r="AF21427" s="831" t="s">
        <v>11934</v>
      </c>
      <c r="AG21427" s="831" t="s">
        <v>2674</v>
      </c>
      <c r="AH21427" s="831" t="s">
        <v>370</v>
      </c>
      <c r="AI21427" s="831">
        <v>0</v>
      </c>
      <c r="AJ21427" s="835">
        <v>42094</v>
      </c>
      <c r="AK21427" s="831">
        <v>1161484479</v>
      </c>
    </row>
    <row r="21428" spans="32:37">
      <c r="AF21428" s="831" t="s">
        <v>11935</v>
      </c>
      <c r="AG21428" s="831" t="s">
        <v>2674</v>
      </c>
      <c r="AH21428" s="831" t="s">
        <v>126</v>
      </c>
      <c r="AI21428" s="831">
        <v>0</v>
      </c>
      <c r="AJ21428" s="835">
        <v>42094</v>
      </c>
      <c r="AK21428" s="831">
        <v>147807134</v>
      </c>
    </row>
    <row r="21429" spans="32:37">
      <c r="AF21429" s="831" t="s">
        <v>11936</v>
      </c>
      <c r="AG21429" s="831" t="s">
        <v>2674</v>
      </c>
      <c r="AH21429" s="831" t="s">
        <v>268</v>
      </c>
      <c r="AI21429" s="831">
        <v>0</v>
      </c>
      <c r="AJ21429" s="835">
        <v>42094</v>
      </c>
      <c r="AK21429" s="831">
        <v>2398849</v>
      </c>
    </row>
    <row r="21430" spans="32:37">
      <c r="AF21430" s="831" t="s">
        <v>11937</v>
      </c>
      <c r="AG21430" s="831" t="s">
        <v>2674</v>
      </c>
      <c r="AH21430" s="831" t="s">
        <v>547</v>
      </c>
      <c r="AI21430" s="831">
        <v>0</v>
      </c>
      <c r="AJ21430" s="835">
        <v>42094</v>
      </c>
      <c r="AK21430" s="831">
        <v>1044609243</v>
      </c>
    </row>
    <row r="21431" spans="32:37">
      <c r="AF21431" s="831" t="s">
        <v>11938</v>
      </c>
      <c r="AG21431" s="831" t="s">
        <v>2674</v>
      </c>
      <c r="AH21431" s="831" t="s">
        <v>548</v>
      </c>
      <c r="AI21431" s="831">
        <v>0</v>
      </c>
      <c r="AJ21431" s="835">
        <v>42094</v>
      </c>
      <c r="AK21431" s="831">
        <v>148860224</v>
      </c>
    </row>
    <row r="21432" spans="32:37">
      <c r="AF21432" s="831" t="s">
        <v>11939</v>
      </c>
      <c r="AG21432" s="831" t="s">
        <v>2674</v>
      </c>
      <c r="AH21432" s="831" t="s">
        <v>549</v>
      </c>
      <c r="AI21432" s="831">
        <v>0</v>
      </c>
      <c r="AJ21432" s="835">
        <v>42094</v>
      </c>
      <c r="AK21432" s="831">
        <v>664153787</v>
      </c>
    </row>
    <row r="21433" spans="32:37">
      <c r="AF21433" s="831" t="s">
        <v>11940</v>
      </c>
      <c r="AG21433" s="831" t="s">
        <v>2674</v>
      </c>
      <c r="AH21433" s="831" t="s">
        <v>192</v>
      </c>
      <c r="AI21433" s="831">
        <v>0</v>
      </c>
      <c r="AJ21433" s="835">
        <v>42094</v>
      </c>
      <c r="AK21433" s="831">
        <v>-15332196</v>
      </c>
    </row>
    <row r="21434" spans="32:37">
      <c r="AF21434" s="831" t="s">
        <v>11941</v>
      </c>
      <c r="AG21434" s="831" t="s">
        <v>2674</v>
      </c>
      <c r="AH21434" s="831" t="s">
        <v>558</v>
      </c>
      <c r="AI21434" s="831">
        <v>0</v>
      </c>
      <c r="AJ21434" s="835">
        <v>42094</v>
      </c>
      <c r="AK21434" s="831">
        <v>1013677345</v>
      </c>
    </row>
    <row r="21435" spans="32:37">
      <c r="AF21435" s="831" t="s">
        <v>11942</v>
      </c>
      <c r="AG21435" s="831" t="s">
        <v>2674</v>
      </c>
      <c r="AH21435" s="831" t="s">
        <v>65</v>
      </c>
      <c r="AI21435" s="831">
        <v>0</v>
      </c>
      <c r="AJ21435" s="835">
        <v>42094</v>
      </c>
      <c r="AK21435" s="831">
        <v>48515498</v>
      </c>
    </row>
    <row r="21436" spans="32:37">
      <c r="AF21436" s="831" t="s">
        <v>11943</v>
      </c>
      <c r="AG21436" s="831" t="s">
        <v>2674</v>
      </c>
      <c r="AH21436" s="831" t="s">
        <v>89</v>
      </c>
      <c r="AI21436" s="831">
        <v>0</v>
      </c>
      <c r="AJ21436" s="835">
        <v>42094</v>
      </c>
      <c r="AK21436" s="831">
        <v>153039</v>
      </c>
    </row>
    <row r="21437" spans="32:37">
      <c r="AF21437" s="831" t="s">
        <v>11944</v>
      </c>
      <c r="AG21437" s="831" t="s">
        <v>2674</v>
      </c>
      <c r="AH21437" s="831" t="s">
        <v>557</v>
      </c>
      <c r="AI21437" s="831">
        <v>0</v>
      </c>
      <c r="AJ21437" s="835">
        <v>42094</v>
      </c>
      <c r="AK21437" s="831">
        <v>174874</v>
      </c>
    </row>
    <row r="21438" spans="32:37">
      <c r="AF21438" s="831" t="s">
        <v>11945</v>
      </c>
      <c r="AG21438" s="831" t="s">
        <v>2674</v>
      </c>
      <c r="AH21438" s="831" t="s">
        <v>29</v>
      </c>
      <c r="AI21438" s="831">
        <v>0</v>
      </c>
      <c r="AJ21438" s="835">
        <v>42094</v>
      </c>
      <c r="AK21438" s="831">
        <v>10801248</v>
      </c>
    </row>
    <row r="21439" spans="32:37">
      <c r="AF21439" s="831" t="s">
        <v>11946</v>
      </c>
      <c r="AG21439" s="831" t="s">
        <v>2674</v>
      </c>
      <c r="AH21439" s="831" t="s">
        <v>2688</v>
      </c>
      <c r="AI21439" s="831">
        <v>0</v>
      </c>
      <c r="AJ21439" s="835">
        <v>42094</v>
      </c>
      <c r="AK21439" s="831">
        <v>88178967</v>
      </c>
    </row>
    <row r="21440" spans="32:37">
      <c r="AF21440" s="831" t="s">
        <v>11947</v>
      </c>
      <c r="AG21440" s="831" t="s">
        <v>2674</v>
      </c>
      <c r="AH21440" s="831" t="s">
        <v>556</v>
      </c>
      <c r="AI21440" s="831">
        <v>0</v>
      </c>
      <c r="AJ21440" s="835">
        <v>42094</v>
      </c>
      <c r="AK21440" s="831">
        <v>11412135</v>
      </c>
    </row>
    <row r="21441" spans="32:37">
      <c r="AF21441" s="831" t="s">
        <v>11948</v>
      </c>
      <c r="AG21441" s="831" t="s">
        <v>2674</v>
      </c>
      <c r="AH21441" s="831" t="s">
        <v>555</v>
      </c>
      <c r="AI21441" s="831">
        <v>0</v>
      </c>
      <c r="AJ21441" s="835">
        <v>42094</v>
      </c>
      <c r="AK21441" s="831">
        <v>794294654</v>
      </c>
    </row>
    <row r="21442" spans="32:37">
      <c r="AF21442" s="831" t="s">
        <v>11949</v>
      </c>
      <c r="AG21442" s="831" t="s">
        <v>2674</v>
      </c>
      <c r="AH21442" s="831" t="s">
        <v>554</v>
      </c>
      <c r="AI21442" s="831">
        <v>0</v>
      </c>
      <c r="AJ21442" s="835">
        <v>42094</v>
      </c>
      <c r="AK21442" s="831">
        <v>796448359</v>
      </c>
    </row>
    <row r="21443" spans="32:37">
      <c r="AF21443" s="831" t="s">
        <v>11950</v>
      </c>
      <c r="AG21443" s="831" t="s">
        <v>2674</v>
      </c>
      <c r="AH21443" s="831" t="s">
        <v>553</v>
      </c>
      <c r="AI21443" s="831">
        <v>0</v>
      </c>
      <c r="AJ21443" s="835">
        <v>42094</v>
      </c>
      <c r="AK21443" s="831">
        <v>52425000</v>
      </c>
    </row>
    <row r="21444" spans="32:37">
      <c r="AF21444" s="831" t="s">
        <v>11951</v>
      </c>
      <c r="AG21444" s="831" t="s">
        <v>2674</v>
      </c>
      <c r="AH21444" s="831" t="s">
        <v>552</v>
      </c>
      <c r="AI21444" s="831">
        <v>0</v>
      </c>
      <c r="AJ21444" s="835">
        <v>42094</v>
      </c>
      <c r="AK21444" s="831">
        <v>0</v>
      </c>
    </row>
    <row r="21445" spans="32:37">
      <c r="AF21445" s="831" t="s">
        <v>11952</v>
      </c>
      <c r="AG21445" s="831" t="s">
        <v>2674</v>
      </c>
      <c r="AH21445" s="831" t="s">
        <v>551</v>
      </c>
      <c r="AI21445" s="831">
        <v>0</v>
      </c>
      <c r="AJ21445" s="835">
        <v>42094</v>
      </c>
      <c r="AK21445" s="831">
        <v>8543411</v>
      </c>
    </row>
    <row r="21446" spans="32:37">
      <c r="AF21446" s="831" t="s">
        <v>11953</v>
      </c>
      <c r="AG21446" s="831" t="s">
        <v>2674</v>
      </c>
      <c r="AH21446" s="831" t="s">
        <v>550</v>
      </c>
      <c r="AI21446" s="831">
        <v>0</v>
      </c>
      <c r="AJ21446" s="835">
        <v>42094</v>
      </c>
      <c r="AK21446" s="831">
        <v>143500530</v>
      </c>
    </row>
    <row r="21447" spans="32:37">
      <c r="AF21447" s="831" t="s">
        <v>11954</v>
      </c>
      <c r="AG21447" s="831" t="s">
        <v>2674</v>
      </c>
      <c r="AH21447" s="831" t="s">
        <v>562</v>
      </c>
      <c r="AI21447" s="831">
        <v>0</v>
      </c>
      <c r="AJ21447" s="835">
        <v>42094</v>
      </c>
      <c r="AK21447" s="831">
        <v>1.0495000000000001</v>
      </c>
    </row>
    <row r="21448" spans="32:37">
      <c r="AF21448" s="831" t="s">
        <v>11955</v>
      </c>
      <c r="AG21448" s="831" t="s">
        <v>2674</v>
      </c>
      <c r="AH21448" s="831" t="s">
        <v>2698</v>
      </c>
      <c r="AI21448" s="831">
        <v>0</v>
      </c>
      <c r="AJ21448" s="835">
        <v>42094</v>
      </c>
      <c r="AK21448" s="831">
        <v>1.04575</v>
      </c>
    </row>
    <row r="21449" spans="32:37">
      <c r="AF21449" s="831" t="s">
        <v>11956</v>
      </c>
      <c r="AG21449" s="831" t="s">
        <v>2674</v>
      </c>
      <c r="AH21449" s="831" t="s">
        <v>560</v>
      </c>
      <c r="AI21449" s="831">
        <v>0</v>
      </c>
      <c r="AJ21449" s="835">
        <v>42094</v>
      </c>
      <c r="AK21449" s="831">
        <v>0.95988333333333331</v>
      </c>
    </row>
    <row r="21450" spans="32:37">
      <c r="AF21450" s="831" t="s">
        <v>11957</v>
      </c>
      <c r="AG21450" s="831" t="s">
        <v>2674</v>
      </c>
      <c r="AH21450" s="831" t="s">
        <v>559</v>
      </c>
      <c r="AI21450" s="831">
        <v>0</v>
      </c>
      <c r="AJ21450" s="835">
        <v>42094</v>
      </c>
      <c r="AK21450" s="831">
        <v>0.82766666666666655</v>
      </c>
    </row>
    <row r="21451" spans="32:37">
      <c r="AF21451" s="831" t="s">
        <v>11958</v>
      </c>
      <c r="AG21451" s="831" t="s">
        <v>2674</v>
      </c>
      <c r="AH21451" s="831" t="s">
        <v>568</v>
      </c>
      <c r="AI21451" s="831">
        <v>0</v>
      </c>
      <c r="AJ21451" s="835">
        <v>42094</v>
      </c>
      <c r="AK21451" s="831">
        <v>785705621.53846157</v>
      </c>
    </row>
    <row r="21452" spans="32:37">
      <c r="AF21452" s="831" t="s">
        <v>11959</v>
      </c>
      <c r="AG21452" s="831" t="s">
        <v>2674</v>
      </c>
      <c r="AH21452" s="831" t="s">
        <v>569</v>
      </c>
      <c r="AI21452" s="831">
        <v>0</v>
      </c>
      <c r="AJ21452" s="835">
        <v>42094</v>
      </c>
      <c r="AK21452" s="831">
        <v>984393199.30769229</v>
      </c>
    </row>
    <row r="21453" spans="32:37">
      <c r="AF21453" s="831" t="s">
        <v>11960</v>
      </c>
      <c r="AG21453" s="831" t="s">
        <v>2674</v>
      </c>
      <c r="AH21453" s="831" t="s">
        <v>570</v>
      </c>
      <c r="AI21453" s="831">
        <v>0</v>
      </c>
      <c r="AJ21453" s="835">
        <v>42094</v>
      </c>
      <c r="AK21453" s="831">
        <v>140931158.46384615</v>
      </c>
    </row>
    <row r="21454" spans="32:37">
      <c r="AF21454" s="831" t="s">
        <v>11961</v>
      </c>
      <c r="AG21454" s="831" t="s">
        <v>2674</v>
      </c>
      <c r="AH21454" s="831" t="s">
        <v>571</v>
      </c>
      <c r="AI21454" s="831">
        <v>0</v>
      </c>
      <c r="AJ21454" s="835">
        <v>42094</v>
      </c>
      <c r="AK21454" s="831">
        <v>502500066.26284611</v>
      </c>
    </row>
    <row r="21455" spans="32:37">
      <c r="AF21455" s="831" t="s">
        <v>11962</v>
      </c>
      <c r="AG21455" s="831" t="s">
        <v>2674</v>
      </c>
      <c r="AH21455" s="831" t="s">
        <v>573</v>
      </c>
      <c r="AI21455" s="831">
        <v>0</v>
      </c>
      <c r="AJ21455" s="835">
        <v>42094</v>
      </c>
      <c r="AK21455" s="831">
        <v>1125471362.25</v>
      </c>
    </row>
    <row r="21456" spans="32:37">
      <c r="AF21456" s="831" t="s">
        <v>11963</v>
      </c>
      <c r="AG21456" s="831" t="s">
        <v>2674</v>
      </c>
      <c r="AH21456" s="831" t="s">
        <v>574</v>
      </c>
      <c r="AI21456" s="831">
        <v>0</v>
      </c>
      <c r="AJ21456" s="835">
        <v>42094</v>
      </c>
      <c r="AK21456" s="831">
        <v>887447709.5</v>
      </c>
    </row>
    <row r="21457" spans="32:37">
      <c r="AF21457" s="831" t="s">
        <v>11964</v>
      </c>
      <c r="AG21457" s="831" t="s">
        <v>2674</v>
      </c>
      <c r="AH21457" s="831" t="s">
        <v>575</v>
      </c>
      <c r="AI21457" s="831">
        <v>0</v>
      </c>
      <c r="AJ21457" s="835">
        <v>42094</v>
      </c>
      <c r="AK21457" s="831">
        <v>146394222</v>
      </c>
    </row>
    <row r="21458" spans="32:37">
      <c r="AF21458" s="831" t="s">
        <v>11965</v>
      </c>
      <c r="AG21458" s="831" t="s">
        <v>2674</v>
      </c>
      <c r="AH21458" s="831" t="s">
        <v>576</v>
      </c>
      <c r="AI21458" s="831">
        <v>0</v>
      </c>
      <c r="AJ21458" s="835">
        <v>42094</v>
      </c>
      <c r="AK21458" s="831">
        <v>606715260</v>
      </c>
    </row>
    <row r="21459" spans="32:37">
      <c r="AF21459" s="831" t="s">
        <v>11966</v>
      </c>
      <c r="AG21459" s="831" t="s">
        <v>2674</v>
      </c>
      <c r="AH21459" s="831" t="s">
        <v>572</v>
      </c>
      <c r="AI21459" s="831">
        <v>0</v>
      </c>
      <c r="AJ21459" s="835">
        <v>42094</v>
      </c>
      <c r="AK21459" s="831">
        <v>36560084</v>
      </c>
    </row>
    <row r="21460" spans="32:37">
      <c r="AF21460" s="831" t="s">
        <v>11967</v>
      </c>
      <c r="AG21460" s="831" t="s">
        <v>2674</v>
      </c>
      <c r="AH21460" s="831" t="s">
        <v>577</v>
      </c>
      <c r="AI21460" s="831">
        <v>0</v>
      </c>
      <c r="AJ21460" s="835">
        <v>42094</v>
      </c>
      <c r="AK21460" s="831">
        <v>179877214</v>
      </c>
    </row>
    <row r="21461" spans="32:37">
      <c r="AF21461" s="831" t="s">
        <v>11968</v>
      </c>
      <c r="AG21461" s="831" t="s">
        <v>2674</v>
      </c>
      <c r="AH21461" s="831" t="s">
        <v>3042</v>
      </c>
      <c r="AI21461" s="831">
        <v>0</v>
      </c>
      <c r="AJ21461" s="835">
        <v>42094</v>
      </c>
      <c r="AK21461" s="831">
        <v>-55010221</v>
      </c>
    </row>
    <row r="21462" spans="32:37">
      <c r="AF21462" s="831" t="s">
        <v>11969</v>
      </c>
      <c r="AG21462" s="831" t="s">
        <v>2674</v>
      </c>
      <c r="AH21462" s="831" t="s">
        <v>3044</v>
      </c>
      <c r="AI21462" s="831">
        <v>0</v>
      </c>
      <c r="AJ21462" s="835">
        <v>42094</v>
      </c>
      <c r="AK21462" s="831">
        <v>-2080886</v>
      </c>
    </row>
    <row r="21463" spans="32:37">
      <c r="AF21463" s="831" t="s">
        <v>11970</v>
      </c>
      <c r="AG21463" s="831" t="s">
        <v>2674</v>
      </c>
      <c r="AH21463" s="831" t="s">
        <v>580</v>
      </c>
      <c r="AI21463" s="831">
        <v>0</v>
      </c>
      <c r="AJ21463" s="835">
        <v>42094</v>
      </c>
      <c r="AK21463" s="831">
        <v>-82773578</v>
      </c>
    </row>
    <row r="21464" spans="32:37">
      <c r="AF21464" s="831" t="s">
        <v>11971</v>
      </c>
      <c r="AG21464" s="831" t="s">
        <v>2674</v>
      </c>
      <c r="AH21464" s="831" t="s">
        <v>581</v>
      </c>
      <c r="AI21464" s="831">
        <v>0</v>
      </c>
      <c r="AJ21464" s="835">
        <v>42094</v>
      </c>
      <c r="AK21464" s="831">
        <v>10684351</v>
      </c>
    </row>
    <row r="21465" spans="32:37">
      <c r="AF21465" s="831" t="s">
        <v>11972</v>
      </c>
      <c r="AG21465" s="831" t="s">
        <v>2674</v>
      </c>
      <c r="AH21465" s="831" t="s">
        <v>105</v>
      </c>
      <c r="AI21465" s="831">
        <v>0</v>
      </c>
      <c r="AJ21465" s="835">
        <v>42094</v>
      </c>
      <c r="AK21465" s="831">
        <v>641529836</v>
      </c>
    </row>
    <row r="21466" spans="32:37">
      <c r="AF21466" s="831" t="s">
        <v>11973</v>
      </c>
      <c r="AG21466" s="831" t="s">
        <v>2674</v>
      </c>
      <c r="AH21466" s="831" t="s">
        <v>3049</v>
      </c>
      <c r="AI21466" s="831">
        <v>0</v>
      </c>
      <c r="AJ21466" s="835">
        <v>42094</v>
      </c>
      <c r="AK21466" s="831">
        <v>986480670</v>
      </c>
    </row>
    <row r="21467" spans="32:37">
      <c r="AF21467" s="831" t="s">
        <v>11974</v>
      </c>
      <c r="AG21467" s="831" t="s">
        <v>2674</v>
      </c>
      <c r="AH21467" s="831" t="s">
        <v>103</v>
      </c>
      <c r="AI21467" s="831">
        <v>0</v>
      </c>
      <c r="AJ21467" s="835">
        <v>42094</v>
      </c>
      <c r="AK21467" s="831">
        <v>344950834</v>
      </c>
    </row>
    <row r="21468" spans="32:37">
      <c r="AF21468" s="831" t="s">
        <v>11975</v>
      </c>
      <c r="AG21468" s="831" t="s">
        <v>2674</v>
      </c>
      <c r="AH21468" s="831" t="s">
        <v>182</v>
      </c>
      <c r="AI21468" s="831">
        <v>0</v>
      </c>
      <c r="AJ21468" s="835">
        <v>42094</v>
      </c>
      <c r="AK21468" s="831">
        <v>85077948</v>
      </c>
    </row>
    <row r="21469" spans="32:37">
      <c r="AF21469" s="831" t="s">
        <v>11976</v>
      </c>
      <c r="AG21469" s="831" t="s">
        <v>2674</v>
      </c>
      <c r="AH21469" s="831" t="s">
        <v>6600</v>
      </c>
      <c r="AI21469" s="831">
        <v>0</v>
      </c>
      <c r="AJ21469" s="835">
        <v>42094</v>
      </c>
      <c r="AK21469" s="831">
        <v>36560084</v>
      </c>
    </row>
    <row r="21470" spans="32:37">
      <c r="AF21470" s="831" t="s">
        <v>11977</v>
      </c>
      <c r="AG21470" s="831" t="s">
        <v>2674</v>
      </c>
      <c r="AH21470" s="831" t="s">
        <v>6602</v>
      </c>
      <c r="AI21470" s="831">
        <v>0</v>
      </c>
      <c r="AJ21470" s="835">
        <v>42094</v>
      </c>
      <c r="AK21470" s="831">
        <v>2398849</v>
      </c>
    </row>
    <row r="21471" spans="32:37">
      <c r="AF21471" s="831" t="s">
        <v>11978</v>
      </c>
      <c r="AG21471" s="831" t="s">
        <v>2674</v>
      </c>
      <c r="AH21471" s="831" t="s">
        <v>650</v>
      </c>
      <c r="AI21471" s="831">
        <v>0</v>
      </c>
      <c r="AJ21471" s="835">
        <v>42094</v>
      </c>
      <c r="AK21471" s="831">
        <v>315233998.53846157</v>
      </c>
    </row>
    <row r="21472" spans="32:37">
      <c r="AF21472" s="831" t="s">
        <v>11979</v>
      </c>
      <c r="AG21472" s="831" t="s">
        <v>2674</v>
      </c>
      <c r="AH21472" s="831" t="s">
        <v>655</v>
      </c>
      <c r="AI21472" s="831">
        <v>0</v>
      </c>
      <c r="AJ21472" s="835">
        <v>42094</v>
      </c>
      <c r="AK21472" s="831">
        <v>7308574</v>
      </c>
    </row>
    <row r="21473" spans="32:37">
      <c r="AF21473" s="831" t="s">
        <v>11980</v>
      </c>
      <c r="AG21473" s="831" t="s">
        <v>2674</v>
      </c>
      <c r="AH21473" s="831" t="s">
        <v>546</v>
      </c>
      <c r="AI21473" s="831">
        <v>0</v>
      </c>
      <c r="AJ21473" s="835">
        <v>42124</v>
      </c>
      <c r="AK21473" s="831">
        <v>887135523</v>
      </c>
    </row>
    <row r="21474" spans="32:37">
      <c r="AF21474" s="831" t="s">
        <v>11981</v>
      </c>
      <c r="AG21474" s="831" t="s">
        <v>2674</v>
      </c>
      <c r="AH21474" s="831" t="s">
        <v>370</v>
      </c>
      <c r="AI21474" s="831">
        <v>0</v>
      </c>
      <c r="AJ21474" s="835">
        <v>42124</v>
      </c>
      <c r="AK21474" s="831">
        <v>1155982366</v>
      </c>
    </row>
    <row r="21475" spans="32:37">
      <c r="AF21475" s="831" t="s">
        <v>11982</v>
      </c>
      <c r="AG21475" s="831" t="s">
        <v>2674</v>
      </c>
      <c r="AH21475" s="831" t="s">
        <v>126</v>
      </c>
      <c r="AI21475" s="831">
        <v>0</v>
      </c>
      <c r="AJ21475" s="835">
        <v>42124</v>
      </c>
      <c r="AK21475" s="831">
        <v>148898855</v>
      </c>
    </row>
    <row r="21476" spans="32:37">
      <c r="AF21476" s="831" t="s">
        <v>11983</v>
      </c>
      <c r="AG21476" s="831" t="s">
        <v>2674</v>
      </c>
      <c r="AH21476" s="831" t="s">
        <v>268</v>
      </c>
      <c r="AI21476" s="831">
        <v>0</v>
      </c>
      <c r="AJ21476" s="835">
        <v>42124</v>
      </c>
      <c r="AK21476" s="831">
        <v>3490177</v>
      </c>
    </row>
    <row r="21477" spans="32:37">
      <c r="AF21477" s="831" t="s">
        <v>11984</v>
      </c>
      <c r="AG21477" s="831" t="s">
        <v>2674</v>
      </c>
      <c r="AH21477" s="831" t="s">
        <v>547</v>
      </c>
      <c r="AI21477" s="831">
        <v>0</v>
      </c>
      <c r="AJ21477" s="835">
        <v>42124</v>
      </c>
      <c r="AK21477" s="831">
        <v>1044609243</v>
      </c>
    </row>
    <row r="21478" spans="32:37">
      <c r="AF21478" s="831" t="s">
        <v>11985</v>
      </c>
      <c r="AG21478" s="831" t="s">
        <v>2674</v>
      </c>
      <c r="AH21478" s="831" t="s">
        <v>548</v>
      </c>
      <c r="AI21478" s="831">
        <v>0</v>
      </c>
      <c r="AJ21478" s="835">
        <v>42124</v>
      </c>
      <c r="AK21478" s="831">
        <v>148860224</v>
      </c>
    </row>
    <row r="21479" spans="32:37">
      <c r="AF21479" s="831" t="s">
        <v>11986</v>
      </c>
      <c r="AG21479" s="831" t="s">
        <v>2674</v>
      </c>
      <c r="AH21479" s="831" t="s">
        <v>549</v>
      </c>
      <c r="AI21479" s="831">
        <v>0</v>
      </c>
      <c r="AJ21479" s="835">
        <v>42124</v>
      </c>
      <c r="AK21479" s="831">
        <v>695634421</v>
      </c>
    </row>
    <row r="21480" spans="32:37">
      <c r="AF21480" s="831" t="s">
        <v>11987</v>
      </c>
      <c r="AG21480" s="831" t="s">
        <v>2674</v>
      </c>
      <c r="AH21480" s="831" t="s">
        <v>192</v>
      </c>
      <c r="AI21480" s="831">
        <v>0</v>
      </c>
      <c r="AJ21480" s="835">
        <v>42124</v>
      </c>
      <c r="AK21480" s="831">
        <v>-17978430</v>
      </c>
    </row>
    <row r="21481" spans="32:37">
      <c r="AF21481" s="831" t="s">
        <v>11988</v>
      </c>
      <c r="AG21481" s="831" t="s">
        <v>2674</v>
      </c>
      <c r="AH21481" s="831" t="s">
        <v>558</v>
      </c>
      <c r="AI21481" s="831">
        <v>0</v>
      </c>
      <c r="AJ21481" s="835">
        <v>42124</v>
      </c>
      <c r="AK21481" s="831">
        <v>1007083670</v>
      </c>
    </row>
    <row r="21482" spans="32:37">
      <c r="AF21482" s="831" t="s">
        <v>11989</v>
      </c>
      <c r="AG21482" s="831" t="s">
        <v>2674</v>
      </c>
      <c r="AH21482" s="831" t="s">
        <v>65</v>
      </c>
      <c r="AI21482" s="831">
        <v>0</v>
      </c>
      <c r="AJ21482" s="835">
        <v>42124</v>
      </c>
      <c r="AK21482" s="831">
        <v>64640929</v>
      </c>
    </row>
    <row r="21483" spans="32:37">
      <c r="AF21483" s="831" t="s">
        <v>11990</v>
      </c>
      <c r="AG21483" s="831" t="s">
        <v>2674</v>
      </c>
      <c r="AH21483" s="831" t="s">
        <v>89</v>
      </c>
      <c r="AI21483" s="831">
        <v>0</v>
      </c>
      <c r="AJ21483" s="835">
        <v>42124</v>
      </c>
      <c r="AK21483" s="831">
        <v>147391</v>
      </c>
    </row>
    <row r="21484" spans="32:37">
      <c r="AF21484" s="831" t="s">
        <v>11991</v>
      </c>
      <c r="AG21484" s="831" t="s">
        <v>2674</v>
      </c>
      <c r="AH21484" s="831" t="s">
        <v>557</v>
      </c>
      <c r="AI21484" s="831">
        <v>0</v>
      </c>
      <c r="AJ21484" s="835">
        <v>42124</v>
      </c>
      <c r="AK21484" s="831">
        <v>168436</v>
      </c>
    </row>
    <row r="21485" spans="32:37">
      <c r="AF21485" s="831" t="s">
        <v>11992</v>
      </c>
      <c r="AG21485" s="831" t="s">
        <v>2674</v>
      </c>
      <c r="AH21485" s="831" t="s">
        <v>29</v>
      </c>
      <c r="AI21485" s="831">
        <v>0</v>
      </c>
      <c r="AJ21485" s="835">
        <v>42124</v>
      </c>
      <c r="AK21485" s="831">
        <v>18420222</v>
      </c>
    </row>
    <row r="21486" spans="32:37">
      <c r="AF21486" s="831" t="s">
        <v>11993</v>
      </c>
      <c r="AG21486" s="831" t="s">
        <v>2674</v>
      </c>
      <c r="AH21486" s="831" t="s">
        <v>2688</v>
      </c>
      <c r="AI21486" s="831">
        <v>0</v>
      </c>
      <c r="AJ21486" s="835">
        <v>42124</v>
      </c>
      <c r="AK21486" s="831">
        <v>149665387</v>
      </c>
    </row>
    <row r="21487" spans="32:37">
      <c r="AF21487" s="831" t="s">
        <v>11994</v>
      </c>
      <c r="AG21487" s="831" t="s">
        <v>2674</v>
      </c>
      <c r="AH21487" s="831" t="s">
        <v>556</v>
      </c>
      <c r="AI21487" s="831">
        <v>0</v>
      </c>
      <c r="AJ21487" s="835">
        <v>42124</v>
      </c>
      <c r="AK21487" s="831">
        <v>11412135</v>
      </c>
    </row>
    <row r="21488" spans="32:37">
      <c r="AF21488" s="831" t="s">
        <v>11995</v>
      </c>
      <c r="AG21488" s="831" t="s">
        <v>2674</v>
      </c>
      <c r="AH21488" s="831" t="s">
        <v>555</v>
      </c>
      <c r="AI21488" s="831">
        <v>0</v>
      </c>
      <c r="AJ21488" s="835">
        <v>42124</v>
      </c>
      <c r="AK21488" s="831">
        <v>781614407</v>
      </c>
    </row>
    <row r="21489" spans="32:37">
      <c r="AF21489" s="831" t="s">
        <v>11996</v>
      </c>
      <c r="AG21489" s="831" t="s">
        <v>2674</v>
      </c>
      <c r="AH21489" s="831" t="s">
        <v>554</v>
      </c>
      <c r="AI21489" s="831">
        <v>0</v>
      </c>
      <c r="AJ21489" s="835">
        <v>42124</v>
      </c>
      <c r="AK21489" s="831">
        <v>811049609</v>
      </c>
    </row>
    <row r="21490" spans="32:37">
      <c r="AF21490" s="831" t="s">
        <v>11997</v>
      </c>
      <c r="AG21490" s="831" t="s">
        <v>2674</v>
      </c>
      <c r="AH21490" s="831" t="s">
        <v>553</v>
      </c>
      <c r="AI21490" s="831">
        <v>0</v>
      </c>
      <c r="AJ21490" s="835">
        <v>42124</v>
      </c>
      <c r="AK21490" s="831">
        <v>47191500</v>
      </c>
    </row>
    <row r="21491" spans="32:37">
      <c r="AF21491" s="831" t="s">
        <v>11998</v>
      </c>
      <c r="AG21491" s="831" t="s">
        <v>2674</v>
      </c>
      <c r="AH21491" s="831" t="s">
        <v>552</v>
      </c>
      <c r="AI21491" s="831">
        <v>0</v>
      </c>
      <c r="AJ21491" s="835">
        <v>42124</v>
      </c>
      <c r="AK21491" s="831">
        <v>0</v>
      </c>
    </row>
    <row r="21492" spans="32:37">
      <c r="AF21492" s="831" t="s">
        <v>11999</v>
      </c>
      <c r="AG21492" s="831" t="s">
        <v>2674</v>
      </c>
      <c r="AH21492" s="831" t="s">
        <v>551</v>
      </c>
      <c r="AI21492" s="831">
        <v>0</v>
      </c>
      <c r="AJ21492" s="835">
        <v>42124</v>
      </c>
      <c r="AK21492" s="831">
        <v>10773380</v>
      </c>
    </row>
    <row r="21493" spans="32:37">
      <c r="AF21493" s="831" t="s">
        <v>12000</v>
      </c>
      <c r="AG21493" s="831" t="s">
        <v>2674</v>
      </c>
      <c r="AH21493" s="831" t="s">
        <v>550</v>
      </c>
      <c r="AI21493" s="831">
        <v>0</v>
      </c>
      <c r="AJ21493" s="835">
        <v>42124</v>
      </c>
      <c r="AK21493" s="831">
        <v>147807134</v>
      </c>
    </row>
    <row r="21494" spans="32:37">
      <c r="AF21494" s="831" t="s">
        <v>12001</v>
      </c>
      <c r="AG21494" s="831" t="s">
        <v>2674</v>
      </c>
      <c r="AH21494" s="831" t="s">
        <v>562</v>
      </c>
      <c r="AI21494" s="831">
        <v>0</v>
      </c>
      <c r="AJ21494" s="835">
        <v>42124</v>
      </c>
      <c r="AK21494" s="831">
        <v>1.0471999999999999</v>
      </c>
    </row>
    <row r="21495" spans="32:37">
      <c r="AF21495" s="831" t="s">
        <v>12002</v>
      </c>
      <c r="AG21495" s="831" t="s">
        <v>2674</v>
      </c>
      <c r="AH21495" s="831" t="s">
        <v>2698</v>
      </c>
      <c r="AI21495" s="831">
        <v>0</v>
      </c>
      <c r="AJ21495" s="835">
        <v>42124</v>
      </c>
      <c r="AK21495" s="831">
        <v>1.0495000000000001</v>
      </c>
    </row>
    <row r="21496" spans="32:37">
      <c r="AF21496" s="831" t="s">
        <v>12003</v>
      </c>
      <c r="AG21496" s="831" t="s">
        <v>2674</v>
      </c>
      <c r="AH21496" s="831" t="s">
        <v>560</v>
      </c>
      <c r="AI21496" s="831">
        <v>0</v>
      </c>
      <c r="AJ21496" s="835">
        <v>42124</v>
      </c>
      <c r="AK21496" s="831">
        <v>0.98171249999999999</v>
      </c>
    </row>
    <row r="21497" spans="32:37">
      <c r="AF21497" s="831" t="s">
        <v>12004</v>
      </c>
      <c r="AG21497" s="831" t="s">
        <v>2674</v>
      </c>
      <c r="AH21497" s="831" t="s">
        <v>559</v>
      </c>
      <c r="AI21497" s="831">
        <v>0</v>
      </c>
      <c r="AJ21497" s="835">
        <v>42124</v>
      </c>
      <c r="AK21497" s="831">
        <v>0.84962083333333327</v>
      </c>
    </row>
    <row r="21498" spans="32:37">
      <c r="AF21498" s="831" t="s">
        <v>12005</v>
      </c>
      <c r="AG21498" s="831" t="s">
        <v>2674</v>
      </c>
      <c r="AH21498" s="831" t="s">
        <v>568</v>
      </c>
      <c r="AI21498" s="831">
        <v>0</v>
      </c>
      <c r="AJ21498" s="835">
        <v>42124</v>
      </c>
      <c r="AK21498" s="831">
        <v>802858062.76923072</v>
      </c>
    </row>
    <row r="21499" spans="32:37">
      <c r="AF21499" s="831" t="s">
        <v>12006</v>
      </c>
      <c r="AG21499" s="831" t="s">
        <v>2674</v>
      </c>
      <c r="AH21499" s="831" t="s">
        <v>569</v>
      </c>
      <c r="AI21499" s="831">
        <v>0</v>
      </c>
      <c r="AJ21499" s="835">
        <v>42124</v>
      </c>
      <c r="AK21499" s="831">
        <v>1009137751.8461539</v>
      </c>
    </row>
    <row r="21500" spans="32:37">
      <c r="AF21500" s="831" t="s">
        <v>12007</v>
      </c>
      <c r="AG21500" s="831" t="s">
        <v>2674</v>
      </c>
      <c r="AH21500" s="831" t="s">
        <v>570</v>
      </c>
      <c r="AI21500" s="831">
        <v>0</v>
      </c>
      <c r="AJ21500" s="835">
        <v>42124</v>
      </c>
      <c r="AK21500" s="831">
        <v>142830548.07923076</v>
      </c>
    </row>
    <row r="21501" spans="32:37">
      <c r="AF21501" s="831" t="s">
        <v>12008</v>
      </c>
      <c r="AG21501" s="831" t="s">
        <v>2674</v>
      </c>
      <c r="AH21501" s="831" t="s">
        <v>571</v>
      </c>
      <c r="AI21501" s="831">
        <v>0</v>
      </c>
      <c r="AJ21501" s="835">
        <v>42124</v>
      </c>
      <c r="AK21501" s="831">
        <v>521003105.80130768</v>
      </c>
    </row>
    <row r="21502" spans="32:37">
      <c r="AF21502" s="831" t="s">
        <v>12009</v>
      </c>
      <c r="AG21502" s="831" t="s">
        <v>2674</v>
      </c>
      <c r="AH21502" s="831" t="s">
        <v>573</v>
      </c>
      <c r="AI21502" s="831">
        <v>0</v>
      </c>
      <c r="AJ21502" s="835">
        <v>42124</v>
      </c>
      <c r="AK21502" s="831">
        <v>1131573563</v>
      </c>
    </row>
    <row r="21503" spans="32:37">
      <c r="AF21503" s="831" t="s">
        <v>12010</v>
      </c>
      <c r="AG21503" s="831" t="s">
        <v>2674</v>
      </c>
      <c r="AH21503" s="831" t="s">
        <v>574</v>
      </c>
      <c r="AI21503" s="831">
        <v>0</v>
      </c>
      <c r="AJ21503" s="835">
        <v>42124</v>
      </c>
      <c r="AK21503" s="831">
        <v>887385272.20000005</v>
      </c>
    </row>
    <row r="21504" spans="32:37">
      <c r="AF21504" s="831" t="s">
        <v>12011</v>
      </c>
      <c r="AG21504" s="831" t="s">
        <v>2674</v>
      </c>
      <c r="AH21504" s="831" t="s">
        <v>575</v>
      </c>
      <c r="AI21504" s="831">
        <v>0</v>
      </c>
      <c r="AJ21504" s="835">
        <v>42124</v>
      </c>
      <c r="AK21504" s="831">
        <v>146895148.59999999</v>
      </c>
    </row>
    <row r="21505" spans="32:37">
      <c r="AF21505" s="831" t="s">
        <v>12012</v>
      </c>
      <c r="AG21505" s="831" t="s">
        <v>2674</v>
      </c>
      <c r="AH21505" s="831" t="s">
        <v>576</v>
      </c>
      <c r="AI21505" s="831">
        <v>0</v>
      </c>
      <c r="AJ21505" s="835">
        <v>42124</v>
      </c>
      <c r="AK21505" s="831">
        <v>615700522.39999998</v>
      </c>
    </row>
    <row r="21506" spans="32:37">
      <c r="AF21506" s="831" t="s">
        <v>12013</v>
      </c>
      <c r="AG21506" s="831" t="s">
        <v>2674</v>
      </c>
      <c r="AH21506" s="831" t="s">
        <v>572</v>
      </c>
      <c r="AI21506" s="831">
        <v>0</v>
      </c>
      <c r="AJ21506" s="835">
        <v>42124</v>
      </c>
      <c r="AK21506" s="831">
        <v>34629345</v>
      </c>
    </row>
    <row r="21507" spans="32:37">
      <c r="AF21507" s="831" t="s">
        <v>12014</v>
      </c>
      <c r="AG21507" s="831" t="s">
        <v>2674</v>
      </c>
      <c r="AH21507" s="831" t="s">
        <v>577</v>
      </c>
      <c r="AI21507" s="831">
        <v>0</v>
      </c>
      <c r="AJ21507" s="835">
        <v>42124</v>
      </c>
      <c r="AK21507" s="831">
        <v>182065430</v>
      </c>
    </row>
    <row r="21508" spans="32:37">
      <c r="AF21508" s="831" t="s">
        <v>12015</v>
      </c>
      <c r="AG21508" s="831" t="s">
        <v>2674</v>
      </c>
      <c r="AH21508" s="831" t="s">
        <v>3042</v>
      </c>
      <c r="AI21508" s="831">
        <v>0</v>
      </c>
      <c r="AJ21508" s="835">
        <v>42124</v>
      </c>
      <c r="AK21508" s="831">
        <v>-55986090</v>
      </c>
    </row>
    <row r="21509" spans="32:37">
      <c r="AF21509" s="831" t="s">
        <v>12016</v>
      </c>
      <c r="AG21509" s="831" t="s">
        <v>2674</v>
      </c>
      <c r="AH21509" s="831" t="s">
        <v>3044</v>
      </c>
      <c r="AI21509" s="831">
        <v>0</v>
      </c>
      <c r="AJ21509" s="835">
        <v>42124</v>
      </c>
      <c r="AK21509" s="831">
        <v>-4711846</v>
      </c>
    </row>
    <row r="21510" spans="32:37">
      <c r="AF21510" s="831" t="s">
        <v>12017</v>
      </c>
      <c r="AG21510" s="831" t="s">
        <v>2674</v>
      </c>
      <c r="AH21510" s="831" t="s">
        <v>580</v>
      </c>
      <c r="AI21510" s="831">
        <v>0</v>
      </c>
      <c r="AJ21510" s="835">
        <v>42124</v>
      </c>
      <c r="AK21510" s="831">
        <v>-84657241</v>
      </c>
    </row>
    <row r="21511" spans="32:37">
      <c r="AF21511" s="831" t="s">
        <v>12018</v>
      </c>
      <c r="AG21511" s="831" t="s">
        <v>2674</v>
      </c>
      <c r="AH21511" s="831" t="s">
        <v>581</v>
      </c>
      <c r="AI21511" s="831">
        <v>0</v>
      </c>
      <c r="AJ21511" s="835">
        <v>42124</v>
      </c>
      <c r="AK21511" s="831">
        <v>11310907</v>
      </c>
    </row>
    <row r="21512" spans="32:37">
      <c r="AF21512" s="831" t="s">
        <v>12019</v>
      </c>
      <c r="AG21512" s="831" t="s">
        <v>2674</v>
      </c>
      <c r="AH21512" s="831" t="s">
        <v>105</v>
      </c>
      <c r="AI21512" s="831">
        <v>0</v>
      </c>
      <c r="AJ21512" s="835">
        <v>42124</v>
      </c>
      <c r="AK21512" s="831">
        <v>651641572</v>
      </c>
    </row>
    <row r="21513" spans="32:37">
      <c r="AF21513" s="831" t="s">
        <v>12020</v>
      </c>
      <c r="AG21513" s="831" t="s">
        <v>2674</v>
      </c>
      <c r="AH21513" s="831" t="s">
        <v>3049</v>
      </c>
      <c r="AI21513" s="831">
        <v>0</v>
      </c>
      <c r="AJ21513" s="835">
        <v>42124</v>
      </c>
      <c r="AK21513" s="831">
        <v>980090700</v>
      </c>
    </row>
    <row r="21514" spans="32:37">
      <c r="AF21514" s="831" t="s">
        <v>12021</v>
      </c>
      <c r="AG21514" s="831" t="s">
        <v>2674</v>
      </c>
      <c r="AH21514" s="831" t="s">
        <v>103</v>
      </c>
      <c r="AI21514" s="831">
        <v>0</v>
      </c>
      <c r="AJ21514" s="835">
        <v>42124</v>
      </c>
      <c r="AK21514" s="831">
        <v>328449128</v>
      </c>
    </row>
    <row r="21515" spans="32:37">
      <c r="AF21515" s="831" t="s">
        <v>12022</v>
      </c>
      <c r="AG21515" s="831" t="s">
        <v>2674</v>
      </c>
      <c r="AH21515" s="831" t="s">
        <v>182</v>
      </c>
      <c r="AI21515" s="831">
        <v>0</v>
      </c>
      <c r="AJ21515" s="835">
        <v>42124</v>
      </c>
      <c r="AK21515" s="831">
        <v>88699464</v>
      </c>
    </row>
    <row r="21516" spans="32:37">
      <c r="AF21516" s="831" t="s">
        <v>12023</v>
      </c>
      <c r="AG21516" s="831" t="s">
        <v>2674</v>
      </c>
      <c r="AH21516" s="831" t="s">
        <v>6600</v>
      </c>
      <c r="AI21516" s="831">
        <v>0</v>
      </c>
      <c r="AJ21516" s="835">
        <v>42124</v>
      </c>
      <c r="AK21516" s="831">
        <v>34629345</v>
      </c>
    </row>
    <row r="21517" spans="32:37">
      <c r="AF21517" s="831" t="s">
        <v>12024</v>
      </c>
      <c r="AG21517" s="831" t="s">
        <v>2674</v>
      </c>
      <c r="AH21517" s="831" t="s">
        <v>6602</v>
      </c>
      <c r="AI21517" s="831">
        <v>0</v>
      </c>
      <c r="AJ21517" s="835">
        <v>42124</v>
      </c>
      <c r="AK21517" s="831">
        <v>3490177</v>
      </c>
    </row>
    <row r="21518" spans="32:37">
      <c r="AF21518" s="831" t="s">
        <v>12025</v>
      </c>
      <c r="AG21518" s="831" t="s">
        <v>2674</v>
      </c>
      <c r="AH21518" s="831" t="s">
        <v>650</v>
      </c>
      <c r="AI21518" s="831">
        <v>0</v>
      </c>
      <c r="AJ21518" s="835">
        <v>42124</v>
      </c>
      <c r="AK21518" s="831">
        <v>319013929.69230771</v>
      </c>
    </row>
    <row r="21519" spans="32:37">
      <c r="AF21519" s="831" t="s">
        <v>12026</v>
      </c>
      <c r="AG21519" s="831" t="s">
        <v>2674</v>
      </c>
      <c r="AH21519" s="831" t="s">
        <v>655</v>
      </c>
      <c r="AI21519" s="831">
        <v>0</v>
      </c>
      <c r="AJ21519" s="835">
        <v>42124</v>
      </c>
      <c r="AK21519" s="831">
        <v>8145535</v>
      </c>
    </row>
    <row r="21520" spans="32:37">
      <c r="AF21520" s="831" t="s">
        <v>10335</v>
      </c>
      <c r="AG21520" s="831" t="s">
        <v>2674</v>
      </c>
      <c r="AH21520" s="831" t="s">
        <v>546</v>
      </c>
      <c r="AI21520" s="831">
        <v>0</v>
      </c>
      <c r="AJ21520" s="835">
        <v>41060</v>
      </c>
      <c r="AK21520" s="831">
        <v>339221349</v>
      </c>
    </row>
    <row r="21521" spans="32:37">
      <c r="AF21521" s="831" t="s">
        <v>10336</v>
      </c>
      <c r="AG21521" s="831" t="s">
        <v>2674</v>
      </c>
      <c r="AH21521" s="831" t="s">
        <v>370</v>
      </c>
      <c r="AI21521" s="831">
        <v>0</v>
      </c>
      <c r="AJ21521" s="835">
        <v>41060</v>
      </c>
      <c r="AK21521" s="831">
        <v>412671638</v>
      </c>
    </row>
    <row r="21522" spans="32:37">
      <c r="AF21522" s="831" t="s">
        <v>10337</v>
      </c>
      <c r="AG21522" s="831" t="s">
        <v>2674</v>
      </c>
      <c r="AH21522" s="831" t="s">
        <v>126</v>
      </c>
      <c r="AI21522" s="831">
        <v>0</v>
      </c>
      <c r="AJ21522" s="835">
        <v>41060</v>
      </c>
      <c r="AK21522" s="831">
        <v>90520261</v>
      </c>
    </row>
    <row r="21523" spans="32:37">
      <c r="AF21523" s="831" t="s">
        <v>10338</v>
      </c>
      <c r="AG21523" s="831" t="s">
        <v>2674</v>
      </c>
      <c r="AH21523" s="831" t="s">
        <v>268</v>
      </c>
      <c r="AI21523" s="831">
        <v>0</v>
      </c>
      <c r="AJ21523" s="835">
        <v>41060</v>
      </c>
      <c r="AK21523" s="831">
        <v>5197337</v>
      </c>
    </row>
    <row r="21524" spans="32:37">
      <c r="AF21524" s="831" t="s">
        <v>10339</v>
      </c>
      <c r="AG21524" s="831" t="s">
        <v>2674</v>
      </c>
      <c r="AH21524" s="831" t="s">
        <v>547</v>
      </c>
      <c r="AI21524" s="831">
        <v>0</v>
      </c>
      <c r="AJ21524" s="835">
        <v>41060</v>
      </c>
      <c r="AK21524" s="831">
        <v>0</v>
      </c>
    </row>
    <row r="21525" spans="32:37">
      <c r="AF21525" s="831" t="s">
        <v>10340</v>
      </c>
      <c r="AG21525" s="831" t="s">
        <v>2674</v>
      </c>
      <c r="AH21525" s="831" t="s">
        <v>548</v>
      </c>
      <c r="AI21525" s="831">
        <v>0</v>
      </c>
      <c r="AJ21525" s="835">
        <v>41060</v>
      </c>
      <c r="AK21525" s="831">
        <v>0</v>
      </c>
    </row>
    <row r="21526" spans="32:37">
      <c r="AF21526" s="831" t="s">
        <v>10341</v>
      </c>
      <c r="AG21526" s="831" t="s">
        <v>2674</v>
      </c>
      <c r="AH21526" s="831" t="s">
        <v>549</v>
      </c>
      <c r="AI21526" s="831">
        <v>0</v>
      </c>
      <c r="AJ21526" s="835">
        <v>41060</v>
      </c>
      <c r="AK21526" s="831">
        <v>0</v>
      </c>
    </row>
    <row r="21527" spans="32:37">
      <c r="AF21527" s="831" t="s">
        <v>10342</v>
      </c>
      <c r="AG21527" s="831" t="s">
        <v>2674</v>
      </c>
      <c r="AH21527" s="831" t="s">
        <v>192</v>
      </c>
      <c r="AI21527" s="831">
        <v>0</v>
      </c>
      <c r="AJ21527" s="835">
        <v>41060</v>
      </c>
      <c r="AK21527" s="831">
        <v>-9254050</v>
      </c>
    </row>
    <row r="21528" spans="32:37">
      <c r="AF21528" s="831" t="s">
        <v>10343</v>
      </c>
      <c r="AG21528" s="831" t="s">
        <v>2674</v>
      </c>
      <c r="AH21528" s="831" t="s">
        <v>558</v>
      </c>
      <c r="AI21528" s="831">
        <v>0</v>
      </c>
      <c r="AJ21528" s="835">
        <v>41060</v>
      </c>
      <c r="AK21528" s="831">
        <v>322151377</v>
      </c>
    </row>
    <row r="21529" spans="32:37">
      <c r="AF21529" s="831" t="s">
        <v>10344</v>
      </c>
      <c r="AG21529" s="831" t="s">
        <v>2674</v>
      </c>
      <c r="AH21529" s="831" t="s">
        <v>65</v>
      </c>
      <c r="AI21529" s="831">
        <v>0</v>
      </c>
      <c r="AJ21529" s="835">
        <v>41060</v>
      </c>
      <c r="AK21529" s="831">
        <v>38110599</v>
      </c>
    </row>
    <row r="21530" spans="32:37">
      <c r="AF21530" s="831" t="s">
        <v>10345</v>
      </c>
      <c r="AG21530" s="831" t="s">
        <v>2674</v>
      </c>
      <c r="AH21530" s="831" t="s">
        <v>89</v>
      </c>
      <c r="AI21530" s="831">
        <v>0</v>
      </c>
      <c r="AJ21530" s="835">
        <v>41060</v>
      </c>
      <c r="AK21530" s="831">
        <v>122430</v>
      </c>
    </row>
    <row r="21531" spans="32:37">
      <c r="AF21531" s="831" t="s">
        <v>10346</v>
      </c>
      <c r="AG21531" s="831" t="s">
        <v>2674</v>
      </c>
      <c r="AH21531" s="831" t="s">
        <v>557</v>
      </c>
      <c r="AI21531" s="831">
        <v>0</v>
      </c>
      <c r="AJ21531" s="835">
        <v>41060</v>
      </c>
      <c r="AK21531" s="831">
        <v>124207</v>
      </c>
    </row>
    <row r="21532" spans="32:37">
      <c r="AF21532" s="831" t="s">
        <v>10347</v>
      </c>
      <c r="AG21532" s="831" t="s">
        <v>2674</v>
      </c>
      <c r="AH21532" s="831" t="s">
        <v>29</v>
      </c>
      <c r="AI21532" s="831">
        <v>0</v>
      </c>
      <c r="AJ21532" s="835">
        <v>41060</v>
      </c>
      <c r="AK21532" s="831">
        <v>2528808</v>
      </c>
    </row>
    <row r="21533" spans="32:37">
      <c r="AF21533" s="831" t="s">
        <v>10348</v>
      </c>
      <c r="AG21533" s="831" t="s">
        <v>2674</v>
      </c>
      <c r="AH21533" s="831" t="s">
        <v>2688</v>
      </c>
      <c r="AI21533" s="831">
        <v>0</v>
      </c>
      <c r="AJ21533" s="835">
        <v>41060</v>
      </c>
      <c r="AK21533" s="831">
        <v>3036435</v>
      </c>
    </row>
    <row r="21534" spans="32:37">
      <c r="AF21534" s="831" t="s">
        <v>10349</v>
      </c>
      <c r="AG21534" s="831" t="s">
        <v>2674</v>
      </c>
      <c r="AH21534" s="831" t="s">
        <v>556</v>
      </c>
      <c r="AI21534" s="831">
        <v>0</v>
      </c>
      <c r="AJ21534" s="835">
        <v>41060</v>
      </c>
      <c r="AK21534" s="831">
        <v>0</v>
      </c>
    </row>
    <row r="21535" spans="32:37">
      <c r="AF21535" s="831" t="s">
        <v>10350</v>
      </c>
      <c r="AG21535" s="831" t="s">
        <v>2674</v>
      </c>
      <c r="AH21535" s="831" t="s">
        <v>555</v>
      </c>
      <c r="AI21535" s="831">
        <v>0</v>
      </c>
      <c r="AJ21535" s="835">
        <v>41060</v>
      </c>
      <c r="AK21535" s="831">
        <v>196148980</v>
      </c>
    </row>
    <row r="21536" spans="32:37">
      <c r="AF21536" s="831" t="s">
        <v>10351</v>
      </c>
      <c r="AG21536" s="831" t="s">
        <v>2674</v>
      </c>
      <c r="AH21536" s="831" t="s">
        <v>554</v>
      </c>
      <c r="AI21536" s="831">
        <v>0</v>
      </c>
      <c r="AJ21536" s="835">
        <v>41060</v>
      </c>
      <c r="AK21536" s="831">
        <v>194772980</v>
      </c>
    </row>
    <row r="21537" spans="32:37">
      <c r="AF21537" s="831" t="s">
        <v>10352</v>
      </c>
      <c r="AG21537" s="831" t="s">
        <v>2674</v>
      </c>
      <c r="AH21537" s="831" t="s">
        <v>553</v>
      </c>
      <c r="AI21537" s="831">
        <v>0</v>
      </c>
      <c r="AJ21537" s="835">
        <v>41060</v>
      </c>
      <c r="AK21537" s="831">
        <v>0</v>
      </c>
    </row>
    <row r="21538" spans="32:37">
      <c r="AF21538" s="831" t="s">
        <v>10353</v>
      </c>
      <c r="AG21538" s="831" t="s">
        <v>2674</v>
      </c>
      <c r="AH21538" s="831" t="s">
        <v>552</v>
      </c>
      <c r="AI21538" s="831">
        <v>0</v>
      </c>
      <c r="AJ21538" s="835">
        <v>41060</v>
      </c>
      <c r="AK21538" s="831">
        <v>0</v>
      </c>
    </row>
    <row r="21539" spans="32:37">
      <c r="AF21539" s="831" t="s">
        <v>10354</v>
      </c>
      <c r="AG21539" s="831" t="s">
        <v>2674</v>
      </c>
      <c r="AH21539" s="831" t="s">
        <v>551</v>
      </c>
      <c r="AI21539" s="831">
        <v>0</v>
      </c>
      <c r="AJ21539" s="835">
        <v>41060</v>
      </c>
      <c r="AK21539" s="831">
        <v>2340522</v>
      </c>
    </row>
    <row r="21540" spans="32:37">
      <c r="AF21540" s="831" t="s">
        <v>10355</v>
      </c>
      <c r="AG21540" s="831" t="s">
        <v>2674</v>
      </c>
      <c r="AH21540" s="831" t="s">
        <v>550</v>
      </c>
      <c r="AI21540" s="831">
        <v>0</v>
      </c>
      <c r="AJ21540" s="835">
        <v>41060</v>
      </c>
      <c r="AK21540" s="831">
        <v>0</v>
      </c>
    </row>
    <row r="21541" spans="32:37">
      <c r="AF21541" s="831" t="s">
        <v>10356</v>
      </c>
      <c r="AG21541" s="831" t="s">
        <v>2674</v>
      </c>
      <c r="AH21541" s="831" t="s">
        <v>562</v>
      </c>
      <c r="AI21541" s="831">
        <v>0</v>
      </c>
      <c r="AJ21541" s="835">
        <v>41060</v>
      </c>
      <c r="AK21541" s="831">
        <v>0.78515000000000001</v>
      </c>
    </row>
    <row r="21542" spans="32:37">
      <c r="AF21542" s="831" t="s">
        <v>10357</v>
      </c>
      <c r="AG21542" s="831" t="s">
        <v>2674</v>
      </c>
      <c r="AH21542" s="831" t="s">
        <v>2698</v>
      </c>
      <c r="AI21542" s="831">
        <v>0</v>
      </c>
      <c r="AJ21542" s="835">
        <v>41060</v>
      </c>
      <c r="AK21542" s="831">
        <v>0.78585000000000005</v>
      </c>
    </row>
    <row r="21543" spans="32:37">
      <c r="AF21543" s="831" t="s">
        <v>10358</v>
      </c>
      <c r="AG21543" s="831" t="s">
        <v>2674</v>
      </c>
      <c r="AH21543" s="831" t="s">
        <v>560</v>
      </c>
      <c r="AI21543" s="831">
        <v>0</v>
      </c>
      <c r="AJ21543" s="835">
        <v>41060</v>
      </c>
      <c r="AK21543" s="831">
        <v>0.78580000000000005</v>
      </c>
    </row>
    <row r="21544" spans="32:37">
      <c r="AF21544" s="831" t="s">
        <v>10359</v>
      </c>
      <c r="AG21544" s="831" t="s">
        <v>2674</v>
      </c>
      <c r="AH21544" s="831" t="s">
        <v>559</v>
      </c>
      <c r="AI21544" s="831">
        <v>0</v>
      </c>
      <c r="AJ21544" s="835">
        <v>41060</v>
      </c>
      <c r="AK21544" s="831">
        <v>0.78569999999999995</v>
      </c>
    </row>
    <row r="21545" spans="32:37">
      <c r="AF21545" s="831" t="s">
        <v>10360</v>
      </c>
      <c r="AG21545" s="831" t="s">
        <v>2674</v>
      </c>
      <c r="AH21545" s="831" t="s">
        <v>568</v>
      </c>
      <c r="AI21545" s="831">
        <v>0</v>
      </c>
      <c r="AJ21545" s="835">
        <v>41060</v>
      </c>
      <c r="AK21545" s="831">
        <v>0</v>
      </c>
    </row>
    <row r="21546" spans="32:37">
      <c r="AF21546" s="831" t="s">
        <v>10361</v>
      </c>
      <c r="AG21546" s="831" t="s">
        <v>2674</v>
      </c>
      <c r="AH21546" s="831" t="s">
        <v>569</v>
      </c>
      <c r="AI21546" s="831">
        <v>0</v>
      </c>
      <c r="AJ21546" s="835">
        <v>41060</v>
      </c>
      <c r="AK21546" s="831">
        <v>0</v>
      </c>
    </row>
    <row r="21547" spans="32:37">
      <c r="AF21547" s="831" t="s">
        <v>10362</v>
      </c>
      <c r="AG21547" s="831" t="s">
        <v>2674</v>
      </c>
      <c r="AH21547" s="831" t="s">
        <v>570</v>
      </c>
      <c r="AI21547" s="831">
        <v>0</v>
      </c>
      <c r="AJ21547" s="835">
        <v>41060</v>
      </c>
      <c r="AK21547" s="831">
        <v>0</v>
      </c>
    </row>
    <row r="21548" spans="32:37">
      <c r="AF21548" s="831" t="s">
        <v>10363</v>
      </c>
      <c r="AG21548" s="831" t="s">
        <v>2674</v>
      </c>
      <c r="AH21548" s="831" t="s">
        <v>571</v>
      </c>
      <c r="AI21548" s="831">
        <v>0</v>
      </c>
      <c r="AJ21548" s="835">
        <v>41060</v>
      </c>
      <c r="AK21548" s="831">
        <v>0</v>
      </c>
    </row>
    <row r="21549" spans="32:37">
      <c r="AF21549" s="831" t="s">
        <v>10364</v>
      </c>
      <c r="AG21549" s="831" t="s">
        <v>2674</v>
      </c>
      <c r="AH21549" s="831" t="s">
        <v>573</v>
      </c>
      <c r="AI21549" s="831">
        <v>0</v>
      </c>
      <c r="AJ21549" s="835">
        <v>41060</v>
      </c>
      <c r="AK21549" s="831">
        <v>0</v>
      </c>
    </row>
    <row r="21550" spans="32:37">
      <c r="AF21550" s="831" t="s">
        <v>10365</v>
      </c>
      <c r="AG21550" s="831" t="s">
        <v>2674</v>
      </c>
      <c r="AH21550" s="831" t="s">
        <v>574</v>
      </c>
      <c r="AI21550" s="831">
        <v>0</v>
      </c>
      <c r="AJ21550" s="835">
        <v>41060</v>
      </c>
      <c r="AK21550" s="831">
        <v>0</v>
      </c>
    </row>
    <row r="21551" spans="32:37">
      <c r="AF21551" s="831" t="s">
        <v>10366</v>
      </c>
      <c r="AG21551" s="831" t="s">
        <v>2674</v>
      </c>
      <c r="AH21551" s="831" t="s">
        <v>575</v>
      </c>
      <c r="AI21551" s="831">
        <v>0</v>
      </c>
      <c r="AJ21551" s="835">
        <v>41060</v>
      </c>
      <c r="AK21551" s="831">
        <v>0</v>
      </c>
    </row>
    <row r="21552" spans="32:37">
      <c r="AF21552" s="831" t="s">
        <v>10367</v>
      </c>
      <c r="AG21552" s="831" t="s">
        <v>2674</v>
      </c>
      <c r="AH21552" s="831" t="s">
        <v>576</v>
      </c>
      <c r="AI21552" s="831">
        <v>0</v>
      </c>
      <c r="AJ21552" s="835">
        <v>41060</v>
      </c>
      <c r="AK21552" s="831">
        <v>0</v>
      </c>
    </row>
    <row r="21553" spans="32:37">
      <c r="AF21553" s="831" t="s">
        <v>10368</v>
      </c>
      <c r="AG21553" s="831" t="s">
        <v>2674</v>
      </c>
      <c r="AH21553" s="831" t="s">
        <v>572</v>
      </c>
      <c r="AI21553" s="831">
        <v>0</v>
      </c>
      <c r="AJ21553" s="835">
        <v>41060</v>
      </c>
      <c r="AK21553" s="831">
        <v>-2146826246</v>
      </c>
    </row>
    <row r="21554" spans="32:37">
      <c r="AF21554" s="831" t="s">
        <v>10369</v>
      </c>
      <c r="AG21554" s="831" t="s">
        <v>2674</v>
      </c>
      <c r="AH21554" s="831" t="s">
        <v>577</v>
      </c>
      <c r="AI21554" s="831">
        <v>0</v>
      </c>
      <c r="AJ21554" s="835">
        <v>41060</v>
      </c>
      <c r="AK21554" s="831">
        <v>-2146826246</v>
      </c>
    </row>
    <row r="21555" spans="32:37">
      <c r="AF21555" s="831" t="s">
        <v>10370</v>
      </c>
      <c r="AG21555" s="831" t="s">
        <v>2674</v>
      </c>
      <c r="AH21555" s="831" t="s">
        <v>3042</v>
      </c>
      <c r="AI21555" s="831">
        <v>0</v>
      </c>
      <c r="AJ21555" s="835">
        <v>41060</v>
      </c>
      <c r="AK21555" s="831">
        <v>-2146826246</v>
      </c>
    </row>
    <row r="21556" spans="32:37">
      <c r="AF21556" s="831" t="s">
        <v>10371</v>
      </c>
      <c r="AG21556" s="831" t="s">
        <v>2674</v>
      </c>
      <c r="AH21556" s="831" t="s">
        <v>3044</v>
      </c>
      <c r="AI21556" s="831">
        <v>0</v>
      </c>
      <c r="AJ21556" s="835">
        <v>41060</v>
      </c>
      <c r="AK21556" s="831">
        <v>-2146826246</v>
      </c>
    </row>
    <row r="21557" spans="32:37">
      <c r="AF21557" s="831" t="s">
        <v>10372</v>
      </c>
      <c r="AG21557" s="831" t="s">
        <v>2674</v>
      </c>
      <c r="AH21557" s="831" t="s">
        <v>580</v>
      </c>
      <c r="AI21557" s="831">
        <v>0</v>
      </c>
      <c r="AJ21557" s="835">
        <v>41060</v>
      </c>
      <c r="AK21557" s="831">
        <v>-2146826246</v>
      </c>
    </row>
    <row r="21558" spans="32:37">
      <c r="AF21558" s="831" t="s">
        <v>10373</v>
      </c>
      <c r="AG21558" s="831" t="s">
        <v>2674</v>
      </c>
      <c r="AH21558" s="831" t="s">
        <v>581</v>
      </c>
      <c r="AI21558" s="831">
        <v>0</v>
      </c>
      <c r="AJ21558" s="835">
        <v>41060</v>
      </c>
      <c r="AK21558" s="831">
        <v>-2146826246</v>
      </c>
    </row>
    <row r="21559" spans="32:37">
      <c r="AF21559" s="831" t="s">
        <v>10374</v>
      </c>
      <c r="AG21559" s="831" t="s">
        <v>2674</v>
      </c>
      <c r="AH21559" s="831" t="s">
        <v>105</v>
      </c>
      <c r="AI21559" s="831">
        <v>0</v>
      </c>
      <c r="AJ21559" s="835">
        <v>41060</v>
      </c>
      <c r="AK21559" s="831">
        <v>149985593</v>
      </c>
    </row>
    <row r="21560" spans="32:37">
      <c r="AF21560" s="831" t="s">
        <v>10375</v>
      </c>
      <c r="AG21560" s="831" t="s">
        <v>2674</v>
      </c>
      <c r="AH21560" s="831" t="s">
        <v>3049</v>
      </c>
      <c r="AI21560" s="831">
        <v>0</v>
      </c>
      <c r="AJ21560" s="835">
        <v>41060</v>
      </c>
      <c r="AK21560" s="831">
        <v>309400000</v>
      </c>
    </row>
    <row r="21561" spans="32:37">
      <c r="AF21561" s="831" t="s">
        <v>10376</v>
      </c>
      <c r="AG21561" s="831" t="s">
        <v>2674</v>
      </c>
      <c r="AH21561" s="831" t="s">
        <v>103</v>
      </c>
      <c r="AI21561" s="831">
        <v>0</v>
      </c>
      <c r="AJ21561" s="835">
        <v>41060</v>
      </c>
      <c r="AK21561" s="831">
        <v>159414407</v>
      </c>
    </row>
    <row r="21562" spans="32:37">
      <c r="AF21562" s="831" t="s">
        <v>10377</v>
      </c>
      <c r="AG21562" s="831" t="s">
        <v>2674</v>
      </c>
      <c r="AH21562" s="831" t="s">
        <v>182</v>
      </c>
      <c r="AI21562" s="831">
        <v>0</v>
      </c>
      <c r="AJ21562" s="835">
        <v>41060</v>
      </c>
      <c r="AK21562" s="831">
        <v>50472969.600000001</v>
      </c>
    </row>
    <row r="21563" spans="32:37">
      <c r="AF21563" s="831" t="s">
        <v>10378</v>
      </c>
      <c r="AG21563" s="831" t="s">
        <v>2674</v>
      </c>
      <c r="AH21563" s="831" t="s">
        <v>6600</v>
      </c>
      <c r="AI21563" s="831">
        <v>0</v>
      </c>
      <c r="AJ21563" s="835">
        <v>41060</v>
      </c>
      <c r="AK21563" s="831">
        <v>-2146826246</v>
      </c>
    </row>
    <row r="21564" spans="32:37">
      <c r="AF21564" s="831" t="s">
        <v>10379</v>
      </c>
      <c r="AG21564" s="831" t="s">
        <v>2674</v>
      </c>
      <c r="AH21564" s="831" t="s">
        <v>6602</v>
      </c>
      <c r="AI21564" s="831">
        <v>0</v>
      </c>
      <c r="AJ21564" s="835">
        <v>41060</v>
      </c>
      <c r="AK21564" s="831">
        <v>5197337</v>
      </c>
    </row>
    <row r="21565" spans="32:37">
      <c r="AF21565" s="831" t="s">
        <v>10380</v>
      </c>
      <c r="AG21565" s="831" t="s">
        <v>2674</v>
      </c>
      <c r="AH21565" s="831" t="s">
        <v>650</v>
      </c>
      <c r="AI21565" s="831">
        <v>0</v>
      </c>
      <c r="AJ21565" s="835">
        <v>41060</v>
      </c>
      <c r="AK21565" s="831">
        <v>0</v>
      </c>
    </row>
    <row r="21566" spans="32:37">
      <c r="AF21566" s="831" t="s">
        <v>10381</v>
      </c>
      <c r="AG21566" s="831" t="s">
        <v>2674</v>
      </c>
      <c r="AH21566" s="831" t="s">
        <v>655</v>
      </c>
      <c r="AI21566" s="831">
        <v>0</v>
      </c>
      <c r="AJ21566" s="835">
        <v>41060</v>
      </c>
      <c r="AK21566" s="831">
        <v>2125799</v>
      </c>
    </row>
    <row r="21567" spans="32:37">
      <c r="AF21567" s="831" t="s">
        <v>10382</v>
      </c>
      <c r="AG21567" s="831" t="s">
        <v>2674</v>
      </c>
      <c r="AH21567" s="831" t="s">
        <v>546</v>
      </c>
      <c r="AI21567" s="831">
        <v>0</v>
      </c>
      <c r="AJ21567" s="835">
        <v>41090</v>
      </c>
      <c r="AK21567" s="831">
        <v>342628450</v>
      </c>
    </row>
    <row r="21568" spans="32:37">
      <c r="AF21568" s="831" t="s">
        <v>10383</v>
      </c>
      <c r="AG21568" s="831" t="s">
        <v>2674</v>
      </c>
      <c r="AH21568" s="831" t="s">
        <v>370</v>
      </c>
      <c r="AI21568" s="831">
        <v>0</v>
      </c>
      <c r="AJ21568" s="835">
        <v>41090</v>
      </c>
      <c r="AK21568" s="831">
        <v>422295379</v>
      </c>
    </row>
    <row r="21569" spans="32:37">
      <c r="AF21569" s="831" t="s">
        <v>10384</v>
      </c>
      <c r="AG21569" s="831" t="s">
        <v>2674</v>
      </c>
      <c r="AH21569" s="831" t="s">
        <v>126</v>
      </c>
      <c r="AI21569" s="831">
        <v>0</v>
      </c>
      <c r="AJ21569" s="835">
        <v>41090</v>
      </c>
      <c r="AK21569" s="831">
        <v>91675016</v>
      </c>
    </row>
    <row r="21570" spans="32:37">
      <c r="AF21570" s="831" t="s">
        <v>10385</v>
      </c>
      <c r="AG21570" s="831" t="s">
        <v>2674</v>
      </c>
      <c r="AH21570" s="831" t="s">
        <v>268</v>
      </c>
      <c r="AI21570" s="831">
        <v>0</v>
      </c>
      <c r="AJ21570" s="835">
        <v>41090</v>
      </c>
      <c r="AK21570" s="831">
        <v>6352093</v>
      </c>
    </row>
    <row r="21571" spans="32:37">
      <c r="AF21571" s="831" t="s">
        <v>10386</v>
      </c>
      <c r="AG21571" s="831" t="s">
        <v>2674</v>
      </c>
      <c r="AH21571" s="831" t="s">
        <v>547</v>
      </c>
      <c r="AI21571" s="831">
        <v>0</v>
      </c>
      <c r="AJ21571" s="835">
        <v>41090</v>
      </c>
      <c r="AK21571" s="831">
        <v>0</v>
      </c>
    </row>
    <row r="21572" spans="32:37">
      <c r="AF21572" s="831" t="s">
        <v>10387</v>
      </c>
      <c r="AG21572" s="831" t="s">
        <v>2674</v>
      </c>
      <c r="AH21572" s="831" t="s">
        <v>548</v>
      </c>
      <c r="AI21572" s="831">
        <v>0</v>
      </c>
      <c r="AJ21572" s="835">
        <v>41090</v>
      </c>
      <c r="AK21572" s="831">
        <v>0</v>
      </c>
    </row>
    <row r="21573" spans="32:37">
      <c r="AF21573" s="831" t="s">
        <v>10388</v>
      </c>
      <c r="AG21573" s="831" t="s">
        <v>2674</v>
      </c>
      <c r="AH21573" s="831" t="s">
        <v>549</v>
      </c>
      <c r="AI21573" s="831">
        <v>0</v>
      </c>
      <c r="AJ21573" s="835">
        <v>41090</v>
      </c>
      <c r="AK21573" s="831">
        <v>0</v>
      </c>
    </row>
    <row r="21574" spans="32:37">
      <c r="AF21574" s="831" t="s">
        <v>10389</v>
      </c>
      <c r="AG21574" s="831" t="s">
        <v>2674</v>
      </c>
      <c r="AH21574" s="831" t="s">
        <v>192</v>
      </c>
      <c r="AI21574" s="831">
        <v>0</v>
      </c>
      <c r="AJ21574" s="835">
        <v>41090</v>
      </c>
      <c r="AK21574" s="831">
        <v>-9357224</v>
      </c>
    </row>
    <row r="21575" spans="32:37">
      <c r="AF21575" s="831" t="s">
        <v>10390</v>
      </c>
      <c r="AG21575" s="831" t="s">
        <v>2674</v>
      </c>
      <c r="AH21575" s="831" t="s">
        <v>558</v>
      </c>
      <c r="AI21575" s="831">
        <v>0</v>
      </c>
      <c r="AJ21575" s="835">
        <v>41090</v>
      </c>
      <c r="AK21575" s="831">
        <v>330620363</v>
      </c>
    </row>
    <row r="21576" spans="32:37">
      <c r="AF21576" s="831" t="s">
        <v>10391</v>
      </c>
      <c r="AG21576" s="831" t="s">
        <v>2674</v>
      </c>
      <c r="AH21576" s="831" t="s">
        <v>65</v>
      </c>
      <c r="AI21576" s="831">
        <v>0</v>
      </c>
      <c r="AJ21576" s="835">
        <v>41090</v>
      </c>
      <c r="AK21576" s="831">
        <v>46070355</v>
      </c>
    </row>
    <row r="21577" spans="32:37">
      <c r="AF21577" s="831" t="s">
        <v>10392</v>
      </c>
      <c r="AG21577" s="831" t="s">
        <v>2674</v>
      </c>
      <c r="AH21577" s="831" t="s">
        <v>89</v>
      </c>
      <c r="AI21577" s="831">
        <v>0</v>
      </c>
      <c r="AJ21577" s="835">
        <v>41090</v>
      </c>
      <c r="AK21577" s="831">
        <v>122094</v>
      </c>
    </row>
    <row r="21578" spans="32:37">
      <c r="AF21578" s="831" t="s">
        <v>10393</v>
      </c>
      <c r="AG21578" s="831" t="s">
        <v>2674</v>
      </c>
      <c r="AH21578" s="831" t="s">
        <v>557</v>
      </c>
      <c r="AI21578" s="831">
        <v>0</v>
      </c>
      <c r="AJ21578" s="835">
        <v>41090</v>
      </c>
      <c r="AK21578" s="831">
        <v>123933</v>
      </c>
    </row>
    <row r="21579" spans="32:37">
      <c r="AF21579" s="831" t="s">
        <v>10394</v>
      </c>
      <c r="AG21579" s="831" t="s">
        <v>2674</v>
      </c>
      <c r="AH21579" s="831" t="s">
        <v>29</v>
      </c>
      <c r="AI21579" s="831">
        <v>0</v>
      </c>
      <c r="AJ21579" s="835">
        <v>41090</v>
      </c>
      <c r="AK21579" s="831">
        <v>2579950</v>
      </c>
    </row>
    <row r="21580" spans="32:37">
      <c r="AF21580" s="831" t="s">
        <v>10395</v>
      </c>
      <c r="AG21580" s="831" t="s">
        <v>2674</v>
      </c>
      <c r="AH21580" s="831" t="s">
        <v>2688</v>
      </c>
      <c r="AI21580" s="831">
        <v>0</v>
      </c>
      <c r="AJ21580" s="835">
        <v>41090</v>
      </c>
      <c r="AK21580" s="831">
        <v>2983420</v>
      </c>
    </row>
    <row r="21581" spans="32:37">
      <c r="AF21581" s="831" t="s">
        <v>10396</v>
      </c>
      <c r="AG21581" s="831" t="s">
        <v>2674</v>
      </c>
      <c r="AH21581" s="831" t="s">
        <v>556</v>
      </c>
      <c r="AI21581" s="831">
        <v>0</v>
      </c>
      <c r="AJ21581" s="835">
        <v>41090</v>
      </c>
      <c r="AK21581" s="831">
        <v>0</v>
      </c>
    </row>
    <row r="21582" spans="32:37">
      <c r="AF21582" s="831" t="s">
        <v>10397</v>
      </c>
      <c r="AG21582" s="831" t="s">
        <v>2674</v>
      </c>
      <c r="AH21582" s="831" t="s">
        <v>555</v>
      </c>
      <c r="AI21582" s="831">
        <v>0</v>
      </c>
      <c r="AJ21582" s="835">
        <v>41090</v>
      </c>
      <c r="AK21582" s="831">
        <v>197249400</v>
      </c>
    </row>
    <row r="21583" spans="32:37">
      <c r="AF21583" s="831" t="s">
        <v>10398</v>
      </c>
      <c r="AG21583" s="831" t="s">
        <v>2674</v>
      </c>
      <c r="AH21583" s="831" t="s">
        <v>554</v>
      </c>
      <c r="AI21583" s="831">
        <v>0</v>
      </c>
      <c r="AJ21583" s="835">
        <v>41090</v>
      </c>
      <c r="AK21583" s="831">
        <v>196927620</v>
      </c>
    </row>
    <row r="21584" spans="32:37">
      <c r="AF21584" s="831" t="s">
        <v>10399</v>
      </c>
      <c r="AG21584" s="831" t="s">
        <v>2674</v>
      </c>
      <c r="AH21584" s="831" t="s">
        <v>553</v>
      </c>
      <c r="AI21584" s="831">
        <v>0</v>
      </c>
      <c r="AJ21584" s="835">
        <v>41090</v>
      </c>
      <c r="AK21584" s="831">
        <v>0</v>
      </c>
    </row>
    <row r="21585" spans="32:37">
      <c r="AF21585" s="831" t="s">
        <v>10400</v>
      </c>
      <c r="AG21585" s="831" t="s">
        <v>2674</v>
      </c>
      <c r="AH21585" s="831" t="s">
        <v>552</v>
      </c>
      <c r="AI21585" s="831">
        <v>0</v>
      </c>
      <c r="AJ21585" s="835">
        <v>41090</v>
      </c>
      <c r="AK21585" s="831">
        <v>0</v>
      </c>
    </row>
    <row r="21586" spans="32:37">
      <c r="AF21586" s="831" t="s">
        <v>10401</v>
      </c>
      <c r="AG21586" s="831" t="s">
        <v>2674</v>
      </c>
      <c r="AH21586" s="831" t="s">
        <v>551</v>
      </c>
      <c r="AI21586" s="831">
        <v>0</v>
      </c>
      <c r="AJ21586" s="835">
        <v>41090</v>
      </c>
      <c r="AK21586" s="831">
        <v>2420279</v>
      </c>
    </row>
    <row r="21587" spans="32:37">
      <c r="AF21587" s="831" t="s">
        <v>10402</v>
      </c>
      <c r="AG21587" s="831" t="s">
        <v>2674</v>
      </c>
      <c r="AH21587" s="831" t="s">
        <v>550</v>
      </c>
      <c r="AI21587" s="831">
        <v>0</v>
      </c>
      <c r="AJ21587" s="835">
        <v>41090</v>
      </c>
      <c r="AK21587" s="831">
        <v>90520261</v>
      </c>
    </row>
    <row r="21588" spans="32:37">
      <c r="AF21588" s="831" t="s">
        <v>10403</v>
      </c>
      <c r="AG21588" s="831" t="s">
        <v>2674</v>
      </c>
      <c r="AH21588" s="831" t="s">
        <v>562</v>
      </c>
      <c r="AI21588" s="831">
        <v>0</v>
      </c>
      <c r="AJ21588" s="835">
        <v>41090</v>
      </c>
      <c r="AK21588" s="831">
        <v>0.78505000000000003</v>
      </c>
    </row>
    <row r="21589" spans="32:37">
      <c r="AF21589" s="831" t="s">
        <v>10404</v>
      </c>
      <c r="AG21589" s="831" t="s">
        <v>2674</v>
      </c>
      <c r="AH21589" s="831" t="s">
        <v>2698</v>
      </c>
      <c r="AI21589" s="831">
        <v>0</v>
      </c>
      <c r="AJ21589" s="835">
        <v>41090</v>
      </c>
      <c r="AK21589" s="831">
        <v>0.78515000000000001</v>
      </c>
    </row>
    <row r="21590" spans="32:37">
      <c r="AF21590" s="831" t="s">
        <v>10405</v>
      </c>
      <c r="AG21590" s="831" t="s">
        <v>2674</v>
      </c>
      <c r="AH21590" s="831" t="s">
        <v>560</v>
      </c>
      <c r="AI21590" s="831">
        <v>0</v>
      </c>
      <c r="AJ21590" s="835">
        <v>41090</v>
      </c>
      <c r="AK21590" s="831">
        <v>0.78567500000000001</v>
      </c>
    </row>
    <row r="21591" spans="32:37">
      <c r="AF21591" s="831" t="s">
        <v>10406</v>
      </c>
      <c r="AG21591" s="831" t="s">
        <v>2674</v>
      </c>
      <c r="AH21591" s="831" t="s">
        <v>559</v>
      </c>
      <c r="AI21591" s="831">
        <v>0</v>
      </c>
      <c r="AJ21591" s="835">
        <v>41090</v>
      </c>
      <c r="AK21591" s="831">
        <v>0.78561666666666674</v>
      </c>
    </row>
    <row r="21592" spans="32:37">
      <c r="AF21592" s="831" t="s">
        <v>10407</v>
      </c>
      <c r="AG21592" s="831" t="s">
        <v>2674</v>
      </c>
      <c r="AH21592" s="831" t="s">
        <v>568</v>
      </c>
      <c r="AI21592" s="831">
        <v>0</v>
      </c>
      <c r="AJ21592" s="835">
        <v>41090</v>
      </c>
      <c r="AK21592" s="831">
        <v>0</v>
      </c>
    </row>
    <row r="21593" spans="32:37">
      <c r="AF21593" s="831" t="s">
        <v>10408</v>
      </c>
      <c r="AG21593" s="831" t="s">
        <v>2674</v>
      </c>
      <c r="AH21593" s="831" t="s">
        <v>569</v>
      </c>
      <c r="AI21593" s="831">
        <v>0</v>
      </c>
      <c r="AJ21593" s="835">
        <v>41090</v>
      </c>
      <c r="AK21593" s="831">
        <v>0</v>
      </c>
    </row>
    <row r="21594" spans="32:37">
      <c r="AF21594" s="831" t="s">
        <v>10409</v>
      </c>
      <c r="AG21594" s="831" t="s">
        <v>2674</v>
      </c>
      <c r="AH21594" s="831" t="s">
        <v>570</v>
      </c>
      <c r="AI21594" s="831">
        <v>0</v>
      </c>
      <c r="AJ21594" s="835">
        <v>41090</v>
      </c>
      <c r="AK21594" s="831">
        <v>0</v>
      </c>
    </row>
    <row r="21595" spans="32:37">
      <c r="AF21595" s="831" t="s">
        <v>10410</v>
      </c>
      <c r="AG21595" s="831" t="s">
        <v>2674</v>
      </c>
      <c r="AH21595" s="831" t="s">
        <v>571</v>
      </c>
      <c r="AI21595" s="831">
        <v>0</v>
      </c>
      <c r="AJ21595" s="835">
        <v>41090</v>
      </c>
      <c r="AK21595" s="831">
        <v>0</v>
      </c>
    </row>
    <row r="21596" spans="32:37">
      <c r="AF21596" s="831" t="s">
        <v>10411</v>
      </c>
      <c r="AG21596" s="831" t="s">
        <v>2674</v>
      </c>
      <c r="AH21596" s="831" t="s">
        <v>573</v>
      </c>
      <c r="AI21596" s="831">
        <v>0</v>
      </c>
      <c r="AJ21596" s="835">
        <v>41090</v>
      </c>
      <c r="AK21596" s="831">
        <v>0</v>
      </c>
    </row>
    <row r="21597" spans="32:37">
      <c r="AF21597" s="831" t="s">
        <v>10412</v>
      </c>
      <c r="AG21597" s="831" t="s">
        <v>2674</v>
      </c>
      <c r="AH21597" s="831" t="s">
        <v>574</v>
      </c>
      <c r="AI21597" s="831">
        <v>0</v>
      </c>
      <c r="AJ21597" s="835">
        <v>41090</v>
      </c>
      <c r="AK21597" s="831">
        <v>0</v>
      </c>
    </row>
    <row r="21598" spans="32:37">
      <c r="AF21598" s="831" t="s">
        <v>10413</v>
      </c>
      <c r="AG21598" s="831" t="s">
        <v>2674</v>
      </c>
      <c r="AH21598" s="831" t="s">
        <v>575</v>
      </c>
      <c r="AI21598" s="831">
        <v>0</v>
      </c>
      <c r="AJ21598" s="835">
        <v>41090</v>
      </c>
      <c r="AK21598" s="831">
        <v>0</v>
      </c>
    </row>
    <row r="21599" spans="32:37">
      <c r="AF21599" s="831" t="s">
        <v>10414</v>
      </c>
      <c r="AG21599" s="831" t="s">
        <v>2674</v>
      </c>
      <c r="AH21599" s="831" t="s">
        <v>576</v>
      </c>
      <c r="AI21599" s="831">
        <v>0</v>
      </c>
      <c r="AJ21599" s="835">
        <v>41090</v>
      </c>
      <c r="AK21599" s="831">
        <v>0</v>
      </c>
    </row>
    <row r="21600" spans="32:37">
      <c r="AF21600" s="831" t="s">
        <v>10415</v>
      </c>
      <c r="AG21600" s="831" t="s">
        <v>2674</v>
      </c>
      <c r="AH21600" s="831" t="s">
        <v>572</v>
      </c>
      <c r="AI21600" s="831">
        <v>0</v>
      </c>
      <c r="AJ21600" s="835">
        <v>41090</v>
      </c>
      <c r="AK21600" s="831">
        <v>-2146826246</v>
      </c>
    </row>
    <row r="21601" spans="32:37">
      <c r="AF21601" s="831" t="s">
        <v>10416</v>
      </c>
      <c r="AG21601" s="831" t="s">
        <v>2674</v>
      </c>
      <c r="AH21601" s="831" t="s">
        <v>577</v>
      </c>
      <c r="AI21601" s="831">
        <v>0</v>
      </c>
      <c r="AJ21601" s="835">
        <v>41090</v>
      </c>
      <c r="AK21601" s="831">
        <v>-2146826246</v>
      </c>
    </row>
    <row r="21602" spans="32:37">
      <c r="AF21602" s="831" t="s">
        <v>10417</v>
      </c>
      <c r="AG21602" s="831" t="s">
        <v>2674</v>
      </c>
      <c r="AH21602" s="831" t="s">
        <v>3042</v>
      </c>
      <c r="AI21602" s="831">
        <v>0</v>
      </c>
      <c r="AJ21602" s="835">
        <v>41090</v>
      </c>
      <c r="AK21602" s="831">
        <v>-2146826246</v>
      </c>
    </row>
    <row r="21603" spans="32:37">
      <c r="AF21603" s="831" t="s">
        <v>10418</v>
      </c>
      <c r="AG21603" s="831" t="s">
        <v>2674</v>
      </c>
      <c r="AH21603" s="831" t="s">
        <v>3044</v>
      </c>
      <c r="AI21603" s="831">
        <v>0</v>
      </c>
      <c r="AJ21603" s="835">
        <v>41090</v>
      </c>
      <c r="AK21603" s="831">
        <v>-2146826246</v>
      </c>
    </row>
    <row r="21604" spans="32:37">
      <c r="AF21604" s="831" t="s">
        <v>10419</v>
      </c>
      <c r="AG21604" s="831" t="s">
        <v>2674</v>
      </c>
      <c r="AH21604" s="831" t="s">
        <v>580</v>
      </c>
      <c r="AI21604" s="831">
        <v>0</v>
      </c>
      <c r="AJ21604" s="835">
        <v>41090</v>
      </c>
      <c r="AK21604" s="831">
        <v>-2146826246</v>
      </c>
    </row>
    <row r="21605" spans="32:37">
      <c r="AF21605" s="831" t="s">
        <v>10420</v>
      </c>
      <c r="AG21605" s="831" t="s">
        <v>2674</v>
      </c>
      <c r="AH21605" s="831" t="s">
        <v>581</v>
      </c>
      <c r="AI21605" s="831">
        <v>0</v>
      </c>
      <c r="AJ21605" s="835">
        <v>41090</v>
      </c>
      <c r="AK21605" s="831">
        <v>-2146826246</v>
      </c>
    </row>
    <row r="21606" spans="32:37">
      <c r="AF21606" s="831" t="s">
        <v>10421</v>
      </c>
      <c r="AG21606" s="831" t="s">
        <v>2674</v>
      </c>
      <c r="AH21606" s="831" t="s">
        <v>105</v>
      </c>
      <c r="AI21606" s="831">
        <v>0</v>
      </c>
      <c r="AJ21606" s="835">
        <v>41090</v>
      </c>
      <c r="AK21606" s="831">
        <v>152917631</v>
      </c>
    </row>
    <row r="21607" spans="32:37">
      <c r="AF21607" s="831" t="s">
        <v>10422</v>
      </c>
      <c r="AG21607" s="831" t="s">
        <v>2674</v>
      </c>
      <c r="AH21607" s="831" t="s">
        <v>3049</v>
      </c>
      <c r="AI21607" s="831">
        <v>0</v>
      </c>
      <c r="AJ21607" s="835">
        <v>41090</v>
      </c>
      <c r="AK21607" s="831">
        <v>317640148</v>
      </c>
    </row>
    <row r="21608" spans="32:37">
      <c r="AF21608" s="831" t="s">
        <v>10423</v>
      </c>
      <c r="AG21608" s="831" t="s">
        <v>2674</v>
      </c>
      <c r="AH21608" s="831" t="s">
        <v>103</v>
      </c>
      <c r="AI21608" s="831">
        <v>0</v>
      </c>
      <c r="AJ21608" s="835">
        <v>41090</v>
      </c>
      <c r="AK21608" s="831">
        <v>164722517</v>
      </c>
    </row>
    <row r="21609" spans="32:37">
      <c r="AF21609" s="831" t="s">
        <v>10424</v>
      </c>
      <c r="AG21609" s="831" t="s">
        <v>2674</v>
      </c>
      <c r="AH21609" s="831" t="s">
        <v>182</v>
      </c>
      <c r="AI21609" s="831">
        <v>0</v>
      </c>
      <c r="AJ21609" s="835">
        <v>41090</v>
      </c>
      <c r="AK21609" s="831">
        <v>51276754</v>
      </c>
    </row>
    <row r="21610" spans="32:37">
      <c r="AF21610" s="831" t="s">
        <v>10425</v>
      </c>
      <c r="AG21610" s="831" t="s">
        <v>2674</v>
      </c>
      <c r="AH21610" s="831" t="s">
        <v>6600</v>
      </c>
      <c r="AI21610" s="831">
        <v>0</v>
      </c>
      <c r="AJ21610" s="835">
        <v>41090</v>
      </c>
      <c r="AK21610" s="831">
        <v>-2146826246</v>
      </c>
    </row>
    <row r="21611" spans="32:37">
      <c r="AF21611" s="831" t="s">
        <v>10426</v>
      </c>
      <c r="AG21611" s="831" t="s">
        <v>2674</v>
      </c>
      <c r="AH21611" s="831" t="s">
        <v>6602</v>
      </c>
      <c r="AI21611" s="831">
        <v>0</v>
      </c>
      <c r="AJ21611" s="835">
        <v>41090</v>
      </c>
      <c r="AK21611" s="831">
        <v>6352093</v>
      </c>
    </row>
    <row r="21612" spans="32:37">
      <c r="AF21612" s="831" t="s">
        <v>10427</v>
      </c>
      <c r="AG21612" s="831" t="s">
        <v>2674</v>
      </c>
      <c r="AH21612" s="831" t="s">
        <v>650</v>
      </c>
      <c r="AI21612" s="831">
        <v>0</v>
      </c>
      <c r="AJ21612" s="835">
        <v>41090</v>
      </c>
      <c r="AK21612" s="831">
        <v>0</v>
      </c>
    </row>
    <row r="21613" spans="32:37">
      <c r="AF21613" s="831" t="s">
        <v>10428</v>
      </c>
      <c r="AG21613" s="831" t="s">
        <v>2674</v>
      </c>
      <c r="AH21613" s="831" t="s">
        <v>655</v>
      </c>
      <c r="AI21613" s="831">
        <v>0</v>
      </c>
      <c r="AJ21613" s="835">
        <v>41090</v>
      </c>
      <c r="AK21613" s="831">
        <v>2251978</v>
      </c>
    </row>
    <row r="21614" spans="32:37">
      <c r="AF21614" s="831" t="s">
        <v>10429</v>
      </c>
      <c r="AG21614" s="831" t="s">
        <v>2674</v>
      </c>
      <c r="AH21614" s="831" t="s">
        <v>546</v>
      </c>
      <c r="AI21614" s="831">
        <v>0</v>
      </c>
      <c r="AJ21614" s="835">
        <v>41121</v>
      </c>
      <c r="AK21614" s="831">
        <v>350104350</v>
      </c>
    </row>
    <row r="21615" spans="32:37">
      <c r="AF21615" s="831" t="s">
        <v>10430</v>
      </c>
      <c r="AG21615" s="831" t="s">
        <v>2674</v>
      </c>
      <c r="AH21615" s="831" t="s">
        <v>370</v>
      </c>
      <c r="AI21615" s="831">
        <v>0</v>
      </c>
      <c r="AJ21615" s="835">
        <v>41121</v>
      </c>
      <c r="AK21615" s="831">
        <v>438122032</v>
      </c>
    </row>
    <row r="21616" spans="32:37">
      <c r="AF21616" s="831" t="s">
        <v>10431</v>
      </c>
      <c r="AG21616" s="831" t="s">
        <v>2674</v>
      </c>
      <c r="AH21616" s="831" t="s">
        <v>126</v>
      </c>
      <c r="AI21616" s="831">
        <v>0</v>
      </c>
      <c r="AJ21616" s="835">
        <v>41121</v>
      </c>
      <c r="AK21616" s="831">
        <v>93426827</v>
      </c>
    </row>
    <row r="21617" spans="32:37">
      <c r="AF21617" s="831" t="s">
        <v>10432</v>
      </c>
      <c r="AG21617" s="831" t="s">
        <v>2674</v>
      </c>
      <c r="AH21617" s="831" t="s">
        <v>268</v>
      </c>
      <c r="AI21617" s="831">
        <v>0</v>
      </c>
      <c r="AJ21617" s="835">
        <v>41121</v>
      </c>
      <c r="AK21617" s="831">
        <v>8103905</v>
      </c>
    </row>
    <row r="21618" spans="32:37">
      <c r="AF21618" s="831" t="s">
        <v>10433</v>
      </c>
      <c r="AG21618" s="831" t="s">
        <v>2674</v>
      </c>
      <c r="AH21618" s="831" t="s">
        <v>547</v>
      </c>
      <c r="AI21618" s="831">
        <v>0</v>
      </c>
      <c r="AJ21618" s="835">
        <v>41121</v>
      </c>
      <c r="AK21618" s="831">
        <v>0</v>
      </c>
    </row>
    <row r="21619" spans="32:37">
      <c r="AF21619" s="831" t="s">
        <v>10434</v>
      </c>
      <c r="AG21619" s="831" t="s">
        <v>2674</v>
      </c>
      <c r="AH21619" s="831" t="s">
        <v>548</v>
      </c>
      <c r="AI21619" s="831">
        <v>0</v>
      </c>
      <c r="AJ21619" s="835">
        <v>41121</v>
      </c>
      <c r="AK21619" s="831">
        <v>0</v>
      </c>
    </row>
    <row r="21620" spans="32:37">
      <c r="AF21620" s="831" t="s">
        <v>10435</v>
      </c>
      <c r="AG21620" s="831" t="s">
        <v>2674</v>
      </c>
      <c r="AH21620" s="831" t="s">
        <v>549</v>
      </c>
      <c r="AI21620" s="831">
        <v>0</v>
      </c>
      <c r="AJ21620" s="835">
        <v>41121</v>
      </c>
      <c r="AK21620" s="831">
        <v>0</v>
      </c>
    </row>
    <row r="21621" spans="32:37">
      <c r="AF21621" s="831" t="s">
        <v>10436</v>
      </c>
      <c r="AG21621" s="831" t="s">
        <v>2674</v>
      </c>
      <c r="AH21621" s="831" t="s">
        <v>192</v>
      </c>
      <c r="AI21621" s="831">
        <v>0</v>
      </c>
      <c r="AJ21621" s="835">
        <v>41121</v>
      </c>
      <c r="AK21621" s="831">
        <v>-9691486</v>
      </c>
    </row>
    <row r="21622" spans="32:37">
      <c r="AF21622" s="831" t="s">
        <v>10437</v>
      </c>
      <c r="AG21622" s="831" t="s">
        <v>2674</v>
      </c>
      <c r="AH21622" s="831" t="s">
        <v>558</v>
      </c>
      <c r="AI21622" s="831">
        <v>0</v>
      </c>
      <c r="AJ21622" s="835">
        <v>41121</v>
      </c>
      <c r="AK21622" s="831">
        <v>344695205</v>
      </c>
    </row>
    <row r="21623" spans="32:37">
      <c r="AF21623" s="831" t="s">
        <v>10438</v>
      </c>
      <c r="AG21623" s="831" t="s">
        <v>2674</v>
      </c>
      <c r="AH21623" s="831" t="s">
        <v>65</v>
      </c>
      <c r="AI21623" s="831">
        <v>0</v>
      </c>
      <c r="AJ21623" s="835">
        <v>41121</v>
      </c>
      <c r="AK21623" s="831">
        <v>54573964</v>
      </c>
    </row>
    <row r="21624" spans="32:37">
      <c r="AF21624" s="831" t="s">
        <v>10439</v>
      </c>
      <c r="AG21624" s="831" t="s">
        <v>2674</v>
      </c>
      <c r="AH21624" s="831" t="s">
        <v>89</v>
      </c>
      <c r="AI21624" s="831">
        <v>0</v>
      </c>
      <c r="AJ21624" s="835">
        <v>41121</v>
      </c>
      <c r="AK21624" s="831">
        <v>121835</v>
      </c>
    </row>
    <row r="21625" spans="32:37">
      <c r="AF21625" s="831" t="s">
        <v>10440</v>
      </c>
      <c r="AG21625" s="831" t="s">
        <v>2674</v>
      </c>
      <c r="AH21625" s="831" t="s">
        <v>557</v>
      </c>
      <c r="AI21625" s="831">
        <v>0</v>
      </c>
      <c r="AJ21625" s="835">
        <v>41121</v>
      </c>
      <c r="AK21625" s="831">
        <v>123680</v>
      </c>
    </row>
    <row r="21626" spans="32:37">
      <c r="AF21626" s="831" t="s">
        <v>10441</v>
      </c>
      <c r="AG21626" s="831" t="s">
        <v>2674</v>
      </c>
      <c r="AH21626" s="831" t="s">
        <v>29</v>
      </c>
      <c r="AI21626" s="831">
        <v>0</v>
      </c>
      <c r="AJ21626" s="835">
        <v>41121</v>
      </c>
      <c r="AK21626" s="831">
        <v>2520940</v>
      </c>
    </row>
    <row r="21627" spans="32:37">
      <c r="AF21627" s="831" t="s">
        <v>10442</v>
      </c>
      <c r="AG21627" s="831" t="s">
        <v>2674</v>
      </c>
      <c r="AH21627" s="831" t="s">
        <v>2688</v>
      </c>
      <c r="AI21627" s="831">
        <v>0</v>
      </c>
      <c r="AJ21627" s="835">
        <v>41121</v>
      </c>
      <c r="AK21627" s="831">
        <v>2874987.63</v>
      </c>
    </row>
    <row r="21628" spans="32:37">
      <c r="AF21628" s="831" t="s">
        <v>10443</v>
      </c>
      <c r="AG21628" s="831" t="s">
        <v>2674</v>
      </c>
      <c r="AH21628" s="831" t="s">
        <v>556</v>
      </c>
      <c r="AI21628" s="831">
        <v>0</v>
      </c>
      <c r="AJ21628" s="835">
        <v>41121</v>
      </c>
      <c r="AK21628" s="831">
        <v>0</v>
      </c>
    </row>
    <row r="21629" spans="32:37">
      <c r="AF21629" s="831" t="s">
        <v>10444</v>
      </c>
      <c r="AG21629" s="831" t="s">
        <v>2674</v>
      </c>
      <c r="AH21629" s="831" t="s">
        <v>555</v>
      </c>
      <c r="AI21629" s="831">
        <v>0</v>
      </c>
      <c r="AJ21629" s="835">
        <v>41121</v>
      </c>
      <c r="AK21629" s="831">
        <v>212532560</v>
      </c>
    </row>
    <row r="21630" spans="32:37">
      <c r="AF21630" s="831" t="s">
        <v>10445</v>
      </c>
      <c r="AG21630" s="831" t="s">
        <v>2674</v>
      </c>
      <c r="AH21630" s="831" t="s">
        <v>554</v>
      </c>
      <c r="AI21630" s="831">
        <v>0</v>
      </c>
      <c r="AJ21630" s="835">
        <v>41121</v>
      </c>
      <c r="AK21630" s="831">
        <v>206644050</v>
      </c>
    </row>
    <row r="21631" spans="32:37">
      <c r="AF21631" s="831" t="s">
        <v>10446</v>
      </c>
      <c r="AG21631" s="831" t="s">
        <v>2674</v>
      </c>
      <c r="AH21631" s="831" t="s">
        <v>553</v>
      </c>
      <c r="AI21631" s="831">
        <v>0</v>
      </c>
      <c r="AJ21631" s="835">
        <v>41121</v>
      </c>
      <c r="AK21631" s="831">
        <v>0</v>
      </c>
    </row>
    <row r="21632" spans="32:37">
      <c r="AF21632" s="831" t="s">
        <v>10447</v>
      </c>
      <c r="AG21632" s="831" t="s">
        <v>2674</v>
      </c>
      <c r="AH21632" s="831" t="s">
        <v>552</v>
      </c>
      <c r="AI21632" s="831">
        <v>0</v>
      </c>
      <c r="AJ21632" s="835">
        <v>41121</v>
      </c>
      <c r="AK21632" s="831">
        <v>0</v>
      </c>
    </row>
    <row r="21633" spans="32:37">
      <c r="AF21633" s="831" t="s">
        <v>10448</v>
      </c>
      <c r="AG21633" s="831" t="s">
        <v>2674</v>
      </c>
      <c r="AH21633" s="831" t="s">
        <v>551</v>
      </c>
      <c r="AI21633" s="831">
        <v>0</v>
      </c>
      <c r="AJ21633" s="835">
        <v>41121</v>
      </c>
      <c r="AK21633" s="831">
        <v>2408186</v>
      </c>
    </row>
    <row r="21634" spans="32:37">
      <c r="AF21634" s="831" t="s">
        <v>10449</v>
      </c>
      <c r="AG21634" s="831" t="s">
        <v>2674</v>
      </c>
      <c r="AH21634" s="831" t="s">
        <v>550</v>
      </c>
      <c r="AI21634" s="831">
        <v>0</v>
      </c>
      <c r="AJ21634" s="835">
        <v>41121</v>
      </c>
      <c r="AK21634" s="831">
        <v>91675016</v>
      </c>
    </row>
    <row r="21635" spans="32:37">
      <c r="AF21635" s="831" t="s">
        <v>10450</v>
      </c>
      <c r="AG21635" s="831" t="s">
        <v>2674</v>
      </c>
      <c r="AH21635" s="831" t="s">
        <v>562</v>
      </c>
      <c r="AI21635" s="831">
        <v>0</v>
      </c>
      <c r="AJ21635" s="835">
        <v>41121</v>
      </c>
      <c r="AK21635" s="831">
        <v>0.78495000000000004</v>
      </c>
    </row>
    <row r="21636" spans="32:37">
      <c r="AF21636" s="831" t="s">
        <v>10451</v>
      </c>
      <c r="AG21636" s="831" t="s">
        <v>2674</v>
      </c>
      <c r="AH21636" s="831" t="s">
        <v>2698</v>
      </c>
      <c r="AI21636" s="831">
        <v>0</v>
      </c>
      <c r="AJ21636" s="835">
        <v>41121</v>
      </c>
      <c r="AK21636" s="831">
        <v>0.78505000000000003</v>
      </c>
    </row>
    <row r="21637" spans="32:37">
      <c r="AF21637" s="831" t="s">
        <v>10452</v>
      </c>
      <c r="AG21637" s="831" t="s">
        <v>2674</v>
      </c>
      <c r="AH21637" s="831" t="s">
        <v>560</v>
      </c>
      <c r="AI21637" s="831">
        <v>0</v>
      </c>
      <c r="AJ21637" s="835">
        <v>41121</v>
      </c>
      <c r="AK21637" s="831">
        <v>0.7855714285714287</v>
      </c>
    </row>
    <row r="21638" spans="32:37">
      <c r="AF21638" s="831" t="s">
        <v>10453</v>
      </c>
      <c r="AG21638" s="831" t="s">
        <v>2674</v>
      </c>
      <c r="AH21638" s="831" t="s">
        <v>559</v>
      </c>
      <c r="AI21638" s="831">
        <v>0</v>
      </c>
      <c r="AJ21638" s="835">
        <v>41121</v>
      </c>
      <c r="AK21638" s="831">
        <v>0.7854916666666667</v>
      </c>
    </row>
    <row r="21639" spans="32:37">
      <c r="AF21639" s="831" t="s">
        <v>10454</v>
      </c>
      <c r="AG21639" s="831" t="s">
        <v>2674</v>
      </c>
      <c r="AH21639" s="831" t="s">
        <v>568</v>
      </c>
      <c r="AI21639" s="831">
        <v>0</v>
      </c>
      <c r="AJ21639" s="835">
        <v>41121</v>
      </c>
      <c r="AK21639" s="831">
        <v>0</v>
      </c>
    </row>
    <row r="21640" spans="32:37">
      <c r="AF21640" s="831" t="s">
        <v>10455</v>
      </c>
      <c r="AG21640" s="831" t="s">
        <v>2674</v>
      </c>
      <c r="AH21640" s="831" t="s">
        <v>569</v>
      </c>
      <c r="AI21640" s="831">
        <v>0</v>
      </c>
      <c r="AJ21640" s="835">
        <v>41121</v>
      </c>
      <c r="AK21640" s="831">
        <v>0</v>
      </c>
    </row>
    <row r="21641" spans="32:37">
      <c r="AF21641" s="831" t="s">
        <v>10456</v>
      </c>
      <c r="AG21641" s="831" t="s">
        <v>2674</v>
      </c>
      <c r="AH21641" s="831" t="s">
        <v>570</v>
      </c>
      <c r="AI21641" s="831">
        <v>0</v>
      </c>
      <c r="AJ21641" s="835">
        <v>41121</v>
      </c>
      <c r="AK21641" s="831">
        <v>0</v>
      </c>
    </row>
    <row r="21642" spans="32:37">
      <c r="AF21642" s="831" t="s">
        <v>10457</v>
      </c>
      <c r="AG21642" s="831" t="s">
        <v>2674</v>
      </c>
      <c r="AH21642" s="831" t="s">
        <v>571</v>
      </c>
      <c r="AI21642" s="831">
        <v>0</v>
      </c>
      <c r="AJ21642" s="835">
        <v>41121</v>
      </c>
      <c r="AK21642" s="831">
        <v>0</v>
      </c>
    </row>
    <row r="21643" spans="32:37">
      <c r="AF21643" s="831" t="s">
        <v>10458</v>
      </c>
      <c r="AG21643" s="831" t="s">
        <v>2674</v>
      </c>
      <c r="AH21643" s="831" t="s">
        <v>573</v>
      </c>
      <c r="AI21643" s="831">
        <v>0</v>
      </c>
      <c r="AJ21643" s="835">
        <v>41121</v>
      </c>
      <c r="AK21643" s="831">
        <v>0</v>
      </c>
    </row>
    <row r="21644" spans="32:37">
      <c r="AF21644" s="831" t="s">
        <v>10459</v>
      </c>
      <c r="AG21644" s="831" t="s">
        <v>2674</v>
      </c>
      <c r="AH21644" s="831" t="s">
        <v>574</v>
      </c>
      <c r="AI21644" s="831">
        <v>0</v>
      </c>
      <c r="AJ21644" s="835">
        <v>41121</v>
      </c>
      <c r="AK21644" s="831">
        <v>0</v>
      </c>
    </row>
    <row r="21645" spans="32:37">
      <c r="AF21645" s="831" t="s">
        <v>10460</v>
      </c>
      <c r="AG21645" s="831" t="s">
        <v>2674</v>
      </c>
      <c r="AH21645" s="831" t="s">
        <v>575</v>
      </c>
      <c r="AI21645" s="831">
        <v>0</v>
      </c>
      <c r="AJ21645" s="835">
        <v>41121</v>
      </c>
      <c r="AK21645" s="831">
        <v>0</v>
      </c>
    </row>
    <row r="21646" spans="32:37">
      <c r="AF21646" s="831" t="s">
        <v>10461</v>
      </c>
      <c r="AG21646" s="831" t="s">
        <v>2674</v>
      </c>
      <c r="AH21646" s="831" t="s">
        <v>576</v>
      </c>
      <c r="AI21646" s="831">
        <v>0</v>
      </c>
      <c r="AJ21646" s="835">
        <v>41121</v>
      </c>
      <c r="AK21646" s="831">
        <v>0</v>
      </c>
    </row>
    <row r="21647" spans="32:37">
      <c r="AF21647" s="831" t="s">
        <v>10462</v>
      </c>
      <c r="AG21647" s="831" t="s">
        <v>2674</v>
      </c>
      <c r="AH21647" s="831" t="s">
        <v>572</v>
      </c>
      <c r="AI21647" s="831">
        <v>0</v>
      </c>
      <c r="AJ21647" s="835">
        <v>41121</v>
      </c>
      <c r="AK21647" s="831">
        <v>-2146826246</v>
      </c>
    </row>
    <row r="21648" spans="32:37">
      <c r="AF21648" s="831" t="s">
        <v>10463</v>
      </c>
      <c r="AG21648" s="831" t="s">
        <v>2674</v>
      </c>
      <c r="AH21648" s="831" t="s">
        <v>577</v>
      </c>
      <c r="AI21648" s="831">
        <v>0</v>
      </c>
      <c r="AJ21648" s="835">
        <v>41121</v>
      </c>
      <c r="AK21648" s="831">
        <v>-2146826246</v>
      </c>
    </row>
    <row r="21649" spans="32:37">
      <c r="AF21649" s="831" t="s">
        <v>10464</v>
      </c>
      <c r="AG21649" s="831" t="s">
        <v>2674</v>
      </c>
      <c r="AH21649" s="831" t="s">
        <v>3042</v>
      </c>
      <c r="AI21649" s="831">
        <v>0</v>
      </c>
      <c r="AJ21649" s="835">
        <v>41121</v>
      </c>
      <c r="AK21649" s="831">
        <v>-2146826246</v>
      </c>
    </row>
    <row r="21650" spans="32:37">
      <c r="AF21650" s="831" t="s">
        <v>10465</v>
      </c>
      <c r="AG21650" s="831" t="s">
        <v>2674</v>
      </c>
      <c r="AH21650" s="831" t="s">
        <v>3044</v>
      </c>
      <c r="AI21650" s="831">
        <v>0</v>
      </c>
      <c r="AJ21650" s="835">
        <v>41121</v>
      </c>
      <c r="AK21650" s="831">
        <v>-2146826246</v>
      </c>
    </row>
    <row r="21651" spans="32:37">
      <c r="AF21651" s="831" t="s">
        <v>10466</v>
      </c>
      <c r="AG21651" s="831" t="s">
        <v>2674</v>
      </c>
      <c r="AH21651" s="831" t="s">
        <v>580</v>
      </c>
      <c r="AI21651" s="831">
        <v>0</v>
      </c>
      <c r="AJ21651" s="835">
        <v>41121</v>
      </c>
      <c r="AK21651" s="831">
        <v>-2146826246</v>
      </c>
    </row>
    <row r="21652" spans="32:37">
      <c r="AF21652" s="831" t="s">
        <v>10467</v>
      </c>
      <c r="AG21652" s="831" t="s">
        <v>2674</v>
      </c>
      <c r="AH21652" s="831" t="s">
        <v>581</v>
      </c>
      <c r="AI21652" s="831">
        <v>0</v>
      </c>
      <c r="AJ21652" s="835">
        <v>41121</v>
      </c>
      <c r="AK21652" s="831">
        <v>-2146826246</v>
      </c>
    </row>
    <row r="21653" spans="32:37">
      <c r="AF21653" s="831" t="s">
        <v>10468</v>
      </c>
      <c r="AG21653" s="831" t="s">
        <v>2674</v>
      </c>
      <c r="AH21653" s="831" t="s">
        <v>105</v>
      </c>
      <c r="AI21653" s="831">
        <v>0</v>
      </c>
      <c r="AJ21653" s="835">
        <v>41121</v>
      </c>
      <c r="AK21653" s="831">
        <v>164564846</v>
      </c>
    </row>
    <row r="21654" spans="32:37">
      <c r="AF21654" s="831" t="s">
        <v>10469</v>
      </c>
      <c r="AG21654" s="831" t="s">
        <v>2674</v>
      </c>
      <c r="AH21654" s="831" t="s">
        <v>3049</v>
      </c>
      <c r="AI21654" s="831">
        <v>0</v>
      </c>
      <c r="AJ21654" s="835">
        <v>41121</v>
      </c>
      <c r="AK21654" s="831">
        <v>330970241</v>
      </c>
    </row>
    <row r="21655" spans="32:37">
      <c r="AF21655" s="831" t="s">
        <v>10470</v>
      </c>
      <c r="AG21655" s="831" t="s">
        <v>2674</v>
      </c>
      <c r="AH21655" s="831" t="s">
        <v>103</v>
      </c>
      <c r="AI21655" s="831">
        <v>0</v>
      </c>
      <c r="AJ21655" s="835">
        <v>41121</v>
      </c>
      <c r="AK21655" s="831">
        <v>166405395</v>
      </c>
    </row>
    <row r="21656" spans="32:37">
      <c r="AF21656" s="831" t="s">
        <v>10471</v>
      </c>
      <c r="AG21656" s="831" t="s">
        <v>2674</v>
      </c>
      <c r="AH21656" s="831" t="s">
        <v>182</v>
      </c>
      <c r="AI21656" s="831">
        <v>0</v>
      </c>
      <c r="AJ21656" s="835">
        <v>41121</v>
      </c>
      <c r="AK21656" s="831">
        <v>50915117.142857142</v>
      </c>
    </row>
    <row r="21657" spans="32:37">
      <c r="AF21657" s="831" t="s">
        <v>10472</v>
      </c>
      <c r="AG21657" s="831" t="s">
        <v>2674</v>
      </c>
      <c r="AH21657" s="831" t="s">
        <v>6600</v>
      </c>
      <c r="AI21657" s="831">
        <v>0</v>
      </c>
      <c r="AJ21657" s="835">
        <v>41121</v>
      </c>
      <c r="AK21657" s="831">
        <v>-2146826246</v>
      </c>
    </row>
    <row r="21658" spans="32:37">
      <c r="AF21658" s="831" t="s">
        <v>10473</v>
      </c>
      <c r="AG21658" s="831" t="s">
        <v>2674</v>
      </c>
      <c r="AH21658" s="831" t="s">
        <v>6602</v>
      </c>
      <c r="AI21658" s="831">
        <v>0</v>
      </c>
      <c r="AJ21658" s="835">
        <v>41121</v>
      </c>
      <c r="AK21658" s="831">
        <v>8103905</v>
      </c>
    </row>
    <row r="21659" spans="32:37">
      <c r="AF21659" s="831" t="s">
        <v>10474</v>
      </c>
      <c r="AG21659" s="831" t="s">
        <v>2674</v>
      </c>
      <c r="AH21659" s="831" t="s">
        <v>650</v>
      </c>
      <c r="AI21659" s="831">
        <v>0</v>
      </c>
      <c r="AJ21659" s="835">
        <v>41121</v>
      </c>
      <c r="AK21659" s="831">
        <v>0</v>
      </c>
    </row>
    <row r="21660" spans="32:37">
      <c r="AF21660" s="831" t="s">
        <v>10475</v>
      </c>
      <c r="AG21660" s="831" t="s">
        <v>2674</v>
      </c>
      <c r="AH21660" s="831" t="s">
        <v>655</v>
      </c>
      <c r="AI21660" s="831">
        <v>0</v>
      </c>
      <c r="AJ21660" s="835">
        <v>41121</v>
      </c>
      <c r="AK21660" s="831">
        <v>2307351</v>
      </c>
    </row>
    <row r="21661" spans="32:37">
      <c r="AF21661" s="831" t="s">
        <v>10476</v>
      </c>
      <c r="AG21661" s="831" t="s">
        <v>2674</v>
      </c>
      <c r="AH21661" s="831" t="s">
        <v>546</v>
      </c>
      <c r="AI21661" s="831">
        <v>0</v>
      </c>
      <c r="AJ21661" s="835">
        <v>41152</v>
      </c>
      <c r="AK21661" s="831">
        <v>362295244</v>
      </c>
    </row>
    <row r="21662" spans="32:37">
      <c r="AF21662" s="831" t="s">
        <v>10477</v>
      </c>
      <c r="AG21662" s="831" t="s">
        <v>2674</v>
      </c>
      <c r="AH21662" s="831" t="s">
        <v>370</v>
      </c>
      <c r="AI21662" s="831">
        <v>0</v>
      </c>
      <c r="AJ21662" s="835">
        <v>41152</v>
      </c>
      <c r="AK21662" s="831">
        <v>452262206</v>
      </c>
    </row>
    <row r="21663" spans="32:37">
      <c r="AF21663" s="831" t="s">
        <v>10478</v>
      </c>
      <c r="AG21663" s="831" t="s">
        <v>2674</v>
      </c>
      <c r="AH21663" s="831" t="s">
        <v>126</v>
      </c>
      <c r="AI21663" s="831">
        <v>0</v>
      </c>
      <c r="AJ21663" s="835">
        <v>41152</v>
      </c>
      <c r="AK21663" s="831">
        <v>95414973</v>
      </c>
    </row>
    <row r="21664" spans="32:37">
      <c r="AF21664" s="831" t="s">
        <v>10479</v>
      </c>
      <c r="AG21664" s="831" t="s">
        <v>2674</v>
      </c>
      <c r="AH21664" s="831" t="s">
        <v>268</v>
      </c>
      <c r="AI21664" s="831">
        <v>0</v>
      </c>
      <c r="AJ21664" s="835">
        <v>41152</v>
      </c>
      <c r="AK21664" s="831">
        <v>10092049</v>
      </c>
    </row>
    <row r="21665" spans="32:37">
      <c r="AF21665" s="831" t="s">
        <v>10480</v>
      </c>
      <c r="AG21665" s="831" t="s">
        <v>2674</v>
      </c>
      <c r="AH21665" s="831" t="s">
        <v>547</v>
      </c>
      <c r="AI21665" s="831">
        <v>0</v>
      </c>
      <c r="AJ21665" s="835">
        <v>41152</v>
      </c>
      <c r="AK21665" s="831">
        <v>0</v>
      </c>
    </row>
    <row r="21666" spans="32:37">
      <c r="AF21666" s="831" t="s">
        <v>10481</v>
      </c>
      <c r="AG21666" s="831" t="s">
        <v>2674</v>
      </c>
      <c r="AH21666" s="831" t="s">
        <v>548</v>
      </c>
      <c r="AI21666" s="831">
        <v>0</v>
      </c>
      <c r="AJ21666" s="835">
        <v>41152</v>
      </c>
      <c r="AK21666" s="831">
        <v>0</v>
      </c>
    </row>
    <row r="21667" spans="32:37">
      <c r="AF21667" s="831" t="s">
        <v>10482</v>
      </c>
      <c r="AG21667" s="831" t="s">
        <v>2674</v>
      </c>
      <c r="AH21667" s="831" t="s">
        <v>549</v>
      </c>
      <c r="AI21667" s="831">
        <v>0</v>
      </c>
      <c r="AJ21667" s="835">
        <v>41152</v>
      </c>
      <c r="AK21667" s="831">
        <v>0</v>
      </c>
    </row>
    <row r="21668" spans="32:37">
      <c r="AF21668" s="831" t="s">
        <v>10483</v>
      </c>
      <c r="AG21668" s="831" t="s">
        <v>2674</v>
      </c>
      <c r="AH21668" s="831" t="s">
        <v>192</v>
      </c>
      <c r="AI21668" s="831">
        <v>0</v>
      </c>
      <c r="AJ21668" s="835">
        <v>41152</v>
      </c>
      <c r="AK21668" s="831">
        <v>-9148265</v>
      </c>
    </row>
    <row r="21669" spans="32:37">
      <c r="AF21669" s="831" t="s">
        <v>10484</v>
      </c>
      <c r="AG21669" s="831" t="s">
        <v>2674</v>
      </c>
      <c r="AH21669" s="831" t="s">
        <v>558</v>
      </c>
      <c r="AI21669" s="831">
        <v>0</v>
      </c>
      <c r="AJ21669" s="835">
        <v>41152</v>
      </c>
      <c r="AK21669" s="831">
        <v>356847233</v>
      </c>
    </row>
    <row r="21670" spans="32:37">
      <c r="AF21670" s="831" t="s">
        <v>10485</v>
      </c>
      <c r="AG21670" s="831" t="s">
        <v>2674</v>
      </c>
      <c r="AH21670" s="831" t="s">
        <v>65</v>
      </c>
      <c r="AI21670" s="831">
        <v>0</v>
      </c>
      <c r="AJ21670" s="835">
        <v>41152</v>
      </c>
      <c r="AK21670" s="831">
        <v>63143485</v>
      </c>
    </row>
    <row r="21671" spans="32:37">
      <c r="AF21671" s="831" t="s">
        <v>10486</v>
      </c>
      <c r="AG21671" s="831" t="s">
        <v>2674</v>
      </c>
      <c r="AH21671" s="831" t="s">
        <v>89</v>
      </c>
      <c r="AI21671" s="831">
        <v>0</v>
      </c>
      <c r="AJ21671" s="835">
        <v>41152</v>
      </c>
      <c r="AK21671" s="831">
        <v>122109</v>
      </c>
    </row>
    <row r="21672" spans="32:37">
      <c r="AF21672" s="831" t="s">
        <v>10487</v>
      </c>
      <c r="AG21672" s="831" t="s">
        <v>2674</v>
      </c>
      <c r="AH21672" s="831" t="s">
        <v>557</v>
      </c>
      <c r="AI21672" s="831">
        <v>0</v>
      </c>
      <c r="AJ21672" s="835">
        <v>41152</v>
      </c>
      <c r="AK21672" s="831">
        <v>123973</v>
      </c>
    </row>
    <row r="21673" spans="32:37">
      <c r="AF21673" s="831" t="s">
        <v>10488</v>
      </c>
      <c r="AG21673" s="831" t="s">
        <v>2674</v>
      </c>
      <c r="AH21673" s="831" t="s">
        <v>29</v>
      </c>
      <c r="AI21673" s="831">
        <v>0</v>
      </c>
      <c r="AJ21673" s="835">
        <v>41152</v>
      </c>
      <c r="AK21673" s="831">
        <v>2024314</v>
      </c>
    </row>
    <row r="21674" spans="32:37">
      <c r="AF21674" s="831" t="s">
        <v>10489</v>
      </c>
      <c r="AG21674" s="831" t="s">
        <v>2674</v>
      </c>
      <c r="AH21674" s="831" t="s">
        <v>2688</v>
      </c>
      <c r="AI21674" s="831">
        <v>0</v>
      </c>
      <c r="AJ21674" s="835">
        <v>41152</v>
      </c>
      <c r="AK21674" s="831">
        <v>2600544</v>
      </c>
    </row>
    <row r="21675" spans="32:37">
      <c r="AF21675" s="831" t="s">
        <v>10490</v>
      </c>
      <c r="AG21675" s="831" t="s">
        <v>2674</v>
      </c>
      <c r="AH21675" s="831" t="s">
        <v>556</v>
      </c>
      <c r="AI21675" s="831">
        <v>0</v>
      </c>
      <c r="AJ21675" s="835">
        <v>41152</v>
      </c>
      <c r="AK21675" s="831">
        <v>902857</v>
      </c>
    </row>
    <row r="21676" spans="32:37">
      <c r="AF21676" s="831" t="s">
        <v>10491</v>
      </c>
      <c r="AG21676" s="831" t="s">
        <v>2674</v>
      </c>
      <c r="AH21676" s="831" t="s">
        <v>555</v>
      </c>
      <c r="AI21676" s="831">
        <v>0</v>
      </c>
      <c r="AJ21676" s="835">
        <v>41152</v>
      </c>
      <c r="AK21676" s="831">
        <v>221766870</v>
      </c>
    </row>
    <row r="21677" spans="32:37">
      <c r="AF21677" s="831" t="s">
        <v>10492</v>
      </c>
      <c r="AG21677" s="831" t="s">
        <v>2674</v>
      </c>
      <c r="AH21677" s="831" t="s">
        <v>554</v>
      </c>
      <c r="AI21677" s="831">
        <v>0</v>
      </c>
      <c r="AJ21677" s="835">
        <v>41152</v>
      </c>
      <c r="AK21677" s="831">
        <v>217001920</v>
      </c>
    </row>
    <row r="21678" spans="32:37">
      <c r="AF21678" s="831" t="s">
        <v>10493</v>
      </c>
      <c r="AG21678" s="831" t="s">
        <v>2674</v>
      </c>
      <c r="AH21678" s="831" t="s">
        <v>553</v>
      </c>
      <c r="AI21678" s="831">
        <v>0</v>
      </c>
      <c r="AJ21678" s="835">
        <v>41152</v>
      </c>
      <c r="AK21678" s="831">
        <v>0</v>
      </c>
    </row>
    <row r="21679" spans="32:37">
      <c r="AF21679" s="831" t="s">
        <v>10494</v>
      </c>
      <c r="AG21679" s="831" t="s">
        <v>2674</v>
      </c>
      <c r="AH21679" s="831" t="s">
        <v>552</v>
      </c>
      <c r="AI21679" s="831">
        <v>0</v>
      </c>
      <c r="AJ21679" s="835">
        <v>41152</v>
      </c>
      <c r="AK21679" s="831">
        <v>0</v>
      </c>
    </row>
    <row r="21680" spans="32:37">
      <c r="AF21680" s="831" t="s">
        <v>10495</v>
      </c>
      <c r="AG21680" s="831" t="s">
        <v>2674</v>
      </c>
      <c r="AH21680" s="831" t="s">
        <v>551</v>
      </c>
      <c r="AI21680" s="831">
        <v>0</v>
      </c>
      <c r="AJ21680" s="835">
        <v>41152</v>
      </c>
      <c r="AK21680" s="831">
        <v>1690236</v>
      </c>
    </row>
    <row r="21681" spans="32:37">
      <c r="AF21681" s="831" t="s">
        <v>10496</v>
      </c>
      <c r="AG21681" s="831" t="s">
        <v>2674</v>
      </c>
      <c r="AH21681" s="831" t="s">
        <v>550</v>
      </c>
      <c r="AI21681" s="831">
        <v>0</v>
      </c>
      <c r="AJ21681" s="835">
        <v>41152</v>
      </c>
      <c r="AK21681" s="831">
        <v>93426827</v>
      </c>
    </row>
    <row r="21682" spans="32:37">
      <c r="AF21682" s="831" t="s">
        <v>10497</v>
      </c>
      <c r="AG21682" s="831" t="s">
        <v>2674</v>
      </c>
      <c r="AH21682" s="831" t="s">
        <v>562</v>
      </c>
      <c r="AI21682" s="831">
        <v>0</v>
      </c>
      <c r="AJ21682" s="835">
        <v>41152</v>
      </c>
      <c r="AK21682" s="831">
        <v>0.78449999999999998</v>
      </c>
    </row>
    <row r="21683" spans="32:37">
      <c r="AF21683" s="831" t="s">
        <v>10498</v>
      </c>
      <c r="AG21683" s="831" t="s">
        <v>2674</v>
      </c>
      <c r="AH21683" s="831" t="s">
        <v>2698</v>
      </c>
      <c r="AI21683" s="831">
        <v>0</v>
      </c>
      <c r="AJ21683" s="835">
        <v>41152</v>
      </c>
      <c r="AK21683" s="831">
        <v>0.78495000000000004</v>
      </c>
    </row>
    <row r="21684" spans="32:37">
      <c r="AF21684" s="831" t="s">
        <v>10499</v>
      </c>
      <c r="AG21684" s="831" t="s">
        <v>2674</v>
      </c>
      <c r="AH21684" s="831" t="s">
        <v>560</v>
      </c>
      <c r="AI21684" s="831">
        <v>0</v>
      </c>
      <c r="AJ21684" s="835">
        <v>41152</v>
      </c>
      <c r="AK21684" s="831">
        <v>0.78543750000000001</v>
      </c>
    </row>
    <row r="21685" spans="32:37">
      <c r="AF21685" s="831" t="s">
        <v>10500</v>
      </c>
      <c r="AG21685" s="831" t="s">
        <v>2674</v>
      </c>
      <c r="AH21685" s="831" t="s">
        <v>559</v>
      </c>
      <c r="AI21685" s="831">
        <v>0</v>
      </c>
      <c r="AJ21685" s="835">
        <v>41152</v>
      </c>
      <c r="AK21685" s="831">
        <v>0.78544999999999998</v>
      </c>
    </row>
    <row r="21686" spans="32:37">
      <c r="AF21686" s="831" t="s">
        <v>10501</v>
      </c>
      <c r="AG21686" s="831" t="s">
        <v>2674</v>
      </c>
      <c r="AH21686" s="831" t="s">
        <v>568</v>
      </c>
      <c r="AI21686" s="831">
        <v>0</v>
      </c>
      <c r="AJ21686" s="835">
        <v>41152</v>
      </c>
      <c r="AK21686" s="831">
        <v>0</v>
      </c>
    </row>
    <row r="21687" spans="32:37">
      <c r="AF21687" s="831" t="s">
        <v>10502</v>
      </c>
      <c r="AG21687" s="831" t="s">
        <v>2674</v>
      </c>
      <c r="AH21687" s="831" t="s">
        <v>569</v>
      </c>
      <c r="AI21687" s="831">
        <v>0</v>
      </c>
      <c r="AJ21687" s="835">
        <v>41152</v>
      </c>
      <c r="AK21687" s="831">
        <v>0</v>
      </c>
    </row>
    <row r="21688" spans="32:37">
      <c r="AF21688" s="831" t="s">
        <v>10503</v>
      </c>
      <c r="AG21688" s="831" t="s">
        <v>2674</v>
      </c>
      <c r="AH21688" s="831" t="s">
        <v>570</v>
      </c>
      <c r="AI21688" s="831">
        <v>0</v>
      </c>
      <c r="AJ21688" s="835">
        <v>41152</v>
      </c>
      <c r="AK21688" s="831">
        <v>0</v>
      </c>
    </row>
    <row r="21689" spans="32:37">
      <c r="AF21689" s="831" t="s">
        <v>10504</v>
      </c>
      <c r="AG21689" s="831" t="s">
        <v>2674</v>
      </c>
      <c r="AH21689" s="831" t="s">
        <v>571</v>
      </c>
      <c r="AI21689" s="831">
        <v>0</v>
      </c>
      <c r="AJ21689" s="835">
        <v>41152</v>
      </c>
      <c r="AK21689" s="831">
        <v>0</v>
      </c>
    </row>
    <row r="21690" spans="32:37">
      <c r="AF21690" s="831" t="s">
        <v>10505</v>
      </c>
      <c r="AG21690" s="831" t="s">
        <v>2674</v>
      </c>
      <c r="AH21690" s="831" t="s">
        <v>573</v>
      </c>
      <c r="AI21690" s="831">
        <v>0</v>
      </c>
      <c r="AJ21690" s="835">
        <v>41152</v>
      </c>
      <c r="AK21690" s="831">
        <v>0</v>
      </c>
    </row>
    <row r="21691" spans="32:37">
      <c r="AF21691" s="831" t="s">
        <v>10506</v>
      </c>
      <c r="AG21691" s="831" t="s">
        <v>2674</v>
      </c>
      <c r="AH21691" s="831" t="s">
        <v>574</v>
      </c>
      <c r="AI21691" s="831">
        <v>0</v>
      </c>
      <c r="AJ21691" s="835">
        <v>41152</v>
      </c>
      <c r="AK21691" s="831">
        <v>0</v>
      </c>
    </row>
    <row r="21692" spans="32:37">
      <c r="AF21692" s="831" t="s">
        <v>10507</v>
      </c>
      <c r="AG21692" s="831" t="s">
        <v>2674</v>
      </c>
      <c r="AH21692" s="831" t="s">
        <v>575</v>
      </c>
      <c r="AI21692" s="831">
        <v>0</v>
      </c>
      <c r="AJ21692" s="835">
        <v>41152</v>
      </c>
      <c r="AK21692" s="831">
        <v>0</v>
      </c>
    </row>
    <row r="21693" spans="32:37">
      <c r="AF21693" s="831" t="s">
        <v>10508</v>
      </c>
      <c r="AG21693" s="831" t="s">
        <v>2674</v>
      </c>
      <c r="AH21693" s="831" t="s">
        <v>576</v>
      </c>
      <c r="AI21693" s="831">
        <v>0</v>
      </c>
      <c r="AJ21693" s="835">
        <v>41152</v>
      </c>
      <c r="AK21693" s="831">
        <v>0</v>
      </c>
    </row>
    <row r="21694" spans="32:37">
      <c r="AF21694" s="831" t="s">
        <v>10509</v>
      </c>
      <c r="AG21694" s="831" t="s">
        <v>2674</v>
      </c>
      <c r="AH21694" s="831" t="s">
        <v>572</v>
      </c>
      <c r="AI21694" s="831">
        <v>0</v>
      </c>
      <c r="AJ21694" s="835">
        <v>41152</v>
      </c>
      <c r="AK21694" s="831">
        <v>-2146826246</v>
      </c>
    </row>
    <row r="21695" spans="32:37">
      <c r="AF21695" s="831" t="s">
        <v>10510</v>
      </c>
      <c r="AG21695" s="831" t="s">
        <v>2674</v>
      </c>
      <c r="AH21695" s="831" t="s">
        <v>577</v>
      </c>
      <c r="AI21695" s="831">
        <v>0</v>
      </c>
      <c r="AJ21695" s="835">
        <v>41152</v>
      </c>
      <c r="AK21695" s="831">
        <v>-2146826246</v>
      </c>
    </row>
    <row r="21696" spans="32:37">
      <c r="AF21696" s="831" t="s">
        <v>10511</v>
      </c>
      <c r="AG21696" s="831" t="s">
        <v>2674</v>
      </c>
      <c r="AH21696" s="831" t="s">
        <v>3042</v>
      </c>
      <c r="AI21696" s="831">
        <v>0</v>
      </c>
      <c r="AJ21696" s="835">
        <v>41152</v>
      </c>
      <c r="AK21696" s="831">
        <v>-2146826246</v>
      </c>
    </row>
    <row r="21697" spans="32:37">
      <c r="AF21697" s="831" t="s">
        <v>10512</v>
      </c>
      <c r="AG21697" s="831" t="s">
        <v>2674</v>
      </c>
      <c r="AH21697" s="831" t="s">
        <v>3044</v>
      </c>
      <c r="AI21697" s="831">
        <v>0</v>
      </c>
      <c r="AJ21697" s="835">
        <v>41152</v>
      </c>
      <c r="AK21697" s="831">
        <v>-2146826246</v>
      </c>
    </row>
    <row r="21698" spans="32:37">
      <c r="AF21698" s="831" t="s">
        <v>10513</v>
      </c>
      <c r="AG21698" s="831" t="s">
        <v>2674</v>
      </c>
      <c r="AH21698" s="831" t="s">
        <v>580</v>
      </c>
      <c r="AI21698" s="831">
        <v>0</v>
      </c>
      <c r="AJ21698" s="835">
        <v>41152</v>
      </c>
      <c r="AK21698" s="831">
        <v>-2146826246</v>
      </c>
    </row>
    <row r="21699" spans="32:37">
      <c r="AF21699" s="831" t="s">
        <v>10514</v>
      </c>
      <c r="AG21699" s="831" t="s">
        <v>2674</v>
      </c>
      <c r="AH21699" s="831" t="s">
        <v>581</v>
      </c>
      <c r="AI21699" s="831">
        <v>0</v>
      </c>
      <c r="AJ21699" s="835">
        <v>41152</v>
      </c>
      <c r="AK21699" s="831">
        <v>-2146826246</v>
      </c>
    </row>
    <row r="21700" spans="32:37">
      <c r="AF21700" s="831" t="s">
        <v>10515</v>
      </c>
      <c r="AG21700" s="831" t="s">
        <v>2674</v>
      </c>
      <c r="AH21700" s="831" t="s">
        <v>105</v>
      </c>
      <c r="AI21700" s="831">
        <v>0</v>
      </c>
      <c r="AJ21700" s="835">
        <v>41152</v>
      </c>
      <c r="AK21700" s="831">
        <v>180384094</v>
      </c>
    </row>
    <row r="21701" spans="32:37">
      <c r="AF21701" s="831" t="s">
        <v>10516</v>
      </c>
      <c r="AG21701" s="831" t="s">
        <v>2674</v>
      </c>
      <c r="AH21701" s="831" t="s">
        <v>3049</v>
      </c>
      <c r="AI21701" s="831">
        <v>0</v>
      </c>
      <c r="AJ21701" s="835">
        <v>41152</v>
      </c>
      <c r="AK21701" s="831">
        <v>343993651</v>
      </c>
    </row>
    <row r="21702" spans="32:37">
      <c r="AF21702" s="831" t="s">
        <v>10517</v>
      </c>
      <c r="AG21702" s="831" t="s">
        <v>2674</v>
      </c>
      <c r="AH21702" s="831" t="s">
        <v>103</v>
      </c>
      <c r="AI21702" s="831">
        <v>0</v>
      </c>
      <c r="AJ21702" s="835">
        <v>41152</v>
      </c>
      <c r="AK21702" s="831">
        <v>163609557</v>
      </c>
    </row>
    <row r="21703" spans="32:37">
      <c r="AF21703" s="831" t="s">
        <v>10518</v>
      </c>
      <c r="AG21703" s="831" t="s">
        <v>2674</v>
      </c>
      <c r="AH21703" s="831" t="s">
        <v>182</v>
      </c>
      <c r="AI21703" s="831">
        <v>0</v>
      </c>
      <c r="AJ21703" s="835">
        <v>41152</v>
      </c>
      <c r="AK21703" s="831">
        <v>50326770</v>
      </c>
    </row>
    <row r="21704" spans="32:37">
      <c r="AF21704" s="831" t="s">
        <v>10519</v>
      </c>
      <c r="AG21704" s="831" t="s">
        <v>2674</v>
      </c>
      <c r="AH21704" s="831" t="s">
        <v>6600</v>
      </c>
      <c r="AI21704" s="831">
        <v>0</v>
      </c>
      <c r="AJ21704" s="835">
        <v>41152</v>
      </c>
      <c r="AK21704" s="831">
        <v>-2146826246</v>
      </c>
    </row>
    <row r="21705" spans="32:37">
      <c r="AF21705" s="831" t="s">
        <v>10520</v>
      </c>
      <c r="AG21705" s="831" t="s">
        <v>2674</v>
      </c>
      <c r="AH21705" s="831" t="s">
        <v>6602</v>
      </c>
      <c r="AI21705" s="831">
        <v>0</v>
      </c>
      <c r="AJ21705" s="835">
        <v>41152</v>
      </c>
      <c r="AK21705" s="831">
        <v>10092049</v>
      </c>
    </row>
    <row r="21706" spans="32:37">
      <c r="AF21706" s="831" t="s">
        <v>10521</v>
      </c>
      <c r="AG21706" s="831" t="s">
        <v>2674</v>
      </c>
      <c r="AH21706" s="831" t="s">
        <v>650</v>
      </c>
      <c r="AI21706" s="831">
        <v>0</v>
      </c>
      <c r="AJ21706" s="835">
        <v>41152</v>
      </c>
      <c r="AK21706" s="831">
        <v>0</v>
      </c>
    </row>
    <row r="21707" spans="32:37">
      <c r="AF21707" s="831" t="s">
        <v>10522</v>
      </c>
      <c r="AG21707" s="831" t="s">
        <v>2674</v>
      </c>
      <c r="AH21707" s="831" t="s">
        <v>655</v>
      </c>
      <c r="AI21707" s="831">
        <v>0</v>
      </c>
      <c r="AJ21707" s="835">
        <v>41152</v>
      </c>
      <c r="AK21707" s="831">
        <v>1649423</v>
      </c>
    </row>
    <row r="21708" spans="32:37">
      <c r="AF21708" s="831" t="s">
        <v>10523</v>
      </c>
      <c r="AG21708" s="831" t="s">
        <v>2674</v>
      </c>
      <c r="AH21708" s="831" t="s">
        <v>546</v>
      </c>
      <c r="AI21708" s="831">
        <v>0</v>
      </c>
      <c r="AJ21708" s="835">
        <v>41182</v>
      </c>
      <c r="AK21708" s="831">
        <v>367084945</v>
      </c>
    </row>
    <row r="21709" spans="32:37">
      <c r="AF21709" s="831" t="s">
        <v>10524</v>
      </c>
      <c r="AG21709" s="831" t="s">
        <v>2674</v>
      </c>
      <c r="AH21709" s="831" t="s">
        <v>370</v>
      </c>
      <c r="AI21709" s="831">
        <v>0</v>
      </c>
      <c r="AJ21709" s="835">
        <v>41182</v>
      </c>
      <c r="AK21709" s="831">
        <v>456586970</v>
      </c>
    </row>
    <row r="21710" spans="32:37">
      <c r="AF21710" s="831" t="s">
        <v>10525</v>
      </c>
      <c r="AG21710" s="831" t="s">
        <v>2674</v>
      </c>
      <c r="AH21710" s="831" t="s">
        <v>126</v>
      </c>
      <c r="AI21710" s="831">
        <v>0</v>
      </c>
      <c r="AJ21710" s="835">
        <v>41182</v>
      </c>
      <c r="AK21710" s="831">
        <v>97409403</v>
      </c>
    </row>
    <row r="21711" spans="32:37">
      <c r="AF21711" s="831" t="s">
        <v>10526</v>
      </c>
      <c r="AG21711" s="831" t="s">
        <v>2674</v>
      </c>
      <c r="AH21711" s="831" t="s">
        <v>268</v>
      </c>
      <c r="AI21711" s="831">
        <v>0</v>
      </c>
      <c r="AJ21711" s="835">
        <v>41182</v>
      </c>
      <c r="AK21711" s="831">
        <v>12086480</v>
      </c>
    </row>
    <row r="21712" spans="32:37">
      <c r="AF21712" s="831" t="s">
        <v>10527</v>
      </c>
      <c r="AG21712" s="831" t="s">
        <v>2674</v>
      </c>
      <c r="AH21712" s="831" t="s">
        <v>547</v>
      </c>
      <c r="AI21712" s="831">
        <v>0</v>
      </c>
      <c r="AJ21712" s="835">
        <v>41182</v>
      </c>
      <c r="AK21712" s="831">
        <v>0</v>
      </c>
    </row>
    <row r="21713" spans="32:37">
      <c r="AF21713" s="831" t="s">
        <v>10528</v>
      </c>
      <c r="AG21713" s="831" t="s">
        <v>2674</v>
      </c>
      <c r="AH21713" s="831" t="s">
        <v>548</v>
      </c>
      <c r="AI21713" s="831">
        <v>0</v>
      </c>
      <c r="AJ21713" s="835">
        <v>41182</v>
      </c>
      <c r="AK21713" s="831">
        <v>0</v>
      </c>
    </row>
    <row r="21714" spans="32:37">
      <c r="AF21714" s="831" t="s">
        <v>10529</v>
      </c>
      <c r="AG21714" s="831" t="s">
        <v>2674</v>
      </c>
      <c r="AH21714" s="831" t="s">
        <v>549</v>
      </c>
      <c r="AI21714" s="831">
        <v>0</v>
      </c>
      <c r="AJ21714" s="835">
        <v>41182</v>
      </c>
      <c r="AK21714" s="831">
        <v>0</v>
      </c>
    </row>
    <row r="21715" spans="32:37">
      <c r="AF21715" s="831" t="s">
        <v>10530</v>
      </c>
      <c r="AG21715" s="831" t="s">
        <v>2674</v>
      </c>
      <c r="AH21715" s="831" t="s">
        <v>192</v>
      </c>
      <c r="AI21715" s="831">
        <v>0</v>
      </c>
      <c r="AJ21715" s="835">
        <v>41182</v>
      </c>
      <c r="AK21715" s="831">
        <v>-9429800</v>
      </c>
    </row>
    <row r="21716" spans="32:37">
      <c r="AF21716" s="831" t="s">
        <v>10531</v>
      </c>
      <c r="AG21716" s="831" t="s">
        <v>2674</v>
      </c>
      <c r="AH21716" s="831" t="s">
        <v>558</v>
      </c>
      <c r="AI21716" s="831">
        <v>0</v>
      </c>
      <c r="AJ21716" s="835">
        <v>41182</v>
      </c>
      <c r="AK21716" s="831">
        <v>359177567</v>
      </c>
    </row>
    <row r="21717" spans="32:37">
      <c r="AF21717" s="831" t="s">
        <v>10532</v>
      </c>
      <c r="AG21717" s="831" t="s">
        <v>2674</v>
      </c>
      <c r="AH21717" s="831" t="s">
        <v>65</v>
      </c>
      <c r="AI21717" s="831">
        <v>0</v>
      </c>
      <c r="AJ21717" s="835">
        <v>41182</v>
      </c>
      <c r="AK21717" s="831">
        <v>71268198</v>
      </c>
    </row>
    <row r="21718" spans="32:37">
      <c r="AF21718" s="831" t="s">
        <v>10533</v>
      </c>
      <c r="AG21718" s="831" t="s">
        <v>2674</v>
      </c>
      <c r="AH21718" s="831" t="s">
        <v>89</v>
      </c>
      <c r="AI21718" s="831">
        <v>0</v>
      </c>
      <c r="AJ21718" s="835">
        <v>41182</v>
      </c>
      <c r="AK21718" s="831">
        <v>122822</v>
      </c>
    </row>
    <row r="21719" spans="32:37">
      <c r="AF21719" s="831" t="s">
        <v>10534</v>
      </c>
      <c r="AG21719" s="831" t="s">
        <v>2674</v>
      </c>
      <c r="AH21719" s="831" t="s">
        <v>557</v>
      </c>
      <c r="AI21719" s="831">
        <v>0</v>
      </c>
      <c r="AJ21719" s="835">
        <v>41182</v>
      </c>
      <c r="AK21719" s="831">
        <v>124710</v>
      </c>
    </row>
    <row r="21720" spans="32:37">
      <c r="AF21720" s="831" t="s">
        <v>10535</v>
      </c>
      <c r="AG21720" s="831" t="s">
        <v>2674</v>
      </c>
      <c r="AH21720" s="831" t="s">
        <v>29</v>
      </c>
      <c r="AI21720" s="831">
        <v>0</v>
      </c>
      <c r="AJ21720" s="835">
        <v>41182</v>
      </c>
      <c r="AK21720" s="831">
        <v>2101787</v>
      </c>
    </row>
    <row r="21721" spans="32:37">
      <c r="AF21721" s="831" t="s">
        <v>10536</v>
      </c>
      <c r="AG21721" s="831" t="s">
        <v>2674</v>
      </c>
      <c r="AH21721" s="831" t="s">
        <v>2688</v>
      </c>
      <c r="AI21721" s="831">
        <v>0</v>
      </c>
      <c r="AJ21721" s="835">
        <v>41182</v>
      </c>
      <c r="AK21721" s="831">
        <v>2502472</v>
      </c>
    </row>
    <row r="21722" spans="32:37">
      <c r="AF21722" s="831" t="s">
        <v>10537</v>
      </c>
      <c r="AG21722" s="831" t="s">
        <v>2674</v>
      </c>
      <c r="AH21722" s="831" t="s">
        <v>556</v>
      </c>
      <c r="AI21722" s="831">
        <v>0</v>
      </c>
      <c r="AJ21722" s="835">
        <v>41182</v>
      </c>
      <c r="AK21722" s="831">
        <v>902857</v>
      </c>
    </row>
    <row r="21723" spans="32:37">
      <c r="AF21723" s="831" t="s">
        <v>10538</v>
      </c>
      <c r="AG21723" s="831" t="s">
        <v>2674</v>
      </c>
      <c r="AH21723" s="831" t="s">
        <v>555</v>
      </c>
      <c r="AI21723" s="831">
        <v>0</v>
      </c>
      <c r="AJ21723" s="835">
        <v>41182</v>
      </c>
      <c r="AK21723" s="831">
        <v>230223270</v>
      </c>
    </row>
    <row r="21724" spans="32:37">
      <c r="AF21724" s="831" t="s">
        <v>10539</v>
      </c>
      <c r="AG21724" s="831" t="s">
        <v>2674</v>
      </c>
      <c r="AH21724" s="831" t="s">
        <v>554</v>
      </c>
      <c r="AI21724" s="831">
        <v>0</v>
      </c>
      <c r="AJ21724" s="835">
        <v>41182</v>
      </c>
      <c r="AK21724" s="831">
        <v>219562790</v>
      </c>
    </row>
    <row r="21725" spans="32:37">
      <c r="AF21725" s="831" t="s">
        <v>10540</v>
      </c>
      <c r="AG21725" s="831" t="s">
        <v>2674</v>
      </c>
      <c r="AH21725" s="831" t="s">
        <v>553</v>
      </c>
      <c r="AI21725" s="831">
        <v>0</v>
      </c>
      <c r="AJ21725" s="835">
        <v>41182</v>
      </c>
      <c r="AK21725" s="831">
        <v>0</v>
      </c>
    </row>
    <row r="21726" spans="32:37">
      <c r="AF21726" s="831" t="s">
        <v>10541</v>
      </c>
      <c r="AG21726" s="831" t="s">
        <v>2674</v>
      </c>
      <c r="AH21726" s="831" t="s">
        <v>552</v>
      </c>
      <c r="AI21726" s="831">
        <v>0</v>
      </c>
      <c r="AJ21726" s="835">
        <v>41182</v>
      </c>
      <c r="AK21726" s="831">
        <v>0</v>
      </c>
    </row>
    <row r="21727" spans="32:37">
      <c r="AF21727" s="831" t="s">
        <v>10542</v>
      </c>
      <c r="AG21727" s="831" t="s">
        <v>2674</v>
      </c>
      <c r="AH21727" s="831" t="s">
        <v>551</v>
      </c>
      <c r="AI21727" s="831">
        <v>0</v>
      </c>
      <c r="AJ21727" s="835">
        <v>41182</v>
      </c>
      <c r="AK21727" s="831">
        <v>1960032</v>
      </c>
    </row>
    <row r="21728" spans="32:37">
      <c r="AF21728" s="831" t="s">
        <v>10543</v>
      </c>
      <c r="AG21728" s="831" t="s">
        <v>2674</v>
      </c>
      <c r="AH21728" s="831" t="s">
        <v>550</v>
      </c>
      <c r="AI21728" s="831">
        <v>0</v>
      </c>
      <c r="AJ21728" s="835">
        <v>41182</v>
      </c>
      <c r="AK21728" s="831">
        <v>95414973</v>
      </c>
    </row>
    <row r="21729" spans="32:37">
      <c r="AF21729" s="831" t="s">
        <v>10544</v>
      </c>
      <c r="AG21729" s="831" t="s">
        <v>2674</v>
      </c>
      <c r="AH21729" s="831" t="s">
        <v>562</v>
      </c>
      <c r="AI21729" s="831">
        <v>0</v>
      </c>
      <c r="AJ21729" s="835">
        <v>41182</v>
      </c>
      <c r="AK21729" s="831">
        <v>0.78464999999999996</v>
      </c>
    </row>
    <row r="21730" spans="32:37">
      <c r="AF21730" s="831" t="s">
        <v>10545</v>
      </c>
      <c r="AG21730" s="831" t="s">
        <v>2674</v>
      </c>
      <c r="AH21730" s="831" t="s">
        <v>2698</v>
      </c>
      <c r="AI21730" s="831">
        <v>0</v>
      </c>
      <c r="AJ21730" s="835">
        <v>41182</v>
      </c>
      <c r="AK21730" s="831">
        <v>0.78449999999999998</v>
      </c>
    </row>
    <row r="21731" spans="32:37">
      <c r="AF21731" s="831" t="s">
        <v>10546</v>
      </c>
      <c r="AG21731" s="831" t="s">
        <v>2674</v>
      </c>
      <c r="AH21731" s="831" t="s">
        <v>560</v>
      </c>
      <c r="AI21731" s="831">
        <v>0</v>
      </c>
      <c r="AJ21731" s="835">
        <v>41182</v>
      </c>
      <c r="AK21731" s="831">
        <v>0.78534999999999999</v>
      </c>
    </row>
    <row r="21732" spans="32:37">
      <c r="AF21732" s="831" t="s">
        <v>10547</v>
      </c>
      <c r="AG21732" s="831" t="s">
        <v>2674</v>
      </c>
      <c r="AH21732" s="831" t="s">
        <v>559</v>
      </c>
      <c r="AI21732" s="831">
        <v>0</v>
      </c>
      <c r="AJ21732" s="835">
        <v>41182</v>
      </c>
      <c r="AK21732" s="831">
        <v>0.78557083333333333</v>
      </c>
    </row>
    <row r="21733" spans="32:37">
      <c r="AF21733" s="831" t="s">
        <v>10548</v>
      </c>
      <c r="AG21733" s="831" t="s">
        <v>2674</v>
      </c>
      <c r="AH21733" s="831" t="s">
        <v>568</v>
      </c>
      <c r="AI21733" s="831">
        <v>0</v>
      </c>
      <c r="AJ21733" s="835">
        <v>41182</v>
      </c>
      <c r="AK21733" s="831">
        <v>0</v>
      </c>
    </row>
    <row r="21734" spans="32:37">
      <c r="AF21734" s="831" t="s">
        <v>10549</v>
      </c>
      <c r="AG21734" s="831" t="s">
        <v>2674</v>
      </c>
      <c r="AH21734" s="831" t="s">
        <v>569</v>
      </c>
      <c r="AI21734" s="831">
        <v>0</v>
      </c>
      <c r="AJ21734" s="835">
        <v>41182</v>
      </c>
      <c r="AK21734" s="831">
        <v>0</v>
      </c>
    </row>
    <row r="21735" spans="32:37">
      <c r="AF21735" s="831" t="s">
        <v>10550</v>
      </c>
      <c r="AG21735" s="831" t="s">
        <v>2674</v>
      </c>
      <c r="AH21735" s="831" t="s">
        <v>570</v>
      </c>
      <c r="AI21735" s="831">
        <v>0</v>
      </c>
      <c r="AJ21735" s="835">
        <v>41182</v>
      </c>
      <c r="AK21735" s="831">
        <v>0</v>
      </c>
    </row>
    <row r="21736" spans="32:37">
      <c r="AF21736" s="831" t="s">
        <v>10551</v>
      </c>
      <c r="AG21736" s="831" t="s">
        <v>2674</v>
      </c>
      <c r="AH21736" s="831" t="s">
        <v>571</v>
      </c>
      <c r="AI21736" s="831">
        <v>0</v>
      </c>
      <c r="AJ21736" s="835">
        <v>41182</v>
      </c>
      <c r="AK21736" s="831">
        <v>0</v>
      </c>
    </row>
    <row r="21737" spans="32:37">
      <c r="AF21737" s="831" t="s">
        <v>10552</v>
      </c>
      <c r="AG21737" s="831" t="s">
        <v>2674</v>
      </c>
      <c r="AH21737" s="831" t="s">
        <v>573</v>
      </c>
      <c r="AI21737" s="831">
        <v>0</v>
      </c>
      <c r="AJ21737" s="835">
        <v>41182</v>
      </c>
      <c r="AK21737" s="831">
        <v>0</v>
      </c>
    </row>
    <row r="21738" spans="32:37">
      <c r="AF21738" s="831" t="s">
        <v>10553</v>
      </c>
      <c r="AG21738" s="831" t="s">
        <v>2674</v>
      </c>
      <c r="AH21738" s="831" t="s">
        <v>574</v>
      </c>
      <c r="AI21738" s="831">
        <v>0</v>
      </c>
      <c r="AJ21738" s="835">
        <v>41182</v>
      </c>
      <c r="AK21738" s="831">
        <v>0</v>
      </c>
    </row>
    <row r="21739" spans="32:37">
      <c r="AF21739" s="831" t="s">
        <v>10554</v>
      </c>
      <c r="AG21739" s="831" t="s">
        <v>2674</v>
      </c>
      <c r="AH21739" s="831" t="s">
        <v>575</v>
      </c>
      <c r="AI21739" s="831">
        <v>0</v>
      </c>
      <c r="AJ21739" s="835">
        <v>41182</v>
      </c>
      <c r="AK21739" s="831">
        <v>0</v>
      </c>
    </row>
    <row r="21740" spans="32:37">
      <c r="AF21740" s="831" t="s">
        <v>10555</v>
      </c>
      <c r="AG21740" s="831" t="s">
        <v>2674</v>
      </c>
      <c r="AH21740" s="831" t="s">
        <v>576</v>
      </c>
      <c r="AI21740" s="831">
        <v>0</v>
      </c>
      <c r="AJ21740" s="835">
        <v>41182</v>
      </c>
      <c r="AK21740" s="831">
        <v>0</v>
      </c>
    </row>
    <row r="21741" spans="32:37">
      <c r="AF21741" s="831" t="s">
        <v>10556</v>
      </c>
      <c r="AG21741" s="831" t="s">
        <v>2674</v>
      </c>
      <c r="AH21741" s="831" t="s">
        <v>572</v>
      </c>
      <c r="AI21741" s="831">
        <v>0</v>
      </c>
      <c r="AJ21741" s="835">
        <v>41182</v>
      </c>
      <c r="AK21741" s="831">
        <v>-2146826246</v>
      </c>
    </row>
    <row r="21742" spans="32:37">
      <c r="AF21742" s="831" t="s">
        <v>10557</v>
      </c>
      <c r="AG21742" s="831" t="s">
        <v>2674</v>
      </c>
      <c r="AH21742" s="831" t="s">
        <v>577</v>
      </c>
      <c r="AI21742" s="831">
        <v>0</v>
      </c>
      <c r="AJ21742" s="835">
        <v>41182</v>
      </c>
      <c r="AK21742" s="831">
        <v>-2146826246</v>
      </c>
    </row>
    <row r="21743" spans="32:37">
      <c r="AF21743" s="831" t="s">
        <v>10558</v>
      </c>
      <c r="AG21743" s="831" t="s">
        <v>2674</v>
      </c>
      <c r="AH21743" s="831" t="s">
        <v>3042</v>
      </c>
      <c r="AI21743" s="831">
        <v>0</v>
      </c>
      <c r="AJ21743" s="835">
        <v>41182</v>
      </c>
      <c r="AK21743" s="831">
        <v>-2146826246</v>
      </c>
    </row>
    <row r="21744" spans="32:37">
      <c r="AF21744" s="831" t="s">
        <v>10559</v>
      </c>
      <c r="AG21744" s="831" t="s">
        <v>2674</v>
      </c>
      <c r="AH21744" s="831" t="s">
        <v>3044</v>
      </c>
      <c r="AI21744" s="831">
        <v>0</v>
      </c>
      <c r="AJ21744" s="835">
        <v>41182</v>
      </c>
      <c r="AK21744" s="831">
        <v>-2146826246</v>
      </c>
    </row>
    <row r="21745" spans="32:37">
      <c r="AF21745" s="831" t="s">
        <v>10560</v>
      </c>
      <c r="AG21745" s="831" t="s">
        <v>2674</v>
      </c>
      <c r="AH21745" s="831" t="s">
        <v>580</v>
      </c>
      <c r="AI21745" s="831">
        <v>0</v>
      </c>
      <c r="AJ21745" s="835">
        <v>41182</v>
      </c>
      <c r="AK21745" s="831">
        <v>-2146826246</v>
      </c>
    </row>
    <row r="21746" spans="32:37">
      <c r="AF21746" s="831" t="s">
        <v>10561</v>
      </c>
      <c r="AG21746" s="831" t="s">
        <v>2674</v>
      </c>
      <c r="AH21746" s="831" t="s">
        <v>581</v>
      </c>
      <c r="AI21746" s="831">
        <v>0</v>
      </c>
      <c r="AJ21746" s="835">
        <v>41182</v>
      </c>
      <c r="AK21746" s="831">
        <v>-2146826246</v>
      </c>
    </row>
    <row r="21747" spans="32:37">
      <c r="AF21747" s="831" t="s">
        <v>10562</v>
      </c>
      <c r="AG21747" s="831" t="s">
        <v>2674</v>
      </c>
      <c r="AH21747" s="831" t="s">
        <v>105</v>
      </c>
      <c r="AI21747" s="831">
        <v>0</v>
      </c>
      <c r="AJ21747" s="835">
        <v>41182</v>
      </c>
      <c r="AK21747" s="831">
        <v>185303362</v>
      </c>
    </row>
    <row r="21748" spans="32:37">
      <c r="AF21748" s="831" t="s">
        <v>10563</v>
      </c>
      <c r="AG21748" s="831" t="s">
        <v>2674</v>
      </c>
      <c r="AH21748" s="831" t="s">
        <v>3049</v>
      </c>
      <c r="AI21748" s="831">
        <v>0</v>
      </c>
      <c r="AJ21748" s="835">
        <v>41182</v>
      </c>
      <c r="AK21748" s="831">
        <v>347265603</v>
      </c>
    </row>
    <row r="21749" spans="32:37">
      <c r="AF21749" s="831" t="s">
        <v>10564</v>
      </c>
      <c r="AG21749" s="831" t="s">
        <v>2674</v>
      </c>
      <c r="AH21749" s="831" t="s">
        <v>103</v>
      </c>
      <c r="AI21749" s="831">
        <v>0</v>
      </c>
      <c r="AJ21749" s="835">
        <v>41182</v>
      </c>
      <c r="AK21749" s="831">
        <v>161962241</v>
      </c>
    </row>
    <row r="21750" spans="32:37">
      <c r="AF21750" s="831" t="s">
        <v>10565</v>
      </c>
      <c r="AG21750" s="831" t="s">
        <v>2674</v>
      </c>
      <c r="AH21750" s="831" t="s">
        <v>182</v>
      </c>
      <c r="AI21750" s="831">
        <v>0</v>
      </c>
      <c r="AJ21750" s="835">
        <v>41182</v>
      </c>
      <c r="AK21750" s="831">
        <v>49982530.666666664</v>
      </c>
    </row>
    <row r="21751" spans="32:37">
      <c r="AF21751" s="831" t="s">
        <v>10566</v>
      </c>
      <c r="AG21751" s="831" t="s">
        <v>2674</v>
      </c>
      <c r="AH21751" s="831" t="s">
        <v>6600</v>
      </c>
      <c r="AI21751" s="831">
        <v>0</v>
      </c>
      <c r="AJ21751" s="835">
        <v>41182</v>
      </c>
      <c r="AK21751" s="831">
        <v>-2146826246</v>
      </c>
    </row>
    <row r="21752" spans="32:37">
      <c r="AF21752" s="831" t="s">
        <v>10567</v>
      </c>
      <c r="AG21752" s="831" t="s">
        <v>2674</v>
      </c>
      <c r="AH21752" s="831" t="s">
        <v>6602</v>
      </c>
      <c r="AI21752" s="831">
        <v>0</v>
      </c>
      <c r="AJ21752" s="835">
        <v>41182</v>
      </c>
      <c r="AK21752" s="831">
        <v>12086480</v>
      </c>
    </row>
    <row r="21753" spans="32:37">
      <c r="AF21753" s="831" t="s">
        <v>10568</v>
      </c>
      <c r="AG21753" s="831" t="s">
        <v>2674</v>
      </c>
      <c r="AH21753" s="831" t="s">
        <v>650</v>
      </c>
      <c r="AI21753" s="831">
        <v>0</v>
      </c>
      <c r="AJ21753" s="835">
        <v>41182</v>
      </c>
      <c r="AK21753" s="831">
        <v>0</v>
      </c>
    </row>
    <row r="21754" spans="32:37">
      <c r="AF21754" s="831" t="s">
        <v>10569</v>
      </c>
      <c r="AG21754" s="831" t="s">
        <v>2674</v>
      </c>
      <c r="AH21754" s="831" t="s">
        <v>655</v>
      </c>
      <c r="AI21754" s="831">
        <v>0</v>
      </c>
      <c r="AJ21754" s="835">
        <v>41182</v>
      </c>
      <c r="AK21754" s="831">
        <v>1640278</v>
      </c>
    </row>
    <row r="21755" spans="32:37">
      <c r="AF21755" s="831" t="s">
        <v>10570</v>
      </c>
      <c r="AG21755" s="831" t="s">
        <v>2674</v>
      </c>
      <c r="AH21755" s="831" t="s">
        <v>546</v>
      </c>
      <c r="AI21755" s="831">
        <v>0</v>
      </c>
      <c r="AJ21755" s="835">
        <v>41213</v>
      </c>
      <c r="AK21755" s="831">
        <v>376404251</v>
      </c>
    </row>
    <row r="21756" spans="32:37">
      <c r="AF21756" s="831" t="s">
        <v>10571</v>
      </c>
      <c r="AG21756" s="831" t="s">
        <v>2674</v>
      </c>
      <c r="AH21756" s="831" t="s">
        <v>370</v>
      </c>
      <c r="AI21756" s="831">
        <v>0</v>
      </c>
      <c r="AJ21756" s="835">
        <v>41213</v>
      </c>
      <c r="AK21756" s="831">
        <v>453336865</v>
      </c>
    </row>
    <row r="21757" spans="32:37">
      <c r="AF21757" s="831" t="s">
        <v>10572</v>
      </c>
      <c r="AG21757" s="831" t="s">
        <v>2674</v>
      </c>
      <c r="AH21757" s="831" t="s">
        <v>126</v>
      </c>
      <c r="AI21757" s="831">
        <v>0</v>
      </c>
      <c r="AJ21757" s="835">
        <v>41213</v>
      </c>
      <c r="AK21757" s="831">
        <v>99431431</v>
      </c>
    </row>
    <row r="21758" spans="32:37">
      <c r="AF21758" s="831" t="s">
        <v>10573</v>
      </c>
      <c r="AG21758" s="831" t="s">
        <v>2674</v>
      </c>
      <c r="AH21758" s="831" t="s">
        <v>268</v>
      </c>
      <c r="AI21758" s="831">
        <v>0</v>
      </c>
      <c r="AJ21758" s="835">
        <v>41213</v>
      </c>
      <c r="AK21758" s="831">
        <v>14108507</v>
      </c>
    </row>
    <row r="21759" spans="32:37">
      <c r="AF21759" s="831" t="s">
        <v>10574</v>
      </c>
      <c r="AG21759" s="831" t="s">
        <v>2674</v>
      </c>
      <c r="AH21759" s="831" t="s">
        <v>547</v>
      </c>
      <c r="AI21759" s="831">
        <v>0</v>
      </c>
      <c r="AJ21759" s="835">
        <v>41213</v>
      </c>
      <c r="AK21759" s="831">
        <v>0</v>
      </c>
    </row>
    <row r="21760" spans="32:37">
      <c r="AF21760" s="831" t="s">
        <v>10575</v>
      </c>
      <c r="AG21760" s="831" t="s">
        <v>2674</v>
      </c>
      <c r="AH21760" s="831" t="s">
        <v>548</v>
      </c>
      <c r="AI21760" s="831">
        <v>0</v>
      </c>
      <c r="AJ21760" s="835">
        <v>41213</v>
      </c>
      <c r="AK21760" s="831">
        <v>0</v>
      </c>
    </row>
    <row r="21761" spans="32:37">
      <c r="AF21761" s="831" t="s">
        <v>10576</v>
      </c>
      <c r="AG21761" s="831" t="s">
        <v>2674</v>
      </c>
      <c r="AH21761" s="831" t="s">
        <v>549</v>
      </c>
      <c r="AI21761" s="831">
        <v>0</v>
      </c>
      <c r="AJ21761" s="835">
        <v>41213</v>
      </c>
      <c r="AK21761" s="831">
        <v>0</v>
      </c>
    </row>
    <row r="21762" spans="32:37">
      <c r="AF21762" s="831" t="s">
        <v>10577</v>
      </c>
      <c r="AG21762" s="831" t="s">
        <v>2674</v>
      </c>
      <c r="AH21762" s="831" t="s">
        <v>192</v>
      </c>
      <c r="AI21762" s="831">
        <v>0</v>
      </c>
      <c r="AJ21762" s="835">
        <v>41213</v>
      </c>
      <c r="AK21762" s="831">
        <v>-9860253</v>
      </c>
    </row>
    <row r="21763" spans="32:37">
      <c r="AF21763" s="831" t="s">
        <v>10578</v>
      </c>
      <c r="AG21763" s="831" t="s">
        <v>2674</v>
      </c>
      <c r="AH21763" s="831" t="s">
        <v>558</v>
      </c>
      <c r="AI21763" s="831">
        <v>0</v>
      </c>
      <c r="AJ21763" s="835">
        <v>41213</v>
      </c>
      <c r="AK21763" s="831">
        <v>353905434</v>
      </c>
    </row>
    <row r="21764" spans="32:37">
      <c r="AF21764" s="831" t="s">
        <v>10579</v>
      </c>
      <c r="AG21764" s="831" t="s">
        <v>2674</v>
      </c>
      <c r="AH21764" s="831" t="s">
        <v>65</v>
      </c>
      <c r="AI21764" s="831">
        <v>0</v>
      </c>
      <c r="AJ21764" s="835">
        <v>41213</v>
      </c>
      <c r="AK21764" s="831">
        <v>80308330</v>
      </c>
    </row>
    <row r="21765" spans="32:37">
      <c r="AF21765" s="831" t="s">
        <v>10580</v>
      </c>
      <c r="AG21765" s="831" t="s">
        <v>2674</v>
      </c>
      <c r="AH21765" s="831" t="s">
        <v>89</v>
      </c>
      <c r="AI21765" s="831">
        <v>0</v>
      </c>
      <c r="AJ21765" s="835">
        <v>41213</v>
      </c>
      <c r="AK21765" s="831">
        <v>123024</v>
      </c>
    </row>
    <row r="21766" spans="32:37">
      <c r="AF21766" s="831" t="s">
        <v>10581</v>
      </c>
      <c r="AG21766" s="831" t="s">
        <v>2674</v>
      </c>
      <c r="AH21766" s="831" t="s">
        <v>557</v>
      </c>
      <c r="AI21766" s="831">
        <v>0</v>
      </c>
      <c r="AJ21766" s="835">
        <v>41213</v>
      </c>
      <c r="AK21766" s="831">
        <v>124999</v>
      </c>
    </row>
    <row r="21767" spans="32:37">
      <c r="AF21767" s="831" t="s">
        <v>10582</v>
      </c>
      <c r="AG21767" s="831" t="s">
        <v>2674</v>
      </c>
      <c r="AH21767" s="831" t="s">
        <v>29</v>
      </c>
      <c r="AI21767" s="831">
        <v>0</v>
      </c>
      <c r="AJ21767" s="835">
        <v>41213</v>
      </c>
      <c r="AK21767" s="831">
        <v>2261339</v>
      </c>
    </row>
    <row r="21768" spans="32:37">
      <c r="AF21768" s="831" t="s">
        <v>10583</v>
      </c>
      <c r="AG21768" s="831" t="s">
        <v>2674</v>
      </c>
      <c r="AH21768" s="831" t="s">
        <v>2688</v>
      </c>
      <c r="AI21768" s="831">
        <v>0</v>
      </c>
      <c r="AJ21768" s="835">
        <v>41213</v>
      </c>
      <c r="AK21768" s="831">
        <v>2480728</v>
      </c>
    </row>
    <row r="21769" spans="32:37">
      <c r="AF21769" s="831" t="s">
        <v>10584</v>
      </c>
      <c r="AG21769" s="831" t="s">
        <v>2674</v>
      </c>
      <c r="AH21769" s="831" t="s">
        <v>556</v>
      </c>
      <c r="AI21769" s="831">
        <v>0</v>
      </c>
      <c r="AJ21769" s="835">
        <v>41213</v>
      </c>
      <c r="AK21769" s="831">
        <v>902857</v>
      </c>
    </row>
    <row r="21770" spans="32:37">
      <c r="AF21770" s="831" t="s">
        <v>10585</v>
      </c>
      <c r="AG21770" s="831" t="s">
        <v>2674</v>
      </c>
      <c r="AH21770" s="831" t="s">
        <v>555</v>
      </c>
      <c r="AI21770" s="831">
        <v>0</v>
      </c>
      <c r="AJ21770" s="835">
        <v>41213</v>
      </c>
      <c r="AK21770" s="831">
        <v>223326560</v>
      </c>
    </row>
    <row r="21771" spans="32:37">
      <c r="AF21771" s="831" t="s">
        <v>10586</v>
      </c>
      <c r="AG21771" s="831" t="s">
        <v>2674</v>
      </c>
      <c r="AH21771" s="831" t="s">
        <v>554</v>
      </c>
      <c r="AI21771" s="831">
        <v>0</v>
      </c>
      <c r="AJ21771" s="835">
        <v>41213</v>
      </c>
      <c r="AK21771" s="831">
        <v>217988230</v>
      </c>
    </row>
    <row r="21772" spans="32:37">
      <c r="AF21772" s="831" t="s">
        <v>10587</v>
      </c>
      <c r="AG21772" s="831" t="s">
        <v>2674</v>
      </c>
      <c r="AH21772" s="831" t="s">
        <v>553</v>
      </c>
      <c r="AI21772" s="831">
        <v>0</v>
      </c>
      <c r="AJ21772" s="835">
        <v>41213</v>
      </c>
      <c r="AK21772" s="831">
        <v>0</v>
      </c>
    </row>
    <row r="21773" spans="32:37">
      <c r="AF21773" s="831" t="s">
        <v>10588</v>
      </c>
      <c r="AG21773" s="831" t="s">
        <v>2674</v>
      </c>
      <c r="AH21773" s="831" t="s">
        <v>552</v>
      </c>
      <c r="AI21773" s="831">
        <v>0</v>
      </c>
      <c r="AJ21773" s="835">
        <v>41213</v>
      </c>
      <c r="AK21773" s="831">
        <v>0</v>
      </c>
    </row>
    <row r="21774" spans="32:37">
      <c r="AF21774" s="831" t="s">
        <v>10589</v>
      </c>
      <c r="AG21774" s="831" t="s">
        <v>2674</v>
      </c>
      <c r="AH21774" s="831" t="s">
        <v>551</v>
      </c>
      <c r="AI21774" s="831">
        <v>0</v>
      </c>
      <c r="AJ21774" s="835">
        <v>41213</v>
      </c>
      <c r="AK21774" s="831">
        <v>2033933</v>
      </c>
    </row>
    <row r="21775" spans="32:37">
      <c r="AF21775" s="831" t="s">
        <v>10590</v>
      </c>
      <c r="AG21775" s="831" t="s">
        <v>2674</v>
      </c>
      <c r="AH21775" s="831" t="s">
        <v>550</v>
      </c>
      <c r="AI21775" s="831">
        <v>0</v>
      </c>
      <c r="AJ21775" s="835">
        <v>41213</v>
      </c>
      <c r="AK21775" s="831">
        <v>97409403</v>
      </c>
    </row>
    <row r="21776" spans="32:37">
      <c r="AF21776" s="831" t="s">
        <v>10591</v>
      </c>
      <c r="AG21776" s="831" t="s">
        <v>2674</v>
      </c>
      <c r="AH21776" s="831" t="s">
        <v>562</v>
      </c>
      <c r="AI21776" s="831">
        <v>0</v>
      </c>
      <c r="AJ21776" s="835">
        <v>41213</v>
      </c>
      <c r="AK21776" s="831">
        <v>0.78434999999999999</v>
      </c>
    </row>
    <row r="21777" spans="32:37">
      <c r="AF21777" s="831" t="s">
        <v>10592</v>
      </c>
      <c r="AG21777" s="831" t="s">
        <v>2674</v>
      </c>
      <c r="AH21777" s="831" t="s">
        <v>2698</v>
      </c>
      <c r="AI21777" s="831">
        <v>0</v>
      </c>
      <c r="AJ21777" s="835">
        <v>41213</v>
      </c>
      <c r="AK21777" s="831">
        <v>0.78464999999999996</v>
      </c>
    </row>
    <row r="21778" spans="32:37">
      <c r="AF21778" s="831" t="s">
        <v>10593</v>
      </c>
      <c r="AG21778" s="831" t="s">
        <v>2674</v>
      </c>
      <c r="AH21778" s="831" t="s">
        <v>560</v>
      </c>
      <c r="AI21778" s="831">
        <v>0</v>
      </c>
      <c r="AJ21778" s="835">
        <v>41213</v>
      </c>
      <c r="AK21778" s="831">
        <v>0.78525</v>
      </c>
    </row>
    <row r="21779" spans="32:37">
      <c r="AF21779" s="831" t="s">
        <v>10594</v>
      </c>
      <c r="AG21779" s="831" t="s">
        <v>2674</v>
      </c>
      <c r="AH21779" s="831" t="s">
        <v>559</v>
      </c>
      <c r="AI21779" s="831">
        <v>0</v>
      </c>
      <c r="AJ21779" s="835">
        <v>41213</v>
      </c>
      <c r="AK21779" s="831">
        <v>0.78536666666666666</v>
      </c>
    </row>
    <row r="21780" spans="32:37">
      <c r="AF21780" s="831" t="s">
        <v>10595</v>
      </c>
      <c r="AG21780" s="831" t="s">
        <v>2674</v>
      </c>
      <c r="AH21780" s="831" t="s">
        <v>568</v>
      </c>
      <c r="AI21780" s="831">
        <v>0</v>
      </c>
      <c r="AJ21780" s="835">
        <v>41213</v>
      </c>
      <c r="AK21780" s="831">
        <v>0</v>
      </c>
    </row>
    <row r="21781" spans="32:37">
      <c r="AF21781" s="831" t="s">
        <v>10596</v>
      </c>
      <c r="AG21781" s="831" t="s">
        <v>2674</v>
      </c>
      <c r="AH21781" s="831" t="s">
        <v>569</v>
      </c>
      <c r="AI21781" s="831">
        <v>0</v>
      </c>
      <c r="AJ21781" s="835">
        <v>41213</v>
      </c>
      <c r="AK21781" s="831">
        <v>0</v>
      </c>
    </row>
    <row r="21782" spans="32:37">
      <c r="AF21782" s="831" t="s">
        <v>10597</v>
      </c>
      <c r="AG21782" s="831" t="s">
        <v>2674</v>
      </c>
      <c r="AH21782" s="831" t="s">
        <v>570</v>
      </c>
      <c r="AI21782" s="831">
        <v>0</v>
      </c>
      <c r="AJ21782" s="835">
        <v>41213</v>
      </c>
      <c r="AK21782" s="831">
        <v>0</v>
      </c>
    </row>
    <row r="21783" spans="32:37">
      <c r="AF21783" s="831" t="s">
        <v>10598</v>
      </c>
      <c r="AG21783" s="831" t="s">
        <v>2674</v>
      </c>
      <c r="AH21783" s="831" t="s">
        <v>571</v>
      </c>
      <c r="AI21783" s="831">
        <v>0</v>
      </c>
      <c r="AJ21783" s="835">
        <v>41213</v>
      </c>
      <c r="AK21783" s="831">
        <v>0</v>
      </c>
    </row>
    <row r="21784" spans="32:37">
      <c r="AF21784" s="831" t="s">
        <v>10599</v>
      </c>
      <c r="AG21784" s="831" t="s">
        <v>2674</v>
      </c>
      <c r="AH21784" s="831" t="s">
        <v>573</v>
      </c>
      <c r="AI21784" s="831">
        <v>0</v>
      </c>
      <c r="AJ21784" s="835">
        <v>41213</v>
      </c>
      <c r="AK21784" s="831">
        <v>0</v>
      </c>
    </row>
    <row r="21785" spans="32:37">
      <c r="AF21785" s="831" t="s">
        <v>10600</v>
      </c>
      <c r="AG21785" s="831" t="s">
        <v>2674</v>
      </c>
      <c r="AH21785" s="831" t="s">
        <v>574</v>
      </c>
      <c r="AI21785" s="831">
        <v>0</v>
      </c>
      <c r="AJ21785" s="835">
        <v>41213</v>
      </c>
      <c r="AK21785" s="831">
        <v>0</v>
      </c>
    </row>
    <row r="21786" spans="32:37">
      <c r="AF21786" s="831" t="s">
        <v>10601</v>
      </c>
      <c r="AG21786" s="831" t="s">
        <v>2674</v>
      </c>
      <c r="AH21786" s="831" t="s">
        <v>575</v>
      </c>
      <c r="AI21786" s="831">
        <v>0</v>
      </c>
      <c r="AJ21786" s="835">
        <v>41213</v>
      </c>
      <c r="AK21786" s="831">
        <v>0</v>
      </c>
    </row>
    <row r="21787" spans="32:37">
      <c r="AF21787" s="831" t="s">
        <v>10602</v>
      </c>
      <c r="AG21787" s="831" t="s">
        <v>2674</v>
      </c>
      <c r="AH21787" s="831" t="s">
        <v>576</v>
      </c>
      <c r="AI21787" s="831">
        <v>0</v>
      </c>
      <c r="AJ21787" s="835">
        <v>41213</v>
      </c>
      <c r="AK21787" s="831">
        <v>0</v>
      </c>
    </row>
    <row r="21788" spans="32:37">
      <c r="AF21788" s="831" t="s">
        <v>10603</v>
      </c>
      <c r="AG21788" s="831" t="s">
        <v>2674</v>
      </c>
      <c r="AH21788" s="831" t="s">
        <v>572</v>
      </c>
      <c r="AI21788" s="831">
        <v>0</v>
      </c>
      <c r="AJ21788" s="835">
        <v>41213</v>
      </c>
      <c r="AK21788" s="831">
        <v>-2146826246</v>
      </c>
    </row>
    <row r="21789" spans="32:37">
      <c r="AF21789" s="831" t="s">
        <v>10604</v>
      </c>
      <c r="AG21789" s="831" t="s">
        <v>2674</v>
      </c>
      <c r="AH21789" s="831" t="s">
        <v>577</v>
      </c>
      <c r="AI21789" s="831">
        <v>0</v>
      </c>
      <c r="AJ21789" s="835">
        <v>41213</v>
      </c>
      <c r="AK21789" s="831">
        <v>-2146826246</v>
      </c>
    </row>
    <row r="21790" spans="32:37">
      <c r="AF21790" s="831" t="s">
        <v>10605</v>
      </c>
      <c r="AG21790" s="831" t="s">
        <v>2674</v>
      </c>
      <c r="AH21790" s="831" t="s">
        <v>3042</v>
      </c>
      <c r="AI21790" s="831">
        <v>0</v>
      </c>
      <c r="AJ21790" s="835">
        <v>41213</v>
      </c>
      <c r="AK21790" s="831">
        <v>-2146826246</v>
      </c>
    </row>
    <row r="21791" spans="32:37">
      <c r="AF21791" s="831" t="s">
        <v>10606</v>
      </c>
      <c r="AG21791" s="831" t="s">
        <v>2674</v>
      </c>
      <c r="AH21791" s="831" t="s">
        <v>3044</v>
      </c>
      <c r="AI21791" s="831">
        <v>0</v>
      </c>
      <c r="AJ21791" s="835">
        <v>41213</v>
      </c>
      <c r="AK21791" s="831">
        <v>-2146826246</v>
      </c>
    </row>
    <row r="21792" spans="32:37">
      <c r="AF21792" s="831" t="s">
        <v>10607</v>
      </c>
      <c r="AG21792" s="831" t="s">
        <v>2674</v>
      </c>
      <c r="AH21792" s="831" t="s">
        <v>580</v>
      </c>
      <c r="AI21792" s="831">
        <v>0</v>
      </c>
      <c r="AJ21792" s="835">
        <v>41213</v>
      </c>
      <c r="AK21792" s="831">
        <v>-2146826246</v>
      </c>
    </row>
    <row r="21793" spans="32:37">
      <c r="AF21793" s="831" t="s">
        <v>10608</v>
      </c>
      <c r="AG21793" s="831" t="s">
        <v>2674</v>
      </c>
      <c r="AH21793" s="831" t="s">
        <v>581</v>
      </c>
      <c r="AI21793" s="831">
        <v>0</v>
      </c>
      <c r="AJ21793" s="835">
        <v>41213</v>
      </c>
      <c r="AK21793" s="831">
        <v>-2146826246</v>
      </c>
    </row>
    <row r="21794" spans="32:37">
      <c r="AF21794" s="831" t="s">
        <v>10609</v>
      </c>
      <c r="AG21794" s="831" t="s">
        <v>2674</v>
      </c>
      <c r="AH21794" s="831" t="s">
        <v>105</v>
      </c>
      <c r="AI21794" s="831">
        <v>0</v>
      </c>
      <c r="AJ21794" s="835">
        <v>41213</v>
      </c>
      <c r="AK21794" s="831">
        <v>184676086</v>
      </c>
    </row>
    <row r="21795" spans="32:37">
      <c r="AF21795" s="831" t="s">
        <v>10610</v>
      </c>
      <c r="AG21795" s="831" t="s">
        <v>2674</v>
      </c>
      <c r="AH21795" s="831" t="s">
        <v>3049</v>
      </c>
      <c r="AI21795" s="831">
        <v>0</v>
      </c>
      <c r="AJ21795" s="835">
        <v>41213</v>
      </c>
      <c r="AK21795" s="831">
        <v>342133447</v>
      </c>
    </row>
    <row r="21796" spans="32:37">
      <c r="AF21796" s="831" t="s">
        <v>10611</v>
      </c>
      <c r="AG21796" s="831" t="s">
        <v>2674</v>
      </c>
      <c r="AH21796" s="831" t="s">
        <v>103</v>
      </c>
      <c r="AI21796" s="831">
        <v>0</v>
      </c>
      <c r="AJ21796" s="835">
        <v>41213</v>
      </c>
      <c r="AK21796" s="831">
        <v>157457361</v>
      </c>
    </row>
    <row r="21797" spans="32:37">
      <c r="AF21797" s="831" t="s">
        <v>10612</v>
      </c>
      <c r="AG21797" s="831" t="s">
        <v>2674</v>
      </c>
      <c r="AH21797" s="831" t="s">
        <v>182</v>
      </c>
      <c r="AI21797" s="831">
        <v>0</v>
      </c>
      <c r="AJ21797" s="835">
        <v>41213</v>
      </c>
      <c r="AK21797" s="831">
        <v>49941625.200000003</v>
      </c>
    </row>
    <row r="21798" spans="32:37">
      <c r="AF21798" s="831" t="s">
        <v>10613</v>
      </c>
      <c r="AG21798" s="831" t="s">
        <v>2674</v>
      </c>
      <c r="AH21798" s="831" t="s">
        <v>6600</v>
      </c>
      <c r="AI21798" s="831">
        <v>0</v>
      </c>
      <c r="AJ21798" s="835">
        <v>41213</v>
      </c>
      <c r="AK21798" s="831">
        <v>-2146826246</v>
      </c>
    </row>
    <row r="21799" spans="32:37">
      <c r="AF21799" s="831" t="s">
        <v>10614</v>
      </c>
      <c r="AG21799" s="831" t="s">
        <v>2674</v>
      </c>
      <c r="AH21799" s="831" t="s">
        <v>6602</v>
      </c>
      <c r="AI21799" s="831">
        <v>0</v>
      </c>
      <c r="AJ21799" s="835">
        <v>41213</v>
      </c>
      <c r="AK21799" s="831">
        <v>14108507</v>
      </c>
    </row>
    <row r="21800" spans="32:37">
      <c r="AF21800" s="831" t="s">
        <v>10615</v>
      </c>
      <c r="AG21800" s="831" t="s">
        <v>2674</v>
      </c>
      <c r="AH21800" s="831" t="s">
        <v>650</v>
      </c>
      <c r="AI21800" s="831">
        <v>0</v>
      </c>
      <c r="AJ21800" s="835">
        <v>41213</v>
      </c>
      <c r="AK21800" s="831">
        <v>0</v>
      </c>
    </row>
    <row r="21801" spans="32:37">
      <c r="AF21801" s="831" t="s">
        <v>10616</v>
      </c>
      <c r="AG21801" s="831" t="s">
        <v>2674</v>
      </c>
      <c r="AH21801" s="831" t="s">
        <v>655</v>
      </c>
      <c r="AI21801" s="831">
        <v>0</v>
      </c>
      <c r="AJ21801" s="835">
        <v>41213</v>
      </c>
      <c r="AK21801" s="831">
        <v>1927116</v>
      </c>
    </row>
    <row r="21802" spans="32:37">
      <c r="AF21802" s="831" t="s">
        <v>10617</v>
      </c>
      <c r="AG21802" s="831" t="s">
        <v>2674</v>
      </c>
      <c r="AH21802" s="831" t="s">
        <v>546</v>
      </c>
      <c r="AI21802" s="831">
        <v>0</v>
      </c>
      <c r="AJ21802" s="835">
        <v>41243</v>
      </c>
      <c r="AK21802" s="831">
        <v>394083786</v>
      </c>
    </row>
    <row r="21803" spans="32:37">
      <c r="AF21803" s="831" t="s">
        <v>10618</v>
      </c>
      <c r="AG21803" s="831" t="s">
        <v>2674</v>
      </c>
      <c r="AH21803" s="831" t="s">
        <v>370</v>
      </c>
      <c r="AI21803" s="831">
        <v>0</v>
      </c>
      <c r="AJ21803" s="835">
        <v>41243</v>
      </c>
      <c r="AK21803" s="831">
        <v>468781857</v>
      </c>
    </row>
    <row r="21804" spans="32:37">
      <c r="AF21804" s="831" t="s">
        <v>10619</v>
      </c>
      <c r="AG21804" s="831" t="s">
        <v>2674</v>
      </c>
      <c r="AH21804" s="831" t="s">
        <v>126</v>
      </c>
      <c r="AI21804" s="831">
        <v>0</v>
      </c>
      <c r="AJ21804" s="835">
        <v>41243</v>
      </c>
      <c r="AK21804" s="831">
        <v>101856827</v>
      </c>
    </row>
    <row r="21805" spans="32:37">
      <c r="AF21805" s="831" t="s">
        <v>10620</v>
      </c>
      <c r="AG21805" s="831" t="s">
        <v>2674</v>
      </c>
      <c r="AH21805" s="831" t="s">
        <v>268</v>
      </c>
      <c r="AI21805" s="831">
        <v>0</v>
      </c>
      <c r="AJ21805" s="835">
        <v>41243</v>
      </c>
      <c r="AK21805" s="831">
        <v>16533903</v>
      </c>
    </row>
    <row r="21806" spans="32:37">
      <c r="AF21806" s="831" t="s">
        <v>10621</v>
      </c>
      <c r="AG21806" s="831" t="s">
        <v>2674</v>
      </c>
      <c r="AH21806" s="831" t="s">
        <v>547</v>
      </c>
      <c r="AI21806" s="831">
        <v>0</v>
      </c>
      <c r="AJ21806" s="835">
        <v>41243</v>
      </c>
      <c r="AK21806" s="831">
        <v>0</v>
      </c>
    </row>
    <row r="21807" spans="32:37">
      <c r="AF21807" s="831" t="s">
        <v>10622</v>
      </c>
      <c r="AG21807" s="831" t="s">
        <v>2674</v>
      </c>
      <c r="AH21807" s="831" t="s">
        <v>548</v>
      </c>
      <c r="AI21807" s="831">
        <v>0</v>
      </c>
      <c r="AJ21807" s="835">
        <v>41243</v>
      </c>
      <c r="AK21807" s="831">
        <v>0</v>
      </c>
    </row>
    <row r="21808" spans="32:37">
      <c r="AF21808" s="831" t="s">
        <v>10623</v>
      </c>
      <c r="AG21808" s="831" t="s">
        <v>2674</v>
      </c>
      <c r="AH21808" s="831" t="s">
        <v>549</v>
      </c>
      <c r="AI21808" s="831">
        <v>0</v>
      </c>
      <c r="AJ21808" s="835">
        <v>41243</v>
      </c>
      <c r="AK21808" s="831">
        <v>0</v>
      </c>
    </row>
    <row r="21809" spans="32:37">
      <c r="AF21809" s="831" t="s">
        <v>10624</v>
      </c>
      <c r="AG21809" s="831" t="s">
        <v>2674</v>
      </c>
      <c r="AH21809" s="831" t="s">
        <v>192</v>
      </c>
      <c r="AI21809" s="831">
        <v>0</v>
      </c>
      <c r="AJ21809" s="835">
        <v>41243</v>
      </c>
      <c r="AK21809" s="831">
        <v>-10079693</v>
      </c>
    </row>
    <row r="21810" spans="32:37">
      <c r="AF21810" s="831" t="s">
        <v>10625</v>
      </c>
      <c r="AG21810" s="831" t="s">
        <v>2674</v>
      </c>
      <c r="AH21810" s="831" t="s">
        <v>558</v>
      </c>
      <c r="AI21810" s="831">
        <v>0</v>
      </c>
      <c r="AJ21810" s="835">
        <v>41243</v>
      </c>
      <c r="AK21810" s="831">
        <v>366925030</v>
      </c>
    </row>
    <row r="21811" spans="32:37">
      <c r="AF21811" s="831" t="s">
        <v>10626</v>
      </c>
      <c r="AG21811" s="831" t="s">
        <v>2674</v>
      </c>
      <c r="AH21811" s="831" t="s">
        <v>65</v>
      </c>
      <c r="AI21811" s="831">
        <v>0</v>
      </c>
      <c r="AJ21811" s="835">
        <v>41243</v>
      </c>
      <c r="AK21811" s="831">
        <v>89510969</v>
      </c>
    </row>
    <row r="21812" spans="32:37">
      <c r="AF21812" s="831" t="s">
        <v>10627</v>
      </c>
      <c r="AG21812" s="831" t="s">
        <v>2674</v>
      </c>
      <c r="AH21812" s="831" t="s">
        <v>89</v>
      </c>
      <c r="AI21812" s="831">
        <v>0</v>
      </c>
      <c r="AJ21812" s="835">
        <v>41243</v>
      </c>
      <c r="AK21812" s="831">
        <v>123534</v>
      </c>
    </row>
    <row r="21813" spans="32:37">
      <c r="AF21813" s="831" t="s">
        <v>10628</v>
      </c>
      <c r="AG21813" s="831" t="s">
        <v>2674</v>
      </c>
      <c r="AH21813" s="831" t="s">
        <v>557</v>
      </c>
      <c r="AI21813" s="831">
        <v>0</v>
      </c>
      <c r="AJ21813" s="835">
        <v>41243</v>
      </c>
      <c r="AK21813" s="831">
        <v>125715</v>
      </c>
    </row>
    <row r="21814" spans="32:37">
      <c r="AF21814" s="831" t="s">
        <v>10629</v>
      </c>
      <c r="AG21814" s="831" t="s">
        <v>2674</v>
      </c>
      <c r="AH21814" s="831" t="s">
        <v>29</v>
      </c>
      <c r="AI21814" s="831">
        <v>0</v>
      </c>
      <c r="AJ21814" s="835">
        <v>41243</v>
      </c>
      <c r="AK21814" s="831">
        <v>2094921</v>
      </c>
    </row>
    <row r="21815" spans="32:37">
      <c r="AF21815" s="831" t="s">
        <v>10630</v>
      </c>
      <c r="AG21815" s="831" t="s">
        <v>2674</v>
      </c>
      <c r="AH21815" s="831" t="s">
        <v>2688</v>
      </c>
      <c r="AI21815" s="831">
        <v>0</v>
      </c>
      <c r="AJ21815" s="835">
        <v>41243</v>
      </c>
      <c r="AK21815" s="831">
        <v>2867819</v>
      </c>
    </row>
    <row r="21816" spans="32:37">
      <c r="AF21816" s="831" t="s">
        <v>10631</v>
      </c>
      <c r="AG21816" s="831" t="s">
        <v>2674</v>
      </c>
      <c r="AH21816" s="831" t="s">
        <v>556</v>
      </c>
      <c r="AI21816" s="831">
        <v>0</v>
      </c>
      <c r="AJ21816" s="835">
        <v>41243</v>
      </c>
      <c r="AK21816" s="831">
        <v>902857</v>
      </c>
    </row>
    <row r="21817" spans="32:37">
      <c r="AF21817" s="831" t="s">
        <v>10632</v>
      </c>
      <c r="AG21817" s="831" t="s">
        <v>2674</v>
      </c>
      <c r="AH21817" s="831" t="s">
        <v>555</v>
      </c>
      <c r="AI21817" s="831">
        <v>0</v>
      </c>
      <c r="AJ21817" s="835">
        <v>41243</v>
      </c>
      <c r="AK21817" s="831">
        <v>236413970</v>
      </c>
    </row>
    <row r="21818" spans="32:37">
      <c r="AF21818" s="831" t="s">
        <v>10633</v>
      </c>
      <c r="AG21818" s="831" t="s">
        <v>2674</v>
      </c>
      <c r="AH21818" s="831" t="s">
        <v>554</v>
      </c>
      <c r="AI21818" s="831">
        <v>0</v>
      </c>
      <c r="AJ21818" s="835">
        <v>41243</v>
      </c>
      <c r="AK21818" s="831">
        <v>238298670</v>
      </c>
    </row>
    <row r="21819" spans="32:37">
      <c r="AF21819" s="831" t="s">
        <v>10634</v>
      </c>
      <c r="AG21819" s="831" t="s">
        <v>2674</v>
      </c>
      <c r="AH21819" s="831" t="s">
        <v>553</v>
      </c>
      <c r="AI21819" s="831">
        <v>0</v>
      </c>
      <c r="AJ21819" s="835">
        <v>41243</v>
      </c>
      <c r="AK21819" s="831">
        <v>0</v>
      </c>
    </row>
    <row r="21820" spans="32:37">
      <c r="AF21820" s="831" t="s">
        <v>10635</v>
      </c>
      <c r="AG21820" s="831" t="s">
        <v>2674</v>
      </c>
      <c r="AH21820" s="831" t="s">
        <v>552</v>
      </c>
      <c r="AI21820" s="831">
        <v>0</v>
      </c>
      <c r="AJ21820" s="835">
        <v>41243</v>
      </c>
      <c r="AK21820" s="831">
        <v>0</v>
      </c>
    </row>
    <row r="21821" spans="32:37">
      <c r="AF21821" s="831" t="s">
        <v>10636</v>
      </c>
      <c r="AG21821" s="831" t="s">
        <v>2674</v>
      </c>
      <c r="AH21821" s="831" t="s">
        <v>551</v>
      </c>
      <c r="AI21821" s="831">
        <v>0</v>
      </c>
      <c r="AJ21821" s="835">
        <v>41243</v>
      </c>
      <c r="AK21821" s="831">
        <v>1916351</v>
      </c>
    </row>
    <row r="21822" spans="32:37">
      <c r="AF21822" s="831" t="s">
        <v>10637</v>
      </c>
      <c r="AG21822" s="831" t="s">
        <v>2674</v>
      </c>
      <c r="AH21822" s="831" t="s">
        <v>550</v>
      </c>
      <c r="AI21822" s="831">
        <v>0</v>
      </c>
      <c r="AJ21822" s="835">
        <v>41243</v>
      </c>
      <c r="AK21822" s="831">
        <v>99431431</v>
      </c>
    </row>
    <row r="21823" spans="32:37">
      <c r="AF21823" s="831" t="s">
        <v>10638</v>
      </c>
      <c r="AG21823" s="831" t="s">
        <v>2674</v>
      </c>
      <c r="AH21823" s="831" t="s">
        <v>562</v>
      </c>
      <c r="AI21823" s="831">
        <v>0</v>
      </c>
      <c r="AJ21823" s="835">
        <v>41243</v>
      </c>
      <c r="AK21823" s="831">
        <v>0.78415000000000001</v>
      </c>
    </row>
    <row r="21824" spans="32:37">
      <c r="AF21824" s="831" t="s">
        <v>10639</v>
      </c>
      <c r="AG21824" s="831" t="s">
        <v>2674</v>
      </c>
      <c r="AH21824" s="831" t="s">
        <v>2698</v>
      </c>
      <c r="AI21824" s="831">
        <v>0</v>
      </c>
      <c r="AJ21824" s="835">
        <v>41243</v>
      </c>
      <c r="AK21824" s="831">
        <v>0.78434999999999999</v>
      </c>
    </row>
    <row r="21825" spans="32:37">
      <c r="AF21825" s="831" t="s">
        <v>10640</v>
      </c>
      <c r="AG21825" s="831" t="s">
        <v>2674</v>
      </c>
      <c r="AH21825" s="831" t="s">
        <v>560</v>
      </c>
      <c r="AI21825" s="831">
        <v>0</v>
      </c>
      <c r="AJ21825" s="835">
        <v>41243</v>
      </c>
      <c r="AK21825" s="831">
        <v>0.7851499999999999</v>
      </c>
    </row>
    <row r="21826" spans="32:37">
      <c r="AF21826" s="831" t="s">
        <v>10641</v>
      </c>
      <c r="AG21826" s="831" t="s">
        <v>2674</v>
      </c>
      <c r="AH21826" s="831" t="s">
        <v>559</v>
      </c>
      <c r="AI21826" s="831">
        <v>0</v>
      </c>
      <c r="AJ21826" s="835">
        <v>41243</v>
      </c>
      <c r="AK21826" s="831">
        <v>0.78524166666666673</v>
      </c>
    </row>
    <row r="21827" spans="32:37">
      <c r="AF21827" s="831" t="s">
        <v>10642</v>
      </c>
      <c r="AG21827" s="831" t="s">
        <v>2674</v>
      </c>
      <c r="AH21827" s="831" t="s">
        <v>568</v>
      </c>
      <c r="AI21827" s="831">
        <v>0</v>
      </c>
      <c r="AJ21827" s="835">
        <v>41243</v>
      </c>
      <c r="AK21827" s="831">
        <v>0</v>
      </c>
    </row>
    <row r="21828" spans="32:37">
      <c r="AF21828" s="831" t="s">
        <v>10643</v>
      </c>
      <c r="AG21828" s="831" t="s">
        <v>2674</v>
      </c>
      <c r="AH21828" s="831" t="s">
        <v>569</v>
      </c>
      <c r="AI21828" s="831">
        <v>0</v>
      </c>
      <c r="AJ21828" s="835">
        <v>41243</v>
      </c>
      <c r="AK21828" s="831">
        <v>0</v>
      </c>
    </row>
    <row r="21829" spans="32:37">
      <c r="AF21829" s="831" t="s">
        <v>10644</v>
      </c>
      <c r="AG21829" s="831" t="s">
        <v>2674</v>
      </c>
      <c r="AH21829" s="831" t="s">
        <v>570</v>
      </c>
      <c r="AI21829" s="831">
        <v>0</v>
      </c>
      <c r="AJ21829" s="835">
        <v>41243</v>
      </c>
      <c r="AK21829" s="831">
        <v>0</v>
      </c>
    </row>
    <row r="21830" spans="32:37">
      <c r="AF21830" s="831" t="s">
        <v>10645</v>
      </c>
      <c r="AG21830" s="831" t="s">
        <v>2674</v>
      </c>
      <c r="AH21830" s="831" t="s">
        <v>571</v>
      </c>
      <c r="AI21830" s="831">
        <v>0</v>
      </c>
      <c r="AJ21830" s="835">
        <v>41243</v>
      </c>
      <c r="AK21830" s="831">
        <v>0</v>
      </c>
    </row>
    <row r="21831" spans="32:37">
      <c r="AF21831" s="831" t="s">
        <v>10646</v>
      </c>
      <c r="AG21831" s="831" t="s">
        <v>2674</v>
      </c>
      <c r="AH21831" s="831" t="s">
        <v>573</v>
      </c>
      <c r="AI21831" s="831">
        <v>0</v>
      </c>
      <c r="AJ21831" s="835">
        <v>41243</v>
      </c>
      <c r="AK21831" s="831">
        <v>0</v>
      </c>
    </row>
    <row r="21832" spans="32:37">
      <c r="AF21832" s="831" t="s">
        <v>10647</v>
      </c>
      <c r="AG21832" s="831" t="s">
        <v>2674</v>
      </c>
      <c r="AH21832" s="831" t="s">
        <v>574</v>
      </c>
      <c r="AI21832" s="831">
        <v>0</v>
      </c>
      <c r="AJ21832" s="835">
        <v>41243</v>
      </c>
      <c r="AK21832" s="831">
        <v>0</v>
      </c>
    </row>
    <row r="21833" spans="32:37">
      <c r="AF21833" s="831" t="s">
        <v>10648</v>
      </c>
      <c r="AG21833" s="831" t="s">
        <v>2674</v>
      </c>
      <c r="AH21833" s="831" t="s">
        <v>575</v>
      </c>
      <c r="AI21833" s="831">
        <v>0</v>
      </c>
      <c r="AJ21833" s="835">
        <v>41243</v>
      </c>
      <c r="AK21833" s="831">
        <v>0</v>
      </c>
    </row>
    <row r="21834" spans="32:37">
      <c r="AF21834" s="831" t="s">
        <v>10649</v>
      </c>
      <c r="AG21834" s="831" t="s">
        <v>2674</v>
      </c>
      <c r="AH21834" s="831" t="s">
        <v>576</v>
      </c>
      <c r="AI21834" s="831">
        <v>0</v>
      </c>
      <c r="AJ21834" s="835">
        <v>41243</v>
      </c>
      <c r="AK21834" s="831">
        <v>0</v>
      </c>
    </row>
    <row r="21835" spans="32:37">
      <c r="AF21835" s="831" t="s">
        <v>10650</v>
      </c>
      <c r="AG21835" s="831" t="s">
        <v>2674</v>
      </c>
      <c r="AH21835" s="831" t="s">
        <v>572</v>
      </c>
      <c r="AI21835" s="831">
        <v>0</v>
      </c>
      <c r="AJ21835" s="835">
        <v>41243</v>
      </c>
      <c r="AK21835" s="831">
        <v>-2146826246</v>
      </c>
    </row>
    <row r="21836" spans="32:37">
      <c r="AF21836" s="831" t="s">
        <v>10651</v>
      </c>
      <c r="AG21836" s="831" t="s">
        <v>2674</v>
      </c>
      <c r="AH21836" s="831" t="s">
        <v>577</v>
      </c>
      <c r="AI21836" s="831">
        <v>0</v>
      </c>
      <c r="AJ21836" s="835">
        <v>41243</v>
      </c>
      <c r="AK21836" s="831">
        <v>-2146826246</v>
      </c>
    </row>
    <row r="21837" spans="32:37">
      <c r="AF21837" s="831" t="s">
        <v>10652</v>
      </c>
      <c r="AG21837" s="831" t="s">
        <v>2674</v>
      </c>
      <c r="AH21837" s="831" t="s">
        <v>3042</v>
      </c>
      <c r="AI21837" s="831">
        <v>0</v>
      </c>
      <c r="AJ21837" s="835">
        <v>41243</v>
      </c>
      <c r="AK21837" s="831">
        <v>-2146826246</v>
      </c>
    </row>
    <row r="21838" spans="32:37">
      <c r="AF21838" s="831" t="s">
        <v>10653</v>
      </c>
      <c r="AG21838" s="831" t="s">
        <v>2674</v>
      </c>
      <c r="AH21838" s="831" t="s">
        <v>3044</v>
      </c>
      <c r="AI21838" s="831">
        <v>0</v>
      </c>
      <c r="AJ21838" s="835">
        <v>41243</v>
      </c>
      <c r="AK21838" s="831">
        <v>-2146826246</v>
      </c>
    </row>
    <row r="21839" spans="32:37">
      <c r="AF21839" s="831" t="s">
        <v>10654</v>
      </c>
      <c r="AG21839" s="831" t="s">
        <v>2674</v>
      </c>
      <c r="AH21839" s="831" t="s">
        <v>580</v>
      </c>
      <c r="AI21839" s="831">
        <v>0</v>
      </c>
      <c r="AJ21839" s="835">
        <v>41243</v>
      </c>
      <c r="AK21839" s="831">
        <v>-2146826246</v>
      </c>
    </row>
    <row r="21840" spans="32:37">
      <c r="AF21840" s="831" t="s">
        <v>10655</v>
      </c>
      <c r="AG21840" s="831" t="s">
        <v>2674</v>
      </c>
      <c r="AH21840" s="831" t="s">
        <v>581</v>
      </c>
      <c r="AI21840" s="831">
        <v>0</v>
      </c>
      <c r="AJ21840" s="835">
        <v>41243</v>
      </c>
      <c r="AK21840" s="831">
        <v>-2146826246</v>
      </c>
    </row>
    <row r="21841" spans="32:37">
      <c r="AF21841" s="831" t="s">
        <v>10656</v>
      </c>
      <c r="AG21841" s="831" t="s">
        <v>2674</v>
      </c>
      <c r="AH21841" s="831" t="s">
        <v>105</v>
      </c>
      <c r="AI21841" s="831">
        <v>0</v>
      </c>
      <c r="AJ21841" s="835">
        <v>41243</v>
      </c>
      <c r="AK21841" s="831">
        <v>202127506</v>
      </c>
    </row>
    <row r="21842" spans="32:37">
      <c r="AF21842" s="831" t="s">
        <v>10657</v>
      </c>
      <c r="AG21842" s="831" t="s">
        <v>2674</v>
      </c>
      <c r="AH21842" s="831" t="s">
        <v>3049</v>
      </c>
      <c r="AI21842" s="831">
        <v>0</v>
      </c>
      <c r="AJ21842" s="835">
        <v>41243</v>
      </c>
      <c r="AK21842" s="831">
        <v>355103629</v>
      </c>
    </row>
    <row r="21843" spans="32:37">
      <c r="AF21843" s="831" t="s">
        <v>10658</v>
      </c>
      <c r="AG21843" s="831" t="s">
        <v>2674</v>
      </c>
      <c r="AH21843" s="831" t="s">
        <v>103</v>
      </c>
      <c r="AI21843" s="831">
        <v>0</v>
      </c>
      <c r="AJ21843" s="835">
        <v>41243</v>
      </c>
      <c r="AK21843" s="831">
        <v>152976123</v>
      </c>
    </row>
    <row r="21844" spans="32:37">
      <c r="AF21844" s="831" t="s">
        <v>10659</v>
      </c>
      <c r="AG21844" s="831" t="s">
        <v>2674</v>
      </c>
      <c r="AH21844" s="831" t="s">
        <v>182</v>
      </c>
      <c r="AI21844" s="831">
        <v>0</v>
      </c>
      <c r="AJ21844" s="835">
        <v>41243</v>
      </c>
      <c r="AK21844" s="831">
        <v>50142446.18181818</v>
      </c>
    </row>
    <row r="21845" spans="32:37">
      <c r="AF21845" s="831" t="s">
        <v>10660</v>
      </c>
      <c r="AG21845" s="831" t="s">
        <v>2674</v>
      </c>
      <c r="AH21845" s="831" t="s">
        <v>6600</v>
      </c>
      <c r="AI21845" s="831">
        <v>0</v>
      </c>
      <c r="AJ21845" s="835">
        <v>41243</v>
      </c>
      <c r="AK21845" s="831">
        <v>-2146826246</v>
      </c>
    </row>
    <row r="21846" spans="32:37">
      <c r="AF21846" s="831" t="s">
        <v>10661</v>
      </c>
      <c r="AG21846" s="831" t="s">
        <v>2674</v>
      </c>
      <c r="AH21846" s="831" t="s">
        <v>6602</v>
      </c>
      <c r="AI21846" s="831">
        <v>0</v>
      </c>
      <c r="AJ21846" s="835">
        <v>41243</v>
      </c>
      <c r="AK21846" s="831">
        <v>16533903</v>
      </c>
    </row>
    <row r="21847" spans="32:37">
      <c r="AF21847" s="831" t="s">
        <v>10662</v>
      </c>
      <c r="AG21847" s="831" t="s">
        <v>2674</v>
      </c>
      <c r="AH21847" s="831" t="s">
        <v>650</v>
      </c>
      <c r="AI21847" s="831">
        <v>0</v>
      </c>
      <c r="AJ21847" s="835">
        <v>41243</v>
      </c>
      <c r="AK21847" s="831">
        <v>0</v>
      </c>
    </row>
    <row r="21848" spans="32:37">
      <c r="AF21848" s="831" t="s">
        <v>10663</v>
      </c>
      <c r="AG21848" s="831" t="s">
        <v>2674</v>
      </c>
      <c r="AH21848" s="831" t="s">
        <v>655</v>
      </c>
      <c r="AI21848" s="831">
        <v>0</v>
      </c>
      <c r="AJ21848" s="835">
        <v>41243</v>
      </c>
      <c r="AK21848" s="831">
        <v>1720042</v>
      </c>
    </row>
    <row r="21849" spans="32:37">
      <c r="AF21849" s="831" t="s">
        <v>10664</v>
      </c>
      <c r="AG21849" s="831" t="s">
        <v>2674</v>
      </c>
      <c r="AH21849" s="831" t="s">
        <v>546</v>
      </c>
      <c r="AI21849" s="831">
        <v>0</v>
      </c>
      <c r="AJ21849" s="835">
        <v>41274</v>
      </c>
      <c r="AK21849" s="831">
        <v>412125624</v>
      </c>
    </row>
    <row r="21850" spans="32:37">
      <c r="AF21850" s="831" t="s">
        <v>10665</v>
      </c>
      <c r="AG21850" s="831" t="s">
        <v>2674</v>
      </c>
      <c r="AH21850" s="831" t="s">
        <v>370</v>
      </c>
      <c r="AI21850" s="831">
        <v>0</v>
      </c>
      <c r="AJ21850" s="835">
        <v>41274</v>
      </c>
      <c r="AK21850" s="831">
        <v>515268910</v>
      </c>
    </row>
    <row r="21851" spans="32:37">
      <c r="AF21851" s="831" t="s">
        <v>10666</v>
      </c>
      <c r="AG21851" s="831" t="s">
        <v>2674</v>
      </c>
      <c r="AH21851" s="831" t="s">
        <v>126</v>
      </c>
      <c r="AI21851" s="831">
        <v>0</v>
      </c>
      <c r="AJ21851" s="835">
        <v>41274</v>
      </c>
      <c r="AK21851" s="831">
        <v>101162875</v>
      </c>
    </row>
    <row r="21852" spans="32:37">
      <c r="AF21852" s="831" t="s">
        <v>10667</v>
      </c>
      <c r="AG21852" s="831" t="s">
        <v>2674</v>
      </c>
      <c r="AH21852" s="831" t="s">
        <v>268</v>
      </c>
      <c r="AI21852" s="831">
        <v>0</v>
      </c>
      <c r="AJ21852" s="835">
        <v>41274</v>
      </c>
      <c r="AK21852" s="831">
        <v>15839951</v>
      </c>
    </row>
    <row r="21853" spans="32:37">
      <c r="AF21853" s="831" t="s">
        <v>10668</v>
      </c>
      <c r="AG21853" s="831" t="s">
        <v>2674</v>
      </c>
      <c r="AH21853" s="831" t="s">
        <v>547</v>
      </c>
      <c r="AI21853" s="831">
        <v>0</v>
      </c>
      <c r="AJ21853" s="835">
        <v>41274</v>
      </c>
      <c r="AK21853" s="831">
        <v>0</v>
      </c>
    </row>
    <row r="21854" spans="32:37">
      <c r="AF21854" s="831" t="s">
        <v>10669</v>
      </c>
      <c r="AG21854" s="831" t="s">
        <v>2674</v>
      </c>
      <c r="AH21854" s="831" t="s">
        <v>548</v>
      </c>
      <c r="AI21854" s="831">
        <v>0</v>
      </c>
      <c r="AJ21854" s="835">
        <v>41274</v>
      </c>
      <c r="AK21854" s="831">
        <v>0</v>
      </c>
    </row>
    <row r="21855" spans="32:37">
      <c r="AF21855" s="831" t="s">
        <v>10670</v>
      </c>
      <c r="AG21855" s="831" t="s">
        <v>2674</v>
      </c>
      <c r="AH21855" s="831" t="s">
        <v>549</v>
      </c>
      <c r="AI21855" s="831">
        <v>0</v>
      </c>
      <c r="AJ21855" s="835">
        <v>41274</v>
      </c>
      <c r="AK21855" s="831">
        <v>0</v>
      </c>
    </row>
    <row r="21856" spans="32:37">
      <c r="AF21856" s="831" t="s">
        <v>10671</v>
      </c>
      <c r="AG21856" s="831" t="s">
        <v>2674</v>
      </c>
      <c r="AH21856" s="831" t="s">
        <v>192</v>
      </c>
      <c r="AI21856" s="831">
        <v>0</v>
      </c>
      <c r="AJ21856" s="835">
        <v>41274</v>
      </c>
      <c r="AK21856" s="831">
        <v>-10390612</v>
      </c>
    </row>
    <row r="21857" spans="32:37">
      <c r="AF21857" s="831" t="s">
        <v>10672</v>
      </c>
      <c r="AG21857" s="831" t="s">
        <v>2674</v>
      </c>
      <c r="AH21857" s="831" t="s">
        <v>558</v>
      </c>
      <c r="AI21857" s="831">
        <v>0</v>
      </c>
      <c r="AJ21857" s="835">
        <v>41274</v>
      </c>
      <c r="AK21857" s="831">
        <v>414106035</v>
      </c>
    </row>
    <row r="21858" spans="32:37">
      <c r="AF21858" s="831" t="s">
        <v>10673</v>
      </c>
      <c r="AG21858" s="831" t="s">
        <v>2674</v>
      </c>
      <c r="AH21858" s="831" t="s">
        <v>65</v>
      </c>
      <c r="AI21858" s="831">
        <v>0</v>
      </c>
      <c r="AJ21858" s="835">
        <v>41274</v>
      </c>
      <c r="AK21858" s="831">
        <v>98876380</v>
      </c>
    </row>
    <row r="21859" spans="32:37">
      <c r="AF21859" s="831" t="s">
        <v>10674</v>
      </c>
      <c r="AG21859" s="831" t="s">
        <v>2674</v>
      </c>
      <c r="AH21859" s="831" t="s">
        <v>89</v>
      </c>
      <c r="AI21859" s="831">
        <v>0</v>
      </c>
      <c r="AJ21859" s="835">
        <v>41274</v>
      </c>
      <c r="AK21859" s="831">
        <v>124397</v>
      </c>
    </row>
    <row r="21860" spans="32:37">
      <c r="AF21860" s="831" t="s">
        <v>10675</v>
      </c>
      <c r="AG21860" s="831" t="s">
        <v>2674</v>
      </c>
      <c r="AH21860" s="831" t="s">
        <v>557</v>
      </c>
      <c r="AI21860" s="831">
        <v>0</v>
      </c>
      <c r="AJ21860" s="835">
        <v>41274</v>
      </c>
      <c r="AK21860" s="831">
        <v>127200</v>
      </c>
    </row>
    <row r="21861" spans="32:37">
      <c r="AF21861" s="831" t="s">
        <v>10676</v>
      </c>
      <c r="AG21861" s="831" t="s">
        <v>2674</v>
      </c>
      <c r="AH21861" s="831" t="s">
        <v>29</v>
      </c>
      <c r="AI21861" s="831">
        <v>0</v>
      </c>
      <c r="AJ21861" s="835">
        <v>41274</v>
      </c>
      <c r="AK21861" s="831">
        <v>1921756</v>
      </c>
    </row>
    <row r="21862" spans="32:37">
      <c r="AF21862" s="831" t="s">
        <v>10677</v>
      </c>
      <c r="AG21862" s="831" t="s">
        <v>2674</v>
      </c>
      <c r="AH21862" s="831" t="s">
        <v>2688</v>
      </c>
      <c r="AI21862" s="831">
        <v>0</v>
      </c>
      <c r="AJ21862" s="835">
        <v>41274</v>
      </c>
      <c r="AK21862" s="831">
        <v>2457254</v>
      </c>
    </row>
    <row r="21863" spans="32:37">
      <c r="AF21863" s="831" t="s">
        <v>10678</v>
      </c>
      <c r="AG21863" s="831" t="s">
        <v>2674</v>
      </c>
      <c r="AH21863" s="831" t="s">
        <v>556</v>
      </c>
      <c r="AI21863" s="831">
        <v>0</v>
      </c>
      <c r="AJ21863" s="835">
        <v>41274</v>
      </c>
      <c r="AK21863" s="831">
        <v>902857</v>
      </c>
    </row>
    <row r="21864" spans="32:37">
      <c r="AF21864" s="831" t="s">
        <v>10679</v>
      </c>
      <c r="AG21864" s="831" t="s">
        <v>2674</v>
      </c>
      <c r="AH21864" s="831" t="s">
        <v>555</v>
      </c>
      <c r="AI21864" s="831">
        <v>0</v>
      </c>
      <c r="AJ21864" s="835">
        <v>41274</v>
      </c>
      <c r="AK21864" s="831">
        <v>274948010</v>
      </c>
    </row>
    <row r="21865" spans="32:37">
      <c r="AF21865" s="831" t="s">
        <v>10680</v>
      </c>
      <c r="AG21865" s="831" t="s">
        <v>2674</v>
      </c>
      <c r="AH21865" s="831" t="s">
        <v>554</v>
      </c>
      <c r="AI21865" s="831">
        <v>0</v>
      </c>
      <c r="AJ21865" s="835">
        <v>41274</v>
      </c>
      <c r="AK21865" s="831">
        <v>273069880</v>
      </c>
    </row>
    <row r="21866" spans="32:37">
      <c r="AF21866" s="831" t="s">
        <v>10681</v>
      </c>
      <c r="AG21866" s="831" t="s">
        <v>2674</v>
      </c>
      <c r="AH21866" s="831" t="s">
        <v>553</v>
      </c>
      <c r="AI21866" s="831">
        <v>0</v>
      </c>
      <c r="AJ21866" s="835">
        <v>41274</v>
      </c>
      <c r="AK21866" s="831">
        <v>0</v>
      </c>
    </row>
    <row r="21867" spans="32:37">
      <c r="AF21867" s="831" t="s">
        <v>10682</v>
      </c>
      <c r="AG21867" s="831" t="s">
        <v>2674</v>
      </c>
      <c r="AH21867" s="831" t="s">
        <v>552</v>
      </c>
      <c r="AI21867" s="831">
        <v>0</v>
      </c>
      <c r="AJ21867" s="835">
        <v>41274</v>
      </c>
      <c r="AK21867" s="831">
        <v>0</v>
      </c>
    </row>
    <row r="21868" spans="32:37">
      <c r="AF21868" s="831" t="s">
        <v>10683</v>
      </c>
      <c r="AG21868" s="831" t="s">
        <v>2674</v>
      </c>
      <c r="AH21868" s="831" t="s">
        <v>551</v>
      </c>
      <c r="AI21868" s="831">
        <v>0</v>
      </c>
      <c r="AJ21868" s="835">
        <v>41274</v>
      </c>
      <c r="AK21868" s="831">
        <v>1740472</v>
      </c>
    </row>
    <row r="21869" spans="32:37">
      <c r="AF21869" s="831" t="s">
        <v>10684</v>
      </c>
      <c r="AG21869" s="831" t="s">
        <v>2674</v>
      </c>
      <c r="AH21869" s="831" t="s">
        <v>550</v>
      </c>
      <c r="AI21869" s="831">
        <v>0</v>
      </c>
      <c r="AJ21869" s="835">
        <v>41274</v>
      </c>
      <c r="AK21869" s="831">
        <v>101856827</v>
      </c>
    </row>
    <row r="21870" spans="32:37">
      <c r="AF21870" s="831" t="s">
        <v>10685</v>
      </c>
      <c r="AG21870" s="831" t="s">
        <v>2674</v>
      </c>
      <c r="AH21870" s="831" t="s">
        <v>562</v>
      </c>
      <c r="AI21870" s="831">
        <v>0</v>
      </c>
      <c r="AJ21870" s="835">
        <v>41274</v>
      </c>
      <c r="AK21870" s="831">
        <v>0.78400000000000003</v>
      </c>
    </row>
    <row r="21871" spans="32:37">
      <c r="AF21871" s="831" t="s">
        <v>10686</v>
      </c>
      <c r="AG21871" s="831" t="s">
        <v>2674</v>
      </c>
      <c r="AH21871" s="831" t="s">
        <v>2698</v>
      </c>
      <c r="AI21871" s="831">
        <v>0</v>
      </c>
      <c r="AJ21871" s="835">
        <v>41274</v>
      </c>
      <c r="AK21871" s="831">
        <v>0.78415000000000001</v>
      </c>
    </row>
    <row r="21872" spans="32:37">
      <c r="AF21872" s="831" t="s">
        <v>10687</v>
      </c>
      <c r="AG21872" s="831" t="s">
        <v>2674</v>
      </c>
      <c r="AH21872" s="831" t="s">
        <v>560</v>
      </c>
      <c r="AI21872" s="831">
        <v>0</v>
      </c>
      <c r="AJ21872" s="835">
        <v>41274</v>
      </c>
      <c r="AK21872" s="831">
        <v>0.7850541666666665</v>
      </c>
    </row>
    <row r="21873" spans="32:37">
      <c r="AF21873" s="831" t="s">
        <v>10688</v>
      </c>
      <c r="AG21873" s="831" t="s">
        <v>2674</v>
      </c>
      <c r="AH21873" s="831" t="s">
        <v>559</v>
      </c>
      <c r="AI21873" s="831">
        <v>0</v>
      </c>
      <c r="AJ21873" s="835">
        <v>41274</v>
      </c>
      <c r="AK21873" s="831">
        <v>0.7850541666666665</v>
      </c>
    </row>
    <row r="21874" spans="32:37">
      <c r="AF21874" s="831" t="s">
        <v>10689</v>
      </c>
      <c r="AG21874" s="831" t="s">
        <v>2674</v>
      </c>
      <c r="AH21874" s="831" t="s">
        <v>568</v>
      </c>
      <c r="AI21874" s="831">
        <v>0</v>
      </c>
      <c r="AJ21874" s="835">
        <v>41274</v>
      </c>
      <c r="AK21874" s="831">
        <v>0</v>
      </c>
    </row>
    <row r="21875" spans="32:37">
      <c r="AF21875" s="831" t="s">
        <v>10690</v>
      </c>
      <c r="AG21875" s="831" t="s">
        <v>2674</v>
      </c>
      <c r="AH21875" s="831" t="s">
        <v>569</v>
      </c>
      <c r="AI21875" s="831">
        <v>0</v>
      </c>
      <c r="AJ21875" s="835">
        <v>41274</v>
      </c>
      <c r="AK21875" s="831">
        <v>0</v>
      </c>
    </row>
    <row r="21876" spans="32:37">
      <c r="AF21876" s="831" t="s">
        <v>10691</v>
      </c>
      <c r="AG21876" s="831" t="s">
        <v>2674</v>
      </c>
      <c r="AH21876" s="831" t="s">
        <v>570</v>
      </c>
      <c r="AI21876" s="831">
        <v>0</v>
      </c>
      <c r="AJ21876" s="835">
        <v>41274</v>
      </c>
      <c r="AK21876" s="831">
        <v>0</v>
      </c>
    </row>
    <row r="21877" spans="32:37">
      <c r="AF21877" s="831" t="s">
        <v>10692</v>
      </c>
      <c r="AG21877" s="831" t="s">
        <v>2674</v>
      </c>
      <c r="AH21877" s="831" t="s">
        <v>571</v>
      </c>
      <c r="AI21877" s="831">
        <v>0</v>
      </c>
      <c r="AJ21877" s="835">
        <v>41274</v>
      </c>
      <c r="AK21877" s="831">
        <v>0</v>
      </c>
    </row>
    <row r="21878" spans="32:37">
      <c r="AF21878" s="831" t="s">
        <v>10693</v>
      </c>
      <c r="AG21878" s="831" t="s">
        <v>2674</v>
      </c>
      <c r="AH21878" s="831" t="s">
        <v>573</v>
      </c>
      <c r="AI21878" s="831">
        <v>0</v>
      </c>
      <c r="AJ21878" s="835">
        <v>41274</v>
      </c>
      <c r="AK21878" s="831">
        <v>-2146826265</v>
      </c>
    </row>
    <row r="21879" spans="32:37">
      <c r="AF21879" s="831" t="s">
        <v>10694</v>
      </c>
      <c r="AG21879" s="831" t="s">
        <v>2674</v>
      </c>
      <c r="AH21879" s="831" t="s">
        <v>574</v>
      </c>
      <c r="AI21879" s="831">
        <v>0</v>
      </c>
      <c r="AJ21879" s="835">
        <v>41274</v>
      </c>
      <c r="AK21879" s="831">
        <v>-2146826265</v>
      </c>
    </row>
    <row r="21880" spans="32:37">
      <c r="AF21880" s="831" t="s">
        <v>10695</v>
      </c>
      <c r="AG21880" s="831" t="s">
        <v>2674</v>
      </c>
      <c r="AH21880" s="831" t="s">
        <v>575</v>
      </c>
      <c r="AI21880" s="831">
        <v>0</v>
      </c>
      <c r="AJ21880" s="835">
        <v>41274</v>
      </c>
      <c r="AK21880" s="831">
        <v>-2146826265</v>
      </c>
    </row>
    <row r="21881" spans="32:37">
      <c r="AF21881" s="831" t="s">
        <v>10696</v>
      </c>
      <c r="AG21881" s="831" t="s">
        <v>2674</v>
      </c>
      <c r="AH21881" s="831" t="s">
        <v>576</v>
      </c>
      <c r="AI21881" s="831">
        <v>0</v>
      </c>
      <c r="AJ21881" s="835">
        <v>41274</v>
      </c>
      <c r="AK21881" s="831">
        <v>-2146826265</v>
      </c>
    </row>
    <row r="21882" spans="32:37">
      <c r="AF21882" s="831" t="s">
        <v>10697</v>
      </c>
      <c r="AG21882" s="831" t="s">
        <v>2674</v>
      </c>
      <c r="AH21882" s="831" t="s">
        <v>572</v>
      </c>
      <c r="AI21882" s="831">
        <v>0</v>
      </c>
      <c r="AJ21882" s="835">
        <v>41274</v>
      </c>
      <c r="AK21882" s="831">
        <v>-2146826246</v>
      </c>
    </row>
    <row r="21883" spans="32:37">
      <c r="AF21883" s="831" t="s">
        <v>10698</v>
      </c>
      <c r="AG21883" s="831" t="s">
        <v>2674</v>
      </c>
      <c r="AH21883" s="831" t="s">
        <v>577</v>
      </c>
      <c r="AI21883" s="831">
        <v>0</v>
      </c>
      <c r="AJ21883" s="835">
        <v>41274</v>
      </c>
      <c r="AK21883" s="831">
        <v>-2146826246</v>
      </c>
    </row>
    <row r="21884" spans="32:37">
      <c r="AF21884" s="831" t="s">
        <v>10699</v>
      </c>
      <c r="AG21884" s="831" t="s">
        <v>2674</v>
      </c>
      <c r="AH21884" s="831" t="s">
        <v>3042</v>
      </c>
      <c r="AI21884" s="831">
        <v>0</v>
      </c>
      <c r="AJ21884" s="835">
        <v>41274</v>
      </c>
      <c r="AK21884" s="831">
        <v>-2146826246</v>
      </c>
    </row>
    <row r="21885" spans="32:37">
      <c r="AF21885" s="831" t="s">
        <v>10700</v>
      </c>
      <c r="AG21885" s="831" t="s">
        <v>2674</v>
      </c>
      <c r="AH21885" s="831" t="s">
        <v>3044</v>
      </c>
      <c r="AI21885" s="831">
        <v>0</v>
      </c>
      <c r="AJ21885" s="835">
        <v>41274</v>
      </c>
      <c r="AK21885" s="831">
        <v>-2146826246</v>
      </c>
    </row>
    <row r="21886" spans="32:37">
      <c r="AF21886" s="831" t="s">
        <v>10701</v>
      </c>
      <c r="AG21886" s="831" t="s">
        <v>2674</v>
      </c>
      <c r="AH21886" s="831" t="s">
        <v>580</v>
      </c>
      <c r="AI21886" s="831">
        <v>0</v>
      </c>
      <c r="AJ21886" s="835">
        <v>41274</v>
      </c>
      <c r="AK21886" s="831">
        <v>-2146826246</v>
      </c>
    </row>
    <row r="21887" spans="32:37">
      <c r="AF21887" s="831" t="s">
        <v>10702</v>
      </c>
      <c r="AG21887" s="831" t="s">
        <v>2674</v>
      </c>
      <c r="AH21887" s="831" t="s">
        <v>581</v>
      </c>
      <c r="AI21887" s="831">
        <v>0</v>
      </c>
      <c r="AJ21887" s="835">
        <v>41274</v>
      </c>
      <c r="AK21887" s="831">
        <v>-2146826246</v>
      </c>
    </row>
    <row r="21888" spans="32:37">
      <c r="AF21888" s="831" t="s">
        <v>10703</v>
      </c>
      <c r="AG21888" s="831" t="s">
        <v>2674</v>
      </c>
      <c r="AH21888" s="831" t="s">
        <v>105</v>
      </c>
      <c r="AI21888" s="831">
        <v>0</v>
      </c>
      <c r="AJ21888" s="835">
        <v>41274</v>
      </c>
      <c r="AK21888" s="831">
        <v>237580126</v>
      </c>
    </row>
    <row r="21889" spans="32:37">
      <c r="AF21889" s="831" t="s">
        <v>10704</v>
      </c>
      <c r="AG21889" s="831" t="s">
        <v>2674</v>
      </c>
      <c r="AH21889" s="831" t="s">
        <v>3049</v>
      </c>
      <c r="AI21889" s="831">
        <v>0</v>
      </c>
      <c r="AJ21889" s="835">
        <v>41274</v>
      </c>
      <c r="AK21889" s="831">
        <v>400647257</v>
      </c>
    </row>
    <row r="21890" spans="32:37">
      <c r="AF21890" s="831" t="s">
        <v>10705</v>
      </c>
      <c r="AG21890" s="831" t="s">
        <v>2674</v>
      </c>
      <c r="AH21890" s="831" t="s">
        <v>103</v>
      </c>
      <c r="AI21890" s="831">
        <v>0</v>
      </c>
      <c r="AJ21890" s="835">
        <v>41274</v>
      </c>
      <c r="AK21890" s="831">
        <v>163067131</v>
      </c>
    </row>
    <row r="21891" spans="32:37">
      <c r="AF21891" s="831" t="s">
        <v>10706</v>
      </c>
      <c r="AG21891" s="831" t="s">
        <v>2674</v>
      </c>
      <c r="AH21891" s="831" t="s">
        <v>182</v>
      </c>
      <c r="AI21891" s="831">
        <v>0</v>
      </c>
      <c r="AJ21891" s="835">
        <v>41274</v>
      </c>
      <c r="AK21891" s="831">
        <v>53318071</v>
      </c>
    </row>
    <row r="21892" spans="32:37">
      <c r="AF21892" s="831" t="s">
        <v>10707</v>
      </c>
      <c r="AG21892" s="831" t="s">
        <v>2674</v>
      </c>
      <c r="AH21892" s="831" t="s">
        <v>6600</v>
      </c>
      <c r="AI21892" s="831">
        <v>0</v>
      </c>
      <c r="AJ21892" s="835">
        <v>41274</v>
      </c>
      <c r="AK21892" s="831">
        <v>-2146826246</v>
      </c>
    </row>
    <row r="21893" spans="32:37">
      <c r="AF21893" s="831" t="s">
        <v>10708</v>
      </c>
      <c r="AG21893" s="831" t="s">
        <v>2674</v>
      </c>
      <c r="AH21893" s="831" t="s">
        <v>6602</v>
      </c>
      <c r="AI21893" s="831">
        <v>0</v>
      </c>
      <c r="AJ21893" s="835">
        <v>41274</v>
      </c>
      <c r="AK21893" s="831">
        <v>15839951</v>
      </c>
    </row>
    <row r="21894" spans="32:37">
      <c r="AF21894" s="831" t="s">
        <v>10709</v>
      </c>
      <c r="AG21894" s="831" t="s">
        <v>2674</v>
      </c>
      <c r="AH21894" s="831" t="s">
        <v>650</v>
      </c>
      <c r="AI21894" s="831">
        <v>0</v>
      </c>
      <c r="AJ21894" s="835">
        <v>41274</v>
      </c>
      <c r="AK21894" s="831">
        <v>0</v>
      </c>
    </row>
    <row r="21895" spans="32:37">
      <c r="AF21895" s="831" t="s">
        <v>10710</v>
      </c>
      <c r="AG21895" s="831" t="s">
        <v>2674</v>
      </c>
      <c r="AH21895" s="831" t="s">
        <v>655</v>
      </c>
      <c r="AI21895" s="831">
        <v>0</v>
      </c>
      <c r="AJ21895" s="835">
        <v>41274</v>
      </c>
      <c r="AK21895" s="831">
        <v>1622276</v>
      </c>
    </row>
    <row r="21896" spans="32:37">
      <c r="AF21896" s="831" t="s">
        <v>10711</v>
      </c>
      <c r="AG21896" s="831" t="s">
        <v>2674</v>
      </c>
      <c r="AH21896" s="831" t="s">
        <v>546</v>
      </c>
      <c r="AI21896" s="831">
        <v>0</v>
      </c>
      <c r="AJ21896" s="835">
        <v>41305</v>
      </c>
      <c r="AK21896" s="831">
        <v>421051783</v>
      </c>
    </row>
    <row r="21897" spans="32:37">
      <c r="AF21897" s="831" t="s">
        <v>10712</v>
      </c>
      <c r="AG21897" s="831" t="s">
        <v>2674</v>
      </c>
      <c r="AH21897" s="831" t="s">
        <v>370</v>
      </c>
      <c r="AI21897" s="831">
        <v>0</v>
      </c>
      <c r="AJ21897" s="835">
        <v>41305</v>
      </c>
      <c r="AK21897" s="831">
        <v>511487760</v>
      </c>
    </row>
    <row r="21898" spans="32:37">
      <c r="AF21898" s="831" t="s">
        <v>10713</v>
      </c>
      <c r="AG21898" s="831" t="s">
        <v>2674</v>
      </c>
      <c r="AH21898" s="831" t="s">
        <v>126</v>
      </c>
      <c r="AI21898" s="831">
        <v>0</v>
      </c>
      <c r="AJ21898" s="835">
        <v>41305</v>
      </c>
      <c r="AK21898" s="831">
        <v>96883184</v>
      </c>
    </row>
    <row r="21899" spans="32:37">
      <c r="AF21899" s="831" t="s">
        <v>10714</v>
      </c>
      <c r="AG21899" s="831" t="s">
        <v>2674</v>
      </c>
      <c r="AH21899" s="831" t="s">
        <v>268</v>
      </c>
      <c r="AI21899" s="831">
        <v>0</v>
      </c>
      <c r="AJ21899" s="835">
        <v>41305</v>
      </c>
      <c r="AK21899" s="831">
        <v>2119961</v>
      </c>
    </row>
    <row r="21900" spans="32:37">
      <c r="AF21900" s="831" t="s">
        <v>10715</v>
      </c>
      <c r="AG21900" s="831" t="s">
        <v>2674</v>
      </c>
      <c r="AH21900" s="831" t="s">
        <v>547</v>
      </c>
      <c r="AI21900" s="831">
        <v>0</v>
      </c>
      <c r="AJ21900" s="835">
        <v>41305</v>
      </c>
      <c r="AK21900" s="831">
        <v>511487760</v>
      </c>
    </row>
    <row r="21901" spans="32:37">
      <c r="AF21901" s="831" t="s">
        <v>10716</v>
      </c>
      <c r="AG21901" s="831" t="s">
        <v>2674</v>
      </c>
      <c r="AH21901" s="831" t="s">
        <v>548</v>
      </c>
      <c r="AI21901" s="831">
        <v>0</v>
      </c>
      <c r="AJ21901" s="835">
        <v>41305</v>
      </c>
      <c r="AK21901" s="831">
        <v>96883184</v>
      </c>
    </row>
    <row r="21902" spans="32:37">
      <c r="AF21902" s="831" t="s">
        <v>10717</v>
      </c>
      <c r="AG21902" s="831" t="s">
        <v>2674</v>
      </c>
      <c r="AH21902" s="831" t="s">
        <v>549</v>
      </c>
      <c r="AI21902" s="831">
        <v>0</v>
      </c>
      <c r="AJ21902" s="835">
        <v>41305</v>
      </c>
      <c r="AK21902" s="831">
        <v>0</v>
      </c>
    </row>
    <row r="21903" spans="32:37">
      <c r="AF21903" s="831" t="s">
        <v>10718</v>
      </c>
      <c r="AG21903" s="831" t="s">
        <v>2674</v>
      </c>
      <c r="AH21903" s="831" t="s">
        <v>192</v>
      </c>
      <c r="AI21903" s="831">
        <v>0</v>
      </c>
      <c r="AJ21903" s="835">
        <v>41305</v>
      </c>
      <c r="AK21903" s="831">
        <v>-10696839</v>
      </c>
    </row>
    <row r="21904" spans="32:37">
      <c r="AF21904" s="831" t="s">
        <v>10719</v>
      </c>
      <c r="AG21904" s="831" t="s">
        <v>2674</v>
      </c>
      <c r="AH21904" s="831" t="s">
        <v>558</v>
      </c>
      <c r="AI21904" s="831">
        <v>0</v>
      </c>
      <c r="AJ21904" s="835">
        <v>41305</v>
      </c>
      <c r="AK21904" s="831">
        <v>414604576</v>
      </c>
    </row>
    <row r="21905" spans="32:37">
      <c r="AF21905" s="831" t="s">
        <v>10720</v>
      </c>
      <c r="AG21905" s="831" t="s">
        <v>2674</v>
      </c>
      <c r="AH21905" s="831" t="s">
        <v>65</v>
      </c>
      <c r="AI21905" s="831">
        <v>0</v>
      </c>
      <c r="AJ21905" s="835">
        <v>41305</v>
      </c>
      <c r="AK21905" s="831">
        <v>9476383</v>
      </c>
    </row>
    <row r="21906" spans="32:37">
      <c r="AF21906" s="831" t="s">
        <v>10721</v>
      </c>
      <c r="AG21906" s="831" t="s">
        <v>2674</v>
      </c>
      <c r="AH21906" s="831" t="s">
        <v>89</v>
      </c>
      <c r="AI21906" s="831">
        <v>0</v>
      </c>
      <c r="AJ21906" s="835">
        <v>41305</v>
      </c>
      <c r="AK21906" s="831">
        <v>125947</v>
      </c>
    </row>
    <row r="21907" spans="32:37">
      <c r="AF21907" s="831" t="s">
        <v>10722</v>
      </c>
      <c r="AG21907" s="831" t="s">
        <v>2674</v>
      </c>
      <c r="AH21907" s="831" t="s">
        <v>557</v>
      </c>
      <c r="AI21907" s="831">
        <v>0</v>
      </c>
      <c r="AJ21907" s="835">
        <v>41305</v>
      </c>
      <c r="AK21907" s="831">
        <v>128972</v>
      </c>
    </row>
    <row r="21908" spans="32:37">
      <c r="AF21908" s="831" t="s">
        <v>10723</v>
      </c>
      <c r="AG21908" s="831" t="s">
        <v>2674</v>
      </c>
      <c r="AH21908" s="831" t="s">
        <v>29</v>
      </c>
      <c r="AI21908" s="831">
        <v>0</v>
      </c>
      <c r="AJ21908" s="835">
        <v>41305</v>
      </c>
      <c r="AK21908" s="831">
        <v>1949343</v>
      </c>
    </row>
    <row r="21909" spans="32:37">
      <c r="AF21909" s="831" t="s">
        <v>10724</v>
      </c>
      <c r="AG21909" s="831" t="s">
        <v>2674</v>
      </c>
      <c r="AH21909" s="831" t="s">
        <v>2688</v>
      </c>
      <c r="AI21909" s="831">
        <v>0</v>
      </c>
      <c r="AJ21909" s="835">
        <v>41305</v>
      </c>
      <c r="AK21909" s="831">
        <v>2693419</v>
      </c>
    </row>
    <row r="21910" spans="32:37">
      <c r="AF21910" s="831" t="s">
        <v>10725</v>
      </c>
      <c r="AG21910" s="831" t="s">
        <v>2674</v>
      </c>
      <c r="AH21910" s="831" t="s">
        <v>556</v>
      </c>
      <c r="AI21910" s="831">
        <v>0</v>
      </c>
      <c r="AJ21910" s="835">
        <v>41305</v>
      </c>
      <c r="AK21910" s="831">
        <v>902857</v>
      </c>
    </row>
    <row r="21911" spans="32:37">
      <c r="AF21911" s="831" t="s">
        <v>10726</v>
      </c>
      <c r="AG21911" s="831" t="s">
        <v>2674</v>
      </c>
      <c r="AH21911" s="831" t="s">
        <v>555</v>
      </c>
      <c r="AI21911" s="831">
        <v>0</v>
      </c>
      <c r="AJ21911" s="835">
        <v>41305</v>
      </c>
      <c r="AK21911" s="831">
        <v>261608550</v>
      </c>
    </row>
    <row r="21912" spans="32:37">
      <c r="AF21912" s="831" t="s">
        <v>10727</v>
      </c>
      <c r="AG21912" s="831" t="s">
        <v>2674</v>
      </c>
      <c r="AH21912" s="831" t="s">
        <v>554</v>
      </c>
      <c r="AI21912" s="831">
        <v>0</v>
      </c>
      <c r="AJ21912" s="835">
        <v>41305</v>
      </c>
      <c r="AK21912" s="831">
        <v>265544650</v>
      </c>
    </row>
    <row r="21913" spans="32:37">
      <c r="AF21913" s="831" t="s">
        <v>10728</v>
      </c>
      <c r="AG21913" s="831" t="s">
        <v>2674</v>
      </c>
      <c r="AH21913" s="831" t="s">
        <v>553</v>
      </c>
      <c r="AI21913" s="831">
        <v>0</v>
      </c>
      <c r="AJ21913" s="835">
        <v>41305</v>
      </c>
      <c r="AK21913" s="831">
        <v>0</v>
      </c>
    </row>
    <row r="21914" spans="32:37">
      <c r="AF21914" s="831" t="s">
        <v>10729</v>
      </c>
      <c r="AG21914" s="831" t="s">
        <v>2674</v>
      </c>
      <c r="AH21914" s="831" t="s">
        <v>552</v>
      </c>
      <c r="AI21914" s="831">
        <v>0</v>
      </c>
      <c r="AJ21914" s="835">
        <v>41305</v>
      </c>
      <c r="AK21914" s="831">
        <v>0</v>
      </c>
    </row>
    <row r="21915" spans="32:37">
      <c r="AF21915" s="831" t="s">
        <v>10730</v>
      </c>
      <c r="AG21915" s="831" t="s">
        <v>2674</v>
      </c>
      <c r="AH21915" s="831" t="s">
        <v>551</v>
      </c>
      <c r="AI21915" s="831">
        <v>0</v>
      </c>
      <c r="AJ21915" s="835">
        <v>41305</v>
      </c>
      <c r="AK21915" s="831">
        <v>1906076</v>
      </c>
    </row>
    <row r="21916" spans="32:37">
      <c r="AF21916" s="831" t="s">
        <v>10731</v>
      </c>
      <c r="AG21916" s="831" t="s">
        <v>2674</v>
      </c>
      <c r="AH21916" s="831" t="s">
        <v>550</v>
      </c>
      <c r="AI21916" s="831">
        <v>0</v>
      </c>
      <c r="AJ21916" s="835">
        <v>41305</v>
      </c>
      <c r="AK21916" s="831">
        <v>101162875</v>
      </c>
    </row>
    <row r="21917" spans="32:37">
      <c r="AF21917" s="831" t="s">
        <v>10732</v>
      </c>
      <c r="AG21917" s="831" t="s">
        <v>2674</v>
      </c>
      <c r="AH21917" s="831" t="s">
        <v>562</v>
      </c>
      <c r="AI21917" s="831">
        <v>0</v>
      </c>
      <c r="AJ21917" s="835">
        <v>41305</v>
      </c>
      <c r="AK21917" s="831">
        <v>0.78385000000000005</v>
      </c>
    </row>
    <row r="21918" spans="32:37">
      <c r="AF21918" s="831" t="s">
        <v>10733</v>
      </c>
      <c r="AG21918" s="831" t="s">
        <v>2674</v>
      </c>
      <c r="AH21918" s="831" t="s">
        <v>2698</v>
      </c>
      <c r="AI21918" s="831">
        <v>0</v>
      </c>
      <c r="AJ21918" s="835">
        <v>41305</v>
      </c>
      <c r="AK21918" s="831">
        <v>0.78400000000000003</v>
      </c>
    </row>
    <row r="21919" spans="32:37">
      <c r="AF21919" s="831" t="s">
        <v>10734</v>
      </c>
      <c r="AG21919" s="831" t="s">
        <v>2674</v>
      </c>
      <c r="AH21919" s="831" t="s">
        <v>560</v>
      </c>
      <c r="AI21919" s="831">
        <v>0</v>
      </c>
      <c r="AJ21919" s="835">
        <v>41305</v>
      </c>
      <c r="AK21919" s="831">
        <v>0.78385000000000005</v>
      </c>
    </row>
    <row r="21920" spans="32:37">
      <c r="AF21920" s="831" t="s">
        <v>10735</v>
      </c>
      <c r="AG21920" s="831" t="s">
        <v>2674</v>
      </c>
      <c r="AH21920" s="831" t="s">
        <v>559</v>
      </c>
      <c r="AI21920" s="831">
        <v>0</v>
      </c>
      <c r="AJ21920" s="835">
        <v>41305</v>
      </c>
      <c r="AK21920" s="831">
        <v>0.78486250000000002</v>
      </c>
    </row>
    <row r="21921" spans="32:37">
      <c r="AF21921" s="831" t="s">
        <v>10736</v>
      </c>
      <c r="AG21921" s="831" t="s">
        <v>2674</v>
      </c>
      <c r="AH21921" s="831" t="s">
        <v>568</v>
      </c>
      <c r="AI21921" s="831">
        <v>0</v>
      </c>
      <c r="AJ21921" s="835">
        <v>41305</v>
      </c>
      <c r="AK21921" s="831">
        <v>373888864.66666669</v>
      </c>
    </row>
    <row r="21922" spans="32:37">
      <c r="AF21922" s="831" t="s">
        <v>10737</v>
      </c>
      <c r="AG21922" s="831" t="s">
        <v>2674</v>
      </c>
      <c r="AH21922" s="831" t="s">
        <v>569</v>
      </c>
      <c r="AI21922" s="831">
        <v>0</v>
      </c>
      <c r="AJ21922" s="835">
        <v>41305</v>
      </c>
      <c r="AK21922" s="831">
        <v>458979290.77777779</v>
      </c>
    </row>
    <row r="21923" spans="32:37">
      <c r="AF21923" s="831" t="s">
        <v>10738</v>
      </c>
      <c r="AG21923" s="831" t="s">
        <v>2674</v>
      </c>
      <c r="AH21923" s="831" t="s">
        <v>570</v>
      </c>
      <c r="AI21923" s="831">
        <v>0</v>
      </c>
      <c r="AJ21923" s="835">
        <v>41305</v>
      </c>
      <c r="AK21923" s="831">
        <v>96420088.555555552</v>
      </c>
    </row>
    <row r="21924" spans="32:37">
      <c r="AF21924" s="831" t="s">
        <v>10739</v>
      </c>
      <c r="AG21924" s="831" t="s">
        <v>2674</v>
      </c>
      <c r="AH21924" s="831" t="s">
        <v>571</v>
      </c>
      <c r="AI21924" s="831">
        <v>0</v>
      </c>
      <c r="AJ21924" s="835">
        <v>41305</v>
      </c>
      <c r="AK21924" s="831">
        <v>187471539.44444445</v>
      </c>
    </row>
    <row r="21925" spans="32:37">
      <c r="AF21925" s="831" t="s">
        <v>10740</v>
      </c>
      <c r="AG21925" s="831" t="s">
        <v>2674</v>
      </c>
      <c r="AH21925" s="831" t="s">
        <v>573</v>
      </c>
      <c r="AI21925" s="831">
        <v>0</v>
      </c>
      <c r="AJ21925" s="835">
        <v>41305</v>
      </c>
      <c r="AK21925" s="831">
        <v>513378335</v>
      </c>
    </row>
    <row r="21926" spans="32:37">
      <c r="AF21926" s="831" t="s">
        <v>10741</v>
      </c>
      <c r="AG21926" s="831" t="s">
        <v>2674</v>
      </c>
      <c r="AH21926" s="831" t="s">
        <v>574</v>
      </c>
      <c r="AI21926" s="831">
        <v>0</v>
      </c>
      <c r="AJ21926" s="835">
        <v>41305</v>
      </c>
      <c r="AK21926" s="831">
        <v>416588703.5</v>
      </c>
    </row>
    <row r="21927" spans="32:37">
      <c r="AF21927" s="831" t="s">
        <v>10742</v>
      </c>
      <c r="AG21927" s="831" t="s">
        <v>2674</v>
      </c>
      <c r="AH21927" s="831" t="s">
        <v>575</v>
      </c>
      <c r="AI21927" s="831">
        <v>0</v>
      </c>
      <c r="AJ21927" s="835">
        <v>41305</v>
      </c>
      <c r="AK21927" s="831">
        <v>99023029.5</v>
      </c>
    </row>
    <row r="21928" spans="32:37">
      <c r="AF21928" s="831" t="s">
        <v>10743</v>
      </c>
      <c r="AG21928" s="831" t="s">
        <v>2674</v>
      </c>
      <c r="AH21928" s="831" t="s">
        <v>576</v>
      </c>
      <c r="AI21928" s="831">
        <v>0</v>
      </c>
      <c r="AJ21928" s="835">
        <v>41305</v>
      </c>
      <c r="AK21928" s="831">
        <v>233642368.5</v>
      </c>
    </row>
    <row r="21929" spans="32:37">
      <c r="AF21929" s="831" t="s">
        <v>10744</v>
      </c>
      <c r="AG21929" s="831" t="s">
        <v>2674</v>
      </c>
      <c r="AH21929" s="831" t="s">
        <v>572</v>
      </c>
      <c r="AI21929" s="831">
        <v>0</v>
      </c>
      <c r="AJ21929" s="835">
        <v>41305</v>
      </c>
      <c r="AK21929" s="831">
        <v>-2146826246</v>
      </c>
    </row>
    <row r="21930" spans="32:37">
      <c r="AF21930" s="831" t="s">
        <v>10745</v>
      </c>
      <c r="AG21930" s="831" t="s">
        <v>2674</v>
      </c>
      <c r="AH21930" s="831" t="s">
        <v>577</v>
      </c>
      <c r="AI21930" s="831">
        <v>0</v>
      </c>
      <c r="AJ21930" s="835">
        <v>41305</v>
      </c>
      <c r="AK21930" s="831">
        <v>-2146826246</v>
      </c>
    </row>
    <row r="21931" spans="32:37">
      <c r="AF21931" s="831" t="s">
        <v>10746</v>
      </c>
      <c r="AG21931" s="831" t="s">
        <v>2674</v>
      </c>
      <c r="AH21931" s="831" t="s">
        <v>3042</v>
      </c>
      <c r="AI21931" s="831">
        <v>0</v>
      </c>
      <c r="AJ21931" s="835">
        <v>41305</v>
      </c>
      <c r="AK21931" s="831">
        <v>-2146826246</v>
      </c>
    </row>
    <row r="21932" spans="32:37">
      <c r="AF21932" s="831" t="s">
        <v>10747</v>
      </c>
      <c r="AG21932" s="831" t="s">
        <v>2674</v>
      </c>
      <c r="AH21932" s="831" t="s">
        <v>3044</v>
      </c>
      <c r="AI21932" s="831">
        <v>0</v>
      </c>
      <c r="AJ21932" s="835">
        <v>41305</v>
      </c>
      <c r="AK21932" s="831">
        <v>-2146826246</v>
      </c>
    </row>
    <row r="21933" spans="32:37">
      <c r="AF21933" s="831" t="s">
        <v>10748</v>
      </c>
      <c r="AG21933" s="831" t="s">
        <v>2674</v>
      </c>
      <c r="AH21933" s="831" t="s">
        <v>580</v>
      </c>
      <c r="AI21933" s="831">
        <v>0</v>
      </c>
      <c r="AJ21933" s="835">
        <v>41305</v>
      </c>
      <c r="AK21933" s="831">
        <v>-2146826246</v>
      </c>
    </row>
    <row r="21934" spans="32:37">
      <c r="AF21934" s="831" t="s">
        <v>10749</v>
      </c>
      <c r="AG21934" s="831" t="s">
        <v>2674</v>
      </c>
      <c r="AH21934" s="831" t="s">
        <v>581</v>
      </c>
      <c r="AI21934" s="831">
        <v>0</v>
      </c>
      <c r="AJ21934" s="835">
        <v>41305</v>
      </c>
      <c r="AK21934" s="831">
        <v>-2146826246</v>
      </c>
    </row>
    <row r="21935" spans="32:37">
      <c r="AF21935" s="831" t="s">
        <v>10750</v>
      </c>
      <c r="AG21935" s="831" t="s">
        <v>2674</v>
      </c>
      <c r="AH21935" s="831" t="s">
        <v>105</v>
      </c>
      <c r="AI21935" s="831">
        <v>0</v>
      </c>
      <c r="AJ21935" s="835">
        <v>41305</v>
      </c>
      <c r="AK21935" s="831">
        <v>229704611</v>
      </c>
    </row>
    <row r="21936" spans="32:37">
      <c r="AF21936" s="831" t="s">
        <v>10751</v>
      </c>
      <c r="AG21936" s="831" t="s">
        <v>2674</v>
      </c>
      <c r="AH21936" s="831" t="s">
        <v>3049</v>
      </c>
      <c r="AI21936" s="831">
        <v>0</v>
      </c>
      <c r="AJ21936" s="835">
        <v>41305</v>
      </c>
      <c r="AK21936" s="831">
        <v>400579663</v>
      </c>
    </row>
    <row r="21937" spans="32:37">
      <c r="AF21937" s="831" t="s">
        <v>10752</v>
      </c>
      <c r="AG21937" s="831" t="s">
        <v>2674</v>
      </c>
      <c r="AH21937" s="831" t="s">
        <v>103</v>
      </c>
      <c r="AI21937" s="831">
        <v>0</v>
      </c>
      <c r="AJ21937" s="835">
        <v>41305</v>
      </c>
      <c r="AK21937" s="831">
        <v>170875052</v>
      </c>
    </row>
    <row r="21938" spans="32:37">
      <c r="AF21938" s="831" t="s">
        <v>10753</v>
      </c>
      <c r="AG21938" s="831" t="s">
        <v>2674</v>
      </c>
      <c r="AH21938" s="831" t="s">
        <v>182</v>
      </c>
      <c r="AI21938" s="831">
        <v>0</v>
      </c>
      <c r="AJ21938" s="835">
        <v>41305</v>
      </c>
      <c r="AK21938" s="831">
        <v>57203676</v>
      </c>
    </row>
    <row r="21939" spans="32:37">
      <c r="AF21939" s="831" t="s">
        <v>10754</v>
      </c>
      <c r="AG21939" s="831" t="s">
        <v>2674</v>
      </c>
      <c r="AH21939" s="831" t="s">
        <v>6600</v>
      </c>
      <c r="AI21939" s="831">
        <v>0</v>
      </c>
      <c r="AJ21939" s="835">
        <v>41305</v>
      </c>
      <c r="AK21939" s="831">
        <v>-2146826246</v>
      </c>
    </row>
    <row r="21940" spans="32:37">
      <c r="AF21940" s="831" t="s">
        <v>10755</v>
      </c>
      <c r="AG21940" s="831" t="s">
        <v>2674</v>
      </c>
      <c r="AH21940" s="831" t="s">
        <v>6602</v>
      </c>
      <c r="AI21940" s="831">
        <v>0</v>
      </c>
      <c r="AJ21940" s="835">
        <v>41305</v>
      </c>
      <c r="AK21940" s="831">
        <v>2119961</v>
      </c>
    </row>
    <row r="21941" spans="32:37">
      <c r="AF21941" s="831" t="s">
        <v>10756</v>
      </c>
      <c r="AG21941" s="831" t="s">
        <v>2674</v>
      </c>
      <c r="AH21941" s="831" t="s">
        <v>650</v>
      </c>
      <c r="AI21941" s="831">
        <v>0</v>
      </c>
      <c r="AJ21941" s="835">
        <v>41305</v>
      </c>
      <c r="AK21941" s="831">
        <v>162276642.66666666</v>
      </c>
    </row>
    <row r="21942" spans="32:37">
      <c r="AF21942" s="831" t="s">
        <v>10757</v>
      </c>
      <c r="AG21942" s="831" t="s">
        <v>2674</v>
      </c>
      <c r="AH21942" s="831" t="s">
        <v>655</v>
      </c>
      <c r="AI21942" s="831">
        <v>0</v>
      </c>
      <c r="AJ21942" s="835">
        <v>41305</v>
      </c>
      <c r="AK21942" s="831">
        <v>1743639</v>
      </c>
    </row>
    <row r="21943" spans="32:37">
      <c r="AF21943" s="831" t="s">
        <v>10758</v>
      </c>
      <c r="AG21943" s="831" t="s">
        <v>2674</v>
      </c>
      <c r="AH21943" s="831" t="s">
        <v>546</v>
      </c>
      <c r="AI21943" s="831">
        <v>0</v>
      </c>
      <c r="AJ21943" s="835">
        <v>41333</v>
      </c>
      <c r="AK21943" s="831">
        <v>436810603</v>
      </c>
    </row>
    <row r="21944" spans="32:37">
      <c r="AF21944" s="831" t="s">
        <v>10759</v>
      </c>
      <c r="AG21944" s="831" t="s">
        <v>2674</v>
      </c>
      <c r="AH21944" s="831" t="s">
        <v>370</v>
      </c>
      <c r="AI21944" s="831">
        <v>0</v>
      </c>
      <c r="AJ21944" s="835">
        <v>41333</v>
      </c>
      <c r="AK21944" s="831">
        <v>522076176</v>
      </c>
    </row>
    <row r="21945" spans="32:37">
      <c r="AF21945" s="831" t="s">
        <v>10760</v>
      </c>
      <c r="AG21945" s="831" t="s">
        <v>2674</v>
      </c>
      <c r="AH21945" s="831" t="s">
        <v>126</v>
      </c>
      <c r="AI21945" s="831">
        <v>0</v>
      </c>
      <c r="AJ21945" s="835">
        <v>41333</v>
      </c>
      <c r="AK21945" s="831">
        <v>98581107</v>
      </c>
    </row>
    <row r="21946" spans="32:37">
      <c r="AF21946" s="831" t="s">
        <v>10761</v>
      </c>
      <c r="AG21946" s="831" t="s">
        <v>2674</v>
      </c>
      <c r="AH21946" s="831" t="s">
        <v>268</v>
      </c>
      <c r="AI21946" s="831">
        <v>0</v>
      </c>
      <c r="AJ21946" s="835">
        <v>41333</v>
      </c>
      <c r="AK21946" s="831">
        <v>3817884</v>
      </c>
    </row>
    <row r="21947" spans="32:37">
      <c r="AF21947" s="831" t="s">
        <v>10762</v>
      </c>
      <c r="AG21947" s="831" t="s">
        <v>2674</v>
      </c>
      <c r="AH21947" s="831" t="s">
        <v>547</v>
      </c>
      <c r="AI21947" s="831">
        <v>0</v>
      </c>
      <c r="AJ21947" s="835">
        <v>41333</v>
      </c>
      <c r="AK21947" s="831">
        <v>511487760</v>
      </c>
    </row>
    <row r="21948" spans="32:37">
      <c r="AF21948" s="831" t="s">
        <v>10763</v>
      </c>
      <c r="AG21948" s="831" t="s">
        <v>2674</v>
      </c>
      <c r="AH21948" s="831" t="s">
        <v>548</v>
      </c>
      <c r="AI21948" s="831">
        <v>0</v>
      </c>
      <c r="AJ21948" s="835">
        <v>41333</v>
      </c>
      <c r="AK21948" s="831">
        <v>96883184</v>
      </c>
    </row>
    <row r="21949" spans="32:37">
      <c r="AF21949" s="831" t="s">
        <v>10764</v>
      </c>
      <c r="AG21949" s="831" t="s">
        <v>2674</v>
      </c>
      <c r="AH21949" s="831" t="s">
        <v>549</v>
      </c>
      <c r="AI21949" s="831">
        <v>0</v>
      </c>
      <c r="AJ21949" s="835">
        <v>41333</v>
      </c>
      <c r="AK21949" s="831">
        <v>0</v>
      </c>
    </row>
    <row r="21950" spans="32:37">
      <c r="AF21950" s="831" t="s">
        <v>10765</v>
      </c>
      <c r="AG21950" s="831" t="s">
        <v>2674</v>
      </c>
      <c r="AH21950" s="831" t="s">
        <v>192</v>
      </c>
      <c r="AI21950" s="831">
        <v>0</v>
      </c>
      <c r="AJ21950" s="835">
        <v>41333</v>
      </c>
      <c r="AK21950" s="831">
        <v>-11285954</v>
      </c>
    </row>
    <row r="21951" spans="32:37">
      <c r="AF21951" s="831" t="s">
        <v>10766</v>
      </c>
      <c r="AG21951" s="831" t="s">
        <v>2674</v>
      </c>
      <c r="AH21951" s="831" t="s">
        <v>558</v>
      </c>
      <c r="AI21951" s="831">
        <v>0</v>
      </c>
      <c r="AJ21951" s="835">
        <v>41333</v>
      </c>
      <c r="AK21951" s="831">
        <v>423495069</v>
      </c>
    </row>
    <row r="21952" spans="32:37">
      <c r="AF21952" s="831" t="s">
        <v>10767</v>
      </c>
      <c r="AG21952" s="831" t="s">
        <v>2674</v>
      </c>
      <c r="AH21952" s="831" t="s">
        <v>65</v>
      </c>
      <c r="AI21952" s="831">
        <v>0</v>
      </c>
      <c r="AJ21952" s="835">
        <v>41333</v>
      </c>
      <c r="AK21952" s="831">
        <v>18985748</v>
      </c>
    </row>
    <row r="21953" spans="32:37">
      <c r="AF21953" s="831" t="s">
        <v>10768</v>
      </c>
      <c r="AG21953" s="831" t="s">
        <v>2674</v>
      </c>
      <c r="AH21953" s="831" t="s">
        <v>89</v>
      </c>
      <c r="AI21953" s="831">
        <v>0</v>
      </c>
      <c r="AJ21953" s="835">
        <v>41333</v>
      </c>
      <c r="AK21953" s="831">
        <v>127639</v>
      </c>
    </row>
    <row r="21954" spans="32:37">
      <c r="AF21954" s="831" t="s">
        <v>10769</v>
      </c>
      <c r="AG21954" s="831" t="s">
        <v>2674</v>
      </c>
      <c r="AH21954" s="831" t="s">
        <v>557</v>
      </c>
      <c r="AI21954" s="831">
        <v>0</v>
      </c>
      <c r="AJ21954" s="835">
        <v>41333</v>
      </c>
      <c r="AK21954" s="831">
        <v>130995</v>
      </c>
    </row>
    <row r="21955" spans="32:37">
      <c r="AF21955" s="831" t="s">
        <v>10770</v>
      </c>
      <c r="AG21955" s="831" t="s">
        <v>2674</v>
      </c>
      <c r="AH21955" s="831" t="s">
        <v>29</v>
      </c>
      <c r="AI21955" s="831">
        <v>0</v>
      </c>
      <c r="AJ21955" s="835">
        <v>41333</v>
      </c>
      <c r="AK21955" s="831">
        <v>2238797</v>
      </c>
    </row>
    <row r="21956" spans="32:37">
      <c r="AF21956" s="831" t="s">
        <v>10771</v>
      </c>
      <c r="AG21956" s="831" t="s">
        <v>2674</v>
      </c>
      <c r="AH21956" s="831" t="s">
        <v>2688</v>
      </c>
      <c r="AI21956" s="831">
        <v>0</v>
      </c>
      <c r="AJ21956" s="835">
        <v>41333</v>
      </c>
      <c r="AK21956" s="831">
        <v>2647738</v>
      </c>
    </row>
    <row r="21957" spans="32:37">
      <c r="AF21957" s="831" t="s">
        <v>10772</v>
      </c>
      <c r="AG21957" s="831" t="s">
        <v>2674</v>
      </c>
      <c r="AH21957" s="831" t="s">
        <v>556</v>
      </c>
      <c r="AI21957" s="831">
        <v>0</v>
      </c>
      <c r="AJ21957" s="835">
        <v>41333</v>
      </c>
      <c r="AK21957" s="831">
        <v>902857</v>
      </c>
    </row>
    <row r="21958" spans="32:37">
      <c r="AF21958" s="831" t="s">
        <v>10773</v>
      </c>
      <c r="AG21958" s="831" t="s">
        <v>2674</v>
      </c>
      <c r="AH21958" s="831" t="s">
        <v>555</v>
      </c>
      <c r="AI21958" s="831">
        <v>0</v>
      </c>
      <c r="AJ21958" s="835">
        <v>41333</v>
      </c>
      <c r="AK21958" s="831">
        <v>267734690</v>
      </c>
    </row>
    <row r="21959" spans="32:37">
      <c r="AF21959" s="831" t="s">
        <v>10774</v>
      </c>
      <c r="AG21959" s="831" t="s">
        <v>2674</v>
      </c>
      <c r="AH21959" s="831" t="s">
        <v>554</v>
      </c>
      <c r="AI21959" s="831">
        <v>0</v>
      </c>
      <c r="AJ21959" s="835">
        <v>41333</v>
      </c>
      <c r="AK21959" s="831">
        <v>272030190</v>
      </c>
    </row>
    <row r="21960" spans="32:37">
      <c r="AF21960" s="831" t="s">
        <v>10775</v>
      </c>
      <c r="AG21960" s="831" t="s">
        <v>2674</v>
      </c>
      <c r="AH21960" s="831" t="s">
        <v>553</v>
      </c>
      <c r="AI21960" s="831">
        <v>0</v>
      </c>
      <c r="AJ21960" s="835">
        <v>41333</v>
      </c>
      <c r="AK21960" s="831">
        <v>0</v>
      </c>
    </row>
    <row r="21961" spans="32:37">
      <c r="AF21961" s="831" t="s">
        <v>10776</v>
      </c>
      <c r="AG21961" s="831" t="s">
        <v>2674</v>
      </c>
      <c r="AH21961" s="831" t="s">
        <v>552</v>
      </c>
      <c r="AI21961" s="831">
        <v>0</v>
      </c>
      <c r="AJ21961" s="835">
        <v>41333</v>
      </c>
      <c r="AK21961" s="831">
        <v>0</v>
      </c>
    </row>
    <row r="21962" spans="32:37">
      <c r="AF21962" s="831" t="s">
        <v>10777</v>
      </c>
      <c r="AG21962" s="831" t="s">
        <v>2674</v>
      </c>
      <c r="AH21962" s="831" t="s">
        <v>551</v>
      </c>
      <c r="AI21962" s="831">
        <v>0</v>
      </c>
      <c r="AJ21962" s="835">
        <v>41333</v>
      </c>
      <c r="AK21962" s="831">
        <v>1930398</v>
      </c>
    </row>
    <row r="21963" spans="32:37">
      <c r="AF21963" s="831" t="s">
        <v>10778</v>
      </c>
      <c r="AG21963" s="831" t="s">
        <v>2674</v>
      </c>
      <c r="AH21963" s="831" t="s">
        <v>550</v>
      </c>
      <c r="AI21963" s="831">
        <v>0</v>
      </c>
      <c r="AJ21963" s="835">
        <v>41333</v>
      </c>
      <c r="AK21963" s="831">
        <v>96883184</v>
      </c>
    </row>
    <row r="21964" spans="32:37">
      <c r="AF21964" s="831" t="s">
        <v>10779</v>
      </c>
      <c r="AG21964" s="831" t="s">
        <v>2674</v>
      </c>
      <c r="AH21964" s="831" t="s">
        <v>562</v>
      </c>
      <c r="AI21964" s="831">
        <v>0</v>
      </c>
      <c r="AJ21964" s="835">
        <v>41333</v>
      </c>
      <c r="AK21964" s="831">
        <v>0.78434999999999999</v>
      </c>
    </row>
    <row r="21965" spans="32:37">
      <c r="AF21965" s="831" t="s">
        <v>10780</v>
      </c>
      <c r="AG21965" s="831" t="s">
        <v>2674</v>
      </c>
      <c r="AH21965" s="831" t="s">
        <v>2698</v>
      </c>
      <c r="AI21965" s="831">
        <v>0</v>
      </c>
      <c r="AJ21965" s="835">
        <v>41333</v>
      </c>
      <c r="AK21965" s="831">
        <v>0.78385000000000005</v>
      </c>
    </row>
    <row r="21966" spans="32:37">
      <c r="AF21966" s="831" t="s">
        <v>10781</v>
      </c>
      <c r="AG21966" s="831" t="s">
        <v>2674</v>
      </c>
      <c r="AH21966" s="831" t="s">
        <v>560</v>
      </c>
      <c r="AI21966" s="831">
        <v>0</v>
      </c>
      <c r="AJ21966" s="835">
        <v>41333</v>
      </c>
      <c r="AK21966" s="831">
        <v>0.78410000000000002</v>
      </c>
    </row>
    <row r="21967" spans="32:37">
      <c r="AF21967" s="831" t="s">
        <v>10782</v>
      </c>
      <c r="AG21967" s="831" t="s">
        <v>2674</v>
      </c>
      <c r="AH21967" s="831" t="s">
        <v>559</v>
      </c>
      <c r="AI21967" s="831">
        <v>0</v>
      </c>
      <c r="AJ21967" s="835">
        <v>41333</v>
      </c>
      <c r="AK21967" s="831">
        <v>0.78474583333333314</v>
      </c>
    </row>
    <row r="21968" spans="32:37">
      <c r="AF21968" s="831" t="s">
        <v>10783</v>
      </c>
      <c r="AG21968" s="831" t="s">
        <v>2674</v>
      </c>
      <c r="AH21968" s="831" t="s">
        <v>568</v>
      </c>
      <c r="AI21968" s="831">
        <v>0</v>
      </c>
      <c r="AJ21968" s="835">
        <v>41333</v>
      </c>
      <c r="AK21968" s="831">
        <v>380181038.5</v>
      </c>
    </row>
    <row r="21969" spans="32:37">
      <c r="AF21969" s="831" t="s">
        <v>10784</v>
      </c>
      <c r="AG21969" s="831" t="s">
        <v>2674</v>
      </c>
      <c r="AH21969" s="831" t="s">
        <v>569</v>
      </c>
      <c r="AI21969" s="831">
        <v>0</v>
      </c>
      <c r="AJ21969" s="835">
        <v>41333</v>
      </c>
      <c r="AK21969" s="831">
        <v>465288979.30000001</v>
      </c>
    </row>
    <row r="21970" spans="32:37">
      <c r="AF21970" s="831" t="s">
        <v>10785</v>
      </c>
      <c r="AG21970" s="831" t="s">
        <v>2674</v>
      </c>
      <c r="AH21970" s="831" t="s">
        <v>570</v>
      </c>
      <c r="AI21970" s="831">
        <v>0</v>
      </c>
      <c r="AJ21970" s="835">
        <v>41333</v>
      </c>
      <c r="AK21970" s="831">
        <v>96636190.400000006</v>
      </c>
    </row>
    <row r="21971" spans="32:37">
      <c r="AF21971" s="831" t="s">
        <v>10786</v>
      </c>
      <c r="AG21971" s="831" t="s">
        <v>2674</v>
      </c>
      <c r="AH21971" s="831" t="s">
        <v>571</v>
      </c>
      <c r="AI21971" s="831">
        <v>0</v>
      </c>
      <c r="AJ21971" s="835">
        <v>41333</v>
      </c>
      <c r="AK21971" s="831">
        <v>192024019</v>
      </c>
    </row>
    <row r="21972" spans="32:37">
      <c r="AF21972" s="831" t="s">
        <v>10787</v>
      </c>
      <c r="AG21972" s="831" t="s">
        <v>2674</v>
      </c>
      <c r="AH21972" s="831" t="s">
        <v>573</v>
      </c>
      <c r="AI21972" s="831">
        <v>0</v>
      </c>
      <c r="AJ21972" s="835">
        <v>41333</v>
      </c>
      <c r="AK21972" s="831">
        <v>516277615.33333331</v>
      </c>
    </row>
    <row r="21973" spans="32:37">
      <c r="AF21973" s="831" t="s">
        <v>10788</v>
      </c>
      <c r="AG21973" s="831" t="s">
        <v>2674</v>
      </c>
      <c r="AH21973" s="831" t="s">
        <v>574</v>
      </c>
      <c r="AI21973" s="831">
        <v>0</v>
      </c>
      <c r="AJ21973" s="835">
        <v>41333</v>
      </c>
      <c r="AK21973" s="831">
        <v>423329336.66666669</v>
      </c>
    </row>
    <row r="21974" spans="32:37">
      <c r="AF21974" s="831" t="s">
        <v>10789</v>
      </c>
      <c r="AG21974" s="831" t="s">
        <v>2674</v>
      </c>
      <c r="AH21974" s="831" t="s">
        <v>575</v>
      </c>
      <c r="AI21974" s="831">
        <v>0</v>
      </c>
      <c r="AJ21974" s="835">
        <v>41333</v>
      </c>
      <c r="AK21974" s="831">
        <v>98875722</v>
      </c>
    </row>
    <row r="21975" spans="32:37">
      <c r="AF21975" s="831" t="s">
        <v>10790</v>
      </c>
      <c r="AG21975" s="831" t="s">
        <v>2674</v>
      </c>
      <c r="AH21975" s="831" t="s">
        <v>576</v>
      </c>
      <c r="AI21975" s="831">
        <v>0</v>
      </c>
      <c r="AJ21975" s="835">
        <v>41333</v>
      </c>
      <c r="AK21975" s="831">
        <v>233427024</v>
      </c>
    </row>
    <row r="21976" spans="32:37">
      <c r="AF21976" s="831" t="s">
        <v>10791</v>
      </c>
      <c r="AG21976" s="831" t="s">
        <v>2674</v>
      </c>
      <c r="AH21976" s="831" t="s">
        <v>572</v>
      </c>
      <c r="AI21976" s="831">
        <v>0</v>
      </c>
      <c r="AJ21976" s="835">
        <v>41333</v>
      </c>
      <c r="AK21976" s="831">
        <v>-2146826246</v>
      </c>
    </row>
    <row r="21977" spans="32:37">
      <c r="AF21977" s="831" t="s">
        <v>10792</v>
      </c>
      <c r="AG21977" s="831" t="s">
        <v>2674</v>
      </c>
      <c r="AH21977" s="831" t="s">
        <v>577</v>
      </c>
      <c r="AI21977" s="831">
        <v>0</v>
      </c>
      <c r="AJ21977" s="835">
        <v>41333</v>
      </c>
      <c r="AK21977" s="831">
        <v>-2146826246</v>
      </c>
    </row>
    <row r="21978" spans="32:37">
      <c r="AF21978" s="831" t="s">
        <v>10793</v>
      </c>
      <c r="AG21978" s="831" t="s">
        <v>2674</v>
      </c>
      <c r="AH21978" s="831" t="s">
        <v>3042</v>
      </c>
      <c r="AI21978" s="831">
        <v>0</v>
      </c>
      <c r="AJ21978" s="835">
        <v>41333</v>
      </c>
      <c r="AK21978" s="831">
        <v>-2146826246</v>
      </c>
    </row>
    <row r="21979" spans="32:37">
      <c r="AF21979" s="831" t="s">
        <v>10794</v>
      </c>
      <c r="AG21979" s="831" t="s">
        <v>2674</v>
      </c>
      <c r="AH21979" s="831" t="s">
        <v>3044</v>
      </c>
      <c r="AI21979" s="831">
        <v>0</v>
      </c>
      <c r="AJ21979" s="835">
        <v>41333</v>
      </c>
      <c r="AK21979" s="831">
        <v>-2146826246</v>
      </c>
    </row>
    <row r="21980" spans="32:37">
      <c r="AF21980" s="831" t="s">
        <v>10795</v>
      </c>
      <c r="AG21980" s="831" t="s">
        <v>2674</v>
      </c>
      <c r="AH21980" s="831" t="s">
        <v>580</v>
      </c>
      <c r="AI21980" s="831">
        <v>0</v>
      </c>
      <c r="AJ21980" s="835">
        <v>41333</v>
      </c>
      <c r="AK21980" s="831">
        <v>-2146826246</v>
      </c>
    </row>
    <row r="21981" spans="32:37">
      <c r="AF21981" s="831" t="s">
        <v>10796</v>
      </c>
      <c r="AG21981" s="831" t="s">
        <v>2674</v>
      </c>
      <c r="AH21981" s="831" t="s">
        <v>581</v>
      </c>
      <c r="AI21981" s="831">
        <v>0</v>
      </c>
      <c r="AJ21981" s="835">
        <v>41333</v>
      </c>
      <c r="AK21981" s="831">
        <v>-2146826246</v>
      </c>
    </row>
    <row r="21982" spans="32:37">
      <c r="AF21982" s="831" t="s">
        <v>10797</v>
      </c>
      <c r="AG21982" s="831" t="s">
        <v>2674</v>
      </c>
      <c r="AH21982" s="831" t="s">
        <v>105</v>
      </c>
      <c r="AI21982" s="831">
        <v>0</v>
      </c>
      <c r="AJ21982" s="835">
        <v>41333</v>
      </c>
      <c r="AK21982" s="831">
        <v>232996335</v>
      </c>
    </row>
    <row r="21983" spans="32:37">
      <c r="AF21983" s="831" t="s">
        <v>10798</v>
      </c>
      <c r="AG21983" s="831" t="s">
        <v>2674</v>
      </c>
      <c r="AH21983" s="831" t="s">
        <v>3049</v>
      </c>
      <c r="AI21983" s="831">
        <v>0</v>
      </c>
      <c r="AJ21983" s="835">
        <v>41333</v>
      </c>
      <c r="AK21983" s="831">
        <v>409742104</v>
      </c>
    </row>
    <row r="21984" spans="32:37">
      <c r="AF21984" s="831" t="s">
        <v>10799</v>
      </c>
      <c r="AG21984" s="831" t="s">
        <v>2674</v>
      </c>
      <c r="AH21984" s="831" t="s">
        <v>103</v>
      </c>
      <c r="AI21984" s="831">
        <v>0</v>
      </c>
      <c r="AJ21984" s="835">
        <v>41333</v>
      </c>
      <c r="AK21984" s="831">
        <v>176745769</v>
      </c>
    </row>
    <row r="21985" spans="32:37">
      <c r="AF21985" s="831" t="s">
        <v>10800</v>
      </c>
      <c r="AG21985" s="831" t="s">
        <v>2674</v>
      </c>
      <c r="AH21985" s="831" t="s">
        <v>182</v>
      </c>
      <c r="AI21985" s="831">
        <v>0</v>
      </c>
      <c r="AJ21985" s="835">
        <v>41333</v>
      </c>
      <c r="AK21985" s="831">
        <v>55637232</v>
      </c>
    </row>
    <row r="21986" spans="32:37">
      <c r="AF21986" s="831" t="s">
        <v>10801</v>
      </c>
      <c r="AG21986" s="831" t="s">
        <v>2674</v>
      </c>
      <c r="AH21986" s="831" t="s">
        <v>6600</v>
      </c>
      <c r="AI21986" s="831">
        <v>0</v>
      </c>
      <c r="AJ21986" s="835">
        <v>41333</v>
      </c>
      <c r="AK21986" s="831">
        <v>-2146826246</v>
      </c>
    </row>
    <row r="21987" spans="32:37">
      <c r="AF21987" s="831" t="s">
        <v>10802</v>
      </c>
      <c r="AG21987" s="831" t="s">
        <v>2674</v>
      </c>
      <c r="AH21987" s="831" t="s">
        <v>6602</v>
      </c>
      <c r="AI21987" s="831">
        <v>0</v>
      </c>
      <c r="AJ21987" s="835">
        <v>41333</v>
      </c>
      <c r="AK21987" s="831">
        <v>3817884</v>
      </c>
    </row>
    <row r="21988" spans="32:37">
      <c r="AF21988" s="831" t="s">
        <v>10803</v>
      </c>
      <c r="AG21988" s="831" t="s">
        <v>2674</v>
      </c>
      <c r="AH21988" s="831" t="s">
        <v>650</v>
      </c>
      <c r="AI21988" s="831">
        <v>0</v>
      </c>
      <c r="AJ21988" s="835">
        <v>41333</v>
      </c>
      <c r="AK21988" s="831">
        <v>163723555.30000001</v>
      </c>
    </row>
    <row r="21989" spans="32:37">
      <c r="AF21989" s="831" t="s">
        <v>10804</v>
      </c>
      <c r="AG21989" s="831" t="s">
        <v>2674</v>
      </c>
      <c r="AH21989" s="831" t="s">
        <v>655</v>
      </c>
      <c r="AI21989" s="831">
        <v>0</v>
      </c>
      <c r="AJ21989" s="835">
        <v>41333</v>
      </c>
      <c r="AK21989" s="831">
        <v>1851569</v>
      </c>
    </row>
    <row r="21990" spans="32:37">
      <c r="AF21990" s="831" t="s">
        <v>10805</v>
      </c>
      <c r="AG21990" s="831" t="s">
        <v>2674</v>
      </c>
      <c r="AH21990" s="831" t="s">
        <v>546</v>
      </c>
      <c r="AI21990" s="831">
        <v>0</v>
      </c>
      <c r="AJ21990" s="835">
        <v>41364</v>
      </c>
      <c r="AK21990" s="831">
        <v>455655641</v>
      </c>
    </row>
    <row r="21991" spans="32:37">
      <c r="AF21991" s="831" t="s">
        <v>10806</v>
      </c>
      <c r="AG21991" s="831" t="s">
        <v>2674</v>
      </c>
      <c r="AH21991" s="831" t="s">
        <v>370</v>
      </c>
      <c r="AI21991" s="831">
        <v>0</v>
      </c>
      <c r="AJ21991" s="835">
        <v>41364</v>
      </c>
      <c r="AK21991" s="831">
        <v>548973661</v>
      </c>
    </row>
    <row r="21992" spans="32:37">
      <c r="AF21992" s="831" t="s">
        <v>10807</v>
      </c>
      <c r="AG21992" s="831" t="s">
        <v>2674</v>
      </c>
      <c r="AH21992" s="831" t="s">
        <v>126</v>
      </c>
      <c r="AI21992" s="831">
        <v>0</v>
      </c>
      <c r="AJ21992" s="835">
        <v>41364</v>
      </c>
      <c r="AK21992" s="831">
        <v>100809389</v>
      </c>
    </row>
    <row r="21993" spans="32:37">
      <c r="AF21993" s="831" t="s">
        <v>10808</v>
      </c>
      <c r="AG21993" s="831" t="s">
        <v>2674</v>
      </c>
      <c r="AH21993" s="831" t="s">
        <v>268</v>
      </c>
      <c r="AI21993" s="831">
        <v>0</v>
      </c>
      <c r="AJ21993" s="835">
        <v>41364</v>
      </c>
      <c r="AK21993" s="831">
        <v>6046166</v>
      </c>
    </row>
    <row r="21994" spans="32:37">
      <c r="AF21994" s="831" t="s">
        <v>10809</v>
      </c>
      <c r="AG21994" s="831" t="s">
        <v>2674</v>
      </c>
      <c r="AH21994" s="831" t="s">
        <v>547</v>
      </c>
      <c r="AI21994" s="831">
        <v>0</v>
      </c>
      <c r="AJ21994" s="835">
        <v>41364</v>
      </c>
      <c r="AK21994" s="831">
        <v>511487760</v>
      </c>
    </row>
    <row r="21995" spans="32:37">
      <c r="AF21995" s="831" t="s">
        <v>10810</v>
      </c>
      <c r="AG21995" s="831" t="s">
        <v>2674</v>
      </c>
      <c r="AH21995" s="831" t="s">
        <v>548</v>
      </c>
      <c r="AI21995" s="831">
        <v>0</v>
      </c>
      <c r="AJ21995" s="835">
        <v>41364</v>
      </c>
      <c r="AK21995" s="831">
        <v>96883184</v>
      </c>
    </row>
    <row r="21996" spans="32:37">
      <c r="AF21996" s="831" t="s">
        <v>10811</v>
      </c>
      <c r="AG21996" s="831" t="s">
        <v>2674</v>
      </c>
      <c r="AH21996" s="831" t="s">
        <v>549</v>
      </c>
      <c r="AI21996" s="831">
        <v>0</v>
      </c>
      <c r="AJ21996" s="835">
        <v>41364</v>
      </c>
      <c r="AK21996" s="831">
        <v>0</v>
      </c>
    </row>
    <row r="21997" spans="32:37">
      <c r="AF21997" s="831" t="s">
        <v>10812</v>
      </c>
      <c r="AG21997" s="831" t="s">
        <v>2674</v>
      </c>
      <c r="AH21997" s="831" t="s">
        <v>192</v>
      </c>
      <c r="AI21997" s="831">
        <v>0</v>
      </c>
      <c r="AJ21997" s="835">
        <v>41364</v>
      </c>
      <c r="AK21997" s="831">
        <v>-11725074</v>
      </c>
    </row>
    <row r="21998" spans="32:37">
      <c r="AF21998" s="831" t="s">
        <v>10813</v>
      </c>
      <c r="AG21998" s="831" t="s">
        <v>2674</v>
      </c>
      <c r="AH21998" s="831" t="s">
        <v>558</v>
      </c>
      <c r="AI21998" s="831">
        <v>0</v>
      </c>
      <c r="AJ21998" s="835">
        <v>41364</v>
      </c>
      <c r="AK21998" s="831">
        <v>448164272</v>
      </c>
    </row>
    <row r="21999" spans="32:37">
      <c r="AF21999" s="831" t="s">
        <v>10814</v>
      </c>
      <c r="AG21999" s="831" t="s">
        <v>2674</v>
      </c>
      <c r="AH21999" s="831" t="s">
        <v>65</v>
      </c>
      <c r="AI21999" s="831">
        <v>0</v>
      </c>
      <c r="AJ21999" s="835">
        <v>41364</v>
      </c>
      <c r="AK21999" s="831">
        <v>27883165</v>
      </c>
    </row>
    <row r="22000" spans="32:37">
      <c r="AF22000" s="831" t="s">
        <v>10815</v>
      </c>
      <c r="AG22000" s="831" t="s">
        <v>2674</v>
      </c>
      <c r="AH22000" s="831" t="s">
        <v>89</v>
      </c>
      <c r="AI22000" s="831">
        <v>0</v>
      </c>
      <c r="AJ22000" s="835">
        <v>41364</v>
      </c>
      <c r="AK22000" s="831">
        <v>129296</v>
      </c>
    </row>
    <row r="22001" spans="32:37">
      <c r="AF22001" s="831" t="s">
        <v>10816</v>
      </c>
      <c r="AG22001" s="831" t="s">
        <v>2674</v>
      </c>
      <c r="AH22001" s="831" t="s">
        <v>557</v>
      </c>
      <c r="AI22001" s="831">
        <v>0</v>
      </c>
      <c r="AJ22001" s="835">
        <v>41364</v>
      </c>
      <c r="AK22001" s="831">
        <v>133005</v>
      </c>
    </row>
    <row r="22002" spans="32:37">
      <c r="AF22002" s="831" t="s">
        <v>10817</v>
      </c>
      <c r="AG22002" s="831" t="s">
        <v>2674</v>
      </c>
      <c r="AH22002" s="831" t="s">
        <v>29</v>
      </c>
      <c r="AI22002" s="831">
        <v>0</v>
      </c>
      <c r="AJ22002" s="835">
        <v>41364</v>
      </c>
      <c r="AK22002" s="831">
        <v>2674773</v>
      </c>
    </row>
    <row r="22003" spans="32:37">
      <c r="AF22003" s="831" t="s">
        <v>10818</v>
      </c>
      <c r="AG22003" s="831" t="s">
        <v>2674</v>
      </c>
      <c r="AH22003" s="831" t="s">
        <v>2688</v>
      </c>
      <c r="AI22003" s="831">
        <v>0</v>
      </c>
      <c r="AJ22003" s="835">
        <v>41364</v>
      </c>
      <c r="AK22003" s="831">
        <v>2715490</v>
      </c>
    </row>
    <row r="22004" spans="32:37">
      <c r="AF22004" s="831" t="s">
        <v>10819</v>
      </c>
      <c r="AG22004" s="831" t="s">
        <v>2674</v>
      </c>
      <c r="AH22004" s="831" t="s">
        <v>556</v>
      </c>
      <c r="AI22004" s="831">
        <v>0</v>
      </c>
      <c r="AJ22004" s="835">
        <v>41364</v>
      </c>
      <c r="AK22004" s="831">
        <v>902857</v>
      </c>
    </row>
    <row r="22005" spans="32:37">
      <c r="AF22005" s="831" t="s">
        <v>10820</v>
      </c>
      <c r="AG22005" s="831" t="s">
        <v>2674</v>
      </c>
      <c r="AH22005" s="831" t="s">
        <v>555</v>
      </c>
      <c r="AI22005" s="831">
        <v>0</v>
      </c>
      <c r="AJ22005" s="835">
        <v>41364</v>
      </c>
      <c r="AK22005" s="831">
        <v>285158930</v>
      </c>
    </row>
    <row r="22006" spans="32:37">
      <c r="AF22006" s="831" t="s">
        <v>10821</v>
      </c>
      <c r="AG22006" s="831" t="s">
        <v>2674</v>
      </c>
      <c r="AH22006" s="831" t="s">
        <v>554</v>
      </c>
      <c r="AI22006" s="831">
        <v>0</v>
      </c>
      <c r="AJ22006" s="835">
        <v>41364</v>
      </c>
      <c r="AK22006" s="831">
        <v>281381290</v>
      </c>
    </row>
    <row r="22007" spans="32:37">
      <c r="AF22007" s="831" t="s">
        <v>10822</v>
      </c>
      <c r="AG22007" s="831" t="s">
        <v>2674</v>
      </c>
      <c r="AH22007" s="831" t="s">
        <v>553</v>
      </c>
      <c r="AI22007" s="831">
        <v>0</v>
      </c>
      <c r="AJ22007" s="835">
        <v>41364</v>
      </c>
      <c r="AK22007" s="831">
        <v>0</v>
      </c>
    </row>
    <row r="22008" spans="32:37">
      <c r="AF22008" s="831" t="s">
        <v>10823</v>
      </c>
      <c r="AG22008" s="831" t="s">
        <v>2674</v>
      </c>
      <c r="AH22008" s="831" t="s">
        <v>552</v>
      </c>
      <c r="AI22008" s="831">
        <v>0</v>
      </c>
      <c r="AJ22008" s="835">
        <v>41364</v>
      </c>
      <c r="AK22008" s="831">
        <v>0</v>
      </c>
    </row>
    <row r="22009" spans="32:37">
      <c r="AF22009" s="831" t="s">
        <v>10824</v>
      </c>
      <c r="AG22009" s="831" t="s">
        <v>2674</v>
      </c>
      <c r="AH22009" s="831" t="s">
        <v>551</v>
      </c>
      <c r="AI22009" s="831">
        <v>0</v>
      </c>
      <c r="AJ22009" s="835">
        <v>41364</v>
      </c>
      <c r="AK22009" s="831">
        <v>2175856</v>
      </c>
    </row>
    <row r="22010" spans="32:37">
      <c r="AF22010" s="831" t="s">
        <v>10825</v>
      </c>
      <c r="AG22010" s="831" t="s">
        <v>2674</v>
      </c>
      <c r="AH22010" s="831" t="s">
        <v>550</v>
      </c>
      <c r="AI22010" s="831">
        <v>0</v>
      </c>
      <c r="AJ22010" s="835">
        <v>41364</v>
      </c>
      <c r="AK22010" s="831">
        <v>98581107</v>
      </c>
    </row>
    <row r="22011" spans="32:37">
      <c r="AF22011" s="831" t="s">
        <v>10826</v>
      </c>
      <c r="AG22011" s="831" t="s">
        <v>2674</v>
      </c>
      <c r="AH22011" s="831" t="s">
        <v>562</v>
      </c>
      <c r="AI22011" s="831">
        <v>0</v>
      </c>
      <c r="AJ22011" s="835">
        <v>41364</v>
      </c>
      <c r="AK22011" s="831">
        <v>0.78425</v>
      </c>
    </row>
    <row r="22012" spans="32:37">
      <c r="AF22012" s="831" t="s">
        <v>10827</v>
      </c>
      <c r="AG22012" s="831" t="s">
        <v>2674</v>
      </c>
      <c r="AH22012" s="831" t="s">
        <v>2698</v>
      </c>
      <c r="AI22012" s="831">
        <v>0</v>
      </c>
      <c r="AJ22012" s="835">
        <v>41364</v>
      </c>
      <c r="AK22012" s="831">
        <v>0.78434999999999999</v>
      </c>
    </row>
    <row r="22013" spans="32:37">
      <c r="AF22013" s="831" t="s">
        <v>10828</v>
      </c>
      <c r="AG22013" s="831" t="s">
        <v>2674</v>
      </c>
      <c r="AH22013" s="831" t="s">
        <v>560</v>
      </c>
      <c r="AI22013" s="831">
        <v>0</v>
      </c>
      <c r="AJ22013" s="835">
        <v>41364</v>
      </c>
      <c r="AK22013" s="831">
        <v>0.78415000000000001</v>
      </c>
    </row>
    <row r="22014" spans="32:37">
      <c r="AF22014" s="831" t="s">
        <v>10829</v>
      </c>
      <c r="AG22014" s="831" t="s">
        <v>2674</v>
      </c>
      <c r="AH22014" s="831" t="s">
        <v>559</v>
      </c>
      <c r="AI22014" s="831">
        <v>0</v>
      </c>
      <c r="AJ22014" s="835">
        <v>41364</v>
      </c>
      <c r="AK22014" s="831">
        <v>0.78459166666666669</v>
      </c>
    </row>
    <row r="22015" spans="32:37">
      <c r="AF22015" s="831" t="s">
        <v>10830</v>
      </c>
      <c r="AG22015" s="831" t="s">
        <v>2674</v>
      </c>
      <c r="AH22015" s="831" t="s">
        <v>568</v>
      </c>
      <c r="AI22015" s="831">
        <v>0</v>
      </c>
      <c r="AJ22015" s="835">
        <v>41364</v>
      </c>
      <c r="AK22015" s="831">
        <v>387042366</v>
      </c>
    </row>
    <row r="22016" spans="32:37">
      <c r="AF22016" s="831" t="s">
        <v>10831</v>
      </c>
      <c r="AG22016" s="831" t="s">
        <v>2674</v>
      </c>
      <c r="AH22016" s="831" t="s">
        <v>569</v>
      </c>
      <c r="AI22016" s="831">
        <v>0</v>
      </c>
      <c r="AJ22016" s="835">
        <v>41364</v>
      </c>
      <c r="AK22016" s="831">
        <v>472896677.63636363</v>
      </c>
    </row>
    <row r="22017" spans="32:37">
      <c r="AF22017" s="831" t="s">
        <v>10832</v>
      </c>
      <c r="AG22017" s="831" t="s">
        <v>2674</v>
      </c>
      <c r="AH22017" s="831" t="s">
        <v>570</v>
      </c>
      <c r="AI22017" s="831">
        <v>0</v>
      </c>
      <c r="AJ22017" s="835">
        <v>41364</v>
      </c>
      <c r="AK22017" s="831">
        <v>97015572.090909094</v>
      </c>
    </row>
    <row r="22018" spans="32:37">
      <c r="AF22018" s="831" t="s">
        <v>10833</v>
      </c>
      <c r="AG22018" s="831" t="s">
        <v>2674</v>
      </c>
      <c r="AH22018" s="831" t="s">
        <v>571</v>
      </c>
      <c r="AI22018" s="831">
        <v>0</v>
      </c>
      <c r="AJ22018" s="835">
        <v>41364</v>
      </c>
      <c r="AK22018" s="831">
        <v>197450778.09090909</v>
      </c>
    </row>
    <row r="22019" spans="32:37">
      <c r="AF22019" s="831" t="s">
        <v>10834</v>
      </c>
      <c r="AG22019" s="831" t="s">
        <v>2674</v>
      </c>
      <c r="AH22019" s="831" t="s">
        <v>573</v>
      </c>
      <c r="AI22019" s="831">
        <v>0</v>
      </c>
      <c r="AJ22019" s="835">
        <v>41364</v>
      </c>
      <c r="AK22019" s="831">
        <v>524451626.75</v>
      </c>
    </row>
    <row r="22020" spans="32:37">
      <c r="AF22020" s="831" t="s">
        <v>10835</v>
      </c>
      <c r="AG22020" s="831" t="s">
        <v>2674</v>
      </c>
      <c r="AH22020" s="831" t="s">
        <v>574</v>
      </c>
      <c r="AI22020" s="831">
        <v>0</v>
      </c>
      <c r="AJ22020" s="835">
        <v>41364</v>
      </c>
      <c r="AK22020" s="831">
        <v>431410912.75</v>
      </c>
    </row>
    <row r="22021" spans="32:37">
      <c r="AF22021" s="831" t="s">
        <v>10836</v>
      </c>
      <c r="AG22021" s="831" t="s">
        <v>2674</v>
      </c>
      <c r="AH22021" s="831" t="s">
        <v>575</v>
      </c>
      <c r="AI22021" s="831">
        <v>0</v>
      </c>
      <c r="AJ22021" s="835">
        <v>41364</v>
      </c>
      <c r="AK22021" s="831">
        <v>99359138.75</v>
      </c>
    </row>
    <row r="22022" spans="32:37">
      <c r="AF22022" s="831" t="s">
        <v>10837</v>
      </c>
      <c r="AG22022" s="831" t="s">
        <v>2674</v>
      </c>
      <c r="AH22022" s="831" t="s">
        <v>576</v>
      </c>
      <c r="AI22022" s="831">
        <v>0</v>
      </c>
      <c r="AJ22022" s="835">
        <v>41364</v>
      </c>
      <c r="AK22022" s="831">
        <v>237999860.25</v>
      </c>
    </row>
    <row r="22023" spans="32:37">
      <c r="AF22023" s="831" t="s">
        <v>10838</v>
      </c>
      <c r="AG22023" s="831" t="s">
        <v>2674</v>
      </c>
      <c r="AH22023" s="831" t="s">
        <v>572</v>
      </c>
      <c r="AI22023" s="831">
        <v>0</v>
      </c>
      <c r="AJ22023" s="835">
        <v>41364</v>
      </c>
      <c r="AK22023" s="831">
        <v>-2146826246</v>
      </c>
    </row>
    <row r="22024" spans="32:37">
      <c r="AF22024" s="831" t="s">
        <v>10839</v>
      </c>
      <c r="AG22024" s="831" t="s">
        <v>2674</v>
      </c>
      <c r="AH22024" s="831" t="s">
        <v>577</v>
      </c>
      <c r="AI22024" s="831">
        <v>0</v>
      </c>
      <c r="AJ22024" s="835">
        <v>41364</v>
      </c>
      <c r="AK22024" s="831">
        <v>-2146826246</v>
      </c>
    </row>
    <row r="22025" spans="32:37">
      <c r="AF22025" s="831" t="s">
        <v>10840</v>
      </c>
      <c r="AG22025" s="831" t="s">
        <v>2674</v>
      </c>
      <c r="AH22025" s="831" t="s">
        <v>3042</v>
      </c>
      <c r="AI22025" s="831">
        <v>0</v>
      </c>
      <c r="AJ22025" s="835">
        <v>41364</v>
      </c>
      <c r="AK22025" s="831">
        <v>-2146826246</v>
      </c>
    </row>
    <row r="22026" spans="32:37">
      <c r="AF22026" s="831" t="s">
        <v>10841</v>
      </c>
      <c r="AG22026" s="831" t="s">
        <v>2674</v>
      </c>
      <c r="AH22026" s="831" t="s">
        <v>3044</v>
      </c>
      <c r="AI22026" s="831">
        <v>0</v>
      </c>
      <c r="AJ22026" s="835">
        <v>41364</v>
      </c>
      <c r="AK22026" s="831">
        <v>-2146826246</v>
      </c>
    </row>
    <row r="22027" spans="32:37">
      <c r="AF22027" s="831" t="s">
        <v>10842</v>
      </c>
      <c r="AG22027" s="831" t="s">
        <v>2674</v>
      </c>
      <c r="AH22027" s="831" t="s">
        <v>580</v>
      </c>
      <c r="AI22027" s="831">
        <v>0</v>
      </c>
      <c r="AJ22027" s="835">
        <v>41364</v>
      </c>
      <c r="AK22027" s="831">
        <v>-2146826246</v>
      </c>
    </row>
    <row r="22028" spans="32:37">
      <c r="AF22028" s="831" t="s">
        <v>10843</v>
      </c>
      <c r="AG22028" s="831" t="s">
        <v>2674</v>
      </c>
      <c r="AH22028" s="831" t="s">
        <v>581</v>
      </c>
      <c r="AI22028" s="831">
        <v>0</v>
      </c>
      <c r="AJ22028" s="835">
        <v>41364</v>
      </c>
      <c r="AK22028" s="831">
        <v>-2146826246</v>
      </c>
    </row>
    <row r="22029" spans="32:37">
      <c r="AF22029" s="831" t="s">
        <v>10844</v>
      </c>
      <c r="AG22029" s="831" t="s">
        <v>2674</v>
      </c>
      <c r="AH22029" s="831" t="s">
        <v>105</v>
      </c>
      <c r="AI22029" s="831">
        <v>0</v>
      </c>
      <c r="AJ22029" s="835">
        <v>41364</v>
      </c>
      <c r="AK22029" s="831">
        <v>251718369</v>
      </c>
    </row>
    <row r="22030" spans="32:37">
      <c r="AF22030" s="831" t="s">
        <v>10845</v>
      </c>
      <c r="AG22030" s="831" t="s">
        <v>2674</v>
      </c>
      <c r="AH22030" s="831" t="s">
        <v>3049</v>
      </c>
      <c r="AI22030" s="831">
        <v>0</v>
      </c>
      <c r="AJ22030" s="835">
        <v>41364</v>
      </c>
      <c r="AK22030" s="831">
        <v>433573874</v>
      </c>
    </row>
    <row r="22031" spans="32:37">
      <c r="AF22031" s="831" t="s">
        <v>10846</v>
      </c>
      <c r="AG22031" s="831" t="s">
        <v>2674</v>
      </c>
      <c r="AH22031" s="831" t="s">
        <v>103</v>
      </c>
      <c r="AI22031" s="831">
        <v>0</v>
      </c>
      <c r="AJ22031" s="835">
        <v>41364</v>
      </c>
      <c r="AK22031" s="831">
        <v>181855505</v>
      </c>
    </row>
    <row r="22032" spans="32:37">
      <c r="AF22032" s="831" t="s">
        <v>10847</v>
      </c>
      <c r="AG22032" s="831" t="s">
        <v>2674</v>
      </c>
      <c r="AH22032" s="831" t="s">
        <v>182</v>
      </c>
      <c r="AI22032" s="831">
        <v>0</v>
      </c>
      <c r="AJ22032" s="835">
        <v>41364</v>
      </c>
      <c r="AK22032" s="831">
        <v>54931936</v>
      </c>
    </row>
    <row r="22033" spans="32:37">
      <c r="AF22033" s="831" t="s">
        <v>10848</v>
      </c>
      <c r="AG22033" s="831" t="s">
        <v>2674</v>
      </c>
      <c r="AH22033" s="831" t="s">
        <v>6600</v>
      </c>
      <c r="AI22033" s="831">
        <v>0</v>
      </c>
      <c r="AJ22033" s="835">
        <v>41364</v>
      </c>
      <c r="AK22033" s="831">
        <v>-2146826246</v>
      </c>
    </row>
    <row r="22034" spans="32:37">
      <c r="AF22034" s="831" t="s">
        <v>10849</v>
      </c>
      <c r="AG22034" s="831" t="s">
        <v>2674</v>
      </c>
      <c r="AH22034" s="831" t="s">
        <v>6602</v>
      </c>
      <c r="AI22034" s="831">
        <v>0</v>
      </c>
      <c r="AJ22034" s="835">
        <v>41364</v>
      </c>
      <c r="AK22034" s="831">
        <v>6046166</v>
      </c>
    </row>
    <row r="22035" spans="32:37">
      <c r="AF22035" s="831" t="s">
        <v>10850</v>
      </c>
      <c r="AG22035" s="831" t="s">
        <v>2674</v>
      </c>
      <c r="AH22035" s="831" t="s">
        <v>650</v>
      </c>
      <c r="AI22035" s="831">
        <v>0</v>
      </c>
      <c r="AJ22035" s="835">
        <v>41364</v>
      </c>
      <c r="AK22035" s="831">
        <v>165371914.36363637</v>
      </c>
    </row>
    <row r="22036" spans="32:37">
      <c r="AF22036" s="831" t="s">
        <v>10851</v>
      </c>
      <c r="AG22036" s="831" t="s">
        <v>2674</v>
      </c>
      <c r="AH22036" s="831" t="s">
        <v>655</v>
      </c>
      <c r="AI22036" s="831">
        <v>0</v>
      </c>
      <c r="AJ22036" s="835">
        <v>41364</v>
      </c>
      <c r="AK22036" s="831">
        <v>1831184</v>
      </c>
    </row>
    <row r="22037" spans="32:37">
      <c r="AF22037" s="831" t="s">
        <v>10852</v>
      </c>
      <c r="AG22037" s="831" t="s">
        <v>2674</v>
      </c>
      <c r="AH22037" s="831" t="s">
        <v>546</v>
      </c>
      <c r="AI22037" s="831">
        <v>0</v>
      </c>
      <c r="AJ22037" s="835">
        <v>41394</v>
      </c>
      <c r="AK22037" s="831">
        <v>479771222</v>
      </c>
    </row>
    <row r="22038" spans="32:37">
      <c r="AF22038" s="831" t="s">
        <v>10853</v>
      </c>
      <c r="AG22038" s="831" t="s">
        <v>2674</v>
      </c>
      <c r="AH22038" s="831" t="s">
        <v>370</v>
      </c>
      <c r="AI22038" s="831">
        <v>0</v>
      </c>
      <c r="AJ22038" s="835">
        <v>41394</v>
      </c>
      <c r="AK22038" s="831">
        <v>566329383</v>
      </c>
    </row>
    <row r="22039" spans="32:37">
      <c r="AF22039" s="831" t="s">
        <v>10854</v>
      </c>
      <c r="AG22039" s="831" t="s">
        <v>2674</v>
      </c>
      <c r="AH22039" s="831" t="s">
        <v>126</v>
      </c>
      <c r="AI22039" s="831">
        <v>0</v>
      </c>
      <c r="AJ22039" s="835">
        <v>41394</v>
      </c>
      <c r="AK22039" s="831">
        <v>103327866</v>
      </c>
    </row>
    <row r="22040" spans="32:37">
      <c r="AF22040" s="831" t="s">
        <v>10855</v>
      </c>
      <c r="AG22040" s="831" t="s">
        <v>2674</v>
      </c>
      <c r="AH22040" s="831" t="s">
        <v>268</v>
      </c>
      <c r="AI22040" s="831">
        <v>0</v>
      </c>
      <c r="AJ22040" s="835">
        <v>41394</v>
      </c>
      <c r="AK22040" s="831">
        <v>8564643</v>
      </c>
    </row>
    <row r="22041" spans="32:37">
      <c r="AF22041" s="831" t="s">
        <v>10856</v>
      </c>
      <c r="AG22041" s="831" t="s">
        <v>2674</v>
      </c>
      <c r="AH22041" s="831" t="s">
        <v>547</v>
      </c>
      <c r="AI22041" s="831">
        <v>0</v>
      </c>
      <c r="AJ22041" s="835">
        <v>41394</v>
      </c>
      <c r="AK22041" s="831">
        <v>511487760</v>
      </c>
    </row>
    <row r="22042" spans="32:37">
      <c r="AF22042" s="831" t="s">
        <v>10857</v>
      </c>
      <c r="AG22042" s="831" t="s">
        <v>2674</v>
      </c>
      <c r="AH22042" s="831" t="s">
        <v>548</v>
      </c>
      <c r="AI22042" s="831">
        <v>0</v>
      </c>
      <c r="AJ22042" s="835">
        <v>41394</v>
      </c>
      <c r="AK22042" s="831">
        <v>96883184</v>
      </c>
    </row>
    <row r="22043" spans="32:37">
      <c r="AF22043" s="831" t="s">
        <v>10858</v>
      </c>
      <c r="AG22043" s="831" t="s">
        <v>2674</v>
      </c>
      <c r="AH22043" s="831" t="s">
        <v>549</v>
      </c>
      <c r="AI22043" s="831">
        <v>0</v>
      </c>
      <c r="AJ22043" s="835">
        <v>41394</v>
      </c>
      <c r="AK22043" s="831">
        <v>0</v>
      </c>
    </row>
    <row r="22044" spans="32:37">
      <c r="AF22044" s="831" t="s">
        <v>10859</v>
      </c>
      <c r="AG22044" s="831" t="s">
        <v>2674</v>
      </c>
      <c r="AH22044" s="831" t="s">
        <v>192</v>
      </c>
      <c r="AI22044" s="831">
        <v>0</v>
      </c>
      <c r="AJ22044" s="835">
        <v>41394</v>
      </c>
      <c r="AK22044" s="831">
        <v>-12137335</v>
      </c>
    </row>
    <row r="22045" spans="32:37">
      <c r="AF22045" s="831" t="s">
        <v>10860</v>
      </c>
      <c r="AG22045" s="831" t="s">
        <v>2674</v>
      </c>
      <c r="AH22045" s="831" t="s">
        <v>558</v>
      </c>
      <c r="AI22045" s="831">
        <v>0</v>
      </c>
      <c r="AJ22045" s="835">
        <v>41394</v>
      </c>
      <c r="AK22045" s="831">
        <v>463001517</v>
      </c>
    </row>
    <row r="22046" spans="32:37">
      <c r="AF22046" s="831" t="s">
        <v>10861</v>
      </c>
      <c r="AG22046" s="831" t="s">
        <v>2674</v>
      </c>
      <c r="AH22046" s="831" t="s">
        <v>65</v>
      </c>
      <c r="AI22046" s="831">
        <v>0</v>
      </c>
      <c r="AJ22046" s="835">
        <v>41394</v>
      </c>
      <c r="AK22046" s="831">
        <v>38829477</v>
      </c>
    </row>
    <row r="22047" spans="32:37">
      <c r="AF22047" s="831" t="s">
        <v>10862</v>
      </c>
      <c r="AG22047" s="831" t="s">
        <v>2674</v>
      </c>
      <c r="AH22047" s="831" t="s">
        <v>89</v>
      </c>
      <c r="AI22047" s="831">
        <v>0</v>
      </c>
      <c r="AJ22047" s="835">
        <v>41394</v>
      </c>
      <c r="AK22047" s="831">
        <v>132126</v>
      </c>
    </row>
    <row r="22048" spans="32:37">
      <c r="AF22048" s="831" t="s">
        <v>10863</v>
      </c>
      <c r="AG22048" s="831" t="s">
        <v>2674</v>
      </c>
      <c r="AH22048" s="831" t="s">
        <v>557</v>
      </c>
      <c r="AI22048" s="831">
        <v>0</v>
      </c>
      <c r="AJ22048" s="835">
        <v>41394</v>
      </c>
      <c r="AK22048" s="831">
        <v>135969</v>
      </c>
    </row>
    <row r="22049" spans="32:37">
      <c r="AF22049" s="831" t="s">
        <v>10864</v>
      </c>
      <c r="AG22049" s="831" t="s">
        <v>2674</v>
      </c>
      <c r="AH22049" s="831" t="s">
        <v>29</v>
      </c>
      <c r="AI22049" s="831">
        <v>0</v>
      </c>
      <c r="AJ22049" s="835">
        <v>41394</v>
      </c>
      <c r="AK22049" s="831">
        <v>3183810</v>
      </c>
    </row>
    <row r="22050" spans="32:37">
      <c r="AF22050" s="831" t="s">
        <v>10865</v>
      </c>
      <c r="AG22050" s="831" t="s">
        <v>2674</v>
      </c>
      <c r="AH22050" s="831" t="s">
        <v>2688</v>
      </c>
      <c r="AI22050" s="831">
        <v>0</v>
      </c>
      <c r="AJ22050" s="835">
        <v>41394</v>
      </c>
      <c r="AK22050" s="831">
        <v>2795249</v>
      </c>
    </row>
    <row r="22051" spans="32:37">
      <c r="AF22051" s="831" t="s">
        <v>10866</v>
      </c>
      <c r="AG22051" s="831" t="s">
        <v>2674</v>
      </c>
      <c r="AH22051" s="831" t="s">
        <v>556</v>
      </c>
      <c r="AI22051" s="831">
        <v>0</v>
      </c>
      <c r="AJ22051" s="835">
        <v>41394</v>
      </c>
      <c r="AK22051" s="831">
        <v>902857</v>
      </c>
    </row>
    <row r="22052" spans="32:37">
      <c r="AF22052" s="831" t="s">
        <v>10867</v>
      </c>
      <c r="AG22052" s="831" t="s">
        <v>2674</v>
      </c>
      <c r="AH22052" s="831" t="s">
        <v>555</v>
      </c>
      <c r="AI22052" s="831">
        <v>0</v>
      </c>
      <c r="AJ22052" s="835">
        <v>41394</v>
      </c>
      <c r="AK22052" s="831">
        <v>292199280</v>
      </c>
    </row>
    <row r="22053" spans="32:37">
      <c r="AF22053" s="831" t="s">
        <v>10868</v>
      </c>
      <c r="AG22053" s="831" t="s">
        <v>2674</v>
      </c>
      <c r="AH22053" s="831" t="s">
        <v>554</v>
      </c>
      <c r="AI22053" s="831">
        <v>0</v>
      </c>
      <c r="AJ22053" s="835">
        <v>41394</v>
      </c>
      <c r="AK22053" s="831">
        <v>282835760</v>
      </c>
    </row>
    <row r="22054" spans="32:37">
      <c r="AF22054" s="831" t="s">
        <v>10869</v>
      </c>
      <c r="AG22054" s="831" t="s">
        <v>2674</v>
      </c>
      <c r="AH22054" s="831" t="s">
        <v>553</v>
      </c>
      <c r="AI22054" s="831">
        <v>0</v>
      </c>
      <c r="AJ22054" s="835">
        <v>41394</v>
      </c>
      <c r="AK22054" s="831">
        <v>0</v>
      </c>
    </row>
    <row r="22055" spans="32:37">
      <c r="AF22055" s="831" t="s">
        <v>10870</v>
      </c>
      <c r="AG22055" s="831" t="s">
        <v>2674</v>
      </c>
      <c r="AH22055" s="831" t="s">
        <v>552</v>
      </c>
      <c r="AI22055" s="831">
        <v>0</v>
      </c>
      <c r="AJ22055" s="835">
        <v>41394</v>
      </c>
      <c r="AK22055" s="831">
        <v>0</v>
      </c>
    </row>
    <row r="22056" spans="32:37">
      <c r="AF22056" s="831" t="s">
        <v>10871</v>
      </c>
      <c r="AG22056" s="831" t="s">
        <v>2674</v>
      </c>
      <c r="AH22056" s="831" t="s">
        <v>551</v>
      </c>
      <c r="AI22056" s="831">
        <v>0</v>
      </c>
      <c r="AJ22056" s="835">
        <v>41394</v>
      </c>
      <c r="AK22056" s="831">
        <v>3073568</v>
      </c>
    </row>
    <row r="22057" spans="32:37">
      <c r="AF22057" s="831" t="s">
        <v>10872</v>
      </c>
      <c r="AG22057" s="831" t="s">
        <v>2674</v>
      </c>
      <c r="AH22057" s="831" t="s">
        <v>550</v>
      </c>
      <c r="AI22057" s="831">
        <v>0</v>
      </c>
      <c r="AJ22057" s="835">
        <v>41394</v>
      </c>
      <c r="AK22057" s="831">
        <v>100809389</v>
      </c>
    </row>
    <row r="22058" spans="32:37">
      <c r="AF22058" s="831" t="s">
        <v>10873</v>
      </c>
      <c r="AG22058" s="831" t="s">
        <v>2674</v>
      </c>
      <c r="AH22058" s="831" t="s">
        <v>562</v>
      </c>
      <c r="AI22058" s="831">
        <v>0</v>
      </c>
      <c r="AJ22058" s="835">
        <v>41394</v>
      </c>
      <c r="AK22058" s="831">
        <v>0.78405000000000002</v>
      </c>
    </row>
    <row r="22059" spans="32:37">
      <c r="AF22059" s="831" t="s">
        <v>10874</v>
      </c>
      <c r="AG22059" s="831" t="s">
        <v>2674</v>
      </c>
      <c r="AH22059" s="831" t="s">
        <v>2698</v>
      </c>
      <c r="AI22059" s="831">
        <v>0</v>
      </c>
      <c r="AJ22059" s="835">
        <v>41394</v>
      </c>
      <c r="AK22059" s="831">
        <v>0.78425</v>
      </c>
    </row>
    <row r="22060" spans="32:37">
      <c r="AF22060" s="831" t="s">
        <v>10875</v>
      </c>
      <c r="AG22060" s="831" t="s">
        <v>2674</v>
      </c>
      <c r="AH22060" s="831" t="s">
        <v>560</v>
      </c>
      <c r="AI22060" s="831">
        <v>0</v>
      </c>
      <c r="AJ22060" s="835">
        <v>41394</v>
      </c>
      <c r="AK22060" s="831">
        <v>0.78412500000000007</v>
      </c>
    </row>
    <row r="22061" spans="32:37">
      <c r="AF22061" s="831" t="s">
        <v>10876</v>
      </c>
      <c r="AG22061" s="831" t="s">
        <v>2674</v>
      </c>
      <c r="AH22061" s="831" t="s">
        <v>559</v>
      </c>
      <c r="AI22061" s="831">
        <v>0</v>
      </c>
      <c r="AJ22061" s="835">
        <v>41394</v>
      </c>
      <c r="AK22061" s="831">
        <v>0.78444166666666681</v>
      </c>
    </row>
    <row r="22062" spans="32:37">
      <c r="AF22062" s="831" t="s">
        <v>10877</v>
      </c>
      <c r="AG22062" s="831" t="s">
        <v>2674</v>
      </c>
      <c r="AH22062" s="831" t="s">
        <v>568</v>
      </c>
      <c r="AI22062" s="831">
        <v>0</v>
      </c>
      <c r="AJ22062" s="835">
        <v>41394</v>
      </c>
      <c r="AK22062" s="831">
        <v>394769770.66666669</v>
      </c>
    </row>
    <row r="22063" spans="32:37">
      <c r="AF22063" s="831" t="s">
        <v>10878</v>
      </c>
      <c r="AG22063" s="831" t="s">
        <v>2674</v>
      </c>
      <c r="AH22063" s="831" t="s">
        <v>569</v>
      </c>
      <c r="AI22063" s="831">
        <v>0</v>
      </c>
      <c r="AJ22063" s="835">
        <v>41394</v>
      </c>
      <c r="AK22063" s="831">
        <v>480682736.41666669</v>
      </c>
    </row>
    <row r="22064" spans="32:37">
      <c r="AF22064" s="831" t="s">
        <v>10879</v>
      </c>
      <c r="AG22064" s="831" t="s">
        <v>2674</v>
      </c>
      <c r="AH22064" s="831" t="s">
        <v>570</v>
      </c>
      <c r="AI22064" s="831">
        <v>0</v>
      </c>
      <c r="AJ22064" s="835">
        <v>41394</v>
      </c>
      <c r="AK22064" s="831">
        <v>97541596.583333328</v>
      </c>
    </row>
    <row r="22065" spans="32:37">
      <c r="AF22065" s="831" t="s">
        <v>10880</v>
      </c>
      <c r="AG22065" s="831" t="s">
        <v>2674</v>
      </c>
      <c r="AH22065" s="831" t="s">
        <v>571</v>
      </c>
      <c r="AI22065" s="831">
        <v>0</v>
      </c>
      <c r="AJ22065" s="835">
        <v>41394</v>
      </c>
      <c r="AK22065" s="831">
        <v>202392383.16666666</v>
      </c>
    </row>
    <row r="22066" spans="32:37">
      <c r="AF22066" s="831" t="s">
        <v>10881</v>
      </c>
      <c r="AG22066" s="831" t="s">
        <v>2674</v>
      </c>
      <c r="AH22066" s="831" t="s">
        <v>573</v>
      </c>
      <c r="AI22066" s="831">
        <v>0</v>
      </c>
      <c r="AJ22066" s="835">
        <v>41394</v>
      </c>
      <c r="AK22066" s="831">
        <v>532827178</v>
      </c>
    </row>
    <row r="22067" spans="32:37">
      <c r="AF22067" s="831" t="s">
        <v>10882</v>
      </c>
      <c r="AG22067" s="831" t="s">
        <v>2674</v>
      </c>
      <c r="AH22067" s="831" t="s">
        <v>574</v>
      </c>
      <c r="AI22067" s="831">
        <v>0</v>
      </c>
      <c r="AJ22067" s="835">
        <v>41394</v>
      </c>
      <c r="AK22067" s="831">
        <v>441082974.60000002</v>
      </c>
    </row>
    <row r="22068" spans="32:37">
      <c r="AF22068" s="831" t="s">
        <v>10883</v>
      </c>
      <c r="AG22068" s="831" t="s">
        <v>2674</v>
      </c>
      <c r="AH22068" s="831" t="s">
        <v>575</v>
      </c>
      <c r="AI22068" s="831">
        <v>0</v>
      </c>
      <c r="AJ22068" s="835">
        <v>41394</v>
      </c>
      <c r="AK22068" s="831">
        <v>100152884.2</v>
      </c>
    </row>
    <row r="22069" spans="32:37">
      <c r="AF22069" s="831" t="s">
        <v>10884</v>
      </c>
      <c r="AG22069" s="831" t="s">
        <v>2674</v>
      </c>
      <c r="AH22069" s="831" t="s">
        <v>576</v>
      </c>
      <c r="AI22069" s="831">
        <v>0</v>
      </c>
      <c r="AJ22069" s="835">
        <v>41394</v>
      </c>
      <c r="AK22069" s="831">
        <v>241749896</v>
      </c>
    </row>
    <row r="22070" spans="32:37">
      <c r="AF22070" s="831" t="s">
        <v>10885</v>
      </c>
      <c r="AG22070" s="831" t="s">
        <v>2674</v>
      </c>
      <c r="AH22070" s="831" t="s">
        <v>572</v>
      </c>
      <c r="AI22070" s="831">
        <v>0</v>
      </c>
      <c r="AJ22070" s="835">
        <v>41394</v>
      </c>
      <c r="AK22070" s="831">
        <v>24404594</v>
      </c>
    </row>
    <row r="22071" spans="32:37">
      <c r="AF22071" s="831" t="s">
        <v>10886</v>
      </c>
      <c r="AG22071" s="831" t="s">
        <v>2674</v>
      </c>
      <c r="AH22071" s="831" t="s">
        <v>577</v>
      </c>
      <c r="AI22071" s="831">
        <v>0</v>
      </c>
      <c r="AJ22071" s="835">
        <v>41394</v>
      </c>
      <c r="AK22071" s="831">
        <v>137705857</v>
      </c>
    </row>
    <row r="22072" spans="32:37">
      <c r="AF22072" s="831" t="s">
        <v>10887</v>
      </c>
      <c r="AG22072" s="831" t="s">
        <v>2674</v>
      </c>
      <c r="AH22072" s="831" t="s">
        <v>3042</v>
      </c>
      <c r="AI22072" s="831">
        <v>0</v>
      </c>
      <c r="AJ22072" s="835">
        <v>41394</v>
      </c>
      <c r="AK22072" s="831">
        <v>-34403926</v>
      </c>
    </row>
    <row r="22073" spans="32:37">
      <c r="AF22073" s="831" t="s">
        <v>10888</v>
      </c>
      <c r="AG22073" s="831" t="s">
        <v>2674</v>
      </c>
      <c r="AH22073" s="831" t="s">
        <v>3044</v>
      </c>
      <c r="AI22073" s="831">
        <v>0</v>
      </c>
      <c r="AJ22073" s="835">
        <v>41394</v>
      </c>
      <c r="AK22073" s="831">
        <v>-4759976</v>
      </c>
    </row>
    <row r="22074" spans="32:37">
      <c r="AF22074" s="831" t="s">
        <v>10889</v>
      </c>
      <c r="AG22074" s="831" t="s">
        <v>2674</v>
      </c>
      <c r="AH22074" s="831" t="s">
        <v>580</v>
      </c>
      <c r="AI22074" s="831">
        <v>0</v>
      </c>
      <c r="AJ22074" s="835">
        <v>41394</v>
      </c>
      <c r="AK22074" s="831">
        <v>-71824276</v>
      </c>
    </row>
    <row r="22075" spans="32:37">
      <c r="AF22075" s="831" t="s">
        <v>10890</v>
      </c>
      <c r="AG22075" s="831" t="s">
        <v>2674</v>
      </c>
      <c r="AH22075" s="831" t="s">
        <v>581</v>
      </c>
      <c r="AI22075" s="831">
        <v>0</v>
      </c>
      <c r="AJ22075" s="835">
        <v>41394</v>
      </c>
      <c r="AK22075" s="831">
        <v>4094604</v>
      </c>
    </row>
    <row r="22076" spans="32:37">
      <c r="AF22076" s="831" t="s">
        <v>10891</v>
      </c>
      <c r="AG22076" s="831" t="s">
        <v>2674</v>
      </c>
      <c r="AH22076" s="831" t="s">
        <v>105</v>
      </c>
      <c r="AI22076" s="831">
        <v>0</v>
      </c>
      <c r="AJ22076" s="835">
        <v>41394</v>
      </c>
      <c r="AK22076" s="831">
        <v>256750039</v>
      </c>
    </row>
    <row r="22077" spans="32:37">
      <c r="AF22077" s="831" t="s">
        <v>10892</v>
      </c>
      <c r="AG22077" s="831" t="s">
        <v>2674</v>
      </c>
      <c r="AH22077" s="831" t="s">
        <v>3049</v>
      </c>
      <c r="AI22077" s="831">
        <v>0</v>
      </c>
      <c r="AJ22077" s="835">
        <v>41394</v>
      </c>
      <c r="AK22077" s="831">
        <v>448399148</v>
      </c>
    </row>
    <row r="22078" spans="32:37">
      <c r="AF22078" s="831" t="s">
        <v>10893</v>
      </c>
      <c r="AG22078" s="831" t="s">
        <v>2674</v>
      </c>
      <c r="AH22078" s="831" t="s">
        <v>103</v>
      </c>
      <c r="AI22078" s="831">
        <v>0</v>
      </c>
      <c r="AJ22078" s="835">
        <v>41394</v>
      </c>
      <c r="AK22078" s="831">
        <v>191649109</v>
      </c>
    </row>
    <row r="22079" spans="32:37">
      <c r="AF22079" s="831" t="s">
        <v>10894</v>
      </c>
      <c r="AG22079" s="831" t="s">
        <v>2674</v>
      </c>
      <c r="AH22079" s="831" t="s">
        <v>182</v>
      </c>
      <c r="AI22079" s="831">
        <v>0</v>
      </c>
      <c r="AJ22079" s="835">
        <v>41394</v>
      </c>
      <c r="AK22079" s="831">
        <v>55518615</v>
      </c>
    </row>
    <row r="22080" spans="32:37">
      <c r="AF22080" s="831" t="s">
        <v>10895</v>
      </c>
      <c r="AG22080" s="831" t="s">
        <v>2674</v>
      </c>
      <c r="AH22080" s="831" t="s">
        <v>6600</v>
      </c>
      <c r="AI22080" s="831">
        <v>0</v>
      </c>
      <c r="AJ22080" s="835">
        <v>41394</v>
      </c>
      <c r="AK22080" s="831">
        <v>24404594</v>
      </c>
    </row>
    <row r="22081" spans="32:37">
      <c r="AF22081" s="831" t="s">
        <v>10896</v>
      </c>
      <c r="AG22081" s="831" t="s">
        <v>2674</v>
      </c>
      <c r="AH22081" s="831" t="s">
        <v>6602</v>
      </c>
      <c r="AI22081" s="831">
        <v>0</v>
      </c>
      <c r="AJ22081" s="835">
        <v>41394</v>
      </c>
      <c r="AK22081" s="831">
        <v>8564643</v>
      </c>
    </row>
    <row r="22082" spans="32:37">
      <c r="AF22082" s="831" t="s">
        <v>10897</v>
      </c>
      <c r="AG22082" s="831" t="s">
        <v>2674</v>
      </c>
      <c r="AH22082" s="831" t="s">
        <v>650</v>
      </c>
      <c r="AI22082" s="831">
        <v>0</v>
      </c>
      <c r="AJ22082" s="835">
        <v>41394</v>
      </c>
      <c r="AK22082" s="831">
        <v>167561680.58333334</v>
      </c>
    </row>
    <row r="22083" spans="32:37">
      <c r="AF22083" s="831" t="s">
        <v>10898</v>
      </c>
      <c r="AG22083" s="831" t="s">
        <v>2674</v>
      </c>
      <c r="AH22083" s="831" t="s">
        <v>655</v>
      </c>
      <c r="AI22083" s="831">
        <v>0</v>
      </c>
      <c r="AJ22083" s="835">
        <v>41394</v>
      </c>
      <c r="AK22083" s="831">
        <v>2577725</v>
      </c>
    </row>
    <row r="22084" spans="32:37">
      <c r="AF22084" s="831" t="s">
        <v>10899</v>
      </c>
      <c r="AG22084" s="831" t="s">
        <v>2674</v>
      </c>
      <c r="AH22084" s="831" t="s">
        <v>546</v>
      </c>
      <c r="AI22084" s="831">
        <v>0</v>
      </c>
      <c r="AJ22084" s="835">
        <v>41425</v>
      </c>
      <c r="AK22084" s="831">
        <v>505264542</v>
      </c>
    </row>
    <row r="22085" spans="32:37">
      <c r="AF22085" s="831" t="s">
        <v>10900</v>
      </c>
      <c r="AG22085" s="831" t="s">
        <v>2674</v>
      </c>
      <c r="AH22085" s="831" t="s">
        <v>370</v>
      </c>
      <c r="AI22085" s="831">
        <v>0</v>
      </c>
      <c r="AJ22085" s="835">
        <v>41425</v>
      </c>
      <c r="AK22085" s="831">
        <v>595292976</v>
      </c>
    </row>
    <row r="22086" spans="32:37">
      <c r="AF22086" s="831" t="s">
        <v>10901</v>
      </c>
      <c r="AG22086" s="831" t="s">
        <v>2674</v>
      </c>
      <c r="AH22086" s="831" t="s">
        <v>126</v>
      </c>
      <c r="AI22086" s="831">
        <v>0</v>
      </c>
      <c r="AJ22086" s="835">
        <v>41425</v>
      </c>
      <c r="AK22086" s="831">
        <v>105651356</v>
      </c>
    </row>
    <row r="22087" spans="32:37">
      <c r="AF22087" s="831" t="s">
        <v>10902</v>
      </c>
      <c r="AG22087" s="831" t="s">
        <v>2674</v>
      </c>
      <c r="AH22087" s="831" t="s">
        <v>268</v>
      </c>
      <c r="AI22087" s="831">
        <v>0</v>
      </c>
      <c r="AJ22087" s="835">
        <v>41425</v>
      </c>
      <c r="AK22087" s="831">
        <v>10888133</v>
      </c>
    </row>
    <row r="22088" spans="32:37">
      <c r="AF22088" s="831" t="s">
        <v>10903</v>
      </c>
      <c r="AG22088" s="831" t="s">
        <v>2674</v>
      </c>
      <c r="AH22088" s="831" t="s">
        <v>547</v>
      </c>
      <c r="AI22088" s="831">
        <v>0</v>
      </c>
      <c r="AJ22088" s="835">
        <v>41425</v>
      </c>
      <c r="AK22088" s="831">
        <v>511487760</v>
      </c>
    </row>
    <row r="22089" spans="32:37">
      <c r="AF22089" s="831" t="s">
        <v>10904</v>
      </c>
      <c r="AG22089" s="831" t="s">
        <v>2674</v>
      </c>
      <c r="AH22089" s="831" t="s">
        <v>548</v>
      </c>
      <c r="AI22089" s="831">
        <v>0</v>
      </c>
      <c r="AJ22089" s="835">
        <v>41425</v>
      </c>
      <c r="AK22089" s="831">
        <v>96883184</v>
      </c>
    </row>
    <row r="22090" spans="32:37">
      <c r="AF22090" s="831" t="s">
        <v>10905</v>
      </c>
      <c r="AG22090" s="831" t="s">
        <v>2674</v>
      </c>
      <c r="AH22090" s="831" t="s">
        <v>549</v>
      </c>
      <c r="AI22090" s="831">
        <v>0</v>
      </c>
      <c r="AJ22090" s="835">
        <v>41425</v>
      </c>
      <c r="AK22090" s="831">
        <v>339221349</v>
      </c>
    </row>
    <row r="22091" spans="32:37">
      <c r="AF22091" s="831" t="s">
        <v>10906</v>
      </c>
      <c r="AG22091" s="831" t="s">
        <v>2674</v>
      </c>
      <c r="AH22091" s="831" t="s">
        <v>192</v>
      </c>
      <c r="AI22091" s="831">
        <v>0</v>
      </c>
      <c r="AJ22091" s="835">
        <v>41425</v>
      </c>
      <c r="AK22091" s="831">
        <v>-12896676</v>
      </c>
    </row>
    <row r="22092" spans="32:37">
      <c r="AF22092" s="831" t="s">
        <v>10907</v>
      </c>
      <c r="AG22092" s="831" t="s">
        <v>2674</v>
      </c>
      <c r="AH22092" s="831" t="s">
        <v>558</v>
      </c>
      <c r="AI22092" s="831">
        <v>0</v>
      </c>
      <c r="AJ22092" s="835">
        <v>41425</v>
      </c>
      <c r="AK22092" s="831">
        <v>489641620</v>
      </c>
    </row>
    <row r="22093" spans="32:37">
      <c r="AF22093" s="831" t="s">
        <v>10908</v>
      </c>
      <c r="AG22093" s="831" t="s">
        <v>2674</v>
      </c>
      <c r="AH22093" s="831" t="s">
        <v>65</v>
      </c>
      <c r="AI22093" s="831">
        <v>0</v>
      </c>
      <c r="AJ22093" s="835">
        <v>41425</v>
      </c>
      <c r="AK22093" s="831">
        <v>49637231</v>
      </c>
    </row>
    <row r="22094" spans="32:37">
      <c r="AF22094" s="831" t="s">
        <v>10909</v>
      </c>
      <c r="AG22094" s="831" t="s">
        <v>2674</v>
      </c>
      <c r="AH22094" s="831" t="s">
        <v>89</v>
      </c>
      <c r="AI22094" s="831">
        <v>0</v>
      </c>
      <c r="AJ22094" s="835">
        <v>41425</v>
      </c>
      <c r="AK22094" s="831">
        <v>135204</v>
      </c>
    </row>
    <row r="22095" spans="32:37">
      <c r="AF22095" s="831" t="s">
        <v>10910</v>
      </c>
      <c r="AG22095" s="831" t="s">
        <v>2674</v>
      </c>
      <c r="AH22095" s="831" t="s">
        <v>557</v>
      </c>
      <c r="AI22095" s="831">
        <v>0</v>
      </c>
      <c r="AJ22095" s="835">
        <v>41425</v>
      </c>
      <c r="AK22095" s="831">
        <v>139930</v>
      </c>
    </row>
    <row r="22096" spans="32:37">
      <c r="AF22096" s="831" t="s">
        <v>10911</v>
      </c>
      <c r="AG22096" s="831" t="s">
        <v>2674</v>
      </c>
      <c r="AH22096" s="831" t="s">
        <v>29</v>
      </c>
      <c r="AI22096" s="831">
        <v>0</v>
      </c>
      <c r="AJ22096" s="835">
        <v>41425</v>
      </c>
      <c r="AK22096" s="831">
        <v>2486253</v>
      </c>
    </row>
    <row r="22097" spans="32:37">
      <c r="AF22097" s="831" t="s">
        <v>10912</v>
      </c>
      <c r="AG22097" s="831" t="s">
        <v>2674</v>
      </c>
      <c r="AH22097" s="831" t="s">
        <v>2688</v>
      </c>
      <c r="AI22097" s="831">
        <v>0</v>
      </c>
      <c r="AJ22097" s="835">
        <v>41425</v>
      </c>
      <c r="AK22097" s="831">
        <v>2733940</v>
      </c>
    </row>
    <row r="22098" spans="32:37">
      <c r="AF22098" s="831" t="s">
        <v>10913</v>
      </c>
      <c r="AG22098" s="831" t="s">
        <v>2674</v>
      </c>
      <c r="AH22098" s="831" t="s">
        <v>556</v>
      </c>
      <c r="AI22098" s="831">
        <v>0</v>
      </c>
      <c r="AJ22098" s="835">
        <v>41425</v>
      </c>
      <c r="AK22098" s="831">
        <v>902857</v>
      </c>
    </row>
    <row r="22099" spans="32:37">
      <c r="AF22099" s="831" t="s">
        <v>10914</v>
      </c>
      <c r="AG22099" s="831" t="s">
        <v>2674</v>
      </c>
      <c r="AH22099" s="831" t="s">
        <v>555</v>
      </c>
      <c r="AI22099" s="831">
        <v>0</v>
      </c>
      <c r="AJ22099" s="835">
        <v>41425</v>
      </c>
      <c r="AK22099" s="831">
        <v>310274630</v>
      </c>
    </row>
    <row r="22100" spans="32:37">
      <c r="AF22100" s="831" t="s">
        <v>10915</v>
      </c>
      <c r="AG22100" s="831" t="s">
        <v>2674</v>
      </c>
      <c r="AH22100" s="831" t="s">
        <v>554</v>
      </c>
      <c r="AI22100" s="831">
        <v>0</v>
      </c>
      <c r="AJ22100" s="835">
        <v>41425</v>
      </c>
      <c r="AK22100" s="831">
        <v>296232200</v>
      </c>
    </row>
    <row r="22101" spans="32:37">
      <c r="AF22101" s="831" t="s">
        <v>10916</v>
      </c>
      <c r="AG22101" s="831" t="s">
        <v>2674</v>
      </c>
      <c r="AH22101" s="831" t="s">
        <v>553</v>
      </c>
      <c r="AI22101" s="831">
        <v>0</v>
      </c>
      <c r="AJ22101" s="835">
        <v>41425</v>
      </c>
      <c r="AK22101" s="831">
        <v>0</v>
      </c>
    </row>
    <row r="22102" spans="32:37">
      <c r="AF22102" s="831" t="s">
        <v>10917</v>
      </c>
      <c r="AG22102" s="831" t="s">
        <v>2674</v>
      </c>
      <c r="AH22102" s="831" t="s">
        <v>552</v>
      </c>
      <c r="AI22102" s="831">
        <v>0</v>
      </c>
      <c r="AJ22102" s="835">
        <v>41425</v>
      </c>
      <c r="AK22102" s="831">
        <v>0</v>
      </c>
    </row>
    <row r="22103" spans="32:37">
      <c r="AF22103" s="831" t="s">
        <v>10918</v>
      </c>
      <c r="AG22103" s="831" t="s">
        <v>2674</v>
      </c>
      <c r="AH22103" s="831" t="s">
        <v>551</v>
      </c>
      <c r="AI22103" s="831">
        <v>0</v>
      </c>
      <c r="AJ22103" s="835">
        <v>41425</v>
      </c>
      <c r="AK22103" s="831">
        <v>2323653</v>
      </c>
    </row>
    <row r="22104" spans="32:37">
      <c r="AF22104" s="831" t="s">
        <v>10919</v>
      </c>
      <c r="AG22104" s="831" t="s">
        <v>2674</v>
      </c>
      <c r="AH22104" s="831" t="s">
        <v>550</v>
      </c>
      <c r="AI22104" s="831">
        <v>0</v>
      </c>
      <c r="AJ22104" s="835">
        <v>41425</v>
      </c>
      <c r="AK22104" s="831">
        <v>103327866</v>
      </c>
    </row>
    <row r="22105" spans="32:37">
      <c r="AF22105" s="831" t="s">
        <v>10920</v>
      </c>
      <c r="AG22105" s="831" t="s">
        <v>2674</v>
      </c>
      <c r="AH22105" s="831" t="s">
        <v>562</v>
      </c>
      <c r="AI22105" s="831">
        <v>0</v>
      </c>
      <c r="AJ22105" s="835">
        <v>41425</v>
      </c>
      <c r="AK22105" s="831">
        <v>0.78405000000000002</v>
      </c>
    </row>
    <row r="22106" spans="32:37">
      <c r="AF22106" s="831" t="s">
        <v>10921</v>
      </c>
      <c r="AG22106" s="831" t="s">
        <v>2674</v>
      </c>
      <c r="AH22106" s="831" t="s">
        <v>2698</v>
      </c>
      <c r="AI22106" s="831">
        <v>0</v>
      </c>
      <c r="AJ22106" s="835">
        <v>41425</v>
      </c>
      <c r="AK22106" s="831">
        <v>0.78405000000000002</v>
      </c>
    </row>
    <row r="22107" spans="32:37">
      <c r="AF22107" s="831" t="s">
        <v>10922</v>
      </c>
      <c r="AG22107" s="831" t="s">
        <v>2674</v>
      </c>
      <c r="AH22107" s="831" t="s">
        <v>560</v>
      </c>
      <c r="AI22107" s="831">
        <v>0</v>
      </c>
      <c r="AJ22107" s="835">
        <v>41425</v>
      </c>
      <c r="AK22107" s="831">
        <v>0.78410999999999997</v>
      </c>
    </row>
    <row r="22108" spans="32:37">
      <c r="AF22108" s="831" t="s">
        <v>10923</v>
      </c>
      <c r="AG22108" s="831" t="s">
        <v>2674</v>
      </c>
      <c r="AH22108" s="831" t="s">
        <v>559</v>
      </c>
      <c r="AI22108" s="831">
        <v>0</v>
      </c>
      <c r="AJ22108" s="835">
        <v>41425</v>
      </c>
      <c r="AK22108" s="831">
        <v>0.78434999999999999</v>
      </c>
    </row>
    <row r="22109" spans="32:37">
      <c r="AF22109" s="831" t="s">
        <v>10924</v>
      </c>
      <c r="AG22109" s="831" t="s">
        <v>2674</v>
      </c>
      <c r="AH22109" s="831" t="s">
        <v>568</v>
      </c>
      <c r="AI22109" s="831">
        <v>0</v>
      </c>
      <c r="AJ22109" s="835">
        <v>41425</v>
      </c>
      <c r="AK22109" s="831">
        <v>403269368.46153843</v>
      </c>
    </row>
    <row r="22110" spans="32:37">
      <c r="AF22110" s="831" t="s">
        <v>10925</v>
      </c>
      <c r="AG22110" s="831" t="s">
        <v>2674</v>
      </c>
      <c r="AH22110" s="831" t="s">
        <v>569</v>
      </c>
      <c r="AI22110" s="831">
        <v>0</v>
      </c>
      <c r="AJ22110" s="835">
        <v>41425</v>
      </c>
      <c r="AK22110" s="831">
        <v>489498908.69230771</v>
      </c>
    </row>
    <row r="22111" spans="32:37">
      <c r="AF22111" s="831" t="s">
        <v>10926</v>
      </c>
      <c r="AG22111" s="831" t="s">
        <v>2674</v>
      </c>
      <c r="AH22111" s="831" t="s">
        <v>570</v>
      </c>
      <c r="AI22111" s="831">
        <v>0</v>
      </c>
      <c r="AJ22111" s="835">
        <v>41425</v>
      </c>
      <c r="AK22111" s="831">
        <v>98165424.230769232</v>
      </c>
    </row>
    <row r="22112" spans="32:37">
      <c r="AF22112" s="831" t="s">
        <v>10927</v>
      </c>
      <c r="AG22112" s="831" t="s">
        <v>2674</v>
      </c>
      <c r="AH22112" s="831" t="s">
        <v>571</v>
      </c>
      <c r="AI22112" s="831">
        <v>0</v>
      </c>
      <c r="AJ22112" s="835">
        <v>41425</v>
      </c>
      <c r="AK22112" s="831">
        <v>207953338.07692307</v>
      </c>
    </row>
    <row r="22113" spans="32:37">
      <c r="AF22113" s="831" t="s">
        <v>10928</v>
      </c>
      <c r="AG22113" s="831" t="s">
        <v>2674</v>
      </c>
      <c r="AH22113" s="831" t="s">
        <v>573</v>
      </c>
      <c r="AI22113" s="831">
        <v>0</v>
      </c>
      <c r="AJ22113" s="835">
        <v>41425</v>
      </c>
      <c r="AK22113" s="831">
        <v>543238144.33333337</v>
      </c>
    </row>
    <row r="22114" spans="32:37">
      <c r="AF22114" s="831" t="s">
        <v>10929</v>
      </c>
      <c r="AG22114" s="831" t="s">
        <v>2674</v>
      </c>
      <c r="AH22114" s="831" t="s">
        <v>574</v>
      </c>
      <c r="AI22114" s="831">
        <v>0</v>
      </c>
      <c r="AJ22114" s="835">
        <v>41425</v>
      </c>
      <c r="AK22114" s="831">
        <v>451779902.5</v>
      </c>
    </row>
    <row r="22115" spans="32:37">
      <c r="AF22115" s="831" t="s">
        <v>10930</v>
      </c>
      <c r="AG22115" s="831" t="s">
        <v>2674</v>
      </c>
      <c r="AH22115" s="831" t="s">
        <v>575</v>
      </c>
      <c r="AI22115" s="831">
        <v>0</v>
      </c>
      <c r="AJ22115" s="835">
        <v>41425</v>
      </c>
      <c r="AK22115" s="831">
        <v>101069296.16666667</v>
      </c>
    </row>
    <row r="22116" spans="32:37">
      <c r="AF22116" s="831" t="s">
        <v>10931</v>
      </c>
      <c r="AG22116" s="831" t="s">
        <v>2674</v>
      </c>
      <c r="AH22116" s="831" t="s">
        <v>576</v>
      </c>
      <c r="AI22116" s="831">
        <v>0</v>
      </c>
      <c r="AJ22116" s="835">
        <v>41425</v>
      </c>
      <c r="AK22116" s="831">
        <v>247239046.16666666</v>
      </c>
    </row>
    <row r="22117" spans="32:37">
      <c r="AF22117" s="831" t="s">
        <v>10932</v>
      </c>
      <c r="AG22117" s="831" t="s">
        <v>2674</v>
      </c>
      <c r="AH22117" s="831" t="s">
        <v>572</v>
      </c>
      <c r="AI22117" s="831">
        <v>0</v>
      </c>
      <c r="AJ22117" s="835">
        <v>41425</v>
      </c>
      <c r="AK22117" s="831">
        <v>21530747</v>
      </c>
    </row>
    <row r="22118" spans="32:37">
      <c r="AF22118" s="831" t="s">
        <v>10933</v>
      </c>
      <c r="AG22118" s="831" t="s">
        <v>2674</v>
      </c>
      <c r="AH22118" s="831" t="s">
        <v>577</v>
      </c>
      <c r="AI22118" s="831">
        <v>0</v>
      </c>
      <c r="AJ22118" s="835">
        <v>41425</v>
      </c>
      <c r="AK22118" s="831">
        <v>110403012</v>
      </c>
    </row>
    <row r="22119" spans="32:37">
      <c r="AF22119" s="831" t="s">
        <v>10934</v>
      </c>
      <c r="AG22119" s="831" t="s">
        <v>2674</v>
      </c>
      <c r="AH22119" s="831" t="s">
        <v>3042</v>
      </c>
      <c r="AI22119" s="831">
        <v>0</v>
      </c>
      <c r="AJ22119" s="835">
        <v>41425</v>
      </c>
      <c r="AK22119" s="831">
        <v>-27020607</v>
      </c>
    </row>
    <row r="22120" spans="32:37">
      <c r="AF22120" s="831" t="s">
        <v>10935</v>
      </c>
      <c r="AG22120" s="831" t="s">
        <v>2674</v>
      </c>
      <c r="AH22120" s="831" t="s">
        <v>3044</v>
      </c>
      <c r="AI22120" s="831">
        <v>0</v>
      </c>
      <c r="AJ22120" s="835">
        <v>41425</v>
      </c>
      <c r="AK22120" s="831">
        <v>-4070350</v>
      </c>
    </row>
    <row r="22121" spans="32:37">
      <c r="AF22121" s="831" t="s">
        <v>10936</v>
      </c>
      <c r="AG22121" s="831" t="s">
        <v>2674</v>
      </c>
      <c r="AH22121" s="831" t="s">
        <v>580</v>
      </c>
      <c r="AI22121" s="831">
        <v>0</v>
      </c>
      <c r="AJ22121" s="835">
        <v>41425</v>
      </c>
      <c r="AK22121" s="831">
        <v>-55847177</v>
      </c>
    </row>
    <row r="22122" spans="32:37">
      <c r="AF22122" s="831" t="s">
        <v>10937</v>
      </c>
      <c r="AG22122" s="831" t="s">
        <v>2674</v>
      </c>
      <c r="AH22122" s="831" t="s">
        <v>581</v>
      </c>
      <c r="AI22122" s="831">
        <v>0</v>
      </c>
      <c r="AJ22122" s="835">
        <v>41425</v>
      </c>
      <c r="AK22122" s="831">
        <v>3833349</v>
      </c>
    </row>
    <row r="22123" spans="32:37">
      <c r="AF22123" s="831" t="s">
        <v>10938</v>
      </c>
      <c r="AG22123" s="831" t="s">
        <v>2674</v>
      </c>
      <c r="AH22123" s="831" t="s">
        <v>105</v>
      </c>
      <c r="AI22123" s="831">
        <v>0</v>
      </c>
      <c r="AJ22123" s="835">
        <v>41425</v>
      </c>
      <c r="AK22123" s="831">
        <v>274684797</v>
      </c>
    </row>
    <row r="22124" spans="32:37">
      <c r="AF22124" s="831" t="s">
        <v>10939</v>
      </c>
      <c r="AG22124" s="831" t="s">
        <v>2674</v>
      </c>
      <c r="AH22124" s="831" t="s">
        <v>3049</v>
      </c>
      <c r="AI22124" s="831">
        <v>0</v>
      </c>
      <c r="AJ22124" s="835">
        <v>41425</v>
      </c>
      <c r="AK22124" s="831">
        <v>474215187</v>
      </c>
    </row>
    <row r="22125" spans="32:37">
      <c r="AF22125" s="831" t="s">
        <v>10940</v>
      </c>
      <c r="AG22125" s="831" t="s">
        <v>2674</v>
      </c>
      <c r="AH22125" s="831" t="s">
        <v>103</v>
      </c>
      <c r="AI22125" s="831">
        <v>0</v>
      </c>
      <c r="AJ22125" s="835">
        <v>41425</v>
      </c>
      <c r="AK22125" s="831">
        <v>199530390</v>
      </c>
    </row>
    <row r="22126" spans="32:37">
      <c r="AF22126" s="831" t="s">
        <v>10941</v>
      </c>
      <c r="AG22126" s="831" t="s">
        <v>2674</v>
      </c>
      <c r="AH22126" s="831" t="s">
        <v>182</v>
      </c>
      <c r="AI22126" s="831">
        <v>0</v>
      </c>
      <c r="AJ22126" s="835">
        <v>41425</v>
      </c>
      <c r="AK22126" s="831">
        <v>56542824</v>
      </c>
    </row>
    <row r="22127" spans="32:37">
      <c r="AF22127" s="831" t="s">
        <v>10942</v>
      </c>
      <c r="AG22127" s="831" t="s">
        <v>2674</v>
      </c>
      <c r="AH22127" s="831" t="s">
        <v>6600</v>
      </c>
      <c r="AI22127" s="831">
        <v>0</v>
      </c>
      <c r="AJ22127" s="835">
        <v>41425</v>
      </c>
      <c r="AK22127" s="831">
        <v>21530747</v>
      </c>
    </row>
    <row r="22128" spans="32:37">
      <c r="AF22128" s="831" t="s">
        <v>10943</v>
      </c>
      <c r="AG22128" s="831" t="s">
        <v>2674</v>
      </c>
      <c r="AH22128" s="831" t="s">
        <v>6602</v>
      </c>
      <c r="AI22128" s="831">
        <v>0</v>
      </c>
      <c r="AJ22128" s="835">
        <v>41425</v>
      </c>
      <c r="AK22128" s="831">
        <v>10888133</v>
      </c>
    </row>
    <row r="22129" spans="32:37">
      <c r="AF22129" s="831" t="s">
        <v>10944</v>
      </c>
      <c r="AG22129" s="831" t="s">
        <v>2674</v>
      </c>
      <c r="AH22129" s="831" t="s">
        <v>650</v>
      </c>
      <c r="AI22129" s="831">
        <v>0</v>
      </c>
      <c r="AJ22129" s="835">
        <v>41425</v>
      </c>
      <c r="AK22129" s="831">
        <v>170020812.07692307</v>
      </c>
    </row>
    <row r="22130" spans="32:37">
      <c r="AF22130" s="831" t="s">
        <v>10945</v>
      </c>
      <c r="AG22130" s="831" t="s">
        <v>2674</v>
      </c>
      <c r="AH22130" s="831" t="s">
        <v>655</v>
      </c>
      <c r="AI22130" s="831">
        <v>0</v>
      </c>
      <c r="AJ22130" s="835">
        <v>41425</v>
      </c>
      <c r="AK22130" s="831">
        <v>2273827</v>
      </c>
    </row>
    <row r="22131" spans="32:37">
      <c r="AF22131" s="831" t="s">
        <v>10946</v>
      </c>
      <c r="AG22131" s="831" t="s">
        <v>2674</v>
      </c>
      <c r="AH22131" s="831" t="s">
        <v>546</v>
      </c>
      <c r="AI22131" s="831">
        <v>0</v>
      </c>
      <c r="AJ22131" s="835">
        <v>41455</v>
      </c>
      <c r="AK22131" s="831">
        <v>514798833</v>
      </c>
    </row>
    <row r="22132" spans="32:37">
      <c r="AF22132" s="831" t="s">
        <v>10947</v>
      </c>
      <c r="AG22132" s="831" t="s">
        <v>2674</v>
      </c>
      <c r="AH22132" s="831" t="s">
        <v>370</v>
      </c>
      <c r="AI22132" s="831">
        <v>0</v>
      </c>
      <c r="AJ22132" s="835">
        <v>41455</v>
      </c>
      <c r="AK22132" s="831">
        <v>641101315</v>
      </c>
    </row>
    <row r="22133" spans="32:37">
      <c r="AF22133" s="831" t="s">
        <v>10948</v>
      </c>
      <c r="AG22133" s="831" t="s">
        <v>2674</v>
      </c>
      <c r="AH22133" s="831" t="s">
        <v>126</v>
      </c>
      <c r="AI22133" s="831">
        <v>0</v>
      </c>
      <c r="AJ22133" s="835">
        <v>41455</v>
      </c>
      <c r="AK22133" s="831">
        <v>108060358</v>
      </c>
    </row>
    <row r="22134" spans="32:37">
      <c r="AF22134" s="831" t="s">
        <v>10949</v>
      </c>
      <c r="AG22134" s="831" t="s">
        <v>2674</v>
      </c>
      <c r="AH22134" s="831" t="s">
        <v>268</v>
      </c>
      <c r="AI22134" s="831">
        <v>0</v>
      </c>
      <c r="AJ22134" s="835">
        <v>41455</v>
      </c>
      <c r="AK22134" s="831">
        <v>13297133</v>
      </c>
    </row>
    <row r="22135" spans="32:37">
      <c r="AF22135" s="831" t="s">
        <v>10950</v>
      </c>
      <c r="AG22135" s="831" t="s">
        <v>2674</v>
      </c>
      <c r="AH22135" s="831" t="s">
        <v>547</v>
      </c>
      <c r="AI22135" s="831">
        <v>0</v>
      </c>
      <c r="AJ22135" s="835">
        <v>41455</v>
      </c>
      <c r="AK22135" s="831">
        <v>511487760</v>
      </c>
    </row>
    <row r="22136" spans="32:37">
      <c r="AF22136" s="831" t="s">
        <v>10951</v>
      </c>
      <c r="AG22136" s="831" t="s">
        <v>2674</v>
      </c>
      <c r="AH22136" s="831" t="s">
        <v>548</v>
      </c>
      <c r="AI22136" s="831">
        <v>0</v>
      </c>
      <c r="AJ22136" s="835">
        <v>41455</v>
      </c>
      <c r="AK22136" s="831">
        <v>96883184</v>
      </c>
    </row>
    <row r="22137" spans="32:37">
      <c r="AF22137" s="831" t="s">
        <v>10952</v>
      </c>
      <c r="AG22137" s="831" t="s">
        <v>2674</v>
      </c>
      <c r="AH22137" s="831" t="s">
        <v>549</v>
      </c>
      <c r="AI22137" s="831">
        <v>0</v>
      </c>
      <c r="AJ22137" s="835">
        <v>41455</v>
      </c>
      <c r="AK22137" s="831">
        <v>342628450</v>
      </c>
    </row>
    <row r="22138" spans="32:37">
      <c r="AF22138" s="831" t="s">
        <v>10953</v>
      </c>
      <c r="AG22138" s="831" t="s">
        <v>2674</v>
      </c>
      <c r="AH22138" s="831" t="s">
        <v>192</v>
      </c>
      <c r="AI22138" s="831">
        <v>0</v>
      </c>
      <c r="AJ22138" s="835">
        <v>41455</v>
      </c>
      <c r="AK22138" s="831">
        <v>-11546784</v>
      </c>
    </row>
    <row r="22139" spans="32:37">
      <c r="AF22139" s="831" t="s">
        <v>10954</v>
      </c>
      <c r="AG22139" s="831" t="s">
        <v>2674</v>
      </c>
      <c r="AH22139" s="831" t="s">
        <v>558</v>
      </c>
      <c r="AI22139" s="831">
        <v>0</v>
      </c>
      <c r="AJ22139" s="835">
        <v>41455</v>
      </c>
      <c r="AK22139" s="831">
        <v>533040957</v>
      </c>
    </row>
    <row r="22140" spans="32:37">
      <c r="AF22140" s="831" t="s">
        <v>10955</v>
      </c>
      <c r="AG22140" s="831" t="s">
        <v>2674</v>
      </c>
      <c r="AH22140" s="831" t="s">
        <v>65</v>
      </c>
      <c r="AI22140" s="831">
        <v>0</v>
      </c>
      <c r="AJ22140" s="835">
        <v>41455</v>
      </c>
      <c r="AK22140" s="831">
        <v>60193699</v>
      </c>
    </row>
    <row r="22141" spans="32:37">
      <c r="AF22141" s="831" t="s">
        <v>10956</v>
      </c>
      <c r="AG22141" s="831" t="s">
        <v>2674</v>
      </c>
      <c r="AH22141" s="831" t="s">
        <v>89</v>
      </c>
      <c r="AI22141" s="831">
        <v>0</v>
      </c>
      <c r="AJ22141" s="835">
        <v>41455</v>
      </c>
      <c r="AK22141" s="831">
        <v>136633</v>
      </c>
    </row>
    <row r="22142" spans="32:37">
      <c r="AF22142" s="831" t="s">
        <v>10957</v>
      </c>
      <c r="AG22142" s="831" t="s">
        <v>2674</v>
      </c>
      <c r="AH22142" s="831" t="s">
        <v>557</v>
      </c>
      <c r="AI22142" s="831">
        <v>0</v>
      </c>
      <c r="AJ22142" s="835">
        <v>41455</v>
      </c>
      <c r="AK22142" s="831">
        <v>142092</v>
      </c>
    </row>
    <row r="22143" spans="32:37">
      <c r="AF22143" s="831" t="s">
        <v>10958</v>
      </c>
      <c r="AG22143" s="831" t="s">
        <v>2674</v>
      </c>
      <c r="AH22143" s="831" t="s">
        <v>29</v>
      </c>
      <c r="AI22143" s="831">
        <v>0</v>
      </c>
      <c r="AJ22143" s="835">
        <v>41455</v>
      </c>
      <c r="AK22143" s="831">
        <v>1424399.06</v>
      </c>
    </row>
    <row r="22144" spans="32:37">
      <c r="AF22144" s="831" t="s">
        <v>10959</v>
      </c>
      <c r="AG22144" s="831" t="s">
        <v>2674</v>
      </c>
      <c r="AH22144" s="831" t="s">
        <v>2688</v>
      </c>
      <c r="AI22144" s="831">
        <v>0</v>
      </c>
      <c r="AJ22144" s="835">
        <v>41455</v>
      </c>
      <c r="AK22144" s="831">
        <v>2204366.9500000002</v>
      </c>
    </row>
    <row r="22145" spans="32:37">
      <c r="AF22145" s="831" t="s">
        <v>10960</v>
      </c>
      <c r="AG22145" s="831" t="s">
        <v>2674</v>
      </c>
      <c r="AH22145" s="831" t="s">
        <v>556</v>
      </c>
      <c r="AI22145" s="831">
        <v>0</v>
      </c>
      <c r="AJ22145" s="835">
        <v>41455</v>
      </c>
      <c r="AK22145" s="831">
        <v>902857</v>
      </c>
    </row>
    <row r="22146" spans="32:37">
      <c r="AF22146" s="831" t="s">
        <v>10961</v>
      </c>
      <c r="AG22146" s="831" t="s">
        <v>2674</v>
      </c>
      <c r="AH22146" s="831" t="s">
        <v>555</v>
      </c>
      <c r="AI22146" s="831">
        <v>0</v>
      </c>
      <c r="AJ22146" s="835">
        <v>41455</v>
      </c>
      <c r="AK22146" s="831">
        <v>353611880</v>
      </c>
    </row>
    <row r="22147" spans="32:37">
      <c r="AF22147" s="831" t="s">
        <v>10962</v>
      </c>
      <c r="AG22147" s="831" t="s">
        <v>2674</v>
      </c>
      <c r="AH22147" s="831" t="s">
        <v>554</v>
      </c>
      <c r="AI22147" s="831">
        <v>0</v>
      </c>
      <c r="AJ22147" s="835">
        <v>41455</v>
      </c>
      <c r="AK22147" s="831">
        <v>343079700</v>
      </c>
    </row>
    <row r="22148" spans="32:37">
      <c r="AF22148" s="831" t="s">
        <v>10963</v>
      </c>
      <c r="AG22148" s="831" t="s">
        <v>2674</v>
      </c>
      <c r="AH22148" s="831" t="s">
        <v>553</v>
      </c>
      <c r="AI22148" s="831">
        <v>0</v>
      </c>
      <c r="AJ22148" s="835">
        <v>41455</v>
      </c>
      <c r="AK22148" s="831">
        <v>0</v>
      </c>
    </row>
    <row r="22149" spans="32:37">
      <c r="AF22149" s="831" t="s">
        <v>10964</v>
      </c>
      <c r="AG22149" s="831" t="s">
        <v>2674</v>
      </c>
      <c r="AH22149" s="831" t="s">
        <v>552</v>
      </c>
      <c r="AI22149" s="831">
        <v>0</v>
      </c>
      <c r="AJ22149" s="835">
        <v>41455</v>
      </c>
      <c r="AK22149" s="831">
        <v>0</v>
      </c>
    </row>
    <row r="22150" spans="32:37">
      <c r="AF22150" s="831" t="s">
        <v>10965</v>
      </c>
      <c r="AG22150" s="831" t="s">
        <v>2674</v>
      </c>
      <c r="AH22150" s="831" t="s">
        <v>551</v>
      </c>
      <c r="AI22150" s="831">
        <v>0</v>
      </c>
      <c r="AJ22150" s="835">
        <v>41455</v>
      </c>
      <c r="AK22150" s="831">
        <v>1176193.06</v>
      </c>
    </row>
    <row r="22151" spans="32:37">
      <c r="AF22151" s="831" t="s">
        <v>10966</v>
      </c>
      <c r="AG22151" s="831" t="s">
        <v>2674</v>
      </c>
      <c r="AH22151" s="831" t="s">
        <v>550</v>
      </c>
      <c r="AI22151" s="831">
        <v>0</v>
      </c>
      <c r="AJ22151" s="835">
        <v>41455</v>
      </c>
      <c r="AK22151" s="831">
        <v>105651356</v>
      </c>
    </row>
    <row r="22152" spans="32:37">
      <c r="AF22152" s="831" t="s">
        <v>10967</v>
      </c>
      <c r="AG22152" s="831" t="s">
        <v>2674</v>
      </c>
      <c r="AH22152" s="831" t="s">
        <v>562</v>
      </c>
      <c r="AI22152" s="831">
        <v>0</v>
      </c>
      <c r="AJ22152" s="835">
        <v>41455</v>
      </c>
      <c r="AK22152" s="831">
        <v>0.78395000000000004</v>
      </c>
    </row>
    <row r="22153" spans="32:37">
      <c r="AF22153" s="831" t="s">
        <v>10968</v>
      </c>
      <c r="AG22153" s="831" t="s">
        <v>2674</v>
      </c>
      <c r="AH22153" s="831" t="s">
        <v>2698</v>
      </c>
      <c r="AI22153" s="831">
        <v>0</v>
      </c>
      <c r="AJ22153" s="835">
        <v>41455</v>
      </c>
      <c r="AK22153" s="831">
        <v>0.78405000000000002</v>
      </c>
    </row>
    <row r="22154" spans="32:37">
      <c r="AF22154" s="831" t="s">
        <v>10969</v>
      </c>
      <c r="AG22154" s="831" t="s">
        <v>2674</v>
      </c>
      <c r="AH22154" s="831" t="s">
        <v>560</v>
      </c>
      <c r="AI22154" s="831">
        <v>0</v>
      </c>
      <c r="AJ22154" s="835">
        <v>41455</v>
      </c>
      <c r="AK22154" s="831">
        <v>0.78408333333333335</v>
      </c>
    </row>
    <row r="22155" spans="32:37">
      <c r="AF22155" s="831" t="s">
        <v>10970</v>
      </c>
      <c r="AG22155" s="831" t="s">
        <v>2674</v>
      </c>
      <c r="AH22155" s="831" t="s">
        <v>559</v>
      </c>
      <c r="AI22155" s="831">
        <v>0</v>
      </c>
      <c r="AJ22155" s="835">
        <v>41455</v>
      </c>
      <c r="AK22155" s="831">
        <v>0.78425833333333339</v>
      </c>
    </row>
    <row r="22156" spans="32:37">
      <c r="AF22156" s="831" t="s">
        <v>10971</v>
      </c>
      <c r="AG22156" s="831" t="s">
        <v>2674</v>
      </c>
      <c r="AH22156" s="831" t="s">
        <v>568</v>
      </c>
      <c r="AI22156" s="831">
        <v>0</v>
      </c>
      <c r="AJ22156" s="835">
        <v>41455</v>
      </c>
      <c r="AK22156" s="831">
        <v>416775328.76923078</v>
      </c>
    </row>
    <row r="22157" spans="32:37">
      <c r="AF22157" s="831" t="s">
        <v>10972</v>
      </c>
      <c r="AG22157" s="831" t="s">
        <v>2674</v>
      </c>
      <c r="AH22157" s="831" t="s">
        <v>569</v>
      </c>
      <c r="AI22157" s="831">
        <v>0</v>
      </c>
      <c r="AJ22157" s="835">
        <v>41455</v>
      </c>
      <c r="AK22157" s="831">
        <v>507070422.30769229</v>
      </c>
    </row>
    <row r="22158" spans="32:37">
      <c r="AF22158" s="831" t="s">
        <v>10973</v>
      </c>
      <c r="AG22158" s="831" t="s">
        <v>2674</v>
      </c>
      <c r="AH22158" s="831" t="s">
        <v>570</v>
      </c>
      <c r="AI22158" s="831">
        <v>0</v>
      </c>
      <c r="AJ22158" s="835">
        <v>41455</v>
      </c>
      <c r="AK22158" s="831">
        <v>99514662.461538464</v>
      </c>
    </row>
    <row r="22159" spans="32:37">
      <c r="AF22159" s="831" t="s">
        <v>10974</v>
      </c>
      <c r="AG22159" s="831" t="s">
        <v>2674</v>
      </c>
      <c r="AH22159" s="831" t="s">
        <v>571</v>
      </c>
      <c r="AI22159" s="831">
        <v>0</v>
      </c>
      <c r="AJ22159" s="835">
        <v>41455</v>
      </c>
      <c r="AK22159" s="831">
        <v>220626949.15384614</v>
      </c>
    </row>
    <row r="22160" spans="32:37">
      <c r="AF22160" s="831" t="s">
        <v>10975</v>
      </c>
      <c r="AG22160" s="831" t="s">
        <v>2674</v>
      </c>
      <c r="AH22160" s="831" t="s">
        <v>573</v>
      </c>
      <c r="AI22160" s="831">
        <v>0</v>
      </c>
      <c r="AJ22160" s="835">
        <v>41455</v>
      </c>
      <c r="AK22160" s="831">
        <v>557218597.28571427</v>
      </c>
    </row>
    <row r="22161" spans="32:37">
      <c r="AF22161" s="831" t="s">
        <v>10976</v>
      </c>
      <c r="AG22161" s="831" t="s">
        <v>2674</v>
      </c>
      <c r="AH22161" s="831" t="s">
        <v>574</v>
      </c>
      <c r="AI22161" s="831">
        <v>0</v>
      </c>
      <c r="AJ22161" s="835">
        <v>41455</v>
      </c>
      <c r="AK22161" s="831">
        <v>460782606.85714287</v>
      </c>
    </row>
    <row r="22162" spans="32:37">
      <c r="AF22162" s="831" t="s">
        <v>10977</v>
      </c>
      <c r="AG22162" s="831" t="s">
        <v>2674</v>
      </c>
      <c r="AH22162" s="831" t="s">
        <v>575</v>
      </c>
      <c r="AI22162" s="831">
        <v>0</v>
      </c>
      <c r="AJ22162" s="835">
        <v>41455</v>
      </c>
      <c r="AK22162" s="831">
        <v>102068019.28571428</v>
      </c>
    </row>
    <row r="22163" spans="32:37">
      <c r="AF22163" s="831" t="s">
        <v>10978</v>
      </c>
      <c r="AG22163" s="831" t="s">
        <v>2674</v>
      </c>
      <c r="AH22163" s="831" t="s">
        <v>576</v>
      </c>
      <c r="AI22163" s="831">
        <v>0</v>
      </c>
      <c r="AJ22163" s="835">
        <v>41455</v>
      </c>
      <c r="AK22163" s="831">
        <v>256882402</v>
      </c>
    </row>
    <row r="22164" spans="32:37">
      <c r="AF22164" s="831" t="s">
        <v>10979</v>
      </c>
      <c r="AG22164" s="831" t="s">
        <v>2674</v>
      </c>
      <c r="AH22164" s="831" t="s">
        <v>572</v>
      </c>
      <c r="AI22164" s="831">
        <v>0</v>
      </c>
      <c r="AJ22164" s="835">
        <v>41455</v>
      </c>
      <c r="AK22164" s="831">
        <v>22784991</v>
      </c>
    </row>
    <row r="22165" spans="32:37">
      <c r="AF22165" s="831" t="s">
        <v>10980</v>
      </c>
      <c r="AG22165" s="831" t="s">
        <v>2674</v>
      </c>
      <c r="AH22165" s="831" t="s">
        <v>577</v>
      </c>
      <c r="AI22165" s="831">
        <v>0</v>
      </c>
      <c r="AJ22165" s="835">
        <v>41455</v>
      </c>
      <c r="AK22165" s="831">
        <v>112999724</v>
      </c>
    </row>
    <row r="22166" spans="32:37">
      <c r="AF22166" s="831" t="s">
        <v>10981</v>
      </c>
      <c r="AG22166" s="831" t="s">
        <v>2674</v>
      </c>
      <c r="AH22166" s="831" t="s">
        <v>3042</v>
      </c>
      <c r="AI22166" s="831">
        <v>0</v>
      </c>
      <c r="AJ22166" s="835">
        <v>41455</v>
      </c>
      <c r="AK22166" s="831">
        <v>-27618860</v>
      </c>
    </row>
    <row r="22167" spans="32:37">
      <c r="AF22167" s="831" t="s">
        <v>10982</v>
      </c>
      <c r="AG22167" s="831" t="s">
        <v>2674</v>
      </c>
      <c r="AH22167" s="831" t="s">
        <v>3044</v>
      </c>
      <c r="AI22167" s="831">
        <v>0</v>
      </c>
      <c r="AJ22167" s="835">
        <v>41455</v>
      </c>
      <c r="AK22167" s="831">
        <v>-4183071</v>
      </c>
    </row>
    <row r="22168" spans="32:37">
      <c r="AF22168" s="831" t="s">
        <v>10983</v>
      </c>
      <c r="AG22168" s="831" t="s">
        <v>2674</v>
      </c>
      <c r="AH22168" s="831" t="s">
        <v>580</v>
      </c>
      <c r="AI22168" s="831">
        <v>0</v>
      </c>
      <c r="AJ22168" s="835">
        <v>41455</v>
      </c>
      <c r="AK22168" s="831">
        <v>-56400279</v>
      </c>
    </row>
    <row r="22169" spans="32:37">
      <c r="AF22169" s="831" t="s">
        <v>10984</v>
      </c>
      <c r="AG22169" s="831" t="s">
        <v>2674</v>
      </c>
      <c r="AH22169" s="831" t="s">
        <v>581</v>
      </c>
      <c r="AI22169" s="831">
        <v>0</v>
      </c>
      <c r="AJ22169" s="835">
        <v>41455</v>
      </c>
      <c r="AK22169" s="831">
        <v>4204371</v>
      </c>
    </row>
    <row r="22170" spans="32:37">
      <c r="AF22170" s="831" t="s">
        <v>10985</v>
      </c>
      <c r="AG22170" s="831" t="s">
        <v>2674</v>
      </c>
      <c r="AH22170" s="831" t="s">
        <v>105</v>
      </c>
      <c r="AI22170" s="831">
        <v>0</v>
      </c>
      <c r="AJ22170" s="835">
        <v>41455</v>
      </c>
      <c r="AK22170" s="831">
        <v>314742537</v>
      </c>
    </row>
    <row r="22171" spans="32:37">
      <c r="AF22171" s="831" t="s">
        <v>10986</v>
      </c>
      <c r="AG22171" s="831" t="s">
        <v>2674</v>
      </c>
      <c r="AH22171" s="831" t="s">
        <v>3049</v>
      </c>
      <c r="AI22171" s="831">
        <v>0</v>
      </c>
      <c r="AJ22171" s="835">
        <v>41455</v>
      </c>
      <c r="AK22171" s="831">
        <v>517978918</v>
      </c>
    </row>
    <row r="22172" spans="32:37">
      <c r="AF22172" s="831" t="s">
        <v>10987</v>
      </c>
      <c r="AG22172" s="831" t="s">
        <v>2674</v>
      </c>
      <c r="AH22172" s="831" t="s">
        <v>103</v>
      </c>
      <c r="AI22172" s="831">
        <v>0</v>
      </c>
      <c r="AJ22172" s="835">
        <v>41455</v>
      </c>
      <c r="AK22172" s="831">
        <v>203236381</v>
      </c>
    </row>
    <row r="22173" spans="32:37">
      <c r="AF22173" s="831" t="s">
        <v>10988</v>
      </c>
      <c r="AG22173" s="831" t="s">
        <v>2674</v>
      </c>
      <c r="AH22173" s="831" t="s">
        <v>182</v>
      </c>
      <c r="AI22173" s="831">
        <v>0</v>
      </c>
      <c r="AJ22173" s="835">
        <v>41455</v>
      </c>
      <c r="AK22173" s="831">
        <v>57441170</v>
      </c>
    </row>
    <row r="22174" spans="32:37">
      <c r="AF22174" s="831" t="s">
        <v>10989</v>
      </c>
      <c r="AG22174" s="831" t="s">
        <v>2674</v>
      </c>
      <c r="AH22174" s="831" t="s">
        <v>6600</v>
      </c>
      <c r="AI22174" s="831">
        <v>0</v>
      </c>
      <c r="AJ22174" s="835">
        <v>41455</v>
      </c>
      <c r="AK22174" s="831">
        <v>22784991</v>
      </c>
    </row>
    <row r="22175" spans="32:37">
      <c r="AF22175" s="831" t="s">
        <v>10990</v>
      </c>
      <c r="AG22175" s="831" t="s">
        <v>2674</v>
      </c>
      <c r="AH22175" s="831" t="s">
        <v>6602</v>
      </c>
      <c r="AI22175" s="831">
        <v>0</v>
      </c>
      <c r="AJ22175" s="835">
        <v>41455</v>
      </c>
      <c r="AK22175" s="831">
        <v>13297133</v>
      </c>
    </row>
    <row r="22176" spans="32:37">
      <c r="AF22176" s="831" t="s">
        <v>10991</v>
      </c>
      <c r="AG22176" s="831" t="s">
        <v>2674</v>
      </c>
      <c r="AH22176" s="831" t="s">
        <v>650</v>
      </c>
      <c r="AI22176" s="831">
        <v>0</v>
      </c>
      <c r="AJ22176" s="835">
        <v>41455</v>
      </c>
      <c r="AK22176" s="831">
        <v>173391733.15384614</v>
      </c>
    </row>
    <row r="22177" spans="32:37">
      <c r="AF22177" s="831" t="s">
        <v>10992</v>
      </c>
      <c r="AG22177" s="831" t="s">
        <v>2674</v>
      </c>
      <c r="AH22177" s="831" t="s">
        <v>655</v>
      </c>
      <c r="AI22177" s="831">
        <v>0</v>
      </c>
      <c r="AJ22177" s="835">
        <v>41455</v>
      </c>
      <c r="AK22177" s="831">
        <v>1055339.06</v>
      </c>
    </row>
    <row r="22178" spans="32:37">
      <c r="AF22178" s="831" t="s">
        <v>10993</v>
      </c>
      <c r="AG22178" s="831" t="s">
        <v>2674</v>
      </c>
      <c r="AH22178" s="831" t="s">
        <v>546</v>
      </c>
      <c r="AI22178" s="831">
        <v>0</v>
      </c>
      <c r="AJ22178" s="835">
        <v>41486</v>
      </c>
      <c r="AK22178" s="831">
        <v>530405930</v>
      </c>
    </row>
    <row r="22179" spans="32:37">
      <c r="AF22179" s="831" t="s">
        <v>10994</v>
      </c>
      <c r="AG22179" s="831" t="s">
        <v>2674</v>
      </c>
      <c r="AH22179" s="831" t="s">
        <v>370</v>
      </c>
      <c r="AI22179" s="831">
        <v>0</v>
      </c>
      <c r="AJ22179" s="835">
        <v>41486</v>
      </c>
      <c r="AK22179" s="831">
        <v>658328328</v>
      </c>
    </row>
    <row r="22180" spans="32:37">
      <c r="AF22180" s="831" t="s">
        <v>10995</v>
      </c>
      <c r="AG22180" s="831" t="s">
        <v>2674</v>
      </c>
      <c r="AH22180" s="831" t="s">
        <v>126</v>
      </c>
      <c r="AI22180" s="831">
        <v>0</v>
      </c>
      <c r="AJ22180" s="835">
        <v>41486</v>
      </c>
      <c r="AK22180" s="831">
        <v>110887562</v>
      </c>
    </row>
    <row r="22181" spans="32:37">
      <c r="AF22181" s="831" t="s">
        <v>10996</v>
      </c>
      <c r="AG22181" s="831" t="s">
        <v>2674</v>
      </c>
      <c r="AH22181" s="831" t="s">
        <v>268</v>
      </c>
      <c r="AI22181" s="831">
        <v>0</v>
      </c>
      <c r="AJ22181" s="835">
        <v>41486</v>
      </c>
      <c r="AK22181" s="831">
        <v>16124340</v>
      </c>
    </row>
    <row r="22182" spans="32:37">
      <c r="AF22182" s="831" t="s">
        <v>10997</v>
      </c>
      <c r="AG22182" s="831" t="s">
        <v>2674</v>
      </c>
      <c r="AH22182" s="831" t="s">
        <v>547</v>
      </c>
      <c r="AI22182" s="831">
        <v>0</v>
      </c>
      <c r="AJ22182" s="835">
        <v>41486</v>
      </c>
      <c r="AK22182" s="831">
        <v>511487760</v>
      </c>
    </row>
    <row r="22183" spans="32:37">
      <c r="AF22183" s="831" t="s">
        <v>10998</v>
      </c>
      <c r="AG22183" s="831" t="s">
        <v>2674</v>
      </c>
      <c r="AH22183" s="831" t="s">
        <v>548</v>
      </c>
      <c r="AI22183" s="831">
        <v>0</v>
      </c>
      <c r="AJ22183" s="835">
        <v>41486</v>
      </c>
      <c r="AK22183" s="831">
        <v>96883184</v>
      </c>
    </row>
    <row r="22184" spans="32:37">
      <c r="AF22184" s="831" t="s">
        <v>10999</v>
      </c>
      <c r="AG22184" s="831" t="s">
        <v>2674</v>
      </c>
      <c r="AH22184" s="831" t="s">
        <v>549</v>
      </c>
      <c r="AI22184" s="831">
        <v>0</v>
      </c>
      <c r="AJ22184" s="835">
        <v>41486</v>
      </c>
      <c r="AK22184" s="831">
        <v>350104350</v>
      </c>
    </row>
    <row r="22185" spans="32:37">
      <c r="AF22185" s="831" t="s">
        <v>11000</v>
      </c>
      <c r="AG22185" s="831" t="s">
        <v>2674</v>
      </c>
      <c r="AH22185" s="831" t="s">
        <v>192</v>
      </c>
      <c r="AI22185" s="831">
        <v>0</v>
      </c>
      <c r="AJ22185" s="835">
        <v>41486</v>
      </c>
      <c r="AK22185" s="831">
        <v>-11946675</v>
      </c>
    </row>
    <row r="22186" spans="32:37">
      <c r="AF22186" s="831" t="s">
        <v>11001</v>
      </c>
      <c r="AG22186" s="831" t="s">
        <v>2674</v>
      </c>
      <c r="AH22186" s="831" t="s">
        <v>558</v>
      </c>
      <c r="AI22186" s="831">
        <v>0</v>
      </c>
      <c r="AJ22186" s="835">
        <v>41486</v>
      </c>
      <c r="AK22186" s="831">
        <v>547440766</v>
      </c>
    </row>
    <row r="22187" spans="32:37">
      <c r="AF22187" s="831" t="s">
        <v>11002</v>
      </c>
      <c r="AG22187" s="831" t="s">
        <v>2674</v>
      </c>
      <c r="AH22187" s="831" t="s">
        <v>65</v>
      </c>
      <c r="AI22187" s="831">
        <v>0</v>
      </c>
      <c r="AJ22187" s="835">
        <v>41486</v>
      </c>
      <c r="AK22187" s="831">
        <v>71979253</v>
      </c>
    </row>
    <row r="22188" spans="32:37">
      <c r="AF22188" s="831" t="s">
        <v>11003</v>
      </c>
      <c r="AG22188" s="831" t="s">
        <v>2674</v>
      </c>
      <c r="AH22188" s="831" t="s">
        <v>89</v>
      </c>
      <c r="AI22188" s="831">
        <v>0</v>
      </c>
      <c r="AJ22188" s="835">
        <v>41486</v>
      </c>
      <c r="AK22188" s="831">
        <v>138057</v>
      </c>
    </row>
    <row r="22189" spans="32:37">
      <c r="AF22189" s="831" t="s">
        <v>11004</v>
      </c>
      <c r="AG22189" s="831" t="s">
        <v>2674</v>
      </c>
      <c r="AH22189" s="831" t="s">
        <v>557</v>
      </c>
      <c r="AI22189" s="831">
        <v>0</v>
      </c>
      <c r="AJ22189" s="835">
        <v>41486</v>
      </c>
      <c r="AK22189" s="831">
        <v>145518</v>
      </c>
    </row>
    <row r="22190" spans="32:37">
      <c r="AF22190" s="831" t="s">
        <v>11005</v>
      </c>
      <c r="AG22190" s="831" t="s">
        <v>2674</v>
      </c>
      <c r="AH22190" s="831" t="s">
        <v>29</v>
      </c>
      <c r="AI22190" s="831">
        <v>0</v>
      </c>
      <c r="AJ22190" s="835">
        <v>41486</v>
      </c>
      <c r="AK22190" s="831">
        <v>1452161.1670000001</v>
      </c>
    </row>
    <row r="22191" spans="32:37">
      <c r="AF22191" s="831" t="s">
        <v>11006</v>
      </c>
      <c r="AG22191" s="831" t="s">
        <v>2674</v>
      </c>
      <c r="AH22191" s="831" t="s">
        <v>2688</v>
      </c>
      <c r="AI22191" s="831">
        <v>0</v>
      </c>
      <c r="AJ22191" s="835">
        <v>41486</v>
      </c>
      <c r="AK22191" s="831">
        <v>1987224.58</v>
      </c>
    </row>
    <row r="22192" spans="32:37">
      <c r="AF22192" s="831" t="s">
        <v>11007</v>
      </c>
      <c r="AG22192" s="831" t="s">
        <v>2674</v>
      </c>
      <c r="AH22192" s="831" t="s">
        <v>556</v>
      </c>
      <c r="AI22192" s="831">
        <v>0</v>
      </c>
      <c r="AJ22192" s="835">
        <v>41486</v>
      </c>
      <c r="AK22192" s="831">
        <v>2547589</v>
      </c>
    </row>
    <row r="22193" spans="32:37">
      <c r="AF22193" s="831" t="s">
        <v>11008</v>
      </c>
      <c r="AG22193" s="831" t="s">
        <v>2674</v>
      </c>
      <c r="AH22193" s="831" t="s">
        <v>555</v>
      </c>
      <c r="AI22193" s="831">
        <v>0</v>
      </c>
      <c r="AJ22193" s="835">
        <v>41486</v>
      </c>
      <c r="AK22193" s="831">
        <v>359140020</v>
      </c>
    </row>
    <row r="22194" spans="32:37">
      <c r="AF22194" s="831" t="s">
        <v>11009</v>
      </c>
      <c r="AG22194" s="831" t="s">
        <v>2674</v>
      </c>
      <c r="AH22194" s="831" t="s">
        <v>554</v>
      </c>
      <c r="AI22194" s="831">
        <v>0</v>
      </c>
      <c r="AJ22194" s="835">
        <v>41486</v>
      </c>
      <c r="AK22194" s="831">
        <v>364984870</v>
      </c>
    </row>
    <row r="22195" spans="32:37">
      <c r="AF22195" s="831" t="s">
        <v>11010</v>
      </c>
      <c r="AG22195" s="831" t="s">
        <v>2674</v>
      </c>
      <c r="AH22195" s="831" t="s">
        <v>553</v>
      </c>
      <c r="AI22195" s="831">
        <v>0</v>
      </c>
      <c r="AJ22195" s="835">
        <v>41486</v>
      </c>
      <c r="AK22195" s="831">
        <v>0</v>
      </c>
    </row>
    <row r="22196" spans="32:37">
      <c r="AF22196" s="831" t="s">
        <v>11011</v>
      </c>
      <c r="AG22196" s="831" t="s">
        <v>2674</v>
      </c>
      <c r="AH22196" s="831" t="s">
        <v>552</v>
      </c>
      <c r="AI22196" s="831">
        <v>0</v>
      </c>
      <c r="AJ22196" s="835">
        <v>41486</v>
      </c>
      <c r="AK22196" s="831">
        <v>0</v>
      </c>
    </row>
    <row r="22197" spans="32:37">
      <c r="AF22197" s="831" t="s">
        <v>11012</v>
      </c>
      <c r="AG22197" s="831" t="s">
        <v>2674</v>
      </c>
      <c r="AH22197" s="831" t="s">
        <v>551</v>
      </c>
      <c r="AI22197" s="831">
        <v>0</v>
      </c>
      <c r="AJ22197" s="835">
        <v>41486</v>
      </c>
      <c r="AK22197" s="831">
        <v>1334074.5780000002</v>
      </c>
    </row>
    <row r="22198" spans="32:37">
      <c r="AF22198" s="831" t="s">
        <v>11013</v>
      </c>
      <c r="AG22198" s="831" t="s">
        <v>2674</v>
      </c>
      <c r="AH22198" s="831" t="s">
        <v>550</v>
      </c>
      <c r="AI22198" s="831">
        <v>0</v>
      </c>
      <c r="AJ22198" s="835">
        <v>41486</v>
      </c>
      <c r="AK22198" s="831">
        <v>108060358</v>
      </c>
    </row>
    <row r="22199" spans="32:37">
      <c r="AF22199" s="831" t="s">
        <v>11014</v>
      </c>
      <c r="AG22199" s="831" t="s">
        <v>2674</v>
      </c>
      <c r="AH22199" s="831" t="s">
        <v>562</v>
      </c>
      <c r="AI22199" s="831">
        <v>0</v>
      </c>
      <c r="AJ22199" s="835">
        <v>41486</v>
      </c>
      <c r="AK22199" s="831">
        <v>0.78374999999999995</v>
      </c>
    </row>
    <row r="22200" spans="32:37">
      <c r="AF22200" s="831" t="s">
        <v>11015</v>
      </c>
      <c r="AG22200" s="831" t="s">
        <v>2674</v>
      </c>
      <c r="AH22200" s="831" t="s">
        <v>2698</v>
      </c>
      <c r="AI22200" s="831">
        <v>0</v>
      </c>
      <c r="AJ22200" s="835">
        <v>41486</v>
      </c>
      <c r="AK22200" s="831">
        <v>0.78395000000000004</v>
      </c>
    </row>
    <row r="22201" spans="32:37">
      <c r="AF22201" s="831" t="s">
        <v>11016</v>
      </c>
      <c r="AG22201" s="831" t="s">
        <v>2674</v>
      </c>
      <c r="AH22201" s="831" t="s">
        <v>560</v>
      </c>
      <c r="AI22201" s="831">
        <v>0</v>
      </c>
      <c r="AJ22201" s="835">
        <v>41486</v>
      </c>
      <c r="AK22201" s="831">
        <v>0.78403571428571439</v>
      </c>
    </row>
    <row r="22202" spans="32:37">
      <c r="AF22202" s="831" t="s">
        <v>11017</v>
      </c>
      <c r="AG22202" s="831" t="s">
        <v>2674</v>
      </c>
      <c r="AH22202" s="831" t="s">
        <v>559</v>
      </c>
      <c r="AI22202" s="831">
        <v>0</v>
      </c>
      <c r="AJ22202" s="835">
        <v>41486</v>
      </c>
      <c r="AK22202" s="831">
        <v>0.7841583333333334</v>
      </c>
    </row>
    <row r="22203" spans="32:37">
      <c r="AF22203" s="831" t="s">
        <v>11018</v>
      </c>
      <c r="AG22203" s="831" t="s">
        <v>2674</v>
      </c>
      <c r="AH22203" s="831" t="s">
        <v>568</v>
      </c>
      <c r="AI22203" s="831">
        <v>0</v>
      </c>
      <c r="AJ22203" s="835">
        <v>41486</v>
      </c>
      <c r="AK22203" s="831">
        <v>431219750.30769229</v>
      </c>
    </row>
    <row r="22204" spans="32:37">
      <c r="AF22204" s="831" t="s">
        <v>11019</v>
      </c>
      <c r="AG22204" s="831" t="s">
        <v>2674</v>
      </c>
      <c r="AH22204" s="831" t="s">
        <v>569</v>
      </c>
      <c r="AI22204" s="831">
        <v>0</v>
      </c>
      <c r="AJ22204" s="835">
        <v>41486</v>
      </c>
      <c r="AK22204" s="831">
        <v>525226803</v>
      </c>
    </row>
    <row r="22205" spans="32:37">
      <c r="AF22205" s="831" t="s">
        <v>11020</v>
      </c>
      <c r="AG22205" s="831" t="s">
        <v>2674</v>
      </c>
      <c r="AH22205" s="831" t="s">
        <v>570</v>
      </c>
      <c r="AI22205" s="831">
        <v>0</v>
      </c>
      <c r="AJ22205" s="835">
        <v>41486</v>
      </c>
      <c r="AK22205" s="831">
        <v>100992550.61538461</v>
      </c>
    </row>
    <row r="22206" spans="32:37">
      <c r="AF22206" s="831" t="s">
        <v>11021</v>
      </c>
      <c r="AG22206" s="831" t="s">
        <v>2674</v>
      </c>
      <c r="AH22206" s="831" t="s">
        <v>571</v>
      </c>
      <c r="AI22206" s="831">
        <v>0</v>
      </c>
      <c r="AJ22206" s="835">
        <v>41486</v>
      </c>
      <c r="AK22206" s="831">
        <v>233627225.76923078</v>
      </c>
    </row>
    <row r="22207" spans="32:37">
      <c r="AF22207" s="831" t="s">
        <v>11022</v>
      </c>
      <c r="AG22207" s="831" t="s">
        <v>2674</v>
      </c>
      <c r="AH22207" s="831" t="s">
        <v>573</v>
      </c>
      <c r="AI22207" s="831">
        <v>0</v>
      </c>
      <c r="AJ22207" s="835">
        <v>41486</v>
      </c>
      <c r="AK22207" s="831">
        <v>569857313.625</v>
      </c>
    </row>
    <row r="22208" spans="32:37">
      <c r="AF22208" s="831" t="s">
        <v>11023</v>
      </c>
      <c r="AG22208" s="831" t="s">
        <v>2674</v>
      </c>
      <c r="AH22208" s="831" t="s">
        <v>574</v>
      </c>
      <c r="AI22208" s="831">
        <v>0</v>
      </c>
      <c r="AJ22208" s="835">
        <v>41486</v>
      </c>
      <c r="AK22208" s="831">
        <v>469485522.25</v>
      </c>
    </row>
    <row r="22209" spans="32:37">
      <c r="AF22209" s="831" t="s">
        <v>11024</v>
      </c>
      <c r="AG22209" s="831" t="s">
        <v>2674</v>
      </c>
      <c r="AH22209" s="831" t="s">
        <v>575</v>
      </c>
      <c r="AI22209" s="831">
        <v>0</v>
      </c>
      <c r="AJ22209" s="835">
        <v>41486</v>
      </c>
      <c r="AK22209" s="831">
        <v>103170462.125</v>
      </c>
    </row>
    <row r="22210" spans="32:37">
      <c r="AF22210" s="831" t="s">
        <v>11025</v>
      </c>
      <c r="AG22210" s="831" t="s">
        <v>2674</v>
      </c>
      <c r="AH22210" s="831" t="s">
        <v>576</v>
      </c>
      <c r="AI22210" s="831">
        <v>0</v>
      </c>
      <c r="AJ22210" s="835">
        <v>41486</v>
      </c>
      <c r="AK22210" s="831">
        <v>265012255.125</v>
      </c>
    </row>
    <row r="22211" spans="32:37">
      <c r="AF22211" s="831" t="s">
        <v>11026</v>
      </c>
      <c r="AG22211" s="831" t="s">
        <v>2674</v>
      </c>
      <c r="AH22211" s="831" t="s">
        <v>572</v>
      </c>
      <c r="AI22211" s="831">
        <v>0</v>
      </c>
      <c r="AJ22211" s="835">
        <v>41486</v>
      </c>
      <c r="AK22211" s="831">
        <v>23860386</v>
      </c>
    </row>
    <row r="22212" spans="32:37">
      <c r="AF22212" s="831" t="s">
        <v>11027</v>
      </c>
      <c r="AG22212" s="831" t="s">
        <v>2674</v>
      </c>
      <c r="AH22212" s="831" t="s">
        <v>577</v>
      </c>
      <c r="AI22212" s="831">
        <v>0</v>
      </c>
      <c r="AJ22212" s="835">
        <v>41486</v>
      </c>
      <c r="AK22212" s="831">
        <v>116281669</v>
      </c>
    </row>
    <row r="22213" spans="32:37">
      <c r="AF22213" s="831" t="s">
        <v>11028</v>
      </c>
      <c r="AG22213" s="831" t="s">
        <v>2674</v>
      </c>
      <c r="AH22213" s="831" t="s">
        <v>3042</v>
      </c>
      <c r="AI22213" s="831">
        <v>0</v>
      </c>
      <c r="AJ22213" s="835">
        <v>41486</v>
      </c>
      <c r="AK22213" s="831">
        <v>-28313674</v>
      </c>
    </row>
    <row r="22214" spans="32:37">
      <c r="AF22214" s="831" t="s">
        <v>11029</v>
      </c>
      <c r="AG22214" s="831" t="s">
        <v>2674</v>
      </c>
      <c r="AH22214" s="831" t="s">
        <v>3044</v>
      </c>
      <c r="AI22214" s="831">
        <v>0</v>
      </c>
      <c r="AJ22214" s="835">
        <v>41486</v>
      </c>
      <c r="AK22214" s="831">
        <v>-4195755</v>
      </c>
    </row>
    <row r="22215" spans="32:37">
      <c r="AF22215" s="831" t="s">
        <v>11030</v>
      </c>
      <c r="AG22215" s="831" t="s">
        <v>2674</v>
      </c>
      <c r="AH22215" s="831" t="s">
        <v>580</v>
      </c>
      <c r="AI22215" s="831">
        <v>0</v>
      </c>
      <c r="AJ22215" s="835">
        <v>41486</v>
      </c>
      <c r="AK22215" s="831">
        <v>-57513801</v>
      </c>
    </row>
    <row r="22216" spans="32:37">
      <c r="AF22216" s="831" t="s">
        <v>11031</v>
      </c>
      <c r="AG22216" s="831" t="s">
        <v>2674</v>
      </c>
      <c r="AH22216" s="831" t="s">
        <v>581</v>
      </c>
      <c r="AI22216" s="831">
        <v>0</v>
      </c>
      <c r="AJ22216" s="835">
        <v>41486</v>
      </c>
      <c r="AK22216" s="831">
        <v>4189789</v>
      </c>
    </row>
    <row r="22217" spans="32:37">
      <c r="AF22217" s="831" t="s">
        <v>11032</v>
      </c>
      <c r="AG22217" s="831" t="s">
        <v>2674</v>
      </c>
      <c r="AH22217" s="831" t="s">
        <v>105</v>
      </c>
      <c r="AI22217" s="831">
        <v>0</v>
      </c>
      <c r="AJ22217" s="835">
        <v>41486</v>
      </c>
      <c r="AK22217" s="831">
        <v>321921227</v>
      </c>
    </row>
    <row r="22218" spans="32:37">
      <c r="AF22218" s="831" t="s">
        <v>11033</v>
      </c>
      <c r="AG22218" s="831" t="s">
        <v>2674</v>
      </c>
      <c r="AH22218" s="831" t="s">
        <v>3049</v>
      </c>
      <c r="AI22218" s="831">
        <v>0</v>
      </c>
      <c r="AJ22218" s="835">
        <v>41486</v>
      </c>
      <c r="AK22218" s="831">
        <v>533353115</v>
      </c>
    </row>
    <row r="22219" spans="32:37">
      <c r="AF22219" s="831" t="s">
        <v>11034</v>
      </c>
      <c r="AG22219" s="831" t="s">
        <v>2674</v>
      </c>
      <c r="AH22219" s="831" t="s">
        <v>103</v>
      </c>
      <c r="AI22219" s="831">
        <v>0</v>
      </c>
      <c r="AJ22219" s="835">
        <v>41486</v>
      </c>
      <c r="AK22219" s="831">
        <v>211431888</v>
      </c>
    </row>
    <row r="22220" spans="32:37">
      <c r="AF22220" s="831" t="s">
        <v>11035</v>
      </c>
      <c r="AG22220" s="831" t="s">
        <v>2674</v>
      </c>
      <c r="AH22220" s="831" t="s">
        <v>182</v>
      </c>
      <c r="AI22220" s="831">
        <v>0</v>
      </c>
      <c r="AJ22220" s="835">
        <v>41486</v>
      </c>
      <c r="AK22220" s="831">
        <v>58107797.142857142</v>
      </c>
    </row>
    <row r="22221" spans="32:37">
      <c r="AF22221" s="831" t="s">
        <v>11036</v>
      </c>
      <c r="AG22221" s="831" t="s">
        <v>2674</v>
      </c>
      <c r="AH22221" s="831" t="s">
        <v>6600</v>
      </c>
      <c r="AI22221" s="831">
        <v>0</v>
      </c>
      <c r="AJ22221" s="835">
        <v>41486</v>
      </c>
      <c r="AK22221" s="831">
        <v>23860386</v>
      </c>
    </row>
    <row r="22222" spans="32:37">
      <c r="AF22222" s="831" t="s">
        <v>11037</v>
      </c>
      <c r="AG22222" s="831" t="s">
        <v>2674</v>
      </c>
      <c r="AH22222" s="831" t="s">
        <v>6602</v>
      </c>
      <c r="AI22222" s="831">
        <v>0</v>
      </c>
      <c r="AJ22222" s="835">
        <v>41486</v>
      </c>
      <c r="AK22222" s="831">
        <v>16124340</v>
      </c>
    </row>
    <row r="22223" spans="32:37">
      <c r="AF22223" s="831" t="s">
        <v>11038</v>
      </c>
      <c r="AG22223" s="831" t="s">
        <v>2674</v>
      </c>
      <c r="AH22223" s="831" t="s">
        <v>650</v>
      </c>
      <c r="AI22223" s="831">
        <v>0</v>
      </c>
      <c r="AJ22223" s="835">
        <v>41486</v>
      </c>
      <c r="AK22223" s="831">
        <v>176984761.69230768</v>
      </c>
    </row>
    <row r="22224" spans="32:37">
      <c r="AF22224" s="831" t="s">
        <v>11039</v>
      </c>
      <c r="AG22224" s="831" t="s">
        <v>2674</v>
      </c>
      <c r="AH22224" s="831" t="s">
        <v>655</v>
      </c>
      <c r="AI22224" s="831">
        <v>0</v>
      </c>
      <c r="AJ22224" s="835">
        <v>41486</v>
      </c>
      <c r="AK22224" s="831">
        <v>1081919.6189999999</v>
      </c>
    </row>
    <row r="22225" spans="32:37">
      <c r="AF22225" s="831" t="s">
        <v>11040</v>
      </c>
      <c r="AG22225" s="831" t="s">
        <v>2674</v>
      </c>
      <c r="AH22225" s="831" t="s">
        <v>546</v>
      </c>
      <c r="AI22225" s="831">
        <v>0</v>
      </c>
      <c r="AJ22225" s="835">
        <v>41517</v>
      </c>
      <c r="AK22225" s="831">
        <v>548671343</v>
      </c>
    </row>
    <row r="22226" spans="32:37">
      <c r="AF22226" s="831" t="s">
        <v>11041</v>
      </c>
      <c r="AG22226" s="831" t="s">
        <v>2674</v>
      </c>
      <c r="AH22226" s="831" t="s">
        <v>370</v>
      </c>
      <c r="AI22226" s="831">
        <v>0</v>
      </c>
      <c r="AJ22226" s="835">
        <v>41517</v>
      </c>
      <c r="AK22226" s="831">
        <v>657414575</v>
      </c>
    </row>
    <row r="22227" spans="32:37">
      <c r="AF22227" s="831" t="s">
        <v>11042</v>
      </c>
      <c r="AG22227" s="831" t="s">
        <v>2674</v>
      </c>
      <c r="AH22227" s="831" t="s">
        <v>126</v>
      </c>
      <c r="AI22227" s="831">
        <v>0</v>
      </c>
      <c r="AJ22227" s="835">
        <v>41517</v>
      </c>
      <c r="AK22227" s="831">
        <v>113874944</v>
      </c>
    </row>
    <row r="22228" spans="32:37">
      <c r="AF22228" s="831" t="s">
        <v>11043</v>
      </c>
      <c r="AG22228" s="831" t="s">
        <v>2674</v>
      </c>
      <c r="AH22228" s="831" t="s">
        <v>268</v>
      </c>
      <c r="AI22228" s="831">
        <v>0</v>
      </c>
      <c r="AJ22228" s="835">
        <v>41517</v>
      </c>
      <c r="AK22228" s="831">
        <v>19111719</v>
      </c>
    </row>
    <row r="22229" spans="32:37">
      <c r="AF22229" s="831" t="s">
        <v>11044</v>
      </c>
      <c r="AG22229" s="831" t="s">
        <v>2674</v>
      </c>
      <c r="AH22229" s="831" t="s">
        <v>547</v>
      </c>
      <c r="AI22229" s="831">
        <v>0</v>
      </c>
      <c r="AJ22229" s="835">
        <v>41517</v>
      </c>
      <c r="AK22229" s="831">
        <v>511487760</v>
      </c>
    </row>
    <row r="22230" spans="32:37">
      <c r="AF22230" s="831" t="s">
        <v>11045</v>
      </c>
      <c r="AG22230" s="831" t="s">
        <v>2674</v>
      </c>
      <c r="AH22230" s="831" t="s">
        <v>548</v>
      </c>
      <c r="AI22230" s="831">
        <v>0</v>
      </c>
      <c r="AJ22230" s="835">
        <v>41517</v>
      </c>
      <c r="AK22230" s="831">
        <v>96883184</v>
      </c>
    </row>
    <row r="22231" spans="32:37">
      <c r="AF22231" s="831" t="s">
        <v>11046</v>
      </c>
      <c r="AG22231" s="831" t="s">
        <v>2674</v>
      </c>
      <c r="AH22231" s="831" t="s">
        <v>549</v>
      </c>
      <c r="AI22231" s="831">
        <v>0</v>
      </c>
      <c r="AJ22231" s="835">
        <v>41517</v>
      </c>
      <c r="AK22231" s="831">
        <v>362295244</v>
      </c>
    </row>
    <row r="22232" spans="32:37">
      <c r="AF22232" s="831" t="s">
        <v>11047</v>
      </c>
      <c r="AG22232" s="831" t="s">
        <v>2674</v>
      </c>
      <c r="AH22232" s="831" t="s">
        <v>192</v>
      </c>
      <c r="AI22232" s="831">
        <v>0</v>
      </c>
      <c r="AJ22232" s="835">
        <v>41517</v>
      </c>
      <c r="AK22232" s="831">
        <v>-12472831</v>
      </c>
    </row>
    <row r="22233" spans="32:37">
      <c r="AF22233" s="831" t="s">
        <v>11048</v>
      </c>
      <c r="AG22233" s="831" t="s">
        <v>2674</v>
      </c>
      <c r="AH22233" s="831" t="s">
        <v>558</v>
      </c>
      <c r="AI22233" s="831">
        <v>0</v>
      </c>
      <c r="AJ22233" s="835">
        <v>41517</v>
      </c>
      <c r="AK22233" s="831">
        <v>543539630.65999997</v>
      </c>
    </row>
    <row r="22234" spans="32:37">
      <c r="AF22234" s="831" t="s">
        <v>11049</v>
      </c>
      <c r="AG22234" s="831" t="s">
        <v>2674</v>
      </c>
      <c r="AH22234" s="831" t="s">
        <v>65</v>
      </c>
      <c r="AI22234" s="831">
        <v>0</v>
      </c>
      <c r="AJ22234" s="835">
        <v>41517</v>
      </c>
      <c r="AK22234" s="831">
        <v>83388551</v>
      </c>
    </row>
    <row r="22235" spans="32:37">
      <c r="AF22235" s="831" t="s">
        <v>11050</v>
      </c>
      <c r="AG22235" s="831" t="s">
        <v>2674</v>
      </c>
      <c r="AH22235" s="831" t="s">
        <v>89</v>
      </c>
      <c r="AI22235" s="831">
        <v>0</v>
      </c>
      <c r="AJ22235" s="835">
        <v>41517</v>
      </c>
      <c r="AK22235" s="831">
        <v>139614</v>
      </c>
    </row>
    <row r="22236" spans="32:37">
      <c r="AF22236" s="831" t="s">
        <v>11051</v>
      </c>
      <c r="AG22236" s="831" t="s">
        <v>2674</v>
      </c>
      <c r="AH22236" s="831" t="s">
        <v>557</v>
      </c>
      <c r="AI22236" s="831">
        <v>0</v>
      </c>
      <c r="AJ22236" s="835">
        <v>41517</v>
      </c>
      <c r="AK22236" s="831">
        <v>147732</v>
      </c>
    </row>
    <row r="22237" spans="32:37">
      <c r="AF22237" s="831" t="s">
        <v>11052</v>
      </c>
      <c r="AG22237" s="831" t="s">
        <v>2674</v>
      </c>
      <c r="AH22237" s="831" t="s">
        <v>29</v>
      </c>
      <c r="AI22237" s="831">
        <v>0</v>
      </c>
      <c r="AJ22237" s="835">
        <v>41517</v>
      </c>
      <c r="AK22237" s="831">
        <v>1641079.85</v>
      </c>
    </row>
    <row r="22238" spans="32:37">
      <c r="AF22238" s="831" t="s">
        <v>11053</v>
      </c>
      <c r="AG22238" s="831" t="s">
        <v>2674</v>
      </c>
      <c r="AH22238" s="831" t="s">
        <v>2688</v>
      </c>
      <c r="AI22238" s="831">
        <v>0</v>
      </c>
      <c r="AJ22238" s="835">
        <v>41517</v>
      </c>
      <c r="AK22238" s="831">
        <v>1980496.8299999998</v>
      </c>
    </row>
    <row r="22239" spans="32:37">
      <c r="AF22239" s="831" t="s">
        <v>11054</v>
      </c>
      <c r="AG22239" s="831" t="s">
        <v>2674</v>
      </c>
      <c r="AH22239" s="831" t="s">
        <v>556</v>
      </c>
      <c r="AI22239" s="831">
        <v>0</v>
      </c>
      <c r="AJ22239" s="835">
        <v>41517</v>
      </c>
      <c r="AK22239" s="831">
        <v>1644732</v>
      </c>
    </row>
    <row r="22240" spans="32:37">
      <c r="AF22240" s="831" t="s">
        <v>11055</v>
      </c>
      <c r="AG22240" s="831" t="s">
        <v>2674</v>
      </c>
      <c r="AH22240" s="831" t="s">
        <v>555</v>
      </c>
      <c r="AI22240" s="831">
        <v>0</v>
      </c>
      <c r="AJ22240" s="835">
        <v>41517</v>
      </c>
      <c r="AK22240" s="831">
        <v>349976200</v>
      </c>
    </row>
    <row r="22241" spans="32:37">
      <c r="AF22241" s="831" t="s">
        <v>11056</v>
      </c>
      <c r="AG22241" s="831" t="s">
        <v>2674</v>
      </c>
      <c r="AH22241" s="831" t="s">
        <v>554</v>
      </c>
      <c r="AI22241" s="831">
        <v>0</v>
      </c>
      <c r="AJ22241" s="835">
        <v>41517</v>
      </c>
      <c r="AK22241" s="831">
        <v>362271180</v>
      </c>
    </row>
    <row r="22242" spans="32:37">
      <c r="AF22242" s="831" t="s">
        <v>11057</v>
      </c>
      <c r="AG22242" s="831" t="s">
        <v>2674</v>
      </c>
      <c r="AH22242" s="831" t="s">
        <v>553</v>
      </c>
      <c r="AI22242" s="831">
        <v>0</v>
      </c>
      <c r="AJ22242" s="835">
        <v>41517</v>
      </c>
      <c r="AK22242" s="831">
        <v>0</v>
      </c>
    </row>
    <row r="22243" spans="32:37">
      <c r="AF22243" s="831" t="s">
        <v>11058</v>
      </c>
      <c r="AG22243" s="831" t="s">
        <v>2674</v>
      </c>
      <c r="AH22243" s="831" t="s">
        <v>552</v>
      </c>
      <c r="AI22243" s="831">
        <v>0</v>
      </c>
      <c r="AJ22243" s="835">
        <v>41517</v>
      </c>
      <c r="AK22243" s="831">
        <v>0</v>
      </c>
    </row>
    <row r="22244" spans="32:37">
      <c r="AF22244" s="831" t="s">
        <v>11059</v>
      </c>
      <c r="AG22244" s="831" t="s">
        <v>2674</v>
      </c>
      <c r="AH22244" s="831" t="s">
        <v>551</v>
      </c>
      <c r="AI22244" s="831">
        <v>0</v>
      </c>
      <c r="AJ22244" s="835">
        <v>41517</v>
      </c>
      <c r="AK22244" s="831">
        <v>1337345.54</v>
      </c>
    </row>
    <row r="22245" spans="32:37">
      <c r="AF22245" s="831" t="s">
        <v>11060</v>
      </c>
      <c r="AG22245" s="831" t="s">
        <v>2674</v>
      </c>
      <c r="AH22245" s="831" t="s">
        <v>550</v>
      </c>
      <c r="AI22245" s="831">
        <v>0</v>
      </c>
      <c r="AJ22245" s="835">
        <v>41517</v>
      </c>
      <c r="AK22245" s="831">
        <v>110887562</v>
      </c>
    </row>
    <row r="22246" spans="32:37">
      <c r="AF22246" s="831" t="s">
        <v>11061</v>
      </c>
      <c r="AG22246" s="831" t="s">
        <v>2674</v>
      </c>
      <c r="AH22246" s="831" t="s">
        <v>562</v>
      </c>
      <c r="AI22246" s="831">
        <v>0</v>
      </c>
      <c r="AJ22246" s="835">
        <v>41517</v>
      </c>
      <c r="AK22246" s="831">
        <v>0.78385000000000005</v>
      </c>
    </row>
    <row r="22247" spans="32:37">
      <c r="AF22247" s="831" t="s">
        <v>11062</v>
      </c>
      <c r="AG22247" s="831" t="s">
        <v>2674</v>
      </c>
      <c r="AH22247" s="831" t="s">
        <v>2698</v>
      </c>
      <c r="AI22247" s="831">
        <v>0</v>
      </c>
      <c r="AJ22247" s="835">
        <v>41517</v>
      </c>
      <c r="AK22247" s="831">
        <v>0.78374999999999995</v>
      </c>
    </row>
    <row r="22248" spans="32:37">
      <c r="AF22248" s="831" t="s">
        <v>11063</v>
      </c>
      <c r="AG22248" s="831" t="s">
        <v>2674</v>
      </c>
      <c r="AH22248" s="831" t="s">
        <v>560</v>
      </c>
      <c r="AI22248" s="831">
        <v>0</v>
      </c>
      <c r="AJ22248" s="835">
        <v>41517</v>
      </c>
      <c r="AK22248" s="831">
        <v>0.7840125</v>
      </c>
    </row>
    <row r="22249" spans="32:37">
      <c r="AF22249" s="831" t="s">
        <v>11064</v>
      </c>
      <c r="AG22249" s="831" t="s">
        <v>2674</v>
      </c>
      <c r="AH22249" s="831" t="s">
        <v>559</v>
      </c>
      <c r="AI22249" s="831">
        <v>0</v>
      </c>
      <c r="AJ22249" s="835">
        <v>41517</v>
      </c>
      <c r="AK22249" s="831">
        <v>0.78410416666666671</v>
      </c>
    </row>
    <row r="22250" spans="32:37">
      <c r="AF22250" s="831" t="s">
        <v>11065</v>
      </c>
      <c r="AG22250" s="831" t="s">
        <v>2674</v>
      </c>
      <c r="AH22250" s="831" t="s">
        <v>568</v>
      </c>
      <c r="AI22250" s="831">
        <v>0</v>
      </c>
      <c r="AJ22250" s="835">
        <v>41517</v>
      </c>
      <c r="AK22250" s="831">
        <v>446494134.38461536</v>
      </c>
    </row>
    <row r="22251" spans="32:37">
      <c r="AF22251" s="831" t="s">
        <v>11066</v>
      </c>
      <c r="AG22251" s="831" t="s">
        <v>2674</v>
      </c>
      <c r="AH22251" s="831" t="s">
        <v>569</v>
      </c>
      <c r="AI22251" s="831">
        <v>0</v>
      </c>
      <c r="AJ22251" s="835">
        <v>41517</v>
      </c>
      <c r="AK22251" s="831">
        <v>542095460.15384614</v>
      </c>
    </row>
    <row r="22252" spans="32:37">
      <c r="AF22252" s="831" t="s">
        <v>11067</v>
      </c>
      <c r="AG22252" s="831" t="s">
        <v>2674</v>
      </c>
      <c r="AH22252" s="831" t="s">
        <v>570</v>
      </c>
      <c r="AI22252" s="831">
        <v>0</v>
      </c>
      <c r="AJ22252" s="835">
        <v>41517</v>
      </c>
      <c r="AK22252" s="831">
        <v>102565482.6923077</v>
      </c>
    </row>
    <row r="22253" spans="32:37">
      <c r="AF22253" s="831" t="s">
        <v>11068</v>
      </c>
      <c r="AG22253" s="831" t="s">
        <v>2674</v>
      </c>
      <c r="AH22253" s="831" t="s">
        <v>571</v>
      </c>
      <c r="AI22253" s="831">
        <v>0</v>
      </c>
      <c r="AJ22253" s="835">
        <v>41517</v>
      </c>
      <c r="AK22253" s="831">
        <v>245131875.46153846</v>
      </c>
    </row>
    <row r="22254" spans="32:37">
      <c r="AF22254" s="831" t="s">
        <v>11069</v>
      </c>
      <c r="AG22254" s="831" t="s">
        <v>2674</v>
      </c>
      <c r="AH22254" s="831" t="s">
        <v>573</v>
      </c>
      <c r="AI22254" s="831">
        <v>0</v>
      </c>
      <c r="AJ22254" s="835">
        <v>41517</v>
      </c>
      <c r="AK22254" s="831">
        <v>579585898.22222221</v>
      </c>
    </row>
    <row r="22255" spans="32:37">
      <c r="AF22255" s="831" t="s">
        <v>11070</v>
      </c>
      <c r="AG22255" s="831" t="s">
        <v>2674</v>
      </c>
      <c r="AH22255" s="831" t="s">
        <v>574</v>
      </c>
      <c r="AI22255" s="831">
        <v>0</v>
      </c>
      <c r="AJ22255" s="835">
        <v>41517</v>
      </c>
      <c r="AK22255" s="831">
        <v>478283946.77777779</v>
      </c>
    </row>
    <row r="22256" spans="32:37">
      <c r="AF22256" s="831" t="s">
        <v>11071</v>
      </c>
      <c r="AG22256" s="831" t="s">
        <v>2674</v>
      </c>
      <c r="AH22256" s="831" t="s">
        <v>575</v>
      </c>
      <c r="AI22256" s="831">
        <v>0</v>
      </c>
      <c r="AJ22256" s="835">
        <v>41517</v>
      </c>
      <c r="AK22256" s="831">
        <v>104359849</v>
      </c>
    </row>
    <row r="22257" spans="32:37">
      <c r="AF22257" s="831" t="s">
        <v>11072</v>
      </c>
      <c r="AG22257" s="831" t="s">
        <v>2674</v>
      </c>
      <c r="AH22257" s="831" t="s">
        <v>576</v>
      </c>
      <c r="AI22257" s="831">
        <v>0</v>
      </c>
      <c r="AJ22257" s="835">
        <v>41517</v>
      </c>
      <c r="AK22257" s="831">
        <v>270469259.22222221</v>
      </c>
    </row>
    <row r="22258" spans="32:37">
      <c r="AF22258" s="831" t="s">
        <v>11073</v>
      </c>
      <c r="AG22258" s="831" t="s">
        <v>2674</v>
      </c>
      <c r="AH22258" s="831" t="s">
        <v>572</v>
      </c>
      <c r="AI22258" s="831">
        <v>0</v>
      </c>
      <c r="AJ22258" s="835">
        <v>41517</v>
      </c>
      <c r="AK22258" s="831">
        <v>24859621</v>
      </c>
    </row>
    <row r="22259" spans="32:37">
      <c r="AF22259" s="831" t="s">
        <v>11074</v>
      </c>
      <c r="AG22259" s="831" t="s">
        <v>2674</v>
      </c>
      <c r="AH22259" s="831" t="s">
        <v>577</v>
      </c>
      <c r="AI22259" s="831">
        <v>0</v>
      </c>
      <c r="AJ22259" s="835">
        <v>41517</v>
      </c>
      <c r="AK22259" s="831">
        <v>119121446</v>
      </c>
    </row>
    <row r="22260" spans="32:37">
      <c r="AF22260" s="831" t="s">
        <v>11075</v>
      </c>
      <c r="AG22260" s="831" t="s">
        <v>2674</v>
      </c>
      <c r="AH22260" s="831" t="s">
        <v>3042</v>
      </c>
      <c r="AI22260" s="831">
        <v>0</v>
      </c>
      <c r="AJ22260" s="835">
        <v>41517</v>
      </c>
      <c r="AK22260" s="831">
        <v>-29143089</v>
      </c>
    </row>
    <row r="22261" spans="32:37">
      <c r="AF22261" s="831" t="s">
        <v>11076</v>
      </c>
      <c r="AG22261" s="831" t="s">
        <v>2674</v>
      </c>
      <c r="AH22261" s="831" t="s">
        <v>3044</v>
      </c>
      <c r="AI22261" s="831">
        <v>0</v>
      </c>
      <c r="AJ22261" s="835">
        <v>41517</v>
      </c>
      <c r="AK22261" s="831">
        <v>-4417525</v>
      </c>
    </row>
    <row r="22262" spans="32:37">
      <c r="AF22262" s="831" t="s">
        <v>11077</v>
      </c>
      <c r="AG22262" s="831" t="s">
        <v>2674</v>
      </c>
      <c r="AH22262" s="831" t="s">
        <v>580</v>
      </c>
      <c r="AI22262" s="831">
        <v>0</v>
      </c>
      <c r="AJ22262" s="835">
        <v>41517</v>
      </c>
      <c r="AK22262" s="831">
        <v>-58376707</v>
      </c>
    </row>
    <row r="22263" spans="32:37">
      <c r="AF22263" s="831" t="s">
        <v>11078</v>
      </c>
      <c r="AG22263" s="831" t="s">
        <v>2674</v>
      </c>
      <c r="AH22263" s="831" t="s">
        <v>581</v>
      </c>
      <c r="AI22263" s="831">
        <v>0</v>
      </c>
      <c r="AJ22263" s="835">
        <v>41517</v>
      </c>
      <c r="AK22263" s="831">
        <v>4578677</v>
      </c>
    </row>
    <row r="22264" spans="32:37">
      <c r="AF22264" s="831" t="s">
        <v>11079</v>
      </c>
      <c r="AG22264" s="831" t="s">
        <v>2674</v>
      </c>
      <c r="AH22264" s="831" t="s">
        <v>105</v>
      </c>
      <c r="AI22264" s="831">
        <v>0</v>
      </c>
      <c r="AJ22264" s="835">
        <v>41517</v>
      </c>
      <c r="AK22264" s="831">
        <v>314125292</v>
      </c>
    </row>
    <row r="22265" spans="32:37">
      <c r="AF22265" s="831" t="s">
        <v>11080</v>
      </c>
      <c r="AG22265" s="831" t="s">
        <v>2674</v>
      </c>
      <c r="AH22265" s="831" t="s">
        <v>3049</v>
      </c>
      <c r="AI22265" s="831">
        <v>0</v>
      </c>
      <c r="AJ22265" s="835">
        <v>41517</v>
      </c>
      <c r="AK22265" s="831">
        <v>527249449.14999998</v>
      </c>
    </row>
    <row r="22266" spans="32:37">
      <c r="AF22266" s="831" t="s">
        <v>11081</v>
      </c>
      <c r="AG22266" s="831" t="s">
        <v>2674</v>
      </c>
      <c r="AH22266" s="831" t="s">
        <v>103</v>
      </c>
      <c r="AI22266" s="831">
        <v>0</v>
      </c>
      <c r="AJ22266" s="835">
        <v>41517</v>
      </c>
      <c r="AK22266" s="831">
        <v>213124157.14999998</v>
      </c>
    </row>
    <row r="22267" spans="32:37">
      <c r="AF22267" s="831" t="s">
        <v>11082</v>
      </c>
      <c r="AG22267" s="831" t="s">
        <v>2674</v>
      </c>
      <c r="AH22267" s="831" t="s">
        <v>182</v>
      </c>
      <c r="AI22267" s="831">
        <v>0</v>
      </c>
      <c r="AJ22267" s="835">
        <v>41517</v>
      </c>
      <c r="AK22267" s="831">
        <v>57914724</v>
      </c>
    </row>
    <row r="22268" spans="32:37">
      <c r="AF22268" s="831" t="s">
        <v>11083</v>
      </c>
      <c r="AG22268" s="831" t="s">
        <v>2674</v>
      </c>
      <c r="AH22268" s="831" t="s">
        <v>6600</v>
      </c>
      <c r="AI22268" s="831">
        <v>0</v>
      </c>
      <c r="AJ22268" s="835">
        <v>41517</v>
      </c>
      <c r="AK22268" s="831">
        <v>24859621</v>
      </c>
    </row>
    <row r="22269" spans="32:37">
      <c r="AF22269" s="831" t="s">
        <v>11084</v>
      </c>
      <c r="AG22269" s="831" t="s">
        <v>2674</v>
      </c>
      <c r="AH22269" s="831" t="s">
        <v>6602</v>
      </c>
      <c r="AI22269" s="831">
        <v>0</v>
      </c>
      <c r="AJ22269" s="835">
        <v>41517</v>
      </c>
      <c r="AK22269" s="831">
        <v>19111719</v>
      </c>
    </row>
    <row r="22270" spans="32:37">
      <c r="AF22270" s="831" t="s">
        <v>11085</v>
      </c>
      <c r="AG22270" s="831" t="s">
        <v>2674</v>
      </c>
      <c r="AH22270" s="831" t="s">
        <v>650</v>
      </c>
      <c r="AI22270" s="831">
        <v>0</v>
      </c>
      <c r="AJ22270" s="835">
        <v>41517</v>
      </c>
      <c r="AK22270" s="831">
        <v>180578512.62692308</v>
      </c>
    </row>
    <row r="22271" spans="32:37">
      <c r="AF22271" s="831" t="s">
        <v>11086</v>
      </c>
      <c r="AG22271" s="831" t="s">
        <v>2674</v>
      </c>
      <c r="AH22271" s="831" t="s">
        <v>655</v>
      </c>
      <c r="AI22271" s="831">
        <v>0</v>
      </c>
      <c r="AJ22271" s="835">
        <v>41517</v>
      </c>
      <c r="AK22271" s="831">
        <v>1231052.19</v>
      </c>
    </row>
    <row r="22272" spans="32:37">
      <c r="AF22272" s="831" t="s">
        <v>11087</v>
      </c>
      <c r="AG22272" s="831" t="s">
        <v>2674</v>
      </c>
      <c r="AH22272" s="831" t="s">
        <v>546</v>
      </c>
      <c r="AI22272" s="831">
        <v>0</v>
      </c>
      <c r="AJ22272" s="835">
        <v>41547</v>
      </c>
      <c r="AK22272" s="831">
        <v>563989028</v>
      </c>
    </row>
    <row r="22273" spans="32:37">
      <c r="AF22273" s="831" t="s">
        <v>11088</v>
      </c>
      <c r="AG22273" s="831" t="s">
        <v>2674</v>
      </c>
      <c r="AH22273" s="831" t="s">
        <v>370</v>
      </c>
      <c r="AI22273" s="831">
        <v>0</v>
      </c>
      <c r="AJ22273" s="835">
        <v>41547</v>
      </c>
      <c r="AK22273" s="831">
        <v>692795586</v>
      </c>
    </row>
    <row r="22274" spans="32:37">
      <c r="AF22274" s="831" t="s">
        <v>11089</v>
      </c>
      <c r="AG22274" s="831" t="s">
        <v>2674</v>
      </c>
      <c r="AH22274" s="831" t="s">
        <v>126</v>
      </c>
      <c r="AI22274" s="831">
        <v>0</v>
      </c>
      <c r="AJ22274" s="835">
        <v>41547</v>
      </c>
      <c r="AK22274" s="831">
        <v>117170637</v>
      </c>
    </row>
    <row r="22275" spans="32:37">
      <c r="AF22275" s="831" t="s">
        <v>11090</v>
      </c>
      <c r="AG22275" s="831" t="s">
        <v>2674</v>
      </c>
      <c r="AH22275" s="831" t="s">
        <v>268</v>
      </c>
      <c r="AI22275" s="831">
        <v>0</v>
      </c>
      <c r="AJ22275" s="835">
        <v>41547</v>
      </c>
      <c r="AK22275" s="831">
        <v>22407414</v>
      </c>
    </row>
    <row r="22276" spans="32:37">
      <c r="AF22276" s="831" t="s">
        <v>11091</v>
      </c>
      <c r="AG22276" s="831" t="s">
        <v>2674</v>
      </c>
      <c r="AH22276" s="831" t="s">
        <v>547</v>
      </c>
      <c r="AI22276" s="831">
        <v>0</v>
      </c>
      <c r="AJ22276" s="835">
        <v>41547</v>
      </c>
      <c r="AK22276" s="831">
        <v>511487760</v>
      </c>
    </row>
    <row r="22277" spans="32:37">
      <c r="AF22277" s="831" t="s">
        <v>11092</v>
      </c>
      <c r="AG22277" s="831" t="s">
        <v>2674</v>
      </c>
      <c r="AH22277" s="831" t="s">
        <v>548</v>
      </c>
      <c r="AI22277" s="831">
        <v>0</v>
      </c>
      <c r="AJ22277" s="835">
        <v>41547</v>
      </c>
      <c r="AK22277" s="831">
        <v>96883184</v>
      </c>
    </row>
    <row r="22278" spans="32:37">
      <c r="AF22278" s="831" t="s">
        <v>11093</v>
      </c>
      <c r="AG22278" s="831" t="s">
        <v>2674</v>
      </c>
      <c r="AH22278" s="831" t="s">
        <v>549</v>
      </c>
      <c r="AI22278" s="831">
        <v>0</v>
      </c>
      <c r="AJ22278" s="835">
        <v>41547</v>
      </c>
      <c r="AK22278" s="831">
        <v>367084945</v>
      </c>
    </row>
    <row r="22279" spans="32:37">
      <c r="AF22279" s="831" t="s">
        <v>11094</v>
      </c>
      <c r="AG22279" s="831" t="s">
        <v>2674</v>
      </c>
      <c r="AH22279" s="831" t="s">
        <v>192</v>
      </c>
      <c r="AI22279" s="831">
        <v>0</v>
      </c>
      <c r="AJ22279" s="835">
        <v>41547</v>
      </c>
      <c r="AK22279" s="831">
        <v>-12882814</v>
      </c>
    </row>
    <row r="22280" spans="32:37">
      <c r="AF22280" s="831" t="s">
        <v>11095</v>
      </c>
      <c r="AG22280" s="831" t="s">
        <v>2674</v>
      </c>
      <c r="AH22280" s="831" t="s">
        <v>558</v>
      </c>
      <c r="AI22280" s="831">
        <v>0</v>
      </c>
      <c r="AJ22280" s="835">
        <v>41547</v>
      </c>
      <c r="AK22280" s="831">
        <v>575624949</v>
      </c>
    </row>
    <row r="22281" spans="32:37">
      <c r="AF22281" s="831" t="s">
        <v>11096</v>
      </c>
      <c r="AG22281" s="831" t="s">
        <v>2674</v>
      </c>
      <c r="AH22281" s="831" t="s">
        <v>65</v>
      </c>
      <c r="AI22281" s="831">
        <v>0</v>
      </c>
      <c r="AJ22281" s="835">
        <v>41547</v>
      </c>
      <c r="AK22281" s="831">
        <v>95313557</v>
      </c>
    </row>
    <row r="22282" spans="32:37">
      <c r="AF22282" s="831" t="s">
        <v>11097</v>
      </c>
      <c r="AG22282" s="831" t="s">
        <v>2674</v>
      </c>
      <c r="AH22282" s="831" t="s">
        <v>89</v>
      </c>
      <c r="AI22282" s="831">
        <v>0</v>
      </c>
      <c r="AJ22282" s="835">
        <v>41547</v>
      </c>
      <c r="AK22282" s="831">
        <v>141558</v>
      </c>
    </row>
    <row r="22283" spans="32:37">
      <c r="AF22283" s="831" t="s">
        <v>11098</v>
      </c>
      <c r="AG22283" s="831" t="s">
        <v>2674</v>
      </c>
      <c r="AH22283" s="831" t="s">
        <v>557</v>
      </c>
      <c r="AI22283" s="831">
        <v>0</v>
      </c>
      <c r="AJ22283" s="835">
        <v>41547</v>
      </c>
      <c r="AK22283" s="831">
        <v>150480</v>
      </c>
    </row>
    <row r="22284" spans="32:37">
      <c r="AF22284" s="831" t="s">
        <v>11099</v>
      </c>
      <c r="AG22284" s="831" t="s">
        <v>2674</v>
      </c>
      <c r="AH22284" s="831" t="s">
        <v>29</v>
      </c>
      <c r="AI22284" s="831">
        <v>0</v>
      </c>
      <c r="AJ22284" s="835">
        <v>41547</v>
      </c>
      <c r="AK22284" s="831">
        <v>1808536.49</v>
      </c>
    </row>
    <row r="22285" spans="32:37">
      <c r="AF22285" s="831" t="s">
        <v>11100</v>
      </c>
      <c r="AG22285" s="831" t="s">
        <v>2674</v>
      </c>
      <c r="AH22285" s="831" t="s">
        <v>2688</v>
      </c>
      <c r="AI22285" s="831">
        <v>0</v>
      </c>
      <c r="AJ22285" s="835">
        <v>41547</v>
      </c>
      <c r="AK22285" s="831">
        <v>1944896.06</v>
      </c>
    </row>
    <row r="22286" spans="32:37">
      <c r="AF22286" s="831" t="s">
        <v>11101</v>
      </c>
      <c r="AG22286" s="831" t="s">
        <v>2674</v>
      </c>
      <c r="AH22286" s="831" t="s">
        <v>556</v>
      </c>
      <c r="AI22286" s="831">
        <v>0</v>
      </c>
      <c r="AJ22286" s="835">
        <v>41547</v>
      </c>
      <c r="AK22286" s="831">
        <v>1644732</v>
      </c>
    </row>
    <row r="22287" spans="32:37">
      <c r="AF22287" s="831" t="s">
        <v>11102</v>
      </c>
      <c r="AG22287" s="831" t="s">
        <v>2674</v>
      </c>
      <c r="AH22287" s="831" t="s">
        <v>555</v>
      </c>
      <c r="AI22287" s="831">
        <v>0</v>
      </c>
      <c r="AJ22287" s="835">
        <v>41547</v>
      </c>
      <c r="AK22287" s="831">
        <v>373785500</v>
      </c>
    </row>
    <row r="22288" spans="32:37">
      <c r="AF22288" s="831" t="s">
        <v>11103</v>
      </c>
      <c r="AG22288" s="831" t="s">
        <v>2674</v>
      </c>
      <c r="AH22288" s="831" t="s">
        <v>554</v>
      </c>
      <c r="AI22288" s="831">
        <v>0</v>
      </c>
      <c r="AJ22288" s="835">
        <v>41547</v>
      </c>
      <c r="AK22288" s="831">
        <v>389313510</v>
      </c>
    </row>
    <row r="22289" spans="32:37">
      <c r="AF22289" s="831" t="s">
        <v>11104</v>
      </c>
      <c r="AG22289" s="831" t="s">
        <v>2674</v>
      </c>
      <c r="AH22289" s="831" t="s">
        <v>553</v>
      </c>
      <c r="AI22289" s="831">
        <v>0</v>
      </c>
      <c r="AJ22289" s="835">
        <v>41547</v>
      </c>
      <c r="AK22289" s="831">
        <v>0</v>
      </c>
    </row>
    <row r="22290" spans="32:37">
      <c r="AF22290" s="831" t="s">
        <v>11105</v>
      </c>
      <c r="AG22290" s="831" t="s">
        <v>2674</v>
      </c>
      <c r="AH22290" s="831" t="s">
        <v>552</v>
      </c>
      <c r="AI22290" s="831">
        <v>0</v>
      </c>
      <c r="AJ22290" s="835">
        <v>41547</v>
      </c>
      <c r="AK22290" s="831">
        <v>0</v>
      </c>
    </row>
    <row r="22291" spans="32:37">
      <c r="AF22291" s="831" t="s">
        <v>11106</v>
      </c>
      <c r="AG22291" s="831" t="s">
        <v>2674</v>
      </c>
      <c r="AH22291" s="831" t="s">
        <v>551</v>
      </c>
      <c r="AI22291" s="831">
        <v>0</v>
      </c>
      <c r="AJ22291" s="835">
        <v>41547</v>
      </c>
      <c r="AK22291" s="831">
        <v>1611508.6</v>
      </c>
    </row>
    <row r="22292" spans="32:37">
      <c r="AF22292" s="831" t="s">
        <v>11107</v>
      </c>
      <c r="AG22292" s="831" t="s">
        <v>2674</v>
      </c>
      <c r="AH22292" s="831" t="s">
        <v>550</v>
      </c>
      <c r="AI22292" s="831">
        <v>0</v>
      </c>
      <c r="AJ22292" s="835">
        <v>41547</v>
      </c>
      <c r="AK22292" s="831">
        <v>113874944</v>
      </c>
    </row>
    <row r="22293" spans="32:37">
      <c r="AF22293" s="831" t="s">
        <v>11108</v>
      </c>
      <c r="AG22293" s="831" t="s">
        <v>2674</v>
      </c>
      <c r="AH22293" s="831" t="s">
        <v>562</v>
      </c>
      <c r="AI22293" s="831">
        <v>0</v>
      </c>
      <c r="AJ22293" s="835">
        <v>41547</v>
      </c>
      <c r="AK22293" s="831">
        <v>0.78395000000000004</v>
      </c>
    </row>
    <row r="22294" spans="32:37">
      <c r="AF22294" s="831" t="s">
        <v>11109</v>
      </c>
      <c r="AG22294" s="831" t="s">
        <v>2674</v>
      </c>
      <c r="AH22294" s="831" t="s">
        <v>2698</v>
      </c>
      <c r="AI22294" s="831">
        <v>0</v>
      </c>
      <c r="AJ22294" s="835">
        <v>41547</v>
      </c>
      <c r="AK22294" s="831">
        <v>0.78385000000000005</v>
      </c>
    </row>
    <row r="22295" spans="32:37">
      <c r="AF22295" s="831" t="s">
        <v>11110</v>
      </c>
      <c r="AG22295" s="831" t="s">
        <v>2674</v>
      </c>
      <c r="AH22295" s="831" t="s">
        <v>560</v>
      </c>
      <c r="AI22295" s="831">
        <v>0</v>
      </c>
      <c r="AJ22295" s="835">
        <v>41547</v>
      </c>
      <c r="AK22295" s="831">
        <v>0.78400555555555551</v>
      </c>
    </row>
    <row r="22296" spans="32:37">
      <c r="AF22296" s="831" t="s">
        <v>11111</v>
      </c>
      <c r="AG22296" s="831" t="s">
        <v>2674</v>
      </c>
      <c r="AH22296" s="831" t="s">
        <v>559</v>
      </c>
      <c r="AI22296" s="831">
        <v>0</v>
      </c>
      <c r="AJ22296" s="835">
        <v>41547</v>
      </c>
      <c r="AK22296" s="831">
        <v>0.78404583333333333</v>
      </c>
    </row>
    <row r="22297" spans="32:37">
      <c r="AF22297" s="831" t="s">
        <v>11112</v>
      </c>
      <c r="AG22297" s="831" t="s">
        <v>2674</v>
      </c>
      <c r="AH22297" s="831" t="s">
        <v>568</v>
      </c>
      <c r="AI22297" s="831">
        <v>0</v>
      </c>
      <c r="AJ22297" s="835">
        <v>41547</v>
      </c>
      <c r="AK22297" s="831">
        <v>462009040.84615386</v>
      </c>
    </row>
    <row r="22298" spans="32:37">
      <c r="AF22298" s="831" t="s">
        <v>11113</v>
      </c>
      <c r="AG22298" s="831" t="s">
        <v>2674</v>
      </c>
      <c r="AH22298" s="831" t="s">
        <v>569</v>
      </c>
      <c r="AI22298" s="831">
        <v>0</v>
      </c>
      <c r="AJ22298" s="835">
        <v>41547</v>
      </c>
      <c r="AK22298" s="831">
        <v>560598027.84615386</v>
      </c>
    </row>
    <row r="22299" spans="32:37">
      <c r="AF22299" s="831" t="s">
        <v>11114</v>
      </c>
      <c r="AG22299" s="831" t="s">
        <v>2674</v>
      </c>
      <c r="AH22299" s="831" t="s">
        <v>570</v>
      </c>
      <c r="AI22299" s="831">
        <v>0</v>
      </c>
      <c r="AJ22299" s="835">
        <v>41547</v>
      </c>
      <c r="AK22299" s="831">
        <v>104238995.3076923</v>
      </c>
    </row>
    <row r="22300" spans="32:37">
      <c r="AF22300" s="831" t="s">
        <v>11115</v>
      </c>
      <c r="AG22300" s="831" t="s">
        <v>2674</v>
      </c>
      <c r="AH22300" s="831" t="s">
        <v>571</v>
      </c>
      <c r="AI22300" s="831">
        <v>0</v>
      </c>
      <c r="AJ22300" s="835">
        <v>41547</v>
      </c>
      <c r="AK22300" s="831">
        <v>257329819.61538461</v>
      </c>
    </row>
    <row r="22301" spans="32:37">
      <c r="AF22301" s="831" t="s">
        <v>11116</v>
      </c>
      <c r="AG22301" s="831" t="s">
        <v>2674</v>
      </c>
      <c r="AH22301" s="831" t="s">
        <v>573</v>
      </c>
      <c r="AI22301" s="831">
        <v>0</v>
      </c>
      <c r="AJ22301" s="835">
        <v>41547</v>
      </c>
      <c r="AK22301" s="831">
        <v>590906867</v>
      </c>
    </row>
    <row r="22302" spans="32:37">
      <c r="AF22302" s="831" t="s">
        <v>11117</v>
      </c>
      <c r="AG22302" s="831" t="s">
        <v>2674</v>
      </c>
      <c r="AH22302" s="831" t="s">
        <v>574</v>
      </c>
      <c r="AI22302" s="831">
        <v>0</v>
      </c>
      <c r="AJ22302" s="835">
        <v>41547</v>
      </c>
      <c r="AK22302" s="831">
        <v>486854454.89999998</v>
      </c>
    </row>
    <row r="22303" spans="32:37">
      <c r="AF22303" s="831" t="s">
        <v>11118</v>
      </c>
      <c r="AG22303" s="831" t="s">
        <v>2674</v>
      </c>
      <c r="AH22303" s="831" t="s">
        <v>575</v>
      </c>
      <c r="AI22303" s="831">
        <v>0</v>
      </c>
      <c r="AJ22303" s="835">
        <v>41547</v>
      </c>
      <c r="AK22303" s="831">
        <v>105640927.8</v>
      </c>
    </row>
    <row r="22304" spans="32:37">
      <c r="AF22304" s="831" t="s">
        <v>11119</v>
      </c>
      <c r="AG22304" s="831" t="s">
        <v>2674</v>
      </c>
      <c r="AH22304" s="831" t="s">
        <v>576</v>
      </c>
      <c r="AI22304" s="831">
        <v>0</v>
      </c>
      <c r="AJ22304" s="835">
        <v>41547</v>
      </c>
      <c r="AK22304" s="831">
        <v>277318070.10000002</v>
      </c>
    </row>
    <row r="22305" spans="32:37">
      <c r="AF22305" s="831" t="s">
        <v>11120</v>
      </c>
      <c r="AG22305" s="831" t="s">
        <v>2674</v>
      </c>
      <c r="AH22305" s="831" t="s">
        <v>572</v>
      </c>
      <c r="AI22305" s="831">
        <v>0</v>
      </c>
      <c r="AJ22305" s="835">
        <v>41547</v>
      </c>
      <c r="AK22305" s="831">
        <v>26160885</v>
      </c>
    </row>
    <row r="22306" spans="32:37">
      <c r="AF22306" s="831" t="s">
        <v>11121</v>
      </c>
      <c r="AG22306" s="831" t="s">
        <v>2674</v>
      </c>
      <c r="AH22306" s="831" t="s">
        <v>577</v>
      </c>
      <c r="AI22306" s="831">
        <v>0</v>
      </c>
      <c r="AJ22306" s="835">
        <v>41547</v>
      </c>
      <c r="AK22306" s="831">
        <v>122921739</v>
      </c>
    </row>
    <row r="22307" spans="32:37">
      <c r="AF22307" s="831" t="s">
        <v>11122</v>
      </c>
      <c r="AG22307" s="831" t="s">
        <v>2674</v>
      </c>
      <c r="AH22307" s="831" t="s">
        <v>3042</v>
      </c>
      <c r="AI22307" s="831">
        <v>0</v>
      </c>
      <c r="AJ22307" s="835">
        <v>41547</v>
      </c>
      <c r="AK22307" s="831">
        <v>-30135210</v>
      </c>
    </row>
    <row r="22308" spans="32:37">
      <c r="AF22308" s="831" t="s">
        <v>11123</v>
      </c>
      <c r="AG22308" s="831" t="s">
        <v>2674</v>
      </c>
      <c r="AH22308" s="831" t="s">
        <v>3044</v>
      </c>
      <c r="AI22308" s="831">
        <v>0</v>
      </c>
      <c r="AJ22308" s="835">
        <v>41547</v>
      </c>
      <c r="AK22308" s="831">
        <v>-4515854</v>
      </c>
    </row>
    <row r="22309" spans="32:37">
      <c r="AF22309" s="831" t="s">
        <v>11124</v>
      </c>
      <c r="AG22309" s="831" t="s">
        <v>2674</v>
      </c>
      <c r="AH22309" s="831" t="s">
        <v>580</v>
      </c>
      <c r="AI22309" s="831">
        <v>0</v>
      </c>
      <c r="AJ22309" s="835">
        <v>41547</v>
      </c>
      <c r="AK22309" s="831">
        <v>-59169843</v>
      </c>
    </row>
    <row r="22310" spans="32:37">
      <c r="AF22310" s="831" t="s">
        <v>11125</v>
      </c>
      <c r="AG22310" s="831" t="s">
        <v>2674</v>
      </c>
      <c r="AH22310" s="831" t="s">
        <v>581</v>
      </c>
      <c r="AI22310" s="831">
        <v>0</v>
      </c>
      <c r="AJ22310" s="835">
        <v>41547</v>
      </c>
      <c r="AK22310" s="831">
        <v>4375184</v>
      </c>
    </row>
    <row r="22311" spans="32:37">
      <c r="AF22311" s="831" t="s">
        <v>11126</v>
      </c>
      <c r="AG22311" s="831" t="s">
        <v>2674</v>
      </c>
      <c r="AH22311" s="831" t="s">
        <v>105</v>
      </c>
      <c r="AI22311" s="831">
        <v>0</v>
      </c>
      <c r="AJ22311" s="835">
        <v>41547</v>
      </c>
      <c r="AK22311" s="831">
        <v>338957368</v>
      </c>
    </row>
    <row r="22312" spans="32:37">
      <c r="AF22312" s="831" t="s">
        <v>11127</v>
      </c>
      <c r="AG22312" s="831" t="s">
        <v>2674</v>
      </c>
      <c r="AH22312" s="831" t="s">
        <v>3049</v>
      </c>
      <c r="AI22312" s="831">
        <v>0</v>
      </c>
      <c r="AJ22312" s="835">
        <v>41547</v>
      </c>
      <c r="AK22312" s="831">
        <v>558920871</v>
      </c>
    </row>
    <row r="22313" spans="32:37">
      <c r="AF22313" s="831" t="s">
        <v>11128</v>
      </c>
      <c r="AG22313" s="831" t="s">
        <v>2674</v>
      </c>
      <c r="AH22313" s="831" t="s">
        <v>103</v>
      </c>
      <c r="AI22313" s="831">
        <v>0</v>
      </c>
      <c r="AJ22313" s="835">
        <v>41547</v>
      </c>
      <c r="AK22313" s="831">
        <v>219963503</v>
      </c>
    </row>
    <row r="22314" spans="32:37">
      <c r="AF22314" s="831" t="s">
        <v>11129</v>
      </c>
      <c r="AG22314" s="831" t="s">
        <v>2674</v>
      </c>
      <c r="AH22314" s="831" t="s">
        <v>182</v>
      </c>
      <c r="AI22314" s="831">
        <v>0</v>
      </c>
      <c r="AJ22314" s="835">
        <v>41547</v>
      </c>
      <c r="AK22314" s="831">
        <v>57784893.333333336</v>
      </c>
    </row>
    <row r="22315" spans="32:37">
      <c r="AF22315" s="831" t="s">
        <v>11130</v>
      </c>
      <c r="AG22315" s="831" t="s">
        <v>2674</v>
      </c>
      <c r="AH22315" s="831" t="s">
        <v>6600</v>
      </c>
      <c r="AI22315" s="831">
        <v>0</v>
      </c>
      <c r="AJ22315" s="835">
        <v>41547</v>
      </c>
      <c r="AK22315" s="831">
        <v>26160885</v>
      </c>
    </row>
    <row r="22316" spans="32:37">
      <c r="AF22316" s="831" t="s">
        <v>11131</v>
      </c>
      <c r="AG22316" s="831" t="s">
        <v>2674</v>
      </c>
      <c r="AH22316" s="831" t="s">
        <v>6602</v>
      </c>
      <c r="AI22316" s="831">
        <v>0</v>
      </c>
      <c r="AJ22316" s="835">
        <v>41547</v>
      </c>
      <c r="AK22316" s="831">
        <v>22407414</v>
      </c>
    </row>
    <row r="22317" spans="32:37">
      <c r="AF22317" s="831" t="s">
        <v>11132</v>
      </c>
      <c r="AG22317" s="831" t="s">
        <v>2674</v>
      </c>
      <c r="AH22317" s="831" t="s">
        <v>650</v>
      </c>
      <c r="AI22317" s="831">
        <v>0</v>
      </c>
      <c r="AJ22317" s="835">
        <v>41547</v>
      </c>
      <c r="AK22317" s="831">
        <v>184913431.55000001</v>
      </c>
    </row>
    <row r="22318" spans="32:37">
      <c r="AF22318" s="831" t="s">
        <v>11133</v>
      </c>
      <c r="AG22318" s="831" t="s">
        <v>2674</v>
      </c>
      <c r="AH22318" s="831" t="s">
        <v>655</v>
      </c>
      <c r="AI22318" s="831">
        <v>0</v>
      </c>
      <c r="AJ22318" s="835">
        <v>41547</v>
      </c>
      <c r="AK22318" s="831">
        <v>1374522.24</v>
      </c>
    </row>
    <row r="22319" spans="32:37">
      <c r="AF22319" s="831" t="s">
        <v>11134</v>
      </c>
      <c r="AG22319" s="831" t="s">
        <v>2674</v>
      </c>
      <c r="AH22319" s="831" t="s">
        <v>546</v>
      </c>
      <c r="AI22319" s="831">
        <v>0</v>
      </c>
      <c r="AJ22319" s="835">
        <v>41578</v>
      </c>
      <c r="AK22319" s="831">
        <v>580271359</v>
      </c>
    </row>
    <row r="22320" spans="32:37">
      <c r="AF22320" s="831" t="s">
        <v>11135</v>
      </c>
      <c r="AG22320" s="831" t="s">
        <v>2674</v>
      </c>
      <c r="AH22320" s="831" t="s">
        <v>370</v>
      </c>
      <c r="AI22320" s="831">
        <v>0</v>
      </c>
      <c r="AJ22320" s="835">
        <v>41578</v>
      </c>
      <c r="AK22320" s="831">
        <v>723686405</v>
      </c>
    </row>
    <row r="22321" spans="32:37">
      <c r="AF22321" s="831" t="s">
        <v>11136</v>
      </c>
      <c r="AG22321" s="831" t="s">
        <v>2674</v>
      </c>
      <c r="AH22321" s="831" t="s">
        <v>126</v>
      </c>
      <c r="AI22321" s="831">
        <v>0</v>
      </c>
      <c r="AJ22321" s="835">
        <v>41578</v>
      </c>
      <c r="AK22321" s="831">
        <v>120290863</v>
      </c>
    </row>
    <row r="22322" spans="32:37">
      <c r="AF22322" s="831" t="s">
        <v>11137</v>
      </c>
      <c r="AG22322" s="831" t="s">
        <v>2674</v>
      </c>
      <c r="AH22322" s="831" t="s">
        <v>268</v>
      </c>
      <c r="AI22322" s="831">
        <v>0</v>
      </c>
      <c r="AJ22322" s="835">
        <v>41578</v>
      </c>
      <c r="AK22322" s="831">
        <v>25527641</v>
      </c>
    </row>
    <row r="22323" spans="32:37">
      <c r="AF22323" s="831" t="s">
        <v>11138</v>
      </c>
      <c r="AG22323" s="831" t="s">
        <v>2674</v>
      </c>
      <c r="AH22323" s="831" t="s">
        <v>547</v>
      </c>
      <c r="AI22323" s="831">
        <v>0</v>
      </c>
      <c r="AJ22323" s="835">
        <v>41578</v>
      </c>
      <c r="AK22323" s="831">
        <v>511487760</v>
      </c>
    </row>
    <row r="22324" spans="32:37">
      <c r="AF22324" s="831" t="s">
        <v>11139</v>
      </c>
      <c r="AG22324" s="831" t="s">
        <v>2674</v>
      </c>
      <c r="AH22324" s="831" t="s">
        <v>548</v>
      </c>
      <c r="AI22324" s="831">
        <v>0</v>
      </c>
      <c r="AJ22324" s="835">
        <v>41578</v>
      </c>
      <c r="AK22324" s="831">
        <v>96883184</v>
      </c>
    </row>
    <row r="22325" spans="32:37">
      <c r="AF22325" s="831" t="s">
        <v>11140</v>
      </c>
      <c r="AG22325" s="831" t="s">
        <v>2674</v>
      </c>
      <c r="AH22325" s="831" t="s">
        <v>549</v>
      </c>
      <c r="AI22325" s="831">
        <v>0</v>
      </c>
      <c r="AJ22325" s="835">
        <v>41578</v>
      </c>
      <c r="AK22325" s="831">
        <v>376404251</v>
      </c>
    </row>
    <row r="22326" spans="32:37">
      <c r="AF22326" s="831" t="s">
        <v>11141</v>
      </c>
      <c r="AG22326" s="831" t="s">
        <v>2674</v>
      </c>
      <c r="AH22326" s="831" t="s">
        <v>192</v>
      </c>
      <c r="AI22326" s="831">
        <v>0</v>
      </c>
      <c r="AJ22326" s="835">
        <v>41578</v>
      </c>
      <c r="AK22326" s="831">
        <v>-13193791</v>
      </c>
    </row>
    <row r="22327" spans="32:37">
      <c r="AF22327" s="831" t="s">
        <v>11142</v>
      </c>
      <c r="AG22327" s="831" t="s">
        <v>2674</v>
      </c>
      <c r="AH22327" s="831" t="s">
        <v>558</v>
      </c>
      <c r="AI22327" s="831">
        <v>0</v>
      </c>
      <c r="AJ22327" s="835">
        <v>41578</v>
      </c>
      <c r="AK22327" s="831">
        <v>603395542</v>
      </c>
    </row>
    <row r="22328" spans="32:37">
      <c r="AF22328" s="831" t="s">
        <v>11143</v>
      </c>
      <c r="AG22328" s="831" t="s">
        <v>2674</v>
      </c>
      <c r="AH22328" s="831" t="s">
        <v>65</v>
      </c>
      <c r="AI22328" s="831">
        <v>0</v>
      </c>
      <c r="AJ22328" s="835">
        <v>41578</v>
      </c>
      <c r="AK22328" s="831">
        <v>107527674</v>
      </c>
    </row>
    <row r="22329" spans="32:37">
      <c r="AF22329" s="831" t="s">
        <v>11144</v>
      </c>
      <c r="AG22329" s="831" t="s">
        <v>2674</v>
      </c>
      <c r="AH22329" s="831" t="s">
        <v>89</v>
      </c>
      <c r="AI22329" s="831">
        <v>0</v>
      </c>
      <c r="AJ22329" s="835">
        <v>41578</v>
      </c>
      <c r="AK22329" s="831">
        <v>143295</v>
      </c>
    </row>
    <row r="22330" spans="32:37">
      <c r="AF22330" s="831" t="s">
        <v>11145</v>
      </c>
      <c r="AG22330" s="831" t="s">
        <v>2674</v>
      </c>
      <c r="AH22330" s="831" t="s">
        <v>557</v>
      </c>
      <c r="AI22330" s="831">
        <v>0</v>
      </c>
      <c r="AJ22330" s="835">
        <v>41578</v>
      </c>
      <c r="AK22330" s="831">
        <v>153100</v>
      </c>
    </row>
    <row r="22331" spans="32:37">
      <c r="AF22331" s="831" t="s">
        <v>11146</v>
      </c>
      <c r="AG22331" s="831" t="s">
        <v>2674</v>
      </c>
      <c r="AH22331" s="831" t="s">
        <v>29</v>
      </c>
      <c r="AI22331" s="831">
        <v>0</v>
      </c>
      <c r="AJ22331" s="835">
        <v>41578</v>
      </c>
      <c r="AK22331" s="831">
        <v>1718550.9230000002</v>
      </c>
    </row>
    <row r="22332" spans="32:37">
      <c r="AF22332" s="831" t="s">
        <v>11147</v>
      </c>
      <c r="AG22332" s="831" t="s">
        <v>2674</v>
      </c>
      <c r="AH22332" s="831" t="s">
        <v>2688</v>
      </c>
      <c r="AI22332" s="831">
        <v>0</v>
      </c>
      <c r="AJ22332" s="835">
        <v>41578</v>
      </c>
      <c r="AK22332" s="831">
        <v>2316853.79</v>
      </c>
    </row>
    <row r="22333" spans="32:37">
      <c r="AF22333" s="831" t="s">
        <v>11148</v>
      </c>
      <c r="AG22333" s="831" t="s">
        <v>2674</v>
      </c>
      <c r="AH22333" s="831" t="s">
        <v>556</v>
      </c>
      <c r="AI22333" s="831">
        <v>0</v>
      </c>
      <c r="AJ22333" s="835">
        <v>41578</v>
      </c>
      <c r="AK22333" s="831">
        <v>1644732</v>
      </c>
    </row>
    <row r="22334" spans="32:37">
      <c r="AF22334" s="831" t="s">
        <v>11149</v>
      </c>
      <c r="AG22334" s="831" t="s">
        <v>2674</v>
      </c>
      <c r="AH22334" s="831" t="s">
        <v>555</v>
      </c>
      <c r="AI22334" s="831">
        <v>0</v>
      </c>
      <c r="AJ22334" s="835">
        <v>41578</v>
      </c>
      <c r="AK22334" s="831">
        <v>400055160</v>
      </c>
    </row>
    <row r="22335" spans="32:37">
      <c r="AF22335" s="831" t="s">
        <v>11150</v>
      </c>
      <c r="AG22335" s="831" t="s">
        <v>2674</v>
      </c>
      <c r="AH22335" s="831" t="s">
        <v>554</v>
      </c>
      <c r="AI22335" s="831">
        <v>0</v>
      </c>
      <c r="AJ22335" s="835">
        <v>41578</v>
      </c>
      <c r="AK22335" s="831">
        <v>409100170</v>
      </c>
    </row>
    <row r="22336" spans="32:37">
      <c r="AF22336" s="831" t="s">
        <v>11151</v>
      </c>
      <c r="AG22336" s="831" t="s">
        <v>2674</v>
      </c>
      <c r="AH22336" s="831" t="s">
        <v>553</v>
      </c>
      <c r="AI22336" s="831">
        <v>0</v>
      </c>
      <c r="AJ22336" s="835">
        <v>41578</v>
      </c>
      <c r="AK22336" s="831">
        <v>0</v>
      </c>
    </row>
    <row r="22337" spans="32:37">
      <c r="AF22337" s="831" t="s">
        <v>11152</v>
      </c>
      <c r="AG22337" s="831" t="s">
        <v>2674</v>
      </c>
      <c r="AH22337" s="831" t="s">
        <v>552</v>
      </c>
      <c r="AI22337" s="831">
        <v>0</v>
      </c>
      <c r="AJ22337" s="835">
        <v>41578</v>
      </c>
      <c r="AK22337" s="831">
        <v>0</v>
      </c>
    </row>
    <row r="22338" spans="32:37">
      <c r="AF22338" s="831" t="s">
        <v>11153</v>
      </c>
      <c r="AG22338" s="831" t="s">
        <v>2674</v>
      </c>
      <c r="AH22338" s="831" t="s">
        <v>551</v>
      </c>
      <c r="AI22338" s="831">
        <v>0</v>
      </c>
      <c r="AJ22338" s="835">
        <v>41578</v>
      </c>
      <c r="AK22338" s="831">
        <v>1543588.5830000001</v>
      </c>
    </row>
    <row r="22339" spans="32:37">
      <c r="AF22339" s="831" t="s">
        <v>11154</v>
      </c>
      <c r="AG22339" s="831" t="s">
        <v>2674</v>
      </c>
      <c r="AH22339" s="831" t="s">
        <v>550</v>
      </c>
      <c r="AI22339" s="831">
        <v>0</v>
      </c>
      <c r="AJ22339" s="835">
        <v>41578</v>
      </c>
      <c r="AK22339" s="831">
        <v>117170637</v>
      </c>
    </row>
    <row r="22340" spans="32:37">
      <c r="AF22340" s="831" t="s">
        <v>11155</v>
      </c>
      <c r="AG22340" s="831" t="s">
        <v>2674</v>
      </c>
      <c r="AH22340" s="831" t="s">
        <v>562</v>
      </c>
      <c r="AI22340" s="831">
        <v>0</v>
      </c>
      <c r="AJ22340" s="835">
        <v>41578</v>
      </c>
      <c r="AK22340" s="831">
        <v>0.78395000000000004</v>
      </c>
    </row>
    <row r="22341" spans="32:37">
      <c r="AF22341" s="831" t="s">
        <v>11156</v>
      </c>
      <c r="AG22341" s="831" t="s">
        <v>2674</v>
      </c>
      <c r="AH22341" s="831" t="s">
        <v>2698</v>
      </c>
      <c r="AI22341" s="831">
        <v>0</v>
      </c>
      <c r="AJ22341" s="835">
        <v>41578</v>
      </c>
      <c r="AK22341" s="831">
        <v>0.78395000000000004</v>
      </c>
    </row>
    <row r="22342" spans="32:37">
      <c r="AF22342" s="831" t="s">
        <v>11157</v>
      </c>
      <c r="AG22342" s="831" t="s">
        <v>2674</v>
      </c>
      <c r="AH22342" s="831" t="s">
        <v>560</v>
      </c>
      <c r="AI22342" s="831">
        <v>0</v>
      </c>
      <c r="AJ22342" s="835">
        <v>41578</v>
      </c>
      <c r="AK22342" s="831">
        <v>0.78400000000000003</v>
      </c>
    </row>
    <row r="22343" spans="32:37">
      <c r="AF22343" s="831" t="s">
        <v>11158</v>
      </c>
      <c r="AG22343" s="831" t="s">
        <v>2674</v>
      </c>
      <c r="AH22343" s="831" t="s">
        <v>559</v>
      </c>
      <c r="AI22343" s="831">
        <v>0</v>
      </c>
      <c r="AJ22343" s="835">
        <v>41578</v>
      </c>
      <c r="AK22343" s="831">
        <v>0.78401250000000011</v>
      </c>
    </row>
    <row r="22344" spans="32:37">
      <c r="AF22344" s="831" t="s">
        <v>11159</v>
      </c>
      <c r="AG22344" s="831" t="s">
        <v>2674</v>
      </c>
      <c r="AH22344" s="831" t="s">
        <v>568</v>
      </c>
      <c r="AI22344" s="831">
        <v>0</v>
      </c>
      <c r="AJ22344" s="835">
        <v>41578</v>
      </c>
      <c r="AK22344" s="831">
        <v>478407995.76923078</v>
      </c>
    </row>
    <row r="22345" spans="32:37">
      <c r="AF22345" s="831" t="s">
        <v>11160</v>
      </c>
      <c r="AG22345" s="831" t="s">
        <v>2674</v>
      </c>
      <c r="AH22345" s="831" t="s">
        <v>569</v>
      </c>
      <c r="AI22345" s="831">
        <v>0</v>
      </c>
      <c r="AJ22345" s="835">
        <v>41578</v>
      </c>
      <c r="AK22345" s="831">
        <v>581144138.23076928</v>
      </c>
    </row>
    <row r="22346" spans="32:37">
      <c r="AF22346" s="831" t="s">
        <v>11161</v>
      </c>
      <c r="AG22346" s="831" t="s">
        <v>2674</v>
      </c>
      <c r="AH22346" s="831" t="s">
        <v>570</v>
      </c>
      <c r="AI22346" s="831">
        <v>0</v>
      </c>
      <c r="AJ22346" s="835">
        <v>41578</v>
      </c>
      <c r="AK22346" s="831">
        <v>105999107.61538461</v>
      </c>
    </row>
    <row r="22347" spans="32:37">
      <c r="AF22347" s="831" t="s">
        <v>11162</v>
      </c>
      <c r="AG22347" s="831" t="s">
        <v>2674</v>
      </c>
      <c r="AH22347" s="831" t="s">
        <v>571</v>
      </c>
      <c r="AI22347" s="831">
        <v>0</v>
      </c>
      <c r="AJ22347" s="835">
        <v>41578</v>
      </c>
      <c r="AK22347" s="831">
        <v>269945691.38461536</v>
      </c>
    </row>
    <row r="22348" spans="32:37">
      <c r="AF22348" s="831" t="s">
        <v>11163</v>
      </c>
      <c r="AG22348" s="831" t="s">
        <v>2674</v>
      </c>
      <c r="AH22348" s="831" t="s">
        <v>573</v>
      </c>
      <c r="AI22348" s="831">
        <v>0</v>
      </c>
      <c r="AJ22348" s="835">
        <v>41578</v>
      </c>
      <c r="AK22348" s="831">
        <v>602977734.09090912</v>
      </c>
    </row>
    <row r="22349" spans="32:37">
      <c r="AF22349" s="831" t="s">
        <v>11164</v>
      </c>
      <c r="AG22349" s="831" t="s">
        <v>2674</v>
      </c>
      <c r="AH22349" s="831" t="s">
        <v>574</v>
      </c>
      <c r="AI22349" s="831">
        <v>0</v>
      </c>
      <c r="AJ22349" s="835">
        <v>41578</v>
      </c>
      <c r="AK22349" s="831">
        <v>495346900.72727275</v>
      </c>
    </row>
    <row r="22350" spans="32:37">
      <c r="AF22350" s="831" t="s">
        <v>11165</v>
      </c>
      <c r="AG22350" s="831" t="s">
        <v>2674</v>
      </c>
      <c r="AH22350" s="831" t="s">
        <v>575</v>
      </c>
      <c r="AI22350" s="831">
        <v>0</v>
      </c>
      <c r="AJ22350" s="835">
        <v>41578</v>
      </c>
      <c r="AK22350" s="831">
        <v>106972740.09090909</v>
      </c>
    </row>
    <row r="22351" spans="32:37">
      <c r="AF22351" s="831" t="s">
        <v>11166</v>
      </c>
      <c r="AG22351" s="831" t="s">
        <v>2674</v>
      </c>
      <c r="AH22351" s="831" t="s">
        <v>576</v>
      </c>
      <c r="AI22351" s="831">
        <v>0</v>
      </c>
      <c r="AJ22351" s="835">
        <v>41578</v>
      </c>
      <c r="AK22351" s="831">
        <v>283862763.27272725</v>
      </c>
    </row>
    <row r="22352" spans="32:37">
      <c r="AF22352" s="831" t="s">
        <v>11167</v>
      </c>
      <c r="AG22352" s="831" t="s">
        <v>2674</v>
      </c>
      <c r="AH22352" s="831" t="s">
        <v>572</v>
      </c>
      <c r="AI22352" s="831">
        <v>0</v>
      </c>
      <c r="AJ22352" s="835">
        <v>41578</v>
      </c>
      <c r="AK22352" s="831">
        <v>27259085</v>
      </c>
    </row>
    <row r="22353" spans="32:37">
      <c r="AF22353" s="831" t="s">
        <v>11168</v>
      </c>
      <c r="AG22353" s="831" t="s">
        <v>2674</v>
      </c>
      <c r="AH22353" s="831" t="s">
        <v>577</v>
      </c>
      <c r="AI22353" s="831">
        <v>0</v>
      </c>
      <c r="AJ22353" s="835">
        <v>41578</v>
      </c>
      <c r="AK22353" s="831">
        <v>126095724</v>
      </c>
    </row>
    <row r="22354" spans="32:37">
      <c r="AF22354" s="831" t="s">
        <v>11169</v>
      </c>
      <c r="AG22354" s="831" t="s">
        <v>2674</v>
      </c>
      <c r="AH22354" s="831" t="s">
        <v>3042</v>
      </c>
      <c r="AI22354" s="831">
        <v>0</v>
      </c>
      <c r="AJ22354" s="835">
        <v>41578</v>
      </c>
      <c r="AK22354" s="831">
        <v>-31522962</v>
      </c>
    </row>
    <row r="22355" spans="32:37">
      <c r="AF22355" s="831" t="s">
        <v>11170</v>
      </c>
      <c r="AG22355" s="831" t="s">
        <v>2674</v>
      </c>
      <c r="AH22355" s="831" t="s">
        <v>3044</v>
      </c>
      <c r="AI22355" s="831">
        <v>0</v>
      </c>
      <c r="AJ22355" s="835">
        <v>41578</v>
      </c>
      <c r="AK22355" s="831">
        <v>-4397277</v>
      </c>
    </row>
    <row r="22356" spans="32:37">
      <c r="AF22356" s="831" t="s">
        <v>11171</v>
      </c>
      <c r="AG22356" s="831" t="s">
        <v>2674</v>
      </c>
      <c r="AH22356" s="831" t="s">
        <v>580</v>
      </c>
      <c r="AI22356" s="831">
        <v>0</v>
      </c>
      <c r="AJ22356" s="835">
        <v>41578</v>
      </c>
      <c r="AK22356" s="831">
        <v>-60213639</v>
      </c>
    </row>
    <row r="22357" spans="32:37">
      <c r="AF22357" s="831" t="s">
        <v>11172</v>
      </c>
      <c r="AG22357" s="831" t="s">
        <v>2674</v>
      </c>
      <c r="AH22357" s="831" t="s">
        <v>581</v>
      </c>
      <c r="AI22357" s="831">
        <v>0</v>
      </c>
      <c r="AJ22357" s="835">
        <v>41578</v>
      </c>
      <c r="AK22357" s="831">
        <v>4896268</v>
      </c>
    </row>
    <row r="22358" spans="32:37">
      <c r="AF22358" s="831" t="s">
        <v>11173</v>
      </c>
      <c r="AG22358" s="831" t="s">
        <v>2674</v>
      </c>
      <c r="AH22358" s="831" t="s">
        <v>105</v>
      </c>
      <c r="AI22358" s="831">
        <v>0</v>
      </c>
      <c r="AJ22358" s="835">
        <v>41578</v>
      </c>
      <c r="AK22358" s="831">
        <v>349309695</v>
      </c>
    </row>
    <row r="22359" spans="32:37">
      <c r="AF22359" s="831" t="s">
        <v>11174</v>
      </c>
      <c r="AG22359" s="831" t="s">
        <v>2674</v>
      </c>
      <c r="AH22359" s="831" t="s">
        <v>3049</v>
      </c>
      <c r="AI22359" s="831">
        <v>0</v>
      </c>
      <c r="AJ22359" s="835">
        <v>41578</v>
      </c>
      <c r="AK22359" s="831">
        <v>582451860</v>
      </c>
    </row>
    <row r="22360" spans="32:37">
      <c r="AF22360" s="831" t="s">
        <v>11175</v>
      </c>
      <c r="AG22360" s="831" t="s">
        <v>2674</v>
      </c>
      <c r="AH22360" s="831" t="s">
        <v>103</v>
      </c>
      <c r="AI22360" s="831">
        <v>0</v>
      </c>
      <c r="AJ22360" s="835">
        <v>41578</v>
      </c>
      <c r="AK22360" s="831">
        <v>233142165</v>
      </c>
    </row>
    <row r="22361" spans="32:37">
      <c r="AF22361" s="831" t="s">
        <v>11176</v>
      </c>
      <c r="AG22361" s="831" t="s">
        <v>2674</v>
      </c>
      <c r="AH22361" s="831" t="s">
        <v>182</v>
      </c>
      <c r="AI22361" s="831">
        <v>0</v>
      </c>
      <c r="AJ22361" s="835">
        <v>41578</v>
      </c>
      <c r="AK22361" s="831">
        <v>58216306.799999997</v>
      </c>
    </row>
    <row r="22362" spans="32:37">
      <c r="AF22362" s="831" t="s">
        <v>11177</v>
      </c>
      <c r="AG22362" s="831" t="s">
        <v>2674</v>
      </c>
      <c r="AH22362" s="831" t="s">
        <v>6600</v>
      </c>
      <c r="AI22362" s="831">
        <v>0</v>
      </c>
      <c r="AJ22362" s="835">
        <v>41578</v>
      </c>
      <c r="AK22362" s="831">
        <v>27259085</v>
      </c>
    </row>
    <row r="22363" spans="32:37">
      <c r="AF22363" s="831" t="s">
        <v>11178</v>
      </c>
      <c r="AG22363" s="831" t="s">
        <v>2674</v>
      </c>
      <c r="AH22363" s="831" t="s">
        <v>6602</v>
      </c>
      <c r="AI22363" s="831">
        <v>0</v>
      </c>
      <c r="AJ22363" s="835">
        <v>41578</v>
      </c>
      <c r="AK22363" s="831">
        <v>25527641</v>
      </c>
    </row>
    <row r="22364" spans="32:37">
      <c r="AF22364" s="831" t="s">
        <v>11179</v>
      </c>
      <c r="AG22364" s="831" t="s">
        <v>2674</v>
      </c>
      <c r="AH22364" s="831" t="s">
        <v>650</v>
      </c>
      <c r="AI22364" s="831">
        <v>0</v>
      </c>
      <c r="AJ22364" s="835">
        <v>41578</v>
      </c>
      <c r="AK22364" s="831">
        <v>190388810.31923077</v>
      </c>
    </row>
    <row r="22365" spans="32:37">
      <c r="AF22365" s="831" t="s">
        <v>11180</v>
      </c>
      <c r="AG22365" s="831" t="s">
        <v>2674</v>
      </c>
      <c r="AH22365" s="831" t="s">
        <v>655</v>
      </c>
      <c r="AI22365" s="831">
        <v>0</v>
      </c>
      <c r="AJ22365" s="835">
        <v>41578</v>
      </c>
      <c r="AK22365" s="831">
        <v>1325401.845</v>
      </c>
    </row>
    <row r="22366" spans="32:37">
      <c r="AF22366" s="831" t="s">
        <v>11181</v>
      </c>
      <c r="AG22366" s="831" t="s">
        <v>2674</v>
      </c>
      <c r="AH22366" s="831" t="s">
        <v>546</v>
      </c>
      <c r="AI22366" s="831">
        <v>0</v>
      </c>
      <c r="AJ22366" s="835">
        <v>41608</v>
      </c>
      <c r="AK22366" s="831">
        <v>598049309.95000005</v>
      </c>
    </row>
    <row r="22367" spans="32:37">
      <c r="AF22367" s="831" t="s">
        <v>11182</v>
      </c>
      <c r="AG22367" s="831" t="s">
        <v>2674</v>
      </c>
      <c r="AH22367" s="831" t="s">
        <v>370</v>
      </c>
      <c r="AI22367" s="831">
        <v>0</v>
      </c>
      <c r="AJ22367" s="835">
        <v>41608</v>
      </c>
      <c r="AK22367" s="831">
        <v>744271522.09000015</v>
      </c>
    </row>
    <row r="22368" spans="32:37">
      <c r="AF22368" s="831" t="s">
        <v>11183</v>
      </c>
      <c r="AG22368" s="831" t="s">
        <v>2674</v>
      </c>
      <c r="AH22368" s="831" t="s">
        <v>126</v>
      </c>
      <c r="AI22368" s="831">
        <v>0</v>
      </c>
      <c r="AJ22368" s="835">
        <v>41608</v>
      </c>
      <c r="AK22368" s="831">
        <v>123117939.85600001</v>
      </c>
    </row>
    <row r="22369" spans="32:37">
      <c r="AF22369" s="831" t="s">
        <v>11184</v>
      </c>
      <c r="AG22369" s="831" t="s">
        <v>2674</v>
      </c>
      <c r="AH22369" s="831" t="s">
        <v>268</v>
      </c>
      <c r="AI22369" s="831">
        <v>0</v>
      </c>
      <c r="AJ22369" s="835">
        <v>41608</v>
      </c>
      <c r="AK22369" s="831">
        <v>28354718.032000005</v>
      </c>
    </row>
    <row r="22370" spans="32:37">
      <c r="AF22370" s="831" t="s">
        <v>11185</v>
      </c>
      <c r="AG22370" s="831" t="s">
        <v>2674</v>
      </c>
      <c r="AH22370" s="831" t="s">
        <v>547</v>
      </c>
      <c r="AI22370" s="831">
        <v>0</v>
      </c>
      <c r="AJ22370" s="835">
        <v>41608</v>
      </c>
      <c r="AK22370" s="831">
        <v>511487760</v>
      </c>
    </row>
    <row r="22371" spans="32:37">
      <c r="AF22371" s="831" t="s">
        <v>11186</v>
      </c>
      <c r="AG22371" s="831" t="s">
        <v>2674</v>
      </c>
      <c r="AH22371" s="831" t="s">
        <v>548</v>
      </c>
      <c r="AI22371" s="831">
        <v>0</v>
      </c>
      <c r="AJ22371" s="835">
        <v>41608</v>
      </c>
      <c r="AK22371" s="831">
        <v>96883184</v>
      </c>
    </row>
    <row r="22372" spans="32:37">
      <c r="AF22372" s="831" t="s">
        <v>11187</v>
      </c>
      <c r="AG22372" s="831" t="s">
        <v>2674</v>
      </c>
      <c r="AH22372" s="831" t="s">
        <v>549</v>
      </c>
      <c r="AI22372" s="831">
        <v>0</v>
      </c>
      <c r="AJ22372" s="835">
        <v>41608</v>
      </c>
      <c r="AK22372" s="831">
        <v>394083786</v>
      </c>
    </row>
    <row r="22373" spans="32:37">
      <c r="AF22373" s="831" t="s">
        <v>11188</v>
      </c>
      <c r="AG22373" s="831" t="s">
        <v>2674</v>
      </c>
      <c r="AH22373" s="831" t="s">
        <v>192</v>
      </c>
      <c r="AI22373" s="831">
        <v>0</v>
      </c>
      <c r="AJ22373" s="835">
        <v>41608</v>
      </c>
      <c r="AK22373" s="831">
        <v>-13734258.050000001</v>
      </c>
    </row>
    <row r="22374" spans="32:37">
      <c r="AF22374" s="831" t="s">
        <v>11189</v>
      </c>
      <c r="AG22374" s="831" t="s">
        <v>2674</v>
      </c>
      <c r="AH22374" s="831" t="s">
        <v>558</v>
      </c>
      <c r="AI22374" s="831">
        <v>0</v>
      </c>
      <c r="AJ22374" s="835">
        <v>41608</v>
      </c>
      <c r="AK22374" s="831">
        <v>621153581.74699998</v>
      </c>
    </row>
    <row r="22375" spans="32:37">
      <c r="AF22375" s="831" t="s">
        <v>11190</v>
      </c>
      <c r="AG22375" s="831" t="s">
        <v>2674</v>
      </c>
      <c r="AH22375" s="831" t="s">
        <v>65</v>
      </c>
      <c r="AI22375" s="831">
        <v>0</v>
      </c>
      <c r="AJ22375" s="835">
        <v>41608</v>
      </c>
      <c r="AK22375" s="831">
        <v>119540969.236</v>
      </c>
    </row>
    <row r="22376" spans="32:37">
      <c r="AF22376" s="831" t="s">
        <v>11191</v>
      </c>
      <c r="AG22376" s="831" t="s">
        <v>2674</v>
      </c>
      <c r="AH22376" s="831" t="s">
        <v>89</v>
      </c>
      <c r="AI22376" s="831">
        <v>0</v>
      </c>
      <c r="AJ22376" s="835">
        <v>41608</v>
      </c>
      <c r="AK22376" s="831">
        <v>145224</v>
      </c>
    </row>
    <row r="22377" spans="32:37">
      <c r="AF22377" s="831" t="s">
        <v>11192</v>
      </c>
      <c r="AG22377" s="831" t="s">
        <v>2674</v>
      </c>
      <c r="AH22377" s="831" t="s">
        <v>557</v>
      </c>
      <c r="AI22377" s="831">
        <v>0</v>
      </c>
      <c r="AJ22377" s="835">
        <v>41608</v>
      </c>
      <c r="AK22377" s="831">
        <v>155996</v>
      </c>
    </row>
    <row r="22378" spans="32:37">
      <c r="AF22378" s="831" t="s">
        <v>11193</v>
      </c>
      <c r="AG22378" s="831" t="s">
        <v>2674</v>
      </c>
      <c r="AH22378" s="831" t="s">
        <v>29</v>
      </c>
      <c r="AI22378" s="831">
        <v>0</v>
      </c>
      <c r="AJ22378" s="835">
        <v>41608</v>
      </c>
      <c r="AK22378" s="831">
        <v>1891894.6070000001</v>
      </c>
    </row>
    <row r="22379" spans="32:37">
      <c r="AF22379" s="831" t="s">
        <v>11194</v>
      </c>
      <c r="AG22379" s="831" t="s">
        <v>2674</v>
      </c>
      <c r="AH22379" s="831" t="s">
        <v>2688</v>
      </c>
      <c r="AI22379" s="831">
        <v>0</v>
      </c>
      <c r="AJ22379" s="835">
        <v>41608</v>
      </c>
      <c r="AK22379" s="831">
        <v>3430395.37</v>
      </c>
    </row>
    <row r="22380" spans="32:37">
      <c r="AF22380" s="831" t="s">
        <v>11195</v>
      </c>
      <c r="AG22380" s="831" t="s">
        <v>2674</v>
      </c>
      <c r="AH22380" s="831" t="s">
        <v>556</v>
      </c>
      <c r="AI22380" s="831">
        <v>0</v>
      </c>
      <c r="AJ22380" s="835">
        <v>41608</v>
      </c>
      <c r="AK22380" s="831">
        <v>1644732</v>
      </c>
    </row>
    <row r="22381" spans="32:37">
      <c r="AF22381" s="831" t="s">
        <v>11196</v>
      </c>
      <c r="AG22381" s="831" t="s">
        <v>2674</v>
      </c>
      <c r="AH22381" s="831" t="s">
        <v>555</v>
      </c>
      <c r="AI22381" s="831">
        <v>0</v>
      </c>
      <c r="AJ22381" s="835">
        <v>41608</v>
      </c>
      <c r="AK22381" s="831">
        <v>414052390</v>
      </c>
    </row>
    <row r="22382" spans="32:37">
      <c r="AF22382" s="831" t="s">
        <v>11197</v>
      </c>
      <c r="AG22382" s="831" t="s">
        <v>2674</v>
      </c>
      <c r="AH22382" s="831" t="s">
        <v>554</v>
      </c>
      <c r="AI22382" s="831">
        <v>0</v>
      </c>
      <c r="AJ22382" s="835">
        <v>41608</v>
      </c>
      <c r="AK22382" s="831">
        <v>421904620</v>
      </c>
    </row>
    <row r="22383" spans="32:37">
      <c r="AF22383" s="831" t="s">
        <v>11198</v>
      </c>
      <c r="AG22383" s="831" t="s">
        <v>2674</v>
      </c>
      <c r="AH22383" s="831" t="s">
        <v>553</v>
      </c>
      <c r="AI22383" s="831">
        <v>0</v>
      </c>
      <c r="AJ22383" s="835">
        <v>41608</v>
      </c>
      <c r="AK22383" s="831">
        <v>0</v>
      </c>
    </row>
    <row r="22384" spans="32:37">
      <c r="AF22384" s="831" t="s">
        <v>11199</v>
      </c>
      <c r="AG22384" s="831" t="s">
        <v>2674</v>
      </c>
      <c r="AH22384" s="831" t="s">
        <v>552</v>
      </c>
      <c r="AI22384" s="831">
        <v>0</v>
      </c>
      <c r="AJ22384" s="835">
        <v>41608</v>
      </c>
      <c r="AK22384" s="831">
        <v>0</v>
      </c>
    </row>
    <row r="22385" spans="32:37">
      <c r="AF22385" s="831" t="s">
        <v>11200</v>
      </c>
      <c r="AG22385" s="831" t="s">
        <v>2674</v>
      </c>
      <c r="AH22385" s="831" t="s">
        <v>551</v>
      </c>
      <c r="AI22385" s="831">
        <v>0</v>
      </c>
      <c r="AJ22385" s="835">
        <v>41608</v>
      </c>
      <c r="AK22385" s="831">
        <v>1659941.3510000003</v>
      </c>
    </row>
    <row r="22386" spans="32:37">
      <c r="AF22386" s="831" t="s">
        <v>11201</v>
      </c>
      <c r="AG22386" s="831" t="s">
        <v>2674</v>
      </c>
      <c r="AH22386" s="831" t="s">
        <v>550</v>
      </c>
      <c r="AI22386" s="831">
        <v>0</v>
      </c>
      <c r="AJ22386" s="835">
        <v>41608</v>
      </c>
      <c r="AK22386" s="831">
        <v>120290863</v>
      </c>
    </row>
    <row r="22387" spans="32:37">
      <c r="AF22387" s="831" t="s">
        <v>11202</v>
      </c>
      <c r="AG22387" s="831" t="s">
        <v>2674</v>
      </c>
      <c r="AH22387" s="831" t="s">
        <v>562</v>
      </c>
      <c r="AI22387" s="831">
        <v>0</v>
      </c>
      <c r="AJ22387" s="835">
        <v>41608</v>
      </c>
      <c r="AK22387" s="831">
        <v>0.78385000000000005</v>
      </c>
    </row>
    <row r="22388" spans="32:37">
      <c r="AF22388" s="831" t="s">
        <v>11203</v>
      </c>
      <c r="AG22388" s="831" t="s">
        <v>2674</v>
      </c>
      <c r="AH22388" s="831" t="s">
        <v>2698</v>
      </c>
      <c r="AI22388" s="831">
        <v>0</v>
      </c>
      <c r="AJ22388" s="835">
        <v>41608</v>
      </c>
      <c r="AK22388" s="831">
        <v>0.78395000000000004</v>
      </c>
    </row>
    <row r="22389" spans="32:37">
      <c r="AF22389" s="831" t="s">
        <v>11204</v>
      </c>
      <c r="AG22389" s="831" t="s">
        <v>2674</v>
      </c>
      <c r="AH22389" s="831" t="s">
        <v>560</v>
      </c>
      <c r="AI22389" s="831">
        <v>0</v>
      </c>
      <c r="AJ22389" s="835">
        <v>41608</v>
      </c>
      <c r="AK22389" s="831">
        <v>0.78398636363636354</v>
      </c>
    </row>
    <row r="22390" spans="32:37">
      <c r="AF22390" s="831" t="s">
        <v>11205</v>
      </c>
      <c r="AG22390" s="831" t="s">
        <v>2674</v>
      </c>
      <c r="AH22390" s="831" t="s">
        <v>559</v>
      </c>
      <c r="AI22390" s="831">
        <v>0</v>
      </c>
      <c r="AJ22390" s="835">
        <v>41608</v>
      </c>
      <c r="AK22390" s="831">
        <v>0.78398749999999995</v>
      </c>
    </row>
    <row r="22391" spans="32:37">
      <c r="AF22391" s="831" t="s">
        <v>11206</v>
      </c>
      <c r="AG22391" s="831" t="s">
        <v>2674</v>
      </c>
      <c r="AH22391" s="831" t="s">
        <v>568</v>
      </c>
      <c r="AI22391" s="831">
        <v>0</v>
      </c>
      <c r="AJ22391" s="835">
        <v>41608</v>
      </c>
      <c r="AK22391" s="831">
        <v>495457615.68846154</v>
      </c>
    </row>
    <row r="22392" spans="32:37">
      <c r="AF22392" s="831" t="s">
        <v>11207</v>
      </c>
      <c r="AG22392" s="831" t="s">
        <v>2674</v>
      </c>
      <c r="AH22392" s="831" t="s">
        <v>569</v>
      </c>
      <c r="AI22392" s="831">
        <v>0</v>
      </c>
      <c r="AJ22392" s="835">
        <v>41608</v>
      </c>
      <c r="AK22392" s="831">
        <v>603523727.23769236</v>
      </c>
    </row>
    <row r="22393" spans="32:37">
      <c r="AF22393" s="831" t="s">
        <v>11208</v>
      </c>
      <c r="AG22393" s="831" t="s">
        <v>2674</v>
      </c>
      <c r="AH22393" s="831" t="s">
        <v>570</v>
      </c>
      <c r="AI22393" s="831">
        <v>0</v>
      </c>
      <c r="AJ22393" s="835">
        <v>41608</v>
      </c>
      <c r="AK22393" s="831">
        <v>107821146.75815384</v>
      </c>
    </row>
    <row r="22394" spans="32:37">
      <c r="AF22394" s="831" t="s">
        <v>11209</v>
      </c>
      <c r="AG22394" s="831" t="s">
        <v>2674</v>
      </c>
      <c r="AH22394" s="831" t="s">
        <v>571</v>
      </c>
      <c r="AI22394" s="831">
        <v>0</v>
      </c>
      <c r="AJ22394" s="835">
        <v>41608</v>
      </c>
      <c r="AK22394" s="831">
        <v>283259717.08169228</v>
      </c>
    </row>
    <row r="22395" spans="32:37">
      <c r="AF22395" s="831" t="s">
        <v>11210</v>
      </c>
      <c r="AG22395" s="831" t="s">
        <v>2674</v>
      </c>
      <c r="AH22395" s="831" t="s">
        <v>573</v>
      </c>
      <c r="AI22395" s="831">
        <v>0</v>
      </c>
      <c r="AJ22395" s="835">
        <v>41608</v>
      </c>
      <c r="AK22395" s="831">
        <v>614752216.42416668</v>
      </c>
    </row>
    <row r="22396" spans="32:37">
      <c r="AF22396" s="831" t="s">
        <v>11211</v>
      </c>
      <c r="AG22396" s="831" t="s">
        <v>2674</v>
      </c>
      <c r="AH22396" s="831" t="s">
        <v>574</v>
      </c>
      <c r="AI22396" s="831">
        <v>0</v>
      </c>
      <c r="AJ22396" s="835">
        <v>41608</v>
      </c>
      <c r="AK22396" s="831">
        <v>503905434.82916665</v>
      </c>
    </row>
    <row r="22397" spans="32:37">
      <c r="AF22397" s="831" t="s">
        <v>11212</v>
      </c>
      <c r="AG22397" s="831" t="s">
        <v>2674</v>
      </c>
      <c r="AH22397" s="831" t="s">
        <v>575</v>
      </c>
      <c r="AI22397" s="831">
        <v>0</v>
      </c>
      <c r="AJ22397" s="835">
        <v>41608</v>
      </c>
      <c r="AK22397" s="831">
        <v>108318173.40466666</v>
      </c>
    </row>
    <row r="22398" spans="32:37">
      <c r="AF22398" s="831" t="s">
        <v>11213</v>
      </c>
      <c r="AG22398" s="831" t="s">
        <v>2674</v>
      </c>
      <c r="AH22398" s="831" t="s">
        <v>576</v>
      </c>
      <c r="AI22398" s="831">
        <v>0</v>
      </c>
      <c r="AJ22398" s="835">
        <v>41608</v>
      </c>
      <c r="AK22398" s="831">
        <v>290020734.67183334</v>
      </c>
    </row>
    <row r="22399" spans="32:37">
      <c r="AF22399" s="831" t="s">
        <v>11214</v>
      </c>
      <c r="AG22399" s="831" t="s">
        <v>2674</v>
      </c>
      <c r="AH22399" s="831" t="s">
        <v>572</v>
      </c>
      <c r="AI22399" s="831">
        <v>0</v>
      </c>
      <c r="AJ22399" s="835">
        <v>41608</v>
      </c>
      <c r="AK22399" s="831">
        <v>27660766.032000005</v>
      </c>
    </row>
    <row r="22400" spans="32:37">
      <c r="AF22400" s="831" t="s">
        <v>11215</v>
      </c>
      <c r="AG22400" s="831" t="s">
        <v>2674</v>
      </c>
      <c r="AH22400" s="831" t="s">
        <v>577</v>
      </c>
      <c r="AI22400" s="831">
        <v>0</v>
      </c>
      <c r="AJ22400" s="835">
        <v>41608</v>
      </c>
      <c r="AK22400" s="831">
        <v>128906380.236</v>
      </c>
    </row>
    <row r="22401" spans="32:37">
      <c r="AF22401" s="831" t="s">
        <v>11216</v>
      </c>
      <c r="AG22401" s="831" t="s">
        <v>2674</v>
      </c>
      <c r="AH22401" s="831" t="s">
        <v>3042</v>
      </c>
      <c r="AI22401" s="831">
        <v>0</v>
      </c>
      <c r="AJ22401" s="835">
        <v>41608</v>
      </c>
      <c r="AK22401" s="831">
        <v>-32754423.664999999</v>
      </c>
    </row>
    <row r="22402" spans="32:37">
      <c r="AF22402" s="831" t="s">
        <v>11217</v>
      </c>
      <c r="AG22402" s="831" t="s">
        <v>2674</v>
      </c>
      <c r="AH22402" s="831" t="s">
        <v>3044</v>
      </c>
      <c r="AI22402" s="831">
        <v>0</v>
      </c>
      <c r="AJ22402" s="835">
        <v>41608</v>
      </c>
      <c r="AK22402" s="831">
        <v>-4752350.8779999996</v>
      </c>
    </row>
    <row r="22403" spans="32:37">
      <c r="AF22403" s="831" t="s">
        <v>11218</v>
      </c>
      <c r="AG22403" s="831" t="s">
        <v>2674</v>
      </c>
      <c r="AH22403" s="831" t="s">
        <v>580</v>
      </c>
      <c r="AI22403" s="831">
        <v>0</v>
      </c>
      <c r="AJ22403" s="835">
        <v>41608</v>
      </c>
      <c r="AK22403" s="831">
        <v>-61342758.126000002</v>
      </c>
    </row>
    <row r="22404" spans="32:37">
      <c r="AF22404" s="831" t="s">
        <v>11219</v>
      </c>
      <c r="AG22404" s="831" t="s">
        <v>2674</v>
      </c>
      <c r="AH22404" s="831" t="s">
        <v>581</v>
      </c>
      <c r="AI22404" s="831">
        <v>0</v>
      </c>
      <c r="AJ22404" s="835">
        <v>41608</v>
      </c>
      <c r="AK22404" s="831">
        <v>5348437.4649999999</v>
      </c>
    </row>
    <row r="22405" spans="32:37">
      <c r="AF22405" s="831" t="s">
        <v>11220</v>
      </c>
      <c r="AG22405" s="831" t="s">
        <v>2674</v>
      </c>
      <c r="AH22405" s="831" t="s">
        <v>105</v>
      </c>
      <c r="AI22405" s="831">
        <v>0</v>
      </c>
      <c r="AJ22405" s="835">
        <v>41608</v>
      </c>
      <c r="AK22405" s="831">
        <v>357758420.06199998</v>
      </c>
    </row>
    <row r="22406" spans="32:37">
      <c r="AF22406" s="831" t="s">
        <v>11221</v>
      </c>
      <c r="AG22406" s="831" t="s">
        <v>2674</v>
      </c>
      <c r="AH22406" s="831" t="s">
        <v>3049</v>
      </c>
      <c r="AI22406" s="831">
        <v>0</v>
      </c>
      <c r="AJ22406" s="835">
        <v>41608</v>
      </c>
      <c r="AK22406" s="831">
        <v>601955674.8829999</v>
      </c>
    </row>
    <row r="22407" spans="32:37">
      <c r="AF22407" s="831" t="s">
        <v>11222</v>
      </c>
      <c r="AG22407" s="831" t="s">
        <v>2674</v>
      </c>
      <c r="AH22407" s="831" t="s">
        <v>103</v>
      </c>
      <c r="AI22407" s="831">
        <v>0</v>
      </c>
      <c r="AJ22407" s="835">
        <v>41608</v>
      </c>
      <c r="AK22407" s="831">
        <v>244197254.82099998</v>
      </c>
    </row>
    <row r="22408" spans="32:37">
      <c r="AF22408" s="831" t="s">
        <v>11223</v>
      </c>
      <c r="AG22408" s="831" t="s">
        <v>2674</v>
      </c>
      <c r="AH22408" s="831" t="s">
        <v>182</v>
      </c>
      <c r="AI22408" s="831">
        <v>0</v>
      </c>
      <c r="AJ22408" s="835">
        <v>41608</v>
      </c>
      <c r="AK22408" s="831">
        <v>58896650.319272734</v>
      </c>
    </row>
    <row r="22409" spans="32:37">
      <c r="AF22409" s="831" t="s">
        <v>11224</v>
      </c>
      <c r="AG22409" s="831" t="s">
        <v>2674</v>
      </c>
      <c r="AH22409" s="831" t="s">
        <v>6600</v>
      </c>
      <c r="AI22409" s="831">
        <v>0</v>
      </c>
      <c r="AJ22409" s="835">
        <v>41608</v>
      </c>
      <c r="AK22409" s="831">
        <v>27660766.032000005</v>
      </c>
    </row>
    <row r="22410" spans="32:37">
      <c r="AF22410" s="831" t="s">
        <v>11225</v>
      </c>
      <c r="AG22410" s="831" t="s">
        <v>2674</v>
      </c>
      <c r="AH22410" s="831" t="s">
        <v>6602</v>
      </c>
      <c r="AI22410" s="831">
        <v>0</v>
      </c>
      <c r="AJ22410" s="835">
        <v>41608</v>
      </c>
      <c r="AK22410" s="831">
        <v>28354718.032000005</v>
      </c>
    </row>
    <row r="22411" spans="32:37">
      <c r="AF22411" s="831" t="s">
        <v>11226</v>
      </c>
      <c r="AG22411" s="831" t="s">
        <v>2674</v>
      </c>
      <c r="AH22411" s="831" t="s">
        <v>650</v>
      </c>
      <c r="AI22411" s="831">
        <v>0</v>
      </c>
      <c r="AJ22411" s="835">
        <v>41608</v>
      </c>
      <c r="AK22411" s="831">
        <v>197061109.84392309</v>
      </c>
    </row>
    <row r="22412" spans="32:37">
      <c r="AF22412" s="831" t="s">
        <v>11227</v>
      </c>
      <c r="AG22412" s="831" t="s">
        <v>2674</v>
      </c>
      <c r="AH22412" s="831" t="s">
        <v>655</v>
      </c>
      <c r="AI22412" s="831">
        <v>0</v>
      </c>
      <c r="AJ22412" s="835">
        <v>41608</v>
      </c>
      <c r="AK22412" s="831">
        <v>1514274.5550000002</v>
      </c>
    </row>
    <row r="22413" spans="32:37">
      <c r="AF22413" s="831" t="s">
        <v>11228</v>
      </c>
      <c r="AG22413" s="831" t="s">
        <v>2674</v>
      </c>
      <c r="AH22413" s="831" t="s">
        <v>546</v>
      </c>
      <c r="AI22413" s="831">
        <v>0</v>
      </c>
      <c r="AJ22413" s="835">
        <v>41639</v>
      </c>
      <c r="AK22413" s="831">
        <v>627874260</v>
      </c>
    </row>
    <row r="22414" spans="32:37">
      <c r="AF22414" s="831" t="s">
        <v>11229</v>
      </c>
      <c r="AG22414" s="831" t="s">
        <v>2674</v>
      </c>
      <c r="AH22414" s="831" t="s">
        <v>370</v>
      </c>
      <c r="AI22414" s="831">
        <v>0</v>
      </c>
      <c r="AJ22414" s="835">
        <v>41639</v>
      </c>
      <c r="AK22414" s="831">
        <v>789514969.56299996</v>
      </c>
    </row>
    <row r="22415" spans="32:37">
      <c r="AF22415" s="831" t="s">
        <v>11230</v>
      </c>
      <c r="AG22415" s="831" t="s">
        <v>2674</v>
      </c>
      <c r="AH22415" s="831" t="s">
        <v>126</v>
      </c>
      <c r="AI22415" s="831">
        <v>0</v>
      </c>
      <c r="AJ22415" s="835">
        <v>41639</v>
      </c>
      <c r="AK22415" s="831">
        <v>114089765.91</v>
      </c>
    </row>
    <row r="22416" spans="32:37">
      <c r="AF22416" s="831" t="s">
        <v>11231</v>
      </c>
      <c r="AG22416" s="831" t="s">
        <v>2674</v>
      </c>
      <c r="AH22416" s="831" t="s">
        <v>268</v>
      </c>
      <c r="AI22416" s="831">
        <v>0</v>
      </c>
      <c r="AJ22416" s="835">
        <v>41639</v>
      </c>
      <c r="AK22416" s="831">
        <v>27176541.956000008</v>
      </c>
    </row>
    <row r="22417" spans="32:37">
      <c r="AF22417" s="831" t="s">
        <v>11232</v>
      </c>
      <c r="AG22417" s="831" t="s">
        <v>2674</v>
      </c>
      <c r="AH22417" s="831" t="s">
        <v>547</v>
      </c>
      <c r="AI22417" s="831">
        <v>0</v>
      </c>
      <c r="AJ22417" s="835">
        <v>41639</v>
      </c>
      <c r="AK22417" s="831">
        <v>511487760</v>
      </c>
    </row>
    <row r="22418" spans="32:37">
      <c r="AF22418" s="831" t="s">
        <v>11233</v>
      </c>
      <c r="AG22418" s="831" t="s">
        <v>2674</v>
      </c>
      <c r="AH22418" s="831" t="s">
        <v>548</v>
      </c>
      <c r="AI22418" s="831">
        <v>0</v>
      </c>
      <c r="AJ22418" s="835">
        <v>41639</v>
      </c>
      <c r="AK22418" s="831">
        <v>96883184</v>
      </c>
    </row>
    <row r="22419" spans="32:37">
      <c r="AF22419" s="831" t="s">
        <v>11234</v>
      </c>
      <c r="AG22419" s="831" t="s">
        <v>2674</v>
      </c>
      <c r="AH22419" s="831" t="s">
        <v>549</v>
      </c>
      <c r="AI22419" s="831">
        <v>0</v>
      </c>
      <c r="AJ22419" s="835">
        <v>41639</v>
      </c>
      <c r="AK22419" s="831">
        <v>412125624</v>
      </c>
    </row>
    <row r="22420" spans="32:37">
      <c r="AF22420" s="831" t="s">
        <v>11235</v>
      </c>
      <c r="AG22420" s="831" t="s">
        <v>2674</v>
      </c>
      <c r="AH22420" s="831" t="s">
        <v>192</v>
      </c>
      <c r="AI22420" s="831">
        <v>0</v>
      </c>
      <c r="AJ22420" s="835">
        <v>41639</v>
      </c>
      <c r="AK22420" s="831">
        <v>-13734258</v>
      </c>
    </row>
    <row r="22421" spans="32:37">
      <c r="AF22421" s="831" t="s">
        <v>11236</v>
      </c>
      <c r="AG22421" s="831" t="s">
        <v>2674</v>
      </c>
      <c r="AH22421" s="831" t="s">
        <v>558</v>
      </c>
      <c r="AI22421" s="831">
        <v>0</v>
      </c>
      <c r="AJ22421" s="835">
        <v>41639</v>
      </c>
      <c r="AK22421" s="831">
        <v>675425203.71399999</v>
      </c>
    </row>
    <row r="22422" spans="32:37">
      <c r="AF22422" s="831" t="s">
        <v>11237</v>
      </c>
      <c r="AG22422" s="831" t="s">
        <v>2674</v>
      </c>
      <c r="AH22422" s="831" t="s">
        <v>65</v>
      </c>
      <c r="AI22422" s="831">
        <v>0</v>
      </c>
      <c r="AJ22422" s="835">
        <v>41639</v>
      </c>
      <c r="AK22422" s="831">
        <v>132856888.763</v>
      </c>
    </row>
    <row r="22423" spans="32:37">
      <c r="AF22423" s="831" t="s">
        <v>11238</v>
      </c>
      <c r="AG22423" s="831" t="s">
        <v>2674</v>
      </c>
      <c r="AH22423" s="831" t="s">
        <v>89</v>
      </c>
      <c r="AI22423" s="831">
        <v>0</v>
      </c>
      <c r="AJ22423" s="835">
        <v>41639</v>
      </c>
      <c r="AK22423" s="831">
        <v>147601</v>
      </c>
    </row>
    <row r="22424" spans="32:37">
      <c r="AF22424" s="831" t="s">
        <v>11239</v>
      </c>
      <c r="AG22424" s="831" t="s">
        <v>2674</v>
      </c>
      <c r="AH22424" s="831" t="s">
        <v>557</v>
      </c>
      <c r="AI22424" s="831">
        <v>0</v>
      </c>
      <c r="AJ22424" s="835">
        <v>41639</v>
      </c>
      <c r="AK22424" s="831">
        <v>160431</v>
      </c>
    </row>
    <row r="22425" spans="32:37">
      <c r="AF22425" s="831" t="s">
        <v>11240</v>
      </c>
      <c r="AG22425" s="831" t="s">
        <v>2674</v>
      </c>
      <c r="AH22425" s="831" t="s">
        <v>29</v>
      </c>
      <c r="AI22425" s="831">
        <v>0</v>
      </c>
      <c r="AJ22425" s="835">
        <v>41639</v>
      </c>
      <c r="AK22425" s="831">
        <v>1938216.4366000001</v>
      </c>
    </row>
    <row r="22426" spans="32:37">
      <c r="AF22426" s="831" t="s">
        <v>11241</v>
      </c>
      <c r="AG22426" s="831" t="s">
        <v>2674</v>
      </c>
      <c r="AH22426" s="831" t="s">
        <v>2688</v>
      </c>
      <c r="AI22426" s="831">
        <v>0</v>
      </c>
      <c r="AJ22426" s="835">
        <v>41639</v>
      </c>
      <c r="AK22426" s="831">
        <v>3277121.17</v>
      </c>
    </row>
    <row r="22427" spans="32:37">
      <c r="AF22427" s="831" t="s">
        <v>11242</v>
      </c>
      <c r="AG22427" s="831" t="s">
        <v>2674</v>
      </c>
      <c r="AH22427" s="831" t="s">
        <v>556</v>
      </c>
      <c r="AI22427" s="831">
        <v>0</v>
      </c>
      <c r="AJ22427" s="835">
        <v>41639</v>
      </c>
      <c r="AK22427" s="831">
        <v>1644732</v>
      </c>
    </row>
    <row r="22428" spans="32:37">
      <c r="AF22428" s="831" t="s">
        <v>11243</v>
      </c>
      <c r="AG22428" s="831" t="s">
        <v>2674</v>
      </c>
      <c r="AH22428" s="831" t="s">
        <v>555</v>
      </c>
      <c r="AI22428" s="831">
        <v>0</v>
      </c>
      <c r="AJ22428" s="835">
        <v>41639</v>
      </c>
      <c r="AK22428" s="831">
        <v>435796650</v>
      </c>
    </row>
    <row r="22429" spans="32:37">
      <c r="AF22429" s="831" t="s">
        <v>11244</v>
      </c>
      <c r="AG22429" s="831" t="s">
        <v>2674</v>
      </c>
      <c r="AH22429" s="831" t="s">
        <v>554</v>
      </c>
      <c r="AI22429" s="831">
        <v>0</v>
      </c>
      <c r="AJ22429" s="835">
        <v>41639</v>
      </c>
      <c r="AK22429" s="831">
        <v>428326680</v>
      </c>
    </row>
    <row r="22430" spans="32:37">
      <c r="AF22430" s="831" t="s">
        <v>11245</v>
      </c>
      <c r="AG22430" s="831" t="s">
        <v>2674</v>
      </c>
      <c r="AH22430" s="831" t="s">
        <v>553</v>
      </c>
      <c r="AI22430" s="831">
        <v>0</v>
      </c>
      <c r="AJ22430" s="835">
        <v>41639</v>
      </c>
      <c r="AK22430" s="831">
        <v>0</v>
      </c>
    </row>
    <row r="22431" spans="32:37">
      <c r="AF22431" s="831" t="s">
        <v>11246</v>
      </c>
      <c r="AG22431" s="831" t="s">
        <v>2674</v>
      </c>
      <c r="AH22431" s="831" t="s">
        <v>552</v>
      </c>
      <c r="AI22431" s="831">
        <v>0</v>
      </c>
      <c r="AJ22431" s="835">
        <v>41639</v>
      </c>
      <c r="AK22431" s="831">
        <v>0</v>
      </c>
    </row>
    <row r="22432" spans="32:37">
      <c r="AF22432" s="831" t="s">
        <v>11247</v>
      </c>
      <c r="AG22432" s="831" t="s">
        <v>2674</v>
      </c>
      <c r="AH22432" s="831" t="s">
        <v>551</v>
      </c>
      <c r="AI22432" s="831">
        <v>0</v>
      </c>
      <c r="AJ22432" s="835">
        <v>41639</v>
      </c>
      <c r="AK22432" s="831">
        <v>1803383.8316000002</v>
      </c>
    </row>
    <row r="22433" spans="32:37">
      <c r="AF22433" s="831" t="s">
        <v>11248</v>
      </c>
      <c r="AG22433" s="831" t="s">
        <v>2674</v>
      </c>
      <c r="AH22433" s="831" t="s">
        <v>550</v>
      </c>
      <c r="AI22433" s="831">
        <v>0</v>
      </c>
      <c r="AJ22433" s="835">
        <v>41639</v>
      </c>
      <c r="AK22433" s="831">
        <v>123117939.85600001</v>
      </c>
    </row>
    <row r="22434" spans="32:37">
      <c r="AF22434" s="831" t="s">
        <v>11249</v>
      </c>
      <c r="AG22434" s="831" t="s">
        <v>2674</v>
      </c>
      <c r="AH22434" s="831" t="s">
        <v>562</v>
      </c>
      <c r="AI22434" s="831">
        <v>0</v>
      </c>
      <c r="AJ22434" s="835">
        <v>41639</v>
      </c>
      <c r="AK22434" s="831">
        <v>0.78334999999999999</v>
      </c>
    </row>
    <row r="22435" spans="32:37">
      <c r="AF22435" s="831" t="s">
        <v>11250</v>
      </c>
      <c r="AG22435" s="831" t="s">
        <v>2674</v>
      </c>
      <c r="AH22435" s="831" t="s">
        <v>2698</v>
      </c>
      <c r="AI22435" s="831">
        <v>0</v>
      </c>
      <c r="AJ22435" s="835">
        <v>41639</v>
      </c>
      <c r="AK22435" s="831">
        <v>0.78385000000000005</v>
      </c>
    </row>
    <row r="22436" spans="32:37">
      <c r="AF22436" s="831" t="s">
        <v>11251</v>
      </c>
      <c r="AG22436" s="831" t="s">
        <v>2674</v>
      </c>
      <c r="AH22436" s="831" t="s">
        <v>560</v>
      </c>
      <c r="AI22436" s="831">
        <v>0</v>
      </c>
      <c r="AJ22436" s="835">
        <v>41639</v>
      </c>
      <c r="AK22436" s="831">
        <v>0.78393333333333326</v>
      </c>
    </row>
    <row r="22437" spans="32:37">
      <c r="AF22437" s="831" t="s">
        <v>11252</v>
      </c>
      <c r="AG22437" s="831" t="s">
        <v>2674</v>
      </c>
      <c r="AH22437" s="831" t="s">
        <v>559</v>
      </c>
      <c r="AI22437" s="831">
        <v>0</v>
      </c>
      <c r="AJ22437" s="835">
        <v>41639</v>
      </c>
      <c r="AK22437" s="831">
        <v>0.78393333333333326</v>
      </c>
    </row>
    <row r="22438" spans="32:37">
      <c r="AF22438" s="831" t="s">
        <v>11253</v>
      </c>
      <c r="AG22438" s="831" t="s">
        <v>2674</v>
      </c>
      <c r="AH22438" s="831" t="s">
        <v>568</v>
      </c>
      <c r="AI22438" s="831">
        <v>0</v>
      </c>
      <c r="AJ22438" s="835">
        <v>41639</v>
      </c>
      <c r="AK22438" s="831">
        <v>513441498.30384612</v>
      </c>
    </row>
    <row r="22439" spans="32:37">
      <c r="AF22439" s="831" t="s">
        <v>11254</v>
      </c>
      <c r="AG22439" s="831" t="s">
        <v>2674</v>
      </c>
      <c r="AH22439" s="831" t="s">
        <v>569</v>
      </c>
      <c r="AI22439" s="831">
        <v>0</v>
      </c>
      <c r="AJ22439" s="835">
        <v>41639</v>
      </c>
      <c r="AK22439" s="831">
        <v>628195505.12715387</v>
      </c>
    </row>
    <row r="22440" spans="32:37">
      <c r="AF22440" s="831" t="s">
        <v>11255</v>
      </c>
      <c r="AG22440" s="831" t="s">
        <v>2674</v>
      </c>
      <c r="AH22440" s="831" t="s">
        <v>570</v>
      </c>
      <c r="AI22440" s="831">
        <v>0</v>
      </c>
      <c r="AJ22440" s="835">
        <v>41639</v>
      </c>
      <c r="AK22440" s="831">
        <v>108762142.05892308</v>
      </c>
    </row>
    <row r="22441" spans="32:37">
      <c r="AF22441" s="831" t="s">
        <v>11256</v>
      </c>
      <c r="AG22441" s="831" t="s">
        <v>2674</v>
      </c>
      <c r="AH22441" s="831" t="s">
        <v>571</v>
      </c>
      <c r="AI22441" s="831">
        <v>0</v>
      </c>
      <c r="AJ22441" s="835">
        <v>41639</v>
      </c>
      <c r="AK22441" s="831">
        <v>297832512.59023076</v>
      </c>
    </row>
    <row r="22442" spans="32:37">
      <c r="AF22442" s="831" t="s">
        <v>11257</v>
      </c>
      <c r="AG22442" s="831" t="s">
        <v>2674</v>
      </c>
      <c r="AH22442" s="831" t="s">
        <v>573</v>
      </c>
      <c r="AI22442" s="831">
        <v>0</v>
      </c>
      <c r="AJ22442" s="835">
        <v>41639</v>
      </c>
      <c r="AK22442" s="831">
        <v>628195505.12715387</v>
      </c>
    </row>
    <row r="22443" spans="32:37">
      <c r="AF22443" s="831" t="s">
        <v>11258</v>
      </c>
      <c r="AG22443" s="831" t="s">
        <v>2674</v>
      </c>
      <c r="AH22443" s="831" t="s">
        <v>574</v>
      </c>
      <c r="AI22443" s="831">
        <v>0</v>
      </c>
      <c r="AJ22443" s="835">
        <v>41639</v>
      </c>
      <c r="AK22443" s="831">
        <v>513441498.30384612</v>
      </c>
    </row>
    <row r="22444" spans="32:37">
      <c r="AF22444" s="831" t="s">
        <v>11259</v>
      </c>
      <c r="AG22444" s="831" t="s">
        <v>2674</v>
      </c>
      <c r="AH22444" s="831" t="s">
        <v>575</v>
      </c>
      <c r="AI22444" s="831">
        <v>0</v>
      </c>
      <c r="AJ22444" s="835">
        <v>41639</v>
      </c>
      <c r="AK22444" s="831">
        <v>108762142.05892308</v>
      </c>
    </row>
    <row r="22445" spans="32:37">
      <c r="AF22445" s="831" t="s">
        <v>11260</v>
      </c>
      <c r="AG22445" s="831" t="s">
        <v>2674</v>
      </c>
      <c r="AH22445" s="831" t="s">
        <v>576</v>
      </c>
      <c r="AI22445" s="831">
        <v>0</v>
      </c>
      <c r="AJ22445" s="835">
        <v>41639</v>
      </c>
      <c r="AK22445" s="831">
        <v>297832512.59023076</v>
      </c>
    </row>
    <row r="22446" spans="32:37">
      <c r="AF22446" s="831" t="s">
        <v>11261</v>
      </c>
      <c r="AG22446" s="831" t="s">
        <v>2674</v>
      </c>
      <c r="AH22446" s="831" t="s">
        <v>572</v>
      </c>
      <c r="AI22446" s="831">
        <v>0</v>
      </c>
      <c r="AJ22446" s="835">
        <v>41639</v>
      </c>
      <c r="AK22446" s="831">
        <v>27176541.956000008</v>
      </c>
    </row>
    <row r="22447" spans="32:37">
      <c r="AF22447" s="831" t="s">
        <v>11262</v>
      </c>
      <c r="AG22447" s="831" t="s">
        <v>2674</v>
      </c>
      <c r="AH22447" s="831" t="s">
        <v>577</v>
      </c>
      <c r="AI22447" s="831">
        <v>0</v>
      </c>
      <c r="AJ22447" s="835">
        <v>41639</v>
      </c>
      <c r="AK22447" s="831">
        <v>132856888.763</v>
      </c>
    </row>
    <row r="22448" spans="32:37">
      <c r="AF22448" s="831" t="s">
        <v>11263</v>
      </c>
      <c r="AG22448" s="831" t="s">
        <v>2674</v>
      </c>
      <c r="AH22448" s="831" t="s">
        <v>3042</v>
      </c>
      <c r="AI22448" s="831">
        <v>0</v>
      </c>
      <c r="AJ22448" s="835">
        <v>41639</v>
      </c>
      <c r="AK22448" s="831">
        <v>-34369525.527000003</v>
      </c>
    </row>
    <row r="22449" spans="32:37">
      <c r="AF22449" s="831" t="s">
        <v>11264</v>
      </c>
      <c r="AG22449" s="831" t="s">
        <v>2674</v>
      </c>
      <c r="AH22449" s="831" t="s">
        <v>3044</v>
      </c>
      <c r="AI22449" s="831">
        <v>0</v>
      </c>
      <c r="AJ22449" s="835">
        <v>41639</v>
      </c>
      <c r="AK22449" s="831">
        <v>-4400746.8899999997</v>
      </c>
    </row>
    <row r="22450" spans="32:37">
      <c r="AF22450" s="831" t="s">
        <v>11265</v>
      </c>
      <c r="AG22450" s="831" t="s">
        <v>2674</v>
      </c>
      <c r="AH22450" s="831" t="s">
        <v>580</v>
      </c>
      <c r="AI22450" s="831">
        <v>0</v>
      </c>
      <c r="AJ22450" s="835">
        <v>41639</v>
      </c>
      <c r="AK22450" s="831">
        <v>-64107005.306999996</v>
      </c>
    </row>
    <row r="22451" spans="32:37">
      <c r="AF22451" s="831" t="s">
        <v>11266</v>
      </c>
      <c r="AG22451" s="831" t="s">
        <v>2674</v>
      </c>
      <c r="AH22451" s="831" t="s">
        <v>581</v>
      </c>
      <c r="AI22451" s="831">
        <v>0</v>
      </c>
      <c r="AJ22451" s="835">
        <v>41639</v>
      </c>
      <c r="AK22451" s="831">
        <v>5010635.8940000003</v>
      </c>
    </row>
    <row r="22452" spans="32:37">
      <c r="AF22452" s="831" t="s">
        <v>11267</v>
      </c>
      <c r="AG22452" s="831" t="s">
        <v>2674</v>
      </c>
      <c r="AH22452" s="831" t="s">
        <v>105</v>
      </c>
      <c r="AI22452" s="831">
        <v>0</v>
      </c>
      <c r="AJ22452" s="835">
        <v>41639</v>
      </c>
      <c r="AK22452" s="831">
        <v>391573847.611</v>
      </c>
    </row>
    <row r="22453" spans="32:37">
      <c r="AF22453" s="831" t="s">
        <v>11268</v>
      </c>
      <c r="AG22453" s="831" t="s">
        <v>2674</v>
      </c>
      <c r="AH22453" s="831" t="s">
        <v>3049</v>
      </c>
      <c r="AI22453" s="831">
        <v>0</v>
      </c>
      <c r="AJ22453" s="835">
        <v>41639</v>
      </c>
      <c r="AK22453" s="831">
        <v>644326442.18900001</v>
      </c>
    </row>
    <row r="22454" spans="32:37">
      <c r="AF22454" s="831" t="s">
        <v>11269</v>
      </c>
      <c r="AG22454" s="831" t="s">
        <v>2674</v>
      </c>
      <c r="AH22454" s="831" t="s">
        <v>103</v>
      </c>
      <c r="AI22454" s="831">
        <v>0</v>
      </c>
      <c r="AJ22454" s="835">
        <v>41639</v>
      </c>
      <c r="AK22454" s="831">
        <v>252752594.57800001</v>
      </c>
    </row>
    <row r="22455" spans="32:37">
      <c r="AF22455" s="831" t="s">
        <v>11270</v>
      </c>
      <c r="AG22455" s="831" t="s">
        <v>2674</v>
      </c>
      <c r="AH22455" s="831" t="s">
        <v>182</v>
      </c>
      <c r="AI22455" s="831">
        <v>0</v>
      </c>
      <c r="AJ22455" s="835">
        <v>41639</v>
      </c>
      <c r="AK22455" s="831">
        <v>64107005.307000004</v>
      </c>
    </row>
    <row r="22456" spans="32:37">
      <c r="AF22456" s="831" t="s">
        <v>11271</v>
      </c>
      <c r="AG22456" s="831" t="s">
        <v>2674</v>
      </c>
      <c r="AH22456" s="831" t="s">
        <v>6600</v>
      </c>
      <c r="AI22456" s="831">
        <v>0</v>
      </c>
      <c r="AJ22456" s="835">
        <v>41639</v>
      </c>
      <c r="AK22456" s="831">
        <v>27176541.956000008</v>
      </c>
    </row>
    <row r="22457" spans="32:37">
      <c r="AF22457" s="831" t="s">
        <v>11272</v>
      </c>
      <c r="AG22457" s="831" t="s">
        <v>2674</v>
      </c>
      <c r="AH22457" s="831" t="s">
        <v>6602</v>
      </c>
      <c r="AI22457" s="831">
        <v>0</v>
      </c>
      <c r="AJ22457" s="835">
        <v>41639</v>
      </c>
      <c r="AK22457" s="831">
        <v>27176541.956000008</v>
      </c>
    </row>
    <row r="22458" spans="32:37">
      <c r="AF22458" s="831" t="s">
        <v>11273</v>
      </c>
      <c r="AG22458" s="831" t="s">
        <v>2674</v>
      </c>
      <c r="AH22458" s="831" t="s">
        <v>650</v>
      </c>
      <c r="AI22458" s="831">
        <v>0</v>
      </c>
      <c r="AJ22458" s="835">
        <v>41639</v>
      </c>
      <c r="AK22458" s="831">
        <v>204736223.04223078</v>
      </c>
    </row>
    <row r="22459" spans="32:37">
      <c r="AF22459" s="831" t="s">
        <v>11274</v>
      </c>
      <c r="AG22459" s="831" t="s">
        <v>2674</v>
      </c>
      <c r="AH22459" s="831" t="s">
        <v>655</v>
      </c>
      <c r="AI22459" s="831">
        <v>0</v>
      </c>
      <c r="AJ22459" s="835">
        <v>41639</v>
      </c>
      <c r="AK22459" s="831">
        <v>1605185.0136000002</v>
      </c>
    </row>
    <row r="22460" spans="32:37">
      <c r="AF22460" s="831" t="s">
        <v>11275</v>
      </c>
      <c r="AG22460" s="831" t="s">
        <v>2674</v>
      </c>
      <c r="AH22460" s="831" t="s">
        <v>546</v>
      </c>
      <c r="AI22460" s="831">
        <v>0</v>
      </c>
      <c r="AJ22460" s="835">
        <v>41670</v>
      </c>
      <c r="AK22460" s="831">
        <v>635618516</v>
      </c>
    </row>
    <row r="22461" spans="32:37">
      <c r="AF22461" s="831" t="s">
        <v>11276</v>
      </c>
      <c r="AG22461" s="831" t="s">
        <v>2674</v>
      </c>
      <c r="AH22461" s="831" t="s">
        <v>370</v>
      </c>
      <c r="AI22461" s="831">
        <v>0</v>
      </c>
      <c r="AJ22461" s="835">
        <v>41670</v>
      </c>
      <c r="AK22461" s="831">
        <v>777719977</v>
      </c>
    </row>
    <row r="22462" spans="32:37">
      <c r="AF22462" s="831" t="s">
        <v>11277</v>
      </c>
      <c r="AG22462" s="831" t="s">
        <v>2674</v>
      </c>
      <c r="AH22462" s="831" t="s">
        <v>126</v>
      </c>
      <c r="AI22462" s="831">
        <v>0</v>
      </c>
      <c r="AJ22462" s="835">
        <v>41670</v>
      </c>
      <c r="AK22462" s="831">
        <v>117105496</v>
      </c>
    </row>
    <row r="22463" spans="32:37">
      <c r="AF22463" s="831" t="s">
        <v>11278</v>
      </c>
      <c r="AG22463" s="831" t="s">
        <v>2674</v>
      </c>
      <c r="AH22463" s="831" t="s">
        <v>268</v>
      </c>
      <c r="AI22463" s="831">
        <v>0</v>
      </c>
      <c r="AJ22463" s="835">
        <v>41670</v>
      </c>
      <c r="AK22463" s="831">
        <v>3298821</v>
      </c>
    </row>
    <row r="22464" spans="32:37">
      <c r="AF22464" s="831" t="s">
        <v>11279</v>
      </c>
      <c r="AG22464" s="831" t="s">
        <v>2674</v>
      </c>
      <c r="AH22464" s="831" t="s">
        <v>547</v>
      </c>
      <c r="AI22464" s="831">
        <v>0</v>
      </c>
      <c r="AJ22464" s="835">
        <v>41670</v>
      </c>
      <c r="AK22464" s="831">
        <v>777719977</v>
      </c>
    </row>
    <row r="22465" spans="32:37">
      <c r="AF22465" s="831" t="s">
        <v>11280</v>
      </c>
      <c r="AG22465" s="831" t="s">
        <v>2674</v>
      </c>
      <c r="AH22465" s="831" t="s">
        <v>548</v>
      </c>
      <c r="AI22465" s="831">
        <v>0</v>
      </c>
      <c r="AJ22465" s="835">
        <v>41670</v>
      </c>
      <c r="AK22465" s="831">
        <v>117105496</v>
      </c>
    </row>
    <row r="22466" spans="32:37">
      <c r="AF22466" s="831" t="s">
        <v>11281</v>
      </c>
      <c r="AG22466" s="831" t="s">
        <v>2674</v>
      </c>
      <c r="AH22466" s="831" t="s">
        <v>549</v>
      </c>
      <c r="AI22466" s="831">
        <v>0</v>
      </c>
      <c r="AJ22466" s="835">
        <v>41670</v>
      </c>
      <c r="AK22466" s="831">
        <v>421051783</v>
      </c>
    </row>
    <row r="22467" spans="32:37">
      <c r="AF22467" s="831" t="s">
        <v>11282</v>
      </c>
      <c r="AG22467" s="831" t="s">
        <v>2674</v>
      </c>
      <c r="AH22467" s="831" t="s">
        <v>192</v>
      </c>
      <c r="AI22467" s="831">
        <v>0</v>
      </c>
      <c r="AJ22467" s="835">
        <v>41670</v>
      </c>
      <c r="AK22467" s="831">
        <v>-14010990</v>
      </c>
    </row>
    <row r="22468" spans="32:37">
      <c r="AF22468" s="831" t="s">
        <v>11283</v>
      </c>
      <c r="AG22468" s="831" t="s">
        <v>2674</v>
      </c>
      <c r="AH22468" s="831" t="s">
        <v>558</v>
      </c>
      <c r="AI22468" s="831">
        <v>0</v>
      </c>
      <c r="AJ22468" s="835">
        <v>41670</v>
      </c>
      <c r="AK22468" s="831">
        <v>660614481.35800004</v>
      </c>
    </row>
    <row r="22469" spans="32:37">
      <c r="AF22469" s="831" t="s">
        <v>11284</v>
      </c>
      <c r="AG22469" s="831" t="s">
        <v>2674</v>
      </c>
      <c r="AH22469" s="831" t="s">
        <v>65</v>
      </c>
      <c r="AI22469" s="831">
        <v>0</v>
      </c>
      <c r="AJ22469" s="835">
        <v>41670</v>
      </c>
      <c r="AK22469" s="831">
        <v>13268788</v>
      </c>
    </row>
    <row r="22470" spans="32:37">
      <c r="AF22470" s="831" t="s">
        <v>11285</v>
      </c>
      <c r="AG22470" s="831" t="s">
        <v>2674</v>
      </c>
      <c r="AH22470" s="831" t="s">
        <v>89</v>
      </c>
      <c r="AI22470" s="831">
        <v>0</v>
      </c>
      <c r="AJ22470" s="835">
        <v>41670</v>
      </c>
      <c r="AK22470" s="831">
        <v>149103</v>
      </c>
    </row>
    <row r="22471" spans="32:37">
      <c r="AF22471" s="831" t="s">
        <v>11286</v>
      </c>
      <c r="AG22471" s="831" t="s">
        <v>2674</v>
      </c>
      <c r="AH22471" s="831" t="s">
        <v>557</v>
      </c>
      <c r="AI22471" s="831">
        <v>0</v>
      </c>
      <c r="AJ22471" s="835">
        <v>41670</v>
      </c>
      <c r="AK22471" s="831">
        <v>162799</v>
      </c>
    </row>
    <row r="22472" spans="32:37">
      <c r="AF22472" s="831" t="s">
        <v>11287</v>
      </c>
      <c r="AG22472" s="831" t="s">
        <v>2674</v>
      </c>
      <c r="AH22472" s="831" t="s">
        <v>29</v>
      </c>
      <c r="AI22472" s="831">
        <v>0</v>
      </c>
      <c r="AJ22472" s="835">
        <v>41670</v>
      </c>
      <c r="AK22472" s="831">
        <v>1994542.716</v>
      </c>
    </row>
    <row r="22473" spans="32:37">
      <c r="AF22473" s="831" t="s">
        <v>11288</v>
      </c>
      <c r="AG22473" s="831" t="s">
        <v>2674</v>
      </c>
      <c r="AH22473" s="831" t="s">
        <v>2688</v>
      </c>
      <c r="AI22473" s="831">
        <v>0</v>
      </c>
      <c r="AJ22473" s="835">
        <v>41670</v>
      </c>
      <c r="AK22473" s="831">
        <v>3487768.05</v>
      </c>
    </row>
    <row r="22474" spans="32:37">
      <c r="AF22474" s="831" t="s">
        <v>11289</v>
      </c>
      <c r="AG22474" s="831" t="s">
        <v>2674</v>
      </c>
      <c r="AH22474" s="831" t="s">
        <v>556</v>
      </c>
      <c r="AI22474" s="831">
        <v>0</v>
      </c>
      <c r="AJ22474" s="835">
        <v>41670</v>
      </c>
      <c r="AK22474" s="831">
        <v>1644732</v>
      </c>
    </row>
    <row r="22475" spans="32:37">
      <c r="AF22475" s="831" t="s">
        <v>11290</v>
      </c>
      <c r="AG22475" s="831" t="s">
        <v>2674</v>
      </c>
      <c r="AH22475" s="831" t="s">
        <v>555</v>
      </c>
      <c r="AI22475" s="831">
        <v>0</v>
      </c>
      <c r="AJ22475" s="835">
        <v>41670</v>
      </c>
      <c r="AK22475" s="831">
        <v>421635600</v>
      </c>
    </row>
    <row r="22476" spans="32:37">
      <c r="AF22476" s="831" t="s">
        <v>11291</v>
      </c>
      <c r="AG22476" s="831" t="s">
        <v>2674</v>
      </c>
      <c r="AH22476" s="831" t="s">
        <v>554</v>
      </c>
      <c r="AI22476" s="831">
        <v>0</v>
      </c>
      <c r="AJ22476" s="835">
        <v>41670</v>
      </c>
      <c r="AK22476" s="831">
        <v>432162250</v>
      </c>
    </row>
    <row r="22477" spans="32:37">
      <c r="AF22477" s="831" t="s">
        <v>11292</v>
      </c>
      <c r="AG22477" s="831" t="s">
        <v>2674</v>
      </c>
      <c r="AH22477" s="831" t="s">
        <v>553</v>
      </c>
      <c r="AI22477" s="831">
        <v>0</v>
      </c>
      <c r="AJ22477" s="835">
        <v>41670</v>
      </c>
      <c r="AK22477" s="831">
        <v>0</v>
      </c>
    </row>
    <row r="22478" spans="32:37">
      <c r="AF22478" s="831" t="s">
        <v>11293</v>
      </c>
      <c r="AG22478" s="831" t="s">
        <v>2674</v>
      </c>
      <c r="AH22478" s="831" t="s">
        <v>552</v>
      </c>
      <c r="AI22478" s="831">
        <v>0</v>
      </c>
      <c r="AJ22478" s="835">
        <v>41670</v>
      </c>
      <c r="AK22478" s="831">
        <v>0</v>
      </c>
    </row>
    <row r="22479" spans="32:37">
      <c r="AF22479" s="831" t="s">
        <v>11294</v>
      </c>
      <c r="AG22479" s="831" t="s">
        <v>2674</v>
      </c>
      <c r="AH22479" s="831" t="s">
        <v>551</v>
      </c>
      <c r="AI22479" s="831">
        <v>0</v>
      </c>
      <c r="AJ22479" s="835">
        <v>41670</v>
      </c>
      <c r="AK22479" s="831">
        <v>1853357.048</v>
      </c>
    </row>
    <row r="22480" spans="32:37">
      <c r="AF22480" s="831" t="s">
        <v>11295</v>
      </c>
      <c r="AG22480" s="831" t="s">
        <v>2674</v>
      </c>
      <c r="AH22480" s="831" t="s">
        <v>550</v>
      </c>
      <c r="AI22480" s="831">
        <v>0</v>
      </c>
      <c r="AJ22480" s="835">
        <v>41670</v>
      </c>
      <c r="AK22480" s="831">
        <v>114089765.91</v>
      </c>
    </row>
    <row r="22481" spans="32:37">
      <c r="AF22481" s="831" t="s">
        <v>11296</v>
      </c>
      <c r="AG22481" s="831" t="s">
        <v>2674</v>
      </c>
      <c r="AH22481" s="831" t="s">
        <v>562</v>
      </c>
      <c r="AI22481" s="831">
        <v>0</v>
      </c>
      <c r="AJ22481" s="835">
        <v>41670</v>
      </c>
      <c r="AK22481" s="831">
        <v>0.78364999999999996</v>
      </c>
    </row>
    <row r="22482" spans="32:37">
      <c r="AF22482" s="831" t="s">
        <v>11297</v>
      </c>
      <c r="AG22482" s="831" t="s">
        <v>2674</v>
      </c>
      <c r="AH22482" s="831" t="s">
        <v>2698</v>
      </c>
      <c r="AI22482" s="831">
        <v>0</v>
      </c>
      <c r="AJ22482" s="835">
        <v>41670</v>
      </c>
      <c r="AK22482" s="831">
        <v>0.78334999999999999</v>
      </c>
    </row>
    <row r="22483" spans="32:37">
      <c r="AF22483" s="831" t="s">
        <v>11298</v>
      </c>
      <c r="AG22483" s="831" t="s">
        <v>2674</v>
      </c>
      <c r="AH22483" s="831" t="s">
        <v>560</v>
      </c>
      <c r="AI22483" s="831">
        <v>0</v>
      </c>
      <c r="AJ22483" s="835">
        <v>41670</v>
      </c>
      <c r="AK22483" s="831">
        <v>0.78364999999999996</v>
      </c>
    </row>
    <row r="22484" spans="32:37">
      <c r="AF22484" s="831" t="s">
        <v>11299</v>
      </c>
      <c r="AG22484" s="831" t="s">
        <v>2674</v>
      </c>
      <c r="AH22484" s="831" t="s">
        <v>559</v>
      </c>
      <c r="AI22484" s="831">
        <v>0</v>
      </c>
      <c r="AJ22484" s="835">
        <v>41670</v>
      </c>
      <c r="AK22484" s="831">
        <v>0.78391666666666648</v>
      </c>
    </row>
    <row r="22485" spans="32:37">
      <c r="AF22485" s="831" t="s">
        <v>11300</v>
      </c>
      <c r="AG22485" s="831" t="s">
        <v>2674</v>
      </c>
      <c r="AH22485" s="831" t="s">
        <v>568</v>
      </c>
      <c r="AI22485" s="831">
        <v>0</v>
      </c>
      <c r="AJ22485" s="835">
        <v>41670</v>
      </c>
      <c r="AK22485" s="831">
        <v>530633259.22692305</v>
      </c>
    </row>
    <row r="22486" spans="32:37">
      <c r="AF22486" s="831" t="s">
        <v>11301</v>
      </c>
      <c r="AG22486" s="831" t="s">
        <v>2674</v>
      </c>
      <c r="AH22486" s="831" t="s">
        <v>569</v>
      </c>
      <c r="AI22486" s="831">
        <v>0</v>
      </c>
      <c r="AJ22486" s="835">
        <v>41670</v>
      </c>
      <c r="AK22486" s="831">
        <v>648384048.74253845</v>
      </c>
    </row>
    <row r="22487" spans="32:37">
      <c r="AF22487" s="831" t="s">
        <v>11302</v>
      </c>
      <c r="AG22487" s="831" t="s">
        <v>2674</v>
      </c>
      <c r="AH22487" s="831" t="s">
        <v>570</v>
      </c>
      <c r="AI22487" s="831">
        <v>0</v>
      </c>
      <c r="AJ22487" s="835">
        <v>41670</v>
      </c>
      <c r="AK22487" s="831">
        <v>109988497.52046154</v>
      </c>
    </row>
    <row r="22488" spans="32:37">
      <c r="AF22488" s="831" t="s">
        <v>11303</v>
      </c>
      <c r="AG22488" s="831" t="s">
        <v>2674</v>
      </c>
      <c r="AH22488" s="831" t="s">
        <v>571</v>
      </c>
      <c r="AI22488" s="831">
        <v>0</v>
      </c>
      <c r="AJ22488" s="835">
        <v>41670</v>
      </c>
      <c r="AK22488" s="831">
        <v>308674440.74407691</v>
      </c>
    </row>
    <row r="22489" spans="32:37">
      <c r="AF22489" s="831" t="s">
        <v>11304</v>
      </c>
      <c r="AG22489" s="831" t="s">
        <v>2674</v>
      </c>
      <c r="AH22489" s="831" t="s">
        <v>573</v>
      </c>
      <c r="AI22489" s="831">
        <v>0</v>
      </c>
      <c r="AJ22489" s="835">
        <v>41670</v>
      </c>
      <c r="AK22489" s="831">
        <v>783617473.28149998</v>
      </c>
    </row>
    <row r="22490" spans="32:37">
      <c r="AF22490" s="831" t="s">
        <v>11305</v>
      </c>
      <c r="AG22490" s="831" t="s">
        <v>2674</v>
      </c>
      <c r="AH22490" s="831" t="s">
        <v>574</v>
      </c>
      <c r="AI22490" s="831">
        <v>0</v>
      </c>
      <c r="AJ22490" s="835">
        <v>41670</v>
      </c>
      <c r="AK22490" s="831">
        <v>631746388</v>
      </c>
    </row>
    <row r="22491" spans="32:37">
      <c r="AF22491" s="831" t="s">
        <v>11306</v>
      </c>
      <c r="AG22491" s="831" t="s">
        <v>2674</v>
      </c>
      <c r="AH22491" s="831" t="s">
        <v>575</v>
      </c>
      <c r="AI22491" s="831">
        <v>0</v>
      </c>
      <c r="AJ22491" s="835">
        <v>41670</v>
      </c>
      <c r="AK22491" s="831">
        <v>115597630.955</v>
      </c>
    </row>
    <row r="22492" spans="32:37">
      <c r="AF22492" s="831" t="s">
        <v>11307</v>
      </c>
      <c r="AG22492" s="831" t="s">
        <v>2674</v>
      </c>
      <c r="AH22492" s="831" t="s">
        <v>576</v>
      </c>
      <c r="AI22492" s="831">
        <v>0</v>
      </c>
      <c r="AJ22492" s="835">
        <v>41670</v>
      </c>
      <c r="AK22492" s="831">
        <v>385049519.80550003</v>
      </c>
    </row>
    <row r="22493" spans="32:37">
      <c r="AF22493" s="831" t="s">
        <v>11308</v>
      </c>
      <c r="AG22493" s="831" t="s">
        <v>2674</v>
      </c>
      <c r="AH22493" s="831" t="s">
        <v>572</v>
      </c>
      <c r="AI22493" s="831">
        <v>0</v>
      </c>
      <c r="AJ22493" s="835">
        <v>41670</v>
      </c>
      <c r="AK22493" s="831">
        <v>28355401.956000008</v>
      </c>
    </row>
    <row r="22494" spans="32:37">
      <c r="AF22494" s="831" t="s">
        <v>11309</v>
      </c>
      <c r="AG22494" s="831" t="s">
        <v>2674</v>
      </c>
      <c r="AH22494" s="831" t="s">
        <v>577</v>
      </c>
      <c r="AI22494" s="831">
        <v>0</v>
      </c>
      <c r="AJ22494" s="835">
        <v>41670</v>
      </c>
      <c r="AK22494" s="831">
        <v>136649293.76300001</v>
      </c>
    </row>
    <row r="22495" spans="32:37">
      <c r="AF22495" s="831" t="s">
        <v>11310</v>
      </c>
      <c r="AG22495" s="831" t="s">
        <v>2674</v>
      </c>
      <c r="AH22495" s="831" t="s">
        <v>3042</v>
      </c>
      <c r="AI22495" s="831">
        <v>0</v>
      </c>
      <c r="AJ22495" s="835">
        <v>41670</v>
      </c>
      <c r="AK22495" s="831">
        <v>-35903077.527000003</v>
      </c>
    </row>
    <row r="22496" spans="32:37">
      <c r="AF22496" s="831" t="s">
        <v>11311</v>
      </c>
      <c r="AG22496" s="831" t="s">
        <v>2674</v>
      </c>
      <c r="AH22496" s="831" t="s">
        <v>3044</v>
      </c>
      <c r="AI22496" s="831">
        <v>0</v>
      </c>
      <c r="AJ22496" s="835">
        <v>41670</v>
      </c>
      <c r="AK22496" s="831">
        <v>-4357745.8899999997</v>
      </c>
    </row>
    <row r="22497" spans="32:37">
      <c r="AF22497" s="831" t="s">
        <v>11312</v>
      </c>
      <c r="AG22497" s="831" t="s">
        <v>2674</v>
      </c>
      <c r="AH22497" s="831" t="s">
        <v>580</v>
      </c>
      <c r="AI22497" s="831">
        <v>0</v>
      </c>
      <c r="AJ22497" s="835">
        <v>41670</v>
      </c>
      <c r="AK22497" s="831">
        <v>-64979972.306999996</v>
      </c>
    </row>
    <row r="22498" spans="32:37">
      <c r="AF22498" s="831" t="s">
        <v>11313</v>
      </c>
      <c r="AG22498" s="831" t="s">
        <v>2674</v>
      </c>
      <c r="AH22498" s="831" t="s">
        <v>581</v>
      </c>
      <c r="AI22498" s="831">
        <v>0</v>
      </c>
      <c r="AJ22498" s="835">
        <v>41670</v>
      </c>
      <c r="AK22498" s="831">
        <v>5221448.8940000003</v>
      </c>
    </row>
    <row r="22499" spans="32:37">
      <c r="AF22499" s="831" t="s">
        <v>11314</v>
      </c>
      <c r="AG22499" s="831" t="s">
        <v>2674</v>
      </c>
      <c r="AH22499" s="831" t="s">
        <v>105</v>
      </c>
      <c r="AI22499" s="831">
        <v>0</v>
      </c>
      <c r="AJ22499" s="835">
        <v>41670</v>
      </c>
      <c r="AK22499" s="831">
        <v>378525192</v>
      </c>
    </row>
    <row r="22500" spans="32:37">
      <c r="AF22500" s="831" t="s">
        <v>11315</v>
      </c>
      <c r="AG22500" s="831" t="s">
        <v>2674</v>
      </c>
      <c r="AH22500" s="831" t="s">
        <v>3049</v>
      </c>
      <c r="AI22500" s="831">
        <v>0</v>
      </c>
      <c r="AJ22500" s="835">
        <v>41670</v>
      </c>
      <c r="AK22500" s="831">
        <v>636021249.54999995</v>
      </c>
    </row>
    <row r="22501" spans="32:37">
      <c r="AF22501" s="831" t="s">
        <v>11316</v>
      </c>
      <c r="AG22501" s="831" t="s">
        <v>2674</v>
      </c>
      <c r="AH22501" s="831" t="s">
        <v>103</v>
      </c>
      <c r="AI22501" s="831">
        <v>0</v>
      </c>
      <c r="AJ22501" s="835">
        <v>41670</v>
      </c>
      <c r="AK22501" s="831">
        <v>257496057.55000001</v>
      </c>
    </row>
    <row r="22502" spans="32:37">
      <c r="AF22502" s="831" t="s">
        <v>11317</v>
      </c>
      <c r="AG22502" s="831" t="s">
        <v>2674</v>
      </c>
      <c r="AH22502" s="831" t="s">
        <v>182</v>
      </c>
      <c r="AI22502" s="831">
        <v>0</v>
      </c>
      <c r="AJ22502" s="835">
        <v>41670</v>
      </c>
      <c r="AK22502" s="831">
        <v>67679280</v>
      </c>
    </row>
    <row r="22503" spans="32:37">
      <c r="AF22503" s="831" t="s">
        <v>11318</v>
      </c>
      <c r="AG22503" s="831" t="s">
        <v>2674</v>
      </c>
      <c r="AH22503" s="831" t="s">
        <v>6600</v>
      </c>
      <c r="AI22503" s="831">
        <v>0</v>
      </c>
      <c r="AJ22503" s="835">
        <v>41670</v>
      </c>
      <c r="AK22503" s="831">
        <v>28355401.956000008</v>
      </c>
    </row>
    <row r="22504" spans="32:37">
      <c r="AF22504" s="831" t="s">
        <v>11319</v>
      </c>
      <c r="AG22504" s="831" t="s">
        <v>2674</v>
      </c>
      <c r="AH22504" s="831" t="s">
        <v>6602</v>
      </c>
      <c r="AI22504" s="831">
        <v>0</v>
      </c>
      <c r="AJ22504" s="835">
        <v>41670</v>
      </c>
      <c r="AK22504" s="831">
        <v>3298821</v>
      </c>
    </row>
    <row r="22505" spans="32:37">
      <c r="AF22505" s="831" t="s">
        <v>11320</v>
      </c>
      <c r="AG22505" s="831" t="s">
        <v>2674</v>
      </c>
      <c r="AH22505" s="831" t="s">
        <v>650</v>
      </c>
      <c r="AI22505" s="831">
        <v>0</v>
      </c>
      <c r="AJ22505" s="835">
        <v>41670</v>
      </c>
      <c r="AK22505" s="831">
        <v>211999986.62300003</v>
      </c>
    </row>
    <row r="22506" spans="32:37">
      <c r="AF22506" s="831" t="s">
        <v>11321</v>
      </c>
      <c r="AG22506" s="831" t="s">
        <v>2674</v>
      </c>
      <c r="AH22506" s="831" t="s">
        <v>655</v>
      </c>
      <c r="AI22506" s="831">
        <v>0</v>
      </c>
      <c r="AJ22506" s="835">
        <v>41670</v>
      </c>
      <c r="AK22506" s="831">
        <v>1732566.0729999999</v>
      </c>
    </row>
    <row r="22507" spans="32:37">
      <c r="AF22507" s="831" t="s">
        <v>11322</v>
      </c>
      <c r="AG22507" s="831" t="s">
        <v>2674</v>
      </c>
      <c r="AH22507" s="831" t="s">
        <v>546</v>
      </c>
      <c r="AI22507" s="831">
        <v>0</v>
      </c>
      <c r="AJ22507" s="835">
        <v>41698</v>
      </c>
      <c r="AK22507" s="831">
        <v>652795035</v>
      </c>
    </row>
    <row r="22508" spans="32:37">
      <c r="AF22508" s="831" t="s">
        <v>11323</v>
      </c>
      <c r="AG22508" s="831" t="s">
        <v>2674</v>
      </c>
      <c r="AH22508" s="831" t="s">
        <v>370</v>
      </c>
      <c r="AI22508" s="831">
        <v>0</v>
      </c>
      <c r="AJ22508" s="835">
        <v>41698</v>
      </c>
      <c r="AK22508" s="831">
        <v>794421636</v>
      </c>
    </row>
    <row r="22509" spans="32:37">
      <c r="AF22509" s="831" t="s">
        <v>11324</v>
      </c>
      <c r="AG22509" s="831" t="s">
        <v>2674</v>
      </c>
      <c r="AH22509" s="831" t="s">
        <v>126</v>
      </c>
      <c r="AI22509" s="831">
        <v>0</v>
      </c>
      <c r="AJ22509" s="835">
        <v>41698</v>
      </c>
      <c r="AK22509" s="831">
        <v>120615628</v>
      </c>
    </row>
    <row r="22510" spans="32:37">
      <c r="AF22510" s="831" t="s">
        <v>11325</v>
      </c>
      <c r="AG22510" s="831" t="s">
        <v>2674</v>
      </c>
      <c r="AH22510" s="831" t="s">
        <v>268</v>
      </c>
      <c r="AI22510" s="831">
        <v>0</v>
      </c>
      <c r="AJ22510" s="835">
        <v>41698</v>
      </c>
      <c r="AK22510" s="831">
        <v>7870295</v>
      </c>
    </row>
    <row r="22511" spans="32:37">
      <c r="AF22511" s="831" t="s">
        <v>11326</v>
      </c>
      <c r="AG22511" s="831" t="s">
        <v>2674</v>
      </c>
      <c r="AH22511" s="831" t="s">
        <v>547</v>
      </c>
      <c r="AI22511" s="831">
        <v>0</v>
      </c>
      <c r="AJ22511" s="835">
        <v>41698</v>
      </c>
      <c r="AK22511" s="831">
        <v>777719977</v>
      </c>
    </row>
    <row r="22512" spans="32:37">
      <c r="AF22512" s="831" t="s">
        <v>11327</v>
      </c>
      <c r="AG22512" s="831" t="s">
        <v>2674</v>
      </c>
      <c r="AH22512" s="831" t="s">
        <v>548</v>
      </c>
      <c r="AI22512" s="831">
        <v>0</v>
      </c>
      <c r="AJ22512" s="835">
        <v>41698</v>
      </c>
      <c r="AK22512" s="831">
        <v>117105496</v>
      </c>
    </row>
    <row r="22513" spans="32:37">
      <c r="AF22513" s="831" t="s">
        <v>11328</v>
      </c>
      <c r="AG22513" s="831" t="s">
        <v>2674</v>
      </c>
      <c r="AH22513" s="831" t="s">
        <v>549</v>
      </c>
      <c r="AI22513" s="831">
        <v>0</v>
      </c>
      <c r="AJ22513" s="835">
        <v>41698</v>
      </c>
      <c r="AK22513" s="831">
        <v>436810603</v>
      </c>
    </row>
    <row r="22514" spans="32:37">
      <c r="AF22514" s="831" t="s">
        <v>11329</v>
      </c>
      <c r="AG22514" s="831" t="s">
        <v>2674</v>
      </c>
      <c r="AH22514" s="831" t="s">
        <v>192</v>
      </c>
      <c r="AI22514" s="831">
        <v>0</v>
      </c>
      <c r="AJ22514" s="835">
        <v>41698</v>
      </c>
      <c r="AK22514" s="831">
        <v>-13506118</v>
      </c>
    </row>
    <row r="22515" spans="32:37">
      <c r="AF22515" s="831" t="s">
        <v>11330</v>
      </c>
      <c r="AG22515" s="831" t="s">
        <v>2674</v>
      </c>
      <c r="AH22515" s="831" t="s">
        <v>558</v>
      </c>
      <c r="AI22515" s="831">
        <v>0</v>
      </c>
      <c r="AJ22515" s="835">
        <v>41698</v>
      </c>
      <c r="AK22515" s="831">
        <v>673806008.21000004</v>
      </c>
    </row>
    <row r="22516" spans="32:37">
      <c r="AF22516" s="831" t="s">
        <v>11331</v>
      </c>
      <c r="AG22516" s="831" t="s">
        <v>2674</v>
      </c>
      <c r="AH22516" s="831" t="s">
        <v>65</v>
      </c>
      <c r="AI22516" s="831">
        <v>0</v>
      </c>
      <c r="AJ22516" s="835">
        <v>41698</v>
      </c>
      <c r="AK22516" s="831">
        <v>27696081</v>
      </c>
    </row>
    <row r="22517" spans="32:37">
      <c r="AF22517" s="831" t="s">
        <v>11332</v>
      </c>
      <c r="AG22517" s="831" t="s">
        <v>2674</v>
      </c>
      <c r="AH22517" s="831" t="s">
        <v>89</v>
      </c>
      <c r="AI22517" s="831">
        <v>0</v>
      </c>
      <c r="AJ22517" s="835">
        <v>41698</v>
      </c>
      <c r="AK22517" s="831">
        <v>150328</v>
      </c>
    </row>
    <row r="22518" spans="32:37">
      <c r="AF22518" s="831" t="s">
        <v>11333</v>
      </c>
      <c r="AG22518" s="831" t="s">
        <v>2674</v>
      </c>
      <c r="AH22518" s="831" t="s">
        <v>557</v>
      </c>
      <c r="AI22518" s="831">
        <v>0</v>
      </c>
      <c r="AJ22518" s="835">
        <v>41698</v>
      </c>
      <c r="AK22518" s="831">
        <v>165052</v>
      </c>
    </row>
    <row r="22519" spans="32:37">
      <c r="AF22519" s="831" t="s">
        <v>11334</v>
      </c>
      <c r="AG22519" s="831" t="s">
        <v>2674</v>
      </c>
      <c r="AH22519" s="831" t="s">
        <v>29</v>
      </c>
      <c r="AI22519" s="831">
        <v>0</v>
      </c>
      <c r="AJ22519" s="835">
        <v>41698</v>
      </c>
      <c r="AK22519" s="831">
        <v>2075568.541</v>
      </c>
    </row>
    <row r="22520" spans="32:37">
      <c r="AF22520" s="831" t="s">
        <v>11335</v>
      </c>
      <c r="AG22520" s="831" t="s">
        <v>2674</v>
      </c>
      <c r="AH22520" s="831" t="s">
        <v>2688</v>
      </c>
      <c r="AI22520" s="831">
        <v>0</v>
      </c>
      <c r="AJ22520" s="835">
        <v>41698</v>
      </c>
      <c r="AK22520" s="831">
        <v>4740340.3599999994</v>
      </c>
    </row>
    <row r="22521" spans="32:37">
      <c r="AF22521" s="831" t="s">
        <v>11336</v>
      </c>
      <c r="AG22521" s="831" t="s">
        <v>2674</v>
      </c>
      <c r="AH22521" s="831" t="s">
        <v>556</v>
      </c>
      <c r="AI22521" s="831">
        <v>0</v>
      </c>
      <c r="AJ22521" s="835">
        <v>41698</v>
      </c>
      <c r="AK22521" s="831">
        <v>1644732</v>
      </c>
    </row>
    <row r="22522" spans="32:37">
      <c r="AF22522" s="831" t="s">
        <v>11337</v>
      </c>
      <c r="AG22522" s="831" t="s">
        <v>2674</v>
      </c>
      <c r="AH22522" s="831" t="s">
        <v>555</v>
      </c>
      <c r="AI22522" s="831">
        <v>0</v>
      </c>
      <c r="AJ22522" s="835">
        <v>41698</v>
      </c>
      <c r="AK22522" s="831">
        <v>437465824</v>
      </c>
    </row>
    <row r="22523" spans="32:37">
      <c r="AF22523" s="831" t="s">
        <v>11338</v>
      </c>
      <c r="AG22523" s="831" t="s">
        <v>2674</v>
      </c>
      <c r="AH22523" s="831" t="s">
        <v>554</v>
      </c>
      <c r="AI22523" s="831">
        <v>0</v>
      </c>
      <c r="AJ22523" s="835">
        <v>41698</v>
      </c>
      <c r="AK22523" s="831">
        <v>440045130</v>
      </c>
    </row>
    <row r="22524" spans="32:37">
      <c r="AF22524" s="831" t="s">
        <v>11339</v>
      </c>
      <c r="AG22524" s="831" t="s">
        <v>2674</v>
      </c>
      <c r="AH22524" s="831" t="s">
        <v>553</v>
      </c>
      <c r="AI22524" s="831">
        <v>0</v>
      </c>
      <c r="AJ22524" s="835">
        <v>41698</v>
      </c>
      <c r="AK22524" s="831">
        <v>0</v>
      </c>
    </row>
    <row r="22525" spans="32:37">
      <c r="AF22525" s="831" t="s">
        <v>11340</v>
      </c>
      <c r="AG22525" s="831" t="s">
        <v>2674</v>
      </c>
      <c r="AH22525" s="831" t="s">
        <v>552</v>
      </c>
      <c r="AI22525" s="831">
        <v>0</v>
      </c>
      <c r="AJ22525" s="835">
        <v>41698</v>
      </c>
      <c r="AK22525" s="831">
        <v>0</v>
      </c>
    </row>
    <row r="22526" spans="32:37">
      <c r="AF22526" s="831" t="s">
        <v>11341</v>
      </c>
      <c r="AG22526" s="831" t="s">
        <v>2674</v>
      </c>
      <c r="AH22526" s="831" t="s">
        <v>551</v>
      </c>
      <c r="AI22526" s="831">
        <v>0</v>
      </c>
      <c r="AJ22526" s="835">
        <v>41698</v>
      </c>
      <c r="AK22526" s="831">
        <v>1790155.7879999999</v>
      </c>
    </row>
    <row r="22527" spans="32:37">
      <c r="AF22527" s="831" t="s">
        <v>11342</v>
      </c>
      <c r="AG22527" s="831" t="s">
        <v>2674</v>
      </c>
      <c r="AH22527" s="831" t="s">
        <v>550</v>
      </c>
      <c r="AI22527" s="831">
        <v>0</v>
      </c>
      <c r="AJ22527" s="835">
        <v>41698</v>
      </c>
      <c r="AK22527" s="831">
        <v>117105496</v>
      </c>
    </row>
    <row r="22528" spans="32:37">
      <c r="AF22528" s="831" t="s">
        <v>11343</v>
      </c>
      <c r="AG22528" s="831" t="s">
        <v>2674</v>
      </c>
      <c r="AH22528" s="831" t="s">
        <v>562</v>
      </c>
      <c r="AI22528" s="831">
        <v>0</v>
      </c>
      <c r="AJ22528" s="835">
        <v>41698</v>
      </c>
      <c r="AK22528" s="831">
        <v>0.78385000000000005</v>
      </c>
    </row>
    <row r="22529" spans="32:37">
      <c r="AF22529" s="831" t="s">
        <v>11344</v>
      </c>
      <c r="AG22529" s="831" t="s">
        <v>2674</v>
      </c>
      <c r="AH22529" s="831" t="s">
        <v>2698</v>
      </c>
      <c r="AI22529" s="831">
        <v>0</v>
      </c>
      <c r="AJ22529" s="835">
        <v>41698</v>
      </c>
      <c r="AK22529" s="831">
        <v>0.78364999999999996</v>
      </c>
    </row>
    <row r="22530" spans="32:37">
      <c r="AF22530" s="831" t="s">
        <v>11345</v>
      </c>
      <c r="AG22530" s="831" t="s">
        <v>2674</v>
      </c>
      <c r="AH22530" s="831" t="s">
        <v>560</v>
      </c>
      <c r="AI22530" s="831">
        <v>0</v>
      </c>
      <c r="AJ22530" s="835">
        <v>41698</v>
      </c>
      <c r="AK22530" s="831">
        <v>0.78374999999999995</v>
      </c>
    </row>
    <row r="22531" spans="32:37">
      <c r="AF22531" s="831" t="s">
        <v>11346</v>
      </c>
      <c r="AG22531" s="831" t="s">
        <v>2674</v>
      </c>
      <c r="AH22531" s="831" t="s">
        <v>559</v>
      </c>
      <c r="AI22531" s="831">
        <v>0</v>
      </c>
      <c r="AJ22531" s="835">
        <v>41698</v>
      </c>
      <c r="AK22531" s="831">
        <v>0.7838750000000001</v>
      </c>
    </row>
    <row r="22532" spans="32:37">
      <c r="AF22532" s="831" t="s">
        <v>11347</v>
      </c>
      <c r="AG22532" s="831" t="s">
        <v>2674</v>
      </c>
      <c r="AH22532" s="831" t="s">
        <v>568</v>
      </c>
      <c r="AI22532" s="831">
        <v>0</v>
      </c>
      <c r="AJ22532" s="835">
        <v>41698</v>
      </c>
      <c r="AK22532" s="831">
        <v>548459663.22692311</v>
      </c>
    </row>
    <row r="22533" spans="32:37">
      <c r="AF22533" s="831" t="s">
        <v>11348</v>
      </c>
      <c r="AG22533" s="831" t="s">
        <v>2674</v>
      </c>
      <c r="AH22533" s="831" t="s">
        <v>569</v>
      </c>
      <c r="AI22533" s="831">
        <v>0</v>
      </c>
      <c r="AJ22533" s="835">
        <v>41698</v>
      </c>
      <c r="AK22533" s="831">
        <v>670148193.05023074</v>
      </c>
    </row>
    <row r="22534" spans="32:37">
      <c r="AF22534" s="831" t="s">
        <v>11349</v>
      </c>
      <c r="AG22534" s="831" t="s">
        <v>2674</v>
      </c>
      <c r="AH22534" s="831" t="s">
        <v>570</v>
      </c>
      <c r="AI22534" s="831">
        <v>0</v>
      </c>
      <c r="AJ22534" s="835">
        <v>41698</v>
      </c>
      <c r="AK22534" s="831">
        <v>111814070.13584615</v>
      </c>
    </row>
    <row r="22535" spans="32:37">
      <c r="AF22535" s="831" t="s">
        <v>11350</v>
      </c>
      <c r="AG22535" s="831" t="s">
        <v>2674</v>
      </c>
      <c r="AH22535" s="831" t="s">
        <v>571</v>
      </c>
      <c r="AI22535" s="831">
        <v>0</v>
      </c>
      <c r="AJ22535" s="835">
        <v>41698</v>
      </c>
      <c r="AK22535" s="831">
        <v>320628110.0517692</v>
      </c>
    </row>
    <row r="22536" spans="32:37">
      <c r="AF22536" s="831" t="s">
        <v>11351</v>
      </c>
      <c r="AG22536" s="831" t="s">
        <v>2674</v>
      </c>
      <c r="AH22536" s="831" t="s">
        <v>573</v>
      </c>
      <c r="AI22536" s="831">
        <v>0</v>
      </c>
      <c r="AJ22536" s="835">
        <v>41698</v>
      </c>
      <c r="AK22536" s="831">
        <v>787218860.85433328</v>
      </c>
    </row>
    <row r="22537" spans="32:37">
      <c r="AF22537" s="831" t="s">
        <v>11352</v>
      </c>
      <c r="AG22537" s="831" t="s">
        <v>2674</v>
      </c>
      <c r="AH22537" s="831" t="s">
        <v>574</v>
      </c>
      <c r="AI22537" s="831">
        <v>0</v>
      </c>
      <c r="AJ22537" s="835">
        <v>41698</v>
      </c>
      <c r="AK22537" s="831">
        <v>638762603.66666663</v>
      </c>
    </row>
    <row r="22538" spans="32:37">
      <c r="AF22538" s="831" t="s">
        <v>11353</v>
      </c>
      <c r="AG22538" s="831" t="s">
        <v>2674</v>
      </c>
      <c r="AH22538" s="831" t="s">
        <v>575</v>
      </c>
      <c r="AI22538" s="831">
        <v>0</v>
      </c>
      <c r="AJ22538" s="835">
        <v>41698</v>
      </c>
      <c r="AK22538" s="831">
        <v>117270296.63666666</v>
      </c>
    </row>
    <row r="22539" spans="32:37">
      <c r="AF22539" s="831" t="s">
        <v>11354</v>
      </c>
      <c r="AG22539" s="831" t="s">
        <v>2674</v>
      </c>
      <c r="AH22539" s="831" t="s">
        <v>576</v>
      </c>
      <c r="AI22539" s="831">
        <v>0</v>
      </c>
      <c r="AJ22539" s="835">
        <v>41698</v>
      </c>
      <c r="AK22539" s="831">
        <v>385067117.20366669</v>
      </c>
    </row>
    <row r="22540" spans="32:37">
      <c r="AF22540" s="831" t="s">
        <v>11355</v>
      </c>
      <c r="AG22540" s="831" t="s">
        <v>2674</v>
      </c>
      <c r="AH22540" s="831" t="s">
        <v>572</v>
      </c>
      <c r="AI22540" s="831">
        <v>0</v>
      </c>
      <c r="AJ22540" s="835">
        <v>41698</v>
      </c>
      <c r="AK22540" s="831">
        <v>31228952.956000008</v>
      </c>
    </row>
    <row r="22541" spans="32:37">
      <c r="AF22541" s="831" t="s">
        <v>11356</v>
      </c>
      <c r="AG22541" s="831" t="s">
        <v>2674</v>
      </c>
      <c r="AH22541" s="831" t="s">
        <v>577</v>
      </c>
      <c r="AI22541" s="831">
        <v>0</v>
      </c>
      <c r="AJ22541" s="835">
        <v>41698</v>
      </c>
      <c r="AK22541" s="831">
        <v>141567221.76300001</v>
      </c>
    </row>
    <row r="22542" spans="32:37">
      <c r="AF22542" s="831" t="s">
        <v>11357</v>
      </c>
      <c r="AG22542" s="831" t="s">
        <v>2674</v>
      </c>
      <c r="AH22542" s="831" t="s">
        <v>3042</v>
      </c>
      <c r="AI22542" s="831">
        <v>0</v>
      </c>
      <c r="AJ22542" s="835">
        <v>41698</v>
      </c>
      <c r="AK22542" s="831">
        <v>-37210157.527000003</v>
      </c>
    </row>
    <row r="22543" spans="32:37">
      <c r="AF22543" s="831" t="s">
        <v>11358</v>
      </c>
      <c r="AG22543" s="831" t="s">
        <v>2674</v>
      </c>
      <c r="AH22543" s="831" t="s">
        <v>3044</v>
      </c>
      <c r="AI22543" s="831">
        <v>0</v>
      </c>
      <c r="AJ22543" s="835">
        <v>41698</v>
      </c>
      <c r="AK22543" s="831">
        <v>-3847935.8899999997</v>
      </c>
    </row>
    <row r="22544" spans="32:37">
      <c r="AF22544" s="831" t="s">
        <v>11359</v>
      </c>
      <c r="AG22544" s="831" t="s">
        <v>2674</v>
      </c>
      <c r="AH22544" s="831" t="s">
        <v>580</v>
      </c>
      <c r="AI22544" s="831">
        <v>0</v>
      </c>
      <c r="AJ22544" s="835">
        <v>41698</v>
      </c>
      <c r="AK22544" s="831">
        <v>-65813930.306999996</v>
      </c>
    </row>
    <row r="22545" spans="32:37">
      <c r="AF22545" s="831" t="s">
        <v>11360</v>
      </c>
      <c r="AG22545" s="831" t="s">
        <v>2674</v>
      </c>
      <c r="AH22545" s="831" t="s">
        <v>581</v>
      </c>
      <c r="AI22545" s="831">
        <v>0</v>
      </c>
      <c r="AJ22545" s="835">
        <v>41698</v>
      </c>
      <c r="AK22545" s="831">
        <v>5417725.8940000003</v>
      </c>
    </row>
    <row r="22546" spans="32:37">
      <c r="AF22546" s="831" t="s">
        <v>11361</v>
      </c>
      <c r="AG22546" s="831" t="s">
        <v>2674</v>
      </c>
      <c r="AH22546" s="831" t="s">
        <v>105</v>
      </c>
      <c r="AI22546" s="831">
        <v>0</v>
      </c>
      <c r="AJ22546" s="835">
        <v>41698</v>
      </c>
      <c r="AK22546" s="831">
        <v>385102312</v>
      </c>
    </row>
    <row r="22547" spans="32:37">
      <c r="AF22547" s="831" t="s">
        <v>11362</v>
      </c>
      <c r="AG22547" s="831" t="s">
        <v>2674</v>
      </c>
      <c r="AH22547" s="831" t="s">
        <v>3049</v>
      </c>
      <c r="AI22547" s="831">
        <v>0</v>
      </c>
      <c r="AJ22547" s="835">
        <v>41698</v>
      </c>
      <c r="AK22547" s="831">
        <v>650688857.41999996</v>
      </c>
    </row>
    <row r="22548" spans="32:37">
      <c r="AF22548" s="831" t="s">
        <v>11363</v>
      </c>
      <c r="AG22548" s="831" t="s">
        <v>2674</v>
      </c>
      <c r="AH22548" s="831" t="s">
        <v>103</v>
      </c>
      <c r="AI22548" s="831">
        <v>0</v>
      </c>
      <c r="AJ22548" s="835">
        <v>41698</v>
      </c>
      <c r="AK22548" s="831">
        <v>265586545.41999999</v>
      </c>
    </row>
    <row r="22549" spans="32:37">
      <c r="AF22549" s="831" t="s">
        <v>11364</v>
      </c>
      <c r="AG22549" s="831" t="s">
        <v>2674</v>
      </c>
      <c r="AH22549" s="831" t="s">
        <v>182</v>
      </c>
      <c r="AI22549" s="831">
        <v>0</v>
      </c>
      <c r="AJ22549" s="835">
        <v>41698</v>
      </c>
      <c r="AK22549" s="831">
        <v>65878782</v>
      </c>
    </row>
    <row r="22550" spans="32:37">
      <c r="AF22550" s="831" t="s">
        <v>11365</v>
      </c>
      <c r="AG22550" s="831" t="s">
        <v>2674</v>
      </c>
      <c r="AH22550" s="831" t="s">
        <v>6600</v>
      </c>
      <c r="AI22550" s="831">
        <v>0</v>
      </c>
      <c r="AJ22550" s="835">
        <v>41698</v>
      </c>
      <c r="AK22550" s="831">
        <v>31228952.956000008</v>
      </c>
    </row>
    <row r="22551" spans="32:37">
      <c r="AF22551" s="831" t="s">
        <v>11366</v>
      </c>
      <c r="AG22551" s="831" t="s">
        <v>2674</v>
      </c>
      <c r="AH22551" s="831" t="s">
        <v>6602</v>
      </c>
      <c r="AI22551" s="831">
        <v>0</v>
      </c>
      <c r="AJ22551" s="835">
        <v>41698</v>
      </c>
      <c r="AK22551" s="831">
        <v>7870295</v>
      </c>
    </row>
    <row r="22552" spans="32:37">
      <c r="AF22552" s="831" t="s">
        <v>11367</v>
      </c>
      <c r="AG22552" s="831" t="s">
        <v>2674</v>
      </c>
      <c r="AH22552" s="831" t="s">
        <v>650</v>
      </c>
      <c r="AI22552" s="831">
        <v>0</v>
      </c>
      <c r="AJ22552" s="835">
        <v>41698</v>
      </c>
      <c r="AK22552" s="831">
        <v>219285486.1168462</v>
      </c>
    </row>
    <row r="22553" spans="32:37">
      <c r="AF22553" s="831" t="s">
        <v>11368</v>
      </c>
      <c r="AG22553" s="831" t="s">
        <v>2674</v>
      </c>
      <c r="AH22553" s="831" t="s">
        <v>655</v>
      </c>
      <c r="AI22553" s="831">
        <v>0</v>
      </c>
      <c r="AJ22553" s="835">
        <v>41698</v>
      </c>
      <c r="AK22553" s="831">
        <v>1640758.8330000001</v>
      </c>
    </row>
    <row r="22554" spans="32:37">
      <c r="AF22554" s="831" t="s">
        <v>11369</v>
      </c>
      <c r="AG22554" s="831" t="s">
        <v>2674</v>
      </c>
      <c r="AH22554" s="831" t="s">
        <v>546</v>
      </c>
      <c r="AI22554" s="831">
        <v>0</v>
      </c>
      <c r="AJ22554" s="835">
        <v>41729</v>
      </c>
      <c r="AK22554" s="831">
        <v>664153787</v>
      </c>
    </row>
    <row r="22555" spans="32:37">
      <c r="AF22555" s="831" t="s">
        <v>11370</v>
      </c>
      <c r="AG22555" s="831" t="s">
        <v>2674</v>
      </c>
      <c r="AH22555" s="831" t="s">
        <v>370</v>
      </c>
      <c r="AI22555" s="831">
        <v>0</v>
      </c>
      <c r="AJ22555" s="835">
        <v>41729</v>
      </c>
      <c r="AK22555" s="831">
        <v>834303183</v>
      </c>
    </row>
    <row r="22556" spans="32:37">
      <c r="AF22556" s="831" t="s">
        <v>11371</v>
      </c>
      <c r="AG22556" s="831" t="s">
        <v>2674</v>
      </c>
      <c r="AH22556" s="831" t="s">
        <v>126</v>
      </c>
      <c r="AI22556" s="831">
        <v>0</v>
      </c>
      <c r="AJ22556" s="835">
        <v>41729</v>
      </c>
      <c r="AK22556" s="831">
        <v>124206790</v>
      </c>
    </row>
    <row r="22557" spans="32:37">
      <c r="AF22557" s="831" t="s">
        <v>11372</v>
      </c>
      <c r="AG22557" s="831" t="s">
        <v>2674</v>
      </c>
      <c r="AH22557" s="831" t="s">
        <v>268</v>
      </c>
      <c r="AI22557" s="831">
        <v>0</v>
      </c>
      <c r="AJ22557" s="835">
        <v>41729</v>
      </c>
      <c r="AK22557" s="831">
        <v>8878765</v>
      </c>
    </row>
    <row r="22558" spans="32:37">
      <c r="AF22558" s="831" t="s">
        <v>11373</v>
      </c>
      <c r="AG22558" s="831" t="s">
        <v>2674</v>
      </c>
      <c r="AH22558" s="831" t="s">
        <v>547</v>
      </c>
      <c r="AI22558" s="831">
        <v>0</v>
      </c>
      <c r="AJ22558" s="835">
        <v>41729</v>
      </c>
      <c r="AK22558" s="831">
        <v>777719977</v>
      </c>
    </row>
    <row r="22559" spans="32:37">
      <c r="AF22559" s="831" t="s">
        <v>11374</v>
      </c>
      <c r="AG22559" s="831" t="s">
        <v>2674</v>
      </c>
      <c r="AH22559" s="831" t="s">
        <v>548</v>
      </c>
      <c r="AI22559" s="831">
        <v>0</v>
      </c>
      <c r="AJ22559" s="835">
        <v>41729</v>
      </c>
      <c r="AK22559" s="831">
        <v>117105496</v>
      </c>
    </row>
    <row r="22560" spans="32:37">
      <c r="AF22560" s="831" t="s">
        <v>11375</v>
      </c>
      <c r="AG22560" s="831" t="s">
        <v>2674</v>
      </c>
      <c r="AH22560" s="831" t="s">
        <v>549</v>
      </c>
      <c r="AI22560" s="831">
        <v>0</v>
      </c>
      <c r="AJ22560" s="835">
        <v>41729</v>
      </c>
      <c r="AK22560" s="831">
        <v>455655641</v>
      </c>
    </row>
    <row r="22561" spans="32:37">
      <c r="AF22561" s="831" t="s">
        <v>11376</v>
      </c>
      <c r="AG22561" s="831" t="s">
        <v>2674</v>
      </c>
      <c r="AH22561" s="831" t="s">
        <v>192</v>
      </c>
      <c r="AI22561" s="831">
        <v>0</v>
      </c>
      <c r="AJ22561" s="835">
        <v>41729</v>
      </c>
      <c r="AK22561" s="831">
        <v>-12498345</v>
      </c>
    </row>
    <row r="22562" spans="32:37">
      <c r="AF22562" s="831" t="s">
        <v>11377</v>
      </c>
      <c r="AG22562" s="831" t="s">
        <v>2674</v>
      </c>
      <c r="AH22562" s="831" t="s">
        <v>558</v>
      </c>
      <c r="AI22562" s="831">
        <v>0</v>
      </c>
      <c r="AJ22562" s="835">
        <v>41729</v>
      </c>
      <c r="AK22562" s="831">
        <v>710096393</v>
      </c>
    </row>
    <row r="22563" spans="32:37">
      <c r="AF22563" s="831" t="s">
        <v>11378</v>
      </c>
      <c r="AG22563" s="831" t="s">
        <v>2674</v>
      </c>
      <c r="AH22563" s="831" t="s">
        <v>65</v>
      </c>
      <c r="AI22563" s="831">
        <v>0</v>
      </c>
      <c r="AJ22563" s="835">
        <v>41729</v>
      </c>
      <c r="AK22563" s="831">
        <v>38451284</v>
      </c>
    </row>
    <row r="22564" spans="32:37">
      <c r="AF22564" s="831" t="s">
        <v>11379</v>
      </c>
      <c r="AG22564" s="831" t="s">
        <v>2674</v>
      </c>
      <c r="AH22564" s="831" t="s">
        <v>89</v>
      </c>
      <c r="AI22564" s="831">
        <v>0</v>
      </c>
      <c r="AJ22564" s="835">
        <v>41729</v>
      </c>
      <c r="AK22564" s="831">
        <v>151606</v>
      </c>
    </row>
    <row r="22565" spans="32:37">
      <c r="AF22565" s="831" t="s">
        <v>11380</v>
      </c>
      <c r="AG22565" s="831" t="s">
        <v>2674</v>
      </c>
      <c r="AH22565" s="831" t="s">
        <v>557</v>
      </c>
      <c r="AI22565" s="831">
        <v>0</v>
      </c>
      <c r="AJ22565" s="835">
        <v>41729</v>
      </c>
      <c r="AK22565" s="831">
        <v>167127</v>
      </c>
    </row>
    <row r="22566" spans="32:37">
      <c r="AF22566" s="831" t="s">
        <v>11381</v>
      </c>
      <c r="AG22566" s="831" t="s">
        <v>2674</v>
      </c>
      <c r="AH22566" s="831" t="s">
        <v>29</v>
      </c>
      <c r="AI22566" s="831">
        <v>0</v>
      </c>
      <c r="AJ22566" s="835">
        <v>41729</v>
      </c>
      <c r="AK22566" s="831">
        <v>2189531.31</v>
      </c>
    </row>
    <row r="22567" spans="32:37">
      <c r="AF22567" s="831" t="s">
        <v>11382</v>
      </c>
      <c r="AG22567" s="831" t="s">
        <v>2674</v>
      </c>
      <c r="AH22567" s="831" t="s">
        <v>2688</v>
      </c>
      <c r="AI22567" s="831">
        <v>0</v>
      </c>
      <c r="AJ22567" s="835">
        <v>41729</v>
      </c>
      <c r="AK22567" s="831">
        <v>4729841</v>
      </c>
    </row>
    <row r="22568" spans="32:37">
      <c r="AF22568" s="831" t="s">
        <v>11383</v>
      </c>
      <c r="AG22568" s="831" t="s">
        <v>2674</v>
      </c>
      <c r="AH22568" s="831" t="s">
        <v>556</v>
      </c>
      <c r="AI22568" s="831">
        <v>0</v>
      </c>
      <c r="AJ22568" s="835">
        <v>41729</v>
      </c>
      <c r="AK22568" s="831">
        <v>1644732</v>
      </c>
    </row>
    <row r="22569" spans="32:37">
      <c r="AF22569" s="831" t="s">
        <v>11384</v>
      </c>
      <c r="AG22569" s="831" t="s">
        <v>2674</v>
      </c>
      <c r="AH22569" s="831" t="s">
        <v>555</v>
      </c>
      <c r="AI22569" s="831">
        <v>0</v>
      </c>
      <c r="AJ22569" s="835">
        <v>41729</v>
      </c>
      <c r="AK22569" s="831">
        <v>466790280</v>
      </c>
    </row>
    <row r="22570" spans="32:37">
      <c r="AF22570" s="831" t="s">
        <v>11385</v>
      </c>
      <c r="AG22570" s="831" t="s">
        <v>2674</v>
      </c>
      <c r="AH22570" s="831" t="s">
        <v>554</v>
      </c>
      <c r="AI22570" s="831">
        <v>0</v>
      </c>
      <c r="AJ22570" s="835">
        <v>41729</v>
      </c>
      <c r="AK22570" s="831">
        <v>476154670</v>
      </c>
    </row>
    <row r="22571" spans="32:37">
      <c r="AF22571" s="831" t="s">
        <v>11386</v>
      </c>
      <c r="AG22571" s="831" t="s">
        <v>2674</v>
      </c>
      <c r="AH22571" s="831" t="s">
        <v>553</v>
      </c>
      <c r="AI22571" s="831">
        <v>0</v>
      </c>
      <c r="AJ22571" s="835">
        <v>41729</v>
      </c>
      <c r="AK22571" s="831">
        <v>0</v>
      </c>
    </row>
    <row r="22572" spans="32:37">
      <c r="AF22572" s="831" t="s">
        <v>11387</v>
      </c>
      <c r="AG22572" s="831" t="s">
        <v>2674</v>
      </c>
      <c r="AH22572" s="831" t="s">
        <v>552</v>
      </c>
      <c r="AI22572" s="831">
        <v>0</v>
      </c>
      <c r="AJ22572" s="835">
        <v>41729</v>
      </c>
      <c r="AK22572" s="831">
        <v>0</v>
      </c>
    </row>
    <row r="22573" spans="32:37">
      <c r="AF22573" s="831" t="s">
        <v>11388</v>
      </c>
      <c r="AG22573" s="831" t="s">
        <v>2674</v>
      </c>
      <c r="AH22573" s="831" t="s">
        <v>551</v>
      </c>
      <c r="AI22573" s="831">
        <v>0</v>
      </c>
      <c r="AJ22573" s="835">
        <v>41729</v>
      </c>
      <c r="AK22573" s="831">
        <v>1979269.31</v>
      </c>
    </row>
    <row r="22574" spans="32:37">
      <c r="AF22574" s="831" t="s">
        <v>11389</v>
      </c>
      <c r="AG22574" s="831" t="s">
        <v>2674</v>
      </c>
      <c r="AH22574" s="831" t="s">
        <v>550</v>
      </c>
      <c r="AI22574" s="831">
        <v>0</v>
      </c>
      <c r="AJ22574" s="835">
        <v>41729</v>
      </c>
      <c r="AK22574" s="831">
        <v>120615628</v>
      </c>
    </row>
    <row r="22575" spans="32:37">
      <c r="AF22575" s="831" t="s">
        <v>11390</v>
      </c>
      <c r="AG22575" s="831" t="s">
        <v>2674</v>
      </c>
      <c r="AH22575" s="831" t="s">
        <v>562</v>
      </c>
      <c r="AI22575" s="831">
        <v>0</v>
      </c>
      <c r="AJ22575" s="835">
        <v>41729</v>
      </c>
      <c r="AK22575" s="831">
        <v>0.78374999999999995</v>
      </c>
    </row>
    <row r="22576" spans="32:37">
      <c r="AF22576" s="831" t="s">
        <v>11391</v>
      </c>
      <c r="AG22576" s="831" t="s">
        <v>2674</v>
      </c>
      <c r="AH22576" s="831" t="s">
        <v>2698</v>
      </c>
      <c r="AI22576" s="831">
        <v>0</v>
      </c>
      <c r="AJ22576" s="835">
        <v>41729</v>
      </c>
      <c r="AK22576" s="831">
        <v>0.78385000000000005</v>
      </c>
    </row>
    <row r="22577" spans="32:37">
      <c r="AF22577" s="831" t="s">
        <v>11392</v>
      </c>
      <c r="AG22577" s="831" t="s">
        <v>2674</v>
      </c>
      <c r="AH22577" s="831" t="s">
        <v>560</v>
      </c>
      <c r="AI22577" s="831">
        <v>0</v>
      </c>
      <c r="AJ22577" s="835">
        <v>41729</v>
      </c>
      <c r="AK22577" s="831">
        <v>0.78375000000000006</v>
      </c>
    </row>
    <row r="22578" spans="32:37">
      <c r="AF22578" s="831" t="s">
        <v>11393</v>
      </c>
      <c r="AG22578" s="831" t="s">
        <v>2674</v>
      </c>
      <c r="AH22578" s="831" t="s">
        <v>559</v>
      </c>
      <c r="AI22578" s="831">
        <v>0</v>
      </c>
      <c r="AJ22578" s="835">
        <v>41729</v>
      </c>
      <c r="AK22578" s="831">
        <v>0.78383333333333338</v>
      </c>
    </row>
    <row r="22579" spans="32:37">
      <c r="AF22579" s="831" t="s">
        <v>11394</v>
      </c>
      <c r="AG22579" s="831" t="s">
        <v>2674</v>
      </c>
      <c r="AH22579" s="831" t="s">
        <v>568</v>
      </c>
      <c r="AI22579" s="831">
        <v>0</v>
      </c>
      <c r="AJ22579" s="835">
        <v>41729</v>
      </c>
      <c r="AK22579" s="831">
        <v>565947600.45769227</v>
      </c>
    </row>
    <row r="22580" spans="32:37">
      <c r="AF22580" s="831" t="s">
        <v>11395</v>
      </c>
      <c r="AG22580" s="831" t="s">
        <v>2674</v>
      </c>
      <c r="AH22580" s="831" t="s">
        <v>569</v>
      </c>
      <c r="AI22580" s="831">
        <v>0</v>
      </c>
      <c r="AJ22580" s="835">
        <v>41729</v>
      </c>
      <c r="AK22580" s="831">
        <v>694165655.12715387</v>
      </c>
    </row>
    <row r="22581" spans="32:37">
      <c r="AF22581" s="831" t="s">
        <v>11396</v>
      </c>
      <c r="AG22581" s="831" t="s">
        <v>2674</v>
      </c>
      <c r="AH22581" s="831" t="s">
        <v>570</v>
      </c>
      <c r="AI22581" s="831">
        <v>0</v>
      </c>
      <c r="AJ22581" s="835">
        <v>41729</v>
      </c>
      <c r="AK22581" s="831">
        <v>113785276.52046154</v>
      </c>
    </row>
    <row r="22582" spans="32:37">
      <c r="AF22582" s="831" t="s">
        <v>11397</v>
      </c>
      <c r="AG22582" s="831" t="s">
        <v>2674</v>
      </c>
      <c r="AH22582" s="831" t="s">
        <v>571</v>
      </c>
      <c r="AI22582" s="831">
        <v>0</v>
      </c>
      <c r="AJ22582" s="835">
        <v>41729</v>
      </c>
      <c r="AK22582" s="831">
        <v>334328550.28253847</v>
      </c>
    </row>
    <row r="22583" spans="32:37">
      <c r="AF22583" s="831" t="s">
        <v>11398</v>
      </c>
      <c r="AG22583" s="831" t="s">
        <v>2674</v>
      </c>
      <c r="AH22583" s="831" t="s">
        <v>573</v>
      </c>
      <c r="AI22583" s="831">
        <v>0</v>
      </c>
      <c r="AJ22583" s="835">
        <v>41729</v>
      </c>
      <c r="AK22583" s="831">
        <v>798989941.39074993</v>
      </c>
    </row>
    <row r="22584" spans="32:37">
      <c r="AF22584" s="831" t="s">
        <v>11399</v>
      </c>
      <c r="AG22584" s="831" t="s">
        <v>2674</v>
      </c>
      <c r="AH22584" s="831" t="s">
        <v>574</v>
      </c>
      <c r="AI22584" s="831">
        <v>0</v>
      </c>
      <c r="AJ22584" s="835">
        <v>41729</v>
      </c>
      <c r="AK22584" s="831">
        <v>645110399.5</v>
      </c>
    </row>
    <row r="22585" spans="32:37">
      <c r="AF22585" s="831" t="s">
        <v>11400</v>
      </c>
      <c r="AG22585" s="831" t="s">
        <v>2674</v>
      </c>
      <c r="AH22585" s="831" t="s">
        <v>575</v>
      </c>
      <c r="AI22585" s="831">
        <v>0</v>
      </c>
      <c r="AJ22585" s="835">
        <v>41729</v>
      </c>
      <c r="AK22585" s="831">
        <v>119004419.97749999</v>
      </c>
    </row>
    <row r="22586" spans="32:37">
      <c r="AF22586" s="831" t="s">
        <v>11401</v>
      </c>
      <c r="AG22586" s="831" t="s">
        <v>2674</v>
      </c>
      <c r="AH22586" s="831" t="s">
        <v>576</v>
      </c>
      <c r="AI22586" s="831">
        <v>0</v>
      </c>
      <c r="AJ22586" s="835">
        <v>41729</v>
      </c>
      <c r="AK22586" s="831">
        <v>391575852.40275002</v>
      </c>
    </row>
    <row r="22587" spans="32:37">
      <c r="AF22587" s="831" t="s">
        <v>11402</v>
      </c>
      <c r="AG22587" s="831" t="s">
        <v>2674</v>
      </c>
      <c r="AH22587" s="831" t="s">
        <v>572</v>
      </c>
      <c r="AI22587" s="831">
        <v>0</v>
      </c>
      <c r="AJ22587" s="835">
        <v>41729</v>
      </c>
      <c r="AK22587" s="831">
        <v>30009140.956000008</v>
      </c>
    </row>
    <row r="22588" spans="32:37">
      <c r="AF22588" s="831" t="s">
        <v>11403</v>
      </c>
      <c r="AG22588" s="831" t="s">
        <v>2674</v>
      </c>
      <c r="AH22588" s="831" t="s">
        <v>577</v>
      </c>
      <c r="AI22588" s="831">
        <v>0</v>
      </c>
      <c r="AJ22588" s="835">
        <v>41729</v>
      </c>
      <c r="AK22588" s="831">
        <v>143425007.76300001</v>
      </c>
    </row>
    <row r="22589" spans="32:37">
      <c r="AF22589" s="831" t="s">
        <v>11404</v>
      </c>
      <c r="AG22589" s="831" t="s">
        <v>2674</v>
      </c>
      <c r="AH22589" s="831" t="s">
        <v>3042</v>
      </c>
      <c r="AI22589" s="831">
        <v>0</v>
      </c>
      <c r="AJ22589" s="835">
        <v>41729</v>
      </c>
      <c r="AK22589" s="831">
        <v>-38745656.527000003</v>
      </c>
    </row>
    <row r="22590" spans="32:37">
      <c r="AF22590" s="831" t="s">
        <v>11405</v>
      </c>
      <c r="AG22590" s="831" t="s">
        <v>2674</v>
      </c>
      <c r="AH22590" s="831" t="s">
        <v>3044</v>
      </c>
      <c r="AI22590" s="831">
        <v>0</v>
      </c>
      <c r="AJ22590" s="835">
        <v>41729</v>
      </c>
      <c r="AK22590" s="831">
        <v>-3699815.8899999997</v>
      </c>
    </row>
    <row r="22591" spans="32:37">
      <c r="AF22591" s="831" t="s">
        <v>11406</v>
      </c>
      <c r="AG22591" s="831" t="s">
        <v>2674</v>
      </c>
      <c r="AH22591" s="831" t="s">
        <v>580</v>
      </c>
      <c r="AI22591" s="831">
        <v>0</v>
      </c>
      <c r="AJ22591" s="835">
        <v>41729</v>
      </c>
      <c r="AK22591" s="831">
        <v>-67131930.306999996</v>
      </c>
    </row>
    <row r="22592" spans="32:37">
      <c r="AF22592" s="831" t="s">
        <v>11407</v>
      </c>
      <c r="AG22592" s="831" t="s">
        <v>2674</v>
      </c>
      <c r="AH22592" s="831" t="s">
        <v>581</v>
      </c>
      <c r="AI22592" s="831">
        <v>0</v>
      </c>
      <c r="AJ22592" s="835">
        <v>41729</v>
      </c>
      <c r="AK22592" s="831">
        <v>5442741.8940000003</v>
      </c>
    </row>
    <row r="22593" spans="32:37">
      <c r="AF22593" s="831" t="s">
        <v>11408</v>
      </c>
      <c r="AG22593" s="831" t="s">
        <v>2674</v>
      </c>
      <c r="AH22593" s="831" t="s">
        <v>105</v>
      </c>
      <c r="AI22593" s="831">
        <v>0</v>
      </c>
      <c r="AJ22593" s="835">
        <v>41729</v>
      </c>
      <c r="AK22593" s="831">
        <v>411102058</v>
      </c>
    </row>
    <row r="22594" spans="32:37">
      <c r="AF22594" s="831" t="s">
        <v>11409</v>
      </c>
      <c r="AG22594" s="831" t="s">
        <v>2674</v>
      </c>
      <c r="AH22594" s="831" t="s">
        <v>3049</v>
      </c>
      <c r="AI22594" s="831">
        <v>0</v>
      </c>
      <c r="AJ22594" s="835">
        <v>41729</v>
      </c>
      <c r="AK22594" s="831">
        <v>690412081</v>
      </c>
    </row>
    <row r="22595" spans="32:37">
      <c r="AF22595" s="831" t="s">
        <v>11410</v>
      </c>
      <c r="AG22595" s="831" t="s">
        <v>2674</v>
      </c>
      <c r="AH22595" s="831" t="s">
        <v>103</v>
      </c>
      <c r="AI22595" s="831">
        <v>0</v>
      </c>
      <c r="AJ22595" s="835">
        <v>41729</v>
      </c>
      <c r="AK22595" s="831">
        <v>279310023</v>
      </c>
    </row>
    <row r="22596" spans="32:37">
      <c r="AF22596" s="831" t="s">
        <v>11411</v>
      </c>
      <c r="AG22596" s="831" t="s">
        <v>2674</v>
      </c>
      <c r="AH22596" s="831" t="s">
        <v>182</v>
      </c>
      <c r="AI22596" s="831">
        <v>0</v>
      </c>
      <c r="AJ22596" s="835">
        <v>41729</v>
      </c>
      <c r="AK22596" s="831">
        <v>67031636</v>
      </c>
    </row>
    <row r="22597" spans="32:37">
      <c r="AF22597" s="831" t="s">
        <v>11412</v>
      </c>
      <c r="AG22597" s="831" t="s">
        <v>2674</v>
      </c>
      <c r="AH22597" s="831" t="s">
        <v>6600</v>
      </c>
      <c r="AI22597" s="831">
        <v>0</v>
      </c>
      <c r="AJ22597" s="835">
        <v>41729</v>
      </c>
      <c r="AK22597" s="831">
        <v>30009140.956000008</v>
      </c>
    </row>
    <row r="22598" spans="32:37">
      <c r="AF22598" s="831" t="s">
        <v>11413</v>
      </c>
      <c r="AG22598" s="831" t="s">
        <v>2674</v>
      </c>
      <c r="AH22598" s="831" t="s">
        <v>6602</v>
      </c>
      <c r="AI22598" s="831">
        <v>0</v>
      </c>
      <c r="AJ22598" s="835">
        <v>41729</v>
      </c>
      <c r="AK22598" s="831">
        <v>8878765</v>
      </c>
    </row>
    <row r="22599" spans="32:37">
      <c r="AF22599" s="831" t="s">
        <v>11414</v>
      </c>
      <c r="AG22599" s="831" t="s">
        <v>2674</v>
      </c>
      <c r="AH22599" s="831" t="s">
        <v>650</v>
      </c>
      <c r="AI22599" s="831">
        <v>0</v>
      </c>
      <c r="AJ22599" s="835">
        <v>41729</v>
      </c>
      <c r="AK22599" s="831">
        <v>227175044.1168462</v>
      </c>
    </row>
    <row r="22600" spans="32:37">
      <c r="AF22600" s="831" t="s">
        <v>11415</v>
      </c>
      <c r="AG22600" s="831" t="s">
        <v>2674</v>
      </c>
      <c r="AH22600" s="831" t="s">
        <v>655</v>
      </c>
      <c r="AI22600" s="831">
        <v>0</v>
      </c>
      <c r="AJ22600" s="835">
        <v>41729</v>
      </c>
      <c r="AK22600" s="831">
        <v>1723087.31</v>
      </c>
    </row>
    <row r="22601" spans="32:37">
      <c r="AF22601" s="831" t="s">
        <v>11416</v>
      </c>
      <c r="AG22601" s="831" t="s">
        <v>2674</v>
      </c>
      <c r="AH22601" s="831" t="s">
        <v>546</v>
      </c>
      <c r="AI22601" s="831">
        <v>0</v>
      </c>
      <c r="AJ22601" s="835">
        <v>41759</v>
      </c>
      <c r="AK22601" s="831">
        <v>695634421</v>
      </c>
    </row>
    <row r="22602" spans="32:37">
      <c r="AF22602" s="831" t="s">
        <v>11417</v>
      </c>
      <c r="AG22602" s="831" t="s">
        <v>2674</v>
      </c>
      <c r="AH22602" s="831" t="s">
        <v>370</v>
      </c>
      <c r="AI22602" s="831">
        <v>0</v>
      </c>
      <c r="AJ22602" s="835">
        <v>41759</v>
      </c>
      <c r="AK22602" s="831">
        <v>838269546</v>
      </c>
    </row>
    <row r="22603" spans="32:37">
      <c r="AF22603" s="831" t="s">
        <v>11418</v>
      </c>
      <c r="AG22603" s="831" t="s">
        <v>2674</v>
      </c>
      <c r="AH22603" s="831" t="s">
        <v>126</v>
      </c>
      <c r="AI22603" s="831">
        <v>0</v>
      </c>
      <c r="AJ22603" s="835">
        <v>41759</v>
      </c>
      <c r="AK22603" s="831">
        <v>127155751</v>
      </c>
    </row>
    <row r="22604" spans="32:37">
      <c r="AF22604" s="831" t="s">
        <v>11419</v>
      </c>
      <c r="AG22604" s="831" t="s">
        <v>2674</v>
      </c>
      <c r="AH22604" s="831" t="s">
        <v>268</v>
      </c>
      <c r="AI22604" s="831">
        <v>0</v>
      </c>
      <c r="AJ22604" s="835">
        <v>41759</v>
      </c>
      <c r="AK22604" s="831">
        <v>11900832</v>
      </c>
    </row>
    <row r="22605" spans="32:37">
      <c r="AF22605" s="831" t="s">
        <v>11420</v>
      </c>
      <c r="AG22605" s="831" t="s">
        <v>2674</v>
      </c>
      <c r="AH22605" s="831" t="s">
        <v>547</v>
      </c>
      <c r="AI22605" s="831">
        <v>0</v>
      </c>
      <c r="AJ22605" s="835">
        <v>41759</v>
      </c>
      <c r="AK22605" s="831">
        <v>777719977</v>
      </c>
    </row>
    <row r="22606" spans="32:37">
      <c r="AF22606" s="831" t="s">
        <v>11421</v>
      </c>
      <c r="AG22606" s="831" t="s">
        <v>2674</v>
      </c>
      <c r="AH22606" s="831" t="s">
        <v>548</v>
      </c>
      <c r="AI22606" s="831">
        <v>0</v>
      </c>
      <c r="AJ22606" s="835">
        <v>41759</v>
      </c>
      <c r="AK22606" s="831">
        <v>117105496</v>
      </c>
    </row>
    <row r="22607" spans="32:37">
      <c r="AF22607" s="831" t="s">
        <v>11422</v>
      </c>
      <c r="AG22607" s="831" t="s">
        <v>2674</v>
      </c>
      <c r="AH22607" s="831" t="s">
        <v>549</v>
      </c>
      <c r="AI22607" s="831">
        <v>0</v>
      </c>
      <c r="AJ22607" s="835">
        <v>41759</v>
      </c>
      <c r="AK22607" s="831">
        <v>479771222</v>
      </c>
    </row>
    <row r="22608" spans="32:37">
      <c r="AF22608" s="831" t="s">
        <v>11423</v>
      </c>
      <c r="AG22608" s="831" t="s">
        <v>2674</v>
      </c>
      <c r="AH22608" s="831" t="s">
        <v>192</v>
      </c>
      <c r="AI22608" s="831">
        <v>0</v>
      </c>
      <c r="AJ22608" s="835">
        <v>41759</v>
      </c>
      <c r="AK22608" s="831">
        <v>-13335656</v>
      </c>
    </row>
    <row r="22609" spans="32:37">
      <c r="AF22609" s="831" t="s">
        <v>11424</v>
      </c>
      <c r="AG22609" s="831" t="s">
        <v>2674</v>
      </c>
      <c r="AH22609" s="831" t="s">
        <v>558</v>
      </c>
      <c r="AI22609" s="831">
        <v>0</v>
      </c>
      <c r="AJ22609" s="835">
        <v>41759</v>
      </c>
      <c r="AK22609" s="831">
        <v>711113795</v>
      </c>
    </row>
    <row r="22610" spans="32:37">
      <c r="AF22610" s="831" t="s">
        <v>11425</v>
      </c>
      <c r="AG22610" s="831" t="s">
        <v>2674</v>
      </c>
      <c r="AH22610" s="831" t="s">
        <v>65</v>
      </c>
      <c r="AI22610" s="831">
        <v>0</v>
      </c>
      <c r="AJ22610" s="835">
        <v>41759</v>
      </c>
      <c r="AK22610" s="831">
        <v>52388499</v>
      </c>
    </row>
    <row r="22611" spans="32:37">
      <c r="AF22611" s="831" t="s">
        <v>11426</v>
      </c>
      <c r="AG22611" s="831" t="s">
        <v>2674</v>
      </c>
      <c r="AH22611" s="831" t="s">
        <v>89</v>
      </c>
      <c r="AI22611" s="831">
        <v>0</v>
      </c>
      <c r="AJ22611" s="835">
        <v>41759</v>
      </c>
      <c r="AK22611" s="831">
        <v>154230</v>
      </c>
    </row>
    <row r="22612" spans="32:37">
      <c r="AF22612" s="831" t="s">
        <v>11427</v>
      </c>
      <c r="AG22612" s="831" t="s">
        <v>2674</v>
      </c>
      <c r="AH22612" s="831" t="s">
        <v>557</v>
      </c>
      <c r="AI22612" s="831">
        <v>0</v>
      </c>
      <c r="AJ22612" s="835">
        <v>41759</v>
      </c>
      <c r="AK22612" s="831">
        <v>171119</v>
      </c>
    </row>
    <row r="22613" spans="32:37">
      <c r="AF22613" s="831" t="s">
        <v>11428</v>
      </c>
      <c r="AG22613" s="831" t="s">
        <v>2674</v>
      </c>
      <c r="AH22613" s="831" t="s">
        <v>29</v>
      </c>
      <c r="AI22613" s="831">
        <v>0</v>
      </c>
      <c r="AJ22613" s="835">
        <v>41759</v>
      </c>
      <c r="AK22613" s="831">
        <v>2260198</v>
      </c>
    </row>
    <row r="22614" spans="32:37">
      <c r="AF22614" s="831" t="s">
        <v>11429</v>
      </c>
      <c r="AG22614" s="831" t="s">
        <v>2674</v>
      </c>
      <c r="AH22614" s="831" t="s">
        <v>2688</v>
      </c>
      <c r="AI22614" s="831">
        <v>0</v>
      </c>
      <c r="AJ22614" s="835">
        <v>41759</v>
      </c>
      <c r="AK22614" s="831">
        <v>4802589</v>
      </c>
    </row>
    <row r="22615" spans="32:37">
      <c r="AF22615" s="831" t="s">
        <v>11430</v>
      </c>
      <c r="AG22615" s="831" t="s">
        <v>2674</v>
      </c>
      <c r="AH22615" s="831" t="s">
        <v>556</v>
      </c>
      <c r="AI22615" s="831">
        <v>0</v>
      </c>
      <c r="AJ22615" s="835">
        <v>41759</v>
      </c>
      <c r="AK22615" s="831">
        <v>1644732</v>
      </c>
    </row>
    <row r="22616" spans="32:37">
      <c r="AF22616" s="831" t="s">
        <v>11431</v>
      </c>
      <c r="AG22616" s="831" t="s">
        <v>2674</v>
      </c>
      <c r="AH22616" s="831" t="s">
        <v>555</v>
      </c>
      <c r="AI22616" s="831">
        <v>0</v>
      </c>
      <c r="AJ22616" s="835">
        <v>41759</v>
      </c>
      <c r="AK22616" s="831">
        <v>465033436</v>
      </c>
    </row>
    <row r="22617" spans="32:37">
      <c r="AF22617" s="831" t="s">
        <v>11432</v>
      </c>
      <c r="AG22617" s="831" t="s">
        <v>2674</v>
      </c>
      <c r="AH22617" s="831" t="s">
        <v>554</v>
      </c>
      <c r="AI22617" s="831">
        <v>0</v>
      </c>
      <c r="AJ22617" s="835">
        <v>41759</v>
      </c>
      <c r="AK22617" s="831">
        <v>471272450</v>
      </c>
    </row>
    <row r="22618" spans="32:37">
      <c r="AF22618" s="831" t="s">
        <v>11433</v>
      </c>
      <c r="AG22618" s="831" t="s">
        <v>2674</v>
      </c>
      <c r="AH22618" s="831" t="s">
        <v>553</v>
      </c>
      <c r="AI22618" s="831">
        <v>0</v>
      </c>
      <c r="AJ22618" s="835">
        <v>41759</v>
      </c>
      <c r="AK22618" s="831">
        <v>0</v>
      </c>
    </row>
    <row r="22619" spans="32:37">
      <c r="AF22619" s="831" t="s">
        <v>11434</v>
      </c>
      <c r="AG22619" s="831" t="s">
        <v>2674</v>
      </c>
      <c r="AH22619" s="831" t="s">
        <v>552</v>
      </c>
      <c r="AI22619" s="831">
        <v>0</v>
      </c>
      <c r="AJ22619" s="835">
        <v>41759</v>
      </c>
      <c r="AK22619" s="831">
        <v>0</v>
      </c>
    </row>
    <row r="22620" spans="32:37">
      <c r="AF22620" s="831" t="s">
        <v>11435</v>
      </c>
      <c r="AG22620" s="831" t="s">
        <v>2674</v>
      </c>
      <c r="AH22620" s="831" t="s">
        <v>551</v>
      </c>
      <c r="AI22620" s="831">
        <v>0</v>
      </c>
      <c r="AJ22620" s="835">
        <v>41759</v>
      </c>
      <c r="AK22620" s="831">
        <v>2028560</v>
      </c>
    </row>
    <row r="22621" spans="32:37">
      <c r="AF22621" s="831" t="s">
        <v>11436</v>
      </c>
      <c r="AG22621" s="831" t="s">
        <v>2674</v>
      </c>
      <c r="AH22621" s="831" t="s">
        <v>550</v>
      </c>
      <c r="AI22621" s="831">
        <v>0</v>
      </c>
      <c r="AJ22621" s="835">
        <v>41759</v>
      </c>
      <c r="AK22621" s="831">
        <v>124206790</v>
      </c>
    </row>
    <row r="22622" spans="32:37">
      <c r="AF22622" s="831" t="s">
        <v>11437</v>
      </c>
      <c r="AG22622" s="831" t="s">
        <v>2674</v>
      </c>
      <c r="AH22622" s="831" t="s">
        <v>562</v>
      </c>
      <c r="AI22622" s="831">
        <v>0</v>
      </c>
      <c r="AJ22622" s="835">
        <v>41759</v>
      </c>
      <c r="AK22622" s="831">
        <v>0.78374999999999995</v>
      </c>
    </row>
    <row r="22623" spans="32:37">
      <c r="AF22623" s="831" t="s">
        <v>11438</v>
      </c>
      <c r="AG22623" s="831" t="s">
        <v>2674</v>
      </c>
      <c r="AH22623" s="831" t="s">
        <v>2698</v>
      </c>
      <c r="AI22623" s="831">
        <v>0</v>
      </c>
      <c r="AJ22623" s="835">
        <v>41759</v>
      </c>
      <c r="AK22623" s="831">
        <v>0.78374999999999995</v>
      </c>
    </row>
    <row r="22624" spans="32:37">
      <c r="AF22624" s="831" t="s">
        <v>11439</v>
      </c>
      <c r="AG22624" s="831" t="s">
        <v>2674</v>
      </c>
      <c r="AH22624" s="831" t="s">
        <v>560</v>
      </c>
      <c r="AI22624" s="831">
        <v>0</v>
      </c>
      <c r="AJ22624" s="835">
        <v>41759</v>
      </c>
      <c r="AK22624" s="831">
        <v>0.78374999999999995</v>
      </c>
    </row>
    <row r="22625" spans="32:37">
      <c r="AF22625" s="831" t="s">
        <v>11440</v>
      </c>
      <c r="AG22625" s="831" t="s">
        <v>2674</v>
      </c>
      <c r="AH22625" s="831" t="s">
        <v>559</v>
      </c>
      <c r="AI22625" s="831">
        <v>0</v>
      </c>
      <c r="AJ22625" s="835">
        <v>41759</v>
      </c>
      <c r="AK22625" s="831">
        <v>0.78380833333333344</v>
      </c>
    </row>
    <row r="22626" spans="32:37">
      <c r="AF22626" s="831" t="s">
        <v>11441</v>
      </c>
      <c r="AG22626" s="831" t="s">
        <v>2674</v>
      </c>
      <c r="AH22626" s="831" t="s">
        <v>568</v>
      </c>
      <c r="AI22626" s="831">
        <v>0</v>
      </c>
      <c r="AJ22626" s="835">
        <v>41759</v>
      </c>
      <c r="AK22626" s="831">
        <v>584407506.61153841</v>
      </c>
    </row>
    <row r="22627" spans="32:37">
      <c r="AF22627" s="831" t="s">
        <v>11442</v>
      </c>
      <c r="AG22627" s="831" t="s">
        <v>2674</v>
      </c>
      <c r="AH22627" s="831" t="s">
        <v>569</v>
      </c>
      <c r="AI22627" s="831">
        <v>0</v>
      </c>
      <c r="AJ22627" s="835">
        <v>41759</v>
      </c>
      <c r="AK22627" s="831">
        <v>716419184.74253845</v>
      </c>
    </row>
    <row r="22628" spans="32:37">
      <c r="AF22628" s="831" t="s">
        <v>11443</v>
      </c>
      <c r="AG22628" s="831" t="s">
        <v>2674</v>
      </c>
      <c r="AH22628" s="831" t="s">
        <v>570</v>
      </c>
      <c r="AI22628" s="831">
        <v>0</v>
      </c>
      <c r="AJ22628" s="835">
        <v>41759</v>
      </c>
      <c r="AK22628" s="831">
        <v>115811919.75123075</v>
      </c>
    </row>
    <row r="22629" spans="32:37">
      <c r="AF22629" s="831" t="s">
        <v>11444</v>
      </c>
      <c r="AG22629" s="831" t="s">
        <v>2674</v>
      </c>
      <c r="AH22629" s="831" t="s">
        <v>571</v>
      </c>
      <c r="AI22629" s="831">
        <v>0</v>
      </c>
      <c r="AJ22629" s="835">
        <v>41759</v>
      </c>
      <c r="AK22629" s="831">
        <v>346424029.66715389</v>
      </c>
    </row>
    <row r="22630" spans="32:37">
      <c r="AF22630" s="831" t="s">
        <v>11445</v>
      </c>
      <c r="AG22630" s="831" t="s">
        <v>2674</v>
      </c>
      <c r="AH22630" s="831" t="s">
        <v>573</v>
      </c>
      <c r="AI22630" s="831">
        <v>0</v>
      </c>
      <c r="AJ22630" s="835">
        <v>41759</v>
      </c>
      <c r="AK22630" s="831">
        <v>806845862.3125999</v>
      </c>
    </row>
    <row r="22631" spans="32:37">
      <c r="AF22631" s="831" t="s">
        <v>11446</v>
      </c>
      <c r="AG22631" s="831" t="s">
        <v>2674</v>
      </c>
      <c r="AH22631" s="831" t="s">
        <v>574</v>
      </c>
      <c r="AI22631" s="831">
        <v>0</v>
      </c>
      <c r="AJ22631" s="835">
        <v>41759</v>
      </c>
      <c r="AK22631" s="831">
        <v>655215203.79999995</v>
      </c>
    </row>
    <row r="22632" spans="32:37">
      <c r="AF22632" s="831" t="s">
        <v>11447</v>
      </c>
      <c r="AG22632" s="831" t="s">
        <v>2674</v>
      </c>
      <c r="AH22632" s="831" t="s">
        <v>575</v>
      </c>
      <c r="AI22632" s="831">
        <v>0</v>
      </c>
      <c r="AJ22632" s="835">
        <v>41759</v>
      </c>
      <c r="AK22632" s="831">
        <v>120634686.182</v>
      </c>
    </row>
    <row r="22633" spans="32:37">
      <c r="AF22633" s="831" t="s">
        <v>11448</v>
      </c>
      <c r="AG22633" s="831" t="s">
        <v>2674</v>
      </c>
      <c r="AH22633" s="831" t="s">
        <v>576</v>
      </c>
      <c r="AI22633" s="831">
        <v>0</v>
      </c>
      <c r="AJ22633" s="835">
        <v>41759</v>
      </c>
      <c r="AK22633" s="831">
        <v>395052602.12220001</v>
      </c>
    </row>
    <row r="22634" spans="32:37">
      <c r="AF22634" s="831" t="s">
        <v>11449</v>
      </c>
      <c r="AG22634" s="831" t="s">
        <v>2674</v>
      </c>
      <c r="AH22634" s="831" t="s">
        <v>572</v>
      </c>
      <c r="AI22634" s="831">
        <v>0</v>
      </c>
      <c r="AJ22634" s="835">
        <v>41759</v>
      </c>
      <c r="AK22634" s="831">
        <v>30512730.956000008</v>
      </c>
    </row>
    <row r="22635" spans="32:37">
      <c r="AF22635" s="831" t="s">
        <v>11450</v>
      </c>
      <c r="AG22635" s="831" t="s">
        <v>2674</v>
      </c>
      <c r="AH22635" s="831" t="s">
        <v>577</v>
      </c>
      <c r="AI22635" s="831">
        <v>0</v>
      </c>
      <c r="AJ22635" s="835">
        <v>41759</v>
      </c>
      <c r="AK22635" s="831">
        <v>146415910.76300001</v>
      </c>
    </row>
    <row r="22636" spans="32:37">
      <c r="AF22636" s="831" t="s">
        <v>11451</v>
      </c>
      <c r="AG22636" s="831" t="s">
        <v>2674</v>
      </c>
      <c r="AH22636" s="831" t="s">
        <v>3042</v>
      </c>
      <c r="AI22636" s="831">
        <v>0</v>
      </c>
      <c r="AJ22636" s="835">
        <v>41759</v>
      </c>
      <c r="AK22636" s="831">
        <v>-40083828.527000003</v>
      </c>
    </row>
    <row r="22637" spans="32:37">
      <c r="AF22637" s="831" t="s">
        <v>11452</v>
      </c>
      <c r="AG22637" s="831" t="s">
        <v>2674</v>
      </c>
      <c r="AH22637" s="831" t="s">
        <v>3044</v>
      </c>
      <c r="AI22637" s="831">
        <v>0</v>
      </c>
      <c r="AJ22637" s="835">
        <v>41759</v>
      </c>
      <c r="AK22637" s="831">
        <v>-3325177.8899999997</v>
      </c>
    </row>
    <row r="22638" spans="32:37">
      <c r="AF22638" s="831" t="s">
        <v>11453</v>
      </c>
      <c r="AG22638" s="831" t="s">
        <v>2674</v>
      </c>
      <c r="AH22638" s="831" t="s">
        <v>580</v>
      </c>
      <c r="AI22638" s="831">
        <v>0</v>
      </c>
      <c r="AJ22638" s="835">
        <v>41759</v>
      </c>
      <c r="AK22638" s="831">
        <v>-68772047.306999996</v>
      </c>
    </row>
    <row r="22639" spans="32:37">
      <c r="AF22639" s="831" t="s">
        <v>11454</v>
      </c>
      <c r="AG22639" s="831" t="s">
        <v>2674</v>
      </c>
      <c r="AH22639" s="831" t="s">
        <v>581</v>
      </c>
      <c r="AI22639" s="831">
        <v>0</v>
      </c>
      <c r="AJ22639" s="835">
        <v>41759</v>
      </c>
      <c r="AK22639" s="831">
        <v>5605173.8940000003</v>
      </c>
    </row>
    <row r="22640" spans="32:37">
      <c r="AF22640" s="831" t="s">
        <v>11455</v>
      </c>
      <c r="AG22640" s="831" t="s">
        <v>2674</v>
      </c>
      <c r="AH22640" s="831" t="s">
        <v>105</v>
      </c>
      <c r="AI22640" s="831">
        <v>0</v>
      </c>
      <c r="AJ22640" s="835">
        <v>41759</v>
      </c>
      <c r="AK22640" s="831">
        <v>408959601</v>
      </c>
    </row>
    <row r="22641" spans="32:37">
      <c r="AF22641" s="831" t="s">
        <v>11456</v>
      </c>
      <c r="AG22641" s="831" t="s">
        <v>2674</v>
      </c>
      <c r="AH22641" s="831" t="s">
        <v>3049</v>
      </c>
      <c r="AI22641" s="831">
        <v>0</v>
      </c>
      <c r="AJ22641" s="835">
        <v>41759</v>
      </c>
      <c r="AK22641" s="831">
        <v>692167557</v>
      </c>
    </row>
    <row r="22642" spans="32:37">
      <c r="AF22642" s="831" t="s">
        <v>11457</v>
      </c>
      <c r="AG22642" s="831" t="s">
        <v>2674</v>
      </c>
      <c r="AH22642" s="831" t="s">
        <v>103</v>
      </c>
      <c r="AI22642" s="831">
        <v>0</v>
      </c>
      <c r="AJ22642" s="835">
        <v>41759</v>
      </c>
      <c r="AK22642" s="831">
        <v>283207956</v>
      </c>
    </row>
    <row r="22643" spans="32:37">
      <c r="AF22643" s="831" t="s">
        <v>11458</v>
      </c>
      <c r="AG22643" s="831" t="s">
        <v>2674</v>
      </c>
      <c r="AH22643" s="831" t="s">
        <v>182</v>
      </c>
      <c r="AI22643" s="831">
        <v>0</v>
      </c>
      <c r="AJ22643" s="835">
        <v>41759</v>
      </c>
      <c r="AK22643" s="831">
        <v>69513741</v>
      </c>
    </row>
    <row r="22644" spans="32:37">
      <c r="AF22644" s="831" t="s">
        <v>11459</v>
      </c>
      <c r="AG22644" s="831" t="s">
        <v>2674</v>
      </c>
      <c r="AH22644" s="831" t="s">
        <v>6600</v>
      </c>
      <c r="AI22644" s="831">
        <v>0</v>
      </c>
      <c r="AJ22644" s="835">
        <v>41759</v>
      </c>
      <c r="AK22644" s="831">
        <v>30512730.956000008</v>
      </c>
    </row>
    <row r="22645" spans="32:37">
      <c r="AF22645" s="831" t="s">
        <v>11460</v>
      </c>
      <c r="AG22645" s="831" t="s">
        <v>2674</v>
      </c>
      <c r="AH22645" s="831" t="s">
        <v>6602</v>
      </c>
      <c r="AI22645" s="831">
        <v>0</v>
      </c>
      <c r="AJ22645" s="835">
        <v>41759</v>
      </c>
      <c r="AK22645" s="831">
        <v>11900832</v>
      </c>
    </row>
    <row r="22646" spans="32:37">
      <c r="AF22646" s="831" t="s">
        <v>11461</v>
      </c>
      <c r="AG22646" s="831" t="s">
        <v>2674</v>
      </c>
      <c r="AH22646" s="831" t="s">
        <v>650</v>
      </c>
      <c r="AI22646" s="831">
        <v>0</v>
      </c>
      <c r="AJ22646" s="835">
        <v>41759</v>
      </c>
      <c r="AK22646" s="831">
        <v>234971386.50146157</v>
      </c>
    </row>
    <row r="22647" spans="32:37">
      <c r="AF22647" s="831" t="s">
        <v>11462</v>
      </c>
      <c r="AG22647" s="831" t="s">
        <v>2674</v>
      </c>
      <c r="AH22647" s="831" t="s">
        <v>655</v>
      </c>
      <c r="AI22647" s="831">
        <v>0</v>
      </c>
      <c r="AJ22647" s="835">
        <v>41759</v>
      </c>
      <c r="AK22647" s="831">
        <v>1842214</v>
      </c>
    </row>
    <row r="22648" spans="32:37">
      <c r="AF22648" s="831" t="s">
        <v>11463</v>
      </c>
      <c r="AG22648" s="831" t="s">
        <v>2674</v>
      </c>
      <c r="AH22648" s="831" t="s">
        <v>546</v>
      </c>
      <c r="AI22648" s="831">
        <v>0</v>
      </c>
      <c r="AJ22648" s="835">
        <v>41790</v>
      </c>
      <c r="AK22648" s="831">
        <v>718268239</v>
      </c>
    </row>
    <row r="22649" spans="32:37">
      <c r="AF22649" s="831" t="s">
        <v>11464</v>
      </c>
      <c r="AG22649" s="831" t="s">
        <v>2674</v>
      </c>
      <c r="AH22649" s="831" t="s">
        <v>370</v>
      </c>
      <c r="AI22649" s="831">
        <v>0</v>
      </c>
      <c r="AJ22649" s="835">
        <v>41790</v>
      </c>
      <c r="AK22649" s="831">
        <v>862492850</v>
      </c>
    </row>
    <row r="22650" spans="32:37">
      <c r="AF22650" s="831" t="s">
        <v>11465</v>
      </c>
      <c r="AG22650" s="831" t="s">
        <v>2674</v>
      </c>
      <c r="AH22650" s="831" t="s">
        <v>126</v>
      </c>
      <c r="AI22650" s="831">
        <v>0</v>
      </c>
      <c r="AJ22650" s="835">
        <v>41790</v>
      </c>
      <c r="AK22650" s="831">
        <v>131163748</v>
      </c>
    </row>
    <row r="22651" spans="32:37">
      <c r="AF22651" s="831" t="s">
        <v>11466</v>
      </c>
      <c r="AG22651" s="831" t="s">
        <v>2674</v>
      </c>
      <c r="AH22651" s="831" t="s">
        <v>268</v>
      </c>
      <c r="AI22651" s="831">
        <v>0</v>
      </c>
      <c r="AJ22651" s="835">
        <v>41790</v>
      </c>
      <c r="AK22651" s="831">
        <v>15708716</v>
      </c>
    </row>
    <row r="22652" spans="32:37">
      <c r="AF22652" s="831" t="s">
        <v>11467</v>
      </c>
      <c r="AG22652" s="831" t="s">
        <v>2674</v>
      </c>
      <c r="AH22652" s="831" t="s">
        <v>547</v>
      </c>
      <c r="AI22652" s="831">
        <v>0</v>
      </c>
      <c r="AJ22652" s="835">
        <v>41790</v>
      </c>
      <c r="AK22652" s="831">
        <v>777719977</v>
      </c>
    </row>
    <row r="22653" spans="32:37">
      <c r="AF22653" s="831" t="s">
        <v>11468</v>
      </c>
      <c r="AG22653" s="831" t="s">
        <v>2674</v>
      </c>
      <c r="AH22653" s="831" t="s">
        <v>548</v>
      </c>
      <c r="AI22653" s="831">
        <v>0</v>
      </c>
      <c r="AJ22653" s="835">
        <v>41790</v>
      </c>
      <c r="AK22653" s="831">
        <v>117105496</v>
      </c>
    </row>
    <row r="22654" spans="32:37">
      <c r="AF22654" s="831" t="s">
        <v>11469</v>
      </c>
      <c r="AG22654" s="831" t="s">
        <v>2674</v>
      </c>
      <c r="AH22654" s="831" t="s">
        <v>549</v>
      </c>
      <c r="AI22654" s="831">
        <v>0</v>
      </c>
      <c r="AJ22654" s="835">
        <v>41790</v>
      </c>
      <c r="AK22654" s="831">
        <v>505264542</v>
      </c>
    </row>
    <row r="22655" spans="32:37">
      <c r="AF22655" s="831" t="s">
        <v>11470</v>
      </c>
      <c r="AG22655" s="831" t="s">
        <v>2674</v>
      </c>
      <c r="AH22655" s="831" t="s">
        <v>192</v>
      </c>
      <c r="AI22655" s="831">
        <v>0</v>
      </c>
      <c r="AJ22655" s="835">
        <v>41790</v>
      </c>
      <c r="AK22655" s="831">
        <v>-13258185</v>
      </c>
    </row>
    <row r="22656" spans="32:37">
      <c r="AF22656" s="831" t="s">
        <v>11471</v>
      </c>
      <c r="AG22656" s="831" t="s">
        <v>2674</v>
      </c>
      <c r="AH22656" s="831" t="s">
        <v>558</v>
      </c>
      <c r="AI22656" s="831">
        <v>0</v>
      </c>
      <c r="AJ22656" s="835">
        <v>41790</v>
      </c>
      <c r="AK22656" s="831">
        <v>731329102</v>
      </c>
    </row>
    <row r="22657" spans="32:37">
      <c r="AF22657" s="831" t="s">
        <v>11472</v>
      </c>
      <c r="AG22657" s="831" t="s">
        <v>2674</v>
      </c>
      <c r="AH22657" s="831" t="s">
        <v>65</v>
      </c>
      <c r="AI22657" s="831">
        <v>0</v>
      </c>
      <c r="AJ22657" s="835">
        <v>41790</v>
      </c>
      <c r="AK22657" s="831">
        <v>66573989</v>
      </c>
    </row>
    <row r="22658" spans="32:37">
      <c r="AF22658" s="831" t="s">
        <v>11473</v>
      </c>
      <c r="AG22658" s="831" t="s">
        <v>2674</v>
      </c>
      <c r="AH22658" s="831" t="s">
        <v>89</v>
      </c>
      <c r="AI22658" s="831">
        <v>0</v>
      </c>
      <c r="AJ22658" s="835">
        <v>41790</v>
      </c>
      <c r="AK22658" s="831">
        <v>156336</v>
      </c>
    </row>
    <row r="22659" spans="32:37">
      <c r="AF22659" s="831" t="s">
        <v>11474</v>
      </c>
      <c r="AG22659" s="831" t="s">
        <v>2674</v>
      </c>
      <c r="AH22659" s="831" t="s">
        <v>557</v>
      </c>
      <c r="AI22659" s="831">
        <v>0</v>
      </c>
      <c r="AJ22659" s="835">
        <v>41790</v>
      </c>
      <c r="AK22659" s="831">
        <v>174602</v>
      </c>
    </row>
    <row r="22660" spans="32:37">
      <c r="AF22660" s="831" t="s">
        <v>11475</v>
      </c>
      <c r="AG22660" s="831" t="s">
        <v>2674</v>
      </c>
      <c r="AH22660" s="831" t="s">
        <v>29</v>
      </c>
      <c r="AI22660" s="831">
        <v>0</v>
      </c>
      <c r="AJ22660" s="835">
        <v>41790</v>
      </c>
      <c r="AK22660" s="831">
        <v>2450103.0319999997</v>
      </c>
    </row>
    <row r="22661" spans="32:37">
      <c r="AF22661" s="831" t="s">
        <v>11476</v>
      </c>
      <c r="AG22661" s="831" t="s">
        <v>2674</v>
      </c>
      <c r="AH22661" s="831" t="s">
        <v>2688</v>
      </c>
      <c r="AI22661" s="831">
        <v>0</v>
      </c>
      <c r="AJ22661" s="835">
        <v>41790</v>
      </c>
      <c r="AK22661" s="831">
        <v>4770534.2300000004</v>
      </c>
    </row>
    <row r="22662" spans="32:37">
      <c r="AF22662" s="831" t="s">
        <v>11477</v>
      </c>
      <c r="AG22662" s="831" t="s">
        <v>2674</v>
      </c>
      <c r="AH22662" s="831" t="s">
        <v>556</v>
      </c>
      <c r="AI22662" s="831">
        <v>0</v>
      </c>
      <c r="AJ22662" s="835">
        <v>41790</v>
      </c>
      <c r="AK22662" s="831">
        <v>1644732</v>
      </c>
    </row>
    <row r="22663" spans="32:37">
      <c r="AF22663" s="831" t="s">
        <v>11478</v>
      </c>
      <c r="AG22663" s="831" t="s">
        <v>2674</v>
      </c>
      <c r="AH22663" s="831" t="s">
        <v>555</v>
      </c>
      <c r="AI22663" s="831">
        <v>0</v>
      </c>
      <c r="AJ22663" s="835">
        <v>41790</v>
      </c>
      <c r="AK22663" s="831">
        <v>468159807</v>
      </c>
    </row>
    <row r="22664" spans="32:37">
      <c r="AF22664" s="831" t="s">
        <v>11479</v>
      </c>
      <c r="AG22664" s="831" t="s">
        <v>2674</v>
      </c>
      <c r="AH22664" s="831" t="s">
        <v>554</v>
      </c>
      <c r="AI22664" s="831">
        <v>0</v>
      </c>
      <c r="AJ22664" s="835">
        <v>41790</v>
      </c>
      <c r="AK22664" s="831">
        <v>476165900</v>
      </c>
    </row>
    <row r="22665" spans="32:37">
      <c r="AF22665" s="831" t="s">
        <v>11480</v>
      </c>
      <c r="AG22665" s="831" t="s">
        <v>2674</v>
      </c>
      <c r="AH22665" s="831" t="s">
        <v>553</v>
      </c>
      <c r="AI22665" s="831">
        <v>0</v>
      </c>
      <c r="AJ22665" s="835">
        <v>41790</v>
      </c>
      <c r="AK22665" s="831">
        <v>0</v>
      </c>
    </row>
    <row r="22666" spans="32:37">
      <c r="AF22666" s="831" t="s">
        <v>11481</v>
      </c>
      <c r="AG22666" s="831" t="s">
        <v>2674</v>
      </c>
      <c r="AH22666" s="831" t="s">
        <v>552</v>
      </c>
      <c r="AI22666" s="831">
        <v>0</v>
      </c>
      <c r="AJ22666" s="835">
        <v>41790</v>
      </c>
      <c r="AK22666" s="831">
        <v>0</v>
      </c>
    </row>
    <row r="22667" spans="32:37">
      <c r="AF22667" s="831" t="s">
        <v>11482</v>
      </c>
      <c r="AG22667" s="831" t="s">
        <v>2674</v>
      </c>
      <c r="AH22667" s="831" t="s">
        <v>551</v>
      </c>
      <c r="AI22667" s="831">
        <v>0</v>
      </c>
      <c r="AJ22667" s="835">
        <v>41790</v>
      </c>
      <c r="AK22667" s="831">
        <v>2150143.8450000002</v>
      </c>
    </row>
    <row r="22668" spans="32:37">
      <c r="AF22668" s="831" t="s">
        <v>11483</v>
      </c>
      <c r="AG22668" s="831" t="s">
        <v>2674</v>
      </c>
      <c r="AH22668" s="831" t="s">
        <v>550</v>
      </c>
      <c r="AI22668" s="831">
        <v>0</v>
      </c>
      <c r="AJ22668" s="835">
        <v>41790</v>
      </c>
      <c r="AK22668" s="831">
        <v>127155751</v>
      </c>
    </row>
    <row r="22669" spans="32:37">
      <c r="AF22669" s="831" t="s">
        <v>11484</v>
      </c>
      <c r="AG22669" s="831" t="s">
        <v>2674</v>
      </c>
      <c r="AH22669" s="831" t="s">
        <v>562</v>
      </c>
      <c r="AI22669" s="831">
        <v>0</v>
      </c>
      <c r="AJ22669" s="835">
        <v>41790</v>
      </c>
      <c r="AK22669" s="831">
        <v>0.78385000000000005</v>
      </c>
    </row>
    <row r="22670" spans="32:37">
      <c r="AF22670" s="831" t="s">
        <v>11485</v>
      </c>
      <c r="AG22670" s="831" t="s">
        <v>2674</v>
      </c>
      <c r="AH22670" s="831" t="s">
        <v>2698</v>
      </c>
      <c r="AI22670" s="831">
        <v>0</v>
      </c>
      <c r="AJ22670" s="835">
        <v>41790</v>
      </c>
      <c r="AK22670" s="831">
        <v>0.78374999999999995</v>
      </c>
    </row>
    <row r="22671" spans="32:37">
      <c r="AF22671" s="831" t="s">
        <v>11486</v>
      </c>
      <c r="AG22671" s="831" t="s">
        <v>2674</v>
      </c>
      <c r="AH22671" s="831" t="s">
        <v>560</v>
      </c>
      <c r="AI22671" s="831">
        <v>0</v>
      </c>
      <c r="AJ22671" s="835">
        <v>41790</v>
      </c>
      <c r="AK22671" s="831">
        <v>0.78376999999999997</v>
      </c>
    </row>
    <row r="22672" spans="32:37">
      <c r="AF22672" s="831" t="s">
        <v>11487</v>
      </c>
      <c r="AG22672" s="831" t="s">
        <v>2674</v>
      </c>
      <c r="AH22672" s="831" t="s">
        <v>559</v>
      </c>
      <c r="AI22672" s="831">
        <v>0</v>
      </c>
      <c r="AJ22672" s="835">
        <v>41790</v>
      </c>
      <c r="AK22672" s="831">
        <v>0.78379166666666666</v>
      </c>
    </row>
    <row r="22673" spans="32:37">
      <c r="AF22673" s="831" t="s">
        <v>11488</v>
      </c>
      <c r="AG22673" s="831" t="s">
        <v>2674</v>
      </c>
      <c r="AH22673" s="831" t="s">
        <v>568</v>
      </c>
      <c r="AI22673" s="831">
        <v>0</v>
      </c>
      <c r="AJ22673" s="835">
        <v>41790</v>
      </c>
      <c r="AK22673" s="831">
        <v>602753430.99615383</v>
      </c>
    </row>
    <row r="22674" spans="32:37">
      <c r="AF22674" s="831" t="s">
        <v>11489</v>
      </c>
      <c r="AG22674" s="831" t="s">
        <v>2674</v>
      </c>
      <c r="AH22674" s="831" t="s">
        <v>569</v>
      </c>
      <c r="AI22674" s="831">
        <v>0</v>
      </c>
      <c r="AJ22674" s="835">
        <v>41790</v>
      </c>
      <c r="AK22674" s="831">
        <v>739200989.8963846</v>
      </c>
    </row>
    <row r="22675" spans="32:37">
      <c r="AF22675" s="831" t="s">
        <v>11490</v>
      </c>
      <c r="AG22675" s="831" t="s">
        <v>2674</v>
      </c>
      <c r="AH22675" s="831" t="s">
        <v>570</v>
      </c>
      <c r="AI22675" s="831">
        <v>0</v>
      </c>
      <c r="AJ22675" s="835">
        <v>41790</v>
      </c>
      <c r="AK22675" s="831">
        <v>117953141.44353844</v>
      </c>
    </row>
    <row r="22676" spans="32:37">
      <c r="AF22676" s="831" t="s">
        <v>11491</v>
      </c>
      <c r="AG22676" s="831" t="s">
        <v>2674</v>
      </c>
      <c r="AH22676" s="831" t="s">
        <v>571</v>
      </c>
      <c r="AI22676" s="831">
        <v>0</v>
      </c>
      <c r="AJ22676" s="835">
        <v>41790</v>
      </c>
      <c r="AK22676" s="831">
        <v>358988619.82100004</v>
      </c>
    </row>
    <row r="22677" spans="32:37">
      <c r="AF22677" s="831" t="s">
        <v>11492</v>
      </c>
      <c r="AG22677" s="831" t="s">
        <v>2674</v>
      </c>
      <c r="AH22677" s="831" t="s">
        <v>573</v>
      </c>
      <c r="AI22677" s="831">
        <v>0</v>
      </c>
      <c r="AJ22677" s="835">
        <v>41790</v>
      </c>
      <c r="AK22677" s="831">
        <v>816120360.26049995</v>
      </c>
    </row>
    <row r="22678" spans="32:37">
      <c r="AF22678" s="831" t="s">
        <v>11493</v>
      </c>
      <c r="AG22678" s="831" t="s">
        <v>2674</v>
      </c>
      <c r="AH22678" s="831" t="s">
        <v>574</v>
      </c>
      <c r="AI22678" s="831">
        <v>0</v>
      </c>
      <c r="AJ22678" s="835">
        <v>41790</v>
      </c>
      <c r="AK22678" s="831">
        <v>665724043</v>
      </c>
    </row>
    <row r="22679" spans="32:37">
      <c r="AF22679" s="831" t="s">
        <v>11494</v>
      </c>
      <c r="AG22679" s="831" t="s">
        <v>2674</v>
      </c>
      <c r="AH22679" s="831" t="s">
        <v>575</v>
      </c>
      <c r="AI22679" s="831">
        <v>0</v>
      </c>
      <c r="AJ22679" s="835">
        <v>41790</v>
      </c>
      <c r="AK22679" s="831">
        <v>122389529.81833333</v>
      </c>
    </row>
    <row r="22680" spans="32:37">
      <c r="AF22680" s="831" t="s">
        <v>11495</v>
      </c>
      <c r="AG22680" s="831" t="s">
        <v>2674</v>
      </c>
      <c r="AH22680" s="831" t="s">
        <v>576</v>
      </c>
      <c r="AI22680" s="831">
        <v>0</v>
      </c>
      <c r="AJ22680" s="835">
        <v>41790</v>
      </c>
      <c r="AK22680" s="831">
        <v>399225453.60183334</v>
      </c>
    </row>
    <row r="22681" spans="32:37">
      <c r="AF22681" s="831" t="s">
        <v>11496</v>
      </c>
      <c r="AG22681" s="831" t="s">
        <v>2674</v>
      </c>
      <c r="AH22681" s="831" t="s">
        <v>572</v>
      </c>
      <c r="AI22681" s="831">
        <v>0</v>
      </c>
      <c r="AJ22681" s="835">
        <v>41790</v>
      </c>
      <c r="AK22681" s="831">
        <v>31997124.956000008</v>
      </c>
    </row>
    <row r="22682" spans="32:37">
      <c r="AF22682" s="831" t="s">
        <v>11497</v>
      </c>
      <c r="AG22682" s="831" t="s">
        <v>2674</v>
      </c>
      <c r="AH22682" s="831" t="s">
        <v>577</v>
      </c>
      <c r="AI22682" s="831">
        <v>0</v>
      </c>
      <c r="AJ22682" s="835">
        <v>41790</v>
      </c>
      <c r="AK22682" s="831">
        <v>149793646.76300001</v>
      </c>
    </row>
    <row r="22683" spans="32:37">
      <c r="AF22683" s="831" t="s">
        <v>11498</v>
      </c>
      <c r="AG22683" s="831" t="s">
        <v>2674</v>
      </c>
      <c r="AH22683" s="831" t="s">
        <v>3042</v>
      </c>
      <c r="AI22683" s="831">
        <v>0</v>
      </c>
      <c r="AJ22683" s="835">
        <v>41790</v>
      </c>
      <c r="AK22683" s="831">
        <v>-41488938.527000003</v>
      </c>
    </row>
    <row r="22684" spans="32:37">
      <c r="AF22684" s="831" t="s">
        <v>11499</v>
      </c>
      <c r="AG22684" s="831" t="s">
        <v>2674</v>
      </c>
      <c r="AH22684" s="831" t="s">
        <v>3044</v>
      </c>
      <c r="AI22684" s="831">
        <v>0</v>
      </c>
      <c r="AJ22684" s="835">
        <v>41790</v>
      </c>
      <c r="AK22684" s="831">
        <v>-2734199.8899999997</v>
      </c>
    </row>
    <row r="22685" spans="32:37">
      <c r="AF22685" s="831" t="s">
        <v>11500</v>
      </c>
      <c r="AG22685" s="831" t="s">
        <v>2674</v>
      </c>
      <c r="AH22685" s="831" t="s">
        <v>580</v>
      </c>
      <c r="AI22685" s="831">
        <v>0</v>
      </c>
      <c r="AJ22685" s="835">
        <v>41790</v>
      </c>
      <c r="AK22685" s="831">
        <v>-69707657.306999996</v>
      </c>
    </row>
    <row r="22686" spans="32:37">
      <c r="AF22686" s="831" t="s">
        <v>11501</v>
      </c>
      <c r="AG22686" s="831" t="s">
        <v>2674</v>
      </c>
      <c r="AH22686" s="831" t="s">
        <v>581</v>
      </c>
      <c r="AI22686" s="831">
        <v>0</v>
      </c>
      <c r="AJ22686" s="835">
        <v>41790</v>
      </c>
      <c r="AK22686" s="831">
        <v>5958727.8940000003</v>
      </c>
    </row>
    <row r="22687" spans="32:37">
      <c r="AF22687" s="831" t="s">
        <v>11502</v>
      </c>
      <c r="AG22687" s="831" t="s">
        <v>2674</v>
      </c>
      <c r="AH22687" s="831" t="s">
        <v>105</v>
      </c>
      <c r="AI22687" s="831">
        <v>0</v>
      </c>
      <c r="AJ22687" s="835">
        <v>41790</v>
      </c>
      <c r="AK22687" s="831">
        <v>420089711</v>
      </c>
    </row>
    <row r="22688" spans="32:37">
      <c r="AF22688" s="831" t="s">
        <v>11503</v>
      </c>
      <c r="AG22688" s="831" t="s">
        <v>2674</v>
      </c>
      <c r="AH22688" s="831" t="s">
        <v>3049</v>
      </c>
      <c r="AI22688" s="831">
        <v>0</v>
      </c>
      <c r="AJ22688" s="835">
        <v>41790</v>
      </c>
      <c r="AK22688" s="831">
        <v>709561626</v>
      </c>
    </row>
    <row r="22689" spans="32:37">
      <c r="AF22689" s="831" t="s">
        <v>11504</v>
      </c>
      <c r="AG22689" s="831" t="s">
        <v>2674</v>
      </c>
      <c r="AH22689" s="831" t="s">
        <v>103</v>
      </c>
      <c r="AI22689" s="831">
        <v>0</v>
      </c>
      <c r="AJ22689" s="835">
        <v>41790</v>
      </c>
      <c r="AK22689" s="831">
        <v>289471915</v>
      </c>
    </row>
    <row r="22690" spans="32:37">
      <c r="AF22690" s="831" t="s">
        <v>11505</v>
      </c>
      <c r="AG22690" s="831" t="s">
        <v>2674</v>
      </c>
      <c r="AH22690" s="831" t="s">
        <v>182</v>
      </c>
      <c r="AI22690" s="831">
        <v>0</v>
      </c>
      <c r="AJ22690" s="835">
        <v>41790</v>
      </c>
      <c r="AK22690" s="831">
        <v>69984388.799999997</v>
      </c>
    </row>
    <row r="22691" spans="32:37">
      <c r="AF22691" s="831" t="s">
        <v>11506</v>
      </c>
      <c r="AG22691" s="831" t="s">
        <v>2674</v>
      </c>
      <c r="AH22691" s="831" t="s">
        <v>6600</v>
      </c>
      <c r="AI22691" s="831">
        <v>0</v>
      </c>
      <c r="AJ22691" s="835">
        <v>41790</v>
      </c>
      <c r="AK22691" s="831">
        <v>31997124.956000008</v>
      </c>
    </row>
    <row r="22692" spans="32:37">
      <c r="AF22692" s="831" t="s">
        <v>11507</v>
      </c>
      <c r="AG22692" s="831" t="s">
        <v>2674</v>
      </c>
      <c r="AH22692" s="831" t="s">
        <v>6602</v>
      </c>
      <c r="AI22692" s="831">
        <v>0</v>
      </c>
      <c r="AJ22692" s="835">
        <v>41790</v>
      </c>
      <c r="AK22692" s="831">
        <v>15708716</v>
      </c>
    </row>
    <row r="22693" spans="32:37">
      <c r="AF22693" s="831" t="s">
        <v>11508</v>
      </c>
      <c r="AG22693" s="831" t="s">
        <v>2674</v>
      </c>
      <c r="AH22693" s="831" t="s">
        <v>650</v>
      </c>
      <c r="AI22693" s="831">
        <v>0</v>
      </c>
      <c r="AJ22693" s="835">
        <v>41790</v>
      </c>
      <c r="AK22693" s="831">
        <v>242496217.73223078</v>
      </c>
    </row>
    <row r="22694" spans="32:37">
      <c r="AF22694" s="831" t="s">
        <v>11509</v>
      </c>
      <c r="AG22694" s="831" t="s">
        <v>2674</v>
      </c>
      <c r="AH22694" s="831" t="s">
        <v>655</v>
      </c>
      <c r="AI22694" s="831">
        <v>0</v>
      </c>
      <c r="AJ22694" s="835">
        <v>41790</v>
      </c>
      <c r="AK22694" s="831">
        <v>1936751.44</v>
      </c>
    </row>
    <row r="22695" spans="32:37">
      <c r="AF22695" s="831" t="s">
        <v>11510</v>
      </c>
      <c r="AG22695" s="831" t="s">
        <v>2674</v>
      </c>
      <c r="AH22695" s="831" t="s">
        <v>546</v>
      </c>
      <c r="AI22695" s="831">
        <v>0</v>
      </c>
      <c r="AJ22695" s="835">
        <v>41820</v>
      </c>
      <c r="AK22695" s="831">
        <v>728057591</v>
      </c>
    </row>
    <row r="22696" spans="32:37">
      <c r="AF22696" s="831" t="s">
        <v>11511</v>
      </c>
      <c r="AG22696" s="831" t="s">
        <v>2674</v>
      </c>
      <c r="AH22696" s="831" t="s">
        <v>370</v>
      </c>
      <c r="AI22696" s="831">
        <v>0</v>
      </c>
      <c r="AJ22696" s="835">
        <v>41820</v>
      </c>
      <c r="AK22696" s="831">
        <v>911200946</v>
      </c>
    </row>
    <row r="22697" spans="32:37">
      <c r="AF22697" s="831" t="s">
        <v>11512</v>
      </c>
      <c r="AG22697" s="831" t="s">
        <v>2674</v>
      </c>
      <c r="AH22697" s="831" t="s">
        <v>126</v>
      </c>
      <c r="AI22697" s="831">
        <v>0</v>
      </c>
      <c r="AJ22697" s="835">
        <v>41820</v>
      </c>
      <c r="AK22697" s="831">
        <v>135362821</v>
      </c>
    </row>
    <row r="22698" spans="32:37">
      <c r="AF22698" s="831" t="s">
        <v>11513</v>
      </c>
      <c r="AG22698" s="831" t="s">
        <v>2674</v>
      </c>
      <c r="AH22698" s="831" t="s">
        <v>268</v>
      </c>
      <c r="AI22698" s="831">
        <v>0</v>
      </c>
      <c r="AJ22698" s="835">
        <v>41820</v>
      </c>
      <c r="AK22698" s="831">
        <v>18626919</v>
      </c>
    </row>
    <row r="22699" spans="32:37">
      <c r="AF22699" s="831" t="s">
        <v>11514</v>
      </c>
      <c r="AG22699" s="831" t="s">
        <v>2674</v>
      </c>
      <c r="AH22699" s="831" t="s">
        <v>547</v>
      </c>
      <c r="AI22699" s="831">
        <v>0</v>
      </c>
      <c r="AJ22699" s="835">
        <v>41820</v>
      </c>
      <c r="AK22699" s="831">
        <v>777719977</v>
      </c>
    </row>
    <row r="22700" spans="32:37">
      <c r="AF22700" s="831" t="s">
        <v>11515</v>
      </c>
      <c r="AG22700" s="831" t="s">
        <v>2674</v>
      </c>
      <c r="AH22700" s="831" t="s">
        <v>548</v>
      </c>
      <c r="AI22700" s="831">
        <v>0</v>
      </c>
      <c r="AJ22700" s="835">
        <v>41820</v>
      </c>
      <c r="AK22700" s="831">
        <v>117105496</v>
      </c>
    </row>
    <row r="22701" spans="32:37">
      <c r="AF22701" s="831" t="s">
        <v>11516</v>
      </c>
      <c r="AG22701" s="831" t="s">
        <v>2674</v>
      </c>
      <c r="AH22701" s="831" t="s">
        <v>549</v>
      </c>
      <c r="AI22701" s="831">
        <v>0</v>
      </c>
      <c r="AJ22701" s="835">
        <v>41820</v>
      </c>
      <c r="AK22701" s="831">
        <v>514798833</v>
      </c>
    </row>
    <row r="22702" spans="32:37">
      <c r="AF22702" s="831" t="s">
        <v>11517</v>
      </c>
      <c r="AG22702" s="831" t="s">
        <v>2674</v>
      </c>
      <c r="AH22702" s="831" t="s">
        <v>192</v>
      </c>
      <c r="AI22702" s="831">
        <v>0</v>
      </c>
      <c r="AJ22702" s="835">
        <v>41820</v>
      </c>
      <c r="AK22702" s="831">
        <v>-11632261</v>
      </c>
    </row>
    <row r="22703" spans="32:37">
      <c r="AF22703" s="831" t="s">
        <v>11518</v>
      </c>
      <c r="AG22703" s="831" t="s">
        <v>2674</v>
      </c>
      <c r="AH22703" s="831" t="s">
        <v>558</v>
      </c>
      <c r="AI22703" s="831">
        <v>0</v>
      </c>
      <c r="AJ22703" s="835">
        <v>41820</v>
      </c>
      <c r="AK22703" s="831">
        <v>775838125</v>
      </c>
    </row>
    <row r="22704" spans="32:37">
      <c r="AF22704" s="831" t="s">
        <v>11519</v>
      </c>
      <c r="AG22704" s="831" t="s">
        <v>2674</v>
      </c>
      <c r="AH22704" s="831" t="s">
        <v>65</v>
      </c>
      <c r="AI22704" s="831">
        <v>0</v>
      </c>
      <c r="AJ22704" s="835">
        <v>41820</v>
      </c>
      <c r="AK22704" s="831">
        <v>81270371</v>
      </c>
    </row>
    <row r="22705" spans="32:37">
      <c r="AF22705" s="831" t="s">
        <v>11520</v>
      </c>
      <c r="AG22705" s="831" t="s">
        <v>2674</v>
      </c>
      <c r="AH22705" s="831" t="s">
        <v>89</v>
      </c>
      <c r="AI22705" s="831">
        <v>0</v>
      </c>
      <c r="AJ22705" s="835">
        <v>41820</v>
      </c>
      <c r="AK22705" s="831">
        <v>156581</v>
      </c>
    </row>
    <row r="22706" spans="32:37">
      <c r="AF22706" s="831" t="s">
        <v>11521</v>
      </c>
      <c r="AG22706" s="831" t="s">
        <v>2674</v>
      </c>
      <c r="AH22706" s="831" t="s">
        <v>557</v>
      </c>
      <c r="AI22706" s="831">
        <v>0</v>
      </c>
      <c r="AJ22706" s="835">
        <v>41820</v>
      </c>
      <c r="AK22706" s="831">
        <v>175816</v>
      </c>
    </row>
    <row r="22707" spans="32:37">
      <c r="AF22707" s="831" t="s">
        <v>11522</v>
      </c>
      <c r="AG22707" s="831" t="s">
        <v>2674</v>
      </c>
      <c r="AH22707" s="831" t="s">
        <v>29</v>
      </c>
      <c r="AI22707" s="831">
        <v>0</v>
      </c>
      <c r="AJ22707" s="835">
        <v>41820</v>
      </c>
      <c r="AK22707" s="831">
        <v>1326248.81</v>
      </c>
    </row>
    <row r="22708" spans="32:37">
      <c r="AF22708" s="831" t="s">
        <v>11523</v>
      </c>
      <c r="AG22708" s="831" t="s">
        <v>2674</v>
      </c>
      <c r="AH22708" s="831" t="s">
        <v>2688</v>
      </c>
      <c r="AI22708" s="831">
        <v>0</v>
      </c>
      <c r="AJ22708" s="835">
        <v>41820</v>
      </c>
      <c r="AK22708" s="831">
        <v>4329800.9399999995</v>
      </c>
    </row>
    <row r="22709" spans="32:37">
      <c r="AF22709" s="831" t="s">
        <v>11524</v>
      </c>
      <c r="AG22709" s="831" t="s">
        <v>2674</v>
      </c>
      <c r="AH22709" s="831" t="s">
        <v>556</v>
      </c>
      <c r="AI22709" s="831">
        <v>0</v>
      </c>
      <c r="AJ22709" s="835">
        <v>41820</v>
      </c>
      <c r="AK22709" s="831">
        <v>3274918</v>
      </c>
    </row>
    <row r="22710" spans="32:37">
      <c r="AF22710" s="831" t="s">
        <v>11525</v>
      </c>
      <c r="AG22710" s="831" t="s">
        <v>2674</v>
      </c>
      <c r="AH22710" s="831" t="s">
        <v>555</v>
      </c>
      <c r="AI22710" s="831">
        <v>0</v>
      </c>
      <c r="AJ22710" s="835">
        <v>41820</v>
      </c>
      <c r="AK22710" s="831">
        <v>507133542</v>
      </c>
    </row>
    <row r="22711" spans="32:37">
      <c r="AF22711" s="831" t="s">
        <v>11526</v>
      </c>
      <c r="AG22711" s="831" t="s">
        <v>2674</v>
      </c>
      <c r="AH22711" s="831" t="s">
        <v>554</v>
      </c>
      <c r="AI22711" s="831">
        <v>0</v>
      </c>
      <c r="AJ22711" s="835">
        <v>41820</v>
      </c>
      <c r="AK22711" s="831">
        <v>519019570</v>
      </c>
    </row>
    <row r="22712" spans="32:37">
      <c r="AF22712" s="831" t="s">
        <v>11527</v>
      </c>
      <c r="AG22712" s="831" t="s">
        <v>2674</v>
      </c>
      <c r="AH22712" s="831" t="s">
        <v>553</v>
      </c>
      <c r="AI22712" s="831">
        <v>0</v>
      </c>
      <c r="AJ22712" s="835">
        <v>41820</v>
      </c>
      <c r="AK22712" s="831">
        <v>0</v>
      </c>
    </row>
    <row r="22713" spans="32:37">
      <c r="AF22713" s="831" t="s">
        <v>11528</v>
      </c>
      <c r="AG22713" s="831" t="s">
        <v>2674</v>
      </c>
      <c r="AH22713" s="831" t="s">
        <v>552</v>
      </c>
      <c r="AI22713" s="831">
        <v>0</v>
      </c>
      <c r="AJ22713" s="835">
        <v>41820</v>
      </c>
      <c r="AK22713" s="831">
        <v>0</v>
      </c>
    </row>
    <row r="22714" spans="32:37">
      <c r="AF22714" s="831" t="s">
        <v>11529</v>
      </c>
      <c r="AG22714" s="831" t="s">
        <v>2674</v>
      </c>
      <c r="AH22714" s="831" t="s">
        <v>551</v>
      </c>
      <c r="AI22714" s="831">
        <v>0</v>
      </c>
      <c r="AJ22714" s="835">
        <v>41820</v>
      </c>
      <c r="AK22714" s="831">
        <v>950588.81</v>
      </c>
    </row>
    <row r="22715" spans="32:37">
      <c r="AF22715" s="831" t="s">
        <v>11530</v>
      </c>
      <c r="AG22715" s="831" t="s">
        <v>2674</v>
      </c>
      <c r="AH22715" s="831" t="s">
        <v>550</v>
      </c>
      <c r="AI22715" s="831">
        <v>0</v>
      </c>
      <c r="AJ22715" s="835">
        <v>41820</v>
      </c>
      <c r="AK22715" s="831">
        <v>131163748</v>
      </c>
    </row>
    <row r="22716" spans="32:37">
      <c r="AF22716" s="831" t="s">
        <v>11531</v>
      </c>
      <c r="AG22716" s="831" t="s">
        <v>2674</v>
      </c>
      <c r="AH22716" s="831" t="s">
        <v>562</v>
      </c>
      <c r="AI22716" s="831">
        <v>0</v>
      </c>
      <c r="AJ22716" s="835">
        <v>41820</v>
      </c>
      <c r="AK22716" s="831">
        <v>0.78374999999999995</v>
      </c>
    </row>
    <row r="22717" spans="32:37">
      <c r="AF22717" s="831" t="s">
        <v>11532</v>
      </c>
      <c r="AG22717" s="831" t="s">
        <v>2674</v>
      </c>
      <c r="AH22717" s="831" t="s">
        <v>2698</v>
      </c>
      <c r="AI22717" s="831">
        <v>0</v>
      </c>
      <c r="AJ22717" s="835">
        <v>41820</v>
      </c>
      <c r="AK22717" s="831">
        <v>0.78385000000000005</v>
      </c>
    </row>
    <row r="22718" spans="32:37">
      <c r="AF22718" s="831" t="s">
        <v>11533</v>
      </c>
      <c r="AG22718" s="831" t="s">
        <v>2674</v>
      </c>
      <c r="AH22718" s="831" t="s">
        <v>560</v>
      </c>
      <c r="AI22718" s="831">
        <v>0</v>
      </c>
      <c r="AJ22718" s="835">
        <v>41820</v>
      </c>
      <c r="AK22718" s="831">
        <v>0.78376666666666672</v>
      </c>
    </row>
    <row r="22719" spans="32:37">
      <c r="AF22719" s="831" t="s">
        <v>11534</v>
      </c>
      <c r="AG22719" s="831" t="s">
        <v>2674</v>
      </c>
      <c r="AH22719" s="831" t="s">
        <v>559</v>
      </c>
      <c r="AI22719" s="831">
        <v>0</v>
      </c>
      <c r="AJ22719" s="835">
        <v>41820</v>
      </c>
      <c r="AK22719" s="831">
        <v>0.783775</v>
      </c>
    </row>
    <row r="22720" spans="32:37">
      <c r="AF22720" s="831" t="s">
        <v>11535</v>
      </c>
      <c r="AG22720" s="831" t="s">
        <v>2674</v>
      </c>
      <c r="AH22720" s="831" t="s">
        <v>568</v>
      </c>
      <c r="AI22720" s="831">
        <v>0</v>
      </c>
      <c r="AJ22720" s="835">
        <v>41820</v>
      </c>
      <c r="AK22720" s="831">
        <v>619891357.84230769</v>
      </c>
    </row>
    <row r="22721" spans="32:37">
      <c r="AF22721" s="831" t="s">
        <v>11536</v>
      </c>
      <c r="AG22721" s="831" t="s">
        <v>2674</v>
      </c>
      <c r="AH22721" s="831" t="s">
        <v>569</v>
      </c>
      <c r="AI22721" s="831">
        <v>0</v>
      </c>
      <c r="AJ22721" s="835">
        <v>41820</v>
      </c>
      <c r="AK22721" s="831">
        <v>763501602.97330773</v>
      </c>
    </row>
    <row r="22722" spans="32:37">
      <c r="AF22722" s="831" t="s">
        <v>11537</v>
      </c>
      <c r="AG22722" s="831" t="s">
        <v>2674</v>
      </c>
      <c r="AH22722" s="831" t="s">
        <v>570</v>
      </c>
      <c r="AI22722" s="831">
        <v>0</v>
      </c>
      <c r="AJ22722" s="835">
        <v>41820</v>
      </c>
      <c r="AK22722" s="831">
        <v>120238638.75123075</v>
      </c>
    </row>
    <row r="22723" spans="32:37">
      <c r="AF22723" s="831" t="s">
        <v>11538</v>
      </c>
      <c r="AG22723" s="831" t="s">
        <v>2674</v>
      </c>
      <c r="AH22723" s="831" t="s">
        <v>571</v>
      </c>
      <c r="AI22723" s="831">
        <v>0</v>
      </c>
      <c r="AJ22723" s="835">
        <v>41820</v>
      </c>
      <c r="AK22723" s="831">
        <v>372900260.97484618</v>
      </c>
    </row>
    <row r="22724" spans="32:37">
      <c r="AF22724" s="831" t="s">
        <v>11539</v>
      </c>
      <c r="AG22724" s="831" t="s">
        <v>2674</v>
      </c>
      <c r="AH22724" s="831" t="s">
        <v>573</v>
      </c>
      <c r="AI22724" s="831">
        <v>0</v>
      </c>
      <c r="AJ22724" s="835">
        <v>41820</v>
      </c>
      <c r="AK22724" s="831">
        <v>829703301.08042848</v>
      </c>
    </row>
    <row r="22725" spans="32:37">
      <c r="AF22725" s="831" t="s">
        <v>11540</v>
      </c>
      <c r="AG22725" s="831" t="s">
        <v>2674</v>
      </c>
      <c r="AH22725" s="831" t="s">
        <v>574</v>
      </c>
      <c r="AI22725" s="831">
        <v>0</v>
      </c>
      <c r="AJ22725" s="835">
        <v>41820</v>
      </c>
      <c r="AK22725" s="831">
        <v>674628835.57142854</v>
      </c>
    </row>
    <row r="22726" spans="32:37">
      <c r="AF22726" s="831" t="s">
        <v>11541</v>
      </c>
      <c r="AG22726" s="831" t="s">
        <v>2674</v>
      </c>
      <c r="AH22726" s="831" t="s">
        <v>575</v>
      </c>
      <c r="AI22726" s="831">
        <v>0</v>
      </c>
      <c r="AJ22726" s="835">
        <v>41820</v>
      </c>
      <c r="AK22726" s="831">
        <v>124242857.13</v>
      </c>
    </row>
    <row r="22727" spans="32:37">
      <c r="AF22727" s="831" t="s">
        <v>11542</v>
      </c>
      <c r="AG22727" s="831" t="s">
        <v>2674</v>
      </c>
      <c r="AH22727" s="831" t="s">
        <v>576</v>
      </c>
      <c r="AI22727" s="831">
        <v>0</v>
      </c>
      <c r="AJ22727" s="835">
        <v>41820</v>
      </c>
      <c r="AK22727" s="831">
        <v>407269836.23014289</v>
      </c>
    </row>
    <row r="22728" spans="32:37">
      <c r="AF22728" s="831" t="s">
        <v>11543</v>
      </c>
      <c r="AG22728" s="831" t="s">
        <v>2674</v>
      </c>
      <c r="AH22728" s="831" t="s">
        <v>572</v>
      </c>
      <c r="AI22728" s="831">
        <v>0</v>
      </c>
      <c r="AJ22728" s="835">
        <v>41820</v>
      </c>
      <c r="AK22728" s="831">
        <v>32506327.956000008</v>
      </c>
    </row>
    <row r="22729" spans="32:37">
      <c r="AF22729" s="831" t="s">
        <v>11544</v>
      </c>
      <c r="AG22729" s="831" t="s">
        <v>2674</v>
      </c>
      <c r="AH22729" s="831" t="s">
        <v>577</v>
      </c>
      <c r="AI22729" s="831">
        <v>0</v>
      </c>
      <c r="AJ22729" s="835">
        <v>41820</v>
      </c>
      <c r="AK22729" s="831">
        <v>153933560.76300001</v>
      </c>
    </row>
    <row r="22730" spans="32:37">
      <c r="AF22730" s="831" t="s">
        <v>11545</v>
      </c>
      <c r="AG22730" s="831" t="s">
        <v>2674</v>
      </c>
      <c r="AH22730" s="831" t="s">
        <v>3042</v>
      </c>
      <c r="AI22730" s="831">
        <v>0</v>
      </c>
      <c r="AJ22730" s="835">
        <v>41820</v>
      </c>
      <c r="AK22730" s="831">
        <v>-43087678.527000003</v>
      </c>
    </row>
    <row r="22731" spans="32:37">
      <c r="AF22731" s="831" t="s">
        <v>11546</v>
      </c>
      <c r="AG22731" s="831" t="s">
        <v>2674</v>
      </c>
      <c r="AH22731" s="831" t="s">
        <v>3044</v>
      </c>
      <c r="AI22731" s="831">
        <v>0</v>
      </c>
      <c r="AJ22731" s="835">
        <v>41820</v>
      </c>
      <c r="AK22731" s="831">
        <v>-2538336.8899999997</v>
      </c>
    </row>
    <row r="22732" spans="32:37">
      <c r="AF22732" s="831" t="s">
        <v>11547</v>
      </c>
      <c r="AG22732" s="831" t="s">
        <v>2674</v>
      </c>
      <c r="AH22732" s="831" t="s">
        <v>580</v>
      </c>
      <c r="AI22732" s="831">
        <v>0</v>
      </c>
      <c r="AJ22732" s="835">
        <v>41820</v>
      </c>
      <c r="AK22732" s="831">
        <v>-71232950.306999996</v>
      </c>
    </row>
    <row r="22733" spans="32:37">
      <c r="AF22733" s="831" t="s">
        <v>11548</v>
      </c>
      <c r="AG22733" s="831" t="s">
        <v>2674</v>
      </c>
      <c r="AH22733" s="831" t="s">
        <v>581</v>
      </c>
      <c r="AI22733" s="831">
        <v>0</v>
      </c>
      <c r="AJ22733" s="835">
        <v>41820</v>
      </c>
      <c r="AK22733" s="831">
        <v>5389272.8940000003</v>
      </c>
    </row>
    <row r="22734" spans="32:37">
      <c r="AF22734" s="831" t="s">
        <v>11549</v>
      </c>
      <c r="AG22734" s="831" t="s">
        <v>2674</v>
      </c>
      <c r="AH22734" s="831" t="s">
        <v>105</v>
      </c>
      <c r="AI22734" s="831">
        <v>0</v>
      </c>
      <c r="AJ22734" s="835">
        <v>41820</v>
      </c>
      <c r="AK22734" s="831">
        <v>455536132</v>
      </c>
    </row>
    <row r="22735" spans="32:37">
      <c r="AF22735" s="831" t="s">
        <v>11550</v>
      </c>
      <c r="AG22735" s="831" t="s">
        <v>2674</v>
      </c>
      <c r="AH22735" s="831" t="s">
        <v>3049</v>
      </c>
      <c r="AI22735" s="831">
        <v>0</v>
      </c>
      <c r="AJ22735" s="835">
        <v>41820</v>
      </c>
      <c r="AK22735" s="831">
        <v>754458364</v>
      </c>
    </row>
    <row r="22736" spans="32:37">
      <c r="AF22736" s="831" t="s">
        <v>11551</v>
      </c>
      <c r="AG22736" s="831" t="s">
        <v>2674</v>
      </c>
      <c r="AH22736" s="831" t="s">
        <v>103</v>
      </c>
      <c r="AI22736" s="831">
        <v>0</v>
      </c>
      <c r="AJ22736" s="835">
        <v>41820</v>
      </c>
      <c r="AK22736" s="831">
        <v>298922232</v>
      </c>
    </row>
    <row r="22737" spans="32:37">
      <c r="AF22737" s="831" t="s">
        <v>11552</v>
      </c>
      <c r="AG22737" s="831" t="s">
        <v>2674</v>
      </c>
      <c r="AH22737" s="831" t="s">
        <v>182</v>
      </c>
      <c r="AI22737" s="831">
        <v>0</v>
      </c>
      <c r="AJ22737" s="835">
        <v>41820</v>
      </c>
      <c r="AK22737" s="831">
        <v>71693060</v>
      </c>
    </row>
    <row r="22738" spans="32:37">
      <c r="AF22738" s="831" t="s">
        <v>11553</v>
      </c>
      <c r="AG22738" s="831" t="s">
        <v>2674</v>
      </c>
      <c r="AH22738" s="831" t="s">
        <v>6600</v>
      </c>
      <c r="AI22738" s="831">
        <v>0</v>
      </c>
      <c r="AJ22738" s="835">
        <v>41820</v>
      </c>
      <c r="AK22738" s="831">
        <v>32506327.956000008</v>
      </c>
    </row>
    <row r="22739" spans="32:37">
      <c r="AF22739" s="831" t="s">
        <v>11554</v>
      </c>
      <c r="AG22739" s="831" t="s">
        <v>2674</v>
      </c>
      <c r="AH22739" s="831" t="s">
        <v>6602</v>
      </c>
      <c r="AI22739" s="831">
        <v>0</v>
      </c>
      <c r="AJ22739" s="835">
        <v>41820</v>
      </c>
      <c r="AK22739" s="831">
        <v>18626919</v>
      </c>
    </row>
    <row r="22740" spans="32:37">
      <c r="AF22740" s="831" t="s">
        <v>11555</v>
      </c>
      <c r="AG22740" s="831" t="s">
        <v>2674</v>
      </c>
      <c r="AH22740" s="831" t="s">
        <v>650</v>
      </c>
      <c r="AI22740" s="831">
        <v>0</v>
      </c>
      <c r="AJ22740" s="835">
        <v>41820</v>
      </c>
      <c r="AK22740" s="831">
        <v>250141744.03992307</v>
      </c>
    </row>
    <row r="22741" spans="32:37">
      <c r="AF22741" s="831" t="s">
        <v>11556</v>
      </c>
      <c r="AG22741" s="831" t="s">
        <v>2674</v>
      </c>
      <c r="AH22741" s="831" t="s">
        <v>655</v>
      </c>
      <c r="AI22741" s="831">
        <v>0</v>
      </c>
      <c r="AJ22741" s="835">
        <v>41820</v>
      </c>
      <c r="AK22741" s="831">
        <v>739333.81</v>
      </c>
    </row>
    <row r="22742" spans="32:37">
      <c r="AF22742" s="831" t="s">
        <v>11557</v>
      </c>
      <c r="AG22742" s="831" t="s">
        <v>2674</v>
      </c>
      <c r="AH22742" s="831" t="s">
        <v>546</v>
      </c>
      <c r="AI22742" s="831">
        <v>0</v>
      </c>
      <c r="AJ22742" s="835">
        <v>41851</v>
      </c>
      <c r="AK22742" s="831">
        <v>739176022</v>
      </c>
    </row>
    <row r="22743" spans="32:37">
      <c r="AF22743" s="831" t="s">
        <v>11558</v>
      </c>
      <c r="AG22743" s="831" t="s">
        <v>2674</v>
      </c>
      <c r="AH22743" s="831" t="s">
        <v>370</v>
      </c>
      <c r="AI22743" s="831">
        <v>0</v>
      </c>
      <c r="AJ22743" s="835">
        <v>41851</v>
      </c>
      <c r="AK22743" s="831">
        <v>937279545</v>
      </c>
    </row>
    <row r="22744" spans="32:37">
      <c r="AF22744" s="831" t="s">
        <v>11559</v>
      </c>
      <c r="AG22744" s="831" t="s">
        <v>2674</v>
      </c>
      <c r="AH22744" s="831" t="s">
        <v>126</v>
      </c>
      <c r="AI22744" s="831">
        <v>0</v>
      </c>
      <c r="AJ22744" s="835">
        <v>41851</v>
      </c>
      <c r="AK22744" s="831">
        <v>138005087</v>
      </c>
    </row>
    <row r="22745" spans="32:37">
      <c r="AF22745" s="831" t="s">
        <v>11560</v>
      </c>
      <c r="AG22745" s="831" t="s">
        <v>2674</v>
      </c>
      <c r="AH22745" s="831" t="s">
        <v>268</v>
      </c>
      <c r="AI22745" s="831">
        <v>0</v>
      </c>
      <c r="AJ22745" s="835">
        <v>41851</v>
      </c>
      <c r="AK22745" s="831">
        <v>22009267</v>
      </c>
    </row>
    <row r="22746" spans="32:37">
      <c r="AF22746" s="831" t="s">
        <v>11561</v>
      </c>
      <c r="AG22746" s="831" t="s">
        <v>2674</v>
      </c>
      <c r="AH22746" s="831" t="s">
        <v>547</v>
      </c>
      <c r="AI22746" s="831">
        <v>0</v>
      </c>
      <c r="AJ22746" s="835">
        <v>41851</v>
      </c>
      <c r="AK22746" s="831">
        <v>777719977</v>
      </c>
    </row>
    <row r="22747" spans="32:37">
      <c r="AF22747" s="831" t="s">
        <v>11562</v>
      </c>
      <c r="AG22747" s="831" t="s">
        <v>2674</v>
      </c>
      <c r="AH22747" s="831" t="s">
        <v>548</v>
      </c>
      <c r="AI22747" s="831">
        <v>0</v>
      </c>
      <c r="AJ22747" s="835">
        <v>41851</v>
      </c>
      <c r="AK22747" s="831">
        <v>117105496</v>
      </c>
    </row>
    <row r="22748" spans="32:37">
      <c r="AF22748" s="831" t="s">
        <v>11563</v>
      </c>
      <c r="AG22748" s="831" t="s">
        <v>2674</v>
      </c>
      <c r="AH22748" s="831" t="s">
        <v>549</v>
      </c>
      <c r="AI22748" s="831">
        <v>0</v>
      </c>
      <c r="AJ22748" s="835">
        <v>41851</v>
      </c>
      <c r="AK22748" s="831">
        <v>530405930</v>
      </c>
    </row>
    <row r="22749" spans="32:37">
      <c r="AF22749" s="831" t="s">
        <v>11564</v>
      </c>
      <c r="AG22749" s="831" t="s">
        <v>2674</v>
      </c>
      <c r="AH22749" s="831" t="s">
        <v>192</v>
      </c>
      <c r="AI22749" s="831">
        <v>0</v>
      </c>
      <c r="AJ22749" s="835">
        <v>41851</v>
      </c>
      <c r="AK22749" s="831">
        <v>-11408077</v>
      </c>
    </row>
    <row r="22750" spans="32:37">
      <c r="AF22750" s="831" t="s">
        <v>11565</v>
      </c>
      <c r="AG22750" s="831" t="s">
        <v>2674</v>
      </c>
      <c r="AH22750" s="831" t="s">
        <v>558</v>
      </c>
      <c r="AI22750" s="831">
        <v>0</v>
      </c>
      <c r="AJ22750" s="835">
        <v>41851</v>
      </c>
      <c r="AK22750" s="831">
        <v>799274458</v>
      </c>
    </row>
    <row r="22751" spans="32:37">
      <c r="AF22751" s="831" t="s">
        <v>11566</v>
      </c>
      <c r="AG22751" s="831" t="s">
        <v>2674</v>
      </c>
      <c r="AH22751" s="831" t="s">
        <v>65</v>
      </c>
      <c r="AI22751" s="831">
        <v>0</v>
      </c>
      <c r="AJ22751" s="835">
        <v>41851</v>
      </c>
      <c r="AK22751" s="831">
        <v>96150192</v>
      </c>
    </row>
    <row r="22752" spans="32:37">
      <c r="AF22752" s="831" t="s">
        <v>11567</v>
      </c>
      <c r="AG22752" s="831" t="s">
        <v>2674</v>
      </c>
      <c r="AH22752" s="831" t="s">
        <v>89</v>
      </c>
      <c r="AI22752" s="831">
        <v>0</v>
      </c>
      <c r="AJ22752" s="835">
        <v>41851</v>
      </c>
      <c r="AK22752" s="831">
        <v>157312</v>
      </c>
    </row>
    <row r="22753" spans="32:37">
      <c r="AF22753" s="831" t="s">
        <v>11568</v>
      </c>
      <c r="AG22753" s="831" t="s">
        <v>2674</v>
      </c>
      <c r="AH22753" s="831" t="s">
        <v>557</v>
      </c>
      <c r="AI22753" s="831">
        <v>0</v>
      </c>
      <c r="AJ22753" s="835">
        <v>41851</v>
      </c>
      <c r="AK22753" s="831">
        <v>177567</v>
      </c>
    </row>
    <row r="22754" spans="32:37">
      <c r="AF22754" s="831" t="s">
        <v>11569</v>
      </c>
      <c r="AG22754" s="831" t="s">
        <v>2674</v>
      </c>
      <c r="AH22754" s="831" t="s">
        <v>29</v>
      </c>
      <c r="AI22754" s="831">
        <v>0</v>
      </c>
      <c r="AJ22754" s="835">
        <v>41851</v>
      </c>
      <c r="AK22754" s="831">
        <v>1565767.49</v>
      </c>
    </row>
    <row r="22755" spans="32:37">
      <c r="AF22755" s="831" t="s">
        <v>11570</v>
      </c>
      <c r="AG22755" s="831" t="s">
        <v>2674</v>
      </c>
      <c r="AH22755" s="831" t="s">
        <v>2688</v>
      </c>
      <c r="AI22755" s="831">
        <v>0</v>
      </c>
      <c r="AJ22755" s="835">
        <v>41851</v>
      </c>
      <c r="AK22755" s="831">
        <v>4315667.13</v>
      </c>
    </row>
    <row r="22756" spans="32:37">
      <c r="AF22756" s="831" t="s">
        <v>11571</v>
      </c>
      <c r="AG22756" s="831" t="s">
        <v>2674</v>
      </c>
      <c r="AH22756" s="831" t="s">
        <v>556</v>
      </c>
      <c r="AI22756" s="831">
        <v>0</v>
      </c>
      <c r="AJ22756" s="835">
        <v>41851</v>
      </c>
      <c r="AK22756" s="831">
        <v>3260165</v>
      </c>
    </row>
    <row r="22757" spans="32:37">
      <c r="AF22757" s="831" t="s">
        <v>11572</v>
      </c>
      <c r="AG22757" s="831" t="s">
        <v>2674</v>
      </c>
      <c r="AH22757" s="831" t="s">
        <v>555</v>
      </c>
      <c r="AI22757" s="831">
        <v>0</v>
      </c>
      <c r="AJ22757" s="835">
        <v>41851</v>
      </c>
      <c r="AK22757" s="831">
        <v>527670450</v>
      </c>
    </row>
    <row r="22758" spans="32:37">
      <c r="AF22758" s="831" t="s">
        <v>11573</v>
      </c>
      <c r="AG22758" s="831" t="s">
        <v>2674</v>
      </c>
      <c r="AH22758" s="831" t="s">
        <v>554</v>
      </c>
      <c r="AI22758" s="831">
        <v>0</v>
      </c>
      <c r="AJ22758" s="835">
        <v>41851</v>
      </c>
      <c r="AK22758" s="831">
        <v>540050830</v>
      </c>
    </row>
    <row r="22759" spans="32:37">
      <c r="AF22759" s="831" t="s">
        <v>11574</v>
      </c>
      <c r="AG22759" s="831" t="s">
        <v>2674</v>
      </c>
      <c r="AH22759" s="831" t="s">
        <v>553</v>
      </c>
      <c r="AI22759" s="831">
        <v>0</v>
      </c>
      <c r="AJ22759" s="835">
        <v>41851</v>
      </c>
      <c r="AK22759" s="831">
        <v>0</v>
      </c>
    </row>
    <row r="22760" spans="32:37">
      <c r="AF22760" s="831" t="s">
        <v>11575</v>
      </c>
      <c r="AG22760" s="831" t="s">
        <v>2674</v>
      </c>
      <c r="AH22760" s="831" t="s">
        <v>552</v>
      </c>
      <c r="AI22760" s="831">
        <v>0</v>
      </c>
      <c r="AJ22760" s="835">
        <v>41851</v>
      </c>
      <c r="AK22760" s="831">
        <v>0</v>
      </c>
    </row>
    <row r="22761" spans="32:37">
      <c r="AF22761" s="831" t="s">
        <v>11576</v>
      </c>
      <c r="AG22761" s="831" t="s">
        <v>2674</v>
      </c>
      <c r="AH22761" s="831" t="s">
        <v>551</v>
      </c>
      <c r="AI22761" s="831">
        <v>0</v>
      </c>
      <c r="AJ22761" s="835">
        <v>41851</v>
      </c>
      <c r="AK22761" s="831">
        <v>1101547.72</v>
      </c>
    </row>
    <row r="22762" spans="32:37">
      <c r="AF22762" s="831" t="s">
        <v>11577</v>
      </c>
      <c r="AG22762" s="831" t="s">
        <v>2674</v>
      </c>
      <c r="AH22762" s="831" t="s">
        <v>550</v>
      </c>
      <c r="AI22762" s="831">
        <v>0</v>
      </c>
      <c r="AJ22762" s="835">
        <v>41851</v>
      </c>
      <c r="AK22762" s="831">
        <v>135362821</v>
      </c>
    </row>
    <row r="22763" spans="32:37">
      <c r="AF22763" s="831" t="s">
        <v>11578</v>
      </c>
      <c r="AG22763" s="831" t="s">
        <v>2674</v>
      </c>
      <c r="AH22763" s="831" t="s">
        <v>562</v>
      </c>
      <c r="AI22763" s="831">
        <v>0</v>
      </c>
      <c r="AJ22763" s="835">
        <v>41851</v>
      </c>
      <c r="AK22763" s="831">
        <v>0.78364999999999996</v>
      </c>
    </row>
    <row r="22764" spans="32:37">
      <c r="AF22764" s="831" t="s">
        <v>11579</v>
      </c>
      <c r="AG22764" s="831" t="s">
        <v>2674</v>
      </c>
      <c r="AH22764" s="831" t="s">
        <v>2698</v>
      </c>
      <c r="AI22764" s="831">
        <v>0</v>
      </c>
      <c r="AJ22764" s="835">
        <v>41851</v>
      </c>
      <c r="AK22764" s="831">
        <v>0.78374999999999995</v>
      </c>
    </row>
    <row r="22765" spans="32:37">
      <c r="AF22765" s="831" t="s">
        <v>11580</v>
      </c>
      <c r="AG22765" s="831" t="s">
        <v>2674</v>
      </c>
      <c r="AH22765" s="831" t="s">
        <v>560</v>
      </c>
      <c r="AI22765" s="831">
        <v>0</v>
      </c>
      <c r="AJ22765" s="835">
        <v>41851</v>
      </c>
      <c r="AK22765" s="831">
        <v>0.78374999999999984</v>
      </c>
    </row>
    <row r="22766" spans="32:37">
      <c r="AF22766" s="831" t="s">
        <v>11581</v>
      </c>
      <c r="AG22766" s="831" t="s">
        <v>2674</v>
      </c>
      <c r="AH22766" s="831" t="s">
        <v>559</v>
      </c>
      <c r="AI22766" s="831">
        <v>0</v>
      </c>
      <c r="AJ22766" s="835">
        <v>41851</v>
      </c>
      <c r="AK22766" s="831">
        <v>0.78376666666666661</v>
      </c>
    </row>
    <row r="22767" spans="32:37">
      <c r="AF22767" s="831" t="s">
        <v>11582</v>
      </c>
      <c r="AG22767" s="831" t="s">
        <v>2674</v>
      </c>
      <c r="AH22767" s="831" t="s">
        <v>568</v>
      </c>
      <c r="AI22767" s="831">
        <v>0</v>
      </c>
      <c r="AJ22767" s="835">
        <v>41851</v>
      </c>
      <c r="AK22767" s="831">
        <v>637151141.61153841</v>
      </c>
    </row>
    <row r="22768" spans="32:37">
      <c r="AF22768" s="831" t="s">
        <v>11583</v>
      </c>
      <c r="AG22768" s="831" t="s">
        <v>2674</v>
      </c>
      <c r="AH22768" s="831" t="s">
        <v>569</v>
      </c>
      <c r="AI22768" s="831">
        <v>0</v>
      </c>
      <c r="AJ22768" s="835">
        <v>41851</v>
      </c>
      <c r="AK22768" s="831">
        <v>786284543.74253845</v>
      </c>
    </row>
    <row r="22769" spans="32:37">
      <c r="AF22769" s="831" t="s">
        <v>11584</v>
      </c>
      <c r="AG22769" s="831" t="s">
        <v>2674</v>
      </c>
      <c r="AH22769" s="831" t="s">
        <v>570</v>
      </c>
      <c r="AI22769" s="831">
        <v>0</v>
      </c>
      <c r="AJ22769" s="835">
        <v>41851</v>
      </c>
      <c r="AK22769" s="831">
        <v>122542079.44353844</v>
      </c>
    </row>
    <row r="22770" spans="32:37">
      <c r="AF22770" s="831" t="s">
        <v>11585</v>
      </c>
      <c r="AG22770" s="831" t="s">
        <v>2674</v>
      </c>
      <c r="AH22770" s="831" t="s">
        <v>571</v>
      </c>
      <c r="AI22770" s="831">
        <v>0</v>
      </c>
      <c r="AJ22770" s="835">
        <v>41851</v>
      </c>
      <c r="AK22770" s="831">
        <v>385003742.66715389</v>
      </c>
    </row>
    <row r="22771" spans="32:37">
      <c r="AF22771" s="831" t="s">
        <v>11586</v>
      </c>
      <c r="AG22771" s="831" t="s">
        <v>2674</v>
      </c>
      <c r="AH22771" s="831" t="s">
        <v>573</v>
      </c>
      <c r="AI22771" s="831">
        <v>0</v>
      </c>
      <c r="AJ22771" s="835">
        <v>41851</v>
      </c>
      <c r="AK22771" s="831">
        <v>843150331.57037497</v>
      </c>
    </row>
    <row r="22772" spans="32:37">
      <c r="AF22772" s="831" t="s">
        <v>11587</v>
      </c>
      <c r="AG22772" s="831" t="s">
        <v>2674</v>
      </c>
      <c r="AH22772" s="831" t="s">
        <v>574</v>
      </c>
      <c r="AI22772" s="831">
        <v>0</v>
      </c>
      <c r="AJ22772" s="835">
        <v>41851</v>
      </c>
      <c r="AK22772" s="831">
        <v>682697233.875</v>
      </c>
    </row>
    <row r="22773" spans="32:37">
      <c r="AF22773" s="831" t="s">
        <v>11588</v>
      </c>
      <c r="AG22773" s="831" t="s">
        <v>2674</v>
      </c>
      <c r="AH22773" s="831" t="s">
        <v>575</v>
      </c>
      <c r="AI22773" s="831">
        <v>0</v>
      </c>
      <c r="AJ22773" s="835">
        <v>41851</v>
      </c>
      <c r="AK22773" s="831">
        <v>125963135.86375</v>
      </c>
    </row>
    <row r="22774" spans="32:37">
      <c r="AF22774" s="831" t="s">
        <v>11589</v>
      </c>
      <c r="AG22774" s="831" t="s">
        <v>2674</v>
      </c>
      <c r="AH22774" s="831" t="s">
        <v>576</v>
      </c>
      <c r="AI22774" s="831">
        <v>0</v>
      </c>
      <c r="AJ22774" s="835">
        <v>41851</v>
      </c>
      <c r="AK22774" s="831">
        <v>415372081.57637501</v>
      </c>
    </row>
    <row r="22775" spans="32:37">
      <c r="AF22775" s="831" t="s">
        <v>11590</v>
      </c>
      <c r="AG22775" s="831" t="s">
        <v>2674</v>
      </c>
      <c r="AH22775" s="831" t="s">
        <v>572</v>
      </c>
      <c r="AI22775" s="831">
        <v>0</v>
      </c>
      <c r="AJ22775" s="835">
        <v>41851</v>
      </c>
      <c r="AK22775" s="831">
        <v>33061468.956000008</v>
      </c>
    </row>
    <row r="22776" spans="32:37">
      <c r="AF22776" s="831" t="s">
        <v>11591</v>
      </c>
      <c r="AG22776" s="831" t="s">
        <v>2674</v>
      </c>
      <c r="AH22776" s="831" t="s">
        <v>577</v>
      </c>
      <c r="AI22776" s="831">
        <v>0</v>
      </c>
      <c r="AJ22776" s="835">
        <v>41851</v>
      </c>
      <c r="AK22776" s="831">
        <v>157027827.76300001</v>
      </c>
    </row>
    <row r="22777" spans="32:37">
      <c r="AF22777" s="831" t="s">
        <v>11592</v>
      </c>
      <c r="AG22777" s="831" t="s">
        <v>2674</v>
      </c>
      <c r="AH22777" s="831" t="s">
        <v>3042</v>
      </c>
      <c r="AI22777" s="831">
        <v>0</v>
      </c>
      <c r="AJ22777" s="835">
        <v>41851</v>
      </c>
      <c r="AK22777" s="831">
        <v>-44607617.527000003</v>
      </c>
    </row>
    <row r="22778" spans="32:37">
      <c r="AF22778" s="831" t="s">
        <v>11593</v>
      </c>
      <c r="AG22778" s="831" t="s">
        <v>2674</v>
      </c>
      <c r="AH22778" s="831" t="s">
        <v>3044</v>
      </c>
      <c r="AI22778" s="831">
        <v>0</v>
      </c>
      <c r="AJ22778" s="835">
        <v>41851</v>
      </c>
      <c r="AK22778" s="831">
        <v>-2462838.8899999997</v>
      </c>
    </row>
    <row r="22779" spans="32:37">
      <c r="AF22779" s="831" t="s">
        <v>11594</v>
      </c>
      <c r="AG22779" s="831" t="s">
        <v>2674</v>
      </c>
      <c r="AH22779" s="831" t="s">
        <v>580</v>
      </c>
      <c r="AI22779" s="831">
        <v>0</v>
      </c>
      <c r="AJ22779" s="835">
        <v>41851</v>
      </c>
      <c r="AK22779" s="831">
        <v>-72554848.306999996</v>
      </c>
    </row>
    <row r="22780" spans="32:37">
      <c r="AF22780" s="831" t="s">
        <v>11595</v>
      </c>
      <c r="AG22780" s="831" t="s">
        <v>2674</v>
      </c>
      <c r="AH22780" s="831" t="s">
        <v>581</v>
      </c>
      <c r="AI22780" s="831">
        <v>0</v>
      </c>
      <c r="AJ22780" s="835">
        <v>41851</v>
      </c>
      <c r="AK22780" s="831">
        <v>6023686.8940000003</v>
      </c>
    </row>
    <row r="22781" spans="32:37">
      <c r="AF22781" s="831" t="s">
        <v>11596</v>
      </c>
      <c r="AG22781" s="831" t="s">
        <v>2674</v>
      </c>
      <c r="AH22781" s="831" t="s">
        <v>105</v>
      </c>
      <c r="AI22781" s="831">
        <v>0</v>
      </c>
      <c r="AJ22781" s="835">
        <v>41851</v>
      </c>
      <c r="AK22781" s="831">
        <v>472087799</v>
      </c>
    </row>
    <row r="22782" spans="32:37">
      <c r="AF22782" s="831" t="s">
        <v>11597</v>
      </c>
      <c r="AG22782" s="831" t="s">
        <v>2674</v>
      </c>
      <c r="AH22782" s="831" t="s">
        <v>3049</v>
      </c>
      <c r="AI22782" s="831">
        <v>0</v>
      </c>
      <c r="AJ22782" s="835">
        <v>41851</v>
      </c>
      <c r="AK22782" s="831">
        <v>778154132</v>
      </c>
    </row>
    <row r="22783" spans="32:37">
      <c r="AF22783" s="831" t="s">
        <v>11598</v>
      </c>
      <c r="AG22783" s="831" t="s">
        <v>2674</v>
      </c>
      <c r="AH22783" s="831" t="s">
        <v>103</v>
      </c>
      <c r="AI22783" s="831">
        <v>0</v>
      </c>
      <c r="AJ22783" s="835">
        <v>41851</v>
      </c>
      <c r="AK22783" s="831">
        <v>306066333</v>
      </c>
    </row>
    <row r="22784" spans="32:37">
      <c r="AF22784" s="831" t="s">
        <v>11599</v>
      </c>
      <c r="AG22784" s="831" t="s">
        <v>2674</v>
      </c>
      <c r="AH22784" s="831" t="s">
        <v>182</v>
      </c>
      <c r="AI22784" s="831">
        <v>0</v>
      </c>
      <c r="AJ22784" s="835">
        <v>41851</v>
      </c>
      <c r="AK22784" s="831">
        <v>72589813.714285716</v>
      </c>
    </row>
    <row r="22785" spans="32:37">
      <c r="AF22785" s="831" t="s">
        <v>11600</v>
      </c>
      <c r="AG22785" s="831" t="s">
        <v>2674</v>
      </c>
      <c r="AH22785" s="831" t="s">
        <v>6600</v>
      </c>
      <c r="AI22785" s="831">
        <v>0</v>
      </c>
      <c r="AJ22785" s="835">
        <v>41851</v>
      </c>
      <c r="AK22785" s="831">
        <v>33061468.956000008</v>
      </c>
    </row>
    <row r="22786" spans="32:37">
      <c r="AF22786" s="831" t="s">
        <v>11601</v>
      </c>
      <c r="AG22786" s="831" t="s">
        <v>2674</v>
      </c>
      <c r="AH22786" s="831" t="s">
        <v>6602</v>
      </c>
      <c r="AI22786" s="831">
        <v>0</v>
      </c>
      <c r="AJ22786" s="835">
        <v>41851</v>
      </c>
      <c r="AK22786" s="831">
        <v>22009267</v>
      </c>
    </row>
    <row r="22787" spans="32:37">
      <c r="AF22787" s="831" t="s">
        <v>11602</v>
      </c>
      <c r="AG22787" s="831" t="s">
        <v>2674</v>
      </c>
      <c r="AH22787" s="831" t="s">
        <v>650</v>
      </c>
      <c r="AI22787" s="831">
        <v>0</v>
      </c>
      <c r="AJ22787" s="835">
        <v>41851</v>
      </c>
      <c r="AK22787" s="831">
        <v>258051740.34761539</v>
      </c>
    </row>
    <row r="22788" spans="32:37">
      <c r="AF22788" s="831" t="s">
        <v>11603</v>
      </c>
      <c r="AG22788" s="831" t="s">
        <v>2674</v>
      </c>
      <c r="AH22788" s="831" t="s">
        <v>655</v>
      </c>
      <c r="AI22788" s="831">
        <v>0</v>
      </c>
      <c r="AJ22788" s="835">
        <v>41851</v>
      </c>
      <c r="AK22788" s="831">
        <v>953974.79</v>
      </c>
    </row>
    <row r="22789" spans="32:37">
      <c r="AF22789" s="831" t="s">
        <v>11604</v>
      </c>
      <c r="AG22789" s="831" t="s">
        <v>2674</v>
      </c>
      <c r="AH22789" s="831" t="s">
        <v>546</v>
      </c>
      <c r="AI22789" s="831">
        <v>0</v>
      </c>
      <c r="AJ22789" s="835">
        <v>41882</v>
      </c>
      <c r="AK22789" s="831">
        <v>752496052</v>
      </c>
    </row>
    <row r="22790" spans="32:37">
      <c r="AF22790" s="831" t="s">
        <v>11605</v>
      </c>
      <c r="AG22790" s="831" t="s">
        <v>2674</v>
      </c>
      <c r="AH22790" s="831" t="s">
        <v>370</v>
      </c>
      <c r="AI22790" s="831">
        <v>0</v>
      </c>
      <c r="AJ22790" s="835">
        <v>41882</v>
      </c>
      <c r="AK22790" s="831">
        <v>955327873</v>
      </c>
    </row>
    <row r="22791" spans="32:37">
      <c r="AF22791" s="831" t="s">
        <v>11606</v>
      </c>
      <c r="AG22791" s="831" t="s">
        <v>2674</v>
      </c>
      <c r="AH22791" s="831" t="s">
        <v>126</v>
      </c>
      <c r="AI22791" s="831">
        <v>0</v>
      </c>
      <c r="AJ22791" s="835">
        <v>41882</v>
      </c>
      <c r="AK22791" s="831">
        <v>141824046.03</v>
      </c>
    </row>
    <row r="22792" spans="32:37">
      <c r="AF22792" s="831" t="s">
        <v>11607</v>
      </c>
      <c r="AG22792" s="831" t="s">
        <v>2674</v>
      </c>
      <c r="AH22792" s="831" t="s">
        <v>268</v>
      </c>
      <c r="AI22792" s="831">
        <v>0</v>
      </c>
      <c r="AJ22792" s="835">
        <v>41882</v>
      </c>
      <c r="AK22792" s="831">
        <v>25500774.76800001</v>
      </c>
    </row>
    <row r="22793" spans="32:37">
      <c r="AF22793" s="831" t="s">
        <v>11608</v>
      </c>
      <c r="AG22793" s="831" t="s">
        <v>2674</v>
      </c>
      <c r="AH22793" s="831" t="s">
        <v>547</v>
      </c>
      <c r="AI22793" s="831">
        <v>0</v>
      </c>
      <c r="AJ22793" s="835">
        <v>41882</v>
      </c>
      <c r="AK22793" s="831">
        <v>777719977</v>
      </c>
    </row>
    <row r="22794" spans="32:37">
      <c r="AF22794" s="831" t="s">
        <v>11609</v>
      </c>
      <c r="AG22794" s="831" t="s">
        <v>2674</v>
      </c>
      <c r="AH22794" s="831" t="s">
        <v>548</v>
      </c>
      <c r="AI22794" s="831">
        <v>0</v>
      </c>
      <c r="AJ22794" s="835">
        <v>41882</v>
      </c>
      <c r="AK22794" s="831">
        <v>117105496</v>
      </c>
    </row>
    <row r="22795" spans="32:37">
      <c r="AF22795" s="831" t="s">
        <v>11610</v>
      </c>
      <c r="AG22795" s="831" t="s">
        <v>2674</v>
      </c>
      <c r="AH22795" s="831" t="s">
        <v>549</v>
      </c>
      <c r="AI22795" s="831">
        <v>0</v>
      </c>
      <c r="AJ22795" s="835">
        <v>41882</v>
      </c>
      <c r="AK22795" s="831">
        <v>548671343</v>
      </c>
    </row>
    <row r="22796" spans="32:37">
      <c r="AF22796" s="831" t="s">
        <v>11611</v>
      </c>
      <c r="AG22796" s="831" t="s">
        <v>2674</v>
      </c>
      <c r="AH22796" s="831" t="s">
        <v>192</v>
      </c>
      <c r="AI22796" s="831">
        <v>0</v>
      </c>
      <c r="AJ22796" s="835">
        <v>41882</v>
      </c>
      <c r="AK22796" s="831">
        <v>-11209860</v>
      </c>
    </row>
    <row r="22797" spans="32:37">
      <c r="AF22797" s="831" t="s">
        <v>11612</v>
      </c>
      <c r="AG22797" s="831" t="s">
        <v>2674</v>
      </c>
      <c r="AH22797" s="831" t="s">
        <v>558</v>
      </c>
      <c r="AI22797" s="831">
        <v>0</v>
      </c>
      <c r="AJ22797" s="835">
        <v>41882</v>
      </c>
      <c r="AK22797" s="831">
        <v>813503827.41700006</v>
      </c>
    </row>
    <row r="22798" spans="32:37">
      <c r="AF22798" s="831" t="s">
        <v>11613</v>
      </c>
      <c r="AG22798" s="831" t="s">
        <v>2674</v>
      </c>
      <c r="AH22798" s="831" t="s">
        <v>65</v>
      </c>
      <c r="AI22798" s="831">
        <v>0</v>
      </c>
      <c r="AJ22798" s="835">
        <v>41882</v>
      </c>
      <c r="AK22798" s="831">
        <v>110886310.662</v>
      </c>
    </row>
    <row r="22799" spans="32:37">
      <c r="AF22799" s="831" t="s">
        <v>11614</v>
      </c>
      <c r="AG22799" s="831" t="s">
        <v>2674</v>
      </c>
      <c r="AH22799" s="831" t="s">
        <v>89</v>
      </c>
      <c r="AI22799" s="831">
        <v>0</v>
      </c>
      <c r="AJ22799" s="835">
        <v>41882</v>
      </c>
      <c r="AK22799" s="831">
        <v>158540</v>
      </c>
    </row>
    <row r="22800" spans="32:37">
      <c r="AF22800" s="831" t="s">
        <v>11615</v>
      </c>
      <c r="AG22800" s="831" t="s">
        <v>2674</v>
      </c>
      <c r="AH22800" s="831" t="s">
        <v>557</v>
      </c>
      <c r="AI22800" s="831">
        <v>0</v>
      </c>
      <c r="AJ22800" s="835">
        <v>41882</v>
      </c>
      <c r="AK22800" s="831">
        <v>176987</v>
      </c>
    </row>
    <row r="22801" spans="32:37">
      <c r="AF22801" s="831" t="s">
        <v>11616</v>
      </c>
      <c r="AG22801" s="831" t="s">
        <v>2674</v>
      </c>
      <c r="AH22801" s="831" t="s">
        <v>29</v>
      </c>
      <c r="AI22801" s="831">
        <v>0</v>
      </c>
      <c r="AJ22801" s="835">
        <v>41882</v>
      </c>
      <c r="AK22801" s="831">
        <v>1746361.094</v>
      </c>
    </row>
    <row r="22802" spans="32:37">
      <c r="AF22802" s="831" t="s">
        <v>11617</v>
      </c>
      <c r="AG22802" s="831" t="s">
        <v>2674</v>
      </c>
      <c r="AH22802" s="831" t="s">
        <v>2688</v>
      </c>
      <c r="AI22802" s="831">
        <v>0</v>
      </c>
      <c r="AJ22802" s="835">
        <v>41882</v>
      </c>
      <c r="AK22802" s="831">
        <v>4781420.7300000004</v>
      </c>
    </row>
    <row r="22803" spans="32:37">
      <c r="AF22803" s="831" t="s">
        <v>11618</v>
      </c>
      <c r="AG22803" s="831" t="s">
        <v>2674</v>
      </c>
      <c r="AH22803" s="831" t="s">
        <v>556</v>
      </c>
      <c r="AI22803" s="831">
        <v>0</v>
      </c>
      <c r="AJ22803" s="835">
        <v>41882</v>
      </c>
      <c r="AK22803" s="831">
        <v>4890559</v>
      </c>
    </row>
    <row r="22804" spans="32:37">
      <c r="AF22804" s="831" t="s">
        <v>11619</v>
      </c>
      <c r="AG22804" s="831" t="s">
        <v>2674</v>
      </c>
      <c r="AH22804" s="831" t="s">
        <v>555</v>
      </c>
      <c r="AI22804" s="831">
        <v>0</v>
      </c>
      <c r="AJ22804" s="835">
        <v>41882</v>
      </c>
      <c r="AK22804" s="831">
        <v>533401131</v>
      </c>
    </row>
    <row r="22805" spans="32:37">
      <c r="AF22805" s="831" t="s">
        <v>11620</v>
      </c>
      <c r="AG22805" s="831" t="s">
        <v>2674</v>
      </c>
      <c r="AH22805" s="831" t="s">
        <v>554</v>
      </c>
      <c r="AI22805" s="831">
        <v>0</v>
      </c>
      <c r="AJ22805" s="835">
        <v>41882</v>
      </c>
      <c r="AK22805" s="831">
        <v>543423580</v>
      </c>
    </row>
    <row r="22806" spans="32:37">
      <c r="AF22806" s="831" t="s">
        <v>11621</v>
      </c>
      <c r="AG22806" s="831" t="s">
        <v>2674</v>
      </c>
      <c r="AH22806" s="831" t="s">
        <v>553</v>
      </c>
      <c r="AI22806" s="831">
        <v>0</v>
      </c>
      <c r="AJ22806" s="835">
        <v>41882</v>
      </c>
      <c r="AK22806" s="831">
        <v>0</v>
      </c>
    </row>
    <row r="22807" spans="32:37">
      <c r="AF22807" s="831" t="s">
        <v>11622</v>
      </c>
      <c r="AG22807" s="831" t="s">
        <v>2674</v>
      </c>
      <c r="AH22807" s="831" t="s">
        <v>552</v>
      </c>
      <c r="AI22807" s="831">
        <v>0</v>
      </c>
      <c r="AJ22807" s="835">
        <v>41882</v>
      </c>
      <c r="AK22807" s="831">
        <v>0</v>
      </c>
    </row>
    <row r="22808" spans="32:37">
      <c r="AF22808" s="831" t="s">
        <v>11623</v>
      </c>
      <c r="AG22808" s="831" t="s">
        <v>2674</v>
      </c>
      <c r="AH22808" s="831" t="s">
        <v>551</v>
      </c>
      <c r="AI22808" s="831">
        <v>0</v>
      </c>
      <c r="AJ22808" s="835">
        <v>41882</v>
      </c>
      <c r="AK22808" s="831">
        <v>1392541.4989999998</v>
      </c>
    </row>
    <row r="22809" spans="32:37">
      <c r="AF22809" s="831" t="s">
        <v>11624</v>
      </c>
      <c r="AG22809" s="831" t="s">
        <v>2674</v>
      </c>
      <c r="AH22809" s="831" t="s">
        <v>550</v>
      </c>
      <c r="AI22809" s="831">
        <v>0</v>
      </c>
      <c r="AJ22809" s="835">
        <v>41882</v>
      </c>
      <c r="AK22809" s="831">
        <v>138005087</v>
      </c>
    </row>
    <row r="22810" spans="32:37">
      <c r="AF22810" s="831" t="s">
        <v>11625</v>
      </c>
      <c r="AG22810" s="831" t="s">
        <v>2674</v>
      </c>
      <c r="AH22810" s="831" t="s">
        <v>562</v>
      </c>
      <c r="AI22810" s="831">
        <v>0</v>
      </c>
      <c r="AJ22810" s="835">
        <v>41882</v>
      </c>
      <c r="AK22810" s="831">
        <v>0.7833</v>
      </c>
    </row>
    <row r="22811" spans="32:37">
      <c r="AF22811" s="831" t="s">
        <v>11626</v>
      </c>
      <c r="AG22811" s="831" t="s">
        <v>2674</v>
      </c>
      <c r="AH22811" s="831" t="s">
        <v>2698</v>
      </c>
      <c r="AI22811" s="831">
        <v>0</v>
      </c>
      <c r="AJ22811" s="835">
        <v>41882</v>
      </c>
      <c r="AK22811" s="831">
        <v>0.78364999999999996</v>
      </c>
    </row>
    <row r="22812" spans="32:37">
      <c r="AF22812" s="831" t="s">
        <v>11627</v>
      </c>
      <c r="AG22812" s="831" t="s">
        <v>2674</v>
      </c>
      <c r="AH22812" s="831" t="s">
        <v>560</v>
      </c>
      <c r="AI22812" s="831">
        <v>0</v>
      </c>
      <c r="AJ22812" s="835">
        <v>41882</v>
      </c>
      <c r="AK22812" s="831">
        <v>0.78369374999999997</v>
      </c>
    </row>
    <row r="22813" spans="32:37">
      <c r="AF22813" s="831" t="s">
        <v>11628</v>
      </c>
      <c r="AG22813" s="831" t="s">
        <v>2674</v>
      </c>
      <c r="AH22813" s="831" t="s">
        <v>559</v>
      </c>
      <c r="AI22813" s="831">
        <v>0</v>
      </c>
      <c r="AJ22813" s="835">
        <v>41882</v>
      </c>
      <c r="AK22813" s="831">
        <v>0.78372083333333331</v>
      </c>
    </row>
    <row r="22814" spans="32:37">
      <c r="AF22814" s="831" t="s">
        <v>11629</v>
      </c>
      <c r="AG22814" s="831" t="s">
        <v>2674</v>
      </c>
      <c r="AH22814" s="831" t="s">
        <v>568</v>
      </c>
      <c r="AI22814" s="831">
        <v>0</v>
      </c>
      <c r="AJ22814" s="835">
        <v>41882</v>
      </c>
      <c r="AK22814" s="831">
        <v>654234997.14999998</v>
      </c>
    </row>
    <row r="22815" spans="32:37">
      <c r="AF22815" s="831" t="s">
        <v>11630</v>
      </c>
      <c r="AG22815" s="831" t="s">
        <v>2674</v>
      </c>
      <c r="AH22815" s="831" t="s">
        <v>569</v>
      </c>
      <c r="AI22815" s="831">
        <v>0</v>
      </c>
      <c r="AJ22815" s="835">
        <v>41882</v>
      </c>
      <c r="AK22815" s="831">
        <v>809130662.58869231</v>
      </c>
    </row>
    <row r="22816" spans="32:37">
      <c r="AF22816" s="831" t="s">
        <v>11631</v>
      </c>
      <c r="AG22816" s="831" t="s">
        <v>2674</v>
      </c>
      <c r="AH22816" s="831" t="s">
        <v>570</v>
      </c>
      <c r="AI22816" s="831">
        <v>0</v>
      </c>
      <c r="AJ22816" s="835">
        <v>41882</v>
      </c>
      <c r="AK22816" s="831">
        <v>124921808.98430769</v>
      </c>
    </row>
    <row r="22817" spans="32:37">
      <c r="AF22817" s="831" t="s">
        <v>11632</v>
      </c>
      <c r="AG22817" s="831" t="s">
        <v>2674</v>
      </c>
      <c r="AH22817" s="831" t="s">
        <v>571</v>
      </c>
      <c r="AI22817" s="831">
        <v>0</v>
      </c>
      <c r="AJ22817" s="835">
        <v>41882</v>
      </c>
      <c r="AK22817" s="831">
        <v>397063607.00692308</v>
      </c>
    </row>
    <row r="22818" spans="32:37">
      <c r="AF22818" s="831" t="s">
        <v>11633</v>
      </c>
      <c r="AG22818" s="831" t="s">
        <v>2674</v>
      </c>
      <c r="AH22818" s="831" t="s">
        <v>573</v>
      </c>
      <c r="AI22818" s="831">
        <v>0</v>
      </c>
      <c r="AJ22818" s="835">
        <v>41882</v>
      </c>
      <c r="AK22818" s="831">
        <v>855614502.84033334</v>
      </c>
    </row>
    <row r="22819" spans="32:37">
      <c r="AF22819" s="831" t="s">
        <v>11634</v>
      </c>
      <c r="AG22819" s="831" t="s">
        <v>2674</v>
      </c>
      <c r="AH22819" s="831" t="s">
        <v>574</v>
      </c>
      <c r="AI22819" s="831">
        <v>0</v>
      </c>
      <c r="AJ22819" s="835">
        <v>41882</v>
      </c>
      <c r="AK22819" s="831">
        <v>690452658.11111116</v>
      </c>
    </row>
    <row r="22820" spans="32:37">
      <c r="AF22820" s="831" t="s">
        <v>11635</v>
      </c>
      <c r="AG22820" s="831" t="s">
        <v>2674</v>
      </c>
      <c r="AH22820" s="831" t="s">
        <v>575</v>
      </c>
      <c r="AI22820" s="831">
        <v>0</v>
      </c>
      <c r="AJ22820" s="835">
        <v>41882</v>
      </c>
      <c r="AK22820" s="831">
        <v>127725459.21555556</v>
      </c>
    </row>
    <row r="22821" spans="32:37">
      <c r="AF22821" s="831" t="s">
        <v>11636</v>
      </c>
      <c r="AG22821" s="831" t="s">
        <v>2674</v>
      </c>
      <c r="AH22821" s="831" t="s">
        <v>576</v>
      </c>
      <c r="AI22821" s="831">
        <v>0</v>
      </c>
      <c r="AJ22821" s="835">
        <v>41882</v>
      </c>
      <c r="AK22821" s="831">
        <v>422408457.33644444</v>
      </c>
    </row>
    <row r="22822" spans="32:37">
      <c r="AF22822" s="831" t="s">
        <v>11637</v>
      </c>
      <c r="AG22822" s="831" t="s">
        <v>2674</v>
      </c>
      <c r="AH22822" s="831" t="s">
        <v>572</v>
      </c>
      <c r="AI22822" s="831">
        <v>0</v>
      </c>
      <c r="AJ22822" s="835">
        <v>41882</v>
      </c>
      <c r="AK22822" s="831">
        <v>33565597.724000007</v>
      </c>
    </row>
    <row r="22823" spans="32:37">
      <c r="AF22823" s="831" t="s">
        <v>11638</v>
      </c>
      <c r="AG22823" s="831" t="s">
        <v>2674</v>
      </c>
      <c r="AH22823" s="831" t="s">
        <v>577</v>
      </c>
      <c r="AI22823" s="831">
        <v>0</v>
      </c>
      <c r="AJ22823" s="835">
        <v>41882</v>
      </c>
      <c r="AK22823" s="831">
        <v>160354648.42500001</v>
      </c>
    </row>
    <row r="22824" spans="32:37">
      <c r="AF22824" s="831" t="s">
        <v>11639</v>
      </c>
      <c r="AG22824" s="831" t="s">
        <v>2674</v>
      </c>
      <c r="AH22824" s="831" t="s">
        <v>3042</v>
      </c>
      <c r="AI22824" s="831">
        <v>0</v>
      </c>
      <c r="AJ22824" s="835">
        <v>41882</v>
      </c>
      <c r="AK22824" s="831">
        <v>-46384889.891000003</v>
      </c>
    </row>
    <row r="22825" spans="32:37">
      <c r="AF22825" s="831" t="s">
        <v>11640</v>
      </c>
      <c r="AG22825" s="831" t="s">
        <v>2674</v>
      </c>
      <c r="AH22825" s="831" t="s">
        <v>3044</v>
      </c>
      <c r="AI22825" s="831">
        <v>0</v>
      </c>
      <c r="AJ22825" s="835">
        <v>41882</v>
      </c>
      <c r="AK22825" s="831">
        <v>-2154547.3159999996</v>
      </c>
    </row>
    <row r="22826" spans="32:37">
      <c r="AF22826" s="831" t="s">
        <v>11641</v>
      </c>
      <c r="AG22826" s="831" t="s">
        <v>2674</v>
      </c>
      <c r="AH22826" s="831" t="s">
        <v>580</v>
      </c>
      <c r="AI22826" s="831">
        <v>0</v>
      </c>
      <c r="AJ22826" s="835">
        <v>41882</v>
      </c>
      <c r="AK22826" s="831">
        <v>-74112712.891000003</v>
      </c>
    </row>
    <row r="22827" spans="32:37">
      <c r="AF22827" s="831" t="s">
        <v>11642</v>
      </c>
      <c r="AG22827" s="831" t="s">
        <v>2674</v>
      </c>
      <c r="AH22827" s="831" t="s">
        <v>581</v>
      </c>
      <c r="AI22827" s="831">
        <v>0</v>
      </c>
      <c r="AJ22827" s="835">
        <v>41882</v>
      </c>
      <c r="AK22827" s="831">
        <v>6514589.0720000006</v>
      </c>
    </row>
    <row r="22828" spans="32:37">
      <c r="AF22828" s="831" t="s">
        <v>11643</v>
      </c>
      <c r="AG22828" s="831" t="s">
        <v>2674</v>
      </c>
      <c r="AH22828" s="831" t="s">
        <v>105</v>
      </c>
      <c r="AI22828" s="831">
        <v>0</v>
      </c>
      <c r="AJ22828" s="835">
        <v>41882</v>
      </c>
      <c r="AK22828" s="831">
        <v>478699463.41700006</v>
      </c>
    </row>
    <row r="22829" spans="32:37">
      <c r="AF22829" s="831" t="s">
        <v>11644</v>
      </c>
      <c r="AG22829" s="831" t="s">
        <v>2674</v>
      </c>
      <c r="AH22829" s="831" t="s">
        <v>3049</v>
      </c>
      <c r="AI22829" s="831">
        <v>0</v>
      </c>
      <c r="AJ22829" s="835">
        <v>41882</v>
      </c>
      <c r="AK22829" s="831">
        <v>787453668.41700006</v>
      </c>
    </row>
    <row r="22830" spans="32:37">
      <c r="AF22830" s="831" t="s">
        <v>11645</v>
      </c>
      <c r="AG22830" s="831" t="s">
        <v>2674</v>
      </c>
      <c r="AH22830" s="831" t="s">
        <v>103</v>
      </c>
      <c r="AI22830" s="831">
        <v>0</v>
      </c>
      <c r="AJ22830" s="835">
        <v>41882</v>
      </c>
      <c r="AK22830" s="831">
        <v>308754205</v>
      </c>
    </row>
    <row r="22831" spans="32:37">
      <c r="AF22831" s="831" t="s">
        <v>11646</v>
      </c>
      <c r="AG22831" s="831" t="s">
        <v>2674</v>
      </c>
      <c r="AH22831" s="831" t="s">
        <v>182</v>
      </c>
      <c r="AI22831" s="831">
        <v>0</v>
      </c>
      <c r="AJ22831" s="835">
        <v>41882</v>
      </c>
      <c r="AK22831" s="831">
        <v>72923285.376000002</v>
      </c>
    </row>
    <row r="22832" spans="32:37">
      <c r="AF22832" s="831" t="s">
        <v>11647</v>
      </c>
      <c r="AG22832" s="831" t="s">
        <v>2674</v>
      </c>
      <c r="AH22832" s="831" t="s">
        <v>6600</v>
      </c>
      <c r="AI22832" s="831">
        <v>0</v>
      </c>
      <c r="AJ22832" s="835">
        <v>41882</v>
      </c>
      <c r="AK22832" s="831">
        <v>33565597.724000007</v>
      </c>
    </row>
    <row r="22833" spans="32:37">
      <c r="AF22833" s="831" t="s">
        <v>11648</v>
      </c>
      <c r="AG22833" s="831" t="s">
        <v>2674</v>
      </c>
      <c r="AH22833" s="831" t="s">
        <v>6602</v>
      </c>
      <c r="AI22833" s="831">
        <v>0</v>
      </c>
      <c r="AJ22833" s="835">
        <v>41882</v>
      </c>
      <c r="AK22833" s="831">
        <v>25500774.76800001</v>
      </c>
    </row>
    <row r="22834" spans="32:37">
      <c r="AF22834" s="831" t="s">
        <v>11649</v>
      </c>
      <c r="AG22834" s="831" t="s">
        <v>2674</v>
      </c>
      <c r="AH22834" s="831" t="s">
        <v>650</v>
      </c>
      <c r="AI22834" s="831">
        <v>0</v>
      </c>
      <c r="AJ22834" s="835">
        <v>41882</v>
      </c>
      <c r="AK22834" s="831">
        <v>265538072.42453846</v>
      </c>
    </row>
    <row r="22835" spans="32:37">
      <c r="AF22835" s="831" t="s">
        <v>11650</v>
      </c>
      <c r="AG22835" s="831" t="s">
        <v>2674</v>
      </c>
      <c r="AH22835" s="831" t="s">
        <v>655</v>
      </c>
      <c r="AI22835" s="831">
        <v>0</v>
      </c>
      <c r="AJ22835" s="835">
        <v>41882</v>
      </c>
      <c r="AK22835" s="831">
        <v>1018935.1089999999</v>
      </c>
    </row>
    <row r="22836" spans="32:37">
      <c r="AF22836" s="831" t="s">
        <v>11651</v>
      </c>
      <c r="AG22836" s="831" t="s">
        <v>2674</v>
      </c>
      <c r="AH22836" s="831" t="s">
        <v>546</v>
      </c>
      <c r="AI22836" s="831">
        <v>0</v>
      </c>
      <c r="AJ22836" s="835">
        <v>41912</v>
      </c>
      <c r="AK22836" s="831">
        <v>775508043</v>
      </c>
    </row>
    <row r="22837" spans="32:37">
      <c r="AF22837" s="831" t="s">
        <v>11652</v>
      </c>
      <c r="AG22837" s="831" t="s">
        <v>2674</v>
      </c>
      <c r="AH22837" s="831" t="s">
        <v>370</v>
      </c>
      <c r="AI22837" s="831">
        <v>0</v>
      </c>
      <c r="AJ22837" s="835">
        <v>41912</v>
      </c>
      <c r="AK22837" s="831">
        <v>955738548</v>
      </c>
    </row>
    <row r="22838" spans="32:37">
      <c r="AF22838" s="831" t="s">
        <v>11653</v>
      </c>
      <c r="AG22838" s="831" t="s">
        <v>2674</v>
      </c>
      <c r="AH22838" s="831" t="s">
        <v>126</v>
      </c>
      <c r="AI22838" s="831">
        <v>0</v>
      </c>
      <c r="AJ22838" s="835">
        <v>41912</v>
      </c>
      <c r="AK22838" s="831">
        <v>145830225</v>
      </c>
    </row>
    <row r="22839" spans="32:37">
      <c r="AF22839" s="831" t="s">
        <v>11654</v>
      </c>
      <c r="AG22839" s="831" t="s">
        <v>2674</v>
      </c>
      <c r="AH22839" s="831" t="s">
        <v>268</v>
      </c>
      <c r="AI22839" s="831">
        <v>0</v>
      </c>
      <c r="AJ22839" s="835">
        <v>41912</v>
      </c>
      <c r="AK22839" s="831">
        <v>29012035</v>
      </c>
    </row>
    <row r="22840" spans="32:37">
      <c r="AF22840" s="831" t="s">
        <v>11655</v>
      </c>
      <c r="AG22840" s="831" t="s">
        <v>2674</v>
      </c>
      <c r="AH22840" s="831" t="s">
        <v>547</v>
      </c>
      <c r="AI22840" s="831">
        <v>0</v>
      </c>
      <c r="AJ22840" s="835">
        <v>41912</v>
      </c>
      <c r="AK22840" s="831">
        <v>777719977</v>
      </c>
    </row>
    <row r="22841" spans="32:37">
      <c r="AF22841" s="831" t="s">
        <v>11656</v>
      </c>
      <c r="AG22841" s="831" t="s">
        <v>2674</v>
      </c>
      <c r="AH22841" s="831" t="s">
        <v>548</v>
      </c>
      <c r="AI22841" s="831">
        <v>0</v>
      </c>
      <c r="AJ22841" s="835">
        <v>41912</v>
      </c>
      <c r="AK22841" s="831">
        <v>117105496</v>
      </c>
    </row>
    <row r="22842" spans="32:37">
      <c r="AF22842" s="831" t="s">
        <v>11657</v>
      </c>
      <c r="AG22842" s="831" t="s">
        <v>2674</v>
      </c>
      <c r="AH22842" s="831" t="s">
        <v>549</v>
      </c>
      <c r="AI22842" s="831">
        <v>0</v>
      </c>
      <c r="AJ22842" s="835">
        <v>41912</v>
      </c>
      <c r="AK22842" s="831">
        <v>563989028</v>
      </c>
    </row>
    <row r="22843" spans="32:37">
      <c r="AF22843" s="831" t="s">
        <v>11658</v>
      </c>
      <c r="AG22843" s="831" t="s">
        <v>2674</v>
      </c>
      <c r="AH22843" s="831" t="s">
        <v>192</v>
      </c>
      <c r="AI22843" s="831">
        <v>0</v>
      </c>
      <c r="AJ22843" s="835">
        <v>41912</v>
      </c>
      <c r="AK22843" s="831">
        <v>-11006364</v>
      </c>
    </row>
    <row r="22844" spans="32:37">
      <c r="AF22844" s="831" t="s">
        <v>11659</v>
      </c>
      <c r="AG22844" s="831" t="s">
        <v>2674</v>
      </c>
      <c r="AH22844" s="831" t="s">
        <v>558</v>
      </c>
      <c r="AI22844" s="831">
        <v>0</v>
      </c>
      <c r="AJ22844" s="835">
        <v>41912</v>
      </c>
      <c r="AK22844" s="831">
        <v>809908323</v>
      </c>
    </row>
    <row r="22845" spans="32:37">
      <c r="AF22845" s="831" t="s">
        <v>11660</v>
      </c>
      <c r="AG22845" s="831" t="s">
        <v>2674</v>
      </c>
      <c r="AH22845" s="831" t="s">
        <v>65</v>
      </c>
      <c r="AI22845" s="831">
        <v>0</v>
      </c>
      <c r="AJ22845" s="835">
        <v>41912</v>
      </c>
      <c r="AK22845" s="831">
        <v>126643298</v>
      </c>
    </row>
    <row r="22846" spans="32:37">
      <c r="AF22846" s="831" t="s">
        <v>11661</v>
      </c>
      <c r="AG22846" s="831" t="s">
        <v>2674</v>
      </c>
      <c r="AH22846" s="831" t="s">
        <v>89</v>
      </c>
      <c r="AI22846" s="831">
        <v>0</v>
      </c>
      <c r="AJ22846" s="835">
        <v>41912</v>
      </c>
      <c r="AK22846" s="831">
        <v>159987</v>
      </c>
    </row>
    <row r="22847" spans="32:37">
      <c r="AF22847" s="831" t="s">
        <v>11662</v>
      </c>
      <c r="AG22847" s="831" t="s">
        <v>2674</v>
      </c>
      <c r="AH22847" s="831" t="s">
        <v>557</v>
      </c>
      <c r="AI22847" s="831">
        <v>0</v>
      </c>
      <c r="AJ22847" s="835">
        <v>41912</v>
      </c>
      <c r="AK22847" s="831">
        <v>180249</v>
      </c>
    </row>
    <row r="22848" spans="32:37">
      <c r="AF22848" s="831" t="s">
        <v>11663</v>
      </c>
      <c r="AG22848" s="831" t="s">
        <v>2674</v>
      </c>
      <c r="AH22848" s="831" t="s">
        <v>29</v>
      </c>
      <c r="AI22848" s="831">
        <v>0</v>
      </c>
      <c r="AJ22848" s="835">
        <v>41912</v>
      </c>
      <c r="AK22848" s="831">
        <v>2332375</v>
      </c>
    </row>
    <row r="22849" spans="32:37">
      <c r="AF22849" s="831" t="s">
        <v>11664</v>
      </c>
      <c r="AG22849" s="831" t="s">
        <v>2674</v>
      </c>
      <c r="AH22849" s="831" t="s">
        <v>2688</v>
      </c>
      <c r="AI22849" s="831">
        <v>0</v>
      </c>
      <c r="AJ22849" s="835">
        <v>41912</v>
      </c>
      <c r="AK22849" s="831">
        <v>4758526.78</v>
      </c>
    </row>
    <row r="22850" spans="32:37">
      <c r="AF22850" s="831" t="s">
        <v>11665</v>
      </c>
      <c r="AG22850" s="831" t="s">
        <v>2674</v>
      </c>
      <c r="AH22850" s="831" t="s">
        <v>556</v>
      </c>
      <c r="AI22850" s="831">
        <v>0</v>
      </c>
      <c r="AJ22850" s="835">
        <v>41912</v>
      </c>
      <c r="AK22850" s="831">
        <v>6520953</v>
      </c>
    </row>
    <row r="22851" spans="32:37">
      <c r="AF22851" s="831" t="s">
        <v>11666</v>
      </c>
      <c r="AG22851" s="831" t="s">
        <v>2674</v>
      </c>
      <c r="AH22851" s="831" t="s">
        <v>555</v>
      </c>
      <c r="AI22851" s="831">
        <v>0</v>
      </c>
      <c r="AJ22851" s="835">
        <v>41912</v>
      </c>
      <c r="AK22851" s="831">
        <v>528140339</v>
      </c>
    </row>
    <row r="22852" spans="32:37">
      <c r="AF22852" s="831" t="s">
        <v>11667</v>
      </c>
      <c r="AG22852" s="831" t="s">
        <v>2674</v>
      </c>
      <c r="AH22852" s="831" t="s">
        <v>554</v>
      </c>
      <c r="AI22852" s="831">
        <v>0</v>
      </c>
      <c r="AJ22852" s="835">
        <v>41912</v>
      </c>
      <c r="AK22852" s="831">
        <v>536741460</v>
      </c>
    </row>
    <row r="22853" spans="32:37">
      <c r="AF22853" s="831" t="s">
        <v>11668</v>
      </c>
      <c r="AG22853" s="831" t="s">
        <v>2674</v>
      </c>
      <c r="AH22853" s="831" t="s">
        <v>553</v>
      </c>
      <c r="AI22853" s="831">
        <v>0</v>
      </c>
      <c r="AJ22853" s="835">
        <v>41912</v>
      </c>
      <c r="AK22853" s="831">
        <v>0</v>
      </c>
    </row>
    <row r="22854" spans="32:37">
      <c r="AF22854" s="831" t="s">
        <v>11669</v>
      </c>
      <c r="AG22854" s="831" t="s">
        <v>2674</v>
      </c>
      <c r="AH22854" s="831" t="s">
        <v>552</v>
      </c>
      <c r="AI22854" s="831">
        <v>0</v>
      </c>
      <c r="AJ22854" s="835">
        <v>41912</v>
      </c>
      <c r="AK22854" s="831">
        <v>0</v>
      </c>
    </row>
    <row r="22855" spans="32:37">
      <c r="AF22855" s="831" t="s">
        <v>11670</v>
      </c>
      <c r="AG22855" s="831" t="s">
        <v>2674</v>
      </c>
      <c r="AH22855" s="831" t="s">
        <v>551</v>
      </c>
      <c r="AI22855" s="831">
        <v>0</v>
      </c>
      <c r="AJ22855" s="835">
        <v>41912</v>
      </c>
      <c r="AK22855" s="831">
        <v>1612094</v>
      </c>
    </row>
    <row r="22856" spans="32:37">
      <c r="AF22856" s="831" t="s">
        <v>11671</v>
      </c>
      <c r="AG22856" s="831" t="s">
        <v>2674</v>
      </c>
      <c r="AH22856" s="831" t="s">
        <v>550</v>
      </c>
      <c r="AI22856" s="831">
        <v>0</v>
      </c>
      <c r="AJ22856" s="835">
        <v>41912</v>
      </c>
      <c r="AK22856" s="831">
        <v>141824046.03</v>
      </c>
    </row>
    <row r="22857" spans="32:37">
      <c r="AF22857" s="831" t="s">
        <v>11672</v>
      </c>
      <c r="AG22857" s="831" t="s">
        <v>2674</v>
      </c>
      <c r="AH22857" s="831" t="s">
        <v>562</v>
      </c>
      <c r="AI22857" s="831">
        <v>0</v>
      </c>
      <c r="AJ22857" s="835">
        <v>41912</v>
      </c>
      <c r="AK22857" s="831">
        <v>0.78325</v>
      </c>
    </row>
    <row r="22858" spans="32:37">
      <c r="AF22858" s="831" t="s">
        <v>11673</v>
      </c>
      <c r="AG22858" s="831" t="s">
        <v>2674</v>
      </c>
      <c r="AH22858" s="831" t="s">
        <v>2698</v>
      </c>
      <c r="AI22858" s="831">
        <v>0</v>
      </c>
      <c r="AJ22858" s="835">
        <v>41912</v>
      </c>
      <c r="AK22858" s="831">
        <v>0.7833</v>
      </c>
    </row>
    <row r="22859" spans="32:37">
      <c r="AF22859" s="831" t="s">
        <v>11674</v>
      </c>
      <c r="AG22859" s="831" t="s">
        <v>2674</v>
      </c>
      <c r="AH22859" s="831" t="s">
        <v>560</v>
      </c>
      <c r="AI22859" s="831">
        <v>0</v>
      </c>
      <c r="AJ22859" s="835">
        <v>41912</v>
      </c>
      <c r="AK22859" s="831">
        <v>0.78364444444444448</v>
      </c>
    </row>
    <row r="22860" spans="32:37">
      <c r="AF22860" s="831" t="s">
        <v>11675</v>
      </c>
      <c r="AG22860" s="831" t="s">
        <v>2674</v>
      </c>
      <c r="AH22860" s="831" t="s">
        <v>559</v>
      </c>
      <c r="AI22860" s="831">
        <v>0</v>
      </c>
      <c r="AJ22860" s="835">
        <v>41912</v>
      </c>
      <c r="AK22860" s="831">
        <v>0.78366250000000004</v>
      </c>
    </row>
    <row r="22861" spans="32:37">
      <c r="AF22861" s="831" t="s">
        <v>11676</v>
      </c>
      <c r="AG22861" s="831" t="s">
        <v>2674</v>
      </c>
      <c r="AH22861" s="831" t="s">
        <v>568</v>
      </c>
      <c r="AI22861" s="831">
        <v>0</v>
      </c>
      <c r="AJ22861" s="835">
        <v>41912</v>
      </c>
      <c r="AK22861" s="831">
        <v>671683974.07307696</v>
      </c>
    </row>
    <row r="22862" spans="32:37">
      <c r="AF22862" s="831" t="s">
        <v>11677</v>
      </c>
      <c r="AG22862" s="831" t="s">
        <v>2674</v>
      </c>
      <c r="AH22862" s="831" t="s">
        <v>569</v>
      </c>
      <c r="AI22862" s="831">
        <v>0</v>
      </c>
      <c r="AJ22862" s="835">
        <v>41912</v>
      </c>
      <c r="AK22862" s="831">
        <v>832078660.51176918</v>
      </c>
    </row>
    <row r="22863" spans="32:37">
      <c r="AF22863" s="831" t="s">
        <v>11678</v>
      </c>
      <c r="AG22863" s="831" t="s">
        <v>2674</v>
      </c>
      <c r="AH22863" s="831" t="s">
        <v>570</v>
      </c>
      <c r="AI22863" s="831">
        <v>0</v>
      </c>
      <c r="AJ22863" s="835">
        <v>41912</v>
      </c>
      <c r="AK22863" s="831">
        <v>127379907.52276923</v>
      </c>
    </row>
    <row r="22864" spans="32:37">
      <c r="AF22864" s="831" t="s">
        <v>11679</v>
      </c>
      <c r="AG22864" s="831" t="s">
        <v>2674</v>
      </c>
      <c r="AH22864" s="831" t="s">
        <v>571</v>
      </c>
      <c r="AI22864" s="831">
        <v>0</v>
      </c>
      <c r="AJ22864" s="835">
        <v>41912</v>
      </c>
      <c r="AK22864" s="831">
        <v>409242621.46846157</v>
      </c>
    </row>
    <row r="22865" spans="32:37">
      <c r="AF22865" s="831" t="s">
        <v>11680</v>
      </c>
      <c r="AG22865" s="831" t="s">
        <v>2674</v>
      </c>
      <c r="AH22865" s="831" t="s">
        <v>573</v>
      </c>
      <c r="AI22865" s="831">
        <v>0</v>
      </c>
      <c r="AJ22865" s="835">
        <v>41912</v>
      </c>
      <c r="AK22865" s="831">
        <v>865626907.3563</v>
      </c>
    </row>
    <row r="22866" spans="32:37">
      <c r="AF22866" s="831" t="s">
        <v>11681</v>
      </c>
      <c r="AG22866" s="831" t="s">
        <v>2674</v>
      </c>
      <c r="AH22866" s="831" t="s">
        <v>574</v>
      </c>
      <c r="AI22866" s="831">
        <v>0</v>
      </c>
      <c r="AJ22866" s="835">
        <v>41912</v>
      </c>
      <c r="AK22866" s="831">
        <v>698958196.60000002</v>
      </c>
    </row>
    <row r="22867" spans="32:37">
      <c r="AF22867" s="831" t="s">
        <v>11682</v>
      </c>
      <c r="AG22867" s="831" t="s">
        <v>2674</v>
      </c>
      <c r="AH22867" s="831" t="s">
        <v>575</v>
      </c>
      <c r="AI22867" s="831">
        <v>0</v>
      </c>
      <c r="AJ22867" s="835">
        <v>41912</v>
      </c>
      <c r="AK22867" s="831">
        <v>129535935.794</v>
      </c>
    </row>
    <row r="22868" spans="32:37">
      <c r="AF22868" s="831" t="s">
        <v>11683</v>
      </c>
      <c r="AG22868" s="831" t="s">
        <v>2674</v>
      </c>
      <c r="AH22868" s="831" t="s">
        <v>576</v>
      </c>
      <c r="AI22868" s="831">
        <v>0</v>
      </c>
      <c r="AJ22868" s="835">
        <v>41912</v>
      </c>
      <c r="AK22868" s="831">
        <v>427412859.60280001</v>
      </c>
    </row>
    <row r="22869" spans="32:37">
      <c r="AF22869" s="831" t="s">
        <v>11684</v>
      </c>
      <c r="AG22869" s="831" t="s">
        <v>2674</v>
      </c>
      <c r="AH22869" s="831" t="s">
        <v>572</v>
      </c>
      <c r="AI22869" s="831">
        <v>0</v>
      </c>
      <c r="AJ22869" s="835">
        <v>41912</v>
      </c>
      <c r="AK22869" s="831">
        <v>33781162.955999985</v>
      </c>
    </row>
    <row r="22870" spans="32:37">
      <c r="AF22870" s="831" t="s">
        <v>11685</v>
      </c>
      <c r="AG22870" s="831" t="s">
        <v>2674</v>
      </c>
      <c r="AH22870" s="831" t="s">
        <v>577</v>
      </c>
      <c r="AI22870" s="831">
        <v>0</v>
      </c>
      <c r="AJ22870" s="835">
        <v>41912</v>
      </c>
      <c r="AK22870" s="831">
        <v>164186629.76300001</v>
      </c>
    </row>
    <row r="22871" spans="32:37">
      <c r="AF22871" s="831" t="s">
        <v>11686</v>
      </c>
      <c r="AG22871" s="831" t="s">
        <v>2674</v>
      </c>
      <c r="AH22871" s="831" t="s">
        <v>3042</v>
      </c>
      <c r="AI22871" s="831">
        <v>0</v>
      </c>
      <c r="AJ22871" s="835">
        <v>41912</v>
      </c>
      <c r="AK22871" s="831">
        <v>-47764358.527000003</v>
      </c>
    </row>
    <row r="22872" spans="32:37">
      <c r="AF22872" s="831" t="s">
        <v>11687</v>
      </c>
      <c r="AG22872" s="831" t="s">
        <v>2674</v>
      </c>
      <c r="AH22872" s="831" t="s">
        <v>3044</v>
      </c>
      <c r="AI22872" s="831">
        <v>0</v>
      </c>
      <c r="AJ22872" s="835">
        <v>41912</v>
      </c>
      <c r="AK22872" s="831">
        <v>-2027515.8899999997</v>
      </c>
    </row>
    <row r="22873" spans="32:37">
      <c r="AF22873" s="831" t="s">
        <v>11688</v>
      </c>
      <c r="AG22873" s="831" t="s">
        <v>2674</v>
      </c>
      <c r="AH22873" s="831" t="s">
        <v>580</v>
      </c>
      <c r="AI22873" s="831">
        <v>0</v>
      </c>
      <c r="AJ22873" s="835">
        <v>41912</v>
      </c>
      <c r="AK22873" s="831">
        <v>-75872333.307000011</v>
      </c>
    </row>
    <row r="22874" spans="32:37">
      <c r="AF22874" s="831" t="s">
        <v>11689</v>
      </c>
      <c r="AG22874" s="831" t="s">
        <v>2674</v>
      </c>
      <c r="AH22874" s="831" t="s">
        <v>581</v>
      </c>
      <c r="AI22874" s="831">
        <v>0</v>
      </c>
      <c r="AJ22874" s="835">
        <v>41912</v>
      </c>
      <c r="AK22874" s="831">
        <v>6304407.8940000003</v>
      </c>
    </row>
    <row r="22875" spans="32:37">
      <c r="AF22875" s="831" t="s">
        <v>11690</v>
      </c>
      <c r="AG22875" s="831" t="s">
        <v>2674</v>
      </c>
      <c r="AH22875" s="831" t="s">
        <v>105</v>
      </c>
      <c r="AI22875" s="831">
        <v>0</v>
      </c>
      <c r="AJ22875" s="835">
        <v>41912</v>
      </c>
      <c r="AK22875" s="831">
        <v>472452480</v>
      </c>
    </row>
    <row r="22876" spans="32:37">
      <c r="AF22876" s="831" t="s">
        <v>11691</v>
      </c>
      <c r="AG22876" s="831" t="s">
        <v>2674</v>
      </c>
      <c r="AH22876" s="831" t="s">
        <v>3049</v>
      </c>
      <c r="AI22876" s="831">
        <v>0</v>
      </c>
      <c r="AJ22876" s="835">
        <v>41912</v>
      </c>
      <c r="AK22876" s="831">
        <v>783051294</v>
      </c>
    </row>
    <row r="22877" spans="32:37">
      <c r="AF22877" s="831" t="s">
        <v>11692</v>
      </c>
      <c r="AG22877" s="831" t="s">
        <v>2674</v>
      </c>
      <c r="AH22877" s="831" t="s">
        <v>103</v>
      </c>
      <c r="AI22877" s="831">
        <v>0</v>
      </c>
      <c r="AJ22877" s="835">
        <v>41912</v>
      </c>
      <c r="AK22877" s="831">
        <v>310598814</v>
      </c>
    </row>
    <row r="22878" spans="32:37">
      <c r="AF22878" s="831" t="s">
        <v>11693</v>
      </c>
      <c r="AG22878" s="831" t="s">
        <v>2674</v>
      </c>
      <c r="AH22878" s="831" t="s">
        <v>182</v>
      </c>
      <c r="AI22878" s="831">
        <v>0</v>
      </c>
      <c r="AJ22878" s="835">
        <v>41912</v>
      </c>
      <c r="AK22878" s="831">
        <v>73471997.333333328</v>
      </c>
    </row>
    <row r="22879" spans="32:37">
      <c r="AF22879" s="831" t="s">
        <v>11694</v>
      </c>
      <c r="AG22879" s="831" t="s">
        <v>2674</v>
      </c>
      <c r="AH22879" s="831" t="s">
        <v>6600</v>
      </c>
      <c r="AI22879" s="831">
        <v>0</v>
      </c>
      <c r="AJ22879" s="835">
        <v>41912</v>
      </c>
      <c r="AK22879" s="831">
        <v>33781162.955999985</v>
      </c>
    </row>
    <row r="22880" spans="32:37">
      <c r="AF22880" s="831" t="s">
        <v>11695</v>
      </c>
      <c r="AG22880" s="831" t="s">
        <v>2674</v>
      </c>
      <c r="AH22880" s="831" t="s">
        <v>6602</v>
      </c>
      <c r="AI22880" s="831">
        <v>0</v>
      </c>
      <c r="AJ22880" s="835">
        <v>41912</v>
      </c>
      <c r="AK22880" s="831">
        <v>29012035</v>
      </c>
    </row>
    <row r="22881" spans="32:37">
      <c r="AF22881" s="831" t="s">
        <v>11696</v>
      </c>
      <c r="AG22881" s="831" t="s">
        <v>2674</v>
      </c>
      <c r="AH22881" s="831" t="s">
        <v>650</v>
      </c>
      <c r="AI22881" s="831">
        <v>0</v>
      </c>
      <c r="AJ22881" s="835">
        <v>41912</v>
      </c>
      <c r="AK22881" s="831">
        <v>273036122.95146155</v>
      </c>
    </row>
    <row r="22882" spans="32:37">
      <c r="AF22882" s="831" t="s">
        <v>11697</v>
      </c>
      <c r="AG22882" s="831" t="s">
        <v>2674</v>
      </c>
      <c r="AH22882" s="831" t="s">
        <v>655</v>
      </c>
      <c r="AI22882" s="831">
        <v>0</v>
      </c>
      <c r="AJ22882" s="835">
        <v>41912</v>
      </c>
      <c r="AK22882" s="831">
        <v>1341189</v>
      </c>
    </row>
    <row r="22883" spans="32:37">
      <c r="AF22883" s="831" t="s">
        <v>11698</v>
      </c>
      <c r="AG22883" s="831" t="s">
        <v>2674</v>
      </c>
      <c r="AH22883" s="831" t="s">
        <v>546</v>
      </c>
      <c r="AI22883" s="831">
        <v>0</v>
      </c>
      <c r="AJ22883" s="835">
        <v>41943</v>
      </c>
      <c r="AK22883" s="831">
        <v>788185615</v>
      </c>
    </row>
    <row r="22884" spans="32:37">
      <c r="AF22884" s="831" t="s">
        <v>11699</v>
      </c>
      <c r="AG22884" s="831" t="s">
        <v>2674</v>
      </c>
      <c r="AH22884" s="831" t="s">
        <v>370</v>
      </c>
      <c r="AI22884" s="831">
        <v>0</v>
      </c>
      <c r="AJ22884" s="835">
        <v>41943</v>
      </c>
      <c r="AK22884" s="831">
        <v>999911217</v>
      </c>
    </row>
    <row r="22885" spans="32:37">
      <c r="AF22885" s="831" t="s">
        <v>11700</v>
      </c>
      <c r="AG22885" s="831" t="s">
        <v>2674</v>
      </c>
      <c r="AH22885" s="831" t="s">
        <v>126</v>
      </c>
      <c r="AI22885" s="831">
        <v>0</v>
      </c>
      <c r="AJ22885" s="835">
        <v>41943</v>
      </c>
      <c r="AK22885" s="831">
        <v>149380039</v>
      </c>
    </row>
    <row r="22886" spans="32:37">
      <c r="AF22886" s="831" t="s">
        <v>11701</v>
      </c>
      <c r="AG22886" s="831" t="s">
        <v>2674</v>
      </c>
      <c r="AH22886" s="831" t="s">
        <v>268</v>
      </c>
      <c r="AI22886" s="831">
        <v>0</v>
      </c>
      <c r="AJ22886" s="835">
        <v>41943</v>
      </c>
      <c r="AK22886" s="831">
        <v>32657533</v>
      </c>
    </row>
    <row r="22887" spans="32:37">
      <c r="AF22887" s="831" t="s">
        <v>11702</v>
      </c>
      <c r="AG22887" s="831" t="s">
        <v>2674</v>
      </c>
      <c r="AH22887" s="831" t="s">
        <v>547</v>
      </c>
      <c r="AI22887" s="831">
        <v>0</v>
      </c>
      <c r="AJ22887" s="835">
        <v>41943</v>
      </c>
      <c r="AK22887" s="831">
        <v>777719977</v>
      </c>
    </row>
    <row r="22888" spans="32:37">
      <c r="AF22888" s="831" t="s">
        <v>11703</v>
      </c>
      <c r="AG22888" s="831" t="s">
        <v>2674</v>
      </c>
      <c r="AH22888" s="831" t="s">
        <v>548</v>
      </c>
      <c r="AI22888" s="831">
        <v>0</v>
      </c>
      <c r="AJ22888" s="835">
        <v>41943</v>
      </c>
      <c r="AK22888" s="831">
        <v>117105496</v>
      </c>
    </row>
    <row r="22889" spans="32:37">
      <c r="AF22889" s="831" t="s">
        <v>11704</v>
      </c>
      <c r="AG22889" s="831" t="s">
        <v>2674</v>
      </c>
      <c r="AH22889" s="831" t="s">
        <v>549</v>
      </c>
      <c r="AI22889" s="831">
        <v>0</v>
      </c>
      <c r="AJ22889" s="835">
        <v>41943</v>
      </c>
      <c r="AK22889" s="831">
        <v>580271359</v>
      </c>
    </row>
    <row r="22890" spans="32:37">
      <c r="AF22890" s="831" t="s">
        <v>11705</v>
      </c>
      <c r="AG22890" s="831" t="s">
        <v>2674</v>
      </c>
      <c r="AH22890" s="831" t="s">
        <v>192</v>
      </c>
      <c r="AI22890" s="831">
        <v>0</v>
      </c>
      <c r="AJ22890" s="835">
        <v>41943</v>
      </c>
      <c r="AK22890" s="831">
        <v>-11001950</v>
      </c>
    </row>
    <row r="22891" spans="32:37">
      <c r="AF22891" s="831" t="s">
        <v>11706</v>
      </c>
      <c r="AG22891" s="831" t="s">
        <v>2674</v>
      </c>
      <c r="AH22891" s="831" t="s">
        <v>558</v>
      </c>
      <c r="AI22891" s="831">
        <v>0</v>
      </c>
      <c r="AJ22891" s="835">
        <v>41943</v>
      </c>
      <c r="AK22891" s="831">
        <v>850531537</v>
      </c>
    </row>
    <row r="22892" spans="32:37">
      <c r="AF22892" s="831" t="s">
        <v>11707</v>
      </c>
      <c r="AG22892" s="831" t="s">
        <v>2674</v>
      </c>
      <c r="AH22892" s="831" t="s">
        <v>65</v>
      </c>
      <c r="AI22892" s="831">
        <v>0</v>
      </c>
      <c r="AJ22892" s="835">
        <v>41943</v>
      </c>
      <c r="AK22892" s="831">
        <v>144545337</v>
      </c>
    </row>
    <row r="22893" spans="32:37">
      <c r="AF22893" s="831" t="s">
        <v>11708</v>
      </c>
      <c r="AG22893" s="831" t="s">
        <v>2674</v>
      </c>
      <c r="AH22893" s="831" t="s">
        <v>89</v>
      </c>
      <c r="AI22893" s="831">
        <v>0</v>
      </c>
      <c r="AJ22893" s="835">
        <v>41943</v>
      </c>
      <c r="AK22893" s="831">
        <v>159189</v>
      </c>
    </row>
    <row r="22894" spans="32:37">
      <c r="AF22894" s="831" t="s">
        <v>11709</v>
      </c>
      <c r="AG22894" s="831" t="s">
        <v>2674</v>
      </c>
      <c r="AH22894" s="831" t="s">
        <v>557</v>
      </c>
      <c r="AI22894" s="831">
        <v>0</v>
      </c>
      <c r="AJ22894" s="835">
        <v>41943</v>
      </c>
      <c r="AK22894" s="831">
        <v>176925</v>
      </c>
    </row>
    <row r="22895" spans="32:37">
      <c r="AF22895" s="831" t="s">
        <v>11710</v>
      </c>
      <c r="AG22895" s="831" t="s">
        <v>2674</v>
      </c>
      <c r="AH22895" s="831" t="s">
        <v>29</v>
      </c>
      <c r="AI22895" s="831">
        <v>0</v>
      </c>
      <c r="AJ22895" s="835">
        <v>41943</v>
      </c>
      <c r="AK22895" s="831">
        <v>4443738</v>
      </c>
    </row>
    <row r="22896" spans="32:37">
      <c r="AF22896" s="831" t="s">
        <v>11711</v>
      </c>
      <c r="AG22896" s="831" t="s">
        <v>2674</v>
      </c>
      <c r="AH22896" s="831" t="s">
        <v>2688</v>
      </c>
      <c r="AI22896" s="831">
        <v>0</v>
      </c>
      <c r="AJ22896" s="835">
        <v>41943</v>
      </c>
      <c r="AK22896" s="831">
        <v>4878770.040000001</v>
      </c>
    </row>
    <row r="22897" spans="32:37">
      <c r="AF22897" s="831" t="s">
        <v>11712</v>
      </c>
      <c r="AG22897" s="831" t="s">
        <v>2674</v>
      </c>
      <c r="AH22897" s="831" t="s">
        <v>556</v>
      </c>
      <c r="AI22897" s="831">
        <v>0</v>
      </c>
      <c r="AJ22897" s="835">
        <v>41943</v>
      </c>
      <c r="AK22897" s="831">
        <v>8151347</v>
      </c>
    </row>
    <row r="22898" spans="32:37">
      <c r="AF22898" s="831" t="s">
        <v>11713</v>
      </c>
      <c r="AG22898" s="831" t="s">
        <v>2674</v>
      </c>
      <c r="AH22898" s="831" t="s">
        <v>555</v>
      </c>
      <c r="AI22898" s="831">
        <v>0</v>
      </c>
      <c r="AJ22898" s="835">
        <v>41943</v>
      </c>
      <c r="AK22898" s="831">
        <v>560953709</v>
      </c>
    </row>
    <row r="22899" spans="32:37">
      <c r="AF22899" s="831" t="s">
        <v>11714</v>
      </c>
      <c r="AG22899" s="831" t="s">
        <v>2674</v>
      </c>
      <c r="AH22899" s="831" t="s">
        <v>554</v>
      </c>
      <c r="AI22899" s="831">
        <v>0</v>
      </c>
      <c r="AJ22899" s="835">
        <v>41943</v>
      </c>
      <c r="AK22899" s="831">
        <v>571019140</v>
      </c>
    </row>
    <row r="22900" spans="32:37">
      <c r="AF22900" s="831" t="s">
        <v>11715</v>
      </c>
      <c r="AG22900" s="831" t="s">
        <v>2674</v>
      </c>
      <c r="AH22900" s="831" t="s">
        <v>553</v>
      </c>
      <c r="AI22900" s="831">
        <v>0</v>
      </c>
      <c r="AJ22900" s="835">
        <v>41943</v>
      </c>
      <c r="AK22900" s="831">
        <v>0</v>
      </c>
    </row>
    <row r="22901" spans="32:37">
      <c r="AF22901" s="831" t="s">
        <v>11716</v>
      </c>
      <c r="AG22901" s="831" t="s">
        <v>2674</v>
      </c>
      <c r="AH22901" s="831" t="s">
        <v>552</v>
      </c>
      <c r="AI22901" s="831">
        <v>0</v>
      </c>
      <c r="AJ22901" s="835">
        <v>41943</v>
      </c>
      <c r="AK22901" s="831">
        <v>0</v>
      </c>
    </row>
    <row r="22902" spans="32:37">
      <c r="AF22902" s="831" t="s">
        <v>11717</v>
      </c>
      <c r="AG22902" s="831" t="s">
        <v>2674</v>
      </c>
      <c r="AH22902" s="831" t="s">
        <v>551</v>
      </c>
      <c r="AI22902" s="831">
        <v>0</v>
      </c>
      <c r="AJ22902" s="835">
        <v>41943</v>
      </c>
      <c r="AK22902" s="831">
        <v>1179234</v>
      </c>
    </row>
    <row r="22903" spans="32:37">
      <c r="AF22903" s="831" t="s">
        <v>11718</v>
      </c>
      <c r="AG22903" s="831" t="s">
        <v>2674</v>
      </c>
      <c r="AH22903" s="831" t="s">
        <v>550</v>
      </c>
      <c r="AI22903" s="831">
        <v>0</v>
      </c>
      <c r="AJ22903" s="835">
        <v>41943</v>
      </c>
      <c r="AK22903" s="831">
        <v>145830225</v>
      </c>
    </row>
    <row r="22904" spans="32:37">
      <c r="AF22904" s="831" t="s">
        <v>11719</v>
      </c>
      <c r="AG22904" s="831" t="s">
        <v>2674</v>
      </c>
      <c r="AH22904" s="831" t="s">
        <v>562</v>
      </c>
      <c r="AI22904" s="831">
        <v>0</v>
      </c>
      <c r="AJ22904" s="835">
        <v>41943</v>
      </c>
      <c r="AK22904" s="831">
        <v>0.78380000000000005</v>
      </c>
    </row>
    <row r="22905" spans="32:37">
      <c r="AF22905" s="831" t="s">
        <v>11720</v>
      </c>
      <c r="AG22905" s="831" t="s">
        <v>2674</v>
      </c>
      <c r="AH22905" s="831" t="s">
        <v>2698</v>
      </c>
      <c r="AI22905" s="831">
        <v>0</v>
      </c>
      <c r="AJ22905" s="835">
        <v>41943</v>
      </c>
      <c r="AK22905" s="831">
        <v>0.78325</v>
      </c>
    </row>
    <row r="22906" spans="32:37">
      <c r="AF22906" s="831" t="s">
        <v>11721</v>
      </c>
      <c r="AG22906" s="831" t="s">
        <v>2674</v>
      </c>
      <c r="AH22906" s="831" t="s">
        <v>560</v>
      </c>
      <c r="AI22906" s="831">
        <v>0</v>
      </c>
      <c r="AJ22906" s="835">
        <v>41943</v>
      </c>
      <c r="AK22906" s="831">
        <v>0.78366000000000002</v>
      </c>
    </row>
    <row r="22907" spans="32:37">
      <c r="AF22907" s="831" t="s">
        <v>11722</v>
      </c>
      <c r="AG22907" s="831" t="s">
        <v>2674</v>
      </c>
      <c r="AH22907" s="831" t="s">
        <v>559</v>
      </c>
      <c r="AI22907" s="831">
        <v>0</v>
      </c>
      <c r="AJ22907" s="835">
        <v>41943</v>
      </c>
      <c r="AK22907" s="831">
        <v>0.78364999999999985</v>
      </c>
    </row>
    <row r="22908" spans="32:37">
      <c r="AF22908" s="831" t="s">
        <v>11723</v>
      </c>
      <c r="AG22908" s="831" t="s">
        <v>2674</v>
      </c>
      <c r="AH22908" s="831" t="s">
        <v>568</v>
      </c>
      <c r="AI22908" s="831">
        <v>0</v>
      </c>
      <c r="AJ22908" s="835">
        <v>41943</v>
      </c>
      <c r="AK22908" s="831">
        <v>688929865.38076925</v>
      </c>
    </row>
    <row r="22909" spans="32:37">
      <c r="AF22909" s="831" t="s">
        <v>11724</v>
      </c>
      <c r="AG22909" s="831" t="s">
        <v>2674</v>
      </c>
      <c r="AH22909" s="831" t="s">
        <v>569</v>
      </c>
      <c r="AI22909" s="831">
        <v>0</v>
      </c>
      <c r="AJ22909" s="835">
        <v>41943</v>
      </c>
      <c r="AK22909" s="831">
        <v>855702939.81946158</v>
      </c>
    </row>
    <row r="22910" spans="32:37">
      <c r="AF22910" s="831" t="s">
        <v>11725</v>
      </c>
      <c r="AG22910" s="831" t="s">
        <v>2674</v>
      </c>
      <c r="AH22910" s="831" t="s">
        <v>570</v>
      </c>
      <c r="AI22910" s="831">
        <v>0</v>
      </c>
      <c r="AJ22910" s="835">
        <v>41943</v>
      </c>
      <c r="AK22910" s="831">
        <v>129857553.83046153</v>
      </c>
    </row>
    <row r="22911" spans="32:37">
      <c r="AF22911" s="831" t="s">
        <v>11726</v>
      </c>
      <c r="AG22911" s="831" t="s">
        <v>2674</v>
      </c>
      <c r="AH22911" s="831" t="s">
        <v>571</v>
      </c>
      <c r="AI22911" s="831">
        <v>0</v>
      </c>
      <c r="AJ22911" s="835">
        <v>41943</v>
      </c>
      <c r="AK22911" s="831">
        <v>421465171.16076922</v>
      </c>
    </row>
    <row r="22912" spans="32:37">
      <c r="AF22912" s="831" t="s">
        <v>11727</v>
      </c>
      <c r="AG22912" s="831" t="s">
        <v>2674</v>
      </c>
      <c r="AH22912" s="831" t="s">
        <v>573</v>
      </c>
      <c r="AI22912" s="831">
        <v>0</v>
      </c>
      <c r="AJ22912" s="835">
        <v>41943</v>
      </c>
      <c r="AK22912" s="831">
        <v>877834571.86936367</v>
      </c>
    </row>
    <row r="22913" spans="32:37">
      <c r="AF22913" s="831" t="s">
        <v>11728</v>
      </c>
      <c r="AG22913" s="831" t="s">
        <v>2674</v>
      </c>
      <c r="AH22913" s="831" t="s">
        <v>574</v>
      </c>
      <c r="AI22913" s="831">
        <v>0</v>
      </c>
      <c r="AJ22913" s="835">
        <v>41943</v>
      </c>
      <c r="AK22913" s="831">
        <v>707069780.09090912</v>
      </c>
    </row>
    <row r="22914" spans="32:37">
      <c r="AF22914" s="831" t="s">
        <v>11729</v>
      </c>
      <c r="AG22914" s="831" t="s">
        <v>2674</v>
      </c>
      <c r="AH22914" s="831" t="s">
        <v>575</v>
      </c>
      <c r="AI22914" s="831">
        <v>0</v>
      </c>
      <c r="AJ22914" s="835">
        <v>41943</v>
      </c>
      <c r="AK22914" s="831">
        <v>131339945.17636365</v>
      </c>
    </row>
    <row r="22915" spans="32:37">
      <c r="AF22915" s="831" t="s">
        <v>11730</v>
      </c>
      <c r="AG22915" s="831" t="s">
        <v>2674</v>
      </c>
      <c r="AH22915" s="831" t="s">
        <v>576</v>
      </c>
      <c r="AI22915" s="831">
        <v>0</v>
      </c>
      <c r="AJ22915" s="835">
        <v>41943</v>
      </c>
      <c r="AK22915" s="831">
        <v>433816282.72981817</v>
      </c>
    </row>
    <row r="22916" spans="32:37">
      <c r="AF22916" s="831" t="s">
        <v>11731</v>
      </c>
      <c r="AG22916" s="831" t="s">
        <v>2674</v>
      </c>
      <c r="AH22916" s="831" t="s">
        <v>572</v>
      </c>
      <c r="AI22916" s="831">
        <v>0</v>
      </c>
      <c r="AJ22916" s="835">
        <v>41943</v>
      </c>
      <c r="AK22916" s="831">
        <v>34306433.956</v>
      </c>
    </row>
    <row r="22917" spans="32:37">
      <c r="AF22917" s="831" t="s">
        <v>11732</v>
      </c>
      <c r="AG22917" s="831" t="s">
        <v>2674</v>
      </c>
      <c r="AH22917" s="831" t="s">
        <v>577</v>
      </c>
      <c r="AI22917" s="831">
        <v>0</v>
      </c>
      <c r="AJ22917" s="835">
        <v>41943</v>
      </c>
      <c r="AK22917" s="831">
        <v>169874551.76300001</v>
      </c>
    </row>
    <row r="22918" spans="32:37">
      <c r="AF22918" s="831" t="s">
        <v>11733</v>
      </c>
      <c r="AG22918" s="831" t="s">
        <v>2674</v>
      </c>
      <c r="AH22918" s="831" t="s">
        <v>3042</v>
      </c>
      <c r="AI22918" s="831">
        <v>0</v>
      </c>
      <c r="AJ22918" s="835">
        <v>41943</v>
      </c>
      <c r="AK22918" s="831">
        <v>-49231778.527000003</v>
      </c>
    </row>
    <row r="22919" spans="32:37">
      <c r="AF22919" s="831" t="s">
        <v>11734</v>
      </c>
      <c r="AG22919" s="831" t="s">
        <v>2674</v>
      </c>
      <c r="AH22919" s="831" t="s">
        <v>3044</v>
      </c>
      <c r="AI22919" s="831">
        <v>0</v>
      </c>
      <c r="AJ22919" s="835">
        <v>41943</v>
      </c>
      <c r="AK22919" s="831">
        <v>-1676338.8899999997</v>
      </c>
    </row>
    <row r="22920" spans="32:37">
      <c r="AF22920" s="831" t="s">
        <v>11735</v>
      </c>
      <c r="AG22920" s="831" t="s">
        <v>2674</v>
      </c>
      <c r="AH22920" s="831" t="s">
        <v>580</v>
      </c>
      <c r="AI22920" s="831">
        <v>0</v>
      </c>
      <c r="AJ22920" s="835">
        <v>41943</v>
      </c>
      <c r="AK22920" s="831">
        <v>-77780641.306999996</v>
      </c>
    </row>
    <row r="22921" spans="32:37">
      <c r="AF22921" s="831" t="s">
        <v>11736</v>
      </c>
      <c r="AG22921" s="831" t="s">
        <v>2674</v>
      </c>
      <c r="AH22921" s="831" t="s">
        <v>581</v>
      </c>
      <c r="AI22921" s="831">
        <v>0</v>
      </c>
      <c r="AJ22921" s="835">
        <v>41943</v>
      </c>
      <c r="AK22921" s="831">
        <v>4385512.8940000003</v>
      </c>
    </row>
    <row r="22922" spans="32:37">
      <c r="AF22922" s="831" t="s">
        <v>11737</v>
      </c>
      <c r="AG22922" s="831" t="s">
        <v>2674</v>
      </c>
      <c r="AH22922" s="831" t="s">
        <v>105</v>
      </c>
      <c r="AI22922" s="831">
        <v>0</v>
      </c>
      <c r="AJ22922" s="835">
        <v>41943</v>
      </c>
      <c r="AK22922" s="831">
        <v>497850514</v>
      </c>
    </row>
    <row r="22923" spans="32:37">
      <c r="AF22923" s="831" t="s">
        <v>11738</v>
      </c>
      <c r="AG22923" s="831" t="s">
        <v>2674</v>
      </c>
      <c r="AH22923" s="831" t="s">
        <v>3049</v>
      </c>
      <c r="AI22923" s="831">
        <v>0</v>
      </c>
      <c r="AJ22923" s="835">
        <v>41943</v>
      </c>
      <c r="AK22923" s="831">
        <v>819726974</v>
      </c>
    </row>
    <row r="22924" spans="32:37">
      <c r="AF22924" s="831" t="s">
        <v>11739</v>
      </c>
      <c r="AG22924" s="831" t="s">
        <v>2674</v>
      </c>
      <c r="AH22924" s="831" t="s">
        <v>103</v>
      </c>
      <c r="AI22924" s="831">
        <v>0</v>
      </c>
      <c r="AJ22924" s="835">
        <v>41943</v>
      </c>
      <c r="AK22924" s="831">
        <v>321876460</v>
      </c>
    </row>
    <row r="22925" spans="32:37">
      <c r="AF22925" s="831" t="s">
        <v>11740</v>
      </c>
      <c r="AG22925" s="831" t="s">
        <v>2674</v>
      </c>
      <c r="AH22925" s="831" t="s">
        <v>182</v>
      </c>
      <c r="AI22925" s="831">
        <v>0</v>
      </c>
      <c r="AJ22925" s="835">
        <v>41943</v>
      </c>
      <c r="AK22925" s="831">
        <v>74624670</v>
      </c>
    </row>
    <row r="22926" spans="32:37">
      <c r="AF22926" s="831" t="s">
        <v>11741</v>
      </c>
      <c r="AG22926" s="831" t="s">
        <v>2674</v>
      </c>
      <c r="AH22926" s="831" t="s">
        <v>6600</v>
      </c>
      <c r="AI22926" s="831">
        <v>0</v>
      </c>
      <c r="AJ22926" s="835">
        <v>41943</v>
      </c>
      <c r="AK22926" s="831">
        <v>34306433.956</v>
      </c>
    </row>
    <row r="22927" spans="32:37">
      <c r="AF22927" s="831" t="s">
        <v>11742</v>
      </c>
      <c r="AG22927" s="831" t="s">
        <v>2674</v>
      </c>
      <c r="AH22927" s="831" t="s">
        <v>6602</v>
      </c>
      <c r="AI22927" s="831">
        <v>0</v>
      </c>
      <c r="AJ22927" s="835">
        <v>41943</v>
      </c>
      <c r="AK22927" s="831">
        <v>32657533</v>
      </c>
    </row>
    <row r="22928" spans="32:37">
      <c r="AF22928" s="831" t="s">
        <v>11743</v>
      </c>
      <c r="AG22928" s="831" t="s">
        <v>2674</v>
      </c>
      <c r="AH22928" s="831" t="s">
        <v>650</v>
      </c>
      <c r="AI22928" s="831">
        <v>0</v>
      </c>
      <c r="AJ22928" s="835">
        <v>41943</v>
      </c>
      <c r="AK22928" s="831">
        <v>280875581.18223077</v>
      </c>
    </row>
    <row r="22929" spans="32:37">
      <c r="AF22929" s="831" t="s">
        <v>11744</v>
      </c>
      <c r="AG22929" s="831" t="s">
        <v>2674</v>
      </c>
      <c r="AH22929" s="831" t="s">
        <v>655</v>
      </c>
      <c r="AI22929" s="831">
        <v>0</v>
      </c>
      <c r="AJ22929" s="835">
        <v>41943</v>
      </c>
      <c r="AK22929" s="831">
        <v>824847</v>
      </c>
    </row>
    <row r="22930" spans="32:37">
      <c r="AF22930" s="831" t="s">
        <v>11745</v>
      </c>
      <c r="AG22930" s="831" t="s">
        <v>2674</v>
      </c>
      <c r="AH22930" s="831" t="s">
        <v>546</v>
      </c>
      <c r="AI22930" s="831">
        <v>0</v>
      </c>
      <c r="AJ22930" s="835">
        <v>41973</v>
      </c>
      <c r="AK22930" s="831">
        <v>802902472</v>
      </c>
    </row>
    <row r="22931" spans="32:37">
      <c r="AF22931" s="831" t="s">
        <v>11746</v>
      </c>
      <c r="AG22931" s="831" t="s">
        <v>2674</v>
      </c>
      <c r="AH22931" s="831" t="s">
        <v>370</v>
      </c>
      <c r="AI22931" s="831">
        <v>0</v>
      </c>
      <c r="AJ22931" s="835">
        <v>41973</v>
      </c>
      <c r="AK22931" s="831">
        <v>1000702434</v>
      </c>
    </row>
    <row r="22932" spans="32:37">
      <c r="AF22932" s="831" t="s">
        <v>11747</v>
      </c>
      <c r="AG22932" s="831" t="s">
        <v>2674</v>
      </c>
      <c r="AH22932" s="831" t="s">
        <v>126</v>
      </c>
      <c r="AI22932" s="831">
        <v>0</v>
      </c>
      <c r="AJ22932" s="835">
        <v>41973</v>
      </c>
      <c r="AK22932" s="831">
        <v>153599665</v>
      </c>
    </row>
    <row r="22933" spans="32:37">
      <c r="AF22933" s="831" t="s">
        <v>11748</v>
      </c>
      <c r="AG22933" s="831" t="s">
        <v>2674</v>
      </c>
      <c r="AH22933" s="831" t="s">
        <v>268</v>
      </c>
      <c r="AI22933" s="831">
        <v>0</v>
      </c>
      <c r="AJ22933" s="835">
        <v>41973</v>
      </c>
      <c r="AK22933" s="831">
        <v>35013602</v>
      </c>
    </row>
    <row r="22934" spans="32:37">
      <c r="AF22934" s="831" t="s">
        <v>11749</v>
      </c>
      <c r="AG22934" s="831" t="s">
        <v>2674</v>
      </c>
      <c r="AH22934" s="831" t="s">
        <v>547</v>
      </c>
      <c r="AI22934" s="831">
        <v>0</v>
      </c>
      <c r="AJ22934" s="835">
        <v>41973</v>
      </c>
      <c r="AK22934" s="831">
        <v>777719977</v>
      </c>
    </row>
    <row r="22935" spans="32:37">
      <c r="AF22935" s="831" t="s">
        <v>11750</v>
      </c>
      <c r="AG22935" s="831" t="s">
        <v>2674</v>
      </c>
      <c r="AH22935" s="831" t="s">
        <v>548</v>
      </c>
      <c r="AI22935" s="831">
        <v>0</v>
      </c>
      <c r="AJ22935" s="835">
        <v>41973</v>
      </c>
      <c r="AK22935" s="831">
        <v>117105496</v>
      </c>
    </row>
    <row r="22936" spans="32:37">
      <c r="AF22936" s="831" t="s">
        <v>11751</v>
      </c>
      <c r="AG22936" s="831" t="s">
        <v>2674</v>
      </c>
      <c r="AH22936" s="831" t="s">
        <v>549</v>
      </c>
      <c r="AI22936" s="831">
        <v>0</v>
      </c>
      <c r="AJ22936" s="835">
        <v>41973</v>
      </c>
      <c r="AK22936" s="831">
        <v>598049309.95000005</v>
      </c>
    </row>
    <row r="22937" spans="32:37">
      <c r="AF22937" s="831" t="s">
        <v>11752</v>
      </c>
      <c r="AG22937" s="831" t="s">
        <v>2674</v>
      </c>
      <c r="AH22937" s="831" t="s">
        <v>192</v>
      </c>
      <c r="AI22937" s="831">
        <v>0</v>
      </c>
      <c r="AJ22937" s="835">
        <v>41973</v>
      </c>
      <c r="AK22937" s="831">
        <v>-10647566</v>
      </c>
    </row>
    <row r="22938" spans="32:37">
      <c r="AF22938" s="831" t="s">
        <v>11753</v>
      </c>
      <c r="AG22938" s="831" t="s">
        <v>2674</v>
      </c>
      <c r="AH22938" s="831" t="s">
        <v>558</v>
      </c>
      <c r="AI22938" s="831">
        <v>0</v>
      </c>
      <c r="AJ22938" s="835">
        <v>41973</v>
      </c>
      <c r="AK22938" s="831">
        <v>847102769</v>
      </c>
    </row>
    <row r="22939" spans="32:37">
      <c r="AF22939" s="831" t="s">
        <v>11754</v>
      </c>
      <c r="AG22939" s="831" t="s">
        <v>2674</v>
      </c>
      <c r="AH22939" s="831" t="s">
        <v>65</v>
      </c>
      <c r="AI22939" s="831">
        <v>0</v>
      </c>
      <c r="AJ22939" s="835">
        <v>41973</v>
      </c>
      <c r="AK22939" s="831">
        <v>160301151</v>
      </c>
    </row>
    <row r="22940" spans="32:37">
      <c r="AF22940" s="831" t="s">
        <v>11755</v>
      </c>
      <c r="AG22940" s="831" t="s">
        <v>2674</v>
      </c>
      <c r="AH22940" s="831" t="s">
        <v>89</v>
      </c>
      <c r="AI22940" s="831">
        <v>0</v>
      </c>
      <c r="AJ22940" s="835">
        <v>41973</v>
      </c>
      <c r="AK22940" s="831">
        <v>158266</v>
      </c>
    </row>
    <row r="22941" spans="32:37">
      <c r="AF22941" s="831" t="s">
        <v>11756</v>
      </c>
      <c r="AG22941" s="831" t="s">
        <v>2674</v>
      </c>
      <c r="AH22941" s="831" t="s">
        <v>557</v>
      </c>
      <c r="AI22941" s="831">
        <v>0</v>
      </c>
      <c r="AJ22941" s="835">
        <v>41973</v>
      </c>
      <c r="AK22941" s="831">
        <v>179245</v>
      </c>
    </row>
    <row r="22942" spans="32:37">
      <c r="AF22942" s="831" t="s">
        <v>11757</v>
      </c>
      <c r="AG22942" s="831" t="s">
        <v>2674</v>
      </c>
      <c r="AH22942" s="831" t="s">
        <v>29</v>
      </c>
      <c r="AI22942" s="831">
        <v>0</v>
      </c>
      <c r="AJ22942" s="835">
        <v>41973</v>
      </c>
      <c r="AK22942" s="831">
        <v>4556685.3900000006</v>
      </c>
    </row>
    <row r="22943" spans="32:37">
      <c r="AF22943" s="831" t="s">
        <v>11758</v>
      </c>
      <c r="AG22943" s="831" t="s">
        <v>2674</v>
      </c>
      <c r="AH22943" s="831" t="s">
        <v>2688</v>
      </c>
      <c r="AI22943" s="831">
        <v>0</v>
      </c>
      <c r="AJ22943" s="835">
        <v>41973</v>
      </c>
      <c r="AK22943" s="831">
        <v>4982602.75</v>
      </c>
    </row>
    <row r="22944" spans="32:37">
      <c r="AF22944" s="831" t="s">
        <v>11759</v>
      </c>
      <c r="AG22944" s="831" t="s">
        <v>2674</v>
      </c>
      <c r="AH22944" s="831" t="s">
        <v>556</v>
      </c>
      <c r="AI22944" s="831">
        <v>0</v>
      </c>
      <c r="AJ22944" s="835">
        <v>41973</v>
      </c>
      <c r="AK22944" s="831">
        <v>9781741</v>
      </c>
    </row>
    <row r="22945" spans="32:37">
      <c r="AF22945" s="831" t="s">
        <v>11760</v>
      </c>
      <c r="AG22945" s="831" t="s">
        <v>2674</v>
      </c>
      <c r="AH22945" s="831" t="s">
        <v>555</v>
      </c>
      <c r="AI22945" s="831">
        <v>0</v>
      </c>
      <c r="AJ22945" s="835">
        <v>41973</v>
      </c>
      <c r="AK22945" s="831">
        <v>559691148</v>
      </c>
    </row>
    <row r="22946" spans="32:37">
      <c r="AF22946" s="831" t="s">
        <v>11761</v>
      </c>
      <c r="AG22946" s="831" t="s">
        <v>2674</v>
      </c>
      <c r="AH22946" s="831" t="s">
        <v>554</v>
      </c>
      <c r="AI22946" s="831">
        <v>0</v>
      </c>
      <c r="AJ22946" s="835">
        <v>41973</v>
      </c>
      <c r="AK22946" s="831">
        <v>562759560</v>
      </c>
    </row>
    <row r="22947" spans="32:37">
      <c r="AF22947" s="831" t="s">
        <v>11762</v>
      </c>
      <c r="AG22947" s="831" t="s">
        <v>2674</v>
      </c>
      <c r="AH22947" s="831" t="s">
        <v>553</v>
      </c>
      <c r="AI22947" s="831">
        <v>0</v>
      </c>
      <c r="AJ22947" s="835">
        <v>41973</v>
      </c>
      <c r="AK22947" s="831">
        <v>0</v>
      </c>
    </row>
    <row r="22948" spans="32:37">
      <c r="AF22948" s="831" t="s">
        <v>11763</v>
      </c>
      <c r="AG22948" s="831" t="s">
        <v>2674</v>
      </c>
      <c r="AH22948" s="831" t="s">
        <v>552</v>
      </c>
      <c r="AI22948" s="831">
        <v>0</v>
      </c>
      <c r="AJ22948" s="835">
        <v>41973</v>
      </c>
      <c r="AK22948" s="831">
        <v>0</v>
      </c>
    </row>
    <row r="22949" spans="32:37">
      <c r="AF22949" s="831" t="s">
        <v>11764</v>
      </c>
      <c r="AG22949" s="831" t="s">
        <v>2674</v>
      </c>
      <c r="AH22949" s="831" t="s">
        <v>551</v>
      </c>
      <c r="AI22949" s="831">
        <v>0</v>
      </c>
      <c r="AJ22949" s="835">
        <v>41973</v>
      </c>
      <c r="AK22949" s="831">
        <v>3921189.3899999997</v>
      </c>
    </row>
    <row r="22950" spans="32:37">
      <c r="AF22950" s="831" t="s">
        <v>11765</v>
      </c>
      <c r="AG22950" s="831" t="s">
        <v>2674</v>
      </c>
      <c r="AH22950" s="831" t="s">
        <v>550</v>
      </c>
      <c r="AI22950" s="831">
        <v>0</v>
      </c>
      <c r="AJ22950" s="835">
        <v>41973</v>
      </c>
      <c r="AK22950" s="831">
        <v>149380039</v>
      </c>
    </row>
    <row r="22951" spans="32:37">
      <c r="AF22951" s="831" t="s">
        <v>11766</v>
      </c>
      <c r="AG22951" s="831" t="s">
        <v>2674</v>
      </c>
      <c r="AH22951" s="831" t="s">
        <v>562</v>
      </c>
      <c r="AI22951" s="831">
        <v>0</v>
      </c>
      <c r="AJ22951" s="835">
        <v>41973</v>
      </c>
      <c r="AK22951" s="831">
        <v>0.78390000000000004</v>
      </c>
    </row>
    <row r="22952" spans="32:37">
      <c r="AF22952" s="831" t="s">
        <v>11767</v>
      </c>
      <c r="AG22952" s="831" t="s">
        <v>2674</v>
      </c>
      <c r="AH22952" s="831" t="s">
        <v>2698</v>
      </c>
      <c r="AI22952" s="831">
        <v>0</v>
      </c>
      <c r="AJ22952" s="835">
        <v>41973</v>
      </c>
      <c r="AK22952" s="831">
        <v>0.78380000000000005</v>
      </c>
    </row>
    <row r="22953" spans="32:37">
      <c r="AF22953" s="831" t="s">
        <v>11768</v>
      </c>
      <c r="AG22953" s="831" t="s">
        <v>2674</v>
      </c>
      <c r="AH22953" s="831" t="s">
        <v>560</v>
      </c>
      <c r="AI22953" s="831">
        <v>0</v>
      </c>
      <c r="AJ22953" s="835">
        <v>41973</v>
      </c>
      <c r="AK22953" s="831">
        <v>0.78368181818181837</v>
      </c>
    </row>
    <row r="22954" spans="32:37">
      <c r="AF22954" s="831" t="s">
        <v>11769</v>
      </c>
      <c r="AG22954" s="831" t="s">
        <v>2674</v>
      </c>
      <c r="AH22954" s="831" t="s">
        <v>559</v>
      </c>
      <c r="AI22954" s="831">
        <v>0</v>
      </c>
      <c r="AJ22954" s="835">
        <v>41973</v>
      </c>
      <c r="AK22954" s="831">
        <v>0.78365416666666687</v>
      </c>
    </row>
    <row r="22955" spans="32:37">
      <c r="AF22955" s="831" t="s">
        <v>11770</v>
      </c>
      <c r="AG22955" s="831" t="s">
        <v>2674</v>
      </c>
      <c r="AH22955" s="831" t="s">
        <v>568</v>
      </c>
      <c r="AI22955" s="831">
        <v>0</v>
      </c>
      <c r="AJ22955" s="835">
        <v>41973</v>
      </c>
      <c r="AK22955" s="831">
        <v>706055335.61153853</v>
      </c>
    </row>
    <row r="22956" spans="32:37">
      <c r="AF22956" s="831" t="s">
        <v>11771</v>
      </c>
      <c r="AG22956" s="831" t="s">
        <v>2674</v>
      </c>
      <c r="AH22956" s="831" t="s">
        <v>569</v>
      </c>
      <c r="AI22956" s="831">
        <v>0</v>
      </c>
      <c r="AJ22956" s="835">
        <v>41973</v>
      </c>
      <c r="AK22956" s="831">
        <v>877011865.12715387</v>
      </c>
    </row>
    <row r="22957" spans="32:37">
      <c r="AF22957" s="831" t="s">
        <v>11772</v>
      </c>
      <c r="AG22957" s="831" t="s">
        <v>2674</v>
      </c>
      <c r="AH22957" s="831" t="s">
        <v>570</v>
      </c>
      <c r="AI22957" s="831">
        <v>0</v>
      </c>
      <c r="AJ22957" s="835">
        <v>41973</v>
      </c>
      <c r="AK22957" s="831">
        <v>132419769.36892308</v>
      </c>
    </row>
    <row r="22958" spans="32:37">
      <c r="AF22958" s="831" t="s">
        <v>11773</v>
      </c>
      <c r="AG22958" s="831" t="s">
        <v>2674</v>
      </c>
      <c r="AH22958" s="831" t="s">
        <v>571</v>
      </c>
      <c r="AI22958" s="831">
        <v>0</v>
      </c>
      <c r="AJ22958" s="835">
        <v>41973</v>
      </c>
      <c r="AK22958" s="831">
        <v>432199968.69923079</v>
      </c>
    </row>
    <row r="22959" spans="32:37">
      <c r="AF22959" s="831" t="s">
        <v>11774</v>
      </c>
      <c r="AG22959" s="831" t="s">
        <v>2674</v>
      </c>
      <c r="AH22959" s="831" t="s">
        <v>573</v>
      </c>
      <c r="AI22959" s="831">
        <v>0</v>
      </c>
      <c r="AJ22959" s="835">
        <v>41973</v>
      </c>
      <c r="AK22959" s="831">
        <v>888073560.38024998</v>
      </c>
    </row>
    <row r="22960" spans="32:37">
      <c r="AF22960" s="831" t="s">
        <v>11775</v>
      </c>
      <c r="AG22960" s="831" t="s">
        <v>2674</v>
      </c>
      <c r="AH22960" s="831" t="s">
        <v>574</v>
      </c>
      <c r="AI22960" s="831">
        <v>0</v>
      </c>
      <c r="AJ22960" s="835">
        <v>41973</v>
      </c>
      <c r="AK22960" s="831">
        <v>715055837.75</v>
      </c>
    </row>
    <row r="22961" spans="32:37">
      <c r="AF22961" s="831" t="s">
        <v>11776</v>
      </c>
      <c r="AG22961" s="831" t="s">
        <v>2674</v>
      </c>
      <c r="AH22961" s="831" t="s">
        <v>575</v>
      </c>
      <c r="AI22961" s="831">
        <v>0</v>
      </c>
      <c r="AJ22961" s="835">
        <v>41973</v>
      </c>
      <c r="AK22961" s="831">
        <v>133194921.82833333</v>
      </c>
    </row>
    <row r="22962" spans="32:37">
      <c r="AF22962" s="831" t="s">
        <v>11777</v>
      </c>
      <c r="AG22962" s="831" t="s">
        <v>2674</v>
      </c>
      <c r="AH22962" s="831" t="s">
        <v>576</v>
      </c>
      <c r="AI22962" s="831">
        <v>0</v>
      </c>
      <c r="AJ22962" s="835">
        <v>41973</v>
      </c>
      <c r="AK22962" s="831">
        <v>438403431.08566666</v>
      </c>
    </row>
    <row r="22963" spans="32:37">
      <c r="AF22963" s="831" t="s">
        <v>11778</v>
      </c>
      <c r="AG22963" s="831" t="s">
        <v>2674</v>
      </c>
      <c r="AH22963" s="831" t="s">
        <v>572</v>
      </c>
      <c r="AI22963" s="831">
        <v>0</v>
      </c>
      <c r="AJ22963" s="835">
        <v>41973</v>
      </c>
      <c r="AK22963" s="831">
        <v>33835425.924000025</v>
      </c>
    </row>
    <row r="22964" spans="32:37">
      <c r="AF22964" s="831" t="s">
        <v>11779</v>
      </c>
      <c r="AG22964" s="831" t="s">
        <v>2674</v>
      </c>
      <c r="AH22964" s="831" t="s">
        <v>577</v>
      </c>
      <c r="AI22964" s="831">
        <v>0</v>
      </c>
      <c r="AJ22964" s="835">
        <v>41973</v>
      </c>
      <c r="AK22964" s="831">
        <v>173617070.52700001</v>
      </c>
    </row>
    <row r="22965" spans="32:37">
      <c r="AF22965" s="831" t="s">
        <v>11780</v>
      </c>
      <c r="AG22965" s="831" t="s">
        <v>2674</v>
      </c>
      <c r="AH22965" s="831" t="s">
        <v>3042</v>
      </c>
      <c r="AI22965" s="831">
        <v>0</v>
      </c>
      <c r="AJ22965" s="835">
        <v>41973</v>
      </c>
      <c r="AK22965" s="831">
        <v>-50695273.862000003</v>
      </c>
    </row>
    <row r="22966" spans="32:37">
      <c r="AF22966" s="831" t="s">
        <v>11781</v>
      </c>
      <c r="AG22966" s="831" t="s">
        <v>2674</v>
      </c>
      <c r="AH22966" s="831" t="s">
        <v>3044</v>
      </c>
      <c r="AI22966" s="831">
        <v>0</v>
      </c>
      <c r="AJ22966" s="835">
        <v>41973</v>
      </c>
      <c r="AK22966" s="831">
        <v>-2169383.0120000001</v>
      </c>
    </row>
    <row r="22967" spans="32:37">
      <c r="AF22967" s="831" t="s">
        <v>11782</v>
      </c>
      <c r="AG22967" s="831" t="s">
        <v>2674</v>
      </c>
      <c r="AH22967" s="831" t="s">
        <v>580</v>
      </c>
      <c r="AI22967" s="831">
        <v>0</v>
      </c>
      <c r="AJ22967" s="835">
        <v>41973</v>
      </c>
      <c r="AK22967" s="831">
        <v>-79126603.180999994</v>
      </c>
    </row>
    <row r="22968" spans="32:37">
      <c r="AF22968" s="831" t="s">
        <v>11783</v>
      </c>
      <c r="AG22968" s="831" t="s">
        <v>2674</v>
      </c>
      <c r="AH22968" s="831" t="s">
        <v>581</v>
      </c>
      <c r="AI22968" s="831">
        <v>0</v>
      </c>
      <c r="AJ22968" s="835">
        <v>41973</v>
      </c>
      <c r="AK22968" s="831">
        <v>4040122.4290000005</v>
      </c>
    </row>
    <row r="22969" spans="32:37">
      <c r="AF22969" s="831" t="s">
        <v>11784</v>
      </c>
      <c r="AG22969" s="831" t="s">
        <v>2674</v>
      </c>
      <c r="AH22969" s="831" t="s">
        <v>105</v>
      </c>
      <c r="AI22969" s="831">
        <v>0</v>
      </c>
      <c r="AJ22969" s="835">
        <v>41973</v>
      </c>
      <c r="AK22969" s="831">
        <v>488862063</v>
      </c>
    </row>
    <row r="22970" spans="32:37">
      <c r="AF22970" s="831" t="s">
        <v>11785</v>
      </c>
      <c r="AG22970" s="831" t="s">
        <v>2674</v>
      </c>
      <c r="AH22970" s="831" t="s">
        <v>3049</v>
      </c>
      <c r="AI22970" s="831">
        <v>0</v>
      </c>
      <c r="AJ22970" s="835">
        <v>41973</v>
      </c>
      <c r="AK22970" s="831">
        <v>810336503</v>
      </c>
    </row>
    <row r="22971" spans="32:37">
      <c r="AF22971" s="831" t="s">
        <v>11786</v>
      </c>
      <c r="AG22971" s="831" t="s">
        <v>2674</v>
      </c>
      <c r="AH22971" s="831" t="s">
        <v>103</v>
      </c>
      <c r="AI22971" s="831">
        <v>0</v>
      </c>
      <c r="AJ22971" s="835">
        <v>41973</v>
      </c>
      <c r="AK22971" s="831">
        <v>321474440</v>
      </c>
    </row>
    <row r="22972" spans="32:37">
      <c r="AF22972" s="831" t="s">
        <v>11787</v>
      </c>
      <c r="AG22972" s="831" t="s">
        <v>2674</v>
      </c>
      <c r="AH22972" s="831" t="s">
        <v>182</v>
      </c>
      <c r="AI22972" s="831">
        <v>0</v>
      </c>
      <c r="AJ22972" s="835">
        <v>41973</v>
      </c>
      <c r="AK22972" s="831">
        <v>75281666.181818187</v>
      </c>
    </row>
    <row r="22973" spans="32:37">
      <c r="AF22973" s="831" t="s">
        <v>11788</v>
      </c>
      <c r="AG22973" s="831" t="s">
        <v>2674</v>
      </c>
      <c r="AH22973" s="831" t="s">
        <v>6600</v>
      </c>
      <c r="AI22973" s="831">
        <v>0</v>
      </c>
      <c r="AJ22973" s="835">
        <v>41973</v>
      </c>
      <c r="AK22973" s="831">
        <v>33835425.924000025</v>
      </c>
    </row>
    <row r="22974" spans="32:37">
      <c r="AF22974" s="831" t="s">
        <v>11789</v>
      </c>
      <c r="AG22974" s="831" t="s">
        <v>2674</v>
      </c>
      <c r="AH22974" s="831" t="s">
        <v>6602</v>
      </c>
      <c r="AI22974" s="831">
        <v>0</v>
      </c>
      <c r="AJ22974" s="835">
        <v>41973</v>
      </c>
      <c r="AK22974" s="831">
        <v>35013602</v>
      </c>
    </row>
    <row r="22975" spans="32:37">
      <c r="AF22975" s="831" t="s">
        <v>11790</v>
      </c>
      <c r="AG22975" s="831" t="s">
        <v>2674</v>
      </c>
      <c r="AH22975" s="831" t="s">
        <v>650</v>
      </c>
      <c r="AI22975" s="831">
        <v>0</v>
      </c>
      <c r="AJ22975" s="835">
        <v>41973</v>
      </c>
      <c r="AK22975" s="831">
        <v>287670371.56684613</v>
      </c>
    </row>
    <row r="22976" spans="32:37">
      <c r="AF22976" s="831" t="s">
        <v>11791</v>
      </c>
      <c r="AG22976" s="831" t="s">
        <v>2674</v>
      </c>
      <c r="AH22976" s="831" t="s">
        <v>655</v>
      </c>
      <c r="AI22976" s="831">
        <v>0</v>
      </c>
      <c r="AJ22976" s="835">
        <v>41973</v>
      </c>
      <c r="AK22976" s="831">
        <v>919694.3899999999</v>
      </c>
    </row>
    <row r="22977" spans="32:37">
      <c r="AF22977" s="831" t="s">
        <v>11792</v>
      </c>
      <c r="AG22977" s="831" t="s">
        <v>2674</v>
      </c>
      <c r="AH22977" s="831" t="s">
        <v>546</v>
      </c>
      <c r="AI22977" s="831">
        <v>0</v>
      </c>
      <c r="AJ22977" s="835">
        <v>42004</v>
      </c>
      <c r="AK22977" s="831">
        <v>828920000</v>
      </c>
    </row>
    <row r="22978" spans="32:37">
      <c r="AF22978" s="831" t="s">
        <v>11793</v>
      </c>
      <c r="AG22978" s="831" t="s">
        <v>2674</v>
      </c>
      <c r="AH22978" s="831" t="s">
        <v>370</v>
      </c>
      <c r="AI22978" s="831">
        <v>0</v>
      </c>
      <c r="AJ22978" s="835">
        <v>42004</v>
      </c>
      <c r="AK22978" s="831">
        <v>1042210000</v>
      </c>
    </row>
    <row r="22979" spans="32:37">
      <c r="AF22979" s="831" t="s">
        <v>11794</v>
      </c>
      <c r="AG22979" s="831" t="s">
        <v>2674</v>
      </c>
      <c r="AH22979" s="831" t="s">
        <v>126</v>
      </c>
      <c r="AI22979" s="831">
        <v>0</v>
      </c>
      <c r="AJ22979" s="835">
        <v>42004</v>
      </c>
      <c r="AK22979" s="831">
        <v>145409000</v>
      </c>
    </row>
    <row r="22980" spans="32:37">
      <c r="AF22980" s="831" t="s">
        <v>11795</v>
      </c>
      <c r="AG22980" s="831" t="s">
        <v>2674</v>
      </c>
      <c r="AH22980" s="831" t="s">
        <v>268</v>
      </c>
      <c r="AI22980" s="831">
        <v>0</v>
      </c>
      <c r="AJ22980" s="835">
        <v>42004</v>
      </c>
      <c r="AK22980" s="831">
        <v>43040000</v>
      </c>
    </row>
    <row r="22981" spans="32:37">
      <c r="AF22981" s="831" t="s">
        <v>11796</v>
      </c>
      <c r="AG22981" s="831" t="s">
        <v>2674</v>
      </c>
      <c r="AH22981" s="831" t="s">
        <v>547</v>
      </c>
      <c r="AI22981" s="831">
        <v>0</v>
      </c>
      <c r="AJ22981" s="835">
        <v>42004</v>
      </c>
      <c r="AK22981" s="831">
        <v>777719977</v>
      </c>
    </row>
    <row r="22982" spans="32:37">
      <c r="AF22982" s="831" t="s">
        <v>11797</v>
      </c>
      <c r="AG22982" s="831" t="s">
        <v>2674</v>
      </c>
      <c r="AH22982" s="831" t="s">
        <v>548</v>
      </c>
      <c r="AI22982" s="831">
        <v>0</v>
      </c>
      <c r="AJ22982" s="835">
        <v>42004</v>
      </c>
      <c r="AK22982" s="831">
        <v>117105496</v>
      </c>
    </row>
    <row r="22983" spans="32:37">
      <c r="AF22983" s="831" t="s">
        <v>11798</v>
      </c>
      <c r="AG22983" s="831" t="s">
        <v>2674</v>
      </c>
      <c r="AH22983" s="831" t="s">
        <v>549</v>
      </c>
      <c r="AI22983" s="831">
        <v>0</v>
      </c>
      <c r="AJ22983" s="835">
        <v>42004</v>
      </c>
      <c r="AK22983" s="831">
        <v>627874260</v>
      </c>
    </row>
    <row r="22984" spans="32:37">
      <c r="AF22984" s="831" t="s">
        <v>11799</v>
      </c>
      <c r="AG22984" s="831" t="s">
        <v>2674</v>
      </c>
      <c r="AH22984" s="831" t="s">
        <v>192</v>
      </c>
      <c r="AI22984" s="831">
        <v>0</v>
      </c>
      <c r="AJ22984" s="835">
        <v>42004</v>
      </c>
      <c r="AK22984" s="831">
        <v>-9140000</v>
      </c>
    </row>
    <row r="22985" spans="32:37">
      <c r="AF22985" s="831" t="s">
        <v>11800</v>
      </c>
      <c r="AG22985" s="831" t="s">
        <v>2674</v>
      </c>
      <c r="AH22985" s="831" t="s">
        <v>558</v>
      </c>
      <c r="AI22985" s="831">
        <v>0</v>
      </c>
      <c r="AJ22985" s="835">
        <v>42004</v>
      </c>
      <c r="AK22985" s="831">
        <v>896801000</v>
      </c>
    </row>
    <row r="22986" spans="32:37">
      <c r="AF22986" s="831" t="s">
        <v>11801</v>
      </c>
      <c r="AG22986" s="831" t="s">
        <v>2674</v>
      </c>
      <c r="AH22986" s="831" t="s">
        <v>65</v>
      </c>
      <c r="AI22986" s="831">
        <v>0</v>
      </c>
      <c r="AJ22986" s="835">
        <v>42004</v>
      </c>
      <c r="AK22986" s="831">
        <v>169813000</v>
      </c>
    </row>
    <row r="22987" spans="32:37">
      <c r="AF22987" s="831" t="s">
        <v>11802</v>
      </c>
      <c r="AG22987" s="831" t="s">
        <v>2674</v>
      </c>
      <c r="AH22987" s="831" t="s">
        <v>89</v>
      </c>
      <c r="AI22987" s="831">
        <v>0</v>
      </c>
      <c r="AJ22987" s="835">
        <v>42004</v>
      </c>
      <c r="AK22987" s="831">
        <v>157146</v>
      </c>
    </row>
    <row r="22988" spans="32:37">
      <c r="AF22988" s="831" t="s">
        <v>11803</v>
      </c>
      <c r="AG22988" s="831" t="s">
        <v>2674</v>
      </c>
      <c r="AH22988" s="831" t="s">
        <v>557</v>
      </c>
      <c r="AI22988" s="831">
        <v>0</v>
      </c>
      <c r="AJ22988" s="835">
        <v>42004</v>
      </c>
      <c r="AK22988" s="831">
        <v>178484</v>
      </c>
    </row>
    <row r="22989" spans="32:37">
      <c r="AF22989" s="831" t="s">
        <v>11804</v>
      </c>
      <c r="AG22989" s="831" t="s">
        <v>2674</v>
      </c>
      <c r="AH22989" s="831" t="s">
        <v>29</v>
      </c>
      <c r="AI22989" s="831">
        <v>0</v>
      </c>
      <c r="AJ22989" s="835">
        <v>42004</v>
      </c>
      <c r="AK22989" s="831">
        <v>6837000</v>
      </c>
    </row>
    <row r="22990" spans="32:37">
      <c r="AF22990" s="831" t="s">
        <v>11805</v>
      </c>
      <c r="AG22990" s="831" t="s">
        <v>2674</v>
      </c>
      <c r="AH22990" s="831" t="s">
        <v>2688</v>
      </c>
      <c r="AI22990" s="831">
        <v>0</v>
      </c>
      <c r="AJ22990" s="835">
        <v>42004</v>
      </c>
      <c r="AK22990" s="831">
        <v>5048648</v>
      </c>
    </row>
    <row r="22991" spans="32:37">
      <c r="AF22991" s="831" t="s">
        <v>11806</v>
      </c>
      <c r="AG22991" s="831" t="s">
        <v>2674</v>
      </c>
      <c r="AH22991" s="831" t="s">
        <v>556</v>
      </c>
      <c r="AI22991" s="831">
        <v>0</v>
      </c>
      <c r="AJ22991" s="835">
        <v>42004</v>
      </c>
      <c r="AK22991" s="831">
        <v>11412135</v>
      </c>
    </row>
    <row r="22992" spans="32:37">
      <c r="AF22992" s="831" t="s">
        <v>11807</v>
      </c>
      <c r="AG22992" s="831" t="s">
        <v>2674</v>
      </c>
      <c r="AH22992" s="831" t="s">
        <v>555</v>
      </c>
      <c r="AI22992" s="831">
        <v>0</v>
      </c>
      <c r="AJ22992" s="835">
        <v>42004</v>
      </c>
      <c r="AK22992" s="831">
        <v>596336076</v>
      </c>
    </row>
    <row r="22993" spans="32:37">
      <c r="AF22993" s="831" t="s">
        <v>11808</v>
      </c>
      <c r="AG22993" s="831" t="s">
        <v>2674</v>
      </c>
      <c r="AH22993" s="831" t="s">
        <v>554</v>
      </c>
      <c r="AI22993" s="831">
        <v>0</v>
      </c>
      <c r="AJ22993" s="835">
        <v>42004</v>
      </c>
      <c r="AK22993" s="831">
        <v>603608535</v>
      </c>
    </row>
    <row r="22994" spans="32:37">
      <c r="AF22994" s="831" t="s">
        <v>11809</v>
      </c>
      <c r="AG22994" s="831" t="s">
        <v>2674</v>
      </c>
      <c r="AH22994" s="831" t="s">
        <v>553</v>
      </c>
      <c r="AI22994" s="831">
        <v>0</v>
      </c>
      <c r="AJ22994" s="835">
        <v>42004</v>
      </c>
      <c r="AK22994" s="831">
        <v>0</v>
      </c>
    </row>
    <row r="22995" spans="32:37">
      <c r="AF22995" s="831" t="s">
        <v>11810</v>
      </c>
      <c r="AG22995" s="831" t="s">
        <v>2674</v>
      </c>
      <c r="AH22995" s="831" t="s">
        <v>552</v>
      </c>
      <c r="AI22995" s="831">
        <v>0</v>
      </c>
      <c r="AJ22995" s="835">
        <v>42004</v>
      </c>
      <c r="AK22995" s="831">
        <v>0</v>
      </c>
    </row>
    <row r="22996" spans="32:37">
      <c r="AF22996" s="831" t="s">
        <v>11811</v>
      </c>
      <c r="AG22996" s="831" t="s">
        <v>2674</v>
      </c>
      <c r="AH22996" s="831" t="s">
        <v>551</v>
      </c>
      <c r="AI22996" s="831">
        <v>0</v>
      </c>
      <c r="AJ22996" s="835">
        <v>42004</v>
      </c>
      <c r="AK22996" s="831">
        <v>6446340</v>
      </c>
    </row>
    <row r="22997" spans="32:37">
      <c r="AF22997" s="831" t="s">
        <v>11812</v>
      </c>
      <c r="AG22997" s="831" t="s">
        <v>2674</v>
      </c>
      <c r="AH22997" s="831" t="s">
        <v>550</v>
      </c>
      <c r="AI22997" s="831">
        <v>0</v>
      </c>
      <c r="AJ22997" s="835">
        <v>42004</v>
      </c>
      <c r="AK22997" s="831">
        <v>153599665</v>
      </c>
    </row>
    <row r="22998" spans="32:37">
      <c r="AF22998" s="831" t="s">
        <v>11813</v>
      </c>
      <c r="AG22998" s="831" t="s">
        <v>2674</v>
      </c>
      <c r="AH22998" s="831" t="s">
        <v>562</v>
      </c>
      <c r="AI22998" s="831">
        <v>0</v>
      </c>
      <c r="AJ22998" s="835">
        <v>42004</v>
      </c>
      <c r="AK22998" s="831">
        <v>0.78310000000000002</v>
      </c>
    </row>
    <row r="22999" spans="32:37">
      <c r="AF22999" s="831" t="s">
        <v>11814</v>
      </c>
      <c r="AG22999" s="831" t="s">
        <v>2674</v>
      </c>
      <c r="AH22999" s="831" t="s">
        <v>2698</v>
      </c>
      <c r="AI22999" s="831">
        <v>0</v>
      </c>
      <c r="AJ22999" s="835">
        <v>42004</v>
      </c>
      <c r="AK22999" s="831">
        <v>0.78390000000000004</v>
      </c>
    </row>
    <row r="23000" spans="32:37">
      <c r="AF23000" s="831" t="s">
        <v>11815</v>
      </c>
      <c r="AG23000" s="831" t="s">
        <v>2674</v>
      </c>
      <c r="AH23000" s="831" t="s">
        <v>560</v>
      </c>
      <c r="AI23000" s="831">
        <v>0</v>
      </c>
      <c r="AJ23000" s="835">
        <v>42004</v>
      </c>
      <c r="AK23000" s="831">
        <v>0.78363333333333329</v>
      </c>
    </row>
    <row r="23001" spans="32:37">
      <c r="AF23001" s="831" t="s">
        <v>11816</v>
      </c>
      <c r="AG23001" s="831" t="s">
        <v>2674</v>
      </c>
      <c r="AH23001" s="831" t="s">
        <v>559</v>
      </c>
      <c r="AI23001" s="831">
        <v>0</v>
      </c>
      <c r="AJ23001" s="835">
        <v>42004</v>
      </c>
      <c r="AK23001" s="831">
        <v>0.78363333333333329</v>
      </c>
    </row>
    <row r="23002" spans="32:37">
      <c r="AF23002" s="831" t="s">
        <v>11817</v>
      </c>
      <c r="AG23002" s="831" t="s">
        <v>2674</v>
      </c>
      <c r="AH23002" s="831" t="s">
        <v>568</v>
      </c>
      <c r="AI23002" s="831">
        <v>0</v>
      </c>
      <c r="AJ23002" s="835">
        <v>42004</v>
      </c>
      <c r="AK23002" s="831">
        <v>723814619.46153843</v>
      </c>
    </row>
    <row r="23003" spans="32:37">
      <c r="AF23003" s="831" t="s">
        <v>11818</v>
      </c>
      <c r="AG23003" s="831" t="s">
        <v>2674</v>
      </c>
      <c r="AH23003" s="831" t="s">
        <v>569</v>
      </c>
      <c r="AI23003" s="831">
        <v>0</v>
      </c>
      <c r="AJ23003" s="835">
        <v>42004</v>
      </c>
      <c r="AK23003" s="831">
        <v>899930209.58176923</v>
      </c>
    </row>
    <row r="23004" spans="32:37">
      <c r="AF23004" s="831" t="s">
        <v>11819</v>
      </c>
      <c r="AG23004" s="831" t="s">
        <v>2674</v>
      </c>
      <c r="AH23004" s="831" t="s">
        <v>570</v>
      </c>
      <c r="AI23004" s="831">
        <v>0</v>
      </c>
      <c r="AJ23004" s="835">
        <v>42004</v>
      </c>
      <c r="AK23004" s="831">
        <v>134134466.30307692</v>
      </c>
    </row>
    <row r="23005" spans="32:37">
      <c r="AF23005" s="831" t="s">
        <v>11820</v>
      </c>
      <c r="AG23005" s="831" t="s">
        <v>2674</v>
      </c>
      <c r="AH23005" s="831" t="s">
        <v>571</v>
      </c>
      <c r="AI23005" s="831">
        <v>0</v>
      </c>
      <c r="AJ23005" s="835">
        <v>42004</v>
      </c>
      <c r="AK23005" s="831">
        <v>445629705.61753845</v>
      </c>
    </row>
    <row r="23006" spans="32:37">
      <c r="AF23006" s="831" t="s">
        <v>11821</v>
      </c>
      <c r="AG23006" s="831" t="s">
        <v>2674</v>
      </c>
      <c r="AH23006" s="831" t="s">
        <v>573</v>
      </c>
      <c r="AI23006" s="831">
        <v>0</v>
      </c>
      <c r="AJ23006" s="835">
        <v>42004</v>
      </c>
      <c r="AK23006" s="831">
        <v>899930209.58176923</v>
      </c>
    </row>
    <row r="23007" spans="32:37">
      <c r="AF23007" s="831" t="s">
        <v>11822</v>
      </c>
      <c r="AG23007" s="831" t="s">
        <v>2674</v>
      </c>
      <c r="AH23007" s="831" t="s">
        <v>574</v>
      </c>
      <c r="AI23007" s="831">
        <v>0</v>
      </c>
      <c r="AJ23007" s="835">
        <v>42004</v>
      </c>
      <c r="AK23007" s="831">
        <v>723814619.46153843</v>
      </c>
    </row>
    <row r="23008" spans="32:37">
      <c r="AF23008" s="831" t="s">
        <v>11823</v>
      </c>
      <c r="AG23008" s="831" t="s">
        <v>2674</v>
      </c>
      <c r="AH23008" s="831" t="s">
        <v>575</v>
      </c>
      <c r="AI23008" s="831">
        <v>0</v>
      </c>
      <c r="AJ23008" s="835">
        <v>42004</v>
      </c>
      <c r="AK23008" s="831">
        <v>134134466.30307692</v>
      </c>
    </row>
    <row r="23009" spans="32:37">
      <c r="AF23009" s="831" t="s">
        <v>11824</v>
      </c>
      <c r="AG23009" s="831" t="s">
        <v>2674</v>
      </c>
      <c r="AH23009" s="831" t="s">
        <v>576</v>
      </c>
      <c r="AI23009" s="831">
        <v>0</v>
      </c>
      <c r="AJ23009" s="835">
        <v>42004</v>
      </c>
      <c r="AK23009" s="831">
        <v>445629705.61753845</v>
      </c>
    </row>
    <row r="23010" spans="32:37">
      <c r="AF23010" s="831" t="s">
        <v>11825</v>
      </c>
      <c r="AG23010" s="831" t="s">
        <v>2674</v>
      </c>
      <c r="AH23010" s="831" t="s">
        <v>572</v>
      </c>
      <c r="AI23010" s="831">
        <v>0</v>
      </c>
      <c r="AJ23010" s="835">
        <v>42004</v>
      </c>
      <c r="AK23010" s="831">
        <v>43040000</v>
      </c>
    </row>
    <row r="23011" spans="32:37">
      <c r="AF23011" s="831" t="s">
        <v>11826</v>
      </c>
      <c r="AG23011" s="831" t="s">
        <v>2674</v>
      </c>
      <c r="AH23011" s="831" t="s">
        <v>577</v>
      </c>
      <c r="AI23011" s="831">
        <v>0</v>
      </c>
      <c r="AJ23011" s="835">
        <v>42004</v>
      </c>
      <c r="AK23011" s="831">
        <v>169813000</v>
      </c>
    </row>
    <row r="23012" spans="32:37">
      <c r="AF23012" s="831" t="s">
        <v>11827</v>
      </c>
      <c r="AG23012" s="831" t="s">
        <v>2674</v>
      </c>
      <c r="AH23012" s="831" t="s">
        <v>3042</v>
      </c>
      <c r="AI23012" s="831">
        <v>0</v>
      </c>
      <c r="AJ23012" s="835">
        <v>42004</v>
      </c>
      <c r="AK23012" s="831">
        <v>-51705000</v>
      </c>
    </row>
    <row r="23013" spans="32:37">
      <c r="AF23013" s="831" t="s">
        <v>11828</v>
      </c>
      <c r="AG23013" s="831" t="s">
        <v>2674</v>
      </c>
      <c r="AH23013" s="831" t="s">
        <v>3044</v>
      </c>
      <c r="AI23013" s="831">
        <v>0</v>
      </c>
      <c r="AJ23013" s="835">
        <v>42004</v>
      </c>
      <c r="AK23013" s="831">
        <v>3515000</v>
      </c>
    </row>
    <row r="23014" spans="32:37">
      <c r="AF23014" s="831" t="s">
        <v>11829</v>
      </c>
      <c r="AG23014" s="831" t="s">
        <v>2674</v>
      </c>
      <c r="AH23014" s="831" t="s">
        <v>580</v>
      </c>
      <c r="AI23014" s="831">
        <v>0</v>
      </c>
      <c r="AJ23014" s="835">
        <v>42004</v>
      </c>
      <c r="AK23014" s="831">
        <v>-78262000</v>
      </c>
    </row>
    <row r="23015" spans="32:37">
      <c r="AF23015" s="831" t="s">
        <v>11830</v>
      </c>
      <c r="AG23015" s="831" t="s">
        <v>2674</v>
      </c>
      <c r="AH23015" s="831" t="s">
        <v>581</v>
      </c>
      <c r="AI23015" s="831">
        <v>0</v>
      </c>
      <c r="AJ23015" s="835">
        <v>42004</v>
      </c>
      <c r="AK23015" s="831">
        <v>9963000</v>
      </c>
    </row>
    <row r="23016" spans="32:37">
      <c r="AF23016" s="831" t="s">
        <v>11831</v>
      </c>
      <c r="AG23016" s="831" t="s">
        <v>2674</v>
      </c>
      <c r="AH23016" s="831" t="s">
        <v>105</v>
      </c>
      <c r="AI23016" s="831">
        <v>0</v>
      </c>
      <c r="AJ23016" s="835">
        <v>42004</v>
      </c>
      <c r="AK23016" s="831">
        <v>532345000</v>
      </c>
    </row>
    <row r="23017" spans="32:37">
      <c r="AF23017" s="831" t="s">
        <v>11832</v>
      </c>
      <c r="AG23017" s="831" t="s">
        <v>2674</v>
      </c>
      <c r="AH23017" s="831" t="s">
        <v>3049</v>
      </c>
      <c r="AI23017" s="831">
        <v>0</v>
      </c>
      <c r="AJ23017" s="835">
        <v>42004</v>
      </c>
      <c r="AK23017" s="831">
        <v>871130000</v>
      </c>
    </row>
    <row r="23018" spans="32:37">
      <c r="AF23018" s="831" t="s">
        <v>11833</v>
      </c>
      <c r="AG23018" s="831" t="s">
        <v>2674</v>
      </c>
      <c r="AH23018" s="831" t="s">
        <v>103</v>
      </c>
      <c r="AI23018" s="831">
        <v>0</v>
      </c>
      <c r="AJ23018" s="835">
        <v>42004</v>
      </c>
      <c r="AK23018" s="831">
        <v>338785000</v>
      </c>
    </row>
    <row r="23019" spans="32:37">
      <c r="AF23019" s="831" t="s">
        <v>11834</v>
      </c>
      <c r="AG23019" s="831" t="s">
        <v>2674</v>
      </c>
      <c r="AH23019" s="831" t="s">
        <v>182</v>
      </c>
      <c r="AI23019" s="831">
        <v>0</v>
      </c>
      <c r="AJ23019" s="835">
        <v>42004</v>
      </c>
      <c r="AK23019" s="831">
        <v>78262000</v>
      </c>
    </row>
    <row r="23020" spans="32:37">
      <c r="AF23020" s="831" t="s">
        <v>11835</v>
      </c>
      <c r="AG23020" s="831" t="s">
        <v>2674</v>
      </c>
      <c r="AH23020" s="831" t="s">
        <v>6600</v>
      </c>
      <c r="AI23020" s="831">
        <v>0</v>
      </c>
      <c r="AJ23020" s="835">
        <v>42004</v>
      </c>
      <c r="AK23020" s="831">
        <v>43040000</v>
      </c>
    </row>
    <row r="23021" spans="32:37">
      <c r="AF23021" s="831" t="s">
        <v>11836</v>
      </c>
      <c r="AG23021" s="831" t="s">
        <v>2674</v>
      </c>
      <c r="AH23021" s="831" t="s">
        <v>6602</v>
      </c>
      <c r="AI23021" s="831">
        <v>0</v>
      </c>
      <c r="AJ23021" s="835">
        <v>42004</v>
      </c>
      <c r="AK23021" s="831">
        <v>43040000</v>
      </c>
    </row>
    <row r="23022" spans="32:37">
      <c r="AF23022" s="831" t="s">
        <v>11837</v>
      </c>
      <c r="AG23022" s="831" t="s">
        <v>2674</v>
      </c>
      <c r="AH23022" s="831" t="s">
        <v>650</v>
      </c>
      <c r="AI23022" s="831">
        <v>0</v>
      </c>
      <c r="AJ23022" s="835">
        <v>42004</v>
      </c>
      <c r="AK23022" s="831">
        <v>294946351.96523076</v>
      </c>
    </row>
    <row r="23023" spans="32:37">
      <c r="AF23023" s="831" t="s">
        <v>11838</v>
      </c>
      <c r="AG23023" s="831" t="s">
        <v>2674</v>
      </c>
      <c r="AH23023" s="831" t="s">
        <v>655</v>
      </c>
      <c r="AI23023" s="831">
        <v>0</v>
      </c>
      <c r="AJ23023" s="835">
        <v>42004</v>
      </c>
      <c r="AK23023" s="831">
        <v>5599000</v>
      </c>
    </row>
    <row r="23024" spans="32:37">
      <c r="AF23024" s="831" t="s">
        <v>11839</v>
      </c>
      <c r="AG23024" s="831" t="s">
        <v>2674</v>
      </c>
      <c r="AH23024" s="831" t="s">
        <v>546</v>
      </c>
      <c r="AI23024" s="831">
        <v>0</v>
      </c>
      <c r="AJ23024" s="835">
        <v>42035</v>
      </c>
      <c r="AK23024" s="831">
        <v>829753309</v>
      </c>
    </row>
    <row r="23025" spans="32:37">
      <c r="AF23025" s="831" t="s">
        <v>11840</v>
      </c>
      <c r="AG23025" s="831" t="s">
        <v>2674</v>
      </c>
      <c r="AH23025" s="831" t="s">
        <v>370</v>
      </c>
      <c r="AI23025" s="831">
        <v>0</v>
      </c>
      <c r="AJ23025" s="835">
        <v>42035</v>
      </c>
      <c r="AK23025" s="831">
        <v>1044609243</v>
      </c>
    </row>
    <row r="23026" spans="32:37">
      <c r="AF23026" s="831" t="s">
        <v>11841</v>
      </c>
      <c r="AG23026" s="831" t="s">
        <v>2674</v>
      </c>
      <c r="AH23026" s="831" t="s">
        <v>126</v>
      </c>
      <c r="AI23026" s="831">
        <v>0</v>
      </c>
      <c r="AJ23026" s="835">
        <v>42035</v>
      </c>
      <c r="AK23026" s="831">
        <v>148860224</v>
      </c>
    </row>
    <row r="23027" spans="32:37">
      <c r="AF23027" s="831" t="s">
        <v>11842</v>
      </c>
      <c r="AG23027" s="831" t="s">
        <v>2674</v>
      </c>
      <c r="AH23027" s="831" t="s">
        <v>268</v>
      </c>
      <c r="AI23027" s="831">
        <v>0</v>
      </c>
      <c r="AJ23027" s="835">
        <v>42035</v>
      </c>
      <c r="AK23027" s="831">
        <v>3451938</v>
      </c>
    </row>
    <row r="23028" spans="32:37">
      <c r="AF23028" s="831" t="s">
        <v>11843</v>
      </c>
      <c r="AG23028" s="831" t="s">
        <v>2674</v>
      </c>
      <c r="AH23028" s="831" t="s">
        <v>547</v>
      </c>
      <c r="AI23028" s="831">
        <v>0</v>
      </c>
      <c r="AJ23028" s="835">
        <v>42035</v>
      </c>
      <c r="AK23028" s="831">
        <v>1044609243</v>
      </c>
    </row>
    <row r="23029" spans="32:37">
      <c r="AF23029" s="831" t="s">
        <v>11844</v>
      </c>
      <c r="AG23029" s="831" t="s">
        <v>2674</v>
      </c>
      <c r="AH23029" s="831" t="s">
        <v>548</v>
      </c>
      <c r="AI23029" s="831">
        <v>0</v>
      </c>
      <c r="AJ23029" s="835">
        <v>42035</v>
      </c>
      <c r="AK23029" s="831">
        <v>148860224</v>
      </c>
    </row>
    <row r="23030" spans="32:37">
      <c r="AF23030" s="831" t="s">
        <v>11845</v>
      </c>
      <c r="AG23030" s="831" t="s">
        <v>2674</v>
      </c>
      <c r="AH23030" s="831" t="s">
        <v>549</v>
      </c>
      <c r="AI23030" s="831">
        <v>0</v>
      </c>
      <c r="AJ23030" s="835">
        <v>42035</v>
      </c>
      <c r="AK23030" s="831">
        <v>635618516</v>
      </c>
    </row>
    <row r="23031" spans="32:37">
      <c r="AF23031" s="831" t="s">
        <v>11846</v>
      </c>
      <c r="AG23031" s="831" t="s">
        <v>2674</v>
      </c>
      <c r="AH23031" s="831" t="s">
        <v>192</v>
      </c>
      <c r="AI23031" s="831">
        <v>0</v>
      </c>
      <c r="AJ23031" s="835">
        <v>42035</v>
      </c>
      <c r="AK23031" s="831">
        <v>-9765211</v>
      </c>
    </row>
    <row r="23032" spans="32:37">
      <c r="AF23032" s="831" t="s">
        <v>11847</v>
      </c>
      <c r="AG23032" s="831" t="s">
        <v>2674</v>
      </c>
      <c r="AH23032" s="831" t="s">
        <v>558</v>
      </c>
      <c r="AI23032" s="831">
        <v>0</v>
      </c>
      <c r="AJ23032" s="835">
        <v>42035</v>
      </c>
      <c r="AK23032" s="831">
        <v>895749019</v>
      </c>
    </row>
    <row r="23033" spans="32:37">
      <c r="AF23033" s="831" t="s">
        <v>11848</v>
      </c>
      <c r="AG23033" s="831" t="s">
        <v>2674</v>
      </c>
      <c r="AH23033" s="831" t="s">
        <v>65</v>
      </c>
      <c r="AI23033" s="831">
        <v>0</v>
      </c>
      <c r="AJ23033" s="835">
        <v>42035</v>
      </c>
      <c r="AK23033" s="831">
        <v>16060962</v>
      </c>
    </row>
    <row r="23034" spans="32:37">
      <c r="AF23034" s="831" t="s">
        <v>11849</v>
      </c>
      <c r="AG23034" s="831" t="s">
        <v>2674</v>
      </c>
      <c r="AH23034" s="831" t="s">
        <v>89</v>
      </c>
      <c r="AI23034" s="831">
        <v>0</v>
      </c>
      <c r="AJ23034" s="835">
        <v>42035</v>
      </c>
      <c r="AK23034" s="831">
        <v>158062</v>
      </c>
    </row>
    <row r="23035" spans="32:37">
      <c r="AF23035" s="831" t="s">
        <v>11850</v>
      </c>
      <c r="AG23035" s="831" t="s">
        <v>2674</v>
      </c>
      <c r="AH23035" s="831" t="s">
        <v>557</v>
      </c>
      <c r="AI23035" s="831">
        <v>0</v>
      </c>
      <c r="AJ23035" s="835">
        <v>42035</v>
      </c>
      <c r="AK23035" s="831">
        <v>180227</v>
      </c>
    </row>
    <row r="23036" spans="32:37">
      <c r="AF23036" s="831" t="s">
        <v>11851</v>
      </c>
      <c r="AG23036" s="831" t="s">
        <v>2674</v>
      </c>
      <c r="AH23036" s="831" t="s">
        <v>29</v>
      </c>
      <c r="AI23036" s="831">
        <v>0</v>
      </c>
      <c r="AJ23036" s="835">
        <v>42035</v>
      </c>
      <c r="AK23036" s="831">
        <v>7401483</v>
      </c>
    </row>
    <row r="23037" spans="32:37">
      <c r="AF23037" s="831" t="s">
        <v>11852</v>
      </c>
      <c r="AG23037" s="831" t="s">
        <v>2674</v>
      </c>
      <c r="AH23037" s="831" t="s">
        <v>2688</v>
      </c>
      <c r="AI23037" s="831">
        <v>0</v>
      </c>
      <c r="AJ23037" s="835">
        <v>42035</v>
      </c>
      <c r="AK23037" s="831">
        <v>5438707</v>
      </c>
    </row>
    <row r="23038" spans="32:37">
      <c r="AF23038" s="831" t="s">
        <v>11853</v>
      </c>
      <c r="AG23038" s="831" t="s">
        <v>2674</v>
      </c>
      <c r="AH23038" s="831" t="s">
        <v>556</v>
      </c>
      <c r="AI23038" s="831">
        <v>0</v>
      </c>
      <c r="AJ23038" s="835">
        <v>42035</v>
      </c>
      <c r="AK23038" s="831">
        <v>11412135</v>
      </c>
    </row>
    <row r="23039" spans="32:37">
      <c r="AF23039" s="831" t="s">
        <v>11854</v>
      </c>
      <c r="AG23039" s="831" t="s">
        <v>2674</v>
      </c>
      <c r="AH23039" s="831" t="s">
        <v>555</v>
      </c>
      <c r="AI23039" s="831">
        <v>0</v>
      </c>
      <c r="AJ23039" s="835">
        <v>42035</v>
      </c>
      <c r="AK23039" s="831">
        <v>579511362</v>
      </c>
    </row>
    <row r="23040" spans="32:37">
      <c r="AF23040" s="831" t="s">
        <v>11855</v>
      </c>
      <c r="AG23040" s="831" t="s">
        <v>2674</v>
      </c>
      <c r="AH23040" s="831" t="s">
        <v>554</v>
      </c>
      <c r="AI23040" s="831">
        <v>0</v>
      </c>
      <c r="AJ23040" s="835">
        <v>42035</v>
      </c>
      <c r="AK23040" s="831">
        <v>622474260</v>
      </c>
    </row>
    <row r="23041" spans="32:37">
      <c r="AF23041" s="831" t="s">
        <v>11856</v>
      </c>
      <c r="AG23041" s="831" t="s">
        <v>2674</v>
      </c>
      <c r="AH23041" s="831" t="s">
        <v>553</v>
      </c>
      <c r="AI23041" s="831">
        <v>0</v>
      </c>
      <c r="AJ23041" s="835">
        <v>42035</v>
      </c>
      <c r="AK23041" s="831">
        <v>0</v>
      </c>
    </row>
    <row r="23042" spans="32:37">
      <c r="AF23042" s="831" t="s">
        <v>11857</v>
      </c>
      <c r="AG23042" s="831" t="s">
        <v>2674</v>
      </c>
      <c r="AH23042" s="831" t="s">
        <v>552</v>
      </c>
      <c r="AI23042" s="831">
        <v>0</v>
      </c>
      <c r="AJ23042" s="835">
        <v>42035</v>
      </c>
      <c r="AK23042" s="831">
        <v>0</v>
      </c>
    </row>
    <row r="23043" spans="32:37">
      <c r="AF23043" s="831" t="s">
        <v>11858</v>
      </c>
      <c r="AG23043" s="831" t="s">
        <v>2674</v>
      </c>
      <c r="AH23043" s="831" t="s">
        <v>551</v>
      </c>
      <c r="AI23043" s="831">
        <v>0</v>
      </c>
      <c r="AJ23043" s="835">
        <v>42035</v>
      </c>
      <c r="AK23043" s="831">
        <v>5260060</v>
      </c>
    </row>
    <row r="23044" spans="32:37">
      <c r="AF23044" s="831" t="s">
        <v>11859</v>
      </c>
      <c r="AG23044" s="831" t="s">
        <v>2674</v>
      </c>
      <c r="AH23044" s="831" t="s">
        <v>550</v>
      </c>
      <c r="AI23044" s="831">
        <v>0</v>
      </c>
      <c r="AJ23044" s="835">
        <v>42035</v>
      </c>
      <c r="AK23044" s="831">
        <v>145409000</v>
      </c>
    </row>
    <row r="23045" spans="32:37">
      <c r="AF23045" s="831" t="s">
        <v>11860</v>
      </c>
      <c r="AG23045" s="831" t="s">
        <v>2674</v>
      </c>
      <c r="AH23045" s="831" t="s">
        <v>562</v>
      </c>
      <c r="AI23045" s="831">
        <v>0</v>
      </c>
      <c r="AJ23045" s="835">
        <v>42035</v>
      </c>
      <c r="AK23045" s="831">
        <v>0.78439999999999999</v>
      </c>
    </row>
    <row r="23046" spans="32:37">
      <c r="AF23046" s="831" t="s">
        <v>11861</v>
      </c>
      <c r="AG23046" s="831" t="s">
        <v>2674</v>
      </c>
      <c r="AH23046" s="831" t="s">
        <v>2698</v>
      </c>
      <c r="AI23046" s="831">
        <v>0</v>
      </c>
      <c r="AJ23046" s="835">
        <v>42035</v>
      </c>
      <c r="AK23046" s="831">
        <v>0.78310000000000002</v>
      </c>
    </row>
    <row r="23047" spans="32:37">
      <c r="AF23047" s="831" t="s">
        <v>11862</v>
      </c>
      <c r="AG23047" s="831" t="s">
        <v>2674</v>
      </c>
      <c r="AH23047" s="831" t="s">
        <v>560</v>
      </c>
      <c r="AI23047" s="831">
        <v>0</v>
      </c>
      <c r="AJ23047" s="835">
        <v>42035</v>
      </c>
      <c r="AK23047" s="831">
        <v>0.78439999999999999</v>
      </c>
    </row>
    <row r="23048" spans="32:37">
      <c r="AF23048" s="831" t="s">
        <v>11863</v>
      </c>
      <c r="AG23048" s="831" t="s">
        <v>2674</v>
      </c>
      <c r="AH23048" s="831" t="s">
        <v>559</v>
      </c>
      <c r="AI23048" s="831">
        <v>0</v>
      </c>
      <c r="AJ23048" s="835">
        <v>42035</v>
      </c>
      <c r="AK23048" s="831">
        <v>0.78369583333333326</v>
      </c>
    </row>
    <row r="23049" spans="32:37">
      <c r="AF23049" s="831" t="s">
        <v>11864</v>
      </c>
      <c r="AG23049" s="831" t="s">
        <v>2674</v>
      </c>
      <c r="AH23049" s="831" t="s">
        <v>568</v>
      </c>
      <c r="AI23049" s="831">
        <v>0</v>
      </c>
      <c r="AJ23049" s="835">
        <v>42035</v>
      </c>
      <c r="AK23049" s="831">
        <v>739343777.07692313</v>
      </c>
    </row>
    <row r="23050" spans="32:37">
      <c r="AF23050" s="831" t="s">
        <v>11865</v>
      </c>
      <c r="AG23050" s="831" t="s">
        <v>2674</v>
      </c>
      <c r="AH23050" s="831" t="s">
        <v>569</v>
      </c>
      <c r="AI23050" s="831">
        <v>0</v>
      </c>
      <c r="AJ23050" s="835">
        <v>42035</v>
      </c>
      <c r="AK23050" s="831">
        <v>919552846</v>
      </c>
    </row>
    <row r="23051" spans="32:37">
      <c r="AF23051" s="831" t="s">
        <v>11866</v>
      </c>
      <c r="AG23051" s="831" t="s">
        <v>2674</v>
      </c>
      <c r="AH23051" s="831" t="s">
        <v>570</v>
      </c>
      <c r="AI23051" s="831">
        <v>0</v>
      </c>
      <c r="AJ23051" s="835">
        <v>42035</v>
      </c>
      <c r="AK23051" s="831">
        <v>136809116.92538461</v>
      </c>
    </row>
    <row r="23052" spans="32:37">
      <c r="AF23052" s="831" t="s">
        <v>11867</v>
      </c>
      <c r="AG23052" s="831" t="s">
        <v>2674</v>
      </c>
      <c r="AH23052" s="831" t="s">
        <v>571</v>
      </c>
      <c r="AI23052" s="831">
        <v>0</v>
      </c>
      <c r="AJ23052" s="835">
        <v>42035</v>
      </c>
      <c r="AK23052" s="831">
        <v>456907538.41669232</v>
      </c>
    </row>
    <row r="23053" spans="32:37">
      <c r="AF23053" s="831" t="s">
        <v>11868</v>
      </c>
      <c r="AG23053" s="831" t="s">
        <v>2674</v>
      </c>
      <c r="AH23053" s="831" t="s">
        <v>573</v>
      </c>
      <c r="AI23053" s="831">
        <v>0</v>
      </c>
      <c r="AJ23053" s="835">
        <v>42035</v>
      </c>
      <c r="AK23053" s="831">
        <v>1043409621.5</v>
      </c>
    </row>
    <row r="23054" spans="32:37">
      <c r="AF23054" s="831" t="s">
        <v>11869</v>
      </c>
      <c r="AG23054" s="831" t="s">
        <v>2674</v>
      </c>
      <c r="AH23054" s="831" t="s">
        <v>574</v>
      </c>
      <c r="AI23054" s="831">
        <v>0</v>
      </c>
      <c r="AJ23054" s="835">
        <v>42035</v>
      </c>
      <c r="AK23054" s="831">
        <v>829336654.5</v>
      </c>
    </row>
    <row r="23055" spans="32:37">
      <c r="AF23055" s="831" t="s">
        <v>11870</v>
      </c>
      <c r="AG23055" s="831" t="s">
        <v>2674</v>
      </c>
      <c r="AH23055" s="831" t="s">
        <v>575</v>
      </c>
      <c r="AI23055" s="831">
        <v>0</v>
      </c>
      <c r="AJ23055" s="835">
        <v>42035</v>
      </c>
      <c r="AK23055" s="831">
        <v>147134612</v>
      </c>
    </row>
    <row r="23056" spans="32:37">
      <c r="AF23056" s="831" t="s">
        <v>11871</v>
      </c>
      <c r="AG23056" s="831" t="s">
        <v>2674</v>
      </c>
      <c r="AH23056" s="831" t="s">
        <v>576</v>
      </c>
      <c r="AI23056" s="831">
        <v>0</v>
      </c>
      <c r="AJ23056" s="835">
        <v>42035</v>
      </c>
      <c r="AK23056" s="831">
        <v>535265337</v>
      </c>
    </row>
    <row r="23057" spans="32:37">
      <c r="AF23057" s="831" t="s">
        <v>11872</v>
      </c>
      <c r="AG23057" s="831" t="s">
        <v>2674</v>
      </c>
      <c r="AH23057" s="831" t="s">
        <v>572</v>
      </c>
      <c r="AI23057" s="831">
        <v>0</v>
      </c>
      <c r="AJ23057" s="835">
        <v>42035</v>
      </c>
      <c r="AK23057" s="831">
        <v>43193117</v>
      </c>
    </row>
    <row r="23058" spans="32:37">
      <c r="AF23058" s="831" t="s">
        <v>11873</v>
      </c>
      <c r="AG23058" s="831" t="s">
        <v>2674</v>
      </c>
      <c r="AH23058" s="831" t="s">
        <v>577</v>
      </c>
      <c r="AI23058" s="831">
        <v>0</v>
      </c>
      <c r="AJ23058" s="835">
        <v>42035</v>
      </c>
      <c r="AK23058" s="831">
        <v>172605174</v>
      </c>
    </row>
    <row r="23059" spans="32:37">
      <c r="AF23059" s="831" t="s">
        <v>11874</v>
      </c>
      <c r="AG23059" s="831" t="s">
        <v>2674</v>
      </c>
      <c r="AH23059" s="831" t="s">
        <v>3042</v>
      </c>
      <c r="AI23059" s="831">
        <v>0</v>
      </c>
      <c r="AJ23059" s="835">
        <v>42035</v>
      </c>
      <c r="AK23059" s="831">
        <v>-52806938</v>
      </c>
    </row>
    <row r="23060" spans="32:37">
      <c r="AF23060" s="831" t="s">
        <v>11875</v>
      </c>
      <c r="AG23060" s="831" t="s">
        <v>2674</v>
      </c>
      <c r="AH23060" s="831" t="s">
        <v>3044</v>
      </c>
      <c r="AI23060" s="831">
        <v>0</v>
      </c>
      <c r="AJ23060" s="835">
        <v>42035</v>
      </c>
      <c r="AK23060" s="831">
        <v>3134380</v>
      </c>
    </row>
    <row r="23061" spans="32:37">
      <c r="AF23061" s="831" t="s">
        <v>11876</v>
      </c>
      <c r="AG23061" s="831" t="s">
        <v>2674</v>
      </c>
      <c r="AH23061" s="831" t="s">
        <v>580</v>
      </c>
      <c r="AI23061" s="831">
        <v>0</v>
      </c>
      <c r="AJ23061" s="835">
        <v>42035</v>
      </c>
      <c r="AK23061" s="831">
        <v>-79238495</v>
      </c>
    </row>
    <row r="23062" spans="32:37">
      <c r="AF23062" s="831" t="s">
        <v>11877</v>
      </c>
      <c r="AG23062" s="831" t="s">
        <v>2674</v>
      </c>
      <c r="AH23062" s="831" t="s">
        <v>581</v>
      </c>
      <c r="AI23062" s="831">
        <v>0</v>
      </c>
      <c r="AJ23062" s="835">
        <v>42035</v>
      </c>
      <c r="AK23062" s="831">
        <v>9801179</v>
      </c>
    </row>
    <row r="23063" spans="32:37">
      <c r="AF23063" s="831" t="s">
        <v>11878</v>
      </c>
      <c r="AG23063" s="831" t="s">
        <v>2674</v>
      </c>
      <c r="AH23063" s="831" t="s">
        <v>105</v>
      </c>
      <c r="AI23063" s="831">
        <v>0</v>
      </c>
      <c r="AJ23063" s="835">
        <v>42035</v>
      </c>
      <c r="AK23063" s="831">
        <v>538185674</v>
      </c>
    </row>
    <row r="23064" spans="32:37">
      <c r="AF23064" s="831" t="s">
        <v>11879</v>
      </c>
      <c r="AG23064" s="831" t="s">
        <v>2674</v>
      </c>
      <c r="AH23064" s="831" t="s">
        <v>3049</v>
      </c>
      <c r="AI23064" s="831">
        <v>0</v>
      </c>
      <c r="AJ23064" s="835">
        <v>42035</v>
      </c>
      <c r="AK23064" s="831">
        <v>868832996</v>
      </c>
    </row>
    <row r="23065" spans="32:37">
      <c r="AF23065" s="831" t="s">
        <v>11880</v>
      </c>
      <c r="AG23065" s="831" t="s">
        <v>2674</v>
      </c>
      <c r="AH23065" s="831" t="s">
        <v>103</v>
      </c>
      <c r="AI23065" s="831">
        <v>0</v>
      </c>
      <c r="AJ23065" s="835">
        <v>42035</v>
      </c>
      <c r="AK23065" s="831">
        <v>330647322</v>
      </c>
    </row>
    <row r="23066" spans="32:37">
      <c r="AF23066" s="831" t="s">
        <v>11881</v>
      </c>
      <c r="AG23066" s="831" t="s">
        <v>2674</v>
      </c>
      <c r="AH23066" s="831" t="s">
        <v>182</v>
      </c>
      <c r="AI23066" s="831">
        <v>0</v>
      </c>
      <c r="AJ23066" s="835">
        <v>42035</v>
      </c>
      <c r="AK23066" s="831">
        <v>79397220</v>
      </c>
    </row>
    <row r="23067" spans="32:37">
      <c r="AF23067" s="831" t="s">
        <v>11882</v>
      </c>
      <c r="AG23067" s="831" t="s">
        <v>2674</v>
      </c>
      <c r="AH23067" s="831" t="s">
        <v>6600</v>
      </c>
      <c r="AI23067" s="831">
        <v>0</v>
      </c>
      <c r="AJ23067" s="835">
        <v>42035</v>
      </c>
      <c r="AK23067" s="831">
        <v>43193117</v>
      </c>
    </row>
    <row r="23068" spans="32:37">
      <c r="AF23068" s="831" t="s">
        <v>11883</v>
      </c>
      <c r="AG23068" s="831" t="s">
        <v>2674</v>
      </c>
      <c r="AH23068" s="831" t="s">
        <v>6602</v>
      </c>
      <c r="AI23068" s="831">
        <v>0</v>
      </c>
      <c r="AJ23068" s="835">
        <v>42035</v>
      </c>
      <c r="AK23068" s="831">
        <v>3451938</v>
      </c>
    </row>
    <row r="23069" spans="32:37">
      <c r="AF23069" s="831" t="s">
        <v>11884</v>
      </c>
      <c r="AG23069" s="831" t="s">
        <v>2674</v>
      </c>
      <c r="AH23069" s="831" t="s">
        <v>650</v>
      </c>
      <c r="AI23069" s="831">
        <v>0</v>
      </c>
      <c r="AJ23069" s="835">
        <v>42035</v>
      </c>
      <c r="AK23069" s="831">
        <v>300938254.07461542</v>
      </c>
    </row>
    <row r="23070" spans="32:37">
      <c r="AF23070" s="831" t="s">
        <v>11885</v>
      </c>
      <c r="AG23070" s="831" t="s">
        <v>2674</v>
      </c>
      <c r="AH23070" s="831" t="s">
        <v>655</v>
      </c>
      <c r="AI23070" s="831">
        <v>0</v>
      </c>
      <c r="AJ23070" s="835">
        <v>42035</v>
      </c>
      <c r="AK23070" s="831">
        <v>4403089</v>
      </c>
    </row>
    <row r="23071" spans="32:37">
      <c r="AF23071" s="831" t="s">
        <v>11886</v>
      </c>
      <c r="AG23071" s="831" t="s">
        <v>2674</v>
      </c>
      <c r="AH23071" s="831" t="s">
        <v>546</v>
      </c>
      <c r="AI23071" s="831">
        <v>0</v>
      </c>
      <c r="AJ23071" s="835">
        <v>42063</v>
      </c>
      <c r="AK23071" s="831">
        <v>965858339</v>
      </c>
    </row>
    <row r="23072" spans="32:37">
      <c r="AF23072" s="831" t="s">
        <v>11887</v>
      </c>
      <c r="AG23072" s="831" t="s">
        <v>2674</v>
      </c>
      <c r="AH23072" s="831" t="s">
        <v>370</v>
      </c>
      <c r="AI23072" s="831">
        <v>0</v>
      </c>
      <c r="AJ23072" s="835">
        <v>42063</v>
      </c>
      <c r="AK23072" s="831">
        <v>1253581727</v>
      </c>
    </row>
    <row r="23073" spans="32:37">
      <c r="AF23073" s="831" t="s">
        <v>11888</v>
      </c>
      <c r="AG23073" s="831" t="s">
        <v>2674</v>
      </c>
      <c r="AH23073" s="831" t="s">
        <v>126</v>
      </c>
      <c r="AI23073" s="831">
        <v>0</v>
      </c>
      <c r="AJ23073" s="835">
        <v>42063</v>
      </c>
      <c r="AK23073" s="831">
        <v>143500530</v>
      </c>
    </row>
    <row r="23074" spans="32:37">
      <c r="AF23074" s="831" t="s">
        <v>11889</v>
      </c>
      <c r="AG23074" s="831" t="s">
        <v>2674</v>
      </c>
      <c r="AH23074" s="831" t="s">
        <v>268</v>
      </c>
      <c r="AI23074" s="831">
        <v>0</v>
      </c>
      <c r="AJ23074" s="835">
        <v>42063</v>
      </c>
      <c r="AK23074" s="831">
        <v>-1907756</v>
      </c>
    </row>
    <row r="23075" spans="32:37">
      <c r="AF23075" s="831" t="s">
        <v>11890</v>
      </c>
      <c r="AG23075" s="831" t="s">
        <v>2674</v>
      </c>
      <c r="AH23075" s="831" t="s">
        <v>547</v>
      </c>
      <c r="AI23075" s="831">
        <v>0</v>
      </c>
      <c r="AJ23075" s="835">
        <v>42063</v>
      </c>
      <c r="AK23075" s="831">
        <v>1044609243</v>
      </c>
    </row>
    <row r="23076" spans="32:37">
      <c r="AF23076" s="831" t="s">
        <v>11891</v>
      </c>
      <c r="AG23076" s="831" t="s">
        <v>2674</v>
      </c>
      <c r="AH23076" s="831" t="s">
        <v>548</v>
      </c>
      <c r="AI23076" s="831">
        <v>0</v>
      </c>
      <c r="AJ23076" s="835">
        <v>42063</v>
      </c>
      <c r="AK23076" s="831">
        <v>148860224</v>
      </c>
    </row>
    <row r="23077" spans="32:37">
      <c r="AF23077" s="831" t="s">
        <v>11892</v>
      </c>
      <c r="AG23077" s="831" t="s">
        <v>2674</v>
      </c>
      <c r="AH23077" s="831" t="s">
        <v>549</v>
      </c>
      <c r="AI23077" s="831">
        <v>0</v>
      </c>
      <c r="AJ23077" s="835">
        <v>42063</v>
      </c>
      <c r="AK23077" s="831">
        <v>652795035</v>
      </c>
    </row>
    <row r="23078" spans="32:37">
      <c r="AF23078" s="831" t="s">
        <v>11893</v>
      </c>
      <c r="AG23078" s="831" t="s">
        <v>2674</v>
      </c>
      <c r="AH23078" s="831" t="s">
        <v>192</v>
      </c>
      <c r="AI23078" s="831">
        <v>0</v>
      </c>
      <c r="AJ23078" s="835">
        <v>42063</v>
      </c>
      <c r="AK23078" s="831">
        <v>-13765211</v>
      </c>
    </row>
    <row r="23079" spans="32:37">
      <c r="AF23079" s="831" t="s">
        <v>11894</v>
      </c>
      <c r="AG23079" s="831" t="s">
        <v>2674</v>
      </c>
      <c r="AH23079" s="831" t="s">
        <v>558</v>
      </c>
      <c r="AI23079" s="831">
        <v>0</v>
      </c>
      <c r="AJ23079" s="835">
        <v>42063</v>
      </c>
      <c r="AK23079" s="831">
        <v>1110081197</v>
      </c>
    </row>
    <row r="23080" spans="32:37">
      <c r="AF23080" s="831" t="s">
        <v>11895</v>
      </c>
      <c r="AG23080" s="831" t="s">
        <v>2674</v>
      </c>
      <c r="AH23080" s="831" t="s">
        <v>65</v>
      </c>
      <c r="AI23080" s="831">
        <v>0</v>
      </c>
      <c r="AJ23080" s="835">
        <v>42063</v>
      </c>
      <c r="AK23080" s="831">
        <v>31017741</v>
      </c>
    </row>
    <row r="23081" spans="32:37">
      <c r="AF23081" s="831" t="s">
        <v>11896</v>
      </c>
      <c r="AG23081" s="831" t="s">
        <v>2674</v>
      </c>
      <c r="AH23081" s="831" t="s">
        <v>89</v>
      </c>
      <c r="AI23081" s="831">
        <v>0</v>
      </c>
      <c r="AJ23081" s="835">
        <v>42063</v>
      </c>
      <c r="AK23081" s="831">
        <v>157073</v>
      </c>
    </row>
    <row r="23082" spans="32:37">
      <c r="AF23082" s="831" t="s">
        <v>11897</v>
      </c>
      <c r="AG23082" s="831" t="s">
        <v>2674</v>
      </c>
      <c r="AH23082" s="831" t="s">
        <v>557</v>
      </c>
      <c r="AI23082" s="831">
        <v>0</v>
      </c>
      <c r="AJ23082" s="835">
        <v>42063</v>
      </c>
      <c r="AK23082" s="831">
        <v>179494</v>
      </c>
    </row>
    <row r="23083" spans="32:37">
      <c r="AF23083" s="831" t="s">
        <v>11898</v>
      </c>
      <c r="AG23083" s="831" t="s">
        <v>2674</v>
      </c>
      <c r="AH23083" s="831" t="s">
        <v>29</v>
      </c>
      <c r="AI23083" s="831">
        <v>0</v>
      </c>
      <c r="AJ23083" s="835">
        <v>42063</v>
      </c>
      <c r="AK23083" s="831">
        <v>8683621</v>
      </c>
    </row>
    <row r="23084" spans="32:37">
      <c r="AF23084" s="831" t="s">
        <v>11899</v>
      </c>
      <c r="AG23084" s="831" t="s">
        <v>2674</v>
      </c>
      <c r="AH23084" s="831" t="s">
        <v>2688</v>
      </c>
      <c r="AI23084" s="831">
        <v>0</v>
      </c>
      <c r="AJ23084" s="835">
        <v>42063</v>
      </c>
      <c r="AK23084" s="831">
        <v>11508492</v>
      </c>
    </row>
    <row r="23085" spans="32:37">
      <c r="AF23085" s="831" t="s">
        <v>11900</v>
      </c>
      <c r="AG23085" s="831" t="s">
        <v>2674</v>
      </c>
      <c r="AH23085" s="831" t="s">
        <v>556</v>
      </c>
      <c r="AI23085" s="831">
        <v>0</v>
      </c>
      <c r="AJ23085" s="835">
        <v>42063</v>
      </c>
      <c r="AK23085" s="831">
        <v>11412135</v>
      </c>
    </row>
    <row r="23086" spans="32:37">
      <c r="AF23086" s="831" t="s">
        <v>11901</v>
      </c>
      <c r="AG23086" s="831" t="s">
        <v>2674</v>
      </c>
      <c r="AH23086" s="831" t="s">
        <v>555</v>
      </c>
      <c r="AI23086" s="831">
        <v>0</v>
      </c>
      <c r="AJ23086" s="835">
        <v>42063</v>
      </c>
      <c r="AK23086" s="831">
        <v>771141919</v>
      </c>
    </row>
    <row r="23087" spans="32:37">
      <c r="AF23087" s="831" t="s">
        <v>11902</v>
      </c>
      <c r="AG23087" s="831" t="s">
        <v>2674</v>
      </c>
      <c r="AH23087" s="831" t="s">
        <v>554</v>
      </c>
      <c r="AI23087" s="831">
        <v>0</v>
      </c>
      <c r="AJ23087" s="835">
        <v>42063</v>
      </c>
      <c r="AK23087" s="831">
        <v>856164850</v>
      </c>
    </row>
    <row r="23088" spans="32:37">
      <c r="AF23088" s="831" t="s">
        <v>11903</v>
      </c>
      <c r="AG23088" s="831" t="s">
        <v>2674</v>
      </c>
      <c r="AH23088" s="831" t="s">
        <v>553</v>
      </c>
      <c r="AI23088" s="831">
        <v>0</v>
      </c>
      <c r="AJ23088" s="835">
        <v>42063</v>
      </c>
      <c r="AK23088" s="831">
        <v>92382400</v>
      </c>
    </row>
    <row r="23089" spans="32:37">
      <c r="AF23089" s="831" t="s">
        <v>11904</v>
      </c>
      <c r="AG23089" s="831" t="s">
        <v>2674</v>
      </c>
      <c r="AH23089" s="831" t="s">
        <v>552</v>
      </c>
      <c r="AI23089" s="831">
        <v>0</v>
      </c>
      <c r="AJ23089" s="835">
        <v>42063</v>
      </c>
      <c r="AK23089" s="831">
        <v>0</v>
      </c>
    </row>
    <row r="23090" spans="32:37">
      <c r="AF23090" s="831" t="s">
        <v>11905</v>
      </c>
      <c r="AG23090" s="831" t="s">
        <v>2674</v>
      </c>
      <c r="AH23090" s="831" t="s">
        <v>551</v>
      </c>
      <c r="AI23090" s="831">
        <v>0</v>
      </c>
      <c r="AJ23090" s="835">
        <v>42063</v>
      </c>
      <c r="AK23090" s="831">
        <v>7487687</v>
      </c>
    </row>
    <row r="23091" spans="32:37">
      <c r="AF23091" s="831" t="s">
        <v>11906</v>
      </c>
      <c r="AG23091" s="831" t="s">
        <v>2674</v>
      </c>
      <c r="AH23091" s="831" t="s">
        <v>550</v>
      </c>
      <c r="AI23091" s="831">
        <v>0</v>
      </c>
      <c r="AJ23091" s="835">
        <v>42063</v>
      </c>
      <c r="AK23091" s="831">
        <v>148860224</v>
      </c>
    </row>
    <row r="23092" spans="32:37">
      <c r="AF23092" s="831" t="s">
        <v>11907</v>
      </c>
      <c r="AG23092" s="831" t="s">
        <v>2674</v>
      </c>
      <c r="AH23092" s="831" t="s">
        <v>562</v>
      </c>
      <c r="AI23092" s="831">
        <v>0</v>
      </c>
      <c r="AJ23092" s="835">
        <v>42063</v>
      </c>
      <c r="AK23092" s="831">
        <v>1.04575</v>
      </c>
    </row>
    <row r="23093" spans="32:37">
      <c r="AF23093" s="831" t="s">
        <v>11908</v>
      </c>
      <c r="AG23093" s="831" t="s">
        <v>2674</v>
      </c>
      <c r="AH23093" s="831" t="s">
        <v>2698</v>
      </c>
      <c r="AI23093" s="831">
        <v>0</v>
      </c>
      <c r="AJ23093" s="835">
        <v>42063</v>
      </c>
      <c r="AK23093" s="831">
        <v>0.78439999999999999</v>
      </c>
    </row>
    <row r="23094" spans="32:37">
      <c r="AF23094" s="831" t="s">
        <v>11909</v>
      </c>
      <c r="AG23094" s="831" t="s">
        <v>2674</v>
      </c>
      <c r="AH23094" s="831" t="s">
        <v>560</v>
      </c>
      <c r="AI23094" s="831">
        <v>0</v>
      </c>
      <c r="AJ23094" s="835">
        <v>42063</v>
      </c>
      <c r="AK23094" s="831">
        <v>0.91507499999999997</v>
      </c>
    </row>
    <row r="23095" spans="32:37">
      <c r="AF23095" s="831" t="s">
        <v>11910</v>
      </c>
      <c r="AG23095" s="831" t="s">
        <v>2674</v>
      </c>
      <c r="AH23095" s="831" t="s">
        <v>559</v>
      </c>
      <c r="AI23095" s="831">
        <v>0</v>
      </c>
      <c r="AJ23095" s="835">
        <v>42063</v>
      </c>
      <c r="AK23095" s="831">
        <v>0.80552083333333313</v>
      </c>
    </row>
    <row r="23096" spans="32:37">
      <c r="AF23096" s="831" t="s">
        <v>11911</v>
      </c>
      <c r="AG23096" s="831" t="s">
        <v>2674</v>
      </c>
      <c r="AH23096" s="831" t="s">
        <v>568</v>
      </c>
      <c r="AI23096" s="831">
        <v>0</v>
      </c>
      <c r="AJ23096" s="835">
        <v>42063</v>
      </c>
      <c r="AK23096" s="831">
        <v>764746840.38461542</v>
      </c>
    </row>
    <row r="23097" spans="32:37">
      <c r="AF23097" s="831" t="s">
        <v>11912</v>
      </c>
      <c r="AG23097" s="831" t="s">
        <v>2674</v>
      </c>
      <c r="AH23097" s="831" t="s">
        <v>569</v>
      </c>
      <c r="AI23097" s="831">
        <v>0</v>
      </c>
      <c r="AJ23097" s="835">
        <v>42063</v>
      </c>
      <c r="AK23097" s="831">
        <v>956157596</v>
      </c>
    </row>
    <row r="23098" spans="32:37">
      <c r="AF23098" s="831" t="s">
        <v>11913</v>
      </c>
      <c r="AG23098" s="831" t="s">
        <v>2674</v>
      </c>
      <c r="AH23098" s="831" t="s">
        <v>570</v>
      </c>
      <c r="AI23098" s="831">
        <v>0</v>
      </c>
      <c r="AJ23098" s="835">
        <v>42063</v>
      </c>
      <c r="AK23098" s="831">
        <v>138839504.15615386</v>
      </c>
    </row>
    <row r="23099" spans="32:37">
      <c r="AF23099" s="831" t="s">
        <v>11914</v>
      </c>
      <c r="AG23099" s="831" t="s">
        <v>2674</v>
      </c>
      <c r="AH23099" s="831" t="s">
        <v>571</v>
      </c>
      <c r="AI23099" s="831">
        <v>0</v>
      </c>
      <c r="AJ23099" s="835">
        <v>42063</v>
      </c>
      <c r="AK23099" s="831">
        <v>482774872.10899997</v>
      </c>
    </row>
    <row r="23100" spans="32:37">
      <c r="AF23100" s="831" t="s">
        <v>11915</v>
      </c>
      <c r="AG23100" s="831" t="s">
        <v>2674</v>
      </c>
      <c r="AH23100" s="831" t="s">
        <v>573</v>
      </c>
      <c r="AI23100" s="831">
        <v>0</v>
      </c>
      <c r="AJ23100" s="835">
        <v>42063</v>
      </c>
      <c r="AK23100" s="831">
        <v>1113466990</v>
      </c>
    </row>
    <row r="23101" spans="32:37">
      <c r="AF23101" s="831" t="s">
        <v>11916</v>
      </c>
      <c r="AG23101" s="831" t="s">
        <v>2674</v>
      </c>
      <c r="AH23101" s="831" t="s">
        <v>574</v>
      </c>
      <c r="AI23101" s="831">
        <v>0</v>
      </c>
      <c r="AJ23101" s="835">
        <v>42063</v>
      </c>
      <c r="AK23101" s="831">
        <v>874843882.66666663</v>
      </c>
    </row>
    <row r="23102" spans="32:37">
      <c r="AF23102" s="831" t="s">
        <v>11917</v>
      </c>
      <c r="AG23102" s="831" t="s">
        <v>2674</v>
      </c>
      <c r="AH23102" s="831" t="s">
        <v>575</v>
      </c>
      <c r="AI23102" s="831">
        <v>0</v>
      </c>
      <c r="AJ23102" s="835">
        <v>42063</v>
      </c>
      <c r="AK23102" s="831">
        <v>145923251.33333334</v>
      </c>
    </row>
    <row r="23103" spans="32:37">
      <c r="AF23103" s="831" t="s">
        <v>11918</v>
      </c>
      <c r="AG23103" s="831" t="s">
        <v>2674</v>
      </c>
      <c r="AH23103" s="831" t="s">
        <v>576</v>
      </c>
      <c r="AI23103" s="831">
        <v>0</v>
      </c>
      <c r="AJ23103" s="835">
        <v>42063</v>
      </c>
      <c r="AK23103" s="831">
        <v>595110401.33333337</v>
      </c>
    </row>
    <row r="23104" spans="32:37">
      <c r="AF23104" s="831" t="s">
        <v>11919</v>
      </c>
      <c r="AG23104" s="831" t="s">
        <v>2674</v>
      </c>
      <c r="AH23104" s="831" t="s">
        <v>572</v>
      </c>
      <c r="AI23104" s="831">
        <v>0</v>
      </c>
      <c r="AJ23104" s="835">
        <v>42063</v>
      </c>
      <c r="AK23104" s="831">
        <v>33261949</v>
      </c>
    </row>
    <row r="23105" spans="32:37">
      <c r="AF23105" s="831" t="s">
        <v>11920</v>
      </c>
      <c r="AG23105" s="831" t="s">
        <v>2674</v>
      </c>
      <c r="AH23105" s="831" t="s">
        <v>577</v>
      </c>
      <c r="AI23105" s="831">
        <v>0</v>
      </c>
      <c r="AJ23105" s="835">
        <v>42063</v>
      </c>
      <c r="AK23105" s="831">
        <v>173134660</v>
      </c>
    </row>
    <row r="23106" spans="32:37">
      <c r="AF23106" s="831" t="s">
        <v>11921</v>
      </c>
      <c r="AG23106" s="831" t="s">
        <v>2674</v>
      </c>
      <c r="AH23106" s="831" t="s">
        <v>3042</v>
      </c>
      <c r="AI23106" s="831">
        <v>0</v>
      </c>
      <c r="AJ23106" s="835">
        <v>42063</v>
      </c>
      <c r="AK23106" s="831">
        <v>-53542458</v>
      </c>
    </row>
    <row r="23107" spans="32:37">
      <c r="AF23107" s="831" t="s">
        <v>11922</v>
      </c>
      <c r="AG23107" s="831" t="s">
        <v>2674</v>
      </c>
      <c r="AH23107" s="831" t="s">
        <v>3044</v>
      </c>
      <c r="AI23107" s="831">
        <v>0</v>
      </c>
      <c r="AJ23107" s="835">
        <v>42063</v>
      </c>
      <c r="AK23107" s="831">
        <v>-787106</v>
      </c>
    </row>
    <row r="23108" spans="32:37">
      <c r="AF23108" s="831" t="s">
        <v>11923</v>
      </c>
      <c r="AG23108" s="831" t="s">
        <v>2674</v>
      </c>
      <c r="AH23108" s="831" t="s">
        <v>580</v>
      </c>
      <c r="AI23108" s="831">
        <v>0</v>
      </c>
      <c r="AJ23108" s="835">
        <v>42063</v>
      </c>
      <c r="AK23108" s="831">
        <v>-82473719</v>
      </c>
    </row>
    <row r="23109" spans="32:37">
      <c r="AF23109" s="831" t="s">
        <v>11924</v>
      </c>
      <c r="AG23109" s="831" t="s">
        <v>2674</v>
      </c>
      <c r="AH23109" s="831" t="s">
        <v>581</v>
      </c>
      <c r="AI23109" s="831">
        <v>0</v>
      </c>
      <c r="AJ23109" s="835">
        <v>42063</v>
      </c>
      <c r="AK23109" s="831">
        <v>11169610</v>
      </c>
    </row>
    <row r="23110" spans="32:37">
      <c r="AF23110" s="831" t="s">
        <v>11925</v>
      </c>
      <c r="AG23110" s="831" t="s">
        <v>2674</v>
      </c>
      <c r="AH23110" s="831" t="s">
        <v>105</v>
      </c>
      <c r="AI23110" s="831">
        <v>0</v>
      </c>
      <c r="AJ23110" s="835">
        <v>42063</v>
      </c>
      <c r="AK23110" s="831">
        <v>714800530</v>
      </c>
    </row>
    <row r="23111" spans="32:37">
      <c r="AF23111" s="831" t="s">
        <v>11926</v>
      </c>
      <c r="AG23111" s="831" t="s">
        <v>2674</v>
      </c>
      <c r="AH23111" s="831" t="s">
        <v>3049</v>
      </c>
      <c r="AI23111" s="831">
        <v>0</v>
      </c>
      <c r="AJ23111" s="835">
        <v>42063</v>
      </c>
      <c r="AK23111" s="831">
        <v>1078776977</v>
      </c>
    </row>
    <row r="23112" spans="32:37">
      <c r="AF23112" s="831" t="s">
        <v>11927</v>
      </c>
      <c r="AG23112" s="831" t="s">
        <v>2674</v>
      </c>
      <c r="AH23112" s="831" t="s">
        <v>103</v>
      </c>
      <c r="AI23112" s="831">
        <v>0</v>
      </c>
      <c r="AJ23112" s="835">
        <v>42063</v>
      </c>
      <c r="AK23112" s="831">
        <v>363976447</v>
      </c>
    </row>
    <row r="23113" spans="32:37">
      <c r="AF23113" s="831" t="s">
        <v>11928</v>
      </c>
      <c r="AG23113" s="831" t="s">
        <v>2674</v>
      </c>
      <c r="AH23113" s="831" t="s">
        <v>182</v>
      </c>
      <c r="AI23113" s="831">
        <v>0</v>
      </c>
      <c r="AJ23113" s="835">
        <v>42063</v>
      </c>
      <c r="AK23113" s="831">
        <v>91149096</v>
      </c>
    </row>
    <row r="23114" spans="32:37">
      <c r="AF23114" s="831" t="s">
        <v>11929</v>
      </c>
      <c r="AG23114" s="831" t="s">
        <v>2674</v>
      </c>
      <c r="AH23114" s="831" t="s">
        <v>6600</v>
      </c>
      <c r="AI23114" s="831">
        <v>0</v>
      </c>
      <c r="AJ23114" s="835">
        <v>42063</v>
      </c>
      <c r="AK23114" s="831">
        <v>33261949</v>
      </c>
    </row>
    <row r="23115" spans="32:37">
      <c r="AF23115" s="831" t="s">
        <v>11930</v>
      </c>
      <c r="AG23115" s="831" t="s">
        <v>2674</v>
      </c>
      <c r="AH23115" s="831" t="s">
        <v>6602</v>
      </c>
      <c r="AI23115" s="831">
        <v>0</v>
      </c>
      <c r="AJ23115" s="835">
        <v>42063</v>
      </c>
      <c r="AK23115" s="831">
        <v>-1907756</v>
      </c>
    </row>
    <row r="23116" spans="32:37">
      <c r="AF23116" s="831" t="s">
        <v>11931</v>
      </c>
      <c r="AG23116" s="831" t="s">
        <v>2674</v>
      </c>
      <c r="AH23116" s="831" t="s">
        <v>650</v>
      </c>
      <c r="AI23116" s="831">
        <v>0</v>
      </c>
      <c r="AJ23116" s="835">
        <v>42063</v>
      </c>
      <c r="AK23116" s="831">
        <v>309129053.2630769</v>
      </c>
    </row>
    <row r="23117" spans="32:37">
      <c r="AF23117" s="831" t="s">
        <v>11932</v>
      </c>
      <c r="AG23117" s="831" t="s">
        <v>2674</v>
      </c>
      <c r="AH23117" s="831" t="s">
        <v>655</v>
      </c>
      <c r="AI23117" s="831">
        <v>0</v>
      </c>
      <c r="AJ23117" s="835">
        <v>42063</v>
      </c>
      <c r="AK23117" s="831">
        <v>7002831</v>
      </c>
    </row>
    <row r="23118" spans="32:37">
      <c r="AF23118" s="831" t="s">
        <v>11933</v>
      </c>
      <c r="AG23118" s="831" t="s">
        <v>2674</v>
      </c>
      <c r="AH23118" s="831" t="s">
        <v>546</v>
      </c>
      <c r="AI23118" s="831">
        <v>0</v>
      </c>
      <c r="AJ23118" s="835">
        <v>42094</v>
      </c>
      <c r="AK23118" s="831">
        <v>925259190</v>
      </c>
    </row>
    <row r="23119" spans="32:37">
      <c r="AF23119" s="831" t="s">
        <v>11934</v>
      </c>
      <c r="AG23119" s="831" t="s">
        <v>2674</v>
      </c>
      <c r="AH23119" s="831" t="s">
        <v>370</v>
      </c>
      <c r="AI23119" s="831">
        <v>0</v>
      </c>
      <c r="AJ23119" s="835">
        <v>42094</v>
      </c>
      <c r="AK23119" s="831">
        <v>1161484479</v>
      </c>
    </row>
    <row r="23120" spans="32:37">
      <c r="AF23120" s="831" t="s">
        <v>11935</v>
      </c>
      <c r="AG23120" s="831" t="s">
        <v>2674</v>
      </c>
      <c r="AH23120" s="831" t="s">
        <v>126</v>
      </c>
      <c r="AI23120" s="831">
        <v>0</v>
      </c>
      <c r="AJ23120" s="835">
        <v>42094</v>
      </c>
      <c r="AK23120" s="831">
        <v>147807134</v>
      </c>
    </row>
    <row r="23121" spans="32:37">
      <c r="AF23121" s="831" t="s">
        <v>11936</v>
      </c>
      <c r="AG23121" s="831" t="s">
        <v>2674</v>
      </c>
      <c r="AH23121" s="831" t="s">
        <v>268</v>
      </c>
      <c r="AI23121" s="831">
        <v>0</v>
      </c>
      <c r="AJ23121" s="835">
        <v>42094</v>
      </c>
      <c r="AK23121" s="831">
        <v>2398849</v>
      </c>
    </row>
    <row r="23122" spans="32:37">
      <c r="AF23122" s="831" t="s">
        <v>11937</v>
      </c>
      <c r="AG23122" s="831" t="s">
        <v>2674</v>
      </c>
      <c r="AH23122" s="831" t="s">
        <v>547</v>
      </c>
      <c r="AI23122" s="831">
        <v>0</v>
      </c>
      <c r="AJ23122" s="835">
        <v>42094</v>
      </c>
      <c r="AK23122" s="831">
        <v>1044609243</v>
      </c>
    </row>
    <row r="23123" spans="32:37">
      <c r="AF23123" s="831" t="s">
        <v>11938</v>
      </c>
      <c r="AG23123" s="831" t="s">
        <v>2674</v>
      </c>
      <c r="AH23123" s="831" t="s">
        <v>548</v>
      </c>
      <c r="AI23123" s="831">
        <v>0</v>
      </c>
      <c r="AJ23123" s="835">
        <v>42094</v>
      </c>
      <c r="AK23123" s="831">
        <v>148860224</v>
      </c>
    </row>
    <row r="23124" spans="32:37">
      <c r="AF23124" s="831" t="s">
        <v>11939</v>
      </c>
      <c r="AG23124" s="831" t="s">
        <v>2674</v>
      </c>
      <c r="AH23124" s="831" t="s">
        <v>549</v>
      </c>
      <c r="AI23124" s="831">
        <v>0</v>
      </c>
      <c r="AJ23124" s="835">
        <v>42094</v>
      </c>
      <c r="AK23124" s="831">
        <v>664153787</v>
      </c>
    </row>
    <row r="23125" spans="32:37">
      <c r="AF23125" s="831" t="s">
        <v>11940</v>
      </c>
      <c r="AG23125" s="831" t="s">
        <v>2674</v>
      </c>
      <c r="AH23125" s="831" t="s">
        <v>192</v>
      </c>
      <c r="AI23125" s="831">
        <v>0</v>
      </c>
      <c r="AJ23125" s="835">
        <v>42094</v>
      </c>
      <c r="AK23125" s="831">
        <v>-15332196</v>
      </c>
    </row>
    <row r="23126" spans="32:37">
      <c r="AF23126" s="831" t="s">
        <v>11941</v>
      </c>
      <c r="AG23126" s="831" t="s">
        <v>2674</v>
      </c>
      <c r="AH23126" s="831" t="s">
        <v>558</v>
      </c>
      <c r="AI23126" s="831">
        <v>0</v>
      </c>
      <c r="AJ23126" s="835">
        <v>42094</v>
      </c>
      <c r="AK23126" s="831">
        <v>1013677345</v>
      </c>
    </row>
    <row r="23127" spans="32:37">
      <c r="AF23127" s="831" t="s">
        <v>11942</v>
      </c>
      <c r="AG23127" s="831" t="s">
        <v>2674</v>
      </c>
      <c r="AH23127" s="831" t="s">
        <v>65</v>
      </c>
      <c r="AI23127" s="831">
        <v>0</v>
      </c>
      <c r="AJ23127" s="835">
        <v>42094</v>
      </c>
      <c r="AK23127" s="831">
        <v>48515498</v>
      </c>
    </row>
    <row r="23128" spans="32:37">
      <c r="AF23128" s="831" t="s">
        <v>11943</v>
      </c>
      <c r="AG23128" s="831" t="s">
        <v>2674</v>
      </c>
      <c r="AH23128" s="831" t="s">
        <v>89</v>
      </c>
      <c r="AI23128" s="831">
        <v>0</v>
      </c>
      <c r="AJ23128" s="835">
        <v>42094</v>
      </c>
      <c r="AK23128" s="831">
        <v>153039</v>
      </c>
    </row>
    <row r="23129" spans="32:37">
      <c r="AF23129" s="831" t="s">
        <v>11944</v>
      </c>
      <c r="AG23129" s="831" t="s">
        <v>2674</v>
      </c>
      <c r="AH23129" s="831" t="s">
        <v>557</v>
      </c>
      <c r="AI23129" s="831">
        <v>0</v>
      </c>
      <c r="AJ23129" s="835">
        <v>42094</v>
      </c>
      <c r="AK23129" s="831">
        <v>174874</v>
      </c>
    </row>
    <row r="23130" spans="32:37">
      <c r="AF23130" s="831" t="s">
        <v>11945</v>
      </c>
      <c r="AG23130" s="831" t="s">
        <v>2674</v>
      </c>
      <c r="AH23130" s="831" t="s">
        <v>29</v>
      </c>
      <c r="AI23130" s="831">
        <v>0</v>
      </c>
      <c r="AJ23130" s="835">
        <v>42094</v>
      </c>
      <c r="AK23130" s="831">
        <v>10801248</v>
      </c>
    </row>
    <row r="23131" spans="32:37">
      <c r="AF23131" s="831" t="s">
        <v>11946</v>
      </c>
      <c r="AG23131" s="831" t="s">
        <v>2674</v>
      </c>
      <c r="AH23131" s="831" t="s">
        <v>2688</v>
      </c>
      <c r="AI23131" s="831">
        <v>0</v>
      </c>
      <c r="AJ23131" s="835">
        <v>42094</v>
      </c>
      <c r="AK23131" s="831">
        <v>88178967</v>
      </c>
    </row>
    <row r="23132" spans="32:37">
      <c r="AF23132" s="831" t="s">
        <v>11947</v>
      </c>
      <c r="AG23132" s="831" t="s">
        <v>2674</v>
      </c>
      <c r="AH23132" s="831" t="s">
        <v>556</v>
      </c>
      <c r="AI23132" s="831">
        <v>0</v>
      </c>
      <c r="AJ23132" s="835">
        <v>42094</v>
      </c>
      <c r="AK23132" s="831">
        <v>11412135</v>
      </c>
    </row>
    <row r="23133" spans="32:37">
      <c r="AF23133" s="831" t="s">
        <v>11948</v>
      </c>
      <c r="AG23133" s="831" t="s">
        <v>2674</v>
      </c>
      <c r="AH23133" s="831" t="s">
        <v>555</v>
      </c>
      <c r="AI23133" s="831">
        <v>0</v>
      </c>
      <c r="AJ23133" s="835">
        <v>42094</v>
      </c>
      <c r="AK23133" s="831">
        <v>794294654</v>
      </c>
    </row>
    <row r="23134" spans="32:37">
      <c r="AF23134" s="831" t="s">
        <v>11949</v>
      </c>
      <c r="AG23134" s="831" t="s">
        <v>2674</v>
      </c>
      <c r="AH23134" s="831" t="s">
        <v>554</v>
      </c>
      <c r="AI23134" s="831">
        <v>0</v>
      </c>
      <c r="AJ23134" s="835">
        <v>42094</v>
      </c>
      <c r="AK23134" s="831">
        <v>796448359</v>
      </c>
    </row>
    <row r="23135" spans="32:37">
      <c r="AF23135" s="831" t="s">
        <v>11950</v>
      </c>
      <c r="AG23135" s="831" t="s">
        <v>2674</v>
      </c>
      <c r="AH23135" s="831" t="s">
        <v>553</v>
      </c>
      <c r="AI23135" s="831">
        <v>0</v>
      </c>
      <c r="AJ23135" s="835">
        <v>42094</v>
      </c>
      <c r="AK23135" s="831">
        <v>52425000</v>
      </c>
    </row>
    <row r="23136" spans="32:37">
      <c r="AF23136" s="831" t="s">
        <v>11951</v>
      </c>
      <c r="AG23136" s="831" t="s">
        <v>2674</v>
      </c>
      <c r="AH23136" s="831" t="s">
        <v>552</v>
      </c>
      <c r="AI23136" s="831">
        <v>0</v>
      </c>
      <c r="AJ23136" s="835">
        <v>42094</v>
      </c>
      <c r="AK23136" s="831">
        <v>0</v>
      </c>
    </row>
    <row r="23137" spans="32:37">
      <c r="AF23137" s="831" t="s">
        <v>11952</v>
      </c>
      <c r="AG23137" s="831" t="s">
        <v>2674</v>
      </c>
      <c r="AH23137" s="831" t="s">
        <v>551</v>
      </c>
      <c r="AI23137" s="831">
        <v>0</v>
      </c>
      <c r="AJ23137" s="835">
        <v>42094</v>
      </c>
      <c r="AK23137" s="831">
        <v>8543411</v>
      </c>
    </row>
    <row r="23138" spans="32:37">
      <c r="AF23138" s="831" t="s">
        <v>11953</v>
      </c>
      <c r="AG23138" s="831" t="s">
        <v>2674</v>
      </c>
      <c r="AH23138" s="831" t="s">
        <v>550</v>
      </c>
      <c r="AI23138" s="831">
        <v>0</v>
      </c>
      <c r="AJ23138" s="835">
        <v>42094</v>
      </c>
      <c r="AK23138" s="831">
        <v>143500530</v>
      </c>
    </row>
    <row r="23139" spans="32:37">
      <c r="AF23139" s="831" t="s">
        <v>11954</v>
      </c>
      <c r="AG23139" s="831" t="s">
        <v>2674</v>
      </c>
      <c r="AH23139" s="831" t="s">
        <v>562</v>
      </c>
      <c r="AI23139" s="831">
        <v>0</v>
      </c>
      <c r="AJ23139" s="835">
        <v>42094</v>
      </c>
      <c r="AK23139" s="831">
        <v>1.0495000000000001</v>
      </c>
    </row>
    <row r="23140" spans="32:37">
      <c r="AF23140" s="831" t="s">
        <v>11955</v>
      </c>
      <c r="AG23140" s="831" t="s">
        <v>2674</v>
      </c>
      <c r="AH23140" s="831" t="s">
        <v>2698</v>
      </c>
      <c r="AI23140" s="831">
        <v>0</v>
      </c>
      <c r="AJ23140" s="835">
        <v>42094</v>
      </c>
      <c r="AK23140" s="831">
        <v>1.04575</v>
      </c>
    </row>
    <row r="23141" spans="32:37">
      <c r="AF23141" s="831" t="s">
        <v>11956</v>
      </c>
      <c r="AG23141" s="831" t="s">
        <v>2674</v>
      </c>
      <c r="AH23141" s="831" t="s">
        <v>560</v>
      </c>
      <c r="AI23141" s="831">
        <v>0</v>
      </c>
      <c r="AJ23141" s="835">
        <v>42094</v>
      </c>
      <c r="AK23141" s="831">
        <v>0.95988333333333331</v>
      </c>
    </row>
    <row r="23142" spans="32:37">
      <c r="AF23142" s="831" t="s">
        <v>11957</v>
      </c>
      <c r="AG23142" s="831" t="s">
        <v>2674</v>
      </c>
      <c r="AH23142" s="831" t="s">
        <v>559</v>
      </c>
      <c r="AI23142" s="831">
        <v>0</v>
      </c>
      <c r="AJ23142" s="835">
        <v>42094</v>
      </c>
      <c r="AK23142" s="831">
        <v>0.82766666666666655</v>
      </c>
    </row>
    <row r="23143" spans="32:37">
      <c r="AF23143" s="831" t="s">
        <v>11958</v>
      </c>
      <c r="AG23143" s="831" t="s">
        <v>2674</v>
      </c>
      <c r="AH23143" s="831" t="s">
        <v>568</v>
      </c>
      <c r="AI23143" s="831">
        <v>0</v>
      </c>
      <c r="AJ23143" s="835">
        <v>42094</v>
      </c>
      <c r="AK23143" s="831">
        <v>785705621.53846157</v>
      </c>
    </row>
    <row r="23144" spans="32:37">
      <c r="AF23144" s="831" t="s">
        <v>11959</v>
      </c>
      <c r="AG23144" s="831" t="s">
        <v>2674</v>
      </c>
      <c r="AH23144" s="831" t="s">
        <v>569</v>
      </c>
      <c r="AI23144" s="831">
        <v>0</v>
      </c>
      <c r="AJ23144" s="835">
        <v>42094</v>
      </c>
      <c r="AK23144" s="831">
        <v>984393199.30769229</v>
      </c>
    </row>
    <row r="23145" spans="32:37">
      <c r="AF23145" s="831" t="s">
        <v>11960</v>
      </c>
      <c r="AG23145" s="831" t="s">
        <v>2674</v>
      </c>
      <c r="AH23145" s="831" t="s">
        <v>570</v>
      </c>
      <c r="AI23145" s="831">
        <v>0</v>
      </c>
      <c r="AJ23145" s="835">
        <v>42094</v>
      </c>
      <c r="AK23145" s="831">
        <v>140931158.46384615</v>
      </c>
    </row>
    <row r="23146" spans="32:37">
      <c r="AF23146" s="831" t="s">
        <v>11961</v>
      </c>
      <c r="AG23146" s="831" t="s">
        <v>2674</v>
      </c>
      <c r="AH23146" s="831" t="s">
        <v>571</v>
      </c>
      <c r="AI23146" s="831">
        <v>0</v>
      </c>
      <c r="AJ23146" s="835">
        <v>42094</v>
      </c>
      <c r="AK23146" s="831">
        <v>502500066.26284611</v>
      </c>
    </row>
    <row r="23147" spans="32:37">
      <c r="AF23147" s="831" t="s">
        <v>11962</v>
      </c>
      <c r="AG23147" s="831" t="s">
        <v>2674</v>
      </c>
      <c r="AH23147" s="831" t="s">
        <v>573</v>
      </c>
      <c r="AI23147" s="831">
        <v>0</v>
      </c>
      <c r="AJ23147" s="835">
        <v>42094</v>
      </c>
      <c r="AK23147" s="831">
        <v>1125471362.25</v>
      </c>
    </row>
    <row r="23148" spans="32:37">
      <c r="AF23148" s="831" t="s">
        <v>11963</v>
      </c>
      <c r="AG23148" s="831" t="s">
        <v>2674</v>
      </c>
      <c r="AH23148" s="831" t="s">
        <v>574</v>
      </c>
      <c r="AI23148" s="831">
        <v>0</v>
      </c>
      <c r="AJ23148" s="835">
        <v>42094</v>
      </c>
      <c r="AK23148" s="831">
        <v>887447709.5</v>
      </c>
    </row>
    <row r="23149" spans="32:37">
      <c r="AF23149" s="831" t="s">
        <v>11964</v>
      </c>
      <c r="AG23149" s="831" t="s">
        <v>2674</v>
      </c>
      <c r="AH23149" s="831" t="s">
        <v>575</v>
      </c>
      <c r="AI23149" s="831">
        <v>0</v>
      </c>
      <c r="AJ23149" s="835">
        <v>42094</v>
      </c>
      <c r="AK23149" s="831">
        <v>146394222</v>
      </c>
    </row>
    <row r="23150" spans="32:37">
      <c r="AF23150" s="831" t="s">
        <v>11965</v>
      </c>
      <c r="AG23150" s="831" t="s">
        <v>2674</v>
      </c>
      <c r="AH23150" s="831" t="s">
        <v>576</v>
      </c>
      <c r="AI23150" s="831">
        <v>0</v>
      </c>
      <c r="AJ23150" s="835">
        <v>42094</v>
      </c>
      <c r="AK23150" s="831">
        <v>606715260</v>
      </c>
    </row>
    <row r="23151" spans="32:37">
      <c r="AF23151" s="831" t="s">
        <v>11966</v>
      </c>
      <c r="AG23151" s="831" t="s">
        <v>2674</v>
      </c>
      <c r="AH23151" s="831" t="s">
        <v>572</v>
      </c>
      <c r="AI23151" s="831">
        <v>0</v>
      </c>
      <c r="AJ23151" s="835">
        <v>42094</v>
      </c>
      <c r="AK23151" s="831">
        <v>36560084</v>
      </c>
    </row>
    <row r="23152" spans="32:37">
      <c r="AF23152" s="831" t="s">
        <v>11967</v>
      </c>
      <c r="AG23152" s="831" t="s">
        <v>2674</v>
      </c>
      <c r="AH23152" s="831" t="s">
        <v>577</v>
      </c>
      <c r="AI23152" s="831">
        <v>0</v>
      </c>
      <c r="AJ23152" s="835">
        <v>42094</v>
      </c>
      <c r="AK23152" s="831">
        <v>179877214</v>
      </c>
    </row>
    <row r="23153" spans="32:37">
      <c r="AF23153" s="831" t="s">
        <v>11968</v>
      </c>
      <c r="AG23153" s="831" t="s">
        <v>2674</v>
      </c>
      <c r="AH23153" s="831" t="s">
        <v>3042</v>
      </c>
      <c r="AI23153" s="831">
        <v>0</v>
      </c>
      <c r="AJ23153" s="835">
        <v>42094</v>
      </c>
      <c r="AK23153" s="831">
        <v>-55010221</v>
      </c>
    </row>
    <row r="23154" spans="32:37">
      <c r="AF23154" s="831" t="s">
        <v>11969</v>
      </c>
      <c r="AG23154" s="831" t="s">
        <v>2674</v>
      </c>
      <c r="AH23154" s="831" t="s">
        <v>3044</v>
      </c>
      <c r="AI23154" s="831">
        <v>0</v>
      </c>
      <c r="AJ23154" s="835">
        <v>42094</v>
      </c>
      <c r="AK23154" s="831">
        <v>-2080886</v>
      </c>
    </row>
    <row r="23155" spans="32:37">
      <c r="AF23155" s="831" t="s">
        <v>11970</v>
      </c>
      <c r="AG23155" s="831" t="s">
        <v>2674</v>
      </c>
      <c r="AH23155" s="831" t="s">
        <v>580</v>
      </c>
      <c r="AI23155" s="831">
        <v>0</v>
      </c>
      <c r="AJ23155" s="835">
        <v>42094</v>
      </c>
      <c r="AK23155" s="831">
        <v>-82773578</v>
      </c>
    </row>
    <row r="23156" spans="32:37">
      <c r="AF23156" s="831" t="s">
        <v>11971</v>
      </c>
      <c r="AG23156" s="831" t="s">
        <v>2674</v>
      </c>
      <c r="AH23156" s="831" t="s">
        <v>581</v>
      </c>
      <c r="AI23156" s="831">
        <v>0</v>
      </c>
      <c r="AJ23156" s="835">
        <v>42094</v>
      </c>
      <c r="AK23156" s="831">
        <v>10684351</v>
      </c>
    </row>
    <row r="23157" spans="32:37">
      <c r="AF23157" s="831" t="s">
        <v>11972</v>
      </c>
      <c r="AG23157" s="831" t="s">
        <v>2674</v>
      </c>
      <c r="AH23157" s="831" t="s">
        <v>105</v>
      </c>
      <c r="AI23157" s="831">
        <v>0</v>
      </c>
      <c r="AJ23157" s="835">
        <v>42094</v>
      </c>
      <c r="AK23157" s="831">
        <v>641529836</v>
      </c>
    </row>
    <row r="23158" spans="32:37">
      <c r="AF23158" s="831" t="s">
        <v>11973</v>
      </c>
      <c r="AG23158" s="831" t="s">
        <v>2674</v>
      </c>
      <c r="AH23158" s="831" t="s">
        <v>3049</v>
      </c>
      <c r="AI23158" s="831">
        <v>0</v>
      </c>
      <c r="AJ23158" s="835">
        <v>42094</v>
      </c>
      <c r="AK23158" s="831">
        <v>986480670</v>
      </c>
    </row>
    <row r="23159" spans="32:37">
      <c r="AF23159" s="831" t="s">
        <v>11974</v>
      </c>
      <c r="AG23159" s="831" t="s">
        <v>2674</v>
      </c>
      <c r="AH23159" s="831" t="s">
        <v>103</v>
      </c>
      <c r="AI23159" s="831">
        <v>0</v>
      </c>
      <c r="AJ23159" s="835">
        <v>42094</v>
      </c>
      <c r="AK23159" s="831">
        <v>344950834</v>
      </c>
    </row>
    <row r="23160" spans="32:37">
      <c r="AF23160" s="831" t="s">
        <v>11975</v>
      </c>
      <c r="AG23160" s="831" t="s">
        <v>2674</v>
      </c>
      <c r="AH23160" s="831" t="s">
        <v>182</v>
      </c>
      <c r="AI23160" s="831">
        <v>0</v>
      </c>
      <c r="AJ23160" s="835">
        <v>42094</v>
      </c>
      <c r="AK23160" s="831">
        <v>85077948</v>
      </c>
    </row>
    <row r="23161" spans="32:37">
      <c r="AF23161" s="831" t="s">
        <v>11976</v>
      </c>
      <c r="AG23161" s="831" t="s">
        <v>2674</v>
      </c>
      <c r="AH23161" s="831" t="s">
        <v>6600</v>
      </c>
      <c r="AI23161" s="831">
        <v>0</v>
      </c>
      <c r="AJ23161" s="835">
        <v>42094</v>
      </c>
      <c r="AK23161" s="831">
        <v>36560084</v>
      </c>
    </row>
    <row r="23162" spans="32:37">
      <c r="AF23162" s="831" t="s">
        <v>11977</v>
      </c>
      <c r="AG23162" s="831" t="s">
        <v>2674</v>
      </c>
      <c r="AH23162" s="831" t="s">
        <v>6602</v>
      </c>
      <c r="AI23162" s="831">
        <v>0</v>
      </c>
      <c r="AJ23162" s="835">
        <v>42094</v>
      </c>
      <c r="AK23162" s="831">
        <v>2398849</v>
      </c>
    </row>
    <row r="23163" spans="32:37">
      <c r="AF23163" s="831" t="s">
        <v>11978</v>
      </c>
      <c r="AG23163" s="831" t="s">
        <v>2674</v>
      </c>
      <c r="AH23163" s="831" t="s">
        <v>650</v>
      </c>
      <c r="AI23163" s="831">
        <v>0</v>
      </c>
      <c r="AJ23163" s="835">
        <v>42094</v>
      </c>
      <c r="AK23163" s="831">
        <v>315233998.53846157</v>
      </c>
    </row>
    <row r="23164" spans="32:37">
      <c r="AF23164" s="831" t="s">
        <v>11979</v>
      </c>
      <c r="AG23164" s="831" t="s">
        <v>2674</v>
      </c>
      <c r="AH23164" s="831" t="s">
        <v>655</v>
      </c>
      <c r="AI23164" s="831">
        <v>0</v>
      </c>
      <c r="AJ23164" s="835">
        <v>42094</v>
      </c>
      <c r="AK23164" s="831">
        <v>7308574</v>
      </c>
    </row>
    <row r="23165" spans="32:37">
      <c r="AF23165" s="831" t="s">
        <v>11980</v>
      </c>
      <c r="AG23165" s="831" t="s">
        <v>2674</v>
      </c>
      <c r="AH23165" s="831" t="s">
        <v>546</v>
      </c>
      <c r="AI23165" s="831">
        <v>0</v>
      </c>
      <c r="AJ23165" s="835">
        <v>42124</v>
      </c>
      <c r="AK23165" s="831">
        <v>887135523</v>
      </c>
    </row>
    <row r="23166" spans="32:37">
      <c r="AF23166" s="831" t="s">
        <v>11981</v>
      </c>
      <c r="AG23166" s="831" t="s">
        <v>2674</v>
      </c>
      <c r="AH23166" s="831" t="s">
        <v>370</v>
      </c>
      <c r="AI23166" s="831">
        <v>0</v>
      </c>
      <c r="AJ23166" s="835">
        <v>42124</v>
      </c>
      <c r="AK23166" s="831">
        <v>1155982366</v>
      </c>
    </row>
    <row r="23167" spans="32:37">
      <c r="AF23167" s="831" t="s">
        <v>11982</v>
      </c>
      <c r="AG23167" s="831" t="s">
        <v>2674</v>
      </c>
      <c r="AH23167" s="831" t="s">
        <v>126</v>
      </c>
      <c r="AI23167" s="831">
        <v>0</v>
      </c>
      <c r="AJ23167" s="835">
        <v>42124</v>
      </c>
      <c r="AK23167" s="831">
        <v>148898855</v>
      </c>
    </row>
    <row r="23168" spans="32:37">
      <c r="AF23168" s="831" t="s">
        <v>11983</v>
      </c>
      <c r="AG23168" s="831" t="s">
        <v>2674</v>
      </c>
      <c r="AH23168" s="831" t="s">
        <v>268</v>
      </c>
      <c r="AI23168" s="831">
        <v>0</v>
      </c>
      <c r="AJ23168" s="835">
        <v>42124</v>
      </c>
      <c r="AK23168" s="831">
        <v>3490177</v>
      </c>
    </row>
    <row r="23169" spans="32:37">
      <c r="AF23169" s="831" t="s">
        <v>11984</v>
      </c>
      <c r="AG23169" s="831" t="s">
        <v>2674</v>
      </c>
      <c r="AH23169" s="831" t="s">
        <v>547</v>
      </c>
      <c r="AI23169" s="831">
        <v>0</v>
      </c>
      <c r="AJ23169" s="835">
        <v>42124</v>
      </c>
      <c r="AK23169" s="831">
        <v>1044609243</v>
      </c>
    </row>
    <row r="23170" spans="32:37">
      <c r="AF23170" s="831" t="s">
        <v>11985</v>
      </c>
      <c r="AG23170" s="831" t="s">
        <v>2674</v>
      </c>
      <c r="AH23170" s="831" t="s">
        <v>548</v>
      </c>
      <c r="AI23170" s="831">
        <v>0</v>
      </c>
      <c r="AJ23170" s="835">
        <v>42124</v>
      </c>
      <c r="AK23170" s="831">
        <v>148860224</v>
      </c>
    </row>
    <row r="23171" spans="32:37">
      <c r="AF23171" s="831" t="s">
        <v>11986</v>
      </c>
      <c r="AG23171" s="831" t="s">
        <v>2674</v>
      </c>
      <c r="AH23171" s="831" t="s">
        <v>549</v>
      </c>
      <c r="AI23171" s="831">
        <v>0</v>
      </c>
      <c r="AJ23171" s="835">
        <v>42124</v>
      </c>
      <c r="AK23171" s="831">
        <v>695634421</v>
      </c>
    </row>
    <row r="23172" spans="32:37">
      <c r="AF23172" s="831" t="s">
        <v>11987</v>
      </c>
      <c r="AG23172" s="831" t="s">
        <v>2674</v>
      </c>
      <c r="AH23172" s="831" t="s">
        <v>192</v>
      </c>
      <c r="AI23172" s="831">
        <v>0</v>
      </c>
      <c r="AJ23172" s="835">
        <v>42124</v>
      </c>
      <c r="AK23172" s="831">
        <v>-17978430</v>
      </c>
    </row>
    <row r="23173" spans="32:37">
      <c r="AF23173" s="831" t="s">
        <v>11988</v>
      </c>
      <c r="AG23173" s="831" t="s">
        <v>2674</v>
      </c>
      <c r="AH23173" s="831" t="s">
        <v>558</v>
      </c>
      <c r="AI23173" s="831">
        <v>0</v>
      </c>
      <c r="AJ23173" s="835">
        <v>42124</v>
      </c>
      <c r="AK23173" s="831">
        <v>1007083670</v>
      </c>
    </row>
    <row r="23174" spans="32:37">
      <c r="AF23174" s="831" t="s">
        <v>11989</v>
      </c>
      <c r="AG23174" s="831" t="s">
        <v>2674</v>
      </c>
      <c r="AH23174" s="831" t="s">
        <v>65</v>
      </c>
      <c r="AI23174" s="831">
        <v>0</v>
      </c>
      <c r="AJ23174" s="835">
        <v>42124</v>
      </c>
      <c r="AK23174" s="831">
        <v>64640929</v>
      </c>
    </row>
    <row r="23175" spans="32:37">
      <c r="AF23175" s="831" t="s">
        <v>11990</v>
      </c>
      <c r="AG23175" s="831" t="s">
        <v>2674</v>
      </c>
      <c r="AH23175" s="831" t="s">
        <v>89</v>
      </c>
      <c r="AI23175" s="831">
        <v>0</v>
      </c>
      <c r="AJ23175" s="835">
        <v>42124</v>
      </c>
      <c r="AK23175" s="831">
        <v>147391</v>
      </c>
    </row>
    <row r="23176" spans="32:37">
      <c r="AF23176" s="831" t="s">
        <v>11991</v>
      </c>
      <c r="AG23176" s="831" t="s">
        <v>2674</v>
      </c>
      <c r="AH23176" s="831" t="s">
        <v>557</v>
      </c>
      <c r="AI23176" s="831">
        <v>0</v>
      </c>
      <c r="AJ23176" s="835">
        <v>42124</v>
      </c>
      <c r="AK23176" s="831">
        <v>168436</v>
      </c>
    </row>
    <row r="23177" spans="32:37">
      <c r="AF23177" s="831" t="s">
        <v>11992</v>
      </c>
      <c r="AG23177" s="831" t="s">
        <v>2674</v>
      </c>
      <c r="AH23177" s="831" t="s">
        <v>29</v>
      </c>
      <c r="AI23177" s="831">
        <v>0</v>
      </c>
      <c r="AJ23177" s="835">
        <v>42124</v>
      </c>
      <c r="AK23177" s="831">
        <v>18420222</v>
      </c>
    </row>
    <row r="23178" spans="32:37">
      <c r="AF23178" s="831" t="s">
        <v>11993</v>
      </c>
      <c r="AG23178" s="831" t="s">
        <v>2674</v>
      </c>
      <c r="AH23178" s="831" t="s">
        <v>2688</v>
      </c>
      <c r="AI23178" s="831">
        <v>0</v>
      </c>
      <c r="AJ23178" s="835">
        <v>42124</v>
      </c>
      <c r="AK23178" s="831">
        <v>149665387</v>
      </c>
    </row>
    <row r="23179" spans="32:37">
      <c r="AF23179" s="831" t="s">
        <v>11994</v>
      </c>
      <c r="AG23179" s="831" t="s">
        <v>2674</v>
      </c>
      <c r="AH23179" s="831" t="s">
        <v>556</v>
      </c>
      <c r="AI23179" s="831">
        <v>0</v>
      </c>
      <c r="AJ23179" s="835">
        <v>42124</v>
      </c>
      <c r="AK23179" s="831">
        <v>11412135</v>
      </c>
    </row>
    <row r="23180" spans="32:37">
      <c r="AF23180" s="831" t="s">
        <v>11995</v>
      </c>
      <c r="AG23180" s="831" t="s">
        <v>2674</v>
      </c>
      <c r="AH23180" s="831" t="s">
        <v>555</v>
      </c>
      <c r="AI23180" s="831">
        <v>0</v>
      </c>
      <c r="AJ23180" s="835">
        <v>42124</v>
      </c>
      <c r="AK23180" s="831">
        <v>781614407</v>
      </c>
    </row>
    <row r="23181" spans="32:37">
      <c r="AF23181" s="831" t="s">
        <v>11996</v>
      </c>
      <c r="AG23181" s="831" t="s">
        <v>2674</v>
      </c>
      <c r="AH23181" s="831" t="s">
        <v>554</v>
      </c>
      <c r="AI23181" s="831">
        <v>0</v>
      </c>
      <c r="AJ23181" s="835">
        <v>42124</v>
      </c>
      <c r="AK23181" s="831">
        <v>811049609</v>
      </c>
    </row>
    <row r="23182" spans="32:37">
      <c r="AF23182" s="831" t="s">
        <v>11997</v>
      </c>
      <c r="AG23182" s="831" t="s">
        <v>2674</v>
      </c>
      <c r="AH23182" s="831" t="s">
        <v>553</v>
      </c>
      <c r="AI23182" s="831">
        <v>0</v>
      </c>
      <c r="AJ23182" s="835">
        <v>42124</v>
      </c>
      <c r="AK23182" s="831">
        <v>47191500</v>
      </c>
    </row>
    <row r="23183" spans="32:37">
      <c r="AF23183" s="831" t="s">
        <v>11998</v>
      </c>
      <c r="AG23183" s="831" t="s">
        <v>2674</v>
      </c>
      <c r="AH23183" s="831" t="s">
        <v>552</v>
      </c>
      <c r="AI23183" s="831">
        <v>0</v>
      </c>
      <c r="AJ23183" s="835">
        <v>42124</v>
      </c>
      <c r="AK23183" s="831">
        <v>0</v>
      </c>
    </row>
    <row r="23184" spans="32:37">
      <c r="AF23184" s="831" t="s">
        <v>11999</v>
      </c>
      <c r="AG23184" s="831" t="s">
        <v>2674</v>
      </c>
      <c r="AH23184" s="831" t="s">
        <v>551</v>
      </c>
      <c r="AI23184" s="831">
        <v>0</v>
      </c>
      <c r="AJ23184" s="835">
        <v>42124</v>
      </c>
      <c r="AK23184" s="831">
        <v>10773380</v>
      </c>
    </row>
    <row r="23185" spans="32:37">
      <c r="AF23185" s="831" t="s">
        <v>12000</v>
      </c>
      <c r="AG23185" s="831" t="s">
        <v>2674</v>
      </c>
      <c r="AH23185" s="831" t="s">
        <v>550</v>
      </c>
      <c r="AI23185" s="831">
        <v>0</v>
      </c>
      <c r="AJ23185" s="835">
        <v>42124</v>
      </c>
      <c r="AK23185" s="831">
        <v>147807134</v>
      </c>
    </row>
    <row r="23186" spans="32:37">
      <c r="AF23186" s="831" t="s">
        <v>12001</v>
      </c>
      <c r="AG23186" s="831" t="s">
        <v>2674</v>
      </c>
      <c r="AH23186" s="831" t="s">
        <v>562</v>
      </c>
      <c r="AI23186" s="831">
        <v>0</v>
      </c>
      <c r="AJ23186" s="835">
        <v>42124</v>
      </c>
      <c r="AK23186" s="831">
        <v>1.0471999999999999</v>
      </c>
    </row>
    <row r="23187" spans="32:37">
      <c r="AF23187" s="831" t="s">
        <v>12002</v>
      </c>
      <c r="AG23187" s="831" t="s">
        <v>2674</v>
      </c>
      <c r="AH23187" s="831" t="s">
        <v>2698</v>
      </c>
      <c r="AI23187" s="831">
        <v>0</v>
      </c>
      <c r="AJ23187" s="835">
        <v>42124</v>
      </c>
      <c r="AK23187" s="831">
        <v>1.0495000000000001</v>
      </c>
    </row>
    <row r="23188" spans="32:37">
      <c r="AF23188" s="831" t="s">
        <v>12003</v>
      </c>
      <c r="AG23188" s="831" t="s">
        <v>2674</v>
      </c>
      <c r="AH23188" s="831" t="s">
        <v>560</v>
      </c>
      <c r="AI23188" s="831">
        <v>0</v>
      </c>
      <c r="AJ23188" s="835">
        <v>42124</v>
      </c>
      <c r="AK23188" s="831">
        <v>0.98171249999999999</v>
      </c>
    </row>
    <row r="23189" spans="32:37">
      <c r="AF23189" s="831" t="s">
        <v>12004</v>
      </c>
      <c r="AG23189" s="831" t="s">
        <v>2674</v>
      </c>
      <c r="AH23189" s="831" t="s">
        <v>559</v>
      </c>
      <c r="AI23189" s="831">
        <v>0</v>
      </c>
      <c r="AJ23189" s="835">
        <v>42124</v>
      </c>
      <c r="AK23189" s="831">
        <v>0.84962083333333327</v>
      </c>
    </row>
    <row r="23190" spans="32:37">
      <c r="AF23190" s="831" t="s">
        <v>12005</v>
      </c>
      <c r="AG23190" s="831" t="s">
        <v>2674</v>
      </c>
      <c r="AH23190" s="831" t="s">
        <v>568</v>
      </c>
      <c r="AI23190" s="831">
        <v>0</v>
      </c>
      <c r="AJ23190" s="835">
        <v>42124</v>
      </c>
      <c r="AK23190" s="831">
        <v>802858062.76923072</v>
      </c>
    </row>
    <row r="23191" spans="32:37">
      <c r="AF23191" s="831" t="s">
        <v>12006</v>
      </c>
      <c r="AG23191" s="831" t="s">
        <v>2674</v>
      </c>
      <c r="AH23191" s="831" t="s">
        <v>569</v>
      </c>
      <c r="AI23191" s="831">
        <v>0</v>
      </c>
      <c r="AJ23191" s="835">
        <v>42124</v>
      </c>
      <c r="AK23191" s="831">
        <v>1009137751.8461539</v>
      </c>
    </row>
    <row r="23192" spans="32:37">
      <c r="AF23192" s="831" t="s">
        <v>12007</v>
      </c>
      <c r="AG23192" s="831" t="s">
        <v>2674</v>
      </c>
      <c r="AH23192" s="831" t="s">
        <v>570</v>
      </c>
      <c r="AI23192" s="831">
        <v>0</v>
      </c>
      <c r="AJ23192" s="835">
        <v>42124</v>
      </c>
      <c r="AK23192" s="831">
        <v>142830548.07923076</v>
      </c>
    </row>
    <row r="23193" spans="32:37">
      <c r="AF23193" s="831" t="s">
        <v>12008</v>
      </c>
      <c r="AG23193" s="831" t="s">
        <v>2674</v>
      </c>
      <c r="AH23193" s="831" t="s">
        <v>571</v>
      </c>
      <c r="AI23193" s="831">
        <v>0</v>
      </c>
      <c r="AJ23193" s="835">
        <v>42124</v>
      </c>
      <c r="AK23193" s="831">
        <v>521003105.80130768</v>
      </c>
    </row>
    <row r="23194" spans="32:37">
      <c r="AF23194" s="831" t="s">
        <v>12009</v>
      </c>
      <c r="AG23194" s="831" t="s">
        <v>2674</v>
      </c>
      <c r="AH23194" s="831" t="s">
        <v>573</v>
      </c>
      <c r="AI23194" s="831">
        <v>0</v>
      </c>
      <c r="AJ23194" s="835">
        <v>42124</v>
      </c>
      <c r="AK23194" s="831">
        <v>1131573563</v>
      </c>
    </row>
    <row r="23195" spans="32:37">
      <c r="AF23195" s="831" t="s">
        <v>12010</v>
      </c>
      <c r="AG23195" s="831" t="s">
        <v>2674</v>
      </c>
      <c r="AH23195" s="831" t="s">
        <v>574</v>
      </c>
      <c r="AI23195" s="831">
        <v>0</v>
      </c>
      <c r="AJ23195" s="835">
        <v>42124</v>
      </c>
      <c r="AK23195" s="831">
        <v>887385272.20000005</v>
      </c>
    </row>
    <row r="23196" spans="32:37">
      <c r="AF23196" s="831" t="s">
        <v>12011</v>
      </c>
      <c r="AG23196" s="831" t="s">
        <v>2674</v>
      </c>
      <c r="AH23196" s="831" t="s">
        <v>575</v>
      </c>
      <c r="AI23196" s="831">
        <v>0</v>
      </c>
      <c r="AJ23196" s="835">
        <v>42124</v>
      </c>
      <c r="AK23196" s="831">
        <v>146895148.59999999</v>
      </c>
    </row>
    <row r="23197" spans="32:37">
      <c r="AF23197" s="831" t="s">
        <v>12012</v>
      </c>
      <c r="AG23197" s="831" t="s">
        <v>2674</v>
      </c>
      <c r="AH23197" s="831" t="s">
        <v>576</v>
      </c>
      <c r="AI23197" s="831">
        <v>0</v>
      </c>
      <c r="AJ23197" s="835">
        <v>42124</v>
      </c>
      <c r="AK23197" s="831">
        <v>615700522.39999998</v>
      </c>
    </row>
    <row r="23198" spans="32:37">
      <c r="AF23198" s="831" t="s">
        <v>12013</v>
      </c>
      <c r="AG23198" s="831" t="s">
        <v>2674</v>
      </c>
      <c r="AH23198" s="831" t="s">
        <v>572</v>
      </c>
      <c r="AI23198" s="831">
        <v>0</v>
      </c>
      <c r="AJ23198" s="835">
        <v>42124</v>
      </c>
      <c r="AK23198" s="831">
        <v>34629345</v>
      </c>
    </row>
    <row r="23199" spans="32:37">
      <c r="AF23199" s="831" t="s">
        <v>12014</v>
      </c>
      <c r="AG23199" s="831" t="s">
        <v>2674</v>
      </c>
      <c r="AH23199" s="831" t="s">
        <v>577</v>
      </c>
      <c r="AI23199" s="831">
        <v>0</v>
      </c>
      <c r="AJ23199" s="835">
        <v>42124</v>
      </c>
      <c r="AK23199" s="831">
        <v>182065430</v>
      </c>
    </row>
    <row r="23200" spans="32:37">
      <c r="AF23200" s="831" t="s">
        <v>12015</v>
      </c>
      <c r="AG23200" s="831" t="s">
        <v>2674</v>
      </c>
      <c r="AH23200" s="831" t="s">
        <v>3042</v>
      </c>
      <c r="AI23200" s="831">
        <v>0</v>
      </c>
      <c r="AJ23200" s="835">
        <v>42124</v>
      </c>
      <c r="AK23200" s="831">
        <v>-55986090</v>
      </c>
    </row>
    <row r="23201" spans="32:37">
      <c r="AF23201" s="831" t="s">
        <v>12016</v>
      </c>
      <c r="AG23201" s="831" t="s">
        <v>2674</v>
      </c>
      <c r="AH23201" s="831" t="s">
        <v>3044</v>
      </c>
      <c r="AI23201" s="831">
        <v>0</v>
      </c>
      <c r="AJ23201" s="835">
        <v>42124</v>
      </c>
      <c r="AK23201" s="831">
        <v>-4711846</v>
      </c>
    </row>
    <row r="23202" spans="32:37">
      <c r="AF23202" s="831" t="s">
        <v>12017</v>
      </c>
      <c r="AG23202" s="831" t="s">
        <v>2674</v>
      </c>
      <c r="AH23202" s="831" t="s">
        <v>580</v>
      </c>
      <c r="AI23202" s="831">
        <v>0</v>
      </c>
      <c r="AJ23202" s="835">
        <v>42124</v>
      </c>
      <c r="AK23202" s="831">
        <v>-84657241</v>
      </c>
    </row>
    <row r="23203" spans="32:37">
      <c r="AF23203" s="831" t="s">
        <v>12018</v>
      </c>
      <c r="AG23203" s="831" t="s">
        <v>2674</v>
      </c>
      <c r="AH23203" s="831" t="s">
        <v>581</v>
      </c>
      <c r="AI23203" s="831">
        <v>0</v>
      </c>
      <c r="AJ23203" s="835">
        <v>42124</v>
      </c>
      <c r="AK23203" s="831">
        <v>11310907</v>
      </c>
    </row>
    <row r="23204" spans="32:37">
      <c r="AF23204" s="831" t="s">
        <v>12019</v>
      </c>
      <c r="AG23204" s="831" t="s">
        <v>2674</v>
      </c>
      <c r="AH23204" s="831" t="s">
        <v>105</v>
      </c>
      <c r="AI23204" s="831">
        <v>0</v>
      </c>
      <c r="AJ23204" s="835">
        <v>42124</v>
      </c>
      <c r="AK23204" s="831">
        <v>651641572</v>
      </c>
    </row>
    <row r="23205" spans="32:37">
      <c r="AF23205" s="831" t="s">
        <v>12020</v>
      </c>
      <c r="AG23205" s="831" t="s">
        <v>2674</v>
      </c>
      <c r="AH23205" s="831" t="s">
        <v>3049</v>
      </c>
      <c r="AI23205" s="831">
        <v>0</v>
      </c>
      <c r="AJ23205" s="835">
        <v>42124</v>
      </c>
      <c r="AK23205" s="831">
        <v>980090700</v>
      </c>
    </row>
    <row r="23206" spans="32:37">
      <c r="AF23206" s="831" t="s">
        <v>12021</v>
      </c>
      <c r="AG23206" s="831" t="s">
        <v>2674</v>
      </c>
      <c r="AH23206" s="831" t="s">
        <v>103</v>
      </c>
      <c r="AI23206" s="831">
        <v>0</v>
      </c>
      <c r="AJ23206" s="835">
        <v>42124</v>
      </c>
      <c r="AK23206" s="831">
        <v>328449128</v>
      </c>
    </row>
    <row r="23207" spans="32:37">
      <c r="AF23207" s="831" t="s">
        <v>12022</v>
      </c>
      <c r="AG23207" s="831" t="s">
        <v>2674</v>
      </c>
      <c r="AH23207" s="831" t="s">
        <v>182</v>
      </c>
      <c r="AI23207" s="831">
        <v>0</v>
      </c>
      <c r="AJ23207" s="835">
        <v>42124</v>
      </c>
      <c r="AK23207" s="831">
        <v>88699464</v>
      </c>
    </row>
    <row r="23208" spans="32:37">
      <c r="AF23208" s="831" t="s">
        <v>12023</v>
      </c>
      <c r="AG23208" s="831" t="s">
        <v>2674</v>
      </c>
      <c r="AH23208" s="831" t="s">
        <v>6600</v>
      </c>
      <c r="AI23208" s="831">
        <v>0</v>
      </c>
      <c r="AJ23208" s="835">
        <v>42124</v>
      </c>
      <c r="AK23208" s="831">
        <v>34629345</v>
      </c>
    </row>
    <row r="23209" spans="32:37">
      <c r="AF23209" s="831" t="s">
        <v>12024</v>
      </c>
      <c r="AG23209" s="831" t="s">
        <v>2674</v>
      </c>
      <c r="AH23209" s="831" t="s">
        <v>6602</v>
      </c>
      <c r="AI23209" s="831">
        <v>0</v>
      </c>
      <c r="AJ23209" s="835">
        <v>42124</v>
      </c>
      <c r="AK23209" s="831">
        <v>3490177</v>
      </c>
    </row>
    <row r="23210" spans="32:37">
      <c r="AF23210" s="831" t="s">
        <v>12025</v>
      </c>
      <c r="AG23210" s="831" t="s">
        <v>2674</v>
      </c>
      <c r="AH23210" s="831" t="s">
        <v>650</v>
      </c>
      <c r="AI23210" s="831">
        <v>0</v>
      </c>
      <c r="AJ23210" s="835">
        <v>42124</v>
      </c>
      <c r="AK23210" s="831">
        <v>319013929.69230771</v>
      </c>
    </row>
    <row r="23211" spans="32:37">
      <c r="AF23211" s="831" t="s">
        <v>12026</v>
      </c>
      <c r="AG23211" s="831" t="s">
        <v>2674</v>
      </c>
      <c r="AH23211" s="831" t="s">
        <v>655</v>
      </c>
      <c r="AI23211" s="831">
        <v>0</v>
      </c>
      <c r="AJ23211" s="835">
        <v>42124</v>
      </c>
      <c r="AK23211" s="831">
        <v>8145535</v>
      </c>
    </row>
    <row r="23212" spans="32:37">
      <c r="AF23212" s="831" t="s">
        <v>10335</v>
      </c>
      <c r="AG23212" s="831" t="s">
        <v>2674</v>
      </c>
      <c r="AH23212" s="831" t="s">
        <v>546</v>
      </c>
      <c r="AI23212" s="831">
        <v>0</v>
      </c>
      <c r="AJ23212" s="835">
        <v>41060</v>
      </c>
      <c r="AK23212" s="831">
        <v>339221349</v>
      </c>
    </row>
    <row r="23213" spans="32:37">
      <c r="AF23213" s="831" t="s">
        <v>10336</v>
      </c>
      <c r="AG23213" s="831" t="s">
        <v>2674</v>
      </c>
      <c r="AH23213" s="831" t="s">
        <v>370</v>
      </c>
      <c r="AI23213" s="831">
        <v>0</v>
      </c>
      <c r="AJ23213" s="835">
        <v>41060</v>
      </c>
      <c r="AK23213" s="831">
        <v>412671638</v>
      </c>
    </row>
    <row r="23214" spans="32:37">
      <c r="AF23214" s="831" t="s">
        <v>10337</v>
      </c>
      <c r="AG23214" s="831" t="s">
        <v>2674</v>
      </c>
      <c r="AH23214" s="831" t="s">
        <v>126</v>
      </c>
      <c r="AI23214" s="831">
        <v>0</v>
      </c>
      <c r="AJ23214" s="835">
        <v>41060</v>
      </c>
      <c r="AK23214" s="831">
        <v>90520261</v>
      </c>
    </row>
    <row r="23215" spans="32:37">
      <c r="AF23215" s="831" t="s">
        <v>10338</v>
      </c>
      <c r="AG23215" s="831" t="s">
        <v>2674</v>
      </c>
      <c r="AH23215" s="831" t="s">
        <v>268</v>
      </c>
      <c r="AI23215" s="831">
        <v>0</v>
      </c>
      <c r="AJ23215" s="835">
        <v>41060</v>
      </c>
      <c r="AK23215" s="831">
        <v>5197337</v>
      </c>
    </row>
    <row r="23216" spans="32:37">
      <c r="AF23216" s="831" t="s">
        <v>10339</v>
      </c>
      <c r="AG23216" s="831" t="s">
        <v>2674</v>
      </c>
      <c r="AH23216" s="831" t="s">
        <v>547</v>
      </c>
      <c r="AI23216" s="831">
        <v>0</v>
      </c>
      <c r="AJ23216" s="835">
        <v>41060</v>
      </c>
      <c r="AK23216" s="831">
        <v>0</v>
      </c>
    </row>
    <row r="23217" spans="32:37">
      <c r="AF23217" s="831" t="s">
        <v>10340</v>
      </c>
      <c r="AG23217" s="831" t="s">
        <v>2674</v>
      </c>
      <c r="AH23217" s="831" t="s">
        <v>548</v>
      </c>
      <c r="AI23217" s="831">
        <v>0</v>
      </c>
      <c r="AJ23217" s="835">
        <v>41060</v>
      </c>
      <c r="AK23217" s="831">
        <v>0</v>
      </c>
    </row>
    <row r="23218" spans="32:37">
      <c r="AF23218" s="831" t="s">
        <v>10341</v>
      </c>
      <c r="AG23218" s="831" t="s">
        <v>2674</v>
      </c>
      <c r="AH23218" s="831" t="s">
        <v>549</v>
      </c>
      <c r="AI23218" s="831">
        <v>0</v>
      </c>
      <c r="AJ23218" s="835">
        <v>41060</v>
      </c>
      <c r="AK23218" s="831">
        <v>0</v>
      </c>
    </row>
    <row r="23219" spans="32:37">
      <c r="AF23219" s="831" t="s">
        <v>10342</v>
      </c>
      <c r="AG23219" s="831" t="s">
        <v>2674</v>
      </c>
      <c r="AH23219" s="831" t="s">
        <v>192</v>
      </c>
      <c r="AI23219" s="831">
        <v>0</v>
      </c>
      <c r="AJ23219" s="835">
        <v>41060</v>
      </c>
      <c r="AK23219" s="831">
        <v>-9254050</v>
      </c>
    </row>
    <row r="23220" spans="32:37">
      <c r="AF23220" s="831" t="s">
        <v>10343</v>
      </c>
      <c r="AG23220" s="831" t="s">
        <v>2674</v>
      </c>
      <c r="AH23220" s="831" t="s">
        <v>558</v>
      </c>
      <c r="AI23220" s="831">
        <v>0</v>
      </c>
      <c r="AJ23220" s="835">
        <v>41060</v>
      </c>
      <c r="AK23220" s="831">
        <v>322151377</v>
      </c>
    </row>
    <row r="23221" spans="32:37">
      <c r="AF23221" s="831" t="s">
        <v>10344</v>
      </c>
      <c r="AG23221" s="831" t="s">
        <v>2674</v>
      </c>
      <c r="AH23221" s="831" t="s">
        <v>65</v>
      </c>
      <c r="AI23221" s="831">
        <v>0</v>
      </c>
      <c r="AJ23221" s="835">
        <v>41060</v>
      </c>
      <c r="AK23221" s="831">
        <v>38110599</v>
      </c>
    </row>
    <row r="23222" spans="32:37">
      <c r="AF23222" s="831" t="s">
        <v>10345</v>
      </c>
      <c r="AG23222" s="831" t="s">
        <v>2674</v>
      </c>
      <c r="AH23222" s="831" t="s">
        <v>89</v>
      </c>
      <c r="AI23222" s="831">
        <v>0</v>
      </c>
      <c r="AJ23222" s="835">
        <v>41060</v>
      </c>
      <c r="AK23222" s="831">
        <v>122430</v>
      </c>
    </row>
    <row r="23223" spans="32:37">
      <c r="AF23223" s="831" t="s">
        <v>10346</v>
      </c>
      <c r="AG23223" s="831" t="s">
        <v>2674</v>
      </c>
      <c r="AH23223" s="831" t="s">
        <v>557</v>
      </c>
      <c r="AI23223" s="831">
        <v>0</v>
      </c>
      <c r="AJ23223" s="835">
        <v>41060</v>
      </c>
      <c r="AK23223" s="831">
        <v>124207</v>
      </c>
    </row>
    <row r="23224" spans="32:37">
      <c r="AF23224" s="831" t="s">
        <v>10347</v>
      </c>
      <c r="AG23224" s="831" t="s">
        <v>2674</v>
      </c>
      <c r="AH23224" s="831" t="s">
        <v>29</v>
      </c>
      <c r="AI23224" s="831">
        <v>0</v>
      </c>
      <c r="AJ23224" s="835">
        <v>41060</v>
      </c>
      <c r="AK23224" s="831">
        <v>2528808</v>
      </c>
    </row>
    <row r="23225" spans="32:37">
      <c r="AF23225" s="831" t="s">
        <v>10348</v>
      </c>
      <c r="AG23225" s="831" t="s">
        <v>2674</v>
      </c>
      <c r="AH23225" s="831" t="s">
        <v>2688</v>
      </c>
      <c r="AI23225" s="831">
        <v>0</v>
      </c>
      <c r="AJ23225" s="835">
        <v>41060</v>
      </c>
      <c r="AK23225" s="831">
        <v>3036435</v>
      </c>
    </row>
    <row r="23226" spans="32:37">
      <c r="AF23226" s="831" t="s">
        <v>10349</v>
      </c>
      <c r="AG23226" s="831" t="s">
        <v>2674</v>
      </c>
      <c r="AH23226" s="831" t="s">
        <v>556</v>
      </c>
      <c r="AI23226" s="831">
        <v>0</v>
      </c>
      <c r="AJ23226" s="835">
        <v>41060</v>
      </c>
      <c r="AK23226" s="831">
        <v>0</v>
      </c>
    </row>
    <row r="23227" spans="32:37">
      <c r="AF23227" s="831" t="s">
        <v>10350</v>
      </c>
      <c r="AG23227" s="831" t="s">
        <v>2674</v>
      </c>
      <c r="AH23227" s="831" t="s">
        <v>555</v>
      </c>
      <c r="AI23227" s="831">
        <v>0</v>
      </c>
      <c r="AJ23227" s="835">
        <v>41060</v>
      </c>
      <c r="AK23227" s="831">
        <v>196148980</v>
      </c>
    </row>
    <row r="23228" spans="32:37">
      <c r="AF23228" s="831" t="s">
        <v>10351</v>
      </c>
      <c r="AG23228" s="831" t="s">
        <v>2674</v>
      </c>
      <c r="AH23228" s="831" t="s">
        <v>554</v>
      </c>
      <c r="AI23228" s="831">
        <v>0</v>
      </c>
      <c r="AJ23228" s="835">
        <v>41060</v>
      </c>
      <c r="AK23228" s="831">
        <v>194772980</v>
      </c>
    </row>
    <row r="23229" spans="32:37">
      <c r="AF23229" s="831" t="s">
        <v>10352</v>
      </c>
      <c r="AG23229" s="831" t="s">
        <v>2674</v>
      </c>
      <c r="AH23229" s="831" t="s">
        <v>553</v>
      </c>
      <c r="AI23229" s="831">
        <v>0</v>
      </c>
      <c r="AJ23229" s="835">
        <v>41060</v>
      </c>
      <c r="AK23229" s="831">
        <v>0</v>
      </c>
    </row>
    <row r="23230" spans="32:37">
      <c r="AF23230" s="831" t="s">
        <v>10353</v>
      </c>
      <c r="AG23230" s="831" t="s">
        <v>2674</v>
      </c>
      <c r="AH23230" s="831" t="s">
        <v>552</v>
      </c>
      <c r="AI23230" s="831">
        <v>0</v>
      </c>
      <c r="AJ23230" s="835">
        <v>41060</v>
      </c>
      <c r="AK23230" s="831">
        <v>0</v>
      </c>
    </row>
    <row r="23231" spans="32:37">
      <c r="AF23231" s="831" t="s">
        <v>10354</v>
      </c>
      <c r="AG23231" s="831" t="s">
        <v>2674</v>
      </c>
      <c r="AH23231" s="831" t="s">
        <v>551</v>
      </c>
      <c r="AI23231" s="831">
        <v>0</v>
      </c>
      <c r="AJ23231" s="835">
        <v>41060</v>
      </c>
      <c r="AK23231" s="831">
        <v>2340522</v>
      </c>
    </row>
    <row r="23232" spans="32:37">
      <c r="AF23232" s="831" t="s">
        <v>10355</v>
      </c>
      <c r="AG23232" s="831" t="s">
        <v>2674</v>
      </c>
      <c r="AH23232" s="831" t="s">
        <v>550</v>
      </c>
      <c r="AI23232" s="831">
        <v>0</v>
      </c>
      <c r="AJ23232" s="835">
        <v>41060</v>
      </c>
      <c r="AK23232" s="831">
        <v>0</v>
      </c>
    </row>
    <row r="23233" spans="32:37">
      <c r="AF23233" s="831" t="s">
        <v>10356</v>
      </c>
      <c r="AG23233" s="831" t="s">
        <v>2674</v>
      </c>
      <c r="AH23233" s="831" t="s">
        <v>562</v>
      </c>
      <c r="AI23233" s="831">
        <v>0</v>
      </c>
      <c r="AJ23233" s="835">
        <v>41060</v>
      </c>
      <c r="AK23233" s="831">
        <v>0.78515000000000001</v>
      </c>
    </row>
    <row r="23234" spans="32:37">
      <c r="AF23234" s="831" t="s">
        <v>10357</v>
      </c>
      <c r="AG23234" s="831" t="s">
        <v>2674</v>
      </c>
      <c r="AH23234" s="831" t="s">
        <v>2698</v>
      </c>
      <c r="AI23234" s="831">
        <v>0</v>
      </c>
      <c r="AJ23234" s="835">
        <v>41060</v>
      </c>
      <c r="AK23234" s="831">
        <v>0.78585000000000005</v>
      </c>
    </row>
    <row r="23235" spans="32:37">
      <c r="AF23235" s="831" t="s">
        <v>10358</v>
      </c>
      <c r="AG23235" s="831" t="s">
        <v>2674</v>
      </c>
      <c r="AH23235" s="831" t="s">
        <v>560</v>
      </c>
      <c r="AI23235" s="831">
        <v>0</v>
      </c>
      <c r="AJ23235" s="835">
        <v>41060</v>
      </c>
      <c r="AK23235" s="831">
        <v>0.78580000000000005</v>
      </c>
    </row>
    <row r="23236" spans="32:37">
      <c r="AF23236" s="831" t="s">
        <v>10359</v>
      </c>
      <c r="AG23236" s="831" t="s">
        <v>2674</v>
      </c>
      <c r="AH23236" s="831" t="s">
        <v>559</v>
      </c>
      <c r="AI23236" s="831">
        <v>0</v>
      </c>
      <c r="AJ23236" s="835">
        <v>41060</v>
      </c>
      <c r="AK23236" s="831">
        <v>0.78569999999999995</v>
      </c>
    </row>
    <row r="23237" spans="32:37">
      <c r="AF23237" s="831" t="s">
        <v>10360</v>
      </c>
      <c r="AG23237" s="831" t="s">
        <v>2674</v>
      </c>
      <c r="AH23237" s="831" t="s">
        <v>568</v>
      </c>
      <c r="AI23237" s="831">
        <v>0</v>
      </c>
      <c r="AJ23237" s="835">
        <v>41060</v>
      </c>
      <c r="AK23237" s="831">
        <v>0</v>
      </c>
    </row>
    <row r="23238" spans="32:37">
      <c r="AF23238" s="831" t="s">
        <v>10361</v>
      </c>
      <c r="AG23238" s="831" t="s">
        <v>2674</v>
      </c>
      <c r="AH23238" s="831" t="s">
        <v>569</v>
      </c>
      <c r="AI23238" s="831">
        <v>0</v>
      </c>
      <c r="AJ23238" s="835">
        <v>41060</v>
      </c>
      <c r="AK23238" s="831">
        <v>0</v>
      </c>
    </row>
    <row r="23239" spans="32:37">
      <c r="AF23239" s="831" t="s">
        <v>10362</v>
      </c>
      <c r="AG23239" s="831" t="s">
        <v>2674</v>
      </c>
      <c r="AH23239" s="831" t="s">
        <v>570</v>
      </c>
      <c r="AI23239" s="831">
        <v>0</v>
      </c>
      <c r="AJ23239" s="835">
        <v>41060</v>
      </c>
      <c r="AK23239" s="831">
        <v>0</v>
      </c>
    </row>
    <row r="23240" spans="32:37">
      <c r="AF23240" s="831" t="s">
        <v>10363</v>
      </c>
      <c r="AG23240" s="831" t="s">
        <v>2674</v>
      </c>
      <c r="AH23240" s="831" t="s">
        <v>571</v>
      </c>
      <c r="AI23240" s="831">
        <v>0</v>
      </c>
      <c r="AJ23240" s="835">
        <v>41060</v>
      </c>
      <c r="AK23240" s="831">
        <v>0</v>
      </c>
    </row>
    <row r="23241" spans="32:37">
      <c r="AF23241" s="831" t="s">
        <v>10364</v>
      </c>
      <c r="AG23241" s="831" t="s">
        <v>2674</v>
      </c>
      <c r="AH23241" s="831" t="s">
        <v>573</v>
      </c>
      <c r="AI23241" s="831">
        <v>0</v>
      </c>
      <c r="AJ23241" s="835">
        <v>41060</v>
      </c>
      <c r="AK23241" s="831">
        <v>0</v>
      </c>
    </row>
    <row r="23242" spans="32:37">
      <c r="AF23242" s="831" t="s">
        <v>10365</v>
      </c>
      <c r="AG23242" s="831" t="s">
        <v>2674</v>
      </c>
      <c r="AH23242" s="831" t="s">
        <v>574</v>
      </c>
      <c r="AI23242" s="831">
        <v>0</v>
      </c>
      <c r="AJ23242" s="835">
        <v>41060</v>
      </c>
      <c r="AK23242" s="831">
        <v>0</v>
      </c>
    </row>
    <row r="23243" spans="32:37">
      <c r="AF23243" s="831" t="s">
        <v>10366</v>
      </c>
      <c r="AG23243" s="831" t="s">
        <v>2674</v>
      </c>
      <c r="AH23243" s="831" t="s">
        <v>575</v>
      </c>
      <c r="AI23243" s="831">
        <v>0</v>
      </c>
      <c r="AJ23243" s="835">
        <v>41060</v>
      </c>
      <c r="AK23243" s="831">
        <v>0</v>
      </c>
    </row>
    <row r="23244" spans="32:37">
      <c r="AF23244" s="831" t="s">
        <v>10367</v>
      </c>
      <c r="AG23244" s="831" t="s">
        <v>2674</v>
      </c>
      <c r="AH23244" s="831" t="s">
        <v>576</v>
      </c>
      <c r="AI23244" s="831">
        <v>0</v>
      </c>
      <c r="AJ23244" s="835">
        <v>41060</v>
      </c>
      <c r="AK23244" s="831">
        <v>0</v>
      </c>
    </row>
    <row r="23245" spans="32:37">
      <c r="AF23245" s="831" t="s">
        <v>10368</v>
      </c>
      <c r="AG23245" s="831" t="s">
        <v>2674</v>
      </c>
      <c r="AH23245" s="831" t="s">
        <v>572</v>
      </c>
      <c r="AI23245" s="831">
        <v>0</v>
      </c>
      <c r="AJ23245" s="835">
        <v>41060</v>
      </c>
      <c r="AK23245" s="831">
        <v>-2146826246</v>
      </c>
    </row>
    <row r="23246" spans="32:37">
      <c r="AF23246" s="831" t="s">
        <v>10369</v>
      </c>
      <c r="AG23246" s="831" t="s">
        <v>2674</v>
      </c>
      <c r="AH23246" s="831" t="s">
        <v>577</v>
      </c>
      <c r="AI23246" s="831">
        <v>0</v>
      </c>
      <c r="AJ23246" s="835">
        <v>41060</v>
      </c>
      <c r="AK23246" s="831">
        <v>-2146826246</v>
      </c>
    </row>
    <row r="23247" spans="32:37">
      <c r="AF23247" s="831" t="s">
        <v>10370</v>
      </c>
      <c r="AG23247" s="831" t="s">
        <v>2674</v>
      </c>
      <c r="AH23247" s="831" t="s">
        <v>3042</v>
      </c>
      <c r="AI23247" s="831">
        <v>0</v>
      </c>
      <c r="AJ23247" s="835">
        <v>41060</v>
      </c>
      <c r="AK23247" s="831">
        <v>-2146826246</v>
      </c>
    </row>
    <row r="23248" spans="32:37">
      <c r="AF23248" s="831" t="s">
        <v>10371</v>
      </c>
      <c r="AG23248" s="831" t="s">
        <v>2674</v>
      </c>
      <c r="AH23248" s="831" t="s">
        <v>3044</v>
      </c>
      <c r="AI23248" s="831">
        <v>0</v>
      </c>
      <c r="AJ23248" s="835">
        <v>41060</v>
      </c>
      <c r="AK23248" s="831">
        <v>-2146826246</v>
      </c>
    </row>
    <row r="23249" spans="32:37">
      <c r="AF23249" s="831" t="s">
        <v>10372</v>
      </c>
      <c r="AG23249" s="831" t="s">
        <v>2674</v>
      </c>
      <c r="AH23249" s="831" t="s">
        <v>580</v>
      </c>
      <c r="AI23249" s="831">
        <v>0</v>
      </c>
      <c r="AJ23249" s="835">
        <v>41060</v>
      </c>
      <c r="AK23249" s="831">
        <v>-2146826246</v>
      </c>
    </row>
    <row r="23250" spans="32:37">
      <c r="AF23250" s="831" t="s">
        <v>10373</v>
      </c>
      <c r="AG23250" s="831" t="s">
        <v>2674</v>
      </c>
      <c r="AH23250" s="831" t="s">
        <v>581</v>
      </c>
      <c r="AI23250" s="831">
        <v>0</v>
      </c>
      <c r="AJ23250" s="835">
        <v>41060</v>
      </c>
      <c r="AK23250" s="831">
        <v>-2146826246</v>
      </c>
    </row>
    <row r="23251" spans="32:37">
      <c r="AF23251" s="831" t="s">
        <v>10374</v>
      </c>
      <c r="AG23251" s="831" t="s">
        <v>2674</v>
      </c>
      <c r="AH23251" s="831" t="s">
        <v>105</v>
      </c>
      <c r="AI23251" s="831">
        <v>0</v>
      </c>
      <c r="AJ23251" s="835">
        <v>41060</v>
      </c>
      <c r="AK23251" s="831">
        <v>149985593</v>
      </c>
    </row>
    <row r="23252" spans="32:37">
      <c r="AF23252" s="831" t="s">
        <v>10375</v>
      </c>
      <c r="AG23252" s="831" t="s">
        <v>2674</v>
      </c>
      <c r="AH23252" s="831" t="s">
        <v>3049</v>
      </c>
      <c r="AI23252" s="831">
        <v>0</v>
      </c>
      <c r="AJ23252" s="835">
        <v>41060</v>
      </c>
      <c r="AK23252" s="831">
        <v>309400000</v>
      </c>
    </row>
    <row r="23253" spans="32:37">
      <c r="AF23253" s="831" t="s">
        <v>10376</v>
      </c>
      <c r="AG23253" s="831" t="s">
        <v>2674</v>
      </c>
      <c r="AH23253" s="831" t="s">
        <v>103</v>
      </c>
      <c r="AI23253" s="831">
        <v>0</v>
      </c>
      <c r="AJ23253" s="835">
        <v>41060</v>
      </c>
      <c r="AK23253" s="831">
        <v>159414407</v>
      </c>
    </row>
    <row r="23254" spans="32:37">
      <c r="AF23254" s="831" t="s">
        <v>10377</v>
      </c>
      <c r="AG23254" s="831" t="s">
        <v>2674</v>
      </c>
      <c r="AH23254" s="831" t="s">
        <v>182</v>
      </c>
      <c r="AI23254" s="831">
        <v>0</v>
      </c>
      <c r="AJ23254" s="835">
        <v>41060</v>
      </c>
      <c r="AK23254" s="831">
        <v>50472969.600000001</v>
      </c>
    </row>
    <row r="23255" spans="32:37">
      <c r="AF23255" s="831" t="s">
        <v>10378</v>
      </c>
      <c r="AG23255" s="831" t="s">
        <v>2674</v>
      </c>
      <c r="AH23255" s="831" t="s">
        <v>6600</v>
      </c>
      <c r="AI23255" s="831">
        <v>0</v>
      </c>
      <c r="AJ23255" s="835">
        <v>41060</v>
      </c>
      <c r="AK23255" s="831">
        <v>-2146826246</v>
      </c>
    </row>
    <row r="23256" spans="32:37">
      <c r="AF23256" s="831" t="s">
        <v>10379</v>
      </c>
      <c r="AG23256" s="831" t="s">
        <v>2674</v>
      </c>
      <c r="AH23256" s="831" t="s">
        <v>6602</v>
      </c>
      <c r="AI23256" s="831">
        <v>0</v>
      </c>
      <c r="AJ23256" s="835">
        <v>41060</v>
      </c>
      <c r="AK23256" s="831">
        <v>5197337</v>
      </c>
    </row>
    <row r="23257" spans="32:37">
      <c r="AF23257" s="831" t="s">
        <v>10380</v>
      </c>
      <c r="AG23257" s="831" t="s">
        <v>2674</v>
      </c>
      <c r="AH23257" s="831" t="s">
        <v>650</v>
      </c>
      <c r="AI23257" s="831">
        <v>0</v>
      </c>
      <c r="AJ23257" s="835">
        <v>41060</v>
      </c>
      <c r="AK23257" s="831">
        <v>0</v>
      </c>
    </row>
    <row r="23258" spans="32:37">
      <c r="AF23258" s="831" t="s">
        <v>10381</v>
      </c>
      <c r="AG23258" s="831" t="s">
        <v>2674</v>
      </c>
      <c r="AH23258" s="831" t="s">
        <v>655</v>
      </c>
      <c r="AI23258" s="831">
        <v>0</v>
      </c>
      <c r="AJ23258" s="835">
        <v>41060</v>
      </c>
      <c r="AK23258" s="831">
        <v>2125799</v>
      </c>
    </row>
    <row r="23259" spans="32:37">
      <c r="AF23259" s="831" t="s">
        <v>10382</v>
      </c>
      <c r="AG23259" s="831" t="s">
        <v>2674</v>
      </c>
      <c r="AH23259" s="831" t="s">
        <v>546</v>
      </c>
      <c r="AI23259" s="831">
        <v>0</v>
      </c>
      <c r="AJ23259" s="835">
        <v>41090</v>
      </c>
      <c r="AK23259" s="831">
        <v>342628450</v>
      </c>
    </row>
    <row r="23260" spans="32:37">
      <c r="AF23260" s="831" t="s">
        <v>10383</v>
      </c>
      <c r="AG23260" s="831" t="s">
        <v>2674</v>
      </c>
      <c r="AH23260" s="831" t="s">
        <v>370</v>
      </c>
      <c r="AI23260" s="831">
        <v>0</v>
      </c>
      <c r="AJ23260" s="835">
        <v>41090</v>
      </c>
      <c r="AK23260" s="831">
        <v>422295379</v>
      </c>
    </row>
    <row r="23261" spans="32:37">
      <c r="AF23261" s="831" t="s">
        <v>10384</v>
      </c>
      <c r="AG23261" s="831" t="s">
        <v>2674</v>
      </c>
      <c r="AH23261" s="831" t="s">
        <v>126</v>
      </c>
      <c r="AI23261" s="831">
        <v>0</v>
      </c>
      <c r="AJ23261" s="835">
        <v>41090</v>
      </c>
      <c r="AK23261" s="831">
        <v>91675016</v>
      </c>
    </row>
    <row r="23262" spans="32:37">
      <c r="AF23262" s="831" t="s">
        <v>10385</v>
      </c>
      <c r="AG23262" s="831" t="s">
        <v>2674</v>
      </c>
      <c r="AH23262" s="831" t="s">
        <v>268</v>
      </c>
      <c r="AI23262" s="831">
        <v>0</v>
      </c>
      <c r="AJ23262" s="835">
        <v>41090</v>
      </c>
      <c r="AK23262" s="831">
        <v>6352093</v>
      </c>
    </row>
    <row r="23263" spans="32:37">
      <c r="AF23263" s="831" t="s">
        <v>10386</v>
      </c>
      <c r="AG23263" s="831" t="s">
        <v>2674</v>
      </c>
      <c r="AH23263" s="831" t="s">
        <v>547</v>
      </c>
      <c r="AI23263" s="831">
        <v>0</v>
      </c>
      <c r="AJ23263" s="835">
        <v>41090</v>
      </c>
      <c r="AK23263" s="831">
        <v>0</v>
      </c>
    </row>
    <row r="23264" spans="32:37">
      <c r="AF23264" s="831" t="s">
        <v>10387</v>
      </c>
      <c r="AG23264" s="831" t="s">
        <v>2674</v>
      </c>
      <c r="AH23264" s="831" t="s">
        <v>548</v>
      </c>
      <c r="AI23264" s="831">
        <v>0</v>
      </c>
      <c r="AJ23264" s="835">
        <v>41090</v>
      </c>
      <c r="AK23264" s="831">
        <v>0</v>
      </c>
    </row>
    <row r="23265" spans="32:37">
      <c r="AF23265" s="831" t="s">
        <v>10388</v>
      </c>
      <c r="AG23265" s="831" t="s">
        <v>2674</v>
      </c>
      <c r="AH23265" s="831" t="s">
        <v>549</v>
      </c>
      <c r="AI23265" s="831">
        <v>0</v>
      </c>
      <c r="AJ23265" s="835">
        <v>41090</v>
      </c>
      <c r="AK23265" s="831">
        <v>0</v>
      </c>
    </row>
    <row r="23266" spans="32:37">
      <c r="AF23266" s="831" t="s">
        <v>10389</v>
      </c>
      <c r="AG23266" s="831" t="s">
        <v>2674</v>
      </c>
      <c r="AH23266" s="831" t="s">
        <v>192</v>
      </c>
      <c r="AI23266" s="831">
        <v>0</v>
      </c>
      <c r="AJ23266" s="835">
        <v>41090</v>
      </c>
      <c r="AK23266" s="831">
        <v>-9357224</v>
      </c>
    </row>
    <row r="23267" spans="32:37">
      <c r="AF23267" s="831" t="s">
        <v>10390</v>
      </c>
      <c r="AG23267" s="831" t="s">
        <v>2674</v>
      </c>
      <c r="AH23267" s="831" t="s">
        <v>558</v>
      </c>
      <c r="AI23267" s="831">
        <v>0</v>
      </c>
      <c r="AJ23267" s="835">
        <v>41090</v>
      </c>
      <c r="AK23267" s="831">
        <v>330620363</v>
      </c>
    </row>
    <row r="23268" spans="32:37">
      <c r="AF23268" s="831" t="s">
        <v>10391</v>
      </c>
      <c r="AG23268" s="831" t="s">
        <v>2674</v>
      </c>
      <c r="AH23268" s="831" t="s">
        <v>65</v>
      </c>
      <c r="AI23268" s="831">
        <v>0</v>
      </c>
      <c r="AJ23268" s="835">
        <v>41090</v>
      </c>
      <c r="AK23268" s="831">
        <v>46070355</v>
      </c>
    </row>
    <row r="23269" spans="32:37">
      <c r="AF23269" s="831" t="s">
        <v>10392</v>
      </c>
      <c r="AG23269" s="831" t="s">
        <v>2674</v>
      </c>
      <c r="AH23269" s="831" t="s">
        <v>89</v>
      </c>
      <c r="AI23269" s="831">
        <v>0</v>
      </c>
      <c r="AJ23269" s="835">
        <v>41090</v>
      </c>
      <c r="AK23269" s="831">
        <v>122094</v>
      </c>
    </row>
    <row r="23270" spans="32:37">
      <c r="AF23270" s="831" t="s">
        <v>10393</v>
      </c>
      <c r="AG23270" s="831" t="s">
        <v>2674</v>
      </c>
      <c r="AH23270" s="831" t="s">
        <v>557</v>
      </c>
      <c r="AI23270" s="831">
        <v>0</v>
      </c>
      <c r="AJ23270" s="835">
        <v>41090</v>
      </c>
      <c r="AK23270" s="831">
        <v>123933</v>
      </c>
    </row>
    <row r="23271" spans="32:37">
      <c r="AF23271" s="831" t="s">
        <v>10394</v>
      </c>
      <c r="AG23271" s="831" t="s">
        <v>2674</v>
      </c>
      <c r="AH23271" s="831" t="s">
        <v>29</v>
      </c>
      <c r="AI23271" s="831">
        <v>0</v>
      </c>
      <c r="AJ23271" s="835">
        <v>41090</v>
      </c>
      <c r="AK23271" s="831">
        <v>2579950</v>
      </c>
    </row>
    <row r="23272" spans="32:37">
      <c r="AF23272" s="831" t="s">
        <v>10395</v>
      </c>
      <c r="AG23272" s="831" t="s">
        <v>2674</v>
      </c>
      <c r="AH23272" s="831" t="s">
        <v>2688</v>
      </c>
      <c r="AI23272" s="831">
        <v>0</v>
      </c>
      <c r="AJ23272" s="835">
        <v>41090</v>
      </c>
      <c r="AK23272" s="831">
        <v>2983420</v>
      </c>
    </row>
    <row r="23273" spans="32:37">
      <c r="AF23273" s="831" t="s">
        <v>10396</v>
      </c>
      <c r="AG23273" s="831" t="s">
        <v>2674</v>
      </c>
      <c r="AH23273" s="831" t="s">
        <v>556</v>
      </c>
      <c r="AI23273" s="831">
        <v>0</v>
      </c>
      <c r="AJ23273" s="835">
        <v>41090</v>
      </c>
      <c r="AK23273" s="831">
        <v>0</v>
      </c>
    </row>
    <row r="23274" spans="32:37">
      <c r="AF23274" s="831" t="s">
        <v>10397</v>
      </c>
      <c r="AG23274" s="831" t="s">
        <v>2674</v>
      </c>
      <c r="AH23274" s="831" t="s">
        <v>555</v>
      </c>
      <c r="AI23274" s="831">
        <v>0</v>
      </c>
      <c r="AJ23274" s="835">
        <v>41090</v>
      </c>
      <c r="AK23274" s="831">
        <v>197249400</v>
      </c>
    </row>
    <row r="23275" spans="32:37">
      <c r="AF23275" s="831" t="s">
        <v>10398</v>
      </c>
      <c r="AG23275" s="831" t="s">
        <v>2674</v>
      </c>
      <c r="AH23275" s="831" t="s">
        <v>554</v>
      </c>
      <c r="AI23275" s="831">
        <v>0</v>
      </c>
      <c r="AJ23275" s="835">
        <v>41090</v>
      </c>
      <c r="AK23275" s="831">
        <v>196927620</v>
      </c>
    </row>
    <row r="23276" spans="32:37">
      <c r="AF23276" s="831" t="s">
        <v>10399</v>
      </c>
      <c r="AG23276" s="831" t="s">
        <v>2674</v>
      </c>
      <c r="AH23276" s="831" t="s">
        <v>553</v>
      </c>
      <c r="AI23276" s="831">
        <v>0</v>
      </c>
      <c r="AJ23276" s="835">
        <v>41090</v>
      </c>
      <c r="AK23276" s="831">
        <v>0</v>
      </c>
    </row>
    <row r="23277" spans="32:37">
      <c r="AF23277" s="831" t="s">
        <v>10400</v>
      </c>
      <c r="AG23277" s="831" t="s">
        <v>2674</v>
      </c>
      <c r="AH23277" s="831" t="s">
        <v>552</v>
      </c>
      <c r="AI23277" s="831">
        <v>0</v>
      </c>
      <c r="AJ23277" s="835">
        <v>41090</v>
      </c>
      <c r="AK23277" s="831">
        <v>0</v>
      </c>
    </row>
    <row r="23278" spans="32:37">
      <c r="AF23278" s="831" t="s">
        <v>10401</v>
      </c>
      <c r="AG23278" s="831" t="s">
        <v>2674</v>
      </c>
      <c r="AH23278" s="831" t="s">
        <v>551</v>
      </c>
      <c r="AI23278" s="831">
        <v>0</v>
      </c>
      <c r="AJ23278" s="835">
        <v>41090</v>
      </c>
      <c r="AK23278" s="831">
        <v>2420279</v>
      </c>
    </row>
    <row r="23279" spans="32:37">
      <c r="AF23279" s="831" t="s">
        <v>10402</v>
      </c>
      <c r="AG23279" s="831" t="s">
        <v>2674</v>
      </c>
      <c r="AH23279" s="831" t="s">
        <v>550</v>
      </c>
      <c r="AI23279" s="831">
        <v>0</v>
      </c>
      <c r="AJ23279" s="835">
        <v>41090</v>
      </c>
      <c r="AK23279" s="831">
        <v>90520261</v>
      </c>
    </row>
    <row r="23280" spans="32:37">
      <c r="AF23280" s="831" t="s">
        <v>10403</v>
      </c>
      <c r="AG23280" s="831" t="s">
        <v>2674</v>
      </c>
      <c r="AH23280" s="831" t="s">
        <v>562</v>
      </c>
      <c r="AI23280" s="831">
        <v>0</v>
      </c>
      <c r="AJ23280" s="835">
        <v>41090</v>
      </c>
      <c r="AK23280" s="831">
        <v>0.78505000000000003</v>
      </c>
    </row>
    <row r="23281" spans="32:37">
      <c r="AF23281" s="831" t="s">
        <v>10404</v>
      </c>
      <c r="AG23281" s="831" t="s">
        <v>2674</v>
      </c>
      <c r="AH23281" s="831" t="s">
        <v>2698</v>
      </c>
      <c r="AI23281" s="831">
        <v>0</v>
      </c>
      <c r="AJ23281" s="835">
        <v>41090</v>
      </c>
      <c r="AK23281" s="831">
        <v>0.78515000000000001</v>
      </c>
    </row>
    <row r="23282" spans="32:37">
      <c r="AF23282" s="831" t="s">
        <v>10405</v>
      </c>
      <c r="AG23282" s="831" t="s">
        <v>2674</v>
      </c>
      <c r="AH23282" s="831" t="s">
        <v>560</v>
      </c>
      <c r="AI23282" s="831">
        <v>0</v>
      </c>
      <c r="AJ23282" s="835">
        <v>41090</v>
      </c>
      <c r="AK23282" s="831">
        <v>0.78567500000000001</v>
      </c>
    </row>
    <row r="23283" spans="32:37">
      <c r="AF23283" s="831" t="s">
        <v>10406</v>
      </c>
      <c r="AG23283" s="831" t="s">
        <v>2674</v>
      </c>
      <c r="AH23283" s="831" t="s">
        <v>559</v>
      </c>
      <c r="AI23283" s="831">
        <v>0</v>
      </c>
      <c r="AJ23283" s="835">
        <v>41090</v>
      </c>
      <c r="AK23283" s="831">
        <v>0.78561666666666674</v>
      </c>
    </row>
    <row r="23284" spans="32:37">
      <c r="AF23284" s="831" t="s">
        <v>10407</v>
      </c>
      <c r="AG23284" s="831" t="s">
        <v>2674</v>
      </c>
      <c r="AH23284" s="831" t="s">
        <v>568</v>
      </c>
      <c r="AI23284" s="831">
        <v>0</v>
      </c>
      <c r="AJ23284" s="835">
        <v>41090</v>
      </c>
      <c r="AK23284" s="831">
        <v>0</v>
      </c>
    </row>
    <row r="23285" spans="32:37">
      <c r="AF23285" s="831" t="s">
        <v>10408</v>
      </c>
      <c r="AG23285" s="831" t="s">
        <v>2674</v>
      </c>
      <c r="AH23285" s="831" t="s">
        <v>569</v>
      </c>
      <c r="AI23285" s="831">
        <v>0</v>
      </c>
      <c r="AJ23285" s="835">
        <v>41090</v>
      </c>
      <c r="AK23285" s="831">
        <v>0</v>
      </c>
    </row>
    <row r="23286" spans="32:37">
      <c r="AF23286" s="831" t="s">
        <v>10409</v>
      </c>
      <c r="AG23286" s="831" t="s">
        <v>2674</v>
      </c>
      <c r="AH23286" s="831" t="s">
        <v>570</v>
      </c>
      <c r="AI23286" s="831">
        <v>0</v>
      </c>
      <c r="AJ23286" s="835">
        <v>41090</v>
      </c>
      <c r="AK23286" s="831">
        <v>0</v>
      </c>
    </row>
    <row r="23287" spans="32:37">
      <c r="AF23287" s="831" t="s">
        <v>10410</v>
      </c>
      <c r="AG23287" s="831" t="s">
        <v>2674</v>
      </c>
      <c r="AH23287" s="831" t="s">
        <v>571</v>
      </c>
      <c r="AI23287" s="831">
        <v>0</v>
      </c>
      <c r="AJ23287" s="835">
        <v>41090</v>
      </c>
      <c r="AK23287" s="831">
        <v>0</v>
      </c>
    </row>
    <row r="23288" spans="32:37">
      <c r="AF23288" s="831" t="s">
        <v>10411</v>
      </c>
      <c r="AG23288" s="831" t="s">
        <v>2674</v>
      </c>
      <c r="AH23288" s="831" t="s">
        <v>573</v>
      </c>
      <c r="AI23288" s="831">
        <v>0</v>
      </c>
      <c r="AJ23288" s="835">
        <v>41090</v>
      </c>
      <c r="AK23288" s="831">
        <v>0</v>
      </c>
    </row>
    <row r="23289" spans="32:37">
      <c r="AF23289" s="831" t="s">
        <v>10412</v>
      </c>
      <c r="AG23289" s="831" t="s">
        <v>2674</v>
      </c>
      <c r="AH23289" s="831" t="s">
        <v>574</v>
      </c>
      <c r="AI23289" s="831">
        <v>0</v>
      </c>
      <c r="AJ23289" s="835">
        <v>41090</v>
      </c>
      <c r="AK23289" s="831">
        <v>0</v>
      </c>
    </row>
    <row r="23290" spans="32:37">
      <c r="AF23290" s="831" t="s">
        <v>10413</v>
      </c>
      <c r="AG23290" s="831" t="s">
        <v>2674</v>
      </c>
      <c r="AH23290" s="831" t="s">
        <v>575</v>
      </c>
      <c r="AI23290" s="831">
        <v>0</v>
      </c>
      <c r="AJ23290" s="835">
        <v>41090</v>
      </c>
      <c r="AK23290" s="831">
        <v>0</v>
      </c>
    </row>
    <row r="23291" spans="32:37">
      <c r="AF23291" s="831" t="s">
        <v>10414</v>
      </c>
      <c r="AG23291" s="831" t="s">
        <v>2674</v>
      </c>
      <c r="AH23291" s="831" t="s">
        <v>576</v>
      </c>
      <c r="AI23291" s="831">
        <v>0</v>
      </c>
      <c r="AJ23291" s="835">
        <v>41090</v>
      </c>
      <c r="AK23291" s="831">
        <v>0</v>
      </c>
    </row>
    <row r="23292" spans="32:37">
      <c r="AF23292" s="831" t="s">
        <v>10415</v>
      </c>
      <c r="AG23292" s="831" t="s">
        <v>2674</v>
      </c>
      <c r="AH23292" s="831" t="s">
        <v>572</v>
      </c>
      <c r="AI23292" s="831">
        <v>0</v>
      </c>
      <c r="AJ23292" s="835">
        <v>41090</v>
      </c>
      <c r="AK23292" s="831">
        <v>-2146826246</v>
      </c>
    </row>
    <row r="23293" spans="32:37">
      <c r="AF23293" s="831" t="s">
        <v>10416</v>
      </c>
      <c r="AG23293" s="831" t="s">
        <v>2674</v>
      </c>
      <c r="AH23293" s="831" t="s">
        <v>577</v>
      </c>
      <c r="AI23293" s="831">
        <v>0</v>
      </c>
      <c r="AJ23293" s="835">
        <v>41090</v>
      </c>
      <c r="AK23293" s="831">
        <v>-2146826246</v>
      </c>
    </row>
    <row r="23294" spans="32:37">
      <c r="AF23294" s="831" t="s">
        <v>10417</v>
      </c>
      <c r="AG23294" s="831" t="s">
        <v>2674</v>
      </c>
      <c r="AH23294" s="831" t="s">
        <v>3042</v>
      </c>
      <c r="AI23294" s="831">
        <v>0</v>
      </c>
      <c r="AJ23294" s="835">
        <v>41090</v>
      </c>
      <c r="AK23294" s="831">
        <v>-2146826246</v>
      </c>
    </row>
    <row r="23295" spans="32:37">
      <c r="AF23295" s="831" t="s">
        <v>10418</v>
      </c>
      <c r="AG23295" s="831" t="s">
        <v>2674</v>
      </c>
      <c r="AH23295" s="831" t="s">
        <v>3044</v>
      </c>
      <c r="AI23295" s="831">
        <v>0</v>
      </c>
      <c r="AJ23295" s="835">
        <v>41090</v>
      </c>
      <c r="AK23295" s="831">
        <v>-2146826246</v>
      </c>
    </row>
    <row r="23296" spans="32:37">
      <c r="AF23296" s="831" t="s">
        <v>10419</v>
      </c>
      <c r="AG23296" s="831" t="s">
        <v>2674</v>
      </c>
      <c r="AH23296" s="831" t="s">
        <v>580</v>
      </c>
      <c r="AI23296" s="831">
        <v>0</v>
      </c>
      <c r="AJ23296" s="835">
        <v>41090</v>
      </c>
      <c r="AK23296" s="831">
        <v>-2146826246</v>
      </c>
    </row>
    <row r="23297" spans="32:37">
      <c r="AF23297" s="831" t="s">
        <v>10420</v>
      </c>
      <c r="AG23297" s="831" t="s">
        <v>2674</v>
      </c>
      <c r="AH23297" s="831" t="s">
        <v>581</v>
      </c>
      <c r="AI23297" s="831">
        <v>0</v>
      </c>
      <c r="AJ23297" s="835">
        <v>41090</v>
      </c>
      <c r="AK23297" s="831">
        <v>-2146826246</v>
      </c>
    </row>
    <row r="23298" spans="32:37">
      <c r="AF23298" s="831" t="s">
        <v>10421</v>
      </c>
      <c r="AG23298" s="831" t="s">
        <v>2674</v>
      </c>
      <c r="AH23298" s="831" t="s">
        <v>105</v>
      </c>
      <c r="AI23298" s="831">
        <v>0</v>
      </c>
      <c r="AJ23298" s="835">
        <v>41090</v>
      </c>
      <c r="AK23298" s="831">
        <v>152917631</v>
      </c>
    </row>
    <row r="23299" spans="32:37">
      <c r="AF23299" s="831" t="s">
        <v>10422</v>
      </c>
      <c r="AG23299" s="831" t="s">
        <v>2674</v>
      </c>
      <c r="AH23299" s="831" t="s">
        <v>3049</v>
      </c>
      <c r="AI23299" s="831">
        <v>0</v>
      </c>
      <c r="AJ23299" s="835">
        <v>41090</v>
      </c>
      <c r="AK23299" s="831">
        <v>317640148</v>
      </c>
    </row>
    <row r="23300" spans="32:37">
      <c r="AF23300" s="831" t="s">
        <v>10423</v>
      </c>
      <c r="AG23300" s="831" t="s">
        <v>2674</v>
      </c>
      <c r="AH23300" s="831" t="s">
        <v>103</v>
      </c>
      <c r="AI23300" s="831">
        <v>0</v>
      </c>
      <c r="AJ23300" s="835">
        <v>41090</v>
      </c>
      <c r="AK23300" s="831">
        <v>164722517</v>
      </c>
    </row>
    <row r="23301" spans="32:37">
      <c r="AF23301" s="831" t="s">
        <v>10424</v>
      </c>
      <c r="AG23301" s="831" t="s">
        <v>2674</v>
      </c>
      <c r="AH23301" s="831" t="s">
        <v>182</v>
      </c>
      <c r="AI23301" s="831">
        <v>0</v>
      </c>
      <c r="AJ23301" s="835">
        <v>41090</v>
      </c>
      <c r="AK23301" s="831">
        <v>51276754</v>
      </c>
    </row>
    <row r="23302" spans="32:37">
      <c r="AF23302" s="831" t="s">
        <v>10425</v>
      </c>
      <c r="AG23302" s="831" t="s">
        <v>2674</v>
      </c>
      <c r="AH23302" s="831" t="s">
        <v>6600</v>
      </c>
      <c r="AI23302" s="831">
        <v>0</v>
      </c>
      <c r="AJ23302" s="835">
        <v>41090</v>
      </c>
      <c r="AK23302" s="831">
        <v>-2146826246</v>
      </c>
    </row>
    <row r="23303" spans="32:37">
      <c r="AF23303" s="831" t="s">
        <v>10426</v>
      </c>
      <c r="AG23303" s="831" t="s">
        <v>2674</v>
      </c>
      <c r="AH23303" s="831" t="s">
        <v>6602</v>
      </c>
      <c r="AI23303" s="831">
        <v>0</v>
      </c>
      <c r="AJ23303" s="835">
        <v>41090</v>
      </c>
      <c r="AK23303" s="831">
        <v>6352093</v>
      </c>
    </row>
    <row r="23304" spans="32:37">
      <c r="AF23304" s="831" t="s">
        <v>10427</v>
      </c>
      <c r="AG23304" s="831" t="s">
        <v>2674</v>
      </c>
      <c r="AH23304" s="831" t="s">
        <v>650</v>
      </c>
      <c r="AI23304" s="831">
        <v>0</v>
      </c>
      <c r="AJ23304" s="835">
        <v>41090</v>
      </c>
      <c r="AK23304" s="831">
        <v>0</v>
      </c>
    </row>
    <row r="23305" spans="32:37">
      <c r="AF23305" s="831" t="s">
        <v>10428</v>
      </c>
      <c r="AG23305" s="831" t="s">
        <v>2674</v>
      </c>
      <c r="AH23305" s="831" t="s">
        <v>655</v>
      </c>
      <c r="AI23305" s="831">
        <v>0</v>
      </c>
      <c r="AJ23305" s="835">
        <v>41090</v>
      </c>
      <c r="AK23305" s="831">
        <v>2251978</v>
      </c>
    </row>
    <row r="23306" spans="32:37">
      <c r="AF23306" s="831" t="s">
        <v>10429</v>
      </c>
      <c r="AG23306" s="831" t="s">
        <v>2674</v>
      </c>
      <c r="AH23306" s="831" t="s">
        <v>546</v>
      </c>
      <c r="AI23306" s="831">
        <v>0</v>
      </c>
      <c r="AJ23306" s="835">
        <v>41121</v>
      </c>
      <c r="AK23306" s="831">
        <v>350104350</v>
      </c>
    </row>
    <row r="23307" spans="32:37">
      <c r="AF23307" s="831" t="s">
        <v>10430</v>
      </c>
      <c r="AG23307" s="831" t="s">
        <v>2674</v>
      </c>
      <c r="AH23307" s="831" t="s">
        <v>370</v>
      </c>
      <c r="AI23307" s="831">
        <v>0</v>
      </c>
      <c r="AJ23307" s="835">
        <v>41121</v>
      </c>
      <c r="AK23307" s="831">
        <v>438122032</v>
      </c>
    </row>
    <row r="23308" spans="32:37">
      <c r="AF23308" s="831" t="s">
        <v>10431</v>
      </c>
      <c r="AG23308" s="831" t="s">
        <v>2674</v>
      </c>
      <c r="AH23308" s="831" t="s">
        <v>126</v>
      </c>
      <c r="AI23308" s="831">
        <v>0</v>
      </c>
      <c r="AJ23308" s="835">
        <v>41121</v>
      </c>
      <c r="AK23308" s="831">
        <v>93426827</v>
      </c>
    </row>
    <row r="23309" spans="32:37">
      <c r="AF23309" s="831" t="s">
        <v>10432</v>
      </c>
      <c r="AG23309" s="831" t="s">
        <v>2674</v>
      </c>
      <c r="AH23309" s="831" t="s">
        <v>268</v>
      </c>
      <c r="AI23309" s="831">
        <v>0</v>
      </c>
      <c r="AJ23309" s="835">
        <v>41121</v>
      </c>
      <c r="AK23309" s="831">
        <v>8103905</v>
      </c>
    </row>
    <row r="23310" spans="32:37">
      <c r="AF23310" s="831" t="s">
        <v>10433</v>
      </c>
      <c r="AG23310" s="831" t="s">
        <v>2674</v>
      </c>
      <c r="AH23310" s="831" t="s">
        <v>547</v>
      </c>
      <c r="AI23310" s="831">
        <v>0</v>
      </c>
      <c r="AJ23310" s="835">
        <v>41121</v>
      </c>
      <c r="AK23310" s="831">
        <v>0</v>
      </c>
    </row>
    <row r="23311" spans="32:37">
      <c r="AF23311" s="831" t="s">
        <v>10434</v>
      </c>
      <c r="AG23311" s="831" t="s">
        <v>2674</v>
      </c>
      <c r="AH23311" s="831" t="s">
        <v>548</v>
      </c>
      <c r="AI23311" s="831">
        <v>0</v>
      </c>
      <c r="AJ23311" s="835">
        <v>41121</v>
      </c>
      <c r="AK23311" s="831">
        <v>0</v>
      </c>
    </row>
    <row r="23312" spans="32:37">
      <c r="AF23312" s="831" t="s">
        <v>10435</v>
      </c>
      <c r="AG23312" s="831" t="s">
        <v>2674</v>
      </c>
      <c r="AH23312" s="831" t="s">
        <v>549</v>
      </c>
      <c r="AI23312" s="831">
        <v>0</v>
      </c>
      <c r="AJ23312" s="835">
        <v>41121</v>
      </c>
      <c r="AK23312" s="831">
        <v>0</v>
      </c>
    </row>
    <row r="23313" spans="32:37">
      <c r="AF23313" s="831" t="s">
        <v>10436</v>
      </c>
      <c r="AG23313" s="831" t="s">
        <v>2674</v>
      </c>
      <c r="AH23313" s="831" t="s">
        <v>192</v>
      </c>
      <c r="AI23313" s="831">
        <v>0</v>
      </c>
      <c r="AJ23313" s="835">
        <v>41121</v>
      </c>
      <c r="AK23313" s="831">
        <v>-9691486</v>
      </c>
    </row>
    <row r="23314" spans="32:37">
      <c r="AF23314" s="831" t="s">
        <v>10437</v>
      </c>
      <c r="AG23314" s="831" t="s">
        <v>2674</v>
      </c>
      <c r="AH23314" s="831" t="s">
        <v>558</v>
      </c>
      <c r="AI23314" s="831">
        <v>0</v>
      </c>
      <c r="AJ23314" s="835">
        <v>41121</v>
      </c>
      <c r="AK23314" s="831">
        <v>344695205</v>
      </c>
    </row>
    <row r="23315" spans="32:37">
      <c r="AF23315" s="831" t="s">
        <v>10438</v>
      </c>
      <c r="AG23315" s="831" t="s">
        <v>2674</v>
      </c>
      <c r="AH23315" s="831" t="s">
        <v>65</v>
      </c>
      <c r="AI23315" s="831">
        <v>0</v>
      </c>
      <c r="AJ23315" s="835">
        <v>41121</v>
      </c>
      <c r="AK23315" s="831">
        <v>54573964</v>
      </c>
    </row>
    <row r="23316" spans="32:37">
      <c r="AF23316" s="831" t="s">
        <v>10439</v>
      </c>
      <c r="AG23316" s="831" t="s">
        <v>2674</v>
      </c>
      <c r="AH23316" s="831" t="s">
        <v>89</v>
      </c>
      <c r="AI23316" s="831">
        <v>0</v>
      </c>
      <c r="AJ23316" s="835">
        <v>41121</v>
      </c>
      <c r="AK23316" s="831">
        <v>121835</v>
      </c>
    </row>
    <row r="23317" spans="32:37">
      <c r="AF23317" s="831" t="s">
        <v>10440</v>
      </c>
      <c r="AG23317" s="831" t="s">
        <v>2674</v>
      </c>
      <c r="AH23317" s="831" t="s">
        <v>557</v>
      </c>
      <c r="AI23317" s="831">
        <v>0</v>
      </c>
      <c r="AJ23317" s="835">
        <v>41121</v>
      </c>
      <c r="AK23317" s="831">
        <v>123680</v>
      </c>
    </row>
    <row r="23318" spans="32:37">
      <c r="AF23318" s="831" t="s">
        <v>10441</v>
      </c>
      <c r="AG23318" s="831" t="s">
        <v>2674</v>
      </c>
      <c r="AH23318" s="831" t="s">
        <v>29</v>
      </c>
      <c r="AI23318" s="831">
        <v>0</v>
      </c>
      <c r="AJ23318" s="835">
        <v>41121</v>
      </c>
      <c r="AK23318" s="831">
        <v>2520940</v>
      </c>
    </row>
    <row r="23319" spans="32:37">
      <c r="AF23319" s="831" t="s">
        <v>10442</v>
      </c>
      <c r="AG23319" s="831" t="s">
        <v>2674</v>
      </c>
      <c r="AH23319" s="831" t="s">
        <v>2688</v>
      </c>
      <c r="AI23319" s="831">
        <v>0</v>
      </c>
      <c r="AJ23319" s="835">
        <v>41121</v>
      </c>
      <c r="AK23319" s="831">
        <v>2874987.63</v>
      </c>
    </row>
    <row r="23320" spans="32:37">
      <c r="AF23320" s="831" t="s">
        <v>10443</v>
      </c>
      <c r="AG23320" s="831" t="s">
        <v>2674</v>
      </c>
      <c r="AH23320" s="831" t="s">
        <v>556</v>
      </c>
      <c r="AI23320" s="831">
        <v>0</v>
      </c>
      <c r="AJ23320" s="835">
        <v>41121</v>
      </c>
      <c r="AK23320" s="831">
        <v>0</v>
      </c>
    </row>
    <row r="23321" spans="32:37">
      <c r="AF23321" s="831" t="s">
        <v>10444</v>
      </c>
      <c r="AG23321" s="831" t="s">
        <v>2674</v>
      </c>
      <c r="AH23321" s="831" t="s">
        <v>555</v>
      </c>
      <c r="AI23321" s="831">
        <v>0</v>
      </c>
      <c r="AJ23321" s="835">
        <v>41121</v>
      </c>
      <c r="AK23321" s="831">
        <v>212532560</v>
      </c>
    </row>
    <row r="23322" spans="32:37">
      <c r="AF23322" s="831" t="s">
        <v>10445</v>
      </c>
      <c r="AG23322" s="831" t="s">
        <v>2674</v>
      </c>
      <c r="AH23322" s="831" t="s">
        <v>554</v>
      </c>
      <c r="AI23322" s="831">
        <v>0</v>
      </c>
      <c r="AJ23322" s="835">
        <v>41121</v>
      </c>
      <c r="AK23322" s="831">
        <v>206644050</v>
      </c>
    </row>
    <row r="23323" spans="32:37">
      <c r="AF23323" s="831" t="s">
        <v>10446</v>
      </c>
      <c r="AG23323" s="831" t="s">
        <v>2674</v>
      </c>
      <c r="AH23323" s="831" t="s">
        <v>553</v>
      </c>
      <c r="AI23323" s="831">
        <v>0</v>
      </c>
      <c r="AJ23323" s="835">
        <v>41121</v>
      </c>
      <c r="AK23323" s="831">
        <v>0</v>
      </c>
    </row>
    <row r="23324" spans="32:37">
      <c r="AF23324" s="831" t="s">
        <v>10447</v>
      </c>
      <c r="AG23324" s="831" t="s">
        <v>2674</v>
      </c>
      <c r="AH23324" s="831" t="s">
        <v>552</v>
      </c>
      <c r="AI23324" s="831">
        <v>0</v>
      </c>
      <c r="AJ23324" s="835">
        <v>41121</v>
      </c>
      <c r="AK23324" s="831">
        <v>0</v>
      </c>
    </row>
    <row r="23325" spans="32:37">
      <c r="AF23325" s="831" t="s">
        <v>10448</v>
      </c>
      <c r="AG23325" s="831" t="s">
        <v>2674</v>
      </c>
      <c r="AH23325" s="831" t="s">
        <v>551</v>
      </c>
      <c r="AI23325" s="831">
        <v>0</v>
      </c>
      <c r="AJ23325" s="835">
        <v>41121</v>
      </c>
      <c r="AK23325" s="831">
        <v>2408186</v>
      </c>
    </row>
    <row r="23326" spans="32:37">
      <c r="AF23326" s="831" t="s">
        <v>10449</v>
      </c>
      <c r="AG23326" s="831" t="s">
        <v>2674</v>
      </c>
      <c r="AH23326" s="831" t="s">
        <v>550</v>
      </c>
      <c r="AI23326" s="831">
        <v>0</v>
      </c>
      <c r="AJ23326" s="835">
        <v>41121</v>
      </c>
      <c r="AK23326" s="831">
        <v>91675016</v>
      </c>
    </row>
    <row r="23327" spans="32:37">
      <c r="AF23327" s="831" t="s">
        <v>10450</v>
      </c>
      <c r="AG23327" s="831" t="s">
        <v>2674</v>
      </c>
      <c r="AH23327" s="831" t="s">
        <v>562</v>
      </c>
      <c r="AI23327" s="831">
        <v>0</v>
      </c>
      <c r="AJ23327" s="835">
        <v>41121</v>
      </c>
      <c r="AK23327" s="831">
        <v>0.78495000000000004</v>
      </c>
    </row>
    <row r="23328" spans="32:37">
      <c r="AF23328" s="831" t="s">
        <v>10451</v>
      </c>
      <c r="AG23328" s="831" t="s">
        <v>2674</v>
      </c>
      <c r="AH23328" s="831" t="s">
        <v>2698</v>
      </c>
      <c r="AI23328" s="831">
        <v>0</v>
      </c>
      <c r="AJ23328" s="835">
        <v>41121</v>
      </c>
      <c r="AK23328" s="831">
        <v>0.78505000000000003</v>
      </c>
    </row>
    <row r="23329" spans="32:37">
      <c r="AF23329" s="831" t="s">
        <v>10452</v>
      </c>
      <c r="AG23329" s="831" t="s">
        <v>2674</v>
      </c>
      <c r="AH23329" s="831" t="s">
        <v>560</v>
      </c>
      <c r="AI23329" s="831">
        <v>0</v>
      </c>
      <c r="AJ23329" s="835">
        <v>41121</v>
      </c>
      <c r="AK23329" s="831">
        <v>0.7855714285714287</v>
      </c>
    </row>
    <row r="23330" spans="32:37">
      <c r="AF23330" s="831" t="s">
        <v>10453</v>
      </c>
      <c r="AG23330" s="831" t="s">
        <v>2674</v>
      </c>
      <c r="AH23330" s="831" t="s">
        <v>559</v>
      </c>
      <c r="AI23330" s="831">
        <v>0</v>
      </c>
      <c r="AJ23330" s="835">
        <v>41121</v>
      </c>
      <c r="AK23330" s="831">
        <v>0.7854916666666667</v>
      </c>
    </row>
    <row r="23331" spans="32:37">
      <c r="AF23331" s="831" t="s">
        <v>10454</v>
      </c>
      <c r="AG23331" s="831" t="s">
        <v>2674</v>
      </c>
      <c r="AH23331" s="831" t="s">
        <v>568</v>
      </c>
      <c r="AI23331" s="831">
        <v>0</v>
      </c>
      <c r="AJ23331" s="835">
        <v>41121</v>
      </c>
      <c r="AK23331" s="831">
        <v>0</v>
      </c>
    </row>
    <row r="23332" spans="32:37">
      <c r="AF23332" s="831" t="s">
        <v>10455</v>
      </c>
      <c r="AG23332" s="831" t="s">
        <v>2674</v>
      </c>
      <c r="AH23332" s="831" t="s">
        <v>569</v>
      </c>
      <c r="AI23332" s="831">
        <v>0</v>
      </c>
      <c r="AJ23332" s="835">
        <v>41121</v>
      </c>
      <c r="AK23332" s="831">
        <v>0</v>
      </c>
    </row>
    <row r="23333" spans="32:37">
      <c r="AF23333" s="831" t="s">
        <v>10456</v>
      </c>
      <c r="AG23333" s="831" t="s">
        <v>2674</v>
      </c>
      <c r="AH23333" s="831" t="s">
        <v>570</v>
      </c>
      <c r="AI23333" s="831">
        <v>0</v>
      </c>
      <c r="AJ23333" s="835">
        <v>41121</v>
      </c>
      <c r="AK23333" s="831">
        <v>0</v>
      </c>
    </row>
    <row r="23334" spans="32:37">
      <c r="AF23334" s="831" t="s">
        <v>10457</v>
      </c>
      <c r="AG23334" s="831" t="s">
        <v>2674</v>
      </c>
      <c r="AH23334" s="831" t="s">
        <v>571</v>
      </c>
      <c r="AI23334" s="831">
        <v>0</v>
      </c>
      <c r="AJ23334" s="835">
        <v>41121</v>
      </c>
      <c r="AK23334" s="831">
        <v>0</v>
      </c>
    </row>
    <row r="23335" spans="32:37">
      <c r="AF23335" s="831" t="s">
        <v>10458</v>
      </c>
      <c r="AG23335" s="831" t="s">
        <v>2674</v>
      </c>
      <c r="AH23335" s="831" t="s">
        <v>573</v>
      </c>
      <c r="AI23335" s="831">
        <v>0</v>
      </c>
      <c r="AJ23335" s="835">
        <v>41121</v>
      </c>
      <c r="AK23335" s="831">
        <v>0</v>
      </c>
    </row>
    <row r="23336" spans="32:37">
      <c r="AF23336" s="831" t="s">
        <v>10459</v>
      </c>
      <c r="AG23336" s="831" t="s">
        <v>2674</v>
      </c>
      <c r="AH23336" s="831" t="s">
        <v>574</v>
      </c>
      <c r="AI23336" s="831">
        <v>0</v>
      </c>
      <c r="AJ23336" s="835">
        <v>41121</v>
      </c>
      <c r="AK23336" s="831">
        <v>0</v>
      </c>
    </row>
    <row r="23337" spans="32:37">
      <c r="AF23337" s="831" t="s">
        <v>10460</v>
      </c>
      <c r="AG23337" s="831" t="s">
        <v>2674</v>
      </c>
      <c r="AH23337" s="831" t="s">
        <v>575</v>
      </c>
      <c r="AI23337" s="831">
        <v>0</v>
      </c>
      <c r="AJ23337" s="835">
        <v>41121</v>
      </c>
      <c r="AK23337" s="831">
        <v>0</v>
      </c>
    </row>
    <row r="23338" spans="32:37">
      <c r="AF23338" s="831" t="s">
        <v>10461</v>
      </c>
      <c r="AG23338" s="831" t="s">
        <v>2674</v>
      </c>
      <c r="AH23338" s="831" t="s">
        <v>576</v>
      </c>
      <c r="AI23338" s="831">
        <v>0</v>
      </c>
      <c r="AJ23338" s="835">
        <v>41121</v>
      </c>
      <c r="AK23338" s="831">
        <v>0</v>
      </c>
    </row>
    <row r="23339" spans="32:37">
      <c r="AF23339" s="831" t="s">
        <v>10462</v>
      </c>
      <c r="AG23339" s="831" t="s">
        <v>2674</v>
      </c>
      <c r="AH23339" s="831" t="s">
        <v>572</v>
      </c>
      <c r="AI23339" s="831">
        <v>0</v>
      </c>
      <c r="AJ23339" s="835">
        <v>41121</v>
      </c>
      <c r="AK23339" s="831">
        <v>-2146826246</v>
      </c>
    </row>
    <row r="23340" spans="32:37">
      <c r="AF23340" s="831" t="s">
        <v>10463</v>
      </c>
      <c r="AG23340" s="831" t="s">
        <v>2674</v>
      </c>
      <c r="AH23340" s="831" t="s">
        <v>577</v>
      </c>
      <c r="AI23340" s="831">
        <v>0</v>
      </c>
      <c r="AJ23340" s="835">
        <v>41121</v>
      </c>
      <c r="AK23340" s="831">
        <v>-2146826246</v>
      </c>
    </row>
    <row r="23341" spans="32:37">
      <c r="AF23341" s="831" t="s">
        <v>10464</v>
      </c>
      <c r="AG23341" s="831" t="s">
        <v>2674</v>
      </c>
      <c r="AH23341" s="831" t="s">
        <v>3042</v>
      </c>
      <c r="AI23341" s="831">
        <v>0</v>
      </c>
      <c r="AJ23341" s="835">
        <v>41121</v>
      </c>
      <c r="AK23341" s="831">
        <v>-2146826246</v>
      </c>
    </row>
    <row r="23342" spans="32:37">
      <c r="AF23342" s="831" t="s">
        <v>10465</v>
      </c>
      <c r="AG23342" s="831" t="s">
        <v>2674</v>
      </c>
      <c r="AH23342" s="831" t="s">
        <v>3044</v>
      </c>
      <c r="AI23342" s="831">
        <v>0</v>
      </c>
      <c r="AJ23342" s="835">
        <v>41121</v>
      </c>
      <c r="AK23342" s="831">
        <v>-2146826246</v>
      </c>
    </row>
    <row r="23343" spans="32:37">
      <c r="AF23343" s="831" t="s">
        <v>10466</v>
      </c>
      <c r="AG23343" s="831" t="s">
        <v>2674</v>
      </c>
      <c r="AH23343" s="831" t="s">
        <v>580</v>
      </c>
      <c r="AI23343" s="831">
        <v>0</v>
      </c>
      <c r="AJ23343" s="835">
        <v>41121</v>
      </c>
      <c r="AK23343" s="831">
        <v>-2146826246</v>
      </c>
    </row>
    <row r="23344" spans="32:37">
      <c r="AF23344" s="831" t="s">
        <v>10467</v>
      </c>
      <c r="AG23344" s="831" t="s">
        <v>2674</v>
      </c>
      <c r="AH23344" s="831" t="s">
        <v>581</v>
      </c>
      <c r="AI23344" s="831">
        <v>0</v>
      </c>
      <c r="AJ23344" s="835">
        <v>41121</v>
      </c>
      <c r="AK23344" s="831">
        <v>-2146826246</v>
      </c>
    </row>
    <row r="23345" spans="32:37">
      <c r="AF23345" s="831" t="s">
        <v>10468</v>
      </c>
      <c r="AG23345" s="831" t="s">
        <v>2674</v>
      </c>
      <c r="AH23345" s="831" t="s">
        <v>105</v>
      </c>
      <c r="AI23345" s="831">
        <v>0</v>
      </c>
      <c r="AJ23345" s="835">
        <v>41121</v>
      </c>
      <c r="AK23345" s="831">
        <v>164564846</v>
      </c>
    </row>
    <row r="23346" spans="32:37">
      <c r="AF23346" s="831" t="s">
        <v>10469</v>
      </c>
      <c r="AG23346" s="831" t="s">
        <v>2674</v>
      </c>
      <c r="AH23346" s="831" t="s">
        <v>3049</v>
      </c>
      <c r="AI23346" s="831">
        <v>0</v>
      </c>
      <c r="AJ23346" s="835">
        <v>41121</v>
      </c>
      <c r="AK23346" s="831">
        <v>330970241</v>
      </c>
    </row>
    <row r="23347" spans="32:37">
      <c r="AF23347" s="831" t="s">
        <v>10470</v>
      </c>
      <c r="AG23347" s="831" t="s">
        <v>2674</v>
      </c>
      <c r="AH23347" s="831" t="s">
        <v>103</v>
      </c>
      <c r="AI23347" s="831">
        <v>0</v>
      </c>
      <c r="AJ23347" s="835">
        <v>41121</v>
      </c>
      <c r="AK23347" s="831">
        <v>166405395</v>
      </c>
    </row>
    <row r="23348" spans="32:37">
      <c r="AF23348" s="831" t="s">
        <v>10471</v>
      </c>
      <c r="AG23348" s="831" t="s">
        <v>2674</v>
      </c>
      <c r="AH23348" s="831" t="s">
        <v>182</v>
      </c>
      <c r="AI23348" s="831">
        <v>0</v>
      </c>
      <c r="AJ23348" s="835">
        <v>41121</v>
      </c>
      <c r="AK23348" s="831">
        <v>50915117.142857142</v>
      </c>
    </row>
    <row r="23349" spans="32:37">
      <c r="AF23349" s="831" t="s">
        <v>10472</v>
      </c>
      <c r="AG23349" s="831" t="s">
        <v>2674</v>
      </c>
      <c r="AH23349" s="831" t="s">
        <v>6600</v>
      </c>
      <c r="AI23349" s="831">
        <v>0</v>
      </c>
      <c r="AJ23349" s="835">
        <v>41121</v>
      </c>
      <c r="AK23349" s="831">
        <v>-2146826246</v>
      </c>
    </row>
    <row r="23350" spans="32:37">
      <c r="AF23350" s="831" t="s">
        <v>10473</v>
      </c>
      <c r="AG23350" s="831" t="s">
        <v>2674</v>
      </c>
      <c r="AH23350" s="831" t="s">
        <v>6602</v>
      </c>
      <c r="AI23350" s="831">
        <v>0</v>
      </c>
      <c r="AJ23350" s="835">
        <v>41121</v>
      </c>
      <c r="AK23350" s="831">
        <v>8103905</v>
      </c>
    </row>
    <row r="23351" spans="32:37">
      <c r="AF23351" s="831" t="s">
        <v>10474</v>
      </c>
      <c r="AG23351" s="831" t="s">
        <v>2674</v>
      </c>
      <c r="AH23351" s="831" t="s">
        <v>650</v>
      </c>
      <c r="AI23351" s="831">
        <v>0</v>
      </c>
      <c r="AJ23351" s="835">
        <v>41121</v>
      </c>
      <c r="AK23351" s="831">
        <v>0</v>
      </c>
    </row>
    <row r="23352" spans="32:37">
      <c r="AF23352" s="831" t="s">
        <v>10475</v>
      </c>
      <c r="AG23352" s="831" t="s">
        <v>2674</v>
      </c>
      <c r="AH23352" s="831" t="s">
        <v>655</v>
      </c>
      <c r="AI23352" s="831">
        <v>0</v>
      </c>
      <c r="AJ23352" s="835">
        <v>41121</v>
      </c>
      <c r="AK23352" s="831">
        <v>2307351</v>
      </c>
    </row>
    <row r="23353" spans="32:37">
      <c r="AF23353" s="831" t="s">
        <v>10476</v>
      </c>
      <c r="AG23353" s="831" t="s">
        <v>2674</v>
      </c>
      <c r="AH23353" s="831" t="s">
        <v>546</v>
      </c>
      <c r="AI23353" s="831">
        <v>0</v>
      </c>
      <c r="AJ23353" s="835">
        <v>41152</v>
      </c>
      <c r="AK23353" s="831">
        <v>362295244</v>
      </c>
    </row>
    <row r="23354" spans="32:37">
      <c r="AF23354" s="831" t="s">
        <v>10477</v>
      </c>
      <c r="AG23354" s="831" t="s">
        <v>2674</v>
      </c>
      <c r="AH23354" s="831" t="s">
        <v>370</v>
      </c>
      <c r="AI23354" s="831">
        <v>0</v>
      </c>
      <c r="AJ23354" s="835">
        <v>41152</v>
      </c>
      <c r="AK23354" s="831">
        <v>452262206</v>
      </c>
    </row>
    <row r="23355" spans="32:37">
      <c r="AF23355" s="831" t="s">
        <v>10478</v>
      </c>
      <c r="AG23355" s="831" t="s">
        <v>2674</v>
      </c>
      <c r="AH23355" s="831" t="s">
        <v>126</v>
      </c>
      <c r="AI23355" s="831">
        <v>0</v>
      </c>
      <c r="AJ23355" s="835">
        <v>41152</v>
      </c>
      <c r="AK23355" s="831">
        <v>95414973</v>
      </c>
    </row>
    <row r="23356" spans="32:37">
      <c r="AF23356" s="831" t="s">
        <v>10479</v>
      </c>
      <c r="AG23356" s="831" t="s">
        <v>2674</v>
      </c>
      <c r="AH23356" s="831" t="s">
        <v>268</v>
      </c>
      <c r="AI23356" s="831">
        <v>0</v>
      </c>
      <c r="AJ23356" s="835">
        <v>41152</v>
      </c>
      <c r="AK23356" s="831">
        <v>10092049</v>
      </c>
    </row>
    <row r="23357" spans="32:37">
      <c r="AF23357" s="831" t="s">
        <v>10480</v>
      </c>
      <c r="AG23357" s="831" t="s">
        <v>2674</v>
      </c>
      <c r="AH23357" s="831" t="s">
        <v>547</v>
      </c>
      <c r="AI23357" s="831">
        <v>0</v>
      </c>
      <c r="AJ23357" s="835">
        <v>41152</v>
      </c>
      <c r="AK23357" s="831">
        <v>0</v>
      </c>
    </row>
    <row r="23358" spans="32:37">
      <c r="AF23358" s="831" t="s">
        <v>10481</v>
      </c>
      <c r="AG23358" s="831" t="s">
        <v>2674</v>
      </c>
      <c r="AH23358" s="831" t="s">
        <v>548</v>
      </c>
      <c r="AI23358" s="831">
        <v>0</v>
      </c>
      <c r="AJ23358" s="835">
        <v>41152</v>
      </c>
      <c r="AK23358" s="831">
        <v>0</v>
      </c>
    </row>
    <row r="23359" spans="32:37">
      <c r="AF23359" s="831" t="s">
        <v>10482</v>
      </c>
      <c r="AG23359" s="831" t="s">
        <v>2674</v>
      </c>
      <c r="AH23359" s="831" t="s">
        <v>549</v>
      </c>
      <c r="AI23359" s="831">
        <v>0</v>
      </c>
      <c r="AJ23359" s="835">
        <v>41152</v>
      </c>
      <c r="AK23359" s="831">
        <v>0</v>
      </c>
    </row>
    <row r="23360" spans="32:37">
      <c r="AF23360" s="831" t="s">
        <v>10483</v>
      </c>
      <c r="AG23360" s="831" t="s">
        <v>2674</v>
      </c>
      <c r="AH23360" s="831" t="s">
        <v>192</v>
      </c>
      <c r="AI23360" s="831">
        <v>0</v>
      </c>
      <c r="AJ23360" s="835">
        <v>41152</v>
      </c>
      <c r="AK23360" s="831">
        <v>-9148265</v>
      </c>
    </row>
    <row r="23361" spans="32:37">
      <c r="AF23361" s="831" t="s">
        <v>10484</v>
      </c>
      <c r="AG23361" s="831" t="s">
        <v>2674</v>
      </c>
      <c r="AH23361" s="831" t="s">
        <v>558</v>
      </c>
      <c r="AI23361" s="831">
        <v>0</v>
      </c>
      <c r="AJ23361" s="835">
        <v>41152</v>
      </c>
      <c r="AK23361" s="831">
        <v>356847233</v>
      </c>
    </row>
    <row r="23362" spans="32:37">
      <c r="AF23362" s="831" t="s">
        <v>10485</v>
      </c>
      <c r="AG23362" s="831" t="s">
        <v>2674</v>
      </c>
      <c r="AH23362" s="831" t="s">
        <v>65</v>
      </c>
      <c r="AI23362" s="831">
        <v>0</v>
      </c>
      <c r="AJ23362" s="835">
        <v>41152</v>
      </c>
      <c r="AK23362" s="831">
        <v>63143485</v>
      </c>
    </row>
    <row r="23363" spans="32:37">
      <c r="AF23363" s="831" t="s">
        <v>10486</v>
      </c>
      <c r="AG23363" s="831" t="s">
        <v>2674</v>
      </c>
      <c r="AH23363" s="831" t="s">
        <v>89</v>
      </c>
      <c r="AI23363" s="831">
        <v>0</v>
      </c>
      <c r="AJ23363" s="835">
        <v>41152</v>
      </c>
      <c r="AK23363" s="831">
        <v>122109</v>
      </c>
    </row>
    <row r="23364" spans="32:37">
      <c r="AF23364" s="831" t="s">
        <v>10487</v>
      </c>
      <c r="AG23364" s="831" t="s">
        <v>2674</v>
      </c>
      <c r="AH23364" s="831" t="s">
        <v>557</v>
      </c>
      <c r="AI23364" s="831">
        <v>0</v>
      </c>
      <c r="AJ23364" s="835">
        <v>41152</v>
      </c>
      <c r="AK23364" s="831">
        <v>123973</v>
      </c>
    </row>
    <row r="23365" spans="32:37">
      <c r="AF23365" s="831" t="s">
        <v>10488</v>
      </c>
      <c r="AG23365" s="831" t="s">
        <v>2674</v>
      </c>
      <c r="AH23365" s="831" t="s">
        <v>29</v>
      </c>
      <c r="AI23365" s="831">
        <v>0</v>
      </c>
      <c r="AJ23365" s="835">
        <v>41152</v>
      </c>
      <c r="AK23365" s="831">
        <v>2024314</v>
      </c>
    </row>
    <row r="23366" spans="32:37">
      <c r="AF23366" s="831" t="s">
        <v>10489</v>
      </c>
      <c r="AG23366" s="831" t="s">
        <v>2674</v>
      </c>
      <c r="AH23366" s="831" t="s">
        <v>2688</v>
      </c>
      <c r="AI23366" s="831">
        <v>0</v>
      </c>
      <c r="AJ23366" s="835">
        <v>41152</v>
      </c>
      <c r="AK23366" s="831">
        <v>2600544</v>
      </c>
    </row>
    <row r="23367" spans="32:37">
      <c r="AF23367" s="831" t="s">
        <v>10490</v>
      </c>
      <c r="AG23367" s="831" t="s">
        <v>2674</v>
      </c>
      <c r="AH23367" s="831" t="s">
        <v>556</v>
      </c>
      <c r="AI23367" s="831">
        <v>0</v>
      </c>
      <c r="AJ23367" s="835">
        <v>41152</v>
      </c>
      <c r="AK23367" s="831">
        <v>902857</v>
      </c>
    </row>
    <row r="23368" spans="32:37">
      <c r="AF23368" s="831" t="s">
        <v>10491</v>
      </c>
      <c r="AG23368" s="831" t="s">
        <v>2674</v>
      </c>
      <c r="AH23368" s="831" t="s">
        <v>555</v>
      </c>
      <c r="AI23368" s="831">
        <v>0</v>
      </c>
      <c r="AJ23368" s="835">
        <v>41152</v>
      </c>
      <c r="AK23368" s="831">
        <v>221766870</v>
      </c>
    </row>
    <row r="23369" spans="32:37">
      <c r="AF23369" s="831" t="s">
        <v>10492</v>
      </c>
      <c r="AG23369" s="831" t="s">
        <v>2674</v>
      </c>
      <c r="AH23369" s="831" t="s">
        <v>554</v>
      </c>
      <c r="AI23369" s="831">
        <v>0</v>
      </c>
      <c r="AJ23369" s="835">
        <v>41152</v>
      </c>
      <c r="AK23369" s="831">
        <v>217001920</v>
      </c>
    </row>
    <row r="23370" spans="32:37">
      <c r="AF23370" s="831" t="s">
        <v>10493</v>
      </c>
      <c r="AG23370" s="831" t="s">
        <v>2674</v>
      </c>
      <c r="AH23370" s="831" t="s">
        <v>553</v>
      </c>
      <c r="AI23370" s="831">
        <v>0</v>
      </c>
      <c r="AJ23370" s="835">
        <v>41152</v>
      </c>
      <c r="AK23370" s="831">
        <v>0</v>
      </c>
    </row>
    <row r="23371" spans="32:37">
      <c r="AF23371" s="831" t="s">
        <v>10494</v>
      </c>
      <c r="AG23371" s="831" t="s">
        <v>2674</v>
      </c>
      <c r="AH23371" s="831" t="s">
        <v>552</v>
      </c>
      <c r="AI23371" s="831">
        <v>0</v>
      </c>
      <c r="AJ23371" s="835">
        <v>41152</v>
      </c>
      <c r="AK23371" s="831">
        <v>0</v>
      </c>
    </row>
    <row r="23372" spans="32:37">
      <c r="AF23372" s="831" t="s">
        <v>10495</v>
      </c>
      <c r="AG23372" s="831" t="s">
        <v>2674</v>
      </c>
      <c r="AH23372" s="831" t="s">
        <v>551</v>
      </c>
      <c r="AI23372" s="831">
        <v>0</v>
      </c>
      <c r="AJ23372" s="835">
        <v>41152</v>
      </c>
      <c r="AK23372" s="831">
        <v>1690236</v>
      </c>
    </row>
    <row r="23373" spans="32:37">
      <c r="AF23373" s="831" t="s">
        <v>10496</v>
      </c>
      <c r="AG23373" s="831" t="s">
        <v>2674</v>
      </c>
      <c r="AH23373" s="831" t="s">
        <v>550</v>
      </c>
      <c r="AI23373" s="831">
        <v>0</v>
      </c>
      <c r="AJ23373" s="835">
        <v>41152</v>
      </c>
      <c r="AK23373" s="831">
        <v>93426827</v>
      </c>
    </row>
    <row r="23374" spans="32:37">
      <c r="AF23374" s="831" t="s">
        <v>10497</v>
      </c>
      <c r="AG23374" s="831" t="s">
        <v>2674</v>
      </c>
      <c r="AH23374" s="831" t="s">
        <v>562</v>
      </c>
      <c r="AI23374" s="831">
        <v>0</v>
      </c>
      <c r="AJ23374" s="835">
        <v>41152</v>
      </c>
      <c r="AK23374" s="831">
        <v>0.78449999999999998</v>
      </c>
    </row>
    <row r="23375" spans="32:37">
      <c r="AF23375" s="831" t="s">
        <v>10498</v>
      </c>
      <c r="AG23375" s="831" t="s">
        <v>2674</v>
      </c>
      <c r="AH23375" s="831" t="s">
        <v>2698</v>
      </c>
      <c r="AI23375" s="831">
        <v>0</v>
      </c>
      <c r="AJ23375" s="835">
        <v>41152</v>
      </c>
      <c r="AK23375" s="831">
        <v>0.78495000000000004</v>
      </c>
    </row>
    <row r="23376" spans="32:37">
      <c r="AF23376" s="831" t="s">
        <v>10499</v>
      </c>
      <c r="AG23376" s="831" t="s">
        <v>2674</v>
      </c>
      <c r="AH23376" s="831" t="s">
        <v>560</v>
      </c>
      <c r="AI23376" s="831">
        <v>0</v>
      </c>
      <c r="AJ23376" s="835">
        <v>41152</v>
      </c>
      <c r="AK23376" s="831">
        <v>0.78543750000000001</v>
      </c>
    </row>
    <row r="23377" spans="32:37">
      <c r="AF23377" s="831" t="s">
        <v>10500</v>
      </c>
      <c r="AG23377" s="831" t="s">
        <v>2674</v>
      </c>
      <c r="AH23377" s="831" t="s">
        <v>559</v>
      </c>
      <c r="AI23377" s="831">
        <v>0</v>
      </c>
      <c r="AJ23377" s="835">
        <v>41152</v>
      </c>
      <c r="AK23377" s="831">
        <v>0.78544999999999998</v>
      </c>
    </row>
    <row r="23378" spans="32:37">
      <c r="AF23378" s="831" t="s">
        <v>10501</v>
      </c>
      <c r="AG23378" s="831" t="s">
        <v>2674</v>
      </c>
      <c r="AH23378" s="831" t="s">
        <v>568</v>
      </c>
      <c r="AI23378" s="831">
        <v>0</v>
      </c>
      <c r="AJ23378" s="835">
        <v>41152</v>
      </c>
      <c r="AK23378" s="831">
        <v>0</v>
      </c>
    </row>
    <row r="23379" spans="32:37">
      <c r="AF23379" s="831" t="s">
        <v>10502</v>
      </c>
      <c r="AG23379" s="831" t="s">
        <v>2674</v>
      </c>
      <c r="AH23379" s="831" t="s">
        <v>569</v>
      </c>
      <c r="AI23379" s="831">
        <v>0</v>
      </c>
      <c r="AJ23379" s="835">
        <v>41152</v>
      </c>
      <c r="AK23379" s="831">
        <v>0</v>
      </c>
    </row>
    <row r="23380" spans="32:37">
      <c r="AF23380" s="831" t="s">
        <v>10503</v>
      </c>
      <c r="AG23380" s="831" t="s">
        <v>2674</v>
      </c>
      <c r="AH23380" s="831" t="s">
        <v>570</v>
      </c>
      <c r="AI23380" s="831">
        <v>0</v>
      </c>
      <c r="AJ23380" s="835">
        <v>41152</v>
      </c>
      <c r="AK23380" s="831">
        <v>0</v>
      </c>
    </row>
    <row r="23381" spans="32:37">
      <c r="AF23381" s="831" t="s">
        <v>10504</v>
      </c>
      <c r="AG23381" s="831" t="s">
        <v>2674</v>
      </c>
      <c r="AH23381" s="831" t="s">
        <v>571</v>
      </c>
      <c r="AI23381" s="831">
        <v>0</v>
      </c>
      <c r="AJ23381" s="835">
        <v>41152</v>
      </c>
      <c r="AK23381" s="831">
        <v>0</v>
      </c>
    </row>
    <row r="23382" spans="32:37">
      <c r="AF23382" s="831" t="s">
        <v>10505</v>
      </c>
      <c r="AG23382" s="831" t="s">
        <v>2674</v>
      </c>
      <c r="AH23382" s="831" t="s">
        <v>573</v>
      </c>
      <c r="AI23382" s="831">
        <v>0</v>
      </c>
      <c r="AJ23382" s="835">
        <v>41152</v>
      </c>
      <c r="AK23382" s="831">
        <v>0</v>
      </c>
    </row>
    <row r="23383" spans="32:37">
      <c r="AF23383" s="831" t="s">
        <v>10506</v>
      </c>
      <c r="AG23383" s="831" t="s">
        <v>2674</v>
      </c>
      <c r="AH23383" s="831" t="s">
        <v>574</v>
      </c>
      <c r="AI23383" s="831">
        <v>0</v>
      </c>
      <c r="AJ23383" s="835">
        <v>41152</v>
      </c>
      <c r="AK23383" s="831">
        <v>0</v>
      </c>
    </row>
    <row r="23384" spans="32:37">
      <c r="AF23384" s="831" t="s">
        <v>10507</v>
      </c>
      <c r="AG23384" s="831" t="s">
        <v>2674</v>
      </c>
      <c r="AH23384" s="831" t="s">
        <v>575</v>
      </c>
      <c r="AI23384" s="831">
        <v>0</v>
      </c>
      <c r="AJ23384" s="835">
        <v>41152</v>
      </c>
      <c r="AK23384" s="831">
        <v>0</v>
      </c>
    </row>
    <row r="23385" spans="32:37">
      <c r="AF23385" s="831" t="s">
        <v>10508</v>
      </c>
      <c r="AG23385" s="831" t="s">
        <v>2674</v>
      </c>
      <c r="AH23385" s="831" t="s">
        <v>576</v>
      </c>
      <c r="AI23385" s="831">
        <v>0</v>
      </c>
      <c r="AJ23385" s="835">
        <v>41152</v>
      </c>
      <c r="AK23385" s="831">
        <v>0</v>
      </c>
    </row>
    <row r="23386" spans="32:37">
      <c r="AF23386" s="831" t="s">
        <v>10509</v>
      </c>
      <c r="AG23386" s="831" t="s">
        <v>2674</v>
      </c>
      <c r="AH23386" s="831" t="s">
        <v>572</v>
      </c>
      <c r="AI23386" s="831">
        <v>0</v>
      </c>
      <c r="AJ23386" s="835">
        <v>41152</v>
      </c>
      <c r="AK23386" s="831">
        <v>-2146826246</v>
      </c>
    </row>
    <row r="23387" spans="32:37">
      <c r="AF23387" s="831" t="s">
        <v>10510</v>
      </c>
      <c r="AG23387" s="831" t="s">
        <v>2674</v>
      </c>
      <c r="AH23387" s="831" t="s">
        <v>577</v>
      </c>
      <c r="AI23387" s="831">
        <v>0</v>
      </c>
      <c r="AJ23387" s="835">
        <v>41152</v>
      </c>
      <c r="AK23387" s="831">
        <v>-2146826246</v>
      </c>
    </row>
    <row r="23388" spans="32:37">
      <c r="AF23388" s="831" t="s">
        <v>10511</v>
      </c>
      <c r="AG23388" s="831" t="s">
        <v>2674</v>
      </c>
      <c r="AH23388" s="831" t="s">
        <v>3042</v>
      </c>
      <c r="AI23388" s="831">
        <v>0</v>
      </c>
      <c r="AJ23388" s="835">
        <v>41152</v>
      </c>
      <c r="AK23388" s="831">
        <v>-2146826246</v>
      </c>
    </row>
    <row r="23389" spans="32:37">
      <c r="AF23389" s="831" t="s">
        <v>10512</v>
      </c>
      <c r="AG23389" s="831" t="s">
        <v>2674</v>
      </c>
      <c r="AH23389" s="831" t="s">
        <v>3044</v>
      </c>
      <c r="AI23389" s="831">
        <v>0</v>
      </c>
      <c r="AJ23389" s="835">
        <v>41152</v>
      </c>
      <c r="AK23389" s="831">
        <v>-2146826246</v>
      </c>
    </row>
    <row r="23390" spans="32:37">
      <c r="AF23390" s="831" t="s">
        <v>10513</v>
      </c>
      <c r="AG23390" s="831" t="s">
        <v>2674</v>
      </c>
      <c r="AH23390" s="831" t="s">
        <v>580</v>
      </c>
      <c r="AI23390" s="831">
        <v>0</v>
      </c>
      <c r="AJ23390" s="835">
        <v>41152</v>
      </c>
      <c r="AK23390" s="831">
        <v>-2146826246</v>
      </c>
    </row>
    <row r="23391" spans="32:37">
      <c r="AF23391" s="831" t="s">
        <v>10514</v>
      </c>
      <c r="AG23391" s="831" t="s">
        <v>2674</v>
      </c>
      <c r="AH23391" s="831" t="s">
        <v>581</v>
      </c>
      <c r="AI23391" s="831">
        <v>0</v>
      </c>
      <c r="AJ23391" s="835">
        <v>41152</v>
      </c>
      <c r="AK23391" s="831">
        <v>-2146826246</v>
      </c>
    </row>
    <row r="23392" spans="32:37">
      <c r="AF23392" s="831" t="s">
        <v>10515</v>
      </c>
      <c r="AG23392" s="831" t="s">
        <v>2674</v>
      </c>
      <c r="AH23392" s="831" t="s">
        <v>105</v>
      </c>
      <c r="AI23392" s="831">
        <v>0</v>
      </c>
      <c r="AJ23392" s="835">
        <v>41152</v>
      </c>
      <c r="AK23392" s="831">
        <v>180384094</v>
      </c>
    </row>
    <row r="23393" spans="32:37">
      <c r="AF23393" s="831" t="s">
        <v>10516</v>
      </c>
      <c r="AG23393" s="831" t="s">
        <v>2674</v>
      </c>
      <c r="AH23393" s="831" t="s">
        <v>3049</v>
      </c>
      <c r="AI23393" s="831">
        <v>0</v>
      </c>
      <c r="AJ23393" s="835">
        <v>41152</v>
      </c>
      <c r="AK23393" s="831">
        <v>343993651</v>
      </c>
    </row>
    <row r="23394" spans="32:37">
      <c r="AF23394" s="831" t="s">
        <v>10517</v>
      </c>
      <c r="AG23394" s="831" t="s">
        <v>2674</v>
      </c>
      <c r="AH23394" s="831" t="s">
        <v>103</v>
      </c>
      <c r="AI23394" s="831">
        <v>0</v>
      </c>
      <c r="AJ23394" s="835">
        <v>41152</v>
      </c>
      <c r="AK23394" s="831">
        <v>163609557</v>
      </c>
    </row>
    <row r="23395" spans="32:37">
      <c r="AF23395" s="831" t="s">
        <v>10518</v>
      </c>
      <c r="AG23395" s="831" t="s">
        <v>2674</v>
      </c>
      <c r="AH23395" s="831" t="s">
        <v>182</v>
      </c>
      <c r="AI23395" s="831">
        <v>0</v>
      </c>
      <c r="AJ23395" s="835">
        <v>41152</v>
      </c>
      <c r="AK23395" s="831">
        <v>50326770</v>
      </c>
    </row>
    <row r="23396" spans="32:37">
      <c r="AF23396" s="831" t="s">
        <v>10519</v>
      </c>
      <c r="AG23396" s="831" t="s">
        <v>2674</v>
      </c>
      <c r="AH23396" s="831" t="s">
        <v>6600</v>
      </c>
      <c r="AI23396" s="831">
        <v>0</v>
      </c>
      <c r="AJ23396" s="835">
        <v>41152</v>
      </c>
      <c r="AK23396" s="831">
        <v>-2146826246</v>
      </c>
    </row>
    <row r="23397" spans="32:37">
      <c r="AF23397" s="831" t="s">
        <v>10520</v>
      </c>
      <c r="AG23397" s="831" t="s">
        <v>2674</v>
      </c>
      <c r="AH23397" s="831" t="s">
        <v>6602</v>
      </c>
      <c r="AI23397" s="831">
        <v>0</v>
      </c>
      <c r="AJ23397" s="835">
        <v>41152</v>
      </c>
      <c r="AK23397" s="831">
        <v>10092049</v>
      </c>
    </row>
    <row r="23398" spans="32:37">
      <c r="AF23398" s="831" t="s">
        <v>10521</v>
      </c>
      <c r="AG23398" s="831" t="s">
        <v>2674</v>
      </c>
      <c r="AH23398" s="831" t="s">
        <v>650</v>
      </c>
      <c r="AI23398" s="831">
        <v>0</v>
      </c>
      <c r="AJ23398" s="835">
        <v>41152</v>
      </c>
      <c r="AK23398" s="831">
        <v>0</v>
      </c>
    </row>
    <row r="23399" spans="32:37">
      <c r="AF23399" s="831" t="s">
        <v>10522</v>
      </c>
      <c r="AG23399" s="831" t="s">
        <v>2674</v>
      </c>
      <c r="AH23399" s="831" t="s">
        <v>655</v>
      </c>
      <c r="AI23399" s="831">
        <v>0</v>
      </c>
      <c r="AJ23399" s="835">
        <v>41152</v>
      </c>
      <c r="AK23399" s="831">
        <v>1649423</v>
      </c>
    </row>
    <row r="23400" spans="32:37">
      <c r="AF23400" s="831" t="s">
        <v>10523</v>
      </c>
      <c r="AG23400" s="831" t="s">
        <v>2674</v>
      </c>
      <c r="AH23400" s="831" t="s">
        <v>546</v>
      </c>
      <c r="AI23400" s="831">
        <v>0</v>
      </c>
      <c r="AJ23400" s="835">
        <v>41182</v>
      </c>
      <c r="AK23400" s="831">
        <v>367084945</v>
      </c>
    </row>
    <row r="23401" spans="32:37">
      <c r="AF23401" s="831" t="s">
        <v>10524</v>
      </c>
      <c r="AG23401" s="831" t="s">
        <v>2674</v>
      </c>
      <c r="AH23401" s="831" t="s">
        <v>370</v>
      </c>
      <c r="AI23401" s="831">
        <v>0</v>
      </c>
      <c r="AJ23401" s="835">
        <v>41182</v>
      </c>
      <c r="AK23401" s="831">
        <v>456586970</v>
      </c>
    </row>
    <row r="23402" spans="32:37">
      <c r="AF23402" s="831" t="s">
        <v>10525</v>
      </c>
      <c r="AG23402" s="831" t="s">
        <v>2674</v>
      </c>
      <c r="AH23402" s="831" t="s">
        <v>126</v>
      </c>
      <c r="AI23402" s="831">
        <v>0</v>
      </c>
      <c r="AJ23402" s="835">
        <v>41182</v>
      </c>
      <c r="AK23402" s="831">
        <v>97409403</v>
      </c>
    </row>
    <row r="23403" spans="32:37">
      <c r="AF23403" s="831" t="s">
        <v>10526</v>
      </c>
      <c r="AG23403" s="831" t="s">
        <v>2674</v>
      </c>
      <c r="AH23403" s="831" t="s">
        <v>268</v>
      </c>
      <c r="AI23403" s="831">
        <v>0</v>
      </c>
      <c r="AJ23403" s="835">
        <v>41182</v>
      </c>
      <c r="AK23403" s="831">
        <v>12086480</v>
      </c>
    </row>
    <row r="23404" spans="32:37">
      <c r="AF23404" s="831" t="s">
        <v>10527</v>
      </c>
      <c r="AG23404" s="831" t="s">
        <v>2674</v>
      </c>
      <c r="AH23404" s="831" t="s">
        <v>547</v>
      </c>
      <c r="AI23404" s="831">
        <v>0</v>
      </c>
      <c r="AJ23404" s="835">
        <v>41182</v>
      </c>
      <c r="AK23404" s="831">
        <v>0</v>
      </c>
    </row>
    <row r="23405" spans="32:37">
      <c r="AF23405" s="831" t="s">
        <v>10528</v>
      </c>
      <c r="AG23405" s="831" t="s">
        <v>2674</v>
      </c>
      <c r="AH23405" s="831" t="s">
        <v>548</v>
      </c>
      <c r="AI23405" s="831">
        <v>0</v>
      </c>
      <c r="AJ23405" s="835">
        <v>41182</v>
      </c>
      <c r="AK23405" s="831">
        <v>0</v>
      </c>
    </row>
    <row r="23406" spans="32:37">
      <c r="AF23406" s="831" t="s">
        <v>10529</v>
      </c>
      <c r="AG23406" s="831" t="s">
        <v>2674</v>
      </c>
      <c r="AH23406" s="831" t="s">
        <v>549</v>
      </c>
      <c r="AI23406" s="831">
        <v>0</v>
      </c>
      <c r="AJ23406" s="835">
        <v>41182</v>
      </c>
      <c r="AK23406" s="831">
        <v>0</v>
      </c>
    </row>
    <row r="23407" spans="32:37">
      <c r="AF23407" s="831" t="s">
        <v>10530</v>
      </c>
      <c r="AG23407" s="831" t="s">
        <v>2674</v>
      </c>
      <c r="AH23407" s="831" t="s">
        <v>192</v>
      </c>
      <c r="AI23407" s="831">
        <v>0</v>
      </c>
      <c r="AJ23407" s="835">
        <v>41182</v>
      </c>
      <c r="AK23407" s="831">
        <v>-9429800</v>
      </c>
    </row>
    <row r="23408" spans="32:37">
      <c r="AF23408" s="831" t="s">
        <v>10531</v>
      </c>
      <c r="AG23408" s="831" t="s">
        <v>2674</v>
      </c>
      <c r="AH23408" s="831" t="s">
        <v>558</v>
      </c>
      <c r="AI23408" s="831">
        <v>0</v>
      </c>
      <c r="AJ23408" s="835">
        <v>41182</v>
      </c>
      <c r="AK23408" s="831">
        <v>359177567</v>
      </c>
    </row>
    <row r="23409" spans="32:37">
      <c r="AF23409" s="831" t="s">
        <v>10532</v>
      </c>
      <c r="AG23409" s="831" t="s">
        <v>2674</v>
      </c>
      <c r="AH23409" s="831" t="s">
        <v>65</v>
      </c>
      <c r="AI23409" s="831">
        <v>0</v>
      </c>
      <c r="AJ23409" s="835">
        <v>41182</v>
      </c>
      <c r="AK23409" s="831">
        <v>71268198</v>
      </c>
    </row>
    <row r="23410" spans="32:37">
      <c r="AF23410" s="831" t="s">
        <v>10533</v>
      </c>
      <c r="AG23410" s="831" t="s">
        <v>2674</v>
      </c>
      <c r="AH23410" s="831" t="s">
        <v>89</v>
      </c>
      <c r="AI23410" s="831">
        <v>0</v>
      </c>
      <c r="AJ23410" s="835">
        <v>41182</v>
      </c>
      <c r="AK23410" s="831">
        <v>122822</v>
      </c>
    </row>
    <row r="23411" spans="32:37">
      <c r="AF23411" s="831" t="s">
        <v>10534</v>
      </c>
      <c r="AG23411" s="831" t="s">
        <v>2674</v>
      </c>
      <c r="AH23411" s="831" t="s">
        <v>557</v>
      </c>
      <c r="AI23411" s="831">
        <v>0</v>
      </c>
      <c r="AJ23411" s="835">
        <v>41182</v>
      </c>
      <c r="AK23411" s="831">
        <v>124710</v>
      </c>
    </row>
    <row r="23412" spans="32:37">
      <c r="AF23412" s="831" t="s">
        <v>10535</v>
      </c>
      <c r="AG23412" s="831" t="s">
        <v>2674</v>
      </c>
      <c r="AH23412" s="831" t="s">
        <v>29</v>
      </c>
      <c r="AI23412" s="831">
        <v>0</v>
      </c>
      <c r="AJ23412" s="835">
        <v>41182</v>
      </c>
      <c r="AK23412" s="831">
        <v>2101787</v>
      </c>
    </row>
    <row r="23413" spans="32:37">
      <c r="AF23413" s="831" t="s">
        <v>10536</v>
      </c>
      <c r="AG23413" s="831" t="s">
        <v>2674</v>
      </c>
      <c r="AH23413" s="831" t="s">
        <v>2688</v>
      </c>
      <c r="AI23413" s="831">
        <v>0</v>
      </c>
      <c r="AJ23413" s="835">
        <v>41182</v>
      </c>
      <c r="AK23413" s="831">
        <v>2502472</v>
      </c>
    </row>
    <row r="23414" spans="32:37">
      <c r="AF23414" s="831" t="s">
        <v>10537</v>
      </c>
      <c r="AG23414" s="831" t="s">
        <v>2674</v>
      </c>
      <c r="AH23414" s="831" t="s">
        <v>556</v>
      </c>
      <c r="AI23414" s="831">
        <v>0</v>
      </c>
      <c r="AJ23414" s="835">
        <v>41182</v>
      </c>
      <c r="AK23414" s="831">
        <v>902857</v>
      </c>
    </row>
    <row r="23415" spans="32:37">
      <c r="AF23415" s="831" t="s">
        <v>10538</v>
      </c>
      <c r="AG23415" s="831" t="s">
        <v>2674</v>
      </c>
      <c r="AH23415" s="831" t="s">
        <v>555</v>
      </c>
      <c r="AI23415" s="831">
        <v>0</v>
      </c>
      <c r="AJ23415" s="835">
        <v>41182</v>
      </c>
      <c r="AK23415" s="831">
        <v>230223270</v>
      </c>
    </row>
    <row r="23416" spans="32:37">
      <c r="AF23416" s="831" t="s">
        <v>10539</v>
      </c>
      <c r="AG23416" s="831" t="s">
        <v>2674</v>
      </c>
      <c r="AH23416" s="831" t="s">
        <v>554</v>
      </c>
      <c r="AI23416" s="831">
        <v>0</v>
      </c>
      <c r="AJ23416" s="835">
        <v>41182</v>
      </c>
      <c r="AK23416" s="831">
        <v>219562790</v>
      </c>
    </row>
    <row r="23417" spans="32:37">
      <c r="AF23417" s="831" t="s">
        <v>10540</v>
      </c>
      <c r="AG23417" s="831" t="s">
        <v>2674</v>
      </c>
      <c r="AH23417" s="831" t="s">
        <v>553</v>
      </c>
      <c r="AI23417" s="831">
        <v>0</v>
      </c>
      <c r="AJ23417" s="835">
        <v>41182</v>
      </c>
      <c r="AK23417" s="831">
        <v>0</v>
      </c>
    </row>
    <row r="23418" spans="32:37">
      <c r="AF23418" s="831" t="s">
        <v>10541</v>
      </c>
      <c r="AG23418" s="831" t="s">
        <v>2674</v>
      </c>
      <c r="AH23418" s="831" t="s">
        <v>552</v>
      </c>
      <c r="AI23418" s="831">
        <v>0</v>
      </c>
      <c r="AJ23418" s="835">
        <v>41182</v>
      </c>
      <c r="AK23418" s="831">
        <v>0</v>
      </c>
    </row>
    <row r="23419" spans="32:37">
      <c r="AF23419" s="831" t="s">
        <v>10542</v>
      </c>
      <c r="AG23419" s="831" t="s">
        <v>2674</v>
      </c>
      <c r="AH23419" s="831" t="s">
        <v>551</v>
      </c>
      <c r="AI23419" s="831">
        <v>0</v>
      </c>
      <c r="AJ23419" s="835">
        <v>41182</v>
      </c>
      <c r="AK23419" s="831">
        <v>1960032</v>
      </c>
    </row>
    <row r="23420" spans="32:37">
      <c r="AF23420" s="831" t="s">
        <v>10543</v>
      </c>
      <c r="AG23420" s="831" t="s">
        <v>2674</v>
      </c>
      <c r="AH23420" s="831" t="s">
        <v>550</v>
      </c>
      <c r="AI23420" s="831">
        <v>0</v>
      </c>
      <c r="AJ23420" s="835">
        <v>41182</v>
      </c>
      <c r="AK23420" s="831">
        <v>95414973</v>
      </c>
    </row>
    <row r="23421" spans="32:37">
      <c r="AF23421" s="831" t="s">
        <v>10544</v>
      </c>
      <c r="AG23421" s="831" t="s">
        <v>2674</v>
      </c>
      <c r="AH23421" s="831" t="s">
        <v>562</v>
      </c>
      <c r="AI23421" s="831">
        <v>0</v>
      </c>
      <c r="AJ23421" s="835">
        <v>41182</v>
      </c>
      <c r="AK23421" s="831">
        <v>0.78464999999999996</v>
      </c>
    </row>
    <row r="23422" spans="32:37">
      <c r="AF23422" s="831" t="s">
        <v>10545</v>
      </c>
      <c r="AG23422" s="831" t="s">
        <v>2674</v>
      </c>
      <c r="AH23422" s="831" t="s">
        <v>2698</v>
      </c>
      <c r="AI23422" s="831">
        <v>0</v>
      </c>
      <c r="AJ23422" s="835">
        <v>41182</v>
      </c>
      <c r="AK23422" s="831">
        <v>0.78449999999999998</v>
      </c>
    </row>
    <row r="23423" spans="32:37">
      <c r="AF23423" s="831" t="s">
        <v>10546</v>
      </c>
      <c r="AG23423" s="831" t="s">
        <v>2674</v>
      </c>
      <c r="AH23423" s="831" t="s">
        <v>560</v>
      </c>
      <c r="AI23423" s="831">
        <v>0</v>
      </c>
      <c r="AJ23423" s="835">
        <v>41182</v>
      </c>
      <c r="AK23423" s="831">
        <v>0.78534999999999999</v>
      </c>
    </row>
    <row r="23424" spans="32:37">
      <c r="AF23424" s="831" t="s">
        <v>10547</v>
      </c>
      <c r="AG23424" s="831" t="s">
        <v>2674</v>
      </c>
      <c r="AH23424" s="831" t="s">
        <v>559</v>
      </c>
      <c r="AI23424" s="831">
        <v>0</v>
      </c>
      <c r="AJ23424" s="835">
        <v>41182</v>
      </c>
      <c r="AK23424" s="831">
        <v>0.78557083333333333</v>
      </c>
    </row>
    <row r="23425" spans="32:37">
      <c r="AF23425" s="831" t="s">
        <v>10548</v>
      </c>
      <c r="AG23425" s="831" t="s">
        <v>2674</v>
      </c>
      <c r="AH23425" s="831" t="s">
        <v>568</v>
      </c>
      <c r="AI23425" s="831">
        <v>0</v>
      </c>
      <c r="AJ23425" s="835">
        <v>41182</v>
      </c>
      <c r="AK23425" s="831">
        <v>0</v>
      </c>
    </row>
    <row r="23426" spans="32:37">
      <c r="AF23426" s="831" t="s">
        <v>10549</v>
      </c>
      <c r="AG23426" s="831" t="s">
        <v>2674</v>
      </c>
      <c r="AH23426" s="831" t="s">
        <v>569</v>
      </c>
      <c r="AI23426" s="831">
        <v>0</v>
      </c>
      <c r="AJ23426" s="835">
        <v>41182</v>
      </c>
      <c r="AK23426" s="831">
        <v>0</v>
      </c>
    </row>
    <row r="23427" spans="32:37">
      <c r="AF23427" s="831" t="s">
        <v>10550</v>
      </c>
      <c r="AG23427" s="831" t="s">
        <v>2674</v>
      </c>
      <c r="AH23427" s="831" t="s">
        <v>570</v>
      </c>
      <c r="AI23427" s="831">
        <v>0</v>
      </c>
      <c r="AJ23427" s="835">
        <v>41182</v>
      </c>
      <c r="AK23427" s="831">
        <v>0</v>
      </c>
    </row>
    <row r="23428" spans="32:37">
      <c r="AF23428" s="831" t="s">
        <v>10551</v>
      </c>
      <c r="AG23428" s="831" t="s">
        <v>2674</v>
      </c>
      <c r="AH23428" s="831" t="s">
        <v>571</v>
      </c>
      <c r="AI23428" s="831">
        <v>0</v>
      </c>
      <c r="AJ23428" s="835">
        <v>41182</v>
      </c>
      <c r="AK23428" s="831">
        <v>0</v>
      </c>
    </row>
    <row r="23429" spans="32:37">
      <c r="AF23429" s="831" t="s">
        <v>10552</v>
      </c>
      <c r="AG23429" s="831" t="s">
        <v>2674</v>
      </c>
      <c r="AH23429" s="831" t="s">
        <v>573</v>
      </c>
      <c r="AI23429" s="831">
        <v>0</v>
      </c>
      <c r="AJ23429" s="835">
        <v>41182</v>
      </c>
      <c r="AK23429" s="831">
        <v>0</v>
      </c>
    </row>
    <row r="23430" spans="32:37">
      <c r="AF23430" s="831" t="s">
        <v>10553</v>
      </c>
      <c r="AG23430" s="831" t="s">
        <v>2674</v>
      </c>
      <c r="AH23430" s="831" t="s">
        <v>574</v>
      </c>
      <c r="AI23430" s="831">
        <v>0</v>
      </c>
      <c r="AJ23430" s="835">
        <v>41182</v>
      </c>
      <c r="AK23430" s="831">
        <v>0</v>
      </c>
    </row>
    <row r="23431" spans="32:37">
      <c r="AF23431" s="831" t="s">
        <v>10554</v>
      </c>
      <c r="AG23431" s="831" t="s">
        <v>2674</v>
      </c>
      <c r="AH23431" s="831" t="s">
        <v>575</v>
      </c>
      <c r="AI23431" s="831">
        <v>0</v>
      </c>
      <c r="AJ23431" s="835">
        <v>41182</v>
      </c>
      <c r="AK23431" s="831">
        <v>0</v>
      </c>
    </row>
    <row r="23432" spans="32:37">
      <c r="AF23432" s="831" t="s">
        <v>10555</v>
      </c>
      <c r="AG23432" s="831" t="s">
        <v>2674</v>
      </c>
      <c r="AH23432" s="831" t="s">
        <v>576</v>
      </c>
      <c r="AI23432" s="831">
        <v>0</v>
      </c>
      <c r="AJ23432" s="835">
        <v>41182</v>
      </c>
      <c r="AK23432" s="831">
        <v>0</v>
      </c>
    </row>
    <row r="23433" spans="32:37">
      <c r="AF23433" s="831" t="s">
        <v>10556</v>
      </c>
      <c r="AG23433" s="831" t="s">
        <v>2674</v>
      </c>
      <c r="AH23433" s="831" t="s">
        <v>572</v>
      </c>
      <c r="AI23433" s="831">
        <v>0</v>
      </c>
      <c r="AJ23433" s="835">
        <v>41182</v>
      </c>
      <c r="AK23433" s="831">
        <v>-2146826246</v>
      </c>
    </row>
    <row r="23434" spans="32:37">
      <c r="AF23434" s="831" t="s">
        <v>10557</v>
      </c>
      <c r="AG23434" s="831" t="s">
        <v>2674</v>
      </c>
      <c r="AH23434" s="831" t="s">
        <v>577</v>
      </c>
      <c r="AI23434" s="831">
        <v>0</v>
      </c>
      <c r="AJ23434" s="835">
        <v>41182</v>
      </c>
      <c r="AK23434" s="831">
        <v>-2146826246</v>
      </c>
    </row>
    <row r="23435" spans="32:37">
      <c r="AF23435" s="831" t="s">
        <v>10558</v>
      </c>
      <c r="AG23435" s="831" t="s">
        <v>2674</v>
      </c>
      <c r="AH23435" s="831" t="s">
        <v>3042</v>
      </c>
      <c r="AI23435" s="831">
        <v>0</v>
      </c>
      <c r="AJ23435" s="835">
        <v>41182</v>
      </c>
      <c r="AK23435" s="831">
        <v>-2146826246</v>
      </c>
    </row>
    <row r="23436" spans="32:37">
      <c r="AF23436" s="831" t="s">
        <v>10559</v>
      </c>
      <c r="AG23436" s="831" t="s">
        <v>2674</v>
      </c>
      <c r="AH23436" s="831" t="s">
        <v>3044</v>
      </c>
      <c r="AI23436" s="831">
        <v>0</v>
      </c>
      <c r="AJ23436" s="835">
        <v>41182</v>
      </c>
      <c r="AK23436" s="831">
        <v>-2146826246</v>
      </c>
    </row>
    <row r="23437" spans="32:37">
      <c r="AF23437" s="831" t="s">
        <v>10560</v>
      </c>
      <c r="AG23437" s="831" t="s">
        <v>2674</v>
      </c>
      <c r="AH23437" s="831" t="s">
        <v>580</v>
      </c>
      <c r="AI23437" s="831">
        <v>0</v>
      </c>
      <c r="AJ23437" s="835">
        <v>41182</v>
      </c>
      <c r="AK23437" s="831">
        <v>-2146826246</v>
      </c>
    </row>
    <row r="23438" spans="32:37">
      <c r="AF23438" s="831" t="s">
        <v>10561</v>
      </c>
      <c r="AG23438" s="831" t="s">
        <v>2674</v>
      </c>
      <c r="AH23438" s="831" t="s">
        <v>581</v>
      </c>
      <c r="AI23438" s="831">
        <v>0</v>
      </c>
      <c r="AJ23438" s="835">
        <v>41182</v>
      </c>
      <c r="AK23438" s="831">
        <v>-2146826246</v>
      </c>
    </row>
    <row r="23439" spans="32:37">
      <c r="AF23439" s="831" t="s">
        <v>10562</v>
      </c>
      <c r="AG23439" s="831" t="s">
        <v>2674</v>
      </c>
      <c r="AH23439" s="831" t="s">
        <v>105</v>
      </c>
      <c r="AI23439" s="831">
        <v>0</v>
      </c>
      <c r="AJ23439" s="835">
        <v>41182</v>
      </c>
      <c r="AK23439" s="831">
        <v>185303362</v>
      </c>
    </row>
    <row r="23440" spans="32:37">
      <c r="AF23440" s="831" t="s">
        <v>10563</v>
      </c>
      <c r="AG23440" s="831" t="s">
        <v>2674</v>
      </c>
      <c r="AH23440" s="831" t="s">
        <v>3049</v>
      </c>
      <c r="AI23440" s="831">
        <v>0</v>
      </c>
      <c r="AJ23440" s="835">
        <v>41182</v>
      </c>
      <c r="AK23440" s="831">
        <v>347265603</v>
      </c>
    </row>
    <row r="23441" spans="32:37">
      <c r="AF23441" s="831" t="s">
        <v>10564</v>
      </c>
      <c r="AG23441" s="831" t="s">
        <v>2674</v>
      </c>
      <c r="AH23441" s="831" t="s">
        <v>103</v>
      </c>
      <c r="AI23441" s="831">
        <v>0</v>
      </c>
      <c r="AJ23441" s="835">
        <v>41182</v>
      </c>
      <c r="AK23441" s="831">
        <v>161962241</v>
      </c>
    </row>
    <row r="23442" spans="32:37">
      <c r="AF23442" s="831" t="s">
        <v>10565</v>
      </c>
      <c r="AG23442" s="831" t="s">
        <v>2674</v>
      </c>
      <c r="AH23442" s="831" t="s">
        <v>182</v>
      </c>
      <c r="AI23442" s="831">
        <v>0</v>
      </c>
      <c r="AJ23442" s="835">
        <v>41182</v>
      </c>
      <c r="AK23442" s="831">
        <v>49982530.666666664</v>
      </c>
    </row>
    <row r="23443" spans="32:37">
      <c r="AF23443" s="831" t="s">
        <v>10566</v>
      </c>
      <c r="AG23443" s="831" t="s">
        <v>2674</v>
      </c>
      <c r="AH23443" s="831" t="s">
        <v>6600</v>
      </c>
      <c r="AI23443" s="831">
        <v>0</v>
      </c>
      <c r="AJ23443" s="835">
        <v>41182</v>
      </c>
      <c r="AK23443" s="831">
        <v>-2146826246</v>
      </c>
    </row>
    <row r="23444" spans="32:37">
      <c r="AF23444" s="831" t="s">
        <v>10567</v>
      </c>
      <c r="AG23444" s="831" t="s">
        <v>2674</v>
      </c>
      <c r="AH23444" s="831" t="s">
        <v>6602</v>
      </c>
      <c r="AI23444" s="831">
        <v>0</v>
      </c>
      <c r="AJ23444" s="835">
        <v>41182</v>
      </c>
      <c r="AK23444" s="831">
        <v>12086480</v>
      </c>
    </row>
    <row r="23445" spans="32:37">
      <c r="AF23445" s="831" t="s">
        <v>10568</v>
      </c>
      <c r="AG23445" s="831" t="s">
        <v>2674</v>
      </c>
      <c r="AH23445" s="831" t="s">
        <v>650</v>
      </c>
      <c r="AI23445" s="831">
        <v>0</v>
      </c>
      <c r="AJ23445" s="835">
        <v>41182</v>
      </c>
      <c r="AK23445" s="831">
        <v>0</v>
      </c>
    </row>
    <row r="23446" spans="32:37">
      <c r="AF23446" s="831" t="s">
        <v>10569</v>
      </c>
      <c r="AG23446" s="831" t="s">
        <v>2674</v>
      </c>
      <c r="AH23446" s="831" t="s">
        <v>655</v>
      </c>
      <c r="AI23446" s="831">
        <v>0</v>
      </c>
      <c r="AJ23446" s="835">
        <v>41182</v>
      </c>
      <c r="AK23446" s="831">
        <v>1640278</v>
      </c>
    </row>
    <row r="23447" spans="32:37">
      <c r="AF23447" s="831" t="s">
        <v>10570</v>
      </c>
      <c r="AG23447" s="831" t="s">
        <v>2674</v>
      </c>
      <c r="AH23447" s="831" t="s">
        <v>546</v>
      </c>
      <c r="AI23447" s="831">
        <v>0</v>
      </c>
      <c r="AJ23447" s="835">
        <v>41213</v>
      </c>
      <c r="AK23447" s="831">
        <v>376404251</v>
      </c>
    </row>
    <row r="23448" spans="32:37">
      <c r="AF23448" s="831" t="s">
        <v>10571</v>
      </c>
      <c r="AG23448" s="831" t="s">
        <v>2674</v>
      </c>
      <c r="AH23448" s="831" t="s">
        <v>370</v>
      </c>
      <c r="AI23448" s="831">
        <v>0</v>
      </c>
      <c r="AJ23448" s="835">
        <v>41213</v>
      </c>
      <c r="AK23448" s="831">
        <v>453336865</v>
      </c>
    </row>
    <row r="23449" spans="32:37">
      <c r="AF23449" s="831" t="s">
        <v>10572</v>
      </c>
      <c r="AG23449" s="831" t="s">
        <v>2674</v>
      </c>
      <c r="AH23449" s="831" t="s">
        <v>126</v>
      </c>
      <c r="AI23449" s="831">
        <v>0</v>
      </c>
      <c r="AJ23449" s="835">
        <v>41213</v>
      </c>
      <c r="AK23449" s="831">
        <v>99431431</v>
      </c>
    </row>
    <row r="23450" spans="32:37">
      <c r="AF23450" s="831" t="s">
        <v>10573</v>
      </c>
      <c r="AG23450" s="831" t="s">
        <v>2674</v>
      </c>
      <c r="AH23450" s="831" t="s">
        <v>268</v>
      </c>
      <c r="AI23450" s="831">
        <v>0</v>
      </c>
      <c r="AJ23450" s="835">
        <v>41213</v>
      </c>
      <c r="AK23450" s="831">
        <v>14108507</v>
      </c>
    </row>
    <row r="23451" spans="32:37">
      <c r="AF23451" s="831" t="s">
        <v>10574</v>
      </c>
      <c r="AG23451" s="831" t="s">
        <v>2674</v>
      </c>
      <c r="AH23451" s="831" t="s">
        <v>547</v>
      </c>
      <c r="AI23451" s="831">
        <v>0</v>
      </c>
      <c r="AJ23451" s="835">
        <v>41213</v>
      </c>
      <c r="AK23451" s="831">
        <v>0</v>
      </c>
    </row>
    <row r="23452" spans="32:37">
      <c r="AF23452" s="831" t="s">
        <v>10575</v>
      </c>
      <c r="AG23452" s="831" t="s">
        <v>2674</v>
      </c>
      <c r="AH23452" s="831" t="s">
        <v>548</v>
      </c>
      <c r="AI23452" s="831">
        <v>0</v>
      </c>
      <c r="AJ23452" s="835">
        <v>41213</v>
      </c>
      <c r="AK23452" s="831">
        <v>0</v>
      </c>
    </row>
    <row r="23453" spans="32:37">
      <c r="AF23453" s="831" t="s">
        <v>10576</v>
      </c>
      <c r="AG23453" s="831" t="s">
        <v>2674</v>
      </c>
      <c r="AH23453" s="831" t="s">
        <v>549</v>
      </c>
      <c r="AI23453" s="831">
        <v>0</v>
      </c>
      <c r="AJ23453" s="835">
        <v>41213</v>
      </c>
      <c r="AK23453" s="831">
        <v>0</v>
      </c>
    </row>
    <row r="23454" spans="32:37">
      <c r="AF23454" s="831" t="s">
        <v>10577</v>
      </c>
      <c r="AG23454" s="831" t="s">
        <v>2674</v>
      </c>
      <c r="AH23454" s="831" t="s">
        <v>192</v>
      </c>
      <c r="AI23454" s="831">
        <v>0</v>
      </c>
      <c r="AJ23454" s="835">
        <v>41213</v>
      </c>
      <c r="AK23454" s="831">
        <v>-9860253</v>
      </c>
    </row>
    <row r="23455" spans="32:37">
      <c r="AF23455" s="831" t="s">
        <v>10578</v>
      </c>
      <c r="AG23455" s="831" t="s">
        <v>2674</v>
      </c>
      <c r="AH23455" s="831" t="s">
        <v>558</v>
      </c>
      <c r="AI23455" s="831">
        <v>0</v>
      </c>
      <c r="AJ23455" s="835">
        <v>41213</v>
      </c>
      <c r="AK23455" s="831">
        <v>353905434</v>
      </c>
    </row>
    <row r="23456" spans="32:37">
      <c r="AF23456" s="831" t="s">
        <v>10579</v>
      </c>
      <c r="AG23456" s="831" t="s">
        <v>2674</v>
      </c>
      <c r="AH23456" s="831" t="s">
        <v>65</v>
      </c>
      <c r="AI23456" s="831">
        <v>0</v>
      </c>
      <c r="AJ23456" s="835">
        <v>41213</v>
      </c>
      <c r="AK23456" s="831">
        <v>80308330</v>
      </c>
    </row>
    <row r="23457" spans="32:37">
      <c r="AF23457" s="831" t="s">
        <v>10580</v>
      </c>
      <c r="AG23457" s="831" t="s">
        <v>2674</v>
      </c>
      <c r="AH23457" s="831" t="s">
        <v>89</v>
      </c>
      <c r="AI23457" s="831">
        <v>0</v>
      </c>
      <c r="AJ23457" s="835">
        <v>41213</v>
      </c>
      <c r="AK23457" s="831">
        <v>123024</v>
      </c>
    </row>
    <row r="23458" spans="32:37">
      <c r="AF23458" s="831" t="s">
        <v>10581</v>
      </c>
      <c r="AG23458" s="831" t="s">
        <v>2674</v>
      </c>
      <c r="AH23458" s="831" t="s">
        <v>557</v>
      </c>
      <c r="AI23458" s="831">
        <v>0</v>
      </c>
      <c r="AJ23458" s="835">
        <v>41213</v>
      </c>
      <c r="AK23458" s="831">
        <v>124999</v>
      </c>
    </row>
    <row r="23459" spans="32:37">
      <c r="AF23459" s="831" t="s">
        <v>10582</v>
      </c>
      <c r="AG23459" s="831" t="s">
        <v>2674</v>
      </c>
      <c r="AH23459" s="831" t="s">
        <v>29</v>
      </c>
      <c r="AI23459" s="831">
        <v>0</v>
      </c>
      <c r="AJ23459" s="835">
        <v>41213</v>
      </c>
      <c r="AK23459" s="831">
        <v>2261339</v>
      </c>
    </row>
    <row r="23460" spans="32:37">
      <c r="AF23460" s="831" t="s">
        <v>10583</v>
      </c>
      <c r="AG23460" s="831" t="s">
        <v>2674</v>
      </c>
      <c r="AH23460" s="831" t="s">
        <v>2688</v>
      </c>
      <c r="AI23460" s="831">
        <v>0</v>
      </c>
      <c r="AJ23460" s="835">
        <v>41213</v>
      </c>
      <c r="AK23460" s="831">
        <v>2480728</v>
      </c>
    </row>
    <row r="23461" spans="32:37">
      <c r="AF23461" s="831" t="s">
        <v>10584</v>
      </c>
      <c r="AG23461" s="831" t="s">
        <v>2674</v>
      </c>
      <c r="AH23461" s="831" t="s">
        <v>556</v>
      </c>
      <c r="AI23461" s="831">
        <v>0</v>
      </c>
      <c r="AJ23461" s="835">
        <v>41213</v>
      </c>
      <c r="AK23461" s="831">
        <v>902857</v>
      </c>
    </row>
    <row r="23462" spans="32:37">
      <c r="AF23462" s="831" t="s">
        <v>10585</v>
      </c>
      <c r="AG23462" s="831" t="s">
        <v>2674</v>
      </c>
      <c r="AH23462" s="831" t="s">
        <v>555</v>
      </c>
      <c r="AI23462" s="831">
        <v>0</v>
      </c>
      <c r="AJ23462" s="835">
        <v>41213</v>
      </c>
      <c r="AK23462" s="831">
        <v>223326560</v>
      </c>
    </row>
    <row r="23463" spans="32:37">
      <c r="AF23463" s="831" t="s">
        <v>10586</v>
      </c>
      <c r="AG23463" s="831" t="s">
        <v>2674</v>
      </c>
      <c r="AH23463" s="831" t="s">
        <v>554</v>
      </c>
      <c r="AI23463" s="831">
        <v>0</v>
      </c>
      <c r="AJ23463" s="835">
        <v>41213</v>
      </c>
      <c r="AK23463" s="831">
        <v>217988230</v>
      </c>
    </row>
    <row r="23464" spans="32:37">
      <c r="AF23464" s="831" t="s">
        <v>10587</v>
      </c>
      <c r="AG23464" s="831" t="s">
        <v>2674</v>
      </c>
      <c r="AH23464" s="831" t="s">
        <v>553</v>
      </c>
      <c r="AI23464" s="831">
        <v>0</v>
      </c>
      <c r="AJ23464" s="835">
        <v>41213</v>
      </c>
      <c r="AK23464" s="831">
        <v>0</v>
      </c>
    </row>
    <row r="23465" spans="32:37">
      <c r="AF23465" s="831" t="s">
        <v>10588</v>
      </c>
      <c r="AG23465" s="831" t="s">
        <v>2674</v>
      </c>
      <c r="AH23465" s="831" t="s">
        <v>552</v>
      </c>
      <c r="AI23465" s="831">
        <v>0</v>
      </c>
      <c r="AJ23465" s="835">
        <v>41213</v>
      </c>
      <c r="AK23465" s="831">
        <v>0</v>
      </c>
    </row>
    <row r="23466" spans="32:37">
      <c r="AF23466" s="831" t="s">
        <v>10589</v>
      </c>
      <c r="AG23466" s="831" t="s">
        <v>2674</v>
      </c>
      <c r="AH23466" s="831" t="s">
        <v>551</v>
      </c>
      <c r="AI23466" s="831">
        <v>0</v>
      </c>
      <c r="AJ23466" s="835">
        <v>41213</v>
      </c>
      <c r="AK23466" s="831">
        <v>2033933</v>
      </c>
    </row>
    <row r="23467" spans="32:37">
      <c r="AF23467" s="831" t="s">
        <v>10590</v>
      </c>
      <c r="AG23467" s="831" t="s">
        <v>2674</v>
      </c>
      <c r="AH23467" s="831" t="s">
        <v>550</v>
      </c>
      <c r="AI23467" s="831">
        <v>0</v>
      </c>
      <c r="AJ23467" s="835">
        <v>41213</v>
      </c>
      <c r="AK23467" s="831">
        <v>97409403</v>
      </c>
    </row>
    <row r="23468" spans="32:37">
      <c r="AF23468" s="831" t="s">
        <v>10591</v>
      </c>
      <c r="AG23468" s="831" t="s">
        <v>2674</v>
      </c>
      <c r="AH23468" s="831" t="s">
        <v>562</v>
      </c>
      <c r="AI23468" s="831">
        <v>0</v>
      </c>
      <c r="AJ23468" s="835">
        <v>41213</v>
      </c>
      <c r="AK23468" s="831">
        <v>0.78434999999999999</v>
      </c>
    </row>
    <row r="23469" spans="32:37">
      <c r="AF23469" s="831" t="s">
        <v>10592</v>
      </c>
      <c r="AG23469" s="831" t="s">
        <v>2674</v>
      </c>
      <c r="AH23469" s="831" t="s">
        <v>2698</v>
      </c>
      <c r="AI23469" s="831">
        <v>0</v>
      </c>
      <c r="AJ23469" s="835">
        <v>41213</v>
      </c>
      <c r="AK23469" s="831">
        <v>0.78464999999999996</v>
      </c>
    </row>
    <row r="23470" spans="32:37">
      <c r="AF23470" s="831" t="s">
        <v>10593</v>
      </c>
      <c r="AG23470" s="831" t="s">
        <v>2674</v>
      </c>
      <c r="AH23470" s="831" t="s">
        <v>560</v>
      </c>
      <c r="AI23470" s="831">
        <v>0</v>
      </c>
      <c r="AJ23470" s="835">
        <v>41213</v>
      </c>
      <c r="AK23470" s="831">
        <v>0.78525</v>
      </c>
    </row>
    <row r="23471" spans="32:37">
      <c r="AF23471" s="831" t="s">
        <v>10594</v>
      </c>
      <c r="AG23471" s="831" t="s">
        <v>2674</v>
      </c>
      <c r="AH23471" s="831" t="s">
        <v>559</v>
      </c>
      <c r="AI23471" s="831">
        <v>0</v>
      </c>
      <c r="AJ23471" s="835">
        <v>41213</v>
      </c>
      <c r="AK23471" s="831">
        <v>0.78536666666666666</v>
      </c>
    </row>
    <row r="23472" spans="32:37">
      <c r="AF23472" s="831" t="s">
        <v>10595</v>
      </c>
      <c r="AG23472" s="831" t="s">
        <v>2674</v>
      </c>
      <c r="AH23472" s="831" t="s">
        <v>568</v>
      </c>
      <c r="AI23472" s="831">
        <v>0</v>
      </c>
      <c r="AJ23472" s="835">
        <v>41213</v>
      </c>
      <c r="AK23472" s="831">
        <v>0</v>
      </c>
    </row>
    <row r="23473" spans="32:37">
      <c r="AF23473" s="831" t="s">
        <v>10596</v>
      </c>
      <c r="AG23473" s="831" t="s">
        <v>2674</v>
      </c>
      <c r="AH23473" s="831" t="s">
        <v>569</v>
      </c>
      <c r="AI23473" s="831">
        <v>0</v>
      </c>
      <c r="AJ23473" s="835">
        <v>41213</v>
      </c>
      <c r="AK23473" s="831">
        <v>0</v>
      </c>
    </row>
    <row r="23474" spans="32:37">
      <c r="AF23474" s="831" t="s">
        <v>10597</v>
      </c>
      <c r="AG23474" s="831" t="s">
        <v>2674</v>
      </c>
      <c r="AH23474" s="831" t="s">
        <v>570</v>
      </c>
      <c r="AI23474" s="831">
        <v>0</v>
      </c>
      <c r="AJ23474" s="835">
        <v>41213</v>
      </c>
      <c r="AK23474" s="831">
        <v>0</v>
      </c>
    </row>
    <row r="23475" spans="32:37">
      <c r="AF23475" s="831" t="s">
        <v>10598</v>
      </c>
      <c r="AG23475" s="831" t="s">
        <v>2674</v>
      </c>
      <c r="AH23475" s="831" t="s">
        <v>571</v>
      </c>
      <c r="AI23475" s="831">
        <v>0</v>
      </c>
      <c r="AJ23475" s="835">
        <v>41213</v>
      </c>
      <c r="AK23475" s="831">
        <v>0</v>
      </c>
    </row>
    <row r="23476" spans="32:37">
      <c r="AF23476" s="831" t="s">
        <v>10599</v>
      </c>
      <c r="AG23476" s="831" t="s">
        <v>2674</v>
      </c>
      <c r="AH23476" s="831" t="s">
        <v>573</v>
      </c>
      <c r="AI23476" s="831">
        <v>0</v>
      </c>
      <c r="AJ23476" s="835">
        <v>41213</v>
      </c>
      <c r="AK23476" s="831">
        <v>0</v>
      </c>
    </row>
    <row r="23477" spans="32:37">
      <c r="AF23477" s="831" t="s">
        <v>10600</v>
      </c>
      <c r="AG23477" s="831" t="s">
        <v>2674</v>
      </c>
      <c r="AH23477" s="831" t="s">
        <v>574</v>
      </c>
      <c r="AI23477" s="831">
        <v>0</v>
      </c>
      <c r="AJ23477" s="835">
        <v>41213</v>
      </c>
      <c r="AK23477" s="831">
        <v>0</v>
      </c>
    </row>
    <row r="23478" spans="32:37">
      <c r="AF23478" s="831" t="s">
        <v>10601</v>
      </c>
      <c r="AG23478" s="831" t="s">
        <v>2674</v>
      </c>
      <c r="AH23478" s="831" t="s">
        <v>575</v>
      </c>
      <c r="AI23478" s="831">
        <v>0</v>
      </c>
      <c r="AJ23478" s="835">
        <v>41213</v>
      </c>
      <c r="AK23478" s="831">
        <v>0</v>
      </c>
    </row>
    <row r="23479" spans="32:37">
      <c r="AF23479" s="831" t="s">
        <v>10602</v>
      </c>
      <c r="AG23479" s="831" t="s">
        <v>2674</v>
      </c>
      <c r="AH23479" s="831" t="s">
        <v>576</v>
      </c>
      <c r="AI23479" s="831">
        <v>0</v>
      </c>
      <c r="AJ23479" s="835">
        <v>41213</v>
      </c>
      <c r="AK23479" s="831">
        <v>0</v>
      </c>
    </row>
    <row r="23480" spans="32:37">
      <c r="AF23480" s="831" t="s">
        <v>10603</v>
      </c>
      <c r="AG23480" s="831" t="s">
        <v>2674</v>
      </c>
      <c r="AH23480" s="831" t="s">
        <v>572</v>
      </c>
      <c r="AI23480" s="831">
        <v>0</v>
      </c>
      <c r="AJ23480" s="835">
        <v>41213</v>
      </c>
      <c r="AK23480" s="831">
        <v>-2146826246</v>
      </c>
    </row>
    <row r="23481" spans="32:37">
      <c r="AF23481" s="831" t="s">
        <v>10604</v>
      </c>
      <c r="AG23481" s="831" t="s">
        <v>2674</v>
      </c>
      <c r="AH23481" s="831" t="s">
        <v>577</v>
      </c>
      <c r="AI23481" s="831">
        <v>0</v>
      </c>
      <c r="AJ23481" s="835">
        <v>41213</v>
      </c>
      <c r="AK23481" s="831">
        <v>-2146826246</v>
      </c>
    </row>
    <row r="23482" spans="32:37">
      <c r="AF23482" s="831" t="s">
        <v>10605</v>
      </c>
      <c r="AG23482" s="831" t="s">
        <v>2674</v>
      </c>
      <c r="AH23482" s="831" t="s">
        <v>3042</v>
      </c>
      <c r="AI23482" s="831">
        <v>0</v>
      </c>
      <c r="AJ23482" s="835">
        <v>41213</v>
      </c>
      <c r="AK23482" s="831">
        <v>-2146826246</v>
      </c>
    </row>
    <row r="23483" spans="32:37">
      <c r="AF23483" s="831" t="s">
        <v>10606</v>
      </c>
      <c r="AG23483" s="831" t="s">
        <v>2674</v>
      </c>
      <c r="AH23483" s="831" t="s">
        <v>3044</v>
      </c>
      <c r="AI23483" s="831">
        <v>0</v>
      </c>
      <c r="AJ23483" s="835">
        <v>41213</v>
      </c>
      <c r="AK23483" s="831">
        <v>-2146826246</v>
      </c>
    </row>
    <row r="23484" spans="32:37">
      <c r="AF23484" s="831" t="s">
        <v>10607</v>
      </c>
      <c r="AG23484" s="831" t="s">
        <v>2674</v>
      </c>
      <c r="AH23484" s="831" t="s">
        <v>580</v>
      </c>
      <c r="AI23484" s="831">
        <v>0</v>
      </c>
      <c r="AJ23484" s="835">
        <v>41213</v>
      </c>
      <c r="AK23484" s="831">
        <v>-2146826246</v>
      </c>
    </row>
    <row r="23485" spans="32:37">
      <c r="AF23485" s="831" t="s">
        <v>10608</v>
      </c>
      <c r="AG23485" s="831" t="s">
        <v>2674</v>
      </c>
      <c r="AH23485" s="831" t="s">
        <v>581</v>
      </c>
      <c r="AI23485" s="831">
        <v>0</v>
      </c>
      <c r="AJ23485" s="835">
        <v>41213</v>
      </c>
      <c r="AK23485" s="831">
        <v>-2146826246</v>
      </c>
    </row>
    <row r="23486" spans="32:37">
      <c r="AF23486" s="831" t="s">
        <v>10609</v>
      </c>
      <c r="AG23486" s="831" t="s">
        <v>2674</v>
      </c>
      <c r="AH23486" s="831" t="s">
        <v>105</v>
      </c>
      <c r="AI23486" s="831">
        <v>0</v>
      </c>
      <c r="AJ23486" s="835">
        <v>41213</v>
      </c>
      <c r="AK23486" s="831">
        <v>184676086</v>
      </c>
    </row>
    <row r="23487" spans="32:37">
      <c r="AF23487" s="831" t="s">
        <v>10610</v>
      </c>
      <c r="AG23487" s="831" t="s">
        <v>2674</v>
      </c>
      <c r="AH23487" s="831" t="s">
        <v>3049</v>
      </c>
      <c r="AI23487" s="831">
        <v>0</v>
      </c>
      <c r="AJ23487" s="835">
        <v>41213</v>
      </c>
      <c r="AK23487" s="831">
        <v>342133447</v>
      </c>
    </row>
    <row r="23488" spans="32:37">
      <c r="AF23488" s="831" t="s">
        <v>10611</v>
      </c>
      <c r="AG23488" s="831" t="s">
        <v>2674</v>
      </c>
      <c r="AH23488" s="831" t="s">
        <v>103</v>
      </c>
      <c r="AI23488" s="831">
        <v>0</v>
      </c>
      <c r="AJ23488" s="835">
        <v>41213</v>
      </c>
      <c r="AK23488" s="831">
        <v>157457361</v>
      </c>
    </row>
    <row r="23489" spans="32:37">
      <c r="AF23489" s="831" t="s">
        <v>10612</v>
      </c>
      <c r="AG23489" s="831" t="s">
        <v>2674</v>
      </c>
      <c r="AH23489" s="831" t="s">
        <v>182</v>
      </c>
      <c r="AI23489" s="831">
        <v>0</v>
      </c>
      <c r="AJ23489" s="835">
        <v>41213</v>
      </c>
      <c r="AK23489" s="831">
        <v>49941625.200000003</v>
      </c>
    </row>
    <row r="23490" spans="32:37">
      <c r="AF23490" s="831" t="s">
        <v>10613</v>
      </c>
      <c r="AG23490" s="831" t="s">
        <v>2674</v>
      </c>
      <c r="AH23490" s="831" t="s">
        <v>6600</v>
      </c>
      <c r="AI23490" s="831">
        <v>0</v>
      </c>
      <c r="AJ23490" s="835">
        <v>41213</v>
      </c>
      <c r="AK23490" s="831">
        <v>-2146826246</v>
      </c>
    </row>
    <row r="23491" spans="32:37">
      <c r="AF23491" s="831" t="s">
        <v>10614</v>
      </c>
      <c r="AG23491" s="831" t="s">
        <v>2674</v>
      </c>
      <c r="AH23491" s="831" t="s">
        <v>6602</v>
      </c>
      <c r="AI23491" s="831">
        <v>0</v>
      </c>
      <c r="AJ23491" s="835">
        <v>41213</v>
      </c>
      <c r="AK23491" s="831">
        <v>14108507</v>
      </c>
    </row>
    <row r="23492" spans="32:37">
      <c r="AF23492" s="831" t="s">
        <v>10615</v>
      </c>
      <c r="AG23492" s="831" t="s">
        <v>2674</v>
      </c>
      <c r="AH23492" s="831" t="s">
        <v>650</v>
      </c>
      <c r="AI23492" s="831">
        <v>0</v>
      </c>
      <c r="AJ23492" s="835">
        <v>41213</v>
      </c>
      <c r="AK23492" s="831">
        <v>0</v>
      </c>
    </row>
    <row r="23493" spans="32:37">
      <c r="AF23493" s="831" t="s">
        <v>10616</v>
      </c>
      <c r="AG23493" s="831" t="s">
        <v>2674</v>
      </c>
      <c r="AH23493" s="831" t="s">
        <v>655</v>
      </c>
      <c r="AI23493" s="831">
        <v>0</v>
      </c>
      <c r="AJ23493" s="835">
        <v>41213</v>
      </c>
      <c r="AK23493" s="831">
        <v>1927116</v>
      </c>
    </row>
    <row r="23494" spans="32:37">
      <c r="AF23494" s="831" t="s">
        <v>10617</v>
      </c>
      <c r="AG23494" s="831" t="s">
        <v>2674</v>
      </c>
      <c r="AH23494" s="831" t="s">
        <v>546</v>
      </c>
      <c r="AI23494" s="831">
        <v>0</v>
      </c>
      <c r="AJ23494" s="835">
        <v>41243</v>
      </c>
      <c r="AK23494" s="831">
        <v>394083786</v>
      </c>
    </row>
    <row r="23495" spans="32:37">
      <c r="AF23495" s="831" t="s">
        <v>10618</v>
      </c>
      <c r="AG23495" s="831" t="s">
        <v>2674</v>
      </c>
      <c r="AH23495" s="831" t="s">
        <v>370</v>
      </c>
      <c r="AI23495" s="831">
        <v>0</v>
      </c>
      <c r="AJ23495" s="835">
        <v>41243</v>
      </c>
      <c r="AK23495" s="831">
        <v>468781857</v>
      </c>
    </row>
    <row r="23496" spans="32:37">
      <c r="AF23496" s="831" t="s">
        <v>10619</v>
      </c>
      <c r="AG23496" s="831" t="s">
        <v>2674</v>
      </c>
      <c r="AH23496" s="831" t="s">
        <v>126</v>
      </c>
      <c r="AI23496" s="831">
        <v>0</v>
      </c>
      <c r="AJ23496" s="835">
        <v>41243</v>
      </c>
      <c r="AK23496" s="831">
        <v>101856827</v>
      </c>
    </row>
    <row r="23497" spans="32:37">
      <c r="AF23497" s="831" t="s">
        <v>10620</v>
      </c>
      <c r="AG23497" s="831" t="s">
        <v>2674</v>
      </c>
      <c r="AH23497" s="831" t="s">
        <v>268</v>
      </c>
      <c r="AI23497" s="831">
        <v>0</v>
      </c>
      <c r="AJ23497" s="835">
        <v>41243</v>
      </c>
      <c r="AK23497" s="831">
        <v>16533903</v>
      </c>
    </row>
    <row r="23498" spans="32:37">
      <c r="AF23498" s="831" t="s">
        <v>10621</v>
      </c>
      <c r="AG23498" s="831" t="s">
        <v>2674</v>
      </c>
      <c r="AH23498" s="831" t="s">
        <v>547</v>
      </c>
      <c r="AI23498" s="831">
        <v>0</v>
      </c>
      <c r="AJ23498" s="835">
        <v>41243</v>
      </c>
      <c r="AK23498" s="831">
        <v>0</v>
      </c>
    </row>
    <row r="23499" spans="32:37">
      <c r="AF23499" s="831" t="s">
        <v>10622</v>
      </c>
      <c r="AG23499" s="831" t="s">
        <v>2674</v>
      </c>
      <c r="AH23499" s="831" t="s">
        <v>548</v>
      </c>
      <c r="AI23499" s="831">
        <v>0</v>
      </c>
      <c r="AJ23499" s="835">
        <v>41243</v>
      </c>
      <c r="AK23499" s="831">
        <v>0</v>
      </c>
    </row>
    <row r="23500" spans="32:37">
      <c r="AF23500" s="831" t="s">
        <v>10623</v>
      </c>
      <c r="AG23500" s="831" t="s">
        <v>2674</v>
      </c>
      <c r="AH23500" s="831" t="s">
        <v>549</v>
      </c>
      <c r="AI23500" s="831">
        <v>0</v>
      </c>
      <c r="AJ23500" s="835">
        <v>41243</v>
      </c>
      <c r="AK23500" s="831">
        <v>0</v>
      </c>
    </row>
    <row r="23501" spans="32:37">
      <c r="AF23501" s="831" t="s">
        <v>10624</v>
      </c>
      <c r="AG23501" s="831" t="s">
        <v>2674</v>
      </c>
      <c r="AH23501" s="831" t="s">
        <v>192</v>
      </c>
      <c r="AI23501" s="831">
        <v>0</v>
      </c>
      <c r="AJ23501" s="835">
        <v>41243</v>
      </c>
      <c r="AK23501" s="831">
        <v>-10079693</v>
      </c>
    </row>
    <row r="23502" spans="32:37">
      <c r="AF23502" s="831" t="s">
        <v>10625</v>
      </c>
      <c r="AG23502" s="831" t="s">
        <v>2674</v>
      </c>
      <c r="AH23502" s="831" t="s">
        <v>558</v>
      </c>
      <c r="AI23502" s="831">
        <v>0</v>
      </c>
      <c r="AJ23502" s="835">
        <v>41243</v>
      </c>
      <c r="AK23502" s="831">
        <v>366925030</v>
      </c>
    </row>
    <row r="23503" spans="32:37">
      <c r="AF23503" s="831" t="s">
        <v>10626</v>
      </c>
      <c r="AG23503" s="831" t="s">
        <v>2674</v>
      </c>
      <c r="AH23503" s="831" t="s">
        <v>65</v>
      </c>
      <c r="AI23503" s="831">
        <v>0</v>
      </c>
      <c r="AJ23503" s="835">
        <v>41243</v>
      </c>
      <c r="AK23503" s="831">
        <v>89510969</v>
      </c>
    </row>
    <row r="23504" spans="32:37">
      <c r="AF23504" s="831" t="s">
        <v>10627</v>
      </c>
      <c r="AG23504" s="831" t="s">
        <v>2674</v>
      </c>
      <c r="AH23504" s="831" t="s">
        <v>89</v>
      </c>
      <c r="AI23504" s="831">
        <v>0</v>
      </c>
      <c r="AJ23504" s="835">
        <v>41243</v>
      </c>
      <c r="AK23504" s="831">
        <v>123534</v>
      </c>
    </row>
    <row r="23505" spans="32:37">
      <c r="AF23505" s="831" t="s">
        <v>10628</v>
      </c>
      <c r="AG23505" s="831" t="s">
        <v>2674</v>
      </c>
      <c r="AH23505" s="831" t="s">
        <v>557</v>
      </c>
      <c r="AI23505" s="831">
        <v>0</v>
      </c>
      <c r="AJ23505" s="835">
        <v>41243</v>
      </c>
      <c r="AK23505" s="831">
        <v>125715</v>
      </c>
    </row>
    <row r="23506" spans="32:37">
      <c r="AF23506" s="831" t="s">
        <v>10629</v>
      </c>
      <c r="AG23506" s="831" t="s">
        <v>2674</v>
      </c>
      <c r="AH23506" s="831" t="s">
        <v>29</v>
      </c>
      <c r="AI23506" s="831">
        <v>0</v>
      </c>
      <c r="AJ23506" s="835">
        <v>41243</v>
      </c>
      <c r="AK23506" s="831">
        <v>2094921</v>
      </c>
    </row>
    <row r="23507" spans="32:37">
      <c r="AF23507" s="831" t="s">
        <v>10630</v>
      </c>
      <c r="AG23507" s="831" t="s">
        <v>2674</v>
      </c>
      <c r="AH23507" s="831" t="s">
        <v>2688</v>
      </c>
      <c r="AI23507" s="831">
        <v>0</v>
      </c>
      <c r="AJ23507" s="835">
        <v>41243</v>
      </c>
      <c r="AK23507" s="831">
        <v>2867819</v>
      </c>
    </row>
    <row r="23508" spans="32:37">
      <c r="AF23508" s="831" t="s">
        <v>10631</v>
      </c>
      <c r="AG23508" s="831" t="s">
        <v>2674</v>
      </c>
      <c r="AH23508" s="831" t="s">
        <v>556</v>
      </c>
      <c r="AI23508" s="831">
        <v>0</v>
      </c>
      <c r="AJ23508" s="835">
        <v>41243</v>
      </c>
      <c r="AK23508" s="831">
        <v>902857</v>
      </c>
    </row>
    <row r="23509" spans="32:37">
      <c r="AF23509" s="831" t="s">
        <v>10632</v>
      </c>
      <c r="AG23509" s="831" t="s">
        <v>2674</v>
      </c>
      <c r="AH23509" s="831" t="s">
        <v>555</v>
      </c>
      <c r="AI23509" s="831">
        <v>0</v>
      </c>
      <c r="AJ23509" s="835">
        <v>41243</v>
      </c>
      <c r="AK23509" s="831">
        <v>236413970</v>
      </c>
    </row>
    <row r="23510" spans="32:37">
      <c r="AF23510" s="831" t="s">
        <v>10633</v>
      </c>
      <c r="AG23510" s="831" t="s">
        <v>2674</v>
      </c>
      <c r="AH23510" s="831" t="s">
        <v>554</v>
      </c>
      <c r="AI23510" s="831">
        <v>0</v>
      </c>
      <c r="AJ23510" s="835">
        <v>41243</v>
      </c>
      <c r="AK23510" s="831">
        <v>238298670</v>
      </c>
    </row>
    <row r="23511" spans="32:37">
      <c r="AF23511" s="831" t="s">
        <v>10634</v>
      </c>
      <c r="AG23511" s="831" t="s">
        <v>2674</v>
      </c>
      <c r="AH23511" s="831" t="s">
        <v>553</v>
      </c>
      <c r="AI23511" s="831">
        <v>0</v>
      </c>
      <c r="AJ23511" s="835">
        <v>41243</v>
      </c>
      <c r="AK23511" s="831">
        <v>0</v>
      </c>
    </row>
    <row r="23512" spans="32:37">
      <c r="AF23512" s="831" t="s">
        <v>10635</v>
      </c>
      <c r="AG23512" s="831" t="s">
        <v>2674</v>
      </c>
      <c r="AH23512" s="831" t="s">
        <v>552</v>
      </c>
      <c r="AI23512" s="831">
        <v>0</v>
      </c>
      <c r="AJ23512" s="835">
        <v>41243</v>
      </c>
      <c r="AK23512" s="831">
        <v>0</v>
      </c>
    </row>
    <row r="23513" spans="32:37">
      <c r="AF23513" s="831" t="s">
        <v>10636</v>
      </c>
      <c r="AG23513" s="831" t="s">
        <v>2674</v>
      </c>
      <c r="AH23513" s="831" t="s">
        <v>551</v>
      </c>
      <c r="AI23513" s="831">
        <v>0</v>
      </c>
      <c r="AJ23513" s="835">
        <v>41243</v>
      </c>
      <c r="AK23513" s="831">
        <v>1916351</v>
      </c>
    </row>
    <row r="23514" spans="32:37">
      <c r="AF23514" s="831" t="s">
        <v>10637</v>
      </c>
      <c r="AG23514" s="831" t="s">
        <v>2674</v>
      </c>
      <c r="AH23514" s="831" t="s">
        <v>550</v>
      </c>
      <c r="AI23514" s="831">
        <v>0</v>
      </c>
      <c r="AJ23514" s="835">
        <v>41243</v>
      </c>
      <c r="AK23514" s="831">
        <v>99431431</v>
      </c>
    </row>
    <row r="23515" spans="32:37">
      <c r="AF23515" s="831" t="s">
        <v>10638</v>
      </c>
      <c r="AG23515" s="831" t="s">
        <v>2674</v>
      </c>
      <c r="AH23515" s="831" t="s">
        <v>562</v>
      </c>
      <c r="AI23515" s="831">
        <v>0</v>
      </c>
      <c r="AJ23515" s="835">
        <v>41243</v>
      </c>
      <c r="AK23515" s="831">
        <v>0.78415000000000001</v>
      </c>
    </row>
    <row r="23516" spans="32:37">
      <c r="AF23516" s="831" t="s">
        <v>10639</v>
      </c>
      <c r="AG23516" s="831" t="s">
        <v>2674</v>
      </c>
      <c r="AH23516" s="831" t="s">
        <v>2698</v>
      </c>
      <c r="AI23516" s="831">
        <v>0</v>
      </c>
      <c r="AJ23516" s="835">
        <v>41243</v>
      </c>
      <c r="AK23516" s="831">
        <v>0.78434999999999999</v>
      </c>
    </row>
    <row r="23517" spans="32:37">
      <c r="AF23517" s="831" t="s">
        <v>10640</v>
      </c>
      <c r="AG23517" s="831" t="s">
        <v>2674</v>
      </c>
      <c r="AH23517" s="831" t="s">
        <v>560</v>
      </c>
      <c r="AI23517" s="831">
        <v>0</v>
      </c>
      <c r="AJ23517" s="835">
        <v>41243</v>
      </c>
      <c r="AK23517" s="831">
        <v>0.7851499999999999</v>
      </c>
    </row>
    <row r="23518" spans="32:37">
      <c r="AF23518" s="831" t="s">
        <v>10641</v>
      </c>
      <c r="AG23518" s="831" t="s">
        <v>2674</v>
      </c>
      <c r="AH23518" s="831" t="s">
        <v>559</v>
      </c>
      <c r="AI23518" s="831">
        <v>0</v>
      </c>
      <c r="AJ23518" s="835">
        <v>41243</v>
      </c>
      <c r="AK23518" s="831">
        <v>0.78524166666666673</v>
      </c>
    </row>
    <row r="23519" spans="32:37">
      <c r="AF23519" s="831" t="s">
        <v>10642</v>
      </c>
      <c r="AG23519" s="831" t="s">
        <v>2674</v>
      </c>
      <c r="AH23519" s="831" t="s">
        <v>568</v>
      </c>
      <c r="AI23519" s="831">
        <v>0</v>
      </c>
      <c r="AJ23519" s="835">
        <v>41243</v>
      </c>
      <c r="AK23519" s="831">
        <v>0</v>
      </c>
    </row>
    <row r="23520" spans="32:37">
      <c r="AF23520" s="831" t="s">
        <v>10643</v>
      </c>
      <c r="AG23520" s="831" t="s">
        <v>2674</v>
      </c>
      <c r="AH23520" s="831" t="s">
        <v>569</v>
      </c>
      <c r="AI23520" s="831">
        <v>0</v>
      </c>
      <c r="AJ23520" s="835">
        <v>41243</v>
      </c>
      <c r="AK23520" s="831">
        <v>0</v>
      </c>
    </row>
    <row r="23521" spans="32:37">
      <c r="AF23521" s="831" t="s">
        <v>10644</v>
      </c>
      <c r="AG23521" s="831" t="s">
        <v>2674</v>
      </c>
      <c r="AH23521" s="831" t="s">
        <v>570</v>
      </c>
      <c r="AI23521" s="831">
        <v>0</v>
      </c>
      <c r="AJ23521" s="835">
        <v>41243</v>
      </c>
      <c r="AK23521" s="831">
        <v>0</v>
      </c>
    </row>
    <row r="23522" spans="32:37">
      <c r="AF23522" s="831" t="s">
        <v>10645</v>
      </c>
      <c r="AG23522" s="831" t="s">
        <v>2674</v>
      </c>
      <c r="AH23522" s="831" t="s">
        <v>571</v>
      </c>
      <c r="AI23522" s="831">
        <v>0</v>
      </c>
      <c r="AJ23522" s="835">
        <v>41243</v>
      </c>
      <c r="AK23522" s="831">
        <v>0</v>
      </c>
    </row>
    <row r="23523" spans="32:37">
      <c r="AF23523" s="831" t="s">
        <v>10646</v>
      </c>
      <c r="AG23523" s="831" t="s">
        <v>2674</v>
      </c>
      <c r="AH23523" s="831" t="s">
        <v>573</v>
      </c>
      <c r="AI23523" s="831">
        <v>0</v>
      </c>
      <c r="AJ23523" s="835">
        <v>41243</v>
      </c>
      <c r="AK23523" s="831">
        <v>0</v>
      </c>
    </row>
    <row r="23524" spans="32:37">
      <c r="AF23524" s="831" t="s">
        <v>10647</v>
      </c>
      <c r="AG23524" s="831" t="s">
        <v>2674</v>
      </c>
      <c r="AH23524" s="831" t="s">
        <v>574</v>
      </c>
      <c r="AI23524" s="831">
        <v>0</v>
      </c>
      <c r="AJ23524" s="835">
        <v>41243</v>
      </c>
      <c r="AK23524" s="831">
        <v>0</v>
      </c>
    </row>
    <row r="23525" spans="32:37">
      <c r="AF23525" s="831" t="s">
        <v>10648</v>
      </c>
      <c r="AG23525" s="831" t="s">
        <v>2674</v>
      </c>
      <c r="AH23525" s="831" t="s">
        <v>575</v>
      </c>
      <c r="AI23525" s="831">
        <v>0</v>
      </c>
      <c r="AJ23525" s="835">
        <v>41243</v>
      </c>
      <c r="AK23525" s="831">
        <v>0</v>
      </c>
    </row>
    <row r="23526" spans="32:37">
      <c r="AF23526" s="831" t="s">
        <v>10649</v>
      </c>
      <c r="AG23526" s="831" t="s">
        <v>2674</v>
      </c>
      <c r="AH23526" s="831" t="s">
        <v>576</v>
      </c>
      <c r="AI23526" s="831">
        <v>0</v>
      </c>
      <c r="AJ23526" s="835">
        <v>41243</v>
      </c>
      <c r="AK23526" s="831">
        <v>0</v>
      </c>
    </row>
    <row r="23527" spans="32:37">
      <c r="AF23527" s="831" t="s">
        <v>10650</v>
      </c>
      <c r="AG23527" s="831" t="s">
        <v>2674</v>
      </c>
      <c r="AH23527" s="831" t="s">
        <v>572</v>
      </c>
      <c r="AI23527" s="831">
        <v>0</v>
      </c>
      <c r="AJ23527" s="835">
        <v>41243</v>
      </c>
      <c r="AK23527" s="831">
        <v>-2146826246</v>
      </c>
    </row>
    <row r="23528" spans="32:37">
      <c r="AF23528" s="831" t="s">
        <v>10651</v>
      </c>
      <c r="AG23528" s="831" t="s">
        <v>2674</v>
      </c>
      <c r="AH23528" s="831" t="s">
        <v>577</v>
      </c>
      <c r="AI23528" s="831">
        <v>0</v>
      </c>
      <c r="AJ23528" s="835">
        <v>41243</v>
      </c>
      <c r="AK23528" s="831">
        <v>-2146826246</v>
      </c>
    </row>
    <row r="23529" spans="32:37">
      <c r="AF23529" s="831" t="s">
        <v>10652</v>
      </c>
      <c r="AG23529" s="831" t="s">
        <v>2674</v>
      </c>
      <c r="AH23529" s="831" t="s">
        <v>3042</v>
      </c>
      <c r="AI23529" s="831">
        <v>0</v>
      </c>
      <c r="AJ23529" s="835">
        <v>41243</v>
      </c>
      <c r="AK23529" s="831">
        <v>-2146826246</v>
      </c>
    </row>
    <row r="23530" spans="32:37">
      <c r="AF23530" s="831" t="s">
        <v>10653</v>
      </c>
      <c r="AG23530" s="831" t="s">
        <v>2674</v>
      </c>
      <c r="AH23530" s="831" t="s">
        <v>3044</v>
      </c>
      <c r="AI23530" s="831">
        <v>0</v>
      </c>
      <c r="AJ23530" s="835">
        <v>41243</v>
      </c>
      <c r="AK23530" s="831">
        <v>-2146826246</v>
      </c>
    </row>
    <row r="23531" spans="32:37">
      <c r="AF23531" s="831" t="s">
        <v>10654</v>
      </c>
      <c r="AG23531" s="831" t="s">
        <v>2674</v>
      </c>
      <c r="AH23531" s="831" t="s">
        <v>580</v>
      </c>
      <c r="AI23531" s="831">
        <v>0</v>
      </c>
      <c r="AJ23531" s="835">
        <v>41243</v>
      </c>
      <c r="AK23531" s="831">
        <v>-2146826246</v>
      </c>
    </row>
    <row r="23532" spans="32:37">
      <c r="AF23532" s="831" t="s">
        <v>10655</v>
      </c>
      <c r="AG23532" s="831" t="s">
        <v>2674</v>
      </c>
      <c r="AH23532" s="831" t="s">
        <v>581</v>
      </c>
      <c r="AI23532" s="831">
        <v>0</v>
      </c>
      <c r="AJ23532" s="835">
        <v>41243</v>
      </c>
      <c r="AK23532" s="831">
        <v>-2146826246</v>
      </c>
    </row>
    <row r="23533" spans="32:37">
      <c r="AF23533" s="831" t="s">
        <v>10656</v>
      </c>
      <c r="AG23533" s="831" t="s">
        <v>2674</v>
      </c>
      <c r="AH23533" s="831" t="s">
        <v>105</v>
      </c>
      <c r="AI23533" s="831">
        <v>0</v>
      </c>
      <c r="AJ23533" s="835">
        <v>41243</v>
      </c>
      <c r="AK23533" s="831">
        <v>202127506</v>
      </c>
    </row>
    <row r="23534" spans="32:37">
      <c r="AF23534" s="831" t="s">
        <v>10657</v>
      </c>
      <c r="AG23534" s="831" t="s">
        <v>2674</v>
      </c>
      <c r="AH23534" s="831" t="s">
        <v>3049</v>
      </c>
      <c r="AI23534" s="831">
        <v>0</v>
      </c>
      <c r="AJ23534" s="835">
        <v>41243</v>
      </c>
      <c r="AK23534" s="831">
        <v>355103629</v>
      </c>
    </row>
    <row r="23535" spans="32:37">
      <c r="AF23535" s="831" t="s">
        <v>10658</v>
      </c>
      <c r="AG23535" s="831" t="s">
        <v>2674</v>
      </c>
      <c r="AH23535" s="831" t="s">
        <v>103</v>
      </c>
      <c r="AI23535" s="831">
        <v>0</v>
      </c>
      <c r="AJ23535" s="835">
        <v>41243</v>
      </c>
      <c r="AK23535" s="831">
        <v>152976123</v>
      </c>
    </row>
    <row r="23536" spans="32:37">
      <c r="AF23536" s="831" t="s">
        <v>10659</v>
      </c>
      <c r="AG23536" s="831" t="s">
        <v>2674</v>
      </c>
      <c r="AH23536" s="831" t="s">
        <v>182</v>
      </c>
      <c r="AI23536" s="831">
        <v>0</v>
      </c>
      <c r="AJ23536" s="835">
        <v>41243</v>
      </c>
      <c r="AK23536" s="831">
        <v>50142446.18181818</v>
      </c>
    </row>
    <row r="23537" spans="32:37">
      <c r="AF23537" s="831" t="s">
        <v>10660</v>
      </c>
      <c r="AG23537" s="831" t="s">
        <v>2674</v>
      </c>
      <c r="AH23537" s="831" t="s">
        <v>6600</v>
      </c>
      <c r="AI23537" s="831">
        <v>0</v>
      </c>
      <c r="AJ23537" s="835">
        <v>41243</v>
      </c>
      <c r="AK23537" s="831">
        <v>-2146826246</v>
      </c>
    </row>
    <row r="23538" spans="32:37">
      <c r="AF23538" s="831" t="s">
        <v>10661</v>
      </c>
      <c r="AG23538" s="831" t="s">
        <v>2674</v>
      </c>
      <c r="AH23538" s="831" t="s">
        <v>6602</v>
      </c>
      <c r="AI23538" s="831">
        <v>0</v>
      </c>
      <c r="AJ23538" s="835">
        <v>41243</v>
      </c>
      <c r="AK23538" s="831">
        <v>16533903</v>
      </c>
    </row>
    <row r="23539" spans="32:37">
      <c r="AF23539" s="831" t="s">
        <v>10662</v>
      </c>
      <c r="AG23539" s="831" t="s">
        <v>2674</v>
      </c>
      <c r="AH23539" s="831" t="s">
        <v>650</v>
      </c>
      <c r="AI23539" s="831">
        <v>0</v>
      </c>
      <c r="AJ23539" s="835">
        <v>41243</v>
      </c>
      <c r="AK23539" s="831">
        <v>0</v>
      </c>
    </row>
    <row r="23540" spans="32:37">
      <c r="AF23540" s="831" t="s">
        <v>10663</v>
      </c>
      <c r="AG23540" s="831" t="s">
        <v>2674</v>
      </c>
      <c r="AH23540" s="831" t="s">
        <v>655</v>
      </c>
      <c r="AI23540" s="831">
        <v>0</v>
      </c>
      <c r="AJ23540" s="835">
        <v>41243</v>
      </c>
      <c r="AK23540" s="831">
        <v>1720042</v>
      </c>
    </row>
    <row r="23541" spans="32:37">
      <c r="AF23541" s="831" t="s">
        <v>10664</v>
      </c>
      <c r="AG23541" s="831" t="s">
        <v>2674</v>
      </c>
      <c r="AH23541" s="831" t="s">
        <v>546</v>
      </c>
      <c r="AI23541" s="831">
        <v>0</v>
      </c>
      <c r="AJ23541" s="835">
        <v>41274</v>
      </c>
      <c r="AK23541" s="831">
        <v>412125624</v>
      </c>
    </row>
    <row r="23542" spans="32:37">
      <c r="AF23542" s="831" t="s">
        <v>10665</v>
      </c>
      <c r="AG23542" s="831" t="s">
        <v>2674</v>
      </c>
      <c r="AH23542" s="831" t="s">
        <v>370</v>
      </c>
      <c r="AI23542" s="831">
        <v>0</v>
      </c>
      <c r="AJ23542" s="835">
        <v>41274</v>
      </c>
      <c r="AK23542" s="831">
        <v>515268910</v>
      </c>
    </row>
    <row r="23543" spans="32:37">
      <c r="AF23543" s="831" t="s">
        <v>10666</v>
      </c>
      <c r="AG23543" s="831" t="s">
        <v>2674</v>
      </c>
      <c r="AH23543" s="831" t="s">
        <v>126</v>
      </c>
      <c r="AI23543" s="831">
        <v>0</v>
      </c>
      <c r="AJ23543" s="835">
        <v>41274</v>
      </c>
      <c r="AK23543" s="831">
        <v>101162875</v>
      </c>
    </row>
    <row r="23544" spans="32:37">
      <c r="AF23544" s="831" t="s">
        <v>10667</v>
      </c>
      <c r="AG23544" s="831" t="s">
        <v>2674</v>
      </c>
      <c r="AH23544" s="831" t="s">
        <v>268</v>
      </c>
      <c r="AI23544" s="831">
        <v>0</v>
      </c>
      <c r="AJ23544" s="835">
        <v>41274</v>
      </c>
      <c r="AK23544" s="831">
        <v>15839951</v>
      </c>
    </row>
    <row r="23545" spans="32:37">
      <c r="AF23545" s="831" t="s">
        <v>10668</v>
      </c>
      <c r="AG23545" s="831" t="s">
        <v>2674</v>
      </c>
      <c r="AH23545" s="831" t="s">
        <v>547</v>
      </c>
      <c r="AI23545" s="831">
        <v>0</v>
      </c>
      <c r="AJ23545" s="835">
        <v>41274</v>
      </c>
      <c r="AK23545" s="831">
        <v>0</v>
      </c>
    </row>
    <row r="23546" spans="32:37">
      <c r="AF23546" s="831" t="s">
        <v>10669</v>
      </c>
      <c r="AG23546" s="831" t="s">
        <v>2674</v>
      </c>
      <c r="AH23546" s="831" t="s">
        <v>548</v>
      </c>
      <c r="AI23546" s="831">
        <v>0</v>
      </c>
      <c r="AJ23546" s="835">
        <v>41274</v>
      </c>
      <c r="AK23546" s="831">
        <v>0</v>
      </c>
    </row>
    <row r="23547" spans="32:37">
      <c r="AF23547" s="831" t="s">
        <v>10670</v>
      </c>
      <c r="AG23547" s="831" t="s">
        <v>2674</v>
      </c>
      <c r="AH23547" s="831" t="s">
        <v>549</v>
      </c>
      <c r="AI23547" s="831">
        <v>0</v>
      </c>
      <c r="AJ23547" s="835">
        <v>41274</v>
      </c>
      <c r="AK23547" s="831">
        <v>0</v>
      </c>
    </row>
    <row r="23548" spans="32:37">
      <c r="AF23548" s="831" t="s">
        <v>10671</v>
      </c>
      <c r="AG23548" s="831" t="s">
        <v>2674</v>
      </c>
      <c r="AH23548" s="831" t="s">
        <v>192</v>
      </c>
      <c r="AI23548" s="831">
        <v>0</v>
      </c>
      <c r="AJ23548" s="835">
        <v>41274</v>
      </c>
      <c r="AK23548" s="831">
        <v>-10390612</v>
      </c>
    </row>
    <row r="23549" spans="32:37">
      <c r="AF23549" s="831" t="s">
        <v>10672</v>
      </c>
      <c r="AG23549" s="831" t="s">
        <v>2674</v>
      </c>
      <c r="AH23549" s="831" t="s">
        <v>558</v>
      </c>
      <c r="AI23549" s="831">
        <v>0</v>
      </c>
      <c r="AJ23549" s="835">
        <v>41274</v>
      </c>
      <c r="AK23549" s="831">
        <v>414106035</v>
      </c>
    </row>
    <row r="23550" spans="32:37">
      <c r="AF23550" s="831" t="s">
        <v>10673</v>
      </c>
      <c r="AG23550" s="831" t="s">
        <v>2674</v>
      </c>
      <c r="AH23550" s="831" t="s">
        <v>65</v>
      </c>
      <c r="AI23550" s="831">
        <v>0</v>
      </c>
      <c r="AJ23550" s="835">
        <v>41274</v>
      </c>
      <c r="AK23550" s="831">
        <v>98876380</v>
      </c>
    </row>
    <row r="23551" spans="32:37">
      <c r="AF23551" s="831" t="s">
        <v>10674</v>
      </c>
      <c r="AG23551" s="831" t="s">
        <v>2674</v>
      </c>
      <c r="AH23551" s="831" t="s">
        <v>89</v>
      </c>
      <c r="AI23551" s="831">
        <v>0</v>
      </c>
      <c r="AJ23551" s="835">
        <v>41274</v>
      </c>
      <c r="AK23551" s="831">
        <v>124397</v>
      </c>
    </row>
    <row r="23552" spans="32:37">
      <c r="AF23552" s="831" t="s">
        <v>10675</v>
      </c>
      <c r="AG23552" s="831" t="s">
        <v>2674</v>
      </c>
      <c r="AH23552" s="831" t="s">
        <v>557</v>
      </c>
      <c r="AI23552" s="831">
        <v>0</v>
      </c>
      <c r="AJ23552" s="835">
        <v>41274</v>
      </c>
      <c r="AK23552" s="831">
        <v>127200</v>
      </c>
    </row>
    <row r="23553" spans="32:37">
      <c r="AF23553" s="831" t="s">
        <v>10676</v>
      </c>
      <c r="AG23553" s="831" t="s">
        <v>2674</v>
      </c>
      <c r="AH23553" s="831" t="s">
        <v>29</v>
      </c>
      <c r="AI23553" s="831">
        <v>0</v>
      </c>
      <c r="AJ23553" s="835">
        <v>41274</v>
      </c>
      <c r="AK23553" s="831">
        <v>1921756</v>
      </c>
    </row>
    <row r="23554" spans="32:37">
      <c r="AF23554" s="831" t="s">
        <v>10677</v>
      </c>
      <c r="AG23554" s="831" t="s">
        <v>2674</v>
      </c>
      <c r="AH23554" s="831" t="s">
        <v>2688</v>
      </c>
      <c r="AI23554" s="831">
        <v>0</v>
      </c>
      <c r="AJ23554" s="835">
        <v>41274</v>
      </c>
      <c r="AK23554" s="831">
        <v>2457254</v>
      </c>
    </row>
    <row r="23555" spans="32:37">
      <c r="AF23555" s="831" t="s">
        <v>10678</v>
      </c>
      <c r="AG23555" s="831" t="s">
        <v>2674</v>
      </c>
      <c r="AH23555" s="831" t="s">
        <v>556</v>
      </c>
      <c r="AI23555" s="831">
        <v>0</v>
      </c>
      <c r="AJ23555" s="835">
        <v>41274</v>
      </c>
      <c r="AK23555" s="831">
        <v>902857</v>
      </c>
    </row>
    <row r="23556" spans="32:37">
      <c r="AF23556" s="831" t="s">
        <v>10679</v>
      </c>
      <c r="AG23556" s="831" t="s">
        <v>2674</v>
      </c>
      <c r="AH23556" s="831" t="s">
        <v>555</v>
      </c>
      <c r="AI23556" s="831">
        <v>0</v>
      </c>
      <c r="AJ23556" s="835">
        <v>41274</v>
      </c>
      <c r="AK23556" s="831">
        <v>274948010</v>
      </c>
    </row>
    <row r="23557" spans="32:37">
      <c r="AF23557" s="831" t="s">
        <v>10680</v>
      </c>
      <c r="AG23557" s="831" t="s">
        <v>2674</v>
      </c>
      <c r="AH23557" s="831" t="s">
        <v>554</v>
      </c>
      <c r="AI23557" s="831">
        <v>0</v>
      </c>
      <c r="AJ23557" s="835">
        <v>41274</v>
      </c>
      <c r="AK23557" s="831">
        <v>273069880</v>
      </c>
    </row>
    <row r="23558" spans="32:37">
      <c r="AF23558" s="831" t="s">
        <v>10681</v>
      </c>
      <c r="AG23558" s="831" t="s">
        <v>2674</v>
      </c>
      <c r="AH23558" s="831" t="s">
        <v>553</v>
      </c>
      <c r="AI23558" s="831">
        <v>0</v>
      </c>
      <c r="AJ23558" s="835">
        <v>41274</v>
      </c>
      <c r="AK23558" s="831">
        <v>0</v>
      </c>
    </row>
    <row r="23559" spans="32:37">
      <c r="AF23559" s="831" t="s">
        <v>10682</v>
      </c>
      <c r="AG23559" s="831" t="s">
        <v>2674</v>
      </c>
      <c r="AH23559" s="831" t="s">
        <v>552</v>
      </c>
      <c r="AI23559" s="831">
        <v>0</v>
      </c>
      <c r="AJ23559" s="835">
        <v>41274</v>
      </c>
      <c r="AK23559" s="831">
        <v>0</v>
      </c>
    </row>
    <row r="23560" spans="32:37">
      <c r="AF23560" s="831" t="s">
        <v>10683</v>
      </c>
      <c r="AG23560" s="831" t="s">
        <v>2674</v>
      </c>
      <c r="AH23560" s="831" t="s">
        <v>551</v>
      </c>
      <c r="AI23560" s="831">
        <v>0</v>
      </c>
      <c r="AJ23560" s="835">
        <v>41274</v>
      </c>
      <c r="AK23560" s="831">
        <v>1740472</v>
      </c>
    </row>
    <row r="23561" spans="32:37">
      <c r="AF23561" s="831" t="s">
        <v>10684</v>
      </c>
      <c r="AG23561" s="831" t="s">
        <v>2674</v>
      </c>
      <c r="AH23561" s="831" t="s">
        <v>550</v>
      </c>
      <c r="AI23561" s="831">
        <v>0</v>
      </c>
      <c r="AJ23561" s="835">
        <v>41274</v>
      </c>
      <c r="AK23561" s="831">
        <v>101856827</v>
      </c>
    </row>
    <row r="23562" spans="32:37">
      <c r="AF23562" s="831" t="s">
        <v>10685</v>
      </c>
      <c r="AG23562" s="831" t="s">
        <v>2674</v>
      </c>
      <c r="AH23562" s="831" t="s">
        <v>562</v>
      </c>
      <c r="AI23562" s="831">
        <v>0</v>
      </c>
      <c r="AJ23562" s="835">
        <v>41274</v>
      </c>
      <c r="AK23562" s="831">
        <v>0.78400000000000003</v>
      </c>
    </row>
    <row r="23563" spans="32:37">
      <c r="AF23563" s="831" t="s">
        <v>10686</v>
      </c>
      <c r="AG23563" s="831" t="s">
        <v>2674</v>
      </c>
      <c r="AH23563" s="831" t="s">
        <v>2698</v>
      </c>
      <c r="AI23563" s="831">
        <v>0</v>
      </c>
      <c r="AJ23563" s="835">
        <v>41274</v>
      </c>
      <c r="AK23563" s="831">
        <v>0.78415000000000001</v>
      </c>
    </row>
    <row r="23564" spans="32:37">
      <c r="AF23564" s="831" t="s">
        <v>10687</v>
      </c>
      <c r="AG23564" s="831" t="s">
        <v>2674</v>
      </c>
      <c r="AH23564" s="831" t="s">
        <v>560</v>
      </c>
      <c r="AI23564" s="831">
        <v>0</v>
      </c>
      <c r="AJ23564" s="835">
        <v>41274</v>
      </c>
      <c r="AK23564" s="831">
        <v>0.7850541666666665</v>
      </c>
    </row>
    <row r="23565" spans="32:37">
      <c r="AF23565" s="831" t="s">
        <v>10688</v>
      </c>
      <c r="AG23565" s="831" t="s">
        <v>2674</v>
      </c>
      <c r="AH23565" s="831" t="s">
        <v>559</v>
      </c>
      <c r="AI23565" s="831">
        <v>0</v>
      </c>
      <c r="AJ23565" s="835">
        <v>41274</v>
      </c>
      <c r="AK23565" s="831">
        <v>0.7850541666666665</v>
      </c>
    </row>
    <row r="23566" spans="32:37">
      <c r="AF23566" s="831" t="s">
        <v>10689</v>
      </c>
      <c r="AG23566" s="831" t="s">
        <v>2674</v>
      </c>
      <c r="AH23566" s="831" t="s">
        <v>568</v>
      </c>
      <c r="AI23566" s="831">
        <v>0</v>
      </c>
      <c r="AJ23566" s="835">
        <v>41274</v>
      </c>
      <c r="AK23566" s="831">
        <v>0</v>
      </c>
    </row>
    <row r="23567" spans="32:37">
      <c r="AF23567" s="831" t="s">
        <v>10690</v>
      </c>
      <c r="AG23567" s="831" t="s">
        <v>2674</v>
      </c>
      <c r="AH23567" s="831" t="s">
        <v>569</v>
      </c>
      <c r="AI23567" s="831">
        <v>0</v>
      </c>
      <c r="AJ23567" s="835">
        <v>41274</v>
      </c>
      <c r="AK23567" s="831">
        <v>0</v>
      </c>
    </row>
    <row r="23568" spans="32:37">
      <c r="AF23568" s="831" t="s">
        <v>10691</v>
      </c>
      <c r="AG23568" s="831" t="s">
        <v>2674</v>
      </c>
      <c r="AH23568" s="831" t="s">
        <v>570</v>
      </c>
      <c r="AI23568" s="831">
        <v>0</v>
      </c>
      <c r="AJ23568" s="835">
        <v>41274</v>
      </c>
      <c r="AK23568" s="831">
        <v>0</v>
      </c>
    </row>
    <row r="23569" spans="32:37">
      <c r="AF23569" s="831" t="s">
        <v>10692</v>
      </c>
      <c r="AG23569" s="831" t="s">
        <v>2674</v>
      </c>
      <c r="AH23569" s="831" t="s">
        <v>571</v>
      </c>
      <c r="AI23569" s="831">
        <v>0</v>
      </c>
      <c r="AJ23569" s="835">
        <v>41274</v>
      </c>
      <c r="AK23569" s="831">
        <v>0</v>
      </c>
    </row>
    <row r="23570" spans="32:37">
      <c r="AF23570" s="831" t="s">
        <v>10693</v>
      </c>
      <c r="AG23570" s="831" t="s">
        <v>2674</v>
      </c>
      <c r="AH23570" s="831" t="s">
        <v>573</v>
      </c>
      <c r="AI23570" s="831">
        <v>0</v>
      </c>
      <c r="AJ23570" s="835">
        <v>41274</v>
      </c>
      <c r="AK23570" s="831">
        <v>-2146826265</v>
      </c>
    </row>
    <row r="23571" spans="32:37">
      <c r="AF23571" s="831" t="s">
        <v>10694</v>
      </c>
      <c r="AG23571" s="831" t="s">
        <v>2674</v>
      </c>
      <c r="AH23571" s="831" t="s">
        <v>574</v>
      </c>
      <c r="AI23571" s="831">
        <v>0</v>
      </c>
      <c r="AJ23571" s="835">
        <v>41274</v>
      </c>
      <c r="AK23571" s="831">
        <v>-2146826265</v>
      </c>
    </row>
    <row r="23572" spans="32:37">
      <c r="AF23572" s="831" t="s">
        <v>10695</v>
      </c>
      <c r="AG23572" s="831" t="s">
        <v>2674</v>
      </c>
      <c r="AH23572" s="831" t="s">
        <v>575</v>
      </c>
      <c r="AI23572" s="831">
        <v>0</v>
      </c>
      <c r="AJ23572" s="835">
        <v>41274</v>
      </c>
      <c r="AK23572" s="831">
        <v>-2146826265</v>
      </c>
    </row>
    <row r="23573" spans="32:37">
      <c r="AF23573" s="831" t="s">
        <v>10696</v>
      </c>
      <c r="AG23573" s="831" t="s">
        <v>2674</v>
      </c>
      <c r="AH23573" s="831" t="s">
        <v>576</v>
      </c>
      <c r="AI23573" s="831">
        <v>0</v>
      </c>
      <c r="AJ23573" s="835">
        <v>41274</v>
      </c>
      <c r="AK23573" s="831">
        <v>-2146826265</v>
      </c>
    </row>
    <row r="23574" spans="32:37">
      <c r="AF23574" s="831" t="s">
        <v>10697</v>
      </c>
      <c r="AG23574" s="831" t="s">
        <v>2674</v>
      </c>
      <c r="AH23574" s="831" t="s">
        <v>572</v>
      </c>
      <c r="AI23574" s="831">
        <v>0</v>
      </c>
      <c r="AJ23574" s="835">
        <v>41274</v>
      </c>
      <c r="AK23574" s="831">
        <v>-2146826246</v>
      </c>
    </row>
    <row r="23575" spans="32:37">
      <c r="AF23575" s="831" t="s">
        <v>10698</v>
      </c>
      <c r="AG23575" s="831" t="s">
        <v>2674</v>
      </c>
      <c r="AH23575" s="831" t="s">
        <v>577</v>
      </c>
      <c r="AI23575" s="831">
        <v>0</v>
      </c>
      <c r="AJ23575" s="835">
        <v>41274</v>
      </c>
      <c r="AK23575" s="831">
        <v>-2146826246</v>
      </c>
    </row>
    <row r="23576" spans="32:37">
      <c r="AF23576" s="831" t="s">
        <v>10699</v>
      </c>
      <c r="AG23576" s="831" t="s">
        <v>2674</v>
      </c>
      <c r="AH23576" s="831" t="s">
        <v>3042</v>
      </c>
      <c r="AI23576" s="831">
        <v>0</v>
      </c>
      <c r="AJ23576" s="835">
        <v>41274</v>
      </c>
      <c r="AK23576" s="831">
        <v>-2146826246</v>
      </c>
    </row>
    <row r="23577" spans="32:37">
      <c r="AF23577" s="831" t="s">
        <v>10700</v>
      </c>
      <c r="AG23577" s="831" t="s">
        <v>2674</v>
      </c>
      <c r="AH23577" s="831" t="s">
        <v>3044</v>
      </c>
      <c r="AI23577" s="831">
        <v>0</v>
      </c>
      <c r="AJ23577" s="835">
        <v>41274</v>
      </c>
      <c r="AK23577" s="831">
        <v>-2146826246</v>
      </c>
    </row>
    <row r="23578" spans="32:37">
      <c r="AF23578" s="831" t="s">
        <v>10701</v>
      </c>
      <c r="AG23578" s="831" t="s">
        <v>2674</v>
      </c>
      <c r="AH23578" s="831" t="s">
        <v>580</v>
      </c>
      <c r="AI23578" s="831">
        <v>0</v>
      </c>
      <c r="AJ23578" s="835">
        <v>41274</v>
      </c>
      <c r="AK23578" s="831">
        <v>-2146826246</v>
      </c>
    </row>
    <row r="23579" spans="32:37">
      <c r="AF23579" s="831" t="s">
        <v>10702</v>
      </c>
      <c r="AG23579" s="831" t="s">
        <v>2674</v>
      </c>
      <c r="AH23579" s="831" t="s">
        <v>581</v>
      </c>
      <c r="AI23579" s="831">
        <v>0</v>
      </c>
      <c r="AJ23579" s="835">
        <v>41274</v>
      </c>
      <c r="AK23579" s="831">
        <v>-2146826246</v>
      </c>
    </row>
    <row r="23580" spans="32:37">
      <c r="AF23580" s="831" t="s">
        <v>10703</v>
      </c>
      <c r="AG23580" s="831" t="s">
        <v>2674</v>
      </c>
      <c r="AH23580" s="831" t="s">
        <v>105</v>
      </c>
      <c r="AI23580" s="831">
        <v>0</v>
      </c>
      <c r="AJ23580" s="835">
        <v>41274</v>
      </c>
      <c r="AK23580" s="831">
        <v>237580126</v>
      </c>
    </row>
    <row r="23581" spans="32:37">
      <c r="AF23581" s="831" t="s">
        <v>10704</v>
      </c>
      <c r="AG23581" s="831" t="s">
        <v>2674</v>
      </c>
      <c r="AH23581" s="831" t="s">
        <v>3049</v>
      </c>
      <c r="AI23581" s="831">
        <v>0</v>
      </c>
      <c r="AJ23581" s="835">
        <v>41274</v>
      </c>
      <c r="AK23581" s="831">
        <v>400647257</v>
      </c>
    </row>
    <row r="23582" spans="32:37">
      <c r="AF23582" s="831" t="s">
        <v>10705</v>
      </c>
      <c r="AG23582" s="831" t="s">
        <v>2674</v>
      </c>
      <c r="AH23582" s="831" t="s">
        <v>103</v>
      </c>
      <c r="AI23582" s="831">
        <v>0</v>
      </c>
      <c r="AJ23582" s="835">
        <v>41274</v>
      </c>
      <c r="AK23582" s="831">
        <v>163067131</v>
      </c>
    </row>
    <row r="23583" spans="32:37">
      <c r="AF23583" s="831" t="s">
        <v>10706</v>
      </c>
      <c r="AG23583" s="831" t="s">
        <v>2674</v>
      </c>
      <c r="AH23583" s="831" t="s">
        <v>182</v>
      </c>
      <c r="AI23583" s="831">
        <v>0</v>
      </c>
      <c r="AJ23583" s="835">
        <v>41274</v>
      </c>
      <c r="AK23583" s="831">
        <v>53318071</v>
      </c>
    </row>
    <row r="23584" spans="32:37">
      <c r="AF23584" s="831" t="s">
        <v>10707</v>
      </c>
      <c r="AG23584" s="831" t="s">
        <v>2674</v>
      </c>
      <c r="AH23584" s="831" t="s">
        <v>6600</v>
      </c>
      <c r="AI23584" s="831">
        <v>0</v>
      </c>
      <c r="AJ23584" s="835">
        <v>41274</v>
      </c>
      <c r="AK23584" s="831">
        <v>-2146826246</v>
      </c>
    </row>
    <row r="23585" spans="32:37">
      <c r="AF23585" s="831" t="s">
        <v>10708</v>
      </c>
      <c r="AG23585" s="831" t="s">
        <v>2674</v>
      </c>
      <c r="AH23585" s="831" t="s">
        <v>6602</v>
      </c>
      <c r="AI23585" s="831">
        <v>0</v>
      </c>
      <c r="AJ23585" s="835">
        <v>41274</v>
      </c>
      <c r="AK23585" s="831">
        <v>15839951</v>
      </c>
    </row>
    <row r="23586" spans="32:37">
      <c r="AF23586" s="831" t="s">
        <v>10709</v>
      </c>
      <c r="AG23586" s="831" t="s">
        <v>2674</v>
      </c>
      <c r="AH23586" s="831" t="s">
        <v>650</v>
      </c>
      <c r="AI23586" s="831">
        <v>0</v>
      </c>
      <c r="AJ23586" s="835">
        <v>41274</v>
      </c>
      <c r="AK23586" s="831">
        <v>0</v>
      </c>
    </row>
    <row r="23587" spans="32:37">
      <c r="AF23587" s="831" t="s">
        <v>10710</v>
      </c>
      <c r="AG23587" s="831" t="s">
        <v>2674</v>
      </c>
      <c r="AH23587" s="831" t="s">
        <v>655</v>
      </c>
      <c r="AI23587" s="831">
        <v>0</v>
      </c>
      <c r="AJ23587" s="835">
        <v>41274</v>
      </c>
      <c r="AK23587" s="831">
        <v>1622276</v>
      </c>
    </row>
    <row r="23588" spans="32:37">
      <c r="AF23588" s="831" t="s">
        <v>10711</v>
      </c>
      <c r="AG23588" s="831" t="s">
        <v>2674</v>
      </c>
      <c r="AH23588" s="831" t="s">
        <v>546</v>
      </c>
      <c r="AI23588" s="831">
        <v>0</v>
      </c>
      <c r="AJ23588" s="835">
        <v>41305</v>
      </c>
      <c r="AK23588" s="831">
        <v>421051783</v>
      </c>
    </row>
    <row r="23589" spans="32:37">
      <c r="AF23589" s="831" t="s">
        <v>10712</v>
      </c>
      <c r="AG23589" s="831" t="s">
        <v>2674</v>
      </c>
      <c r="AH23589" s="831" t="s">
        <v>370</v>
      </c>
      <c r="AI23589" s="831">
        <v>0</v>
      </c>
      <c r="AJ23589" s="835">
        <v>41305</v>
      </c>
      <c r="AK23589" s="831">
        <v>511487760</v>
      </c>
    </row>
    <row r="23590" spans="32:37">
      <c r="AF23590" s="831" t="s">
        <v>10713</v>
      </c>
      <c r="AG23590" s="831" t="s">
        <v>2674</v>
      </c>
      <c r="AH23590" s="831" t="s">
        <v>126</v>
      </c>
      <c r="AI23590" s="831">
        <v>0</v>
      </c>
      <c r="AJ23590" s="835">
        <v>41305</v>
      </c>
      <c r="AK23590" s="831">
        <v>96883184</v>
      </c>
    </row>
    <row r="23591" spans="32:37">
      <c r="AF23591" s="831" t="s">
        <v>10714</v>
      </c>
      <c r="AG23591" s="831" t="s">
        <v>2674</v>
      </c>
      <c r="AH23591" s="831" t="s">
        <v>268</v>
      </c>
      <c r="AI23591" s="831">
        <v>0</v>
      </c>
      <c r="AJ23591" s="835">
        <v>41305</v>
      </c>
      <c r="AK23591" s="831">
        <v>2119961</v>
      </c>
    </row>
    <row r="23592" spans="32:37">
      <c r="AF23592" s="831" t="s">
        <v>10715</v>
      </c>
      <c r="AG23592" s="831" t="s">
        <v>2674</v>
      </c>
      <c r="AH23592" s="831" t="s">
        <v>547</v>
      </c>
      <c r="AI23592" s="831">
        <v>0</v>
      </c>
      <c r="AJ23592" s="835">
        <v>41305</v>
      </c>
      <c r="AK23592" s="831">
        <v>511487760</v>
      </c>
    </row>
    <row r="23593" spans="32:37">
      <c r="AF23593" s="831" t="s">
        <v>10716</v>
      </c>
      <c r="AG23593" s="831" t="s">
        <v>2674</v>
      </c>
      <c r="AH23593" s="831" t="s">
        <v>548</v>
      </c>
      <c r="AI23593" s="831">
        <v>0</v>
      </c>
      <c r="AJ23593" s="835">
        <v>41305</v>
      </c>
      <c r="AK23593" s="831">
        <v>96883184</v>
      </c>
    </row>
    <row r="23594" spans="32:37">
      <c r="AF23594" s="831" t="s">
        <v>10717</v>
      </c>
      <c r="AG23594" s="831" t="s">
        <v>2674</v>
      </c>
      <c r="AH23594" s="831" t="s">
        <v>549</v>
      </c>
      <c r="AI23594" s="831">
        <v>0</v>
      </c>
      <c r="AJ23594" s="835">
        <v>41305</v>
      </c>
      <c r="AK23594" s="831">
        <v>0</v>
      </c>
    </row>
    <row r="23595" spans="32:37">
      <c r="AF23595" s="831" t="s">
        <v>10718</v>
      </c>
      <c r="AG23595" s="831" t="s">
        <v>2674</v>
      </c>
      <c r="AH23595" s="831" t="s">
        <v>192</v>
      </c>
      <c r="AI23595" s="831">
        <v>0</v>
      </c>
      <c r="AJ23595" s="835">
        <v>41305</v>
      </c>
      <c r="AK23595" s="831">
        <v>-10696839</v>
      </c>
    </row>
    <row r="23596" spans="32:37">
      <c r="AF23596" s="831" t="s">
        <v>10719</v>
      </c>
      <c r="AG23596" s="831" t="s">
        <v>2674</v>
      </c>
      <c r="AH23596" s="831" t="s">
        <v>558</v>
      </c>
      <c r="AI23596" s="831">
        <v>0</v>
      </c>
      <c r="AJ23596" s="835">
        <v>41305</v>
      </c>
      <c r="AK23596" s="831">
        <v>414604576</v>
      </c>
    </row>
    <row r="23597" spans="32:37">
      <c r="AF23597" s="831" t="s">
        <v>10720</v>
      </c>
      <c r="AG23597" s="831" t="s">
        <v>2674</v>
      </c>
      <c r="AH23597" s="831" t="s">
        <v>65</v>
      </c>
      <c r="AI23597" s="831">
        <v>0</v>
      </c>
      <c r="AJ23597" s="835">
        <v>41305</v>
      </c>
      <c r="AK23597" s="831">
        <v>9476383</v>
      </c>
    </row>
    <row r="23598" spans="32:37">
      <c r="AF23598" s="831" t="s">
        <v>10721</v>
      </c>
      <c r="AG23598" s="831" t="s">
        <v>2674</v>
      </c>
      <c r="AH23598" s="831" t="s">
        <v>89</v>
      </c>
      <c r="AI23598" s="831">
        <v>0</v>
      </c>
      <c r="AJ23598" s="835">
        <v>41305</v>
      </c>
      <c r="AK23598" s="831">
        <v>125947</v>
      </c>
    </row>
    <row r="23599" spans="32:37">
      <c r="AF23599" s="831" t="s">
        <v>10722</v>
      </c>
      <c r="AG23599" s="831" t="s">
        <v>2674</v>
      </c>
      <c r="AH23599" s="831" t="s">
        <v>557</v>
      </c>
      <c r="AI23599" s="831">
        <v>0</v>
      </c>
      <c r="AJ23599" s="835">
        <v>41305</v>
      </c>
      <c r="AK23599" s="831">
        <v>128972</v>
      </c>
    </row>
    <row r="23600" spans="32:37">
      <c r="AF23600" s="831" t="s">
        <v>10723</v>
      </c>
      <c r="AG23600" s="831" t="s">
        <v>2674</v>
      </c>
      <c r="AH23600" s="831" t="s">
        <v>29</v>
      </c>
      <c r="AI23600" s="831">
        <v>0</v>
      </c>
      <c r="AJ23600" s="835">
        <v>41305</v>
      </c>
      <c r="AK23600" s="831">
        <v>1949343</v>
      </c>
    </row>
    <row r="23601" spans="32:37">
      <c r="AF23601" s="831" t="s">
        <v>10724</v>
      </c>
      <c r="AG23601" s="831" t="s">
        <v>2674</v>
      </c>
      <c r="AH23601" s="831" t="s">
        <v>2688</v>
      </c>
      <c r="AI23601" s="831">
        <v>0</v>
      </c>
      <c r="AJ23601" s="835">
        <v>41305</v>
      </c>
      <c r="AK23601" s="831">
        <v>2693419</v>
      </c>
    </row>
    <row r="23602" spans="32:37">
      <c r="AF23602" s="831" t="s">
        <v>10725</v>
      </c>
      <c r="AG23602" s="831" t="s">
        <v>2674</v>
      </c>
      <c r="AH23602" s="831" t="s">
        <v>556</v>
      </c>
      <c r="AI23602" s="831">
        <v>0</v>
      </c>
      <c r="AJ23602" s="835">
        <v>41305</v>
      </c>
      <c r="AK23602" s="831">
        <v>902857</v>
      </c>
    </row>
    <row r="23603" spans="32:37">
      <c r="AF23603" s="831" t="s">
        <v>10726</v>
      </c>
      <c r="AG23603" s="831" t="s">
        <v>2674</v>
      </c>
      <c r="AH23603" s="831" t="s">
        <v>555</v>
      </c>
      <c r="AI23603" s="831">
        <v>0</v>
      </c>
      <c r="AJ23603" s="835">
        <v>41305</v>
      </c>
      <c r="AK23603" s="831">
        <v>261608550</v>
      </c>
    </row>
    <row r="23604" spans="32:37">
      <c r="AF23604" s="831" t="s">
        <v>10727</v>
      </c>
      <c r="AG23604" s="831" t="s">
        <v>2674</v>
      </c>
      <c r="AH23604" s="831" t="s">
        <v>554</v>
      </c>
      <c r="AI23604" s="831">
        <v>0</v>
      </c>
      <c r="AJ23604" s="835">
        <v>41305</v>
      </c>
      <c r="AK23604" s="831">
        <v>265544650</v>
      </c>
    </row>
    <row r="23605" spans="32:37">
      <c r="AF23605" s="831" t="s">
        <v>10728</v>
      </c>
      <c r="AG23605" s="831" t="s">
        <v>2674</v>
      </c>
      <c r="AH23605" s="831" t="s">
        <v>553</v>
      </c>
      <c r="AI23605" s="831">
        <v>0</v>
      </c>
      <c r="AJ23605" s="835">
        <v>41305</v>
      </c>
      <c r="AK23605" s="831">
        <v>0</v>
      </c>
    </row>
    <row r="23606" spans="32:37">
      <c r="AF23606" s="831" t="s">
        <v>10729</v>
      </c>
      <c r="AG23606" s="831" t="s">
        <v>2674</v>
      </c>
      <c r="AH23606" s="831" t="s">
        <v>552</v>
      </c>
      <c r="AI23606" s="831">
        <v>0</v>
      </c>
      <c r="AJ23606" s="835">
        <v>41305</v>
      </c>
      <c r="AK23606" s="831">
        <v>0</v>
      </c>
    </row>
    <row r="23607" spans="32:37">
      <c r="AF23607" s="831" t="s">
        <v>10730</v>
      </c>
      <c r="AG23607" s="831" t="s">
        <v>2674</v>
      </c>
      <c r="AH23607" s="831" t="s">
        <v>551</v>
      </c>
      <c r="AI23607" s="831">
        <v>0</v>
      </c>
      <c r="AJ23607" s="835">
        <v>41305</v>
      </c>
      <c r="AK23607" s="831">
        <v>1906076</v>
      </c>
    </row>
    <row r="23608" spans="32:37">
      <c r="AF23608" s="831" t="s">
        <v>10731</v>
      </c>
      <c r="AG23608" s="831" t="s">
        <v>2674</v>
      </c>
      <c r="AH23608" s="831" t="s">
        <v>550</v>
      </c>
      <c r="AI23608" s="831">
        <v>0</v>
      </c>
      <c r="AJ23608" s="835">
        <v>41305</v>
      </c>
      <c r="AK23608" s="831">
        <v>101162875</v>
      </c>
    </row>
    <row r="23609" spans="32:37">
      <c r="AF23609" s="831" t="s">
        <v>10732</v>
      </c>
      <c r="AG23609" s="831" t="s">
        <v>2674</v>
      </c>
      <c r="AH23609" s="831" t="s">
        <v>562</v>
      </c>
      <c r="AI23609" s="831">
        <v>0</v>
      </c>
      <c r="AJ23609" s="835">
        <v>41305</v>
      </c>
      <c r="AK23609" s="831">
        <v>0.78385000000000005</v>
      </c>
    </row>
    <row r="23610" spans="32:37">
      <c r="AF23610" s="831" t="s">
        <v>10733</v>
      </c>
      <c r="AG23610" s="831" t="s">
        <v>2674</v>
      </c>
      <c r="AH23610" s="831" t="s">
        <v>2698</v>
      </c>
      <c r="AI23610" s="831">
        <v>0</v>
      </c>
      <c r="AJ23610" s="835">
        <v>41305</v>
      </c>
      <c r="AK23610" s="831">
        <v>0.78400000000000003</v>
      </c>
    </row>
    <row r="23611" spans="32:37">
      <c r="AF23611" s="831" t="s">
        <v>10734</v>
      </c>
      <c r="AG23611" s="831" t="s">
        <v>2674</v>
      </c>
      <c r="AH23611" s="831" t="s">
        <v>560</v>
      </c>
      <c r="AI23611" s="831">
        <v>0</v>
      </c>
      <c r="AJ23611" s="835">
        <v>41305</v>
      </c>
      <c r="AK23611" s="831">
        <v>0.78385000000000005</v>
      </c>
    </row>
    <row r="23612" spans="32:37">
      <c r="AF23612" s="831" t="s">
        <v>10735</v>
      </c>
      <c r="AG23612" s="831" t="s">
        <v>2674</v>
      </c>
      <c r="AH23612" s="831" t="s">
        <v>559</v>
      </c>
      <c r="AI23612" s="831">
        <v>0</v>
      </c>
      <c r="AJ23612" s="835">
        <v>41305</v>
      </c>
      <c r="AK23612" s="831">
        <v>0.78486250000000002</v>
      </c>
    </row>
    <row r="23613" spans="32:37">
      <c r="AF23613" s="831" t="s">
        <v>10736</v>
      </c>
      <c r="AG23613" s="831" t="s">
        <v>2674</v>
      </c>
      <c r="AH23613" s="831" t="s">
        <v>568</v>
      </c>
      <c r="AI23613" s="831">
        <v>0</v>
      </c>
      <c r="AJ23613" s="835">
        <v>41305</v>
      </c>
      <c r="AK23613" s="831">
        <v>373888864.66666669</v>
      </c>
    </row>
    <row r="23614" spans="32:37">
      <c r="AF23614" s="831" t="s">
        <v>10737</v>
      </c>
      <c r="AG23614" s="831" t="s">
        <v>2674</v>
      </c>
      <c r="AH23614" s="831" t="s">
        <v>569</v>
      </c>
      <c r="AI23614" s="831">
        <v>0</v>
      </c>
      <c r="AJ23614" s="835">
        <v>41305</v>
      </c>
      <c r="AK23614" s="831">
        <v>458979290.77777779</v>
      </c>
    </row>
    <row r="23615" spans="32:37">
      <c r="AF23615" s="831" t="s">
        <v>10738</v>
      </c>
      <c r="AG23615" s="831" t="s">
        <v>2674</v>
      </c>
      <c r="AH23615" s="831" t="s">
        <v>570</v>
      </c>
      <c r="AI23615" s="831">
        <v>0</v>
      </c>
      <c r="AJ23615" s="835">
        <v>41305</v>
      </c>
      <c r="AK23615" s="831">
        <v>96420088.555555552</v>
      </c>
    </row>
    <row r="23616" spans="32:37">
      <c r="AF23616" s="831" t="s">
        <v>10739</v>
      </c>
      <c r="AG23616" s="831" t="s">
        <v>2674</v>
      </c>
      <c r="AH23616" s="831" t="s">
        <v>571</v>
      </c>
      <c r="AI23616" s="831">
        <v>0</v>
      </c>
      <c r="AJ23616" s="835">
        <v>41305</v>
      </c>
      <c r="AK23616" s="831">
        <v>187471539.44444445</v>
      </c>
    </row>
    <row r="23617" spans="32:37">
      <c r="AF23617" s="831" t="s">
        <v>10740</v>
      </c>
      <c r="AG23617" s="831" t="s">
        <v>2674</v>
      </c>
      <c r="AH23617" s="831" t="s">
        <v>573</v>
      </c>
      <c r="AI23617" s="831">
        <v>0</v>
      </c>
      <c r="AJ23617" s="835">
        <v>41305</v>
      </c>
      <c r="AK23617" s="831">
        <v>513378335</v>
      </c>
    </row>
    <row r="23618" spans="32:37">
      <c r="AF23618" s="831" t="s">
        <v>10741</v>
      </c>
      <c r="AG23618" s="831" t="s">
        <v>2674</v>
      </c>
      <c r="AH23618" s="831" t="s">
        <v>574</v>
      </c>
      <c r="AI23618" s="831">
        <v>0</v>
      </c>
      <c r="AJ23618" s="835">
        <v>41305</v>
      </c>
      <c r="AK23618" s="831">
        <v>416588703.5</v>
      </c>
    </row>
    <row r="23619" spans="32:37">
      <c r="AF23619" s="831" t="s">
        <v>10742</v>
      </c>
      <c r="AG23619" s="831" t="s">
        <v>2674</v>
      </c>
      <c r="AH23619" s="831" t="s">
        <v>575</v>
      </c>
      <c r="AI23619" s="831">
        <v>0</v>
      </c>
      <c r="AJ23619" s="835">
        <v>41305</v>
      </c>
      <c r="AK23619" s="831">
        <v>99023029.5</v>
      </c>
    </row>
    <row r="23620" spans="32:37">
      <c r="AF23620" s="831" t="s">
        <v>10743</v>
      </c>
      <c r="AG23620" s="831" t="s">
        <v>2674</v>
      </c>
      <c r="AH23620" s="831" t="s">
        <v>576</v>
      </c>
      <c r="AI23620" s="831">
        <v>0</v>
      </c>
      <c r="AJ23620" s="835">
        <v>41305</v>
      </c>
      <c r="AK23620" s="831">
        <v>233642368.5</v>
      </c>
    </row>
    <row r="23621" spans="32:37">
      <c r="AF23621" s="831" t="s">
        <v>10744</v>
      </c>
      <c r="AG23621" s="831" t="s">
        <v>2674</v>
      </c>
      <c r="AH23621" s="831" t="s">
        <v>572</v>
      </c>
      <c r="AI23621" s="831">
        <v>0</v>
      </c>
      <c r="AJ23621" s="835">
        <v>41305</v>
      </c>
      <c r="AK23621" s="831">
        <v>-2146826246</v>
      </c>
    </row>
    <row r="23622" spans="32:37">
      <c r="AF23622" s="831" t="s">
        <v>10745</v>
      </c>
      <c r="AG23622" s="831" t="s">
        <v>2674</v>
      </c>
      <c r="AH23622" s="831" t="s">
        <v>577</v>
      </c>
      <c r="AI23622" s="831">
        <v>0</v>
      </c>
      <c r="AJ23622" s="835">
        <v>41305</v>
      </c>
      <c r="AK23622" s="831">
        <v>-2146826246</v>
      </c>
    </row>
    <row r="23623" spans="32:37">
      <c r="AF23623" s="831" t="s">
        <v>10746</v>
      </c>
      <c r="AG23623" s="831" t="s">
        <v>2674</v>
      </c>
      <c r="AH23623" s="831" t="s">
        <v>3042</v>
      </c>
      <c r="AI23623" s="831">
        <v>0</v>
      </c>
      <c r="AJ23623" s="835">
        <v>41305</v>
      </c>
      <c r="AK23623" s="831">
        <v>-2146826246</v>
      </c>
    </row>
    <row r="23624" spans="32:37">
      <c r="AF23624" s="831" t="s">
        <v>10747</v>
      </c>
      <c r="AG23624" s="831" t="s">
        <v>2674</v>
      </c>
      <c r="AH23624" s="831" t="s">
        <v>3044</v>
      </c>
      <c r="AI23624" s="831">
        <v>0</v>
      </c>
      <c r="AJ23624" s="835">
        <v>41305</v>
      </c>
      <c r="AK23624" s="831">
        <v>-2146826246</v>
      </c>
    </row>
    <row r="23625" spans="32:37">
      <c r="AF23625" s="831" t="s">
        <v>10748</v>
      </c>
      <c r="AG23625" s="831" t="s">
        <v>2674</v>
      </c>
      <c r="AH23625" s="831" t="s">
        <v>580</v>
      </c>
      <c r="AI23625" s="831">
        <v>0</v>
      </c>
      <c r="AJ23625" s="835">
        <v>41305</v>
      </c>
      <c r="AK23625" s="831">
        <v>-2146826246</v>
      </c>
    </row>
    <row r="23626" spans="32:37">
      <c r="AF23626" s="831" t="s">
        <v>10749</v>
      </c>
      <c r="AG23626" s="831" t="s">
        <v>2674</v>
      </c>
      <c r="AH23626" s="831" t="s">
        <v>581</v>
      </c>
      <c r="AI23626" s="831">
        <v>0</v>
      </c>
      <c r="AJ23626" s="835">
        <v>41305</v>
      </c>
      <c r="AK23626" s="831">
        <v>-2146826246</v>
      </c>
    </row>
    <row r="23627" spans="32:37">
      <c r="AF23627" s="831" t="s">
        <v>10750</v>
      </c>
      <c r="AG23627" s="831" t="s">
        <v>2674</v>
      </c>
      <c r="AH23627" s="831" t="s">
        <v>105</v>
      </c>
      <c r="AI23627" s="831">
        <v>0</v>
      </c>
      <c r="AJ23627" s="835">
        <v>41305</v>
      </c>
      <c r="AK23627" s="831">
        <v>229704611</v>
      </c>
    </row>
    <row r="23628" spans="32:37">
      <c r="AF23628" s="831" t="s">
        <v>10751</v>
      </c>
      <c r="AG23628" s="831" t="s">
        <v>2674</v>
      </c>
      <c r="AH23628" s="831" t="s">
        <v>3049</v>
      </c>
      <c r="AI23628" s="831">
        <v>0</v>
      </c>
      <c r="AJ23628" s="835">
        <v>41305</v>
      </c>
      <c r="AK23628" s="831">
        <v>400579663</v>
      </c>
    </row>
    <row r="23629" spans="32:37">
      <c r="AF23629" s="831" t="s">
        <v>10752</v>
      </c>
      <c r="AG23629" s="831" t="s">
        <v>2674</v>
      </c>
      <c r="AH23629" s="831" t="s">
        <v>103</v>
      </c>
      <c r="AI23629" s="831">
        <v>0</v>
      </c>
      <c r="AJ23629" s="835">
        <v>41305</v>
      </c>
      <c r="AK23629" s="831">
        <v>170875052</v>
      </c>
    </row>
    <row r="23630" spans="32:37">
      <c r="AF23630" s="831" t="s">
        <v>10753</v>
      </c>
      <c r="AG23630" s="831" t="s">
        <v>2674</v>
      </c>
      <c r="AH23630" s="831" t="s">
        <v>182</v>
      </c>
      <c r="AI23630" s="831">
        <v>0</v>
      </c>
      <c r="AJ23630" s="835">
        <v>41305</v>
      </c>
      <c r="AK23630" s="831">
        <v>57203676</v>
      </c>
    </row>
    <row r="23631" spans="32:37">
      <c r="AF23631" s="831" t="s">
        <v>10754</v>
      </c>
      <c r="AG23631" s="831" t="s">
        <v>2674</v>
      </c>
      <c r="AH23631" s="831" t="s">
        <v>6600</v>
      </c>
      <c r="AI23631" s="831">
        <v>0</v>
      </c>
      <c r="AJ23631" s="835">
        <v>41305</v>
      </c>
      <c r="AK23631" s="831">
        <v>-2146826246</v>
      </c>
    </row>
    <row r="23632" spans="32:37">
      <c r="AF23632" s="831" t="s">
        <v>10755</v>
      </c>
      <c r="AG23632" s="831" t="s">
        <v>2674</v>
      </c>
      <c r="AH23632" s="831" t="s">
        <v>6602</v>
      </c>
      <c r="AI23632" s="831">
        <v>0</v>
      </c>
      <c r="AJ23632" s="835">
        <v>41305</v>
      </c>
      <c r="AK23632" s="831">
        <v>2119961</v>
      </c>
    </row>
    <row r="23633" spans="32:37">
      <c r="AF23633" s="831" t="s">
        <v>10756</v>
      </c>
      <c r="AG23633" s="831" t="s">
        <v>2674</v>
      </c>
      <c r="AH23633" s="831" t="s">
        <v>650</v>
      </c>
      <c r="AI23633" s="831">
        <v>0</v>
      </c>
      <c r="AJ23633" s="835">
        <v>41305</v>
      </c>
      <c r="AK23633" s="831">
        <v>162276642.66666666</v>
      </c>
    </row>
    <row r="23634" spans="32:37">
      <c r="AF23634" s="831" t="s">
        <v>10757</v>
      </c>
      <c r="AG23634" s="831" t="s">
        <v>2674</v>
      </c>
      <c r="AH23634" s="831" t="s">
        <v>655</v>
      </c>
      <c r="AI23634" s="831">
        <v>0</v>
      </c>
      <c r="AJ23634" s="835">
        <v>41305</v>
      </c>
      <c r="AK23634" s="831">
        <v>1743639</v>
      </c>
    </row>
    <row r="23635" spans="32:37">
      <c r="AF23635" s="831" t="s">
        <v>10758</v>
      </c>
      <c r="AG23635" s="831" t="s">
        <v>2674</v>
      </c>
      <c r="AH23635" s="831" t="s">
        <v>546</v>
      </c>
      <c r="AI23635" s="831">
        <v>0</v>
      </c>
      <c r="AJ23635" s="835">
        <v>41333</v>
      </c>
      <c r="AK23635" s="831">
        <v>436810603</v>
      </c>
    </row>
    <row r="23636" spans="32:37">
      <c r="AF23636" s="831" t="s">
        <v>10759</v>
      </c>
      <c r="AG23636" s="831" t="s">
        <v>2674</v>
      </c>
      <c r="AH23636" s="831" t="s">
        <v>370</v>
      </c>
      <c r="AI23636" s="831">
        <v>0</v>
      </c>
      <c r="AJ23636" s="835">
        <v>41333</v>
      </c>
      <c r="AK23636" s="831">
        <v>522076176</v>
      </c>
    </row>
    <row r="23637" spans="32:37">
      <c r="AF23637" s="831" t="s">
        <v>10760</v>
      </c>
      <c r="AG23637" s="831" t="s">
        <v>2674</v>
      </c>
      <c r="AH23637" s="831" t="s">
        <v>126</v>
      </c>
      <c r="AI23637" s="831">
        <v>0</v>
      </c>
      <c r="AJ23637" s="835">
        <v>41333</v>
      </c>
      <c r="AK23637" s="831">
        <v>98581107</v>
      </c>
    </row>
    <row r="23638" spans="32:37">
      <c r="AF23638" s="831" t="s">
        <v>10761</v>
      </c>
      <c r="AG23638" s="831" t="s">
        <v>2674</v>
      </c>
      <c r="AH23638" s="831" t="s">
        <v>268</v>
      </c>
      <c r="AI23638" s="831">
        <v>0</v>
      </c>
      <c r="AJ23638" s="835">
        <v>41333</v>
      </c>
      <c r="AK23638" s="831">
        <v>3817884</v>
      </c>
    </row>
    <row r="23639" spans="32:37">
      <c r="AF23639" s="831" t="s">
        <v>10762</v>
      </c>
      <c r="AG23639" s="831" t="s">
        <v>2674</v>
      </c>
      <c r="AH23639" s="831" t="s">
        <v>547</v>
      </c>
      <c r="AI23639" s="831">
        <v>0</v>
      </c>
      <c r="AJ23639" s="835">
        <v>41333</v>
      </c>
      <c r="AK23639" s="831">
        <v>511487760</v>
      </c>
    </row>
    <row r="23640" spans="32:37">
      <c r="AF23640" s="831" t="s">
        <v>10763</v>
      </c>
      <c r="AG23640" s="831" t="s">
        <v>2674</v>
      </c>
      <c r="AH23640" s="831" t="s">
        <v>548</v>
      </c>
      <c r="AI23640" s="831">
        <v>0</v>
      </c>
      <c r="AJ23640" s="835">
        <v>41333</v>
      </c>
      <c r="AK23640" s="831">
        <v>96883184</v>
      </c>
    </row>
    <row r="23641" spans="32:37">
      <c r="AF23641" s="831" t="s">
        <v>10764</v>
      </c>
      <c r="AG23641" s="831" t="s">
        <v>2674</v>
      </c>
      <c r="AH23641" s="831" t="s">
        <v>549</v>
      </c>
      <c r="AI23641" s="831">
        <v>0</v>
      </c>
      <c r="AJ23641" s="835">
        <v>41333</v>
      </c>
      <c r="AK23641" s="831">
        <v>0</v>
      </c>
    </row>
    <row r="23642" spans="32:37">
      <c r="AF23642" s="831" t="s">
        <v>10765</v>
      </c>
      <c r="AG23642" s="831" t="s">
        <v>2674</v>
      </c>
      <c r="AH23642" s="831" t="s">
        <v>192</v>
      </c>
      <c r="AI23642" s="831">
        <v>0</v>
      </c>
      <c r="AJ23642" s="835">
        <v>41333</v>
      </c>
      <c r="AK23642" s="831">
        <v>-11285954</v>
      </c>
    </row>
    <row r="23643" spans="32:37">
      <c r="AF23643" s="831" t="s">
        <v>10766</v>
      </c>
      <c r="AG23643" s="831" t="s">
        <v>2674</v>
      </c>
      <c r="AH23643" s="831" t="s">
        <v>558</v>
      </c>
      <c r="AI23643" s="831">
        <v>0</v>
      </c>
      <c r="AJ23643" s="835">
        <v>41333</v>
      </c>
      <c r="AK23643" s="831">
        <v>423495069</v>
      </c>
    </row>
    <row r="23644" spans="32:37">
      <c r="AF23644" s="831" t="s">
        <v>10767</v>
      </c>
      <c r="AG23644" s="831" t="s">
        <v>2674</v>
      </c>
      <c r="AH23644" s="831" t="s">
        <v>65</v>
      </c>
      <c r="AI23644" s="831">
        <v>0</v>
      </c>
      <c r="AJ23644" s="835">
        <v>41333</v>
      </c>
      <c r="AK23644" s="831">
        <v>18985748</v>
      </c>
    </row>
    <row r="23645" spans="32:37">
      <c r="AF23645" s="831" t="s">
        <v>10768</v>
      </c>
      <c r="AG23645" s="831" t="s">
        <v>2674</v>
      </c>
      <c r="AH23645" s="831" t="s">
        <v>89</v>
      </c>
      <c r="AI23645" s="831">
        <v>0</v>
      </c>
      <c r="AJ23645" s="835">
        <v>41333</v>
      </c>
      <c r="AK23645" s="831">
        <v>127639</v>
      </c>
    </row>
    <row r="23646" spans="32:37">
      <c r="AF23646" s="831" t="s">
        <v>10769</v>
      </c>
      <c r="AG23646" s="831" t="s">
        <v>2674</v>
      </c>
      <c r="AH23646" s="831" t="s">
        <v>557</v>
      </c>
      <c r="AI23646" s="831">
        <v>0</v>
      </c>
      <c r="AJ23646" s="835">
        <v>41333</v>
      </c>
      <c r="AK23646" s="831">
        <v>130995</v>
      </c>
    </row>
    <row r="23647" spans="32:37">
      <c r="AF23647" s="831" t="s">
        <v>10770</v>
      </c>
      <c r="AG23647" s="831" t="s">
        <v>2674</v>
      </c>
      <c r="AH23647" s="831" t="s">
        <v>29</v>
      </c>
      <c r="AI23647" s="831">
        <v>0</v>
      </c>
      <c r="AJ23647" s="835">
        <v>41333</v>
      </c>
      <c r="AK23647" s="831">
        <v>2238797</v>
      </c>
    </row>
    <row r="23648" spans="32:37">
      <c r="AF23648" s="831" t="s">
        <v>10771</v>
      </c>
      <c r="AG23648" s="831" t="s">
        <v>2674</v>
      </c>
      <c r="AH23648" s="831" t="s">
        <v>2688</v>
      </c>
      <c r="AI23648" s="831">
        <v>0</v>
      </c>
      <c r="AJ23648" s="835">
        <v>41333</v>
      </c>
      <c r="AK23648" s="831">
        <v>2647738</v>
      </c>
    </row>
    <row r="23649" spans="32:37">
      <c r="AF23649" s="831" t="s">
        <v>10772</v>
      </c>
      <c r="AG23649" s="831" t="s">
        <v>2674</v>
      </c>
      <c r="AH23649" s="831" t="s">
        <v>556</v>
      </c>
      <c r="AI23649" s="831">
        <v>0</v>
      </c>
      <c r="AJ23649" s="835">
        <v>41333</v>
      </c>
      <c r="AK23649" s="831">
        <v>902857</v>
      </c>
    </row>
    <row r="23650" spans="32:37">
      <c r="AF23650" s="831" t="s">
        <v>10773</v>
      </c>
      <c r="AG23650" s="831" t="s">
        <v>2674</v>
      </c>
      <c r="AH23650" s="831" t="s">
        <v>555</v>
      </c>
      <c r="AI23650" s="831">
        <v>0</v>
      </c>
      <c r="AJ23650" s="835">
        <v>41333</v>
      </c>
      <c r="AK23650" s="831">
        <v>267734690</v>
      </c>
    </row>
    <row r="23651" spans="32:37">
      <c r="AF23651" s="831" t="s">
        <v>10774</v>
      </c>
      <c r="AG23651" s="831" t="s">
        <v>2674</v>
      </c>
      <c r="AH23651" s="831" t="s">
        <v>554</v>
      </c>
      <c r="AI23651" s="831">
        <v>0</v>
      </c>
      <c r="AJ23651" s="835">
        <v>41333</v>
      </c>
      <c r="AK23651" s="831">
        <v>272030190</v>
      </c>
    </row>
    <row r="23652" spans="32:37">
      <c r="AF23652" s="831" t="s">
        <v>10775</v>
      </c>
      <c r="AG23652" s="831" t="s">
        <v>2674</v>
      </c>
      <c r="AH23652" s="831" t="s">
        <v>553</v>
      </c>
      <c r="AI23652" s="831">
        <v>0</v>
      </c>
      <c r="AJ23652" s="835">
        <v>41333</v>
      </c>
      <c r="AK23652" s="831">
        <v>0</v>
      </c>
    </row>
    <row r="23653" spans="32:37">
      <c r="AF23653" s="831" t="s">
        <v>10776</v>
      </c>
      <c r="AG23653" s="831" t="s">
        <v>2674</v>
      </c>
      <c r="AH23653" s="831" t="s">
        <v>552</v>
      </c>
      <c r="AI23653" s="831">
        <v>0</v>
      </c>
      <c r="AJ23653" s="835">
        <v>41333</v>
      </c>
      <c r="AK23653" s="831">
        <v>0</v>
      </c>
    </row>
    <row r="23654" spans="32:37">
      <c r="AF23654" s="831" t="s">
        <v>10777</v>
      </c>
      <c r="AG23654" s="831" t="s">
        <v>2674</v>
      </c>
      <c r="AH23654" s="831" t="s">
        <v>551</v>
      </c>
      <c r="AI23654" s="831">
        <v>0</v>
      </c>
      <c r="AJ23654" s="835">
        <v>41333</v>
      </c>
      <c r="AK23654" s="831">
        <v>1930398</v>
      </c>
    </row>
    <row r="23655" spans="32:37">
      <c r="AF23655" s="831" t="s">
        <v>10778</v>
      </c>
      <c r="AG23655" s="831" t="s">
        <v>2674</v>
      </c>
      <c r="AH23655" s="831" t="s">
        <v>550</v>
      </c>
      <c r="AI23655" s="831">
        <v>0</v>
      </c>
      <c r="AJ23655" s="835">
        <v>41333</v>
      </c>
      <c r="AK23655" s="831">
        <v>96883184</v>
      </c>
    </row>
    <row r="23656" spans="32:37">
      <c r="AF23656" s="831" t="s">
        <v>10779</v>
      </c>
      <c r="AG23656" s="831" t="s">
        <v>2674</v>
      </c>
      <c r="AH23656" s="831" t="s">
        <v>562</v>
      </c>
      <c r="AI23656" s="831">
        <v>0</v>
      </c>
      <c r="AJ23656" s="835">
        <v>41333</v>
      </c>
      <c r="AK23656" s="831">
        <v>0.78434999999999999</v>
      </c>
    </row>
    <row r="23657" spans="32:37">
      <c r="AF23657" s="831" t="s">
        <v>10780</v>
      </c>
      <c r="AG23657" s="831" t="s">
        <v>2674</v>
      </c>
      <c r="AH23657" s="831" t="s">
        <v>2698</v>
      </c>
      <c r="AI23657" s="831">
        <v>0</v>
      </c>
      <c r="AJ23657" s="835">
        <v>41333</v>
      </c>
      <c r="AK23657" s="831">
        <v>0.78385000000000005</v>
      </c>
    </row>
    <row r="23658" spans="32:37">
      <c r="AF23658" s="831" t="s">
        <v>10781</v>
      </c>
      <c r="AG23658" s="831" t="s">
        <v>2674</v>
      </c>
      <c r="AH23658" s="831" t="s">
        <v>560</v>
      </c>
      <c r="AI23658" s="831">
        <v>0</v>
      </c>
      <c r="AJ23658" s="835">
        <v>41333</v>
      </c>
      <c r="AK23658" s="831">
        <v>0.78410000000000002</v>
      </c>
    </row>
    <row r="23659" spans="32:37">
      <c r="AF23659" s="831" t="s">
        <v>10782</v>
      </c>
      <c r="AG23659" s="831" t="s">
        <v>2674</v>
      </c>
      <c r="AH23659" s="831" t="s">
        <v>559</v>
      </c>
      <c r="AI23659" s="831">
        <v>0</v>
      </c>
      <c r="AJ23659" s="835">
        <v>41333</v>
      </c>
      <c r="AK23659" s="831">
        <v>0.78474583333333314</v>
      </c>
    </row>
    <row r="23660" spans="32:37">
      <c r="AF23660" s="831" t="s">
        <v>10783</v>
      </c>
      <c r="AG23660" s="831" t="s">
        <v>2674</v>
      </c>
      <c r="AH23660" s="831" t="s">
        <v>568</v>
      </c>
      <c r="AI23660" s="831">
        <v>0</v>
      </c>
      <c r="AJ23660" s="835">
        <v>41333</v>
      </c>
      <c r="AK23660" s="831">
        <v>380181038.5</v>
      </c>
    </row>
    <row r="23661" spans="32:37">
      <c r="AF23661" s="831" t="s">
        <v>10784</v>
      </c>
      <c r="AG23661" s="831" t="s">
        <v>2674</v>
      </c>
      <c r="AH23661" s="831" t="s">
        <v>569</v>
      </c>
      <c r="AI23661" s="831">
        <v>0</v>
      </c>
      <c r="AJ23661" s="835">
        <v>41333</v>
      </c>
      <c r="AK23661" s="831">
        <v>465288979.30000001</v>
      </c>
    </row>
    <row r="23662" spans="32:37">
      <c r="AF23662" s="831" t="s">
        <v>10785</v>
      </c>
      <c r="AG23662" s="831" t="s">
        <v>2674</v>
      </c>
      <c r="AH23662" s="831" t="s">
        <v>570</v>
      </c>
      <c r="AI23662" s="831">
        <v>0</v>
      </c>
      <c r="AJ23662" s="835">
        <v>41333</v>
      </c>
      <c r="AK23662" s="831">
        <v>96636190.400000006</v>
      </c>
    </row>
    <row r="23663" spans="32:37">
      <c r="AF23663" s="831" t="s">
        <v>10786</v>
      </c>
      <c r="AG23663" s="831" t="s">
        <v>2674</v>
      </c>
      <c r="AH23663" s="831" t="s">
        <v>571</v>
      </c>
      <c r="AI23663" s="831">
        <v>0</v>
      </c>
      <c r="AJ23663" s="835">
        <v>41333</v>
      </c>
      <c r="AK23663" s="831">
        <v>192024019</v>
      </c>
    </row>
    <row r="23664" spans="32:37">
      <c r="AF23664" s="831" t="s">
        <v>10787</v>
      </c>
      <c r="AG23664" s="831" t="s">
        <v>2674</v>
      </c>
      <c r="AH23664" s="831" t="s">
        <v>573</v>
      </c>
      <c r="AI23664" s="831">
        <v>0</v>
      </c>
      <c r="AJ23664" s="835">
        <v>41333</v>
      </c>
      <c r="AK23664" s="831">
        <v>516277615.33333331</v>
      </c>
    </row>
    <row r="23665" spans="32:37">
      <c r="AF23665" s="831" t="s">
        <v>10788</v>
      </c>
      <c r="AG23665" s="831" t="s">
        <v>2674</v>
      </c>
      <c r="AH23665" s="831" t="s">
        <v>574</v>
      </c>
      <c r="AI23665" s="831">
        <v>0</v>
      </c>
      <c r="AJ23665" s="835">
        <v>41333</v>
      </c>
      <c r="AK23665" s="831">
        <v>423329336.66666669</v>
      </c>
    </row>
    <row r="23666" spans="32:37">
      <c r="AF23666" s="831" t="s">
        <v>10789</v>
      </c>
      <c r="AG23666" s="831" t="s">
        <v>2674</v>
      </c>
      <c r="AH23666" s="831" t="s">
        <v>575</v>
      </c>
      <c r="AI23666" s="831">
        <v>0</v>
      </c>
      <c r="AJ23666" s="835">
        <v>41333</v>
      </c>
      <c r="AK23666" s="831">
        <v>98875722</v>
      </c>
    </row>
    <row r="23667" spans="32:37">
      <c r="AF23667" s="831" t="s">
        <v>10790</v>
      </c>
      <c r="AG23667" s="831" t="s">
        <v>2674</v>
      </c>
      <c r="AH23667" s="831" t="s">
        <v>576</v>
      </c>
      <c r="AI23667" s="831">
        <v>0</v>
      </c>
      <c r="AJ23667" s="835">
        <v>41333</v>
      </c>
      <c r="AK23667" s="831">
        <v>233427024</v>
      </c>
    </row>
    <row r="23668" spans="32:37">
      <c r="AF23668" s="831" t="s">
        <v>10791</v>
      </c>
      <c r="AG23668" s="831" t="s">
        <v>2674</v>
      </c>
      <c r="AH23668" s="831" t="s">
        <v>572</v>
      </c>
      <c r="AI23668" s="831">
        <v>0</v>
      </c>
      <c r="AJ23668" s="835">
        <v>41333</v>
      </c>
      <c r="AK23668" s="831">
        <v>-2146826246</v>
      </c>
    </row>
    <row r="23669" spans="32:37">
      <c r="AF23669" s="831" t="s">
        <v>10792</v>
      </c>
      <c r="AG23669" s="831" t="s">
        <v>2674</v>
      </c>
      <c r="AH23669" s="831" t="s">
        <v>577</v>
      </c>
      <c r="AI23669" s="831">
        <v>0</v>
      </c>
      <c r="AJ23669" s="835">
        <v>41333</v>
      </c>
      <c r="AK23669" s="831">
        <v>-2146826246</v>
      </c>
    </row>
    <row r="23670" spans="32:37">
      <c r="AF23670" s="831" t="s">
        <v>10793</v>
      </c>
      <c r="AG23670" s="831" t="s">
        <v>2674</v>
      </c>
      <c r="AH23670" s="831" t="s">
        <v>3042</v>
      </c>
      <c r="AI23670" s="831">
        <v>0</v>
      </c>
      <c r="AJ23670" s="835">
        <v>41333</v>
      </c>
      <c r="AK23670" s="831">
        <v>-2146826246</v>
      </c>
    </row>
    <row r="23671" spans="32:37">
      <c r="AF23671" s="831" t="s">
        <v>10794</v>
      </c>
      <c r="AG23671" s="831" t="s">
        <v>2674</v>
      </c>
      <c r="AH23671" s="831" t="s">
        <v>3044</v>
      </c>
      <c r="AI23671" s="831">
        <v>0</v>
      </c>
      <c r="AJ23671" s="835">
        <v>41333</v>
      </c>
      <c r="AK23671" s="831">
        <v>-2146826246</v>
      </c>
    </row>
    <row r="23672" spans="32:37">
      <c r="AF23672" s="831" t="s">
        <v>10795</v>
      </c>
      <c r="AG23672" s="831" t="s">
        <v>2674</v>
      </c>
      <c r="AH23672" s="831" t="s">
        <v>580</v>
      </c>
      <c r="AI23672" s="831">
        <v>0</v>
      </c>
      <c r="AJ23672" s="835">
        <v>41333</v>
      </c>
      <c r="AK23672" s="831">
        <v>-2146826246</v>
      </c>
    </row>
    <row r="23673" spans="32:37">
      <c r="AF23673" s="831" t="s">
        <v>10796</v>
      </c>
      <c r="AG23673" s="831" t="s">
        <v>2674</v>
      </c>
      <c r="AH23673" s="831" t="s">
        <v>581</v>
      </c>
      <c r="AI23673" s="831">
        <v>0</v>
      </c>
      <c r="AJ23673" s="835">
        <v>41333</v>
      </c>
      <c r="AK23673" s="831">
        <v>-2146826246</v>
      </c>
    </row>
    <row r="23674" spans="32:37">
      <c r="AF23674" s="831" t="s">
        <v>10797</v>
      </c>
      <c r="AG23674" s="831" t="s">
        <v>2674</v>
      </c>
      <c r="AH23674" s="831" t="s">
        <v>105</v>
      </c>
      <c r="AI23674" s="831">
        <v>0</v>
      </c>
      <c r="AJ23674" s="835">
        <v>41333</v>
      </c>
      <c r="AK23674" s="831">
        <v>232996335</v>
      </c>
    </row>
    <row r="23675" spans="32:37">
      <c r="AF23675" s="831" t="s">
        <v>10798</v>
      </c>
      <c r="AG23675" s="831" t="s">
        <v>2674</v>
      </c>
      <c r="AH23675" s="831" t="s">
        <v>3049</v>
      </c>
      <c r="AI23675" s="831">
        <v>0</v>
      </c>
      <c r="AJ23675" s="835">
        <v>41333</v>
      </c>
      <c r="AK23675" s="831">
        <v>409742104</v>
      </c>
    </row>
    <row r="23676" spans="32:37">
      <c r="AF23676" s="831" t="s">
        <v>10799</v>
      </c>
      <c r="AG23676" s="831" t="s">
        <v>2674</v>
      </c>
      <c r="AH23676" s="831" t="s">
        <v>103</v>
      </c>
      <c r="AI23676" s="831">
        <v>0</v>
      </c>
      <c r="AJ23676" s="835">
        <v>41333</v>
      </c>
      <c r="AK23676" s="831">
        <v>176745769</v>
      </c>
    </row>
    <row r="23677" spans="32:37">
      <c r="AF23677" s="831" t="s">
        <v>10800</v>
      </c>
      <c r="AG23677" s="831" t="s">
        <v>2674</v>
      </c>
      <c r="AH23677" s="831" t="s">
        <v>182</v>
      </c>
      <c r="AI23677" s="831">
        <v>0</v>
      </c>
      <c r="AJ23677" s="835">
        <v>41333</v>
      </c>
      <c r="AK23677" s="831">
        <v>55637232</v>
      </c>
    </row>
    <row r="23678" spans="32:37">
      <c r="AF23678" s="831" t="s">
        <v>10801</v>
      </c>
      <c r="AG23678" s="831" t="s">
        <v>2674</v>
      </c>
      <c r="AH23678" s="831" t="s">
        <v>6600</v>
      </c>
      <c r="AI23678" s="831">
        <v>0</v>
      </c>
      <c r="AJ23678" s="835">
        <v>41333</v>
      </c>
      <c r="AK23678" s="831">
        <v>-2146826246</v>
      </c>
    </row>
    <row r="23679" spans="32:37">
      <c r="AF23679" s="831" t="s">
        <v>10802</v>
      </c>
      <c r="AG23679" s="831" t="s">
        <v>2674</v>
      </c>
      <c r="AH23679" s="831" t="s">
        <v>6602</v>
      </c>
      <c r="AI23679" s="831">
        <v>0</v>
      </c>
      <c r="AJ23679" s="835">
        <v>41333</v>
      </c>
      <c r="AK23679" s="831">
        <v>3817884</v>
      </c>
    </row>
    <row r="23680" spans="32:37">
      <c r="AF23680" s="831" t="s">
        <v>10803</v>
      </c>
      <c r="AG23680" s="831" t="s">
        <v>2674</v>
      </c>
      <c r="AH23680" s="831" t="s">
        <v>650</v>
      </c>
      <c r="AI23680" s="831">
        <v>0</v>
      </c>
      <c r="AJ23680" s="835">
        <v>41333</v>
      </c>
      <c r="AK23680" s="831">
        <v>163723555.30000001</v>
      </c>
    </row>
    <row r="23681" spans="32:37">
      <c r="AF23681" s="831" t="s">
        <v>10804</v>
      </c>
      <c r="AG23681" s="831" t="s">
        <v>2674</v>
      </c>
      <c r="AH23681" s="831" t="s">
        <v>655</v>
      </c>
      <c r="AI23681" s="831">
        <v>0</v>
      </c>
      <c r="AJ23681" s="835">
        <v>41333</v>
      </c>
      <c r="AK23681" s="831">
        <v>1851569</v>
      </c>
    </row>
    <row r="23682" spans="32:37">
      <c r="AF23682" s="831" t="s">
        <v>10805</v>
      </c>
      <c r="AG23682" s="831" t="s">
        <v>2674</v>
      </c>
      <c r="AH23682" s="831" t="s">
        <v>546</v>
      </c>
      <c r="AI23682" s="831">
        <v>0</v>
      </c>
      <c r="AJ23682" s="835">
        <v>41364</v>
      </c>
      <c r="AK23682" s="831">
        <v>455655641</v>
      </c>
    </row>
    <row r="23683" spans="32:37">
      <c r="AF23683" s="831" t="s">
        <v>10806</v>
      </c>
      <c r="AG23683" s="831" t="s">
        <v>2674</v>
      </c>
      <c r="AH23683" s="831" t="s">
        <v>370</v>
      </c>
      <c r="AI23683" s="831">
        <v>0</v>
      </c>
      <c r="AJ23683" s="835">
        <v>41364</v>
      </c>
      <c r="AK23683" s="831">
        <v>548973661</v>
      </c>
    </row>
    <row r="23684" spans="32:37">
      <c r="AF23684" s="831" t="s">
        <v>10807</v>
      </c>
      <c r="AG23684" s="831" t="s">
        <v>2674</v>
      </c>
      <c r="AH23684" s="831" t="s">
        <v>126</v>
      </c>
      <c r="AI23684" s="831">
        <v>0</v>
      </c>
      <c r="AJ23684" s="835">
        <v>41364</v>
      </c>
      <c r="AK23684" s="831">
        <v>100809389</v>
      </c>
    </row>
    <row r="23685" spans="32:37">
      <c r="AF23685" s="831" t="s">
        <v>10808</v>
      </c>
      <c r="AG23685" s="831" t="s">
        <v>2674</v>
      </c>
      <c r="AH23685" s="831" t="s">
        <v>268</v>
      </c>
      <c r="AI23685" s="831">
        <v>0</v>
      </c>
      <c r="AJ23685" s="835">
        <v>41364</v>
      </c>
      <c r="AK23685" s="831">
        <v>6046166</v>
      </c>
    </row>
    <row r="23686" spans="32:37">
      <c r="AF23686" s="831" t="s">
        <v>10809</v>
      </c>
      <c r="AG23686" s="831" t="s">
        <v>2674</v>
      </c>
      <c r="AH23686" s="831" t="s">
        <v>547</v>
      </c>
      <c r="AI23686" s="831">
        <v>0</v>
      </c>
      <c r="AJ23686" s="835">
        <v>41364</v>
      </c>
      <c r="AK23686" s="831">
        <v>511487760</v>
      </c>
    </row>
    <row r="23687" spans="32:37">
      <c r="AF23687" s="831" t="s">
        <v>10810</v>
      </c>
      <c r="AG23687" s="831" t="s">
        <v>2674</v>
      </c>
      <c r="AH23687" s="831" t="s">
        <v>548</v>
      </c>
      <c r="AI23687" s="831">
        <v>0</v>
      </c>
      <c r="AJ23687" s="835">
        <v>41364</v>
      </c>
      <c r="AK23687" s="831">
        <v>96883184</v>
      </c>
    </row>
    <row r="23688" spans="32:37">
      <c r="AF23688" s="831" t="s">
        <v>10811</v>
      </c>
      <c r="AG23688" s="831" t="s">
        <v>2674</v>
      </c>
      <c r="AH23688" s="831" t="s">
        <v>549</v>
      </c>
      <c r="AI23688" s="831">
        <v>0</v>
      </c>
      <c r="AJ23688" s="835">
        <v>41364</v>
      </c>
      <c r="AK23688" s="831">
        <v>0</v>
      </c>
    </row>
    <row r="23689" spans="32:37">
      <c r="AF23689" s="831" t="s">
        <v>10812</v>
      </c>
      <c r="AG23689" s="831" t="s">
        <v>2674</v>
      </c>
      <c r="AH23689" s="831" t="s">
        <v>192</v>
      </c>
      <c r="AI23689" s="831">
        <v>0</v>
      </c>
      <c r="AJ23689" s="835">
        <v>41364</v>
      </c>
      <c r="AK23689" s="831">
        <v>-11725074</v>
      </c>
    </row>
    <row r="23690" spans="32:37">
      <c r="AF23690" s="831" t="s">
        <v>10813</v>
      </c>
      <c r="AG23690" s="831" t="s">
        <v>2674</v>
      </c>
      <c r="AH23690" s="831" t="s">
        <v>558</v>
      </c>
      <c r="AI23690" s="831">
        <v>0</v>
      </c>
      <c r="AJ23690" s="835">
        <v>41364</v>
      </c>
      <c r="AK23690" s="831">
        <v>448164272</v>
      </c>
    </row>
    <row r="23691" spans="32:37">
      <c r="AF23691" s="831" t="s">
        <v>10814</v>
      </c>
      <c r="AG23691" s="831" t="s">
        <v>2674</v>
      </c>
      <c r="AH23691" s="831" t="s">
        <v>65</v>
      </c>
      <c r="AI23691" s="831">
        <v>0</v>
      </c>
      <c r="AJ23691" s="835">
        <v>41364</v>
      </c>
      <c r="AK23691" s="831">
        <v>27883165</v>
      </c>
    </row>
    <row r="23692" spans="32:37">
      <c r="AF23692" s="831" t="s">
        <v>10815</v>
      </c>
      <c r="AG23692" s="831" t="s">
        <v>2674</v>
      </c>
      <c r="AH23692" s="831" t="s">
        <v>89</v>
      </c>
      <c r="AI23692" s="831">
        <v>0</v>
      </c>
      <c r="AJ23692" s="835">
        <v>41364</v>
      </c>
      <c r="AK23692" s="831">
        <v>129296</v>
      </c>
    </row>
    <row r="23693" spans="32:37">
      <c r="AF23693" s="831" t="s">
        <v>10816</v>
      </c>
      <c r="AG23693" s="831" t="s">
        <v>2674</v>
      </c>
      <c r="AH23693" s="831" t="s">
        <v>557</v>
      </c>
      <c r="AI23693" s="831">
        <v>0</v>
      </c>
      <c r="AJ23693" s="835">
        <v>41364</v>
      </c>
      <c r="AK23693" s="831">
        <v>133005</v>
      </c>
    </row>
    <row r="23694" spans="32:37">
      <c r="AF23694" s="831" t="s">
        <v>10817</v>
      </c>
      <c r="AG23694" s="831" t="s">
        <v>2674</v>
      </c>
      <c r="AH23694" s="831" t="s">
        <v>29</v>
      </c>
      <c r="AI23694" s="831">
        <v>0</v>
      </c>
      <c r="AJ23694" s="835">
        <v>41364</v>
      </c>
      <c r="AK23694" s="831">
        <v>2674773</v>
      </c>
    </row>
    <row r="23695" spans="32:37">
      <c r="AF23695" s="831" t="s">
        <v>10818</v>
      </c>
      <c r="AG23695" s="831" t="s">
        <v>2674</v>
      </c>
      <c r="AH23695" s="831" t="s">
        <v>2688</v>
      </c>
      <c r="AI23695" s="831">
        <v>0</v>
      </c>
      <c r="AJ23695" s="835">
        <v>41364</v>
      </c>
      <c r="AK23695" s="831">
        <v>2715490</v>
      </c>
    </row>
    <row r="23696" spans="32:37">
      <c r="AF23696" s="831" t="s">
        <v>10819</v>
      </c>
      <c r="AG23696" s="831" t="s">
        <v>2674</v>
      </c>
      <c r="AH23696" s="831" t="s">
        <v>556</v>
      </c>
      <c r="AI23696" s="831">
        <v>0</v>
      </c>
      <c r="AJ23696" s="835">
        <v>41364</v>
      </c>
      <c r="AK23696" s="831">
        <v>902857</v>
      </c>
    </row>
    <row r="23697" spans="32:37">
      <c r="AF23697" s="831" t="s">
        <v>10820</v>
      </c>
      <c r="AG23697" s="831" t="s">
        <v>2674</v>
      </c>
      <c r="AH23697" s="831" t="s">
        <v>555</v>
      </c>
      <c r="AI23697" s="831">
        <v>0</v>
      </c>
      <c r="AJ23697" s="835">
        <v>41364</v>
      </c>
      <c r="AK23697" s="831">
        <v>285158930</v>
      </c>
    </row>
    <row r="23698" spans="32:37">
      <c r="AF23698" s="831" t="s">
        <v>10821</v>
      </c>
      <c r="AG23698" s="831" t="s">
        <v>2674</v>
      </c>
      <c r="AH23698" s="831" t="s">
        <v>554</v>
      </c>
      <c r="AI23698" s="831">
        <v>0</v>
      </c>
      <c r="AJ23698" s="835">
        <v>41364</v>
      </c>
      <c r="AK23698" s="831">
        <v>281381290</v>
      </c>
    </row>
    <row r="23699" spans="32:37">
      <c r="AF23699" s="831" t="s">
        <v>10822</v>
      </c>
      <c r="AG23699" s="831" t="s">
        <v>2674</v>
      </c>
      <c r="AH23699" s="831" t="s">
        <v>553</v>
      </c>
      <c r="AI23699" s="831">
        <v>0</v>
      </c>
      <c r="AJ23699" s="835">
        <v>41364</v>
      </c>
      <c r="AK23699" s="831">
        <v>0</v>
      </c>
    </row>
    <row r="23700" spans="32:37">
      <c r="AF23700" s="831" t="s">
        <v>10823</v>
      </c>
      <c r="AG23700" s="831" t="s">
        <v>2674</v>
      </c>
      <c r="AH23700" s="831" t="s">
        <v>552</v>
      </c>
      <c r="AI23700" s="831">
        <v>0</v>
      </c>
      <c r="AJ23700" s="835">
        <v>41364</v>
      </c>
      <c r="AK23700" s="831">
        <v>0</v>
      </c>
    </row>
    <row r="23701" spans="32:37">
      <c r="AF23701" s="831" t="s">
        <v>10824</v>
      </c>
      <c r="AG23701" s="831" t="s">
        <v>2674</v>
      </c>
      <c r="AH23701" s="831" t="s">
        <v>551</v>
      </c>
      <c r="AI23701" s="831">
        <v>0</v>
      </c>
      <c r="AJ23701" s="835">
        <v>41364</v>
      </c>
      <c r="AK23701" s="831">
        <v>2175856</v>
      </c>
    </row>
    <row r="23702" spans="32:37">
      <c r="AF23702" s="831" t="s">
        <v>10825</v>
      </c>
      <c r="AG23702" s="831" t="s">
        <v>2674</v>
      </c>
      <c r="AH23702" s="831" t="s">
        <v>550</v>
      </c>
      <c r="AI23702" s="831">
        <v>0</v>
      </c>
      <c r="AJ23702" s="835">
        <v>41364</v>
      </c>
      <c r="AK23702" s="831">
        <v>98581107</v>
      </c>
    </row>
    <row r="23703" spans="32:37">
      <c r="AF23703" s="831" t="s">
        <v>10826</v>
      </c>
      <c r="AG23703" s="831" t="s">
        <v>2674</v>
      </c>
      <c r="AH23703" s="831" t="s">
        <v>562</v>
      </c>
      <c r="AI23703" s="831">
        <v>0</v>
      </c>
      <c r="AJ23703" s="835">
        <v>41364</v>
      </c>
      <c r="AK23703" s="831">
        <v>0.78425</v>
      </c>
    </row>
    <row r="23704" spans="32:37">
      <c r="AF23704" s="831" t="s">
        <v>10827</v>
      </c>
      <c r="AG23704" s="831" t="s">
        <v>2674</v>
      </c>
      <c r="AH23704" s="831" t="s">
        <v>2698</v>
      </c>
      <c r="AI23704" s="831">
        <v>0</v>
      </c>
      <c r="AJ23704" s="835">
        <v>41364</v>
      </c>
      <c r="AK23704" s="831">
        <v>0.78434999999999999</v>
      </c>
    </row>
    <row r="23705" spans="32:37">
      <c r="AF23705" s="831" t="s">
        <v>10828</v>
      </c>
      <c r="AG23705" s="831" t="s">
        <v>2674</v>
      </c>
      <c r="AH23705" s="831" t="s">
        <v>560</v>
      </c>
      <c r="AI23705" s="831">
        <v>0</v>
      </c>
      <c r="AJ23705" s="835">
        <v>41364</v>
      </c>
      <c r="AK23705" s="831">
        <v>0.78415000000000001</v>
      </c>
    </row>
    <row r="23706" spans="32:37">
      <c r="AF23706" s="831" t="s">
        <v>10829</v>
      </c>
      <c r="AG23706" s="831" t="s">
        <v>2674</v>
      </c>
      <c r="AH23706" s="831" t="s">
        <v>559</v>
      </c>
      <c r="AI23706" s="831">
        <v>0</v>
      </c>
      <c r="AJ23706" s="835">
        <v>41364</v>
      </c>
      <c r="AK23706" s="831">
        <v>0.78459166666666669</v>
      </c>
    </row>
    <row r="23707" spans="32:37">
      <c r="AF23707" s="831" t="s">
        <v>10830</v>
      </c>
      <c r="AG23707" s="831" t="s">
        <v>2674</v>
      </c>
      <c r="AH23707" s="831" t="s">
        <v>568</v>
      </c>
      <c r="AI23707" s="831">
        <v>0</v>
      </c>
      <c r="AJ23707" s="835">
        <v>41364</v>
      </c>
      <c r="AK23707" s="831">
        <v>387042366</v>
      </c>
    </row>
    <row r="23708" spans="32:37">
      <c r="AF23708" s="831" t="s">
        <v>10831</v>
      </c>
      <c r="AG23708" s="831" t="s">
        <v>2674</v>
      </c>
      <c r="AH23708" s="831" t="s">
        <v>569</v>
      </c>
      <c r="AI23708" s="831">
        <v>0</v>
      </c>
      <c r="AJ23708" s="835">
        <v>41364</v>
      </c>
      <c r="AK23708" s="831">
        <v>472896677.63636363</v>
      </c>
    </row>
    <row r="23709" spans="32:37">
      <c r="AF23709" s="831" t="s">
        <v>10832</v>
      </c>
      <c r="AG23709" s="831" t="s">
        <v>2674</v>
      </c>
      <c r="AH23709" s="831" t="s">
        <v>570</v>
      </c>
      <c r="AI23709" s="831">
        <v>0</v>
      </c>
      <c r="AJ23709" s="835">
        <v>41364</v>
      </c>
      <c r="AK23709" s="831">
        <v>97015572.090909094</v>
      </c>
    </row>
    <row r="23710" spans="32:37">
      <c r="AF23710" s="831" t="s">
        <v>10833</v>
      </c>
      <c r="AG23710" s="831" t="s">
        <v>2674</v>
      </c>
      <c r="AH23710" s="831" t="s">
        <v>571</v>
      </c>
      <c r="AI23710" s="831">
        <v>0</v>
      </c>
      <c r="AJ23710" s="835">
        <v>41364</v>
      </c>
      <c r="AK23710" s="831">
        <v>197450778.09090909</v>
      </c>
    </row>
    <row r="23711" spans="32:37">
      <c r="AF23711" s="831" t="s">
        <v>10834</v>
      </c>
      <c r="AG23711" s="831" t="s">
        <v>2674</v>
      </c>
      <c r="AH23711" s="831" t="s">
        <v>573</v>
      </c>
      <c r="AI23711" s="831">
        <v>0</v>
      </c>
      <c r="AJ23711" s="835">
        <v>41364</v>
      </c>
      <c r="AK23711" s="831">
        <v>524451626.75</v>
      </c>
    </row>
    <row r="23712" spans="32:37">
      <c r="AF23712" s="831" t="s">
        <v>10835</v>
      </c>
      <c r="AG23712" s="831" t="s">
        <v>2674</v>
      </c>
      <c r="AH23712" s="831" t="s">
        <v>574</v>
      </c>
      <c r="AI23712" s="831">
        <v>0</v>
      </c>
      <c r="AJ23712" s="835">
        <v>41364</v>
      </c>
      <c r="AK23712" s="831">
        <v>431410912.75</v>
      </c>
    </row>
    <row r="23713" spans="32:37">
      <c r="AF23713" s="831" t="s">
        <v>10836</v>
      </c>
      <c r="AG23713" s="831" t="s">
        <v>2674</v>
      </c>
      <c r="AH23713" s="831" t="s">
        <v>575</v>
      </c>
      <c r="AI23713" s="831">
        <v>0</v>
      </c>
      <c r="AJ23713" s="835">
        <v>41364</v>
      </c>
      <c r="AK23713" s="831">
        <v>99359138.75</v>
      </c>
    </row>
    <row r="23714" spans="32:37">
      <c r="AF23714" s="831" t="s">
        <v>10837</v>
      </c>
      <c r="AG23714" s="831" t="s">
        <v>2674</v>
      </c>
      <c r="AH23714" s="831" t="s">
        <v>576</v>
      </c>
      <c r="AI23714" s="831">
        <v>0</v>
      </c>
      <c r="AJ23714" s="835">
        <v>41364</v>
      </c>
      <c r="AK23714" s="831">
        <v>237999860.25</v>
      </c>
    </row>
    <row r="23715" spans="32:37">
      <c r="AF23715" s="831" t="s">
        <v>10838</v>
      </c>
      <c r="AG23715" s="831" t="s">
        <v>2674</v>
      </c>
      <c r="AH23715" s="831" t="s">
        <v>572</v>
      </c>
      <c r="AI23715" s="831">
        <v>0</v>
      </c>
      <c r="AJ23715" s="835">
        <v>41364</v>
      </c>
      <c r="AK23715" s="831">
        <v>-2146826246</v>
      </c>
    </row>
    <row r="23716" spans="32:37">
      <c r="AF23716" s="831" t="s">
        <v>10839</v>
      </c>
      <c r="AG23716" s="831" t="s">
        <v>2674</v>
      </c>
      <c r="AH23716" s="831" t="s">
        <v>577</v>
      </c>
      <c r="AI23716" s="831">
        <v>0</v>
      </c>
      <c r="AJ23716" s="835">
        <v>41364</v>
      </c>
      <c r="AK23716" s="831">
        <v>-2146826246</v>
      </c>
    </row>
    <row r="23717" spans="32:37">
      <c r="AF23717" s="831" t="s">
        <v>10840</v>
      </c>
      <c r="AG23717" s="831" t="s">
        <v>2674</v>
      </c>
      <c r="AH23717" s="831" t="s">
        <v>3042</v>
      </c>
      <c r="AI23717" s="831">
        <v>0</v>
      </c>
      <c r="AJ23717" s="835">
        <v>41364</v>
      </c>
      <c r="AK23717" s="831">
        <v>-2146826246</v>
      </c>
    </row>
    <row r="23718" spans="32:37">
      <c r="AF23718" s="831" t="s">
        <v>10841</v>
      </c>
      <c r="AG23718" s="831" t="s">
        <v>2674</v>
      </c>
      <c r="AH23718" s="831" t="s">
        <v>3044</v>
      </c>
      <c r="AI23718" s="831">
        <v>0</v>
      </c>
      <c r="AJ23718" s="835">
        <v>41364</v>
      </c>
      <c r="AK23718" s="831">
        <v>-2146826246</v>
      </c>
    </row>
    <row r="23719" spans="32:37">
      <c r="AF23719" s="831" t="s">
        <v>10842</v>
      </c>
      <c r="AG23719" s="831" t="s">
        <v>2674</v>
      </c>
      <c r="AH23719" s="831" t="s">
        <v>580</v>
      </c>
      <c r="AI23719" s="831">
        <v>0</v>
      </c>
      <c r="AJ23719" s="835">
        <v>41364</v>
      </c>
      <c r="AK23719" s="831">
        <v>-2146826246</v>
      </c>
    </row>
    <row r="23720" spans="32:37">
      <c r="AF23720" s="831" t="s">
        <v>10843</v>
      </c>
      <c r="AG23720" s="831" t="s">
        <v>2674</v>
      </c>
      <c r="AH23720" s="831" t="s">
        <v>581</v>
      </c>
      <c r="AI23720" s="831">
        <v>0</v>
      </c>
      <c r="AJ23720" s="835">
        <v>41364</v>
      </c>
      <c r="AK23720" s="831">
        <v>-2146826246</v>
      </c>
    </row>
    <row r="23721" spans="32:37">
      <c r="AF23721" s="831" t="s">
        <v>10844</v>
      </c>
      <c r="AG23721" s="831" t="s">
        <v>2674</v>
      </c>
      <c r="AH23721" s="831" t="s">
        <v>105</v>
      </c>
      <c r="AI23721" s="831">
        <v>0</v>
      </c>
      <c r="AJ23721" s="835">
        <v>41364</v>
      </c>
      <c r="AK23721" s="831">
        <v>251718369</v>
      </c>
    </row>
    <row r="23722" spans="32:37">
      <c r="AF23722" s="831" t="s">
        <v>10845</v>
      </c>
      <c r="AG23722" s="831" t="s">
        <v>2674</v>
      </c>
      <c r="AH23722" s="831" t="s">
        <v>3049</v>
      </c>
      <c r="AI23722" s="831">
        <v>0</v>
      </c>
      <c r="AJ23722" s="835">
        <v>41364</v>
      </c>
      <c r="AK23722" s="831">
        <v>433573874</v>
      </c>
    </row>
    <row r="23723" spans="32:37">
      <c r="AF23723" s="831" t="s">
        <v>10846</v>
      </c>
      <c r="AG23723" s="831" t="s">
        <v>2674</v>
      </c>
      <c r="AH23723" s="831" t="s">
        <v>103</v>
      </c>
      <c r="AI23723" s="831">
        <v>0</v>
      </c>
      <c r="AJ23723" s="835">
        <v>41364</v>
      </c>
      <c r="AK23723" s="831">
        <v>181855505</v>
      </c>
    </row>
    <row r="23724" spans="32:37">
      <c r="AF23724" s="831" t="s">
        <v>10847</v>
      </c>
      <c r="AG23724" s="831" t="s">
        <v>2674</v>
      </c>
      <c r="AH23724" s="831" t="s">
        <v>182</v>
      </c>
      <c r="AI23724" s="831">
        <v>0</v>
      </c>
      <c r="AJ23724" s="835">
        <v>41364</v>
      </c>
      <c r="AK23724" s="831">
        <v>54931936</v>
      </c>
    </row>
    <row r="23725" spans="32:37">
      <c r="AF23725" s="831" t="s">
        <v>10848</v>
      </c>
      <c r="AG23725" s="831" t="s">
        <v>2674</v>
      </c>
      <c r="AH23725" s="831" t="s">
        <v>6600</v>
      </c>
      <c r="AI23725" s="831">
        <v>0</v>
      </c>
      <c r="AJ23725" s="835">
        <v>41364</v>
      </c>
      <c r="AK23725" s="831">
        <v>-2146826246</v>
      </c>
    </row>
    <row r="23726" spans="32:37">
      <c r="AF23726" s="831" t="s">
        <v>10849</v>
      </c>
      <c r="AG23726" s="831" t="s">
        <v>2674</v>
      </c>
      <c r="AH23726" s="831" t="s">
        <v>6602</v>
      </c>
      <c r="AI23726" s="831">
        <v>0</v>
      </c>
      <c r="AJ23726" s="835">
        <v>41364</v>
      </c>
      <c r="AK23726" s="831">
        <v>6046166</v>
      </c>
    </row>
    <row r="23727" spans="32:37">
      <c r="AF23727" s="831" t="s">
        <v>10850</v>
      </c>
      <c r="AG23727" s="831" t="s">
        <v>2674</v>
      </c>
      <c r="AH23727" s="831" t="s">
        <v>650</v>
      </c>
      <c r="AI23727" s="831">
        <v>0</v>
      </c>
      <c r="AJ23727" s="835">
        <v>41364</v>
      </c>
      <c r="AK23727" s="831">
        <v>165371914.36363637</v>
      </c>
    </row>
    <row r="23728" spans="32:37">
      <c r="AF23728" s="831" t="s">
        <v>10851</v>
      </c>
      <c r="AG23728" s="831" t="s">
        <v>2674</v>
      </c>
      <c r="AH23728" s="831" t="s">
        <v>655</v>
      </c>
      <c r="AI23728" s="831">
        <v>0</v>
      </c>
      <c r="AJ23728" s="835">
        <v>41364</v>
      </c>
      <c r="AK23728" s="831">
        <v>1831184</v>
      </c>
    </row>
    <row r="23729" spans="32:37">
      <c r="AF23729" s="831" t="s">
        <v>10852</v>
      </c>
      <c r="AG23729" s="831" t="s">
        <v>2674</v>
      </c>
      <c r="AH23729" s="831" t="s">
        <v>546</v>
      </c>
      <c r="AI23729" s="831">
        <v>0</v>
      </c>
      <c r="AJ23729" s="835">
        <v>41394</v>
      </c>
      <c r="AK23729" s="831">
        <v>479771222</v>
      </c>
    </row>
    <row r="23730" spans="32:37">
      <c r="AF23730" s="831" t="s">
        <v>10853</v>
      </c>
      <c r="AG23730" s="831" t="s">
        <v>2674</v>
      </c>
      <c r="AH23730" s="831" t="s">
        <v>370</v>
      </c>
      <c r="AI23730" s="831">
        <v>0</v>
      </c>
      <c r="AJ23730" s="835">
        <v>41394</v>
      </c>
      <c r="AK23730" s="831">
        <v>566329383</v>
      </c>
    </row>
    <row r="23731" spans="32:37">
      <c r="AF23731" s="831" t="s">
        <v>10854</v>
      </c>
      <c r="AG23731" s="831" t="s">
        <v>2674</v>
      </c>
      <c r="AH23731" s="831" t="s">
        <v>126</v>
      </c>
      <c r="AI23731" s="831">
        <v>0</v>
      </c>
      <c r="AJ23731" s="835">
        <v>41394</v>
      </c>
      <c r="AK23731" s="831">
        <v>103327866</v>
      </c>
    </row>
    <row r="23732" spans="32:37">
      <c r="AF23732" s="831" t="s">
        <v>10855</v>
      </c>
      <c r="AG23732" s="831" t="s">
        <v>2674</v>
      </c>
      <c r="AH23732" s="831" t="s">
        <v>268</v>
      </c>
      <c r="AI23732" s="831">
        <v>0</v>
      </c>
      <c r="AJ23732" s="835">
        <v>41394</v>
      </c>
      <c r="AK23732" s="831">
        <v>8564643</v>
      </c>
    </row>
    <row r="23733" spans="32:37">
      <c r="AF23733" s="831" t="s">
        <v>10856</v>
      </c>
      <c r="AG23733" s="831" t="s">
        <v>2674</v>
      </c>
      <c r="AH23733" s="831" t="s">
        <v>547</v>
      </c>
      <c r="AI23733" s="831">
        <v>0</v>
      </c>
      <c r="AJ23733" s="835">
        <v>41394</v>
      </c>
      <c r="AK23733" s="831">
        <v>511487760</v>
      </c>
    </row>
    <row r="23734" spans="32:37">
      <c r="AF23734" s="831" t="s">
        <v>10857</v>
      </c>
      <c r="AG23734" s="831" t="s">
        <v>2674</v>
      </c>
      <c r="AH23734" s="831" t="s">
        <v>548</v>
      </c>
      <c r="AI23734" s="831">
        <v>0</v>
      </c>
      <c r="AJ23734" s="835">
        <v>41394</v>
      </c>
      <c r="AK23734" s="831">
        <v>96883184</v>
      </c>
    </row>
    <row r="23735" spans="32:37">
      <c r="AF23735" s="831" t="s">
        <v>10858</v>
      </c>
      <c r="AG23735" s="831" t="s">
        <v>2674</v>
      </c>
      <c r="AH23735" s="831" t="s">
        <v>549</v>
      </c>
      <c r="AI23735" s="831">
        <v>0</v>
      </c>
      <c r="AJ23735" s="835">
        <v>41394</v>
      </c>
      <c r="AK23735" s="831">
        <v>0</v>
      </c>
    </row>
    <row r="23736" spans="32:37">
      <c r="AF23736" s="831" t="s">
        <v>10859</v>
      </c>
      <c r="AG23736" s="831" t="s">
        <v>2674</v>
      </c>
      <c r="AH23736" s="831" t="s">
        <v>192</v>
      </c>
      <c r="AI23736" s="831">
        <v>0</v>
      </c>
      <c r="AJ23736" s="835">
        <v>41394</v>
      </c>
      <c r="AK23736" s="831">
        <v>-12137335</v>
      </c>
    </row>
    <row r="23737" spans="32:37">
      <c r="AF23737" s="831" t="s">
        <v>10860</v>
      </c>
      <c r="AG23737" s="831" t="s">
        <v>2674</v>
      </c>
      <c r="AH23737" s="831" t="s">
        <v>558</v>
      </c>
      <c r="AI23737" s="831">
        <v>0</v>
      </c>
      <c r="AJ23737" s="835">
        <v>41394</v>
      </c>
      <c r="AK23737" s="831">
        <v>463001517</v>
      </c>
    </row>
    <row r="23738" spans="32:37">
      <c r="AF23738" s="831" t="s">
        <v>10861</v>
      </c>
      <c r="AG23738" s="831" t="s">
        <v>2674</v>
      </c>
      <c r="AH23738" s="831" t="s">
        <v>65</v>
      </c>
      <c r="AI23738" s="831">
        <v>0</v>
      </c>
      <c r="AJ23738" s="835">
        <v>41394</v>
      </c>
      <c r="AK23738" s="831">
        <v>38829477</v>
      </c>
    </row>
    <row r="23739" spans="32:37">
      <c r="AF23739" s="831" t="s">
        <v>10862</v>
      </c>
      <c r="AG23739" s="831" t="s">
        <v>2674</v>
      </c>
      <c r="AH23739" s="831" t="s">
        <v>89</v>
      </c>
      <c r="AI23739" s="831">
        <v>0</v>
      </c>
      <c r="AJ23739" s="835">
        <v>41394</v>
      </c>
      <c r="AK23739" s="831">
        <v>132126</v>
      </c>
    </row>
    <row r="23740" spans="32:37">
      <c r="AF23740" s="831" t="s">
        <v>10863</v>
      </c>
      <c r="AG23740" s="831" t="s">
        <v>2674</v>
      </c>
      <c r="AH23740" s="831" t="s">
        <v>557</v>
      </c>
      <c r="AI23740" s="831">
        <v>0</v>
      </c>
      <c r="AJ23740" s="835">
        <v>41394</v>
      </c>
      <c r="AK23740" s="831">
        <v>135969</v>
      </c>
    </row>
    <row r="23741" spans="32:37">
      <c r="AF23741" s="831" t="s">
        <v>10864</v>
      </c>
      <c r="AG23741" s="831" t="s">
        <v>2674</v>
      </c>
      <c r="AH23741" s="831" t="s">
        <v>29</v>
      </c>
      <c r="AI23741" s="831">
        <v>0</v>
      </c>
      <c r="AJ23741" s="835">
        <v>41394</v>
      </c>
      <c r="AK23741" s="831">
        <v>3183810</v>
      </c>
    </row>
    <row r="23742" spans="32:37">
      <c r="AF23742" s="831" t="s">
        <v>10865</v>
      </c>
      <c r="AG23742" s="831" t="s">
        <v>2674</v>
      </c>
      <c r="AH23742" s="831" t="s">
        <v>2688</v>
      </c>
      <c r="AI23742" s="831">
        <v>0</v>
      </c>
      <c r="AJ23742" s="835">
        <v>41394</v>
      </c>
      <c r="AK23742" s="831">
        <v>2795249</v>
      </c>
    </row>
    <row r="23743" spans="32:37">
      <c r="AF23743" s="831" t="s">
        <v>10866</v>
      </c>
      <c r="AG23743" s="831" t="s">
        <v>2674</v>
      </c>
      <c r="AH23743" s="831" t="s">
        <v>556</v>
      </c>
      <c r="AI23743" s="831">
        <v>0</v>
      </c>
      <c r="AJ23743" s="835">
        <v>41394</v>
      </c>
      <c r="AK23743" s="831">
        <v>902857</v>
      </c>
    </row>
    <row r="23744" spans="32:37">
      <c r="AF23744" s="831" t="s">
        <v>10867</v>
      </c>
      <c r="AG23744" s="831" t="s">
        <v>2674</v>
      </c>
      <c r="AH23744" s="831" t="s">
        <v>555</v>
      </c>
      <c r="AI23744" s="831">
        <v>0</v>
      </c>
      <c r="AJ23744" s="835">
        <v>41394</v>
      </c>
      <c r="AK23744" s="831">
        <v>292199280</v>
      </c>
    </row>
    <row r="23745" spans="32:37">
      <c r="AF23745" s="831" t="s">
        <v>10868</v>
      </c>
      <c r="AG23745" s="831" t="s">
        <v>2674</v>
      </c>
      <c r="AH23745" s="831" t="s">
        <v>554</v>
      </c>
      <c r="AI23745" s="831">
        <v>0</v>
      </c>
      <c r="AJ23745" s="835">
        <v>41394</v>
      </c>
      <c r="AK23745" s="831">
        <v>282835760</v>
      </c>
    </row>
    <row r="23746" spans="32:37">
      <c r="AF23746" s="831" t="s">
        <v>10869</v>
      </c>
      <c r="AG23746" s="831" t="s">
        <v>2674</v>
      </c>
      <c r="AH23746" s="831" t="s">
        <v>553</v>
      </c>
      <c r="AI23746" s="831">
        <v>0</v>
      </c>
      <c r="AJ23746" s="835">
        <v>41394</v>
      </c>
      <c r="AK23746" s="831">
        <v>0</v>
      </c>
    </row>
    <row r="23747" spans="32:37">
      <c r="AF23747" s="831" t="s">
        <v>10870</v>
      </c>
      <c r="AG23747" s="831" t="s">
        <v>2674</v>
      </c>
      <c r="AH23747" s="831" t="s">
        <v>552</v>
      </c>
      <c r="AI23747" s="831">
        <v>0</v>
      </c>
      <c r="AJ23747" s="835">
        <v>41394</v>
      </c>
      <c r="AK23747" s="831">
        <v>0</v>
      </c>
    </row>
    <row r="23748" spans="32:37">
      <c r="AF23748" s="831" t="s">
        <v>10871</v>
      </c>
      <c r="AG23748" s="831" t="s">
        <v>2674</v>
      </c>
      <c r="AH23748" s="831" t="s">
        <v>551</v>
      </c>
      <c r="AI23748" s="831">
        <v>0</v>
      </c>
      <c r="AJ23748" s="835">
        <v>41394</v>
      </c>
      <c r="AK23748" s="831">
        <v>3073568</v>
      </c>
    </row>
    <row r="23749" spans="32:37">
      <c r="AF23749" s="831" t="s">
        <v>10872</v>
      </c>
      <c r="AG23749" s="831" t="s">
        <v>2674</v>
      </c>
      <c r="AH23749" s="831" t="s">
        <v>550</v>
      </c>
      <c r="AI23749" s="831">
        <v>0</v>
      </c>
      <c r="AJ23749" s="835">
        <v>41394</v>
      </c>
      <c r="AK23749" s="831">
        <v>100809389</v>
      </c>
    </row>
    <row r="23750" spans="32:37">
      <c r="AF23750" s="831" t="s">
        <v>10873</v>
      </c>
      <c r="AG23750" s="831" t="s">
        <v>2674</v>
      </c>
      <c r="AH23750" s="831" t="s">
        <v>562</v>
      </c>
      <c r="AI23750" s="831">
        <v>0</v>
      </c>
      <c r="AJ23750" s="835">
        <v>41394</v>
      </c>
      <c r="AK23750" s="831">
        <v>0.78405000000000002</v>
      </c>
    </row>
    <row r="23751" spans="32:37">
      <c r="AF23751" s="831" t="s">
        <v>10874</v>
      </c>
      <c r="AG23751" s="831" t="s">
        <v>2674</v>
      </c>
      <c r="AH23751" s="831" t="s">
        <v>2698</v>
      </c>
      <c r="AI23751" s="831">
        <v>0</v>
      </c>
      <c r="AJ23751" s="835">
        <v>41394</v>
      </c>
      <c r="AK23751" s="831">
        <v>0.78425</v>
      </c>
    </row>
    <row r="23752" spans="32:37">
      <c r="AF23752" s="831" t="s">
        <v>10875</v>
      </c>
      <c r="AG23752" s="831" t="s">
        <v>2674</v>
      </c>
      <c r="AH23752" s="831" t="s">
        <v>560</v>
      </c>
      <c r="AI23752" s="831">
        <v>0</v>
      </c>
      <c r="AJ23752" s="835">
        <v>41394</v>
      </c>
      <c r="AK23752" s="831">
        <v>0.78412500000000007</v>
      </c>
    </row>
    <row r="23753" spans="32:37">
      <c r="AF23753" s="831" t="s">
        <v>10876</v>
      </c>
      <c r="AG23753" s="831" t="s">
        <v>2674</v>
      </c>
      <c r="AH23753" s="831" t="s">
        <v>559</v>
      </c>
      <c r="AI23753" s="831">
        <v>0</v>
      </c>
      <c r="AJ23753" s="835">
        <v>41394</v>
      </c>
      <c r="AK23753" s="831">
        <v>0.78444166666666681</v>
      </c>
    </row>
    <row r="23754" spans="32:37">
      <c r="AF23754" s="831" t="s">
        <v>10877</v>
      </c>
      <c r="AG23754" s="831" t="s">
        <v>2674</v>
      </c>
      <c r="AH23754" s="831" t="s">
        <v>568</v>
      </c>
      <c r="AI23754" s="831">
        <v>0</v>
      </c>
      <c r="AJ23754" s="835">
        <v>41394</v>
      </c>
      <c r="AK23754" s="831">
        <v>394769770.66666669</v>
      </c>
    </row>
    <row r="23755" spans="32:37">
      <c r="AF23755" s="831" t="s">
        <v>10878</v>
      </c>
      <c r="AG23755" s="831" t="s">
        <v>2674</v>
      </c>
      <c r="AH23755" s="831" t="s">
        <v>569</v>
      </c>
      <c r="AI23755" s="831">
        <v>0</v>
      </c>
      <c r="AJ23755" s="835">
        <v>41394</v>
      </c>
      <c r="AK23755" s="831">
        <v>480682736.41666669</v>
      </c>
    </row>
    <row r="23756" spans="32:37">
      <c r="AF23756" s="831" t="s">
        <v>10879</v>
      </c>
      <c r="AG23756" s="831" t="s">
        <v>2674</v>
      </c>
      <c r="AH23756" s="831" t="s">
        <v>570</v>
      </c>
      <c r="AI23756" s="831">
        <v>0</v>
      </c>
      <c r="AJ23756" s="835">
        <v>41394</v>
      </c>
      <c r="AK23756" s="831">
        <v>97541596.583333328</v>
      </c>
    </row>
    <row r="23757" spans="32:37">
      <c r="AF23757" s="831" t="s">
        <v>10880</v>
      </c>
      <c r="AG23757" s="831" t="s">
        <v>2674</v>
      </c>
      <c r="AH23757" s="831" t="s">
        <v>571</v>
      </c>
      <c r="AI23757" s="831">
        <v>0</v>
      </c>
      <c r="AJ23757" s="835">
        <v>41394</v>
      </c>
      <c r="AK23757" s="831">
        <v>202392383.16666666</v>
      </c>
    </row>
    <row r="23758" spans="32:37">
      <c r="AF23758" s="831" t="s">
        <v>10881</v>
      </c>
      <c r="AG23758" s="831" t="s">
        <v>2674</v>
      </c>
      <c r="AH23758" s="831" t="s">
        <v>573</v>
      </c>
      <c r="AI23758" s="831">
        <v>0</v>
      </c>
      <c r="AJ23758" s="835">
        <v>41394</v>
      </c>
      <c r="AK23758" s="831">
        <v>532827178</v>
      </c>
    </row>
    <row r="23759" spans="32:37">
      <c r="AF23759" s="831" t="s">
        <v>10882</v>
      </c>
      <c r="AG23759" s="831" t="s">
        <v>2674</v>
      </c>
      <c r="AH23759" s="831" t="s">
        <v>574</v>
      </c>
      <c r="AI23759" s="831">
        <v>0</v>
      </c>
      <c r="AJ23759" s="835">
        <v>41394</v>
      </c>
      <c r="AK23759" s="831">
        <v>441082974.60000002</v>
      </c>
    </row>
    <row r="23760" spans="32:37">
      <c r="AF23760" s="831" t="s">
        <v>10883</v>
      </c>
      <c r="AG23760" s="831" t="s">
        <v>2674</v>
      </c>
      <c r="AH23760" s="831" t="s">
        <v>575</v>
      </c>
      <c r="AI23760" s="831">
        <v>0</v>
      </c>
      <c r="AJ23760" s="835">
        <v>41394</v>
      </c>
      <c r="AK23760" s="831">
        <v>100152884.2</v>
      </c>
    </row>
    <row r="23761" spans="32:37">
      <c r="AF23761" s="831" t="s">
        <v>10884</v>
      </c>
      <c r="AG23761" s="831" t="s">
        <v>2674</v>
      </c>
      <c r="AH23761" s="831" t="s">
        <v>576</v>
      </c>
      <c r="AI23761" s="831">
        <v>0</v>
      </c>
      <c r="AJ23761" s="835">
        <v>41394</v>
      </c>
      <c r="AK23761" s="831">
        <v>241749896</v>
      </c>
    </row>
    <row r="23762" spans="32:37">
      <c r="AF23762" s="831" t="s">
        <v>10885</v>
      </c>
      <c r="AG23762" s="831" t="s">
        <v>2674</v>
      </c>
      <c r="AH23762" s="831" t="s">
        <v>572</v>
      </c>
      <c r="AI23762" s="831">
        <v>0</v>
      </c>
      <c r="AJ23762" s="835">
        <v>41394</v>
      </c>
      <c r="AK23762" s="831">
        <v>24404594</v>
      </c>
    </row>
    <row r="23763" spans="32:37">
      <c r="AF23763" s="831" t="s">
        <v>10886</v>
      </c>
      <c r="AG23763" s="831" t="s">
        <v>2674</v>
      </c>
      <c r="AH23763" s="831" t="s">
        <v>577</v>
      </c>
      <c r="AI23763" s="831">
        <v>0</v>
      </c>
      <c r="AJ23763" s="835">
        <v>41394</v>
      </c>
      <c r="AK23763" s="831">
        <v>137705857</v>
      </c>
    </row>
    <row r="23764" spans="32:37">
      <c r="AF23764" s="831" t="s">
        <v>10887</v>
      </c>
      <c r="AG23764" s="831" t="s">
        <v>2674</v>
      </c>
      <c r="AH23764" s="831" t="s">
        <v>3042</v>
      </c>
      <c r="AI23764" s="831">
        <v>0</v>
      </c>
      <c r="AJ23764" s="835">
        <v>41394</v>
      </c>
      <c r="AK23764" s="831">
        <v>-34403926</v>
      </c>
    </row>
    <row r="23765" spans="32:37">
      <c r="AF23765" s="831" t="s">
        <v>10888</v>
      </c>
      <c r="AG23765" s="831" t="s">
        <v>2674</v>
      </c>
      <c r="AH23765" s="831" t="s">
        <v>3044</v>
      </c>
      <c r="AI23765" s="831">
        <v>0</v>
      </c>
      <c r="AJ23765" s="835">
        <v>41394</v>
      </c>
      <c r="AK23765" s="831">
        <v>-4759976</v>
      </c>
    </row>
    <row r="23766" spans="32:37">
      <c r="AF23766" s="831" t="s">
        <v>10889</v>
      </c>
      <c r="AG23766" s="831" t="s">
        <v>2674</v>
      </c>
      <c r="AH23766" s="831" t="s">
        <v>580</v>
      </c>
      <c r="AI23766" s="831">
        <v>0</v>
      </c>
      <c r="AJ23766" s="835">
        <v>41394</v>
      </c>
      <c r="AK23766" s="831">
        <v>-71824276</v>
      </c>
    </row>
    <row r="23767" spans="32:37">
      <c r="AF23767" s="831" t="s">
        <v>10890</v>
      </c>
      <c r="AG23767" s="831" t="s">
        <v>2674</v>
      </c>
      <c r="AH23767" s="831" t="s">
        <v>581</v>
      </c>
      <c r="AI23767" s="831">
        <v>0</v>
      </c>
      <c r="AJ23767" s="835">
        <v>41394</v>
      </c>
      <c r="AK23767" s="831">
        <v>4094604</v>
      </c>
    </row>
    <row r="23768" spans="32:37">
      <c r="AF23768" s="831" t="s">
        <v>10891</v>
      </c>
      <c r="AG23768" s="831" t="s">
        <v>2674</v>
      </c>
      <c r="AH23768" s="831" t="s">
        <v>105</v>
      </c>
      <c r="AI23768" s="831">
        <v>0</v>
      </c>
      <c r="AJ23768" s="835">
        <v>41394</v>
      </c>
      <c r="AK23768" s="831">
        <v>256750039</v>
      </c>
    </row>
    <row r="23769" spans="32:37">
      <c r="AF23769" s="831" t="s">
        <v>10892</v>
      </c>
      <c r="AG23769" s="831" t="s">
        <v>2674</v>
      </c>
      <c r="AH23769" s="831" t="s">
        <v>3049</v>
      </c>
      <c r="AI23769" s="831">
        <v>0</v>
      </c>
      <c r="AJ23769" s="835">
        <v>41394</v>
      </c>
      <c r="AK23769" s="831">
        <v>448399148</v>
      </c>
    </row>
    <row r="23770" spans="32:37">
      <c r="AF23770" s="831" t="s">
        <v>10893</v>
      </c>
      <c r="AG23770" s="831" t="s">
        <v>2674</v>
      </c>
      <c r="AH23770" s="831" t="s">
        <v>103</v>
      </c>
      <c r="AI23770" s="831">
        <v>0</v>
      </c>
      <c r="AJ23770" s="835">
        <v>41394</v>
      </c>
      <c r="AK23770" s="831">
        <v>191649109</v>
      </c>
    </row>
    <row r="23771" spans="32:37">
      <c r="AF23771" s="831" t="s">
        <v>10894</v>
      </c>
      <c r="AG23771" s="831" t="s">
        <v>2674</v>
      </c>
      <c r="AH23771" s="831" t="s">
        <v>182</v>
      </c>
      <c r="AI23771" s="831">
        <v>0</v>
      </c>
      <c r="AJ23771" s="835">
        <v>41394</v>
      </c>
      <c r="AK23771" s="831">
        <v>55518615</v>
      </c>
    </row>
    <row r="23772" spans="32:37">
      <c r="AF23772" s="831" t="s">
        <v>10895</v>
      </c>
      <c r="AG23772" s="831" t="s">
        <v>2674</v>
      </c>
      <c r="AH23772" s="831" t="s">
        <v>6600</v>
      </c>
      <c r="AI23772" s="831">
        <v>0</v>
      </c>
      <c r="AJ23772" s="835">
        <v>41394</v>
      </c>
      <c r="AK23772" s="831">
        <v>24404594</v>
      </c>
    </row>
    <row r="23773" spans="32:37">
      <c r="AF23773" s="831" t="s">
        <v>10896</v>
      </c>
      <c r="AG23773" s="831" t="s">
        <v>2674</v>
      </c>
      <c r="AH23773" s="831" t="s">
        <v>6602</v>
      </c>
      <c r="AI23773" s="831">
        <v>0</v>
      </c>
      <c r="AJ23773" s="835">
        <v>41394</v>
      </c>
      <c r="AK23773" s="831">
        <v>8564643</v>
      </c>
    </row>
    <row r="23774" spans="32:37">
      <c r="AF23774" s="831" t="s">
        <v>10897</v>
      </c>
      <c r="AG23774" s="831" t="s">
        <v>2674</v>
      </c>
      <c r="AH23774" s="831" t="s">
        <v>650</v>
      </c>
      <c r="AI23774" s="831">
        <v>0</v>
      </c>
      <c r="AJ23774" s="835">
        <v>41394</v>
      </c>
      <c r="AK23774" s="831">
        <v>167561680.58333334</v>
      </c>
    </row>
    <row r="23775" spans="32:37">
      <c r="AF23775" s="831" t="s">
        <v>10898</v>
      </c>
      <c r="AG23775" s="831" t="s">
        <v>2674</v>
      </c>
      <c r="AH23775" s="831" t="s">
        <v>655</v>
      </c>
      <c r="AI23775" s="831">
        <v>0</v>
      </c>
      <c r="AJ23775" s="835">
        <v>41394</v>
      </c>
      <c r="AK23775" s="831">
        <v>2577725</v>
      </c>
    </row>
    <row r="23776" spans="32:37">
      <c r="AF23776" s="831" t="s">
        <v>10899</v>
      </c>
      <c r="AG23776" s="831" t="s">
        <v>2674</v>
      </c>
      <c r="AH23776" s="831" t="s">
        <v>546</v>
      </c>
      <c r="AI23776" s="831">
        <v>0</v>
      </c>
      <c r="AJ23776" s="835">
        <v>41425</v>
      </c>
      <c r="AK23776" s="831">
        <v>505264542</v>
      </c>
    </row>
    <row r="23777" spans="32:37">
      <c r="AF23777" s="831" t="s">
        <v>10900</v>
      </c>
      <c r="AG23777" s="831" t="s">
        <v>2674</v>
      </c>
      <c r="AH23777" s="831" t="s">
        <v>370</v>
      </c>
      <c r="AI23777" s="831">
        <v>0</v>
      </c>
      <c r="AJ23777" s="835">
        <v>41425</v>
      </c>
      <c r="AK23777" s="831">
        <v>595292976</v>
      </c>
    </row>
    <row r="23778" spans="32:37">
      <c r="AF23778" s="831" t="s">
        <v>10901</v>
      </c>
      <c r="AG23778" s="831" t="s">
        <v>2674</v>
      </c>
      <c r="AH23778" s="831" t="s">
        <v>126</v>
      </c>
      <c r="AI23778" s="831">
        <v>0</v>
      </c>
      <c r="AJ23778" s="835">
        <v>41425</v>
      </c>
      <c r="AK23778" s="831">
        <v>105651356</v>
      </c>
    </row>
    <row r="23779" spans="32:37">
      <c r="AF23779" s="831" t="s">
        <v>10902</v>
      </c>
      <c r="AG23779" s="831" t="s">
        <v>2674</v>
      </c>
      <c r="AH23779" s="831" t="s">
        <v>268</v>
      </c>
      <c r="AI23779" s="831">
        <v>0</v>
      </c>
      <c r="AJ23779" s="835">
        <v>41425</v>
      </c>
      <c r="AK23779" s="831">
        <v>10888133</v>
      </c>
    </row>
    <row r="23780" spans="32:37">
      <c r="AF23780" s="831" t="s">
        <v>10903</v>
      </c>
      <c r="AG23780" s="831" t="s">
        <v>2674</v>
      </c>
      <c r="AH23780" s="831" t="s">
        <v>547</v>
      </c>
      <c r="AI23780" s="831">
        <v>0</v>
      </c>
      <c r="AJ23780" s="835">
        <v>41425</v>
      </c>
      <c r="AK23780" s="831">
        <v>511487760</v>
      </c>
    </row>
    <row r="23781" spans="32:37">
      <c r="AF23781" s="831" t="s">
        <v>10904</v>
      </c>
      <c r="AG23781" s="831" t="s">
        <v>2674</v>
      </c>
      <c r="AH23781" s="831" t="s">
        <v>548</v>
      </c>
      <c r="AI23781" s="831">
        <v>0</v>
      </c>
      <c r="AJ23781" s="835">
        <v>41425</v>
      </c>
      <c r="AK23781" s="831">
        <v>96883184</v>
      </c>
    </row>
    <row r="23782" spans="32:37">
      <c r="AF23782" s="831" t="s">
        <v>10905</v>
      </c>
      <c r="AG23782" s="831" t="s">
        <v>2674</v>
      </c>
      <c r="AH23782" s="831" t="s">
        <v>549</v>
      </c>
      <c r="AI23782" s="831">
        <v>0</v>
      </c>
      <c r="AJ23782" s="835">
        <v>41425</v>
      </c>
      <c r="AK23782" s="831">
        <v>339221349</v>
      </c>
    </row>
    <row r="23783" spans="32:37">
      <c r="AF23783" s="831" t="s">
        <v>10906</v>
      </c>
      <c r="AG23783" s="831" t="s">
        <v>2674</v>
      </c>
      <c r="AH23783" s="831" t="s">
        <v>192</v>
      </c>
      <c r="AI23783" s="831">
        <v>0</v>
      </c>
      <c r="AJ23783" s="835">
        <v>41425</v>
      </c>
      <c r="AK23783" s="831">
        <v>-12896676</v>
      </c>
    </row>
    <row r="23784" spans="32:37">
      <c r="AF23784" s="831" t="s">
        <v>10907</v>
      </c>
      <c r="AG23784" s="831" t="s">
        <v>2674</v>
      </c>
      <c r="AH23784" s="831" t="s">
        <v>558</v>
      </c>
      <c r="AI23784" s="831">
        <v>0</v>
      </c>
      <c r="AJ23784" s="835">
        <v>41425</v>
      </c>
      <c r="AK23784" s="831">
        <v>489641620</v>
      </c>
    </row>
    <row r="23785" spans="32:37">
      <c r="AF23785" s="831" t="s">
        <v>10908</v>
      </c>
      <c r="AG23785" s="831" t="s">
        <v>2674</v>
      </c>
      <c r="AH23785" s="831" t="s">
        <v>65</v>
      </c>
      <c r="AI23785" s="831">
        <v>0</v>
      </c>
      <c r="AJ23785" s="835">
        <v>41425</v>
      </c>
      <c r="AK23785" s="831">
        <v>49637231</v>
      </c>
    </row>
    <row r="23786" spans="32:37">
      <c r="AF23786" s="831" t="s">
        <v>10909</v>
      </c>
      <c r="AG23786" s="831" t="s">
        <v>2674</v>
      </c>
      <c r="AH23786" s="831" t="s">
        <v>89</v>
      </c>
      <c r="AI23786" s="831">
        <v>0</v>
      </c>
      <c r="AJ23786" s="835">
        <v>41425</v>
      </c>
      <c r="AK23786" s="831">
        <v>135204</v>
      </c>
    </row>
    <row r="23787" spans="32:37">
      <c r="AF23787" s="831" t="s">
        <v>10910</v>
      </c>
      <c r="AG23787" s="831" t="s">
        <v>2674</v>
      </c>
      <c r="AH23787" s="831" t="s">
        <v>557</v>
      </c>
      <c r="AI23787" s="831">
        <v>0</v>
      </c>
      <c r="AJ23787" s="835">
        <v>41425</v>
      </c>
      <c r="AK23787" s="831">
        <v>139930</v>
      </c>
    </row>
    <row r="23788" spans="32:37">
      <c r="AF23788" s="831" t="s">
        <v>10911</v>
      </c>
      <c r="AG23788" s="831" t="s">
        <v>2674</v>
      </c>
      <c r="AH23788" s="831" t="s">
        <v>29</v>
      </c>
      <c r="AI23788" s="831">
        <v>0</v>
      </c>
      <c r="AJ23788" s="835">
        <v>41425</v>
      </c>
      <c r="AK23788" s="831">
        <v>2486253</v>
      </c>
    </row>
    <row r="23789" spans="32:37">
      <c r="AF23789" s="831" t="s">
        <v>10912</v>
      </c>
      <c r="AG23789" s="831" t="s">
        <v>2674</v>
      </c>
      <c r="AH23789" s="831" t="s">
        <v>2688</v>
      </c>
      <c r="AI23789" s="831">
        <v>0</v>
      </c>
      <c r="AJ23789" s="835">
        <v>41425</v>
      </c>
      <c r="AK23789" s="831">
        <v>2733940</v>
      </c>
    </row>
    <row r="23790" spans="32:37">
      <c r="AF23790" s="831" t="s">
        <v>10913</v>
      </c>
      <c r="AG23790" s="831" t="s">
        <v>2674</v>
      </c>
      <c r="AH23790" s="831" t="s">
        <v>556</v>
      </c>
      <c r="AI23790" s="831">
        <v>0</v>
      </c>
      <c r="AJ23790" s="835">
        <v>41425</v>
      </c>
      <c r="AK23790" s="831">
        <v>902857</v>
      </c>
    </row>
    <row r="23791" spans="32:37">
      <c r="AF23791" s="831" t="s">
        <v>10914</v>
      </c>
      <c r="AG23791" s="831" t="s">
        <v>2674</v>
      </c>
      <c r="AH23791" s="831" t="s">
        <v>555</v>
      </c>
      <c r="AI23791" s="831">
        <v>0</v>
      </c>
      <c r="AJ23791" s="835">
        <v>41425</v>
      </c>
      <c r="AK23791" s="831">
        <v>310274630</v>
      </c>
    </row>
    <row r="23792" spans="32:37">
      <c r="AF23792" s="831" t="s">
        <v>10915</v>
      </c>
      <c r="AG23792" s="831" t="s">
        <v>2674</v>
      </c>
      <c r="AH23792" s="831" t="s">
        <v>554</v>
      </c>
      <c r="AI23792" s="831">
        <v>0</v>
      </c>
      <c r="AJ23792" s="835">
        <v>41425</v>
      </c>
      <c r="AK23792" s="831">
        <v>296232200</v>
      </c>
    </row>
    <row r="23793" spans="32:37">
      <c r="AF23793" s="831" t="s">
        <v>10916</v>
      </c>
      <c r="AG23793" s="831" t="s">
        <v>2674</v>
      </c>
      <c r="AH23793" s="831" t="s">
        <v>553</v>
      </c>
      <c r="AI23793" s="831">
        <v>0</v>
      </c>
      <c r="AJ23793" s="835">
        <v>41425</v>
      </c>
      <c r="AK23793" s="831">
        <v>0</v>
      </c>
    </row>
    <row r="23794" spans="32:37">
      <c r="AF23794" s="831" t="s">
        <v>10917</v>
      </c>
      <c r="AG23794" s="831" t="s">
        <v>2674</v>
      </c>
      <c r="AH23794" s="831" t="s">
        <v>552</v>
      </c>
      <c r="AI23794" s="831">
        <v>0</v>
      </c>
      <c r="AJ23794" s="835">
        <v>41425</v>
      </c>
      <c r="AK23794" s="831">
        <v>0</v>
      </c>
    </row>
    <row r="23795" spans="32:37">
      <c r="AF23795" s="831" t="s">
        <v>10918</v>
      </c>
      <c r="AG23795" s="831" t="s">
        <v>2674</v>
      </c>
      <c r="AH23795" s="831" t="s">
        <v>551</v>
      </c>
      <c r="AI23795" s="831">
        <v>0</v>
      </c>
      <c r="AJ23795" s="835">
        <v>41425</v>
      </c>
      <c r="AK23795" s="831">
        <v>2323653</v>
      </c>
    </row>
    <row r="23796" spans="32:37">
      <c r="AF23796" s="831" t="s">
        <v>10919</v>
      </c>
      <c r="AG23796" s="831" t="s">
        <v>2674</v>
      </c>
      <c r="AH23796" s="831" t="s">
        <v>550</v>
      </c>
      <c r="AI23796" s="831">
        <v>0</v>
      </c>
      <c r="AJ23796" s="835">
        <v>41425</v>
      </c>
      <c r="AK23796" s="831">
        <v>103327866</v>
      </c>
    </row>
    <row r="23797" spans="32:37">
      <c r="AF23797" s="831" t="s">
        <v>10920</v>
      </c>
      <c r="AG23797" s="831" t="s">
        <v>2674</v>
      </c>
      <c r="AH23797" s="831" t="s">
        <v>562</v>
      </c>
      <c r="AI23797" s="831">
        <v>0</v>
      </c>
      <c r="AJ23797" s="835">
        <v>41425</v>
      </c>
      <c r="AK23797" s="831">
        <v>0.78405000000000002</v>
      </c>
    </row>
    <row r="23798" spans="32:37">
      <c r="AF23798" s="831" t="s">
        <v>10921</v>
      </c>
      <c r="AG23798" s="831" t="s">
        <v>2674</v>
      </c>
      <c r="AH23798" s="831" t="s">
        <v>2698</v>
      </c>
      <c r="AI23798" s="831">
        <v>0</v>
      </c>
      <c r="AJ23798" s="835">
        <v>41425</v>
      </c>
      <c r="AK23798" s="831">
        <v>0.78405000000000002</v>
      </c>
    </row>
    <row r="23799" spans="32:37">
      <c r="AF23799" s="831" t="s">
        <v>10922</v>
      </c>
      <c r="AG23799" s="831" t="s">
        <v>2674</v>
      </c>
      <c r="AH23799" s="831" t="s">
        <v>560</v>
      </c>
      <c r="AI23799" s="831">
        <v>0</v>
      </c>
      <c r="AJ23799" s="835">
        <v>41425</v>
      </c>
      <c r="AK23799" s="831">
        <v>0.78410999999999997</v>
      </c>
    </row>
    <row r="23800" spans="32:37">
      <c r="AF23800" s="831" t="s">
        <v>10923</v>
      </c>
      <c r="AG23800" s="831" t="s">
        <v>2674</v>
      </c>
      <c r="AH23800" s="831" t="s">
        <v>559</v>
      </c>
      <c r="AI23800" s="831">
        <v>0</v>
      </c>
      <c r="AJ23800" s="835">
        <v>41425</v>
      </c>
      <c r="AK23800" s="831">
        <v>0.78434999999999999</v>
      </c>
    </row>
    <row r="23801" spans="32:37">
      <c r="AF23801" s="831" t="s">
        <v>10924</v>
      </c>
      <c r="AG23801" s="831" t="s">
        <v>2674</v>
      </c>
      <c r="AH23801" s="831" t="s">
        <v>568</v>
      </c>
      <c r="AI23801" s="831">
        <v>0</v>
      </c>
      <c r="AJ23801" s="835">
        <v>41425</v>
      </c>
      <c r="AK23801" s="831">
        <v>403269368.46153843</v>
      </c>
    </row>
    <row r="23802" spans="32:37">
      <c r="AF23802" s="831" t="s">
        <v>10925</v>
      </c>
      <c r="AG23802" s="831" t="s">
        <v>2674</v>
      </c>
      <c r="AH23802" s="831" t="s">
        <v>569</v>
      </c>
      <c r="AI23802" s="831">
        <v>0</v>
      </c>
      <c r="AJ23802" s="835">
        <v>41425</v>
      </c>
      <c r="AK23802" s="831">
        <v>489498908.69230771</v>
      </c>
    </row>
    <row r="23803" spans="32:37">
      <c r="AF23803" s="831" t="s">
        <v>10926</v>
      </c>
      <c r="AG23803" s="831" t="s">
        <v>2674</v>
      </c>
      <c r="AH23803" s="831" t="s">
        <v>570</v>
      </c>
      <c r="AI23803" s="831">
        <v>0</v>
      </c>
      <c r="AJ23803" s="835">
        <v>41425</v>
      </c>
      <c r="AK23803" s="831">
        <v>98165424.230769232</v>
      </c>
    </row>
    <row r="23804" spans="32:37">
      <c r="AF23804" s="831" t="s">
        <v>10927</v>
      </c>
      <c r="AG23804" s="831" t="s">
        <v>2674</v>
      </c>
      <c r="AH23804" s="831" t="s">
        <v>571</v>
      </c>
      <c r="AI23804" s="831">
        <v>0</v>
      </c>
      <c r="AJ23804" s="835">
        <v>41425</v>
      </c>
      <c r="AK23804" s="831">
        <v>207953338.07692307</v>
      </c>
    </row>
    <row r="23805" spans="32:37">
      <c r="AF23805" s="831" t="s">
        <v>10928</v>
      </c>
      <c r="AG23805" s="831" t="s">
        <v>2674</v>
      </c>
      <c r="AH23805" s="831" t="s">
        <v>573</v>
      </c>
      <c r="AI23805" s="831">
        <v>0</v>
      </c>
      <c r="AJ23805" s="835">
        <v>41425</v>
      </c>
      <c r="AK23805" s="831">
        <v>543238144.33333337</v>
      </c>
    </row>
    <row r="23806" spans="32:37">
      <c r="AF23806" s="831" t="s">
        <v>10929</v>
      </c>
      <c r="AG23806" s="831" t="s">
        <v>2674</v>
      </c>
      <c r="AH23806" s="831" t="s">
        <v>574</v>
      </c>
      <c r="AI23806" s="831">
        <v>0</v>
      </c>
      <c r="AJ23806" s="835">
        <v>41425</v>
      </c>
      <c r="AK23806" s="831">
        <v>451779902.5</v>
      </c>
    </row>
    <row r="23807" spans="32:37">
      <c r="AF23807" s="831" t="s">
        <v>10930</v>
      </c>
      <c r="AG23807" s="831" t="s">
        <v>2674</v>
      </c>
      <c r="AH23807" s="831" t="s">
        <v>575</v>
      </c>
      <c r="AI23807" s="831">
        <v>0</v>
      </c>
      <c r="AJ23807" s="835">
        <v>41425</v>
      </c>
      <c r="AK23807" s="831">
        <v>101069296.16666667</v>
      </c>
    </row>
    <row r="23808" spans="32:37">
      <c r="AF23808" s="831" t="s">
        <v>10931</v>
      </c>
      <c r="AG23808" s="831" t="s">
        <v>2674</v>
      </c>
      <c r="AH23808" s="831" t="s">
        <v>576</v>
      </c>
      <c r="AI23808" s="831">
        <v>0</v>
      </c>
      <c r="AJ23808" s="835">
        <v>41425</v>
      </c>
      <c r="AK23808" s="831">
        <v>247239046.16666666</v>
      </c>
    </row>
    <row r="23809" spans="32:37">
      <c r="AF23809" s="831" t="s">
        <v>10932</v>
      </c>
      <c r="AG23809" s="831" t="s">
        <v>2674</v>
      </c>
      <c r="AH23809" s="831" t="s">
        <v>572</v>
      </c>
      <c r="AI23809" s="831">
        <v>0</v>
      </c>
      <c r="AJ23809" s="835">
        <v>41425</v>
      </c>
      <c r="AK23809" s="831">
        <v>21530747</v>
      </c>
    </row>
    <row r="23810" spans="32:37">
      <c r="AF23810" s="831" t="s">
        <v>10933</v>
      </c>
      <c r="AG23810" s="831" t="s">
        <v>2674</v>
      </c>
      <c r="AH23810" s="831" t="s">
        <v>577</v>
      </c>
      <c r="AI23810" s="831">
        <v>0</v>
      </c>
      <c r="AJ23810" s="835">
        <v>41425</v>
      </c>
      <c r="AK23810" s="831">
        <v>110403012</v>
      </c>
    </row>
    <row r="23811" spans="32:37">
      <c r="AF23811" s="831" t="s">
        <v>10934</v>
      </c>
      <c r="AG23811" s="831" t="s">
        <v>2674</v>
      </c>
      <c r="AH23811" s="831" t="s">
        <v>3042</v>
      </c>
      <c r="AI23811" s="831">
        <v>0</v>
      </c>
      <c r="AJ23811" s="835">
        <v>41425</v>
      </c>
      <c r="AK23811" s="831">
        <v>-27020607</v>
      </c>
    </row>
    <row r="23812" spans="32:37">
      <c r="AF23812" s="831" t="s">
        <v>10935</v>
      </c>
      <c r="AG23812" s="831" t="s">
        <v>2674</v>
      </c>
      <c r="AH23812" s="831" t="s">
        <v>3044</v>
      </c>
      <c r="AI23812" s="831">
        <v>0</v>
      </c>
      <c r="AJ23812" s="835">
        <v>41425</v>
      </c>
      <c r="AK23812" s="831">
        <v>-4070350</v>
      </c>
    </row>
    <row r="23813" spans="32:37">
      <c r="AF23813" s="831" t="s">
        <v>10936</v>
      </c>
      <c r="AG23813" s="831" t="s">
        <v>2674</v>
      </c>
      <c r="AH23813" s="831" t="s">
        <v>580</v>
      </c>
      <c r="AI23813" s="831">
        <v>0</v>
      </c>
      <c r="AJ23813" s="835">
        <v>41425</v>
      </c>
      <c r="AK23813" s="831">
        <v>-55847177</v>
      </c>
    </row>
    <row r="23814" spans="32:37">
      <c r="AF23814" s="831" t="s">
        <v>10937</v>
      </c>
      <c r="AG23814" s="831" t="s">
        <v>2674</v>
      </c>
      <c r="AH23814" s="831" t="s">
        <v>581</v>
      </c>
      <c r="AI23814" s="831">
        <v>0</v>
      </c>
      <c r="AJ23814" s="835">
        <v>41425</v>
      </c>
      <c r="AK23814" s="831">
        <v>3833349</v>
      </c>
    </row>
    <row r="23815" spans="32:37">
      <c r="AF23815" s="831" t="s">
        <v>10938</v>
      </c>
      <c r="AG23815" s="831" t="s">
        <v>2674</v>
      </c>
      <c r="AH23815" s="831" t="s">
        <v>105</v>
      </c>
      <c r="AI23815" s="831">
        <v>0</v>
      </c>
      <c r="AJ23815" s="835">
        <v>41425</v>
      </c>
      <c r="AK23815" s="831">
        <v>274684797</v>
      </c>
    </row>
    <row r="23816" spans="32:37">
      <c r="AF23816" s="831" t="s">
        <v>10939</v>
      </c>
      <c r="AG23816" s="831" t="s">
        <v>2674</v>
      </c>
      <c r="AH23816" s="831" t="s">
        <v>3049</v>
      </c>
      <c r="AI23816" s="831">
        <v>0</v>
      </c>
      <c r="AJ23816" s="835">
        <v>41425</v>
      </c>
      <c r="AK23816" s="831">
        <v>474215187</v>
      </c>
    </row>
    <row r="23817" spans="32:37">
      <c r="AF23817" s="831" t="s">
        <v>10940</v>
      </c>
      <c r="AG23817" s="831" t="s">
        <v>2674</v>
      </c>
      <c r="AH23817" s="831" t="s">
        <v>103</v>
      </c>
      <c r="AI23817" s="831">
        <v>0</v>
      </c>
      <c r="AJ23817" s="835">
        <v>41425</v>
      </c>
      <c r="AK23817" s="831">
        <v>199530390</v>
      </c>
    </row>
    <row r="23818" spans="32:37">
      <c r="AF23818" s="831" t="s">
        <v>10941</v>
      </c>
      <c r="AG23818" s="831" t="s">
        <v>2674</v>
      </c>
      <c r="AH23818" s="831" t="s">
        <v>182</v>
      </c>
      <c r="AI23818" s="831">
        <v>0</v>
      </c>
      <c r="AJ23818" s="835">
        <v>41425</v>
      </c>
      <c r="AK23818" s="831">
        <v>56542824</v>
      </c>
    </row>
    <row r="23819" spans="32:37">
      <c r="AF23819" s="831" t="s">
        <v>10942</v>
      </c>
      <c r="AG23819" s="831" t="s">
        <v>2674</v>
      </c>
      <c r="AH23819" s="831" t="s">
        <v>6600</v>
      </c>
      <c r="AI23819" s="831">
        <v>0</v>
      </c>
      <c r="AJ23819" s="835">
        <v>41425</v>
      </c>
      <c r="AK23819" s="831">
        <v>21530747</v>
      </c>
    </row>
    <row r="23820" spans="32:37">
      <c r="AF23820" s="831" t="s">
        <v>10943</v>
      </c>
      <c r="AG23820" s="831" t="s">
        <v>2674</v>
      </c>
      <c r="AH23820" s="831" t="s">
        <v>6602</v>
      </c>
      <c r="AI23820" s="831">
        <v>0</v>
      </c>
      <c r="AJ23820" s="835">
        <v>41425</v>
      </c>
      <c r="AK23820" s="831">
        <v>10888133</v>
      </c>
    </row>
    <row r="23821" spans="32:37">
      <c r="AF23821" s="831" t="s">
        <v>10944</v>
      </c>
      <c r="AG23821" s="831" t="s">
        <v>2674</v>
      </c>
      <c r="AH23821" s="831" t="s">
        <v>650</v>
      </c>
      <c r="AI23821" s="831">
        <v>0</v>
      </c>
      <c r="AJ23821" s="835">
        <v>41425</v>
      </c>
      <c r="AK23821" s="831">
        <v>170020812.07692307</v>
      </c>
    </row>
    <row r="23822" spans="32:37">
      <c r="AF23822" s="831" t="s">
        <v>10945</v>
      </c>
      <c r="AG23822" s="831" t="s">
        <v>2674</v>
      </c>
      <c r="AH23822" s="831" t="s">
        <v>655</v>
      </c>
      <c r="AI23822" s="831">
        <v>0</v>
      </c>
      <c r="AJ23822" s="835">
        <v>41425</v>
      </c>
      <c r="AK23822" s="831">
        <v>2273827</v>
      </c>
    </row>
    <row r="23823" spans="32:37">
      <c r="AF23823" s="831" t="s">
        <v>10946</v>
      </c>
      <c r="AG23823" s="831" t="s">
        <v>2674</v>
      </c>
      <c r="AH23823" s="831" t="s">
        <v>546</v>
      </c>
      <c r="AI23823" s="831">
        <v>0</v>
      </c>
      <c r="AJ23823" s="835">
        <v>41455</v>
      </c>
      <c r="AK23823" s="831">
        <v>514798833</v>
      </c>
    </row>
    <row r="23824" spans="32:37">
      <c r="AF23824" s="831" t="s">
        <v>10947</v>
      </c>
      <c r="AG23824" s="831" t="s">
        <v>2674</v>
      </c>
      <c r="AH23824" s="831" t="s">
        <v>370</v>
      </c>
      <c r="AI23824" s="831">
        <v>0</v>
      </c>
      <c r="AJ23824" s="835">
        <v>41455</v>
      </c>
      <c r="AK23824" s="831">
        <v>641101315</v>
      </c>
    </row>
    <row r="23825" spans="32:37">
      <c r="AF23825" s="831" t="s">
        <v>10948</v>
      </c>
      <c r="AG23825" s="831" t="s">
        <v>2674</v>
      </c>
      <c r="AH23825" s="831" t="s">
        <v>126</v>
      </c>
      <c r="AI23825" s="831">
        <v>0</v>
      </c>
      <c r="AJ23825" s="835">
        <v>41455</v>
      </c>
      <c r="AK23825" s="831">
        <v>108060358</v>
      </c>
    </row>
    <row r="23826" spans="32:37">
      <c r="AF23826" s="831" t="s">
        <v>10949</v>
      </c>
      <c r="AG23826" s="831" t="s">
        <v>2674</v>
      </c>
      <c r="AH23826" s="831" t="s">
        <v>268</v>
      </c>
      <c r="AI23826" s="831">
        <v>0</v>
      </c>
      <c r="AJ23826" s="835">
        <v>41455</v>
      </c>
      <c r="AK23826" s="831">
        <v>13297133</v>
      </c>
    </row>
    <row r="23827" spans="32:37">
      <c r="AF23827" s="831" t="s">
        <v>10950</v>
      </c>
      <c r="AG23827" s="831" t="s">
        <v>2674</v>
      </c>
      <c r="AH23827" s="831" t="s">
        <v>547</v>
      </c>
      <c r="AI23827" s="831">
        <v>0</v>
      </c>
      <c r="AJ23827" s="835">
        <v>41455</v>
      </c>
      <c r="AK23827" s="831">
        <v>511487760</v>
      </c>
    </row>
    <row r="23828" spans="32:37">
      <c r="AF23828" s="831" t="s">
        <v>10951</v>
      </c>
      <c r="AG23828" s="831" t="s">
        <v>2674</v>
      </c>
      <c r="AH23828" s="831" t="s">
        <v>548</v>
      </c>
      <c r="AI23828" s="831">
        <v>0</v>
      </c>
      <c r="AJ23828" s="835">
        <v>41455</v>
      </c>
      <c r="AK23828" s="831">
        <v>96883184</v>
      </c>
    </row>
    <row r="23829" spans="32:37">
      <c r="AF23829" s="831" t="s">
        <v>10952</v>
      </c>
      <c r="AG23829" s="831" t="s">
        <v>2674</v>
      </c>
      <c r="AH23829" s="831" t="s">
        <v>549</v>
      </c>
      <c r="AI23829" s="831">
        <v>0</v>
      </c>
      <c r="AJ23829" s="835">
        <v>41455</v>
      </c>
      <c r="AK23829" s="831">
        <v>342628450</v>
      </c>
    </row>
    <row r="23830" spans="32:37">
      <c r="AF23830" s="831" t="s">
        <v>10953</v>
      </c>
      <c r="AG23830" s="831" t="s">
        <v>2674</v>
      </c>
      <c r="AH23830" s="831" t="s">
        <v>192</v>
      </c>
      <c r="AI23830" s="831">
        <v>0</v>
      </c>
      <c r="AJ23830" s="835">
        <v>41455</v>
      </c>
      <c r="AK23830" s="831">
        <v>-11546784</v>
      </c>
    </row>
    <row r="23831" spans="32:37">
      <c r="AF23831" s="831" t="s">
        <v>10954</v>
      </c>
      <c r="AG23831" s="831" t="s">
        <v>2674</v>
      </c>
      <c r="AH23831" s="831" t="s">
        <v>558</v>
      </c>
      <c r="AI23831" s="831">
        <v>0</v>
      </c>
      <c r="AJ23831" s="835">
        <v>41455</v>
      </c>
      <c r="AK23831" s="831">
        <v>533040957</v>
      </c>
    </row>
    <row r="23832" spans="32:37">
      <c r="AF23832" s="831" t="s">
        <v>10955</v>
      </c>
      <c r="AG23832" s="831" t="s">
        <v>2674</v>
      </c>
      <c r="AH23832" s="831" t="s">
        <v>65</v>
      </c>
      <c r="AI23832" s="831">
        <v>0</v>
      </c>
      <c r="AJ23832" s="835">
        <v>41455</v>
      </c>
      <c r="AK23832" s="831">
        <v>60193699</v>
      </c>
    </row>
    <row r="23833" spans="32:37">
      <c r="AF23833" s="831" t="s">
        <v>10956</v>
      </c>
      <c r="AG23833" s="831" t="s">
        <v>2674</v>
      </c>
      <c r="AH23833" s="831" t="s">
        <v>89</v>
      </c>
      <c r="AI23833" s="831">
        <v>0</v>
      </c>
      <c r="AJ23833" s="835">
        <v>41455</v>
      </c>
      <c r="AK23833" s="831">
        <v>136633</v>
      </c>
    </row>
    <row r="23834" spans="32:37">
      <c r="AF23834" s="831" t="s">
        <v>10957</v>
      </c>
      <c r="AG23834" s="831" t="s">
        <v>2674</v>
      </c>
      <c r="AH23834" s="831" t="s">
        <v>557</v>
      </c>
      <c r="AI23834" s="831">
        <v>0</v>
      </c>
      <c r="AJ23834" s="835">
        <v>41455</v>
      </c>
      <c r="AK23834" s="831">
        <v>142092</v>
      </c>
    </row>
    <row r="23835" spans="32:37">
      <c r="AF23835" s="831" t="s">
        <v>10958</v>
      </c>
      <c r="AG23835" s="831" t="s">
        <v>2674</v>
      </c>
      <c r="AH23835" s="831" t="s">
        <v>29</v>
      </c>
      <c r="AI23835" s="831">
        <v>0</v>
      </c>
      <c r="AJ23835" s="835">
        <v>41455</v>
      </c>
      <c r="AK23835" s="831">
        <v>1424399.06</v>
      </c>
    </row>
    <row r="23836" spans="32:37">
      <c r="AF23836" s="831" t="s">
        <v>10959</v>
      </c>
      <c r="AG23836" s="831" t="s">
        <v>2674</v>
      </c>
      <c r="AH23836" s="831" t="s">
        <v>2688</v>
      </c>
      <c r="AI23836" s="831">
        <v>0</v>
      </c>
      <c r="AJ23836" s="835">
        <v>41455</v>
      </c>
      <c r="AK23836" s="831">
        <v>2204366.9500000002</v>
      </c>
    </row>
    <row r="23837" spans="32:37">
      <c r="AF23837" s="831" t="s">
        <v>10960</v>
      </c>
      <c r="AG23837" s="831" t="s">
        <v>2674</v>
      </c>
      <c r="AH23837" s="831" t="s">
        <v>556</v>
      </c>
      <c r="AI23837" s="831">
        <v>0</v>
      </c>
      <c r="AJ23837" s="835">
        <v>41455</v>
      </c>
      <c r="AK23837" s="831">
        <v>902857</v>
      </c>
    </row>
    <row r="23838" spans="32:37">
      <c r="AF23838" s="831" t="s">
        <v>10961</v>
      </c>
      <c r="AG23838" s="831" t="s">
        <v>2674</v>
      </c>
      <c r="AH23838" s="831" t="s">
        <v>555</v>
      </c>
      <c r="AI23838" s="831">
        <v>0</v>
      </c>
      <c r="AJ23838" s="835">
        <v>41455</v>
      </c>
      <c r="AK23838" s="831">
        <v>353611880</v>
      </c>
    </row>
    <row r="23839" spans="32:37">
      <c r="AF23839" s="831" t="s">
        <v>10962</v>
      </c>
      <c r="AG23839" s="831" t="s">
        <v>2674</v>
      </c>
      <c r="AH23839" s="831" t="s">
        <v>554</v>
      </c>
      <c r="AI23839" s="831">
        <v>0</v>
      </c>
      <c r="AJ23839" s="835">
        <v>41455</v>
      </c>
      <c r="AK23839" s="831">
        <v>343079700</v>
      </c>
    </row>
    <row r="23840" spans="32:37">
      <c r="AF23840" s="831" t="s">
        <v>10963</v>
      </c>
      <c r="AG23840" s="831" t="s">
        <v>2674</v>
      </c>
      <c r="AH23840" s="831" t="s">
        <v>553</v>
      </c>
      <c r="AI23840" s="831">
        <v>0</v>
      </c>
      <c r="AJ23840" s="835">
        <v>41455</v>
      </c>
      <c r="AK23840" s="831">
        <v>0</v>
      </c>
    </row>
    <row r="23841" spans="32:37">
      <c r="AF23841" s="831" t="s">
        <v>10964</v>
      </c>
      <c r="AG23841" s="831" t="s">
        <v>2674</v>
      </c>
      <c r="AH23841" s="831" t="s">
        <v>552</v>
      </c>
      <c r="AI23841" s="831">
        <v>0</v>
      </c>
      <c r="AJ23841" s="835">
        <v>41455</v>
      </c>
      <c r="AK23841" s="831">
        <v>0</v>
      </c>
    </row>
    <row r="23842" spans="32:37">
      <c r="AF23842" s="831" t="s">
        <v>10965</v>
      </c>
      <c r="AG23842" s="831" t="s">
        <v>2674</v>
      </c>
      <c r="AH23842" s="831" t="s">
        <v>551</v>
      </c>
      <c r="AI23842" s="831">
        <v>0</v>
      </c>
      <c r="AJ23842" s="835">
        <v>41455</v>
      </c>
      <c r="AK23842" s="831">
        <v>1176193.06</v>
      </c>
    </row>
    <row r="23843" spans="32:37">
      <c r="AF23843" s="831" t="s">
        <v>10966</v>
      </c>
      <c r="AG23843" s="831" t="s">
        <v>2674</v>
      </c>
      <c r="AH23843" s="831" t="s">
        <v>550</v>
      </c>
      <c r="AI23843" s="831">
        <v>0</v>
      </c>
      <c r="AJ23843" s="835">
        <v>41455</v>
      </c>
      <c r="AK23843" s="831">
        <v>105651356</v>
      </c>
    </row>
    <row r="23844" spans="32:37">
      <c r="AF23844" s="831" t="s">
        <v>10967</v>
      </c>
      <c r="AG23844" s="831" t="s">
        <v>2674</v>
      </c>
      <c r="AH23844" s="831" t="s">
        <v>562</v>
      </c>
      <c r="AI23844" s="831">
        <v>0</v>
      </c>
      <c r="AJ23844" s="835">
        <v>41455</v>
      </c>
      <c r="AK23844" s="831">
        <v>0.78395000000000004</v>
      </c>
    </row>
    <row r="23845" spans="32:37">
      <c r="AF23845" s="831" t="s">
        <v>10968</v>
      </c>
      <c r="AG23845" s="831" t="s">
        <v>2674</v>
      </c>
      <c r="AH23845" s="831" t="s">
        <v>2698</v>
      </c>
      <c r="AI23845" s="831">
        <v>0</v>
      </c>
      <c r="AJ23845" s="835">
        <v>41455</v>
      </c>
      <c r="AK23845" s="831">
        <v>0.78405000000000002</v>
      </c>
    </row>
    <row r="23846" spans="32:37">
      <c r="AF23846" s="831" t="s">
        <v>10969</v>
      </c>
      <c r="AG23846" s="831" t="s">
        <v>2674</v>
      </c>
      <c r="AH23846" s="831" t="s">
        <v>560</v>
      </c>
      <c r="AI23846" s="831">
        <v>0</v>
      </c>
      <c r="AJ23846" s="835">
        <v>41455</v>
      </c>
      <c r="AK23846" s="831">
        <v>0.78408333333333335</v>
      </c>
    </row>
    <row r="23847" spans="32:37">
      <c r="AF23847" s="831" t="s">
        <v>10970</v>
      </c>
      <c r="AG23847" s="831" t="s">
        <v>2674</v>
      </c>
      <c r="AH23847" s="831" t="s">
        <v>559</v>
      </c>
      <c r="AI23847" s="831">
        <v>0</v>
      </c>
      <c r="AJ23847" s="835">
        <v>41455</v>
      </c>
      <c r="AK23847" s="831">
        <v>0.78425833333333339</v>
      </c>
    </row>
    <row r="23848" spans="32:37">
      <c r="AF23848" s="831" t="s">
        <v>10971</v>
      </c>
      <c r="AG23848" s="831" t="s">
        <v>2674</v>
      </c>
      <c r="AH23848" s="831" t="s">
        <v>568</v>
      </c>
      <c r="AI23848" s="831">
        <v>0</v>
      </c>
      <c r="AJ23848" s="835">
        <v>41455</v>
      </c>
      <c r="AK23848" s="831">
        <v>416775328.76923078</v>
      </c>
    </row>
    <row r="23849" spans="32:37">
      <c r="AF23849" s="831" t="s">
        <v>10972</v>
      </c>
      <c r="AG23849" s="831" t="s">
        <v>2674</v>
      </c>
      <c r="AH23849" s="831" t="s">
        <v>569</v>
      </c>
      <c r="AI23849" s="831">
        <v>0</v>
      </c>
      <c r="AJ23849" s="835">
        <v>41455</v>
      </c>
      <c r="AK23849" s="831">
        <v>507070422.30769229</v>
      </c>
    </row>
    <row r="23850" spans="32:37">
      <c r="AF23850" s="831" t="s">
        <v>10973</v>
      </c>
      <c r="AG23850" s="831" t="s">
        <v>2674</v>
      </c>
      <c r="AH23850" s="831" t="s">
        <v>570</v>
      </c>
      <c r="AI23850" s="831">
        <v>0</v>
      </c>
      <c r="AJ23850" s="835">
        <v>41455</v>
      </c>
      <c r="AK23850" s="831">
        <v>99514662.461538464</v>
      </c>
    </row>
    <row r="23851" spans="32:37">
      <c r="AF23851" s="831" t="s">
        <v>10974</v>
      </c>
      <c r="AG23851" s="831" t="s">
        <v>2674</v>
      </c>
      <c r="AH23851" s="831" t="s">
        <v>571</v>
      </c>
      <c r="AI23851" s="831">
        <v>0</v>
      </c>
      <c r="AJ23851" s="835">
        <v>41455</v>
      </c>
      <c r="AK23851" s="831">
        <v>220626949.15384614</v>
      </c>
    </row>
    <row r="23852" spans="32:37">
      <c r="AF23852" s="831" t="s">
        <v>10975</v>
      </c>
      <c r="AG23852" s="831" t="s">
        <v>2674</v>
      </c>
      <c r="AH23852" s="831" t="s">
        <v>573</v>
      </c>
      <c r="AI23852" s="831">
        <v>0</v>
      </c>
      <c r="AJ23852" s="835">
        <v>41455</v>
      </c>
      <c r="AK23852" s="831">
        <v>557218597.28571427</v>
      </c>
    </row>
    <row r="23853" spans="32:37">
      <c r="AF23853" s="831" t="s">
        <v>10976</v>
      </c>
      <c r="AG23853" s="831" t="s">
        <v>2674</v>
      </c>
      <c r="AH23853" s="831" t="s">
        <v>574</v>
      </c>
      <c r="AI23853" s="831">
        <v>0</v>
      </c>
      <c r="AJ23853" s="835">
        <v>41455</v>
      </c>
      <c r="AK23853" s="831">
        <v>460782606.85714287</v>
      </c>
    </row>
    <row r="23854" spans="32:37">
      <c r="AF23854" s="831" t="s">
        <v>10977</v>
      </c>
      <c r="AG23854" s="831" t="s">
        <v>2674</v>
      </c>
      <c r="AH23854" s="831" t="s">
        <v>575</v>
      </c>
      <c r="AI23854" s="831">
        <v>0</v>
      </c>
      <c r="AJ23854" s="835">
        <v>41455</v>
      </c>
      <c r="AK23854" s="831">
        <v>102068019.28571428</v>
      </c>
    </row>
    <row r="23855" spans="32:37">
      <c r="AF23855" s="831" t="s">
        <v>10978</v>
      </c>
      <c r="AG23855" s="831" t="s">
        <v>2674</v>
      </c>
      <c r="AH23855" s="831" t="s">
        <v>576</v>
      </c>
      <c r="AI23855" s="831">
        <v>0</v>
      </c>
      <c r="AJ23855" s="835">
        <v>41455</v>
      </c>
      <c r="AK23855" s="831">
        <v>256882402</v>
      </c>
    </row>
    <row r="23856" spans="32:37">
      <c r="AF23856" s="831" t="s">
        <v>10979</v>
      </c>
      <c r="AG23856" s="831" t="s">
        <v>2674</v>
      </c>
      <c r="AH23856" s="831" t="s">
        <v>572</v>
      </c>
      <c r="AI23856" s="831">
        <v>0</v>
      </c>
      <c r="AJ23856" s="835">
        <v>41455</v>
      </c>
      <c r="AK23856" s="831">
        <v>22784991</v>
      </c>
    </row>
    <row r="23857" spans="32:37">
      <c r="AF23857" s="831" t="s">
        <v>10980</v>
      </c>
      <c r="AG23857" s="831" t="s">
        <v>2674</v>
      </c>
      <c r="AH23857" s="831" t="s">
        <v>577</v>
      </c>
      <c r="AI23857" s="831">
        <v>0</v>
      </c>
      <c r="AJ23857" s="835">
        <v>41455</v>
      </c>
      <c r="AK23857" s="831">
        <v>112999724</v>
      </c>
    </row>
    <row r="23858" spans="32:37">
      <c r="AF23858" s="831" t="s">
        <v>10981</v>
      </c>
      <c r="AG23858" s="831" t="s">
        <v>2674</v>
      </c>
      <c r="AH23858" s="831" t="s">
        <v>3042</v>
      </c>
      <c r="AI23858" s="831">
        <v>0</v>
      </c>
      <c r="AJ23858" s="835">
        <v>41455</v>
      </c>
      <c r="AK23858" s="831">
        <v>-27618860</v>
      </c>
    </row>
    <row r="23859" spans="32:37">
      <c r="AF23859" s="831" t="s">
        <v>10982</v>
      </c>
      <c r="AG23859" s="831" t="s">
        <v>2674</v>
      </c>
      <c r="AH23859" s="831" t="s">
        <v>3044</v>
      </c>
      <c r="AI23859" s="831">
        <v>0</v>
      </c>
      <c r="AJ23859" s="835">
        <v>41455</v>
      </c>
      <c r="AK23859" s="831">
        <v>-4183071</v>
      </c>
    </row>
    <row r="23860" spans="32:37">
      <c r="AF23860" s="831" t="s">
        <v>10983</v>
      </c>
      <c r="AG23860" s="831" t="s">
        <v>2674</v>
      </c>
      <c r="AH23860" s="831" t="s">
        <v>580</v>
      </c>
      <c r="AI23860" s="831">
        <v>0</v>
      </c>
      <c r="AJ23860" s="835">
        <v>41455</v>
      </c>
      <c r="AK23860" s="831">
        <v>-56400279</v>
      </c>
    </row>
    <row r="23861" spans="32:37">
      <c r="AF23861" s="831" t="s">
        <v>10984</v>
      </c>
      <c r="AG23861" s="831" t="s">
        <v>2674</v>
      </c>
      <c r="AH23861" s="831" t="s">
        <v>581</v>
      </c>
      <c r="AI23861" s="831">
        <v>0</v>
      </c>
      <c r="AJ23861" s="835">
        <v>41455</v>
      </c>
      <c r="AK23861" s="831">
        <v>4204371</v>
      </c>
    </row>
    <row r="23862" spans="32:37">
      <c r="AF23862" s="831" t="s">
        <v>10985</v>
      </c>
      <c r="AG23862" s="831" t="s">
        <v>2674</v>
      </c>
      <c r="AH23862" s="831" t="s">
        <v>105</v>
      </c>
      <c r="AI23862" s="831">
        <v>0</v>
      </c>
      <c r="AJ23862" s="835">
        <v>41455</v>
      </c>
      <c r="AK23862" s="831">
        <v>314742537</v>
      </c>
    </row>
    <row r="23863" spans="32:37">
      <c r="AF23863" s="831" t="s">
        <v>10986</v>
      </c>
      <c r="AG23863" s="831" t="s">
        <v>2674</v>
      </c>
      <c r="AH23863" s="831" t="s">
        <v>3049</v>
      </c>
      <c r="AI23863" s="831">
        <v>0</v>
      </c>
      <c r="AJ23863" s="835">
        <v>41455</v>
      </c>
      <c r="AK23863" s="831">
        <v>517978918</v>
      </c>
    </row>
    <row r="23864" spans="32:37">
      <c r="AF23864" s="831" t="s">
        <v>10987</v>
      </c>
      <c r="AG23864" s="831" t="s">
        <v>2674</v>
      </c>
      <c r="AH23864" s="831" t="s">
        <v>103</v>
      </c>
      <c r="AI23864" s="831">
        <v>0</v>
      </c>
      <c r="AJ23864" s="835">
        <v>41455</v>
      </c>
      <c r="AK23864" s="831">
        <v>203236381</v>
      </c>
    </row>
    <row r="23865" spans="32:37">
      <c r="AF23865" s="831" t="s">
        <v>10988</v>
      </c>
      <c r="AG23865" s="831" t="s">
        <v>2674</v>
      </c>
      <c r="AH23865" s="831" t="s">
        <v>182</v>
      </c>
      <c r="AI23865" s="831">
        <v>0</v>
      </c>
      <c r="AJ23865" s="835">
        <v>41455</v>
      </c>
      <c r="AK23865" s="831">
        <v>57441170</v>
      </c>
    </row>
    <row r="23866" spans="32:37">
      <c r="AF23866" s="831" t="s">
        <v>10989</v>
      </c>
      <c r="AG23866" s="831" t="s">
        <v>2674</v>
      </c>
      <c r="AH23866" s="831" t="s">
        <v>6600</v>
      </c>
      <c r="AI23866" s="831">
        <v>0</v>
      </c>
      <c r="AJ23866" s="835">
        <v>41455</v>
      </c>
      <c r="AK23866" s="831">
        <v>22784991</v>
      </c>
    </row>
    <row r="23867" spans="32:37">
      <c r="AF23867" s="831" t="s">
        <v>10990</v>
      </c>
      <c r="AG23867" s="831" t="s">
        <v>2674</v>
      </c>
      <c r="AH23867" s="831" t="s">
        <v>6602</v>
      </c>
      <c r="AI23867" s="831">
        <v>0</v>
      </c>
      <c r="AJ23867" s="835">
        <v>41455</v>
      </c>
      <c r="AK23867" s="831">
        <v>13297133</v>
      </c>
    </row>
    <row r="23868" spans="32:37">
      <c r="AF23868" s="831" t="s">
        <v>10991</v>
      </c>
      <c r="AG23868" s="831" t="s">
        <v>2674</v>
      </c>
      <c r="AH23868" s="831" t="s">
        <v>650</v>
      </c>
      <c r="AI23868" s="831">
        <v>0</v>
      </c>
      <c r="AJ23868" s="835">
        <v>41455</v>
      </c>
      <c r="AK23868" s="831">
        <v>173391733.15384614</v>
      </c>
    </row>
    <row r="23869" spans="32:37">
      <c r="AF23869" s="831" t="s">
        <v>10992</v>
      </c>
      <c r="AG23869" s="831" t="s">
        <v>2674</v>
      </c>
      <c r="AH23869" s="831" t="s">
        <v>655</v>
      </c>
      <c r="AI23869" s="831">
        <v>0</v>
      </c>
      <c r="AJ23869" s="835">
        <v>41455</v>
      </c>
      <c r="AK23869" s="831">
        <v>1055339.06</v>
      </c>
    </row>
    <row r="23870" spans="32:37">
      <c r="AF23870" s="831" t="s">
        <v>10993</v>
      </c>
      <c r="AG23870" s="831" t="s">
        <v>2674</v>
      </c>
      <c r="AH23870" s="831" t="s">
        <v>546</v>
      </c>
      <c r="AI23870" s="831">
        <v>0</v>
      </c>
      <c r="AJ23870" s="835">
        <v>41486</v>
      </c>
      <c r="AK23870" s="831">
        <v>530405930</v>
      </c>
    </row>
    <row r="23871" spans="32:37">
      <c r="AF23871" s="831" t="s">
        <v>10994</v>
      </c>
      <c r="AG23871" s="831" t="s">
        <v>2674</v>
      </c>
      <c r="AH23871" s="831" t="s">
        <v>370</v>
      </c>
      <c r="AI23871" s="831">
        <v>0</v>
      </c>
      <c r="AJ23871" s="835">
        <v>41486</v>
      </c>
      <c r="AK23871" s="831">
        <v>658328328</v>
      </c>
    </row>
    <row r="23872" spans="32:37">
      <c r="AF23872" s="831" t="s">
        <v>10995</v>
      </c>
      <c r="AG23872" s="831" t="s">
        <v>2674</v>
      </c>
      <c r="AH23872" s="831" t="s">
        <v>126</v>
      </c>
      <c r="AI23872" s="831">
        <v>0</v>
      </c>
      <c r="AJ23872" s="835">
        <v>41486</v>
      </c>
      <c r="AK23872" s="831">
        <v>110887562</v>
      </c>
    </row>
    <row r="23873" spans="32:37">
      <c r="AF23873" s="831" t="s">
        <v>10996</v>
      </c>
      <c r="AG23873" s="831" t="s">
        <v>2674</v>
      </c>
      <c r="AH23873" s="831" t="s">
        <v>268</v>
      </c>
      <c r="AI23873" s="831">
        <v>0</v>
      </c>
      <c r="AJ23873" s="835">
        <v>41486</v>
      </c>
      <c r="AK23873" s="831">
        <v>16124340</v>
      </c>
    </row>
    <row r="23874" spans="32:37">
      <c r="AF23874" s="831" t="s">
        <v>10997</v>
      </c>
      <c r="AG23874" s="831" t="s">
        <v>2674</v>
      </c>
      <c r="AH23874" s="831" t="s">
        <v>547</v>
      </c>
      <c r="AI23874" s="831">
        <v>0</v>
      </c>
      <c r="AJ23874" s="835">
        <v>41486</v>
      </c>
      <c r="AK23874" s="831">
        <v>511487760</v>
      </c>
    </row>
    <row r="23875" spans="32:37">
      <c r="AF23875" s="831" t="s">
        <v>10998</v>
      </c>
      <c r="AG23875" s="831" t="s">
        <v>2674</v>
      </c>
      <c r="AH23875" s="831" t="s">
        <v>548</v>
      </c>
      <c r="AI23875" s="831">
        <v>0</v>
      </c>
      <c r="AJ23875" s="835">
        <v>41486</v>
      </c>
      <c r="AK23875" s="831">
        <v>96883184</v>
      </c>
    </row>
    <row r="23876" spans="32:37">
      <c r="AF23876" s="831" t="s">
        <v>10999</v>
      </c>
      <c r="AG23876" s="831" t="s">
        <v>2674</v>
      </c>
      <c r="AH23876" s="831" t="s">
        <v>549</v>
      </c>
      <c r="AI23876" s="831">
        <v>0</v>
      </c>
      <c r="AJ23876" s="835">
        <v>41486</v>
      </c>
      <c r="AK23876" s="831">
        <v>350104350</v>
      </c>
    </row>
    <row r="23877" spans="32:37">
      <c r="AF23877" s="831" t="s">
        <v>11000</v>
      </c>
      <c r="AG23877" s="831" t="s">
        <v>2674</v>
      </c>
      <c r="AH23877" s="831" t="s">
        <v>192</v>
      </c>
      <c r="AI23877" s="831">
        <v>0</v>
      </c>
      <c r="AJ23877" s="835">
        <v>41486</v>
      </c>
      <c r="AK23877" s="831">
        <v>-11946675</v>
      </c>
    </row>
    <row r="23878" spans="32:37">
      <c r="AF23878" s="831" t="s">
        <v>11001</v>
      </c>
      <c r="AG23878" s="831" t="s">
        <v>2674</v>
      </c>
      <c r="AH23878" s="831" t="s">
        <v>558</v>
      </c>
      <c r="AI23878" s="831">
        <v>0</v>
      </c>
      <c r="AJ23878" s="835">
        <v>41486</v>
      </c>
      <c r="AK23878" s="831">
        <v>547440766</v>
      </c>
    </row>
    <row r="23879" spans="32:37">
      <c r="AF23879" s="831" t="s">
        <v>11002</v>
      </c>
      <c r="AG23879" s="831" t="s">
        <v>2674</v>
      </c>
      <c r="AH23879" s="831" t="s">
        <v>65</v>
      </c>
      <c r="AI23879" s="831">
        <v>0</v>
      </c>
      <c r="AJ23879" s="835">
        <v>41486</v>
      </c>
      <c r="AK23879" s="831">
        <v>71979253</v>
      </c>
    </row>
    <row r="23880" spans="32:37">
      <c r="AF23880" s="831" t="s">
        <v>11003</v>
      </c>
      <c r="AG23880" s="831" t="s">
        <v>2674</v>
      </c>
      <c r="AH23880" s="831" t="s">
        <v>89</v>
      </c>
      <c r="AI23880" s="831">
        <v>0</v>
      </c>
      <c r="AJ23880" s="835">
        <v>41486</v>
      </c>
      <c r="AK23880" s="831">
        <v>138057</v>
      </c>
    </row>
    <row r="23881" spans="32:37">
      <c r="AF23881" s="831" t="s">
        <v>11004</v>
      </c>
      <c r="AG23881" s="831" t="s">
        <v>2674</v>
      </c>
      <c r="AH23881" s="831" t="s">
        <v>557</v>
      </c>
      <c r="AI23881" s="831">
        <v>0</v>
      </c>
      <c r="AJ23881" s="835">
        <v>41486</v>
      </c>
      <c r="AK23881" s="831">
        <v>145518</v>
      </c>
    </row>
    <row r="23882" spans="32:37">
      <c r="AF23882" s="831" t="s">
        <v>11005</v>
      </c>
      <c r="AG23882" s="831" t="s">
        <v>2674</v>
      </c>
      <c r="AH23882" s="831" t="s">
        <v>29</v>
      </c>
      <c r="AI23882" s="831">
        <v>0</v>
      </c>
      <c r="AJ23882" s="835">
        <v>41486</v>
      </c>
      <c r="AK23882" s="831">
        <v>1452161.1670000001</v>
      </c>
    </row>
    <row r="23883" spans="32:37">
      <c r="AF23883" s="831" t="s">
        <v>11006</v>
      </c>
      <c r="AG23883" s="831" t="s">
        <v>2674</v>
      </c>
      <c r="AH23883" s="831" t="s">
        <v>2688</v>
      </c>
      <c r="AI23883" s="831">
        <v>0</v>
      </c>
      <c r="AJ23883" s="835">
        <v>41486</v>
      </c>
      <c r="AK23883" s="831">
        <v>1987224.58</v>
      </c>
    </row>
    <row r="23884" spans="32:37">
      <c r="AF23884" s="831" t="s">
        <v>11007</v>
      </c>
      <c r="AG23884" s="831" t="s">
        <v>2674</v>
      </c>
      <c r="AH23884" s="831" t="s">
        <v>556</v>
      </c>
      <c r="AI23884" s="831">
        <v>0</v>
      </c>
      <c r="AJ23884" s="835">
        <v>41486</v>
      </c>
      <c r="AK23884" s="831">
        <v>2547589</v>
      </c>
    </row>
    <row r="23885" spans="32:37">
      <c r="AF23885" s="831" t="s">
        <v>11008</v>
      </c>
      <c r="AG23885" s="831" t="s">
        <v>2674</v>
      </c>
      <c r="AH23885" s="831" t="s">
        <v>555</v>
      </c>
      <c r="AI23885" s="831">
        <v>0</v>
      </c>
      <c r="AJ23885" s="835">
        <v>41486</v>
      </c>
      <c r="AK23885" s="831">
        <v>359140020</v>
      </c>
    </row>
    <row r="23886" spans="32:37">
      <c r="AF23886" s="831" t="s">
        <v>11009</v>
      </c>
      <c r="AG23886" s="831" t="s">
        <v>2674</v>
      </c>
      <c r="AH23886" s="831" t="s">
        <v>554</v>
      </c>
      <c r="AI23886" s="831">
        <v>0</v>
      </c>
      <c r="AJ23886" s="835">
        <v>41486</v>
      </c>
      <c r="AK23886" s="831">
        <v>364984870</v>
      </c>
    </row>
    <row r="23887" spans="32:37">
      <c r="AF23887" s="831" t="s">
        <v>11010</v>
      </c>
      <c r="AG23887" s="831" t="s">
        <v>2674</v>
      </c>
      <c r="AH23887" s="831" t="s">
        <v>553</v>
      </c>
      <c r="AI23887" s="831">
        <v>0</v>
      </c>
      <c r="AJ23887" s="835">
        <v>41486</v>
      </c>
      <c r="AK23887" s="831">
        <v>0</v>
      </c>
    </row>
    <row r="23888" spans="32:37">
      <c r="AF23888" s="831" t="s">
        <v>11011</v>
      </c>
      <c r="AG23888" s="831" t="s">
        <v>2674</v>
      </c>
      <c r="AH23888" s="831" t="s">
        <v>552</v>
      </c>
      <c r="AI23888" s="831">
        <v>0</v>
      </c>
      <c r="AJ23888" s="835">
        <v>41486</v>
      </c>
      <c r="AK23888" s="831">
        <v>0</v>
      </c>
    </row>
    <row r="23889" spans="32:37">
      <c r="AF23889" s="831" t="s">
        <v>11012</v>
      </c>
      <c r="AG23889" s="831" t="s">
        <v>2674</v>
      </c>
      <c r="AH23889" s="831" t="s">
        <v>551</v>
      </c>
      <c r="AI23889" s="831">
        <v>0</v>
      </c>
      <c r="AJ23889" s="835">
        <v>41486</v>
      </c>
      <c r="AK23889" s="831">
        <v>1334074.5780000002</v>
      </c>
    </row>
    <row r="23890" spans="32:37">
      <c r="AF23890" s="831" t="s">
        <v>11013</v>
      </c>
      <c r="AG23890" s="831" t="s">
        <v>2674</v>
      </c>
      <c r="AH23890" s="831" t="s">
        <v>550</v>
      </c>
      <c r="AI23890" s="831">
        <v>0</v>
      </c>
      <c r="AJ23890" s="835">
        <v>41486</v>
      </c>
      <c r="AK23890" s="831">
        <v>108060358</v>
      </c>
    </row>
    <row r="23891" spans="32:37">
      <c r="AF23891" s="831" t="s">
        <v>11014</v>
      </c>
      <c r="AG23891" s="831" t="s">
        <v>2674</v>
      </c>
      <c r="AH23891" s="831" t="s">
        <v>562</v>
      </c>
      <c r="AI23891" s="831">
        <v>0</v>
      </c>
      <c r="AJ23891" s="835">
        <v>41486</v>
      </c>
      <c r="AK23891" s="831">
        <v>0.78374999999999995</v>
      </c>
    </row>
    <row r="23892" spans="32:37">
      <c r="AF23892" s="831" t="s">
        <v>11015</v>
      </c>
      <c r="AG23892" s="831" t="s">
        <v>2674</v>
      </c>
      <c r="AH23892" s="831" t="s">
        <v>2698</v>
      </c>
      <c r="AI23892" s="831">
        <v>0</v>
      </c>
      <c r="AJ23892" s="835">
        <v>41486</v>
      </c>
      <c r="AK23892" s="831">
        <v>0.78395000000000004</v>
      </c>
    </row>
    <row r="23893" spans="32:37">
      <c r="AF23893" s="831" t="s">
        <v>11016</v>
      </c>
      <c r="AG23893" s="831" t="s">
        <v>2674</v>
      </c>
      <c r="AH23893" s="831" t="s">
        <v>560</v>
      </c>
      <c r="AI23893" s="831">
        <v>0</v>
      </c>
      <c r="AJ23893" s="835">
        <v>41486</v>
      </c>
      <c r="AK23893" s="831">
        <v>0.78403571428571439</v>
      </c>
    </row>
    <row r="23894" spans="32:37">
      <c r="AF23894" s="831" t="s">
        <v>11017</v>
      </c>
      <c r="AG23894" s="831" t="s">
        <v>2674</v>
      </c>
      <c r="AH23894" s="831" t="s">
        <v>559</v>
      </c>
      <c r="AI23894" s="831">
        <v>0</v>
      </c>
      <c r="AJ23894" s="835">
        <v>41486</v>
      </c>
      <c r="AK23894" s="831">
        <v>0.7841583333333334</v>
      </c>
    </row>
    <row r="23895" spans="32:37">
      <c r="AF23895" s="831" t="s">
        <v>11018</v>
      </c>
      <c r="AG23895" s="831" t="s">
        <v>2674</v>
      </c>
      <c r="AH23895" s="831" t="s">
        <v>568</v>
      </c>
      <c r="AI23895" s="831">
        <v>0</v>
      </c>
      <c r="AJ23895" s="835">
        <v>41486</v>
      </c>
      <c r="AK23895" s="831">
        <v>431219750.30769229</v>
      </c>
    </row>
    <row r="23896" spans="32:37">
      <c r="AF23896" s="831" t="s">
        <v>11019</v>
      </c>
      <c r="AG23896" s="831" t="s">
        <v>2674</v>
      </c>
      <c r="AH23896" s="831" t="s">
        <v>569</v>
      </c>
      <c r="AI23896" s="831">
        <v>0</v>
      </c>
      <c r="AJ23896" s="835">
        <v>41486</v>
      </c>
      <c r="AK23896" s="831">
        <v>525226803</v>
      </c>
    </row>
    <row r="23897" spans="32:37">
      <c r="AF23897" s="831" t="s">
        <v>11020</v>
      </c>
      <c r="AG23897" s="831" t="s">
        <v>2674</v>
      </c>
      <c r="AH23897" s="831" t="s">
        <v>570</v>
      </c>
      <c r="AI23897" s="831">
        <v>0</v>
      </c>
      <c r="AJ23897" s="835">
        <v>41486</v>
      </c>
      <c r="AK23897" s="831">
        <v>100992550.61538461</v>
      </c>
    </row>
    <row r="23898" spans="32:37">
      <c r="AF23898" s="831" t="s">
        <v>11021</v>
      </c>
      <c r="AG23898" s="831" t="s">
        <v>2674</v>
      </c>
      <c r="AH23898" s="831" t="s">
        <v>571</v>
      </c>
      <c r="AI23898" s="831">
        <v>0</v>
      </c>
      <c r="AJ23898" s="835">
        <v>41486</v>
      </c>
      <c r="AK23898" s="831">
        <v>233627225.76923078</v>
      </c>
    </row>
    <row r="23899" spans="32:37">
      <c r="AF23899" s="831" t="s">
        <v>11022</v>
      </c>
      <c r="AG23899" s="831" t="s">
        <v>2674</v>
      </c>
      <c r="AH23899" s="831" t="s">
        <v>573</v>
      </c>
      <c r="AI23899" s="831">
        <v>0</v>
      </c>
      <c r="AJ23899" s="835">
        <v>41486</v>
      </c>
      <c r="AK23899" s="831">
        <v>569857313.625</v>
      </c>
    </row>
    <row r="23900" spans="32:37">
      <c r="AF23900" s="831" t="s">
        <v>11023</v>
      </c>
      <c r="AG23900" s="831" t="s">
        <v>2674</v>
      </c>
      <c r="AH23900" s="831" t="s">
        <v>574</v>
      </c>
      <c r="AI23900" s="831">
        <v>0</v>
      </c>
      <c r="AJ23900" s="835">
        <v>41486</v>
      </c>
      <c r="AK23900" s="831">
        <v>469485522.25</v>
      </c>
    </row>
    <row r="23901" spans="32:37">
      <c r="AF23901" s="831" t="s">
        <v>11024</v>
      </c>
      <c r="AG23901" s="831" t="s">
        <v>2674</v>
      </c>
      <c r="AH23901" s="831" t="s">
        <v>575</v>
      </c>
      <c r="AI23901" s="831">
        <v>0</v>
      </c>
      <c r="AJ23901" s="835">
        <v>41486</v>
      </c>
      <c r="AK23901" s="831">
        <v>103170462.125</v>
      </c>
    </row>
    <row r="23902" spans="32:37">
      <c r="AF23902" s="831" t="s">
        <v>11025</v>
      </c>
      <c r="AG23902" s="831" t="s">
        <v>2674</v>
      </c>
      <c r="AH23902" s="831" t="s">
        <v>576</v>
      </c>
      <c r="AI23902" s="831">
        <v>0</v>
      </c>
      <c r="AJ23902" s="835">
        <v>41486</v>
      </c>
      <c r="AK23902" s="831">
        <v>265012255.125</v>
      </c>
    </row>
    <row r="23903" spans="32:37">
      <c r="AF23903" s="831" t="s">
        <v>11026</v>
      </c>
      <c r="AG23903" s="831" t="s">
        <v>2674</v>
      </c>
      <c r="AH23903" s="831" t="s">
        <v>572</v>
      </c>
      <c r="AI23903" s="831">
        <v>0</v>
      </c>
      <c r="AJ23903" s="835">
        <v>41486</v>
      </c>
      <c r="AK23903" s="831">
        <v>23860386</v>
      </c>
    </row>
    <row r="23904" spans="32:37">
      <c r="AF23904" s="831" t="s">
        <v>11027</v>
      </c>
      <c r="AG23904" s="831" t="s">
        <v>2674</v>
      </c>
      <c r="AH23904" s="831" t="s">
        <v>577</v>
      </c>
      <c r="AI23904" s="831">
        <v>0</v>
      </c>
      <c r="AJ23904" s="835">
        <v>41486</v>
      </c>
      <c r="AK23904" s="831">
        <v>116281669</v>
      </c>
    </row>
    <row r="23905" spans="32:37">
      <c r="AF23905" s="831" t="s">
        <v>11028</v>
      </c>
      <c r="AG23905" s="831" t="s">
        <v>2674</v>
      </c>
      <c r="AH23905" s="831" t="s">
        <v>3042</v>
      </c>
      <c r="AI23905" s="831">
        <v>0</v>
      </c>
      <c r="AJ23905" s="835">
        <v>41486</v>
      </c>
      <c r="AK23905" s="831">
        <v>-28313674</v>
      </c>
    </row>
    <row r="23906" spans="32:37">
      <c r="AF23906" s="831" t="s">
        <v>11029</v>
      </c>
      <c r="AG23906" s="831" t="s">
        <v>2674</v>
      </c>
      <c r="AH23906" s="831" t="s">
        <v>3044</v>
      </c>
      <c r="AI23906" s="831">
        <v>0</v>
      </c>
      <c r="AJ23906" s="835">
        <v>41486</v>
      </c>
      <c r="AK23906" s="831">
        <v>-4195755</v>
      </c>
    </row>
    <row r="23907" spans="32:37">
      <c r="AF23907" s="831" t="s">
        <v>11030</v>
      </c>
      <c r="AG23907" s="831" t="s">
        <v>2674</v>
      </c>
      <c r="AH23907" s="831" t="s">
        <v>580</v>
      </c>
      <c r="AI23907" s="831">
        <v>0</v>
      </c>
      <c r="AJ23907" s="835">
        <v>41486</v>
      </c>
      <c r="AK23907" s="831">
        <v>-57513801</v>
      </c>
    </row>
    <row r="23908" spans="32:37">
      <c r="AF23908" s="831" t="s">
        <v>11031</v>
      </c>
      <c r="AG23908" s="831" t="s">
        <v>2674</v>
      </c>
      <c r="AH23908" s="831" t="s">
        <v>581</v>
      </c>
      <c r="AI23908" s="831">
        <v>0</v>
      </c>
      <c r="AJ23908" s="835">
        <v>41486</v>
      </c>
      <c r="AK23908" s="831">
        <v>4189789</v>
      </c>
    </row>
    <row r="23909" spans="32:37">
      <c r="AF23909" s="831" t="s">
        <v>11032</v>
      </c>
      <c r="AG23909" s="831" t="s">
        <v>2674</v>
      </c>
      <c r="AH23909" s="831" t="s">
        <v>105</v>
      </c>
      <c r="AI23909" s="831">
        <v>0</v>
      </c>
      <c r="AJ23909" s="835">
        <v>41486</v>
      </c>
      <c r="AK23909" s="831">
        <v>321921227</v>
      </c>
    </row>
    <row r="23910" spans="32:37">
      <c r="AF23910" s="831" t="s">
        <v>11033</v>
      </c>
      <c r="AG23910" s="831" t="s">
        <v>2674</v>
      </c>
      <c r="AH23910" s="831" t="s">
        <v>3049</v>
      </c>
      <c r="AI23910" s="831">
        <v>0</v>
      </c>
      <c r="AJ23910" s="835">
        <v>41486</v>
      </c>
      <c r="AK23910" s="831">
        <v>533353115</v>
      </c>
    </row>
    <row r="23911" spans="32:37">
      <c r="AF23911" s="831" t="s">
        <v>11034</v>
      </c>
      <c r="AG23911" s="831" t="s">
        <v>2674</v>
      </c>
      <c r="AH23911" s="831" t="s">
        <v>103</v>
      </c>
      <c r="AI23911" s="831">
        <v>0</v>
      </c>
      <c r="AJ23911" s="835">
        <v>41486</v>
      </c>
      <c r="AK23911" s="831">
        <v>211431888</v>
      </c>
    </row>
    <row r="23912" spans="32:37">
      <c r="AF23912" s="831" t="s">
        <v>11035</v>
      </c>
      <c r="AG23912" s="831" t="s">
        <v>2674</v>
      </c>
      <c r="AH23912" s="831" t="s">
        <v>182</v>
      </c>
      <c r="AI23912" s="831">
        <v>0</v>
      </c>
      <c r="AJ23912" s="835">
        <v>41486</v>
      </c>
      <c r="AK23912" s="831">
        <v>58107797.142857142</v>
      </c>
    </row>
    <row r="23913" spans="32:37">
      <c r="AF23913" s="831" t="s">
        <v>11036</v>
      </c>
      <c r="AG23913" s="831" t="s">
        <v>2674</v>
      </c>
      <c r="AH23913" s="831" t="s">
        <v>6600</v>
      </c>
      <c r="AI23913" s="831">
        <v>0</v>
      </c>
      <c r="AJ23913" s="835">
        <v>41486</v>
      </c>
      <c r="AK23913" s="831">
        <v>23860386</v>
      </c>
    </row>
    <row r="23914" spans="32:37">
      <c r="AF23914" s="831" t="s">
        <v>11037</v>
      </c>
      <c r="AG23914" s="831" t="s">
        <v>2674</v>
      </c>
      <c r="AH23914" s="831" t="s">
        <v>6602</v>
      </c>
      <c r="AI23914" s="831">
        <v>0</v>
      </c>
      <c r="AJ23914" s="835">
        <v>41486</v>
      </c>
      <c r="AK23914" s="831">
        <v>16124340</v>
      </c>
    </row>
    <row r="23915" spans="32:37">
      <c r="AF23915" s="831" t="s">
        <v>11038</v>
      </c>
      <c r="AG23915" s="831" t="s">
        <v>2674</v>
      </c>
      <c r="AH23915" s="831" t="s">
        <v>650</v>
      </c>
      <c r="AI23915" s="831">
        <v>0</v>
      </c>
      <c r="AJ23915" s="835">
        <v>41486</v>
      </c>
      <c r="AK23915" s="831">
        <v>176984761.69230768</v>
      </c>
    </row>
    <row r="23916" spans="32:37">
      <c r="AF23916" s="831" t="s">
        <v>11039</v>
      </c>
      <c r="AG23916" s="831" t="s">
        <v>2674</v>
      </c>
      <c r="AH23916" s="831" t="s">
        <v>655</v>
      </c>
      <c r="AI23916" s="831">
        <v>0</v>
      </c>
      <c r="AJ23916" s="835">
        <v>41486</v>
      </c>
      <c r="AK23916" s="831">
        <v>1081919.6189999999</v>
      </c>
    </row>
    <row r="23917" spans="32:37">
      <c r="AF23917" s="831" t="s">
        <v>11040</v>
      </c>
      <c r="AG23917" s="831" t="s">
        <v>2674</v>
      </c>
      <c r="AH23917" s="831" t="s">
        <v>546</v>
      </c>
      <c r="AI23917" s="831">
        <v>0</v>
      </c>
      <c r="AJ23917" s="835">
        <v>41517</v>
      </c>
      <c r="AK23917" s="831">
        <v>548671343</v>
      </c>
    </row>
    <row r="23918" spans="32:37">
      <c r="AF23918" s="831" t="s">
        <v>11041</v>
      </c>
      <c r="AG23918" s="831" t="s">
        <v>2674</v>
      </c>
      <c r="AH23918" s="831" t="s">
        <v>370</v>
      </c>
      <c r="AI23918" s="831">
        <v>0</v>
      </c>
      <c r="AJ23918" s="835">
        <v>41517</v>
      </c>
      <c r="AK23918" s="831">
        <v>657414575</v>
      </c>
    </row>
    <row r="23919" spans="32:37">
      <c r="AF23919" s="831" t="s">
        <v>11042</v>
      </c>
      <c r="AG23919" s="831" t="s">
        <v>2674</v>
      </c>
      <c r="AH23919" s="831" t="s">
        <v>126</v>
      </c>
      <c r="AI23919" s="831">
        <v>0</v>
      </c>
      <c r="AJ23919" s="835">
        <v>41517</v>
      </c>
      <c r="AK23919" s="831">
        <v>113874944</v>
      </c>
    </row>
    <row r="23920" spans="32:37">
      <c r="AF23920" s="831" t="s">
        <v>11043</v>
      </c>
      <c r="AG23920" s="831" t="s">
        <v>2674</v>
      </c>
      <c r="AH23920" s="831" t="s">
        <v>268</v>
      </c>
      <c r="AI23920" s="831">
        <v>0</v>
      </c>
      <c r="AJ23920" s="835">
        <v>41517</v>
      </c>
      <c r="AK23920" s="831">
        <v>19111719</v>
      </c>
    </row>
    <row r="23921" spans="32:37">
      <c r="AF23921" s="831" t="s">
        <v>11044</v>
      </c>
      <c r="AG23921" s="831" t="s">
        <v>2674</v>
      </c>
      <c r="AH23921" s="831" t="s">
        <v>547</v>
      </c>
      <c r="AI23921" s="831">
        <v>0</v>
      </c>
      <c r="AJ23921" s="835">
        <v>41517</v>
      </c>
      <c r="AK23921" s="831">
        <v>511487760</v>
      </c>
    </row>
    <row r="23922" spans="32:37">
      <c r="AF23922" s="831" t="s">
        <v>11045</v>
      </c>
      <c r="AG23922" s="831" t="s">
        <v>2674</v>
      </c>
      <c r="AH23922" s="831" t="s">
        <v>548</v>
      </c>
      <c r="AI23922" s="831">
        <v>0</v>
      </c>
      <c r="AJ23922" s="835">
        <v>41517</v>
      </c>
      <c r="AK23922" s="831">
        <v>96883184</v>
      </c>
    </row>
    <row r="23923" spans="32:37">
      <c r="AF23923" s="831" t="s">
        <v>11046</v>
      </c>
      <c r="AG23923" s="831" t="s">
        <v>2674</v>
      </c>
      <c r="AH23923" s="831" t="s">
        <v>549</v>
      </c>
      <c r="AI23923" s="831">
        <v>0</v>
      </c>
      <c r="AJ23923" s="835">
        <v>41517</v>
      </c>
      <c r="AK23923" s="831">
        <v>362295244</v>
      </c>
    </row>
    <row r="23924" spans="32:37">
      <c r="AF23924" s="831" t="s">
        <v>11047</v>
      </c>
      <c r="AG23924" s="831" t="s">
        <v>2674</v>
      </c>
      <c r="AH23924" s="831" t="s">
        <v>192</v>
      </c>
      <c r="AI23924" s="831">
        <v>0</v>
      </c>
      <c r="AJ23924" s="835">
        <v>41517</v>
      </c>
      <c r="AK23924" s="831">
        <v>-12472831</v>
      </c>
    </row>
    <row r="23925" spans="32:37">
      <c r="AF23925" s="831" t="s">
        <v>11048</v>
      </c>
      <c r="AG23925" s="831" t="s">
        <v>2674</v>
      </c>
      <c r="AH23925" s="831" t="s">
        <v>558</v>
      </c>
      <c r="AI23925" s="831">
        <v>0</v>
      </c>
      <c r="AJ23925" s="835">
        <v>41517</v>
      </c>
      <c r="AK23925" s="831">
        <v>543539630.65999997</v>
      </c>
    </row>
    <row r="23926" spans="32:37">
      <c r="AF23926" s="831" t="s">
        <v>11049</v>
      </c>
      <c r="AG23926" s="831" t="s">
        <v>2674</v>
      </c>
      <c r="AH23926" s="831" t="s">
        <v>65</v>
      </c>
      <c r="AI23926" s="831">
        <v>0</v>
      </c>
      <c r="AJ23926" s="835">
        <v>41517</v>
      </c>
      <c r="AK23926" s="831">
        <v>83388551</v>
      </c>
    </row>
    <row r="23927" spans="32:37">
      <c r="AF23927" s="831" t="s">
        <v>11050</v>
      </c>
      <c r="AG23927" s="831" t="s">
        <v>2674</v>
      </c>
      <c r="AH23927" s="831" t="s">
        <v>89</v>
      </c>
      <c r="AI23927" s="831">
        <v>0</v>
      </c>
      <c r="AJ23927" s="835">
        <v>41517</v>
      </c>
      <c r="AK23927" s="831">
        <v>139614</v>
      </c>
    </row>
    <row r="23928" spans="32:37">
      <c r="AF23928" s="831" t="s">
        <v>11051</v>
      </c>
      <c r="AG23928" s="831" t="s">
        <v>2674</v>
      </c>
      <c r="AH23928" s="831" t="s">
        <v>557</v>
      </c>
      <c r="AI23928" s="831">
        <v>0</v>
      </c>
      <c r="AJ23928" s="835">
        <v>41517</v>
      </c>
      <c r="AK23928" s="831">
        <v>147732</v>
      </c>
    </row>
    <row r="23929" spans="32:37">
      <c r="AF23929" s="831" t="s">
        <v>11052</v>
      </c>
      <c r="AG23929" s="831" t="s">
        <v>2674</v>
      </c>
      <c r="AH23929" s="831" t="s">
        <v>29</v>
      </c>
      <c r="AI23929" s="831">
        <v>0</v>
      </c>
      <c r="AJ23929" s="835">
        <v>41517</v>
      </c>
      <c r="AK23929" s="831">
        <v>1641079.85</v>
      </c>
    </row>
    <row r="23930" spans="32:37">
      <c r="AF23930" s="831" t="s">
        <v>11053</v>
      </c>
      <c r="AG23930" s="831" t="s">
        <v>2674</v>
      </c>
      <c r="AH23930" s="831" t="s">
        <v>2688</v>
      </c>
      <c r="AI23930" s="831">
        <v>0</v>
      </c>
      <c r="AJ23930" s="835">
        <v>41517</v>
      </c>
      <c r="AK23930" s="831">
        <v>1980496.8299999998</v>
      </c>
    </row>
    <row r="23931" spans="32:37">
      <c r="AF23931" s="831" t="s">
        <v>11054</v>
      </c>
      <c r="AG23931" s="831" t="s">
        <v>2674</v>
      </c>
      <c r="AH23931" s="831" t="s">
        <v>556</v>
      </c>
      <c r="AI23931" s="831">
        <v>0</v>
      </c>
      <c r="AJ23931" s="835">
        <v>41517</v>
      </c>
      <c r="AK23931" s="831">
        <v>1644732</v>
      </c>
    </row>
    <row r="23932" spans="32:37">
      <c r="AF23932" s="831" t="s">
        <v>11055</v>
      </c>
      <c r="AG23932" s="831" t="s">
        <v>2674</v>
      </c>
      <c r="AH23932" s="831" t="s">
        <v>555</v>
      </c>
      <c r="AI23932" s="831">
        <v>0</v>
      </c>
      <c r="AJ23932" s="835">
        <v>41517</v>
      </c>
      <c r="AK23932" s="831">
        <v>349976200</v>
      </c>
    </row>
    <row r="23933" spans="32:37">
      <c r="AF23933" s="831" t="s">
        <v>11056</v>
      </c>
      <c r="AG23933" s="831" t="s">
        <v>2674</v>
      </c>
      <c r="AH23933" s="831" t="s">
        <v>554</v>
      </c>
      <c r="AI23933" s="831">
        <v>0</v>
      </c>
      <c r="AJ23933" s="835">
        <v>41517</v>
      </c>
      <c r="AK23933" s="831">
        <v>362271180</v>
      </c>
    </row>
    <row r="23934" spans="32:37">
      <c r="AF23934" s="831" t="s">
        <v>11057</v>
      </c>
      <c r="AG23934" s="831" t="s">
        <v>2674</v>
      </c>
      <c r="AH23934" s="831" t="s">
        <v>553</v>
      </c>
      <c r="AI23934" s="831">
        <v>0</v>
      </c>
      <c r="AJ23934" s="835">
        <v>41517</v>
      </c>
      <c r="AK23934" s="831">
        <v>0</v>
      </c>
    </row>
    <row r="23935" spans="32:37">
      <c r="AF23935" s="831" t="s">
        <v>11058</v>
      </c>
      <c r="AG23935" s="831" t="s">
        <v>2674</v>
      </c>
      <c r="AH23935" s="831" t="s">
        <v>552</v>
      </c>
      <c r="AI23935" s="831">
        <v>0</v>
      </c>
      <c r="AJ23935" s="835">
        <v>41517</v>
      </c>
      <c r="AK23935" s="831">
        <v>0</v>
      </c>
    </row>
    <row r="23936" spans="32:37">
      <c r="AF23936" s="831" t="s">
        <v>11059</v>
      </c>
      <c r="AG23936" s="831" t="s">
        <v>2674</v>
      </c>
      <c r="AH23936" s="831" t="s">
        <v>551</v>
      </c>
      <c r="AI23936" s="831">
        <v>0</v>
      </c>
      <c r="AJ23936" s="835">
        <v>41517</v>
      </c>
      <c r="AK23936" s="831">
        <v>1337345.54</v>
      </c>
    </row>
    <row r="23937" spans="32:37">
      <c r="AF23937" s="831" t="s">
        <v>11060</v>
      </c>
      <c r="AG23937" s="831" t="s">
        <v>2674</v>
      </c>
      <c r="AH23937" s="831" t="s">
        <v>550</v>
      </c>
      <c r="AI23937" s="831">
        <v>0</v>
      </c>
      <c r="AJ23937" s="835">
        <v>41517</v>
      </c>
      <c r="AK23937" s="831">
        <v>110887562</v>
      </c>
    </row>
    <row r="23938" spans="32:37">
      <c r="AF23938" s="831" t="s">
        <v>11061</v>
      </c>
      <c r="AG23938" s="831" t="s">
        <v>2674</v>
      </c>
      <c r="AH23938" s="831" t="s">
        <v>562</v>
      </c>
      <c r="AI23938" s="831">
        <v>0</v>
      </c>
      <c r="AJ23938" s="835">
        <v>41517</v>
      </c>
      <c r="AK23938" s="831">
        <v>0.78385000000000005</v>
      </c>
    </row>
    <row r="23939" spans="32:37">
      <c r="AF23939" s="831" t="s">
        <v>11062</v>
      </c>
      <c r="AG23939" s="831" t="s">
        <v>2674</v>
      </c>
      <c r="AH23939" s="831" t="s">
        <v>2698</v>
      </c>
      <c r="AI23939" s="831">
        <v>0</v>
      </c>
      <c r="AJ23939" s="835">
        <v>41517</v>
      </c>
      <c r="AK23939" s="831">
        <v>0.78374999999999995</v>
      </c>
    </row>
    <row r="23940" spans="32:37">
      <c r="AF23940" s="831" t="s">
        <v>11063</v>
      </c>
      <c r="AG23940" s="831" t="s">
        <v>2674</v>
      </c>
      <c r="AH23940" s="831" t="s">
        <v>560</v>
      </c>
      <c r="AI23940" s="831">
        <v>0</v>
      </c>
      <c r="AJ23940" s="835">
        <v>41517</v>
      </c>
      <c r="AK23940" s="831">
        <v>0.7840125</v>
      </c>
    </row>
    <row r="23941" spans="32:37">
      <c r="AF23941" s="831" t="s">
        <v>11064</v>
      </c>
      <c r="AG23941" s="831" t="s">
        <v>2674</v>
      </c>
      <c r="AH23941" s="831" t="s">
        <v>559</v>
      </c>
      <c r="AI23941" s="831">
        <v>0</v>
      </c>
      <c r="AJ23941" s="835">
        <v>41517</v>
      </c>
      <c r="AK23941" s="831">
        <v>0.78410416666666671</v>
      </c>
    </row>
    <row r="23942" spans="32:37">
      <c r="AF23942" s="831" t="s">
        <v>11065</v>
      </c>
      <c r="AG23942" s="831" t="s">
        <v>2674</v>
      </c>
      <c r="AH23942" s="831" t="s">
        <v>568</v>
      </c>
      <c r="AI23942" s="831">
        <v>0</v>
      </c>
      <c r="AJ23942" s="835">
        <v>41517</v>
      </c>
      <c r="AK23942" s="831">
        <v>446494134.38461536</v>
      </c>
    </row>
    <row r="23943" spans="32:37">
      <c r="AF23943" s="831" t="s">
        <v>11066</v>
      </c>
      <c r="AG23943" s="831" t="s">
        <v>2674</v>
      </c>
      <c r="AH23943" s="831" t="s">
        <v>569</v>
      </c>
      <c r="AI23943" s="831">
        <v>0</v>
      </c>
      <c r="AJ23943" s="835">
        <v>41517</v>
      </c>
      <c r="AK23943" s="831">
        <v>542095460.15384614</v>
      </c>
    </row>
    <row r="23944" spans="32:37">
      <c r="AF23944" s="831" t="s">
        <v>11067</v>
      </c>
      <c r="AG23944" s="831" t="s">
        <v>2674</v>
      </c>
      <c r="AH23944" s="831" t="s">
        <v>570</v>
      </c>
      <c r="AI23944" s="831">
        <v>0</v>
      </c>
      <c r="AJ23944" s="835">
        <v>41517</v>
      </c>
      <c r="AK23944" s="831">
        <v>102565482.6923077</v>
      </c>
    </row>
    <row r="23945" spans="32:37">
      <c r="AF23945" s="831" t="s">
        <v>11068</v>
      </c>
      <c r="AG23945" s="831" t="s">
        <v>2674</v>
      </c>
      <c r="AH23945" s="831" t="s">
        <v>571</v>
      </c>
      <c r="AI23945" s="831">
        <v>0</v>
      </c>
      <c r="AJ23945" s="835">
        <v>41517</v>
      </c>
      <c r="AK23945" s="831">
        <v>245131875.46153846</v>
      </c>
    </row>
    <row r="23946" spans="32:37">
      <c r="AF23946" s="831" t="s">
        <v>11069</v>
      </c>
      <c r="AG23946" s="831" t="s">
        <v>2674</v>
      </c>
      <c r="AH23946" s="831" t="s">
        <v>573</v>
      </c>
      <c r="AI23946" s="831">
        <v>0</v>
      </c>
      <c r="AJ23946" s="835">
        <v>41517</v>
      </c>
      <c r="AK23946" s="831">
        <v>579585898.22222221</v>
      </c>
    </row>
    <row r="23947" spans="32:37">
      <c r="AF23947" s="831" t="s">
        <v>11070</v>
      </c>
      <c r="AG23947" s="831" t="s">
        <v>2674</v>
      </c>
      <c r="AH23947" s="831" t="s">
        <v>574</v>
      </c>
      <c r="AI23947" s="831">
        <v>0</v>
      </c>
      <c r="AJ23947" s="835">
        <v>41517</v>
      </c>
      <c r="AK23947" s="831">
        <v>478283946.77777779</v>
      </c>
    </row>
    <row r="23948" spans="32:37">
      <c r="AF23948" s="831" t="s">
        <v>11071</v>
      </c>
      <c r="AG23948" s="831" t="s">
        <v>2674</v>
      </c>
      <c r="AH23948" s="831" t="s">
        <v>575</v>
      </c>
      <c r="AI23948" s="831">
        <v>0</v>
      </c>
      <c r="AJ23948" s="835">
        <v>41517</v>
      </c>
      <c r="AK23948" s="831">
        <v>104359849</v>
      </c>
    </row>
    <row r="23949" spans="32:37">
      <c r="AF23949" s="831" t="s">
        <v>11072</v>
      </c>
      <c r="AG23949" s="831" t="s">
        <v>2674</v>
      </c>
      <c r="AH23949" s="831" t="s">
        <v>576</v>
      </c>
      <c r="AI23949" s="831">
        <v>0</v>
      </c>
      <c r="AJ23949" s="835">
        <v>41517</v>
      </c>
      <c r="AK23949" s="831">
        <v>270469259.22222221</v>
      </c>
    </row>
    <row r="23950" spans="32:37">
      <c r="AF23950" s="831" t="s">
        <v>11073</v>
      </c>
      <c r="AG23950" s="831" t="s">
        <v>2674</v>
      </c>
      <c r="AH23950" s="831" t="s">
        <v>572</v>
      </c>
      <c r="AI23950" s="831">
        <v>0</v>
      </c>
      <c r="AJ23950" s="835">
        <v>41517</v>
      </c>
      <c r="AK23950" s="831">
        <v>24859621</v>
      </c>
    </row>
    <row r="23951" spans="32:37">
      <c r="AF23951" s="831" t="s">
        <v>11074</v>
      </c>
      <c r="AG23951" s="831" t="s">
        <v>2674</v>
      </c>
      <c r="AH23951" s="831" t="s">
        <v>577</v>
      </c>
      <c r="AI23951" s="831">
        <v>0</v>
      </c>
      <c r="AJ23951" s="835">
        <v>41517</v>
      </c>
      <c r="AK23951" s="831">
        <v>119121446</v>
      </c>
    </row>
    <row r="23952" spans="32:37">
      <c r="AF23952" s="831" t="s">
        <v>11075</v>
      </c>
      <c r="AG23952" s="831" t="s">
        <v>2674</v>
      </c>
      <c r="AH23952" s="831" t="s">
        <v>3042</v>
      </c>
      <c r="AI23952" s="831">
        <v>0</v>
      </c>
      <c r="AJ23952" s="835">
        <v>41517</v>
      </c>
      <c r="AK23952" s="831">
        <v>-29143089</v>
      </c>
    </row>
    <row r="23953" spans="32:37">
      <c r="AF23953" s="831" t="s">
        <v>11076</v>
      </c>
      <c r="AG23953" s="831" t="s">
        <v>2674</v>
      </c>
      <c r="AH23953" s="831" t="s">
        <v>3044</v>
      </c>
      <c r="AI23953" s="831">
        <v>0</v>
      </c>
      <c r="AJ23953" s="835">
        <v>41517</v>
      </c>
      <c r="AK23953" s="831">
        <v>-4417525</v>
      </c>
    </row>
    <row r="23954" spans="32:37">
      <c r="AF23954" s="831" t="s">
        <v>11077</v>
      </c>
      <c r="AG23954" s="831" t="s">
        <v>2674</v>
      </c>
      <c r="AH23954" s="831" t="s">
        <v>580</v>
      </c>
      <c r="AI23954" s="831">
        <v>0</v>
      </c>
      <c r="AJ23954" s="835">
        <v>41517</v>
      </c>
      <c r="AK23954" s="831">
        <v>-58376707</v>
      </c>
    </row>
    <row r="23955" spans="32:37">
      <c r="AF23955" s="831" t="s">
        <v>11078</v>
      </c>
      <c r="AG23955" s="831" t="s">
        <v>2674</v>
      </c>
      <c r="AH23955" s="831" t="s">
        <v>581</v>
      </c>
      <c r="AI23955" s="831">
        <v>0</v>
      </c>
      <c r="AJ23955" s="835">
        <v>41517</v>
      </c>
      <c r="AK23955" s="831">
        <v>4578677</v>
      </c>
    </row>
    <row r="23956" spans="32:37">
      <c r="AF23956" s="831" t="s">
        <v>11079</v>
      </c>
      <c r="AG23956" s="831" t="s">
        <v>2674</v>
      </c>
      <c r="AH23956" s="831" t="s">
        <v>105</v>
      </c>
      <c r="AI23956" s="831">
        <v>0</v>
      </c>
      <c r="AJ23956" s="835">
        <v>41517</v>
      </c>
      <c r="AK23956" s="831">
        <v>314125292</v>
      </c>
    </row>
    <row r="23957" spans="32:37">
      <c r="AF23957" s="831" t="s">
        <v>11080</v>
      </c>
      <c r="AG23957" s="831" t="s">
        <v>2674</v>
      </c>
      <c r="AH23957" s="831" t="s">
        <v>3049</v>
      </c>
      <c r="AI23957" s="831">
        <v>0</v>
      </c>
      <c r="AJ23957" s="835">
        <v>41517</v>
      </c>
      <c r="AK23957" s="831">
        <v>527249449.14999998</v>
      </c>
    </row>
    <row r="23958" spans="32:37">
      <c r="AF23958" s="831" t="s">
        <v>11081</v>
      </c>
      <c r="AG23958" s="831" t="s">
        <v>2674</v>
      </c>
      <c r="AH23958" s="831" t="s">
        <v>103</v>
      </c>
      <c r="AI23958" s="831">
        <v>0</v>
      </c>
      <c r="AJ23958" s="835">
        <v>41517</v>
      </c>
      <c r="AK23958" s="831">
        <v>213124157.14999998</v>
      </c>
    </row>
    <row r="23959" spans="32:37">
      <c r="AF23959" s="831" t="s">
        <v>11082</v>
      </c>
      <c r="AG23959" s="831" t="s">
        <v>2674</v>
      </c>
      <c r="AH23959" s="831" t="s">
        <v>182</v>
      </c>
      <c r="AI23959" s="831">
        <v>0</v>
      </c>
      <c r="AJ23959" s="835">
        <v>41517</v>
      </c>
      <c r="AK23959" s="831">
        <v>57914724</v>
      </c>
    </row>
    <row r="23960" spans="32:37">
      <c r="AF23960" s="831" t="s">
        <v>11083</v>
      </c>
      <c r="AG23960" s="831" t="s">
        <v>2674</v>
      </c>
      <c r="AH23960" s="831" t="s">
        <v>6600</v>
      </c>
      <c r="AI23960" s="831">
        <v>0</v>
      </c>
      <c r="AJ23960" s="835">
        <v>41517</v>
      </c>
      <c r="AK23960" s="831">
        <v>24859621</v>
      </c>
    </row>
    <row r="23961" spans="32:37">
      <c r="AF23961" s="831" t="s">
        <v>11084</v>
      </c>
      <c r="AG23961" s="831" t="s">
        <v>2674</v>
      </c>
      <c r="AH23961" s="831" t="s">
        <v>6602</v>
      </c>
      <c r="AI23961" s="831">
        <v>0</v>
      </c>
      <c r="AJ23961" s="835">
        <v>41517</v>
      </c>
      <c r="AK23961" s="831">
        <v>19111719</v>
      </c>
    </row>
    <row r="23962" spans="32:37">
      <c r="AF23962" s="831" t="s">
        <v>11085</v>
      </c>
      <c r="AG23962" s="831" t="s">
        <v>2674</v>
      </c>
      <c r="AH23962" s="831" t="s">
        <v>650</v>
      </c>
      <c r="AI23962" s="831">
        <v>0</v>
      </c>
      <c r="AJ23962" s="835">
        <v>41517</v>
      </c>
      <c r="AK23962" s="831">
        <v>180578512.62692308</v>
      </c>
    </row>
    <row r="23963" spans="32:37">
      <c r="AF23963" s="831" t="s">
        <v>11086</v>
      </c>
      <c r="AG23963" s="831" t="s">
        <v>2674</v>
      </c>
      <c r="AH23963" s="831" t="s">
        <v>655</v>
      </c>
      <c r="AI23963" s="831">
        <v>0</v>
      </c>
      <c r="AJ23963" s="835">
        <v>41517</v>
      </c>
      <c r="AK23963" s="831">
        <v>1231052.19</v>
      </c>
    </row>
    <row r="23964" spans="32:37">
      <c r="AF23964" s="831" t="s">
        <v>11087</v>
      </c>
      <c r="AG23964" s="831" t="s">
        <v>2674</v>
      </c>
      <c r="AH23964" s="831" t="s">
        <v>546</v>
      </c>
      <c r="AI23964" s="831">
        <v>0</v>
      </c>
      <c r="AJ23964" s="835">
        <v>41547</v>
      </c>
      <c r="AK23964" s="831">
        <v>563989028</v>
      </c>
    </row>
    <row r="23965" spans="32:37">
      <c r="AF23965" s="831" t="s">
        <v>11088</v>
      </c>
      <c r="AG23965" s="831" t="s">
        <v>2674</v>
      </c>
      <c r="AH23965" s="831" t="s">
        <v>370</v>
      </c>
      <c r="AI23965" s="831">
        <v>0</v>
      </c>
      <c r="AJ23965" s="835">
        <v>41547</v>
      </c>
      <c r="AK23965" s="831">
        <v>692795586</v>
      </c>
    </row>
    <row r="23966" spans="32:37">
      <c r="AF23966" s="831" t="s">
        <v>11089</v>
      </c>
      <c r="AG23966" s="831" t="s">
        <v>2674</v>
      </c>
      <c r="AH23966" s="831" t="s">
        <v>126</v>
      </c>
      <c r="AI23966" s="831">
        <v>0</v>
      </c>
      <c r="AJ23966" s="835">
        <v>41547</v>
      </c>
      <c r="AK23966" s="831">
        <v>117170637</v>
      </c>
    </row>
    <row r="23967" spans="32:37">
      <c r="AF23967" s="831" t="s">
        <v>11090</v>
      </c>
      <c r="AG23967" s="831" t="s">
        <v>2674</v>
      </c>
      <c r="AH23967" s="831" t="s">
        <v>268</v>
      </c>
      <c r="AI23967" s="831">
        <v>0</v>
      </c>
      <c r="AJ23967" s="835">
        <v>41547</v>
      </c>
      <c r="AK23967" s="831">
        <v>22407414</v>
      </c>
    </row>
    <row r="23968" spans="32:37">
      <c r="AF23968" s="831" t="s">
        <v>11091</v>
      </c>
      <c r="AG23968" s="831" t="s">
        <v>2674</v>
      </c>
      <c r="AH23968" s="831" t="s">
        <v>547</v>
      </c>
      <c r="AI23968" s="831">
        <v>0</v>
      </c>
      <c r="AJ23968" s="835">
        <v>41547</v>
      </c>
      <c r="AK23968" s="831">
        <v>511487760</v>
      </c>
    </row>
    <row r="23969" spans="32:37">
      <c r="AF23969" s="831" t="s">
        <v>11092</v>
      </c>
      <c r="AG23969" s="831" t="s">
        <v>2674</v>
      </c>
      <c r="AH23969" s="831" t="s">
        <v>548</v>
      </c>
      <c r="AI23969" s="831">
        <v>0</v>
      </c>
      <c r="AJ23969" s="835">
        <v>41547</v>
      </c>
      <c r="AK23969" s="831">
        <v>96883184</v>
      </c>
    </row>
    <row r="23970" spans="32:37">
      <c r="AF23970" s="831" t="s">
        <v>11093</v>
      </c>
      <c r="AG23970" s="831" t="s">
        <v>2674</v>
      </c>
      <c r="AH23970" s="831" t="s">
        <v>549</v>
      </c>
      <c r="AI23970" s="831">
        <v>0</v>
      </c>
      <c r="AJ23970" s="835">
        <v>41547</v>
      </c>
      <c r="AK23970" s="831">
        <v>367084945</v>
      </c>
    </row>
    <row r="23971" spans="32:37">
      <c r="AF23971" s="831" t="s">
        <v>11094</v>
      </c>
      <c r="AG23971" s="831" t="s">
        <v>2674</v>
      </c>
      <c r="AH23971" s="831" t="s">
        <v>192</v>
      </c>
      <c r="AI23971" s="831">
        <v>0</v>
      </c>
      <c r="AJ23971" s="835">
        <v>41547</v>
      </c>
      <c r="AK23971" s="831">
        <v>-12882814</v>
      </c>
    </row>
    <row r="23972" spans="32:37">
      <c r="AF23972" s="831" t="s">
        <v>11095</v>
      </c>
      <c r="AG23972" s="831" t="s">
        <v>2674</v>
      </c>
      <c r="AH23972" s="831" t="s">
        <v>558</v>
      </c>
      <c r="AI23972" s="831">
        <v>0</v>
      </c>
      <c r="AJ23972" s="835">
        <v>41547</v>
      </c>
      <c r="AK23972" s="831">
        <v>575624949</v>
      </c>
    </row>
    <row r="23973" spans="32:37">
      <c r="AF23973" s="831" t="s">
        <v>11096</v>
      </c>
      <c r="AG23973" s="831" t="s">
        <v>2674</v>
      </c>
      <c r="AH23973" s="831" t="s">
        <v>65</v>
      </c>
      <c r="AI23973" s="831">
        <v>0</v>
      </c>
      <c r="AJ23973" s="835">
        <v>41547</v>
      </c>
      <c r="AK23973" s="831">
        <v>95313557</v>
      </c>
    </row>
    <row r="23974" spans="32:37">
      <c r="AF23974" s="831" t="s">
        <v>11097</v>
      </c>
      <c r="AG23974" s="831" t="s">
        <v>2674</v>
      </c>
      <c r="AH23974" s="831" t="s">
        <v>89</v>
      </c>
      <c r="AI23974" s="831">
        <v>0</v>
      </c>
      <c r="AJ23974" s="835">
        <v>41547</v>
      </c>
      <c r="AK23974" s="831">
        <v>141558</v>
      </c>
    </row>
    <row r="23975" spans="32:37">
      <c r="AF23975" s="831" t="s">
        <v>11098</v>
      </c>
      <c r="AG23975" s="831" t="s">
        <v>2674</v>
      </c>
      <c r="AH23975" s="831" t="s">
        <v>557</v>
      </c>
      <c r="AI23975" s="831">
        <v>0</v>
      </c>
      <c r="AJ23975" s="835">
        <v>41547</v>
      </c>
      <c r="AK23975" s="831">
        <v>150480</v>
      </c>
    </row>
    <row r="23976" spans="32:37">
      <c r="AF23976" s="831" t="s">
        <v>11099</v>
      </c>
      <c r="AG23976" s="831" t="s">
        <v>2674</v>
      </c>
      <c r="AH23976" s="831" t="s">
        <v>29</v>
      </c>
      <c r="AI23976" s="831">
        <v>0</v>
      </c>
      <c r="AJ23976" s="835">
        <v>41547</v>
      </c>
      <c r="AK23976" s="831">
        <v>1808536.49</v>
      </c>
    </row>
    <row r="23977" spans="32:37">
      <c r="AF23977" s="831" t="s">
        <v>11100</v>
      </c>
      <c r="AG23977" s="831" t="s">
        <v>2674</v>
      </c>
      <c r="AH23977" s="831" t="s">
        <v>2688</v>
      </c>
      <c r="AI23977" s="831">
        <v>0</v>
      </c>
      <c r="AJ23977" s="835">
        <v>41547</v>
      </c>
      <c r="AK23977" s="831">
        <v>1944896.06</v>
      </c>
    </row>
    <row r="23978" spans="32:37">
      <c r="AF23978" s="831" t="s">
        <v>11101</v>
      </c>
      <c r="AG23978" s="831" t="s">
        <v>2674</v>
      </c>
      <c r="AH23978" s="831" t="s">
        <v>556</v>
      </c>
      <c r="AI23978" s="831">
        <v>0</v>
      </c>
      <c r="AJ23978" s="835">
        <v>41547</v>
      </c>
      <c r="AK23978" s="831">
        <v>1644732</v>
      </c>
    </row>
    <row r="23979" spans="32:37">
      <c r="AF23979" s="831" t="s">
        <v>11102</v>
      </c>
      <c r="AG23979" s="831" t="s">
        <v>2674</v>
      </c>
      <c r="AH23979" s="831" t="s">
        <v>555</v>
      </c>
      <c r="AI23979" s="831">
        <v>0</v>
      </c>
      <c r="AJ23979" s="835">
        <v>41547</v>
      </c>
      <c r="AK23979" s="831">
        <v>373785500</v>
      </c>
    </row>
    <row r="23980" spans="32:37">
      <c r="AF23980" s="831" t="s">
        <v>11103</v>
      </c>
      <c r="AG23980" s="831" t="s">
        <v>2674</v>
      </c>
      <c r="AH23980" s="831" t="s">
        <v>554</v>
      </c>
      <c r="AI23980" s="831">
        <v>0</v>
      </c>
      <c r="AJ23980" s="835">
        <v>41547</v>
      </c>
      <c r="AK23980" s="831">
        <v>389313510</v>
      </c>
    </row>
    <row r="23981" spans="32:37">
      <c r="AF23981" s="831" t="s">
        <v>11104</v>
      </c>
      <c r="AG23981" s="831" t="s">
        <v>2674</v>
      </c>
      <c r="AH23981" s="831" t="s">
        <v>553</v>
      </c>
      <c r="AI23981" s="831">
        <v>0</v>
      </c>
      <c r="AJ23981" s="835">
        <v>41547</v>
      </c>
      <c r="AK23981" s="831">
        <v>0</v>
      </c>
    </row>
    <row r="23982" spans="32:37">
      <c r="AF23982" s="831" t="s">
        <v>11105</v>
      </c>
      <c r="AG23982" s="831" t="s">
        <v>2674</v>
      </c>
      <c r="AH23982" s="831" t="s">
        <v>552</v>
      </c>
      <c r="AI23982" s="831">
        <v>0</v>
      </c>
      <c r="AJ23982" s="835">
        <v>41547</v>
      </c>
      <c r="AK23982" s="831">
        <v>0</v>
      </c>
    </row>
    <row r="23983" spans="32:37">
      <c r="AF23983" s="831" t="s">
        <v>11106</v>
      </c>
      <c r="AG23983" s="831" t="s">
        <v>2674</v>
      </c>
      <c r="AH23983" s="831" t="s">
        <v>551</v>
      </c>
      <c r="AI23983" s="831">
        <v>0</v>
      </c>
      <c r="AJ23983" s="835">
        <v>41547</v>
      </c>
      <c r="AK23983" s="831">
        <v>1611508.6</v>
      </c>
    </row>
    <row r="23984" spans="32:37">
      <c r="AF23984" s="831" t="s">
        <v>11107</v>
      </c>
      <c r="AG23984" s="831" t="s">
        <v>2674</v>
      </c>
      <c r="AH23984" s="831" t="s">
        <v>550</v>
      </c>
      <c r="AI23984" s="831">
        <v>0</v>
      </c>
      <c r="AJ23984" s="835">
        <v>41547</v>
      </c>
      <c r="AK23984" s="831">
        <v>113874944</v>
      </c>
    </row>
    <row r="23985" spans="32:37">
      <c r="AF23985" s="831" t="s">
        <v>11108</v>
      </c>
      <c r="AG23985" s="831" t="s">
        <v>2674</v>
      </c>
      <c r="AH23985" s="831" t="s">
        <v>562</v>
      </c>
      <c r="AI23985" s="831">
        <v>0</v>
      </c>
      <c r="AJ23985" s="835">
        <v>41547</v>
      </c>
      <c r="AK23985" s="831">
        <v>0.78395000000000004</v>
      </c>
    </row>
    <row r="23986" spans="32:37">
      <c r="AF23986" s="831" t="s">
        <v>11109</v>
      </c>
      <c r="AG23986" s="831" t="s">
        <v>2674</v>
      </c>
      <c r="AH23986" s="831" t="s">
        <v>2698</v>
      </c>
      <c r="AI23986" s="831">
        <v>0</v>
      </c>
      <c r="AJ23986" s="835">
        <v>41547</v>
      </c>
      <c r="AK23986" s="831">
        <v>0.78385000000000005</v>
      </c>
    </row>
    <row r="23987" spans="32:37">
      <c r="AF23987" s="831" t="s">
        <v>11110</v>
      </c>
      <c r="AG23987" s="831" t="s">
        <v>2674</v>
      </c>
      <c r="AH23987" s="831" t="s">
        <v>560</v>
      </c>
      <c r="AI23987" s="831">
        <v>0</v>
      </c>
      <c r="AJ23987" s="835">
        <v>41547</v>
      </c>
      <c r="AK23987" s="831">
        <v>0.78400555555555551</v>
      </c>
    </row>
    <row r="23988" spans="32:37">
      <c r="AF23988" s="831" t="s">
        <v>11111</v>
      </c>
      <c r="AG23988" s="831" t="s">
        <v>2674</v>
      </c>
      <c r="AH23988" s="831" t="s">
        <v>559</v>
      </c>
      <c r="AI23988" s="831">
        <v>0</v>
      </c>
      <c r="AJ23988" s="835">
        <v>41547</v>
      </c>
      <c r="AK23988" s="831">
        <v>0.78404583333333333</v>
      </c>
    </row>
    <row r="23989" spans="32:37">
      <c r="AF23989" s="831" t="s">
        <v>11112</v>
      </c>
      <c r="AG23989" s="831" t="s">
        <v>2674</v>
      </c>
      <c r="AH23989" s="831" t="s">
        <v>568</v>
      </c>
      <c r="AI23989" s="831">
        <v>0</v>
      </c>
      <c r="AJ23989" s="835">
        <v>41547</v>
      </c>
      <c r="AK23989" s="831">
        <v>462009040.84615386</v>
      </c>
    </row>
    <row r="23990" spans="32:37">
      <c r="AF23990" s="831" t="s">
        <v>11113</v>
      </c>
      <c r="AG23990" s="831" t="s">
        <v>2674</v>
      </c>
      <c r="AH23990" s="831" t="s">
        <v>569</v>
      </c>
      <c r="AI23990" s="831">
        <v>0</v>
      </c>
      <c r="AJ23990" s="835">
        <v>41547</v>
      </c>
      <c r="AK23990" s="831">
        <v>560598027.84615386</v>
      </c>
    </row>
    <row r="23991" spans="32:37">
      <c r="AF23991" s="831" t="s">
        <v>11114</v>
      </c>
      <c r="AG23991" s="831" t="s">
        <v>2674</v>
      </c>
      <c r="AH23991" s="831" t="s">
        <v>570</v>
      </c>
      <c r="AI23991" s="831">
        <v>0</v>
      </c>
      <c r="AJ23991" s="835">
        <v>41547</v>
      </c>
      <c r="AK23991" s="831">
        <v>104238995.3076923</v>
      </c>
    </row>
    <row r="23992" spans="32:37">
      <c r="AF23992" s="831" t="s">
        <v>11115</v>
      </c>
      <c r="AG23992" s="831" t="s">
        <v>2674</v>
      </c>
      <c r="AH23992" s="831" t="s">
        <v>571</v>
      </c>
      <c r="AI23992" s="831">
        <v>0</v>
      </c>
      <c r="AJ23992" s="835">
        <v>41547</v>
      </c>
      <c r="AK23992" s="831">
        <v>257329819.61538461</v>
      </c>
    </row>
    <row r="23993" spans="32:37">
      <c r="AF23993" s="831" t="s">
        <v>11116</v>
      </c>
      <c r="AG23993" s="831" t="s">
        <v>2674</v>
      </c>
      <c r="AH23993" s="831" t="s">
        <v>573</v>
      </c>
      <c r="AI23993" s="831">
        <v>0</v>
      </c>
      <c r="AJ23993" s="835">
        <v>41547</v>
      </c>
      <c r="AK23993" s="831">
        <v>590906867</v>
      </c>
    </row>
    <row r="23994" spans="32:37">
      <c r="AF23994" s="831" t="s">
        <v>11117</v>
      </c>
      <c r="AG23994" s="831" t="s">
        <v>2674</v>
      </c>
      <c r="AH23994" s="831" t="s">
        <v>574</v>
      </c>
      <c r="AI23994" s="831">
        <v>0</v>
      </c>
      <c r="AJ23994" s="835">
        <v>41547</v>
      </c>
      <c r="AK23994" s="831">
        <v>486854454.89999998</v>
      </c>
    </row>
    <row r="23995" spans="32:37">
      <c r="AF23995" s="831" t="s">
        <v>11118</v>
      </c>
      <c r="AG23995" s="831" t="s">
        <v>2674</v>
      </c>
      <c r="AH23995" s="831" t="s">
        <v>575</v>
      </c>
      <c r="AI23995" s="831">
        <v>0</v>
      </c>
      <c r="AJ23995" s="835">
        <v>41547</v>
      </c>
      <c r="AK23995" s="831">
        <v>105640927.8</v>
      </c>
    </row>
    <row r="23996" spans="32:37">
      <c r="AF23996" s="831" t="s">
        <v>11119</v>
      </c>
      <c r="AG23996" s="831" t="s">
        <v>2674</v>
      </c>
      <c r="AH23996" s="831" t="s">
        <v>576</v>
      </c>
      <c r="AI23996" s="831">
        <v>0</v>
      </c>
      <c r="AJ23996" s="835">
        <v>41547</v>
      </c>
      <c r="AK23996" s="831">
        <v>277318070.10000002</v>
      </c>
    </row>
    <row r="23997" spans="32:37">
      <c r="AF23997" s="831" t="s">
        <v>11120</v>
      </c>
      <c r="AG23997" s="831" t="s">
        <v>2674</v>
      </c>
      <c r="AH23997" s="831" t="s">
        <v>572</v>
      </c>
      <c r="AI23997" s="831">
        <v>0</v>
      </c>
      <c r="AJ23997" s="835">
        <v>41547</v>
      </c>
      <c r="AK23997" s="831">
        <v>26160885</v>
      </c>
    </row>
    <row r="23998" spans="32:37">
      <c r="AF23998" s="831" t="s">
        <v>11121</v>
      </c>
      <c r="AG23998" s="831" t="s">
        <v>2674</v>
      </c>
      <c r="AH23998" s="831" t="s">
        <v>577</v>
      </c>
      <c r="AI23998" s="831">
        <v>0</v>
      </c>
      <c r="AJ23998" s="835">
        <v>41547</v>
      </c>
      <c r="AK23998" s="831">
        <v>122921739</v>
      </c>
    </row>
    <row r="23999" spans="32:37">
      <c r="AF23999" s="831" t="s">
        <v>11122</v>
      </c>
      <c r="AG23999" s="831" t="s">
        <v>2674</v>
      </c>
      <c r="AH23999" s="831" t="s">
        <v>3042</v>
      </c>
      <c r="AI23999" s="831">
        <v>0</v>
      </c>
      <c r="AJ23999" s="835">
        <v>41547</v>
      </c>
      <c r="AK23999" s="831">
        <v>-30135210</v>
      </c>
    </row>
    <row r="24000" spans="32:37">
      <c r="AF24000" s="831" t="s">
        <v>11123</v>
      </c>
      <c r="AG24000" s="831" t="s">
        <v>2674</v>
      </c>
      <c r="AH24000" s="831" t="s">
        <v>3044</v>
      </c>
      <c r="AI24000" s="831">
        <v>0</v>
      </c>
      <c r="AJ24000" s="835">
        <v>41547</v>
      </c>
      <c r="AK24000" s="831">
        <v>-4515854</v>
      </c>
    </row>
    <row r="24001" spans="32:37">
      <c r="AF24001" s="831" t="s">
        <v>11124</v>
      </c>
      <c r="AG24001" s="831" t="s">
        <v>2674</v>
      </c>
      <c r="AH24001" s="831" t="s">
        <v>580</v>
      </c>
      <c r="AI24001" s="831">
        <v>0</v>
      </c>
      <c r="AJ24001" s="835">
        <v>41547</v>
      </c>
      <c r="AK24001" s="831">
        <v>-59169843</v>
      </c>
    </row>
    <row r="24002" spans="32:37">
      <c r="AF24002" s="831" t="s">
        <v>11125</v>
      </c>
      <c r="AG24002" s="831" t="s">
        <v>2674</v>
      </c>
      <c r="AH24002" s="831" t="s">
        <v>581</v>
      </c>
      <c r="AI24002" s="831">
        <v>0</v>
      </c>
      <c r="AJ24002" s="835">
        <v>41547</v>
      </c>
      <c r="AK24002" s="831">
        <v>4375184</v>
      </c>
    </row>
    <row r="24003" spans="32:37">
      <c r="AF24003" s="831" t="s">
        <v>11126</v>
      </c>
      <c r="AG24003" s="831" t="s">
        <v>2674</v>
      </c>
      <c r="AH24003" s="831" t="s">
        <v>105</v>
      </c>
      <c r="AI24003" s="831">
        <v>0</v>
      </c>
      <c r="AJ24003" s="835">
        <v>41547</v>
      </c>
      <c r="AK24003" s="831">
        <v>338957368</v>
      </c>
    </row>
    <row r="24004" spans="32:37">
      <c r="AF24004" s="831" t="s">
        <v>11127</v>
      </c>
      <c r="AG24004" s="831" t="s">
        <v>2674</v>
      </c>
      <c r="AH24004" s="831" t="s">
        <v>3049</v>
      </c>
      <c r="AI24004" s="831">
        <v>0</v>
      </c>
      <c r="AJ24004" s="835">
        <v>41547</v>
      </c>
      <c r="AK24004" s="831">
        <v>558920871</v>
      </c>
    </row>
    <row r="24005" spans="32:37">
      <c r="AF24005" s="831" t="s">
        <v>11128</v>
      </c>
      <c r="AG24005" s="831" t="s">
        <v>2674</v>
      </c>
      <c r="AH24005" s="831" t="s">
        <v>103</v>
      </c>
      <c r="AI24005" s="831">
        <v>0</v>
      </c>
      <c r="AJ24005" s="835">
        <v>41547</v>
      </c>
      <c r="AK24005" s="831">
        <v>219963503</v>
      </c>
    </row>
    <row r="24006" spans="32:37">
      <c r="AF24006" s="831" t="s">
        <v>11129</v>
      </c>
      <c r="AG24006" s="831" t="s">
        <v>2674</v>
      </c>
      <c r="AH24006" s="831" t="s">
        <v>182</v>
      </c>
      <c r="AI24006" s="831">
        <v>0</v>
      </c>
      <c r="AJ24006" s="835">
        <v>41547</v>
      </c>
      <c r="AK24006" s="831">
        <v>57784893.333333336</v>
      </c>
    </row>
    <row r="24007" spans="32:37">
      <c r="AF24007" s="831" t="s">
        <v>11130</v>
      </c>
      <c r="AG24007" s="831" t="s">
        <v>2674</v>
      </c>
      <c r="AH24007" s="831" t="s">
        <v>6600</v>
      </c>
      <c r="AI24007" s="831">
        <v>0</v>
      </c>
      <c r="AJ24007" s="835">
        <v>41547</v>
      </c>
      <c r="AK24007" s="831">
        <v>26160885</v>
      </c>
    </row>
    <row r="24008" spans="32:37">
      <c r="AF24008" s="831" t="s">
        <v>11131</v>
      </c>
      <c r="AG24008" s="831" t="s">
        <v>2674</v>
      </c>
      <c r="AH24008" s="831" t="s">
        <v>6602</v>
      </c>
      <c r="AI24008" s="831">
        <v>0</v>
      </c>
      <c r="AJ24008" s="835">
        <v>41547</v>
      </c>
      <c r="AK24008" s="831">
        <v>22407414</v>
      </c>
    </row>
    <row r="24009" spans="32:37">
      <c r="AF24009" s="831" t="s">
        <v>11132</v>
      </c>
      <c r="AG24009" s="831" t="s">
        <v>2674</v>
      </c>
      <c r="AH24009" s="831" t="s">
        <v>650</v>
      </c>
      <c r="AI24009" s="831">
        <v>0</v>
      </c>
      <c r="AJ24009" s="835">
        <v>41547</v>
      </c>
      <c r="AK24009" s="831">
        <v>184913431.55000001</v>
      </c>
    </row>
    <row r="24010" spans="32:37">
      <c r="AF24010" s="831" t="s">
        <v>11133</v>
      </c>
      <c r="AG24010" s="831" t="s">
        <v>2674</v>
      </c>
      <c r="AH24010" s="831" t="s">
        <v>655</v>
      </c>
      <c r="AI24010" s="831">
        <v>0</v>
      </c>
      <c r="AJ24010" s="835">
        <v>41547</v>
      </c>
      <c r="AK24010" s="831">
        <v>1374522.24</v>
      </c>
    </row>
    <row r="24011" spans="32:37">
      <c r="AF24011" s="831" t="s">
        <v>11134</v>
      </c>
      <c r="AG24011" s="831" t="s">
        <v>2674</v>
      </c>
      <c r="AH24011" s="831" t="s">
        <v>546</v>
      </c>
      <c r="AI24011" s="831">
        <v>0</v>
      </c>
      <c r="AJ24011" s="835">
        <v>41578</v>
      </c>
      <c r="AK24011" s="831">
        <v>580271359</v>
      </c>
    </row>
    <row r="24012" spans="32:37">
      <c r="AF24012" s="831" t="s">
        <v>11135</v>
      </c>
      <c r="AG24012" s="831" t="s">
        <v>2674</v>
      </c>
      <c r="AH24012" s="831" t="s">
        <v>370</v>
      </c>
      <c r="AI24012" s="831">
        <v>0</v>
      </c>
      <c r="AJ24012" s="835">
        <v>41578</v>
      </c>
      <c r="AK24012" s="831">
        <v>723686405</v>
      </c>
    </row>
    <row r="24013" spans="32:37">
      <c r="AF24013" s="831" t="s">
        <v>11136</v>
      </c>
      <c r="AG24013" s="831" t="s">
        <v>2674</v>
      </c>
      <c r="AH24013" s="831" t="s">
        <v>126</v>
      </c>
      <c r="AI24013" s="831">
        <v>0</v>
      </c>
      <c r="AJ24013" s="835">
        <v>41578</v>
      </c>
      <c r="AK24013" s="831">
        <v>120290863</v>
      </c>
    </row>
    <row r="24014" spans="32:37">
      <c r="AF24014" s="831" t="s">
        <v>11137</v>
      </c>
      <c r="AG24014" s="831" t="s">
        <v>2674</v>
      </c>
      <c r="AH24014" s="831" t="s">
        <v>268</v>
      </c>
      <c r="AI24014" s="831">
        <v>0</v>
      </c>
      <c r="AJ24014" s="835">
        <v>41578</v>
      </c>
      <c r="AK24014" s="831">
        <v>25527641</v>
      </c>
    </row>
    <row r="24015" spans="32:37">
      <c r="AF24015" s="831" t="s">
        <v>11138</v>
      </c>
      <c r="AG24015" s="831" t="s">
        <v>2674</v>
      </c>
      <c r="AH24015" s="831" t="s">
        <v>547</v>
      </c>
      <c r="AI24015" s="831">
        <v>0</v>
      </c>
      <c r="AJ24015" s="835">
        <v>41578</v>
      </c>
      <c r="AK24015" s="831">
        <v>511487760</v>
      </c>
    </row>
    <row r="24016" spans="32:37">
      <c r="AF24016" s="831" t="s">
        <v>11139</v>
      </c>
      <c r="AG24016" s="831" t="s">
        <v>2674</v>
      </c>
      <c r="AH24016" s="831" t="s">
        <v>548</v>
      </c>
      <c r="AI24016" s="831">
        <v>0</v>
      </c>
      <c r="AJ24016" s="835">
        <v>41578</v>
      </c>
      <c r="AK24016" s="831">
        <v>96883184</v>
      </c>
    </row>
    <row r="24017" spans="32:37">
      <c r="AF24017" s="831" t="s">
        <v>11140</v>
      </c>
      <c r="AG24017" s="831" t="s">
        <v>2674</v>
      </c>
      <c r="AH24017" s="831" t="s">
        <v>549</v>
      </c>
      <c r="AI24017" s="831">
        <v>0</v>
      </c>
      <c r="AJ24017" s="835">
        <v>41578</v>
      </c>
      <c r="AK24017" s="831">
        <v>376404251</v>
      </c>
    </row>
    <row r="24018" spans="32:37">
      <c r="AF24018" s="831" t="s">
        <v>11141</v>
      </c>
      <c r="AG24018" s="831" t="s">
        <v>2674</v>
      </c>
      <c r="AH24018" s="831" t="s">
        <v>192</v>
      </c>
      <c r="AI24018" s="831">
        <v>0</v>
      </c>
      <c r="AJ24018" s="835">
        <v>41578</v>
      </c>
      <c r="AK24018" s="831">
        <v>-13193791</v>
      </c>
    </row>
    <row r="24019" spans="32:37">
      <c r="AF24019" s="831" t="s">
        <v>11142</v>
      </c>
      <c r="AG24019" s="831" t="s">
        <v>2674</v>
      </c>
      <c r="AH24019" s="831" t="s">
        <v>558</v>
      </c>
      <c r="AI24019" s="831">
        <v>0</v>
      </c>
      <c r="AJ24019" s="835">
        <v>41578</v>
      </c>
      <c r="AK24019" s="831">
        <v>603395542</v>
      </c>
    </row>
    <row r="24020" spans="32:37">
      <c r="AF24020" s="831" t="s">
        <v>11143</v>
      </c>
      <c r="AG24020" s="831" t="s">
        <v>2674</v>
      </c>
      <c r="AH24020" s="831" t="s">
        <v>65</v>
      </c>
      <c r="AI24020" s="831">
        <v>0</v>
      </c>
      <c r="AJ24020" s="835">
        <v>41578</v>
      </c>
      <c r="AK24020" s="831">
        <v>107527674</v>
      </c>
    </row>
    <row r="24021" spans="32:37">
      <c r="AF24021" s="831" t="s">
        <v>11144</v>
      </c>
      <c r="AG24021" s="831" t="s">
        <v>2674</v>
      </c>
      <c r="AH24021" s="831" t="s">
        <v>89</v>
      </c>
      <c r="AI24021" s="831">
        <v>0</v>
      </c>
      <c r="AJ24021" s="835">
        <v>41578</v>
      </c>
      <c r="AK24021" s="831">
        <v>143295</v>
      </c>
    </row>
    <row r="24022" spans="32:37">
      <c r="AF24022" s="831" t="s">
        <v>11145</v>
      </c>
      <c r="AG24022" s="831" t="s">
        <v>2674</v>
      </c>
      <c r="AH24022" s="831" t="s">
        <v>557</v>
      </c>
      <c r="AI24022" s="831">
        <v>0</v>
      </c>
      <c r="AJ24022" s="835">
        <v>41578</v>
      </c>
      <c r="AK24022" s="831">
        <v>153100</v>
      </c>
    </row>
    <row r="24023" spans="32:37">
      <c r="AF24023" s="831" t="s">
        <v>11146</v>
      </c>
      <c r="AG24023" s="831" t="s">
        <v>2674</v>
      </c>
      <c r="AH24023" s="831" t="s">
        <v>29</v>
      </c>
      <c r="AI24023" s="831">
        <v>0</v>
      </c>
      <c r="AJ24023" s="835">
        <v>41578</v>
      </c>
      <c r="AK24023" s="831">
        <v>1718550.9230000002</v>
      </c>
    </row>
    <row r="24024" spans="32:37">
      <c r="AF24024" s="831" t="s">
        <v>11147</v>
      </c>
      <c r="AG24024" s="831" t="s">
        <v>2674</v>
      </c>
      <c r="AH24024" s="831" t="s">
        <v>2688</v>
      </c>
      <c r="AI24024" s="831">
        <v>0</v>
      </c>
      <c r="AJ24024" s="835">
        <v>41578</v>
      </c>
      <c r="AK24024" s="831">
        <v>2316853.79</v>
      </c>
    </row>
    <row r="24025" spans="32:37">
      <c r="AF24025" s="831" t="s">
        <v>11148</v>
      </c>
      <c r="AG24025" s="831" t="s">
        <v>2674</v>
      </c>
      <c r="AH24025" s="831" t="s">
        <v>556</v>
      </c>
      <c r="AI24025" s="831">
        <v>0</v>
      </c>
      <c r="AJ24025" s="835">
        <v>41578</v>
      </c>
      <c r="AK24025" s="831">
        <v>1644732</v>
      </c>
    </row>
    <row r="24026" spans="32:37">
      <c r="AF24026" s="831" t="s">
        <v>11149</v>
      </c>
      <c r="AG24026" s="831" t="s">
        <v>2674</v>
      </c>
      <c r="AH24026" s="831" t="s">
        <v>555</v>
      </c>
      <c r="AI24026" s="831">
        <v>0</v>
      </c>
      <c r="AJ24026" s="835">
        <v>41578</v>
      </c>
      <c r="AK24026" s="831">
        <v>400055160</v>
      </c>
    </row>
    <row r="24027" spans="32:37">
      <c r="AF24027" s="831" t="s">
        <v>11150</v>
      </c>
      <c r="AG24027" s="831" t="s">
        <v>2674</v>
      </c>
      <c r="AH24027" s="831" t="s">
        <v>554</v>
      </c>
      <c r="AI24027" s="831">
        <v>0</v>
      </c>
      <c r="AJ24027" s="835">
        <v>41578</v>
      </c>
      <c r="AK24027" s="831">
        <v>409100170</v>
      </c>
    </row>
    <row r="24028" spans="32:37">
      <c r="AF24028" s="831" t="s">
        <v>11151</v>
      </c>
      <c r="AG24028" s="831" t="s">
        <v>2674</v>
      </c>
      <c r="AH24028" s="831" t="s">
        <v>553</v>
      </c>
      <c r="AI24028" s="831">
        <v>0</v>
      </c>
      <c r="AJ24028" s="835">
        <v>41578</v>
      </c>
      <c r="AK24028" s="831">
        <v>0</v>
      </c>
    </row>
    <row r="24029" spans="32:37">
      <c r="AF24029" s="831" t="s">
        <v>11152</v>
      </c>
      <c r="AG24029" s="831" t="s">
        <v>2674</v>
      </c>
      <c r="AH24029" s="831" t="s">
        <v>552</v>
      </c>
      <c r="AI24029" s="831">
        <v>0</v>
      </c>
      <c r="AJ24029" s="835">
        <v>41578</v>
      </c>
      <c r="AK24029" s="831">
        <v>0</v>
      </c>
    </row>
    <row r="24030" spans="32:37">
      <c r="AF24030" s="831" t="s">
        <v>11153</v>
      </c>
      <c r="AG24030" s="831" t="s">
        <v>2674</v>
      </c>
      <c r="AH24030" s="831" t="s">
        <v>551</v>
      </c>
      <c r="AI24030" s="831">
        <v>0</v>
      </c>
      <c r="AJ24030" s="835">
        <v>41578</v>
      </c>
      <c r="AK24030" s="831">
        <v>1543588.5830000001</v>
      </c>
    </row>
    <row r="24031" spans="32:37">
      <c r="AF24031" s="831" t="s">
        <v>11154</v>
      </c>
      <c r="AG24031" s="831" t="s">
        <v>2674</v>
      </c>
      <c r="AH24031" s="831" t="s">
        <v>550</v>
      </c>
      <c r="AI24031" s="831">
        <v>0</v>
      </c>
      <c r="AJ24031" s="835">
        <v>41578</v>
      </c>
      <c r="AK24031" s="831">
        <v>117170637</v>
      </c>
    </row>
    <row r="24032" spans="32:37">
      <c r="AF24032" s="831" t="s">
        <v>11155</v>
      </c>
      <c r="AG24032" s="831" t="s">
        <v>2674</v>
      </c>
      <c r="AH24032" s="831" t="s">
        <v>562</v>
      </c>
      <c r="AI24032" s="831">
        <v>0</v>
      </c>
      <c r="AJ24032" s="835">
        <v>41578</v>
      </c>
      <c r="AK24032" s="831">
        <v>0.78395000000000004</v>
      </c>
    </row>
    <row r="24033" spans="32:37">
      <c r="AF24033" s="831" t="s">
        <v>11156</v>
      </c>
      <c r="AG24033" s="831" t="s">
        <v>2674</v>
      </c>
      <c r="AH24033" s="831" t="s">
        <v>2698</v>
      </c>
      <c r="AI24033" s="831">
        <v>0</v>
      </c>
      <c r="AJ24033" s="835">
        <v>41578</v>
      </c>
      <c r="AK24033" s="831">
        <v>0.78395000000000004</v>
      </c>
    </row>
    <row r="24034" spans="32:37">
      <c r="AF24034" s="831" t="s">
        <v>11157</v>
      </c>
      <c r="AG24034" s="831" t="s">
        <v>2674</v>
      </c>
      <c r="AH24034" s="831" t="s">
        <v>560</v>
      </c>
      <c r="AI24034" s="831">
        <v>0</v>
      </c>
      <c r="AJ24034" s="835">
        <v>41578</v>
      </c>
      <c r="AK24034" s="831">
        <v>0.78400000000000003</v>
      </c>
    </row>
    <row r="24035" spans="32:37">
      <c r="AF24035" s="831" t="s">
        <v>11158</v>
      </c>
      <c r="AG24035" s="831" t="s">
        <v>2674</v>
      </c>
      <c r="AH24035" s="831" t="s">
        <v>559</v>
      </c>
      <c r="AI24035" s="831">
        <v>0</v>
      </c>
      <c r="AJ24035" s="835">
        <v>41578</v>
      </c>
      <c r="AK24035" s="831">
        <v>0.78401250000000011</v>
      </c>
    </row>
    <row r="24036" spans="32:37">
      <c r="AF24036" s="831" t="s">
        <v>11159</v>
      </c>
      <c r="AG24036" s="831" t="s">
        <v>2674</v>
      </c>
      <c r="AH24036" s="831" t="s">
        <v>568</v>
      </c>
      <c r="AI24036" s="831">
        <v>0</v>
      </c>
      <c r="AJ24036" s="835">
        <v>41578</v>
      </c>
      <c r="AK24036" s="831">
        <v>478407995.76923078</v>
      </c>
    </row>
    <row r="24037" spans="32:37">
      <c r="AF24037" s="831" t="s">
        <v>11160</v>
      </c>
      <c r="AG24037" s="831" t="s">
        <v>2674</v>
      </c>
      <c r="AH24037" s="831" t="s">
        <v>569</v>
      </c>
      <c r="AI24037" s="831">
        <v>0</v>
      </c>
      <c r="AJ24037" s="835">
        <v>41578</v>
      </c>
      <c r="AK24037" s="831">
        <v>581144138.23076928</v>
      </c>
    </row>
    <row r="24038" spans="32:37">
      <c r="AF24038" s="831" t="s">
        <v>11161</v>
      </c>
      <c r="AG24038" s="831" t="s">
        <v>2674</v>
      </c>
      <c r="AH24038" s="831" t="s">
        <v>570</v>
      </c>
      <c r="AI24038" s="831">
        <v>0</v>
      </c>
      <c r="AJ24038" s="835">
        <v>41578</v>
      </c>
      <c r="AK24038" s="831">
        <v>105999107.61538461</v>
      </c>
    </row>
    <row r="24039" spans="32:37">
      <c r="AF24039" s="831" t="s">
        <v>11162</v>
      </c>
      <c r="AG24039" s="831" t="s">
        <v>2674</v>
      </c>
      <c r="AH24039" s="831" t="s">
        <v>571</v>
      </c>
      <c r="AI24039" s="831">
        <v>0</v>
      </c>
      <c r="AJ24039" s="835">
        <v>41578</v>
      </c>
      <c r="AK24039" s="831">
        <v>269945691.38461536</v>
      </c>
    </row>
    <row r="24040" spans="32:37">
      <c r="AF24040" s="831" t="s">
        <v>11163</v>
      </c>
      <c r="AG24040" s="831" t="s">
        <v>2674</v>
      </c>
      <c r="AH24040" s="831" t="s">
        <v>573</v>
      </c>
      <c r="AI24040" s="831">
        <v>0</v>
      </c>
      <c r="AJ24040" s="835">
        <v>41578</v>
      </c>
      <c r="AK24040" s="831">
        <v>602977734.09090912</v>
      </c>
    </row>
    <row r="24041" spans="32:37">
      <c r="AF24041" s="831" t="s">
        <v>11164</v>
      </c>
      <c r="AG24041" s="831" t="s">
        <v>2674</v>
      </c>
      <c r="AH24041" s="831" t="s">
        <v>574</v>
      </c>
      <c r="AI24041" s="831">
        <v>0</v>
      </c>
      <c r="AJ24041" s="835">
        <v>41578</v>
      </c>
      <c r="AK24041" s="831">
        <v>495346900.72727275</v>
      </c>
    </row>
    <row r="24042" spans="32:37">
      <c r="AF24042" s="831" t="s">
        <v>11165</v>
      </c>
      <c r="AG24042" s="831" t="s">
        <v>2674</v>
      </c>
      <c r="AH24042" s="831" t="s">
        <v>575</v>
      </c>
      <c r="AI24042" s="831">
        <v>0</v>
      </c>
      <c r="AJ24042" s="835">
        <v>41578</v>
      </c>
      <c r="AK24042" s="831">
        <v>106972740.09090909</v>
      </c>
    </row>
    <row r="24043" spans="32:37">
      <c r="AF24043" s="831" t="s">
        <v>11166</v>
      </c>
      <c r="AG24043" s="831" t="s">
        <v>2674</v>
      </c>
      <c r="AH24043" s="831" t="s">
        <v>576</v>
      </c>
      <c r="AI24043" s="831">
        <v>0</v>
      </c>
      <c r="AJ24043" s="835">
        <v>41578</v>
      </c>
      <c r="AK24043" s="831">
        <v>283862763.27272725</v>
      </c>
    </row>
    <row r="24044" spans="32:37">
      <c r="AF24044" s="831" t="s">
        <v>11167</v>
      </c>
      <c r="AG24044" s="831" t="s">
        <v>2674</v>
      </c>
      <c r="AH24044" s="831" t="s">
        <v>572</v>
      </c>
      <c r="AI24044" s="831">
        <v>0</v>
      </c>
      <c r="AJ24044" s="835">
        <v>41578</v>
      </c>
      <c r="AK24044" s="831">
        <v>27259085</v>
      </c>
    </row>
    <row r="24045" spans="32:37">
      <c r="AF24045" s="831" t="s">
        <v>11168</v>
      </c>
      <c r="AG24045" s="831" t="s">
        <v>2674</v>
      </c>
      <c r="AH24045" s="831" t="s">
        <v>577</v>
      </c>
      <c r="AI24045" s="831">
        <v>0</v>
      </c>
      <c r="AJ24045" s="835">
        <v>41578</v>
      </c>
      <c r="AK24045" s="831">
        <v>126095724</v>
      </c>
    </row>
    <row r="24046" spans="32:37">
      <c r="AF24046" s="831" t="s">
        <v>11169</v>
      </c>
      <c r="AG24046" s="831" t="s">
        <v>2674</v>
      </c>
      <c r="AH24046" s="831" t="s">
        <v>3042</v>
      </c>
      <c r="AI24046" s="831">
        <v>0</v>
      </c>
      <c r="AJ24046" s="835">
        <v>41578</v>
      </c>
      <c r="AK24046" s="831">
        <v>-31522962</v>
      </c>
    </row>
    <row r="24047" spans="32:37">
      <c r="AF24047" s="831" t="s">
        <v>11170</v>
      </c>
      <c r="AG24047" s="831" t="s">
        <v>2674</v>
      </c>
      <c r="AH24047" s="831" t="s">
        <v>3044</v>
      </c>
      <c r="AI24047" s="831">
        <v>0</v>
      </c>
      <c r="AJ24047" s="835">
        <v>41578</v>
      </c>
      <c r="AK24047" s="831">
        <v>-4397277</v>
      </c>
    </row>
    <row r="24048" spans="32:37">
      <c r="AF24048" s="831" t="s">
        <v>11171</v>
      </c>
      <c r="AG24048" s="831" t="s">
        <v>2674</v>
      </c>
      <c r="AH24048" s="831" t="s">
        <v>580</v>
      </c>
      <c r="AI24048" s="831">
        <v>0</v>
      </c>
      <c r="AJ24048" s="835">
        <v>41578</v>
      </c>
      <c r="AK24048" s="831">
        <v>-60213639</v>
      </c>
    </row>
    <row r="24049" spans="32:37">
      <c r="AF24049" s="831" t="s">
        <v>11172</v>
      </c>
      <c r="AG24049" s="831" t="s">
        <v>2674</v>
      </c>
      <c r="AH24049" s="831" t="s">
        <v>581</v>
      </c>
      <c r="AI24049" s="831">
        <v>0</v>
      </c>
      <c r="AJ24049" s="835">
        <v>41578</v>
      </c>
      <c r="AK24049" s="831">
        <v>4896268</v>
      </c>
    </row>
    <row r="24050" spans="32:37">
      <c r="AF24050" s="831" t="s">
        <v>11173</v>
      </c>
      <c r="AG24050" s="831" t="s">
        <v>2674</v>
      </c>
      <c r="AH24050" s="831" t="s">
        <v>105</v>
      </c>
      <c r="AI24050" s="831">
        <v>0</v>
      </c>
      <c r="AJ24050" s="835">
        <v>41578</v>
      </c>
      <c r="AK24050" s="831">
        <v>349309695</v>
      </c>
    </row>
    <row r="24051" spans="32:37">
      <c r="AF24051" s="831" t="s">
        <v>11174</v>
      </c>
      <c r="AG24051" s="831" t="s">
        <v>2674</v>
      </c>
      <c r="AH24051" s="831" t="s">
        <v>3049</v>
      </c>
      <c r="AI24051" s="831">
        <v>0</v>
      </c>
      <c r="AJ24051" s="835">
        <v>41578</v>
      </c>
      <c r="AK24051" s="831">
        <v>582451860</v>
      </c>
    </row>
    <row r="24052" spans="32:37">
      <c r="AF24052" s="831" t="s">
        <v>11175</v>
      </c>
      <c r="AG24052" s="831" t="s">
        <v>2674</v>
      </c>
      <c r="AH24052" s="831" t="s">
        <v>103</v>
      </c>
      <c r="AI24052" s="831">
        <v>0</v>
      </c>
      <c r="AJ24052" s="835">
        <v>41578</v>
      </c>
      <c r="AK24052" s="831">
        <v>233142165</v>
      </c>
    </row>
    <row r="24053" spans="32:37">
      <c r="AF24053" s="831" t="s">
        <v>11176</v>
      </c>
      <c r="AG24053" s="831" t="s">
        <v>2674</v>
      </c>
      <c r="AH24053" s="831" t="s">
        <v>182</v>
      </c>
      <c r="AI24053" s="831">
        <v>0</v>
      </c>
      <c r="AJ24053" s="835">
        <v>41578</v>
      </c>
      <c r="AK24053" s="831">
        <v>58216306.799999997</v>
      </c>
    </row>
    <row r="24054" spans="32:37">
      <c r="AF24054" s="831" t="s">
        <v>11177</v>
      </c>
      <c r="AG24054" s="831" t="s">
        <v>2674</v>
      </c>
      <c r="AH24054" s="831" t="s">
        <v>6600</v>
      </c>
      <c r="AI24054" s="831">
        <v>0</v>
      </c>
      <c r="AJ24054" s="835">
        <v>41578</v>
      </c>
      <c r="AK24054" s="831">
        <v>27259085</v>
      </c>
    </row>
    <row r="24055" spans="32:37">
      <c r="AF24055" s="831" t="s">
        <v>11178</v>
      </c>
      <c r="AG24055" s="831" t="s">
        <v>2674</v>
      </c>
      <c r="AH24055" s="831" t="s">
        <v>6602</v>
      </c>
      <c r="AI24055" s="831">
        <v>0</v>
      </c>
      <c r="AJ24055" s="835">
        <v>41578</v>
      </c>
      <c r="AK24055" s="831">
        <v>25527641</v>
      </c>
    </row>
    <row r="24056" spans="32:37">
      <c r="AF24056" s="831" t="s">
        <v>11179</v>
      </c>
      <c r="AG24056" s="831" t="s">
        <v>2674</v>
      </c>
      <c r="AH24056" s="831" t="s">
        <v>650</v>
      </c>
      <c r="AI24056" s="831">
        <v>0</v>
      </c>
      <c r="AJ24056" s="835">
        <v>41578</v>
      </c>
      <c r="AK24056" s="831">
        <v>190388810.31923077</v>
      </c>
    </row>
    <row r="24057" spans="32:37">
      <c r="AF24057" s="831" t="s">
        <v>11180</v>
      </c>
      <c r="AG24057" s="831" t="s">
        <v>2674</v>
      </c>
      <c r="AH24057" s="831" t="s">
        <v>655</v>
      </c>
      <c r="AI24057" s="831">
        <v>0</v>
      </c>
      <c r="AJ24057" s="835">
        <v>41578</v>
      </c>
      <c r="AK24057" s="831">
        <v>1325401.845</v>
      </c>
    </row>
    <row r="24058" spans="32:37">
      <c r="AF24058" s="831" t="s">
        <v>11181</v>
      </c>
      <c r="AG24058" s="831" t="s">
        <v>2674</v>
      </c>
      <c r="AH24058" s="831" t="s">
        <v>546</v>
      </c>
      <c r="AI24058" s="831">
        <v>0</v>
      </c>
      <c r="AJ24058" s="835">
        <v>41608</v>
      </c>
      <c r="AK24058" s="831">
        <v>598049309.95000005</v>
      </c>
    </row>
    <row r="24059" spans="32:37">
      <c r="AF24059" s="831" t="s">
        <v>11182</v>
      </c>
      <c r="AG24059" s="831" t="s">
        <v>2674</v>
      </c>
      <c r="AH24059" s="831" t="s">
        <v>370</v>
      </c>
      <c r="AI24059" s="831">
        <v>0</v>
      </c>
      <c r="AJ24059" s="835">
        <v>41608</v>
      </c>
      <c r="AK24059" s="831">
        <v>744271522.09000015</v>
      </c>
    </row>
    <row r="24060" spans="32:37">
      <c r="AF24060" s="831" t="s">
        <v>11183</v>
      </c>
      <c r="AG24060" s="831" t="s">
        <v>2674</v>
      </c>
      <c r="AH24060" s="831" t="s">
        <v>126</v>
      </c>
      <c r="AI24060" s="831">
        <v>0</v>
      </c>
      <c r="AJ24060" s="835">
        <v>41608</v>
      </c>
      <c r="AK24060" s="831">
        <v>123117939.85600001</v>
      </c>
    </row>
    <row r="24061" spans="32:37">
      <c r="AF24061" s="831" t="s">
        <v>11184</v>
      </c>
      <c r="AG24061" s="831" t="s">
        <v>2674</v>
      </c>
      <c r="AH24061" s="831" t="s">
        <v>268</v>
      </c>
      <c r="AI24061" s="831">
        <v>0</v>
      </c>
      <c r="AJ24061" s="835">
        <v>41608</v>
      </c>
      <c r="AK24061" s="831">
        <v>28354718.032000005</v>
      </c>
    </row>
    <row r="24062" spans="32:37">
      <c r="AF24062" s="831" t="s">
        <v>11185</v>
      </c>
      <c r="AG24062" s="831" t="s">
        <v>2674</v>
      </c>
      <c r="AH24062" s="831" t="s">
        <v>547</v>
      </c>
      <c r="AI24062" s="831">
        <v>0</v>
      </c>
      <c r="AJ24062" s="835">
        <v>41608</v>
      </c>
      <c r="AK24062" s="831">
        <v>511487760</v>
      </c>
    </row>
    <row r="24063" spans="32:37">
      <c r="AF24063" s="831" t="s">
        <v>11186</v>
      </c>
      <c r="AG24063" s="831" t="s">
        <v>2674</v>
      </c>
      <c r="AH24063" s="831" t="s">
        <v>548</v>
      </c>
      <c r="AI24063" s="831">
        <v>0</v>
      </c>
      <c r="AJ24063" s="835">
        <v>41608</v>
      </c>
      <c r="AK24063" s="831">
        <v>96883184</v>
      </c>
    </row>
    <row r="24064" spans="32:37">
      <c r="AF24064" s="831" t="s">
        <v>11187</v>
      </c>
      <c r="AG24064" s="831" t="s">
        <v>2674</v>
      </c>
      <c r="AH24064" s="831" t="s">
        <v>549</v>
      </c>
      <c r="AI24064" s="831">
        <v>0</v>
      </c>
      <c r="AJ24064" s="835">
        <v>41608</v>
      </c>
      <c r="AK24064" s="831">
        <v>394083786</v>
      </c>
    </row>
    <row r="24065" spans="32:37">
      <c r="AF24065" s="831" t="s">
        <v>11188</v>
      </c>
      <c r="AG24065" s="831" t="s">
        <v>2674</v>
      </c>
      <c r="AH24065" s="831" t="s">
        <v>192</v>
      </c>
      <c r="AI24065" s="831">
        <v>0</v>
      </c>
      <c r="AJ24065" s="835">
        <v>41608</v>
      </c>
      <c r="AK24065" s="831">
        <v>-13734258.050000001</v>
      </c>
    </row>
    <row r="24066" spans="32:37">
      <c r="AF24066" s="831" t="s">
        <v>11189</v>
      </c>
      <c r="AG24066" s="831" t="s">
        <v>2674</v>
      </c>
      <c r="AH24066" s="831" t="s">
        <v>558</v>
      </c>
      <c r="AI24066" s="831">
        <v>0</v>
      </c>
      <c r="AJ24066" s="835">
        <v>41608</v>
      </c>
      <c r="AK24066" s="831">
        <v>621153581.74699998</v>
      </c>
    </row>
    <row r="24067" spans="32:37">
      <c r="AF24067" s="831" t="s">
        <v>11190</v>
      </c>
      <c r="AG24067" s="831" t="s">
        <v>2674</v>
      </c>
      <c r="AH24067" s="831" t="s">
        <v>65</v>
      </c>
      <c r="AI24067" s="831">
        <v>0</v>
      </c>
      <c r="AJ24067" s="835">
        <v>41608</v>
      </c>
      <c r="AK24067" s="831">
        <v>119540969.236</v>
      </c>
    </row>
    <row r="24068" spans="32:37">
      <c r="AF24068" s="831" t="s">
        <v>11191</v>
      </c>
      <c r="AG24068" s="831" t="s">
        <v>2674</v>
      </c>
      <c r="AH24068" s="831" t="s">
        <v>89</v>
      </c>
      <c r="AI24068" s="831">
        <v>0</v>
      </c>
      <c r="AJ24068" s="835">
        <v>41608</v>
      </c>
      <c r="AK24068" s="831">
        <v>145224</v>
      </c>
    </row>
    <row r="24069" spans="32:37">
      <c r="AF24069" s="831" t="s">
        <v>11192</v>
      </c>
      <c r="AG24069" s="831" t="s">
        <v>2674</v>
      </c>
      <c r="AH24069" s="831" t="s">
        <v>557</v>
      </c>
      <c r="AI24069" s="831">
        <v>0</v>
      </c>
      <c r="AJ24069" s="835">
        <v>41608</v>
      </c>
      <c r="AK24069" s="831">
        <v>155996</v>
      </c>
    </row>
    <row r="24070" spans="32:37">
      <c r="AF24070" s="831" t="s">
        <v>11193</v>
      </c>
      <c r="AG24070" s="831" t="s">
        <v>2674</v>
      </c>
      <c r="AH24070" s="831" t="s">
        <v>29</v>
      </c>
      <c r="AI24070" s="831">
        <v>0</v>
      </c>
      <c r="AJ24070" s="835">
        <v>41608</v>
      </c>
      <c r="AK24070" s="831">
        <v>1891894.6070000001</v>
      </c>
    </row>
    <row r="24071" spans="32:37">
      <c r="AF24071" s="831" t="s">
        <v>11194</v>
      </c>
      <c r="AG24071" s="831" t="s">
        <v>2674</v>
      </c>
      <c r="AH24071" s="831" t="s">
        <v>2688</v>
      </c>
      <c r="AI24071" s="831">
        <v>0</v>
      </c>
      <c r="AJ24071" s="835">
        <v>41608</v>
      </c>
      <c r="AK24071" s="831">
        <v>3430395.37</v>
      </c>
    </row>
    <row r="24072" spans="32:37">
      <c r="AF24072" s="831" t="s">
        <v>11195</v>
      </c>
      <c r="AG24072" s="831" t="s">
        <v>2674</v>
      </c>
      <c r="AH24072" s="831" t="s">
        <v>556</v>
      </c>
      <c r="AI24072" s="831">
        <v>0</v>
      </c>
      <c r="AJ24072" s="835">
        <v>41608</v>
      </c>
      <c r="AK24072" s="831">
        <v>1644732</v>
      </c>
    </row>
    <row r="24073" spans="32:37">
      <c r="AF24073" s="831" t="s">
        <v>11196</v>
      </c>
      <c r="AG24073" s="831" t="s">
        <v>2674</v>
      </c>
      <c r="AH24073" s="831" t="s">
        <v>555</v>
      </c>
      <c r="AI24073" s="831">
        <v>0</v>
      </c>
      <c r="AJ24073" s="835">
        <v>41608</v>
      </c>
      <c r="AK24073" s="831">
        <v>414052390</v>
      </c>
    </row>
    <row r="24074" spans="32:37">
      <c r="AF24074" s="831" t="s">
        <v>11197</v>
      </c>
      <c r="AG24074" s="831" t="s">
        <v>2674</v>
      </c>
      <c r="AH24074" s="831" t="s">
        <v>554</v>
      </c>
      <c r="AI24074" s="831">
        <v>0</v>
      </c>
      <c r="AJ24074" s="835">
        <v>41608</v>
      </c>
      <c r="AK24074" s="831">
        <v>421904620</v>
      </c>
    </row>
    <row r="24075" spans="32:37">
      <c r="AF24075" s="831" t="s">
        <v>11198</v>
      </c>
      <c r="AG24075" s="831" t="s">
        <v>2674</v>
      </c>
      <c r="AH24075" s="831" t="s">
        <v>553</v>
      </c>
      <c r="AI24075" s="831">
        <v>0</v>
      </c>
      <c r="AJ24075" s="835">
        <v>41608</v>
      </c>
      <c r="AK24075" s="831">
        <v>0</v>
      </c>
    </row>
    <row r="24076" spans="32:37">
      <c r="AF24076" s="831" t="s">
        <v>11199</v>
      </c>
      <c r="AG24076" s="831" t="s">
        <v>2674</v>
      </c>
      <c r="AH24076" s="831" t="s">
        <v>552</v>
      </c>
      <c r="AI24076" s="831">
        <v>0</v>
      </c>
      <c r="AJ24076" s="835">
        <v>41608</v>
      </c>
      <c r="AK24076" s="831">
        <v>0</v>
      </c>
    </row>
    <row r="24077" spans="32:37">
      <c r="AF24077" s="831" t="s">
        <v>11200</v>
      </c>
      <c r="AG24077" s="831" t="s">
        <v>2674</v>
      </c>
      <c r="AH24077" s="831" t="s">
        <v>551</v>
      </c>
      <c r="AI24077" s="831">
        <v>0</v>
      </c>
      <c r="AJ24077" s="835">
        <v>41608</v>
      </c>
      <c r="AK24077" s="831">
        <v>1659941.3510000003</v>
      </c>
    </row>
    <row r="24078" spans="32:37">
      <c r="AF24078" s="831" t="s">
        <v>11201</v>
      </c>
      <c r="AG24078" s="831" t="s">
        <v>2674</v>
      </c>
      <c r="AH24078" s="831" t="s">
        <v>550</v>
      </c>
      <c r="AI24078" s="831">
        <v>0</v>
      </c>
      <c r="AJ24078" s="835">
        <v>41608</v>
      </c>
      <c r="AK24078" s="831">
        <v>120290863</v>
      </c>
    </row>
    <row r="24079" spans="32:37">
      <c r="AF24079" s="831" t="s">
        <v>11202</v>
      </c>
      <c r="AG24079" s="831" t="s">
        <v>2674</v>
      </c>
      <c r="AH24079" s="831" t="s">
        <v>562</v>
      </c>
      <c r="AI24079" s="831">
        <v>0</v>
      </c>
      <c r="AJ24079" s="835">
        <v>41608</v>
      </c>
      <c r="AK24079" s="831">
        <v>0.78385000000000005</v>
      </c>
    </row>
    <row r="24080" spans="32:37">
      <c r="AF24080" s="831" t="s">
        <v>11203</v>
      </c>
      <c r="AG24080" s="831" t="s">
        <v>2674</v>
      </c>
      <c r="AH24080" s="831" t="s">
        <v>2698</v>
      </c>
      <c r="AI24080" s="831">
        <v>0</v>
      </c>
      <c r="AJ24080" s="835">
        <v>41608</v>
      </c>
      <c r="AK24080" s="831">
        <v>0.78395000000000004</v>
      </c>
    </row>
    <row r="24081" spans="32:37">
      <c r="AF24081" s="831" t="s">
        <v>11204</v>
      </c>
      <c r="AG24081" s="831" t="s">
        <v>2674</v>
      </c>
      <c r="AH24081" s="831" t="s">
        <v>560</v>
      </c>
      <c r="AI24081" s="831">
        <v>0</v>
      </c>
      <c r="AJ24081" s="835">
        <v>41608</v>
      </c>
      <c r="AK24081" s="831">
        <v>0.78398636363636354</v>
      </c>
    </row>
    <row r="24082" spans="32:37">
      <c r="AF24082" s="831" t="s">
        <v>11205</v>
      </c>
      <c r="AG24082" s="831" t="s">
        <v>2674</v>
      </c>
      <c r="AH24082" s="831" t="s">
        <v>559</v>
      </c>
      <c r="AI24082" s="831">
        <v>0</v>
      </c>
      <c r="AJ24082" s="835">
        <v>41608</v>
      </c>
      <c r="AK24082" s="831">
        <v>0.78398749999999995</v>
      </c>
    </row>
    <row r="24083" spans="32:37">
      <c r="AF24083" s="831" t="s">
        <v>11206</v>
      </c>
      <c r="AG24083" s="831" t="s">
        <v>2674</v>
      </c>
      <c r="AH24083" s="831" t="s">
        <v>568</v>
      </c>
      <c r="AI24083" s="831">
        <v>0</v>
      </c>
      <c r="AJ24083" s="835">
        <v>41608</v>
      </c>
      <c r="AK24083" s="831">
        <v>495457615.68846154</v>
      </c>
    </row>
    <row r="24084" spans="32:37">
      <c r="AF24084" s="831" t="s">
        <v>11207</v>
      </c>
      <c r="AG24084" s="831" t="s">
        <v>2674</v>
      </c>
      <c r="AH24084" s="831" t="s">
        <v>569</v>
      </c>
      <c r="AI24084" s="831">
        <v>0</v>
      </c>
      <c r="AJ24084" s="835">
        <v>41608</v>
      </c>
      <c r="AK24084" s="831">
        <v>603523727.23769236</v>
      </c>
    </row>
    <row r="24085" spans="32:37">
      <c r="AF24085" s="831" t="s">
        <v>11208</v>
      </c>
      <c r="AG24085" s="831" t="s">
        <v>2674</v>
      </c>
      <c r="AH24085" s="831" t="s">
        <v>570</v>
      </c>
      <c r="AI24085" s="831">
        <v>0</v>
      </c>
      <c r="AJ24085" s="835">
        <v>41608</v>
      </c>
      <c r="AK24085" s="831">
        <v>107821146.75815384</v>
      </c>
    </row>
    <row r="24086" spans="32:37">
      <c r="AF24086" s="831" t="s">
        <v>11209</v>
      </c>
      <c r="AG24086" s="831" t="s">
        <v>2674</v>
      </c>
      <c r="AH24086" s="831" t="s">
        <v>571</v>
      </c>
      <c r="AI24086" s="831">
        <v>0</v>
      </c>
      <c r="AJ24086" s="835">
        <v>41608</v>
      </c>
      <c r="AK24086" s="831">
        <v>283259717.08169228</v>
      </c>
    </row>
    <row r="24087" spans="32:37">
      <c r="AF24087" s="831" t="s">
        <v>11210</v>
      </c>
      <c r="AG24087" s="831" t="s">
        <v>2674</v>
      </c>
      <c r="AH24087" s="831" t="s">
        <v>573</v>
      </c>
      <c r="AI24087" s="831">
        <v>0</v>
      </c>
      <c r="AJ24087" s="835">
        <v>41608</v>
      </c>
      <c r="AK24087" s="831">
        <v>614752216.42416668</v>
      </c>
    </row>
    <row r="24088" spans="32:37">
      <c r="AF24088" s="831" t="s">
        <v>11211</v>
      </c>
      <c r="AG24088" s="831" t="s">
        <v>2674</v>
      </c>
      <c r="AH24088" s="831" t="s">
        <v>574</v>
      </c>
      <c r="AI24088" s="831">
        <v>0</v>
      </c>
      <c r="AJ24088" s="835">
        <v>41608</v>
      </c>
      <c r="AK24088" s="831">
        <v>503905434.82916665</v>
      </c>
    </row>
    <row r="24089" spans="32:37">
      <c r="AF24089" s="831" t="s">
        <v>11212</v>
      </c>
      <c r="AG24089" s="831" t="s">
        <v>2674</v>
      </c>
      <c r="AH24089" s="831" t="s">
        <v>575</v>
      </c>
      <c r="AI24089" s="831">
        <v>0</v>
      </c>
      <c r="AJ24089" s="835">
        <v>41608</v>
      </c>
      <c r="AK24089" s="831">
        <v>108318173.40466666</v>
      </c>
    </row>
    <row r="24090" spans="32:37">
      <c r="AF24090" s="831" t="s">
        <v>11213</v>
      </c>
      <c r="AG24090" s="831" t="s">
        <v>2674</v>
      </c>
      <c r="AH24090" s="831" t="s">
        <v>576</v>
      </c>
      <c r="AI24090" s="831">
        <v>0</v>
      </c>
      <c r="AJ24090" s="835">
        <v>41608</v>
      </c>
      <c r="AK24090" s="831">
        <v>290020734.67183334</v>
      </c>
    </row>
    <row r="24091" spans="32:37">
      <c r="AF24091" s="831" t="s">
        <v>11214</v>
      </c>
      <c r="AG24091" s="831" t="s">
        <v>2674</v>
      </c>
      <c r="AH24091" s="831" t="s">
        <v>572</v>
      </c>
      <c r="AI24091" s="831">
        <v>0</v>
      </c>
      <c r="AJ24091" s="835">
        <v>41608</v>
      </c>
      <c r="AK24091" s="831">
        <v>27660766.032000005</v>
      </c>
    </row>
    <row r="24092" spans="32:37">
      <c r="AF24092" s="831" t="s">
        <v>11215</v>
      </c>
      <c r="AG24092" s="831" t="s">
        <v>2674</v>
      </c>
      <c r="AH24092" s="831" t="s">
        <v>577</v>
      </c>
      <c r="AI24092" s="831">
        <v>0</v>
      </c>
      <c r="AJ24092" s="835">
        <v>41608</v>
      </c>
      <c r="AK24092" s="831">
        <v>128906380.236</v>
      </c>
    </row>
    <row r="24093" spans="32:37">
      <c r="AF24093" s="831" t="s">
        <v>11216</v>
      </c>
      <c r="AG24093" s="831" t="s">
        <v>2674</v>
      </c>
      <c r="AH24093" s="831" t="s">
        <v>3042</v>
      </c>
      <c r="AI24093" s="831">
        <v>0</v>
      </c>
      <c r="AJ24093" s="835">
        <v>41608</v>
      </c>
      <c r="AK24093" s="831">
        <v>-32754423.664999999</v>
      </c>
    </row>
    <row r="24094" spans="32:37">
      <c r="AF24094" s="831" t="s">
        <v>11217</v>
      </c>
      <c r="AG24094" s="831" t="s">
        <v>2674</v>
      </c>
      <c r="AH24094" s="831" t="s">
        <v>3044</v>
      </c>
      <c r="AI24094" s="831">
        <v>0</v>
      </c>
      <c r="AJ24094" s="835">
        <v>41608</v>
      </c>
      <c r="AK24094" s="831">
        <v>-4752350.8779999996</v>
      </c>
    </row>
    <row r="24095" spans="32:37">
      <c r="AF24095" s="831" t="s">
        <v>11218</v>
      </c>
      <c r="AG24095" s="831" t="s">
        <v>2674</v>
      </c>
      <c r="AH24095" s="831" t="s">
        <v>580</v>
      </c>
      <c r="AI24095" s="831">
        <v>0</v>
      </c>
      <c r="AJ24095" s="835">
        <v>41608</v>
      </c>
      <c r="AK24095" s="831">
        <v>-61342758.126000002</v>
      </c>
    </row>
    <row r="24096" spans="32:37">
      <c r="AF24096" s="831" t="s">
        <v>11219</v>
      </c>
      <c r="AG24096" s="831" t="s">
        <v>2674</v>
      </c>
      <c r="AH24096" s="831" t="s">
        <v>581</v>
      </c>
      <c r="AI24096" s="831">
        <v>0</v>
      </c>
      <c r="AJ24096" s="835">
        <v>41608</v>
      </c>
      <c r="AK24096" s="831">
        <v>5348437.4649999999</v>
      </c>
    </row>
    <row r="24097" spans="32:37">
      <c r="AF24097" s="831" t="s">
        <v>11220</v>
      </c>
      <c r="AG24097" s="831" t="s">
        <v>2674</v>
      </c>
      <c r="AH24097" s="831" t="s">
        <v>105</v>
      </c>
      <c r="AI24097" s="831">
        <v>0</v>
      </c>
      <c r="AJ24097" s="835">
        <v>41608</v>
      </c>
      <c r="AK24097" s="831">
        <v>357758420.06199998</v>
      </c>
    </row>
    <row r="24098" spans="32:37">
      <c r="AF24098" s="831" t="s">
        <v>11221</v>
      </c>
      <c r="AG24098" s="831" t="s">
        <v>2674</v>
      </c>
      <c r="AH24098" s="831" t="s">
        <v>3049</v>
      </c>
      <c r="AI24098" s="831">
        <v>0</v>
      </c>
      <c r="AJ24098" s="835">
        <v>41608</v>
      </c>
      <c r="AK24098" s="831">
        <v>601955674.8829999</v>
      </c>
    </row>
    <row r="24099" spans="32:37">
      <c r="AF24099" s="831" t="s">
        <v>11222</v>
      </c>
      <c r="AG24099" s="831" t="s">
        <v>2674</v>
      </c>
      <c r="AH24099" s="831" t="s">
        <v>103</v>
      </c>
      <c r="AI24099" s="831">
        <v>0</v>
      </c>
      <c r="AJ24099" s="835">
        <v>41608</v>
      </c>
      <c r="AK24099" s="831">
        <v>244197254.82099998</v>
      </c>
    </row>
    <row r="24100" spans="32:37">
      <c r="AF24100" s="831" t="s">
        <v>11223</v>
      </c>
      <c r="AG24100" s="831" t="s">
        <v>2674</v>
      </c>
      <c r="AH24100" s="831" t="s">
        <v>182</v>
      </c>
      <c r="AI24100" s="831">
        <v>0</v>
      </c>
      <c r="AJ24100" s="835">
        <v>41608</v>
      </c>
      <c r="AK24100" s="831">
        <v>58896650.319272734</v>
      </c>
    </row>
    <row r="24101" spans="32:37">
      <c r="AF24101" s="831" t="s">
        <v>11224</v>
      </c>
      <c r="AG24101" s="831" t="s">
        <v>2674</v>
      </c>
      <c r="AH24101" s="831" t="s">
        <v>6600</v>
      </c>
      <c r="AI24101" s="831">
        <v>0</v>
      </c>
      <c r="AJ24101" s="835">
        <v>41608</v>
      </c>
      <c r="AK24101" s="831">
        <v>27660766.032000005</v>
      </c>
    </row>
    <row r="24102" spans="32:37">
      <c r="AF24102" s="831" t="s">
        <v>11225</v>
      </c>
      <c r="AG24102" s="831" t="s">
        <v>2674</v>
      </c>
      <c r="AH24102" s="831" t="s">
        <v>6602</v>
      </c>
      <c r="AI24102" s="831">
        <v>0</v>
      </c>
      <c r="AJ24102" s="835">
        <v>41608</v>
      </c>
      <c r="AK24102" s="831">
        <v>28354718.032000005</v>
      </c>
    </row>
    <row r="24103" spans="32:37">
      <c r="AF24103" s="831" t="s">
        <v>11226</v>
      </c>
      <c r="AG24103" s="831" t="s">
        <v>2674</v>
      </c>
      <c r="AH24103" s="831" t="s">
        <v>650</v>
      </c>
      <c r="AI24103" s="831">
        <v>0</v>
      </c>
      <c r="AJ24103" s="835">
        <v>41608</v>
      </c>
      <c r="AK24103" s="831">
        <v>197061109.84392309</v>
      </c>
    </row>
    <row r="24104" spans="32:37">
      <c r="AF24104" s="831" t="s">
        <v>11227</v>
      </c>
      <c r="AG24104" s="831" t="s">
        <v>2674</v>
      </c>
      <c r="AH24104" s="831" t="s">
        <v>655</v>
      </c>
      <c r="AI24104" s="831">
        <v>0</v>
      </c>
      <c r="AJ24104" s="835">
        <v>41608</v>
      </c>
      <c r="AK24104" s="831">
        <v>1514274.5550000002</v>
      </c>
    </row>
    <row r="24105" spans="32:37">
      <c r="AF24105" s="831" t="s">
        <v>11228</v>
      </c>
      <c r="AG24105" s="831" t="s">
        <v>2674</v>
      </c>
      <c r="AH24105" s="831" t="s">
        <v>546</v>
      </c>
      <c r="AI24105" s="831">
        <v>0</v>
      </c>
      <c r="AJ24105" s="835">
        <v>41639</v>
      </c>
      <c r="AK24105" s="831">
        <v>627874260</v>
      </c>
    </row>
    <row r="24106" spans="32:37">
      <c r="AF24106" s="831" t="s">
        <v>11229</v>
      </c>
      <c r="AG24106" s="831" t="s">
        <v>2674</v>
      </c>
      <c r="AH24106" s="831" t="s">
        <v>370</v>
      </c>
      <c r="AI24106" s="831">
        <v>0</v>
      </c>
      <c r="AJ24106" s="835">
        <v>41639</v>
      </c>
      <c r="AK24106" s="831">
        <v>789514969.56299996</v>
      </c>
    </row>
    <row r="24107" spans="32:37">
      <c r="AF24107" s="831" t="s">
        <v>11230</v>
      </c>
      <c r="AG24107" s="831" t="s">
        <v>2674</v>
      </c>
      <c r="AH24107" s="831" t="s">
        <v>126</v>
      </c>
      <c r="AI24107" s="831">
        <v>0</v>
      </c>
      <c r="AJ24107" s="835">
        <v>41639</v>
      </c>
      <c r="AK24107" s="831">
        <v>114089765.91</v>
      </c>
    </row>
    <row r="24108" spans="32:37">
      <c r="AF24108" s="831" t="s">
        <v>11231</v>
      </c>
      <c r="AG24108" s="831" t="s">
        <v>2674</v>
      </c>
      <c r="AH24108" s="831" t="s">
        <v>268</v>
      </c>
      <c r="AI24108" s="831">
        <v>0</v>
      </c>
      <c r="AJ24108" s="835">
        <v>41639</v>
      </c>
      <c r="AK24108" s="831">
        <v>27176541.956000008</v>
      </c>
    </row>
    <row r="24109" spans="32:37">
      <c r="AF24109" s="831" t="s">
        <v>11232</v>
      </c>
      <c r="AG24109" s="831" t="s">
        <v>2674</v>
      </c>
      <c r="AH24109" s="831" t="s">
        <v>547</v>
      </c>
      <c r="AI24109" s="831">
        <v>0</v>
      </c>
      <c r="AJ24109" s="835">
        <v>41639</v>
      </c>
      <c r="AK24109" s="831">
        <v>511487760</v>
      </c>
    </row>
    <row r="24110" spans="32:37">
      <c r="AF24110" s="831" t="s">
        <v>11233</v>
      </c>
      <c r="AG24110" s="831" t="s">
        <v>2674</v>
      </c>
      <c r="AH24110" s="831" t="s">
        <v>548</v>
      </c>
      <c r="AI24110" s="831">
        <v>0</v>
      </c>
      <c r="AJ24110" s="835">
        <v>41639</v>
      </c>
      <c r="AK24110" s="831">
        <v>96883184</v>
      </c>
    </row>
    <row r="24111" spans="32:37">
      <c r="AF24111" s="831" t="s">
        <v>11234</v>
      </c>
      <c r="AG24111" s="831" t="s">
        <v>2674</v>
      </c>
      <c r="AH24111" s="831" t="s">
        <v>549</v>
      </c>
      <c r="AI24111" s="831">
        <v>0</v>
      </c>
      <c r="AJ24111" s="835">
        <v>41639</v>
      </c>
      <c r="AK24111" s="831">
        <v>412125624</v>
      </c>
    </row>
    <row r="24112" spans="32:37">
      <c r="AF24112" s="831" t="s">
        <v>11235</v>
      </c>
      <c r="AG24112" s="831" t="s">
        <v>2674</v>
      </c>
      <c r="AH24112" s="831" t="s">
        <v>192</v>
      </c>
      <c r="AI24112" s="831">
        <v>0</v>
      </c>
      <c r="AJ24112" s="835">
        <v>41639</v>
      </c>
      <c r="AK24112" s="831">
        <v>-13734258</v>
      </c>
    </row>
    <row r="24113" spans="32:37">
      <c r="AF24113" s="831" t="s">
        <v>11236</v>
      </c>
      <c r="AG24113" s="831" t="s">
        <v>2674</v>
      </c>
      <c r="AH24113" s="831" t="s">
        <v>558</v>
      </c>
      <c r="AI24113" s="831">
        <v>0</v>
      </c>
      <c r="AJ24113" s="835">
        <v>41639</v>
      </c>
      <c r="AK24113" s="831">
        <v>675425203.71399999</v>
      </c>
    </row>
    <row r="24114" spans="32:37">
      <c r="AF24114" s="831" t="s">
        <v>11237</v>
      </c>
      <c r="AG24114" s="831" t="s">
        <v>2674</v>
      </c>
      <c r="AH24114" s="831" t="s">
        <v>65</v>
      </c>
      <c r="AI24114" s="831">
        <v>0</v>
      </c>
      <c r="AJ24114" s="835">
        <v>41639</v>
      </c>
      <c r="AK24114" s="831">
        <v>132856888.763</v>
      </c>
    </row>
    <row r="24115" spans="32:37">
      <c r="AF24115" s="831" t="s">
        <v>11238</v>
      </c>
      <c r="AG24115" s="831" t="s">
        <v>2674</v>
      </c>
      <c r="AH24115" s="831" t="s">
        <v>89</v>
      </c>
      <c r="AI24115" s="831">
        <v>0</v>
      </c>
      <c r="AJ24115" s="835">
        <v>41639</v>
      </c>
      <c r="AK24115" s="831">
        <v>147601</v>
      </c>
    </row>
    <row r="24116" spans="32:37">
      <c r="AF24116" s="831" t="s">
        <v>11239</v>
      </c>
      <c r="AG24116" s="831" t="s">
        <v>2674</v>
      </c>
      <c r="AH24116" s="831" t="s">
        <v>557</v>
      </c>
      <c r="AI24116" s="831">
        <v>0</v>
      </c>
      <c r="AJ24116" s="835">
        <v>41639</v>
      </c>
      <c r="AK24116" s="831">
        <v>160431</v>
      </c>
    </row>
    <row r="24117" spans="32:37">
      <c r="AF24117" s="831" t="s">
        <v>11240</v>
      </c>
      <c r="AG24117" s="831" t="s">
        <v>2674</v>
      </c>
      <c r="AH24117" s="831" t="s">
        <v>29</v>
      </c>
      <c r="AI24117" s="831">
        <v>0</v>
      </c>
      <c r="AJ24117" s="835">
        <v>41639</v>
      </c>
      <c r="AK24117" s="831">
        <v>1938216.4366000001</v>
      </c>
    </row>
    <row r="24118" spans="32:37">
      <c r="AF24118" s="831" t="s">
        <v>11241</v>
      </c>
      <c r="AG24118" s="831" t="s">
        <v>2674</v>
      </c>
      <c r="AH24118" s="831" t="s">
        <v>2688</v>
      </c>
      <c r="AI24118" s="831">
        <v>0</v>
      </c>
      <c r="AJ24118" s="835">
        <v>41639</v>
      </c>
      <c r="AK24118" s="831">
        <v>3277121.17</v>
      </c>
    </row>
    <row r="24119" spans="32:37">
      <c r="AF24119" s="831" t="s">
        <v>11242</v>
      </c>
      <c r="AG24119" s="831" t="s">
        <v>2674</v>
      </c>
      <c r="AH24119" s="831" t="s">
        <v>556</v>
      </c>
      <c r="AI24119" s="831">
        <v>0</v>
      </c>
      <c r="AJ24119" s="835">
        <v>41639</v>
      </c>
      <c r="AK24119" s="831">
        <v>1644732</v>
      </c>
    </row>
    <row r="24120" spans="32:37">
      <c r="AF24120" s="831" t="s">
        <v>11243</v>
      </c>
      <c r="AG24120" s="831" t="s">
        <v>2674</v>
      </c>
      <c r="AH24120" s="831" t="s">
        <v>555</v>
      </c>
      <c r="AI24120" s="831">
        <v>0</v>
      </c>
      <c r="AJ24120" s="835">
        <v>41639</v>
      </c>
      <c r="AK24120" s="831">
        <v>435796650</v>
      </c>
    </row>
    <row r="24121" spans="32:37">
      <c r="AF24121" s="831" t="s">
        <v>11244</v>
      </c>
      <c r="AG24121" s="831" t="s">
        <v>2674</v>
      </c>
      <c r="AH24121" s="831" t="s">
        <v>554</v>
      </c>
      <c r="AI24121" s="831">
        <v>0</v>
      </c>
      <c r="AJ24121" s="835">
        <v>41639</v>
      </c>
      <c r="AK24121" s="831">
        <v>428326680</v>
      </c>
    </row>
    <row r="24122" spans="32:37">
      <c r="AF24122" s="831" t="s">
        <v>11245</v>
      </c>
      <c r="AG24122" s="831" t="s">
        <v>2674</v>
      </c>
      <c r="AH24122" s="831" t="s">
        <v>553</v>
      </c>
      <c r="AI24122" s="831">
        <v>0</v>
      </c>
      <c r="AJ24122" s="835">
        <v>41639</v>
      </c>
      <c r="AK24122" s="831">
        <v>0</v>
      </c>
    </row>
    <row r="24123" spans="32:37">
      <c r="AF24123" s="831" t="s">
        <v>11246</v>
      </c>
      <c r="AG24123" s="831" t="s">
        <v>2674</v>
      </c>
      <c r="AH24123" s="831" t="s">
        <v>552</v>
      </c>
      <c r="AI24123" s="831">
        <v>0</v>
      </c>
      <c r="AJ24123" s="835">
        <v>41639</v>
      </c>
      <c r="AK24123" s="831">
        <v>0</v>
      </c>
    </row>
    <row r="24124" spans="32:37">
      <c r="AF24124" s="831" t="s">
        <v>11247</v>
      </c>
      <c r="AG24124" s="831" t="s">
        <v>2674</v>
      </c>
      <c r="AH24124" s="831" t="s">
        <v>551</v>
      </c>
      <c r="AI24124" s="831">
        <v>0</v>
      </c>
      <c r="AJ24124" s="835">
        <v>41639</v>
      </c>
      <c r="AK24124" s="831">
        <v>1803383.8316000002</v>
      </c>
    </row>
    <row r="24125" spans="32:37">
      <c r="AF24125" s="831" t="s">
        <v>11248</v>
      </c>
      <c r="AG24125" s="831" t="s">
        <v>2674</v>
      </c>
      <c r="AH24125" s="831" t="s">
        <v>550</v>
      </c>
      <c r="AI24125" s="831">
        <v>0</v>
      </c>
      <c r="AJ24125" s="835">
        <v>41639</v>
      </c>
      <c r="AK24125" s="831">
        <v>123117939.85600001</v>
      </c>
    </row>
    <row r="24126" spans="32:37">
      <c r="AF24126" s="831" t="s">
        <v>11249</v>
      </c>
      <c r="AG24126" s="831" t="s">
        <v>2674</v>
      </c>
      <c r="AH24126" s="831" t="s">
        <v>562</v>
      </c>
      <c r="AI24126" s="831">
        <v>0</v>
      </c>
      <c r="AJ24126" s="835">
        <v>41639</v>
      </c>
      <c r="AK24126" s="831">
        <v>0.78334999999999999</v>
      </c>
    </row>
    <row r="24127" spans="32:37">
      <c r="AF24127" s="831" t="s">
        <v>11250</v>
      </c>
      <c r="AG24127" s="831" t="s">
        <v>2674</v>
      </c>
      <c r="AH24127" s="831" t="s">
        <v>2698</v>
      </c>
      <c r="AI24127" s="831">
        <v>0</v>
      </c>
      <c r="AJ24127" s="835">
        <v>41639</v>
      </c>
      <c r="AK24127" s="831">
        <v>0.78385000000000005</v>
      </c>
    </row>
    <row r="24128" spans="32:37">
      <c r="AF24128" s="831" t="s">
        <v>11251</v>
      </c>
      <c r="AG24128" s="831" t="s">
        <v>2674</v>
      </c>
      <c r="AH24128" s="831" t="s">
        <v>560</v>
      </c>
      <c r="AI24128" s="831">
        <v>0</v>
      </c>
      <c r="AJ24128" s="835">
        <v>41639</v>
      </c>
      <c r="AK24128" s="831">
        <v>0.78393333333333326</v>
      </c>
    </row>
    <row r="24129" spans="32:37">
      <c r="AF24129" s="831" t="s">
        <v>11252</v>
      </c>
      <c r="AG24129" s="831" t="s">
        <v>2674</v>
      </c>
      <c r="AH24129" s="831" t="s">
        <v>559</v>
      </c>
      <c r="AI24129" s="831">
        <v>0</v>
      </c>
      <c r="AJ24129" s="835">
        <v>41639</v>
      </c>
      <c r="AK24129" s="831">
        <v>0.78393333333333326</v>
      </c>
    </row>
    <row r="24130" spans="32:37">
      <c r="AF24130" s="831" t="s">
        <v>11253</v>
      </c>
      <c r="AG24130" s="831" t="s">
        <v>2674</v>
      </c>
      <c r="AH24130" s="831" t="s">
        <v>568</v>
      </c>
      <c r="AI24130" s="831">
        <v>0</v>
      </c>
      <c r="AJ24130" s="835">
        <v>41639</v>
      </c>
      <c r="AK24130" s="831">
        <v>513441498.30384612</v>
      </c>
    </row>
    <row r="24131" spans="32:37">
      <c r="AF24131" s="831" t="s">
        <v>11254</v>
      </c>
      <c r="AG24131" s="831" t="s">
        <v>2674</v>
      </c>
      <c r="AH24131" s="831" t="s">
        <v>569</v>
      </c>
      <c r="AI24131" s="831">
        <v>0</v>
      </c>
      <c r="AJ24131" s="835">
        <v>41639</v>
      </c>
      <c r="AK24131" s="831">
        <v>628195505.12715387</v>
      </c>
    </row>
    <row r="24132" spans="32:37">
      <c r="AF24132" s="831" t="s">
        <v>11255</v>
      </c>
      <c r="AG24132" s="831" t="s">
        <v>2674</v>
      </c>
      <c r="AH24132" s="831" t="s">
        <v>570</v>
      </c>
      <c r="AI24132" s="831">
        <v>0</v>
      </c>
      <c r="AJ24132" s="835">
        <v>41639</v>
      </c>
      <c r="AK24132" s="831">
        <v>108762142.05892308</v>
      </c>
    </row>
    <row r="24133" spans="32:37">
      <c r="AF24133" s="831" t="s">
        <v>11256</v>
      </c>
      <c r="AG24133" s="831" t="s">
        <v>2674</v>
      </c>
      <c r="AH24133" s="831" t="s">
        <v>571</v>
      </c>
      <c r="AI24133" s="831">
        <v>0</v>
      </c>
      <c r="AJ24133" s="835">
        <v>41639</v>
      </c>
      <c r="AK24133" s="831">
        <v>297832512.59023076</v>
      </c>
    </row>
    <row r="24134" spans="32:37">
      <c r="AF24134" s="831" t="s">
        <v>11257</v>
      </c>
      <c r="AG24134" s="831" t="s">
        <v>2674</v>
      </c>
      <c r="AH24134" s="831" t="s">
        <v>573</v>
      </c>
      <c r="AI24134" s="831">
        <v>0</v>
      </c>
      <c r="AJ24134" s="835">
        <v>41639</v>
      </c>
      <c r="AK24134" s="831">
        <v>628195505.12715387</v>
      </c>
    </row>
    <row r="24135" spans="32:37">
      <c r="AF24135" s="831" t="s">
        <v>11258</v>
      </c>
      <c r="AG24135" s="831" t="s">
        <v>2674</v>
      </c>
      <c r="AH24135" s="831" t="s">
        <v>574</v>
      </c>
      <c r="AI24135" s="831">
        <v>0</v>
      </c>
      <c r="AJ24135" s="835">
        <v>41639</v>
      </c>
      <c r="AK24135" s="831">
        <v>513441498.30384612</v>
      </c>
    </row>
    <row r="24136" spans="32:37">
      <c r="AF24136" s="831" t="s">
        <v>11259</v>
      </c>
      <c r="AG24136" s="831" t="s">
        <v>2674</v>
      </c>
      <c r="AH24136" s="831" t="s">
        <v>575</v>
      </c>
      <c r="AI24136" s="831">
        <v>0</v>
      </c>
      <c r="AJ24136" s="835">
        <v>41639</v>
      </c>
      <c r="AK24136" s="831">
        <v>108762142.05892308</v>
      </c>
    </row>
    <row r="24137" spans="32:37">
      <c r="AF24137" s="831" t="s">
        <v>11260</v>
      </c>
      <c r="AG24137" s="831" t="s">
        <v>2674</v>
      </c>
      <c r="AH24137" s="831" t="s">
        <v>576</v>
      </c>
      <c r="AI24137" s="831">
        <v>0</v>
      </c>
      <c r="AJ24137" s="835">
        <v>41639</v>
      </c>
      <c r="AK24137" s="831">
        <v>297832512.59023076</v>
      </c>
    </row>
    <row r="24138" spans="32:37">
      <c r="AF24138" s="831" t="s">
        <v>11261</v>
      </c>
      <c r="AG24138" s="831" t="s">
        <v>2674</v>
      </c>
      <c r="AH24138" s="831" t="s">
        <v>572</v>
      </c>
      <c r="AI24138" s="831">
        <v>0</v>
      </c>
      <c r="AJ24138" s="835">
        <v>41639</v>
      </c>
      <c r="AK24138" s="831">
        <v>27176541.956000008</v>
      </c>
    </row>
    <row r="24139" spans="32:37">
      <c r="AF24139" s="831" t="s">
        <v>11262</v>
      </c>
      <c r="AG24139" s="831" t="s">
        <v>2674</v>
      </c>
      <c r="AH24139" s="831" t="s">
        <v>577</v>
      </c>
      <c r="AI24139" s="831">
        <v>0</v>
      </c>
      <c r="AJ24139" s="835">
        <v>41639</v>
      </c>
      <c r="AK24139" s="831">
        <v>132856888.763</v>
      </c>
    </row>
    <row r="24140" spans="32:37">
      <c r="AF24140" s="831" t="s">
        <v>11263</v>
      </c>
      <c r="AG24140" s="831" t="s">
        <v>2674</v>
      </c>
      <c r="AH24140" s="831" t="s">
        <v>3042</v>
      </c>
      <c r="AI24140" s="831">
        <v>0</v>
      </c>
      <c r="AJ24140" s="835">
        <v>41639</v>
      </c>
      <c r="AK24140" s="831">
        <v>-34369525.527000003</v>
      </c>
    </row>
    <row r="24141" spans="32:37">
      <c r="AF24141" s="831" t="s">
        <v>11264</v>
      </c>
      <c r="AG24141" s="831" t="s">
        <v>2674</v>
      </c>
      <c r="AH24141" s="831" t="s">
        <v>3044</v>
      </c>
      <c r="AI24141" s="831">
        <v>0</v>
      </c>
      <c r="AJ24141" s="835">
        <v>41639</v>
      </c>
      <c r="AK24141" s="831">
        <v>-4400746.8899999997</v>
      </c>
    </row>
    <row r="24142" spans="32:37">
      <c r="AF24142" s="831" t="s">
        <v>11265</v>
      </c>
      <c r="AG24142" s="831" t="s">
        <v>2674</v>
      </c>
      <c r="AH24142" s="831" t="s">
        <v>580</v>
      </c>
      <c r="AI24142" s="831">
        <v>0</v>
      </c>
      <c r="AJ24142" s="835">
        <v>41639</v>
      </c>
      <c r="AK24142" s="831">
        <v>-64107005.306999996</v>
      </c>
    </row>
    <row r="24143" spans="32:37">
      <c r="AF24143" s="831" t="s">
        <v>11266</v>
      </c>
      <c r="AG24143" s="831" t="s">
        <v>2674</v>
      </c>
      <c r="AH24143" s="831" t="s">
        <v>581</v>
      </c>
      <c r="AI24143" s="831">
        <v>0</v>
      </c>
      <c r="AJ24143" s="835">
        <v>41639</v>
      </c>
      <c r="AK24143" s="831">
        <v>5010635.8940000003</v>
      </c>
    </row>
    <row r="24144" spans="32:37">
      <c r="AF24144" s="831" t="s">
        <v>11267</v>
      </c>
      <c r="AG24144" s="831" t="s">
        <v>2674</v>
      </c>
      <c r="AH24144" s="831" t="s">
        <v>105</v>
      </c>
      <c r="AI24144" s="831">
        <v>0</v>
      </c>
      <c r="AJ24144" s="835">
        <v>41639</v>
      </c>
      <c r="AK24144" s="831">
        <v>391573847.611</v>
      </c>
    </row>
    <row r="24145" spans="32:37">
      <c r="AF24145" s="831" t="s">
        <v>11268</v>
      </c>
      <c r="AG24145" s="831" t="s">
        <v>2674</v>
      </c>
      <c r="AH24145" s="831" t="s">
        <v>3049</v>
      </c>
      <c r="AI24145" s="831">
        <v>0</v>
      </c>
      <c r="AJ24145" s="835">
        <v>41639</v>
      </c>
      <c r="AK24145" s="831">
        <v>644326442.18900001</v>
      </c>
    </row>
    <row r="24146" spans="32:37">
      <c r="AF24146" s="831" t="s">
        <v>11269</v>
      </c>
      <c r="AG24146" s="831" t="s">
        <v>2674</v>
      </c>
      <c r="AH24146" s="831" t="s">
        <v>103</v>
      </c>
      <c r="AI24146" s="831">
        <v>0</v>
      </c>
      <c r="AJ24146" s="835">
        <v>41639</v>
      </c>
      <c r="AK24146" s="831">
        <v>252752594.57800001</v>
      </c>
    </row>
    <row r="24147" spans="32:37">
      <c r="AF24147" s="831" t="s">
        <v>11270</v>
      </c>
      <c r="AG24147" s="831" t="s">
        <v>2674</v>
      </c>
      <c r="AH24147" s="831" t="s">
        <v>182</v>
      </c>
      <c r="AI24147" s="831">
        <v>0</v>
      </c>
      <c r="AJ24147" s="835">
        <v>41639</v>
      </c>
      <c r="AK24147" s="831">
        <v>64107005.307000004</v>
      </c>
    </row>
    <row r="24148" spans="32:37">
      <c r="AF24148" s="831" t="s">
        <v>11271</v>
      </c>
      <c r="AG24148" s="831" t="s">
        <v>2674</v>
      </c>
      <c r="AH24148" s="831" t="s">
        <v>6600</v>
      </c>
      <c r="AI24148" s="831">
        <v>0</v>
      </c>
      <c r="AJ24148" s="835">
        <v>41639</v>
      </c>
      <c r="AK24148" s="831">
        <v>27176541.956000008</v>
      </c>
    </row>
    <row r="24149" spans="32:37">
      <c r="AF24149" s="831" t="s">
        <v>11272</v>
      </c>
      <c r="AG24149" s="831" t="s">
        <v>2674</v>
      </c>
      <c r="AH24149" s="831" t="s">
        <v>6602</v>
      </c>
      <c r="AI24149" s="831">
        <v>0</v>
      </c>
      <c r="AJ24149" s="835">
        <v>41639</v>
      </c>
      <c r="AK24149" s="831">
        <v>27176541.956000008</v>
      </c>
    </row>
    <row r="24150" spans="32:37">
      <c r="AF24150" s="831" t="s">
        <v>11273</v>
      </c>
      <c r="AG24150" s="831" t="s">
        <v>2674</v>
      </c>
      <c r="AH24150" s="831" t="s">
        <v>650</v>
      </c>
      <c r="AI24150" s="831">
        <v>0</v>
      </c>
      <c r="AJ24150" s="835">
        <v>41639</v>
      </c>
      <c r="AK24150" s="831">
        <v>204736223.04223078</v>
      </c>
    </row>
    <row r="24151" spans="32:37">
      <c r="AF24151" s="831" t="s">
        <v>11274</v>
      </c>
      <c r="AG24151" s="831" t="s">
        <v>2674</v>
      </c>
      <c r="AH24151" s="831" t="s">
        <v>655</v>
      </c>
      <c r="AI24151" s="831">
        <v>0</v>
      </c>
      <c r="AJ24151" s="835">
        <v>41639</v>
      </c>
      <c r="AK24151" s="831">
        <v>1605185.0136000002</v>
      </c>
    </row>
    <row r="24152" spans="32:37">
      <c r="AF24152" s="831" t="s">
        <v>11275</v>
      </c>
      <c r="AG24152" s="831" t="s">
        <v>2674</v>
      </c>
      <c r="AH24152" s="831" t="s">
        <v>546</v>
      </c>
      <c r="AI24152" s="831">
        <v>0</v>
      </c>
      <c r="AJ24152" s="835">
        <v>41670</v>
      </c>
      <c r="AK24152" s="831">
        <v>635618516</v>
      </c>
    </row>
    <row r="24153" spans="32:37">
      <c r="AF24153" s="831" t="s">
        <v>11276</v>
      </c>
      <c r="AG24153" s="831" t="s">
        <v>2674</v>
      </c>
      <c r="AH24153" s="831" t="s">
        <v>370</v>
      </c>
      <c r="AI24153" s="831">
        <v>0</v>
      </c>
      <c r="AJ24153" s="835">
        <v>41670</v>
      </c>
      <c r="AK24153" s="831">
        <v>777719977</v>
      </c>
    </row>
    <row r="24154" spans="32:37">
      <c r="AF24154" s="831" t="s">
        <v>11277</v>
      </c>
      <c r="AG24154" s="831" t="s">
        <v>2674</v>
      </c>
      <c r="AH24154" s="831" t="s">
        <v>126</v>
      </c>
      <c r="AI24154" s="831">
        <v>0</v>
      </c>
      <c r="AJ24154" s="835">
        <v>41670</v>
      </c>
      <c r="AK24154" s="831">
        <v>117105496</v>
      </c>
    </row>
    <row r="24155" spans="32:37">
      <c r="AF24155" s="831" t="s">
        <v>11278</v>
      </c>
      <c r="AG24155" s="831" t="s">
        <v>2674</v>
      </c>
      <c r="AH24155" s="831" t="s">
        <v>268</v>
      </c>
      <c r="AI24155" s="831">
        <v>0</v>
      </c>
      <c r="AJ24155" s="835">
        <v>41670</v>
      </c>
      <c r="AK24155" s="831">
        <v>3298821</v>
      </c>
    </row>
    <row r="24156" spans="32:37">
      <c r="AF24156" s="831" t="s">
        <v>11279</v>
      </c>
      <c r="AG24156" s="831" t="s">
        <v>2674</v>
      </c>
      <c r="AH24156" s="831" t="s">
        <v>547</v>
      </c>
      <c r="AI24156" s="831">
        <v>0</v>
      </c>
      <c r="AJ24156" s="835">
        <v>41670</v>
      </c>
      <c r="AK24156" s="831">
        <v>777719977</v>
      </c>
    </row>
    <row r="24157" spans="32:37">
      <c r="AF24157" s="831" t="s">
        <v>11280</v>
      </c>
      <c r="AG24157" s="831" t="s">
        <v>2674</v>
      </c>
      <c r="AH24157" s="831" t="s">
        <v>548</v>
      </c>
      <c r="AI24157" s="831">
        <v>0</v>
      </c>
      <c r="AJ24157" s="835">
        <v>41670</v>
      </c>
      <c r="AK24157" s="831">
        <v>117105496</v>
      </c>
    </row>
    <row r="24158" spans="32:37">
      <c r="AF24158" s="831" t="s">
        <v>11281</v>
      </c>
      <c r="AG24158" s="831" t="s">
        <v>2674</v>
      </c>
      <c r="AH24158" s="831" t="s">
        <v>549</v>
      </c>
      <c r="AI24158" s="831">
        <v>0</v>
      </c>
      <c r="AJ24158" s="835">
        <v>41670</v>
      </c>
      <c r="AK24158" s="831">
        <v>421051783</v>
      </c>
    </row>
    <row r="24159" spans="32:37">
      <c r="AF24159" s="831" t="s">
        <v>11282</v>
      </c>
      <c r="AG24159" s="831" t="s">
        <v>2674</v>
      </c>
      <c r="AH24159" s="831" t="s">
        <v>192</v>
      </c>
      <c r="AI24159" s="831">
        <v>0</v>
      </c>
      <c r="AJ24159" s="835">
        <v>41670</v>
      </c>
      <c r="AK24159" s="831">
        <v>-14010990</v>
      </c>
    </row>
    <row r="24160" spans="32:37">
      <c r="AF24160" s="831" t="s">
        <v>11283</v>
      </c>
      <c r="AG24160" s="831" t="s">
        <v>2674</v>
      </c>
      <c r="AH24160" s="831" t="s">
        <v>558</v>
      </c>
      <c r="AI24160" s="831">
        <v>0</v>
      </c>
      <c r="AJ24160" s="835">
        <v>41670</v>
      </c>
      <c r="AK24160" s="831">
        <v>660614481.35800004</v>
      </c>
    </row>
    <row r="24161" spans="32:37">
      <c r="AF24161" s="831" t="s">
        <v>11284</v>
      </c>
      <c r="AG24161" s="831" t="s">
        <v>2674</v>
      </c>
      <c r="AH24161" s="831" t="s">
        <v>65</v>
      </c>
      <c r="AI24161" s="831">
        <v>0</v>
      </c>
      <c r="AJ24161" s="835">
        <v>41670</v>
      </c>
      <c r="AK24161" s="831">
        <v>13268788</v>
      </c>
    </row>
    <row r="24162" spans="32:37">
      <c r="AF24162" s="831" t="s">
        <v>11285</v>
      </c>
      <c r="AG24162" s="831" t="s">
        <v>2674</v>
      </c>
      <c r="AH24162" s="831" t="s">
        <v>89</v>
      </c>
      <c r="AI24162" s="831">
        <v>0</v>
      </c>
      <c r="AJ24162" s="835">
        <v>41670</v>
      </c>
      <c r="AK24162" s="831">
        <v>149103</v>
      </c>
    </row>
    <row r="24163" spans="32:37">
      <c r="AF24163" s="831" t="s">
        <v>11286</v>
      </c>
      <c r="AG24163" s="831" t="s">
        <v>2674</v>
      </c>
      <c r="AH24163" s="831" t="s">
        <v>557</v>
      </c>
      <c r="AI24163" s="831">
        <v>0</v>
      </c>
      <c r="AJ24163" s="835">
        <v>41670</v>
      </c>
      <c r="AK24163" s="831">
        <v>162799</v>
      </c>
    </row>
    <row r="24164" spans="32:37">
      <c r="AF24164" s="831" t="s">
        <v>11287</v>
      </c>
      <c r="AG24164" s="831" t="s">
        <v>2674</v>
      </c>
      <c r="AH24164" s="831" t="s">
        <v>29</v>
      </c>
      <c r="AI24164" s="831">
        <v>0</v>
      </c>
      <c r="AJ24164" s="835">
        <v>41670</v>
      </c>
      <c r="AK24164" s="831">
        <v>1994542.716</v>
      </c>
    </row>
    <row r="24165" spans="32:37">
      <c r="AF24165" s="831" t="s">
        <v>11288</v>
      </c>
      <c r="AG24165" s="831" t="s">
        <v>2674</v>
      </c>
      <c r="AH24165" s="831" t="s">
        <v>2688</v>
      </c>
      <c r="AI24165" s="831">
        <v>0</v>
      </c>
      <c r="AJ24165" s="835">
        <v>41670</v>
      </c>
      <c r="AK24165" s="831">
        <v>3487768.05</v>
      </c>
    </row>
    <row r="24166" spans="32:37">
      <c r="AF24166" s="831" t="s">
        <v>11289</v>
      </c>
      <c r="AG24166" s="831" t="s">
        <v>2674</v>
      </c>
      <c r="AH24166" s="831" t="s">
        <v>556</v>
      </c>
      <c r="AI24166" s="831">
        <v>0</v>
      </c>
      <c r="AJ24166" s="835">
        <v>41670</v>
      </c>
      <c r="AK24166" s="831">
        <v>1644732</v>
      </c>
    </row>
    <row r="24167" spans="32:37">
      <c r="AF24167" s="831" t="s">
        <v>11290</v>
      </c>
      <c r="AG24167" s="831" t="s">
        <v>2674</v>
      </c>
      <c r="AH24167" s="831" t="s">
        <v>555</v>
      </c>
      <c r="AI24167" s="831">
        <v>0</v>
      </c>
      <c r="AJ24167" s="835">
        <v>41670</v>
      </c>
      <c r="AK24167" s="831">
        <v>421635600</v>
      </c>
    </row>
    <row r="24168" spans="32:37">
      <c r="AF24168" s="831" t="s">
        <v>11291</v>
      </c>
      <c r="AG24168" s="831" t="s">
        <v>2674</v>
      </c>
      <c r="AH24168" s="831" t="s">
        <v>554</v>
      </c>
      <c r="AI24168" s="831">
        <v>0</v>
      </c>
      <c r="AJ24168" s="835">
        <v>41670</v>
      </c>
      <c r="AK24168" s="831">
        <v>432162250</v>
      </c>
    </row>
    <row r="24169" spans="32:37">
      <c r="AF24169" s="831" t="s">
        <v>11292</v>
      </c>
      <c r="AG24169" s="831" t="s">
        <v>2674</v>
      </c>
      <c r="AH24169" s="831" t="s">
        <v>553</v>
      </c>
      <c r="AI24169" s="831">
        <v>0</v>
      </c>
      <c r="AJ24169" s="835">
        <v>41670</v>
      </c>
      <c r="AK24169" s="831">
        <v>0</v>
      </c>
    </row>
    <row r="24170" spans="32:37">
      <c r="AF24170" s="831" t="s">
        <v>11293</v>
      </c>
      <c r="AG24170" s="831" t="s">
        <v>2674</v>
      </c>
      <c r="AH24170" s="831" t="s">
        <v>552</v>
      </c>
      <c r="AI24170" s="831">
        <v>0</v>
      </c>
      <c r="AJ24170" s="835">
        <v>41670</v>
      </c>
      <c r="AK24170" s="831">
        <v>0</v>
      </c>
    </row>
    <row r="24171" spans="32:37">
      <c r="AF24171" s="831" t="s">
        <v>11294</v>
      </c>
      <c r="AG24171" s="831" t="s">
        <v>2674</v>
      </c>
      <c r="AH24171" s="831" t="s">
        <v>551</v>
      </c>
      <c r="AI24171" s="831">
        <v>0</v>
      </c>
      <c r="AJ24171" s="835">
        <v>41670</v>
      </c>
      <c r="AK24171" s="831">
        <v>1853357.048</v>
      </c>
    </row>
    <row r="24172" spans="32:37">
      <c r="AF24172" s="831" t="s">
        <v>11295</v>
      </c>
      <c r="AG24172" s="831" t="s">
        <v>2674</v>
      </c>
      <c r="AH24172" s="831" t="s">
        <v>550</v>
      </c>
      <c r="AI24172" s="831">
        <v>0</v>
      </c>
      <c r="AJ24172" s="835">
        <v>41670</v>
      </c>
      <c r="AK24172" s="831">
        <v>114089765.91</v>
      </c>
    </row>
    <row r="24173" spans="32:37">
      <c r="AF24173" s="831" t="s">
        <v>11296</v>
      </c>
      <c r="AG24173" s="831" t="s">
        <v>2674</v>
      </c>
      <c r="AH24173" s="831" t="s">
        <v>562</v>
      </c>
      <c r="AI24173" s="831">
        <v>0</v>
      </c>
      <c r="AJ24173" s="835">
        <v>41670</v>
      </c>
      <c r="AK24173" s="831">
        <v>0.78364999999999996</v>
      </c>
    </row>
    <row r="24174" spans="32:37">
      <c r="AF24174" s="831" t="s">
        <v>11297</v>
      </c>
      <c r="AG24174" s="831" t="s">
        <v>2674</v>
      </c>
      <c r="AH24174" s="831" t="s">
        <v>2698</v>
      </c>
      <c r="AI24174" s="831">
        <v>0</v>
      </c>
      <c r="AJ24174" s="835">
        <v>41670</v>
      </c>
      <c r="AK24174" s="831">
        <v>0.78334999999999999</v>
      </c>
    </row>
    <row r="24175" spans="32:37">
      <c r="AF24175" s="831" t="s">
        <v>11298</v>
      </c>
      <c r="AG24175" s="831" t="s">
        <v>2674</v>
      </c>
      <c r="AH24175" s="831" t="s">
        <v>560</v>
      </c>
      <c r="AI24175" s="831">
        <v>0</v>
      </c>
      <c r="AJ24175" s="835">
        <v>41670</v>
      </c>
      <c r="AK24175" s="831">
        <v>0.78364999999999996</v>
      </c>
    </row>
    <row r="24176" spans="32:37">
      <c r="AF24176" s="831" t="s">
        <v>11299</v>
      </c>
      <c r="AG24176" s="831" t="s">
        <v>2674</v>
      </c>
      <c r="AH24176" s="831" t="s">
        <v>559</v>
      </c>
      <c r="AI24176" s="831">
        <v>0</v>
      </c>
      <c r="AJ24176" s="835">
        <v>41670</v>
      </c>
      <c r="AK24176" s="831">
        <v>0.78391666666666648</v>
      </c>
    </row>
    <row r="24177" spans="32:37">
      <c r="AF24177" s="831" t="s">
        <v>11300</v>
      </c>
      <c r="AG24177" s="831" t="s">
        <v>2674</v>
      </c>
      <c r="AH24177" s="831" t="s">
        <v>568</v>
      </c>
      <c r="AI24177" s="831">
        <v>0</v>
      </c>
      <c r="AJ24177" s="835">
        <v>41670</v>
      </c>
      <c r="AK24177" s="831">
        <v>530633259.22692305</v>
      </c>
    </row>
    <row r="24178" spans="32:37">
      <c r="AF24178" s="831" t="s">
        <v>11301</v>
      </c>
      <c r="AG24178" s="831" t="s">
        <v>2674</v>
      </c>
      <c r="AH24178" s="831" t="s">
        <v>569</v>
      </c>
      <c r="AI24178" s="831">
        <v>0</v>
      </c>
      <c r="AJ24178" s="835">
        <v>41670</v>
      </c>
      <c r="AK24178" s="831">
        <v>648384048.74253845</v>
      </c>
    </row>
    <row r="24179" spans="32:37">
      <c r="AF24179" s="831" t="s">
        <v>11302</v>
      </c>
      <c r="AG24179" s="831" t="s">
        <v>2674</v>
      </c>
      <c r="AH24179" s="831" t="s">
        <v>570</v>
      </c>
      <c r="AI24179" s="831">
        <v>0</v>
      </c>
      <c r="AJ24179" s="835">
        <v>41670</v>
      </c>
      <c r="AK24179" s="831">
        <v>109988497.52046154</v>
      </c>
    </row>
    <row r="24180" spans="32:37">
      <c r="AF24180" s="831" t="s">
        <v>11303</v>
      </c>
      <c r="AG24180" s="831" t="s">
        <v>2674</v>
      </c>
      <c r="AH24180" s="831" t="s">
        <v>571</v>
      </c>
      <c r="AI24180" s="831">
        <v>0</v>
      </c>
      <c r="AJ24180" s="835">
        <v>41670</v>
      </c>
      <c r="AK24180" s="831">
        <v>308674440.74407691</v>
      </c>
    </row>
    <row r="24181" spans="32:37">
      <c r="AF24181" s="831" t="s">
        <v>11304</v>
      </c>
      <c r="AG24181" s="831" t="s">
        <v>2674</v>
      </c>
      <c r="AH24181" s="831" t="s">
        <v>573</v>
      </c>
      <c r="AI24181" s="831">
        <v>0</v>
      </c>
      <c r="AJ24181" s="835">
        <v>41670</v>
      </c>
      <c r="AK24181" s="831">
        <v>783617473.28149998</v>
      </c>
    </row>
    <row r="24182" spans="32:37">
      <c r="AF24182" s="831" t="s">
        <v>11305</v>
      </c>
      <c r="AG24182" s="831" t="s">
        <v>2674</v>
      </c>
      <c r="AH24182" s="831" t="s">
        <v>574</v>
      </c>
      <c r="AI24182" s="831">
        <v>0</v>
      </c>
      <c r="AJ24182" s="835">
        <v>41670</v>
      </c>
      <c r="AK24182" s="831">
        <v>631746388</v>
      </c>
    </row>
    <row r="24183" spans="32:37">
      <c r="AF24183" s="831" t="s">
        <v>11306</v>
      </c>
      <c r="AG24183" s="831" t="s">
        <v>2674</v>
      </c>
      <c r="AH24183" s="831" t="s">
        <v>575</v>
      </c>
      <c r="AI24183" s="831">
        <v>0</v>
      </c>
      <c r="AJ24183" s="835">
        <v>41670</v>
      </c>
      <c r="AK24183" s="831">
        <v>115597630.955</v>
      </c>
    </row>
    <row r="24184" spans="32:37">
      <c r="AF24184" s="831" t="s">
        <v>11307</v>
      </c>
      <c r="AG24184" s="831" t="s">
        <v>2674</v>
      </c>
      <c r="AH24184" s="831" t="s">
        <v>576</v>
      </c>
      <c r="AI24184" s="831">
        <v>0</v>
      </c>
      <c r="AJ24184" s="835">
        <v>41670</v>
      </c>
      <c r="AK24184" s="831">
        <v>385049519.80550003</v>
      </c>
    </row>
    <row r="24185" spans="32:37">
      <c r="AF24185" s="831" t="s">
        <v>11308</v>
      </c>
      <c r="AG24185" s="831" t="s">
        <v>2674</v>
      </c>
      <c r="AH24185" s="831" t="s">
        <v>572</v>
      </c>
      <c r="AI24185" s="831">
        <v>0</v>
      </c>
      <c r="AJ24185" s="835">
        <v>41670</v>
      </c>
      <c r="AK24185" s="831">
        <v>28355401.956000008</v>
      </c>
    </row>
    <row r="24186" spans="32:37">
      <c r="AF24186" s="831" t="s">
        <v>11309</v>
      </c>
      <c r="AG24186" s="831" t="s">
        <v>2674</v>
      </c>
      <c r="AH24186" s="831" t="s">
        <v>577</v>
      </c>
      <c r="AI24186" s="831">
        <v>0</v>
      </c>
      <c r="AJ24186" s="835">
        <v>41670</v>
      </c>
      <c r="AK24186" s="831">
        <v>136649293.76300001</v>
      </c>
    </row>
    <row r="24187" spans="32:37">
      <c r="AF24187" s="831" t="s">
        <v>11310</v>
      </c>
      <c r="AG24187" s="831" t="s">
        <v>2674</v>
      </c>
      <c r="AH24187" s="831" t="s">
        <v>3042</v>
      </c>
      <c r="AI24187" s="831">
        <v>0</v>
      </c>
      <c r="AJ24187" s="835">
        <v>41670</v>
      </c>
      <c r="AK24187" s="831">
        <v>-35903077.527000003</v>
      </c>
    </row>
    <row r="24188" spans="32:37">
      <c r="AF24188" s="831" t="s">
        <v>11311</v>
      </c>
      <c r="AG24188" s="831" t="s">
        <v>2674</v>
      </c>
      <c r="AH24188" s="831" t="s">
        <v>3044</v>
      </c>
      <c r="AI24188" s="831">
        <v>0</v>
      </c>
      <c r="AJ24188" s="835">
        <v>41670</v>
      </c>
      <c r="AK24188" s="831">
        <v>-4357745.8899999997</v>
      </c>
    </row>
    <row r="24189" spans="32:37">
      <c r="AF24189" s="831" t="s">
        <v>11312</v>
      </c>
      <c r="AG24189" s="831" t="s">
        <v>2674</v>
      </c>
      <c r="AH24189" s="831" t="s">
        <v>580</v>
      </c>
      <c r="AI24189" s="831">
        <v>0</v>
      </c>
      <c r="AJ24189" s="835">
        <v>41670</v>
      </c>
      <c r="AK24189" s="831">
        <v>-64979972.306999996</v>
      </c>
    </row>
    <row r="24190" spans="32:37">
      <c r="AF24190" s="831" t="s">
        <v>11313</v>
      </c>
      <c r="AG24190" s="831" t="s">
        <v>2674</v>
      </c>
      <c r="AH24190" s="831" t="s">
        <v>581</v>
      </c>
      <c r="AI24190" s="831">
        <v>0</v>
      </c>
      <c r="AJ24190" s="835">
        <v>41670</v>
      </c>
      <c r="AK24190" s="831">
        <v>5221448.8940000003</v>
      </c>
    </row>
    <row r="24191" spans="32:37">
      <c r="AF24191" s="831" t="s">
        <v>11314</v>
      </c>
      <c r="AG24191" s="831" t="s">
        <v>2674</v>
      </c>
      <c r="AH24191" s="831" t="s">
        <v>105</v>
      </c>
      <c r="AI24191" s="831">
        <v>0</v>
      </c>
      <c r="AJ24191" s="835">
        <v>41670</v>
      </c>
      <c r="AK24191" s="831">
        <v>378525192</v>
      </c>
    </row>
    <row r="24192" spans="32:37">
      <c r="AF24192" s="831" t="s">
        <v>11315</v>
      </c>
      <c r="AG24192" s="831" t="s">
        <v>2674</v>
      </c>
      <c r="AH24192" s="831" t="s">
        <v>3049</v>
      </c>
      <c r="AI24192" s="831">
        <v>0</v>
      </c>
      <c r="AJ24192" s="835">
        <v>41670</v>
      </c>
      <c r="AK24192" s="831">
        <v>636021249.54999995</v>
      </c>
    </row>
    <row r="24193" spans="32:37">
      <c r="AF24193" s="831" t="s">
        <v>11316</v>
      </c>
      <c r="AG24193" s="831" t="s">
        <v>2674</v>
      </c>
      <c r="AH24193" s="831" t="s">
        <v>103</v>
      </c>
      <c r="AI24193" s="831">
        <v>0</v>
      </c>
      <c r="AJ24193" s="835">
        <v>41670</v>
      </c>
      <c r="AK24193" s="831">
        <v>257496057.55000001</v>
      </c>
    </row>
    <row r="24194" spans="32:37">
      <c r="AF24194" s="831" t="s">
        <v>11317</v>
      </c>
      <c r="AG24194" s="831" t="s">
        <v>2674</v>
      </c>
      <c r="AH24194" s="831" t="s">
        <v>182</v>
      </c>
      <c r="AI24194" s="831">
        <v>0</v>
      </c>
      <c r="AJ24194" s="835">
        <v>41670</v>
      </c>
      <c r="AK24194" s="831">
        <v>67679280</v>
      </c>
    </row>
    <row r="24195" spans="32:37">
      <c r="AF24195" s="831" t="s">
        <v>11318</v>
      </c>
      <c r="AG24195" s="831" t="s">
        <v>2674</v>
      </c>
      <c r="AH24195" s="831" t="s">
        <v>6600</v>
      </c>
      <c r="AI24195" s="831">
        <v>0</v>
      </c>
      <c r="AJ24195" s="835">
        <v>41670</v>
      </c>
      <c r="AK24195" s="831">
        <v>28355401.956000008</v>
      </c>
    </row>
    <row r="24196" spans="32:37">
      <c r="AF24196" s="831" t="s">
        <v>11319</v>
      </c>
      <c r="AG24196" s="831" t="s">
        <v>2674</v>
      </c>
      <c r="AH24196" s="831" t="s">
        <v>6602</v>
      </c>
      <c r="AI24196" s="831">
        <v>0</v>
      </c>
      <c r="AJ24196" s="835">
        <v>41670</v>
      </c>
      <c r="AK24196" s="831">
        <v>3298821</v>
      </c>
    </row>
    <row r="24197" spans="32:37">
      <c r="AF24197" s="831" t="s">
        <v>11320</v>
      </c>
      <c r="AG24197" s="831" t="s">
        <v>2674</v>
      </c>
      <c r="AH24197" s="831" t="s">
        <v>650</v>
      </c>
      <c r="AI24197" s="831">
        <v>0</v>
      </c>
      <c r="AJ24197" s="835">
        <v>41670</v>
      </c>
      <c r="AK24197" s="831">
        <v>211999986.62300003</v>
      </c>
    </row>
    <row r="24198" spans="32:37">
      <c r="AF24198" s="831" t="s">
        <v>11321</v>
      </c>
      <c r="AG24198" s="831" t="s">
        <v>2674</v>
      </c>
      <c r="AH24198" s="831" t="s">
        <v>655</v>
      </c>
      <c r="AI24198" s="831">
        <v>0</v>
      </c>
      <c r="AJ24198" s="835">
        <v>41670</v>
      </c>
      <c r="AK24198" s="831">
        <v>1732566.0729999999</v>
      </c>
    </row>
    <row r="24199" spans="32:37">
      <c r="AF24199" s="831" t="s">
        <v>11322</v>
      </c>
      <c r="AG24199" s="831" t="s">
        <v>2674</v>
      </c>
      <c r="AH24199" s="831" t="s">
        <v>546</v>
      </c>
      <c r="AI24199" s="831">
        <v>0</v>
      </c>
      <c r="AJ24199" s="835">
        <v>41698</v>
      </c>
      <c r="AK24199" s="831">
        <v>652795035</v>
      </c>
    </row>
    <row r="24200" spans="32:37">
      <c r="AF24200" s="831" t="s">
        <v>11323</v>
      </c>
      <c r="AG24200" s="831" t="s">
        <v>2674</v>
      </c>
      <c r="AH24200" s="831" t="s">
        <v>370</v>
      </c>
      <c r="AI24200" s="831">
        <v>0</v>
      </c>
      <c r="AJ24200" s="835">
        <v>41698</v>
      </c>
      <c r="AK24200" s="831">
        <v>794421636</v>
      </c>
    </row>
    <row r="24201" spans="32:37">
      <c r="AF24201" s="831" t="s">
        <v>11324</v>
      </c>
      <c r="AG24201" s="831" t="s">
        <v>2674</v>
      </c>
      <c r="AH24201" s="831" t="s">
        <v>126</v>
      </c>
      <c r="AI24201" s="831">
        <v>0</v>
      </c>
      <c r="AJ24201" s="835">
        <v>41698</v>
      </c>
      <c r="AK24201" s="831">
        <v>120615628</v>
      </c>
    </row>
    <row r="24202" spans="32:37">
      <c r="AF24202" s="831" t="s">
        <v>11325</v>
      </c>
      <c r="AG24202" s="831" t="s">
        <v>2674</v>
      </c>
      <c r="AH24202" s="831" t="s">
        <v>268</v>
      </c>
      <c r="AI24202" s="831">
        <v>0</v>
      </c>
      <c r="AJ24202" s="835">
        <v>41698</v>
      </c>
      <c r="AK24202" s="831">
        <v>7870295</v>
      </c>
    </row>
    <row r="24203" spans="32:37">
      <c r="AF24203" s="831" t="s">
        <v>11326</v>
      </c>
      <c r="AG24203" s="831" t="s">
        <v>2674</v>
      </c>
      <c r="AH24203" s="831" t="s">
        <v>547</v>
      </c>
      <c r="AI24203" s="831">
        <v>0</v>
      </c>
      <c r="AJ24203" s="835">
        <v>41698</v>
      </c>
      <c r="AK24203" s="831">
        <v>777719977</v>
      </c>
    </row>
    <row r="24204" spans="32:37">
      <c r="AF24204" s="831" t="s">
        <v>11327</v>
      </c>
      <c r="AG24204" s="831" t="s">
        <v>2674</v>
      </c>
      <c r="AH24204" s="831" t="s">
        <v>548</v>
      </c>
      <c r="AI24204" s="831">
        <v>0</v>
      </c>
      <c r="AJ24204" s="835">
        <v>41698</v>
      </c>
      <c r="AK24204" s="831">
        <v>117105496</v>
      </c>
    </row>
    <row r="24205" spans="32:37">
      <c r="AF24205" s="831" t="s">
        <v>11328</v>
      </c>
      <c r="AG24205" s="831" t="s">
        <v>2674</v>
      </c>
      <c r="AH24205" s="831" t="s">
        <v>549</v>
      </c>
      <c r="AI24205" s="831">
        <v>0</v>
      </c>
      <c r="AJ24205" s="835">
        <v>41698</v>
      </c>
      <c r="AK24205" s="831">
        <v>436810603</v>
      </c>
    </row>
    <row r="24206" spans="32:37">
      <c r="AF24206" s="831" t="s">
        <v>11329</v>
      </c>
      <c r="AG24206" s="831" t="s">
        <v>2674</v>
      </c>
      <c r="AH24206" s="831" t="s">
        <v>192</v>
      </c>
      <c r="AI24206" s="831">
        <v>0</v>
      </c>
      <c r="AJ24206" s="835">
        <v>41698</v>
      </c>
      <c r="AK24206" s="831">
        <v>-13506118</v>
      </c>
    </row>
    <row r="24207" spans="32:37">
      <c r="AF24207" s="831" t="s">
        <v>11330</v>
      </c>
      <c r="AG24207" s="831" t="s">
        <v>2674</v>
      </c>
      <c r="AH24207" s="831" t="s">
        <v>558</v>
      </c>
      <c r="AI24207" s="831">
        <v>0</v>
      </c>
      <c r="AJ24207" s="835">
        <v>41698</v>
      </c>
      <c r="AK24207" s="831">
        <v>673806008.21000004</v>
      </c>
    </row>
    <row r="24208" spans="32:37">
      <c r="AF24208" s="831" t="s">
        <v>11331</v>
      </c>
      <c r="AG24208" s="831" t="s">
        <v>2674</v>
      </c>
      <c r="AH24208" s="831" t="s">
        <v>65</v>
      </c>
      <c r="AI24208" s="831">
        <v>0</v>
      </c>
      <c r="AJ24208" s="835">
        <v>41698</v>
      </c>
      <c r="AK24208" s="831">
        <v>27696081</v>
      </c>
    </row>
    <row r="24209" spans="32:37">
      <c r="AF24209" s="831" t="s">
        <v>11332</v>
      </c>
      <c r="AG24209" s="831" t="s">
        <v>2674</v>
      </c>
      <c r="AH24209" s="831" t="s">
        <v>89</v>
      </c>
      <c r="AI24209" s="831">
        <v>0</v>
      </c>
      <c r="AJ24209" s="835">
        <v>41698</v>
      </c>
      <c r="AK24209" s="831">
        <v>150328</v>
      </c>
    </row>
    <row r="24210" spans="32:37">
      <c r="AF24210" s="831" t="s">
        <v>11333</v>
      </c>
      <c r="AG24210" s="831" t="s">
        <v>2674</v>
      </c>
      <c r="AH24210" s="831" t="s">
        <v>557</v>
      </c>
      <c r="AI24210" s="831">
        <v>0</v>
      </c>
      <c r="AJ24210" s="835">
        <v>41698</v>
      </c>
      <c r="AK24210" s="831">
        <v>165052</v>
      </c>
    </row>
    <row r="24211" spans="32:37">
      <c r="AF24211" s="831" t="s">
        <v>11334</v>
      </c>
      <c r="AG24211" s="831" t="s">
        <v>2674</v>
      </c>
      <c r="AH24211" s="831" t="s">
        <v>29</v>
      </c>
      <c r="AI24211" s="831">
        <v>0</v>
      </c>
      <c r="AJ24211" s="835">
        <v>41698</v>
      </c>
      <c r="AK24211" s="831">
        <v>2075568.541</v>
      </c>
    </row>
    <row r="24212" spans="32:37">
      <c r="AF24212" s="831" t="s">
        <v>11335</v>
      </c>
      <c r="AG24212" s="831" t="s">
        <v>2674</v>
      </c>
      <c r="AH24212" s="831" t="s">
        <v>2688</v>
      </c>
      <c r="AI24212" s="831">
        <v>0</v>
      </c>
      <c r="AJ24212" s="835">
        <v>41698</v>
      </c>
      <c r="AK24212" s="831">
        <v>4740340.3599999994</v>
      </c>
    </row>
    <row r="24213" spans="32:37">
      <c r="AF24213" s="831" t="s">
        <v>11336</v>
      </c>
      <c r="AG24213" s="831" t="s">
        <v>2674</v>
      </c>
      <c r="AH24213" s="831" t="s">
        <v>556</v>
      </c>
      <c r="AI24213" s="831">
        <v>0</v>
      </c>
      <c r="AJ24213" s="835">
        <v>41698</v>
      </c>
      <c r="AK24213" s="831">
        <v>1644732</v>
      </c>
    </row>
    <row r="24214" spans="32:37">
      <c r="AF24214" s="831" t="s">
        <v>11337</v>
      </c>
      <c r="AG24214" s="831" t="s">
        <v>2674</v>
      </c>
      <c r="AH24214" s="831" t="s">
        <v>555</v>
      </c>
      <c r="AI24214" s="831">
        <v>0</v>
      </c>
      <c r="AJ24214" s="835">
        <v>41698</v>
      </c>
      <c r="AK24214" s="831">
        <v>437465824</v>
      </c>
    </row>
    <row r="24215" spans="32:37">
      <c r="AF24215" s="831" t="s">
        <v>11338</v>
      </c>
      <c r="AG24215" s="831" t="s">
        <v>2674</v>
      </c>
      <c r="AH24215" s="831" t="s">
        <v>554</v>
      </c>
      <c r="AI24215" s="831">
        <v>0</v>
      </c>
      <c r="AJ24215" s="835">
        <v>41698</v>
      </c>
      <c r="AK24215" s="831">
        <v>440045130</v>
      </c>
    </row>
    <row r="24216" spans="32:37">
      <c r="AF24216" s="831" t="s">
        <v>11339</v>
      </c>
      <c r="AG24216" s="831" t="s">
        <v>2674</v>
      </c>
      <c r="AH24216" s="831" t="s">
        <v>553</v>
      </c>
      <c r="AI24216" s="831">
        <v>0</v>
      </c>
      <c r="AJ24216" s="835">
        <v>41698</v>
      </c>
      <c r="AK24216" s="831">
        <v>0</v>
      </c>
    </row>
    <row r="24217" spans="32:37">
      <c r="AF24217" s="831" t="s">
        <v>11340</v>
      </c>
      <c r="AG24217" s="831" t="s">
        <v>2674</v>
      </c>
      <c r="AH24217" s="831" t="s">
        <v>552</v>
      </c>
      <c r="AI24217" s="831">
        <v>0</v>
      </c>
      <c r="AJ24217" s="835">
        <v>41698</v>
      </c>
      <c r="AK24217" s="831">
        <v>0</v>
      </c>
    </row>
    <row r="24218" spans="32:37">
      <c r="AF24218" s="831" t="s">
        <v>11341</v>
      </c>
      <c r="AG24218" s="831" t="s">
        <v>2674</v>
      </c>
      <c r="AH24218" s="831" t="s">
        <v>551</v>
      </c>
      <c r="AI24218" s="831">
        <v>0</v>
      </c>
      <c r="AJ24218" s="835">
        <v>41698</v>
      </c>
      <c r="AK24218" s="831">
        <v>1790155.7879999999</v>
      </c>
    </row>
    <row r="24219" spans="32:37">
      <c r="AF24219" s="831" t="s">
        <v>11342</v>
      </c>
      <c r="AG24219" s="831" t="s">
        <v>2674</v>
      </c>
      <c r="AH24219" s="831" t="s">
        <v>550</v>
      </c>
      <c r="AI24219" s="831">
        <v>0</v>
      </c>
      <c r="AJ24219" s="835">
        <v>41698</v>
      </c>
      <c r="AK24219" s="831">
        <v>117105496</v>
      </c>
    </row>
    <row r="24220" spans="32:37">
      <c r="AF24220" s="831" t="s">
        <v>11343</v>
      </c>
      <c r="AG24220" s="831" t="s">
        <v>2674</v>
      </c>
      <c r="AH24220" s="831" t="s">
        <v>562</v>
      </c>
      <c r="AI24220" s="831">
        <v>0</v>
      </c>
      <c r="AJ24220" s="835">
        <v>41698</v>
      </c>
      <c r="AK24220" s="831">
        <v>0.78385000000000005</v>
      </c>
    </row>
    <row r="24221" spans="32:37">
      <c r="AF24221" s="831" t="s">
        <v>11344</v>
      </c>
      <c r="AG24221" s="831" t="s">
        <v>2674</v>
      </c>
      <c r="AH24221" s="831" t="s">
        <v>2698</v>
      </c>
      <c r="AI24221" s="831">
        <v>0</v>
      </c>
      <c r="AJ24221" s="835">
        <v>41698</v>
      </c>
      <c r="AK24221" s="831">
        <v>0.78364999999999996</v>
      </c>
    </row>
    <row r="24222" spans="32:37">
      <c r="AF24222" s="831" t="s">
        <v>11345</v>
      </c>
      <c r="AG24222" s="831" t="s">
        <v>2674</v>
      </c>
      <c r="AH24222" s="831" t="s">
        <v>560</v>
      </c>
      <c r="AI24222" s="831">
        <v>0</v>
      </c>
      <c r="AJ24222" s="835">
        <v>41698</v>
      </c>
      <c r="AK24222" s="831">
        <v>0.78374999999999995</v>
      </c>
    </row>
    <row r="24223" spans="32:37">
      <c r="AF24223" s="831" t="s">
        <v>11346</v>
      </c>
      <c r="AG24223" s="831" t="s">
        <v>2674</v>
      </c>
      <c r="AH24223" s="831" t="s">
        <v>559</v>
      </c>
      <c r="AI24223" s="831">
        <v>0</v>
      </c>
      <c r="AJ24223" s="835">
        <v>41698</v>
      </c>
      <c r="AK24223" s="831">
        <v>0.7838750000000001</v>
      </c>
    </row>
    <row r="24224" spans="32:37">
      <c r="AF24224" s="831" t="s">
        <v>11347</v>
      </c>
      <c r="AG24224" s="831" t="s">
        <v>2674</v>
      </c>
      <c r="AH24224" s="831" t="s">
        <v>568</v>
      </c>
      <c r="AI24224" s="831">
        <v>0</v>
      </c>
      <c r="AJ24224" s="835">
        <v>41698</v>
      </c>
      <c r="AK24224" s="831">
        <v>548459663.22692311</v>
      </c>
    </row>
    <row r="24225" spans="32:37">
      <c r="AF24225" s="831" t="s">
        <v>11348</v>
      </c>
      <c r="AG24225" s="831" t="s">
        <v>2674</v>
      </c>
      <c r="AH24225" s="831" t="s">
        <v>569</v>
      </c>
      <c r="AI24225" s="831">
        <v>0</v>
      </c>
      <c r="AJ24225" s="835">
        <v>41698</v>
      </c>
      <c r="AK24225" s="831">
        <v>670148193.05023074</v>
      </c>
    </row>
    <row r="24226" spans="32:37">
      <c r="AF24226" s="831" t="s">
        <v>11349</v>
      </c>
      <c r="AG24226" s="831" t="s">
        <v>2674</v>
      </c>
      <c r="AH24226" s="831" t="s">
        <v>570</v>
      </c>
      <c r="AI24226" s="831">
        <v>0</v>
      </c>
      <c r="AJ24226" s="835">
        <v>41698</v>
      </c>
      <c r="AK24226" s="831">
        <v>111814070.13584615</v>
      </c>
    </row>
    <row r="24227" spans="32:37">
      <c r="AF24227" s="831" t="s">
        <v>11350</v>
      </c>
      <c r="AG24227" s="831" t="s">
        <v>2674</v>
      </c>
      <c r="AH24227" s="831" t="s">
        <v>571</v>
      </c>
      <c r="AI24227" s="831">
        <v>0</v>
      </c>
      <c r="AJ24227" s="835">
        <v>41698</v>
      </c>
      <c r="AK24227" s="831">
        <v>320628110.0517692</v>
      </c>
    </row>
    <row r="24228" spans="32:37">
      <c r="AF24228" s="831" t="s">
        <v>11351</v>
      </c>
      <c r="AG24228" s="831" t="s">
        <v>2674</v>
      </c>
      <c r="AH24228" s="831" t="s">
        <v>573</v>
      </c>
      <c r="AI24228" s="831">
        <v>0</v>
      </c>
      <c r="AJ24228" s="835">
        <v>41698</v>
      </c>
      <c r="AK24228" s="831">
        <v>787218860.85433328</v>
      </c>
    </row>
    <row r="24229" spans="32:37">
      <c r="AF24229" s="831" t="s">
        <v>11352</v>
      </c>
      <c r="AG24229" s="831" t="s">
        <v>2674</v>
      </c>
      <c r="AH24229" s="831" t="s">
        <v>574</v>
      </c>
      <c r="AI24229" s="831">
        <v>0</v>
      </c>
      <c r="AJ24229" s="835">
        <v>41698</v>
      </c>
      <c r="AK24229" s="831">
        <v>638762603.66666663</v>
      </c>
    </row>
    <row r="24230" spans="32:37">
      <c r="AF24230" s="831" t="s">
        <v>11353</v>
      </c>
      <c r="AG24230" s="831" t="s">
        <v>2674</v>
      </c>
      <c r="AH24230" s="831" t="s">
        <v>575</v>
      </c>
      <c r="AI24230" s="831">
        <v>0</v>
      </c>
      <c r="AJ24230" s="835">
        <v>41698</v>
      </c>
      <c r="AK24230" s="831">
        <v>117270296.63666666</v>
      </c>
    </row>
    <row r="24231" spans="32:37">
      <c r="AF24231" s="831" t="s">
        <v>11354</v>
      </c>
      <c r="AG24231" s="831" t="s">
        <v>2674</v>
      </c>
      <c r="AH24231" s="831" t="s">
        <v>576</v>
      </c>
      <c r="AI24231" s="831">
        <v>0</v>
      </c>
      <c r="AJ24231" s="835">
        <v>41698</v>
      </c>
      <c r="AK24231" s="831">
        <v>385067117.20366669</v>
      </c>
    </row>
    <row r="24232" spans="32:37">
      <c r="AF24232" s="831" t="s">
        <v>11355</v>
      </c>
      <c r="AG24232" s="831" t="s">
        <v>2674</v>
      </c>
      <c r="AH24232" s="831" t="s">
        <v>572</v>
      </c>
      <c r="AI24232" s="831">
        <v>0</v>
      </c>
      <c r="AJ24232" s="835">
        <v>41698</v>
      </c>
      <c r="AK24232" s="831">
        <v>31228952.956000008</v>
      </c>
    </row>
    <row r="24233" spans="32:37">
      <c r="AF24233" s="831" t="s">
        <v>11356</v>
      </c>
      <c r="AG24233" s="831" t="s">
        <v>2674</v>
      </c>
      <c r="AH24233" s="831" t="s">
        <v>577</v>
      </c>
      <c r="AI24233" s="831">
        <v>0</v>
      </c>
      <c r="AJ24233" s="835">
        <v>41698</v>
      </c>
      <c r="AK24233" s="831">
        <v>141567221.76300001</v>
      </c>
    </row>
    <row r="24234" spans="32:37">
      <c r="AF24234" s="831" t="s">
        <v>11357</v>
      </c>
      <c r="AG24234" s="831" t="s">
        <v>2674</v>
      </c>
      <c r="AH24234" s="831" t="s">
        <v>3042</v>
      </c>
      <c r="AI24234" s="831">
        <v>0</v>
      </c>
      <c r="AJ24234" s="835">
        <v>41698</v>
      </c>
      <c r="AK24234" s="831">
        <v>-37210157.527000003</v>
      </c>
    </row>
    <row r="24235" spans="32:37">
      <c r="AF24235" s="831" t="s">
        <v>11358</v>
      </c>
      <c r="AG24235" s="831" t="s">
        <v>2674</v>
      </c>
      <c r="AH24235" s="831" t="s">
        <v>3044</v>
      </c>
      <c r="AI24235" s="831">
        <v>0</v>
      </c>
      <c r="AJ24235" s="835">
        <v>41698</v>
      </c>
      <c r="AK24235" s="831">
        <v>-3847935.8899999997</v>
      </c>
    </row>
    <row r="24236" spans="32:37">
      <c r="AF24236" s="831" t="s">
        <v>11359</v>
      </c>
      <c r="AG24236" s="831" t="s">
        <v>2674</v>
      </c>
      <c r="AH24236" s="831" t="s">
        <v>580</v>
      </c>
      <c r="AI24236" s="831">
        <v>0</v>
      </c>
      <c r="AJ24236" s="835">
        <v>41698</v>
      </c>
      <c r="AK24236" s="831">
        <v>-65813930.306999996</v>
      </c>
    </row>
    <row r="24237" spans="32:37">
      <c r="AF24237" s="831" t="s">
        <v>11360</v>
      </c>
      <c r="AG24237" s="831" t="s">
        <v>2674</v>
      </c>
      <c r="AH24237" s="831" t="s">
        <v>581</v>
      </c>
      <c r="AI24237" s="831">
        <v>0</v>
      </c>
      <c r="AJ24237" s="835">
        <v>41698</v>
      </c>
      <c r="AK24237" s="831">
        <v>5417725.8940000003</v>
      </c>
    </row>
    <row r="24238" spans="32:37">
      <c r="AF24238" s="831" t="s">
        <v>11361</v>
      </c>
      <c r="AG24238" s="831" t="s">
        <v>2674</v>
      </c>
      <c r="AH24238" s="831" t="s">
        <v>105</v>
      </c>
      <c r="AI24238" s="831">
        <v>0</v>
      </c>
      <c r="AJ24238" s="835">
        <v>41698</v>
      </c>
      <c r="AK24238" s="831">
        <v>385102312</v>
      </c>
    </row>
    <row r="24239" spans="32:37">
      <c r="AF24239" s="831" t="s">
        <v>11362</v>
      </c>
      <c r="AG24239" s="831" t="s">
        <v>2674</v>
      </c>
      <c r="AH24239" s="831" t="s">
        <v>3049</v>
      </c>
      <c r="AI24239" s="831">
        <v>0</v>
      </c>
      <c r="AJ24239" s="835">
        <v>41698</v>
      </c>
      <c r="AK24239" s="831">
        <v>650688857.41999996</v>
      </c>
    </row>
    <row r="24240" spans="32:37">
      <c r="AF24240" s="831" t="s">
        <v>11363</v>
      </c>
      <c r="AG24240" s="831" t="s">
        <v>2674</v>
      </c>
      <c r="AH24240" s="831" t="s">
        <v>103</v>
      </c>
      <c r="AI24240" s="831">
        <v>0</v>
      </c>
      <c r="AJ24240" s="835">
        <v>41698</v>
      </c>
      <c r="AK24240" s="831">
        <v>265586545.41999999</v>
      </c>
    </row>
    <row r="24241" spans="32:37">
      <c r="AF24241" s="831" t="s">
        <v>11364</v>
      </c>
      <c r="AG24241" s="831" t="s">
        <v>2674</v>
      </c>
      <c r="AH24241" s="831" t="s">
        <v>182</v>
      </c>
      <c r="AI24241" s="831">
        <v>0</v>
      </c>
      <c r="AJ24241" s="835">
        <v>41698</v>
      </c>
      <c r="AK24241" s="831">
        <v>65878782</v>
      </c>
    </row>
    <row r="24242" spans="32:37">
      <c r="AF24242" s="831" t="s">
        <v>11365</v>
      </c>
      <c r="AG24242" s="831" t="s">
        <v>2674</v>
      </c>
      <c r="AH24242" s="831" t="s">
        <v>6600</v>
      </c>
      <c r="AI24242" s="831">
        <v>0</v>
      </c>
      <c r="AJ24242" s="835">
        <v>41698</v>
      </c>
      <c r="AK24242" s="831">
        <v>31228952.956000008</v>
      </c>
    </row>
    <row r="24243" spans="32:37">
      <c r="AF24243" s="831" t="s">
        <v>11366</v>
      </c>
      <c r="AG24243" s="831" t="s">
        <v>2674</v>
      </c>
      <c r="AH24243" s="831" t="s">
        <v>6602</v>
      </c>
      <c r="AI24243" s="831">
        <v>0</v>
      </c>
      <c r="AJ24243" s="835">
        <v>41698</v>
      </c>
      <c r="AK24243" s="831">
        <v>7870295</v>
      </c>
    </row>
    <row r="24244" spans="32:37">
      <c r="AF24244" s="831" t="s">
        <v>11367</v>
      </c>
      <c r="AG24244" s="831" t="s">
        <v>2674</v>
      </c>
      <c r="AH24244" s="831" t="s">
        <v>650</v>
      </c>
      <c r="AI24244" s="831">
        <v>0</v>
      </c>
      <c r="AJ24244" s="835">
        <v>41698</v>
      </c>
      <c r="AK24244" s="831">
        <v>219285486.1168462</v>
      </c>
    </row>
    <row r="24245" spans="32:37">
      <c r="AF24245" s="831" t="s">
        <v>11368</v>
      </c>
      <c r="AG24245" s="831" t="s">
        <v>2674</v>
      </c>
      <c r="AH24245" s="831" t="s">
        <v>655</v>
      </c>
      <c r="AI24245" s="831">
        <v>0</v>
      </c>
      <c r="AJ24245" s="835">
        <v>41698</v>
      </c>
      <c r="AK24245" s="831">
        <v>1640758.8330000001</v>
      </c>
    </row>
    <row r="24246" spans="32:37">
      <c r="AF24246" s="831" t="s">
        <v>11369</v>
      </c>
      <c r="AG24246" s="831" t="s">
        <v>2674</v>
      </c>
      <c r="AH24246" s="831" t="s">
        <v>546</v>
      </c>
      <c r="AI24246" s="831">
        <v>0</v>
      </c>
      <c r="AJ24246" s="835">
        <v>41729</v>
      </c>
      <c r="AK24246" s="831">
        <v>664153787</v>
      </c>
    </row>
    <row r="24247" spans="32:37">
      <c r="AF24247" s="831" t="s">
        <v>11370</v>
      </c>
      <c r="AG24247" s="831" t="s">
        <v>2674</v>
      </c>
      <c r="AH24247" s="831" t="s">
        <v>370</v>
      </c>
      <c r="AI24247" s="831">
        <v>0</v>
      </c>
      <c r="AJ24247" s="835">
        <v>41729</v>
      </c>
      <c r="AK24247" s="831">
        <v>834303183</v>
      </c>
    </row>
    <row r="24248" spans="32:37">
      <c r="AF24248" s="831" t="s">
        <v>11371</v>
      </c>
      <c r="AG24248" s="831" t="s">
        <v>2674</v>
      </c>
      <c r="AH24248" s="831" t="s">
        <v>126</v>
      </c>
      <c r="AI24248" s="831">
        <v>0</v>
      </c>
      <c r="AJ24248" s="835">
        <v>41729</v>
      </c>
      <c r="AK24248" s="831">
        <v>124206790</v>
      </c>
    </row>
    <row r="24249" spans="32:37">
      <c r="AF24249" s="831" t="s">
        <v>11372</v>
      </c>
      <c r="AG24249" s="831" t="s">
        <v>2674</v>
      </c>
      <c r="AH24249" s="831" t="s">
        <v>268</v>
      </c>
      <c r="AI24249" s="831">
        <v>0</v>
      </c>
      <c r="AJ24249" s="835">
        <v>41729</v>
      </c>
      <c r="AK24249" s="831">
        <v>8878765</v>
      </c>
    </row>
    <row r="24250" spans="32:37">
      <c r="AF24250" s="831" t="s">
        <v>11373</v>
      </c>
      <c r="AG24250" s="831" t="s">
        <v>2674</v>
      </c>
      <c r="AH24250" s="831" t="s">
        <v>547</v>
      </c>
      <c r="AI24250" s="831">
        <v>0</v>
      </c>
      <c r="AJ24250" s="835">
        <v>41729</v>
      </c>
      <c r="AK24250" s="831">
        <v>777719977</v>
      </c>
    </row>
    <row r="24251" spans="32:37">
      <c r="AF24251" s="831" t="s">
        <v>11374</v>
      </c>
      <c r="AG24251" s="831" t="s">
        <v>2674</v>
      </c>
      <c r="AH24251" s="831" t="s">
        <v>548</v>
      </c>
      <c r="AI24251" s="831">
        <v>0</v>
      </c>
      <c r="AJ24251" s="835">
        <v>41729</v>
      </c>
      <c r="AK24251" s="831">
        <v>117105496</v>
      </c>
    </row>
    <row r="24252" spans="32:37">
      <c r="AF24252" s="831" t="s">
        <v>11375</v>
      </c>
      <c r="AG24252" s="831" t="s">
        <v>2674</v>
      </c>
      <c r="AH24252" s="831" t="s">
        <v>549</v>
      </c>
      <c r="AI24252" s="831">
        <v>0</v>
      </c>
      <c r="AJ24252" s="835">
        <v>41729</v>
      </c>
      <c r="AK24252" s="831">
        <v>455655641</v>
      </c>
    </row>
    <row r="24253" spans="32:37">
      <c r="AF24253" s="831" t="s">
        <v>11376</v>
      </c>
      <c r="AG24253" s="831" t="s">
        <v>2674</v>
      </c>
      <c r="AH24253" s="831" t="s">
        <v>192</v>
      </c>
      <c r="AI24253" s="831">
        <v>0</v>
      </c>
      <c r="AJ24253" s="835">
        <v>41729</v>
      </c>
      <c r="AK24253" s="831">
        <v>-12498345</v>
      </c>
    </row>
    <row r="24254" spans="32:37">
      <c r="AF24254" s="831" t="s">
        <v>11377</v>
      </c>
      <c r="AG24254" s="831" t="s">
        <v>2674</v>
      </c>
      <c r="AH24254" s="831" t="s">
        <v>558</v>
      </c>
      <c r="AI24254" s="831">
        <v>0</v>
      </c>
      <c r="AJ24254" s="835">
        <v>41729</v>
      </c>
      <c r="AK24254" s="831">
        <v>710096393</v>
      </c>
    </row>
    <row r="24255" spans="32:37">
      <c r="AF24255" s="831" t="s">
        <v>11378</v>
      </c>
      <c r="AG24255" s="831" t="s">
        <v>2674</v>
      </c>
      <c r="AH24255" s="831" t="s">
        <v>65</v>
      </c>
      <c r="AI24255" s="831">
        <v>0</v>
      </c>
      <c r="AJ24255" s="835">
        <v>41729</v>
      </c>
      <c r="AK24255" s="831">
        <v>38451284</v>
      </c>
    </row>
    <row r="24256" spans="32:37">
      <c r="AF24256" s="831" t="s">
        <v>11379</v>
      </c>
      <c r="AG24256" s="831" t="s">
        <v>2674</v>
      </c>
      <c r="AH24256" s="831" t="s">
        <v>89</v>
      </c>
      <c r="AI24256" s="831">
        <v>0</v>
      </c>
      <c r="AJ24256" s="835">
        <v>41729</v>
      </c>
      <c r="AK24256" s="831">
        <v>151606</v>
      </c>
    </row>
    <row r="24257" spans="32:37">
      <c r="AF24257" s="831" t="s">
        <v>11380</v>
      </c>
      <c r="AG24257" s="831" t="s">
        <v>2674</v>
      </c>
      <c r="AH24257" s="831" t="s">
        <v>557</v>
      </c>
      <c r="AI24257" s="831">
        <v>0</v>
      </c>
      <c r="AJ24257" s="835">
        <v>41729</v>
      </c>
      <c r="AK24257" s="831">
        <v>167127</v>
      </c>
    </row>
    <row r="24258" spans="32:37">
      <c r="AF24258" s="831" t="s">
        <v>11381</v>
      </c>
      <c r="AG24258" s="831" t="s">
        <v>2674</v>
      </c>
      <c r="AH24258" s="831" t="s">
        <v>29</v>
      </c>
      <c r="AI24258" s="831">
        <v>0</v>
      </c>
      <c r="AJ24258" s="835">
        <v>41729</v>
      </c>
      <c r="AK24258" s="831">
        <v>2189531.31</v>
      </c>
    </row>
    <row r="24259" spans="32:37">
      <c r="AF24259" s="831" t="s">
        <v>11382</v>
      </c>
      <c r="AG24259" s="831" t="s">
        <v>2674</v>
      </c>
      <c r="AH24259" s="831" t="s">
        <v>2688</v>
      </c>
      <c r="AI24259" s="831">
        <v>0</v>
      </c>
      <c r="AJ24259" s="835">
        <v>41729</v>
      </c>
      <c r="AK24259" s="831">
        <v>4729841</v>
      </c>
    </row>
    <row r="24260" spans="32:37">
      <c r="AF24260" s="831" t="s">
        <v>11383</v>
      </c>
      <c r="AG24260" s="831" t="s">
        <v>2674</v>
      </c>
      <c r="AH24260" s="831" t="s">
        <v>556</v>
      </c>
      <c r="AI24260" s="831">
        <v>0</v>
      </c>
      <c r="AJ24260" s="835">
        <v>41729</v>
      </c>
      <c r="AK24260" s="831">
        <v>1644732</v>
      </c>
    </row>
    <row r="24261" spans="32:37">
      <c r="AF24261" s="831" t="s">
        <v>11384</v>
      </c>
      <c r="AG24261" s="831" t="s">
        <v>2674</v>
      </c>
      <c r="AH24261" s="831" t="s">
        <v>555</v>
      </c>
      <c r="AI24261" s="831">
        <v>0</v>
      </c>
      <c r="AJ24261" s="835">
        <v>41729</v>
      </c>
      <c r="AK24261" s="831">
        <v>466790280</v>
      </c>
    </row>
    <row r="24262" spans="32:37">
      <c r="AF24262" s="831" t="s">
        <v>11385</v>
      </c>
      <c r="AG24262" s="831" t="s">
        <v>2674</v>
      </c>
      <c r="AH24262" s="831" t="s">
        <v>554</v>
      </c>
      <c r="AI24262" s="831">
        <v>0</v>
      </c>
      <c r="AJ24262" s="835">
        <v>41729</v>
      </c>
      <c r="AK24262" s="831">
        <v>476154670</v>
      </c>
    </row>
    <row r="24263" spans="32:37">
      <c r="AF24263" s="831" t="s">
        <v>11386</v>
      </c>
      <c r="AG24263" s="831" t="s">
        <v>2674</v>
      </c>
      <c r="AH24263" s="831" t="s">
        <v>553</v>
      </c>
      <c r="AI24263" s="831">
        <v>0</v>
      </c>
      <c r="AJ24263" s="835">
        <v>41729</v>
      </c>
      <c r="AK24263" s="831">
        <v>0</v>
      </c>
    </row>
    <row r="24264" spans="32:37">
      <c r="AF24264" s="831" t="s">
        <v>11387</v>
      </c>
      <c r="AG24264" s="831" t="s">
        <v>2674</v>
      </c>
      <c r="AH24264" s="831" t="s">
        <v>552</v>
      </c>
      <c r="AI24264" s="831">
        <v>0</v>
      </c>
      <c r="AJ24264" s="835">
        <v>41729</v>
      </c>
      <c r="AK24264" s="831">
        <v>0</v>
      </c>
    </row>
    <row r="24265" spans="32:37">
      <c r="AF24265" s="831" t="s">
        <v>11388</v>
      </c>
      <c r="AG24265" s="831" t="s">
        <v>2674</v>
      </c>
      <c r="AH24265" s="831" t="s">
        <v>551</v>
      </c>
      <c r="AI24265" s="831">
        <v>0</v>
      </c>
      <c r="AJ24265" s="835">
        <v>41729</v>
      </c>
      <c r="AK24265" s="831">
        <v>1979269.31</v>
      </c>
    </row>
    <row r="24266" spans="32:37">
      <c r="AF24266" s="831" t="s">
        <v>11389</v>
      </c>
      <c r="AG24266" s="831" t="s">
        <v>2674</v>
      </c>
      <c r="AH24266" s="831" t="s">
        <v>550</v>
      </c>
      <c r="AI24266" s="831">
        <v>0</v>
      </c>
      <c r="AJ24266" s="835">
        <v>41729</v>
      </c>
      <c r="AK24266" s="831">
        <v>120615628</v>
      </c>
    </row>
    <row r="24267" spans="32:37">
      <c r="AF24267" s="831" t="s">
        <v>11390</v>
      </c>
      <c r="AG24267" s="831" t="s">
        <v>2674</v>
      </c>
      <c r="AH24267" s="831" t="s">
        <v>562</v>
      </c>
      <c r="AI24267" s="831">
        <v>0</v>
      </c>
      <c r="AJ24267" s="835">
        <v>41729</v>
      </c>
      <c r="AK24267" s="831">
        <v>0.78374999999999995</v>
      </c>
    </row>
    <row r="24268" spans="32:37">
      <c r="AF24268" s="831" t="s">
        <v>11391</v>
      </c>
      <c r="AG24268" s="831" t="s">
        <v>2674</v>
      </c>
      <c r="AH24268" s="831" t="s">
        <v>2698</v>
      </c>
      <c r="AI24268" s="831">
        <v>0</v>
      </c>
      <c r="AJ24268" s="835">
        <v>41729</v>
      </c>
      <c r="AK24268" s="831">
        <v>0.78385000000000005</v>
      </c>
    </row>
    <row r="24269" spans="32:37">
      <c r="AF24269" s="831" t="s">
        <v>11392</v>
      </c>
      <c r="AG24269" s="831" t="s">
        <v>2674</v>
      </c>
      <c r="AH24269" s="831" t="s">
        <v>560</v>
      </c>
      <c r="AI24269" s="831">
        <v>0</v>
      </c>
      <c r="AJ24269" s="835">
        <v>41729</v>
      </c>
      <c r="AK24269" s="831">
        <v>0.78375000000000006</v>
      </c>
    </row>
    <row r="24270" spans="32:37">
      <c r="AF24270" s="831" t="s">
        <v>11393</v>
      </c>
      <c r="AG24270" s="831" t="s">
        <v>2674</v>
      </c>
      <c r="AH24270" s="831" t="s">
        <v>559</v>
      </c>
      <c r="AI24270" s="831">
        <v>0</v>
      </c>
      <c r="AJ24270" s="835">
        <v>41729</v>
      </c>
      <c r="AK24270" s="831">
        <v>0.78383333333333338</v>
      </c>
    </row>
    <row r="24271" spans="32:37">
      <c r="AF24271" s="831" t="s">
        <v>11394</v>
      </c>
      <c r="AG24271" s="831" t="s">
        <v>2674</v>
      </c>
      <c r="AH24271" s="831" t="s">
        <v>568</v>
      </c>
      <c r="AI24271" s="831">
        <v>0</v>
      </c>
      <c r="AJ24271" s="835">
        <v>41729</v>
      </c>
      <c r="AK24271" s="831">
        <v>565947600.45769227</v>
      </c>
    </row>
    <row r="24272" spans="32:37">
      <c r="AF24272" s="831" t="s">
        <v>11395</v>
      </c>
      <c r="AG24272" s="831" t="s">
        <v>2674</v>
      </c>
      <c r="AH24272" s="831" t="s">
        <v>569</v>
      </c>
      <c r="AI24272" s="831">
        <v>0</v>
      </c>
      <c r="AJ24272" s="835">
        <v>41729</v>
      </c>
      <c r="AK24272" s="831">
        <v>694165655.12715387</v>
      </c>
    </row>
    <row r="24273" spans="32:37">
      <c r="AF24273" s="831" t="s">
        <v>11396</v>
      </c>
      <c r="AG24273" s="831" t="s">
        <v>2674</v>
      </c>
      <c r="AH24273" s="831" t="s">
        <v>570</v>
      </c>
      <c r="AI24273" s="831">
        <v>0</v>
      </c>
      <c r="AJ24273" s="835">
        <v>41729</v>
      </c>
      <c r="AK24273" s="831">
        <v>113785276.52046154</v>
      </c>
    </row>
    <row r="24274" spans="32:37">
      <c r="AF24274" s="831" t="s">
        <v>11397</v>
      </c>
      <c r="AG24274" s="831" t="s">
        <v>2674</v>
      </c>
      <c r="AH24274" s="831" t="s">
        <v>571</v>
      </c>
      <c r="AI24274" s="831">
        <v>0</v>
      </c>
      <c r="AJ24274" s="835">
        <v>41729</v>
      </c>
      <c r="AK24274" s="831">
        <v>334328550.28253847</v>
      </c>
    </row>
    <row r="24275" spans="32:37">
      <c r="AF24275" s="831" t="s">
        <v>11398</v>
      </c>
      <c r="AG24275" s="831" t="s">
        <v>2674</v>
      </c>
      <c r="AH24275" s="831" t="s">
        <v>573</v>
      </c>
      <c r="AI24275" s="831">
        <v>0</v>
      </c>
      <c r="AJ24275" s="835">
        <v>41729</v>
      </c>
      <c r="AK24275" s="831">
        <v>798989941.39074993</v>
      </c>
    </row>
    <row r="24276" spans="32:37">
      <c r="AF24276" s="831" t="s">
        <v>11399</v>
      </c>
      <c r="AG24276" s="831" t="s">
        <v>2674</v>
      </c>
      <c r="AH24276" s="831" t="s">
        <v>574</v>
      </c>
      <c r="AI24276" s="831">
        <v>0</v>
      </c>
      <c r="AJ24276" s="835">
        <v>41729</v>
      </c>
      <c r="AK24276" s="831">
        <v>645110399.5</v>
      </c>
    </row>
    <row r="24277" spans="32:37">
      <c r="AF24277" s="831" t="s">
        <v>11400</v>
      </c>
      <c r="AG24277" s="831" t="s">
        <v>2674</v>
      </c>
      <c r="AH24277" s="831" t="s">
        <v>575</v>
      </c>
      <c r="AI24277" s="831">
        <v>0</v>
      </c>
      <c r="AJ24277" s="835">
        <v>41729</v>
      </c>
      <c r="AK24277" s="831">
        <v>119004419.97749999</v>
      </c>
    </row>
    <row r="24278" spans="32:37">
      <c r="AF24278" s="831" t="s">
        <v>11401</v>
      </c>
      <c r="AG24278" s="831" t="s">
        <v>2674</v>
      </c>
      <c r="AH24278" s="831" t="s">
        <v>576</v>
      </c>
      <c r="AI24278" s="831">
        <v>0</v>
      </c>
      <c r="AJ24278" s="835">
        <v>41729</v>
      </c>
      <c r="AK24278" s="831">
        <v>391575852.40275002</v>
      </c>
    </row>
    <row r="24279" spans="32:37">
      <c r="AF24279" s="831" t="s">
        <v>11402</v>
      </c>
      <c r="AG24279" s="831" t="s">
        <v>2674</v>
      </c>
      <c r="AH24279" s="831" t="s">
        <v>572</v>
      </c>
      <c r="AI24279" s="831">
        <v>0</v>
      </c>
      <c r="AJ24279" s="835">
        <v>41729</v>
      </c>
      <c r="AK24279" s="831">
        <v>30009140.956000008</v>
      </c>
    </row>
    <row r="24280" spans="32:37">
      <c r="AF24280" s="831" t="s">
        <v>11403</v>
      </c>
      <c r="AG24280" s="831" t="s">
        <v>2674</v>
      </c>
      <c r="AH24280" s="831" t="s">
        <v>577</v>
      </c>
      <c r="AI24280" s="831">
        <v>0</v>
      </c>
      <c r="AJ24280" s="835">
        <v>41729</v>
      </c>
      <c r="AK24280" s="831">
        <v>143425007.76300001</v>
      </c>
    </row>
    <row r="24281" spans="32:37">
      <c r="AF24281" s="831" t="s">
        <v>11404</v>
      </c>
      <c r="AG24281" s="831" t="s">
        <v>2674</v>
      </c>
      <c r="AH24281" s="831" t="s">
        <v>3042</v>
      </c>
      <c r="AI24281" s="831">
        <v>0</v>
      </c>
      <c r="AJ24281" s="835">
        <v>41729</v>
      </c>
      <c r="AK24281" s="831">
        <v>-38745656.527000003</v>
      </c>
    </row>
    <row r="24282" spans="32:37">
      <c r="AF24282" s="831" t="s">
        <v>11405</v>
      </c>
      <c r="AG24282" s="831" t="s">
        <v>2674</v>
      </c>
      <c r="AH24282" s="831" t="s">
        <v>3044</v>
      </c>
      <c r="AI24282" s="831">
        <v>0</v>
      </c>
      <c r="AJ24282" s="835">
        <v>41729</v>
      </c>
      <c r="AK24282" s="831">
        <v>-3699815.8899999997</v>
      </c>
    </row>
    <row r="24283" spans="32:37">
      <c r="AF24283" s="831" t="s">
        <v>11406</v>
      </c>
      <c r="AG24283" s="831" t="s">
        <v>2674</v>
      </c>
      <c r="AH24283" s="831" t="s">
        <v>580</v>
      </c>
      <c r="AI24283" s="831">
        <v>0</v>
      </c>
      <c r="AJ24283" s="835">
        <v>41729</v>
      </c>
      <c r="AK24283" s="831">
        <v>-67131930.306999996</v>
      </c>
    </row>
    <row r="24284" spans="32:37">
      <c r="AF24284" s="831" t="s">
        <v>11407</v>
      </c>
      <c r="AG24284" s="831" t="s">
        <v>2674</v>
      </c>
      <c r="AH24284" s="831" t="s">
        <v>581</v>
      </c>
      <c r="AI24284" s="831">
        <v>0</v>
      </c>
      <c r="AJ24284" s="835">
        <v>41729</v>
      </c>
      <c r="AK24284" s="831">
        <v>5442741.8940000003</v>
      </c>
    </row>
    <row r="24285" spans="32:37">
      <c r="AF24285" s="831" t="s">
        <v>11408</v>
      </c>
      <c r="AG24285" s="831" t="s">
        <v>2674</v>
      </c>
      <c r="AH24285" s="831" t="s">
        <v>105</v>
      </c>
      <c r="AI24285" s="831">
        <v>0</v>
      </c>
      <c r="AJ24285" s="835">
        <v>41729</v>
      </c>
      <c r="AK24285" s="831">
        <v>411102058</v>
      </c>
    </row>
    <row r="24286" spans="32:37">
      <c r="AF24286" s="831" t="s">
        <v>11409</v>
      </c>
      <c r="AG24286" s="831" t="s">
        <v>2674</v>
      </c>
      <c r="AH24286" s="831" t="s">
        <v>3049</v>
      </c>
      <c r="AI24286" s="831">
        <v>0</v>
      </c>
      <c r="AJ24286" s="835">
        <v>41729</v>
      </c>
      <c r="AK24286" s="831">
        <v>690412081</v>
      </c>
    </row>
    <row r="24287" spans="32:37">
      <c r="AF24287" s="831" t="s">
        <v>11410</v>
      </c>
      <c r="AG24287" s="831" t="s">
        <v>2674</v>
      </c>
      <c r="AH24287" s="831" t="s">
        <v>103</v>
      </c>
      <c r="AI24287" s="831">
        <v>0</v>
      </c>
      <c r="AJ24287" s="835">
        <v>41729</v>
      </c>
      <c r="AK24287" s="831">
        <v>279310023</v>
      </c>
    </row>
    <row r="24288" spans="32:37">
      <c r="AF24288" s="831" t="s">
        <v>11411</v>
      </c>
      <c r="AG24288" s="831" t="s">
        <v>2674</v>
      </c>
      <c r="AH24288" s="831" t="s">
        <v>182</v>
      </c>
      <c r="AI24288" s="831">
        <v>0</v>
      </c>
      <c r="AJ24288" s="835">
        <v>41729</v>
      </c>
      <c r="AK24288" s="831">
        <v>67031636</v>
      </c>
    </row>
    <row r="24289" spans="32:37">
      <c r="AF24289" s="831" t="s">
        <v>11412</v>
      </c>
      <c r="AG24289" s="831" t="s">
        <v>2674</v>
      </c>
      <c r="AH24289" s="831" t="s">
        <v>6600</v>
      </c>
      <c r="AI24289" s="831">
        <v>0</v>
      </c>
      <c r="AJ24289" s="835">
        <v>41729</v>
      </c>
      <c r="AK24289" s="831">
        <v>30009140.956000008</v>
      </c>
    </row>
    <row r="24290" spans="32:37">
      <c r="AF24290" s="831" t="s">
        <v>11413</v>
      </c>
      <c r="AG24290" s="831" t="s">
        <v>2674</v>
      </c>
      <c r="AH24290" s="831" t="s">
        <v>6602</v>
      </c>
      <c r="AI24290" s="831">
        <v>0</v>
      </c>
      <c r="AJ24290" s="835">
        <v>41729</v>
      </c>
      <c r="AK24290" s="831">
        <v>8878765</v>
      </c>
    </row>
    <row r="24291" spans="32:37">
      <c r="AF24291" s="831" t="s">
        <v>11414</v>
      </c>
      <c r="AG24291" s="831" t="s">
        <v>2674</v>
      </c>
      <c r="AH24291" s="831" t="s">
        <v>650</v>
      </c>
      <c r="AI24291" s="831">
        <v>0</v>
      </c>
      <c r="AJ24291" s="835">
        <v>41729</v>
      </c>
      <c r="AK24291" s="831">
        <v>227175044.1168462</v>
      </c>
    </row>
    <row r="24292" spans="32:37">
      <c r="AF24292" s="831" t="s">
        <v>11415</v>
      </c>
      <c r="AG24292" s="831" t="s">
        <v>2674</v>
      </c>
      <c r="AH24292" s="831" t="s">
        <v>655</v>
      </c>
      <c r="AI24292" s="831">
        <v>0</v>
      </c>
      <c r="AJ24292" s="835">
        <v>41729</v>
      </c>
      <c r="AK24292" s="831">
        <v>1723087.31</v>
      </c>
    </row>
    <row r="24293" spans="32:37">
      <c r="AF24293" s="831" t="s">
        <v>11416</v>
      </c>
      <c r="AG24293" s="831" t="s">
        <v>2674</v>
      </c>
      <c r="AH24293" s="831" t="s">
        <v>546</v>
      </c>
      <c r="AI24293" s="831">
        <v>0</v>
      </c>
      <c r="AJ24293" s="835">
        <v>41759</v>
      </c>
      <c r="AK24293" s="831">
        <v>695634421</v>
      </c>
    </row>
    <row r="24294" spans="32:37">
      <c r="AF24294" s="831" t="s">
        <v>11417</v>
      </c>
      <c r="AG24294" s="831" t="s">
        <v>2674</v>
      </c>
      <c r="AH24294" s="831" t="s">
        <v>370</v>
      </c>
      <c r="AI24294" s="831">
        <v>0</v>
      </c>
      <c r="AJ24294" s="835">
        <v>41759</v>
      </c>
      <c r="AK24294" s="831">
        <v>838269546</v>
      </c>
    </row>
    <row r="24295" spans="32:37">
      <c r="AF24295" s="831" t="s">
        <v>11418</v>
      </c>
      <c r="AG24295" s="831" t="s">
        <v>2674</v>
      </c>
      <c r="AH24295" s="831" t="s">
        <v>126</v>
      </c>
      <c r="AI24295" s="831">
        <v>0</v>
      </c>
      <c r="AJ24295" s="835">
        <v>41759</v>
      </c>
      <c r="AK24295" s="831">
        <v>127155751</v>
      </c>
    </row>
    <row r="24296" spans="32:37">
      <c r="AF24296" s="831" t="s">
        <v>11419</v>
      </c>
      <c r="AG24296" s="831" t="s">
        <v>2674</v>
      </c>
      <c r="AH24296" s="831" t="s">
        <v>268</v>
      </c>
      <c r="AI24296" s="831">
        <v>0</v>
      </c>
      <c r="AJ24296" s="835">
        <v>41759</v>
      </c>
      <c r="AK24296" s="831">
        <v>11900832</v>
      </c>
    </row>
    <row r="24297" spans="32:37">
      <c r="AF24297" s="831" t="s">
        <v>11420</v>
      </c>
      <c r="AG24297" s="831" t="s">
        <v>2674</v>
      </c>
      <c r="AH24297" s="831" t="s">
        <v>547</v>
      </c>
      <c r="AI24297" s="831">
        <v>0</v>
      </c>
      <c r="AJ24297" s="835">
        <v>41759</v>
      </c>
      <c r="AK24297" s="831">
        <v>777719977</v>
      </c>
    </row>
    <row r="24298" spans="32:37">
      <c r="AF24298" s="831" t="s">
        <v>11421</v>
      </c>
      <c r="AG24298" s="831" t="s">
        <v>2674</v>
      </c>
      <c r="AH24298" s="831" t="s">
        <v>548</v>
      </c>
      <c r="AI24298" s="831">
        <v>0</v>
      </c>
      <c r="AJ24298" s="835">
        <v>41759</v>
      </c>
      <c r="AK24298" s="831">
        <v>117105496</v>
      </c>
    </row>
    <row r="24299" spans="32:37">
      <c r="AF24299" s="831" t="s">
        <v>11422</v>
      </c>
      <c r="AG24299" s="831" t="s">
        <v>2674</v>
      </c>
      <c r="AH24299" s="831" t="s">
        <v>549</v>
      </c>
      <c r="AI24299" s="831">
        <v>0</v>
      </c>
      <c r="AJ24299" s="835">
        <v>41759</v>
      </c>
      <c r="AK24299" s="831">
        <v>479771222</v>
      </c>
    </row>
    <row r="24300" spans="32:37">
      <c r="AF24300" s="831" t="s">
        <v>11423</v>
      </c>
      <c r="AG24300" s="831" t="s">
        <v>2674</v>
      </c>
      <c r="AH24300" s="831" t="s">
        <v>192</v>
      </c>
      <c r="AI24300" s="831">
        <v>0</v>
      </c>
      <c r="AJ24300" s="835">
        <v>41759</v>
      </c>
      <c r="AK24300" s="831">
        <v>-13335656</v>
      </c>
    </row>
    <row r="24301" spans="32:37">
      <c r="AF24301" s="831" t="s">
        <v>11424</v>
      </c>
      <c r="AG24301" s="831" t="s">
        <v>2674</v>
      </c>
      <c r="AH24301" s="831" t="s">
        <v>558</v>
      </c>
      <c r="AI24301" s="831">
        <v>0</v>
      </c>
      <c r="AJ24301" s="835">
        <v>41759</v>
      </c>
      <c r="AK24301" s="831">
        <v>711113795</v>
      </c>
    </row>
    <row r="24302" spans="32:37">
      <c r="AF24302" s="831" t="s">
        <v>11425</v>
      </c>
      <c r="AG24302" s="831" t="s">
        <v>2674</v>
      </c>
      <c r="AH24302" s="831" t="s">
        <v>65</v>
      </c>
      <c r="AI24302" s="831">
        <v>0</v>
      </c>
      <c r="AJ24302" s="835">
        <v>41759</v>
      </c>
      <c r="AK24302" s="831">
        <v>52388499</v>
      </c>
    </row>
    <row r="24303" spans="32:37">
      <c r="AF24303" s="831" t="s">
        <v>11426</v>
      </c>
      <c r="AG24303" s="831" t="s">
        <v>2674</v>
      </c>
      <c r="AH24303" s="831" t="s">
        <v>89</v>
      </c>
      <c r="AI24303" s="831">
        <v>0</v>
      </c>
      <c r="AJ24303" s="835">
        <v>41759</v>
      </c>
      <c r="AK24303" s="831">
        <v>154230</v>
      </c>
    </row>
    <row r="24304" spans="32:37">
      <c r="AF24304" s="831" t="s">
        <v>11427</v>
      </c>
      <c r="AG24304" s="831" t="s">
        <v>2674</v>
      </c>
      <c r="AH24304" s="831" t="s">
        <v>557</v>
      </c>
      <c r="AI24304" s="831">
        <v>0</v>
      </c>
      <c r="AJ24304" s="835">
        <v>41759</v>
      </c>
      <c r="AK24304" s="831">
        <v>171119</v>
      </c>
    </row>
    <row r="24305" spans="32:37">
      <c r="AF24305" s="831" t="s">
        <v>11428</v>
      </c>
      <c r="AG24305" s="831" t="s">
        <v>2674</v>
      </c>
      <c r="AH24305" s="831" t="s">
        <v>29</v>
      </c>
      <c r="AI24305" s="831">
        <v>0</v>
      </c>
      <c r="AJ24305" s="835">
        <v>41759</v>
      </c>
      <c r="AK24305" s="831">
        <v>2260198</v>
      </c>
    </row>
    <row r="24306" spans="32:37">
      <c r="AF24306" s="831" t="s">
        <v>11429</v>
      </c>
      <c r="AG24306" s="831" t="s">
        <v>2674</v>
      </c>
      <c r="AH24306" s="831" t="s">
        <v>2688</v>
      </c>
      <c r="AI24306" s="831">
        <v>0</v>
      </c>
      <c r="AJ24306" s="835">
        <v>41759</v>
      </c>
      <c r="AK24306" s="831">
        <v>4802589</v>
      </c>
    </row>
    <row r="24307" spans="32:37">
      <c r="AF24307" s="831" t="s">
        <v>11430</v>
      </c>
      <c r="AG24307" s="831" t="s">
        <v>2674</v>
      </c>
      <c r="AH24307" s="831" t="s">
        <v>556</v>
      </c>
      <c r="AI24307" s="831">
        <v>0</v>
      </c>
      <c r="AJ24307" s="835">
        <v>41759</v>
      </c>
      <c r="AK24307" s="831">
        <v>1644732</v>
      </c>
    </row>
    <row r="24308" spans="32:37">
      <c r="AF24308" s="831" t="s">
        <v>11431</v>
      </c>
      <c r="AG24308" s="831" t="s">
        <v>2674</v>
      </c>
      <c r="AH24308" s="831" t="s">
        <v>555</v>
      </c>
      <c r="AI24308" s="831">
        <v>0</v>
      </c>
      <c r="AJ24308" s="835">
        <v>41759</v>
      </c>
      <c r="AK24308" s="831">
        <v>465033436</v>
      </c>
    </row>
    <row r="24309" spans="32:37">
      <c r="AF24309" s="831" t="s">
        <v>11432</v>
      </c>
      <c r="AG24309" s="831" t="s">
        <v>2674</v>
      </c>
      <c r="AH24309" s="831" t="s">
        <v>554</v>
      </c>
      <c r="AI24309" s="831">
        <v>0</v>
      </c>
      <c r="AJ24309" s="835">
        <v>41759</v>
      </c>
      <c r="AK24309" s="831">
        <v>471272450</v>
      </c>
    </row>
    <row r="24310" spans="32:37">
      <c r="AF24310" s="831" t="s">
        <v>11433</v>
      </c>
      <c r="AG24310" s="831" t="s">
        <v>2674</v>
      </c>
      <c r="AH24310" s="831" t="s">
        <v>553</v>
      </c>
      <c r="AI24310" s="831">
        <v>0</v>
      </c>
      <c r="AJ24310" s="835">
        <v>41759</v>
      </c>
      <c r="AK24310" s="831">
        <v>0</v>
      </c>
    </row>
    <row r="24311" spans="32:37">
      <c r="AF24311" s="831" t="s">
        <v>11434</v>
      </c>
      <c r="AG24311" s="831" t="s">
        <v>2674</v>
      </c>
      <c r="AH24311" s="831" t="s">
        <v>552</v>
      </c>
      <c r="AI24311" s="831">
        <v>0</v>
      </c>
      <c r="AJ24311" s="835">
        <v>41759</v>
      </c>
      <c r="AK24311" s="831">
        <v>0</v>
      </c>
    </row>
    <row r="24312" spans="32:37">
      <c r="AF24312" s="831" t="s">
        <v>11435</v>
      </c>
      <c r="AG24312" s="831" t="s">
        <v>2674</v>
      </c>
      <c r="AH24312" s="831" t="s">
        <v>551</v>
      </c>
      <c r="AI24312" s="831">
        <v>0</v>
      </c>
      <c r="AJ24312" s="835">
        <v>41759</v>
      </c>
      <c r="AK24312" s="831">
        <v>2028560</v>
      </c>
    </row>
    <row r="24313" spans="32:37">
      <c r="AF24313" s="831" t="s">
        <v>11436</v>
      </c>
      <c r="AG24313" s="831" t="s">
        <v>2674</v>
      </c>
      <c r="AH24313" s="831" t="s">
        <v>550</v>
      </c>
      <c r="AI24313" s="831">
        <v>0</v>
      </c>
      <c r="AJ24313" s="835">
        <v>41759</v>
      </c>
      <c r="AK24313" s="831">
        <v>124206790</v>
      </c>
    </row>
    <row r="24314" spans="32:37">
      <c r="AF24314" s="831" t="s">
        <v>11437</v>
      </c>
      <c r="AG24314" s="831" t="s">
        <v>2674</v>
      </c>
      <c r="AH24314" s="831" t="s">
        <v>562</v>
      </c>
      <c r="AI24314" s="831">
        <v>0</v>
      </c>
      <c r="AJ24314" s="835">
        <v>41759</v>
      </c>
      <c r="AK24314" s="831">
        <v>0.78374999999999995</v>
      </c>
    </row>
    <row r="24315" spans="32:37">
      <c r="AF24315" s="831" t="s">
        <v>11438</v>
      </c>
      <c r="AG24315" s="831" t="s">
        <v>2674</v>
      </c>
      <c r="AH24315" s="831" t="s">
        <v>2698</v>
      </c>
      <c r="AI24315" s="831">
        <v>0</v>
      </c>
      <c r="AJ24315" s="835">
        <v>41759</v>
      </c>
      <c r="AK24315" s="831">
        <v>0.78374999999999995</v>
      </c>
    </row>
    <row r="24316" spans="32:37">
      <c r="AF24316" s="831" t="s">
        <v>11439</v>
      </c>
      <c r="AG24316" s="831" t="s">
        <v>2674</v>
      </c>
      <c r="AH24316" s="831" t="s">
        <v>560</v>
      </c>
      <c r="AI24316" s="831">
        <v>0</v>
      </c>
      <c r="AJ24316" s="835">
        <v>41759</v>
      </c>
      <c r="AK24316" s="831">
        <v>0.78374999999999995</v>
      </c>
    </row>
    <row r="24317" spans="32:37">
      <c r="AF24317" s="831" t="s">
        <v>11440</v>
      </c>
      <c r="AG24317" s="831" t="s">
        <v>2674</v>
      </c>
      <c r="AH24317" s="831" t="s">
        <v>559</v>
      </c>
      <c r="AI24317" s="831">
        <v>0</v>
      </c>
      <c r="AJ24317" s="835">
        <v>41759</v>
      </c>
      <c r="AK24317" s="831">
        <v>0.78380833333333344</v>
      </c>
    </row>
    <row r="24318" spans="32:37">
      <c r="AF24318" s="831" t="s">
        <v>11441</v>
      </c>
      <c r="AG24318" s="831" t="s">
        <v>2674</v>
      </c>
      <c r="AH24318" s="831" t="s">
        <v>568</v>
      </c>
      <c r="AI24318" s="831">
        <v>0</v>
      </c>
      <c r="AJ24318" s="835">
        <v>41759</v>
      </c>
      <c r="AK24318" s="831">
        <v>584407506.61153841</v>
      </c>
    </row>
    <row r="24319" spans="32:37">
      <c r="AF24319" s="831" t="s">
        <v>11442</v>
      </c>
      <c r="AG24319" s="831" t="s">
        <v>2674</v>
      </c>
      <c r="AH24319" s="831" t="s">
        <v>569</v>
      </c>
      <c r="AI24319" s="831">
        <v>0</v>
      </c>
      <c r="AJ24319" s="835">
        <v>41759</v>
      </c>
      <c r="AK24319" s="831">
        <v>716419184.74253845</v>
      </c>
    </row>
    <row r="24320" spans="32:37">
      <c r="AF24320" s="831" t="s">
        <v>11443</v>
      </c>
      <c r="AG24320" s="831" t="s">
        <v>2674</v>
      </c>
      <c r="AH24320" s="831" t="s">
        <v>570</v>
      </c>
      <c r="AI24320" s="831">
        <v>0</v>
      </c>
      <c r="AJ24320" s="835">
        <v>41759</v>
      </c>
      <c r="AK24320" s="831">
        <v>115811919.75123075</v>
      </c>
    </row>
    <row r="24321" spans="32:37">
      <c r="AF24321" s="831" t="s">
        <v>11444</v>
      </c>
      <c r="AG24321" s="831" t="s">
        <v>2674</v>
      </c>
      <c r="AH24321" s="831" t="s">
        <v>571</v>
      </c>
      <c r="AI24321" s="831">
        <v>0</v>
      </c>
      <c r="AJ24321" s="835">
        <v>41759</v>
      </c>
      <c r="AK24321" s="831">
        <v>346424029.66715389</v>
      </c>
    </row>
    <row r="24322" spans="32:37">
      <c r="AF24322" s="831" t="s">
        <v>11445</v>
      </c>
      <c r="AG24322" s="831" t="s">
        <v>2674</v>
      </c>
      <c r="AH24322" s="831" t="s">
        <v>573</v>
      </c>
      <c r="AI24322" s="831">
        <v>0</v>
      </c>
      <c r="AJ24322" s="835">
        <v>41759</v>
      </c>
      <c r="AK24322" s="831">
        <v>806845862.3125999</v>
      </c>
    </row>
    <row r="24323" spans="32:37">
      <c r="AF24323" s="831" t="s">
        <v>11446</v>
      </c>
      <c r="AG24323" s="831" t="s">
        <v>2674</v>
      </c>
      <c r="AH24323" s="831" t="s">
        <v>574</v>
      </c>
      <c r="AI24323" s="831">
        <v>0</v>
      </c>
      <c r="AJ24323" s="835">
        <v>41759</v>
      </c>
      <c r="AK24323" s="831">
        <v>655215203.79999995</v>
      </c>
    </row>
    <row r="24324" spans="32:37">
      <c r="AF24324" s="831" t="s">
        <v>11447</v>
      </c>
      <c r="AG24324" s="831" t="s">
        <v>2674</v>
      </c>
      <c r="AH24324" s="831" t="s">
        <v>575</v>
      </c>
      <c r="AI24324" s="831">
        <v>0</v>
      </c>
      <c r="AJ24324" s="835">
        <v>41759</v>
      </c>
      <c r="AK24324" s="831">
        <v>120634686.182</v>
      </c>
    </row>
    <row r="24325" spans="32:37">
      <c r="AF24325" s="831" t="s">
        <v>11448</v>
      </c>
      <c r="AG24325" s="831" t="s">
        <v>2674</v>
      </c>
      <c r="AH24325" s="831" t="s">
        <v>576</v>
      </c>
      <c r="AI24325" s="831">
        <v>0</v>
      </c>
      <c r="AJ24325" s="835">
        <v>41759</v>
      </c>
      <c r="AK24325" s="831">
        <v>395052602.12220001</v>
      </c>
    </row>
    <row r="24326" spans="32:37">
      <c r="AF24326" s="831" t="s">
        <v>11449</v>
      </c>
      <c r="AG24326" s="831" t="s">
        <v>2674</v>
      </c>
      <c r="AH24326" s="831" t="s">
        <v>572</v>
      </c>
      <c r="AI24326" s="831">
        <v>0</v>
      </c>
      <c r="AJ24326" s="835">
        <v>41759</v>
      </c>
      <c r="AK24326" s="831">
        <v>30512730.956000008</v>
      </c>
    </row>
    <row r="24327" spans="32:37">
      <c r="AF24327" s="831" t="s">
        <v>11450</v>
      </c>
      <c r="AG24327" s="831" t="s">
        <v>2674</v>
      </c>
      <c r="AH24327" s="831" t="s">
        <v>577</v>
      </c>
      <c r="AI24327" s="831">
        <v>0</v>
      </c>
      <c r="AJ24327" s="835">
        <v>41759</v>
      </c>
      <c r="AK24327" s="831">
        <v>146415910.76300001</v>
      </c>
    </row>
    <row r="24328" spans="32:37">
      <c r="AF24328" s="831" t="s">
        <v>11451</v>
      </c>
      <c r="AG24328" s="831" t="s">
        <v>2674</v>
      </c>
      <c r="AH24328" s="831" t="s">
        <v>3042</v>
      </c>
      <c r="AI24328" s="831">
        <v>0</v>
      </c>
      <c r="AJ24328" s="835">
        <v>41759</v>
      </c>
      <c r="AK24328" s="831">
        <v>-40083828.527000003</v>
      </c>
    </row>
    <row r="24329" spans="32:37">
      <c r="AF24329" s="831" t="s">
        <v>11452</v>
      </c>
      <c r="AG24329" s="831" t="s">
        <v>2674</v>
      </c>
      <c r="AH24329" s="831" t="s">
        <v>3044</v>
      </c>
      <c r="AI24329" s="831">
        <v>0</v>
      </c>
      <c r="AJ24329" s="835">
        <v>41759</v>
      </c>
      <c r="AK24329" s="831">
        <v>-3325177.8899999997</v>
      </c>
    </row>
    <row r="24330" spans="32:37">
      <c r="AF24330" s="831" t="s">
        <v>11453</v>
      </c>
      <c r="AG24330" s="831" t="s">
        <v>2674</v>
      </c>
      <c r="AH24330" s="831" t="s">
        <v>580</v>
      </c>
      <c r="AI24330" s="831">
        <v>0</v>
      </c>
      <c r="AJ24330" s="835">
        <v>41759</v>
      </c>
      <c r="AK24330" s="831">
        <v>-68772047.306999996</v>
      </c>
    </row>
    <row r="24331" spans="32:37">
      <c r="AF24331" s="831" t="s">
        <v>11454</v>
      </c>
      <c r="AG24331" s="831" t="s">
        <v>2674</v>
      </c>
      <c r="AH24331" s="831" t="s">
        <v>581</v>
      </c>
      <c r="AI24331" s="831">
        <v>0</v>
      </c>
      <c r="AJ24331" s="835">
        <v>41759</v>
      </c>
      <c r="AK24331" s="831">
        <v>5605173.8940000003</v>
      </c>
    </row>
    <row r="24332" spans="32:37">
      <c r="AF24332" s="831" t="s">
        <v>11455</v>
      </c>
      <c r="AG24332" s="831" t="s">
        <v>2674</v>
      </c>
      <c r="AH24332" s="831" t="s">
        <v>105</v>
      </c>
      <c r="AI24332" s="831">
        <v>0</v>
      </c>
      <c r="AJ24332" s="835">
        <v>41759</v>
      </c>
      <c r="AK24332" s="831">
        <v>408959601</v>
      </c>
    </row>
    <row r="24333" spans="32:37">
      <c r="AF24333" s="831" t="s">
        <v>11456</v>
      </c>
      <c r="AG24333" s="831" t="s">
        <v>2674</v>
      </c>
      <c r="AH24333" s="831" t="s">
        <v>3049</v>
      </c>
      <c r="AI24333" s="831">
        <v>0</v>
      </c>
      <c r="AJ24333" s="835">
        <v>41759</v>
      </c>
      <c r="AK24333" s="831">
        <v>692167557</v>
      </c>
    </row>
    <row r="24334" spans="32:37">
      <c r="AF24334" s="831" t="s">
        <v>11457</v>
      </c>
      <c r="AG24334" s="831" t="s">
        <v>2674</v>
      </c>
      <c r="AH24334" s="831" t="s">
        <v>103</v>
      </c>
      <c r="AI24334" s="831">
        <v>0</v>
      </c>
      <c r="AJ24334" s="835">
        <v>41759</v>
      </c>
      <c r="AK24334" s="831">
        <v>283207956</v>
      </c>
    </row>
    <row r="24335" spans="32:37">
      <c r="AF24335" s="831" t="s">
        <v>11458</v>
      </c>
      <c r="AG24335" s="831" t="s">
        <v>2674</v>
      </c>
      <c r="AH24335" s="831" t="s">
        <v>182</v>
      </c>
      <c r="AI24335" s="831">
        <v>0</v>
      </c>
      <c r="AJ24335" s="835">
        <v>41759</v>
      </c>
      <c r="AK24335" s="831">
        <v>69513741</v>
      </c>
    </row>
    <row r="24336" spans="32:37">
      <c r="AF24336" s="831" t="s">
        <v>11459</v>
      </c>
      <c r="AG24336" s="831" t="s">
        <v>2674</v>
      </c>
      <c r="AH24336" s="831" t="s">
        <v>6600</v>
      </c>
      <c r="AI24336" s="831">
        <v>0</v>
      </c>
      <c r="AJ24336" s="835">
        <v>41759</v>
      </c>
      <c r="AK24336" s="831">
        <v>30512730.956000008</v>
      </c>
    </row>
    <row r="24337" spans="32:37">
      <c r="AF24337" s="831" t="s">
        <v>11460</v>
      </c>
      <c r="AG24337" s="831" t="s">
        <v>2674</v>
      </c>
      <c r="AH24337" s="831" t="s">
        <v>6602</v>
      </c>
      <c r="AI24337" s="831">
        <v>0</v>
      </c>
      <c r="AJ24337" s="835">
        <v>41759</v>
      </c>
      <c r="AK24337" s="831">
        <v>11900832</v>
      </c>
    </row>
    <row r="24338" spans="32:37">
      <c r="AF24338" s="831" t="s">
        <v>11461</v>
      </c>
      <c r="AG24338" s="831" t="s">
        <v>2674</v>
      </c>
      <c r="AH24338" s="831" t="s">
        <v>650</v>
      </c>
      <c r="AI24338" s="831">
        <v>0</v>
      </c>
      <c r="AJ24338" s="835">
        <v>41759</v>
      </c>
      <c r="AK24338" s="831">
        <v>234971386.50146157</v>
      </c>
    </row>
    <row r="24339" spans="32:37">
      <c r="AF24339" s="831" t="s">
        <v>11462</v>
      </c>
      <c r="AG24339" s="831" t="s">
        <v>2674</v>
      </c>
      <c r="AH24339" s="831" t="s">
        <v>655</v>
      </c>
      <c r="AI24339" s="831">
        <v>0</v>
      </c>
      <c r="AJ24339" s="835">
        <v>41759</v>
      </c>
      <c r="AK24339" s="831">
        <v>1842214</v>
      </c>
    </row>
    <row r="24340" spans="32:37">
      <c r="AF24340" s="831" t="s">
        <v>11463</v>
      </c>
      <c r="AG24340" s="831" t="s">
        <v>2674</v>
      </c>
      <c r="AH24340" s="831" t="s">
        <v>546</v>
      </c>
      <c r="AI24340" s="831">
        <v>0</v>
      </c>
      <c r="AJ24340" s="835">
        <v>41790</v>
      </c>
      <c r="AK24340" s="831">
        <v>718268239</v>
      </c>
    </row>
    <row r="24341" spans="32:37">
      <c r="AF24341" s="831" t="s">
        <v>11464</v>
      </c>
      <c r="AG24341" s="831" t="s">
        <v>2674</v>
      </c>
      <c r="AH24341" s="831" t="s">
        <v>370</v>
      </c>
      <c r="AI24341" s="831">
        <v>0</v>
      </c>
      <c r="AJ24341" s="835">
        <v>41790</v>
      </c>
      <c r="AK24341" s="831">
        <v>862492850</v>
      </c>
    </row>
    <row r="24342" spans="32:37">
      <c r="AF24342" s="831" t="s">
        <v>11465</v>
      </c>
      <c r="AG24342" s="831" t="s">
        <v>2674</v>
      </c>
      <c r="AH24342" s="831" t="s">
        <v>126</v>
      </c>
      <c r="AI24342" s="831">
        <v>0</v>
      </c>
      <c r="AJ24342" s="835">
        <v>41790</v>
      </c>
      <c r="AK24342" s="831">
        <v>131163748</v>
      </c>
    </row>
    <row r="24343" spans="32:37">
      <c r="AF24343" s="831" t="s">
        <v>11466</v>
      </c>
      <c r="AG24343" s="831" t="s">
        <v>2674</v>
      </c>
      <c r="AH24343" s="831" t="s">
        <v>268</v>
      </c>
      <c r="AI24343" s="831">
        <v>0</v>
      </c>
      <c r="AJ24343" s="835">
        <v>41790</v>
      </c>
      <c r="AK24343" s="831">
        <v>15708716</v>
      </c>
    </row>
    <row r="24344" spans="32:37">
      <c r="AF24344" s="831" t="s">
        <v>11467</v>
      </c>
      <c r="AG24344" s="831" t="s">
        <v>2674</v>
      </c>
      <c r="AH24344" s="831" t="s">
        <v>547</v>
      </c>
      <c r="AI24344" s="831">
        <v>0</v>
      </c>
      <c r="AJ24344" s="835">
        <v>41790</v>
      </c>
      <c r="AK24344" s="831">
        <v>777719977</v>
      </c>
    </row>
    <row r="24345" spans="32:37">
      <c r="AF24345" s="831" t="s">
        <v>11468</v>
      </c>
      <c r="AG24345" s="831" t="s">
        <v>2674</v>
      </c>
      <c r="AH24345" s="831" t="s">
        <v>548</v>
      </c>
      <c r="AI24345" s="831">
        <v>0</v>
      </c>
      <c r="AJ24345" s="835">
        <v>41790</v>
      </c>
      <c r="AK24345" s="831">
        <v>117105496</v>
      </c>
    </row>
    <row r="24346" spans="32:37">
      <c r="AF24346" s="831" t="s">
        <v>11469</v>
      </c>
      <c r="AG24346" s="831" t="s">
        <v>2674</v>
      </c>
      <c r="AH24346" s="831" t="s">
        <v>549</v>
      </c>
      <c r="AI24346" s="831">
        <v>0</v>
      </c>
      <c r="AJ24346" s="835">
        <v>41790</v>
      </c>
      <c r="AK24346" s="831">
        <v>505264542</v>
      </c>
    </row>
    <row r="24347" spans="32:37">
      <c r="AF24347" s="831" t="s">
        <v>11470</v>
      </c>
      <c r="AG24347" s="831" t="s">
        <v>2674</v>
      </c>
      <c r="AH24347" s="831" t="s">
        <v>192</v>
      </c>
      <c r="AI24347" s="831">
        <v>0</v>
      </c>
      <c r="AJ24347" s="835">
        <v>41790</v>
      </c>
      <c r="AK24347" s="831">
        <v>-13258185</v>
      </c>
    </row>
    <row r="24348" spans="32:37">
      <c r="AF24348" s="831" t="s">
        <v>11471</v>
      </c>
      <c r="AG24348" s="831" t="s">
        <v>2674</v>
      </c>
      <c r="AH24348" s="831" t="s">
        <v>558</v>
      </c>
      <c r="AI24348" s="831">
        <v>0</v>
      </c>
      <c r="AJ24348" s="835">
        <v>41790</v>
      </c>
      <c r="AK24348" s="831">
        <v>731329102</v>
      </c>
    </row>
    <row r="24349" spans="32:37">
      <c r="AF24349" s="831" t="s">
        <v>11472</v>
      </c>
      <c r="AG24349" s="831" t="s">
        <v>2674</v>
      </c>
      <c r="AH24349" s="831" t="s">
        <v>65</v>
      </c>
      <c r="AI24349" s="831">
        <v>0</v>
      </c>
      <c r="AJ24349" s="835">
        <v>41790</v>
      </c>
      <c r="AK24349" s="831">
        <v>66573989</v>
      </c>
    </row>
    <row r="24350" spans="32:37">
      <c r="AF24350" s="831" t="s">
        <v>11473</v>
      </c>
      <c r="AG24350" s="831" t="s">
        <v>2674</v>
      </c>
      <c r="AH24350" s="831" t="s">
        <v>89</v>
      </c>
      <c r="AI24350" s="831">
        <v>0</v>
      </c>
      <c r="AJ24350" s="835">
        <v>41790</v>
      </c>
      <c r="AK24350" s="831">
        <v>156336</v>
      </c>
    </row>
    <row r="24351" spans="32:37">
      <c r="AF24351" s="831" t="s">
        <v>11474</v>
      </c>
      <c r="AG24351" s="831" t="s">
        <v>2674</v>
      </c>
      <c r="AH24351" s="831" t="s">
        <v>557</v>
      </c>
      <c r="AI24351" s="831">
        <v>0</v>
      </c>
      <c r="AJ24351" s="835">
        <v>41790</v>
      </c>
      <c r="AK24351" s="831">
        <v>174602</v>
      </c>
    </row>
    <row r="24352" spans="32:37">
      <c r="AF24352" s="831" t="s">
        <v>11475</v>
      </c>
      <c r="AG24352" s="831" t="s">
        <v>2674</v>
      </c>
      <c r="AH24352" s="831" t="s">
        <v>29</v>
      </c>
      <c r="AI24352" s="831">
        <v>0</v>
      </c>
      <c r="AJ24352" s="835">
        <v>41790</v>
      </c>
      <c r="AK24352" s="831">
        <v>2450103.0319999997</v>
      </c>
    </row>
    <row r="24353" spans="32:37">
      <c r="AF24353" s="831" t="s">
        <v>11476</v>
      </c>
      <c r="AG24353" s="831" t="s">
        <v>2674</v>
      </c>
      <c r="AH24353" s="831" t="s">
        <v>2688</v>
      </c>
      <c r="AI24353" s="831">
        <v>0</v>
      </c>
      <c r="AJ24353" s="835">
        <v>41790</v>
      </c>
      <c r="AK24353" s="831">
        <v>4770534.2300000004</v>
      </c>
    </row>
    <row r="24354" spans="32:37">
      <c r="AF24354" s="831" t="s">
        <v>11477</v>
      </c>
      <c r="AG24354" s="831" t="s">
        <v>2674</v>
      </c>
      <c r="AH24354" s="831" t="s">
        <v>556</v>
      </c>
      <c r="AI24354" s="831">
        <v>0</v>
      </c>
      <c r="AJ24354" s="835">
        <v>41790</v>
      </c>
      <c r="AK24354" s="831">
        <v>1644732</v>
      </c>
    </row>
    <row r="24355" spans="32:37">
      <c r="AF24355" s="831" t="s">
        <v>11478</v>
      </c>
      <c r="AG24355" s="831" t="s">
        <v>2674</v>
      </c>
      <c r="AH24355" s="831" t="s">
        <v>555</v>
      </c>
      <c r="AI24355" s="831">
        <v>0</v>
      </c>
      <c r="AJ24355" s="835">
        <v>41790</v>
      </c>
      <c r="AK24355" s="831">
        <v>468159807</v>
      </c>
    </row>
    <row r="24356" spans="32:37">
      <c r="AF24356" s="831" t="s">
        <v>11479</v>
      </c>
      <c r="AG24356" s="831" t="s">
        <v>2674</v>
      </c>
      <c r="AH24356" s="831" t="s">
        <v>554</v>
      </c>
      <c r="AI24356" s="831">
        <v>0</v>
      </c>
      <c r="AJ24356" s="835">
        <v>41790</v>
      </c>
      <c r="AK24356" s="831">
        <v>476165900</v>
      </c>
    </row>
    <row r="24357" spans="32:37">
      <c r="AF24357" s="831" t="s">
        <v>11480</v>
      </c>
      <c r="AG24357" s="831" t="s">
        <v>2674</v>
      </c>
      <c r="AH24357" s="831" t="s">
        <v>553</v>
      </c>
      <c r="AI24357" s="831">
        <v>0</v>
      </c>
      <c r="AJ24357" s="835">
        <v>41790</v>
      </c>
      <c r="AK24357" s="831">
        <v>0</v>
      </c>
    </row>
    <row r="24358" spans="32:37">
      <c r="AF24358" s="831" t="s">
        <v>11481</v>
      </c>
      <c r="AG24358" s="831" t="s">
        <v>2674</v>
      </c>
      <c r="AH24358" s="831" t="s">
        <v>552</v>
      </c>
      <c r="AI24358" s="831">
        <v>0</v>
      </c>
      <c r="AJ24358" s="835">
        <v>41790</v>
      </c>
      <c r="AK24358" s="831">
        <v>0</v>
      </c>
    </row>
    <row r="24359" spans="32:37">
      <c r="AF24359" s="831" t="s">
        <v>11482</v>
      </c>
      <c r="AG24359" s="831" t="s">
        <v>2674</v>
      </c>
      <c r="AH24359" s="831" t="s">
        <v>551</v>
      </c>
      <c r="AI24359" s="831">
        <v>0</v>
      </c>
      <c r="AJ24359" s="835">
        <v>41790</v>
      </c>
      <c r="AK24359" s="831">
        <v>2150143.8450000002</v>
      </c>
    </row>
    <row r="24360" spans="32:37">
      <c r="AF24360" s="831" t="s">
        <v>11483</v>
      </c>
      <c r="AG24360" s="831" t="s">
        <v>2674</v>
      </c>
      <c r="AH24360" s="831" t="s">
        <v>550</v>
      </c>
      <c r="AI24360" s="831">
        <v>0</v>
      </c>
      <c r="AJ24360" s="835">
        <v>41790</v>
      </c>
      <c r="AK24360" s="831">
        <v>127155751</v>
      </c>
    </row>
    <row r="24361" spans="32:37">
      <c r="AF24361" s="831" t="s">
        <v>11484</v>
      </c>
      <c r="AG24361" s="831" t="s">
        <v>2674</v>
      </c>
      <c r="AH24361" s="831" t="s">
        <v>562</v>
      </c>
      <c r="AI24361" s="831">
        <v>0</v>
      </c>
      <c r="AJ24361" s="835">
        <v>41790</v>
      </c>
      <c r="AK24361" s="831">
        <v>0.78385000000000005</v>
      </c>
    </row>
    <row r="24362" spans="32:37">
      <c r="AF24362" s="831" t="s">
        <v>11485</v>
      </c>
      <c r="AG24362" s="831" t="s">
        <v>2674</v>
      </c>
      <c r="AH24362" s="831" t="s">
        <v>2698</v>
      </c>
      <c r="AI24362" s="831">
        <v>0</v>
      </c>
      <c r="AJ24362" s="835">
        <v>41790</v>
      </c>
      <c r="AK24362" s="831">
        <v>0.78374999999999995</v>
      </c>
    </row>
    <row r="24363" spans="32:37">
      <c r="AF24363" s="831" t="s">
        <v>11486</v>
      </c>
      <c r="AG24363" s="831" t="s">
        <v>2674</v>
      </c>
      <c r="AH24363" s="831" t="s">
        <v>560</v>
      </c>
      <c r="AI24363" s="831">
        <v>0</v>
      </c>
      <c r="AJ24363" s="835">
        <v>41790</v>
      </c>
      <c r="AK24363" s="831">
        <v>0.78376999999999997</v>
      </c>
    </row>
    <row r="24364" spans="32:37">
      <c r="AF24364" s="831" t="s">
        <v>11487</v>
      </c>
      <c r="AG24364" s="831" t="s">
        <v>2674</v>
      </c>
      <c r="AH24364" s="831" t="s">
        <v>559</v>
      </c>
      <c r="AI24364" s="831">
        <v>0</v>
      </c>
      <c r="AJ24364" s="835">
        <v>41790</v>
      </c>
      <c r="AK24364" s="831">
        <v>0.78379166666666666</v>
      </c>
    </row>
    <row r="24365" spans="32:37">
      <c r="AF24365" s="831" t="s">
        <v>11488</v>
      </c>
      <c r="AG24365" s="831" t="s">
        <v>2674</v>
      </c>
      <c r="AH24365" s="831" t="s">
        <v>568</v>
      </c>
      <c r="AI24365" s="831">
        <v>0</v>
      </c>
      <c r="AJ24365" s="835">
        <v>41790</v>
      </c>
      <c r="AK24365" s="831">
        <v>602753430.99615383</v>
      </c>
    </row>
    <row r="24366" spans="32:37">
      <c r="AF24366" s="831" t="s">
        <v>11489</v>
      </c>
      <c r="AG24366" s="831" t="s">
        <v>2674</v>
      </c>
      <c r="AH24366" s="831" t="s">
        <v>569</v>
      </c>
      <c r="AI24366" s="831">
        <v>0</v>
      </c>
      <c r="AJ24366" s="835">
        <v>41790</v>
      </c>
      <c r="AK24366" s="831">
        <v>739200989.8963846</v>
      </c>
    </row>
    <row r="24367" spans="32:37">
      <c r="AF24367" s="831" t="s">
        <v>11490</v>
      </c>
      <c r="AG24367" s="831" t="s">
        <v>2674</v>
      </c>
      <c r="AH24367" s="831" t="s">
        <v>570</v>
      </c>
      <c r="AI24367" s="831">
        <v>0</v>
      </c>
      <c r="AJ24367" s="835">
        <v>41790</v>
      </c>
      <c r="AK24367" s="831">
        <v>117953141.44353844</v>
      </c>
    </row>
    <row r="24368" spans="32:37">
      <c r="AF24368" s="831" t="s">
        <v>11491</v>
      </c>
      <c r="AG24368" s="831" t="s">
        <v>2674</v>
      </c>
      <c r="AH24368" s="831" t="s">
        <v>571</v>
      </c>
      <c r="AI24368" s="831">
        <v>0</v>
      </c>
      <c r="AJ24368" s="835">
        <v>41790</v>
      </c>
      <c r="AK24368" s="831">
        <v>358988619.82100004</v>
      </c>
    </row>
    <row r="24369" spans="32:37">
      <c r="AF24369" s="831" t="s">
        <v>11492</v>
      </c>
      <c r="AG24369" s="831" t="s">
        <v>2674</v>
      </c>
      <c r="AH24369" s="831" t="s">
        <v>573</v>
      </c>
      <c r="AI24369" s="831">
        <v>0</v>
      </c>
      <c r="AJ24369" s="835">
        <v>41790</v>
      </c>
      <c r="AK24369" s="831">
        <v>816120360.26049995</v>
      </c>
    </row>
    <row r="24370" spans="32:37">
      <c r="AF24370" s="831" t="s">
        <v>11493</v>
      </c>
      <c r="AG24370" s="831" t="s">
        <v>2674</v>
      </c>
      <c r="AH24370" s="831" t="s">
        <v>574</v>
      </c>
      <c r="AI24370" s="831">
        <v>0</v>
      </c>
      <c r="AJ24370" s="835">
        <v>41790</v>
      </c>
      <c r="AK24370" s="831">
        <v>665724043</v>
      </c>
    </row>
    <row r="24371" spans="32:37">
      <c r="AF24371" s="831" t="s">
        <v>11494</v>
      </c>
      <c r="AG24371" s="831" t="s">
        <v>2674</v>
      </c>
      <c r="AH24371" s="831" t="s">
        <v>575</v>
      </c>
      <c r="AI24371" s="831">
        <v>0</v>
      </c>
      <c r="AJ24371" s="835">
        <v>41790</v>
      </c>
      <c r="AK24371" s="831">
        <v>122389529.81833333</v>
      </c>
    </row>
    <row r="24372" spans="32:37">
      <c r="AF24372" s="831" t="s">
        <v>11495</v>
      </c>
      <c r="AG24372" s="831" t="s">
        <v>2674</v>
      </c>
      <c r="AH24372" s="831" t="s">
        <v>576</v>
      </c>
      <c r="AI24372" s="831">
        <v>0</v>
      </c>
      <c r="AJ24372" s="835">
        <v>41790</v>
      </c>
      <c r="AK24372" s="831">
        <v>399225453.60183334</v>
      </c>
    </row>
    <row r="24373" spans="32:37">
      <c r="AF24373" s="831" t="s">
        <v>11496</v>
      </c>
      <c r="AG24373" s="831" t="s">
        <v>2674</v>
      </c>
      <c r="AH24373" s="831" t="s">
        <v>572</v>
      </c>
      <c r="AI24373" s="831">
        <v>0</v>
      </c>
      <c r="AJ24373" s="835">
        <v>41790</v>
      </c>
      <c r="AK24373" s="831">
        <v>31997124.956000008</v>
      </c>
    </row>
    <row r="24374" spans="32:37">
      <c r="AF24374" s="831" t="s">
        <v>11497</v>
      </c>
      <c r="AG24374" s="831" t="s">
        <v>2674</v>
      </c>
      <c r="AH24374" s="831" t="s">
        <v>577</v>
      </c>
      <c r="AI24374" s="831">
        <v>0</v>
      </c>
      <c r="AJ24374" s="835">
        <v>41790</v>
      </c>
      <c r="AK24374" s="831">
        <v>149793646.76300001</v>
      </c>
    </row>
    <row r="24375" spans="32:37">
      <c r="AF24375" s="831" t="s">
        <v>11498</v>
      </c>
      <c r="AG24375" s="831" t="s">
        <v>2674</v>
      </c>
      <c r="AH24375" s="831" t="s">
        <v>3042</v>
      </c>
      <c r="AI24375" s="831">
        <v>0</v>
      </c>
      <c r="AJ24375" s="835">
        <v>41790</v>
      </c>
      <c r="AK24375" s="831">
        <v>-41488938.527000003</v>
      </c>
    </row>
    <row r="24376" spans="32:37">
      <c r="AF24376" s="831" t="s">
        <v>11499</v>
      </c>
      <c r="AG24376" s="831" t="s">
        <v>2674</v>
      </c>
      <c r="AH24376" s="831" t="s">
        <v>3044</v>
      </c>
      <c r="AI24376" s="831">
        <v>0</v>
      </c>
      <c r="AJ24376" s="835">
        <v>41790</v>
      </c>
      <c r="AK24376" s="831">
        <v>-2734199.8899999997</v>
      </c>
    </row>
    <row r="24377" spans="32:37">
      <c r="AF24377" s="831" t="s">
        <v>11500</v>
      </c>
      <c r="AG24377" s="831" t="s">
        <v>2674</v>
      </c>
      <c r="AH24377" s="831" t="s">
        <v>580</v>
      </c>
      <c r="AI24377" s="831">
        <v>0</v>
      </c>
      <c r="AJ24377" s="835">
        <v>41790</v>
      </c>
      <c r="AK24377" s="831">
        <v>-69707657.306999996</v>
      </c>
    </row>
    <row r="24378" spans="32:37">
      <c r="AF24378" s="831" t="s">
        <v>11501</v>
      </c>
      <c r="AG24378" s="831" t="s">
        <v>2674</v>
      </c>
      <c r="AH24378" s="831" t="s">
        <v>581</v>
      </c>
      <c r="AI24378" s="831">
        <v>0</v>
      </c>
      <c r="AJ24378" s="835">
        <v>41790</v>
      </c>
      <c r="AK24378" s="831">
        <v>5958727.8940000003</v>
      </c>
    </row>
    <row r="24379" spans="32:37">
      <c r="AF24379" s="831" t="s">
        <v>11502</v>
      </c>
      <c r="AG24379" s="831" t="s">
        <v>2674</v>
      </c>
      <c r="AH24379" s="831" t="s">
        <v>105</v>
      </c>
      <c r="AI24379" s="831">
        <v>0</v>
      </c>
      <c r="AJ24379" s="835">
        <v>41790</v>
      </c>
      <c r="AK24379" s="831">
        <v>420089711</v>
      </c>
    </row>
    <row r="24380" spans="32:37">
      <c r="AF24380" s="831" t="s">
        <v>11503</v>
      </c>
      <c r="AG24380" s="831" t="s">
        <v>2674</v>
      </c>
      <c r="AH24380" s="831" t="s">
        <v>3049</v>
      </c>
      <c r="AI24380" s="831">
        <v>0</v>
      </c>
      <c r="AJ24380" s="835">
        <v>41790</v>
      </c>
      <c r="AK24380" s="831">
        <v>709561626</v>
      </c>
    </row>
    <row r="24381" spans="32:37">
      <c r="AF24381" s="831" t="s">
        <v>11504</v>
      </c>
      <c r="AG24381" s="831" t="s">
        <v>2674</v>
      </c>
      <c r="AH24381" s="831" t="s">
        <v>103</v>
      </c>
      <c r="AI24381" s="831">
        <v>0</v>
      </c>
      <c r="AJ24381" s="835">
        <v>41790</v>
      </c>
      <c r="AK24381" s="831">
        <v>289471915</v>
      </c>
    </row>
    <row r="24382" spans="32:37">
      <c r="AF24382" s="831" t="s">
        <v>11505</v>
      </c>
      <c r="AG24382" s="831" t="s">
        <v>2674</v>
      </c>
      <c r="AH24382" s="831" t="s">
        <v>182</v>
      </c>
      <c r="AI24382" s="831">
        <v>0</v>
      </c>
      <c r="AJ24382" s="835">
        <v>41790</v>
      </c>
      <c r="AK24382" s="831">
        <v>69984388.799999997</v>
      </c>
    </row>
    <row r="24383" spans="32:37">
      <c r="AF24383" s="831" t="s">
        <v>11506</v>
      </c>
      <c r="AG24383" s="831" t="s">
        <v>2674</v>
      </c>
      <c r="AH24383" s="831" t="s">
        <v>6600</v>
      </c>
      <c r="AI24383" s="831">
        <v>0</v>
      </c>
      <c r="AJ24383" s="835">
        <v>41790</v>
      </c>
      <c r="AK24383" s="831">
        <v>31997124.956000008</v>
      </c>
    </row>
    <row r="24384" spans="32:37">
      <c r="AF24384" s="831" t="s">
        <v>11507</v>
      </c>
      <c r="AG24384" s="831" t="s">
        <v>2674</v>
      </c>
      <c r="AH24384" s="831" t="s">
        <v>6602</v>
      </c>
      <c r="AI24384" s="831">
        <v>0</v>
      </c>
      <c r="AJ24384" s="835">
        <v>41790</v>
      </c>
      <c r="AK24384" s="831">
        <v>15708716</v>
      </c>
    </row>
    <row r="24385" spans="32:37">
      <c r="AF24385" s="831" t="s">
        <v>11508</v>
      </c>
      <c r="AG24385" s="831" t="s">
        <v>2674</v>
      </c>
      <c r="AH24385" s="831" t="s">
        <v>650</v>
      </c>
      <c r="AI24385" s="831">
        <v>0</v>
      </c>
      <c r="AJ24385" s="835">
        <v>41790</v>
      </c>
      <c r="AK24385" s="831">
        <v>242496217.73223078</v>
      </c>
    </row>
    <row r="24386" spans="32:37">
      <c r="AF24386" s="831" t="s">
        <v>11509</v>
      </c>
      <c r="AG24386" s="831" t="s">
        <v>2674</v>
      </c>
      <c r="AH24386" s="831" t="s">
        <v>655</v>
      </c>
      <c r="AI24386" s="831">
        <v>0</v>
      </c>
      <c r="AJ24386" s="835">
        <v>41790</v>
      </c>
      <c r="AK24386" s="831">
        <v>1936751.44</v>
      </c>
    </row>
    <row r="24387" spans="32:37">
      <c r="AF24387" s="831" t="s">
        <v>11510</v>
      </c>
      <c r="AG24387" s="831" t="s">
        <v>2674</v>
      </c>
      <c r="AH24387" s="831" t="s">
        <v>546</v>
      </c>
      <c r="AI24387" s="831">
        <v>0</v>
      </c>
      <c r="AJ24387" s="835">
        <v>41820</v>
      </c>
      <c r="AK24387" s="831">
        <v>728057591</v>
      </c>
    </row>
    <row r="24388" spans="32:37">
      <c r="AF24388" s="831" t="s">
        <v>11511</v>
      </c>
      <c r="AG24388" s="831" t="s">
        <v>2674</v>
      </c>
      <c r="AH24388" s="831" t="s">
        <v>370</v>
      </c>
      <c r="AI24388" s="831">
        <v>0</v>
      </c>
      <c r="AJ24388" s="835">
        <v>41820</v>
      </c>
      <c r="AK24388" s="831">
        <v>911200946</v>
      </c>
    </row>
    <row r="24389" spans="32:37">
      <c r="AF24389" s="831" t="s">
        <v>11512</v>
      </c>
      <c r="AG24389" s="831" t="s">
        <v>2674</v>
      </c>
      <c r="AH24389" s="831" t="s">
        <v>126</v>
      </c>
      <c r="AI24389" s="831">
        <v>0</v>
      </c>
      <c r="AJ24389" s="835">
        <v>41820</v>
      </c>
      <c r="AK24389" s="831">
        <v>135362821</v>
      </c>
    </row>
    <row r="24390" spans="32:37">
      <c r="AF24390" s="831" t="s">
        <v>11513</v>
      </c>
      <c r="AG24390" s="831" t="s">
        <v>2674</v>
      </c>
      <c r="AH24390" s="831" t="s">
        <v>268</v>
      </c>
      <c r="AI24390" s="831">
        <v>0</v>
      </c>
      <c r="AJ24390" s="835">
        <v>41820</v>
      </c>
      <c r="AK24390" s="831">
        <v>18626919</v>
      </c>
    </row>
    <row r="24391" spans="32:37">
      <c r="AF24391" s="831" t="s">
        <v>11514</v>
      </c>
      <c r="AG24391" s="831" t="s">
        <v>2674</v>
      </c>
      <c r="AH24391" s="831" t="s">
        <v>547</v>
      </c>
      <c r="AI24391" s="831">
        <v>0</v>
      </c>
      <c r="AJ24391" s="835">
        <v>41820</v>
      </c>
      <c r="AK24391" s="831">
        <v>777719977</v>
      </c>
    </row>
    <row r="24392" spans="32:37">
      <c r="AF24392" s="831" t="s">
        <v>11515</v>
      </c>
      <c r="AG24392" s="831" t="s">
        <v>2674</v>
      </c>
      <c r="AH24392" s="831" t="s">
        <v>548</v>
      </c>
      <c r="AI24392" s="831">
        <v>0</v>
      </c>
      <c r="AJ24392" s="835">
        <v>41820</v>
      </c>
      <c r="AK24392" s="831">
        <v>117105496</v>
      </c>
    </row>
    <row r="24393" spans="32:37">
      <c r="AF24393" s="831" t="s">
        <v>11516</v>
      </c>
      <c r="AG24393" s="831" t="s">
        <v>2674</v>
      </c>
      <c r="AH24393" s="831" t="s">
        <v>549</v>
      </c>
      <c r="AI24393" s="831">
        <v>0</v>
      </c>
      <c r="AJ24393" s="835">
        <v>41820</v>
      </c>
      <c r="AK24393" s="831">
        <v>514798833</v>
      </c>
    </row>
    <row r="24394" spans="32:37">
      <c r="AF24394" s="831" t="s">
        <v>11517</v>
      </c>
      <c r="AG24394" s="831" t="s">
        <v>2674</v>
      </c>
      <c r="AH24394" s="831" t="s">
        <v>192</v>
      </c>
      <c r="AI24394" s="831">
        <v>0</v>
      </c>
      <c r="AJ24394" s="835">
        <v>41820</v>
      </c>
      <c r="AK24394" s="831">
        <v>-11632261</v>
      </c>
    </row>
    <row r="24395" spans="32:37">
      <c r="AF24395" s="831" t="s">
        <v>11518</v>
      </c>
      <c r="AG24395" s="831" t="s">
        <v>2674</v>
      </c>
      <c r="AH24395" s="831" t="s">
        <v>558</v>
      </c>
      <c r="AI24395" s="831">
        <v>0</v>
      </c>
      <c r="AJ24395" s="835">
        <v>41820</v>
      </c>
      <c r="AK24395" s="831">
        <v>775838125</v>
      </c>
    </row>
    <row r="24396" spans="32:37">
      <c r="AF24396" s="831" t="s">
        <v>11519</v>
      </c>
      <c r="AG24396" s="831" t="s">
        <v>2674</v>
      </c>
      <c r="AH24396" s="831" t="s">
        <v>65</v>
      </c>
      <c r="AI24396" s="831">
        <v>0</v>
      </c>
      <c r="AJ24396" s="835">
        <v>41820</v>
      </c>
      <c r="AK24396" s="831">
        <v>81270371</v>
      </c>
    </row>
    <row r="24397" spans="32:37">
      <c r="AF24397" s="831" t="s">
        <v>11520</v>
      </c>
      <c r="AG24397" s="831" t="s">
        <v>2674</v>
      </c>
      <c r="AH24397" s="831" t="s">
        <v>89</v>
      </c>
      <c r="AI24397" s="831">
        <v>0</v>
      </c>
      <c r="AJ24397" s="835">
        <v>41820</v>
      </c>
      <c r="AK24397" s="831">
        <v>156581</v>
      </c>
    </row>
    <row r="24398" spans="32:37">
      <c r="AF24398" s="831" t="s">
        <v>11521</v>
      </c>
      <c r="AG24398" s="831" t="s">
        <v>2674</v>
      </c>
      <c r="AH24398" s="831" t="s">
        <v>557</v>
      </c>
      <c r="AI24398" s="831">
        <v>0</v>
      </c>
      <c r="AJ24398" s="835">
        <v>41820</v>
      </c>
      <c r="AK24398" s="831">
        <v>175816</v>
      </c>
    </row>
    <row r="24399" spans="32:37">
      <c r="AF24399" s="831" t="s">
        <v>11522</v>
      </c>
      <c r="AG24399" s="831" t="s">
        <v>2674</v>
      </c>
      <c r="AH24399" s="831" t="s">
        <v>29</v>
      </c>
      <c r="AI24399" s="831">
        <v>0</v>
      </c>
      <c r="AJ24399" s="835">
        <v>41820</v>
      </c>
      <c r="AK24399" s="831">
        <v>1326248.81</v>
      </c>
    </row>
    <row r="24400" spans="32:37">
      <c r="AF24400" s="831" t="s">
        <v>11523</v>
      </c>
      <c r="AG24400" s="831" t="s">
        <v>2674</v>
      </c>
      <c r="AH24400" s="831" t="s">
        <v>2688</v>
      </c>
      <c r="AI24400" s="831">
        <v>0</v>
      </c>
      <c r="AJ24400" s="835">
        <v>41820</v>
      </c>
      <c r="AK24400" s="831">
        <v>4329800.9399999995</v>
      </c>
    </row>
    <row r="24401" spans="32:37">
      <c r="AF24401" s="831" t="s">
        <v>11524</v>
      </c>
      <c r="AG24401" s="831" t="s">
        <v>2674</v>
      </c>
      <c r="AH24401" s="831" t="s">
        <v>556</v>
      </c>
      <c r="AI24401" s="831">
        <v>0</v>
      </c>
      <c r="AJ24401" s="835">
        <v>41820</v>
      </c>
      <c r="AK24401" s="831">
        <v>3274918</v>
      </c>
    </row>
    <row r="24402" spans="32:37">
      <c r="AF24402" s="831" t="s">
        <v>11525</v>
      </c>
      <c r="AG24402" s="831" t="s">
        <v>2674</v>
      </c>
      <c r="AH24402" s="831" t="s">
        <v>555</v>
      </c>
      <c r="AI24402" s="831">
        <v>0</v>
      </c>
      <c r="AJ24402" s="835">
        <v>41820</v>
      </c>
      <c r="AK24402" s="831">
        <v>507133542</v>
      </c>
    </row>
    <row r="24403" spans="32:37">
      <c r="AF24403" s="831" t="s">
        <v>11526</v>
      </c>
      <c r="AG24403" s="831" t="s">
        <v>2674</v>
      </c>
      <c r="AH24403" s="831" t="s">
        <v>554</v>
      </c>
      <c r="AI24403" s="831">
        <v>0</v>
      </c>
      <c r="AJ24403" s="835">
        <v>41820</v>
      </c>
      <c r="AK24403" s="831">
        <v>519019570</v>
      </c>
    </row>
    <row r="24404" spans="32:37">
      <c r="AF24404" s="831" t="s">
        <v>11527</v>
      </c>
      <c r="AG24404" s="831" t="s">
        <v>2674</v>
      </c>
      <c r="AH24404" s="831" t="s">
        <v>553</v>
      </c>
      <c r="AI24404" s="831">
        <v>0</v>
      </c>
      <c r="AJ24404" s="835">
        <v>41820</v>
      </c>
      <c r="AK24404" s="831">
        <v>0</v>
      </c>
    </row>
    <row r="24405" spans="32:37">
      <c r="AF24405" s="831" t="s">
        <v>11528</v>
      </c>
      <c r="AG24405" s="831" t="s">
        <v>2674</v>
      </c>
      <c r="AH24405" s="831" t="s">
        <v>552</v>
      </c>
      <c r="AI24405" s="831">
        <v>0</v>
      </c>
      <c r="AJ24405" s="835">
        <v>41820</v>
      </c>
      <c r="AK24405" s="831">
        <v>0</v>
      </c>
    </row>
    <row r="24406" spans="32:37">
      <c r="AF24406" s="831" t="s">
        <v>11529</v>
      </c>
      <c r="AG24406" s="831" t="s">
        <v>2674</v>
      </c>
      <c r="AH24406" s="831" t="s">
        <v>551</v>
      </c>
      <c r="AI24406" s="831">
        <v>0</v>
      </c>
      <c r="AJ24406" s="835">
        <v>41820</v>
      </c>
      <c r="AK24406" s="831">
        <v>950588.81</v>
      </c>
    </row>
    <row r="24407" spans="32:37">
      <c r="AF24407" s="831" t="s">
        <v>11530</v>
      </c>
      <c r="AG24407" s="831" t="s">
        <v>2674</v>
      </c>
      <c r="AH24407" s="831" t="s">
        <v>550</v>
      </c>
      <c r="AI24407" s="831">
        <v>0</v>
      </c>
      <c r="AJ24407" s="835">
        <v>41820</v>
      </c>
      <c r="AK24407" s="831">
        <v>131163748</v>
      </c>
    </row>
    <row r="24408" spans="32:37">
      <c r="AF24408" s="831" t="s">
        <v>11531</v>
      </c>
      <c r="AG24408" s="831" t="s">
        <v>2674</v>
      </c>
      <c r="AH24408" s="831" t="s">
        <v>562</v>
      </c>
      <c r="AI24408" s="831">
        <v>0</v>
      </c>
      <c r="AJ24408" s="835">
        <v>41820</v>
      </c>
      <c r="AK24408" s="831">
        <v>0.78374999999999995</v>
      </c>
    </row>
    <row r="24409" spans="32:37">
      <c r="AF24409" s="831" t="s">
        <v>11532</v>
      </c>
      <c r="AG24409" s="831" t="s">
        <v>2674</v>
      </c>
      <c r="AH24409" s="831" t="s">
        <v>2698</v>
      </c>
      <c r="AI24409" s="831">
        <v>0</v>
      </c>
      <c r="AJ24409" s="835">
        <v>41820</v>
      </c>
      <c r="AK24409" s="831">
        <v>0.78385000000000005</v>
      </c>
    </row>
    <row r="24410" spans="32:37">
      <c r="AF24410" s="831" t="s">
        <v>11533</v>
      </c>
      <c r="AG24410" s="831" t="s">
        <v>2674</v>
      </c>
      <c r="AH24410" s="831" t="s">
        <v>560</v>
      </c>
      <c r="AI24410" s="831">
        <v>0</v>
      </c>
      <c r="AJ24410" s="835">
        <v>41820</v>
      </c>
      <c r="AK24410" s="831">
        <v>0.78376666666666672</v>
      </c>
    </row>
    <row r="24411" spans="32:37">
      <c r="AF24411" s="831" t="s">
        <v>11534</v>
      </c>
      <c r="AG24411" s="831" t="s">
        <v>2674</v>
      </c>
      <c r="AH24411" s="831" t="s">
        <v>559</v>
      </c>
      <c r="AI24411" s="831">
        <v>0</v>
      </c>
      <c r="AJ24411" s="835">
        <v>41820</v>
      </c>
      <c r="AK24411" s="831">
        <v>0.783775</v>
      </c>
    </row>
    <row r="24412" spans="32:37">
      <c r="AF24412" s="831" t="s">
        <v>11535</v>
      </c>
      <c r="AG24412" s="831" t="s">
        <v>2674</v>
      </c>
      <c r="AH24412" s="831" t="s">
        <v>568</v>
      </c>
      <c r="AI24412" s="831">
        <v>0</v>
      </c>
      <c r="AJ24412" s="835">
        <v>41820</v>
      </c>
      <c r="AK24412" s="831">
        <v>619891357.84230769</v>
      </c>
    </row>
    <row r="24413" spans="32:37">
      <c r="AF24413" s="831" t="s">
        <v>11536</v>
      </c>
      <c r="AG24413" s="831" t="s">
        <v>2674</v>
      </c>
      <c r="AH24413" s="831" t="s">
        <v>569</v>
      </c>
      <c r="AI24413" s="831">
        <v>0</v>
      </c>
      <c r="AJ24413" s="835">
        <v>41820</v>
      </c>
      <c r="AK24413" s="831">
        <v>763501602.97330773</v>
      </c>
    </row>
    <row r="24414" spans="32:37">
      <c r="AF24414" s="831" t="s">
        <v>11537</v>
      </c>
      <c r="AG24414" s="831" t="s">
        <v>2674</v>
      </c>
      <c r="AH24414" s="831" t="s">
        <v>570</v>
      </c>
      <c r="AI24414" s="831">
        <v>0</v>
      </c>
      <c r="AJ24414" s="835">
        <v>41820</v>
      </c>
      <c r="AK24414" s="831">
        <v>120238638.75123075</v>
      </c>
    </row>
    <row r="24415" spans="32:37">
      <c r="AF24415" s="831" t="s">
        <v>11538</v>
      </c>
      <c r="AG24415" s="831" t="s">
        <v>2674</v>
      </c>
      <c r="AH24415" s="831" t="s">
        <v>571</v>
      </c>
      <c r="AI24415" s="831">
        <v>0</v>
      </c>
      <c r="AJ24415" s="835">
        <v>41820</v>
      </c>
      <c r="AK24415" s="831">
        <v>372900260.97484618</v>
      </c>
    </row>
    <row r="24416" spans="32:37">
      <c r="AF24416" s="831" t="s">
        <v>11539</v>
      </c>
      <c r="AG24416" s="831" t="s">
        <v>2674</v>
      </c>
      <c r="AH24416" s="831" t="s">
        <v>573</v>
      </c>
      <c r="AI24416" s="831">
        <v>0</v>
      </c>
      <c r="AJ24416" s="835">
        <v>41820</v>
      </c>
      <c r="AK24416" s="831">
        <v>829703301.08042848</v>
      </c>
    </row>
    <row r="24417" spans="32:37">
      <c r="AF24417" s="831" t="s">
        <v>11540</v>
      </c>
      <c r="AG24417" s="831" t="s">
        <v>2674</v>
      </c>
      <c r="AH24417" s="831" t="s">
        <v>574</v>
      </c>
      <c r="AI24417" s="831">
        <v>0</v>
      </c>
      <c r="AJ24417" s="835">
        <v>41820</v>
      </c>
      <c r="AK24417" s="831">
        <v>674628835.57142854</v>
      </c>
    </row>
    <row r="24418" spans="32:37">
      <c r="AF24418" s="831" t="s">
        <v>11541</v>
      </c>
      <c r="AG24418" s="831" t="s">
        <v>2674</v>
      </c>
      <c r="AH24418" s="831" t="s">
        <v>575</v>
      </c>
      <c r="AI24418" s="831">
        <v>0</v>
      </c>
      <c r="AJ24418" s="835">
        <v>41820</v>
      </c>
      <c r="AK24418" s="831">
        <v>124242857.13</v>
      </c>
    </row>
    <row r="24419" spans="32:37">
      <c r="AF24419" s="831" t="s">
        <v>11542</v>
      </c>
      <c r="AG24419" s="831" t="s">
        <v>2674</v>
      </c>
      <c r="AH24419" s="831" t="s">
        <v>576</v>
      </c>
      <c r="AI24419" s="831">
        <v>0</v>
      </c>
      <c r="AJ24419" s="835">
        <v>41820</v>
      </c>
      <c r="AK24419" s="831">
        <v>407269836.23014289</v>
      </c>
    </row>
    <row r="24420" spans="32:37">
      <c r="AF24420" s="831" t="s">
        <v>11543</v>
      </c>
      <c r="AG24420" s="831" t="s">
        <v>2674</v>
      </c>
      <c r="AH24420" s="831" t="s">
        <v>572</v>
      </c>
      <c r="AI24420" s="831">
        <v>0</v>
      </c>
      <c r="AJ24420" s="835">
        <v>41820</v>
      </c>
      <c r="AK24420" s="831">
        <v>32506327.956000008</v>
      </c>
    </row>
    <row r="24421" spans="32:37">
      <c r="AF24421" s="831" t="s">
        <v>11544</v>
      </c>
      <c r="AG24421" s="831" t="s">
        <v>2674</v>
      </c>
      <c r="AH24421" s="831" t="s">
        <v>577</v>
      </c>
      <c r="AI24421" s="831">
        <v>0</v>
      </c>
      <c r="AJ24421" s="835">
        <v>41820</v>
      </c>
      <c r="AK24421" s="831">
        <v>153933560.76300001</v>
      </c>
    </row>
    <row r="24422" spans="32:37">
      <c r="AF24422" s="831" t="s">
        <v>11545</v>
      </c>
      <c r="AG24422" s="831" t="s">
        <v>2674</v>
      </c>
      <c r="AH24422" s="831" t="s">
        <v>3042</v>
      </c>
      <c r="AI24422" s="831">
        <v>0</v>
      </c>
      <c r="AJ24422" s="835">
        <v>41820</v>
      </c>
      <c r="AK24422" s="831">
        <v>-43087678.527000003</v>
      </c>
    </row>
    <row r="24423" spans="32:37">
      <c r="AF24423" s="831" t="s">
        <v>11546</v>
      </c>
      <c r="AG24423" s="831" t="s">
        <v>2674</v>
      </c>
      <c r="AH24423" s="831" t="s">
        <v>3044</v>
      </c>
      <c r="AI24423" s="831">
        <v>0</v>
      </c>
      <c r="AJ24423" s="835">
        <v>41820</v>
      </c>
      <c r="AK24423" s="831">
        <v>-2538336.8899999997</v>
      </c>
    </row>
    <row r="24424" spans="32:37">
      <c r="AF24424" s="831" t="s">
        <v>11547</v>
      </c>
      <c r="AG24424" s="831" t="s">
        <v>2674</v>
      </c>
      <c r="AH24424" s="831" t="s">
        <v>580</v>
      </c>
      <c r="AI24424" s="831">
        <v>0</v>
      </c>
      <c r="AJ24424" s="835">
        <v>41820</v>
      </c>
      <c r="AK24424" s="831">
        <v>-71232950.306999996</v>
      </c>
    </row>
    <row r="24425" spans="32:37">
      <c r="AF24425" s="831" t="s">
        <v>11548</v>
      </c>
      <c r="AG24425" s="831" t="s">
        <v>2674</v>
      </c>
      <c r="AH24425" s="831" t="s">
        <v>581</v>
      </c>
      <c r="AI24425" s="831">
        <v>0</v>
      </c>
      <c r="AJ24425" s="835">
        <v>41820</v>
      </c>
      <c r="AK24425" s="831">
        <v>5389272.8940000003</v>
      </c>
    </row>
    <row r="24426" spans="32:37">
      <c r="AF24426" s="831" t="s">
        <v>11549</v>
      </c>
      <c r="AG24426" s="831" t="s">
        <v>2674</v>
      </c>
      <c r="AH24426" s="831" t="s">
        <v>105</v>
      </c>
      <c r="AI24426" s="831">
        <v>0</v>
      </c>
      <c r="AJ24426" s="835">
        <v>41820</v>
      </c>
      <c r="AK24426" s="831">
        <v>455536132</v>
      </c>
    </row>
    <row r="24427" spans="32:37">
      <c r="AF24427" s="831" t="s">
        <v>11550</v>
      </c>
      <c r="AG24427" s="831" t="s">
        <v>2674</v>
      </c>
      <c r="AH24427" s="831" t="s">
        <v>3049</v>
      </c>
      <c r="AI24427" s="831">
        <v>0</v>
      </c>
      <c r="AJ24427" s="835">
        <v>41820</v>
      </c>
      <c r="AK24427" s="831">
        <v>754458364</v>
      </c>
    </row>
    <row r="24428" spans="32:37">
      <c r="AF24428" s="831" t="s">
        <v>11551</v>
      </c>
      <c r="AG24428" s="831" t="s">
        <v>2674</v>
      </c>
      <c r="AH24428" s="831" t="s">
        <v>103</v>
      </c>
      <c r="AI24428" s="831">
        <v>0</v>
      </c>
      <c r="AJ24428" s="835">
        <v>41820</v>
      </c>
      <c r="AK24428" s="831">
        <v>298922232</v>
      </c>
    </row>
    <row r="24429" spans="32:37">
      <c r="AF24429" s="831" t="s">
        <v>11552</v>
      </c>
      <c r="AG24429" s="831" t="s">
        <v>2674</v>
      </c>
      <c r="AH24429" s="831" t="s">
        <v>182</v>
      </c>
      <c r="AI24429" s="831">
        <v>0</v>
      </c>
      <c r="AJ24429" s="835">
        <v>41820</v>
      </c>
      <c r="AK24429" s="831">
        <v>71693060</v>
      </c>
    </row>
    <row r="24430" spans="32:37">
      <c r="AF24430" s="831" t="s">
        <v>11553</v>
      </c>
      <c r="AG24430" s="831" t="s">
        <v>2674</v>
      </c>
      <c r="AH24430" s="831" t="s">
        <v>6600</v>
      </c>
      <c r="AI24430" s="831">
        <v>0</v>
      </c>
      <c r="AJ24430" s="835">
        <v>41820</v>
      </c>
      <c r="AK24430" s="831">
        <v>32506327.956000008</v>
      </c>
    </row>
    <row r="24431" spans="32:37">
      <c r="AF24431" s="831" t="s">
        <v>11554</v>
      </c>
      <c r="AG24431" s="831" t="s">
        <v>2674</v>
      </c>
      <c r="AH24431" s="831" t="s">
        <v>6602</v>
      </c>
      <c r="AI24431" s="831">
        <v>0</v>
      </c>
      <c r="AJ24431" s="835">
        <v>41820</v>
      </c>
      <c r="AK24431" s="831">
        <v>18626919</v>
      </c>
    </row>
    <row r="24432" spans="32:37">
      <c r="AF24432" s="831" t="s">
        <v>11555</v>
      </c>
      <c r="AG24432" s="831" t="s">
        <v>2674</v>
      </c>
      <c r="AH24432" s="831" t="s">
        <v>650</v>
      </c>
      <c r="AI24432" s="831">
        <v>0</v>
      </c>
      <c r="AJ24432" s="835">
        <v>41820</v>
      </c>
      <c r="AK24432" s="831">
        <v>250141744.03992307</v>
      </c>
    </row>
    <row r="24433" spans="32:37">
      <c r="AF24433" s="831" t="s">
        <v>11556</v>
      </c>
      <c r="AG24433" s="831" t="s">
        <v>2674</v>
      </c>
      <c r="AH24433" s="831" t="s">
        <v>655</v>
      </c>
      <c r="AI24433" s="831">
        <v>0</v>
      </c>
      <c r="AJ24433" s="835">
        <v>41820</v>
      </c>
      <c r="AK24433" s="831">
        <v>739333.81</v>
      </c>
    </row>
    <row r="24434" spans="32:37">
      <c r="AF24434" s="831" t="s">
        <v>11557</v>
      </c>
      <c r="AG24434" s="831" t="s">
        <v>2674</v>
      </c>
      <c r="AH24434" s="831" t="s">
        <v>546</v>
      </c>
      <c r="AI24434" s="831">
        <v>0</v>
      </c>
      <c r="AJ24434" s="835">
        <v>41851</v>
      </c>
      <c r="AK24434" s="831">
        <v>739176022</v>
      </c>
    </row>
    <row r="24435" spans="32:37">
      <c r="AF24435" s="831" t="s">
        <v>11558</v>
      </c>
      <c r="AG24435" s="831" t="s">
        <v>2674</v>
      </c>
      <c r="AH24435" s="831" t="s">
        <v>370</v>
      </c>
      <c r="AI24435" s="831">
        <v>0</v>
      </c>
      <c r="AJ24435" s="835">
        <v>41851</v>
      </c>
      <c r="AK24435" s="831">
        <v>937279545</v>
      </c>
    </row>
    <row r="24436" spans="32:37">
      <c r="AF24436" s="831" t="s">
        <v>11559</v>
      </c>
      <c r="AG24436" s="831" t="s">
        <v>2674</v>
      </c>
      <c r="AH24436" s="831" t="s">
        <v>126</v>
      </c>
      <c r="AI24436" s="831">
        <v>0</v>
      </c>
      <c r="AJ24436" s="835">
        <v>41851</v>
      </c>
      <c r="AK24436" s="831">
        <v>138005087</v>
      </c>
    </row>
    <row r="24437" spans="32:37">
      <c r="AF24437" s="831" t="s">
        <v>11560</v>
      </c>
      <c r="AG24437" s="831" t="s">
        <v>2674</v>
      </c>
      <c r="AH24437" s="831" t="s">
        <v>268</v>
      </c>
      <c r="AI24437" s="831">
        <v>0</v>
      </c>
      <c r="AJ24437" s="835">
        <v>41851</v>
      </c>
      <c r="AK24437" s="831">
        <v>22009267</v>
      </c>
    </row>
    <row r="24438" spans="32:37">
      <c r="AF24438" s="831" t="s">
        <v>11561</v>
      </c>
      <c r="AG24438" s="831" t="s">
        <v>2674</v>
      </c>
      <c r="AH24438" s="831" t="s">
        <v>547</v>
      </c>
      <c r="AI24438" s="831">
        <v>0</v>
      </c>
      <c r="AJ24438" s="835">
        <v>41851</v>
      </c>
      <c r="AK24438" s="831">
        <v>777719977</v>
      </c>
    </row>
    <row r="24439" spans="32:37">
      <c r="AF24439" s="831" t="s">
        <v>11562</v>
      </c>
      <c r="AG24439" s="831" t="s">
        <v>2674</v>
      </c>
      <c r="AH24439" s="831" t="s">
        <v>548</v>
      </c>
      <c r="AI24439" s="831">
        <v>0</v>
      </c>
      <c r="AJ24439" s="835">
        <v>41851</v>
      </c>
      <c r="AK24439" s="831">
        <v>117105496</v>
      </c>
    </row>
    <row r="24440" spans="32:37">
      <c r="AF24440" s="831" t="s">
        <v>11563</v>
      </c>
      <c r="AG24440" s="831" t="s">
        <v>2674</v>
      </c>
      <c r="AH24440" s="831" t="s">
        <v>549</v>
      </c>
      <c r="AI24440" s="831">
        <v>0</v>
      </c>
      <c r="AJ24440" s="835">
        <v>41851</v>
      </c>
      <c r="AK24440" s="831">
        <v>530405930</v>
      </c>
    </row>
    <row r="24441" spans="32:37">
      <c r="AF24441" s="831" t="s">
        <v>11564</v>
      </c>
      <c r="AG24441" s="831" t="s">
        <v>2674</v>
      </c>
      <c r="AH24441" s="831" t="s">
        <v>192</v>
      </c>
      <c r="AI24441" s="831">
        <v>0</v>
      </c>
      <c r="AJ24441" s="835">
        <v>41851</v>
      </c>
      <c r="AK24441" s="831">
        <v>-11408077</v>
      </c>
    </row>
    <row r="24442" spans="32:37">
      <c r="AF24442" s="831" t="s">
        <v>11565</v>
      </c>
      <c r="AG24442" s="831" t="s">
        <v>2674</v>
      </c>
      <c r="AH24442" s="831" t="s">
        <v>558</v>
      </c>
      <c r="AI24442" s="831">
        <v>0</v>
      </c>
      <c r="AJ24442" s="835">
        <v>41851</v>
      </c>
      <c r="AK24442" s="831">
        <v>799274458</v>
      </c>
    </row>
    <row r="24443" spans="32:37">
      <c r="AF24443" s="831" t="s">
        <v>11566</v>
      </c>
      <c r="AG24443" s="831" t="s">
        <v>2674</v>
      </c>
      <c r="AH24443" s="831" t="s">
        <v>65</v>
      </c>
      <c r="AI24443" s="831">
        <v>0</v>
      </c>
      <c r="AJ24443" s="835">
        <v>41851</v>
      </c>
      <c r="AK24443" s="831">
        <v>96150192</v>
      </c>
    </row>
    <row r="24444" spans="32:37">
      <c r="AF24444" s="831" t="s">
        <v>11567</v>
      </c>
      <c r="AG24444" s="831" t="s">
        <v>2674</v>
      </c>
      <c r="AH24444" s="831" t="s">
        <v>89</v>
      </c>
      <c r="AI24444" s="831">
        <v>0</v>
      </c>
      <c r="AJ24444" s="835">
        <v>41851</v>
      </c>
      <c r="AK24444" s="831">
        <v>157312</v>
      </c>
    </row>
    <row r="24445" spans="32:37">
      <c r="AF24445" s="831" t="s">
        <v>11568</v>
      </c>
      <c r="AG24445" s="831" t="s">
        <v>2674</v>
      </c>
      <c r="AH24445" s="831" t="s">
        <v>557</v>
      </c>
      <c r="AI24445" s="831">
        <v>0</v>
      </c>
      <c r="AJ24445" s="835">
        <v>41851</v>
      </c>
      <c r="AK24445" s="831">
        <v>177567</v>
      </c>
    </row>
    <row r="24446" spans="32:37">
      <c r="AF24446" s="831" t="s">
        <v>11569</v>
      </c>
      <c r="AG24446" s="831" t="s">
        <v>2674</v>
      </c>
      <c r="AH24446" s="831" t="s">
        <v>29</v>
      </c>
      <c r="AI24446" s="831">
        <v>0</v>
      </c>
      <c r="AJ24446" s="835">
        <v>41851</v>
      </c>
      <c r="AK24446" s="831">
        <v>1565767.49</v>
      </c>
    </row>
    <row r="24447" spans="32:37">
      <c r="AF24447" s="831" t="s">
        <v>11570</v>
      </c>
      <c r="AG24447" s="831" t="s">
        <v>2674</v>
      </c>
      <c r="AH24447" s="831" t="s">
        <v>2688</v>
      </c>
      <c r="AI24447" s="831">
        <v>0</v>
      </c>
      <c r="AJ24447" s="835">
        <v>41851</v>
      </c>
      <c r="AK24447" s="831">
        <v>4315667.13</v>
      </c>
    </row>
    <row r="24448" spans="32:37">
      <c r="AF24448" s="831" t="s">
        <v>11571</v>
      </c>
      <c r="AG24448" s="831" t="s">
        <v>2674</v>
      </c>
      <c r="AH24448" s="831" t="s">
        <v>556</v>
      </c>
      <c r="AI24448" s="831">
        <v>0</v>
      </c>
      <c r="AJ24448" s="835">
        <v>41851</v>
      </c>
      <c r="AK24448" s="831">
        <v>3260165</v>
      </c>
    </row>
    <row r="24449" spans="32:37">
      <c r="AF24449" s="831" t="s">
        <v>11572</v>
      </c>
      <c r="AG24449" s="831" t="s">
        <v>2674</v>
      </c>
      <c r="AH24449" s="831" t="s">
        <v>555</v>
      </c>
      <c r="AI24449" s="831">
        <v>0</v>
      </c>
      <c r="AJ24449" s="835">
        <v>41851</v>
      </c>
      <c r="AK24449" s="831">
        <v>527670450</v>
      </c>
    </row>
    <row r="24450" spans="32:37">
      <c r="AF24450" s="831" t="s">
        <v>11573</v>
      </c>
      <c r="AG24450" s="831" t="s">
        <v>2674</v>
      </c>
      <c r="AH24450" s="831" t="s">
        <v>554</v>
      </c>
      <c r="AI24450" s="831">
        <v>0</v>
      </c>
      <c r="AJ24450" s="835">
        <v>41851</v>
      </c>
      <c r="AK24450" s="831">
        <v>540050830</v>
      </c>
    </row>
    <row r="24451" spans="32:37">
      <c r="AF24451" s="831" t="s">
        <v>11574</v>
      </c>
      <c r="AG24451" s="831" t="s">
        <v>2674</v>
      </c>
      <c r="AH24451" s="831" t="s">
        <v>553</v>
      </c>
      <c r="AI24451" s="831">
        <v>0</v>
      </c>
      <c r="AJ24451" s="835">
        <v>41851</v>
      </c>
      <c r="AK24451" s="831">
        <v>0</v>
      </c>
    </row>
    <row r="24452" spans="32:37">
      <c r="AF24452" s="831" t="s">
        <v>11575</v>
      </c>
      <c r="AG24452" s="831" t="s">
        <v>2674</v>
      </c>
      <c r="AH24452" s="831" t="s">
        <v>552</v>
      </c>
      <c r="AI24452" s="831">
        <v>0</v>
      </c>
      <c r="AJ24452" s="835">
        <v>41851</v>
      </c>
      <c r="AK24452" s="831">
        <v>0</v>
      </c>
    </row>
    <row r="24453" spans="32:37">
      <c r="AF24453" s="831" t="s">
        <v>11576</v>
      </c>
      <c r="AG24453" s="831" t="s">
        <v>2674</v>
      </c>
      <c r="AH24453" s="831" t="s">
        <v>551</v>
      </c>
      <c r="AI24453" s="831">
        <v>0</v>
      </c>
      <c r="AJ24453" s="835">
        <v>41851</v>
      </c>
      <c r="AK24453" s="831">
        <v>1101547.72</v>
      </c>
    </row>
    <row r="24454" spans="32:37">
      <c r="AF24454" s="831" t="s">
        <v>11577</v>
      </c>
      <c r="AG24454" s="831" t="s">
        <v>2674</v>
      </c>
      <c r="AH24454" s="831" t="s">
        <v>550</v>
      </c>
      <c r="AI24454" s="831">
        <v>0</v>
      </c>
      <c r="AJ24454" s="835">
        <v>41851</v>
      </c>
      <c r="AK24454" s="831">
        <v>135362821</v>
      </c>
    </row>
    <row r="24455" spans="32:37">
      <c r="AF24455" s="831" t="s">
        <v>11578</v>
      </c>
      <c r="AG24455" s="831" t="s">
        <v>2674</v>
      </c>
      <c r="AH24455" s="831" t="s">
        <v>562</v>
      </c>
      <c r="AI24455" s="831">
        <v>0</v>
      </c>
      <c r="AJ24455" s="835">
        <v>41851</v>
      </c>
      <c r="AK24455" s="831">
        <v>0.78364999999999996</v>
      </c>
    </row>
    <row r="24456" spans="32:37">
      <c r="AF24456" s="831" t="s">
        <v>11579</v>
      </c>
      <c r="AG24456" s="831" t="s">
        <v>2674</v>
      </c>
      <c r="AH24456" s="831" t="s">
        <v>2698</v>
      </c>
      <c r="AI24456" s="831">
        <v>0</v>
      </c>
      <c r="AJ24456" s="835">
        <v>41851</v>
      </c>
      <c r="AK24456" s="831">
        <v>0.78374999999999995</v>
      </c>
    </row>
    <row r="24457" spans="32:37">
      <c r="AF24457" s="831" t="s">
        <v>11580</v>
      </c>
      <c r="AG24457" s="831" t="s">
        <v>2674</v>
      </c>
      <c r="AH24457" s="831" t="s">
        <v>560</v>
      </c>
      <c r="AI24457" s="831">
        <v>0</v>
      </c>
      <c r="AJ24457" s="835">
        <v>41851</v>
      </c>
      <c r="AK24457" s="831">
        <v>0.78374999999999984</v>
      </c>
    </row>
    <row r="24458" spans="32:37">
      <c r="AF24458" s="831" t="s">
        <v>11581</v>
      </c>
      <c r="AG24458" s="831" t="s">
        <v>2674</v>
      </c>
      <c r="AH24458" s="831" t="s">
        <v>559</v>
      </c>
      <c r="AI24458" s="831">
        <v>0</v>
      </c>
      <c r="AJ24458" s="835">
        <v>41851</v>
      </c>
      <c r="AK24458" s="831">
        <v>0.78376666666666661</v>
      </c>
    </row>
    <row r="24459" spans="32:37">
      <c r="AF24459" s="831" t="s">
        <v>11582</v>
      </c>
      <c r="AG24459" s="831" t="s">
        <v>2674</v>
      </c>
      <c r="AH24459" s="831" t="s">
        <v>568</v>
      </c>
      <c r="AI24459" s="831">
        <v>0</v>
      </c>
      <c r="AJ24459" s="835">
        <v>41851</v>
      </c>
      <c r="AK24459" s="831">
        <v>637151141.61153841</v>
      </c>
    </row>
    <row r="24460" spans="32:37">
      <c r="AF24460" s="831" t="s">
        <v>11583</v>
      </c>
      <c r="AG24460" s="831" t="s">
        <v>2674</v>
      </c>
      <c r="AH24460" s="831" t="s">
        <v>569</v>
      </c>
      <c r="AI24460" s="831">
        <v>0</v>
      </c>
      <c r="AJ24460" s="835">
        <v>41851</v>
      </c>
      <c r="AK24460" s="831">
        <v>786284543.74253845</v>
      </c>
    </row>
    <row r="24461" spans="32:37">
      <c r="AF24461" s="831" t="s">
        <v>11584</v>
      </c>
      <c r="AG24461" s="831" t="s">
        <v>2674</v>
      </c>
      <c r="AH24461" s="831" t="s">
        <v>570</v>
      </c>
      <c r="AI24461" s="831">
        <v>0</v>
      </c>
      <c r="AJ24461" s="835">
        <v>41851</v>
      </c>
      <c r="AK24461" s="831">
        <v>122542079.44353844</v>
      </c>
    </row>
    <row r="24462" spans="32:37">
      <c r="AF24462" s="831" t="s">
        <v>11585</v>
      </c>
      <c r="AG24462" s="831" t="s">
        <v>2674</v>
      </c>
      <c r="AH24462" s="831" t="s">
        <v>571</v>
      </c>
      <c r="AI24462" s="831">
        <v>0</v>
      </c>
      <c r="AJ24462" s="835">
        <v>41851</v>
      </c>
      <c r="AK24462" s="831">
        <v>385003742.66715389</v>
      </c>
    </row>
    <row r="24463" spans="32:37">
      <c r="AF24463" s="831" t="s">
        <v>11586</v>
      </c>
      <c r="AG24463" s="831" t="s">
        <v>2674</v>
      </c>
      <c r="AH24463" s="831" t="s">
        <v>573</v>
      </c>
      <c r="AI24463" s="831">
        <v>0</v>
      </c>
      <c r="AJ24463" s="835">
        <v>41851</v>
      </c>
      <c r="AK24463" s="831">
        <v>843150331.57037497</v>
      </c>
    </row>
    <row r="24464" spans="32:37">
      <c r="AF24464" s="831" t="s">
        <v>11587</v>
      </c>
      <c r="AG24464" s="831" t="s">
        <v>2674</v>
      </c>
      <c r="AH24464" s="831" t="s">
        <v>574</v>
      </c>
      <c r="AI24464" s="831">
        <v>0</v>
      </c>
      <c r="AJ24464" s="835">
        <v>41851</v>
      </c>
      <c r="AK24464" s="831">
        <v>682697233.875</v>
      </c>
    </row>
    <row r="24465" spans="32:37">
      <c r="AF24465" s="831" t="s">
        <v>11588</v>
      </c>
      <c r="AG24465" s="831" t="s">
        <v>2674</v>
      </c>
      <c r="AH24465" s="831" t="s">
        <v>575</v>
      </c>
      <c r="AI24465" s="831">
        <v>0</v>
      </c>
      <c r="AJ24465" s="835">
        <v>41851</v>
      </c>
      <c r="AK24465" s="831">
        <v>125963135.86375</v>
      </c>
    </row>
    <row r="24466" spans="32:37">
      <c r="AF24466" s="831" t="s">
        <v>11589</v>
      </c>
      <c r="AG24466" s="831" t="s">
        <v>2674</v>
      </c>
      <c r="AH24466" s="831" t="s">
        <v>576</v>
      </c>
      <c r="AI24466" s="831">
        <v>0</v>
      </c>
      <c r="AJ24466" s="835">
        <v>41851</v>
      </c>
      <c r="AK24466" s="831">
        <v>415372081.57637501</v>
      </c>
    </row>
    <row r="24467" spans="32:37">
      <c r="AF24467" s="831" t="s">
        <v>11590</v>
      </c>
      <c r="AG24467" s="831" t="s">
        <v>2674</v>
      </c>
      <c r="AH24467" s="831" t="s">
        <v>572</v>
      </c>
      <c r="AI24467" s="831">
        <v>0</v>
      </c>
      <c r="AJ24467" s="835">
        <v>41851</v>
      </c>
      <c r="AK24467" s="831">
        <v>33061468.956000008</v>
      </c>
    </row>
    <row r="24468" spans="32:37">
      <c r="AF24468" s="831" t="s">
        <v>11591</v>
      </c>
      <c r="AG24468" s="831" t="s">
        <v>2674</v>
      </c>
      <c r="AH24468" s="831" t="s">
        <v>577</v>
      </c>
      <c r="AI24468" s="831">
        <v>0</v>
      </c>
      <c r="AJ24468" s="835">
        <v>41851</v>
      </c>
      <c r="AK24468" s="831">
        <v>157027827.76300001</v>
      </c>
    </row>
    <row r="24469" spans="32:37">
      <c r="AF24469" s="831" t="s">
        <v>11592</v>
      </c>
      <c r="AG24469" s="831" t="s">
        <v>2674</v>
      </c>
      <c r="AH24469" s="831" t="s">
        <v>3042</v>
      </c>
      <c r="AI24469" s="831">
        <v>0</v>
      </c>
      <c r="AJ24469" s="835">
        <v>41851</v>
      </c>
      <c r="AK24469" s="831">
        <v>-44607617.527000003</v>
      </c>
    </row>
    <row r="24470" spans="32:37">
      <c r="AF24470" s="831" t="s">
        <v>11593</v>
      </c>
      <c r="AG24470" s="831" t="s">
        <v>2674</v>
      </c>
      <c r="AH24470" s="831" t="s">
        <v>3044</v>
      </c>
      <c r="AI24470" s="831">
        <v>0</v>
      </c>
      <c r="AJ24470" s="835">
        <v>41851</v>
      </c>
      <c r="AK24470" s="831">
        <v>-2462838.8899999997</v>
      </c>
    </row>
    <row r="24471" spans="32:37">
      <c r="AF24471" s="831" t="s">
        <v>11594</v>
      </c>
      <c r="AG24471" s="831" t="s">
        <v>2674</v>
      </c>
      <c r="AH24471" s="831" t="s">
        <v>580</v>
      </c>
      <c r="AI24471" s="831">
        <v>0</v>
      </c>
      <c r="AJ24471" s="835">
        <v>41851</v>
      </c>
      <c r="AK24471" s="831">
        <v>-72554848.306999996</v>
      </c>
    </row>
    <row r="24472" spans="32:37">
      <c r="AF24472" s="831" t="s">
        <v>11595</v>
      </c>
      <c r="AG24472" s="831" t="s">
        <v>2674</v>
      </c>
      <c r="AH24472" s="831" t="s">
        <v>581</v>
      </c>
      <c r="AI24472" s="831">
        <v>0</v>
      </c>
      <c r="AJ24472" s="835">
        <v>41851</v>
      </c>
      <c r="AK24472" s="831">
        <v>6023686.8940000003</v>
      </c>
    </row>
    <row r="24473" spans="32:37">
      <c r="AF24473" s="831" t="s">
        <v>11596</v>
      </c>
      <c r="AG24473" s="831" t="s">
        <v>2674</v>
      </c>
      <c r="AH24473" s="831" t="s">
        <v>105</v>
      </c>
      <c r="AI24473" s="831">
        <v>0</v>
      </c>
      <c r="AJ24473" s="835">
        <v>41851</v>
      </c>
      <c r="AK24473" s="831">
        <v>472087799</v>
      </c>
    </row>
    <row r="24474" spans="32:37">
      <c r="AF24474" s="831" t="s">
        <v>11597</v>
      </c>
      <c r="AG24474" s="831" t="s">
        <v>2674</v>
      </c>
      <c r="AH24474" s="831" t="s">
        <v>3049</v>
      </c>
      <c r="AI24474" s="831">
        <v>0</v>
      </c>
      <c r="AJ24474" s="835">
        <v>41851</v>
      </c>
      <c r="AK24474" s="831">
        <v>778154132</v>
      </c>
    </row>
    <row r="24475" spans="32:37">
      <c r="AF24475" s="831" t="s">
        <v>11598</v>
      </c>
      <c r="AG24475" s="831" t="s">
        <v>2674</v>
      </c>
      <c r="AH24475" s="831" t="s">
        <v>103</v>
      </c>
      <c r="AI24475" s="831">
        <v>0</v>
      </c>
      <c r="AJ24475" s="835">
        <v>41851</v>
      </c>
      <c r="AK24475" s="831">
        <v>306066333</v>
      </c>
    </row>
    <row r="24476" spans="32:37">
      <c r="AF24476" s="831" t="s">
        <v>11599</v>
      </c>
      <c r="AG24476" s="831" t="s">
        <v>2674</v>
      </c>
      <c r="AH24476" s="831" t="s">
        <v>182</v>
      </c>
      <c r="AI24476" s="831">
        <v>0</v>
      </c>
      <c r="AJ24476" s="835">
        <v>41851</v>
      </c>
      <c r="AK24476" s="831">
        <v>72589813.714285716</v>
      </c>
    </row>
    <row r="24477" spans="32:37">
      <c r="AF24477" s="831" t="s">
        <v>11600</v>
      </c>
      <c r="AG24477" s="831" t="s">
        <v>2674</v>
      </c>
      <c r="AH24477" s="831" t="s">
        <v>6600</v>
      </c>
      <c r="AI24477" s="831">
        <v>0</v>
      </c>
      <c r="AJ24477" s="835">
        <v>41851</v>
      </c>
      <c r="AK24477" s="831">
        <v>33061468.956000008</v>
      </c>
    </row>
    <row r="24478" spans="32:37">
      <c r="AF24478" s="831" t="s">
        <v>11601</v>
      </c>
      <c r="AG24478" s="831" t="s">
        <v>2674</v>
      </c>
      <c r="AH24478" s="831" t="s">
        <v>6602</v>
      </c>
      <c r="AI24478" s="831">
        <v>0</v>
      </c>
      <c r="AJ24478" s="835">
        <v>41851</v>
      </c>
      <c r="AK24478" s="831">
        <v>22009267</v>
      </c>
    </row>
    <row r="24479" spans="32:37">
      <c r="AF24479" s="831" t="s">
        <v>11602</v>
      </c>
      <c r="AG24479" s="831" t="s">
        <v>2674</v>
      </c>
      <c r="AH24479" s="831" t="s">
        <v>650</v>
      </c>
      <c r="AI24479" s="831">
        <v>0</v>
      </c>
      <c r="AJ24479" s="835">
        <v>41851</v>
      </c>
      <c r="AK24479" s="831">
        <v>258051740.34761539</v>
      </c>
    </row>
    <row r="24480" spans="32:37">
      <c r="AF24480" s="831" t="s">
        <v>11603</v>
      </c>
      <c r="AG24480" s="831" t="s">
        <v>2674</v>
      </c>
      <c r="AH24480" s="831" t="s">
        <v>655</v>
      </c>
      <c r="AI24480" s="831">
        <v>0</v>
      </c>
      <c r="AJ24480" s="835">
        <v>41851</v>
      </c>
      <c r="AK24480" s="831">
        <v>953974.79</v>
      </c>
    </row>
    <row r="24481" spans="32:37">
      <c r="AF24481" s="831" t="s">
        <v>11604</v>
      </c>
      <c r="AG24481" s="831" t="s">
        <v>2674</v>
      </c>
      <c r="AH24481" s="831" t="s">
        <v>546</v>
      </c>
      <c r="AI24481" s="831">
        <v>0</v>
      </c>
      <c r="AJ24481" s="835">
        <v>41882</v>
      </c>
      <c r="AK24481" s="831">
        <v>752496052</v>
      </c>
    </row>
    <row r="24482" spans="32:37">
      <c r="AF24482" s="831" t="s">
        <v>11605</v>
      </c>
      <c r="AG24482" s="831" t="s">
        <v>2674</v>
      </c>
      <c r="AH24482" s="831" t="s">
        <v>370</v>
      </c>
      <c r="AI24482" s="831">
        <v>0</v>
      </c>
      <c r="AJ24482" s="835">
        <v>41882</v>
      </c>
      <c r="AK24482" s="831">
        <v>955327873</v>
      </c>
    </row>
    <row r="24483" spans="32:37">
      <c r="AF24483" s="831" t="s">
        <v>11606</v>
      </c>
      <c r="AG24483" s="831" t="s">
        <v>2674</v>
      </c>
      <c r="AH24483" s="831" t="s">
        <v>126</v>
      </c>
      <c r="AI24483" s="831">
        <v>0</v>
      </c>
      <c r="AJ24483" s="835">
        <v>41882</v>
      </c>
      <c r="AK24483" s="831">
        <v>141824046.03</v>
      </c>
    </row>
    <row r="24484" spans="32:37">
      <c r="AF24484" s="831" t="s">
        <v>11607</v>
      </c>
      <c r="AG24484" s="831" t="s">
        <v>2674</v>
      </c>
      <c r="AH24484" s="831" t="s">
        <v>268</v>
      </c>
      <c r="AI24484" s="831">
        <v>0</v>
      </c>
      <c r="AJ24484" s="835">
        <v>41882</v>
      </c>
      <c r="AK24484" s="831">
        <v>25500774.76800001</v>
      </c>
    </row>
    <row r="24485" spans="32:37">
      <c r="AF24485" s="831" t="s">
        <v>11608</v>
      </c>
      <c r="AG24485" s="831" t="s">
        <v>2674</v>
      </c>
      <c r="AH24485" s="831" t="s">
        <v>547</v>
      </c>
      <c r="AI24485" s="831">
        <v>0</v>
      </c>
      <c r="AJ24485" s="835">
        <v>41882</v>
      </c>
      <c r="AK24485" s="831">
        <v>777719977</v>
      </c>
    </row>
    <row r="24486" spans="32:37">
      <c r="AF24486" s="831" t="s">
        <v>11609</v>
      </c>
      <c r="AG24486" s="831" t="s">
        <v>2674</v>
      </c>
      <c r="AH24486" s="831" t="s">
        <v>548</v>
      </c>
      <c r="AI24486" s="831">
        <v>0</v>
      </c>
      <c r="AJ24486" s="835">
        <v>41882</v>
      </c>
      <c r="AK24486" s="831">
        <v>117105496</v>
      </c>
    </row>
    <row r="24487" spans="32:37">
      <c r="AF24487" s="831" t="s">
        <v>11610</v>
      </c>
      <c r="AG24487" s="831" t="s">
        <v>2674</v>
      </c>
      <c r="AH24487" s="831" t="s">
        <v>549</v>
      </c>
      <c r="AI24487" s="831">
        <v>0</v>
      </c>
      <c r="AJ24487" s="835">
        <v>41882</v>
      </c>
      <c r="AK24487" s="831">
        <v>548671343</v>
      </c>
    </row>
    <row r="24488" spans="32:37">
      <c r="AF24488" s="831" t="s">
        <v>11611</v>
      </c>
      <c r="AG24488" s="831" t="s">
        <v>2674</v>
      </c>
      <c r="AH24488" s="831" t="s">
        <v>192</v>
      </c>
      <c r="AI24488" s="831">
        <v>0</v>
      </c>
      <c r="AJ24488" s="835">
        <v>41882</v>
      </c>
      <c r="AK24488" s="831">
        <v>-11209860</v>
      </c>
    </row>
    <row r="24489" spans="32:37">
      <c r="AF24489" s="831" t="s">
        <v>11612</v>
      </c>
      <c r="AG24489" s="831" t="s">
        <v>2674</v>
      </c>
      <c r="AH24489" s="831" t="s">
        <v>558</v>
      </c>
      <c r="AI24489" s="831">
        <v>0</v>
      </c>
      <c r="AJ24489" s="835">
        <v>41882</v>
      </c>
      <c r="AK24489" s="831">
        <v>813503827.41700006</v>
      </c>
    </row>
    <row r="24490" spans="32:37">
      <c r="AF24490" s="831" t="s">
        <v>11613</v>
      </c>
      <c r="AG24490" s="831" t="s">
        <v>2674</v>
      </c>
      <c r="AH24490" s="831" t="s">
        <v>65</v>
      </c>
      <c r="AI24490" s="831">
        <v>0</v>
      </c>
      <c r="AJ24490" s="835">
        <v>41882</v>
      </c>
      <c r="AK24490" s="831">
        <v>110886310.662</v>
      </c>
    </row>
    <row r="24491" spans="32:37">
      <c r="AF24491" s="831" t="s">
        <v>11614</v>
      </c>
      <c r="AG24491" s="831" t="s">
        <v>2674</v>
      </c>
      <c r="AH24491" s="831" t="s">
        <v>89</v>
      </c>
      <c r="AI24491" s="831">
        <v>0</v>
      </c>
      <c r="AJ24491" s="835">
        <v>41882</v>
      </c>
      <c r="AK24491" s="831">
        <v>158540</v>
      </c>
    </row>
    <row r="24492" spans="32:37">
      <c r="AF24492" s="831" t="s">
        <v>11615</v>
      </c>
      <c r="AG24492" s="831" t="s">
        <v>2674</v>
      </c>
      <c r="AH24492" s="831" t="s">
        <v>557</v>
      </c>
      <c r="AI24492" s="831">
        <v>0</v>
      </c>
      <c r="AJ24492" s="835">
        <v>41882</v>
      </c>
      <c r="AK24492" s="831">
        <v>176987</v>
      </c>
    </row>
    <row r="24493" spans="32:37">
      <c r="AF24493" s="831" t="s">
        <v>11616</v>
      </c>
      <c r="AG24493" s="831" t="s">
        <v>2674</v>
      </c>
      <c r="AH24493" s="831" t="s">
        <v>29</v>
      </c>
      <c r="AI24493" s="831">
        <v>0</v>
      </c>
      <c r="AJ24493" s="835">
        <v>41882</v>
      </c>
      <c r="AK24493" s="831">
        <v>1746361.094</v>
      </c>
    </row>
    <row r="24494" spans="32:37">
      <c r="AF24494" s="831" t="s">
        <v>11617</v>
      </c>
      <c r="AG24494" s="831" t="s">
        <v>2674</v>
      </c>
      <c r="AH24494" s="831" t="s">
        <v>2688</v>
      </c>
      <c r="AI24494" s="831">
        <v>0</v>
      </c>
      <c r="AJ24494" s="835">
        <v>41882</v>
      </c>
      <c r="AK24494" s="831">
        <v>4781420.7300000004</v>
      </c>
    </row>
    <row r="24495" spans="32:37">
      <c r="AF24495" s="831" t="s">
        <v>11618</v>
      </c>
      <c r="AG24495" s="831" t="s">
        <v>2674</v>
      </c>
      <c r="AH24495" s="831" t="s">
        <v>556</v>
      </c>
      <c r="AI24495" s="831">
        <v>0</v>
      </c>
      <c r="AJ24495" s="835">
        <v>41882</v>
      </c>
      <c r="AK24495" s="831">
        <v>4890559</v>
      </c>
    </row>
    <row r="24496" spans="32:37">
      <c r="AF24496" s="831" t="s">
        <v>11619</v>
      </c>
      <c r="AG24496" s="831" t="s">
        <v>2674</v>
      </c>
      <c r="AH24496" s="831" t="s">
        <v>555</v>
      </c>
      <c r="AI24496" s="831">
        <v>0</v>
      </c>
      <c r="AJ24496" s="835">
        <v>41882</v>
      </c>
      <c r="AK24496" s="831">
        <v>533401131</v>
      </c>
    </row>
    <row r="24497" spans="32:37">
      <c r="AF24497" s="831" t="s">
        <v>11620</v>
      </c>
      <c r="AG24497" s="831" t="s">
        <v>2674</v>
      </c>
      <c r="AH24497" s="831" t="s">
        <v>554</v>
      </c>
      <c r="AI24497" s="831">
        <v>0</v>
      </c>
      <c r="AJ24497" s="835">
        <v>41882</v>
      </c>
      <c r="AK24497" s="831">
        <v>543423580</v>
      </c>
    </row>
    <row r="24498" spans="32:37">
      <c r="AF24498" s="831" t="s">
        <v>11621</v>
      </c>
      <c r="AG24498" s="831" t="s">
        <v>2674</v>
      </c>
      <c r="AH24498" s="831" t="s">
        <v>553</v>
      </c>
      <c r="AI24498" s="831">
        <v>0</v>
      </c>
      <c r="AJ24498" s="835">
        <v>41882</v>
      </c>
      <c r="AK24498" s="831">
        <v>0</v>
      </c>
    </row>
    <row r="24499" spans="32:37">
      <c r="AF24499" s="831" t="s">
        <v>11622</v>
      </c>
      <c r="AG24499" s="831" t="s">
        <v>2674</v>
      </c>
      <c r="AH24499" s="831" t="s">
        <v>552</v>
      </c>
      <c r="AI24499" s="831">
        <v>0</v>
      </c>
      <c r="AJ24499" s="835">
        <v>41882</v>
      </c>
      <c r="AK24499" s="831">
        <v>0</v>
      </c>
    </row>
    <row r="24500" spans="32:37">
      <c r="AF24500" s="831" t="s">
        <v>11623</v>
      </c>
      <c r="AG24500" s="831" t="s">
        <v>2674</v>
      </c>
      <c r="AH24500" s="831" t="s">
        <v>551</v>
      </c>
      <c r="AI24500" s="831">
        <v>0</v>
      </c>
      <c r="AJ24500" s="835">
        <v>41882</v>
      </c>
      <c r="AK24500" s="831">
        <v>1392541.4989999998</v>
      </c>
    </row>
    <row r="24501" spans="32:37">
      <c r="AF24501" s="831" t="s">
        <v>11624</v>
      </c>
      <c r="AG24501" s="831" t="s">
        <v>2674</v>
      </c>
      <c r="AH24501" s="831" t="s">
        <v>550</v>
      </c>
      <c r="AI24501" s="831">
        <v>0</v>
      </c>
      <c r="AJ24501" s="835">
        <v>41882</v>
      </c>
      <c r="AK24501" s="831">
        <v>138005087</v>
      </c>
    </row>
    <row r="24502" spans="32:37">
      <c r="AF24502" s="831" t="s">
        <v>11625</v>
      </c>
      <c r="AG24502" s="831" t="s">
        <v>2674</v>
      </c>
      <c r="AH24502" s="831" t="s">
        <v>562</v>
      </c>
      <c r="AI24502" s="831">
        <v>0</v>
      </c>
      <c r="AJ24502" s="835">
        <v>41882</v>
      </c>
      <c r="AK24502" s="831">
        <v>0.7833</v>
      </c>
    </row>
    <row r="24503" spans="32:37">
      <c r="AF24503" s="831" t="s">
        <v>11626</v>
      </c>
      <c r="AG24503" s="831" t="s">
        <v>2674</v>
      </c>
      <c r="AH24503" s="831" t="s">
        <v>2698</v>
      </c>
      <c r="AI24503" s="831">
        <v>0</v>
      </c>
      <c r="AJ24503" s="835">
        <v>41882</v>
      </c>
      <c r="AK24503" s="831">
        <v>0.78364999999999996</v>
      </c>
    </row>
    <row r="24504" spans="32:37">
      <c r="AF24504" s="831" t="s">
        <v>11627</v>
      </c>
      <c r="AG24504" s="831" t="s">
        <v>2674</v>
      </c>
      <c r="AH24504" s="831" t="s">
        <v>560</v>
      </c>
      <c r="AI24504" s="831">
        <v>0</v>
      </c>
      <c r="AJ24504" s="835">
        <v>41882</v>
      </c>
      <c r="AK24504" s="831">
        <v>0.78369374999999997</v>
      </c>
    </row>
    <row r="24505" spans="32:37">
      <c r="AF24505" s="831" t="s">
        <v>11628</v>
      </c>
      <c r="AG24505" s="831" t="s">
        <v>2674</v>
      </c>
      <c r="AH24505" s="831" t="s">
        <v>559</v>
      </c>
      <c r="AI24505" s="831">
        <v>0</v>
      </c>
      <c r="AJ24505" s="835">
        <v>41882</v>
      </c>
      <c r="AK24505" s="831">
        <v>0.78372083333333331</v>
      </c>
    </row>
    <row r="24506" spans="32:37">
      <c r="AF24506" s="831" t="s">
        <v>11629</v>
      </c>
      <c r="AG24506" s="831" t="s">
        <v>2674</v>
      </c>
      <c r="AH24506" s="831" t="s">
        <v>568</v>
      </c>
      <c r="AI24506" s="831">
        <v>0</v>
      </c>
      <c r="AJ24506" s="835">
        <v>41882</v>
      </c>
      <c r="AK24506" s="831">
        <v>654234997.14999998</v>
      </c>
    </row>
    <row r="24507" spans="32:37">
      <c r="AF24507" s="831" t="s">
        <v>11630</v>
      </c>
      <c r="AG24507" s="831" t="s">
        <v>2674</v>
      </c>
      <c r="AH24507" s="831" t="s">
        <v>569</v>
      </c>
      <c r="AI24507" s="831">
        <v>0</v>
      </c>
      <c r="AJ24507" s="835">
        <v>41882</v>
      </c>
      <c r="AK24507" s="831">
        <v>809130662.58869231</v>
      </c>
    </row>
    <row r="24508" spans="32:37">
      <c r="AF24508" s="831" t="s">
        <v>11631</v>
      </c>
      <c r="AG24508" s="831" t="s">
        <v>2674</v>
      </c>
      <c r="AH24508" s="831" t="s">
        <v>570</v>
      </c>
      <c r="AI24508" s="831">
        <v>0</v>
      </c>
      <c r="AJ24508" s="835">
        <v>41882</v>
      </c>
      <c r="AK24508" s="831">
        <v>124921808.98430769</v>
      </c>
    </row>
    <row r="24509" spans="32:37">
      <c r="AF24509" s="831" t="s">
        <v>11632</v>
      </c>
      <c r="AG24509" s="831" t="s">
        <v>2674</v>
      </c>
      <c r="AH24509" s="831" t="s">
        <v>571</v>
      </c>
      <c r="AI24509" s="831">
        <v>0</v>
      </c>
      <c r="AJ24509" s="835">
        <v>41882</v>
      </c>
      <c r="AK24509" s="831">
        <v>397063607.00692308</v>
      </c>
    </row>
    <row r="24510" spans="32:37">
      <c r="AF24510" s="831" t="s">
        <v>11633</v>
      </c>
      <c r="AG24510" s="831" t="s">
        <v>2674</v>
      </c>
      <c r="AH24510" s="831" t="s">
        <v>573</v>
      </c>
      <c r="AI24510" s="831">
        <v>0</v>
      </c>
      <c r="AJ24510" s="835">
        <v>41882</v>
      </c>
      <c r="AK24510" s="831">
        <v>855614502.84033334</v>
      </c>
    </row>
    <row r="24511" spans="32:37">
      <c r="AF24511" s="831" t="s">
        <v>11634</v>
      </c>
      <c r="AG24511" s="831" t="s">
        <v>2674</v>
      </c>
      <c r="AH24511" s="831" t="s">
        <v>574</v>
      </c>
      <c r="AI24511" s="831">
        <v>0</v>
      </c>
      <c r="AJ24511" s="835">
        <v>41882</v>
      </c>
      <c r="AK24511" s="831">
        <v>690452658.11111116</v>
      </c>
    </row>
    <row r="24512" spans="32:37">
      <c r="AF24512" s="831" t="s">
        <v>11635</v>
      </c>
      <c r="AG24512" s="831" t="s">
        <v>2674</v>
      </c>
      <c r="AH24512" s="831" t="s">
        <v>575</v>
      </c>
      <c r="AI24512" s="831">
        <v>0</v>
      </c>
      <c r="AJ24512" s="835">
        <v>41882</v>
      </c>
      <c r="AK24512" s="831">
        <v>127725459.21555556</v>
      </c>
    </row>
    <row r="24513" spans="32:37">
      <c r="AF24513" s="831" t="s">
        <v>11636</v>
      </c>
      <c r="AG24513" s="831" t="s">
        <v>2674</v>
      </c>
      <c r="AH24513" s="831" t="s">
        <v>576</v>
      </c>
      <c r="AI24513" s="831">
        <v>0</v>
      </c>
      <c r="AJ24513" s="835">
        <v>41882</v>
      </c>
      <c r="AK24513" s="831">
        <v>422408457.33644444</v>
      </c>
    </row>
    <row r="24514" spans="32:37">
      <c r="AF24514" s="831" t="s">
        <v>11637</v>
      </c>
      <c r="AG24514" s="831" t="s">
        <v>2674</v>
      </c>
      <c r="AH24514" s="831" t="s">
        <v>572</v>
      </c>
      <c r="AI24514" s="831">
        <v>0</v>
      </c>
      <c r="AJ24514" s="835">
        <v>41882</v>
      </c>
      <c r="AK24514" s="831">
        <v>33565597.724000007</v>
      </c>
    </row>
    <row r="24515" spans="32:37">
      <c r="AF24515" s="831" t="s">
        <v>11638</v>
      </c>
      <c r="AG24515" s="831" t="s">
        <v>2674</v>
      </c>
      <c r="AH24515" s="831" t="s">
        <v>577</v>
      </c>
      <c r="AI24515" s="831">
        <v>0</v>
      </c>
      <c r="AJ24515" s="835">
        <v>41882</v>
      </c>
      <c r="AK24515" s="831">
        <v>160354648.42500001</v>
      </c>
    </row>
    <row r="24516" spans="32:37">
      <c r="AF24516" s="831" t="s">
        <v>11639</v>
      </c>
      <c r="AG24516" s="831" t="s">
        <v>2674</v>
      </c>
      <c r="AH24516" s="831" t="s">
        <v>3042</v>
      </c>
      <c r="AI24516" s="831">
        <v>0</v>
      </c>
      <c r="AJ24516" s="835">
        <v>41882</v>
      </c>
      <c r="AK24516" s="831">
        <v>-46384889.891000003</v>
      </c>
    </row>
    <row r="24517" spans="32:37">
      <c r="AF24517" s="831" t="s">
        <v>11640</v>
      </c>
      <c r="AG24517" s="831" t="s">
        <v>2674</v>
      </c>
      <c r="AH24517" s="831" t="s">
        <v>3044</v>
      </c>
      <c r="AI24517" s="831">
        <v>0</v>
      </c>
      <c r="AJ24517" s="835">
        <v>41882</v>
      </c>
      <c r="AK24517" s="831">
        <v>-2154547.3159999996</v>
      </c>
    </row>
    <row r="24518" spans="32:37">
      <c r="AF24518" s="831" t="s">
        <v>11641</v>
      </c>
      <c r="AG24518" s="831" t="s">
        <v>2674</v>
      </c>
      <c r="AH24518" s="831" t="s">
        <v>580</v>
      </c>
      <c r="AI24518" s="831">
        <v>0</v>
      </c>
      <c r="AJ24518" s="835">
        <v>41882</v>
      </c>
      <c r="AK24518" s="831">
        <v>-74112712.891000003</v>
      </c>
    </row>
    <row r="24519" spans="32:37">
      <c r="AF24519" s="831" t="s">
        <v>11642</v>
      </c>
      <c r="AG24519" s="831" t="s">
        <v>2674</v>
      </c>
      <c r="AH24519" s="831" t="s">
        <v>581</v>
      </c>
      <c r="AI24519" s="831">
        <v>0</v>
      </c>
      <c r="AJ24519" s="835">
        <v>41882</v>
      </c>
      <c r="AK24519" s="831">
        <v>6514589.0720000006</v>
      </c>
    </row>
    <row r="24520" spans="32:37">
      <c r="AF24520" s="831" t="s">
        <v>11643</v>
      </c>
      <c r="AG24520" s="831" t="s">
        <v>2674</v>
      </c>
      <c r="AH24520" s="831" t="s">
        <v>105</v>
      </c>
      <c r="AI24520" s="831">
        <v>0</v>
      </c>
      <c r="AJ24520" s="835">
        <v>41882</v>
      </c>
      <c r="AK24520" s="831">
        <v>478699463.41700006</v>
      </c>
    </row>
    <row r="24521" spans="32:37">
      <c r="AF24521" s="831" t="s">
        <v>11644</v>
      </c>
      <c r="AG24521" s="831" t="s">
        <v>2674</v>
      </c>
      <c r="AH24521" s="831" t="s">
        <v>3049</v>
      </c>
      <c r="AI24521" s="831">
        <v>0</v>
      </c>
      <c r="AJ24521" s="835">
        <v>41882</v>
      </c>
      <c r="AK24521" s="831">
        <v>787453668.41700006</v>
      </c>
    </row>
    <row r="24522" spans="32:37">
      <c r="AF24522" s="831" t="s">
        <v>11645</v>
      </c>
      <c r="AG24522" s="831" t="s">
        <v>2674</v>
      </c>
      <c r="AH24522" s="831" t="s">
        <v>103</v>
      </c>
      <c r="AI24522" s="831">
        <v>0</v>
      </c>
      <c r="AJ24522" s="835">
        <v>41882</v>
      </c>
      <c r="AK24522" s="831">
        <v>308754205</v>
      </c>
    </row>
    <row r="24523" spans="32:37">
      <c r="AF24523" s="831" t="s">
        <v>11646</v>
      </c>
      <c r="AG24523" s="831" t="s">
        <v>2674</v>
      </c>
      <c r="AH24523" s="831" t="s">
        <v>182</v>
      </c>
      <c r="AI24523" s="831">
        <v>0</v>
      </c>
      <c r="AJ24523" s="835">
        <v>41882</v>
      </c>
      <c r="AK24523" s="831">
        <v>72923285.376000002</v>
      </c>
    </row>
    <row r="24524" spans="32:37">
      <c r="AF24524" s="831" t="s">
        <v>11647</v>
      </c>
      <c r="AG24524" s="831" t="s">
        <v>2674</v>
      </c>
      <c r="AH24524" s="831" t="s">
        <v>6600</v>
      </c>
      <c r="AI24524" s="831">
        <v>0</v>
      </c>
      <c r="AJ24524" s="835">
        <v>41882</v>
      </c>
      <c r="AK24524" s="831">
        <v>33565597.724000007</v>
      </c>
    </row>
    <row r="24525" spans="32:37">
      <c r="AF24525" s="831" t="s">
        <v>11648</v>
      </c>
      <c r="AG24525" s="831" t="s">
        <v>2674</v>
      </c>
      <c r="AH24525" s="831" t="s">
        <v>6602</v>
      </c>
      <c r="AI24525" s="831">
        <v>0</v>
      </c>
      <c r="AJ24525" s="835">
        <v>41882</v>
      </c>
      <c r="AK24525" s="831">
        <v>25500774.76800001</v>
      </c>
    </row>
    <row r="24526" spans="32:37">
      <c r="AF24526" s="831" t="s">
        <v>11649</v>
      </c>
      <c r="AG24526" s="831" t="s">
        <v>2674</v>
      </c>
      <c r="AH24526" s="831" t="s">
        <v>650</v>
      </c>
      <c r="AI24526" s="831">
        <v>0</v>
      </c>
      <c r="AJ24526" s="835">
        <v>41882</v>
      </c>
      <c r="AK24526" s="831">
        <v>265538072.42453846</v>
      </c>
    </row>
    <row r="24527" spans="32:37">
      <c r="AF24527" s="831" t="s">
        <v>11650</v>
      </c>
      <c r="AG24527" s="831" t="s">
        <v>2674</v>
      </c>
      <c r="AH24527" s="831" t="s">
        <v>655</v>
      </c>
      <c r="AI24527" s="831">
        <v>0</v>
      </c>
      <c r="AJ24527" s="835">
        <v>41882</v>
      </c>
      <c r="AK24527" s="831">
        <v>1018935.1089999999</v>
      </c>
    </row>
    <row r="24528" spans="32:37">
      <c r="AF24528" s="831" t="s">
        <v>11651</v>
      </c>
      <c r="AG24528" s="831" t="s">
        <v>2674</v>
      </c>
      <c r="AH24528" s="831" t="s">
        <v>546</v>
      </c>
      <c r="AI24528" s="831">
        <v>0</v>
      </c>
      <c r="AJ24528" s="835">
        <v>41912</v>
      </c>
      <c r="AK24528" s="831">
        <v>775508043</v>
      </c>
    </row>
    <row r="24529" spans="32:37">
      <c r="AF24529" s="831" t="s">
        <v>11652</v>
      </c>
      <c r="AG24529" s="831" t="s">
        <v>2674</v>
      </c>
      <c r="AH24529" s="831" t="s">
        <v>370</v>
      </c>
      <c r="AI24529" s="831">
        <v>0</v>
      </c>
      <c r="AJ24529" s="835">
        <v>41912</v>
      </c>
      <c r="AK24529" s="831">
        <v>955738548</v>
      </c>
    </row>
    <row r="24530" spans="32:37">
      <c r="AF24530" s="831" t="s">
        <v>11653</v>
      </c>
      <c r="AG24530" s="831" t="s">
        <v>2674</v>
      </c>
      <c r="AH24530" s="831" t="s">
        <v>126</v>
      </c>
      <c r="AI24530" s="831">
        <v>0</v>
      </c>
      <c r="AJ24530" s="835">
        <v>41912</v>
      </c>
      <c r="AK24530" s="831">
        <v>145830225</v>
      </c>
    </row>
    <row r="24531" spans="32:37">
      <c r="AF24531" s="831" t="s">
        <v>11654</v>
      </c>
      <c r="AG24531" s="831" t="s">
        <v>2674</v>
      </c>
      <c r="AH24531" s="831" t="s">
        <v>268</v>
      </c>
      <c r="AI24531" s="831">
        <v>0</v>
      </c>
      <c r="AJ24531" s="835">
        <v>41912</v>
      </c>
      <c r="AK24531" s="831">
        <v>29012035</v>
      </c>
    </row>
    <row r="24532" spans="32:37">
      <c r="AF24532" s="831" t="s">
        <v>11655</v>
      </c>
      <c r="AG24532" s="831" t="s">
        <v>2674</v>
      </c>
      <c r="AH24532" s="831" t="s">
        <v>547</v>
      </c>
      <c r="AI24532" s="831">
        <v>0</v>
      </c>
      <c r="AJ24532" s="835">
        <v>41912</v>
      </c>
      <c r="AK24532" s="831">
        <v>777719977</v>
      </c>
    </row>
    <row r="24533" spans="32:37">
      <c r="AF24533" s="831" t="s">
        <v>11656</v>
      </c>
      <c r="AG24533" s="831" t="s">
        <v>2674</v>
      </c>
      <c r="AH24533" s="831" t="s">
        <v>548</v>
      </c>
      <c r="AI24533" s="831">
        <v>0</v>
      </c>
      <c r="AJ24533" s="835">
        <v>41912</v>
      </c>
      <c r="AK24533" s="831">
        <v>117105496</v>
      </c>
    </row>
    <row r="24534" spans="32:37">
      <c r="AF24534" s="831" t="s">
        <v>11657</v>
      </c>
      <c r="AG24534" s="831" t="s">
        <v>2674</v>
      </c>
      <c r="AH24534" s="831" t="s">
        <v>549</v>
      </c>
      <c r="AI24534" s="831">
        <v>0</v>
      </c>
      <c r="AJ24534" s="835">
        <v>41912</v>
      </c>
      <c r="AK24534" s="831">
        <v>563989028</v>
      </c>
    </row>
    <row r="24535" spans="32:37">
      <c r="AF24535" s="831" t="s">
        <v>11658</v>
      </c>
      <c r="AG24535" s="831" t="s">
        <v>2674</v>
      </c>
      <c r="AH24535" s="831" t="s">
        <v>192</v>
      </c>
      <c r="AI24535" s="831">
        <v>0</v>
      </c>
      <c r="AJ24535" s="835">
        <v>41912</v>
      </c>
      <c r="AK24535" s="831">
        <v>-11006364</v>
      </c>
    </row>
    <row r="24536" spans="32:37">
      <c r="AF24536" s="831" t="s">
        <v>11659</v>
      </c>
      <c r="AG24536" s="831" t="s">
        <v>2674</v>
      </c>
      <c r="AH24536" s="831" t="s">
        <v>558</v>
      </c>
      <c r="AI24536" s="831">
        <v>0</v>
      </c>
      <c r="AJ24536" s="835">
        <v>41912</v>
      </c>
      <c r="AK24536" s="831">
        <v>809908323</v>
      </c>
    </row>
    <row r="24537" spans="32:37">
      <c r="AF24537" s="831" t="s">
        <v>11660</v>
      </c>
      <c r="AG24537" s="831" t="s">
        <v>2674</v>
      </c>
      <c r="AH24537" s="831" t="s">
        <v>65</v>
      </c>
      <c r="AI24537" s="831">
        <v>0</v>
      </c>
      <c r="AJ24537" s="835">
        <v>41912</v>
      </c>
      <c r="AK24537" s="831">
        <v>126643298</v>
      </c>
    </row>
    <row r="24538" spans="32:37">
      <c r="AF24538" s="831" t="s">
        <v>11661</v>
      </c>
      <c r="AG24538" s="831" t="s">
        <v>2674</v>
      </c>
      <c r="AH24538" s="831" t="s">
        <v>89</v>
      </c>
      <c r="AI24538" s="831">
        <v>0</v>
      </c>
      <c r="AJ24538" s="835">
        <v>41912</v>
      </c>
      <c r="AK24538" s="831">
        <v>159987</v>
      </c>
    </row>
    <row r="24539" spans="32:37">
      <c r="AF24539" s="831" t="s">
        <v>11662</v>
      </c>
      <c r="AG24539" s="831" t="s">
        <v>2674</v>
      </c>
      <c r="AH24539" s="831" t="s">
        <v>557</v>
      </c>
      <c r="AI24539" s="831">
        <v>0</v>
      </c>
      <c r="AJ24539" s="835">
        <v>41912</v>
      </c>
      <c r="AK24539" s="831">
        <v>180249</v>
      </c>
    </row>
    <row r="24540" spans="32:37">
      <c r="AF24540" s="831" t="s">
        <v>11663</v>
      </c>
      <c r="AG24540" s="831" t="s">
        <v>2674</v>
      </c>
      <c r="AH24540" s="831" t="s">
        <v>29</v>
      </c>
      <c r="AI24540" s="831">
        <v>0</v>
      </c>
      <c r="AJ24540" s="835">
        <v>41912</v>
      </c>
      <c r="AK24540" s="831">
        <v>2332375</v>
      </c>
    </row>
    <row r="24541" spans="32:37">
      <c r="AF24541" s="831" t="s">
        <v>11664</v>
      </c>
      <c r="AG24541" s="831" t="s">
        <v>2674</v>
      </c>
      <c r="AH24541" s="831" t="s">
        <v>2688</v>
      </c>
      <c r="AI24541" s="831">
        <v>0</v>
      </c>
      <c r="AJ24541" s="835">
        <v>41912</v>
      </c>
      <c r="AK24541" s="831">
        <v>4758526.78</v>
      </c>
    </row>
    <row r="24542" spans="32:37">
      <c r="AF24542" s="831" t="s">
        <v>11665</v>
      </c>
      <c r="AG24542" s="831" t="s">
        <v>2674</v>
      </c>
      <c r="AH24542" s="831" t="s">
        <v>556</v>
      </c>
      <c r="AI24542" s="831">
        <v>0</v>
      </c>
      <c r="AJ24542" s="835">
        <v>41912</v>
      </c>
      <c r="AK24542" s="831">
        <v>6520953</v>
      </c>
    </row>
    <row r="24543" spans="32:37">
      <c r="AF24543" s="831" t="s">
        <v>11666</v>
      </c>
      <c r="AG24543" s="831" t="s">
        <v>2674</v>
      </c>
      <c r="AH24543" s="831" t="s">
        <v>555</v>
      </c>
      <c r="AI24543" s="831">
        <v>0</v>
      </c>
      <c r="AJ24543" s="835">
        <v>41912</v>
      </c>
      <c r="AK24543" s="831">
        <v>528140339</v>
      </c>
    </row>
    <row r="24544" spans="32:37">
      <c r="AF24544" s="831" t="s">
        <v>11667</v>
      </c>
      <c r="AG24544" s="831" t="s">
        <v>2674</v>
      </c>
      <c r="AH24544" s="831" t="s">
        <v>554</v>
      </c>
      <c r="AI24544" s="831">
        <v>0</v>
      </c>
      <c r="AJ24544" s="835">
        <v>41912</v>
      </c>
      <c r="AK24544" s="831">
        <v>536741460</v>
      </c>
    </row>
    <row r="24545" spans="32:37">
      <c r="AF24545" s="831" t="s">
        <v>11668</v>
      </c>
      <c r="AG24545" s="831" t="s">
        <v>2674</v>
      </c>
      <c r="AH24545" s="831" t="s">
        <v>553</v>
      </c>
      <c r="AI24545" s="831">
        <v>0</v>
      </c>
      <c r="AJ24545" s="835">
        <v>41912</v>
      </c>
      <c r="AK24545" s="831">
        <v>0</v>
      </c>
    </row>
    <row r="24546" spans="32:37">
      <c r="AF24546" s="831" t="s">
        <v>11669</v>
      </c>
      <c r="AG24546" s="831" t="s">
        <v>2674</v>
      </c>
      <c r="AH24546" s="831" t="s">
        <v>552</v>
      </c>
      <c r="AI24546" s="831">
        <v>0</v>
      </c>
      <c r="AJ24546" s="835">
        <v>41912</v>
      </c>
      <c r="AK24546" s="831">
        <v>0</v>
      </c>
    </row>
    <row r="24547" spans="32:37">
      <c r="AF24547" s="831" t="s">
        <v>11670</v>
      </c>
      <c r="AG24547" s="831" t="s">
        <v>2674</v>
      </c>
      <c r="AH24547" s="831" t="s">
        <v>551</v>
      </c>
      <c r="AI24547" s="831">
        <v>0</v>
      </c>
      <c r="AJ24547" s="835">
        <v>41912</v>
      </c>
      <c r="AK24547" s="831">
        <v>1612094</v>
      </c>
    </row>
    <row r="24548" spans="32:37">
      <c r="AF24548" s="831" t="s">
        <v>11671</v>
      </c>
      <c r="AG24548" s="831" t="s">
        <v>2674</v>
      </c>
      <c r="AH24548" s="831" t="s">
        <v>550</v>
      </c>
      <c r="AI24548" s="831">
        <v>0</v>
      </c>
      <c r="AJ24548" s="835">
        <v>41912</v>
      </c>
      <c r="AK24548" s="831">
        <v>141824046.03</v>
      </c>
    </row>
    <row r="24549" spans="32:37">
      <c r="AF24549" s="831" t="s">
        <v>11672</v>
      </c>
      <c r="AG24549" s="831" t="s">
        <v>2674</v>
      </c>
      <c r="AH24549" s="831" t="s">
        <v>562</v>
      </c>
      <c r="AI24549" s="831">
        <v>0</v>
      </c>
      <c r="AJ24549" s="835">
        <v>41912</v>
      </c>
      <c r="AK24549" s="831">
        <v>0.78325</v>
      </c>
    </row>
    <row r="24550" spans="32:37">
      <c r="AF24550" s="831" t="s">
        <v>11673</v>
      </c>
      <c r="AG24550" s="831" t="s">
        <v>2674</v>
      </c>
      <c r="AH24550" s="831" t="s">
        <v>2698</v>
      </c>
      <c r="AI24550" s="831">
        <v>0</v>
      </c>
      <c r="AJ24550" s="835">
        <v>41912</v>
      </c>
      <c r="AK24550" s="831">
        <v>0.7833</v>
      </c>
    </row>
    <row r="24551" spans="32:37">
      <c r="AF24551" s="831" t="s">
        <v>11674</v>
      </c>
      <c r="AG24551" s="831" t="s">
        <v>2674</v>
      </c>
      <c r="AH24551" s="831" t="s">
        <v>560</v>
      </c>
      <c r="AI24551" s="831">
        <v>0</v>
      </c>
      <c r="AJ24551" s="835">
        <v>41912</v>
      </c>
      <c r="AK24551" s="831">
        <v>0.78364444444444448</v>
      </c>
    </row>
    <row r="24552" spans="32:37">
      <c r="AF24552" s="831" t="s">
        <v>11675</v>
      </c>
      <c r="AG24552" s="831" t="s">
        <v>2674</v>
      </c>
      <c r="AH24552" s="831" t="s">
        <v>559</v>
      </c>
      <c r="AI24552" s="831">
        <v>0</v>
      </c>
      <c r="AJ24552" s="835">
        <v>41912</v>
      </c>
      <c r="AK24552" s="831">
        <v>0.78366250000000004</v>
      </c>
    </row>
    <row r="24553" spans="32:37">
      <c r="AF24553" s="831" t="s">
        <v>11676</v>
      </c>
      <c r="AG24553" s="831" t="s">
        <v>2674</v>
      </c>
      <c r="AH24553" s="831" t="s">
        <v>568</v>
      </c>
      <c r="AI24553" s="831">
        <v>0</v>
      </c>
      <c r="AJ24553" s="835">
        <v>41912</v>
      </c>
      <c r="AK24553" s="831">
        <v>671683974.07307696</v>
      </c>
    </row>
    <row r="24554" spans="32:37">
      <c r="AF24554" s="831" t="s">
        <v>11677</v>
      </c>
      <c r="AG24554" s="831" t="s">
        <v>2674</v>
      </c>
      <c r="AH24554" s="831" t="s">
        <v>569</v>
      </c>
      <c r="AI24554" s="831">
        <v>0</v>
      </c>
      <c r="AJ24554" s="835">
        <v>41912</v>
      </c>
      <c r="AK24554" s="831">
        <v>832078660.51176918</v>
      </c>
    </row>
    <row r="24555" spans="32:37">
      <c r="AF24555" s="831" t="s">
        <v>11678</v>
      </c>
      <c r="AG24555" s="831" t="s">
        <v>2674</v>
      </c>
      <c r="AH24555" s="831" t="s">
        <v>570</v>
      </c>
      <c r="AI24555" s="831">
        <v>0</v>
      </c>
      <c r="AJ24555" s="835">
        <v>41912</v>
      </c>
      <c r="AK24555" s="831">
        <v>127379907.52276923</v>
      </c>
    </row>
    <row r="24556" spans="32:37">
      <c r="AF24556" s="831" t="s">
        <v>11679</v>
      </c>
      <c r="AG24556" s="831" t="s">
        <v>2674</v>
      </c>
      <c r="AH24556" s="831" t="s">
        <v>571</v>
      </c>
      <c r="AI24556" s="831">
        <v>0</v>
      </c>
      <c r="AJ24556" s="835">
        <v>41912</v>
      </c>
      <c r="AK24556" s="831">
        <v>409242621.46846157</v>
      </c>
    </row>
    <row r="24557" spans="32:37">
      <c r="AF24557" s="831" t="s">
        <v>11680</v>
      </c>
      <c r="AG24557" s="831" t="s">
        <v>2674</v>
      </c>
      <c r="AH24557" s="831" t="s">
        <v>573</v>
      </c>
      <c r="AI24557" s="831">
        <v>0</v>
      </c>
      <c r="AJ24557" s="835">
        <v>41912</v>
      </c>
      <c r="AK24557" s="831">
        <v>865626907.3563</v>
      </c>
    </row>
    <row r="24558" spans="32:37">
      <c r="AF24558" s="831" t="s">
        <v>11681</v>
      </c>
      <c r="AG24558" s="831" t="s">
        <v>2674</v>
      </c>
      <c r="AH24558" s="831" t="s">
        <v>574</v>
      </c>
      <c r="AI24558" s="831">
        <v>0</v>
      </c>
      <c r="AJ24558" s="835">
        <v>41912</v>
      </c>
      <c r="AK24558" s="831">
        <v>698958196.60000002</v>
      </c>
    </row>
    <row r="24559" spans="32:37">
      <c r="AF24559" s="831" t="s">
        <v>11682</v>
      </c>
      <c r="AG24559" s="831" t="s">
        <v>2674</v>
      </c>
      <c r="AH24559" s="831" t="s">
        <v>575</v>
      </c>
      <c r="AI24559" s="831">
        <v>0</v>
      </c>
      <c r="AJ24559" s="835">
        <v>41912</v>
      </c>
      <c r="AK24559" s="831">
        <v>129535935.794</v>
      </c>
    </row>
    <row r="24560" spans="32:37">
      <c r="AF24560" s="831" t="s">
        <v>11683</v>
      </c>
      <c r="AG24560" s="831" t="s">
        <v>2674</v>
      </c>
      <c r="AH24560" s="831" t="s">
        <v>576</v>
      </c>
      <c r="AI24560" s="831">
        <v>0</v>
      </c>
      <c r="AJ24560" s="835">
        <v>41912</v>
      </c>
      <c r="AK24560" s="831">
        <v>427412859.60280001</v>
      </c>
    </row>
    <row r="24561" spans="32:37">
      <c r="AF24561" s="831" t="s">
        <v>11684</v>
      </c>
      <c r="AG24561" s="831" t="s">
        <v>2674</v>
      </c>
      <c r="AH24561" s="831" t="s">
        <v>572</v>
      </c>
      <c r="AI24561" s="831">
        <v>0</v>
      </c>
      <c r="AJ24561" s="835">
        <v>41912</v>
      </c>
      <c r="AK24561" s="831">
        <v>33781162.955999985</v>
      </c>
    </row>
    <row r="24562" spans="32:37">
      <c r="AF24562" s="831" t="s">
        <v>11685</v>
      </c>
      <c r="AG24562" s="831" t="s">
        <v>2674</v>
      </c>
      <c r="AH24562" s="831" t="s">
        <v>577</v>
      </c>
      <c r="AI24562" s="831">
        <v>0</v>
      </c>
      <c r="AJ24562" s="835">
        <v>41912</v>
      </c>
      <c r="AK24562" s="831">
        <v>164186629.76300001</v>
      </c>
    </row>
    <row r="24563" spans="32:37">
      <c r="AF24563" s="831" t="s">
        <v>11686</v>
      </c>
      <c r="AG24563" s="831" t="s">
        <v>2674</v>
      </c>
      <c r="AH24563" s="831" t="s">
        <v>3042</v>
      </c>
      <c r="AI24563" s="831">
        <v>0</v>
      </c>
      <c r="AJ24563" s="835">
        <v>41912</v>
      </c>
      <c r="AK24563" s="831">
        <v>-47764358.527000003</v>
      </c>
    </row>
    <row r="24564" spans="32:37">
      <c r="AF24564" s="831" t="s">
        <v>11687</v>
      </c>
      <c r="AG24564" s="831" t="s">
        <v>2674</v>
      </c>
      <c r="AH24564" s="831" t="s">
        <v>3044</v>
      </c>
      <c r="AI24564" s="831">
        <v>0</v>
      </c>
      <c r="AJ24564" s="835">
        <v>41912</v>
      </c>
      <c r="AK24564" s="831">
        <v>-2027515.8899999997</v>
      </c>
    </row>
    <row r="24565" spans="32:37">
      <c r="AF24565" s="831" t="s">
        <v>11688</v>
      </c>
      <c r="AG24565" s="831" t="s">
        <v>2674</v>
      </c>
      <c r="AH24565" s="831" t="s">
        <v>580</v>
      </c>
      <c r="AI24565" s="831">
        <v>0</v>
      </c>
      <c r="AJ24565" s="835">
        <v>41912</v>
      </c>
      <c r="AK24565" s="831">
        <v>-75872333.307000011</v>
      </c>
    </row>
    <row r="24566" spans="32:37">
      <c r="AF24566" s="831" t="s">
        <v>11689</v>
      </c>
      <c r="AG24566" s="831" t="s">
        <v>2674</v>
      </c>
      <c r="AH24566" s="831" t="s">
        <v>581</v>
      </c>
      <c r="AI24566" s="831">
        <v>0</v>
      </c>
      <c r="AJ24566" s="835">
        <v>41912</v>
      </c>
      <c r="AK24566" s="831">
        <v>6304407.8940000003</v>
      </c>
    </row>
    <row r="24567" spans="32:37">
      <c r="AF24567" s="831" t="s">
        <v>11690</v>
      </c>
      <c r="AG24567" s="831" t="s">
        <v>2674</v>
      </c>
      <c r="AH24567" s="831" t="s">
        <v>105</v>
      </c>
      <c r="AI24567" s="831">
        <v>0</v>
      </c>
      <c r="AJ24567" s="835">
        <v>41912</v>
      </c>
      <c r="AK24567" s="831">
        <v>472452480</v>
      </c>
    </row>
    <row r="24568" spans="32:37">
      <c r="AF24568" s="831" t="s">
        <v>11691</v>
      </c>
      <c r="AG24568" s="831" t="s">
        <v>2674</v>
      </c>
      <c r="AH24568" s="831" t="s">
        <v>3049</v>
      </c>
      <c r="AI24568" s="831">
        <v>0</v>
      </c>
      <c r="AJ24568" s="835">
        <v>41912</v>
      </c>
      <c r="AK24568" s="831">
        <v>783051294</v>
      </c>
    </row>
    <row r="24569" spans="32:37">
      <c r="AF24569" s="831" t="s">
        <v>11692</v>
      </c>
      <c r="AG24569" s="831" t="s">
        <v>2674</v>
      </c>
      <c r="AH24569" s="831" t="s">
        <v>103</v>
      </c>
      <c r="AI24569" s="831">
        <v>0</v>
      </c>
      <c r="AJ24569" s="835">
        <v>41912</v>
      </c>
      <c r="AK24569" s="831">
        <v>310598814</v>
      </c>
    </row>
    <row r="24570" spans="32:37">
      <c r="AF24570" s="831" t="s">
        <v>11693</v>
      </c>
      <c r="AG24570" s="831" t="s">
        <v>2674</v>
      </c>
      <c r="AH24570" s="831" t="s">
        <v>182</v>
      </c>
      <c r="AI24570" s="831">
        <v>0</v>
      </c>
      <c r="AJ24570" s="835">
        <v>41912</v>
      </c>
      <c r="AK24570" s="831">
        <v>73471997.333333328</v>
      </c>
    </row>
    <row r="24571" spans="32:37">
      <c r="AF24571" s="831" t="s">
        <v>11694</v>
      </c>
      <c r="AG24571" s="831" t="s">
        <v>2674</v>
      </c>
      <c r="AH24571" s="831" t="s">
        <v>6600</v>
      </c>
      <c r="AI24571" s="831">
        <v>0</v>
      </c>
      <c r="AJ24571" s="835">
        <v>41912</v>
      </c>
      <c r="AK24571" s="831">
        <v>33781162.955999985</v>
      </c>
    </row>
    <row r="24572" spans="32:37">
      <c r="AF24572" s="831" t="s">
        <v>11695</v>
      </c>
      <c r="AG24572" s="831" t="s">
        <v>2674</v>
      </c>
      <c r="AH24572" s="831" t="s">
        <v>6602</v>
      </c>
      <c r="AI24572" s="831">
        <v>0</v>
      </c>
      <c r="AJ24572" s="835">
        <v>41912</v>
      </c>
      <c r="AK24572" s="831">
        <v>29012035</v>
      </c>
    </row>
    <row r="24573" spans="32:37">
      <c r="AF24573" s="831" t="s">
        <v>11696</v>
      </c>
      <c r="AG24573" s="831" t="s">
        <v>2674</v>
      </c>
      <c r="AH24573" s="831" t="s">
        <v>650</v>
      </c>
      <c r="AI24573" s="831">
        <v>0</v>
      </c>
      <c r="AJ24573" s="835">
        <v>41912</v>
      </c>
      <c r="AK24573" s="831">
        <v>273036122.95146155</v>
      </c>
    </row>
    <row r="24574" spans="32:37">
      <c r="AF24574" s="831" t="s">
        <v>11697</v>
      </c>
      <c r="AG24574" s="831" t="s">
        <v>2674</v>
      </c>
      <c r="AH24574" s="831" t="s">
        <v>655</v>
      </c>
      <c r="AI24574" s="831">
        <v>0</v>
      </c>
      <c r="AJ24574" s="835">
        <v>41912</v>
      </c>
      <c r="AK24574" s="831">
        <v>1341189</v>
      </c>
    </row>
    <row r="24575" spans="32:37">
      <c r="AF24575" s="831" t="s">
        <v>11698</v>
      </c>
      <c r="AG24575" s="831" t="s">
        <v>2674</v>
      </c>
      <c r="AH24575" s="831" t="s">
        <v>546</v>
      </c>
      <c r="AI24575" s="831">
        <v>0</v>
      </c>
      <c r="AJ24575" s="835">
        <v>41943</v>
      </c>
      <c r="AK24575" s="831">
        <v>788185615</v>
      </c>
    </row>
    <row r="24576" spans="32:37">
      <c r="AF24576" s="831" t="s">
        <v>11699</v>
      </c>
      <c r="AG24576" s="831" t="s">
        <v>2674</v>
      </c>
      <c r="AH24576" s="831" t="s">
        <v>370</v>
      </c>
      <c r="AI24576" s="831">
        <v>0</v>
      </c>
      <c r="AJ24576" s="835">
        <v>41943</v>
      </c>
      <c r="AK24576" s="831">
        <v>999911217</v>
      </c>
    </row>
    <row r="24577" spans="32:37">
      <c r="AF24577" s="831" t="s">
        <v>11700</v>
      </c>
      <c r="AG24577" s="831" t="s">
        <v>2674</v>
      </c>
      <c r="AH24577" s="831" t="s">
        <v>126</v>
      </c>
      <c r="AI24577" s="831">
        <v>0</v>
      </c>
      <c r="AJ24577" s="835">
        <v>41943</v>
      </c>
      <c r="AK24577" s="831">
        <v>149380039</v>
      </c>
    </row>
    <row r="24578" spans="32:37">
      <c r="AF24578" s="831" t="s">
        <v>11701</v>
      </c>
      <c r="AG24578" s="831" t="s">
        <v>2674</v>
      </c>
      <c r="AH24578" s="831" t="s">
        <v>268</v>
      </c>
      <c r="AI24578" s="831">
        <v>0</v>
      </c>
      <c r="AJ24578" s="835">
        <v>41943</v>
      </c>
      <c r="AK24578" s="831">
        <v>32657533</v>
      </c>
    </row>
    <row r="24579" spans="32:37">
      <c r="AF24579" s="831" t="s">
        <v>11702</v>
      </c>
      <c r="AG24579" s="831" t="s">
        <v>2674</v>
      </c>
      <c r="AH24579" s="831" t="s">
        <v>547</v>
      </c>
      <c r="AI24579" s="831">
        <v>0</v>
      </c>
      <c r="AJ24579" s="835">
        <v>41943</v>
      </c>
      <c r="AK24579" s="831">
        <v>777719977</v>
      </c>
    </row>
    <row r="24580" spans="32:37">
      <c r="AF24580" s="831" t="s">
        <v>11703</v>
      </c>
      <c r="AG24580" s="831" t="s">
        <v>2674</v>
      </c>
      <c r="AH24580" s="831" t="s">
        <v>548</v>
      </c>
      <c r="AI24580" s="831">
        <v>0</v>
      </c>
      <c r="AJ24580" s="835">
        <v>41943</v>
      </c>
      <c r="AK24580" s="831">
        <v>117105496</v>
      </c>
    </row>
    <row r="24581" spans="32:37">
      <c r="AF24581" s="831" t="s">
        <v>11704</v>
      </c>
      <c r="AG24581" s="831" t="s">
        <v>2674</v>
      </c>
      <c r="AH24581" s="831" t="s">
        <v>549</v>
      </c>
      <c r="AI24581" s="831">
        <v>0</v>
      </c>
      <c r="AJ24581" s="835">
        <v>41943</v>
      </c>
      <c r="AK24581" s="831">
        <v>580271359</v>
      </c>
    </row>
    <row r="24582" spans="32:37">
      <c r="AF24582" s="831" t="s">
        <v>11705</v>
      </c>
      <c r="AG24582" s="831" t="s">
        <v>2674</v>
      </c>
      <c r="AH24582" s="831" t="s">
        <v>192</v>
      </c>
      <c r="AI24582" s="831">
        <v>0</v>
      </c>
      <c r="AJ24582" s="835">
        <v>41943</v>
      </c>
      <c r="AK24582" s="831">
        <v>-11001950</v>
      </c>
    </row>
    <row r="24583" spans="32:37">
      <c r="AF24583" s="831" t="s">
        <v>11706</v>
      </c>
      <c r="AG24583" s="831" t="s">
        <v>2674</v>
      </c>
      <c r="AH24583" s="831" t="s">
        <v>558</v>
      </c>
      <c r="AI24583" s="831">
        <v>0</v>
      </c>
      <c r="AJ24583" s="835">
        <v>41943</v>
      </c>
      <c r="AK24583" s="831">
        <v>850531537</v>
      </c>
    </row>
    <row r="24584" spans="32:37">
      <c r="AF24584" s="831" t="s">
        <v>11707</v>
      </c>
      <c r="AG24584" s="831" t="s">
        <v>2674</v>
      </c>
      <c r="AH24584" s="831" t="s">
        <v>65</v>
      </c>
      <c r="AI24584" s="831">
        <v>0</v>
      </c>
      <c r="AJ24584" s="835">
        <v>41943</v>
      </c>
      <c r="AK24584" s="831">
        <v>144545337</v>
      </c>
    </row>
    <row r="24585" spans="32:37">
      <c r="AF24585" s="831" t="s">
        <v>11708</v>
      </c>
      <c r="AG24585" s="831" t="s">
        <v>2674</v>
      </c>
      <c r="AH24585" s="831" t="s">
        <v>89</v>
      </c>
      <c r="AI24585" s="831">
        <v>0</v>
      </c>
      <c r="AJ24585" s="835">
        <v>41943</v>
      </c>
      <c r="AK24585" s="831">
        <v>159189</v>
      </c>
    </row>
    <row r="24586" spans="32:37">
      <c r="AF24586" s="831" t="s">
        <v>11709</v>
      </c>
      <c r="AG24586" s="831" t="s">
        <v>2674</v>
      </c>
      <c r="AH24586" s="831" t="s">
        <v>557</v>
      </c>
      <c r="AI24586" s="831">
        <v>0</v>
      </c>
      <c r="AJ24586" s="835">
        <v>41943</v>
      </c>
      <c r="AK24586" s="831">
        <v>176925</v>
      </c>
    </row>
    <row r="24587" spans="32:37">
      <c r="AF24587" s="831" t="s">
        <v>11710</v>
      </c>
      <c r="AG24587" s="831" t="s">
        <v>2674</v>
      </c>
      <c r="AH24587" s="831" t="s">
        <v>29</v>
      </c>
      <c r="AI24587" s="831">
        <v>0</v>
      </c>
      <c r="AJ24587" s="835">
        <v>41943</v>
      </c>
      <c r="AK24587" s="831">
        <v>4443738</v>
      </c>
    </row>
    <row r="24588" spans="32:37">
      <c r="AF24588" s="831" t="s">
        <v>11711</v>
      </c>
      <c r="AG24588" s="831" t="s">
        <v>2674</v>
      </c>
      <c r="AH24588" s="831" t="s">
        <v>2688</v>
      </c>
      <c r="AI24588" s="831">
        <v>0</v>
      </c>
      <c r="AJ24588" s="835">
        <v>41943</v>
      </c>
      <c r="AK24588" s="831">
        <v>4878770.040000001</v>
      </c>
    </row>
    <row r="24589" spans="32:37">
      <c r="AF24589" s="831" t="s">
        <v>11712</v>
      </c>
      <c r="AG24589" s="831" t="s">
        <v>2674</v>
      </c>
      <c r="AH24589" s="831" t="s">
        <v>556</v>
      </c>
      <c r="AI24589" s="831">
        <v>0</v>
      </c>
      <c r="AJ24589" s="835">
        <v>41943</v>
      </c>
      <c r="AK24589" s="831">
        <v>8151347</v>
      </c>
    </row>
    <row r="24590" spans="32:37">
      <c r="AF24590" s="831" t="s">
        <v>11713</v>
      </c>
      <c r="AG24590" s="831" t="s">
        <v>2674</v>
      </c>
      <c r="AH24590" s="831" t="s">
        <v>555</v>
      </c>
      <c r="AI24590" s="831">
        <v>0</v>
      </c>
      <c r="AJ24590" s="835">
        <v>41943</v>
      </c>
      <c r="AK24590" s="831">
        <v>560953709</v>
      </c>
    </row>
    <row r="24591" spans="32:37">
      <c r="AF24591" s="831" t="s">
        <v>11714</v>
      </c>
      <c r="AG24591" s="831" t="s">
        <v>2674</v>
      </c>
      <c r="AH24591" s="831" t="s">
        <v>554</v>
      </c>
      <c r="AI24591" s="831">
        <v>0</v>
      </c>
      <c r="AJ24591" s="835">
        <v>41943</v>
      </c>
      <c r="AK24591" s="831">
        <v>571019140</v>
      </c>
    </row>
    <row r="24592" spans="32:37">
      <c r="AF24592" s="831" t="s">
        <v>11715</v>
      </c>
      <c r="AG24592" s="831" t="s">
        <v>2674</v>
      </c>
      <c r="AH24592" s="831" t="s">
        <v>553</v>
      </c>
      <c r="AI24592" s="831">
        <v>0</v>
      </c>
      <c r="AJ24592" s="835">
        <v>41943</v>
      </c>
      <c r="AK24592" s="831">
        <v>0</v>
      </c>
    </row>
    <row r="24593" spans="32:37">
      <c r="AF24593" s="831" t="s">
        <v>11716</v>
      </c>
      <c r="AG24593" s="831" t="s">
        <v>2674</v>
      </c>
      <c r="AH24593" s="831" t="s">
        <v>552</v>
      </c>
      <c r="AI24593" s="831">
        <v>0</v>
      </c>
      <c r="AJ24593" s="835">
        <v>41943</v>
      </c>
      <c r="AK24593" s="831">
        <v>0</v>
      </c>
    </row>
    <row r="24594" spans="32:37">
      <c r="AF24594" s="831" t="s">
        <v>11717</v>
      </c>
      <c r="AG24594" s="831" t="s">
        <v>2674</v>
      </c>
      <c r="AH24594" s="831" t="s">
        <v>551</v>
      </c>
      <c r="AI24594" s="831">
        <v>0</v>
      </c>
      <c r="AJ24594" s="835">
        <v>41943</v>
      </c>
      <c r="AK24594" s="831">
        <v>1179234</v>
      </c>
    </row>
    <row r="24595" spans="32:37">
      <c r="AF24595" s="831" t="s">
        <v>11718</v>
      </c>
      <c r="AG24595" s="831" t="s">
        <v>2674</v>
      </c>
      <c r="AH24595" s="831" t="s">
        <v>550</v>
      </c>
      <c r="AI24595" s="831">
        <v>0</v>
      </c>
      <c r="AJ24595" s="835">
        <v>41943</v>
      </c>
      <c r="AK24595" s="831">
        <v>145830225</v>
      </c>
    </row>
    <row r="24596" spans="32:37">
      <c r="AF24596" s="831" t="s">
        <v>11719</v>
      </c>
      <c r="AG24596" s="831" t="s">
        <v>2674</v>
      </c>
      <c r="AH24596" s="831" t="s">
        <v>562</v>
      </c>
      <c r="AI24596" s="831">
        <v>0</v>
      </c>
      <c r="AJ24596" s="835">
        <v>41943</v>
      </c>
      <c r="AK24596" s="831">
        <v>0.78380000000000005</v>
      </c>
    </row>
    <row r="24597" spans="32:37">
      <c r="AF24597" s="831" t="s">
        <v>11720</v>
      </c>
      <c r="AG24597" s="831" t="s">
        <v>2674</v>
      </c>
      <c r="AH24597" s="831" t="s">
        <v>2698</v>
      </c>
      <c r="AI24597" s="831">
        <v>0</v>
      </c>
      <c r="AJ24597" s="835">
        <v>41943</v>
      </c>
      <c r="AK24597" s="831">
        <v>0.78325</v>
      </c>
    </row>
    <row r="24598" spans="32:37">
      <c r="AF24598" s="831" t="s">
        <v>11721</v>
      </c>
      <c r="AG24598" s="831" t="s">
        <v>2674</v>
      </c>
      <c r="AH24598" s="831" t="s">
        <v>560</v>
      </c>
      <c r="AI24598" s="831">
        <v>0</v>
      </c>
      <c r="AJ24598" s="835">
        <v>41943</v>
      </c>
      <c r="AK24598" s="831">
        <v>0.78366000000000002</v>
      </c>
    </row>
    <row r="24599" spans="32:37">
      <c r="AF24599" s="831" t="s">
        <v>11722</v>
      </c>
      <c r="AG24599" s="831" t="s">
        <v>2674</v>
      </c>
      <c r="AH24599" s="831" t="s">
        <v>559</v>
      </c>
      <c r="AI24599" s="831">
        <v>0</v>
      </c>
      <c r="AJ24599" s="835">
        <v>41943</v>
      </c>
      <c r="AK24599" s="831">
        <v>0.78364999999999985</v>
      </c>
    </row>
    <row r="24600" spans="32:37">
      <c r="AF24600" s="831" t="s">
        <v>11723</v>
      </c>
      <c r="AG24600" s="831" t="s">
        <v>2674</v>
      </c>
      <c r="AH24600" s="831" t="s">
        <v>568</v>
      </c>
      <c r="AI24600" s="831">
        <v>0</v>
      </c>
      <c r="AJ24600" s="835">
        <v>41943</v>
      </c>
      <c r="AK24600" s="831">
        <v>688929865.38076925</v>
      </c>
    </row>
    <row r="24601" spans="32:37">
      <c r="AF24601" s="831" t="s">
        <v>11724</v>
      </c>
      <c r="AG24601" s="831" t="s">
        <v>2674</v>
      </c>
      <c r="AH24601" s="831" t="s">
        <v>569</v>
      </c>
      <c r="AI24601" s="831">
        <v>0</v>
      </c>
      <c r="AJ24601" s="835">
        <v>41943</v>
      </c>
      <c r="AK24601" s="831">
        <v>855702939.81946158</v>
      </c>
    </row>
    <row r="24602" spans="32:37">
      <c r="AF24602" s="831" t="s">
        <v>11725</v>
      </c>
      <c r="AG24602" s="831" t="s">
        <v>2674</v>
      </c>
      <c r="AH24602" s="831" t="s">
        <v>570</v>
      </c>
      <c r="AI24602" s="831">
        <v>0</v>
      </c>
      <c r="AJ24602" s="835">
        <v>41943</v>
      </c>
      <c r="AK24602" s="831">
        <v>129857553.83046153</v>
      </c>
    </row>
    <row r="24603" spans="32:37">
      <c r="AF24603" s="831" t="s">
        <v>11726</v>
      </c>
      <c r="AG24603" s="831" t="s">
        <v>2674</v>
      </c>
      <c r="AH24603" s="831" t="s">
        <v>571</v>
      </c>
      <c r="AI24603" s="831">
        <v>0</v>
      </c>
      <c r="AJ24603" s="835">
        <v>41943</v>
      </c>
      <c r="AK24603" s="831">
        <v>421465171.16076922</v>
      </c>
    </row>
    <row r="24604" spans="32:37">
      <c r="AF24604" s="831" t="s">
        <v>11727</v>
      </c>
      <c r="AG24604" s="831" t="s">
        <v>2674</v>
      </c>
      <c r="AH24604" s="831" t="s">
        <v>573</v>
      </c>
      <c r="AI24604" s="831">
        <v>0</v>
      </c>
      <c r="AJ24604" s="835">
        <v>41943</v>
      </c>
      <c r="AK24604" s="831">
        <v>877834571.86936367</v>
      </c>
    </row>
    <row r="24605" spans="32:37">
      <c r="AF24605" s="831" t="s">
        <v>11728</v>
      </c>
      <c r="AG24605" s="831" t="s">
        <v>2674</v>
      </c>
      <c r="AH24605" s="831" t="s">
        <v>574</v>
      </c>
      <c r="AI24605" s="831">
        <v>0</v>
      </c>
      <c r="AJ24605" s="835">
        <v>41943</v>
      </c>
      <c r="AK24605" s="831">
        <v>707069780.09090912</v>
      </c>
    </row>
    <row r="24606" spans="32:37">
      <c r="AF24606" s="831" t="s">
        <v>11729</v>
      </c>
      <c r="AG24606" s="831" t="s">
        <v>2674</v>
      </c>
      <c r="AH24606" s="831" t="s">
        <v>575</v>
      </c>
      <c r="AI24606" s="831">
        <v>0</v>
      </c>
      <c r="AJ24606" s="835">
        <v>41943</v>
      </c>
      <c r="AK24606" s="831">
        <v>131339945.17636365</v>
      </c>
    </row>
    <row r="24607" spans="32:37">
      <c r="AF24607" s="831" t="s">
        <v>11730</v>
      </c>
      <c r="AG24607" s="831" t="s">
        <v>2674</v>
      </c>
      <c r="AH24607" s="831" t="s">
        <v>576</v>
      </c>
      <c r="AI24607" s="831">
        <v>0</v>
      </c>
      <c r="AJ24607" s="835">
        <v>41943</v>
      </c>
      <c r="AK24607" s="831">
        <v>433816282.72981817</v>
      </c>
    </row>
    <row r="24608" spans="32:37">
      <c r="AF24608" s="831" t="s">
        <v>11731</v>
      </c>
      <c r="AG24608" s="831" t="s">
        <v>2674</v>
      </c>
      <c r="AH24608" s="831" t="s">
        <v>572</v>
      </c>
      <c r="AI24608" s="831">
        <v>0</v>
      </c>
      <c r="AJ24608" s="835">
        <v>41943</v>
      </c>
      <c r="AK24608" s="831">
        <v>34306433.956</v>
      </c>
    </row>
    <row r="24609" spans="32:37">
      <c r="AF24609" s="831" t="s">
        <v>11732</v>
      </c>
      <c r="AG24609" s="831" t="s">
        <v>2674</v>
      </c>
      <c r="AH24609" s="831" t="s">
        <v>577</v>
      </c>
      <c r="AI24609" s="831">
        <v>0</v>
      </c>
      <c r="AJ24609" s="835">
        <v>41943</v>
      </c>
      <c r="AK24609" s="831">
        <v>169874551.76300001</v>
      </c>
    </row>
    <row r="24610" spans="32:37">
      <c r="AF24610" s="831" t="s">
        <v>11733</v>
      </c>
      <c r="AG24610" s="831" t="s">
        <v>2674</v>
      </c>
      <c r="AH24610" s="831" t="s">
        <v>3042</v>
      </c>
      <c r="AI24610" s="831">
        <v>0</v>
      </c>
      <c r="AJ24610" s="835">
        <v>41943</v>
      </c>
      <c r="AK24610" s="831">
        <v>-49231778.527000003</v>
      </c>
    </row>
    <row r="24611" spans="32:37">
      <c r="AF24611" s="831" t="s">
        <v>11734</v>
      </c>
      <c r="AG24611" s="831" t="s">
        <v>2674</v>
      </c>
      <c r="AH24611" s="831" t="s">
        <v>3044</v>
      </c>
      <c r="AI24611" s="831">
        <v>0</v>
      </c>
      <c r="AJ24611" s="835">
        <v>41943</v>
      </c>
      <c r="AK24611" s="831">
        <v>-1676338.8899999997</v>
      </c>
    </row>
    <row r="24612" spans="32:37">
      <c r="AF24612" s="831" t="s">
        <v>11735</v>
      </c>
      <c r="AG24612" s="831" t="s">
        <v>2674</v>
      </c>
      <c r="AH24612" s="831" t="s">
        <v>580</v>
      </c>
      <c r="AI24612" s="831">
        <v>0</v>
      </c>
      <c r="AJ24612" s="835">
        <v>41943</v>
      </c>
      <c r="AK24612" s="831">
        <v>-77780641.306999996</v>
      </c>
    </row>
    <row r="24613" spans="32:37">
      <c r="AF24613" s="831" t="s">
        <v>11736</v>
      </c>
      <c r="AG24613" s="831" t="s">
        <v>2674</v>
      </c>
      <c r="AH24613" s="831" t="s">
        <v>581</v>
      </c>
      <c r="AI24613" s="831">
        <v>0</v>
      </c>
      <c r="AJ24613" s="835">
        <v>41943</v>
      </c>
      <c r="AK24613" s="831">
        <v>4385512.8940000003</v>
      </c>
    </row>
    <row r="24614" spans="32:37">
      <c r="AF24614" s="831" t="s">
        <v>11737</v>
      </c>
      <c r="AG24614" s="831" t="s">
        <v>2674</v>
      </c>
      <c r="AH24614" s="831" t="s">
        <v>105</v>
      </c>
      <c r="AI24614" s="831">
        <v>0</v>
      </c>
      <c r="AJ24614" s="835">
        <v>41943</v>
      </c>
      <c r="AK24614" s="831">
        <v>497850514</v>
      </c>
    </row>
    <row r="24615" spans="32:37">
      <c r="AF24615" s="831" t="s">
        <v>11738</v>
      </c>
      <c r="AG24615" s="831" t="s">
        <v>2674</v>
      </c>
      <c r="AH24615" s="831" t="s">
        <v>3049</v>
      </c>
      <c r="AI24615" s="831">
        <v>0</v>
      </c>
      <c r="AJ24615" s="835">
        <v>41943</v>
      </c>
      <c r="AK24615" s="831">
        <v>819726974</v>
      </c>
    </row>
    <row r="24616" spans="32:37">
      <c r="AF24616" s="831" t="s">
        <v>11739</v>
      </c>
      <c r="AG24616" s="831" t="s">
        <v>2674</v>
      </c>
      <c r="AH24616" s="831" t="s">
        <v>103</v>
      </c>
      <c r="AI24616" s="831">
        <v>0</v>
      </c>
      <c r="AJ24616" s="835">
        <v>41943</v>
      </c>
      <c r="AK24616" s="831">
        <v>321876460</v>
      </c>
    </row>
    <row r="24617" spans="32:37">
      <c r="AF24617" s="831" t="s">
        <v>11740</v>
      </c>
      <c r="AG24617" s="831" t="s">
        <v>2674</v>
      </c>
      <c r="AH24617" s="831" t="s">
        <v>182</v>
      </c>
      <c r="AI24617" s="831">
        <v>0</v>
      </c>
      <c r="AJ24617" s="835">
        <v>41943</v>
      </c>
      <c r="AK24617" s="831">
        <v>74624670</v>
      </c>
    </row>
    <row r="24618" spans="32:37">
      <c r="AF24618" s="831" t="s">
        <v>11741</v>
      </c>
      <c r="AG24618" s="831" t="s">
        <v>2674</v>
      </c>
      <c r="AH24618" s="831" t="s">
        <v>6600</v>
      </c>
      <c r="AI24618" s="831">
        <v>0</v>
      </c>
      <c r="AJ24618" s="835">
        <v>41943</v>
      </c>
      <c r="AK24618" s="831">
        <v>34306433.956</v>
      </c>
    </row>
    <row r="24619" spans="32:37">
      <c r="AF24619" s="831" t="s">
        <v>11742</v>
      </c>
      <c r="AG24619" s="831" t="s">
        <v>2674</v>
      </c>
      <c r="AH24619" s="831" t="s">
        <v>6602</v>
      </c>
      <c r="AI24619" s="831">
        <v>0</v>
      </c>
      <c r="AJ24619" s="835">
        <v>41943</v>
      </c>
      <c r="AK24619" s="831">
        <v>32657533</v>
      </c>
    </row>
    <row r="24620" spans="32:37">
      <c r="AF24620" s="831" t="s">
        <v>11743</v>
      </c>
      <c r="AG24620" s="831" t="s">
        <v>2674</v>
      </c>
      <c r="AH24620" s="831" t="s">
        <v>650</v>
      </c>
      <c r="AI24620" s="831">
        <v>0</v>
      </c>
      <c r="AJ24620" s="835">
        <v>41943</v>
      </c>
      <c r="AK24620" s="831">
        <v>280875581.18223077</v>
      </c>
    </row>
    <row r="24621" spans="32:37">
      <c r="AF24621" s="831" t="s">
        <v>11744</v>
      </c>
      <c r="AG24621" s="831" t="s">
        <v>2674</v>
      </c>
      <c r="AH24621" s="831" t="s">
        <v>655</v>
      </c>
      <c r="AI24621" s="831">
        <v>0</v>
      </c>
      <c r="AJ24621" s="835">
        <v>41943</v>
      </c>
      <c r="AK24621" s="831">
        <v>824847</v>
      </c>
    </row>
    <row r="24622" spans="32:37">
      <c r="AF24622" s="831" t="s">
        <v>11745</v>
      </c>
      <c r="AG24622" s="831" t="s">
        <v>2674</v>
      </c>
      <c r="AH24622" s="831" t="s">
        <v>546</v>
      </c>
      <c r="AI24622" s="831">
        <v>0</v>
      </c>
      <c r="AJ24622" s="835">
        <v>41973</v>
      </c>
      <c r="AK24622" s="831">
        <v>802902472</v>
      </c>
    </row>
    <row r="24623" spans="32:37">
      <c r="AF24623" s="831" t="s">
        <v>11746</v>
      </c>
      <c r="AG24623" s="831" t="s">
        <v>2674</v>
      </c>
      <c r="AH24623" s="831" t="s">
        <v>370</v>
      </c>
      <c r="AI24623" s="831">
        <v>0</v>
      </c>
      <c r="AJ24623" s="835">
        <v>41973</v>
      </c>
      <c r="AK24623" s="831">
        <v>1000702434</v>
      </c>
    </row>
    <row r="24624" spans="32:37">
      <c r="AF24624" s="831" t="s">
        <v>11747</v>
      </c>
      <c r="AG24624" s="831" t="s">
        <v>2674</v>
      </c>
      <c r="AH24624" s="831" t="s">
        <v>126</v>
      </c>
      <c r="AI24624" s="831">
        <v>0</v>
      </c>
      <c r="AJ24624" s="835">
        <v>41973</v>
      </c>
      <c r="AK24624" s="831">
        <v>153599665</v>
      </c>
    </row>
    <row r="24625" spans="32:37">
      <c r="AF24625" s="831" t="s">
        <v>11748</v>
      </c>
      <c r="AG24625" s="831" t="s">
        <v>2674</v>
      </c>
      <c r="AH24625" s="831" t="s">
        <v>268</v>
      </c>
      <c r="AI24625" s="831">
        <v>0</v>
      </c>
      <c r="AJ24625" s="835">
        <v>41973</v>
      </c>
      <c r="AK24625" s="831">
        <v>35013602</v>
      </c>
    </row>
    <row r="24626" spans="32:37">
      <c r="AF24626" s="831" t="s">
        <v>11749</v>
      </c>
      <c r="AG24626" s="831" t="s">
        <v>2674</v>
      </c>
      <c r="AH24626" s="831" t="s">
        <v>547</v>
      </c>
      <c r="AI24626" s="831">
        <v>0</v>
      </c>
      <c r="AJ24626" s="835">
        <v>41973</v>
      </c>
      <c r="AK24626" s="831">
        <v>777719977</v>
      </c>
    </row>
    <row r="24627" spans="32:37">
      <c r="AF24627" s="831" t="s">
        <v>11750</v>
      </c>
      <c r="AG24627" s="831" t="s">
        <v>2674</v>
      </c>
      <c r="AH24627" s="831" t="s">
        <v>548</v>
      </c>
      <c r="AI24627" s="831">
        <v>0</v>
      </c>
      <c r="AJ24627" s="835">
        <v>41973</v>
      </c>
      <c r="AK24627" s="831">
        <v>117105496</v>
      </c>
    </row>
    <row r="24628" spans="32:37">
      <c r="AF24628" s="831" t="s">
        <v>11751</v>
      </c>
      <c r="AG24628" s="831" t="s">
        <v>2674</v>
      </c>
      <c r="AH24628" s="831" t="s">
        <v>549</v>
      </c>
      <c r="AI24628" s="831">
        <v>0</v>
      </c>
      <c r="AJ24628" s="835">
        <v>41973</v>
      </c>
      <c r="AK24628" s="831">
        <v>598049309.95000005</v>
      </c>
    </row>
    <row r="24629" spans="32:37">
      <c r="AF24629" s="831" t="s">
        <v>11752</v>
      </c>
      <c r="AG24629" s="831" t="s">
        <v>2674</v>
      </c>
      <c r="AH24629" s="831" t="s">
        <v>192</v>
      </c>
      <c r="AI24629" s="831">
        <v>0</v>
      </c>
      <c r="AJ24629" s="835">
        <v>41973</v>
      </c>
      <c r="AK24629" s="831">
        <v>-10647566</v>
      </c>
    </row>
    <row r="24630" spans="32:37">
      <c r="AF24630" s="831" t="s">
        <v>11753</v>
      </c>
      <c r="AG24630" s="831" t="s">
        <v>2674</v>
      </c>
      <c r="AH24630" s="831" t="s">
        <v>558</v>
      </c>
      <c r="AI24630" s="831">
        <v>0</v>
      </c>
      <c r="AJ24630" s="835">
        <v>41973</v>
      </c>
      <c r="AK24630" s="831">
        <v>847102769</v>
      </c>
    </row>
    <row r="24631" spans="32:37">
      <c r="AF24631" s="831" t="s">
        <v>11754</v>
      </c>
      <c r="AG24631" s="831" t="s">
        <v>2674</v>
      </c>
      <c r="AH24631" s="831" t="s">
        <v>65</v>
      </c>
      <c r="AI24631" s="831">
        <v>0</v>
      </c>
      <c r="AJ24631" s="835">
        <v>41973</v>
      </c>
      <c r="AK24631" s="831">
        <v>160301151</v>
      </c>
    </row>
    <row r="24632" spans="32:37">
      <c r="AF24632" s="831" t="s">
        <v>11755</v>
      </c>
      <c r="AG24632" s="831" t="s">
        <v>2674</v>
      </c>
      <c r="AH24632" s="831" t="s">
        <v>89</v>
      </c>
      <c r="AI24632" s="831">
        <v>0</v>
      </c>
      <c r="AJ24632" s="835">
        <v>41973</v>
      </c>
      <c r="AK24632" s="831">
        <v>158266</v>
      </c>
    </row>
    <row r="24633" spans="32:37">
      <c r="AF24633" s="831" t="s">
        <v>11756</v>
      </c>
      <c r="AG24633" s="831" t="s">
        <v>2674</v>
      </c>
      <c r="AH24633" s="831" t="s">
        <v>557</v>
      </c>
      <c r="AI24633" s="831">
        <v>0</v>
      </c>
      <c r="AJ24633" s="835">
        <v>41973</v>
      </c>
      <c r="AK24633" s="831">
        <v>179245</v>
      </c>
    </row>
    <row r="24634" spans="32:37">
      <c r="AF24634" s="831" t="s">
        <v>11757</v>
      </c>
      <c r="AG24634" s="831" t="s">
        <v>2674</v>
      </c>
      <c r="AH24634" s="831" t="s">
        <v>29</v>
      </c>
      <c r="AI24634" s="831">
        <v>0</v>
      </c>
      <c r="AJ24634" s="835">
        <v>41973</v>
      </c>
      <c r="AK24634" s="831">
        <v>4556685.3900000006</v>
      </c>
    </row>
    <row r="24635" spans="32:37">
      <c r="AF24635" s="831" t="s">
        <v>11758</v>
      </c>
      <c r="AG24635" s="831" t="s">
        <v>2674</v>
      </c>
      <c r="AH24635" s="831" t="s">
        <v>2688</v>
      </c>
      <c r="AI24635" s="831">
        <v>0</v>
      </c>
      <c r="AJ24635" s="835">
        <v>41973</v>
      </c>
      <c r="AK24635" s="831">
        <v>4982602.75</v>
      </c>
    </row>
    <row r="24636" spans="32:37">
      <c r="AF24636" s="831" t="s">
        <v>11759</v>
      </c>
      <c r="AG24636" s="831" t="s">
        <v>2674</v>
      </c>
      <c r="AH24636" s="831" t="s">
        <v>556</v>
      </c>
      <c r="AI24636" s="831">
        <v>0</v>
      </c>
      <c r="AJ24636" s="835">
        <v>41973</v>
      </c>
      <c r="AK24636" s="831">
        <v>9781741</v>
      </c>
    </row>
    <row r="24637" spans="32:37">
      <c r="AF24637" s="831" t="s">
        <v>11760</v>
      </c>
      <c r="AG24637" s="831" t="s">
        <v>2674</v>
      </c>
      <c r="AH24637" s="831" t="s">
        <v>555</v>
      </c>
      <c r="AI24637" s="831">
        <v>0</v>
      </c>
      <c r="AJ24637" s="835">
        <v>41973</v>
      </c>
      <c r="AK24637" s="831">
        <v>559691148</v>
      </c>
    </row>
    <row r="24638" spans="32:37">
      <c r="AF24638" s="831" t="s">
        <v>11761</v>
      </c>
      <c r="AG24638" s="831" t="s">
        <v>2674</v>
      </c>
      <c r="AH24638" s="831" t="s">
        <v>554</v>
      </c>
      <c r="AI24638" s="831">
        <v>0</v>
      </c>
      <c r="AJ24638" s="835">
        <v>41973</v>
      </c>
      <c r="AK24638" s="831">
        <v>562759560</v>
      </c>
    </row>
    <row r="24639" spans="32:37">
      <c r="AF24639" s="831" t="s">
        <v>11762</v>
      </c>
      <c r="AG24639" s="831" t="s">
        <v>2674</v>
      </c>
      <c r="AH24639" s="831" t="s">
        <v>553</v>
      </c>
      <c r="AI24639" s="831">
        <v>0</v>
      </c>
      <c r="AJ24639" s="835">
        <v>41973</v>
      </c>
      <c r="AK24639" s="831">
        <v>0</v>
      </c>
    </row>
    <row r="24640" spans="32:37">
      <c r="AF24640" s="831" t="s">
        <v>11763</v>
      </c>
      <c r="AG24640" s="831" t="s">
        <v>2674</v>
      </c>
      <c r="AH24640" s="831" t="s">
        <v>552</v>
      </c>
      <c r="AI24640" s="831">
        <v>0</v>
      </c>
      <c r="AJ24640" s="835">
        <v>41973</v>
      </c>
      <c r="AK24640" s="831">
        <v>0</v>
      </c>
    </row>
    <row r="24641" spans="32:37">
      <c r="AF24641" s="831" t="s">
        <v>11764</v>
      </c>
      <c r="AG24641" s="831" t="s">
        <v>2674</v>
      </c>
      <c r="AH24641" s="831" t="s">
        <v>551</v>
      </c>
      <c r="AI24641" s="831">
        <v>0</v>
      </c>
      <c r="AJ24641" s="835">
        <v>41973</v>
      </c>
      <c r="AK24641" s="831">
        <v>3921189.3899999997</v>
      </c>
    </row>
    <row r="24642" spans="32:37">
      <c r="AF24642" s="831" t="s">
        <v>11765</v>
      </c>
      <c r="AG24642" s="831" t="s">
        <v>2674</v>
      </c>
      <c r="AH24642" s="831" t="s">
        <v>550</v>
      </c>
      <c r="AI24642" s="831">
        <v>0</v>
      </c>
      <c r="AJ24642" s="835">
        <v>41973</v>
      </c>
      <c r="AK24642" s="831">
        <v>149380039</v>
      </c>
    </row>
    <row r="24643" spans="32:37">
      <c r="AF24643" s="831" t="s">
        <v>11766</v>
      </c>
      <c r="AG24643" s="831" t="s">
        <v>2674</v>
      </c>
      <c r="AH24643" s="831" t="s">
        <v>562</v>
      </c>
      <c r="AI24643" s="831">
        <v>0</v>
      </c>
      <c r="AJ24643" s="835">
        <v>41973</v>
      </c>
      <c r="AK24643" s="831">
        <v>0.78390000000000004</v>
      </c>
    </row>
    <row r="24644" spans="32:37">
      <c r="AF24644" s="831" t="s">
        <v>11767</v>
      </c>
      <c r="AG24644" s="831" t="s">
        <v>2674</v>
      </c>
      <c r="AH24644" s="831" t="s">
        <v>2698</v>
      </c>
      <c r="AI24644" s="831">
        <v>0</v>
      </c>
      <c r="AJ24644" s="835">
        <v>41973</v>
      </c>
      <c r="AK24644" s="831">
        <v>0.78380000000000005</v>
      </c>
    </row>
    <row r="24645" spans="32:37">
      <c r="AF24645" s="831" t="s">
        <v>11768</v>
      </c>
      <c r="AG24645" s="831" t="s">
        <v>2674</v>
      </c>
      <c r="AH24645" s="831" t="s">
        <v>560</v>
      </c>
      <c r="AI24645" s="831">
        <v>0</v>
      </c>
      <c r="AJ24645" s="835">
        <v>41973</v>
      </c>
      <c r="AK24645" s="831">
        <v>0.78368181818181837</v>
      </c>
    </row>
    <row r="24646" spans="32:37">
      <c r="AF24646" s="831" t="s">
        <v>11769</v>
      </c>
      <c r="AG24646" s="831" t="s">
        <v>2674</v>
      </c>
      <c r="AH24646" s="831" t="s">
        <v>559</v>
      </c>
      <c r="AI24646" s="831">
        <v>0</v>
      </c>
      <c r="AJ24646" s="835">
        <v>41973</v>
      </c>
      <c r="AK24646" s="831">
        <v>0.78365416666666687</v>
      </c>
    </row>
    <row r="24647" spans="32:37">
      <c r="AF24647" s="831" t="s">
        <v>11770</v>
      </c>
      <c r="AG24647" s="831" t="s">
        <v>2674</v>
      </c>
      <c r="AH24647" s="831" t="s">
        <v>568</v>
      </c>
      <c r="AI24647" s="831">
        <v>0</v>
      </c>
      <c r="AJ24647" s="835">
        <v>41973</v>
      </c>
      <c r="AK24647" s="831">
        <v>706055335.61153853</v>
      </c>
    </row>
    <row r="24648" spans="32:37">
      <c r="AF24648" s="831" t="s">
        <v>11771</v>
      </c>
      <c r="AG24648" s="831" t="s">
        <v>2674</v>
      </c>
      <c r="AH24648" s="831" t="s">
        <v>569</v>
      </c>
      <c r="AI24648" s="831">
        <v>0</v>
      </c>
      <c r="AJ24648" s="835">
        <v>41973</v>
      </c>
      <c r="AK24648" s="831">
        <v>877011865.12715387</v>
      </c>
    </row>
    <row r="24649" spans="32:37">
      <c r="AF24649" s="831" t="s">
        <v>11772</v>
      </c>
      <c r="AG24649" s="831" t="s">
        <v>2674</v>
      </c>
      <c r="AH24649" s="831" t="s">
        <v>570</v>
      </c>
      <c r="AI24649" s="831">
        <v>0</v>
      </c>
      <c r="AJ24649" s="835">
        <v>41973</v>
      </c>
      <c r="AK24649" s="831">
        <v>132419769.36892308</v>
      </c>
    </row>
    <row r="24650" spans="32:37">
      <c r="AF24650" s="831" t="s">
        <v>11773</v>
      </c>
      <c r="AG24650" s="831" t="s">
        <v>2674</v>
      </c>
      <c r="AH24650" s="831" t="s">
        <v>571</v>
      </c>
      <c r="AI24650" s="831">
        <v>0</v>
      </c>
      <c r="AJ24650" s="835">
        <v>41973</v>
      </c>
      <c r="AK24650" s="831">
        <v>432199968.69923079</v>
      </c>
    </row>
    <row r="24651" spans="32:37">
      <c r="AF24651" s="831" t="s">
        <v>11774</v>
      </c>
      <c r="AG24651" s="831" t="s">
        <v>2674</v>
      </c>
      <c r="AH24651" s="831" t="s">
        <v>573</v>
      </c>
      <c r="AI24651" s="831">
        <v>0</v>
      </c>
      <c r="AJ24651" s="835">
        <v>41973</v>
      </c>
      <c r="AK24651" s="831">
        <v>888073560.38024998</v>
      </c>
    </row>
    <row r="24652" spans="32:37">
      <c r="AF24652" s="831" t="s">
        <v>11775</v>
      </c>
      <c r="AG24652" s="831" t="s">
        <v>2674</v>
      </c>
      <c r="AH24652" s="831" t="s">
        <v>574</v>
      </c>
      <c r="AI24652" s="831">
        <v>0</v>
      </c>
      <c r="AJ24652" s="835">
        <v>41973</v>
      </c>
      <c r="AK24652" s="831">
        <v>715055837.75</v>
      </c>
    </row>
    <row r="24653" spans="32:37">
      <c r="AF24653" s="831" t="s">
        <v>11776</v>
      </c>
      <c r="AG24653" s="831" t="s">
        <v>2674</v>
      </c>
      <c r="AH24653" s="831" t="s">
        <v>575</v>
      </c>
      <c r="AI24653" s="831">
        <v>0</v>
      </c>
      <c r="AJ24653" s="835">
        <v>41973</v>
      </c>
      <c r="AK24653" s="831">
        <v>133194921.82833333</v>
      </c>
    </row>
    <row r="24654" spans="32:37">
      <c r="AF24654" s="831" t="s">
        <v>11777</v>
      </c>
      <c r="AG24654" s="831" t="s">
        <v>2674</v>
      </c>
      <c r="AH24654" s="831" t="s">
        <v>576</v>
      </c>
      <c r="AI24654" s="831">
        <v>0</v>
      </c>
      <c r="AJ24654" s="835">
        <v>41973</v>
      </c>
      <c r="AK24654" s="831">
        <v>438403431.08566666</v>
      </c>
    </row>
    <row r="24655" spans="32:37">
      <c r="AF24655" s="831" t="s">
        <v>11778</v>
      </c>
      <c r="AG24655" s="831" t="s">
        <v>2674</v>
      </c>
      <c r="AH24655" s="831" t="s">
        <v>572</v>
      </c>
      <c r="AI24655" s="831">
        <v>0</v>
      </c>
      <c r="AJ24655" s="835">
        <v>41973</v>
      </c>
      <c r="AK24655" s="831">
        <v>33835425.924000025</v>
      </c>
    </row>
    <row r="24656" spans="32:37">
      <c r="AF24656" s="831" t="s">
        <v>11779</v>
      </c>
      <c r="AG24656" s="831" t="s">
        <v>2674</v>
      </c>
      <c r="AH24656" s="831" t="s">
        <v>577</v>
      </c>
      <c r="AI24656" s="831">
        <v>0</v>
      </c>
      <c r="AJ24656" s="835">
        <v>41973</v>
      </c>
      <c r="AK24656" s="831">
        <v>173617070.52700001</v>
      </c>
    </row>
    <row r="24657" spans="32:37">
      <c r="AF24657" s="831" t="s">
        <v>11780</v>
      </c>
      <c r="AG24657" s="831" t="s">
        <v>2674</v>
      </c>
      <c r="AH24657" s="831" t="s">
        <v>3042</v>
      </c>
      <c r="AI24657" s="831">
        <v>0</v>
      </c>
      <c r="AJ24657" s="835">
        <v>41973</v>
      </c>
      <c r="AK24657" s="831">
        <v>-50695273.862000003</v>
      </c>
    </row>
    <row r="24658" spans="32:37">
      <c r="AF24658" s="831" t="s">
        <v>11781</v>
      </c>
      <c r="AG24658" s="831" t="s">
        <v>2674</v>
      </c>
      <c r="AH24658" s="831" t="s">
        <v>3044</v>
      </c>
      <c r="AI24658" s="831">
        <v>0</v>
      </c>
      <c r="AJ24658" s="835">
        <v>41973</v>
      </c>
      <c r="AK24658" s="831">
        <v>-2169383.0120000001</v>
      </c>
    </row>
    <row r="24659" spans="32:37">
      <c r="AF24659" s="831" t="s">
        <v>11782</v>
      </c>
      <c r="AG24659" s="831" t="s">
        <v>2674</v>
      </c>
      <c r="AH24659" s="831" t="s">
        <v>580</v>
      </c>
      <c r="AI24659" s="831">
        <v>0</v>
      </c>
      <c r="AJ24659" s="835">
        <v>41973</v>
      </c>
      <c r="AK24659" s="831">
        <v>-79126603.180999994</v>
      </c>
    </row>
    <row r="24660" spans="32:37">
      <c r="AF24660" s="831" t="s">
        <v>11783</v>
      </c>
      <c r="AG24660" s="831" t="s">
        <v>2674</v>
      </c>
      <c r="AH24660" s="831" t="s">
        <v>581</v>
      </c>
      <c r="AI24660" s="831">
        <v>0</v>
      </c>
      <c r="AJ24660" s="835">
        <v>41973</v>
      </c>
      <c r="AK24660" s="831">
        <v>4040122.4290000005</v>
      </c>
    </row>
    <row r="24661" spans="32:37">
      <c r="AF24661" s="831" t="s">
        <v>11784</v>
      </c>
      <c r="AG24661" s="831" t="s">
        <v>2674</v>
      </c>
      <c r="AH24661" s="831" t="s">
        <v>105</v>
      </c>
      <c r="AI24661" s="831">
        <v>0</v>
      </c>
      <c r="AJ24661" s="835">
        <v>41973</v>
      </c>
      <c r="AK24661" s="831">
        <v>488862063</v>
      </c>
    </row>
    <row r="24662" spans="32:37">
      <c r="AF24662" s="831" t="s">
        <v>11785</v>
      </c>
      <c r="AG24662" s="831" t="s">
        <v>2674</v>
      </c>
      <c r="AH24662" s="831" t="s">
        <v>3049</v>
      </c>
      <c r="AI24662" s="831">
        <v>0</v>
      </c>
      <c r="AJ24662" s="835">
        <v>41973</v>
      </c>
      <c r="AK24662" s="831">
        <v>810336503</v>
      </c>
    </row>
    <row r="24663" spans="32:37">
      <c r="AF24663" s="831" t="s">
        <v>11786</v>
      </c>
      <c r="AG24663" s="831" t="s">
        <v>2674</v>
      </c>
      <c r="AH24663" s="831" t="s">
        <v>103</v>
      </c>
      <c r="AI24663" s="831">
        <v>0</v>
      </c>
      <c r="AJ24663" s="835">
        <v>41973</v>
      </c>
      <c r="AK24663" s="831">
        <v>321474440</v>
      </c>
    </row>
    <row r="24664" spans="32:37">
      <c r="AF24664" s="831" t="s">
        <v>11787</v>
      </c>
      <c r="AG24664" s="831" t="s">
        <v>2674</v>
      </c>
      <c r="AH24664" s="831" t="s">
        <v>182</v>
      </c>
      <c r="AI24664" s="831">
        <v>0</v>
      </c>
      <c r="AJ24664" s="835">
        <v>41973</v>
      </c>
      <c r="AK24664" s="831">
        <v>75281666.181818187</v>
      </c>
    </row>
    <row r="24665" spans="32:37">
      <c r="AF24665" s="831" t="s">
        <v>11788</v>
      </c>
      <c r="AG24665" s="831" t="s">
        <v>2674</v>
      </c>
      <c r="AH24665" s="831" t="s">
        <v>6600</v>
      </c>
      <c r="AI24665" s="831">
        <v>0</v>
      </c>
      <c r="AJ24665" s="835">
        <v>41973</v>
      </c>
      <c r="AK24665" s="831">
        <v>33835425.924000025</v>
      </c>
    </row>
    <row r="24666" spans="32:37">
      <c r="AF24666" s="831" t="s">
        <v>11789</v>
      </c>
      <c r="AG24666" s="831" t="s">
        <v>2674</v>
      </c>
      <c r="AH24666" s="831" t="s">
        <v>6602</v>
      </c>
      <c r="AI24666" s="831">
        <v>0</v>
      </c>
      <c r="AJ24666" s="835">
        <v>41973</v>
      </c>
      <c r="AK24666" s="831">
        <v>35013602</v>
      </c>
    </row>
    <row r="24667" spans="32:37">
      <c r="AF24667" s="831" t="s">
        <v>11790</v>
      </c>
      <c r="AG24667" s="831" t="s">
        <v>2674</v>
      </c>
      <c r="AH24667" s="831" t="s">
        <v>650</v>
      </c>
      <c r="AI24667" s="831">
        <v>0</v>
      </c>
      <c r="AJ24667" s="835">
        <v>41973</v>
      </c>
      <c r="AK24667" s="831">
        <v>287670371.56684613</v>
      </c>
    </row>
    <row r="24668" spans="32:37">
      <c r="AF24668" s="831" t="s">
        <v>11791</v>
      </c>
      <c r="AG24668" s="831" t="s">
        <v>2674</v>
      </c>
      <c r="AH24668" s="831" t="s">
        <v>655</v>
      </c>
      <c r="AI24668" s="831">
        <v>0</v>
      </c>
      <c r="AJ24668" s="835">
        <v>41973</v>
      </c>
      <c r="AK24668" s="831">
        <v>919694.3899999999</v>
      </c>
    </row>
    <row r="24669" spans="32:37">
      <c r="AF24669" s="831" t="s">
        <v>11792</v>
      </c>
      <c r="AG24669" s="831" t="s">
        <v>2674</v>
      </c>
      <c r="AH24669" s="831" t="s">
        <v>546</v>
      </c>
      <c r="AI24669" s="831">
        <v>0</v>
      </c>
      <c r="AJ24669" s="835">
        <v>42004</v>
      </c>
      <c r="AK24669" s="831">
        <v>828920000</v>
      </c>
    </row>
    <row r="24670" spans="32:37">
      <c r="AF24670" s="831" t="s">
        <v>11793</v>
      </c>
      <c r="AG24670" s="831" t="s">
        <v>2674</v>
      </c>
      <c r="AH24670" s="831" t="s">
        <v>370</v>
      </c>
      <c r="AI24670" s="831">
        <v>0</v>
      </c>
      <c r="AJ24670" s="835">
        <v>42004</v>
      </c>
      <c r="AK24670" s="831">
        <v>1042210000</v>
      </c>
    </row>
    <row r="24671" spans="32:37">
      <c r="AF24671" s="831" t="s">
        <v>11794</v>
      </c>
      <c r="AG24671" s="831" t="s">
        <v>2674</v>
      </c>
      <c r="AH24671" s="831" t="s">
        <v>126</v>
      </c>
      <c r="AI24671" s="831">
        <v>0</v>
      </c>
      <c r="AJ24671" s="835">
        <v>42004</v>
      </c>
      <c r="AK24671" s="831">
        <v>145409000</v>
      </c>
    </row>
    <row r="24672" spans="32:37">
      <c r="AF24672" s="831" t="s">
        <v>11795</v>
      </c>
      <c r="AG24672" s="831" t="s">
        <v>2674</v>
      </c>
      <c r="AH24672" s="831" t="s">
        <v>268</v>
      </c>
      <c r="AI24672" s="831">
        <v>0</v>
      </c>
      <c r="AJ24672" s="835">
        <v>42004</v>
      </c>
      <c r="AK24672" s="831">
        <v>43040000</v>
      </c>
    </row>
    <row r="24673" spans="32:37">
      <c r="AF24673" s="831" t="s">
        <v>11796</v>
      </c>
      <c r="AG24673" s="831" t="s">
        <v>2674</v>
      </c>
      <c r="AH24673" s="831" t="s">
        <v>547</v>
      </c>
      <c r="AI24673" s="831">
        <v>0</v>
      </c>
      <c r="AJ24673" s="835">
        <v>42004</v>
      </c>
      <c r="AK24673" s="831">
        <v>777719977</v>
      </c>
    </row>
    <row r="24674" spans="32:37">
      <c r="AF24674" s="831" t="s">
        <v>11797</v>
      </c>
      <c r="AG24674" s="831" t="s">
        <v>2674</v>
      </c>
      <c r="AH24674" s="831" t="s">
        <v>548</v>
      </c>
      <c r="AI24674" s="831">
        <v>0</v>
      </c>
      <c r="AJ24674" s="835">
        <v>42004</v>
      </c>
      <c r="AK24674" s="831">
        <v>117105496</v>
      </c>
    </row>
    <row r="24675" spans="32:37">
      <c r="AF24675" s="831" t="s">
        <v>11798</v>
      </c>
      <c r="AG24675" s="831" t="s">
        <v>2674</v>
      </c>
      <c r="AH24675" s="831" t="s">
        <v>549</v>
      </c>
      <c r="AI24675" s="831">
        <v>0</v>
      </c>
      <c r="AJ24675" s="835">
        <v>42004</v>
      </c>
      <c r="AK24675" s="831">
        <v>627874260</v>
      </c>
    </row>
    <row r="24676" spans="32:37">
      <c r="AF24676" s="831" t="s">
        <v>11799</v>
      </c>
      <c r="AG24676" s="831" t="s">
        <v>2674</v>
      </c>
      <c r="AH24676" s="831" t="s">
        <v>192</v>
      </c>
      <c r="AI24676" s="831">
        <v>0</v>
      </c>
      <c r="AJ24676" s="835">
        <v>42004</v>
      </c>
      <c r="AK24676" s="831">
        <v>-9140000</v>
      </c>
    </row>
    <row r="24677" spans="32:37">
      <c r="AF24677" s="831" t="s">
        <v>11800</v>
      </c>
      <c r="AG24677" s="831" t="s">
        <v>2674</v>
      </c>
      <c r="AH24677" s="831" t="s">
        <v>558</v>
      </c>
      <c r="AI24677" s="831">
        <v>0</v>
      </c>
      <c r="AJ24677" s="835">
        <v>42004</v>
      </c>
      <c r="AK24677" s="831">
        <v>896801000</v>
      </c>
    </row>
    <row r="24678" spans="32:37">
      <c r="AF24678" s="831" t="s">
        <v>11801</v>
      </c>
      <c r="AG24678" s="831" t="s">
        <v>2674</v>
      </c>
      <c r="AH24678" s="831" t="s">
        <v>65</v>
      </c>
      <c r="AI24678" s="831">
        <v>0</v>
      </c>
      <c r="AJ24678" s="835">
        <v>42004</v>
      </c>
      <c r="AK24678" s="831">
        <v>169813000</v>
      </c>
    </row>
    <row r="24679" spans="32:37">
      <c r="AF24679" s="831" t="s">
        <v>11802</v>
      </c>
      <c r="AG24679" s="831" t="s">
        <v>2674</v>
      </c>
      <c r="AH24679" s="831" t="s">
        <v>89</v>
      </c>
      <c r="AI24679" s="831">
        <v>0</v>
      </c>
      <c r="AJ24679" s="835">
        <v>42004</v>
      </c>
      <c r="AK24679" s="831">
        <v>157146</v>
      </c>
    </row>
    <row r="24680" spans="32:37">
      <c r="AF24680" s="831" t="s">
        <v>11803</v>
      </c>
      <c r="AG24680" s="831" t="s">
        <v>2674</v>
      </c>
      <c r="AH24680" s="831" t="s">
        <v>557</v>
      </c>
      <c r="AI24680" s="831">
        <v>0</v>
      </c>
      <c r="AJ24680" s="835">
        <v>42004</v>
      </c>
      <c r="AK24680" s="831">
        <v>178484</v>
      </c>
    </row>
    <row r="24681" spans="32:37">
      <c r="AF24681" s="831" t="s">
        <v>11804</v>
      </c>
      <c r="AG24681" s="831" t="s">
        <v>2674</v>
      </c>
      <c r="AH24681" s="831" t="s">
        <v>29</v>
      </c>
      <c r="AI24681" s="831">
        <v>0</v>
      </c>
      <c r="AJ24681" s="835">
        <v>42004</v>
      </c>
      <c r="AK24681" s="831">
        <v>6837000</v>
      </c>
    </row>
    <row r="24682" spans="32:37">
      <c r="AF24682" s="831" t="s">
        <v>11805</v>
      </c>
      <c r="AG24682" s="831" t="s">
        <v>2674</v>
      </c>
      <c r="AH24682" s="831" t="s">
        <v>2688</v>
      </c>
      <c r="AI24682" s="831">
        <v>0</v>
      </c>
      <c r="AJ24682" s="835">
        <v>42004</v>
      </c>
      <c r="AK24682" s="831">
        <v>5048648</v>
      </c>
    </row>
    <row r="24683" spans="32:37">
      <c r="AF24683" s="831" t="s">
        <v>11806</v>
      </c>
      <c r="AG24683" s="831" t="s">
        <v>2674</v>
      </c>
      <c r="AH24683" s="831" t="s">
        <v>556</v>
      </c>
      <c r="AI24683" s="831">
        <v>0</v>
      </c>
      <c r="AJ24683" s="835">
        <v>42004</v>
      </c>
      <c r="AK24683" s="831">
        <v>11412135</v>
      </c>
    </row>
    <row r="24684" spans="32:37">
      <c r="AF24684" s="831" t="s">
        <v>11807</v>
      </c>
      <c r="AG24684" s="831" t="s">
        <v>2674</v>
      </c>
      <c r="AH24684" s="831" t="s">
        <v>555</v>
      </c>
      <c r="AI24684" s="831">
        <v>0</v>
      </c>
      <c r="AJ24684" s="835">
        <v>42004</v>
      </c>
      <c r="AK24684" s="831">
        <v>596336076</v>
      </c>
    </row>
    <row r="24685" spans="32:37">
      <c r="AF24685" s="831" t="s">
        <v>11808</v>
      </c>
      <c r="AG24685" s="831" t="s">
        <v>2674</v>
      </c>
      <c r="AH24685" s="831" t="s">
        <v>554</v>
      </c>
      <c r="AI24685" s="831">
        <v>0</v>
      </c>
      <c r="AJ24685" s="835">
        <v>42004</v>
      </c>
      <c r="AK24685" s="831">
        <v>603608535</v>
      </c>
    </row>
    <row r="24686" spans="32:37">
      <c r="AF24686" s="831" t="s">
        <v>11809</v>
      </c>
      <c r="AG24686" s="831" t="s">
        <v>2674</v>
      </c>
      <c r="AH24686" s="831" t="s">
        <v>553</v>
      </c>
      <c r="AI24686" s="831">
        <v>0</v>
      </c>
      <c r="AJ24686" s="835">
        <v>42004</v>
      </c>
      <c r="AK24686" s="831">
        <v>0</v>
      </c>
    </row>
    <row r="24687" spans="32:37">
      <c r="AF24687" s="831" t="s">
        <v>11810</v>
      </c>
      <c r="AG24687" s="831" t="s">
        <v>2674</v>
      </c>
      <c r="AH24687" s="831" t="s">
        <v>552</v>
      </c>
      <c r="AI24687" s="831">
        <v>0</v>
      </c>
      <c r="AJ24687" s="835">
        <v>42004</v>
      </c>
      <c r="AK24687" s="831">
        <v>0</v>
      </c>
    </row>
    <row r="24688" spans="32:37">
      <c r="AF24688" s="831" t="s">
        <v>11811</v>
      </c>
      <c r="AG24688" s="831" t="s">
        <v>2674</v>
      </c>
      <c r="AH24688" s="831" t="s">
        <v>551</v>
      </c>
      <c r="AI24688" s="831">
        <v>0</v>
      </c>
      <c r="AJ24688" s="835">
        <v>42004</v>
      </c>
      <c r="AK24688" s="831">
        <v>6446340</v>
      </c>
    </row>
    <row r="24689" spans="32:37">
      <c r="AF24689" s="831" t="s">
        <v>11812</v>
      </c>
      <c r="AG24689" s="831" t="s">
        <v>2674</v>
      </c>
      <c r="AH24689" s="831" t="s">
        <v>550</v>
      </c>
      <c r="AI24689" s="831">
        <v>0</v>
      </c>
      <c r="AJ24689" s="835">
        <v>42004</v>
      </c>
      <c r="AK24689" s="831">
        <v>153599665</v>
      </c>
    </row>
    <row r="24690" spans="32:37">
      <c r="AF24690" s="831" t="s">
        <v>11813</v>
      </c>
      <c r="AG24690" s="831" t="s">
        <v>2674</v>
      </c>
      <c r="AH24690" s="831" t="s">
        <v>562</v>
      </c>
      <c r="AI24690" s="831">
        <v>0</v>
      </c>
      <c r="AJ24690" s="835">
        <v>42004</v>
      </c>
      <c r="AK24690" s="831">
        <v>0.78310000000000002</v>
      </c>
    </row>
    <row r="24691" spans="32:37">
      <c r="AF24691" s="831" t="s">
        <v>11814</v>
      </c>
      <c r="AG24691" s="831" t="s">
        <v>2674</v>
      </c>
      <c r="AH24691" s="831" t="s">
        <v>2698</v>
      </c>
      <c r="AI24691" s="831">
        <v>0</v>
      </c>
      <c r="AJ24691" s="835">
        <v>42004</v>
      </c>
      <c r="AK24691" s="831">
        <v>0.78390000000000004</v>
      </c>
    </row>
    <row r="24692" spans="32:37">
      <c r="AF24692" s="831" t="s">
        <v>11815</v>
      </c>
      <c r="AG24692" s="831" t="s">
        <v>2674</v>
      </c>
      <c r="AH24692" s="831" t="s">
        <v>560</v>
      </c>
      <c r="AI24692" s="831">
        <v>0</v>
      </c>
      <c r="AJ24692" s="835">
        <v>42004</v>
      </c>
      <c r="AK24692" s="831">
        <v>0.78363333333333329</v>
      </c>
    </row>
    <row r="24693" spans="32:37">
      <c r="AF24693" s="831" t="s">
        <v>11816</v>
      </c>
      <c r="AG24693" s="831" t="s">
        <v>2674</v>
      </c>
      <c r="AH24693" s="831" t="s">
        <v>559</v>
      </c>
      <c r="AI24693" s="831">
        <v>0</v>
      </c>
      <c r="AJ24693" s="835">
        <v>42004</v>
      </c>
      <c r="AK24693" s="831">
        <v>0.78363333333333329</v>
      </c>
    </row>
    <row r="24694" spans="32:37">
      <c r="AF24694" s="831" t="s">
        <v>11817</v>
      </c>
      <c r="AG24694" s="831" t="s">
        <v>2674</v>
      </c>
      <c r="AH24694" s="831" t="s">
        <v>568</v>
      </c>
      <c r="AI24694" s="831">
        <v>0</v>
      </c>
      <c r="AJ24694" s="835">
        <v>42004</v>
      </c>
      <c r="AK24694" s="831">
        <v>723814619.46153843</v>
      </c>
    </row>
    <row r="24695" spans="32:37">
      <c r="AF24695" s="831" t="s">
        <v>11818</v>
      </c>
      <c r="AG24695" s="831" t="s">
        <v>2674</v>
      </c>
      <c r="AH24695" s="831" t="s">
        <v>569</v>
      </c>
      <c r="AI24695" s="831">
        <v>0</v>
      </c>
      <c r="AJ24695" s="835">
        <v>42004</v>
      </c>
      <c r="AK24695" s="831">
        <v>899930209.58176923</v>
      </c>
    </row>
    <row r="24696" spans="32:37">
      <c r="AF24696" s="831" t="s">
        <v>11819</v>
      </c>
      <c r="AG24696" s="831" t="s">
        <v>2674</v>
      </c>
      <c r="AH24696" s="831" t="s">
        <v>570</v>
      </c>
      <c r="AI24696" s="831">
        <v>0</v>
      </c>
      <c r="AJ24696" s="835">
        <v>42004</v>
      </c>
      <c r="AK24696" s="831">
        <v>134134466.30307692</v>
      </c>
    </row>
    <row r="24697" spans="32:37">
      <c r="AF24697" s="831" t="s">
        <v>11820</v>
      </c>
      <c r="AG24697" s="831" t="s">
        <v>2674</v>
      </c>
      <c r="AH24697" s="831" t="s">
        <v>571</v>
      </c>
      <c r="AI24697" s="831">
        <v>0</v>
      </c>
      <c r="AJ24697" s="835">
        <v>42004</v>
      </c>
      <c r="AK24697" s="831">
        <v>445629705.61753845</v>
      </c>
    </row>
    <row r="24698" spans="32:37">
      <c r="AF24698" s="831" t="s">
        <v>11821</v>
      </c>
      <c r="AG24698" s="831" t="s">
        <v>2674</v>
      </c>
      <c r="AH24698" s="831" t="s">
        <v>573</v>
      </c>
      <c r="AI24698" s="831">
        <v>0</v>
      </c>
      <c r="AJ24698" s="835">
        <v>42004</v>
      </c>
      <c r="AK24698" s="831">
        <v>899930209.58176923</v>
      </c>
    </row>
    <row r="24699" spans="32:37">
      <c r="AF24699" s="831" t="s">
        <v>11822</v>
      </c>
      <c r="AG24699" s="831" t="s">
        <v>2674</v>
      </c>
      <c r="AH24699" s="831" t="s">
        <v>574</v>
      </c>
      <c r="AI24699" s="831">
        <v>0</v>
      </c>
      <c r="AJ24699" s="835">
        <v>42004</v>
      </c>
      <c r="AK24699" s="831">
        <v>723814619.46153843</v>
      </c>
    </row>
    <row r="24700" spans="32:37">
      <c r="AF24700" s="831" t="s">
        <v>11823</v>
      </c>
      <c r="AG24700" s="831" t="s">
        <v>2674</v>
      </c>
      <c r="AH24700" s="831" t="s">
        <v>575</v>
      </c>
      <c r="AI24700" s="831">
        <v>0</v>
      </c>
      <c r="AJ24700" s="835">
        <v>42004</v>
      </c>
      <c r="AK24700" s="831">
        <v>134134466.30307692</v>
      </c>
    </row>
    <row r="24701" spans="32:37">
      <c r="AF24701" s="831" t="s">
        <v>11824</v>
      </c>
      <c r="AG24701" s="831" t="s">
        <v>2674</v>
      </c>
      <c r="AH24701" s="831" t="s">
        <v>576</v>
      </c>
      <c r="AI24701" s="831">
        <v>0</v>
      </c>
      <c r="AJ24701" s="835">
        <v>42004</v>
      </c>
      <c r="AK24701" s="831">
        <v>445629705.61753845</v>
      </c>
    </row>
    <row r="24702" spans="32:37">
      <c r="AF24702" s="831" t="s">
        <v>11825</v>
      </c>
      <c r="AG24702" s="831" t="s">
        <v>2674</v>
      </c>
      <c r="AH24702" s="831" t="s">
        <v>572</v>
      </c>
      <c r="AI24702" s="831">
        <v>0</v>
      </c>
      <c r="AJ24702" s="835">
        <v>42004</v>
      </c>
      <c r="AK24702" s="831">
        <v>43040000</v>
      </c>
    </row>
    <row r="24703" spans="32:37">
      <c r="AF24703" s="831" t="s">
        <v>11826</v>
      </c>
      <c r="AG24703" s="831" t="s">
        <v>2674</v>
      </c>
      <c r="AH24703" s="831" t="s">
        <v>577</v>
      </c>
      <c r="AI24703" s="831">
        <v>0</v>
      </c>
      <c r="AJ24703" s="835">
        <v>42004</v>
      </c>
      <c r="AK24703" s="831">
        <v>169813000</v>
      </c>
    </row>
    <row r="24704" spans="32:37">
      <c r="AF24704" s="831" t="s">
        <v>11827</v>
      </c>
      <c r="AG24704" s="831" t="s">
        <v>2674</v>
      </c>
      <c r="AH24704" s="831" t="s">
        <v>3042</v>
      </c>
      <c r="AI24704" s="831">
        <v>0</v>
      </c>
      <c r="AJ24704" s="835">
        <v>42004</v>
      </c>
      <c r="AK24704" s="831">
        <v>-51705000</v>
      </c>
    </row>
    <row r="24705" spans="32:37">
      <c r="AF24705" s="831" t="s">
        <v>11828</v>
      </c>
      <c r="AG24705" s="831" t="s">
        <v>2674</v>
      </c>
      <c r="AH24705" s="831" t="s">
        <v>3044</v>
      </c>
      <c r="AI24705" s="831">
        <v>0</v>
      </c>
      <c r="AJ24705" s="835">
        <v>42004</v>
      </c>
      <c r="AK24705" s="831">
        <v>3515000</v>
      </c>
    </row>
    <row r="24706" spans="32:37">
      <c r="AF24706" s="831" t="s">
        <v>11829</v>
      </c>
      <c r="AG24706" s="831" t="s">
        <v>2674</v>
      </c>
      <c r="AH24706" s="831" t="s">
        <v>580</v>
      </c>
      <c r="AI24706" s="831">
        <v>0</v>
      </c>
      <c r="AJ24706" s="835">
        <v>42004</v>
      </c>
      <c r="AK24706" s="831">
        <v>-78262000</v>
      </c>
    </row>
    <row r="24707" spans="32:37">
      <c r="AF24707" s="831" t="s">
        <v>11830</v>
      </c>
      <c r="AG24707" s="831" t="s">
        <v>2674</v>
      </c>
      <c r="AH24707" s="831" t="s">
        <v>581</v>
      </c>
      <c r="AI24707" s="831">
        <v>0</v>
      </c>
      <c r="AJ24707" s="835">
        <v>42004</v>
      </c>
      <c r="AK24707" s="831">
        <v>9963000</v>
      </c>
    </row>
    <row r="24708" spans="32:37">
      <c r="AF24708" s="831" t="s">
        <v>11831</v>
      </c>
      <c r="AG24708" s="831" t="s">
        <v>2674</v>
      </c>
      <c r="AH24708" s="831" t="s">
        <v>105</v>
      </c>
      <c r="AI24708" s="831">
        <v>0</v>
      </c>
      <c r="AJ24708" s="835">
        <v>42004</v>
      </c>
      <c r="AK24708" s="831">
        <v>532345000</v>
      </c>
    </row>
    <row r="24709" spans="32:37">
      <c r="AF24709" s="831" t="s">
        <v>11832</v>
      </c>
      <c r="AG24709" s="831" t="s">
        <v>2674</v>
      </c>
      <c r="AH24709" s="831" t="s">
        <v>3049</v>
      </c>
      <c r="AI24709" s="831">
        <v>0</v>
      </c>
      <c r="AJ24709" s="835">
        <v>42004</v>
      </c>
      <c r="AK24709" s="831">
        <v>871130000</v>
      </c>
    </row>
    <row r="24710" spans="32:37">
      <c r="AF24710" s="831" t="s">
        <v>11833</v>
      </c>
      <c r="AG24710" s="831" t="s">
        <v>2674</v>
      </c>
      <c r="AH24710" s="831" t="s">
        <v>103</v>
      </c>
      <c r="AI24710" s="831">
        <v>0</v>
      </c>
      <c r="AJ24710" s="835">
        <v>42004</v>
      </c>
      <c r="AK24710" s="831">
        <v>338785000</v>
      </c>
    </row>
    <row r="24711" spans="32:37">
      <c r="AF24711" s="831" t="s">
        <v>11834</v>
      </c>
      <c r="AG24711" s="831" t="s">
        <v>2674</v>
      </c>
      <c r="AH24711" s="831" t="s">
        <v>182</v>
      </c>
      <c r="AI24711" s="831">
        <v>0</v>
      </c>
      <c r="AJ24711" s="835">
        <v>42004</v>
      </c>
      <c r="AK24711" s="831">
        <v>78262000</v>
      </c>
    </row>
    <row r="24712" spans="32:37">
      <c r="AF24712" s="831" t="s">
        <v>11835</v>
      </c>
      <c r="AG24712" s="831" t="s">
        <v>2674</v>
      </c>
      <c r="AH24712" s="831" t="s">
        <v>6600</v>
      </c>
      <c r="AI24712" s="831">
        <v>0</v>
      </c>
      <c r="AJ24712" s="835">
        <v>42004</v>
      </c>
      <c r="AK24712" s="831">
        <v>43040000</v>
      </c>
    </row>
    <row r="24713" spans="32:37">
      <c r="AF24713" s="831" t="s">
        <v>11836</v>
      </c>
      <c r="AG24713" s="831" t="s">
        <v>2674</v>
      </c>
      <c r="AH24713" s="831" t="s">
        <v>6602</v>
      </c>
      <c r="AI24713" s="831">
        <v>0</v>
      </c>
      <c r="AJ24713" s="835">
        <v>42004</v>
      </c>
      <c r="AK24713" s="831">
        <v>43040000</v>
      </c>
    </row>
    <row r="24714" spans="32:37">
      <c r="AF24714" s="831" t="s">
        <v>11837</v>
      </c>
      <c r="AG24714" s="831" t="s">
        <v>2674</v>
      </c>
      <c r="AH24714" s="831" t="s">
        <v>650</v>
      </c>
      <c r="AI24714" s="831">
        <v>0</v>
      </c>
      <c r="AJ24714" s="835">
        <v>42004</v>
      </c>
      <c r="AK24714" s="831">
        <v>294946351.96523076</v>
      </c>
    </row>
    <row r="24715" spans="32:37">
      <c r="AF24715" s="831" t="s">
        <v>11838</v>
      </c>
      <c r="AG24715" s="831" t="s">
        <v>2674</v>
      </c>
      <c r="AH24715" s="831" t="s">
        <v>655</v>
      </c>
      <c r="AI24715" s="831">
        <v>0</v>
      </c>
      <c r="AJ24715" s="835">
        <v>42004</v>
      </c>
      <c r="AK24715" s="831">
        <v>5599000</v>
      </c>
    </row>
    <row r="24716" spans="32:37">
      <c r="AF24716" s="831" t="s">
        <v>11839</v>
      </c>
      <c r="AG24716" s="831" t="s">
        <v>2674</v>
      </c>
      <c r="AH24716" s="831" t="s">
        <v>546</v>
      </c>
      <c r="AI24716" s="831">
        <v>0</v>
      </c>
      <c r="AJ24716" s="835">
        <v>42035</v>
      </c>
      <c r="AK24716" s="831">
        <v>829753309</v>
      </c>
    </row>
    <row r="24717" spans="32:37">
      <c r="AF24717" s="831" t="s">
        <v>11840</v>
      </c>
      <c r="AG24717" s="831" t="s">
        <v>2674</v>
      </c>
      <c r="AH24717" s="831" t="s">
        <v>370</v>
      </c>
      <c r="AI24717" s="831">
        <v>0</v>
      </c>
      <c r="AJ24717" s="835">
        <v>42035</v>
      </c>
      <c r="AK24717" s="831">
        <v>1044609243</v>
      </c>
    </row>
    <row r="24718" spans="32:37">
      <c r="AF24718" s="831" t="s">
        <v>11841</v>
      </c>
      <c r="AG24718" s="831" t="s">
        <v>2674</v>
      </c>
      <c r="AH24718" s="831" t="s">
        <v>126</v>
      </c>
      <c r="AI24718" s="831">
        <v>0</v>
      </c>
      <c r="AJ24718" s="835">
        <v>42035</v>
      </c>
      <c r="AK24718" s="831">
        <v>148860224</v>
      </c>
    </row>
    <row r="24719" spans="32:37">
      <c r="AF24719" s="831" t="s">
        <v>11842</v>
      </c>
      <c r="AG24719" s="831" t="s">
        <v>2674</v>
      </c>
      <c r="AH24719" s="831" t="s">
        <v>268</v>
      </c>
      <c r="AI24719" s="831">
        <v>0</v>
      </c>
      <c r="AJ24719" s="835">
        <v>42035</v>
      </c>
      <c r="AK24719" s="831">
        <v>3451938</v>
      </c>
    </row>
    <row r="24720" spans="32:37">
      <c r="AF24720" s="831" t="s">
        <v>11843</v>
      </c>
      <c r="AG24720" s="831" t="s">
        <v>2674</v>
      </c>
      <c r="AH24720" s="831" t="s">
        <v>547</v>
      </c>
      <c r="AI24720" s="831">
        <v>0</v>
      </c>
      <c r="AJ24720" s="835">
        <v>42035</v>
      </c>
      <c r="AK24720" s="831">
        <v>1044609243</v>
      </c>
    </row>
    <row r="24721" spans="32:37">
      <c r="AF24721" s="831" t="s">
        <v>11844</v>
      </c>
      <c r="AG24721" s="831" t="s">
        <v>2674</v>
      </c>
      <c r="AH24721" s="831" t="s">
        <v>548</v>
      </c>
      <c r="AI24721" s="831">
        <v>0</v>
      </c>
      <c r="AJ24721" s="835">
        <v>42035</v>
      </c>
      <c r="AK24721" s="831">
        <v>148860224</v>
      </c>
    </row>
    <row r="24722" spans="32:37">
      <c r="AF24722" s="831" t="s">
        <v>11845</v>
      </c>
      <c r="AG24722" s="831" t="s">
        <v>2674</v>
      </c>
      <c r="AH24722" s="831" t="s">
        <v>549</v>
      </c>
      <c r="AI24722" s="831">
        <v>0</v>
      </c>
      <c r="AJ24722" s="835">
        <v>42035</v>
      </c>
      <c r="AK24722" s="831">
        <v>635618516</v>
      </c>
    </row>
    <row r="24723" spans="32:37">
      <c r="AF24723" s="831" t="s">
        <v>11846</v>
      </c>
      <c r="AG24723" s="831" t="s">
        <v>2674</v>
      </c>
      <c r="AH24723" s="831" t="s">
        <v>192</v>
      </c>
      <c r="AI24723" s="831">
        <v>0</v>
      </c>
      <c r="AJ24723" s="835">
        <v>42035</v>
      </c>
      <c r="AK24723" s="831">
        <v>-9765211</v>
      </c>
    </row>
    <row r="24724" spans="32:37">
      <c r="AF24724" s="831" t="s">
        <v>11847</v>
      </c>
      <c r="AG24724" s="831" t="s">
        <v>2674</v>
      </c>
      <c r="AH24724" s="831" t="s">
        <v>558</v>
      </c>
      <c r="AI24724" s="831">
        <v>0</v>
      </c>
      <c r="AJ24724" s="835">
        <v>42035</v>
      </c>
      <c r="AK24724" s="831">
        <v>895749019</v>
      </c>
    </row>
    <row r="24725" spans="32:37">
      <c r="AF24725" s="831" t="s">
        <v>11848</v>
      </c>
      <c r="AG24725" s="831" t="s">
        <v>2674</v>
      </c>
      <c r="AH24725" s="831" t="s">
        <v>65</v>
      </c>
      <c r="AI24725" s="831">
        <v>0</v>
      </c>
      <c r="AJ24725" s="835">
        <v>42035</v>
      </c>
      <c r="AK24725" s="831">
        <v>16060962</v>
      </c>
    </row>
    <row r="24726" spans="32:37">
      <c r="AF24726" s="831" t="s">
        <v>11849</v>
      </c>
      <c r="AG24726" s="831" t="s">
        <v>2674</v>
      </c>
      <c r="AH24726" s="831" t="s">
        <v>89</v>
      </c>
      <c r="AI24726" s="831">
        <v>0</v>
      </c>
      <c r="AJ24726" s="835">
        <v>42035</v>
      </c>
      <c r="AK24726" s="831">
        <v>158062</v>
      </c>
    </row>
    <row r="24727" spans="32:37">
      <c r="AF24727" s="831" t="s">
        <v>11850</v>
      </c>
      <c r="AG24727" s="831" t="s">
        <v>2674</v>
      </c>
      <c r="AH24727" s="831" t="s">
        <v>557</v>
      </c>
      <c r="AI24727" s="831">
        <v>0</v>
      </c>
      <c r="AJ24727" s="835">
        <v>42035</v>
      </c>
      <c r="AK24727" s="831">
        <v>180227</v>
      </c>
    </row>
    <row r="24728" spans="32:37">
      <c r="AF24728" s="831" t="s">
        <v>11851</v>
      </c>
      <c r="AG24728" s="831" t="s">
        <v>2674</v>
      </c>
      <c r="AH24728" s="831" t="s">
        <v>29</v>
      </c>
      <c r="AI24728" s="831">
        <v>0</v>
      </c>
      <c r="AJ24728" s="835">
        <v>42035</v>
      </c>
      <c r="AK24728" s="831">
        <v>7401483</v>
      </c>
    </row>
    <row r="24729" spans="32:37">
      <c r="AF24729" s="831" t="s">
        <v>11852</v>
      </c>
      <c r="AG24729" s="831" t="s">
        <v>2674</v>
      </c>
      <c r="AH24729" s="831" t="s">
        <v>2688</v>
      </c>
      <c r="AI24729" s="831">
        <v>0</v>
      </c>
      <c r="AJ24729" s="835">
        <v>42035</v>
      </c>
      <c r="AK24729" s="831">
        <v>5438707</v>
      </c>
    </row>
    <row r="24730" spans="32:37">
      <c r="AF24730" s="831" t="s">
        <v>11853</v>
      </c>
      <c r="AG24730" s="831" t="s">
        <v>2674</v>
      </c>
      <c r="AH24730" s="831" t="s">
        <v>556</v>
      </c>
      <c r="AI24730" s="831">
        <v>0</v>
      </c>
      <c r="AJ24730" s="835">
        <v>42035</v>
      </c>
      <c r="AK24730" s="831">
        <v>11412135</v>
      </c>
    </row>
    <row r="24731" spans="32:37">
      <c r="AF24731" s="831" t="s">
        <v>11854</v>
      </c>
      <c r="AG24731" s="831" t="s">
        <v>2674</v>
      </c>
      <c r="AH24731" s="831" t="s">
        <v>555</v>
      </c>
      <c r="AI24731" s="831">
        <v>0</v>
      </c>
      <c r="AJ24731" s="835">
        <v>42035</v>
      </c>
      <c r="AK24731" s="831">
        <v>579511362</v>
      </c>
    </row>
    <row r="24732" spans="32:37">
      <c r="AF24732" s="831" t="s">
        <v>11855</v>
      </c>
      <c r="AG24732" s="831" t="s">
        <v>2674</v>
      </c>
      <c r="AH24732" s="831" t="s">
        <v>554</v>
      </c>
      <c r="AI24732" s="831">
        <v>0</v>
      </c>
      <c r="AJ24732" s="835">
        <v>42035</v>
      </c>
      <c r="AK24732" s="831">
        <v>622474260</v>
      </c>
    </row>
    <row r="24733" spans="32:37">
      <c r="AF24733" s="831" t="s">
        <v>11856</v>
      </c>
      <c r="AG24733" s="831" t="s">
        <v>2674</v>
      </c>
      <c r="AH24733" s="831" t="s">
        <v>553</v>
      </c>
      <c r="AI24733" s="831">
        <v>0</v>
      </c>
      <c r="AJ24733" s="835">
        <v>42035</v>
      </c>
      <c r="AK24733" s="831">
        <v>0</v>
      </c>
    </row>
    <row r="24734" spans="32:37">
      <c r="AF24734" s="831" t="s">
        <v>11857</v>
      </c>
      <c r="AG24734" s="831" t="s">
        <v>2674</v>
      </c>
      <c r="AH24734" s="831" t="s">
        <v>552</v>
      </c>
      <c r="AI24734" s="831">
        <v>0</v>
      </c>
      <c r="AJ24734" s="835">
        <v>42035</v>
      </c>
      <c r="AK24734" s="831">
        <v>0</v>
      </c>
    </row>
    <row r="24735" spans="32:37">
      <c r="AF24735" s="831" t="s">
        <v>11858</v>
      </c>
      <c r="AG24735" s="831" t="s">
        <v>2674</v>
      </c>
      <c r="AH24735" s="831" t="s">
        <v>551</v>
      </c>
      <c r="AI24735" s="831">
        <v>0</v>
      </c>
      <c r="AJ24735" s="835">
        <v>42035</v>
      </c>
      <c r="AK24735" s="831">
        <v>5260060</v>
      </c>
    </row>
    <row r="24736" spans="32:37">
      <c r="AF24736" s="831" t="s">
        <v>11859</v>
      </c>
      <c r="AG24736" s="831" t="s">
        <v>2674</v>
      </c>
      <c r="AH24736" s="831" t="s">
        <v>550</v>
      </c>
      <c r="AI24736" s="831">
        <v>0</v>
      </c>
      <c r="AJ24736" s="835">
        <v>42035</v>
      </c>
      <c r="AK24736" s="831">
        <v>145409000</v>
      </c>
    </row>
    <row r="24737" spans="32:37">
      <c r="AF24737" s="831" t="s">
        <v>11860</v>
      </c>
      <c r="AG24737" s="831" t="s">
        <v>2674</v>
      </c>
      <c r="AH24737" s="831" t="s">
        <v>562</v>
      </c>
      <c r="AI24737" s="831">
        <v>0</v>
      </c>
      <c r="AJ24737" s="835">
        <v>42035</v>
      </c>
      <c r="AK24737" s="831">
        <v>0.78439999999999999</v>
      </c>
    </row>
    <row r="24738" spans="32:37">
      <c r="AF24738" s="831" t="s">
        <v>11861</v>
      </c>
      <c r="AG24738" s="831" t="s">
        <v>2674</v>
      </c>
      <c r="AH24738" s="831" t="s">
        <v>2698</v>
      </c>
      <c r="AI24738" s="831">
        <v>0</v>
      </c>
      <c r="AJ24738" s="835">
        <v>42035</v>
      </c>
      <c r="AK24738" s="831">
        <v>0.78310000000000002</v>
      </c>
    </row>
    <row r="24739" spans="32:37">
      <c r="AF24739" s="831" t="s">
        <v>11862</v>
      </c>
      <c r="AG24739" s="831" t="s">
        <v>2674</v>
      </c>
      <c r="AH24739" s="831" t="s">
        <v>560</v>
      </c>
      <c r="AI24739" s="831">
        <v>0</v>
      </c>
      <c r="AJ24739" s="835">
        <v>42035</v>
      </c>
      <c r="AK24739" s="831">
        <v>0.78439999999999999</v>
      </c>
    </row>
    <row r="24740" spans="32:37">
      <c r="AF24740" s="831" t="s">
        <v>11863</v>
      </c>
      <c r="AG24740" s="831" t="s">
        <v>2674</v>
      </c>
      <c r="AH24740" s="831" t="s">
        <v>559</v>
      </c>
      <c r="AI24740" s="831">
        <v>0</v>
      </c>
      <c r="AJ24740" s="835">
        <v>42035</v>
      </c>
      <c r="AK24740" s="831">
        <v>0.78369583333333326</v>
      </c>
    </row>
    <row r="24741" spans="32:37">
      <c r="AF24741" s="831" t="s">
        <v>11864</v>
      </c>
      <c r="AG24741" s="831" t="s">
        <v>2674</v>
      </c>
      <c r="AH24741" s="831" t="s">
        <v>568</v>
      </c>
      <c r="AI24741" s="831">
        <v>0</v>
      </c>
      <c r="AJ24741" s="835">
        <v>42035</v>
      </c>
      <c r="AK24741" s="831">
        <v>739343777.07692313</v>
      </c>
    </row>
    <row r="24742" spans="32:37">
      <c r="AF24742" s="831" t="s">
        <v>11865</v>
      </c>
      <c r="AG24742" s="831" t="s">
        <v>2674</v>
      </c>
      <c r="AH24742" s="831" t="s">
        <v>569</v>
      </c>
      <c r="AI24742" s="831">
        <v>0</v>
      </c>
      <c r="AJ24742" s="835">
        <v>42035</v>
      </c>
      <c r="AK24742" s="831">
        <v>919552846</v>
      </c>
    </row>
    <row r="24743" spans="32:37">
      <c r="AF24743" s="831" t="s">
        <v>11866</v>
      </c>
      <c r="AG24743" s="831" t="s">
        <v>2674</v>
      </c>
      <c r="AH24743" s="831" t="s">
        <v>570</v>
      </c>
      <c r="AI24743" s="831">
        <v>0</v>
      </c>
      <c r="AJ24743" s="835">
        <v>42035</v>
      </c>
      <c r="AK24743" s="831">
        <v>136809116.92538461</v>
      </c>
    </row>
    <row r="24744" spans="32:37">
      <c r="AF24744" s="831" t="s">
        <v>11867</v>
      </c>
      <c r="AG24744" s="831" t="s">
        <v>2674</v>
      </c>
      <c r="AH24744" s="831" t="s">
        <v>571</v>
      </c>
      <c r="AI24744" s="831">
        <v>0</v>
      </c>
      <c r="AJ24744" s="835">
        <v>42035</v>
      </c>
      <c r="AK24744" s="831">
        <v>456907538.41669232</v>
      </c>
    </row>
    <row r="24745" spans="32:37">
      <c r="AF24745" s="831" t="s">
        <v>11868</v>
      </c>
      <c r="AG24745" s="831" t="s">
        <v>2674</v>
      </c>
      <c r="AH24745" s="831" t="s">
        <v>573</v>
      </c>
      <c r="AI24745" s="831">
        <v>0</v>
      </c>
      <c r="AJ24745" s="835">
        <v>42035</v>
      </c>
      <c r="AK24745" s="831">
        <v>1043409621.5</v>
      </c>
    </row>
    <row r="24746" spans="32:37">
      <c r="AF24746" s="831" t="s">
        <v>11869</v>
      </c>
      <c r="AG24746" s="831" t="s">
        <v>2674</v>
      </c>
      <c r="AH24746" s="831" t="s">
        <v>574</v>
      </c>
      <c r="AI24746" s="831">
        <v>0</v>
      </c>
      <c r="AJ24746" s="835">
        <v>42035</v>
      </c>
      <c r="AK24746" s="831">
        <v>829336654.5</v>
      </c>
    </row>
    <row r="24747" spans="32:37">
      <c r="AF24747" s="831" t="s">
        <v>11870</v>
      </c>
      <c r="AG24747" s="831" t="s">
        <v>2674</v>
      </c>
      <c r="AH24747" s="831" t="s">
        <v>575</v>
      </c>
      <c r="AI24747" s="831">
        <v>0</v>
      </c>
      <c r="AJ24747" s="835">
        <v>42035</v>
      </c>
      <c r="AK24747" s="831">
        <v>147134612</v>
      </c>
    </row>
    <row r="24748" spans="32:37">
      <c r="AF24748" s="831" t="s">
        <v>11871</v>
      </c>
      <c r="AG24748" s="831" t="s">
        <v>2674</v>
      </c>
      <c r="AH24748" s="831" t="s">
        <v>576</v>
      </c>
      <c r="AI24748" s="831">
        <v>0</v>
      </c>
      <c r="AJ24748" s="835">
        <v>42035</v>
      </c>
      <c r="AK24748" s="831">
        <v>535265337</v>
      </c>
    </row>
    <row r="24749" spans="32:37">
      <c r="AF24749" s="831" t="s">
        <v>11872</v>
      </c>
      <c r="AG24749" s="831" t="s">
        <v>2674</v>
      </c>
      <c r="AH24749" s="831" t="s">
        <v>572</v>
      </c>
      <c r="AI24749" s="831">
        <v>0</v>
      </c>
      <c r="AJ24749" s="835">
        <v>42035</v>
      </c>
      <c r="AK24749" s="831">
        <v>43193117</v>
      </c>
    </row>
    <row r="24750" spans="32:37">
      <c r="AF24750" s="831" t="s">
        <v>11873</v>
      </c>
      <c r="AG24750" s="831" t="s">
        <v>2674</v>
      </c>
      <c r="AH24750" s="831" t="s">
        <v>577</v>
      </c>
      <c r="AI24750" s="831">
        <v>0</v>
      </c>
      <c r="AJ24750" s="835">
        <v>42035</v>
      </c>
      <c r="AK24750" s="831">
        <v>172605174</v>
      </c>
    </row>
    <row r="24751" spans="32:37">
      <c r="AF24751" s="831" t="s">
        <v>11874</v>
      </c>
      <c r="AG24751" s="831" t="s">
        <v>2674</v>
      </c>
      <c r="AH24751" s="831" t="s">
        <v>3042</v>
      </c>
      <c r="AI24751" s="831">
        <v>0</v>
      </c>
      <c r="AJ24751" s="835">
        <v>42035</v>
      </c>
      <c r="AK24751" s="831">
        <v>-52806938</v>
      </c>
    </row>
    <row r="24752" spans="32:37">
      <c r="AF24752" s="831" t="s">
        <v>11875</v>
      </c>
      <c r="AG24752" s="831" t="s">
        <v>2674</v>
      </c>
      <c r="AH24752" s="831" t="s">
        <v>3044</v>
      </c>
      <c r="AI24752" s="831">
        <v>0</v>
      </c>
      <c r="AJ24752" s="835">
        <v>42035</v>
      </c>
      <c r="AK24752" s="831">
        <v>3134380</v>
      </c>
    </row>
    <row r="24753" spans="32:37">
      <c r="AF24753" s="831" t="s">
        <v>11876</v>
      </c>
      <c r="AG24753" s="831" t="s">
        <v>2674</v>
      </c>
      <c r="AH24753" s="831" t="s">
        <v>580</v>
      </c>
      <c r="AI24753" s="831">
        <v>0</v>
      </c>
      <c r="AJ24753" s="835">
        <v>42035</v>
      </c>
      <c r="AK24753" s="831">
        <v>-79238495</v>
      </c>
    </row>
    <row r="24754" spans="32:37">
      <c r="AF24754" s="831" t="s">
        <v>11877</v>
      </c>
      <c r="AG24754" s="831" t="s">
        <v>2674</v>
      </c>
      <c r="AH24754" s="831" t="s">
        <v>581</v>
      </c>
      <c r="AI24754" s="831">
        <v>0</v>
      </c>
      <c r="AJ24754" s="835">
        <v>42035</v>
      </c>
      <c r="AK24754" s="831">
        <v>9801179</v>
      </c>
    </row>
    <row r="24755" spans="32:37">
      <c r="AF24755" s="831" t="s">
        <v>11878</v>
      </c>
      <c r="AG24755" s="831" t="s">
        <v>2674</v>
      </c>
      <c r="AH24755" s="831" t="s">
        <v>105</v>
      </c>
      <c r="AI24755" s="831">
        <v>0</v>
      </c>
      <c r="AJ24755" s="835">
        <v>42035</v>
      </c>
      <c r="AK24755" s="831">
        <v>538185674</v>
      </c>
    </row>
    <row r="24756" spans="32:37">
      <c r="AF24756" s="831" t="s">
        <v>11879</v>
      </c>
      <c r="AG24756" s="831" t="s">
        <v>2674</v>
      </c>
      <c r="AH24756" s="831" t="s">
        <v>3049</v>
      </c>
      <c r="AI24756" s="831">
        <v>0</v>
      </c>
      <c r="AJ24756" s="835">
        <v>42035</v>
      </c>
      <c r="AK24756" s="831">
        <v>868832996</v>
      </c>
    </row>
    <row r="24757" spans="32:37">
      <c r="AF24757" s="831" t="s">
        <v>11880</v>
      </c>
      <c r="AG24757" s="831" t="s">
        <v>2674</v>
      </c>
      <c r="AH24757" s="831" t="s">
        <v>103</v>
      </c>
      <c r="AI24757" s="831">
        <v>0</v>
      </c>
      <c r="AJ24757" s="835">
        <v>42035</v>
      </c>
      <c r="AK24757" s="831">
        <v>330647322</v>
      </c>
    </row>
    <row r="24758" spans="32:37">
      <c r="AF24758" s="831" t="s">
        <v>11881</v>
      </c>
      <c r="AG24758" s="831" t="s">
        <v>2674</v>
      </c>
      <c r="AH24758" s="831" t="s">
        <v>182</v>
      </c>
      <c r="AI24758" s="831">
        <v>0</v>
      </c>
      <c r="AJ24758" s="835">
        <v>42035</v>
      </c>
      <c r="AK24758" s="831">
        <v>79397220</v>
      </c>
    </row>
    <row r="24759" spans="32:37">
      <c r="AF24759" s="831" t="s">
        <v>11882</v>
      </c>
      <c r="AG24759" s="831" t="s">
        <v>2674</v>
      </c>
      <c r="AH24759" s="831" t="s">
        <v>6600</v>
      </c>
      <c r="AI24759" s="831">
        <v>0</v>
      </c>
      <c r="AJ24759" s="835">
        <v>42035</v>
      </c>
      <c r="AK24759" s="831">
        <v>43193117</v>
      </c>
    </row>
    <row r="24760" spans="32:37">
      <c r="AF24760" s="831" t="s">
        <v>11883</v>
      </c>
      <c r="AG24760" s="831" t="s">
        <v>2674</v>
      </c>
      <c r="AH24760" s="831" t="s">
        <v>6602</v>
      </c>
      <c r="AI24760" s="831">
        <v>0</v>
      </c>
      <c r="AJ24760" s="835">
        <v>42035</v>
      </c>
      <c r="AK24760" s="831">
        <v>3451938</v>
      </c>
    </row>
    <row r="24761" spans="32:37">
      <c r="AF24761" s="831" t="s">
        <v>11884</v>
      </c>
      <c r="AG24761" s="831" t="s">
        <v>2674</v>
      </c>
      <c r="AH24761" s="831" t="s">
        <v>650</v>
      </c>
      <c r="AI24761" s="831">
        <v>0</v>
      </c>
      <c r="AJ24761" s="835">
        <v>42035</v>
      </c>
      <c r="AK24761" s="831">
        <v>300938254.07461542</v>
      </c>
    </row>
    <row r="24762" spans="32:37">
      <c r="AF24762" s="831" t="s">
        <v>11885</v>
      </c>
      <c r="AG24762" s="831" t="s">
        <v>2674</v>
      </c>
      <c r="AH24762" s="831" t="s">
        <v>655</v>
      </c>
      <c r="AI24762" s="831">
        <v>0</v>
      </c>
      <c r="AJ24762" s="835">
        <v>42035</v>
      </c>
      <c r="AK24762" s="831">
        <v>4403089</v>
      </c>
    </row>
    <row r="24763" spans="32:37">
      <c r="AF24763" s="831" t="s">
        <v>11886</v>
      </c>
      <c r="AG24763" s="831" t="s">
        <v>2674</v>
      </c>
      <c r="AH24763" s="831" t="s">
        <v>546</v>
      </c>
      <c r="AI24763" s="831">
        <v>0</v>
      </c>
      <c r="AJ24763" s="835">
        <v>42063</v>
      </c>
      <c r="AK24763" s="831">
        <v>965858339</v>
      </c>
    </row>
    <row r="24764" spans="32:37">
      <c r="AF24764" s="831" t="s">
        <v>11887</v>
      </c>
      <c r="AG24764" s="831" t="s">
        <v>2674</v>
      </c>
      <c r="AH24764" s="831" t="s">
        <v>370</v>
      </c>
      <c r="AI24764" s="831">
        <v>0</v>
      </c>
      <c r="AJ24764" s="835">
        <v>42063</v>
      </c>
      <c r="AK24764" s="831">
        <v>1253581727</v>
      </c>
    </row>
    <row r="24765" spans="32:37">
      <c r="AF24765" s="831" t="s">
        <v>11888</v>
      </c>
      <c r="AG24765" s="831" t="s">
        <v>2674</v>
      </c>
      <c r="AH24765" s="831" t="s">
        <v>126</v>
      </c>
      <c r="AI24765" s="831">
        <v>0</v>
      </c>
      <c r="AJ24765" s="835">
        <v>42063</v>
      </c>
      <c r="AK24765" s="831">
        <v>143500530</v>
      </c>
    </row>
    <row r="24766" spans="32:37">
      <c r="AF24766" s="831" t="s">
        <v>11889</v>
      </c>
      <c r="AG24766" s="831" t="s">
        <v>2674</v>
      </c>
      <c r="AH24766" s="831" t="s">
        <v>268</v>
      </c>
      <c r="AI24766" s="831">
        <v>0</v>
      </c>
      <c r="AJ24766" s="835">
        <v>42063</v>
      </c>
      <c r="AK24766" s="831">
        <v>-1907756</v>
      </c>
    </row>
    <row r="24767" spans="32:37">
      <c r="AF24767" s="831" t="s">
        <v>11890</v>
      </c>
      <c r="AG24767" s="831" t="s">
        <v>2674</v>
      </c>
      <c r="AH24767" s="831" t="s">
        <v>547</v>
      </c>
      <c r="AI24767" s="831">
        <v>0</v>
      </c>
      <c r="AJ24767" s="835">
        <v>42063</v>
      </c>
      <c r="AK24767" s="831">
        <v>1044609243</v>
      </c>
    </row>
    <row r="24768" spans="32:37">
      <c r="AF24768" s="831" t="s">
        <v>11891</v>
      </c>
      <c r="AG24768" s="831" t="s">
        <v>2674</v>
      </c>
      <c r="AH24768" s="831" t="s">
        <v>548</v>
      </c>
      <c r="AI24768" s="831">
        <v>0</v>
      </c>
      <c r="AJ24768" s="835">
        <v>42063</v>
      </c>
      <c r="AK24768" s="831">
        <v>148860224</v>
      </c>
    </row>
    <row r="24769" spans="32:37">
      <c r="AF24769" s="831" t="s">
        <v>11892</v>
      </c>
      <c r="AG24769" s="831" t="s">
        <v>2674</v>
      </c>
      <c r="AH24769" s="831" t="s">
        <v>549</v>
      </c>
      <c r="AI24769" s="831">
        <v>0</v>
      </c>
      <c r="AJ24769" s="835">
        <v>42063</v>
      </c>
      <c r="AK24769" s="831">
        <v>652795035</v>
      </c>
    </row>
    <row r="24770" spans="32:37">
      <c r="AF24770" s="831" t="s">
        <v>11893</v>
      </c>
      <c r="AG24770" s="831" t="s">
        <v>2674</v>
      </c>
      <c r="AH24770" s="831" t="s">
        <v>192</v>
      </c>
      <c r="AI24770" s="831">
        <v>0</v>
      </c>
      <c r="AJ24770" s="835">
        <v>42063</v>
      </c>
      <c r="AK24770" s="831">
        <v>-13765211</v>
      </c>
    </row>
    <row r="24771" spans="32:37">
      <c r="AF24771" s="831" t="s">
        <v>11894</v>
      </c>
      <c r="AG24771" s="831" t="s">
        <v>2674</v>
      </c>
      <c r="AH24771" s="831" t="s">
        <v>558</v>
      </c>
      <c r="AI24771" s="831">
        <v>0</v>
      </c>
      <c r="AJ24771" s="835">
        <v>42063</v>
      </c>
      <c r="AK24771" s="831">
        <v>1110081197</v>
      </c>
    </row>
    <row r="24772" spans="32:37">
      <c r="AF24772" s="831" t="s">
        <v>11895</v>
      </c>
      <c r="AG24772" s="831" t="s">
        <v>2674</v>
      </c>
      <c r="AH24772" s="831" t="s">
        <v>65</v>
      </c>
      <c r="AI24772" s="831">
        <v>0</v>
      </c>
      <c r="AJ24772" s="835">
        <v>42063</v>
      </c>
      <c r="AK24772" s="831">
        <v>31017741</v>
      </c>
    </row>
    <row r="24773" spans="32:37">
      <c r="AF24773" s="831" t="s">
        <v>11896</v>
      </c>
      <c r="AG24773" s="831" t="s">
        <v>2674</v>
      </c>
      <c r="AH24773" s="831" t="s">
        <v>89</v>
      </c>
      <c r="AI24773" s="831">
        <v>0</v>
      </c>
      <c r="AJ24773" s="835">
        <v>42063</v>
      </c>
      <c r="AK24773" s="831">
        <v>157073</v>
      </c>
    </row>
    <row r="24774" spans="32:37">
      <c r="AF24774" s="831" t="s">
        <v>11897</v>
      </c>
      <c r="AG24774" s="831" t="s">
        <v>2674</v>
      </c>
      <c r="AH24774" s="831" t="s">
        <v>557</v>
      </c>
      <c r="AI24774" s="831">
        <v>0</v>
      </c>
      <c r="AJ24774" s="835">
        <v>42063</v>
      </c>
      <c r="AK24774" s="831">
        <v>179494</v>
      </c>
    </row>
    <row r="24775" spans="32:37">
      <c r="AF24775" s="831" t="s">
        <v>11898</v>
      </c>
      <c r="AG24775" s="831" t="s">
        <v>2674</v>
      </c>
      <c r="AH24775" s="831" t="s">
        <v>29</v>
      </c>
      <c r="AI24775" s="831">
        <v>0</v>
      </c>
      <c r="AJ24775" s="835">
        <v>42063</v>
      </c>
      <c r="AK24775" s="831">
        <v>8683621</v>
      </c>
    </row>
    <row r="24776" spans="32:37">
      <c r="AF24776" s="831" t="s">
        <v>11899</v>
      </c>
      <c r="AG24776" s="831" t="s">
        <v>2674</v>
      </c>
      <c r="AH24776" s="831" t="s">
        <v>2688</v>
      </c>
      <c r="AI24776" s="831">
        <v>0</v>
      </c>
      <c r="AJ24776" s="835">
        <v>42063</v>
      </c>
      <c r="AK24776" s="831">
        <v>11508492</v>
      </c>
    </row>
    <row r="24777" spans="32:37">
      <c r="AF24777" s="831" t="s">
        <v>11900</v>
      </c>
      <c r="AG24777" s="831" t="s">
        <v>2674</v>
      </c>
      <c r="AH24777" s="831" t="s">
        <v>556</v>
      </c>
      <c r="AI24777" s="831">
        <v>0</v>
      </c>
      <c r="AJ24777" s="835">
        <v>42063</v>
      </c>
      <c r="AK24777" s="831">
        <v>11412135</v>
      </c>
    </row>
    <row r="24778" spans="32:37">
      <c r="AF24778" s="831" t="s">
        <v>11901</v>
      </c>
      <c r="AG24778" s="831" t="s">
        <v>2674</v>
      </c>
      <c r="AH24778" s="831" t="s">
        <v>555</v>
      </c>
      <c r="AI24778" s="831">
        <v>0</v>
      </c>
      <c r="AJ24778" s="835">
        <v>42063</v>
      </c>
      <c r="AK24778" s="831">
        <v>771141919</v>
      </c>
    </row>
    <row r="24779" spans="32:37">
      <c r="AF24779" s="831" t="s">
        <v>11902</v>
      </c>
      <c r="AG24779" s="831" t="s">
        <v>2674</v>
      </c>
      <c r="AH24779" s="831" t="s">
        <v>554</v>
      </c>
      <c r="AI24779" s="831">
        <v>0</v>
      </c>
      <c r="AJ24779" s="835">
        <v>42063</v>
      </c>
      <c r="AK24779" s="831">
        <v>856164850</v>
      </c>
    </row>
    <row r="24780" spans="32:37">
      <c r="AF24780" s="831" t="s">
        <v>11903</v>
      </c>
      <c r="AG24780" s="831" t="s">
        <v>2674</v>
      </c>
      <c r="AH24780" s="831" t="s">
        <v>553</v>
      </c>
      <c r="AI24780" s="831">
        <v>0</v>
      </c>
      <c r="AJ24780" s="835">
        <v>42063</v>
      </c>
      <c r="AK24780" s="831">
        <v>92382400</v>
      </c>
    </row>
    <row r="24781" spans="32:37">
      <c r="AF24781" s="831" t="s">
        <v>11904</v>
      </c>
      <c r="AG24781" s="831" t="s">
        <v>2674</v>
      </c>
      <c r="AH24781" s="831" t="s">
        <v>552</v>
      </c>
      <c r="AI24781" s="831">
        <v>0</v>
      </c>
      <c r="AJ24781" s="835">
        <v>42063</v>
      </c>
      <c r="AK24781" s="831">
        <v>0</v>
      </c>
    </row>
    <row r="24782" spans="32:37">
      <c r="AF24782" s="831" t="s">
        <v>11905</v>
      </c>
      <c r="AG24782" s="831" t="s">
        <v>2674</v>
      </c>
      <c r="AH24782" s="831" t="s">
        <v>551</v>
      </c>
      <c r="AI24782" s="831">
        <v>0</v>
      </c>
      <c r="AJ24782" s="835">
        <v>42063</v>
      </c>
      <c r="AK24782" s="831">
        <v>7487687</v>
      </c>
    </row>
    <row r="24783" spans="32:37">
      <c r="AF24783" s="831" t="s">
        <v>11906</v>
      </c>
      <c r="AG24783" s="831" t="s">
        <v>2674</v>
      </c>
      <c r="AH24783" s="831" t="s">
        <v>550</v>
      </c>
      <c r="AI24783" s="831">
        <v>0</v>
      </c>
      <c r="AJ24783" s="835">
        <v>42063</v>
      </c>
      <c r="AK24783" s="831">
        <v>148860224</v>
      </c>
    </row>
    <row r="24784" spans="32:37">
      <c r="AF24784" s="831" t="s">
        <v>11907</v>
      </c>
      <c r="AG24784" s="831" t="s">
        <v>2674</v>
      </c>
      <c r="AH24784" s="831" t="s">
        <v>562</v>
      </c>
      <c r="AI24784" s="831">
        <v>0</v>
      </c>
      <c r="AJ24784" s="835">
        <v>42063</v>
      </c>
      <c r="AK24784" s="831">
        <v>1.04575</v>
      </c>
    </row>
    <row r="24785" spans="32:37">
      <c r="AF24785" s="831" t="s">
        <v>11908</v>
      </c>
      <c r="AG24785" s="831" t="s">
        <v>2674</v>
      </c>
      <c r="AH24785" s="831" t="s">
        <v>2698</v>
      </c>
      <c r="AI24785" s="831">
        <v>0</v>
      </c>
      <c r="AJ24785" s="835">
        <v>42063</v>
      </c>
      <c r="AK24785" s="831">
        <v>0.78439999999999999</v>
      </c>
    </row>
    <row r="24786" spans="32:37">
      <c r="AF24786" s="831" t="s">
        <v>11909</v>
      </c>
      <c r="AG24786" s="831" t="s">
        <v>2674</v>
      </c>
      <c r="AH24786" s="831" t="s">
        <v>560</v>
      </c>
      <c r="AI24786" s="831">
        <v>0</v>
      </c>
      <c r="AJ24786" s="835">
        <v>42063</v>
      </c>
      <c r="AK24786" s="831">
        <v>0.91507499999999997</v>
      </c>
    </row>
    <row r="24787" spans="32:37">
      <c r="AF24787" s="831" t="s">
        <v>11910</v>
      </c>
      <c r="AG24787" s="831" t="s">
        <v>2674</v>
      </c>
      <c r="AH24787" s="831" t="s">
        <v>559</v>
      </c>
      <c r="AI24787" s="831">
        <v>0</v>
      </c>
      <c r="AJ24787" s="835">
        <v>42063</v>
      </c>
      <c r="AK24787" s="831">
        <v>0.80552083333333313</v>
      </c>
    </row>
    <row r="24788" spans="32:37">
      <c r="AF24788" s="831" t="s">
        <v>11911</v>
      </c>
      <c r="AG24788" s="831" t="s">
        <v>2674</v>
      </c>
      <c r="AH24788" s="831" t="s">
        <v>568</v>
      </c>
      <c r="AI24788" s="831">
        <v>0</v>
      </c>
      <c r="AJ24788" s="835">
        <v>42063</v>
      </c>
      <c r="AK24788" s="831">
        <v>764746840.38461542</v>
      </c>
    </row>
    <row r="24789" spans="32:37">
      <c r="AF24789" s="831" t="s">
        <v>11912</v>
      </c>
      <c r="AG24789" s="831" t="s">
        <v>2674</v>
      </c>
      <c r="AH24789" s="831" t="s">
        <v>569</v>
      </c>
      <c r="AI24789" s="831">
        <v>0</v>
      </c>
      <c r="AJ24789" s="835">
        <v>42063</v>
      </c>
      <c r="AK24789" s="831">
        <v>956157596</v>
      </c>
    </row>
    <row r="24790" spans="32:37">
      <c r="AF24790" s="831" t="s">
        <v>11913</v>
      </c>
      <c r="AG24790" s="831" t="s">
        <v>2674</v>
      </c>
      <c r="AH24790" s="831" t="s">
        <v>570</v>
      </c>
      <c r="AI24790" s="831">
        <v>0</v>
      </c>
      <c r="AJ24790" s="835">
        <v>42063</v>
      </c>
      <c r="AK24790" s="831">
        <v>138839504.15615386</v>
      </c>
    </row>
    <row r="24791" spans="32:37">
      <c r="AF24791" s="831" t="s">
        <v>11914</v>
      </c>
      <c r="AG24791" s="831" t="s">
        <v>2674</v>
      </c>
      <c r="AH24791" s="831" t="s">
        <v>571</v>
      </c>
      <c r="AI24791" s="831">
        <v>0</v>
      </c>
      <c r="AJ24791" s="835">
        <v>42063</v>
      </c>
      <c r="AK24791" s="831">
        <v>482774872.10899997</v>
      </c>
    </row>
    <row r="24792" spans="32:37">
      <c r="AF24792" s="831" t="s">
        <v>11915</v>
      </c>
      <c r="AG24792" s="831" t="s">
        <v>2674</v>
      </c>
      <c r="AH24792" s="831" t="s">
        <v>573</v>
      </c>
      <c r="AI24792" s="831">
        <v>0</v>
      </c>
      <c r="AJ24792" s="835">
        <v>42063</v>
      </c>
      <c r="AK24792" s="831">
        <v>1113466990</v>
      </c>
    </row>
    <row r="24793" spans="32:37">
      <c r="AF24793" s="831" t="s">
        <v>11916</v>
      </c>
      <c r="AG24793" s="831" t="s">
        <v>2674</v>
      </c>
      <c r="AH24793" s="831" t="s">
        <v>574</v>
      </c>
      <c r="AI24793" s="831">
        <v>0</v>
      </c>
      <c r="AJ24793" s="835">
        <v>42063</v>
      </c>
      <c r="AK24793" s="831">
        <v>874843882.66666663</v>
      </c>
    </row>
    <row r="24794" spans="32:37">
      <c r="AF24794" s="831" t="s">
        <v>11917</v>
      </c>
      <c r="AG24794" s="831" t="s">
        <v>2674</v>
      </c>
      <c r="AH24794" s="831" t="s">
        <v>575</v>
      </c>
      <c r="AI24794" s="831">
        <v>0</v>
      </c>
      <c r="AJ24794" s="835">
        <v>42063</v>
      </c>
      <c r="AK24794" s="831">
        <v>145923251.33333334</v>
      </c>
    </row>
    <row r="24795" spans="32:37">
      <c r="AF24795" s="831" t="s">
        <v>11918</v>
      </c>
      <c r="AG24795" s="831" t="s">
        <v>2674</v>
      </c>
      <c r="AH24795" s="831" t="s">
        <v>576</v>
      </c>
      <c r="AI24795" s="831">
        <v>0</v>
      </c>
      <c r="AJ24795" s="835">
        <v>42063</v>
      </c>
      <c r="AK24795" s="831">
        <v>595110401.33333337</v>
      </c>
    </row>
    <row r="24796" spans="32:37">
      <c r="AF24796" s="831" t="s">
        <v>11919</v>
      </c>
      <c r="AG24796" s="831" t="s">
        <v>2674</v>
      </c>
      <c r="AH24796" s="831" t="s">
        <v>572</v>
      </c>
      <c r="AI24796" s="831">
        <v>0</v>
      </c>
      <c r="AJ24796" s="835">
        <v>42063</v>
      </c>
      <c r="AK24796" s="831">
        <v>33261949</v>
      </c>
    </row>
    <row r="24797" spans="32:37">
      <c r="AF24797" s="831" t="s">
        <v>11920</v>
      </c>
      <c r="AG24797" s="831" t="s">
        <v>2674</v>
      </c>
      <c r="AH24797" s="831" t="s">
        <v>577</v>
      </c>
      <c r="AI24797" s="831">
        <v>0</v>
      </c>
      <c r="AJ24797" s="835">
        <v>42063</v>
      </c>
      <c r="AK24797" s="831">
        <v>173134660</v>
      </c>
    </row>
    <row r="24798" spans="32:37">
      <c r="AF24798" s="831" t="s">
        <v>11921</v>
      </c>
      <c r="AG24798" s="831" t="s">
        <v>2674</v>
      </c>
      <c r="AH24798" s="831" t="s">
        <v>3042</v>
      </c>
      <c r="AI24798" s="831">
        <v>0</v>
      </c>
      <c r="AJ24798" s="835">
        <v>42063</v>
      </c>
      <c r="AK24798" s="831">
        <v>-53542458</v>
      </c>
    </row>
    <row r="24799" spans="32:37">
      <c r="AF24799" s="831" t="s">
        <v>11922</v>
      </c>
      <c r="AG24799" s="831" t="s">
        <v>2674</v>
      </c>
      <c r="AH24799" s="831" t="s">
        <v>3044</v>
      </c>
      <c r="AI24799" s="831">
        <v>0</v>
      </c>
      <c r="AJ24799" s="835">
        <v>42063</v>
      </c>
      <c r="AK24799" s="831">
        <v>-787106</v>
      </c>
    </row>
    <row r="24800" spans="32:37">
      <c r="AF24800" s="831" t="s">
        <v>11923</v>
      </c>
      <c r="AG24800" s="831" t="s">
        <v>2674</v>
      </c>
      <c r="AH24800" s="831" t="s">
        <v>580</v>
      </c>
      <c r="AI24800" s="831">
        <v>0</v>
      </c>
      <c r="AJ24800" s="835">
        <v>42063</v>
      </c>
      <c r="AK24800" s="831">
        <v>-82473719</v>
      </c>
    </row>
    <row r="24801" spans="32:37">
      <c r="AF24801" s="831" t="s">
        <v>11924</v>
      </c>
      <c r="AG24801" s="831" t="s">
        <v>2674</v>
      </c>
      <c r="AH24801" s="831" t="s">
        <v>581</v>
      </c>
      <c r="AI24801" s="831">
        <v>0</v>
      </c>
      <c r="AJ24801" s="835">
        <v>42063</v>
      </c>
      <c r="AK24801" s="831">
        <v>11169610</v>
      </c>
    </row>
    <row r="24802" spans="32:37">
      <c r="AF24802" s="831" t="s">
        <v>11925</v>
      </c>
      <c r="AG24802" s="831" t="s">
        <v>2674</v>
      </c>
      <c r="AH24802" s="831" t="s">
        <v>105</v>
      </c>
      <c r="AI24802" s="831">
        <v>0</v>
      </c>
      <c r="AJ24802" s="835">
        <v>42063</v>
      </c>
      <c r="AK24802" s="831">
        <v>714800530</v>
      </c>
    </row>
    <row r="24803" spans="32:37">
      <c r="AF24803" s="831" t="s">
        <v>11926</v>
      </c>
      <c r="AG24803" s="831" t="s">
        <v>2674</v>
      </c>
      <c r="AH24803" s="831" t="s">
        <v>3049</v>
      </c>
      <c r="AI24803" s="831">
        <v>0</v>
      </c>
      <c r="AJ24803" s="835">
        <v>42063</v>
      </c>
      <c r="AK24803" s="831">
        <v>1078776977</v>
      </c>
    </row>
    <row r="24804" spans="32:37">
      <c r="AF24804" s="831" t="s">
        <v>11927</v>
      </c>
      <c r="AG24804" s="831" t="s">
        <v>2674</v>
      </c>
      <c r="AH24804" s="831" t="s">
        <v>103</v>
      </c>
      <c r="AI24804" s="831">
        <v>0</v>
      </c>
      <c r="AJ24804" s="835">
        <v>42063</v>
      </c>
      <c r="AK24804" s="831">
        <v>363976447</v>
      </c>
    </row>
    <row r="24805" spans="32:37">
      <c r="AF24805" s="831" t="s">
        <v>11928</v>
      </c>
      <c r="AG24805" s="831" t="s">
        <v>2674</v>
      </c>
      <c r="AH24805" s="831" t="s">
        <v>182</v>
      </c>
      <c r="AI24805" s="831">
        <v>0</v>
      </c>
      <c r="AJ24805" s="835">
        <v>42063</v>
      </c>
      <c r="AK24805" s="831">
        <v>91149096</v>
      </c>
    </row>
    <row r="24806" spans="32:37">
      <c r="AF24806" s="831" t="s">
        <v>11929</v>
      </c>
      <c r="AG24806" s="831" t="s">
        <v>2674</v>
      </c>
      <c r="AH24806" s="831" t="s">
        <v>6600</v>
      </c>
      <c r="AI24806" s="831">
        <v>0</v>
      </c>
      <c r="AJ24806" s="835">
        <v>42063</v>
      </c>
      <c r="AK24806" s="831">
        <v>33261949</v>
      </c>
    </row>
    <row r="24807" spans="32:37">
      <c r="AF24807" s="831" t="s">
        <v>11930</v>
      </c>
      <c r="AG24807" s="831" t="s">
        <v>2674</v>
      </c>
      <c r="AH24807" s="831" t="s">
        <v>6602</v>
      </c>
      <c r="AI24807" s="831">
        <v>0</v>
      </c>
      <c r="AJ24807" s="835">
        <v>42063</v>
      </c>
      <c r="AK24807" s="831">
        <v>-1907756</v>
      </c>
    </row>
    <row r="24808" spans="32:37">
      <c r="AF24808" s="831" t="s">
        <v>11931</v>
      </c>
      <c r="AG24808" s="831" t="s">
        <v>2674</v>
      </c>
      <c r="AH24808" s="831" t="s">
        <v>650</v>
      </c>
      <c r="AI24808" s="831">
        <v>0</v>
      </c>
      <c r="AJ24808" s="835">
        <v>42063</v>
      </c>
      <c r="AK24808" s="831">
        <v>309129053.2630769</v>
      </c>
    </row>
    <row r="24809" spans="32:37">
      <c r="AF24809" s="831" t="s">
        <v>11932</v>
      </c>
      <c r="AG24809" s="831" t="s">
        <v>2674</v>
      </c>
      <c r="AH24809" s="831" t="s">
        <v>655</v>
      </c>
      <c r="AI24809" s="831">
        <v>0</v>
      </c>
      <c r="AJ24809" s="835">
        <v>42063</v>
      </c>
      <c r="AK24809" s="831">
        <v>7002831</v>
      </c>
    </row>
    <row r="24810" spans="32:37">
      <c r="AF24810" s="831" t="s">
        <v>11933</v>
      </c>
      <c r="AG24810" s="831" t="s">
        <v>2674</v>
      </c>
      <c r="AH24810" s="831" t="s">
        <v>546</v>
      </c>
      <c r="AI24810" s="831">
        <v>0</v>
      </c>
      <c r="AJ24810" s="835">
        <v>42094</v>
      </c>
      <c r="AK24810" s="831">
        <v>925259190</v>
      </c>
    </row>
    <row r="24811" spans="32:37">
      <c r="AF24811" s="831" t="s">
        <v>11934</v>
      </c>
      <c r="AG24811" s="831" t="s">
        <v>2674</v>
      </c>
      <c r="AH24811" s="831" t="s">
        <v>370</v>
      </c>
      <c r="AI24811" s="831">
        <v>0</v>
      </c>
      <c r="AJ24811" s="835">
        <v>42094</v>
      </c>
      <c r="AK24811" s="831">
        <v>1161484479</v>
      </c>
    </row>
    <row r="24812" spans="32:37">
      <c r="AF24812" s="831" t="s">
        <v>11935</v>
      </c>
      <c r="AG24812" s="831" t="s">
        <v>2674</v>
      </c>
      <c r="AH24812" s="831" t="s">
        <v>126</v>
      </c>
      <c r="AI24812" s="831">
        <v>0</v>
      </c>
      <c r="AJ24812" s="835">
        <v>42094</v>
      </c>
      <c r="AK24812" s="831">
        <v>147807134</v>
      </c>
    </row>
    <row r="24813" spans="32:37">
      <c r="AF24813" s="831" t="s">
        <v>11936</v>
      </c>
      <c r="AG24813" s="831" t="s">
        <v>2674</v>
      </c>
      <c r="AH24813" s="831" t="s">
        <v>268</v>
      </c>
      <c r="AI24813" s="831">
        <v>0</v>
      </c>
      <c r="AJ24813" s="835">
        <v>42094</v>
      </c>
      <c r="AK24813" s="831">
        <v>2398849</v>
      </c>
    </row>
    <row r="24814" spans="32:37">
      <c r="AF24814" s="831" t="s">
        <v>11937</v>
      </c>
      <c r="AG24814" s="831" t="s">
        <v>2674</v>
      </c>
      <c r="AH24814" s="831" t="s">
        <v>547</v>
      </c>
      <c r="AI24814" s="831">
        <v>0</v>
      </c>
      <c r="AJ24814" s="835">
        <v>42094</v>
      </c>
      <c r="AK24814" s="831">
        <v>1044609243</v>
      </c>
    </row>
    <row r="24815" spans="32:37">
      <c r="AF24815" s="831" t="s">
        <v>11938</v>
      </c>
      <c r="AG24815" s="831" t="s">
        <v>2674</v>
      </c>
      <c r="AH24815" s="831" t="s">
        <v>548</v>
      </c>
      <c r="AI24815" s="831">
        <v>0</v>
      </c>
      <c r="AJ24815" s="835">
        <v>42094</v>
      </c>
      <c r="AK24815" s="831">
        <v>148860224</v>
      </c>
    </row>
    <row r="24816" spans="32:37">
      <c r="AF24816" s="831" t="s">
        <v>11939</v>
      </c>
      <c r="AG24816" s="831" t="s">
        <v>2674</v>
      </c>
      <c r="AH24816" s="831" t="s">
        <v>549</v>
      </c>
      <c r="AI24816" s="831">
        <v>0</v>
      </c>
      <c r="AJ24816" s="835">
        <v>42094</v>
      </c>
      <c r="AK24816" s="831">
        <v>664153787</v>
      </c>
    </row>
    <row r="24817" spans="32:37">
      <c r="AF24817" s="831" t="s">
        <v>11940</v>
      </c>
      <c r="AG24817" s="831" t="s">
        <v>2674</v>
      </c>
      <c r="AH24817" s="831" t="s">
        <v>192</v>
      </c>
      <c r="AI24817" s="831">
        <v>0</v>
      </c>
      <c r="AJ24817" s="835">
        <v>42094</v>
      </c>
      <c r="AK24817" s="831">
        <v>-15332196</v>
      </c>
    </row>
    <row r="24818" spans="32:37">
      <c r="AF24818" s="831" t="s">
        <v>11941</v>
      </c>
      <c r="AG24818" s="831" t="s">
        <v>2674</v>
      </c>
      <c r="AH24818" s="831" t="s">
        <v>558</v>
      </c>
      <c r="AI24818" s="831">
        <v>0</v>
      </c>
      <c r="AJ24818" s="835">
        <v>42094</v>
      </c>
      <c r="AK24818" s="831">
        <v>1013677345</v>
      </c>
    </row>
    <row r="24819" spans="32:37">
      <c r="AF24819" s="831" t="s">
        <v>11942</v>
      </c>
      <c r="AG24819" s="831" t="s">
        <v>2674</v>
      </c>
      <c r="AH24819" s="831" t="s">
        <v>65</v>
      </c>
      <c r="AI24819" s="831">
        <v>0</v>
      </c>
      <c r="AJ24819" s="835">
        <v>42094</v>
      </c>
      <c r="AK24819" s="831">
        <v>48515498</v>
      </c>
    </row>
    <row r="24820" spans="32:37">
      <c r="AF24820" s="831" t="s">
        <v>11943</v>
      </c>
      <c r="AG24820" s="831" t="s">
        <v>2674</v>
      </c>
      <c r="AH24820" s="831" t="s">
        <v>89</v>
      </c>
      <c r="AI24820" s="831">
        <v>0</v>
      </c>
      <c r="AJ24820" s="835">
        <v>42094</v>
      </c>
      <c r="AK24820" s="831">
        <v>153039</v>
      </c>
    </row>
    <row r="24821" spans="32:37">
      <c r="AF24821" s="831" t="s">
        <v>11944</v>
      </c>
      <c r="AG24821" s="831" t="s">
        <v>2674</v>
      </c>
      <c r="AH24821" s="831" t="s">
        <v>557</v>
      </c>
      <c r="AI24821" s="831">
        <v>0</v>
      </c>
      <c r="AJ24821" s="835">
        <v>42094</v>
      </c>
      <c r="AK24821" s="831">
        <v>174874</v>
      </c>
    </row>
    <row r="24822" spans="32:37">
      <c r="AF24822" s="831" t="s">
        <v>11945</v>
      </c>
      <c r="AG24822" s="831" t="s">
        <v>2674</v>
      </c>
      <c r="AH24822" s="831" t="s">
        <v>29</v>
      </c>
      <c r="AI24822" s="831">
        <v>0</v>
      </c>
      <c r="AJ24822" s="835">
        <v>42094</v>
      </c>
      <c r="AK24822" s="831">
        <v>10801248</v>
      </c>
    </row>
    <row r="24823" spans="32:37">
      <c r="AF24823" s="831" t="s">
        <v>11946</v>
      </c>
      <c r="AG24823" s="831" t="s">
        <v>2674</v>
      </c>
      <c r="AH24823" s="831" t="s">
        <v>2688</v>
      </c>
      <c r="AI24823" s="831">
        <v>0</v>
      </c>
      <c r="AJ24823" s="835">
        <v>42094</v>
      </c>
      <c r="AK24823" s="831">
        <v>88178967</v>
      </c>
    </row>
    <row r="24824" spans="32:37">
      <c r="AF24824" s="831" t="s">
        <v>11947</v>
      </c>
      <c r="AG24824" s="831" t="s">
        <v>2674</v>
      </c>
      <c r="AH24824" s="831" t="s">
        <v>556</v>
      </c>
      <c r="AI24824" s="831">
        <v>0</v>
      </c>
      <c r="AJ24824" s="835">
        <v>42094</v>
      </c>
      <c r="AK24824" s="831">
        <v>11412135</v>
      </c>
    </row>
    <row r="24825" spans="32:37">
      <c r="AF24825" s="831" t="s">
        <v>11948</v>
      </c>
      <c r="AG24825" s="831" t="s">
        <v>2674</v>
      </c>
      <c r="AH24825" s="831" t="s">
        <v>555</v>
      </c>
      <c r="AI24825" s="831">
        <v>0</v>
      </c>
      <c r="AJ24825" s="835">
        <v>42094</v>
      </c>
      <c r="AK24825" s="831">
        <v>794294654</v>
      </c>
    </row>
    <row r="24826" spans="32:37">
      <c r="AF24826" s="831" t="s">
        <v>11949</v>
      </c>
      <c r="AG24826" s="831" t="s">
        <v>2674</v>
      </c>
      <c r="AH24826" s="831" t="s">
        <v>554</v>
      </c>
      <c r="AI24826" s="831">
        <v>0</v>
      </c>
      <c r="AJ24826" s="835">
        <v>42094</v>
      </c>
      <c r="AK24826" s="831">
        <v>796448359</v>
      </c>
    </row>
    <row r="24827" spans="32:37">
      <c r="AF24827" s="831" t="s">
        <v>11950</v>
      </c>
      <c r="AG24827" s="831" t="s">
        <v>2674</v>
      </c>
      <c r="AH24827" s="831" t="s">
        <v>553</v>
      </c>
      <c r="AI24827" s="831">
        <v>0</v>
      </c>
      <c r="AJ24827" s="835">
        <v>42094</v>
      </c>
      <c r="AK24827" s="831">
        <v>52425000</v>
      </c>
    </row>
    <row r="24828" spans="32:37">
      <c r="AF24828" s="831" t="s">
        <v>11951</v>
      </c>
      <c r="AG24828" s="831" t="s">
        <v>2674</v>
      </c>
      <c r="AH24828" s="831" t="s">
        <v>552</v>
      </c>
      <c r="AI24828" s="831">
        <v>0</v>
      </c>
      <c r="AJ24828" s="835">
        <v>42094</v>
      </c>
      <c r="AK24828" s="831">
        <v>0</v>
      </c>
    </row>
    <row r="24829" spans="32:37">
      <c r="AF24829" s="831" t="s">
        <v>11952</v>
      </c>
      <c r="AG24829" s="831" t="s">
        <v>2674</v>
      </c>
      <c r="AH24829" s="831" t="s">
        <v>551</v>
      </c>
      <c r="AI24829" s="831">
        <v>0</v>
      </c>
      <c r="AJ24829" s="835">
        <v>42094</v>
      </c>
      <c r="AK24829" s="831">
        <v>8543411</v>
      </c>
    </row>
    <row r="24830" spans="32:37">
      <c r="AF24830" s="831" t="s">
        <v>11953</v>
      </c>
      <c r="AG24830" s="831" t="s">
        <v>2674</v>
      </c>
      <c r="AH24830" s="831" t="s">
        <v>550</v>
      </c>
      <c r="AI24830" s="831">
        <v>0</v>
      </c>
      <c r="AJ24830" s="835">
        <v>42094</v>
      </c>
      <c r="AK24830" s="831">
        <v>143500530</v>
      </c>
    </row>
    <row r="24831" spans="32:37">
      <c r="AF24831" s="831" t="s">
        <v>11954</v>
      </c>
      <c r="AG24831" s="831" t="s">
        <v>2674</v>
      </c>
      <c r="AH24831" s="831" t="s">
        <v>562</v>
      </c>
      <c r="AI24831" s="831">
        <v>0</v>
      </c>
      <c r="AJ24831" s="835">
        <v>42094</v>
      </c>
      <c r="AK24831" s="831">
        <v>1.0495000000000001</v>
      </c>
    </row>
    <row r="24832" spans="32:37">
      <c r="AF24832" s="831" t="s">
        <v>11955</v>
      </c>
      <c r="AG24832" s="831" t="s">
        <v>2674</v>
      </c>
      <c r="AH24832" s="831" t="s">
        <v>2698</v>
      </c>
      <c r="AI24832" s="831">
        <v>0</v>
      </c>
      <c r="AJ24832" s="835">
        <v>42094</v>
      </c>
      <c r="AK24832" s="831">
        <v>1.04575</v>
      </c>
    </row>
    <row r="24833" spans="32:37">
      <c r="AF24833" s="831" t="s">
        <v>11956</v>
      </c>
      <c r="AG24833" s="831" t="s">
        <v>2674</v>
      </c>
      <c r="AH24833" s="831" t="s">
        <v>560</v>
      </c>
      <c r="AI24833" s="831">
        <v>0</v>
      </c>
      <c r="AJ24833" s="835">
        <v>42094</v>
      </c>
      <c r="AK24833" s="831">
        <v>0.95988333333333331</v>
      </c>
    </row>
    <row r="24834" spans="32:37">
      <c r="AF24834" s="831" t="s">
        <v>11957</v>
      </c>
      <c r="AG24834" s="831" t="s">
        <v>2674</v>
      </c>
      <c r="AH24834" s="831" t="s">
        <v>559</v>
      </c>
      <c r="AI24834" s="831">
        <v>0</v>
      </c>
      <c r="AJ24834" s="835">
        <v>42094</v>
      </c>
      <c r="AK24834" s="831">
        <v>0.82766666666666655</v>
      </c>
    </row>
    <row r="24835" spans="32:37">
      <c r="AF24835" s="831" t="s">
        <v>11958</v>
      </c>
      <c r="AG24835" s="831" t="s">
        <v>2674</v>
      </c>
      <c r="AH24835" s="831" t="s">
        <v>568</v>
      </c>
      <c r="AI24835" s="831">
        <v>0</v>
      </c>
      <c r="AJ24835" s="835">
        <v>42094</v>
      </c>
      <c r="AK24835" s="831">
        <v>785705621.53846157</v>
      </c>
    </row>
    <row r="24836" spans="32:37">
      <c r="AF24836" s="831" t="s">
        <v>11959</v>
      </c>
      <c r="AG24836" s="831" t="s">
        <v>2674</v>
      </c>
      <c r="AH24836" s="831" t="s">
        <v>569</v>
      </c>
      <c r="AI24836" s="831">
        <v>0</v>
      </c>
      <c r="AJ24836" s="835">
        <v>42094</v>
      </c>
      <c r="AK24836" s="831">
        <v>984393199.30769229</v>
      </c>
    </row>
    <row r="24837" spans="32:37">
      <c r="AF24837" s="831" t="s">
        <v>11960</v>
      </c>
      <c r="AG24837" s="831" t="s">
        <v>2674</v>
      </c>
      <c r="AH24837" s="831" t="s">
        <v>570</v>
      </c>
      <c r="AI24837" s="831">
        <v>0</v>
      </c>
      <c r="AJ24837" s="835">
        <v>42094</v>
      </c>
      <c r="AK24837" s="831">
        <v>140931158.46384615</v>
      </c>
    </row>
    <row r="24838" spans="32:37">
      <c r="AF24838" s="831" t="s">
        <v>11961</v>
      </c>
      <c r="AG24838" s="831" t="s">
        <v>2674</v>
      </c>
      <c r="AH24838" s="831" t="s">
        <v>571</v>
      </c>
      <c r="AI24838" s="831">
        <v>0</v>
      </c>
      <c r="AJ24838" s="835">
        <v>42094</v>
      </c>
      <c r="AK24838" s="831">
        <v>502500066.26284611</v>
      </c>
    </row>
    <row r="24839" spans="32:37">
      <c r="AF24839" s="831" t="s">
        <v>11962</v>
      </c>
      <c r="AG24839" s="831" t="s">
        <v>2674</v>
      </c>
      <c r="AH24839" s="831" t="s">
        <v>573</v>
      </c>
      <c r="AI24839" s="831">
        <v>0</v>
      </c>
      <c r="AJ24839" s="835">
        <v>42094</v>
      </c>
      <c r="AK24839" s="831">
        <v>1125471362.25</v>
      </c>
    </row>
    <row r="24840" spans="32:37">
      <c r="AF24840" s="831" t="s">
        <v>11963</v>
      </c>
      <c r="AG24840" s="831" t="s">
        <v>2674</v>
      </c>
      <c r="AH24840" s="831" t="s">
        <v>574</v>
      </c>
      <c r="AI24840" s="831">
        <v>0</v>
      </c>
      <c r="AJ24840" s="835">
        <v>42094</v>
      </c>
      <c r="AK24840" s="831">
        <v>887447709.5</v>
      </c>
    </row>
    <row r="24841" spans="32:37">
      <c r="AF24841" s="831" t="s">
        <v>11964</v>
      </c>
      <c r="AG24841" s="831" t="s">
        <v>2674</v>
      </c>
      <c r="AH24841" s="831" t="s">
        <v>575</v>
      </c>
      <c r="AI24841" s="831">
        <v>0</v>
      </c>
      <c r="AJ24841" s="835">
        <v>42094</v>
      </c>
      <c r="AK24841" s="831">
        <v>146394222</v>
      </c>
    </row>
    <row r="24842" spans="32:37">
      <c r="AF24842" s="831" t="s">
        <v>11965</v>
      </c>
      <c r="AG24842" s="831" t="s">
        <v>2674</v>
      </c>
      <c r="AH24842" s="831" t="s">
        <v>576</v>
      </c>
      <c r="AI24842" s="831">
        <v>0</v>
      </c>
      <c r="AJ24842" s="835">
        <v>42094</v>
      </c>
      <c r="AK24842" s="831">
        <v>606715260</v>
      </c>
    </row>
    <row r="24843" spans="32:37">
      <c r="AF24843" s="831" t="s">
        <v>11966</v>
      </c>
      <c r="AG24843" s="831" t="s">
        <v>2674</v>
      </c>
      <c r="AH24843" s="831" t="s">
        <v>572</v>
      </c>
      <c r="AI24843" s="831">
        <v>0</v>
      </c>
      <c r="AJ24843" s="835">
        <v>42094</v>
      </c>
      <c r="AK24843" s="831">
        <v>36560084</v>
      </c>
    </row>
    <row r="24844" spans="32:37">
      <c r="AF24844" s="831" t="s">
        <v>11967</v>
      </c>
      <c r="AG24844" s="831" t="s">
        <v>2674</v>
      </c>
      <c r="AH24844" s="831" t="s">
        <v>577</v>
      </c>
      <c r="AI24844" s="831">
        <v>0</v>
      </c>
      <c r="AJ24844" s="835">
        <v>42094</v>
      </c>
      <c r="AK24844" s="831">
        <v>179877214</v>
      </c>
    </row>
    <row r="24845" spans="32:37">
      <c r="AF24845" s="831" t="s">
        <v>11968</v>
      </c>
      <c r="AG24845" s="831" t="s">
        <v>2674</v>
      </c>
      <c r="AH24845" s="831" t="s">
        <v>3042</v>
      </c>
      <c r="AI24845" s="831">
        <v>0</v>
      </c>
      <c r="AJ24845" s="835">
        <v>42094</v>
      </c>
      <c r="AK24845" s="831">
        <v>-55010221</v>
      </c>
    </row>
    <row r="24846" spans="32:37">
      <c r="AF24846" s="831" t="s">
        <v>11969</v>
      </c>
      <c r="AG24846" s="831" t="s">
        <v>2674</v>
      </c>
      <c r="AH24846" s="831" t="s">
        <v>3044</v>
      </c>
      <c r="AI24846" s="831">
        <v>0</v>
      </c>
      <c r="AJ24846" s="835">
        <v>42094</v>
      </c>
      <c r="AK24846" s="831">
        <v>-2080886</v>
      </c>
    </row>
    <row r="24847" spans="32:37">
      <c r="AF24847" s="831" t="s">
        <v>11970</v>
      </c>
      <c r="AG24847" s="831" t="s">
        <v>2674</v>
      </c>
      <c r="AH24847" s="831" t="s">
        <v>580</v>
      </c>
      <c r="AI24847" s="831">
        <v>0</v>
      </c>
      <c r="AJ24847" s="835">
        <v>42094</v>
      </c>
      <c r="AK24847" s="831">
        <v>-82773578</v>
      </c>
    </row>
    <row r="24848" spans="32:37">
      <c r="AF24848" s="831" t="s">
        <v>11971</v>
      </c>
      <c r="AG24848" s="831" t="s">
        <v>2674</v>
      </c>
      <c r="AH24848" s="831" t="s">
        <v>581</v>
      </c>
      <c r="AI24848" s="831">
        <v>0</v>
      </c>
      <c r="AJ24848" s="835">
        <v>42094</v>
      </c>
      <c r="AK24848" s="831">
        <v>10684351</v>
      </c>
    </row>
    <row r="24849" spans="32:37">
      <c r="AF24849" s="831" t="s">
        <v>11972</v>
      </c>
      <c r="AG24849" s="831" t="s">
        <v>2674</v>
      </c>
      <c r="AH24849" s="831" t="s">
        <v>105</v>
      </c>
      <c r="AI24849" s="831">
        <v>0</v>
      </c>
      <c r="AJ24849" s="835">
        <v>42094</v>
      </c>
      <c r="AK24849" s="831">
        <v>641529836</v>
      </c>
    </row>
    <row r="24850" spans="32:37">
      <c r="AF24850" s="831" t="s">
        <v>11973</v>
      </c>
      <c r="AG24850" s="831" t="s">
        <v>2674</v>
      </c>
      <c r="AH24850" s="831" t="s">
        <v>3049</v>
      </c>
      <c r="AI24850" s="831">
        <v>0</v>
      </c>
      <c r="AJ24850" s="835">
        <v>42094</v>
      </c>
      <c r="AK24850" s="831">
        <v>986480670</v>
      </c>
    </row>
    <row r="24851" spans="32:37">
      <c r="AF24851" s="831" t="s">
        <v>11974</v>
      </c>
      <c r="AG24851" s="831" t="s">
        <v>2674</v>
      </c>
      <c r="AH24851" s="831" t="s">
        <v>103</v>
      </c>
      <c r="AI24851" s="831">
        <v>0</v>
      </c>
      <c r="AJ24851" s="835">
        <v>42094</v>
      </c>
      <c r="AK24851" s="831">
        <v>344950834</v>
      </c>
    </row>
    <row r="24852" spans="32:37">
      <c r="AF24852" s="831" t="s">
        <v>11975</v>
      </c>
      <c r="AG24852" s="831" t="s">
        <v>2674</v>
      </c>
      <c r="AH24852" s="831" t="s">
        <v>182</v>
      </c>
      <c r="AI24852" s="831">
        <v>0</v>
      </c>
      <c r="AJ24852" s="835">
        <v>42094</v>
      </c>
      <c r="AK24852" s="831">
        <v>85077948</v>
      </c>
    </row>
    <row r="24853" spans="32:37">
      <c r="AF24853" s="831" t="s">
        <v>11976</v>
      </c>
      <c r="AG24853" s="831" t="s">
        <v>2674</v>
      </c>
      <c r="AH24853" s="831" t="s">
        <v>6600</v>
      </c>
      <c r="AI24853" s="831">
        <v>0</v>
      </c>
      <c r="AJ24853" s="835">
        <v>42094</v>
      </c>
      <c r="AK24853" s="831">
        <v>36560084</v>
      </c>
    </row>
    <row r="24854" spans="32:37">
      <c r="AF24854" s="831" t="s">
        <v>11977</v>
      </c>
      <c r="AG24854" s="831" t="s">
        <v>2674</v>
      </c>
      <c r="AH24854" s="831" t="s">
        <v>6602</v>
      </c>
      <c r="AI24854" s="831">
        <v>0</v>
      </c>
      <c r="AJ24854" s="835">
        <v>42094</v>
      </c>
      <c r="AK24854" s="831">
        <v>2398849</v>
      </c>
    </row>
    <row r="24855" spans="32:37">
      <c r="AF24855" s="831" t="s">
        <v>11978</v>
      </c>
      <c r="AG24855" s="831" t="s">
        <v>2674</v>
      </c>
      <c r="AH24855" s="831" t="s">
        <v>650</v>
      </c>
      <c r="AI24855" s="831">
        <v>0</v>
      </c>
      <c r="AJ24855" s="835">
        <v>42094</v>
      </c>
      <c r="AK24855" s="831">
        <v>315233998.53846157</v>
      </c>
    </row>
    <row r="24856" spans="32:37">
      <c r="AF24856" s="831" t="s">
        <v>11979</v>
      </c>
      <c r="AG24856" s="831" t="s">
        <v>2674</v>
      </c>
      <c r="AH24856" s="831" t="s">
        <v>655</v>
      </c>
      <c r="AI24856" s="831">
        <v>0</v>
      </c>
      <c r="AJ24856" s="835">
        <v>42094</v>
      </c>
      <c r="AK24856" s="831">
        <v>7308574</v>
      </c>
    </row>
    <row r="24857" spans="32:37">
      <c r="AF24857" s="831" t="s">
        <v>11980</v>
      </c>
      <c r="AG24857" s="831" t="s">
        <v>2674</v>
      </c>
      <c r="AH24857" s="831" t="s">
        <v>546</v>
      </c>
      <c r="AI24857" s="831">
        <v>0</v>
      </c>
      <c r="AJ24857" s="835">
        <v>42124</v>
      </c>
      <c r="AK24857" s="831">
        <v>887135523</v>
      </c>
    </row>
    <row r="24858" spans="32:37">
      <c r="AF24858" s="831" t="s">
        <v>11981</v>
      </c>
      <c r="AG24858" s="831" t="s">
        <v>2674</v>
      </c>
      <c r="AH24858" s="831" t="s">
        <v>370</v>
      </c>
      <c r="AI24858" s="831">
        <v>0</v>
      </c>
      <c r="AJ24858" s="835">
        <v>42124</v>
      </c>
      <c r="AK24858" s="831">
        <v>1155982366</v>
      </c>
    </row>
    <row r="24859" spans="32:37">
      <c r="AF24859" s="831" t="s">
        <v>11982</v>
      </c>
      <c r="AG24859" s="831" t="s">
        <v>2674</v>
      </c>
      <c r="AH24859" s="831" t="s">
        <v>126</v>
      </c>
      <c r="AI24859" s="831">
        <v>0</v>
      </c>
      <c r="AJ24859" s="835">
        <v>42124</v>
      </c>
      <c r="AK24859" s="831">
        <v>148898855</v>
      </c>
    </row>
    <row r="24860" spans="32:37">
      <c r="AF24860" s="831" t="s">
        <v>11983</v>
      </c>
      <c r="AG24860" s="831" t="s">
        <v>2674</v>
      </c>
      <c r="AH24860" s="831" t="s">
        <v>268</v>
      </c>
      <c r="AI24860" s="831">
        <v>0</v>
      </c>
      <c r="AJ24860" s="835">
        <v>42124</v>
      </c>
      <c r="AK24860" s="831">
        <v>3490177</v>
      </c>
    </row>
    <row r="24861" spans="32:37">
      <c r="AF24861" s="831" t="s">
        <v>11984</v>
      </c>
      <c r="AG24861" s="831" t="s">
        <v>2674</v>
      </c>
      <c r="AH24861" s="831" t="s">
        <v>547</v>
      </c>
      <c r="AI24861" s="831">
        <v>0</v>
      </c>
      <c r="AJ24861" s="835">
        <v>42124</v>
      </c>
      <c r="AK24861" s="831">
        <v>1044609243</v>
      </c>
    </row>
    <row r="24862" spans="32:37">
      <c r="AF24862" s="831" t="s">
        <v>11985</v>
      </c>
      <c r="AG24862" s="831" t="s">
        <v>2674</v>
      </c>
      <c r="AH24862" s="831" t="s">
        <v>548</v>
      </c>
      <c r="AI24862" s="831">
        <v>0</v>
      </c>
      <c r="AJ24862" s="835">
        <v>42124</v>
      </c>
      <c r="AK24862" s="831">
        <v>148860224</v>
      </c>
    </row>
    <row r="24863" spans="32:37">
      <c r="AF24863" s="831" t="s">
        <v>11986</v>
      </c>
      <c r="AG24863" s="831" t="s">
        <v>2674</v>
      </c>
      <c r="AH24863" s="831" t="s">
        <v>549</v>
      </c>
      <c r="AI24863" s="831">
        <v>0</v>
      </c>
      <c r="AJ24863" s="835">
        <v>42124</v>
      </c>
      <c r="AK24863" s="831">
        <v>695634421</v>
      </c>
    </row>
    <row r="24864" spans="32:37">
      <c r="AF24864" s="831" t="s">
        <v>11987</v>
      </c>
      <c r="AG24864" s="831" t="s">
        <v>2674</v>
      </c>
      <c r="AH24864" s="831" t="s">
        <v>192</v>
      </c>
      <c r="AI24864" s="831">
        <v>0</v>
      </c>
      <c r="AJ24864" s="835">
        <v>42124</v>
      </c>
      <c r="AK24864" s="831">
        <v>-17978430</v>
      </c>
    </row>
    <row r="24865" spans="32:37">
      <c r="AF24865" s="831" t="s">
        <v>11988</v>
      </c>
      <c r="AG24865" s="831" t="s">
        <v>2674</v>
      </c>
      <c r="AH24865" s="831" t="s">
        <v>558</v>
      </c>
      <c r="AI24865" s="831">
        <v>0</v>
      </c>
      <c r="AJ24865" s="835">
        <v>42124</v>
      </c>
      <c r="AK24865" s="831">
        <v>1007083670</v>
      </c>
    </row>
    <row r="24866" spans="32:37">
      <c r="AF24866" s="831" t="s">
        <v>11989</v>
      </c>
      <c r="AG24866" s="831" t="s">
        <v>2674</v>
      </c>
      <c r="AH24866" s="831" t="s">
        <v>65</v>
      </c>
      <c r="AI24866" s="831">
        <v>0</v>
      </c>
      <c r="AJ24866" s="835">
        <v>42124</v>
      </c>
      <c r="AK24866" s="831">
        <v>64640929</v>
      </c>
    </row>
    <row r="24867" spans="32:37">
      <c r="AF24867" s="831" t="s">
        <v>11990</v>
      </c>
      <c r="AG24867" s="831" t="s">
        <v>2674</v>
      </c>
      <c r="AH24867" s="831" t="s">
        <v>89</v>
      </c>
      <c r="AI24867" s="831">
        <v>0</v>
      </c>
      <c r="AJ24867" s="835">
        <v>42124</v>
      </c>
      <c r="AK24867" s="831">
        <v>147391</v>
      </c>
    </row>
    <row r="24868" spans="32:37">
      <c r="AF24868" s="831" t="s">
        <v>11991</v>
      </c>
      <c r="AG24868" s="831" t="s">
        <v>2674</v>
      </c>
      <c r="AH24868" s="831" t="s">
        <v>557</v>
      </c>
      <c r="AI24868" s="831">
        <v>0</v>
      </c>
      <c r="AJ24868" s="835">
        <v>42124</v>
      </c>
      <c r="AK24868" s="831">
        <v>168436</v>
      </c>
    </row>
    <row r="24869" spans="32:37">
      <c r="AF24869" s="831" t="s">
        <v>11992</v>
      </c>
      <c r="AG24869" s="831" t="s">
        <v>2674</v>
      </c>
      <c r="AH24869" s="831" t="s">
        <v>29</v>
      </c>
      <c r="AI24869" s="831">
        <v>0</v>
      </c>
      <c r="AJ24869" s="835">
        <v>42124</v>
      </c>
      <c r="AK24869" s="831">
        <v>18420222</v>
      </c>
    </row>
    <row r="24870" spans="32:37">
      <c r="AF24870" s="831" t="s">
        <v>11993</v>
      </c>
      <c r="AG24870" s="831" t="s">
        <v>2674</v>
      </c>
      <c r="AH24870" s="831" t="s">
        <v>2688</v>
      </c>
      <c r="AI24870" s="831">
        <v>0</v>
      </c>
      <c r="AJ24870" s="835">
        <v>42124</v>
      </c>
      <c r="AK24870" s="831">
        <v>149665387</v>
      </c>
    </row>
    <row r="24871" spans="32:37">
      <c r="AF24871" s="831" t="s">
        <v>11994</v>
      </c>
      <c r="AG24871" s="831" t="s">
        <v>2674</v>
      </c>
      <c r="AH24871" s="831" t="s">
        <v>556</v>
      </c>
      <c r="AI24871" s="831">
        <v>0</v>
      </c>
      <c r="AJ24871" s="835">
        <v>42124</v>
      </c>
      <c r="AK24871" s="831">
        <v>11412135</v>
      </c>
    </row>
    <row r="24872" spans="32:37">
      <c r="AF24872" s="831" t="s">
        <v>11995</v>
      </c>
      <c r="AG24872" s="831" t="s">
        <v>2674</v>
      </c>
      <c r="AH24872" s="831" t="s">
        <v>555</v>
      </c>
      <c r="AI24872" s="831">
        <v>0</v>
      </c>
      <c r="AJ24872" s="835">
        <v>42124</v>
      </c>
      <c r="AK24872" s="831">
        <v>781614407</v>
      </c>
    </row>
    <row r="24873" spans="32:37">
      <c r="AF24873" s="831" t="s">
        <v>11996</v>
      </c>
      <c r="AG24873" s="831" t="s">
        <v>2674</v>
      </c>
      <c r="AH24873" s="831" t="s">
        <v>554</v>
      </c>
      <c r="AI24873" s="831">
        <v>0</v>
      </c>
      <c r="AJ24873" s="835">
        <v>42124</v>
      </c>
      <c r="AK24873" s="831">
        <v>811049609</v>
      </c>
    </row>
    <row r="24874" spans="32:37">
      <c r="AF24874" s="831" t="s">
        <v>11997</v>
      </c>
      <c r="AG24874" s="831" t="s">
        <v>2674</v>
      </c>
      <c r="AH24874" s="831" t="s">
        <v>553</v>
      </c>
      <c r="AI24874" s="831">
        <v>0</v>
      </c>
      <c r="AJ24874" s="835">
        <v>42124</v>
      </c>
      <c r="AK24874" s="831">
        <v>47191500</v>
      </c>
    </row>
    <row r="24875" spans="32:37">
      <c r="AF24875" s="831" t="s">
        <v>11998</v>
      </c>
      <c r="AG24875" s="831" t="s">
        <v>2674</v>
      </c>
      <c r="AH24875" s="831" t="s">
        <v>552</v>
      </c>
      <c r="AI24875" s="831">
        <v>0</v>
      </c>
      <c r="AJ24875" s="835">
        <v>42124</v>
      </c>
      <c r="AK24875" s="831">
        <v>0</v>
      </c>
    </row>
    <row r="24876" spans="32:37">
      <c r="AF24876" s="831" t="s">
        <v>11999</v>
      </c>
      <c r="AG24876" s="831" t="s">
        <v>2674</v>
      </c>
      <c r="AH24876" s="831" t="s">
        <v>551</v>
      </c>
      <c r="AI24876" s="831">
        <v>0</v>
      </c>
      <c r="AJ24876" s="835">
        <v>42124</v>
      </c>
      <c r="AK24876" s="831">
        <v>10773380</v>
      </c>
    </row>
    <row r="24877" spans="32:37">
      <c r="AF24877" s="831" t="s">
        <v>12000</v>
      </c>
      <c r="AG24877" s="831" t="s">
        <v>2674</v>
      </c>
      <c r="AH24877" s="831" t="s">
        <v>550</v>
      </c>
      <c r="AI24877" s="831">
        <v>0</v>
      </c>
      <c r="AJ24877" s="835">
        <v>42124</v>
      </c>
      <c r="AK24877" s="831">
        <v>147807134</v>
      </c>
    </row>
    <row r="24878" spans="32:37">
      <c r="AF24878" s="831" t="s">
        <v>12001</v>
      </c>
      <c r="AG24878" s="831" t="s">
        <v>2674</v>
      </c>
      <c r="AH24878" s="831" t="s">
        <v>562</v>
      </c>
      <c r="AI24878" s="831">
        <v>0</v>
      </c>
      <c r="AJ24878" s="835">
        <v>42124</v>
      </c>
      <c r="AK24878" s="831">
        <v>1.0471999999999999</v>
      </c>
    </row>
    <row r="24879" spans="32:37">
      <c r="AF24879" s="831" t="s">
        <v>12002</v>
      </c>
      <c r="AG24879" s="831" t="s">
        <v>2674</v>
      </c>
      <c r="AH24879" s="831" t="s">
        <v>2698</v>
      </c>
      <c r="AI24879" s="831">
        <v>0</v>
      </c>
      <c r="AJ24879" s="835">
        <v>42124</v>
      </c>
      <c r="AK24879" s="831">
        <v>1.0495000000000001</v>
      </c>
    </row>
    <row r="24880" spans="32:37">
      <c r="AF24880" s="831" t="s">
        <v>12003</v>
      </c>
      <c r="AG24880" s="831" t="s">
        <v>2674</v>
      </c>
      <c r="AH24880" s="831" t="s">
        <v>560</v>
      </c>
      <c r="AI24880" s="831">
        <v>0</v>
      </c>
      <c r="AJ24880" s="835">
        <v>42124</v>
      </c>
      <c r="AK24880" s="831">
        <v>0.98171249999999999</v>
      </c>
    </row>
    <row r="24881" spans="32:37">
      <c r="AF24881" s="831" t="s">
        <v>12004</v>
      </c>
      <c r="AG24881" s="831" t="s">
        <v>2674</v>
      </c>
      <c r="AH24881" s="831" t="s">
        <v>559</v>
      </c>
      <c r="AI24881" s="831">
        <v>0</v>
      </c>
      <c r="AJ24881" s="835">
        <v>42124</v>
      </c>
      <c r="AK24881" s="831">
        <v>0.84962083333333327</v>
      </c>
    </row>
    <row r="24882" spans="32:37">
      <c r="AF24882" s="831" t="s">
        <v>12005</v>
      </c>
      <c r="AG24882" s="831" t="s">
        <v>2674</v>
      </c>
      <c r="AH24882" s="831" t="s">
        <v>568</v>
      </c>
      <c r="AI24882" s="831">
        <v>0</v>
      </c>
      <c r="AJ24882" s="835">
        <v>42124</v>
      </c>
      <c r="AK24882" s="831">
        <v>802858062.76923072</v>
      </c>
    </row>
    <row r="24883" spans="32:37">
      <c r="AF24883" s="831" t="s">
        <v>12006</v>
      </c>
      <c r="AG24883" s="831" t="s">
        <v>2674</v>
      </c>
      <c r="AH24883" s="831" t="s">
        <v>569</v>
      </c>
      <c r="AI24883" s="831">
        <v>0</v>
      </c>
      <c r="AJ24883" s="835">
        <v>42124</v>
      </c>
      <c r="AK24883" s="831">
        <v>1009137751.8461539</v>
      </c>
    </row>
    <row r="24884" spans="32:37">
      <c r="AF24884" s="831" t="s">
        <v>12007</v>
      </c>
      <c r="AG24884" s="831" t="s">
        <v>2674</v>
      </c>
      <c r="AH24884" s="831" t="s">
        <v>570</v>
      </c>
      <c r="AI24884" s="831">
        <v>0</v>
      </c>
      <c r="AJ24884" s="835">
        <v>42124</v>
      </c>
      <c r="AK24884" s="831">
        <v>142830548.07923076</v>
      </c>
    </row>
    <row r="24885" spans="32:37">
      <c r="AF24885" s="831" t="s">
        <v>12008</v>
      </c>
      <c r="AG24885" s="831" t="s">
        <v>2674</v>
      </c>
      <c r="AH24885" s="831" t="s">
        <v>571</v>
      </c>
      <c r="AI24885" s="831">
        <v>0</v>
      </c>
      <c r="AJ24885" s="835">
        <v>42124</v>
      </c>
      <c r="AK24885" s="831">
        <v>521003105.80130768</v>
      </c>
    </row>
    <row r="24886" spans="32:37">
      <c r="AF24886" s="831" t="s">
        <v>12009</v>
      </c>
      <c r="AG24886" s="831" t="s">
        <v>2674</v>
      </c>
      <c r="AH24886" s="831" t="s">
        <v>573</v>
      </c>
      <c r="AI24886" s="831">
        <v>0</v>
      </c>
      <c r="AJ24886" s="835">
        <v>42124</v>
      </c>
      <c r="AK24886" s="831">
        <v>1131573563</v>
      </c>
    </row>
    <row r="24887" spans="32:37">
      <c r="AF24887" s="831" t="s">
        <v>12010</v>
      </c>
      <c r="AG24887" s="831" t="s">
        <v>2674</v>
      </c>
      <c r="AH24887" s="831" t="s">
        <v>574</v>
      </c>
      <c r="AI24887" s="831">
        <v>0</v>
      </c>
      <c r="AJ24887" s="835">
        <v>42124</v>
      </c>
      <c r="AK24887" s="831">
        <v>887385272.20000005</v>
      </c>
    </row>
    <row r="24888" spans="32:37">
      <c r="AF24888" s="831" t="s">
        <v>12011</v>
      </c>
      <c r="AG24888" s="831" t="s">
        <v>2674</v>
      </c>
      <c r="AH24888" s="831" t="s">
        <v>575</v>
      </c>
      <c r="AI24888" s="831">
        <v>0</v>
      </c>
      <c r="AJ24888" s="835">
        <v>42124</v>
      </c>
      <c r="AK24888" s="831">
        <v>146895148.59999999</v>
      </c>
    </row>
    <row r="24889" spans="32:37">
      <c r="AF24889" s="831" t="s">
        <v>12012</v>
      </c>
      <c r="AG24889" s="831" t="s">
        <v>2674</v>
      </c>
      <c r="AH24889" s="831" t="s">
        <v>576</v>
      </c>
      <c r="AI24889" s="831">
        <v>0</v>
      </c>
      <c r="AJ24889" s="835">
        <v>42124</v>
      </c>
      <c r="AK24889" s="831">
        <v>615700522.39999998</v>
      </c>
    </row>
    <row r="24890" spans="32:37">
      <c r="AF24890" s="831" t="s">
        <v>12013</v>
      </c>
      <c r="AG24890" s="831" t="s">
        <v>2674</v>
      </c>
      <c r="AH24890" s="831" t="s">
        <v>572</v>
      </c>
      <c r="AI24890" s="831">
        <v>0</v>
      </c>
      <c r="AJ24890" s="835">
        <v>42124</v>
      </c>
      <c r="AK24890" s="831">
        <v>34629345</v>
      </c>
    </row>
    <row r="24891" spans="32:37">
      <c r="AF24891" s="831" t="s">
        <v>12014</v>
      </c>
      <c r="AG24891" s="831" t="s">
        <v>2674</v>
      </c>
      <c r="AH24891" s="831" t="s">
        <v>577</v>
      </c>
      <c r="AI24891" s="831">
        <v>0</v>
      </c>
      <c r="AJ24891" s="835">
        <v>42124</v>
      </c>
      <c r="AK24891" s="831">
        <v>182065430</v>
      </c>
    </row>
    <row r="24892" spans="32:37">
      <c r="AF24892" s="831" t="s">
        <v>12015</v>
      </c>
      <c r="AG24892" s="831" t="s">
        <v>2674</v>
      </c>
      <c r="AH24892" s="831" t="s">
        <v>3042</v>
      </c>
      <c r="AI24892" s="831">
        <v>0</v>
      </c>
      <c r="AJ24892" s="835">
        <v>42124</v>
      </c>
      <c r="AK24892" s="831">
        <v>-55986090</v>
      </c>
    </row>
    <row r="24893" spans="32:37">
      <c r="AF24893" s="831" t="s">
        <v>12016</v>
      </c>
      <c r="AG24893" s="831" t="s">
        <v>2674</v>
      </c>
      <c r="AH24893" s="831" t="s">
        <v>3044</v>
      </c>
      <c r="AI24893" s="831">
        <v>0</v>
      </c>
      <c r="AJ24893" s="835">
        <v>42124</v>
      </c>
      <c r="AK24893" s="831">
        <v>-4711846</v>
      </c>
    </row>
    <row r="24894" spans="32:37">
      <c r="AF24894" s="831" t="s">
        <v>12017</v>
      </c>
      <c r="AG24894" s="831" t="s">
        <v>2674</v>
      </c>
      <c r="AH24894" s="831" t="s">
        <v>580</v>
      </c>
      <c r="AI24894" s="831">
        <v>0</v>
      </c>
      <c r="AJ24894" s="835">
        <v>42124</v>
      </c>
      <c r="AK24894" s="831">
        <v>-84657241</v>
      </c>
    </row>
    <row r="24895" spans="32:37">
      <c r="AF24895" s="831" t="s">
        <v>12018</v>
      </c>
      <c r="AG24895" s="831" t="s">
        <v>2674</v>
      </c>
      <c r="AH24895" s="831" t="s">
        <v>581</v>
      </c>
      <c r="AI24895" s="831">
        <v>0</v>
      </c>
      <c r="AJ24895" s="835">
        <v>42124</v>
      </c>
      <c r="AK24895" s="831">
        <v>11310907</v>
      </c>
    </row>
    <row r="24896" spans="32:37">
      <c r="AF24896" s="831" t="s">
        <v>12019</v>
      </c>
      <c r="AG24896" s="831" t="s">
        <v>2674</v>
      </c>
      <c r="AH24896" s="831" t="s">
        <v>105</v>
      </c>
      <c r="AI24896" s="831">
        <v>0</v>
      </c>
      <c r="AJ24896" s="835">
        <v>42124</v>
      </c>
      <c r="AK24896" s="831">
        <v>651641572</v>
      </c>
    </row>
    <row r="24897" spans="32:37">
      <c r="AF24897" s="831" t="s">
        <v>12020</v>
      </c>
      <c r="AG24897" s="831" t="s">
        <v>2674</v>
      </c>
      <c r="AH24897" s="831" t="s">
        <v>3049</v>
      </c>
      <c r="AI24897" s="831">
        <v>0</v>
      </c>
      <c r="AJ24897" s="835">
        <v>42124</v>
      </c>
      <c r="AK24897" s="831">
        <v>980090700</v>
      </c>
    </row>
    <row r="24898" spans="32:37">
      <c r="AF24898" s="831" t="s">
        <v>12021</v>
      </c>
      <c r="AG24898" s="831" t="s">
        <v>2674</v>
      </c>
      <c r="AH24898" s="831" t="s">
        <v>103</v>
      </c>
      <c r="AI24898" s="831">
        <v>0</v>
      </c>
      <c r="AJ24898" s="835">
        <v>42124</v>
      </c>
      <c r="AK24898" s="831">
        <v>328449128</v>
      </c>
    </row>
    <row r="24899" spans="32:37">
      <c r="AF24899" s="831" t="s">
        <v>12022</v>
      </c>
      <c r="AG24899" s="831" t="s">
        <v>2674</v>
      </c>
      <c r="AH24899" s="831" t="s">
        <v>182</v>
      </c>
      <c r="AI24899" s="831">
        <v>0</v>
      </c>
      <c r="AJ24899" s="835">
        <v>42124</v>
      </c>
      <c r="AK24899" s="831">
        <v>88699464</v>
      </c>
    </row>
    <row r="24900" spans="32:37">
      <c r="AF24900" s="831" t="s">
        <v>12023</v>
      </c>
      <c r="AG24900" s="831" t="s">
        <v>2674</v>
      </c>
      <c r="AH24900" s="831" t="s">
        <v>6600</v>
      </c>
      <c r="AI24900" s="831">
        <v>0</v>
      </c>
      <c r="AJ24900" s="835">
        <v>42124</v>
      </c>
      <c r="AK24900" s="831">
        <v>34629345</v>
      </c>
    </row>
    <row r="24901" spans="32:37">
      <c r="AF24901" s="831" t="s">
        <v>12024</v>
      </c>
      <c r="AG24901" s="831" t="s">
        <v>2674</v>
      </c>
      <c r="AH24901" s="831" t="s">
        <v>6602</v>
      </c>
      <c r="AI24901" s="831">
        <v>0</v>
      </c>
      <c r="AJ24901" s="835">
        <v>42124</v>
      </c>
      <c r="AK24901" s="831">
        <v>3490177</v>
      </c>
    </row>
    <row r="24902" spans="32:37">
      <c r="AF24902" s="831" t="s">
        <v>12025</v>
      </c>
      <c r="AG24902" s="831" t="s">
        <v>2674</v>
      </c>
      <c r="AH24902" s="831" t="s">
        <v>650</v>
      </c>
      <c r="AI24902" s="831">
        <v>0</v>
      </c>
      <c r="AJ24902" s="835">
        <v>42124</v>
      </c>
      <c r="AK24902" s="831">
        <v>319013929.69230771</v>
      </c>
    </row>
    <row r="24903" spans="32:37">
      <c r="AF24903" s="831" t="s">
        <v>12026</v>
      </c>
      <c r="AG24903" s="831" t="s">
        <v>2674</v>
      </c>
      <c r="AH24903" s="831" t="s">
        <v>655</v>
      </c>
      <c r="AI24903" s="831">
        <v>0</v>
      </c>
      <c r="AJ24903" s="835">
        <v>42124</v>
      </c>
      <c r="AK24903" s="831">
        <v>8145535</v>
      </c>
    </row>
    <row r="24904" spans="32:37">
      <c r="AF24904" s="831" t="s">
        <v>10335</v>
      </c>
      <c r="AG24904" s="831" t="s">
        <v>2674</v>
      </c>
      <c r="AH24904" s="831" t="s">
        <v>546</v>
      </c>
      <c r="AI24904" s="831">
        <v>0</v>
      </c>
      <c r="AJ24904" s="835">
        <v>41060</v>
      </c>
      <c r="AK24904" s="831">
        <v>339221349</v>
      </c>
    </row>
    <row r="24905" spans="32:37">
      <c r="AF24905" s="831" t="s">
        <v>10336</v>
      </c>
      <c r="AG24905" s="831" t="s">
        <v>2674</v>
      </c>
      <c r="AH24905" s="831" t="s">
        <v>370</v>
      </c>
      <c r="AI24905" s="831">
        <v>0</v>
      </c>
      <c r="AJ24905" s="835">
        <v>41060</v>
      </c>
      <c r="AK24905" s="831">
        <v>412671638</v>
      </c>
    </row>
    <row r="24906" spans="32:37">
      <c r="AF24906" s="831" t="s">
        <v>10337</v>
      </c>
      <c r="AG24906" s="831" t="s">
        <v>2674</v>
      </c>
      <c r="AH24906" s="831" t="s">
        <v>126</v>
      </c>
      <c r="AI24906" s="831">
        <v>0</v>
      </c>
      <c r="AJ24906" s="835">
        <v>41060</v>
      </c>
      <c r="AK24906" s="831">
        <v>90520261</v>
      </c>
    </row>
    <row r="24907" spans="32:37">
      <c r="AF24907" s="831" t="s">
        <v>10338</v>
      </c>
      <c r="AG24907" s="831" t="s">
        <v>2674</v>
      </c>
      <c r="AH24907" s="831" t="s">
        <v>268</v>
      </c>
      <c r="AI24907" s="831">
        <v>0</v>
      </c>
      <c r="AJ24907" s="835">
        <v>41060</v>
      </c>
      <c r="AK24907" s="831">
        <v>5197337</v>
      </c>
    </row>
    <row r="24908" spans="32:37">
      <c r="AF24908" s="831" t="s">
        <v>10339</v>
      </c>
      <c r="AG24908" s="831" t="s">
        <v>2674</v>
      </c>
      <c r="AH24908" s="831" t="s">
        <v>547</v>
      </c>
      <c r="AI24908" s="831">
        <v>0</v>
      </c>
      <c r="AJ24908" s="835">
        <v>41060</v>
      </c>
      <c r="AK24908" s="831">
        <v>0</v>
      </c>
    </row>
    <row r="24909" spans="32:37">
      <c r="AF24909" s="831" t="s">
        <v>10340</v>
      </c>
      <c r="AG24909" s="831" t="s">
        <v>2674</v>
      </c>
      <c r="AH24909" s="831" t="s">
        <v>548</v>
      </c>
      <c r="AI24909" s="831">
        <v>0</v>
      </c>
      <c r="AJ24909" s="835">
        <v>41060</v>
      </c>
      <c r="AK24909" s="831">
        <v>0</v>
      </c>
    </row>
    <row r="24910" spans="32:37">
      <c r="AF24910" s="831" t="s">
        <v>10341</v>
      </c>
      <c r="AG24910" s="831" t="s">
        <v>2674</v>
      </c>
      <c r="AH24910" s="831" t="s">
        <v>549</v>
      </c>
      <c r="AI24910" s="831">
        <v>0</v>
      </c>
      <c r="AJ24910" s="835">
        <v>41060</v>
      </c>
      <c r="AK24910" s="831">
        <v>0</v>
      </c>
    </row>
    <row r="24911" spans="32:37">
      <c r="AF24911" s="831" t="s">
        <v>10342</v>
      </c>
      <c r="AG24911" s="831" t="s">
        <v>2674</v>
      </c>
      <c r="AH24911" s="831" t="s">
        <v>192</v>
      </c>
      <c r="AI24911" s="831">
        <v>0</v>
      </c>
      <c r="AJ24911" s="835">
        <v>41060</v>
      </c>
      <c r="AK24911" s="831">
        <v>-9254050</v>
      </c>
    </row>
    <row r="24912" spans="32:37">
      <c r="AF24912" s="831" t="s">
        <v>10343</v>
      </c>
      <c r="AG24912" s="831" t="s">
        <v>2674</v>
      </c>
      <c r="AH24912" s="831" t="s">
        <v>558</v>
      </c>
      <c r="AI24912" s="831">
        <v>0</v>
      </c>
      <c r="AJ24912" s="835">
        <v>41060</v>
      </c>
      <c r="AK24912" s="831">
        <v>322151377</v>
      </c>
    </row>
    <row r="24913" spans="32:37">
      <c r="AF24913" s="831" t="s">
        <v>10344</v>
      </c>
      <c r="AG24913" s="831" t="s">
        <v>2674</v>
      </c>
      <c r="AH24913" s="831" t="s">
        <v>65</v>
      </c>
      <c r="AI24913" s="831">
        <v>0</v>
      </c>
      <c r="AJ24913" s="835">
        <v>41060</v>
      </c>
      <c r="AK24913" s="831">
        <v>38110599</v>
      </c>
    </row>
    <row r="24914" spans="32:37">
      <c r="AF24914" s="831" t="s">
        <v>10345</v>
      </c>
      <c r="AG24914" s="831" t="s">
        <v>2674</v>
      </c>
      <c r="AH24914" s="831" t="s">
        <v>89</v>
      </c>
      <c r="AI24914" s="831">
        <v>0</v>
      </c>
      <c r="AJ24914" s="835">
        <v>41060</v>
      </c>
      <c r="AK24914" s="831">
        <v>122430</v>
      </c>
    </row>
    <row r="24915" spans="32:37">
      <c r="AF24915" s="831" t="s">
        <v>10346</v>
      </c>
      <c r="AG24915" s="831" t="s">
        <v>2674</v>
      </c>
      <c r="AH24915" s="831" t="s">
        <v>557</v>
      </c>
      <c r="AI24915" s="831">
        <v>0</v>
      </c>
      <c r="AJ24915" s="835">
        <v>41060</v>
      </c>
      <c r="AK24915" s="831">
        <v>124207</v>
      </c>
    </row>
    <row r="24916" spans="32:37">
      <c r="AF24916" s="831" t="s">
        <v>10347</v>
      </c>
      <c r="AG24916" s="831" t="s">
        <v>2674</v>
      </c>
      <c r="AH24916" s="831" t="s">
        <v>29</v>
      </c>
      <c r="AI24916" s="831">
        <v>0</v>
      </c>
      <c r="AJ24916" s="835">
        <v>41060</v>
      </c>
      <c r="AK24916" s="831">
        <v>2528808</v>
      </c>
    </row>
    <row r="24917" spans="32:37">
      <c r="AF24917" s="831" t="s">
        <v>10348</v>
      </c>
      <c r="AG24917" s="831" t="s">
        <v>2674</v>
      </c>
      <c r="AH24917" s="831" t="s">
        <v>2688</v>
      </c>
      <c r="AI24917" s="831">
        <v>0</v>
      </c>
      <c r="AJ24917" s="835">
        <v>41060</v>
      </c>
      <c r="AK24917" s="831">
        <v>3036435</v>
      </c>
    </row>
    <row r="24918" spans="32:37">
      <c r="AF24918" s="831" t="s">
        <v>10349</v>
      </c>
      <c r="AG24918" s="831" t="s">
        <v>2674</v>
      </c>
      <c r="AH24918" s="831" t="s">
        <v>556</v>
      </c>
      <c r="AI24918" s="831">
        <v>0</v>
      </c>
      <c r="AJ24918" s="835">
        <v>41060</v>
      </c>
      <c r="AK24918" s="831">
        <v>0</v>
      </c>
    </row>
    <row r="24919" spans="32:37">
      <c r="AF24919" s="831" t="s">
        <v>10350</v>
      </c>
      <c r="AG24919" s="831" t="s">
        <v>2674</v>
      </c>
      <c r="AH24919" s="831" t="s">
        <v>555</v>
      </c>
      <c r="AI24919" s="831">
        <v>0</v>
      </c>
      <c r="AJ24919" s="835">
        <v>41060</v>
      </c>
      <c r="AK24919" s="831">
        <v>196148980</v>
      </c>
    </row>
    <row r="24920" spans="32:37">
      <c r="AF24920" s="831" t="s">
        <v>10351</v>
      </c>
      <c r="AG24920" s="831" t="s">
        <v>2674</v>
      </c>
      <c r="AH24920" s="831" t="s">
        <v>554</v>
      </c>
      <c r="AI24920" s="831">
        <v>0</v>
      </c>
      <c r="AJ24920" s="835">
        <v>41060</v>
      </c>
      <c r="AK24920" s="831">
        <v>194772980</v>
      </c>
    </row>
    <row r="24921" spans="32:37">
      <c r="AF24921" s="831" t="s">
        <v>10352</v>
      </c>
      <c r="AG24921" s="831" t="s">
        <v>2674</v>
      </c>
      <c r="AH24921" s="831" t="s">
        <v>553</v>
      </c>
      <c r="AI24921" s="831">
        <v>0</v>
      </c>
      <c r="AJ24921" s="835">
        <v>41060</v>
      </c>
      <c r="AK24921" s="831">
        <v>0</v>
      </c>
    </row>
    <row r="24922" spans="32:37">
      <c r="AF24922" s="831" t="s">
        <v>10353</v>
      </c>
      <c r="AG24922" s="831" t="s">
        <v>2674</v>
      </c>
      <c r="AH24922" s="831" t="s">
        <v>552</v>
      </c>
      <c r="AI24922" s="831">
        <v>0</v>
      </c>
      <c r="AJ24922" s="835">
        <v>41060</v>
      </c>
      <c r="AK24922" s="831">
        <v>0</v>
      </c>
    </row>
    <row r="24923" spans="32:37">
      <c r="AF24923" s="831" t="s">
        <v>10354</v>
      </c>
      <c r="AG24923" s="831" t="s">
        <v>2674</v>
      </c>
      <c r="AH24923" s="831" t="s">
        <v>551</v>
      </c>
      <c r="AI24923" s="831">
        <v>0</v>
      </c>
      <c r="AJ24923" s="835">
        <v>41060</v>
      </c>
      <c r="AK24923" s="831">
        <v>2340522</v>
      </c>
    </row>
    <row r="24924" spans="32:37">
      <c r="AF24924" s="831" t="s">
        <v>10355</v>
      </c>
      <c r="AG24924" s="831" t="s">
        <v>2674</v>
      </c>
      <c r="AH24924" s="831" t="s">
        <v>550</v>
      </c>
      <c r="AI24924" s="831">
        <v>0</v>
      </c>
      <c r="AJ24924" s="835">
        <v>41060</v>
      </c>
      <c r="AK24924" s="831">
        <v>0</v>
      </c>
    </row>
    <row r="24925" spans="32:37">
      <c r="AF24925" s="831" t="s">
        <v>10356</v>
      </c>
      <c r="AG24925" s="831" t="s">
        <v>2674</v>
      </c>
      <c r="AH24925" s="831" t="s">
        <v>562</v>
      </c>
      <c r="AI24925" s="831">
        <v>0</v>
      </c>
      <c r="AJ24925" s="835">
        <v>41060</v>
      </c>
      <c r="AK24925" s="831">
        <v>0.78515000000000001</v>
      </c>
    </row>
    <row r="24926" spans="32:37">
      <c r="AF24926" s="831" t="s">
        <v>10357</v>
      </c>
      <c r="AG24926" s="831" t="s">
        <v>2674</v>
      </c>
      <c r="AH24926" s="831" t="s">
        <v>2698</v>
      </c>
      <c r="AI24926" s="831">
        <v>0</v>
      </c>
      <c r="AJ24926" s="835">
        <v>41060</v>
      </c>
      <c r="AK24926" s="831">
        <v>0.78585000000000005</v>
      </c>
    </row>
    <row r="24927" spans="32:37">
      <c r="AF24927" s="831" t="s">
        <v>10358</v>
      </c>
      <c r="AG24927" s="831" t="s">
        <v>2674</v>
      </c>
      <c r="AH24927" s="831" t="s">
        <v>560</v>
      </c>
      <c r="AI24927" s="831">
        <v>0</v>
      </c>
      <c r="AJ24927" s="835">
        <v>41060</v>
      </c>
      <c r="AK24927" s="831">
        <v>0.78580000000000005</v>
      </c>
    </row>
    <row r="24928" spans="32:37">
      <c r="AF24928" s="831" t="s">
        <v>10359</v>
      </c>
      <c r="AG24928" s="831" t="s">
        <v>2674</v>
      </c>
      <c r="AH24928" s="831" t="s">
        <v>559</v>
      </c>
      <c r="AI24928" s="831">
        <v>0</v>
      </c>
      <c r="AJ24928" s="835">
        <v>41060</v>
      </c>
      <c r="AK24928" s="831">
        <v>0.78569999999999995</v>
      </c>
    </row>
    <row r="24929" spans="32:37">
      <c r="AF24929" s="831" t="s">
        <v>10360</v>
      </c>
      <c r="AG24929" s="831" t="s">
        <v>2674</v>
      </c>
      <c r="AH24929" s="831" t="s">
        <v>568</v>
      </c>
      <c r="AI24929" s="831">
        <v>0</v>
      </c>
      <c r="AJ24929" s="835">
        <v>41060</v>
      </c>
      <c r="AK24929" s="831">
        <v>0</v>
      </c>
    </row>
    <row r="24930" spans="32:37">
      <c r="AF24930" s="831" t="s">
        <v>10361</v>
      </c>
      <c r="AG24930" s="831" t="s">
        <v>2674</v>
      </c>
      <c r="AH24930" s="831" t="s">
        <v>569</v>
      </c>
      <c r="AI24930" s="831">
        <v>0</v>
      </c>
      <c r="AJ24930" s="835">
        <v>41060</v>
      </c>
      <c r="AK24930" s="831">
        <v>0</v>
      </c>
    </row>
    <row r="24931" spans="32:37">
      <c r="AF24931" s="831" t="s">
        <v>10362</v>
      </c>
      <c r="AG24931" s="831" t="s">
        <v>2674</v>
      </c>
      <c r="AH24931" s="831" t="s">
        <v>570</v>
      </c>
      <c r="AI24931" s="831">
        <v>0</v>
      </c>
      <c r="AJ24931" s="835">
        <v>41060</v>
      </c>
      <c r="AK24931" s="831">
        <v>0</v>
      </c>
    </row>
    <row r="24932" spans="32:37">
      <c r="AF24932" s="831" t="s">
        <v>10363</v>
      </c>
      <c r="AG24932" s="831" t="s">
        <v>2674</v>
      </c>
      <c r="AH24932" s="831" t="s">
        <v>571</v>
      </c>
      <c r="AI24932" s="831">
        <v>0</v>
      </c>
      <c r="AJ24932" s="835">
        <v>41060</v>
      </c>
      <c r="AK24932" s="831">
        <v>0</v>
      </c>
    </row>
    <row r="24933" spans="32:37">
      <c r="AF24933" s="831" t="s">
        <v>10364</v>
      </c>
      <c r="AG24933" s="831" t="s">
        <v>2674</v>
      </c>
      <c r="AH24933" s="831" t="s">
        <v>573</v>
      </c>
      <c r="AI24933" s="831">
        <v>0</v>
      </c>
      <c r="AJ24933" s="835">
        <v>41060</v>
      </c>
      <c r="AK24933" s="831">
        <v>0</v>
      </c>
    </row>
    <row r="24934" spans="32:37">
      <c r="AF24934" s="831" t="s">
        <v>10365</v>
      </c>
      <c r="AG24934" s="831" t="s">
        <v>2674</v>
      </c>
      <c r="AH24934" s="831" t="s">
        <v>574</v>
      </c>
      <c r="AI24934" s="831">
        <v>0</v>
      </c>
      <c r="AJ24934" s="835">
        <v>41060</v>
      </c>
      <c r="AK24934" s="831">
        <v>0</v>
      </c>
    </row>
    <row r="24935" spans="32:37">
      <c r="AF24935" s="831" t="s">
        <v>10366</v>
      </c>
      <c r="AG24935" s="831" t="s">
        <v>2674</v>
      </c>
      <c r="AH24935" s="831" t="s">
        <v>575</v>
      </c>
      <c r="AI24935" s="831">
        <v>0</v>
      </c>
      <c r="AJ24935" s="835">
        <v>41060</v>
      </c>
      <c r="AK24935" s="831">
        <v>0</v>
      </c>
    </row>
    <row r="24936" spans="32:37">
      <c r="AF24936" s="831" t="s">
        <v>10367</v>
      </c>
      <c r="AG24936" s="831" t="s">
        <v>2674</v>
      </c>
      <c r="AH24936" s="831" t="s">
        <v>576</v>
      </c>
      <c r="AI24936" s="831">
        <v>0</v>
      </c>
      <c r="AJ24936" s="835">
        <v>41060</v>
      </c>
      <c r="AK24936" s="831">
        <v>0</v>
      </c>
    </row>
    <row r="24937" spans="32:37">
      <c r="AF24937" s="831" t="s">
        <v>10368</v>
      </c>
      <c r="AG24937" s="831" t="s">
        <v>2674</v>
      </c>
      <c r="AH24937" s="831" t="s">
        <v>572</v>
      </c>
      <c r="AI24937" s="831">
        <v>0</v>
      </c>
      <c r="AJ24937" s="835">
        <v>41060</v>
      </c>
      <c r="AK24937" s="831">
        <v>-2146826246</v>
      </c>
    </row>
    <row r="24938" spans="32:37">
      <c r="AF24938" s="831" t="s">
        <v>10369</v>
      </c>
      <c r="AG24938" s="831" t="s">
        <v>2674</v>
      </c>
      <c r="AH24938" s="831" t="s">
        <v>577</v>
      </c>
      <c r="AI24938" s="831">
        <v>0</v>
      </c>
      <c r="AJ24938" s="835">
        <v>41060</v>
      </c>
      <c r="AK24938" s="831">
        <v>-2146826246</v>
      </c>
    </row>
    <row r="24939" spans="32:37">
      <c r="AF24939" s="831" t="s">
        <v>10370</v>
      </c>
      <c r="AG24939" s="831" t="s">
        <v>2674</v>
      </c>
      <c r="AH24939" s="831" t="s">
        <v>3042</v>
      </c>
      <c r="AI24939" s="831">
        <v>0</v>
      </c>
      <c r="AJ24939" s="835">
        <v>41060</v>
      </c>
      <c r="AK24939" s="831">
        <v>-2146826246</v>
      </c>
    </row>
    <row r="24940" spans="32:37">
      <c r="AF24940" s="831" t="s">
        <v>10371</v>
      </c>
      <c r="AG24940" s="831" t="s">
        <v>2674</v>
      </c>
      <c r="AH24940" s="831" t="s">
        <v>3044</v>
      </c>
      <c r="AI24940" s="831">
        <v>0</v>
      </c>
      <c r="AJ24940" s="835">
        <v>41060</v>
      </c>
      <c r="AK24940" s="831">
        <v>-2146826246</v>
      </c>
    </row>
    <row r="24941" spans="32:37">
      <c r="AF24941" s="831" t="s">
        <v>10372</v>
      </c>
      <c r="AG24941" s="831" t="s">
        <v>2674</v>
      </c>
      <c r="AH24941" s="831" t="s">
        <v>580</v>
      </c>
      <c r="AI24941" s="831">
        <v>0</v>
      </c>
      <c r="AJ24941" s="835">
        <v>41060</v>
      </c>
      <c r="AK24941" s="831">
        <v>-2146826246</v>
      </c>
    </row>
    <row r="24942" spans="32:37">
      <c r="AF24942" s="831" t="s">
        <v>10373</v>
      </c>
      <c r="AG24942" s="831" t="s">
        <v>2674</v>
      </c>
      <c r="AH24942" s="831" t="s">
        <v>581</v>
      </c>
      <c r="AI24942" s="831">
        <v>0</v>
      </c>
      <c r="AJ24942" s="835">
        <v>41060</v>
      </c>
      <c r="AK24942" s="831">
        <v>-2146826246</v>
      </c>
    </row>
    <row r="24943" spans="32:37">
      <c r="AF24943" s="831" t="s">
        <v>10374</v>
      </c>
      <c r="AG24943" s="831" t="s">
        <v>2674</v>
      </c>
      <c r="AH24943" s="831" t="s">
        <v>105</v>
      </c>
      <c r="AI24943" s="831">
        <v>0</v>
      </c>
      <c r="AJ24943" s="835">
        <v>41060</v>
      </c>
      <c r="AK24943" s="831">
        <v>149985593</v>
      </c>
    </row>
    <row r="24944" spans="32:37">
      <c r="AF24944" s="831" t="s">
        <v>10375</v>
      </c>
      <c r="AG24944" s="831" t="s">
        <v>2674</v>
      </c>
      <c r="AH24944" s="831" t="s">
        <v>3049</v>
      </c>
      <c r="AI24944" s="831">
        <v>0</v>
      </c>
      <c r="AJ24944" s="835">
        <v>41060</v>
      </c>
      <c r="AK24944" s="831">
        <v>309400000</v>
      </c>
    </row>
    <row r="24945" spans="32:37">
      <c r="AF24945" s="831" t="s">
        <v>10376</v>
      </c>
      <c r="AG24945" s="831" t="s">
        <v>2674</v>
      </c>
      <c r="AH24945" s="831" t="s">
        <v>103</v>
      </c>
      <c r="AI24945" s="831">
        <v>0</v>
      </c>
      <c r="AJ24945" s="835">
        <v>41060</v>
      </c>
      <c r="AK24945" s="831">
        <v>159414407</v>
      </c>
    </row>
    <row r="24946" spans="32:37">
      <c r="AF24946" s="831" t="s">
        <v>10377</v>
      </c>
      <c r="AG24946" s="831" t="s">
        <v>2674</v>
      </c>
      <c r="AH24946" s="831" t="s">
        <v>182</v>
      </c>
      <c r="AI24946" s="831">
        <v>0</v>
      </c>
      <c r="AJ24946" s="835">
        <v>41060</v>
      </c>
      <c r="AK24946" s="831">
        <v>50472969.600000001</v>
      </c>
    </row>
    <row r="24947" spans="32:37">
      <c r="AF24947" s="831" t="s">
        <v>10378</v>
      </c>
      <c r="AG24947" s="831" t="s">
        <v>2674</v>
      </c>
      <c r="AH24947" s="831" t="s">
        <v>6600</v>
      </c>
      <c r="AI24947" s="831">
        <v>0</v>
      </c>
      <c r="AJ24947" s="835">
        <v>41060</v>
      </c>
      <c r="AK24947" s="831">
        <v>-2146826246</v>
      </c>
    </row>
    <row r="24948" spans="32:37">
      <c r="AF24948" s="831" t="s">
        <v>10379</v>
      </c>
      <c r="AG24948" s="831" t="s">
        <v>2674</v>
      </c>
      <c r="AH24948" s="831" t="s">
        <v>6602</v>
      </c>
      <c r="AI24948" s="831">
        <v>0</v>
      </c>
      <c r="AJ24948" s="835">
        <v>41060</v>
      </c>
      <c r="AK24948" s="831">
        <v>5197337</v>
      </c>
    </row>
    <row r="24949" spans="32:37">
      <c r="AF24949" s="831" t="s">
        <v>10380</v>
      </c>
      <c r="AG24949" s="831" t="s">
        <v>2674</v>
      </c>
      <c r="AH24949" s="831" t="s">
        <v>650</v>
      </c>
      <c r="AI24949" s="831">
        <v>0</v>
      </c>
      <c r="AJ24949" s="835">
        <v>41060</v>
      </c>
      <c r="AK24949" s="831">
        <v>0</v>
      </c>
    </row>
    <row r="24950" spans="32:37">
      <c r="AF24950" s="831" t="s">
        <v>10381</v>
      </c>
      <c r="AG24950" s="831" t="s">
        <v>2674</v>
      </c>
      <c r="AH24950" s="831" t="s">
        <v>655</v>
      </c>
      <c r="AI24950" s="831">
        <v>0</v>
      </c>
      <c r="AJ24950" s="835">
        <v>41060</v>
      </c>
      <c r="AK24950" s="831">
        <v>2125799</v>
      </c>
    </row>
    <row r="24951" spans="32:37">
      <c r="AF24951" s="831" t="s">
        <v>10382</v>
      </c>
      <c r="AG24951" s="831" t="s">
        <v>2674</v>
      </c>
      <c r="AH24951" s="831" t="s">
        <v>546</v>
      </c>
      <c r="AI24951" s="831">
        <v>0</v>
      </c>
      <c r="AJ24951" s="835">
        <v>41090</v>
      </c>
      <c r="AK24951" s="831">
        <v>342628450</v>
      </c>
    </row>
    <row r="24952" spans="32:37">
      <c r="AF24952" s="831" t="s">
        <v>10383</v>
      </c>
      <c r="AG24952" s="831" t="s">
        <v>2674</v>
      </c>
      <c r="AH24952" s="831" t="s">
        <v>370</v>
      </c>
      <c r="AI24952" s="831">
        <v>0</v>
      </c>
      <c r="AJ24952" s="835">
        <v>41090</v>
      </c>
      <c r="AK24952" s="831">
        <v>422295379</v>
      </c>
    </row>
    <row r="24953" spans="32:37">
      <c r="AF24953" s="831" t="s">
        <v>10384</v>
      </c>
      <c r="AG24953" s="831" t="s">
        <v>2674</v>
      </c>
      <c r="AH24953" s="831" t="s">
        <v>126</v>
      </c>
      <c r="AI24953" s="831">
        <v>0</v>
      </c>
      <c r="AJ24953" s="835">
        <v>41090</v>
      </c>
      <c r="AK24953" s="831">
        <v>91675016</v>
      </c>
    </row>
    <row r="24954" spans="32:37">
      <c r="AF24954" s="831" t="s">
        <v>10385</v>
      </c>
      <c r="AG24954" s="831" t="s">
        <v>2674</v>
      </c>
      <c r="AH24954" s="831" t="s">
        <v>268</v>
      </c>
      <c r="AI24954" s="831">
        <v>0</v>
      </c>
      <c r="AJ24954" s="835">
        <v>41090</v>
      </c>
      <c r="AK24954" s="831">
        <v>6352093</v>
      </c>
    </row>
    <row r="24955" spans="32:37">
      <c r="AF24955" s="831" t="s">
        <v>10386</v>
      </c>
      <c r="AG24955" s="831" t="s">
        <v>2674</v>
      </c>
      <c r="AH24955" s="831" t="s">
        <v>547</v>
      </c>
      <c r="AI24955" s="831">
        <v>0</v>
      </c>
      <c r="AJ24955" s="835">
        <v>41090</v>
      </c>
      <c r="AK24955" s="831">
        <v>0</v>
      </c>
    </row>
    <row r="24956" spans="32:37">
      <c r="AF24956" s="831" t="s">
        <v>10387</v>
      </c>
      <c r="AG24956" s="831" t="s">
        <v>2674</v>
      </c>
      <c r="AH24956" s="831" t="s">
        <v>548</v>
      </c>
      <c r="AI24956" s="831">
        <v>0</v>
      </c>
      <c r="AJ24956" s="835">
        <v>41090</v>
      </c>
      <c r="AK24956" s="831">
        <v>0</v>
      </c>
    </row>
    <row r="24957" spans="32:37">
      <c r="AF24957" s="831" t="s">
        <v>10388</v>
      </c>
      <c r="AG24957" s="831" t="s">
        <v>2674</v>
      </c>
      <c r="AH24957" s="831" t="s">
        <v>549</v>
      </c>
      <c r="AI24957" s="831">
        <v>0</v>
      </c>
      <c r="AJ24957" s="835">
        <v>41090</v>
      </c>
      <c r="AK24957" s="831">
        <v>0</v>
      </c>
    </row>
    <row r="24958" spans="32:37">
      <c r="AF24958" s="831" t="s">
        <v>10389</v>
      </c>
      <c r="AG24958" s="831" t="s">
        <v>2674</v>
      </c>
      <c r="AH24958" s="831" t="s">
        <v>192</v>
      </c>
      <c r="AI24958" s="831">
        <v>0</v>
      </c>
      <c r="AJ24958" s="835">
        <v>41090</v>
      </c>
      <c r="AK24958" s="831">
        <v>-9357224</v>
      </c>
    </row>
    <row r="24959" spans="32:37">
      <c r="AF24959" s="831" t="s">
        <v>10390</v>
      </c>
      <c r="AG24959" s="831" t="s">
        <v>2674</v>
      </c>
      <c r="AH24959" s="831" t="s">
        <v>558</v>
      </c>
      <c r="AI24959" s="831">
        <v>0</v>
      </c>
      <c r="AJ24959" s="835">
        <v>41090</v>
      </c>
      <c r="AK24959" s="831">
        <v>330620363</v>
      </c>
    </row>
    <row r="24960" spans="32:37">
      <c r="AF24960" s="831" t="s">
        <v>10391</v>
      </c>
      <c r="AG24960" s="831" t="s">
        <v>2674</v>
      </c>
      <c r="AH24960" s="831" t="s">
        <v>65</v>
      </c>
      <c r="AI24960" s="831">
        <v>0</v>
      </c>
      <c r="AJ24960" s="835">
        <v>41090</v>
      </c>
      <c r="AK24960" s="831">
        <v>46070355</v>
      </c>
    </row>
    <row r="24961" spans="32:37">
      <c r="AF24961" s="831" t="s">
        <v>10392</v>
      </c>
      <c r="AG24961" s="831" t="s">
        <v>2674</v>
      </c>
      <c r="AH24961" s="831" t="s">
        <v>89</v>
      </c>
      <c r="AI24961" s="831">
        <v>0</v>
      </c>
      <c r="AJ24961" s="835">
        <v>41090</v>
      </c>
      <c r="AK24961" s="831">
        <v>122094</v>
      </c>
    </row>
    <row r="24962" spans="32:37">
      <c r="AF24962" s="831" t="s">
        <v>10393</v>
      </c>
      <c r="AG24962" s="831" t="s">
        <v>2674</v>
      </c>
      <c r="AH24962" s="831" t="s">
        <v>557</v>
      </c>
      <c r="AI24962" s="831">
        <v>0</v>
      </c>
      <c r="AJ24962" s="835">
        <v>41090</v>
      </c>
      <c r="AK24962" s="831">
        <v>123933</v>
      </c>
    </row>
    <row r="24963" spans="32:37">
      <c r="AF24963" s="831" t="s">
        <v>10394</v>
      </c>
      <c r="AG24963" s="831" t="s">
        <v>2674</v>
      </c>
      <c r="AH24963" s="831" t="s">
        <v>29</v>
      </c>
      <c r="AI24963" s="831">
        <v>0</v>
      </c>
      <c r="AJ24963" s="835">
        <v>41090</v>
      </c>
      <c r="AK24963" s="831">
        <v>2579950</v>
      </c>
    </row>
    <row r="24964" spans="32:37">
      <c r="AF24964" s="831" t="s">
        <v>10395</v>
      </c>
      <c r="AG24964" s="831" t="s">
        <v>2674</v>
      </c>
      <c r="AH24964" s="831" t="s">
        <v>2688</v>
      </c>
      <c r="AI24964" s="831">
        <v>0</v>
      </c>
      <c r="AJ24964" s="835">
        <v>41090</v>
      </c>
      <c r="AK24964" s="831">
        <v>2983420</v>
      </c>
    </row>
    <row r="24965" spans="32:37">
      <c r="AF24965" s="831" t="s">
        <v>10396</v>
      </c>
      <c r="AG24965" s="831" t="s">
        <v>2674</v>
      </c>
      <c r="AH24965" s="831" t="s">
        <v>556</v>
      </c>
      <c r="AI24965" s="831">
        <v>0</v>
      </c>
      <c r="AJ24965" s="835">
        <v>41090</v>
      </c>
      <c r="AK24965" s="831">
        <v>0</v>
      </c>
    </row>
    <row r="24966" spans="32:37">
      <c r="AF24966" s="831" t="s">
        <v>10397</v>
      </c>
      <c r="AG24966" s="831" t="s">
        <v>2674</v>
      </c>
      <c r="AH24966" s="831" t="s">
        <v>555</v>
      </c>
      <c r="AI24966" s="831">
        <v>0</v>
      </c>
      <c r="AJ24966" s="835">
        <v>41090</v>
      </c>
      <c r="AK24966" s="831">
        <v>197249400</v>
      </c>
    </row>
    <row r="24967" spans="32:37">
      <c r="AF24967" s="831" t="s">
        <v>10398</v>
      </c>
      <c r="AG24967" s="831" t="s">
        <v>2674</v>
      </c>
      <c r="AH24967" s="831" t="s">
        <v>554</v>
      </c>
      <c r="AI24967" s="831">
        <v>0</v>
      </c>
      <c r="AJ24967" s="835">
        <v>41090</v>
      </c>
      <c r="AK24967" s="831">
        <v>196927620</v>
      </c>
    </row>
    <row r="24968" spans="32:37">
      <c r="AF24968" s="831" t="s">
        <v>10399</v>
      </c>
      <c r="AG24968" s="831" t="s">
        <v>2674</v>
      </c>
      <c r="AH24968" s="831" t="s">
        <v>553</v>
      </c>
      <c r="AI24968" s="831">
        <v>0</v>
      </c>
      <c r="AJ24968" s="835">
        <v>41090</v>
      </c>
      <c r="AK24968" s="831">
        <v>0</v>
      </c>
    </row>
    <row r="24969" spans="32:37">
      <c r="AF24969" s="831" t="s">
        <v>10400</v>
      </c>
      <c r="AG24969" s="831" t="s">
        <v>2674</v>
      </c>
      <c r="AH24969" s="831" t="s">
        <v>552</v>
      </c>
      <c r="AI24969" s="831">
        <v>0</v>
      </c>
      <c r="AJ24969" s="835">
        <v>41090</v>
      </c>
      <c r="AK24969" s="831">
        <v>0</v>
      </c>
    </row>
    <row r="24970" spans="32:37">
      <c r="AF24970" s="831" t="s">
        <v>10401</v>
      </c>
      <c r="AG24970" s="831" t="s">
        <v>2674</v>
      </c>
      <c r="AH24970" s="831" t="s">
        <v>551</v>
      </c>
      <c r="AI24970" s="831">
        <v>0</v>
      </c>
      <c r="AJ24970" s="835">
        <v>41090</v>
      </c>
      <c r="AK24970" s="831">
        <v>2420279</v>
      </c>
    </row>
    <row r="24971" spans="32:37">
      <c r="AF24971" s="831" t="s">
        <v>10402</v>
      </c>
      <c r="AG24971" s="831" t="s">
        <v>2674</v>
      </c>
      <c r="AH24971" s="831" t="s">
        <v>550</v>
      </c>
      <c r="AI24971" s="831">
        <v>0</v>
      </c>
      <c r="AJ24971" s="835">
        <v>41090</v>
      </c>
      <c r="AK24971" s="831">
        <v>90520261</v>
      </c>
    </row>
    <row r="24972" spans="32:37">
      <c r="AF24972" s="831" t="s">
        <v>10403</v>
      </c>
      <c r="AG24972" s="831" t="s">
        <v>2674</v>
      </c>
      <c r="AH24972" s="831" t="s">
        <v>562</v>
      </c>
      <c r="AI24972" s="831">
        <v>0</v>
      </c>
      <c r="AJ24972" s="835">
        <v>41090</v>
      </c>
      <c r="AK24972" s="831">
        <v>0.78505000000000003</v>
      </c>
    </row>
    <row r="24973" spans="32:37">
      <c r="AF24973" s="831" t="s">
        <v>10404</v>
      </c>
      <c r="AG24973" s="831" t="s">
        <v>2674</v>
      </c>
      <c r="AH24973" s="831" t="s">
        <v>2698</v>
      </c>
      <c r="AI24973" s="831">
        <v>0</v>
      </c>
      <c r="AJ24973" s="835">
        <v>41090</v>
      </c>
      <c r="AK24973" s="831">
        <v>0.78515000000000001</v>
      </c>
    </row>
    <row r="24974" spans="32:37">
      <c r="AF24974" s="831" t="s">
        <v>10405</v>
      </c>
      <c r="AG24974" s="831" t="s">
        <v>2674</v>
      </c>
      <c r="AH24974" s="831" t="s">
        <v>560</v>
      </c>
      <c r="AI24974" s="831">
        <v>0</v>
      </c>
      <c r="AJ24974" s="835">
        <v>41090</v>
      </c>
      <c r="AK24974" s="831">
        <v>0.78567500000000001</v>
      </c>
    </row>
    <row r="24975" spans="32:37">
      <c r="AF24975" s="831" t="s">
        <v>10406</v>
      </c>
      <c r="AG24975" s="831" t="s">
        <v>2674</v>
      </c>
      <c r="AH24975" s="831" t="s">
        <v>559</v>
      </c>
      <c r="AI24975" s="831">
        <v>0</v>
      </c>
      <c r="AJ24975" s="835">
        <v>41090</v>
      </c>
      <c r="AK24975" s="831">
        <v>0.78561666666666674</v>
      </c>
    </row>
    <row r="24976" spans="32:37">
      <c r="AF24976" s="831" t="s">
        <v>10407</v>
      </c>
      <c r="AG24976" s="831" t="s">
        <v>2674</v>
      </c>
      <c r="AH24976" s="831" t="s">
        <v>568</v>
      </c>
      <c r="AI24976" s="831">
        <v>0</v>
      </c>
      <c r="AJ24976" s="835">
        <v>41090</v>
      </c>
      <c r="AK24976" s="831">
        <v>0</v>
      </c>
    </row>
    <row r="24977" spans="32:37">
      <c r="AF24977" s="831" t="s">
        <v>10408</v>
      </c>
      <c r="AG24977" s="831" t="s">
        <v>2674</v>
      </c>
      <c r="AH24977" s="831" t="s">
        <v>569</v>
      </c>
      <c r="AI24977" s="831">
        <v>0</v>
      </c>
      <c r="AJ24977" s="835">
        <v>41090</v>
      </c>
      <c r="AK24977" s="831">
        <v>0</v>
      </c>
    </row>
    <row r="24978" spans="32:37">
      <c r="AF24978" s="831" t="s">
        <v>10409</v>
      </c>
      <c r="AG24978" s="831" t="s">
        <v>2674</v>
      </c>
      <c r="AH24978" s="831" t="s">
        <v>570</v>
      </c>
      <c r="AI24978" s="831">
        <v>0</v>
      </c>
      <c r="AJ24978" s="835">
        <v>41090</v>
      </c>
      <c r="AK24978" s="831">
        <v>0</v>
      </c>
    </row>
    <row r="24979" spans="32:37">
      <c r="AF24979" s="831" t="s">
        <v>10410</v>
      </c>
      <c r="AG24979" s="831" t="s">
        <v>2674</v>
      </c>
      <c r="AH24979" s="831" t="s">
        <v>571</v>
      </c>
      <c r="AI24979" s="831">
        <v>0</v>
      </c>
      <c r="AJ24979" s="835">
        <v>41090</v>
      </c>
      <c r="AK24979" s="831">
        <v>0</v>
      </c>
    </row>
    <row r="24980" spans="32:37">
      <c r="AF24980" s="831" t="s">
        <v>10411</v>
      </c>
      <c r="AG24980" s="831" t="s">
        <v>2674</v>
      </c>
      <c r="AH24980" s="831" t="s">
        <v>573</v>
      </c>
      <c r="AI24980" s="831">
        <v>0</v>
      </c>
      <c r="AJ24980" s="835">
        <v>41090</v>
      </c>
      <c r="AK24980" s="831">
        <v>0</v>
      </c>
    </row>
    <row r="24981" spans="32:37">
      <c r="AF24981" s="831" t="s">
        <v>10412</v>
      </c>
      <c r="AG24981" s="831" t="s">
        <v>2674</v>
      </c>
      <c r="AH24981" s="831" t="s">
        <v>574</v>
      </c>
      <c r="AI24981" s="831">
        <v>0</v>
      </c>
      <c r="AJ24981" s="835">
        <v>41090</v>
      </c>
      <c r="AK24981" s="831">
        <v>0</v>
      </c>
    </row>
    <row r="24982" spans="32:37">
      <c r="AF24982" s="831" t="s">
        <v>10413</v>
      </c>
      <c r="AG24982" s="831" t="s">
        <v>2674</v>
      </c>
      <c r="AH24982" s="831" t="s">
        <v>575</v>
      </c>
      <c r="AI24982" s="831">
        <v>0</v>
      </c>
      <c r="AJ24982" s="835">
        <v>41090</v>
      </c>
      <c r="AK24982" s="831">
        <v>0</v>
      </c>
    </row>
    <row r="24983" spans="32:37">
      <c r="AF24983" s="831" t="s">
        <v>10414</v>
      </c>
      <c r="AG24983" s="831" t="s">
        <v>2674</v>
      </c>
      <c r="AH24983" s="831" t="s">
        <v>576</v>
      </c>
      <c r="AI24983" s="831">
        <v>0</v>
      </c>
      <c r="AJ24983" s="835">
        <v>41090</v>
      </c>
      <c r="AK24983" s="831">
        <v>0</v>
      </c>
    </row>
    <row r="24984" spans="32:37">
      <c r="AF24984" s="831" t="s">
        <v>10415</v>
      </c>
      <c r="AG24984" s="831" t="s">
        <v>2674</v>
      </c>
      <c r="AH24984" s="831" t="s">
        <v>572</v>
      </c>
      <c r="AI24984" s="831">
        <v>0</v>
      </c>
      <c r="AJ24984" s="835">
        <v>41090</v>
      </c>
      <c r="AK24984" s="831">
        <v>-2146826246</v>
      </c>
    </row>
    <row r="24985" spans="32:37">
      <c r="AF24985" s="831" t="s">
        <v>10416</v>
      </c>
      <c r="AG24985" s="831" t="s">
        <v>2674</v>
      </c>
      <c r="AH24985" s="831" t="s">
        <v>577</v>
      </c>
      <c r="AI24985" s="831">
        <v>0</v>
      </c>
      <c r="AJ24985" s="835">
        <v>41090</v>
      </c>
      <c r="AK24985" s="831">
        <v>-2146826246</v>
      </c>
    </row>
    <row r="24986" spans="32:37">
      <c r="AF24986" s="831" t="s">
        <v>10417</v>
      </c>
      <c r="AG24986" s="831" t="s">
        <v>2674</v>
      </c>
      <c r="AH24986" s="831" t="s">
        <v>3042</v>
      </c>
      <c r="AI24986" s="831">
        <v>0</v>
      </c>
      <c r="AJ24986" s="835">
        <v>41090</v>
      </c>
      <c r="AK24986" s="831">
        <v>-2146826246</v>
      </c>
    </row>
    <row r="24987" spans="32:37">
      <c r="AF24987" s="831" t="s">
        <v>10418</v>
      </c>
      <c r="AG24987" s="831" t="s">
        <v>2674</v>
      </c>
      <c r="AH24987" s="831" t="s">
        <v>3044</v>
      </c>
      <c r="AI24987" s="831">
        <v>0</v>
      </c>
      <c r="AJ24987" s="835">
        <v>41090</v>
      </c>
      <c r="AK24987" s="831">
        <v>-2146826246</v>
      </c>
    </row>
    <row r="24988" spans="32:37">
      <c r="AF24988" s="831" t="s">
        <v>10419</v>
      </c>
      <c r="AG24988" s="831" t="s">
        <v>2674</v>
      </c>
      <c r="AH24988" s="831" t="s">
        <v>580</v>
      </c>
      <c r="AI24988" s="831">
        <v>0</v>
      </c>
      <c r="AJ24988" s="835">
        <v>41090</v>
      </c>
      <c r="AK24988" s="831">
        <v>-2146826246</v>
      </c>
    </row>
    <row r="24989" spans="32:37">
      <c r="AF24989" s="831" t="s">
        <v>10420</v>
      </c>
      <c r="AG24989" s="831" t="s">
        <v>2674</v>
      </c>
      <c r="AH24989" s="831" t="s">
        <v>581</v>
      </c>
      <c r="AI24989" s="831">
        <v>0</v>
      </c>
      <c r="AJ24989" s="835">
        <v>41090</v>
      </c>
      <c r="AK24989" s="831">
        <v>-2146826246</v>
      </c>
    </row>
    <row r="24990" spans="32:37">
      <c r="AF24990" s="831" t="s">
        <v>10421</v>
      </c>
      <c r="AG24990" s="831" t="s">
        <v>2674</v>
      </c>
      <c r="AH24990" s="831" t="s">
        <v>105</v>
      </c>
      <c r="AI24990" s="831">
        <v>0</v>
      </c>
      <c r="AJ24990" s="835">
        <v>41090</v>
      </c>
      <c r="AK24990" s="831">
        <v>152917631</v>
      </c>
    </row>
    <row r="24991" spans="32:37">
      <c r="AF24991" s="831" t="s">
        <v>10422</v>
      </c>
      <c r="AG24991" s="831" t="s">
        <v>2674</v>
      </c>
      <c r="AH24991" s="831" t="s">
        <v>3049</v>
      </c>
      <c r="AI24991" s="831">
        <v>0</v>
      </c>
      <c r="AJ24991" s="835">
        <v>41090</v>
      </c>
      <c r="AK24991" s="831">
        <v>317640148</v>
      </c>
    </row>
    <row r="24992" spans="32:37">
      <c r="AF24992" s="831" t="s">
        <v>10423</v>
      </c>
      <c r="AG24992" s="831" t="s">
        <v>2674</v>
      </c>
      <c r="AH24992" s="831" t="s">
        <v>103</v>
      </c>
      <c r="AI24992" s="831">
        <v>0</v>
      </c>
      <c r="AJ24992" s="835">
        <v>41090</v>
      </c>
      <c r="AK24992" s="831">
        <v>164722517</v>
      </c>
    </row>
    <row r="24993" spans="32:37">
      <c r="AF24993" s="831" t="s">
        <v>10424</v>
      </c>
      <c r="AG24993" s="831" t="s">
        <v>2674</v>
      </c>
      <c r="AH24993" s="831" t="s">
        <v>182</v>
      </c>
      <c r="AI24993" s="831">
        <v>0</v>
      </c>
      <c r="AJ24993" s="835">
        <v>41090</v>
      </c>
      <c r="AK24993" s="831">
        <v>51276754</v>
      </c>
    </row>
    <row r="24994" spans="32:37">
      <c r="AF24994" s="831" t="s">
        <v>10425</v>
      </c>
      <c r="AG24994" s="831" t="s">
        <v>2674</v>
      </c>
      <c r="AH24994" s="831" t="s">
        <v>6600</v>
      </c>
      <c r="AI24994" s="831">
        <v>0</v>
      </c>
      <c r="AJ24994" s="835">
        <v>41090</v>
      </c>
      <c r="AK24994" s="831">
        <v>-2146826246</v>
      </c>
    </row>
    <row r="24995" spans="32:37">
      <c r="AF24995" s="831" t="s">
        <v>10426</v>
      </c>
      <c r="AG24995" s="831" t="s">
        <v>2674</v>
      </c>
      <c r="AH24995" s="831" t="s">
        <v>6602</v>
      </c>
      <c r="AI24995" s="831">
        <v>0</v>
      </c>
      <c r="AJ24995" s="835">
        <v>41090</v>
      </c>
      <c r="AK24995" s="831">
        <v>6352093</v>
      </c>
    </row>
    <row r="24996" spans="32:37">
      <c r="AF24996" s="831" t="s">
        <v>10427</v>
      </c>
      <c r="AG24996" s="831" t="s">
        <v>2674</v>
      </c>
      <c r="AH24996" s="831" t="s">
        <v>650</v>
      </c>
      <c r="AI24996" s="831">
        <v>0</v>
      </c>
      <c r="AJ24996" s="835">
        <v>41090</v>
      </c>
      <c r="AK24996" s="831">
        <v>0</v>
      </c>
    </row>
    <row r="24997" spans="32:37">
      <c r="AF24997" s="831" t="s">
        <v>10428</v>
      </c>
      <c r="AG24997" s="831" t="s">
        <v>2674</v>
      </c>
      <c r="AH24997" s="831" t="s">
        <v>655</v>
      </c>
      <c r="AI24997" s="831">
        <v>0</v>
      </c>
      <c r="AJ24997" s="835">
        <v>41090</v>
      </c>
      <c r="AK24997" s="831">
        <v>2251978</v>
      </c>
    </row>
    <row r="24998" spans="32:37">
      <c r="AF24998" s="831" t="s">
        <v>10429</v>
      </c>
      <c r="AG24998" s="831" t="s">
        <v>2674</v>
      </c>
      <c r="AH24998" s="831" t="s">
        <v>546</v>
      </c>
      <c r="AI24998" s="831">
        <v>0</v>
      </c>
      <c r="AJ24998" s="835">
        <v>41121</v>
      </c>
      <c r="AK24998" s="831">
        <v>350104350</v>
      </c>
    </row>
    <row r="24999" spans="32:37">
      <c r="AF24999" s="831" t="s">
        <v>10430</v>
      </c>
      <c r="AG24999" s="831" t="s">
        <v>2674</v>
      </c>
      <c r="AH24999" s="831" t="s">
        <v>370</v>
      </c>
      <c r="AI24999" s="831">
        <v>0</v>
      </c>
      <c r="AJ24999" s="835">
        <v>41121</v>
      </c>
      <c r="AK24999" s="831">
        <v>438122032</v>
      </c>
    </row>
    <row r="25000" spans="32:37">
      <c r="AF25000" s="831" t="s">
        <v>10431</v>
      </c>
      <c r="AG25000" s="831" t="s">
        <v>2674</v>
      </c>
      <c r="AH25000" s="831" t="s">
        <v>126</v>
      </c>
      <c r="AI25000" s="831">
        <v>0</v>
      </c>
      <c r="AJ25000" s="835">
        <v>41121</v>
      </c>
      <c r="AK25000" s="831">
        <v>93426827</v>
      </c>
    </row>
    <row r="25001" spans="32:37">
      <c r="AF25001" s="831" t="s">
        <v>10432</v>
      </c>
      <c r="AG25001" s="831" t="s">
        <v>2674</v>
      </c>
      <c r="AH25001" s="831" t="s">
        <v>268</v>
      </c>
      <c r="AI25001" s="831">
        <v>0</v>
      </c>
      <c r="AJ25001" s="835">
        <v>41121</v>
      </c>
      <c r="AK25001" s="831">
        <v>8103905</v>
      </c>
    </row>
    <row r="25002" spans="32:37">
      <c r="AF25002" s="831" t="s">
        <v>10433</v>
      </c>
      <c r="AG25002" s="831" t="s">
        <v>2674</v>
      </c>
      <c r="AH25002" s="831" t="s">
        <v>547</v>
      </c>
      <c r="AI25002" s="831">
        <v>0</v>
      </c>
      <c r="AJ25002" s="835">
        <v>41121</v>
      </c>
      <c r="AK25002" s="831">
        <v>0</v>
      </c>
    </row>
    <row r="25003" spans="32:37">
      <c r="AF25003" s="831" t="s">
        <v>10434</v>
      </c>
      <c r="AG25003" s="831" t="s">
        <v>2674</v>
      </c>
      <c r="AH25003" s="831" t="s">
        <v>548</v>
      </c>
      <c r="AI25003" s="831">
        <v>0</v>
      </c>
      <c r="AJ25003" s="835">
        <v>41121</v>
      </c>
      <c r="AK25003" s="831">
        <v>0</v>
      </c>
    </row>
    <row r="25004" spans="32:37">
      <c r="AF25004" s="831" t="s">
        <v>10435</v>
      </c>
      <c r="AG25004" s="831" t="s">
        <v>2674</v>
      </c>
      <c r="AH25004" s="831" t="s">
        <v>549</v>
      </c>
      <c r="AI25004" s="831">
        <v>0</v>
      </c>
      <c r="AJ25004" s="835">
        <v>41121</v>
      </c>
      <c r="AK25004" s="831">
        <v>0</v>
      </c>
    </row>
    <row r="25005" spans="32:37">
      <c r="AF25005" s="831" t="s">
        <v>10436</v>
      </c>
      <c r="AG25005" s="831" t="s">
        <v>2674</v>
      </c>
      <c r="AH25005" s="831" t="s">
        <v>192</v>
      </c>
      <c r="AI25005" s="831">
        <v>0</v>
      </c>
      <c r="AJ25005" s="835">
        <v>41121</v>
      </c>
      <c r="AK25005" s="831">
        <v>-9691486</v>
      </c>
    </row>
    <row r="25006" spans="32:37">
      <c r="AF25006" s="831" t="s">
        <v>10437</v>
      </c>
      <c r="AG25006" s="831" t="s">
        <v>2674</v>
      </c>
      <c r="AH25006" s="831" t="s">
        <v>558</v>
      </c>
      <c r="AI25006" s="831">
        <v>0</v>
      </c>
      <c r="AJ25006" s="835">
        <v>41121</v>
      </c>
      <c r="AK25006" s="831">
        <v>344695205</v>
      </c>
    </row>
    <row r="25007" spans="32:37">
      <c r="AF25007" s="831" t="s">
        <v>10438</v>
      </c>
      <c r="AG25007" s="831" t="s">
        <v>2674</v>
      </c>
      <c r="AH25007" s="831" t="s">
        <v>65</v>
      </c>
      <c r="AI25007" s="831">
        <v>0</v>
      </c>
      <c r="AJ25007" s="835">
        <v>41121</v>
      </c>
      <c r="AK25007" s="831">
        <v>54573964</v>
      </c>
    </row>
    <row r="25008" spans="32:37">
      <c r="AF25008" s="831" t="s">
        <v>10439</v>
      </c>
      <c r="AG25008" s="831" t="s">
        <v>2674</v>
      </c>
      <c r="AH25008" s="831" t="s">
        <v>89</v>
      </c>
      <c r="AI25008" s="831">
        <v>0</v>
      </c>
      <c r="AJ25008" s="835">
        <v>41121</v>
      </c>
      <c r="AK25008" s="831">
        <v>121835</v>
      </c>
    </row>
    <row r="25009" spans="32:37">
      <c r="AF25009" s="831" t="s">
        <v>10440</v>
      </c>
      <c r="AG25009" s="831" t="s">
        <v>2674</v>
      </c>
      <c r="AH25009" s="831" t="s">
        <v>557</v>
      </c>
      <c r="AI25009" s="831">
        <v>0</v>
      </c>
      <c r="AJ25009" s="835">
        <v>41121</v>
      </c>
      <c r="AK25009" s="831">
        <v>123680</v>
      </c>
    </row>
    <row r="25010" spans="32:37">
      <c r="AF25010" s="831" t="s">
        <v>10441</v>
      </c>
      <c r="AG25010" s="831" t="s">
        <v>2674</v>
      </c>
      <c r="AH25010" s="831" t="s">
        <v>29</v>
      </c>
      <c r="AI25010" s="831">
        <v>0</v>
      </c>
      <c r="AJ25010" s="835">
        <v>41121</v>
      </c>
      <c r="AK25010" s="831">
        <v>2520940</v>
      </c>
    </row>
    <row r="25011" spans="32:37">
      <c r="AF25011" s="831" t="s">
        <v>10442</v>
      </c>
      <c r="AG25011" s="831" t="s">
        <v>2674</v>
      </c>
      <c r="AH25011" s="831" t="s">
        <v>2688</v>
      </c>
      <c r="AI25011" s="831">
        <v>0</v>
      </c>
      <c r="AJ25011" s="835">
        <v>41121</v>
      </c>
      <c r="AK25011" s="831">
        <v>2874987.63</v>
      </c>
    </row>
    <row r="25012" spans="32:37">
      <c r="AF25012" s="831" t="s">
        <v>10443</v>
      </c>
      <c r="AG25012" s="831" t="s">
        <v>2674</v>
      </c>
      <c r="AH25012" s="831" t="s">
        <v>556</v>
      </c>
      <c r="AI25012" s="831">
        <v>0</v>
      </c>
      <c r="AJ25012" s="835">
        <v>41121</v>
      </c>
      <c r="AK25012" s="831">
        <v>0</v>
      </c>
    </row>
    <row r="25013" spans="32:37">
      <c r="AF25013" s="831" t="s">
        <v>10444</v>
      </c>
      <c r="AG25013" s="831" t="s">
        <v>2674</v>
      </c>
      <c r="AH25013" s="831" t="s">
        <v>555</v>
      </c>
      <c r="AI25013" s="831">
        <v>0</v>
      </c>
      <c r="AJ25013" s="835">
        <v>41121</v>
      </c>
      <c r="AK25013" s="831">
        <v>212532560</v>
      </c>
    </row>
    <row r="25014" spans="32:37">
      <c r="AF25014" s="831" t="s">
        <v>10445</v>
      </c>
      <c r="AG25014" s="831" t="s">
        <v>2674</v>
      </c>
      <c r="AH25014" s="831" t="s">
        <v>554</v>
      </c>
      <c r="AI25014" s="831">
        <v>0</v>
      </c>
      <c r="AJ25014" s="835">
        <v>41121</v>
      </c>
      <c r="AK25014" s="831">
        <v>206644050</v>
      </c>
    </row>
    <row r="25015" spans="32:37">
      <c r="AF25015" s="831" t="s">
        <v>10446</v>
      </c>
      <c r="AG25015" s="831" t="s">
        <v>2674</v>
      </c>
      <c r="AH25015" s="831" t="s">
        <v>553</v>
      </c>
      <c r="AI25015" s="831">
        <v>0</v>
      </c>
      <c r="AJ25015" s="835">
        <v>41121</v>
      </c>
      <c r="AK25015" s="831">
        <v>0</v>
      </c>
    </row>
    <row r="25016" spans="32:37">
      <c r="AF25016" s="831" t="s">
        <v>10447</v>
      </c>
      <c r="AG25016" s="831" t="s">
        <v>2674</v>
      </c>
      <c r="AH25016" s="831" t="s">
        <v>552</v>
      </c>
      <c r="AI25016" s="831">
        <v>0</v>
      </c>
      <c r="AJ25016" s="835">
        <v>41121</v>
      </c>
      <c r="AK25016" s="831">
        <v>0</v>
      </c>
    </row>
    <row r="25017" spans="32:37">
      <c r="AF25017" s="831" t="s">
        <v>10448</v>
      </c>
      <c r="AG25017" s="831" t="s">
        <v>2674</v>
      </c>
      <c r="AH25017" s="831" t="s">
        <v>551</v>
      </c>
      <c r="AI25017" s="831">
        <v>0</v>
      </c>
      <c r="AJ25017" s="835">
        <v>41121</v>
      </c>
      <c r="AK25017" s="831">
        <v>2408186</v>
      </c>
    </row>
    <row r="25018" spans="32:37">
      <c r="AF25018" s="831" t="s">
        <v>10449</v>
      </c>
      <c r="AG25018" s="831" t="s">
        <v>2674</v>
      </c>
      <c r="AH25018" s="831" t="s">
        <v>550</v>
      </c>
      <c r="AI25018" s="831">
        <v>0</v>
      </c>
      <c r="AJ25018" s="835">
        <v>41121</v>
      </c>
      <c r="AK25018" s="831">
        <v>91675016</v>
      </c>
    </row>
    <row r="25019" spans="32:37">
      <c r="AF25019" s="831" t="s">
        <v>10450</v>
      </c>
      <c r="AG25019" s="831" t="s">
        <v>2674</v>
      </c>
      <c r="AH25019" s="831" t="s">
        <v>562</v>
      </c>
      <c r="AI25019" s="831">
        <v>0</v>
      </c>
      <c r="AJ25019" s="835">
        <v>41121</v>
      </c>
      <c r="AK25019" s="831">
        <v>0.78495000000000004</v>
      </c>
    </row>
    <row r="25020" spans="32:37">
      <c r="AF25020" s="831" t="s">
        <v>10451</v>
      </c>
      <c r="AG25020" s="831" t="s">
        <v>2674</v>
      </c>
      <c r="AH25020" s="831" t="s">
        <v>2698</v>
      </c>
      <c r="AI25020" s="831">
        <v>0</v>
      </c>
      <c r="AJ25020" s="835">
        <v>41121</v>
      </c>
      <c r="AK25020" s="831">
        <v>0.78505000000000003</v>
      </c>
    </row>
    <row r="25021" spans="32:37">
      <c r="AF25021" s="831" t="s">
        <v>10452</v>
      </c>
      <c r="AG25021" s="831" t="s">
        <v>2674</v>
      </c>
      <c r="AH25021" s="831" t="s">
        <v>560</v>
      </c>
      <c r="AI25021" s="831">
        <v>0</v>
      </c>
      <c r="AJ25021" s="835">
        <v>41121</v>
      </c>
      <c r="AK25021" s="831">
        <v>0.7855714285714287</v>
      </c>
    </row>
    <row r="25022" spans="32:37">
      <c r="AF25022" s="831" t="s">
        <v>10453</v>
      </c>
      <c r="AG25022" s="831" t="s">
        <v>2674</v>
      </c>
      <c r="AH25022" s="831" t="s">
        <v>559</v>
      </c>
      <c r="AI25022" s="831">
        <v>0</v>
      </c>
      <c r="AJ25022" s="835">
        <v>41121</v>
      </c>
      <c r="AK25022" s="831">
        <v>0.7854916666666667</v>
      </c>
    </row>
    <row r="25023" spans="32:37">
      <c r="AF25023" s="831" t="s">
        <v>10454</v>
      </c>
      <c r="AG25023" s="831" t="s">
        <v>2674</v>
      </c>
      <c r="AH25023" s="831" t="s">
        <v>568</v>
      </c>
      <c r="AI25023" s="831">
        <v>0</v>
      </c>
      <c r="AJ25023" s="835">
        <v>41121</v>
      </c>
      <c r="AK25023" s="831">
        <v>0</v>
      </c>
    </row>
    <row r="25024" spans="32:37">
      <c r="AF25024" s="831" t="s">
        <v>10455</v>
      </c>
      <c r="AG25024" s="831" t="s">
        <v>2674</v>
      </c>
      <c r="AH25024" s="831" t="s">
        <v>569</v>
      </c>
      <c r="AI25024" s="831">
        <v>0</v>
      </c>
      <c r="AJ25024" s="835">
        <v>41121</v>
      </c>
      <c r="AK25024" s="831">
        <v>0</v>
      </c>
    </row>
    <row r="25025" spans="32:37">
      <c r="AF25025" s="831" t="s">
        <v>10456</v>
      </c>
      <c r="AG25025" s="831" t="s">
        <v>2674</v>
      </c>
      <c r="AH25025" s="831" t="s">
        <v>570</v>
      </c>
      <c r="AI25025" s="831">
        <v>0</v>
      </c>
      <c r="AJ25025" s="835">
        <v>41121</v>
      </c>
      <c r="AK25025" s="831">
        <v>0</v>
      </c>
    </row>
    <row r="25026" spans="32:37">
      <c r="AF25026" s="831" t="s">
        <v>10457</v>
      </c>
      <c r="AG25026" s="831" t="s">
        <v>2674</v>
      </c>
      <c r="AH25026" s="831" t="s">
        <v>571</v>
      </c>
      <c r="AI25026" s="831">
        <v>0</v>
      </c>
      <c r="AJ25026" s="835">
        <v>41121</v>
      </c>
      <c r="AK25026" s="831">
        <v>0</v>
      </c>
    </row>
    <row r="25027" spans="32:37">
      <c r="AF25027" s="831" t="s">
        <v>10458</v>
      </c>
      <c r="AG25027" s="831" t="s">
        <v>2674</v>
      </c>
      <c r="AH25027" s="831" t="s">
        <v>573</v>
      </c>
      <c r="AI25027" s="831">
        <v>0</v>
      </c>
      <c r="AJ25027" s="835">
        <v>41121</v>
      </c>
      <c r="AK25027" s="831">
        <v>0</v>
      </c>
    </row>
    <row r="25028" spans="32:37">
      <c r="AF25028" s="831" t="s">
        <v>10459</v>
      </c>
      <c r="AG25028" s="831" t="s">
        <v>2674</v>
      </c>
      <c r="AH25028" s="831" t="s">
        <v>574</v>
      </c>
      <c r="AI25028" s="831">
        <v>0</v>
      </c>
      <c r="AJ25028" s="835">
        <v>41121</v>
      </c>
      <c r="AK25028" s="831">
        <v>0</v>
      </c>
    </row>
    <row r="25029" spans="32:37">
      <c r="AF25029" s="831" t="s">
        <v>10460</v>
      </c>
      <c r="AG25029" s="831" t="s">
        <v>2674</v>
      </c>
      <c r="AH25029" s="831" t="s">
        <v>575</v>
      </c>
      <c r="AI25029" s="831">
        <v>0</v>
      </c>
      <c r="AJ25029" s="835">
        <v>41121</v>
      </c>
      <c r="AK25029" s="831">
        <v>0</v>
      </c>
    </row>
    <row r="25030" spans="32:37">
      <c r="AF25030" s="831" t="s">
        <v>10461</v>
      </c>
      <c r="AG25030" s="831" t="s">
        <v>2674</v>
      </c>
      <c r="AH25030" s="831" t="s">
        <v>576</v>
      </c>
      <c r="AI25030" s="831">
        <v>0</v>
      </c>
      <c r="AJ25030" s="835">
        <v>41121</v>
      </c>
      <c r="AK25030" s="831">
        <v>0</v>
      </c>
    </row>
    <row r="25031" spans="32:37">
      <c r="AF25031" s="831" t="s">
        <v>10462</v>
      </c>
      <c r="AG25031" s="831" t="s">
        <v>2674</v>
      </c>
      <c r="AH25031" s="831" t="s">
        <v>572</v>
      </c>
      <c r="AI25031" s="831">
        <v>0</v>
      </c>
      <c r="AJ25031" s="835">
        <v>41121</v>
      </c>
      <c r="AK25031" s="831">
        <v>-2146826246</v>
      </c>
    </row>
    <row r="25032" spans="32:37">
      <c r="AF25032" s="831" t="s">
        <v>10463</v>
      </c>
      <c r="AG25032" s="831" t="s">
        <v>2674</v>
      </c>
      <c r="AH25032" s="831" t="s">
        <v>577</v>
      </c>
      <c r="AI25032" s="831">
        <v>0</v>
      </c>
      <c r="AJ25032" s="835">
        <v>41121</v>
      </c>
      <c r="AK25032" s="831">
        <v>-2146826246</v>
      </c>
    </row>
    <row r="25033" spans="32:37">
      <c r="AF25033" s="831" t="s">
        <v>10464</v>
      </c>
      <c r="AG25033" s="831" t="s">
        <v>2674</v>
      </c>
      <c r="AH25033" s="831" t="s">
        <v>3042</v>
      </c>
      <c r="AI25033" s="831">
        <v>0</v>
      </c>
      <c r="AJ25033" s="835">
        <v>41121</v>
      </c>
      <c r="AK25033" s="831">
        <v>-2146826246</v>
      </c>
    </row>
    <row r="25034" spans="32:37">
      <c r="AF25034" s="831" t="s">
        <v>10465</v>
      </c>
      <c r="AG25034" s="831" t="s">
        <v>2674</v>
      </c>
      <c r="AH25034" s="831" t="s">
        <v>3044</v>
      </c>
      <c r="AI25034" s="831">
        <v>0</v>
      </c>
      <c r="AJ25034" s="835">
        <v>41121</v>
      </c>
      <c r="AK25034" s="831">
        <v>-2146826246</v>
      </c>
    </row>
    <row r="25035" spans="32:37">
      <c r="AF25035" s="831" t="s">
        <v>10466</v>
      </c>
      <c r="AG25035" s="831" t="s">
        <v>2674</v>
      </c>
      <c r="AH25035" s="831" t="s">
        <v>580</v>
      </c>
      <c r="AI25035" s="831">
        <v>0</v>
      </c>
      <c r="AJ25035" s="835">
        <v>41121</v>
      </c>
      <c r="AK25035" s="831">
        <v>-2146826246</v>
      </c>
    </row>
    <row r="25036" spans="32:37">
      <c r="AF25036" s="831" t="s">
        <v>10467</v>
      </c>
      <c r="AG25036" s="831" t="s">
        <v>2674</v>
      </c>
      <c r="AH25036" s="831" t="s">
        <v>581</v>
      </c>
      <c r="AI25036" s="831">
        <v>0</v>
      </c>
      <c r="AJ25036" s="835">
        <v>41121</v>
      </c>
      <c r="AK25036" s="831">
        <v>-2146826246</v>
      </c>
    </row>
    <row r="25037" spans="32:37">
      <c r="AF25037" s="831" t="s">
        <v>10468</v>
      </c>
      <c r="AG25037" s="831" t="s">
        <v>2674</v>
      </c>
      <c r="AH25037" s="831" t="s">
        <v>105</v>
      </c>
      <c r="AI25037" s="831">
        <v>0</v>
      </c>
      <c r="AJ25037" s="835">
        <v>41121</v>
      </c>
      <c r="AK25037" s="831">
        <v>164564846</v>
      </c>
    </row>
    <row r="25038" spans="32:37">
      <c r="AF25038" s="831" t="s">
        <v>10469</v>
      </c>
      <c r="AG25038" s="831" t="s">
        <v>2674</v>
      </c>
      <c r="AH25038" s="831" t="s">
        <v>3049</v>
      </c>
      <c r="AI25038" s="831">
        <v>0</v>
      </c>
      <c r="AJ25038" s="835">
        <v>41121</v>
      </c>
      <c r="AK25038" s="831">
        <v>330970241</v>
      </c>
    </row>
    <row r="25039" spans="32:37">
      <c r="AF25039" s="831" t="s">
        <v>10470</v>
      </c>
      <c r="AG25039" s="831" t="s">
        <v>2674</v>
      </c>
      <c r="AH25039" s="831" t="s">
        <v>103</v>
      </c>
      <c r="AI25039" s="831">
        <v>0</v>
      </c>
      <c r="AJ25039" s="835">
        <v>41121</v>
      </c>
      <c r="AK25039" s="831">
        <v>166405395</v>
      </c>
    </row>
    <row r="25040" spans="32:37">
      <c r="AF25040" s="831" t="s">
        <v>10471</v>
      </c>
      <c r="AG25040" s="831" t="s">
        <v>2674</v>
      </c>
      <c r="AH25040" s="831" t="s">
        <v>182</v>
      </c>
      <c r="AI25040" s="831">
        <v>0</v>
      </c>
      <c r="AJ25040" s="835">
        <v>41121</v>
      </c>
      <c r="AK25040" s="831">
        <v>50915117.142857142</v>
      </c>
    </row>
    <row r="25041" spans="32:37">
      <c r="AF25041" s="831" t="s">
        <v>10472</v>
      </c>
      <c r="AG25041" s="831" t="s">
        <v>2674</v>
      </c>
      <c r="AH25041" s="831" t="s">
        <v>6600</v>
      </c>
      <c r="AI25041" s="831">
        <v>0</v>
      </c>
      <c r="AJ25041" s="835">
        <v>41121</v>
      </c>
      <c r="AK25041" s="831">
        <v>-2146826246</v>
      </c>
    </row>
    <row r="25042" spans="32:37">
      <c r="AF25042" s="831" t="s">
        <v>10473</v>
      </c>
      <c r="AG25042" s="831" t="s">
        <v>2674</v>
      </c>
      <c r="AH25042" s="831" t="s">
        <v>6602</v>
      </c>
      <c r="AI25042" s="831">
        <v>0</v>
      </c>
      <c r="AJ25042" s="835">
        <v>41121</v>
      </c>
      <c r="AK25042" s="831">
        <v>8103905</v>
      </c>
    </row>
    <row r="25043" spans="32:37">
      <c r="AF25043" s="831" t="s">
        <v>10474</v>
      </c>
      <c r="AG25043" s="831" t="s">
        <v>2674</v>
      </c>
      <c r="AH25043" s="831" t="s">
        <v>650</v>
      </c>
      <c r="AI25043" s="831">
        <v>0</v>
      </c>
      <c r="AJ25043" s="835">
        <v>41121</v>
      </c>
      <c r="AK25043" s="831">
        <v>0</v>
      </c>
    </row>
    <row r="25044" spans="32:37">
      <c r="AF25044" s="831" t="s">
        <v>10475</v>
      </c>
      <c r="AG25044" s="831" t="s">
        <v>2674</v>
      </c>
      <c r="AH25044" s="831" t="s">
        <v>655</v>
      </c>
      <c r="AI25044" s="831">
        <v>0</v>
      </c>
      <c r="AJ25044" s="835">
        <v>41121</v>
      </c>
      <c r="AK25044" s="831">
        <v>2307351</v>
      </c>
    </row>
    <row r="25045" spans="32:37">
      <c r="AF25045" s="831" t="s">
        <v>10476</v>
      </c>
      <c r="AG25045" s="831" t="s">
        <v>2674</v>
      </c>
      <c r="AH25045" s="831" t="s">
        <v>546</v>
      </c>
      <c r="AI25045" s="831">
        <v>0</v>
      </c>
      <c r="AJ25045" s="835">
        <v>41152</v>
      </c>
      <c r="AK25045" s="831">
        <v>362295244</v>
      </c>
    </row>
    <row r="25046" spans="32:37">
      <c r="AF25046" s="831" t="s">
        <v>10477</v>
      </c>
      <c r="AG25046" s="831" t="s">
        <v>2674</v>
      </c>
      <c r="AH25046" s="831" t="s">
        <v>370</v>
      </c>
      <c r="AI25046" s="831">
        <v>0</v>
      </c>
      <c r="AJ25046" s="835">
        <v>41152</v>
      </c>
      <c r="AK25046" s="831">
        <v>452262206</v>
      </c>
    </row>
    <row r="25047" spans="32:37">
      <c r="AF25047" s="831" t="s">
        <v>10478</v>
      </c>
      <c r="AG25047" s="831" t="s">
        <v>2674</v>
      </c>
      <c r="AH25047" s="831" t="s">
        <v>126</v>
      </c>
      <c r="AI25047" s="831">
        <v>0</v>
      </c>
      <c r="AJ25047" s="835">
        <v>41152</v>
      </c>
      <c r="AK25047" s="831">
        <v>95414973</v>
      </c>
    </row>
    <row r="25048" spans="32:37">
      <c r="AF25048" s="831" t="s">
        <v>10479</v>
      </c>
      <c r="AG25048" s="831" t="s">
        <v>2674</v>
      </c>
      <c r="AH25048" s="831" t="s">
        <v>268</v>
      </c>
      <c r="AI25048" s="831">
        <v>0</v>
      </c>
      <c r="AJ25048" s="835">
        <v>41152</v>
      </c>
      <c r="AK25048" s="831">
        <v>10092049</v>
      </c>
    </row>
    <row r="25049" spans="32:37">
      <c r="AF25049" s="831" t="s">
        <v>10480</v>
      </c>
      <c r="AG25049" s="831" t="s">
        <v>2674</v>
      </c>
      <c r="AH25049" s="831" t="s">
        <v>547</v>
      </c>
      <c r="AI25049" s="831">
        <v>0</v>
      </c>
      <c r="AJ25049" s="835">
        <v>41152</v>
      </c>
      <c r="AK25049" s="831">
        <v>0</v>
      </c>
    </row>
    <row r="25050" spans="32:37">
      <c r="AF25050" s="831" t="s">
        <v>10481</v>
      </c>
      <c r="AG25050" s="831" t="s">
        <v>2674</v>
      </c>
      <c r="AH25050" s="831" t="s">
        <v>548</v>
      </c>
      <c r="AI25050" s="831">
        <v>0</v>
      </c>
      <c r="AJ25050" s="835">
        <v>41152</v>
      </c>
      <c r="AK25050" s="831">
        <v>0</v>
      </c>
    </row>
    <row r="25051" spans="32:37">
      <c r="AF25051" s="831" t="s">
        <v>10482</v>
      </c>
      <c r="AG25051" s="831" t="s">
        <v>2674</v>
      </c>
      <c r="AH25051" s="831" t="s">
        <v>549</v>
      </c>
      <c r="AI25051" s="831">
        <v>0</v>
      </c>
      <c r="AJ25051" s="835">
        <v>41152</v>
      </c>
      <c r="AK25051" s="831">
        <v>0</v>
      </c>
    </row>
    <row r="25052" spans="32:37">
      <c r="AF25052" s="831" t="s">
        <v>10483</v>
      </c>
      <c r="AG25052" s="831" t="s">
        <v>2674</v>
      </c>
      <c r="AH25052" s="831" t="s">
        <v>192</v>
      </c>
      <c r="AI25052" s="831">
        <v>0</v>
      </c>
      <c r="AJ25052" s="835">
        <v>41152</v>
      </c>
      <c r="AK25052" s="831">
        <v>-9148265</v>
      </c>
    </row>
    <row r="25053" spans="32:37">
      <c r="AF25053" s="831" t="s">
        <v>10484</v>
      </c>
      <c r="AG25053" s="831" t="s">
        <v>2674</v>
      </c>
      <c r="AH25053" s="831" t="s">
        <v>558</v>
      </c>
      <c r="AI25053" s="831">
        <v>0</v>
      </c>
      <c r="AJ25053" s="835">
        <v>41152</v>
      </c>
      <c r="AK25053" s="831">
        <v>356847233</v>
      </c>
    </row>
    <row r="25054" spans="32:37">
      <c r="AF25054" s="831" t="s">
        <v>10485</v>
      </c>
      <c r="AG25054" s="831" t="s">
        <v>2674</v>
      </c>
      <c r="AH25054" s="831" t="s">
        <v>65</v>
      </c>
      <c r="AI25054" s="831">
        <v>0</v>
      </c>
      <c r="AJ25054" s="835">
        <v>41152</v>
      </c>
      <c r="AK25054" s="831">
        <v>63143485</v>
      </c>
    </row>
    <row r="25055" spans="32:37">
      <c r="AF25055" s="831" t="s">
        <v>10486</v>
      </c>
      <c r="AG25055" s="831" t="s">
        <v>2674</v>
      </c>
      <c r="AH25055" s="831" t="s">
        <v>89</v>
      </c>
      <c r="AI25055" s="831">
        <v>0</v>
      </c>
      <c r="AJ25055" s="835">
        <v>41152</v>
      </c>
      <c r="AK25055" s="831">
        <v>122109</v>
      </c>
    </row>
    <row r="25056" spans="32:37">
      <c r="AF25056" s="831" t="s">
        <v>10487</v>
      </c>
      <c r="AG25056" s="831" t="s">
        <v>2674</v>
      </c>
      <c r="AH25056" s="831" t="s">
        <v>557</v>
      </c>
      <c r="AI25056" s="831">
        <v>0</v>
      </c>
      <c r="AJ25056" s="835">
        <v>41152</v>
      </c>
      <c r="AK25056" s="831">
        <v>123973</v>
      </c>
    </row>
    <row r="25057" spans="32:37">
      <c r="AF25057" s="831" t="s">
        <v>10488</v>
      </c>
      <c r="AG25057" s="831" t="s">
        <v>2674</v>
      </c>
      <c r="AH25057" s="831" t="s">
        <v>29</v>
      </c>
      <c r="AI25057" s="831">
        <v>0</v>
      </c>
      <c r="AJ25057" s="835">
        <v>41152</v>
      </c>
      <c r="AK25057" s="831">
        <v>2024314</v>
      </c>
    </row>
    <row r="25058" spans="32:37">
      <c r="AF25058" s="831" t="s">
        <v>10489</v>
      </c>
      <c r="AG25058" s="831" t="s">
        <v>2674</v>
      </c>
      <c r="AH25058" s="831" t="s">
        <v>2688</v>
      </c>
      <c r="AI25058" s="831">
        <v>0</v>
      </c>
      <c r="AJ25058" s="835">
        <v>41152</v>
      </c>
      <c r="AK25058" s="831">
        <v>2600544</v>
      </c>
    </row>
    <row r="25059" spans="32:37">
      <c r="AF25059" s="831" t="s">
        <v>10490</v>
      </c>
      <c r="AG25059" s="831" t="s">
        <v>2674</v>
      </c>
      <c r="AH25059" s="831" t="s">
        <v>556</v>
      </c>
      <c r="AI25059" s="831">
        <v>0</v>
      </c>
      <c r="AJ25059" s="835">
        <v>41152</v>
      </c>
      <c r="AK25059" s="831">
        <v>902857</v>
      </c>
    </row>
    <row r="25060" spans="32:37">
      <c r="AF25060" s="831" t="s">
        <v>10491</v>
      </c>
      <c r="AG25060" s="831" t="s">
        <v>2674</v>
      </c>
      <c r="AH25060" s="831" t="s">
        <v>555</v>
      </c>
      <c r="AI25060" s="831">
        <v>0</v>
      </c>
      <c r="AJ25060" s="835">
        <v>41152</v>
      </c>
      <c r="AK25060" s="831">
        <v>221766870</v>
      </c>
    </row>
    <row r="25061" spans="32:37">
      <c r="AF25061" s="831" t="s">
        <v>10492</v>
      </c>
      <c r="AG25061" s="831" t="s">
        <v>2674</v>
      </c>
      <c r="AH25061" s="831" t="s">
        <v>554</v>
      </c>
      <c r="AI25061" s="831">
        <v>0</v>
      </c>
      <c r="AJ25061" s="835">
        <v>41152</v>
      </c>
      <c r="AK25061" s="831">
        <v>217001920</v>
      </c>
    </row>
    <row r="25062" spans="32:37">
      <c r="AF25062" s="831" t="s">
        <v>10493</v>
      </c>
      <c r="AG25062" s="831" t="s">
        <v>2674</v>
      </c>
      <c r="AH25062" s="831" t="s">
        <v>553</v>
      </c>
      <c r="AI25062" s="831">
        <v>0</v>
      </c>
      <c r="AJ25062" s="835">
        <v>41152</v>
      </c>
      <c r="AK25062" s="831">
        <v>0</v>
      </c>
    </row>
    <row r="25063" spans="32:37">
      <c r="AF25063" s="831" t="s">
        <v>10494</v>
      </c>
      <c r="AG25063" s="831" t="s">
        <v>2674</v>
      </c>
      <c r="AH25063" s="831" t="s">
        <v>552</v>
      </c>
      <c r="AI25063" s="831">
        <v>0</v>
      </c>
      <c r="AJ25063" s="835">
        <v>41152</v>
      </c>
      <c r="AK25063" s="831">
        <v>0</v>
      </c>
    </row>
    <row r="25064" spans="32:37">
      <c r="AF25064" s="831" t="s">
        <v>10495</v>
      </c>
      <c r="AG25064" s="831" t="s">
        <v>2674</v>
      </c>
      <c r="AH25064" s="831" t="s">
        <v>551</v>
      </c>
      <c r="AI25064" s="831">
        <v>0</v>
      </c>
      <c r="AJ25064" s="835">
        <v>41152</v>
      </c>
      <c r="AK25064" s="831">
        <v>1690236</v>
      </c>
    </row>
    <row r="25065" spans="32:37">
      <c r="AF25065" s="831" t="s">
        <v>10496</v>
      </c>
      <c r="AG25065" s="831" t="s">
        <v>2674</v>
      </c>
      <c r="AH25065" s="831" t="s">
        <v>550</v>
      </c>
      <c r="AI25065" s="831">
        <v>0</v>
      </c>
      <c r="AJ25065" s="835">
        <v>41152</v>
      </c>
      <c r="AK25065" s="831">
        <v>93426827</v>
      </c>
    </row>
    <row r="25066" spans="32:37">
      <c r="AF25066" s="831" t="s">
        <v>10497</v>
      </c>
      <c r="AG25066" s="831" t="s">
        <v>2674</v>
      </c>
      <c r="AH25066" s="831" t="s">
        <v>562</v>
      </c>
      <c r="AI25066" s="831">
        <v>0</v>
      </c>
      <c r="AJ25066" s="835">
        <v>41152</v>
      </c>
      <c r="AK25066" s="831">
        <v>0.78449999999999998</v>
      </c>
    </row>
    <row r="25067" spans="32:37">
      <c r="AF25067" s="831" t="s">
        <v>10498</v>
      </c>
      <c r="AG25067" s="831" t="s">
        <v>2674</v>
      </c>
      <c r="AH25067" s="831" t="s">
        <v>2698</v>
      </c>
      <c r="AI25067" s="831">
        <v>0</v>
      </c>
      <c r="AJ25067" s="835">
        <v>41152</v>
      </c>
      <c r="AK25067" s="831">
        <v>0.78495000000000004</v>
      </c>
    </row>
    <row r="25068" spans="32:37">
      <c r="AF25068" s="831" t="s">
        <v>10499</v>
      </c>
      <c r="AG25068" s="831" t="s">
        <v>2674</v>
      </c>
      <c r="AH25068" s="831" t="s">
        <v>560</v>
      </c>
      <c r="AI25068" s="831">
        <v>0</v>
      </c>
      <c r="AJ25068" s="835">
        <v>41152</v>
      </c>
      <c r="AK25068" s="831">
        <v>0.78543750000000001</v>
      </c>
    </row>
    <row r="25069" spans="32:37">
      <c r="AF25069" s="831" t="s">
        <v>10500</v>
      </c>
      <c r="AG25069" s="831" t="s">
        <v>2674</v>
      </c>
      <c r="AH25069" s="831" t="s">
        <v>559</v>
      </c>
      <c r="AI25069" s="831">
        <v>0</v>
      </c>
      <c r="AJ25069" s="835">
        <v>41152</v>
      </c>
      <c r="AK25069" s="831">
        <v>0.78544999999999998</v>
      </c>
    </row>
    <row r="25070" spans="32:37">
      <c r="AF25070" s="831" t="s">
        <v>10501</v>
      </c>
      <c r="AG25070" s="831" t="s">
        <v>2674</v>
      </c>
      <c r="AH25070" s="831" t="s">
        <v>568</v>
      </c>
      <c r="AI25070" s="831">
        <v>0</v>
      </c>
      <c r="AJ25070" s="835">
        <v>41152</v>
      </c>
      <c r="AK25070" s="831">
        <v>0</v>
      </c>
    </row>
    <row r="25071" spans="32:37">
      <c r="AF25071" s="831" t="s">
        <v>10502</v>
      </c>
      <c r="AG25071" s="831" t="s">
        <v>2674</v>
      </c>
      <c r="AH25071" s="831" t="s">
        <v>569</v>
      </c>
      <c r="AI25071" s="831">
        <v>0</v>
      </c>
      <c r="AJ25071" s="835">
        <v>41152</v>
      </c>
      <c r="AK25071" s="831">
        <v>0</v>
      </c>
    </row>
    <row r="25072" spans="32:37">
      <c r="AF25072" s="831" t="s">
        <v>10503</v>
      </c>
      <c r="AG25072" s="831" t="s">
        <v>2674</v>
      </c>
      <c r="AH25072" s="831" t="s">
        <v>570</v>
      </c>
      <c r="AI25072" s="831">
        <v>0</v>
      </c>
      <c r="AJ25072" s="835">
        <v>41152</v>
      </c>
      <c r="AK25072" s="831">
        <v>0</v>
      </c>
    </row>
    <row r="25073" spans="32:37">
      <c r="AF25073" s="831" t="s">
        <v>10504</v>
      </c>
      <c r="AG25073" s="831" t="s">
        <v>2674</v>
      </c>
      <c r="AH25073" s="831" t="s">
        <v>571</v>
      </c>
      <c r="AI25073" s="831">
        <v>0</v>
      </c>
      <c r="AJ25073" s="835">
        <v>41152</v>
      </c>
      <c r="AK25073" s="831">
        <v>0</v>
      </c>
    </row>
    <row r="25074" spans="32:37">
      <c r="AF25074" s="831" t="s">
        <v>10505</v>
      </c>
      <c r="AG25074" s="831" t="s">
        <v>2674</v>
      </c>
      <c r="AH25074" s="831" t="s">
        <v>573</v>
      </c>
      <c r="AI25074" s="831">
        <v>0</v>
      </c>
      <c r="AJ25074" s="835">
        <v>41152</v>
      </c>
      <c r="AK25074" s="831">
        <v>0</v>
      </c>
    </row>
    <row r="25075" spans="32:37">
      <c r="AF25075" s="831" t="s">
        <v>10506</v>
      </c>
      <c r="AG25075" s="831" t="s">
        <v>2674</v>
      </c>
      <c r="AH25075" s="831" t="s">
        <v>574</v>
      </c>
      <c r="AI25075" s="831">
        <v>0</v>
      </c>
      <c r="AJ25075" s="835">
        <v>41152</v>
      </c>
      <c r="AK25075" s="831">
        <v>0</v>
      </c>
    </row>
    <row r="25076" spans="32:37">
      <c r="AF25076" s="831" t="s">
        <v>10507</v>
      </c>
      <c r="AG25076" s="831" t="s">
        <v>2674</v>
      </c>
      <c r="AH25076" s="831" t="s">
        <v>575</v>
      </c>
      <c r="AI25076" s="831">
        <v>0</v>
      </c>
      <c r="AJ25076" s="835">
        <v>41152</v>
      </c>
      <c r="AK25076" s="831">
        <v>0</v>
      </c>
    </row>
    <row r="25077" spans="32:37">
      <c r="AF25077" s="831" t="s">
        <v>10508</v>
      </c>
      <c r="AG25077" s="831" t="s">
        <v>2674</v>
      </c>
      <c r="AH25077" s="831" t="s">
        <v>576</v>
      </c>
      <c r="AI25077" s="831">
        <v>0</v>
      </c>
      <c r="AJ25077" s="835">
        <v>41152</v>
      </c>
      <c r="AK25077" s="831">
        <v>0</v>
      </c>
    </row>
    <row r="25078" spans="32:37">
      <c r="AF25078" s="831" t="s">
        <v>10509</v>
      </c>
      <c r="AG25078" s="831" t="s">
        <v>2674</v>
      </c>
      <c r="AH25078" s="831" t="s">
        <v>572</v>
      </c>
      <c r="AI25078" s="831">
        <v>0</v>
      </c>
      <c r="AJ25078" s="835">
        <v>41152</v>
      </c>
      <c r="AK25078" s="831">
        <v>-2146826246</v>
      </c>
    </row>
    <row r="25079" spans="32:37">
      <c r="AF25079" s="831" t="s">
        <v>10510</v>
      </c>
      <c r="AG25079" s="831" t="s">
        <v>2674</v>
      </c>
      <c r="AH25079" s="831" t="s">
        <v>577</v>
      </c>
      <c r="AI25079" s="831">
        <v>0</v>
      </c>
      <c r="AJ25079" s="835">
        <v>41152</v>
      </c>
      <c r="AK25079" s="831">
        <v>-2146826246</v>
      </c>
    </row>
    <row r="25080" spans="32:37">
      <c r="AF25080" s="831" t="s">
        <v>10511</v>
      </c>
      <c r="AG25080" s="831" t="s">
        <v>2674</v>
      </c>
      <c r="AH25080" s="831" t="s">
        <v>3042</v>
      </c>
      <c r="AI25080" s="831">
        <v>0</v>
      </c>
      <c r="AJ25080" s="835">
        <v>41152</v>
      </c>
      <c r="AK25080" s="831">
        <v>-2146826246</v>
      </c>
    </row>
    <row r="25081" spans="32:37">
      <c r="AF25081" s="831" t="s">
        <v>10512</v>
      </c>
      <c r="AG25081" s="831" t="s">
        <v>2674</v>
      </c>
      <c r="AH25081" s="831" t="s">
        <v>3044</v>
      </c>
      <c r="AI25081" s="831">
        <v>0</v>
      </c>
      <c r="AJ25081" s="835">
        <v>41152</v>
      </c>
      <c r="AK25081" s="831">
        <v>-2146826246</v>
      </c>
    </row>
    <row r="25082" spans="32:37">
      <c r="AF25082" s="831" t="s">
        <v>10513</v>
      </c>
      <c r="AG25082" s="831" t="s">
        <v>2674</v>
      </c>
      <c r="AH25082" s="831" t="s">
        <v>580</v>
      </c>
      <c r="AI25082" s="831">
        <v>0</v>
      </c>
      <c r="AJ25082" s="835">
        <v>41152</v>
      </c>
      <c r="AK25082" s="831">
        <v>-2146826246</v>
      </c>
    </row>
    <row r="25083" spans="32:37">
      <c r="AF25083" s="831" t="s">
        <v>10514</v>
      </c>
      <c r="AG25083" s="831" t="s">
        <v>2674</v>
      </c>
      <c r="AH25083" s="831" t="s">
        <v>581</v>
      </c>
      <c r="AI25083" s="831">
        <v>0</v>
      </c>
      <c r="AJ25083" s="835">
        <v>41152</v>
      </c>
      <c r="AK25083" s="831">
        <v>-2146826246</v>
      </c>
    </row>
    <row r="25084" spans="32:37">
      <c r="AF25084" s="831" t="s">
        <v>10515</v>
      </c>
      <c r="AG25084" s="831" t="s">
        <v>2674</v>
      </c>
      <c r="AH25084" s="831" t="s">
        <v>105</v>
      </c>
      <c r="AI25084" s="831">
        <v>0</v>
      </c>
      <c r="AJ25084" s="835">
        <v>41152</v>
      </c>
      <c r="AK25084" s="831">
        <v>180384094</v>
      </c>
    </row>
    <row r="25085" spans="32:37">
      <c r="AF25085" s="831" t="s">
        <v>10516</v>
      </c>
      <c r="AG25085" s="831" t="s">
        <v>2674</v>
      </c>
      <c r="AH25085" s="831" t="s">
        <v>3049</v>
      </c>
      <c r="AI25085" s="831">
        <v>0</v>
      </c>
      <c r="AJ25085" s="835">
        <v>41152</v>
      </c>
      <c r="AK25085" s="831">
        <v>343993651</v>
      </c>
    </row>
    <row r="25086" spans="32:37">
      <c r="AF25086" s="831" t="s">
        <v>10517</v>
      </c>
      <c r="AG25086" s="831" t="s">
        <v>2674</v>
      </c>
      <c r="AH25086" s="831" t="s">
        <v>103</v>
      </c>
      <c r="AI25086" s="831">
        <v>0</v>
      </c>
      <c r="AJ25086" s="835">
        <v>41152</v>
      </c>
      <c r="AK25086" s="831">
        <v>163609557</v>
      </c>
    </row>
    <row r="25087" spans="32:37">
      <c r="AF25087" s="831" t="s">
        <v>10518</v>
      </c>
      <c r="AG25087" s="831" t="s">
        <v>2674</v>
      </c>
      <c r="AH25087" s="831" t="s">
        <v>182</v>
      </c>
      <c r="AI25087" s="831">
        <v>0</v>
      </c>
      <c r="AJ25087" s="835">
        <v>41152</v>
      </c>
      <c r="AK25087" s="831">
        <v>50326770</v>
      </c>
    </row>
    <row r="25088" spans="32:37">
      <c r="AF25088" s="831" t="s">
        <v>10519</v>
      </c>
      <c r="AG25088" s="831" t="s">
        <v>2674</v>
      </c>
      <c r="AH25088" s="831" t="s">
        <v>6600</v>
      </c>
      <c r="AI25088" s="831">
        <v>0</v>
      </c>
      <c r="AJ25088" s="835">
        <v>41152</v>
      </c>
      <c r="AK25088" s="831">
        <v>-2146826246</v>
      </c>
    </row>
    <row r="25089" spans="32:37">
      <c r="AF25089" s="831" t="s">
        <v>10520</v>
      </c>
      <c r="AG25089" s="831" t="s">
        <v>2674</v>
      </c>
      <c r="AH25089" s="831" t="s">
        <v>6602</v>
      </c>
      <c r="AI25089" s="831">
        <v>0</v>
      </c>
      <c r="AJ25089" s="835">
        <v>41152</v>
      </c>
      <c r="AK25089" s="831">
        <v>10092049</v>
      </c>
    </row>
    <row r="25090" spans="32:37">
      <c r="AF25090" s="831" t="s">
        <v>10521</v>
      </c>
      <c r="AG25090" s="831" t="s">
        <v>2674</v>
      </c>
      <c r="AH25090" s="831" t="s">
        <v>650</v>
      </c>
      <c r="AI25090" s="831">
        <v>0</v>
      </c>
      <c r="AJ25090" s="835">
        <v>41152</v>
      </c>
      <c r="AK25090" s="831">
        <v>0</v>
      </c>
    </row>
    <row r="25091" spans="32:37">
      <c r="AF25091" s="831" t="s">
        <v>10522</v>
      </c>
      <c r="AG25091" s="831" t="s">
        <v>2674</v>
      </c>
      <c r="AH25091" s="831" t="s">
        <v>655</v>
      </c>
      <c r="AI25091" s="831">
        <v>0</v>
      </c>
      <c r="AJ25091" s="835">
        <v>41152</v>
      </c>
      <c r="AK25091" s="831">
        <v>1649423</v>
      </c>
    </row>
    <row r="25092" spans="32:37">
      <c r="AF25092" s="831" t="s">
        <v>10523</v>
      </c>
      <c r="AG25092" s="831" t="s">
        <v>2674</v>
      </c>
      <c r="AH25092" s="831" t="s">
        <v>546</v>
      </c>
      <c r="AI25092" s="831">
        <v>0</v>
      </c>
      <c r="AJ25092" s="835">
        <v>41182</v>
      </c>
      <c r="AK25092" s="831">
        <v>367084945</v>
      </c>
    </row>
    <row r="25093" spans="32:37">
      <c r="AF25093" s="831" t="s">
        <v>10524</v>
      </c>
      <c r="AG25093" s="831" t="s">
        <v>2674</v>
      </c>
      <c r="AH25093" s="831" t="s">
        <v>370</v>
      </c>
      <c r="AI25093" s="831">
        <v>0</v>
      </c>
      <c r="AJ25093" s="835">
        <v>41182</v>
      </c>
      <c r="AK25093" s="831">
        <v>456586970</v>
      </c>
    </row>
    <row r="25094" spans="32:37">
      <c r="AF25094" s="831" t="s">
        <v>10525</v>
      </c>
      <c r="AG25094" s="831" t="s">
        <v>2674</v>
      </c>
      <c r="AH25094" s="831" t="s">
        <v>126</v>
      </c>
      <c r="AI25094" s="831">
        <v>0</v>
      </c>
      <c r="AJ25094" s="835">
        <v>41182</v>
      </c>
      <c r="AK25094" s="831">
        <v>97409403</v>
      </c>
    </row>
    <row r="25095" spans="32:37">
      <c r="AF25095" s="831" t="s">
        <v>10526</v>
      </c>
      <c r="AG25095" s="831" t="s">
        <v>2674</v>
      </c>
      <c r="AH25095" s="831" t="s">
        <v>268</v>
      </c>
      <c r="AI25095" s="831">
        <v>0</v>
      </c>
      <c r="AJ25095" s="835">
        <v>41182</v>
      </c>
      <c r="AK25095" s="831">
        <v>12086480</v>
      </c>
    </row>
    <row r="25096" spans="32:37">
      <c r="AF25096" s="831" t="s">
        <v>10527</v>
      </c>
      <c r="AG25096" s="831" t="s">
        <v>2674</v>
      </c>
      <c r="AH25096" s="831" t="s">
        <v>547</v>
      </c>
      <c r="AI25096" s="831">
        <v>0</v>
      </c>
      <c r="AJ25096" s="835">
        <v>41182</v>
      </c>
      <c r="AK25096" s="831">
        <v>0</v>
      </c>
    </row>
    <row r="25097" spans="32:37">
      <c r="AF25097" s="831" t="s">
        <v>10528</v>
      </c>
      <c r="AG25097" s="831" t="s">
        <v>2674</v>
      </c>
      <c r="AH25097" s="831" t="s">
        <v>548</v>
      </c>
      <c r="AI25097" s="831">
        <v>0</v>
      </c>
      <c r="AJ25097" s="835">
        <v>41182</v>
      </c>
      <c r="AK25097" s="831">
        <v>0</v>
      </c>
    </row>
    <row r="25098" spans="32:37">
      <c r="AF25098" s="831" t="s">
        <v>10529</v>
      </c>
      <c r="AG25098" s="831" t="s">
        <v>2674</v>
      </c>
      <c r="AH25098" s="831" t="s">
        <v>549</v>
      </c>
      <c r="AI25098" s="831">
        <v>0</v>
      </c>
      <c r="AJ25098" s="835">
        <v>41182</v>
      </c>
      <c r="AK25098" s="831">
        <v>0</v>
      </c>
    </row>
    <row r="25099" spans="32:37">
      <c r="AF25099" s="831" t="s">
        <v>10530</v>
      </c>
      <c r="AG25099" s="831" t="s">
        <v>2674</v>
      </c>
      <c r="AH25099" s="831" t="s">
        <v>192</v>
      </c>
      <c r="AI25099" s="831">
        <v>0</v>
      </c>
      <c r="AJ25099" s="835">
        <v>41182</v>
      </c>
      <c r="AK25099" s="831">
        <v>-9429800</v>
      </c>
    </row>
    <row r="25100" spans="32:37">
      <c r="AF25100" s="831" t="s">
        <v>10531</v>
      </c>
      <c r="AG25100" s="831" t="s">
        <v>2674</v>
      </c>
      <c r="AH25100" s="831" t="s">
        <v>558</v>
      </c>
      <c r="AI25100" s="831">
        <v>0</v>
      </c>
      <c r="AJ25100" s="835">
        <v>41182</v>
      </c>
      <c r="AK25100" s="831">
        <v>359177567</v>
      </c>
    </row>
    <row r="25101" spans="32:37">
      <c r="AF25101" s="831" t="s">
        <v>10532</v>
      </c>
      <c r="AG25101" s="831" t="s">
        <v>2674</v>
      </c>
      <c r="AH25101" s="831" t="s">
        <v>65</v>
      </c>
      <c r="AI25101" s="831">
        <v>0</v>
      </c>
      <c r="AJ25101" s="835">
        <v>41182</v>
      </c>
      <c r="AK25101" s="831">
        <v>71268198</v>
      </c>
    </row>
    <row r="25102" spans="32:37">
      <c r="AF25102" s="831" t="s">
        <v>10533</v>
      </c>
      <c r="AG25102" s="831" t="s">
        <v>2674</v>
      </c>
      <c r="AH25102" s="831" t="s">
        <v>89</v>
      </c>
      <c r="AI25102" s="831">
        <v>0</v>
      </c>
      <c r="AJ25102" s="835">
        <v>41182</v>
      </c>
      <c r="AK25102" s="831">
        <v>122822</v>
      </c>
    </row>
    <row r="25103" spans="32:37">
      <c r="AF25103" s="831" t="s">
        <v>10534</v>
      </c>
      <c r="AG25103" s="831" t="s">
        <v>2674</v>
      </c>
      <c r="AH25103" s="831" t="s">
        <v>557</v>
      </c>
      <c r="AI25103" s="831">
        <v>0</v>
      </c>
      <c r="AJ25103" s="835">
        <v>41182</v>
      </c>
      <c r="AK25103" s="831">
        <v>124710</v>
      </c>
    </row>
    <row r="25104" spans="32:37">
      <c r="AF25104" s="831" t="s">
        <v>10535</v>
      </c>
      <c r="AG25104" s="831" t="s">
        <v>2674</v>
      </c>
      <c r="AH25104" s="831" t="s">
        <v>29</v>
      </c>
      <c r="AI25104" s="831">
        <v>0</v>
      </c>
      <c r="AJ25104" s="835">
        <v>41182</v>
      </c>
      <c r="AK25104" s="831">
        <v>2101787</v>
      </c>
    </row>
    <row r="25105" spans="32:37">
      <c r="AF25105" s="831" t="s">
        <v>10536</v>
      </c>
      <c r="AG25105" s="831" t="s">
        <v>2674</v>
      </c>
      <c r="AH25105" s="831" t="s">
        <v>2688</v>
      </c>
      <c r="AI25105" s="831">
        <v>0</v>
      </c>
      <c r="AJ25105" s="835">
        <v>41182</v>
      </c>
      <c r="AK25105" s="831">
        <v>2502472</v>
      </c>
    </row>
    <row r="25106" spans="32:37">
      <c r="AF25106" s="831" t="s">
        <v>10537</v>
      </c>
      <c r="AG25106" s="831" t="s">
        <v>2674</v>
      </c>
      <c r="AH25106" s="831" t="s">
        <v>556</v>
      </c>
      <c r="AI25106" s="831">
        <v>0</v>
      </c>
      <c r="AJ25106" s="835">
        <v>41182</v>
      </c>
      <c r="AK25106" s="831">
        <v>902857</v>
      </c>
    </row>
    <row r="25107" spans="32:37">
      <c r="AF25107" s="831" t="s">
        <v>10538</v>
      </c>
      <c r="AG25107" s="831" t="s">
        <v>2674</v>
      </c>
      <c r="AH25107" s="831" t="s">
        <v>555</v>
      </c>
      <c r="AI25107" s="831">
        <v>0</v>
      </c>
      <c r="AJ25107" s="835">
        <v>41182</v>
      </c>
      <c r="AK25107" s="831">
        <v>230223270</v>
      </c>
    </row>
    <row r="25108" spans="32:37">
      <c r="AF25108" s="831" t="s">
        <v>10539</v>
      </c>
      <c r="AG25108" s="831" t="s">
        <v>2674</v>
      </c>
      <c r="AH25108" s="831" t="s">
        <v>554</v>
      </c>
      <c r="AI25108" s="831">
        <v>0</v>
      </c>
      <c r="AJ25108" s="835">
        <v>41182</v>
      </c>
      <c r="AK25108" s="831">
        <v>219562790</v>
      </c>
    </row>
    <row r="25109" spans="32:37">
      <c r="AF25109" s="831" t="s">
        <v>10540</v>
      </c>
      <c r="AG25109" s="831" t="s">
        <v>2674</v>
      </c>
      <c r="AH25109" s="831" t="s">
        <v>553</v>
      </c>
      <c r="AI25109" s="831">
        <v>0</v>
      </c>
      <c r="AJ25109" s="835">
        <v>41182</v>
      </c>
      <c r="AK25109" s="831">
        <v>0</v>
      </c>
    </row>
    <row r="25110" spans="32:37">
      <c r="AF25110" s="831" t="s">
        <v>10541</v>
      </c>
      <c r="AG25110" s="831" t="s">
        <v>2674</v>
      </c>
      <c r="AH25110" s="831" t="s">
        <v>552</v>
      </c>
      <c r="AI25110" s="831">
        <v>0</v>
      </c>
      <c r="AJ25110" s="835">
        <v>41182</v>
      </c>
      <c r="AK25110" s="831">
        <v>0</v>
      </c>
    </row>
    <row r="25111" spans="32:37">
      <c r="AF25111" s="831" t="s">
        <v>10542</v>
      </c>
      <c r="AG25111" s="831" t="s">
        <v>2674</v>
      </c>
      <c r="AH25111" s="831" t="s">
        <v>551</v>
      </c>
      <c r="AI25111" s="831">
        <v>0</v>
      </c>
      <c r="AJ25111" s="835">
        <v>41182</v>
      </c>
      <c r="AK25111" s="831">
        <v>1960032</v>
      </c>
    </row>
    <row r="25112" spans="32:37">
      <c r="AF25112" s="831" t="s">
        <v>10543</v>
      </c>
      <c r="AG25112" s="831" t="s">
        <v>2674</v>
      </c>
      <c r="AH25112" s="831" t="s">
        <v>550</v>
      </c>
      <c r="AI25112" s="831">
        <v>0</v>
      </c>
      <c r="AJ25112" s="835">
        <v>41182</v>
      </c>
      <c r="AK25112" s="831">
        <v>95414973</v>
      </c>
    </row>
    <row r="25113" spans="32:37">
      <c r="AF25113" s="831" t="s">
        <v>10544</v>
      </c>
      <c r="AG25113" s="831" t="s">
        <v>2674</v>
      </c>
      <c r="AH25113" s="831" t="s">
        <v>562</v>
      </c>
      <c r="AI25113" s="831">
        <v>0</v>
      </c>
      <c r="AJ25113" s="835">
        <v>41182</v>
      </c>
      <c r="AK25113" s="831">
        <v>0.78464999999999996</v>
      </c>
    </row>
    <row r="25114" spans="32:37">
      <c r="AF25114" s="831" t="s">
        <v>10545</v>
      </c>
      <c r="AG25114" s="831" t="s">
        <v>2674</v>
      </c>
      <c r="AH25114" s="831" t="s">
        <v>2698</v>
      </c>
      <c r="AI25114" s="831">
        <v>0</v>
      </c>
      <c r="AJ25114" s="835">
        <v>41182</v>
      </c>
      <c r="AK25114" s="831">
        <v>0.78449999999999998</v>
      </c>
    </row>
    <row r="25115" spans="32:37">
      <c r="AF25115" s="831" t="s">
        <v>10546</v>
      </c>
      <c r="AG25115" s="831" t="s">
        <v>2674</v>
      </c>
      <c r="AH25115" s="831" t="s">
        <v>560</v>
      </c>
      <c r="AI25115" s="831">
        <v>0</v>
      </c>
      <c r="AJ25115" s="835">
        <v>41182</v>
      </c>
      <c r="AK25115" s="831">
        <v>0.78534999999999999</v>
      </c>
    </row>
    <row r="25116" spans="32:37">
      <c r="AF25116" s="831" t="s">
        <v>10547</v>
      </c>
      <c r="AG25116" s="831" t="s">
        <v>2674</v>
      </c>
      <c r="AH25116" s="831" t="s">
        <v>559</v>
      </c>
      <c r="AI25116" s="831">
        <v>0</v>
      </c>
      <c r="AJ25116" s="835">
        <v>41182</v>
      </c>
      <c r="AK25116" s="831">
        <v>0.78557083333333333</v>
      </c>
    </row>
    <row r="25117" spans="32:37">
      <c r="AF25117" s="831" t="s">
        <v>10548</v>
      </c>
      <c r="AG25117" s="831" t="s">
        <v>2674</v>
      </c>
      <c r="AH25117" s="831" t="s">
        <v>568</v>
      </c>
      <c r="AI25117" s="831">
        <v>0</v>
      </c>
      <c r="AJ25117" s="835">
        <v>41182</v>
      </c>
      <c r="AK25117" s="831">
        <v>0</v>
      </c>
    </row>
    <row r="25118" spans="32:37">
      <c r="AF25118" s="831" t="s">
        <v>10549</v>
      </c>
      <c r="AG25118" s="831" t="s">
        <v>2674</v>
      </c>
      <c r="AH25118" s="831" t="s">
        <v>569</v>
      </c>
      <c r="AI25118" s="831">
        <v>0</v>
      </c>
      <c r="AJ25118" s="835">
        <v>41182</v>
      </c>
      <c r="AK25118" s="831">
        <v>0</v>
      </c>
    </row>
    <row r="25119" spans="32:37">
      <c r="AF25119" s="831" t="s">
        <v>10550</v>
      </c>
      <c r="AG25119" s="831" t="s">
        <v>2674</v>
      </c>
      <c r="AH25119" s="831" t="s">
        <v>570</v>
      </c>
      <c r="AI25119" s="831">
        <v>0</v>
      </c>
      <c r="AJ25119" s="835">
        <v>41182</v>
      </c>
      <c r="AK25119" s="831">
        <v>0</v>
      </c>
    </row>
    <row r="25120" spans="32:37">
      <c r="AF25120" s="831" t="s">
        <v>10551</v>
      </c>
      <c r="AG25120" s="831" t="s">
        <v>2674</v>
      </c>
      <c r="AH25120" s="831" t="s">
        <v>571</v>
      </c>
      <c r="AI25120" s="831">
        <v>0</v>
      </c>
      <c r="AJ25120" s="835">
        <v>41182</v>
      </c>
      <c r="AK25120" s="831">
        <v>0</v>
      </c>
    </row>
    <row r="25121" spans="32:37">
      <c r="AF25121" s="831" t="s">
        <v>10552</v>
      </c>
      <c r="AG25121" s="831" t="s">
        <v>2674</v>
      </c>
      <c r="AH25121" s="831" t="s">
        <v>573</v>
      </c>
      <c r="AI25121" s="831">
        <v>0</v>
      </c>
      <c r="AJ25121" s="835">
        <v>41182</v>
      </c>
      <c r="AK25121" s="831">
        <v>0</v>
      </c>
    </row>
    <row r="25122" spans="32:37">
      <c r="AF25122" s="831" t="s">
        <v>10553</v>
      </c>
      <c r="AG25122" s="831" t="s">
        <v>2674</v>
      </c>
      <c r="AH25122" s="831" t="s">
        <v>574</v>
      </c>
      <c r="AI25122" s="831">
        <v>0</v>
      </c>
      <c r="AJ25122" s="835">
        <v>41182</v>
      </c>
      <c r="AK25122" s="831">
        <v>0</v>
      </c>
    </row>
    <row r="25123" spans="32:37">
      <c r="AF25123" s="831" t="s">
        <v>10554</v>
      </c>
      <c r="AG25123" s="831" t="s">
        <v>2674</v>
      </c>
      <c r="AH25123" s="831" t="s">
        <v>575</v>
      </c>
      <c r="AI25123" s="831">
        <v>0</v>
      </c>
      <c r="AJ25123" s="835">
        <v>41182</v>
      </c>
      <c r="AK25123" s="831">
        <v>0</v>
      </c>
    </row>
    <row r="25124" spans="32:37">
      <c r="AF25124" s="831" t="s">
        <v>10555</v>
      </c>
      <c r="AG25124" s="831" t="s">
        <v>2674</v>
      </c>
      <c r="AH25124" s="831" t="s">
        <v>576</v>
      </c>
      <c r="AI25124" s="831">
        <v>0</v>
      </c>
      <c r="AJ25124" s="835">
        <v>41182</v>
      </c>
      <c r="AK25124" s="831">
        <v>0</v>
      </c>
    </row>
    <row r="25125" spans="32:37">
      <c r="AF25125" s="831" t="s">
        <v>10556</v>
      </c>
      <c r="AG25125" s="831" t="s">
        <v>2674</v>
      </c>
      <c r="AH25125" s="831" t="s">
        <v>572</v>
      </c>
      <c r="AI25125" s="831">
        <v>0</v>
      </c>
      <c r="AJ25125" s="835">
        <v>41182</v>
      </c>
      <c r="AK25125" s="831">
        <v>-2146826246</v>
      </c>
    </row>
    <row r="25126" spans="32:37">
      <c r="AF25126" s="831" t="s">
        <v>10557</v>
      </c>
      <c r="AG25126" s="831" t="s">
        <v>2674</v>
      </c>
      <c r="AH25126" s="831" t="s">
        <v>577</v>
      </c>
      <c r="AI25126" s="831">
        <v>0</v>
      </c>
      <c r="AJ25126" s="835">
        <v>41182</v>
      </c>
      <c r="AK25126" s="831">
        <v>-2146826246</v>
      </c>
    </row>
    <row r="25127" spans="32:37">
      <c r="AF25127" s="831" t="s">
        <v>10558</v>
      </c>
      <c r="AG25127" s="831" t="s">
        <v>2674</v>
      </c>
      <c r="AH25127" s="831" t="s">
        <v>3042</v>
      </c>
      <c r="AI25127" s="831">
        <v>0</v>
      </c>
      <c r="AJ25127" s="835">
        <v>41182</v>
      </c>
      <c r="AK25127" s="831">
        <v>-2146826246</v>
      </c>
    </row>
    <row r="25128" spans="32:37">
      <c r="AF25128" s="831" t="s">
        <v>10559</v>
      </c>
      <c r="AG25128" s="831" t="s">
        <v>2674</v>
      </c>
      <c r="AH25128" s="831" t="s">
        <v>3044</v>
      </c>
      <c r="AI25128" s="831">
        <v>0</v>
      </c>
      <c r="AJ25128" s="835">
        <v>41182</v>
      </c>
      <c r="AK25128" s="831">
        <v>-2146826246</v>
      </c>
    </row>
    <row r="25129" spans="32:37">
      <c r="AF25129" s="831" t="s">
        <v>10560</v>
      </c>
      <c r="AG25129" s="831" t="s">
        <v>2674</v>
      </c>
      <c r="AH25129" s="831" t="s">
        <v>580</v>
      </c>
      <c r="AI25129" s="831">
        <v>0</v>
      </c>
      <c r="AJ25129" s="835">
        <v>41182</v>
      </c>
      <c r="AK25129" s="831">
        <v>-2146826246</v>
      </c>
    </row>
    <row r="25130" spans="32:37">
      <c r="AF25130" s="831" t="s">
        <v>10561</v>
      </c>
      <c r="AG25130" s="831" t="s">
        <v>2674</v>
      </c>
      <c r="AH25130" s="831" t="s">
        <v>581</v>
      </c>
      <c r="AI25130" s="831">
        <v>0</v>
      </c>
      <c r="AJ25130" s="835">
        <v>41182</v>
      </c>
      <c r="AK25130" s="831">
        <v>-2146826246</v>
      </c>
    </row>
    <row r="25131" spans="32:37">
      <c r="AF25131" s="831" t="s">
        <v>10562</v>
      </c>
      <c r="AG25131" s="831" t="s">
        <v>2674</v>
      </c>
      <c r="AH25131" s="831" t="s">
        <v>105</v>
      </c>
      <c r="AI25131" s="831">
        <v>0</v>
      </c>
      <c r="AJ25131" s="835">
        <v>41182</v>
      </c>
      <c r="AK25131" s="831">
        <v>185303362</v>
      </c>
    </row>
    <row r="25132" spans="32:37">
      <c r="AF25132" s="831" t="s">
        <v>10563</v>
      </c>
      <c r="AG25132" s="831" t="s">
        <v>2674</v>
      </c>
      <c r="AH25132" s="831" t="s">
        <v>3049</v>
      </c>
      <c r="AI25132" s="831">
        <v>0</v>
      </c>
      <c r="AJ25132" s="835">
        <v>41182</v>
      </c>
      <c r="AK25132" s="831">
        <v>347265603</v>
      </c>
    </row>
    <row r="25133" spans="32:37">
      <c r="AF25133" s="831" t="s">
        <v>10564</v>
      </c>
      <c r="AG25133" s="831" t="s">
        <v>2674</v>
      </c>
      <c r="AH25133" s="831" t="s">
        <v>103</v>
      </c>
      <c r="AI25133" s="831">
        <v>0</v>
      </c>
      <c r="AJ25133" s="835">
        <v>41182</v>
      </c>
      <c r="AK25133" s="831">
        <v>161962241</v>
      </c>
    </row>
    <row r="25134" spans="32:37">
      <c r="AF25134" s="831" t="s">
        <v>10565</v>
      </c>
      <c r="AG25134" s="831" t="s">
        <v>2674</v>
      </c>
      <c r="AH25134" s="831" t="s">
        <v>182</v>
      </c>
      <c r="AI25134" s="831">
        <v>0</v>
      </c>
      <c r="AJ25134" s="835">
        <v>41182</v>
      </c>
      <c r="AK25134" s="831">
        <v>49982530.666666664</v>
      </c>
    </row>
    <row r="25135" spans="32:37">
      <c r="AF25135" s="831" t="s">
        <v>10566</v>
      </c>
      <c r="AG25135" s="831" t="s">
        <v>2674</v>
      </c>
      <c r="AH25135" s="831" t="s">
        <v>6600</v>
      </c>
      <c r="AI25135" s="831">
        <v>0</v>
      </c>
      <c r="AJ25135" s="835">
        <v>41182</v>
      </c>
      <c r="AK25135" s="831">
        <v>-2146826246</v>
      </c>
    </row>
    <row r="25136" spans="32:37">
      <c r="AF25136" s="831" t="s">
        <v>10567</v>
      </c>
      <c r="AG25136" s="831" t="s">
        <v>2674</v>
      </c>
      <c r="AH25136" s="831" t="s">
        <v>6602</v>
      </c>
      <c r="AI25136" s="831">
        <v>0</v>
      </c>
      <c r="AJ25136" s="835">
        <v>41182</v>
      </c>
      <c r="AK25136" s="831">
        <v>12086480</v>
      </c>
    </row>
    <row r="25137" spans="32:37">
      <c r="AF25137" s="831" t="s">
        <v>10568</v>
      </c>
      <c r="AG25137" s="831" t="s">
        <v>2674</v>
      </c>
      <c r="AH25137" s="831" t="s">
        <v>650</v>
      </c>
      <c r="AI25137" s="831">
        <v>0</v>
      </c>
      <c r="AJ25137" s="835">
        <v>41182</v>
      </c>
      <c r="AK25137" s="831">
        <v>0</v>
      </c>
    </row>
    <row r="25138" spans="32:37">
      <c r="AF25138" s="831" t="s">
        <v>10569</v>
      </c>
      <c r="AG25138" s="831" t="s">
        <v>2674</v>
      </c>
      <c r="AH25138" s="831" t="s">
        <v>655</v>
      </c>
      <c r="AI25138" s="831">
        <v>0</v>
      </c>
      <c r="AJ25138" s="835">
        <v>41182</v>
      </c>
      <c r="AK25138" s="831">
        <v>1640278</v>
      </c>
    </row>
    <row r="25139" spans="32:37">
      <c r="AF25139" s="831" t="s">
        <v>10570</v>
      </c>
      <c r="AG25139" s="831" t="s">
        <v>2674</v>
      </c>
      <c r="AH25139" s="831" t="s">
        <v>546</v>
      </c>
      <c r="AI25139" s="831">
        <v>0</v>
      </c>
      <c r="AJ25139" s="835">
        <v>41213</v>
      </c>
      <c r="AK25139" s="831">
        <v>376404251</v>
      </c>
    </row>
    <row r="25140" spans="32:37">
      <c r="AF25140" s="831" t="s">
        <v>10571</v>
      </c>
      <c r="AG25140" s="831" t="s">
        <v>2674</v>
      </c>
      <c r="AH25140" s="831" t="s">
        <v>370</v>
      </c>
      <c r="AI25140" s="831">
        <v>0</v>
      </c>
      <c r="AJ25140" s="835">
        <v>41213</v>
      </c>
      <c r="AK25140" s="831">
        <v>453336865</v>
      </c>
    </row>
    <row r="25141" spans="32:37">
      <c r="AF25141" s="831" t="s">
        <v>10572</v>
      </c>
      <c r="AG25141" s="831" t="s">
        <v>2674</v>
      </c>
      <c r="AH25141" s="831" t="s">
        <v>126</v>
      </c>
      <c r="AI25141" s="831">
        <v>0</v>
      </c>
      <c r="AJ25141" s="835">
        <v>41213</v>
      </c>
      <c r="AK25141" s="831">
        <v>99431431</v>
      </c>
    </row>
    <row r="25142" spans="32:37">
      <c r="AF25142" s="831" t="s">
        <v>10573</v>
      </c>
      <c r="AG25142" s="831" t="s">
        <v>2674</v>
      </c>
      <c r="AH25142" s="831" t="s">
        <v>268</v>
      </c>
      <c r="AI25142" s="831">
        <v>0</v>
      </c>
      <c r="AJ25142" s="835">
        <v>41213</v>
      </c>
      <c r="AK25142" s="831">
        <v>14108507</v>
      </c>
    </row>
    <row r="25143" spans="32:37">
      <c r="AF25143" s="831" t="s">
        <v>10574</v>
      </c>
      <c r="AG25143" s="831" t="s">
        <v>2674</v>
      </c>
      <c r="AH25143" s="831" t="s">
        <v>547</v>
      </c>
      <c r="AI25143" s="831">
        <v>0</v>
      </c>
      <c r="AJ25143" s="835">
        <v>41213</v>
      </c>
      <c r="AK25143" s="831">
        <v>0</v>
      </c>
    </row>
    <row r="25144" spans="32:37">
      <c r="AF25144" s="831" t="s">
        <v>10575</v>
      </c>
      <c r="AG25144" s="831" t="s">
        <v>2674</v>
      </c>
      <c r="AH25144" s="831" t="s">
        <v>548</v>
      </c>
      <c r="AI25144" s="831">
        <v>0</v>
      </c>
      <c r="AJ25144" s="835">
        <v>41213</v>
      </c>
      <c r="AK25144" s="831">
        <v>0</v>
      </c>
    </row>
    <row r="25145" spans="32:37">
      <c r="AF25145" s="831" t="s">
        <v>10576</v>
      </c>
      <c r="AG25145" s="831" t="s">
        <v>2674</v>
      </c>
      <c r="AH25145" s="831" t="s">
        <v>549</v>
      </c>
      <c r="AI25145" s="831">
        <v>0</v>
      </c>
      <c r="AJ25145" s="835">
        <v>41213</v>
      </c>
      <c r="AK25145" s="831">
        <v>0</v>
      </c>
    </row>
    <row r="25146" spans="32:37">
      <c r="AF25146" s="831" t="s">
        <v>10577</v>
      </c>
      <c r="AG25146" s="831" t="s">
        <v>2674</v>
      </c>
      <c r="AH25146" s="831" t="s">
        <v>192</v>
      </c>
      <c r="AI25146" s="831">
        <v>0</v>
      </c>
      <c r="AJ25146" s="835">
        <v>41213</v>
      </c>
      <c r="AK25146" s="831">
        <v>-9860253</v>
      </c>
    </row>
    <row r="25147" spans="32:37">
      <c r="AF25147" s="831" t="s">
        <v>10578</v>
      </c>
      <c r="AG25147" s="831" t="s">
        <v>2674</v>
      </c>
      <c r="AH25147" s="831" t="s">
        <v>558</v>
      </c>
      <c r="AI25147" s="831">
        <v>0</v>
      </c>
      <c r="AJ25147" s="835">
        <v>41213</v>
      </c>
      <c r="AK25147" s="831">
        <v>353905434</v>
      </c>
    </row>
    <row r="25148" spans="32:37">
      <c r="AF25148" s="831" t="s">
        <v>10579</v>
      </c>
      <c r="AG25148" s="831" t="s">
        <v>2674</v>
      </c>
      <c r="AH25148" s="831" t="s">
        <v>65</v>
      </c>
      <c r="AI25148" s="831">
        <v>0</v>
      </c>
      <c r="AJ25148" s="835">
        <v>41213</v>
      </c>
      <c r="AK25148" s="831">
        <v>80308330</v>
      </c>
    </row>
    <row r="25149" spans="32:37">
      <c r="AF25149" s="831" t="s">
        <v>10580</v>
      </c>
      <c r="AG25149" s="831" t="s">
        <v>2674</v>
      </c>
      <c r="AH25149" s="831" t="s">
        <v>89</v>
      </c>
      <c r="AI25149" s="831">
        <v>0</v>
      </c>
      <c r="AJ25149" s="835">
        <v>41213</v>
      </c>
      <c r="AK25149" s="831">
        <v>123024</v>
      </c>
    </row>
    <row r="25150" spans="32:37">
      <c r="AF25150" s="831" t="s">
        <v>10581</v>
      </c>
      <c r="AG25150" s="831" t="s">
        <v>2674</v>
      </c>
      <c r="AH25150" s="831" t="s">
        <v>557</v>
      </c>
      <c r="AI25150" s="831">
        <v>0</v>
      </c>
      <c r="AJ25150" s="835">
        <v>41213</v>
      </c>
      <c r="AK25150" s="831">
        <v>124999</v>
      </c>
    </row>
    <row r="25151" spans="32:37">
      <c r="AF25151" s="831" t="s">
        <v>10582</v>
      </c>
      <c r="AG25151" s="831" t="s">
        <v>2674</v>
      </c>
      <c r="AH25151" s="831" t="s">
        <v>29</v>
      </c>
      <c r="AI25151" s="831">
        <v>0</v>
      </c>
      <c r="AJ25151" s="835">
        <v>41213</v>
      </c>
      <c r="AK25151" s="831">
        <v>2261339</v>
      </c>
    </row>
    <row r="25152" spans="32:37">
      <c r="AF25152" s="831" t="s">
        <v>10583</v>
      </c>
      <c r="AG25152" s="831" t="s">
        <v>2674</v>
      </c>
      <c r="AH25152" s="831" t="s">
        <v>2688</v>
      </c>
      <c r="AI25152" s="831">
        <v>0</v>
      </c>
      <c r="AJ25152" s="835">
        <v>41213</v>
      </c>
      <c r="AK25152" s="831">
        <v>2480728</v>
      </c>
    </row>
    <row r="25153" spans="32:37">
      <c r="AF25153" s="831" t="s">
        <v>10584</v>
      </c>
      <c r="AG25153" s="831" t="s">
        <v>2674</v>
      </c>
      <c r="AH25153" s="831" t="s">
        <v>556</v>
      </c>
      <c r="AI25153" s="831">
        <v>0</v>
      </c>
      <c r="AJ25153" s="835">
        <v>41213</v>
      </c>
      <c r="AK25153" s="831">
        <v>902857</v>
      </c>
    </row>
    <row r="25154" spans="32:37">
      <c r="AF25154" s="831" t="s">
        <v>10585</v>
      </c>
      <c r="AG25154" s="831" t="s">
        <v>2674</v>
      </c>
      <c r="AH25154" s="831" t="s">
        <v>555</v>
      </c>
      <c r="AI25154" s="831">
        <v>0</v>
      </c>
      <c r="AJ25154" s="835">
        <v>41213</v>
      </c>
      <c r="AK25154" s="831">
        <v>223326560</v>
      </c>
    </row>
    <row r="25155" spans="32:37">
      <c r="AF25155" s="831" t="s">
        <v>10586</v>
      </c>
      <c r="AG25155" s="831" t="s">
        <v>2674</v>
      </c>
      <c r="AH25155" s="831" t="s">
        <v>554</v>
      </c>
      <c r="AI25155" s="831">
        <v>0</v>
      </c>
      <c r="AJ25155" s="835">
        <v>41213</v>
      </c>
      <c r="AK25155" s="831">
        <v>217988230</v>
      </c>
    </row>
    <row r="25156" spans="32:37">
      <c r="AF25156" s="831" t="s">
        <v>10587</v>
      </c>
      <c r="AG25156" s="831" t="s">
        <v>2674</v>
      </c>
      <c r="AH25156" s="831" t="s">
        <v>553</v>
      </c>
      <c r="AI25156" s="831">
        <v>0</v>
      </c>
      <c r="AJ25156" s="835">
        <v>41213</v>
      </c>
      <c r="AK25156" s="831">
        <v>0</v>
      </c>
    </row>
    <row r="25157" spans="32:37">
      <c r="AF25157" s="831" t="s">
        <v>10588</v>
      </c>
      <c r="AG25157" s="831" t="s">
        <v>2674</v>
      </c>
      <c r="AH25157" s="831" t="s">
        <v>552</v>
      </c>
      <c r="AI25157" s="831">
        <v>0</v>
      </c>
      <c r="AJ25157" s="835">
        <v>41213</v>
      </c>
      <c r="AK25157" s="831">
        <v>0</v>
      </c>
    </row>
    <row r="25158" spans="32:37">
      <c r="AF25158" s="831" t="s">
        <v>10589</v>
      </c>
      <c r="AG25158" s="831" t="s">
        <v>2674</v>
      </c>
      <c r="AH25158" s="831" t="s">
        <v>551</v>
      </c>
      <c r="AI25158" s="831">
        <v>0</v>
      </c>
      <c r="AJ25158" s="835">
        <v>41213</v>
      </c>
      <c r="AK25158" s="831">
        <v>2033933</v>
      </c>
    </row>
    <row r="25159" spans="32:37">
      <c r="AF25159" s="831" t="s">
        <v>10590</v>
      </c>
      <c r="AG25159" s="831" t="s">
        <v>2674</v>
      </c>
      <c r="AH25159" s="831" t="s">
        <v>550</v>
      </c>
      <c r="AI25159" s="831">
        <v>0</v>
      </c>
      <c r="AJ25159" s="835">
        <v>41213</v>
      </c>
      <c r="AK25159" s="831">
        <v>97409403</v>
      </c>
    </row>
    <row r="25160" spans="32:37">
      <c r="AF25160" s="831" t="s">
        <v>10591</v>
      </c>
      <c r="AG25160" s="831" t="s">
        <v>2674</v>
      </c>
      <c r="AH25160" s="831" t="s">
        <v>562</v>
      </c>
      <c r="AI25160" s="831">
        <v>0</v>
      </c>
      <c r="AJ25160" s="835">
        <v>41213</v>
      </c>
      <c r="AK25160" s="831">
        <v>0.78434999999999999</v>
      </c>
    </row>
    <row r="25161" spans="32:37">
      <c r="AF25161" s="831" t="s">
        <v>10592</v>
      </c>
      <c r="AG25161" s="831" t="s">
        <v>2674</v>
      </c>
      <c r="AH25161" s="831" t="s">
        <v>2698</v>
      </c>
      <c r="AI25161" s="831">
        <v>0</v>
      </c>
      <c r="AJ25161" s="835">
        <v>41213</v>
      </c>
      <c r="AK25161" s="831">
        <v>0.78464999999999996</v>
      </c>
    </row>
    <row r="25162" spans="32:37">
      <c r="AF25162" s="831" t="s">
        <v>10593</v>
      </c>
      <c r="AG25162" s="831" t="s">
        <v>2674</v>
      </c>
      <c r="AH25162" s="831" t="s">
        <v>560</v>
      </c>
      <c r="AI25162" s="831">
        <v>0</v>
      </c>
      <c r="AJ25162" s="835">
        <v>41213</v>
      </c>
      <c r="AK25162" s="831">
        <v>0.78525</v>
      </c>
    </row>
    <row r="25163" spans="32:37">
      <c r="AF25163" s="831" t="s">
        <v>10594</v>
      </c>
      <c r="AG25163" s="831" t="s">
        <v>2674</v>
      </c>
      <c r="AH25163" s="831" t="s">
        <v>559</v>
      </c>
      <c r="AI25163" s="831">
        <v>0</v>
      </c>
      <c r="AJ25163" s="835">
        <v>41213</v>
      </c>
      <c r="AK25163" s="831">
        <v>0.78536666666666666</v>
      </c>
    </row>
    <row r="25164" spans="32:37">
      <c r="AF25164" s="831" t="s">
        <v>10595</v>
      </c>
      <c r="AG25164" s="831" t="s">
        <v>2674</v>
      </c>
      <c r="AH25164" s="831" t="s">
        <v>568</v>
      </c>
      <c r="AI25164" s="831">
        <v>0</v>
      </c>
      <c r="AJ25164" s="835">
        <v>41213</v>
      </c>
      <c r="AK25164" s="831">
        <v>0</v>
      </c>
    </row>
    <row r="25165" spans="32:37">
      <c r="AF25165" s="831" t="s">
        <v>10596</v>
      </c>
      <c r="AG25165" s="831" t="s">
        <v>2674</v>
      </c>
      <c r="AH25165" s="831" t="s">
        <v>569</v>
      </c>
      <c r="AI25165" s="831">
        <v>0</v>
      </c>
      <c r="AJ25165" s="835">
        <v>41213</v>
      </c>
      <c r="AK25165" s="831">
        <v>0</v>
      </c>
    </row>
    <row r="25166" spans="32:37">
      <c r="AF25166" s="831" t="s">
        <v>10597</v>
      </c>
      <c r="AG25166" s="831" t="s">
        <v>2674</v>
      </c>
      <c r="AH25166" s="831" t="s">
        <v>570</v>
      </c>
      <c r="AI25166" s="831">
        <v>0</v>
      </c>
      <c r="AJ25166" s="835">
        <v>41213</v>
      </c>
      <c r="AK25166" s="831">
        <v>0</v>
      </c>
    </row>
    <row r="25167" spans="32:37">
      <c r="AF25167" s="831" t="s">
        <v>10598</v>
      </c>
      <c r="AG25167" s="831" t="s">
        <v>2674</v>
      </c>
      <c r="AH25167" s="831" t="s">
        <v>571</v>
      </c>
      <c r="AI25167" s="831">
        <v>0</v>
      </c>
      <c r="AJ25167" s="835">
        <v>41213</v>
      </c>
      <c r="AK25167" s="831">
        <v>0</v>
      </c>
    </row>
    <row r="25168" spans="32:37">
      <c r="AF25168" s="831" t="s">
        <v>10599</v>
      </c>
      <c r="AG25168" s="831" t="s">
        <v>2674</v>
      </c>
      <c r="AH25168" s="831" t="s">
        <v>573</v>
      </c>
      <c r="AI25168" s="831">
        <v>0</v>
      </c>
      <c r="AJ25168" s="835">
        <v>41213</v>
      </c>
      <c r="AK25168" s="831">
        <v>0</v>
      </c>
    </row>
    <row r="25169" spans="32:37">
      <c r="AF25169" s="831" t="s">
        <v>10600</v>
      </c>
      <c r="AG25169" s="831" t="s">
        <v>2674</v>
      </c>
      <c r="AH25169" s="831" t="s">
        <v>574</v>
      </c>
      <c r="AI25169" s="831">
        <v>0</v>
      </c>
      <c r="AJ25169" s="835">
        <v>41213</v>
      </c>
      <c r="AK25169" s="831">
        <v>0</v>
      </c>
    </row>
    <row r="25170" spans="32:37">
      <c r="AF25170" s="831" t="s">
        <v>10601</v>
      </c>
      <c r="AG25170" s="831" t="s">
        <v>2674</v>
      </c>
      <c r="AH25170" s="831" t="s">
        <v>575</v>
      </c>
      <c r="AI25170" s="831">
        <v>0</v>
      </c>
      <c r="AJ25170" s="835">
        <v>41213</v>
      </c>
      <c r="AK25170" s="831">
        <v>0</v>
      </c>
    </row>
    <row r="25171" spans="32:37">
      <c r="AF25171" s="831" t="s">
        <v>10602</v>
      </c>
      <c r="AG25171" s="831" t="s">
        <v>2674</v>
      </c>
      <c r="AH25171" s="831" t="s">
        <v>576</v>
      </c>
      <c r="AI25171" s="831">
        <v>0</v>
      </c>
      <c r="AJ25171" s="835">
        <v>41213</v>
      </c>
      <c r="AK25171" s="831">
        <v>0</v>
      </c>
    </row>
    <row r="25172" spans="32:37">
      <c r="AF25172" s="831" t="s">
        <v>10603</v>
      </c>
      <c r="AG25172" s="831" t="s">
        <v>2674</v>
      </c>
      <c r="AH25172" s="831" t="s">
        <v>572</v>
      </c>
      <c r="AI25172" s="831">
        <v>0</v>
      </c>
      <c r="AJ25172" s="835">
        <v>41213</v>
      </c>
      <c r="AK25172" s="831">
        <v>-2146826246</v>
      </c>
    </row>
    <row r="25173" spans="32:37">
      <c r="AF25173" s="831" t="s">
        <v>10604</v>
      </c>
      <c r="AG25173" s="831" t="s">
        <v>2674</v>
      </c>
      <c r="AH25173" s="831" t="s">
        <v>577</v>
      </c>
      <c r="AI25173" s="831">
        <v>0</v>
      </c>
      <c r="AJ25173" s="835">
        <v>41213</v>
      </c>
      <c r="AK25173" s="831">
        <v>-2146826246</v>
      </c>
    </row>
    <row r="25174" spans="32:37">
      <c r="AF25174" s="831" t="s">
        <v>10605</v>
      </c>
      <c r="AG25174" s="831" t="s">
        <v>2674</v>
      </c>
      <c r="AH25174" s="831" t="s">
        <v>3042</v>
      </c>
      <c r="AI25174" s="831">
        <v>0</v>
      </c>
      <c r="AJ25174" s="835">
        <v>41213</v>
      </c>
      <c r="AK25174" s="831">
        <v>-2146826246</v>
      </c>
    </row>
    <row r="25175" spans="32:37">
      <c r="AF25175" s="831" t="s">
        <v>10606</v>
      </c>
      <c r="AG25175" s="831" t="s">
        <v>2674</v>
      </c>
      <c r="AH25175" s="831" t="s">
        <v>3044</v>
      </c>
      <c r="AI25175" s="831">
        <v>0</v>
      </c>
      <c r="AJ25175" s="835">
        <v>41213</v>
      </c>
      <c r="AK25175" s="831">
        <v>-2146826246</v>
      </c>
    </row>
    <row r="25176" spans="32:37">
      <c r="AF25176" s="831" t="s">
        <v>10607</v>
      </c>
      <c r="AG25176" s="831" t="s">
        <v>2674</v>
      </c>
      <c r="AH25176" s="831" t="s">
        <v>580</v>
      </c>
      <c r="AI25176" s="831">
        <v>0</v>
      </c>
      <c r="AJ25176" s="835">
        <v>41213</v>
      </c>
      <c r="AK25176" s="831">
        <v>-2146826246</v>
      </c>
    </row>
    <row r="25177" spans="32:37">
      <c r="AF25177" s="831" t="s">
        <v>10608</v>
      </c>
      <c r="AG25177" s="831" t="s">
        <v>2674</v>
      </c>
      <c r="AH25177" s="831" t="s">
        <v>581</v>
      </c>
      <c r="AI25177" s="831">
        <v>0</v>
      </c>
      <c r="AJ25177" s="835">
        <v>41213</v>
      </c>
      <c r="AK25177" s="831">
        <v>-2146826246</v>
      </c>
    </row>
    <row r="25178" spans="32:37">
      <c r="AF25178" s="831" t="s">
        <v>10609</v>
      </c>
      <c r="AG25178" s="831" t="s">
        <v>2674</v>
      </c>
      <c r="AH25178" s="831" t="s">
        <v>105</v>
      </c>
      <c r="AI25178" s="831">
        <v>0</v>
      </c>
      <c r="AJ25178" s="835">
        <v>41213</v>
      </c>
      <c r="AK25178" s="831">
        <v>184676086</v>
      </c>
    </row>
    <row r="25179" spans="32:37">
      <c r="AF25179" s="831" t="s">
        <v>10610</v>
      </c>
      <c r="AG25179" s="831" t="s">
        <v>2674</v>
      </c>
      <c r="AH25179" s="831" t="s">
        <v>3049</v>
      </c>
      <c r="AI25179" s="831">
        <v>0</v>
      </c>
      <c r="AJ25179" s="835">
        <v>41213</v>
      </c>
      <c r="AK25179" s="831">
        <v>342133447</v>
      </c>
    </row>
    <row r="25180" spans="32:37">
      <c r="AF25180" s="831" t="s">
        <v>10611</v>
      </c>
      <c r="AG25180" s="831" t="s">
        <v>2674</v>
      </c>
      <c r="AH25180" s="831" t="s">
        <v>103</v>
      </c>
      <c r="AI25180" s="831">
        <v>0</v>
      </c>
      <c r="AJ25180" s="835">
        <v>41213</v>
      </c>
      <c r="AK25180" s="831">
        <v>157457361</v>
      </c>
    </row>
    <row r="25181" spans="32:37">
      <c r="AF25181" s="831" t="s">
        <v>10612</v>
      </c>
      <c r="AG25181" s="831" t="s">
        <v>2674</v>
      </c>
      <c r="AH25181" s="831" t="s">
        <v>182</v>
      </c>
      <c r="AI25181" s="831">
        <v>0</v>
      </c>
      <c r="AJ25181" s="835">
        <v>41213</v>
      </c>
      <c r="AK25181" s="831">
        <v>49941625.200000003</v>
      </c>
    </row>
    <row r="25182" spans="32:37">
      <c r="AF25182" s="831" t="s">
        <v>10613</v>
      </c>
      <c r="AG25182" s="831" t="s">
        <v>2674</v>
      </c>
      <c r="AH25182" s="831" t="s">
        <v>6600</v>
      </c>
      <c r="AI25182" s="831">
        <v>0</v>
      </c>
      <c r="AJ25182" s="835">
        <v>41213</v>
      </c>
      <c r="AK25182" s="831">
        <v>-2146826246</v>
      </c>
    </row>
    <row r="25183" spans="32:37">
      <c r="AF25183" s="831" t="s">
        <v>10614</v>
      </c>
      <c r="AG25183" s="831" t="s">
        <v>2674</v>
      </c>
      <c r="AH25183" s="831" t="s">
        <v>6602</v>
      </c>
      <c r="AI25183" s="831">
        <v>0</v>
      </c>
      <c r="AJ25183" s="835">
        <v>41213</v>
      </c>
      <c r="AK25183" s="831">
        <v>14108507</v>
      </c>
    </row>
    <row r="25184" spans="32:37">
      <c r="AF25184" s="831" t="s">
        <v>10615</v>
      </c>
      <c r="AG25184" s="831" t="s">
        <v>2674</v>
      </c>
      <c r="AH25184" s="831" t="s">
        <v>650</v>
      </c>
      <c r="AI25184" s="831">
        <v>0</v>
      </c>
      <c r="AJ25184" s="835">
        <v>41213</v>
      </c>
      <c r="AK25184" s="831">
        <v>0</v>
      </c>
    </row>
    <row r="25185" spans="32:37">
      <c r="AF25185" s="831" t="s">
        <v>10616</v>
      </c>
      <c r="AG25185" s="831" t="s">
        <v>2674</v>
      </c>
      <c r="AH25185" s="831" t="s">
        <v>655</v>
      </c>
      <c r="AI25185" s="831">
        <v>0</v>
      </c>
      <c r="AJ25185" s="835">
        <v>41213</v>
      </c>
      <c r="AK25185" s="831">
        <v>1927116</v>
      </c>
    </row>
    <row r="25186" spans="32:37">
      <c r="AF25186" s="831" t="s">
        <v>10617</v>
      </c>
      <c r="AG25186" s="831" t="s">
        <v>2674</v>
      </c>
      <c r="AH25186" s="831" t="s">
        <v>546</v>
      </c>
      <c r="AI25186" s="831">
        <v>0</v>
      </c>
      <c r="AJ25186" s="835">
        <v>41243</v>
      </c>
      <c r="AK25186" s="831">
        <v>394083786</v>
      </c>
    </row>
    <row r="25187" spans="32:37">
      <c r="AF25187" s="831" t="s">
        <v>10618</v>
      </c>
      <c r="AG25187" s="831" t="s">
        <v>2674</v>
      </c>
      <c r="AH25187" s="831" t="s">
        <v>370</v>
      </c>
      <c r="AI25187" s="831">
        <v>0</v>
      </c>
      <c r="AJ25187" s="835">
        <v>41243</v>
      </c>
      <c r="AK25187" s="831">
        <v>468781857</v>
      </c>
    </row>
    <row r="25188" spans="32:37">
      <c r="AF25188" s="831" t="s">
        <v>10619</v>
      </c>
      <c r="AG25188" s="831" t="s">
        <v>2674</v>
      </c>
      <c r="AH25188" s="831" t="s">
        <v>126</v>
      </c>
      <c r="AI25188" s="831">
        <v>0</v>
      </c>
      <c r="AJ25188" s="835">
        <v>41243</v>
      </c>
      <c r="AK25188" s="831">
        <v>101856827</v>
      </c>
    </row>
    <row r="25189" spans="32:37">
      <c r="AF25189" s="831" t="s">
        <v>10620</v>
      </c>
      <c r="AG25189" s="831" t="s">
        <v>2674</v>
      </c>
      <c r="AH25189" s="831" t="s">
        <v>268</v>
      </c>
      <c r="AI25189" s="831">
        <v>0</v>
      </c>
      <c r="AJ25189" s="835">
        <v>41243</v>
      </c>
      <c r="AK25189" s="831">
        <v>16533903</v>
      </c>
    </row>
    <row r="25190" spans="32:37">
      <c r="AF25190" s="831" t="s">
        <v>10621</v>
      </c>
      <c r="AG25190" s="831" t="s">
        <v>2674</v>
      </c>
      <c r="AH25190" s="831" t="s">
        <v>547</v>
      </c>
      <c r="AI25190" s="831">
        <v>0</v>
      </c>
      <c r="AJ25190" s="835">
        <v>41243</v>
      </c>
      <c r="AK25190" s="831">
        <v>0</v>
      </c>
    </row>
    <row r="25191" spans="32:37">
      <c r="AF25191" s="831" t="s">
        <v>10622</v>
      </c>
      <c r="AG25191" s="831" t="s">
        <v>2674</v>
      </c>
      <c r="AH25191" s="831" t="s">
        <v>548</v>
      </c>
      <c r="AI25191" s="831">
        <v>0</v>
      </c>
      <c r="AJ25191" s="835">
        <v>41243</v>
      </c>
      <c r="AK25191" s="831">
        <v>0</v>
      </c>
    </row>
    <row r="25192" spans="32:37">
      <c r="AF25192" s="831" t="s">
        <v>10623</v>
      </c>
      <c r="AG25192" s="831" t="s">
        <v>2674</v>
      </c>
      <c r="AH25192" s="831" t="s">
        <v>549</v>
      </c>
      <c r="AI25192" s="831">
        <v>0</v>
      </c>
      <c r="AJ25192" s="835">
        <v>41243</v>
      </c>
      <c r="AK25192" s="831">
        <v>0</v>
      </c>
    </row>
    <row r="25193" spans="32:37">
      <c r="AF25193" s="831" t="s">
        <v>10624</v>
      </c>
      <c r="AG25193" s="831" t="s">
        <v>2674</v>
      </c>
      <c r="AH25193" s="831" t="s">
        <v>192</v>
      </c>
      <c r="AI25193" s="831">
        <v>0</v>
      </c>
      <c r="AJ25193" s="835">
        <v>41243</v>
      </c>
      <c r="AK25193" s="831">
        <v>-10079693</v>
      </c>
    </row>
    <row r="25194" spans="32:37">
      <c r="AF25194" s="831" t="s">
        <v>10625</v>
      </c>
      <c r="AG25194" s="831" t="s">
        <v>2674</v>
      </c>
      <c r="AH25194" s="831" t="s">
        <v>558</v>
      </c>
      <c r="AI25194" s="831">
        <v>0</v>
      </c>
      <c r="AJ25194" s="835">
        <v>41243</v>
      </c>
      <c r="AK25194" s="831">
        <v>366925030</v>
      </c>
    </row>
    <row r="25195" spans="32:37">
      <c r="AF25195" s="831" t="s">
        <v>10626</v>
      </c>
      <c r="AG25195" s="831" t="s">
        <v>2674</v>
      </c>
      <c r="AH25195" s="831" t="s">
        <v>65</v>
      </c>
      <c r="AI25195" s="831">
        <v>0</v>
      </c>
      <c r="AJ25195" s="835">
        <v>41243</v>
      </c>
      <c r="AK25195" s="831">
        <v>89510969</v>
      </c>
    </row>
    <row r="25196" spans="32:37">
      <c r="AF25196" s="831" t="s">
        <v>10627</v>
      </c>
      <c r="AG25196" s="831" t="s">
        <v>2674</v>
      </c>
      <c r="AH25196" s="831" t="s">
        <v>89</v>
      </c>
      <c r="AI25196" s="831">
        <v>0</v>
      </c>
      <c r="AJ25196" s="835">
        <v>41243</v>
      </c>
      <c r="AK25196" s="831">
        <v>123534</v>
      </c>
    </row>
    <row r="25197" spans="32:37">
      <c r="AF25197" s="831" t="s">
        <v>10628</v>
      </c>
      <c r="AG25197" s="831" t="s">
        <v>2674</v>
      </c>
      <c r="AH25197" s="831" t="s">
        <v>557</v>
      </c>
      <c r="AI25197" s="831">
        <v>0</v>
      </c>
      <c r="AJ25197" s="835">
        <v>41243</v>
      </c>
      <c r="AK25197" s="831">
        <v>125715</v>
      </c>
    </row>
    <row r="25198" spans="32:37">
      <c r="AF25198" s="831" t="s">
        <v>10629</v>
      </c>
      <c r="AG25198" s="831" t="s">
        <v>2674</v>
      </c>
      <c r="AH25198" s="831" t="s">
        <v>29</v>
      </c>
      <c r="AI25198" s="831">
        <v>0</v>
      </c>
      <c r="AJ25198" s="835">
        <v>41243</v>
      </c>
      <c r="AK25198" s="831">
        <v>2094921</v>
      </c>
    </row>
    <row r="25199" spans="32:37">
      <c r="AF25199" s="831" t="s">
        <v>10630</v>
      </c>
      <c r="AG25199" s="831" t="s">
        <v>2674</v>
      </c>
      <c r="AH25199" s="831" t="s">
        <v>2688</v>
      </c>
      <c r="AI25199" s="831">
        <v>0</v>
      </c>
      <c r="AJ25199" s="835">
        <v>41243</v>
      </c>
      <c r="AK25199" s="831">
        <v>2867819</v>
      </c>
    </row>
    <row r="25200" spans="32:37">
      <c r="AF25200" s="831" t="s">
        <v>10631</v>
      </c>
      <c r="AG25200" s="831" t="s">
        <v>2674</v>
      </c>
      <c r="AH25200" s="831" t="s">
        <v>556</v>
      </c>
      <c r="AI25200" s="831">
        <v>0</v>
      </c>
      <c r="AJ25200" s="835">
        <v>41243</v>
      </c>
      <c r="AK25200" s="831">
        <v>902857</v>
      </c>
    </row>
    <row r="25201" spans="32:37">
      <c r="AF25201" s="831" t="s">
        <v>10632</v>
      </c>
      <c r="AG25201" s="831" t="s">
        <v>2674</v>
      </c>
      <c r="AH25201" s="831" t="s">
        <v>555</v>
      </c>
      <c r="AI25201" s="831">
        <v>0</v>
      </c>
      <c r="AJ25201" s="835">
        <v>41243</v>
      </c>
      <c r="AK25201" s="831">
        <v>236413970</v>
      </c>
    </row>
    <row r="25202" spans="32:37">
      <c r="AF25202" s="831" t="s">
        <v>10633</v>
      </c>
      <c r="AG25202" s="831" t="s">
        <v>2674</v>
      </c>
      <c r="AH25202" s="831" t="s">
        <v>554</v>
      </c>
      <c r="AI25202" s="831">
        <v>0</v>
      </c>
      <c r="AJ25202" s="835">
        <v>41243</v>
      </c>
      <c r="AK25202" s="831">
        <v>238298670</v>
      </c>
    </row>
    <row r="25203" spans="32:37">
      <c r="AF25203" s="831" t="s">
        <v>10634</v>
      </c>
      <c r="AG25203" s="831" t="s">
        <v>2674</v>
      </c>
      <c r="AH25203" s="831" t="s">
        <v>553</v>
      </c>
      <c r="AI25203" s="831">
        <v>0</v>
      </c>
      <c r="AJ25203" s="835">
        <v>41243</v>
      </c>
      <c r="AK25203" s="831">
        <v>0</v>
      </c>
    </row>
    <row r="25204" spans="32:37">
      <c r="AF25204" s="831" t="s">
        <v>10635</v>
      </c>
      <c r="AG25204" s="831" t="s">
        <v>2674</v>
      </c>
      <c r="AH25204" s="831" t="s">
        <v>552</v>
      </c>
      <c r="AI25204" s="831">
        <v>0</v>
      </c>
      <c r="AJ25204" s="835">
        <v>41243</v>
      </c>
      <c r="AK25204" s="831">
        <v>0</v>
      </c>
    </row>
    <row r="25205" spans="32:37">
      <c r="AF25205" s="831" t="s">
        <v>10636</v>
      </c>
      <c r="AG25205" s="831" t="s">
        <v>2674</v>
      </c>
      <c r="AH25205" s="831" t="s">
        <v>551</v>
      </c>
      <c r="AI25205" s="831">
        <v>0</v>
      </c>
      <c r="AJ25205" s="835">
        <v>41243</v>
      </c>
      <c r="AK25205" s="831">
        <v>1916351</v>
      </c>
    </row>
    <row r="25206" spans="32:37">
      <c r="AF25206" s="831" t="s">
        <v>10637</v>
      </c>
      <c r="AG25206" s="831" t="s">
        <v>2674</v>
      </c>
      <c r="AH25206" s="831" t="s">
        <v>550</v>
      </c>
      <c r="AI25206" s="831">
        <v>0</v>
      </c>
      <c r="AJ25206" s="835">
        <v>41243</v>
      </c>
      <c r="AK25206" s="831">
        <v>99431431</v>
      </c>
    </row>
    <row r="25207" spans="32:37">
      <c r="AF25207" s="831" t="s">
        <v>10638</v>
      </c>
      <c r="AG25207" s="831" t="s">
        <v>2674</v>
      </c>
      <c r="AH25207" s="831" t="s">
        <v>562</v>
      </c>
      <c r="AI25207" s="831">
        <v>0</v>
      </c>
      <c r="AJ25207" s="835">
        <v>41243</v>
      </c>
      <c r="AK25207" s="831">
        <v>0.78415000000000001</v>
      </c>
    </row>
    <row r="25208" spans="32:37">
      <c r="AF25208" s="831" t="s">
        <v>10639</v>
      </c>
      <c r="AG25208" s="831" t="s">
        <v>2674</v>
      </c>
      <c r="AH25208" s="831" t="s">
        <v>2698</v>
      </c>
      <c r="AI25208" s="831">
        <v>0</v>
      </c>
      <c r="AJ25208" s="835">
        <v>41243</v>
      </c>
      <c r="AK25208" s="831">
        <v>0.78434999999999999</v>
      </c>
    </row>
    <row r="25209" spans="32:37">
      <c r="AF25209" s="831" t="s">
        <v>10640</v>
      </c>
      <c r="AG25209" s="831" t="s">
        <v>2674</v>
      </c>
      <c r="AH25209" s="831" t="s">
        <v>560</v>
      </c>
      <c r="AI25209" s="831">
        <v>0</v>
      </c>
      <c r="AJ25209" s="835">
        <v>41243</v>
      </c>
      <c r="AK25209" s="831">
        <v>0.7851499999999999</v>
      </c>
    </row>
    <row r="25210" spans="32:37">
      <c r="AF25210" s="831" t="s">
        <v>10641</v>
      </c>
      <c r="AG25210" s="831" t="s">
        <v>2674</v>
      </c>
      <c r="AH25210" s="831" t="s">
        <v>559</v>
      </c>
      <c r="AI25210" s="831">
        <v>0</v>
      </c>
      <c r="AJ25210" s="835">
        <v>41243</v>
      </c>
      <c r="AK25210" s="831">
        <v>0.78524166666666673</v>
      </c>
    </row>
    <row r="25211" spans="32:37">
      <c r="AF25211" s="831" t="s">
        <v>10642</v>
      </c>
      <c r="AG25211" s="831" t="s">
        <v>2674</v>
      </c>
      <c r="AH25211" s="831" t="s">
        <v>568</v>
      </c>
      <c r="AI25211" s="831">
        <v>0</v>
      </c>
      <c r="AJ25211" s="835">
        <v>41243</v>
      </c>
      <c r="AK25211" s="831">
        <v>0</v>
      </c>
    </row>
    <row r="25212" spans="32:37">
      <c r="AF25212" s="831" t="s">
        <v>10643</v>
      </c>
      <c r="AG25212" s="831" t="s">
        <v>2674</v>
      </c>
      <c r="AH25212" s="831" t="s">
        <v>569</v>
      </c>
      <c r="AI25212" s="831">
        <v>0</v>
      </c>
      <c r="AJ25212" s="835">
        <v>41243</v>
      </c>
      <c r="AK25212" s="831">
        <v>0</v>
      </c>
    </row>
    <row r="25213" spans="32:37">
      <c r="AF25213" s="831" t="s">
        <v>10644</v>
      </c>
      <c r="AG25213" s="831" t="s">
        <v>2674</v>
      </c>
      <c r="AH25213" s="831" t="s">
        <v>570</v>
      </c>
      <c r="AI25213" s="831">
        <v>0</v>
      </c>
      <c r="AJ25213" s="835">
        <v>41243</v>
      </c>
      <c r="AK25213" s="831">
        <v>0</v>
      </c>
    </row>
    <row r="25214" spans="32:37">
      <c r="AF25214" s="831" t="s">
        <v>10645</v>
      </c>
      <c r="AG25214" s="831" t="s">
        <v>2674</v>
      </c>
      <c r="AH25214" s="831" t="s">
        <v>571</v>
      </c>
      <c r="AI25214" s="831">
        <v>0</v>
      </c>
      <c r="AJ25214" s="835">
        <v>41243</v>
      </c>
      <c r="AK25214" s="831">
        <v>0</v>
      </c>
    </row>
    <row r="25215" spans="32:37">
      <c r="AF25215" s="831" t="s">
        <v>10646</v>
      </c>
      <c r="AG25215" s="831" t="s">
        <v>2674</v>
      </c>
      <c r="AH25215" s="831" t="s">
        <v>573</v>
      </c>
      <c r="AI25215" s="831">
        <v>0</v>
      </c>
      <c r="AJ25215" s="835">
        <v>41243</v>
      </c>
      <c r="AK25215" s="831">
        <v>0</v>
      </c>
    </row>
    <row r="25216" spans="32:37">
      <c r="AF25216" s="831" t="s">
        <v>10647</v>
      </c>
      <c r="AG25216" s="831" t="s">
        <v>2674</v>
      </c>
      <c r="AH25216" s="831" t="s">
        <v>574</v>
      </c>
      <c r="AI25216" s="831">
        <v>0</v>
      </c>
      <c r="AJ25216" s="835">
        <v>41243</v>
      </c>
      <c r="AK25216" s="831">
        <v>0</v>
      </c>
    </row>
    <row r="25217" spans="32:37">
      <c r="AF25217" s="831" t="s">
        <v>10648</v>
      </c>
      <c r="AG25217" s="831" t="s">
        <v>2674</v>
      </c>
      <c r="AH25217" s="831" t="s">
        <v>575</v>
      </c>
      <c r="AI25217" s="831">
        <v>0</v>
      </c>
      <c r="AJ25217" s="835">
        <v>41243</v>
      </c>
      <c r="AK25217" s="831">
        <v>0</v>
      </c>
    </row>
    <row r="25218" spans="32:37">
      <c r="AF25218" s="831" t="s">
        <v>10649</v>
      </c>
      <c r="AG25218" s="831" t="s">
        <v>2674</v>
      </c>
      <c r="AH25218" s="831" t="s">
        <v>576</v>
      </c>
      <c r="AI25218" s="831">
        <v>0</v>
      </c>
      <c r="AJ25218" s="835">
        <v>41243</v>
      </c>
      <c r="AK25218" s="831">
        <v>0</v>
      </c>
    </row>
    <row r="25219" spans="32:37">
      <c r="AF25219" s="831" t="s">
        <v>10650</v>
      </c>
      <c r="AG25219" s="831" t="s">
        <v>2674</v>
      </c>
      <c r="AH25219" s="831" t="s">
        <v>572</v>
      </c>
      <c r="AI25219" s="831">
        <v>0</v>
      </c>
      <c r="AJ25219" s="835">
        <v>41243</v>
      </c>
      <c r="AK25219" s="831">
        <v>-2146826246</v>
      </c>
    </row>
    <row r="25220" spans="32:37">
      <c r="AF25220" s="831" t="s">
        <v>10651</v>
      </c>
      <c r="AG25220" s="831" t="s">
        <v>2674</v>
      </c>
      <c r="AH25220" s="831" t="s">
        <v>577</v>
      </c>
      <c r="AI25220" s="831">
        <v>0</v>
      </c>
      <c r="AJ25220" s="835">
        <v>41243</v>
      </c>
      <c r="AK25220" s="831">
        <v>-2146826246</v>
      </c>
    </row>
    <row r="25221" spans="32:37">
      <c r="AF25221" s="831" t="s">
        <v>10652</v>
      </c>
      <c r="AG25221" s="831" t="s">
        <v>2674</v>
      </c>
      <c r="AH25221" s="831" t="s">
        <v>3042</v>
      </c>
      <c r="AI25221" s="831">
        <v>0</v>
      </c>
      <c r="AJ25221" s="835">
        <v>41243</v>
      </c>
      <c r="AK25221" s="831">
        <v>-2146826246</v>
      </c>
    </row>
    <row r="25222" spans="32:37">
      <c r="AF25222" s="831" t="s">
        <v>10653</v>
      </c>
      <c r="AG25222" s="831" t="s">
        <v>2674</v>
      </c>
      <c r="AH25222" s="831" t="s">
        <v>3044</v>
      </c>
      <c r="AI25222" s="831">
        <v>0</v>
      </c>
      <c r="AJ25222" s="835">
        <v>41243</v>
      </c>
      <c r="AK25222" s="831">
        <v>-2146826246</v>
      </c>
    </row>
    <row r="25223" spans="32:37">
      <c r="AF25223" s="831" t="s">
        <v>10654</v>
      </c>
      <c r="AG25223" s="831" t="s">
        <v>2674</v>
      </c>
      <c r="AH25223" s="831" t="s">
        <v>580</v>
      </c>
      <c r="AI25223" s="831">
        <v>0</v>
      </c>
      <c r="AJ25223" s="835">
        <v>41243</v>
      </c>
      <c r="AK25223" s="831">
        <v>-2146826246</v>
      </c>
    </row>
    <row r="25224" spans="32:37">
      <c r="AF25224" s="831" t="s">
        <v>10655</v>
      </c>
      <c r="AG25224" s="831" t="s">
        <v>2674</v>
      </c>
      <c r="AH25224" s="831" t="s">
        <v>581</v>
      </c>
      <c r="AI25224" s="831">
        <v>0</v>
      </c>
      <c r="AJ25224" s="835">
        <v>41243</v>
      </c>
      <c r="AK25224" s="831">
        <v>-2146826246</v>
      </c>
    </row>
    <row r="25225" spans="32:37">
      <c r="AF25225" s="831" t="s">
        <v>10656</v>
      </c>
      <c r="AG25225" s="831" t="s">
        <v>2674</v>
      </c>
      <c r="AH25225" s="831" t="s">
        <v>105</v>
      </c>
      <c r="AI25225" s="831">
        <v>0</v>
      </c>
      <c r="AJ25225" s="835">
        <v>41243</v>
      </c>
      <c r="AK25225" s="831">
        <v>202127506</v>
      </c>
    </row>
    <row r="25226" spans="32:37">
      <c r="AF25226" s="831" t="s">
        <v>10657</v>
      </c>
      <c r="AG25226" s="831" t="s">
        <v>2674</v>
      </c>
      <c r="AH25226" s="831" t="s">
        <v>3049</v>
      </c>
      <c r="AI25226" s="831">
        <v>0</v>
      </c>
      <c r="AJ25226" s="835">
        <v>41243</v>
      </c>
      <c r="AK25226" s="831">
        <v>355103629</v>
      </c>
    </row>
    <row r="25227" spans="32:37">
      <c r="AF25227" s="831" t="s">
        <v>10658</v>
      </c>
      <c r="AG25227" s="831" t="s">
        <v>2674</v>
      </c>
      <c r="AH25227" s="831" t="s">
        <v>103</v>
      </c>
      <c r="AI25227" s="831">
        <v>0</v>
      </c>
      <c r="AJ25227" s="835">
        <v>41243</v>
      </c>
      <c r="AK25227" s="831">
        <v>152976123</v>
      </c>
    </row>
    <row r="25228" spans="32:37">
      <c r="AF25228" s="831" t="s">
        <v>10659</v>
      </c>
      <c r="AG25228" s="831" t="s">
        <v>2674</v>
      </c>
      <c r="AH25228" s="831" t="s">
        <v>182</v>
      </c>
      <c r="AI25228" s="831">
        <v>0</v>
      </c>
      <c r="AJ25228" s="835">
        <v>41243</v>
      </c>
      <c r="AK25228" s="831">
        <v>50142446.18181818</v>
      </c>
    </row>
    <row r="25229" spans="32:37">
      <c r="AF25229" s="831" t="s">
        <v>10660</v>
      </c>
      <c r="AG25229" s="831" t="s">
        <v>2674</v>
      </c>
      <c r="AH25229" s="831" t="s">
        <v>6600</v>
      </c>
      <c r="AI25229" s="831">
        <v>0</v>
      </c>
      <c r="AJ25229" s="835">
        <v>41243</v>
      </c>
      <c r="AK25229" s="831">
        <v>-2146826246</v>
      </c>
    </row>
    <row r="25230" spans="32:37">
      <c r="AF25230" s="831" t="s">
        <v>10661</v>
      </c>
      <c r="AG25230" s="831" t="s">
        <v>2674</v>
      </c>
      <c r="AH25230" s="831" t="s">
        <v>6602</v>
      </c>
      <c r="AI25230" s="831">
        <v>0</v>
      </c>
      <c r="AJ25230" s="835">
        <v>41243</v>
      </c>
      <c r="AK25230" s="831">
        <v>16533903</v>
      </c>
    </row>
    <row r="25231" spans="32:37">
      <c r="AF25231" s="831" t="s">
        <v>10662</v>
      </c>
      <c r="AG25231" s="831" t="s">
        <v>2674</v>
      </c>
      <c r="AH25231" s="831" t="s">
        <v>650</v>
      </c>
      <c r="AI25231" s="831">
        <v>0</v>
      </c>
      <c r="AJ25231" s="835">
        <v>41243</v>
      </c>
      <c r="AK25231" s="831">
        <v>0</v>
      </c>
    </row>
    <row r="25232" spans="32:37">
      <c r="AF25232" s="831" t="s">
        <v>10663</v>
      </c>
      <c r="AG25232" s="831" t="s">
        <v>2674</v>
      </c>
      <c r="AH25232" s="831" t="s">
        <v>655</v>
      </c>
      <c r="AI25232" s="831">
        <v>0</v>
      </c>
      <c r="AJ25232" s="835">
        <v>41243</v>
      </c>
      <c r="AK25232" s="831">
        <v>1720042</v>
      </c>
    </row>
    <row r="25233" spans="32:37">
      <c r="AF25233" s="831" t="s">
        <v>10664</v>
      </c>
      <c r="AG25233" s="831" t="s">
        <v>2674</v>
      </c>
      <c r="AH25233" s="831" t="s">
        <v>546</v>
      </c>
      <c r="AI25233" s="831">
        <v>0</v>
      </c>
      <c r="AJ25233" s="835">
        <v>41274</v>
      </c>
      <c r="AK25233" s="831">
        <v>412125624</v>
      </c>
    </row>
    <row r="25234" spans="32:37">
      <c r="AF25234" s="831" t="s">
        <v>10665</v>
      </c>
      <c r="AG25234" s="831" t="s">
        <v>2674</v>
      </c>
      <c r="AH25234" s="831" t="s">
        <v>370</v>
      </c>
      <c r="AI25234" s="831">
        <v>0</v>
      </c>
      <c r="AJ25234" s="835">
        <v>41274</v>
      </c>
      <c r="AK25234" s="831">
        <v>515268910</v>
      </c>
    </row>
    <row r="25235" spans="32:37">
      <c r="AF25235" s="831" t="s">
        <v>10666</v>
      </c>
      <c r="AG25235" s="831" t="s">
        <v>2674</v>
      </c>
      <c r="AH25235" s="831" t="s">
        <v>126</v>
      </c>
      <c r="AI25235" s="831">
        <v>0</v>
      </c>
      <c r="AJ25235" s="835">
        <v>41274</v>
      </c>
      <c r="AK25235" s="831">
        <v>101162875</v>
      </c>
    </row>
    <row r="25236" spans="32:37">
      <c r="AF25236" s="831" t="s">
        <v>10667</v>
      </c>
      <c r="AG25236" s="831" t="s">
        <v>2674</v>
      </c>
      <c r="AH25236" s="831" t="s">
        <v>268</v>
      </c>
      <c r="AI25236" s="831">
        <v>0</v>
      </c>
      <c r="AJ25236" s="835">
        <v>41274</v>
      </c>
      <c r="AK25236" s="831">
        <v>15839951</v>
      </c>
    </row>
    <row r="25237" spans="32:37">
      <c r="AF25237" s="831" t="s">
        <v>10668</v>
      </c>
      <c r="AG25237" s="831" t="s">
        <v>2674</v>
      </c>
      <c r="AH25237" s="831" t="s">
        <v>547</v>
      </c>
      <c r="AI25237" s="831">
        <v>0</v>
      </c>
      <c r="AJ25237" s="835">
        <v>41274</v>
      </c>
      <c r="AK25237" s="831">
        <v>0</v>
      </c>
    </row>
    <row r="25238" spans="32:37">
      <c r="AF25238" s="831" t="s">
        <v>10669</v>
      </c>
      <c r="AG25238" s="831" t="s">
        <v>2674</v>
      </c>
      <c r="AH25238" s="831" t="s">
        <v>548</v>
      </c>
      <c r="AI25238" s="831">
        <v>0</v>
      </c>
      <c r="AJ25238" s="835">
        <v>41274</v>
      </c>
      <c r="AK25238" s="831">
        <v>0</v>
      </c>
    </row>
    <row r="25239" spans="32:37">
      <c r="AF25239" s="831" t="s">
        <v>10670</v>
      </c>
      <c r="AG25239" s="831" t="s">
        <v>2674</v>
      </c>
      <c r="AH25239" s="831" t="s">
        <v>549</v>
      </c>
      <c r="AI25239" s="831">
        <v>0</v>
      </c>
      <c r="AJ25239" s="835">
        <v>41274</v>
      </c>
      <c r="AK25239" s="831">
        <v>0</v>
      </c>
    </row>
    <row r="25240" spans="32:37">
      <c r="AF25240" s="831" t="s">
        <v>10671</v>
      </c>
      <c r="AG25240" s="831" t="s">
        <v>2674</v>
      </c>
      <c r="AH25240" s="831" t="s">
        <v>192</v>
      </c>
      <c r="AI25240" s="831">
        <v>0</v>
      </c>
      <c r="AJ25240" s="835">
        <v>41274</v>
      </c>
      <c r="AK25240" s="831">
        <v>-10390612</v>
      </c>
    </row>
    <row r="25241" spans="32:37">
      <c r="AF25241" s="831" t="s">
        <v>10672</v>
      </c>
      <c r="AG25241" s="831" t="s">
        <v>2674</v>
      </c>
      <c r="AH25241" s="831" t="s">
        <v>558</v>
      </c>
      <c r="AI25241" s="831">
        <v>0</v>
      </c>
      <c r="AJ25241" s="835">
        <v>41274</v>
      </c>
      <c r="AK25241" s="831">
        <v>414106035</v>
      </c>
    </row>
    <row r="25242" spans="32:37">
      <c r="AF25242" s="831" t="s">
        <v>10673</v>
      </c>
      <c r="AG25242" s="831" t="s">
        <v>2674</v>
      </c>
      <c r="AH25242" s="831" t="s">
        <v>65</v>
      </c>
      <c r="AI25242" s="831">
        <v>0</v>
      </c>
      <c r="AJ25242" s="835">
        <v>41274</v>
      </c>
      <c r="AK25242" s="831">
        <v>98876380</v>
      </c>
    </row>
    <row r="25243" spans="32:37">
      <c r="AF25243" s="831" t="s">
        <v>10674</v>
      </c>
      <c r="AG25243" s="831" t="s">
        <v>2674</v>
      </c>
      <c r="AH25243" s="831" t="s">
        <v>89</v>
      </c>
      <c r="AI25243" s="831">
        <v>0</v>
      </c>
      <c r="AJ25243" s="835">
        <v>41274</v>
      </c>
      <c r="AK25243" s="831">
        <v>124397</v>
      </c>
    </row>
    <row r="25244" spans="32:37">
      <c r="AF25244" s="831" t="s">
        <v>10675</v>
      </c>
      <c r="AG25244" s="831" t="s">
        <v>2674</v>
      </c>
      <c r="AH25244" s="831" t="s">
        <v>557</v>
      </c>
      <c r="AI25244" s="831">
        <v>0</v>
      </c>
      <c r="AJ25244" s="835">
        <v>41274</v>
      </c>
      <c r="AK25244" s="831">
        <v>127200</v>
      </c>
    </row>
    <row r="25245" spans="32:37">
      <c r="AF25245" s="831" t="s">
        <v>10676</v>
      </c>
      <c r="AG25245" s="831" t="s">
        <v>2674</v>
      </c>
      <c r="AH25245" s="831" t="s">
        <v>29</v>
      </c>
      <c r="AI25245" s="831">
        <v>0</v>
      </c>
      <c r="AJ25245" s="835">
        <v>41274</v>
      </c>
      <c r="AK25245" s="831">
        <v>1921756</v>
      </c>
    </row>
    <row r="25246" spans="32:37">
      <c r="AF25246" s="831" t="s">
        <v>10677</v>
      </c>
      <c r="AG25246" s="831" t="s">
        <v>2674</v>
      </c>
      <c r="AH25246" s="831" t="s">
        <v>2688</v>
      </c>
      <c r="AI25246" s="831">
        <v>0</v>
      </c>
      <c r="AJ25246" s="835">
        <v>41274</v>
      </c>
      <c r="AK25246" s="831">
        <v>2457254</v>
      </c>
    </row>
    <row r="25247" spans="32:37">
      <c r="AF25247" s="831" t="s">
        <v>10678</v>
      </c>
      <c r="AG25247" s="831" t="s">
        <v>2674</v>
      </c>
      <c r="AH25247" s="831" t="s">
        <v>556</v>
      </c>
      <c r="AI25247" s="831">
        <v>0</v>
      </c>
      <c r="AJ25247" s="835">
        <v>41274</v>
      </c>
      <c r="AK25247" s="831">
        <v>902857</v>
      </c>
    </row>
    <row r="25248" spans="32:37">
      <c r="AF25248" s="831" t="s">
        <v>10679</v>
      </c>
      <c r="AG25248" s="831" t="s">
        <v>2674</v>
      </c>
      <c r="AH25248" s="831" t="s">
        <v>555</v>
      </c>
      <c r="AI25248" s="831">
        <v>0</v>
      </c>
      <c r="AJ25248" s="835">
        <v>41274</v>
      </c>
      <c r="AK25248" s="831">
        <v>274948010</v>
      </c>
    </row>
    <row r="25249" spans="32:37">
      <c r="AF25249" s="831" t="s">
        <v>10680</v>
      </c>
      <c r="AG25249" s="831" t="s">
        <v>2674</v>
      </c>
      <c r="AH25249" s="831" t="s">
        <v>554</v>
      </c>
      <c r="AI25249" s="831">
        <v>0</v>
      </c>
      <c r="AJ25249" s="835">
        <v>41274</v>
      </c>
      <c r="AK25249" s="831">
        <v>273069880</v>
      </c>
    </row>
    <row r="25250" spans="32:37">
      <c r="AF25250" s="831" t="s">
        <v>10681</v>
      </c>
      <c r="AG25250" s="831" t="s">
        <v>2674</v>
      </c>
      <c r="AH25250" s="831" t="s">
        <v>553</v>
      </c>
      <c r="AI25250" s="831">
        <v>0</v>
      </c>
      <c r="AJ25250" s="835">
        <v>41274</v>
      </c>
      <c r="AK25250" s="831">
        <v>0</v>
      </c>
    </row>
    <row r="25251" spans="32:37">
      <c r="AF25251" s="831" t="s">
        <v>10682</v>
      </c>
      <c r="AG25251" s="831" t="s">
        <v>2674</v>
      </c>
      <c r="AH25251" s="831" t="s">
        <v>552</v>
      </c>
      <c r="AI25251" s="831">
        <v>0</v>
      </c>
      <c r="AJ25251" s="835">
        <v>41274</v>
      </c>
      <c r="AK25251" s="831">
        <v>0</v>
      </c>
    </row>
    <row r="25252" spans="32:37">
      <c r="AF25252" s="831" t="s">
        <v>10683</v>
      </c>
      <c r="AG25252" s="831" t="s">
        <v>2674</v>
      </c>
      <c r="AH25252" s="831" t="s">
        <v>551</v>
      </c>
      <c r="AI25252" s="831">
        <v>0</v>
      </c>
      <c r="AJ25252" s="835">
        <v>41274</v>
      </c>
      <c r="AK25252" s="831">
        <v>1740472</v>
      </c>
    </row>
    <row r="25253" spans="32:37">
      <c r="AF25253" s="831" t="s">
        <v>10684</v>
      </c>
      <c r="AG25253" s="831" t="s">
        <v>2674</v>
      </c>
      <c r="AH25253" s="831" t="s">
        <v>550</v>
      </c>
      <c r="AI25253" s="831">
        <v>0</v>
      </c>
      <c r="AJ25253" s="835">
        <v>41274</v>
      </c>
      <c r="AK25253" s="831">
        <v>101856827</v>
      </c>
    </row>
    <row r="25254" spans="32:37">
      <c r="AF25254" s="831" t="s">
        <v>10685</v>
      </c>
      <c r="AG25254" s="831" t="s">
        <v>2674</v>
      </c>
      <c r="AH25254" s="831" t="s">
        <v>562</v>
      </c>
      <c r="AI25254" s="831">
        <v>0</v>
      </c>
      <c r="AJ25254" s="835">
        <v>41274</v>
      </c>
      <c r="AK25254" s="831">
        <v>0.78400000000000003</v>
      </c>
    </row>
    <row r="25255" spans="32:37">
      <c r="AF25255" s="831" t="s">
        <v>10686</v>
      </c>
      <c r="AG25255" s="831" t="s">
        <v>2674</v>
      </c>
      <c r="AH25255" s="831" t="s">
        <v>2698</v>
      </c>
      <c r="AI25255" s="831">
        <v>0</v>
      </c>
      <c r="AJ25255" s="835">
        <v>41274</v>
      </c>
      <c r="AK25255" s="831">
        <v>0.78415000000000001</v>
      </c>
    </row>
    <row r="25256" spans="32:37">
      <c r="AF25256" s="831" t="s">
        <v>10687</v>
      </c>
      <c r="AG25256" s="831" t="s">
        <v>2674</v>
      </c>
      <c r="AH25256" s="831" t="s">
        <v>560</v>
      </c>
      <c r="AI25256" s="831">
        <v>0</v>
      </c>
      <c r="AJ25256" s="835">
        <v>41274</v>
      </c>
      <c r="AK25256" s="831">
        <v>0.7850541666666665</v>
      </c>
    </row>
    <row r="25257" spans="32:37">
      <c r="AF25257" s="831" t="s">
        <v>10688</v>
      </c>
      <c r="AG25257" s="831" t="s">
        <v>2674</v>
      </c>
      <c r="AH25257" s="831" t="s">
        <v>559</v>
      </c>
      <c r="AI25257" s="831">
        <v>0</v>
      </c>
      <c r="AJ25257" s="835">
        <v>41274</v>
      </c>
      <c r="AK25257" s="831">
        <v>0.7850541666666665</v>
      </c>
    </row>
    <row r="25258" spans="32:37">
      <c r="AF25258" s="831" t="s">
        <v>10689</v>
      </c>
      <c r="AG25258" s="831" t="s">
        <v>2674</v>
      </c>
      <c r="AH25258" s="831" t="s">
        <v>568</v>
      </c>
      <c r="AI25258" s="831">
        <v>0</v>
      </c>
      <c r="AJ25258" s="835">
        <v>41274</v>
      </c>
      <c r="AK25258" s="831">
        <v>0</v>
      </c>
    </row>
    <row r="25259" spans="32:37">
      <c r="AF25259" s="831" t="s">
        <v>10690</v>
      </c>
      <c r="AG25259" s="831" t="s">
        <v>2674</v>
      </c>
      <c r="AH25259" s="831" t="s">
        <v>569</v>
      </c>
      <c r="AI25259" s="831">
        <v>0</v>
      </c>
      <c r="AJ25259" s="835">
        <v>41274</v>
      </c>
      <c r="AK25259" s="831">
        <v>0</v>
      </c>
    </row>
    <row r="25260" spans="32:37">
      <c r="AF25260" s="831" t="s">
        <v>10691</v>
      </c>
      <c r="AG25260" s="831" t="s">
        <v>2674</v>
      </c>
      <c r="AH25260" s="831" t="s">
        <v>570</v>
      </c>
      <c r="AI25260" s="831">
        <v>0</v>
      </c>
      <c r="AJ25260" s="835">
        <v>41274</v>
      </c>
      <c r="AK25260" s="831">
        <v>0</v>
      </c>
    </row>
    <row r="25261" spans="32:37">
      <c r="AF25261" s="831" t="s">
        <v>10692</v>
      </c>
      <c r="AG25261" s="831" t="s">
        <v>2674</v>
      </c>
      <c r="AH25261" s="831" t="s">
        <v>571</v>
      </c>
      <c r="AI25261" s="831">
        <v>0</v>
      </c>
      <c r="AJ25261" s="835">
        <v>41274</v>
      </c>
      <c r="AK25261" s="831">
        <v>0</v>
      </c>
    </row>
    <row r="25262" spans="32:37">
      <c r="AF25262" s="831" t="s">
        <v>10693</v>
      </c>
      <c r="AG25262" s="831" t="s">
        <v>2674</v>
      </c>
      <c r="AH25262" s="831" t="s">
        <v>573</v>
      </c>
      <c r="AI25262" s="831">
        <v>0</v>
      </c>
      <c r="AJ25262" s="835">
        <v>41274</v>
      </c>
      <c r="AK25262" s="831">
        <v>-2146826265</v>
      </c>
    </row>
    <row r="25263" spans="32:37">
      <c r="AF25263" s="831" t="s">
        <v>10694</v>
      </c>
      <c r="AG25263" s="831" t="s">
        <v>2674</v>
      </c>
      <c r="AH25263" s="831" t="s">
        <v>574</v>
      </c>
      <c r="AI25263" s="831">
        <v>0</v>
      </c>
      <c r="AJ25263" s="835">
        <v>41274</v>
      </c>
      <c r="AK25263" s="831">
        <v>-2146826265</v>
      </c>
    </row>
    <row r="25264" spans="32:37">
      <c r="AF25264" s="831" t="s">
        <v>10695</v>
      </c>
      <c r="AG25264" s="831" t="s">
        <v>2674</v>
      </c>
      <c r="AH25264" s="831" t="s">
        <v>575</v>
      </c>
      <c r="AI25264" s="831">
        <v>0</v>
      </c>
      <c r="AJ25264" s="835">
        <v>41274</v>
      </c>
      <c r="AK25264" s="831">
        <v>-2146826265</v>
      </c>
    </row>
    <row r="25265" spans="32:37">
      <c r="AF25265" s="831" t="s">
        <v>10696</v>
      </c>
      <c r="AG25265" s="831" t="s">
        <v>2674</v>
      </c>
      <c r="AH25265" s="831" t="s">
        <v>576</v>
      </c>
      <c r="AI25265" s="831">
        <v>0</v>
      </c>
      <c r="AJ25265" s="835">
        <v>41274</v>
      </c>
      <c r="AK25265" s="831">
        <v>-2146826265</v>
      </c>
    </row>
    <row r="25266" spans="32:37">
      <c r="AF25266" s="831" t="s">
        <v>10697</v>
      </c>
      <c r="AG25266" s="831" t="s">
        <v>2674</v>
      </c>
      <c r="AH25266" s="831" t="s">
        <v>572</v>
      </c>
      <c r="AI25266" s="831">
        <v>0</v>
      </c>
      <c r="AJ25266" s="835">
        <v>41274</v>
      </c>
      <c r="AK25266" s="831">
        <v>-2146826246</v>
      </c>
    </row>
    <row r="25267" spans="32:37">
      <c r="AF25267" s="831" t="s">
        <v>10698</v>
      </c>
      <c r="AG25267" s="831" t="s">
        <v>2674</v>
      </c>
      <c r="AH25267" s="831" t="s">
        <v>577</v>
      </c>
      <c r="AI25267" s="831">
        <v>0</v>
      </c>
      <c r="AJ25267" s="835">
        <v>41274</v>
      </c>
      <c r="AK25267" s="831">
        <v>-2146826246</v>
      </c>
    </row>
    <row r="25268" spans="32:37">
      <c r="AF25268" s="831" t="s">
        <v>10699</v>
      </c>
      <c r="AG25268" s="831" t="s">
        <v>2674</v>
      </c>
      <c r="AH25268" s="831" t="s">
        <v>3042</v>
      </c>
      <c r="AI25268" s="831">
        <v>0</v>
      </c>
      <c r="AJ25268" s="835">
        <v>41274</v>
      </c>
      <c r="AK25268" s="831">
        <v>-2146826246</v>
      </c>
    </row>
    <row r="25269" spans="32:37">
      <c r="AF25269" s="831" t="s">
        <v>10700</v>
      </c>
      <c r="AG25269" s="831" t="s">
        <v>2674</v>
      </c>
      <c r="AH25269" s="831" t="s">
        <v>3044</v>
      </c>
      <c r="AI25269" s="831">
        <v>0</v>
      </c>
      <c r="AJ25269" s="835">
        <v>41274</v>
      </c>
      <c r="AK25269" s="831">
        <v>-2146826246</v>
      </c>
    </row>
    <row r="25270" spans="32:37">
      <c r="AF25270" s="831" t="s">
        <v>10701</v>
      </c>
      <c r="AG25270" s="831" t="s">
        <v>2674</v>
      </c>
      <c r="AH25270" s="831" t="s">
        <v>580</v>
      </c>
      <c r="AI25270" s="831">
        <v>0</v>
      </c>
      <c r="AJ25270" s="835">
        <v>41274</v>
      </c>
      <c r="AK25270" s="831">
        <v>-2146826246</v>
      </c>
    </row>
    <row r="25271" spans="32:37">
      <c r="AF25271" s="831" t="s">
        <v>10702</v>
      </c>
      <c r="AG25271" s="831" t="s">
        <v>2674</v>
      </c>
      <c r="AH25271" s="831" t="s">
        <v>581</v>
      </c>
      <c r="AI25271" s="831">
        <v>0</v>
      </c>
      <c r="AJ25271" s="835">
        <v>41274</v>
      </c>
      <c r="AK25271" s="831">
        <v>-2146826246</v>
      </c>
    </row>
    <row r="25272" spans="32:37">
      <c r="AF25272" s="831" t="s">
        <v>10703</v>
      </c>
      <c r="AG25272" s="831" t="s">
        <v>2674</v>
      </c>
      <c r="AH25272" s="831" t="s">
        <v>105</v>
      </c>
      <c r="AI25272" s="831">
        <v>0</v>
      </c>
      <c r="AJ25272" s="835">
        <v>41274</v>
      </c>
      <c r="AK25272" s="831">
        <v>237580126</v>
      </c>
    </row>
    <row r="25273" spans="32:37">
      <c r="AF25273" s="831" t="s">
        <v>10704</v>
      </c>
      <c r="AG25273" s="831" t="s">
        <v>2674</v>
      </c>
      <c r="AH25273" s="831" t="s">
        <v>3049</v>
      </c>
      <c r="AI25273" s="831">
        <v>0</v>
      </c>
      <c r="AJ25273" s="835">
        <v>41274</v>
      </c>
      <c r="AK25273" s="831">
        <v>400647257</v>
      </c>
    </row>
    <row r="25274" spans="32:37">
      <c r="AF25274" s="831" t="s">
        <v>10705</v>
      </c>
      <c r="AG25274" s="831" t="s">
        <v>2674</v>
      </c>
      <c r="AH25274" s="831" t="s">
        <v>103</v>
      </c>
      <c r="AI25274" s="831">
        <v>0</v>
      </c>
      <c r="AJ25274" s="835">
        <v>41274</v>
      </c>
      <c r="AK25274" s="831">
        <v>163067131</v>
      </c>
    </row>
    <row r="25275" spans="32:37">
      <c r="AF25275" s="831" t="s">
        <v>10706</v>
      </c>
      <c r="AG25275" s="831" t="s">
        <v>2674</v>
      </c>
      <c r="AH25275" s="831" t="s">
        <v>182</v>
      </c>
      <c r="AI25275" s="831">
        <v>0</v>
      </c>
      <c r="AJ25275" s="835">
        <v>41274</v>
      </c>
      <c r="AK25275" s="831">
        <v>53318071</v>
      </c>
    </row>
    <row r="25276" spans="32:37">
      <c r="AF25276" s="831" t="s">
        <v>10707</v>
      </c>
      <c r="AG25276" s="831" t="s">
        <v>2674</v>
      </c>
      <c r="AH25276" s="831" t="s">
        <v>6600</v>
      </c>
      <c r="AI25276" s="831">
        <v>0</v>
      </c>
      <c r="AJ25276" s="835">
        <v>41274</v>
      </c>
      <c r="AK25276" s="831">
        <v>-2146826246</v>
      </c>
    </row>
    <row r="25277" spans="32:37">
      <c r="AF25277" s="831" t="s">
        <v>10708</v>
      </c>
      <c r="AG25277" s="831" t="s">
        <v>2674</v>
      </c>
      <c r="AH25277" s="831" t="s">
        <v>6602</v>
      </c>
      <c r="AI25277" s="831">
        <v>0</v>
      </c>
      <c r="AJ25277" s="835">
        <v>41274</v>
      </c>
      <c r="AK25277" s="831">
        <v>15839951</v>
      </c>
    </row>
    <row r="25278" spans="32:37">
      <c r="AF25278" s="831" t="s">
        <v>10709</v>
      </c>
      <c r="AG25278" s="831" t="s">
        <v>2674</v>
      </c>
      <c r="AH25278" s="831" t="s">
        <v>650</v>
      </c>
      <c r="AI25278" s="831">
        <v>0</v>
      </c>
      <c r="AJ25278" s="835">
        <v>41274</v>
      </c>
      <c r="AK25278" s="831">
        <v>0</v>
      </c>
    </row>
    <row r="25279" spans="32:37">
      <c r="AF25279" s="831" t="s">
        <v>10710</v>
      </c>
      <c r="AG25279" s="831" t="s">
        <v>2674</v>
      </c>
      <c r="AH25279" s="831" t="s">
        <v>655</v>
      </c>
      <c r="AI25279" s="831">
        <v>0</v>
      </c>
      <c r="AJ25279" s="835">
        <v>41274</v>
      </c>
      <c r="AK25279" s="831">
        <v>1622276</v>
      </c>
    </row>
    <row r="25280" spans="32:37">
      <c r="AF25280" s="831" t="s">
        <v>10711</v>
      </c>
      <c r="AG25280" s="831" t="s">
        <v>2674</v>
      </c>
      <c r="AH25280" s="831" t="s">
        <v>546</v>
      </c>
      <c r="AI25280" s="831">
        <v>0</v>
      </c>
      <c r="AJ25280" s="835">
        <v>41305</v>
      </c>
      <c r="AK25280" s="831">
        <v>421051783</v>
      </c>
    </row>
    <row r="25281" spans="32:37">
      <c r="AF25281" s="831" t="s">
        <v>10712</v>
      </c>
      <c r="AG25281" s="831" t="s">
        <v>2674</v>
      </c>
      <c r="AH25281" s="831" t="s">
        <v>370</v>
      </c>
      <c r="AI25281" s="831">
        <v>0</v>
      </c>
      <c r="AJ25281" s="835">
        <v>41305</v>
      </c>
      <c r="AK25281" s="831">
        <v>511487760</v>
      </c>
    </row>
    <row r="25282" spans="32:37">
      <c r="AF25282" s="831" t="s">
        <v>10713</v>
      </c>
      <c r="AG25282" s="831" t="s">
        <v>2674</v>
      </c>
      <c r="AH25282" s="831" t="s">
        <v>126</v>
      </c>
      <c r="AI25282" s="831">
        <v>0</v>
      </c>
      <c r="AJ25282" s="835">
        <v>41305</v>
      </c>
      <c r="AK25282" s="831">
        <v>96883184</v>
      </c>
    </row>
    <row r="25283" spans="32:37">
      <c r="AF25283" s="831" t="s">
        <v>10714</v>
      </c>
      <c r="AG25283" s="831" t="s">
        <v>2674</v>
      </c>
      <c r="AH25283" s="831" t="s">
        <v>268</v>
      </c>
      <c r="AI25283" s="831">
        <v>0</v>
      </c>
      <c r="AJ25283" s="835">
        <v>41305</v>
      </c>
      <c r="AK25283" s="831">
        <v>2119961</v>
      </c>
    </row>
    <row r="25284" spans="32:37">
      <c r="AF25284" s="831" t="s">
        <v>10715</v>
      </c>
      <c r="AG25284" s="831" t="s">
        <v>2674</v>
      </c>
      <c r="AH25284" s="831" t="s">
        <v>547</v>
      </c>
      <c r="AI25284" s="831">
        <v>0</v>
      </c>
      <c r="AJ25284" s="835">
        <v>41305</v>
      </c>
      <c r="AK25284" s="831">
        <v>511487760</v>
      </c>
    </row>
    <row r="25285" spans="32:37">
      <c r="AF25285" s="831" t="s">
        <v>10716</v>
      </c>
      <c r="AG25285" s="831" t="s">
        <v>2674</v>
      </c>
      <c r="AH25285" s="831" t="s">
        <v>548</v>
      </c>
      <c r="AI25285" s="831">
        <v>0</v>
      </c>
      <c r="AJ25285" s="835">
        <v>41305</v>
      </c>
      <c r="AK25285" s="831">
        <v>96883184</v>
      </c>
    </row>
    <row r="25286" spans="32:37">
      <c r="AF25286" s="831" t="s">
        <v>10717</v>
      </c>
      <c r="AG25286" s="831" t="s">
        <v>2674</v>
      </c>
      <c r="AH25286" s="831" t="s">
        <v>549</v>
      </c>
      <c r="AI25286" s="831">
        <v>0</v>
      </c>
      <c r="AJ25286" s="835">
        <v>41305</v>
      </c>
      <c r="AK25286" s="831">
        <v>0</v>
      </c>
    </row>
    <row r="25287" spans="32:37">
      <c r="AF25287" s="831" t="s">
        <v>10718</v>
      </c>
      <c r="AG25287" s="831" t="s">
        <v>2674</v>
      </c>
      <c r="AH25287" s="831" t="s">
        <v>192</v>
      </c>
      <c r="AI25287" s="831">
        <v>0</v>
      </c>
      <c r="AJ25287" s="835">
        <v>41305</v>
      </c>
      <c r="AK25287" s="831">
        <v>-10696839</v>
      </c>
    </row>
    <row r="25288" spans="32:37">
      <c r="AF25288" s="831" t="s">
        <v>10719</v>
      </c>
      <c r="AG25288" s="831" t="s">
        <v>2674</v>
      </c>
      <c r="AH25288" s="831" t="s">
        <v>558</v>
      </c>
      <c r="AI25288" s="831">
        <v>0</v>
      </c>
      <c r="AJ25288" s="835">
        <v>41305</v>
      </c>
      <c r="AK25288" s="831">
        <v>414604576</v>
      </c>
    </row>
    <row r="25289" spans="32:37">
      <c r="AF25289" s="831" t="s">
        <v>10720</v>
      </c>
      <c r="AG25289" s="831" t="s">
        <v>2674</v>
      </c>
      <c r="AH25289" s="831" t="s">
        <v>65</v>
      </c>
      <c r="AI25289" s="831">
        <v>0</v>
      </c>
      <c r="AJ25289" s="835">
        <v>41305</v>
      </c>
      <c r="AK25289" s="831">
        <v>9476383</v>
      </c>
    </row>
    <row r="25290" spans="32:37">
      <c r="AF25290" s="831" t="s">
        <v>10721</v>
      </c>
      <c r="AG25290" s="831" t="s">
        <v>2674</v>
      </c>
      <c r="AH25290" s="831" t="s">
        <v>89</v>
      </c>
      <c r="AI25290" s="831">
        <v>0</v>
      </c>
      <c r="AJ25290" s="835">
        <v>41305</v>
      </c>
      <c r="AK25290" s="831">
        <v>125947</v>
      </c>
    </row>
    <row r="25291" spans="32:37">
      <c r="AF25291" s="831" t="s">
        <v>10722</v>
      </c>
      <c r="AG25291" s="831" t="s">
        <v>2674</v>
      </c>
      <c r="AH25291" s="831" t="s">
        <v>557</v>
      </c>
      <c r="AI25291" s="831">
        <v>0</v>
      </c>
      <c r="AJ25291" s="835">
        <v>41305</v>
      </c>
      <c r="AK25291" s="831">
        <v>128972</v>
      </c>
    </row>
    <row r="25292" spans="32:37">
      <c r="AF25292" s="831" t="s">
        <v>10723</v>
      </c>
      <c r="AG25292" s="831" t="s">
        <v>2674</v>
      </c>
      <c r="AH25292" s="831" t="s">
        <v>29</v>
      </c>
      <c r="AI25292" s="831">
        <v>0</v>
      </c>
      <c r="AJ25292" s="835">
        <v>41305</v>
      </c>
      <c r="AK25292" s="831">
        <v>1949343</v>
      </c>
    </row>
    <row r="25293" spans="32:37">
      <c r="AF25293" s="831" t="s">
        <v>10724</v>
      </c>
      <c r="AG25293" s="831" t="s">
        <v>2674</v>
      </c>
      <c r="AH25293" s="831" t="s">
        <v>2688</v>
      </c>
      <c r="AI25293" s="831">
        <v>0</v>
      </c>
      <c r="AJ25293" s="835">
        <v>41305</v>
      </c>
      <c r="AK25293" s="831">
        <v>2693419</v>
      </c>
    </row>
    <row r="25294" spans="32:37">
      <c r="AF25294" s="831" t="s">
        <v>10725</v>
      </c>
      <c r="AG25294" s="831" t="s">
        <v>2674</v>
      </c>
      <c r="AH25294" s="831" t="s">
        <v>556</v>
      </c>
      <c r="AI25294" s="831">
        <v>0</v>
      </c>
      <c r="AJ25294" s="835">
        <v>41305</v>
      </c>
      <c r="AK25294" s="831">
        <v>902857</v>
      </c>
    </row>
    <row r="25295" spans="32:37">
      <c r="AF25295" s="831" t="s">
        <v>10726</v>
      </c>
      <c r="AG25295" s="831" t="s">
        <v>2674</v>
      </c>
      <c r="AH25295" s="831" t="s">
        <v>555</v>
      </c>
      <c r="AI25295" s="831">
        <v>0</v>
      </c>
      <c r="AJ25295" s="835">
        <v>41305</v>
      </c>
      <c r="AK25295" s="831">
        <v>261608550</v>
      </c>
    </row>
    <row r="25296" spans="32:37">
      <c r="AF25296" s="831" t="s">
        <v>10727</v>
      </c>
      <c r="AG25296" s="831" t="s">
        <v>2674</v>
      </c>
      <c r="AH25296" s="831" t="s">
        <v>554</v>
      </c>
      <c r="AI25296" s="831">
        <v>0</v>
      </c>
      <c r="AJ25296" s="835">
        <v>41305</v>
      </c>
      <c r="AK25296" s="831">
        <v>265544650</v>
      </c>
    </row>
    <row r="25297" spans="32:37">
      <c r="AF25297" s="831" t="s">
        <v>10728</v>
      </c>
      <c r="AG25297" s="831" t="s">
        <v>2674</v>
      </c>
      <c r="AH25297" s="831" t="s">
        <v>553</v>
      </c>
      <c r="AI25297" s="831">
        <v>0</v>
      </c>
      <c r="AJ25297" s="835">
        <v>41305</v>
      </c>
      <c r="AK25297" s="831">
        <v>0</v>
      </c>
    </row>
    <row r="25298" spans="32:37">
      <c r="AF25298" s="831" t="s">
        <v>10729</v>
      </c>
      <c r="AG25298" s="831" t="s">
        <v>2674</v>
      </c>
      <c r="AH25298" s="831" t="s">
        <v>552</v>
      </c>
      <c r="AI25298" s="831">
        <v>0</v>
      </c>
      <c r="AJ25298" s="835">
        <v>41305</v>
      </c>
      <c r="AK25298" s="831">
        <v>0</v>
      </c>
    </row>
    <row r="25299" spans="32:37">
      <c r="AF25299" s="831" t="s">
        <v>10730</v>
      </c>
      <c r="AG25299" s="831" t="s">
        <v>2674</v>
      </c>
      <c r="AH25299" s="831" t="s">
        <v>551</v>
      </c>
      <c r="AI25299" s="831">
        <v>0</v>
      </c>
      <c r="AJ25299" s="835">
        <v>41305</v>
      </c>
      <c r="AK25299" s="831">
        <v>1906076</v>
      </c>
    </row>
    <row r="25300" spans="32:37">
      <c r="AF25300" s="831" t="s">
        <v>10731</v>
      </c>
      <c r="AG25300" s="831" t="s">
        <v>2674</v>
      </c>
      <c r="AH25300" s="831" t="s">
        <v>550</v>
      </c>
      <c r="AI25300" s="831">
        <v>0</v>
      </c>
      <c r="AJ25300" s="835">
        <v>41305</v>
      </c>
      <c r="AK25300" s="831">
        <v>101162875</v>
      </c>
    </row>
    <row r="25301" spans="32:37">
      <c r="AF25301" s="831" t="s">
        <v>10732</v>
      </c>
      <c r="AG25301" s="831" t="s">
        <v>2674</v>
      </c>
      <c r="AH25301" s="831" t="s">
        <v>562</v>
      </c>
      <c r="AI25301" s="831">
        <v>0</v>
      </c>
      <c r="AJ25301" s="835">
        <v>41305</v>
      </c>
      <c r="AK25301" s="831">
        <v>0.78385000000000005</v>
      </c>
    </row>
    <row r="25302" spans="32:37">
      <c r="AF25302" s="831" t="s">
        <v>10733</v>
      </c>
      <c r="AG25302" s="831" t="s">
        <v>2674</v>
      </c>
      <c r="AH25302" s="831" t="s">
        <v>2698</v>
      </c>
      <c r="AI25302" s="831">
        <v>0</v>
      </c>
      <c r="AJ25302" s="835">
        <v>41305</v>
      </c>
      <c r="AK25302" s="831">
        <v>0.78400000000000003</v>
      </c>
    </row>
    <row r="25303" spans="32:37">
      <c r="AF25303" s="831" t="s">
        <v>10734</v>
      </c>
      <c r="AG25303" s="831" t="s">
        <v>2674</v>
      </c>
      <c r="AH25303" s="831" t="s">
        <v>560</v>
      </c>
      <c r="AI25303" s="831">
        <v>0</v>
      </c>
      <c r="AJ25303" s="835">
        <v>41305</v>
      </c>
      <c r="AK25303" s="831">
        <v>0.78385000000000005</v>
      </c>
    </row>
    <row r="25304" spans="32:37">
      <c r="AF25304" s="831" t="s">
        <v>10735</v>
      </c>
      <c r="AG25304" s="831" t="s">
        <v>2674</v>
      </c>
      <c r="AH25304" s="831" t="s">
        <v>559</v>
      </c>
      <c r="AI25304" s="831">
        <v>0</v>
      </c>
      <c r="AJ25304" s="835">
        <v>41305</v>
      </c>
      <c r="AK25304" s="831">
        <v>0.78486250000000002</v>
      </c>
    </row>
    <row r="25305" spans="32:37">
      <c r="AF25305" s="831" t="s">
        <v>10736</v>
      </c>
      <c r="AG25305" s="831" t="s">
        <v>2674</v>
      </c>
      <c r="AH25305" s="831" t="s">
        <v>568</v>
      </c>
      <c r="AI25305" s="831">
        <v>0</v>
      </c>
      <c r="AJ25305" s="835">
        <v>41305</v>
      </c>
      <c r="AK25305" s="831">
        <v>373888864.66666669</v>
      </c>
    </row>
    <row r="25306" spans="32:37">
      <c r="AF25306" s="831" t="s">
        <v>10737</v>
      </c>
      <c r="AG25306" s="831" t="s">
        <v>2674</v>
      </c>
      <c r="AH25306" s="831" t="s">
        <v>569</v>
      </c>
      <c r="AI25306" s="831">
        <v>0</v>
      </c>
      <c r="AJ25306" s="835">
        <v>41305</v>
      </c>
      <c r="AK25306" s="831">
        <v>458979290.77777779</v>
      </c>
    </row>
    <row r="25307" spans="32:37">
      <c r="AF25307" s="831" t="s">
        <v>10738</v>
      </c>
      <c r="AG25307" s="831" t="s">
        <v>2674</v>
      </c>
      <c r="AH25307" s="831" t="s">
        <v>570</v>
      </c>
      <c r="AI25307" s="831">
        <v>0</v>
      </c>
      <c r="AJ25307" s="835">
        <v>41305</v>
      </c>
      <c r="AK25307" s="831">
        <v>96420088.555555552</v>
      </c>
    </row>
    <row r="25308" spans="32:37">
      <c r="AF25308" s="831" t="s">
        <v>10739</v>
      </c>
      <c r="AG25308" s="831" t="s">
        <v>2674</v>
      </c>
      <c r="AH25308" s="831" t="s">
        <v>571</v>
      </c>
      <c r="AI25308" s="831">
        <v>0</v>
      </c>
      <c r="AJ25308" s="835">
        <v>41305</v>
      </c>
      <c r="AK25308" s="831">
        <v>187471539.44444445</v>
      </c>
    </row>
    <row r="25309" spans="32:37">
      <c r="AF25309" s="831" t="s">
        <v>10740</v>
      </c>
      <c r="AG25309" s="831" t="s">
        <v>2674</v>
      </c>
      <c r="AH25309" s="831" t="s">
        <v>573</v>
      </c>
      <c r="AI25309" s="831">
        <v>0</v>
      </c>
      <c r="AJ25309" s="835">
        <v>41305</v>
      </c>
      <c r="AK25309" s="831">
        <v>513378335</v>
      </c>
    </row>
    <row r="25310" spans="32:37">
      <c r="AF25310" s="831" t="s">
        <v>10741</v>
      </c>
      <c r="AG25310" s="831" t="s">
        <v>2674</v>
      </c>
      <c r="AH25310" s="831" t="s">
        <v>574</v>
      </c>
      <c r="AI25310" s="831">
        <v>0</v>
      </c>
      <c r="AJ25310" s="835">
        <v>41305</v>
      </c>
      <c r="AK25310" s="831">
        <v>416588703.5</v>
      </c>
    </row>
    <row r="25311" spans="32:37">
      <c r="AF25311" s="831" t="s">
        <v>10742</v>
      </c>
      <c r="AG25311" s="831" t="s">
        <v>2674</v>
      </c>
      <c r="AH25311" s="831" t="s">
        <v>575</v>
      </c>
      <c r="AI25311" s="831">
        <v>0</v>
      </c>
      <c r="AJ25311" s="835">
        <v>41305</v>
      </c>
      <c r="AK25311" s="831">
        <v>99023029.5</v>
      </c>
    </row>
    <row r="25312" spans="32:37">
      <c r="AF25312" s="831" t="s">
        <v>10743</v>
      </c>
      <c r="AG25312" s="831" t="s">
        <v>2674</v>
      </c>
      <c r="AH25312" s="831" t="s">
        <v>576</v>
      </c>
      <c r="AI25312" s="831">
        <v>0</v>
      </c>
      <c r="AJ25312" s="835">
        <v>41305</v>
      </c>
      <c r="AK25312" s="831">
        <v>233642368.5</v>
      </c>
    </row>
    <row r="25313" spans="32:37">
      <c r="AF25313" s="831" t="s">
        <v>10744</v>
      </c>
      <c r="AG25313" s="831" t="s">
        <v>2674</v>
      </c>
      <c r="AH25313" s="831" t="s">
        <v>572</v>
      </c>
      <c r="AI25313" s="831">
        <v>0</v>
      </c>
      <c r="AJ25313" s="835">
        <v>41305</v>
      </c>
      <c r="AK25313" s="831">
        <v>-2146826246</v>
      </c>
    </row>
    <row r="25314" spans="32:37">
      <c r="AF25314" s="831" t="s">
        <v>10745</v>
      </c>
      <c r="AG25314" s="831" t="s">
        <v>2674</v>
      </c>
      <c r="AH25314" s="831" t="s">
        <v>577</v>
      </c>
      <c r="AI25314" s="831">
        <v>0</v>
      </c>
      <c r="AJ25314" s="835">
        <v>41305</v>
      </c>
      <c r="AK25314" s="831">
        <v>-2146826246</v>
      </c>
    </row>
    <row r="25315" spans="32:37">
      <c r="AF25315" s="831" t="s">
        <v>10746</v>
      </c>
      <c r="AG25315" s="831" t="s">
        <v>2674</v>
      </c>
      <c r="AH25315" s="831" t="s">
        <v>3042</v>
      </c>
      <c r="AI25315" s="831">
        <v>0</v>
      </c>
      <c r="AJ25315" s="835">
        <v>41305</v>
      </c>
      <c r="AK25315" s="831">
        <v>-2146826246</v>
      </c>
    </row>
    <row r="25316" spans="32:37">
      <c r="AF25316" s="831" t="s">
        <v>10747</v>
      </c>
      <c r="AG25316" s="831" t="s">
        <v>2674</v>
      </c>
      <c r="AH25316" s="831" t="s">
        <v>3044</v>
      </c>
      <c r="AI25316" s="831">
        <v>0</v>
      </c>
      <c r="AJ25316" s="835">
        <v>41305</v>
      </c>
      <c r="AK25316" s="831">
        <v>-2146826246</v>
      </c>
    </row>
    <row r="25317" spans="32:37">
      <c r="AF25317" s="831" t="s">
        <v>10748</v>
      </c>
      <c r="AG25317" s="831" t="s">
        <v>2674</v>
      </c>
      <c r="AH25317" s="831" t="s">
        <v>580</v>
      </c>
      <c r="AI25317" s="831">
        <v>0</v>
      </c>
      <c r="AJ25317" s="835">
        <v>41305</v>
      </c>
      <c r="AK25317" s="831">
        <v>-2146826246</v>
      </c>
    </row>
    <row r="25318" spans="32:37">
      <c r="AF25318" s="831" t="s">
        <v>10749</v>
      </c>
      <c r="AG25318" s="831" t="s">
        <v>2674</v>
      </c>
      <c r="AH25318" s="831" t="s">
        <v>581</v>
      </c>
      <c r="AI25318" s="831">
        <v>0</v>
      </c>
      <c r="AJ25318" s="835">
        <v>41305</v>
      </c>
      <c r="AK25318" s="831">
        <v>-2146826246</v>
      </c>
    </row>
    <row r="25319" spans="32:37">
      <c r="AF25319" s="831" t="s">
        <v>10750</v>
      </c>
      <c r="AG25319" s="831" t="s">
        <v>2674</v>
      </c>
      <c r="AH25319" s="831" t="s">
        <v>105</v>
      </c>
      <c r="AI25319" s="831">
        <v>0</v>
      </c>
      <c r="AJ25319" s="835">
        <v>41305</v>
      </c>
      <c r="AK25319" s="831">
        <v>229704611</v>
      </c>
    </row>
    <row r="25320" spans="32:37">
      <c r="AF25320" s="831" t="s">
        <v>10751</v>
      </c>
      <c r="AG25320" s="831" t="s">
        <v>2674</v>
      </c>
      <c r="AH25320" s="831" t="s">
        <v>3049</v>
      </c>
      <c r="AI25320" s="831">
        <v>0</v>
      </c>
      <c r="AJ25320" s="835">
        <v>41305</v>
      </c>
      <c r="AK25320" s="831">
        <v>400579663</v>
      </c>
    </row>
    <row r="25321" spans="32:37">
      <c r="AF25321" s="831" t="s">
        <v>10752</v>
      </c>
      <c r="AG25321" s="831" t="s">
        <v>2674</v>
      </c>
      <c r="AH25321" s="831" t="s">
        <v>103</v>
      </c>
      <c r="AI25321" s="831">
        <v>0</v>
      </c>
      <c r="AJ25321" s="835">
        <v>41305</v>
      </c>
      <c r="AK25321" s="831">
        <v>170875052</v>
      </c>
    </row>
    <row r="25322" spans="32:37">
      <c r="AF25322" s="831" t="s">
        <v>10753</v>
      </c>
      <c r="AG25322" s="831" t="s">
        <v>2674</v>
      </c>
      <c r="AH25322" s="831" t="s">
        <v>182</v>
      </c>
      <c r="AI25322" s="831">
        <v>0</v>
      </c>
      <c r="AJ25322" s="835">
        <v>41305</v>
      </c>
      <c r="AK25322" s="831">
        <v>57203676</v>
      </c>
    </row>
    <row r="25323" spans="32:37">
      <c r="AF25323" s="831" t="s">
        <v>10754</v>
      </c>
      <c r="AG25323" s="831" t="s">
        <v>2674</v>
      </c>
      <c r="AH25323" s="831" t="s">
        <v>6600</v>
      </c>
      <c r="AI25323" s="831">
        <v>0</v>
      </c>
      <c r="AJ25323" s="835">
        <v>41305</v>
      </c>
      <c r="AK25323" s="831">
        <v>-2146826246</v>
      </c>
    </row>
    <row r="25324" spans="32:37">
      <c r="AF25324" s="831" t="s">
        <v>10755</v>
      </c>
      <c r="AG25324" s="831" t="s">
        <v>2674</v>
      </c>
      <c r="AH25324" s="831" t="s">
        <v>6602</v>
      </c>
      <c r="AI25324" s="831">
        <v>0</v>
      </c>
      <c r="AJ25324" s="835">
        <v>41305</v>
      </c>
      <c r="AK25324" s="831">
        <v>2119961</v>
      </c>
    </row>
    <row r="25325" spans="32:37">
      <c r="AF25325" s="831" t="s">
        <v>10756</v>
      </c>
      <c r="AG25325" s="831" t="s">
        <v>2674</v>
      </c>
      <c r="AH25325" s="831" t="s">
        <v>650</v>
      </c>
      <c r="AI25325" s="831">
        <v>0</v>
      </c>
      <c r="AJ25325" s="835">
        <v>41305</v>
      </c>
      <c r="AK25325" s="831">
        <v>162276642.66666666</v>
      </c>
    </row>
    <row r="25326" spans="32:37">
      <c r="AF25326" s="831" t="s">
        <v>10757</v>
      </c>
      <c r="AG25326" s="831" t="s">
        <v>2674</v>
      </c>
      <c r="AH25326" s="831" t="s">
        <v>655</v>
      </c>
      <c r="AI25326" s="831">
        <v>0</v>
      </c>
      <c r="AJ25326" s="835">
        <v>41305</v>
      </c>
      <c r="AK25326" s="831">
        <v>1743639</v>
      </c>
    </row>
    <row r="25327" spans="32:37">
      <c r="AF25327" s="831" t="s">
        <v>10758</v>
      </c>
      <c r="AG25327" s="831" t="s">
        <v>2674</v>
      </c>
      <c r="AH25327" s="831" t="s">
        <v>546</v>
      </c>
      <c r="AI25327" s="831">
        <v>0</v>
      </c>
      <c r="AJ25327" s="835">
        <v>41333</v>
      </c>
      <c r="AK25327" s="831">
        <v>436810603</v>
      </c>
    </row>
    <row r="25328" spans="32:37">
      <c r="AF25328" s="831" t="s">
        <v>10759</v>
      </c>
      <c r="AG25328" s="831" t="s">
        <v>2674</v>
      </c>
      <c r="AH25328" s="831" t="s">
        <v>370</v>
      </c>
      <c r="AI25328" s="831">
        <v>0</v>
      </c>
      <c r="AJ25328" s="835">
        <v>41333</v>
      </c>
      <c r="AK25328" s="831">
        <v>522076176</v>
      </c>
    </row>
    <row r="25329" spans="32:37">
      <c r="AF25329" s="831" t="s">
        <v>10760</v>
      </c>
      <c r="AG25329" s="831" t="s">
        <v>2674</v>
      </c>
      <c r="AH25329" s="831" t="s">
        <v>126</v>
      </c>
      <c r="AI25329" s="831">
        <v>0</v>
      </c>
      <c r="AJ25329" s="835">
        <v>41333</v>
      </c>
      <c r="AK25329" s="831">
        <v>98581107</v>
      </c>
    </row>
    <row r="25330" spans="32:37">
      <c r="AF25330" s="831" t="s">
        <v>10761</v>
      </c>
      <c r="AG25330" s="831" t="s">
        <v>2674</v>
      </c>
      <c r="AH25330" s="831" t="s">
        <v>268</v>
      </c>
      <c r="AI25330" s="831">
        <v>0</v>
      </c>
      <c r="AJ25330" s="835">
        <v>41333</v>
      </c>
      <c r="AK25330" s="831">
        <v>3817884</v>
      </c>
    </row>
    <row r="25331" spans="32:37">
      <c r="AF25331" s="831" t="s">
        <v>10762</v>
      </c>
      <c r="AG25331" s="831" t="s">
        <v>2674</v>
      </c>
      <c r="AH25331" s="831" t="s">
        <v>547</v>
      </c>
      <c r="AI25331" s="831">
        <v>0</v>
      </c>
      <c r="AJ25331" s="835">
        <v>41333</v>
      </c>
      <c r="AK25331" s="831">
        <v>511487760</v>
      </c>
    </row>
    <row r="25332" spans="32:37">
      <c r="AF25332" s="831" t="s">
        <v>10763</v>
      </c>
      <c r="AG25332" s="831" t="s">
        <v>2674</v>
      </c>
      <c r="AH25332" s="831" t="s">
        <v>548</v>
      </c>
      <c r="AI25332" s="831">
        <v>0</v>
      </c>
      <c r="AJ25332" s="835">
        <v>41333</v>
      </c>
      <c r="AK25332" s="831">
        <v>96883184</v>
      </c>
    </row>
    <row r="25333" spans="32:37">
      <c r="AF25333" s="831" t="s">
        <v>10764</v>
      </c>
      <c r="AG25333" s="831" t="s">
        <v>2674</v>
      </c>
      <c r="AH25333" s="831" t="s">
        <v>549</v>
      </c>
      <c r="AI25333" s="831">
        <v>0</v>
      </c>
      <c r="AJ25333" s="835">
        <v>41333</v>
      </c>
      <c r="AK25333" s="831">
        <v>0</v>
      </c>
    </row>
    <row r="25334" spans="32:37">
      <c r="AF25334" s="831" t="s">
        <v>10765</v>
      </c>
      <c r="AG25334" s="831" t="s">
        <v>2674</v>
      </c>
      <c r="AH25334" s="831" t="s">
        <v>192</v>
      </c>
      <c r="AI25334" s="831">
        <v>0</v>
      </c>
      <c r="AJ25334" s="835">
        <v>41333</v>
      </c>
      <c r="AK25334" s="831">
        <v>-11285954</v>
      </c>
    </row>
    <row r="25335" spans="32:37">
      <c r="AF25335" s="831" t="s">
        <v>10766</v>
      </c>
      <c r="AG25335" s="831" t="s">
        <v>2674</v>
      </c>
      <c r="AH25335" s="831" t="s">
        <v>558</v>
      </c>
      <c r="AI25335" s="831">
        <v>0</v>
      </c>
      <c r="AJ25335" s="835">
        <v>41333</v>
      </c>
      <c r="AK25335" s="831">
        <v>423495069</v>
      </c>
    </row>
    <row r="25336" spans="32:37">
      <c r="AF25336" s="831" t="s">
        <v>10767</v>
      </c>
      <c r="AG25336" s="831" t="s">
        <v>2674</v>
      </c>
      <c r="AH25336" s="831" t="s">
        <v>65</v>
      </c>
      <c r="AI25336" s="831">
        <v>0</v>
      </c>
      <c r="AJ25336" s="835">
        <v>41333</v>
      </c>
      <c r="AK25336" s="831">
        <v>18985748</v>
      </c>
    </row>
    <row r="25337" spans="32:37">
      <c r="AF25337" s="831" t="s">
        <v>10768</v>
      </c>
      <c r="AG25337" s="831" t="s">
        <v>2674</v>
      </c>
      <c r="AH25337" s="831" t="s">
        <v>89</v>
      </c>
      <c r="AI25337" s="831">
        <v>0</v>
      </c>
      <c r="AJ25337" s="835">
        <v>41333</v>
      </c>
      <c r="AK25337" s="831">
        <v>127639</v>
      </c>
    </row>
    <row r="25338" spans="32:37">
      <c r="AF25338" s="831" t="s">
        <v>10769</v>
      </c>
      <c r="AG25338" s="831" t="s">
        <v>2674</v>
      </c>
      <c r="AH25338" s="831" t="s">
        <v>557</v>
      </c>
      <c r="AI25338" s="831">
        <v>0</v>
      </c>
      <c r="AJ25338" s="835">
        <v>41333</v>
      </c>
      <c r="AK25338" s="831">
        <v>130995</v>
      </c>
    </row>
    <row r="25339" spans="32:37">
      <c r="AF25339" s="831" t="s">
        <v>10770</v>
      </c>
      <c r="AG25339" s="831" t="s">
        <v>2674</v>
      </c>
      <c r="AH25339" s="831" t="s">
        <v>29</v>
      </c>
      <c r="AI25339" s="831">
        <v>0</v>
      </c>
      <c r="AJ25339" s="835">
        <v>41333</v>
      </c>
      <c r="AK25339" s="831">
        <v>2238797</v>
      </c>
    </row>
    <row r="25340" spans="32:37">
      <c r="AF25340" s="831" t="s">
        <v>10771</v>
      </c>
      <c r="AG25340" s="831" t="s">
        <v>2674</v>
      </c>
      <c r="AH25340" s="831" t="s">
        <v>2688</v>
      </c>
      <c r="AI25340" s="831">
        <v>0</v>
      </c>
      <c r="AJ25340" s="835">
        <v>41333</v>
      </c>
      <c r="AK25340" s="831">
        <v>2647738</v>
      </c>
    </row>
    <row r="25341" spans="32:37">
      <c r="AF25341" s="831" t="s">
        <v>10772</v>
      </c>
      <c r="AG25341" s="831" t="s">
        <v>2674</v>
      </c>
      <c r="AH25341" s="831" t="s">
        <v>556</v>
      </c>
      <c r="AI25341" s="831">
        <v>0</v>
      </c>
      <c r="AJ25341" s="835">
        <v>41333</v>
      </c>
      <c r="AK25341" s="831">
        <v>902857</v>
      </c>
    </row>
    <row r="25342" spans="32:37">
      <c r="AF25342" s="831" t="s">
        <v>10773</v>
      </c>
      <c r="AG25342" s="831" t="s">
        <v>2674</v>
      </c>
      <c r="AH25342" s="831" t="s">
        <v>555</v>
      </c>
      <c r="AI25342" s="831">
        <v>0</v>
      </c>
      <c r="AJ25342" s="835">
        <v>41333</v>
      </c>
      <c r="AK25342" s="831">
        <v>267734690</v>
      </c>
    </row>
    <row r="25343" spans="32:37">
      <c r="AF25343" s="831" t="s">
        <v>10774</v>
      </c>
      <c r="AG25343" s="831" t="s">
        <v>2674</v>
      </c>
      <c r="AH25343" s="831" t="s">
        <v>554</v>
      </c>
      <c r="AI25343" s="831">
        <v>0</v>
      </c>
      <c r="AJ25343" s="835">
        <v>41333</v>
      </c>
      <c r="AK25343" s="831">
        <v>272030190</v>
      </c>
    </row>
    <row r="25344" spans="32:37">
      <c r="AF25344" s="831" t="s">
        <v>10775</v>
      </c>
      <c r="AG25344" s="831" t="s">
        <v>2674</v>
      </c>
      <c r="AH25344" s="831" t="s">
        <v>553</v>
      </c>
      <c r="AI25344" s="831">
        <v>0</v>
      </c>
      <c r="AJ25344" s="835">
        <v>41333</v>
      </c>
      <c r="AK25344" s="831">
        <v>0</v>
      </c>
    </row>
    <row r="25345" spans="32:37">
      <c r="AF25345" s="831" t="s">
        <v>10776</v>
      </c>
      <c r="AG25345" s="831" t="s">
        <v>2674</v>
      </c>
      <c r="AH25345" s="831" t="s">
        <v>552</v>
      </c>
      <c r="AI25345" s="831">
        <v>0</v>
      </c>
      <c r="AJ25345" s="835">
        <v>41333</v>
      </c>
      <c r="AK25345" s="831">
        <v>0</v>
      </c>
    </row>
    <row r="25346" spans="32:37">
      <c r="AF25346" s="831" t="s">
        <v>10777</v>
      </c>
      <c r="AG25346" s="831" t="s">
        <v>2674</v>
      </c>
      <c r="AH25346" s="831" t="s">
        <v>551</v>
      </c>
      <c r="AI25346" s="831">
        <v>0</v>
      </c>
      <c r="AJ25346" s="835">
        <v>41333</v>
      </c>
      <c r="AK25346" s="831">
        <v>1930398</v>
      </c>
    </row>
    <row r="25347" spans="32:37">
      <c r="AF25347" s="831" t="s">
        <v>10778</v>
      </c>
      <c r="AG25347" s="831" t="s">
        <v>2674</v>
      </c>
      <c r="AH25347" s="831" t="s">
        <v>550</v>
      </c>
      <c r="AI25347" s="831">
        <v>0</v>
      </c>
      <c r="AJ25347" s="835">
        <v>41333</v>
      </c>
      <c r="AK25347" s="831">
        <v>96883184</v>
      </c>
    </row>
    <row r="25348" spans="32:37">
      <c r="AF25348" s="831" t="s">
        <v>10779</v>
      </c>
      <c r="AG25348" s="831" t="s">
        <v>2674</v>
      </c>
      <c r="AH25348" s="831" t="s">
        <v>562</v>
      </c>
      <c r="AI25348" s="831">
        <v>0</v>
      </c>
      <c r="AJ25348" s="835">
        <v>41333</v>
      </c>
      <c r="AK25348" s="831">
        <v>0.78434999999999999</v>
      </c>
    </row>
    <row r="25349" spans="32:37">
      <c r="AF25349" s="831" t="s">
        <v>10780</v>
      </c>
      <c r="AG25349" s="831" t="s">
        <v>2674</v>
      </c>
      <c r="AH25349" s="831" t="s">
        <v>2698</v>
      </c>
      <c r="AI25349" s="831">
        <v>0</v>
      </c>
      <c r="AJ25349" s="835">
        <v>41333</v>
      </c>
      <c r="AK25349" s="831">
        <v>0.78385000000000005</v>
      </c>
    </row>
    <row r="25350" spans="32:37">
      <c r="AF25350" s="831" t="s">
        <v>10781</v>
      </c>
      <c r="AG25350" s="831" t="s">
        <v>2674</v>
      </c>
      <c r="AH25350" s="831" t="s">
        <v>560</v>
      </c>
      <c r="AI25350" s="831">
        <v>0</v>
      </c>
      <c r="AJ25350" s="835">
        <v>41333</v>
      </c>
      <c r="AK25350" s="831">
        <v>0.78410000000000002</v>
      </c>
    </row>
    <row r="25351" spans="32:37">
      <c r="AF25351" s="831" t="s">
        <v>10782</v>
      </c>
      <c r="AG25351" s="831" t="s">
        <v>2674</v>
      </c>
      <c r="AH25351" s="831" t="s">
        <v>559</v>
      </c>
      <c r="AI25351" s="831">
        <v>0</v>
      </c>
      <c r="AJ25351" s="835">
        <v>41333</v>
      </c>
      <c r="AK25351" s="831">
        <v>0.78474583333333314</v>
      </c>
    </row>
    <row r="25352" spans="32:37">
      <c r="AF25352" s="831" t="s">
        <v>10783</v>
      </c>
      <c r="AG25352" s="831" t="s">
        <v>2674</v>
      </c>
      <c r="AH25352" s="831" t="s">
        <v>568</v>
      </c>
      <c r="AI25352" s="831">
        <v>0</v>
      </c>
      <c r="AJ25352" s="835">
        <v>41333</v>
      </c>
      <c r="AK25352" s="831">
        <v>380181038.5</v>
      </c>
    </row>
    <row r="25353" spans="32:37">
      <c r="AF25353" s="831" t="s">
        <v>10784</v>
      </c>
      <c r="AG25353" s="831" t="s">
        <v>2674</v>
      </c>
      <c r="AH25353" s="831" t="s">
        <v>569</v>
      </c>
      <c r="AI25353" s="831">
        <v>0</v>
      </c>
      <c r="AJ25353" s="835">
        <v>41333</v>
      </c>
      <c r="AK25353" s="831">
        <v>465288979.30000001</v>
      </c>
    </row>
    <row r="25354" spans="32:37">
      <c r="AF25354" s="831" t="s">
        <v>10785</v>
      </c>
      <c r="AG25354" s="831" t="s">
        <v>2674</v>
      </c>
      <c r="AH25354" s="831" t="s">
        <v>570</v>
      </c>
      <c r="AI25354" s="831">
        <v>0</v>
      </c>
      <c r="AJ25354" s="835">
        <v>41333</v>
      </c>
      <c r="AK25354" s="831">
        <v>96636190.400000006</v>
      </c>
    </row>
    <row r="25355" spans="32:37">
      <c r="AF25355" s="831" t="s">
        <v>10786</v>
      </c>
      <c r="AG25355" s="831" t="s">
        <v>2674</v>
      </c>
      <c r="AH25355" s="831" t="s">
        <v>571</v>
      </c>
      <c r="AI25355" s="831">
        <v>0</v>
      </c>
      <c r="AJ25355" s="835">
        <v>41333</v>
      </c>
      <c r="AK25355" s="831">
        <v>192024019</v>
      </c>
    </row>
    <row r="25356" spans="32:37">
      <c r="AF25356" s="831" t="s">
        <v>10787</v>
      </c>
      <c r="AG25356" s="831" t="s">
        <v>2674</v>
      </c>
      <c r="AH25356" s="831" t="s">
        <v>573</v>
      </c>
      <c r="AI25356" s="831">
        <v>0</v>
      </c>
      <c r="AJ25356" s="835">
        <v>41333</v>
      </c>
      <c r="AK25356" s="831">
        <v>516277615.33333331</v>
      </c>
    </row>
    <row r="25357" spans="32:37">
      <c r="AF25357" s="831" t="s">
        <v>10788</v>
      </c>
      <c r="AG25357" s="831" t="s">
        <v>2674</v>
      </c>
      <c r="AH25357" s="831" t="s">
        <v>574</v>
      </c>
      <c r="AI25357" s="831">
        <v>0</v>
      </c>
      <c r="AJ25357" s="835">
        <v>41333</v>
      </c>
      <c r="AK25357" s="831">
        <v>423329336.66666669</v>
      </c>
    </row>
    <row r="25358" spans="32:37">
      <c r="AF25358" s="831" t="s">
        <v>10789</v>
      </c>
      <c r="AG25358" s="831" t="s">
        <v>2674</v>
      </c>
      <c r="AH25358" s="831" t="s">
        <v>575</v>
      </c>
      <c r="AI25358" s="831">
        <v>0</v>
      </c>
      <c r="AJ25358" s="835">
        <v>41333</v>
      </c>
      <c r="AK25358" s="831">
        <v>98875722</v>
      </c>
    </row>
    <row r="25359" spans="32:37">
      <c r="AF25359" s="831" t="s">
        <v>10790</v>
      </c>
      <c r="AG25359" s="831" t="s">
        <v>2674</v>
      </c>
      <c r="AH25359" s="831" t="s">
        <v>576</v>
      </c>
      <c r="AI25359" s="831">
        <v>0</v>
      </c>
      <c r="AJ25359" s="835">
        <v>41333</v>
      </c>
      <c r="AK25359" s="831">
        <v>233427024</v>
      </c>
    </row>
    <row r="25360" spans="32:37">
      <c r="AF25360" s="831" t="s">
        <v>10791</v>
      </c>
      <c r="AG25360" s="831" t="s">
        <v>2674</v>
      </c>
      <c r="AH25360" s="831" t="s">
        <v>572</v>
      </c>
      <c r="AI25360" s="831">
        <v>0</v>
      </c>
      <c r="AJ25360" s="835">
        <v>41333</v>
      </c>
      <c r="AK25360" s="831">
        <v>-2146826246</v>
      </c>
    </row>
    <row r="25361" spans="32:37">
      <c r="AF25361" s="831" t="s">
        <v>10792</v>
      </c>
      <c r="AG25361" s="831" t="s">
        <v>2674</v>
      </c>
      <c r="AH25361" s="831" t="s">
        <v>577</v>
      </c>
      <c r="AI25361" s="831">
        <v>0</v>
      </c>
      <c r="AJ25361" s="835">
        <v>41333</v>
      </c>
      <c r="AK25361" s="831">
        <v>-2146826246</v>
      </c>
    </row>
    <row r="25362" spans="32:37">
      <c r="AF25362" s="831" t="s">
        <v>10793</v>
      </c>
      <c r="AG25362" s="831" t="s">
        <v>2674</v>
      </c>
      <c r="AH25362" s="831" t="s">
        <v>3042</v>
      </c>
      <c r="AI25362" s="831">
        <v>0</v>
      </c>
      <c r="AJ25362" s="835">
        <v>41333</v>
      </c>
      <c r="AK25362" s="831">
        <v>-2146826246</v>
      </c>
    </row>
    <row r="25363" spans="32:37">
      <c r="AF25363" s="831" t="s">
        <v>10794</v>
      </c>
      <c r="AG25363" s="831" t="s">
        <v>2674</v>
      </c>
      <c r="AH25363" s="831" t="s">
        <v>3044</v>
      </c>
      <c r="AI25363" s="831">
        <v>0</v>
      </c>
      <c r="AJ25363" s="835">
        <v>41333</v>
      </c>
      <c r="AK25363" s="831">
        <v>-2146826246</v>
      </c>
    </row>
    <row r="25364" spans="32:37">
      <c r="AF25364" s="831" t="s">
        <v>10795</v>
      </c>
      <c r="AG25364" s="831" t="s">
        <v>2674</v>
      </c>
      <c r="AH25364" s="831" t="s">
        <v>580</v>
      </c>
      <c r="AI25364" s="831">
        <v>0</v>
      </c>
      <c r="AJ25364" s="835">
        <v>41333</v>
      </c>
      <c r="AK25364" s="831">
        <v>-2146826246</v>
      </c>
    </row>
    <row r="25365" spans="32:37">
      <c r="AF25365" s="831" t="s">
        <v>10796</v>
      </c>
      <c r="AG25365" s="831" t="s">
        <v>2674</v>
      </c>
      <c r="AH25365" s="831" t="s">
        <v>581</v>
      </c>
      <c r="AI25365" s="831">
        <v>0</v>
      </c>
      <c r="AJ25365" s="835">
        <v>41333</v>
      </c>
      <c r="AK25365" s="831">
        <v>-2146826246</v>
      </c>
    </row>
    <row r="25366" spans="32:37">
      <c r="AF25366" s="831" t="s">
        <v>10797</v>
      </c>
      <c r="AG25366" s="831" t="s">
        <v>2674</v>
      </c>
      <c r="AH25366" s="831" t="s">
        <v>105</v>
      </c>
      <c r="AI25366" s="831">
        <v>0</v>
      </c>
      <c r="AJ25366" s="835">
        <v>41333</v>
      </c>
      <c r="AK25366" s="831">
        <v>232996335</v>
      </c>
    </row>
    <row r="25367" spans="32:37">
      <c r="AF25367" s="831" t="s">
        <v>10798</v>
      </c>
      <c r="AG25367" s="831" t="s">
        <v>2674</v>
      </c>
      <c r="AH25367" s="831" t="s">
        <v>3049</v>
      </c>
      <c r="AI25367" s="831">
        <v>0</v>
      </c>
      <c r="AJ25367" s="835">
        <v>41333</v>
      </c>
      <c r="AK25367" s="831">
        <v>409742104</v>
      </c>
    </row>
    <row r="25368" spans="32:37">
      <c r="AF25368" s="831" t="s">
        <v>10799</v>
      </c>
      <c r="AG25368" s="831" t="s">
        <v>2674</v>
      </c>
      <c r="AH25368" s="831" t="s">
        <v>103</v>
      </c>
      <c r="AI25368" s="831">
        <v>0</v>
      </c>
      <c r="AJ25368" s="835">
        <v>41333</v>
      </c>
      <c r="AK25368" s="831">
        <v>176745769</v>
      </c>
    </row>
    <row r="25369" spans="32:37">
      <c r="AF25369" s="831" t="s">
        <v>10800</v>
      </c>
      <c r="AG25369" s="831" t="s">
        <v>2674</v>
      </c>
      <c r="AH25369" s="831" t="s">
        <v>182</v>
      </c>
      <c r="AI25369" s="831">
        <v>0</v>
      </c>
      <c r="AJ25369" s="835">
        <v>41333</v>
      </c>
      <c r="AK25369" s="831">
        <v>55637232</v>
      </c>
    </row>
    <row r="25370" spans="32:37">
      <c r="AF25370" s="831" t="s">
        <v>10801</v>
      </c>
      <c r="AG25370" s="831" t="s">
        <v>2674</v>
      </c>
      <c r="AH25370" s="831" t="s">
        <v>6600</v>
      </c>
      <c r="AI25370" s="831">
        <v>0</v>
      </c>
      <c r="AJ25370" s="835">
        <v>41333</v>
      </c>
      <c r="AK25370" s="831">
        <v>-2146826246</v>
      </c>
    </row>
    <row r="25371" spans="32:37">
      <c r="AF25371" s="831" t="s">
        <v>10802</v>
      </c>
      <c r="AG25371" s="831" t="s">
        <v>2674</v>
      </c>
      <c r="AH25371" s="831" t="s">
        <v>6602</v>
      </c>
      <c r="AI25371" s="831">
        <v>0</v>
      </c>
      <c r="AJ25371" s="835">
        <v>41333</v>
      </c>
      <c r="AK25371" s="831">
        <v>3817884</v>
      </c>
    </row>
    <row r="25372" spans="32:37">
      <c r="AF25372" s="831" t="s">
        <v>10803</v>
      </c>
      <c r="AG25372" s="831" t="s">
        <v>2674</v>
      </c>
      <c r="AH25372" s="831" t="s">
        <v>650</v>
      </c>
      <c r="AI25372" s="831">
        <v>0</v>
      </c>
      <c r="AJ25372" s="835">
        <v>41333</v>
      </c>
      <c r="AK25372" s="831">
        <v>163723555.30000001</v>
      </c>
    </row>
    <row r="25373" spans="32:37">
      <c r="AF25373" s="831" t="s">
        <v>10804</v>
      </c>
      <c r="AG25373" s="831" t="s">
        <v>2674</v>
      </c>
      <c r="AH25373" s="831" t="s">
        <v>655</v>
      </c>
      <c r="AI25373" s="831">
        <v>0</v>
      </c>
      <c r="AJ25373" s="835">
        <v>41333</v>
      </c>
      <c r="AK25373" s="831">
        <v>1851569</v>
      </c>
    </row>
    <row r="25374" spans="32:37">
      <c r="AF25374" s="831" t="s">
        <v>10805</v>
      </c>
      <c r="AG25374" s="831" t="s">
        <v>2674</v>
      </c>
      <c r="AH25374" s="831" t="s">
        <v>546</v>
      </c>
      <c r="AI25374" s="831">
        <v>0</v>
      </c>
      <c r="AJ25374" s="835">
        <v>41364</v>
      </c>
      <c r="AK25374" s="831">
        <v>455655641</v>
      </c>
    </row>
    <row r="25375" spans="32:37">
      <c r="AF25375" s="831" t="s">
        <v>10806</v>
      </c>
      <c r="AG25375" s="831" t="s">
        <v>2674</v>
      </c>
      <c r="AH25375" s="831" t="s">
        <v>370</v>
      </c>
      <c r="AI25375" s="831">
        <v>0</v>
      </c>
      <c r="AJ25375" s="835">
        <v>41364</v>
      </c>
      <c r="AK25375" s="831">
        <v>548973661</v>
      </c>
    </row>
    <row r="25376" spans="32:37">
      <c r="AF25376" s="831" t="s">
        <v>10807</v>
      </c>
      <c r="AG25376" s="831" t="s">
        <v>2674</v>
      </c>
      <c r="AH25376" s="831" t="s">
        <v>126</v>
      </c>
      <c r="AI25376" s="831">
        <v>0</v>
      </c>
      <c r="AJ25376" s="835">
        <v>41364</v>
      </c>
      <c r="AK25376" s="831">
        <v>100809389</v>
      </c>
    </row>
    <row r="25377" spans="32:37">
      <c r="AF25377" s="831" t="s">
        <v>10808</v>
      </c>
      <c r="AG25377" s="831" t="s">
        <v>2674</v>
      </c>
      <c r="AH25377" s="831" t="s">
        <v>268</v>
      </c>
      <c r="AI25377" s="831">
        <v>0</v>
      </c>
      <c r="AJ25377" s="835">
        <v>41364</v>
      </c>
      <c r="AK25377" s="831">
        <v>6046166</v>
      </c>
    </row>
    <row r="25378" spans="32:37">
      <c r="AF25378" s="831" t="s">
        <v>10809</v>
      </c>
      <c r="AG25378" s="831" t="s">
        <v>2674</v>
      </c>
      <c r="AH25378" s="831" t="s">
        <v>547</v>
      </c>
      <c r="AI25378" s="831">
        <v>0</v>
      </c>
      <c r="AJ25378" s="835">
        <v>41364</v>
      </c>
      <c r="AK25378" s="831">
        <v>511487760</v>
      </c>
    </row>
    <row r="25379" spans="32:37">
      <c r="AF25379" s="831" t="s">
        <v>10810</v>
      </c>
      <c r="AG25379" s="831" t="s">
        <v>2674</v>
      </c>
      <c r="AH25379" s="831" t="s">
        <v>548</v>
      </c>
      <c r="AI25379" s="831">
        <v>0</v>
      </c>
      <c r="AJ25379" s="835">
        <v>41364</v>
      </c>
      <c r="AK25379" s="831">
        <v>96883184</v>
      </c>
    </row>
    <row r="25380" spans="32:37">
      <c r="AF25380" s="831" t="s">
        <v>10811</v>
      </c>
      <c r="AG25380" s="831" t="s">
        <v>2674</v>
      </c>
      <c r="AH25380" s="831" t="s">
        <v>549</v>
      </c>
      <c r="AI25380" s="831">
        <v>0</v>
      </c>
      <c r="AJ25380" s="835">
        <v>41364</v>
      </c>
      <c r="AK25380" s="831">
        <v>0</v>
      </c>
    </row>
    <row r="25381" spans="32:37">
      <c r="AF25381" s="831" t="s">
        <v>10812</v>
      </c>
      <c r="AG25381" s="831" t="s">
        <v>2674</v>
      </c>
      <c r="AH25381" s="831" t="s">
        <v>192</v>
      </c>
      <c r="AI25381" s="831">
        <v>0</v>
      </c>
      <c r="AJ25381" s="835">
        <v>41364</v>
      </c>
      <c r="AK25381" s="831">
        <v>-11725074</v>
      </c>
    </row>
    <row r="25382" spans="32:37">
      <c r="AF25382" s="831" t="s">
        <v>10813</v>
      </c>
      <c r="AG25382" s="831" t="s">
        <v>2674</v>
      </c>
      <c r="AH25382" s="831" t="s">
        <v>558</v>
      </c>
      <c r="AI25382" s="831">
        <v>0</v>
      </c>
      <c r="AJ25382" s="835">
        <v>41364</v>
      </c>
      <c r="AK25382" s="831">
        <v>448164272</v>
      </c>
    </row>
    <row r="25383" spans="32:37">
      <c r="AF25383" s="831" t="s">
        <v>10814</v>
      </c>
      <c r="AG25383" s="831" t="s">
        <v>2674</v>
      </c>
      <c r="AH25383" s="831" t="s">
        <v>65</v>
      </c>
      <c r="AI25383" s="831">
        <v>0</v>
      </c>
      <c r="AJ25383" s="835">
        <v>41364</v>
      </c>
      <c r="AK25383" s="831">
        <v>27883165</v>
      </c>
    </row>
    <row r="25384" spans="32:37">
      <c r="AF25384" s="831" t="s">
        <v>10815</v>
      </c>
      <c r="AG25384" s="831" t="s">
        <v>2674</v>
      </c>
      <c r="AH25384" s="831" t="s">
        <v>89</v>
      </c>
      <c r="AI25384" s="831">
        <v>0</v>
      </c>
      <c r="AJ25384" s="835">
        <v>41364</v>
      </c>
      <c r="AK25384" s="831">
        <v>129296</v>
      </c>
    </row>
    <row r="25385" spans="32:37">
      <c r="AF25385" s="831" t="s">
        <v>10816</v>
      </c>
      <c r="AG25385" s="831" t="s">
        <v>2674</v>
      </c>
      <c r="AH25385" s="831" t="s">
        <v>557</v>
      </c>
      <c r="AI25385" s="831">
        <v>0</v>
      </c>
      <c r="AJ25385" s="835">
        <v>41364</v>
      </c>
      <c r="AK25385" s="831">
        <v>133005</v>
      </c>
    </row>
    <row r="25386" spans="32:37">
      <c r="AF25386" s="831" t="s">
        <v>10817</v>
      </c>
      <c r="AG25386" s="831" t="s">
        <v>2674</v>
      </c>
      <c r="AH25386" s="831" t="s">
        <v>29</v>
      </c>
      <c r="AI25386" s="831">
        <v>0</v>
      </c>
      <c r="AJ25386" s="835">
        <v>41364</v>
      </c>
      <c r="AK25386" s="831">
        <v>2674773</v>
      </c>
    </row>
    <row r="25387" spans="32:37">
      <c r="AF25387" s="831" t="s">
        <v>10818</v>
      </c>
      <c r="AG25387" s="831" t="s">
        <v>2674</v>
      </c>
      <c r="AH25387" s="831" t="s">
        <v>2688</v>
      </c>
      <c r="AI25387" s="831">
        <v>0</v>
      </c>
      <c r="AJ25387" s="835">
        <v>41364</v>
      </c>
      <c r="AK25387" s="831">
        <v>2715490</v>
      </c>
    </row>
    <row r="25388" spans="32:37">
      <c r="AF25388" s="831" t="s">
        <v>10819</v>
      </c>
      <c r="AG25388" s="831" t="s">
        <v>2674</v>
      </c>
      <c r="AH25388" s="831" t="s">
        <v>556</v>
      </c>
      <c r="AI25388" s="831">
        <v>0</v>
      </c>
      <c r="AJ25388" s="835">
        <v>41364</v>
      </c>
      <c r="AK25388" s="831">
        <v>902857</v>
      </c>
    </row>
    <row r="25389" spans="32:37">
      <c r="AF25389" s="831" t="s">
        <v>10820</v>
      </c>
      <c r="AG25389" s="831" t="s">
        <v>2674</v>
      </c>
      <c r="AH25389" s="831" t="s">
        <v>555</v>
      </c>
      <c r="AI25389" s="831">
        <v>0</v>
      </c>
      <c r="AJ25389" s="835">
        <v>41364</v>
      </c>
      <c r="AK25389" s="831">
        <v>285158930</v>
      </c>
    </row>
    <row r="25390" spans="32:37">
      <c r="AF25390" s="831" t="s">
        <v>10821</v>
      </c>
      <c r="AG25390" s="831" t="s">
        <v>2674</v>
      </c>
      <c r="AH25390" s="831" t="s">
        <v>554</v>
      </c>
      <c r="AI25390" s="831">
        <v>0</v>
      </c>
      <c r="AJ25390" s="835">
        <v>41364</v>
      </c>
      <c r="AK25390" s="831">
        <v>281381290</v>
      </c>
    </row>
    <row r="25391" spans="32:37">
      <c r="AF25391" s="831" t="s">
        <v>10822</v>
      </c>
      <c r="AG25391" s="831" t="s">
        <v>2674</v>
      </c>
      <c r="AH25391" s="831" t="s">
        <v>553</v>
      </c>
      <c r="AI25391" s="831">
        <v>0</v>
      </c>
      <c r="AJ25391" s="835">
        <v>41364</v>
      </c>
      <c r="AK25391" s="831">
        <v>0</v>
      </c>
    </row>
    <row r="25392" spans="32:37">
      <c r="AF25392" s="831" t="s">
        <v>10823</v>
      </c>
      <c r="AG25392" s="831" t="s">
        <v>2674</v>
      </c>
      <c r="AH25392" s="831" t="s">
        <v>552</v>
      </c>
      <c r="AI25392" s="831">
        <v>0</v>
      </c>
      <c r="AJ25392" s="835">
        <v>41364</v>
      </c>
      <c r="AK25392" s="831">
        <v>0</v>
      </c>
    </row>
    <row r="25393" spans="32:37">
      <c r="AF25393" s="831" t="s">
        <v>10824</v>
      </c>
      <c r="AG25393" s="831" t="s">
        <v>2674</v>
      </c>
      <c r="AH25393" s="831" t="s">
        <v>551</v>
      </c>
      <c r="AI25393" s="831">
        <v>0</v>
      </c>
      <c r="AJ25393" s="835">
        <v>41364</v>
      </c>
      <c r="AK25393" s="831">
        <v>2175856</v>
      </c>
    </row>
    <row r="25394" spans="32:37">
      <c r="AF25394" s="831" t="s">
        <v>10825</v>
      </c>
      <c r="AG25394" s="831" t="s">
        <v>2674</v>
      </c>
      <c r="AH25394" s="831" t="s">
        <v>550</v>
      </c>
      <c r="AI25394" s="831">
        <v>0</v>
      </c>
      <c r="AJ25394" s="835">
        <v>41364</v>
      </c>
      <c r="AK25394" s="831">
        <v>98581107</v>
      </c>
    </row>
    <row r="25395" spans="32:37">
      <c r="AF25395" s="831" t="s">
        <v>10826</v>
      </c>
      <c r="AG25395" s="831" t="s">
        <v>2674</v>
      </c>
      <c r="AH25395" s="831" t="s">
        <v>562</v>
      </c>
      <c r="AI25395" s="831">
        <v>0</v>
      </c>
      <c r="AJ25395" s="835">
        <v>41364</v>
      </c>
      <c r="AK25395" s="831">
        <v>0.78425</v>
      </c>
    </row>
    <row r="25396" spans="32:37">
      <c r="AF25396" s="831" t="s">
        <v>10827</v>
      </c>
      <c r="AG25396" s="831" t="s">
        <v>2674</v>
      </c>
      <c r="AH25396" s="831" t="s">
        <v>2698</v>
      </c>
      <c r="AI25396" s="831">
        <v>0</v>
      </c>
      <c r="AJ25396" s="835">
        <v>41364</v>
      </c>
      <c r="AK25396" s="831">
        <v>0.78434999999999999</v>
      </c>
    </row>
    <row r="25397" spans="32:37">
      <c r="AF25397" s="831" t="s">
        <v>10828</v>
      </c>
      <c r="AG25397" s="831" t="s">
        <v>2674</v>
      </c>
      <c r="AH25397" s="831" t="s">
        <v>560</v>
      </c>
      <c r="AI25397" s="831">
        <v>0</v>
      </c>
      <c r="AJ25397" s="835">
        <v>41364</v>
      </c>
      <c r="AK25397" s="831">
        <v>0.78415000000000001</v>
      </c>
    </row>
    <row r="25398" spans="32:37">
      <c r="AF25398" s="831" t="s">
        <v>10829</v>
      </c>
      <c r="AG25398" s="831" t="s">
        <v>2674</v>
      </c>
      <c r="AH25398" s="831" t="s">
        <v>559</v>
      </c>
      <c r="AI25398" s="831">
        <v>0</v>
      </c>
      <c r="AJ25398" s="835">
        <v>41364</v>
      </c>
      <c r="AK25398" s="831">
        <v>0.78459166666666669</v>
      </c>
    </row>
    <row r="25399" spans="32:37">
      <c r="AF25399" s="831" t="s">
        <v>10830</v>
      </c>
      <c r="AG25399" s="831" t="s">
        <v>2674</v>
      </c>
      <c r="AH25399" s="831" t="s">
        <v>568</v>
      </c>
      <c r="AI25399" s="831">
        <v>0</v>
      </c>
      <c r="AJ25399" s="835">
        <v>41364</v>
      </c>
      <c r="AK25399" s="831">
        <v>387042366</v>
      </c>
    </row>
    <row r="25400" spans="32:37">
      <c r="AF25400" s="831" t="s">
        <v>10831</v>
      </c>
      <c r="AG25400" s="831" t="s">
        <v>2674</v>
      </c>
      <c r="AH25400" s="831" t="s">
        <v>569</v>
      </c>
      <c r="AI25400" s="831">
        <v>0</v>
      </c>
      <c r="AJ25400" s="835">
        <v>41364</v>
      </c>
      <c r="AK25400" s="831">
        <v>472896677.63636363</v>
      </c>
    </row>
    <row r="25401" spans="32:37">
      <c r="AF25401" s="831" t="s">
        <v>10832</v>
      </c>
      <c r="AG25401" s="831" t="s">
        <v>2674</v>
      </c>
      <c r="AH25401" s="831" t="s">
        <v>570</v>
      </c>
      <c r="AI25401" s="831">
        <v>0</v>
      </c>
      <c r="AJ25401" s="835">
        <v>41364</v>
      </c>
      <c r="AK25401" s="831">
        <v>97015572.090909094</v>
      </c>
    </row>
    <row r="25402" spans="32:37">
      <c r="AF25402" s="831" t="s">
        <v>10833</v>
      </c>
      <c r="AG25402" s="831" t="s">
        <v>2674</v>
      </c>
      <c r="AH25402" s="831" t="s">
        <v>571</v>
      </c>
      <c r="AI25402" s="831">
        <v>0</v>
      </c>
      <c r="AJ25402" s="835">
        <v>41364</v>
      </c>
      <c r="AK25402" s="831">
        <v>197450778.09090909</v>
      </c>
    </row>
    <row r="25403" spans="32:37">
      <c r="AF25403" s="831" t="s">
        <v>10834</v>
      </c>
      <c r="AG25403" s="831" t="s">
        <v>2674</v>
      </c>
      <c r="AH25403" s="831" t="s">
        <v>573</v>
      </c>
      <c r="AI25403" s="831">
        <v>0</v>
      </c>
      <c r="AJ25403" s="835">
        <v>41364</v>
      </c>
      <c r="AK25403" s="831">
        <v>524451626.75</v>
      </c>
    </row>
    <row r="25404" spans="32:37">
      <c r="AF25404" s="831" t="s">
        <v>10835</v>
      </c>
      <c r="AG25404" s="831" t="s">
        <v>2674</v>
      </c>
      <c r="AH25404" s="831" t="s">
        <v>574</v>
      </c>
      <c r="AI25404" s="831">
        <v>0</v>
      </c>
      <c r="AJ25404" s="835">
        <v>41364</v>
      </c>
      <c r="AK25404" s="831">
        <v>431410912.75</v>
      </c>
    </row>
    <row r="25405" spans="32:37">
      <c r="AF25405" s="831" t="s">
        <v>10836</v>
      </c>
      <c r="AG25405" s="831" t="s">
        <v>2674</v>
      </c>
      <c r="AH25405" s="831" t="s">
        <v>575</v>
      </c>
      <c r="AI25405" s="831">
        <v>0</v>
      </c>
      <c r="AJ25405" s="835">
        <v>41364</v>
      </c>
      <c r="AK25405" s="831">
        <v>99359138.75</v>
      </c>
    </row>
    <row r="25406" spans="32:37">
      <c r="AF25406" s="831" t="s">
        <v>10837</v>
      </c>
      <c r="AG25406" s="831" t="s">
        <v>2674</v>
      </c>
      <c r="AH25406" s="831" t="s">
        <v>576</v>
      </c>
      <c r="AI25406" s="831">
        <v>0</v>
      </c>
      <c r="AJ25406" s="835">
        <v>41364</v>
      </c>
      <c r="AK25406" s="831">
        <v>237999860.25</v>
      </c>
    </row>
    <row r="25407" spans="32:37">
      <c r="AF25407" s="831" t="s">
        <v>10838</v>
      </c>
      <c r="AG25407" s="831" t="s">
        <v>2674</v>
      </c>
      <c r="AH25407" s="831" t="s">
        <v>572</v>
      </c>
      <c r="AI25407" s="831">
        <v>0</v>
      </c>
      <c r="AJ25407" s="835">
        <v>41364</v>
      </c>
      <c r="AK25407" s="831">
        <v>-2146826246</v>
      </c>
    </row>
    <row r="25408" spans="32:37">
      <c r="AF25408" s="831" t="s">
        <v>10839</v>
      </c>
      <c r="AG25408" s="831" t="s">
        <v>2674</v>
      </c>
      <c r="AH25408" s="831" t="s">
        <v>577</v>
      </c>
      <c r="AI25408" s="831">
        <v>0</v>
      </c>
      <c r="AJ25408" s="835">
        <v>41364</v>
      </c>
      <c r="AK25408" s="831">
        <v>-2146826246</v>
      </c>
    </row>
    <row r="25409" spans="32:37">
      <c r="AF25409" s="831" t="s">
        <v>10840</v>
      </c>
      <c r="AG25409" s="831" t="s">
        <v>2674</v>
      </c>
      <c r="AH25409" s="831" t="s">
        <v>3042</v>
      </c>
      <c r="AI25409" s="831">
        <v>0</v>
      </c>
      <c r="AJ25409" s="835">
        <v>41364</v>
      </c>
      <c r="AK25409" s="831">
        <v>-2146826246</v>
      </c>
    </row>
    <row r="25410" spans="32:37">
      <c r="AF25410" s="831" t="s">
        <v>10841</v>
      </c>
      <c r="AG25410" s="831" t="s">
        <v>2674</v>
      </c>
      <c r="AH25410" s="831" t="s">
        <v>3044</v>
      </c>
      <c r="AI25410" s="831">
        <v>0</v>
      </c>
      <c r="AJ25410" s="835">
        <v>41364</v>
      </c>
      <c r="AK25410" s="831">
        <v>-2146826246</v>
      </c>
    </row>
    <row r="25411" spans="32:37">
      <c r="AF25411" s="831" t="s">
        <v>10842</v>
      </c>
      <c r="AG25411" s="831" t="s">
        <v>2674</v>
      </c>
      <c r="AH25411" s="831" t="s">
        <v>580</v>
      </c>
      <c r="AI25411" s="831">
        <v>0</v>
      </c>
      <c r="AJ25411" s="835">
        <v>41364</v>
      </c>
      <c r="AK25411" s="831">
        <v>-2146826246</v>
      </c>
    </row>
    <row r="25412" spans="32:37">
      <c r="AF25412" s="831" t="s">
        <v>10843</v>
      </c>
      <c r="AG25412" s="831" t="s">
        <v>2674</v>
      </c>
      <c r="AH25412" s="831" t="s">
        <v>581</v>
      </c>
      <c r="AI25412" s="831">
        <v>0</v>
      </c>
      <c r="AJ25412" s="835">
        <v>41364</v>
      </c>
      <c r="AK25412" s="831">
        <v>-2146826246</v>
      </c>
    </row>
    <row r="25413" spans="32:37">
      <c r="AF25413" s="831" t="s">
        <v>10844</v>
      </c>
      <c r="AG25413" s="831" t="s">
        <v>2674</v>
      </c>
      <c r="AH25413" s="831" t="s">
        <v>105</v>
      </c>
      <c r="AI25413" s="831">
        <v>0</v>
      </c>
      <c r="AJ25413" s="835">
        <v>41364</v>
      </c>
      <c r="AK25413" s="831">
        <v>251718369</v>
      </c>
    </row>
    <row r="25414" spans="32:37">
      <c r="AF25414" s="831" t="s">
        <v>10845</v>
      </c>
      <c r="AG25414" s="831" t="s">
        <v>2674</v>
      </c>
      <c r="AH25414" s="831" t="s">
        <v>3049</v>
      </c>
      <c r="AI25414" s="831">
        <v>0</v>
      </c>
      <c r="AJ25414" s="835">
        <v>41364</v>
      </c>
      <c r="AK25414" s="831">
        <v>433573874</v>
      </c>
    </row>
    <row r="25415" spans="32:37">
      <c r="AF25415" s="831" t="s">
        <v>10846</v>
      </c>
      <c r="AG25415" s="831" t="s">
        <v>2674</v>
      </c>
      <c r="AH25415" s="831" t="s">
        <v>103</v>
      </c>
      <c r="AI25415" s="831">
        <v>0</v>
      </c>
      <c r="AJ25415" s="835">
        <v>41364</v>
      </c>
      <c r="AK25415" s="831">
        <v>181855505</v>
      </c>
    </row>
    <row r="25416" spans="32:37">
      <c r="AF25416" s="831" t="s">
        <v>10847</v>
      </c>
      <c r="AG25416" s="831" t="s">
        <v>2674</v>
      </c>
      <c r="AH25416" s="831" t="s">
        <v>182</v>
      </c>
      <c r="AI25416" s="831">
        <v>0</v>
      </c>
      <c r="AJ25416" s="835">
        <v>41364</v>
      </c>
      <c r="AK25416" s="831">
        <v>54931936</v>
      </c>
    </row>
    <row r="25417" spans="32:37">
      <c r="AF25417" s="831" t="s">
        <v>10848</v>
      </c>
      <c r="AG25417" s="831" t="s">
        <v>2674</v>
      </c>
      <c r="AH25417" s="831" t="s">
        <v>6600</v>
      </c>
      <c r="AI25417" s="831">
        <v>0</v>
      </c>
      <c r="AJ25417" s="835">
        <v>41364</v>
      </c>
      <c r="AK25417" s="831">
        <v>-2146826246</v>
      </c>
    </row>
    <row r="25418" spans="32:37">
      <c r="AF25418" s="831" t="s">
        <v>10849</v>
      </c>
      <c r="AG25418" s="831" t="s">
        <v>2674</v>
      </c>
      <c r="AH25418" s="831" t="s">
        <v>6602</v>
      </c>
      <c r="AI25418" s="831">
        <v>0</v>
      </c>
      <c r="AJ25418" s="835">
        <v>41364</v>
      </c>
      <c r="AK25418" s="831">
        <v>6046166</v>
      </c>
    </row>
    <row r="25419" spans="32:37">
      <c r="AF25419" s="831" t="s">
        <v>10850</v>
      </c>
      <c r="AG25419" s="831" t="s">
        <v>2674</v>
      </c>
      <c r="AH25419" s="831" t="s">
        <v>650</v>
      </c>
      <c r="AI25419" s="831">
        <v>0</v>
      </c>
      <c r="AJ25419" s="835">
        <v>41364</v>
      </c>
      <c r="AK25419" s="831">
        <v>165371914.36363637</v>
      </c>
    </row>
    <row r="25420" spans="32:37">
      <c r="AF25420" s="831" t="s">
        <v>10851</v>
      </c>
      <c r="AG25420" s="831" t="s">
        <v>2674</v>
      </c>
      <c r="AH25420" s="831" t="s">
        <v>655</v>
      </c>
      <c r="AI25420" s="831">
        <v>0</v>
      </c>
      <c r="AJ25420" s="835">
        <v>41364</v>
      </c>
      <c r="AK25420" s="831">
        <v>1831184</v>
      </c>
    </row>
    <row r="25421" spans="32:37">
      <c r="AF25421" s="831" t="s">
        <v>10852</v>
      </c>
      <c r="AG25421" s="831" t="s">
        <v>2674</v>
      </c>
      <c r="AH25421" s="831" t="s">
        <v>546</v>
      </c>
      <c r="AI25421" s="831">
        <v>0</v>
      </c>
      <c r="AJ25421" s="835">
        <v>41394</v>
      </c>
      <c r="AK25421" s="831">
        <v>479771222</v>
      </c>
    </row>
    <row r="25422" spans="32:37">
      <c r="AF25422" s="831" t="s">
        <v>10853</v>
      </c>
      <c r="AG25422" s="831" t="s">
        <v>2674</v>
      </c>
      <c r="AH25422" s="831" t="s">
        <v>370</v>
      </c>
      <c r="AI25422" s="831">
        <v>0</v>
      </c>
      <c r="AJ25422" s="835">
        <v>41394</v>
      </c>
      <c r="AK25422" s="831">
        <v>566329383</v>
      </c>
    </row>
    <row r="25423" spans="32:37">
      <c r="AF25423" s="831" t="s">
        <v>10854</v>
      </c>
      <c r="AG25423" s="831" t="s">
        <v>2674</v>
      </c>
      <c r="AH25423" s="831" t="s">
        <v>126</v>
      </c>
      <c r="AI25423" s="831">
        <v>0</v>
      </c>
      <c r="AJ25423" s="835">
        <v>41394</v>
      </c>
      <c r="AK25423" s="831">
        <v>103327866</v>
      </c>
    </row>
    <row r="25424" spans="32:37">
      <c r="AF25424" s="831" t="s">
        <v>10855</v>
      </c>
      <c r="AG25424" s="831" t="s">
        <v>2674</v>
      </c>
      <c r="AH25424" s="831" t="s">
        <v>268</v>
      </c>
      <c r="AI25424" s="831">
        <v>0</v>
      </c>
      <c r="AJ25424" s="835">
        <v>41394</v>
      </c>
      <c r="AK25424" s="831">
        <v>8564643</v>
      </c>
    </row>
    <row r="25425" spans="32:37">
      <c r="AF25425" s="831" t="s">
        <v>10856</v>
      </c>
      <c r="AG25425" s="831" t="s">
        <v>2674</v>
      </c>
      <c r="AH25425" s="831" t="s">
        <v>547</v>
      </c>
      <c r="AI25425" s="831">
        <v>0</v>
      </c>
      <c r="AJ25425" s="835">
        <v>41394</v>
      </c>
      <c r="AK25425" s="831">
        <v>511487760</v>
      </c>
    </row>
    <row r="25426" spans="32:37">
      <c r="AF25426" s="831" t="s">
        <v>10857</v>
      </c>
      <c r="AG25426" s="831" t="s">
        <v>2674</v>
      </c>
      <c r="AH25426" s="831" t="s">
        <v>548</v>
      </c>
      <c r="AI25426" s="831">
        <v>0</v>
      </c>
      <c r="AJ25426" s="835">
        <v>41394</v>
      </c>
      <c r="AK25426" s="831">
        <v>96883184</v>
      </c>
    </row>
    <row r="25427" spans="32:37">
      <c r="AF25427" s="831" t="s">
        <v>10858</v>
      </c>
      <c r="AG25427" s="831" t="s">
        <v>2674</v>
      </c>
      <c r="AH25427" s="831" t="s">
        <v>549</v>
      </c>
      <c r="AI25427" s="831">
        <v>0</v>
      </c>
      <c r="AJ25427" s="835">
        <v>41394</v>
      </c>
      <c r="AK25427" s="831">
        <v>0</v>
      </c>
    </row>
    <row r="25428" spans="32:37">
      <c r="AF25428" s="831" t="s">
        <v>10859</v>
      </c>
      <c r="AG25428" s="831" t="s">
        <v>2674</v>
      </c>
      <c r="AH25428" s="831" t="s">
        <v>192</v>
      </c>
      <c r="AI25428" s="831">
        <v>0</v>
      </c>
      <c r="AJ25428" s="835">
        <v>41394</v>
      </c>
      <c r="AK25428" s="831">
        <v>-12137335</v>
      </c>
    </row>
    <row r="25429" spans="32:37">
      <c r="AF25429" s="831" t="s">
        <v>10860</v>
      </c>
      <c r="AG25429" s="831" t="s">
        <v>2674</v>
      </c>
      <c r="AH25429" s="831" t="s">
        <v>558</v>
      </c>
      <c r="AI25429" s="831">
        <v>0</v>
      </c>
      <c r="AJ25429" s="835">
        <v>41394</v>
      </c>
      <c r="AK25429" s="831">
        <v>463001517</v>
      </c>
    </row>
    <row r="25430" spans="32:37">
      <c r="AF25430" s="831" t="s">
        <v>10861</v>
      </c>
      <c r="AG25430" s="831" t="s">
        <v>2674</v>
      </c>
      <c r="AH25430" s="831" t="s">
        <v>65</v>
      </c>
      <c r="AI25430" s="831">
        <v>0</v>
      </c>
      <c r="AJ25430" s="835">
        <v>41394</v>
      </c>
      <c r="AK25430" s="831">
        <v>38829477</v>
      </c>
    </row>
    <row r="25431" spans="32:37">
      <c r="AF25431" s="831" t="s">
        <v>10862</v>
      </c>
      <c r="AG25431" s="831" t="s">
        <v>2674</v>
      </c>
      <c r="AH25431" s="831" t="s">
        <v>89</v>
      </c>
      <c r="AI25431" s="831">
        <v>0</v>
      </c>
      <c r="AJ25431" s="835">
        <v>41394</v>
      </c>
      <c r="AK25431" s="831">
        <v>132126</v>
      </c>
    </row>
    <row r="25432" spans="32:37">
      <c r="AF25432" s="831" t="s">
        <v>10863</v>
      </c>
      <c r="AG25432" s="831" t="s">
        <v>2674</v>
      </c>
      <c r="AH25432" s="831" t="s">
        <v>557</v>
      </c>
      <c r="AI25432" s="831">
        <v>0</v>
      </c>
      <c r="AJ25432" s="835">
        <v>41394</v>
      </c>
      <c r="AK25432" s="831">
        <v>135969</v>
      </c>
    </row>
    <row r="25433" spans="32:37">
      <c r="AF25433" s="831" t="s">
        <v>10864</v>
      </c>
      <c r="AG25433" s="831" t="s">
        <v>2674</v>
      </c>
      <c r="AH25433" s="831" t="s">
        <v>29</v>
      </c>
      <c r="AI25433" s="831">
        <v>0</v>
      </c>
      <c r="AJ25433" s="835">
        <v>41394</v>
      </c>
      <c r="AK25433" s="831">
        <v>3183810</v>
      </c>
    </row>
    <row r="25434" spans="32:37">
      <c r="AF25434" s="831" t="s">
        <v>10865</v>
      </c>
      <c r="AG25434" s="831" t="s">
        <v>2674</v>
      </c>
      <c r="AH25434" s="831" t="s">
        <v>2688</v>
      </c>
      <c r="AI25434" s="831">
        <v>0</v>
      </c>
      <c r="AJ25434" s="835">
        <v>41394</v>
      </c>
      <c r="AK25434" s="831">
        <v>2795249</v>
      </c>
    </row>
    <row r="25435" spans="32:37">
      <c r="AF25435" s="831" t="s">
        <v>10866</v>
      </c>
      <c r="AG25435" s="831" t="s">
        <v>2674</v>
      </c>
      <c r="AH25435" s="831" t="s">
        <v>556</v>
      </c>
      <c r="AI25435" s="831">
        <v>0</v>
      </c>
      <c r="AJ25435" s="835">
        <v>41394</v>
      </c>
      <c r="AK25435" s="831">
        <v>902857</v>
      </c>
    </row>
    <row r="25436" spans="32:37">
      <c r="AF25436" s="831" t="s">
        <v>10867</v>
      </c>
      <c r="AG25436" s="831" t="s">
        <v>2674</v>
      </c>
      <c r="AH25436" s="831" t="s">
        <v>555</v>
      </c>
      <c r="AI25436" s="831">
        <v>0</v>
      </c>
      <c r="AJ25436" s="835">
        <v>41394</v>
      </c>
      <c r="AK25436" s="831">
        <v>292199280</v>
      </c>
    </row>
    <row r="25437" spans="32:37">
      <c r="AF25437" s="831" t="s">
        <v>10868</v>
      </c>
      <c r="AG25437" s="831" t="s">
        <v>2674</v>
      </c>
      <c r="AH25437" s="831" t="s">
        <v>554</v>
      </c>
      <c r="AI25437" s="831">
        <v>0</v>
      </c>
      <c r="AJ25437" s="835">
        <v>41394</v>
      </c>
      <c r="AK25437" s="831">
        <v>282835760</v>
      </c>
    </row>
    <row r="25438" spans="32:37">
      <c r="AF25438" s="831" t="s">
        <v>10869</v>
      </c>
      <c r="AG25438" s="831" t="s">
        <v>2674</v>
      </c>
      <c r="AH25438" s="831" t="s">
        <v>553</v>
      </c>
      <c r="AI25438" s="831">
        <v>0</v>
      </c>
      <c r="AJ25438" s="835">
        <v>41394</v>
      </c>
      <c r="AK25438" s="831">
        <v>0</v>
      </c>
    </row>
    <row r="25439" spans="32:37">
      <c r="AF25439" s="831" t="s">
        <v>10870</v>
      </c>
      <c r="AG25439" s="831" t="s">
        <v>2674</v>
      </c>
      <c r="AH25439" s="831" t="s">
        <v>552</v>
      </c>
      <c r="AI25439" s="831">
        <v>0</v>
      </c>
      <c r="AJ25439" s="835">
        <v>41394</v>
      </c>
      <c r="AK25439" s="831">
        <v>0</v>
      </c>
    </row>
    <row r="25440" spans="32:37">
      <c r="AF25440" s="831" t="s">
        <v>10871</v>
      </c>
      <c r="AG25440" s="831" t="s">
        <v>2674</v>
      </c>
      <c r="AH25440" s="831" t="s">
        <v>551</v>
      </c>
      <c r="AI25440" s="831">
        <v>0</v>
      </c>
      <c r="AJ25440" s="835">
        <v>41394</v>
      </c>
      <c r="AK25440" s="831">
        <v>3073568</v>
      </c>
    </row>
    <row r="25441" spans="32:37">
      <c r="AF25441" s="831" t="s">
        <v>10872</v>
      </c>
      <c r="AG25441" s="831" t="s">
        <v>2674</v>
      </c>
      <c r="AH25441" s="831" t="s">
        <v>550</v>
      </c>
      <c r="AI25441" s="831">
        <v>0</v>
      </c>
      <c r="AJ25441" s="835">
        <v>41394</v>
      </c>
      <c r="AK25441" s="831">
        <v>100809389</v>
      </c>
    </row>
    <row r="25442" spans="32:37">
      <c r="AF25442" s="831" t="s">
        <v>10873</v>
      </c>
      <c r="AG25442" s="831" t="s">
        <v>2674</v>
      </c>
      <c r="AH25442" s="831" t="s">
        <v>562</v>
      </c>
      <c r="AI25442" s="831">
        <v>0</v>
      </c>
      <c r="AJ25442" s="835">
        <v>41394</v>
      </c>
      <c r="AK25442" s="831">
        <v>0.78405000000000002</v>
      </c>
    </row>
    <row r="25443" spans="32:37">
      <c r="AF25443" s="831" t="s">
        <v>10874</v>
      </c>
      <c r="AG25443" s="831" t="s">
        <v>2674</v>
      </c>
      <c r="AH25443" s="831" t="s">
        <v>2698</v>
      </c>
      <c r="AI25443" s="831">
        <v>0</v>
      </c>
      <c r="AJ25443" s="835">
        <v>41394</v>
      </c>
      <c r="AK25443" s="831">
        <v>0.78425</v>
      </c>
    </row>
    <row r="25444" spans="32:37">
      <c r="AF25444" s="831" t="s">
        <v>10875</v>
      </c>
      <c r="AG25444" s="831" t="s">
        <v>2674</v>
      </c>
      <c r="AH25444" s="831" t="s">
        <v>560</v>
      </c>
      <c r="AI25444" s="831">
        <v>0</v>
      </c>
      <c r="AJ25444" s="835">
        <v>41394</v>
      </c>
      <c r="AK25444" s="831">
        <v>0.78412500000000007</v>
      </c>
    </row>
    <row r="25445" spans="32:37">
      <c r="AF25445" s="831" t="s">
        <v>10876</v>
      </c>
      <c r="AG25445" s="831" t="s">
        <v>2674</v>
      </c>
      <c r="AH25445" s="831" t="s">
        <v>559</v>
      </c>
      <c r="AI25445" s="831">
        <v>0</v>
      </c>
      <c r="AJ25445" s="835">
        <v>41394</v>
      </c>
      <c r="AK25445" s="831">
        <v>0.78444166666666681</v>
      </c>
    </row>
    <row r="25446" spans="32:37">
      <c r="AF25446" s="831" t="s">
        <v>10877</v>
      </c>
      <c r="AG25446" s="831" t="s">
        <v>2674</v>
      </c>
      <c r="AH25446" s="831" t="s">
        <v>568</v>
      </c>
      <c r="AI25446" s="831">
        <v>0</v>
      </c>
      <c r="AJ25446" s="835">
        <v>41394</v>
      </c>
      <c r="AK25446" s="831">
        <v>394769770.66666669</v>
      </c>
    </row>
    <row r="25447" spans="32:37">
      <c r="AF25447" s="831" t="s">
        <v>10878</v>
      </c>
      <c r="AG25447" s="831" t="s">
        <v>2674</v>
      </c>
      <c r="AH25447" s="831" t="s">
        <v>569</v>
      </c>
      <c r="AI25447" s="831">
        <v>0</v>
      </c>
      <c r="AJ25447" s="835">
        <v>41394</v>
      </c>
      <c r="AK25447" s="831">
        <v>480682736.41666669</v>
      </c>
    </row>
    <row r="25448" spans="32:37">
      <c r="AF25448" s="831" t="s">
        <v>10879</v>
      </c>
      <c r="AG25448" s="831" t="s">
        <v>2674</v>
      </c>
      <c r="AH25448" s="831" t="s">
        <v>570</v>
      </c>
      <c r="AI25448" s="831">
        <v>0</v>
      </c>
      <c r="AJ25448" s="835">
        <v>41394</v>
      </c>
      <c r="AK25448" s="831">
        <v>97541596.583333328</v>
      </c>
    </row>
    <row r="25449" spans="32:37">
      <c r="AF25449" s="831" t="s">
        <v>10880</v>
      </c>
      <c r="AG25449" s="831" t="s">
        <v>2674</v>
      </c>
      <c r="AH25449" s="831" t="s">
        <v>571</v>
      </c>
      <c r="AI25449" s="831">
        <v>0</v>
      </c>
      <c r="AJ25449" s="835">
        <v>41394</v>
      </c>
      <c r="AK25449" s="831">
        <v>202392383.16666666</v>
      </c>
    </row>
    <row r="25450" spans="32:37">
      <c r="AF25450" s="831" t="s">
        <v>10881</v>
      </c>
      <c r="AG25450" s="831" t="s">
        <v>2674</v>
      </c>
      <c r="AH25450" s="831" t="s">
        <v>573</v>
      </c>
      <c r="AI25450" s="831">
        <v>0</v>
      </c>
      <c r="AJ25450" s="835">
        <v>41394</v>
      </c>
      <c r="AK25450" s="831">
        <v>532827178</v>
      </c>
    </row>
    <row r="25451" spans="32:37">
      <c r="AF25451" s="831" t="s">
        <v>10882</v>
      </c>
      <c r="AG25451" s="831" t="s">
        <v>2674</v>
      </c>
      <c r="AH25451" s="831" t="s">
        <v>574</v>
      </c>
      <c r="AI25451" s="831">
        <v>0</v>
      </c>
      <c r="AJ25451" s="835">
        <v>41394</v>
      </c>
      <c r="AK25451" s="831">
        <v>441082974.60000002</v>
      </c>
    </row>
    <row r="25452" spans="32:37">
      <c r="AF25452" s="831" t="s">
        <v>10883</v>
      </c>
      <c r="AG25452" s="831" t="s">
        <v>2674</v>
      </c>
      <c r="AH25452" s="831" t="s">
        <v>575</v>
      </c>
      <c r="AI25452" s="831">
        <v>0</v>
      </c>
      <c r="AJ25452" s="835">
        <v>41394</v>
      </c>
      <c r="AK25452" s="831">
        <v>100152884.2</v>
      </c>
    </row>
    <row r="25453" spans="32:37">
      <c r="AF25453" s="831" t="s">
        <v>10884</v>
      </c>
      <c r="AG25453" s="831" t="s">
        <v>2674</v>
      </c>
      <c r="AH25453" s="831" t="s">
        <v>576</v>
      </c>
      <c r="AI25453" s="831">
        <v>0</v>
      </c>
      <c r="AJ25453" s="835">
        <v>41394</v>
      </c>
      <c r="AK25453" s="831">
        <v>241749896</v>
      </c>
    </row>
    <row r="25454" spans="32:37">
      <c r="AF25454" s="831" t="s">
        <v>10885</v>
      </c>
      <c r="AG25454" s="831" t="s">
        <v>2674</v>
      </c>
      <c r="AH25454" s="831" t="s">
        <v>572</v>
      </c>
      <c r="AI25454" s="831">
        <v>0</v>
      </c>
      <c r="AJ25454" s="835">
        <v>41394</v>
      </c>
      <c r="AK25454" s="831">
        <v>24404594</v>
      </c>
    </row>
    <row r="25455" spans="32:37">
      <c r="AF25455" s="831" t="s">
        <v>10886</v>
      </c>
      <c r="AG25455" s="831" t="s">
        <v>2674</v>
      </c>
      <c r="AH25455" s="831" t="s">
        <v>577</v>
      </c>
      <c r="AI25455" s="831">
        <v>0</v>
      </c>
      <c r="AJ25455" s="835">
        <v>41394</v>
      </c>
      <c r="AK25455" s="831">
        <v>137705857</v>
      </c>
    </row>
    <row r="25456" spans="32:37">
      <c r="AF25456" s="831" t="s">
        <v>10887</v>
      </c>
      <c r="AG25456" s="831" t="s">
        <v>2674</v>
      </c>
      <c r="AH25456" s="831" t="s">
        <v>3042</v>
      </c>
      <c r="AI25456" s="831">
        <v>0</v>
      </c>
      <c r="AJ25456" s="835">
        <v>41394</v>
      </c>
      <c r="AK25456" s="831">
        <v>-34403926</v>
      </c>
    </row>
    <row r="25457" spans="32:37">
      <c r="AF25457" s="831" t="s">
        <v>10888</v>
      </c>
      <c r="AG25457" s="831" t="s">
        <v>2674</v>
      </c>
      <c r="AH25457" s="831" t="s">
        <v>3044</v>
      </c>
      <c r="AI25457" s="831">
        <v>0</v>
      </c>
      <c r="AJ25457" s="835">
        <v>41394</v>
      </c>
      <c r="AK25457" s="831">
        <v>-4759976</v>
      </c>
    </row>
    <row r="25458" spans="32:37">
      <c r="AF25458" s="831" t="s">
        <v>10889</v>
      </c>
      <c r="AG25458" s="831" t="s">
        <v>2674</v>
      </c>
      <c r="AH25458" s="831" t="s">
        <v>580</v>
      </c>
      <c r="AI25458" s="831">
        <v>0</v>
      </c>
      <c r="AJ25458" s="835">
        <v>41394</v>
      </c>
      <c r="AK25458" s="831">
        <v>-71824276</v>
      </c>
    </row>
    <row r="25459" spans="32:37">
      <c r="AF25459" s="831" t="s">
        <v>10890</v>
      </c>
      <c r="AG25459" s="831" t="s">
        <v>2674</v>
      </c>
      <c r="AH25459" s="831" t="s">
        <v>581</v>
      </c>
      <c r="AI25459" s="831">
        <v>0</v>
      </c>
      <c r="AJ25459" s="835">
        <v>41394</v>
      </c>
      <c r="AK25459" s="831">
        <v>4094604</v>
      </c>
    </row>
    <row r="25460" spans="32:37">
      <c r="AF25460" s="831" t="s">
        <v>10891</v>
      </c>
      <c r="AG25460" s="831" t="s">
        <v>2674</v>
      </c>
      <c r="AH25460" s="831" t="s">
        <v>105</v>
      </c>
      <c r="AI25460" s="831">
        <v>0</v>
      </c>
      <c r="AJ25460" s="835">
        <v>41394</v>
      </c>
      <c r="AK25460" s="831">
        <v>256750039</v>
      </c>
    </row>
    <row r="25461" spans="32:37">
      <c r="AF25461" s="831" t="s">
        <v>10892</v>
      </c>
      <c r="AG25461" s="831" t="s">
        <v>2674</v>
      </c>
      <c r="AH25461" s="831" t="s">
        <v>3049</v>
      </c>
      <c r="AI25461" s="831">
        <v>0</v>
      </c>
      <c r="AJ25461" s="835">
        <v>41394</v>
      </c>
      <c r="AK25461" s="831">
        <v>448399148</v>
      </c>
    </row>
    <row r="25462" spans="32:37">
      <c r="AF25462" s="831" t="s">
        <v>10893</v>
      </c>
      <c r="AG25462" s="831" t="s">
        <v>2674</v>
      </c>
      <c r="AH25462" s="831" t="s">
        <v>103</v>
      </c>
      <c r="AI25462" s="831">
        <v>0</v>
      </c>
      <c r="AJ25462" s="835">
        <v>41394</v>
      </c>
      <c r="AK25462" s="831">
        <v>191649109</v>
      </c>
    </row>
    <row r="25463" spans="32:37">
      <c r="AF25463" s="831" t="s">
        <v>10894</v>
      </c>
      <c r="AG25463" s="831" t="s">
        <v>2674</v>
      </c>
      <c r="AH25463" s="831" t="s">
        <v>182</v>
      </c>
      <c r="AI25463" s="831">
        <v>0</v>
      </c>
      <c r="AJ25463" s="835">
        <v>41394</v>
      </c>
      <c r="AK25463" s="831">
        <v>55518615</v>
      </c>
    </row>
    <row r="25464" spans="32:37">
      <c r="AF25464" s="831" t="s">
        <v>10895</v>
      </c>
      <c r="AG25464" s="831" t="s">
        <v>2674</v>
      </c>
      <c r="AH25464" s="831" t="s">
        <v>6600</v>
      </c>
      <c r="AI25464" s="831">
        <v>0</v>
      </c>
      <c r="AJ25464" s="835">
        <v>41394</v>
      </c>
      <c r="AK25464" s="831">
        <v>24404594</v>
      </c>
    </row>
    <row r="25465" spans="32:37">
      <c r="AF25465" s="831" t="s">
        <v>10896</v>
      </c>
      <c r="AG25465" s="831" t="s">
        <v>2674</v>
      </c>
      <c r="AH25465" s="831" t="s">
        <v>6602</v>
      </c>
      <c r="AI25465" s="831">
        <v>0</v>
      </c>
      <c r="AJ25465" s="835">
        <v>41394</v>
      </c>
      <c r="AK25465" s="831">
        <v>8564643</v>
      </c>
    </row>
    <row r="25466" spans="32:37">
      <c r="AF25466" s="831" t="s">
        <v>10897</v>
      </c>
      <c r="AG25466" s="831" t="s">
        <v>2674</v>
      </c>
      <c r="AH25466" s="831" t="s">
        <v>650</v>
      </c>
      <c r="AI25466" s="831">
        <v>0</v>
      </c>
      <c r="AJ25466" s="835">
        <v>41394</v>
      </c>
      <c r="AK25466" s="831">
        <v>167561680.58333334</v>
      </c>
    </row>
    <row r="25467" spans="32:37">
      <c r="AF25467" s="831" t="s">
        <v>10898</v>
      </c>
      <c r="AG25467" s="831" t="s">
        <v>2674</v>
      </c>
      <c r="AH25467" s="831" t="s">
        <v>655</v>
      </c>
      <c r="AI25467" s="831">
        <v>0</v>
      </c>
      <c r="AJ25467" s="835">
        <v>41394</v>
      </c>
      <c r="AK25467" s="831">
        <v>2577725</v>
      </c>
    </row>
    <row r="25468" spans="32:37">
      <c r="AF25468" s="831" t="s">
        <v>10899</v>
      </c>
      <c r="AG25468" s="831" t="s">
        <v>2674</v>
      </c>
      <c r="AH25468" s="831" t="s">
        <v>546</v>
      </c>
      <c r="AI25468" s="831">
        <v>0</v>
      </c>
      <c r="AJ25468" s="835">
        <v>41425</v>
      </c>
      <c r="AK25468" s="831">
        <v>505264542</v>
      </c>
    </row>
    <row r="25469" spans="32:37">
      <c r="AF25469" s="831" t="s">
        <v>10900</v>
      </c>
      <c r="AG25469" s="831" t="s">
        <v>2674</v>
      </c>
      <c r="AH25469" s="831" t="s">
        <v>370</v>
      </c>
      <c r="AI25469" s="831">
        <v>0</v>
      </c>
      <c r="AJ25469" s="835">
        <v>41425</v>
      </c>
      <c r="AK25469" s="831">
        <v>595292976</v>
      </c>
    </row>
    <row r="25470" spans="32:37">
      <c r="AF25470" s="831" t="s">
        <v>10901</v>
      </c>
      <c r="AG25470" s="831" t="s">
        <v>2674</v>
      </c>
      <c r="AH25470" s="831" t="s">
        <v>126</v>
      </c>
      <c r="AI25470" s="831">
        <v>0</v>
      </c>
      <c r="AJ25470" s="835">
        <v>41425</v>
      </c>
      <c r="AK25470" s="831">
        <v>105651356</v>
      </c>
    </row>
    <row r="25471" spans="32:37">
      <c r="AF25471" s="831" t="s">
        <v>10902</v>
      </c>
      <c r="AG25471" s="831" t="s">
        <v>2674</v>
      </c>
      <c r="AH25471" s="831" t="s">
        <v>268</v>
      </c>
      <c r="AI25471" s="831">
        <v>0</v>
      </c>
      <c r="AJ25471" s="835">
        <v>41425</v>
      </c>
      <c r="AK25471" s="831">
        <v>10888133</v>
      </c>
    </row>
    <row r="25472" spans="32:37">
      <c r="AF25472" s="831" t="s">
        <v>10903</v>
      </c>
      <c r="AG25472" s="831" t="s">
        <v>2674</v>
      </c>
      <c r="AH25472" s="831" t="s">
        <v>547</v>
      </c>
      <c r="AI25472" s="831">
        <v>0</v>
      </c>
      <c r="AJ25472" s="835">
        <v>41425</v>
      </c>
      <c r="AK25472" s="831">
        <v>511487760</v>
      </c>
    </row>
    <row r="25473" spans="32:37">
      <c r="AF25473" s="831" t="s">
        <v>10904</v>
      </c>
      <c r="AG25473" s="831" t="s">
        <v>2674</v>
      </c>
      <c r="AH25473" s="831" t="s">
        <v>548</v>
      </c>
      <c r="AI25473" s="831">
        <v>0</v>
      </c>
      <c r="AJ25473" s="835">
        <v>41425</v>
      </c>
      <c r="AK25473" s="831">
        <v>96883184</v>
      </c>
    </row>
    <row r="25474" spans="32:37">
      <c r="AF25474" s="831" t="s">
        <v>10905</v>
      </c>
      <c r="AG25474" s="831" t="s">
        <v>2674</v>
      </c>
      <c r="AH25474" s="831" t="s">
        <v>549</v>
      </c>
      <c r="AI25474" s="831">
        <v>0</v>
      </c>
      <c r="AJ25474" s="835">
        <v>41425</v>
      </c>
      <c r="AK25474" s="831">
        <v>339221349</v>
      </c>
    </row>
    <row r="25475" spans="32:37">
      <c r="AF25475" s="831" t="s">
        <v>10906</v>
      </c>
      <c r="AG25475" s="831" t="s">
        <v>2674</v>
      </c>
      <c r="AH25475" s="831" t="s">
        <v>192</v>
      </c>
      <c r="AI25475" s="831">
        <v>0</v>
      </c>
      <c r="AJ25475" s="835">
        <v>41425</v>
      </c>
      <c r="AK25475" s="831">
        <v>-12896676</v>
      </c>
    </row>
    <row r="25476" spans="32:37">
      <c r="AF25476" s="831" t="s">
        <v>10907</v>
      </c>
      <c r="AG25476" s="831" t="s">
        <v>2674</v>
      </c>
      <c r="AH25476" s="831" t="s">
        <v>558</v>
      </c>
      <c r="AI25476" s="831">
        <v>0</v>
      </c>
      <c r="AJ25476" s="835">
        <v>41425</v>
      </c>
      <c r="AK25476" s="831">
        <v>489641620</v>
      </c>
    </row>
    <row r="25477" spans="32:37">
      <c r="AF25477" s="831" t="s">
        <v>10908</v>
      </c>
      <c r="AG25477" s="831" t="s">
        <v>2674</v>
      </c>
      <c r="AH25477" s="831" t="s">
        <v>65</v>
      </c>
      <c r="AI25477" s="831">
        <v>0</v>
      </c>
      <c r="AJ25477" s="835">
        <v>41425</v>
      </c>
      <c r="AK25477" s="831">
        <v>49637231</v>
      </c>
    </row>
    <row r="25478" spans="32:37">
      <c r="AF25478" s="831" t="s">
        <v>10909</v>
      </c>
      <c r="AG25478" s="831" t="s">
        <v>2674</v>
      </c>
      <c r="AH25478" s="831" t="s">
        <v>89</v>
      </c>
      <c r="AI25478" s="831">
        <v>0</v>
      </c>
      <c r="AJ25478" s="835">
        <v>41425</v>
      </c>
      <c r="AK25478" s="831">
        <v>135204</v>
      </c>
    </row>
    <row r="25479" spans="32:37">
      <c r="AF25479" s="831" t="s">
        <v>10910</v>
      </c>
      <c r="AG25479" s="831" t="s">
        <v>2674</v>
      </c>
      <c r="AH25479" s="831" t="s">
        <v>557</v>
      </c>
      <c r="AI25479" s="831">
        <v>0</v>
      </c>
      <c r="AJ25479" s="835">
        <v>41425</v>
      </c>
      <c r="AK25479" s="831">
        <v>139930</v>
      </c>
    </row>
    <row r="25480" spans="32:37">
      <c r="AF25480" s="831" t="s">
        <v>10911</v>
      </c>
      <c r="AG25480" s="831" t="s">
        <v>2674</v>
      </c>
      <c r="AH25480" s="831" t="s">
        <v>29</v>
      </c>
      <c r="AI25480" s="831">
        <v>0</v>
      </c>
      <c r="AJ25480" s="835">
        <v>41425</v>
      </c>
      <c r="AK25480" s="831">
        <v>2486253</v>
      </c>
    </row>
    <row r="25481" spans="32:37">
      <c r="AF25481" s="831" t="s">
        <v>10912</v>
      </c>
      <c r="AG25481" s="831" t="s">
        <v>2674</v>
      </c>
      <c r="AH25481" s="831" t="s">
        <v>2688</v>
      </c>
      <c r="AI25481" s="831">
        <v>0</v>
      </c>
      <c r="AJ25481" s="835">
        <v>41425</v>
      </c>
      <c r="AK25481" s="831">
        <v>2733940</v>
      </c>
    </row>
    <row r="25482" spans="32:37">
      <c r="AF25482" s="831" t="s">
        <v>10913</v>
      </c>
      <c r="AG25482" s="831" t="s">
        <v>2674</v>
      </c>
      <c r="AH25482" s="831" t="s">
        <v>556</v>
      </c>
      <c r="AI25482" s="831">
        <v>0</v>
      </c>
      <c r="AJ25482" s="835">
        <v>41425</v>
      </c>
      <c r="AK25482" s="831">
        <v>902857</v>
      </c>
    </row>
    <row r="25483" spans="32:37">
      <c r="AF25483" s="831" t="s">
        <v>10914</v>
      </c>
      <c r="AG25483" s="831" t="s">
        <v>2674</v>
      </c>
      <c r="AH25483" s="831" t="s">
        <v>555</v>
      </c>
      <c r="AI25483" s="831">
        <v>0</v>
      </c>
      <c r="AJ25483" s="835">
        <v>41425</v>
      </c>
      <c r="AK25483" s="831">
        <v>310274630</v>
      </c>
    </row>
    <row r="25484" spans="32:37">
      <c r="AF25484" s="831" t="s">
        <v>10915</v>
      </c>
      <c r="AG25484" s="831" t="s">
        <v>2674</v>
      </c>
      <c r="AH25484" s="831" t="s">
        <v>554</v>
      </c>
      <c r="AI25484" s="831">
        <v>0</v>
      </c>
      <c r="AJ25484" s="835">
        <v>41425</v>
      </c>
      <c r="AK25484" s="831">
        <v>296232200</v>
      </c>
    </row>
    <row r="25485" spans="32:37">
      <c r="AF25485" s="831" t="s">
        <v>10916</v>
      </c>
      <c r="AG25485" s="831" t="s">
        <v>2674</v>
      </c>
      <c r="AH25485" s="831" t="s">
        <v>553</v>
      </c>
      <c r="AI25485" s="831">
        <v>0</v>
      </c>
      <c r="AJ25485" s="835">
        <v>41425</v>
      </c>
      <c r="AK25485" s="831">
        <v>0</v>
      </c>
    </row>
    <row r="25486" spans="32:37">
      <c r="AF25486" s="831" t="s">
        <v>10917</v>
      </c>
      <c r="AG25486" s="831" t="s">
        <v>2674</v>
      </c>
      <c r="AH25486" s="831" t="s">
        <v>552</v>
      </c>
      <c r="AI25486" s="831">
        <v>0</v>
      </c>
      <c r="AJ25486" s="835">
        <v>41425</v>
      </c>
      <c r="AK25486" s="831">
        <v>0</v>
      </c>
    </row>
    <row r="25487" spans="32:37">
      <c r="AF25487" s="831" t="s">
        <v>10918</v>
      </c>
      <c r="AG25487" s="831" t="s">
        <v>2674</v>
      </c>
      <c r="AH25487" s="831" t="s">
        <v>551</v>
      </c>
      <c r="AI25487" s="831">
        <v>0</v>
      </c>
      <c r="AJ25487" s="835">
        <v>41425</v>
      </c>
      <c r="AK25487" s="831">
        <v>2323653</v>
      </c>
    </row>
    <row r="25488" spans="32:37">
      <c r="AF25488" s="831" t="s">
        <v>10919</v>
      </c>
      <c r="AG25488" s="831" t="s">
        <v>2674</v>
      </c>
      <c r="AH25488" s="831" t="s">
        <v>550</v>
      </c>
      <c r="AI25488" s="831">
        <v>0</v>
      </c>
      <c r="AJ25488" s="835">
        <v>41425</v>
      </c>
      <c r="AK25488" s="831">
        <v>103327866</v>
      </c>
    </row>
    <row r="25489" spans="32:37">
      <c r="AF25489" s="831" t="s">
        <v>10920</v>
      </c>
      <c r="AG25489" s="831" t="s">
        <v>2674</v>
      </c>
      <c r="AH25489" s="831" t="s">
        <v>562</v>
      </c>
      <c r="AI25489" s="831">
        <v>0</v>
      </c>
      <c r="AJ25489" s="835">
        <v>41425</v>
      </c>
      <c r="AK25489" s="831">
        <v>0.78405000000000002</v>
      </c>
    </row>
    <row r="25490" spans="32:37">
      <c r="AF25490" s="831" t="s">
        <v>10921</v>
      </c>
      <c r="AG25490" s="831" t="s">
        <v>2674</v>
      </c>
      <c r="AH25490" s="831" t="s">
        <v>2698</v>
      </c>
      <c r="AI25490" s="831">
        <v>0</v>
      </c>
      <c r="AJ25490" s="835">
        <v>41425</v>
      </c>
      <c r="AK25490" s="831">
        <v>0.78405000000000002</v>
      </c>
    </row>
    <row r="25491" spans="32:37">
      <c r="AF25491" s="831" t="s">
        <v>10922</v>
      </c>
      <c r="AG25491" s="831" t="s">
        <v>2674</v>
      </c>
      <c r="AH25491" s="831" t="s">
        <v>560</v>
      </c>
      <c r="AI25491" s="831">
        <v>0</v>
      </c>
      <c r="AJ25491" s="835">
        <v>41425</v>
      </c>
      <c r="AK25491" s="831">
        <v>0.78410999999999997</v>
      </c>
    </row>
    <row r="25492" spans="32:37">
      <c r="AF25492" s="831" t="s">
        <v>10923</v>
      </c>
      <c r="AG25492" s="831" t="s">
        <v>2674</v>
      </c>
      <c r="AH25492" s="831" t="s">
        <v>559</v>
      </c>
      <c r="AI25492" s="831">
        <v>0</v>
      </c>
      <c r="AJ25492" s="835">
        <v>41425</v>
      </c>
      <c r="AK25492" s="831">
        <v>0.78434999999999999</v>
      </c>
    </row>
    <row r="25493" spans="32:37">
      <c r="AF25493" s="831" t="s">
        <v>10924</v>
      </c>
      <c r="AG25493" s="831" t="s">
        <v>2674</v>
      </c>
      <c r="AH25493" s="831" t="s">
        <v>568</v>
      </c>
      <c r="AI25493" s="831">
        <v>0</v>
      </c>
      <c r="AJ25493" s="835">
        <v>41425</v>
      </c>
      <c r="AK25493" s="831">
        <v>403269368.46153843</v>
      </c>
    </row>
    <row r="25494" spans="32:37">
      <c r="AF25494" s="831" t="s">
        <v>10925</v>
      </c>
      <c r="AG25494" s="831" t="s">
        <v>2674</v>
      </c>
      <c r="AH25494" s="831" t="s">
        <v>569</v>
      </c>
      <c r="AI25494" s="831">
        <v>0</v>
      </c>
      <c r="AJ25494" s="835">
        <v>41425</v>
      </c>
      <c r="AK25494" s="831">
        <v>489498908.69230771</v>
      </c>
    </row>
    <row r="25495" spans="32:37">
      <c r="AF25495" s="831" t="s">
        <v>10926</v>
      </c>
      <c r="AG25495" s="831" t="s">
        <v>2674</v>
      </c>
      <c r="AH25495" s="831" t="s">
        <v>570</v>
      </c>
      <c r="AI25495" s="831">
        <v>0</v>
      </c>
      <c r="AJ25495" s="835">
        <v>41425</v>
      </c>
      <c r="AK25495" s="831">
        <v>98165424.230769232</v>
      </c>
    </row>
    <row r="25496" spans="32:37">
      <c r="AF25496" s="831" t="s">
        <v>10927</v>
      </c>
      <c r="AG25496" s="831" t="s">
        <v>2674</v>
      </c>
      <c r="AH25496" s="831" t="s">
        <v>571</v>
      </c>
      <c r="AI25496" s="831">
        <v>0</v>
      </c>
      <c r="AJ25496" s="835">
        <v>41425</v>
      </c>
      <c r="AK25496" s="831">
        <v>207953338.07692307</v>
      </c>
    </row>
    <row r="25497" spans="32:37">
      <c r="AF25497" s="831" t="s">
        <v>10928</v>
      </c>
      <c r="AG25497" s="831" t="s">
        <v>2674</v>
      </c>
      <c r="AH25497" s="831" t="s">
        <v>573</v>
      </c>
      <c r="AI25497" s="831">
        <v>0</v>
      </c>
      <c r="AJ25497" s="835">
        <v>41425</v>
      </c>
      <c r="AK25497" s="831">
        <v>543238144.33333337</v>
      </c>
    </row>
    <row r="25498" spans="32:37">
      <c r="AF25498" s="831" t="s">
        <v>10929</v>
      </c>
      <c r="AG25498" s="831" t="s">
        <v>2674</v>
      </c>
      <c r="AH25498" s="831" t="s">
        <v>574</v>
      </c>
      <c r="AI25498" s="831">
        <v>0</v>
      </c>
      <c r="AJ25498" s="835">
        <v>41425</v>
      </c>
      <c r="AK25498" s="831">
        <v>451779902.5</v>
      </c>
    </row>
    <row r="25499" spans="32:37">
      <c r="AF25499" s="831" t="s">
        <v>10930</v>
      </c>
      <c r="AG25499" s="831" t="s">
        <v>2674</v>
      </c>
      <c r="AH25499" s="831" t="s">
        <v>575</v>
      </c>
      <c r="AI25499" s="831">
        <v>0</v>
      </c>
      <c r="AJ25499" s="835">
        <v>41425</v>
      </c>
      <c r="AK25499" s="831">
        <v>101069296.16666667</v>
      </c>
    </row>
    <row r="25500" spans="32:37">
      <c r="AF25500" s="831" t="s">
        <v>10931</v>
      </c>
      <c r="AG25500" s="831" t="s">
        <v>2674</v>
      </c>
      <c r="AH25500" s="831" t="s">
        <v>576</v>
      </c>
      <c r="AI25500" s="831">
        <v>0</v>
      </c>
      <c r="AJ25500" s="835">
        <v>41425</v>
      </c>
      <c r="AK25500" s="831">
        <v>247239046.16666666</v>
      </c>
    </row>
    <row r="25501" spans="32:37">
      <c r="AF25501" s="831" t="s">
        <v>10932</v>
      </c>
      <c r="AG25501" s="831" t="s">
        <v>2674</v>
      </c>
      <c r="AH25501" s="831" t="s">
        <v>572</v>
      </c>
      <c r="AI25501" s="831">
        <v>0</v>
      </c>
      <c r="AJ25501" s="835">
        <v>41425</v>
      </c>
      <c r="AK25501" s="831">
        <v>21530747</v>
      </c>
    </row>
    <row r="25502" spans="32:37">
      <c r="AF25502" s="831" t="s">
        <v>10933</v>
      </c>
      <c r="AG25502" s="831" t="s">
        <v>2674</v>
      </c>
      <c r="AH25502" s="831" t="s">
        <v>577</v>
      </c>
      <c r="AI25502" s="831">
        <v>0</v>
      </c>
      <c r="AJ25502" s="835">
        <v>41425</v>
      </c>
      <c r="AK25502" s="831">
        <v>110403012</v>
      </c>
    </row>
    <row r="25503" spans="32:37">
      <c r="AF25503" s="831" t="s">
        <v>10934</v>
      </c>
      <c r="AG25503" s="831" t="s">
        <v>2674</v>
      </c>
      <c r="AH25503" s="831" t="s">
        <v>3042</v>
      </c>
      <c r="AI25503" s="831">
        <v>0</v>
      </c>
      <c r="AJ25503" s="835">
        <v>41425</v>
      </c>
      <c r="AK25503" s="831">
        <v>-27020607</v>
      </c>
    </row>
    <row r="25504" spans="32:37">
      <c r="AF25504" s="831" t="s">
        <v>10935</v>
      </c>
      <c r="AG25504" s="831" t="s">
        <v>2674</v>
      </c>
      <c r="AH25504" s="831" t="s">
        <v>3044</v>
      </c>
      <c r="AI25504" s="831">
        <v>0</v>
      </c>
      <c r="AJ25504" s="835">
        <v>41425</v>
      </c>
      <c r="AK25504" s="831">
        <v>-4070350</v>
      </c>
    </row>
    <row r="25505" spans="32:37">
      <c r="AF25505" s="831" t="s">
        <v>10936</v>
      </c>
      <c r="AG25505" s="831" t="s">
        <v>2674</v>
      </c>
      <c r="AH25505" s="831" t="s">
        <v>580</v>
      </c>
      <c r="AI25505" s="831">
        <v>0</v>
      </c>
      <c r="AJ25505" s="835">
        <v>41425</v>
      </c>
      <c r="AK25505" s="831">
        <v>-55847177</v>
      </c>
    </row>
    <row r="25506" spans="32:37">
      <c r="AF25506" s="831" t="s">
        <v>10937</v>
      </c>
      <c r="AG25506" s="831" t="s">
        <v>2674</v>
      </c>
      <c r="AH25506" s="831" t="s">
        <v>581</v>
      </c>
      <c r="AI25506" s="831">
        <v>0</v>
      </c>
      <c r="AJ25506" s="835">
        <v>41425</v>
      </c>
      <c r="AK25506" s="831">
        <v>3833349</v>
      </c>
    </row>
    <row r="25507" spans="32:37">
      <c r="AF25507" s="831" t="s">
        <v>10938</v>
      </c>
      <c r="AG25507" s="831" t="s">
        <v>2674</v>
      </c>
      <c r="AH25507" s="831" t="s">
        <v>105</v>
      </c>
      <c r="AI25507" s="831">
        <v>0</v>
      </c>
      <c r="AJ25507" s="835">
        <v>41425</v>
      </c>
      <c r="AK25507" s="831">
        <v>274684797</v>
      </c>
    </row>
    <row r="25508" spans="32:37">
      <c r="AF25508" s="831" t="s">
        <v>10939</v>
      </c>
      <c r="AG25508" s="831" t="s">
        <v>2674</v>
      </c>
      <c r="AH25508" s="831" t="s">
        <v>3049</v>
      </c>
      <c r="AI25508" s="831">
        <v>0</v>
      </c>
      <c r="AJ25508" s="835">
        <v>41425</v>
      </c>
      <c r="AK25508" s="831">
        <v>474215187</v>
      </c>
    </row>
    <row r="25509" spans="32:37">
      <c r="AF25509" s="831" t="s">
        <v>10940</v>
      </c>
      <c r="AG25509" s="831" t="s">
        <v>2674</v>
      </c>
      <c r="AH25509" s="831" t="s">
        <v>103</v>
      </c>
      <c r="AI25509" s="831">
        <v>0</v>
      </c>
      <c r="AJ25509" s="835">
        <v>41425</v>
      </c>
      <c r="AK25509" s="831">
        <v>199530390</v>
      </c>
    </row>
    <row r="25510" spans="32:37">
      <c r="AF25510" s="831" t="s">
        <v>10941</v>
      </c>
      <c r="AG25510" s="831" t="s">
        <v>2674</v>
      </c>
      <c r="AH25510" s="831" t="s">
        <v>182</v>
      </c>
      <c r="AI25510" s="831">
        <v>0</v>
      </c>
      <c r="AJ25510" s="835">
        <v>41425</v>
      </c>
      <c r="AK25510" s="831">
        <v>56542824</v>
      </c>
    </row>
    <row r="25511" spans="32:37">
      <c r="AF25511" s="831" t="s">
        <v>10942</v>
      </c>
      <c r="AG25511" s="831" t="s">
        <v>2674</v>
      </c>
      <c r="AH25511" s="831" t="s">
        <v>6600</v>
      </c>
      <c r="AI25511" s="831">
        <v>0</v>
      </c>
      <c r="AJ25511" s="835">
        <v>41425</v>
      </c>
      <c r="AK25511" s="831">
        <v>21530747</v>
      </c>
    </row>
    <row r="25512" spans="32:37">
      <c r="AF25512" s="831" t="s">
        <v>10943</v>
      </c>
      <c r="AG25512" s="831" t="s">
        <v>2674</v>
      </c>
      <c r="AH25512" s="831" t="s">
        <v>6602</v>
      </c>
      <c r="AI25512" s="831">
        <v>0</v>
      </c>
      <c r="AJ25512" s="835">
        <v>41425</v>
      </c>
      <c r="AK25512" s="831">
        <v>10888133</v>
      </c>
    </row>
    <row r="25513" spans="32:37">
      <c r="AF25513" s="831" t="s">
        <v>10944</v>
      </c>
      <c r="AG25513" s="831" t="s">
        <v>2674</v>
      </c>
      <c r="AH25513" s="831" t="s">
        <v>650</v>
      </c>
      <c r="AI25513" s="831">
        <v>0</v>
      </c>
      <c r="AJ25513" s="835">
        <v>41425</v>
      </c>
      <c r="AK25513" s="831">
        <v>170020812.07692307</v>
      </c>
    </row>
    <row r="25514" spans="32:37">
      <c r="AF25514" s="831" t="s">
        <v>10945</v>
      </c>
      <c r="AG25514" s="831" t="s">
        <v>2674</v>
      </c>
      <c r="AH25514" s="831" t="s">
        <v>655</v>
      </c>
      <c r="AI25514" s="831">
        <v>0</v>
      </c>
      <c r="AJ25514" s="835">
        <v>41425</v>
      </c>
      <c r="AK25514" s="831">
        <v>2273827</v>
      </c>
    </row>
    <row r="25515" spans="32:37">
      <c r="AF25515" s="831" t="s">
        <v>10946</v>
      </c>
      <c r="AG25515" s="831" t="s">
        <v>2674</v>
      </c>
      <c r="AH25515" s="831" t="s">
        <v>546</v>
      </c>
      <c r="AI25515" s="831">
        <v>0</v>
      </c>
      <c r="AJ25515" s="835">
        <v>41455</v>
      </c>
      <c r="AK25515" s="831">
        <v>514798833</v>
      </c>
    </row>
    <row r="25516" spans="32:37">
      <c r="AF25516" s="831" t="s">
        <v>10947</v>
      </c>
      <c r="AG25516" s="831" t="s">
        <v>2674</v>
      </c>
      <c r="AH25516" s="831" t="s">
        <v>370</v>
      </c>
      <c r="AI25516" s="831">
        <v>0</v>
      </c>
      <c r="AJ25516" s="835">
        <v>41455</v>
      </c>
      <c r="AK25516" s="831">
        <v>641101315</v>
      </c>
    </row>
    <row r="25517" spans="32:37">
      <c r="AF25517" s="831" t="s">
        <v>10948</v>
      </c>
      <c r="AG25517" s="831" t="s">
        <v>2674</v>
      </c>
      <c r="AH25517" s="831" t="s">
        <v>126</v>
      </c>
      <c r="AI25517" s="831">
        <v>0</v>
      </c>
      <c r="AJ25517" s="835">
        <v>41455</v>
      </c>
      <c r="AK25517" s="831">
        <v>108060358</v>
      </c>
    </row>
    <row r="25518" spans="32:37">
      <c r="AF25518" s="831" t="s">
        <v>10949</v>
      </c>
      <c r="AG25518" s="831" t="s">
        <v>2674</v>
      </c>
      <c r="AH25518" s="831" t="s">
        <v>268</v>
      </c>
      <c r="AI25518" s="831">
        <v>0</v>
      </c>
      <c r="AJ25518" s="835">
        <v>41455</v>
      </c>
      <c r="AK25518" s="831">
        <v>13297133</v>
      </c>
    </row>
    <row r="25519" spans="32:37">
      <c r="AF25519" s="831" t="s">
        <v>10950</v>
      </c>
      <c r="AG25519" s="831" t="s">
        <v>2674</v>
      </c>
      <c r="AH25519" s="831" t="s">
        <v>547</v>
      </c>
      <c r="AI25519" s="831">
        <v>0</v>
      </c>
      <c r="AJ25519" s="835">
        <v>41455</v>
      </c>
      <c r="AK25519" s="831">
        <v>511487760</v>
      </c>
    </row>
    <row r="25520" spans="32:37">
      <c r="AF25520" s="831" t="s">
        <v>10951</v>
      </c>
      <c r="AG25520" s="831" t="s">
        <v>2674</v>
      </c>
      <c r="AH25520" s="831" t="s">
        <v>548</v>
      </c>
      <c r="AI25520" s="831">
        <v>0</v>
      </c>
      <c r="AJ25520" s="835">
        <v>41455</v>
      </c>
      <c r="AK25520" s="831">
        <v>96883184</v>
      </c>
    </row>
    <row r="25521" spans="32:37">
      <c r="AF25521" s="831" t="s">
        <v>10952</v>
      </c>
      <c r="AG25521" s="831" t="s">
        <v>2674</v>
      </c>
      <c r="AH25521" s="831" t="s">
        <v>549</v>
      </c>
      <c r="AI25521" s="831">
        <v>0</v>
      </c>
      <c r="AJ25521" s="835">
        <v>41455</v>
      </c>
      <c r="AK25521" s="831">
        <v>342628450</v>
      </c>
    </row>
    <row r="25522" spans="32:37">
      <c r="AF25522" s="831" t="s">
        <v>10953</v>
      </c>
      <c r="AG25522" s="831" t="s">
        <v>2674</v>
      </c>
      <c r="AH25522" s="831" t="s">
        <v>192</v>
      </c>
      <c r="AI25522" s="831">
        <v>0</v>
      </c>
      <c r="AJ25522" s="835">
        <v>41455</v>
      </c>
      <c r="AK25522" s="831">
        <v>-11546784</v>
      </c>
    </row>
    <row r="25523" spans="32:37">
      <c r="AF25523" s="831" t="s">
        <v>10954</v>
      </c>
      <c r="AG25523" s="831" t="s">
        <v>2674</v>
      </c>
      <c r="AH25523" s="831" t="s">
        <v>558</v>
      </c>
      <c r="AI25523" s="831">
        <v>0</v>
      </c>
      <c r="AJ25523" s="835">
        <v>41455</v>
      </c>
      <c r="AK25523" s="831">
        <v>533040957</v>
      </c>
    </row>
    <row r="25524" spans="32:37">
      <c r="AF25524" s="831" t="s">
        <v>10955</v>
      </c>
      <c r="AG25524" s="831" t="s">
        <v>2674</v>
      </c>
      <c r="AH25524" s="831" t="s">
        <v>65</v>
      </c>
      <c r="AI25524" s="831">
        <v>0</v>
      </c>
      <c r="AJ25524" s="835">
        <v>41455</v>
      </c>
      <c r="AK25524" s="831">
        <v>60193699</v>
      </c>
    </row>
    <row r="25525" spans="32:37">
      <c r="AF25525" s="831" t="s">
        <v>10956</v>
      </c>
      <c r="AG25525" s="831" t="s">
        <v>2674</v>
      </c>
      <c r="AH25525" s="831" t="s">
        <v>89</v>
      </c>
      <c r="AI25525" s="831">
        <v>0</v>
      </c>
      <c r="AJ25525" s="835">
        <v>41455</v>
      </c>
      <c r="AK25525" s="831">
        <v>136633</v>
      </c>
    </row>
    <row r="25526" spans="32:37">
      <c r="AF25526" s="831" t="s">
        <v>10957</v>
      </c>
      <c r="AG25526" s="831" t="s">
        <v>2674</v>
      </c>
      <c r="AH25526" s="831" t="s">
        <v>557</v>
      </c>
      <c r="AI25526" s="831">
        <v>0</v>
      </c>
      <c r="AJ25526" s="835">
        <v>41455</v>
      </c>
      <c r="AK25526" s="831">
        <v>142092</v>
      </c>
    </row>
    <row r="25527" spans="32:37">
      <c r="AF25527" s="831" t="s">
        <v>10958</v>
      </c>
      <c r="AG25527" s="831" t="s">
        <v>2674</v>
      </c>
      <c r="AH25527" s="831" t="s">
        <v>29</v>
      </c>
      <c r="AI25527" s="831">
        <v>0</v>
      </c>
      <c r="AJ25527" s="835">
        <v>41455</v>
      </c>
      <c r="AK25527" s="831">
        <v>1424399.06</v>
      </c>
    </row>
    <row r="25528" spans="32:37">
      <c r="AF25528" s="831" t="s">
        <v>10959</v>
      </c>
      <c r="AG25528" s="831" t="s">
        <v>2674</v>
      </c>
      <c r="AH25528" s="831" t="s">
        <v>2688</v>
      </c>
      <c r="AI25528" s="831">
        <v>0</v>
      </c>
      <c r="AJ25528" s="835">
        <v>41455</v>
      </c>
      <c r="AK25528" s="831">
        <v>2204366.9500000002</v>
      </c>
    </row>
    <row r="25529" spans="32:37">
      <c r="AF25529" s="831" t="s">
        <v>10960</v>
      </c>
      <c r="AG25529" s="831" t="s">
        <v>2674</v>
      </c>
      <c r="AH25529" s="831" t="s">
        <v>556</v>
      </c>
      <c r="AI25529" s="831">
        <v>0</v>
      </c>
      <c r="AJ25529" s="835">
        <v>41455</v>
      </c>
      <c r="AK25529" s="831">
        <v>902857</v>
      </c>
    </row>
    <row r="25530" spans="32:37">
      <c r="AF25530" s="831" t="s">
        <v>10961</v>
      </c>
      <c r="AG25530" s="831" t="s">
        <v>2674</v>
      </c>
      <c r="AH25530" s="831" t="s">
        <v>555</v>
      </c>
      <c r="AI25530" s="831">
        <v>0</v>
      </c>
      <c r="AJ25530" s="835">
        <v>41455</v>
      </c>
      <c r="AK25530" s="831">
        <v>353611880</v>
      </c>
    </row>
    <row r="25531" spans="32:37">
      <c r="AF25531" s="831" t="s">
        <v>10962</v>
      </c>
      <c r="AG25531" s="831" t="s">
        <v>2674</v>
      </c>
      <c r="AH25531" s="831" t="s">
        <v>554</v>
      </c>
      <c r="AI25531" s="831">
        <v>0</v>
      </c>
      <c r="AJ25531" s="835">
        <v>41455</v>
      </c>
      <c r="AK25531" s="831">
        <v>343079700</v>
      </c>
    </row>
    <row r="25532" spans="32:37">
      <c r="AF25532" s="831" t="s">
        <v>10963</v>
      </c>
      <c r="AG25532" s="831" t="s">
        <v>2674</v>
      </c>
      <c r="AH25532" s="831" t="s">
        <v>553</v>
      </c>
      <c r="AI25532" s="831">
        <v>0</v>
      </c>
      <c r="AJ25532" s="835">
        <v>41455</v>
      </c>
      <c r="AK25532" s="831">
        <v>0</v>
      </c>
    </row>
    <row r="25533" spans="32:37">
      <c r="AF25533" s="831" t="s">
        <v>10964</v>
      </c>
      <c r="AG25533" s="831" t="s">
        <v>2674</v>
      </c>
      <c r="AH25533" s="831" t="s">
        <v>552</v>
      </c>
      <c r="AI25533" s="831">
        <v>0</v>
      </c>
      <c r="AJ25533" s="835">
        <v>41455</v>
      </c>
      <c r="AK25533" s="831">
        <v>0</v>
      </c>
    </row>
    <row r="25534" spans="32:37">
      <c r="AF25534" s="831" t="s">
        <v>10965</v>
      </c>
      <c r="AG25534" s="831" t="s">
        <v>2674</v>
      </c>
      <c r="AH25534" s="831" t="s">
        <v>551</v>
      </c>
      <c r="AI25534" s="831">
        <v>0</v>
      </c>
      <c r="AJ25534" s="835">
        <v>41455</v>
      </c>
      <c r="AK25534" s="831">
        <v>1176193.06</v>
      </c>
    </row>
    <row r="25535" spans="32:37">
      <c r="AF25535" s="831" t="s">
        <v>10966</v>
      </c>
      <c r="AG25535" s="831" t="s">
        <v>2674</v>
      </c>
      <c r="AH25535" s="831" t="s">
        <v>550</v>
      </c>
      <c r="AI25535" s="831">
        <v>0</v>
      </c>
      <c r="AJ25535" s="835">
        <v>41455</v>
      </c>
      <c r="AK25535" s="831">
        <v>105651356</v>
      </c>
    </row>
    <row r="25536" spans="32:37">
      <c r="AF25536" s="831" t="s">
        <v>10967</v>
      </c>
      <c r="AG25536" s="831" t="s">
        <v>2674</v>
      </c>
      <c r="AH25536" s="831" t="s">
        <v>562</v>
      </c>
      <c r="AI25536" s="831">
        <v>0</v>
      </c>
      <c r="AJ25536" s="835">
        <v>41455</v>
      </c>
      <c r="AK25536" s="831">
        <v>0.78395000000000004</v>
      </c>
    </row>
    <row r="25537" spans="32:37">
      <c r="AF25537" s="831" t="s">
        <v>10968</v>
      </c>
      <c r="AG25537" s="831" t="s">
        <v>2674</v>
      </c>
      <c r="AH25537" s="831" t="s">
        <v>2698</v>
      </c>
      <c r="AI25537" s="831">
        <v>0</v>
      </c>
      <c r="AJ25537" s="835">
        <v>41455</v>
      </c>
      <c r="AK25537" s="831">
        <v>0.78405000000000002</v>
      </c>
    </row>
    <row r="25538" spans="32:37">
      <c r="AF25538" s="831" t="s">
        <v>10969</v>
      </c>
      <c r="AG25538" s="831" t="s">
        <v>2674</v>
      </c>
      <c r="AH25538" s="831" t="s">
        <v>560</v>
      </c>
      <c r="AI25538" s="831">
        <v>0</v>
      </c>
      <c r="AJ25538" s="835">
        <v>41455</v>
      </c>
      <c r="AK25538" s="831">
        <v>0.78408333333333335</v>
      </c>
    </row>
    <row r="25539" spans="32:37">
      <c r="AF25539" s="831" t="s">
        <v>10970</v>
      </c>
      <c r="AG25539" s="831" t="s">
        <v>2674</v>
      </c>
      <c r="AH25539" s="831" t="s">
        <v>559</v>
      </c>
      <c r="AI25539" s="831">
        <v>0</v>
      </c>
      <c r="AJ25539" s="835">
        <v>41455</v>
      </c>
      <c r="AK25539" s="831">
        <v>0.78425833333333339</v>
      </c>
    </row>
    <row r="25540" spans="32:37">
      <c r="AF25540" s="831" t="s">
        <v>10971</v>
      </c>
      <c r="AG25540" s="831" t="s">
        <v>2674</v>
      </c>
      <c r="AH25540" s="831" t="s">
        <v>568</v>
      </c>
      <c r="AI25540" s="831">
        <v>0</v>
      </c>
      <c r="AJ25540" s="835">
        <v>41455</v>
      </c>
      <c r="AK25540" s="831">
        <v>416775328.76923078</v>
      </c>
    </row>
    <row r="25541" spans="32:37">
      <c r="AF25541" s="831" t="s">
        <v>10972</v>
      </c>
      <c r="AG25541" s="831" t="s">
        <v>2674</v>
      </c>
      <c r="AH25541" s="831" t="s">
        <v>569</v>
      </c>
      <c r="AI25541" s="831">
        <v>0</v>
      </c>
      <c r="AJ25541" s="835">
        <v>41455</v>
      </c>
      <c r="AK25541" s="831">
        <v>507070422.30769229</v>
      </c>
    </row>
    <row r="25542" spans="32:37">
      <c r="AF25542" s="831" t="s">
        <v>10973</v>
      </c>
      <c r="AG25542" s="831" t="s">
        <v>2674</v>
      </c>
      <c r="AH25542" s="831" t="s">
        <v>570</v>
      </c>
      <c r="AI25542" s="831">
        <v>0</v>
      </c>
      <c r="AJ25542" s="835">
        <v>41455</v>
      </c>
      <c r="AK25542" s="831">
        <v>99514662.461538464</v>
      </c>
    </row>
    <row r="25543" spans="32:37">
      <c r="AF25543" s="831" t="s">
        <v>10974</v>
      </c>
      <c r="AG25543" s="831" t="s">
        <v>2674</v>
      </c>
      <c r="AH25543" s="831" t="s">
        <v>571</v>
      </c>
      <c r="AI25543" s="831">
        <v>0</v>
      </c>
      <c r="AJ25543" s="835">
        <v>41455</v>
      </c>
      <c r="AK25543" s="831">
        <v>220626949.15384614</v>
      </c>
    </row>
    <row r="25544" spans="32:37">
      <c r="AF25544" s="831" t="s">
        <v>10975</v>
      </c>
      <c r="AG25544" s="831" t="s">
        <v>2674</v>
      </c>
      <c r="AH25544" s="831" t="s">
        <v>573</v>
      </c>
      <c r="AI25544" s="831">
        <v>0</v>
      </c>
      <c r="AJ25544" s="835">
        <v>41455</v>
      </c>
      <c r="AK25544" s="831">
        <v>557218597.28571427</v>
      </c>
    </row>
    <row r="25545" spans="32:37">
      <c r="AF25545" s="831" t="s">
        <v>10976</v>
      </c>
      <c r="AG25545" s="831" t="s">
        <v>2674</v>
      </c>
      <c r="AH25545" s="831" t="s">
        <v>574</v>
      </c>
      <c r="AI25545" s="831">
        <v>0</v>
      </c>
      <c r="AJ25545" s="835">
        <v>41455</v>
      </c>
      <c r="AK25545" s="831">
        <v>460782606.85714287</v>
      </c>
    </row>
    <row r="25546" spans="32:37">
      <c r="AF25546" s="831" t="s">
        <v>10977</v>
      </c>
      <c r="AG25546" s="831" t="s">
        <v>2674</v>
      </c>
      <c r="AH25546" s="831" t="s">
        <v>575</v>
      </c>
      <c r="AI25546" s="831">
        <v>0</v>
      </c>
      <c r="AJ25546" s="835">
        <v>41455</v>
      </c>
      <c r="AK25546" s="831">
        <v>102068019.28571428</v>
      </c>
    </row>
    <row r="25547" spans="32:37">
      <c r="AF25547" s="831" t="s">
        <v>10978</v>
      </c>
      <c r="AG25547" s="831" t="s">
        <v>2674</v>
      </c>
      <c r="AH25547" s="831" t="s">
        <v>576</v>
      </c>
      <c r="AI25547" s="831">
        <v>0</v>
      </c>
      <c r="AJ25547" s="835">
        <v>41455</v>
      </c>
      <c r="AK25547" s="831">
        <v>256882402</v>
      </c>
    </row>
    <row r="25548" spans="32:37">
      <c r="AF25548" s="831" t="s">
        <v>10979</v>
      </c>
      <c r="AG25548" s="831" t="s">
        <v>2674</v>
      </c>
      <c r="AH25548" s="831" t="s">
        <v>572</v>
      </c>
      <c r="AI25548" s="831">
        <v>0</v>
      </c>
      <c r="AJ25548" s="835">
        <v>41455</v>
      </c>
      <c r="AK25548" s="831">
        <v>22784991</v>
      </c>
    </row>
    <row r="25549" spans="32:37">
      <c r="AF25549" s="831" t="s">
        <v>10980</v>
      </c>
      <c r="AG25549" s="831" t="s">
        <v>2674</v>
      </c>
      <c r="AH25549" s="831" t="s">
        <v>577</v>
      </c>
      <c r="AI25549" s="831">
        <v>0</v>
      </c>
      <c r="AJ25549" s="835">
        <v>41455</v>
      </c>
      <c r="AK25549" s="831">
        <v>112999724</v>
      </c>
    </row>
    <row r="25550" spans="32:37">
      <c r="AF25550" s="831" t="s">
        <v>10981</v>
      </c>
      <c r="AG25550" s="831" t="s">
        <v>2674</v>
      </c>
      <c r="AH25550" s="831" t="s">
        <v>3042</v>
      </c>
      <c r="AI25550" s="831">
        <v>0</v>
      </c>
      <c r="AJ25550" s="835">
        <v>41455</v>
      </c>
      <c r="AK25550" s="831">
        <v>-27618860</v>
      </c>
    </row>
    <row r="25551" spans="32:37">
      <c r="AF25551" s="831" t="s">
        <v>10982</v>
      </c>
      <c r="AG25551" s="831" t="s">
        <v>2674</v>
      </c>
      <c r="AH25551" s="831" t="s">
        <v>3044</v>
      </c>
      <c r="AI25551" s="831">
        <v>0</v>
      </c>
      <c r="AJ25551" s="835">
        <v>41455</v>
      </c>
      <c r="AK25551" s="831">
        <v>-4183071</v>
      </c>
    </row>
    <row r="25552" spans="32:37">
      <c r="AF25552" s="831" t="s">
        <v>10983</v>
      </c>
      <c r="AG25552" s="831" t="s">
        <v>2674</v>
      </c>
      <c r="AH25552" s="831" t="s">
        <v>580</v>
      </c>
      <c r="AI25552" s="831">
        <v>0</v>
      </c>
      <c r="AJ25552" s="835">
        <v>41455</v>
      </c>
      <c r="AK25552" s="831">
        <v>-56400279</v>
      </c>
    </row>
    <row r="25553" spans="32:37">
      <c r="AF25553" s="831" t="s">
        <v>10984</v>
      </c>
      <c r="AG25553" s="831" t="s">
        <v>2674</v>
      </c>
      <c r="AH25553" s="831" t="s">
        <v>581</v>
      </c>
      <c r="AI25553" s="831">
        <v>0</v>
      </c>
      <c r="AJ25553" s="835">
        <v>41455</v>
      </c>
      <c r="AK25553" s="831">
        <v>4204371</v>
      </c>
    </row>
    <row r="25554" spans="32:37">
      <c r="AF25554" s="831" t="s">
        <v>10985</v>
      </c>
      <c r="AG25554" s="831" t="s">
        <v>2674</v>
      </c>
      <c r="AH25554" s="831" t="s">
        <v>105</v>
      </c>
      <c r="AI25554" s="831">
        <v>0</v>
      </c>
      <c r="AJ25554" s="835">
        <v>41455</v>
      </c>
      <c r="AK25554" s="831">
        <v>314742537</v>
      </c>
    </row>
    <row r="25555" spans="32:37">
      <c r="AF25555" s="831" t="s">
        <v>10986</v>
      </c>
      <c r="AG25555" s="831" t="s">
        <v>2674</v>
      </c>
      <c r="AH25555" s="831" t="s">
        <v>3049</v>
      </c>
      <c r="AI25555" s="831">
        <v>0</v>
      </c>
      <c r="AJ25555" s="835">
        <v>41455</v>
      </c>
      <c r="AK25555" s="831">
        <v>517978918</v>
      </c>
    </row>
    <row r="25556" spans="32:37">
      <c r="AF25556" s="831" t="s">
        <v>10987</v>
      </c>
      <c r="AG25556" s="831" t="s">
        <v>2674</v>
      </c>
      <c r="AH25556" s="831" t="s">
        <v>103</v>
      </c>
      <c r="AI25556" s="831">
        <v>0</v>
      </c>
      <c r="AJ25556" s="835">
        <v>41455</v>
      </c>
      <c r="AK25556" s="831">
        <v>203236381</v>
      </c>
    </row>
    <row r="25557" spans="32:37">
      <c r="AF25557" s="831" t="s">
        <v>10988</v>
      </c>
      <c r="AG25557" s="831" t="s">
        <v>2674</v>
      </c>
      <c r="AH25557" s="831" t="s">
        <v>182</v>
      </c>
      <c r="AI25557" s="831">
        <v>0</v>
      </c>
      <c r="AJ25557" s="835">
        <v>41455</v>
      </c>
      <c r="AK25557" s="831">
        <v>57441170</v>
      </c>
    </row>
    <row r="25558" spans="32:37">
      <c r="AF25558" s="831" t="s">
        <v>10989</v>
      </c>
      <c r="AG25558" s="831" t="s">
        <v>2674</v>
      </c>
      <c r="AH25558" s="831" t="s">
        <v>6600</v>
      </c>
      <c r="AI25558" s="831">
        <v>0</v>
      </c>
      <c r="AJ25558" s="835">
        <v>41455</v>
      </c>
      <c r="AK25558" s="831">
        <v>22784991</v>
      </c>
    </row>
    <row r="25559" spans="32:37">
      <c r="AF25559" s="831" t="s">
        <v>10990</v>
      </c>
      <c r="AG25559" s="831" t="s">
        <v>2674</v>
      </c>
      <c r="AH25559" s="831" t="s">
        <v>6602</v>
      </c>
      <c r="AI25559" s="831">
        <v>0</v>
      </c>
      <c r="AJ25559" s="835">
        <v>41455</v>
      </c>
      <c r="AK25559" s="831">
        <v>13297133</v>
      </c>
    </row>
    <row r="25560" spans="32:37">
      <c r="AF25560" s="831" t="s">
        <v>10991</v>
      </c>
      <c r="AG25560" s="831" t="s">
        <v>2674</v>
      </c>
      <c r="AH25560" s="831" t="s">
        <v>650</v>
      </c>
      <c r="AI25560" s="831">
        <v>0</v>
      </c>
      <c r="AJ25560" s="835">
        <v>41455</v>
      </c>
      <c r="AK25560" s="831">
        <v>173391733.15384614</v>
      </c>
    </row>
    <row r="25561" spans="32:37">
      <c r="AF25561" s="831" t="s">
        <v>10992</v>
      </c>
      <c r="AG25561" s="831" t="s">
        <v>2674</v>
      </c>
      <c r="AH25561" s="831" t="s">
        <v>655</v>
      </c>
      <c r="AI25561" s="831">
        <v>0</v>
      </c>
      <c r="AJ25561" s="835">
        <v>41455</v>
      </c>
      <c r="AK25561" s="831">
        <v>1055339.06</v>
      </c>
    </row>
    <row r="25562" spans="32:37">
      <c r="AF25562" s="831" t="s">
        <v>10993</v>
      </c>
      <c r="AG25562" s="831" t="s">
        <v>2674</v>
      </c>
      <c r="AH25562" s="831" t="s">
        <v>546</v>
      </c>
      <c r="AI25562" s="831">
        <v>0</v>
      </c>
      <c r="AJ25562" s="835">
        <v>41486</v>
      </c>
      <c r="AK25562" s="831">
        <v>530405930</v>
      </c>
    </row>
    <row r="25563" spans="32:37">
      <c r="AF25563" s="831" t="s">
        <v>10994</v>
      </c>
      <c r="AG25563" s="831" t="s">
        <v>2674</v>
      </c>
      <c r="AH25563" s="831" t="s">
        <v>370</v>
      </c>
      <c r="AI25563" s="831">
        <v>0</v>
      </c>
      <c r="AJ25563" s="835">
        <v>41486</v>
      </c>
      <c r="AK25563" s="831">
        <v>658328328</v>
      </c>
    </row>
    <row r="25564" spans="32:37">
      <c r="AF25564" s="831" t="s">
        <v>10995</v>
      </c>
      <c r="AG25564" s="831" t="s">
        <v>2674</v>
      </c>
      <c r="AH25564" s="831" t="s">
        <v>126</v>
      </c>
      <c r="AI25564" s="831">
        <v>0</v>
      </c>
      <c r="AJ25564" s="835">
        <v>41486</v>
      </c>
      <c r="AK25564" s="831">
        <v>110887562</v>
      </c>
    </row>
    <row r="25565" spans="32:37">
      <c r="AF25565" s="831" t="s">
        <v>10996</v>
      </c>
      <c r="AG25565" s="831" t="s">
        <v>2674</v>
      </c>
      <c r="AH25565" s="831" t="s">
        <v>268</v>
      </c>
      <c r="AI25565" s="831">
        <v>0</v>
      </c>
      <c r="AJ25565" s="835">
        <v>41486</v>
      </c>
      <c r="AK25565" s="831">
        <v>16124340</v>
      </c>
    </row>
    <row r="25566" spans="32:37">
      <c r="AF25566" s="831" t="s">
        <v>10997</v>
      </c>
      <c r="AG25566" s="831" t="s">
        <v>2674</v>
      </c>
      <c r="AH25566" s="831" t="s">
        <v>547</v>
      </c>
      <c r="AI25566" s="831">
        <v>0</v>
      </c>
      <c r="AJ25566" s="835">
        <v>41486</v>
      </c>
      <c r="AK25566" s="831">
        <v>511487760</v>
      </c>
    </row>
    <row r="25567" spans="32:37">
      <c r="AF25567" s="831" t="s">
        <v>10998</v>
      </c>
      <c r="AG25567" s="831" t="s">
        <v>2674</v>
      </c>
      <c r="AH25567" s="831" t="s">
        <v>548</v>
      </c>
      <c r="AI25567" s="831">
        <v>0</v>
      </c>
      <c r="AJ25567" s="835">
        <v>41486</v>
      </c>
      <c r="AK25567" s="831">
        <v>96883184</v>
      </c>
    </row>
    <row r="25568" spans="32:37">
      <c r="AF25568" s="831" t="s">
        <v>10999</v>
      </c>
      <c r="AG25568" s="831" t="s">
        <v>2674</v>
      </c>
      <c r="AH25568" s="831" t="s">
        <v>549</v>
      </c>
      <c r="AI25568" s="831">
        <v>0</v>
      </c>
      <c r="AJ25568" s="835">
        <v>41486</v>
      </c>
      <c r="AK25568" s="831">
        <v>350104350</v>
      </c>
    </row>
    <row r="25569" spans="32:37">
      <c r="AF25569" s="831" t="s">
        <v>11000</v>
      </c>
      <c r="AG25569" s="831" t="s">
        <v>2674</v>
      </c>
      <c r="AH25569" s="831" t="s">
        <v>192</v>
      </c>
      <c r="AI25569" s="831">
        <v>0</v>
      </c>
      <c r="AJ25569" s="835">
        <v>41486</v>
      </c>
      <c r="AK25569" s="831">
        <v>-11946675</v>
      </c>
    </row>
    <row r="25570" spans="32:37">
      <c r="AF25570" s="831" t="s">
        <v>11001</v>
      </c>
      <c r="AG25570" s="831" t="s">
        <v>2674</v>
      </c>
      <c r="AH25570" s="831" t="s">
        <v>558</v>
      </c>
      <c r="AI25570" s="831">
        <v>0</v>
      </c>
      <c r="AJ25570" s="835">
        <v>41486</v>
      </c>
      <c r="AK25570" s="831">
        <v>547440766</v>
      </c>
    </row>
    <row r="25571" spans="32:37">
      <c r="AF25571" s="831" t="s">
        <v>11002</v>
      </c>
      <c r="AG25571" s="831" t="s">
        <v>2674</v>
      </c>
      <c r="AH25571" s="831" t="s">
        <v>65</v>
      </c>
      <c r="AI25571" s="831">
        <v>0</v>
      </c>
      <c r="AJ25571" s="835">
        <v>41486</v>
      </c>
      <c r="AK25571" s="831">
        <v>71979253</v>
      </c>
    </row>
    <row r="25572" spans="32:37">
      <c r="AF25572" s="831" t="s">
        <v>11003</v>
      </c>
      <c r="AG25572" s="831" t="s">
        <v>2674</v>
      </c>
      <c r="AH25572" s="831" t="s">
        <v>89</v>
      </c>
      <c r="AI25572" s="831">
        <v>0</v>
      </c>
      <c r="AJ25572" s="835">
        <v>41486</v>
      </c>
      <c r="AK25572" s="831">
        <v>138057</v>
      </c>
    </row>
    <row r="25573" spans="32:37">
      <c r="AF25573" s="831" t="s">
        <v>11004</v>
      </c>
      <c r="AG25573" s="831" t="s">
        <v>2674</v>
      </c>
      <c r="AH25573" s="831" t="s">
        <v>557</v>
      </c>
      <c r="AI25573" s="831">
        <v>0</v>
      </c>
      <c r="AJ25573" s="835">
        <v>41486</v>
      </c>
      <c r="AK25573" s="831">
        <v>145518</v>
      </c>
    </row>
    <row r="25574" spans="32:37">
      <c r="AF25574" s="831" t="s">
        <v>11005</v>
      </c>
      <c r="AG25574" s="831" t="s">
        <v>2674</v>
      </c>
      <c r="AH25574" s="831" t="s">
        <v>29</v>
      </c>
      <c r="AI25574" s="831">
        <v>0</v>
      </c>
      <c r="AJ25574" s="835">
        <v>41486</v>
      </c>
      <c r="AK25574" s="831">
        <v>1452161.1670000001</v>
      </c>
    </row>
    <row r="25575" spans="32:37">
      <c r="AF25575" s="831" t="s">
        <v>11006</v>
      </c>
      <c r="AG25575" s="831" t="s">
        <v>2674</v>
      </c>
      <c r="AH25575" s="831" t="s">
        <v>2688</v>
      </c>
      <c r="AI25575" s="831">
        <v>0</v>
      </c>
      <c r="AJ25575" s="835">
        <v>41486</v>
      </c>
      <c r="AK25575" s="831">
        <v>1987224.58</v>
      </c>
    </row>
    <row r="25576" spans="32:37">
      <c r="AF25576" s="831" t="s">
        <v>11007</v>
      </c>
      <c r="AG25576" s="831" t="s">
        <v>2674</v>
      </c>
      <c r="AH25576" s="831" t="s">
        <v>556</v>
      </c>
      <c r="AI25576" s="831">
        <v>0</v>
      </c>
      <c r="AJ25576" s="835">
        <v>41486</v>
      </c>
      <c r="AK25576" s="831">
        <v>2547589</v>
      </c>
    </row>
    <row r="25577" spans="32:37">
      <c r="AF25577" s="831" t="s">
        <v>11008</v>
      </c>
      <c r="AG25577" s="831" t="s">
        <v>2674</v>
      </c>
      <c r="AH25577" s="831" t="s">
        <v>555</v>
      </c>
      <c r="AI25577" s="831">
        <v>0</v>
      </c>
      <c r="AJ25577" s="835">
        <v>41486</v>
      </c>
      <c r="AK25577" s="831">
        <v>359140020</v>
      </c>
    </row>
    <row r="25578" spans="32:37">
      <c r="AF25578" s="831" t="s">
        <v>11009</v>
      </c>
      <c r="AG25578" s="831" t="s">
        <v>2674</v>
      </c>
      <c r="AH25578" s="831" t="s">
        <v>554</v>
      </c>
      <c r="AI25578" s="831">
        <v>0</v>
      </c>
      <c r="AJ25578" s="835">
        <v>41486</v>
      </c>
      <c r="AK25578" s="831">
        <v>364984870</v>
      </c>
    </row>
    <row r="25579" spans="32:37">
      <c r="AF25579" s="831" t="s">
        <v>11010</v>
      </c>
      <c r="AG25579" s="831" t="s">
        <v>2674</v>
      </c>
      <c r="AH25579" s="831" t="s">
        <v>553</v>
      </c>
      <c r="AI25579" s="831">
        <v>0</v>
      </c>
      <c r="AJ25579" s="835">
        <v>41486</v>
      </c>
      <c r="AK25579" s="831">
        <v>0</v>
      </c>
    </row>
    <row r="25580" spans="32:37">
      <c r="AF25580" s="831" t="s">
        <v>11011</v>
      </c>
      <c r="AG25580" s="831" t="s">
        <v>2674</v>
      </c>
      <c r="AH25580" s="831" t="s">
        <v>552</v>
      </c>
      <c r="AI25580" s="831">
        <v>0</v>
      </c>
      <c r="AJ25580" s="835">
        <v>41486</v>
      </c>
      <c r="AK25580" s="831">
        <v>0</v>
      </c>
    </row>
    <row r="25581" spans="32:37">
      <c r="AF25581" s="831" t="s">
        <v>11012</v>
      </c>
      <c r="AG25581" s="831" t="s">
        <v>2674</v>
      </c>
      <c r="AH25581" s="831" t="s">
        <v>551</v>
      </c>
      <c r="AI25581" s="831">
        <v>0</v>
      </c>
      <c r="AJ25581" s="835">
        <v>41486</v>
      </c>
      <c r="AK25581" s="831">
        <v>1334074.5780000002</v>
      </c>
    </row>
    <row r="25582" spans="32:37">
      <c r="AF25582" s="831" t="s">
        <v>11013</v>
      </c>
      <c r="AG25582" s="831" t="s">
        <v>2674</v>
      </c>
      <c r="AH25582" s="831" t="s">
        <v>550</v>
      </c>
      <c r="AI25582" s="831">
        <v>0</v>
      </c>
      <c r="AJ25582" s="835">
        <v>41486</v>
      </c>
      <c r="AK25582" s="831">
        <v>108060358</v>
      </c>
    </row>
    <row r="25583" spans="32:37">
      <c r="AF25583" s="831" t="s">
        <v>11014</v>
      </c>
      <c r="AG25583" s="831" t="s">
        <v>2674</v>
      </c>
      <c r="AH25583" s="831" t="s">
        <v>562</v>
      </c>
      <c r="AI25583" s="831">
        <v>0</v>
      </c>
      <c r="AJ25583" s="835">
        <v>41486</v>
      </c>
      <c r="AK25583" s="831">
        <v>0.78374999999999995</v>
      </c>
    </row>
    <row r="25584" spans="32:37">
      <c r="AF25584" s="831" t="s">
        <v>11015</v>
      </c>
      <c r="AG25584" s="831" t="s">
        <v>2674</v>
      </c>
      <c r="AH25584" s="831" t="s">
        <v>2698</v>
      </c>
      <c r="AI25584" s="831">
        <v>0</v>
      </c>
      <c r="AJ25584" s="835">
        <v>41486</v>
      </c>
      <c r="AK25584" s="831">
        <v>0.78395000000000004</v>
      </c>
    </row>
    <row r="25585" spans="32:37">
      <c r="AF25585" s="831" t="s">
        <v>11016</v>
      </c>
      <c r="AG25585" s="831" t="s">
        <v>2674</v>
      </c>
      <c r="AH25585" s="831" t="s">
        <v>560</v>
      </c>
      <c r="AI25585" s="831">
        <v>0</v>
      </c>
      <c r="AJ25585" s="835">
        <v>41486</v>
      </c>
      <c r="AK25585" s="831">
        <v>0.78403571428571439</v>
      </c>
    </row>
    <row r="25586" spans="32:37">
      <c r="AF25586" s="831" t="s">
        <v>11017</v>
      </c>
      <c r="AG25586" s="831" t="s">
        <v>2674</v>
      </c>
      <c r="AH25586" s="831" t="s">
        <v>559</v>
      </c>
      <c r="AI25586" s="831">
        <v>0</v>
      </c>
      <c r="AJ25586" s="835">
        <v>41486</v>
      </c>
      <c r="AK25586" s="831">
        <v>0.7841583333333334</v>
      </c>
    </row>
    <row r="25587" spans="32:37">
      <c r="AF25587" s="831" t="s">
        <v>11018</v>
      </c>
      <c r="AG25587" s="831" t="s">
        <v>2674</v>
      </c>
      <c r="AH25587" s="831" t="s">
        <v>568</v>
      </c>
      <c r="AI25587" s="831">
        <v>0</v>
      </c>
      <c r="AJ25587" s="835">
        <v>41486</v>
      </c>
      <c r="AK25587" s="831">
        <v>431219750.30769229</v>
      </c>
    </row>
    <row r="25588" spans="32:37">
      <c r="AF25588" s="831" t="s">
        <v>11019</v>
      </c>
      <c r="AG25588" s="831" t="s">
        <v>2674</v>
      </c>
      <c r="AH25588" s="831" t="s">
        <v>569</v>
      </c>
      <c r="AI25588" s="831">
        <v>0</v>
      </c>
      <c r="AJ25588" s="835">
        <v>41486</v>
      </c>
      <c r="AK25588" s="831">
        <v>525226803</v>
      </c>
    </row>
    <row r="25589" spans="32:37">
      <c r="AF25589" s="831" t="s">
        <v>11020</v>
      </c>
      <c r="AG25589" s="831" t="s">
        <v>2674</v>
      </c>
      <c r="AH25589" s="831" t="s">
        <v>570</v>
      </c>
      <c r="AI25589" s="831">
        <v>0</v>
      </c>
      <c r="AJ25589" s="835">
        <v>41486</v>
      </c>
      <c r="AK25589" s="831">
        <v>100992550.61538461</v>
      </c>
    </row>
    <row r="25590" spans="32:37">
      <c r="AF25590" s="831" t="s">
        <v>11021</v>
      </c>
      <c r="AG25590" s="831" t="s">
        <v>2674</v>
      </c>
      <c r="AH25590" s="831" t="s">
        <v>571</v>
      </c>
      <c r="AI25590" s="831">
        <v>0</v>
      </c>
      <c r="AJ25590" s="835">
        <v>41486</v>
      </c>
      <c r="AK25590" s="831">
        <v>233627225.76923078</v>
      </c>
    </row>
    <row r="25591" spans="32:37">
      <c r="AF25591" s="831" t="s">
        <v>11022</v>
      </c>
      <c r="AG25591" s="831" t="s">
        <v>2674</v>
      </c>
      <c r="AH25591" s="831" t="s">
        <v>573</v>
      </c>
      <c r="AI25591" s="831">
        <v>0</v>
      </c>
      <c r="AJ25591" s="835">
        <v>41486</v>
      </c>
      <c r="AK25591" s="831">
        <v>569857313.625</v>
      </c>
    </row>
    <row r="25592" spans="32:37">
      <c r="AF25592" s="831" t="s">
        <v>11023</v>
      </c>
      <c r="AG25592" s="831" t="s">
        <v>2674</v>
      </c>
      <c r="AH25592" s="831" t="s">
        <v>574</v>
      </c>
      <c r="AI25592" s="831">
        <v>0</v>
      </c>
      <c r="AJ25592" s="835">
        <v>41486</v>
      </c>
      <c r="AK25592" s="831">
        <v>469485522.25</v>
      </c>
    </row>
    <row r="25593" spans="32:37">
      <c r="AF25593" s="831" t="s">
        <v>11024</v>
      </c>
      <c r="AG25593" s="831" t="s">
        <v>2674</v>
      </c>
      <c r="AH25593" s="831" t="s">
        <v>575</v>
      </c>
      <c r="AI25593" s="831">
        <v>0</v>
      </c>
      <c r="AJ25593" s="835">
        <v>41486</v>
      </c>
      <c r="AK25593" s="831">
        <v>103170462.125</v>
      </c>
    </row>
    <row r="25594" spans="32:37">
      <c r="AF25594" s="831" t="s">
        <v>11025</v>
      </c>
      <c r="AG25594" s="831" t="s">
        <v>2674</v>
      </c>
      <c r="AH25594" s="831" t="s">
        <v>576</v>
      </c>
      <c r="AI25594" s="831">
        <v>0</v>
      </c>
      <c r="AJ25594" s="835">
        <v>41486</v>
      </c>
      <c r="AK25594" s="831">
        <v>265012255.125</v>
      </c>
    </row>
    <row r="25595" spans="32:37">
      <c r="AF25595" s="831" t="s">
        <v>11026</v>
      </c>
      <c r="AG25595" s="831" t="s">
        <v>2674</v>
      </c>
      <c r="AH25595" s="831" t="s">
        <v>572</v>
      </c>
      <c r="AI25595" s="831">
        <v>0</v>
      </c>
      <c r="AJ25595" s="835">
        <v>41486</v>
      </c>
      <c r="AK25595" s="831">
        <v>23860386</v>
      </c>
    </row>
    <row r="25596" spans="32:37">
      <c r="AF25596" s="831" t="s">
        <v>11027</v>
      </c>
      <c r="AG25596" s="831" t="s">
        <v>2674</v>
      </c>
      <c r="AH25596" s="831" t="s">
        <v>577</v>
      </c>
      <c r="AI25596" s="831">
        <v>0</v>
      </c>
      <c r="AJ25596" s="835">
        <v>41486</v>
      </c>
      <c r="AK25596" s="831">
        <v>116281669</v>
      </c>
    </row>
    <row r="25597" spans="32:37">
      <c r="AF25597" s="831" t="s">
        <v>11028</v>
      </c>
      <c r="AG25597" s="831" t="s">
        <v>2674</v>
      </c>
      <c r="AH25597" s="831" t="s">
        <v>3042</v>
      </c>
      <c r="AI25597" s="831">
        <v>0</v>
      </c>
      <c r="AJ25597" s="835">
        <v>41486</v>
      </c>
      <c r="AK25597" s="831">
        <v>-28313674</v>
      </c>
    </row>
    <row r="25598" spans="32:37">
      <c r="AF25598" s="831" t="s">
        <v>11029</v>
      </c>
      <c r="AG25598" s="831" t="s">
        <v>2674</v>
      </c>
      <c r="AH25598" s="831" t="s">
        <v>3044</v>
      </c>
      <c r="AI25598" s="831">
        <v>0</v>
      </c>
      <c r="AJ25598" s="835">
        <v>41486</v>
      </c>
      <c r="AK25598" s="831">
        <v>-4195755</v>
      </c>
    </row>
    <row r="25599" spans="32:37">
      <c r="AF25599" s="831" t="s">
        <v>11030</v>
      </c>
      <c r="AG25599" s="831" t="s">
        <v>2674</v>
      </c>
      <c r="AH25599" s="831" t="s">
        <v>580</v>
      </c>
      <c r="AI25599" s="831">
        <v>0</v>
      </c>
      <c r="AJ25599" s="835">
        <v>41486</v>
      </c>
      <c r="AK25599" s="831">
        <v>-57513801</v>
      </c>
    </row>
    <row r="25600" spans="32:37">
      <c r="AF25600" s="831" t="s">
        <v>11031</v>
      </c>
      <c r="AG25600" s="831" t="s">
        <v>2674</v>
      </c>
      <c r="AH25600" s="831" t="s">
        <v>581</v>
      </c>
      <c r="AI25600" s="831">
        <v>0</v>
      </c>
      <c r="AJ25600" s="835">
        <v>41486</v>
      </c>
      <c r="AK25600" s="831">
        <v>4189789</v>
      </c>
    </row>
    <row r="25601" spans="32:37">
      <c r="AF25601" s="831" t="s">
        <v>11032</v>
      </c>
      <c r="AG25601" s="831" t="s">
        <v>2674</v>
      </c>
      <c r="AH25601" s="831" t="s">
        <v>105</v>
      </c>
      <c r="AI25601" s="831">
        <v>0</v>
      </c>
      <c r="AJ25601" s="835">
        <v>41486</v>
      </c>
      <c r="AK25601" s="831">
        <v>321921227</v>
      </c>
    </row>
    <row r="25602" spans="32:37">
      <c r="AF25602" s="831" t="s">
        <v>11033</v>
      </c>
      <c r="AG25602" s="831" t="s">
        <v>2674</v>
      </c>
      <c r="AH25602" s="831" t="s">
        <v>3049</v>
      </c>
      <c r="AI25602" s="831">
        <v>0</v>
      </c>
      <c r="AJ25602" s="835">
        <v>41486</v>
      </c>
      <c r="AK25602" s="831">
        <v>533353115</v>
      </c>
    </row>
    <row r="25603" spans="32:37">
      <c r="AF25603" s="831" t="s">
        <v>11034</v>
      </c>
      <c r="AG25603" s="831" t="s">
        <v>2674</v>
      </c>
      <c r="AH25603" s="831" t="s">
        <v>103</v>
      </c>
      <c r="AI25603" s="831">
        <v>0</v>
      </c>
      <c r="AJ25603" s="835">
        <v>41486</v>
      </c>
      <c r="AK25603" s="831">
        <v>211431888</v>
      </c>
    </row>
    <row r="25604" spans="32:37">
      <c r="AF25604" s="831" t="s">
        <v>11035</v>
      </c>
      <c r="AG25604" s="831" t="s">
        <v>2674</v>
      </c>
      <c r="AH25604" s="831" t="s">
        <v>182</v>
      </c>
      <c r="AI25604" s="831">
        <v>0</v>
      </c>
      <c r="AJ25604" s="835">
        <v>41486</v>
      </c>
      <c r="AK25604" s="831">
        <v>58107797.142857142</v>
      </c>
    </row>
    <row r="25605" spans="32:37">
      <c r="AF25605" s="831" t="s">
        <v>11036</v>
      </c>
      <c r="AG25605" s="831" t="s">
        <v>2674</v>
      </c>
      <c r="AH25605" s="831" t="s">
        <v>6600</v>
      </c>
      <c r="AI25605" s="831">
        <v>0</v>
      </c>
      <c r="AJ25605" s="835">
        <v>41486</v>
      </c>
      <c r="AK25605" s="831">
        <v>23860386</v>
      </c>
    </row>
    <row r="25606" spans="32:37">
      <c r="AF25606" s="831" t="s">
        <v>11037</v>
      </c>
      <c r="AG25606" s="831" t="s">
        <v>2674</v>
      </c>
      <c r="AH25606" s="831" t="s">
        <v>6602</v>
      </c>
      <c r="AI25606" s="831">
        <v>0</v>
      </c>
      <c r="AJ25606" s="835">
        <v>41486</v>
      </c>
      <c r="AK25606" s="831">
        <v>16124340</v>
      </c>
    </row>
    <row r="25607" spans="32:37">
      <c r="AF25607" s="831" t="s">
        <v>11038</v>
      </c>
      <c r="AG25607" s="831" t="s">
        <v>2674</v>
      </c>
      <c r="AH25607" s="831" t="s">
        <v>650</v>
      </c>
      <c r="AI25607" s="831">
        <v>0</v>
      </c>
      <c r="AJ25607" s="835">
        <v>41486</v>
      </c>
      <c r="AK25607" s="831">
        <v>176984761.69230768</v>
      </c>
    </row>
    <row r="25608" spans="32:37">
      <c r="AF25608" s="831" t="s">
        <v>11039</v>
      </c>
      <c r="AG25608" s="831" t="s">
        <v>2674</v>
      </c>
      <c r="AH25608" s="831" t="s">
        <v>655</v>
      </c>
      <c r="AI25608" s="831">
        <v>0</v>
      </c>
      <c r="AJ25608" s="835">
        <v>41486</v>
      </c>
      <c r="AK25608" s="831">
        <v>1081919.6189999999</v>
      </c>
    </row>
    <row r="25609" spans="32:37">
      <c r="AF25609" s="831" t="s">
        <v>11040</v>
      </c>
      <c r="AG25609" s="831" t="s">
        <v>2674</v>
      </c>
      <c r="AH25609" s="831" t="s">
        <v>546</v>
      </c>
      <c r="AI25609" s="831">
        <v>0</v>
      </c>
      <c r="AJ25609" s="835">
        <v>41517</v>
      </c>
      <c r="AK25609" s="831">
        <v>548671343</v>
      </c>
    </row>
    <row r="25610" spans="32:37">
      <c r="AF25610" s="831" t="s">
        <v>11041</v>
      </c>
      <c r="AG25610" s="831" t="s">
        <v>2674</v>
      </c>
      <c r="AH25610" s="831" t="s">
        <v>370</v>
      </c>
      <c r="AI25610" s="831">
        <v>0</v>
      </c>
      <c r="AJ25610" s="835">
        <v>41517</v>
      </c>
      <c r="AK25610" s="831">
        <v>657414575</v>
      </c>
    </row>
    <row r="25611" spans="32:37">
      <c r="AF25611" s="831" t="s">
        <v>11042</v>
      </c>
      <c r="AG25611" s="831" t="s">
        <v>2674</v>
      </c>
      <c r="AH25611" s="831" t="s">
        <v>126</v>
      </c>
      <c r="AI25611" s="831">
        <v>0</v>
      </c>
      <c r="AJ25611" s="835">
        <v>41517</v>
      </c>
      <c r="AK25611" s="831">
        <v>113874944</v>
      </c>
    </row>
    <row r="25612" spans="32:37">
      <c r="AF25612" s="831" t="s">
        <v>11043</v>
      </c>
      <c r="AG25612" s="831" t="s">
        <v>2674</v>
      </c>
      <c r="AH25612" s="831" t="s">
        <v>268</v>
      </c>
      <c r="AI25612" s="831">
        <v>0</v>
      </c>
      <c r="AJ25612" s="835">
        <v>41517</v>
      </c>
      <c r="AK25612" s="831">
        <v>19111719</v>
      </c>
    </row>
    <row r="25613" spans="32:37">
      <c r="AF25613" s="831" t="s">
        <v>11044</v>
      </c>
      <c r="AG25613" s="831" t="s">
        <v>2674</v>
      </c>
      <c r="AH25613" s="831" t="s">
        <v>547</v>
      </c>
      <c r="AI25613" s="831">
        <v>0</v>
      </c>
      <c r="AJ25613" s="835">
        <v>41517</v>
      </c>
      <c r="AK25613" s="831">
        <v>511487760</v>
      </c>
    </row>
    <row r="25614" spans="32:37">
      <c r="AF25614" s="831" t="s">
        <v>11045</v>
      </c>
      <c r="AG25614" s="831" t="s">
        <v>2674</v>
      </c>
      <c r="AH25614" s="831" t="s">
        <v>548</v>
      </c>
      <c r="AI25614" s="831">
        <v>0</v>
      </c>
      <c r="AJ25614" s="835">
        <v>41517</v>
      </c>
      <c r="AK25614" s="831">
        <v>96883184</v>
      </c>
    </row>
    <row r="25615" spans="32:37">
      <c r="AF25615" s="831" t="s">
        <v>11046</v>
      </c>
      <c r="AG25615" s="831" t="s">
        <v>2674</v>
      </c>
      <c r="AH25615" s="831" t="s">
        <v>549</v>
      </c>
      <c r="AI25615" s="831">
        <v>0</v>
      </c>
      <c r="AJ25615" s="835">
        <v>41517</v>
      </c>
      <c r="AK25615" s="831">
        <v>362295244</v>
      </c>
    </row>
    <row r="25616" spans="32:37">
      <c r="AF25616" s="831" t="s">
        <v>11047</v>
      </c>
      <c r="AG25616" s="831" t="s">
        <v>2674</v>
      </c>
      <c r="AH25616" s="831" t="s">
        <v>192</v>
      </c>
      <c r="AI25616" s="831">
        <v>0</v>
      </c>
      <c r="AJ25616" s="835">
        <v>41517</v>
      </c>
      <c r="AK25616" s="831">
        <v>-12472831</v>
      </c>
    </row>
    <row r="25617" spans="32:37">
      <c r="AF25617" s="831" t="s">
        <v>11048</v>
      </c>
      <c r="AG25617" s="831" t="s">
        <v>2674</v>
      </c>
      <c r="AH25617" s="831" t="s">
        <v>558</v>
      </c>
      <c r="AI25617" s="831">
        <v>0</v>
      </c>
      <c r="AJ25617" s="835">
        <v>41517</v>
      </c>
      <c r="AK25617" s="831">
        <v>543539630.65999997</v>
      </c>
    </row>
    <row r="25618" spans="32:37">
      <c r="AF25618" s="831" t="s">
        <v>11049</v>
      </c>
      <c r="AG25618" s="831" t="s">
        <v>2674</v>
      </c>
      <c r="AH25618" s="831" t="s">
        <v>65</v>
      </c>
      <c r="AI25618" s="831">
        <v>0</v>
      </c>
      <c r="AJ25618" s="835">
        <v>41517</v>
      </c>
      <c r="AK25618" s="831">
        <v>83388551</v>
      </c>
    </row>
    <row r="25619" spans="32:37">
      <c r="AF25619" s="831" t="s">
        <v>11050</v>
      </c>
      <c r="AG25619" s="831" t="s">
        <v>2674</v>
      </c>
      <c r="AH25619" s="831" t="s">
        <v>89</v>
      </c>
      <c r="AI25619" s="831">
        <v>0</v>
      </c>
      <c r="AJ25619" s="835">
        <v>41517</v>
      </c>
      <c r="AK25619" s="831">
        <v>139614</v>
      </c>
    </row>
    <row r="25620" spans="32:37">
      <c r="AF25620" s="831" t="s">
        <v>11051</v>
      </c>
      <c r="AG25620" s="831" t="s">
        <v>2674</v>
      </c>
      <c r="AH25620" s="831" t="s">
        <v>557</v>
      </c>
      <c r="AI25620" s="831">
        <v>0</v>
      </c>
      <c r="AJ25620" s="835">
        <v>41517</v>
      </c>
      <c r="AK25620" s="831">
        <v>147732</v>
      </c>
    </row>
    <row r="25621" spans="32:37">
      <c r="AF25621" s="831" t="s">
        <v>11052</v>
      </c>
      <c r="AG25621" s="831" t="s">
        <v>2674</v>
      </c>
      <c r="AH25621" s="831" t="s">
        <v>29</v>
      </c>
      <c r="AI25621" s="831">
        <v>0</v>
      </c>
      <c r="AJ25621" s="835">
        <v>41517</v>
      </c>
      <c r="AK25621" s="831">
        <v>1641079.85</v>
      </c>
    </row>
    <row r="25622" spans="32:37">
      <c r="AF25622" s="831" t="s">
        <v>11053</v>
      </c>
      <c r="AG25622" s="831" t="s">
        <v>2674</v>
      </c>
      <c r="AH25622" s="831" t="s">
        <v>2688</v>
      </c>
      <c r="AI25622" s="831">
        <v>0</v>
      </c>
      <c r="AJ25622" s="835">
        <v>41517</v>
      </c>
      <c r="AK25622" s="831">
        <v>1980496.8299999998</v>
      </c>
    </row>
    <row r="25623" spans="32:37">
      <c r="AF25623" s="831" t="s">
        <v>11054</v>
      </c>
      <c r="AG25623" s="831" t="s">
        <v>2674</v>
      </c>
      <c r="AH25623" s="831" t="s">
        <v>556</v>
      </c>
      <c r="AI25623" s="831">
        <v>0</v>
      </c>
      <c r="AJ25623" s="835">
        <v>41517</v>
      </c>
      <c r="AK25623" s="831">
        <v>1644732</v>
      </c>
    </row>
    <row r="25624" spans="32:37">
      <c r="AF25624" s="831" t="s">
        <v>11055</v>
      </c>
      <c r="AG25624" s="831" t="s">
        <v>2674</v>
      </c>
      <c r="AH25624" s="831" t="s">
        <v>555</v>
      </c>
      <c r="AI25624" s="831">
        <v>0</v>
      </c>
      <c r="AJ25624" s="835">
        <v>41517</v>
      </c>
      <c r="AK25624" s="831">
        <v>349976200</v>
      </c>
    </row>
    <row r="25625" spans="32:37">
      <c r="AF25625" s="831" t="s">
        <v>11056</v>
      </c>
      <c r="AG25625" s="831" t="s">
        <v>2674</v>
      </c>
      <c r="AH25625" s="831" t="s">
        <v>554</v>
      </c>
      <c r="AI25625" s="831">
        <v>0</v>
      </c>
      <c r="AJ25625" s="835">
        <v>41517</v>
      </c>
      <c r="AK25625" s="831">
        <v>362271180</v>
      </c>
    </row>
    <row r="25626" spans="32:37">
      <c r="AF25626" s="831" t="s">
        <v>11057</v>
      </c>
      <c r="AG25626" s="831" t="s">
        <v>2674</v>
      </c>
      <c r="AH25626" s="831" t="s">
        <v>553</v>
      </c>
      <c r="AI25626" s="831">
        <v>0</v>
      </c>
      <c r="AJ25626" s="835">
        <v>41517</v>
      </c>
      <c r="AK25626" s="831">
        <v>0</v>
      </c>
    </row>
    <row r="25627" spans="32:37">
      <c r="AF25627" s="831" t="s">
        <v>11058</v>
      </c>
      <c r="AG25627" s="831" t="s">
        <v>2674</v>
      </c>
      <c r="AH25627" s="831" t="s">
        <v>552</v>
      </c>
      <c r="AI25627" s="831">
        <v>0</v>
      </c>
      <c r="AJ25627" s="835">
        <v>41517</v>
      </c>
      <c r="AK25627" s="831">
        <v>0</v>
      </c>
    </row>
    <row r="25628" spans="32:37">
      <c r="AF25628" s="831" t="s">
        <v>11059</v>
      </c>
      <c r="AG25628" s="831" t="s">
        <v>2674</v>
      </c>
      <c r="AH25628" s="831" t="s">
        <v>551</v>
      </c>
      <c r="AI25628" s="831">
        <v>0</v>
      </c>
      <c r="AJ25628" s="835">
        <v>41517</v>
      </c>
      <c r="AK25628" s="831">
        <v>1337345.54</v>
      </c>
    </row>
    <row r="25629" spans="32:37">
      <c r="AF25629" s="831" t="s">
        <v>11060</v>
      </c>
      <c r="AG25629" s="831" t="s">
        <v>2674</v>
      </c>
      <c r="AH25629" s="831" t="s">
        <v>550</v>
      </c>
      <c r="AI25629" s="831">
        <v>0</v>
      </c>
      <c r="AJ25629" s="835">
        <v>41517</v>
      </c>
      <c r="AK25629" s="831">
        <v>110887562</v>
      </c>
    </row>
    <row r="25630" spans="32:37">
      <c r="AF25630" s="831" t="s">
        <v>11061</v>
      </c>
      <c r="AG25630" s="831" t="s">
        <v>2674</v>
      </c>
      <c r="AH25630" s="831" t="s">
        <v>562</v>
      </c>
      <c r="AI25630" s="831">
        <v>0</v>
      </c>
      <c r="AJ25630" s="835">
        <v>41517</v>
      </c>
      <c r="AK25630" s="831">
        <v>0.78385000000000005</v>
      </c>
    </row>
    <row r="25631" spans="32:37">
      <c r="AF25631" s="831" t="s">
        <v>11062</v>
      </c>
      <c r="AG25631" s="831" t="s">
        <v>2674</v>
      </c>
      <c r="AH25631" s="831" t="s">
        <v>2698</v>
      </c>
      <c r="AI25631" s="831">
        <v>0</v>
      </c>
      <c r="AJ25631" s="835">
        <v>41517</v>
      </c>
      <c r="AK25631" s="831">
        <v>0.78374999999999995</v>
      </c>
    </row>
    <row r="25632" spans="32:37">
      <c r="AF25632" s="831" t="s">
        <v>11063</v>
      </c>
      <c r="AG25632" s="831" t="s">
        <v>2674</v>
      </c>
      <c r="AH25632" s="831" t="s">
        <v>560</v>
      </c>
      <c r="AI25632" s="831">
        <v>0</v>
      </c>
      <c r="AJ25632" s="835">
        <v>41517</v>
      </c>
      <c r="AK25632" s="831">
        <v>0.7840125</v>
      </c>
    </row>
    <row r="25633" spans="32:37">
      <c r="AF25633" s="831" t="s">
        <v>11064</v>
      </c>
      <c r="AG25633" s="831" t="s">
        <v>2674</v>
      </c>
      <c r="AH25633" s="831" t="s">
        <v>559</v>
      </c>
      <c r="AI25633" s="831">
        <v>0</v>
      </c>
      <c r="AJ25633" s="835">
        <v>41517</v>
      </c>
      <c r="AK25633" s="831">
        <v>0.78410416666666671</v>
      </c>
    </row>
    <row r="25634" spans="32:37">
      <c r="AF25634" s="831" t="s">
        <v>11065</v>
      </c>
      <c r="AG25634" s="831" t="s">
        <v>2674</v>
      </c>
      <c r="AH25634" s="831" t="s">
        <v>568</v>
      </c>
      <c r="AI25634" s="831">
        <v>0</v>
      </c>
      <c r="AJ25634" s="835">
        <v>41517</v>
      </c>
      <c r="AK25634" s="831">
        <v>446494134.38461536</v>
      </c>
    </row>
    <row r="25635" spans="32:37">
      <c r="AF25635" s="831" t="s">
        <v>11066</v>
      </c>
      <c r="AG25635" s="831" t="s">
        <v>2674</v>
      </c>
      <c r="AH25635" s="831" t="s">
        <v>569</v>
      </c>
      <c r="AI25635" s="831">
        <v>0</v>
      </c>
      <c r="AJ25635" s="835">
        <v>41517</v>
      </c>
      <c r="AK25635" s="831">
        <v>542095460.15384614</v>
      </c>
    </row>
    <row r="25636" spans="32:37">
      <c r="AF25636" s="831" t="s">
        <v>11067</v>
      </c>
      <c r="AG25636" s="831" t="s">
        <v>2674</v>
      </c>
      <c r="AH25636" s="831" t="s">
        <v>570</v>
      </c>
      <c r="AI25636" s="831">
        <v>0</v>
      </c>
      <c r="AJ25636" s="835">
        <v>41517</v>
      </c>
      <c r="AK25636" s="831">
        <v>102565482.6923077</v>
      </c>
    </row>
    <row r="25637" spans="32:37">
      <c r="AF25637" s="831" t="s">
        <v>11068</v>
      </c>
      <c r="AG25637" s="831" t="s">
        <v>2674</v>
      </c>
      <c r="AH25637" s="831" t="s">
        <v>571</v>
      </c>
      <c r="AI25637" s="831">
        <v>0</v>
      </c>
      <c r="AJ25637" s="835">
        <v>41517</v>
      </c>
      <c r="AK25637" s="831">
        <v>245131875.46153846</v>
      </c>
    </row>
    <row r="25638" spans="32:37">
      <c r="AF25638" s="831" t="s">
        <v>11069</v>
      </c>
      <c r="AG25638" s="831" t="s">
        <v>2674</v>
      </c>
      <c r="AH25638" s="831" t="s">
        <v>573</v>
      </c>
      <c r="AI25638" s="831">
        <v>0</v>
      </c>
      <c r="AJ25638" s="835">
        <v>41517</v>
      </c>
      <c r="AK25638" s="831">
        <v>579585898.22222221</v>
      </c>
    </row>
    <row r="25639" spans="32:37">
      <c r="AF25639" s="831" t="s">
        <v>11070</v>
      </c>
      <c r="AG25639" s="831" t="s">
        <v>2674</v>
      </c>
      <c r="AH25639" s="831" t="s">
        <v>574</v>
      </c>
      <c r="AI25639" s="831">
        <v>0</v>
      </c>
      <c r="AJ25639" s="835">
        <v>41517</v>
      </c>
      <c r="AK25639" s="831">
        <v>478283946.77777779</v>
      </c>
    </row>
    <row r="25640" spans="32:37">
      <c r="AF25640" s="831" t="s">
        <v>11071</v>
      </c>
      <c r="AG25640" s="831" t="s">
        <v>2674</v>
      </c>
      <c r="AH25640" s="831" t="s">
        <v>575</v>
      </c>
      <c r="AI25640" s="831">
        <v>0</v>
      </c>
      <c r="AJ25640" s="835">
        <v>41517</v>
      </c>
      <c r="AK25640" s="831">
        <v>104359849</v>
      </c>
    </row>
    <row r="25641" spans="32:37">
      <c r="AF25641" s="831" t="s">
        <v>11072</v>
      </c>
      <c r="AG25641" s="831" t="s">
        <v>2674</v>
      </c>
      <c r="AH25641" s="831" t="s">
        <v>576</v>
      </c>
      <c r="AI25641" s="831">
        <v>0</v>
      </c>
      <c r="AJ25641" s="835">
        <v>41517</v>
      </c>
      <c r="AK25641" s="831">
        <v>270469259.22222221</v>
      </c>
    </row>
    <row r="25642" spans="32:37">
      <c r="AF25642" s="831" t="s">
        <v>11073</v>
      </c>
      <c r="AG25642" s="831" t="s">
        <v>2674</v>
      </c>
      <c r="AH25642" s="831" t="s">
        <v>572</v>
      </c>
      <c r="AI25642" s="831">
        <v>0</v>
      </c>
      <c r="AJ25642" s="835">
        <v>41517</v>
      </c>
      <c r="AK25642" s="831">
        <v>24859621</v>
      </c>
    </row>
    <row r="25643" spans="32:37">
      <c r="AF25643" s="831" t="s">
        <v>11074</v>
      </c>
      <c r="AG25643" s="831" t="s">
        <v>2674</v>
      </c>
      <c r="AH25643" s="831" t="s">
        <v>577</v>
      </c>
      <c r="AI25643" s="831">
        <v>0</v>
      </c>
      <c r="AJ25643" s="835">
        <v>41517</v>
      </c>
      <c r="AK25643" s="831">
        <v>119121446</v>
      </c>
    </row>
    <row r="25644" spans="32:37">
      <c r="AF25644" s="831" t="s">
        <v>11075</v>
      </c>
      <c r="AG25644" s="831" t="s">
        <v>2674</v>
      </c>
      <c r="AH25644" s="831" t="s">
        <v>3042</v>
      </c>
      <c r="AI25644" s="831">
        <v>0</v>
      </c>
      <c r="AJ25644" s="835">
        <v>41517</v>
      </c>
      <c r="AK25644" s="831">
        <v>-29143089</v>
      </c>
    </row>
    <row r="25645" spans="32:37">
      <c r="AF25645" s="831" t="s">
        <v>11076</v>
      </c>
      <c r="AG25645" s="831" t="s">
        <v>2674</v>
      </c>
      <c r="AH25645" s="831" t="s">
        <v>3044</v>
      </c>
      <c r="AI25645" s="831">
        <v>0</v>
      </c>
      <c r="AJ25645" s="835">
        <v>41517</v>
      </c>
      <c r="AK25645" s="831">
        <v>-4417525</v>
      </c>
    </row>
    <row r="25646" spans="32:37">
      <c r="AF25646" s="831" t="s">
        <v>11077</v>
      </c>
      <c r="AG25646" s="831" t="s">
        <v>2674</v>
      </c>
      <c r="AH25646" s="831" t="s">
        <v>580</v>
      </c>
      <c r="AI25646" s="831">
        <v>0</v>
      </c>
      <c r="AJ25646" s="835">
        <v>41517</v>
      </c>
      <c r="AK25646" s="831">
        <v>-58376707</v>
      </c>
    </row>
    <row r="25647" spans="32:37">
      <c r="AF25647" s="831" t="s">
        <v>11078</v>
      </c>
      <c r="AG25647" s="831" t="s">
        <v>2674</v>
      </c>
      <c r="AH25647" s="831" t="s">
        <v>581</v>
      </c>
      <c r="AI25647" s="831">
        <v>0</v>
      </c>
      <c r="AJ25647" s="835">
        <v>41517</v>
      </c>
      <c r="AK25647" s="831">
        <v>4578677</v>
      </c>
    </row>
    <row r="25648" spans="32:37">
      <c r="AF25648" s="831" t="s">
        <v>11079</v>
      </c>
      <c r="AG25648" s="831" t="s">
        <v>2674</v>
      </c>
      <c r="AH25648" s="831" t="s">
        <v>105</v>
      </c>
      <c r="AI25648" s="831">
        <v>0</v>
      </c>
      <c r="AJ25648" s="835">
        <v>41517</v>
      </c>
      <c r="AK25648" s="831">
        <v>314125292</v>
      </c>
    </row>
    <row r="25649" spans="32:37">
      <c r="AF25649" s="831" t="s">
        <v>11080</v>
      </c>
      <c r="AG25649" s="831" t="s">
        <v>2674</v>
      </c>
      <c r="AH25649" s="831" t="s">
        <v>3049</v>
      </c>
      <c r="AI25649" s="831">
        <v>0</v>
      </c>
      <c r="AJ25649" s="835">
        <v>41517</v>
      </c>
      <c r="AK25649" s="831">
        <v>527249449.14999998</v>
      </c>
    </row>
    <row r="25650" spans="32:37">
      <c r="AF25650" s="831" t="s">
        <v>11081</v>
      </c>
      <c r="AG25650" s="831" t="s">
        <v>2674</v>
      </c>
      <c r="AH25650" s="831" t="s">
        <v>103</v>
      </c>
      <c r="AI25650" s="831">
        <v>0</v>
      </c>
      <c r="AJ25650" s="835">
        <v>41517</v>
      </c>
      <c r="AK25650" s="831">
        <v>213124157.14999998</v>
      </c>
    </row>
    <row r="25651" spans="32:37">
      <c r="AF25651" s="831" t="s">
        <v>11082</v>
      </c>
      <c r="AG25651" s="831" t="s">
        <v>2674</v>
      </c>
      <c r="AH25651" s="831" t="s">
        <v>182</v>
      </c>
      <c r="AI25651" s="831">
        <v>0</v>
      </c>
      <c r="AJ25651" s="835">
        <v>41517</v>
      </c>
      <c r="AK25651" s="831">
        <v>57914724</v>
      </c>
    </row>
    <row r="25652" spans="32:37">
      <c r="AF25652" s="831" t="s">
        <v>11083</v>
      </c>
      <c r="AG25652" s="831" t="s">
        <v>2674</v>
      </c>
      <c r="AH25652" s="831" t="s">
        <v>6600</v>
      </c>
      <c r="AI25652" s="831">
        <v>0</v>
      </c>
      <c r="AJ25652" s="835">
        <v>41517</v>
      </c>
      <c r="AK25652" s="831">
        <v>24859621</v>
      </c>
    </row>
    <row r="25653" spans="32:37">
      <c r="AF25653" s="831" t="s">
        <v>11084</v>
      </c>
      <c r="AG25653" s="831" t="s">
        <v>2674</v>
      </c>
      <c r="AH25653" s="831" t="s">
        <v>6602</v>
      </c>
      <c r="AI25653" s="831">
        <v>0</v>
      </c>
      <c r="AJ25653" s="835">
        <v>41517</v>
      </c>
      <c r="AK25653" s="831">
        <v>19111719</v>
      </c>
    </row>
    <row r="25654" spans="32:37">
      <c r="AF25654" s="831" t="s">
        <v>11085</v>
      </c>
      <c r="AG25654" s="831" t="s">
        <v>2674</v>
      </c>
      <c r="AH25654" s="831" t="s">
        <v>650</v>
      </c>
      <c r="AI25654" s="831">
        <v>0</v>
      </c>
      <c r="AJ25654" s="835">
        <v>41517</v>
      </c>
      <c r="AK25654" s="831">
        <v>180578512.62692308</v>
      </c>
    </row>
    <row r="25655" spans="32:37">
      <c r="AF25655" s="831" t="s">
        <v>11086</v>
      </c>
      <c r="AG25655" s="831" t="s">
        <v>2674</v>
      </c>
      <c r="AH25655" s="831" t="s">
        <v>655</v>
      </c>
      <c r="AI25655" s="831">
        <v>0</v>
      </c>
      <c r="AJ25655" s="835">
        <v>41517</v>
      </c>
      <c r="AK25655" s="831">
        <v>1231052.19</v>
      </c>
    </row>
    <row r="25656" spans="32:37">
      <c r="AF25656" s="831" t="s">
        <v>11087</v>
      </c>
      <c r="AG25656" s="831" t="s">
        <v>2674</v>
      </c>
      <c r="AH25656" s="831" t="s">
        <v>546</v>
      </c>
      <c r="AI25656" s="831">
        <v>0</v>
      </c>
      <c r="AJ25656" s="835">
        <v>41547</v>
      </c>
      <c r="AK25656" s="831">
        <v>563989028</v>
      </c>
    </row>
    <row r="25657" spans="32:37">
      <c r="AF25657" s="831" t="s">
        <v>11088</v>
      </c>
      <c r="AG25657" s="831" t="s">
        <v>2674</v>
      </c>
      <c r="AH25657" s="831" t="s">
        <v>370</v>
      </c>
      <c r="AI25657" s="831">
        <v>0</v>
      </c>
      <c r="AJ25657" s="835">
        <v>41547</v>
      </c>
      <c r="AK25657" s="831">
        <v>692795586</v>
      </c>
    </row>
    <row r="25658" spans="32:37">
      <c r="AF25658" s="831" t="s">
        <v>11089</v>
      </c>
      <c r="AG25658" s="831" t="s">
        <v>2674</v>
      </c>
      <c r="AH25658" s="831" t="s">
        <v>126</v>
      </c>
      <c r="AI25658" s="831">
        <v>0</v>
      </c>
      <c r="AJ25658" s="835">
        <v>41547</v>
      </c>
      <c r="AK25658" s="831">
        <v>117170637</v>
      </c>
    </row>
    <row r="25659" spans="32:37">
      <c r="AF25659" s="831" t="s">
        <v>11090</v>
      </c>
      <c r="AG25659" s="831" t="s">
        <v>2674</v>
      </c>
      <c r="AH25659" s="831" t="s">
        <v>268</v>
      </c>
      <c r="AI25659" s="831">
        <v>0</v>
      </c>
      <c r="AJ25659" s="835">
        <v>41547</v>
      </c>
      <c r="AK25659" s="831">
        <v>22407414</v>
      </c>
    </row>
    <row r="25660" spans="32:37">
      <c r="AF25660" s="831" t="s">
        <v>11091</v>
      </c>
      <c r="AG25660" s="831" t="s">
        <v>2674</v>
      </c>
      <c r="AH25660" s="831" t="s">
        <v>547</v>
      </c>
      <c r="AI25660" s="831">
        <v>0</v>
      </c>
      <c r="AJ25660" s="835">
        <v>41547</v>
      </c>
      <c r="AK25660" s="831">
        <v>511487760</v>
      </c>
    </row>
    <row r="25661" spans="32:37">
      <c r="AF25661" s="831" t="s">
        <v>11092</v>
      </c>
      <c r="AG25661" s="831" t="s">
        <v>2674</v>
      </c>
      <c r="AH25661" s="831" t="s">
        <v>548</v>
      </c>
      <c r="AI25661" s="831">
        <v>0</v>
      </c>
      <c r="AJ25661" s="835">
        <v>41547</v>
      </c>
      <c r="AK25661" s="831">
        <v>96883184</v>
      </c>
    </row>
    <row r="25662" spans="32:37">
      <c r="AF25662" s="831" t="s">
        <v>11093</v>
      </c>
      <c r="AG25662" s="831" t="s">
        <v>2674</v>
      </c>
      <c r="AH25662" s="831" t="s">
        <v>549</v>
      </c>
      <c r="AI25662" s="831">
        <v>0</v>
      </c>
      <c r="AJ25662" s="835">
        <v>41547</v>
      </c>
      <c r="AK25662" s="831">
        <v>367084945</v>
      </c>
    </row>
    <row r="25663" spans="32:37">
      <c r="AF25663" s="831" t="s">
        <v>11094</v>
      </c>
      <c r="AG25663" s="831" t="s">
        <v>2674</v>
      </c>
      <c r="AH25663" s="831" t="s">
        <v>192</v>
      </c>
      <c r="AI25663" s="831">
        <v>0</v>
      </c>
      <c r="AJ25663" s="835">
        <v>41547</v>
      </c>
      <c r="AK25663" s="831">
        <v>-12882814</v>
      </c>
    </row>
    <row r="25664" spans="32:37">
      <c r="AF25664" s="831" t="s">
        <v>11095</v>
      </c>
      <c r="AG25664" s="831" t="s">
        <v>2674</v>
      </c>
      <c r="AH25664" s="831" t="s">
        <v>558</v>
      </c>
      <c r="AI25664" s="831">
        <v>0</v>
      </c>
      <c r="AJ25664" s="835">
        <v>41547</v>
      </c>
      <c r="AK25664" s="831">
        <v>575624949</v>
      </c>
    </row>
    <row r="25665" spans="32:37">
      <c r="AF25665" s="831" t="s">
        <v>11096</v>
      </c>
      <c r="AG25665" s="831" t="s">
        <v>2674</v>
      </c>
      <c r="AH25665" s="831" t="s">
        <v>65</v>
      </c>
      <c r="AI25665" s="831">
        <v>0</v>
      </c>
      <c r="AJ25665" s="835">
        <v>41547</v>
      </c>
      <c r="AK25665" s="831">
        <v>95313557</v>
      </c>
    </row>
    <row r="25666" spans="32:37">
      <c r="AF25666" s="831" t="s">
        <v>11097</v>
      </c>
      <c r="AG25666" s="831" t="s">
        <v>2674</v>
      </c>
      <c r="AH25666" s="831" t="s">
        <v>89</v>
      </c>
      <c r="AI25666" s="831">
        <v>0</v>
      </c>
      <c r="AJ25666" s="835">
        <v>41547</v>
      </c>
      <c r="AK25666" s="831">
        <v>141558</v>
      </c>
    </row>
    <row r="25667" spans="32:37">
      <c r="AF25667" s="831" t="s">
        <v>11098</v>
      </c>
      <c r="AG25667" s="831" t="s">
        <v>2674</v>
      </c>
      <c r="AH25667" s="831" t="s">
        <v>557</v>
      </c>
      <c r="AI25667" s="831">
        <v>0</v>
      </c>
      <c r="AJ25667" s="835">
        <v>41547</v>
      </c>
      <c r="AK25667" s="831">
        <v>150480</v>
      </c>
    </row>
    <row r="25668" spans="32:37">
      <c r="AF25668" s="831" t="s">
        <v>11099</v>
      </c>
      <c r="AG25668" s="831" t="s">
        <v>2674</v>
      </c>
      <c r="AH25668" s="831" t="s">
        <v>29</v>
      </c>
      <c r="AI25668" s="831">
        <v>0</v>
      </c>
      <c r="AJ25668" s="835">
        <v>41547</v>
      </c>
      <c r="AK25668" s="831">
        <v>1808536.49</v>
      </c>
    </row>
    <row r="25669" spans="32:37">
      <c r="AF25669" s="831" t="s">
        <v>11100</v>
      </c>
      <c r="AG25669" s="831" t="s">
        <v>2674</v>
      </c>
      <c r="AH25669" s="831" t="s">
        <v>2688</v>
      </c>
      <c r="AI25669" s="831">
        <v>0</v>
      </c>
      <c r="AJ25669" s="835">
        <v>41547</v>
      </c>
      <c r="AK25669" s="831">
        <v>1944896.06</v>
      </c>
    </row>
    <row r="25670" spans="32:37">
      <c r="AF25670" s="831" t="s">
        <v>11101</v>
      </c>
      <c r="AG25670" s="831" t="s">
        <v>2674</v>
      </c>
      <c r="AH25670" s="831" t="s">
        <v>556</v>
      </c>
      <c r="AI25670" s="831">
        <v>0</v>
      </c>
      <c r="AJ25670" s="835">
        <v>41547</v>
      </c>
      <c r="AK25670" s="831">
        <v>1644732</v>
      </c>
    </row>
    <row r="25671" spans="32:37">
      <c r="AF25671" s="831" t="s">
        <v>11102</v>
      </c>
      <c r="AG25671" s="831" t="s">
        <v>2674</v>
      </c>
      <c r="AH25671" s="831" t="s">
        <v>555</v>
      </c>
      <c r="AI25671" s="831">
        <v>0</v>
      </c>
      <c r="AJ25671" s="835">
        <v>41547</v>
      </c>
      <c r="AK25671" s="831">
        <v>373785500</v>
      </c>
    </row>
    <row r="25672" spans="32:37">
      <c r="AF25672" s="831" t="s">
        <v>11103</v>
      </c>
      <c r="AG25672" s="831" t="s">
        <v>2674</v>
      </c>
      <c r="AH25672" s="831" t="s">
        <v>554</v>
      </c>
      <c r="AI25672" s="831">
        <v>0</v>
      </c>
      <c r="AJ25672" s="835">
        <v>41547</v>
      </c>
      <c r="AK25672" s="831">
        <v>389313510</v>
      </c>
    </row>
    <row r="25673" spans="32:37">
      <c r="AF25673" s="831" t="s">
        <v>11104</v>
      </c>
      <c r="AG25673" s="831" t="s">
        <v>2674</v>
      </c>
      <c r="AH25673" s="831" t="s">
        <v>553</v>
      </c>
      <c r="AI25673" s="831">
        <v>0</v>
      </c>
      <c r="AJ25673" s="835">
        <v>41547</v>
      </c>
      <c r="AK25673" s="831">
        <v>0</v>
      </c>
    </row>
    <row r="25674" spans="32:37">
      <c r="AF25674" s="831" t="s">
        <v>11105</v>
      </c>
      <c r="AG25674" s="831" t="s">
        <v>2674</v>
      </c>
      <c r="AH25674" s="831" t="s">
        <v>552</v>
      </c>
      <c r="AI25674" s="831">
        <v>0</v>
      </c>
      <c r="AJ25674" s="835">
        <v>41547</v>
      </c>
      <c r="AK25674" s="831">
        <v>0</v>
      </c>
    </row>
    <row r="25675" spans="32:37">
      <c r="AF25675" s="831" t="s">
        <v>11106</v>
      </c>
      <c r="AG25675" s="831" t="s">
        <v>2674</v>
      </c>
      <c r="AH25675" s="831" t="s">
        <v>551</v>
      </c>
      <c r="AI25675" s="831">
        <v>0</v>
      </c>
      <c r="AJ25675" s="835">
        <v>41547</v>
      </c>
      <c r="AK25675" s="831">
        <v>1611508.6</v>
      </c>
    </row>
    <row r="25676" spans="32:37">
      <c r="AF25676" s="831" t="s">
        <v>11107</v>
      </c>
      <c r="AG25676" s="831" t="s">
        <v>2674</v>
      </c>
      <c r="AH25676" s="831" t="s">
        <v>550</v>
      </c>
      <c r="AI25676" s="831">
        <v>0</v>
      </c>
      <c r="AJ25676" s="835">
        <v>41547</v>
      </c>
      <c r="AK25676" s="831">
        <v>113874944</v>
      </c>
    </row>
    <row r="25677" spans="32:37">
      <c r="AF25677" s="831" t="s">
        <v>11108</v>
      </c>
      <c r="AG25677" s="831" t="s">
        <v>2674</v>
      </c>
      <c r="AH25677" s="831" t="s">
        <v>562</v>
      </c>
      <c r="AI25677" s="831">
        <v>0</v>
      </c>
      <c r="AJ25677" s="835">
        <v>41547</v>
      </c>
      <c r="AK25677" s="831">
        <v>0.78395000000000004</v>
      </c>
    </row>
    <row r="25678" spans="32:37">
      <c r="AF25678" s="831" t="s">
        <v>11109</v>
      </c>
      <c r="AG25678" s="831" t="s">
        <v>2674</v>
      </c>
      <c r="AH25678" s="831" t="s">
        <v>2698</v>
      </c>
      <c r="AI25678" s="831">
        <v>0</v>
      </c>
      <c r="AJ25678" s="835">
        <v>41547</v>
      </c>
      <c r="AK25678" s="831">
        <v>0.78385000000000005</v>
      </c>
    </row>
    <row r="25679" spans="32:37">
      <c r="AF25679" s="831" t="s">
        <v>11110</v>
      </c>
      <c r="AG25679" s="831" t="s">
        <v>2674</v>
      </c>
      <c r="AH25679" s="831" t="s">
        <v>560</v>
      </c>
      <c r="AI25679" s="831">
        <v>0</v>
      </c>
      <c r="AJ25679" s="835">
        <v>41547</v>
      </c>
      <c r="AK25679" s="831">
        <v>0.78400555555555551</v>
      </c>
    </row>
    <row r="25680" spans="32:37">
      <c r="AF25680" s="831" t="s">
        <v>11111</v>
      </c>
      <c r="AG25680" s="831" t="s">
        <v>2674</v>
      </c>
      <c r="AH25680" s="831" t="s">
        <v>559</v>
      </c>
      <c r="AI25680" s="831">
        <v>0</v>
      </c>
      <c r="AJ25680" s="835">
        <v>41547</v>
      </c>
      <c r="AK25680" s="831">
        <v>0.78404583333333333</v>
      </c>
    </row>
    <row r="25681" spans="32:37">
      <c r="AF25681" s="831" t="s">
        <v>11112</v>
      </c>
      <c r="AG25681" s="831" t="s">
        <v>2674</v>
      </c>
      <c r="AH25681" s="831" t="s">
        <v>568</v>
      </c>
      <c r="AI25681" s="831">
        <v>0</v>
      </c>
      <c r="AJ25681" s="835">
        <v>41547</v>
      </c>
      <c r="AK25681" s="831">
        <v>462009040.84615386</v>
      </c>
    </row>
    <row r="25682" spans="32:37">
      <c r="AF25682" s="831" t="s">
        <v>11113</v>
      </c>
      <c r="AG25682" s="831" t="s">
        <v>2674</v>
      </c>
      <c r="AH25682" s="831" t="s">
        <v>569</v>
      </c>
      <c r="AI25682" s="831">
        <v>0</v>
      </c>
      <c r="AJ25682" s="835">
        <v>41547</v>
      </c>
      <c r="AK25682" s="831">
        <v>560598027.84615386</v>
      </c>
    </row>
    <row r="25683" spans="32:37">
      <c r="AF25683" s="831" t="s">
        <v>11114</v>
      </c>
      <c r="AG25683" s="831" t="s">
        <v>2674</v>
      </c>
      <c r="AH25683" s="831" t="s">
        <v>570</v>
      </c>
      <c r="AI25683" s="831">
        <v>0</v>
      </c>
      <c r="AJ25683" s="835">
        <v>41547</v>
      </c>
      <c r="AK25683" s="831">
        <v>104238995.3076923</v>
      </c>
    </row>
    <row r="25684" spans="32:37">
      <c r="AF25684" s="831" t="s">
        <v>11115</v>
      </c>
      <c r="AG25684" s="831" t="s">
        <v>2674</v>
      </c>
      <c r="AH25684" s="831" t="s">
        <v>571</v>
      </c>
      <c r="AI25684" s="831">
        <v>0</v>
      </c>
      <c r="AJ25684" s="835">
        <v>41547</v>
      </c>
      <c r="AK25684" s="831">
        <v>257329819.61538461</v>
      </c>
    </row>
    <row r="25685" spans="32:37">
      <c r="AF25685" s="831" t="s">
        <v>11116</v>
      </c>
      <c r="AG25685" s="831" t="s">
        <v>2674</v>
      </c>
      <c r="AH25685" s="831" t="s">
        <v>573</v>
      </c>
      <c r="AI25685" s="831">
        <v>0</v>
      </c>
      <c r="AJ25685" s="835">
        <v>41547</v>
      </c>
      <c r="AK25685" s="831">
        <v>590906867</v>
      </c>
    </row>
    <row r="25686" spans="32:37">
      <c r="AF25686" s="831" t="s">
        <v>11117</v>
      </c>
      <c r="AG25686" s="831" t="s">
        <v>2674</v>
      </c>
      <c r="AH25686" s="831" t="s">
        <v>574</v>
      </c>
      <c r="AI25686" s="831">
        <v>0</v>
      </c>
      <c r="AJ25686" s="835">
        <v>41547</v>
      </c>
      <c r="AK25686" s="831">
        <v>486854454.89999998</v>
      </c>
    </row>
    <row r="25687" spans="32:37">
      <c r="AF25687" s="831" t="s">
        <v>11118</v>
      </c>
      <c r="AG25687" s="831" t="s">
        <v>2674</v>
      </c>
      <c r="AH25687" s="831" t="s">
        <v>575</v>
      </c>
      <c r="AI25687" s="831">
        <v>0</v>
      </c>
      <c r="AJ25687" s="835">
        <v>41547</v>
      </c>
      <c r="AK25687" s="831">
        <v>105640927.8</v>
      </c>
    </row>
    <row r="25688" spans="32:37">
      <c r="AF25688" s="831" t="s">
        <v>11119</v>
      </c>
      <c r="AG25688" s="831" t="s">
        <v>2674</v>
      </c>
      <c r="AH25688" s="831" t="s">
        <v>576</v>
      </c>
      <c r="AI25688" s="831">
        <v>0</v>
      </c>
      <c r="AJ25688" s="835">
        <v>41547</v>
      </c>
      <c r="AK25688" s="831">
        <v>277318070.10000002</v>
      </c>
    </row>
    <row r="25689" spans="32:37">
      <c r="AF25689" s="831" t="s">
        <v>11120</v>
      </c>
      <c r="AG25689" s="831" t="s">
        <v>2674</v>
      </c>
      <c r="AH25689" s="831" t="s">
        <v>572</v>
      </c>
      <c r="AI25689" s="831">
        <v>0</v>
      </c>
      <c r="AJ25689" s="835">
        <v>41547</v>
      </c>
      <c r="AK25689" s="831">
        <v>26160885</v>
      </c>
    </row>
    <row r="25690" spans="32:37">
      <c r="AF25690" s="831" t="s">
        <v>11121</v>
      </c>
      <c r="AG25690" s="831" t="s">
        <v>2674</v>
      </c>
      <c r="AH25690" s="831" t="s">
        <v>577</v>
      </c>
      <c r="AI25690" s="831">
        <v>0</v>
      </c>
      <c r="AJ25690" s="835">
        <v>41547</v>
      </c>
      <c r="AK25690" s="831">
        <v>122921739</v>
      </c>
    </row>
    <row r="25691" spans="32:37">
      <c r="AF25691" s="831" t="s">
        <v>11122</v>
      </c>
      <c r="AG25691" s="831" t="s">
        <v>2674</v>
      </c>
      <c r="AH25691" s="831" t="s">
        <v>3042</v>
      </c>
      <c r="AI25691" s="831">
        <v>0</v>
      </c>
      <c r="AJ25691" s="835">
        <v>41547</v>
      </c>
      <c r="AK25691" s="831">
        <v>-30135210</v>
      </c>
    </row>
    <row r="25692" spans="32:37">
      <c r="AF25692" s="831" t="s">
        <v>11123</v>
      </c>
      <c r="AG25692" s="831" t="s">
        <v>2674</v>
      </c>
      <c r="AH25692" s="831" t="s">
        <v>3044</v>
      </c>
      <c r="AI25692" s="831">
        <v>0</v>
      </c>
      <c r="AJ25692" s="835">
        <v>41547</v>
      </c>
      <c r="AK25692" s="831">
        <v>-4515854</v>
      </c>
    </row>
    <row r="25693" spans="32:37">
      <c r="AF25693" s="831" t="s">
        <v>11124</v>
      </c>
      <c r="AG25693" s="831" t="s">
        <v>2674</v>
      </c>
      <c r="AH25693" s="831" t="s">
        <v>580</v>
      </c>
      <c r="AI25693" s="831">
        <v>0</v>
      </c>
      <c r="AJ25693" s="835">
        <v>41547</v>
      </c>
      <c r="AK25693" s="831">
        <v>-59169843</v>
      </c>
    </row>
    <row r="25694" spans="32:37">
      <c r="AF25694" s="831" t="s">
        <v>11125</v>
      </c>
      <c r="AG25694" s="831" t="s">
        <v>2674</v>
      </c>
      <c r="AH25694" s="831" t="s">
        <v>581</v>
      </c>
      <c r="AI25694" s="831">
        <v>0</v>
      </c>
      <c r="AJ25694" s="835">
        <v>41547</v>
      </c>
      <c r="AK25694" s="831">
        <v>4375184</v>
      </c>
    </row>
    <row r="25695" spans="32:37">
      <c r="AF25695" s="831" t="s">
        <v>11126</v>
      </c>
      <c r="AG25695" s="831" t="s">
        <v>2674</v>
      </c>
      <c r="AH25695" s="831" t="s">
        <v>105</v>
      </c>
      <c r="AI25695" s="831">
        <v>0</v>
      </c>
      <c r="AJ25695" s="835">
        <v>41547</v>
      </c>
      <c r="AK25695" s="831">
        <v>338957368</v>
      </c>
    </row>
    <row r="25696" spans="32:37">
      <c r="AF25696" s="831" t="s">
        <v>11127</v>
      </c>
      <c r="AG25696" s="831" t="s">
        <v>2674</v>
      </c>
      <c r="AH25696" s="831" t="s">
        <v>3049</v>
      </c>
      <c r="AI25696" s="831">
        <v>0</v>
      </c>
      <c r="AJ25696" s="835">
        <v>41547</v>
      </c>
      <c r="AK25696" s="831">
        <v>558920871</v>
      </c>
    </row>
    <row r="25697" spans="32:37">
      <c r="AF25697" s="831" t="s">
        <v>11128</v>
      </c>
      <c r="AG25697" s="831" t="s">
        <v>2674</v>
      </c>
      <c r="AH25697" s="831" t="s">
        <v>103</v>
      </c>
      <c r="AI25697" s="831">
        <v>0</v>
      </c>
      <c r="AJ25697" s="835">
        <v>41547</v>
      </c>
      <c r="AK25697" s="831">
        <v>219963503</v>
      </c>
    </row>
    <row r="25698" spans="32:37">
      <c r="AF25698" s="831" t="s">
        <v>11129</v>
      </c>
      <c r="AG25698" s="831" t="s">
        <v>2674</v>
      </c>
      <c r="AH25698" s="831" t="s">
        <v>182</v>
      </c>
      <c r="AI25698" s="831">
        <v>0</v>
      </c>
      <c r="AJ25698" s="835">
        <v>41547</v>
      </c>
      <c r="AK25698" s="831">
        <v>57784893.333333336</v>
      </c>
    </row>
    <row r="25699" spans="32:37">
      <c r="AF25699" s="831" t="s">
        <v>11130</v>
      </c>
      <c r="AG25699" s="831" t="s">
        <v>2674</v>
      </c>
      <c r="AH25699" s="831" t="s">
        <v>6600</v>
      </c>
      <c r="AI25699" s="831">
        <v>0</v>
      </c>
      <c r="AJ25699" s="835">
        <v>41547</v>
      </c>
      <c r="AK25699" s="831">
        <v>26160885</v>
      </c>
    </row>
    <row r="25700" spans="32:37">
      <c r="AF25700" s="831" t="s">
        <v>11131</v>
      </c>
      <c r="AG25700" s="831" t="s">
        <v>2674</v>
      </c>
      <c r="AH25700" s="831" t="s">
        <v>6602</v>
      </c>
      <c r="AI25700" s="831">
        <v>0</v>
      </c>
      <c r="AJ25700" s="835">
        <v>41547</v>
      </c>
      <c r="AK25700" s="831">
        <v>22407414</v>
      </c>
    </row>
    <row r="25701" spans="32:37">
      <c r="AF25701" s="831" t="s">
        <v>11132</v>
      </c>
      <c r="AG25701" s="831" t="s">
        <v>2674</v>
      </c>
      <c r="AH25701" s="831" t="s">
        <v>650</v>
      </c>
      <c r="AI25701" s="831">
        <v>0</v>
      </c>
      <c r="AJ25701" s="835">
        <v>41547</v>
      </c>
      <c r="AK25701" s="831">
        <v>184913431.55000001</v>
      </c>
    </row>
    <row r="25702" spans="32:37">
      <c r="AF25702" s="831" t="s">
        <v>11133</v>
      </c>
      <c r="AG25702" s="831" t="s">
        <v>2674</v>
      </c>
      <c r="AH25702" s="831" t="s">
        <v>655</v>
      </c>
      <c r="AI25702" s="831">
        <v>0</v>
      </c>
      <c r="AJ25702" s="835">
        <v>41547</v>
      </c>
      <c r="AK25702" s="831">
        <v>1374522.24</v>
      </c>
    </row>
    <row r="25703" spans="32:37">
      <c r="AF25703" s="831" t="s">
        <v>11134</v>
      </c>
      <c r="AG25703" s="831" t="s">
        <v>2674</v>
      </c>
      <c r="AH25703" s="831" t="s">
        <v>546</v>
      </c>
      <c r="AI25703" s="831">
        <v>0</v>
      </c>
      <c r="AJ25703" s="835">
        <v>41578</v>
      </c>
      <c r="AK25703" s="831">
        <v>580271359</v>
      </c>
    </row>
    <row r="25704" spans="32:37">
      <c r="AF25704" s="831" t="s">
        <v>11135</v>
      </c>
      <c r="AG25704" s="831" t="s">
        <v>2674</v>
      </c>
      <c r="AH25704" s="831" t="s">
        <v>370</v>
      </c>
      <c r="AI25704" s="831">
        <v>0</v>
      </c>
      <c r="AJ25704" s="835">
        <v>41578</v>
      </c>
      <c r="AK25704" s="831">
        <v>723686405</v>
      </c>
    </row>
    <row r="25705" spans="32:37">
      <c r="AF25705" s="831" t="s">
        <v>11136</v>
      </c>
      <c r="AG25705" s="831" t="s">
        <v>2674</v>
      </c>
      <c r="AH25705" s="831" t="s">
        <v>126</v>
      </c>
      <c r="AI25705" s="831">
        <v>0</v>
      </c>
      <c r="AJ25705" s="835">
        <v>41578</v>
      </c>
      <c r="AK25705" s="831">
        <v>120290863</v>
      </c>
    </row>
    <row r="25706" spans="32:37">
      <c r="AF25706" s="831" t="s">
        <v>11137</v>
      </c>
      <c r="AG25706" s="831" t="s">
        <v>2674</v>
      </c>
      <c r="AH25706" s="831" t="s">
        <v>268</v>
      </c>
      <c r="AI25706" s="831">
        <v>0</v>
      </c>
      <c r="AJ25706" s="835">
        <v>41578</v>
      </c>
      <c r="AK25706" s="831">
        <v>25527641</v>
      </c>
    </row>
    <row r="25707" spans="32:37">
      <c r="AF25707" s="831" t="s">
        <v>11138</v>
      </c>
      <c r="AG25707" s="831" t="s">
        <v>2674</v>
      </c>
      <c r="AH25707" s="831" t="s">
        <v>547</v>
      </c>
      <c r="AI25707" s="831">
        <v>0</v>
      </c>
      <c r="AJ25707" s="835">
        <v>41578</v>
      </c>
      <c r="AK25707" s="831">
        <v>511487760</v>
      </c>
    </row>
    <row r="25708" spans="32:37">
      <c r="AF25708" s="831" t="s">
        <v>11139</v>
      </c>
      <c r="AG25708" s="831" t="s">
        <v>2674</v>
      </c>
      <c r="AH25708" s="831" t="s">
        <v>548</v>
      </c>
      <c r="AI25708" s="831">
        <v>0</v>
      </c>
      <c r="AJ25708" s="835">
        <v>41578</v>
      </c>
      <c r="AK25708" s="831">
        <v>96883184</v>
      </c>
    </row>
    <row r="25709" spans="32:37">
      <c r="AF25709" s="831" t="s">
        <v>11140</v>
      </c>
      <c r="AG25709" s="831" t="s">
        <v>2674</v>
      </c>
      <c r="AH25709" s="831" t="s">
        <v>549</v>
      </c>
      <c r="AI25709" s="831">
        <v>0</v>
      </c>
      <c r="AJ25709" s="835">
        <v>41578</v>
      </c>
      <c r="AK25709" s="831">
        <v>376404251</v>
      </c>
    </row>
    <row r="25710" spans="32:37">
      <c r="AF25710" s="831" t="s">
        <v>11141</v>
      </c>
      <c r="AG25710" s="831" t="s">
        <v>2674</v>
      </c>
      <c r="AH25710" s="831" t="s">
        <v>192</v>
      </c>
      <c r="AI25710" s="831">
        <v>0</v>
      </c>
      <c r="AJ25710" s="835">
        <v>41578</v>
      </c>
      <c r="AK25710" s="831">
        <v>-13193791</v>
      </c>
    </row>
    <row r="25711" spans="32:37">
      <c r="AF25711" s="831" t="s">
        <v>11142</v>
      </c>
      <c r="AG25711" s="831" t="s">
        <v>2674</v>
      </c>
      <c r="AH25711" s="831" t="s">
        <v>558</v>
      </c>
      <c r="AI25711" s="831">
        <v>0</v>
      </c>
      <c r="AJ25711" s="835">
        <v>41578</v>
      </c>
      <c r="AK25711" s="831">
        <v>603395542</v>
      </c>
    </row>
    <row r="25712" spans="32:37">
      <c r="AF25712" s="831" t="s">
        <v>11143</v>
      </c>
      <c r="AG25712" s="831" t="s">
        <v>2674</v>
      </c>
      <c r="AH25712" s="831" t="s">
        <v>65</v>
      </c>
      <c r="AI25712" s="831">
        <v>0</v>
      </c>
      <c r="AJ25712" s="835">
        <v>41578</v>
      </c>
      <c r="AK25712" s="831">
        <v>107527674</v>
      </c>
    </row>
    <row r="25713" spans="32:37">
      <c r="AF25713" s="831" t="s">
        <v>11144</v>
      </c>
      <c r="AG25713" s="831" t="s">
        <v>2674</v>
      </c>
      <c r="AH25713" s="831" t="s">
        <v>89</v>
      </c>
      <c r="AI25713" s="831">
        <v>0</v>
      </c>
      <c r="AJ25713" s="835">
        <v>41578</v>
      </c>
      <c r="AK25713" s="831">
        <v>143295</v>
      </c>
    </row>
    <row r="25714" spans="32:37">
      <c r="AF25714" s="831" t="s">
        <v>11145</v>
      </c>
      <c r="AG25714" s="831" t="s">
        <v>2674</v>
      </c>
      <c r="AH25714" s="831" t="s">
        <v>557</v>
      </c>
      <c r="AI25714" s="831">
        <v>0</v>
      </c>
      <c r="AJ25714" s="835">
        <v>41578</v>
      </c>
      <c r="AK25714" s="831">
        <v>153100</v>
      </c>
    </row>
    <row r="25715" spans="32:37">
      <c r="AF25715" s="831" t="s">
        <v>11146</v>
      </c>
      <c r="AG25715" s="831" t="s">
        <v>2674</v>
      </c>
      <c r="AH25715" s="831" t="s">
        <v>29</v>
      </c>
      <c r="AI25715" s="831">
        <v>0</v>
      </c>
      <c r="AJ25715" s="835">
        <v>41578</v>
      </c>
      <c r="AK25715" s="831">
        <v>1718550.9230000002</v>
      </c>
    </row>
    <row r="25716" spans="32:37">
      <c r="AF25716" s="831" t="s">
        <v>11147</v>
      </c>
      <c r="AG25716" s="831" t="s">
        <v>2674</v>
      </c>
      <c r="AH25716" s="831" t="s">
        <v>2688</v>
      </c>
      <c r="AI25716" s="831">
        <v>0</v>
      </c>
      <c r="AJ25716" s="835">
        <v>41578</v>
      </c>
      <c r="AK25716" s="831">
        <v>2316853.79</v>
      </c>
    </row>
    <row r="25717" spans="32:37">
      <c r="AF25717" s="831" t="s">
        <v>11148</v>
      </c>
      <c r="AG25717" s="831" t="s">
        <v>2674</v>
      </c>
      <c r="AH25717" s="831" t="s">
        <v>556</v>
      </c>
      <c r="AI25717" s="831">
        <v>0</v>
      </c>
      <c r="AJ25717" s="835">
        <v>41578</v>
      </c>
      <c r="AK25717" s="831">
        <v>1644732</v>
      </c>
    </row>
    <row r="25718" spans="32:37">
      <c r="AF25718" s="831" t="s">
        <v>11149</v>
      </c>
      <c r="AG25718" s="831" t="s">
        <v>2674</v>
      </c>
      <c r="AH25718" s="831" t="s">
        <v>555</v>
      </c>
      <c r="AI25718" s="831">
        <v>0</v>
      </c>
      <c r="AJ25718" s="835">
        <v>41578</v>
      </c>
      <c r="AK25718" s="831">
        <v>400055160</v>
      </c>
    </row>
    <row r="25719" spans="32:37">
      <c r="AF25719" s="831" t="s">
        <v>11150</v>
      </c>
      <c r="AG25719" s="831" t="s">
        <v>2674</v>
      </c>
      <c r="AH25719" s="831" t="s">
        <v>554</v>
      </c>
      <c r="AI25719" s="831">
        <v>0</v>
      </c>
      <c r="AJ25719" s="835">
        <v>41578</v>
      </c>
      <c r="AK25719" s="831">
        <v>409100170</v>
      </c>
    </row>
    <row r="25720" spans="32:37">
      <c r="AF25720" s="831" t="s">
        <v>11151</v>
      </c>
      <c r="AG25720" s="831" t="s">
        <v>2674</v>
      </c>
      <c r="AH25720" s="831" t="s">
        <v>553</v>
      </c>
      <c r="AI25720" s="831">
        <v>0</v>
      </c>
      <c r="AJ25720" s="835">
        <v>41578</v>
      </c>
      <c r="AK25720" s="831">
        <v>0</v>
      </c>
    </row>
    <row r="25721" spans="32:37">
      <c r="AF25721" s="831" t="s">
        <v>11152</v>
      </c>
      <c r="AG25721" s="831" t="s">
        <v>2674</v>
      </c>
      <c r="AH25721" s="831" t="s">
        <v>552</v>
      </c>
      <c r="AI25721" s="831">
        <v>0</v>
      </c>
      <c r="AJ25721" s="835">
        <v>41578</v>
      </c>
      <c r="AK25721" s="831">
        <v>0</v>
      </c>
    </row>
    <row r="25722" spans="32:37">
      <c r="AF25722" s="831" t="s">
        <v>11153</v>
      </c>
      <c r="AG25722" s="831" t="s">
        <v>2674</v>
      </c>
      <c r="AH25722" s="831" t="s">
        <v>551</v>
      </c>
      <c r="AI25722" s="831">
        <v>0</v>
      </c>
      <c r="AJ25722" s="835">
        <v>41578</v>
      </c>
      <c r="AK25722" s="831">
        <v>1543588.5830000001</v>
      </c>
    </row>
    <row r="25723" spans="32:37">
      <c r="AF25723" s="831" t="s">
        <v>11154</v>
      </c>
      <c r="AG25723" s="831" t="s">
        <v>2674</v>
      </c>
      <c r="AH25723" s="831" t="s">
        <v>550</v>
      </c>
      <c r="AI25723" s="831">
        <v>0</v>
      </c>
      <c r="AJ25723" s="835">
        <v>41578</v>
      </c>
      <c r="AK25723" s="831">
        <v>117170637</v>
      </c>
    </row>
    <row r="25724" spans="32:37">
      <c r="AF25724" s="831" t="s">
        <v>11155</v>
      </c>
      <c r="AG25724" s="831" t="s">
        <v>2674</v>
      </c>
      <c r="AH25724" s="831" t="s">
        <v>562</v>
      </c>
      <c r="AI25724" s="831">
        <v>0</v>
      </c>
      <c r="AJ25724" s="835">
        <v>41578</v>
      </c>
      <c r="AK25724" s="831">
        <v>0.78395000000000004</v>
      </c>
    </row>
    <row r="25725" spans="32:37">
      <c r="AF25725" s="831" t="s">
        <v>11156</v>
      </c>
      <c r="AG25725" s="831" t="s">
        <v>2674</v>
      </c>
      <c r="AH25725" s="831" t="s">
        <v>2698</v>
      </c>
      <c r="AI25725" s="831">
        <v>0</v>
      </c>
      <c r="AJ25725" s="835">
        <v>41578</v>
      </c>
      <c r="AK25725" s="831">
        <v>0.78395000000000004</v>
      </c>
    </row>
    <row r="25726" spans="32:37">
      <c r="AF25726" s="831" t="s">
        <v>11157</v>
      </c>
      <c r="AG25726" s="831" t="s">
        <v>2674</v>
      </c>
      <c r="AH25726" s="831" t="s">
        <v>560</v>
      </c>
      <c r="AI25726" s="831">
        <v>0</v>
      </c>
      <c r="AJ25726" s="835">
        <v>41578</v>
      </c>
      <c r="AK25726" s="831">
        <v>0.78400000000000003</v>
      </c>
    </row>
    <row r="25727" spans="32:37">
      <c r="AF25727" s="831" t="s">
        <v>11158</v>
      </c>
      <c r="AG25727" s="831" t="s">
        <v>2674</v>
      </c>
      <c r="AH25727" s="831" t="s">
        <v>559</v>
      </c>
      <c r="AI25727" s="831">
        <v>0</v>
      </c>
      <c r="AJ25727" s="835">
        <v>41578</v>
      </c>
      <c r="AK25727" s="831">
        <v>0.78401250000000011</v>
      </c>
    </row>
    <row r="25728" spans="32:37">
      <c r="AF25728" s="831" t="s">
        <v>11159</v>
      </c>
      <c r="AG25728" s="831" t="s">
        <v>2674</v>
      </c>
      <c r="AH25728" s="831" t="s">
        <v>568</v>
      </c>
      <c r="AI25728" s="831">
        <v>0</v>
      </c>
      <c r="AJ25728" s="835">
        <v>41578</v>
      </c>
      <c r="AK25728" s="831">
        <v>478407995.76923078</v>
      </c>
    </row>
    <row r="25729" spans="32:37">
      <c r="AF25729" s="831" t="s">
        <v>11160</v>
      </c>
      <c r="AG25729" s="831" t="s">
        <v>2674</v>
      </c>
      <c r="AH25729" s="831" t="s">
        <v>569</v>
      </c>
      <c r="AI25729" s="831">
        <v>0</v>
      </c>
      <c r="AJ25729" s="835">
        <v>41578</v>
      </c>
      <c r="AK25729" s="831">
        <v>581144138.23076928</v>
      </c>
    </row>
    <row r="25730" spans="32:37">
      <c r="AF25730" s="831" t="s">
        <v>11161</v>
      </c>
      <c r="AG25730" s="831" t="s">
        <v>2674</v>
      </c>
      <c r="AH25730" s="831" t="s">
        <v>570</v>
      </c>
      <c r="AI25730" s="831">
        <v>0</v>
      </c>
      <c r="AJ25730" s="835">
        <v>41578</v>
      </c>
      <c r="AK25730" s="831">
        <v>105999107.61538461</v>
      </c>
    </row>
    <row r="25731" spans="32:37">
      <c r="AF25731" s="831" t="s">
        <v>11162</v>
      </c>
      <c r="AG25731" s="831" t="s">
        <v>2674</v>
      </c>
      <c r="AH25731" s="831" t="s">
        <v>571</v>
      </c>
      <c r="AI25731" s="831">
        <v>0</v>
      </c>
      <c r="AJ25731" s="835">
        <v>41578</v>
      </c>
      <c r="AK25731" s="831">
        <v>269945691.38461536</v>
      </c>
    </row>
    <row r="25732" spans="32:37">
      <c r="AF25732" s="831" t="s">
        <v>11163</v>
      </c>
      <c r="AG25732" s="831" t="s">
        <v>2674</v>
      </c>
      <c r="AH25732" s="831" t="s">
        <v>573</v>
      </c>
      <c r="AI25732" s="831">
        <v>0</v>
      </c>
      <c r="AJ25732" s="835">
        <v>41578</v>
      </c>
      <c r="AK25732" s="831">
        <v>602977734.09090912</v>
      </c>
    </row>
    <row r="25733" spans="32:37">
      <c r="AF25733" s="831" t="s">
        <v>11164</v>
      </c>
      <c r="AG25733" s="831" t="s">
        <v>2674</v>
      </c>
      <c r="AH25733" s="831" t="s">
        <v>574</v>
      </c>
      <c r="AI25733" s="831">
        <v>0</v>
      </c>
      <c r="AJ25733" s="835">
        <v>41578</v>
      </c>
      <c r="AK25733" s="831">
        <v>495346900.72727275</v>
      </c>
    </row>
    <row r="25734" spans="32:37">
      <c r="AF25734" s="831" t="s">
        <v>11165</v>
      </c>
      <c r="AG25734" s="831" t="s">
        <v>2674</v>
      </c>
      <c r="AH25734" s="831" t="s">
        <v>575</v>
      </c>
      <c r="AI25734" s="831">
        <v>0</v>
      </c>
      <c r="AJ25734" s="835">
        <v>41578</v>
      </c>
      <c r="AK25734" s="831">
        <v>106972740.09090909</v>
      </c>
    </row>
    <row r="25735" spans="32:37">
      <c r="AF25735" s="831" t="s">
        <v>11166</v>
      </c>
      <c r="AG25735" s="831" t="s">
        <v>2674</v>
      </c>
      <c r="AH25735" s="831" t="s">
        <v>576</v>
      </c>
      <c r="AI25735" s="831">
        <v>0</v>
      </c>
      <c r="AJ25735" s="835">
        <v>41578</v>
      </c>
      <c r="AK25735" s="831">
        <v>283862763.27272725</v>
      </c>
    </row>
    <row r="25736" spans="32:37">
      <c r="AF25736" s="831" t="s">
        <v>11167</v>
      </c>
      <c r="AG25736" s="831" t="s">
        <v>2674</v>
      </c>
      <c r="AH25736" s="831" t="s">
        <v>572</v>
      </c>
      <c r="AI25736" s="831">
        <v>0</v>
      </c>
      <c r="AJ25736" s="835">
        <v>41578</v>
      </c>
      <c r="AK25736" s="831">
        <v>27259085</v>
      </c>
    </row>
    <row r="25737" spans="32:37">
      <c r="AF25737" s="831" t="s">
        <v>11168</v>
      </c>
      <c r="AG25737" s="831" t="s">
        <v>2674</v>
      </c>
      <c r="AH25737" s="831" t="s">
        <v>577</v>
      </c>
      <c r="AI25737" s="831">
        <v>0</v>
      </c>
      <c r="AJ25737" s="835">
        <v>41578</v>
      </c>
      <c r="AK25737" s="831">
        <v>126095724</v>
      </c>
    </row>
    <row r="25738" spans="32:37">
      <c r="AF25738" s="831" t="s">
        <v>11169</v>
      </c>
      <c r="AG25738" s="831" t="s">
        <v>2674</v>
      </c>
      <c r="AH25738" s="831" t="s">
        <v>3042</v>
      </c>
      <c r="AI25738" s="831">
        <v>0</v>
      </c>
      <c r="AJ25738" s="835">
        <v>41578</v>
      </c>
      <c r="AK25738" s="831">
        <v>-31522962</v>
      </c>
    </row>
    <row r="25739" spans="32:37">
      <c r="AF25739" s="831" t="s">
        <v>11170</v>
      </c>
      <c r="AG25739" s="831" t="s">
        <v>2674</v>
      </c>
      <c r="AH25739" s="831" t="s">
        <v>3044</v>
      </c>
      <c r="AI25739" s="831">
        <v>0</v>
      </c>
      <c r="AJ25739" s="835">
        <v>41578</v>
      </c>
      <c r="AK25739" s="831">
        <v>-4397277</v>
      </c>
    </row>
    <row r="25740" spans="32:37">
      <c r="AF25740" s="831" t="s">
        <v>11171</v>
      </c>
      <c r="AG25740" s="831" t="s">
        <v>2674</v>
      </c>
      <c r="AH25740" s="831" t="s">
        <v>580</v>
      </c>
      <c r="AI25740" s="831">
        <v>0</v>
      </c>
      <c r="AJ25740" s="835">
        <v>41578</v>
      </c>
      <c r="AK25740" s="831">
        <v>-60213639</v>
      </c>
    </row>
    <row r="25741" spans="32:37">
      <c r="AF25741" s="831" t="s">
        <v>11172</v>
      </c>
      <c r="AG25741" s="831" t="s">
        <v>2674</v>
      </c>
      <c r="AH25741" s="831" t="s">
        <v>581</v>
      </c>
      <c r="AI25741" s="831">
        <v>0</v>
      </c>
      <c r="AJ25741" s="835">
        <v>41578</v>
      </c>
      <c r="AK25741" s="831">
        <v>4896268</v>
      </c>
    </row>
    <row r="25742" spans="32:37">
      <c r="AF25742" s="831" t="s">
        <v>11173</v>
      </c>
      <c r="AG25742" s="831" t="s">
        <v>2674</v>
      </c>
      <c r="AH25742" s="831" t="s">
        <v>105</v>
      </c>
      <c r="AI25742" s="831">
        <v>0</v>
      </c>
      <c r="AJ25742" s="835">
        <v>41578</v>
      </c>
      <c r="AK25742" s="831">
        <v>349309695</v>
      </c>
    </row>
    <row r="25743" spans="32:37">
      <c r="AF25743" s="831" t="s">
        <v>11174</v>
      </c>
      <c r="AG25743" s="831" t="s">
        <v>2674</v>
      </c>
      <c r="AH25743" s="831" t="s">
        <v>3049</v>
      </c>
      <c r="AI25743" s="831">
        <v>0</v>
      </c>
      <c r="AJ25743" s="835">
        <v>41578</v>
      </c>
      <c r="AK25743" s="831">
        <v>582451860</v>
      </c>
    </row>
    <row r="25744" spans="32:37">
      <c r="AF25744" s="831" t="s">
        <v>11175</v>
      </c>
      <c r="AG25744" s="831" t="s">
        <v>2674</v>
      </c>
      <c r="AH25744" s="831" t="s">
        <v>103</v>
      </c>
      <c r="AI25744" s="831">
        <v>0</v>
      </c>
      <c r="AJ25744" s="835">
        <v>41578</v>
      </c>
      <c r="AK25744" s="831">
        <v>233142165</v>
      </c>
    </row>
    <row r="25745" spans="32:37">
      <c r="AF25745" s="831" t="s">
        <v>11176</v>
      </c>
      <c r="AG25745" s="831" t="s">
        <v>2674</v>
      </c>
      <c r="AH25745" s="831" t="s">
        <v>182</v>
      </c>
      <c r="AI25745" s="831">
        <v>0</v>
      </c>
      <c r="AJ25745" s="835">
        <v>41578</v>
      </c>
      <c r="AK25745" s="831">
        <v>58216306.799999997</v>
      </c>
    </row>
    <row r="25746" spans="32:37">
      <c r="AF25746" s="831" t="s">
        <v>11177</v>
      </c>
      <c r="AG25746" s="831" t="s">
        <v>2674</v>
      </c>
      <c r="AH25746" s="831" t="s">
        <v>6600</v>
      </c>
      <c r="AI25746" s="831">
        <v>0</v>
      </c>
      <c r="AJ25746" s="835">
        <v>41578</v>
      </c>
      <c r="AK25746" s="831">
        <v>27259085</v>
      </c>
    </row>
    <row r="25747" spans="32:37">
      <c r="AF25747" s="831" t="s">
        <v>11178</v>
      </c>
      <c r="AG25747" s="831" t="s">
        <v>2674</v>
      </c>
      <c r="AH25747" s="831" t="s">
        <v>6602</v>
      </c>
      <c r="AI25747" s="831">
        <v>0</v>
      </c>
      <c r="AJ25747" s="835">
        <v>41578</v>
      </c>
      <c r="AK25747" s="831">
        <v>25527641</v>
      </c>
    </row>
    <row r="25748" spans="32:37">
      <c r="AF25748" s="831" t="s">
        <v>11179</v>
      </c>
      <c r="AG25748" s="831" t="s">
        <v>2674</v>
      </c>
      <c r="AH25748" s="831" t="s">
        <v>650</v>
      </c>
      <c r="AI25748" s="831">
        <v>0</v>
      </c>
      <c r="AJ25748" s="835">
        <v>41578</v>
      </c>
      <c r="AK25748" s="831">
        <v>190388810.31923077</v>
      </c>
    </row>
    <row r="25749" spans="32:37">
      <c r="AF25749" s="831" t="s">
        <v>11180</v>
      </c>
      <c r="AG25749" s="831" t="s">
        <v>2674</v>
      </c>
      <c r="AH25749" s="831" t="s">
        <v>655</v>
      </c>
      <c r="AI25749" s="831">
        <v>0</v>
      </c>
      <c r="AJ25749" s="835">
        <v>41578</v>
      </c>
      <c r="AK25749" s="831">
        <v>1325401.845</v>
      </c>
    </row>
    <row r="25750" spans="32:37">
      <c r="AF25750" s="831" t="s">
        <v>11181</v>
      </c>
      <c r="AG25750" s="831" t="s">
        <v>2674</v>
      </c>
      <c r="AH25750" s="831" t="s">
        <v>546</v>
      </c>
      <c r="AI25750" s="831">
        <v>0</v>
      </c>
      <c r="AJ25750" s="835">
        <v>41608</v>
      </c>
      <c r="AK25750" s="831">
        <v>598049309.95000005</v>
      </c>
    </row>
    <row r="25751" spans="32:37">
      <c r="AF25751" s="831" t="s">
        <v>11182</v>
      </c>
      <c r="AG25751" s="831" t="s">
        <v>2674</v>
      </c>
      <c r="AH25751" s="831" t="s">
        <v>370</v>
      </c>
      <c r="AI25751" s="831">
        <v>0</v>
      </c>
      <c r="AJ25751" s="835">
        <v>41608</v>
      </c>
      <c r="AK25751" s="831">
        <v>744271522.09000015</v>
      </c>
    </row>
    <row r="25752" spans="32:37">
      <c r="AF25752" s="831" t="s">
        <v>11183</v>
      </c>
      <c r="AG25752" s="831" t="s">
        <v>2674</v>
      </c>
      <c r="AH25752" s="831" t="s">
        <v>126</v>
      </c>
      <c r="AI25752" s="831">
        <v>0</v>
      </c>
      <c r="AJ25752" s="835">
        <v>41608</v>
      </c>
      <c r="AK25752" s="831">
        <v>123117939.85600001</v>
      </c>
    </row>
    <row r="25753" spans="32:37">
      <c r="AF25753" s="831" t="s">
        <v>11184</v>
      </c>
      <c r="AG25753" s="831" t="s">
        <v>2674</v>
      </c>
      <c r="AH25753" s="831" t="s">
        <v>268</v>
      </c>
      <c r="AI25753" s="831">
        <v>0</v>
      </c>
      <c r="AJ25753" s="835">
        <v>41608</v>
      </c>
      <c r="AK25753" s="831">
        <v>28354718.032000005</v>
      </c>
    </row>
    <row r="25754" spans="32:37">
      <c r="AF25754" s="831" t="s">
        <v>11185</v>
      </c>
      <c r="AG25754" s="831" t="s">
        <v>2674</v>
      </c>
      <c r="AH25754" s="831" t="s">
        <v>547</v>
      </c>
      <c r="AI25754" s="831">
        <v>0</v>
      </c>
      <c r="AJ25754" s="835">
        <v>41608</v>
      </c>
      <c r="AK25754" s="831">
        <v>511487760</v>
      </c>
    </row>
    <row r="25755" spans="32:37">
      <c r="AF25755" s="831" t="s">
        <v>11186</v>
      </c>
      <c r="AG25755" s="831" t="s">
        <v>2674</v>
      </c>
      <c r="AH25755" s="831" t="s">
        <v>548</v>
      </c>
      <c r="AI25755" s="831">
        <v>0</v>
      </c>
      <c r="AJ25755" s="835">
        <v>41608</v>
      </c>
      <c r="AK25755" s="831">
        <v>96883184</v>
      </c>
    </row>
    <row r="25756" spans="32:37">
      <c r="AF25756" s="831" t="s">
        <v>11187</v>
      </c>
      <c r="AG25756" s="831" t="s">
        <v>2674</v>
      </c>
      <c r="AH25756" s="831" t="s">
        <v>549</v>
      </c>
      <c r="AI25756" s="831">
        <v>0</v>
      </c>
      <c r="AJ25756" s="835">
        <v>41608</v>
      </c>
      <c r="AK25756" s="831">
        <v>394083786</v>
      </c>
    </row>
    <row r="25757" spans="32:37">
      <c r="AF25757" s="831" t="s">
        <v>11188</v>
      </c>
      <c r="AG25757" s="831" t="s">
        <v>2674</v>
      </c>
      <c r="AH25757" s="831" t="s">
        <v>192</v>
      </c>
      <c r="AI25757" s="831">
        <v>0</v>
      </c>
      <c r="AJ25757" s="835">
        <v>41608</v>
      </c>
      <c r="AK25757" s="831">
        <v>-13734258.050000001</v>
      </c>
    </row>
    <row r="25758" spans="32:37">
      <c r="AF25758" s="831" t="s">
        <v>11189</v>
      </c>
      <c r="AG25758" s="831" t="s">
        <v>2674</v>
      </c>
      <c r="AH25758" s="831" t="s">
        <v>558</v>
      </c>
      <c r="AI25758" s="831">
        <v>0</v>
      </c>
      <c r="AJ25758" s="835">
        <v>41608</v>
      </c>
      <c r="AK25758" s="831">
        <v>621153581.74699998</v>
      </c>
    </row>
    <row r="25759" spans="32:37">
      <c r="AF25759" s="831" t="s">
        <v>11190</v>
      </c>
      <c r="AG25759" s="831" t="s">
        <v>2674</v>
      </c>
      <c r="AH25759" s="831" t="s">
        <v>65</v>
      </c>
      <c r="AI25759" s="831">
        <v>0</v>
      </c>
      <c r="AJ25759" s="835">
        <v>41608</v>
      </c>
      <c r="AK25759" s="831">
        <v>119540969.236</v>
      </c>
    </row>
    <row r="25760" spans="32:37">
      <c r="AF25760" s="831" t="s">
        <v>11191</v>
      </c>
      <c r="AG25760" s="831" t="s">
        <v>2674</v>
      </c>
      <c r="AH25760" s="831" t="s">
        <v>89</v>
      </c>
      <c r="AI25760" s="831">
        <v>0</v>
      </c>
      <c r="AJ25760" s="835">
        <v>41608</v>
      </c>
      <c r="AK25760" s="831">
        <v>145224</v>
      </c>
    </row>
    <row r="25761" spans="32:37">
      <c r="AF25761" s="831" t="s">
        <v>11192</v>
      </c>
      <c r="AG25761" s="831" t="s">
        <v>2674</v>
      </c>
      <c r="AH25761" s="831" t="s">
        <v>557</v>
      </c>
      <c r="AI25761" s="831">
        <v>0</v>
      </c>
      <c r="AJ25761" s="835">
        <v>41608</v>
      </c>
      <c r="AK25761" s="831">
        <v>155996</v>
      </c>
    </row>
    <row r="25762" spans="32:37">
      <c r="AF25762" s="831" t="s">
        <v>11193</v>
      </c>
      <c r="AG25762" s="831" t="s">
        <v>2674</v>
      </c>
      <c r="AH25762" s="831" t="s">
        <v>29</v>
      </c>
      <c r="AI25762" s="831">
        <v>0</v>
      </c>
      <c r="AJ25762" s="835">
        <v>41608</v>
      </c>
      <c r="AK25762" s="831">
        <v>1891894.6070000001</v>
      </c>
    </row>
    <row r="25763" spans="32:37">
      <c r="AF25763" s="831" t="s">
        <v>11194</v>
      </c>
      <c r="AG25763" s="831" t="s">
        <v>2674</v>
      </c>
      <c r="AH25763" s="831" t="s">
        <v>2688</v>
      </c>
      <c r="AI25763" s="831">
        <v>0</v>
      </c>
      <c r="AJ25763" s="835">
        <v>41608</v>
      </c>
      <c r="AK25763" s="831">
        <v>3430395.37</v>
      </c>
    </row>
    <row r="25764" spans="32:37">
      <c r="AF25764" s="831" t="s">
        <v>11195</v>
      </c>
      <c r="AG25764" s="831" t="s">
        <v>2674</v>
      </c>
      <c r="AH25764" s="831" t="s">
        <v>556</v>
      </c>
      <c r="AI25764" s="831">
        <v>0</v>
      </c>
      <c r="AJ25764" s="835">
        <v>41608</v>
      </c>
      <c r="AK25764" s="831">
        <v>1644732</v>
      </c>
    </row>
    <row r="25765" spans="32:37">
      <c r="AF25765" s="831" t="s">
        <v>11196</v>
      </c>
      <c r="AG25765" s="831" t="s">
        <v>2674</v>
      </c>
      <c r="AH25765" s="831" t="s">
        <v>555</v>
      </c>
      <c r="AI25765" s="831">
        <v>0</v>
      </c>
      <c r="AJ25765" s="835">
        <v>41608</v>
      </c>
      <c r="AK25765" s="831">
        <v>414052390</v>
      </c>
    </row>
    <row r="25766" spans="32:37">
      <c r="AF25766" s="831" t="s">
        <v>11197</v>
      </c>
      <c r="AG25766" s="831" t="s">
        <v>2674</v>
      </c>
      <c r="AH25766" s="831" t="s">
        <v>554</v>
      </c>
      <c r="AI25766" s="831">
        <v>0</v>
      </c>
      <c r="AJ25766" s="835">
        <v>41608</v>
      </c>
      <c r="AK25766" s="831">
        <v>421904620</v>
      </c>
    </row>
    <row r="25767" spans="32:37">
      <c r="AF25767" s="831" t="s">
        <v>11198</v>
      </c>
      <c r="AG25767" s="831" t="s">
        <v>2674</v>
      </c>
      <c r="AH25767" s="831" t="s">
        <v>553</v>
      </c>
      <c r="AI25767" s="831">
        <v>0</v>
      </c>
      <c r="AJ25767" s="835">
        <v>41608</v>
      </c>
      <c r="AK25767" s="831">
        <v>0</v>
      </c>
    </row>
    <row r="25768" spans="32:37">
      <c r="AF25768" s="831" t="s">
        <v>11199</v>
      </c>
      <c r="AG25768" s="831" t="s">
        <v>2674</v>
      </c>
      <c r="AH25768" s="831" t="s">
        <v>552</v>
      </c>
      <c r="AI25768" s="831">
        <v>0</v>
      </c>
      <c r="AJ25768" s="835">
        <v>41608</v>
      </c>
      <c r="AK25768" s="831">
        <v>0</v>
      </c>
    </row>
    <row r="25769" spans="32:37">
      <c r="AF25769" s="831" t="s">
        <v>11200</v>
      </c>
      <c r="AG25769" s="831" t="s">
        <v>2674</v>
      </c>
      <c r="AH25769" s="831" t="s">
        <v>551</v>
      </c>
      <c r="AI25769" s="831">
        <v>0</v>
      </c>
      <c r="AJ25769" s="835">
        <v>41608</v>
      </c>
      <c r="AK25769" s="831">
        <v>1659941.3510000003</v>
      </c>
    </row>
    <row r="25770" spans="32:37">
      <c r="AF25770" s="831" t="s">
        <v>11201</v>
      </c>
      <c r="AG25770" s="831" t="s">
        <v>2674</v>
      </c>
      <c r="AH25770" s="831" t="s">
        <v>550</v>
      </c>
      <c r="AI25770" s="831">
        <v>0</v>
      </c>
      <c r="AJ25770" s="835">
        <v>41608</v>
      </c>
      <c r="AK25770" s="831">
        <v>120290863</v>
      </c>
    </row>
    <row r="25771" spans="32:37">
      <c r="AF25771" s="831" t="s">
        <v>11202</v>
      </c>
      <c r="AG25771" s="831" t="s">
        <v>2674</v>
      </c>
      <c r="AH25771" s="831" t="s">
        <v>562</v>
      </c>
      <c r="AI25771" s="831">
        <v>0</v>
      </c>
      <c r="AJ25771" s="835">
        <v>41608</v>
      </c>
      <c r="AK25771" s="831">
        <v>0.78385000000000005</v>
      </c>
    </row>
    <row r="25772" spans="32:37">
      <c r="AF25772" s="831" t="s">
        <v>11203</v>
      </c>
      <c r="AG25772" s="831" t="s">
        <v>2674</v>
      </c>
      <c r="AH25772" s="831" t="s">
        <v>2698</v>
      </c>
      <c r="AI25772" s="831">
        <v>0</v>
      </c>
      <c r="AJ25772" s="835">
        <v>41608</v>
      </c>
      <c r="AK25772" s="831">
        <v>0.78395000000000004</v>
      </c>
    </row>
    <row r="25773" spans="32:37">
      <c r="AF25773" s="831" t="s">
        <v>11204</v>
      </c>
      <c r="AG25773" s="831" t="s">
        <v>2674</v>
      </c>
      <c r="AH25773" s="831" t="s">
        <v>560</v>
      </c>
      <c r="AI25773" s="831">
        <v>0</v>
      </c>
      <c r="AJ25773" s="835">
        <v>41608</v>
      </c>
      <c r="AK25773" s="831">
        <v>0.78398636363636354</v>
      </c>
    </row>
    <row r="25774" spans="32:37">
      <c r="AF25774" s="831" t="s">
        <v>11205</v>
      </c>
      <c r="AG25774" s="831" t="s">
        <v>2674</v>
      </c>
      <c r="AH25774" s="831" t="s">
        <v>559</v>
      </c>
      <c r="AI25774" s="831">
        <v>0</v>
      </c>
      <c r="AJ25774" s="835">
        <v>41608</v>
      </c>
      <c r="AK25774" s="831">
        <v>0.78398749999999995</v>
      </c>
    </row>
    <row r="25775" spans="32:37">
      <c r="AF25775" s="831" t="s">
        <v>11206</v>
      </c>
      <c r="AG25775" s="831" t="s">
        <v>2674</v>
      </c>
      <c r="AH25775" s="831" t="s">
        <v>568</v>
      </c>
      <c r="AI25775" s="831">
        <v>0</v>
      </c>
      <c r="AJ25775" s="835">
        <v>41608</v>
      </c>
      <c r="AK25775" s="831">
        <v>495457615.68846154</v>
      </c>
    </row>
    <row r="25776" spans="32:37">
      <c r="AF25776" s="831" t="s">
        <v>11207</v>
      </c>
      <c r="AG25776" s="831" t="s">
        <v>2674</v>
      </c>
      <c r="AH25776" s="831" t="s">
        <v>569</v>
      </c>
      <c r="AI25776" s="831">
        <v>0</v>
      </c>
      <c r="AJ25776" s="835">
        <v>41608</v>
      </c>
      <c r="AK25776" s="831">
        <v>603523727.23769236</v>
      </c>
    </row>
    <row r="25777" spans="32:37">
      <c r="AF25777" s="831" t="s">
        <v>11208</v>
      </c>
      <c r="AG25777" s="831" t="s">
        <v>2674</v>
      </c>
      <c r="AH25777" s="831" t="s">
        <v>570</v>
      </c>
      <c r="AI25777" s="831">
        <v>0</v>
      </c>
      <c r="AJ25777" s="835">
        <v>41608</v>
      </c>
      <c r="AK25777" s="831">
        <v>107821146.75815384</v>
      </c>
    </row>
    <row r="25778" spans="32:37">
      <c r="AF25778" s="831" t="s">
        <v>11209</v>
      </c>
      <c r="AG25778" s="831" t="s">
        <v>2674</v>
      </c>
      <c r="AH25778" s="831" t="s">
        <v>571</v>
      </c>
      <c r="AI25778" s="831">
        <v>0</v>
      </c>
      <c r="AJ25778" s="835">
        <v>41608</v>
      </c>
      <c r="AK25778" s="831">
        <v>283259717.08169228</v>
      </c>
    </row>
    <row r="25779" spans="32:37">
      <c r="AF25779" s="831" t="s">
        <v>11210</v>
      </c>
      <c r="AG25779" s="831" t="s">
        <v>2674</v>
      </c>
      <c r="AH25779" s="831" t="s">
        <v>573</v>
      </c>
      <c r="AI25779" s="831">
        <v>0</v>
      </c>
      <c r="AJ25779" s="835">
        <v>41608</v>
      </c>
      <c r="AK25779" s="831">
        <v>614752216.42416668</v>
      </c>
    </row>
    <row r="25780" spans="32:37">
      <c r="AF25780" s="831" t="s">
        <v>11211</v>
      </c>
      <c r="AG25780" s="831" t="s">
        <v>2674</v>
      </c>
      <c r="AH25780" s="831" t="s">
        <v>574</v>
      </c>
      <c r="AI25780" s="831">
        <v>0</v>
      </c>
      <c r="AJ25780" s="835">
        <v>41608</v>
      </c>
      <c r="AK25780" s="831">
        <v>503905434.82916665</v>
      </c>
    </row>
    <row r="25781" spans="32:37">
      <c r="AF25781" s="831" t="s">
        <v>11212</v>
      </c>
      <c r="AG25781" s="831" t="s">
        <v>2674</v>
      </c>
      <c r="AH25781" s="831" t="s">
        <v>575</v>
      </c>
      <c r="AI25781" s="831">
        <v>0</v>
      </c>
      <c r="AJ25781" s="835">
        <v>41608</v>
      </c>
      <c r="AK25781" s="831">
        <v>108318173.40466666</v>
      </c>
    </row>
    <row r="25782" spans="32:37">
      <c r="AF25782" s="831" t="s">
        <v>11213</v>
      </c>
      <c r="AG25782" s="831" t="s">
        <v>2674</v>
      </c>
      <c r="AH25782" s="831" t="s">
        <v>576</v>
      </c>
      <c r="AI25782" s="831">
        <v>0</v>
      </c>
      <c r="AJ25782" s="835">
        <v>41608</v>
      </c>
      <c r="AK25782" s="831">
        <v>290020734.67183334</v>
      </c>
    </row>
    <row r="25783" spans="32:37">
      <c r="AF25783" s="831" t="s">
        <v>11214</v>
      </c>
      <c r="AG25783" s="831" t="s">
        <v>2674</v>
      </c>
      <c r="AH25783" s="831" t="s">
        <v>572</v>
      </c>
      <c r="AI25783" s="831">
        <v>0</v>
      </c>
      <c r="AJ25783" s="835">
        <v>41608</v>
      </c>
      <c r="AK25783" s="831">
        <v>27660766.032000005</v>
      </c>
    </row>
    <row r="25784" spans="32:37">
      <c r="AF25784" s="831" t="s">
        <v>11215</v>
      </c>
      <c r="AG25784" s="831" t="s">
        <v>2674</v>
      </c>
      <c r="AH25784" s="831" t="s">
        <v>577</v>
      </c>
      <c r="AI25784" s="831">
        <v>0</v>
      </c>
      <c r="AJ25784" s="835">
        <v>41608</v>
      </c>
      <c r="AK25784" s="831">
        <v>128906380.236</v>
      </c>
    </row>
    <row r="25785" spans="32:37">
      <c r="AF25785" s="831" t="s">
        <v>11216</v>
      </c>
      <c r="AG25785" s="831" t="s">
        <v>2674</v>
      </c>
      <c r="AH25785" s="831" t="s">
        <v>3042</v>
      </c>
      <c r="AI25785" s="831">
        <v>0</v>
      </c>
      <c r="AJ25785" s="835">
        <v>41608</v>
      </c>
      <c r="AK25785" s="831">
        <v>-32754423.664999999</v>
      </c>
    </row>
    <row r="25786" spans="32:37">
      <c r="AF25786" s="831" t="s">
        <v>11217</v>
      </c>
      <c r="AG25786" s="831" t="s">
        <v>2674</v>
      </c>
      <c r="AH25786" s="831" t="s">
        <v>3044</v>
      </c>
      <c r="AI25786" s="831">
        <v>0</v>
      </c>
      <c r="AJ25786" s="835">
        <v>41608</v>
      </c>
      <c r="AK25786" s="831">
        <v>-4752350.8779999996</v>
      </c>
    </row>
    <row r="25787" spans="32:37">
      <c r="AF25787" s="831" t="s">
        <v>11218</v>
      </c>
      <c r="AG25787" s="831" t="s">
        <v>2674</v>
      </c>
      <c r="AH25787" s="831" t="s">
        <v>580</v>
      </c>
      <c r="AI25787" s="831">
        <v>0</v>
      </c>
      <c r="AJ25787" s="835">
        <v>41608</v>
      </c>
      <c r="AK25787" s="831">
        <v>-61342758.126000002</v>
      </c>
    </row>
    <row r="25788" spans="32:37">
      <c r="AF25788" s="831" t="s">
        <v>11219</v>
      </c>
      <c r="AG25788" s="831" t="s">
        <v>2674</v>
      </c>
      <c r="AH25788" s="831" t="s">
        <v>581</v>
      </c>
      <c r="AI25788" s="831">
        <v>0</v>
      </c>
      <c r="AJ25788" s="835">
        <v>41608</v>
      </c>
      <c r="AK25788" s="831">
        <v>5348437.4649999999</v>
      </c>
    </row>
    <row r="25789" spans="32:37">
      <c r="AF25789" s="831" t="s">
        <v>11220</v>
      </c>
      <c r="AG25789" s="831" t="s">
        <v>2674</v>
      </c>
      <c r="AH25789" s="831" t="s">
        <v>105</v>
      </c>
      <c r="AI25789" s="831">
        <v>0</v>
      </c>
      <c r="AJ25789" s="835">
        <v>41608</v>
      </c>
      <c r="AK25789" s="831">
        <v>357758420.06199998</v>
      </c>
    </row>
    <row r="25790" spans="32:37">
      <c r="AF25790" s="831" t="s">
        <v>11221</v>
      </c>
      <c r="AG25790" s="831" t="s">
        <v>2674</v>
      </c>
      <c r="AH25790" s="831" t="s">
        <v>3049</v>
      </c>
      <c r="AI25790" s="831">
        <v>0</v>
      </c>
      <c r="AJ25790" s="835">
        <v>41608</v>
      </c>
      <c r="AK25790" s="831">
        <v>601955674.8829999</v>
      </c>
    </row>
    <row r="25791" spans="32:37">
      <c r="AF25791" s="831" t="s">
        <v>11222</v>
      </c>
      <c r="AG25791" s="831" t="s">
        <v>2674</v>
      </c>
      <c r="AH25791" s="831" t="s">
        <v>103</v>
      </c>
      <c r="AI25791" s="831">
        <v>0</v>
      </c>
      <c r="AJ25791" s="835">
        <v>41608</v>
      </c>
      <c r="AK25791" s="831">
        <v>244197254.82099998</v>
      </c>
    </row>
    <row r="25792" spans="32:37">
      <c r="AF25792" s="831" t="s">
        <v>11223</v>
      </c>
      <c r="AG25792" s="831" t="s">
        <v>2674</v>
      </c>
      <c r="AH25792" s="831" t="s">
        <v>182</v>
      </c>
      <c r="AI25792" s="831">
        <v>0</v>
      </c>
      <c r="AJ25792" s="835">
        <v>41608</v>
      </c>
      <c r="AK25792" s="831">
        <v>58896650.319272734</v>
      </c>
    </row>
    <row r="25793" spans="32:37">
      <c r="AF25793" s="831" t="s">
        <v>11224</v>
      </c>
      <c r="AG25793" s="831" t="s">
        <v>2674</v>
      </c>
      <c r="AH25793" s="831" t="s">
        <v>6600</v>
      </c>
      <c r="AI25793" s="831">
        <v>0</v>
      </c>
      <c r="AJ25793" s="835">
        <v>41608</v>
      </c>
      <c r="AK25793" s="831">
        <v>27660766.032000005</v>
      </c>
    </row>
    <row r="25794" spans="32:37">
      <c r="AF25794" s="831" t="s">
        <v>11225</v>
      </c>
      <c r="AG25794" s="831" t="s">
        <v>2674</v>
      </c>
      <c r="AH25794" s="831" t="s">
        <v>6602</v>
      </c>
      <c r="AI25794" s="831">
        <v>0</v>
      </c>
      <c r="AJ25794" s="835">
        <v>41608</v>
      </c>
      <c r="AK25794" s="831">
        <v>28354718.032000005</v>
      </c>
    </row>
    <row r="25795" spans="32:37">
      <c r="AF25795" s="831" t="s">
        <v>11226</v>
      </c>
      <c r="AG25795" s="831" t="s">
        <v>2674</v>
      </c>
      <c r="AH25795" s="831" t="s">
        <v>650</v>
      </c>
      <c r="AI25795" s="831">
        <v>0</v>
      </c>
      <c r="AJ25795" s="835">
        <v>41608</v>
      </c>
      <c r="AK25795" s="831">
        <v>197061109.84392309</v>
      </c>
    </row>
    <row r="25796" spans="32:37">
      <c r="AF25796" s="831" t="s">
        <v>11227</v>
      </c>
      <c r="AG25796" s="831" t="s">
        <v>2674</v>
      </c>
      <c r="AH25796" s="831" t="s">
        <v>655</v>
      </c>
      <c r="AI25796" s="831">
        <v>0</v>
      </c>
      <c r="AJ25796" s="835">
        <v>41608</v>
      </c>
      <c r="AK25796" s="831">
        <v>1514274.5550000002</v>
      </c>
    </row>
    <row r="25797" spans="32:37">
      <c r="AF25797" s="831" t="s">
        <v>11228</v>
      </c>
      <c r="AG25797" s="831" t="s">
        <v>2674</v>
      </c>
      <c r="AH25797" s="831" t="s">
        <v>546</v>
      </c>
      <c r="AI25797" s="831">
        <v>0</v>
      </c>
      <c r="AJ25797" s="835">
        <v>41639</v>
      </c>
      <c r="AK25797" s="831">
        <v>627874260</v>
      </c>
    </row>
    <row r="25798" spans="32:37">
      <c r="AF25798" s="831" t="s">
        <v>11229</v>
      </c>
      <c r="AG25798" s="831" t="s">
        <v>2674</v>
      </c>
      <c r="AH25798" s="831" t="s">
        <v>370</v>
      </c>
      <c r="AI25798" s="831">
        <v>0</v>
      </c>
      <c r="AJ25798" s="835">
        <v>41639</v>
      </c>
      <c r="AK25798" s="831">
        <v>789514969.56299996</v>
      </c>
    </row>
    <row r="25799" spans="32:37">
      <c r="AF25799" s="831" t="s">
        <v>11230</v>
      </c>
      <c r="AG25799" s="831" t="s">
        <v>2674</v>
      </c>
      <c r="AH25799" s="831" t="s">
        <v>126</v>
      </c>
      <c r="AI25799" s="831">
        <v>0</v>
      </c>
      <c r="AJ25799" s="835">
        <v>41639</v>
      </c>
      <c r="AK25799" s="831">
        <v>114089765.91</v>
      </c>
    </row>
    <row r="25800" spans="32:37">
      <c r="AF25800" s="831" t="s">
        <v>11231</v>
      </c>
      <c r="AG25800" s="831" t="s">
        <v>2674</v>
      </c>
      <c r="AH25800" s="831" t="s">
        <v>268</v>
      </c>
      <c r="AI25800" s="831">
        <v>0</v>
      </c>
      <c r="AJ25800" s="835">
        <v>41639</v>
      </c>
      <c r="AK25800" s="831">
        <v>27176541.956000008</v>
      </c>
    </row>
    <row r="25801" spans="32:37">
      <c r="AF25801" s="831" t="s">
        <v>11232</v>
      </c>
      <c r="AG25801" s="831" t="s">
        <v>2674</v>
      </c>
      <c r="AH25801" s="831" t="s">
        <v>547</v>
      </c>
      <c r="AI25801" s="831">
        <v>0</v>
      </c>
      <c r="AJ25801" s="835">
        <v>41639</v>
      </c>
      <c r="AK25801" s="831">
        <v>511487760</v>
      </c>
    </row>
    <row r="25802" spans="32:37">
      <c r="AF25802" s="831" t="s">
        <v>11233</v>
      </c>
      <c r="AG25802" s="831" t="s">
        <v>2674</v>
      </c>
      <c r="AH25802" s="831" t="s">
        <v>548</v>
      </c>
      <c r="AI25802" s="831">
        <v>0</v>
      </c>
      <c r="AJ25802" s="835">
        <v>41639</v>
      </c>
      <c r="AK25802" s="831">
        <v>96883184</v>
      </c>
    </row>
    <row r="25803" spans="32:37">
      <c r="AF25803" s="831" t="s">
        <v>11234</v>
      </c>
      <c r="AG25803" s="831" t="s">
        <v>2674</v>
      </c>
      <c r="AH25803" s="831" t="s">
        <v>549</v>
      </c>
      <c r="AI25803" s="831">
        <v>0</v>
      </c>
      <c r="AJ25803" s="835">
        <v>41639</v>
      </c>
      <c r="AK25803" s="831">
        <v>412125624</v>
      </c>
    </row>
    <row r="25804" spans="32:37">
      <c r="AF25804" s="831" t="s">
        <v>11235</v>
      </c>
      <c r="AG25804" s="831" t="s">
        <v>2674</v>
      </c>
      <c r="AH25804" s="831" t="s">
        <v>192</v>
      </c>
      <c r="AI25804" s="831">
        <v>0</v>
      </c>
      <c r="AJ25804" s="835">
        <v>41639</v>
      </c>
      <c r="AK25804" s="831">
        <v>-13734258</v>
      </c>
    </row>
    <row r="25805" spans="32:37">
      <c r="AF25805" s="831" t="s">
        <v>11236</v>
      </c>
      <c r="AG25805" s="831" t="s">
        <v>2674</v>
      </c>
      <c r="AH25805" s="831" t="s">
        <v>558</v>
      </c>
      <c r="AI25805" s="831">
        <v>0</v>
      </c>
      <c r="AJ25805" s="835">
        <v>41639</v>
      </c>
      <c r="AK25805" s="831">
        <v>675425203.71399999</v>
      </c>
    </row>
    <row r="25806" spans="32:37">
      <c r="AF25806" s="831" t="s">
        <v>11237</v>
      </c>
      <c r="AG25806" s="831" t="s">
        <v>2674</v>
      </c>
      <c r="AH25806" s="831" t="s">
        <v>65</v>
      </c>
      <c r="AI25806" s="831">
        <v>0</v>
      </c>
      <c r="AJ25806" s="835">
        <v>41639</v>
      </c>
      <c r="AK25806" s="831">
        <v>132856888.763</v>
      </c>
    </row>
    <row r="25807" spans="32:37">
      <c r="AF25807" s="831" t="s">
        <v>11238</v>
      </c>
      <c r="AG25807" s="831" t="s">
        <v>2674</v>
      </c>
      <c r="AH25807" s="831" t="s">
        <v>89</v>
      </c>
      <c r="AI25807" s="831">
        <v>0</v>
      </c>
      <c r="AJ25807" s="835">
        <v>41639</v>
      </c>
      <c r="AK25807" s="831">
        <v>147601</v>
      </c>
    </row>
    <row r="25808" spans="32:37">
      <c r="AF25808" s="831" t="s">
        <v>11239</v>
      </c>
      <c r="AG25808" s="831" t="s">
        <v>2674</v>
      </c>
      <c r="AH25808" s="831" t="s">
        <v>557</v>
      </c>
      <c r="AI25808" s="831">
        <v>0</v>
      </c>
      <c r="AJ25808" s="835">
        <v>41639</v>
      </c>
      <c r="AK25808" s="831">
        <v>160431</v>
      </c>
    </row>
    <row r="25809" spans="32:37">
      <c r="AF25809" s="831" t="s">
        <v>11240</v>
      </c>
      <c r="AG25809" s="831" t="s">
        <v>2674</v>
      </c>
      <c r="AH25809" s="831" t="s">
        <v>29</v>
      </c>
      <c r="AI25809" s="831">
        <v>0</v>
      </c>
      <c r="AJ25809" s="835">
        <v>41639</v>
      </c>
      <c r="AK25809" s="831">
        <v>1938216.4366000001</v>
      </c>
    </row>
    <row r="25810" spans="32:37">
      <c r="AF25810" s="831" t="s">
        <v>11241</v>
      </c>
      <c r="AG25810" s="831" t="s">
        <v>2674</v>
      </c>
      <c r="AH25810" s="831" t="s">
        <v>2688</v>
      </c>
      <c r="AI25810" s="831">
        <v>0</v>
      </c>
      <c r="AJ25810" s="835">
        <v>41639</v>
      </c>
      <c r="AK25810" s="831">
        <v>3277121.17</v>
      </c>
    </row>
    <row r="25811" spans="32:37">
      <c r="AF25811" s="831" t="s">
        <v>11242</v>
      </c>
      <c r="AG25811" s="831" t="s">
        <v>2674</v>
      </c>
      <c r="AH25811" s="831" t="s">
        <v>556</v>
      </c>
      <c r="AI25811" s="831">
        <v>0</v>
      </c>
      <c r="AJ25811" s="835">
        <v>41639</v>
      </c>
      <c r="AK25811" s="831">
        <v>1644732</v>
      </c>
    </row>
    <row r="25812" spans="32:37">
      <c r="AF25812" s="831" t="s">
        <v>11243</v>
      </c>
      <c r="AG25812" s="831" t="s">
        <v>2674</v>
      </c>
      <c r="AH25812" s="831" t="s">
        <v>555</v>
      </c>
      <c r="AI25812" s="831">
        <v>0</v>
      </c>
      <c r="AJ25812" s="835">
        <v>41639</v>
      </c>
      <c r="AK25812" s="831">
        <v>435796650</v>
      </c>
    </row>
    <row r="25813" spans="32:37">
      <c r="AF25813" s="831" t="s">
        <v>11244</v>
      </c>
      <c r="AG25813" s="831" t="s">
        <v>2674</v>
      </c>
      <c r="AH25813" s="831" t="s">
        <v>554</v>
      </c>
      <c r="AI25813" s="831">
        <v>0</v>
      </c>
      <c r="AJ25813" s="835">
        <v>41639</v>
      </c>
      <c r="AK25813" s="831">
        <v>428326680</v>
      </c>
    </row>
    <row r="25814" spans="32:37">
      <c r="AF25814" s="831" t="s">
        <v>11245</v>
      </c>
      <c r="AG25814" s="831" t="s">
        <v>2674</v>
      </c>
      <c r="AH25814" s="831" t="s">
        <v>553</v>
      </c>
      <c r="AI25814" s="831">
        <v>0</v>
      </c>
      <c r="AJ25814" s="835">
        <v>41639</v>
      </c>
      <c r="AK25814" s="831">
        <v>0</v>
      </c>
    </row>
    <row r="25815" spans="32:37">
      <c r="AF25815" s="831" t="s">
        <v>11246</v>
      </c>
      <c r="AG25815" s="831" t="s">
        <v>2674</v>
      </c>
      <c r="AH25815" s="831" t="s">
        <v>552</v>
      </c>
      <c r="AI25815" s="831">
        <v>0</v>
      </c>
      <c r="AJ25815" s="835">
        <v>41639</v>
      </c>
      <c r="AK25815" s="831">
        <v>0</v>
      </c>
    </row>
    <row r="25816" spans="32:37">
      <c r="AF25816" s="831" t="s">
        <v>11247</v>
      </c>
      <c r="AG25816" s="831" t="s">
        <v>2674</v>
      </c>
      <c r="AH25816" s="831" t="s">
        <v>551</v>
      </c>
      <c r="AI25816" s="831">
        <v>0</v>
      </c>
      <c r="AJ25816" s="835">
        <v>41639</v>
      </c>
      <c r="AK25816" s="831">
        <v>1803383.8316000002</v>
      </c>
    </row>
    <row r="25817" spans="32:37">
      <c r="AF25817" s="831" t="s">
        <v>11248</v>
      </c>
      <c r="AG25817" s="831" t="s">
        <v>2674</v>
      </c>
      <c r="AH25817" s="831" t="s">
        <v>550</v>
      </c>
      <c r="AI25817" s="831">
        <v>0</v>
      </c>
      <c r="AJ25817" s="835">
        <v>41639</v>
      </c>
      <c r="AK25817" s="831">
        <v>123117939.85600001</v>
      </c>
    </row>
    <row r="25818" spans="32:37">
      <c r="AF25818" s="831" t="s">
        <v>11249</v>
      </c>
      <c r="AG25818" s="831" t="s">
        <v>2674</v>
      </c>
      <c r="AH25818" s="831" t="s">
        <v>562</v>
      </c>
      <c r="AI25818" s="831">
        <v>0</v>
      </c>
      <c r="AJ25818" s="835">
        <v>41639</v>
      </c>
      <c r="AK25818" s="831">
        <v>0.78334999999999999</v>
      </c>
    </row>
    <row r="25819" spans="32:37">
      <c r="AF25819" s="831" t="s">
        <v>11250</v>
      </c>
      <c r="AG25819" s="831" t="s">
        <v>2674</v>
      </c>
      <c r="AH25819" s="831" t="s">
        <v>2698</v>
      </c>
      <c r="AI25819" s="831">
        <v>0</v>
      </c>
      <c r="AJ25819" s="835">
        <v>41639</v>
      </c>
      <c r="AK25819" s="831">
        <v>0.78385000000000005</v>
      </c>
    </row>
    <row r="25820" spans="32:37">
      <c r="AF25820" s="831" t="s">
        <v>11251</v>
      </c>
      <c r="AG25820" s="831" t="s">
        <v>2674</v>
      </c>
      <c r="AH25820" s="831" t="s">
        <v>560</v>
      </c>
      <c r="AI25820" s="831">
        <v>0</v>
      </c>
      <c r="AJ25820" s="835">
        <v>41639</v>
      </c>
      <c r="AK25820" s="831">
        <v>0.78393333333333326</v>
      </c>
    </row>
    <row r="25821" spans="32:37">
      <c r="AF25821" s="831" t="s">
        <v>11252</v>
      </c>
      <c r="AG25821" s="831" t="s">
        <v>2674</v>
      </c>
      <c r="AH25821" s="831" t="s">
        <v>559</v>
      </c>
      <c r="AI25821" s="831">
        <v>0</v>
      </c>
      <c r="AJ25821" s="835">
        <v>41639</v>
      </c>
      <c r="AK25821" s="831">
        <v>0.78393333333333326</v>
      </c>
    </row>
    <row r="25822" spans="32:37">
      <c r="AF25822" s="831" t="s">
        <v>11253</v>
      </c>
      <c r="AG25822" s="831" t="s">
        <v>2674</v>
      </c>
      <c r="AH25822" s="831" t="s">
        <v>568</v>
      </c>
      <c r="AI25822" s="831">
        <v>0</v>
      </c>
      <c r="AJ25822" s="835">
        <v>41639</v>
      </c>
      <c r="AK25822" s="831">
        <v>513441498.30384612</v>
      </c>
    </row>
    <row r="25823" spans="32:37">
      <c r="AF25823" s="831" t="s">
        <v>11254</v>
      </c>
      <c r="AG25823" s="831" t="s">
        <v>2674</v>
      </c>
      <c r="AH25823" s="831" t="s">
        <v>569</v>
      </c>
      <c r="AI25823" s="831">
        <v>0</v>
      </c>
      <c r="AJ25823" s="835">
        <v>41639</v>
      </c>
      <c r="AK25823" s="831">
        <v>628195505.12715387</v>
      </c>
    </row>
    <row r="25824" spans="32:37">
      <c r="AF25824" s="831" t="s">
        <v>11255</v>
      </c>
      <c r="AG25824" s="831" t="s">
        <v>2674</v>
      </c>
      <c r="AH25824" s="831" t="s">
        <v>570</v>
      </c>
      <c r="AI25824" s="831">
        <v>0</v>
      </c>
      <c r="AJ25824" s="835">
        <v>41639</v>
      </c>
      <c r="AK25824" s="831">
        <v>108762142.05892308</v>
      </c>
    </row>
    <row r="25825" spans="32:37">
      <c r="AF25825" s="831" t="s">
        <v>11256</v>
      </c>
      <c r="AG25825" s="831" t="s">
        <v>2674</v>
      </c>
      <c r="AH25825" s="831" t="s">
        <v>571</v>
      </c>
      <c r="AI25825" s="831">
        <v>0</v>
      </c>
      <c r="AJ25825" s="835">
        <v>41639</v>
      </c>
      <c r="AK25825" s="831">
        <v>297832512.59023076</v>
      </c>
    </row>
    <row r="25826" spans="32:37">
      <c r="AF25826" s="831" t="s">
        <v>11257</v>
      </c>
      <c r="AG25826" s="831" t="s">
        <v>2674</v>
      </c>
      <c r="AH25826" s="831" t="s">
        <v>573</v>
      </c>
      <c r="AI25826" s="831">
        <v>0</v>
      </c>
      <c r="AJ25826" s="835">
        <v>41639</v>
      </c>
      <c r="AK25826" s="831">
        <v>628195505.12715387</v>
      </c>
    </row>
    <row r="25827" spans="32:37">
      <c r="AF25827" s="831" t="s">
        <v>11258</v>
      </c>
      <c r="AG25827" s="831" t="s">
        <v>2674</v>
      </c>
      <c r="AH25827" s="831" t="s">
        <v>574</v>
      </c>
      <c r="AI25827" s="831">
        <v>0</v>
      </c>
      <c r="AJ25827" s="835">
        <v>41639</v>
      </c>
      <c r="AK25827" s="831">
        <v>513441498.30384612</v>
      </c>
    </row>
    <row r="25828" spans="32:37">
      <c r="AF25828" s="831" t="s">
        <v>11259</v>
      </c>
      <c r="AG25828" s="831" t="s">
        <v>2674</v>
      </c>
      <c r="AH25828" s="831" t="s">
        <v>575</v>
      </c>
      <c r="AI25828" s="831">
        <v>0</v>
      </c>
      <c r="AJ25828" s="835">
        <v>41639</v>
      </c>
      <c r="AK25828" s="831">
        <v>108762142.05892308</v>
      </c>
    </row>
    <row r="25829" spans="32:37">
      <c r="AF25829" s="831" t="s">
        <v>11260</v>
      </c>
      <c r="AG25829" s="831" t="s">
        <v>2674</v>
      </c>
      <c r="AH25829" s="831" t="s">
        <v>576</v>
      </c>
      <c r="AI25829" s="831">
        <v>0</v>
      </c>
      <c r="AJ25829" s="835">
        <v>41639</v>
      </c>
      <c r="AK25829" s="831">
        <v>297832512.59023076</v>
      </c>
    </row>
    <row r="25830" spans="32:37">
      <c r="AF25830" s="831" t="s">
        <v>11261</v>
      </c>
      <c r="AG25830" s="831" t="s">
        <v>2674</v>
      </c>
      <c r="AH25830" s="831" t="s">
        <v>572</v>
      </c>
      <c r="AI25830" s="831">
        <v>0</v>
      </c>
      <c r="AJ25830" s="835">
        <v>41639</v>
      </c>
      <c r="AK25830" s="831">
        <v>27176541.956000008</v>
      </c>
    </row>
    <row r="25831" spans="32:37">
      <c r="AF25831" s="831" t="s">
        <v>11262</v>
      </c>
      <c r="AG25831" s="831" t="s">
        <v>2674</v>
      </c>
      <c r="AH25831" s="831" t="s">
        <v>577</v>
      </c>
      <c r="AI25831" s="831">
        <v>0</v>
      </c>
      <c r="AJ25831" s="835">
        <v>41639</v>
      </c>
      <c r="AK25831" s="831">
        <v>132856888.763</v>
      </c>
    </row>
    <row r="25832" spans="32:37">
      <c r="AF25832" s="831" t="s">
        <v>11263</v>
      </c>
      <c r="AG25832" s="831" t="s">
        <v>2674</v>
      </c>
      <c r="AH25832" s="831" t="s">
        <v>3042</v>
      </c>
      <c r="AI25832" s="831">
        <v>0</v>
      </c>
      <c r="AJ25832" s="835">
        <v>41639</v>
      </c>
      <c r="AK25832" s="831">
        <v>-34369525.527000003</v>
      </c>
    </row>
    <row r="25833" spans="32:37">
      <c r="AF25833" s="831" t="s">
        <v>11264</v>
      </c>
      <c r="AG25833" s="831" t="s">
        <v>2674</v>
      </c>
      <c r="AH25833" s="831" t="s">
        <v>3044</v>
      </c>
      <c r="AI25833" s="831">
        <v>0</v>
      </c>
      <c r="AJ25833" s="835">
        <v>41639</v>
      </c>
      <c r="AK25833" s="831">
        <v>-4400746.8899999997</v>
      </c>
    </row>
    <row r="25834" spans="32:37">
      <c r="AF25834" s="831" t="s">
        <v>11265</v>
      </c>
      <c r="AG25834" s="831" t="s">
        <v>2674</v>
      </c>
      <c r="AH25834" s="831" t="s">
        <v>580</v>
      </c>
      <c r="AI25834" s="831">
        <v>0</v>
      </c>
      <c r="AJ25834" s="835">
        <v>41639</v>
      </c>
      <c r="AK25834" s="831">
        <v>-64107005.306999996</v>
      </c>
    </row>
    <row r="25835" spans="32:37">
      <c r="AF25835" s="831" t="s">
        <v>11266</v>
      </c>
      <c r="AG25835" s="831" t="s">
        <v>2674</v>
      </c>
      <c r="AH25835" s="831" t="s">
        <v>581</v>
      </c>
      <c r="AI25835" s="831">
        <v>0</v>
      </c>
      <c r="AJ25835" s="835">
        <v>41639</v>
      </c>
      <c r="AK25835" s="831">
        <v>5010635.8940000003</v>
      </c>
    </row>
    <row r="25836" spans="32:37">
      <c r="AF25836" s="831" t="s">
        <v>11267</v>
      </c>
      <c r="AG25836" s="831" t="s">
        <v>2674</v>
      </c>
      <c r="AH25836" s="831" t="s">
        <v>105</v>
      </c>
      <c r="AI25836" s="831">
        <v>0</v>
      </c>
      <c r="AJ25836" s="835">
        <v>41639</v>
      </c>
      <c r="AK25836" s="831">
        <v>391573847.611</v>
      </c>
    </row>
    <row r="25837" spans="32:37">
      <c r="AF25837" s="831" t="s">
        <v>11268</v>
      </c>
      <c r="AG25837" s="831" t="s">
        <v>2674</v>
      </c>
      <c r="AH25837" s="831" t="s">
        <v>3049</v>
      </c>
      <c r="AI25837" s="831">
        <v>0</v>
      </c>
      <c r="AJ25837" s="835">
        <v>41639</v>
      </c>
      <c r="AK25837" s="831">
        <v>644326442.18900001</v>
      </c>
    </row>
    <row r="25838" spans="32:37">
      <c r="AF25838" s="831" t="s">
        <v>11269</v>
      </c>
      <c r="AG25838" s="831" t="s">
        <v>2674</v>
      </c>
      <c r="AH25838" s="831" t="s">
        <v>103</v>
      </c>
      <c r="AI25838" s="831">
        <v>0</v>
      </c>
      <c r="AJ25838" s="835">
        <v>41639</v>
      </c>
      <c r="AK25838" s="831">
        <v>252752594.57800001</v>
      </c>
    </row>
    <row r="25839" spans="32:37">
      <c r="AF25839" s="831" t="s">
        <v>11270</v>
      </c>
      <c r="AG25839" s="831" t="s">
        <v>2674</v>
      </c>
      <c r="AH25839" s="831" t="s">
        <v>182</v>
      </c>
      <c r="AI25839" s="831">
        <v>0</v>
      </c>
      <c r="AJ25839" s="835">
        <v>41639</v>
      </c>
      <c r="AK25839" s="831">
        <v>64107005.307000004</v>
      </c>
    </row>
    <row r="25840" spans="32:37">
      <c r="AF25840" s="831" t="s">
        <v>11271</v>
      </c>
      <c r="AG25840" s="831" t="s">
        <v>2674</v>
      </c>
      <c r="AH25840" s="831" t="s">
        <v>6600</v>
      </c>
      <c r="AI25840" s="831">
        <v>0</v>
      </c>
      <c r="AJ25840" s="835">
        <v>41639</v>
      </c>
      <c r="AK25840" s="831">
        <v>27176541.956000008</v>
      </c>
    </row>
    <row r="25841" spans="32:37">
      <c r="AF25841" s="831" t="s">
        <v>11272</v>
      </c>
      <c r="AG25841" s="831" t="s">
        <v>2674</v>
      </c>
      <c r="AH25841" s="831" t="s">
        <v>6602</v>
      </c>
      <c r="AI25841" s="831">
        <v>0</v>
      </c>
      <c r="AJ25841" s="835">
        <v>41639</v>
      </c>
      <c r="AK25841" s="831">
        <v>27176541.956000008</v>
      </c>
    </row>
    <row r="25842" spans="32:37">
      <c r="AF25842" s="831" t="s">
        <v>11273</v>
      </c>
      <c r="AG25842" s="831" t="s">
        <v>2674</v>
      </c>
      <c r="AH25842" s="831" t="s">
        <v>650</v>
      </c>
      <c r="AI25842" s="831">
        <v>0</v>
      </c>
      <c r="AJ25842" s="835">
        <v>41639</v>
      </c>
      <c r="AK25842" s="831">
        <v>204736223.04223078</v>
      </c>
    </row>
    <row r="25843" spans="32:37">
      <c r="AF25843" s="831" t="s">
        <v>11274</v>
      </c>
      <c r="AG25843" s="831" t="s">
        <v>2674</v>
      </c>
      <c r="AH25843" s="831" t="s">
        <v>655</v>
      </c>
      <c r="AI25843" s="831">
        <v>0</v>
      </c>
      <c r="AJ25843" s="835">
        <v>41639</v>
      </c>
      <c r="AK25843" s="831">
        <v>1605185.0136000002</v>
      </c>
    </row>
    <row r="25844" spans="32:37">
      <c r="AF25844" s="831" t="s">
        <v>11275</v>
      </c>
      <c r="AG25844" s="831" t="s">
        <v>2674</v>
      </c>
      <c r="AH25844" s="831" t="s">
        <v>546</v>
      </c>
      <c r="AI25844" s="831">
        <v>0</v>
      </c>
      <c r="AJ25844" s="835">
        <v>41670</v>
      </c>
      <c r="AK25844" s="831">
        <v>635618516</v>
      </c>
    </row>
    <row r="25845" spans="32:37">
      <c r="AF25845" s="831" t="s">
        <v>11276</v>
      </c>
      <c r="AG25845" s="831" t="s">
        <v>2674</v>
      </c>
      <c r="AH25845" s="831" t="s">
        <v>370</v>
      </c>
      <c r="AI25845" s="831">
        <v>0</v>
      </c>
      <c r="AJ25845" s="835">
        <v>41670</v>
      </c>
      <c r="AK25845" s="831">
        <v>777719977</v>
      </c>
    </row>
    <row r="25846" spans="32:37">
      <c r="AF25846" s="831" t="s">
        <v>11277</v>
      </c>
      <c r="AG25846" s="831" t="s">
        <v>2674</v>
      </c>
      <c r="AH25846" s="831" t="s">
        <v>126</v>
      </c>
      <c r="AI25846" s="831">
        <v>0</v>
      </c>
      <c r="AJ25846" s="835">
        <v>41670</v>
      </c>
      <c r="AK25846" s="831">
        <v>117105496</v>
      </c>
    </row>
    <row r="25847" spans="32:37">
      <c r="AF25847" s="831" t="s">
        <v>11278</v>
      </c>
      <c r="AG25847" s="831" t="s">
        <v>2674</v>
      </c>
      <c r="AH25847" s="831" t="s">
        <v>268</v>
      </c>
      <c r="AI25847" s="831">
        <v>0</v>
      </c>
      <c r="AJ25847" s="835">
        <v>41670</v>
      </c>
      <c r="AK25847" s="831">
        <v>3298821</v>
      </c>
    </row>
    <row r="25848" spans="32:37">
      <c r="AF25848" s="831" t="s">
        <v>11279</v>
      </c>
      <c r="AG25848" s="831" t="s">
        <v>2674</v>
      </c>
      <c r="AH25848" s="831" t="s">
        <v>547</v>
      </c>
      <c r="AI25848" s="831">
        <v>0</v>
      </c>
      <c r="AJ25848" s="835">
        <v>41670</v>
      </c>
      <c r="AK25848" s="831">
        <v>777719977</v>
      </c>
    </row>
    <row r="25849" spans="32:37">
      <c r="AF25849" s="831" t="s">
        <v>11280</v>
      </c>
      <c r="AG25849" s="831" t="s">
        <v>2674</v>
      </c>
      <c r="AH25849" s="831" t="s">
        <v>548</v>
      </c>
      <c r="AI25849" s="831">
        <v>0</v>
      </c>
      <c r="AJ25849" s="835">
        <v>41670</v>
      </c>
      <c r="AK25849" s="831">
        <v>117105496</v>
      </c>
    </row>
    <row r="25850" spans="32:37">
      <c r="AF25850" s="831" t="s">
        <v>11281</v>
      </c>
      <c r="AG25850" s="831" t="s">
        <v>2674</v>
      </c>
      <c r="AH25850" s="831" t="s">
        <v>549</v>
      </c>
      <c r="AI25850" s="831">
        <v>0</v>
      </c>
      <c r="AJ25850" s="835">
        <v>41670</v>
      </c>
      <c r="AK25850" s="831">
        <v>421051783</v>
      </c>
    </row>
    <row r="25851" spans="32:37">
      <c r="AF25851" s="831" t="s">
        <v>11282</v>
      </c>
      <c r="AG25851" s="831" t="s">
        <v>2674</v>
      </c>
      <c r="AH25851" s="831" t="s">
        <v>192</v>
      </c>
      <c r="AI25851" s="831">
        <v>0</v>
      </c>
      <c r="AJ25851" s="835">
        <v>41670</v>
      </c>
      <c r="AK25851" s="831">
        <v>-14010990</v>
      </c>
    </row>
    <row r="25852" spans="32:37">
      <c r="AF25852" s="831" t="s">
        <v>11283</v>
      </c>
      <c r="AG25852" s="831" t="s">
        <v>2674</v>
      </c>
      <c r="AH25852" s="831" t="s">
        <v>558</v>
      </c>
      <c r="AI25852" s="831">
        <v>0</v>
      </c>
      <c r="AJ25852" s="835">
        <v>41670</v>
      </c>
      <c r="AK25852" s="831">
        <v>660614481.35800004</v>
      </c>
    </row>
    <row r="25853" spans="32:37">
      <c r="AF25853" s="831" t="s">
        <v>11284</v>
      </c>
      <c r="AG25853" s="831" t="s">
        <v>2674</v>
      </c>
      <c r="AH25853" s="831" t="s">
        <v>65</v>
      </c>
      <c r="AI25853" s="831">
        <v>0</v>
      </c>
      <c r="AJ25853" s="835">
        <v>41670</v>
      </c>
      <c r="AK25853" s="831">
        <v>13268788</v>
      </c>
    </row>
    <row r="25854" spans="32:37">
      <c r="AF25854" s="831" t="s">
        <v>11285</v>
      </c>
      <c r="AG25854" s="831" t="s">
        <v>2674</v>
      </c>
      <c r="AH25854" s="831" t="s">
        <v>89</v>
      </c>
      <c r="AI25854" s="831">
        <v>0</v>
      </c>
      <c r="AJ25854" s="835">
        <v>41670</v>
      </c>
      <c r="AK25854" s="831">
        <v>149103</v>
      </c>
    </row>
    <row r="25855" spans="32:37">
      <c r="AF25855" s="831" t="s">
        <v>11286</v>
      </c>
      <c r="AG25855" s="831" t="s">
        <v>2674</v>
      </c>
      <c r="AH25855" s="831" t="s">
        <v>557</v>
      </c>
      <c r="AI25855" s="831">
        <v>0</v>
      </c>
      <c r="AJ25855" s="835">
        <v>41670</v>
      </c>
      <c r="AK25855" s="831">
        <v>162799</v>
      </c>
    </row>
    <row r="25856" spans="32:37">
      <c r="AF25856" s="831" t="s">
        <v>11287</v>
      </c>
      <c r="AG25856" s="831" t="s">
        <v>2674</v>
      </c>
      <c r="AH25856" s="831" t="s">
        <v>29</v>
      </c>
      <c r="AI25856" s="831">
        <v>0</v>
      </c>
      <c r="AJ25856" s="835">
        <v>41670</v>
      </c>
      <c r="AK25856" s="831">
        <v>1994542.716</v>
      </c>
    </row>
    <row r="25857" spans="32:37">
      <c r="AF25857" s="831" t="s">
        <v>11288</v>
      </c>
      <c r="AG25857" s="831" t="s">
        <v>2674</v>
      </c>
      <c r="AH25857" s="831" t="s">
        <v>2688</v>
      </c>
      <c r="AI25857" s="831">
        <v>0</v>
      </c>
      <c r="AJ25857" s="835">
        <v>41670</v>
      </c>
      <c r="AK25857" s="831">
        <v>3487768.05</v>
      </c>
    </row>
    <row r="25858" spans="32:37">
      <c r="AF25858" s="831" t="s">
        <v>11289</v>
      </c>
      <c r="AG25858" s="831" t="s">
        <v>2674</v>
      </c>
      <c r="AH25858" s="831" t="s">
        <v>556</v>
      </c>
      <c r="AI25858" s="831">
        <v>0</v>
      </c>
      <c r="AJ25858" s="835">
        <v>41670</v>
      </c>
      <c r="AK25858" s="831">
        <v>1644732</v>
      </c>
    </row>
    <row r="25859" spans="32:37">
      <c r="AF25859" s="831" t="s">
        <v>11290</v>
      </c>
      <c r="AG25859" s="831" t="s">
        <v>2674</v>
      </c>
      <c r="AH25859" s="831" t="s">
        <v>555</v>
      </c>
      <c r="AI25859" s="831">
        <v>0</v>
      </c>
      <c r="AJ25859" s="835">
        <v>41670</v>
      </c>
      <c r="AK25859" s="831">
        <v>421635600</v>
      </c>
    </row>
    <row r="25860" spans="32:37">
      <c r="AF25860" s="831" t="s">
        <v>11291</v>
      </c>
      <c r="AG25860" s="831" t="s">
        <v>2674</v>
      </c>
      <c r="AH25860" s="831" t="s">
        <v>554</v>
      </c>
      <c r="AI25860" s="831">
        <v>0</v>
      </c>
      <c r="AJ25860" s="835">
        <v>41670</v>
      </c>
      <c r="AK25860" s="831">
        <v>432162250</v>
      </c>
    </row>
    <row r="25861" spans="32:37">
      <c r="AF25861" s="831" t="s">
        <v>11292</v>
      </c>
      <c r="AG25861" s="831" t="s">
        <v>2674</v>
      </c>
      <c r="AH25861" s="831" t="s">
        <v>553</v>
      </c>
      <c r="AI25861" s="831">
        <v>0</v>
      </c>
      <c r="AJ25861" s="835">
        <v>41670</v>
      </c>
      <c r="AK25861" s="831">
        <v>0</v>
      </c>
    </row>
    <row r="25862" spans="32:37">
      <c r="AF25862" s="831" t="s">
        <v>11293</v>
      </c>
      <c r="AG25862" s="831" t="s">
        <v>2674</v>
      </c>
      <c r="AH25862" s="831" t="s">
        <v>552</v>
      </c>
      <c r="AI25862" s="831">
        <v>0</v>
      </c>
      <c r="AJ25862" s="835">
        <v>41670</v>
      </c>
      <c r="AK25862" s="831">
        <v>0</v>
      </c>
    </row>
    <row r="25863" spans="32:37">
      <c r="AF25863" s="831" t="s">
        <v>11294</v>
      </c>
      <c r="AG25863" s="831" t="s">
        <v>2674</v>
      </c>
      <c r="AH25863" s="831" t="s">
        <v>551</v>
      </c>
      <c r="AI25863" s="831">
        <v>0</v>
      </c>
      <c r="AJ25863" s="835">
        <v>41670</v>
      </c>
      <c r="AK25863" s="831">
        <v>1853357.048</v>
      </c>
    </row>
    <row r="25864" spans="32:37">
      <c r="AF25864" s="831" t="s">
        <v>11295</v>
      </c>
      <c r="AG25864" s="831" t="s">
        <v>2674</v>
      </c>
      <c r="AH25864" s="831" t="s">
        <v>550</v>
      </c>
      <c r="AI25864" s="831">
        <v>0</v>
      </c>
      <c r="AJ25864" s="835">
        <v>41670</v>
      </c>
      <c r="AK25864" s="831">
        <v>114089765.91</v>
      </c>
    </row>
    <row r="25865" spans="32:37">
      <c r="AF25865" s="831" t="s">
        <v>11296</v>
      </c>
      <c r="AG25865" s="831" t="s">
        <v>2674</v>
      </c>
      <c r="AH25865" s="831" t="s">
        <v>562</v>
      </c>
      <c r="AI25865" s="831">
        <v>0</v>
      </c>
      <c r="AJ25865" s="835">
        <v>41670</v>
      </c>
      <c r="AK25865" s="831">
        <v>0.78364999999999996</v>
      </c>
    </row>
    <row r="25866" spans="32:37">
      <c r="AF25866" s="831" t="s">
        <v>11297</v>
      </c>
      <c r="AG25866" s="831" t="s">
        <v>2674</v>
      </c>
      <c r="AH25866" s="831" t="s">
        <v>2698</v>
      </c>
      <c r="AI25866" s="831">
        <v>0</v>
      </c>
      <c r="AJ25866" s="835">
        <v>41670</v>
      </c>
      <c r="AK25866" s="831">
        <v>0.78334999999999999</v>
      </c>
    </row>
    <row r="25867" spans="32:37">
      <c r="AF25867" s="831" t="s">
        <v>11298</v>
      </c>
      <c r="AG25867" s="831" t="s">
        <v>2674</v>
      </c>
      <c r="AH25867" s="831" t="s">
        <v>560</v>
      </c>
      <c r="AI25867" s="831">
        <v>0</v>
      </c>
      <c r="AJ25867" s="835">
        <v>41670</v>
      </c>
      <c r="AK25867" s="831">
        <v>0.78364999999999996</v>
      </c>
    </row>
    <row r="25868" spans="32:37">
      <c r="AF25868" s="831" t="s">
        <v>11299</v>
      </c>
      <c r="AG25868" s="831" t="s">
        <v>2674</v>
      </c>
      <c r="AH25868" s="831" t="s">
        <v>559</v>
      </c>
      <c r="AI25868" s="831">
        <v>0</v>
      </c>
      <c r="AJ25868" s="835">
        <v>41670</v>
      </c>
      <c r="AK25868" s="831">
        <v>0.78391666666666648</v>
      </c>
    </row>
    <row r="25869" spans="32:37">
      <c r="AF25869" s="831" t="s">
        <v>11300</v>
      </c>
      <c r="AG25869" s="831" t="s">
        <v>2674</v>
      </c>
      <c r="AH25869" s="831" t="s">
        <v>568</v>
      </c>
      <c r="AI25869" s="831">
        <v>0</v>
      </c>
      <c r="AJ25869" s="835">
        <v>41670</v>
      </c>
      <c r="AK25869" s="831">
        <v>530633259.22692305</v>
      </c>
    </row>
    <row r="25870" spans="32:37">
      <c r="AF25870" s="831" t="s">
        <v>11301</v>
      </c>
      <c r="AG25870" s="831" t="s">
        <v>2674</v>
      </c>
      <c r="AH25870" s="831" t="s">
        <v>569</v>
      </c>
      <c r="AI25870" s="831">
        <v>0</v>
      </c>
      <c r="AJ25870" s="835">
        <v>41670</v>
      </c>
      <c r="AK25870" s="831">
        <v>648384048.74253845</v>
      </c>
    </row>
    <row r="25871" spans="32:37">
      <c r="AF25871" s="831" t="s">
        <v>11302</v>
      </c>
      <c r="AG25871" s="831" t="s">
        <v>2674</v>
      </c>
      <c r="AH25871" s="831" t="s">
        <v>570</v>
      </c>
      <c r="AI25871" s="831">
        <v>0</v>
      </c>
      <c r="AJ25871" s="835">
        <v>41670</v>
      </c>
      <c r="AK25871" s="831">
        <v>109988497.52046154</v>
      </c>
    </row>
    <row r="25872" spans="32:37">
      <c r="AF25872" s="831" t="s">
        <v>11303</v>
      </c>
      <c r="AG25872" s="831" t="s">
        <v>2674</v>
      </c>
      <c r="AH25872" s="831" t="s">
        <v>571</v>
      </c>
      <c r="AI25872" s="831">
        <v>0</v>
      </c>
      <c r="AJ25872" s="835">
        <v>41670</v>
      </c>
      <c r="AK25872" s="831">
        <v>308674440.74407691</v>
      </c>
    </row>
    <row r="25873" spans="32:37">
      <c r="AF25873" s="831" t="s">
        <v>11304</v>
      </c>
      <c r="AG25873" s="831" t="s">
        <v>2674</v>
      </c>
      <c r="AH25873" s="831" t="s">
        <v>573</v>
      </c>
      <c r="AI25873" s="831">
        <v>0</v>
      </c>
      <c r="AJ25873" s="835">
        <v>41670</v>
      </c>
      <c r="AK25873" s="831">
        <v>783617473.28149998</v>
      </c>
    </row>
    <row r="25874" spans="32:37">
      <c r="AF25874" s="831" t="s">
        <v>11305</v>
      </c>
      <c r="AG25874" s="831" t="s">
        <v>2674</v>
      </c>
      <c r="AH25874" s="831" t="s">
        <v>574</v>
      </c>
      <c r="AI25874" s="831">
        <v>0</v>
      </c>
      <c r="AJ25874" s="835">
        <v>41670</v>
      </c>
      <c r="AK25874" s="831">
        <v>631746388</v>
      </c>
    </row>
    <row r="25875" spans="32:37">
      <c r="AF25875" s="831" t="s">
        <v>11306</v>
      </c>
      <c r="AG25875" s="831" t="s">
        <v>2674</v>
      </c>
      <c r="AH25875" s="831" t="s">
        <v>575</v>
      </c>
      <c r="AI25875" s="831">
        <v>0</v>
      </c>
      <c r="AJ25875" s="835">
        <v>41670</v>
      </c>
      <c r="AK25875" s="831">
        <v>115597630.955</v>
      </c>
    </row>
    <row r="25876" spans="32:37">
      <c r="AF25876" s="831" t="s">
        <v>11307</v>
      </c>
      <c r="AG25876" s="831" t="s">
        <v>2674</v>
      </c>
      <c r="AH25876" s="831" t="s">
        <v>576</v>
      </c>
      <c r="AI25876" s="831">
        <v>0</v>
      </c>
      <c r="AJ25876" s="835">
        <v>41670</v>
      </c>
      <c r="AK25876" s="831">
        <v>385049519.80550003</v>
      </c>
    </row>
    <row r="25877" spans="32:37">
      <c r="AF25877" s="831" t="s">
        <v>11308</v>
      </c>
      <c r="AG25877" s="831" t="s">
        <v>2674</v>
      </c>
      <c r="AH25877" s="831" t="s">
        <v>572</v>
      </c>
      <c r="AI25877" s="831">
        <v>0</v>
      </c>
      <c r="AJ25877" s="835">
        <v>41670</v>
      </c>
      <c r="AK25877" s="831">
        <v>28355401.956000008</v>
      </c>
    </row>
    <row r="25878" spans="32:37">
      <c r="AF25878" s="831" t="s">
        <v>11309</v>
      </c>
      <c r="AG25878" s="831" t="s">
        <v>2674</v>
      </c>
      <c r="AH25878" s="831" t="s">
        <v>577</v>
      </c>
      <c r="AI25878" s="831">
        <v>0</v>
      </c>
      <c r="AJ25878" s="835">
        <v>41670</v>
      </c>
      <c r="AK25878" s="831">
        <v>136649293.76300001</v>
      </c>
    </row>
    <row r="25879" spans="32:37">
      <c r="AF25879" s="831" t="s">
        <v>11310</v>
      </c>
      <c r="AG25879" s="831" t="s">
        <v>2674</v>
      </c>
      <c r="AH25879" s="831" t="s">
        <v>3042</v>
      </c>
      <c r="AI25879" s="831">
        <v>0</v>
      </c>
      <c r="AJ25879" s="835">
        <v>41670</v>
      </c>
      <c r="AK25879" s="831">
        <v>-35903077.527000003</v>
      </c>
    </row>
    <row r="25880" spans="32:37">
      <c r="AF25880" s="831" t="s">
        <v>11311</v>
      </c>
      <c r="AG25880" s="831" t="s">
        <v>2674</v>
      </c>
      <c r="AH25880" s="831" t="s">
        <v>3044</v>
      </c>
      <c r="AI25880" s="831">
        <v>0</v>
      </c>
      <c r="AJ25880" s="835">
        <v>41670</v>
      </c>
      <c r="AK25880" s="831">
        <v>-4357745.8899999997</v>
      </c>
    </row>
    <row r="25881" spans="32:37">
      <c r="AF25881" s="831" t="s">
        <v>11312</v>
      </c>
      <c r="AG25881" s="831" t="s">
        <v>2674</v>
      </c>
      <c r="AH25881" s="831" t="s">
        <v>580</v>
      </c>
      <c r="AI25881" s="831">
        <v>0</v>
      </c>
      <c r="AJ25881" s="835">
        <v>41670</v>
      </c>
      <c r="AK25881" s="831">
        <v>-64979972.306999996</v>
      </c>
    </row>
    <row r="25882" spans="32:37">
      <c r="AF25882" s="831" t="s">
        <v>11313</v>
      </c>
      <c r="AG25882" s="831" t="s">
        <v>2674</v>
      </c>
      <c r="AH25882" s="831" t="s">
        <v>581</v>
      </c>
      <c r="AI25882" s="831">
        <v>0</v>
      </c>
      <c r="AJ25882" s="835">
        <v>41670</v>
      </c>
      <c r="AK25882" s="831">
        <v>5221448.8940000003</v>
      </c>
    </row>
    <row r="25883" spans="32:37">
      <c r="AF25883" s="831" t="s">
        <v>11314</v>
      </c>
      <c r="AG25883" s="831" t="s">
        <v>2674</v>
      </c>
      <c r="AH25883" s="831" t="s">
        <v>105</v>
      </c>
      <c r="AI25883" s="831">
        <v>0</v>
      </c>
      <c r="AJ25883" s="835">
        <v>41670</v>
      </c>
      <c r="AK25883" s="831">
        <v>378525192</v>
      </c>
    </row>
    <row r="25884" spans="32:37">
      <c r="AF25884" s="831" t="s">
        <v>11315</v>
      </c>
      <c r="AG25884" s="831" t="s">
        <v>2674</v>
      </c>
      <c r="AH25884" s="831" t="s">
        <v>3049</v>
      </c>
      <c r="AI25884" s="831">
        <v>0</v>
      </c>
      <c r="AJ25884" s="835">
        <v>41670</v>
      </c>
      <c r="AK25884" s="831">
        <v>636021249.54999995</v>
      </c>
    </row>
    <row r="25885" spans="32:37">
      <c r="AF25885" s="831" t="s">
        <v>11316</v>
      </c>
      <c r="AG25885" s="831" t="s">
        <v>2674</v>
      </c>
      <c r="AH25885" s="831" t="s">
        <v>103</v>
      </c>
      <c r="AI25885" s="831">
        <v>0</v>
      </c>
      <c r="AJ25885" s="835">
        <v>41670</v>
      </c>
      <c r="AK25885" s="831">
        <v>257496057.55000001</v>
      </c>
    </row>
    <row r="25886" spans="32:37">
      <c r="AF25886" s="831" t="s">
        <v>11317</v>
      </c>
      <c r="AG25886" s="831" t="s">
        <v>2674</v>
      </c>
      <c r="AH25886" s="831" t="s">
        <v>182</v>
      </c>
      <c r="AI25886" s="831">
        <v>0</v>
      </c>
      <c r="AJ25886" s="835">
        <v>41670</v>
      </c>
      <c r="AK25886" s="831">
        <v>67679280</v>
      </c>
    </row>
    <row r="25887" spans="32:37">
      <c r="AF25887" s="831" t="s">
        <v>11318</v>
      </c>
      <c r="AG25887" s="831" t="s">
        <v>2674</v>
      </c>
      <c r="AH25887" s="831" t="s">
        <v>6600</v>
      </c>
      <c r="AI25887" s="831">
        <v>0</v>
      </c>
      <c r="AJ25887" s="835">
        <v>41670</v>
      </c>
      <c r="AK25887" s="831">
        <v>28355401.956000008</v>
      </c>
    </row>
    <row r="25888" spans="32:37">
      <c r="AF25888" s="831" t="s">
        <v>11319</v>
      </c>
      <c r="AG25888" s="831" t="s">
        <v>2674</v>
      </c>
      <c r="AH25888" s="831" t="s">
        <v>6602</v>
      </c>
      <c r="AI25888" s="831">
        <v>0</v>
      </c>
      <c r="AJ25888" s="835">
        <v>41670</v>
      </c>
      <c r="AK25888" s="831">
        <v>3298821</v>
      </c>
    </row>
    <row r="25889" spans="32:37">
      <c r="AF25889" s="831" t="s">
        <v>11320</v>
      </c>
      <c r="AG25889" s="831" t="s">
        <v>2674</v>
      </c>
      <c r="AH25889" s="831" t="s">
        <v>650</v>
      </c>
      <c r="AI25889" s="831">
        <v>0</v>
      </c>
      <c r="AJ25889" s="835">
        <v>41670</v>
      </c>
      <c r="AK25889" s="831">
        <v>211999986.62300003</v>
      </c>
    </row>
    <row r="25890" spans="32:37">
      <c r="AF25890" s="831" t="s">
        <v>11321</v>
      </c>
      <c r="AG25890" s="831" t="s">
        <v>2674</v>
      </c>
      <c r="AH25890" s="831" t="s">
        <v>655</v>
      </c>
      <c r="AI25890" s="831">
        <v>0</v>
      </c>
      <c r="AJ25890" s="835">
        <v>41670</v>
      </c>
      <c r="AK25890" s="831">
        <v>1732566.0729999999</v>
      </c>
    </row>
    <row r="25891" spans="32:37">
      <c r="AF25891" s="831" t="s">
        <v>11322</v>
      </c>
      <c r="AG25891" s="831" t="s">
        <v>2674</v>
      </c>
      <c r="AH25891" s="831" t="s">
        <v>546</v>
      </c>
      <c r="AI25891" s="831">
        <v>0</v>
      </c>
      <c r="AJ25891" s="835">
        <v>41698</v>
      </c>
      <c r="AK25891" s="831">
        <v>652795035</v>
      </c>
    </row>
    <row r="25892" spans="32:37">
      <c r="AF25892" s="831" t="s">
        <v>11323</v>
      </c>
      <c r="AG25892" s="831" t="s">
        <v>2674</v>
      </c>
      <c r="AH25892" s="831" t="s">
        <v>370</v>
      </c>
      <c r="AI25892" s="831">
        <v>0</v>
      </c>
      <c r="AJ25892" s="835">
        <v>41698</v>
      </c>
      <c r="AK25892" s="831">
        <v>794421636</v>
      </c>
    </row>
    <row r="25893" spans="32:37">
      <c r="AF25893" s="831" t="s">
        <v>11324</v>
      </c>
      <c r="AG25893" s="831" t="s">
        <v>2674</v>
      </c>
      <c r="AH25893" s="831" t="s">
        <v>126</v>
      </c>
      <c r="AI25893" s="831">
        <v>0</v>
      </c>
      <c r="AJ25893" s="835">
        <v>41698</v>
      </c>
      <c r="AK25893" s="831">
        <v>120615628</v>
      </c>
    </row>
    <row r="25894" spans="32:37">
      <c r="AF25894" s="831" t="s">
        <v>11325</v>
      </c>
      <c r="AG25894" s="831" t="s">
        <v>2674</v>
      </c>
      <c r="AH25894" s="831" t="s">
        <v>268</v>
      </c>
      <c r="AI25894" s="831">
        <v>0</v>
      </c>
      <c r="AJ25894" s="835">
        <v>41698</v>
      </c>
      <c r="AK25894" s="831">
        <v>7870295</v>
      </c>
    </row>
    <row r="25895" spans="32:37">
      <c r="AF25895" s="831" t="s">
        <v>11326</v>
      </c>
      <c r="AG25895" s="831" t="s">
        <v>2674</v>
      </c>
      <c r="AH25895" s="831" t="s">
        <v>547</v>
      </c>
      <c r="AI25895" s="831">
        <v>0</v>
      </c>
      <c r="AJ25895" s="835">
        <v>41698</v>
      </c>
      <c r="AK25895" s="831">
        <v>777719977</v>
      </c>
    </row>
    <row r="25896" spans="32:37">
      <c r="AF25896" s="831" t="s">
        <v>11327</v>
      </c>
      <c r="AG25896" s="831" t="s">
        <v>2674</v>
      </c>
      <c r="AH25896" s="831" t="s">
        <v>548</v>
      </c>
      <c r="AI25896" s="831">
        <v>0</v>
      </c>
      <c r="AJ25896" s="835">
        <v>41698</v>
      </c>
      <c r="AK25896" s="831">
        <v>117105496</v>
      </c>
    </row>
    <row r="25897" spans="32:37">
      <c r="AF25897" s="831" t="s">
        <v>11328</v>
      </c>
      <c r="AG25897" s="831" t="s">
        <v>2674</v>
      </c>
      <c r="AH25897" s="831" t="s">
        <v>549</v>
      </c>
      <c r="AI25897" s="831">
        <v>0</v>
      </c>
      <c r="AJ25897" s="835">
        <v>41698</v>
      </c>
      <c r="AK25897" s="831">
        <v>436810603</v>
      </c>
    </row>
    <row r="25898" spans="32:37">
      <c r="AF25898" s="831" t="s">
        <v>11329</v>
      </c>
      <c r="AG25898" s="831" t="s">
        <v>2674</v>
      </c>
      <c r="AH25898" s="831" t="s">
        <v>192</v>
      </c>
      <c r="AI25898" s="831">
        <v>0</v>
      </c>
      <c r="AJ25898" s="835">
        <v>41698</v>
      </c>
      <c r="AK25898" s="831">
        <v>-13506118</v>
      </c>
    </row>
    <row r="25899" spans="32:37">
      <c r="AF25899" s="831" t="s">
        <v>11330</v>
      </c>
      <c r="AG25899" s="831" t="s">
        <v>2674</v>
      </c>
      <c r="AH25899" s="831" t="s">
        <v>558</v>
      </c>
      <c r="AI25899" s="831">
        <v>0</v>
      </c>
      <c r="AJ25899" s="835">
        <v>41698</v>
      </c>
      <c r="AK25899" s="831">
        <v>673806008.21000004</v>
      </c>
    </row>
    <row r="25900" spans="32:37">
      <c r="AF25900" s="831" t="s">
        <v>11331</v>
      </c>
      <c r="AG25900" s="831" t="s">
        <v>2674</v>
      </c>
      <c r="AH25900" s="831" t="s">
        <v>65</v>
      </c>
      <c r="AI25900" s="831">
        <v>0</v>
      </c>
      <c r="AJ25900" s="835">
        <v>41698</v>
      </c>
      <c r="AK25900" s="831">
        <v>27696081</v>
      </c>
    </row>
    <row r="25901" spans="32:37">
      <c r="AF25901" s="831" t="s">
        <v>11332</v>
      </c>
      <c r="AG25901" s="831" t="s">
        <v>2674</v>
      </c>
      <c r="AH25901" s="831" t="s">
        <v>89</v>
      </c>
      <c r="AI25901" s="831">
        <v>0</v>
      </c>
      <c r="AJ25901" s="835">
        <v>41698</v>
      </c>
      <c r="AK25901" s="831">
        <v>150328</v>
      </c>
    </row>
    <row r="25902" spans="32:37">
      <c r="AF25902" s="831" t="s">
        <v>11333</v>
      </c>
      <c r="AG25902" s="831" t="s">
        <v>2674</v>
      </c>
      <c r="AH25902" s="831" t="s">
        <v>557</v>
      </c>
      <c r="AI25902" s="831">
        <v>0</v>
      </c>
      <c r="AJ25902" s="835">
        <v>41698</v>
      </c>
      <c r="AK25902" s="831">
        <v>165052</v>
      </c>
    </row>
    <row r="25903" spans="32:37">
      <c r="AF25903" s="831" t="s">
        <v>11334</v>
      </c>
      <c r="AG25903" s="831" t="s">
        <v>2674</v>
      </c>
      <c r="AH25903" s="831" t="s">
        <v>29</v>
      </c>
      <c r="AI25903" s="831">
        <v>0</v>
      </c>
      <c r="AJ25903" s="835">
        <v>41698</v>
      </c>
      <c r="AK25903" s="831">
        <v>2075568.541</v>
      </c>
    </row>
    <row r="25904" spans="32:37">
      <c r="AF25904" s="831" t="s">
        <v>11335</v>
      </c>
      <c r="AG25904" s="831" t="s">
        <v>2674</v>
      </c>
      <c r="AH25904" s="831" t="s">
        <v>2688</v>
      </c>
      <c r="AI25904" s="831">
        <v>0</v>
      </c>
      <c r="AJ25904" s="835">
        <v>41698</v>
      </c>
      <c r="AK25904" s="831">
        <v>4740340.3599999994</v>
      </c>
    </row>
    <row r="25905" spans="32:37">
      <c r="AF25905" s="831" t="s">
        <v>11336</v>
      </c>
      <c r="AG25905" s="831" t="s">
        <v>2674</v>
      </c>
      <c r="AH25905" s="831" t="s">
        <v>556</v>
      </c>
      <c r="AI25905" s="831">
        <v>0</v>
      </c>
      <c r="AJ25905" s="835">
        <v>41698</v>
      </c>
      <c r="AK25905" s="831">
        <v>1644732</v>
      </c>
    </row>
    <row r="25906" spans="32:37">
      <c r="AF25906" s="831" t="s">
        <v>11337</v>
      </c>
      <c r="AG25906" s="831" t="s">
        <v>2674</v>
      </c>
      <c r="AH25906" s="831" t="s">
        <v>555</v>
      </c>
      <c r="AI25906" s="831">
        <v>0</v>
      </c>
      <c r="AJ25906" s="835">
        <v>41698</v>
      </c>
      <c r="AK25906" s="831">
        <v>437465824</v>
      </c>
    </row>
    <row r="25907" spans="32:37">
      <c r="AF25907" s="831" t="s">
        <v>11338</v>
      </c>
      <c r="AG25907" s="831" t="s">
        <v>2674</v>
      </c>
      <c r="AH25907" s="831" t="s">
        <v>554</v>
      </c>
      <c r="AI25907" s="831">
        <v>0</v>
      </c>
      <c r="AJ25907" s="835">
        <v>41698</v>
      </c>
      <c r="AK25907" s="831">
        <v>440045130</v>
      </c>
    </row>
    <row r="25908" spans="32:37">
      <c r="AF25908" s="831" t="s">
        <v>11339</v>
      </c>
      <c r="AG25908" s="831" t="s">
        <v>2674</v>
      </c>
      <c r="AH25908" s="831" t="s">
        <v>553</v>
      </c>
      <c r="AI25908" s="831">
        <v>0</v>
      </c>
      <c r="AJ25908" s="835">
        <v>41698</v>
      </c>
      <c r="AK25908" s="831">
        <v>0</v>
      </c>
    </row>
    <row r="25909" spans="32:37">
      <c r="AF25909" s="831" t="s">
        <v>11340</v>
      </c>
      <c r="AG25909" s="831" t="s">
        <v>2674</v>
      </c>
      <c r="AH25909" s="831" t="s">
        <v>552</v>
      </c>
      <c r="AI25909" s="831">
        <v>0</v>
      </c>
      <c r="AJ25909" s="835">
        <v>41698</v>
      </c>
      <c r="AK25909" s="831">
        <v>0</v>
      </c>
    </row>
    <row r="25910" spans="32:37">
      <c r="AF25910" s="831" t="s">
        <v>11341</v>
      </c>
      <c r="AG25910" s="831" t="s">
        <v>2674</v>
      </c>
      <c r="AH25910" s="831" t="s">
        <v>551</v>
      </c>
      <c r="AI25910" s="831">
        <v>0</v>
      </c>
      <c r="AJ25910" s="835">
        <v>41698</v>
      </c>
      <c r="AK25910" s="831">
        <v>1790155.7879999999</v>
      </c>
    </row>
    <row r="25911" spans="32:37">
      <c r="AF25911" s="831" t="s">
        <v>11342</v>
      </c>
      <c r="AG25911" s="831" t="s">
        <v>2674</v>
      </c>
      <c r="AH25911" s="831" t="s">
        <v>550</v>
      </c>
      <c r="AI25911" s="831">
        <v>0</v>
      </c>
      <c r="AJ25911" s="835">
        <v>41698</v>
      </c>
      <c r="AK25911" s="831">
        <v>117105496</v>
      </c>
    </row>
    <row r="25912" spans="32:37">
      <c r="AF25912" s="831" t="s">
        <v>11343</v>
      </c>
      <c r="AG25912" s="831" t="s">
        <v>2674</v>
      </c>
      <c r="AH25912" s="831" t="s">
        <v>562</v>
      </c>
      <c r="AI25912" s="831">
        <v>0</v>
      </c>
      <c r="AJ25912" s="835">
        <v>41698</v>
      </c>
      <c r="AK25912" s="831">
        <v>0.78385000000000005</v>
      </c>
    </row>
    <row r="25913" spans="32:37">
      <c r="AF25913" s="831" t="s">
        <v>11344</v>
      </c>
      <c r="AG25913" s="831" t="s">
        <v>2674</v>
      </c>
      <c r="AH25913" s="831" t="s">
        <v>2698</v>
      </c>
      <c r="AI25913" s="831">
        <v>0</v>
      </c>
      <c r="AJ25913" s="835">
        <v>41698</v>
      </c>
      <c r="AK25913" s="831">
        <v>0.78364999999999996</v>
      </c>
    </row>
    <row r="25914" spans="32:37">
      <c r="AF25914" s="831" t="s">
        <v>11345</v>
      </c>
      <c r="AG25914" s="831" t="s">
        <v>2674</v>
      </c>
      <c r="AH25914" s="831" t="s">
        <v>560</v>
      </c>
      <c r="AI25914" s="831">
        <v>0</v>
      </c>
      <c r="AJ25914" s="835">
        <v>41698</v>
      </c>
      <c r="AK25914" s="831">
        <v>0.78374999999999995</v>
      </c>
    </row>
    <row r="25915" spans="32:37">
      <c r="AF25915" s="831" t="s">
        <v>11346</v>
      </c>
      <c r="AG25915" s="831" t="s">
        <v>2674</v>
      </c>
      <c r="AH25915" s="831" t="s">
        <v>559</v>
      </c>
      <c r="AI25915" s="831">
        <v>0</v>
      </c>
      <c r="AJ25915" s="835">
        <v>41698</v>
      </c>
      <c r="AK25915" s="831">
        <v>0.7838750000000001</v>
      </c>
    </row>
    <row r="25916" spans="32:37">
      <c r="AF25916" s="831" t="s">
        <v>11347</v>
      </c>
      <c r="AG25916" s="831" t="s">
        <v>2674</v>
      </c>
      <c r="AH25916" s="831" t="s">
        <v>568</v>
      </c>
      <c r="AI25916" s="831">
        <v>0</v>
      </c>
      <c r="AJ25916" s="835">
        <v>41698</v>
      </c>
      <c r="AK25916" s="831">
        <v>548459663.22692311</v>
      </c>
    </row>
    <row r="25917" spans="32:37">
      <c r="AF25917" s="831" t="s">
        <v>11348</v>
      </c>
      <c r="AG25917" s="831" t="s">
        <v>2674</v>
      </c>
      <c r="AH25917" s="831" t="s">
        <v>569</v>
      </c>
      <c r="AI25917" s="831">
        <v>0</v>
      </c>
      <c r="AJ25917" s="835">
        <v>41698</v>
      </c>
      <c r="AK25917" s="831">
        <v>670148193.05023074</v>
      </c>
    </row>
    <row r="25918" spans="32:37">
      <c r="AF25918" s="831" t="s">
        <v>11349</v>
      </c>
      <c r="AG25918" s="831" t="s">
        <v>2674</v>
      </c>
      <c r="AH25918" s="831" t="s">
        <v>570</v>
      </c>
      <c r="AI25918" s="831">
        <v>0</v>
      </c>
      <c r="AJ25918" s="835">
        <v>41698</v>
      </c>
      <c r="AK25918" s="831">
        <v>111814070.13584615</v>
      </c>
    </row>
    <row r="25919" spans="32:37">
      <c r="AF25919" s="831" t="s">
        <v>11350</v>
      </c>
      <c r="AG25919" s="831" t="s">
        <v>2674</v>
      </c>
      <c r="AH25919" s="831" t="s">
        <v>571</v>
      </c>
      <c r="AI25919" s="831">
        <v>0</v>
      </c>
      <c r="AJ25919" s="835">
        <v>41698</v>
      </c>
      <c r="AK25919" s="831">
        <v>320628110.0517692</v>
      </c>
    </row>
    <row r="25920" spans="32:37">
      <c r="AF25920" s="831" t="s">
        <v>11351</v>
      </c>
      <c r="AG25920" s="831" t="s">
        <v>2674</v>
      </c>
      <c r="AH25920" s="831" t="s">
        <v>573</v>
      </c>
      <c r="AI25920" s="831">
        <v>0</v>
      </c>
      <c r="AJ25920" s="835">
        <v>41698</v>
      </c>
      <c r="AK25920" s="831">
        <v>787218860.85433328</v>
      </c>
    </row>
    <row r="25921" spans="32:37">
      <c r="AF25921" s="831" t="s">
        <v>11352</v>
      </c>
      <c r="AG25921" s="831" t="s">
        <v>2674</v>
      </c>
      <c r="AH25921" s="831" t="s">
        <v>574</v>
      </c>
      <c r="AI25921" s="831">
        <v>0</v>
      </c>
      <c r="AJ25921" s="835">
        <v>41698</v>
      </c>
      <c r="AK25921" s="831">
        <v>638762603.66666663</v>
      </c>
    </row>
    <row r="25922" spans="32:37">
      <c r="AF25922" s="831" t="s">
        <v>11353</v>
      </c>
      <c r="AG25922" s="831" t="s">
        <v>2674</v>
      </c>
      <c r="AH25922" s="831" t="s">
        <v>575</v>
      </c>
      <c r="AI25922" s="831">
        <v>0</v>
      </c>
      <c r="AJ25922" s="835">
        <v>41698</v>
      </c>
      <c r="AK25922" s="831">
        <v>117270296.63666666</v>
      </c>
    </row>
    <row r="25923" spans="32:37">
      <c r="AF25923" s="831" t="s">
        <v>11354</v>
      </c>
      <c r="AG25923" s="831" t="s">
        <v>2674</v>
      </c>
      <c r="AH25923" s="831" t="s">
        <v>576</v>
      </c>
      <c r="AI25923" s="831">
        <v>0</v>
      </c>
      <c r="AJ25923" s="835">
        <v>41698</v>
      </c>
      <c r="AK25923" s="831">
        <v>385067117.20366669</v>
      </c>
    </row>
    <row r="25924" spans="32:37">
      <c r="AF25924" s="831" t="s">
        <v>11355</v>
      </c>
      <c r="AG25924" s="831" t="s">
        <v>2674</v>
      </c>
      <c r="AH25924" s="831" t="s">
        <v>572</v>
      </c>
      <c r="AI25924" s="831">
        <v>0</v>
      </c>
      <c r="AJ25924" s="835">
        <v>41698</v>
      </c>
      <c r="AK25924" s="831">
        <v>31228952.956000008</v>
      </c>
    </row>
    <row r="25925" spans="32:37">
      <c r="AF25925" s="831" t="s">
        <v>11356</v>
      </c>
      <c r="AG25925" s="831" t="s">
        <v>2674</v>
      </c>
      <c r="AH25925" s="831" t="s">
        <v>577</v>
      </c>
      <c r="AI25925" s="831">
        <v>0</v>
      </c>
      <c r="AJ25925" s="835">
        <v>41698</v>
      </c>
      <c r="AK25925" s="831">
        <v>141567221.76300001</v>
      </c>
    </row>
    <row r="25926" spans="32:37">
      <c r="AF25926" s="831" t="s">
        <v>11357</v>
      </c>
      <c r="AG25926" s="831" t="s">
        <v>2674</v>
      </c>
      <c r="AH25926" s="831" t="s">
        <v>3042</v>
      </c>
      <c r="AI25926" s="831">
        <v>0</v>
      </c>
      <c r="AJ25926" s="835">
        <v>41698</v>
      </c>
      <c r="AK25926" s="831">
        <v>-37210157.527000003</v>
      </c>
    </row>
    <row r="25927" spans="32:37">
      <c r="AF25927" s="831" t="s">
        <v>11358</v>
      </c>
      <c r="AG25927" s="831" t="s">
        <v>2674</v>
      </c>
      <c r="AH25927" s="831" t="s">
        <v>3044</v>
      </c>
      <c r="AI25927" s="831">
        <v>0</v>
      </c>
      <c r="AJ25927" s="835">
        <v>41698</v>
      </c>
      <c r="AK25927" s="831">
        <v>-3847935.8899999997</v>
      </c>
    </row>
    <row r="25928" spans="32:37">
      <c r="AF25928" s="831" t="s">
        <v>11359</v>
      </c>
      <c r="AG25928" s="831" t="s">
        <v>2674</v>
      </c>
      <c r="AH25928" s="831" t="s">
        <v>580</v>
      </c>
      <c r="AI25928" s="831">
        <v>0</v>
      </c>
      <c r="AJ25928" s="835">
        <v>41698</v>
      </c>
      <c r="AK25928" s="831">
        <v>-65813930.306999996</v>
      </c>
    </row>
    <row r="25929" spans="32:37">
      <c r="AF25929" s="831" t="s">
        <v>11360</v>
      </c>
      <c r="AG25929" s="831" t="s">
        <v>2674</v>
      </c>
      <c r="AH25929" s="831" t="s">
        <v>581</v>
      </c>
      <c r="AI25929" s="831">
        <v>0</v>
      </c>
      <c r="AJ25929" s="835">
        <v>41698</v>
      </c>
      <c r="AK25929" s="831">
        <v>5417725.8940000003</v>
      </c>
    </row>
    <row r="25930" spans="32:37">
      <c r="AF25930" s="831" t="s">
        <v>11361</v>
      </c>
      <c r="AG25930" s="831" t="s">
        <v>2674</v>
      </c>
      <c r="AH25930" s="831" t="s">
        <v>105</v>
      </c>
      <c r="AI25930" s="831">
        <v>0</v>
      </c>
      <c r="AJ25930" s="835">
        <v>41698</v>
      </c>
      <c r="AK25930" s="831">
        <v>385102312</v>
      </c>
    </row>
    <row r="25931" spans="32:37">
      <c r="AF25931" s="831" t="s">
        <v>11362</v>
      </c>
      <c r="AG25931" s="831" t="s">
        <v>2674</v>
      </c>
      <c r="AH25931" s="831" t="s">
        <v>3049</v>
      </c>
      <c r="AI25931" s="831">
        <v>0</v>
      </c>
      <c r="AJ25931" s="835">
        <v>41698</v>
      </c>
      <c r="AK25931" s="831">
        <v>650688857.41999996</v>
      </c>
    </row>
    <row r="25932" spans="32:37">
      <c r="AF25932" s="831" t="s">
        <v>11363</v>
      </c>
      <c r="AG25932" s="831" t="s">
        <v>2674</v>
      </c>
      <c r="AH25932" s="831" t="s">
        <v>103</v>
      </c>
      <c r="AI25932" s="831">
        <v>0</v>
      </c>
      <c r="AJ25932" s="835">
        <v>41698</v>
      </c>
      <c r="AK25932" s="831">
        <v>265586545.41999999</v>
      </c>
    </row>
    <row r="25933" spans="32:37">
      <c r="AF25933" s="831" t="s">
        <v>11364</v>
      </c>
      <c r="AG25933" s="831" t="s">
        <v>2674</v>
      </c>
      <c r="AH25933" s="831" t="s">
        <v>182</v>
      </c>
      <c r="AI25933" s="831">
        <v>0</v>
      </c>
      <c r="AJ25933" s="835">
        <v>41698</v>
      </c>
      <c r="AK25933" s="831">
        <v>65878782</v>
      </c>
    </row>
    <row r="25934" spans="32:37">
      <c r="AF25934" s="831" t="s">
        <v>11365</v>
      </c>
      <c r="AG25934" s="831" t="s">
        <v>2674</v>
      </c>
      <c r="AH25934" s="831" t="s">
        <v>6600</v>
      </c>
      <c r="AI25934" s="831">
        <v>0</v>
      </c>
      <c r="AJ25934" s="835">
        <v>41698</v>
      </c>
      <c r="AK25934" s="831">
        <v>31228952.956000008</v>
      </c>
    </row>
    <row r="25935" spans="32:37">
      <c r="AF25935" s="831" t="s">
        <v>11366</v>
      </c>
      <c r="AG25935" s="831" t="s">
        <v>2674</v>
      </c>
      <c r="AH25935" s="831" t="s">
        <v>6602</v>
      </c>
      <c r="AI25935" s="831">
        <v>0</v>
      </c>
      <c r="AJ25935" s="835">
        <v>41698</v>
      </c>
      <c r="AK25935" s="831">
        <v>7870295</v>
      </c>
    </row>
    <row r="25936" spans="32:37">
      <c r="AF25936" s="831" t="s">
        <v>11367</v>
      </c>
      <c r="AG25936" s="831" t="s">
        <v>2674</v>
      </c>
      <c r="AH25936" s="831" t="s">
        <v>650</v>
      </c>
      <c r="AI25936" s="831">
        <v>0</v>
      </c>
      <c r="AJ25936" s="835">
        <v>41698</v>
      </c>
      <c r="AK25936" s="831">
        <v>219285486.1168462</v>
      </c>
    </row>
    <row r="25937" spans="32:37">
      <c r="AF25937" s="831" t="s">
        <v>11368</v>
      </c>
      <c r="AG25937" s="831" t="s">
        <v>2674</v>
      </c>
      <c r="AH25937" s="831" t="s">
        <v>655</v>
      </c>
      <c r="AI25937" s="831">
        <v>0</v>
      </c>
      <c r="AJ25937" s="835">
        <v>41698</v>
      </c>
      <c r="AK25937" s="831">
        <v>1640758.8330000001</v>
      </c>
    </row>
    <row r="25938" spans="32:37">
      <c r="AF25938" s="831" t="s">
        <v>11369</v>
      </c>
      <c r="AG25938" s="831" t="s">
        <v>2674</v>
      </c>
      <c r="AH25938" s="831" t="s">
        <v>546</v>
      </c>
      <c r="AI25938" s="831">
        <v>0</v>
      </c>
      <c r="AJ25938" s="835">
        <v>41729</v>
      </c>
      <c r="AK25938" s="831">
        <v>664153787</v>
      </c>
    </row>
    <row r="25939" spans="32:37">
      <c r="AF25939" s="831" t="s">
        <v>11370</v>
      </c>
      <c r="AG25939" s="831" t="s">
        <v>2674</v>
      </c>
      <c r="AH25939" s="831" t="s">
        <v>370</v>
      </c>
      <c r="AI25939" s="831">
        <v>0</v>
      </c>
      <c r="AJ25939" s="835">
        <v>41729</v>
      </c>
      <c r="AK25939" s="831">
        <v>834303183</v>
      </c>
    </row>
    <row r="25940" spans="32:37">
      <c r="AF25940" s="831" t="s">
        <v>11371</v>
      </c>
      <c r="AG25940" s="831" t="s">
        <v>2674</v>
      </c>
      <c r="AH25940" s="831" t="s">
        <v>126</v>
      </c>
      <c r="AI25940" s="831">
        <v>0</v>
      </c>
      <c r="AJ25940" s="835">
        <v>41729</v>
      </c>
      <c r="AK25940" s="831">
        <v>124206790</v>
      </c>
    </row>
    <row r="25941" spans="32:37">
      <c r="AF25941" s="831" t="s">
        <v>11372</v>
      </c>
      <c r="AG25941" s="831" t="s">
        <v>2674</v>
      </c>
      <c r="AH25941" s="831" t="s">
        <v>268</v>
      </c>
      <c r="AI25941" s="831">
        <v>0</v>
      </c>
      <c r="AJ25941" s="835">
        <v>41729</v>
      </c>
      <c r="AK25941" s="831">
        <v>8878765</v>
      </c>
    </row>
    <row r="25942" spans="32:37">
      <c r="AF25942" s="831" t="s">
        <v>11373</v>
      </c>
      <c r="AG25942" s="831" t="s">
        <v>2674</v>
      </c>
      <c r="AH25942" s="831" t="s">
        <v>547</v>
      </c>
      <c r="AI25942" s="831">
        <v>0</v>
      </c>
      <c r="AJ25942" s="835">
        <v>41729</v>
      </c>
      <c r="AK25942" s="831">
        <v>777719977</v>
      </c>
    </row>
    <row r="25943" spans="32:37">
      <c r="AF25943" s="831" t="s">
        <v>11374</v>
      </c>
      <c r="AG25943" s="831" t="s">
        <v>2674</v>
      </c>
      <c r="AH25943" s="831" t="s">
        <v>548</v>
      </c>
      <c r="AI25943" s="831">
        <v>0</v>
      </c>
      <c r="AJ25943" s="835">
        <v>41729</v>
      </c>
      <c r="AK25943" s="831">
        <v>117105496</v>
      </c>
    </row>
    <row r="25944" spans="32:37">
      <c r="AF25944" s="831" t="s">
        <v>11375</v>
      </c>
      <c r="AG25944" s="831" t="s">
        <v>2674</v>
      </c>
      <c r="AH25944" s="831" t="s">
        <v>549</v>
      </c>
      <c r="AI25944" s="831">
        <v>0</v>
      </c>
      <c r="AJ25944" s="835">
        <v>41729</v>
      </c>
      <c r="AK25944" s="831">
        <v>455655641</v>
      </c>
    </row>
    <row r="25945" spans="32:37">
      <c r="AF25945" s="831" t="s">
        <v>11376</v>
      </c>
      <c r="AG25945" s="831" t="s">
        <v>2674</v>
      </c>
      <c r="AH25945" s="831" t="s">
        <v>192</v>
      </c>
      <c r="AI25945" s="831">
        <v>0</v>
      </c>
      <c r="AJ25945" s="835">
        <v>41729</v>
      </c>
      <c r="AK25945" s="831">
        <v>-12498345</v>
      </c>
    </row>
    <row r="25946" spans="32:37">
      <c r="AF25946" s="831" t="s">
        <v>11377</v>
      </c>
      <c r="AG25946" s="831" t="s">
        <v>2674</v>
      </c>
      <c r="AH25946" s="831" t="s">
        <v>558</v>
      </c>
      <c r="AI25946" s="831">
        <v>0</v>
      </c>
      <c r="AJ25946" s="835">
        <v>41729</v>
      </c>
      <c r="AK25946" s="831">
        <v>710096393</v>
      </c>
    </row>
    <row r="25947" spans="32:37">
      <c r="AF25947" s="831" t="s">
        <v>11378</v>
      </c>
      <c r="AG25947" s="831" t="s">
        <v>2674</v>
      </c>
      <c r="AH25947" s="831" t="s">
        <v>65</v>
      </c>
      <c r="AI25947" s="831">
        <v>0</v>
      </c>
      <c r="AJ25947" s="835">
        <v>41729</v>
      </c>
      <c r="AK25947" s="831">
        <v>38451284</v>
      </c>
    </row>
    <row r="25948" spans="32:37">
      <c r="AF25948" s="831" t="s">
        <v>11379</v>
      </c>
      <c r="AG25948" s="831" t="s">
        <v>2674</v>
      </c>
      <c r="AH25948" s="831" t="s">
        <v>89</v>
      </c>
      <c r="AI25948" s="831">
        <v>0</v>
      </c>
      <c r="AJ25948" s="835">
        <v>41729</v>
      </c>
      <c r="AK25948" s="831">
        <v>151606</v>
      </c>
    </row>
    <row r="25949" spans="32:37">
      <c r="AF25949" s="831" t="s">
        <v>11380</v>
      </c>
      <c r="AG25949" s="831" t="s">
        <v>2674</v>
      </c>
      <c r="AH25949" s="831" t="s">
        <v>557</v>
      </c>
      <c r="AI25949" s="831">
        <v>0</v>
      </c>
      <c r="AJ25949" s="835">
        <v>41729</v>
      </c>
      <c r="AK25949" s="831">
        <v>167127</v>
      </c>
    </row>
    <row r="25950" spans="32:37">
      <c r="AF25950" s="831" t="s">
        <v>11381</v>
      </c>
      <c r="AG25950" s="831" t="s">
        <v>2674</v>
      </c>
      <c r="AH25950" s="831" t="s">
        <v>29</v>
      </c>
      <c r="AI25950" s="831">
        <v>0</v>
      </c>
      <c r="AJ25950" s="835">
        <v>41729</v>
      </c>
      <c r="AK25950" s="831">
        <v>2189531.31</v>
      </c>
    </row>
    <row r="25951" spans="32:37">
      <c r="AF25951" s="831" t="s">
        <v>11382</v>
      </c>
      <c r="AG25951" s="831" t="s">
        <v>2674</v>
      </c>
      <c r="AH25951" s="831" t="s">
        <v>2688</v>
      </c>
      <c r="AI25951" s="831">
        <v>0</v>
      </c>
      <c r="AJ25951" s="835">
        <v>41729</v>
      </c>
      <c r="AK25951" s="831">
        <v>4729841</v>
      </c>
    </row>
    <row r="25952" spans="32:37">
      <c r="AF25952" s="831" t="s">
        <v>11383</v>
      </c>
      <c r="AG25952" s="831" t="s">
        <v>2674</v>
      </c>
      <c r="AH25952" s="831" t="s">
        <v>556</v>
      </c>
      <c r="AI25952" s="831">
        <v>0</v>
      </c>
      <c r="AJ25952" s="835">
        <v>41729</v>
      </c>
      <c r="AK25952" s="831">
        <v>1644732</v>
      </c>
    </row>
    <row r="25953" spans="32:37">
      <c r="AF25953" s="831" t="s">
        <v>11384</v>
      </c>
      <c r="AG25953" s="831" t="s">
        <v>2674</v>
      </c>
      <c r="AH25953" s="831" t="s">
        <v>555</v>
      </c>
      <c r="AI25953" s="831">
        <v>0</v>
      </c>
      <c r="AJ25953" s="835">
        <v>41729</v>
      </c>
      <c r="AK25953" s="831">
        <v>466790280</v>
      </c>
    </row>
    <row r="25954" spans="32:37">
      <c r="AF25954" s="831" t="s">
        <v>11385</v>
      </c>
      <c r="AG25954" s="831" t="s">
        <v>2674</v>
      </c>
      <c r="AH25954" s="831" t="s">
        <v>554</v>
      </c>
      <c r="AI25954" s="831">
        <v>0</v>
      </c>
      <c r="AJ25954" s="835">
        <v>41729</v>
      </c>
      <c r="AK25954" s="831">
        <v>476154670</v>
      </c>
    </row>
    <row r="25955" spans="32:37">
      <c r="AF25955" s="831" t="s">
        <v>11386</v>
      </c>
      <c r="AG25955" s="831" t="s">
        <v>2674</v>
      </c>
      <c r="AH25955" s="831" t="s">
        <v>553</v>
      </c>
      <c r="AI25955" s="831">
        <v>0</v>
      </c>
      <c r="AJ25955" s="835">
        <v>41729</v>
      </c>
      <c r="AK25955" s="831">
        <v>0</v>
      </c>
    </row>
    <row r="25956" spans="32:37">
      <c r="AF25956" s="831" t="s">
        <v>11387</v>
      </c>
      <c r="AG25956" s="831" t="s">
        <v>2674</v>
      </c>
      <c r="AH25956" s="831" t="s">
        <v>552</v>
      </c>
      <c r="AI25956" s="831">
        <v>0</v>
      </c>
      <c r="AJ25956" s="835">
        <v>41729</v>
      </c>
      <c r="AK25956" s="831">
        <v>0</v>
      </c>
    </row>
    <row r="25957" spans="32:37">
      <c r="AF25957" s="831" t="s">
        <v>11388</v>
      </c>
      <c r="AG25957" s="831" t="s">
        <v>2674</v>
      </c>
      <c r="AH25957" s="831" t="s">
        <v>551</v>
      </c>
      <c r="AI25957" s="831">
        <v>0</v>
      </c>
      <c r="AJ25957" s="835">
        <v>41729</v>
      </c>
      <c r="AK25957" s="831">
        <v>1979269.31</v>
      </c>
    </row>
    <row r="25958" spans="32:37">
      <c r="AF25958" s="831" t="s">
        <v>11389</v>
      </c>
      <c r="AG25958" s="831" t="s">
        <v>2674</v>
      </c>
      <c r="AH25958" s="831" t="s">
        <v>550</v>
      </c>
      <c r="AI25958" s="831">
        <v>0</v>
      </c>
      <c r="AJ25958" s="835">
        <v>41729</v>
      </c>
      <c r="AK25958" s="831">
        <v>120615628</v>
      </c>
    </row>
    <row r="25959" spans="32:37">
      <c r="AF25959" s="831" t="s">
        <v>11390</v>
      </c>
      <c r="AG25959" s="831" t="s">
        <v>2674</v>
      </c>
      <c r="AH25959" s="831" t="s">
        <v>562</v>
      </c>
      <c r="AI25959" s="831">
        <v>0</v>
      </c>
      <c r="AJ25959" s="835">
        <v>41729</v>
      </c>
      <c r="AK25959" s="831">
        <v>0.78374999999999995</v>
      </c>
    </row>
    <row r="25960" spans="32:37">
      <c r="AF25960" s="831" t="s">
        <v>11391</v>
      </c>
      <c r="AG25960" s="831" t="s">
        <v>2674</v>
      </c>
      <c r="AH25960" s="831" t="s">
        <v>2698</v>
      </c>
      <c r="AI25960" s="831">
        <v>0</v>
      </c>
      <c r="AJ25960" s="835">
        <v>41729</v>
      </c>
      <c r="AK25960" s="831">
        <v>0.78385000000000005</v>
      </c>
    </row>
    <row r="25961" spans="32:37">
      <c r="AF25961" s="831" t="s">
        <v>11392</v>
      </c>
      <c r="AG25961" s="831" t="s">
        <v>2674</v>
      </c>
      <c r="AH25961" s="831" t="s">
        <v>560</v>
      </c>
      <c r="AI25961" s="831">
        <v>0</v>
      </c>
      <c r="AJ25961" s="835">
        <v>41729</v>
      </c>
      <c r="AK25961" s="831">
        <v>0.78375000000000006</v>
      </c>
    </row>
    <row r="25962" spans="32:37">
      <c r="AF25962" s="831" t="s">
        <v>11393</v>
      </c>
      <c r="AG25962" s="831" t="s">
        <v>2674</v>
      </c>
      <c r="AH25962" s="831" t="s">
        <v>559</v>
      </c>
      <c r="AI25962" s="831">
        <v>0</v>
      </c>
      <c r="AJ25962" s="835">
        <v>41729</v>
      </c>
      <c r="AK25962" s="831">
        <v>0.78383333333333338</v>
      </c>
    </row>
    <row r="25963" spans="32:37">
      <c r="AF25963" s="831" t="s">
        <v>11394</v>
      </c>
      <c r="AG25963" s="831" t="s">
        <v>2674</v>
      </c>
      <c r="AH25963" s="831" t="s">
        <v>568</v>
      </c>
      <c r="AI25963" s="831">
        <v>0</v>
      </c>
      <c r="AJ25963" s="835">
        <v>41729</v>
      </c>
      <c r="AK25963" s="831">
        <v>565947600.45769227</v>
      </c>
    </row>
    <row r="25964" spans="32:37">
      <c r="AF25964" s="831" t="s">
        <v>11395</v>
      </c>
      <c r="AG25964" s="831" t="s">
        <v>2674</v>
      </c>
      <c r="AH25964" s="831" t="s">
        <v>569</v>
      </c>
      <c r="AI25964" s="831">
        <v>0</v>
      </c>
      <c r="AJ25964" s="835">
        <v>41729</v>
      </c>
      <c r="AK25964" s="831">
        <v>694165655.12715387</v>
      </c>
    </row>
    <row r="25965" spans="32:37">
      <c r="AF25965" s="831" t="s">
        <v>11396</v>
      </c>
      <c r="AG25965" s="831" t="s">
        <v>2674</v>
      </c>
      <c r="AH25965" s="831" t="s">
        <v>570</v>
      </c>
      <c r="AI25965" s="831">
        <v>0</v>
      </c>
      <c r="AJ25965" s="835">
        <v>41729</v>
      </c>
      <c r="AK25965" s="831">
        <v>113785276.52046154</v>
      </c>
    </row>
    <row r="25966" spans="32:37">
      <c r="AF25966" s="831" t="s">
        <v>11397</v>
      </c>
      <c r="AG25966" s="831" t="s">
        <v>2674</v>
      </c>
      <c r="AH25966" s="831" t="s">
        <v>571</v>
      </c>
      <c r="AI25966" s="831">
        <v>0</v>
      </c>
      <c r="AJ25966" s="835">
        <v>41729</v>
      </c>
      <c r="AK25966" s="831">
        <v>334328550.28253847</v>
      </c>
    </row>
    <row r="25967" spans="32:37">
      <c r="AF25967" s="831" t="s">
        <v>11398</v>
      </c>
      <c r="AG25967" s="831" t="s">
        <v>2674</v>
      </c>
      <c r="AH25967" s="831" t="s">
        <v>573</v>
      </c>
      <c r="AI25967" s="831">
        <v>0</v>
      </c>
      <c r="AJ25967" s="835">
        <v>41729</v>
      </c>
      <c r="AK25967" s="831">
        <v>798989941.39074993</v>
      </c>
    </row>
    <row r="25968" spans="32:37">
      <c r="AF25968" s="831" t="s">
        <v>11399</v>
      </c>
      <c r="AG25968" s="831" t="s">
        <v>2674</v>
      </c>
      <c r="AH25968" s="831" t="s">
        <v>574</v>
      </c>
      <c r="AI25968" s="831">
        <v>0</v>
      </c>
      <c r="AJ25968" s="835">
        <v>41729</v>
      </c>
      <c r="AK25968" s="831">
        <v>645110399.5</v>
      </c>
    </row>
    <row r="25969" spans="32:37">
      <c r="AF25969" s="831" t="s">
        <v>11400</v>
      </c>
      <c r="AG25969" s="831" t="s">
        <v>2674</v>
      </c>
      <c r="AH25969" s="831" t="s">
        <v>575</v>
      </c>
      <c r="AI25969" s="831">
        <v>0</v>
      </c>
      <c r="AJ25969" s="835">
        <v>41729</v>
      </c>
      <c r="AK25969" s="831">
        <v>119004419.97749999</v>
      </c>
    </row>
    <row r="25970" spans="32:37">
      <c r="AF25970" s="831" t="s">
        <v>11401</v>
      </c>
      <c r="AG25970" s="831" t="s">
        <v>2674</v>
      </c>
      <c r="AH25970" s="831" t="s">
        <v>576</v>
      </c>
      <c r="AI25970" s="831">
        <v>0</v>
      </c>
      <c r="AJ25970" s="835">
        <v>41729</v>
      </c>
      <c r="AK25970" s="831">
        <v>391575852.40275002</v>
      </c>
    </row>
    <row r="25971" spans="32:37">
      <c r="AF25971" s="831" t="s">
        <v>11402</v>
      </c>
      <c r="AG25971" s="831" t="s">
        <v>2674</v>
      </c>
      <c r="AH25971" s="831" t="s">
        <v>572</v>
      </c>
      <c r="AI25971" s="831">
        <v>0</v>
      </c>
      <c r="AJ25971" s="835">
        <v>41729</v>
      </c>
      <c r="AK25971" s="831">
        <v>30009140.956000008</v>
      </c>
    </row>
    <row r="25972" spans="32:37">
      <c r="AF25972" s="831" t="s">
        <v>11403</v>
      </c>
      <c r="AG25972" s="831" t="s">
        <v>2674</v>
      </c>
      <c r="AH25972" s="831" t="s">
        <v>577</v>
      </c>
      <c r="AI25972" s="831">
        <v>0</v>
      </c>
      <c r="AJ25972" s="835">
        <v>41729</v>
      </c>
      <c r="AK25972" s="831">
        <v>143425007.76300001</v>
      </c>
    </row>
    <row r="25973" spans="32:37">
      <c r="AF25973" s="831" t="s">
        <v>11404</v>
      </c>
      <c r="AG25973" s="831" t="s">
        <v>2674</v>
      </c>
      <c r="AH25973" s="831" t="s">
        <v>3042</v>
      </c>
      <c r="AI25973" s="831">
        <v>0</v>
      </c>
      <c r="AJ25973" s="835">
        <v>41729</v>
      </c>
      <c r="AK25973" s="831">
        <v>-38745656.527000003</v>
      </c>
    </row>
    <row r="25974" spans="32:37">
      <c r="AF25974" s="831" t="s">
        <v>11405</v>
      </c>
      <c r="AG25974" s="831" t="s">
        <v>2674</v>
      </c>
      <c r="AH25974" s="831" t="s">
        <v>3044</v>
      </c>
      <c r="AI25974" s="831">
        <v>0</v>
      </c>
      <c r="AJ25974" s="835">
        <v>41729</v>
      </c>
      <c r="AK25974" s="831">
        <v>-3699815.8899999997</v>
      </c>
    </row>
    <row r="25975" spans="32:37">
      <c r="AF25975" s="831" t="s">
        <v>11406</v>
      </c>
      <c r="AG25975" s="831" t="s">
        <v>2674</v>
      </c>
      <c r="AH25975" s="831" t="s">
        <v>580</v>
      </c>
      <c r="AI25975" s="831">
        <v>0</v>
      </c>
      <c r="AJ25975" s="835">
        <v>41729</v>
      </c>
      <c r="AK25975" s="831">
        <v>-67131930.306999996</v>
      </c>
    </row>
    <row r="25976" spans="32:37">
      <c r="AF25976" s="831" t="s">
        <v>11407</v>
      </c>
      <c r="AG25976" s="831" t="s">
        <v>2674</v>
      </c>
      <c r="AH25976" s="831" t="s">
        <v>581</v>
      </c>
      <c r="AI25976" s="831">
        <v>0</v>
      </c>
      <c r="AJ25976" s="835">
        <v>41729</v>
      </c>
      <c r="AK25976" s="831">
        <v>5442741.8940000003</v>
      </c>
    </row>
    <row r="25977" spans="32:37">
      <c r="AF25977" s="831" t="s">
        <v>11408</v>
      </c>
      <c r="AG25977" s="831" t="s">
        <v>2674</v>
      </c>
      <c r="AH25977" s="831" t="s">
        <v>105</v>
      </c>
      <c r="AI25977" s="831">
        <v>0</v>
      </c>
      <c r="AJ25977" s="835">
        <v>41729</v>
      </c>
      <c r="AK25977" s="831">
        <v>411102058</v>
      </c>
    </row>
    <row r="25978" spans="32:37">
      <c r="AF25978" s="831" t="s">
        <v>11409</v>
      </c>
      <c r="AG25978" s="831" t="s">
        <v>2674</v>
      </c>
      <c r="AH25978" s="831" t="s">
        <v>3049</v>
      </c>
      <c r="AI25978" s="831">
        <v>0</v>
      </c>
      <c r="AJ25978" s="835">
        <v>41729</v>
      </c>
      <c r="AK25978" s="831">
        <v>690412081</v>
      </c>
    </row>
    <row r="25979" spans="32:37">
      <c r="AF25979" s="831" t="s">
        <v>11410</v>
      </c>
      <c r="AG25979" s="831" t="s">
        <v>2674</v>
      </c>
      <c r="AH25979" s="831" t="s">
        <v>103</v>
      </c>
      <c r="AI25979" s="831">
        <v>0</v>
      </c>
      <c r="AJ25979" s="835">
        <v>41729</v>
      </c>
      <c r="AK25979" s="831">
        <v>279310023</v>
      </c>
    </row>
    <row r="25980" spans="32:37">
      <c r="AF25980" s="831" t="s">
        <v>11411</v>
      </c>
      <c r="AG25980" s="831" t="s">
        <v>2674</v>
      </c>
      <c r="AH25980" s="831" t="s">
        <v>182</v>
      </c>
      <c r="AI25980" s="831">
        <v>0</v>
      </c>
      <c r="AJ25980" s="835">
        <v>41729</v>
      </c>
      <c r="AK25980" s="831">
        <v>67031636</v>
      </c>
    </row>
    <row r="25981" spans="32:37">
      <c r="AF25981" s="831" t="s">
        <v>11412</v>
      </c>
      <c r="AG25981" s="831" t="s">
        <v>2674</v>
      </c>
      <c r="AH25981" s="831" t="s">
        <v>6600</v>
      </c>
      <c r="AI25981" s="831">
        <v>0</v>
      </c>
      <c r="AJ25981" s="835">
        <v>41729</v>
      </c>
      <c r="AK25981" s="831">
        <v>30009140.956000008</v>
      </c>
    </row>
    <row r="25982" spans="32:37">
      <c r="AF25982" s="831" t="s">
        <v>11413</v>
      </c>
      <c r="AG25982" s="831" t="s">
        <v>2674</v>
      </c>
      <c r="AH25982" s="831" t="s">
        <v>6602</v>
      </c>
      <c r="AI25982" s="831">
        <v>0</v>
      </c>
      <c r="AJ25982" s="835">
        <v>41729</v>
      </c>
      <c r="AK25982" s="831">
        <v>8878765</v>
      </c>
    </row>
    <row r="25983" spans="32:37">
      <c r="AF25983" s="831" t="s">
        <v>11414</v>
      </c>
      <c r="AG25983" s="831" t="s">
        <v>2674</v>
      </c>
      <c r="AH25983" s="831" t="s">
        <v>650</v>
      </c>
      <c r="AI25983" s="831">
        <v>0</v>
      </c>
      <c r="AJ25983" s="835">
        <v>41729</v>
      </c>
      <c r="AK25983" s="831">
        <v>227175044.1168462</v>
      </c>
    </row>
    <row r="25984" spans="32:37">
      <c r="AF25984" s="831" t="s">
        <v>11415</v>
      </c>
      <c r="AG25984" s="831" t="s">
        <v>2674</v>
      </c>
      <c r="AH25984" s="831" t="s">
        <v>655</v>
      </c>
      <c r="AI25984" s="831">
        <v>0</v>
      </c>
      <c r="AJ25984" s="835">
        <v>41729</v>
      </c>
      <c r="AK25984" s="831">
        <v>1723087.31</v>
      </c>
    </row>
    <row r="25985" spans="32:37">
      <c r="AF25985" s="831" t="s">
        <v>11416</v>
      </c>
      <c r="AG25985" s="831" t="s">
        <v>2674</v>
      </c>
      <c r="AH25985" s="831" t="s">
        <v>546</v>
      </c>
      <c r="AI25985" s="831">
        <v>0</v>
      </c>
      <c r="AJ25985" s="835">
        <v>41759</v>
      </c>
      <c r="AK25985" s="831">
        <v>695634421</v>
      </c>
    </row>
    <row r="25986" spans="32:37">
      <c r="AF25986" s="831" t="s">
        <v>11417</v>
      </c>
      <c r="AG25986" s="831" t="s">
        <v>2674</v>
      </c>
      <c r="AH25986" s="831" t="s">
        <v>370</v>
      </c>
      <c r="AI25986" s="831">
        <v>0</v>
      </c>
      <c r="AJ25986" s="835">
        <v>41759</v>
      </c>
      <c r="AK25986" s="831">
        <v>838269546</v>
      </c>
    </row>
    <row r="25987" spans="32:37">
      <c r="AF25987" s="831" t="s">
        <v>11418</v>
      </c>
      <c r="AG25987" s="831" t="s">
        <v>2674</v>
      </c>
      <c r="AH25987" s="831" t="s">
        <v>126</v>
      </c>
      <c r="AI25987" s="831">
        <v>0</v>
      </c>
      <c r="AJ25987" s="835">
        <v>41759</v>
      </c>
      <c r="AK25987" s="831">
        <v>127155751</v>
      </c>
    </row>
    <row r="25988" spans="32:37">
      <c r="AF25988" s="831" t="s">
        <v>11419</v>
      </c>
      <c r="AG25988" s="831" t="s">
        <v>2674</v>
      </c>
      <c r="AH25988" s="831" t="s">
        <v>268</v>
      </c>
      <c r="AI25988" s="831">
        <v>0</v>
      </c>
      <c r="AJ25988" s="835">
        <v>41759</v>
      </c>
      <c r="AK25988" s="831">
        <v>11900832</v>
      </c>
    </row>
    <row r="25989" spans="32:37">
      <c r="AF25989" s="831" t="s">
        <v>11420</v>
      </c>
      <c r="AG25989" s="831" t="s">
        <v>2674</v>
      </c>
      <c r="AH25989" s="831" t="s">
        <v>547</v>
      </c>
      <c r="AI25989" s="831">
        <v>0</v>
      </c>
      <c r="AJ25989" s="835">
        <v>41759</v>
      </c>
      <c r="AK25989" s="831">
        <v>777719977</v>
      </c>
    </row>
    <row r="25990" spans="32:37">
      <c r="AF25990" s="831" t="s">
        <v>11421</v>
      </c>
      <c r="AG25990" s="831" t="s">
        <v>2674</v>
      </c>
      <c r="AH25990" s="831" t="s">
        <v>548</v>
      </c>
      <c r="AI25990" s="831">
        <v>0</v>
      </c>
      <c r="AJ25990" s="835">
        <v>41759</v>
      </c>
      <c r="AK25990" s="831">
        <v>117105496</v>
      </c>
    </row>
    <row r="25991" spans="32:37">
      <c r="AF25991" s="831" t="s">
        <v>11422</v>
      </c>
      <c r="AG25991" s="831" t="s">
        <v>2674</v>
      </c>
      <c r="AH25991" s="831" t="s">
        <v>549</v>
      </c>
      <c r="AI25991" s="831">
        <v>0</v>
      </c>
      <c r="AJ25991" s="835">
        <v>41759</v>
      </c>
      <c r="AK25991" s="831">
        <v>479771222</v>
      </c>
    </row>
    <row r="25992" spans="32:37">
      <c r="AF25992" s="831" t="s">
        <v>11423</v>
      </c>
      <c r="AG25992" s="831" t="s">
        <v>2674</v>
      </c>
      <c r="AH25992" s="831" t="s">
        <v>192</v>
      </c>
      <c r="AI25992" s="831">
        <v>0</v>
      </c>
      <c r="AJ25992" s="835">
        <v>41759</v>
      </c>
      <c r="AK25992" s="831">
        <v>-13335656</v>
      </c>
    </row>
    <row r="25993" spans="32:37">
      <c r="AF25993" s="831" t="s">
        <v>11424</v>
      </c>
      <c r="AG25993" s="831" t="s">
        <v>2674</v>
      </c>
      <c r="AH25993" s="831" t="s">
        <v>558</v>
      </c>
      <c r="AI25993" s="831">
        <v>0</v>
      </c>
      <c r="AJ25993" s="835">
        <v>41759</v>
      </c>
      <c r="AK25993" s="831">
        <v>711113795</v>
      </c>
    </row>
    <row r="25994" spans="32:37">
      <c r="AF25994" s="831" t="s">
        <v>11425</v>
      </c>
      <c r="AG25994" s="831" t="s">
        <v>2674</v>
      </c>
      <c r="AH25994" s="831" t="s">
        <v>65</v>
      </c>
      <c r="AI25994" s="831">
        <v>0</v>
      </c>
      <c r="AJ25994" s="835">
        <v>41759</v>
      </c>
      <c r="AK25994" s="831">
        <v>52388499</v>
      </c>
    </row>
    <row r="25995" spans="32:37">
      <c r="AF25995" s="831" t="s">
        <v>11426</v>
      </c>
      <c r="AG25995" s="831" t="s">
        <v>2674</v>
      </c>
      <c r="AH25995" s="831" t="s">
        <v>89</v>
      </c>
      <c r="AI25995" s="831">
        <v>0</v>
      </c>
      <c r="AJ25995" s="835">
        <v>41759</v>
      </c>
      <c r="AK25995" s="831">
        <v>154230</v>
      </c>
    </row>
    <row r="25996" spans="32:37">
      <c r="AF25996" s="831" t="s">
        <v>11427</v>
      </c>
      <c r="AG25996" s="831" t="s">
        <v>2674</v>
      </c>
      <c r="AH25996" s="831" t="s">
        <v>557</v>
      </c>
      <c r="AI25996" s="831">
        <v>0</v>
      </c>
      <c r="AJ25996" s="835">
        <v>41759</v>
      </c>
      <c r="AK25996" s="831">
        <v>171119</v>
      </c>
    </row>
    <row r="25997" spans="32:37">
      <c r="AF25997" s="831" t="s">
        <v>11428</v>
      </c>
      <c r="AG25997" s="831" t="s">
        <v>2674</v>
      </c>
      <c r="AH25997" s="831" t="s">
        <v>29</v>
      </c>
      <c r="AI25997" s="831">
        <v>0</v>
      </c>
      <c r="AJ25997" s="835">
        <v>41759</v>
      </c>
      <c r="AK25997" s="831">
        <v>2260198</v>
      </c>
    </row>
    <row r="25998" spans="32:37">
      <c r="AF25998" s="831" t="s">
        <v>11429</v>
      </c>
      <c r="AG25998" s="831" t="s">
        <v>2674</v>
      </c>
      <c r="AH25998" s="831" t="s">
        <v>2688</v>
      </c>
      <c r="AI25998" s="831">
        <v>0</v>
      </c>
      <c r="AJ25998" s="835">
        <v>41759</v>
      </c>
      <c r="AK25998" s="831">
        <v>4802589</v>
      </c>
    </row>
    <row r="25999" spans="32:37">
      <c r="AF25999" s="831" t="s">
        <v>11430</v>
      </c>
      <c r="AG25999" s="831" t="s">
        <v>2674</v>
      </c>
      <c r="AH25999" s="831" t="s">
        <v>556</v>
      </c>
      <c r="AI25999" s="831">
        <v>0</v>
      </c>
      <c r="AJ25999" s="835">
        <v>41759</v>
      </c>
      <c r="AK25999" s="831">
        <v>1644732</v>
      </c>
    </row>
    <row r="26000" spans="32:37">
      <c r="AF26000" s="831" t="s">
        <v>11431</v>
      </c>
      <c r="AG26000" s="831" t="s">
        <v>2674</v>
      </c>
      <c r="AH26000" s="831" t="s">
        <v>555</v>
      </c>
      <c r="AI26000" s="831">
        <v>0</v>
      </c>
      <c r="AJ26000" s="835">
        <v>41759</v>
      </c>
      <c r="AK26000" s="831">
        <v>465033436</v>
      </c>
    </row>
    <row r="26001" spans="32:37">
      <c r="AF26001" s="831" t="s">
        <v>11432</v>
      </c>
      <c r="AG26001" s="831" t="s">
        <v>2674</v>
      </c>
      <c r="AH26001" s="831" t="s">
        <v>554</v>
      </c>
      <c r="AI26001" s="831">
        <v>0</v>
      </c>
      <c r="AJ26001" s="835">
        <v>41759</v>
      </c>
      <c r="AK26001" s="831">
        <v>471272450</v>
      </c>
    </row>
    <row r="26002" spans="32:37">
      <c r="AF26002" s="831" t="s">
        <v>11433</v>
      </c>
      <c r="AG26002" s="831" t="s">
        <v>2674</v>
      </c>
      <c r="AH26002" s="831" t="s">
        <v>553</v>
      </c>
      <c r="AI26002" s="831">
        <v>0</v>
      </c>
      <c r="AJ26002" s="835">
        <v>41759</v>
      </c>
      <c r="AK26002" s="831">
        <v>0</v>
      </c>
    </row>
    <row r="26003" spans="32:37">
      <c r="AF26003" s="831" t="s">
        <v>11434</v>
      </c>
      <c r="AG26003" s="831" t="s">
        <v>2674</v>
      </c>
      <c r="AH26003" s="831" t="s">
        <v>552</v>
      </c>
      <c r="AI26003" s="831">
        <v>0</v>
      </c>
      <c r="AJ26003" s="835">
        <v>41759</v>
      </c>
      <c r="AK26003" s="831">
        <v>0</v>
      </c>
    </row>
    <row r="26004" spans="32:37">
      <c r="AF26004" s="831" t="s">
        <v>11435</v>
      </c>
      <c r="AG26004" s="831" t="s">
        <v>2674</v>
      </c>
      <c r="AH26004" s="831" t="s">
        <v>551</v>
      </c>
      <c r="AI26004" s="831">
        <v>0</v>
      </c>
      <c r="AJ26004" s="835">
        <v>41759</v>
      </c>
      <c r="AK26004" s="831">
        <v>2028560</v>
      </c>
    </row>
    <row r="26005" spans="32:37">
      <c r="AF26005" s="831" t="s">
        <v>11436</v>
      </c>
      <c r="AG26005" s="831" t="s">
        <v>2674</v>
      </c>
      <c r="AH26005" s="831" t="s">
        <v>550</v>
      </c>
      <c r="AI26005" s="831">
        <v>0</v>
      </c>
      <c r="AJ26005" s="835">
        <v>41759</v>
      </c>
      <c r="AK26005" s="831">
        <v>124206790</v>
      </c>
    </row>
    <row r="26006" spans="32:37">
      <c r="AF26006" s="831" t="s">
        <v>11437</v>
      </c>
      <c r="AG26006" s="831" t="s">
        <v>2674</v>
      </c>
      <c r="AH26006" s="831" t="s">
        <v>562</v>
      </c>
      <c r="AI26006" s="831">
        <v>0</v>
      </c>
      <c r="AJ26006" s="835">
        <v>41759</v>
      </c>
      <c r="AK26006" s="831">
        <v>0.78374999999999995</v>
      </c>
    </row>
    <row r="26007" spans="32:37">
      <c r="AF26007" s="831" t="s">
        <v>11438</v>
      </c>
      <c r="AG26007" s="831" t="s">
        <v>2674</v>
      </c>
      <c r="AH26007" s="831" t="s">
        <v>2698</v>
      </c>
      <c r="AI26007" s="831">
        <v>0</v>
      </c>
      <c r="AJ26007" s="835">
        <v>41759</v>
      </c>
      <c r="AK26007" s="831">
        <v>0.78374999999999995</v>
      </c>
    </row>
    <row r="26008" spans="32:37">
      <c r="AF26008" s="831" t="s">
        <v>11439</v>
      </c>
      <c r="AG26008" s="831" t="s">
        <v>2674</v>
      </c>
      <c r="AH26008" s="831" t="s">
        <v>560</v>
      </c>
      <c r="AI26008" s="831">
        <v>0</v>
      </c>
      <c r="AJ26008" s="835">
        <v>41759</v>
      </c>
      <c r="AK26008" s="831">
        <v>0.78374999999999995</v>
      </c>
    </row>
    <row r="26009" spans="32:37">
      <c r="AF26009" s="831" t="s">
        <v>11440</v>
      </c>
      <c r="AG26009" s="831" t="s">
        <v>2674</v>
      </c>
      <c r="AH26009" s="831" t="s">
        <v>559</v>
      </c>
      <c r="AI26009" s="831">
        <v>0</v>
      </c>
      <c r="AJ26009" s="835">
        <v>41759</v>
      </c>
      <c r="AK26009" s="831">
        <v>0.78380833333333344</v>
      </c>
    </row>
    <row r="26010" spans="32:37">
      <c r="AF26010" s="831" t="s">
        <v>11441</v>
      </c>
      <c r="AG26010" s="831" t="s">
        <v>2674</v>
      </c>
      <c r="AH26010" s="831" t="s">
        <v>568</v>
      </c>
      <c r="AI26010" s="831">
        <v>0</v>
      </c>
      <c r="AJ26010" s="835">
        <v>41759</v>
      </c>
      <c r="AK26010" s="831">
        <v>584407506.61153841</v>
      </c>
    </row>
    <row r="26011" spans="32:37">
      <c r="AF26011" s="831" t="s">
        <v>11442</v>
      </c>
      <c r="AG26011" s="831" t="s">
        <v>2674</v>
      </c>
      <c r="AH26011" s="831" t="s">
        <v>569</v>
      </c>
      <c r="AI26011" s="831">
        <v>0</v>
      </c>
      <c r="AJ26011" s="835">
        <v>41759</v>
      </c>
      <c r="AK26011" s="831">
        <v>716419184.74253845</v>
      </c>
    </row>
    <row r="26012" spans="32:37">
      <c r="AF26012" s="831" t="s">
        <v>11443</v>
      </c>
      <c r="AG26012" s="831" t="s">
        <v>2674</v>
      </c>
      <c r="AH26012" s="831" t="s">
        <v>570</v>
      </c>
      <c r="AI26012" s="831">
        <v>0</v>
      </c>
      <c r="AJ26012" s="835">
        <v>41759</v>
      </c>
      <c r="AK26012" s="831">
        <v>115811919.75123075</v>
      </c>
    </row>
    <row r="26013" spans="32:37">
      <c r="AF26013" s="831" t="s">
        <v>11444</v>
      </c>
      <c r="AG26013" s="831" t="s">
        <v>2674</v>
      </c>
      <c r="AH26013" s="831" t="s">
        <v>571</v>
      </c>
      <c r="AI26013" s="831">
        <v>0</v>
      </c>
      <c r="AJ26013" s="835">
        <v>41759</v>
      </c>
      <c r="AK26013" s="831">
        <v>346424029.66715389</v>
      </c>
    </row>
    <row r="26014" spans="32:37">
      <c r="AF26014" s="831" t="s">
        <v>11445</v>
      </c>
      <c r="AG26014" s="831" t="s">
        <v>2674</v>
      </c>
      <c r="AH26014" s="831" t="s">
        <v>573</v>
      </c>
      <c r="AI26014" s="831">
        <v>0</v>
      </c>
      <c r="AJ26014" s="835">
        <v>41759</v>
      </c>
      <c r="AK26014" s="831">
        <v>806845862.3125999</v>
      </c>
    </row>
    <row r="26015" spans="32:37">
      <c r="AF26015" s="831" t="s">
        <v>11446</v>
      </c>
      <c r="AG26015" s="831" t="s">
        <v>2674</v>
      </c>
      <c r="AH26015" s="831" t="s">
        <v>574</v>
      </c>
      <c r="AI26015" s="831">
        <v>0</v>
      </c>
      <c r="AJ26015" s="835">
        <v>41759</v>
      </c>
      <c r="AK26015" s="831">
        <v>655215203.79999995</v>
      </c>
    </row>
    <row r="26016" spans="32:37">
      <c r="AF26016" s="831" t="s">
        <v>11447</v>
      </c>
      <c r="AG26016" s="831" t="s">
        <v>2674</v>
      </c>
      <c r="AH26016" s="831" t="s">
        <v>575</v>
      </c>
      <c r="AI26016" s="831">
        <v>0</v>
      </c>
      <c r="AJ26016" s="835">
        <v>41759</v>
      </c>
      <c r="AK26016" s="831">
        <v>120634686.182</v>
      </c>
    </row>
    <row r="26017" spans="32:37">
      <c r="AF26017" s="831" t="s">
        <v>11448</v>
      </c>
      <c r="AG26017" s="831" t="s">
        <v>2674</v>
      </c>
      <c r="AH26017" s="831" t="s">
        <v>576</v>
      </c>
      <c r="AI26017" s="831">
        <v>0</v>
      </c>
      <c r="AJ26017" s="835">
        <v>41759</v>
      </c>
      <c r="AK26017" s="831">
        <v>395052602.12220001</v>
      </c>
    </row>
    <row r="26018" spans="32:37">
      <c r="AF26018" s="831" t="s">
        <v>11449</v>
      </c>
      <c r="AG26018" s="831" t="s">
        <v>2674</v>
      </c>
      <c r="AH26018" s="831" t="s">
        <v>572</v>
      </c>
      <c r="AI26018" s="831">
        <v>0</v>
      </c>
      <c r="AJ26018" s="835">
        <v>41759</v>
      </c>
      <c r="AK26018" s="831">
        <v>30512730.956000008</v>
      </c>
    </row>
    <row r="26019" spans="32:37">
      <c r="AF26019" s="831" t="s">
        <v>11450</v>
      </c>
      <c r="AG26019" s="831" t="s">
        <v>2674</v>
      </c>
      <c r="AH26019" s="831" t="s">
        <v>577</v>
      </c>
      <c r="AI26019" s="831">
        <v>0</v>
      </c>
      <c r="AJ26019" s="835">
        <v>41759</v>
      </c>
      <c r="AK26019" s="831">
        <v>146415910.76300001</v>
      </c>
    </row>
    <row r="26020" spans="32:37">
      <c r="AF26020" s="831" t="s">
        <v>11451</v>
      </c>
      <c r="AG26020" s="831" t="s">
        <v>2674</v>
      </c>
      <c r="AH26020" s="831" t="s">
        <v>3042</v>
      </c>
      <c r="AI26020" s="831">
        <v>0</v>
      </c>
      <c r="AJ26020" s="835">
        <v>41759</v>
      </c>
      <c r="AK26020" s="831">
        <v>-40083828.527000003</v>
      </c>
    </row>
    <row r="26021" spans="32:37">
      <c r="AF26021" s="831" t="s">
        <v>11452</v>
      </c>
      <c r="AG26021" s="831" t="s">
        <v>2674</v>
      </c>
      <c r="AH26021" s="831" t="s">
        <v>3044</v>
      </c>
      <c r="AI26021" s="831">
        <v>0</v>
      </c>
      <c r="AJ26021" s="835">
        <v>41759</v>
      </c>
      <c r="AK26021" s="831">
        <v>-3325177.8899999997</v>
      </c>
    </row>
    <row r="26022" spans="32:37">
      <c r="AF26022" s="831" t="s">
        <v>11453</v>
      </c>
      <c r="AG26022" s="831" t="s">
        <v>2674</v>
      </c>
      <c r="AH26022" s="831" t="s">
        <v>580</v>
      </c>
      <c r="AI26022" s="831">
        <v>0</v>
      </c>
      <c r="AJ26022" s="835">
        <v>41759</v>
      </c>
      <c r="AK26022" s="831">
        <v>-68772047.306999996</v>
      </c>
    </row>
    <row r="26023" spans="32:37">
      <c r="AF26023" s="831" t="s">
        <v>11454</v>
      </c>
      <c r="AG26023" s="831" t="s">
        <v>2674</v>
      </c>
      <c r="AH26023" s="831" t="s">
        <v>581</v>
      </c>
      <c r="AI26023" s="831">
        <v>0</v>
      </c>
      <c r="AJ26023" s="835">
        <v>41759</v>
      </c>
      <c r="AK26023" s="831">
        <v>5605173.8940000003</v>
      </c>
    </row>
    <row r="26024" spans="32:37">
      <c r="AF26024" s="831" t="s">
        <v>11455</v>
      </c>
      <c r="AG26024" s="831" t="s">
        <v>2674</v>
      </c>
      <c r="AH26024" s="831" t="s">
        <v>105</v>
      </c>
      <c r="AI26024" s="831">
        <v>0</v>
      </c>
      <c r="AJ26024" s="835">
        <v>41759</v>
      </c>
      <c r="AK26024" s="831">
        <v>408959601</v>
      </c>
    </row>
    <row r="26025" spans="32:37">
      <c r="AF26025" s="831" t="s">
        <v>11456</v>
      </c>
      <c r="AG26025" s="831" t="s">
        <v>2674</v>
      </c>
      <c r="AH26025" s="831" t="s">
        <v>3049</v>
      </c>
      <c r="AI26025" s="831">
        <v>0</v>
      </c>
      <c r="AJ26025" s="835">
        <v>41759</v>
      </c>
      <c r="AK26025" s="831">
        <v>692167557</v>
      </c>
    </row>
    <row r="26026" spans="32:37">
      <c r="AF26026" s="831" t="s">
        <v>11457</v>
      </c>
      <c r="AG26026" s="831" t="s">
        <v>2674</v>
      </c>
      <c r="AH26026" s="831" t="s">
        <v>103</v>
      </c>
      <c r="AI26026" s="831">
        <v>0</v>
      </c>
      <c r="AJ26026" s="835">
        <v>41759</v>
      </c>
      <c r="AK26026" s="831">
        <v>283207956</v>
      </c>
    </row>
    <row r="26027" spans="32:37">
      <c r="AF26027" s="831" t="s">
        <v>11458</v>
      </c>
      <c r="AG26027" s="831" t="s">
        <v>2674</v>
      </c>
      <c r="AH26027" s="831" t="s">
        <v>182</v>
      </c>
      <c r="AI26027" s="831">
        <v>0</v>
      </c>
      <c r="AJ26027" s="835">
        <v>41759</v>
      </c>
      <c r="AK26027" s="831">
        <v>69513741</v>
      </c>
    </row>
    <row r="26028" spans="32:37">
      <c r="AF26028" s="831" t="s">
        <v>11459</v>
      </c>
      <c r="AG26028" s="831" t="s">
        <v>2674</v>
      </c>
      <c r="AH26028" s="831" t="s">
        <v>6600</v>
      </c>
      <c r="AI26028" s="831">
        <v>0</v>
      </c>
      <c r="AJ26028" s="835">
        <v>41759</v>
      </c>
      <c r="AK26028" s="831">
        <v>30512730.956000008</v>
      </c>
    </row>
    <row r="26029" spans="32:37">
      <c r="AF26029" s="831" t="s">
        <v>11460</v>
      </c>
      <c r="AG26029" s="831" t="s">
        <v>2674</v>
      </c>
      <c r="AH26029" s="831" t="s">
        <v>6602</v>
      </c>
      <c r="AI26029" s="831">
        <v>0</v>
      </c>
      <c r="AJ26029" s="835">
        <v>41759</v>
      </c>
      <c r="AK26029" s="831">
        <v>11900832</v>
      </c>
    </row>
    <row r="26030" spans="32:37">
      <c r="AF26030" s="831" t="s">
        <v>11461</v>
      </c>
      <c r="AG26030" s="831" t="s">
        <v>2674</v>
      </c>
      <c r="AH26030" s="831" t="s">
        <v>650</v>
      </c>
      <c r="AI26030" s="831">
        <v>0</v>
      </c>
      <c r="AJ26030" s="835">
        <v>41759</v>
      </c>
      <c r="AK26030" s="831">
        <v>234971386.50146157</v>
      </c>
    </row>
    <row r="26031" spans="32:37">
      <c r="AF26031" s="831" t="s">
        <v>11462</v>
      </c>
      <c r="AG26031" s="831" t="s">
        <v>2674</v>
      </c>
      <c r="AH26031" s="831" t="s">
        <v>655</v>
      </c>
      <c r="AI26031" s="831">
        <v>0</v>
      </c>
      <c r="AJ26031" s="835">
        <v>41759</v>
      </c>
      <c r="AK26031" s="831">
        <v>1842214</v>
      </c>
    </row>
    <row r="26032" spans="32:37">
      <c r="AF26032" s="831" t="s">
        <v>11463</v>
      </c>
      <c r="AG26032" s="831" t="s">
        <v>2674</v>
      </c>
      <c r="AH26032" s="831" t="s">
        <v>546</v>
      </c>
      <c r="AI26032" s="831">
        <v>0</v>
      </c>
      <c r="AJ26032" s="835">
        <v>41790</v>
      </c>
      <c r="AK26032" s="831">
        <v>718268239</v>
      </c>
    </row>
    <row r="26033" spans="32:37">
      <c r="AF26033" s="831" t="s">
        <v>11464</v>
      </c>
      <c r="AG26033" s="831" t="s">
        <v>2674</v>
      </c>
      <c r="AH26033" s="831" t="s">
        <v>370</v>
      </c>
      <c r="AI26033" s="831">
        <v>0</v>
      </c>
      <c r="AJ26033" s="835">
        <v>41790</v>
      </c>
      <c r="AK26033" s="831">
        <v>862492850</v>
      </c>
    </row>
    <row r="26034" spans="32:37">
      <c r="AF26034" s="831" t="s">
        <v>11465</v>
      </c>
      <c r="AG26034" s="831" t="s">
        <v>2674</v>
      </c>
      <c r="AH26034" s="831" t="s">
        <v>126</v>
      </c>
      <c r="AI26034" s="831">
        <v>0</v>
      </c>
      <c r="AJ26034" s="835">
        <v>41790</v>
      </c>
      <c r="AK26034" s="831">
        <v>131163748</v>
      </c>
    </row>
    <row r="26035" spans="32:37">
      <c r="AF26035" s="831" t="s">
        <v>11466</v>
      </c>
      <c r="AG26035" s="831" t="s">
        <v>2674</v>
      </c>
      <c r="AH26035" s="831" t="s">
        <v>268</v>
      </c>
      <c r="AI26035" s="831">
        <v>0</v>
      </c>
      <c r="AJ26035" s="835">
        <v>41790</v>
      </c>
      <c r="AK26035" s="831">
        <v>15708716</v>
      </c>
    </row>
    <row r="26036" spans="32:37">
      <c r="AF26036" s="831" t="s">
        <v>11467</v>
      </c>
      <c r="AG26036" s="831" t="s">
        <v>2674</v>
      </c>
      <c r="AH26036" s="831" t="s">
        <v>547</v>
      </c>
      <c r="AI26036" s="831">
        <v>0</v>
      </c>
      <c r="AJ26036" s="835">
        <v>41790</v>
      </c>
      <c r="AK26036" s="831">
        <v>777719977</v>
      </c>
    </row>
    <row r="26037" spans="32:37">
      <c r="AF26037" s="831" t="s">
        <v>11468</v>
      </c>
      <c r="AG26037" s="831" t="s">
        <v>2674</v>
      </c>
      <c r="AH26037" s="831" t="s">
        <v>548</v>
      </c>
      <c r="AI26037" s="831">
        <v>0</v>
      </c>
      <c r="AJ26037" s="835">
        <v>41790</v>
      </c>
      <c r="AK26037" s="831">
        <v>117105496</v>
      </c>
    </row>
    <row r="26038" spans="32:37">
      <c r="AF26038" s="831" t="s">
        <v>11469</v>
      </c>
      <c r="AG26038" s="831" t="s">
        <v>2674</v>
      </c>
      <c r="AH26038" s="831" t="s">
        <v>549</v>
      </c>
      <c r="AI26038" s="831">
        <v>0</v>
      </c>
      <c r="AJ26038" s="835">
        <v>41790</v>
      </c>
      <c r="AK26038" s="831">
        <v>505264542</v>
      </c>
    </row>
    <row r="26039" spans="32:37">
      <c r="AF26039" s="831" t="s">
        <v>11470</v>
      </c>
      <c r="AG26039" s="831" t="s">
        <v>2674</v>
      </c>
      <c r="AH26039" s="831" t="s">
        <v>192</v>
      </c>
      <c r="AI26039" s="831">
        <v>0</v>
      </c>
      <c r="AJ26039" s="835">
        <v>41790</v>
      </c>
      <c r="AK26039" s="831">
        <v>-13258185</v>
      </c>
    </row>
    <row r="26040" spans="32:37">
      <c r="AF26040" s="831" t="s">
        <v>11471</v>
      </c>
      <c r="AG26040" s="831" t="s">
        <v>2674</v>
      </c>
      <c r="AH26040" s="831" t="s">
        <v>558</v>
      </c>
      <c r="AI26040" s="831">
        <v>0</v>
      </c>
      <c r="AJ26040" s="835">
        <v>41790</v>
      </c>
      <c r="AK26040" s="831">
        <v>731329102</v>
      </c>
    </row>
    <row r="26041" spans="32:37">
      <c r="AF26041" s="831" t="s">
        <v>11472</v>
      </c>
      <c r="AG26041" s="831" t="s">
        <v>2674</v>
      </c>
      <c r="AH26041" s="831" t="s">
        <v>65</v>
      </c>
      <c r="AI26041" s="831">
        <v>0</v>
      </c>
      <c r="AJ26041" s="835">
        <v>41790</v>
      </c>
      <c r="AK26041" s="831">
        <v>66573989</v>
      </c>
    </row>
    <row r="26042" spans="32:37">
      <c r="AF26042" s="831" t="s">
        <v>11473</v>
      </c>
      <c r="AG26042" s="831" t="s">
        <v>2674</v>
      </c>
      <c r="AH26042" s="831" t="s">
        <v>89</v>
      </c>
      <c r="AI26042" s="831">
        <v>0</v>
      </c>
      <c r="AJ26042" s="835">
        <v>41790</v>
      </c>
      <c r="AK26042" s="831">
        <v>156336</v>
      </c>
    </row>
    <row r="26043" spans="32:37">
      <c r="AF26043" s="831" t="s">
        <v>11474</v>
      </c>
      <c r="AG26043" s="831" t="s">
        <v>2674</v>
      </c>
      <c r="AH26043" s="831" t="s">
        <v>557</v>
      </c>
      <c r="AI26043" s="831">
        <v>0</v>
      </c>
      <c r="AJ26043" s="835">
        <v>41790</v>
      </c>
      <c r="AK26043" s="831">
        <v>174602</v>
      </c>
    </row>
    <row r="26044" spans="32:37">
      <c r="AF26044" s="831" t="s">
        <v>11475</v>
      </c>
      <c r="AG26044" s="831" t="s">
        <v>2674</v>
      </c>
      <c r="AH26044" s="831" t="s">
        <v>29</v>
      </c>
      <c r="AI26044" s="831">
        <v>0</v>
      </c>
      <c r="AJ26044" s="835">
        <v>41790</v>
      </c>
      <c r="AK26044" s="831">
        <v>2450103.0319999997</v>
      </c>
    </row>
    <row r="26045" spans="32:37">
      <c r="AF26045" s="831" t="s">
        <v>11476</v>
      </c>
      <c r="AG26045" s="831" t="s">
        <v>2674</v>
      </c>
      <c r="AH26045" s="831" t="s">
        <v>2688</v>
      </c>
      <c r="AI26045" s="831">
        <v>0</v>
      </c>
      <c r="AJ26045" s="835">
        <v>41790</v>
      </c>
      <c r="AK26045" s="831">
        <v>4770534.2300000004</v>
      </c>
    </row>
    <row r="26046" spans="32:37">
      <c r="AF26046" s="831" t="s">
        <v>11477</v>
      </c>
      <c r="AG26046" s="831" t="s">
        <v>2674</v>
      </c>
      <c r="AH26046" s="831" t="s">
        <v>556</v>
      </c>
      <c r="AI26046" s="831">
        <v>0</v>
      </c>
      <c r="AJ26046" s="835">
        <v>41790</v>
      </c>
      <c r="AK26046" s="831">
        <v>1644732</v>
      </c>
    </row>
    <row r="26047" spans="32:37">
      <c r="AF26047" s="831" t="s">
        <v>11478</v>
      </c>
      <c r="AG26047" s="831" t="s">
        <v>2674</v>
      </c>
      <c r="AH26047" s="831" t="s">
        <v>555</v>
      </c>
      <c r="AI26047" s="831">
        <v>0</v>
      </c>
      <c r="AJ26047" s="835">
        <v>41790</v>
      </c>
      <c r="AK26047" s="831">
        <v>468159807</v>
      </c>
    </row>
    <row r="26048" spans="32:37">
      <c r="AF26048" s="831" t="s">
        <v>11479</v>
      </c>
      <c r="AG26048" s="831" t="s">
        <v>2674</v>
      </c>
      <c r="AH26048" s="831" t="s">
        <v>554</v>
      </c>
      <c r="AI26048" s="831">
        <v>0</v>
      </c>
      <c r="AJ26048" s="835">
        <v>41790</v>
      </c>
      <c r="AK26048" s="831">
        <v>476165900</v>
      </c>
    </row>
    <row r="26049" spans="32:37">
      <c r="AF26049" s="831" t="s">
        <v>11480</v>
      </c>
      <c r="AG26049" s="831" t="s">
        <v>2674</v>
      </c>
      <c r="AH26049" s="831" t="s">
        <v>553</v>
      </c>
      <c r="AI26049" s="831">
        <v>0</v>
      </c>
      <c r="AJ26049" s="835">
        <v>41790</v>
      </c>
      <c r="AK26049" s="831">
        <v>0</v>
      </c>
    </row>
    <row r="26050" spans="32:37">
      <c r="AF26050" s="831" t="s">
        <v>11481</v>
      </c>
      <c r="AG26050" s="831" t="s">
        <v>2674</v>
      </c>
      <c r="AH26050" s="831" t="s">
        <v>552</v>
      </c>
      <c r="AI26050" s="831">
        <v>0</v>
      </c>
      <c r="AJ26050" s="835">
        <v>41790</v>
      </c>
      <c r="AK26050" s="831">
        <v>0</v>
      </c>
    </row>
    <row r="26051" spans="32:37">
      <c r="AF26051" s="831" t="s">
        <v>11482</v>
      </c>
      <c r="AG26051" s="831" t="s">
        <v>2674</v>
      </c>
      <c r="AH26051" s="831" t="s">
        <v>551</v>
      </c>
      <c r="AI26051" s="831">
        <v>0</v>
      </c>
      <c r="AJ26051" s="835">
        <v>41790</v>
      </c>
      <c r="AK26051" s="831">
        <v>2150143.8450000002</v>
      </c>
    </row>
    <row r="26052" spans="32:37">
      <c r="AF26052" s="831" t="s">
        <v>11483</v>
      </c>
      <c r="AG26052" s="831" t="s">
        <v>2674</v>
      </c>
      <c r="AH26052" s="831" t="s">
        <v>550</v>
      </c>
      <c r="AI26052" s="831">
        <v>0</v>
      </c>
      <c r="AJ26052" s="835">
        <v>41790</v>
      </c>
      <c r="AK26052" s="831">
        <v>127155751</v>
      </c>
    </row>
    <row r="26053" spans="32:37">
      <c r="AF26053" s="831" t="s">
        <v>11484</v>
      </c>
      <c r="AG26053" s="831" t="s">
        <v>2674</v>
      </c>
      <c r="AH26053" s="831" t="s">
        <v>562</v>
      </c>
      <c r="AI26053" s="831">
        <v>0</v>
      </c>
      <c r="AJ26053" s="835">
        <v>41790</v>
      </c>
      <c r="AK26053" s="831">
        <v>0.78385000000000005</v>
      </c>
    </row>
    <row r="26054" spans="32:37">
      <c r="AF26054" s="831" t="s">
        <v>11485</v>
      </c>
      <c r="AG26054" s="831" t="s">
        <v>2674</v>
      </c>
      <c r="AH26054" s="831" t="s">
        <v>2698</v>
      </c>
      <c r="AI26054" s="831">
        <v>0</v>
      </c>
      <c r="AJ26054" s="835">
        <v>41790</v>
      </c>
      <c r="AK26054" s="831">
        <v>0.78374999999999995</v>
      </c>
    </row>
    <row r="26055" spans="32:37">
      <c r="AF26055" s="831" t="s">
        <v>11486</v>
      </c>
      <c r="AG26055" s="831" t="s">
        <v>2674</v>
      </c>
      <c r="AH26055" s="831" t="s">
        <v>560</v>
      </c>
      <c r="AI26055" s="831">
        <v>0</v>
      </c>
      <c r="AJ26055" s="835">
        <v>41790</v>
      </c>
      <c r="AK26055" s="831">
        <v>0.78376999999999997</v>
      </c>
    </row>
    <row r="26056" spans="32:37">
      <c r="AF26056" s="831" t="s">
        <v>11487</v>
      </c>
      <c r="AG26056" s="831" t="s">
        <v>2674</v>
      </c>
      <c r="AH26056" s="831" t="s">
        <v>559</v>
      </c>
      <c r="AI26056" s="831">
        <v>0</v>
      </c>
      <c r="AJ26056" s="835">
        <v>41790</v>
      </c>
      <c r="AK26056" s="831">
        <v>0.78379166666666666</v>
      </c>
    </row>
    <row r="26057" spans="32:37">
      <c r="AF26057" s="831" t="s">
        <v>11488</v>
      </c>
      <c r="AG26057" s="831" t="s">
        <v>2674</v>
      </c>
      <c r="AH26057" s="831" t="s">
        <v>568</v>
      </c>
      <c r="AI26057" s="831">
        <v>0</v>
      </c>
      <c r="AJ26057" s="835">
        <v>41790</v>
      </c>
      <c r="AK26057" s="831">
        <v>602753430.99615383</v>
      </c>
    </row>
    <row r="26058" spans="32:37">
      <c r="AF26058" s="831" t="s">
        <v>11489</v>
      </c>
      <c r="AG26058" s="831" t="s">
        <v>2674</v>
      </c>
      <c r="AH26058" s="831" t="s">
        <v>569</v>
      </c>
      <c r="AI26058" s="831">
        <v>0</v>
      </c>
      <c r="AJ26058" s="835">
        <v>41790</v>
      </c>
      <c r="AK26058" s="831">
        <v>739200989.8963846</v>
      </c>
    </row>
    <row r="26059" spans="32:37">
      <c r="AF26059" s="831" t="s">
        <v>11490</v>
      </c>
      <c r="AG26059" s="831" t="s">
        <v>2674</v>
      </c>
      <c r="AH26059" s="831" t="s">
        <v>570</v>
      </c>
      <c r="AI26059" s="831">
        <v>0</v>
      </c>
      <c r="AJ26059" s="835">
        <v>41790</v>
      </c>
      <c r="AK26059" s="831">
        <v>117953141.44353844</v>
      </c>
    </row>
    <row r="26060" spans="32:37">
      <c r="AF26060" s="831" t="s">
        <v>11491</v>
      </c>
      <c r="AG26060" s="831" t="s">
        <v>2674</v>
      </c>
      <c r="AH26060" s="831" t="s">
        <v>571</v>
      </c>
      <c r="AI26060" s="831">
        <v>0</v>
      </c>
      <c r="AJ26060" s="835">
        <v>41790</v>
      </c>
      <c r="AK26060" s="831">
        <v>358988619.82100004</v>
      </c>
    </row>
    <row r="26061" spans="32:37">
      <c r="AF26061" s="831" t="s">
        <v>11492</v>
      </c>
      <c r="AG26061" s="831" t="s">
        <v>2674</v>
      </c>
      <c r="AH26061" s="831" t="s">
        <v>573</v>
      </c>
      <c r="AI26061" s="831">
        <v>0</v>
      </c>
      <c r="AJ26061" s="835">
        <v>41790</v>
      </c>
      <c r="AK26061" s="831">
        <v>816120360.26049995</v>
      </c>
    </row>
    <row r="26062" spans="32:37">
      <c r="AF26062" s="831" t="s">
        <v>11493</v>
      </c>
      <c r="AG26062" s="831" t="s">
        <v>2674</v>
      </c>
      <c r="AH26062" s="831" t="s">
        <v>574</v>
      </c>
      <c r="AI26062" s="831">
        <v>0</v>
      </c>
      <c r="AJ26062" s="835">
        <v>41790</v>
      </c>
      <c r="AK26062" s="831">
        <v>665724043</v>
      </c>
    </row>
    <row r="26063" spans="32:37">
      <c r="AF26063" s="831" t="s">
        <v>11494</v>
      </c>
      <c r="AG26063" s="831" t="s">
        <v>2674</v>
      </c>
      <c r="AH26063" s="831" t="s">
        <v>575</v>
      </c>
      <c r="AI26063" s="831">
        <v>0</v>
      </c>
      <c r="AJ26063" s="835">
        <v>41790</v>
      </c>
      <c r="AK26063" s="831">
        <v>122389529.81833333</v>
      </c>
    </row>
    <row r="26064" spans="32:37">
      <c r="AF26064" s="831" t="s">
        <v>11495</v>
      </c>
      <c r="AG26064" s="831" t="s">
        <v>2674</v>
      </c>
      <c r="AH26064" s="831" t="s">
        <v>576</v>
      </c>
      <c r="AI26064" s="831">
        <v>0</v>
      </c>
      <c r="AJ26064" s="835">
        <v>41790</v>
      </c>
      <c r="AK26064" s="831">
        <v>399225453.60183334</v>
      </c>
    </row>
    <row r="26065" spans="32:37">
      <c r="AF26065" s="831" t="s">
        <v>11496</v>
      </c>
      <c r="AG26065" s="831" t="s">
        <v>2674</v>
      </c>
      <c r="AH26065" s="831" t="s">
        <v>572</v>
      </c>
      <c r="AI26065" s="831">
        <v>0</v>
      </c>
      <c r="AJ26065" s="835">
        <v>41790</v>
      </c>
      <c r="AK26065" s="831">
        <v>31997124.956000008</v>
      </c>
    </row>
    <row r="26066" spans="32:37">
      <c r="AF26066" s="831" t="s">
        <v>11497</v>
      </c>
      <c r="AG26066" s="831" t="s">
        <v>2674</v>
      </c>
      <c r="AH26066" s="831" t="s">
        <v>577</v>
      </c>
      <c r="AI26066" s="831">
        <v>0</v>
      </c>
      <c r="AJ26066" s="835">
        <v>41790</v>
      </c>
      <c r="AK26066" s="831">
        <v>149793646.76300001</v>
      </c>
    </row>
    <row r="26067" spans="32:37">
      <c r="AF26067" s="831" t="s">
        <v>11498</v>
      </c>
      <c r="AG26067" s="831" t="s">
        <v>2674</v>
      </c>
      <c r="AH26067" s="831" t="s">
        <v>3042</v>
      </c>
      <c r="AI26067" s="831">
        <v>0</v>
      </c>
      <c r="AJ26067" s="835">
        <v>41790</v>
      </c>
      <c r="AK26067" s="831">
        <v>-41488938.527000003</v>
      </c>
    </row>
    <row r="26068" spans="32:37">
      <c r="AF26068" s="831" t="s">
        <v>11499</v>
      </c>
      <c r="AG26068" s="831" t="s">
        <v>2674</v>
      </c>
      <c r="AH26068" s="831" t="s">
        <v>3044</v>
      </c>
      <c r="AI26068" s="831">
        <v>0</v>
      </c>
      <c r="AJ26068" s="835">
        <v>41790</v>
      </c>
      <c r="AK26068" s="831">
        <v>-2734199.8899999997</v>
      </c>
    </row>
    <row r="26069" spans="32:37">
      <c r="AF26069" s="831" t="s">
        <v>11500</v>
      </c>
      <c r="AG26069" s="831" t="s">
        <v>2674</v>
      </c>
      <c r="AH26069" s="831" t="s">
        <v>580</v>
      </c>
      <c r="AI26069" s="831">
        <v>0</v>
      </c>
      <c r="AJ26069" s="835">
        <v>41790</v>
      </c>
      <c r="AK26069" s="831">
        <v>-69707657.306999996</v>
      </c>
    </row>
    <row r="26070" spans="32:37">
      <c r="AF26070" s="831" t="s">
        <v>11501</v>
      </c>
      <c r="AG26070" s="831" t="s">
        <v>2674</v>
      </c>
      <c r="AH26070" s="831" t="s">
        <v>581</v>
      </c>
      <c r="AI26070" s="831">
        <v>0</v>
      </c>
      <c r="AJ26070" s="835">
        <v>41790</v>
      </c>
      <c r="AK26070" s="831">
        <v>5958727.8940000003</v>
      </c>
    </row>
    <row r="26071" spans="32:37">
      <c r="AF26071" s="831" t="s">
        <v>11502</v>
      </c>
      <c r="AG26071" s="831" t="s">
        <v>2674</v>
      </c>
      <c r="AH26071" s="831" t="s">
        <v>105</v>
      </c>
      <c r="AI26071" s="831">
        <v>0</v>
      </c>
      <c r="AJ26071" s="835">
        <v>41790</v>
      </c>
      <c r="AK26071" s="831">
        <v>420089711</v>
      </c>
    </row>
    <row r="26072" spans="32:37">
      <c r="AF26072" s="831" t="s">
        <v>11503</v>
      </c>
      <c r="AG26072" s="831" t="s">
        <v>2674</v>
      </c>
      <c r="AH26072" s="831" t="s">
        <v>3049</v>
      </c>
      <c r="AI26072" s="831">
        <v>0</v>
      </c>
      <c r="AJ26072" s="835">
        <v>41790</v>
      </c>
      <c r="AK26072" s="831">
        <v>709561626</v>
      </c>
    </row>
    <row r="26073" spans="32:37">
      <c r="AF26073" s="831" t="s">
        <v>11504</v>
      </c>
      <c r="AG26073" s="831" t="s">
        <v>2674</v>
      </c>
      <c r="AH26073" s="831" t="s">
        <v>103</v>
      </c>
      <c r="AI26073" s="831">
        <v>0</v>
      </c>
      <c r="AJ26073" s="835">
        <v>41790</v>
      </c>
      <c r="AK26073" s="831">
        <v>289471915</v>
      </c>
    </row>
    <row r="26074" spans="32:37">
      <c r="AF26074" s="831" t="s">
        <v>11505</v>
      </c>
      <c r="AG26074" s="831" t="s">
        <v>2674</v>
      </c>
      <c r="AH26074" s="831" t="s">
        <v>182</v>
      </c>
      <c r="AI26074" s="831">
        <v>0</v>
      </c>
      <c r="AJ26074" s="835">
        <v>41790</v>
      </c>
      <c r="AK26074" s="831">
        <v>69984388.799999997</v>
      </c>
    </row>
    <row r="26075" spans="32:37">
      <c r="AF26075" s="831" t="s">
        <v>11506</v>
      </c>
      <c r="AG26075" s="831" t="s">
        <v>2674</v>
      </c>
      <c r="AH26075" s="831" t="s">
        <v>6600</v>
      </c>
      <c r="AI26075" s="831">
        <v>0</v>
      </c>
      <c r="AJ26075" s="835">
        <v>41790</v>
      </c>
      <c r="AK26075" s="831">
        <v>31997124.956000008</v>
      </c>
    </row>
    <row r="26076" spans="32:37">
      <c r="AF26076" s="831" t="s">
        <v>11507</v>
      </c>
      <c r="AG26076" s="831" t="s">
        <v>2674</v>
      </c>
      <c r="AH26076" s="831" t="s">
        <v>6602</v>
      </c>
      <c r="AI26076" s="831">
        <v>0</v>
      </c>
      <c r="AJ26076" s="835">
        <v>41790</v>
      </c>
      <c r="AK26076" s="831">
        <v>15708716</v>
      </c>
    </row>
    <row r="26077" spans="32:37">
      <c r="AF26077" s="831" t="s">
        <v>11508</v>
      </c>
      <c r="AG26077" s="831" t="s">
        <v>2674</v>
      </c>
      <c r="AH26077" s="831" t="s">
        <v>650</v>
      </c>
      <c r="AI26077" s="831">
        <v>0</v>
      </c>
      <c r="AJ26077" s="835">
        <v>41790</v>
      </c>
      <c r="AK26077" s="831">
        <v>242496217.73223078</v>
      </c>
    </row>
    <row r="26078" spans="32:37">
      <c r="AF26078" s="831" t="s">
        <v>11509</v>
      </c>
      <c r="AG26078" s="831" t="s">
        <v>2674</v>
      </c>
      <c r="AH26078" s="831" t="s">
        <v>655</v>
      </c>
      <c r="AI26078" s="831">
        <v>0</v>
      </c>
      <c r="AJ26078" s="835">
        <v>41790</v>
      </c>
      <c r="AK26078" s="831">
        <v>1936751.44</v>
      </c>
    </row>
    <row r="26079" spans="32:37">
      <c r="AF26079" s="831" t="s">
        <v>11510</v>
      </c>
      <c r="AG26079" s="831" t="s">
        <v>2674</v>
      </c>
      <c r="AH26079" s="831" t="s">
        <v>546</v>
      </c>
      <c r="AI26079" s="831">
        <v>0</v>
      </c>
      <c r="AJ26079" s="835">
        <v>41820</v>
      </c>
      <c r="AK26079" s="831">
        <v>728057591</v>
      </c>
    </row>
    <row r="26080" spans="32:37">
      <c r="AF26080" s="831" t="s">
        <v>11511</v>
      </c>
      <c r="AG26080" s="831" t="s">
        <v>2674</v>
      </c>
      <c r="AH26080" s="831" t="s">
        <v>370</v>
      </c>
      <c r="AI26080" s="831">
        <v>0</v>
      </c>
      <c r="AJ26080" s="835">
        <v>41820</v>
      </c>
      <c r="AK26080" s="831">
        <v>911200946</v>
      </c>
    </row>
    <row r="26081" spans="32:37">
      <c r="AF26081" s="831" t="s">
        <v>11512</v>
      </c>
      <c r="AG26081" s="831" t="s">
        <v>2674</v>
      </c>
      <c r="AH26081" s="831" t="s">
        <v>126</v>
      </c>
      <c r="AI26081" s="831">
        <v>0</v>
      </c>
      <c r="AJ26081" s="835">
        <v>41820</v>
      </c>
      <c r="AK26081" s="831">
        <v>135362821</v>
      </c>
    </row>
    <row r="26082" spans="32:37">
      <c r="AF26082" s="831" t="s">
        <v>11513</v>
      </c>
      <c r="AG26082" s="831" t="s">
        <v>2674</v>
      </c>
      <c r="AH26082" s="831" t="s">
        <v>268</v>
      </c>
      <c r="AI26082" s="831">
        <v>0</v>
      </c>
      <c r="AJ26082" s="835">
        <v>41820</v>
      </c>
      <c r="AK26082" s="831">
        <v>18626919</v>
      </c>
    </row>
    <row r="26083" spans="32:37">
      <c r="AF26083" s="831" t="s">
        <v>11514</v>
      </c>
      <c r="AG26083" s="831" t="s">
        <v>2674</v>
      </c>
      <c r="AH26083" s="831" t="s">
        <v>547</v>
      </c>
      <c r="AI26083" s="831">
        <v>0</v>
      </c>
      <c r="AJ26083" s="835">
        <v>41820</v>
      </c>
      <c r="AK26083" s="831">
        <v>777719977</v>
      </c>
    </row>
    <row r="26084" spans="32:37">
      <c r="AF26084" s="831" t="s">
        <v>11515</v>
      </c>
      <c r="AG26084" s="831" t="s">
        <v>2674</v>
      </c>
      <c r="AH26084" s="831" t="s">
        <v>548</v>
      </c>
      <c r="AI26084" s="831">
        <v>0</v>
      </c>
      <c r="AJ26084" s="835">
        <v>41820</v>
      </c>
      <c r="AK26084" s="831">
        <v>117105496</v>
      </c>
    </row>
    <row r="26085" spans="32:37">
      <c r="AF26085" s="831" t="s">
        <v>11516</v>
      </c>
      <c r="AG26085" s="831" t="s">
        <v>2674</v>
      </c>
      <c r="AH26085" s="831" t="s">
        <v>549</v>
      </c>
      <c r="AI26085" s="831">
        <v>0</v>
      </c>
      <c r="AJ26085" s="835">
        <v>41820</v>
      </c>
      <c r="AK26085" s="831">
        <v>514798833</v>
      </c>
    </row>
    <row r="26086" spans="32:37">
      <c r="AF26086" s="831" t="s">
        <v>11517</v>
      </c>
      <c r="AG26086" s="831" t="s">
        <v>2674</v>
      </c>
      <c r="AH26086" s="831" t="s">
        <v>192</v>
      </c>
      <c r="AI26086" s="831">
        <v>0</v>
      </c>
      <c r="AJ26086" s="835">
        <v>41820</v>
      </c>
      <c r="AK26086" s="831">
        <v>-11632261</v>
      </c>
    </row>
    <row r="26087" spans="32:37">
      <c r="AF26087" s="831" t="s">
        <v>11518</v>
      </c>
      <c r="AG26087" s="831" t="s">
        <v>2674</v>
      </c>
      <c r="AH26087" s="831" t="s">
        <v>558</v>
      </c>
      <c r="AI26087" s="831">
        <v>0</v>
      </c>
      <c r="AJ26087" s="835">
        <v>41820</v>
      </c>
      <c r="AK26087" s="831">
        <v>775838125</v>
      </c>
    </row>
    <row r="26088" spans="32:37">
      <c r="AF26088" s="831" t="s">
        <v>11519</v>
      </c>
      <c r="AG26088" s="831" t="s">
        <v>2674</v>
      </c>
      <c r="AH26088" s="831" t="s">
        <v>65</v>
      </c>
      <c r="AI26088" s="831">
        <v>0</v>
      </c>
      <c r="AJ26088" s="835">
        <v>41820</v>
      </c>
      <c r="AK26088" s="831">
        <v>81270371</v>
      </c>
    </row>
    <row r="26089" spans="32:37">
      <c r="AF26089" s="831" t="s">
        <v>11520</v>
      </c>
      <c r="AG26089" s="831" t="s">
        <v>2674</v>
      </c>
      <c r="AH26089" s="831" t="s">
        <v>89</v>
      </c>
      <c r="AI26089" s="831">
        <v>0</v>
      </c>
      <c r="AJ26089" s="835">
        <v>41820</v>
      </c>
      <c r="AK26089" s="831">
        <v>156581</v>
      </c>
    </row>
    <row r="26090" spans="32:37">
      <c r="AF26090" s="831" t="s">
        <v>11521</v>
      </c>
      <c r="AG26090" s="831" t="s">
        <v>2674</v>
      </c>
      <c r="AH26090" s="831" t="s">
        <v>557</v>
      </c>
      <c r="AI26090" s="831">
        <v>0</v>
      </c>
      <c r="AJ26090" s="835">
        <v>41820</v>
      </c>
      <c r="AK26090" s="831">
        <v>175816</v>
      </c>
    </row>
    <row r="26091" spans="32:37">
      <c r="AF26091" s="831" t="s">
        <v>11522</v>
      </c>
      <c r="AG26091" s="831" t="s">
        <v>2674</v>
      </c>
      <c r="AH26091" s="831" t="s">
        <v>29</v>
      </c>
      <c r="AI26091" s="831">
        <v>0</v>
      </c>
      <c r="AJ26091" s="835">
        <v>41820</v>
      </c>
      <c r="AK26091" s="831">
        <v>1326248.81</v>
      </c>
    </row>
    <row r="26092" spans="32:37">
      <c r="AF26092" s="831" t="s">
        <v>11523</v>
      </c>
      <c r="AG26092" s="831" t="s">
        <v>2674</v>
      </c>
      <c r="AH26092" s="831" t="s">
        <v>2688</v>
      </c>
      <c r="AI26092" s="831">
        <v>0</v>
      </c>
      <c r="AJ26092" s="835">
        <v>41820</v>
      </c>
      <c r="AK26092" s="831">
        <v>4329800.9399999995</v>
      </c>
    </row>
    <row r="26093" spans="32:37">
      <c r="AF26093" s="831" t="s">
        <v>11524</v>
      </c>
      <c r="AG26093" s="831" t="s">
        <v>2674</v>
      </c>
      <c r="AH26093" s="831" t="s">
        <v>556</v>
      </c>
      <c r="AI26093" s="831">
        <v>0</v>
      </c>
      <c r="AJ26093" s="835">
        <v>41820</v>
      </c>
      <c r="AK26093" s="831">
        <v>3274918</v>
      </c>
    </row>
    <row r="26094" spans="32:37">
      <c r="AF26094" s="831" t="s">
        <v>11525</v>
      </c>
      <c r="AG26094" s="831" t="s">
        <v>2674</v>
      </c>
      <c r="AH26094" s="831" t="s">
        <v>555</v>
      </c>
      <c r="AI26094" s="831">
        <v>0</v>
      </c>
      <c r="AJ26094" s="835">
        <v>41820</v>
      </c>
      <c r="AK26094" s="831">
        <v>507133542</v>
      </c>
    </row>
    <row r="26095" spans="32:37">
      <c r="AF26095" s="831" t="s">
        <v>11526</v>
      </c>
      <c r="AG26095" s="831" t="s">
        <v>2674</v>
      </c>
      <c r="AH26095" s="831" t="s">
        <v>554</v>
      </c>
      <c r="AI26095" s="831">
        <v>0</v>
      </c>
      <c r="AJ26095" s="835">
        <v>41820</v>
      </c>
      <c r="AK26095" s="831">
        <v>519019570</v>
      </c>
    </row>
    <row r="26096" spans="32:37">
      <c r="AF26096" s="831" t="s">
        <v>11527</v>
      </c>
      <c r="AG26096" s="831" t="s">
        <v>2674</v>
      </c>
      <c r="AH26096" s="831" t="s">
        <v>553</v>
      </c>
      <c r="AI26096" s="831">
        <v>0</v>
      </c>
      <c r="AJ26096" s="835">
        <v>41820</v>
      </c>
      <c r="AK26096" s="831">
        <v>0</v>
      </c>
    </row>
    <row r="26097" spans="32:37">
      <c r="AF26097" s="831" t="s">
        <v>11528</v>
      </c>
      <c r="AG26097" s="831" t="s">
        <v>2674</v>
      </c>
      <c r="AH26097" s="831" t="s">
        <v>552</v>
      </c>
      <c r="AI26097" s="831">
        <v>0</v>
      </c>
      <c r="AJ26097" s="835">
        <v>41820</v>
      </c>
      <c r="AK26097" s="831">
        <v>0</v>
      </c>
    </row>
    <row r="26098" spans="32:37">
      <c r="AF26098" s="831" t="s">
        <v>11529</v>
      </c>
      <c r="AG26098" s="831" t="s">
        <v>2674</v>
      </c>
      <c r="AH26098" s="831" t="s">
        <v>551</v>
      </c>
      <c r="AI26098" s="831">
        <v>0</v>
      </c>
      <c r="AJ26098" s="835">
        <v>41820</v>
      </c>
      <c r="AK26098" s="831">
        <v>950588.81</v>
      </c>
    </row>
    <row r="26099" spans="32:37">
      <c r="AF26099" s="831" t="s">
        <v>11530</v>
      </c>
      <c r="AG26099" s="831" t="s">
        <v>2674</v>
      </c>
      <c r="AH26099" s="831" t="s">
        <v>550</v>
      </c>
      <c r="AI26099" s="831">
        <v>0</v>
      </c>
      <c r="AJ26099" s="835">
        <v>41820</v>
      </c>
      <c r="AK26099" s="831">
        <v>131163748</v>
      </c>
    </row>
    <row r="26100" spans="32:37">
      <c r="AF26100" s="831" t="s">
        <v>11531</v>
      </c>
      <c r="AG26100" s="831" t="s">
        <v>2674</v>
      </c>
      <c r="AH26100" s="831" t="s">
        <v>562</v>
      </c>
      <c r="AI26100" s="831">
        <v>0</v>
      </c>
      <c r="AJ26100" s="835">
        <v>41820</v>
      </c>
      <c r="AK26100" s="831">
        <v>0.78374999999999995</v>
      </c>
    </row>
    <row r="26101" spans="32:37">
      <c r="AF26101" s="831" t="s">
        <v>11532</v>
      </c>
      <c r="AG26101" s="831" t="s">
        <v>2674</v>
      </c>
      <c r="AH26101" s="831" t="s">
        <v>2698</v>
      </c>
      <c r="AI26101" s="831">
        <v>0</v>
      </c>
      <c r="AJ26101" s="835">
        <v>41820</v>
      </c>
      <c r="AK26101" s="831">
        <v>0.78385000000000005</v>
      </c>
    </row>
    <row r="26102" spans="32:37">
      <c r="AF26102" s="831" t="s">
        <v>11533</v>
      </c>
      <c r="AG26102" s="831" t="s">
        <v>2674</v>
      </c>
      <c r="AH26102" s="831" t="s">
        <v>560</v>
      </c>
      <c r="AI26102" s="831">
        <v>0</v>
      </c>
      <c r="AJ26102" s="835">
        <v>41820</v>
      </c>
      <c r="AK26102" s="831">
        <v>0.78376666666666672</v>
      </c>
    </row>
    <row r="26103" spans="32:37">
      <c r="AF26103" s="831" t="s">
        <v>11534</v>
      </c>
      <c r="AG26103" s="831" t="s">
        <v>2674</v>
      </c>
      <c r="AH26103" s="831" t="s">
        <v>559</v>
      </c>
      <c r="AI26103" s="831">
        <v>0</v>
      </c>
      <c r="AJ26103" s="835">
        <v>41820</v>
      </c>
      <c r="AK26103" s="831">
        <v>0.783775</v>
      </c>
    </row>
    <row r="26104" spans="32:37">
      <c r="AF26104" s="831" t="s">
        <v>11535</v>
      </c>
      <c r="AG26104" s="831" t="s">
        <v>2674</v>
      </c>
      <c r="AH26104" s="831" t="s">
        <v>568</v>
      </c>
      <c r="AI26104" s="831">
        <v>0</v>
      </c>
      <c r="AJ26104" s="835">
        <v>41820</v>
      </c>
      <c r="AK26104" s="831">
        <v>619891357.84230769</v>
      </c>
    </row>
    <row r="26105" spans="32:37">
      <c r="AF26105" s="831" t="s">
        <v>11536</v>
      </c>
      <c r="AG26105" s="831" t="s">
        <v>2674</v>
      </c>
      <c r="AH26105" s="831" t="s">
        <v>569</v>
      </c>
      <c r="AI26105" s="831">
        <v>0</v>
      </c>
      <c r="AJ26105" s="835">
        <v>41820</v>
      </c>
      <c r="AK26105" s="831">
        <v>763501602.97330773</v>
      </c>
    </row>
    <row r="26106" spans="32:37">
      <c r="AF26106" s="831" t="s">
        <v>11537</v>
      </c>
      <c r="AG26106" s="831" t="s">
        <v>2674</v>
      </c>
      <c r="AH26106" s="831" t="s">
        <v>570</v>
      </c>
      <c r="AI26106" s="831">
        <v>0</v>
      </c>
      <c r="AJ26106" s="835">
        <v>41820</v>
      </c>
      <c r="AK26106" s="831">
        <v>120238638.75123075</v>
      </c>
    </row>
    <row r="26107" spans="32:37">
      <c r="AF26107" s="831" t="s">
        <v>11538</v>
      </c>
      <c r="AG26107" s="831" t="s">
        <v>2674</v>
      </c>
      <c r="AH26107" s="831" t="s">
        <v>571</v>
      </c>
      <c r="AI26107" s="831">
        <v>0</v>
      </c>
      <c r="AJ26107" s="835">
        <v>41820</v>
      </c>
      <c r="AK26107" s="831">
        <v>372900260.97484618</v>
      </c>
    </row>
    <row r="26108" spans="32:37">
      <c r="AF26108" s="831" t="s">
        <v>11539</v>
      </c>
      <c r="AG26108" s="831" t="s">
        <v>2674</v>
      </c>
      <c r="AH26108" s="831" t="s">
        <v>573</v>
      </c>
      <c r="AI26108" s="831">
        <v>0</v>
      </c>
      <c r="AJ26108" s="835">
        <v>41820</v>
      </c>
      <c r="AK26108" s="831">
        <v>829703301.08042848</v>
      </c>
    </row>
    <row r="26109" spans="32:37">
      <c r="AF26109" s="831" t="s">
        <v>11540</v>
      </c>
      <c r="AG26109" s="831" t="s">
        <v>2674</v>
      </c>
      <c r="AH26109" s="831" t="s">
        <v>574</v>
      </c>
      <c r="AI26109" s="831">
        <v>0</v>
      </c>
      <c r="AJ26109" s="835">
        <v>41820</v>
      </c>
      <c r="AK26109" s="831">
        <v>674628835.57142854</v>
      </c>
    </row>
    <row r="26110" spans="32:37">
      <c r="AF26110" s="831" t="s">
        <v>11541</v>
      </c>
      <c r="AG26110" s="831" t="s">
        <v>2674</v>
      </c>
      <c r="AH26110" s="831" t="s">
        <v>575</v>
      </c>
      <c r="AI26110" s="831">
        <v>0</v>
      </c>
      <c r="AJ26110" s="835">
        <v>41820</v>
      </c>
      <c r="AK26110" s="831">
        <v>124242857.13</v>
      </c>
    </row>
    <row r="26111" spans="32:37">
      <c r="AF26111" s="831" t="s">
        <v>11542</v>
      </c>
      <c r="AG26111" s="831" t="s">
        <v>2674</v>
      </c>
      <c r="AH26111" s="831" t="s">
        <v>576</v>
      </c>
      <c r="AI26111" s="831">
        <v>0</v>
      </c>
      <c r="AJ26111" s="835">
        <v>41820</v>
      </c>
      <c r="AK26111" s="831">
        <v>407269836.23014289</v>
      </c>
    </row>
    <row r="26112" spans="32:37">
      <c r="AF26112" s="831" t="s">
        <v>11543</v>
      </c>
      <c r="AG26112" s="831" t="s">
        <v>2674</v>
      </c>
      <c r="AH26112" s="831" t="s">
        <v>572</v>
      </c>
      <c r="AI26112" s="831">
        <v>0</v>
      </c>
      <c r="AJ26112" s="835">
        <v>41820</v>
      </c>
      <c r="AK26112" s="831">
        <v>32506327.956000008</v>
      </c>
    </row>
    <row r="26113" spans="32:37">
      <c r="AF26113" s="831" t="s">
        <v>11544</v>
      </c>
      <c r="AG26113" s="831" t="s">
        <v>2674</v>
      </c>
      <c r="AH26113" s="831" t="s">
        <v>577</v>
      </c>
      <c r="AI26113" s="831">
        <v>0</v>
      </c>
      <c r="AJ26113" s="835">
        <v>41820</v>
      </c>
      <c r="AK26113" s="831">
        <v>153933560.76300001</v>
      </c>
    </row>
    <row r="26114" spans="32:37">
      <c r="AF26114" s="831" t="s">
        <v>11545</v>
      </c>
      <c r="AG26114" s="831" t="s">
        <v>2674</v>
      </c>
      <c r="AH26114" s="831" t="s">
        <v>3042</v>
      </c>
      <c r="AI26114" s="831">
        <v>0</v>
      </c>
      <c r="AJ26114" s="835">
        <v>41820</v>
      </c>
      <c r="AK26114" s="831">
        <v>-43087678.527000003</v>
      </c>
    </row>
    <row r="26115" spans="32:37">
      <c r="AF26115" s="831" t="s">
        <v>11546</v>
      </c>
      <c r="AG26115" s="831" t="s">
        <v>2674</v>
      </c>
      <c r="AH26115" s="831" t="s">
        <v>3044</v>
      </c>
      <c r="AI26115" s="831">
        <v>0</v>
      </c>
      <c r="AJ26115" s="835">
        <v>41820</v>
      </c>
      <c r="AK26115" s="831">
        <v>-2538336.8899999997</v>
      </c>
    </row>
    <row r="26116" spans="32:37">
      <c r="AF26116" s="831" t="s">
        <v>11547</v>
      </c>
      <c r="AG26116" s="831" t="s">
        <v>2674</v>
      </c>
      <c r="AH26116" s="831" t="s">
        <v>580</v>
      </c>
      <c r="AI26116" s="831">
        <v>0</v>
      </c>
      <c r="AJ26116" s="835">
        <v>41820</v>
      </c>
      <c r="AK26116" s="831">
        <v>-71232950.306999996</v>
      </c>
    </row>
    <row r="26117" spans="32:37">
      <c r="AF26117" s="831" t="s">
        <v>11548</v>
      </c>
      <c r="AG26117" s="831" t="s">
        <v>2674</v>
      </c>
      <c r="AH26117" s="831" t="s">
        <v>581</v>
      </c>
      <c r="AI26117" s="831">
        <v>0</v>
      </c>
      <c r="AJ26117" s="835">
        <v>41820</v>
      </c>
      <c r="AK26117" s="831">
        <v>5389272.8940000003</v>
      </c>
    </row>
    <row r="26118" spans="32:37">
      <c r="AF26118" s="831" t="s">
        <v>11549</v>
      </c>
      <c r="AG26118" s="831" t="s">
        <v>2674</v>
      </c>
      <c r="AH26118" s="831" t="s">
        <v>105</v>
      </c>
      <c r="AI26118" s="831">
        <v>0</v>
      </c>
      <c r="AJ26118" s="835">
        <v>41820</v>
      </c>
      <c r="AK26118" s="831">
        <v>455536132</v>
      </c>
    </row>
    <row r="26119" spans="32:37">
      <c r="AF26119" s="831" t="s">
        <v>11550</v>
      </c>
      <c r="AG26119" s="831" t="s">
        <v>2674</v>
      </c>
      <c r="AH26119" s="831" t="s">
        <v>3049</v>
      </c>
      <c r="AI26119" s="831">
        <v>0</v>
      </c>
      <c r="AJ26119" s="835">
        <v>41820</v>
      </c>
      <c r="AK26119" s="831">
        <v>754458364</v>
      </c>
    </row>
    <row r="26120" spans="32:37">
      <c r="AF26120" s="831" t="s">
        <v>11551</v>
      </c>
      <c r="AG26120" s="831" t="s">
        <v>2674</v>
      </c>
      <c r="AH26120" s="831" t="s">
        <v>103</v>
      </c>
      <c r="AI26120" s="831">
        <v>0</v>
      </c>
      <c r="AJ26120" s="835">
        <v>41820</v>
      </c>
      <c r="AK26120" s="831">
        <v>298922232</v>
      </c>
    </row>
    <row r="26121" spans="32:37">
      <c r="AF26121" s="831" t="s">
        <v>11552</v>
      </c>
      <c r="AG26121" s="831" t="s">
        <v>2674</v>
      </c>
      <c r="AH26121" s="831" t="s">
        <v>182</v>
      </c>
      <c r="AI26121" s="831">
        <v>0</v>
      </c>
      <c r="AJ26121" s="835">
        <v>41820</v>
      </c>
      <c r="AK26121" s="831">
        <v>71693060</v>
      </c>
    </row>
    <row r="26122" spans="32:37">
      <c r="AF26122" s="831" t="s">
        <v>11553</v>
      </c>
      <c r="AG26122" s="831" t="s">
        <v>2674</v>
      </c>
      <c r="AH26122" s="831" t="s">
        <v>6600</v>
      </c>
      <c r="AI26122" s="831">
        <v>0</v>
      </c>
      <c r="AJ26122" s="835">
        <v>41820</v>
      </c>
      <c r="AK26122" s="831">
        <v>32506327.956000008</v>
      </c>
    </row>
    <row r="26123" spans="32:37">
      <c r="AF26123" s="831" t="s">
        <v>11554</v>
      </c>
      <c r="AG26123" s="831" t="s">
        <v>2674</v>
      </c>
      <c r="AH26123" s="831" t="s">
        <v>6602</v>
      </c>
      <c r="AI26123" s="831">
        <v>0</v>
      </c>
      <c r="AJ26123" s="835">
        <v>41820</v>
      </c>
      <c r="AK26123" s="831">
        <v>18626919</v>
      </c>
    </row>
    <row r="26124" spans="32:37">
      <c r="AF26124" s="831" t="s">
        <v>11555</v>
      </c>
      <c r="AG26124" s="831" t="s">
        <v>2674</v>
      </c>
      <c r="AH26124" s="831" t="s">
        <v>650</v>
      </c>
      <c r="AI26124" s="831">
        <v>0</v>
      </c>
      <c r="AJ26124" s="835">
        <v>41820</v>
      </c>
      <c r="AK26124" s="831">
        <v>250141744.03992307</v>
      </c>
    </row>
    <row r="26125" spans="32:37">
      <c r="AF26125" s="831" t="s">
        <v>11556</v>
      </c>
      <c r="AG26125" s="831" t="s">
        <v>2674</v>
      </c>
      <c r="AH26125" s="831" t="s">
        <v>655</v>
      </c>
      <c r="AI26125" s="831">
        <v>0</v>
      </c>
      <c r="AJ26125" s="835">
        <v>41820</v>
      </c>
      <c r="AK26125" s="831">
        <v>739333.81</v>
      </c>
    </row>
    <row r="26126" spans="32:37">
      <c r="AF26126" s="831" t="s">
        <v>11557</v>
      </c>
      <c r="AG26126" s="831" t="s">
        <v>2674</v>
      </c>
      <c r="AH26126" s="831" t="s">
        <v>546</v>
      </c>
      <c r="AI26126" s="831">
        <v>0</v>
      </c>
      <c r="AJ26126" s="835">
        <v>41851</v>
      </c>
      <c r="AK26126" s="831">
        <v>739176022</v>
      </c>
    </row>
    <row r="26127" spans="32:37">
      <c r="AF26127" s="831" t="s">
        <v>11558</v>
      </c>
      <c r="AG26127" s="831" t="s">
        <v>2674</v>
      </c>
      <c r="AH26127" s="831" t="s">
        <v>370</v>
      </c>
      <c r="AI26127" s="831">
        <v>0</v>
      </c>
      <c r="AJ26127" s="835">
        <v>41851</v>
      </c>
      <c r="AK26127" s="831">
        <v>937279545</v>
      </c>
    </row>
    <row r="26128" spans="32:37">
      <c r="AF26128" s="831" t="s">
        <v>11559</v>
      </c>
      <c r="AG26128" s="831" t="s">
        <v>2674</v>
      </c>
      <c r="AH26128" s="831" t="s">
        <v>126</v>
      </c>
      <c r="AI26128" s="831">
        <v>0</v>
      </c>
      <c r="AJ26128" s="835">
        <v>41851</v>
      </c>
      <c r="AK26128" s="831">
        <v>138005087</v>
      </c>
    </row>
    <row r="26129" spans="32:37">
      <c r="AF26129" s="831" t="s">
        <v>11560</v>
      </c>
      <c r="AG26129" s="831" t="s">
        <v>2674</v>
      </c>
      <c r="AH26129" s="831" t="s">
        <v>268</v>
      </c>
      <c r="AI26129" s="831">
        <v>0</v>
      </c>
      <c r="AJ26129" s="835">
        <v>41851</v>
      </c>
      <c r="AK26129" s="831">
        <v>22009267</v>
      </c>
    </row>
    <row r="26130" spans="32:37">
      <c r="AF26130" s="831" t="s">
        <v>11561</v>
      </c>
      <c r="AG26130" s="831" t="s">
        <v>2674</v>
      </c>
      <c r="AH26130" s="831" t="s">
        <v>547</v>
      </c>
      <c r="AI26130" s="831">
        <v>0</v>
      </c>
      <c r="AJ26130" s="835">
        <v>41851</v>
      </c>
      <c r="AK26130" s="831">
        <v>777719977</v>
      </c>
    </row>
    <row r="26131" spans="32:37">
      <c r="AF26131" s="831" t="s">
        <v>11562</v>
      </c>
      <c r="AG26131" s="831" t="s">
        <v>2674</v>
      </c>
      <c r="AH26131" s="831" t="s">
        <v>548</v>
      </c>
      <c r="AI26131" s="831">
        <v>0</v>
      </c>
      <c r="AJ26131" s="835">
        <v>41851</v>
      </c>
      <c r="AK26131" s="831">
        <v>117105496</v>
      </c>
    </row>
    <row r="26132" spans="32:37">
      <c r="AF26132" s="831" t="s">
        <v>11563</v>
      </c>
      <c r="AG26132" s="831" t="s">
        <v>2674</v>
      </c>
      <c r="AH26132" s="831" t="s">
        <v>549</v>
      </c>
      <c r="AI26132" s="831">
        <v>0</v>
      </c>
      <c r="AJ26132" s="835">
        <v>41851</v>
      </c>
      <c r="AK26132" s="831">
        <v>530405930</v>
      </c>
    </row>
    <row r="26133" spans="32:37">
      <c r="AF26133" s="831" t="s">
        <v>11564</v>
      </c>
      <c r="AG26133" s="831" t="s">
        <v>2674</v>
      </c>
      <c r="AH26133" s="831" t="s">
        <v>192</v>
      </c>
      <c r="AI26133" s="831">
        <v>0</v>
      </c>
      <c r="AJ26133" s="835">
        <v>41851</v>
      </c>
      <c r="AK26133" s="831">
        <v>-11408077</v>
      </c>
    </row>
    <row r="26134" spans="32:37">
      <c r="AF26134" s="831" t="s">
        <v>11565</v>
      </c>
      <c r="AG26134" s="831" t="s">
        <v>2674</v>
      </c>
      <c r="AH26134" s="831" t="s">
        <v>558</v>
      </c>
      <c r="AI26134" s="831">
        <v>0</v>
      </c>
      <c r="AJ26134" s="835">
        <v>41851</v>
      </c>
      <c r="AK26134" s="831">
        <v>799274458</v>
      </c>
    </row>
    <row r="26135" spans="32:37">
      <c r="AF26135" s="831" t="s">
        <v>11566</v>
      </c>
      <c r="AG26135" s="831" t="s">
        <v>2674</v>
      </c>
      <c r="AH26135" s="831" t="s">
        <v>65</v>
      </c>
      <c r="AI26135" s="831">
        <v>0</v>
      </c>
      <c r="AJ26135" s="835">
        <v>41851</v>
      </c>
      <c r="AK26135" s="831">
        <v>96150192</v>
      </c>
    </row>
    <row r="26136" spans="32:37">
      <c r="AF26136" s="831" t="s">
        <v>11567</v>
      </c>
      <c r="AG26136" s="831" t="s">
        <v>2674</v>
      </c>
      <c r="AH26136" s="831" t="s">
        <v>89</v>
      </c>
      <c r="AI26136" s="831">
        <v>0</v>
      </c>
      <c r="AJ26136" s="835">
        <v>41851</v>
      </c>
      <c r="AK26136" s="831">
        <v>157312</v>
      </c>
    </row>
    <row r="26137" spans="32:37">
      <c r="AF26137" s="831" t="s">
        <v>11568</v>
      </c>
      <c r="AG26137" s="831" t="s">
        <v>2674</v>
      </c>
      <c r="AH26137" s="831" t="s">
        <v>557</v>
      </c>
      <c r="AI26137" s="831">
        <v>0</v>
      </c>
      <c r="AJ26137" s="835">
        <v>41851</v>
      </c>
      <c r="AK26137" s="831">
        <v>177567</v>
      </c>
    </row>
    <row r="26138" spans="32:37">
      <c r="AF26138" s="831" t="s">
        <v>11569</v>
      </c>
      <c r="AG26138" s="831" t="s">
        <v>2674</v>
      </c>
      <c r="AH26138" s="831" t="s">
        <v>29</v>
      </c>
      <c r="AI26138" s="831">
        <v>0</v>
      </c>
      <c r="AJ26138" s="835">
        <v>41851</v>
      </c>
      <c r="AK26138" s="831">
        <v>1565767.49</v>
      </c>
    </row>
    <row r="26139" spans="32:37">
      <c r="AF26139" s="831" t="s">
        <v>11570</v>
      </c>
      <c r="AG26139" s="831" t="s">
        <v>2674</v>
      </c>
      <c r="AH26139" s="831" t="s">
        <v>2688</v>
      </c>
      <c r="AI26139" s="831">
        <v>0</v>
      </c>
      <c r="AJ26139" s="835">
        <v>41851</v>
      </c>
      <c r="AK26139" s="831">
        <v>4315667.13</v>
      </c>
    </row>
    <row r="26140" spans="32:37">
      <c r="AF26140" s="831" t="s">
        <v>11571</v>
      </c>
      <c r="AG26140" s="831" t="s">
        <v>2674</v>
      </c>
      <c r="AH26140" s="831" t="s">
        <v>556</v>
      </c>
      <c r="AI26140" s="831">
        <v>0</v>
      </c>
      <c r="AJ26140" s="835">
        <v>41851</v>
      </c>
      <c r="AK26140" s="831">
        <v>3260165</v>
      </c>
    </row>
    <row r="26141" spans="32:37">
      <c r="AF26141" s="831" t="s">
        <v>11572</v>
      </c>
      <c r="AG26141" s="831" t="s">
        <v>2674</v>
      </c>
      <c r="AH26141" s="831" t="s">
        <v>555</v>
      </c>
      <c r="AI26141" s="831">
        <v>0</v>
      </c>
      <c r="AJ26141" s="835">
        <v>41851</v>
      </c>
      <c r="AK26141" s="831">
        <v>527670450</v>
      </c>
    </row>
    <row r="26142" spans="32:37">
      <c r="AF26142" s="831" t="s">
        <v>11573</v>
      </c>
      <c r="AG26142" s="831" t="s">
        <v>2674</v>
      </c>
      <c r="AH26142" s="831" t="s">
        <v>554</v>
      </c>
      <c r="AI26142" s="831">
        <v>0</v>
      </c>
      <c r="AJ26142" s="835">
        <v>41851</v>
      </c>
      <c r="AK26142" s="831">
        <v>540050830</v>
      </c>
    </row>
    <row r="26143" spans="32:37">
      <c r="AF26143" s="831" t="s">
        <v>11574</v>
      </c>
      <c r="AG26143" s="831" t="s">
        <v>2674</v>
      </c>
      <c r="AH26143" s="831" t="s">
        <v>553</v>
      </c>
      <c r="AI26143" s="831">
        <v>0</v>
      </c>
      <c r="AJ26143" s="835">
        <v>41851</v>
      </c>
      <c r="AK26143" s="831">
        <v>0</v>
      </c>
    </row>
    <row r="26144" spans="32:37">
      <c r="AF26144" s="831" t="s">
        <v>11575</v>
      </c>
      <c r="AG26144" s="831" t="s">
        <v>2674</v>
      </c>
      <c r="AH26144" s="831" t="s">
        <v>552</v>
      </c>
      <c r="AI26144" s="831">
        <v>0</v>
      </c>
      <c r="AJ26144" s="835">
        <v>41851</v>
      </c>
      <c r="AK26144" s="831">
        <v>0</v>
      </c>
    </row>
    <row r="26145" spans="32:37">
      <c r="AF26145" s="831" t="s">
        <v>11576</v>
      </c>
      <c r="AG26145" s="831" t="s">
        <v>2674</v>
      </c>
      <c r="AH26145" s="831" t="s">
        <v>551</v>
      </c>
      <c r="AI26145" s="831">
        <v>0</v>
      </c>
      <c r="AJ26145" s="835">
        <v>41851</v>
      </c>
      <c r="AK26145" s="831">
        <v>1101547.72</v>
      </c>
    </row>
    <row r="26146" spans="32:37">
      <c r="AF26146" s="831" t="s">
        <v>11577</v>
      </c>
      <c r="AG26146" s="831" t="s">
        <v>2674</v>
      </c>
      <c r="AH26146" s="831" t="s">
        <v>550</v>
      </c>
      <c r="AI26146" s="831">
        <v>0</v>
      </c>
      <c r="AJ26146" s="835">
        <v>41851</v>
      </c>
      <c r="AK26146" s="831">
        <v>135362821</v>
      </c>
    </row>
    <row r="26147" spans="32:37">
      <c r="AF26147" s="831" t="s">
        <v>11578</v>
      </c>
      <c r="AG26147" s="831" t="s">
        <v>2674</v>
      </c>
      <c r="AH26147" s="831" t="s">
        <v>562</v>
      </c>
      <c r="AI26147" s="831">
        <v>0</v>
      </c>
      <c r="AJ26147" s="835">
        <v>41851</v>
      </c>
      <c r="AK26147" s="831">
        <v>0.78364999999999996</v>
      </c>
    </row>
    <row r="26148" spans="32:37">
      <c r="AF26148" s="831" t="s">
        <v>11579</v>
      </c>
      <c r="AG26148" s="831" t="s">
        <v>2674</v>
      </c>
      <c r="AH26148" s="831" t="s">
        <v>2698</v>
      </c>
      <c r="AI26148" s="831">
        <v>0</v>
      </c>
      <c r="AJ26148" s="835">
        <v>41851</v>
      </c>
      <c r="AK26148" s="831">
        <v>0.78374999999999995</v>
      </c>
    </row>
    <row r="26149" spans="32:37">
      <c r="AF26149" s="831" t="s">
        <v>11580</v>
      </c>
      <c r="AG26149" s="831" t="s">
        <v>2674</v>
      </c>
      <c r="AH26149" s="831" t="s">
        <v>560</v>
      </c>
      <c r="AI26149" s="831">
        <v>0</v>
      </c>
      <c r="AJ26149" s="835">
        <v>41851</v>
      </c>
      <c r="AK26149" s="831">
        <v>0.78374999999999984</v>
      </c>
    </row>
    <row r="26150" spans="32:37">
      <c r="AF26150" s="831" t="s">
        <v>11581</v>
      </c>
      <c r="AG26150" s="831" t="s">
        <v>2674</v>
      </c>
      <c r="AH26150" s="831" t="s">
        <v>559</v>
      </c>
      <c r="AI26150" s="831">
        <v>0</v>
      </c>
      <c r="AJ26150" s="835">
        <v>41851</v>
      </c>
      <c r="AK26150" s="831">
        <v>0.78376666666666661</v>
      </c>
    </row>
    <row r="26151" spans="32:37">
      <c r="AF26151" s="831" t="s">
        <v>11582</v>
      </c>
      <c r="AG26151" s="831" t="s">
        <v>2674</v>
      </c>
      <c r="AH26151" s="831" t="s">
        <v>568</v>
      </c>
      <c r="AI26151" s="831">
        <v>0</v>
      </c>
      <c r="AJ26151" s="835">
        <v>41851</v>
      </c>
      <c r="AK26151" s="831">
        <v>637151141.61153841</v>
      </c>
    </row>
    <row r="26152" spans="32:37">
      <c r="AF26152" s="831" t="s">
        <v>11583</v>
      </c>
      <c r="AG26152" s="831" t="s">
        <v>2674</v>
      </c>
      <c r="AH26152" s="831" t="s">
        <v>569</v>
      </c>
      <c r="AI26152" s="831">
        <v>0</v>
      </c>
      <c r="AJ26152" s="835">
        <v>41851</v>
      </c>
      <c r="AK26152" s="831">
        <v>786284543.74253845</v>
      </c>
    </row>
    <row r="26153" spans="32:37">
      <c r="AF26153" s="831" t="s">
        <v>11584</v>
      </c>
      <c r="AG26153" s="831" t="s">
        <v>2674</v>
      </c>
      <c r="AH26153" s="831" t="s">
        <v>570</v>
      </c>
      <c r="AI26153" s="831">
        <v>0</v>
      </c>
      <c r="AJ26153" s="835">
        <v>41851</v>
      </c>
      <c r="AK26153" s="831">
        <v>122542079.44353844</v>
      </c>
    </row>
    <row r="26154" spans="32:37">
      <c r="AF26154" s="831" t="s">
        <v>11585</v>
      </c>
      <c r="AG26154" s="831" t="s">
        <v>2674</v>
      </c>
      <c r="AH26154" s="831" t="s">
        <v>571</v>
      </c>
      <c r="AI26154" s="831">
        <v>0</v>
      </c>
      <c r="AJ26154" s="835">
        <v>41851</v>
      </c>
      <c r="AK26154" s="831">
        <v>385003742.66715389</v>
      </c>
    </row>
    <row r="26155" spans="32:37">
      <c r="AF26155" s="831" t="s">
        <v>11586</v>
      </c>
      <c r="AG26155" s="831" t="s">
        <v>2674</v>
      </c>
      <c r="AH26155" s="831" t="s">
        <v>573</v>
      </c>
      <c r="AI26155" s="831">
        <v>0</v>
      </c>
      <c r="AJ26155" s="835">
        <v>41851</v>
      </c>
      <c r="AK26155" s="831">
        <v>843150331.57037497</v>
      </c>
    </row>
    <row r="26156" spans="32:37">
      <c r="AF26156" s="831" t="s">
        <v>11587</v>
      </c>
      <c r="AG26156" s="831" t="s">
        <v>2674</v>
      </c>
      <c r="AH26156" s="831" t="s">
        <v>574</v>
      </c>
      <c r="AI26156" s="831">
        <v>0</v>
      </c>
      <c r="AJ26156" s="835">
        <v>41851</v>
      </c>
      <c r="AK26156" s="831">
        <v>682697233.875</v>
      </c>
    </row>
    <row r="26157" spans="32:37">
      <c r="AF26157" s="831" t="s">
        <v>11588</v>
      </c>
      <c r="AG26157" s="831" t="s">
        <v>2674</v>
      </c>
      <c r="AH26157" s="831" t="s">
        <v>575</v>
      </c>
      <c r="AI26157" s="831">
        <v>0</v>
      </c>
      <c r="AJ26157" s="835">
        <v>41851</v>
      </c>
      <c r="AK26157" s="831">
        <v>125963135.86375</v>
      </c>
    </row>
    <row r="26158" spans="32:37">
      <c r="AF26158" s="831" t="s">
        <v>11589</v>
      </c>
      <c r="AG26158" s="831" t="s">
        <v>2674</v>
      </c>
      <c r="AH26158" s="831" t="s">
        <v>576</v>
      </c>
      <c r="AI26158" s="831">
        <v>0</v>
      </c>
      <c r="AJ26158" s="835">
        <v>41851</v>
      </c>
      <c r="AK26158" s="831">
        <v>415372081.57637501</v>
      </c>
    </row>
    <row r="26159" spans="32:37">
      <c r="AF26159" s="831" t="s">
        <v>11590</v>
      </c>
      <c r="AG26159" s="831" t="s">
        <v>2674</v>
      </c>
      <c r="AH26159" s="831" t="s">
        <v>572</v>
      </c>
      <c r="AI26159" s="831">
        <v>0</v>
      </c>
      <c r="AJ26159" s="835">
        <v>41851</v>
      </c>
      <c r="AK26159" s="831">
        <v>33061468.956000008</v>
      </c>
    </row>
    <row r="26160" spans="32:37">
      <c r="AF26160" s="831" t="s">
        <v>11591</v>
      </c>
      <c r="AG26160" s="831" t="s">
        <v>2674</v>
      </c>
      <c r="AH26160" s="831" t="s">
        <v>577</v>
      </c>
      <c r="AI26160" s="831">
        <v>0</v>
      </c>
      <c r="AJ26160" s="835">
        <v>41851</v>
      </c>
      <c r="AK26160" s="831">
        <v>157027827.76300001</v>
      </c>
    </row>
    <row r="26161" spans="32:37">
      <c r="AF26161" s="831" t="s">
        <v>11592</v>
      </c>
      <c r="AG26161" s="831" t="s">
        <v>2674</v>
      </c>
      <c r="AH26161" s="831" t="s">
        <v>3042</v>
      </c>
      <c r="AI26161" s="831">
        <v>0</v>
      </c>
      <c r="AJ26161" s="835">
        <v>41851</v>
      </c>
      <c r="AK26161" s="831">
        <v>-44607617.527000003</v>
      </c>
    </row>
    <row r="26162" spans="32:37">
      <c r="AF26162" s="831" t="s">
        <v>11593</v>
      </c>
      <c r="AG26162" s="831" t="s">
        <v>2674</v>
      </c>
      <c r="AH26162" s="831" t="s">
        <v>3044</v>
      </c>
      <c r="AI26162" s="831">
        <v>0</v>
      </c>
      <c r="AJ26162" s="835">
        <v>41851</v>
      </c>
      <c r="AK26162" s="831">
        <v>-2462838.8899999997</v>
      </c>
    </row>
    <row r="26163" spans="32:37">
      <c r="AF26163" s="831" t="s">
        <v>11594</v>
      </c>
      <c r="AG26163" s="831" t="s">
        <v>2674</v>
      </c>
      <c r="AH26163" s="831" t="s">
        <v>580</v>
      </c>
      <c r="AI26163" s="831">
        <v>0</v>
      </c>
      <c r="AJ26163" s="835">
        <v>41851</v>
      </c>
      <c r="AK26163" s="831">
        <v>-72554848.306999996</v>
      </c>
    </row>
    <row r="26164" spans="32:37">
      <c r="AF26164" s="831" t="s">
        <v>11595</v>
      </c>
      <c r="AG26164" s="831" t="s">
        <v>2674</v>
      </c>
      <c r="AH26164" s="831" t="s">
        <v>581</v>
      </c>
      <c r="AI26164" s="831">
        <v>0</v>
      </c>
      <c r="AJ26164" s="835">
        <v>41851</v>
      </c>
      <c r="AK26164" s="831">
        <v>6023686.8940000003</v>
      </c>
    </row>
    <row r="26165" spans="32:37">
      <c r="AF26165" s="831" t="s">
        <v>11596</v>
      </c>
      <c r="AG26165" s="831" t="s">
        <v>2674</v>
      </c>
      <c r="AH26165" s="831" t="s">
        <v>105</v>
      </c>
      <c r="AI26165" s="831">
        <v>0</v>
      </c>
      <c r="AJ26165" s="835">
        <v>41851</v>
      </c>
      <c r="AK26165" s="831">
        <v>472087799</v>
      </c>
    </row>
    <row r="26166" spans="32:37">
      <c r="AF26166" s="831" t="s">
        <v>11597</v>
      </c>
      <c r="AG26166" s="831" t="s">
        <v>2674</v>
      </c>
      <c r="AH26166" s="831" t="s">
        <v>3049</v>
      </c>
      <c r="AI26166" s="831">
        <v>0</v>
      </c>
      <c r="AJ26166" s="835">
        <v>41851</v>
      </c>
      <c r="AK26166" s="831">
        <v>778154132</v>
      </c>
    </row>
    <row r="26167" spans="32:37">
      <c r="AF26167" s="831" t="s">
        <v>11598</v>
      </c>
      <c r="AG26167" s="831" t="s">
        <v>2674</v>
      </c>
      <c r="AH26167" s="831" t="s">
        <v>103</v>
      </c>
      <c r="AI26167" s="831">
        <v>0</v>
      </c>
      <c r="AJ26167" s="835">
        <v>41851</v>
      </c>
      <c r="AK26167" s="831">
        <v>306066333</v>
      </c>
    </row>
    <row r="26168" spans="32:37">
      <c r="AF26168" s="831" t="s">
        <v>11599</v>
      </c>
      <c r="AG26168" s="831" t="s">
        <v>2674</v>
      </c>
      <c r="AH26168" s="831" t="s">
        <v>182</v>
      </c>
      <c r="AI26168" s="831">
        <v>0</v>
      </c>
      <c r="AJ26168" s="835">
        <v>41851</v>
      </c>
      <c r="AK26168" s="831">
        <v>72589813.714285716</v>
      </c>
    </row>
    <row r="26169" spans="32:37">
      <c r="AF26169" s="831" t="s">
        <v>11600</v>
      </c>
      <c r="AG26169" s="831" t="s">
        <v>2674</v>
      </c>
      <c r="AH26169" s="831" t="s">
        <v>6600</v>
      </c>
      <c r="AI26169" s="831">
        <v>0</v>
      </c>
      <c r="AJ26169" s="835">
        <v>41851</v>
      </c>
      <c r="AK26169" s="831">
        <v>33061468.956000008</v>
      </c>
    </row>
    <row r="26170" spans="32:37">
      <c r="AF26170" s="831" t="s">
        <v>11601</v>
      </c>
      <c r="AG26170" s="831" t="s">
        <v>2674</v>
      </c>
      <c r="AH26170" s="831" t="s">
        <v>6602</v>
      </c>
      <c r="AI26170" s="831">
        <v>0</v>
      </c>
      <c r="AJ26170" s="835">
        <v>41851</v>
      </c>
      <c r="AK26170" s="831">
        <v>22009267</v>
      </c>
    </row>
    <row r="26171" spans="32:37">
      <c r="AF26171" s="831" t="s">
        <v>11602</v>
      </c>
      <c r="AG26171" s="831" t="s">
        <v>2674</v>
      </c>
      <c r="AH26171" s="831" t="s">
        <v>650</v>
      </c>
      <c r="AI26171" s="831">
        <v>0</v>
      </c>
      <c r="AJ26171" s="835">
        <v>41851</v>
      </c>
      <c r="AK26171" s="831">
        <v>258051740.34761539</v>
      </c>
    </row>
    <row r="26172" spans="32:37">
      <c r="AF26172" s="831" t="s">
        <v>11603</v>
      </c>
      <c r="AG26172" s="831" t="s">
        <v>2674</v>
      </c>
      <c r="AH26172" s="831" t="s">
        <v>655</v>
      </c>
      <c r="AI26172" s="831">
        <v>0</v>
      </c>
      <c r="AJ26172" s="835">
        <v>41851</v>
      </c>
      <c r="AK26172" s="831">
        <v>953974.79</v>
      </c>
    </row>
    <row r="26173" spans="32:37">
      <c r="AF26173" s="831" t="s">
        <v>11604</v>
      </c>
      <c r="AG26173" s="831" t="s">
        <v>2674</v>
      </c>
      <c r="AH26173" s="831" t="s">
        <v>546</v>
      </c>
      <c r="AI26173" s="831">
        <v>0</v>
      </c>
      <c r="AJ26173" s="835">
        <v>41882</v>
      </c>
      <c r="AK26173" s="831">
        <v>752496052</v>
      </c>
    </row>
    <row r="26174" spans="32:37">
      <c r="AF26174" s="831" t="s">
        <v>11605</v>
      </c>
      <c r="AG26174" s="831" t="s">
        <v>2674</v>
      </c>
      <c r="AH26174" s="831" t="s">
        <v>370</v>
      </c>
      <c r="AI26174" s="831">
        <v>0</v>
      </c>
      <c r="AJ26174" s="835">
        <v>41882</v>
      </c>
      <c r="AK26174" s="831">
        <v>955327873</v>
      </c>
    </row>
    <row r="26175" spans="32:37">
      <c r="AF26175" s="831" t="s">
        <v>11606</v>
      </c>
      <c r="AG26175" s="831" t="s">
        <v>2674</v>
      </c>
      <c r="AH26175" s="831" t="s">
        <v>126</v>
      </c>
      <c r="AI26175" s="831">
        <v>0</v>
      </c>
      <c r="AJ26175" s="835">
        <v>41882</v>
      </c>
      <c r="AK26175" s="831">
        <v>141824046.03</v>
      </c>
    </row>
    <row r="26176" spans="32:37">
      <c r="AF26176" s="831" t="s">
        <v>11607</v>
      </c>
      <c r="AG26176" s="831" t="s">
        <v>2674</v>
      </c>
      <c r="AH26176" s="831" t="s">
        <v>268</v>
      </c>
      <c r="AI26176" s="831">
        <v>0</v>
      </c>
      <c r="AJ26176" s="835">
        <v>41882</v>
      </c>
      <c r="AK26176" s="831">
        <v>25500774.76800001</v>
      </c>
    </row>
    <row r="26177" spans="32:37">
      <c r="AF26177" s="831" t="s">
        <v>11608</v>
      </c>
      <c r="AG26177" s="831" t="s">
        <v>2674</v>
      </c>
      <c r="AH26177" s="831" t="s">
        <v>547</v>
      </c>
      <c r="AI26177" s="831">
        <v>0</v>
      </c>
      <c r="AJ26177" s="835">
        <v>41882</v>
      </c>
      <c r="AK26177" s="831">
        <v>777719977</v>
      </c>
    </row>
    <row r="26178" spans="32:37">
      <c r="AF26178" s="831" t="s">
        <v>11609</v>
      </c>
      <c r="AG26178" s="831" t="s">
        <v>2674</v>
      </c>
      <c r="AH26178" s="831" t="s">
        <v>548</v>
      </c>
      <c r="AI26178" s="831">
        <v>0</v>
      </c>
      <c r="AJ26178" s="835">
        <v>41882</v>
      </c>
      <c r="AK26178" s="831">
        <v>117105496</v>
      </c>
    </row>
    <row r="26179" spans="32:37">
      <c r="AF26179" s="831" t="s">
        <v>11610</v>
      </c>
      <c r="AG26179" s="831" t="s">
        <v>2674</v>
      </c>
      <c r="AH26179" s="831" t="s">
        <v>549</v>
      </c>
      <c r="AI26179" s="831">
        <v>0</v>
      </c>
      <c r="AJ26179" s="835">
        <v>41882</v>
      </c>
      <c r="AK26179" s="831">
        <v>548671343</v>
      </c>
    </row>
    <row r="26180" spans="32:37">
      <c r="AF26180" s="831" t="s">
        <v>11611</v>
      </c>
      <c r="AG26180" s="831" t="s">
        <v>2674</v>
      </c>
      <c r="AH26180" s="831" t="s">
        <v>192</v>
      </c>
      <c r="AI26180" s="831">
        <v>0</v>
      </c>
      <c r="AJ26180" s="835">
        <v>41882</v>
      </c>
      <c r="AK26180" s="831">
        <v>-11209860</v>
      </c>
    </row>
    <row r="26181" spans="32:37">
      <c r="AF26181" s="831" t="s">
        <v>11612</v>
      </c>
      <c r="AG26181" s="831" t="s">
        <v>2674</v>
      </c>
      <c r="AH26181" s="831" t="s">
        <v>558</v>
      </c>
      <c r="AI26181" s="831">
        <v>0</v>
      </c>
      <c r="AJ26181" s="835">
        <v>41882</v>
      </c>
      <c r="AK26181" s="831">
        <v>813503827.41700006</v>
      </c>
    </row>
    <row r="26182" spans="32:37">
      <c r="AF26182" s="831" t="s">
        <v>11613</v>
      </c>
      <c r="AG26182" s="831" t="s">
        <v>2674</v>
      </c>
      <c r="AH26182" s="831" t="s">
        <v>65</v>
      </c>
      <c r="AI26182" s="831">
        <v>0</v>
      </c>
      <c r="AJ26182" s="835">
        <v>41882</v>
      </c>
      <c r="AK26182" s="831">
        <v>110886310.662</v>
      </c>
    </row>
    <row r="26183" spans="32:37">
      <c r="AF26183" s="831" t="s">
        <v>11614</v>
      </c>
      <c r="AG26183" s="831" t="s">
        <v>2674</v>
      </c>
      <c r="AH26183" s="831" t="s">
        <v>89</v>
      </c>
      <c r="AI26183" s="831">
        <v>0</v>
      </c>
      <c r="AJ26183" s="835">
        <v>41882</v>
      </c>
      <c r="AK26183" s="831">
        <v>158540</v>
      </c>
    </row>
    <row r="26184" spans="32:37">
      <c r="AF26184" s="831" t="s">
        <v>11615</v>
      </c>
      <c r="AG26184" s="831" t="s">
        <v>2674</v>
      </c>
      <c r="AH26184" s="831" t="s">
        <v>557</v>
      </c>
      <c r="AI26184" s="831">
        <v>0</v>
      </c>
      <c r="AJ26184" s="835">
        <v>41882</v>
      </c>
      <c r="AK26184" s="831">
        <v>176987</v>
      </c>
    </row>
    <row r="26185" spans="32:37">
      <c r="AF26185" s="831" t="s">
        <v>11616</v>
      </c>
      <c r="AG26185" s="831" t="s">
        <v>2674</v>
      </c>
      <c r="AH26185" s="831" t="s">
        <v>29</v>
      </c>
      <c r="AI26185" s="831">
        <v>0</v>
      </c>
      <c r="AJ26185" s="835">
        <v>41882</v>
      </c>
      <c r="AK26185" s="831">
        <v>1746361.094</v>
      </c>
    </row>
    <row r="26186" spans="32:37">
      <c r="AF26186" s="831" t="s">
        <v>11617</v>
      </c>
      <c r="AG26186" s="831" t="s">
        <v>2674</v>
      </c>
      <c r="AH26186" s="831" t="s">
        <v>2688</v>
      </c>
      <c r="AI26186" s="831">
        <v>0</v>
      </c>
      <c r="AJ26186" s="835">
        <v>41882</v>
      </c>
      <c r="AK26186" s="831">
        <v>4781420.7300000004</v>
      </c>
    </row>
    <row r="26187" spans="32:37">
      <c r="AF26187" s="831" t="s">
        <v>11618</v>
      </c>
      <c r="AG26187" s="831" t="s">
        <v>2674</v>
      </c>
      <c r="AH26187" s="831" t="s">
        <v>556</v>
      </c>
      <c r="AI26187" s="831">
        <v>0</v>
      </c>
      <c r="AJ26187" s="835">
        <v>41882</v>
      </c>
      <c r="AK26187" s="831">
        <v>4890559</v>
      </c>
    </row>
    <row r="26188" spans="32:37">
      <c r="AF26188" s="831" t="s">
        <v>11619</v>
      </c>
      <c r="AG26188" s="831" t="s">
        <v>2674</v>
      </c>
      <c r="AH26188" s="831" t="s">
        <v>555</v>
      </c>
      <c r="AI26188" s="831">
        <v>0</v>
      </c>
      <c r="AJ26188" s="835">
        <v>41882</v>
      </c>
      <c r="AK26188" s="831">
        <v>533401131</v>
      </c>
    </row>
    <row r="26189" spans="32:37">
      <c r="AF26189" s="831" t="s">
        <v>11620</v>
      </c>
      <c r="AG26189" s="831" t="s">
        <v>2674</v>
      </c>
      <c r="AH26189" s="831" t="s">
        <v>554</v>
      </c>
      <c r="AI26189" s="831">
        <v>0</v>
      </c>
      <c r="AJ26189" s="835">
        <v>41882</v>
      </c>
      <c r="AK26189" s="831">
        <v>543423580</v>
      </c>
    </row>
    <row r="26190" spans="32:37">
      <c r="AF26190" s="831" t="s">
        <v>11621</v>
      </c>
      <c r="AG26190" s="831" t="s">
        <v>2674</v>
      </c>
      <c r="AH26190" s="831" t="s">
        <v>553</v>
      </c>
      <c r="AI26190" s="831">
        <v>0</v>
      </c>
      <c r="AJ26190" s="835">
        <v>41882</v>
      </c>
      <c r="AK26190" s="831">
        <v>0</v>
      </c>
    </row>
    <row r="26191" spans="32:37">
      <c r="AF26191" s="831" t="s">
        <v>11622</v>
      </c>
      <c r="AG26191" s="831" t="s">
        <v>2674</v>
      </c>
      <c r="AH26191" s="831" t="s">
        <v>552</v>
      </c>
      <c r="AI26191" s="831">
        <v>0</v>
      </c>
      <c r="AJ26191" s="835">
        <v>41882</v>
      </c>
      <c r="AK26191" s="831">
        <v>0</v>
      </c>
    </row>
    <row r="26192" spans="32:37">
      <c r="AF26192" s="831" t="s">
        <v>11623</v>
      </c>
      <c r="AG26192" s="831" t="s">
        <v>2674</v>
      </c>
      <c r="AH26192" s="831" t="s">
        <v>551</v>
      </c>
      <c r="AI26192" s="831">
        <v>0</v>
      </c>
      <c r="AJ26192" s="835">
        <v>41882</v>
      </c>
      <c r="AK26192" s="831">
        <v>1392541.4989999998</v>
      </c>
    </row>
    <row r="26193" spans="32:37">
      <c r="AF26193" s="831" t="s">
        <v>11624</v>
      </c>
      <c r="AG26193" s="831" t="s">
        <v>2674</v>
      </c>
      <c r="AH26193" s="831" t="s">
        <v>550</v>
      </c>
      <c r="AI26193" s="831">
        <v>0</v>
      </c>
      <c r="AJ26193" s="835">
        <v>41882</v>
      </c>
      <c r="AK26193" s="831">
        <v>138005087</v>
      </c>
    </row>
    <row r="26194" spans="32:37">
      <c r="AF26194" s="831" t="s">
        <v>11625</v>
      </c>
      <c r="AG26194" s="831" t="s">
        <v>2674</v>
      </c>
      <c r="AH26194" s="831" t="s">
        <v>562</v>
      </c>
      <c r="AI26194" s="831">
        <v>0</v>
      </c>
      <c r="AJ26194" s="835">
        <v>41882</v>
      </c>
      <c r="AK26194" s="831">
        <v>0.7833</v>
      </c>
    </row>
    <row r="26195" spans="32:37">
      <c r="AF26195" s="831" t="s">
        <v>11626</v>
      </c>
      <c r="AG26195" s="831" t="s">
        <v>2674</v>
      </c>
      <c r="AH26195" s="831" t="s">
        <v>2698</v>
      </c>
      <c r="AI26195" s="831">
        <v>0</v>
      </c>
      <c r="AJ26195" s="835">
        <v>41882</v>
      </c>
      <c r="AK26195" s="831">
        <v>0.78364999999999996</v>
      </c>
    </row>
    <row r="26196" spans="32:37">
      <c r="AF26196" s="831" t="s">
        <v>11627</v>
      </c>
      <c r="AG26196" s="831" t="s">
        <v>2674</v>
      </c>
      <c r="AH26196" s="831" t="s">
        <v>560</v>
      </c>
      <c r="AI26196" s="831">
        <v>0</v>
      </c>
      <c r="AJ26196" s="835">
        <v>41882</v>
      </c>
      <c r="AK26196" s="831">
        <v>0.78369374999999997</v>
      </c>
    </row>
    <row r="26197" spans="32:37">
      <c r="AF26197" s="831" t="s">
        <v>11628</v>
      </c>
      <c r="AG26197" s="831" t="s">
        <v>2674</v>
      </c>
      <c r="AH26197" s="831" t="s">
        <v>559</v>
      </c>
      <c r="AI26197" s="831">
        <v>0</v>
      </c>
      <c r="AJ26197" s="835">
        <v>41882</v>
      </c>
      <c r="AK26197" s="831">
        <v>0.78372083333333331</v>
      </c>
    </row>
    <row r="26198" spans="32:37">
      <c r="AF26198" s="831" t="s">
        <v>11629</v>
      </c>
      <c r="AG26198" s="831" t="s">
        <v>2674</v>
      </c>
      <c r="AH26198" s="831" t="s">
        <v>568</v>
      </c>
      <c r="AI26198" s="831">
        <v>0</v>
      </c>
      <c r="AJ26198" s="835">
        <v>41882</v>
      </c>
      <c r="AK26198" s="831">
        <v>654234997.14999998</v>
      </c>
    </row>
    <row r="26199" spans="32:37">
      <c r="AF26199" s="831" t="s">
        <v>11630</v>
      </c>
      <c r="AG26199" s="831" t="s">
        <v>2674</v>
      </c>
      <c r="AH26199" s="831" t="s">
        <v>569</v>
      </c>
      <c r="AI26199" s="831">
        <v>0</v>
      </c>
      <c r="AJ26199" s="835">
        <v>41882</v>
      </c>
      <c r="AK26199" s="831">
        <v>809130662.58869231</v>
      </c>
    </row>
    <row r="26200" spans="32:37">
      <c r="AF26200" s="831" t="s">
        <v>11631</v>
      </c>
      <c r="AG26200" s="831" t="s">
        <v>2674</v>
      </c>
      <c r="AH26200" s="831" t="s">
        <v>570</v>
      </c>
      <c r="AI26200" s="831">
        <v>0</v>
      </c>
      <c r="AJ26200" s="835">
        <v>41882</v>
      </c>
      <c r="AK26200" s="831">
        <v>124921808.98430769</v>
      </c>
    </row>
    <row r="26201" spans="32:37">
      <c r="AF26201" s="831" t="s">
        <v>11632</v>
      </c>
      <c r="AG26201" s="831" t="s">
        <v>2674</v>
      </c>
      <c r="AH26201" s="831" t="s">
        <v>571</v>
      </c>
      <c r="AI26201" s="831">
        <v>0</v>
      </c>
      <c r="AJ26201" s="835">
        <v>41882</v>
      </c>
      <c r="AK26201" s="831">
        <v>397063607.00692308</v>
      </c>
    </row>
    <row r="26202" spans="32:37">
      <c r="AF26202" s="831" t="s">
        <v>11633</v>
      </c>
      <c r="AG26202" s="831" t="s">
        <v>2674</v>
      </c>
      <c r="AH26202" s="831" t="s">
        <v>573</v>
      </c>
      <c r="AI26202" s="831">
        <v>0</v>
      </c>
      <c r="AJ26202" s="835">
        <v>41882</v>
      </c>
      <c r="AK26202" s="831">
        <v>855614502.84033334</v>
      </c>
    </row>
    <row r="26203" spans="32:37">
      <c r="AF26203" s="831" t="s">
        <v>11634</v>
      </c>
      <c r="AG26203" s="831" t="s">
        <v>2674</v>
      </c>
      <c r="AH26203" s="831" t="s">
        <v>574</v>
      </c>
      <c r="AI26203" s="831">
        <v>0</v>
      </c>
      <c r="AJ26203" s="835">
        <v>41882</v>
      </c>
      <c r="AK26203" s="831">
        <v>690452658.11111116</v>
      </c>
    </row>
    <row r="26204" spans="32:37">
      <c r="AF26204" s="831" t="s">
        <v>11635</v>
      </c>
      <c r="AG26204" s="831" t="s">
        <v>2674</v>
      </c>
      <c r="AH26204" s="831" t="s">
        <v>575</v>
      </c>
      <c r="AI26204" s="831">
        <v>0</v>
      </c>
      <c r="AJ26204" s="835">
        <v>41882</v>
      </c>
      <c r="AK26204" s="831">
        <v>127725459.21555556</v>
      </c>
    </row>
    <row r="26205" spans="32:37">
      <c r="AF26205" s="831" t="s">
        <v>11636</v>
      </c>
      <c r="AG26205" s="831" t="s">
        <v>2674</v>
      </c>
      <c r="AH26205" s="831" t="s">
        <v>576</v>
      </c>
      <c r="AI26205" s="831">
        <v>0</v>
      </c>
      <c r="AJ26205" s="835">
        <v>41882</v>
      </c>
      <c r="AK26205" s="831">
        <v>422408457.33644444</v>
      </c>
    </row>
    <row r="26206" spans="32:37">
      <c r="AF26206" s="831" t="s">
        <v>11637</v>
      </c>
      <c r="AG26206" s="831" t="s">
        <v>2674</v>
      </c>
      <c r="AH26206" s="831" t="s">
        <v>572</v>
      </c>
      <c r="AI26206" s="831">
        <v>0</v>
      </c>
      <c r="AJ26206" s="835">
        <v>41882</v>
      </c>
      <c r="AK26206" s="831">
        <v>33565597.724000007</v>
      </c>
    </row>
    <row r="26207" spans="32:37">
      <c r="AF26207" s="831" t="s">
        <v>11638</v>
      </c>
      <c r="AG26207" s="831" t="s">
        <v>2674</v>
      </c>
      <c r="AH26207" s="831" t="s">
        <v>577</v>
      </c>
      <c r="AI26207" s="831">
        <v>0</v>
      </c>
      <c r="AJ26207" s="835">
        <v>41882</v>
      </c>
      <c r="AK26207" s="831">
        <v>160354648.42500001</v>
      </c>
    </row>
    <row r="26208" spans="32:37">
      <c r="AF26208" s="831" t="s">
        <v>11639</v>
      </c>
      <c r="AG26208" s="831" t="s">
        <v>2674</v>
      </c>
      <c r="AH26208" s="831" t="s">
        <v>3042</v>
      </c>
      <c r="AI26208" s="831">
        <v>0</v>
      </c>
      <c r="AJ26208" s="835">
        <v>41882</v>
      </c>
      <c r="AK26208" s="831">
        <v>-46384889.891000003</v>
      </c>
    </row>
    <row r="26209" spans="32:37">
      <c r="AF26209" s="831" t="s">
        <v>11640</v>
      </c>
      <c r="AG26209" s="831" t="s">
        <v>2674</v>
      </c>
      <c r="AH26209" s="831" t="s">
        <v>3044</v>
      </c>
      <c r="AI26209" s="831">
        <v>0</v>
      </c>
      <c r="AJ26209" s="835">
        <v>41882</v>
      </c>
      <c r="AK26209" s="831">
        <v>-2154547.3159999996</v>
      </c>
    </row>
    <row r="26210" spans="32:37">
      <c r="AF26210" s="831" t="s">
        <v>11641</v>
      </c>
      <c r="AG26210" s="831" t="s">
        <v>2674</v>
      </c>
      <c r="AH26210" s="831" t="s">
        <v>580</v>
      </c>
      <c r="AI26210" s="831">
        <v>0</v>
      </c>
      <c r="AJ26210" s="835">
        <v>41882</v>
      </c>
      <c r="AK26210" s="831">
        <v>-74112712.891000003</v>
      </c>
    </row>
    <row r="26211" spans="32:37">
      <c r="AF26211" s="831" t="s">
        <v>11642</v>
      </c>
      <c r="AG26211" s="831" t="s">
        <v>2674</v>
      </c>
      <c r="AH26211" s="831" t="s">
        <v>581</v>
      </c>
      <c r="AI26211" s="831">
        <v>0</v>
      </c>
      <c r="AJ26211" s="835">
        <v>41882</v>
      </c>
      <c r="AK26211" s="831">
        <v>6514589.0720000006</v>
      </c>
    </row>
    <row r="26212" spans="32:37">
      <c r="AF26212" s="831" t="s">
        <v>11643</v>
      </c>
      <c r="AG26212" s="831" t="s">
        <v>2674</v>
      </c>
      <c r="AH26212" s="831" t="s">
        <v>105</v>
      </c>
      <c r="AI26212" s="831">
        <v>0</v>
      </c>
      <c r="AJ26212" s="835">
        <v>41882</v>
      </c>
      <c r="AK26212" s="831">
        <v>478699463.41700006</v>
      </c>
    </row>
    <row r="26213" spans="32:37">
      <c r="AF26213" s="831" t="s">
        <v>11644</v>
      </c>
      <c r="AG26213" s="831" t="s">
        <v>2674</v>
      </c>
      <c r="AH26213" s="831" t="s">
        <v>3049</v>
      </c>
      <c r="AI26213" s="831">
        <v>0</v>
      </c>
      <c r="AJ26213" s="835">
        <v>41882</v>
      </c>
      <c r="AK26213" s="831">
        <v>787453668.41700006</v>
      </c>
    </row>
    <row r="26214" spans="32:37">
      <c r="AF26214" s="831" t="s">
        <v>11645</v>
      </c>
      <c r="AG26214" s="831" t="s">
        <v>2674</v>
      </c>
      <c r="AH26214" s="831" t="s">
        <v>103</v>
      </c>
      <c r="AI26214" s="831">
        <v>0</v>
      </c>
      <c r="AJ26214" s="835">
        <v>41882</v>
      </c>
      <c r="AK26214" s="831">
        <v>308754205</v>
      </c>
    </row>
    <row r="26215" spans="32:37">
      <c r="AF26215" s="831" t="s">
        <v>11646</v>
      </c>
      <c r="AG26215" s="831" t="s">
        <v>2674</v>
      </c>
      <c r="AH26215" s="831" t="s">
        <v>182</v>
      </c>
      <c r="AI26215" s="831">
        <v>0</v>
      </c>
      <c r="AJ26215" s="835">
        <v>41882</v>
      </c>
      <c r="AK26215" s="831">
        <v>72923285.376000002</v>
      </c>
    </row>
    <row r="26216" spans="32:37">
      <c r="AF26216" s="831" t="s">
        <v>11647</v>
      </c>
      <c r="AG26216" s="831" t="s">
        <v>2674</v>
      </c>
      <c r="AH26216" s="831" t="s">
        <v>6600</v>
      </c>
      <c r="AI26216" s="831">
        <v>0</v>
      </c>
      <c r="AJ26216" s="835">
        <v>41882</v>
      </c>
      <c r="AK26216" s="831">
        <v>33565597.724000007</v>
      </c>
    </row>
    <row r="26217" spans="32:37">
      <c r="AF26217" s="831" t="s">
        <v>11648</v>
      </c>
      <c r="AG26217" s="831" t="s">
        <v>2674</v>
      </c>
      <c r="AH26217" s="831" t="s">
        <v>6602</v>
      </c>
      <c r="AI26217" s="831">
        <v>0</v>
      </c>
      <c r="AJ26217" s="835">
        <v>41882</v>
      </c>
      <c r="AK26217" s="831">
        <v>25500774.76800001</v>
      </c>
    </row>
    <row r="26218" spans="32:37">
      <c r="AF26218" s="831" t="s">
        <v>11649</v>
      </c>
      <c r="AG26218" s="831" t="s">
        <v>2674</v>
      </c>
      <c r="AH26218" s="831" t="s">
        <v>650</v>
      </c>
      <c r="AI26218" s="831">
        <v>0</v>
      </c>
      <c r="AJ26218" s="835">
        <v>41882</v>
      </c>
      <c r="AK26218" s="831">
        <v>265538072.42453846</v>
      </c>
    </row>
    <row r="26219" spans="32:37">
      <c r="AF26219" s="831" t="s">
        <v>11650</v>
      </c>
      <c r="AG26219" s="831" t="s">
        <v>2674</v>
      </c>
      <c r="AH26219" s="831" t="s">
        <v>655</v>
      </c>
      <c r="AI26219" s="831">
        <v>0</v>
      </c>
      <c r="AJ26219" s="835">
        <v>41882</v>
      </c>
      <c r="AK26219" s="831">
        <v>1018935.1089999999</v>
      </c>
    </row>
    <row r="26220" spans="32:37">
      <c r="AF26220" s="831" t="s">
        <v>11651</v>
      </c>
      <c r="AG26220" s="831" t="s">
        <v>2674</v>
      </c>
      <c r="AH26220" s="831" t="s">
        <v>546</v>
      </c>
      <c r="AI26220" s="831">
        <v>0</v>
      </c>
      <c r="AJ26220" s="835">
        <v>41912</v>
      </c>
      <c r="AK26220" s="831">
        <v>775508043</v>
      </c>
    </row>
    <row r="26221" spans="32:37">
      <c r="AF26221" s="831" t="s">
        <v>11652</v>
      </c>
      <c r="AG26221" s="831" t="s">
        <v>2674</v>
      </c>
      <c r="AH26221" s="831" t="s">
        <v>370</v>
      </c>
      <c r="AI26221" s="831">
        <v>0</v>
      </c>
      <c r="AJ26221" s="835">
        <v>41912</v>
      </c>
      <c r="AK26221" s="831">
        <v>955738548</v>
      </c>
    </row>
    <row r="26222" spans="32:37">
      <c r="AF26222" s="831" t="s">
        <v>11653</v>
      </c>
      <c r="AG26222" s="831" t="s">
        <v>2674</v>
      </c>
      <c r="AH26222" s="831" t="s">
        <v>126</v>
      </c>
      <c r="AI26222" s="831">
        <v>0</v>
      </c>
      <c r="AJ26222" s="835">
        <v>41912</v>
      </c>
      <c r="AK26222" s="831">
        <v>145830225</v>
      </c>
    </row>
    <row r="26223" spans="32:37">
      <c r="AF26223" s="831" t="s">
        <v>11654</v>
      </c>
      <c r="AG26223" s="831" t="s">
        <v>2674</v>
      </c>
      <c r="AH26223" s="831" t="s">
        <v>268</v>
      </c>
      <c r="AI26223" s="831">
        <v>0</v>
      </c>
      <c r="AJ26223" s="835">
        <v>41912</v>
      </c>
      <c r="AK26223" s="831">
        <v>29012035</v>
      </c>
    </row>
    <row r="26224" spans="32:37">
      <c r="AF26224" s="831" t="s">
        <v>11655</v>
      </c>
      <c r="AG26224" s="831" t="s">
        <v>2674</v>
      </c>
      <c r="AH26224" s="831" t="s">
        <v>547</v>
      </c>
      <c r="AI26224" s="831">
        <v>0</v>
      </c>
      <c r="AJ26224" s="835">
        <v>41912</v>
      </c>
      <c r="AK26224" s="831">
        <v>777719977</v>
      </c>
    </row>
    <row r="26225" spans="32:37">
      <c r="AF26225" s="831" t="s">
        <v>11656</v>
      </c>
      <c r="AG26225" s="831" t="s">
        <v>2674</v>
      </c>
      <c r="AH26225" s="831" t="s">
        <v>548</v>
      </c>
      <c r="AI26225" s="831">
        <v>0</v>
      </c>
      <c r="AJ26225" s="835">
        <v>41912</v>
      </c>
      <c r="AK26225" s="831">
        <v>117105496</v>
      </c>
    </row>
    <row r="26226" spans="32:37">
      <c r="AF26226" s="831" t="s">
        <v>11657</v>
      </c>
      <c r="AG26226" s="831" t="s">
        <v>2674</v>
      </c>
      <c r="AH26226" s="831" t="s">
        <v>549</v>
      </c>
      <c r="AI26226" s="831">
        <v>0</v>
      </c>
      <c r="AJ26226" s="835">
        <v>41912</v>
      </c>
      <c r="AK26226" s="831">
        <v>563989028</v>
      </c>
    </row>
    <row r="26227" spans="32:37">
      <c r="AF26227" s="831" t="s">
        <v>11658</v>
      </c>
      <c r="AG26227" s="831" t="s">
        <v>2674</v>
      </c>
      <c r="AH26227" s="831" t="s">
        <v>192</v>
      </c>
      <c r="AI26227" s="831">
        <v>0</v>
      </c>
      <c r="AJ26227" s="835">
        <v>41912</v>
      </c>
      <c r="AK26227" s="831">
        <v>-11006364</v>
      </c>
    </row>
    <row r="26228" spans="32:37">
      <c r="AF26228" s="831" t="s">
        <v>11659</v>
      </c>
      <c r="AG26228" s="831" t="s">
        <v>2674</v>
      </c>
      <c r="AH26228" s="831" t="s">
        <v>558</v>
      </c>
      <c r="AI26228" s="831">
        <v>0</v>
      </c>
      <c r="AJ26228" s="835">
        <v>41912</v>
      </c>
      <c r="AK26228" s="831">
        <v>809908323</v>
      </c>
    </row>
    <row r="26229" spans="32:37">
      <c r="AF26229" s="831" t="s">
        <v>11660</v>
      </c>
      <c r="AG26229" s="831" t="s">
        <v>2674</v>
      </c>
      <c r="AH26229" s="831" t="s">
        <v>65</v>
      </c>
      <c r="AI26229" s="831">
        <v>0</v>
      </c>
      <c r="AJ26229" s="835">
        <v>41912</v>
      </c>
      <c r="AK26229" s="831">
        <v>126643298</v>
      </c>
    </row>
    <row r="26230" spans="32:37">
      <c r="AF26230" s="831" t="s">
        <v>11661</v>
      </c>
      <c r="AG26230" s="831" t="s">
        <v>2674</v>
      </c>
      <c r="AH26230" s="831" t="s">
        <v>89</v>
      </c>
      <c r="AI26230" s="831">
        <v>0</v>
      </c>
      <c r="AJ26230" s="835">
        <v>41912</v>
      </c>
      <c r="AK26230" s="831">
        <v>159987</v>
      </c>
    </row>
    <row r="26231" spans="32:37">
      <c r="AF26231" s="831" t="s">
        <v>11662</v>
      </c>
      <c r="AG26231" s="831" t="s">
        <v>2674</v>
      </c>
      <c r="AH26231" s="831" t="s">
        <v>557</v>
      </c>
      <c r="AI26231" s="831">
        <v>0</v>
      </c>
      <c r="AJ26231" s="835">
        <v>41912</v>
      </c>
      <c r="AK26231" s="831">
        <v>180249</v>
      </c>
    </row>
    <row r="26232" spans="32:37">
      <c r="AF26232" s="831" t="s">
        <v>11663</v>
      </c>
      <c r="AG26232" s="831" t="s">
        <v>2674</v>
      </c>
      <c r="AH26232" s="831" t="s">
        <v>29</v>
      </c>
      <c r="AI26232" s="831">
        <v>0</v>
      </c>
      <c r="AJ26232" s="835">
        <v>41912</v>
      </c>
      <c r="AK26232" s="831">
        <v>2332375</v>
      </c>
    </row>
    <row r="26233" spans="32:37">
      <c r="AF26233" s="831" t="s">
        <v>11664</v>
      </c>
      <c r="AG26233" s="831" t="s">
        <v>2674</v>
      </c>
      <c r="AH26233" s="831" t="s">
        <v>2688</v>
      </c>
      <c r="AI26233" s="831">
        <v>0</v>
      </c>
      <c r="AJ26233" s="835">
        <v>41912</v>
      </c>
      <c r="AK26233" s="831">
        <v>4758526.78</v>
      </c>
    </row>
    <row r="26234" spans="32:37">
      <c r="AF26234" s="831" t="s">
        <v>11665</v>
      </c>
      <c r="AG26234" s="831" t="s">
        <v>2674</v>
      </c>
      <c r="AH26234" s="831" t="s">
        <v>556</v>
      </c>
      <c r="AI26234" s="831">
        <v>0</v>
      </c>
      <c r="AJ26234" s="835">
        <v>41912</v>
      </c>
      <c r="AK26234" s="831">
        <v>6520953</v>
      </c>
    </row>
    <row r="26235" spans="32:37">
      <c r="AF26235" s="831" t="s">
        <v>11666</v>
      </c>
      <c r="AG26235" s="831" t="s">
        <v>2674</v>
      </c>
      <c r="AH26235" s="831" t="s">
        <v>555</v>
      </c>
      <c r="AI26235" s="831">
        <v>0</v>
      </c>
      <c r="AJ26235" s="835">
        <v>41912</v>
      </c>
      <c r="AK26235" s="831">
        <v>528140339</v>
      </c>
    </row>
    <row r="26236" spans="32:37">
      <c r="AF26236" s="831" t="s">
        <v>11667</v>
      </c>
      <c r="AG26236" s="831" t="s">
        <v>2674</v>
      </c>
      <c r="AH26236" s="831" t="s">
        <v>554</v>
      </c>
      <c r="AI26236" s="831">
        <v>0</v>
      </c>
      <c r="AJ26236" s="835">
        <v>41912</v>
      </c>
      <c r="AK26236" s="831">
        <v>536741460</v>
      </c>
    </row>
    <row r="26237" spans="32:37">
      <c r="AF26237" s="831" t="s">
        <v>11668</v>
      </c>
      <c r="AG26237" s="831" t="s">
        <v>2674</v>
      </c>
      <c r="AH26237" s="831" t="s">
        <v>553</v>
      </c>
      <c r="AI26237" s="831">
        <v>0</v>
      </c>
      <c r="AJ26237" s="835">
        <v>41912</v>
      </c>
      <c r="AK26237" s="831">
        <v>0</v>
      </c>
    </row>
    <row r="26238" spans="32:37">
      <c r="AF26238" s="831" t="s">
        <v>11669</v>
      </c>
      <c r="AG26238" s="831" t="s">
        <v>2674</v>
      </c>
      <c r="AH26238" s="831" t="s">
        <v>552</v>
      </c>
      <c r="AI26238" s="831">
        <v>0</v>
      </c>
      <c r="AJ26238" s="835">
        <v>41912</v>
      </c>
      <c r="AK26238" s="831">
        <v>0</v>
      </c>
    </row>
    <row r="26239" spans="32:37">
      <c r="AF26239" s="831" t="s">
        <v>11670</v>
      </c>
      <c r="AG26239" s="831" t="s">
        <v>2674</v>
      </c>
      <c r="AH26239" s="831" t="s">
        <v>551</v>
      </c>
      <c r="AI26239" s="831">
        <v>0</v>
      </c>
      <c r="AJ26239" s="835">
        <v>41912</v>
      </c>
      <c r="AK26239" s="831">
        <v>1612094</v>
      </c>
    </row>
    <row r="26240" spans="32:37">
      <c r="AF26240" s="831" t="s">
        <v>11671</v>
      </c>
      <c r="AG26240" s="831" t="s">
        <v>2674</v>
      </c>
      <c r="AH26240" s="831" t="s">
        <v>550</v>
      </c>
      <c r="AI26240" s="831">
        <v>0</v>
      </c>
      <c r="AJ26240" s="835">
        <v>41912</v>
      </c>
      <c r="AK26240" s="831">
        <v>141824046.03</v>
      </c>
    </row>
    <row r="26241" spans="32:37">
      <c r="AF26241" s="831" t="s">
        <v>11672</v>
      </c>
      <c r="AG26241" s="831" t="s">
        <v>2674</v>
      </c>
      <c r="AH26241" s="831" t="s">
        <v>562</v>
      </c>
      <c r="AI26241" s="831">
        <v>0</v>
      </c>
      <c r="AJ26241" s="835">
        <v>41912</v>
      </c>
      <c r="AK26241" s="831">
        <v>0.78325</v>
      </c>
    </row>
    <row r="26242" spans="32:37">
      <c r="AF26242" s="831" t="s">
        <v>11673</v>
      </c>
      <c r="AG26242" s="831" t="s">
        <v>2674</v>
      </c>
      <c r="AH26242" s="831" t="s">
        <v>2698</v>
      </c>
      <c r="AI26242" s="831">
        <v>0</v>
      </c>
      <c r="AJ26242" s="835">
        <v>41912</v>
      </c>
      <c r="AK26242" s="831">
        <v>0.7833</v>
      </c>
    </row>
    <row r="26243" spans="32:37">
      <c r="AF26243" s="831" t="s">
        <v>11674</v>
      </c>
      <c r="AG26243" s="831" t="s">
        <v>2674</v>
      </c>
      <c r="AH26243" s="831" t="s">
        <v>560</v>
      </c>
      <c r="AI26243" s="831">
        <v>0</v>
      </c>
      <c r="AJ26243" s="835">
        <v>41912</v>
      </c>
      <c r="AK26243" s="831">
        <v>0.78364444444444448</v>
      </c>
    </row>
    <row r="26244" spans="32:37">
      <c r="AF26244" s="831" t="s">
        <v>11675</v>
      </c>
      <c r="AG26244" s="831" t="s">
        <v>2674</v>
      </c>
      <c r="AH26244" s="831" t="s">
        <v>559</v>
      </c>
      <c r="AI26244" s="831">
        <v>0</v>
      </c>
      <c r="AJ26244" s="835">
        <v>41912</v>
      </c>
      <c r="AK26244" s="831">
        <v>0.78366250000000004</v>
      </c>
    </row>
    <row r="26245" spans="32:37">
      <c r="AF26245" s="831" t="s">
        <v>11676</v>
      </c>
      <c r="AG26245" s="831" t="s">
        <v>2674</v>
      </c>
      <c r="AH26245" s="831" t="s">
        <v>568</v>
      </c>
      <c r="AI26245" s="831">
        <v>0</v>
      </c>
      <c r="AJ26245" s="835">
        <v>41912</v>
      </c>
      <c r="AK26245" s="831">
        <v>671683974.07307696</v>
      </c>
    </row>
    <row r="26246" spans="32:37">
      <c r="AF26246" s="831" t="s">
        <v>11677</v>
      </c>
      <c r="AG26246" s="831" t="s">
        <v>2674</v>
      </c>
      <c r="AH26246" s="831" t="s">
        <v>569</v>
      </c>
      <c r="AI26246" s="831">
        <v>0</v>
      </c>
      <c r="AJ26246" s="835">
        <v>41912</v>
      </c>
      <c r="AK26246" s="831">
        <v>832078660.51176918</v>
      </c>
    </row>
    <row r="26247" spans="32:37">
      <c r="AF26247" s="831" t="s">
        <v>11678</v>
      </c>
      <c r="AG26247" s="831" t="s">
        <v>2674</v>
      </c>
      <c r="AH26247" s="831" t="s">
        <v>570</v>
      </c>
      <c r="AI26247" s="831">
        <v>0</v>
      </c>
      <c r="AJ26247" s="835">
        <v>41912</v>
      </c>
      <c r="AK26247" s="831">
        <v>127379907.52276923</v>
      </c>
    </row>
    <row r="26248" spans="32:37">
      <c r="AF26248" s="831" t="s">
        <v>11679</v>
      </c>
      <c r="AG26248" s="831" t="s">
        <v>2674</v>
      </c>
      <c r="AH26248" s="831" t="s">
        <v>571</v>
      </c>
      <c r="AI26248" s="831">
        <v>0</v>
      </c>
      <c r="AJ26248" s="835">
        <v>41912</v>
      </c>
      <c r="AK26248" s="831">
        <v>409242621.46846157</v>
      </c>
    </row>
    <row r="26249" spans="32:37">
      <c r="AF26249" s="831" t="s">
        <v>11680</v>
      </c>
      <c r="AG26249" s="831" t="s">
        <v>2674</v>
      </c>
      <c r="AH26249" s="831" t="s">
        <v>573</v>
      </c>
      <c r="AI26249" s="831">
        <v>0</v>
      </c>
      <c r="AJ26249" s="835">
        <v>41912</v>
      </c>
      <c r="AK26249" s="831">
        <v>865626907.3563</v>
      </c>
    </row>
    <row r="26250" spans="32:37">
      <c r="AF26250" s="831" t="s">
        <v>11681</v>
      </c>
      <c r="AG26250" s="831" t="s">
        <v>2674</v>
      </c>
      <c r="AH26250" s="831" t="s">
        <v>574</v>
      </c>
      <c r="AI26250" s="831">
        <v>0</v>
      </c>
      <c r="AJ26250" s="835">
        <v>41912</v>
      </c>
      <c r="AK26250" s="831">
        <v>698958196.60000002</v>
      </c>
    </row>
    <row r="26251" spans="32:37">
      <c r="AF26251" s="831" t="s">
        <v>11682</v>
      </c>
      <c r="AG26251" s="831" t="s">
        <v>2674</v>
      </c>
      <c r="AH26251" s="831" t="s">
        <v>575</v>
      </c>
      <c r="AI26251" s="831">
        <v>0</v>
      </c>
      <c r="AJ26251" s="835">
        <v>41912</v>
      </c>
      <c r="AK26251" s="831">
        <v>129535935.794</v>
      </c>
    </row>
    <row r="26252" spans="32:37">
      <c r="AF26252" s="831" t="s">
        <v>11683</v>
      </c>
      <c r="AG26252" s="831" t="s">
        <v>2674</v>
      </c>
      <c r="AH26252" s="831" t="s">
        <v>576</v>
      </c>
      <c r="AI26252" s="831">
        <v>0</v>
      </c>
      <c r="AJ26252" s="835">
        <v>41912</v>
      </c>
      <c r="AK26252" s="831">
        <v>427412859.60280001</v>
      </c>
    </row>
    <row r="26253" spans="32:37">
      <c r="AF26253" s="831" t="s">
        <v>11684</v>
      </c>
      <c r="AG26253" s="831" t="s">
        <v>2674</v>
      </c>
      <c r="AH26253" s="831" t="s">
        <v>572</v>
      </c>
      <c r="AI26253" s="831">
        <v>0</v>
      </c>
      <c r="AJ26253" s="835">
        <v>41912</v>
      </c>
      <c r="AK26253" s="831">
        <v>33781162.955999985</v>
      </c>
    </row>
    <row r="26254" spans="32:37">
      <c r="AF26254" s="831" t="s">
        <v>11685</v>
      </c>
      <c r="AG26254" s="831" t="s">
        <v>2674</v>
      </c>
      <c r="AH26254" s="831" t="s">
        <v>577</v>
      </c>
      <c r="AI26254" s="831">
        <v>0</v>
      </c>
      <c r="AJ26254" s="835">
        <v>41912</v>
      </c>
      <c r="AK26254" s="831">
        <v>164186629.76300001</v>
      </c>
    </row>
    <row r="26255" spans="32:37">
      <c r="AF26255" s="831" t="s">
        <v>11686</v>
      </c>
      <c r="AG26255" s="831" t="s">
        <v>2674</v>
      </c>
      <c r="AH26255" s="831" t="s">
        <v>3042</v>
      </c>
      <c r="AI26255" s="831">
        <v>0</v>
      </c>
      <c r="AJ26255" s="835">
        <v>41912</v>
      </c>
      <c r="AK26255" s="831">
        <v>-47764358.527000003</v>
      </c>
    </row>
    <row r="26256" spans="32:37">
      <c r="AF26256" s="831" t="s">
        <v>11687</v>
      </c>
      <c r="AG26256" s="831" t="s">
        <v>2674</v>
      </c>
      <c r="AH26256" s="831" t="s">
        <v>3044</v>
      </c>
      <c r="AI26256" s="831">
        <v>0</v>
      </c>
      <c r="AJ26256" s="835">
        <v>41912</v>
      </c>
      <c r="AK26256" s="831">
        <v>-2027515.8899999997</v>
      </c>
    </row>
    <row r="26257" spans="32:37">
      <c r="AF26257" s="831" t="s">
        <v>11688</v>
      </c>
      <c r="AG26257" s="831" t="s">
        <v>2674</v>
      </c>
      <c r="AH26257" s="831" t="s">
        <v>580</v>
      </c>
      <c r="AI26257" s="831">
        <v>0</v>
      </c>
      <c r="AJ26257" s="835">
        <v>41912</v>
      </c>
      <c r="AK26257" s="831">
        <v>-75872333.307000011</v>
      </c>
    </row>
    <row r="26258" spans="32:37">
      <c r="AF26258" s="831" t="s">
        <v>11689</v>
      </c>
      <c r="AG26258" s="831" t="s">
        <v>2674</v>
      </c>
      <c r="AH26258" s="831" t="s">
        <v>581</v>
      </c>
      <c r="AI26258" s="831">
        <v>0</v>
      </c>
      <c r="AJ26258" s="835">
        <v>41912</v>
      </c>
      <c r="AK26258" s="831">
        <v>6304407.8940000003</v>
      </c>
    </row>
    <row r="26259" spans="32:37">
      <c r="AF26259" s="831" t="s">
        <v>11690</v>
      </c>
      <c r="AG26259" s="831" t="s">
        <v>2674</v>
      </c>
      <c r="AH26259" s="831" t="s">
        <v>105</v>
      </c>
      <c r="AI26259" s="831">
        <v>0</v>
      </c>
      <c r="AJ26259" s="835">
        <v>41912</v>
      </c>
      <c r="AK26259" s="831">
        <v>472452480</v>
      </c>
    </row>
    <row r="26260" spans="32:37">
      <c r="AF26260" s="831" t="s">
        <v>11691</v>
      </c>
      <c r="AG26260" s="831" t="s">
        <v>2674</v>
      </c>
      <c r="AH26260" s="831" t="s">
        <v>3049</v>
      </c>
      <c r="AI26260" s="831">
        <v>0</v>
      </c>
      <c r="AJ26260" s="835">
        <v>41912</v>
      </c>
      <c r="AK26260" s="831">
        <v>783051294</v>
      </c>
    </row>
    <row r="26261" spans="32:37">
      <c r="AF26261" s="831" t="s">
        <v>11692</v>
      </c>
      <c r="AG26261" s="831" t="s">
        <v>2674</v>
      </c>
      <c r="AH26261" s="831" t="s">
        <v>103</v>
      </c>
      <c r="AI26261" s="831">
        <v>0</v>
      </c>
      <c r="AJ26261" s="835">
        <v>41912</v>
      </c>
      <c r="AK26261" s="831">
        <v>310598814</v>
      </c>
    </row>
    <row r="26262" spans="32:37">
      <c r="AF26262" s="831" t="s">
        <v>11693</v>
      </c>
      <c r="AG26262" s="831" t="s">
        <v>2674</v>
      </c>
      <c r="AH26262" s="831" t="s">
        <v>182</v>
      </c>
      <c r="AI26262" s="831">
        <v>0</v>
      </c>
      <c r="AJ26262" s="835">
        <v>41912</v>
      </c>
      <c r="AK26262" s="831">
        <v>73471997.333333328</v>
      </c>
    </row>
    <row r="26263" spans="32:37">
      <c r="AF26263" s="831" t="s">
        <v>11694</v>
      </c>
      <c r="AG26263" s="831" t="s">
        <v>2674</v>
      </c>
      <c r="AH26263" s="831" t="s">
        <v>6600</v>
      </c>
      <c r="AI26263" s="831">
        <v>0</v>
      </c>
      <c r="AJ26263" s="835">
        <v>41912</v>
      </c>
      <c r="AK26263" s="831">
        <v>33781162.955999985</v>
      </c>
    </row>
    <row r="26264" spans="32:37">
      <c r="AF26264" s="831" t="s">
        <v>11695</v>
      </c>
      <c r="AG26264" s="831" t="s">
        <v>2674</v>
      </c>
      <c r="AH26264" s="831" t="s">
        <v>6602</v>
      </c>
      <c r="AI26264" s="831">
        <v>0</v>
      </c>
      <c r="AJ26264" s="835">
        <v>41912</v>
      </c>
      <c r="AK26264" s="831">
        <v>29012035</v>
      </c>
    </row>
    <row r="26265" spans="32:37">
      <c r="AF26265" s="831" t="s">
        <v>11696</v>
      </c>
      <c r="AG26265" s="831" t="s">
        <v>2674</v>
      </c>
      <c r="AH26265" s="831" t="s">
        <v>650</v>
      </c>
      <c r="AI26265" s="831">
        <v>0</v>
      </c>
      <c r="AJ26265" s="835">
        <v>41912</v>
      </c>
      <c r="AK26265" s="831">
        <v>273036122.95146155</v>
      </c>
    </row>
    <row r="26266" spans="32:37">
      <c r="AF26266" s="831" t="s">
        <v>11697</v>
      </c>
      <c r="AG26266" s="831" t="s">
        <v>2674</v>
      </c>
      <c r="AH26266" s="831" t="s">
        <v>655</v>
      </c>
      <c r="AI26266" s="831">
        <v>0</v>
      </c>
      <c r="AJ26266" s="835">
        <v>41912</v>
      </c>
      <c r="AK26266" s="831">
        <v>1341189</v>
      </c>
    </row>
    <row r="26267" spans="32:37">
      <c r="AF26267" s="831" t="s">
        <v>11698</v>
      </c>
      <c r="AG26267" s="831" t="s">
        <v>2674</v>
      </c>
      <c r="AH26267" s="831" t="s">
        <v>546</v>
      </c>
      <c r="AI26267" s="831">
        <v>0</v>
      </c>
      <c r="AJ26267" s="835">
        <v>41943</v>
      </c>
      <c r="AK26267" s="831">
        <v>788185615</v>
      </c>
    </row>
    <row r="26268" spans="32:37">
      <c r="AF26268" s="831" t="s">
        <v>11699</v>
      </c>
      <c r="AG26268" s="831" t="s">
        <v>2674</v>
      </c>
      <c r="AH26268" s="831" t="s">
        <v>370</v>
      </c>
      <c r="AI26268" s="831">
        <v>0</v>
      </c>
      <c r="AJ26268" s="835">
        <v>41943</v>
      </c>
      <c r="AK26268" s="831">
        <v>999911217</v>
      </c>
    </row>
    <row r="26269" spans="32:37">
      <c r="AF26269" s="831" t="s">
        <v>11700</v>
      </c>
      <c r="AG26269" s="831" t="s">
        <v>2674</v>
      </c>
      <c r="AH26269" s="831" t="s">
        <v>126</v>
      </c>
      <c r="AI26269" s="831">
        <v>0</v>
      </c>
      <c r="AJ26269" s="835">
        <v>41943</v>
      </c>
      <c r="AK26269" s="831">
        <v>149380039</v>
      </c>
    </row>
    <row r="26270" spans="32:37">
      <c r="AF26270" s="831" t="s">
        <v>11701</v>
      </c>
      <c r="AG26270" s="831" t="s">
        <v>2674</v>
      </c>
      <c r="AH26270" s="831" t="s">
        <v>268</v>
      </c>
      <c r="AI26270" s="831">
        <v>0</v>
      </c>
      <c r="AJ26270" s="835">
        <v>41943</v>
      </c>
      <c r="AK26270" s="831">
        <v>32657533</v>
      </c>
    </row>
    <row r="26271" spans="32:37">
      <c r="AF26271" s="831" t="s">
        <v>11702</v>
      </c>
      <c r="AG26271" s="831" t="s">
        <v>2674</v>
      </c>
      <c r="AH26271" s="831" t="s">
        <v>547</v>
      </c>
      <c r="AI26271" s="831">
        <v>0</v>
      </c>
      <c r="AJ26271" s="835">
        <v>41943</v>
      </c>
      <c r="AK26271" s="831">
        <v>777719977</v>
      </c>
    </row>
    <row r="26272" spans="32:37">
      <c r="AF26272" s="831" t="s">
        <v>11703</v>
      </c>
      <c r="AG26272" s="831" t="s">
        <v>2674</v>
      </c>
      <c r="AH26272" s="831" t="s">
        <v>548</v>
      </c>
      <c r="AI26272" s="831">
        <v>0</v>
      </c>
      <c r="AJ26272" s="835">
        <v>41943</v>
      </c>
      <c r="AK26272" s="831">
        <v>117105496</v>
      </c>
    </row>
    <row r="26273" spans="32:37">
      <c r="AF26273" s="831" t="s">
        <v>11704</v>
      </c>
      <c r="AG26273" s="831" t="s">
        <v>2674</v>
      </c>
      <c r="AH26273" s="831" t="s">
        <v>549</v>
      </c>
      <c r="AI26273" s="831">
        <v>0</v>
      </c>
      <c r="AJ26273" s="835">
        <v>41943</v>
      </c>
      <c r="AK26273" s="831">
        <v>580271359</v>
      </c>
    </row>
    <row r="26274" spans="32:37">
      <c r="AF26274" s="831" t="s">
        <v>11705</v>
      </c>
      <c r="AG26274" s="831" t="s">
        <v>2674</v>
      </c>
      <c r="AH26274" s="831" t="s">
        <v>192</v>
      </c>
      <c r="AI26274" s="831">
        <v>0</v>
      </c>
      <c r="AJ26274" s="835">
        <v>41943</v>
      </c>
      <c r="AK26274" s="831">
        <v>-11001950</v>
      </c>
    </row>
    <row r="26275" spans="32:37">
      <c r="AF26275" s="831" t="s">
        <v>11706</v>
      </c>
      <c r="AG26275" s="831" t="s">
        <v>2674</v>
      </c>
      <c r="AH26275" s="831" t="s">
        <v>558</v>
      </c>
      <c r="AI26275" s="831">
        <v>0</v>
      </c>
      <c r="AJ26275" s="835">
        <v>41943</v>
      </c>
      <c r="AK26275" s="831">
        <v>850531537</v>
      </c>
    </row>
    <row r="26276" spans="32:37">
      <c r="AF26276" s="831" t="s">
        <v>11707</v>
      </c>
      <c r="AG26276" s="831" t="s">
        <v>2674</v>
      </c>
      <c r="AH26276" s="831" t="s">
        <v>65</v>
      </c>
      <c r="AI26276" s="831">
        <v>0</v>
      </c>
      <c r="AJ26276" s="835">
        <v>41943</v>
      </c>
      <c r="AK26276" s="831">
        <v>144545337</v>
      </c>
    </row>
    <row r="26277" spans="32:37">
      <c r="AF26277" s="831" t="s">
        <v>11708</v>
      </c>
      <c r="AG26277" s="831" t="s">
        <v>2674</v>
      </c>
      <c r="AH26277" s="831" t="s">
        <v>89</v>
      </c>
      <c r="AI26277" s="831">
        <v>0</v>
      </c>
      <c r="AJ26277" s="835">
        <v>41943</v>
      </c>
      <c r="AK26277" s="831">
        <v>159189</v>
      </c>
    </row>
    <row r="26278" spans="32:37">
      <c r="AF26278" s="831" t="s">
        <v>11709</v>
      </c>
      <c r="AG26278" s="831" t="s">
        <v>2674</v>
      </c>
      <c r="AH26278" s="831" t="s">
        <v>557</v>
      </c>
      <c r="AI26278" s="831">
        <v>0</v>
      </c>
      <c r="AJ26278" s="835">
        <v>41943</v>
      </c>
      <c r="AK26278" s="831">
        <v>176925</v>
      </c>
    </row>
    <row r="26279" spans="32:37">
      <c r="AF26279" s="831" t="s">
        <v>11710</v>
      </c>
      <c r="AG26279" s="831" t="s">
        <v>2674</v>
      </c>
      <c r="AH26279" s="831" t="s">
        <v>29</v>
      </c>
      <c r="AI26279" s="831">
        <v>0</v>
      </c>
      <c r="AJ26279" s="835">
        <v>41943</v>
      </c>
      <c r="AK26279" s="831">
        <v>4443738</v>
      </c>
    </row>
    <row r="26280" spans="32:37">
      <c r="AF26280" s="831" t="s">
        <v>11711</v>
      </c>
      <c r="AG26280" s="831" t="s">
        <v>2674</v>
      </c>
      <c r="AH26280" s="831" t="s">
        <v>2688</v>
      </c>
      <c r="AI26280" s="831">
        <v>0</v>
      </c>
      <c r="AJ26280" s="835">
        <v>41943</v>
      </c>
      <c r="AK26280" s="831">
        <v>4878770.040000001</v>
      </c>
    </row>
    <row r="26281" spans="32:37">
      <c r="AF26281" s="831" t="s">
        <v>11712</v>
      </c>
      <c r="AG26281" s="831" t="s">
        <v>2674</v>
      </c>
      <c r="AH26281" s="831" t="s">
        <v>556</v>
      </c>
      <c r="AI26281" s="831">
        <v>0</v>
      </c>
      <c r="AJ26281" s="835">
        <v>41943</v>
      </c>
      <c r="AK26281" s="831">
        <v>8151347</v>
      </c>
    </row>
    <row r="26282" spans="32:37">
      <c r="AF26282" s="831" t="s">
        <v>11713</v>
      </c>
      <c r="AG26282" s="831" t="s">
        <v>2674</v>
      </c>
      <c r="AH26282" s="831" t="s">
        <v>555</v>
      </c>
      <c r="AI26282" s="831">
        <v>0</v>
      </c>
      <c r="AJ26282" s="835">
        <v>41943</v>
      </c>
      <c r="AK26282" s="831">
        <v>560953709</v>
      </c>
    </row>
    <row r="26283" spans="32:37">
      <c r="AF26283" s="831" t="s">
        <v>11714</v>
      </c>
      <c r="AG26283" s="831" t="s">
        <v>2674</v>
      </c>
      <c r="AH26283" s="831" t="s">
        <v>554</v>
      </c>
      <c r="AI26283" s="831">
        <v>0</v>
      </c>
      <c r="AJ26283" s="835">
        <v>41943</v>
      </c>
      <c r="AK26283" s="831">
        <v>571019140</v>
      </c>
    </row>
    <row r="26284" spans="32:37">
      <c r="AF26284" s="831" t="s">
        <v>11715</v>
      </c>
      <c r="AG26284" s="831" t="s">
        <v>2674</v>
      </c>
      <c r="AH26284" s="831" t="s">
        <v>553</v>
      </c>
      <c r="AI26284" s="831">
        <v>0</v>
      </c>
      <c r="AJ26284" s="835">
        <v>41943</v>
      </c>
      <c r="AK26284" s="831">
        <v>0</v>
      </c>
    </row>
    <row r="26285" spans="32:37">
      <c r="AF26285" s="831" t="s">
        <v>11716</v>
      </c>
      <c r="AG26285" s="831" t="s">
        <v>2674</v>
      </c>
      <c r="AH26285" s="831" t="s">
        <v>552</v>
      </c>
      <c r="AI26285" s="831">
        <v>0</v>
      </c>
      <c r="AJ26285" s="835">
        <v>41943</v>
      </c>
      <c r="AK26285" s="831">
        <v>0</v>
      </c>
    </row>
    <row r="26286" spans="32:37">
      <c r="AF26286" s="831" t="s">
        <v>11717</v>
      </c>
      <c r="AG26286" s="831" t="s">
        <v>2674</v>
      </c>
      <c r="AH26286" s="831" t="s">
        <v>551</v>
      </c>
      <c r="AI26286" s="831">
        <v>0</v>
      </c>
      <c r="AJ26286" s="835">
        <v>41943</v>
      </c>
      <c r="AK26286" s="831">
        <v>1179234</v>
      </c>
    </row>
    <row r="26287" spans="32:37">
      <c r="AF26287" s="831" t="s">
        <v>11718</v>
      </c>
      <c r="AG26287" s="831" t="s">
        <v>2674</v>
      </c>
      <c r="AH26287" s="831" t="s">
        <v>550</v>
      </c>
      <c r="AI26287" s="831">
        <v>0</v>
      </c>
      <c r="AJ26287" s="835">
        <v>41943</v>
      </c>
      <c r="AK26287" s="831">
        <v>145830225</v>
      </c>
    </row>
    <row r="26288" spans="32:37">
      <c r="AF26288" s="831" t="s">
        <v>11719</v>
      </c>
      <c r="AG26288" s="831" t="s">
        <v>2674</v>
      </c>
      <c r="AH26288" s="831" t="s">
        <v>562</v>
      </c>
      <c r="AI26288" s="831">
        <v>0</v>
      </c>
      <c r="AJ26288" s="835">
        <v>41943</v>
      </c>
      <c r="AK26288" s="831">
        <v>0.78380000000000005</v>
      </c>
    </row>
    <row r="26289" spans="32:37">
      <c r="AF26289" s="831" t="s">
        <v>11720</v>
      </c>
      <c r="AG26289" s="831" t="s">
        <v>2674</v>
      </c>
      <c r="AH26289" s="831" t="s">
        <v>2698</v>
      </c>
      <c r="AI26289" s="831">
        <v>0</v>
      </c>
      <c r="AJ26289" s="835">
        <v>41943</v>
      </c>
      <c r="AK26289" s="831">
        <v>0.78325</v>
      </c>
    </row>
    <row r="26290" spans="32:37">
      <c r="AF26290" s="831" t="s">
        <v>11721</v>
      </c>
      <c r="AG26290" s="831" t="s">
        <v>2674</v>
      </c>
      <c r="AH26290" s="831" t="s">
        <v>560</v>
      </c>
      <c r="AI26290" s="831">
        <v>0</v>
      </c>
      <c r="AJ26290" s="835">
        <v>41943</v>
      </c>
      <c r="AK26290" s="831">
        <v>0.78366000000000002</v>
      </c>
    </row>
    <row r="26291" spans="32:37">
      <c r="AF26291" s="831" t="s">
        <v>11722</v>
      </c>
      <c r="AG26291" s="831" t="s">
        <v>2674</v>
      </c>
      <c r="AH26291" s="831" t="s">
        <v>559</v>
      </c>
      <c r="AI26291" s="831">
        <v>0</v>
      </c>
      <c r="AJ26291" s="835">
        <v>41943</v>
      </c>
      <c r="AK26291" s="831">
        <v>0.78364999999999985</v>
      </c>
    </row>
    <row r="26292" spans="32:37">
      <c r="AF26292" s="831" t="s">
        <v>11723</v>
      </c>
      <c r="AG26292" s="831" t="s">
        <v>2674</v>
      </c>
      <c r="AH26292" s="831" t="s">
        <v>568</v>
      </c>
      <c r="AI26292" s="831">
        <v>0</v>
      </c>
      <c r="AJ26292" s="835">
        <v>41943</v>
      </c>
      <c r="AK26292" s="831">
        <v>688929865.38076925</v>
      </c>
    </row>
    <row r="26293" spans="32:37">
      <c r="AF26293" s="831" t="s">
        <v>11724</v>
      </c>
      <c r="AG26293" s="831" t="s">
        <v>2674</v>
      </c>
      <c r="AH26293" s="831" t="s">
        <v>569</v>
      </c>
      <c r="AI26293" s="831">
        <v>0</v>
      </c>
      <c r="AJ26293" s="835">
        <v>41943</v>
      </c>
      <c r="AK26293" s="831">
        <v>855702939.81946158</v>
      </c>
    </row>
    <row r="26294" spans="32:37">
      <c r="AF26294" s="831" t="s">
        <v>11725</v>
      </c>
      <c r="AG26294" s="831" t="s">
        <v>2674</v>
      </c>
      <c r="AH26294" s="831" t="s">
        <v>570</v>
      </c>
      <c r="AI26294" s="831">
        <v>0</v>
      </c>
      <c r="AJ26294" s="835">
        <v>41943</v>
      </c>
      <c r="AK26294" s="831">
        <v>129857553.83046153</v>
      </c>
    </row>
    <row r="26295" spans="32:37">
      <c r="AF26295" s="831" t="s">
        <v>11726</v>
      </c>
      <c r="AG26295" s="831" t="s">
        <v>2674</v>
      </c>
      <c r="AH26295" s="831" t="s">
        <v>571</v>
      </c>
      <c r="AI26295" s="831">
        <v>0</v>
      </c>
      <c r="AJ26295" s="835">
        <v>41943</v>
      </c>
      <c r="AK26295" s="831">
        <v>421465171.16076922</v>
      </c>
    </row>
    <row r="26296" spans="32:37">
      <c r="AF26296" s="831" t="s">
        <v>11727</v>
      </c>
      <c r="AG26296" s="831" t="s">
        <v>2674</v>
      </c>
      <c r="AH26296" s="831" t="s">
        <v>573</v>
      </c>
      <c r="AI26296" s="831">
        <v>0</v>
      </c>
      <c r="AJ26296" s="835">
        <v>41943</v>
      </c>
      <c r="AK26296" s="831">
        <v>877834571.86936367</v>
      </c>
    </row>
    <row r="26297" spans="32:37">
      <c r="AF26297" s="831" t="s">
        <v>11728</v>
      </c>
      <c r="AG26297" s="831" t="s">
        <v>2674</v>
      </c>
      <c r="AH26297" s="831" t="s">
        <v>574</v>
      </c>
      <c r="AI26297" s="831">
        <v>0</v>
      </c>
      <c r="AJ26297" s="835">
        <v>41943</v>
      </c>
      <c r="AK26297" s="831">
        <v>707069780.09090912</v>
      </c>
    </row>
    <row r="26298" spans="32:37">
      <c r="AF26298" s="831" t="s">
        <v>11729</v>
      </c>
      <c r="AG26298" s="831" t="s">
        <v>2674</v>
      </c>
      <c r="AH26298" s="831" t="s">
        <v>575</v>
      </c>
      <c r="AI26298" s="831">
        <v>0</v>
      </c>
      <c r="AJ26298" s="835">
        <v>41943</v>
      </c>
      <c r="AK26298" s="831">
        <v>131339945.17636365</v>
      </c>
    </row>
    <row r="26299" spans="32:37">
      <c r="AF26299" s="831" t="s">
        <v>11730</v>
      </c>
      <c r="AG26299" s="831" t="s">
        <v>2674</v>
      </c>
      <c r="AH26299" s="831" t="s">
        <v>576</v>
      </c>
      <c r="AI26299" s="831">
        <v>0</v>
      </c>
      <c r="AJ26299" s="835">
        <v>41943</v>
      </c>
      <c r="AK26299" s="831">
        <v>433816282.72981817</v>
      </c>
    </row>
    <row r="26300" spans="32:37">
      <c r="AF26300" s="831" t="s">
        <v>11731</v>
      </c>
      <c r="AG26300" s="831" t="s">
        <v>2674</v>
      </c>
      <c r="AH26300" s="831" t="s">
        <v>572</v>
      </c>
      <c r="AI26300" s="831">
        <v>0</v>
      </c>
      <c r="AJ26300" s="835">
        <v>41943</v>
      </c>
      <c r="AK26300" s="831">
        <v>34306433.956</v>
      </c>
    </row>
    <row r="26301" spans="32:37">
      <c r="AF26301" s="831" t="s">
        <v>11732</v>
      </c>
      <c r="AG26301" s="831" t="s">
        <v>2674</v>
      </c>
      <c r="AH26301" s="831" t="s">
        <v>577</v>
      </c>
      <c r="AI26301" s="831">
        <v>0</v>
      </c>
      <c r="AJ26301" s="835">
        <v>41943</v>
      </c>
      <c r="AK26301" s="831">
        <v>169874551.76300001</v>
      </c>
    </row>
    <row r="26302" spans="32:37">
      <c r="AF26302" s="831" t="s">
        <v>11733</v>
      </c>
      <c r="AG26302" s="831" t="s">
        <v>2674</v>
      </c>
      <c r="AH26302" s="831" t="s">
        <v>3042</v>
      </c>
      <c r="AI26302" s="831">
        <v>0</v>
      </c>
      <c r="AJ26302" s="835">
        <v>41943</v>
      </c>
      <c r="AK26302" s="831">
        <v>-49231778.527000003</v>
      </c>
    </row>
    <row r="26303" spans="32:37">
      <c r="AF26303" s="831" t="s">
        <v>11734</v>
      </c>
      <c r="AG26303" s="831" t="s">
        <v>2674</v>
      </c>
      <c r="AH26303" s="831" t="s">
        <v>3044</v>
      </c>
      <c r="AI26303" s="831">
        <v>0</v>
      </c>
      <c r="AJ26303" s="835">
        <v>41943</v>
      </c>
      <c r="AK26303" s="831">
        <v>-1676338.8899999997</v>
      </c>
    </row>
    <row r="26304" spans="32:37">
      <c r="AF26304" s="831" t="s">
        <v>11735</v>
      </c>
      <c r="AG26304" s="831" t="s">
        <v>2674</v>
      </c>
      <c r="AH26304" s="831" t="s">
        <v>580</v>
      </c>
      <c r="AI26304" s="831">
        <v>0</v>
      </c>
      <c r="AJ26304" s="835">
        <v>41943</v>
      </c>
      <c r="AK26304" s="831">
        <v>-77780641.306999996</v>
      </c>
    </row>
    <row r="26305" spans="32:37">
      <c r="AF26305" s="831" t="s">
        <v>11736</v>
      </c>
      <c r="AG26305" s="831" t="s">
        <v>2674</v>
      </c>
      <c r="AH26305" s="831" t="s">
        <v>581</v>
      </c>
      <c r="AI26305" s="831">
        <v>0</v>
      </c>
      <c r="AJ26305" s="835">
        <v>41943</v>
      </c>
      <c r="AK26305" s="831">
        <v>4385512.8940000003</v>
      </c>
    </row>
    <row r="26306" spans="32:37">
      <c r="AF26306" s="831" t="s">
        <v>11737</v>
      </c>
      <c r="AG26306" s="831" t="s">
        <v>2674</v>
      </c>
      <c r="AH26306" s="831" t="s">
        <v>105</v>
      </c>
      <c r="AI26306" s="831">
        <v>0</v>
      </c>
      <c r="AJ26306" s="835">
        <v>41943</v>
      </c>
      <c r="AK26306" s="831">
        <v>497850514</v>
      </c>
    </row>
    <row r="26307" spans="32:37">
      <c r="AF26307" s="831" t="s">
        <v>11738</v>
      </c>
      <c r="AG26307" s="831" t="s">
        <v>2674</v>
      </c>
      <c r="AH26307" s="831" t="s">
        <v>3049</v>
      </c>
      <c r="AI26307" s="831">
        <v>0</v>
      </c>
      <c r="AJ26307" s="835">
        <v>41943</v>
      </c>
      <c r="AK26307" s="831">
        <v>819726974</v>
      </c>
    </row>
    <row r="26308" spans="32:37">
      <c r="AF26308" s="831" t="s">
        <v>11739</v>
      </c>
      <c r="AG26308" s="831" t="s">
        <v>2674</v>
      </c>
      <c r="AH26308" s="831" t="s">
        <v>103</v>
      </c>
      <c r="AI26308" s="831">
        <v>0</v>
      </c>
      <c r="AJ26308" s="835">
        <v>41943</v>
      </c>
      <c r="AK26308" s="831">
        <v>321876460</v>
      </c>
    </row>
    <row r="26309" spans="32:37">
      <c r="AF26309" s="831" t="s">
        <v>11740</v>
      </c>
      <c r="AG26309" s="831" t="s">
        <v>2674</v>
      </c>
      <c r="AH26309" s="831" t="s">
        <v>182</v>
      </c>
      <c r="AI26309" s="831">
        <v>0</v>
      </c>
      <c r="AJ26309" s="835">
        <v>41943</v>
      </c>
      <c r="AK26309" s="831">
        <v>74624670</v>
      </c>
    </row>
    <row r="26310" spans="32:37">
      <c r="AF26310" s="831" t="s">
        <v>11741</v>
      </c>
      <c r="AG26310" s="831" t="s">
        <v>2674</v>
      </c>
      <c r="AH26310" s="831" t="s">
        <v>6600</v>
      </c>
      <c r="AI26310" s="831">
        <v>0</v>
      </c>
      <c r="AJ26310" s="835">
        <v>41943</v>
      </c>
      <c r="AK26310" s="831">
        <v>34306433.956</v>
      </c>
    </row>
    <row r="26311" spans="32:37">
      <c r="AF26311" s="831" t="s">
        <v>11742</v>
      </c>
      <c r="AG26311" s="831" t="s">
        <v>2674</v>
      </c>
      <c r="AH26311" s="831" t="s">
        <v>6602</v>
      </c>
      <c r="AI26311" s="831">
        <v>0</v>
      </c>
      <c r="AJ26311" s="835">
        <v>41943</v>
      </c>
      <c r="AK26311" s="831">
        <v>32657533</v>
      </c>
    </row>
    <row r="26312" spans="32:37">
      <c r="AF26312" s="831" t="s">
        <v>11743</v>
      </c>
      <c r="AG26312" s="831" t="s">
        <v>2674</v>
      </c>
      <c r="AH26312" s="831" t="s">
        <v>650</v>
      </c>
      <c r="AI26312" s="831">
        <v>0</v>
      </c>
      <c r="AJ26312" s="835">
        <v>41943</v>
      </c>
      <c r="AK26312" s="831">
        <v>280875581.18223077</v>
      </c>
    </row>
    <row r="26313" spans="32:37">
      <c r="AF26313" s="831" t="s">
        <v>11744</v>
      </c>
      <c r="AG26313" s="831" t="s">
        <v>2674</v>
      </c>
      <c r="AH26313" s="831" t="s">
        <v>655</v>
      </c>
      <c r="AI26313" s="831">
        <v>0</v>
      </c>
      <c r="AJ26313" s="835">
        <v>41943</v>
      </c>
      <c r="AK26313" s="831">
        <v>824847</v>
      </c>
    </row>
    <row r="26314" spans="32:37">
      <c r="AF26314" s="831" t="s">
        <v>11745</v>
      </c>
      <c r="AG26314" s="831" t="s">
        <v>2674</v>
      </c>
      <c r="AH26314" s="831" t="s">
        <v>546</v>
      </c>
      <c r="AI26314" s="831">
        <v>0</v>
      </c>
      <c r="AJ26314" s="835">
        <v>41973</v>
      </c>
      <c r="AK26314" s="831">
        <v>802902472</v>
      </c>
    </row>
    <row r="26315" spans="32:37">
      <c r="AF26315" s="831" t="s">
        <v>11746</v>
      </c>
      <c r="AG26315" s="831" t="s">
        <v>2674</v>
      </c>
      <c r="AH26315" s="831" t="s">
        <v>370</v>
      </c>
      <c r="AI26315" s="831">
        <v>0</v>
      </c>
      <c r="AJ26315" s="835">
        <v>41973</v>
      </c>
      <c r="AK26315" s="831">
        <v>1000702434</v>
      </c>
    </row>
    <row r="26316" spans="32:37">
      <c r="AF26316" s="831" t="s">
        <v>11747</v>
      </c>
      <c r="AG26316" s="831" t="s">
        <v>2674</v>
      </c>
      <c r="AH26316" s="831" t="s">
        <v>126</v>
      </c>
      <c r="AI26316" s="831">
        <v>0</v>
      </c>
      <c r="AJ26316" s="835">
        <v>41973</v>
      </c>
      <c r="AK26316" s="831">
        <v>153599665</v>
      </c>
    </row>
    <row r="26317" spans="32:37">
      <c r="AF26317" s="831" t="s">
        <v>11748</v>
      </c>
      <c r="AG26317" s="831" t="s">
        <v>2674</v>
      </c>
      <c r="AH26317" s="831" t="s">
        <v>268</v>
      </c>
      <c r="AI26317" s="831">
        <v>0</v>
      </c>
      <c r="AJ26317" s="835">
        <v>41973</v>
      </c>
      <c r="AK26317" s="831">
        <v>35013602</v>
      </c>
    </row>
    <row r="26318" spans="32:37">
      <c r="AF26318" s="831" t="s">
        <v>11749</v>
      </c>
      <c r="AG26318" s="831" t="s">
        <v>2674</v>
      </c>
      <c r="AH26318" s="831" t="s">
        <v>547</v>
      </c>
      <c r="AI26318" s="831">
        <v>0</v>
      </c>
      <c r="AJ26318" s="835">
        <v>41973</v>
      </c>
      <c r="AK26318" s="831">
        <v>777719977</v>
      </c>
    </row>
    <row r="26319" spans="32:37">
      <c r="AF26319" s="831" t="s">
        <v>11750</v>
      </c>
      <c r="AG26319" s="831" t="s">
        <v>2674</v>
      </c>
      <c r="AH26319" s="831" t="s">
        <v>548</v>
      </c>
      <c r="AI26319" s="831">
        <v>0</v>
      </c>
      <c r="AJ26319" s="835">
        <v>41973</v>
      </c>
      <c r="AK26319" s="831">
        <v>117105496</v>
      </c>
    </row>
    <row r="26320" spans="32:37">
      <c r="AF26320" s="831" t="s">
        <v>11751</v>
      </c>
      <c r="AG26320" s="831" t="s">
        <v>2674</v>
      </c>
      <c r="AH26320" s="831" t="s">
        <v>549</v>
      </c>
      <c r="AI26320" s="831">
        <v>0</v>
      </c>
      <c r="AJ26320" s="835">
        <v>41973</v>
      </c>
      <c r="AK26320" s="831">
        <v>598049309.95000005</v>
      </c>
    </row>
    <row r="26321" spans="32:37">
      <c r="AF26321" s="831" t="s">
        <v>11752</v>
      </c>
      <c r="AG26321" s="831" t="s">
        <v>2674</v>
      </c>
      <c r="AH26321" s="831" t="s">
        <v>192</v>
      </c>
      <c r="AI26321" s="831">
        <v>0</v>
      </c>
      <c r="AJ26321" s="835">
        <v>41973</v>
      </c>
      <c r="AK26321" s="831">
        <v>-10647566</v>
      </c>
    </row>
    <row r="26322" spans="32:37">
      <c r="AF26322" s="831" t="s">
        <v>11753</v>
      </c>
      <c r="AG26322" s="831" t="s">
        <v>2674</v>
      </c>
      <c r="AH26322" s="831" t="s">
        <v>558</v>
      </c>
      <c r="AI26322" s="831">
        <v>0</v>
      </c>
      <c r="AJ26322" s="835">
        <v>41973</v>
      </c>
      <c r="AK26322" s="831">
        <v>847102769</v>
      </c>
    </row>
    <row r="26323" spans="32:37">
      <c r="AF26323" s="831" t="s">
        <v>11754</v>
      </c>
      <c r="AG26323" s="831" t="s">
        <v>2674</v>
      </c>
      <c r="AH26323" s="831" t="s">
        <v>65</v>
      </c>
      <c r="AI26323" s="831">
        <v>0</v>
      </c>
      <c r="AJ26323" s="835">
        <v>41973</v>
      </c>
      <c r="AK26323" s="831">
        <v>160301151</v>
      </c>
    </row>
    <row r="26324" spans="32:37">
      <c r="AF26324" s="831" t="s">
        <v>11755</v>
      </c>
      <c r="AG26324" s="831" t="s">
        <v>2674</v>
      </c>
      <c r="AH26324" s="831" t="s">
        <v>89</v>
      </c>
      <c r="AI26324" s="831">
        <v>0</v>
      </c>
      <c r="AJ26324" s="835">
        <v>41973</v>
      </c>
      <c r="AK26324" s="831">
        <v>158266</v>
      </c>
    </row>
    <row r="26325" spans="32:37">
      <c r="AF26325" s="831" t="s">
        <v>11756</v>
      </c>
      <c r="AG26325" s="831" t="s">
        <v>2674</v>
      </c>
      <c r="AH26325" s="831" t="s">
        <v>557</v>
      </c>
      <c r="AI26325" s="831">
        <v>0</v>
      </c>
      <c r="AJ26325" s="835">
        <v>41973</v>
      </c>
      <c r="AK26325" s="831">
        <v>179245</v>
      </c>
    </row>
    <row r="26326" spans="32:37">
      <c r="AF26326" s="831" t="s">
        <v>11757</v>
      </c>
      <c r="AG26326" s="831" t="s">
        <v>2674</v>
      </c>
      <c r="AH26326" s="831" t="s">
        <v>29</v>
      </c>
      <c r="AI26326" s="831">
        <v>0</v>
      </c>
      <c r="AJ26326" s="835">
        <v>41973</v>
      </c>
      <c r="AK26326" s="831">
        <v>4556685.3900000006</v>
      </c>
    </row>
    <row r="26327" spans="32:37">
      <c r="AF26327" s="831" t="s">
        <v>11758</v>
      </c>
      <c r="AG26327" s="831" t="s">
        <v>2674</v>
      </c>
      <c r="AH26327" s="831" t="s">
        <v>2688</v>
      </c>
      <c r="AI26327" s="831">
        <v>0</v>
      </c>
      <c r="AJ26327" s="835">
        <v>41973</v>
      </c>
      <c r="AK26327" s="831">
        <v>4982602.75</v>
      </c>
    </row>
    <row r="26328" spans="32:37">
      <c r="AF26328" s="831" t="s">
        <v>11759</v>
      </c>
      <c r="AG26328" s="831" t="s">
        <v>2674</v>
      </c>
      <c r="AH26328" s="831" t="s">
        <v>556</v>
      </c>
      <c r="AI26328" s="831">
        <v>0</v>
      </c>
      <c r="AJ26328" s="835">
        <v>41973</v>
      </c>
      <c r="AK26328" s="831">
        <v>9781741</v>
      </c>
    </row>
    <row r="26329" spans="32:37">
      <c r="AF26329" s="831" t="s">
        <v>11760</v>
      </c>
      <c r="AG26329" s="831" t="s">
        <v>2674</v>
      </c>
      <c r="AH26329" s="831" t="s">
        <v>555</v>
      </c>
      <c r="AI26329" s="831">
        <v>0</v>
      </c>
      <c r="AJ26329" s="835">
        <v>41973</v>
      </c>
      <c r="AK26329" s="831">
        <v>559691148</v>
      </c>
    </row>
    <row r="26330" spans="32:37">
      <c r="AF26330" s="831" t="s">
        <v>11761</v>
      </c>
      <c r="AG26330" s="831" t="s">
        <v>2674</v>
      </c>
      <c r="AH26330" s="831" t="s">
        <v>554</v>
      </c>
      <c r="AI26330" s="831">
        <v>0</v>
      </c>
      <c r="AJ26330" s="835">
        <v>41973</v>
      </c>
      <c r="AK26330" s="831">
        <v>562759560</v>
      </c>
    </row>
    <row r="26331" spans="32:37">
      <c r="AF26331" s="831" t="s">
        <v>11762</v>
      </c>
      <c r="AG26331" s="831" t="s">
        <v>2674</v>
      </c>
      <c r="AH26331" s="831" t="s">
        <v>553</v>
      </c>
      <c r="AI26331" s="831">
        <v>0</v>
      </c>
      <c r="AJ26331" s="835">
        <v>41973</v>
      </c>
      <c r="AK26331" s="831">
        <v>0</v>
      </c>
    </row>
    <row r="26332" spans="32:37">
      <c r="AF26332" s="831" t="s">
        <v>11763</v>
      </c>
      <c r="AG26332" s="831" t="s">
        <v>2674</v>
      </c>
      <c r="AH26332" s="831" t="s">
        <v>552</v>
      </c>
      <c r="AI26332" s="831">
        <v>0</v>
      </c>
      <c r="AJ26332" s="835">
        <v>41973</v>
      </c>
      <c r="AK26332" s="831">
        <v>0</v>
      </c>
    </row>
    <row r="26333" spans="32:37">
      <c r="AF26333" s="831" t="s">
        <v>11764</v>
      </c>
      <c r="AG26333" s="831" t="s">
        <v>2674</v>
      </c>
      <c r="AH26333" s="831" t="s">
        <v>551</v>
      </c>
      <c r="AI26333" s="831">
        <v>0</v>
      </c>
      <c r="AJ26333" s="835">
        <v>41973</v>
      </c>
      <c r="AK26333" s="831">
        <v>3921189.3899999997</v>
      </c>
    </row>
    <row r="26334" spans="32:37">
      <c r="AF26334" s="831" t="s">
        <v>11765</v>
      </c>
      <c r="AG26334" s="831" t="s">
        <v>2674</v>
      </c>
      <c r="AH26334" s="831" t="s">
        <v>550</v>
      </c>
      <c r="AI26334" s="831">
        <v>0</v>
      </c>
      <c r="AJ26334" s="835">
        <v>41973</v>
      </c>
      <c r="AK26334" s="831">
        <v>149380039</v>
      </c>
    </row>
    <row r="26335" spans="32:37">
      <c r="AF26335" s="831" t="s">
        <v>11766</v>
      </c>
      <c r="AG26335" s="831" t="s">
        <v>2674</v>
      </c>
      <c r="AH26335" s="831" t="s">
        <v>562</v>
      </c>
      <c r="AI26335" s="831">
        <v>0</v>
      </c>
      <c r="AJ26335" s="835">
        <v>41973</v>
      </c>
      <c r="AK26335" s="831">
        <v>0.78390000000000004</v>
      </c>
    </row>
    <row r="26336" spans="32:37">
      <c r="AF26336" s="831" t="s">
        <v>11767</v>
      </c>
      <c r="AG26336" s="831" t="s">
        <v>2674</v>
      </c>
      <c r="AH26336" s="831" t="s">
        <v>2698</v>
      </c>
      <c r="AI26336" s="831">
        <v>0</v>
      </c>
      <c r="AJ26336" s="835">
        <v>41973</v>
      </c>
      <c r="AK26336" s="831">
        <v>0.78380000000000005</v>
      </c>
    </row>
    <row r="26337" spans="32:37">
      <c r="AF26337" s="831" t="s">
        <v>11768</v>
      </c>
      <c r="AG26337" s="831" t="s">
        <v>2674</v>
      </c>
      <c r="AH26337" s="831" t="s">
        <v>560</v>
      </c>
      <c r="AI26337" s="831">
        <v>0</v>
      </c>
      <c r="AJ26337" s="835">
        <v>41973</v>
      </c>
      <c r="AK26337" s="831">
        <v>0.78368181818181837</v>
      </c>
    </row>
    <row r="26338" spans="32:37">
      <c r="AF26338" s="831" t="s">
        <v>11769</v>
      </c>
      <c r="AG26338" s="831" t="s">
        <v>2674</v>
      </c>
      <c r="AH26338" s="831" t="s">
        <v>559</v>
      </c>
      <c r="AI26338" s="831">
        <v>0</v>
      </c>
      <c r="AJ26338" s="835">
        <v>41973</v>
      </c>
      <c r="AK26338" s="831">
        <v>0.78365416666666687</v>
      </c>
    </row>
    <row r="26339" spans="32:37">
      <c r="AF26339" s="831" t="s">
        <v>11770</v>
      </c>
      <c r="AG26339" s="831" t="s">
        <v>2674</v>
      </c>
      <c r="AH26339" s="831" t="s">
        <v>568</v>
      </c>
      <c r="AI26339" s="831">
        <v>0</v>
      </c>
      <c r="AJ26339" s="835">
        <v>41973</v>
      </c>
      <c r="AK26339" s="831">
        <v>706055335.61153853</v>
      </c>
    </row>
    <row r="26340" spans="32:37">
      <c r="AF26340" s="831" t="s">
        <v>11771</v>
      </c>
      <c r="AG26340" s="831" t="s">
        <v>2674</v>
      </c>
      <c r="AH26340" s="831" t="s">
        <v>569</v>
      </c>
      <c r="AI26340" s="831">
        <v>0</v>
      </c>
      <c r="AJ26340" s="835">
        <v>41973</v>
      </c>
      <c r="AK26340" s="831">
        <v>877011865.12715387</v>
      </c>
    </row>
    <row r="26341" spans="32:37">
      <c r="AF26341" s="831" t="s">
        <v>11772</v>
      </c>
      <c r="AG26341" s="831" t="s">
        <v>2674</v>
      </c>
      <c r="AH26341" s="831" t="s">
        <v>570</v>
      </c>
      <c r="AI26341" s="831">
        <v>0</v>
      </c>
      <c r="AJ26341" s="835">
        <v>41973</v>
      </c>
      <c r="AK26341" s="831">
        <v>132419769.36892308</v>
      </c>
    </row>
    <row r="26342" spans="32:37">
      <c r="AF26342" s="831" t="s">
        <v>11773</v>
      </c>
      <c r="AG26342" s="831" t="s">
        <v>2674</v>
      </c>
      <c r="AH26342" s="831" t="s">
        <v>571</v>
      </c>
      <c r="AI26342" s="831">
        <v>0</v>
      </c>
      <c r="AJ26342" s="835">
        <v>41973</v>
      </c>
      <c r="AK26342" s="831">
        <v>432199968.69923079</v>
      </c>
    </row>
    <row r="26343" spans="32:37">
      <c r="AF26343" s="831" t="s">
        <v>11774</v>
      </c>
      <c r="AG26343" s="831" t="s">
        <v>2674</v>
      </c>
      <c r="AH26343" s="831" t="s">
        <v>573</v>
      </c>
      <c r="AI26343" s="831">
        <v>0</v>
      </c>
      <c r="AJ26343" s="835">
        <v>41973</v>
      </c>
      <c r="AK26343" s="831">
        <v>888073560.38024998</v>
      </c>
    </row>
    <row r="26344" spans="32:37">
      <c r="AF26344" s="831" t="s">
        <v>11775</v>
      </c>
      <c r="AG26344" s="831" t="s">
        <v>2674</v>
      </c>
      <c r="AH26344" s="831" t="s">
        <v>574</v>
      </c>
      <c r="AI26344" s="831">
        <v>0</v>
      </c>
      <c r="AJ26344" s="835">
        <v>41973</v>
      </c>
      <c r="AK26344" s="831">
        <v>715055837.75</v>
      </c>
    </row>
    <row r="26345" spans="32:37">
      <c r="AF26345" s="831" t="s">
        <v>11776</v>
      </c>
      <c r="AG26345" s="831" t="s">
        <v>2674</v>
      </c>
      <c r="AH26345" s="831" t="s">
        <v>575</v>
      </c>
      <c r="AI26345" s="831">
        <v>0</v>
      </c>
      <c r="AJ26345" s="835">
        <v>41973</v>
      </c>
      <c r="AK26345" s="831">
        <v>133194921.82833333</v>
      </c>
    </row>
    <row r="26346" spans="32:37">
      <c r="AF26346" s="831" t="s">
        <v>11777</v>
      </c>
      <c r="AG26346" s="831" t="s">
        <v>2674</v>
      </c>
      <c r="AH26346" s="831" t="s">
        <v>576</v>
      </c>
      <c r="AI26346" s="831">
        <v>0</v>
      </c>
      <c r="AJ26346" s="835">
        <v>41973</v>
      </c>
      <c r="AK26346" s="831">
        <v>438403431.08566666</v>
      </c>
    </row>
    <row r="26347" spans="32:37">
      <c r="AF26347" s="831" t="s">
        <v>11778</v>
      </c>
      <c r="AG26347" s="831" t="s">
        <v>2674</v>
      </c>
      <c r="AH26347" s="831" t="s">
        <v>572</v>
      </c>
      <c r="AI26347" s="831">
        <v>0</v>
      </c>
      <c r="AJ26347" s="835">
        <v>41973</v>
      </c>
      <c r="AK26347" s="831">
        <v>33835425.924000025</v>
      </c>
    </row>
    <row r="26348" spans="32:37">
      <c r="AF26348" s="831" t="s">
        <v>11779</v>
      </c>
      <c r="AG26348" s="831" t="s">
        <v>2674</v>
      </c>
      <c r="AH26348" s="831" t="s">
        <v>577</v>
      </c>
      <c r="AI26348" s="831">
        <v>0</v>
      </c>
      <c r="AJ26348" s="835">
        <v>41973</v>
      </c>
      <c r="AK26348" s="831">
        <v>173617070.52700001</v>
      </c>
    </row>
    <row r="26349" spans="32:37">
      <c r="AF26349" s="831" t="s">
        <v>11780</v>
      </c>
      <c r="AG26349" s="831" t="s">
        <v>2674</v>
      </c>
      <c r="AH26349" s="831" t="s">
        <v>3042</v>
      </c>
      <c r="AI26349" s="831">
        <v>0</v>
      </c>
      <c r="AJ26349" s="835">
        <v>41973</v>
      </c>
      <c r="AK26349" s="831">
        <v>-50695273.862000003</v>
      </c>
    </row>
    <row r="26350" spans="32:37">
      <c r="AF26350" s="831" t="s">
        <v>11781</v>
      </c>
      <c r="AG26350" s="831" t="s">
        <v>2674</v>
      </c>
      <c r="AH26350" s="831" t="s">
        <v>3044</v>
      </c>
      <c r="AI26350" s="831">
        <v>0</v>
      </c>
      <c r="AJ26350" s="835">
        <v>41973</v>
      </c>
      <c r="AK26350" s="831">
        <v>-2169383.0120000001</v>
      </c>
    </row>
    <row r="26351" spans="32:37">
      <c r="AF26351" s="831" t="s">
        <v>11782</v>
      </c>
      <c r="AG26351" s="831" t="s">
        <v>2674</v>
      </c>
      <c r="AH26351" s="831" t="s">
        <v>580</v>
      </c>
      <c r="AI26351" s="831">
        <v>0</v>
      </c>
      <c r="AJ26351" s="835">
        <v>41973</v>
      </c>
      <c r="AK26351" s="831">
        <v>-79126603.180999994</v>
      </c>
    </row>
    <row r="26352" spans="32:37">
      <c r="AF26352" s="831" t="s">
        <v>11783</v>
      </c>
      <c r="AG26352" s="831" t="s">
        <v>2674</v>
      </c>
      <c r="AH26352" s="831" t="s">
        <v>581</v>
      </c>
      <c r="AI26352" s="831">
        <v>0</v>
      </c>
      <c r="AJ26352" s="835">
        <v>41973</v>
      </c>
      <c r="AK26352" s="831">
        <v>4040122.4290000005</v>
      </c>
    </row>
    <row r="26353" spans="32:37">
      <c r="AF26353" s="831" t="s">
        <v>11784</v>
      </c>
      <c r="AG26353" s="831" t="s">
        <v>2674</v>
      </c>
      <c r="AH26353" s="831" t="s">
        <v>105</v>
      </c>
      <c r="AI26353" s="831">
        <v>0</v>
      </c>
      <c r="AJ26353" s="835">
        <v>41973</v>
      </c>
      <c r="AK26353" s="831">
        <v>488862063</v>
      </c>
    </row>
    <row r="26354" spans="32:37">
      <c r="AF26354" s="831" t="s">
        <v>11785</v>
      </c>
      <c r="AG26354" s="831" t="s">
        <v>2674</v>
      </c>
      <c r="AH26354" s="831" t="s">
        <v>3049</v>
      </c>
      <c r="AI26354" s="831">
        <v>0</v>
      </c>
      <c r="AJ26354" s="835">
        <v>41973</v>
      </c>
      <c r="AK26354" s="831">
        <v>810336503</v>
      </c>
    </row>
    <row r="26355" spans="32:37">
      <c r="AF26355" s="831" t="s">
        <v>11786</v>
      </c>
      <c r="AG26355" s="831" t="s">
        <v>2674</v>
      </c>
      <c r="AH26355" s="831" t="s">
        <v>103</v>
      </c>
      <c r="AI26355" s="831">
        <v>0</v>
      </c>
      <c r="AJ26355" s="835">
        <v>41973</v>
      </c>
      <c r="AK26355" s="831">
        <v>321474440</v>
      </c>
    </row>
    <row r="26356" spans="32:37">
      <c r="AF26356" s="831" t="s">
        <v>11787</v>
      </c>
      <c r="AG26356" s="831" t="s">
        <v>2674</v>
      </c>
      <c r="AH26356" s="831" t="s">
        <v>182</v>
      </c>
      <c r="AI26356" s="831">
        <v>0</v>
      </c>
      <c r="AJ26356" s="835">
        <v>41973</v>
      </c>
      <c r="AK26356" s="831">
        <v>75281666.181818187</v>
      </c>
    </row>
    <row r="26357" spans="32:37">
      <c r="AF26357" s="831" t="s">
        <v>11788</v>
      </c>
      <c r="AG26357" s="831" t="s">
        <v>2674</v>
      </c>
      <c r="AH26357" s="831" t="s">
        <v>6600</v>
      </c>
      <c r="AI26357" s="831">
        <v>0</v>
      </c>
      <c r="AJ26357" s="835">
        <v>41973</v>
      </c>
      <c r="AK26357" s="831">
        <v>33835425.924000025</v>
      </c>
    </row>
    <row r="26358" spans="32:37">
      <c r="AF26358" s="831" t="s">
        <v>11789</v>
      </c>
      <c r="AG26358" s="831" t="s">
        <v>2674</v>
      </c>
      <c r="AH26358" s="831" t="s">
        <v>6602</v>
      </c>
      <c r="AI26358" s="831">
        <v>0</v>
      </c>
      <c r="AJ26358" s="835">
        <v>41973</v>
      </c>
      <c r="AK26358" s="831">
        <v>35013602</v>
      </c>
    </row>
    <row r="26359" spans="32:37">
      <c r="AF26359" s="831" t="s">
        <v>11790</v>
      </c>
      <c r="AG26359" s="831" t="s">
        <v>2674</v>
      </c>
      <c r="AH26359" s="831" t="s">
        <v>650</v>
      </c>
      <c r="AI26359" s="831">
        <v>0</v>
      </c>
      <c r="AJ26359" s="835">
        <v>41973</v>
      </c>
      <c r="AK26359" s="831">
        <v>287670371.56684613</v>
      </c>
    </row>
    <row r="26360" spans="32:37">
      <c r="AF26360" s="831" t="s">
        <v>11791</v>
      </c>
      <c r="AG26360" s="831" t="s">
        <v>2674</v>
      </c>
      <c r="AH26360" s="831" t="s">
        <v>655</v>
      </c>
      <c r="AI26360" s="831">
        <v>0</v>
      </c>
      <c r="AJ26360" s="835">
        <v>41973</v>
      </c>
      <c r="AK26360" s="831">
        <v>919694.3899999999</v>
      </c>
    </row>
    <row r="26361" spans="32:37">
      <c r="AF26361" s="831" t="s">
        <v>11792</v>
      </c>
      <c r="AG26361" s="831" t="s">
        <v>2674</v>
      </c>
      <c r="AH26361" s="831" t="s">
        <v>546</v>
      </c>
      <c r="AI26361" s="831">
        <v>0</v>
      </c>
      <c r="AJ26361" s="835">
        <v>42004</v>
      </c>
      <c r="AK26361" s="831">
        <v>828920000</v>
      </c>
    </row>
    <row r="26362" spans="32:37">
      <c r="AF26362" s="831" t="s">
        <v>11793</v>
      </c>
      <c r="AG26362" s="831" t="s">
        <v>2674</v>
      </c>
      <c r="AH26362" s="831" t="s">
        <v>370</v>
      </c>
      <c r="AI26362" s="831">
        <v>0</v>
      </c>
      <c r="AJ26362" s="835">
        <v>42004</v>
      </c>
      <c r="AK26362" s="831">
        <v>1042210000</v>
      </c>
    </row>
    <row r="26363" spans="32:37">
      <c r="AF26363" s="831" t="s">
        <v>11794</v>
      </c>
      <c r="AG26363" s="831" t="s">
        <v>2674</v>
      </c>
      <c r="AH26363" s="831" t="s">
        <v>126</v>
      </c>
      <c r="AI26363" s="831">
        <v>0</v>
      </c>
      <c r="AJ26363" s="835">
        <v>42004</v>
      </c>
      <c r="AK26363" s="831">
        <v>145409000</v>
      </c>
    </row>
    <row r="26364" spans="32:37">
      <c r="AF26364" s="831" t="s">
        <v>11795</v>
      </c>
      <c r="AG26364" s="831" t="s">
        <v>2674</v>
      </c>
      <c r="AH26364" s="831" t="s">
        <v>268</v>
      </c>
      <c r="AI26364" s="831">
        <v>0</v>
      </c>
      <c r="AJ26364" s="835">
        <v>42004</v>
      </c>
      <c r="AK26364" s="831">
        <v>43040000</v>
      </c>
    </row>
    <row r="26365" spans="32:37">
      <c r="AF26365" s="831" t="s">
        <v>11796</v>
      </c>
      <c r="AG26365" s="831" t="s">
        <v>2674</v>
      </c>
      <c r="AH26365" s="831" t="s">
        <v>547</v>
      </c>
      <c r="AI26365" s="831">
        <v>0</v>
      </c>
      <c r="AJ26365" s="835">
        <v>42004</v>
      </c>
      <c r="AK26365" s="831">
        <v>777719977</v>
      </c>
    </row>
    <row r="26366" spans="32:37">
      <c r="AF26366" s="831" t="s">
        <v>11797</v>
      </c>
      <c r="AG26366" s="831" t="s">
        <v>2674</v>
      </c>
      <c r="AH26366" s="831" t="s">
        <v>548</v>
      </c>
      <c r="AI26366" s="831">
        <v>0</v>
      </c>
      <c r="AJ26366" s="835">
        <v>42004</v>
      </c>
      <c r="AK26366" s="831">
        <v>117105496</v>
      </c>
    </row>
    <row r="26367" spans="32:37">
      <c r="AF26367" s="831" t="s">
        <v>11798</v>
      </c>
      <c r="AG26367" s="831" t="s">
        <v>2674</v>
      </c>
      <c r="AH26367" s="831" t="s">
        <v>549</v>
      </c>
      <c r="AI26367" s="831">
        <v>0</v>
      </c>
      <c r="AJ26367" s="835">
        <v>42004</v>
      </c>
      <c r="AK26367" s="831">
        <v>627874260</v>
      </c>
    </row>
    <row r="26368" spans="32:37">
      <c r="AF26368" s="831" t="s">
        <v>11799</v>
      </c>
      <c r="AG26368" s="831" t="s">
        <v>2674</v>
      </c>
      <c r="AH26368" s="831" t="s">
        <v>192</v>
      </c>
      <c r="AI26368" s="831">
        <v>0</v>
      </c>
      <c r="AJ26368" s="835">
        <v>42004</v>
      </c>
      <c r="AK26368" s="831">
        <v>-9140000</v>
      </c>
    </row>
    <row r="26369" spans="32:37">
      <c r="AF26369" s="831" t="s">
        <v>11800</v>
      </c>
      <c r="AG26369" s="831" t="s">
        <v>2674</v>
      </c>
      <c r="AH26369" s="831" t="s">
        <v>558</v>
      </c>
      <c r="AI26369" s="831">
        <v>0</v>
      </c>
      <c r="AJ26369" s="835">
        <v>42004</v>
      </c>
      <c r="AK26369" s="831">
        <v>896801000</v>
      </c>
    </row>
    <row r="26370" spans="32:37">
      <c r="AF26370" s="831" t="s">
        <v>11801</v>
      </c>
      <c r="AG26370" s="831" t="s">
        <v>2674</v>
      </c>
      <c r="AH26370" s="831" t="s">
        <v>65</v>
      </c>
      <c r="AI26370" s="831">
        <v>0</v>
      </c>
      <c r="AJ26370" s="835">
        <v>42004</v>
      </c>
      <c r="AK26370" s="831">
        <v>169813000</v>
      </c>
    </row>
    <row r="26371" spans="32:37">
      <c r="AF26371" s="831" t="s">
        <v>11802</v>
      </c>
      <c r="AG26371" s="831" t="s">
        <v>2674</v>
      </c>
      <c r="AH26371" s="831" t="s">
        <v>89</v>
      </c>
      <c r="AI26371" s="831">
        <v>0</v>
      </c>
      <c r="AJ26371" s="835">
        <v>42004</v>
      </c>
      <c r="AK26371" s="831">
        <v>157146</v>
      </c>
    </row>
    <row r="26372" spans="32:37">
      <c r="AF26372" s="831" t="s">
        <v>11803</v>
      </c>
      <c r="AG26372" s="831" t="s">
        <v>2674</v>
      </c>
      <c r="AH26372" s="831" t="s">
        <v>557</v>
      </c>
      <c r="AI26372" s="831">
        <v>0</v>
      </c>
      <c r="AJ26372" s="835">
        <v>42004</v>
      </c>
      <c r="AK26372" s="831">
        <v>178484</v>
      </c>
    </row>
    <row r="26373" spans="32:37">
      <c r="AF26373" s="831" t="s">
        <v>11804</v>
      </c>
      <c r="AG26373" s="831" t="s">
        <v>2674</v>
      </c>
      <c r="AH26373" s="831" t="s">
        <v>29</v>
      </c>
      <c r="AI26373" s="831">
        <v>0</v>
      </c>
      <c r="AJ26373" s="835">
        <v>42004</v>
      </c>
      <c r="AK26373" s="831">
        <v>6837000</v>
      </c>
    </row>
    <row r="26374" spans="32:37">
      <c r="AF26374" s="831" t="s">
        <v>11805</v>
      </c>
      <c r="AG26374" s="831" t="s">
        <v>2674</v>
      </c>
      <c r="AH26374" s="831" t="s">
        <v>2688</v>
      </c>
      <c r="AI26374" s="831">
        <v>0</v>
      </c>
      <c r="AJ26374" s="835">
        <v>42004</v>
      </c>
      <c r="AK26374" s="831">
        <v>5048648</v>
      </c>
    </row>
    <row r="26375" spans="32:37">
      <c r="AF26375" s="831" t="s">
        <v>11806</v>
      </c>
      <c r="AG26375" s="831" t="s">
        <v>2674</v>
      </c>
      <c r="AH26375" s="831" t="s">
        <v>556</v>
      </c>
      <c r="AI26375" s="831">
        <v>0</v>
      </c>
      <c r="AJ26375" s="835">
        <v>42004</v>
      </c>
      <c r="AK26375" s="831">
        <v>11412135</v>
      </c>
    </row>
    <row r="26376" spans="32:37">
      <c r="AF26376" s="831" t="s">
        <v>11807</v>
      </c>
      <c r="AG26376" s="831" t="s">
        <v>2674</v>
      </c>
      <c r="AH26376" s="831" t="s">
        <v>555</v>
      </c>
      <c r="AI26376" s="831">
        <v>0</v>
      </c>
      <c r="AJ26376" s="835">
        <v>42004</v>
      </c>
      <c r="AK26376" s="831">
        <v>596336076</v>
      </c>
    </row>
    <row r="26377" spans="32:37">
      <c r="AF26377" s="831" t="s">
        <v>11808</v>
      </c>
      <c r="AG26377" s="831" t="s">
        <v>2674</v>
      </c>
      <c r="AH26377" s="831" t="s">
        <v>554</v>
      </c>
      <c r="AI26377" s="831">
        <v>0</v>
      </c>
      <c r="AJ26377" s="835">
        <v>42004</v>
      </c>
      <c r="AK26377" s="831">
        <v>603608535</v>
      </c>
    </row>
    <row r="26378" spans="32:37">
      <c r="AF26378" s="831" t="s">
        <v>11809</v>
      </c>
      <c r="AG26378" s="831" t="s">
        <v>2674</v>
      </c>
      <c r="AH26378" s="831" t="s">
        <v>553</v>
      </c>
      <c r="AI26378" s="831">
        <v>0</v>
      </c>
      <c r="AJ26378" s="835">
        <v>42004</v>
      </c>
      <c r="AK26378" s="831">
        <v>0</v>
      </c>
    </row>
    <row r="26379" spans="32:37">
      <c r="AF26379" s="831" t="s">
        <v>11810</v>
      </c>
      <c r="AG26379" s="831" t="s">
        <v>2674</v>
      </c>
      <c r="AH26379" s="831" t="s">
        <v>552</v>
      </c>
      <c r="AI26379" s="831">
        <v>0</v>
      </c>
      <c r="AJ26379" s="835">
        <v>42004</v>
      </c>
      <c r="AK26379" s="831">
        <v>0</v>
      </c>
    </row>
    <row r="26380" spans="32:37">
      <c r="AF26380" s="831" t="s">
        <v>11811</v>
      </c>
      <c r="AG26380" s="831" t="s">
        <v>2674</v>
      </c>
      <c r="AH26380" s="831" t="s">
        <v>551</v>
      </c>
      <c r="AI26380" s="831">
        <v>0</v>
      </c>
      <c r="AJ26380" s="835">
        <v>42004</v>
      </c>
      <c r="AK26380" s="831">
        <v>6446340</v>
      </c>
    </row>
    <row r="26381" spans="32:37">
      <c r="AF26381" s="831" t="s">
        <v>11812</v>
      </c>
      <c r="AG26381" s="831" t="s">
        <v>2674</v>
      </c>
      <c r="AH26381" s="831" t="s">
        <v>550</v>
      </c>
      <c r="AI26381" s="831">
        <v>0</v>
      </c>
      <c r="AJ26381" s="835">
        <v>42004</v>
      </c>
      <c r="AK26381" s="831">
        <v>153599665</v>
      </c>
    </row>
    <row r="26382" spans="32:37">
      <c r="AF26382" s="831" t="s">
        <v>11813</v>
      </c>
      <c r="AG26382" s="831" t="s">
        <v>2674</v>
      </c>
      <c r="AH26382" s="831" t="s">
        <v>562</v>
      </c>
      <c r="AI26382" s="831">
        <v>0</v>
      </c>
      <c r="AJ26382" s="835">
        <v>42004</v>
      </c>
      <c r="AK26382" s="831">
        <v>0.78310000000000002</v>
      </c>
    </row>
    <row r="26383" spans="32:37">
      <c r="AF26383" s="831" t="s">
        <v>11814</v>
      </c>
      <c r="AG26383" s="831" t="s">
        <v>2674</v>
      </c>
      <c r="AH26383" s="831" t="s">
        <v>2698</v>
      </c>
      <c r="AI26383" s="831">
        <v>0</v>
      </c>
      <c r="AJ26383" s="835">
        <v>42004</v>
      </c>
      <c r="AK26383" s="831">
        <v>0.78390000000000004</v>
      </c>
    </row>
    <row r="26384" spans="32:37">
      <c r="AF26384" s="831" t="s">
        <v>11815</v>
      </c>
      <c r="AG26384" s="831" t="s">
        <v>2674</v>
      </c>
      <c r="AH26384" s="831" t="s">
        <v>560</v>
      </c>
      <c r="AI26384" s="831">
        <v>0</v>
      </c>
      <c r="AJ26384" s="835">
        <v>42004</v>
      </c>
      <c r="AK26384" s="831">
        <v>0.78363333333333329</v>
      </c>
    </row>
    <row r="26385" spans="32:37">
      <c r="AF26385" s="831" t="s">
        <v>11816</v>
      </c>
      <c r="AG26385" s="831" t="s">
        <v>2674</v>
      </c>
      <c r="AH26385" s="831" t="s">
        <v>559</v>
      </c>
      <c r="AI26385" s="831">
        <v>0</v>
      </c>
      <c r="AJ26385" s="835">
        <v>42004</v>
      </c>
      <c r="AK26385" s="831">
        <v>0.78363333333333329</v>
      </c>
    </row>
    <row r="26386" spans="32:37">
      <c r="AF26386" s="831" t="s">
        <v>11817</v>
      </c>
      <c r="AG26386" s="831" t="s">
        <v>2674</v>
      </c>
      <c r="AH26386" s="831" t="s">
        <v>568</v>
      </c>
      <c r="AI26386" s="831">
        <v>0</v>
      </c>
      <c r="AJ26386" s="835">
        <v>42004</v>
      </c>
      <c r="AK26386" s="831">
        <v>723814619.46153843</v>
      </c>
    </row>
    <row r="26387" spans="32:37">
      <c r="AF26387" s="831" t="s">
        <v>11818</v>
      </c>
      <c r="AG26387" s="831" t="s">
        <v>2674</v>
      </c>
      <c r="AH26387" s="831" t="s">
        <v>569</v>
      </c>
      <c r="AI26387" s="831">
        <v>0</v>
      </c>
      <c r="AJ26387" s="835">
        <v>42004</v>
      </c>
      <c r="AK26387" s="831">
        <v>899930209.58176923</v>
      </c>
    </row>
    <row r="26388" spans="32:37">
      <c r="AF26388" s="831" t="s">
        <v>11819</v>
      </c>
      <c r="AG26388" s="831" t="s">
        <v>2674</v>
      </c>
      <c r="AH26388" s="831" t="s">
        <v>570</v>
      </c>
      <c r="AI26388" s="831">
        <v>0</v>
      </c>
      <c r="AJ26388" s="835">
        <v>42004</v>
      </c>
      <c r="AK26388" s="831">
        <v>134134466.30307692</v>
      </c>
    </row>
    <row r="26389" spans="32:37">
      <c r="AF26389" s="831" t="s">
        <v>11820</v>
      </c>
      <c r="AG26389" s="831" t="s">
        <v>2674</v>
      </c>
      <c r="AH26389" s="831" t="s">
        <v>571</v>
      </c>
      <c r="AI26389" s="831">
        <v>0</v>
      </c>
      <c r="AJ26389" s="835">
        <v>42004</v>
      </c>
      <c r="AK26389" s="831">
        <v>445629705.61753845</v>
      </c>
    </row>
    <row r="26390" spans="32:37">
      <c r="AF26390" s="831" t="s">
        <v>11821</v>
      </c>
      <c r="AG26390" s="831" t="s">
        <v>2674</v>
      </c>
      <c r="AH26390" s="831" t="s">
        <v>573</v>
      </c>
      <c r="AI26390" s="831">
        <v>0</v>
      </c>
      <c r="AJ26390" s="835">
        <v>42004</v>
      </c>
      <c r="AK26390" s="831">
        <v>899930209.58176923</v>
      </c>
    </row>
    <row r="26391" spans="32:37">
      <c r="AF26391" s="831" t="s">
        <v>11822</v>
      </c>
      <c r="AG26391" s="831" t="s">
        <v>2674</v>
      </c>
      <c r="AH26391" s="831" t="s">
        <v>574</v>
      </c>
      <c r="AI26391" s="831">
        <v>0</v>
      </c>
      <c r="AJ26391" s="835">
        <v>42004</v>
      </c>
      <c r="AK26391" s="831">
        <v>723814619.46153843</v>
      </c>
    </row>
    <row r="26392" spans="32:37">
      <c r="AF26392" s="831" t="s">
        <v>11823</v>
      </c>
      <c r="AG26392" s="831" t="s">
        <v>2674</v>
      </c>
      <c r="AH26392" s="831" t="s">
        <v>575</v>
      </c>
      <c r="AI26392" s="831">
        <v>0</v>
      </c>
      <c r="AJ26392" s="835">
        <v>42004</v>
      </c>
      <c r="AK26392" s="831">
        <v>134134466.30307692</v>
      </c>
    </row>
    <row r="26393" spans="32:37">
      <c r="AF26393" s="831" t="s">
        <v>11824</v>
      </c>
      <c r="AG26393" s="831" t="s">
        <v>2674</v>
      </c>
      <c r="AH26393" s="831" t="s">
        <v>576</v>
      </c>
      <c r="AI26393" s="831">
        <v>0</v>
      </c>
      <c r="AJ26393" s="835">
        <v>42004</v>
      </c>
      <c r="AK26393" s="831">
        <v>445629705.61753845</v>
      </c>
    </row>
    <row r="26394" spans="32:37">
      <c r="AF26394" s="831" t="s">
        <v>11825</v>
      </c>
      <c r="AG26394" s="831" t="s">
        <v>2674</v>
      </c>
      <c r="AH26394" s="831" t="s">
        <v>572</v>
      </c>
      <c r="AI26394" s="831">
        <v>0</v>
      </c>
      <c r="AJ26394" s="835">
        <v>42004</v>
      </c>
      <c r="AK26394" s="831">
        <v>43040000</v>
      </c>
    </row>
    <row r="26395" spans="32:37">
      <c r="AF26395" s="831" t="s">
        <v>11826</v>
      </c>
      <c r="AG26395" s="831" t="s">
        <v>2674</v>
      </c>
      <c r="AH26395" s="831" t="s">
        <v>577</v>
      </c>
      <c r="AI26395" s="831">
        <v>0</v>
      </c>
      <c r="AJ26395" s="835">
        <v>42004</v>
      </c>
      <c r="AK26395" s="831">
        <v>169813000</v>
      </c>
    </row>
    <row r="26396" spans="32:37">
      <c r="AF26396" s="831" t="s">
        <v>11827</v>
      </c>
      <c r="AG26396" s="831" t="s">
        <v>2674</v>
      </c>
      <c r="AH26396" s="831" t="s">
        <v>3042</v>
      </c>
      <c r="AI26396" s="831">
        <v>0</v>
      </c>
      <c r="AJ26396" s="835">
        <v>42004</v>
      </c>
      <c r="AK26396" s="831">
        <v>-51705000</v>
      </c>
    </row>
    <row r="26397" spans="32:37">
      <c r="AF26397" s="831" t="s">
        <v>11828</v>
      </c>
      <c r="AG26397" s="831" t="s">
        <v>2674</v>
      </c>
      <c r="AH26397" s="831" t="s">
        <v>3044</v>
      </c>
      <c r="AI26397" s="831">
        <v>0</v>
      </c>
      <c r="AJ26397" s="835">
        <v>42004</v>
      </c>
      <c r="AK26397" s="831">
        <v>3515000</v>
      </c>
    </row>
    <row r="26398" spans="32:37">
      <c r="AF26398" s="831" t="s">
        <v>11829</v>
      </c>
      <c r="AG26398" s="831" t="s">
        <v>2674</v>
      </c>
      <c r="AH26398" s="831" t="s">
        <v>580</v>
      </c>
      <c r="AI26398" s="831">
        <v>0</v>
      </c>
      <c r="AJ26398" s="835">
        <v>42004</v>
      </c>
      <c r="AK26398" s="831">
        <v>-78262000</v>
      </c>
    </row>
    <row r="26399" spans="32:37">
      <c r="AF26399" s="831" t="s">
        <v>11830</v>
      </c>
      <c r="AG26399" s="831" t="s">
        <v>2674</v>
      </c>
      <c r="AH26399" s="831" t="s">
        <v>581</v>
      </c>
      <c r="AI26399" s="831">
        <v>0</v>
      </c>
      <c r="AJ26399" s="835">
        <v>42004</v>
      </c>
      <c r="AK26399" s="831">
        <v>9963000</v>
      </c>
    </row>
    <row r="26400" spans="32:37">
      <c r="AF26400" s="831" t="s">
        <v>11831</v>
      </c>
      <c r="AG26400" s="831" t="s">
        <v>2674</v>
      </c>
      <c r="AH26400" s="831" t="s">
        <v>105</v>
      </c>
      <c r="AI26400" s="831">
        <v>0</v>
      </c>
      <c r="AJ26400" s="835">
        <v>42004</v>
      </c>
      <c r="AK26400" s="831">
        <v>532345000</v>
      </c>
    </row>
    <row r="26401" spans="32:37">
      <c r="AF26401" s="831" t="s">
        <v>11832</v>
      </c>
      <c r="AG26401" s="831" t="s">
        <v>2674</v>
      </c>
      <c r="AH26401" s="831" t="s">
        <v>3049</v>
      </c>
      <c r="AI26401" s="831">
        <v>0</v>
      </c>
      <c r="AJ26401" s="835">
        <v>42004</v>
      </c>
      <c r="AK26401" s="831">
        <v>871130000</v>
      </c>
    </row>
    <row r="26402" spans="32:37">
      <c r="AF26402" s="831" t="s">
        <v>11833</v>
      </c>
      <c r="AG26402" s="831" t="s">
        <v>2674</v>
      </c>
      <c r="AH26402" s="831" t="s">
        <v>103</v>
      </c>
      <c r="AI26402" s="831">
        <v>0</v>
      </c>
      <c r="AJ26402" s="835">
        <v>42004</v>
      </c>
      <c r="AK26402" s="831">
        <v>338785000</v>
      </c>
    </row>
    <row r="26403" spans="32:37">
      <c r="AF26403" s="831" t="s">
        <v>11834</v>
      </c>
      <c r="AG26403" s="831" t="s">
        <v>2674</v>
      </c>
      <c r="AH26403" s="831" t="s">
        <v>182</v>
      </c>
      <c r="AI26403" s="831">
        <v>0</v>
      </c>
      <c r="AJ26403" s="835">
        <v>42004</v>
      </c>
      <c r="AK26403" s="831">
        <v>78262000</v>
      </c>
    </row>
    <row r="26404" spans="32:37">
      <c r="AF26404" s="831" t="s">
        <v>11835</v>
      </c>
      <c r="AG26404" s="831" t="s">
        <v>2674</v>
      </c>
      <c r="AH26404" s="831" t="s">
        <v>6600</v>
      </c>
      <c r="AI26404" s="831">
        <v>0</v>
      </c>
      <c r="AJ26404" s="835">
        <v>42004</v>
      </c>
      <c r="AK26404" s="831">
        <v>43040000</v>
      </c>
    </row>
    <row r="26405" spans="32:37">
      <c r="AF26405" s="831" t="s">
        <v>11836</v>
      </c>
      <c r="AG26405" s="831" t="s">
        <v>2674</v>
      </c>
      <c r="AH26405" s="831" t="s">
        <v>6602</v>
      </c>
      <c r="AI26405" s="831">
        <v>0</v>
      </c>
      <c r="AJ26405" s="835">
        <v>42004</v>
      </c>
      <c r="AK26405" s="831">
        <v>43040000</v>
      </c>
    </row>
    <row r="26406" spans="32:37">
      <c r="AF26406" s="831" t="s">
        <v>11837</v>
      </c>
      <c r="AG26406" s="831" t="s">
        <v>2674</v>
      </c>
      <c r="AH26406" s="831" t="s">
        <v>650</v>
      </c>
      <c r="AI26406" s="831">
        <v>0</v>
      </c>
      <c r="AJ26406" s="835">
        <v>42004</v>
      </c>
      <c r="AK26406" s="831">
        <v>294946351.96523076</v>
      </c>
    </row>
    <row r="26407" spans="32:37">
      <c r="AF26407" s="831" t="s">
        <v>11838</v>
      </c>
      <c r="AG26407" s="831" t="s">
        <v>2674</v>
      </c>
      <c r="AH26407" s="831" t="s">
        <v>655</v>
      </c>
      <c r="AI26407" s="831">
        <v>0</v>
      </c>
      <c r="AJ26407" s="835">
        <v>42004</v>
      </c>
      <c r="AK26407" s="831">
        <v>5599000</v>
      </c>
    </row>
    <row r="26408" spans="32:37">
      <c r="AF26408" s="831" t="s">
        <v>11839</v>
      </c>
      <c r="AG26408" s="831" t="s">
        <v>2674</v>
      </c>
      <c r="AH26408" s="831" t="s">
        <v>546</v>
      </c>
      <c r="AI26408" s="831">
        <v>0</v>
      </c>
      <c r="AJ26408" s="835">
        <v>42035</v>
      </c>
      <c r="AK26408" s="831">
        <v>829753309</v>
      </c>
    </row>
    <row r="26409" spans="32:37">
      <c r="AF26409" s="831" t="s">
        <v>11840</v>
      </c>
      <c r="AG26409" s="831" t="s">
        <v>2674</v>
      </c>
      <c r="AH26409" s="831" t="s">
        <v>370</v>
      </c>
      <c r="AI26409" s="831">
        <v>0</v>
      </c>
      <c r="AJ26409" s="835">
        <v>42035</v>
      </c>
      <c r="AK26409" s="831">
        <v>1044609243</v>
      </c>
    </row>
    <row r="26410" spans="32:37">
      <c r="AF26410" s="831" t="s">
        <v>11841</v>
      </c>
      <c r="AG26410" s="831" t="s">
        <v>2674</v>
      </c>
      <c r="AH26410" s="831" t="s">
        <v>126</v>
      </c>
      <c r="AI26410" s="831">
        <v>0</v>
      </c>
      <c r="AJ26410" s="835">
        <v>42035</v>
      </c>
      <c r="AK26410" s="831">
        <v>148860224</v>
      </c>
    </row>
    <row r="26411" spans="32:37">
      <c r="AF26411" s="831" t="s">
        <v>11842</v>
      </c>
      <c r="AG26411" s="831" t="s">
        <v>2674</v>
      </c>
      <c r="AH26411" s="831" t="s">
        <v>268</v>
      </c>
      <c r="AI26411" s="831">
        <v>0</v>
      </c>
      <c r="AJ26411" s="835">
        <v>42035</v>
      </c>
      <c r="AK26411" s="831">
        <v>3451938</v>
      </c>
    </row>
    <row r="26412" spans="32:37">
      <c r="AF26412" s="831" t="s">
        <v>11843</v>
      </c>
      <c r="AG26412" s="831" t="s">
        <v>2674</v>
      </c>
      <c r="AH26412" s="831" t="s">
        <v>547</v>
      </c>
      <c r="AI26412" s="831">
        <v>0</v>
      </c>
      <c r="AJ26412" s="835">
        <v>42035</v>
      </c>
      <c r="AK26412" s="831">
        <v>1044609243</v>
      </c>
    </row>
    <row r="26413" spans="32:37">
      <c r="AF26413" s="831" t="s">
        <v>11844</v>
      </c>
      <c r="AG26413" s="831" t="s">
        <v>2674</v>
      </c>
      <c r="AH26413" s="831" t="s">
        <v>548</v>
      </c>
      <c r="AI26413" s="831">
        <v>0</v>
      </c>
      <c r="AJ26413" s="835">
        <v>42035</v>
      </c>
      <c r="AK26413" s="831">
        <v>148860224</v>
      </c>
    </row>
    <row r="26414" spans="32:37">
      <c r="AF26414" s="831" t="s">
        <v>11845</v>
      </c>
      <c r="AG26414" s="831" t="s">
        <v>2674</v>
      </c>
      <c r="AH26414" s="831" t="s">
        <v>549</v>
      </c>
      <c r="AI26414" s="831">
        <v>0</v>
      </c>
      <c r="AJ26414" s="835">
        <v>42035</v>
      </c>
      <c r="AK26414" s="831">
        <v>635618516</v>
      </c>
    </row>
    <row r="26415" spans="32:37">
      <c r="AF26415" s="831" t="s">
        <v>11846</v>
      </c>
      <c r="AG26415" s="831" t="s">
        <v>2674</v>
      </c>
      <c r="AH26415" s="831" t="s">
        <v>192</v>
      </c>
      <c r="AI26415" s="831">
        <v>0</v>
      </c>
      <c r="AJ26415" s="835">
        <v>42035</v>
      </c>
      <c r="AK26415" s="831">
        <v>-9765211</v>
      </c>
    </row>
    <row r="26416" spans="32:37">
      <c r="AF26416" s="831" t="s">
        <v>11847</v>
      </c>
      <c r="AG26416" s="831" t="s">
        <v>2674</v>
      </c>
      <c r="AH26416" s="831" t="s">
        <v>558</v>
      </c>
      <c r="AI26416" s="831">
        <v>0</v>
      </c>
      <c r="AJ26416" s="835">
        <v>42035</v>
      </c>
      <c r="AK26416" s="831">
        <v>895749019</v>
      </c>
    </row>
    <row r="26417" spans="32:37">
      <c r="AF26417" s="831" t="s">
        <v>11848</v>
      </c>
      <c r="AG26417" s="831" t="s">
        <v>2674</v>
      </c>
      <c r="AH26417" s="831" t="s">
        <v>65</v>
      </c>
      <c r="AI26417" s="831">
        <v>0</v>
      </c>
      <c r="AJ26417" s="835">
        <v>42035</v>
      </c>
      <c r="AK26417" s="831">
        <v>16060962</v>
      </c>
    </row>
    <row r="26418" spans="32:37">
      <c r="AF26418" s="831" t="s">
        <v>11849</v>
      </c>
      <c r="AG26418" s="831" t="s">
        <v>2674</v>
      </c>
      <c r="AH26418" s="831" t="s">
        <v>89</v>
      </c>
      <c r="AI26418" s="831">
        <v>0</v>
      </c>
      <c r="AJ26418" s="835">
        <v>42035</v>
      </c>
      <c r="AK26418" s="831">
        <v>158062</v>
      </c>
    </row>
    <row r="26419" spans="32:37">
      <c r="AF26419" s="831" t="s">
        <v>11850</v>
      </c>
      <c r="AG26419" s="831" t="s">
        <v>2674</v>
      </c>
      <c r="AH26419" s="831" t="s">
        <v>557</v>
      </c>
      <c r="AI26419" s="831">
        <v>0</v>
      </c>
      <c r="AJ26419" s="835">
        <v>42035</v>
      </c>
      <c r="AK26419" s="831">
        <v>180227</v>
      </c>
    </row>
    <row r="26420" spans="32:37">
      <c r="AF26420" s="831" t="s">
        <v>11851</v>
      </c>
      <c r="AG26420" s="831" t="s">
        <v>2674</v>
      </c>
      <c r="AH26420" s="831" t="s">
        <v>29</v>
      </c>
      <c r="AI26420" s="831">
        <v>0</v>
      </c>
      <c r="AJ26420" s="835">
        <v>42035</v>
      </c>
      <c r="AK26420" s="831">
        <v>7401483</v>
      </c>
    </row>
    <row r="26421" spans="32:37">
      <c r="AF26421" s="831" t="s">
        <v>11852</v>
      </c>
      <c r="AG26421" s="831" t="s">
        <v>2674</v>
      </c>
      <c r="AH26421" s="831" t="s">
        <v>2688</v>
      </c>
      <c r="AI26421" s="831">
        <v>0</v>
      </c>
      <c r="AJ26421" s="835">
        <v>42035</v>
      </c>
      <c r="AK26421" s="831">
        <v>5438707</v>
      </c>
    </row>
    <row r="26422" spans="32:37">
      <c r="AF26422" s="831" t="s">
        <v>11853</v>
      </c>
      <c r="AG26422" s="831" t="s">
        <v>2674</v>
      </c>
      <c r="AH26422" s="831" t="s">
        <v>556</v>
      </c>
      <c r="AI26422" s="831">
        <v>0</v>
      </c>
      <c r="AJ26422" s="835">
        <v>42035</v>
      </c>
      <c r="AK26422" s="831">
        <v>11412135</v>
      </c>
    </row>
    <row r="26423" spans="32:37">
      <c r="AF26423" s="831" t="s">
        <v>11854</v>
      </c>
      <c r="AG26423" s="831" t="s">
        <v>2674</v>
      </c>
      <c r="AH26423" s="831" t="s">
        <v>555</v>
      </c>
      <c r="AI26423" s="831">
        <v>0</v>
      </c>
      <c r="AJ26423" s="835">
        <v>42035</v>
      </c>
      <c r="AK26423" s="831">
        <v>579511362</v>
      </c>
    </row>
    <row r="26424" spans="32:37">
      <c r="AF26424" s="831" t="s">
        <v>11855</v>
      </c>
      <c r="AG26424" s="831" t="s">
        <v>2674</v>
      </c>
      <c r="AH26424" s="831" t="s">
        <v>554</v>
      </c>
      <c r="AI26424" s="831">
        <v>0</v>
      </c>
      <c r="AJ26424" s="835">
        <v>42035</v>
      </c>
      <c r="AK26424" s="831">
        <v>622474260</v>
      </c>
    </row>
    <row r="26425" spans="32:37">
      <c r="AF26425" s="831" t="s">
        <v>11856</v>
      </c>
      <c r="AG26425" s="831" t="s">
        <v>2674</v>
      </c>
      <c r="AH26425" s="831" t="s">
        <v>553</v>
      </c>
      <c r="AI26425" s="831">
        <v>0</v>
      </c>
      <c r="AJ26425" s="835">
        <v>42035</v>
      </c>
      <c r="AK26425" s="831">
        <v>0</v>
      </c>
    </row>
    <row r="26426" spans="32:37">
      <c r="AF26426" s="831" t="s">
        <v>11857</v>
      </c>
      <c r="AG26426" s="831" t="s">
        <v>2674</v>
      </c>
      <c r="AH26426" s="831" t="s">
        <v>552</v>
      </c>
      <c r="AI26426" s="831">
        <v>0</v>
      </c>
      <c r="AJ26426" s="835">
        <v>42035</v>
      </c>
      <c r="AK26426" s="831">
        <v>0</v>
      </c>
    </row>
    <row r="26427" spans="32:37">
      <c r="AF26427" s="831" t="s">
        <v>11858</v>
      </c>
      <c r="AG26427" s="831" t="s">
        <v>2674</v>
      </c>
      <c r="AH26427" s="831" t="s">
        <v>551</v>
      </c>
      <c r="AI26427" s="831">
        <v>0</v>
      </c>
      <c r="AJ26427" s="835">
        <v>42035</v>
      </c>
      <c r="AK26427" s="831">
        <v>5260060</v>
      </c>
    </row>
    <row r="26428" spans="32:37">
      <c r="AF26428" s="831" t="s">
        <v>11859</v>
      </c>
      <c r="AG26428" s="831" t="s">
        <v>2674</v>
      </c>
      <c r="AH26428" s="831" t="s">
        <v>550</v>
      </c>
      <c r="AI26428" s="831">
        <v>0</v>
      </c>
      <c r="AJ26428" s="835">
        <v>42035</v>
      </c>
      <c r="AK26428" s="831">
        <v>145409000</v>
      </c>
    </row>
    <row r="26429" spans="32:37">
      <c r="AF26429" s="831" t="s">
        <v>11860</v>
      </c>
      <c r="AG26429" s="831" t="s">
        <v>2674</v>
      </c>
      <c r="AH26429" s="831" t="s">
        <v>562</v>
      </c>
      <c r="AI26429" s="831">
        <v>0</v>
      </c>
      <c r="AJ26429" s="835">
        <v>42035</v>
      </c>
      <c r="AK26429" s="831">
        <v>0.78439999999999999</v>
      </c>
    </row>
    <row r="26430" spans="32:37">
      <c r="AF26430" s="831" t="s">
        <v>11861</v>
      </c>
      <c r="AG26430" s="831" t="s">
        <v>2674</v>
      </c>
      <c r="AH26430" s="831" t="s">
        <v>2698</v>
      </c>
      <c r="AI26430" s="831">
        <v>0</v>
      </c>
      <c r="AJ26430" s="835">
        <v>42035</v>
      </c>
      <c r="AK26430" s="831">
        <v>0.78310000000000002</v>
      </c>
    </row>
    <row r="26431" spans="32:37">
      <c r="AF26431" s="831" t="s">
        <v>11862</v>
      </c>
      <c r="AG26431" s="831" t="s">
        <v>2674</v>
      </c>
      <c r="AH26431" s="831" t="s">
        <v>560</v>
      </c>
      <c r="AI26431" s="831">
        <v>0</v>
      </c>
      <c r="AJ26431" s="835">
        <v>42035</v>
      </c>
      <c r="AK26431" s="831">
        <v>0.78439999999999999</v>
      </c>
    </row>
    <row r="26432" spans="32:37">
      <c r="AF26432" s="831" t="s">
        <v>11863</v>
      </c>
      <c r="AG26432" s="831" t="s">
        <v>2674</v>
      </c>
      <c r="AH26432" s="831" t="s">
        <v>559</v>
      </c>
      <c r="AI26432" s="831">
        <v>0</v>
      </c>
      <c r="AJ26432" s="835">
        <v>42035</v>
      </c>
      <c r="AK26432" s="831">
        <v>0.78369583333333326</v>
      </c>
    </row>
    <row r="26433" spans="32:37">
      <c r="AF26433" s="831" t="s">
        <v>11864</v>
      </c>
      <c r="AG26433" s="831" t="s">
        <v>2674</v>
      </c>
      <c r="AH26433" s="831" t="s">
        <v>568</v>
      </c>
      <c r="AI26433" s="831">
        <v>0</v>
      </c>
      <c r="AJ26433" s="835">
        <v>42035</v>
      </c>
      <c r="AK26433" s="831">
        <v>739343777.07692313</v>
      </c>
    </row>
    <row r="26434" spans="32:37">
      <c r="AF26434" s="831" t="s">
        <v>11865</v>
      </c>
      <c r="AG26434" s="831" t="s">
        <v>2674</v>
      </c>
      <c r="AH26434" s="831" t="s">
        <v>569</v>
      </c>
      <c r="AI26434" s="831">
        <v>0</v>
      </c>
      <c r="AJ26434" s="835">
        <v>42035</v>
      </c>
      <c r="AK26434" s="831">
        <v>919552846</v>
      </c>
    </row>
    <row r="26435" spans="32:37">
      <c r="AF26435" s="831" t="s">
        <v>11866</v>
      </c>
      <c r="AG26435" s="831" t="s">
        <v>2674</v>
      </c>
      <c r="AH26435" s="831" t="s">
        <v>570</v>
      </c>
      <c r="AI26435" s="831">
        <v>0</v>
      </c>
      <c r="AJ26435" s="835">
        <v>42035</v>
      </c>
      <c r="AK26435" s="831">
        <v>136809116.92538461</v>
      </c>
    </row>
    <row r="26436" spans="32:37">
      <c r="AF26436" s="831" t="s">
        <v>11867</v>
      </c>
      <c r="AG26436" s="831" t="s">
        <v>2674</v>
      </c>
      <c r="AH26436" s="831" t="s">
        <v>571</v>
      </c>
      <c r="AI26436" s="831">
        <v>0</v>
      </c>
      <c r="AJ26436" s="835">
        <v>42035</v>
      </c>
      <c r="AK26436" s="831">
        <v>456907538.41669232</v>
      </c>
    </row>
    <row r="26437" spans="32:37">
      <c r="AF26437" s="831" t="s">
        <v>11868</v>
      </c>
      <c r="AG26437" s="831" t="s">
        <v>2674</v>
      </c>
      <c r="AH26437" s="831" t="s">
        <v>573</v>
      </c>
      <c r="AI26437" s="831">
        <v>0</v>
      </c>
      <c r="AJ26437" s="835">
        <v>42035</v>
      </c>
      <c r="AK26437" s="831">
        <v>1043409621.5</v>
      </c>
    </row>
    <row r="26438" spans="32:37">
      <c r="AF26438" s="831" t="s">
        <v>11869</v>
      </c>
      <c r="AG26438" s="831" t="s">
        <v>2674</v>
      </c>
      <c r="AH26438" s="831" t="s">
        <v>574</v>
      </c>
      <c r="AI26438" s="831">
        <v>0</v>
      </c>
      <c r="AJ26438" s="835">
        <v>42035</v>
      </c>
      <c r="AK26438" s="831">
        <v>829336654.5</v>
      </c>
    </row>
    <row r="26439" spans="32:37">
      <c r="AF26439" s="831" t="s">
        <v>11870</v>
      </c>
      <c r="AG26439" s="831" t="s">
        <v>2674</v>
      </c>
      <c r="AH26439" s="831" t="s">
        <v>575</v>
      </c>
      <c r="AI26439" s="831">
        <v>0</v>
      </c>
      <c r="AJ26439" s="835">
        <v>42035</v>
      </c>
      <c r="AK26439" s="831">
        <v>147134612</v>
      </c>
    </row>
    <row r="26440" spans="32:37">
      <c r="AF26440" s="831" t="s">
        <v>11871</v>
      </c>
      <c r="AG26440" s="831" t="s">
        <v>2674</v>
      </c>
      <c r="AH26440" s="831" t="s">
        <v>576</v>
      </c>
      <c r="AI26440" s="831">
        <v>0</v>
      </c>
      <c r="AJ26440" s="835">
        <v>42035</v>
      </c>
      <c r="AK26440" s="831">
        <v>535265337</v>
      </c>
    </row>
    <row r="26441" spans="32:37">
      <c r="AF26441" s="831" t="s">
        <v>11872</v>
      </c>
      <c r="AG26441" s="831" t="s">
        <v>2674</v>
      </c>
      <c r="AH26441" s="831" t="s">
        <v>572</v>
      </c>
      <c r="AI26441" s="831">
        <v>0</v>
      </c>
      <c r="AJ26441" s="835">
        <v>42035</v>
      </c>
      <c r="AK26441" s="831">
        <v>43193117</v>
      </c>
    </row>
    <row r="26442" spans="32:37">
      <c r="AF26442" s="831" t="s">
        <v>11873</v>
      </c>
      <c r="AG26442" s="831" t="s">
        <v>2674</v>
      </c>
      <c r="AH26442" s="831" t="s">
        <v>577</v>
      </c>
      <c r="AI26442" s="831">
        <v>0</v>
      </c>
      <c r="AJ26442" s="835">
        <v>42035</v>
      </c>
      <c r="AK26442" s="831">
        <v>172605174</v>
      </c>
    </row>
    <row r="26443" spans="32:37">
      <c r="AF26443" s="831" t="s">
        <v>11874</v>
      </c>
      <c r="AG26443" s="831" t="s">
        <v>2674</v>
      </c>
      <c r="AH26443" s="831" t="s">
        <v>3042</v>
      </c>
      <c r="AI26443" s="831">
        <v>0</v>
      </c>
      <c r="AJ26443" s="835">
        <v>42035</v>
      </c>
      <c r="AK26443" s="831">
        <v>-52806938</v>
      </c>
    </row>
    <row r="26444" spans="32:37">
      <c r="AF26444" s="831" t="s">
        <v>11875</v>
      </c>
      <c r="AG26444" s="831" t="s">
        <v>2674</v>
      </c>
      <c r="AH26444" s="831" t="s">
        <v>3044</v>
      </c>
      <c r="AI26444" s="831">
        <v>0</v>
      </c>
      <c r="AJ26444" s="835">
        <v>42035</v>
      </c>
      <c r="AK26444" s="831">
        <v>3134380</v>
      </c>
    </row>
    <row r="26445" spans="32:37">
      <c r="AF26445" s="831" t="s">
        <v>11876</v>
      </c>
      <c r="AG26445" s="831" t="s">
        <v>2674</v>
      </c>
      <c r="AH26445" s="831" t="s">
        <v>580</v>
      </c>
      <c r="AI26445" s="831">
        <v>0</v>
      </c>
      <c r="AJ26445" s="835">
        <v>42035</v>
      </c>
      <c r="AK26445" s="831">
        <v>-79238495</v>
      </c>
    </row>
    <row r="26446" spans="32:37">
      <c r="AF26446" s="831" t="s">
        <v>11877</v>
      </c>
      <c r="AG26446" s="831" t="s">
        <v>2674</v>
      </c>
      <c r="AH26446" s="831" t="s">
        <v>581</v>
      </c>
      <c r="AI26446" s="831">
        <v>0</v>
      </c>
      <c r="AJ26446" s="835">
        <v>42035</v>
      </c>
      <c r="AK26446" s="831">
        <v>9801179</v>
      </c>
    </row>
    <row r="26447" spans="32:37">
      <c r="AF26447" s="831" t="s">
        <v>11878</v>
      </c>
      <c r="AG26447" s="831" t="s">
        <v>2674</v>
      </c>
      <c r="AH26447" s="831" t="s">
        <v>105</v>
      </c>
      <c r="AI26447" s="831">
        <v>0</v>
      </c>
      <c r="AJ26447" s="835">
        <v>42035</v>
      </c>
      <c r="AK26447" s="831">
        <v>538185674</v>
      </c>
    </row>
    <row r="26448" spans="32:37">
      <c r="AF26448" s="831" t="s">
        <v>11879</v>
      </c>
      <c r="AG26448" s="831" t="s">
        <v>2674</v>
      </c>
      <c r="AH26448" s="831" t="s">
        <v>3049</v>
      </c>
      <c r="AI26448" s="831">
        <v>0</v>
      </c>
      <c r="AJ26448" s="835">
        <v>42035</v>
      </c>
      <c r="AK26448" s="831">
        <v>868832996</v>
      </c>
    </row>
    <row r="26449" spans="32:37">
      <c r="AF26449" s="831" t="s">
        <v>11880</v>
      </c>
      <c r="AG26449" s="831" t="s">
        <v>2674</v>
      </c>
      <c r="AH26449" s="831" t="s">
        <v>103</v>
      </c>
      <c r="AI26449" s="831">
        <v>0</v>
      </c>
      <c r="AJ26449" s="835">
        <v>42035</v>
      </c>
      <c r="AK26449" s="831">
        <v>330647322</v>
      </c>
    </row>
    <row r="26450" spans="32:37">
      <c r="AF26450" s="831" t="s">
        <v>11881</v>
      </c>
      <c r="AG26450" s="831" t="s">
        <v>2674</v>
      </c>
      <c r="AH26450" s="831" t="s">
        <v>182</v>
      </c>
      <c r="AI26450" s="831">
        <v>0</v>
      </c>
      <c r="AJ26450" s="835">
        <v>42035</v>
      </c>
      <c r="AK26450" s="831">
        <v>79397220</v>
      </c>
    </row>
    <row r="26451" spans="32:37">
      <c r="AF26451" s="831" t="s">
        <v>11882</v>
      </c>
      <c r="AG26451" s="831" t="s">
        <v>2674</v>
      </c>
      <c r="AH26451" s="831" t="s">
        <v>6600</v>
      </c>
      <c r="AI26451" s="831">
        <v>0</v>
      </c>
      <c r="AJ26451" s="835">
        <v>42035</v>
      </c>
      <c r="AK26451" s="831">
        <v>43193117</v>
      </c>
    </row>
    <row r="26452" spans="32:37">
      <c r="AF26452" s="831" t="s">
        <v>11883</v>
      </c>
      <c r="AG26452" s="831" t="s">
        <v>2674</v>
      </c>
      <c r="AH26452" s="831" t="s">
        <v>6602</v>
      </c>
      <c r="AI26452" s="831">
        <v>0</v>
      </c>
      <c r="AJ26452" s="835">
        <v>42035</v>
      </c>
      <c r="AK26452" s="831">
        <v>3451938</v>
      </c>
    </row>
    <row r="26453" spans="32:37">
      <c r="AF26453" s="831" t="s">
        <v>11884</v>
      </c>
      <c r="AG26453" s="831" t="s">
        <v>2674</v>
      </c>
      <c r="AH26453" s="831" t="s">
        <v>650</v>
      </c>
      <c r="AI26453" s="831">
        <v>0</v>
      </c>
      <c r="AJ26453" s="835">
        <v>42035</v>
      </c>
      <c r="AK26453" s="831">
        <v>300938254.07461542</v>
      </c>
    </row>
    <row r="26454" spans="32:37">
      <c r="AF26454" s="831" t="s">
        <v>11885</v>
      </c>
      <c r="AG26454" s="831" t="s">
        <v>2674</v>
      </c>
      <c r="AH26454" s="831" t="s">
        <v>655</v>
      </c>
      <c r="AI26454" s="831">
        <v>0</v>
      </c>
      <c r="AJ26454" s="835">
        <v>42035</v>
      </c>
      <c r="AK26454" s="831">
        <v>4403089</v>
      </c>
    </row>
    <row r="26455" spans="32:37">
      <c r="AF26455" s="831" t="s">
        <v>11886</v>
      </c>
      <c r="AG26455" s="831" t="s">
        <v>2674</v>
      </c>
      <c r="AH26455" s="831" t="s">
        <v>546</v>
      </c>
      <c r="AI26455" s="831">
        <v>0</v>
      </c>
      <c r="AJ26455" s="835">
        <v>42063</v>
      </c>
      <c r="AK26455" s="831">
        <v>965858339</v>
      </c>
    </row>
    <row r="26456" spans="32:37">
      <c r="AF26456" s="831" t="s">
        <v>11887</v>
      </c>
      <c r="AG26456" s="831" t="s">
        <v>2674</v>
      </c>
      <c r="AH26456" s="831" t="s">
        <v>370</v>
      </c>
      <c r="AI26456" s="831">
        <v>0</v>
      </c>
      <c r="AJ26456" s="835">
        <v>42063</v>
      </c>
      <c r="AK26456" s="831">
        <v>1253581727</v>
      </c>
    </row>
    <row r="26457" spans="32:37">
      <c r="AF26457" s="831" t="s">
        <v>11888</v>
      </c>
      <c r="AG26457" s="831" t="s">
        <v>2674</v>
      </c>
      <c r="AH26457" s="831" t="s">
        <v>126</v>
      </c>
      <c r="AI26457" s="831">
        <v>0</v>
      </c>
      <c r="AJ26457" s="835">
        <v>42063</v>
      </c>
      <c r="AK26457" s="831">
        <v>143500530</v>
      </c>
    </row>
    <row r="26458" spans="32:37">
      <c r="AF26458" s="831" t="s">
        <v>11889</v>
      </c>
      <c r="AG26458" s="831" t="s">
        <v>2674</v>
      </c>
      <c r="AH26458" s="831" t="s">
        <v>268</v>
      </c>
      <c r="AI26458" s="831">
        <v>0</v>
      </c>
      <c r="AJ26458" s="835">
        <v>42063</v>
      </c>
      <c r="AK26458" s="831">
        <v>-1907756</v>
      </c>
    </row>
    <row r="26459" spans="32:37">
      <c r="AF26459" s="831" t="s">
        <v>11890</v>
      </c>
      <c r="AG26459" s="831" t="s">
        <v>2674</v>
      </c>
      <c r="AH26459" s="831" t="s">
        <v>547</v>
      </c>
      <c r="AI26459" s="831">
        <v>0</v>
      </c>
      <c r="AJ26459" s="835">
        <v>42063</v>
      </c>
      <c r="AK26459" s="831">
        <v>1044609243</v>
      </c>
    </row>
    <row r="26460" spans="32:37">
      <c r="AF26460" s="831" t="s">
        <v>11891</v>
      </c>
      <c r="AG26460" s="831" t="s">
        <v>2674</v>
      </c>
      <c r="AH26460" s="831" t="s">
        <v>548</v>
      </c>
      <c r="AI26460" s="831">
        <v>0</v>
      </c>
      <c r="AJ26460" s="835">
        <v>42063</v>
      </c>
      <c r="AK26460" s="831">
        <v>148860224</v>
      </c>
    </row>
    <row r="26461" spans="32:37">
      <c r="AF26461" s="831" t="s">
        <v>11892</v>
      </c>
      <c r="AG26461" s="831" t="s">
        <v>2674</v>
      </c>
      <c r="AH26461" s="831" t="s">
        <v>549</v>
      </c>
      <c r="AI26461" s="831">
        <v>0</v>
      </c>
      <c r="AJ26461" s="835">
        <v>42063</v>
      </c>
      <c r="AK26461" s="831">
        <v>652795035</v>
      </c>
    </row>
    <row r="26462" spans="32:37">
      <c r="AF26462" s="831" t="s">
        <v>11893</v>
      </c>
      <c r="AG26462" s="831" t="s">
        <v>2674</v>
      </c>
      <c r="AH26462" s="831" t="s">
        <v>192</v>
      </c>
      <c r="AI26462" s="831">
        <v>0</v>
      </c>
      <c r="AJ26462" s="835">
        <v>42063</v>
      </c>
      <c r="AK26462" s="831">
        <v>-13765211</v>
      </c>
    </row>
    <row r="26463" spans="32:37">
      <c r="AF26463" s="831" t="s">
        <v>11894</v>
      </c>
      <c r="AG26463" s="831" t="s">
        <v>2674</v>
      </c>
      <c r="AH26463" s="831" t="s">
        <v>558</v>
      </c>
      <c r="AI26463" s="831">
        <v>0</v>
      </c>
      <c r="AJ26463" s="835">
        <v>42063</v>
      </c>
      <c r="AK26463" s="831">
        <v>1110081197</v>
      </c>
    </row>
    <row r="26464" spans="32:37">
      <c r="AF26464" s="831" t="s">
        <v>11895</v>
      </c>
      <c r="AG26464" s="831" t="s">
        <v>2674</v>
      </c>
      <c r="AH26464" s="831" t="s">
        <v>65</v>
      </c>
      <c r="AI26464" s="831">
        <v>0</v>
      </c>
      <c r="AJ26464" s="835">
        <v>42063</v>
      </c>
      <c r="AK26464" s="831">
        <v>31017741</v>
      </c>
    </row>
    <row r="26465" spans="32:37">
      <c r="AF26465" s="831" t="s">
        <v>11896</v>
      </c>
      <c r="AG26465" s="831" t="s">
        <v>2674</v>
      </c>
      <c r="AH26465" s="831" t="s">
        <v>89</v>
      </c>
      <c r="AI26465" s="831">
        <v>0</v>
      </c>
      <c r="AJ26465" s="835">
        <v>42063</v>
      </c>
      <c r="AK26465" s="831">
        <v>157073</v>
      </c>
    </row>
    <row r="26466" spans="32:37">
      <c r="AF26466" s="831" t="s">
        <v>11897</v>
      </c>
      <c r="AG26466" s="831" t="s">
        <v>2674</v>
      </c>
      <c r="AH26466" s="831" t="s">
        <v>557</v>
      </c>
      <c r="AI26466" s="831">
        <v>0</v>
      </c>
      <c r="AJ26466" s="835">
        <v>42063</v>
      </c>
      <c r="AK26466" s="831">
        <v>179494</v>
      </c>
    </row>
    <row r="26467" spans="32:37">
      <c r="AF26467" s="831" t="s">
        <v>11898</v>
      </c>
      <c r="AG26467" s="831" t="s">
        <v>2674</v>
      </c>
      <c r="AH26467" s="831" t="s">
        <v>29</v>
      </c>
      <c r="AI26467" s="831">
        <v>0</v>
      </c>
      <c r="AJ26467" s="835">
        <v>42063</v>
      </c>
      <c r="AK26467" s="831">
        <v>8683621</v>
      </c>
    </row>
    <row r="26468" spans="32:37">
      <c r="AF26468" s="831" t="s">
        <v>11899</v>
      </c>
      <c r="AG26468" s="831" t="s">
        <v>2674</v>
      </c>
      <c r="AH26468" s="831" t="s">
        <v>2688</v>
      </c>
      <c r="AI26468" s="831">
        <v>0</v>
      </c>
      <c r="AJ26468" s="835">
        <v>42063</v>
      </c>
      <c r="AK26468" s="831">
        <v>11508492</v>
      </c>
    </row>
    <row r="26469" spans="32:37">
      <c r="AF26469" s="831" t="s">
        <v>11900</v>
      </c>
      <c r="AG26469" s="831" t="s">
        <v>2674</v>
      </c>
      <c r="AH26469" s="831" t="s">
        <v>556</v>
      </c>
      <c r="AI26469" s="831">
        <v>0</v>
      </c>
      <c r="AJ26469" s="835">
        <v>42063</v>
      </c>
      <c r="AK26469" s="831">
        <v>11412135</v>
      </c>
    </row>
    <row r="26470" spans="32:37">
      <c r="AF26470" s="831" t="s">
        <v>11901</v>
      </c>
      <c r="AG26470" s="831" t="s">
        <v>2674</v>
      </c>
      <c r="AH26470" s="831" t="s">
        <v>555</v>
      </c>
      <c r="AI26470" s="831">
        <v>0</v>
      </c>
      <c r="AJ26470" s="835">
        <v>42063</v>
      </c>
      <c r="AK26470" s="831">
        <v>771141919</v>
      </c>
    </row>
    <row r="26471" spans="32:37">
      <c r="AF26471" s="831" t="s">
        <v>11902</v>
      </c>
      <c r="AG26471" s="831" t="s">
        <v>2674</v>
      </c>
      <c r="AH26471" s="831" t="s">
        <v>554</v>
      </c>
      <c r="AI26471" s="831">
        <v>0</v>
      </c>
      <c r="AJ26471" s="835">
        <v>42063</v>
      </c>
      <c r="AK26471" s="831">
        <v>856164850</v>
      </c>
    </row>
    <row r="26472" spans="32:37">
      <c r="AF26472" s="831" t="s">
        <v>11903</v>
      </c>
      <c r="AG26472" s="831" t="s">
        <v>2674</v>
      </c>
      <c r="AH26472" s="831" t="s">
        <v>553</v>
      </c>
      <c r="AI26472" s="831">
        <v>0</v>
      </c>
      <c r="AJ26472" s="835">
        <v>42063</v>
      </c>
      <c r="AK26472" s="831">
        <v>92382400</v>
      </c>
    </row>
    <row r="26473" spans="32:37">
      <c r="AF26473" s="831" t="s">
        <v>11904</v>
      </c>
      <c r="AG26473" s="831" t="s">
        <v>2674</v>
      </c>
      <c r="AH26473" s="831" t="s">
        <v>552</v>
      </c>
      <c r="AI26473" s="831">
        <v>0</v>
      </c>
      <c r="AJ26473" s="835">
        <v>42063</v>
      </c>
      <c r="AK26473" s="831">
        <v>0</v>
      </c>
    </row>
    <row r="26474" spans="32:37">
      <c r="AF26474" s="831" t="s">
        <v>11905</v>
      </c>
      <c r="AG26474" s="831" t="s">
        <v>2674</v>
      </c>
      <c r="AH26474" s="831" t="s">
        <v>551</v>
      </c>
      <c r="AI26474" s="831">
        <v>0</v>
      </c>
      <c r="AJ26474" s="835">
        <v>42063</v>
      </c>
      <c r="AK26474" s="831">
        <v>7487687</v>
      </c>
    </row>
    <row r="26475" spans="32:37">
      <c r="AF26475" s="831" t="s">
        <v>11906</v>
      </c>
      <c r="AG26475" s="831" t="s">
        <v>2674</v>
      </c>
      <c r="AH26475" s="831" t="s">
        <v>550</v>
      </c>
      <c r="AI26475" s="831">
        <v>0</v>
      </c>
      <c r="AJ26475" s="835">
        <v>42063</v>
      </c>
      <c r="AK26475" s="831">
        <v>148860224</v>
      </c>
    </row>
    <row r="26476" spans="32:37">
      <c r="AF26476" s="831" t="s">
        <v>11907</v>
      </c>
      <c r="AG26476" s="831" t="s">
        <v>2674</v>
      </c>
      <c r="AH26476" s="831" t="s">
        <v>562</v>
      </c>
      <c r="AI26476" s="831">
        <v>0</v>
      </c>
      <c r="AJ26476" s="835">
        <v>42063</v>
      </c>
      <c r="AK26476" s="831">
        <v>1.04575</v>
      </c>
    </row>
    <row r="26477" spans="32:37">
      <c r="AF26477" s="831" t="s">
        <v>11908</v>
      </c>
      <c r="AG26477" s="831" t="s">
        <v>2674</v>
      </c>
      <c r="AH26477" s="831" t="s">
        <v>2698</v>
      </c>
      <c r="AI26477" s="831">
        <v>0</v>
      </c>
      <c r="AJ26477" s="835">
        <v>42063</v>
      </c>
      <c r="AK26477" s="831">
        <v>0.78439999999999999</v>
      </c>
    </row>
    <row r="26478" spans="32:37">
      <c r="AF26478" s="831" t="s">
        <v>11909</v>
      </c>
      <c r="AG26478" s="831" t="s">
        <v>2674</v>
      </c>
      <c r="AH26478" s="831" t="s">
        <v>560</v>
      </c>
      <c r="AI26478" s="831">
        <v>0</v>
      </c>
      <c r="AJ26478" s="835">
        <v>42063</v>
      </c>
      <c r="AK26478" s="831">
        <v>0.91507499999999997</v>
      </c>
    </row>
    <row r="26479" spans="32:37">
      <c r="AF26479" s="831" t="s">
        <v>11910</v>
      </c>
      <c r="AG26479" s="831" t="s">
        <v>2674</v>
      </c>
      <c r="AH26479" s="831" t="s">
        <v>559</v>
      </c>
      <c r="AI26479" s="831">
        <v>0</v>
      </c>
      <c r="AJ26479" s="835">
        <v>42063</v>
      </c>
      <c r="AK26479" s="831">
        <v>0.80552083333333313</v>
      </c>
    </row>
    <row r="26480" spans="32:37">
      <c r="AF26480" s="831" t="s">
        <v>11911</v>
      </c>
      <c r="AG26480" s="831" t="s">
        <v>2674</v>
      </c>
      <c r="AH26480" s="831" t="s">
        <v>568</v>
      </c>
      <c r="AI26480" s="831">
        <v>0</v>
      </c>
      <c r="AJ26480" s="835">
        <v>42063</v>
      </c>
      <c r="AK26480" s="831">
        <v>764746840.38461542</v>
      </c>
    </row>
    <row r="26481" spans="32:37">
      <c r="AF26481" s="831" t="s">
        <v>11912</v>
      </c>
      <c r="AG26481" s="831" t="s">
        <v>2674</v>
      </c>
      <c r="AH26481" s="831" t="s">
        <v>569</v>
      </c>
      <c r="AI26481" s="831">
        <v>0</v>
      </c>
      <c r="AJ26481" s="835">
        <v>42063</v>
      </c>
      <c r="AK26481" s="831">
        <v>956157596</v>
      </c>
    </row>
    <row r="26482" spans="32:37">
      <c r="AF26482" s="831" t="s">
        <v>11913</v>
      </c>
      <c r="AG26482" s="831" t="s">
        <v>2674</v>
      </c>
      <c r="AH26482" s="831" t="s">
        <v>570</v>
      </c>
      <c r="AI26482" s="831">
        <v>0</v>
      </c>
      <c r="AJ26482" s="835">
        <v>42063</v>
      </c>
      <c r="AK26482" s="831">
        <v>138839504.15615386</v>
      </c>
    </row>
    <row r="26483" spans="32:37">
      <c r="AF26483" s="831" t="s">
        <v>11914</v>
      </c>
      <c r="AG26483" s="831" t="s">
        <v>2674</v>
      </c>
      <c r="AH26483" s="831" t="s">
        <v>571</v>
      </c>
      <c r="AI26483" s="831">
        <v>0</v>
      </c>
      <c r="AJ26483" s="835">
        <v>42063</v>
      </c>
      <c r="AK26483" s="831">
        <v>482774872.10899997</v>
      </c>
    </row>
    <row r="26484" spans="32:37">
      <c r="AF26484" s="831" t="s">
        <v>11915</v>
      </c>
      <c r="AG26484" s="831" t="s">
        <v>2674</v>
      </c>
      <c r="AH26484" s="831" t="s">
        <v>573</v>
      </c>
      <c r="AI26484" s="831">
        <v>0</v>
      </c>
      <c r="AJ26484" s="835">
        <v>42063</v>
      </c>
      <c r="AK26484" s="831">
        <v>1113466990</v>
      </c>
    </row>
    <row r="26485" spans="32:37">
      <c r="AF26485" s="831" t="s">
        <v>11916</v>
      </c>
      <c r="AG26485" s="831" t="s">
        <v>2674</v>
      </c>
      <c r="AH26485" s="831" t="s">
        <v>574</v>
      </c>
      <c r="AI26485" s="831">
        <v>0</v>
      </c>
      <c r="AJ26485" s="835">
        <v>42063</v>
      </c>
      <c r="AK26485" s="831">
        <v>874843882.66666663</v>
      </c>
    </row>
    <row r="26486" spans="32:37">
      <c r="AF26486" s="831" t="s">
        <v>11917</v>
      </c>
      <c r="AG26486" s="831" t="s">
        <v>2674</v>
      </c>
      <c r="AH26486" s="831" t="s">
        <v>575</v>
      </c>
      <c r="AI26486" s="831">
        <v>0</v>
      </c>
      <c r="AJ26486" s="835">
        <v>42063</v>
      </c>
      <c r="AK26486" s="831">
        <v>145923251.33333334</v>
      </c>
    </row>
    <row r="26487" spans="32:37">
      <c r="AF26487" s="831" t="s">
        <v>11918</v>
      </c>
      <c r="AG26487" s="831" t="s">
        <v>2674</v>
      </c>
      <c r="AH26487" s="831" t="s">
        <v>576</v>
      </c>
      <c r="AI26487" s="831">
        <v>0</v>
      </c>
      <c r="AJ26487" s="835">
        <v>42063</v>
      </c>
      <c r="AK26487" s="831">
        <v>595110401.33333337</v>
      </c>
    </row>
    <row r="26488" spans="32:37">
      <c r="AF26488" s="831" t="s">
        <v>11919</v>
      </c>
      <c r="AG26488" s="831" t="s">
        <v>2674</v>
      </c>
      <c r="AH26488" s="831" t="s">
        <v>572</v>
      </c>
      <c r="AI26488" s="831">
        <v>0</v>
      </c>
      <c r="AJ26488" s="835">
        <v>42063</v>
      </c>
      <c r="AK26488" s="831">
        <v>33261949</v>
      </c>
    </row>
    <row r="26489" spans="32:37">
      <c r="AF26489" s="831" t="s">
        <v>11920</v>
      </c>
      <c r="AG26489" s="831" t="s">
        <v>2674</v>
      </c>
      <c r="AH26489" s="831" t="s">
        <v>577</v>
      </c>
      <c r="AI26489" s="831">
        <v>0</v>
      </c>
      <c r="AJ26489" s="835">
        <v>42063</v>
      </c>
      <c r="AK26489" s="831">
        <v>173134660</v>
      </c>
    </row>
    <row r="26490" spans="32:37">
      <c r="AF26490" s="831" t="s">
        <v>11921</v>
      </c>
      <c r="AG26490" s="831" t="s">
        <v>2674</v>
      </c>
      <c r="AH26490" s="831" t="s">
        <v>3042</v>
      </c>
      <c r="AI26490" s="831">
        <v>0</v>
      </c>
      <c r="AJ26490" s="835">
        <v>42063</v>
      </c>
      <c r="AK26490" s="831">
        <v>-53542458</v>
      </c>
    </row>
    <row r="26491" spans="32:37">
      <c r="AF26491" s="831" t="s">
        <v>11922</v>
      </c>
      <c r="AG26491" s="831" t="s">
        <v>2674</v>
      </c>
      <c r="AH26491" s="831" t="s">
        <v>3044</v>
      </c>
      <c r="AI26491" s="831">
        <v>0</v>
      </c>
      <c r="AJ26491" s="835">
        <v>42063</v>
      </c>
      <c r="AK26491" s="831">
        <v>-787106</v>
      </c>
    </row>
    <row r="26492" spans="32:37">
      <c r="AF26492" s="831" t="s">
        <v>11923</v>
      </c>
      <c r="AG26492" s="831" t="s">
        <v>2674</v>
      </c>
      <c r="AH26492" s="831" t="s">
        <v>580</v>
      </c>
      <c r="AI26492" s="831">
        <v>0</v>
      </c>
      <c r="AJ26492" s="835">
        <v>42063</v>
      </c>
      <c r="AK26492" s="831">
        <v>-82473719</v>
      </c>
    </row>
    <row r="26493" spans="32:37">
      <c r="AF26493" s="831" t="s">
        <v>11924</v>
      </c>
      <c r="AG26493" s="831" t="s">
        <v>2674</v>
      </c>
      <c r="AH26493" s="831" t="s">
        <v>581</v>
      </c>
      <c r="AI26493" s="831">
        <v>0</v>
      </c>
      <c r="AJ26493" s="835">
        <v>42063</v>
      </c>
      <c r="AK26493" s="831">
        <v>11169610</v>
      </c>
    </row>
    <row r="26494" spans="32:37">
      <c r="AF26494" s="831" t="s">
        <v>11925</v>
      </c>
      <c r="AG26494" s="831" t="s">
        <v>2674</v>
      </c>
      <c r="AH26494" s="831" t="s">
        <v>105</v>
      </c>
      <c r="AI26494" s="831">
        <v>0</v>
      </c>
      <c r="AJ26494" s="835">
        <v>42063</v>
      </c>
      <c r="AK26494" s="831">
        <v>714800530</v>
      </c>
    </row>
    <row r="26495" spans="32:37">
      <c r="AF26495" s="831" t="s">
        <v>11926</v>
      </c>
      <c r="AG26495" s="831" t="s">
        <v>2674</v>
      </c>
      <c r="AH26495" s="831" t="s">
        <v>3049</v>
      </c>
      <c r="AI26495" s="831">
        <v>0</v>
      </c>
      <c r="AJ26495" s="835">
        <v>42063</v>
      </c>
      <c r="AK26495" s="831">
        <v>1078776977</v>
      </c>
    </row>
    <row r="26496" spans="32:37">
      <c r="AF26496" s="831" t="s">
        <v>11927</v>
      </c>
      <c r="AG26496" s="831" t="s">
        <v>2674</v>
      </c>
      <c r="AH26496" s="831" t="s">
        <v>103</v>
      </c>
      <c r="AI26496" s="831">
        <v>0</v>
      </c>
      <c r="AJ26496" s="835">
        <v>42063</v>
      </c>
      <c r="AK26496" s="831">
        <v>363976447</v>
      </c>
    </row>
    <row r="26497" spans="32:37">
      <c r="AF26497" s="831" t="s">
        <v>11928</v>
      </c>
      <c r="AG26497" s="831" t="s">
        <v>2674</v>
      </c>
      <c r="AH26497" s="831" t="s">
        <v>182</v>
      </c>
      <c r="AI26497" s="831">
        <v>0</v>
      </c>
      <c r="AJ26497" s="835">
        <v>42063</v>
      </c>
      <c r="AK26497" s="831">
        <v>91149096</v>
      </c>
    </row>
    <row r="26498" spans="32:37">
      <c r="AF26498" s="831" t="s">
        <v>11929</v>
      </c>
      <c r="AG26498" s="831" t="s">
        <v>2674</v>
      </c>
      <c r="AH26498" s="831" t="s">
        <v>6600</v>
      </c>
      <c r="AI26498" s="831">
        <v>0</v>
      </c>
      <c r="AJ26498" s="835">
        <v>42063</v>
      </c>
      <c r="AK26498" s="831">
        <v>33261949</v>
      </c>
    </row>
    <row r="26499" spans="32:37">
      <c r="AF26499" s="831" t="s">
        <v>11930</v>
      </c>
      <c r="AG26499" s="831" t="s">
        <v>2674</v>
      </c>
      <c r="AH26499" s="831" t="s">
        <v>6602</v>
      </c>
      <c r="AI26499" s="831">
        <v>0</v>
      </c>
      <c r="AJ26499" s="835">
        <v>42063</v>
      </c>
      <c r="AK26499" s="831">
        <v>-1907756</v>
      </c>
    </row>
    <row r="26500" spans="32:37">
      <c r="AF26500" s="831" t="s">
        <v>11931</v>
      </c>
      <c r="AG26500" s="831" t="s">
        <v>2674</v>
      </c>
      <c r="AH26500" s="831" t="s">
        <v>650</v>
      </c>
      <c r="AI26500" s="831">
        <v>0</v>
      </c>
      <c r="AJ26500" s="835">
        <v>42063</v>
      </c>
      <c r="AK26500" s="831">
        <v>309129053.2630769</v>
      </c>
    </row>
    <row r="26501" spans="32:37">
      <c r="AF26501" s="831" t="s">
        <v>11932</v>
      </c>
      <c r="AG26501" s="831" t="s">
        <v>2674</v>
      </c>
      <c r="AH26501" s="831" t="s">
        <v>655</v>
      </c>
      <c r="AI26501" s="831">
        <v>0</v>
      </c>
      <c r="AJ26501" s="835">
        <v>42063</v>
      </c>
      <c r="AK26501" s="831">
        <v>7002831</v>
      </c>
    </row>
    <row r="26502" spans="32:37">
      <c r="AF26502" s="831" t="s">
        <v>11933</v>
      </c>
      <c r="AG26502" s="831" t="s">
        <v>2674</v>
      </c>
      <c r="AH26502" s="831" t="s">
        <v>546</v>
      </c>
      <c r="AI26502" s="831">
        <v>0</v>
      </c>
      <c r="AJ26502" s="835">
        <v>42094</v>
      </c>
      <c r="AK26502" s="831">
        <v>925259190</v>
      </c>
    </row>
    <row r="26503" spans="32:37">
      <c r="AF26503" s="831" t="s">
        <v>11934</v>
      </c>
      <c r="AG26503" s="831" t="s">
        <v>2674</v>
      </c>
      <c r="AH26503" s="831" t="s">
        <v>370</v>
      </c>
      <c r="AI26503" s="831">
        <v>0</v>
      </c>
      <c r="AJ26503" s="835">
        <v>42094</v>
      </c>
      <c r="AK26503" s="831">
        <v>1161484479</v>
      </c>
    </row>
    <row r="26504" spans="32:37">
      <c r="AF26504" s="831" t="s">
        <v>11935</v>
      </c>
      <c r="AG26504" s="831" t="s">
        <v>2674</v>
      </c>
      <c r="AH26504" s="831" t="s">
        <v>126</v>
      </c>
      <c r="AI26504" s="831">
        <v>0</v>
      </c>
      <c r="AJ26504" s="835">
        <v>42094</v>
      </c>
      <c r="AK26504" s="831">
        <v>147807134</v>
      </c>
    </row>
    <row r="26505" spans="32:37">
      <c r="AF26505" s="831" t="s">
        <v>11936</v>
      </c>
      <c r="AG26505" s="831" t="s">
        <v>2674</v>
      </c>
      <c r="AH26505" s="831" t="s">
        <v>268</v>
      </c>
      <c r="AI26505" s="831">
        <v>0</v>
      </c>
      <c r="AJ26505" s="835">
        <v>42094</v>
      </c>
      <c r="AK26505" s="831">
        <v>2398849</v>
      </c>
    </row>
    <row r="26506" spans="32:37">
      <c r="AF26506" s="831" t="s">
        <v>11937</v>
      </c>
      <c r="AG26506" s="831" t="s">
        <v>2674</v>
      </c>
      <c r="AH26506" s="831" t="s">
        <v>547</v>
      </c>
      <c r="AI26506" s="831">
        <v>0</v>
      </c>
      <c r="AJ26506" s="835">
        <v>42094</v>
      </c>
      <c r="AK26506" s="831">
        <v>1044609243</v>
      </c>
    </row>
    <row r="26507" spans="32:37">
      <c r="AF26507" s="831" t="s">
        <v>11938</v>
      </c>
      <c r="AG26507" s="831" t="s">
        <v>2674</v>
      </c>
      <c r="AH26507" s="831" t="s">
        <v>548</v>
      </c>
      <c r="AI26507" s="831">
        <v>0</v>
      </c>
      <c r="AJ26507" s="835">
        <v>42094</v>
      </c>
      <c r="AK26507" s="831">
        <v>148860224</v>
      </c>
    </row>
    <row r="26508" spans="32:37">
      <c r="AF26508" s="831" t="s">
        <v>11939</v>
      </c>
      <c r="AG26508" s="831" t="s">
        <v>2674</v>
      </c>
      <c r="AH26508" s="831" t="s">
        <v>549</v>
      </c>
      <c r="AI26508" s="831">
        <v>0</v>
      </c>
      <c r="AJ26508" s="835">
        <v>42094</v>
      </c>
      <c r="AK26508" s="831">
        <v>664153787</v>
      </c>
    </row>
    <row r="26509" spans="32:37">
      <c r="AF26509" s="831" t="s">
        <v>11940</v>
      </c>
      <c r="AG26509" s="831" t="s">
        <v>2674</v>
      </c>
      <c r="AH26509" s="831" t="s">
        <v>192</v>
      </c>
      <c r="AI26509" s="831">
        <v>0</v>
      </c>
      <c r="AJ26509" s="835">
        <v>42094</v>
      </c>
      <c r="AK26509" s="831">
        <v>-15332196</v>
      </c>
    </row>
    <row r="26510" spans="32:37">
      <c r="AF26510" s="831" t="s">
        <v>11941</v>
      </c>
      <c r="AG26510" s="831" t="s">
        <v>2674</v>
      </c>
      <c r="AH26510" s="831" t="s">
        <v>558</v>
      </c>
      <c r="AI26510" s="831">
        <v>0</v>
      </c>
      <c r="AJ26510" s="835">
        <v>42094</v>
      </c>
      <c r="AK26510" s="831">
        <v>1013677345</v>
      </c>
    </row>
    <row r="26511" spans="32:37">
      <c r="AF26511" s="831" t="s">
        <v>11942</v>
      </c>
      <c r="AG26511" s="831" t="s">
        <v>2674</v>
      </c>
      <c r="AH26511" s="831" t="s">
        <v>65</v>
      </c>
      <c r="AI26511" s="831">
        <v>0</v>
      </c>
      <c r="AJ26511" s="835">
        <v>42094</v>
      </c>
      <c r="AK26511" s="831">
        <v>48515498</v>
      </c>
    </row>
    <row r="26512" spans="32:37">
      <c r="AF26512" s="831" t="s">
        <v>11943</v>
      </c>
      <c r="AG26512" s="831" t="s">
        <v>2674</v>
      </c>
      <c r="AH26512" s="831" t="s">
        <v>89</v>
      </c>
      <c r="AI26512" s="831">
        <v>0</v>
      </c>
      <c r="AJ26512" s="835">
        <v>42094</v>
      </c>
      <c r="AK26512" s="831">
        <v>153039</v>
      </c>
    </row>
    <row r="26513" spans="32:37">
      <c r="AF26513" s="831" t="s">
        <v>11944</v>
      </c>
      <c r="AG26513" s="831" t="s">
        <v>2674</v>
      </c>
      <c r="AH26513" s="831" t="s">
        <v>557</v>
      </c>
      <c r="AI26513" s="831">
        <v>0</v>
      </c>
      <c r="AJ26513" s="835">
        <v>42094</v>
      </c>
      <c r="AK26513" s="831">
        <v>174874</v>
      </c>
    </row>
    <row r="26514" spans="32:37">
      <c r="AF26514" s="831" t="s">
        <v>11945</v>
      </c>
      <c r="AG26514" s="831" t="s">
        <v>2674</v>
      </c>
      <c r="AH26514" s="831" t="s">
        <v>29</v>
      </c>
      <c r="AI26514" s="831">
        <v>0</v>
      </c>
      <c r="AJ26514" s="835">
        <v>42094</v>
      </c>
      <c r="AK26514" s="831">
        <v>10801248</v>
      </c>
    </row>
    <row r="26515" spans="32:37">
      <c r="AF26515" s="831" t="s">
        <v>11946</v>
      </c>
      <c r="AG26515" s="831" t="s">
        <v>2674</v>
      </c>
      <c r="AH26515" s="831" t="s">
        <v>2688</v>
      </c>
      <c r="AI26515" s="831">
        <v>0</v>
      </c>
      <c r="AJ26515" s="835">
        <v>42094</v>
      </c>
      <c r="AK26515" s="831">
        <v>88178967</v>
      </c>
    </row>
    <row r="26516" spans="32:37">
      <c r="AF26516" s="831" t="s">
        <v>11947</v>
      </c>
      <c r="AG26516" s="831" t="s">
        <v>2674</v>
      </c>
      <c r="AH26516" s="831" t="s">
        <v>556</v>
      </c>
      <c r="AI26516" s="831">
        <v>0</v>
      </c>
      <c r="AJ26516" s="835">
        <v>42094</v>
      </c>
      <c r="AK26516" s="831">
        <v>11412135</v>
      </c>
    </row>
    <row r="26517" spans="32:37">
      <c r="AF26517" s="831" t="s">
        <v>11948</v>
      </c>
      <c r="AG26517" s="831" t="s">
        <v>2674</v>
      </c>
      <c r="AH26517" s="831" t="s">
        <v>555</v>
      </c>
      <c r="AI26517" s="831">
        <v>0</v>
      </c>
      <c r="AJ26517" s="835">
        <v>42094</v>
      </c>
      <c r="AK26517" s="831">
        <v>794294654</v>
      </c>
    </row>
    <row r="26518" spans="32:37">
      <c r="AF26518" s="831" t="s">
        <v>11949</v>
      </c>
      <c r="AG26518" s="831" t="s">
        <v>2674</v>
      </c>
      <c r="AH26518" s="831" t="s">
        <v>554</v>
      </c>
      <c r="AI26518" s="831">
        <v>0</v>
      </c>
      <c r="AJ26518" s="835">
        <v>42094</v>
      </c>
      <c r="AK26518" s="831">
        <v>796448359</v>
      </c>
    </row>
    <row r="26519" spans="32:37">
      <c r="AF26519" s="831" t="s">
        <v>11950</v>
      </c>
      <c r="AG26519" s="831" t="s">
        <v>2674</v>
      </c>
      <c r="AH26519" s="831" t="s">
        <v>553</v>
      </c>
      <c r="AI26519" s="831">
        <v>0</v>
      </c>
      <c r="AJ26519" s="835">
        <v>42094</v>
      </c>
      <c r="AK26519" s="831">
        <v>52425000</v>
      </c>
    </row>
    <row r="26520" spans="32:37">
      <c r="AF26520" s="831" t="s">
        <v>11951</v>
      </c>
      <c r="AG26520" s="831" t="s">
        <v>2674</v>
      </c>
      <c r="AH26520" s="831" t="s">
        <v>552</v>
      </c>
      <c r="AI26520" s="831">
        <v>0</v>
      </c>
      <c r="AJ26520" s="835">
        <v>42094</v>
      </c>
      <c r="AK26520" s="831">
        <v>0</v>
      </c>
    </row>
    <row r="26521" spans="32:37">
      <c r="AF26521" s="831" t="s">
        <v>11952</v>
      </c>
      <c r="AG26521" s="831" t="s">
        <v>2674</v>
      </c>
      <c r="AH26521" s="831" t="s">
        <v>551</v>
      </c>
      <c r="AI26521" s="831">
        <v>0</v>
      </c>
      <c r="AJ26521" s="835">
        <v>42094</v>
      </c>
      <c r="AK26521" s="831">
        <v>8543411</v>
      </c>
    </row>
    <row r="26522" spans="32:37">
      <c r="AF26522" s="831" t="s">
        <v>11953</v>
      </c>
      <c r="AG26522" s="831" t="s">
        <v>2674</v>
      </c>
      <c r="AH26522" s="831" t="s">
        <v>550</v>
      </c>
      <c r="AI26522" s="831">
        <v>0</v>
      </c>
      <c r="AJ26522" s="835">
        <v>42094</v>
      </c>
      <c r="AK26522" s="831">
        <v>143500530</v>
      </c>
    </row>
    <row r="26523" spans="32:37">
      <c r="AF26523" s="831" t="s">
        <v>11954</v>
      </c>
      <c r="AG26523" s="831" t="s">
        <v>2674</v>
      </c>
      <c r="AH26523" s="831" t="s">
        <v>562</v>
      </c>
      <c r="AI26523" s="831">
        <v>0</v>
      </c>
      <c r="AJ26523" s="835">
        <v>42094</v>
      </c>
      <c r="AK26523" s="831">
        <v>1.0495000000000001</v>
      </c>
    </row>
    <row r="26524" spans="32:37">
      <c r="AF26524" s="831" t="s">
        <v>11955</v>
      </c>
      <c r="AG26524" s="831" t="s">
        <v>2674</v>
      </c>
      <c r="AH26524" s="831" t="s">
        <v>2698</v>
      </c>
      <c r="AI26524" s="831">
        <v>0</v>
      </c>
      <c r="AJ26524" s="835">
        <v>42094</v>
      </c>
      <c r="AK26524" s="831">
        <v>1.04575</v>
      </c>
    </row>
    <row r="26525" spans="32:37">
      <c r="AF26525" s="831" t="s">
        <v>11956</v>
      </c>
      <c r="AG26525" s="831" t="s">
        <v>2674</v>
      </c>
      <c r="AH26525" s="831" t="s">
        <v>560</v>
      </c>
      <c r="AI26525" s="831">
        <v>0</v>
      </c>
      <c r="AJ26525" s="835">
        <v>42094</v>
      </c>
      <c r="AK26525" s="831">
        <v>0.95988333333333331</v>
      </c>
    </row>
    <row r="26526" spans="32:37">
      <c r="AF26526" s="831" t="s">
        <v>11957</v>
      </c>
      <c r="AG26526" s="831" t="s">
        <v>2674</v>
      </c>
      <c r="AH26526" s="831" t="s">
        <v>559</v>
      </c>
      <c r="AI26526" s="831">
        <v>0</v>
      </c>
      <c r="AJ26526" s="835">
        <v>42094</v>
      </c>
      <c r="AK26526" s="831">
        <v>0.82766666666666655</v>
      </c>
    </row>
    <row r="26527" spans="32:37">
      <c r="AF26527" s="831" t="s">
        <v>11958</v>
      </c>
      <c r="AG26527" s="831" t="s">
        <v>2674</v>
      </c>
      <c r="AH26527" s="831" t="s">
        <v>568</v>
      </c>
      <c r="AI26527" s="831">
        <v>0</v>
      </c>
      <c r="AJ26527" s="835">
        <v>42094</v>
      </c>
      <c r="AK26527" s="831">
        <v>785705621.53846157</v>
      </c>
    </row>
    <row r="26528" spans="32:37">
      <c r="AF26528" s="831" t="s">
        <v>11959</v>
      </c>
      <c r="AG26528" s="831" t="s">
        <v>2674</v>
      </c>
      <c r="AH26528" s="831" t="s">
        <v>569</v>
      </c>
      <c r="AI26528" s="831">
        <v>0</v>
      </c>
      <c r="AJ26528" s="835">
        <v>42094</v>
      </c>
      <c r="AK26528" s="831">
        <v>984393199.30769229</v>
      </c>
    </row>
    <row r="26529" spans="32:37">
      <c r="AF26529" s="831" t="s">
        <v>11960</v>
      </c>
      <c r="AG26529" s="831" t="s">
        <v>2674</v>
      </c>
      <c r="AH26529" s="831" t="s">
        <v>570</v>
      </c>
      <c r="AI26529" s="831">
        <v>0</v>
      </c>
      <c r="AJ26529" s="835">
        <v>42094</v>
      </c>
      <c r="AK26529" s="831">
        <v>140931158.46384615</v>
      </c>
    </row>
    <row r="26530" spans="32:37">
      <c r="AF26530" s="831" t="s">
        <v>11961</v>
      </c>
      <c r="AG26530" s="831" t="s">
        <v>2674</v>
      </c>
      <c r="AH26530" s="831" t="s">
        <v>571</v>
      </c>
      <c r="AI26530" s="831">
        <v>0</v>
      </c>
      <c r="AJ26530" s="835">
        <v>42094</v>
      </c>
      <c r="AK26530" s="831">
        <v>502500066.26284611</v>
      </c>
    </row>
    <row r="26531" spans="32:37">
      <c r="AF26531" s="831" t="s">
        <v>11962</v>
      </c>
      <c r="AG26531" s="831" t="s">
        <v>2674</v>
      </c>
      <c r="AH26531" s="831" t="s">
        <v>573</v>
      </c>
      <c r="AI26531" s="831">
        <v>0</v>
      </c>
      <c r="AJ26531" s="835">
        <v>42094</v>
      </c>
      <c r="AK26531" s="831">
        <v>1125471362.25</v>
      </c>
    </row>
    <row r="26532" spans="32:37">
      <c r="AF26532" s="831" t="s">
        <v>11963</v>
      </c>
      <c r="AG26532" s="831" t="s">
        <v>2674</v>
      </c>
      <c r="AH26532" s="831" t="s">
        <v>574</v>
      </c>
      <c r="AI26532" s="831">
        <v>0</v>
      </c>
      <c r="AJ26532" s="835">
        <v>42094</v>
      </c>
      <c r="AK26532" s="831">
        <v>887447709.5</v>
      </c>
    </row>
    <row r="26533" spans="32:37">
      <c r="AF26533" s="831" t="s">
        <v>11964</v>
      </c>
      <c r="AG26533" s="831" t="s">
        <v>2674</v>
      </c>
      <c r="AH26533" s="831" t="s">
        <v>575</v>
      </c>
      <c r="AI26533" s="831">
        <v>0</v>
      </c>
      <c r="AJ26533" s="835">
        <v>42094</v>
      </c>
      <c r="AK26533" s="831">
        <v>146394222</v>
      </c>
    </row>
    <row r="26534" spans="32:37">
      <c r="AF26534" s="831" t="s">
        <v>11965</v>
      </c>
      <c r="AG26534" s="831" t="s">
        <v>2674</v>
      </c>
      <c r="AH26534" s="831" t="s">
        <v>576</v>
      </c>
      <c r="AI26534" s="831">
        <v>0</v>
      </c>
      <c r="AJ26534" s="835">
        <v>42094</v>
      </c>
      <c r="AK26534" s="831">
        <v>606715260</v>
      </c>
    </row>
    <row r="26535" spans="32:37">
      <c r="AF26535" s="831" t="s">
        <v>11966</v>
      </c>
      <c r="AG26535" s="831" t="s">
        <v>2674</v>
      </c>
      <c r="AH26535" s="831" t="s">
        <v>572</v>
      </c>
      <c r="AI26535" s="831">
        <v>0</v>
      </c>
      <c r="AJ26535" s="835">
        <v>42094</v>
      </c>
      <c r="AK26535" s="831">
        <v>36560084</v>
      </c>
    </row>
    <row r="26536" spans="32:37">
      <c r="AF26536" s="831" t="s">
        <v>11967</v>
      </c>
      <c r="AG26536" s="831" t="s">
        <v>2674</v>
      </c>
      <c r="AH26536" s="831" t="s">
        <v>577</v>
      </c>
      <c r="AI26536" s="831">
        <v>0</v>
      </c>
      <c r="AJ26536" s="835">
        <v>42094</v>
      </c>
      <c r="AK26536" s="831">
        <v>179877214</v>
      </c>
    </row>
    <row r="26537" spans="32:37">
      <c r="AF26537" s="831" t="s">
        <v>11968</v>
      </c>
      <c r="AG26537" s="831" t="s">
        <v>2674</v>
      </c>
      <c r="AH26537" s="831" t="s">
        <v>3042</v>
      </c>
      <c r="AI26537" s="831">
        <v>0</v>
      </c>
      <c r="AJ26537" s="835">
        <v>42094</v>
      </c>
      <c r="AK26537" s="831">
        <v>-55010221</v>
      </c>
    </row>
    <row r="26538" spans="32:37">
      <c r="AF26538" s="831" t="s">
        <v>11969</v>
      </c>
      <c r="AG26538" s="831" t="s">
        <v>2674</v>
      </c>
      <c r="AH26538" s="831" t="s">
        <v>3044</v>
      </c>
      <c r="AI26538" s="831">
        <v>0</v>
      </c>
      <c r="AJ26538" s="835">
        <v>42094</v>
      </c>
      <c r="AK26538" s="831">
        <v>-2080886</v>
      </c>
    </row>
    <row r="26539" spans="32:37">
      <c r="AF26539" s="831" t="s">
        <v>11970</v>
      </c>
      <c r="AG26539" s="831" t="s">
        <v>2674</v>
      </c>
      <c r="AH26539" s="831" t="s">
        <v>580</v>
      </c>
      <c r="AI26539" s="831">
        <v>0</v>
      </c>
      <c r="AJ26539" s="835">
        <v>42094</v>
      </c>
      <c r="AK26539" s="831">
        <v>-82773578</v>
      </c>
    </row>
    <row r="26540" spans="32:37">
      <c r="AF26540" s="831" t="s">
        <v>11971</v>
      </c>
      <c r="AG26540" s="831" t="s">
        <v>2674</v>
      </c>
      <c r="AH26540" s="831" t="s">
        <v>581</v>
      </c>
      <c r="AI26540" s="831">
        <v>0</v>
      </c>
      <c r="AJ26540" s="835">
        <v>42094</v>
      </c>
      <c r="AK26540" s="831">
        <v>10684351</v>
      </c>
    </row>
    <row r="26541" spans="32:37">
      <c r="AF26541" s="831" t="s">
        <v>11972</v>
      </c>
      <c r="AG26541" s="831" t="s">
        <v>2674</v>
      </c>
      <c r="AH26541" s="831" t="s">
        <v>105</v>
      </c>
      <c r="AI26541" s="831">
        <v>0</v>
      </c>
      <c r="AJ26541" s="835">
        <v>42094</v>
      </c>
      <c r="AK26541" s="831">
        <v>641529836</v>
      </c>
    </row>
    <row r="26542" spans="32:37">
      <c r="AF26542" s="831" t="s">
        <v>11973</v>
      </c>
      <c r="AG26542" s="831" t="s">
        <v>2674</v>
      </c>
      <c r="AH26542" s="831" t="s">
        <v>3049</v>
      </c>
      <c r="AI26542" s="831">
        <v>0</v>
      </c>
      <c r="AJ26542" s="835">
        <v>42094</v>
      </c>
      <c r="AK26542" s="831">
        <v>986480670</v>
      </c>
    </row>
    <row r="26543" spans="32:37">
      <c r="AF26543" s="831" t="s">
        <v>11974</v>
      </c>
      <c r="AG26543" s="831" t="s">
        <v>2674</v>
      </c>
      <c r="AH26543" s="831" t="s">
        <v>103</v>
      </c>
      <c r="AI26543" s="831">
        <v>0</v>
      </c>
      <c r="AJ26543" s="835">
        <v>42094</v>
      </c>
      <c r="AK26543" s="831">
        <v>344950834</v>
      </c>
    </row>
    <row r="26544" spans="32:37">
      <c r="AF26544" s="831" t="s">
        <v>11975</v>
      </c>
      <c r="AG26544" s="831" t="s">
        <v>2674</v>
      </c>
      <c r="AH26544" s="831" t="s">
        <v>182</v>
      </c>
      <c r="AI26544" s="831">
        <v>0</v>
      </c>
      <c r="AJ26544" s="835">
        <v>42094</v>
      </c>
      <c r="AK26544" s="831">
        <v>85077948</v>
      </c>
    </row>
    <row r="26545" spans="32:37">
      <c r="AF26545" s="831" t="s">
        <v>11976</v>
      </c>
      <c r="AG26545" s="831" t="s">
        <v>2674</v>
      </c>
      <c r="AH26545" s="831" t="s">
        <v>6600</v>
      </c>
      <c r="AI26545" s="831">
        <v>0</v>
      </c>
      <c r="AJ26545" s="835">
        <v>42094</v>
      </c>
      <c r="AK26545" s="831">
        <v>36560084</v>
      </c>
    </row>
    <row r="26546" spans="32:37">
      <c r="AF26546" s="831" t="s">
        <v>11977</v>
      </c>
      <c r="AG26546" s="831" t="s">
        <v>2674</v>
      </c>
      <c r="AH26546" s="831" t="s">
        <v>6602</v>
      </c>
      <c r="AI26546" s="831">
        <v>0</v>
      </c>
      <c r="AJ26546" s="835">
        <v>42094</v>
      </c>
      <c r="AK26546" s="831">
        <v>2398849</v>
      </c>
    </row>
    <row r="26547" spans="32:37">
      <c r="AF26547" s="831" t="s">
        <v>11978</v>
      </c>
      <c r="AG26547" s="831" t="s">
        <v>2674</v>
      </c>
      <c r="AH26547" s="831" t="s">
        <v>650</v>
      </c>
      <c r="AI26547" s="831">
        <v>0</v>
      </c>
      <c r="AJ26547" s="835">
        <v>42094</v>
      </c>
      <c r="AK26547" s="831">
        <v>315233998.53846157</v>
      </c>
    </row>
    <row r="26548" spans="32:37">
      <c r="AF26548" s="831" t="s">
        <v>11979</v>
      </c>
      <c r="AG26548" s="831" t="s">
        <v>2674</v>
      </c>
      <c r="AH26548" s="831" t="s">
        <v>655</v>
      </c>
      <c r="AI26548" s="831">
        <v>0</v>
      </c>
      <c r="AJ26548" s="835">
        <v>42094</v>
      </c>
      <c r="AK26548" s="831">
        <v>7308574</v>
      </c>
    </row>
    <row r="26549" spans="32:37">
      <c r="AF26549" s="831" t="s">
        <v>11980</v>
      </c>
      <c r="AG26549" s="831" t="s">
        <v>2674</v>
      </c>
      <c r="AH26549" s="831" t="s">
        <v>546</v>
      </c>
      <c r="AI26549" s="831">
        <v>0</v>
      </c>
      <c r="AJ26549" s="835">
        <v>42124</v>
      </c>
      <c r="AK26549" s="831">
        <v>887135523</v>
      </c>
    </row>
    <row r="26550" spans="32:37">
      <c r="AF26550" s="831" t="s">
        <v>11981</v>
      </c>
      <c r="AG26550" s="831" t="s">
        <v>2674</v>
      </c>
      <c r="AH26550" s="831" t="s">
        <v>370</v>
      </c>
      <c r="AI26550" s="831">
        <v>0</v>
      </c>
      <c r="AJ26550" s="835">
        <v>42124</v>
      </c>
      <c r="AK26550" s="831">
        <v>1155982366</v>
      </c>
    </row>
    <row r="26551" spans="32:37">
      <c r="AF26551" s="831" t="s">
        <v>11982</v>
      </c>
      <c r="AG26551" s="831" t="s">
        <v>2674</v>
      </c>
      <c r="AH26551" s="831" t="s">
        <v>126</v>
      </c>
      <c r="AI26551" s="831">
        <v>0</v>
      </c>
      <c r="AJ26551" s="835">
        <v>42124</v>
      </c>
      <c r="AK26551" s="831">
        <v>148898855</v>
      </c>
    </row>
    <row r="26552" spans="32:37">
      <c r="AF26552" s="831" t="s">
        <v>11983</v>
      </c>
      <c r="AG26552" s="831" t="s">
        <v>2674</v>
      </c>
      <c r="AH26552" s="831" t="s">
        <v>268</v>
      </c>
      <c r="AI26552" s="831">
        <v>0</v>
      </c>
      <c r="AJ26552" s="835">
        <v>42124</v>
      </c>
      <c r="AK26552" s="831">
        <v>3490177</v>
      </c>
    </row>
    <row r="26553" spans="32:37">
      <c r="AF26553" s="831" t="s">
        <v>11984</v>
      </c>
      <c r="AG26553" s="831" t="s">
        <v>2674</v>
      </c>
      <c r="AH26553" s="831" t="s">
        <v>547</v>
      </c>
      <c r="AI26553" s="831">
        <v>0</v>
      </c>
      <c r="AJ26553" s="835">
        <v>42124</v>
      </c>
      <c r="AK26553" s="831">
        <v>1044609243</v>
      </c>
    </row>
    <row r="26554" spans="32:37">
      <c r="AF26554" s="831" t="s">
        <v>11985</v>
      </c>
      <c r="AG26554" s="831" t="s">
        <v>2674</v>
      </c>
      <c r="AH26554" s="831" t="s">
        <v>548</v>
      </c>
      <c r="AI26554" s="831">
        <v>0</v>
      </c>
      <c r="AJ26554" s="835">
        <v>42124</v>
      </c>
      <c r="AK26554" s="831">
        <v>148860224</v>
      </c>
    </row>
    <row r="26555" spans="32:37">
      <c r="AF26555" s="831" t="s">
        <v>11986</v>
      </c>
      <c r="AG26555" s="831" t="s">
        <v>2674</v>
      </c>
      <c r="AH26555" s="831" t="s">
        <v>549</v>
      </c>
      <c r="AI26555" s="831">
        <v>0</v>
      </c>
      <c r="AJ26555" s="835">
        <v>42124</v>
      </c>
      <c r="AK26555" s="831">
        <v>695634421</v>
      </c>
    </row>
    <row r="26556" spans="32:37">
      <c r="AF26556" s="831" t="s">
        <v>11987</v>
      </c>
      <c r="AG26556" s="831" t="s">
        <v>2674</v>
      </c>
      <c r="AH26556" s="831" t="s">
        <v>192</v>
      </c>
      <c r="AI26556" s="831">
        <v>0</v>
      </c>
      <c r="AJ26556" s="835">
        <v>42124</v>
      </c>
      <c r="AK26556" s="831">
        <v>-17978430</v>
      </c>
    </row>
    <row r="26557" spans="32:37">
      <c r="AF26557" s="831" t="s">
        <v>11988</v>
      </c>
      <c r="AG26557" s="831" t="s">
        <v>2674</v>
      </c>
      <c r="AH26557" s="831" t="s">
        <v>558</v>
      </c>
      <c r="AI26557" s="831">
        <v>0</v>
      </c>
      <c r="AJ26557" s="835">
        <v>42124</v>
      </c>
      <c r="AK26557" s="831">
        <v>1007083670</v>
      </c>
    </row>
    <row r="26558" spans="32:37">
      <c r="AF26558" s="831" t="s">
        <v>11989</v>
      </c>
      <c r="AG26558" s="831" t="s">
        <v>2674</v>
      </c>
      <c r="AH26558" s="831" t="s">
        <v>65</v>
      </c>
      <c r="AI26558" s="831">
        <v>0</v>
      </c>
      <c r="AJ26558" s="835">
        <v>42124</v>
      </c>
      <c r="AK26558" s="831">
        <v>64640929</v>
      </c>
    </row>
    <row r="26559" spans="32:37">
      <c r="AF26559" s="831" t="s">
        <v>11990</v>
      </c>
      <c r="AG26559" s="831" t="s">
        <v>2674</v>
      </c>
      <c r="AH26559" s="831" t="s">
        <v>89</v>
      </c>
      <c r="AI26559" s="831">
        <v>0</v>
      </c>
      <c r="AJ26559" s="835">
        <v>42124</v>
      </c>
      <c r="AK26559" s="831">
        <v>147391</v>
      </c>
    </row>
    <row r="26560" spans="32:37">
      <c r="AF26560" s="831" t="s">
        <v>11991</v>
      </c>
      <c r="AG26560" s="831" t="s">
        <v>2674</v>
      </c>
      <c r="AH26560" s="831" t="s">
        <v>557</v>
      </c>
      <c r="AI26560" s="831">
        <v>0</v>
      </c>
      <c r="AJ26560" s="835">
        <v>42124</v>
      </c>
      <c r="AK26560" s="831">
        <v>168436</v>
      </c>
    </row>
    <row r="26561" spans="32:37">
      <c r="AF26561" s="831" t="s">
        <v>11992</v>
      </c>
      <c r="AG26561" s="831" t="s">
        <v>2674</v>
      </c>
      <c r="AH26561" s="831" t="s">
        <v>29</v>
      </c>
      <c r="AI26561" s="831">
        <v>0</v>
      </c>
      <c r="AJ26561" s="835">
        <v>42124</v>
      </c>
      <c r="AK26561" s="831">
        <v>18420222</v>
      </c>
    </row>
    <row r="26562" spans="32:37">
      <c r="AF26562" s="831" t="s">
        <v>11993</v>
      </c>
      <c r="AG26562" s="831" t="s">
        <v>2674</v>
      </c>
      <c r="AH26562" s="831" t="s">
        <v>2688</v>
      </c>
      <c r="AI26562" s="831">
        <v>0</v>
      </c>
      <c r="AJ26562" s="835">
        <v>42124</v>
      </c>
      <c r="AK26562" s="831">
        <v>149665387</v>
      </c>
    </row>
    <row r="26563" spans="32:37">
      <c r="AF26563" s="831" t="s">
        <v>11994</v>
      </c>
      <c r="AG26563" s="831" t="s">
        <v>2674</v>
      </c>
      <c r="AH26563" s="831" t="s">
        <v>556</v>
      </c>
      <c r="AI26563" s="831">
        <v>0</v>
      </c>
      <c r="AJ26563" s="835">
        <v>42124</v>
      </c>
      <c r="AK26563" s="831">
        <v>11412135</v>
      </c>
    </row>
    <row r="26564" spans="32:37">
      <c r="AF26564" s="831" t="s">
        <v>11995</v>
      </c>
      <c r="AG26564" s="831" t="s">
        <v>2674</v>
      </c>
      <c r="AH26564" s="831" t="s">
        <v>555</v>
      </c>
      <c r="AI26564" s="831">
        <v>0</v>
      </c>
      <c r="AJ26564" s="835">
        <v>42124</v>
      </c>
      <c r="AK26564" s="831">
        <v>781614407</v>
      </c>
    </row>
    <row r="26565" spans="32:37">
      <c r="AF26565" s="831" t="s">
        <v>11996</v>
      </c>
      <c r="AG26565" s="831" t="s">
        <v>2674</v>
      </c>
      <c r="AH26565" s="831" t="s">
        <v>554</v>
      </c>
      <c r="AI26565" s="831">
        <v>0</v>
      </c>
      <c r="AJ26565" s="835">
        <v>42124</v>
      </c>
      <c r="AK26565" s="831">
        <v>811049609</v>
      </c>
    </row>
    <row r="26566" spans="32:37">
      <c r="AF26566" s="831" t="s">
        <v>11997</v>
      </c>
      <c r="AG26566" s="831" t="s">
        <v>2674</v>
      </c>
      <c r="AH26566" s="831" t="s">
        <v>553</v>
      </c>
      <c r="AI26566" s="831">
        <v>0</v>
      </c>
      <c r="AJ26566" s="835">
        <v>42124</v>
      </c>
      <c r="AK26566" s="831">
        <v>47191500</v>
      </c>
    </row>
    <row r="26567" spans="32:37">
      <c r="AF26567" s="831" t="s">
        <v>11998</v>
      </c>
      <c r="AG26567" s="831" t="s">
        <v>2674</v>
      </c>
      <c r="AH26567" s="831" t="s">
        <v>552</v>
      </c>
      <c r="AI26567" s="831">
        <v>0</v>
      </c>
      <c r="AJ26567" s="835">
        <v>42124</v>
      </c>
      <c r="AK26567" s="831">
        <v>0</v>
      </c>
    </row>
    <row r="26568" spans="32:37">
      <c r="AF26568" s="831" t="s">
        <v>11999</v>
      </c>
      <c r="AG26568" s="831" t="s">
        <v>2674</v>
      </c>
      <c r="AH26568" s="831" t="s">
        <v>551</v>
      </c>
      <c r="AI26568" s="831">
        <v>0</v>
      </c>
      <c r="AJ26568" s="835">
        <v>42124</v>
      </c>
      <c r="AK26568" s="831">
        <v>10773380</v>
      </c>
    </row>
    <row r="26569" spans="32:37">
      <c r="AF26569" s="831" t="s">
        <v>12000</v>
      </c>
      <c r="AG26569" s="831" t="s">
        <v>2674</v>
      </c>
      <c r="AH26569" s="831" t="s">
        <v>550</v>
      </c>
      <c r="AI26569" s="831">
        <v>0</v>
      </c>
      <c r="AJ26569" s="835">
        <v>42124</v>
      </c>
      <c r="AK26569" s="831">
        <v>147807134</v>
      </c>
    </row>
    <row r="26570" spans="32:37">
      <c r="AF26570" s="831" t="s">
        <v>12001</v>
      </c>
      <c r="AG26570" s="831" t="s">
        <v>2674</v>
      </c>
      <c r="AH26570" s="831" t="s">
        <v>562</v>
      </c>
      <c r="AI26570" s="831">
        <v>0</v>
      </c>
      <c r="AJ26570" s="835">
        <v>42124</v>
      </c>
      <c r="AK26570" s="831">
        <v>1.0471999999999999</v>
      </c>
    </row>
    <row r="26571" spans="32:37">
      <c r="AF26571" s="831" t="s">
        <v>12002</v>
      </c>
      <c r="AG26571" s="831" t="s">
        <v>2674</v>
      </c>
      <c r="AH26571" s="831" t="s">
        <v>2698</v>
      </c>
      <c r="AI26571" s="831">
        <v>0</v>
      </c>
      <c r="AJ26571" s="835">
        <v>42124</v>
      </c>
      <c r="AK26571" s="831">
        <v>1.0495000000000001</v>
      </c>
    </row>
    <row r="26572" spans="32:37">
      <c r="AF26572" s="831" t="s">
        <v>12003</v>
      </c>
      <c r="AG26572" s="831" t="s">
        <v>2674</v>
      </c>
      <c r="AH26572" s="831" t="s">
        <v>560</v>
      </c>
      <c r="AI26572" s="831">
        <v>0</v>
      </c>
      <c r="AJ26572" s="835">
        <v>42124</v>
      </c>
      <c r="AK26572" s="831">
        <v>0.98171249999999999</v>
      </c>
    </row>
    <row r="26573" spans="32:37">
      <c r="AF26573" s="831" t="s">
        <v>12004</v>
      </c>
      <c r="AG26573" s="831" t="s">
        <v>2674</v>
      </c>
      <c r="AH26573" s="831" t="s">
        <v>559</v>
      </c>
      <c r="AI26573" s="831">
        <v>0</v>
      </c>
      <c r="AJ26573" s="835">
        <v>42124</v>
      </c>
      <c r="AK26573" s="831">
        <v>0.84962083333333327</v>
      </c>
    </row>
    <row r="26574" spans="32:37">
      <c r="AF26574" s="831" t="s">
        <v>12005</v>
      </c>
      <c r="AG26574" s="831" t="s">
        <v>2674</v>
      </c>
      <c r="AH26574" s="831" t="s">
        <v>568</v>
      </c>
      <c r="AI26574" s="831">
        <v>0</v>
      </c>
      <c r="AJ26574" s="835">
        <v>42124</v>
      </c>
      <c r="AK26574" s="831">
        <v>802858062.76923072</v>
      </c>
    </row>
    <row r="26575" spans="32:37">
      <c r="AF26575" s="831" t="s">
        <v>12006</v>
      </c>
      <c r="AG26575" s="831" t="s">
        <v>2674</v>
      </c>
      <c r="AH26575" s="831" t="s">
        <v>569</v>
      </c>
      <c r="AI26575" s="831">
        <v>0</v>
      </c>
      <c r="AJ26575" s="835">
        <v>42124</v>
      </c>
      <c r="AK26575" s="831">
        <v>1009137751.8461539</v>
      </c>
    </row>
    <row r="26576" spans="32:37">
      <c r="AF26576" s="831" t="s">
        <v>12007</v>
      </c>
      <c r="AG26576" s="831" t="s">
        <v>2674</v>
      </c>
      <c r="AH26576" s="831" t="s">
        <v>570</v>
      </c>
      <c r="AI26576" s="831">
        <v>0</v>
      </c>
      <c r="AJ26576" s="835">
        <v>42124</v>
      </c>
      <c r="AK26576" s="831">
        <v>142830548.07923076</v>
      </c>
    </row>
    <row r="26577" spans="32:37">
      <c r="AF26577" s="831" t="s">
        <v>12008</v>
      </c>
      <c r="AG26577" s="831" t="s">
        <v>2674</v>
      </c>
      <c r="AH26577" s="831" t="s">
        <v>571</v>
      </c>
      <c r="AI26577" s="831">
        <v>0</v>
      </c>
      <c r="AJ26577" s="835">
        <v>42124</v>
      </c>
      <c r="AK26577" s="831">
        <v>521003105.80130768</v>
      </c>
    </row>
    <row r="26578" spans="32:37">
      <c r="AF26578" s="831" t="s">
        <v>12009</v>
      </c>
      <c r="AG26578" s="831" t="s">
        <v>2674</v>
      </c>
      <c r="AH26578" s="831" t="s">
        <v>573</v>
      </c>
      <c r="AI26578" s="831">
        <v>0</v>
      </c>
      <c r="AJ26578" s="835">
        <v>42124</v>
      </c>
      <c r="AK26578" s="831">
        <v>1131573563</v>
      </c>
    </row>
    <row r="26579" spans="32:37">
      <c r="AF26579" s="831" t="s">
        <v>12010</v>
      </c>
      <c r="AG26579" s="831" t="s">
        <v>2674</v>
      </c>
      <c r="AH26579" s="831" t="s">
        <v>574</v>
      </c>
      <c r="AI26579" s="831">
        <v>0</v>
      </c>
      <c r="AJ26579" s="835">
        <v>42124</v>
      </c>
      <c r="AK26579" s="831">
        <v>887385272.20000005</v>
      </c>
    </row>
    <row r="26580" spans="32:37">
      <c r="AF26580" s="831" t="s">
        <v>12011</v>
      </c>
      <c r="AG26580" s="831" t="s">
        <v>2674</v>
      </c>
      <c r="AH26580" s="831" t="s">
        <v>575</v>
      </c>
      <c r="AI26580" s="831">
        <v>0</v>
      </c>
      <c r="AJ26580" s="835">
        <v>42124</v>
      </c>
      <c r="AK26580" s="831">
        <v>146895148.59999999</v>
      </c>
    </row>
    <row r="26581" spans="32:37">
      <c r="AF26581" s="831" t="s">
        <v>12012</v>
      </c>
      <c r="AG26581" s="831" t="s">
        <v>2674</v>
      </c>
      <c r="AH26581" s="831" t="s">
        <v>576</v>
      </c>
      <c r="AI26581" s="831">
        <v>0</v>
      </c>
      <c r="AJ26581" s="835">
        <v>42124</v>
      </c>
      <c r="AK26581" s="831">
        <v>615700522.39999998</v>
      </c>
    </row>
    <row r="26582" spans="32:37">
      <c r="AF26582" s="831" t="s">
        <v>12013</v>
      </c>
      <c r="AG26582" s="831" t="s">
        <v>2674</v>
      </c>
      <c r="AH26582" s="831" t="s">
        <v>572</v>
      </c>
      <c r="AI26582" s="831">
        <v>0</v>
      </c>
      <c r="AJ26582" s="835">
        <v>42124</v>
      </c>
      <c r="AK26582" s="831">
        <v>34629345</v>
      </c>
    </row>
    <row r="26583" spans="32:37">
      <c r="AF26583" s="831" t="s">
        <v>12014</v>
      </c>
      <c r="AG26583" s="831" t="s">
        <v>2674</v>
      </c>
      <c r="AH26583" s="831" t="s">
        <v>577</v>
      </c>
      <c r="AI26583" s="831">
        <v>0</v>
      </c>
      <c r="AJ26583" s="835">
        <v>42124</v>
      </c>
      <c r="AK26583" s="831">
        <v>182065430</v>
      </c>
    </row>
    <row r="26584" spans="32:37">
      <c r="AF26584" s="831" t="s">
        <v>12015</v>
      </c>
      <c r="AG26584" s="831" t="s">
        <v>2674</v>
      </c>
      <c r="AH26584" s="831" t="s">
        <v>3042</v>
      </c>
      <c r="AI26584" s="831">
        <v>0</v>
      </c>
      <c r="AJ26584" s="835">
        <v>42124</v>
      </c>
      <c r="AK26584" s="831">
        <v>-55986090</v>
      </c>
    </row>
    <row r="26585" spans="32:37">
      <c r="AF26585" s="831" t="s">
        <v>12016</v>
      </c>
      <c r="AG26585" s="831" t="s">
        <v>2674</v>
      </c>
      <c r="AH26585" s="831" t="s">
        <v>3044</v>
      </c>
      <c r="AI26585" s="831">
        <v>0</v>
      </c>
      <c r="AJ26585" s="835">
        <v>42124</v>
      </c>
      <c r="AK26585" s="831">
        <v>-4711846</v>
      </c>
    </row>
    <row r="26586" spans="32:37">
      <c r="AF26586" s="831" t="s">
        <v>12017</v>
      </c>
      <c r="AG26586" s="831" t="s">
        <v>2674</v>
      </c>
      <c r="AH26586" s="831" t="s">
        <v>580</v>
      </c>
      <c r="AI26586" s="831">
        <v>0</v>
      </c>
      <c r="AJ26586" s="835">
        <v>42124</v>
      </c>
      <c r="AK26586" s="831">
        <v>-84657241</v>
      </c>
    </row>
    <row r="26587" spans="32:37">
      <c r="AF26587" s="831" t="s">
        <v>12018</v>
      </c>
      <c r="AG26587" s="831" t="s">
        <v>2674</v>
      </c>
      <c r="AH26587" s="831" t="s">
        <v>581</v>
      </c>
      <c r="AI26587" s="831">
        <v>0</v>
      </c>
      <c r="AJ26587" s="835">
        <v>42124</v>
      </c>
      <c r="AK26587" s="831">
        <v>11310907</v>
      </c>
    </row>
    <row r="26588" spans="32:37">
      <c r="AF26588" s="831" t="s">
        <v>12019</v>
      </c>
      <c r="AG26588" s="831" t="s">
        <v>2674</v>
      </c>
      <c r="AH26588" s="831" t="s">
        <v>105</v>
      </c>
      <c r="AI26588" s="831">
        <v>0</v>
      </c>
      <c r="AJ26588" s="835">
        <v>42124</v>
      </c>
      <c r="AK26588" s="831">
        <v>651641572</v>
      </c>
    </row>
    <row r="26589" spans="32:37">
      <c r="AF26589" s="831" t="s">
        <v>12020</v>
      </c>
      <c r="AG26589" s="831" t="s">
        <v>2674</v>
      </c>
      <c r="AH26589" s="831" t="s">
        <v>3049</v>
      </c>
      <c r="AI26589" s="831">
        <v>0</v>
      </c>
      <c r="AJ26589" s="835">
        <v>42124</v>
      </c>
      <c r="AK26589" s="831">
        <v>980090700</v>
      </c>
    </row>
    <row r="26590" spans="32:37">
      <c r="AF26590" s="831" t="s">
        <v>12021</v>
      </c>
      <c r="AG26590" s="831" t="s">
        <v>2674</v>
      </c>
      <c r="AH26590" s="831" t="s">
        <v>103</v>
      </c>
      <c r="AI26590" s="831">
        <v>0</v>
      </c>
      <c r="AJ26590" s="835">
        <v>42124</v>
      </c>
      <c r="AK26590" s="831">
        <v>328449128</v>
      </c>
    </row>
    <row r="26591" spans="32:37">
      <c r="AF26591" s="831" t="s">
        <v>12022</v>
      </c>
      <c r="AG26591" s="831" t="s">
        <v>2674</v>
      </c>
      <c r="AH26591" s="831" t="s">
        <v>182</v>
      </c>
      <c r="AI26591" s="831">
        <v>0</v>
      </c>
      <c r="AJ26591" s="835">
        <v>42124</v>
      </c>
      <c r="AK26591" s="831">
        <v>88699464</v>
      </c>
    </row>
    <row r="26592" spans="32:37">
      <c r="AF26592" s="831" t="s">
        <v>12023</v>
      </c>
      <c r="AG26592" s="831" t="s">
        <v>2674</v>
      </c>
      <c r="AH26592" s="831" t="s">
        <v>6600</v>
      </c>
      <c r="AI26592" s="831">
        <v>0</v>
      </c>
      <c r="AJ26592" s="835">
        <v>42124</v>
      </c>
      <c r="AK26592" s="831">
        <v>34629345</v>
      </c>
    </row>
    <row r="26593" spans="32:37">
      <c r="AF26593" s="831" t="s">
        <v>12024</v>
      </c>
      <c r="AG26593" s="831" t="s">
        <v>2674</v>
      </c>
      <c r="AH26593" s="831" t="s">
        <v>6602</v>
      </c>
      <c r="AI26593" s="831">
        <v>0</v>
      </c>
      <c r="AJ26593" s="835">
        <v>42124</v>
      </c>
      <c r="AK26593" s="831">
        <v>3490177</v>
      </c>
    </row>
    <row r="26594" spans="32:37">
      <c r="AF26594" s="831" t="s">
        <v>12025</v>
      </c>
      <c r="AG26594" s="831" t="s">
        <v>2674</v>
      </c>
      <c r="AH26594" s="831" t="s">
        <v>650</v>
      </c>
      <c r="AI26594" s="831">
        <v>0</v>
      </c>
      <c r="AJ26594" s="835">
        <v>42124</v>
      </c>
      <c r="AK26594" s="831">
        <v>319013929.69230771</v>
      </c>
    </row>
    <row r="26595" spans="32:37">
      <c r="AF26595" s="831" t="s">
        <v>12026</v>
      </c>
      <c r="AG26595" s="831" t="s">
        <v>2674</v>
      </c>
      <c r="AH26595" s="831" t="s">
        <v>655</v>
      </c>
      <c r="AI26595" s="831">
        <v>0</v>
      </c>
      <c r="AJ26595" s="835">
        <v>42124</v>
      </c>
      <c r="AK26595" s="831">
        <v>8145535</v>
      </c>
    </row>
    <row r="26596" spans="32:37">
      <c r="AF26596" s="831" t="s">
        <v>10335</v>
      </c>
      <c r="AG26596" s="831" t="s">
        <v>2674</v>
      </c>
      <c r="AH26596" s="831" t="s">
        <v>546</v>
      </c>
      <c r="AI26596" s="831">
        <v>0</v>
      </c>
      <c r="AJ26596" s="835">
        <v>41060</v>
      </c>
      <c r="AK26596" s="831">
        <v>339221349</v>
      </c>
    </row>
    <row r="26597" spans="32:37">
      <c r="AF26597" s="831" t="s">
        <v>10336</v>
      </c>
      <c r="AG26597" s="831" t="s">
        <v>2674</v>
      </c>
      <c r="AH26597" s="831" t="s">
        <v>370</v>
      </c>
      <c r="AI26597" s="831">
        <v>0</v>
      </c>
      <c r="AJ26597" s="835">
        <v>41060</v>
      </c>
      <c r="AK26597" s="831">
        <v>412671638</v>
      </c>
    </row>
    <row r="26598" spans="32:37">
      <c r="AF26598" s="831" t="s">
        <v>10337</v>
      </c>
      <c r="AG26598" s="831" t="s">
        <v>2674</v>
      </c>
      <c r="AH26598" s="831" t="s">
        <v>126</v>
      </c>
      <c r="AI26598" s="831">
        <v>0</v>
      </c>
      <c r="AJ26598" s="835">
        <v>41060</v>
      </c>
      <c r="AK26598" s="831">
        <v>90520261</v>
      </c>
    </row>
    <row r="26599" spans="32:37">
      <c r="AF26599" s="831" t="s">
        <v>10338</v>
      </c>
      <c r="AG26599" s="831" t="s">
        <v>2674</v>
      </c>
      <c r="AH26599" s="831" t="s">
        <v>268</v>
      </c>
      <c r="AI26599" s="831">
        <v>0</v>
      </c>
      <c r="AJ26599" s="835">
        <v>41060</v>
      </c>
      <c r="AK26599" s="831">
        <v>5197337</v>
      </c>
    </row>
    <row r="26600" spans="32:37">
      <c r="AF26600" s="831" t="s">
        <v>10339</v>
      </c>
      <c r="AG26600" s="831" t="s">
        <v>2674</v>
      </c>
      <c r="AH26600" s="831" t="s">
        <v>547</v>
      </c>
      <c r="AI26600" s="831">
        <v>0</v>
      </c>
      <c r="AJ26600" s="835">
        <v>41060</v>
      </c>
      <c r="AK26600" s="831">
        <v>0</v>
      </c>
    </row>
    <row r="26601" spans="32:37">
      <c r="AF26601" s="831" t="s">
        <v>10340</v>
      </c>
      <c r="AG26601" s="831" t="s">
        <v>2674</v>
      </c>
      <c r="AH26601" s="831" t="s">
        <v>548</v>
      </c>
      <c r="AI26601" s="831">
        <v>0</v>
      </c>
      <c r="AJ26601" s="835">
        <v>41060</v>
      </c>
      <c r="AK26601" s="831">
        <v>0</v>
      </c>
    </row>
    <row r="26602" spans="32:37">
      <c r="AF26602" s="831" t="s">
        <v>10341</v>
      </c>
      <c r="AG26602" s="831" t="s">
        <v>2674</v>
      </c>
      <c r="AH26602" s="831" t="s">
        <v>549</v>
      </c>
      <c r="AI26602" s="831">
        <v>0</v>
      </c>
      <c r="AJ26602" s="835">
        <v>41060</v>
      </c>
      <c r="AK26602" s="831">
        <v>0</v>
      </c>
    </row>
    <row r="26603" spans="32:37">
      <c r="AF26603" s="831" t="s">
        <v>10342</v>
      </c>
      <c r="AG26603" s="831" t="s">
        <v>2674</v>
      </c>
      <c r="AH26603" s="831" t="s">
        <v>192</v>
      </c>
      <c r="AI26603" s="831">
        <v>0</v>
      </c>
      <c r="AJ26603" s="835">
        <v>41060</v>
      </c>
      <c r="AK26603" s="831">
        <v>-9254050</v>
      </c>
    </row>
    <row r="26604" spans="32:37">
      <c r="AF26604" s="831" t="s">
        <v>10343</v>
      </c>
      <c r="AG26604" s="831" t="s">
        <v>2674</v>
      </c>
      <c r="AH26604" s="831" t="s">
        <v>558</v>
      </c>
      <c r="AI26604" s="831">
        <v>0</v>
      </c>
      <c r="AJ26604" s="835">
        <v>41060</v>
      </c>
      <c r="AK26604" s="831">
        <v>322151377</v>
      </c>
    </row>
    <row r="26605" spans="32:37">
      <c r="AF26605" s="831" t="s">
        <v>10344</v>
      </c>
      <c r="AG26605" s="831" t="s">
        <v>2674</v>
      </c>
      <c r="AH26605" s="831" t="s">
        <v>65</v>
      </c>
      <c r="AI26605" s="831">
        <v>0</v>
      </c>
      <c r="AJ26605" s="835">
        <v>41060</v>
      </c>
      <c r="AK26605" s="831">
        <v>38110599</v>
      </c>
    </row>
    <row r="26606" spans="32:37">
      <c r="AF26606" s="831" t="s">
        <v>10345</v>
      </c>
      <c r="AG26606" s="831" t="s">
        <v>2674</v>
      </c>
      <c r="AH26606" s="831" t="s">
        <v>89</v>
      </c>
      <c r="AI26606" s="831">
        <v>0</v>
      </c>
      <c r="AJ26606" s="835">
        <v>41060</v>
      </c>
      <c r="AK26606" s="831">
        <v>122430</v>
      </c>
    </row>
    <row r="26607" spans="32:37">
      <c r="AF26607" s="831" t="s">
        <v>10346</v>
      </c>
      <c r="AG26607" s="831" t="s">
        <v>2674</v>
      </c>
      <c r="AH26607" s="831" t="s">
        <v>557</v>
      </c>
      <c r="AI26607" s="831">
        <v>0</v>
      </c>
      <c r="AJ26607" s="835">
        <v>41060</v>
      </c>
      <c r="AK26607" s="831">
        <v>124207</v>
      </c>
    </row>
    <row r="26608" spans="32:37">
      <c r="AF26608" s="831" t="s">
        <v>10347</v>
      </c>
      <c r="AG26608" s="831" t="s">
        <v>2674</v>
      </c>
      <c r="AH26608" s="831" t="s">
        <v>29</v>
      </c>
      <c r="AI26608" s="831">
        <v>0</v>
      </c>
      <c r="AJ26608" s="835">
        <v>41060</v>
      </c>
      <c r="AK26608" s="831">
        <v>2528808</v>
      </c>
    </row>
    <row r="26609" spans="32:37">
      <c r="AF26609" s="831" t="s">
        <v>10348</v>
      </c>
      <c r="AG26609" s="831" t="s">
        <v>2674</v>
      </c>
      <c r="AH26609" s="831" t="s">
        <v>2688</v>
      </c>
      <c r="AI26609" s="831">
        <v>0</v>
      </c>
      <c r="AJ26609" s="835">
        <v>41060</v>
      </c>
      <c r="AK26609" s="831">
        <v>3036435</v>
      </c>
    </row>
    <row r="26610" spans="32:37">
      <c r="AF26610" s="831" t="s">
        <v>10349</v>
      </c>
      <c r="AG26610" s="831" t="s">
        <v>2674</v>
      </c>
      <c r="AH26610" s="831" t="s">
        <v>556</v>
      </c>
      <c r="AI26610" s="831">
        <v>0</v>
      </c>
      <c r="AJ26610" s="835">
        <v>41060</v>
      </c>
      <c r="AK26610" s="831">
        <v>0</v>
      </c>
    </row>
    <row r="26611" spans="32:37">
      <c r="AF26611" s="831" t="s">
        <v>10350</v>
      </c>
      <c r="AG26611" s="831" t="s">
        <v>2674</v>
      </c>
      <c r="AH26611" s="831" t="s">
        <v>555</v>
      </c>
      <c r="AI26611" s="831">
        <v>0</v>
      </c>
      <c r="AJ26611" s="835">
        <v>41060</v>
      </c>
      <c r="AK26611" s="831">
        <v>196148980</v>
      </c>
    </row>
    <row r="26612" spans="32:37">
      <c r="AF26612" s="831" t="s">
        <v>10351</v>
      </c>
      <c r="AG26612" s="831" t="s">
        <v>2674</v>
      </c>
      <c r="AH26612" s="831" t="s">
        <v>554</v>
      </c>
      <c r="AI26612" s="831">
        <v>0</v>
      </c>
      <c r="AJ26612" s="835">
        <v>41060</v>
      </c>
      <c r="AK26612" s="831">
        <v>194772980</v>
      </c>
    </row>
    <row r="26613" spans="32:37">
      <c r="AF26613" s="831" t="s">
        <v>10352</v>
      </c>
      <c r="AG26613" s="831" t="s">
        <v>2674</v>
      </c>
      <c r="AH26613" s="831" t="s">
        <v>553</v>
      </c>
      <c r="AI26613" s="831">
        <v>0</v>
      </c>
      <c r="AJ26613" s="835">
        <v>41060</v>
      </c>
      <c r="AK26613" s="831">
        <v>0</v>
      </c>
    </row>
    <row r="26614" spans="32:37">
      <c r="AF26614" s="831" t="s">
        <v>10353</v>
      </c>
      <c r="AG26614" s="831" t="s">
        <v>2674</v>
      </c>
      <c r="AH26614" s="831" t="s">
        <v>552</v>
      </c>
      <c r="AI26614" s="831">
        <v>0</v>
      </c>
      <c r="AJ26614" s="835">
        <v>41060</v>
      </c>
      <c r="AK26614" s="831">
        <v>0</v>
      </c>
    </row>
    <row r="26615" spans="32:37">
      <c r="AF26615" s="831" t="s">
        <v>10354</v>
      </c>
      <c r="AG26615" s="831" t="s">
        <v>2674</v>
      </c>
      <c r="AH26615" s="831" t="s">
        <v>551</v>
      </c>
      <c r="AI26615" s="831">
        <v>0</v>
      </c>
      <c r="AJ26615" s="835">
        <v>41060</v>
      </c>
      <c r="AK26615" s="831">
        <v>2340522</v>
      </c>
    </row>
    <row r="26616" spans="32:37">
      <c r="AF26616" s="831" t="s">
        <v>10355</v>
      </c>
      <c r="AG26616" s="831" t="s">
        <v>2674</v>
      </c>
      <c r="AH26616" s="831" t="s">
        <v>550</v>
      </c>
      <c r="AI26616" s="831">
        <v>0</v>
      </c>
      <c r="AJ26616" s="835">
        <v>41060</v>
      </c>
      <c r="AK26616" s="831">
        <v>0</v>
      </c>
    </row>
    <row r="26617" spans="32:37">
      <c r="AF26617" s="831" t="s">
        <v>10356</v>
      </c>
      <c r="AG26617" s="831" t="s">
        <v>2674</v>
      </c>
      <c r="AH26617" s="831" t="s">
        <v>562</v>
      </c>
      <c r="AI26617" s="831">
        <v>0</v>
      </c>
      <c r="AJ26617" s="835">
        <v>41060</v>
      </c>
      <c r="AK26617" s="831">
        <v>0.78515000000000001</v>
      </c>
    </row>
    <row r="26618" spans="32:37">
      <c r="AF26618" s="831" t="s">
        <v>10357</v>
      </c>
      <c r="AG26618" s="831" t="s">
        <v>2674</v>
      </c>
      <c r="AH26618" s="831" t="s">
        <v>2698</v>
      </c>
      <c r="AI26618" s="831">
        <v>0</v>
      </c>
      <c r="AJ26618" s="835">
        <v>41060</v>
      </c>
      <c r="AK26618" s="831">
        <v>0.78585000000000005</v>
      </c>
    </row>
    <row r="26619" spans="32:37">
      <c r="AF26619" s="831" t="s">
        <v>10358</v>
      </c>
      <c r="AG26619" s="831" t="s">
        <v>2674</v>
      </c>
      <c r="AH26619" s="831" t="s">
        <v>560</v>
      </c>
      <c r="AI26619" s="831">
        <v>0</v>
      </c>
      <c r="AJ26619" s="835">
        <v>41060</v>
      </c>
      <c r="AK26619" s="831">
        <v>0.78580000000000005</v>
      </c>
    </row>
    <row r="26620" spans="32:37">
      <c r="AF26620" s="831" t="s">
        <v>10359</v>
      </c>
      <c r="AG26620" s="831" t="s">
        <v>2674</v>
      </c>
      <c r="AH26620" s="831" t="s">
        <v>559</v>
      </c>
      <c r="AI26620" s="831">
        <v>0</v>
      </c>
      <c r="AJ26620" s="835">
        <v>41060</v>
      </c>
      <c r="AK26620" s="831">
        <v>0.78569999999999995</v>
      </c>
    </row>
    <row r="26621" spans="32:37">
      <c r="AF26621" s="831" t="s">
        <v>10360</v>
      </c>
      <c r="AG26621" s="831" t="s">
        <v>2674</v>
      </c>
      <c r="AH26621" s="831" t="s">
        <v>568</v>
      </c>
      <c r="AI26621" s="831">
        <v>0</v>
      </c>
      <c r="AJ26621" s="835">
        <v>41060</v>
      </c>
      <c r="AK26621" s="831">
        <v>0</v>
      </c>
    </row>
    <row r="26622" spans="32:37">
      <c r="AF26622" s="831" t="s">
        <v>10361</v>
      </c>
      <c r="AG26622" s="831" t="s">
        <v>2674</v>
      </c>
      <c r="AH26622" s="831" t="s">
        <v>569</v>
      </c>
      <c r="AI26622" s="831">
        <v>0</v>
      </c>
      <c r="AJ26622" s="835">
        <v>41060</v>
      </c>
      <c r="AK26622" s="831">
        <v>0</v>
      </c>
    </row>
    <row r="26623" spans="32:37">
      <c r="AF26623" s="831" t="s">
        <v>10362</v>
      </c>
      <c r="AG26623" s="831" t="s">
        <v>2674</v>
      </c>
      <c r="AH26623" s="831" t="s">
        <v>570</v>
      </c>
      <c r="AI26623" s="831">
        <v>0</v>
      </c>
      <c r="AJ26623" s="835">
        <v>41060</v>
      </c>
      <c r="AK26623" s="831">
        <v>0</v>
      </c>
    </row>
    <row r="26624" spans="32:37">
      <c r="AF26624" s="831" t="s">
        <v>10363</v>
      </c>
      <c r="AG26624" s="831" t="s">
        <v>2674</v>
      </c>
      <c r="AH26624" s="831" t="s">
        <v>571</v>
      </c>
      <c r="AI26624" s="831">
        <v>0</v>
      </c>
      <c r="AJ26624" s="835">
        <v>41060</v>
      </c>
      <c r="AK26624" s="831">
        <v>0</v>
      </c>
    </row>
    <row r="26625" spans="32:37">
      <c r="AF26625" s="831" t="s">
        <v>10364</v>
      </c>
      <c r="AG26625" s="831" t="s">
        <v>2674</v>
      </c>
      <c r="AH26625" s="831" t="s">
        <v>573</v>
      </c>
      <c r="AI26625" s="831">
        <v>0</v>
      </c>
      <c r="AJ26625" s="835">
        <v>41060</v>
      </c>
      <c r="AK26625" s="831">
        <v>0</v>
      </c>
    </row>
    <row r="26626" spans="32:37">
      <c r="AF26626" s="831" t="s">
        <v>10365</v>
      </c>
      <c r="AG26626" s="831" t="s">
        <v>2674</v>
      </c>
      <c r="AH26626" s="831" t="s">
        <v>574</v>
      </c>
      <c r="AI26626" s="831">
        <v>0</v>
      </c>
      <c r="AJ26626" s="835">
        <v>41060</v>
      </c>
      <c r="AK26626" s="831">
        <v>0</v>
      </c>
    </row>
    <row r="26627" spans="32:37">
      <c r="AF26627" s="831" t="s">
        <v>10366</v>
      </c>
      <c r="AG26627" s="831" t="s">
        <v>2674</v>
      </c>
      <c r="AH26627" s="831" t="s">
        <v>575</v>
      </c>
      <c r="AI26627" s="831">
        <v>0</v>
      </c>
      <c r="AJ26627" s="835">
        <v>41060</v>
      </c>
      <c r="AK26627" s="831">
        <v>0</v>
      </c>
    </row>
    <row r="26628" spans="32:37">
      <c r="AF26628" s="831" t="s">
        <v>10367</v>
      </c>
      <c r="AG26628" s="831" t="s">
        <v>2674</v>
      </c>
      <c r="AH26628" s="831" t="s">
        <v>576</v>
      </c>
      <c r="AI26628" s="831">
        <v>0</v>
      </c>
      <c r="AJ26628" s="835">
        <v>41060</v>
      </c>
      <c r="AK26628" s="831">
        <v>0</v>
      </c>
    </row>
    <row r="26629" spans="32:37">
      <c r="AF26629" s="831" t="s">
        <v>10368</v>
      </c>
      <c r="AG26629" s="831" t="s">
        <v>2674</v>
      </c>
      <c r="AH26629" s="831" t="s">
        <v>572</v>
      </c>
      <c r="AI26629" s="831">
        <v>0</v>
      </c>
      <c r="AJ26629" s="835">
        <v>41060</v>
      </c>
      <c r="AK26629" s="831">
        <v>-2146826246</v>
      </c>
    </row>
    <row r="26630" spans="32:37">
      <c r="AF26630" s="831" t="s">
        <v>10369</v>
      </c>
      <c r="AG26630" s="831" t="s">
        <v>2674</v>
      </c>
      <c r="AH26630" s="831" t="s">
        <v>577</v>
      </c>
      <c r="AI26630" s="831">
        <v>0</v>
      </c>
      <c r="AJ26630" s="835">
        <v>41060</v>
      </c>
      <c r="AK26630" s="831">
        <v>-2146826246</v>
      </c>
    </row>
    <row r="26631" spans="32:37">
      <c r="AF26631" s="831" t="s">
        <v>10370</v>
      </c>
      <c r="AG26631" s="831" t="s">
        <v>2674</v>
      </c>
      <c r="AH26631" s="831" t="s">
        <v>3042</v>
      </c>
      <c r="AI26631" s="831">
        <v>0</v>
      </c>
      <c r="AJ26631" s="835">
        <v>41060</v>
      </c>
      <c r="AK26631" s="831">
        <v>-2146826246</v>
      </c>
    </row>
    <row r="26632" spans="32:37">
      <c r="AF26632" s="831" t="s">
        <v>10371</v>
      </c>
      <c r="AG26632" s="831" t="s">
        <v>2674</v>
      </c>
      <c r="AH26632" s="831" t="s">
        <v>3044</v>
      </c>
      <c r="AI26632" s="831">
        <v>0</v>
      </c>
      <c r="AJ26632" s="835">
        <v>41060</v>
      </c>
      <c r="AK26632" s="831">
        <v>-2146826246</v>
      </c>
    </row>
    <row r="26633" spans="32:37">
      <c r="AF26633" s="831" t="s">
        <v>10372</v>
      </c>
      <c r="AG26633" s="831" t="s">
        <v>2674</v>
      </c>
      <c r="AH26633" s="831" t="s">
        <v>580</v>
      </c>
      <c r="AI26633" s="831">
        <v>0</v>
      </c>
      <c r="AJ26633" s="835">
        <v>41060</v>
      </c>
      <c r="AK26633" s="831">
        <v>-2146826246</v>
      </c>
    </row>
    <row r="26634" spans="32:37">
      <c r="AF26634" s="831" t="s">
        <v>10373</v>
      </c>
      <c r="AG26634" s="831" t="s">
        <v>2674</v>
      </c>
      <c r="AH26634" s="831" t="s">
        <v>581</v>
      </c>
      <c r="AI26634" s="831">
        <v>0</v>
      </c>
      <c r="AJ26634" s="835">
        <v>41060</v>
      </c>
      <c r="AK26634" s="831">
        <v>-2146826246</v>
      </c>
    </row>
    <row r="26635" spans="32:37">
      <c r="AF26635" s="831" t="s">
        <v>10374</v>
      </c>
      <c r="AG26635" s="831" t="s">
        <v>2674</v>
      </c>
      <c r="AH26635" s="831" t="s">
        <v>105</v>
      </c>
      <c r="AI26635" s="831">
        <v>0</v>
      </c>
      <c r="AJ26635" s="835">
        <v>41060</v>
      </c>
      <c r="AK26635" s="831">
        <v>149985593</v>
      </c>
    </row>
    <row r="26636" spans="32:37">
      <c r="AF26636" s="831" t="s">
        <v>10375</v>
      </c>
      <c r="AG26636" s="831" t="s">
        <v>2674</v>
      </c>
      <c r="AH26636" s="831" t="s">
        <v>3049</v>
      </c>
      <c r="AI26636" s="831">
        <v>0</v>
      </c>
      <c r="AJ26636" s="835">
        <v>41060</v>
      </c>
      <c r="AK26636" s="831">
        <v>309400000</v>
      </c>
    </row>
    <row r="26637" spans="32:37">
      <c r="AF26637" s="831" t="s">
        <v>10376</v>
      </c>
      <c r="AG26637" s="831" t="s">
        <v>2674</v>
      </c>
      <c r="AH26637" s="831" t="s">
        <v>103</v>
      </c>
      <c r="AI26637" s="831">
        <v>0</v>
      </c>
      <c r="AJ26637" s="835">
        <v>41060</v>
      </c>
      <c r="AK26637" s="831">
        <v>159414407</v>
      </c>
    </row>
    <row r="26638" spans="32:37">
      <c r="AF26638" s="831" t="s">
        <v>10377</v>
      </c>
      <c r="AG26638" s="831" t="s">
        <v>2674</v>
      </c>
      <c r="AH26638" s="831" t="s">
        <v>182</v>
      </c>
      <c r="AI26638" s="831">
        <v>0</v>
      </c>
      <c r="AJ26638" s="835">
        <v>41060</v>
      </c>
      <c r="AK26638" s="831">
        <v>50472969.600000001</v>
      </c>
    </row>
    <row r="26639" spans="32:37">
      <c r="AF26639" s="831" t="s">
        <v>10378</v>
      </c>
      <c r="AG26639" s="831" t="s">
        <v>2674</v>
      </c>
      <c r="AH26639" s="831" t="s">
        <v>6600</v>
      </c>
      <c r="AI26639" s="831">
        <v>0</v>
      </c>
      <c r="AJ26639" s="835">
        <v>41060</v>
      </c>
      <c r="AK26639" s="831">
        <v>-2146826246</v>
      </c>
    </row>
    <row r="26640" spans="32:37">
      <c r="AF26640" s="831" t="s">
        <v>10379</v>
      </c>
      <c r="AG26640" s="831" t="s">
        <v>2674</v>
      </c>
      <c r="AH26640" s="831" t="s">
        <v>6602</v>
      </c>
      <c r="AI26640" s="831">
        <v>0</v>
      </c>
      <c r="AJ26640" s="835">
        <v>41060</v>
      </c>
      <c r="AK26640" s="831">
        <v>5197337</v>
      </c>
    </row>
    <row r="26641" spans="32:37">
      <c r="AF26641" s="831" t="s">
        <v>10380</v>
      </c>
      <c r="AG26641" s="831" t="s">
        <v>2674</v>
      </c>
      <c r="AH26641" s="831" t="s">
        <v>650</v>
      </c>
      <c r="AI26641" s="831">
        <v>0</v>
      </c>
      <c r="AJ26641" s="835">
        <v>41060</v>
      </c>
      <c r="AK26641" s="831">
        <v>0</v>
      </c>
    </row>
    <row r="26642" spans="32:37">
      <c r="AF26642" s="831" t="s">
        <v>10381</v>
      </c>
      <c r="AG26642" s="831" t="s">
        <v>2674</v>
      </c>
      <c r="AH26642" s="831" t="s">
        <v>655</v>
      </c>
      <c r="AI26642" s="831">
        <v>0</v>
      </c>
      <c r="AJ26642" s="835">
        <v>41060</v>
      </c>
      <c r="AK26642" s="831">
        <v>2125799</v>
      </c>
    </row>
    <row r="26643" spans="32:37">
      <c r="AF26643" s="831" t="s">
        <v>10382</v>
      </c>
      <c r="AG26643" s="831" t="s">
        <v>2674</v>
      </c>
      <c r="AH26643" s="831" t="s">
        <v>546</v>
      </c>
      <c r="AI26643" s="831">
        <v>0</v>
      </c>
      <c r="AJ26643" s="835">
        <v>41090</v>
      </c>
      <c r="AK26643" s="831">
        <v>342628450</v>
      </c>
    </row>
    <row r="26644" spans="32:37">
      <c r="AF26644" s="831" t="s">
        <v>10383</v>
      </c>
      <c r="AG26644" s="831" t="s">
        <v>2674</v>
      </c>
      <c r="AH26644" s="831" t="s">
        <v>370</v>
      </c>
      <c r="AI26644" s="831">
        <v>0</v>
      </c>
      <c r="AJ26644" s="835">
        <v>41090</v>
      </c>
      <c r="AK26644" s="831">
        <v>422295379</v>
      </c>
    </row>
    <row r="26645" spans="32:37">
      <c r="AF26645" s="831" t="s">
        <v>10384</v>
      </c>
      <c r="AG26645" s="831" t="s">
        <v>2674</v>
      </c>
      <c r="AH26645" s="831" t="s">
        <v>126</v>
      </c>
      <c r="AI26645" s="831">
        <v>0</v>
      </c>
      <c r="AJ26645" s="835">
        <v>41090</v>
      </c>
      <c r="AK26645" s="831">
        <v>91675016</v>
      </c>
    </row>
    <row r="26646" spans="32:37">
      <c r="AF26646" s="831" t="s">
        <v>10385</v>
      </c>
      <c r="AG26646" s="831" t="s">
        <v>2674</v>
      </c>
      <c r="AH26646" s="831" t="s">
        <v>268</v>
      </c>
      <c r="AI26646" s="831">
        <v>0</v>
      </c>
      <c r="AJ26646" s="835">
        <v>41090</v>
      </c>
      <c r="AK26646" s="831">
        <v>6352093</v>
      </c>
    </row>
    <row r="26647" spans="32:37">
      <c r="AF26647" s="831" t="s">
        <v>10386</v>
      </c>
      <c r="AG26647" s="831" t="s">
        <v>2674</v>
      </c>
      <c r="AH26647" s="831" t="s">
        <v>547</v>
      </c>
      <c r="AI26647" s="831">
        <v>0</v>
      </c>
      <c r="AJ26647" s="835">
        <v>41090</v>
      </c>
      <c r="AK26647" s="831">
        <v>0</v>
      </c>
    </row>
    <row r="26648" spans="32:37">
      <c r="AF26648" s="831" t="s">
        <v>10387</v>
      </c>
      <c r="AG26648" s="831" t="s">
        <v>2674</v>
      </c>
      <c r="AH26648" s="831" t="s">
        <v>548</v>
      </c>
      <c r="AI26648" s="831">
        <v>0</v>
      </c>
      <c r="AJ26648" s="835">
        <v>41090</v>
      </c>
      <c r="AK26648" s="831">
        <v>0</v>
      </c>
    </row>
    <row r="26649" spans="32:37">
      <c r="AF26649" s="831" t="s">
        <v>10388</v>
      </c>
      <c r="AG26649" s="831" t="s">
        <v>2674</v>
      </c>
      <c r="AH26649" s="831" t="s">
        <v>549</v>
      </c>
      <c r="AI26649" s="831">
        <v>0</v>
      </c>
      <c r="AJ26649" s="835">
        <v>41090</v>
      </c>
      <c r="AK26649" s="831">
        <v>0</v>
      </c>
    </row>
    <row r="26650" spans="32:37">
      <c r="AF26650" s="831" t="s">
        <v>10389</v>
      </c>
      <c r="AG26650" s="831" t="s">
        <v>2674</v>
      </c>
      <c r="AH26650" s="831" t="s">
        <v>192</v>
      </c>
      <c r="AI26650" s="831">
        <v>0</v>
      </c>
      <c r="AJ26650" s="835">
        <v>41090</v>
      </c>
      <c r="AK26650" s="831">
        <v>-9357224</v>
      </c>
    </row>
    <row r="26651" spans="32:37">
      <c r="AF26651" s="831" t="s">
        <v>10390</v>
      </c>
      <c r="AG26651" s="831" t="s">
        <v>2674</v>
      </c>
      <c r="AH26651" s="831" t="s">
        <v>558</v>
      </c>
      <c r="AI26651" s="831">
        <v>0</v>
      </c>
      <c r="AJ26651" s="835">
        <v>41090</v>
      </c>
      <c r="AK26651" s="831">
        <v>330620363</v>
      </c>
    </row>
    <row r="26652" spans="32:37">
      <c r="AF26652" s="831" t="s">
        <v>10391</v>
      </c>
      <c r="AG26652" s="831" t="s">
        <v>2674</v>
      </c>
      <c r="AH26652" s="831" t="s">
        <v>65</v>
      </c>
      <c r="AI26652" s="831">
        <v>0</v>
      </c>
      <c r="AJ26652" s="835">
        <v>41090</v>
      </c>
      <c r="AK26652" s="831">
        <v>46070355</v>
      </c>
    </row>
    <row r="26653" spans="32:37">
      <c r="AF26653" s="831" t="s">
        <v>10392</v>
      </c>
      <c r="AG26653" s="831" t="s">
        <v>2674</v>
      </c>
      <c r="AH26653" s="831" t="s">
        <v>89</v>
      </c>
      <c r="AI26653" s="831">
        <v>0</v>
      </c>
      <c r="AJ26653" s="835">
        <v>41090</v>
      </c>
      <c r="AK26653" s="831">
        <v>122094</v>
      </c>
    </row>
    <row r="26654" spans="32:37">
      <c r="AF26654" s="831" t="s">
        <v>10393</v>
      </c>
      <c r="AG26654" s="831" t="s">
        <v>2674</v>
      </c>
      <c r="AH26654" s="831" t="s">
        <v>557</v>
      </c>
      <c r="AI26654" s="831">
        <v>0</v>
      </c>
      <c r="AJ26654" s="835">
        <v>41090</v>
      </c>
      <c r="AK26654" s="831">
        <v>123933</v>
      </c>
    </row>
    <row r="26655" spans="32:37">
      <c r="AF26655" s="831" t="s">
        <v>10394</v>
      </c>
      <c r="AG26655" s="831" t="s">
        <v>2674</v>
      </c>
      <c r="AH26655" s="831" t="s">
        <v>29</v>
      </c>
      <c r="AI26655" s="831">
        <v>0</v>
      </c>
      <c r="AJ26655" s="835">
        <v>41090</v>
      </c>
      <c r="AK26655" s="831">
        <v>2579950</v>
      </c>
    </row>
    <row r="26656" spans="32:37">
      <c r="AF26656" s="831" t="s">
        <v>10395</v>
      </c>
      <c r="AG26656" s="831" t="s">
        <v>2674</v>
      </c>
      <c r="AH26656" s="831" t="s">
        <v>2688</v>
      </c>
      <c r="AI26656" s="831">
        <v>0</v>
      </c>
      <c r="AJ26656" s="835">
        <v>41090</v>
      </c>
      <c r="AK26656" s="831">
        <v>2983420</v>
      </c>
    </row>
    <row r="26657" spans="32:37">
      <c r="AF26657" s="831" t="s">
        <v>10396</v>
      </c>
      <c r="AG26657" s="831" t="s">
        <v>2674</v>
      </c>
      <c r="AH26657" s="831" t="s">
        <v>556</v>
      </c>
      <c r="AI26657" s="831">
        <v>0</v>
      </c>
      <c r="AJ26657" s="835">
        <v>41090</v>
      </c>
      <c r="AK26657" s="831">
        <v>0</v>
      </c>
    </row>
    <row r="26658" spans="32:37">
      <c r="AF26658" s="831" t="s">
        <v>10397</v>
      </c>
      <c r="AG26658" s="831" t="s">
        <v>2674</v>
      </c>
      <c r="AH26658" s="831" t="s">
        <v>555</v>
      </c>
      <c r="AI26658" s="831">
        <v>0</v>
      </c>
      <c r="AJ26658" s="835">
        <v>41090</v>
      </c>
      <c r="AK26658" s="831">
        <v>197249400</v>
      </c>
    </row>
    <row r="26659" spans="32:37">
      <c r="AF26659" s="831" t="s">
        <v>10398</v>
      </c>
      <c r="AG26659" s="831" t="s">
        <v>2674</v>
      </c>
      <c r="AH26659" s="831" t="s">
        <v>554</v>
      </c>
      <c r="AI26659" s="831">
        <v>0</v>
      </c>
      <c r="AJ26659" s="835">
        <v>41090</v>
      </c>
      <c r="AK26659" s="831">
        <v>196927620</v>
      </c>
    </row>
    <row r="26660" spans="32:37">
      <c r="AF26660" s="831" t="s">
        <v>10399</v>
      </c>
      <c r="AG26660" s="831" t="s">
        <v>2674</v>
      </c>
      <c r="AH26660" s="831" t="s">
        <v>553</v>
      </c>
      <c r="AI26660" s="831">
        <v>0</v>
      </c>
      <c r="AJ26660" s="835">
        <v>41090</v>
      </c>
      <c r="AK26660" s="831">
        <v>0</v>
      </c>
    </row>
    <row r="26661" spans="32:37">
      <c r="AF26661" s="831" t="s">
        <v>10400</v>
      </c>
      <c r="AG26661" s="831" t="s">
        <v>2674</v>
      </c>
      <c r="AH26661" s="831" t="s">
        <v>552</v>
      </c>
      <c r="AI26661" s="831">
        <v>0</v>
      </c>
      <c r="AJ26661" s="835">
        <v>41090</v>
      </c>
      <c r="AK26661" s="831">
        <v>0</v>
      </c>
    </row>
    <row r="26662" spans="32:37">
      <c r="AF26662" s="831" t="s">
        <v>10401</v>
      </c>
      <c r="AG26662" s="831" t="s">
        <v>2674</v>
      </c>
      <c r="AH26662" s="831" t="s">
        <v>551</v>
      </c>
      <c r="AI26662" s="831">
        <v>0</v>
      </c>
      <c r="AJ26662" s="835">
        <v>41090</v>
      </c>
      <c r="AK26662" s="831">
        <v>2420279</v>
      </c>
    </row>
    <row r="26663" spans="32:37">
      <c r="AF26663" s="831" t="s">
        <v>10402</v>
      </c>
      <c r="AG26663" s="831" t="s">
        <v>2674</v>
      </c>
      <c r="AH26663" s="831" t="s">
        <v>550</v>
      </c>
      <c r="AI26663" s="831">
        <v>0</v>
      </c>
      <c r="AJ26663" s="835">
        <v>41090</v>
      </c>
      <c r="AK26663" s="831">
        <v>90520261</v>
      </c>
    </row>
    <row r="26664" spans="32:37">
      <c r="AF26664" s="831" t="s">
        <v>10403</v>
      </c>
      <c r="AG26664" s="831" t="s">
        <v>2674</v>
      </c>
      <c r="AH26664" s="831" t="s">
        <v>562</v>
      </c>
      <c r="AI26664" s="831">
        <v>0</v>
      </c>
      <c r="AJ26664" s="835">
        <v>41090</v>
      </c>
      <c r="AK26664" s="831">
        <v>0.78505000000000003</v>
      </c>
    </row>
    <row r="26665" spans="32:37">
      <c r="AF26665" s="831" t="s">
        <v>10404</v>
      </c>
      <c r="AG26665" s="831" t="s">
        <v>2674</v>
      </c>
      <c r="AH26665" s="831" t="s">
        <v>2698</v>
      </c>
      <c r="AI26665" s="831">
        <v>0</v>
      </c>
      <c r="AJ26665" s="835">
        <v>41090</v>
      </c>
      <c r="AK26665" s="831">
        <v>0.78515000000000001</v>
      </c>
    </row>
    <row r="26666" spans="32:37">
      <c r="AF26666" s="831" t="s">
        <v>10405</v>
      </c>
      <c r="AG26666" s="831" t="s">
        <v>2674</v>
      </c>
      <c r="AH26666" s="831" t="s">
        <v>560</v>
      </c>
      <c r="AI26666" s="831">
        <v>0</v>
      </c>
      <c r="AJ26666" s="835">
        <v>41090</v>
      </c>
      <c r="AK26666" s="831">
        <v>0.78567500000000001</v>
      </c>
    </row>
    <row r="26667" spans="32:37">
      <c r="AF26667" s="831" t="s">
        <v>10406</v>
      </c>
      <c r="AG26667" s="831" t="s">
        <v>2674</v>
      </c>
      <c r="AH26667" s="831" t="s">
        <v>559</v>
      </c>
      <c r="AI26667" s="831">
        <v>0</v>
      </c>
      <c r="AJ26667" s="835">
        <v>41090</v>
      </c>
      <c r="AK26667" s="831">
        <v>0.78561666666666674</v>
      </c>
    </row>
    <row r="26668" spans="32:37">
      <c r="AF26668" s="831" t="s">
        <v>10407</v>
      </c>
      <c r="AG26668" s="831" t="s">
        <v>2674</v>
      </c>
      <c r="AH26668" s="831" t="s">
        <v>568</v>
      </c>
      <c r="AI26668" s="831">
        <v>0</v>
      </c>
      <c r="AJ26668" s="835">
        <v>41090</v>
      </c>
      <c r="AK26668" s="831">
        <v>0</v>
      </c>
    </row>
    <row r="26669" spans="32:37">
      <c r="AF26669" s="831" t="s">
        <v>10408</v>
      </c>
      <c r="AG26669" s="831" t="s">
        <v>2674</v>
      </c>
      <c r="AH26669" s="831" t="s">
        <v>569</v>
      </c>
      <c r="AI26669" s="831">
        <v>0</v>
      </c>
      <c r="AJ26669" s="835">
        <v>41090</v>
      </c>
      <c r="AK26669" s="831">
        <v>0</v>
      </c>
    </row>
    <row r="26670" spans="32:37">
      <c r="AF26670" s="831" t="s">
        <v>10409</v>
      </c>
      <c r="AG26670" s="831" t="s">
        <v>2674</v>
      </c>
      <c r="AH26670" s="831" t="s">
        <v>570</v>
      </c>
      <c r="AI26670" s="831">
        <v>0</v>
      </c>
      <c r="AJ26670" s="835">
        <v>41090</v>
      </c>
      <c r="AK26670" s="831">
        <v>0</v>
      </c>
    </row>
    <row r="26671" spans="32:37">
      <c r="AF26671" s="831" t="s">
        <v>10410</v>
      </c>
      <c r="AG26671" s="831" t="s">
        <v>2674</v>
      </c>
      <c r="AH26671" s="831" t="s">
        <v>571</v>
      </c>
      <c r="AI26671" s="831">
        <v>0</v>
      </c>
      <c r="AJ26671" s="835">
        <v>41090</v>
      </c>
      <c r="AK26671" s="831">
        <v>0</v>
      </c>
    </row>
    <row r="26672" spans="32:37">
      <c r="AF26672" s="831" t="s">
        <v>10411</v>
      </c>
      <c r="AG26672" s="831" t="s">
        <v>2674</v>
      </c>
      <c r="AH26672" s="831" t="s">
        <v>573</v>
      </c>
      <c r="AI26672" s="831">
        <v>0</v>
      </c>
      <c r="AJ26672" s="835">
        <v>41090</v>
      </c>
      <c r="AK26672" s="831">
        <v>0</v>
      </c>
    </row>
    <row r="26673" spans="32:37">
      <c r="AF26673" s="831" t="s">
        <v>10412</v>
      </c>
      <c r="AG26673" s="831" t="s">
        <v>2674</v>
      </c>
      <c r="AH26673" s="831" t="s">
        <v>574</v>
      </c>
      <c r="AI26673" s="831">
        <v>0</v>
      </c>
      <c r="AJ26673" s="835">
        <v>41090</v>
      </c>
      <c r="AK26673" s="831">
        <v>0</v>
      </c>
    </row>
    <row r="26674" spans="32:37">
      <c r="AF26674" s="831" t="s">
        <v>10413</v>
      </c>
      <c r="AG26674" s="831" t="s">
        <v>2674</v>
      </c>
      <c r="AH26674" s="831" t="s">
        <v>575</v>
      </c>
      <c r="AI26674" s="831">
        <v>0</v>
      </c>
      <c r="AJ26674" s="835">
        <v>41090</v>
      </c>
      <c r="AK26674" s="831">
        <v>0</v>
      </c>
    </row>
    <row r="26675" spans="32:37">
      <c r="AF26675" s="831" t="s">
        <v>10414</v>
      </c>
      <c r="AG26675" s="831" t="s">
        <v>2674</v>
      </c>
      <c r="AH26675" s="831" t="s">
        <v>576</v>
      </c>
      <c r="AI26675" s="831">
        <v>0</v>
      </c>
      <c r="AJ26675" s="835">
        <v>41090</v>
      </c>
      <c r="AK26675" s="831">
        <v>0</v>
      </c>
    </row>
    <row r="26676" spans="32:37">
      <c r="AF26676" s="831" t="s">
        <v>10415</v>
      </c>
      <c r="AG26676" s="831" t="s">
        <v>2674</v>
      </c>
      <c r="AH26676" s="831" t="s">
        <v>572</v>
      </c>
      <c r="AI26676" s="831">
        <v>0</v>
      </c>
      <c r="AJ26676" s="835">
        <v>41090</v>
      </c>
      <c r="AK26676" s="831">
        <v>-2146826246</v>
      </c>
    </row>
    <row r="26677" spans="32:37">
      <c r="AF26677" s="831" t="s">
        <v>10416</v>
      </c>
      <c r="AG26677" s="831" t="s">
        <v>2674</v>
      </c>
      <c r="AH26677" s="831" t="s">
        <v>577</v>
      </c>
      <c r="AI26677" s="831">
        <v>0</v>
      </c>
      <c r="AJ26677" s="835">
        <v>41090</v>
      </c>
      <c r="AK26677" s="831">
        <v>-2146826246</v>
      </c>
    </row>
    <row r="26678" spans="32:37">
      <c r="AF26678" s="831" t="s">
        <v>10417</v>
      </c>
      <c r="AG26678" s="831" t="s">
        <v>2674</v>
      </c>
      <c r="AH26678" s="831" t="s">
        <v>3042</v>
      </c>
      <c r="AI26678" s="831">
        <v>0</v>
      </c>
      <c r="AJ26678" s="835">
        <v>41090</v>
      </c>
      <c r="AK26678" s="831">
        <v>-2146826246</v>
      </c>
    </row>
    <row r="26679" spans="32:37">
      <c r="AF26679" s="831" t="s">
        <v>10418</v>
      </c>
      <c r="AG26679" s="831" t="s">
        <v>2674</v>
      </c>
      <c r="AH26679" s="831" t="s">
        <v>3044</v>
      </c>
      <c r="AI26679" s="831">
        <v>0</v>
      </c>
      <c r="AJ26679" s="835">
        <v>41090</v>
      </c>
      <c r="AK26679" s="831">
        <v>-2146826246</v>
      </c>
    </row>
    <row r="26680" spans="32:37">
      <c r="AF26680" s="831" t="s">
        <v>10419</v>
      </c>
      <c r="AG26680" s="831" t="s">
        <v>2674</v>
      </c>
      <c r="AH26680" s="831" t="s">
        <v>580</v>
      </c>
      <c r="AI26680" s="831">
        <v>0</v>
      </c>
      <c r="AJ26680" s="835">
        <v>41090</v>
      </c>
      <c r="AK26680" s="831">
        <v>-2146826246</v>
      </c>
    </row>
    <row r="26681" spans="32:37">
      <c r="AF26681" s="831" t="s">
        <v>10420</v>
      </c>
      <c r="AG26681" s="831" t="s">
        <v>2674</v>
      </c>
      <c r="AH26681" s="831" t="s">
        <v>581</v>
      </c>
      <c r="AI26681" s="831">
        <v>0</v>
      </c>
      <c r="AJ26681" s="835">
        <v>41090</v>
      </c>
      <c r="AK26681" s="831">
        <v>-2146826246</v>
      </c>
    </row>
    <row r="26682" spans="32:37">
      <c r="AF26682" s="831" t="s">
        <v>10421</v>
      </c>
      <c r="AG26682" s="831" t="s">
        <v>2674</v>
      </c>
      <c r="AH26682" s="831" t="s">
        <v>105</v>
      </c>
      <c r="AI26682" s="831">
        <v>0</v>
      </c>
      <c r="AJ26682" s="835">
        <v>41090</v>
      </c>
      <c r="AK26682" s="831">
        <v>152917631</v>
      </c>
    </row>
    <row r="26683" spans="32:37">
      <c r="AF26683" s="831" t="s">
        <v>10422</v>
      </c>
      <c r="AG26683" s="831" t="s">
        <v>2674</v>
      </c>
      <c r="AH26683" s="831" t="s">
        <v>3049</v>
      </c>
      <c r="AI26683" s="831">
        <v>0</v>
      </c>
      <c r="AJ26683" s="835">
        <v>41090</v>
      </c>
      <c r="AK26683" s="831">
        <v>317640148</v>
      </c>
    </row>
    <row r="26684" spans="32:37">
      <c r="AF26684" s="831" t="s">
        <v>10423</v>
      </c>
      <c r="AG26684" s="831" t="s">
        <v>2674</v>
      </c>
      <c r="AH26684" s="831" t="s">
        <v>103</v>
      </c>
      <c r="AI26684" s="831">
        <v>0</v>
      </c>
      <c r="AJ26684" s="835">
        <v>41090</v>
      </c>
      <c r="AK26684" s="831">
        <v>164722517</v>
      </c>
    </row>
    <row r="26685" spans="32:37">
      <c r="AF26685" s="831" t="s">
        <v>10424</v>
      </c>
      <c r="AG26685" s="831" t="s">
        <v>2674</v>
      </c>
      <c r="AH26685" s="831" t="s">
        <v>182</v>
      </c>
      <c r="AI26685" s="831">
        <v>0</v>
      </c>
      <c r="AJ26685" s="835">
        <v>41090</v>
      </c>
      <c r="AK26685" s="831">
        <v>51276754</v>
      </c>
    </row>
    <row r="26686" spans="32:37">
      <c r="AF26686" s="831" t="s">
        <v>10425</v>
      </c>
      <c r="AG26686" s="831" t="s">
        <v>2674</v>
      </c>
      <c r="AH26686" s="831" t="s">
        <v>6600</v>
      </c>
      <c r="AI26686" s="831">
        <v>0</v>
      </c>
      <c r="AJ26686" s="835">
        <v>41090</v>
      </c>
      <c r="AK26686" s="831">
        <v>-2146826246</v>
      </c>
    </row>
    <row r="26687" spans="32:37">
      <c r="AF26687" s="831" t="s">
        <v>10426</v>
      </c>
      <c r="AG26687" s="831" t="s">
        <v>2674</v>
      </c>
      <c r="AH26687" s="831" t="s">
        <v>6602</v>
      </c>
      <c r="AI26687" s="831">
        <v>0</v>
      </c>
      <c r="AJ26687" s="835">
        <v>41090</v>
      </c>
      <c r="AK26687" s="831">
        <v>6352093</v>
      </c>
    </row>
    <row r="26688" spans="32:37">
      <c r="AF26688" s="831" t="s">
        <v>10427</v>
      </c>
      <c r="AG26688" s="831" t="s">
        <v>2674</v>
      </c>
      <c r="AH26688" s="831" t="s">
        <v>650</v>
      </c>
      <c r="AI26688" s="831">
        <v>0</v>
      </c>
      <c r="AJ26688" s="835">
        <v>41090</v>
      </c>
      <c r="AK26688" s="831">
        <v>0</v>
      </c>
    </row>
    <row r="26689" spans="32:37">
      <c r="AF26689" s="831" t="s">
        <v>10428</v>
      </c>
      <c r="AG26689" s="831" t="s">
        <v>2674</v>
      </c>
      <c r="AH26689" s="831" t="s">
        <v>655</v>
      </c>
      <c r="AI26689" s="831">
        <v>0</v>
      </c>
      <c r="AJ26689" s="835">
        <v>41090</v>
      </c>
      <c r="AK26689" s="831">
        <v>2251978</v>
      </c>
    </row>
    <row r="26690" spans="32:37">
      <c r="AF26690" s="831" t="s">
        <v>10429</v>
      </c>
      <c r="AG26690" s="831" t="s">
        <v>2674</v>
      </c>
      <c r="AH26690" s="831" t="s">
        <v>546</v>
      </c>
      <c r="AI26690" s="831">
        <v>0</v>
      </c>
      <c r="AJ26690" s="835">
        <v>41121</v>
      </c>
      <c r="AK26690" s="831">
        <v>350104350</v>
      </c>
    </row>
    <row r="26691" spans="32:37">
      <c r="AF26691" s="831" t="s">
        <v>10430</v>
      </c>
      <c r="AG26691" s="831" t="s">
        <v>2674</v>
      </c>
      <c r="AH26691" s="831" t="s">
        <v>370</v>
      </c>
      <c r="AI26691" s="831">
        <v>0</v>
      </c>
      <c r="AJ26691" s="835">
        <v>41121</v>
      </c>
      <c r="AK26691" s="831">
        <v>438122032</v>
      </c>
    </row>
    <row r="26692" spans="32:37">
      <c r="AF26692" s="831" t="s">
        <v>10431</v>
      </c>
      <c r="AG26692" s="831" t="s">
        <v>2674</v>
      </c>
      <c r="AH26692" s="831" t="s">
        <v>126</v>
      </c>
      <c r="AI26692" s="831">
        <v>0</v>
      </c>
      <c r="AJ26692" s="835">
        <v>41121</v>
      </c>
      <c r="AK26692" s="831">
        <v>93426827</v>
      </c>
    </row>
    <row r="26693" spans="32:37">
      <c r="AF26693" s="831" t="s">
        <v>10432</v>
      </c>
      <c r="AG26693" s="831" t="s">
        <v>2674</v>
      </c>
      <c r="AH26693" s="831" t="s">
        <v>268</v>
      </c>
      <c r="AI26693" s="831">
        <v>0</v>
      </c>
      <c r="AJ26693" s="835">
        <v>41121</v>
      </c>
      <c r="AK26693" s="831">
        <v>8103905</v>
      </c>
    </row>
    <row r="26694" spans="32:37">
      <c r="AF26694" s="831" t="s">
        <v>10433</v>
      </c>
      <c r="AG26694" s="831" t="s">
        <v>2674</v>
      </c>
      <c r="AH26694" s="831" t="s">
        <v>547</v>
      </c>
      <c r="AI26694" s="831">
        <v>0</v>
      </c>
      <c r="AJ26694" s="835">
        <v>41121</v>
      </c>
      <c r="AK26694" s="831">
        <v>0</v>
      </c>
    </row>
    <row r="26695" spans="32:37">
      <c r="AF26695" s="831" t="s">
        <v>10434</v>
      </c>
      <c r="AG26695" s="831" t="s">
        <v>2674</v>
      </c>
      <c r="AH26695" s="831" t="s">
        <v>548</v>
      </c>
      <c r="AI26695" s="831">
        <v>0</v>
      </c>
      <c r="AJ26695" s="835">
        <v>41121</v>
      </c>
      <c r="AK26695" s="831">
        <v>0</v>
      </c>
    </row>
    <row r="26696" spans="32:37">
      <c r="AF26696" s="831" t="s">
        <v>10435</v>
      </c>
      <c r="AG26696" s="831" t="s">
        <v>2674</v>
      </c>
      <c r="AH26696" s="831" t="s">
        <v>549</v>
      </c>
      <c r="AI26696" s="831">
        <v>0</v>
      </c>
      <c r="AJ26696" s="835">
        <v>41121</v>
      </c>
      <c r="AK26696" s="831">
        <v>0</v>
      </c>
    </row>
    <row r="26697" spans="32:37">
      <c r="AF26697" s="831" t="s">
        <v>10436</v>
      </c>
      <c r="AG26697" s="831" t="s">
        <v>2674</v>
      </c>
      <c r="AH26697" s="831" t="s">
        <v>192</v>
      </c>
      <c r="AI26697" s="831">
        <v>0</v>
      </c>
      <c r="AJ26697" s="835">
        <v>41121</v>
      </c>
      <c r="AK26697" s="831">
        <v>-9691486</v>
      </c>
    </row>
    <row r="26698" spans="32:37">
      <c r="AF26698" s="831" t="s">
        <v>10437</v>
      </c>
      <c r="AG26698" s="831" t="s">
        <v>2674</v>
      </c>
      <c r="AH26698" s="831" t="s">
        <v>558</v>
      </c>
      <c r="AI26698" s="831">
        <v>0</v>
      </c>
      <c r="AJ26698" s="835">
        <v>41121</v>
      </c>
      <c r="AK26698" s="831">
        <v>344695205</v>
      </c>
    </row>
    <row r="26699" spans="32:37">
      <c r="AF26699" s="831" t="s">
        <v>10438</v>
      </c>
      <c r="AG26699" s="831" t="s">
        <v>2674</v>
      </c>
      <c r="AH26699" s="831" t="s">
        <v>65</v>
      </c>
      <c r="AI26699" s="831">
        <v>0</v>
      </c>
      <c r="AJ26699" s="835">
        <v>41121</v>
      </c>
      <c r="AK26699" s="831">
        <v>54573964</v>
      </c>
    </row>
    <row r="26700" spans="32:37">
      <c r="AF26700" s="831" t="s">
        <v>10439</v>
      </c>
      <c r="AG26700" s="831" t="s">
        <v>2674</v>
      </c>
      <c r="AH26700" s="831" t="s">
        <v>89</v>
      </c>
      <c r="AI26700" s="831">
        <v>0</v>
      </c>
      <c r="AJ26700" s="835">
        <v>41121</v>
      </c>
      <c r="AK26700" s="831">
        <v>121835</v>
      </c>
    </row>
    <row r="26701" spans="32:37">
      <c r="AF26701" s="831" t="s">
        <v>10440</v>
      </c>
      <c r="AG26701" s="831" t="s">
        <v>2674</v>
      </c>
      <c r="AH26701" s="831" t="s">
        <v>557</v>
      </c>
      <c r="AI26701" s="831">
        <v>0</v>
      </c>
      <c r="AJ26701" s="835">
        <v>41121</v>
      </c>
      <c r="AK26701" s="831">
        <v>123680</v>
      </c>
    </row>
    <row r="26702" spans="32:37">
      <c r="AF26702" s="831" t="s">
        <v>10441</v>
      </c>
      <c r="AG26702" s="831" t="s">
        <v>2674</v>
      </c>
      <c r="AH26702" s="831" t="s">
        <v>29</v>
      </c>
      <c r="AI26702" s="831">
        <v>0</v>
      </c>
      <c r="AJ26702" s="835">
        <v>41121</v>
      </c>
      <c r="AK26702" s="831">
        <v>2520940</v>
      </c>
    </row>
    <row r="26703" spans="32:37">
      <c r="AF26703" s="831" t="s">
        <v>10442</v>
      </c>
      <c r="AG26703" s="831" t="s">
        <v>2674</v>
      </c>
      <c r="AH26703" s="831" t="s">
        <v>2688</v>
      </c>
      <c r="AI26703" s="831">
        <v>0</v>
      </c>
      <c r="AJ26703" s="835">
        <v>41121</v>
      </c>
      <c r="AK26703" s="831">
        <v>2874987.63</v>
      </c>
    </row>
    <row r="26704" spans="32:37">
      <c r="AF26704" s="831" t="s">
        <v>10443</v>
      </c>
      <c r="AG26704" s="831" t="s">
        <v>2674</v>
      </c>
      <c r="AH26704" s="831" t="s">
        <v>556</v>
      </c>
      <c r="AI26704" s="831">
        <v>0</v>
      </c>
      <c r="AJ26704" s="835">
        <v>41121</v>
      </c>
      <c r="AK26704" s="831">
        <v>0</v>
      </c>
    </row>
    <row r="26705" spans="32:37">
      <c r="AF26705" s="831" t="s">
        <v>10444</v>
      </c>
      <c r="AG26705" s="831" t="s">
        <v>2674</v>
      </c>
      <c r="AH26705" s="831" t="s">
        <v>555</v>
      </c>
      <c r="AI26705" s="831">
        <v>0</v>
      </c>
      <c r="AJ26705" s="835">
        <v>41121</v>
      </c>
      <c r="AK26705" s="831">
        <v>212532560</v>
      </c>
    </row>
    <row r="26706" spans="32:37">
      <c r="AF26706" s="831" t="s">
        <v>10445</v>
      </c>
      <c r="AG26706" s="831" t="s">
        <v>2674</v>
      </c>
      <c r="AH26706" s="831" t="s">
        <v>554</v>
      </c>
      <c r="AI26706" s="831">
        <v>0</v>
      </c>
      <c r="AJ26706" s="835">
        <v>41121</v>
      </c>
      <c r="AK26706" s="831">
        <v>206644050</v>
      </c>
    </row>
    <row r="26707" spans="32:37">
      <c r="AF26707" s="831" t="s">
        <v>10446</v>
      </c>
      <c r="AG26707" s="831" t="s">
        <v>2674</v>
      </c>
      <c r="AH26707" s="831" t="s">
        <v>553</v>
      </c>
      <c r="AI26707" s="831">
        <v>0</v>
      </c>
      <c r="AJ26707" s="835">
        <v>41121</v>
      </c>
      <c r="AK26707" s="831">
        <v>0</v>
      </c>
    </row>
    <row r="26708" spans="32:37">
      <c r="AF26708" s="831" t="s">
        <v>10447</v>
      </c>
      <c r="AG26708" s="831" t="s">
        <v>2674</v>
      </c>
      <c r="AH26708" s="831" t="s">
        <v>552</v>
      </c>
      <c r="AI26708" s="831">
        <v>0</v>
      </c>
      <c r="AJ26708" s="835">
        <v>41121</v>
      </c>
      <c r="AK26708" s="831">
        <v>0</v>
      </c>
    </row>
    <row r="26709" spans="32:37">
      <c r="AF26709" s="831" t="s">
        <v>10448</v>
      </c>
      <c r="AG26709" s="831" t="s">
        <v>2674</v>
      </c>
      <c r="AH26709" s="831" t="s">
        <v>551</v>
      </c>
      <c r="AI26709" s="831">
        <v>0</v>
      </c>
      <c r="AJ26709" s="835">
        <v>41121</v>
      </c>
      <c r="AK26709" s="831">
        <v>2408186</v>
      </c>
    </row>
    <row r="26710" spans="32:37">
      <c r="AF26710" s="831" t="s">
        <v>10449</v>
      </c>
      <c r="AG26710" s="831" t="s">
        <v>2674</v>
      </c>
      <c r="AH26710" s="831" t="s">
        <v>550</v>
      </c>
      <c r="AI26710" s="831">
        <v>0</v>
      </c>
      <c r="AJ26710" s="835">
        <v>41121</v>
      </c>
      <c r="AK26710" s="831">
        <v>91675016</v>
      </c>
    </row>
    <row r="26711" spans="32:37">
      <c r="AF26711" s="831" t="s">
        <v>10450</v>
      </c>
      <c r="AG26711" s="831" t="s">
        <v>2674</v>
      </c>
      <c r="AH26711" s="831" t="s">
        <v>562</v>
      </c>
      <c r="AI26711" s="831">
        <v>0</v>
      </c>
      <c r="AJ26711" s="835">
        <v>41121</v>
      </c>
      <c r="AK26711" s="831">
        <v>0.78495000000000004</v>
      </c>
    </row>
    <row r="26712" spans="32:37">
      <c r="AF26712" s="831" t="s">
        <v>10451</v>
      </c>
      <c r="AG26712" s="831" t="s">
        <v>2674</v>
      </c>
      <c r="AH26712" s="831" t="s">
        <v>2698</v>
      </c>
      <c r="AI26712" s="831">
        <v>0</v>
      </c>
      <c r="AJ26712" s="835">
        <v>41121</v>
      </c>
      <c r="AK26712" s="831">
        <v>0.78505000000000003</v>
      </c>
    </row>
    <row r="26713" spans="32:37">
      <c r="AF26713" s="831" t="s">
        <v>10452</v>
      </c>
      <c r="AG26713" s="831" t="s">
        <v>2674</v>
      </c>
      <c r="AH26713" s="831" t="s">
        <v>560</v>
      </c>
      <c r="AI26713" s="831">
        <v>0</v>
      </c>
      <c r="AJ26713" s="835">
        <v>41121</v>
      </c>
      <c r="AK26713" s="831">
        <v>0.7855714285714287</v>
      </c>
    </row>
    <row r="26714" spans="32:37">
      <c r="AF26714" s="831" t="s">
        <v>10453</v>
      </c>
      <c r="AG26714" s="831" t="s">
        <v>2674</v>
      </c>
      <c r="AH26714" s="831" t="s">
        <v>559</v>
      </c>
      <c r="AI26714" s="831">
        <v>0</v>
      </c>
      <c r="AJ26714" s="835">
        <v>41121</v>
      </c>
      <c r="AK26714" s="831">
        <v>0.7854916666666667</v>
      </c>
    </row>
    <row r="26715" spans="32:37">
      <c r="AF26715" s="831" t="s">
        <v>10454</v>
      </c>
      <c r="AG26715" s="831" t="s">
        <v>2674</v>
      </c>
      <c r="AH26715" s="831" t="s">
        <v>568</v>
      </c>
      <c r="AI26715" s="831">
        <v>0</v>
      </c>
      <c r="AJ26715" s="835">
        <v>41121</v>
      </c>
      <c r="AK26715" s="831">
        <v>0</v>
      </c>
    </row>
    <row r="26716" spans="32:37">
      <c r="AF26716" s="831" t="s">
        <v>10455</v>
      </c>
      <c r="AG26716" s="831" t="s">
        <v>2674</v>
      </c>
      <c r="AH26716" s="831" t="s">
        <v>569</v>
      </c>
      <c r="AI26716" s="831">
        <v>0</v>
      </c>
      <c r="AJ26716" s="835">
        <v>41121</v>
      </c>
      <c r="AK26716" s="831">
        <v>0</v>
      </c>
    </row>
    <row r="26717" spans="32:37">
      <c r="AF26717" s="831" t="s">
        <v>10456</v>
      </c>
      <c r="AG26717" s="831" t="s">
        <v>2674</v>
      </c>
      <c r="AH26717" s="831" t="s">
        <v>570</v>
      </c>
      <c r="AI26717" s="831">
        <v>0</v>
      </c>
      <c r="AJ26717" s="835">
        <v>41121</v>
      </c>
      <c r="AK26717" s="831">
        <v>0</v>
      </c>
    </row>
    <row r="26718" spans="32:37">
      <c r="AF26718" s="831" t="s">
        <v>10457</v>
      </c>
      <c r="AG26718" s="831" t="s">
        <v>2674</v>
      </c>
      <c r="AH26718" s="831" t="s">
        <v>571</v>
      </c>
      <c r="AI26718" s="831">
        <v>0</v>
      </c>
      <c r="AJ26718" s="835">
        <v>41121</v>
      </c>
      <c r="AK26718" s="831">
        <v>0</v>
      </c>
    </row>
    <row r="26719" spans="32:37">
      <c r="AF26719" s="831" t="s">
        <v>10458</v>
      </c>
      <c r="AG26719" s="831" t="s">
        <v>2674</v>
      </c>
      <c r="AH26719" s="831" t="s">
        <v>573</v>
      </c>
      <c r="AI26719" s="831">
        <v>0</v>
      </c>
      <c r="AJ26719" s="835">
        <v>41121</v>
      </c>
      <c r="AK26719" s="831">
        <v>0</v>
      </c>
    </row>
    <row r="26720" spans="32:37">
      <c r="AF26720" s="831" t="s">
        <v>10459</v>
      </c>
      <c r="AG26720" s="831" t="s">
        <v>2674</v>
      </c>
      <c r="AH26720" s="831" t="s">
        <v>574</v>
      </c>
      <c r="AI26720" s="831">
        <v>0</v>
      </c>
      <c r="AJ26720" s="835">
        <v>41121</v>
      </c>
      <c r="AK26720" s="831">
        <v>0</v>
      </c>
    </row>
    <row r="26721" spans="32:37">
      <c r="AF26721" s="831" t="s">
        <v>10460</v>
      </c>
      <c r="AG26721" s="831" t="s">
        <v>2674</v>
      </c>
      <c r="AH26721" s="831" t="s">
        <v>575</v>
      </c>
      <c r="AI26721" s="831">
        <v>0</v>
      </c>
      <c r="AJ26721" s="835">
        <v>41121</v>
      </c>
      <c r="AK26721" s="831">
        <v>0</v>
      </c>
    </row>
    <row r="26722" spans="32:37">
      <c r="AF26722" s="831" t="s">
        <v>10461</v>
      </c>
      <c r="AG26722" s="831" t="s">
        <v>2674</v>
      </c>
      <c r="AH26722" s="831" t="s">
        <v>576</v>
      </c>
      <c r="AI26722" s="831">
        <v>0</v>
      </c>
      <c r="AJ26722" s="835">
        <v>41121</v>
      </c>
      <c r="AK26722" s="831">
        <v>0</v>
      </c>
    </row>
    <row r="26723" spans="32:37">
      <c r="AF26723" s="831" t="s">
        <v>10462</v>
      </c>
      <c r="AG26723" s="831" t="s">
        <v>2674</v>
      </c>
      <c r="AH26723" s="831" t="s">
        <v>572</v>
      </c>
      <c r="AI26723" s="831">
        <v>0</v>
      </c>
      <c r="AJ26723" s="835">
        <v>41121</v>
      </c>
      <c r="AK26723" s="831">
        <v>-2146826246</v>
      </c>
    </row>
    <row r="26724" spans="32:37">
      <c r="AF26724" s="831" t="s">
        <v>10463</v>
      </c>
      <c r="AG26724" s="831" t="s">
        <v>2674</v>
      </c>
      <c r="AH26724" s="831" t="s">
        <v>577</v>
      </c>
      <c r="AI26724" s="831">
        <v>0</v>
      </c>
      <c r="AJ26724" s="835">
        <v>41121</v>
      </c>
      <c r="AK26724" s="831">
        <v>-2146826246</v>
      </c>
    </row>
    <row r="26725" spans="32:37">
      <c r="AF26725" s="831" t="s">
        <v>10464</v>
      </c>
      <c r="AG26725" s="831" t="s">
        <v>2674</v>
      </c>
      <c r="AH26725" s="831" t="s">
        <v>3042</v>
      </c>
      <c r="AI26725" s="831">
        <v>0</v>
      </c>
      <c r="AJ26725" s="835">
        <v>41121</v>
      </c>
      <c r="AK26725" s="831">
        <v>-2146826246</v>
      </c>
    </row>
    <row r="26726" spans="32:37">
      <c r="AF26726" s="831" t="s">
        <v>10465</v>
      </c>
      <c r="AG26726" s="831" t="s">
        <v>2674</v>
      </c>
      <c r="AH26726" s="831" t="s">
        <v>3044</v>
      </c>
      <c r="AI26726" s="831">
        <v>0</v>
      </c>
      <c r="AJ26726" s="835">
        <v>41121</v>
      </c>
      <c r="AK26726" s="831">
        <v>-2146826246</v>
      </c>
    </row>
    <row r="26727" spans="32:37">
      <c r="AF26727" s="831" t="s">
        <v>10466</v>
      </c>
      <c r="AG26727" s="831" t="s">
        <v>2674</v>
      </c>
      <c r="AH26727" s="831" t="s">
        <v>580</v>
      </c>
      <c r="AI26727" s="831">
        <v>0</v>
      </c>
      <c r="AJ26727" s="835">
        <v>41121</v>
      </c>
      <c r="AK26727" s="831">
        <v>-2146826246</v>
      </c>
    </row>
    <row r="26728" spans="32:37">
      <c r="AF26728" s="831" t="s">
        <v>10467</v>
      </c>
      <c r="AG26728" s="831" t="s">
        <v>2674</v>
      </c>
      <c r="AH26728" s="831" t="s">
        <v>581</v>
      </c>
      <c r="AI26728" s="831">
        <v>0</v>
      </c>
      <c r="AJ26728" s="835">
        <v>41121</v>
      </c>
      <c r="AK26728" s="831">
        <v>-2146826246</v>
      </c>
    </row>
    <row r="26729" spans="32:37">
      <c r="AF26729" s="831" t="s">
        <v>10468</v>
      </c>
      <c r="AG26729" s="831" t="s">
        <v>2674</v>
      </c>
      <c r="AH26729" s="831" t="s">
        <v>105</v>
      </c>
      <c r="AI26729" s="831">
        <v>0</v>
      </c>
      <c r="AJ26729" s="835">
        <v>41121</v>
      </c>
      <c r="AK26729" s="831">
        <v>164564846</v>
      </c>
    </row>
    <row r="26730" spans="32:37">
      <c r="AF26730" s="831" t="s">
        <v>10469</v>
      </c>
      <c r="AG26730" s="831" t="s">
        <v>2674</v>
      </c>
      <c r="AH26730" s="831" t="s">
        <v>3049</v>
      </c>
      <c r="AI26730" s="831">
        <v>0</v>
      </c>
      <c r="AJ26730" s="835">
        <v>41121</v>
      </c>
      <c r="AK26730" s="831">
        <v>330970241</v>
      </c>
    </row>
    <row r="26731" spans="32:37">
      <c r="AF26731" s="831" t="s">
        <v>10470</v>
      </c>
      <c r="AG26731" s="831" t="s">
        <v>2674</v>
      </c>
      <c r="AH26731" s="831" t="s">
        <v>103</v>
      </c>
      <c r="AI26731" s="831">
        <v>0</v>
      </c>
      <c r="AJ26731" s="835">
        <v>41121</v>
      </c>
      <c r="AK26731" s="831">
        <v>166405395</v>
      </c>
    </row>
    <row r="26732" spans="32:37">
      <c r="AF26732" s="831" t="s">
        <v>10471</v>
      </c>
      <c r="AG26732" s="831" t="s">
        <v>2674</v>
      </c>
      <c r="AH26732" s="831" t="s">
        <v>182</v>
      </c>
      <c r="AI26732" s="831">
        <v>0</v>
      </c>
      <c r="AJ26732" s="835">
        <v>41121</v>
      </c>
      <c r="AK26732" s="831">
        <v>50915117.142857142</v>
      </c>
    </row>
    <row r="26733" spans="32:37">
      <c r="AF26733" s="831" t="s">
        <v>10472</v>
      </c>
      <c r="AG26733" s="831" t="s">
        <v>2674</v>
      </c>
      <c r="AH26733" s="831" t="s">
        <v>6600</v>
      </c>
      <c r="AI26733" s="831">
        <v>0</v>
      </c>
      <c r="AJ26733" s="835">
        <v>41121</v>
      </c>
      <c r="AK26733" s="831">
        <v>-2146826246</v>
      </c>
    </row>
    <row r="26734" spans="32:37">
      <c r="AF26734" s="831" t="s">
        <v>10473</v>
      </c>
      <c r="AG26734" s="831" t="s">
        <v>2674</v>
      </c>
      <c r="AH26734" s="831" t="s">
        <v>6602</v>
      </c>
      <c r="AI26734" s="831">
        <v>0</v>
      </c>
      <c r="AJ26734" s="835">
        <v>41121</v>
      </c>
      <c r="AK26734" s="831">
        <v>8103905</v>
      </c>
    </row>
    <row r="26735" spans="32:37">
      <c r="AF26735" s="831" t="s">
        <v>10474</v>
      </c>
      <c r="AG26735" s="831" t="s">
        <v>2674</v>
      </c>
      <c r="AH26735" s="831" t="s">
        <v>650</v>
      </c>
      <c r="AI26735" s="831">
        <v>0</v>
      </c>
      <c r="AJ26735" s="835">
        <v>41121</v>
      </c>
      <c r="AK26735" s="831">
        <v>0</v>
      </c>
    </row>
    <row r="26736" spans="32:37">
      <c r="AF26736" s="831" t="s">
        <v>10475</v>
      </c>
      <c r="AG26736" s="831" t="s">
        <v>2674</v>
      </c>
      <c r="AH26736" s="831" t="s">
        <v>655</v>
      </c>
      <c r="AI26736" s="831">
        <v>0</v>
      </c>
      <c r="AJ26736" s="835">
        <v>41121</v>
      </c>
      <c r="AK26736" s="831">
        <v>2307351</v>
      </c>
    </row>
    <row r="26737" spans="32:37">
      <c r="AF26737" s="831" t="s">
        <v>10476</v>
      </c>
      <c r="AG26737" s="831" t="s">
        <v>2674</v>
      </c>
      <c r="AH26737" s="831" t="s">
        <v>546</v>
      </c>
      <c r="AI26737" s="831">
        <v>0</v>
      </c>
      <c r="AJ26737" s="835">
        <v>41152</v>
      </c>
      <c r="AK26737" s="831">
        <v>362295244</v>
      </c>
    </row>
    <row r="26738" spans="32:37">
      <c r="AF26738" s="831" t="s">
        <v>10477</v>
      </c>
      <c r="AG26738" s="831" t="s">
        <v>2674</v>
      </c>
      <c r="AH26738" s="831" t="s">
        <v>370</v>
      </c>
      <c r="AI26738" s="831">
        <v>0</v>
      </c>
      <c r="AJ26738" s="835">
        <v>41152</v>
      </c>
      <c r="AK26738" s="831">
        <v>452262206</v>
      </c>
    </row>
    <row r="26739" spans="32:37">
      <c r="AF26739" s="831" t="s">
        <v>10478</v>
      </c>
      <c r="AG26739" s="831" t="s">
        <v>2674</v>
      </c>
      <c r="AH26739" s="831" t="s">
        <v>126</v>
      </c>
      <c r="AI26739" s="831">
        <v>0</v>
      </c>
      <c r="AJ26739" s="835">
        <v>41152</v>
      </c>
      <c r="AK26739" s="831">
        <v>95414973</v>
      </c>
    </row>
    <row r="26740" spans="32:37">
      <c r="AF26740" s="831" t="s">
        <v>10479</v>
      </c>
      <c r="AG26740" s="831" t="s">
        <v>2674</v>
      </c>
      <c r="AH26740" s="831" t="s">
        <v>268</v>
      </c>
      <c r="AI26740" s="831">
        <v>0</v>
      </c>
      <c r="AJ26740" s="835">
        <v>41152</v>
      </c>
      <c r="AK26740" s="831">
        <v>10092049</v>
      </c>
    </row>
    <row r="26741" spans="32:37">
      <c r="AF26741" s="831" t="s">
        <v>10480</v>
      </c>
      <c r="AG26741" s="831" t="s">
        <v>2674</v>
      </c>
      <c r="AH26741" s="831" t="s">
        <v>547</v>
      </c>
      <c r="AI26741" s="831">
        <v>0</v>
      </c>
      <c r="AJ26741" s="835">
        <v>41152</v>
      </c>
      <c r="AK26741" s="831">
        <v>0</v>
      </c>
    </row>
    <row r="26742" spans="32:37">
      <c r="AF26742" s="831" t="s">
        <v>10481</v>
      </c>
      <c r="AG26742" s="831" t="s">
        <v>2674</v>
      </c>
      <c r="AH26742" s="831" t="s">
        <v>548</v>
      </c>
      <c r="AI26742" s="831">
        <v>0</v>
      </c>
      <c r="AJ26742" s="835">
        <v>41152</v>
      </c>
      <c r="AK26742" s="831">
        <v>0</v>
      </c>
    </row>
    <row r="26743" spans="32:37">
      <c r="AF26743" s="831" t="s">
        <v>10482</v>
      </c>
      <c r="AG26743" s="831" t="s">
        <v>2674</v>
      </c>
      <c r="AH26743" s="831" t="s">
        <v>549</v>
      </c>
      <c r="AI26743" s="831">
        <v>0</v>
      </c>
      <c r="AJ26743" s="835">
        <v>41152</v>
      </c>
      <c r="AK26743" s="831">
        <v>0</v>
      </c>
    </row>
    <row r="26744" spans="32:37">
      <c r="AF26744" s="831" t="s">
        <v>10483</v>
      </c>
      <c r="AG26744" s="831" t="s">
        <v>2674</v>
      </c>
      <c r="AH26744" s="831" t="s">
        <v>192</v>
      </c>
      <c r="AI26744" s="831">
        <v>0</v>
      </c>
      <c r="AJ26744" s="835">
        <v>41152</v>
      </c>
      <c r="AK26744" s="831">
        <v>-9148265</v>
      </c>
    </row>
    <row r="26745" spans="32:37">
      <c r="AF26745" s="831" t="s">
        <v>10484</v>
      </c>
      <c r="AG26745" s="831" t="s">
        <v>2674</v>
      </c>
      <c r="AH26745" s="831" t="s">
        <v>558</v>
      </c>
      <c r="AI26745" s="831">
        <v>0</v>
      </c>
      <c r="AJ26745" s="835">
        <v>41152</v>
      </c>
      <c r="AK26745" s="831">
        <v>356847233</v>
      </c>
    </row>
    <row r="26746" spans="32:37">
      <c r="AF26746" s="831" t="s">
        <v>10485</v>
      </c>
      <c r="AG26746" s="831" t="s">
        <v>2674</v>
      </c>
      <c r="AH26746" s="831" t="s">
        <v>65</v>
      </c>
      <c r="AI26746" s="831">
        <v>0</v>
      </c>
      <c r="AJ26746" s="835">
        <v>41152</v>
      </c>
      <c r="AK26746" s="831">
        <v>63143485</v>
      </c>
    </row>
    <row r="26747" spans="32:37">
      <c r="AF26747" s="831" t="s">
        <v>10486</v>
      </c>
      <c r="AG26747" s="831" t="s">
        <v>2674</v>
      </c>
      <c r="AH26747" s="831" t="s">
        <v>89</v>
      </c>
      <c r="AI26747" s="831">
        <v>0</v>
      </c>
      <c r="AJ26747" s="835">
        <v>41152</v>
      </c>
      <c r="AK26747" s="831">
        <v>122109</v>
      </c>
    </row>
    <row r="26748" spans="32:37">
      <c r="AF26748" s="831" t="s">
        <v>10487</v>
      </c>
      <c r="AG26748" s="831" t="s">
        <v>2674</v>
      </c>
      <c r="AH26748" s="831" t="s">
        <v>557</v>
      </c>
      <c r="AI26748" s="831">
        <v>0</v>
      </c>
      <c r="AJ26748" s="835">
        <v>41152</v>
      </c>
      <c r="AK26748" s="831">
        <v>123973</v>
      </c>
    </row>
    <row r="26749" spans="32:37">
      <c r="AF26749" s="831" t="s">
        <v>10488</v>
      </c>
      <c r="AG26749" s="831" t="s">
        <v>2674</v>
      </c>
      <c r="AH26749" s="831" t="s">
        <v>29</v>
      </c>
      <c r="AI26749" s="831">
        <v>0</v>
      </c>
      <c r="AJ26749" s="835">
        <v>41152</v>
      </c>
      <c r="AK26749" s="831">
        <v>2024314</v>
      </c>
    </row>
    <row r="26750" spans="32:37">
      <c r="AF26750" s="831" t="s">
        <v>10489</v>
      </c>
      <c r="AG26750" s="831" t="s">
        <v>2674</v>
      </c>
      <c r="AH26750" s="831" t="s">
        <v>2688</v>
      </c>
      <c r="AI26750" s="831">
        <v>0</v>
      </c>
      <c r="AJ26750" s="835">
        <v>41152</v>
      </c>
      <c r="AK26750" s="831">
        <v>2600544</v>
      </c>
    </row>
    <row r="26751" spans="32:37">
      <c r="AF26751" s="831" t="s">
        <v>10490</v>
      </c>
      <c r="AG26751" s="831" t="s">
        <v>2674</v>
      </c>
      <c r="AH26751" s="831" t="s">
        <v>556</v>
      </c>
      <c r="AI26751" s="831">
        <v>0</v>
      </c>
      <c r="AJ26751" s="835">
        <v>41152</v>
      </c>
      <c r="AK26751" s="831">
        <v>902857</v>
      </c>
    </row>
    <row r="26752" spans="32:37">
      <c r="AF26752" s="831" t="s">
        <v>10491</v>
      </c>
      <c r="AG26752" s="831" t="s">
        <v>2674</v>
      </c>
      <c r="AH26752" s="831" t="s">
        <v>555</v>
      </c>
      <c r="AI26752" s="831">
        <v>0</v>
      </c>
      <c r="AJ26752" s="835">
        <v>41152</v>
      </c>
      <c r="AK26752" s="831">
        <v>221766870</v>
      </c>
    </row>
    <row r="26753" spans="32:37">
      <c r="AF26753" s="831" t="s">
        <v>10492</v>
      </c>
      <c r="AG26753" s="831" t="s">
        <v>2674</v>
      </c>
      <c r="AH26753" s="831" t="s">
        <v>554</v>
      </c>
      <c r="AI26753" s="831">
        <v>0</v>
      </c>
      <c r="AJ26753" s="835">
        <v>41152</v>
      </c>
      <c r="AK26753" s="831">
        <v>217001920</v>
      </c>
    </row>
    <row r="26754" spans="32:37">
      <c r="AF26754" s="831" t="s">
        <v>10493</v>
      </c>
      <c r="AG26754" s="831" t="s">
        <v>2674</v>
      </c>
      <c r="AH26754" s="831" t="s">
        <v>553</v>
      </c>
      <c r="AI26754" s="831">
        <v>0</v>
      </c>
      <c r="AJ26754" s="835">
        <v>41152</v>
      </c>
      <c r="AK26754" s="831">
        <v>0</v>
      </c>
    </row>
    <row r="26755" spans="32:37">
      <c r="AF26755" s="831" t="s">
        <v>10494</v>
      </c>
      <c r="AG26755" s="831" t="s">
        <v>2674</v>
      </c>
      <c r="AH26755" s="831" t="s">
        <v>552</v>
      </c>
      <c r="AI26755" s="831">
        <v>0</v>
      </c>
      <c r="AJ26755" s="835">
        <v>41152</v>
      </c>
      <c r="AK26755" s="831">
        <v>0</v>
      </c>
    </row>
    <row r="26756" spans="32:37">
      <c r="AF26756" s="831" t="s">
        <v>10495</v>
      </c>
      <c r="AG26756" s="831" t="s">
        <v>2674</v>
      </c>
      <c r="AH26756" s="831" t="s">
        <v>551</v>
      </c>
      <c r="AI26756" s="831">
        <v>0</v>
      </c>
      <c r="AJ26756" s="835">
        <v>41152</v>
      </c>
      <c r="AK26756" s="831">
        <v>1690236</v>
      </c>
    </row>
    <row r="26757" spans="32:37">
      <c r="AF26757" s="831" t="s">
        <v>10496</v>
      </c>
      <c r="AG26757" s="831" t="s">
        <v>2674</v>
      </c>
      <c r="AH26757" s="831" t="s">
        <v>550</v>
      </c>
      <c r="AI26757" s="831">
        <v>0</v>
      </c>
      <c r="AJ26757" s="835">
        <v>41152</v>
      </c>
      <c r="AK26757" s="831">
        <v>93426827</v>
      </c>
    </row>
    <row r="26758" spans="32:37">
      <c r="AF26758" s="831" t="s">
        <v>10497</v>
      </c>
      <c r="AG26758" s="831" t="s">
        <v>2674</v>
      </c>
      <c r="AH26758" s="831" t="s">
        <v>562</v>
      </c>
      <c r="AI26758" s="831">
        <v>0</v>
      </c>
      <c r="AJ26758" s="835">
        <v>41152</v>
      </c>
      <c r="AK26758" s="831">
        <v>0.78449999999999998</v>
      </c>
    </row>
    <row r="26759" spans="32:37">
      <c r="AF26759" s="831" t="s">
        <v>10498</v>
      </c>
      <c r="AG26759" s="831" t="s">
        <v>2674</v>
      </c>
      <c r="AH26759" s="831" t="s">
        <v>2698</v>
      </c>
      <c r="AI26759" s="831">
        <v>0</v>
      </c>
      <c r="AJ26759" s="835">
        <v>41152</v>
      </c>
      <c r="AK26759" s="831">
        <v>0.78495000000000004</v>
      </c>
    </row>
    <row r="26760" spans="32:37">
      <c r="AF26760" s="831" t="s">
        <v>10499</v>
      </c>
      <c r="AG26760" s="831" t="s">
        <v>2674</v>
      </c>
      <c r="AH26760" s="831" t="s">
        <v>560</v>
      </c>
      <c r="AI26760" s="831">
        <v>0</v>
      </c>
      <c r="AJ26760" s="835">
        <v>41152</v>
      </c>
      <c r="AK26760" s="831">
        <v>0.78543750000000001</v>
      </c>
    </row>
    <row r="26761" spans="32:37">
      <c r="AF26761" s="831" t="s">
        <v>10500</v>
      </c>
      <c r="AG26761" s="831" t="s">
        <v>2674</v>
      </c>
      <c r="AH26761" s="831" t="s">
        <v>559</v>
      </c>
      <c r="AI26761" s="831">
        <v>0</v>
      </c>
      <c r="AJ26761" s="835">
        <v>41152</v>
      </c>
      <c r="AK26761" s="831">
        <v>0.78544999999999998</v>
      </c>
    </row>
    <row r="26762" spans="32:37">
      <c r="AF26762" s="831" t="s">
        <v>10501</v>
      </c>
      <c r="AG26762" s="831" t="s">
        <v>2674</v>
      </c>
      <c r="AH26762" s="831" t="s">
        <v>568</v>
      </c>
      <c r="AI26762" s="831">
        <v>0</v>
      </c>
      <c r="AJ26762" s="835">
        <v>41152</v>
      </c>
      <c r="AK26762" s="831">
        <v>0</v>
      </c>
    </row>
    <row r="26763" spans="32:37">
      <c r="AF26763" s="831" t="s">
        <v>10502</v>
      </c>
      <c r="AG26763" s="831" t="s">
        <v>2674</v>
      </c>
      <c r="AH26763" s="831" t="s">
        <v>569</v>
      </c>
      <c r="AI26763" s="831">
        <v>0</v>
      </c>
      <c r="AJ26763" s="835">
        <v>41152</v>
      </c>
      <c r="AK26763" s="831">
        <v>0</v>
      </c>
    </row>
    <row r="26764" spans="32:37">
      <c r="AF26764" s="831" t="s">
        <v>10503</v>
      </c>
      <c r="AG26764" s="831" t="s">
        <v>2674</v>
      </c>
      <c r="AH26764" s="831" t="s">
        <v>570</v>
      </c>
      <c r="AI26764" s="831">
        <v>0</v>
      </c>
      <c r="AJ26764" s="835">
        <v>41152</v>
      </c>
      <c r="AK26764" s="831">
        <v>0</v>
      </c>
    </row>
    <row r="26765" spans="32:37">
      <c r="AF26765" s="831" t="s">
        <v>10504</v>
      </c>
      <c r="AG26765" s="831" t="s">
        <v>2674</v>
      </c>
      <c r="AH26765" s="831" t="s">
        <v>571</v>
      </c>
      <c r="AI26765" s="831">
        <v>0</v>
      </c>
      <c r="AJ26765" s="835">
        <v>41152</v>
      </c>
      <c r="AK26765" s="831">
        <v>0</v>
      </c>
    </row>
    <row r="26766" spans="32:37">
      <c r="AF26766" s="831" t="s">
        <v>10505</v>
      </c>
      <c r="AG26766" s="831" t="s">
        <v>2674</v>
      </c>
      <c r="AH26766" s="831" t="s">
        <v>573</v>
      </c>
      <c r="AI26766" s="831">
        <v>0</v>
      </c>
      <c r="AJ26766" s="835">
        <v>41152</v>
      </c>
      <c r="AK26766" s="831">
        <v>0</v>
      </c>
    </row>
    <row r="26767" spans="32:37">
      <c r="AF26767" s="831" t="s">
        <v>10506</v>
      </c>
      <c r="AG26767" s="831" t="s">
        <v>2674</v>
      </c>
      <c r="AH26767" s="831" t="s">
        <v>574</v>
      </c>
      <c r="AI26767" s="831">
        <v>0</v>
      </c>
      <c r="AJ26767" s="835">
        <v>41152</v>
      </c>
      <c r="AK26767" s="831">
        <v>0</v>
      </c>
    </row>
    <row r="26768" spans="32:37">
      <c r="AF26768" s="831" t="s">
        <v>10507</v>
      </c>
      <c r="AG26768" s="831" t="s">
        <v>2674</v>
      </c>
      <c r="AH26768" s="831" t="s">
        <v>575</v>
      </c>
      <c r="AI26768" s="831">
        <v>0</v>
      </c>
      <c r="AJ26768" s="835">
        <v>41152</v>
      </c>
      <c r="AK26768" s="831">
        <v>0</v>
      </c>
    </row>
    <row r="26769" spans="32:37">
      <c r="AF26769" s="831" t="s">
        <v>10508</v>
      </c>
      <c r="AG26769" s="831" t="s">
        <v>2674</v>
      </c>
      <c r="AH26769" s="831" t="s">
        <v>576</v>
      </c>
      <c r="AI26769" s="831">
        <v>0</v>
      </c>
      <c r="AJ26769" s="835">
        <v>41152</v>
      </c>
      <c r="AK26769" s="831">
        <v>0</v>
      </c>
    </row>
    <row r="26770" spans="32:37">
      <c r="AF26770" s="831" t="s">
        <v>10509</v>
      </c>
      <c r="AG26770" s="831" t="s">
        <v>2674</v>
      </c>
      <c r="AH26770" s="831" t="s">
        <v>572</v>
      </c>
      <c r="AI26770" s="831">
        <v>0</v>
      </c>
      <c r="AJ26770" s="835">
        <v>41152</v>
      </c>
      <c r="AK26770" s="831">
        <v>-2146826246</v>
      </c>
    </row>
    <row r="26771" spans="32:37">
      <c r="AF26771" s="831" t="s">
        <v>10510</v>
      </c>
      <c r="AG26771" s="831" t="s">
        <v>2674</v>
      </c>
      <c r="AH26771" s="831" t="s">
        <v>577</v>
      </c>
      <c r="AI26771" s="831">
        <v>0</v>
      </c>
      <c r="AJ26771" s="835">
        <v>41152</v>
      </c>
      <c r="AK26771" s="831">
        <v>-2146826246</v>
      </c>
    </row>
    <row r="26772" spans="32:37">
      <c r="AF26772" s="831" t="s">
        <v>10511</v>
      </c>
      <c r="AG26772" s="831" t="s">
        <v>2674</v>
      </c>
      <c r="AH26772" s="831" t="s">
        <v>3042</v>
      </c>
      <c r="AI26772" s="831">
        <v>0</v>
      </c>
      <c r="AJ26772" s="835">
        <v>41152</v>
      </c>
      <c r="AK26772" s="831">
        <v>-2146826246</v>
      </c>
    </row>
    <row r="26773" spans="32:37">
      <c r="AF26773" s="831" t="s">
        <v>10512</v>
      </c>
      <c r="AG26773" s="831" t="s">
        <v>2674</v>
      </c>
      <c r="AH26773" s="831" t="s">
        <v>3044</v>
      </c>
      <c r="AI26773" s="831">
        <v>0</v>
      </c>
      <c r="AJ26773" s="835">
        <v>41152</v>
      </c>
      <c r="AK26773" s="831">
        <v>-2146826246</v>
      </c>
    </row>
    <row r="26774" spans="32:37">
      <c r="AF26774" s="831" t="s">
        <v>10513</v>
      </c>
      <c r="AG26774" s="831" t="s">
        <v>2674</v>
      </c>
      <c r="AH26774" s="831" t="s">
        <v>580</v>
      </c>
      <c r="AI26774" s="831">
        <v>0</v>
      </c>
      <c r="AJ26774" s="835">
        <v>41152</v>
      </c>
      <c r="AK26774" s="831">
        <v>-2146826246</v>
      </c>
    </row>
    <row r="26775" spans="32:37">
      <c r="AF26775" s="831" t="s">
        <v>10514</v>
      </c>
      <c r="AG26775" s="831" t="s">
        <v>2674</v>
      </c>
      <c r="AH26775" s="831" t="s">
        <v>581</v>
      </c>
      <c r="AI26775" s="831">
        <v>0</v>
      </c>
      <c r="AJ26775" s="835">
        <v>41152</v>
      </c>
      <c r="AK26775" s="831">
        <v>-2146826246</v>
      </c>
    </row>
    <row r="26776" spans="32:37">
      <c r="AF26776" s="831" t="s">
        <v>10515</v>
      </c>
      <c r="AG26776" s="831" t="s">
        <v>2674</v>
      </c>
      <c r="AH26776" s="831" t="s">
        <v>105</v>
      </c>
      <c r="AI26776" s="831">
        <v>0</v>
      </c>
      <c r="AJ26776" s="835">
        <v>41152</v>
      </c>
      <c r="AK26776" s="831">
        <v>180384094</v>
      </c>
    </row>
    <row r="26777" spans="32:37">
      <c r="AF26777" s="831" t="s">
        <v>10516</v>
      </c>
      <c r="AG26777" s="831" t="s">
        <v>2674</v>
      </c>
      <c r="AH26777" s="831" t="s">
        <v>3049</v>
      </c>
      <c r="AI26777" s="831">
        <v>0</v>
      </c>
      <c r="AJ26777" s="835">
        <v>41152</v>
      </c>
      <c r="AK26777" s="831">
        <v>343993651</v>
      </c>
    </row>
    <row r="26778" spans="32:37">
      <c r="AF26778" s="831" t="s">
        <v>10517</v>
      </c>
      <c r="AG26778" s="831" t="s">
        <v>2674</v>
      </c>
      <c r="AH26778" s="831" t="s">
        <v>103</v>
      </c>
      <c r="AI26778" s="831">
        <v>0</v>
      </c>
      <c r="AJ26778" s="835">
        <v>41152</v>
      </c>
      <c r="AK26778" s="831">
        <v>163609557</v>
      </c>
    </row>
    <row r="26779" spans="32:37">
      <c r="AF26779" s="831" t="s">
        <v>10518</v>
      </c>
      <c r="AG26779" s="831" t="s">
        <v>2674</v>
      </c>
      <c r="AH26779" s="831" t="s">
        <v>182</v>
      </c>
      <c r="AI26779" s="831">
        <v>0</v>
      </c>
      <c r="AJ26779" s="835">
        <v>41152</v>
      </c>
      <c r="AK26779" s="831">
        <v>50326770</v>
      </c>
    </row>
    <row r="26780" spans="32:37">
      <c r="AF26780" s="831" t="s">
        <v>10519</v>
      </c>
      <c r="AG26780" s="831" t="s">
        <v>2674</v>
      </c>
      <c r="AH26780" s="831" t="s">
        <v>6600</v>
      </c>
      <c r="AI26780" s="831">
        <v>0</v>
      </c>
      <c r="AJ26780" s="835">
        <v>41152</v>
      </c>
      <c r="AK26780" s="831">
        <v>-2146826246</v>
      </c>
    </row>
    <row r="26781" spans="32:37">
      <c r="AF26781" s="831" t="s">
        <v>10520</v>
      </c>
      <c r="AG26781" s="831" t="s">
        <v>2674</v>
      </c>
      <c r="AH26781" s="831" t="s">
        <v>6602</v>
      </c>
      <c r="AI26781" s="831">
        <v>0</v>
      </c>
      <c r="AJ26781" s="835">
        <v>41152</v>
      </c>
      <c r="AK26781" s="831">
        <v>10092049</v>
      </c>
    </row>
    <row r="26782" spans="32:37">
      <c r="AF26782" s="831" t="s">
        <v>10521</v>
      </c>
      <c r="AG26782" s="831" t="s">
        <v>2674</v>
      </c>
      <c r="AH26782" s="831" t="s">
        <v>650</v>
      </c>
      <c r="AI26782" s="831">
        <v>0</v>
      </c>
      <c r="AJ26782" s="835">
        <v>41152</v>
      </c>
      <c r="AK26782" s="831">
        <v>0</v>
      </c>
    </row>
    <row r="26783" spans="32:37">
      <c r="AF26783" s="831" t="s">
        <v>10522</v>
      </c>
      <c r="AG26783" s="831" t="s">
        <v>2674</v>
      </c>
      <c r="AH26783" s="831" t="s">
        <v>655</v>
      </c>
      <c r="AI26783" s="831">
        <v>0</v>
      </c>
      <c r="AJ26783" s="835">
        <v>41152</v>
      </c>
      <c r="AK26783" s="831">
        <v>1649423</v>
      </c>
    </row>
    <row r="26784" spans="32:37">
      <c r="AF26784" s="831" t="s">
        <v>10523</v>
      </c>
      <c r="AG26784" s="831" t="s">
        <v>2674</v>
      </c>
      <c r="AH26784" s="831" t="s">
        <v>546</v>
      </c>
      <c r="AI26784" s="831">
        <v>0</v>
      </c>
      <c r="AJ26784" s="835">
        <v>41182</v>
      </c>
      <c r="AK26784" s="831">
        <v>367084945</v>
      </c>
    </row>
    <row r="26785" spans="32:37">
      <c r="AF26785" s="831" t="s">
        <v>10524</v>
      </c>
      <c r="AG26785" s="831" t="s">
        <v>2674</v>
      </c>
      <c r="AH26785" s="831" t="s">
        <v>370</v>
      </c>
      <c r="AI26785" s="831">
        <v>0</v>
      </c>
      <c r="AJ26785" s="835">
        <v>41182</v>
      </c>
      <c r="AK26785" s="831">
        <v>456586970</v>
      </c>
    </row>
    <row r="26786" spans="32:37">
      <c r="AF26786" s="831" t="s">
        <v>10525</v>
      </c>
      <c r="AG26786" s="831" t="s">
        <v>2674</v>
      </c>
      <c r="AH26786" s="831" t="s">
        <v>126</v>
      </c>
      <c r="AI26786" s="831">
        <v>0</v>
      </c>
      <c r="AJ26786" s="835">
        <v>41182</v>
      </c>
      <c r="AK26786" s="831">
        <v>97409403</v>
      </c>
    </row>
    <row r="26787" spans="32:37">
      <c r="AF26787" s="831" t="s">
        <v>10526</v>
      </c>
      <c r="AG26787" s="831" t="s">
        <v>2674</v>
      </c>
      <c r="AH26787" s="831" t="s">
        <v>268</v>
      </c>
      <c r="AI26787" s="831">
        <v>0</v>
      </c>
      <c r="AJ26787" s="835">
        <v>41182</v>
      </c>
      <c r="AK26787" s="831">
        <v>12086480</v>
      </c>
    </row>
    <row r="26788" spans="32:37">
      <c r="AF26788" s="831" t="s">
        <v>10527</v>
      </c>
      <c r="AG26788" s="831" t="s">
        <v>2674</v>
      </c>
      <c r="AH26788" s="831" t="s">
        <v>547</v>
      </c>
      <c r="AI26788" s="831">
        <v>0</v>
      </c>
      <c r="AJ26788" s="835">
        <v>41182</v>
      </c>
      <c r="AK26788" s="831">
        <v>0</v>
      </c>
    </row>
    <row r="26789" spans="32:37">
      <c r="AF26789" s="831" t="s">
        <v>10528</v>
      </c>
      <c r="AG26789" s="831" t="s">
        <v>2674</v>
      </c>
      <c r="AH26789" s="831" t="s">
        <v>548</v>
      </c>
      <c r="AI26789" s="831">
        <v>0</v>
      </c>
      <c r="AJ26789" s="835">
        <v>41182</v>
      </c>
      <c r="AK26789" s="831">
        <v>0</v>
      </c>
    </row>
    <row r="26790" spans="32:37">
      <c r="AF26790" s="831" t="s">
        <v>10529</v>
      </c>
      <c r="AG26790" s="831" t="s">
        <v>2674</v>
      </c>
      <c r="AH26790" s="831" t="s">
        <v>549</v>
      </c>
      <c r="AI26790" s="831">
        <v>0</v>
      </c>
      <c r="AJ26790" s="835">
        <v>41182</v>
      </c>
      <c r="AK26790" s="831">
        <v>0</v>
      </c>
    </row>
    <row r="26791" spans="32:37">
      <c r="AF26791" s="831" t="s">
        <v>10530</v>
      </c>
      <c r="AG26791" s="831" t="s">
        <v>2674</v>
      </c>
      <c r="AH26791" s="831" t="s">
        <v>192</v>
      </c>
      <c r="AI26791" s="831">
        <v>0</v>
      </c>
      <c r="AJ26791" s="835">
        <v>41182</v>
      </c>
      <c r="AK26791" s="831">
        <v>-9429800</v>
      </c>
    </row>
    <row r="26792" spans="32:37">
      <c r="AF26792" s="831" t="s">
        <v>10531</v>
      </c>
      <c r="AG26792" s="831" t="s">
        <v>2674</v>
      </c>
      <c r="AH26792" s="831" t="s">
        <v>558</v>
      </c>
      <c r="AI26792" s="831">
        <v>0</v>
      </c>
      <c r="AJ26792" s="835">
        <v>41182</v>
      </c>
      <c r="AK26792" s="831">
        <v>359177567</v>
      </c>
    </row>
    <row r="26793" spans="32:37">
      <c r="AF26793" s="831" t="s">
        <v>10532</v>
      </c>
      <c r="AG26793" s="831" t="s">
        <v>2674</v>
      </c>
      <c r="AH26793" s="831" t="s">
        <v>65</v>
      </c>
      <c r="AI26793" s="831">
        <v>0</v>
      </c>
      <c r="AJ26793" s="835">
        <v>41182</v>
      </c>
      <c r="AK26793" s="831">
        <v>71268198</v>
      </c>
    </row>
    <row r="26794" spans="32:37">
      <c r="AF26794" s="831" t="s">
        <v>10533</v>
      </c>
      <c r="AG26794" s="831" t="s">
        <v>2674</v>
      </c>
      <c r="AH26794" s="831" t="s">
        <v>89</v>
      </c>
      <c r="AI26794" s="831">
        <v>0</v>
      </c>
      <c r="AJ26794" s="835">
        <v>41182</v>
      </c>
      <c r="AK26794" s="831">
        <v>122822</v>
      </c>
    </row>
    <row r="26795" spans="32:37">
      <c r="AF26795" s="831" t="s">
        <v>10534</v>
      </c>
      <c r="AG26795" s="831" t="s">
        <v>2674</v>
      </c>
      <c r="AH26795" s="831" t="s">
        <v>557</v>
      </c>
      <c r="AI26795" s="831">
        <v>0</v>
      </c>
      <c r="AJ26795" s="835">
        <v>41182</v>
      </c>
      <c r="AK26795" s="831">
        <v>124710</v>
      </c>
    </row>
    <row r="26796" spans="32:37">
      <c r="AF26796" s="831" t="s">
        <v>10535</v>
      </c>
      <c r="AG26796" s="831" t="s">
        <v>2674</v>
      </c>
      <c r="AH26796" s="831" t="s">
        <v>29</v>
      </c>
      <c r="AI26796" s="831">
        <v>0</v>
      </c>
      <c r="AJ26796" s="835">
        <v>41182</v>
      </c>
      <c r="AK26796" s="831">
        <v>2101787</v>
      </c>
    </row>
    <row r="26797" spans="32:37">
      <c r="AF26797" s="831" t="s">
        <v>10536</v>
      </c>
      <c r="AG26797" s="831" t="s">
        <v>2674</v>
      </c>
      <c r="AH26797" s="831" t="s">
        <v>2688</v>
      </c>
      <c r="AI26797" s="831">
        <v>0</v>
      </c>
      <c r="AJ26797" s="835">
        <v>41182</v>
      </c>
      <c r="AK26797" s="831">
        <v>2502472</v>
      </c>
    </row>
    <row r="26798" spans="32:37">
      <c r="AF26798" s="831" t="s">
        <v>10537</v>
      </c>
      <c r="AG26798" s="831" t="s">
        <v>2674</v>
      </c>
      <c r="AH26798" s="831" t="s">
        <v>556</v>
      </c>
      <c r="AI26798" s="831">
        <v>0</v>
      </c>
      <c r="AJ26798" s="835">
        <v>41182</v>
      </c>
      <c r="AK26798" s="831">
        <v>902857</v>
      </c>
    </row>
    <row r="26799" spans="32:37">
      <c r="AF26799" s="831" t="s">
        <v>10538</v>
      </c>
      <c r="AG26799" s="831" t="s">
        <v>2674</v>
      </c>
      <c r="AH26799" s="831" t="s">
        <v>555</v>
      </c>
      <c r="AI26799" s="831">
        <v>0</v>
      </c>
      <c r="AJ26799" s="835">
        <v>41182</v>
      </c>
      <c r="AK26799" s="831">
        <v>230223270</v>
      </c>
    </row>
    <row r="26800" spans="32:37">
      <c r="AF26800" s="831" t="s">
        <v>10539</v>
      </c>
      <c r="AG26800" s="831" t="s">
        <v>2674</v>
      </c>
      <c r="AH26800" s="831" t="s">
        <v>554</v>
      </c>
      <c r="AI26800" s="831">
        <v>0</v>
      </c>
      <c r="AJ26800" s="835">
        <v>41182</v>
      </c>
      <c r="AK26800" s="831">
        <v>219562790</v>
      </c>
    </row>
    <row r="26801" spans="32:37">
      <c r="AF26801" s="831" t="s">
        <v>10540</v>
      </c>
      <c r="AG26801" s="831" t="s">
        <v>2674</v>
      </c>
      <c r="AH26801" s="831" t="s">
        <v>553</v>
      </c>
      <c r="AI26801" s="831">
        <v>0</v>
      </c>
      <c r="AJ26801" s="835">
        <v>41182</v>
      </c>
      <c r="AK26801" s="831">
        <v>0</v>
      </c>
    </row>
    <row r="26802" spans="32:37">
      <c r="AF26802" s="831" t="s">
        <v>10541</v>
      </c>
      <c r="AG26802" s="831" t="s">
        <v>2674</v>
      </c>
      <c r="AH26802" s="831" t="s">
        <v>552</v>
      </c>
      <c r="AI26802" s="831">
        <v>0</v>
      </c>
      <c r="AJ26802" s="835">
        <v>41182</v>
      </c>
      <c r="AK26802" s="831">
        <v>0</v>
      </c>
    </row>
    <row r="26803" spans="32:37">
      <c r="AF26803" s="831" t="s">
        <v>10542</v>
      </c>
      <c r="AG26803" s="831" t="s">
        <v>2674</v>
      </c>
      <c r="AH26803" s="831" t="s">
        <v>551</v>
      </c>
      <c r="AI26803" s="831">
        <v>0</v>
      </c>
      <c r="AJ26803" s="835">
        <v>41182</v>
      </c>
      <c r="AK26803" s="831">
        <v>1960032</v>
      </c>
    </row>
    <row r="26804" spans="32:37">
      <c r="AF26804" s="831" t="s">
        <v>10543</v>
      </c>
      <c r="AG26804" s="831" t="s">
        <v>2674</v>
      </c>
      <c r="AH26804" s="831" t="s">
        <v>550</v>
      </c>
      <c r="AI26804" s="831">
        <v>0</v>
      </c>
      <c r="AJ26804" s="835">
        <v>41182</v>
      </c>
      <c r="AK26804" s="831">
        <v>95414973</v>
      </c>
    </row>
    <row r="26805" spans="32:37">
      <c r="AF26805" s="831" t="s">
        <v>10544</v>
      </c>
      <c r="AG26805" s="831" t="s">
        <v>2674</v>
      </c>
      <c r="AH26805" s="831" t="s">
        <v>562</v>
      </c>
      <c r="AI26805" s="831">
        <v>0</v>
      </c>
      <c r="AJ26805" s="835">
        <v>41182</v>
      </c>
      <c r="AK26805" s="831">
        <v>0.78464999999999996</v>
      </c>
    </row>
    <row r="26806" spans="32:37">
      <c r="AF26806" s="831" t="s">
        <v>10545</v>
      </c>
      <c r="AG26806" s="831" t="s">
        <v>2674</v>
      </c>
      <c r="AH26806" s="831" t="s">
        <v>2698</v>
      </c>
      <c r="AI26806" s="831">
        <v>0</v>
      </c>
      <c r="AJ26806" s="835">
        <v>41182</v>
      </c>
      <c r="AK26806" s="831">
        <v>0.78449999999999998</v>
      </c>
    </row>
    <row r="26807" spans="32:37">
      <c r="AF26807" s="831" t="s">
        <v>10546</v>
      </c>
      <c r="AG26807" s="831" t="s">
        <v>2674</v>
      </c>
      <c r="AH26807" s="831" t="s">
        <v>560</v>
      </c>
      <c r="AI26807" s="831">
        <v>0</v>
      </c>
      <c r="AJ26807" s="835">
        <v>41182</v>
      </c>
      <c r="AK26807" s="831">
        <v>0.78534999999999999</v>
      </c>
    </row>
    <row r="26808" spans="32:37">
      <c r="AF26808" s="831" t="s">
        <v>10547</v>
      </c>
      <c r="AG26808" s="831" t="s">
        <v>2674</v>
      </c>
      <c r="AH26808" s="831" t="s">
        <v>559</v>
      </c>
      <c r="AI26808" s="831">
        <v>0</v>
      </c>
      <c r="AJ26808" s="835">
        <v>41182</v>
      </c>
      <c r="AK26808" s="831">
        <v>0.78557083333333333</v>
      </c>
    </row>
    <row r="26809" spans="32:37">
      <c r="AF26809" s="831" t="s">
        <v>10548</v>
      </c>
      <c r="AG26809" s="831" t="s">
        <v>2674</v>
      </c>
      <c r="AH26809" s="831" t="s">
        <v>568</v>
      </c>
      <c r="AI26809" s="831">
        <v>0</v>
      </c>
      <c r="AJ26809" s="835">
        <v>41182</v>
      </c>
      <c r="AK26809" s="831">
        <v>0</v>
      </c>
    </row>
    <row r="26810" spans="32:37">
      <c r="AF26810" s="831" t="s">
        <v>10549</v>
      </c>
      <c r="AG26810" s="831" t="s">
        <v>2674</v>
      </c>
      <c r="AH26810" s="831" t="s">
        <v>569</v>
      </c>
      <c r="AI26810" s="831">
        <v>0</v>
      </c>
      <c r="AJ26810" s="835">
        <v>41182</v>
      </c>
      <c r="AK26810" s="831">
        <v>0</v>
      </c>
    </row>
    <row r="26811" spans="32:37">
      <c r="AF26811" s="831" t="s">
        <v>10550</v>
      </c>
      <c r="AG26811" s="831" t="s">
        <v>2674</v>
      </c>
      <c r="AH26811" s="831" t="s">
        <v>570</v>
      </c>
      <c r="AI26811" s="831">
        <v>0</v>
      </c>
      <c r="AJ26811" s="835">
        <v>41182</v>
      </c>
      <c r="AK26811" s="831">
        <v>0</v>
      </c>
    </row>
    <row r="26812" spans="32:37">
      <c r="AF26812" s="831" t="s">
        <v>10551</v>
      </c>
      <c r="AG26812" s="831" t="s">
        <v>2674</v>
      </c>
      <c r="AH26812" s="831" t="s">
        <v>571</v>
      </c>
      <c r="AI26812" s="831">
        <v>0</v>
      </c>
      <c r="AJ26812" s="835">
        <v>41182</v>
      </c>
      <c r="AK26812" s="831">
        <v>0</v>
      </c>
    </row>
    <row r="26813" spans="32:37">
      <c r="AF26813" s="831" t="s">
        <v>10552</v>
      </c>
      <c r="AG26813" s="831" t="s">
        <v>2674</v>
      </c>
      <c r="AH26813" s="831" t="s">
        <v>573</v>
      </c>
      <c r="AI26813" s="831">
        <v>0</v>
      </c>
      <c r="AJ26813" s="835">
        <v>41182</v>
      </c>
      <c r="AK26813" s="831">
        <v>0</v>
      </c>
    </row>
    <row r="26814" spans="32:37">
      <c r="AF26814" s="831" t="s">
        <v>10553</v>
      </c>
      <c r="AG26814" s="831" t="s">
        <v>2674</v>
      </c>
      <c r="AH26814" s="831" t="s">
        <v>574</v>
      </c>
      <c r="AI26814" s="831">
        <v>0</v>
      </c>
      <c r="AJ26814" s="835">
        <v>41182</v>
      </c>
      <c r="AK26814" s="831">
        <v>0</v>
      </c>
    </row>
    <row r="26815" spans="32:37">
      <c r="AF26815" s="831" t="s">
        <v>10554</v>
      </c>
      <c r="AG26815" s="831" t="s">
        <v>2674</v>
      </c>
      <c r="AH26815" s="831" t="s">
        <v>575</v>
      </c>
      <c r="AI26815" s="831">
        <v>0</v>
      </c>
      <c r="AJ26815" s="835">
        <v>41182</v>
      </c>
      <c r="AK26815" s="831">
        <v>0</v>
      </c>
    </row>
    <row r="26816" spans="32:37">
      <c r="AF26816" s="831" t="s">
        <v>10555</v>
      </c>
      <c r="AG26816" s="831" t="s">
        <v>2674</v>
      </c>
      <c r="AH26816" s="831" t="s">
        <v>576</v>
      </c>
      <c r="AI26816" s="831">
        <v>0</v>
      </c>
      <c r="AJ26816" s="835">
        <v>41182</v>
      </c>
      <c r="AK26816" s="831">
        <v>0</v>
      </c>
    </row>
    <row r="26817" spans="32:37">
      <c r="AF26817" s="831" t="s">
        <v>10556</v>
      </c>
      <c r="AG26817" s="831" t="s">
        <v>2674</v>
      </c>
      <c r="AH26817" s="831" t="s">
        <v>572</v>
      </c>
      <c r="AI26817" s="831">
        <v>0</v>
      </c>
      <c r="AJ26817" s="835">
        <v>41182</v>
      </c>
      <c r="AK26817" s="831">
        <v>-2146826246</v>
      </c>
    </row>
    <row r="26818" spans="32:37">
      <c r="AF26818" s="831" t="s">
        <v>10557</v>
      </c>
      <c r="AG26818" s="831" t="s">
        <v>2674</v>
      </c>
      <c r="AH26818" s="831" t="s">
        <v>577</v>
      </c>
      <c r="AI26818" s="831">
        <v>0</v>
      </c>
      <c r="AJ26818" s="835">
        <v>41182</v>
      </c>
      <c r="AK26818" s="831">
        <v>-2146826246</v>
      </c>
    </row>
    <row r="26819" spans="32:37">
      <c r="AF26819" s="831" t="s">
        <v>10558</v>
      </c>
      <c r="AG26819" s="831" t="s">
        <v>2674</v>
      </c>
      <c r="AH26819" s="831" t="s">
        <v>3042</v>
      </c>
      <c r="AI26819" s="831">
        <v>0</v>
      </c>
      <c r="AJ26819" s="835">
        <v>41182</v>
      </c>
      <c r="AK26819" s="831">
        <v>-2146826246</v>
      </c>
    </row>
    <row r="26820" spans="32:37">
      <c r="AF26820" s="831" t="s">
        <v>10559</v>
      </c>
      <c r="AG26820" s="831" t="s">
        <v>2674</v>
      </c>
      <c r="AH26820" s="831" t="s">
        <v>3044</v>
      </c>
      <c r="AI26820" s="831">
        <v>0</v>
      </c>
      <c r="AJ26820" s="835">
        <v>41182</v>
      </c>
      <c r="AK26820" s="831">
        <v>-2146826246</v>
      </c>
    </row>
    <row r="26821" spans="32:37">
      <c r="AF26821" s="831" t="s">
        <v>10560</v>
      </c>
      <c r="AG26821" s="831" t="s">
        <v>2674</v>
      </c>
      <c r="AH26821" s="831" t="s">
        <v>580</v>
      </c>
      <c r="AI26821" s="831">
        <v>0</v>
      </c>
      <c r="AJ26821" s="835">
        <v>41182</v>
      </c>
      <c r="AK26821" s="831">
        <v>-2146826246</v>
      </c>
    </row>
    <row r="26822" spans="32:37">
      <c r="AF26822" s="831" t="s">
        <v>10561</v>
      </c>
      <c r="AG26822" s="831" t="s">
        <v>2674</v>
      </c>
      <c r="AH26822" s="831" t="s">
        <v>581</v>
      </c>
      <c r="AI26822" s="831">
        <v>0</v>
      </c>
      <c r="AJ26822" s="835">
        <v>41182</v>
      </c>
      <c r="AK26822" s="831">
        <v>-2146826246</v>
      </c>
    </row>
    <row r="26823" spans="32:37">
      <c r="AF26823" s="831" t="s">
        <v>10562</v>
      </c>
      <c r="AG26823" s="831" t="s">
        <v>2674</v>
      </c>
      <c r="AH26823" s="831" t="s">
        <v>105</v>
      </c>
      <c r="AI26823" s="831">
        <v>0</v>
      </c>
      <c r="AJ26823" s="835">
        <v>41182</v>
      </c>
      <c r="AK26823" s="831">
        <v>185303362</v>
      </c>
    </row>
    <row r="26824" spans="32:37">
      <c r="AF26824" s="831" t="s">
        <v>10563</v>
      </c>
      <c r="AG26824" s="831" t="s">
        <v>2674</v>
      </c>
      <c r="AH26824" s="831" t="s">
        <v>3049</v>
      </c>
      <c r="AI26824" s="831">
        <v>0</v>
      </c>
      <c r="AJ26824" s="835">
        <v>41182</v>
      </c>
      <c r="AK26824" s="831">
        <v>347265603</v>
      </c>
    </row>
    <row r="26825" spans="32:37">
      <c r="AF26825" s="831" t="s">
        <v>10564</v>
      </c>
      <c r="AG26825" s="831" t="s">
        <v>2674</v>
      </c>
      <c r="AH26825" s="831" t="s">
        <v>103</v>
      </c>
      <c r="AI26825" s="831">
        <v>0</v>
      </c>
      <c r="AJ26825" s="835">
        <v>41182</v>
      </c>
      <c r="AK26825" s="831">
        <v>161962241</v>
      </c>
    </row>
    <row r="26826" spans="32:37">
      <c r="AF26826" s="831" t="s">
        <v>10565</v>
      </c>
      <c r="AG26826" s="831" t="s">
        <v>2674</v>
      </c>
      <c r="AH26826" s="831" t="s">
        <v>182</v>
      </c>
      <c r="AI26826" s="831">
        <v>0</v>
      </c>
      <c r="AJ26826" s="835">
        <v>41182</v>
      </c>
      <c r="AK26826" s="831">
        <v>49982530.666666664</v>
      </c>
    </row>
    <row r="26827" spans="32:37">
      <c r="AF26827" s="831" t="s">
        <v>10566</v>
      </c>
      <c r="AG26827" s="831" t="s">
        <v>2674</v>
      </c>
      <c r="AH26827" s="831" t="s">
        <v>6600</v>
      </c>
      <c r="AI26827" s="831">
        <v>0</v>
      </c>
      <c r="AJ26827" s="835">
        <v>41182</v>
      </c>
      <c r="AK26827" s="831">
        <v>-2146826246</v>
      </c>
    </row>
    <row r="26828" spans="32:37">
      <c r="AF26828" s="831" t="s">
        <v>10567</v>
      </c>
      <c r="AG26828" s="831" t="s">
        <v>2674</v>
      </c>
      <c r="AH26828" s="831" t="s">
        <v>6602</v>
      </c>
      <c r="AI26828" s="831">
        <v>0</v>
      </c>
      <c r="AJ26828" s="835">
        <v>41182</v>
      </c>
      <c r="AK26828" s="831">
        <v>12086480</v>
      </c>
    </row>
    <row r="26829" spans="32:37">
      <c r="AF26829" s="831" t="s">
        <v>10568</v>
      </c>
      <c r="AG26829" s="831" t="s">
        <v>2674</v>
      </c>
      <c r="AH26829" s="831" t="s">
        <v>650</v>
      </c>
      <c r="AI26829" s="831">
        <v>0</v>
      </c>
      <c r="AJ26829" s="835">
        <v>41182</v>
      </c>
      <c r="AK26829" s="831">
        <v>0</v>
      </c>
    </row>
    <row r="26830" spans="32:37">
      <c r="AF26830" s="831" t="s">
        <v>10569</v>
      </c>
      <c r="AG26830" s="831" t="s">
        <v>2674</v>
      </c>
      <c r="AH26830" s="831" t="s">
        <v>655</v>
      </c>
      <c r="AI26830" s="831">
        <v>0</v>
      </c>
      <c r="AJ26830" s="835">
        <v>41182</v>
      </c>
      <c r="AK26830" s="831">
        <v>1640278</v>
      </c>
    </row>
    <row r="26831" spans="32:37">
      <c r="AF26831" s="831" t="s">
        <v>10570</v>
      </c>
      <c r="AG26831" s="831" t="s">
        <v>2674</v>
      </c>
      <c r="AH26831" s="831" t="s">
        <v>546</v>
      </c>
      <c r="AI26831" s="831">
        <v>0</v>
      </c>
      <c r="AJ26831" s="835">
        <v>41213</v>
      </c>
      <c r="AK26831" s="831">
        <v>376404251</v>
      </c>
    </row>
    <row r="26832" spans="32:37">
      <c r="AF26832" s="831" t="s">
        <v>10571</v>
      </c>
      <c r="AG26832" s="831" t="s">
        <v>2674</v>
      </c>
      <c r="AH26832" s="831" t="s">
        <v>370</v>
      </c>
      <c r="AI26832" s="831">
        <v>0</v>
      </c>
      <c r="AJ26832" s="835">
        <v>41213</v>
      </c>
      <c r="AK26832" s="831">
        <v>453336865</v>
      </c>
    </row>
    <row r="26833" spans="32:37">
      <c r="AF26833" s="831" t="s">
        <v>10572</v>
      </c>
      <c r="AG26833" s="831" t="s">
        <v>2674</v>
      </c>
      <c r="AH26833" s="831" t="s">
        <v>126</v>
      </c>
      <c r="AI26833" s="831">
        <v>0</v>
      </c>
      <c r="AJ26833" s="835">
        <v>41213</v>
      </c>
      <c r="AK26833" s="831">
        <v>99431431</v>
      </c>
    </row>
    <row r="26834" spans="32:37">
      <c r="AF26834" s="831" t="s">
        <v>10573</v>
      </c>
      <c r="AG26834" s="831" t="s">
        <v>2674</v>
      </c>
      <c r="AH26834" s="831" t="s">
        <v>268</v>
      </c>
      <c r="AI26834" s="831">
        <v>0</v>
      </c>
      <c r="AJ26834" s="835">
        <v>41213</v>
      </c>
      <c r="AK26834" s="831">
        <v>14108507</v>
      </c>
    </row>
    <row r="26835" spans="32:37">
      <c r="AF26835" s="831" t="s">
        <v>10574</v>
      </c>
      <c r="AG26835" s="831" t="s">
        <v>2674</v>
      </c>
      <c r="AH26835" s="831" t="s">
        <v>547</v>
      </c>
      <c r="AI26835" s="831">
        <v>0</v>
      </c>
      <c r="AJ26835" s="835">
        <v>41213</v>
      </c>
      <c r="AK26835" s="831">
        <v>0</v>
      </c>
    </row>
    <row r="26836" spans="32:37">
      <c r="AF26836" s="831" t="s">
        <v>10575</v>
      </c>
      <c r="AG26836" s="831" t="s">
        <v>2674</v>
      </c>
      <c r="AH26836" s="831" t="s">
        <v>548</v>
      </c>
      <c r="AI26836" s="831">
        <v>0</v>
      </c>
      <c r="AJ26836" s="835">
        <v>41213</v>
      </c>
      <c r="AK26836" s="831">
        <v>0</v>
      </c>
    </row>
    <row r="26837" spans="32:37">
      <c r="AF26837" s="831" t="s">
        <v>10576</v>
      </c>
      <c r="AG26837" s="831" t="s">
        <v>2674</v>
      </c>
      <c r="AH26837" s="831" t="s">
        <v>549</v>
      </c>
      <c r="AI26837" s="831">
        <v>0</v>
      </c>
      <c r="AJ26837" s="835">
        <v>41213</v>
      </c>
      <c r="AK26837" s="831">
        <v>0</v>
      </c>
    </row>
    <row r="26838" spans="32:37">
      <c r="AF26838" s="831" t="s">
        <v>10577</v>
      </c>
      <c r="AG26838" s="831" t="s">
        <v>2674</v>
      </c>
      <c r="AH26838" s="831" t="s">
        <v>192</v>
      </c>
      <c r="AI26838" s="831">
        <v>0</v>
      </c>
      <c r="AJ26838" s="835">
        <v>41213</v>
      </c>
      <c r="AK26838" s="831">
        <v>-9860253</v>
      </c>
    </row>
    <row r="26839" spans="32:37">
      <c r="AF26839" s="831" t="s">
        <v>10578</v>
      </c>
      <c r="AG26839" s="831" t="s">
        <v>2674</v>
      </c>
      <c r="AH26839" s="831" t="s">
        <v>558</v>
      </c>
      <c r="AI26839" s="831">
        <v>0</v>
      </c>
      <c r="AJ26839" s="835">
        <v>41213</v>
      </c>
      <c r="AK26839" s="831">
        <v>353905434</v>
      </c>
    </row>
    <row r="26840" spans="32:37">
      <c r="AF26840" s="831" t="s">
        <v>10579</v>
      </c>
      <c r="AG26840" s="831" t="s">
        <v>2674</v>
      </c>
      <c r="AH26840" s="831" t="s">
        <v>65</v>
      </c>
      <c r="AI26840" s="831">
        <v>0</v>
      </c>
      <c r="AJ26840" s="835">
        <v>41213</v>
      </c>
      <c r="AK26840" s="831">
        <v>80308330</v>
      </c>
    </row>
    <row r="26841" spans="32:37">
      <c r="AF26841" s="831" t="s">
        <v>10580</v>
      </c>
      <c r="AG26841" s="831" t="s">
        <v>2674</v>
      </c>
      <c r="AH26841" s="831" t="s">
        <v>89</v>
      </c>
      <c r="AI26841" s="831">
        <v>0</v>
      </c>
      <c r="AJ26841" s="835">
        <v>41213</v>
      </c>
      <c r="AK26841" s="831">
        <v>123024</v>
      </c>
    </row>
    <row r="26842" spans="32:37">
      <c r="AF26842" s="831" t="s">
        <v>10581</v>
      </c>
      <c r="AG26842" s="831" t="s">
        <v>2674</v>
      </c>
      <c r="AH26842" s="831" t="s">
        <v>557</v>
      </c>
      <c r="AI26842" s="831">
        <v>0</v>
      </c>
      <c r="AJ26842" s="835">
        <v>41213</v>
      </c>
      <c r="AK26842" s="831">
        <v>124999</v>
      </c>
    </row>
    <row r="26843" spans="32:37">
      <c r="AF26843" s="831" t="s">
        <v>10582</v>
      </c>
      <c r="AG26843" s="831" t="s">
        <v>2674</v>
      </c>
      <c r="AH26843" s="831" t="s">
        <v>29</v>
      </c>
      <c r="AI26843" s="831">
        <v>0</v>
      </c>
      <c r="AJ26843" s="835">
        <v>41213</v>
      </c>
      <c r="AK26843" s="831">
        <v>2261339</v>
      </c>
    </row>
    <row r="26844" spans="32:37">
      <c r="AF26844" s="831" t="s">
        <v>10583</v>
      </c>
      <c r="AG26844" s="831" t="s">
        <v>2674</v>
      </c>
      <c r="AH26844" s="831" t="s">
        <v>2688</v>
      </c>
      <c r="AI26844" s="831">
        <v>0</v>
      </c>
      <c r="AJ26844" s="835">
        <v>41213</v>
      </c>
      <c r="AK26844" s="831">
        <v>2480728</v>
      </c>
    </row>
    <row r="26845" spans="32:37">
      <c r="AF26845" s="831" t="s">
        <v>10584</v>
      </c>
      <c r="AG26845" s="831" t="s">
        <v>2674</v>
      </c>
      <c r="AH26845" s="831" t="s">
        <v>556</v>
      </c>
      <c r="AI26845" s="831">
        <v>0</v>
      </c>
      <c r="AJ26845" s="835">
        <v>41213</v>
      </c>
      <c r="AK26845" s="831">
        <v>902857</v>
      </c>
    </row>
    <row r="26846" spans="32:37">
      <c r="AF26846" s="831" t="s">
        <v>10585</v>
      </c>
      <c r="AG26846" s="831" t="s">
        <v>2674</v>
      </c>
      <c r="AH26846" s="831" t="s">
        <v>555</v>
      </c>
      <c r="AI26846" s="831">
        <v>0</v>
      </c>
      <c r="AJ26846" s="835">
        <v>41213</v>
      </c>
      <c r="AK26846" s="831">
        <v>223326560</v>
      </c>
    </row>
    <row r="26847" spans="32:37">
      <c r="AF26847" s="831" t="s">
        <v>10586</v>
      </c>
      <c r="AG26847" s="831" t="s">
        <v>2674</v>
      </c>
      <c r="AH26847" s="831" t="s">
        <v>554</v>
      </c>
      <c r="AI26847" s="831">
        <v>0</v>
      </c>
      <c r="AJ26847" s="835">
        <v>41213</v>
      </c>
      <c r="AK26847" s="831">
        <v>217988230</v>
      </c>
    </row>
    <row r="26848" spans="32:37">
      <c r="AF26848" s="831" t="s">
        <v>10587</v>
      </c>
      <c r="AG26848" s="831" t="s">
        <v>2674</v>
      </c>
      <c r="AH26848" s="831" t="s">
        <v>553</v>
      </c>
      <c r="AI26848" s="831">
        <v>0</v>
      </c>
      <c r="AJ26848" s="835">
        <v>41213</v>
      </c>
      <c r="AK26848" s="831">
        <v>0</v>
      </c>
    </row>
    <row r="26849" spans="32:37">
      <c r="AF26849" s="831" t="s">
        <v>10588</v>
      </c>
      <c r="AG26849" s="831" t="s">
        <v>2674</v>
      </c>
      <c r="AH26849" s="831" t="s">
        <v>552</v>
      </c>
      <c r="AI26849" s="831">
        <v>0</v>
      </c>
      <c r="AJ26849" s="835">
        <v>41213</v>
      </c>
      <c r="AK26849" s="831">
        <v>0</v>
      </c>
    </row>
    <row r="26850" spans="32:37">
      <c r="AF26850" s="831" t="s">
        <v>10589</v>
      </c>
      <c r="AG26850" s="831" t="s">
        <v>2674</v>
      </c>
      <c r="AH26850" s="831" t="s">
        <v>551</v>
      </c>
      <c r="AI26850" s="831">
        <v>0</v>
      </c>
      <c r="AJ26850" s="835">
        <v>41213</v>
      </c>
      <c r="AK26850" s="831">
        <v>2033933</v>
      </c>
    </row>
    <row r="26851" spans="32:37">
      <c r="AF26851" s="831" t="s">
        <v>10590</v>
      </c>
      <c r="AG26851" s="831" t="s">
        <v>2674</v>
      </c>
      <c r="AH26851" s="831" t="s">
        <v>550</v>
      </c>
      <c r="AI26851" s="831">
        <v>0</v>
      </c>
      <c r="AJ26851" s="835">
        <v>41213</v>
      </c>
      <c r="AK26851" s="831">
        <v>97409403</v>
      </c>
    </row>
    <row r="26852" spans="32:37">
      <c r="AF26852" s="831" t="s">
        <v>10591</v>
      </c>
      <c r="AG26852" s="831" t="s">
        <v>2674</v>
      </c>
      <c r="AH26852" s="831" t="s">
        <v>562</v>
      </c>
      <c r="AI26852" s="831">
        <v>0</v>
      </c>
      <c r="AJ26852" s="835">
        <v>41213</v>
      </c>
      <c r="AK26852" s="831">
        <v>0.78434999999999999</v>
      </c>
    </row>
    <row r="26853" spans="32:37">
      <c r="AF26853" s="831" t="s">
        <v>10592</v>
      </c>
      <c r="AG26853" s="831" t="s">
        <v>2674</v>
      </c>
      <c r="AH26853" s="831" t="s">
        <v>2698</v>
      </c>
      <c r="AI26853" s="831">
        <v>0</v>
      </c>
      <c r="AJ26853" s="835">
        <v>41213</v>
      </c>
      <c r="AK26853" s="831">
        <v>0.78464999999999996</v>
      </c>
    </row>
    <row r="26854" spans="32:37">
      <c r="AF26854" s="831" t="s">
        <v>10593</v>
      </c>
      <c r="AG26854" s="831" t="s">
        <v>2674</v>
      </c>
      <c r="AH26854" s="831" t="s">
        <v>560</v>
      </c>
      <c r="AI26854" s="831">
        <v>0</v>
      </c>
      <c r="AJ26854" s="835">
        <v>41213</v>
      </c>
      <c r="AK26854" s="831">
        <v>0.78525</v>
      </c>
    </row>
    <row r="26855" spans="32:37">
      <c r="AF26855" s="831" t="s">
        <v>10594</v>
      </c>
      <c r="AG26855" s="831" t="s">
        <v>2674</v>
      </c>
      <c r="AH26855" s="831" t="s">
        <v>559</v>
      </c>
      <c r="AI26855" s="831">
        <v>0</v>
      </c>
      <c r="AJ26855" s="835">
        <v>41213</v>
      </c>
      <c r="AK26855" s="831">
        <v>0.78536666666666666</v>
      </c>
    </row>
    <row r="26856" spans="32:37">
      <c r="AF26856" s="831" t="s">
        <v>10595</v>
      </c>
      <c r="AG26856" s="831" t="s">
        <v>2674</v>
      </c>
      <c r="AH26856" s="831" t="s">
        <v>568</v>
      </c>
      <c r="AI26856" s="831">
        <v>0</v>
      </c>
      <c r="AJ26856" s="835">
        <v>41213</v>
      </c>
      <c r="AK26856" s="831">
        <v>0</v>
      </c>
    </row>
    <row r="26857" spans="32:37">
      <c r="AF26857" s="831" t="s">
        <v>10596</v>
      </c>
      <c r="AG26857" s="831" t="s">
        <v>2674</v>
      </c>
      <c r="AH26857" s="831" t="s">
        <v>569</v>
      </c>
      <c r="AI26857" s="831">
        <v>0</v>
      </c>
      <c r="AJ26857" s="835">
        <v>41213</v>
      </c>
      <c r="AK26857" s="831">
        <v>0</v>
      </c>
    </row>
    <row r="26858" spans="32:37">
      <c r="AF26858" s="831" t="s">
        <v>10597</v>
      </c>
      <c r="AG26858" s="831" t="s">
        <v>2674</v>
      </c>
      <c r="AH26858" s="831" t="s">
        <v>570</v>
      </c>
      <c r="AI26858" s="831">
        <v>0</v>
      </c>
      <c r="AJ26858" s="835">
        <v>41213</v>
      </c>
      <c r="AK26858" s="831">
        <v>0</v>
      </c>
    </row>
    <row r="26859" spans="32:37">
      <c r="AF26859" s="831" t="s">
        <v>10598</v>
      </c>
      <c r="AG26859" s="831" t="s">
        <v>2674</v>
      </c>
      <c r="AH26859" s="831" t="s">
        <v>571</v>
      </c>
      <c r="AI26859" s="831">
        <v>0</v>
      </c>
      <c r="AJ26859" s="835">
        <v>41213</v>
      </c>
      <c r="AK26859" s="831">
        <v>0</v>
      </c>
    </row>
    <row r="26860" spans="32:37">
      <c r="AF26860" s="831" t="s">
        <v>10599</v>
      </c>
      <c r="AG26860" s="831" t="s">
        <v>2674</v>
      </c>
      <c r="AH26860" s="831" t="s">
        <v>573</v>
      </c>
      <c r="AI26860" s="831">
        <v>0</v>
      </c>
      <c r="AJ26860" s="835">
        <v>41213</v>
      </c>
      <c r="AK26860" s="831">
        <v>0</v>
      </c>
    </row>
    <row r="26861" spans="32:37">
      <c r="AF26861" s="831" t="s">
        <v>10600</v>
      </c>
      <c r="AG26861" s="831" t="s">
        <v>2674</v>
      </c>
      <c r="AH26861" s="831" t="s">
        <v>574</v>
      </c>
      <c r="AI26861" s="831">
        <v>0</v>
      </c>
      <c r="AJ26861" s="835">
        <v>41213</v>
      </c>
      <c r="AK26861" s="831">
        <v>0</v>
      </c>
    </row>
    <row r="26862" spans="32:37">
      <c r="AF26862" s="831" t="s">
        <v>10601</v>
      </c>
      <c r="AG26862" s="831" t="s">
        <v>2674</v>
      </c>
      <c r="AH26862" s="831" t="s">
        <v>575</v>
      </c>
      <c r="AI26862" s="831">
        <v>0</v>
      </c>
      <c r="AJ26862" s="835">
        <v>41213</v>
      </c>
      <c r="AK26862" s="831">
        <v>0</v>
      </c>
    </row>
    <row r="26863" spans="32:37">
      <c r="AF26863" s="831" t="s">
        <v>10602</v>
      </c>
      <c r="AG26863" s="831" t="s">
        <v>2674</v>
      </c>
      <c r="AH26863" s="831" t="s">
        <v>576</v>
      </c>
      <c r="AI26863" s="831">
        <v>0</v>
      </c>
      <c r="AJ26863" s="835">
        <v>41213</v>
      </c>
      <c r="AK26863" s="831">
        <v>0</v>
      </c>
    </row>
    <row r="26864" spans="32:37">
      <c r="AF26864" s="831" t="s">
        <v>10603</v>
      </c>
      <c r="AG26864" s="831" t="s">
        <v>2674</v>
      </c>
      <c r="AH26864" s="831" t="s">
        <v>572</v>
      </c>
      <c r="AI26864" s="831">
        <v>0</v>
      </c>
      <c r="AJ26864" s="835">
        <v>41213</v>
      </c>
      <c r="AK26864" s="831">
        <v>-2146826246</v>
      </c>
    </row>
    <row r="26865" spans="32:37">
      <c r="AF26865" s="831" t="s">
        <v>10604</v>
      </c>
      <c r="AG26865" s="831" t="s">
        <v>2674</v>
      </c>
      <c r="AH26865" s="831" t="s">
        <v>577</v>
      </c>
      <c r="AI26865" s="831">
        <v>0</v>
      </c>
      <c r="AJ26865" s="835">
        <v>41213</v>
      </c>
      <c r="AK26865" s="831">
        <v>-2146826246</v>
      </c>
    </row>
    <row r="26866" spans="32:37">
      <c r="AF26866" s="831" t="s">
        <v>10605</v>
      </c>
      <c r="AG26866" s="831" t="s">
        <v>2674</v>
      </c>
      <c r="AH26866" s="831" t="s">
        <v>3042</v>
      </c>
      <c r="AI26866" s="831">
        <v>0</v>
      </c>
      <c r="AJ26866" s="835">
        <v>41213</v>
      </c>
      <c r="AK26866" s="831">
        <v>-2146826246</v>
      </c>
    </row>
    <row r="26867" spans="32:37">
      <c r="AF26867" s="831" t="s">
        <v>10606</v>
      </c>
      <c r="AG26867" s="831" t="s">
        <v>2674</v>
      </c>
      <c r="AH26867" s="831" t="s">
        <v>3044</v>
      </c>
      <c r="AI26867" s="831">
        <v>0</v>
      </c>
      <c r="AJ26867" s="835">
        <v>41213</v>
      </c>
      <c r="AK26867" s="831">
        <v>-2146826246</v>
      </c>
    </row>
    <row r="26868" spans="32:37">
      <c r="AF26868" s="831" t="s">
        <v>10607</v>
      </c>
      <c r="AG26868" s="831" t="s">
        <v>2674</v>
      </c>
      <c r="AH26868" s="831" t="s">
        <v>580</v>
      </c>
      <c r="AI26868" s="831">
        <v>0</v>
      </c>
      <c r="AJ26868" s="835">
        <v>41213</v>
      </c>
      <c r="AK26868" s="831">
        <v>-2146826246</v>
      </c>
    </row>
    <row r="26869" spans="32:37">
      <c r="AF26869" s="831" t="s">
        <v>10608</v>
      </c>
      <c r="AG26869" s="831" t="s">
        <v>2674</v>
      </c>
      <c r="AH26869" s="831" t="s">
        <v>581</v>
      </c>
      <c r="AI26869" s="831">
        <v>0</v>
      </c>
      <c r="AJ26869" s="835">
        <v>41213</v>
      </c>
      <c r="AK26869" s="831">
        <v>-2146826246</v>
      </c>
    </row>
    <row r="26870" spans="32:37">
      <c r="AF26870" s="831" t="s">
        <v>10609</v>
      </c>
      <c r="AG26870" s="831" t="s">
        <v>2674</v>
      </c>
      <c r="AH26870" s="831" t="s">
        <v>105</v>
      </c>
      <c r="AI26870" s="831">
        <v>0</v>
      </c>
      <c r="AJ26870" s="835">
        <v>41213</v>
      </c>
      <c r="AK26870" s="831">
        <v>184676086</v>
      </c>
    </row>
    <row r="26871" spans="32:37">
      <c r="AF26871" s="831" t="s">
        <v>10610</v>
      </c>
      <c r="AG26871" s="831" t="s">
        <v>2674</v>
      </c>
      <c r="AH26871" s="831" t="s">
        <v>3049</v>
      </c>
      <c r="AI26871" s="831">
        <v>0</v>
      </c>
      <c r="AJ26871" s="835">
        <v>41213</v>
      </c>
      <c r="AK26871" s="831">
        <v>342133447</v>
      </c>
    </row>
    <row r="26872" spans="32:37">
      <c r="AF26872" s="831" t="s">
        <v>10611</v>
      </c>
      <c r="AG26872" s="831" t="s">
        <v>2674</v>
      </c>
      <c r="AH26872" s="831" t="s">
        <v>103</v>
      </c>
      <c r="AI26872" s="831">
        <v>0</v>
      </c>
      <c r="AJ26872" s="835">
        <v>41213</v>
      </c>
      <c r="AK26872" s="831">
        <v>157457361</v>
      </c>
    </row>
    <row r="26873" spans="32:37">
      <c r="AF26873" s="831" t="s">
        <v>10612</v>
      </c>
      <c r="AG26873" s="831" t="s">
        <v>2674</v>
      </c>
      <c r="AH26873" s="831" t="s">
        <v>182</v>
      </c>
      <c r="AI26873" s="831">
        <v>0</v>
      </c>
      <c r="AJ26873" s="835">
        <v>41213</v>
      </c>
      <c r="AK26873" s="831">
        <v>49941625.200000003</v>
      </c>
    </row>
    <row r="26874" spans="32:37">
      <c r="AF26874" s="831" t="s">
        <v>10613</v>
      </c>
      <c r="AG26874" s="831" t="s">
        <v>2674</v>
      </c>
      <c r="AH26874" s="831" t="s">
        <v>6600</v>
      </c>
      <c r="AI26874" s="831">
        <v>0</v>
      </c>
      <c r="AJ26874" s="835">
        <v>41213</v>
      </c>
      <c r="AK26874" s="831">
        <v>-2146826246</v>
      </c>
    </row>
    <row r="26875" spans="32:37">
      <c r="AF26875" s="831" t="s">
        <v>10614</v>
      </c>
      <c r="AG26875" s="831" t="s">
        <v>2674</v>
      </c>
      <c r="AH26875" s="831" t="s">
        <v>6602</v>
      </c>
      <c r="AI26875" s="831">
        <v>0</v>
      </c>
      <c r="AJ26875" s="835">
        <v>41213</v>
      </c>
      <c r="AK26875" s="831">
        <v>14108507</v>
      </c>
    </row>
    <row r="26876" spans="32:37">
      <c r="AF26876" s="831" t="s">
        <v>10615</v>
      </c>
      <c r="AG26876" s="831" t="s">
        <v>2674</v>
      </c>
      <c r="AH26876" s="831" t="s">
        <v>650</v>
      </c>
      <c r="AI26876" s="831">
        <v>0</v>
      </c>
      <c r="AJ26876" s="835">
        <v>41213</v>
      </c>
      <c r="AK26876" s="831">
        <v>0</v>
      </c>
    </row>
    <row r="26877" spans="32:37">
      <c r="AF26877" s="831" t="s">
        <v>10616</v>
      </c>
      <c r="AG26877" s="831" t="s">
        <v>2674</v>
      </c>
      <c r="AH26877" s="831" t="s">
        <v>655</v>
      </c>
      <c r="AI26877" s="831">
        <v>0</v>
      </c>
      <c r="AJ26877" s="835">
        <v>41213</v>
      </c>
      <c r="AK26877" s="831">
        <v>1927116</v>
      </c>
    </row>
    <row r="26878" spans="32:37">
      <c r="AF26878" s="831" t="s">
        <v>10617</v>
      </c>
      <c r="AG26878" s="831" t="s">
        <v>2674</v>
      </c>
      <c r="AH26878" s="831" t="s">
        <v>546</v>
      </c>
      <c r="AI26878" s="831">
        <v>0</v>
      </c>
      <c r="AJ26878" s="835">
        <v>41243</v>
      </c>
      <c r="AK26878" s="831">
        <v>394083786</v>
      </c>
    </row>
    <row r="26879" spans="32:37">
      <c r="AF26879" s="831" t="s">
        <v>10618</v>
      </c>
      <c r="AG26879" s="831" t="s">
        <v>2674</v>
      </c>
      <c r="AH26879" s="831" t="s">
        <v>370</v>
      </c>
      <c r="AI26879" s="831">
        <v>0</v>
      </c>
      <c r="AJ26879" s="835">
        <v>41243</v>
      </c>
      <c r="AK26879" s="831">
        <v>468781857</v>
      </c>
    </row>
    <row r="26880" spans="32:37">
      <c r="AF26880" s="831" t="s">
        <v>10619</v>
      </c>
      <c r="AG26880" s="831" t="s">
        <v>2674</v>
      </c>
      <c r="AH26880" s="831" t="s">
        <v>126</v>
      </c>
      <c r="AI26880" s="831">
        <v>0</v>
      </c>
      <c r="AJ26880" s="835">
        <v>41243</v>
      </c>
      <c r="AK26880" s="831">
        <v>101856827</v>
      </c>
    </row>
    <row r="26881" spans="32:37">
      <c r="AF26881" s="831" t="s">
        <v>10620</v>
      </c>
      <c r="AG26881" s="831" t="s">
        <v>2674</v>
      </c>
      <c r="AH26881" s="831" t="s">
        <v>268</v>
      </c>
      <c r="AI26881" s="831">
        <v>0</v>
      </c>
      <c r="AJ26881" s="835">
        <v>41243</v>
      </c>
      <c r="AK26881" s="831">
        <v>16533903</v>
      </c>
    </row>
    <row r="26882" spans="32:37">
      <c r="AF26882" s="831" t="s">
        <v>10621</v>
      </c>
      <c r="AG26882" s="831" t="s">
        <v>2674</v>
      </c>
      <c r="AH26882" s="831" t="s">
        <v>547</v>
      </c>
      <c r="AI26882" s="831">
        <v>0</v>
      </c>
      <c r="AJ26882" s="835">
        <v>41243</v>
      </c>
      <c r="AK26882" s="831">
        <v>0</v>
      </c>
    </row>
    <row r="26883" spans="32:37">
      <c r="AF26883" s="831" t="s">
        <v>10622</v>
      </c>
      <c r="AG26883" s="831" t="s">
        <v>2674</v>
      </c>
      <c r="AH26883" s="831" t="s">
        <v>548</v>
      </c>
      <c r="AI26883" s="831">
        <v>0</v>
      </c>
      <c r="AJ26883" s="835">
        <v>41243</v>
      </c>
      <c r="AK26883" s="831">
        <v>0</v>
      </c>
    </row>
    <row r="26884" spans="32:37">
      <c r="AF26884" s="831" t="s">
        <v>10623</v>
      </c>
      <c r="AG26884" s="831" t="s">
        <v>2674</v>
      </c>
      <c r="AH26884" s="831" t="s">
        <v>549</v>
      </c>
      <c r="AI26884" s="831">
        <v>0</v>
      </c>
      <c r="AJ26884" s="835">
        <v>41243</v>
      </c>
      <c r="AK26884" s="831">
        <v>0</v>
      </c>
    </row>
    <row r="26885" spans="32:37">
      <c r="AF26885" s="831" t="s">
        <v>10624</v>
      </c>
      <c r="AG26885" s="831" t="s">
        <v>2674</v>
      </c>
      <c r="AH26885" s="831" t="s">
        <v>192</v>
      </c>
      <c r="AI26885" s="831">
        <v>0</v>
      </c>
      <c r="AJ26885" s="835">
        <v>41243</v>
      </c>
      <c r="AK26885" s="831">
        <v>-10079693</v>
      </c>
    </row>
    <row r="26886" spans="32:37">
      <c r="AF26886" s="831" t="s">
        <v>10625</v>
      </c>
      <c r="AG26886" s="831" t="s">
        <v>2674</v>
      </c>
      <c r="AH26886" s="831" t="s">
        <v>558</v>
      </c>
      <c r="AI26886" s="831">
        <v>0</v>
      </c>
      <c r="AJ26886" s="835">
        <v>41243</v>
      </c>
      <c r="AK26886" s="831">
        <v>366925030</v>
      </c>
    </row>
    <row r="26887" spans="32:37">
      <c r="AF26887" s="831" t="s">
        <v>10626</v>
      </c>
      <c r="AG26887" s="831" t="s">
        <v>2674</v>
      </c>
      <c r="AH26887" s="831" t="s">
        <v>65</v>
      </c>
      <c r="AI26887" s="831">
        <v>0</v>
      </c>
      <c r="AJ26887" s="835">
        <v>41243</v>
      </c>
      <c r="AK26887" s="831">
        <v>89510969</v>
      </c>
    </row>
    <row r="26888" spans="32:37">
      <c r="AF26888" s="831" t="s">
        <v>10627</v>
      </c>
      <c r="AG26888" s="831" t="s">
        <v>2674</v>
      </c>
      <c r="AH26888" s="831" t="s">
        <v>89</v>
      </c>
      <c r="AI26888" s="831">
        <v>0</v>
      </c>
      <c r="AJ26888" s="835">
        <v>41243</v>
      </c>
      <c r="AK26888" s="831">
        <v>123534</v>
      </c>
    </row>
    <row r="26889" spans="32:37">
      <c r="AF26889" s="831" t="s">
        <v>10628</v>
      </c>
      <c r="AG26889" s="831" t="s">
        <v>2674</v>
      </c>
      <c r="AH26889" s="831" t="s">
        <v>557</v>
      </c>
      <c r="AI26889" s="831">
        <v>0</v>
      </c>
      <c r="AJ26889" s="835">
        <v>41243</v>
      </c>
      <c r="AK26889" s="831">
        <v>125715</v>
      </c>
    </row>
    <row r="26890" spans="32:37">
      <c r="AF26890" s="831" t="s">
        <v>10629</v>
      </c>
      <c r="AG26890" s="831" t="s">
        <v>2674</v>
      </c>
      <c r="AH26890" s="831" t="s">
        <v>29</v>
      </c>
      <c r="AI26890" s="831">
        <v>0</v>
      </c>
      <c r="AJ26890" s="835">
        <v>41243</v>
      </c>
      <c r="AK26890" s="831">
        <v>2094921</v>
      </c>
    </row>
    <row r="26891" spans="32:37">
      <c r="AF26891" s="831" t="s">
        <v>10630</v>
      </c>
      <c r="AG26891" s="831" t="s">
        <v>2674</v>
      </c>
      <c r="AH26891" s="831" t="s">
        <v>2688</v>
      </c>
      <c r="AI26891" s="831">
        <v>0</v>
      </c>
      <c r="AJ26891" s="835">
        <v>41243</v>
      </c>
      <c r="AK26891" s="831">
        <v>2867819</v>
      </c>
    </row>
    <row r="26892" spans="32:37">
      <c r="AF26892" s="831" t="s">
        <v>10631</v>
      </c>
      <c r="AG26892" s="831" t="s">
        <v>2674</v>
      </c>
      <c r="AH26892" s="831" t="s">
        <v>556</v>
      </c>
      <c r="AI26892" s="831">
        <v>0</v>
      </c>
      <c r="AJ26892" s="835">
        <v>41243</v>
      </c>
      <c r="AK26892" s="831">
        <v>902857</v>
      </c>
    </row>
    <row r="26893" spans="32:37">
      <c r="AF26893" s="831" t="s">
        <v>10632</v>
      </c>
      <c r="AG26893" s="831" t="s">
        <v>2674</v>
      </c>
      <c r="AH26893" s="831" t="s">
        <v>555</v>
      </c>
      <c r="AI26893" s="831">
        <v>0</v>
      </c>
      <c r="AJ26893" s="835">
        <v>41243</v>
      </c>
      <c r="AK26893" s="831">
        <v>236413970</v>
      </c>
    </row>
    <row r="26894" spans="32:37">
      <c r="AF26894" s="831" t="s">
        <v>10633</v>
      </c>
      <c r="AG26894" s="831" t="s">
        <v>2674</v>
      </c>
      <c r="AH26894" s="831" t="s">
        <v>554</v>
      </c>
      <c r="AI26894" s="831">
        <v>0</v>
      </c>
      <c r="AJ26894" s="835">
        <v>41243</v>
      </c>
      <c r="AK26894" s="831">
        <v>238298670</v>
      </c>
    </row>
    <row r="26895" spans="32:37">
      <c r="AF26895" s="831" t="s">
        <v>10634</v>
      </c>
      <c r="AG26895" s="831" t="s">
        <v>2674</v>
      </c>
      <c r="AH26895" s="831" t="s">
        <v>553</v>
      </c>
      <c r="AI26895" s="831">
        <v>0</v>
      </c>
      <c r="AJ26895" s="835">
        <v>41243</v>
      </c>
      <c r="AK26895" s="831">
        <v>0</v>
      </c>
    </row>
    <row r="26896" spans="32:37">
      <c r="AF26896" s="831" t="s">
        <v>10635</v>
      </c>
      <c r="AG26896" s="831" t="s">
        <v>2674</v>
      </c>
      <c r="AH26896" s="831" t="s">
        <v>552</v>
      </c>
      <c r="AI26896" s="831">
        <v>0</v>
      </c>
      <c r="AJ26896" s="835">
        <v>41243</v>
      </c>
      <c r="AK26896" s="831">
        <v>0</v>
      </c>
    </row>
    <row r="26897" spans="32:37">
      <c r="AF26897" s="831" t="s">
        <v>10636</v>
      </c>
      <c r="AG26897" s="831" t="s">
        <v>2674</v>
      </c>
      <c r="AH26897" s="831" t="s">
        <v>551</v>
      </c>
      <c r="AI26897" s="831">
        <v>0</v>
      </c>
      <c r="AJ26897" s="835">
        <v>41243</v>
      </c>
      <c r="AK26897" s="831">
        <v>1916351</v>
      </c>
    </row>
    <row r="26898" spans="32:37">
      <c r="AF26898" s="831" t="s">
        <v>10637</v>
      </c>
      <c r="AG26898" s="831" t="s">
        <v>2674</v>
      </c>
      <c r="AH26898" s="831" t="s">
        <v>550</v>
      </c>
      <c r="AI26898" s="831">
        <v>0</v>
      </c>
      <c r="AJ26898" s="835">
        <v>41243</v>
      </c>
      <c r="AK26898" s="831">
        <v>99431431</v>
      </c>
    </row>
    <row r="26899" spans="32:37">
      <c r="AF26899" s="831" t="s">
        <v>10638</v>
      </c>
      <c r="AG26899" s="831" t="s">
        <v>2674</v>
      </c>
      <c r="AH26899" s="831" t="s">
        <v>562</v>
      </c>
      <c r="AI26899" s="831">
        <v>0</v>
      </c>
      <c r="AJ26899" s="835">
        <v>41243</v>
      </c>
      <c r="AK26899" s="831">
        <v>0.78415000000000001</v>
      </c>
    </row>
    <row r="26900" spans="32:37">
      <c r="AF26900" s="831" t="s">
        <v>10639</v>
      </c>
      <c r="AG26900" s="831" t="s">
        <v>2674</v>
      </c>
      <c r="AH26900" s="831" t="s">
        <v>2698</v>
      </c>
      <c r="AI26900" s="831">
        <v>0</v>
      </c>
      <c r="AJ26900" s="835">
        <v>41243</v>
      </c>
      <c r="AK26900" s="831">
        <v>0.78434999999999999</v>
      </c>
    </row>
    <row r="26901" spans="32:37">
      <c r="AF26901" s="831" t="s">
        <v>10640</v>
      </c>
      <c r="AG26901" s="831" t="s">
        <v>2674</v>
      </c>
      <c r="AH26901" s="831" t="s">
        <v>560</v>
      </c>
      <c r="AI26901" s="831">
        <v>0</v>
      </c>
      <c r="AJ26901" s="835">
        <v>41243</v>
      </c>
      <c r="AK26901" s="831">
        <v>0.7851499999999999</v>
      </c>
    </row>
    <row r="26902" spans="32:37">
      <c r="AF26902" s="831" t="s">
        <v>10641</v>
      </c>
      <c r="AG26902" s="831" t="s">
        <v>2674</v>
      </c>
      <c r="AH26902" s="831" t="s">
        <v>559</v>
      </c>
      <c r="AI26902" s="831">
        <v>0</v>
      </c>
      <c r="AJ26902" s="835">
        <v>41243</v>
      </c>
      <c r="AK26902" s="831">
        <v>0.78524166666666673</v>
      </c>
    </row>
    <row r="26903" spans="32:37">
      <c r="AF26903" s="831" t="s">
        <v>10642</v>
      </c>
      <c r="AG26903" s="831" t="s">
        <v>2674</v>
      </c>
      <c r="AH26903" s="831" t="s">
        <v>568</v>
      </c>
      <c r="AI26903" s="831">
        <v>0</v>
      </c>
      <c r="AJ26903" s="835">
        <v>41243</v>
      </c>
      <c r="AK26903" s="831">
        <v>0</v>
      </c>
    </row>
    <row r="26904" spans="32:37">
      <c r="AF26904" s="831" t="s">
        <v>10643</v>
      </c>
      <c r="AG26904" s="831" t="s">
        <v>2674</v>
      </c>
      <c r="AH26904" s="831" t="s">
        <v>569</v>
      </c>
      <c r="AI26904" s="831">
        <v>0</v>
      </c>
      <c r="AJ26904" s="835">
        <v>41243</v>
      </c>
      <c r="AK26904" s="831">
        <v>0</v>
      </c>
    </row>
    <row r="26905" spans="32:37">
      <c r="AF26905" s="831" t="s">
        <v>10644</v>
      </c>
      <c r="AG26905" s="831" t="s">
        <v>2674</v>
      </c>
      <c r="AH26905" s="831" t="s">
        <v>570</v>
      </c>
      <c r="AI26905" s="831">
        <v>0</v>
      </c>
      <c r="AJ26905" s="835">
        <v>41243</v>
      </c>
      <c r="AK26905" s="831">
        <v>0</v>
      </c>
    </row>
    <row r="26906" spans="32:37">
      <c r="AF26906" s="831" t="s">
        <v>10645</v>
      </c>
      <c r="AG26906" s="831" t="s">
        <v>2674</v>
      </c>
      <c r="AH26906" s="831" t="s">
        <v>571</v>
      </c>
      <c r="AI26906" s="831">
        <v>0</v>
      </c>
      <c r="AJ26906" s="835">
        <v>41243</v>
      </c>
      <c r="AK26906" s="831">
        <v>0</v>
      </c>
    </row>
    <row r="26907" spans="32:37">
      <c r="AF26907" s="831" t="s">
        <v>10646</v>
      </c>
      <c r="AG26907" s="831" t="s">
        <v>2674</v>
      </c>
      <c r="AH26907" s="831" t="s">
        <v>573</v>
      </c>
      <c r="AI26907" s="831">
        <v>0</v>
      </c>
      <c r="AJ26907" s="835">
        <v>41243</v>
      </c>
      <c r="AK26907" s="831">
        <v>0</v>
      </c>
    </row>
    <row r="26908" spans="32:37">
      <c r="AF26908" s="831" t="s">
        <v>10647</v>
      </c>
      <c r="AG26908" s="831" t="s">
        <v>2674</v>
      </c>
      <c r="AH26908" s="831" t="s">
        <v>574</v>
      </c>
      <c r="AI26908" s="831">
        <v>0</v>
      </c>
      <c r="AJ26908" s="835">
        <v>41243</v>
      </c>
      <c r="AK26908" s="831">
        <v>0</v>
      </c>
    </row>
    <row r="26909" spans="32:37">
      <c r="AF26909" s="831" t="s">
        <v>10648</v>
      </c>
      <c r="AG26909" s="831" t="s">
        <v>2674</v>
      </c>
      <c r="AH26909" s="831" t="s">
        <v>575</v>
      </c>
      <c r="AI26909" s="831">
        <v>0</v>
      </c>
      <c r="AJ26909" s="835">
        <v>41243</v>
      </c>
      <c r="AK26909" s="831">
        <v>0</v>
      </c>
    </row>
    <row r="26910" spans="32:37">
      <c r="AF26910" s="831" t="s">
        <v>10649</v>
      </c>
      <c r="AG26910" s="831" t="s">
        <v>2674</v>
      </c>
      <c r="AH26910" s="831" t="s">
        <v>576</v>
      </c>
      <c r="AI26910" s="831">
        <v>0</v>
      </c>
      <c r="AJ26910" s="835">
        <v>41243</v>
      </c>
      <c r="AK26910" s="831">
        <v>0</v>
      </c>
    </row>
    <row r="26911" spans="32:37">
      <c r="AF26911" s="831" t="s">
        <v>10650</v>
      </c>
      <c r="AG26911" s="831" t="s">
        <v>2674</v>
      </c>
      <c r="AH26911" s="831" t="s">
        <v>572</v>
      </c>
      <c r="AI26911" s="831">
        <v>0</v>
      </c>
      <c r="AJ26911" s="835">
        <v>41243</v>
      </c>
      <c r="AK26911" s="831">
        <v>-2146826246</v>
      </c>
    </row>
    <row r="26912" spans="32:37">
      <c r="AF26912" s="831" t="s">
        <v>10651</v>
      </c>
      <c r="AG26912" s="831" t="s">
        <v>2674</v>
      </c>
      <c r="AH26912" s="831" t="s">
        <v>577</v>
      </c>
      <c r="AI26912" s="831">
        <v>0</v>
      </c>
      <c r="AJ26912" s="835">
        <v>41243</v>
      </c>
      <c r="AK26912" s="831">
        <v>-2146826246</v>
      </c>
    </row>
    <row r="26913" spans="32:37">
      <c r="AF26913" s="831" t="s">
        <v>10652</v>
      </c>
      <c r="AG26913" s="831" t="s">
        <v>2674</v>
      </c>
      <c r="AH26913" s="831" t="s">
        <v>3042</v>
      </c>
      <c r="AI26913" s="831">
        <v>0</v>
      </c>
      <c r="AJ26913" s="835">
        <v>41243</v>
      </c>
      <c r="AK26913" s="831">
        <v>-2146826246</v>
      </c>
    </row>
    <row r="26914" spans="32:37">
      <c r="AF26914" s="831" t="s">
        <v>10653</v>
      </c>
      <c r="AG26914" s="831" t="s">
        <v>2674</v>
      </c>
      <c r="AH26914" s="831" t="s">
        <v>3044</v>
      </c>
      <c r="AI26914" s="831">
        <v>0</v>
      </c>
      <c r="AJ26914" s="835">
        <v>41243</v>
      </c>
      <c r="AK26914" s="831">
        <v>-2146826246</v>
      </c>
    </row>
    <row r="26915" spans="32:37">
      <c r="AF26915" s="831" t="s">
        <v>10654</v>
      </c>
      <c r="AG26915" s="831" t="s">
        <v>2674</v>
      </c>
      <c r="AH26915" s="831" t="s">
        <v>580</v>
      </c>
      <c r="AI26915" s="831">
        <v>0</v>
      </c>
      <c r="AJ26915" s="835">
        <v>41243</v>
      </c>
      <c r="AK26915" s="831">
        <v>-2146826246</v>
      </c>
    </row>
    <row r="26916" spans="32:37">
      <c r="AF26916" s="831" t="s">
        <v>10655</v>
      </c>
      <c r="AG26916" s="831" t="s">
        <v>2674</v>
      </c>
      <c r="AH26916" s="831" t="s">
        <v>581</v>
      </c>
      <c r="AI26916" s="831">
        <v>0</v>
      </c>
      <c r="AJ26916" s="835">
        <v>41243</v>
      </c>
      <c r="AK26916" s="831">
        <v>-2146826246</v>
      </c>
    </row>
    <row r="26917" spans="32:37">
      <c r="AF26917" s="831" t="s">
        <v>10656</v>
      </c>
      <c r="AG26917" s="831" t="s">
        <v>2674</v>
      </c>
      <c r="AH26917" s="831" t="s">
        <v>105</v>
      </c>
      <c r="AI26917" s="831">
        <v>0</v>
      </c>
      <c r="AJ26917" s="835">
        <v>41243</v>
      </c>
      <c r="AK26917" s="831">
        <v>202127506</v>
      </c>
    </row>
    <row r="26918" spans="32:37">
      <c r="AF26918" s="831" t="s">
        <v>10657</v>
      </c>
      <c r="AG26918" s="831" t="s">
        <v>2674</v>
      </c>
      <c r="AH26918" s="831" t="s">
        <v>3049</v>
      </c>
      <c r="AI26918" s="831">
        <v>0</v>
      </c>
      <c r="AJ26918" s="835">
        <v>41243</v>
      </c>
      <c r="AK26918" s="831">
        <v>355103629</v>
      </c>
    </row>
    <row r="26919" spans="32:37">
      <c r="AF26919" s="831" t="s">
        <v>10658</v>
      </c>
      <c r="AG26919" s="831" t="s">
        <v>2674</v>
      </c>
      <c r="AH26919" s="831" t="s">
        <v>103</v>
      </c>
      <c r="AI26919" s="831">
        <v>0</v>
      </c>
      <c r="AJ26919" s="835">
        <v>41243</v>
      </c>
      <c r="AK26919" s="831">
        <v>152976123</v>
      </c>
    </row>
    <row r="26920" spans="32:37">
      <c r="AF26920" s="831" t="s">
        <v>10659</v>
      </c>
      <c r="AG26920" s="831" t="s">
        <v>2674</v>
      </c>
      <c r="AH26920" s="831" t="s">
        <v>182</v>
      </c>
      <c r="AI26920" s="831">
        <v>0</v>
      </c>
      <c r="AJ26920" s="835">
        <v>41243</v>
      </c>
      <c r="AK26920" s="831">
        <v>50142446.18181818</v>
      </c>
    </row>
    <row r="26921" spans="32:37">
      <c r="AF26921" s="831" t="s">
        <v>10660</v>
      </c>
      <c r="AG26921" s="831" t="s">
        <v>2674</v>
      </c>
      <c r="AH26921" s="831" t="s">
        <v>6600</v>
      </c>
      <c r="AI26921" s="831">
        <v>0</v>
      </c>
      <c r="AJ26921" s="835">
        <v>41243</v>
      </c>
      <c r="AK26921" s="831">
        <v>-2146826246</v>
      </c>
    </row>
    <row r="26922" spans="32:37">
      <c r="AF26922" s="831" t="s">
        <v>10661</v>
      </c>
      <c r="AG26922" s="831" t="s">
        <v>2674</v>
      </c>
      <c r="AH26922" s="831" t="s">
        <v>6602</v>
      </c>
      <c r="AI26922" s="831">
        <v>0</v>
      </c>
      <c r="AJ26922" s="835">
        <v>41243</v>
      </c>
      <c r="AK26922" s="831">
        <v>16533903</v>
      </c>
    </row>
    <row r="26923" spans="32:37">
      <c r="AF26923" s="831" t="s">
        <v>10662</v>
      </c>
      <c r="AG26923" s="831" t="s">
        <v>2674</v>
      </c>
      <c r="AH26923" s="831" t="s">
        <v>650</v>
      </c>
      <c r="AI26923" s="831">
        <v>0</v>
      </c>
      <c r="AJ26923" s="835">
        <v>41243</v>
      </c>
      <c r="AK26923" s="831">
        <v>0</v>
      </c>
    </row>
    <row r="26924" spans="32:37">
      <c r="AF26924" s="831" t="s">
        <v>10663</v>
      </c>
      <c r="AG26924" s="831" t="s">
        <v>2674</v>
      </c>
      <c r="AH26924" s="831" t="s">
        <v>655</v>
      </c>
      <c r="AI26924" s="831">
        <v>0</v>
      </c>
      <c r="AJ26924" s="835">
        <v>41243</v>
      </c>
      <c r="AK26924" s="831">
        <v>1720042</v>
      </c>
    </row>
    <row r="26925" spans="32:37">
      <c r="AF26925" s="831" t="s">
        <v>10664</v>
      </c>
      <c r="AG26925" s="831" t="s">
        <v>2674</v>
      </c>
      <c r="AH26925" s="831" t="s">
        <v>546</v>
      </c>
      <c r="AI26925" s="831">
        <v>0</v>
      </c>
      <c r="AJ26925" s="835">
        <v>41274</v>
      </c>
      <c r="AK26925" s="831">
        <v>412125624</v>
      </c>
    </row>
    <row r="26926" spans="32:37">
      <c r="AF26926" s="831" t="s">
        <v>10665</v>
      </c>
      <c r="AG26926" s="831" t="s">
        <v>2674</v>
      </c>
      <c r="AH26926" s="831" t="s">
        <v>370</v>
      </c>
      <c r="AI26926" s="831">
        <v>0</v>
      </c>
      <c r="AJ26926" s="835">
        <v>41274</v>
      </c>
      <c r="AK26926" s="831">
        <v>515268910</v>
      </c>
    </row>
    <row r="26927" spans="32:37">
      <c r="AF26927" s="831" t="s">
        <v>10666</v>
      </c>
      <c r="AG26927" s="831" t="s">
        <v>2674</v>
      </c>
      <c r="AH26927" s="831" t="s">
        <v>126</v>
      </c>
      <c r="AI26927" s="831">
        <v>0</v>
      </c>
      <c r="AJ26927" s="835">
        <v>41274</v>
      </c>
      <c r="AK26927" s="831">
        <v>101162875</v>
      </c>
    </row>
    <row r="26928" spans="32:37">
      <c r="AF26928" s="831" t="s">
        <v>10667</v>
      </c>
      <c r="AG26928" s="831" t="s">
        <v>2674</v>
      </c>
      <c r="AH26928" s="831" t="s">
        <v>268</v>
      </c>
      <c r="AI26928" s="831">
        <v>0</v>
      </c>
      <c r="AJ26928" s="835">
        <v>41274</v>
      </c>
      <c r="AK26928" s="831">
        <v>15839951</v>
      </c>
    </row>
    <row r="26929" spans="32:37">
      <c r="AF26929" s="831" t="s">
        <v>10668</v>
      </c>
      <c r="AG26929" s="831" t="s">
        <v>2674</v>
      </c>
      <c r="AH26929" s="831" t="s">
        <v>547</v>
      </c>
      <c r="AI26929" s="831">
        <v>0</v>
      </c>
      <c r="AJ26929" s="835">
        <v>41274</v>
      </c>
      <c r="AK26929" s="831">
        <v>0</v>
      </c>
    </row>
    <row r="26930" spans="32:37">
      <c r="AF26930" s="831" t="s">
        <v>10669</v>
      </c>
      <c r="AG26930" s="831" t="s">
        <v>2674</v>
      </c>
      <c r="AH26930" s="831" t="s">
        <v>548</v>
      </c>
      <c r="AI26930" s="831">
        <v>0</v>
      </c>
      <c r="AJ26930" s="835">
        <v>41274</v>
      </c>
      <c r="AK26930" s="831">
        <v>0</v>
      </c>
    </row>
    <row r="26931" spans="32:37">
      <c r="AF26931" s="831" t="s">
        <v>10670</v>
      </c>
      <c r="AG26931" s="831" t="s">
        <v>2674</v>
      </c>
      <c r="AH26931" s="831" t="s">
        <v>549</v>
      </c>
      <c r="AI26931" s="831">
        <v>0</v>
      </c>
      <c r="AJ26931" s="835">
        <v>41274</v>
      </c>
      <c r="AK26931" s="831">
        <v>0</v>
      </c>
    </row>
    <row r="26932" spans="32:37">
      <c r="AF26932" s="831" t="s">
        <v>10671</v>
      </c>
      <c r="AG26932" s="831" t="s">
        <v>2674</v>
      </c>
      <c r="AH26932" s="831" t="s">
        <v>192</v>
      </c>
      <c r="AI26932" s="831">
        <v>0</v>
      </c>
      <c r="AJ26932" s="835">
        <v>41274</v>
      </c>
      <c r="AK26932" s="831">
        <v>-10390612</v>
      </c>
    </row>
    <row r="26933" spans="32:37">
      <c r="AF26933" s="831" t="s">
        <v>10672</v>
      </c>
      <c r="AG26933" s="831" t="s">
        <v>2674</v>
      </c>
      <c r="AH26933" s="831" t="s">
        <v>558</v>
      </c>
      <c r="AI26933" s="831">
        <v>0</v>
      </c>
      <c r="AJ26933" s="835">
        <v>41274</v>
      </c>
      <c r="AK26933" s="831">
        <v>414106035</v>
      </c>
    </row>
    <row r="26934" spans="32:37">
      <c r="AF26934" s="831" t="s">
        <v>10673</v>
      </c>
      <c r="AG26934" s="831" t="s">
        <v>2674</v>
      </c>
      <c r="AH26934" s="831" t="s">
        <v>65</v>
      </c>
      <c r="AI26934" s="831">
        <v>0</v>
      </c>
      <c r="AJ26934" s="835">
        <v>41274</v>
      </c>
      <c r="AK26934" s="831">
        <v>98876380</v>
      </c>
    </row>
    <row r="26935" spans="32:37">
      <c r="AF26935" s="831" t="s">
        <v>10674</v>
      </c>
      <c r="AG26935" s="831" t="s">
        <v>2674</v>
      </c>
      <c r="AH26935" s="831" t="s">
        <v>89</v>
      </c>
      <c r="AI26935" s="831">
        <v>0</v>
      </c>
      <c r="AJ26935" s="835">
        <v>41274</v>
      </c>
      <c r="AK26935" s="831">
        <v>124397</v>
      </c>
    </row>
    <row r="26936" spans="32:37">
      <c r="AF26936" s="831" t="s">
        <v>10675</v>
      </c>
      <c r="AG26936" s="831" t="s">
        <v>2674</v>
      </c>
      <c r="AH26936" s="831" t="s">
        <v>557</v>
      </c>
      <c r="AI26936" s="831">
        <v>0</v>
      </c>
      <c r="AJ26936" s="835">
        <v>41274</v>
      </c>
      <c r="AK26936" s="831">
        <v>127200</v>
      </c>
    </row>
    <row r="26937" spans="32:37">
      <c r="AF26937" s="831" t="s">
        <v>10676</v>
      </c>
      <c r="AG26937" s="831" t="s">
        <v>2674</v>
      </c>
      <c r="AH26937" s="831" t="s">
        <v>29</v>
      </c>
      <c r="AI26937" s="831">
        <v>0</v>
      </c>
      <c r="AJ26937" s="835">
        <v>41274</v>
      </c>
      <c r="AK26937" s="831">
        <v>1921756</v>
      </c>
    </row>
    <row r="26938" spans="32:37">
      <c r="AF26938" s="831" t="s">
        <v>10677</v>
      </c>
      <c r="AG26938" s="831" t="s">
        <v>2674</v>
      </c>
      <c r="AH26938" s="831" t="s">
        <v>2688</v>
      </c>
      <c r="AI26938" s="831">
        <v>0</v>
      </c>
      <c r="AJ26938" s="835">
        <v>41274</v>
      </c>
      <c r="AK26938" s="831">
        <v>2457254</v>
      </c>
    </row>
    <row r="26939" spans="32:37">
      <c r="AF26939" s="831" t="s">
        <v>10678</v>
      </c>
      <c r="AG26939" s="831" t="s">
        <v>2674</v>
      </c>
      <c r="AH26939" s="831" t="s">
        <v>556</v>
      </c>
      <c r="AI26939" s="831">
        <v>0</v>
      </c>
      <c r="AJ26939" s="835">
        <v>41274</v>
      </c>
      <c r="AK26939" s="831">
        <v>902857</v>
      </c>
    </row>
    <row r="26940" spans="32:37">
      <c r="AF26940" s="831" t="s">
        <v>10679</v>
      </c>
      <c r="AG26940" s="831" t="s">
        <v>2674</v>
      </c>
      <c r="AH26940" s="831" t="s">
        <v>555</v>
      </c>
      <c r="AI26940" s="831">
        <v>0</v>
      </c>
      <c r="AJ26940" s="835">
        <v>41274</v>
      </c>
      <c r="AK26940" s="831">
        <v>274948010</v>
      </c>
    </row>
    <row r="26941" spans="32:37">
      <c r="AF26941" s="831" t="s">
        <v>10680</v>
      </c>
      <c r="AG26941" s="831" t="s">
        <v>2674</v>
      </c>
      <c r="AH26941" s="831" t="s">
        <v>554</v>
      </c>
      <c r="AI26941" s="831">
        <v>0</v>
      </c>
      <c r="AJ26941" s="835">
        <v>41274</v>
      </c>
      <c r="AK26941" s="831">
        <v>273069880</v>
      </c>
    </row>
    <row r="26942" spans="32:37">
      <c r="AF26942" s="831" t="s">
        <v>10681</v>
      </c>
      <c r="AG26942" s="831" t="s">
        <v>2674</v>
      </c>
      <c r="AH26942" s="831" t="s">
        <v>553</v>
      </c>
      <c r="AI26942" s="831">
        <v>0</v>
      </c>
      <c r="AJ26942" s="835">
        <v>41274</v>
      </c>
      <c r="AK26942" s="831">
        <v>0</v>
      </c>
    </row>
    <row r="26943" spans="32:37">
      <c r="AF26943" s="831" t="s">
        <v>10682</v>
      </c>
      <c r="AG26943" s="831" t="s">
        <v>2674</v>
      </c>
      <c r="AH26943" s="831" t="s">
        <v>552</v>
      </c>
      <c r="AI26943" s="831">
        <v>0</v>
      </c>
      <c r="AJ26943" s="835">
        <v>41274</v>
      </c>
      <c r="AK26943" s="831">
        <v>0</v>
      </c>
    </row>
    <row r="26944" spans="32:37">
      <c r="AF26944" s="831" t="s">
        <v>10683</v>
      </c>
      <c r="AG26944" s="831" t="s">
        <v>2674</v>
      </c>
      <c r="AH26944" s="831" t="s">
        <v>551</v>
      </c>
      <c r="AI26944" s="831">
        <v>0</v>
      </c>
      <c r="AJ26944" s="835">
        <v>41274</v>
      </c>
      <c r="AK26944" s="831">
        <v>1740472</v>
      </c>
    </row>
    <row r="26945" spans="32:37">
      <c r="AF26945" s="831" t="s">
        <v>10684</v>
      </c>
      <c r="AG26945" s="831" t="s">
        <v>2674</v>
      </c>
      <c r="AH26945" s="831" t="s">
        <v>550</v>
      </c>
      <c r="AI26945" s="831">
        <v>0</v>
      </c>
      <c r="AJ26945" s="835">
        <v>41274</v>
      </c>
      <c r="AK26945" s="831">
        <v>101856827</v>
      </c>
    </row>
    <row r="26946" spans="32:37">
      <c r="AF26946" s="831" t="s">
        <v>10685</v>
      </c>
      <c r="AG26946" s="831" t="s">
        <v>2674</v>
      </c>
      <c r="AH26946" s="831" t="s">
        <v>562</v>
      </c>
      <c r="AI26946" s="831">
        <v>0</v>
      </c>
      <c r="AJ26946" s="835">
        <v>41274</v>
      </c>
      <c r="AK26946" s="831">
        <v>0.78400000000000003</v>
      </c>
    </row>
    <row r="26947" spans="32:37">
      <c r="AF26947" s="831" t="s">
        <v>10686</v>
      </c>
      <c r="AG26947" s="831" t="s">
        <v>2674</v>
      </c>
      <c r="AH26947" s="831" t="s">
        <v>2698</v>
      </c>
      <c r="AI26947" s="831">
        <v>0</v>
      </c>
      <c r="AJ26947" s="835">
        <v>41274</v>
      </c>
      <c r="AK26947" s="831">
        <v>0.78415000000000001</v>
      </c>
    </row>
    <row r="26948" spans="32:37">
      <c r="AF26948" s="831" t="s">
        <v>10687</v>
      </c>
      <c r="AG26948" s="831" t="s">
        <v>2674</v>
      </c>
      <c r="AH26948" s="831" t="s">
        <v>560</v>
      </c>
      <c r="AI26948" s="831">
        <v>0</v>
      </c>
      <c r="AJ26948" s="835">
        <v>41274</v>
      </c>
      <c r="AK26948" s="831">
        <v>0.7850541666666665</v>
      </c>
    </row>
    <row r="26949" spans="32:37">
      <c r="AF26949" s="831" t="s">
        <v>10688</v>
      </c>
      <c r="AG26949" s="831" t="s">
        <v>2674</v>
      </c>
      <c r="AH26949" s="831" t="s">
        <v>559</v>
      </c>
      <c r="AI26949" s="831">
        <v>0</v>
      </c>
      <c r="AJ26949" s="835">
        <v>41274</v>
      </c>
      <c r="AK26949" s="831">
        <v>0.7850541666666665</v>
      </c>
    </row>
    <row r="26950" spans="32:37">
      <c r="AF26950" s="831" t="s">
        <v>10689</v>
      </c>
      <c r="AG26950" s="831" t="s">
        <v>2674</v>
      </c>
      <c r="AH26950" s="831" t="s">
        <v>568</v>
      </c>
      <c r="AI26950" s="831">
        <v>0</v>
      </c>
      <c r="AJ26950" s="835">
        <v>41274</v>
      </c>
      <c r="AK26950" s="831">
        <v>0</v>
      </c>
    </row>
    <row r="26951" spans="32:37">
      <c r="AF26951" s="831" t="s">
        <v>10690</v>
      </c>
      <c r="AG26951" s="831" t="s">
        <v>2674</v>
      </c>
      <c r="AH26951" s="831" t="s">
        <v>569</v>
      </c>
      <c r="AI26951" s="831">
        <v>0</v>
      </c>
      <c r="AJ26951" s="835">
        <v>41274</v>
      </c>
      <c r="AK26951" s="831">
        <v>0</v>
      </c>
    </row>
    <row r="26952" spans="32:37">
      <c r="AF26952" s="831" t="s">
        <v>10691</v>
      </c>
      <c r="AG26952" s="831" t="s">
        <v>2674</v>
      </c>
      <c r="AH26952" s="831" t="s">
        <v>570</v>
      </c>
      <c r="AI26952" s="831">
        <v>0</v>
      </c>
      <c r="AJ26952" s="835">
        <v>41274</v>
      </c>
      <c r="AK26952" s="831">
        <v>0</v>
      </c>
    </row>
    <row r="26953" spans="32:37">
      <c r="AF26953" s="831" t="s">
        <v>10692</v>
      </c>
      <c r="AG26953" s="831" t="s">
        <v>2674</v>
      </c>
      <c r="AH26953" s="831" t="s">
        <v>571</v>
      </c>
      <c r="AI26953" s="831">
        <v>0</v>
      </c>
      <c r="AJ26953" s="835">
        <v>41274</v>
      </c>
      <c r="AK26953" s="831">
        <v>0</v>
      </c>
    </row>
    <row r="26954" spans="32:37">
      <c r="AF26954" s="831" t="s">
        <v>10693</v>
      </c>
      <c r="AG26954" s="831" t="s">
        <v>2674</v>
      </c>
      <c r="AH26954" s="831" t="s">
        <v>573</v>
      </c>
      <c r="AI26954" s="831">
        <v>0</v>
      </c>
      <c r="AJ26954" s="835">
        <v>41274</v>
      </c>
      <c r="AK26954" s="831">
        <v>-2146826265</v>
      </c>
    </row>
    <row r="26955" spans="32:37">
      <c r="AF26955" s="831" t="s">
        <v>10694</v>
      </c>
      <c r="AG26955" s="831" t="s">
        <v>2674</v>
      </c>
      <c r="AH26955" s="831" t="s">
        <v>574</v>
      </c>
      <c r="AI26955" s="831">
        <v>0</v>
      </c>
      <c r="AJ26955" s="835">
        <v>41274</v>
      </c>
      <c r="AK26955" s="831">
        <v>-2146826265</v>
      </c>
    </row>
    <row r="26956" spans="32:37">
      <c r="AF26956" s="831" t="s">
        <v>10695</v>
      </c>
      <c r="AG26956" s="831" t="s">
        <v>2674</v>
      </c>
      <c r="AH26956" s="831" t="s">
        <v>575</v>
      </c>
      <c r="AI26956" s="831">
        <v>0</v>
      </c>
      <c r="AJ26956" s="835">
        <v>41274</v>
      </c>
      <c r="AK26956" s="831">
        <v>-2146826265</v>
      </c>
    </row>
    <row r="26957" spans="32:37">
      <c r="AF26957" s="831" t="s">
        <v>10696</v>
      </c>
      <c r="AG26957" s="831" t="s">
        <v>2674</v>
      </c>
      <c r="AH26957" s="831" t="s">
        <v>576</v>
      </c>
      <c r="AI26957" s="831">
        <v>0</v>
      </c>
      <c r="AJ26957" s="835">
        <v>41274</v>
      </c>
      <c r="AK26957" s="831">
        <v>-2146826265</v>
      </c>
    </row>
    <row r="26958" spans="32:37">
      <c r="AF26958" s="831" t="s">
        <v>10697</v>
      </c>
      <c r="AG26958" s="831" t="s">
        <v>2674</v>
      </c>
      <c r="AH26958" s="831" t="s">
        <v>572</v>
      </c>
      <c r="AI26958" s="831">
        <v>0</v>
      </c>
      <c r="AJ26958" s="835">
        <v>41274</v>
      </c>
      <c r="AK26958" s="831">
        <v>-2146826246</v>
      </c>
    </row>
    <row r="26959" spans="32:37">
      <c r="AF26959" s="831" t="s">
        <v>10698</v>
      </c>
      <c r="AG26959" s="831" t="s">
        <v>2674</v>
      </c>
      <c r="AH26959" s="831" t="s">
        <v>577</v>
      </c>
      <c r="AI26959" s="831">
        <v>0</v>
      </c>
      <c r="AJ26959" s="835">
        <v>41274</v>
      </c>
      <c r="AK26959" s="831">
        <v>-2146826246</v>
      </c>
    </row>
    <row r="26960" spans="32:37">
      <c r="AF26960" s="831" t="s">
        <v>10699</v>
      </c>
      <c r="AG26960" s="831" t="s">
        <v>2674</v>
      </c>
      <c r="AH26960" s="831" t="s">
        <v>3042</v>
      </c>
      <c r="AI26960" s="831">
        <v>0</v>
      </c>
      <c r="AJ26960" s="835">
        <v>41274</v>
      </c>
      <c r="AK26960" s="831">
        <v>-2146826246</v>
      </c>
    </row>
    <row r="26961" spans="32:37">
      <c r="AF26961" s="831" t="s">
        <v>10700</v>
      </c>
      <c r="AG26961" s="831" t="s">
        <v>2674</v>
      </c>
      <c r="AH26961" s="831" t="s">
        <v>3044</v>
      </c>
      <c r="AI26961" s="831">
        <v>0</v>
      </c>
      <c r="AJ26961" s="835">
        <v>41274</v>
      </c>
      <c r="AK26961" s="831">
        <v>-2146826246</v>
      </c>
    </row>
    <row r="26962" spans="32:37">
      <c r="AF26962" s="831" t="s">
        <v>10701</v>
      </c>
      <c r="AG26962" s="831" t="s">
        <v>2674</v>
      </c>
      <c r="AH26962" s="831" t="s">
        <v>580</v>
      </c>
      <c r="AI26962" s="831">
        <v>0</v>
      </c>
      <c r="AJ26962" s="835">
        <v>41274</v>
      </c>
      <c r="AK26962" s="831">
        <v>-2146826246</v>
      </c>
    </row>
    <row r="26963" spans="32:37">
      <c r="AF26963" s="831" t="s">
        <v>10702</v>
      </c>
      <c r="AG26963" s="831" t="s">
        <v>2674</v>
      </c>
      <c r="AH26963" s="831" t="s">
        <v>581</v>
      </c>
      <c r="AI26963" s="831">
        <v>0</v>
      </c>
      <c r="AJ26963" s="835">
        <v>41274</v>
      </c>
      <c r="AK26963" s="831">
        <v>-2146826246</v>
      </c>
    </row>
    <row r="26964" spans="32:37">
      <c r="AF26964" s="831" t="s">
        <v>10703</v>
      </c>
      <c r="AG26964" s="831" t="s">
        <v>2674</v>
      </c>
      <c r="AH26964" s="831" t="s">
        <v>105</v>
      </c>
      <c r="AI26964" s="831">
        <v>0</v>
      </c>
      <c r="AJ26964" s="835">
        <v>41274</v>
      </c>
      <c r="AK26964" s="831">
        <v>237580126</v>
      </c>
    </row>
    <row r="26965" spans="32:37">
      <c r="AF26965" s="831" t="s">
        <v>10704</v>
      </c>
      <c r="AG26965" s="831" t="s">
        <v>2674</v>
      </c>
      <c r="AH26965" s="831" t="s">
        <v>3049</v>
      </c>
      <c r="AI26965" s="831">
        <v>0</v>
      </c>
      <c r="AJ26965" s="835">
        <v>41274</v>
      </c>
      <c r="AK26965" s="831">
        <v>400647257</v>
      </c>
    </row>
    <row r="26966" spans="32:37">
      <c r="AF26966" s="831" t="s">
        <v>10705</v>
      </c>
      <c r="AG26966" s="831" t="s">
        <v>2674</v>
      </c>
      <c r="AH26966" s="831" t="s">
        <v>103</v>
      </c>
      <c r="AI26966" s="831">
        <v>0</v>
      </c>
      <c r="AJ26966" s="835">
        <v>41274</v>
      </c>
      <c r="AK26966" s="831">
        <v>163067131</v>
      </c>
    </row>
    <row r="26967" spans="32:37">
      <c r="AF26967" s="831" t="s">
        <v>10706</v>
      </c>
      <c r="AG26967" s="831" t="s">
        <v>2674</v>
      </c>
      <c r="AH26967" s="831" t="s">
        <v>182</v>
      </c>
      <c r="AI26967" s="831">
        <v>0</v>
      </c>
      <c r="AJ26967" s="835">
        <v>41274</v>
      </c>
      <c r="AK26967" s="831">
        <v>53318071</v>
      </c>
    </row>
    <row r="26968" spans="32:37">
      <c r="AF26968" s="831" t="s">
        <v>10707</v>
      </c>
      <c r="AG26968" s="831" t="s">
        <v>2674</v>
      </c>
      <c r="AH26968" s="831" t="s">
        <v>6600</v>
      </c>
      <c r="AI26968" s="831">
        <v>0</v>
      </c>
      <c r="AJ26968" s="835">
        <v>41274</v>
      </c>
      <c r="AK26968" s="831">
        <v>-2146826246</v>
      </c>
    </row>
    <row r="26969" spans="32:37">
      <c r="AF26969" s="831" t="s">
        <v>10708</v>
      </c>
      <c r="AG26969" s="831" t="s">
        <v>2674</v>
      </c>
      <c r="AH26969" s="831" t="s">
        <v>6602</v>
      </c>
      <c r="AI26969" s="831">
        <v>0</v>
      </c>
      <c r="AJ26969" s="835">
        <v>41274</v>
      </c>
      <c r="AK26969" s="831">
        <v>15839951</v>
      </c>
    </row>
    <row r="26970" spans="32:37">
      <c r="AF26970" s="831" t="s">
        <v>10709</v>
      </c>
      <c r="AG26970" s="831" t="s">
        <v>2674</v>
      </c>
      <c r="AH26970" s="831" t="s">
        <v>650</v>
      </c>
      <c r="AI26970" s="831">
        <v>0</v>
      </c>
      <c r="AJ26970" s="835">
        <v>41274</v>
      </c>
      <c r="AK26970" s="831">
        <v>0</v>
      </c>
    </row>
    <row r="26971" spans="32:37">
      <c r="AF26971" s="831" t="s">
        <v>10710</v>
      </c>
      <c r="AG26971" s="831" t="s">
        <v>2674</v>
      </c>
      <c r="AH26971" s="831" t="s">
        <v>655</v>
      </c>
      <c r="AI26971" s="831">
        <v>0</v>
      </c>
      <c r="AJ26971" s="835">
        <v>41274</v>
      </c>
      <c r="AK26971" s="831">
        <v>1622276</v>
      </c>
    </row>
    <row r="26972" spans="32:37">
      <c r="AF26972" s="831" t="s">
        <v>10711</v>
      </c>
      <c r="AG26972" s="831" t="s">
        <v>2674</v>
      </c>
      <c r="AH26972" s="831" t="s">
        <v>546</v>
      </c>
      <c r="AI26972" s="831">
        <v>0</v>
      </c>
      <c r="AJ26972" s="835">
        <v>41305</v>
      </c>
      <c r="AK26972" s="831">
        <v>421051783</v>
      </c>
    </row>
    <row r="26973" spans="32:37">
      <c r="AF26973" s="831" t="s">
        <v>10712</v>
      </c>
      <c r="AG26973" s="831" t="s">
        <v>2674</v>
      </c>
      <c r="AH26973" s="831" t="s">
        <v>370</v>
      </c>
      <c r="AI26973" s="831">
        <v>0</v>
      </c>
      <c r="AJ26973" s="835">
        <v>41305</v>
      </c>
      <c r="AK26973" s="831">
        <v>511487760</v>
      </c>
    </row>
    <row r="26974" spans="32:37">
      <c r="AF26974" s="831" t="s">
        <v>10713</v>
      </c>
      <c r="AG26974" s="831" t="s">
        <v>2674</v>
      </c>
      <c r="AH26974" s="831" t="s">
        <v>126</v>
      </c>
      <c r="AI26974" s="831">
        <v>0</v>
      </c>
      <c r="AJ26974" s="835">
        <v>41305</v>
      </c>
      <c r="AK26974" s="831">
        <v>96883184</v>
      </c>
    </row>
    <row r="26975" spans="32:37">
      <c r="AF26975" s="831" t="s">
        <v>10714</v>
      </c>
      <c r="AG26975" s="831" t="s">
        <v>2674</v>
      </c>
      <c r="AH26975" s="831" t="s">
        <v>268</v>
      </c>
      <c r="AI26975" s="831">
        <v>0</v>
      </c>
      <c r="AJ26975" s="835">
        <v>41305</v>
      </c>
      <c r="AK26975" s="831">
        <v>2119961</v>
      </c>
    </row>
    <row r="26976" spans="32:37">
      <c r="AF26976" s="831" t="s">
        <v>10715</v>
      </c>
      <c r="AG26976" s="831" t="s">
        <v>2674</v>
      </c>
      <c r="AH26976" s="831" t="s">
        <v>547</v>
      </c>
      <c r="AI26976" s="831">
        <v>0</v>
      </c>
      <c r="AJ26976" s="835">
        <v>41305</v>
      </c>
      <c r="AK26976" s="831">
        <v>511487760</v>
      </c>
    </row>
    <row r="26977" spans="32:37">
      <c r="AF26977" s="831" t="s">
        <v>10716</v>
      </c>
      <c r="AG26977" s="831" t="s">
        <v>2674</v>
      </c>
      <c r="AH26977" s="831" t="s">
        <v>548</v>
      </c>
      <c r="AI26977" s="831">
        <v>0</v>
      </c>
      <c r="AJ26977" s="835">
        <v>41305</v>
      </c>
      <c r="AK26977" s="831">
        <v>96883184</v>
      </c>
    </row>
    <row r="26978" spans="32:37">
      <c r="AF26978" s="831" t="s">
        <v>10717</v>
      </c>
      <c r="AG26978" s="831" t="s">
        <v>2674</v>
      </c>
      <c r="AH26978" s="831" t="s">
        <v>549</v>
      </c>
      <c r="AI26978" s="831">
        <v>0</v>
      </c>
      <c r="AJ26978" s="835">
        <v>41305</v>
      </c>
      <c r="AK26978" s="831">
        <v>0</v>
      </c>
    </row>
    <row r="26979" spans="32:37">
      <c r="AF26979" s="831" t="s">
        <v>10718</v>
      </c>
      <c r="AG26979" s="831" t="s">
        <v>2674</v>
      </c>
      <c r="AH26979" s="831" t="s">
        <v>192</v>
      </c>
      <c r="AI26979" s="831">
        <v>0</v>
      </c>
      <c r="AJ26979" s="835">
        <v>41305</v>
      </c>
      <c r="AK26979" s="831">
        <v>-10696839</v>
      </c>
    </row>
    <row r="26980" spans="32:37">
      <c r="AF26980" s="831" t="s">
        <v>10719</v>
      </c>
      <c r="AG26980" s="831" t="s">
        <v>2674</v>
      </c>
      <c r="AH26980" s="831" t="s">
        <v>558</v>
      </c>
      <c r="AI26980" s="831">
        <v>0</v>
      </c>
      <c r="AJ26980" s="835">
        <v>41305</v>
      </c>
      <c r="AK26980" s="831">
        <v>414604576</v>
      </c>
    </row>
    <row r="26981" spans="32:37">
      <c r="AF26981" s="831" t="s">
        <v>10720</v>
      </c>
      <c r="AG26981" s="831" t="s">
        <v>2674</v>
      </c>
      <c r="AH26981" s="831" t="s">
        <v>65</v>
      </c>
      <c r="AI26981" s="831">
        <v>0</v>
      </c>
      <c r="AJ26981" s="835">
        <v>41305</v>
      </c>
      <c r="AK26981" s="831">
        <v>9476383</v>
      </c>
    </row>
    <row r="26982" spans="32:37">
      <c r="AF26982" s="831" t="s">
        <v>10721</v>
      </c>
      <c r="AG26982" s="831" t="s">
        <v>2674</v>
      </c>
      <c r="AH26982" s="831" t="s">
        <v>89</v>
      </c>
      <c r="AI26982" s="831">
        <v>0</v>
      </c>
      <c r="AJ26982" s="835">
        <v>41305</v>
      </c>
      <c r="AK26982" s="831">
        <v>125947</v>
      </c>
    </row>
    <row r="26983" spans="32:37">
      <c r="AF26983" s="831" t="s">
        <v>10722</v>
      </c>
      <c r="AG26983" s="831" t="s">
        <v>2674</v>
      </c>
      <c r="AH26983" s="831" t="s">
        <v>557</v>
      </c>
      <c r="AI26983" s="831">
        <v>0</v>
      </c>
      <c r="AJ26983" s="835">
        <v>41305</v>
      </c>
      <c r="AK26983" s="831">
        <v>128972</v>
      </c>
    </row>
    <row r="26984" spans="32:37">
      <c r="AF26984" s="831" t="s">
        <v>10723</v>
      </c>
      <c r="AG26984" s="831" t="s">
        <v>2674</v>
      </c>
      <c r="AH26984" s="831" t="s">
        <v>29</v>
      </c>
      <c r="AI26984" s="831">
        <v>0</v>
      </c>
      <c r="AJ26984" s="835">
        <v>41305</v>
      </c>
      <c r="AK26984" s="831">
        <v>1949343</v>
      </c>
    </row>
    <row r="26985" spans="32:37">
      <c r="AF26985" s="831" t="s">
        <v>10724</v>
      </c>
      <c r="AG26985" s="831" t="s">
        <v>2674</v>
      </c>
      <c r="AH26985" s="831" t="s">
        <v>2688</v>
      </c>
      <c r="AI26985" s="831">
        <v>0</v>
      </c>
      <c r="AJ26985" s="835">
        <v>41305</v>
      </c>
      <c r="AK26985" s="831">
        <v>2693419</v>
      </c>
    </row>
    <row r="26986" spans="32:37">
      <c r="AF26986" s="831" t="s">
        <v>10725</v>
      </c>
      <c r="AG26986" s="831" t="s">
        <v>2674</v>
      </c>
      <c r="AH26986" s="831" t="s">
        <v>556</v>
      </c>
      <c r="AI26986" s="831">
        <v>0</v>
      </c>
      <c r="AJ26986" s="835">
        <v>41305</v>
      </c>
      <c r="AK26986" s="831">
        <v>902857</v>
      </c>
    </row>
    <row r="26987" spans="32:37">
      <c r="AF26987" s="831" t="s">
        <v>10726</v>
      </c>
      <c r="AG26987" s="831" t="s">
        <v>2674</v>
      </c>
      <c r="AH26987" s="831" t="s">
        <v>555</v>
      </c>
      <c r="AI26987" s="831">
        <v>0</v>
      </c>
      <c r="AJ26987" s="835">
        <v>41305</v>
      </c>
      <c r="AK26987" s="831">
        <v>261608550</v>
      </c>
    </row>
    <row r="26988" spans="32:37">
      <c r="AF26988" s="831" t="s">
        <v>10727</v>
      </c>
      <c r="AG26988" s="831" t="s">
        <v>2674</v>
      </c>
      <c r="AH26988" s="831" t="s">
        <v>554</v>
      </c>
      <c r="AI26988" s="831">
        <v>0</v>
      </c>
      <c r="AJ26988" s="835">
        <v>41305</v>
      </c>
      <c r="AK26988" s="831">
        <v>265544650</v>
      </c>
    </row>
    <row r="26989" spans="32:37">
      <c r="AF26989" s="831" t="s">
        <v>10728</v>
      </c>
      <c r="AG26989" s="831" t="s">
        <v>2674</v>
      </c>
      <c r="AH26989" s="831" t="s">
        <v>553</v>
      </c>
      <c r="AI26989" s="831">
        <v>0</v>
      </c>
      <c r="AJ26989" s="835">
        <v>41305</v>
      </c>
      <c r="AK26989" s="831">
        <v>0</v>
      </c>
    </row>
    <row r="26990" spans="32:37">
      <c r="AF26990" s="831" t="s">
        <v>10729</v>
      </c>
      <c r="AG26990" s="831" t="s">
        <v>2674</v>
      </c>
      <c r="AH26990" s="831" t="s">
        <v>552</v>
      </c>
      <c r="AI26990" s="831">
        <v>0</v>
      </c>
      <c r="AJ26990" s="835">
        <v>41305</v>
      </c>
      <c r="AK26990" s="831">
        <v>0</v>
      </c>
    </row>
    <row r="26991" spans="32:37">
      <c r="AF26991" s="831" t="s">
        <v>10730</v>
      </c>
      <c r="AG26991" s="831" t="s">
        <v>2674</v>
      </c>
      <c r="AH26991" s="831" t="s">
        <v>551</v>
      </c>
      <c r="AI26991" s="831">
        <v>0</v>
      </c>
      <c r="AJ26991" s="835">
        <v>41305</v>
      </c>
      <c r="AK26991" s="831">
        <v>1906076</v>
      </c>
    </row>
    <row r="26992" spans="32:37">
      <c r="AF26992" s="831" t="s">
        <v>10731</v>
      </c>
      <c r="AG26992" s="831" t="s">
        <v>2674</v>
      </c>
      <c r="AH26992" s="831" t="s">
        <v>550</v>
      </c>
      <c r="AI26992" s="831">
        <v>0</v>
      </c>
      <c r="AJ26992" s="835">
        <v>41305</v>
      </c>
      <c r="AK26992" s="831">
        <v>101162875</v>
      </c>
    </row>
    <row r="26993" spans="32:37">
      <c r="AF26993" s="831" t="s">
        <v>10732</v>
      </c>
      <c r="AG26993" s="831" t="s">
        <v>2674</v>
      </c>
      <c r="AH26993" s="831" t="s">
        <v>562</v>
      </c>
      <c r="AI26993" s="831">
        <v>0</v>
      </c>
      <c r="AJ26993" s="835">
        <v>41305</v>
      </c>
      <c r="AK26993" s="831">
        <v>0.78385000000000005</v>
      </c>
    </row>
    <row r="26994" spans="32:37">
      <c r="AF26994" s="831" t="s">
        <v>10733</v>
      </c>
      <c r="AG26994" s="831" t="s">
        <v>2674</v>
      </c>
      <c r="AH26994" s="831" t="s">
        <v>2698</v>
      </c>
      <c r="AI26994" s="831">
        <v>0</v>
      </c>
      <c r="AJ26994" s="835">
        <v>41305</v>
      </c>
      <c r="AK26994" s="831">
        <v>0.78400000000000003</v>
      </c>
    </row>
    <row r="26995" spans="32:37">
      <c r="AF26995" s="831" t="s">
        <v>10734</v>
      </c>
      <c r="AG26995" s="831" t="s">
        <v>2674</v>
      </c>
      <c r="AH26995" s="831" t="s">
        <v>560</v>
      </c>
      <c r="AI26995" s="831">
        <v>0</v>
      </c>
      <c r="AJ26995" s="835">
        <v>41305</v>
      </c>
      <c r="AK26995" s="831">
        <v>0.78385000000000005</v>
      </c>
    </row>
    <row r="26996" spans="32:37">
      <c r="AF26996" s="831" t="s">
        <v>10735</v>
      </c>
      <c r="AG26996" s="831" t="s">
        <v>2674</v>
      </c>
      <c r="AH26996" s="831" t="s">
        <v>559</v>
      </c>
      <c r="AI26996" s="831">
        <v>0</v>
      </c>
      <c r="AJ26996" s="835">
        <v>41305</v>
      </c>
      <c r="AK26996" s="831">
        <v>0.78486250000000002</v>
      </c>
    </row>
    <row r="26997" spans="32:37">
      <c r="AF26997" s="831" t="s">
        <v>10736</v>
      </c>
      <c r="AG26997" s="831" t="s">
        <v>2674</v>
      </c>
      <c r="AH26997" s="831" t="s">
        <v>568</v>
      </c>
      <c r="AI26997" s="831">
        <v>0</v>
      </c>
      <c r="AJ26997" s="835">
        <v>41305</v>
      </c>
      <c r="AK26997" s="831">
        <v>373888864.66666669</v>
      </c>
    </row>
    <row r="26998" spans="32:37">
      <c r="AF26998" s="831" t="s">
        <v>10737</v>
      </c>
      <c r="AG26998" s="831" t="s">
        <v>2674</v>
      </c>
      <c r="AH26998" s="831" t="s">
        <v>569</v>
      </c>
      <c r="AI26998" s="831">
        <v>0</v>
      </c>
      <c r="AJ26998" s="835">
        <v>41305</v>
      </c>
      <c r="AK26998" s="831">
        <v>458979290.77777779</v>
      </c>
    </row>
    <row r="26999" spans="32:37">
      <c r="AF26999" s="831" t="s">
        <v>10738</v>
      </c>
      <c r="AG26999" s="831" t="s">
        <v>2674</v>
      </c>
      <c r="AH26999" s="831" t="s">
        <v>570</v>
      </c>
      <c r="AI26999" s="831">
        <v>0</v>
      </c>
      <c r="AJ26999" s="835">
        <v>41305</v>
      </c>
      <c r="AK26999" s="831">
        <v>96420088.555555552</v>
      </c>
    </row>
    <row r="27000" spans="32:37">
      <c r="AF27000" s="831" t="s">
        <v>10739</v>
      </c>
      <c r="AG27000" s="831" t="s">
        <v>2674</v>
      </c>
      <c r="AH27000" s="831" t="s">
        <v>571</v>
      </c>
      <c r="AI27000" s="831">
        <v>0</v>
      </c>
      <c r="AJ27000" s="835">
        <v>41305</v>
      </c>
      <c r="AK27000" s="831">
        <v>187471539.44444445</v>
      </c>
    </row>
    <row r="27001" spans="32:37">
      <c r="AF27001" s="831" t="s">
        <v>10740</v>
      </c>
      <c r="AG27001" s="831" t="s">
        <v>2674</v>
      </c>
      <c r="AH27001" s="831" t="s">
        <v>573</v>
      </c>
      <c r="AI27001" s="831">
        <v>0</v>
      </c>
      <c r="AJ27001" s="835">
        <v>41305</v>
      </c>
      <c r="AK27001" s="831">
        <v>513378335</v>
      </c>
    </row>
    <row r="27002" spans="32:37">
      <c r="AF27002" s="831" t="s">
        <v>10741</v>
      </c>
      <c r="AG27002" s="831" t="s">
        <v>2674</v>
      </c>
      <c r="AH27002" s="831" t="s">
        <v>574</v>
      </c>
      <c r="AI27002" s="831">
        <v>0</v>
      </c>
      <c r="AJ27002" s="835">
        <v>41305</v>
      </c>
      <c r="AK27002" s="831">
        <v>416588703.5</v>
      </c>
    </row>
    <row r="27003" spans="32:37">
      <c r="AF27003" s="831" t="s">
        <v>10742</v>
      </c>
      <c r="AG27003" s="831" t="s">
        <v>2674</v>
      </c>
      <c r="AH27003" s="831" t="s">
        <v>575</v>
      </c>
      <c r="AI27003" s="831">
        <v>0</v>
      </c>
      <c r="AJ27003" s="835">
        <v>41305</v>
      </c>
      <c r="AK27003" s="831">
        <v>99023029.5</v>
      </c>
    </row>
    <row r="27004" spans="32:37">
      <c r="AF27004" s="831" t="s">
        <v>10743</v>
      </c>
      <c r="AG27004" s="831" t="s">
        <v>2674</v>
      </c>
      <c r="AH27004" s="831" t="s">
        <v>576</v>
      </c>
      <c r="AI27004" s="831">
        <v>0</v>
      </c>
      <c r="AJ27004" s="835">
        <v>41305</v>
      </c>
      <c r="AK27004" s="831">
        <v>233642368.5</v>
      </c>
    </row>
    <row r="27005" spans="32:37">
      <c r="AF27005" s="831" t="s">
        <v>10744</v>
      </c>
      <c r="AG27005" s="831" t="s">
        <v>2674</v>
      </c>
      <c r="AH27005" s="831" t="s">
        <v>572</v>
      </c>
      <c r="AI27005" s="831">
        <v>0</v>
      </c>
      <c r="AJ27005" s="835">
        <v>41305</v>
      </c>
      <c r="AK27005" s="831">
        <v>-2146826246</v>
      </c>
    </row>
    <row r="27006" spans="32:37">
      <c r="AF27006" s="831" t="s">
        <v>10745</v>
      </c>
      <c r="AG27006" s="831" t="s">
        <v>2674</v>
      </c>
      <c r="AH27006" s="831" t="s">
        <v>577</v>
      </c>
      <c r="AI27006" s="831">
        <v>0</v>
      </c>
      <c r="AJ27006" s="835">
        <v>41305</v>
      </c>
      <c r="AK27006" s="831">
        <v>-2146826246</v>
      </c>
    </row>
    <row r="27007" spans="32:37">
      <c r="AF27007" s="831" t="s">
        <v>10746</v>
      </c>
      <c r="AG27007" s="831" t="s">
        <v>2674</v>
      </c>
      <c r="AH27007" s="831" t="s">
        <v>3042</v>
      </c>
      <c r="AI27007" s="831">
        <v>0</v>
      </c>
      <c r="AJ27007" s="835">
        <v>41305</v>
      </c>
      <c r="AK27007" s="831">
        <v>-2146826246</v>
      </c>
    </row>
    <row r="27008" spans="32:37">
      <c r="AF27008" s="831" t="s">
        <v>10747</v>
      </c>
      <c r="AG27008" s="831" t="s">
        <v>2674</v>
      </c>
      <c r="AH27008" s="831" t="s">
        <v>3044</v>
      </c>
      <c r="AI27008" s="831">
        <v>0</v>
      </c>
      <c r="AJ27008" s="835">
        <v>41305</v>
      </c>
      <c r="AK27008" s="831">
        <v>-2146826246</v>
      </c>
    </row>
    <row r="27009" spans="32:37">
      <c r="AF27009" s="831" t="s">
        <v>10748</v>
      </c>
      <c r="AG27009" s="831" t="s">
        <v>2674</v>
      </c>
      <c r="AH27009" s="831" t="s">
        <v>580</v>
      </c>
      <c r="AI27009" s="831">
        <v>0</v>
      </c>
      <c r="AJ27009" s="835">
        <v>41305</v>
      </c>
      <c r="AK27009" s="831">
        <v>-2146826246</v>
      </c>
    </row>
    <row r="27010" spans="32:37">
      <c r="AF27010" s="831" t="s">
        <v>10749</v>
      </c>
      <c r="AG27010" s="831" t="s">
        <v>2674</v>
      </c>
      <c r="AH27010" s="831" t="s">
        <v>581</v>
      </c>
      <c r="AI27010" s="831">
        <v>0</v>
      </c>
      <c r="AJ27010" s="835">
        <v>41305</v>
      </c>
      <c r="AK27010" s="831">
        <v>-2146826246</v>
      </c>
    </row>
    <row r="27011" spans="32:37">
      <c r="AF27011" s="831" t="s">
        <v>10750</v>
      </c>
      <c r="AG27011" s="831" t="s">
        <v>2674</v>
      </c>
      <c r="AH27011" s="831" t="s">
        <v>105</v>
      </c>
      <c r="AI27011" s="831">
        <v>0</v>
      </c>
      <c r="AJ27011" s="835">
        <v>41305</v>
      </c>
      <c r="AK27011" s="831">
        <v>229704611</v>
      </c>
    </row>
    <row r="27012" spans="32:37">
      <c r="AF27012" s="831" t="s">
        <v>10751</v>
      </c>
      <c r="AG27012" s="831" t="s">
        <v>2674</v>
      </c>
      <c r="AH27012" s="831" t="s">
        <v>3049</v>
      </c>
      <c r="AI27012" s="831">
        <v>0</v>
      </c>
      <c r="AJ27012" s="835">
        <v>41305</v>
      </c>
      <c r="AK27012" s="831">
        <v>400579663</v>
      </c>
    </row>
    <row r="27013" spans="32:37">
      <c r="AF27013" s="831" t="s">
        <v>10752</v>
      </c>
      <c r="AG27013" s="831" t="s">
        <v>2674</v>
      </c>
      <c r="AH27013" s="831" t="s">
        <v>103</v>
      </c>
      <c r="AI27013" s="831">
        <v>0</v>
      </c>
      <c r="AJ27013" s="835">
        <v>41305</v>
      </c>
      <c r="AK27013" s="831">
        <v>170875052</v>
      </c>
    </row>
    <row r="27014" spans="32:37">
      <c r="AF27014" s="831" t="s">
        <v>10753</v>
      </c>
      <c r="AG27014" s="831" t="s">
        <v>2674</v>
      </c>
      <c r="AH27014" s="831" t="s">
        <v>182</v>
      </c>
      <c r="AI27014" s="831">
        <v>0</v>
      </c>
      <c r="AJ27014" s="835">
        <v>41305</v>
      </c>
      <c r="AK27014" s="831">
        <v>57203676</v>
      </c>
    </row>
    <row r="27015" spans="32:37">
      <c r="AF27015" s="831" t="s">
        <v>10754</v>
      </c>
      <c r="AG27015" s="831" t="s">
        <v>2674</v>
      </c>
      <c r="AH27015" s="831" t="s">
        <v>6600</v>
      </c>
      <c r="AI27015" s="831">
        <v>0</v>
      </c>
      <c r="AJ27015" s="835">
        <v>41305</v>
      </c>
      <c r="AK27015" s="831">
        <v>-2146826246</v>
      </c>
    </row>
    <row r="27016" spans="32:37">
      <c r="AF27016" s="831" t="s">
        <v>10755</v>
      </c>
      <c r="AG27016" s="831" t="s">
        <v>2674</v>
      </c>
      <c r="AH27016" s="831" t="s">
        <v>6602</v>
      </c>
      <c r="AI27016" s="831">
        <v>0</v>
      </c>
      <c r="AJ27016" s="835">
        <v>41305</v>
      </c>
      <c r="AK27016" s="831">
        <v>2119961</v>
      </c>
    </row>
    <row r="27017" spans="32:37">
      <c r="AF27017" s="831" t="s">
        <v>10756</v>
      </c>
      <c r="AG27017" s="831" t="s">
        <v>2674</v>
      </c>
      <c r="AH27017" s="831" t="s">
        <v>650</v>
      </c>
      <c r="AI27017" s="831">
        <v>0</v>
      </c>
      <c r="AJ27017" s="835">
        <v>41305</v>
      </c>
      <c r="AK27017" s="831">
        <v>162276642.66666666</v>
      </c>
    </row>
    <row r="27018" spans="32:37">
      <c r="AF27018" s="831" t="s">
        <v>10757</v>
      </c>
      <c r="AG27018" s="831" t="s">
        <v>2674</v>
      </c>
      <c r="AH27018" s="831" t="s">
        <v>655</v>
      </c>
      <c r="AI27018" s="831">
        <v>0</v>
      </c>
      <c r="AJ27018" s="835">
        <v>41305</v>
      </c>
      <c r="AK27018" s="831">
        <v>1743639</v>
      </c>
    </row>
    <row r="27019" spans="32:37">
      <c r="AF27019" s="831" t="s">
        <v>10758</v>
      </c>
      <c r="AG27019" s="831" t="s">
        <v>2674</v>
      </c>
      <c r="AH27019" s="831" t="s">
        <v>546</v>
      </c>
      <c r="AI27019" s="831">
        <v>0</v>
      </c>
      <c r="AJ27019" s="835">
        <v>41333</v>
      </c>
      <c r="AK27019" s="831">
        <v>436810603</v>
      </c>
    </row>
    <row r="27020" spans="32:37">
      <c r="AF27020" s="831" t="s">
        <v>10759</v>
      </c>
      <c r="AG27020" s="831" t="s">
        <v>2674</v>
      </c>
      <c r="AH27020" s="831" t="s">
        <v>370</v>
      </c>
      <c r="AI27020" s="831">
        <v>0</v>
      </c>
      <c r="AJ27020" s="835">
        <v>41333</v>
      </c>
      <c r="AK27020" s="831">
        <v>522076176</v>
      </c>
    </row>
    <row r="27021" spans="32:37">
      <c r="AF27021" s="831" t="s">
        <v>10760</v>
      </c>
      <c r="AG27021" s="831" t="s">
        <v>2674</v>
      </c>
      <c r="AH27021" s="831" t="s">
        <v>126</v>
      </c>
      <c r="AI27021" s="831">
        <v>0</v>
      </c>
      <c r="AJ27021" s="835">
        <v>41333</v>
      </c>
      <c r="AK27021" s="831">
        <v>98581107</v>
      </c>
    </row>
    <row r="27022" spans="32:37">
      <c r="AF27022" s="831" t="s">
        <v>10761</v>
      </c>
      <c r="AG27022" s="831" t="s">
        <v>2674</v>
      </c>
      <c r="AH27022" s="831" t="s">
        <v>268</v>
      </c>
      <c r="AI27022" s="831">
        <v>0</v>
      </c>
      <c r="AJ27022" s="835">
        <v>41333</v>
      </c>
      <c r="AK27022" s="831">
        <v>3817884</v>
      </c>
    </row>
    <row r="27023" spans="32:37">
      <c r="AF27023" s="831" t="s">
        <v>10762</v>
      </c>
      <c r="AG27023" s="831" t="s">
        <v>2674</v>
      </c>
      <c r="AH27023" s="831" t="s">
        <v>547</v>
      </c>
      <c r="AI27023" s="831">
        <v>0</v>
      </c>
      <c r="AJ27023" s="835">
        <v>41333</v>
      </c>
      <c r="AK27023" s="831">
        <v>511487760</v>
      </c>
    </row>
    <row r="27024" spans="32:37">
      <c r="AF27024" s="831" t="s">
        <v>10763</v>
      </c>
      <c r="AG27024" s="831" t="s">
        <v>2674</v>
      </c>
      <c r="AH27024" s="831" t="s">
        <v>548</v>
      </c>
      <c r="AI27024" s="831">
        <v>0</v>
      </c>
      <c r="AJ27024" s="835">
        <v>41333</v>
      </c>
      <c r="AK27024" s="831">
        <v>96883184</v>
      </c>
    </row>
    <row r="27025" spans="32:37">
      <c r="AF27025" s="831" t="s">
        <v>10764</v>
      </c>
      <c r="AG27025" s="831" t="s">
        <v>2674</v>
      </c>
      <c r="AH27025" s="831" t="s">
        <v>549</v>
      </c>
      <c r="AI27025" s="831">
        <v>0</v>
      </c>
      <c r="AJ27025" s="835">
        <v>41333</v>
      </c>
      <c r="AK27025" s="831">
        <v>0</v>
      </c>
    </row>
    <row r="27026" spans="32:37">
      <c r="AF27026" s="831" t="s">
        <v>10765</v>
      </c>
      <c r="AG27026" s="831" t="s">
        <v>2674</v>
      </c>
      <c r="AH27026" s="831" t="s">
        <v>192</v>
      </c>
      <c r="AI27026" s="831">
        <v>0</v>
      </c>
      <c r="AJ27026" s="835">
        <v>41333</v>
      </c>
      <c r="AK27026" s="831">
        <v>-11285954</v>
      </c>
    </row>
    <row r="27027" spans="32:37">
      <c r="AF27027" s="831" t="s">
        <v>10766</v>
      </c>
      <c r="AG27027" s="831" t="s">
        <v>2674</v>
      </c>
      <c r="AH27027" s="831" t="s">
        <v>558</v>
      </c>
      <c r="AI27027" s="831">
        <v>0</v>
      </c>
      <c r="AJ27027" s="835">
        <v>41333</v>
      </c>
      <c r="AK27027" s="831">
        <v>423495069</v>
      </c>
    </row>
    <row r="27028" spans="32:37">
      <c r="AF27028" s="831" t="s">
        <v>10767</v>
      </c>
      <c r="AG27028" s="831" t="s">
        <v>2674</v>
      </c>
      <c r="AH27028" s="831" t="s">
        <v>65</v>
      </c>
      <c r="AI27028" s="831">
        <v>0</v>
      </c>
      <c r="AJ27028" s="835">
        <v>41333</v>
      </c>
      <c r="AK27028" s="831">
        <v>18985748</v>
      </c>
    </row>
    <row r="27029" spans="32:37">
      <c r="AF27029" s="831" t="s">
        <v>10768</v>
      </c>
      <c r="AG27029" s="831" t="s">
        <v>2674</v>
      </c>
      <c r="AH27029" s="831" t="s">
        <v>89</v>
      </c>
      <c r="AI27029" s="831">
        <v>0</v>
      </c>
      <c r="AJ27029" s="835">
        <v>41333</v>
      </c>
      <c r="AK27029" s="831">
        <v>127639</v>
      </c>
    </row>
    <row r="27030" spans="32:37">
      <c r="AF27030" s="831" t="s">
        <v>10769</v>
      </c>
      <c r="AG27030" s="831" t="s">
        <v>2674</v>
      </c>
      <c r="AH27030" s="831" t="s">
        <v>557</v>
      </c>
      <c r="AI27030" s="831">
        <v>0</v>
      </c>
      <c r="AJ27030" s="835">
        <v>41333</v>
      </c>
      <c r="AK27030" s="831">
        <v>130995</v>
      </c>
    </row>
    <row r="27031" spans="32:37">
      <c r="AF27031" s="831" t="s">
        <v>10770</v>
      </c>
      <c r="AG27031" s="831" t="s">
        <v>2674</v>
      </c>
      <c r="AH27031" s="831" t="s">
        <v>29</v>
      </c>
      <c r="AI27031" s="831">
        <v>0</v>
      </c>
      <c r="AJ27031" s="835">
        <v>41333</v>
      </c>
      <c r="AK27031" s="831">
        <v>2238797</v>
      </c>
    </row>
    <row r="27032" spans="32:37">
      <c r="AF27032" s="831" t="s">
        <v>10771</v>
      </c>
      <c r="AG27032" s="831" t="s">
        <v>2674</v>
      </c>
      <c r="AH27032" s="831" t="s">
        <v>2688</v>
      </c>
      <c r="AI27032" s="831">
        <v>0</v>
      </c>
      <c r="AJ27032" s="835">
        <v>41333</v>
      </c>
      <c r="AK27032" s="831">
        <v>2647738</v>
      </c>
    </row>
    <row r="27033" spans="32:37">
      <c r="AF27033" s="831" t="s">
        <v>10772</v>
      </c>
      <c r="AG27033" s="831" t="s">
        <v>2674</v>
      </c>
      <c r="AH27033" s="831" t="s">
        <v>556</v>
      </c>
      <c r="AI27033" s="831">
        <v>0</v>
      </c>
      <c r="AJ27033" s="835">
        <v>41333</v>
      </c>
      <c r="AK27033" s="831">
        <v>902857</v>
      </c>
    </row>
    <row r="27034" spans="32:37">
      <c r="AF27034" s="831" t="s">
        <v>10773</v>
      </c>
      <c r="AG27034" s="831" t="s">
        <v>2674</v>
      </c>
      <c r="AH27034" s="831" t="s">
        <v>555</v>
      </c>
      <c r="AI27034" s="831">
        <v>0</v>
      </c>
      <c r="AJ27034" s="835">
        <v>41333</v>
      </c>
      <c r="AK27034" s="831">
        <v>267734690</v>
      </c>
    </row>
    <row r="27035" spans="32:37">
      <c r="AF27035" s="831" t="s">
        <v>10774</v>
      </c>
      <c r="AG27035" s="831" t="s">
        <v>2674</v>
      </c>
      <c r="AH27035" s="831" t="s">
        <v>554</v>
      </c>
      <c r="AI27035" s="831">
        <v>0</v>
      </c>
      <c r="AJ27035" s="835">
        <v>41333</v>
      </c>
      <c r="AK27035" s="831">
        <v>272030190</v>
      </c>
    </row>
    <row r="27036" spans="32:37">
      <c r="AF27036" s="831" t="s">
        <v>10775</v>
      </c>
      <c r="AG27036" s="831" t="s">
        <v>2674</v>
      </c>
      <c r="AH27036" s="831" t="s">
        <v>553</v>
      </c>
      <c r="AI27036" s="831">
        <v>0</v>
      </c>
      <c r="AJ27036" s="835">
        <v>41333</v>
      </c>
      <c r="AK27036" s="831">
        <v>0</v>
      </c>
    </row>
    <row r="27037" spans="32:37">
      <c r="AF27037" s="831" t="s">
        <v>10776</v>
      </c>
      <c r="AG27037" s="831" t="s">
        <v>2674</v>
      </c>
      <c r="AH27037" s="831" t="s">
        <v>552</v>
      </c>
      <c r="AI27037" s="831">
        <v>0</v>
      </c>
      <c r="AJ27037" s="835">
        <v>41333</v>
      </c>
      <c r="AK27037" s="831">
        <v>0</v>
      </c>
    </row>
    <row r="27038" spans="32:37">
      <c r="AF27038" s="831" t="s">
        <v>10777</v>
      </c>
      <c r="AG27038" s="831" t="s">
        <v>2674</v>
      </c>
      <c r="AH27038" s="831" t="s">
        <v>551</v>
      </c>
      <c r="AI27038" s="831">
        <v>0</v>
      </c>
      <c r="AJ27038" s="835">
        <v>41333</v>
      </c>
      <c r="AK27038" s="831">
        <v>1930398</v>
      </c>
    </row>
    <row r="27039" spans="32:37">
      <c r="AF27039" s="831" t="s">
        <v>10778</v>
      </c>
      <c r="AG27039" s="831" t="s">
        <v>2674</v>
      </c>
      <c r="AH27039" s="831" t="s">
        <v>550</v>
      </c>
      <c r="AI27039" s="831">
        <v>0</v>
      </c>
      <c r="AJ27039" s="835">
        <v>41333</v>
      </c>
      <c r="AK27039" s="831">
        <v>96883184</v>
      </c>
    </row>
    <row r="27040" spans="32:37">
      <c r="AF27040" s="831" t="s">
        <v>10779</v>
      </c>
      <c r="AG27040" s="831" t="s">
        <v>2674</v>
      </c>
      <c r="AH27040" s="831" t="s">
        <v>562</v>
      </c>
      <c r="AI27040" s="831">
        <v>0</v>
      </c>
      <c r="AJ27040" s="835">
        <v>41333</v>
      </c>
      <c r="AK27040" s="831">
        <v>0.78434999999999999</v>
      </c>
    </row>
    <row r="27041" spans="32:37">
      <c r="AF27041" s="831" t="s">
        <v>10780</v>
      </c>
      <c r="AG27041" s="831" t="s">
        <v>2674</v>
      </c>
      <c r="AH27041" s="831" t="s">
        <v>2698</v>
      </c>
      <c r="AI27041" s="831">
        <v>0</v>
      </c>
      <c r="AJ27041" s="835">
        <v>41333</v>
      </c>
      <c r="AK27041" s="831">
        <v>0.78385000000000005</v>
      </c>
    </row>
    <row r="27042" spans="32:37">
      <c r="AF27042" s="831" t="s">
        <v>10781</v>
      </c>
      <c r="AG27042" s="831" t="s">
        <v>2674</v>
      </c>
      <c r="AH27042" s="831" t="s">
        <v>560</v>
      </c>
      <c r="AI27042" s="831">
        <v>0</v>
      </c>
      <c r="AJ27042" s="835">
        <v>41333</v>
      </c>
      <c r="AK27042" s="831">
        <v>0.78410000000000002</v>
      </c>
    </row>
    <row r="27043" spans="32:37">
      <c r="AF27043" s="831" t="s">
        <v>10782</v>
      </c>
      <c r="AG27043" s="831" t="s">
        <v>2674</v>
      </c>
      <c r="AH27043" s="831" t="s">
        <v>559</v>
      </c>
      <c r="AI27043" s="831">
        <v>0</v>
      </c>
      <c r="AJ27043" s="835">
        <v>41333</v>
      </c>
      <c r="AK27043" s="831">
        <v>0.78474583333333314</v>
      </c>
    </row>
    <row r="27044" spans="32:37">
      <c r="AF27044" s="831" t="s">
        <v>10783</v>
      </c>
      <c r="AG27044" s="831" t="s">
        <v>2674</v>
      </c>
      <c r="AH27044" s="831" t="s">
        <v>568</v>
      </c>
      <c r="AI27044" s="831">
        <v>0</v>
      </c>
      <c r="AJ27044" s="835">
        <v>41333</v>
      </c>
      <c r="AK27044" s="831">
        <v>380181038.5</v>
      </c>
    </row>
    <row r="27045" spans="32:37">
      <c r="AF27045" s="831" t="s">
        <v>10784</v>
      </c>
      <c r="AG27045" s="831" t="s">
        <v>2674</v>
      </c>
      <c r="AH27045" s="831" t="s">
        <v>569</v>
      </c>
      <c r="AI27045" s="831">
        <v>0</v>
      </c>
      <c r="AJ27045" s="835">
        <v>41333</v>
      </c>
      <c r="AK27045" s="831">
        <v>465288979.30000001</v>
      </c>
    </row>
    <row r="27046" spans="32:37">
      <c r="AF27046" s="831" t="s">
        <v>10785</v>
      </c>
      <c r="AG27046" s="831" t="s">
        <v>2674</v>
      </c>
      <c r="AH27046" s="831" t="s">
        <v>570</v>
      </c>
      <c r="AI27046" s="831">
        <v>0</v>
      </c>
      <c r="AJ27046" s="835">
        <v>41333</v>
      </c>
      <c r="AK27046" s="831">
        <v>96636190.400000006</v>
      </c>
    </row>
    <row r="27047" spans="32:37">
      <c r="AF27047" s="831" t="s">
        <v>10786</v>
      </c>
      <c r="AG27047" s="831" t="s">
        <v>2674</v>
      </c>
      <c r="AH27047" s="831" t="s">
        <v>571</v>
      </c>
      <c r="AI27047" s="831">
        <v>0</v>
      </c>
      <c r="AJ27047" s="835">
        <v>41333</v>
      </c>
      <c r="AK27047" s="831">
        <v>192024019</v>
      </c>
    </row>
    <row r="27048" spans="32:37">
      <c r="AF27048" s="831" t="s">
        <v>10787</v>
      </c>
      <c r="AG27048" s="831" t="s">
        <v>2674</v>
      </c>
      <c r="AH27048" s="831" t="s">
        <v>573</v>
      </c>
      <c r="AI27048" s="831">
        <v>0</v>
      </c>
      <c r="AJ27048" s="835">
        <v>41333</v>
      </c>
      <c r="AK27048" s="831">
        <v>516277615.33333331</v>
      </c>
    </row>
    <row r="27049" spans="32:37">
      <c r="AF27049" s="831" t="s">
        <v>10788</v>
      </c>
      <c r="AG27049" s="831" t="s">
        <v>2674</v>
      </c>
      <c r="AH27049" s="831" t="s">
        <v>574</v>
      </c>
      <c r="AI27049" s="831">
        <v>0</v>
      </c>
      <c r="AJ27049" s="835">
        <v>41333</v>
      </c>
      <c r="AK27049" s="831">
        <v>423329336.66666669</v>
      </c>
    </row>
    <row r="27050" spans="32:37">
      <c r="AF27050" s="831" t="s">
        <v>10789</v>
      </c>
      <c r="AG27050" s="831" t="s">
        <v>2674</v>
      </c>
      <c r="AH27050" s="831" t="s">
        <v>575</v>
      </c>
      <c r="AI27050" s="831">
        <v>0</v>
      </c>
      <c r="AJ27050" s="835">
        <v>41333</v>
      </c>
      <c r="AK27050" s="831">
        <v>98875722</v>
      </c>
    </row>
    <row r="27051" spans="32:37">
      <c r="AF27051" s="831" t="s">
        <v>10790</v>
      </c>
      <c r="AG27051" s="831" t="s">
        <v>2674</v>
      </c>
      <c r="AH27051" s="831" t="s">
        <v>576</v>
      </c>
      <c r="AI27051" s="831">
        <v>0</v>
      </c>
      <c r="AJ27051" s="835">
        <v>41333</v>
      </c>
      <c r="AK27051" s="831">
        <v>233427024</v>
      </c>
    </row>
    <row r="27052" spans="32:37">
      <c r="AF27052" s="831" t="s">
        <v>10791</v>
      </c>
      <c r="AG27052" s="831" t="s">
        <v>2674</v>
      </c>
      <c r="AH27052" s="831" t="s">
        <v>572</v>
      </c>
      <c r="AI27052" s="831">
        <v>0</v>
      </c>
      <c r="AJ27052" s="835">
        <v>41333</v>
      </c>
      <c r="AK27052" s="831">
        <v>-2146826246</v>
      </c>
    </row>
    <row r="27053" spans="32:37">
      <c r="AF27053" s="831" t="s">
        <v>10792</v>
      </c>
      <c r="AG27053" s="831" t="s">
        <v>2674</v>
      </c>
      <c r="AH27053" s="831" t="s">
        <v>577</v>
      </c>
      <c r="AI27053" s="831">
        <v>0</v>
      </c>
      <c r="AJ27053" s="835">
        <v>41333</v>
      </c>
      <c r="AK27053" s="831">
        <v>-2146826246</v>
      </c>
    </row>
    <row r="27054" spans="32:37">
      <c r="AF27054" s="831" t="s">
        <v>10793</v>
      </c>
      <c r="AG27054" s="831" t="s">
        <v>2674</v>
      </c>
      <c r="AH27054" s="831" t="s">
        <v>3042</v>
      </c>
      <c r="AI27054" s="831">
        <v>0</v>
      </c>
      <c r="AJ27054" s="835">
        <v>41333</v>
      </c>
      <c r="AK27054" s="831">
        <v>-2146826246</v>
      </c>
    </row>
    <row r="27055" spans="32:37">
      <c r="AF27055" s="831" t="s">
        <v>10794</v>
      </c>
      <c r="AG27055" s="831" t="s">
        <v>2674</v>
      </c>
      <c r="AH27055" s="831" t="s">
        <v>3044</v>
      </c>
      <c r="AI27055" s="831">
        <v>0</v>
      </c>
      <c r="AJ27055" s="835">
        <v>41333</v>
      </c>
      <c r="AK27055" s="831">
        <v>-2146826246</v>
      </c>
    </row>
    <row r="27056" spans="32:37">
      <c r="AF27056" s="831" t="s">
        <v>10795</v>
      </c>
      <c r="AG27056" s="831" t="s">
        <v>2674</v>
      </c>
      <c r="AH27056" s="831" t="s">
        <v>580</v>
      </c>
      <c r="AI27056" s="831">
        <v>0</v>
      </c>
      <c r="AJ27056" s="835">
        <v>41333</v>
      </c>
      <c r="AK27056" s="831">
        <v>-2146826246</v>
      </c>
    </row>
    <row r="27057" spans="32:37">
      <c r="AF27057" s="831" t="s">
        <v>10796</v>
      </c>
      <c r="AG27057" s="831" t="s">
        <v>2674</v>
      </c>
      <c r="AH27057" s="831" t="s">
        <v>581</v>
      </c>
      <c r="AI27057" s="831">
        <v>0</v>
      </c>
      <c r="AJ27057" s="835">
        <v>41333</v>
      </c>
      <c r="AK27057" s="831">
        <v>-2146826246</v>
      </c>
    </row>
    <row r="27058" spans="32:37">
      <c r="AF27058" s="831" t="s">
        <v>10797</v>
      </c>
      <c r="AG27058" s="831" t="s">
        <v>2674</v>
      </c>
      <c r="AH27058" s="831" t="s">
        <v>105</v>
      </c>
      <c r="AI27058" s="831">
        <v>0</v>
      </c>
      <c r="AJ27058" s="835">
        <v>41333</v>
      </c>
      <c r="AK27058" s="831">
        <v>232996335</v>
      </c>
    </row>
    <row r="27059" spans="32:37">
      <c r="AF27059" s="831" t="s">
        <v>10798</v>
      </c>
      <c r="AG27059" s="831" t="s">
        <v>2674</v>
      </c>
      <c r="AH27059" s="831" t="s">
        <v>3049</v>
      </c>
      <c r="AI27059" s="831">
        <v>0</v>
      </c>
      <c r="AJ27059" s="835">
        <v>41333</v>
      </c>
      <c r="AK27059" s="831">
        <v>409742104</v>
      </c>
    </row>
    <row r="27060" spans="32:37">
      <c r="AF27060" s="831" t="s">
        <v>10799</v>
      </c>
      <c r="AG27060" s="831" t="s">
        <v>2674</v>
      </c>
      <c r="AH27060" s="831" t="s">
        <v>103</v>
      </c>
      <c r="AI27060" s="831">
        <v>0</v>
      </c>
      <c r="AJ27060" s="835">
        <v>41333</v>
      </c>
      <c r="AK27060" s="831">
        <v>176745769</v>
      </c>
    </row>
    <row r="27061" spans="32:37">
      <c r="AF27061" s="831" t="s">
        <v>10800</v>
      </c>
      <c r="AG27061" s="831" t="s">
        <v>2674</v>
      </c>
      <c r="AH27061" s="831" t="s">
        <v>182</v>
      </c>
      <c r="AI27061" s="831">
        <v>0</v>
      </c>
      <c r="AJ27061" s="835">
        <v>41333</v>
      </c>
      <c r="AK27061" s="831">
        <v>55637232</v>
      </c>
    </row>
    <row r="27062" spans="32:37">
      <c r="AF27062" s="831" t="s">
        <v>10801</v>
      </c>
      <c r="AG27062" s="831" t="s">
        <v>2674</v>
      </c>
      <c r="AH27062" s="831" t="s">
        <v>6600</v>
      </c>
      <c r="AI27062" s="831">
        <v>0</v>
      </c>
      <c r="AJ27062" s="835">
        <v>41333</v>
      </c>
      <c r="AK27062" s="831">
        <v>-2146826246</v>
      </c>
    </row>
    <row r="27063" spans="32:37">
      <c r="AF27063" s="831" t="s">
        <v>10802</v>
      </c>
      <c r="AG27063" s="831" t="s">
        <v>2674</v>
      </c>
      <c r="AH27063" s="831" t="s">
        <v>6602</v>
      </c>
      <c r="AI27063" s="831">
        <v>0</v>
      </c>
      <c r="AJ27063" s="835">
        <v>41333</v>
      </c>
      <c r="AK27063" s="831">
        <v>3817884</v>
      </c>
    </row>
    <row r="27064" spans="32:37">
      <c r="AF27064" s="831" t="s">
        <v>10803</v>
      </c>
      <c r="AG27064" s="831" t="s">
        <v>2674</v>
      </c>
      <c r="AH27064" s="831" t="s">
        <v>650</v>
      </c>
      <c r="AI27064" s="831">
        <v>0</v>
      </c>
      <c r="AJ27064" s="835">
        <v>41333</v>
      </c>
      <c r="AK27064" s="831">
        <v>163723555.30000001</v>
      </c>
    </row>
    <row r="27065" spans="32:37">
      <c r="AF27065" s="831" t="s">
        <v>10804</v>
      </c>
      <c r="AG27065" s="831" t="s">
        <v>2674</v>
      </c>
      <c r="AH27065" s="831" t="s">
        <v>655</v>
      </c>
      <c r="AI27065" s="831">
        <v>0</v>
      </c>
      <c r="AJ27065" s="835">
        <v>41333</v>
      </c>
      <c r="AK27065" s="831">
        <v>1851569</v>
      </c>
    </row>
    <row r="27066" spans="32:37">
      <c r="AF27066" s="831" t="s">
        <v>10805</v>
      </c>
      <c r="AG27066" s="831" t="s">
        <v>2674</v>
      </c>
      <c r="AH27066" s="831" t="s">
        <v>546</v>
      </c>
      <c r="AI27066" s="831">
        <v>0</v>
      </c>
      <c r="AJ27066" s="835">
        <v>41364</v>
      </c>
      <c r="AK27066" s="831">
        <v>455655641</v>
      </c>
    </row>
    <row r="27067" spans="32:37">
      <c r="AF27067" s="831" t="s">
        <v>10806</v>
      </c>
      <c r="AG27067" s="831" t="s">
        <v>2674</v>
      </c>
      <c r="AH27067" s="831" t="s">
        <v>370</v>
      </c>
      <c r="AI27067" s="831">
        <v>0</v>
      </c>
      <c r="AJ27067" s="835">
        <v>41364</v>
      </c>
      <c r="AK27067" s="831">
        <v>548973661</v>
      </c>
    </row>
    <row r="27068" spans="32:37">
      <c r="AF27068" s="831" t="s">
        <v>10807</v>
      </c>
      <c r="AG27068" s="831" t="s">
        <v>2674</v>
      </c>
      <c r="AH27068" s="831" t="s">
        <v>126</v>
      </c>
      <c r="AI27068" s="831">
        <v>0</v>
      </c>
      <c r="AJ27068" s="835">
        <v>41364</v>
      </c>
      <c r="AK27068" s="831">
        <v>100809389</v>
      </c>
    </row>
    <row r="27069" spans="32:37">
      <c r="AF27069" s="831" t="s">
        <v>10808</v>
      </c>
      <c r="AG27069" s="831" t="s">
        <v>2674</v>
      </c>
      <c r="AH27069" s="831" t="s">
        <v>268</v>
      </c>
      <c r="AI27069" s="831">
        <v>0</v>
      </c>
      <c r="AJ27069" s="835">
        <v>41364</v>
      </c>
      <c r="AK27069" s="831">
        <v>6046166</v>
      </c>
    </row>
    <row r="27070" spans="32:37">
      <c r="AF27070" s="831" t="s">
        <v>10809</v>
      </c>
      <c r="AG27070" s="831" t="s">
        <v>2674</v>
      </c>
      <c r="AH27070" s="831" t="s">
        <v>547</v>
      </c>
      <c r="AI27070" s="831">
        <v>0</v>
      </c>
      <c r="AJ27070" s="835">
        <v>41364</v>
      </c>
      <c r="AK27070" s="831">
        <v>511487760</v>
      </c>
    </row>
    <row r="27071" spans="32:37">
      <c r="AF27071" s="831" t="s">
        <v>10810</v>
      </c>
      <c r="AG27071" s="831" t="s">
        <v>2674</v>
      </c>
      <c r="AH27071" s="831" t="s">
        <v>548</v>
      </c>
      <c r="AI27071" s="831">
        <v>0</v>
      </c>
      <c r="AJ27071" s="835">
        <v>41364</v>
      </c>
      <c r="AK27071" s="831">
        <v>96883184</v>
      </c>
    </row>
    <row r="27072" spans="32:37">
      <c r="AF27072" s="831" t="s">
        <v>10811</v>
      </c>
      <c r="AG27072" s="831" t="s">
        <v>2674</v>
      </c>
      <c r="AH27072" s="831" t="s">
        <v>549</v>
      </c>
      <c r="AI27072" s="831">
        <v>0</v>
      </c>
      <c r="AJ27072" s="835">
        <v>41364</v>
      </c>
      <c r="AK27072" s="831">
        <v>0</v>
      </c>
    </row>
    <row r="27073" spans="32:37">
      <c r="AF27073" s="831" t="s">
        <v>10812</v>
      </c>
      <c r="AG27073" s="831" t="s">
        <v>2674</v>
      </c>
      <c r="AH27073" s="831" t="s">
        <v>192</v>
      </c>
      <c r="AI27073" s="831">
        <v>0</v>
      </c>
      <c r="AJ27073" s="835">
        <v>41364</v>
      </c>
      <c r="AK27073" s="831">
        <v>-11725074</v>
      </c>
    </row>
    <row r="27074" spans="32:37">
      <c r="AF27074" s="831" t="s">
        <v>10813</v>
      </c>
      <c r="AG27074" s="831" t="s">
        <v>2674</v>
      </c>
      <c r="AH27074" s="831" t="s">
        <v>558</v>
      </c>
      <c r="AI27074" s="831">
        <v>0</v>
      </c>
      <c r="AJ27074" s="835">
        <v>41364</v>
      </c>
      <c r="AK27074" s="831">
        <v>448164272</v>
      </c>
    </row>
    <row r="27075" spans="32:37">
      <c r="AF27075" s="831" t="s">
        <v>10814</v>
      </c>
      <c r="AG27075" s="831" t="s">
        <v>2674</v>
      </c>
      <c r="AH27075" s="831" t="s">
        <v>65</v>
      </c>
      <c r="AI27075" s="831">
        <v>0</v>
      </c>
      <c r="AJ27075" s="835">
        <v>41364</v>
      </c>
      <c r="AK27075" s="831">
        <v>27883165</v>
      </c>
    </row>
    <row r="27076" spans="32:37">
      <c r="AF27076" s="831" t="s">
        <v>10815</v>
      </c>
      <c r="AG27076" s="831" t="s">
        <v>2674</v>
      </c>
      <c r="AH27076" s="831" t="s">
        <v>89</v>
      </c>
      <c r="AI27076" s="831">
        <v>0</v>
      </c>
      <c r="AJ27076" s="835">
        <v>41364</v>
      </c>
      <c r="AK27076" s="831">
        <v>129296</v>
      </c>
    </row>
    <row r="27077" spans="32:37">
      <c r="AF27077" s="831" t="s">
        <v>10816</v>
      </c>
      <c r="AG27077" s="831" t="s">
        <v>2674</v>
      </c>
      <c r="AH27077" s="831" t="s">
        <v>557</v>
      </c>
      <c r="AI27077" s="831">
        <v>0</v>
      </c>
      <c r="AJ27077" s="835">
        <v>41364</v>
      </c>
      <c r="AK27077" s="831">
        <v>133005</v>
      </c>
    </row>
    <row r="27078" spans="32:37">
      <c r="AF27078" s="831" t="s">
        <v>10817</v>
      </c>
      <c r="AG27078" s="831" t="s">
        <v>2674</v>
      </c>
      <c r="AH27078" s="831" t="s">
        <v>29</v>
      </c>
      <c r="AI27078" s="831">
        <v>0</v>
      </c>
      <c r="AJ27078" s="835">
        <v>41364</v>
      </c>
      <c r="AK27078" s="831">
        <v>2674773</v>
      </c>
    </row>
    <row r="27079" spans="32:37">
      <c r="AF27079" s="831" t="s">
        <v>10818</v>
      </c>
      <c r="AG27079" s="831" t="s">
        <v>2674</v>
      </c>
      <c r="AH27079" s="831" t="s">
        <v>2688</v>
      </c>
      <c r="AI27079" s="831">
        <v>0</v>
      </c>
      <c r="AJ27079" s="835">
        <v>41364</v>
      </c>
      <c r="AK27079" s="831">
        <v>2715490</v>
      </c>
    </row>
    <row r="27080" spans="32:37">
      <c r="AF27080" s="831" t="s">
        <v>10819</v>
      </c>
      <c r="AG27080" s="831" t="s">
        <v>2674</v>
      </c>
      <c r="AH27080" s="831" t="s">
        <v>556</v>
      </c>
      <c r="AI27080" s="831">
        <v>0</v>
      </c>
      <c r="AJ27080" s="835">
        <v>41364</v>
      </c>
      <c r="AK27080" s="831">
        <v>902857</v>
      </c>
    </row>
    <row r="27081" spans="32:37">
      <c r="AF27081" s="831" t="s">
        <v>10820</v>
      </c>
      <c r="AG27081" s="831" t="s">
        <v>2674</v>
      </c>
      <c r="AH27081" s="831" t="s">
        <v>555</v>
      </c>
      <c r="AI27081" s="831">
        <v>0</v>
      </c>
      <c r="AJ27081" s="835">
        <v>41364</v>
      </c>
      <c r="AK27081" s="831">
        <v>285158930</v>
      </c>
    </row>
    <row r="27082" spans="32:37">
      <c r="AF27082" s="831" t="s">
        <v>10821</v>
      </c>
      <c r="AG27082" s="831" t="s">
        <v>2674</v>
      </c>
      <c r="AH27082" s="831" t="s">
        <v>554</v>
      </c>
      <c r="AI27082" s="831">
        <v>0</v>
      </c>
      <c r="AJ27082" s="835">
        <v>41364</v>
      </c>
      <c r="AK27082" s="831">
        <v>281381290</v>
      </c>
    </row>
    <row r="27083" spans="32:37">
      <c r="AF27083" s="831" t="s">
        <v>10822</v>
      </c>
      <c r="AG27083" s="831" t="s">
        <v>2674</v>
      </c>
      <c r="AH27083" s="831" t="s">
        <v>553</v>
      </c>
      <c r="AI27083" s="831">
        <v>0</v>
      </c>
      <c r="AJ27083" s="835">
        <v>41364</v>
      </c>
      <c r="AK27083" s="831">
        <v>0</v>
      </c>
    </row>
    <row r="27084" spans="32:37">
      <c r="AF27084" s="831" t="s">
        <v>10823</v>
      </c>
      <c r="AG27084" s="831" t="s">
        <v>2674</v>
      </c>
      <c r="AH27084" s="831" t="s">
        <v>552</v>
      </c>
      <c r="AI27084" s="831">
        <v>0</v>
      </c>
      <c r="AJ27084" s="835">
        <v>41364</v>
      </c>
      <c r="AK27084" s="831">
        <v>0</v>
      </c>
    </row>
    <row r="27085" spans="32:37">
      <c r="AF27085" s="831" t="s">
        <v>10824</v>
      </c>
      <c r="AG27085" s="831" t="s">
        <v>2674</v>
      </c>
      <c r="AH27085" s="831" t="s">
        <v>551</v>
      </c>
      <c r="AI27085" s="831">
        <v>0</v>
      </c>
      <c r="AJ27085" s="835">
        <v>41364</v>
      </c>
      <c r="AK27085" s="831">
        <v>2175856</v>
      </c>
    </row>
    <row r="27086" spans="32:37">
      <c r="AF27086" s="831" t="s">
        <v>10825</v>
      </c>
      <c r="AG27086" s="831" t="s">
        <v>2674</v>
      </c>
      <c r="AH27086" s="831" t="s">
        <v>550</v>
      </c>
      <c r="AI27086" s="831">
        <v>0</v>
      </c>
      <c r="AJ27086" s="835">
        <v>41364</v>
      </c>
      <c r="AK27086" s="831">
        <v>98581107</v>
      </c>
    </row>
    <row r="27087" spans="32:37">
      <c r="AF27087" s="831" t="s">
        <v>10826</v>
      </c>
      <c r="AG27087" s="831" t="s">
        <v>2674</v>
      </c>
      <c r="AH27087" s="831" t="s">
        <v>562</v>
      </c>
      <c r="AI27087" s="831">
        <v>0</v>
      </c>
      <c r="AJ27087" s="835">
        <v>41364</v>
      </c>
      <c r="AK27087" s="831">
        <v>0.78425</v>
      </c>
    </row>
    <row r="27088" spans="32:37">
      <c r="AF27088" s="831" t="s">
        <v>10827</v>
      </c>
      <c r="AG27088" s="831" t="s">
        <v>2674</v>
      </c>
      <c r="AH27088" s="831" t="s">
        <v>2698</v>
      </c>
      <c r="AI27088" s="831">
        <v>0</v>
      </c>
      <c r="AJ27088" s="835">
        <v>41364</v>
      </c>
      <c r="AK27088" s="831">
        <v>0.78434999999999999</v>
      </c>
    </row>
    <row r="27089" spans="32:37">
      <c r="AF27089" s="831" t="s">
        <v>10828</v>
      </c>
      <c r="AG27089" s="831" t="s">
        <v>2674</v>
      </c>
      <c r="AH27089" s="831" t="s">
        <v>560</v>
      </c>
      <c r="AI27089" s="831">
        <v>0</v>
      </c>
      <c r="AJ27089" s="835">
        <v>41364</v>
      </c>
      <c r="AK27089" s="831">
        <v>0.78415000000000001</v>
      </c>
    </row>
    <row r="27090" spans="32:37">
      <c r="AF27090" s="831" t="s">
        <v>10829</v>
      </c>
      <c r="AG27090" s="831" t="s">
        <v>2674</v>
      </c>
      <c r="AH27090" s="831" t="s">
        <v>559</v>
      </c>
      <c r="AI27090" s="831">
        <v>0</v>
      </c>
      <c r="AJ27090" s="835">
        <v>41364</v>
      </c>
      <c r="AK27090" s="831">
        <v>0.78459166666666669</v>
      </c>
    </row>
    <row r="27091" spans="32:37">
      <c r="AF27091" s="831" t="s">
        <v>10830</v>
      </c>
      <c r="AG27091" s="831" t="s">
        <v>2674</v>
      </c>
      <c r="AH27091" s="831" t="s">
        <v>568</v>
      </c>
      <c r="AI27091" s="831">
        <v>0</v>
      </c>
      <c r="AJ27091" s="835">
        <v>41364</v>
      </c>
      <c r="AK27091" s="831">
        <v>387042366</v>
      </c>
    </row>
    <row r="27092" spans="32:37">
      <c r="AF27092" s="831" t="s">
        <v>10831</v>
      </c>
      <c r="AG27092" s="831" t="s">
        <v>2674</v>
      </c>
      <c r="AH27092" s="831" t="s">
        <v>569</v>
      </c>
      <c r="AI27092" s="831">
        <v>0</v>
      </c>
      <c r="AJ27092" s="835">
        <v>41364</v>
      </c>
      <c r="AK27092" s="831">
        <v>472896677.63636363</v>
      </c>
    </row>
    <row r="27093" spans="32:37">
      <c r="AF27093" s="831" t="s">
        <v>10832</v>
      </c>
      <c r="AG27093" s="831" t="s">
        <v>2674</v>
      </c>
      <c r="AH27093" s="831" t="s">
        <v>570</v>
      </c>
      <c r="AI27093" s="831">
        <v>0</v>
      </c>
      <c r="AJ27093" s="835">
        <v>41364</v>
      </c>
      <c r="AK27093" s="831">
        <v>97015572.090909094</v>
      </c>
    </row>
    <row r="27094" spans="32:37">
      <c r="AF27094" s="831" t="s">
        <v>10833</v>
      </c>
      <c r="AG27094" s="831" t="s">
        <v>2674</v>
      </c>
      <c r="AH27094" s="831" t="s">
        <v>571</v>
      </c>
      <c r="AI27094" s="831">
        <v>0</v>
      </c>
      <c r="AJ27094" s="835">
        <v>41364</v>
      </c>
      <c r="AK27094" s="831">
        <v>197450778.09090909</v>
      </c>
    </row>
    <row r="27095" spans="32:37">
      <c r="AF27095" s="831" t="s">
        <v>10834</v>
      </c>
      <c r="AG27095" s="831" t="s">
        <v>2674</v>
      </c>
      <c r="AH27095" s="831" t="s">
        <v>573</v>
      </c>
      <c r="AI27095" s="831">
        <v>0</v>
      </c>
      <c r="AJ27095" s="835">
        <v>41364</v>
      </c>
      <c r="AK27095" s="831">
        <v>524451626.75</v>
      </c>
    </row>
    <row r="27096" spans="32:37">
      <c r="AF27096" s="831" t="s">
        <v>10835</v>
      </c>
      <c r="AG27096" s="831" t="s">
        <v>2674</v>
      </c>
      <c r="AH27096" s="831" t="s">
        <v>574</v>
      </c>
      <c r="AI27096" s="831">
        <v>0</v>
      </c>
      <c r="AJ27096" s="835">
        <v>41364</v>
      </c>
      <c r="AK27096" s="831">
        <v>431410912.75</v>
      </c>
    </row>
    <row r="27097" spans="32:37">
      <c r="AF27097" s="831" t="s">
        <v>10836</v>
      </c>
      <c r="AG27097" s="831" t="s">
        <v>2674</v>
      </c>
      <c r="AH27097" s="831" t="s">
        <v>575</v>
      </c>
      <c r="AI27097" s="831">
        <v>0</v>
      </c>
      <c r="AJ27097" s="835">
        <v>41364</v>
      </c>
      <c r="AK27097" s="831">
        <v>99359138.75</v>
      </c>
    </row>
    <row r="27098" spans="32:37">
      <c r="AF27098" s="831" t="s">
        <v>10837</v>
      </c>
      <c r="AG27098" s="831" t="s">
        <v>2674</v>
      </c>
      <c r="AH27098" s="831" t="s">
        <v>576</v>
      </c>
      <c r="AI27098" s="831">
        <v>0</v>
      </c>
      <c r="AJ27098" s="835">
        <v>41364</v>
      </c>
      <c r="AK27098" s="831">
        <v>237999860.25</v>
      </c>
    </row>
    <row r="27099" spans="32:37">
      <c r="AF27099" s="831" t="s">
        <v>10838</v>
      </c>
      <c r="AG27099" s="831" t="s">
        <v>2674</v>
      </c>
      <c r="AH27099" s="831" t="s">
        <v>572</v>
      </c>
      <c r="AI27099" s="831">
        <v>0</v>
      </c>
      <c r="AJ27099" s="835">
        <v>41364</v>
      </c>
      <c r="AK27099" s="831">
        <v>-2146826246</v>
      </c>
    </row>
    <row r="27100" spans="32:37">
      <c r="AF27100" s="831" t="s">
        <v>10839</v>
      </c>
      <c r="AG27100" s="831" t="s">
        <v>2674</v>
      </c>
      <c r="AH27100" s="831" t="s">
        <v>577</v>
      </c>
      <c r="AI27100" s="831">
        <v>0</v>
      </c>
      <c r="AJ27100" s="835">
        <v>41364</v>
      </c>
      <c r="AK27100" s="831">
        <v>-2146826246</v>
      </c>
    </row>
    <row r="27101" spans="32:37">
      <c r="AF27101" s="831" t="s">
        <v>10840</v>
      </c>
      <c r="AG27101" s="831" t="s">
        <v>2674</v>
      </c>
      <c r="AH27101" s="831" t="s">
        <v>3042</v>
      </c>
      <c r="AI27101" s="831">
        <v>0</v>
      </c>
      <c r="AJ27101" s="835">
        <v>41364</v>
      </c>
      <c r="AK27101" s="831">
        <v>-2146826246</v>
      </c>
    </row>
    <row r="27102" spans="32:37">
      <c r="AF27102" s="831" t="s">
        <v>10841</v>
      </c>
      <c r="AG27102" s="831" t="s">
        <v>2674</v>
      </c>
      <c r="AH27102" s="831" t="s">
        <v>3044</v>
      </c>
      <c r="AI27102" s="831">
        <v>0</v>
      </c>
      <c r="AJ27102" s="835">
        <v>41364</v>
      </c>
      <c r="AK27102" s="831">
        <v>-2146826246</v>
      </c>
    </row>
    <row r="27103" spans="32:37">
      <c r="AF27103" s="831" t="s">
        <v>10842</v>
      </c>
      <c r="AG27103" s="831" t="s">
        <v>2674</v>
      </c>
      <c r="AH27103" s="831" t="s">
        <v>580</v>
      </c>
      <c r="AI27103" s="831">
        <v>0</v>
      </c>
      <c r="AJ27103" s="835">
        <v>41364</v>
      </c>
      <c r="AK27103" s="831">
        <v>-2146826246</v>
      </c>
    </row>
    <row r="27104" spans="32:37">
      <c r="AF27104" s="831" t="s">
        <v>10843</v>
      </c>
      <c r="AG27104" s="831" t="s">
        <v>2674</v>
      </c>
      <c r="AH27104" s="831" t="s">
        <v>581</v>
      </c>
      <c r="AI27104" s="831">
        <v>0</v>
      </c>
      <c r="AJ27104" s="835">
        <v>41364</v>
      </c>
      <c r="AK27104" s="831">
        <v>-2146826246</v>
      </c>
    </row>
    <row r="27105" spans="32:37">
      <c r="AF27105" s="831" t="s">
        <v>10844</v>
      </c>
      <c r="AG27105" s="831" t="s">
        <v>2674</v>
      </c>
      <c r="AH27105" s="831" t="s">
        <v>105</v>
      </c>
      <c r="AI27105" s="831">
        <v>0</v>
      </c>
      <c r="AJ27105" s="835">
        <v>41364</v>
      </c>
      <c r="AK27105" s="831">
        <v>251718369</v>
      </c>
    </row>
    <row r="27106" spans="32:37">
      <c r="AF27106" s="831" t="s">
        <v>10845</v>
      </c>
      <c r="AG27106" s="831" t="s">
        <v>2674</v>
      </c>
      <c r="AH27106" s="831" t="s">
        <v>3049</v>
      </c>
      <c r="AI27106" s="831">
        <v>0</v>
      </c>
      <c r="AJ27106" s="835">
        <v>41364</v>
      </c>
      <c r="AK27106" s="831">
        <v>433573874</v>
      </c>
    </row>
    <row r="27107" spans="32:37">
      <c r="AF27107" s="831" t="s">
        <v>10846</v>
      </c>
      <c r="AG27107" s="831" t="s">
        <v>2674</v>
      </c>
      <c r="AH27107" s="831" t="s">
        <v>103</v>
      </c>
      <c r="AI27107" s="831">
        <v>0</v>
      </c>
      <c r="AJ27107" s="835">
        <v>41364</v>
      </c>
      <c r="AK27107" s="831">
        <v>181855505</v>
      </c>
    </row>
    <row r="27108" spans="32:37">
      <c r="AF27108" s="831" t="s">
        <v>10847</v>
      </c>
      <c r="AG27108" s="831" t="s">
        <v>2674</v>
      </c>
      <c r="AH27108" s="831" t="s">
        <v>182</v>
      </c>
      <c r="AI27108" s="831">
        <v>0</v>
      </c>
      <c r="AJ27108" s="835">
        <v>41364</v>
      </c>
      <c r="AK27108" s="831">
        <v>54931936</v>
      </c>
    </row>
    <row r="27109" spans="32:37">
      <c r="AF27109" s="831" t="s">
        <v>10848</v>
      </c>
      <c r="AG27109" s="831" t="s">
        <v>2674</v>
      </c>
      <c r="AH27109" s="831" t="s">
        <v>6600</v>
      </c>
      <c r="AI27109" s="831">
        <v>0</v>
      </c>
      <c r="AJ27109" s="835">
        <v>41364</v>
      </c>
      <c r="AK27109" s="831">
        <v>-2146826246</v>
      </c>
    </row>
    <row r="27110" spans="32:37">
      <c r="AF27110" s="831" t="s">
        <v>10849</v>
      </c>
      <c r="AG27110" s="831" t="s">
        <v>2674</v>
      </c>
      <c r="AH27110" s="831" t="s">
        <v>6602</v>
      </c>
      <c r="AI27110" s="831">
        <v>0</v>
      </c>
      <c r="AJ27110" s="835">
        <v>41364</v>
      </c>
      <c r="AK27110" s="831">
        <v>6046166</v>
      </c>
    </row>
    <row r="27111" spans="32:37">
      <c r="AF27111" s="831" t="s">
        <v>10850</v>
      </c>
      <c r="AG27111" s="831" t="s">
        <v>2674</v>
      </c>
      <c r="AH27111" s="831" t="s">
        <v>650</v>
      </c>
      <c r="AI27111" s="831">
        <v>0</v>
      </c>
      <c r="AJ27111" s="835">
        <v>41364</v>
      </c>
      <c r="AK27111" s="831">
        <v>165371914.36363637</v>
      </c>
    </row>
    <row r="27112" spans="32:37">
      <c r="AF27112" s="831" t="s">
        <v>10851</v>
      </c>
      <c r="AG27112" s="831" t="s">
        <v>2674</v>
      </c>
      <c r="AH27112" s="831" t="s">
        <v>655</v>
      </c>
      <c r="AI27112" s="831">
        <v>0</v>
      </c>
      <c r="AJ27112" s="835">
        <v>41364</v>
      </c>
      <c r="AK27112" s="831">
        <v>1831184</v>
      </c>
    </row>
    <row r="27113" spans="32:37">
      <c r="AF27113" s="831" t="s">
        <v>10852</v>
      </c>
      <c r="AG27113" s="831" t="s">
        <v>2674</v>
      </c>
      <c r="AH27113" s="831" t="s">
        <v>546</v>
      </c>
      <c r="AI27113" s="831">
        <v>0</v>
      </c>
      <c r="AJ27113" s="835">
        <v>41394</v>
      </c>
      <c r="AK27113" s="831">
        <v>479771222</v>
      </c>
    </row>
    <row r="27114" spans="32:37">
      <c r="AF27114" s="831" t="s">
        <v>10853</v>
      </c>
      <c r="AG27114" s="831" t="s">
        <v>2674</v>
      </c>
      <c r="AH27114" s="831" t="s">
        <v>370</v>
      </c>
      <c r="AI27114" s="831">
        <v>0</v>
      </c>
      <c r="AJ27114" s="835">
        <v>41394</v>
      </c>
      <c r="AK27114" s="831">
        <v>566329383</v>
      </c>
    </row>
    <row r="27115" spans="32:37">
      <c r="AF27115" s="831" t="s">
        <v>10854</v>
      </c>
      <c r="AG27115" s="831" t="s">
        <v>2674</v>
      </c>
      <c r="AH27115" s="831" t="s">
        <v>126</v>
      </c>
      <c r="AI27115" s="831">
        <v>0</v>
      </c>
      <c r="AJ27115" s="835">
        <v>41394</v>
      </c>
      <c r="AK27115" s="831">
        <v>103327866</v>
      </c>
    </row>
    <row r="27116" spans="32:37">
      <c r="AF27116" s="831" t="s">
        <v>10855</v>
      </c>
      <c r="AG27116" s="831" t="s">
        <v>2674</v>
      </c>
      <c r="AH27116" s="831" t="s">
        <v>268</v>
      </c>
      <c r="AI27116" s="831">
        <v>0</v>
      </c>
      <c r="AJ27116" s="835">
        <v>41394</v>
      </c>
      <c r="AK27116" s="831">
        <v>8564643</v>
      </c>
    </row>
    <row r="27117" spans="32:37">
      <c r="AF27117" s="831" t="s">
        <v>10856</v>
      </c>
      <c r="AG27117" s="831" t="s">
        <v>2674</v>
      </c>
      <c r="AH27117" s="831" t="s">
        <v>547</v>
      </c>
      <c r="AI27117" s="831">
        <v>0</v>
      </c>
      <c r="AJ27117" s="835">
        <v>41394</v>
      </c>
      <c r="AK27117" s="831">
        <v>511487760</v>
      </c>
    </row>
    <row r="27118" spans="32:37">
      <c r="AF27118" s="831" t="s">
        <v>10857</v>
      </c>
      <c r="AG27118" s="831" t="s">
        <v>2674</v>
      </c>
      <c r="AH27118" s="831" t="s">
        <v>548</v>
      </c>
      <c r="AI27118" s="831">
        <v>0</v>
      </c>
      <c r="AJ27118" s="835">
        <v>41394</v>
      </c>
      <c r="AK27118" s="831">
        <v>96883184</v>
      </c>
    </row>
    <row r="27119" spans="32:37">
      <c r="AF27119" s="831" t="s">
        <v>10858</v>
      </c>
      <c r="AG27119" s="831" t="s">
        <v>2674</v>
      </c>
      <c r="AH27119" s="831" t="s">
        <v>549</v>
      </c>
      <c r="AI27119" s="831">
        <v>0</v>
      </c>
      <c r="AJ27119" s="835">
        <v>41394</v>
      </c>
      <c r="AK27119" s="831">
        <v>0</v>
      </c>
    </row>
    <row r="27120" spans="32:37">
      <c r="AF27120" s="831" t="s">
        <v>10859</v>
      </c>
      <c r="AG27120" s="831" t="s">
        <v>2674</v>
      </c>
      <c r="AH27120" s="831" t="s">
        <v>192</v>
      </c>
      <c r="AI27120" s="831">
        <v>0</v>
      </c>
      <c r="AJ27120" s="835">
        <v>41394</v>
      </c>
      <c r="AK27120" s="831">
        <v>-12137335</v>
      </c>
    </row>
    <row r="27121" spans="32:37">
      <c r="AF27121" s="831" t="s">
        <v>10860</v>
      </c>
      <c r="AG27121" s="831" t="s">
        <v>2674</v>
      </c>
      <c r="AH27121" s="831" t="s">
        <v>558</v>
      </c>
      <c r="AI27121" s="831">
        <v>0</v>
      </c>
      <c r="AJ27121" s="835">
        <v>41394</v>
      </c>
      <c r="AK27121" s="831">
        <v>463001517</v>
      </c>
    </row>
    <row r="27122" spans="32:37">
      <c r="AF27122" s="831" t="s">
        <v>10861</v>
      </c>
      <c r="AG27122" s="831" t="s">
        <v>2674</v>
      </c>
      <c r="AH27122" s="831" t="s">
        <v>65</v>
      </c>
      <c r="AI27122" s="831">
        <v>0</v>
      </c>
      <c r="AJ27122" s="835">
        <v>41394</v>
      </c>
      <c r="AK27122" s="831">
        <v>38829477</v>
      </c>
    </row>
    <row r="27123" spans="32:37">
      <c r="AF27123" s="831" t="s">
        <v>10862</v>
      </c>
      <c r="AG27123" s="831" t="s">
        <v>2674</v>
      </c>
      <c r="AH27123" s="831" t="s">
        <v>89</v>
      </c>
      <c r="AI27123" s="831">
        <v>0</v>
      </c>
      <c r="AJ27123" s="835">
        <v>41394</v>
      </c>
      <c r="AK27123" s="831">
        <v>132126</v>
      </c>
    </row>
    <row r="27124" spans="32:37">
      <c r="AF27124" s="831" t="s">
        <v>10863</v>
      </c>
      <c r="AG27124" s="831" t="s">
        <v>2674</v>
      </c>
      <c r="AH27124" s="831" t="s">
        <v>557</v>
      </c>
      <c r="AI27124" s="831">
        <v>0</v>
      </c>
      <c r="AJ27124" s="835">
        <v>41394</v>
      </c>
      <c r="AK27124" s="831">
        <v>135969</v>
      </c>
    </row>
    <row r="27125" spans="32:37">
      <c r="AF27125" s="831" t="s">
        <v>10864</v>
      </c>
      <c r="AG27125" s="831" t="s">
        <v>2674</v>
      </c>
      <c r="AH27125" s="831" t="s">
        <v>29</v>
      </c>
      <c r="AI27125" s="831">
        <v>0</v>
      </c>
      <c r="AJ27125" s="835">
        <v>41394</v>
      </c>
      <c r="AK27125" s="831">
        <v>3183810</v>
      </c>
    </row>
    <row r="27126" spans="32:37">
      <c r="AF27126" s="831" t="s">
        <v>10865</v>
      </c>
      <c r="AG27126" s="831" t="s">
        <v>2674</v>
      </c>
      <c r="AH27126" s="831" t="s">
        <v>2688</v>
      </c>
      <c r="AI27126" s="831">
        <v>0</v>
      </c>
      <c r="AJ27126" s="835">
        <v>41394</v>
      </c>
      <c r="AK27126" s="831">
        <v>2795249</v>
      </c>
    </row>
    <row r="27127" spans="32:37">
      <c r="AF27127" s="831" t="s">
        <v>10866</v>
      </c>
      <c r="AG27127" s="831" t="s">
        <v>2674</v>
      </c>
      <c r="AH27127" s="831" t="s">
        <v>556</v>
      </c>
      <c r="AI27127" s="831">
        <v>0</v>
      </c>
      <c r="AJ27127" s="835">
        <v>41394</v>
      </c>
      <c r="AK27127" s="831">
        <v>902857</v>
      </c>
    </row>
    <row r="27128" spans="32:37">
      <c r="AF27128" s="831" t="s">
        <v>10867</v>
      </c>
      <c r="AG27128" s="831" t="s">
        <v>2674</v>
      </c>
      <c r="AH27128" s="831" t="s">
        <v>555</v>
      </c>
      <c r="AI27128" s="831">
        <v>0</v>
      </c>
      <c r="AJ27128" s="835">
        <v>41394</v>
      </c>
      <c r="AK27128" s="831">
        <v>292199280</v>
      </c>
    </row>
    <row r="27129" spans="32:37">
      <c r="AF27129" s="831" t="s">
        <v>10868</v>
      </c>
      <c r="AG27129" s="831" t="s">
        <v>2674</v>
      </c>
      <c r="AH27129" s="831" t="s">
        <v>554</v>
      </c>
      <c r="AI27129" s="831">
        <v>0</v>
      </c>
      <c r="AJ27129" s="835">
        <v>41394</v>
      </c>
      <c r="AK27129" s="831">
        <v>282835760</v>
      </c>
    </row>
    <row r="27130" spans="32:37">
      <c r="AF27130" s="831" t="s">
        <v>10869</v>
      </c>
      <c r="AG27130" s="831" t="s">
        <v>2674</v>
      </c>
      <c r="AH27130" s="831" t="s">
        <v>553</v>
      </c>
      <c r="AI27130" s="831">
        <v>0</v>
      </c>
      <c r="AJ27130" s="835">
        <v>41394</v>
      </c>
      <c r="AK27130" s="831">
        <v>0</v>
      </c>
    </row>
    <row r="27131" spans="32:37">
      <c r="AF27131" s="831" t="s">
        <v>10870</v>
      </c>
      <c r="AG27131" s="831" t="s">
        <v>2674</v>
      </c>
      <c r="AH27131" s="831" t="s">
        <v>552</v>
      </c>
      <c r="AI27131" s="831">
        <v>0</v>
      </c>
      <c r="AJ27131" s="835">
        <v>41394</v>
      </c>
      <c r="AK27131" s="831">
        <v>0</v>
      </c>
    </row>
    <row r="27132" spans="32:37">
      <c r="AF27132" s="831" t="s">
        <v>10871</v>
      </c>
      <c r="AG27132" s="831" t="s">
        <v>2674</v>
      </c>
      <c r="AH27132" s="831" t="s">
        <v>551</v>
      </c>
      <c r="AI27132" s="831">
        <v>0</v>
      </c>
      <c r="AJ27132" s="835">
        <v>41394</v>
      </c>
      <c r="AK27132" s="831">
        <v>3073568</v>
      </c>
    </row>
    <row r="27133" spans="32:37">
      <c r="AF27133" s="831" t="s">
        <v>10872</v>
      </c>
      <c r="AG27133" s="831" t="s">
        <v>2674</v>
      </c>
      <c r="AH27133" s="831" t="s">
        <v>550</v>
      </c>
      <c r="AI27133" s="831">
        <v>0</v>
      </c>
      <c r="AJ27133" s="835">
        <v>41394</v>
      </c>
      <c r="AK27133" s="831">
        <v>100809389</v>
      </c>
    </row>
    <row r="27134" spans="32:37">
      <c r="AF27134" s="831" t="s">
        <v>10873</v>
      </c>
      <c r="AG27134" s="831" t="s">
        <v>2674</v>
      </c>
      <c r="AH27134" s="831" t="s">
        <v>562</v>
      </c>
      <c r="AI27134" s="831">
        <v>0</v>
      </c>
      <c r="AJ27134" s="835">
        <v>41394</v>
      </c>
      <c r="AK27134" s="831">
        <v>0.78405000000000002</v>
      </c>
    </row>
    <row r="27135" spans="32:37">
      <c r="AF27135" s="831" t="s">
        <v>10874</v>
      </c>
      <c r="AG27135" s="831" t="s">
        <v>2674</v>
      </c>
      <c r="AH27135" s="831" t="s">
        <v>2698</v>
      </c>
      <c r="AI27135" s="831">
        <v>0</v>
      </c>
      <c r="AJ27135" s="835">
        <v>41394</v>
      </c>
      <c r="AK27135" s="831">
        <v>0.78425</v>
      </c>
    </row>
    <row r="27136" spans="32:37">
      <c r="AF27136" s="831" t="s">
        <v>10875</v>
      </c>
      <c r="AG27136" s="831" t="s">
        <v>2674</v>
      </c>
      <c r="AH27136" s="831" t="s">
        <v>560</v>
      </c>
      <c r="AI27136" s="831">
        <v>0</v>
      </c>
      <c r="AJ27136" s="835">
        <v>41394</v>
      </c>
      <c r="AK27136" s="831">
        <v>0.78412500000000007</v>
      </c>
    </row>
    <row r="27137" spans="32:37">
      <c r="AF27137" s="831" t="s">
        <v>10876</v>
      </c>
      <c r="AG27137" s="831" t="s">
        <v>2674</v>
      </c>
      <c r="AH27137" s="831" t="s">
        <v>559</v>
      </c>
      <c r="AI27137" s="831">
        <v>0</v>
      </c>
      <c r="AJ27137" s="835">
        <v>41394</v>
      </c>
      <c r="AK27137" s="831">
        <v>0.78444166666666681</v>
      </c>
    </row>
    <row r="27138" spans="32:37">
      <c r="AF27138" s="831" t="s">
        <v>10877</v>
      </c>
      <c r="AG27138" s="831" t="s">
        <v>2674</v>
      </c>
      <c r="AH27138" s="831" t="s">
        <v>568</v>
      </c>
      <c r="AI27138" s="831">
        <v>0</v>
      </c>
      <c r="AJ27138" s="835">
        <v>41394</v>
      </c>
      <c r="AK27138" s="831">
        <v>394769770.66666669</v>
      </c>
    </row>
    <row r="27139" spans="32:37">
      <c r="AF27139" s="831" t="s">
        <v>10878</v>
      </c>
      <c r="AG27139" s="831" t="s">
        <v>2674</v>
      </c>
      <c r="AH27139" s="831" t="s">
        <v>569</v>
      </c>
      <c r="AI27139" s="831">
        <v>0</v>
      </c>
      <c r="AJ27139" s="835">
        <v>41394</v>
      </c>
      <c r="AK27139" s="831">
        <v>480682736.41666669</v>
      </c>
    </row>
    <row r="27140" spans="32:37">
      <c r="AF27140" s="831" t="s">
        <v>10879</v>
      </c>
      <c r="AG27140" s="831" t="s">
        <v>2674</v>
      </c>
      <c r="AH27140" s="831" t="s">
        <v>570</v>
      </c>
      <c r="AI27140" s="831">
        <v>0</v>
      </c>
      <c r="AJ27140" s="835">
        <v>41394</v>
      </c>
      <c r="AK27140" s="831">
        <v>97541596.583333328</v>
      </c>
    </row>
    <row r="27141" spans="32:37">
      <c r="AF27141" s="831" t="s">
        <v>10880</v>
      </c>
      <c r="AG27141" s="831" t="s">
        <v>2674</v>
      </c>
      <c r="AH27141" s="831" t="s">
        <v>571</v>
      </c>
      <c r="AI27141" s="831">
        <v>0</v>
      </c>
      <c r="AJ27141" s="835">
        <v>41394</v>
      </c>
      <c r="AK27141" s="831">
        <v>202392383.16666666</v>
      </c>
    </row>
    <row r="27142" spans="32:37">
      <c r="AF27142" s="831" t="s">
        <v>10881</v>
      </c>
      <c r="AG27142" s="831" t="s">
        <v>2674</v>
      </c>
      <c r="AH27142" s="831" t="s">
        <v>573</v>
      </c>
      <c r="AI27142" s="831">
        <v>0</v>
      </c>
      <c r="AJ27142" s="835">
        <v>41394</v>
      </c>
      <c r="AK27142" s="831">
        <v>532827178</v>
      </c>
    </row>
    <row r="27143" spans="32:37">
      <c r="AF27143" s="831" t="s">
        <v>10882</v>
      </c>
      <c r="AG27143" s="831" t="s">
        <v>2674</v>
      </c>
      <c r="AH27143" s="831" t="s">
        <v>574</v>
      </c>
      <c r="AI27143" s="831">
        <v>0</v>
      </c>
      <c r="AJ27143" s="835">
        <v>41394</v>
      </c>
      <c r="AK27143" s="831">
        <v>441082974.60000002</v>
      </c>
    </row>
    <row r="27144" spans="32:37">
      <c r="AF27144" s="831" t="s">
        <v>10883</v>
      </c>
      <c r="AG27144" s="831" t="s">
        <v>2674</v>
      </c>
      <c r="AH27144" s="831" t="s">
        <v>575</v>
      </c>
      <c r="AI27144" s="831">
        <v>0</v>
      </c>
      <c r="AJ27144" s="835">
        <v>41394</v>
      </c>
      <c r="AK27144" s="831">
        <v>100152884.2</v>
      </c>
    </row>
    <row r="27145" spans="32:37">
      <c r="AF27145" s="831" t="s">
        <v>10884</v>
      </c>
      <c r="AG27145" s="831" t="s">
        <v>2674</v>
      </c>
      <c r="AH27145" s="831" t="s">
        <v>576</v>
      </c>
      <c r="AI27145" s="831">
        <v>0</v>
      </c>
      <c r="AJ27145" s="835">
        <v>41394</v>
      </c>
      <c r="AK27145" s="831">
        <v>241749896</v>
      </c>
    </row>
    <row r="27146" spans="32:37">
      <c r="AF27146" s="831" t="s">
        <v>10885</v>
      </c>
      <c r="AG27146" s="831" t="s">
        <v>2674</v>
      </c>
      <c r="AH27146" s="831" t="s">
        <v>572</v>
      </c>
      <c r="AI27146" s="831">
        <v>0</v>
      </c>
      <c r="AJ27146" s="835">
        <v>41394</v>
      </c>
      <c r="AK27146" s="831">
        <v>24404594</v>
      </c>
    </row>
    <row r="27147" spans="32:37">
      <c r="AF27147" s="831" t="s">
        <v>10886</v>
      </c>
      <c r="AG27147" s="831" t="s">
        <v>2674</v>
      </c>
      <c r="AH27147" s="831" t="s">
        <v>577</v>
      </c>
      <c r="AI27147" s="831">
        <v>0</v>
      </c>
      <c r="AJ27147" s="835">
        <v>41394</v>
      </c>
      <c r="AK27147" s="831">
        <v>137705857</v>
      </c>
    </row>
    <row r="27148" spans="32:37">
      <c r="AF27148" s="831" t="s">
        <v>10887</v>
      </c>
      <c r="AG27148" s="831" t="s">
        <v>2674</v>
      </c>
      <c r="AH27148" s="831" t="s">
        <v>3042</v>
      </c>
      <c r="AI27148" s="831">
        <v>0</v>
      </c>
      <c r="AJ27148" s="835">
        <v>41394</v>
      </c>
      <c r="AK27148" s="831">
        <v>-34403926</v>
      </c>
    </row>
    <row r="27149" spans="32:37">
      <c r="AF27149" s="831" t="s">
        <v>10888</v>
      </c>
      <c r="AG27149" s="831" t="s">
        <v>2674</v>
      </c>
      <c r="AH27149" s="831" t="s">
        <v>3044</v>
      </c>
      <c r="AI27149" s="831">
        <v>0</v>
      </c>
      <c r="AJ27149" s="835">
        <v>41394</v>
      </c>
      <c r="AK27149" s="831">
        <v>-4759976</v>
      </c>
    </row>
    <row r="27150" spans="32:37">
      <c r="AF27150" s="831" t="s">
        <v>10889</v>
      </c>
      <c r="AG27150" s="831" t="s">
        <v>2674</v>
      </c>
      <c r="AH27150" s="831" t="s">
        <v>580</v>
      </c>
      <c r="AI27150" s="831">
        <v>0</v>
      </c>
      <c r="AJ27150" s="835">
        <v>41394</v>
      </c>
      <c r="AK27150" s="831">
        <v>-71824276</v>
      </c>
    </row>
    <row r="27151" spans="32:37">
      <c r="AF27151" s="831" t="s">
        <v>10890</v>
      </c>
      <c r="AG27151" s="831" t="s">
        <v>2674</v>
      </c>
      <c r="AH27151" s="831" t="s">
        <v>581</v>
      </c>
      <c r="AI27151" s="831">
        <v>0</v>
      </c>
      <c r="AJ27151" s="835">
        <v>41394</v>
      </c>
      <c r="AK27151" s="831">
        <v>4094604</v>
      </c>
    </row>
    <row r="27152" spans="32:37">
      <c r="AF27152" s="831" t="s">
        <v>10891</v>
      </c>
      <c r="AG27152" s="831" t="s">
        <v>2674</v>
      </c>
      <c r="AH27152" s="831" t="s">
        <v>105</v>
      </c>
      <c r="AI27152" s="831">
        <v>0</v>
      </c>
      <c r="AJ27152" s="835">
        <v>41394</v>
      </c>
      <c r="AK27152" s="831">
        <v>256750039</v>
      </c>
    </row>
    <row r="27153" spans="32:37">
      <c r="AF27153" s="831" t="s">
        <v>10892</v>
      </c>
      <c r="AG27153" s="831" t="s">
        <v>2674</v>
      </c>
      <c r="AH27153" s="831" t="s">
        <v>3049</v>
      </c>
      <c r="AI27153" s="831">
        <v>0</v>
      </c>
      <c r="AJ27153" s="835">
        <v>41394</v>
      </c>
      <c r="AK27153" s="831">
        <v>448399148</v>
      </c>
    </row>
    <row r="27154" spans="32:37">
      <c r="AF27154" s="831" t="s">
        <v>10893</v>
      </c>
      <c r="AG27154" s="831" t="s">
        <v>2674</v>
      </c>
      <c r="AH27154" s="831" t="s">
        <v>103</v>
      </c>
      <c r="AI27154" s="831">
        <v>0</v>
      </c>
      <c r="AJ27154" s="835">
        <v>41394</v>
      </c>
      <c r="AK27154" s="831">
        <v>191649109</v>
      </c>
    </row>
    <row r="27155" spans="32:37">
      <c r="AF27155" s="831" t="s">
        <v>10894</v>
      </c>
      <c r="AG27155" s="831" t="s">
        <v>2674</v>
      </c>
      <c r="AH27155" s="831" t="s">
        <v>182</v>
      </c>
      <c r="AI27155" s="831">
        <v>0</v>
      </c>
      <c r="AJ27155" s="835">
        <v>41394</v>
      </c>
      <c r="AK27155" s="831">
        <v>55518615</v>
      </c>
    </row>
    <row r="27156" spans="32:37">
      <c r="AF27156" s="831" t="s">
        <v>10895</v>
      </c>
      <c r="AG27156" s="831" t="s">
        <v>2674</v>
      </c>
      <c r="AH27156" s="831" t="s">
        <v>6600</v>
      </c>
      <c r="AI27156" s="831">
        <v>0</v>
      </c>
      <c r="AJ27156" s="835">
        <v>41394</v>
      </c>
      <c r="AK27156" s="831">
        <v>24404594</v>
      </c>
    </row>
    <row r="27157" spans="32:37">
      <c r="AF27157" s="831" t="s">
        <v>10896</v>
      </c>
      <c r="AG27157" s="831" t="s">
        <v>2674</v>
      </c>
      <c r="AH27157" s="831" t="s">
        <v>6602</v>
      </c>
      <c r="AI27157" s="831">
        <v>0</v>
      </c>
      <c r="AJ27157" s="835">
        <v>41394</v>
      </c>
      <c r="AK27157" s="831">
        <v>8564643</v>
      </c>
    </row>
    <row r="27158" spans="32:37">
      <c r="AF27158" s="831" t="s">
        <v>10897</v>
      </c>
      <c r="AG27158" s="831" t="s">
        <v>2674</v>
      </c>
      <c r="AH27158" s="831" t="s">
        <v>650</v>
      </c>
      <c r="AI27158" s="831">
        <v>0</v>
      </c>
      <c r="AJ27158" s="835">
        <v>41394</v>
      </c>
      <c r="AK27158" s="831">
        <v>167561680.58333334</v>
      </c>
    </row>
    <row r="27159" spans="32:37">
      <c r="AF27159" s="831" t="s">
        <v>10898</v>
      </c>
      <c r="AG27159" s="831" t="s">
        <v>2674</v>
      </c>
      <c r="AH27159" s="831" t="s">
        <v>655</v>
      </c>
      <c r="AI27159" s="831">
        <v>0</v>
      </c>
      <c r="AJ27159" s="835">
        <v>41394</v>
      </c>
      <c r="AK27159" s="831">
        <v>2577725</v>
      </c>
    </row>
    <row r="27160" spans="32:37">
      <c r="AF27160" s="831" t="s">
        <v>10899</v>
      </c>
      <c r="AG27160" s="831" t="s">
        <v>2674</v>
      </c>
      <c r="AH27160" s="831" t="s">
        <v>546</v>
      </c>
      <c r="AI27160" s="831">
        <v>0</v>
      </c>
      <c r="AJ27160" s="835">
        <v>41425</v>
      </c>
      <c r="AK27160" s="831">
        <v>505264542</v>
      </c>
    </row>
    <row r="27161" spans="32:37">
      <c r="AF27161" s="831" t="s">
        <v>10900</v>
      </c>
      <c r="AG27161" s="831" t="s">
        <v>2674</v>
      </c>
      <c r="AH27161" s="831" t="s">
        <v>370</v>
      </c>
      <c r="AI27161" s="831">
        <v>0</v>
      </c>
      <c r="AJ27161" s="835">
        <v>41425</v>
      </c>
      <c r="AK27161" s="831">
        <v>595292976</v>
      </c>
    </row>
    <row r="27162" spans="32:37">
      <c r="AF27162" s="831" t="s">
        <v>10901</v>
      </c>
      <c r="AG27162" s="831" t="s">
        <v>2674</v>
      </c>
      <c r="AH27162" s="831" t="s">
        <v>126</v>
      </c>
      <c r="AI27162" s="831">
        <v>0</v>
      </c>
      <c r="AJ27162" s="835">
        <v>41425</v>
      </c>
      <c r="AK27162" s="831">
        <v>105651356</v>
      </c>
    </row>
    <row r="27163" spans="32:37">
      <c r="AF27163" s="831" t="s">
        <v>10902</v>
      </c>
      <c r="AG27163" s="831" t="s">
        <v>2674</v>
      </c>
      <c r="AH27163" s="831" t="s">
        <v>268</v>
      </c>
      <c r="AI27163" s="831">
        <v>0</v>
      </c>
      <c r="AJ27163" s="835">
        <v>41425</v>
      </c>
      <c r="AK27163" s="831">
        <v>10888133</v>
      </c>
    </row>
    <row r="27164" spans="32:37">
      <c r="AF27164" s="831" t="s">
        <v>10903</v>
      </c>
      <c r="AG27164" s="831" t="s">
        <v>2674</v>
      </c>
      <c r="AH27164" s="831" t="s">
        <v>547</v>
      </c>
      <c r="AI27164" s="831">
        <v>0</v>
      </c>
      <c r="AJ27164" s="835">
        <v>41425</v>
      </c>
      <c r="AK27164" s="831">
        <v>511487760</v>
      </c>
    </row>
    <row r="27165" spans="32:37">
      <c r="AF27165" s="831" t="s">
        <v>10904</v>
      </c>
      <c r="AG27165" s="831" t="s">
        <v>2674</v>
      </c>
      <c r="AH27165" s="831" t="s">
        <v>548</v>
      </c>
      <c r="AI27165" s="831">
        <v>0</v>
      </c>
      <c r="AJ27165" s="835">
        <v>41425</v>
      </c>
      <c r="AK27165" s="831">
        <v>96883184</v>
      </c>
    </row>
    <row r="27166" spans="32:37">
      <c r="AF27166" s="831" t="s">
        <v>10905</v>
      </c>
      <c r="AG27166" s="831" t="s">
        <v>2674</v>
      </c>
      <c r="AH27166" s="831" t="s">
        <v>549</v>
      </c>
      <c r="AI27166" s="831">
        <v>0</v>
      </c>
      <c r="AJ27166" s="835">
        <v>41425</v>
      </c>
      <c r="AK27166" s="831">
        <v>339221349</v>
      </c>
    </row>
    <row r="27167" spans="32:37">
      <c r="AF27167" s="831" t="s">
        <v>10906</v>
      </c>
      <c r="AG27167" s="831" t="s">
        <v>2674</v>
      </c>
      <c r="AH27167" s="831" t="s">
        <v>192</v>
      </c>
      <c r="AI27167" s="831">
        <v>0</v>
      </c>
      <c r="AJ27167" s="835">
        <v>41425</v>
      </c>
      <c r="AK27167" s="831">
        <v>-12896676</v>
      </c>
    </row>
    <row r="27168" spans="32:37">
      <c r="AF27168" s="831" t="s">
        <v>10907</v>
      </c>
      <c r="AG27168" s="831" t="s">
        <v>2674</v>
      </c>
      <c r="AH27168" s="831" t="s">
        <v>558</v>
      </c>
      <c r="AI27168" s="831">
        <v>0</v>
      </c>
      <c r="AJ27168" s="835">
        <v>41425</v>
      </c>
      <c r="AK27168" s="831">
        <v>489641620</v>
      </c>
    </row>
    <row r="27169" spans="32:37">
      <c r="AF27169" s="831" t="s">
        <v>10908</v>
      </c>
      <c r="AG27169" s="831" t="s">
        <v>2674</v>
      </c>
      <c r="AH27169" s="831" t="s">
        <v>65</v>
      </c>
      <c r="AI27169" s="831">
        <v>0</v>
      </c>
      <c r="AJ27169" s="835">
        <v>41425</v>
      </c>
      <c r="AK27169" s="831">
        <v>49637231</v>
      </c>
    </row>
    <row r="27170" spans="32:37">
      <c r="AF27170" s="831" t="s">
        <v>10909</v>
      </c>
      <c r="AG27170" s="831" t="s">
        <v>2674</v>
      </c>
      <c r="AH27170" s="831" t="s">
        <v>89</v>
      </c>
      <c r="AI27170" s="831">
        <v>0</v>
      </c>
      <c r="AJ27170" s="835">
        <v>41425</v>
      </c>
      <c r="AK27170" s="831">
        <v>135204</v>
      </c>
    </row>
    <row r="27171" spans="32:37">
      <c r="AF27171" s="831" t="s">
        <v>10910</v>
      </c>
      <c r="AG27171" s="831" t="s">
        <v>2674</v>
      </c>
      <c r="AH27171" s="831" t="s">
        <v>557</v>
      </c>
      <c r="AI27171" s="831">
        <v>0</v>
      </c>
      <c r="AJ27171" s="835">
        <v>41425</v>
      </c>
      <c r="AK27171" s="831">
        <v>139930</v>
      </c>
    </row>
    <row r="27172" spans="32:37">
      <c r="AF27172" s="831" t="s">
        <v>10911</v>
      </c>
      <c r="AG27172" s="831" t="s">
        <v>2674</v>
      </c>
      <c r="AH27172" s="831" t="s">
        <v>29</v>
      </c>
      <c r="AI27172" s="831">
        <v>0</v>
      </c>
      <c r="AJ27172" s="835">
        <v>41425</v>
      </c>
      <c r="AK27172" s="831">
        <v>2486253</v>
      </c>
    </row>
    <row r="27173" spans="32:37">
      <c r="AF27173" s="831" t="s">
        <v>10912</v>
      </c>
      <c r="AG27173" s="831" t="s">
        <v>2674</v>
      </c>
      <c r="AH27173" s="831" t="s">
        <v>2688</v>
      </c>
      <c r="AI27173" s="831">
        <v>0</v>
      </c>
      <c r="AJ27173" s="835">
        <v>41425</v>
      </c>
      <c r="AK27173" s="831">
        <v>2733940</v>
      </c>
    </row>
    <row r="27174" spans="32:37">
      <c r="AF27174" s="831" t="s">
        <v>10913</v>
      </c>
      <c r="AG27174" s="831" t="s">
        <v>2674</v>
      </c>
      <c r="AH27174" s="831" t="s">
        <v>556</v>
      </c>
      <c r="AI27174" s="831">
        <v>0</v>
      </c>
      <c r="AJ27174" s="835">
        <v>41425</v>
      </c>
      <c r="AK27174" s="831">
        <v>902857</v>
      </c>
    </row>
    <row r="27175" spans="32:37">
      <c r="AF27175" s="831" t="s">
        <v>10914</v>
      </c>
      <c r="AG27175" s="831" t="s">
        <v>2674</v>
      </c>
      <c r="AH27175" s="831" t="s">
        <v>555</v>
      </c>
      <c r="AI27175" s="831">
        <v>0</v>
      </c>
      <c r="AJ27175" s="835">
        <v>41425</v>
      </c>
      <c r="AK27175" s="831">
        <v>310274630</v>
      </c>
    </row>
    <row r="27176" spans="32:37">
      <c r="AF27176" s="831" t="s">
        <v>10915</v>
      </c>
      <c r="AG27176" s="831" t="s">
        <v>2674</v>
      </c>
      <c r="AH27176" s="831" t="s">
        <v>554</v>
      </c>
      <c r="AI27176" s="831">
        <v>0</v>
      </c>
      <c r="AJ27176" s="835">
        <v>41425</v>
      </c>
      <c r="AK27176" s="831">
        <v>296232200</v>
      </c>
    </row>
    <row r="27177" spans="32:37">
      <c r="AF27177" s="831" t="s">
        <v>10916</v>
      </c>
      <c r="AG27177" s="831" t="s">
        <v>2674</v>
      </c>
      <c r="AH27177" s="831" t="s">
        <v>553</v>
      </c>
      <c r="AI27177" s="831">
        <v>0</v>
      </c>
      <c r="AJ27177" s="835">
        <v>41425</v>
      </c>
      <c r="AK27177" s="831">
        <v>0</v>
      </c>
    </row>
    <row r="27178" spans="32:37">
      <c r="AF27178" s="831" t="s">
        <v>10917</v>
      </c>
      <c r="AG27178" s="831" t="s">
        <v>2674</v>
      </c>
      <c r="AH27178" s="831" t="s">
        <v>552</v>
      </c>
      <c r="AI27178" s="831">
        <v>0</v>
      </c>
      <c r="AJ27178" s="835">
        <v>41425</v>
      </c>
      <c r="AK27178" s="831">
        <v>0</v>
      </c>
    </row>
    <row r="27179" spans="32:37">
      <c r="AF27179" s="831" t="s">
        <v>10918</v>
      </c>
      <c r="AG27179" s="831" t="s">
        <v>2674</v>
      </c>
      <c r="AH27179" s="831" t="s">
        <v>551</v>
      </c>
      <c r="AI27179" s="831">
        <v>0</v>
      </c>
      <c r="AJ27179" s="835">
        <v>41425</v>
      </c>
      <c r="AK27179" s="831">
        <v>2323653</v>
      </c>
    </row>
    <row r="27180" spans="32:37">
      <c r="AF27180" s="831" t="s">
        <v>10919</v>
      </c>
      <c r="AG27180" s="831" t="s">
        <v>2674</v>
      </c>
      <c r="AH27180" s="831" t="s">
        <v>550</v>
      </c>
      <c r="AI27180" s="831">
        <v>0</v>
      </c>
      <c r="AJ27180" s="835">
        <v>41425</v>
      </c>
      <c r="AK27180" s="831">
        <v>103327866</v>
      </c>
    </row>
    <row r="27181" spans="32:37">
      <c r="AF27181" s="831" t="s">
        <v>10920</v>
      </c>
      <c r="AG27181" s="831" t="s">
        <v>2674</v>
      </c>
      <c r="AH27181" s="831" t="s">
        <v>562</v>
      </c>
      <c r="AI27181" s="831">
        <v>0</v>
      </c>
      <c r="AJ27181" s="835">
        <v>41425</v>
      </c>
      <c r="AK27181" s="831">
        <v>0.78405000000000002</v>
      </c>
    </row>
    <row r="27182" spans="32:37">
      <c r="AF27182" s="831" t="s">
        <v>10921</v>
      </c>
      <c r="AG27182" s="831" t="s">
        <v>2674</v>
      </c>
      <c r="AH27182" s="831" t="s">
        <v>2698</v>
      </c>
      <c r="AI27182" s="831">
        <v>0</v>
      </c>
      <c r="AJ27182" s="835">
        <v>41425</v>
      </c>
      <c r="AK27182" s="831">
        <v>0.78405000000000002</v>
      </c>
    </row>
    <row r="27183" spans="32:37">
      <c r="AF27183" s="831" t="s">
        <v>10922</v>
      </c>
      <c r="AG27183" s="831" t="s">
        <v>2674</v>
      </c>
      <c r="AH27183" s="831" t="s">
        <v>560</v>
      </c>
      <c r="AI27183" s="831">
        <v>0</v>
      </c>
      <c r="AJ27183" s="835">
        <v>41425</v>
      </c>
      <c r="AK27183" s="831">
        <v>0.78410999999999997</v>
      </c>
    </row>
    <row r="27184" spans="32:37">
      <c r="AF27184" s="831" t="s">
        <v>10923</v>
      </c>
      <c r="AG27184" s="831" t="s">
        <v>2674</v>
      </c>
      <c r="AH27184" s="831" t="s">
        <v>559</v>
      </c>
      <c r="AI27184" s="831">
        <v>0</v>
      </c>
      <c r="AJ27184" s="835">
        <v>41425</v>
      </c>
      <c r="AK27184" s="831">
        <v>0.78434999999999999</v>
      </c>
    </row>
    <row r="27185" spans="32:37">
      <c r="AF27185" s="831" t="s">
        <v>10924</v>
      </c>
      <c r="AG27185" s="831" t="s">
        <v>2674</v>
      </c>
      <c r="AH27185" s="831" t="s">
        <v>568</v>
      </c>
      <c r="AI27185" s="831">
        <v>0</v>
      </c>
      <c r="AJ27185" s="835">
        <v>41425</v>
      </c>
      <c r="AK27185" s="831">
        <v>403269368.46153843</v>
      </c>
    </row>
    <row r="27186" spans="32:37">
      <c r="AF27186" s="831" t="s">
        <v>10925</v>
      </c>
      <c r="AG27186" s="831" t="s">
        <v>2674</v>
      </c>
      <c r="AH27186" s="831" t="s">
        <v>569</v>
      </c>
      <c r="AI27186" s="831">
        <v>0</v>
      </c>
      <c r="AJ27186" s="835">
        <v>41425</v>
      </c>
      <c r="AK27186" s="831">
        <v>489498908.69230771</v>
      </c>
    </row>
    <row r="27187" spans="32:37">
      <c r="AF27187" s="831" t="s">
        <v>10926</v>
      </c>
      <c r="AG27187" s="831" t="s">
        <v>2674</v>
      </c>
      <c r="AH27187" s="831" t="s">
        <v>570</v>
      </c>
      <c r="AI27187" s="831">
        <v>0</v>
      </c>
      <c r="AJ27187" s="835">
        <v>41425</v>
      </c>
      <c r="AK27187" s="831">
        <v>98165424.230769232</v>
      </c>
    </row>
    <row r="27188" spans="32:37">
      <c r="AF27188" s="831" t="s">
        <v>10927</v>
      </c>
      <c r="AG27188" s="831" t="s">
        <v>2674</v>
      </c>
      <c r="AH27188" s="831" t="s">
        <v>571</v>
      </c>
      <c r="AI27188" s="831">
        <v>0</v>
      </c>
      <c r="AJ27188" s="835">
        <v>41425</v>
      </c>
      <c r="AK27188" s="831">
        <v>207953338.07692307</v>
      </c>
    </row>
    <row r="27189" spans="32:37">
      <c r="AF27189" s="831" t="s">
        <v>10928</v>
      </c>
      <c r="AG27189" s="831" t="s">
        <v>2674</v>
      </c>
      <c r="AH27189" s="831" t="s">
        <v>573</v>
      </c>
      <c r="AI27189" s="831">
        <v>0</v>
      </c>
      <c r="AJ27189" s="835">
        <v>41425</v>
      </c>
      <c r="AK27189" s="831">
        <v>543238144.33333337</v>
      </c>
    </row>
    <row r="27190" spans="32:37">
      <c r="AF27190" s="831" t="s">
        <v>10929</v>
      </c>
      <c r="AG27190" s="831" t="s">
        <v>2674</v>
      </c>
      <c r="AH27190" s="831" t="s">
        <v>574</v>
      </c>
      <c r="AI27190" s="831">
        <v>0</v>
      </c>
      <c r="AJ27190" s="835">
        <v>41425</v>
      </c>
      <c r="AK27190" s="831">
        <v>451779902.5</v>
      </c>
    </row>
    <row r="27191" spans="32:37">
      <c r="AF27191" s="831" t="s">
        <v>10930</v>
      </c>
      <c r="AG27191" s="831" t="s">
        <v>2674</v>
      </c>
      <c r="AH27191" s="831" t="s">
        <v>575</v>
      </c>
      <c r="AI27191" s="831">
        <v>0</v>
      </c>
      <c r="AJ27191" s="835">
        <v>41425</v>
      </c>
      <c r="AK27191" s="831">
        <v>101069296.16666667</v>
      </c>
    </row>
    <row r="27192" spans="32:37">
      <c r="AF27192" s="831" t="s">
        <v>10931</v>
      </c>
      <c r="AG27192" s="831" t="s">
        <v>2674</v>
      </c>
      <c r="AH27192" s="831" t="s">
        <v>576</v>
      </c>
      <c r="AI27192" s="831">
        <v>0</v>
      </c>
      <c r="AJ27192" s="835">
        <v>41425</v>
      </c>
      <c r="AK27192" s="831">
        <v>247239046.16666666</v>
      </c>
    </row>
    <row r="27193" spans="32:37">
      <c r="AF27193" s="831" t="s">
        <v>10932</v>
      </c>
      <c r="AG27193" s="831" t="s">
        <v>2674</v>
      </c>
      <c r="AH27193" s="831" t="s">
        <v>572</v>
      </c>
      <c r="AI27193" s="831">
        <v>0</v>
      </c>
      <c r="AJ27193" s="835">
        <v>41425</v>
      </c>
      <c r="AK27193" s="831">
        <v>21530747</v>
      </c>
    </row>
    <row r="27194" spans="32:37">
      <c r="AF27194" s="831" t="s">
        <v>10933</v>
      </c>
      <c r="AG27194" s="831" t="s">
        <v>2674</v>
      </c>
      <c r="AH27194" s="831" t="s">
        <v>577</v>
      </c>
      <c r="AI27194" s="831">
        <v>0</v>
      </c>
      <c r="AJ27194" s="835">
        <v>41425</v>
      </c>
      <c r="AK27194" s="831">
        <v>110403012</v>
      </c>
    </row>
    <row r="27195" spans="32:37">
      <c r="AF27195" s="831" t="s">
        <v>10934</v>
      </c>
      <c r="AG27195" s="831" t="s">
        <v>2674</v>
      </c>
      <c r="AH27195" s="831" t="s">
        <v>3042</v>
      </c>
      <c r="AI27195" s="831">
        <v>0</v>
      </c>
      <c r="AJ27195" s="835">
        <v>41425</v>
      </c>
      <c r="AK27195" s="831">
        <v>-27020607</v>
      </c>
    </row>
    <row r="27196" spans="32:37">
      <c r="AF27196" s="831" t="s">
        <v>10935</v>
      </c>
      <c r="AG27196" s="831" t="s">
        <v>2674</v>
      </c>
      <c r="AH27196" s="831" t="s">
        <v>3044</v>
      </c>
      <c r="AI27196" s="831">
        <v>0</v>
      </c>
      <c r="AJ27196" s="835">
        <v>41425</v>
      </c>
      <c r="AK27196" s="831">
        <v>-4070350</v>
      </c>
    </row>
    <row r="27197" spans="32:37">
      <c r="AF27197" s="831" t="s">
        <v>10936</v>
      </c>
      <c r="AG27197" s="831" t="s">
        <v>2674</v>
      </c>
      <c r="AH27197" s="831" t="s">
        <v>580</v>
      </c>
      <c r="AI27197" s="831">
        <v>0</v>
      </c>
      <c r="AJ27197" s="835">
        <v>41425</v>
      </c>
      <c r="AK27197" s="831">
        <v>-55847177</v>
      </c>
    </row>
    <row r="27198" spans="32:37">
      <c r="AF27198" s="831" t="s">
        <v>10937</v>
      </c>
      <c r="AG27198" s="831" t="s">
        <v>2674</v>
      </c>
      <c r="AH27198" s="831" t="s">
        <v>581</v>
      </c>
      <c r="AI27198" s="831">
        <v>0</v>
      </c>
      <c r="AJ27198" s="835">
        <v>41425</v>
      </c>
      <c r="AK27198" s="831">
        <v>3833349</v>
      </c>
    </row>
    <row r="27199" spans="32:37">
      <c r="AF27199" s="831" t="s">
        <v>10938</v>
      </c>
      <c r="AG27199" s="831" t="s">
        <v>2674</v>
      </c>
      <c r="AH27199" s="831" t="s">
        <v>105</v>
      </c>
      <c r="AI27199" s="831">
        <v>0</v>
      </c>
      <c r="AJ27199" s="835">
        <v>41425</v>
      </c>
      <c r="AK27199" s="831">
        <v>274684797</v>
      </c>
    </row>
    <row r="27200" spans="32:37">
      <c r="AF27200" s="831" t="s">
        <v>10939</v>
      </c>
      <c r="AG27200" s="831" t="s">
        <v>2674</v>
      </c>
      <c r="AH27200" s="831" t="s">
        <v>3049</v>
      </c>
      <c r="AI27200" s="831">
        <v>0</v>
      </c>
      <c r="AJ27200" s="835">
        <v>41425</v>
      </c>
      <c r="AK27200" s="831">
        <v>474215187</v>
      </c>
    </row>
    <row r="27201" spans="32:37">
      <c r="AF27201" s="831" t="s">
        <v>10940</v>
      </c>
      <c r="AG27201" s="831" t="s">
        <v>2674</v>
      </c>
      <c r="AH27201" s="831" t="s">
        <v>103</v>
      </c>
      <c r="AI27201" s="831">
        <v>0</v>
      </c>
      <c r="AJ27201" s="835">
        <v>41425</v>
      </c>
      <c r="AK27201" s="831">
        <v>199530390</v>
      </c>
    </row>
    <row r="27202" spans="32:37">
      <c r="AF27202" s="831" t="s">
        <v>10941</v>
      </c>
      <c r="AG27202" s="831" t="s">
        <v>2674</v>
      </c>
      <c r="AH27202" s="831" t="s">
        <v>182</v>
      </c>
      <c r="AI27202" s="831">
        <v>0</v>
      </c>
      <c r="AJ27202" s="835">
        <v>41425</v>
      </c>
      <c r="AK27202" s="831">
        <v>56542824</v>
      </c>
    </row>
    <row r="27203" spans="32:37">
      <c r="AF27203" s="831" t="s">
        <v>10942</v>
      </c>
      <c r="AG27203" s="831" t="s">
        <v>2674</v>
      </c>
      <c r="AH27203" s="831" t="s">
        <v>6600</v>
      </c>
      <c r="AI27203" s="831">
        <v>0</v>
      </c>
      <c r="AJ27203" s="835">
        <v>41425</v>
      </c>
      <c r="AK27203" s="831">
        <v>21530747</v>
      </c>
    </row>
    <row r="27204" spans="32:37">
      <c r="AF27204" s="831" t="s">
        <v>10943</v>
      </c>
      <c r="AG27204" s="831" t="s">
        <v>2674</v>
      </c>
      <c r="AH27204" s="831" t="s">
        <v>6602</v>
      </c>
      <c r="AI27204" s="831">
        <v>0</v>
      </c>
      <c r="AJ27204" s="835">
        <v>41425</v>
      </c>
      <c r="AK27204" s="831">
        <v>10888133</v>
      </c>
    </row>
    <row r="27205" spans="32:37">
      <c r="AF27205" s="831" t="s">
        <v>10944</v>
      </c>
      <c r="AG27205" s="831" t="s">
        <v>2674</v>
      </c>
      <c r="AH27205" s="831" t="s">
        <v>650</v>
      </c>
      <c r="AI27205" s="831">
        <v>0</v>
      </c>
      <c r="AJ27205" s="835">
        <v>41425</v>
      </c>
      <c r="AK27205" s="831">
        <v>170020812.07692307</v>
      </c>
    </row>
    <row r="27206" spans="32:37">
      <c r="AF27206" s="831" t="s">
        <v>10945</v>
      </c>
      <c r="AG27206" s="831" t="s">
        <v>2674</v>
      </c>
      <c r="AH27206" s="831" t="s">
        <v>655</v>
      </c>
      <c r="AI27206" s="831">
        <v>0</v>
      </c>
      <c r="AJ27206" s="835">
        <v>41425</v>
      </c>
      <c r="AK27206" s="831">
        <v>2273827</v>
      </c>
    </row>
    <row r="27207" spans="32:37">
      <c r="AF27207" s="831" t="s">
        <v>10946</v>
      </c>
      <c r="AG27207" s="831" t="s">
        <v>2674</v>
      </c>
      <c r="AH27207" s="831" t="s">
        <v>546</v>
      </c>
      <c r="AI27207" s="831">
        <v>0</v>
      </c>
      <c r="AJ27207" s="835">
        <v>41455</v>
      </c>
      <c r="AK27207" s="831">
        <v>514798833</v>
      </c>
    </row>
    <row r="27208" spans="32:37">
      <c r="AF27208" s="831" t="s">
        <v>10947</v>
      </c>
      <c r="AG27208" s="831" t="s">
        <v>2674</v>
      </c>
      <c r="AH27208" s="831" t="s">
        <v>370</v>
      </c>
      <c r="AI27208" s="831">
        <v>0</v>
      </c>
      <c r="AJ27208" s="835">
        <v>41455</v>
      </c>
      <c r="AK27208" s="831">
        <v>641101315</v>
      </c>
    </row>
    <row r="27209" spans="32:37">
      <c r="AF27209" s="831" t="s">
        <v>10948</v>
      </c>
      <c r="AG27209" s="831" t="s">
        <v>2674</v>
      </c>
      <c r="AH27209" s="831" t="s">
        <v>126</v>
      </c>
      <c r="AI27209" s="831">
        <v>0</v>
      </c>
      <c r="AJ27209" s="835">
        <v>41455</v>
      </c>
      <c r="AK27209" s="831">
        <v>108060358</v>
      </c>
    </row>
    <row r="27210" spans="32:37">
      <c r="AF27210" s="831" t="s">
        <v>10949</v>
      </c>
      <c r="AG27210" s="831" t="s">
        <v>2674</v>
      </c>
      <c r="AH27210" s="831" t="s">
        <v>268</v>
      </c>
      <c r="AI27210" s="831">
        <v>0</v>
      </c>
      <c r="AJ27210" s="835">
        <v>41455</v>
      </c>
      <c r="AK27210" s="831">
        <v>13297133</v>
      </c>
    </row>
    <row r="27211" spans="32:37">
      <c r="AF27211" s="831" t="s">
        <v>10950</v>
      </c>
      <c r="AG27211" s="831" t="s">
        <v>2674</v>
      </c>
      <c r="AH27211" s="831" t="s">
        <v>547</v>
      </c>
      <c r="AI27211" s="831">
        <v>0</v>
      </c>
      <c r="AJ27211" s="835">
        <v>41455</v>
      </c>
      <c r="AK27211" s="831">
        <v>511487760</v>
      </c>
    </row>
    <row r="27212" spans="32:37">
      <c r="AF27212" s="831" t="s">
        <v>10951</v>
      </c>
      <c r="AG27212" s="831" t="s">
        <v>2674</v>
      </c>
      <c r="AH27212" s="831" t="s">
        <v>548</v>
      </c>
      <c r="AI27212" s="831">
        <v>0</v>
      </c>
      <c r="AJ27212" s="835">
        <v>41455</v>
      </c>
      <c r="AK27212" s="831">
        <v>96883184</v>
      </c>
    </row>
    <row r="27213" spans="32:37">
      <c r="AF27213" s="831" t="s">
        <v>10952</v>
      </c>
      <c r="AG27213" s="831" t="s">
        <v>2674</v>
      </c>
      <c r="AH27213" s="831" t="s">
        <v>549</v>
      </c>
      <c r="AI27213" s="831">
        <v>0</v>
      </c>
      <c r="AJ27213" s="835">
        <v>41455</v>
      </c>
      <c r="AK27213" s="831">
        <v>342628450</v>
      </c>
    </row>
    <row r="27214" spans="32:37">
      <c r="AF27214" s="831" t="s">
        <v>10953</v>
      </c>
      <c r="AG27214" s="831" t="s">
        <v>2674</v>
      </c>
      <c r="AH27214" s="831" t="s">
        <v>192</v>
      </c>
      <c r="AI27214" s="831">
        <v>0</v>
      </c>
      <c r="AJ27214" s="835">
        <v>41455</v>
      </c>
      <c r="AK27214" s="831">
        <v>-11546784</v>
      </c>
    </row>
    <row r="27215" spans="32:37">
      <c r="AF27215" s="831" t="s">
        <v>10954</v>
      </c>
      <c r="AG27215" s="831" t="s">
        <v>2674</v>
      </c>
      <c r="AH27215" s="831" t="s">
        <v>558</v>
      </c>
      <c r="AI27215" s="831">
        <v>0</v>
      </c>
      <c r="AJ27215" s="835">
        <v>41455</v>
      </c>
      <c r="AK27215" s="831">
        <v>533040957</v>
      </c>
    </row>
    <row r="27216" spans="32:37">
      <c r="AF27216" s="831" t="s">
        <v>10955</v>
      </c>
      <c r="AG27216" s="831" t="s">
        <v>2674</v>
      </c>
      <c r="AH27216" s="831" t="s">
        <v>65</v>
      </c>
      <c r="AI27216" s="831">
        <v>0</v>
      </c>
      <c r="AJ27216" s="835">
        <v>41455</v>
      </c>
      <c r="AK27216" s="831">
        <v>60193699</v>
      </c>
    </row>
    <row r="27217" spans="32:37">
      <c r="AF27217" s="831" t="s">
        <v>10956</v>
      </c>
      <c r="AG27217" s="831" t="s">
        <v>2674</v>
      </c>
      <c r="AH27217" s="831" t="s">
        <v>89</v>
      </c>
      <c r="AI27217" s="831">
        <v>0</v>
      </c>
      <c r="AJ27217" s="835">
        <v>41455</v>
      </c>
      <c r="AK27217" s="831">
        <v>136633</v>
      </c>
    </row>
    <row r="27218" spans="32:37">
      <c r="AF27218" s="831" t="s">
        <v>10957</v>
      </c>
      <c r="AG27218" s="831" t="s">
        <v>2674</v>
      </c>
      <c r="AH27218" s="831" t="s">
        <v>557</v>
      </c>
      <c r="AI27218" s="831">
        <v>0</v>
      </c>
      <c r="AJ27218" s="835">
        <v>41455</v>
      </c>
      <c r="AK27218" s="831">
        <v>142092</v>
      </c>
    </row>
    <row r="27219" spans="32:37">
      <c r="AF27219" s="831" t="s">
        <v>10958</v>
      </c>
      <c r="AG27219" s="831" t="s">
        <v>2674</v>
      </c>
      <c r="AH27219" s="831" t="s">
        <v>29</v>
      </c>
      <c r="AI27219" s="831">
        <v>0</v>
      </c>
      <c r="AJ27219" s="835">
        <v>41455</v>
      </c>
      <c r="AK27219" s="831">
        <v>1424399.06</v>
      </c>
    </row>
    <row r="27220" spans="32:37">
      <c r="AF27220" s="831" t="s">
        <v>10959</v>
      </c>
      <c r="AG27220" s="831" t="s">
        <v>2674</v>
      </c>
      <c r="AH27220" s="831" t="s">
        <v>2688</v>
      </c>
      <c r="AI27220" s="831">
        <v>0</v>
      </c>
      <c r="AJ27220" s="835">
        <v>41455</v>
      </c>
      <c r="AK27220" s="831">
        <v>2204366.9500000002</v>
      </c>
    </row>
    <row r="27221" spans="32:37">
      <c r="AF27221" s="831" t="s">
        <v>10960</v>
      </c>
      <c r="AG27221" s="831" t="s">
        <v>2674</v>
      </c>
      <c r="AH27221" s="831" t="s">
        <v>556</v>
      </c>
      <c r="AI27221" s="831">
        <v>0</v>
      </c>
      <c r="AJ27221" s="835">
        <v>41455</v>
      </c>
      <c r="AK27221" s="831">
        <v>902857</v>
      </c>
    </row>
    <row r="27222" spans="32:37">
      <c r="AF27222" s="831" t="s">
        <v>10961</v>
      </c>
      <c r="AG27222" s="831" t="s">
        <v>2674</v>
      </c>
      <c r="AH27222" s="831" t="s">
        <v>555</v>
      </c>
      <c r="AI27222" s="831">
        <v>0</v>
      </c>
      <c r="AJ27222" s="835">
        <v>41455</v>
      </c>
      <c r="AK27222" s="831">
        <v>353611880</v>
      </c>
    </row>
    <row r="27223" spans="32:37">
      <c r="AF27223" s="831" t="s">
        <v>10962</v>
      </c>
      <c r="AG27223" s="831" t="s">
        <v>2674</v>
      </c>
      <c r="AH27223" s="831" t="s">
        <v>554</v>
      </c>
      <c r="AI27223" s="831">
        <v>0</v>
      </c>
      <c r="AJ27223" s="835">
        <v>41455</v>
      </c>
      <c r="AK27223" s="831">
        <v>343079700</v>
      </c>
    </row>
    <row r="27224" spans="32:37">
      <c r="AF27224" s="831" t="s">
        <v>10963</v>
      </c>
      <c r="AG27224" s="831" t="s">
        <v>2674</v>
      </c>
      <c r="AH27224" s="831" t="s">
        <v>553</v>
      </c>
      <c r="AI27224" s="831">
        <v>0</v>
      </c>
      <c r="AJ27224" s="835">
        <v>41455</v>
      </c>
      <c r="AK27224" s="831">
        <v>0</v>
      </c>
    </row>
    <row r="27225" spans="32:37">
      <c r="AF27225" s="831" t="s">
        <v>10964</v>
      </c>
      <c r="AG27225" s="831" t="s">
        <v>2674</v>
      </c>
      <c r="AH27225" s="831" t="s">
        <v>552</v>
      </c>
      <c r="AI27225" s="831">
        <v>0</v>
      </c>
      <c r="AJ27225" s="835">
        <v>41455</v>
      </c>
      <c r="AK27225" s="831">
        <v>0</v>
      </c>
    </row>
    <row r="27226" spans="32:37">
      <c r="AF27226" s="831" t="s">
        <v>10965</v>
      </c>
      <c r="AG27226" s="831" t="s">
        <v>2674</v>
      </c>
      <c r="AH27226" s="831" t="s">
        <v>551</v>
      </c>
      <c r="AI27226" s="831">
        <v>0</v>
      </c>
      <c r="AJ27226" s="835">
        <v>41455</v>
      </c>
      <c r="AK27226" s="831">
        <v>1176193.06</v>
      </c>
    </row>
    <row r="27227" spans="32:37">
      <c r="AF27227" s="831" t="s">
        <v>10966</v>
      </c>
      <c r="AG27227" s="831" t="s">
        <v>2674</v>
      </c>
      <c r="AH27227" s="831" t="s">
        <v>550</v>
      </c>
      <c r="AI27227" s="831">
        <v>0</v>
      </c>
      <c r="AJ27227" s="835">
        <v>41455</v>
      </c>
      <c r="AK27227" s="831">
        <v>105651356</v>
      </c>
    </row>
    <row r="27228" spans="32:37">
      <c r="AF27228" s="831" t="s">
        <v>10967</v>
      </c>
      <c r="AG27228" s="831" t="s">
        <v>2674</v>
      </c>
      <c r="AH27228" s="831" t="s">
        <v>562</v>
      </c>
      <c r="AI27228" s="831">
        <v>0</v>
      </c>
      <c r="AJ27228" s="835">
        <v>41455</v>
      </c>
      <c r="AK27228" s="831">
        <v>0.78395000000000004</v>
      </c>
    </row>
    <row r="27229" spans="32:37">
      <c r="AF27229" s="831" t="s">
        <v>10968</v>
      </c>
      <c r="AG27229" s="831" t="s">
        <v>2674</v>
      </c>
      <c r="AH27229" s="831" t="s">
        <v>2698</v>
      </c>
      <c r="AI27229" s="831">
        <v>0</v>
      </c>
      <c r="AJ27229" s="835">
        <v>41455</v>
      </c>
      <c r="AK27229" s="831">
        <v>0.78405000000000002</v>
      </c>
    </row>
    <row r="27230" spans="32:37">
      <c r="AF27230" s="831" t="s">
        <v>10969</v>
      </c>
      <c r="AG27230" s="831" t="s">
        <v>2674</v>
      </c>
      <c r="AH27230" s="831" t="s">
        <v>560</v>
      </c>
      <c r="AI27230" s="831">
        <v>0</v>
      </c>
      <c r="AJ27230" s="835">
        <v>41455</v>
      </c>
      <c r="AK27230" s="831">
        <v>0.78408333333333335</v>
      </c>
    </row>
    <row r="27231" spans="32:37">
      <c r="AF27231" s="831" t="s">
        <v>10970</v>
      </c>
      <c r="AG27231" s="831" t="s">
        <v>2674</v>
      </c>
      <c r="AH27231" s="831" t="s">
        <v>559</v>
      </c>
      <c r="AI27231" s="831">
        <v>0</v>
      </c>
      <c r="AJ27231" s="835">
        <v>41455</v>
      </c>
      <c r="AK27231" s="831">
        <v>0.78425833333333339</v>
      </c>
    </row>
    <row r="27232" spans="32:37">
      <c r="AF27232" s="831" t="s">
        <v>10971</v>
      </c>
      <c r="AG27232" s="831" t="s">
        <v>2674</v>
      </c>
      <c r="AH27232" s="831" t="s">
        <v>568</v>
      </c>
      <c r="AI27232" s="831">
        <v>0</v>
      </c>
      <c r="AJ27232" s="835">
        <v>41455</v>
      </c>
      <c r="AK27232" s="831">
        <v>416775328.76923078</v>
      </c>
    </row>
    <row r="27233" spans="32:37">
      <c r="AF27233" s="831" t="s">
        <v>10972</v>
      </c>
      <c r="AG27233" s="831" t="s">
        <v>2674</v>
      </c>
      <c r="AH27233" s="831" t="s">
        <v>569</v>
      </c>
      <c r="AI27233" s="831">
        <v>0</v>
      </c>
      <c r="AJ27233" s="835">
        <v>41455</v>
      </c>
      <c r="AK27233" s="831">
        <v>507070422.30769229</v>
      </c>
    </row>
    <row r="27234" spans="32:37">
      <c r="AF27234" s="831" t="s">
        <v>10973</v>
      </c>
      <c r="AG27234" s="831" t="s">
        <v>2674</v>
      </c>
      <c r="AH27234" s="831" t="s">
        <v>570</v>
      </c>
      <c r="AI27234" s="831">
        <v>0</v>
      </c>
      <c r="AJ27234" s="835">
        <v>41455</v>
      </c>
      <c r="AK27234" s="831">
        <v>99514662.461538464</v>
      </c>
    </row>
    <row r="27235" spans="32:37">
      <c r="AF27235" s="831" t="s">
        <v>10974</v>
      </c>
      <c r="AG27235" s="831" t="s">
        <v>2674</v>
      </c>
      <c r="AH27235" s="831" t="s">
        <v>571</v>
      </c>
      <c r="AI27235" s="831">
        <v>0</v>
      </c>
      <c r="AJ27235" s="835">
        <v>41455</v>
      </c>
      <c r="AK27235" s="831">
        <v>220626949.15384614</v>
      </c>
    </row>
    <row r="27236" spans="32:37">
      <c r="AF27236" s="831" t="s">
        <v>10975</v>
      </c>
      <c r="AG27236" s="831" t="s">
        <v>2674</v>
      </c>
      <c r="AH27236" s="831" t="s">
        <v>573</v>
      </c>
      <c r="AI27236" s="831">
        <v>0</v>
      </c>
      <c r="AJ27236" s="835">
        <v>41455</v>
      </c>
      <c r="AK27236" s="831">
        <v>557218597.28571427</v>
      </c>
    </row>
    <row r="27237" spans="32:37">
      <c r="AF27237" s="831" t="s">
        <v>10976</v>
      </c>
      <c r="AG27237" s="831" t="s">
        <v>2674</v>
      </c>
      <c r="AH27237" s="831" t="s">
        <v>574</v>
      </c>
      <c r="AI27237" s="831">
        <v>0</v>
      </c>
      <c r="AJ27237" s="835">
        <v>41455</v>
      </c>
      <c r="AK27237" s="831">
        <v>460782606.85714287</v>
      </c>
    </row>
    <row r="27238" spans="32:37">
      <c r="AF27238" s="831" t="s">
        <v>10977</v>
      </c>
      <c r="AG27238" s="831" t="s">
        <v>2674</v>
      </c>
      <c r="AH27238" s="831" t="s">
        <v>575</v>
      </c>
      <c r="AI27238" s="831">
        <v>0</v>
      </c>
      <c r="AJ27238" s="835">
        <v>41455</v>
      </c>
      <c r="AK27238" s="831">
        <v>102068019.28571428</v>
      </c>
    </row>
    <row r="27239" spans="32:37">
      <c r="AF27239" s="831" t="s">
        <v>10978</v>
      </c>
      <c r="AG27239" s="831" t="s">
        <v>2674</v>
      </c>
      <c r="AH27239" s="831" t="s">
        <v>576</v>
      </c>
      <c r="AI27239" s="831">
        <v>0</v>
      </c>
      <c r="AJ27239" s="835">
        <v>41455</v>
      </c>
      <c r="AK27239" s="831">
        <v>256882402</v>
      </c>
    </row>
    <row r="27240" spans="32:37">
      <c r="AF27240" s="831" t="s">
        <v>10979</v>
      </c>
      <c r="AG27240" s="831" t="s">
        <v>2674</v>
      </c>
      <c r="AH27240" s="831" t="s">
        <v>572</v>
      </c>
      <c r="AI27240" s="831">
        <v>0</v>
      </c>
      <c r="AJ27240" s="835">
        <v>41455</v>
      </c>
      <c r="AK27240" s="831">
        <v>22784991</v>
      </c>
    </row>
    <row r="27241" spans="32:37">
      <c r="AF27241" s="831" t="s">
        <v>10980</v>
      </c>
      <c r="AG27241" s="831" t="s">
        <v>2674</v>
      </c>
      <c r="AH27241" s="831" t="s">
        <v>577</v>
      </c>
      <c r="AI27241" s="831">
        <v>0</v>
      </c>
      <c r="AJ27241" s="835">
        <v>41455</v>
      </c>
      <c r="AK27241" s="831">
        <v>112999724</v>
      </c>
    </row>
    <row r="27242" spans="32:37">
      <c r="AF27242" s="831" t="s">
        <v>10981</v>
      </c>
      <c r="AG27242" s="831" t="s">
        <v>2674</v>
      </c>
      <c r="AH27242" s="831" t="s">
        <v>3042</v>
      </c>
      <c r="AI27242" s="831">
        <v>0</v>
      </c>
      <c r="AJ27242" s="835">
        <v>41455</v>
      </c>
      <c r="AK27242" s="831">
        <v>-27618860</v>
      </c>
    </row>
    <row r="27243" spans="32:37">
      <c r="AF27243" s="831" t="s">
        <v>10982</v>
      </c>
      <c r="AG27243" s="831" t="s">
        <v>2674</v>
      </c>
      <c r="AH27243" s="831" t="s">
        <v>3044</v>
      </c>
      <c r="AI27243" s="831">
        <v>0</v>
      </c>
      <c r="AJ27243" s="835">
        <v>41455</v>
      </c>
      <c r="AK27243" s="831">
        <v>-4183071</v>
      </c>
    </row>
    <row r="27244" spans="32:37">
      <c r="AF27244" s="831" t="s">
        <v>10983</v>
      </c>
      <c r="AG27244" s="831" t="s">
        <v>2674</v>
      </c>
      <c r="AH27244" s="831" t="s">
        <v>580</v>
      </c>
      <c r="AI27244" s="831">
        <v>0</v>
      </c>
      <c r="AJ27244" s="835">
        <v>41455</v>
      </c>
      <c r="AK27244" s="831">
        <v>-56400279</v>
      </c>
    </row>
    <row r="27245" spans="32:37">
      <c r="AF27245" s="831" t="s">
        <v>10984</v>
      </c>
      <c r="AG27245" s="831" t="s">
        <v>2674</v>
      </c>
      <c r="AH27245" s="831" t="s">
        <v>581</v>
      </c>
      <c r="AI27245" s="831">
        <v>0</v>
      </c>
      <c r="AJ27245" s="835">
        <v>41455</v>
      </c>
      <c r="AK27245" s="831">
        <v>4204371</v>
      </c>
    </row>
    <row r="27246" spans="32:37">
      <c r="AF27246" s="831" t="s">
        <v>10985</v>
      </c>
      <c r="AG27246" s="831" t="s">
        <v>2674</v>
      </c>
      <c r="AH27246" s="831" t="s">
        <v>105</v>
      </c>
      <c r="AI27246" s="831">
        <v>0</v>
      </c>
      <c r="AJ27246" s="835">
        <v>41455</v>
      </c>
      <c r="AK27246" s="831">
        <v>314742537</v>
      </c>
    </row>
    <row r="27247" spans="32:37">
      <c r="AF27247" s="831" t="s">
        <v>10986</v>
      </c>
      <c r="AG27247" s="831" t="s">
        <v>2674</v>
      </c>
      <c r="AH27247" s="831" t="s">
        <v>3049</v>
      </c>
      <c r="AI27247" s="831">
        <v>0</v>
      </c>
      <c r="AJ27247" s="835">
        <v>41455</v>
      </c>
      <c r="AK27247" s="831">
        <v>517978918</v>
      </c>
    </row>
    <row r="27248" spans="32:37">
      <c r="AF27248" s="831" t="s">
        <v>10987</v>
      </c>
      <c r="AG27248" s="831" t="s">
        <v>2674</v>
      </c>
      <c r="AH27248" s="831" t="s">
        <v>103</v>
      </c>
      <c r="AI27248" s="831">
        <v>0</v>
      </c>
      <c r="AJ27248" s="835">
        <v>41455</v>
      </c>
      <c r="AK27248" s="831">
        <v>203236381</v>
      </c>
    </row>
    <row r="27249" spans="32:37">
      <c r="AF27249" s="831" t="s">
        <v>10988</v>
      </c>
      <c r="AG27249" s="831" t="s">
        <v>2674</v>
      </c>
      <c r="AH27249" s="831" t="s">
        <v>182</v>
      </c>
      <c r="AI27249" s="831">
        <v>0</v>
      </c>
      <c r="AJ27249" s="835">
        <v>41455</v>
      </c>
      <c r="AK27249" s="831">
        <v>57441170</v>
      </c>
    </row>
    <row r="27250" spans="32:37">
      <c r="AF27250" s="831" t="s">
        <v>10989</v>
      </c>
      <c r="AG27250" s="831" t="s">
        <v>2674</v>
      </c>
      <c r="AH27250" s="831" t="s">
        <v>6600</v>
      </c>
      <c r="AI27250" s="831">
        <v>0</v>
      </c>
      <c r="AJ27250" s="835">
        <v>41455</v>
      </c>
      <c r="AK27250" s="831">
        <v>22784991</v>
      </c>
    </row>
    <row r="27251" spans="32:37">
      <c r="AF27251" s="831" t="s">
        <v>10990</v>
      </c>
      <c r="AG27251" s="831" t="s">
        <v>2674</v>
      </c>
      <c r="AH27251" s="831" t="s">
        <v>6602</v>
      </c>
      <c r="AI27251" s="831">
        <v>0</v>
      </c>
      <c r="AJ27251" s="835">
        <v>41455</v>
      </c>
      <c r="AK27251" s="831">
        <v>13297133</v>
      </c>
    </row>
    <row r="27252" spans="32:37">
      <c r="AF27252" s="831" t="s">
        <v>10991</v>
      </c>
      <c r="AG27252" s="831" t="s">
        <v>2674</v>
      </c>
      <c r="AH27252" s="831" t="s">
        <v>650</v>
      </c>
      <c r="AI27252" s="831">
        <v>0</v>
      </c>
      <c r="AJ27252" s="835">
        <v>41455</v>
      </c>
      <c r="AK27252" s="831">
        <v>173391733.15384614</v>
      </c>
    </row>
    <row r="27253" spans="32:37">
      <c r="AF27253" s="831" t="s">
        <v>10992</v>
      </c>
      <c r="AG27253" s="831" t="s">
        <v>2674</v>
      </c>
      <c r="AH27253" s="831" t="s">
        <v>655</v>
      </c>
      <c r="AI27253" s="831">
        <v>0</v>
      </c>
      <c r="AJ27253" s="835">
        <v>41455</v>
      </c>
      <c r="AK27253" s="831">
        <v>1055339.06</v>
      </c>
    </row>
    <row r="27254" spans="32:37">
      <c r="AF27254" s="831" t="s">
        <v>10993</v>
      </c>
      <c r="AG27254" s="831" t="s">
        <v>2674</v>
      </c>
      <c r="AH27254" s="831" t="s">
        <v>546</v>
      </c>
      <c r="AI27254" s="831">
        <v>0</v>
      </c>
      <c r="AJ27254" s="835">
        <v>41486</v>
      </c>
      <c r="AK27254" s="831">
        <v>530405930</v>
      </c>
    </row>
    <row r="27255" spans="32:37">
      <c r="AF27255" s="831" t="s">
        <v>10994</v>
      </c>
      <c r="AG27255" s="831" t="s">
        <v>2674</v>
      </c>
      <c r="AH27255" s="831" t="s">
        <v>370</v>
      </c>
      <c r="AI27255" s="831">
        <v>0</v>
      </c>
      <c r="AJ27255" s="835">
        <v>41486</v>
      </c>
      <c r="AK27255" s="831">
        <v>658328328</v>
      </c>
    </row>
    <row r="27256" spans="32:37">
      <c r="AF27256" s="831" t="s">
        <v>10995</v>
      </c>
      <c r="AG27256" s="831" t="s">
        <v>2674</v>
      </c>
      <c r="AH27256" s="831" t="s">
        <v>126</v>
      </c>
      <c r="AI27256" s="831">
        <v>0</v>
      </c>
      <c r="AJ27256" s="835">
        <v>41486</v>
      </c>
      <c r="AK27256" s="831">
        <v>110887562</v>
      </c>
    </row>
    <row r="27257" spans="32:37">
      <c r="AF27257" s="831" t="s">
        <v>10996</v>
      </c>
      <c r="AG27257" s="831" t="s">
        <v>2674</v>
      </c>
      <c r="AH27257" s="831" t="s">
        <v>268</v>
      </c>
      <c r="AI27257" s="831">
        <v>0</v>
      </c>
      <c r="AJ27257" s="835">
        <v>41486</v>
      </c>
      <c r="AK27257" s="831">
        <v>16124340</v>
      </c>
    </row>
    <row r="27258" spans="32:37">
      <c r="AF27258" s="831" t="s">
        <v>10997</v>
      </c>
      <c r="AG27258" s="831" t="s">
        <v>2674</v>
      </c>
      <c r="AH27258" s="831" t="s">
        <v>547</v>
      </c>
      <c r="AI27258" s="831">
        <v>0</v>
      </c>
      <c r="AJ27258" s="835">
        <v>41486</v>
      </c>
      <c r="AK27258" s="831">
        <v>511487760</v>
      </c>
    </row>
    <row r="27259" spans="32:37">
      <c r="AF27259" s="831" t="s">
        <v>10998</v>
      </c>
      <c r="AG27259" s="831" t="s">
        <v>2674</v>
      </c>
      <c r="AH27259" s="831" t="s">
        <v>548</v>
      </c>
      <c r="AI27259" s="831">
        <v>0</v>
      </c>
      <c r="AJ27259" s="835">
        <v>41486</v>
      </c>
      <c r="AK27259" s="831">
        <v>96883184</v>
      </c>
    </row>
    <row r="27260" spans="32:37">
      <c r="AF27260" s="831" t="s">
        <v>10999</v>
      </c>
      <c r="AG27260" s="831" t="s">
        <v>2674</v>
      </c>
      <c r="AH27260" s="831" t="s">
        <v>549</v>
      </c>
      <c r="AI27260" s="831">
        <v>0</v>
      </c>
      <c r="AJ27260" s="835">
        <v>41486</v>
      </c>
      <c r="AK27260" s="831">
        <v>350104350</v>
      </c>
    </row>
    <row r="27261" spans="32:37">
      <c r="AF27261" s="831" t="s">
        <v>11000</v>
      </c>
      <c r="AG27261" s="831" t="s">
        <v>2674</v>
      </c>
      <c r="AH27261" s="831" t="s">
        <v>192</v>
      </c>
      <c r="AI27261" s="831">
        <v>0</v>
      </c>
      <c r="AJ27261" s="835">
        <v>41486</v>
      </c>
      <c r="AK27261" s="831">
        <v>-11946675</v>
      </c>
    </row>
    <row r="27262" spans="32:37">
      <c r="AF27262" s="831" t="s">
        <v>11001</v>
      </c>
      <c r="AG27262" s="831" t="s">
        <v>2674</v>
      </c>
      <c r="AH27262" s="831" t="s">
        <v>558</v>
      </c>
      <c r="AI27262" s="831">
        <v>0</v>
      </c>
      <c r="AJ27262" s="835">
        <v>41486</v>
      </c>
      <c r="AK27262" s="831">
        <v>547440766</v>
      </c>
    </row>
    <row r="27263" spans="32:37">
      <c r="AF27263" s="831" t="s">
        <v>11002</v>
      </c>
      <c r="AG27263" s="831" t="s">
        <v>2674</v>
      </c>
      <c r="AH27263" s="831" t="s">
        <v>65</v>
      </c>
      <c r="AI27263" s="831">
        <v>0</v>
      </c>
      <c r="AJ27263" s="835">
        <v>41486</v>
      </c>
      <c r="AK27263" s="831">
        <v>71979253</v>
      </c>
    </row>
    <row r="27264" spans="32:37">
      <c r="AF27264" s="831" t="s">
        <v>11003</v>
      </c>
      <c r="AG27264" s="831" t="s">
        <v>2674</v>
      </c>
      <c r="AH27264" s="831" t="s">
        <v>89</v>
      </c>
      <c r="AI27264" s="831">
        <v>0</v>
      </c>
      <c r="AJ27264" s="835">
        <v>41486</v>
      </c>
      <c r="AK27264" s="831">
        <v>138057</v>
      </c>
    </row>
    <row r="27265" spans="32:37">
      <c r="AF27265" s="831" t="s">
        <v>11004</v>
      </c>
      <c r="AG27265" s="831" t="s">
        <v>2674</v>
      </c>
      <c r="AH27265" s="831" t="s">
        <v>557</v>
      </c>
      <c r="AI27265" s="831">
        <v>0</v>
      </c>
      <c r="AJ27265" s="835">
        <v>41486</v>
      </c>
      <c r="AK27265" s="831">
        <v>145518</v>
      </c>
    </row>
    <row r="27266" spans="32:37">
      <c r="AF27266" s="831" t="s">
        <v>11005</v>
      </c>
      <c r="AG27266" s="831" t="s">
        <v>2674</v>
      </c>
      <c r="AH27266" s="831" t="s">
        <v>29</v>
      </c>
      <c r="AI27266" s="831">
        <v>0</v>
      </c>
      <c r="AJ27266" s="835">
        <v>41486</v>
      </c>
      <c r="AK27266" s="831">
        <v>1452161.1670000001</v>
      </c>
    </row>
    <row r="27267" spans="32:37">
      <c r="AF27267" s="831" t="s">
        <v>11006</v>
      </c>
      <c r="AG27267" s="831" t="s">
        <v>2674</v>
      </c>
      <c r="AH27267" s="831" t="s">
        <v>2688</v>
      </c>
      <c r="AI27267" s="831">
        <v>0</v>
      </c>
      <c r="AJ27267" s="835">
        <v>41486</v>
      </c>
      <c r="AK27267" s="831">
        <v>1987224.58</v>
      </c>
    </row>
    <row r="27268" spans="32:37">
      <c r="AF27268" s="831" t="s">
        <v>11007</v>
      </c>
      <c r="AG27268" s="831" t="s">
        <v>2674</v>
      </c>
      <c r="AH27268" s="831" t="s">
        <v>556</v>
      </c>
      <c r="AI27268" s="831">
        <v>0</v>
      </c>
      <c r="AJ27268" s="835">
        <v>41486</v>
      </c>
      <c r="AK27268" s="831">
        <v>2547589</v>
      </c>
    </row>
    <row r="27269" spans="32:37">
      <c r="AF27269" s="831" t="s">
        <v>11008</v>
      </c>
      <c r="AG27269" s="831" t="s">
        <v>2674</v>
      </c>
      <c r="AH27269" s="831" t="s">
        <v>555</v>
      </c>
      <c r="AI27269" s="831">
        <v>0</v>
      </c>
      <c r="AJ27269" s="835">
        <v>41486</v>
      </c>
      <c r="AK27269" s="831">
        <v>359140020</v>
      </c>
    </row>
    <row r="27270" spans="32:37">
      <c r="AF27270" s="831" t="s">
        <v>11009</v>
      </c>
      <c r="AG27270" s="831" t="s">
        <v>2674</v>
      </c>
      <c r="AH27270" s="831" t="s">
        <v>554</v>
      </c>
      <c r="AI27270" s="831">
        <v>0</v>
      </c>
      <c r="AJ27270" s="835">
        <v>41486</v>
      </c>
      <c r="AK27270" s="831">
        <v>364984870</v>
      </c>
    </row>
    <row r="27271" spans="32:37">
      <c r="AF27271" s="831" t="s">
        <v>11010</v>
      </c>
      <c r="AG27271" s="831" t="s">
        <v>2674</v>
      </c>
      <c r="AH27271" s="831" t="s">
        <v>553</v>
      </c>
      <c r="AI27271" s="831">
        <v>0</v>
      </c>
      <c r="AJ27271" s="835">
        <v>41486</v>
      </c>
      <c r="AK27271" s="831">
        <v>0</v>
      </c>
    </row>
    <row r="27272" spans="32:37">
      <c r="AF27272" s="831" t="s">
        <v>11011</v>
      </c>
      <c r="AG27272" s="831" t="s">
        <v>2674</v>
      </c>
      <c r="AH27272" s="831" t="s">
        <v>552</v>
      </c>
      <c r="AI27272" s="831">
        <v>0</v>
      </c>
      <c r="AJ27272" s="835">
        <v>41486</v>
      </c>
      <c r="AK27272" s="831">
        <v>0</v>
      </c>
    </row>
    <row r="27273" spans="32:37">
      <c r="AF27273" s="831" t="s">
        <v>11012</v>
      </c>
      <c r="AG27273" s="831" t="s">
        <v>2674</v>
      </c>
      <c r="AH27273" s="831" t="s">
        <v>551</v>
      </c>
      <c r="AI27273" s="831">
        <v>0</v>
      </c>
      <c r="AJ27273" s="835">
        <v>41486</v>
      </c>
      <c r="AK27273" s="831">
        <v>1334074.5780000002</v>
      </c>
    </row>
    <row r="27274" spans="32:37">
      <c r="AF27274" s="831" t="s">
        <v>11013</v>
      </c>
      <c r="AG27274" s="831" t="s">
        <v>2674</v>
      </c>
      <c r="AH27274" s="831" t="s">
        <v>550</v>
      </c>
      <c r="AI27274" s="831">
        <v>0</v>
      </c>
      <c r="AJ27274" s="835">
        <v>41486</v>
      </c>
      <c r="AK27274" s="831">
        <v>108060358</v>
      </c>
    </row>
    <row r="27275" spans="32:37">
      <c r="AF27275" s="831" t="s">
        <v>11014</v>
      </c>
      <c r="AG27275" s="831" t="s">
        <v>2674</v>
      </c>
      <c r="AH27275" s="831" t="s">
        <v>562</v>
      </c>
      <c r="AI27275" s="831">
        <v>0</v>
      </c>
      <c r="AJ27275" s="835">
        <v>41486</v>
      </c>
      <c r="AK27275" s="831">
        <v>0.78374999999999995</v>
      </c>
    </row>
    <row r="27276" spans="32:37">
      <c r="AF27276" s="831" t="s">
        <v>11015</v>
      </c>
      <c r="AG27276" s="831" t="s">
        <v>2674</v>
      </c>
      <c r="AH27276" s="831" t="s">
        <v>2698</v>
      </c>
      <c r="AI27276" s="831">
        <v>0</v>
      </c>
      <c r="AJ27276" s="835">
        <v>41486</v>
      </c>
      <c r="AK27276" s="831">
        <v>0.78395000000000004</v>
      </c>
    </row>
    <row r="27277" spans="32:37">
      <c r="AF27277" s="831" t="s">
        <v>11016</v>
      </c>
      <c r="AG27277" s="831" t="s">
        <v>2674</v>
      </c>
      <c r="AH27277" s="831" t="s">
        <v>560</v>
      </c>
      <c r="AI27277" s="831">
        <v>0</v>
      </c>
      <c r="AJ27277" s="835">
        <v>41486</v>
      </c>
      <c r="AK27277" s="831">
        <v>0.78403571428571439</v>
      </c>
    </row>
    <row r="27278" spans="32:37">
      <c r="AF27278" s="831" t="s">
        <v>11017</v>
      </c>
      <c r="AG27278" s="831" t="s">
        <v>2674</v>
      </c>
      <c r="AH27278" s="831" t="s">
        <v>559</v>
      </c>
      <c r="AI27278" s="831">
        <v>0</v>
      </c>
      <c r="AJ27278" s="835">
        <v>41486</v>
      </c>
      <c r="AK27278" s="831">
        <v>0.7841583333333334</v>
      </c>
    </row>
    <row r="27279" spans="32:37">
      <c r="AF27279" s="831" t="s">
        <v>11018</v>
      </c>
      <c r="AG27279" s="831" t="s">
        <v>2674</v>
      </c>
      <c r="AH27279" s="831" t="s">
        <v>568</v>
      </c>
      <c r="AI27279" s="831">
        <v>0</v>
      </c>
      <c r="AJ27279" s="835">
        <v>41486</v>
      </c>
      <c r="AK27279" s="831">
        <v>431219750.30769229</v>
      </c>
    </row>
    <row r="27280" spans="32:37">
      <c r="AF27280" s="831" t="s">
        <v>11019</v>
      </c>
      <c r="AG27280" s="831" t="s">
        <v>2674</v>
      </c>
      <c r="AH27280" s="831" t="s">
        <v>569</v>
      </c>
      <c r="AI27280" s="831">
        <v>0</v>
      </c>
      <c r="AJ27280" s="835">
        <v>41486</v>
      </c>
      <c r="AK27280" s="831">
        <v>525226803</v>
      </c>
    </row>
    <row r="27281" spans="32:37">
      <c r="AF27281" s="831" t="s">
        <v>11020</v>
      </c>
      <c r="AG27281" s="831" t="s">
        <v>2674</v>
      </c>
      <c r="AH27281" s="831" t="s">
        <v>570</v>
      </c>
      <c r="AI27281" s="831">
        <v>0</v>
      </c>
      <c r="AJ27281" s="835">
        <v>41486</v>
      </c>
      <c r="AK27281" s="831">
        <v>100992550.61538461</v>
      </c>
    </row>
    <row r="27282" spans="32:37">
      <c r="AF27282" s="831" t="s">
        <v>11021</v>
      </c>
      <c r="AG27282" s="831" t="s">
        <v>2674</v>
      </c>
      <c r="AH27282" s="831" t="s">
        <v>571</v>
      </c>
      <c r="AI27282" s="831">
        <v>0</v>
      </c>
      <c r="AJ27282" s="835">
        <v>41486</v>
      </c>
      <c r="AK27282" s="831">
        <v>233627225.76923078</v>
      </c>
    </row>
    <row r="27283" spans="32:37">
      <c r="AF27283" s="831" t="s">
        <v>11022</v>
      </c>
      <c r="AG27283" s="831" t="s">
        <v>2674</v>
      </c>
      <c r="AH27283" s="831" t="s">
        <v>573</v>
      </c>
      <c r="AI27283" s="831">
        <v>0</v>
      </c>
      <c r="AJ27283" s="835">
        <v>41486</v>
      </c>
      <c r="AK27283" s="831">
        <v>569857313.625</v>
      </c>
    </row>
    <row r="27284" spans="32:37">
      <c r="AF27284" s="831" t="s">
        <v>11023</v>
      </c>
      <c r="AG27284" s="831" t="s">
        <v>2674</v>
      </c>
      <c r="AH27284" s="831" t="s">
        <v>574</v>
      </c>
      <c r="AI27284" s="831">
        <v>0</v>
      </c>
      <c r="AJ27284" s="835">
        <v>41486</v>
      </c>
      <c r="AK27284" s="831">
        <v>469485522.25</v>
      </c>
    </row>
    <row r="27285" spans="32:37">
      <c r="AF27285" s="831" t="s">
        <v>11024</v>
      </c>
      <c r="AG27285" s="831" t="s">
        <v>2674</v>
      </c>
      <c r="AH27285" s="831" t="s">
        <v>575</v>
      </c>
      <c r="AI27285" s="831">
        <v>0</v>
      </c>
      <c r="AJ27285" s="835">
        <v>41486</v>
      </c>
      <c r="AK27285" s="831">
        <v>103170462.125</v>
      </c>
    </row>
    <row r="27286" spans="32:37">
      <c r="AF27286" s="831" t="s">
        <v>11025</v>
      </c>
      <c r="AG27286" s="831" t="s">
        <v>2674</v>
      </c>
      <c r="AH27286" s="831" t="s">
        <v>576</v>
      </c>
      <c r="AI27286" s="831">
        <v>0</v>
      </c>
      <c r="AJ27286" s="835">
        <v>41486</v>
      </c>
      <c r="AK27286" s="831">
        <v>265012255.125</v>
      </c>
    </row>
    <row r="27287" spans="32:37">
      <c r="AF27287" s="831" t="s">
        <v>11026</v>
      </c>
      <c r="AG27287" s="831" t="s">
        <v>2674</v>
      </c>
      <c r="AH27287" s="831" t="s">
        <v>572</v>
      </c>
      <c r="AI27287" s="831">
        <v>0</v>
      </c>
      <c r="AJ27287" s="835">
        <v>41486</v>
      </c>
      <c r="AK27287" s="831">
        <v>23860386</v>
      </c>
    </row>
    <row r="27288" spans="32:37">
      <c r="AF27288" s="831" t="s">
        <v>11027</v>
      </c>
      <c r="AG27288" s="831" t="s">
        <v>2674</v>
      </c>
      <c r="AH27288" s="831" t="s">
        <v>577</v>
      </c>
      <c r="AI27288" s="831">
        <v>0</v>
      </c>
      <c r="AJ27288" s="835">
        <v>41486</v>
      </c>
      <c r="AK27288" s="831">
        <v>116281669</v>
      </c>
    </row>
    <row r="27289" spans="32:37">
      <c r="AF27289" s="831" t="s">
        <v>11028</v>
      </c>
      <c r="AG27289" s="831" t="s">
        <v>2674</v>
      </c>
      <c r="AH27289" s="831" t="s">
        <v>3042</v>
      </c>
      <c r="AI27289" s="831">
        <v>0</v>
      </c>
      <c r="AJ27289" s="835">
        <v>41486</v>
      </c>
      <c r="AK27289" s="831">
        <v>-28313674</v>
      </c>
    </row>
    <row r="27290" spans="32:37">
      <c r="AF27290" s="831" t="s">
        <v>11029</v>
      </c>
      <c r="AG27290" s="831" t="s">
        <v>2674</v>
      </c>
      <c r="AH27290" s="831" t="s">
        <v>3044</v>
      </c>
      <c r="AI27290" s="831">
        <v>0</v>
      </c>
      <c r="AJ27290" s="835">
        <v>41486</v>
      </c>
      <c r="AK27290" s="831">
        <v>-4195755</v>
      </c>
    </row>
    <row r="27291" spans="32:37">
      <c r="AF27291" s="831" t="s">
        <v>11030</v>
      </c>
      <c r="AG27291" s="831" t="s">
        <v>2674</v>
      </c>
      <c r="AH27291" s="831" t="s">
        <v>580</v>
      </c>
      <c r="AI27291" s="831">
        <v>0</v>
      </c>
      <c r="AJ27291" s="835">
        <v>41486</v>
      </c>
      <c r="AK27291" s="831">
        <v>-57513801</v>
      </c>
    </row>
    <row r="27292" spans="32:37">
      <c r="AF27292" s="831" t="s">
        <v>11031</v>
      </c>
      <c r="AG27292" s="831" t="s">
        <v>2674</v>
      </c>
      <c r="AH27292" s="831" t="s">
        <v>581</v>
      </c>
      <c r="AI27292" s="831">
        <v>0</v>
      </c>
      <c r="AJ27292" s="835">
        <v>41486</v>
      </c>
      <c r="AK27292" s="831">
        <v>4189789</v>
      </c>
    </row>
    <row r="27293" spans="32:37">
      <c r="AF27293" s="831" t="s">
        <v>11032</v>
      </c>
      <c r="AG27293" s="831" t="s">
        <v>2674</v>
      </c>
      <c r="AH27293" s="831" t="s">
        <v>105</v>
      </c>
      <c r="AI27293" s="831">
        <v>0</v>
      </c>
      <c r="AJ27293" s="835">
        <v>41486</v>
      </c>
      <c r="AK27293" s="831">
        <v>321921227</v>
      </c>
    </row>
    <row r="27294" spans="32:37">
      <c r="AF27294" s="831" t="s">
        <v>11033</v>
      </c>
      <c r="AG27294" s="831" t="s">
        <v>2674</v>
      </c>
      <c r="AH27294" s="831" t="s">
        <v>3049</v>
      </c>
      <c r="AI27294" s="831">
        <v>0</v>
      </c>
      <c r="AJ27294" s="835">
        <v>41486</v>
      </c>
      <c r="AK27294" s="831">
        <v>533353115</v>
      </c>
    </row>
    <row r="27295" spans="32:37">
      <c r="AF27295" s="831" t="s">
        <v>11034</v>
      </c>
      <c r="AG27295" s="831" t="s">
        <v>2674</v>
      </c>
      <c r="AH27295" s="831" t="s">
        <v>103</v>
      </c>
      <c r="AI27295" s="831">
        <v>0</v>
      </c>
      <c r="AJ27295" s="835">
        <v>41486</v>
      </c>
      <c r="AK27295" s="831">
        <v>211431888</v>
      </c>
    </row>
    <row r="27296" spans="32:37">
      <c r="AF27296" s="831" t="s">
        <v>11035</v>
      </c>
      <c r="AG27296" s="831" t="s">
        <v>2674</v>
      </c>
      <c r="AH27296" s="831" t="s">
        <v>182</v>
      </c>
      <c r="AI27296" s="831">
        <v>0</v>
      </c>
      <c r="AJ27296" s="835">
        <v>41486</v>
      </c>
      <c r="AK27296" s="831">
        <v>58107797.142857142</v>
      </c>
    </row>
    <row r="27297" spans="32:37">
      <c r="AF27297" s="831" t="s">
        <v>11036</v>
      </c>
      <c r="AG27297" s="831" t="s">
        <v>2674</v>
      </c>
      <c r="AH27297" s="831" t="s">
        <v>6600</v>
      </c>
      <c r="AI27297" s="831">
        <v>0</v>
      </c>
      <c r="AJ27297" s="835">
        <v>41486</v>
      </c>
      <c r="AK27297" s="831">
        <v>23860386</v>
      </c>
    </row>
    <row r="27298" spans="32:37">
      <c r="AF27298" s="831" t="s">
        <v>11037</v>
      </c>
      <c r="AG27298" s="831" t="s">
        <v>2674</v>
      </c>
      <c r="AH27298" s="831" t="s">
        <v>6602</v>
      </c>
      <c r="AI27298" s="831">
        <v>0</v>
      </c>
      <c r="AJ27298" s="835">
        <v>41486</v>
      </c>
      <c r="AK27298" s="831">
        <v>16124340</v>
      </c>
    </row>
    <row r="27299" spans="32:37">
      <c r="AF27299" s="831" t="s">
        <v>11038</v>
      </c>
      <c r="AG27299" s="831" t="s">
        <v>2674</v>
      </c>
      <c r="AH27299" s="831" t="s">
        <v>650</v>
      </c>
      <c r="AI27299" s="831">
        <v>0</v>
      </c>
      <c r="AJ27299" s="835">
        <v>41486</v>
      </c>
      <c r="AK27299" s="831">
        <v>176984761.69230768</v>
      </c>
    </row>
    <row r="27300" spans="32:37">
      <c r="AF27300" s="831" t="s">
        <v>11039</v>
      </c>
      <c r="AG27300" s="831" t="s">
        <v>2674</v>
      </c>
      <c r="AH27300" s="831" t="s">
        <v>655</v>
      </c>
      <c r="AI27300" s="831">
        <v>0</v>
      </c>
      <c r="AJ27300" s="835">
        <v>41486</v>
      </c>
      <c r="AK27300" s="831">
        <v>1081919.6189999999</v>
      </c>
    </row>
    <row r="27301" spans="32:37">
      <c r="AF27301" s="831" t="s">
        <v>11040</v>
      </c>
      <c r="AG27301" s="831" t="s">
        <v>2674</v>
      </c>
      <c r="AH27301" s="831" t="s">
        <v>546</v>
      </c>
      <c r="AI27301" s="831">
        <v>0</v>
      </c>
      <c r="AJ27301" s="835">
        <v>41517</v>
      </c>
      <c r="AK27301" s="831">
        <v>548671343</v>
      </c>
    </row>
    <row r="27302" spans="32:37">
      <c r="AF27302" s="831" t="s">
        <v>11041</v>
      </c>
      <c r="AG27302" s="831" t="s">
        <v>2674</v>
      </c>
      <c r="AH27302" s="831" t="s">
        <v>370</v>
      </c>
      <c r="AI27302" s="831">
        <v>0</v>
      </c>
      <c r="AJ27302" s="835">
        <v>41517</v>
      </c>
      <c r="AK27302" s="831">
        <v>657414575</v>
      </c>
    </row>
    <row r="27303" spans="32:37">
      <c r="AF27303" s="831" t="s">
        <v>11042</v>
      </c>
      <c r="AG27303" s="831" t="s">
        <v>2674</v>
      </c>
      <c r="AH27303" s="831" t="s">
        <v>126</v>
      </c>
      <c r="AI27303" s="831">
        <v>0</v>
      </c>
      <c r="AJ27303" s="835">
        <v>41517</v>
      </c>
      <c r="AK27303" s="831">
        <v>113874944</v>
      </c>
    </row>
    <row r="27304" spans="32:37">
      <c r="AF27304" s="831" t="s">
        <v>11043</v>
      </c>
      <c r="AG27304" s="831" t="s">
        <v>2674</v>
      </c>
      <c r="AH27304" s="831" t="s">
        <v>268</v>
      </c>
      <c r="AI27304" s="831">
        <v>0</v>
      </c>
      <c r="AJ27304" s="835">
        <v>41517</v>
      </c>
      <c r="AK27304" s="831">
        <v>19111719</v>
      </c>
    </row>
    <row r="27305" spans="32:37">
      <c r="AF27305" s="831" t="s">
        <v>11044</v>
      </c>
      <c r="AG27305" s="831" t="s">
        <v>2674</v>
      </c>
      <c r="AH27305" s="831" t="s">
        <v>547</v>
      </c>
      <c r="AI27305" s="831">
        <v>0</v>
      </c>
      <c r="AJ27305" s="835">
        <v>41517</v>
      </c>
      <c r="AK27305" s="831">
        <v>511487760</v>
      </c>
    </row>
    <row r="27306" spans="32:37">
      <c r="AF27306" s="831" t="s">
        <v>11045</v>
      </c>
      <c r="AG27306" s="831" t="s">
        <v>2674</v>
      </c>
      <c r="AH27306" s="831" t="s">
        <v>548</v>
      </c>
      <c r="AI27306" s="831">
        <v>0</v>
      </c>
      <c r="AJ27306" s="835">
        <v>41517</v>
      </c>
      <c r="AK27306" s="831">
        <v>96883184</v>
      </c>
    </row>
    <row r="27307" spans="32:37">
      <c r="AF27307" s="831" t="s">
        <v>11046</v>
      </c>
      <c r="AG27307" s="831" t="s">
        <v>2674</v>
      </c>
      <c r="AH27307" s="831" t="s">
        <v>549</v>
      </c>
      <c r="AI27307" s="831">
        <v>0</v>
      </c>
      <c r="AJ27307" s="835">
        <v>41517</v>
      </c>
      <c r="AK27307" s="831">
        <v>362295244</v>
      </c>
    </row>
    <row r="27308" spans="32:37">
      <c r="AF27308" s="831" t="s">
        <v>11047</v>
      </c>
      <c r="AG27308" s="831" t="s">
        <v>2674</v>
      </c>
      <c r="AH27308" s="831" t="s">
        <v>192</v>
      </c>
      <c r="AI27308" s="831">
        <v>0</v>
      </c>
      <c r="AJ27308" s="835">
        <v>41517</v>
      </c>
      <c r="AK27308" s="831">
        <v>-12472831</v>
      </c>
    </row>
    <row r="27309" spans="32:37">
      <c r="AF27309" s="831" t="s">
        <v>11048</v>
      </c>
      <c r="AG27309" s="831" t="s">
        <v>2674</v>
      </c>
      <c r="AH27309" s="831" t="s">
        <v>558</v>
      </c>
      <c r="AI27309" s="831">
        <v>0</v>
      </c>
      <c r="AJ27309" s="835">
        <v>41517</v>
      </c>
      <c r="AK27309" s="831">
        <v>543539630.65999997</v>
      </c>
    </row>
    <row r="27310" spans="32:37">
      <c r="AF27310" s="831" t="s">
        <v>11049</v>
      </c>
      <c r="AG27310" s="831" t="s">
        <v>2674</v>
      </c>
      <c r="AH27310" s="831" t="s">
        <v>65</v>
      </c>
      <c r="AI27310" s="831">
        <v>0</v>
      </c>
      <c r="AJ27310" s="835">
        <v>41517</v>
      </c>
      <c r="AK27310" s="831">
        <v>83388551</v>
      </c>
    </row>
    <row r="27311" spans="32:37">
      <c r="AF27311" s="831" t="s">
        <v>11050</v>
      </c>
      <c r="AG27311" s="831" t="s">
        <v>2674</v>
      </c>
      <c r="AH27311" s="831" t="s">
        <v>89</v>
      </c>
      <c r="AI27311" s="831">
        <v>0</v>
      </c>
      <c r="AJ27311" s="835">
        <v>41517</v>
      </c>
      <c r="AK27311" s="831">
        <v>139614</v>
      </c>
    </row>
    <row r="27312" spans="32:37">
      <c r="AF27312" s="831" t="s">
        <v>11051</v>
      </c>
      <c r="AG27312" s="831" t="s">
        <v>2674</v>
      </c>
      <c r="AH27312" s="831" t="s">
        <v>557</v>
      </c>
      <c r="AI27312" s="831">
        <v>0</v>
      </c>
      <c r="AJ27312" s="835">
        <v>41517</v>
      </c>
      <c r="AK27312" s="831">
        <v>147732</v>
      </c>
    </row>
    <row r="27313" spans="32:37">
      <c r="AF27313" s="831" t="s">
        <v>11052</v>
      </c>
      <c r="AG27313" s="831" t="s">
        <v>2674</v>
      </c>
      <c r="AH27313" s="831" t="s">
        <v>29</v>
      </c>
      <c r="AI27313" s="831">
        <v>0</v>
      </c>
      <c r="AJ27313" s="835">
        <v>41517</v>
      </c>
      <c r="AK27313" s="831">
        <v>1641079.85</v>
      </c>
    </row>
    <row r="27314" spans="32:37">
      <c r="AF27314" s="831" t="s">
        <v>11053</v>
      </c>
      <c r="AG27314" s="831" t="s">
        <v>2674</v>
      </c>
      <c r="AH27314" s="831" t="s">
        <v>2688</v>
      </c>
      <c r="AI27314" s="831">
        <v>0</v>
      </c>
      <c r="AJ27314" s="835">
        <v>41517</v>
      </c>
      <c r="AK27314" s="831">
        <v>1980496.8299999998</v>
      </c>
    </row>
    <row r="27315" spans="32:37">
      <c r="AF27315" s="831" t="s">
        <v>11054</v>
      </c>
      <c r="AG27315" s="831" t="s">
        <v>2674</v>
      </c>
      <c r="AH27315" s="831" t="s">
        <v>556</v>
      </c>
      <c r="AI27315" s="831">
        <v>0</v>
      </c>
      <c r="AJ27315" s="835">
        <v>41517</v>
      </c>
      <c r="AK27315" s="831">
        <v>1644732</v>
      </c>
    </row>
    <row r="27316" spans="32:37">
      <c r="AF27316" s="831" t="s">
        <v>11055</v>
      </c>
      <c r="AG27316" s="831" t="s">
        <v>2674</v>
      </c>
      <c r="AH27316" s="831" t="s">
        <v>555</v>
      </c>
      <c r="AI27316" s="831">
        <v>0</v>
      </c>
      <c r="AJ27316" s="835">
        <v>41517</v>
      </c>
      <c r="AK27316" s="831">
        <v>349976200</v>
      </c>
    </row>
    <row r="27317" spans="32:37">
      <c r="AF27317" s="831" t="s">
        <v>11056</v>
      </c>
      <c r="AG27317" s="831" t="s">
        <v>2674</v>
      </c>
      <c r="AH27317" s="831" t="s">
        <v>554</v>
      </c>
      <c r="AI27317" s="831">
        <v>0</v>
      </c>
      <c r="AJ27317" s="835">
        <v>41517</v>
      </c>
      <c r="AK27317" s="831">
        <v>362271180</v>
      </c>
    </row>
    <row r="27318" spans="32:37">
      <c r="AF27318" s="831" t="s">
        <v>11057</v>
      </c>
      <c r="AG27318" s="831" t="s">
        <v>2674</v>
      </c>
      <c r="AH27318" s="831" t="s">
        <v>553</v>
      </c>
      <c r="AI27318" s="831">
        <v>0</v>
      </c>
      <c r="AJ27318" s="835">
        <v>41517</v>
      </c>
      <c r="AK27318" s="831">
        <v>0</v>
      </c>
    </row>
    <row r="27319" spans="32:37">
      <c r="AF27319" s="831" t="s">
        <v>11058</v>
      </c>
      <c r="AG27319" s="831" t="s">
        <v>2674</v>
      </c>
      <c r="AH27319" s="831" t="s">
        <v>552</v>
      </c>
      <c r="AI27319" s="831">
        <v>0</v>
      </c>
      <c r="AJ27319" s="835">
        <v>41517</v>
      </c>
      <c r="AK27319" s="831">
        <v>0</v>
      </c>
    </row>
    <row r="27320" spans="32:37">
      <c r="AF27320" s="831" t="s">
        <v>11059</v>
      </c>
      <c r="AG27320" s="831" t="s">
        <v>2674</v>
      </c>
      <c r="AH27320" s="831" t="s">
        <v>551</v>
      </c>
      <c r="AI27320" s="831">
        <v>0</v>
      </c>
      <c r="AJ27320" s="835">
        <v>41517</v>
      </c>
      <c r="AK27320" s="831">
        <v>1337345.54</v>
      </c>
    </row>
    <row r="27321" spans="32:37">
      <c r="AF27321" s="831" t="s">
        <v>11060</v>
      </c>
      <c r="AG27321" s="831" t="s">
        <v>2674</v>
      </c>
      <c r="AH27321" s="831" t="s">
        <v>550</v>
      </c>
      <c r="AI27321" s="831">
        <v>0</v>
      </c>
      <c r="AJ27321" s="835">
        <v>41517</v>
      </c>
      <c r="AK27321" s="831">
        <v>110887562</v>
      </c>
    </row>
    <row r="27322" spans="32:37">
      <c r="AF27322" s="831" t="s">
        <v>11061</v>
      </c>
      <c r="AG27322" s="831" t="s">
        <v>2674</v>
      </c>
      <c r="AH27322" s="831" t="s">
        <v>562</v>
      </c>
      <c r="AI27322" s="831">
        <v>0</v>
      </c>
      <c r="AJ27322" s="835">
        <v>41517</v>
      </c>
      <c r="AK27322" s="831">
        <v>0.78385000000000005</v>
      </c>
    </row>
    <row r="27323" spans="32:37">
      <c r="AF27323" s="831" t="s">
        <v>11062</v>
      </c>
      <c r="AG27323" s="831" t="s">
        <v>2674</v>
      </c>
      <c r="AH27323" s="831" t="s">
        <v>2698</v>
      </c>
      <c r="AI27323" s="831">
        <v>0</v>
      </c>
      <c r="AJ27323" s="835">
        <v>41517</v>
      </c>
      <c r="AK27323" s="831">
        <v>0.78374999999999995</v>
      </c>
    </row>
    <row r="27324" spans="32:37">
      <c r="AF27324" s="831" t="s">
        <v>11063</v>
      </c>
      <c r="AG27324" s="831" t="s">
        <v>2674</v>
      </c>
      <c r="AH27324" s="831" t="s">
        <v>560</v>
      </c>
      <c r="AI27324" s="831">
        <v>0</v>
      </c>
      <c r="AJ27324" s="835">
        <v>41517</v>
      </c>
      <c r="AK27324" s="831">
        <v>0.7840125</v>
      </c>
    </row>
    <row r="27325" spans="32:37">
      <c r="AF27325" s="831" t="s">
        <v>11064</v>
      </c>
      <c r="AG27325" s="831" t="s">
        <v>2674</v>
      </c>
      <c r="AH27325" s="831" t="s">
        <v>559</v>
      </c>
      <c r="AI27325" s="831">
        <v>0</v>
      </c>
      <c r="AJ27325" s="835">
        <v>41517</v>
      </c>
      <c r="AK27325" s="831">
        <v>0.78410416666666671</v>
      </c>
    </row>
    <row r="27326" spans="32:37">
      <c r="AF27326" s="831" t="s">
        <v>11065</v>
      </c>
      <c r="AG27326" s="831" t="s">
        <v>2674</v>
      </c>
      <c r="AH27326" s="831" t="s">
        <v>568</v>
      </c>
      <c r="AI27326" s="831">
        <v>0</v>
      </c>
      <c r="AJ27326" s="835">
        <v>41517</v>
      </c>
      <c r="AK27326" s="831">
        <v>446494134.38461536</v>
      </c>
    </row>
    <row r="27327" spans="32:37">
      <c r="AF27327" s="831" t="s">
        <v>11066</v>
      </c>
      <c r="AG27327" s="831" t="s">
        <v>2674</v>
      </c>
      <c r="AH27327" s="831" t="s">
        <v>569</v>
      </c>
      <c r="AI27327" s="831">
        <v>0</v>
      </c>
      <c r="AJ27327" s="835">
        <v>41517</v>
      </c>
      <c r="AK27327" s="831">
        <v>542095460.15384614</v>
      </c>
    </row>
    <row r="27328" spans="32:37">
      <c r="AF27328" s="831" t="s">
        <v>11067</v>
      </c>
      <c r="AG27328" s="831" t="s">
        <v>2674</v>
      </c>
      <c r="AH27328" s="831" t="s">
        <v>570</v>
      </c>
      <c r="AI27328" s="831">
        <v>0</v>
      </c>
      <c r="AJ27328" s="835">
        <v>41517</v>
      </c>
      <c r="AK27328" s="831">
        <v>102565482.6923077</v>
      </c>
    </row>
    <row r="27329" spans="32:37">
      <c r="AF27329" s="831" t="s">
        <v>11068</v>
      </c>
      <c r="AG27329" s="831" t="s">
        <v>2674</v>
      </c>
      <c r="AH27329" s="831" t="s">
        <v>571</v>
      </c>
      <c r="AI27329" s="831">
        <v>0</v>
      </c>
      <c r="AJ27329" s="835">
        <v>41517</v>
      </c>
      <c r="AK27329" s="831">
        <v>245131875.46153846</v>
      </c>
    </row>
    <row r="27330" spans="32:37">
      <c r="AF27330" s="831" t="s">
        <v>11069</v>
      </c>
      <c r="AG27330" s="831" t="s">
        <v>2674</v>
      </c>
      <c r="AH27330" s="831" t="s">
        <v>573</v>
      </c>
      <c r="AI27330" s="831">
        <v>0</v>
      </c>
      <c r="AJ27330" s="835">
        <v>41517</v>
      </c>
      <c r="AK27330" s="831">
        <v>579585898.22222221</v>
      </c>
    </row>
    <row r="27331" spans="32:37">
      <c r="AF27331" s="831" t="s">
        <v>11070</v>
      </c>
      <c r="AG27331" s="831" t="s">
        <v>2674</v>
      </c>
      <c r="AH27331" s="831" t="s">
        <v>574</v>
      </c>
      <c r="AI27331" s="831">
        <v>0</v>
      </c>
      <c r="AJ27331" s="835">
        <v>41517</v>
      </c>
      <c r="AK27331" s="831">
        <v>478283946.77777779</v>
      </c>
    </row>
    <row r="27332" spans="32:37">
      <c r="AF27332" s="831" t="s">
        <v>11071</v>
      </c>
      <c r="AG27332" s="831" t="s">
        <v>2674</v>
      </c>
      <c r="AH27332" s="831" t="s">
        <v>575</v>
      </c>
      <c r="AI27332" s="831">
        <v>0</v>
      </c>
      <c r="AJ27332" s="835">
        <v>41517</v>
      </c>
      <c r="AK27332" s="831">
        <v>104359849</v>
      </c>
    </row>
    <row r="27333" spans="32:37">
      <c r="AF27333" s="831" t="s">
        <v>11072</v>
      </c>
      <c r="AG27333" s="831" t="s">
        <v>2674</v>
      </c>
      <c r="AH27333" s="831" t="s">
        <v>576</v>
      </c>
      <c r="AI27333" s="831">
        <v>0</v>
      </c>
      <c r="AJ27333" s="835">
        <v>41517</v>
      </c>
      <c r="AK27333" s="831">
        <v>270469259.22222221</v>
      </c>
    </row>
    <row r="27334" spans="32:37">
      <c r="AF27334" s="831" t="s">
        <v>11073</v>
      </c>
      <c r="AG27334" s="831" t="s">
        <v>2674</v>
      </c>
      <c r="AH27334" s="831" t="s">
        <v>572</v>
      </c>
      <c r="AI27334" s="831">
        <v>0</v>
      </c>
      <c r="AJ27334" s="835">
        <v>41517</v>
      </c>
      <c r="AK27334" s="831">
        <v>24859621</v>
      </c>
    </row>
    <row r="27335" spans="32:37">
      <c r="AF27335" s="831" t="s">
        <v>11074</v>
      </c>
      <c r="AG27335" s="831" t="s">
        <v>2674</v>
      </c>
      <c r="AH27335" s="831" t="s">
        <v>577</v>
      </c>
      <c r="AI27335" s="831">
        <v>0</v>
      </c>
      <c r="AJ27335" s="835">
        <v>41517</v>
      </c>
      <c r="AK27335" s="831">
        <v>119121446</v>
      </c>
    </row>
    <row r="27336" spans="32:37">
      <c r="AF27336" s="831" t="s">
        <v>11075</v>
      </c>
      <c r="AG27336" s="831" t="s">
        <v>2674</v>
      </c>
      <c r="AH27336" s="831" t="s">
        <v>3042</v>
      </c>
      <c r="AI27336" s="831">
        <v>0</v>
      </c>
      <c r="AJ27336" s="835">
        <v>41517</v>
      </c>
      <c r="AK27336" s="831">
        <v>-29143089</v>
      </c>
    </row>
    <row r="27337" spans="32:37">
      <c r="AF27337" s="831" t="s">
        <v>11076</v>
      </c>
      <c r="AG27337" s="831" t="s">
        <v>2674</v>
      </c>
      <c r="AH27337" s="831" t="s">
        <v>3044</v>
      </c>
      <c r="AI27337" s="831">
        <v>0</v>
      </c>
      <c r="AJ27337" s="835">
        <v>41517</v>
      </c>
      <c r="AK27337" s="831">
        <v>-4417525</v>
      </c>
    </row>
    <row r="27338" spans="32:37">
      <c r="AF27338" s="831" t="s">
        <v>11077</v>
      </c>
      <c r="AG27338" s="831" t="s">
        <v>2674</v>
      </c>
      <c r="AH27338" s="831" t="s">
        <v>580</v>
      </c>
      <c r="AI27338" s="831">
        <v>0</v>
      </c>
      <c r="AJ27338" s="835">
        <v>41517</v>
      </c>
      <c r="AK27338" s="831">
        <v>-58376707</v>
      </c>
    </row>
    <row r="27339" spans="32:37">
      <c r="AF27339" s="831" t="s">
        <v>11078</v>
      </c>
      <c r="AG27339" s="831" t="s">
        <v>2674</v>
      </c>
      <c r="AH27339" s="831" t="s">
        <v>581</v>
      </c>
      <c r="AI27339" s="831">
        <v>0</v>
      </c>
      <c r="AJ27339" s="835">
        <v>41517</v>
      </c>
      <c r="AK27339" s="831">
        <v>4578677</v>
      </c>
    </row>
    <row r="27340" spans="32:37">
      <c r="AF27340" s="831" t="s">
        <v>11079</v>
      </c>
      <c r="AG27340" s="831" t="s">
        <v>2674</v>
      </c>
      <c r="AH27340" s="831" t="s">
        <v>105</v>
      </c>
      <c r="AI27340" s="831">
        <v>0</v>
      </c>
      <c r="AJ27340" s="835">
        <v>41517</v>
      </c>
      <c r="AK27340" s="831">
        <v>314125292</v>
      </c>
    </row>
    <row r="27341" spans="32:37">
      <c r="AF27341" s="831" t="s">
        <v>11080</v>
      </c>
      <c r="AG27341" s="831" t="s">
        <v>2674</v>
      </c>
      <c r="AH27341" s="831" t="s">
        <v>3049</v>
      </c>
      <c r="AI27341" s="831">
        <v>0</v>
      </c>
      <c r="AJ27341" s="835">
        <v>41517</v>
      </c>
      <c r="AK27341" s="831">
        <v>527249449.14999998</v>
      </c>
    </row>
    <row r="27342" spans="32:37">
      <c r="AF27342" s="831" t="s">
        <v>11081</v>
      </c>
      <c r="AG27342" s="831" t="s">
        <v>2674</v>
      </c>
      <c r="AH27342" s="831" t="s">
        <v>103</v>
      </c>
      <c r="AI27342" s="831">
        <v>0</v>
      </c>
      <c r="AJ27342" s="835">
        <v>41517</v>
      </c>
      <c r="AK27342" s="831">
        <v>213124157.14999998</v>
      </c>
    </row>
    <row r="27343" spans="32:37">
      <c r="AF27343" s="831" t="s">
        <v>11082</v>
      </c>
      <c r="AG27343" s="831" t="s">
        <v>2674</v>
      </c>
      <c r="AH27343" s="831" t="s">
        <v>182</v>
      </c>
      <c r="AI27343" s="831">
        <v>0</v>
      </c>
      <c r="AJ27343" s="835">
        <v>41517</v>
      </c>
      <c r="AK27343" s="831">
        <v>57914724</v>
      </c>
    </row>
    <row r="27344" spans="32:37">
      <c r="AF27344" s="831" t="s">
        <v>11083</v>
      </c>
      <c r="AG27344" s="831" t="s">
        <v>2674</v>
      </c>
      <c r="AH27344" s="831" t="s">
        <v>6600</v>
      </c>
      <c r="AI27344" s="831">
        <v>0</v>
      </c>
      <c r="AJ27344" s="835">
        <v>41517</v>
      </c>
      <c r="AK27344" s="831">
        <v>24859621</v>
      </c>
    </row>
    <row r="27345" spans="32:37">
      <c r="AF27345" s="831" t="s">
        <v>11084</v>
      </c>
      <c r="AG27345" s="831" t="s">
        <v>2674</v>
      </c>
      <c r="AH27345" s="831" t="s">
        <v>6602</v>
      </c>
      <c r="AI27345" s="831">
        <v>0</v>
      </c>
      <c r="AJ27345" s="835">
        <v>41517</v>
      </c>
      <c r="AK27345" s="831">
        <v>19111719</v>
      </c>
    </row>
    <row r="27346" spans="32:37">
      <c r="AF27346" s="831" t="s">
        <v>11085</v>
      </c>
      <c r="AG27346" s="831" t="s">
        <v>2674</v>
      </c>
      <c r="AH27346" s="831" t="s">
        <v>650</v>
      </c>
      <c r="AI27346" s="831">
        <v>0</v>
      </c>
      <c r="AJ27346" s="835">
        <v>41517</v>
      </c>
      <c r="AK27346" s="831">
        <v>180578512.62692308</v>
      </c>
    </row>
    <row r="27347" spans="32:37">
      <c r="AF27347" s="831" t="s">
        <v>11086</v>
      </c>
      <c r="AG27347" s="831" t="s">
        <v>2674</v>
      </c>
      <c r="AH27347" s="831" t="s">
        <v>655</v>
      </c>
      <c r="AI27347" s="831">
        <v>0</v>
      </c>
      <c r="AJ27347" s="835">
        <v>41517</v>
      </c>
      <c r="AK27347" s="831">
        <v>1231052.19</v>
      </c>
    </row>
    <row r="27348" spans="32:37">
      <c r="AF27348" s="831" t="s">
        <v>11087</v>
      </c>
      <c r="AG27348" s="831" t="s">
        <v>2674</v>
      </c>
      <c r="AH27348" s="831" t="s">
        <v>546</v>
      </c>
      <c r="AI27348" s="831">
        <v>0</v>
      </c>
      <c r="AJ27348" s="835">
        <v>41547</v>
      </c>
      <c r="AK27348" s="831">
        <v>563989028</v>
      </c>
    </row>
    <row r="27349" spans="32:37">
      <c r="AF27349" s="831" t="s">
        <v>11088</v>
      </c>
      <c r="AG27349" s="831" t="s">
        <v>2674</v>
      </c>
      <c r="AH27349" s="831" t="s">
        <v>370</v>
      </c>
      <c r="AI27349" s="831">
        <v>0</v>
      </c>
      <c r="AJ27349" s="835">
        <v>41547</v>
      </c>
      <c r="AK27349" s="831">
        <v>692795586</v>
      </c>
    </row>
    <row r="27350" spans="32:37">
      <c r="AF27350" s="831" t="s">
        <v>11089</v>
      </c>
      <c r="AG27350" s="831" t="s">
        <v>2674</v>
      </c>
      <c r="AH27350" s="831" t="s">
        <v>126</v>
      </c>
      <c r="AI27350" s="831">
        <v>0</v>
      </c>
      <c r="AJ27350" s="835">
        <v>41547</v>
      </c>
      <c r="AK27350" s="831">
        <v>117170637</v>
      </c>
    </row>
    <row r="27351" spans="32:37">
      <c r="AF27351" s="831" t="s">
        <v>11090</v>
      </c>
      <c r="AG27351" s="831" t="s">
        <v>2674</v>
      </c>
      <c r="AH27351" s="831" t="s">
        <v>268</v>
      </c>
      <c r="AI27351" s="831">
        <v>0</v>
      </c>
      <c r="AJ27351" s="835">
        <v>41547</v>
      </c>
      <c r="AK27351" s="831">
        <v>22407414</v>
      </c>
    </row>
    <row r="27352" spans="32:37">
      <c r="AF27352" s="831" t="s">
        <v>11091</v>
      </c>
      <c r="AG27352" s="831" t="s">
        <v>2674</v>
      </c>
      <c r="AH27352" s="831" t="s">
        <v>547</v>
      </c>
      <c r="AI27352" s="831">
        <v>0</v>
      </c>
      <c r="AJ27352" s="835">
        <v>41547</v>
      </c>
      <c r="AK27352" s="831">
        <v>511487760</v>
      </c>
    </row>
    <row r="27353" spans="32:37">
      <c r="AF27353" s="831" t="s">
        <v>11092</v>
      </c>
      <c r="AG27353" s="831" t="s">
        <v>2674</v>
      </c>
      <c r="AH27353" s="831" t="s">
        <v>548</v>
      </c>
      <c r="AI27353" s="831">
        <v>0</v>
      </c>
      <c r="AJ27353" s="835">
        <v>41547</v>
      </c>
      <c r="AK27353" s="831">
        <v>96883184</v>
      </c>
    </row>
    <row r="27354" spans="32:37">
      <c r="AF27354" s="831" t="s">
        <v>11093</v>
      </c>
      <c r="AG27354" s="831" t="s">
        <v>2674</v>
      </c>
      <c r="AH27354" s="831" t="s">
        <v>549</v>
      </c>
      <c r="AI27354" s="831">
        <v>0</v>
      </c>
      <c r="AJ27354" s="835">
        <v>41547</v>
      </c>
      <c r="AK27354" s="831">
        <v>367084945</v>
      </c>
    </row>
    <row r="27355" spans="32:37">
      <c r="AF27355" s="831" t="s">
        <v>11094</v>
      </c>
      <c r="AG27355" s="831" t="s">
        <v>2674</v>
      </c>
      <c r="AH27355" s="831" t="s">
        <v>192</v>
      </c>
      <c r="AI27355" s="831">
        <v>0</v>
      </c>
      <c r="AJ27355" s="835">
        <v>41547</v>
      </c>
      <c r="AK27355" s="831">
        <v>-12882814</v>
      </c>
    </row>
    <row r="27356" spans="32:37">
      <c r="AF27356" s="831" t="s">
        <v>11095</v>
      </c>
      <c r="AG27356" s="831" t="s">
        <v>2674</v>
      </c>
      <c r="AH27356" s="831" t="s">
        <v>558</v>
      </c>
      <c r="AI27356" s="831">
        <v>0</v>
      </c>
      <c r="AJ27356" s="835">
        <v>41547</v>
      </c>
      <c r="AK27356" s="831">
        <v>575624949</v>
      </c>
    </row>
    <row r="27357" spans="32:37">
      <c r="AF27357" s="831" t="s">
        <v>11096</v>
      </c>
      <c r="AG27357" s="831" t="s">
        <v>2674</v>
      </c>
      <c r="AH27357" s="831" t="s">
        <v>65</v>
      </c>
      <c r="AI27357" s="831">
        <v>0</v>
      </c>
      <c r="AJ27357" s="835">
        <v>41547</v>
      </c>
      <c r="AK27357" s="831">
        <v>95313557</v>
      </c>
    </row>
    <row r="27358" spans="32:37">
      <c r="AF27358" s="831" t="s">
        <v>11097</v>
      </c>
      <c r="AG27358" s="831" t="s">
        <v>2674</v>
      </c>
      <c r="AH27358" s="831" t="s">
        <v>89</v>
      </c>
      <c r="AI27358" s="831">
        <v>0</v>
      </c>
      <c r="AJ27358" s="835">
        <v>41547</v>
      </c>
      <c r="AK27358" s="831">
        <v>141558</v>
      </c>
    </row>
    <row r="27359" spans="32:37">
      <c r="AF27359" s="831" t="s">
        <v>11098</v>
      </c>
      <c r="AG27359" s="831" t="s">
        <v>2674</v>
      </c>
      <c r="AH27359" s="831" t="s">
        <v>557</v>
      </c>
      <c r="AI27359" s="831">
        <v>0</v>
      </c>
      <c r="AJ27359" s="835">
        <v>41547</v>
      </c>
      <c r="AK27359" s="831">
        <v>150480</v>
      </c>
    </row>
    <row r="27360" spans="32:37">
      <c r="AF27360" s="831" t="s">
        <v>11099</v>
      </c>
      <c r="AG27360" s="831" t="s">
        <v>2674</v>
      </c>
      <c r="AH27360" s="831" t="s">
        <v>29</v>
      </c>
      <c r="AI27360" s="831">
        <v>0</v>
      </c>
      <c r="AJ27360" s="835">
        <v>41547</v>
      </c>
      <c r="AK27360" s="831">
        <v>1808536.49</v>
      </c>
    </row>
    <row r="27361" spans="32:37">
      <c r="AF27361" s="831" t="s">
        <v>11100</v>
      </c>
      <c r="AG27361" s="831" t="s">
        <v>2674</v>
      </c>
      <c r="AH27361" s="831" t="s">
        <v>2688</v>
      </c>
      <c r="AI27361" s="831">
        <v>0</v>
      </c>
      <c r="AJ27361" s="835">
        <v>41547</v>
      </c>
      <c r="AK27361" s="831">
        <v>1944896.06</v>
      </c>
    </row>
    <row r="27362" spans="32:37">
      <c r="AF27362" s="831" t="s">
        <v>11101</v>
      </c>
      <c r="AG27362" s="831" t="s">
        <v>2674</v>
      </c>
      <c r="AH27362" s="831" t="s">
        <v>556</v>
      </c>
      <c r="AI27362" s="831">
        <v>0</v>
      </c>
      <c r="AJ27362" s="835">
        <v>41547</v>
      </c>
      <c r="AK27362" s="831">
        <v>1644732</v>
      </c>
    </row>
    <row r="27363" spans="32:37">
      <c r="AF27363" s="831" t="s">
        <v>11102</v>
      </c>
      <c r="AG27363" s="831" t="s">
        <v>2674</v>
      </c>
      <c r="AH27363" s="831" t="s">
        <v>555</v>
      </c>
      <c r="AI27363" s="831">
        <v>0</v>
      </c>
      <c r="AJ27363" s="835">
        <v>41547</v>
      </c>
      <c r="AK27363" s="831">
        <v>373785500</v>
      </c>
    </row>
    <row r="27364" spans="32:37">
      <c r="AF27364" s="831" t="s">
        <v>11103</v>
      </c>
      <c r="AG27364" s="831" t="s">
        <v>2674</v>
      </c>
      <c r="AH27364" s="831" t="s">
        <v>554</v>
      </c>
      <c r="AI27364" s="831">
        <v>0</v>
      </c>
      <c r="AJ27364" s="835">
        <v>41547</v>
      </c>
      <c r="AK27364" s="831">
        <v>389313510</v>
      </c>
    </row>
    <row r="27365" spans="32:37">
      <c r="AF27365" s="831" t="s">
        <v>11104</v>
      </c>
      <c r="AG27365" s="831" t="s">
        <v>2674</v>
      </c>
      <c r="AH27365" s="831" t="s">
        <v>553</v>
      </c>
      <c r="AI27365" s="831">
        <v>0</v>
      </c>
      <c r="AJ27365" s="835">
        <v>41547</v>
      </c>
      <c r="AK27365" s="831">
        <v>0</v>
      </c>
    </row>
    <row r="27366" spans="32:37">
      <c r="AF27366" s="831" t="s">
        <v>11105</v>
      </c>
      <c r="AG27366" s="831" t="s">
        <v>2674</v>
      </c>
      <c r="AH27366" s="831" t="s">
        <v>552</v>
      </c>
      <c r="AI27366" s="831">
        <v>0</v>
      </c>
      <c r="AJ27366" s="835">
        <v>41547</v>
      </c>
      <c r="AK27366" s="831">
        <v>0</v>
      </c>
    </row>
    <row r="27367" spans="32:37">
      <c r="AF27367" s="831" t="s">
        <v>11106</v>
      </c>
      <c r="AG27367" s="831" t="s">
        <v>2674</v>
      </c>
      <c r="AH27367" s="831" t="s">
        <v>551</v>
      </c>
      <c r="AI27367" s="831">
        <v>0</v>
      </c>
      <c r="AJ27367" s="835">
        <v>41547</v>
      </c>
      <c r="AK27367" s="831">
        <v>1611508.6</v>
      </c>
    </row>
    <row r="27368" spans="32:37">
      <c r="AF27368" s="831" t="s">
        <v>11107</v>
      </c>
      <c r="AG27368" s="831" t="s">
        <v>2674</v>
      </c>
      <c r="AH27368" s="831" t="s">
        <v>550</v>
      </c>
      <c r="AI27368" s="831">
        <v>0</v>
      </c>
      <c r="AJ27368" s="835">
        <v>41547</v>
      </c>
      <c r="AK27368" s="831">
        <v>113874944</v>
      </c>
    </row>
    <row r="27369" spans="32:37">
      <c r="AF27369" s="831" t="s">
        <v>11108</v>
      </c>
      <c r="AG27369" s="831" t="s">
        <v>2674</v>
      </c>
      <c r="AH27369" s="831" t="s">
        <v>562</v>
      </c>
      <c r="AI27369" s="831">
        <v>0</v>
      </c>
      <c r="AJ27369" s="835">
        <v>41547</v>
      </c>
      <c r="AK27369" s="831">
        <v>0.78395000000000004</v>
      </c>
    </row>
    <row r="27370" spans="32:37">
      <c r="AF27370" s="831" t="s">
        <v>11109</v>
      </c>
      <c r="AG27370" s="831" t="s">
        <v>2674</v>
      </c>
      <c r="AH27370" s="831" t="s">
        <v>2698</v>
      </c>
      <c r="AI27370" s="831">
        <v>0</v>
      </c>
      <c r="AJ27370" s="835">
        <v>41547</v>
      </c>
      <c r="AK27370" s="831">
        <v>0.78385000000000005</v>
      </c>
    </row>
    <row r="27371" spans="32:37">
      <c r="AF27371" s="831" t="s">
        <v>11110</v>
      </c>
      <c r="AG27371" s="831" t="s">
        <v>2674</v>
      </c>
      <c r="AH27371" s="831" t="s">
        <v>560</v>
      </c>
      <c r="AI27371" s="831">
        <v>0</v>
      </c>
      <c r="AJ27371" s="835">
        <v>41547</v>
      </c>
      <c r="AK27371" s="831">
        <v>0.78400555555555551</v>
      </c>
    </row>
    <row r="27372" spans="32:37">
      <c r="AF27372" s="831" t="s">
        <v>11111</v>
      </c>
      <c r="AG27372" s="831" t="s">
        <v>2674</v>
      </c>
      <c r="AH27372" s="831" t="s">
        <v>559</v>
      </c>
      <c r="AI27372" s="831">
        <v>0</v>
      </c>
      <c r="AJ27372" s="835">
        <v>41547</v>
      </c>
      <c r="AK27372" s="831">
        <v>0.78404583333333333</v>
      </c>
    </row>
    <row r="27373" spans="32:37">
      <c r="AF27373" s="831" t="s">
        <v>11112</v>
      </c>
      <c r="AG27373" s="831" t="s">
        <v>2674</v>
      </c>
      <c r="AH27373" s="831" t="s">
        <v>568</v>
      </c>
      <c r="AI27373" s="831">
        <v>0</v>
      </c>
      <c r="AJ27373" s="835">
        <v>41547</v>
      </c>
      <c r="AK27373" s="831">
        <v>462009040.84615386</v>
      </c>
    </row>
    <row r="27374" spans="32:37">
      <c r="AF27374" s="831" t="s">
        <v>11113</v>
      </c>
      <c r="AG27374" s="831" t="s">
        <v>2674</v>
      </c>
      <c r="AH27374" s="831" t="s">
        <v>569</v>
      </c>
      <c r="AI27374" s="831">
        <v>0</v>
      </c>
      <c r="AJ27374" s="835">
        <v>41547</v>
      </c>
      <c r="AK27374" s="831">
        <v>560598027.84615386</v>
      </c>
    </row>
    <row r="27375" spans="32:37">
      <c r="AF27375" s="831" t="s">
        <v>11114</v>
      </c>
      <c r="AG27375" s="831" t="s">
        <v>2674</v>
      </c>
      <c r="AH27375" s="831" t="s">
        <v>570</v>
      </c>
      <c r="AI27375" s="831">
        <v>0</v>
      </c>
      <c r="AJ27375" s="835">
        <v>41547</v>
      </c>
      <c r="AK27375" s="831">
        <v>104238995.3076923</v>
      </c>
    </row>
    <row r="27376" spans="32:37">
      <c r="AF27376" s="831" t="s">
        <v>11115</v>
      </c>
      <c r="AG27376" s="831" t="s">
        <v>2674</v>
      </c>
      <c r="AH27376" s="831" t="s">
        <v>571</v>
      </c>
      <c r="AI27376" s="831">
        <v>0</v>
      </c>
      <c r="AJ27376" s="835">
        <v>41547</v>
      </c>
      <c r="AK27376" s="831">
        <v>257329819.61538461</v>
      </c>
    </row>
    <row r="27377" spans="32:37">
      <c r="AF27377" s="831" t="s">
        <v>11116</v>
      </c>
      <c r="AG27377" s="831" t="s">
        <v>2674</v>
      </c>
      <c r="AH27377" s="831" t="s">
        <v>573</v>
      </c>
      <c r="AI27377" s="831">
        <v>0</v>
      </c>
      <c r="AJ27377" s="835">
        <v>41547</v>
      </c>
      <c r="AK27377" s="831">
        <v>590906867</v>
      </c>
    </row>
    <row r="27378" spans="32:37">
      <c r="AF27378" s="831" t="s">
        <v>11117</v>
      </c>
      <c r="AG27378" s="831" t="s">
        <v>2674</v>
      </c>
      <c r="AH27378" s="831" t="s">
        <v>574</v>
      </c>
      <c r="AI27378" s="831">
        <v>0</v>
      </c>
      <c r="AJ27378" s="835">
        <v>41547</v>
      </c>
      <c r="AK27378" s="831">
        <v>486854454.89999998</v>
      </c>
    </row>
    <row r="27379" spans="32:37">
      <c r="AF27379" s="831" t="s">
        <v>11118</v>
      </c>
      <c r="AG27379" s="831" t="s">
        <v>2674</v>
      </c>
      <c r="AH27379" s="831" t="s">
        <v>575</v>
      </c>
      <c r="AI27379" s="831">
        <v>0</v>
      </c>
      <c r="AJ27379" s="835">
        <v>41547</v>
      </c>
      <c r="AK27379" s="831">
        <v>105640927.8</v>
      </c>
    </row>
    <row r="27380" spans="32:37">
      <c r="AF27380" s="831" t="s">
        <v>11119</v>
      </c>
      <c r="AG27380" s="831" t="s">
        <v>2674</v>
      </c>
      <c r="AH27380" s="831" t="s">
        <v>576</v>
      </c>
      <c r="AI27380" s="831">
        <v>0</v>
      </c>
      <c r="AJ27380" s="835">
        <v>41547</v>
      </c>
      <c r="AK27380" s="831">
        <v>277318070.10000002</v>
      </c>
    </row>
    <row r="27381" spans="32:37">
      <c r="AF27381" s="831" t="s">
        <v>11120</v>
      </c>
      <c r="AG27381" s="831" t="s">
        <v>2674</v>
      </c>
      <c r="AH27381" s="831" t="s">
        <v>572</v>
      </c>
      <c r="AI27381" s="831">
        <v>0</v>
      </c>
      <c r="AJ27381" s="835">
        <v>41547</v>
      </c>
      <c r="AK27381" s="831">
        <v>26160885</v>
      </c>
    </row>
    <row r="27382" spans="32:37">
      <c r="AF27382" s="831" t="s">
        <v>11121</v>
      </c>
      <c r="AG27382" s="831" t="s">
        <v>2674</v>
      </c>
      <c r="AH27382" s="831" t="s">
        <v>577</v>
      </c>
      <c r="AI27382" s="831">
        <v>0</v>
      </c>
      <c r="AJ27382" s="835">
        <v>41547</v>
      </c>
      <c r="AK27382" s="831">
        <v>122921739</v>
      </c>
    </row>
    <row r="27383" spans="32:37">
      <c r="AF27383" s="831" t="s">
        <v>11122</v>
      </c>
      <c r="AG27383" s="831" t="s">
        <v>2674</v>
      </c>
      <c r="AH27383" s="831" t="s">
        <v>3042</v>
      </c>
      <c r="AI27383" s="831">
        <v>0</v>
      </c>
      <c r="AJ27383" s="835">
        <v>41547</v>
      </c>
      <c r="AK27383" s="831">
        <v>-30135210</v>
      </c>
    </row>
    <row r="27384" spans="32:37">
      <c r="AF27384" s="831" t="s">
        <v>11123</v>
      </c>
      <c r="AG27384" s="831" t="s">
        <v>2674</v>
      </c>
      <c r="AH27384" s="831" t="s">
        <v>3044</v>
      </c>
      <c r="AI27384" s="831">
        <v>0</v>
      </c>
      <c r="AJ27384" s="835">
        <v>41547</v>
      </c>
      <c r="AK27384" s="831">
        <v>-4515854</v>
      </c>
    </row>
    <row r="27385" spans="32:37">
      <c r="AF27385" s="831" t="s">
        <v>11124</v>
      </c>
      <c r="AG27385" s="831" t="s">
        <v>2674</v>
      </c>
      <c r="AH27385" s="831" t="s">
        <v>580</v>
      </c>
      <c r="AI27385" s="831">
        <v>0</v>
      </c>
      <c r="AJ27385" s="835">
        <v>41547</v>
      </c>
      <c r="AK27385" s="831">
        <v>-59169843</v>
      </c>
    </row>
    <row r="27386" spans="32:37">
      <c r="AF27386" s="831" t="s">
        <v>11125</v>
      </c>
      <c r="AG27386" s="831" t="s">
        <v>2674</v>
      </c>
      <c r="AH27386" s="831" t="s">
        <v>581</v>
      </c>
      <c r="AI27386" s="831">
        <v>0</v>
      </c>
      <c r="AJ27386" s="835">
        <v>41547</v>
      </c>
      <c r="AK27386" s="831">
        <v>4375184</v>
      </c>
    </row>
    <row r="27387" spans="32:37">
      <c r="AF27387" s="831" t="s">
        <v>11126</v>
      </c>
      <c r="AG27387" s="831" t="s">
        <v>2674</v>
      </c>
      <c r="AH27387" s="831" t="s">
        <v>105</v>
      </c>
      <c r="AI27387" s="831">
        <v>0</v>
      </c>
      <c r="AJ27387" s="835">
        <v>41547</v>
      </c>
      <c r="AK27387" s="831">
        <v>338957368</v>
      </c>
    </row>
    <row r="27388" spans="32:37">
      <c r="AF27388" s="831" t="s">
        <v>11127</v>
      </c>
      <c r="AG27388" s="831" t="s">
        <v>2674</v>
      </c>
      <c r="AH27388" s="831" t="s">
        <v>3049</v>
      </c>
      <c r="AI27388" s="831">
        <v>0</v>
      </c>
      <c r="AJ27388" s="835">
        <v>41547</v>
      </c>
      <c r="AK27388" s="831">
        <v>558920871</v>
      </c>
    </row>
    <row r="27389" spans="32:37">
      <c r="AF27389" s="831" t="s">
        <v>11128</v>
      </c>
      <c r="AG27389" s="831" t="s">
        <v>2674</v>
      </c>
      <c r="AH27389" s="831" t="s">
        <v>103</v>
      </c>
      <c r="AI27389" s="831">
        <v>0</v>
      </c>
      <c r="AJ27389" s="835">
        <v>41547</v>
      </c>
      <c r="AK27389" s="831">
        <v>219963503</v>
      </c>
    </row>
    <row r="27390" spans="32:37">
      <c r="AF27390" s="831" t="s">
        <v>11129</v>
      </c>
      <c r="AG27390" s="831" t="s">
        <v>2674</v>
      </c>
      <c r="AH27390" s="831" t="s">
        <v>182</v>
      </c>
      <c r="AI27390" s="831">
        <v>0</v>
      </c>
      <c r="AJ27390" s="835">
        <v>41547</v>
      </c>
      <c r="AK27390" s="831">
        <v>57784893.333333336</v>
      </c>
    </row>
    <row r="27391" spans="32:37">
      <c r="AF27391" s="831" t="s">
        <v>11130</v>
      </c>
      <c r="AG27391" s="831" t="s">
        <v>2674</v>
      </c>
      <c r="AH27391" s="831" t="s">
        <v>6600</v>
      </c>
      <c r="AI27391" s="831">
        <v>0</v>
      </c>
      <c r="AJ27391" s="835">
        <v>41547</v>
      </c>
      <c r="AK27391" s="831">
        <v>26160885</v>
      </c>
    </row>
    <row r="27392" spans="32:37">
      <c r="AF27392" s="831" t="s">
        <v>11131</v>
      </c>
      <c r="AG27392" s="831" t="s">
        <v>2674</v>
      </c>
      <c r="AH27392" s="831" t="s">
        <v>6602</v>
      </c>
      <c r="AI27392" s="831">
        <v>0</v>
      </c>
      <c r="AJ27392" s="835">
        <v>41547</v>
      </c>
      <c r="AK27392" s="831">
        <v>22407414</v>
      </c>
    </row>
    <row r="27393" spans="32:37">
      <c r="AF27393" s="831" t="s">
        <v>11132</v>
      </c>
      <c r="AG27393" s="831" t="s">
        <v>2674</v>
      </c>
      <c r="AH27393" s="831" t="s">
        <v>650</v>
      </c>
      <c r="AI27393" s="831">
        <v>0</v>
      </c>
      <c r="AJ27393" s="835">
        <v>41547</v>
      </c>
      <c r="AK27393" s="831">
        <v>184913431.55000001</v>
      </c>
    </row>
    <row r="27394" spans="32:37">
      <c r="AF27394" s="831" t="s">
        <v>11133</v>
      </c>
      <c r="AG27394" s="831" t="s">
        <v>2674</v>
      </c>
      <c r="AH27394" s="831" t="s">
        <v>655</v>
      </c>
      <c r="AI27394" s="831">
        <v>0</v>
      </c>
      <c r="AJ27394" s="835">
        <v>41547</v>
      </c>
      <c r="AK27394" s="831">
        <v>1374522.24</v>
      </c>
    </row>
    <row r="27395" spans="32:37">
      <c r="AF27395" s="831" t="s">
        <v>11134</v>
      </c>
      <c r="AG27395" s="831" t="s">
        <v>2674</v>
      </c>
      <c r="AH27395" s="831" t="s">
        <v>546</v>
      </c>
      <c r="AI27395" s="831">
        <v>0</v>
      </c>
      <c r="AJ27395" s="835">
        <v>41578</v>
      </c>
      <c r="AK27395" s="831">
        <v>580271359</v>
      </c>
    </row>
    <row r="27396" spans="32:37">
      <c r="AF27396" s="831" t="s">
        <v>11135</v>
      </c>
      <c r="AG27396" s="831" t="s">
        <v>2674</v>
      </c>
      <c r="AH27396" s="831" t="s">
        <v>370</v>
      </c>
      <c r="AI27396" s="831">
        <v>0</v>
      </c>
      <c r="AJ27396" s="835">
        <v>41578</v>
      </c>
      <c r="AK27396" s="831">
        <v>723686405</v>
      </c>
    </row>
    <row r="27397" spans="32:37">
      <c r="AF27397" s="831" t="s">
        <v>11136</v>
      </c>
      <c r="AG27397" s="831" t="s">
        <v>2674</v>
      </c>
      <c r="AH27397" s="831" t="s">
        <v>126</v>
      </c>
      <c r="AI27397" s="831">
        <v>0</v>
      </c>
      <c r="AJ27397" s="835">
        <v>41578</v>
      </c>
      <c r="AK27397" s="831">
        <v>120290863</v>
      </c>
    </row>
    <row r="27398" spans="32:37">
      <c r="AF27398" s="831" t="s">
        <v>11137</v>
      </c>
      <c r="AG27398" s="831" t="s">
        <v>2674</v>
      </c>
      <c r="AH27398" s="831" t="s">
        <v>268</v>
      </c>
      <c r="AI27398" s="831">
        <v>0</v>
      </c>
      <c r="AJ27398" s="835">
        <v>41578</v>
      </c>
      <c r="AK27398" s="831">
        <v>25527641</v>
      </c>
    </row>
    <row r="27399" spans="32:37">
      <c r="AF27399" s="831" t="s">
        <v>11138</v>
      </c>
      <c r="AG27399" s="831" t="s">
        <v>2674</v>
      </c>
      <c r="AH27399" s="831" t="s">
        <v>547</v>
      </c>
      <c r="AI27399" s="831">
        <v>0</v>
      </c>
      <c r="AJ27399" s="835">
        <v>41578</v>
      </c>
      <c r="AK27399" s="831">
        <v>511487760</v>
      </c>
    </row>
    <row r="27400" spans="32:37">
      <c r="AF27400" s="831" t="s">
        <v>11139</v>
      </c>
      <c r="AG27400" s="831" t="s">
        <v>2674</v>
      </c>
      <c r="AH27400" s="831" t="s">
        <v>548</v>
      </c>
      <c r="AI27400" s="831">
        <v>0</v>
      </c>
      <c r="AJ27400" s="835">
        <v>41578</v>
      </c>
      <c r="AK27400" s="831">
        <v>96883184</v>
      </c>
    </row>
    <row r="27401" spans="32:37">
      <c r="AF27401" s="831" t="s">
        <v>11140</v>
      </c>
      <c r="AG27401" s="831" t="s">
        <v>2674</v>
      </c>
      <c r="AH27401" s="831" t="s">
        <v>549</v>
      </c>
      <c r="AI27401" s="831">
        <v>0</v>
      </c>
      <c r="AJ27401" s="835">
        <v>41578</v>
      </c>
      <c r="AK27401" s="831">
        <v>376404251</v>
      </c>
    </row>
    <row r="27402" spans="32:37">
      <c r="AF27402" s="831" t="s">
        <v>11141</v>
      </c>
      <c r="AG27402" s="831" t="s">
        <v>2674</v>
      </c>
      <c r="AH27402" s="831" t="s">
        <v>192</v>
      </c>
      <c r="AI27402" s="831">
        <v>0</v>
      </c>
      <c r="AJ27402" s="835">
        <v>41578</v>
      </c>
      <c r="AK27402" s="831">
        <v>-13193791</v>
      </c>
    </row>
    <row r="27403" spans="32:37">
      <c r="AF27403" s="831" t="s">
        <v>11142</v>
      </c>
      <c r="AG27403" s="831" t="s">
        <v>2674</v>
      </c>
      <c r="AH27403" s="831" t="s">
        <v>558</v>
      </c>
      <c r="AI27403" s="831">
        <v>0</v>
      </c>
      <c r="AJ27403" s="835">
        <v>41578</v>
      </c>
      <c r="AK27403" s="831">
        <v>603395542</v>
      </c>
    </row>
    <row r="27404" spans="32:37">
      <c r="AF27404" s="831" t="s">
        <v>11143</v>
      </c>
      <c r="AG27404" s="831" t="s">
        <v>2674</v>
      </c>
      <c r="AH27404" s="831" t="s">
        <v>65</v>
      </c>
      <c r="AI27404" s="831">
        <v>0</v>
      </c>
      <c r="AJ27404" s="835">
        <v>41578</v>
      </c>
      <c r="AK27404" s="831">
        <v>107527674</v>
      </c>
    </row>
    <row r="27405" spans="32:37">
      <c r="AF27405" s="831" t="s">
        <v>11144</v>
      </c>
      <c r="AG27405" s="831" t="s">
        <v>2674</v>
      </c>
      <c r="AH27405" s="831" t="s">
        <v>89</v>
      </c>
      <c r="AI27405" s="831">
        <v>0</v>
      </c>
      <c r="AJ27405" s="835">
        <v>41578</v>
      </c>
      <c r="AK27405" s="831">
        <v>143295</v>
      </c>
    </row>
    <row r="27406" spans="32:37">
      <c r="AF27406" s="831" t="s">
        <v>11145</v>
      </c>
      <c r="AG27406" s="831" t="s">
        <v>2674</v>
      </c>
      <c r="AH27406" s="831" t="s">
        <v>557</v>
      </c>
      <c r="AI27406" s="831">
        <v>0</v>
      </c>
      <c r="AJ27406" s="835">
        <v>41578</v>
      </c>
      <c r="AK27406" s="831">
        <v>153100</v>
      </c>
    </row>
    <row r="27407" spans="32:37">
      <c r="AF27407" s="831" t="s">
        <v>11146</v>
      </c>
      <c r="AG27407" s="831" t="s">
        <v>2674</v>
      </c>
      <c r="AH27407" s="831" t="s">
        <v>29</v>
      </c>
      <c r="AI27407" s="831">
        <v>0</v>
      </c>
      <c r="AJ27407" s="835">
        <v>41578</v>
      </c>
      <c r="AK27407" s="831">
        <v>1718550.9230000002</v>
      </c>
    </row>
    <row r="27408" spans="32:37">
      <c r="AF27408" s="831" t="s">
        <v>11147</v>
      </c>
      <c r="AG27408" s="831" t="s">
        <v>2674</v>
      </c>
      <c r="AH27408" s="831" t="s">
        <v>2688</v>
      </c>
      <c r="AI27408" s="831">
        <v>0</v>
      </c>
      <c r="AJ27408" s="835">
        <v>41578</v>
      </c>
      <c r="AK27408" s="831">
        <v>2316853.79</v>
      </c>
    </row>
    <row r="27409" spans="32:37">
      <c r="AF27409" s="831" t="s">
        <v>11148</v>
      </c>
      <c r="AG27409" s="831" t="s">
        <v>2674</v>
      </c>
      <c r="AH27409" s="831" t="s">
        <v>556</v>
      </c>
      <c r="AI27409" s="831">
        <v>0</v>
      </c>
      <c r="AJ27409" s="835">
        <v>41578</v>
      </c>
      <c r="AK27409" s="831">
        <v>1644732</v>
      </c>
    </row>
    <row r="27410" spans="32:37">
      <c r="AF27410" s="831" t="s">
        <v>11149</v>
      </c>
      <c r="AG27410" s="831" t="s">
        <v>2674</v>
      </c>
      <c r="AH27410" s="831" t="s">
        <v>555</v>
      </c>
      <c r="AI27410" s="831">
        <v>0</v>
      </c>
      <c r="AJ27410" s="835">
        <v>41578</v>
      </c>
      <c r="AK27410" s="831">
        <v>400055160</v>
      </c>
    </row>
    <row r="27411" spans="32:37">
      <c r="AF27411" s="831" t="s">
        <v>11150</v>
      </c>
      <c r="AG27411" s="831" t="s">
        <v>2674</v>
      </c>
      <c r="AH27411" s="831" t="s">
        <v>554</v>
      </c>
      <c r="AI27411" s="831">
        <v>0</v>
      </c>
      <c r="AJ27411" s="835">
        <v>41578</v>
      </c>
      <c r="AK27411" s="831">
        <v>409100170</v>
      </c>
    </row>
    <row r="27412" spans="32:37">
      <c r="AF27412" s="831" t="s">
        <v>11151</v>
      </c>
      <c r="AG27412" s="831" t="s">
        <v>2674</v>
      </c>
      <c r="AH27412" s="831" t="s">
        <v>553</v>
      </c>
      <c r="AI27412" s="831">
        <v>0</v>
      </c>
      <c r="AJ27412" s="835">
        <v>41578</v>
      </c>
      <c r="AK27412" s="831">
        <v>0</v>
      </c>
    </row>
    <row r="27413" spans="32:37">
      <c r="AF27413" s="831" t="s">
        <v>11152</v>
      </c>
      <c r="AG27413" s="831" t="s">
        <v>2674</v>
      </c>
      <c r="AH27413" s="831" t="s">
        <v>552</v>
      </c>
      <c r="AI27413" s="831">
        <v>0</v>
      </c>
      <c r="AJ27413" s="835">
        <v>41578</v>
      </c>
      <c r="AK27413" s="831">
        <v>0</v>
      </c>
    </row>
    <row r="27414" spans="32:37">
      <c r="AF27414" s="831" t="s">
        <v>11153</v>
      </c>
      <c r="AG27414" s="831" t="s">
        <v>2674</v>
      </c>
      <c r="AH27414" s="831" t="s">
        <v>551</v>
      </c>
      <c r="AI27414" s="831">
        <v>0</v>
      </c>
      <c r="AJ27414" s="835">
        <v>41578</v>
      </c>
      <c r="AK27414" s="831">
        <v>1543588.5830000001</v>
      </c>
    </row>
    <row r="27415" spans="32:37">
      <c r="AF27415" s="831" t="s">
        <v>11154</v>
      </c>
      <c r="AG27415" s="831" t="s">
        <v>2674</v>
      </c>
      <c r="AH27415" s="831" t="s">
        <v>550</v>
      </c>
      <c r="AI27415" s="831">
        <v>0</v>
      </c>
      <c r="AJ27415" s="835">
        <v>41578</v>
      </c>
      <c r="AK27415" s="831">
        <v>117170637</v>
      </c>
    </row>
    <row r="27416" spans="32:37">
      <c r="AF27416" s="831" t="s">
        <v>11155</v>
      </c>
      <c r="AG27416" s="831" t="s">
        <v>2674</v>
      </c>
      <c r="AH27416" s="831" t="s">
        <v>562</v>
      </c>
      <c r="AI27416" s="831">
        <v>0</v>
      </c>
      <c r="AJ27416" s="835">
        <v>41578</v>
      </c>
      <c r="AK27416" s="831">
        <v>0.78395000000000004</v>
      </c>
    </row>
    <row r="27417" spans="32:37">
      <c r="AF27417" s="831" t="s">
        <v>11156</v>
      </c>
      <c r="AG27417" s="831" t="s">
        <v>2674</v>
      </c>
      <c r="AH27417" s="831" t="s">
        <v>2698</v>
      </c>
      <c r="AI27417" s="831">
        <v>0</v>
      </c>
      <c r="AJ27417" s="835">
        <v>41578</v>
      </c>
      <c r="AK27417" s="831">
        <v>0.78395000000000004</v>
      </c>
    </row>
    <row r="27418" spans="32:37">
      <c r="AF27418" s="831" t="s">
        <v>11157</v>
      </c>
      <c r="AG27418" s="831" t="s">
        <v>2674</v>
      </c>
      <c r="AH27418" s="831" t="s">
        <v>560</v>
      </c>
      <c r="AI27418" s="831">
        <v>0</v>
      </c>
      <c r="AJ27418" s="835">
        <v>41578</v>
      </c>
      <c r="AK27418" s="831">
        <v>0.78400000000000003</v>
      </c>
    </row>
    <row r="27419" spans="32:37">
      <c r="AF27419" s="831" t="s">
        <v>11158</v>
      </c>
      <c r="AG27419" s="831" t="s">
        <v>2674</v>
      </c>
      <c r="AH27419" s="831" t="s">
        <v>559</v>
      </c>
      <c r="AI27419" s="831">
        <v>0</v>
      </c>
      <c r="AJ27419" s="835">
        <v>41578</v>
      </c>
      <c r="AK27419" s="831">
        <v>0.78401250000000011</v>
      </c>
    </row>
    <row r="27420" spans="32:37">
      <c r="AF27420" s="831" t="s">
        <v>11159</v>
      </c>
      <c r="AG27420" s="831" t="s">
        <v>2674</v>
      </c>
      <c r="AH27420" s="831" t="s">
        <v>568</v>
      </c>
      <c r="AI27420" s="831">
        <v>0</v>
      </c>
      <c r="AJ27420" s="835">
        <v>41578</v>
      </c>
      <c r="AK27420" s="831">
        <v>478407995.76923078</v>
      </c>
    </row>
    <row r="27421" spans="32:37">
      <c r="AF27421" s="831" t="s">
        <v>11160</v>
      </c>
      <c r="AG27421" s="831" t="s">
        <v>2674</v>
      </c>
      <c r="AH27421" s="831" t="s">
        <v>569</v>
      </c>
      <c r="AI27421" s="831">
        <v>0</v>
      </c>
      <c r="AJ27421" s="835">
        <v>41578</v>
      </c>
      <c r="AK27421" s="831">
        <v>581144138.23076928</v>
      </c>
    </row>
    <row r="27422" spans="32:37">
      <c r="AF27422" s="831" t="s">
        <v>11161</v>
      </c>
      <c r="AG27422" s="831" t="s">
        <v>2674</v>
      </c>
      <c r="AH27422" s="831" t="s">
        <v>570</v>
      </c>
      <c r="AI27422" s="831">
        <v>0</v>
      </c>
      <c r="AJ27422" s="835">
        <v>41578</v>
      </c>
      <c r="AK27422" s="831">
        <v>105999107.61538461</v>
      </c>
    </row>
    <row r="27423" spans="32:37">
      <c r="AF27423" s="831" t="s">
        <v>11162</v>
      </c>
      <c r="AG27423" s="831" t="s">
        <v>2674</v>
      </c>
      <c r="AH27423" s="831" t="s">
        <v>571</v>
      </c>
      <c r="AI27423" s="831">
        <v>0</v>
      </c>
      <c r="AJ27423" s="835">
        <v>41578</v>
      </c>
      <c r="AK27423" s="831">
        <v>269945691.38461536</v>
      </c>
    </row>
    <row r="27424" spans="32:37">
      <c r="AF27424" s="831" t="s">
        <v>11163</v>
      </c>
      <c r="AG27424" s="831" t="s">
        <v>2674</v>
      </c>
      <c r="AH27424" s="831" t="s">
        <v>573</v>
      </c>
      <c r="AI27424" s="831">
        <v>0</v>
      </c>
      <c r="AJ27424" s="835">
        <v>41578</v>
      </c>
      <c r="AK27424" s="831">
        <v>602977734.09090912</v>
      </c>
    </row>
    <row r="27425" spans="32:37">
      <c r="AF27425" s="831" t="s">
        <v>11164</v>
      </c>
      <c r="AG27425" s="831" t="s">
        <v>2674</v>
      </c>
      <c r="AH27425" s="831" t="s">
        <v>574</v>
      </c>
      <c r="AI27425" s="831">
        <v>0</v>
      </c>
      <c r="AJ27425" s="835">
        <v>41578</v>
      </c>
      <c r="AK27425" s="831">
        <v>495346900.72727275</v>
      </c>
    </row>
    <row r="27426" spans="32:37">
      <c r="AF27426" s="831" t="s">
        <v>11165</v>
      </c>
      <c r="AG27426" s="831" t="s">
        <v>2674</v>
      </c>
      <c r="AH27426" s="831" t="s">
        <v>575</v>
      </c>
      <c r="AI27426" s="831">
        <v>0</v>
      </c>
      <c r="AJ27426" s="835">
        <v>41578</v>
      </c>
      <c r="AK27426" s="831">
        <v>106972740.09090909</v>
      </c>
    </row>
    <row r="27427" spans="32:37">
      <c r="AF27427" s="831" t="s">
        <v>11166</v>
      </c>
      <c r="AG27427" s="831" t="s">
        <v>2674</v>
      </c>
      <c r="AH27427" s="831" t="s">
        <v>576</v>
      </c>
      <c r="AI27427" s="831">
        <v>0</v>
      </c>
      <c r="AJ27427" s="835">
        <v>41578</v>
      </c>
      <c r="AK27427" s="831">
        <v>283862763.27272725</v>
      </c>
    </row>
    <row r="27428" spans="32:37">
      <c r="AF27428" s="831" t="s">
        <v>11167</v>
      </c>
      <c r="AG27428" s="831" t="s">
        <v>2674</v>
      </c>
      <c r="AH27428" s="831" t="s">
        <v>572</v>
      </c>
      <c r="AI27428" s="831">
        <v>0</v>
      </c>
      <c r="AJ27428" s="835">
        <v>41578</v>
      </c>
      <c r="AK27428" s="831">
        <v>27259085</v>
      </c>
    </row>
    <row r="27429" spans="32:37">
      <c r="AF27429" s="831" t="s">
        <v>11168</v>
      </c>
      <c r="AG27429" s="831" t="s">
        <v>2674</v>
      </c>
      <c r="AH27429" s="831" t="s">
        <v>577</v>
      </c>
      <c r="AI27429" s="831">
        <v>0</v>
      </c>
      <c r="AJ27429" s="835">
        <v>41578</v>
      </c>
      <c r="AK27429" s="831">
        <v>126095724</v>
      </c>
    </row>
    <row r="27430" spans="32:37">
      <c r="AF27430" s="831" t="s">
        <v>11169</v>
      </c>
      <c r="AG27430" s="831" t="s">
        <v>2674</v>
      </c>
      <c r="AH27430" s="831" t="s">
        <v>3042</v>
      </c>
      <c r="AI27430" s="831">
        <v>0</v>
      </c>
      <c r="AJ27430" s="835">
        <v>41578</v>
      </c>
      <c r="AK27430" s="831">
        <v>-31522962</v>
      </c>
    </row>
    <row r="27431" spans="32:37">
      <c r="AF27431" s="831" t="s">
        <v>11170</v>
      </c>
      <c r="AG27431" s="831" t="s">
        <v>2674</v>
      </c>
      <c r="AH27431" s="831" t="s">
        <v>3044</v>
      </c>
      <c r="AI27431" s="831">
        <v>0</v>
      </c>
      <c r="AJ27431" s="835">
        <v>41578</v>
      </c>
      <c r="AK27431" s="831">
        <v>-4397277</v>
      </c>
    </row>
    <row r="27432" spans="32:37">
      <c r="AF27432" s="831" t="s">
        <v>11171</v>
      </c>
      <c r="AG27432" s="831" t="s">
        <v>2674</v>
      </c>
      <c r="AH27432" s="831" t="s">
        <v>580</v>
      </c>
      <c r="AI27432" s="831">
        <v>0</v>
      </c>
      <c r="AJ27432" s="835">
        <v>41578</v>
      </c>
      <c r="AK27432" s="831">
        <v>-60213639</v>
      </c>
    </row>
    <row r="27433" spans="32:37">
      <c r="AF27433" s="831" t="s">
        <v>11172</v>
      </c>
      <c r="AG27433" s="831" t="s">
        <v>2674</v>
      </c>
      <c r="AH27433" s="831" t="s">
        <v>581</v>
      </c>
      <c r="AI27433" s="831">
        <v>0</v>
      </c>
      <c r="AJ27433" s="835">
        <v>41578</v>
      </c>
      <c r="AK27433" s="831">
        <v>4896268</v>
      </c>
    </row>
    <row r="27434" spans="32:37">
      <c r="AF27434" s="831" t="s">
        <v>11173</v>
      </c>
      <c r="AG27434" s="831" t="s">
        <v>2674</v>
      </c>
      <c r="AH27434" s="831" t="s">
        <v>105</v>
      </c>
      <c r="AI27434" s="831">
        <v>0</v>
      </c>
      <c r="AJ27434" s="835">
        <v>41578</v>
      </c>
      <c r="AK27434" s="831">
        <v>349309695</v>
      </c>
    </row>
    <row r="27435" spans="32:37">
      <c r="AF27435" s="831" t="s">
        <v>11174</v>
      </c>
      <c r="AG27435" s="831" t="s">
        <v>2674</v>
      </c>
      <c r="AH27435" s="831" t="s">
        <v>3049</v>
      </c>
      <c r="AI27435" s="831">
        <v>0</v>
      </c>
      <c r="AJ27435" s="835">
        <v>41578</v>
      </c>
      <c r="AK27435" s="831">
        <v>582451860</v>
      </c>
    </row>
    <row r="27436" spans="32:37">
      <c r="AF27436" s="831" t="s">
        <v>11175</v>
      </c>
      <c r="AG27436" s="831" t="s">
        <v>2674</v>
      </c>
      <c r="AH27436" s="831" t="s">
        <v>103</v>
      </c>
      <c r="AI27436" s="831">
        <v>0</v>
      </c>
      <c r="AJ27436" s="835">
        <v>41578</v>
      </c>
      <c r="AK27436" s="831">
        <v>233142165</v>
      </c>
    </row>
    <row r="27437" spans="32:37">
      <c r="AF27437" s="831" t="s">
        <v>11176</v>
      </c>
      <c r="AG27437" s="831" t="s">
        <v>2674</v>
      </c>
      <c r="AH27437" s="831" t="s">
        <v>182</v>
      </c>
      <c r="AI27437" s="831">
        <v>0</v>
      </c>
      <c r="AJ27437" s="835">
        <v>41578</v>
      </c>
      <c r="AK27437" s="831">
        <v>58216306.799999997</v>
      </c>
    </row>
    <row r="27438" spans="32:37">
      <c r="AF27438" s="831" t="s">
        <v>11177</v>
      </c>
      <c r="AG27438" s="831" t="s">
        <v>2674</v>
      </c>
      <c r="AH27438" s="831" t="s">
        <v>6600</v>
      </c>
      <c r="AI27438" s="831">
        <v>0</v>
      </c>
      <c r="AJ27438" s="835">
        <v>41578</v>
      </c>
      <c r="AK27438" s="831">
        <v>27259085</v>
      </c>
    </row>
    <row r="27439" spans="32:37">
      <c r="AF27439" s="831" t="s">
        <v>11178</v>
      </c>
      <c r="AG27439" s="831" t="s">
        <v>2674</v>
      </c>
      <c r="AH27439" s="831" t="s">
        <v>6602</v>
      </c>
      <c r="AI27439" s="831">
        <v>0</v>
      </c>
      <c r="AJ27439" s="835">
        <v>41578</v>
      </c>
      <c r="AK27439" s="831">
        <v>25527641</v>
      </c>
    </row>
    <row r="27440" spans="32:37">
      <c r="AF27440" s="831" t="s">
        <v>11179</v>
      </c>
      <c r="AG27440" s="831" t="s">
        <v>2674</v>
      </c>
      <c r="AH27440" s="831" t="s">
        <v>650</v>
      </c>
      <c r="AI27440" s="831">
        <v>0</v>
      </c>
      <c r="AJ27440" s="835">
        <v>41578</v>
      </c>
      <c r="AK27440" s="831">
        <v>190388810.31923077</v>
      </c>
    </row>
    <row r="27441" spans="32:37">
      <c r="AF27441" s="831" t="s">
        <v>11180</v>
      </c>
      <c r="AG27441" s="831" t="s">
        <v>2674</v>
      </c>
      <c r="AH27441" s="831" t="s">
        <v>655</v>
      </c>
      <c r="AI27441" s="831">
        <v>0</v>
      </c>
      <c r="AJ27441" s="835">
        <v>41578</v>
      </c>
      <c r="AK27441" s="831">
        <v>1325401.845</v>
      </c>
    </row>
    <row r="27442" spans="32:37">
      <c r="AF27442" s="831" t="s">
        <v>11181</v>
      </c>
      <c r="AG27442" s="831" t="s">
        <v>2674</v>
      </c>
      <c r="AH27442" s="831" t="s">
        <v>546</v>
      </c>
      <c r="AI27442" s="831">
        <v>0</v>
      </c>
      <c r="AJ27442" s="835">
        <v>41608</v>
      </c>
      <c r="AK27442" s="831">
        <v>598049309.95000005</v>
      </c>
    </row>
    <row r="27443" spans="32:37">
      <c r="AF27443" s="831" t="s">
        <v>11182</v>
      </c>
      <c r="AG27443" s="831" t="s">
        <v>2674</v>
      </c>
      <c r="AH27443" s="831" t="s">
        <v>370</v>
      </c>
      <c r="AI27443" s="831">
        <v>0</v>
      </c>
      <c r="AJ27443" s="835">
        <v>41608</v>
      </c>
      <c r="AK27443" s="831">
        <v>744271522.09000015</v>
      </c>
    </row>
    <row r="27444" spans="32:37">
      <c r="AF27444" s="831" t="s">
        <v>11183</v>
      </c>
      <c r="AG27444" s="831" t="s">
        <v>2674</v>
      </c>
      <c r="AH27444" s="831" t="s">
        <v>126</v>
      </c>
      <c r="AI27444" s="831">
        <v>0</v>
      </c>
      <c r="AJ27444" s="835">
        <v>41608</v>
      </c>
      <c r="AK27444" s="831">
        <v>123117939.85600001</v>
      </c>
    </row>
    <row r="27445" spans="32:37">
      <c r="AF27445" s="831" t="s">
        <v>11184</v>
      </c>
      <c r="AG27445" s="831" t="s">
        <v>2674</v>
      </c>
      <c r="AH27445" s="831" t="s">
        <v>268</v>
      </c>
      <c r="AI27445" s="831">
        <v>0</v>
      </c>
      <c r="AJ27445" s="835">
        <v>41608</v>
      </c>
      <c r="AK27445" s="831">
        <v>28354718.032000005</v>
      </c>
    </row>
    <row r="27446" spans="32:37">
      <c r="AF27446" s="831" t="s">
        <v>11185</v>
      </c>
      <c r="AG27446" s="831" t="s">
        <v>2674</v>
      </c>
      <c r="AH27446" s="831" t="s">
        <v>547</v>
      </c>
      <c r="AI27446" s="831">
        <v>0</v>
      </c>
      <c r="AJ27446" s="835">
        <v>41608</v>
      </c>
      <c r="AK27446" s="831">
        <v>511487760</v>
      </c>
    </row>
    <row r="27447" spans="32:37">
      <c r="AF27447" s="831" t="s">
        <v>11186</v>
      </c>
      <c r="AG27447" s="831" t="s">
        <v>2674</v>
      </c>
      <c r="AH27447" s="831" t="s">
        <v>548</v>
      </c>
      <c r="AI27447" s="831">
        <v>0</v>
      </c>
      <c r="AJ27447" s="835">
        <v>41608</v>
      </c>
      <c r="AK27447" s="831">
        <v>96883184</v>
      </c>
    </row>
    <row r="27448" spans="32:37">
      <c r="AF27448" s="831" t="s">
        <v>11187</v>
      </c>
      <c r="AG27448" s="831" t="s">
        <v>2674</v>
      </c>
      <c r="AH27448" s="831" t="s">
        <v>549</v>
      </c>
      <c r="AI27448" s="831">
        <v>0</v>
      </c>
      <c r="AJ27448" s="835">
        <v>41608</v>
      </c>
      <c r="AK27448" s="831">
        <v>394083786</v>
      </c>
    </row>
    <row r="27449" spans="32:37">
      <c r="AF27449" s="831" t="s">
        <v>11188</v>
      </c>
      <c r="AG27449" s="831" t="s">
        <v>2674</v>
      </c>
      <c r="AH27449" s="831" t="s">
        <v>192</v>
      </c>
      <c r="AI27449" s="831">
        <v>0</v>
      </c>
      <c r="AJ27449" s="835">
        <v>41608</v>
      </c>
      <c r="AK27449" s="831">
        <v>-13734258.050000001</v>
      </c>
    </row>
    <row r="27450" spans="32:37">
      <c r="AF27450" s="831" t="s">
        <v>11189</v>
      </c>
      <c r="AG27450" s="831" t="s">
        <v>2674</v>
      </c>
      <c r="AH27450" s="831" t="s">
        <v>558</v>
      </c>
      <c r="AI27450" s="831">
        <v>0</v>
      </c>
      <c r="AJ27450" s="835">
        <v>41608</v>
      </c>
      <c r="AK27450" s="831">
        <v>621153581.74699998</v>
      </c>
    </row>
    <row r="27451" spans="32:37">
      <c r="AF27451" s="831" t="s">
        <v>11190</v>
      </c>
      <c r="AG27451" s="831" t="s">
        <v>2674</v>
      </c>
      <c r="AH27451" s="831" t="s">
        <v>65</v>
      </c>
      <c r="AI27451" s="831">
        <v>0</v>
      </c>
      <c r="AJ27451" s="835">
        <v>41608</v>
      </c>
      <c r="AK27451" s="831">
        <v>119540969.236</v>
      </c>
    </row>
    <row r="27452" spans="32:37">
      <c r="AF27452" s="831" t="s">
        <v>11191</v>
      </c>
      <c r="AG27452" s="831" t="s">
        <v>2674</v>
      </c>
      <c r="AH27452" s="831" t="s">
        <v>89</v>
      </c>
      <c r="AI27452" s="831">
        <v>0</v>
      </c>
      <c r="AJ27452" s="835">
        <v>41608</v>
      </c>
      <c r="AK27452" s="831">
        <v>145224</v>
      </c>
    </row>
    <row r="27453" spans="32:37">
      <c r="AF27453" s="831" t="s">
        <v>11192</v>
      </c>
      <c r="AG27453" s="831" t="s">
        <v>2674</v>
      </c>
      <c r="AH27453" s="831" t="s">
        <v>557</v>
      </c>
      <c r="AI27453" s="831">
        <v>0</v>
      </c>
      <c r="AJ27453" s="835">
        <v>41608</v>
      </c>
      <c r="AK27453" s="831">
        <v>155996</v>
      </c>
    </row>
    <row r="27454" spans="32:37">
      <c r="AF27454" s="831" t="s">
        <v>11193</v>
      </c>
      <c r="AG27454" s="831" t="s">
        <v>2674</v>
      </c>
      <c r="AH27454" s="831" t="s">
        <v>29</v>
      </c>
      <c r="AI27454" s="831">
        <v>0</v>
      </c>
      <c r="AJ27454" s="835">
        <v>41608</v>
      </c>
      <c r="AK27454" s="831">
        <v>1891894.6070000001</v>
      </c>
    </row>
    <row r="27455" spans="32:37">
      <c r="AF27455" s="831" t="s">
        <v>11194</v>
      </c>
      <c r="AG27455" s="831" t="s">
        <v>2674</v>
      </c>
      <c r="AH27455" s="831" t="s">
        <v>2688</v>
      </c>
      <c r="AI27455" s="831">
        <v>0</v>
      </c>
      <c r="AJ27455" s="835">
        <v>41608</v>
      </c>
      <c r="AK27455" s="831">
        <v>3430395.37</v>
      </c>
    </row>
    <row r="27456" spans="32:37">
      <c r="AF27456" s="831" t="s">
        <v>11195</v>
      </c>
      <c r="AG27456" s="831" t="s">
        <v>2674</v>
      </c>
      <c r="AH27456" s="831" t="s">
        <v>556</v>
      </c>
      <c r="AI27456" s="831">
        <v>0</v>
      </c>
      <c r="AJ27456" s="835">
        <v>41608</v>
      </c>
      <c r="AK27456" s="831">
        <v>1644732</v>
      </c>
    </row>
    <row r="27457" spans="32:37">
      <c r="AF27457" s="831" t="s">
        <v>11196</v>
      </c>
      <c r="AG27457" s="831" t="s">
        <v>2674</v>
      </c>
      <c r="AH27457" s="831" t="s">
        <v>555</v>
      </c>
      <c r="AI27457" s="831">
        <v>0</v>
      </c>
      <c r="AJ27457" s="835">
        <v>41608</v>
      </c>
      <c r="AK27457" s="831">
        <v>414052390</v>
      </c>
    </row>
    <row r="27458" spans="32:37">
      <c r="AF27458" s="831" t="s">
        <v>11197</v>
      </c>
      <c r="AG27458" s="831" t="s">
        <v>2674</v>
      </c>
      <c r="AH27458" s="831" t="s">
        <v>554</v>
      </c>
      <c r="AI27458" s="831">
        <v>0</v>
      </c>
      <c r="AJ27458" s="835">
        <v>41608</v>
      </c>
      <c r="AK27458" s="831">
        <v>421904620</v>
      </c>
    </row>
    <row r="27459" spans="32:37">
      <c r="AF27459" s="831" t="s">
        <v>11198</v>
      </c>
      <c r="AG27459" s="831" t="s">
        <v>2674</v>
      </c>
      <c r="AH27459" s="831" t="s">
        <v>553</v>
      </c>
      <c r="AI27459" s="831">
        <v>0</v>
      </c>
      <c r="AJ27459" s="835">
        <v>41608</v>
      </c>
      <c r="AK27459" s="831">
        <v>0</v>
      </c>
    </row>
    <row r="27460" spans="32:37">
      <c r="AF27460" s="831" t="s">
        <v>11199</v>
      </c>
      <c r="AG27460" s="831" t="s">
        <v>2674</v>
      </c>
      <c r="AH27460" s="831" t="s">
        <v>552</v>
      </c>
      <c r="AI27460" s="831">
        <v>0</v>
      </c>
      <c r="AJ27460" s="835">
        <v>41608</v>
      </c>
      <c r="AK27460" s="831">
        <v>0</v>
      </c>
    </row>
    <row r="27461" spans="32:37">
      <c r="AF27461" s="831" t="s">
        <v>11200</v>
      </c>
      <c r="AG27461" s="831" t="s">
        <v>2674</v>
      </c>
      <c r="AH27461" s="831" t="s">
        <v>551</v>
      </c>
      <c r="AI27461" s="831">
        <v>0</v>
      </c>
      <c r="AJ27461" s="835">
        <v>41608</v>
      </c>
      <c r="AK27461" s="831">
        <v>1659941.3510000003</v>
      </c>
    </row>
    <row r="27462" spans="32:37">
      <c r="AF27462" s="831" t="s">
        <v>11201</v>
      </c>
      <c r="AG27462" s="831" t="s">
        <v>2674</v>
      </c>
      <c r="AH27462" s="831" t="s">
        <v>550</v>
      </c>
      <c r="AI27462" s="831">
        <v>0</v>
      </c>
      <c r="AJ27462" s="835">
        <v>41608</v>
      </c>
      <c r="AK27462" s="831">
        <v>120290863</v>
      </c>
    </row>
    <row r="27463" spans="32:37">
      <c r="AF27463" s="831" t="s">
        <v>11202</v>
      </c>
      <c r="AG27463" s="831" t="s">
        <v>2674</v>
      </c>
      <c r="AH27463" s="831" t="s">
        <v>562</v>
      </c>
      <c r="AI27463" s="831">
        <v>0</v>
      </c>
      <c r="AJ27463" s="835">
        <v>41608</v>
      </c>
      <c r="AK27463" s="831">
        <v>0.78385000000000005</v>
      </c>
    </row>
    <row r="27464" spans="32:37">
      <c r="AF27464" s="831" t="s">
        <v>11203</v>
      </c>
      <c r="AG27464" s="831" t="s">
        <v>2674</v>
      </c>
      <c r="AH27464" s="831" t="s">
        <v>2698</v>
      </c>
      <c r="AI27464" s="831">
        <v>0</v>
      </c>
      <c r="AJ27464" s="835">
        <v>41608</v>
      </c>
      <c r="AK27464" s="831">
        <v>0.78395000000000004</v>
      </c>
    </row>
    <row r="27465" spans="32:37">
      <c r="AF27465" s="831" t="s">
        <v>11204</v>
      </c>
      <c r="AG27465" s="831" t="s">
        <v>2674</v>
      </c>
      <c r="AH27465" s="831" t="s">
        <v>560</v>
      </c>
      <c r="AI27465" s="831">
        <v>0</v>
      </c>
      <c r="AJ27465" s="835">
        <v>41608</v>
      </c>
      <c r="AK27465" s="831">
        <v>0.78398636363636354</v>
      </c>
    </row>
    <row r="27466" spans="32:37">
      <c r="AF27466" s="831" t="s">
        <v>11205</v>
      </c>
      <c r="AG27466" s="831" t="s">
        <v>2674</v>
      </c>
      <c r="AH27466" s="831" t="s">
        <v>559</v>
      </c>
      <c r="AI27466" s="831">
        <v>0</v>
      </c>
      <c r="AJ27466" s="835">
        <v>41608</v>
      </c>
      <c r="AK27466" s="831">
        <v>0.78398749999999995</v>
      </c>
    </row>
    <row r="27467" spans="32:37">
      <c r="AF27467" s="831" t="s">
        <v>11206</v>
      </c>
      <c r="AG27467" s="831" t="s">
        <v>2674</v>
      </c>
      <c r="AH27467" s="831" t="s">
        <v>568</v>
      </c>
      <c r="AI27467" s="831">
        <v>0</v>
      </c>
      <c r="AJ27467" s="835">
        <v>41608</v>
      </c>
      <c r="AK27467" s="831">
        <v>495457615.68846154</v>
      </c>
    </row>
    <row r="27468" spans="32:37">
      <c r="AF27468" s="831" t="s">
        <v>11207</v>
      </c>
      <c r="AG27468" s="831" t="s">
        <v>2674</v>
      </c>
      <c r="AH27468" s="831" t="s">
        <v>569</v>
      </c>
      <c r="AI27468" s="831">
        <v>0</v>
      </c>
      <c r="AJ27468" s="835">
        <v>41608</v>
      </c>
      <c r="AK27468" s="831">
        <v>603523727.23769236</v>
      </c>
    </row>
    <row r="27469" spans="32:37">
      <c r="AF27469" s="831" t="s">
        <v>11208</v>
      </c>
      <c r="AG27469" s="831" t="s">
        <v>2674</v>
      </c>
      <c r="AH27469" s="831" t="s">
        <v>570</v>
      </c>
      <c r="AI27469" s="831">
        <v>0</v>
      </c>
      <c r="AJ27469" s="835">
        <v>41608</v>
      </c>
      <c r="AK27469" s="831">
        <v>107821146.75815384</v>
      </c>
    </row>
    <row r="27470" spans="32:37">
      <c r="AF27470" s="831" t="s">
        <v>11209</v>
      </c>
      <c r="AG27470" s="831" t="s">
        <v>2674</v>
      </c>
      <c r="AH27470" s="831" t="s">
        <v>571</v>
      </c>
      <c r="AI27470" s="831">
        <v>0</v>
      </c>
      <c r="AJ27470" s="835">
        <v>41608</v>
      </c>
      <c r="AK27470" s="831">
        <v>283259717.08169228</v>
      </c>
    </row>
    <row r="27471" spans="32:37">
      <c r="AF27471" s="831" t="s">
        <v>11210</v>
      </c>
      <c r="AG27471" s="831" t="s">
        <v>2674</v>
      </c>
      <c r="AH27471" s="831" t="s">
        <v>573</v>
      </c>
      <c r="AI27471" s="831">
        <v>0</v>
      </c>
      <c r="AJ27471" s="835">
        <v>41608</v>
      </c>
      <c r="AK27471" s="831">
        <v>614752216.42416668</v>
      </c>
    </row>
    <row r="27472" spans="32:37">
      <c r="AF27472" s="831" t="s">
        <v>11211</v>
      </c>
      <c r="AG27472" s="831" t="s">
        <v>2674</v>
      </c>
      <c r="AH27472" s="831" t="s">
        <v>574</v>
      </c>
      <c r="AI27472" s="831">
        <v>0</v>
      </c>
      <c r="AJ27472" s="835">
        <v>41608</v>
      </c>
      <c r="AK27472" s="831">
        <v>503905434.82916665</v>
      </c>
    </row>
    <row r="27473" spans="32:37">
      <c r="AF27473" s="831" t="s">
        <v>11212</v>
      </c>
      <c r="AG27473" s="831" t="s">
        <v>2674</v>
      </c>
      <c r="AH27473" s="831" t="s">
        <v>575</v>
      </c>
      <c r="AI27473" s="831">
        <v>0</v>
      </c>
      <c r="AJ27473" s="835">
        <v>41608</v>
      </c>
      <c r="AK27473" s="831">
        <v>108318173.40466666</v>
      </c>
    </row>
    <row r="27474" spans="32:37">
      <c r="AF27474" s="831" t="s">
        <v>11213</v>
      </c>
      <c r="AG27474" s="831" t="s">
        <v>2674</v>
      </c>
      <c r="AH27474" s="831" t="s">
        <v>576</v>
      </c>
      <c r="AI27474" s="831">
        <v>0</v>
      </c>
      <c r="AJ27474" s="835">
        <v>41608</v>
      </c>
      <c r="AK27474" s="831">
        <v>290020734.67183334</v>
      </c>
    </row>
    <row r="27475" spans="32:37">
      <c r="AF27475" s="831" t="s">
        <v>11214</v>
      </c>
      <c r="AG27475" s="831" t="s">
        <v>2674</v>
      </c>
      <c r="AH27475" s="831" t="s">
        <v>572</v>
      </c>
      <c r="AI27475" s="831">
        <v>0</v>
      </c>
      <c r="AJ27475" s="835">
        <v>41608</v>
      </c>
      <c r="AK27475" s="831">
        <v>27660766.032000005</v>
      </c>
    </row>
    <row r="27476" spans="32:37">
      <c r="AF27476" s="831" t="s">
        <v>11215</v>
      </c>
      <c r="AG27476" s="831" t="s">
        <v>2674</v>
      </c>
      <c r="AH27476" s="831" t="s">
        <v>577</v>
      </c>
      <c r="AI27476" s="831">
        <v>0</v>
      </c>
      <c r="AJ27476" s="835">
        <v>41608</v>
      </c>
      <c r="AK27476" s="831">
        <v>128906380.236</v>
      </c>
    </row>
    <row r="27477" spans="32:37">
      <c r="AF27477" s="831" t="s">
        <v>11216</v>
      </c>
      <c r="AG27477" s="831" t="s">
        <v>2674</v>
      </c>
      <c r="AH27477" s="831" t="s">
        <v>3042</v>
      </c>
      <c r="AI27477" s="831">
        <v>0</v>
      </c>
      <c r="AJ27477" s="835">
        <v>41608</v>
      </c>
      <c r="AK27477" s="831">
        <v>-32754423.664999999</v>
      </c>
    </row>
    <row r="27478" spans="32:37">
      <c r="AF27478" s="831" t="s">
        <v>11217</v>
      </c>
      <c r="AG27478" s="831" t="s">
        <v>2674</v>
      </c>
      <c r="AH27478" s="831" t="s">
        <v>3044</v>
      </c>
      <c r="AI27478" s="831">
        <v>0</v>
      </c>
      <c r="AJ27478" s="835">
        <v>41608</v>
      </c>
      <c r="AK27478" s="831">
        <v>-4752350.8779999996</v>
      </c>
    </row>
    <row r="27479" spans="32:37">
      <c r="AF27479" s="831" t="s">
        <v>11218</v>
      </c>
      <c r="AG27479" s="831" t="s">
        <v>2674</v>
      </c>
      <c r="AH27479" s="831" t="s">
        <v>580</v>
      </c>
      <c r="AI27479" s="831">
        <v>0</v>
      </c>
      <c r="AJ27479" s="835">
        <v>41608</v>
      </c>
      <c r="AK27479" s="831">
        <v>-61342758.126000002</v>
      </c>
    </row>
    <row r="27480" spans="32:37">
      <c r="AF27480" s="831" t="s">
        <v>11219</v>
      </c>
      <c r="AG27480" s="831" t="s">
        <v>2674</v>
      </c>
      <c r="AH27480" s="831" t="s">
        <v>581</v>
      </c>
      <c r="AI27480" s="831">
        <v>0</v>
      </c>
      <c r="AJ27480" s="835">
        <v>41608</v>
      </c>
      <c r="AK27480" s="831">
        <v>5348437.4649999999</v>
      </c>
    </row>
    <row r="27481" spans="32:37">
      <c r="AF27481" s="831" t="s">
        <v>11220</v>
      </c>
      <c r="AG27481" s="831" t="s">
        <v>2674</v>
      </c>
      <c r="AH27481" s="831" t="s">
        <v>105</v>
      </c>
      <c r="AI27481" s="831">
        <v>0</v>
      </c>
      <c r="AJ27481" s="835">
        <v>41608</v>
      </c>
      <c r="AK27481" s="831">
        <v>357758420.06199998</v>
      </c>
    </row>
    <row r="27482" spans="32:37">
      <c r="AF27482" s="831" t="s">
        <v>11221</v>
      </c>
      <c r="AG27482" s="831" t="s">
        <v>2674</v>
      </c>
      <c r="AH27482" s="831" t="s">
        <v>3049</v>
      </c>
      <c r="AI27482" s="831">
        <v>0</v>
      </c>
      <c r="AJ27482" s="835">
        <v>41608</v>
      </c>
      <c r="AK27482" s="831">
        <v>601955674.8829999</v>
      </c>
    </row>
    <row r="27483" spans="32:37">
      <c r="AF27483" s="831" t="s">
        <v>11222</v>
      </c>
      <c r="AG27483" s="831" t="s">
        <v>2674</v>
      </c>
      <c r="AH27483" s="831" t="s">
        <v>103</v>
      </c>
      <c r="AI27483" s="831">
        <v>0</v>
      </c>
      <c r="AJ27483" s="835">
        <v>41608</v>
      </c>
      <c r="AK27483" s="831">
        <v>244197254.82099998</v>
      </c>
    </row>
    <row r="27484" spans="32:37">
      <c r="AF27484" s="831" t="s">
        <v>11223</v>
      </c>
      <c r="AG27484" s="831" t="s">
        <v>2674</v>
      </c>
      <c r="AH27484" s="831" t="s">
        <v>182</v>
      </c>
      <c r="AI27484" s="831">
        <v>0</v>
      </c>
      <c r="AJ27484" s="835">
        <v>41608</v>
      </c>
      <c r="AK27484" s="831">
        <v>58896650.319272734</v>
      </c>
    </row>
    <row r="27485" spans="32:37">
      <c r="AF27485" s="831" t="s">
        <v>11224</v>
      </c>
      <c r="AG27485" s="831" t="s">
        <v>2674</v>
      </c>
      <c r="AH27485" s="831" t="s">
        <v>6600</v>
      </c>
      <c r="AI27485" s="831">
        <v>0</v>
      </c>
      <c r="AJ27485" s="835">
        <v>41608</v>
      </c>
      <c r="AK27485" s="831">
        <v>27660766.032000005</v>
      </c>
    </row>
    <row r="27486" spans="32:37">
      <c r="AF27486" s="831" t="s">
        <v>11225</v>
      </c>
      <c r="AG27486" s="831" t="s">
        <v>2674</v>
      </c>
      <c r="AH27486" s="831" t="s">
        <v>6602</v>
      </c>
      <c r="AI27486" s="831">
        <v>0</v>
      </c>
      <c r="AJ27486" s="835">
        <v>41608</v>
      </c>
      <c r="AK27486" s="831">
        <v>28354718.032000005</v>
      </c>
    </row>
    <row r="27487" spans="32:37">
      <c r="AF27487" s="831" t="s">
        <v>11226</v>
      </c>
      <c r="AG27487" s="831" t="s">
        <v>2674</v>
      </c>
      <c r="AH27487" s="831" t="s">
        <v>650</v>
      </c>
      <c r="AI27487" s="831">
        <v>0</v>
      </c>
      <c r="AJ27487" s="835">
        <v>41608</v>
      </c>
      <c r="AK27487" s="831">
        <v>197061109.84392309</v>
      </c>
    </row>
    <row r="27488" spans="32:37">
      <c r="AF27488" s="831" t="s">
        <v>11227</v>
      </c>
      <c r="AG27488" s="831" t="s">
        <v>2674</v>
      </c>
      <c r="AH27488" s="831" t="s">
        <v>655</v>
      </c>
      <c r="AI27488" s="831">
        <v>0</v>
      </c>
      <c r="AJ27488" s="835">
        <v>41608</v>
      </c>
      <c r="AK27488" s="831">
        <v>1514274.5550000002</v>
      </c>
    </row>
    <row r="27489" spans="32:37">
      <c r="AF27489" s="831" t="s">
        <v>11228</v>
      </c>
      <c r="AG27489" s="831" t="s">
        <v>2674</v>
      </c>
      <c r="AH27489" s="831" t="s">
        <v>546</v>
      </c>
      <c r="AI27489" s="831">
        <v>0</v>
      </c>
      <c r="AJ27489" s="835">
        <v>41639</v>
      </c>
      <c r="AK27489" s="831">
        <v>627874260</v>
      </c>
    </row>
    <row r="27490" spans="32:37">
      <c r="AF27490" s="831" t="s">
        <v>11229</v>
      </c>
      <c r="AG27490" s="831" t="s">
        <v>2674</v>
      </c>
      <c r="AH27490" s="831" t="s">
        <v>370</v>
      </c>
      <c r="AI27490" s="831">
        <v>0</v>
      </c>
      <c r="AJ27490" s="835">
        <v>41639</v>
      </c>
      <c r="AK27490" s="831">
        <v>789514969.56299996</v>
      </c>
    </row>
    <row r="27491" spans="32:37">
      <c r="AF27491" s="831" t="s">
        <v>11230</v>
      </c>
      <c r="AG27491" s="831" t="s">
        <v>2674</v>
      </c>
      <c r="AH27491" s="831" t="s">
        <v>126</v>
      </c>
      <c r="AI27491" s="831">
        <v>0</v>
      </c>
      <c r="AJ27491" s="835">
        <v>41639</v>
      </c>
      <c r="AK27491" s="831">
        <v>114089765.91</v>
      </c>
    </row>
    <row r="27492" spans="32:37">
      <c r="AF27492" s="831" t="s">
        <v>11231</v>
      </c>
      <c r="AG27492" s="831" t="s">
        <v>2674</v>
      </c>
      <c r="AH27492" s="831" t="s">
        <v>268</v>
      </c>
      <c r="AI27492" s="831">
        <v>0</v>
      </c>
      <c r="AJ27492" s="835">
        <v>41639</v>
      </c>
      <c r="AK27492" s="831">
        <v>27176541.956000008</v>
      </c>
    </row>
    <row r="27493" spans="32:37">
      <c r="AF27493" s="831" t="s">
        <v>11232</v>
      </c>
      <c r="AG27493" s="831" t="s">
        <v>2674</v>
      </c>
      <c r="AH27493" s="831" t="s">
        <v>547</v>
      </c>
      <c r="AI27493" s="831">
        <v>0</v>
      </c>
      <c r="AJ27493" s="835">
        <v>41639</v>
      </c>
      <c r="AK27493" s="831">
        <v>511487760</v>
      </c>
    </row>
    <row r="27494" spans="32:37">
      <c r="AF27494" s="831" t="s">
        <v>11233</v>
      </c>
      <c r="AG27494" s="831" t="s">
        <v>2674</v>
      </c>
      <c r="AH27494" s="831" t="s">
        <v>548</v>
      </c>
      <c r="AI27494" s="831">
        <v>0</v>
      </c>
      <c r="AJ27494" s="835">
        <v>41639</v>
      </c>
      <c r="AK27494" s="831">
        <v>96883184</v>
      </c>
    </row>
    <row r="27495" spans="32:37">
      <c r="AF27495" s="831" t="s">
        <v>11234</v>
      </c>
      <c r="AG27495" s="831" t="s">
        <v>2674</v>
      </c>
      <c r="AH27495" s="831" t="s">
        <v>549</v>
      </c>
      <c r="AI27495" s="831">
        <v>0</v>
      </c>
      <c r="AJ27495" s="835">
        <v>41639</v>
      </c>
      <c r="AK27495" s="831">
        <v>412125624</v>
      </c>
    </row>
    <row r="27496" spans="32:37">
      <c r="AF27496" s="831" t="s">
        <v>11235</v>
      </c>
      <c r="AG27496" s="831" t="s">
        <v>2674</v>
      </c>
      <c r="AH27496" s="831" t="s">
        <v>192</v>
      </c>
      <c r="AI27496" s="831">
        <v>0</v>
      </c>
      <c r="AJ27496" s="835">
        <v>41639</v>
      </c>
      <c r="AK27496" s="831">
        <v>-13734258</v>
      </c>
    </row>
    <row r="27497" spans="32:37">
      <c r="AF27497" s="831" t="s">
        <v>11236</v>
      </c>
      <c r="AG27497" s="831" t="s">
        <v>2674</v>
      </c>
      <c r="AH27497" s="831" t="s">
        <v>558</v>
      </c>
      <c r="AI27497" s="831">
        <v>0</v>
      </c>
      <c r="AJ27497" s="835">
        <v>41639</v>
      </c>
      <c r="AK27497" s="831">
        <v>675425203.71399999</v>
      </c>
    </row>
    <row r="27498" spans="32:37">
      <c r="AF27498" s="831" t="s">
        <v>11237</v>
      </c>
      <c r="AG27498" s="831" t="s">
        <v>2674</v>
      </c>
      <c r="AH27498" s="831" t="s">
        <v>65</v>
      </c>
      <c r="AI27498" s="831">
        <v>0</v>
      </c>
      <c r="AJ27498" s="835">
        <v>41639</v>
      </c>
      <c r="AK27498" s="831">
        <v>132856888.763</v>
      </c>
    </row>
    <row r="27499" spans="32:37">
      <c r="AF27499" s="831" t="s">
        <v>11238</v>
      </c>
      <c r="AG27499" s="831" t="s">
        <v>2674</v>
      </c>
      <c r="AH27499" s="831" t="s">
        <v>89</v>
      </c>
      <c r="AI27499" s="831">
        <v>0</v>
      </c>
      <c r="AJ27499" s="835">
        <v>41639</v>
      </c>
      <c r="AK27499" s="831">
        <v>147601</v>
      </c>
    </row>
    <row r="27500" spans="32:37">
      <c r="AF27500" s="831" t="s">
        <v>11239</v>
      </c>
      <c r="AG27500" s="831" t="s">
        <v>2674</v>
      </c>
      <c r="AH27500" s="831" t="s">
        <v>557</v>
      </c>
      <c r="AI27500" s="831">
        <v>0</v>
      </c>
      <c r="AJ27500" s="835">
        <v>41639</v>
      </c>
      <c r="AK27500" s="831">
        <v>160431</v>
      </c>
    </row>
    <row r="27501" spans="32:37">
      <c r="AF27501" s="831" t="s">
        <v>11240</v>
      </c>
      <c r="AG27501" s="831" t="s">
        <v>2674</v>
      </c>
      <c r="AH27501" s="831" t="s">
        <v>29</v>
      </c>
      <c r="AI27501" s="831">
        <v>0</v>
      </c>
      <c r="AJ27501" s="835">
        <v>41639</v>
      </c>
      <c r="AK27501" s="831">
        <v>1938216.4366000001</v>
      </c>
    </row>
    <row r="27502" spans="32:37">
      <c r="AF27502" s="831" t="s">
        <v>11241</v>
      </c>
      <c r="AG27502" s="831" t="s">
        <v>2674</v>
      </c>
      <c r="AH27502" s="831" t="s">
        <v>2688</v>
      </c>
      <c r="AI27502" s="831">
        <v>0</v>
      </c>
      <c r="AJ27502" s="835">
        <v>41639</v>
      </c>
      <c r="AK27502" s="831">
        <v>3277121.17</v>
      </c>
    </row>
    <row r="27503" spans="32:37">
      <c r="AF27503" s="831" t="s">
        <v>11242</v>
      </c>
      <c r="AG27503" s="831" t="s">
        <v>2674</v>
      </c>
      <c r="AH27503" s="831" t="s">
        <v>556</v>
      </c>
      <c r="AI27503" s="831">
        <v>0</v>
      </c>
      <c r="AJ27503" s="835">
        <v>41639</v>
      </c>
      <c r="AK27503" s="831">
        <v>1644732</v>
      </c>
    </row>
    <row r="27504" spans="32:37">
      <c r="AF27504" s="831" t="s">
        <v>11243</v>
      </c>
      <c r="AG27504" s="831" t="s">
        <v>2674</v>
      </c>
      <c r="AH27504" s="831" t="s">
        <v>555</v>
      </c>
      <c r="AI27504" s="831">
        <v>0</v>
      </c>
      <c r="AJ27504" s="835">
        <v>41639</v>
      </c>
      <c r="AK27504" s="831">
        <v>435796650</v>
      </c>
    </row>
    <row r="27505" spans="32:37">
      <c r="AF27505" s="831" t="s">
        <v>11244</v>
      </c>
      <c r="AG27505" s="831" t="s">
        <v>2674</v>
      </c>
      <c r="AH27505" s="831" t="s">
        <v>554</v>
      </c>
      <c r="AI27505" s="831">
        <v>0</v>
      </c>
      <c r="AJ27505" s="835">
        <v>41639</v>
      </c>
      <c r="AK27505" s="831">
        <v>428326680</v>
      </c>
    </row>
    <row r="27506" spans="32:37">
      <c r="AF27506" s="831" t="s">
        <v>11245</v>
      </c>
      <c r="AG27506" s="831" t="s">
        <v>2674</v>
      </c>
      <c r="AH27506" s="831" t="s">
        <v>553</v>
      </c>
      <c r="AI27506" s="831">
        <v>0</v>
      </c>
      <c r="AJ27506" s="835">
        <v>41639</v>
      </c>
      <c r="AK27506" s="831">
        <v>0</v>
      </c>
    </row>
    <row r="27507" spans="32:37">
      <c r="AF27507" s="831" t="s">
        <v>11246</v>
      </c>
      <c r="AG27507" s="831" t="s">
        <v>2674</v>
      </c>
      <c r="AH27507" s="831" t="s">
        <v>552</v>
      </c>
      <c r="AI27507" s="831">
        <v>0</v>
      </c>
      <c r="AJ27507" s="835">
        <v>41639</v>
      </c>
      <c r="AK27507" s="831">
        <v>0</v>
      </c>
    </row>
    <row r="27508" spans="32:37">
      <c r="AF27508" s="831" t="s">
        <v>11247</v>
      </c>
      <c r="AG27508" s="831" t="s">
        <v>2674</v>
      </c>
      <c r="AH27508" s="831" t="s">
        <v>551</v>
      </c>
      <c r="AI27508" s="831">
        <v>0</v>
      </c>
      <c r="AJ27508" s="835">
        <v>41639</v>
      </c>
      <c r="AK27508" s="831">
        <v>1803383.8316000002</v>
      </c>
    </row>
    <row r="27509" spans="32:37">
      <c r="AF27509" s="831" t="s">
        <v>11248</v>
      </c>
      <c r="AG27509" s="831" t="s">
        <v>2674</v>
      </c>
      <c r="AH27509" s="831" t="s">
        <v>550</v>
      </c>
      <c r="AI27509" s="831">
        <v>0</v>
      </c>
      <c r="AJ27509" s="835">
        <v>41639</v>
      </c>
      <c r="AK27509" s="831">
        <v>123117939.85600001</v>
      </c>
    </row>
    <row r="27510" spans="32:37">
      <c r="AF27510" s="831" t="s">
        <v>11249</v>
      </c>
      <c r="AG27510" s="831" t="s">
        <v>2674</v>
      </c>
      <c r="AH27510" s="831" t="s">
        <v>562</v>
      </c>
      <c r="AI27510" s="831">
        <v>0</v>
      </c>
      <c r="AJ27510" s="835">
        <v>41639</v>
      </c>
      <c r="AK27510" s="831">
        <v>0.78334999999999999</v>
      </c>
    </row>
    <row r="27511" spans="32:37">
      <c r="AF27511" s="831" t="s">
        <v>11250</v>
      </c>
      <c r="AG27511" s="831" t="s">
        <v>2674</v>
      </c>
      <c r="AH27511" s="831" t="s">
        <v>2698</v>
      </c>
      <c r="AI27511" s="831">
        <v>0</v>
      </c>
      <c r="AJ27511" s="835">
        <v>41639</v>
      </c>
      <c r="AK27511" s="831">
        <v>0.78385000000000005</v>
      </c>
    </row>
    <row r="27512" spans="32:37">
      <c r="AF27512" s="831" t="s">
        <v>11251</v>
      </c>
      <c r="AG27512" s="831" t="s">
        <v>2674</v>
      </c>
      <c r="AH27512" s="831" t="s">
        <v>560</v>
      </c>
      <c r="AI27512" s="831">
        <v>0</v>
      </c>
      <c r="AJ27512" s="835">
        <v>41639</v>
      </c>
      <c r="AK27512" s="831">
        <v>0.78393333333333326</v>
      </c>
    </row>
    <row r="27513" spans="32:37">
      <c r="AF27513" s="831" t="s">
        <v>11252</v>
      </c>
      <c r="AG27513" s="831" t="s">
        <v>2674</v>
      </c>
      <c r="AH27513" s="831" t="s">
        <v>559</v>
      </c>
      <c r="AI27513" s="831">
        <v>0</v>
      </c>
      <c r="AJ27513" s="835">
        <v>41639</v>
      </c>
      <c r="AK27513" s="831">
        <v>0.78393333333333326</v>
      </c>
    </row>
    <row r="27514" spans="32:37">
      <c r="AF27514" s="831" t="s">
        <v>11253</v>
      </c>
      <c r="AG27514" s="831" t="s">
        <v>2674</v>
      </c>
      <c r="AH27514" s="831" t="s">
        <v>568</v>
      </c>
      <c r="AI27514" s="831">
        <v>0</v>
      </c>
      <c r="AJ27514" s="835">
        <v>41639</v>
      </c>
      <c r="AK27514" s="831">
        <v>513441498.30384612</v>
      </c>
    </row>
    <row r="27515" spans="32:37">
      <c r="AF27515" s="831" t="s">
        <v>11254</v>
      </c>
      <c r="AG27515" s="831" t="s">
        <v>2674</v>
      </c>
      <c r="AH27515" s="831" t="s">
        <v>569</v>
      </c>
      <c r="AI27515" s="831">
        <v>0</v>
      </c>
      <c r="AJ27515" s="835">
        <v>41639</v>
      </c>
      <c r="AK27515" s="831">
        <v>628195505.12715387</v>
      </c>
    </row>
    <row r="27516" spans="32:37">
      <c r="AF27516" s="831" t="s">
        <v>11255</v>
      </c>
      <c r="AG27516" s="831" t="s">
        <v>2674</v>
      </c>
      <c r="AH27516" s="831" t="s">
        <v>570</v>
      </c>
      <c r="AI27516" s="831">
        <v>0</v>
      </c>
      <c r="AJ27516" s="835">
        <v>41639</v>
      </c>
      <c r="AK27516" s="831">
        <v>108762142.05892308</v>
      </c>
    </row>
    <row r="27517" spans="32:37">
      <c r="AF27517" s="831" t="s">
        <v>11256</v>
      </c>
      <c r="AG27517" s="831" t="s">
        <v>2674</v>
      </c>
      <c r="AH27517" s="831" t="s">
        <v>571</v>
      </c>
      <c r="AI27517" s="831">
        <v>0</v>
      </c>
      <c r="AJ27517" s="835">
        <v>41639</v>
      </c>
      <c r="AK27517" s="831">
        <v>297832512.59023076</v>
      </c>
    </row>
    <row r="27518" spans="32:37">
      <c r="AF27518" s="831" t="s">
        <v>11257</v>
      </c>
      <c r="AG27518" s="831" t="s">
        <v>2674</v>
      </c>
      <c r="AH27518" s="831" t="s">
        <v>573</v>
      </c>
      <c r="AI27518" s="831">
        <v>0</v>
      </c>
      <c r="AJ27518" s="835">
        <v>41639</v>
      </c>
      <c r="AK27518" s="831">
        <v>628195505.12715387</v>
      </c>
    </row>
    <row r="27519" spans="32:37">
      <c r="AF27519" s="831" t="s">
        <v>11258</v>
      </c>
      <c r="AG27519" s="831" t="s">
        <v>2674</v>
      </c>
      <c r="AH27519" s="831" t="s">
        <v>574</v>
      </c>
      <c r="AI27519" s="831">
        <v>0</v>
      </c>
      <c r="AJ27519" s="835">
        <v>41639</v>
      </c>
      <c r="AK27519" s="831">
        <v>513441498.30384612</v>
      </c>
    </row>
    <row r="27520" spans="32:37">
      <c r="AF27520" s="831" t="s">
        <v>11259</v>
      </c>
      <c r="AG27520" s="831" t="s">
        <v>2674</v>
      </c>
      <c r="AH27520" s="831" t="s">
        <v>575</v>
      </c>
      <c r="AI27520" s="831">
        <v>0</v>
      </c>
      <c r="AJ27520" s="835">
        <v>41639</v>
      </c>
      <c r="AK27520" s="831">
        <v>108762142.05892308</v>
      </c>
    </row>
    <row r="27521" spans="32:37">
      <c r="AF27521" s="831" t="s">
        <v>11260</v>
      </c>
      <c r="AG27521" s="831" t="s">
        <v>2674</v>
      </c>
      <c r="AH27521" s="831" t="s">
        <v>576</v>
      </c>
      <c r="AI27521" s="831">
        <v>0</v>
      </c>
      <c r="AJ27521" s="835">
        <v>41639</v>
      </c>
      <c r="AK27521" s="831">
        <v>297832512.59023076</v>
      </c>
    </row>
    <row r="27522" spans="32:37">
      <c r="AF27522" s="831" t="s">
        <v>11261</v>
      </c>
      <c r="AG27522" s="831" t="s">
        <v>2674</v>
      </c>
      <c r="AH27522" s="831" t="s">
        <v>572</v>
      </c>
      <c r="AI27522" s="831">
        <v>0</v>
      </c>
      <c r="AJ27522" s="835">
        <v>41639</v>
      </c>
      <c r="AK27522" s="831">
        <v>27176541.956000008</v>
      </c>
    </row>
    <row r="27523" spans="32:37">
      <c r="AF27523" s="831" t="s">
        <v>11262</v>
      </c>
      <c r="AG27523" s="831" t="s">
        <v>2674</v>
      </c>
      <c r="AH27523" s="831" t="s">
        <v>577</v>
      </c>
      <c r="AI27523" s="831">
        <v>0</v>
      </c>
      <c r="AJ27523" s="835">
        <v>41639</v>
      </c>
      <c r="AK27523" s="831">
        <v>132856888.763</v>
      </c>
    </row>
    <row r="27524" spans="32:37">
      <c r="AF27524" s="831" t="s">
        <v>11263</v>
      </c>
      <c r="AG27524" s="831" t="s">
        <v>2674</v>
      </c>
      <c r="AH27524" s="831" t="s">
        <v>3042</v>
      </c>
      <c r="AI27524" s="831">
        <v>0</v>
      </c>
      <c r="AJ27524" s="835">
        <v>41639</v>
      </c>
      <c r="AK27524" s="831">
        <v>-34369525.527000003</v>
      </c>
    </row>
    <row r="27525" spans="32:37">
      <c r="AF27525" s="831" t="s">
        <v>11264</v>
      </c>
      <c r="AG27525" s="831" t="s">
        <v>2674</v>
      </c>
      <c r="AH27525" s="831" t="s">
        <v>3044</v>
      </c>
      <c r="AI27525" s="831">
        <v>0</v>
      </c>
      <c r="AJ27525" s="835">
        <v>41639</v>
      </c>
      <c r="AK27525" s="831">
        <v>-4400746.8899999997</v>
      </c>
    </row>
    <row r="27526" spans="32:37">
      <c r="AF27526" s="831" t="s">
        <v>11265</v>
      </c>
      <c r="AG27526" s="831" t="s">
        <v>2674</v>
      </c>
      <c r="AH27526" s="831" t="s">
        <v>580</v>
      </c>
      <c r="AI27526" s="831">
        <v>0</v>
      </c>
      <c r="AJ27526" s="835">
        <v>41639</v>
      </c>
      <c r="AK27526" s="831">
        <v>-64107005.306999996</v>
      </c>
    </row>
    <row r="27527" spans="32:37">
      <c r="AF27527" s="831" t="s">
        <v>11266</v>
      </c>
      <c r="AG27527" s="831" t="s">
        <v>2674</v>
      </c>
      <c r="AH27527" s="831" t="s">
        <v>581</v>
      </c>
      <c r="AI27527" s="831">
        <v>0</v>
      </c>
      <c r="AJ27527" s="835">
        <v>41639</v>
      </c>
      <c r="AK27527" s="831">
        <v>5010635.8940000003</v>
      </c>
    </row>
    <row r="27528" spans="32:37">
      <c r="AF27528" s="831" t="s">
        <v>11267</v>
      </c>
      <c r="AG27528" s="831" t="s">
        <v>2674</v>
      </c>
      <c r="AH27528" s="831" t="s">
        <v>105</v>
      </c>
      <c r="AI27528" s="831">
        <v>0</v>
      </c>
      <c r="AJ27528" s="835">
        <v>41639</v>
      </c>
      <c r="AK27528" s="831">
        <v>391573847.611</v>
      </c>
    </row>
    <row r="27529" spans="32:37">
      <c r="AF27529" s="831" t="s">
        <v>11268</v>
      </c>
      <c r="AG27529" s="831" t="s">
        <v>2674</v>
      </c>
      <c r="AH27529" s="831" t="s">
        <v>3049</v>
      </c>
      <c r="AI27529" s="831">
        <v>0</v>
      </c>
      <c r="AJ27529" s="835">
        <v>41639</v>
      </c>
      <c r="AK27529" s="831">
        <v>644326442.18900001</v>
      </c>
    </row>
    <row r="27530" spans="32:37">
      <c r="AF27530" s="831" t="s">
        <v>11269</v>
      </c>
      <c r="AG27530" s="831" t="s">
        <v>2674</v>
      </c>
      <c r="AH27530" s="831" t="s">
        <v>103</v>
      </c>
      <c r="AI27530" s="831">
        <v>0</v>
      </c>
      <c r="AJ27530" s="835">
        <v>41639</v>
      </c>
      <c r="AK27530" s="831">
        <v>252752594.57800001</v>
      </c>
    </row>
    <row r="27531" spans="32:37">
      <c r="AF27531" s="831" t="s">
        <v>11270</v>
      </c>
      <c r="AG27531" s="831" t="s">
        <v>2674</v>
      </c>
      <c r="AH27531" s="831" t="s">
        <v>182</v>
      </c>
      <c r="AI27531" s="831">
        <v>0</v>
      </c>
      <c r="AJ27531" s="835">
        <v>41639</v>
      </c>
      <c r="AK27531" s="831">
        <v>64107005.307000004</v>
      </c>
    </row>
    <row r="27532" spans="32:37">
      <c r="AF27532" s="831" t="s">
        <v>11271</v>
      </c>
      <c r="AG27532" s="831" t="s">
        <v>2674</v>
      </c>
      <c r="AH27532" s="831" t="s">
        <v>6600</v>
      </c>
      <c r="AI27532" s="831">
        <v>0</v>
      </c>
      <c r="AJ27532" s="835">
        <v>41639</v>
      </c>
      <c r="AK27532" s="831">
        <v>27176541.956000008</v>
      </c>
    </row>
    <row r="27533" spans="32:37">
      <c r="AF27533" s="831" t="s">
        <v>11272</v>
      </c>
      <c r="AG27533" s="831" t="s">
        <v>2674</v>
      </c>
      <c r="AH27533" s="831" t="s">
        <v>6602</v>
      </c>
      <c r="AI27533" s="831">
        <v>0</v>
      </c>
      <c r="AJ27533" s="835">
        <v>41639</v>
      </c>
      <c r="AK27533" s="831">
        <v>27176541.956000008</v>
      </c>
    </row>
    <row r="27534" spans="32:37">
      <c r="AF27534" s="831" t="s">
        <v>11273</v>
      </c>
      <c r="AG27534" s="831" t="s">
        <v>2674</v>
      </c>
      <c r="AH27534" s="831" t="s">
        <v>650</v>
      </c>
      <c r="AI27534" s="831">
        <v>0</v>
      </c>
      <c r="AJ27534" s="835">
        <v>41639</v>
      </c>
      <c r="AK27534" s="831">
        <v>204736223.04223078</v>
      </c>
    </row>
    <row r="27535" spans="32:37">
      <c r="AF27535" s="831" t="s">
        <v>11274</v>
      </c>
      <c r="AG27535" s="831" t="s">
        <v>2674</v>
      </c>
      <c r="AH27535" s="831" t="s">
        <v>655</v>
      </c>
      <c r="AI27535" s="831">
        <v>0</v>
      </c>
      <c r="AJ27535" s="835">
        <v>41639</v>
      </c>
      <c r="AK27535" s="831">
        <v>1605185.0136000002</v>
      </c>
    </row>
    <row r="27536" spans="32:37">
      <c r="AF27536" s="831" t="s">
        <v>11275</v>
      </c>
      <c r="AG27536" s="831" t="s">
        <v>2674</v>
      </c>
      <c r="AH27536" s="831" t="s">
        <v>546</v>
      </c>
      <c r="AI27536" s="831">
        <v>0</v>
      </c>
      <c r="AJ27536" s="835">
        <v>41670</v>
      </c>
      <c r="AK27536" s="831">
        <v>635618516</v>
      </c>
    </row>
    <row r="27537" spans="32:37">
      <c r="AF27537" s="831" t="s">
        <v>11276</v>
      </c>
      <c r="AG27537" s="831" t="s">
        <v>2674</v>
      </c>
      <c r="AH27537" s="831" t="s">
        <v>370</v>
      </c>
      <c r="AI27537" s="831">
        <v>0</v>
      </c>
      <c r="AJ27537" s="835">
        <v>41670</v>
      </c>
      <c r="AK27537" s="831">
        <v>777719977</v>
      </c>
    </row>
    <row r="27538" spans="32:37">
      <c r="AF27538" s="831" t="s">
        <v>11277</v>
      </c>
      <c r="AG27538" s="831" t="s">
        <v>2674</v>
      </c>
      <c r="AH27538" s="831" t="s">
        <v>126</v>
      </c>
      <c r="AI27538" s="831">
        <v>0</v>
      </c>
      <c r="AJ27538" s="835">
        <v>41670</v>
      </c>
      <c r="AK27538" s="831">
        <v>117105496</v>
      </c>
    </row>
    <row r="27539" spans="32:37">
      <c r="AF27539" s="831" t="s">
        <v>11278</v>
      </c>
      <c r="AG27539" s="831" t="s">
        <v>2674</v>
      </c>
      <c r="AH27539" s="831" t="s">
        <v>268</v>
      </c>
      <c r="AI27539" s="831">
        <v>0</v>
      </c>
      <c r="AJ27539" s="835">
        <v>41670</v>
      </c>
      <c r="AK27539" s="831">
        <v>3298821</v>
      </c>
    </row>
    <row r="27540" spans="32:37">
      <c r="AF27540" s="831" t="s">
        <v>11279</v>
      </c>
      <c r="AG27540" s="831" t="s">
        <v>2674</v>
      </c>
      <c r="AH27540" s="831" t="s">
        <v>547</v>
      </c>
      <c r="AI27540" s="831">
        <v>0</v>
      </c>
      <c r="AJ27540" s="835">
        <v>41670</v>
      </c>
      <c r="AK27540" s="831">
        <v>777719977</v>
      </c>
    </row>
    <row r="27541" spans="32:37">
      <c r="AF27541" s="831" t="s">
        <v>11280</v>
      </c>
      <c r="AG27541" s="831" t="s">
        <v>2674</v>
      </c>
      <c r="AH27541" s="831" t="s">
        <v>548</v>
      </c>
      <c r="AI27541" s="831">
        <v>0</v>
      </c>
      <c r="AJ27541" s="835">
        <v>41670</v>
      </c>
      <c r="AK27541" s="831">
        <v>117105496</v>
      </c>
    </row>
    <row r="27542" spans="32:37">
      <c r="AF27542" s="831" t="s">
        <v>11281</v>
      </c>
      <c r="AG27542" s="831" t="s">
        <v>2674</v>
      </c>
      <c r="AH27542" s="831" t="s">
        <v>549</v>
      </c>
      <c r="AI27542" s="831">
        <v>0</v>
      </c>
      <c r="AJ27542" s="835">
        <v>41670</v>
      </c>
      <c r="AK27542" s="831">
        <v>421051783</v>
      </c>
    </row>
    <row r="27543" spans="32:37">
      <c r="AF27543" s="831" t="s">
        <v>11282</v>
      </c>
      <c r="AG27543" s="831" t="s">
        <v>2674</v>
      </c>
      <c r="AH27543" s="831" t="s">
        <v>192</v>
      </c>
      <c r="AI27543" s="831">
        <v>0</v>
      </c>
      <c r="AJ27543" s="835">
        <v>41670</v>
      </c>
      <c r="AK27543" s="831">
        <v>-14010990</v>
      </c>
    </row>
    <row r="27544" spans="32:37">
      <c r="AF27544" s="831" t="s">
        <v>11283</v>
      </c>
      <c r="AG27544" s="831" t="s">
        <v>2674</v>
      </c>
      <c r="AH27544" s="831" t="s">
        <v>558</v>
      </c>
      <c r="AI27544" s="831">
        <v>0</v>
      </c>
      <c r="AJ27544" s="835">
        <v>41670</v>
      </c>
      <c r="AK27544" s="831">
        <v>660614481.35800004</v>
      </c>
    </row>
    <row r="27545" spans="32:37">
      <c r="AF27545" s="831" t="s">
        <v>11284</v>
      </c>
      <c r="AG27545" s="831" t="s">
        <v>2674</v>
      </c>
      <c r="AH27545" s="831" t="s">
        <v>65</v>
      </c>
      <c r="AI27545" s="831">
        <v>0</v>
      </c>
      <c r="AJ27545" s="835">
        <v>41670</v>
      </c>
      <c r="AK27545" s="831">
        <v>13268788</v>
      </c>
    </row>
    <row r="27546" spans="32:37">
      <c r="AF27546" s="831" t="s">
        <v>11285</v>
      </c>
      <c r="AG27546" s="831" t="s">
        <v>2674</v>
      </c>
      <c r="AH27546" s="831" t="s">
        <v>89</v>
      </c>
      <c r="AI27546" s="831">
        <v>0</v>
      </c>
      <c r="AJ27546" s="835">
        <v>41670</v>
      </c>
      <c r="AK27546" s="831">
        <v>149103</v>
      </c>
    </row>
    <row r="27547" spans="32:37">
      <c r="AF27547" s="831" t="s">
        <v>11286</v>
      </c>
      <c r="AG27547" s="831" t="s">
        <v>2674</v>
      </c>
      <c r="AH27547" s="831" t="s">
        <v>557</v>
      </c>
      <c r="AI27547" s="831">
        <v>0</v>
      </c>
      <c r="AJ27547" s="835">
        <v>41670</v>
      </c>
      <c r="AK27547" s="831">
        <v>162799</v>
      </c>
    </row>
    <row r="27548" spans="32:37">
      <c r="AF27548" s="831" t="s">
        <v>11287</v>
      </c>
      <c r="AG27548" s="831" t="s">
        <v>2674</v>
      </c>
      <c r="AH27548" s="831" t="s">
        <v>29</v>
      </c>
      <c r="AI27548" s="831">
        <v>0</v>
      </c>
      <c r="AJ27548" s="835">
        <v>41670</v>
      </c>
      <c r="AK27548" s="831">
        <v>1994542.716</v>
      </c>
    </row>
    <row r="27549" spans="32:37">
      <c r="AF27549" s="831" t="s">
        <v>11288</v>
      </c>
      <c r="AG27549" s="831" t="s">
        <v>2674</v>
      </c>
      <c r="AH27549" s="831" t="s">
        <v>2688</v>
      </c>
      <c r="AI27549" s="831">
        <v>0</v>
      </c>
      <c r="AJ27549" s="835">
        <v>41670</v>
      </c>
      <c r="AK27549" s="831">
        <v>3487768.05</v>
      </c>
    </row>
    <row r="27550" spans="32:37">
      <c r="AF27550" s="831" t="s">
        <v>11289</v>
      </c>
      <c r="AG27550" s="831" t="s">
        <v>2674</v>
      </c>
      <c r="AH27550" s="831" t="s">
        <v>556</v>
      </c>
      <c r="AI27550" s="831">
        <v>0</v>
      </c>
      <c r="AJ27550" s="835">
        <v>41670</v>
      </c>
      <c r="AK27550" s="831">
        <v>1644732</v>
      </c>
    </row>
    <row r="27551" spans="32:37">
      <c r="AF27551" s="831" t="s">
        <v>11290</v>
      </c>
      <c r="AG27551" s="831" t="s">
        <v>2674</v>
      </c>
      <c r="AH27551" s="831" t="s">
        <v>555</v>
      </c>
      <c r="AI27551" s="831">
        <v>0</v>
      </c>
      <c r="AJ27551" s="835">
        <v>41670</v>
      </c>
      <c r="AK27551" s="831">
        <v>421635600</v>
      </c>
    </row>
    <row r="27552" spans="32:37">
      <c r="AF27552" s="831" t="s">
        <v>11291</v>
      </c>
      <c r="AG27552" s="831" t="s">
        <v>2674</v>
      </c>
      <c r="AH27552" s="831" t="s">
        <v>554</v>
      </c>
      <c r="AI27552" s="831">
        <v>0</v>
      </c>
      <c r="AJ27552" s="835">
        <v>41670</v>
      </c>
      <c r="AK27552" s="831">
        <v>432162250</v>
      </c>
    </row>
    <row r="27553" spans="32:37">
      <c r="AF27553" s="831" t="s">
        <v>11292</v>
      </c>
      <c r="AG27553" s="831" t="s">
        <v>2674</v>
      </c>
      <c r="AH27553" s="831" t="s">
        <v>553</v>
      </c>
      <c r="AI27553" s="831">
        <v>0</v>
      </c>
      <c r="AJ27553" s="835">
        <v>41670</v>
      </c>
      <c r="AK27553" s="831">
        <v>0</v>
      </c>
    </row>
    <row r="27554" spans="32:37">
      <c r="AF27554" s="831" t="s">
        <v>11293</v>
      </c>
      <c r="AG27554" s="831" t="s">
        <v>2674</v>
      </c>
      <c r="AH27554" s="831" t="s">
        <v>552</v>
      </c>
      <c r="AI27554" s="831">
        <v>0</v>
      </c>
      <c r="AJ27554" s="835">
        <v>41670</v>
      </c>
      <c r="AK27554" s="831">
        <v>0</v>
      </c>
    </row>
    <row r="27555" spans="32:37">
      <c r="AF27555" s="831" t="s">
        <v>11294</v>
      </c>
      <c r="AG27555" s="831" t="s">
        <v>2674</v>
      </c>
      <c r="AH27555" s="831" t="s">
        <v>551</v>
      </c>
      <c r="AI27555" s="831">
        <v>0</v>
      </c>
      <c r="AJ27555" s="835">
        <v>41670</v>
      </c>
      <c r="AK27555" s="831">
        <v>1853357.048</v>
      </c>
    </row>
    <row r="27556" spans="32:37">
      <c r="AF27556" s="831" t="s">
        <v>11295</v>
      </c>
      <c r="AG27556" s="831" t="s">
        <v>2674</v>
      </c>
      <c r="AH27556" s="831" t="s">
        <v>550</v>
      </c>
      <c r="AI27556" s="831">
        <v>0</v>
      </c>
      <c r="AJ27556" s="835">
        <v>41670</v>
      </c>
      <c r="AK27556" s="831">
        <v>114089765.91</v>
      </c>
    </row>
    <row r="27557" spans="32:37">
      <c r="AF27557" s="831" t="s">
        <v>11296</v>
      </c>
      <c r="AG27557" s="831" t="s">
        <v>2674</v>
      </c>
      <c r="AH27557" s="831" t="s">
        <v>562</v>
      </c>
      <c r="AI27557" s="831">
        <v>0</v>
      </c>
      <c r="AJ27557" s="835">
        <v>41670</v>
      </c>
      <c r="AK27557" s="831">
        <v>0.78364999999999996</v>
      </c>
    </row>
    <row r="27558" spans="32:37">
      <c r="AF27558" s="831" t="s">
        <v>11297</v>
      </c>
      <c r="AG27558" s="831" t="s">
        <v>2674</v>
      </c>
      <c r="AH27558" s="831" t="s">
        <v>2698</v>
      </c>
      <c r="AI27558" s="831">
        <v>0</v>
      </c>
      <c r="AJ27558" s="835">
        <v>41670</v>
      </c>
      <c r="AK27558" s="831">
        <v>0.78334999999999999</v>
      </c>
    </row>
    <row r="27559" spans="32:37">
      <c r="AF27559" s="831" t="s">
        <v>11298</v>
      </c>
      <c r="AG27559" s="831" t="s">
        <v>2674</v>
      </c>
      <c r="AH27559" s="831" t="s">
        <v>560</v>
      </c>
      <c r="AI27559" s="831">
        <v>0</v>
      </c>
      <c r="AJ27559" s="835">
        <v>41670</v>
      </c>
      <c r="AK27559" s="831">
        <v>0.78364999999999996</v>
      </c>
    </row>
    <row r="27560" spans="32:37">
      <c r="AF27560" s="831" t="s">
        <v>11299</v>
      </c>
      <c r="AG27560" s="831" t="s">
        <v>2674</v>
      </c>
      <c r="AH27560" s="831" t="s">
        <v>559</v>
      </c>
      <c r="AI27560" s="831">
        <v>0</v>
      </c>
      <c r="AJ27560" s="835">
        <v>41670</v>
      </c>
      <c r="AK27560" s="831">
        <v>0.78391666666666648</v>
      </c>
    </row>
    <row r="27561" spans="32:37">
      <c r="AF27561" s="831" t="s">
        <v>11300</v>
      </c>
      <c r="AG27561" s="831" t="s">
        <v>2674</v>
      </c>
      <c r="AH27561" s="831" t="s">
        <v>568</v>
      </c>
      <c r="AI27561" s="831">
        <v>0</v>
      </c>
      <c r="AJ27561" s="835">
        <v>41670</v>
      </c>
      <c r="AK27561" s="831">
        <v>530633259.22692305</v>
      </c>
    </row>
    <row r="27562" spans="32:37">
      <c r="AF27562" s="831" t="s">
        <v>11301</v>
      </c>
      <c r="AG27562" s="831" t="s">
        <v>2674</v>
      </c>
      <c r="AH27562" s="831" t="s">
        <v>569</v>
      </c>
      <c r="AI27562" s="831">
        <v>0</v>
      </c>
      <c r="AJ27562" s="835">
        <v>41670</v>
      </c>
      <c r="AK27562" s="831">
        <v>648384048.74253845</v>
      </c>
    </row>
    <row r="27563" spans="32:37">
      <c r="AF27563" s="831" t="s">
        <v>11302</v>
      </c>
      <c r="AG27563" s="831" t="s">
        <v>2674</v>
      </c>
      <c r="AH27563" s="831" t="s">
        <v>570</v>
      </c>
      <c r="AI27563" s="831">
        <v>0</v>
      </c>
      <c r="AJ27563" s="835">
        <v>41670</v>
      </c>
      <c r="AK27563" s="831">
        <v>109988497.52046154</v>
      </c>
    </row>
    <row r="27564" spans="32:37">
      <c r="AF27564" s="831" t="s">
        <v>11303</v>
      </c>
      <c r="AG27564" s="831" t="s">
        <v>2674</v>
      </c>
      <c r="AH27564" s="831" t="s">
        <v>571</v>
      </c>
      <c r="AI27564" s="831">
        <v>0</v>
      </c>
      <c r="AJ27564" s="835">
        <v>41670</v>
      </c>
      <c r="AK27564" s="831">
        <v>308674440.74407691</v>
      </c>
    </row>
    <row r="27565" spans="32:37">
      <c r="AF27565" s="831" t="s">
        <v>11304</v>
      </c>
      <c r="AG27565" s="831" t="s">
        <v>2674</v>
      </c>
      <c r="AH27565" s="831" t="s">
        <v>573</v>
      </c>
      <c r="AI27565" s="831">
        <v>0</v>
      </c>
      <c r="AJ27565" s="835">
        <v>41670</v>
      </c>
      <c r="AK27565" s="831">
        <v>783617473.28149998</v>
      </c>
    </row>
    <row r="27566" spans="32:37">
      <c r="AF27566" s="831" t="s">
        <v>11305</v>
      </c>
      <c r="AG27566" s="831" t="s">
        <v>2674</v>
      </c>
      <c r="AH27566" s="831" t="s">
        <v>574</v>
      </c>
      <c r="AI27566" s="831">
        <v>0</v>
      </c>
      <c r="AJ27566" s="835">
        <v>41670</v>
      </c>
      <c r="AK27566" s="831">
        <v>631746388</v>
      </c>
    </row>
    <row r="27567" spans="32:37">
      <c r="AF27567" s="831" t="s">
        <v>11306</v>
      </c>
      <c r="AG27567" s="831" t="s">
        <v>2674</v>
      </c>
      <c r="AH27567" s="831" t="s">
        <v>575</v>
      </c>
      <c r="AI27567" s="831">
        <v>0</v>
      </c>
      <c r="AJ27567" s="835">
        <v>41670</v>
      </c>
      <c r="AK27567" s="831">
        <v>115597630.955</v>
      </c>
    </row>
    <row r="27568" spans="32:37">
      <c r="AF27568" s="831" t="s">
        <v>11307</v>
      </c>
      <c r="AG27568" s="831" t="s">
        <v>2674</v>
      </c>
      <c r="AH27568" s="831" t="s">
        <v>576</v>
      </c>
      <c r="AI27568" s="831">
        <v>0</v>
      </c>
      <c r="AJ27568" s="835">
        <v>41670</v>
      </c>
      <c r="AK27568" s="831">
        <v>385049519.80550003</v>
      </c>
    </row>
    <row r="27569" spans="32:37">
      <c r="AF27569" s="831" t="s">
        <v>11308</v>
      </c>
      <c r="AG27569" s="831" t="s">
        <v>2674</v>
      </c>
      <c r="AH27569" s="831" t="s">
        <v>572</v>
      </c>
      <c r="AI27569" s="831">
        <v>0</v>
      </c>
      <c r="AJ27569" s="835">
        <v>41670</v>
      </c>
      <c r="AK27569" s="831">
        <v>28355401.956000008</v>
      </c>
    </row>
    <row r="27570" spans="32:37">
      <c r="AF27570" s="831" t="s">
        <v>11309</v>
      </c>
      <c r="AG27570" s="831" t="s">
        <v>2674</v>
      </c>
      <c r="AH27570" s="831" t="s">
        <v>577</v>
      </c>
      <c r="AI27570" s="831">
        <v>0</v>
      </c>
      <c r="AJ27570" s="835">
        <v>41670</v>
      </c>
      <c r="AK27570" s="831">
        <v>136649293.76300001</v>
      </c>
    </row>
    <row r="27571" spans="32:37">
      <c r="AF27571" s="831" t="s">
        <v>11310</v>
      </c>
      <c r="AG27571" s="831" t="s">
        <v>2674</v>
      </c>
      <c r="AH27571" s="831" t="s">
        <v>3042</v>
      </c>
      <c r="AI27571" s="831">
        <v>0</v>
      </c>
      <c r="AJ27571" s="835">
        <v>41670</v>
      </c>
      <c r="AK27571" s="831">
        <v>-35903077.527000003</v>
      </c>
    </row>
    <row r="27572" spans="32:37">
      <c r="AF27572" s="831" t="s">
        <v>11311</v>
      </c>
      <c r="AG27572" s="831" t="s">
        <v>2674</v>
      </c>
      <c r="AH27572" s="831" t="s">
        <v>3044</v>
      </c>
      <c r="AI27572" s="831">
        <v>0</v>
      </c>
      <c r="AJ27572" s="835">
        <v>41670</v>
      </c>
      <c r="AK27572" s="831">
        <v>-4357745.8899999997</v>
      </c>
    </row>
    <row r="27573" spans="32:37">
      <c r="AF27573" s="831" t="s">
        <v>11312</v>
      </c>
      <c r="AG27573" s="831" t="s">
        <v>2674</v>
      </c>
      <c r="AH27573" s="831" t="s">
        <v>580</v>
      </c>
      <c r="AI27573" s="831">
        <v>0</v>
      </c>
      <c r="AJ27573" s="835">
        <v>41670</v>
      </c>
      <c r="AK27573" s="831">
        <v>-64979972.306999996</v>
      </c>
    </row>
    <row r="27574" spans="32:37">
      <c r="AF27574" s="831" t="s">
        <v>11313</v>
      </c>
      <c r="AG27574" s="831" t="s">
        <v>2674</v>
      </c>
      <c r="AH27574" s="831" t="s">
        <v>581</v>
      </c>
      <c r="AI27574" s="831">
        <v>0</v>
      </c>
      <c r="AJ27574" s="835">
        <v>41670</v>
      </c>
      <c r="AK27574" s="831">
        <v>5221448.8940000003</v>
      </c>
    </row>
    <row r="27575" spans="32:37">
      <c r="AF27575" s="831" t="s">
        <v>11314</v>
      </c>
      <c r="AG27575" s="831" t="s">
        <v>2674</v>
      </c>
      <c r="AH27575" s="831" t="s">
        <v>105</v>
      </c>
      <c r="AI27575" s="831">
        <v>0</v>
      </c>
      <c r="AJ27575" s="835">
        <v>41670</v>
      </c>
      <c r="AK27575" s="831">
        <v>378525192</v>
      </c>
    </row>
    <row r="27576" spans="32:37">
      <c r="AF27576" s="831" t="s">
        <v>11315</v>
      </c>
      <c r="AG27576" s="831" t="s">
        <v>2674</v>
      </c>
      <c r="AH27576" s="831" t="s">
        <v>3049</v>
      </c>
      <c r="AI27576" s="831">
        <v>0</v>
      </c>
      <c r="AJ27576" s="835">
        <v>41670</v>
      </c>
      <c r="AK27576" s="831">
        <v>636021249.54999995</v>
      </c>
    </row>
    <row r="27577" spans="32:37">
      <c r="AF27577" s="831" t="s">
        <v>11316</v>
      </c>
      <c r="AG27577" s="831" t="s">
        <v>2674</v>
      </c>
      <c r="AH27577" s="831" t="s">
        <v>103</v>
      </c>
      <c r="AI27577" s="831">
        <v>0</v>
      </c>
      <c r="AJ27577" s="835">
        <v>41670</v>
      </c>
      <c r="AK27577" s="831">
        <v>257496057.55000001</v>
      </c>
    </row>
    <row r="27578" spans="32:37">
      <c r="AF27578" s="831" t="s">
        <v>11317</v>
      </c>
      <c r="AG27578" s="831" t="s">
        <v>2674</v>
      </c>
      <c r="AH27578" s="831" t="s">
        <v>182</v>
      </c>
      <c r="AI27578" s="831">
        <v>0</v>
      </c>
      <c r="AJ27578" s="835">
        <v>41670</v>
      </c>
      <c r="AK27578" s="831">
        <v>67679280</v>
      </c>
    </row>
    <row r="27579" spans="32:37">
      <c r="AF27579" s="831" t="s">
        <v>11318</v>
      </c>
      <c r="AG27579" s="831" t="s">
        <v>2674</v>
      </c>
      <c r="AH27579" s="831" t="s">
        <v>6600</v>
      </c>
      <c r="AI27579" s="831">
        <v>0</v>
      </c>
      <c r="AJ27579" s="835">
        <v>41670</v>
      </c>
      <c r="AK27579" s="831">
        <v>28355401.956000008</v>
      </c>
    </row>
    <row r="27580" spans="32:37">
      <c r="AF27580" s="831" t="s">
        <v>11319</v>
      </c>
      <c r="AG27580" s="831" t="s">
        <v>2674</v>
      </c>
      <c r="AH27580" s="831" t="s">
        <v>6602</v>
      </c>
      <c r="AI27580" s="831">
        <v>0</v>
      </c>
      <c r="AJ27580" s="835">
        <v>41670</v>
      </c>
      <c r="AK27580" s="831">
        <v>3298821</v>
      </c>
    </row>
    <row r="27581" spans="32:37">
      <c r="AF27581" s="831" t="s">
        <v>11320</v>
      </c>
      <c r="AG27581" s="831" t="s">
        <v>2674</v>
      </c>
      <c r="AH27581" s="831" t="s">
        <v>650</v>
      </c>
      <c r="AI27581" s="831">
        <v>0</v>
      </c>
      <c r="AJ27581" s="835">
        <v>41670</v>
      </c>
      <c r="AK27581" s="831">
        <v>211999986.62300003</v>
      </c>
    </row>
    <row r="27582" spans="32:37">
      <c r="AF27582" s="831" t="s">
        <v>11321</v>
      </c>
      <c r="AG27582" s="831" t="s">
        <v>2674</v>
      </c>
      <c r="AH27582" s="831" t="s">
        <v>655</v>
      </c>
      <c r="AI27582" s="831">
        <v>0</v>
      </c>
      <c r="AJ27582" s="835">
        <v>41670</v>
      </c>
      <c r="AK27582" s="831">
        <v>1732566.0729999999</v>
      </c>
    </row>
    <row r="27583" spans="32:37">
      <c r="AF27583" s="831" t="s">
        <v>11322</v>
      </c>
      <c r="AG27583" s="831" t="s">
        <v>2674</v>
      </c>
      <c r="AH27583" s="831" t="s">
        <v>546</v>
      </c>
      <c r="AI27583" s="831">
        <v>0</v>
      </c>
      <c r="AJ27583" s="835">
        <v>41698</v>
      </c>
      <c r="AK27583" s="831">
        <v>652795035</v>
      </c>
    </row>
    <row r="27584" spans="32:37">
      <c r="AF27584" s="831" t="s">
        <v>11323</v>
      </c>
      <c r="AG27584" s="831" t="s">
        <v>2674</v>
      </c>
      <c r="AH27584" s="831" t="s">
        <v>370</v>
      </c>
      <c r="AI27584" s="831">
        <v>0</v>
      </c>
      <c r="AJ27584" s="835">
        <v>41698</v>
      </c>
      <c r="AK27584" s="831">
        <v>794421636</v>
      </c>
    </row>
    <row r="27585" spans="32:37">
      <c r="AF27585" s="831" t="s">
        <v>11324</v>
      </c>
      <c r="AG27585" s="831" t="s">
        <v>2674</v>
      </c>
      <c r="AH27585" s="831" t="s">
        <v>126</v>
      </c>
      <c r="AI27585" s="831">
        <v>0</v>
      </c>
      <c r="AJ27585" s="835">
        <v>41698</v>
      </c>
      <c r="AK27585" s="831">
        <v>120615628</v>
      </c>
    </row>
    <row r="27586" spans="32:37">
      <c r="AF27586" s="831" t="s">
        <v>11325</v>
      </c>
      <c r="AG27586" s="831" t="s">
        <v>2674</v>
      </c>
      <c r="AH27586" s="831" t="s">
        <v>268</v>
      </c>
      <c r="AI27586" s="831">
        <v>0</v>
      </c>
      <c r="AJ27586" s="835">
        <v>41698</v>
      </c>
      <c r="AK27586" s="831">
        <v>7870295</v>
      </c>
    </row>
    <row r="27587" spans="32:37">
      <c r="AF27587" s="831" t="s">
        <v>11326</v>
      </c>
      <c r="AG27587" s="831" t="s">
        <v>2674</v>
      </c>
      <c r="AH27587" s="831" t="s">
        <v>547</v>
      </c>
      <c r="AI27587" s="831">
        <v>0</v>
      </c>
      <c r="AJ27587" s="835">
        <v>41698</v>
      </c>
      <c r="AK27587" s="831">
        <v>777719977</v>
      </c>
    </row>
    <row r="27588" spans="32:37">
      <c r="AF27588" s="831" t="s">
        <v>11327</v>
      </c>
      <c r="AG27588" s="831" t="s">
        <v>2674</v>
      </c>
      <c r="AH27588" s="831" t="s">
        <v>548</v>
      </c>
      <c r="AI27588" s="831">
        <v>0</v>
      </c>
      <c r="AJ27588" s="835">
        <v>41698</v>
      </c>
      <c r="AK27588" s="831">
        <v>117105496</v>
      </c>
    </row>
    <row r="27589" spans="32:37">
      <c r="AF27589" s="831" t="s">
        <v>11328</v>
      </c>
      <c r="AG27589" s="831" t="s">
        <v>2674</v>
      </c>
      <c r="AH27589" s="831" t="s">
        <v>549</v>
      </c>
      <c r="AI27589" s="831">
        <v>0</v>
      </c>
      <c r="AJ27589" s="835">
        <v>41698</v>
      </c>
      <c r="AK27589" s="831">
        <v>436810603</v>
      </c>
    </row>
    <row r="27590" spans="32:37">
      <c r="AF27590" s="831" t="s">
        <v>11329</v>
      </c>
      <c r="AG27590" s="831" t="s">
        <v>2674</v>
      </c>
      <c r="AH27590" s="831" t="s">
        <v>192</v>
      </c>
      <c r="AI27590" s="831">
        <v>0</v>
      </c>
      <c r="AJ27590" s="835">
        <v>41698</v>
      </c>
      <c r="AK27590" s="831">
        <v>-13506118</v>
      </c>
    </row>
    <row r="27591" spans="32:37">
      <c r="AF27591" s="831" t="s">
        <v>11330</v>
      </c>
      <c r="AG27591" s="831" t="s">
        <v>2674</v>
      </c>
      <c r="AH27591" s="831" t="s">
        <v>558</v>
      </c>
      <c r="AI27591" s="831">
        <v>0</v>
      </c>
      <c r="AJ27591" s="835">
        <v>41698</v>
      </c>
      <c r="AK27591" s="831">
        <v>673806008.21000004</v>
      </c>
    </row>
    <row r="27592" spans="32:37">
      <c r="AF27592" s="831" t="s">
        <v>11331</v>
      </c>
      <c r="AG27592" s="831" t="s">
        <v>2674</v>
      </c>
      <c r="AH27592" s="831" t="s">
        <v>65</v>
      </c>
      <c r="AI27592" s="831">
        <v>0</v>
      </c>
      <c r="AJ27592" s="835">
        <v>41698</v>
      </c>
      <c r="AK27592" s="831">
        <v>27696081</v>
      </c>
    </row>
    <row r="27593" spans="32:37">
      <c r="AF27593" s="831" t="s">
        <v>11332</v>
      </c>
      <c r="AG27593" s="831" t="s">
        <v>2674</v>
      </c>
      <c r="AH27593" s="831" t="s">
        <v>89</v>
      </c>
      <c r="AI27593" s="831">
        <v>0</v>
      </c>
      <c r="AJ27593" s="835">
        <v>41698</v>
      </c>
      <c r="AK27593" s="831">
        <v>150328</v>
      </c>
    </row>
    <row r="27594" spans="32:37">
      <c r="AF27594" s="831" t="s">
        <v>11333</v>
      </c>
      <c r="AG27594" s="831" t="s">
        <v>2674</v>
      </c>
      <c r="AH27594" s="831" t="s">
        <v>557</v>
      </c>
      <c r="AI27594" s="831">
        <v>0</v>
      </c>
      <c r="AJ27594" s="835">
        <v>41698</v>
      </c>
      <c r="AK27594" s="831">
        <v>165052</v>
      </c>
    </row>
    <row r="27595" spans="32:37">
      <c r="AF27595" s="831" t="s">
        <v>11334</v>
      </c>
      <c r="AG27595" s="831" t="s">
        <v>2674</v>
      </c>
      <c r="AH27595" s="831" t="s">
        <v>29</v>
      </c>
      <c r="AI27595" s="831">
        <v>0</v>
      </c>
      <c r="AJ27595" s="835">
        <v>41698</v>
      </c>
      <c r="AK27595" s="831">
        <v>2075568.541</v>
      </c>
    </row>
    <row r="27596" spans="32:37">
      <c r="AF27596" s="831" t="s">
        <v>11335</v>
      </c>
      <c r="AG27596" s="831" t="s">
        <v>2674</v>
      </c>
      <c r="AH27596" s="831" t="s">
        <v>2688</v>
      </c>
      <c r="AI27596" s="831">
        <v>0</v>
      </c>
      <c r="AJ27596" s="835">
        <v>41698</v>
      </c>
      <c r="AK27596" s="831">
        <v>4740340.3599999994</v>
      </c>
    </row>
    <row r="27597" spans="32:37">
      <c r="AF27597" s="831" t="s">
        <v>11336</v>
      </c>
      <c r="AG27597" s="831" t="s">
        <v>2674</v>
      </c>
      <c r="AH27597" s="831" t="s">
        <v>556</v>
      </c>
      <c r="AI27597" s="831">
        <v>0</v>
      </c>
      <c r="AJ27597" s="835">
        <v>41698</v>
      </c>
      <c r="AK27597" s="831">
        <v>1644732</v>
      </c>
    </row>
    <row r="27598" spans="32:37">
      <c r="AF27598" s="831" t="s">
        <v>11337</v>
      </c>
      <c r="AG27598" s="831" t="s">
        <v>2674</v>
      </c>
      <c r="AH27598" s="831" t="s">
        <v>555</v>
      </c>
      <c r="AI27598" s="831">
        <v>0</v>
      </c>
      <c r="AJ27598" s="835">
        <v>41698</v>
      </c>
      <c r="AK27598" s="831">
        <v>437465824</v>
      </c>
    </row>
    <row r="27599" spans="32:37">
      <c r="AF27599" s="831" t="s">
        <v>11338</v>
      </c>
      <c r="AG27599" s="831" t="s">
        <v>2674</v>
      </c>
      <c r="AH27599" s="831" t="s">
        <v>554</v>
      </c>
      <c r="AI27599" s="831">
        <v>0</v>
      </c>
      <c r="AJ27599" s="835">
        <v>41698</v>
      </c>
      <c r="AK27599" s="831">
        <v>440045130</v>
      </c>
    </row>
    <row r="27600" spans="32:37">
      <c r="AF27600" s="831" t="s">
        <v>11339</v>
      </c>
      <c r="AG27600" s="831" t="s">
        <v>2674</v>
      </c>
      <c r="AH27600" s="831" t="s">
        <v>553</v>
      </c>
      <c r="AI27600" s="831">
        <v>0</v>
      </c>
      <c r="AJ27600" s="835">
        <v>41698</v>
      </c>
      <c r="AK27600" s="831">
        <v>0</v>
      </c>
    </row>
    <row r="27601" spans="32:37">
      <c r="AF27601" s="831" t="s">
        <v>11340</v>
      </c>
      <c r="AG27601" s="831" t="s">
        <v>2674</v>
      </c>
      <c r="AH27601" s="831" t="s">
        <v>552</v>
      </c>
      <c r="AI27601" s="831">
        <v>0</v>
      </c>
      <c r="AJ27601" s="835">
        <v>41698</v>
      </c>
      <c r="AK27601" s="831">
        <v>0</v>
      </c>
    </row>
    <row r="27602" spans="32:37">
      <c r="AF27602" s="831" t="s">
        <v>11341</v>
      </c>
      <c r="AG27602" s="831" t="s">
        <v>2674</v>
      </c>
      <c r="AH27602" s="831" t="s">
        <v>551</v>
      </c>
      <c r="AI27602" s="831">
        <v>0</v>
      </c>
      <c r="AJ27602" s="835">
        <v>41698</v>
      </c>
      <c r="AK27602" s="831">
        <v>1790155.7879999999</v>
      </c>
    </row>
    <row r="27603" spans="32:37">
      <c r="AF27603" s="831" t="s">
        <v>11342</v>
      </c>
      <c r="AG27603" s="831" t="s">
        <v>2674</v>
      </c>
      <c r="AH27603" s="831" t="s">
        <v>550</v>
      </c>
      <c r="AI27603" s="831">
        <v>0</v>
      </c>
      <c r="AJ27603" s="835">
        <v>41698</v>
      </c>
      <c r="AK27603" s="831">
        <v>117105496</v>
      </c>
    </row>
    <row r="27604" spans="32:37">
      <c r="AF27604" s="831" t="s">
        <v>11343</v>
      </c>
      <c r="AG27604" s="831" t="s">
        <v>2674</v>
      </c>
      <c r="AH27604" s="831" t="s">
        <v>562</v>
      </c>
      <c r="AI27604" s="831">
        <v>0</v>
      </c>
      <c r="AJ27604" s="835">
        <v>41698</v>
      </c>
      <c r="AK27604" s="831">
        <v>0.78385000000000005</v>
      </c>
    </row>
    <row r="27605" spans="32:37">
      <c r="AF27605" s="831" t="s">
        <v>11344</v>
      </c>
      <c r="AG27605" s="831" t="s">
        <v>2674</v>
      </c>
      <c r="AH27605" s="831" t="s">
        <v>2698</v>
      </c>
      <c r="AI27605" s="831">
        <v>0</v>
      </c>
      <c r="AJ27605" s="835">
        <v>41698</v>
      </c>
      <c r="AK27605" s="831">
        <v>0.78364999999999996</v>
      </c>
    </row>
    <row r="27606" spans="32:37">
      <c r="AF27606" s="831" t="s">
        <v>11345</v>
      </c>
      <c r="AG27606" s="831" t="s">
        <v>2674</v>
      </c>
      <c r="AH27606" s="831" t="s">
        <v>560</v>
      </c>
      <c r="AI27606" s="831">
        <v>0</v>
      </c>
      <c r="AJ27606" s="835">
        <v>41698</v>
      </c>
      <c r="AK27606" s="831">
        <v>0.78374999999999995</v>
      </c>
    </row>
    <row r="27607" spans="32:37">
      <c r="AF27607" s="831" t="s">
        <v>11346</v>
      </c>
      <c r="AG27607" s="831" t="s">
        <v>2674</v>
      </c>
      <c r="AH27607" s="831" t="s">
        <v>559</v>
      </c>
      <c r="AI27607" s="831">
        <v>0</v>
      </c>
      <c r="AJ27607" s="835">
        <v>41698</v>
      </c>
      <c r="AK27607" s="831">
        <v>0.7838750000000001</v>
      </c>
    </row>
    <row r="27608" spans="32:37">
      <c r="AF27608" s="831" t="s">
        <v>11347</v>
      </c>
      <c r="AG27608" s="831" t="s">
        <v>2674</v>
      </c>
      <c r="AH27608" s="831" t="s">
        <v>568</v>
      </c>
      <c r="AI27608" s="831">
        <v>0</v>
      </c>
      <c r="AJ27608" s="835">
        <v>41698</v>
      </c>
      <c r="AK27608" s="831">
        <v>548459663.22692311</v>
      </c>
    </row>
    <row r="27609" spans="32:37">
      <c r="AF27609" s="831" t="s">
        <v>11348</v>
      </c>
      <c r="AG27609" s="831" t="s">
        <v>2674</v>
      </c>
      <c r="AH27609" s="831" t="s">
        <v>569</v>
      </c>
      <c r="AI27609" s="831">
        <v>0</v>
      </c>
      <c r="AJ27609" s="835">
        <v>41698</v>
      </c>
      <c r="AK27609" s="831">
        <v>670148193.05023074</v>
      </c>
    </row>
    <row r="27610" spans="32:37">
      <c r="AF27610" s="831" t="s">
        <v>11349</v>
      </c>
      <c r="AG27610" s="831" t="s">
        <v>2674</v>
      </c>
      <c r="AH27610" s="831" t="s">
        <v>570</v>
      </c>
      <c r="AI27610" s="831">
        <v>0</v>
      </c>
      <c r="AJ27610" s="835">
        <v>41698</v>
      </c>
      <c r="AK27610" s="831">
        <v>111814070.13584615</v>
      </c>
    </row>
    <row r="27611" spans="32:37">
      <c r="AF27611" s="831" t="s">
        <v>11350</v>
      </c>
      <c r="AG27611" s="831" t="s">
        <v>2674</v>
      </c>
      <c r="AH27611" s="831" t="s">
        <v>571</v>
      </c>
      <c r="AI27611" s="831">
        <v>0</v>
      </c>
      <c r="AJ27611" s="835">
        <v>41698</v>
      </c>
      <c r="AK27611" s="831">
        <v>320628110.0517692</v>
      </c>
    </row>
    <row r="27612" spans="32:37">
      <c r="AF27612" s="831" t="s">
        <v>11351</v>
      </c>
      <c r="AG27612" s="831" t="s">
        <v>2674</v>
      </c>
      <c r="AH27612" s="831" t="s">
        <v>573</v>
      </c>
      <c r="AI27612" s="831">
        <v>0</v>
      </c>
      <c r="AJ27612" s="835">
        <v>41698</v>
      </c>
      <c r="AK27612" s="831">
        <v>787218860.85433328</v>
      </c>
    </row>
    <row r="27613" spans="32:37">
      <c r="AF27613" s="831" t="s">
        <v>11352</v>
      </c>
      <c r="AG27613" s="831" t="s">
        <v>2674</v>
      </c>
      <c r="AH27613" s="831" t="s">
        <v>574</v>
      </c>
      <c r="AI27613" s="831">
        <v>0</v>
      </c>
      <c r="AJ27613" s="835">
        <v>41698</v>
      </c>
      <c r="AK27613" s="831">
        <v>638762603.66666663</v>
      </c>
    </row>
    <row r="27614" spans="32:37">
      <c r="AF27614" s="831" t="s">
        <v>11353</v>
      </c>
      <c r="AG27614" s="831" t="s">
        <v>2674</v>
      </c>
      <c r="AH27614" s="831" t="s">
        <v>575</v>
      </c>
      <c r="AI27614" s="831">
        <v>0</v>
      </c>
      <c r="AJ27614" s="835">
        <v>41698</v>
      </c>
      <c r="AK27614" s="831">
        <v>117270296.63666666</v>
      </c>
    </row>
    <row r="27615" spans="32:37">
      <c r="AF27615" s="831" t="s">
        <v>11354</v>
      </c>
      <c r="AG27615" s="831" t="s">
        <v>2674</v>
      </c>
      <c r="AH27615" s="831" t="s">
        <v>576</v>
      </c>
      <c r="AI27615" s="831">
        <v>0</v>
      </c>
      <c r="AJ27615" s="835">
        <v>41698</v>
      </c>
      <c r="AK27615" s="831">
        <v>385067117.20366669</v>
      </c>
    </row>
    <row r="27616" spans="32:37">
      <c r="AF27616" s="831" t="s">
        <v>11355</v>
      </c>
      <c r="AG27616" s="831" t="s">
        <v>2674</v>
      </c>
      <c r="AH27616" s="831" t="s">
        <v>572</v>
      </c>
      <c r="AI27616" s="831">
        <v>0</v>
      </c>
      <c r="AJ27616" s="835">
        <v>41698</v>
      </c>
      <c r="AK27616" s="831">
        <v>31228952.956000008</v>
      </c>
    </row>
    <row r="27617" spans="32:37">
      <c r="AF27617" s="831" t="s">
        <v>11356</v>
      </c>
      <c r="AG27617" s="831" t="s">
        <v>2674</v>
      </c>
      <c r="AH27617" s="831" t="s">
        <v>577</v>
      </c>
      <c r="AI27617" s="831">
        <v>0</v>
      </c>
      <c r="AJ27617" s="835">
        <v>41698</v>
      </c>
      <c r="AK27617" s="831">
        <v>141567221.76300001</v>
      </c>
    </row>
    <row r="27618" spans="32:37">
      <c r="AF27618" s="831" t="s">
        <v>11357</v>
      </c>
      <c r="AG27618" s="831" t="s">
        <v>2674</v>
      </c>
      <c r="AH27618" s="831" t="s">
        <v>3042</v>
      </c>
      <c r="AI27618" s="831">
        <v>0</v>
      </c>
      <c r="AJ27618" s="835">
        <v>41698</v>
      </c>
      <c r="AK27618" s="831">
        <v>-37210157.527000003</v>
      </c>
    </row>
    <row r="27619" spans="32:37">
      <c r="AF27619" s="831" t="s">
        <v>11358</v>
      </c>
      <c r="AG27619" s="831" t="s">
        <v>2674</v>
      </c>
      <c r="AH27619" s="831" t="s">
        <v>3044</v>
      </c>
      <c r="AI27619" s="831">
        <v>0</v>
      </c>
      <c r="AJ27619" s="835">
        <v>41698</v>
      </c>
      <c r="AK27619" s="831">
        <v>-3847935.8899999997</v>
      </c>
    </row>
    <row r="27620" spans="32:37">
      <c r="AF27620" s="831" t="s">
        <v>11359</v>
      </c>
      <c r="AG27620" s="831" t="s">
        <v>2674</v>
      </c>
      <c r="AH27620" s="831" t="s">
        <v>580</v>
      </c>
      <c r="AI27620" s="831">
        <v>0</v>
      </c>
      <c r="AJ27620" s="835">
        <v>41698</v>
      </c>
      <c r="AK27620" s="831">
        <v>-65813930.306999996</v>
      </c>
    </row>
    <row r="27621" spans="32:37">
      <c r="AF27621" s="831" t="s">
        <v>11360</v>
      </c>
      <c r="AG27621" s="831" t="s">
        <v>2674</v>
      </c>
      <c r="AH27621" s="831" t="s">
        <v>581</v>
      </c>
      <c r="AI27621" s="831">
        <v>0</v>
      </c>
      <c r="AJ27621" s="835">
        <v>41698</v>
      </c>
      <c r="AK27621" s="831">
        <v>5417725.8940000003</v>
      </c>
    </row>
    <row r="27622" spans="32:37">
      <c r="AF27622" s="831" t="s">
        <v>11361</v>
      </c>
      <c r="AG27622" s="831" t="s">
        <v>2674</v>
      </c>
      <c r="AH27622" s="831" t="s">
        <v>105</v>
      </c>
      <c r="AI27622" s="831">
        <v>0</v>
      </c>
      <c r="AJ27622" s="835">
        <v>41698</v>
      </c>
      <c r="AK27622" s="831">
        <v>385102312</v>
      </c>
    </row>
    <row r="27623" spans="32:37">
      <c r="AF27623" s="831" t="s">
        <v>11362</v>
      </c>
      <c r="AG27623" s="831" t="s">
        <v>2674</v>
      </c>
      <c r="AH27623" s="831" t="s">
        <v>3049</v>
      </c>
      <c r="AI27623" s="831">
        <v>0</v>
      </c>
      <c r="AJ27623" s="835">
        <v>41698</v>
      </c>
      <c r="AK27623" s="831">
        <v>650688857.41999996</v>
      </c>
    </row>
    <row r="27624" spans="32:37">
      <c r="AF27624" s="831" t="s">
        <v>11363</v>
      </c>
      <c r="AG27624" s="831" t="s">
        <v>2674</v>
      </c>
      <c r="AH27624" s="831" t="s">
        <v>103</v>
      </c>
      <c r="AI27624" s="831">
        <v>0</v>
      </c>
      <c r="AJ27624" s="835">
        <v>41698</v>
      </c>
      <c r="AK27624" s="831">
        <v>265586545.41999999</v>
      </c>
    </row>
    <row r="27625" spans="32:37">
      <c r="AF27625" s="831" t="s">
        <v>11364</v>
      </c>
      <c r="AG27625" s="831" t="s">
        <v>2674</v>
      </c>
      <c r="AH27625" s="831" t="s">
        <v>182</v>
      </c>
      <c r="AI27625" s="831">
        <v>0</v>
      </c>
      <c r="AJ27625" s="835">
        <v>41698</v>
      </c>
      <c r="AK27625" s="831">
        <v>65878782</v>
      </c>
    </row>
    <row r="27626" spans="32:37">
      <c r="AF27626" s="831" t="s">
        <v>11365</v>
      </c>
      <c r="AG27626" s="831" t="s">
        <v>2674</v>
      </c>
      <c r="AH27626" s="831" t="s">
        <v>6600</v>
      </c>
      <c r="AI27626" s="831">
        <v>0</v>
      </c>
      <c r="AJ27626" s="835">
        <v>41698</v>
      </c>
      <c r="AK27626" s="831">
        <v>31228952.956000008</v>
      </c>
    </row>
    <row r="27627" spans="32:37">
      <c r="AF27627" s="831" t="s">
        <v>11366</v>
      </c>
      <c r="AG27627" s="831" t="s">
        <v>2674</v>
      </c>
      <c r="AH27627" s="831" t="s">
        <v>6602</v>
      </c>
      <c r="AI27627" s="831">
        <v>0</v>
      </c>
      <c r="AJ27627" s="835">
        <v>41698</v>
      </c>
      <c r="AK27627" s="831">
        <v>7870295</v>
      </c>
    </row>
    <row r="27628" spans="32:37">
      <c r="AF27628" s="831" t="s">
        <v>11367</v>
      </c>
      <c r="AG27628" s="831" t="s">
        <v>2674</v>
      </c>
      <c r="AH27628" s="831" t="s">
        <v>650</v>
      </c>
      <c r="AI27628" s="831">
        <v>0</v>
      </c>
      <c r="AJ27628" s="835">
        <v>41698</v>
      </c>
      <c r="AK27628" s="831">
        <v>219285486.1168462</v>
      </c>
    </row>
    <row r="27629" spans="32:37">
      <c r="AF27629" s="831" t="s">
        <v>11368</v>
      </c>
      <c r="AG27629" s="831" t="s">
        <v>2674</v>
      </c>
      <c r="AH27629" s="831" t="s">
        <v>655</v>
      </c>
      <c r="AI27629" s="831">
        <v>0</v>
      </c>
      <c r="AJ27629" s="835">
        <v>41698</v>
      </c>
      <c r="AK27629" s="831">
        <v>1640758.8330000001</v>
      </c>
    </row>
    <row r="27630" spans="32:37">
      <c r="AF27630" s="831" t="s">
        <v>11369</v>
      </c>
      <c r="AG27630" s="831" t="s">
        <v>2674</v>
      </c>
      <c r="AH27630" s="831" t="s">
        <v>546</v>
      </c>
      <c r="AI27630" s="831">
        <v>0</v>
      </c>
      <c r="AJ27630" s="835">
        <v>41729</v>
      </c>
      <c r="AK27630" s="831">
        <v>664153787</v>
      </c>
    </row>
    <row r="27631" spans="32:37">
      <c r="AF27631" s="831" t="s">
        <v>11370</v>
      </c>
      <c r="AG27631" s="831" t="s">
        <v>2674</v>
      </c>
      <c r="AH27631" s="831" t="s">
        <v>370</v>
      </c>
      <c r="AI27631" s="831">
        <v>0</v>
      </c>
      <c r="AJ27631" s="835">
        <v>41729</v>
      </c>
      <c r="AK27631" s="831">
        <v>834303183</v>
      </c>
    </row>
    <row r="27632" spans="32:37">
      <c r="AF27632" s="831" t="s">
        <v>11371</v>
      </c>
      <c r="AG27632" s="831" t="s">
        <v>2674</v>
      </c>
      <c r="AH27632" s="831" t="s">
        <v>126</v>
      </c>
      <c r="AI27632" s="831">
        <v>0</v>
      </c>
      <c r="AJ27632" s="835">
        <v>41729</v>
      </c>
      <c r="AK27632" s="831">
        <v>124206790</v>
      </c>
    </row>
    <row r="27633" spans="32:37">
      <c r="AF27633" s="831" t="s">
        <v>11372</v>
      </c>
      <c r="AG27633" s="831" t="s">
        <v>2674</v>
      </c>
      <c r="AH27633" s="831" t="s">
        <v>268</v>
      </c>
      <c r="AI27633" s="831">
        <v>0</v>
      </c>
      <c r="AJ27633" s="835">
        <v>41729</v>
      </c>
      <c r="AK27633" s="831">
        <v>8878765</v>
      </c>
    </row>
    <row r="27634" spans="32:37">
      <c r="AF27634" s="831" t="s">
        <v>11373</v>
      </c>
      <c r="AG27634" s="831" t="s">
        <v>2674</v>
      </c>
      <c r="AH27634" s="831" t="s">
        <v>547</v>
      </c>
      <c r="AI27634" s="831">
        <v>0</v>
      </c>
      <c r="AJ27634" s="835">
        <v>41729</v>
      </c>
      <c r="AK27634" s="831">
        <v>777719977</v>
      </c>
    </row>
    <row r="27635" spans="32:37">
      <c r="AF27635" s="831" t="s">
        <v>11374</v>
      </c>
      <c r="AG27635" s="831" t="s">
        <v>2674</v>
      </c>
      <c r="AH27635" s="831" t="s">
        <v>548</v>
      </c>
      <c r="AI27635" s="831">
        <v>0</v>
      </c>
      <c r="AJ27635" s="835">
        <v>41729</v>
      </c>
      <c r="AK27635" s="831">
        <v>117105496</v>
      </c>
    </row>
    <row r="27636" spans="32:37">
      <c r="AF27636" s="831" t="s">
        <v>11375</v>
      </c>
      <c r="AG27636" s="831" t="s">
        <v>2674</v>
      </c>
      <c r="AH27636" s="831" t="s">
        <v>549</v>
      </c>
      <c r="AI27636" s="831">
        <v>0</v>
      </c>
      <c r="AJ27636" s="835">
        <v>41729</v>
      </c>
      <c r="AK27636" s="831">
        <v>455655641</v>
      </c>
    </row>
    <row r="27637" spans="32:37">
      <c r="AF27637" s="831" t="s">
        <v>11376</v>
      </c>
      <c r="AG27637" s="831" t="s">
        <v>2674</v>
      </c>
      <c r="AH27637" s="831" t="s">
        <v>192</v>
      </c>
      <c r="AI27637" s="831">
        <v>0</v>
      </c>
      <c r="AJ27637" s="835">
        <v>41729</v>
      </c>
      <c r="AK27637" s="831">
        <v>-12498345</v>
      </c>
    </row>
    <row r="27638" spans="32:37">
      <c r="AF27638" s="831" t="s">
        <v>11377</v>
      </c>
      <c r="AG27638" s="831" t="s">
        <v>2674</v>
      </c>
      <c r="AH27638" s="831" t="s">
        <v>558</v>
      </c>
      <c r="AI27638" s="831">
        <v>0</v>
      </c>
      <c r="AJ27638" s="835">
        <v>41729</v>
      </c>
      <c r="AK27638" s="831">
        <v>710096393</v>
      </c>
    </row>
    <row r="27639" spans="32:37">
      <c r="AF27639" s="831" t="s">
        <v>11378</v>
      </c>
      <c r="AG27639" s="831" t="s">
        <v>2674</v>
      </c>
      <c r="AH27639" s="831" t="s">
        <v>65</v>
      </c>
      <c r="AI27639" s="831">
        <v>0</v>
      </c>
      <c r="AJ27639" s="835">
        <v>41729</v>
      </c>
      <c r="AK27639" s="831">
        <v>38451284</v>
      </c>
    </row>
    <row r="27640" spans="32:37">
      <c r="AF27640" s="831" t="s">
        <v>11379</v>
      </c>
      <c r="AG27640" s="831" t="s">
        <v>2674</v>
      </c>
      <c r="AH27640" s="831" t="s">
        <v>89</v>
      </c>
      <c r="AI27640" s="831">
        <v>0</v>
      </c>
      <c r="AJ27640" s="835">
        <v>41729</v>
      </c>
      <c r="AK27640" s="831">
        <v>151606</v>
      </c>
    </row>
    <row r="27641" spans="32:37">
      <c r="AF27641" s="831" t="s">
        <v>11380</v>
      </c>
      <c r="AG27641" s="831" t="s">
        <v>2674</v>
      </c>
      <c r="AH27641" s="831" t="s">
        <v>557</v>
      </c>
      <c r="AI27641" s="831">
        <v>0</v>
      </c>
      <c r="AJ27641" s="835">
        <v>41729</v>
      </c>
      <c r="AK27641" s="831">
        <v>167127</v>
      </c>
    </row>
    <row r="27642" spans="32:37">
      <c r="AF27642" s="831" t="s">
        <v>11381</v>
      </c>
      <c r="AG27642" s="831" t="s">
        <v>2674</v>
      </c>
      <c r="AH27642" s="831" t="s">
        <v>29</v>
      </c>
      <c r="AI27642" s="831">
        <v>0</v>
      </c>
      <c r="AJ27642" s="835">
        <v>41729</v>
      </c>
      <c r="AK27642" s="831">
        <v>2189531.31</v>
      </c>
    </row>
    <row r="27643" spans="32:37">
      <c r="AF27643" s="831" t="s">
        <v>11382</v>
      </c>
      <c r="AG27643" s="831" t="s">
        <v>2674</v>
      </c>
      <c r="AH27643" s="831" t="s">
        <v>2688</v>
      </c>
      <c r="AI27643" s="831">
        <v>0</v>
      </c>
      <c r="AJ27643" s="835">
        <v>41729</v>
      </c>
      <c r="AK27643" s="831">
        <v>4729841</v>
      </c>
    </row>
    <row r="27644" spans="32:37">
      <c r="AF27644" s="831" t="s">
        <v>11383</v>
      </c>
      <c r="AG27644" s="831" t="s">
        <v>2674</v>
      </c>
      <c r="AH27644" s="831" t="s">
        <v>556</v>
      </c>
      <c r="AI27644" s="831">
        <v>0</v>
      </c>
      <c r="AJ27644" s="835">
        <v>41729</v>
      </c>
      <c r="AK27644" s="831">
        <v>1644732</v>
      </c>
    </row>
    <row r="27645" spans="32:37">
      <c r="AF27645" s="831" t="s">
        <v>11384</v>
      </c>
      <c r="AG27645" s="831" t="s">
        <v>2674</v>
      </c>
      <c r="AH27645" s="831" t="s">
        <v>555</v>
      </c>
      <c r="AI27645" s="831">
        <v>0</v>
      </c>
      <c r="AJ27645" s="835">
        <v>41729</v>
      </c>
      <c r="AK27645" s="831">
        <v>466790280</v>
      </c>
    </row>
    <row r="27646" spans="32:37">
      <c r="AF27646" s="831" t="s">
        <v>11385</v>
      </c>
      <c r="AG27646" s="831" t="s">
        <v>2674</v>
      </c>
      <c r="AH27646" s="831" t="s">
        <v>554</v>
      </c>
      <c r="AI27646" s="831">
        <v>0</v>
      </c>
      <c r="AJ27646" s="835">
        <v>41729</v>
      </c>
      <c r="AK27646" s="831">
        <v>476154670</v>
      </c>
    </row>
    <row r="27647" spans="32:37">
      <c r="AF27647" s="831" t="s">
        <v>11386</v>
      </c>
      <c r="AG27647" s="831" t="s">
        <v>2674</v>
      </c>
      <c r="AH27647" s="831" t="s">
        <v>553</v>
      </c>
      <c r="AI27647" s="831">
        <v>0</v>
      </c>
      <c r="AJ27647" s="835">
        <v>41729</v>
      </c>
      <c r="AK27647" s="831">
        <v>0</v>
      </c>
    </row>
    <row r="27648" spans="32:37">
      <c r="AF27648" s="831" t="s">
        <v>11387</v>
      </c>
      <c r="AG27648" s="831" t="s">
        <v>2674</v>
      </c>
      <c r="AH27648" s="831" t="s">
        <v>552</v>
      </c>
      <c r="AI27648" s="831">
        <v>0</v>
      </c>
      <c r="AJ27648" s="835">
        <v>41729</v>
      </c>
      <c r="AK27648" s="831">
        <v>0</v>
      </c>
    </row>
    <row r="27649" spans="32:37">
      <c r="AF27649" s="831" t="s">
        <v>11388</v>
      </c>
      <c r="AG27649" s="831" t="s">
        <v>2674</v>
      </c>
      <c r="AH27649" s="831" t="s">
        <v>551</v>
      </c>
      <c r="AI27649" s="831">
        <v>0</v>
      </c>
      <c r="AJ27649" s="835">
        <v>41729</v>
      </c>
      <c r="AK27649" s="831">
        <v>1979269.31</v>
      </c>
    </row>
    <row r="27650" spans="32:37">
      <c r="AF27650" s="831" t="s">
        <v>11389</v>
      </c>
      <c r="AG27650" s="831" t="s">
        <v>2674</v>
      </c>
      <c r="AH27650" s="831" t="s">
        <v>550</v>
      </c>
      <c r="AI27650" s="831">
        <v>0</v>
      </c>
      <c r="AJ27650" s="835">
        <v>41729</v>
      </c>
      <c r="AK27650" s="831">
        <v>120615628</v>
      </c>
    </row>
    <row r="27651" spans="32:37">
      <c r="AF27651" s="831" t="s">
        <v>11390</v>
      </c>
      <c r="AG27651" s="831" t="s">
        <v>2674</v>
      </c>
      <c r="AH27651" s="831" t="s">
        <v>562</v>
      </c>
      <c r="AI27651" s="831">
        <v>0</v>
      </c>
      <c r="AJ27651" s="835">
        <v>41729</v>
      </c>
      <c r="AK27651" s="831">
        <v>0.78374999999999995</v>
      </c>
    </row>
    <row r="27652" spans="32:37">
      <c r="AF27652" s="831" t="s">
        <v>11391</v>
      </c>
      <c r="AG27652" s="831" t="s">
        <v>2674</v>
      </c>
      <c r="AH27652" s="831" t="s">
        <v>2698</v>
      </c>
      <c r="AI27652" s="831">
        <v>0</v>
      </c>
      <c r="AJ27652" s="835">
        <v>41729</v>
      </c>
      <c r="AK27652" s="831">
        <v>0.78385000000000005</v>
      </c>
    </row>
    <row r="27653" spans="32:37">
      <c r="AF27653" s="831" t="s">
        <v>11392</v>
      </c>
      <c r="AG27653" s="831" t="s">
        <v>2674</v>
      </c>
      <c r="AH27653" s="831" t="s">
        <v>560</v>
      </c>
      <c r="AI27653" s="831">
        <v>0</v>
      </c>
      <c r="AJ27653" s="835">
        <v>41729</v>
      </c>
      <c r="AK27653" s="831">
        <v>0.78375000000000006</v>
      </c>
    </row>
    <row r="27654" spans="32:37">
      <c r="AF27654" s="831" t="s">
        <v>11393</v>
      </c>
      <c r="AG27654" s="831" t="s">
        <v>2674</v>
      </c>
      <c r="AH27654" s="831" t="s">
        <v>559</v>
      </c>
      <c r="AI27654" s="831">
        <v>0</v>
      </c>
      <c r="AJ27654" s="835">
        <v>41729</v>
      </c>
      <c r="AK27654" s="831">
        <v>0.78383333333333338</v>
      </c>
    </row>
    <row r="27655" spans="32:37">
      <c r="AF27655" s="831" t="s">
        <v>11394</v>
      </c>
      <c r="AG27655" s="831" t="s">
        <v>2674</v>
      </c>
      <c r="AH27655" s="831" t="s">
        <v>568</v>
      </c>
      <c r="AI27655" s="831">
        <v>0</v>
      </c>
      <c r="AJ27655" s="835">
        <v>41729</v>
      </c>
      <c r="AK27655" s="831">
        <v>565947600.45769227</v>
      </c>
    </row>
    <row r="27656" spans="32:37">
      <c r="AF27656" s="831" t="s">
        <v>11395</v>
      </c>
      <c r="AG27656" s="831" t="s">
        <v>2674</v>
      </c>
      <c r="AH27656" s="831" t="s">
        <v>569</v>
      </c>
      <c r="AI27656" s="831">
        <v>0</v>
      </c>
      <c r="AJ27656" s="835">
        <v>41729</v>
      </c>
      <c r="AK27656" s="831">
        <v>694165655.12715387</v>
      </c>
    </row>
    <row r="27657" spans="32:37">
      <c r="AF27657" s="831" t="s">
        <v>11396</v>
      </c>
      <c r="AG27657" s="831" t="s">
        <v>2674</v>
      </c>
      <c r="AH27657" s="831" t="s">
        <v>570</v>
      </c>
      <c r="AI27657" s="831">
        <v>0</v>
      </c>
      <c r="AJ27657" s="835">
        <v>41729</v>
      </c>
      <c r="AK27657" s="831">
        <v>113785276.52046154</v>
      </c>
    </row>
    <row r="27658" spans="32:37">
      <c r="AF27658" s="831" t="s">
        <v>11397</v>
      </c>
      <c r="AG27658" s="831" t="s">
        <v>2674</v>
      </c>
      <c r="AH27658" s="831" t="s">
        <v>571</v>
      </c>
      <c r="AI27658" s="831">
        <v>0</v>
      </c>
      <c r="AJ27658" s="835">
        <v>41729</v>
      </c>
      <c r="AK27658" s="831">
        <v>334328550.28253847</v>
      </c>
    </row>
    <row r="27659" spans="32:37">
      <c r="AF27659" s="831" t="s">
        <v>11398</v>
      </c>
      <c r="AG27659" s="831" t="s">
        <v>2674</v>
      </c>
      <c r="AH27659" s="831" t="s">
        <v>573</v>
      </c>
      <c r="AI27659" s="831">
        <v>0</v>
      </c>
      <c r="AJ27659" s="835">
        <v>41729</v>
      </c>
      <c r="AK27659" s="831">
        <v>798989941.39074993</v>
      </c>
    </row>
    <row r="27660" spans="32:37">
      <c r="AF27660" s="831" t="s">
        <v>11399</v>
      </c>
      <c r="AG27660" s="831" t="s">
        <v>2674</v>
      </c>
      <c r="AH27660" s="831" t="s">
        <v>574</v>
      </c>
      <c r="AI27660" s="831">
        <v>0</v>
      </c>
      <c r="AJ27660" s="835">
        <v>41729</v>
      </c>
      <c r="AK27660" s="831">
        <v>645110399.5</v>
      </c>
    </row>
    <row r="27661" spans="32:37">
      <c r="AF27661" s="831" t="s">
        <v>11400</v>
      </c>
      <c r="AG27661" s="831" t="s">
        <v>2674</v>
      </c>
      <c r="AH27661" s="831" t="s">
        <v>575</v>
      </c>
      <c r="AI27661" s="831">
        <v>0</v>
      </c>
      <c r="AJ27661" s="835">
        <v>41729</v>
      </c>
      <c r="AK27661" s="831">
        <v>119004419.97749999</v>
      </c>
    </row>
    <row r="27662" spans="32:37">
      <c r="AF27662" s="831" t="s">
        <v>11401</v>
      </c>
      <c r="AG27662" s="831" t="s">
        <v>2674</v>
      </c>
      <c r="AH27662" s="831" t="s">
        <v>576</v>
      </c>
      <c r="AI27662" s="831">
        <v>0</v>
      </c>
      <c r="AJ27662" s="835">
        <v>41729</v>
      </c>
      <c r="AK27662" s="831">
        <v>391575852.40275002</v>
      </c>
    </row>
    <row r="27663" spans="32:37">
      <c r="AF27663" s="831" t="s">
        <v>11402</v>
      </c>
      <c r="AG27663" s="831" t="s">
        <v>2674</v>
      </c>
      <c r="AH27663" s="831" t="s">
        <v>572</v>
      </c>
      <c r="AI27663" s="831">
        <v>0</v>
      </c>
      <c r="AJ27663" s="835">
        <v>41729</v>
      </c>
      <c r="AK27663" s="831">
        <v>30009140.956000008</v>
      </c>
    </row>
    <row r="27664" spans="32:37">
      <c r="AF27664" s="831" t="s">
        <v>11403</v>
      </c>
      <c r="AG27664" s="831" t="s">
        <v>2674</v>
      </c>
      <c r="AH27664" s="831" t="s">
        <v>577</v>
      </c>
      <c r="AI27664" s="831">
        <v>0</v>
      </c>
      <c r="AJ27664" s="835">
        <v>41729</v>
      </c>
      <c r="AK27664" s="831">
        <v>143425007.76300001</v>
      </c>
    </row>
    <row r="27665" spans="32:37">
      <c r="AF27665" s="831" t="s">
        <v>11404</v>
      </c>
      <c r="AG27665" s="831" t="s">
        <v>2674</v>
      </c>
      <c r="AH27665" s="831" t="s">
        <v>3042</v>
      </c>
      <c r="AI27665" s="831">
        <v>0</v>
      </c>
      <c r="AJ27665" s="835">
        <v>41729</v>
      </c>
      <c r="AK27665" s="831">
        <v>-38745656.527000003</v>
      </c>
    </row>
    <row r="27666" spans="32:37">
      <c r="AF27666" s="831" t="s">
        <v>11405</v>
      </c>
      <c r="AG27666" s="831" t="s">
        <v>2674</v>
      </c>
      <c r="AH27666" s="831" t="s">
        <v>3044</v>
      </c>
      <c r="AI27666" s="831">
        <v>0</v>
      </c>
      <c r="AJ27666" s="835">
        <v>41729</v>
      </c>
      <c r="AK27666" s="831">
        <v>-3699815.8899999997</v>
      </c>
    </row>
    <row r="27667" spans="32:37">
      <c r="AF27667" s="831" t="s">
        <v>11406</v>
      </c>
      <c r="AG27667" s="831" t="s">
        <v>2674</v>
      </c>
      <c r="AH27667" s="831" t="s">
        <v>580</v>
      </c>
      <c r="AI27667" s="831">
        <v>0</v>
      </c>
      <c r="AJ27667" s="835">
        <v>41729</v>
      </c>
      <c r="AK27667" s="831">
        <v>-67131930.306999996</v>
      </c>
    </row>
    <row r="27668" spans="32:37">
      <c r="AF27668" s="831" t="s">
        <v>11407</v>
      </c>
      <c r="AG27668" s="831" t="s">
        <v>2674</v>
      </c>
      <c r="AH27668" s="831" t="s">
        <v>581</v>
      </c>
      <c r="AI27668" s="831">
        <v>0</v>
      </c>
      <c r="AJ27668" s="835">
        <v>41729</v>
      </c>
      <c r="AK27668" s="831">
        <v>5442741.8940000003</v>
      </c>
    </row>
    <row r="27669" spans="32:37">
      <c r="AF27669" s="831" t="s">
        <v>11408</v>
      </c>
      <c r="AG27669" s="831" t="s">
        <v>2674</v>
      </c>
      <c r="AH27669" s="831" t="s">
        <v>105</v>
      </c>
      <c r="AI27669" s="831">
        <v>0</v>
      </c>
      <c r="AJ27669" s="835">
        <v>41729</v>
      </c>
      <c r="AK27669" s="831">
        <v>411102058</v>
      </c>
    </row>
    <row r="27670" spans="32:37">
      <c r="AF27670" s="831" t="s">
        <v>11409</v>
      </c>
      <c r="AG27670" s="831" t="s">
        <v>2674</v>
      </c>
      <c r="AH27670" s="831" t="s">
        <v>3049</v>
      </c>
      <c r="AI27670" s="831">
        <v>0</v>
      </c>
      <c r="AJ27670" s="835">
        <v>41729</v>
      </c>
      <c r="AK27670" s="831">
        <v>690412081</v>
      </c>
    </row>
    <row r="27671" spans="32:37">
      <c r="AF27671" s="831" t="s">
        <v>11410</v>
      </c>
      <c r="AG27671" s="831" t="s">
        <v>2674</v>
      </c>
      <c r="AH27671" s="831" t="s">
        <v>103</v>
      </c>
      <c r="AI27671" s="831">
        <v>0</v>
      </c>
      <c r="AJ27671" s="835">
        <v>41729</v>
      </c>
      <c r="AK27671" s="831">
        <v>279310023</v>
      </c>
    </row>
    <row r="27672" spans="32:37">
      <c r="AF27672" s="831" t="s">
        <v>11411</v>
      </c>
      <c r="AG27672" s="831" t="s">
        <v>2674</v>
      </c>
      <c r="AH27672" s="831" t="s">
        <v>182</v>
      </c>
      <c r="AI27672" s="831">
        <v>0</v>
      </c>
      <c r="AJ27672" s="835">
        <v>41729</v>
      </c>
      <c r="AK27672" s="831">
        <v>67031636</v>
      </c>
    </row>
    <row r="27673" spans="32:37">
      <c r="AF27673" s="831" t="s">
        <v>11412</v>
      </c>
      <c r="AG27673" s="831" t="s">
        <v>2674</v>
      </c>
      <c r="AH27673" s="831" t="s">
        <v>6600</v>
      </c>
      <c r="AI27673" s="831">
        <v>0</v>
      </c>
      <c r="AJ27673" s="835">
        <v>41729</v>
      </c>
      <c r="AK27673" s="831">
        <v>30009140.956000008</v>
      </c>
    </row>
    <row r="27674" spans="32:37">
      <c r="AF27674" s="831" t="s">
        <v>11413</v>
      </c>
      <c r="AG27674" s="831" t="s">
        <v>2674</v>
      </c>
      <c r="AH27674" s="831" t="s">
        <v>6602</v>
      </c>
      <c r="AI27674" s="831">
        <v>0</v>
      </c>
      <c r="AJ27674" s="835">
        <v>41729</v>
      </c>
      <c r="AK27674" s="831">
        <v>8878765</v>
      </c>
    </row>
    <row r="27675" spans="32:37">
      <c r="AF27675" s="831" t="s">
        <v>11414</v>
      </c>
      <c r="AG27675" s="831" t="s">
        <v>2674</v>
      </c>
      <c r="AH27675" s="831" t="s">
        <v>650</v>
      </c>
      <c r="AI27675" s="831">
        <v>0</v>
      </c>
      <c r="AJ27675" s="835">
        <v>41729</v>
      </c>
      <c r="AK27675" s="831">
        <v>227175044.1168462</v>
      </c>
    </row>
    <row r="27676" spans="32:37">
      <c r="AF27676" s="831" t="s">
        <v>11415</v>
      </c>
      <c r="AG27676" s="831" t="s">
        <v>2674</v>
      </c>
      <c r="AH27676" s="831" t="s">
        <v>655</v>
      </c>
      <c r="AI27676" s="831">
        <v>0</v>
      </c>
      <c r="AJ27676" s="835">
        <v>41729</v>
      </c>
      <c r="AK27676" s="831">
        <v>1723087.31</v>
      </c>
    </row>
    <row r="27677" spans="32:37">
      <c r="AF27677" s="831" t="s">
        <v>11416</v>
      </c>
      <c r="AG27677" s="831" t="s">
        <v>2674</v>
      </c>
      <c r="AH27677" s="831" t="s">
        <v>546</v>
      </c>
      <c r="AI27677" s="831">
        <v>0</v>
      </c>
      <c r="AJ27677" s="835">
        <v>41759</v>
      </c>
      <c r="AK27677" s="831">
        <v>695634421</v>
      </c>
    </row>
    <row r="27678" spans="32:37">
      <c r="AF27678" s="831" t="s">
        <v>11417</v>
      </c>
      <c r="AG27678" s="831" t="s">
        <v>2674</v>
      </c>
      <c r="AH27678" s="831" t="s">
        <v>370</v>
      </c>
      <c r="AI27678" s="831">
        <v>0</v>
      </c>
      <c r="AJ27678" s="835">
        <v>41759</v>
      </c>
      <c r="AK27678" s="831">
        <v>838269546</v>
      </c>
    </row>
    <row r="27679" spans="32:37">
      <c r="AF27679" s="831" t="s">
        <v>11418</v>
      </c>
      <c r="AG27679" s="831" t="s">
        <v>2674</v>
      </c>
      <c r="AH27679" s="831" t="s">
        <v>126</v>
      </c>
      <c r="AI27679" s="831">
        <v>0</v>
      </c>
      <c r="AJ27679" s="835">
        <v>41759</v>
      </c>
      <c r="AK27679" s="831">
        <v>127155751</v>
      </c>
    </row>
    <row r="27680" spans="32:37">
      <c r="AF27680" s="831" t="s">
        <v>11419</v>
      </c>
      <c r="AG27680" s="831" t="s">
        <v>2674</v>
      </c>
      <c r="AH27680" s="831" t="s">
        <v>268</v>
      </c>
      <c r="AI27680" s="831">
        <v>0</v>
      </c>
      <c r="AJ27680" s="835">
        <v>41759</v>
      </c>
      <c r="AK27680" s="831">
        <v>11900832</v>
      </c>
    </row>
    <row r="27681" spans="32:37">
      <c r="AF27681" s="831" t="s">
        <v>11420</v>
      </c>
      <c r="AG27681" s="831" t="s">
        <v>2674</v>
      </c>
      <c r="AH27681" s="831" t="s">
        <v>547</v>
      </c>
      <c r="AI27681" s="831">
        <v>0</v>
      </c>
      <c r="AJ27681" s="835">
        <v>41759</v>
      </c>
      <c r="AK27681" s="831">
        <v>777719977</v>
      </c>
    </row>
    <row r="27682" spans="32:37">
      <c r="AF27682" s="831" t="s">
        <v>11421</v>
      </c>
      <c r="AG27682" s="831" t="s">
        <v>2674</v>
      </c>
      <c r="AH27682" s="831" t="s">
        <v>548</v>
      </c>
      <c r="AI27682" s="831">
        <v>0</v>
      </c>
      <c r="AJ27682" s="835">
        <v>41759</v>
      </c>
      <c r="AK27682" s="831">
        <v>117105496</v>
      </c>
    </row>
    <row r="27683" spans="32:37">
      <c r="AF27683" s="831" t="s">
        <v>11422</v>
      </c>
      <c r="AG27683" s="831" t="s">
        <v>2674</v>
      </c>
      <c r="AH27683" s="831" t="s">
        <v>549</v>
      </c>
      <c r="AI27683" s="831">
        <v>0</v>
      </c>
      <c r="AJ27683" s="835">
        <v>41759</v>
      </c>
      <c r="AK27683" s="831">
        <v>479771222</v>
      </c>
    </row>
    <row r="27684" spans="32:37">
      <c r="AF27684" s="831" t="s">
        <v>11423</v>
      </c>
      <c r="AG27684" s="831" t="s">
        <v>2674</v>
      </c>
      <c r="AH27684" s="831" t="s">
        <v>192</v>
      </c>
      <c r="AI27684" s="831">
        <v>0</v>
      </c>
      <c r="AJ27684" s="835">
        <v>41759</v>
      </c>
      <c r="AK27684" s="831">
        <v>-13335656</v>
      </c>
    </row>
    <row r="27685" spans="32:37">
      <c r="AF27685" s="831" t="s">
        <v>11424</v>
      </c>
      <c r="AG27685" s="831" t="s">
        <v>2674</v>
      </c>
      <c r="AH27685" s="831" t="s">
        <v>558</v>
      </c>
      <c r="AI27685" s="831">
        <v>0</v>
      </c>
      <c r="AJ27685" s="835">
        <v>41759</v>
      </c>
      <c r="AK27685" s="831">
        <v>711113795</v>
      </c>
    </row>
    <row r="27686" spans="32:37">
      <c r="AF27686" s="831" t="s">
        <v>11425</v>
      </c>
      <c r="AG27686" s="831" t="s">
        <v>2674</v>
      </c>
      <c r="AH27686" s="831" t="s">
        <v>65</v>
      </c>
      <c r="AI27686" s="831">
        <v>0</v>
      </c>
      <c r="AJ27686" s="835">
        <v>41759</v>
      </c>
      <c r="AK27686" s="831">
        <v>52388499</v>
      </c>
    </row>
    <row r="27687" spans="32:37">
      <c r="AF27687" s="831" t="s">
        <v>11426</v>
      </c>
      <c r="AG27687" s="831" t="s">
        <v>2674</v>
      </c>
      <c r="AH27687" s="831" t="s">
        <v>89</v>
      </c>
      <c r="AI27687" s="831">
        <v>0</v>
      </c>
      <c r="AJ27687" s="835">
        <v>41759</v>
      </c>
      <c r="AK27687" s="831">
        <v>154230</v>
      </c>
    </row>
    <row r="27688" spans="32:37">
      <c r="AF27688" s="831" t="s">
        <v>11427</v>
      </c>
      <c r="AG27688" s="831" t="s">
        <v>2674</v>
      </c>
      <c r="AH27688" s="831" t="s">
        <v>557</v>
      </c>
      <c r="AI27688" s="831">
        <v>0</v>
      </c>
      <c r="AJ27688" s="835">
        <v>41759</v>
      </c>
      <c r="AK27688" s="831">
        <v>171119</v>
      </c>
    </row>
    <row r="27689" spans="32:37">
      <c r="AF27689" s="831" t="s">
        <v>11428</v>
      </c>
      <c r="AG27689" s="831" t="s">
        <v>2674</v>
      </c>
      <c r="AH27689" s="831" t="s">
        <v>29</v>
      </c>
      <c r="AI27689" s="831">
        <v>0</v>
      </c>
      <c r="AJ27689" s="835">
        <v>41759</v>
      </c>
      <c r="AK27689" s="831">
        <v>2260198</v>
      </c>
    </row>
    <row r="27690" spans="32:37">
      <c r="AF27690" s="831" t="s">
        <v>11429</v>
      </c>
      <c r="AG27690" s="831" t="s">
        <v>2674</v>
      </c>
      <c r="AH27690" s="831" t="s">
        <v>2688</v>
      </c>
      <c r="AI27690" s="831">
        <v>0</v>
      </c>
      <c r="AJ27690" s="835">
        <v>41759</v>
      </c>
      <c r="AK27690" s="831">
        <v>4802589</v>
      </c>
    </row>
    <row r="27691" spans="32:37">
      <c r="AF27691" s="831" t="s">
        <v>11430</v>
      </c>
      <c r="AG27691" s="831" t="s">
        <v>2674</v>
      </c>
      <c r="AH27691" s="831" t="s">
        <v>556</v>
      </c>
      <c r="AI27691" s="831">
        <v>0</v>
      </c>
      <c r="AJ27691" s="835">
        <v>41759</v>
      </c>
      <c r="AK27691" s="831">
        <v>1644732</v>
      </c>
    </row>
    <row r="27692" spans="32:37">
      <c r="AF27692" s="831" t="s">
        <v>11431</v>
      </c>
      <c r="AG27692" s="831" t="s">
        <v>2674</v>
      </c>
      <c r="AH27692" s="831" t="s">
        <v>555</v>
      </c>
      <c r="AI27692" s="831">
        <v>0</v>
      </c>
      <c r="AJ27692" s="835">
        <v>41759</v>
      </c>
      <c r="AK27692" s="831">
        <v>465033436</v>
      </c>
    </row>
    <row r="27693" spans="32:37">
      <c r="AF27693" s="831" t="s">
        <v>11432</v>
      </c>
      <c r="AG27693" s="831" t="s">
        <v>2674</v>
      </c>
      <c r="AH27693" s="831" t="s">
        <v>554</v>
      </c>
      <c r="AI27693" s="831">
        <v>0</v>
      </c>
      <c r="AJ27693" s="835">
        <v>41759</v>
      </c>
      <c r="AK27693" s="831">
        <v>471272450</v>
      </c>
    </row>
    <row r="27694" spans="32:37">
      <c r="AF27694" s="831" t="s">
        <v>11433</v>
      </c>
      <c r="AG27694" s="831" t="s">
        <v>2674</v>
      </c>
      <c r="AH27694" s="831" t="s">
        <v>553</v>
      </c>
      <c r="AI27694" s="831">
        <v>0</v>
      </c>
      <c r="AJ27694" s="835">
        <v>41759</v>
      </c>
      <c r="AK27694" s="831">
        <v>0</v>
      </c>
    </row>
    <row r="27695" spans="32:37">
      <c r="AF27695" s="831" t="s">
        <v>11434</v>
      </c>
      <c r="AG27695" s="831" t="s">
        <v>2674</v>
      </c>
      <c r="AH27695" s="831" t="s">
        <v>552</v>
      </c>
      <c r="AI27695" s="831">
        <v>0</v>
      </c>
      <c r="AJ27695" s="835">
        <v>41759</v>
      </c>
      <c r="AK27695" s="831">
        <v>0</v>
      </c>
    </row>
    <row r="27696" spans="32:37">
      <c r="AF27696" s="831" t="s">
        <v>11435</v>
      </c>
      <c r="AG27696" s="831" t="s">
        <v>2674</v>
      </c>
      <c r="AH27696" s="831" t="s">
        <v>551</v>
      </c>
      <c r="AI27696" s="831">
        <v>0</v>
      </c>
      <c r="AJ27696" s="835">
        <v>41759</v>
      </c>
      <c r="AK27696" s="831">
        <v>2028560</v>
      </c>
    </row>
    <row r="27697" spans="32:37">
      <c r="AF27697" s="831" t="s">
        <v>11436</v>
      </c>
      <c r="AG27697" s="831" t="s">
        <v>2674</v>
      </c>
      <c r="AH27697" s="831" t="s">
        <v>550</v>
      </c>
      <c r="AI27697" s="831">
        <v>0</v>
      </c>
      <c r="AJ27697" s="835">
        <v>41759</v>
      </c>
      <c r="AK27697" s="831">
        <v>124206790</v>
      </c>
    </row>
    <row r="27698" spans="32:37">
      <c r="AF27698" s="831" t="s">
        <v>11437</v>
      </c>
      <c r="AG27698" s="831" t="s">
        <v>2674</v>
      </c>
      <c r="AH27698" s="831" t="s">
        <v>562</v>
      </c>
      <c r="AI27698" s="831">
        <v>0</v>
      </c>
      <c r="AJ27698" s="835">
        <v>41759</v>
      </c>
      <c r="AK27698" s="831">
        <v>0.78374999999999995</v>
      </c>
    </row>
    <row r="27699" spans="32:37">
      <c r="AF27699" s="831" t="s">
        <v>11438</v>
      </c>
      <c r="AG27699" s="831" t="s">
        <v>2674</v>
      </c>
      <c r="AH27699" s="831" t="s">
        <v>2698</v>
      </c>
      <c r="AI27699" s="831">
        <v>0</v>
      </c>
      <c r="AJ27699" s="835">
        <v>41759</v>
      </c>
      <c r="AK27699" s="831">
        <v>0.78374999999999995</v>
      </c>
    </row>
    <row r="27700" spans="32:37">
      <c r="AF27700" s="831" t="s">
        <v>11439</v>
      </c>
      <c r="AG27700" s="831" t="s">
        <v>2674</v>
      </c>
      <c r="AH27700" s="831" t="s">
        <v>560</v>
      </c>
      <c r="AI27700" s="831">
        <v>0</v>
      </c>
      <c r="AJ27700" s="835">
        <v>41759</v>
      </c>
      <c r="AK27700" s="831">
        <v>0.78374999999999995</v>
      </c>
    </row>
    <row r="27701" spans="32:37">
      <c r="AF27701" s="831" t="s">
        <v>11440</v>
      </c>
      <c r="AG27701" s="831" t="s">
        <v>2674</v>
      </c>
      <c r="AH27701" s="831" t="s">
        <v>559</v>
      </c>
      <c r="AI27701" s="831">
        <v>0</v>
      </c>
      <c r="AJ27701" s="835">
        <v>41759</v>
      </c>
      <c r="AK27701" s="831">
        <v>0.78380833333333344</v>
      </c>
    </row>
    <row r="27702" spans="32:37">
      <c r="AF27702" s="831" t="s">
        <v>11441</v>
      </c>
      <c r="AG27702" s="831" t="s">
        <v>2674</v>
      </c>
      <c r="AH27702" s="831" t="s">
        <v>568</v>
      </c>
      <c r="AI27702" s="831">
        <v>0</v>
      </c>
      <c r="AJ27702" s="835">
        <v>41759</v>
      </c>
      <c r="AK27702" s="831">
        <v>584407506.61153841</v>
      </c>
    </row>
    <row r="27703" spans="32:37">
      <c r="AF27703" s="831" t="s">
        <v>11442</v>
      </c>
      <c r="AG27703" s="831" t="s">
        <v>2674</v>
      </c>
      <c r="AH27703" s="831" t="s">
        <v>569</v>
      </c>
      <c r="AI27703" s="831">
        <v>0</v>
      </c>
      <c r="AJ27703" s="835">
        <v>41759</v>
      </c>
      <c r="AK27703" s="831">
        <v>716419184.74253845</v>
      </c>
    </row>
    <row r="27704" spans="32:37">
      <c r="AF27704" s="831" t="s">
        <v>11443</v>
      </c>
      <c r="AG27704" s="831" t="s">
        <v>2674</v>
      </c>
      <c r="AH27704" s="831" t="s">
        <v>570</v>
      </c>
      <c r="AI27704" s="831">
        <v>0</v>
      </c>
      <c r="AJ27704" s="835">
        <v>41759</v>
      </c>
      <c r="AK27704" s="831">
        <v>115811919.75123075</v>
      </c>
    </row>
    <row r="27705" spans="32:37">
      <c r="AF27705" s="831" t="s">
        <v>11444</v>
      </c>
      <c r="AG27705" s="831" t="s">
        <v>2674</v>
      </c>
      <c r="AH27705" s="831" t="s">
        <v>571</v>
      </c>
      <c r="AI27705" s="831">
        <v>0</v>
      </c>
      <c r="AJ27705" s="835">
        <v>41759</v>
      </c>
      <c r="AK27705" s="831">
        <v>346424029.66715389</v>
      </c>
    </row>
    <row r="27706" spans="32:37">
      <c r="AF27706" s="831" t="s">
        <v>11445</v>
      </c>
      <c r="AG27706" s="831" t="s">
        <v>2674</v>
      </c>
      <c r="AH27706" s="831" t="s">
        <v>573</v>
      </c>
      <c r="AI27706" s="831">
        <v>0</v>
      </c>
      <c r="AJ27706" s="835">
        <v>41759</v>
      </c>
      <c r="AK27706" s="831">
        <v>806845862.3125999</v>
      </c>
    </row>
    <row r="27707" spans="32:37">
      <c r="AF27707" s="831" t="s">
        <v>11446</v>
      </c>
      <c r="AG27707" s="831" t="s">
        <v>2674</v>
      </c>
      <c r="AH27707" s="831" t="s">
        <v>574</v>
      </c>
      <c r="AI27707" s="831">
        <v>0</v>
      </c>
      <c r="AJ27707" s="835">
        <v>41759</v>
      </c>
      <c r="AK27707" s="831">
        <v>655215203.79999995</v>
      </c>
    </row>
    <row r="27708" spans="32:37">
      <c r="AF27708" s="831" t="s">
        <v>11447</v>
      </c>
      <c r="AG27708" s="831" t="s">
        <v>2674</v>
      </c>
      <c r="AH27708" s="831" t="s">
        <v>575</v>
      </c>
      <c r="AI27708" s="831">
        <v>0</v>
      </c>
      <c r="AJ27708" s="835">
        <v>41759</v>
      </c>
      <c r="AK27708" s="831">
        <v>120634686.182</v>
      </c>
    </row>
    <row r="27709" spans="32:37">
      <c r="AF27709" s="831" t="s">
        <v>11448</v>
      </c>
      <c r="AG27709" s="831" t="s">
        <v>2674</v>
      </c>
      <c r="AH27709" s="831" t="s">
        <v>576</v>
      </c>
      <c r="AI27709" s="831">
        <v>0</v>
      </c>
      <c r="AJ27709" s="835">
        <v>41759</v>
      </c>
      <c r="AK27709" s="831">
        <v>395052602.12220001</v>
      </c>
    </row>
    <row r="27710" spans="32:37">
      <c r="AF27710" s="831" t="s">
        <v>11449</v>
      </c>
      <c r="AG27710" s="831" t="s">
        <v>2674</v>
      </c>
      <c r="AH27710" s="831" t="s">
        <v>572</v>
      </c>
      <c r="AI27710" s="831">
        <v>0</v>
      </c>
      <c r="AJ27710" s="835">
        <v>41759</v>
      </c>
      <c r="AK27710" s="831">
        <v>30512730.956000008</v>
      </c>
    </row>
    <row r="27711" spans="32:37">
      <c r="AF27711" s="831" t="s">
        <v>11450</v>
      </c>
      <c r="AG27711" s="831" t="s">
        <v>2674</v>
      </c>
      <c r="AH27711" s="831" t="s">
        <v>577</v>
      </c>
      <c r="AI27711" s="831">
        <v>0</v>
      </c>
      <c r="AJ27711" s="835">
        <v>41759</v>
      </c>
      <c r="AK27711" s="831">
        <v>146415910.76300001</v>
      </c>
    </row>
    <row r="27712" spans="32:37">
      <c r="AF27712" s="831" t="s">
        <v>11451</v>
      </c>
      <c r="AG27712" s="831" t="s">
        <v>2674</v>
      </c>
      <c r="AH27712" s="831" t="s">
        <v>3042</v>
      </c>
      <c r="AI27712" s="831">
        <v>0</v>
      </c>
      <c r="AJ27712" s="835">
        <v>41759</v>
      </c>
      <c r="AK27712" s="831">
        <v>-40083828.527000003</v>
      </c>
    </row>
    <row r="27713" spans="32:37">
      <c r="AF27713" s="831" t="s">
        <v>11452</v>
      </c>
      <c r="AG27713" s="831" t="s">
        <v>2674</v>
      </c>
      <c r="AH27713" s="831" t="s">
        <v>3044</v>
      </c>
      <c r="AI27713" s="831">
        <v>0</v>
      </c>
      <c r="AJ27713" s="835">
        <v>41759</v>
      </c>
      <c r="AK27713" s="831">
        <v>-3325177.8899999997</v>
      </c>
    </row>
    <row r="27714" spans="32:37">
      <c r="AF27714" s="831" t="s">
        <v>11453</v>
      </c>
      <c r="AG27714" s="831" t="s">
        <v>2674</v>
      </c>
      <c r="AH27714" s="831" t="s">
        <v>580</v>
      </c>
      <c r="AI27714" s="831">
        <v>0</v>
      </c>
      <c r="AJ27714" s="835">
        <v>41759</v>
      </c>
      <c r="AK27714" s="831">
        <v>-68772047.306999996</v>
      </c>
    </row>
    <row r="27715" spans="32:37">
      <c r="AF27715" s="831" t="s">
        <v>11454</v>
      </c>
      <c r="AG27715" s="831" t="s">
        <v>2674</v>
      </c>
      <c r="AH27715" s="831" t="s">
        <v>581</v>
      </c>
      <c r="AI27715" s="831">
        <v>0</v>
      </c>
      <c r="AJ27715" s="835">
        <v>41759</v>
      </c>
      <c r="AK27715" s="831">
        <v>5605173.8940000003</v>
      </c>
    </row>
    <row r="27716" spans="32:37">
      <c r="AF27716" s="831" t="s">
        <v>11455</v>
      </c>
      <c r="AG27716" s="831" t="s">
        <v>2674</v>
      </c>
      <c r="AH27716" s="831" t="s">
        <v>105</v>
      </c>
      <c r="AI27716" s="831">
        <v>0</v>
      </c>
      <c r="AJ27716" s="835">
        <v>41759</v>
      </c>
      <c r="AK27716" s="831">
        <v>408959601</v>
      </c>
    </row>
    <row r="27717" spans="32:37">
      <c r="AF27717" s="831" t="s">
        <v>11456</v>
      </c>
      <c r="AG27717" s="831" t="s">
        <v>2674</v>
      </c>
      <c r="AH27717" s="831" t="s">
        <v>3049</v>
      </c>
      <c r="AI27717" s="831">
        <v>0</v>
      </c>
      <c r="AJ27717" s="835">
        <v>41759</v>
      </c>
      <c r="AK27717" s="831">
        <v>692167557</v>
      </c>
    </row>
    <row r="27718" spans="32:37">
      <c r="AF27718" s="831" t="s">
        <v>11457</v>
      </c>
      <c r="AG27718" s="831" t="s">
        <v>2674</v>
      </c>
      <c r="AH27718" s="831" t="s">
        <v>103</v>
      </c>
      <c r="AI27718" s="831">
        <v>0</v>
      </c>
      <c r="AJ27718" s="835">
        <v>41759</v>
      </c>
      <c r="AK27718" s="831">
        <v>283207956</v>
      </c>
    </row>
    <row r="27719" spans="32:37">
      <c r="AF27719" s="831" t="s">
        <v>11458</v>
      </c>
      <c r="AG27719" s="831" t="s">
        <v>2674</v>
      </c>
      <c r="AH27719" s="831" t="s">
        <v>182</v>
      </c>
      <c r="AI27719" s="831">
        <v>0</v>
      </c>
      <c r="AJ27719" s="835">
        <v>41759</v>
      </c>
      <c r="AK27719" s="831">
        <v>69513741</v>
      </c>
    </row>
    <row r="27720" spans="32:37">
      <c r="AF27720" s="831" t="s">
        <v>11459</v>
      </c>
      <c r="AG27720" s="831" t="s">
        <v>2674</v>
      </c>
      <c r="AH27720" s="831" t="s">
        <v>6600</v>
      </c>
      <c r="AI27720" s="831">
        <v>0</v>
      </c>
      <c r="AJ27720" s="835">
        <v>41759</v>
      </c>
      <c r="AK27720" s="831">
        <v>30512730.956000008</v>
      </c>
    </row>
    <row r="27721" spans="32:37">
      <c r="AF27721" s="831" t="s">
        <v>11460</v>
      </c>
      <c r="AG27721" s="831" t="s">
        <v>2674</v>
      </c>
      <c r="AH27721" s="831" t="s">
        <v>6602</v>
      </c>
      <c r="AI27721" s="831">
        <v>0</v>
      </c>
      <c r="AJ27721" s="835">
        <v>41759</v>
      </c>
      <c r="AK27721" s="831">
        <v>11900832</v>
      </c>
    </row>
    <row r="27722" spans="32:37">
      <c r="AF27722" s="831" t="s">
        <v>11461</v>
      </c>
      <c r="AG27722" s="831" t="s">
        <v>2674</v>
      </c>
      <c r="AH27722" s="831" t="s">
        <v>650</v>
      </c>
      <c r="AI27722" s="831">
        <v>0</v>
      </c>
      <c r="AJ27722" s="835">
        <v>41759</v>
      </c>
      <c r="AK27722" s="831">
        <v>234971386.50146157</v>
      </c>
    </row>
    <row r="27723" spans="32:37">
      <c r="AF27723" s="831" t="s">
        <v>11462</v>
      </c>
      <c r="AG27723" s="831" t="s">
        <v>2674</v>
      </c>
      <c r="AH27723" s="831" t="s">
        <v>655</v>
      </c>
      <c r="AI27723" s="831">
        <v>0</v>
      </c>
      <c r="AJ27723" s="835">
        <v>41759</v>
      </c>
      <c r="AK27723" s="831">
        <v>1842214</v>
      </c>
    </row>
    <row r="27724" spans="32:37">
      <c r="AF27724" s="831" t="s">
        <v>11463</v>
      </c>
      <c r="AG27724" s="831" t="s">
        <v>2674</v>
      </c>
      <c r="AH27724" s="831" t="s">
        <v>546</v>
      </c>
      <c r="AI27724" s="831">
        <v>0</v>
      </c>
      <c r="AJ27724" s="835">
        <v>41790</v>
      </c>
      <c r="AK27724" s="831">
        <v>718268239</v>
      </c>
    </row>
    <row r="27725" spans="32:37">
      <c r="AF27725" s="831" t="s">
        <v>11464</v>
      </c>
      <c r="AG27725" s="831" t="s">
        <v>2674</v>
      </c>
      <c r="AH27725" s="831" t="s">
        <v>370</v>
      </c>
      <c r="AI27725" s="831">
        <v>0</v>
      </c>
      <c r="AJ27725" s="835">
        <v>41790</v>
      </c>
      <c r="AK27725" s="831">
        <v>862492850</v>
      </c>
    </row>
    <row r="27726" spans="32:37">
      <c r="AF27726" s="831" t="s">
        <v>11465</v>
      </c>
      <c r="AG27726" s="831" t="s">
        <v>2674</v>
      </c>
      <c r="AH27726" s="831" t="s">
        <v>126</v>
      </c>
      <c r="AI27726" s="831">
        <v>0</v>
      </c>
      <c r="AJ27726" s="835">
        <v>41790</v>
      </c>
      <c r="AK27726" s="831">
        <v>131163748</v>
      </c>
    </row>
    <row r="27727" spans="32:37">
      <c r="AF27727" s="831" t="s">
        <v>11466</v>
      </c>
      <c r="AG27727" s="831" t="s">
        <v>2674</v>
      </c>
      <c r="AH27727" s="831" t="s">
        <v>268</v>
      </c>
      <c r="AI27727" s="831">
        <v>0</v>
      </c>
      <c r="AJ27727" s="835">
        <v>41790</v>
      </c>
      <c r="AK27727" s="831">
        <v>15708716</v>
      </c>
    </row>
    <row r="27728" spans="32:37">
      <c r="AF27728" s="831" t="s">
        <v>11467</v>
      </c>
      <c r="AG27728" s="831" t="s">
        <v>2674</v>
      </c>
      <c r="AH27728" s="831" t="s">
        <v>547</v>
      </c>
      <c r="AI27728" s="831">
        <v>0</v>
      </c>
      <c r="AJ27728" s="835">
        <v>41790</v>
      </c>
      <c r="AK27728" s="831">
        <v>777719977</v>
      </c>
    </row>
    <row r="27729" spans="32:37">
      <c r="AF27729" s="831" t="s">
        <v>11468</v>
      </c>
      <c r="AG27729" s="831" t="s">
        <v>2674</v>
      </c>
      <c r="AH27729" s="831" t="s">
        <v>548</v>
      </c>
      <c r="AI27729" s="831">
        <v>0</v>
      </c>
      <c r="AJ27729" s="835">
        <v>41790</v>
      </c>
      <c r="AK27729" s="831">
        <v>117105496</v>
      </c>
    </row>
    <row r="27730" spans="32:37">
      <c r="AF27730" s="831" t="s">
        <v>11469</v>
      </c>
      <c r="AG27730" s="831" t="s">
        <v>2674</v>
      </c>
      <c r="AH27730" s="831" t="s">
        <v>549</v>
      </c>
      <c r="AI27730" s="831">
        <v>0</v>
      </c>
      <c r="AJ27730" s="835">
        <v>41790</v>
      </c>
      <c r="AK27730" s="831">
        <v>505264542</v>
      </c>
    </row>
    <row r="27731" spans="32:37">
      <c r="AF27731" s="831" t="s">
        <v>11470</v>
      </c>
      <c r="AG27731" s="831" t="s">
        <v>2674</v>
      </c>
      <c r="AH27731" s="831" t="s">
        <v>192</v>
      </c>
      <c r="AI27731" s="831">
        <v>0</v>
      </c>
      <c r="AJ27731" s="835">
        <v>41790</v>
      </c>
      <c r="AK27731" s="831">
        <v>-13258185</v>
      </c>
    </row>
    <row r="27732" spans="32:37">
      <c r="AF27732" s="831" t="s">
        <v>11471</v>
      </c>
      <c r="AG27732" s="831" t="s">
        <v>2674</v>
      </c>
      <c r="AH27732" s="831" t="s">
        <v>558</v>
      </c>
      <c r="AI27732" s="831">
        <v>0</v>
      </c>
      <c r="AJ27732" s="835">
        <v>41790</v>
      </c>
      <c r="AK27732" s="831">
        <v>731329102</v>
      </c>
    </row>
    <row r="27733" spans="32:37">
      <c r="AF27733" s="831" t="s">
        <v>11472</v>
      </c>
      <c r="AG27733" s="831" t="s">
        <v>2674</v>
      </c>
      <c r="AH27733" s="831" t="s">
        <v>65</v>
      </c>
      <c r="AI27733" s="831">
        <v>0</v>
      </c>
      <c r="AJ27733" s="835">
        <v>41790</v>
      </c>
      <c r="AK27733" s="831">
        <v>66573989</v>
      </c>
    </row>
    <row r="27734" spans="32:37">
      <c r="AF27734" s="831" t="s">
        <v>11473</v>
      </c>
      <c r="AG27734" s="831" t="s">
        <v>2674</v>
      </c>
      <c r="AH27734" s="831" t="s">
        <v>89</v>
      </c>
      <c r="AI27734" s="831">
        <v>0</v>
      </c>
      <c r="AJ27734" s="835">
        <v>41790</v>
      </c>
      <c r="AK27734" s="831">
        <v>156336</v>
      </c>
    </row>
    <row r="27735" spans="32:37">
      <c r="AF27735" s="831" t="s">
        <v>11474</v>
      </c>
      <c r="AG27735" s="831" t="s">
        <v>2674</v>
      </c>
      <c r="AH27735" s="831" t="s">
        <v>557</v>
      </c>
      <c r="AI27735" s="831">
        <v>0</v>
      </c>
      <c r="AJ27735" s="835">
        <v>41790</v>
      </c>
      <c r="AK27735" s="831">
        <v>174602</v>
      </c>
    </row>
    <row r="27736" spans="32:37">
      <c r="AF27736" s="831" t="s">
        <v>11475</v>
      </c>
      <c r="AG27736" s="831" t="s">
        <v>2674</v>
      </c>
      <c r="AH27736" s="831" t="s">
        <v>29</v>
      </c>
      <c r="AI27736" s="831">
        <v>0</v>
      </c>
      <c r="AJ27736" s="835">
        <v>41790</v>
      </c>
      <c r="AK27736" s="831">
        <v>2450103.0319999997</v>
      </c>
    </row>
    <row r="27737" spans="32:37">
      <c r="AF27737" s="831" t="s">
        <v>11476</v>
      </c>
      <c r="AG27737" s="831" t="s">
        <v>2674</v>
      </c>
      <c r="AH27737" s="831" t="s">
        <v>2688</v>
      </c>
      <c r="AI27737" s="831">
        <v>0</v>
      </c>
      <c r="AJ27737" s="835">
        <v>41790</v>
      </c>
      <c r="AK27737" s="831">
        <v>4770534.2300000004</v>
      </c>
    </row>
    <row r="27738" spans="32:37">
      <c r="AF27738" s="831" t="s">
        <v>11477</v>
      </c>
      <c r="AG27738" s="831" t="s">
        <v>2674</v>
      </c>
      <c r="AH27738" s="831" t="s">
        <v>556</v>
      </c>
      <c r="AI27738" s="831">
        <v>0</v>
      </c>
      <c r="AJ27738" s="835">
        <v>41790</v>
      </c>
      <c r="AK27738" s="831">
        <v>1644732</v>
      </c>
    </row>
    <row r="27739" spans="32:37">
      <c r="AF27739" s="831" t="s">
        <v>11478</v>
      </c>
      <c r="AG27739" s="831" t="s">
        <v>2674</v>
      </c>
      <c r="AH27739" s="831" t="s">
        <v>555</v>
      </c>
      <c r="AI27739" s="831">
        <v>0</v>
      </c>
      <c r="AJ27739" s="835">
        <v>41790</v>
      </c>
      <c r="AK27739" s="831">
        <v>468159807</v>
      </c>
    </row>
    <row r="27740" spans="32:37">
      <c r="AF27740" s="831" t="s">
        <v>11479</v>
      </c>
      <c r="AG27740" s="831" t="s">
        <v>2674</v>
      </c>
      <c r="AH27740" s="831" t="s">
        <v>554</v>
      </c>
      <c r="AI27740" s="831">
        <v>0</v>
      </c>
      <c r="AJ27740" s="835">
        <v>41790</v>
      </c>
      <c r="AK27740" s="831">
        <v>476165900</v>
      </c>
    </row>
    <row r="27741" spans="32:37">
      <c r="AF27741" s="831" t="s">
        <v>11480</v>
      </c>
      <c r="AG27741" s="831" t="s">
        <v>2674</v>
      </c>
      <c r="AH27741" s="831" t="s">
        <v>553</v>
      </c>
      <c r="AI27741" s="831">
        <v>0</v>
      </c>
      <c r="AJ27741" s="835">
        <v>41790</v>
      </c>
      <c r="AK27741" s="831">
        <v>0</v>
      </c>
    </row>
    <row r="27742" spans="32:37">
      <c r="AF27742" s="831" t="s">
        <v>11481</v>
      </c>
      <c r="AG27742" s="831" t="s">
        <v>2674</v>
      </c>
      <c r="AH27742" s="831" t="s">
        <v>552</v>
      </c>
      <c r="AI27742" s="831">
        <v>0</v>
      </c>
      <c r="AJ27742" s="835">
        <v>41790</v>
      </c>
      <c r="AK27742" s="831">
        <v>0</v>
      </c>
    </row>
    <row r="27743" spans="32:37">
      <c r="AF27743" s="831" t="s">
        <v>11482</v>
      </c>
      <c r="AG27743" s="831" t="s">
        <v>2674</v>
      </c>
      <c r="AH27743" s="831" t="s">
        <v>551</v>
      </c>
      <c r="AI27743" s="831">
        <v>0</v>
      </c>
      <c r="AJ27743" s="835">
        <v>41790</v>
      </c>
      <c r="AK27743" s="831">
        <v>2150143.8450000002</v>
      </c>
    </row>
    <row r="27744" spans="32:37">
      <c r="AF27744" s="831" t="s">
        <v>11483</v>
      </c>
      <c r="AG27744" s="831" t="s">
        <v>2674</v>
      </c>
      <c r="AH27744" s="831" t="s">
        <v>550</v>
      </c>
      <c r="AI27744" s="831">
        <v>0</v>
      </c>
      <c r="AJ27744" s="835">
        <v>41790</v>
      </c>
      <c r="AK27744" s="831">
        <v>127155751</v>
      </c>
    </row>
    <row r="27745" spans="32:37">
      <c r="AF27745" s="831" t="s">
        <v>11484</v>
      </c>
      <c r="AG27745" s="831" t="s">
        <v>2674</v>
      </c>
      <c r="AH27745" s="831" t="s">
        <v>562</v>
      </c>
      <c r="AI27745" s="831">
        <v>0</v>
      </c>
      <c r="AJ27745" s="835">
        <v>41790</v>
      </c>
      <c r="AK27745" s="831">
        <v>0.78385000000000005</v>
      </c>
    </row>
    <row r="27746" spans="32:37">
      <c r="AF27746" s="831" t="s">
        <v>11485</v>
      </c>
      <c r="AG27746" s="831" t="s">
        <v>2674</v>
      </c>
      <c r="AH27746" s="831" t="s">
        <v>2698</v>
      </c>
      <c r="AI27746" s="831">
        <v>0</v>
      </c>
      <c r="AJ27746" s="835">
        <v>41790</v>
      </c>
      <c r="AK27746" s="831">
        <v>0.78374999999999995</v>
      </c>
    </row>
    <row r="27747" spans="32:37">
      <c r="AF27747" s="831" t="s">
        <v>11486</v>
      </c>
      <c r="AG27747" s="831" t="s">
        <v>2674</v>
      </c>
      <c r="AH27747" s="831" t="s">
        <v>560</v>
      </c>
      <c r="AI27747" s="831">
        <v>0</v>
      </c>
      <c r="AJ27747" s="835">
        <v>41790</v>
      </c>
      <c r="AK27747" s="831">
        <v>0.78376999999999997</v>
      </c>
    </row>
    <row r="27748" spans="32:37">
      <c r="AF27748" s="831" t="s">
        <v>11487</v>
      </c>
      <c r="AG27748" s="831" t="s">
        <v>2674</v>
      </c>
      <c r="AH27748" s="831" t="s">
        <v>559</v>
      </c>
      <c r="AI27748" s="831">
        <v>0</v>
      </c>
      <c r="AJ27748" s="835">
        <v>41790</v>
      </c>
      <c r="AK27748" s="831">
        <v>0.78379166666666666</v>
      </c>
    </row>
    <row r="27749" spans="32:37">
      <c r="AF27749" s="831" t="s">
        <v>11488</v>
      </c>
      <c r="AG27749" s="831" t="s">
        <v>2674</v>
      </c>
      <c r="AH27749" s="831" t="s">
        <v>568</v>
      </c>
      <c r="AI27749" s="831">
        <v>0</v>
      </c>
      <c r="AJ27749" s="835">
        <v>41790</v>
      </c>
      <c r="AK27749" s="831">
        <v>602753430.99615383</v>
      </c>
    </row>
    <row r="27750" spans="32:37">
      <c r="AF27750" s="831" t="s">
        <v>11489</v>
      </c>
      <c r="AG27750" s="831" t="s">
        <v>2674</v>
      </c>
      <c r="AH27750" s="831" t="s">
        <v>569</v>
      </c>
      <c r="AI27750" s="831">
        <v>0</v>
      </c>
      <c r="AJ27750" s="835">
        <v>41790</v>
      </c>
      <c r="AK27750" s="831">
        <v>739200989.8963846</v>
      </c>
    </row>
    <row r="27751" spans="32:37">
      <c r="AF27751" s="831" t="s">
        <v>11490</v>
      </c>
      <c r="AG27751" s="831" t="s">
        <v>2674</v>
      </c>
      <c r="AH27751" s="831" t="s">
        <v>570</v>
      </c>
      <c r="AI27751" s="831">
        <v>0</v>
      </c>
      <c r="AJ27751" s="835">
        <v>41790</v>
      </c>
      <c r="AK27751" s="831">
        <v>117953141.44353844</v>
      </c>
    </row>
    <row r="27752" spans="32:37">
      <c r="AF27752" s="831" t="s">
        <v>11491</v>
      </c>
      <c r="AG27752" s="831" t="s">
        <v>2674</v>
      </c>
      <c r="AH27752" s="831" t="s">
        <v>571</v>
      </c>
      <c r="AI27752" s="831">
        <v>0</v>
      </c>
      <c r="AJ27752" s="835">
        <v>41790</v>
      </c>
      <c r="AK27752" s="831">
        <v>358988619.82100004</v>
      </c>
    </row>
    <row r="27753" spans="32:37">
      <c r="AF27753" s="831" t="s">
        <v>11492</v>
      </c>
      <c r="AG27753" s="831" t="s">
        <v>2674</v>
      </c>
      <c r="AH27753" s="831" t="s">
        <v>573</v>
      </c>
      <c r="AI27753" s="831">
        <v>0</v>
      </c>
      <c r="AJ27753" s="835">
        <v>41790</v>
      </c>
      <c r="AK27753" s="831">
        <v>816120360.26049995</v>
      </c>
    </row>
    <row r="27754" spans="32:37">
      <c r="AF27754" s="831" t="s">
        <v>11493</v>
      </c>
      <c r="AG27754" s="831" t="s">
        <v>2674</v>
      </c>
      <c r="AH27754" s="831" t="s">
        <v>574</v>
      </c>
      <c r="AI27754" s="831">
        <v>0</v>
      </c>
      <c r="AJ27754" s="835">
        <v>41790</v>
      </c>
      <c r="AK27754" s="831">
        <v>665724043</v>
      </c>
    </row>
    <row r="27755" spans="32:37">
      <c r="AF27755" s="831" t="s">
        <v>11494</v>
      </c>
      <c r="AG27755" s="831" t="s">
        <v>2674</v>
      </c>
      <c r="AH27755" s="831" t="s">
        <v>575</v>
      </c>
      <c r="AI27755" s="831">
        <v>0</v>
      </c>
      <c r="AJ27755" s="835">
        <v>41790</v>
      </c>
      <c r="AK27755" s="831">
        <v>122389529.81833333</v>
      </c>
    </row>
    <row r="27756" spans="32:37">
      <c r="AF27756" s="831" t="s">
        <v>11495</v>
      </c>
      <c r="AG27756" s="831" t="s">
        <v>2674</v>
      </c>
      <c r="AH27756" s="831" t="s">
        <v>576</v>
      </c>
      <c r="AI27756" s="831">
        <v>0</v>
      </c>
      <c r="AJ27756" s="835">
        <v>41790</v>
      </c>
      <c r="AK27756" s="831">
        <v>399225453.60183334</v>
      </c>
    </row>
    <row r="27757" spans="32:37">
      <c r="AF27757" s="831" t="s">
        <v>11496</v>
      </c>
      <c r="AG27757" s="831" t="s">
        <v>2674</v>
      </c>
      <c r="AH27757" s="831" t="s">
        <v>572</v>
      </c>
      <c r="AI27757" s="831">
        <v>0</v>
      </c>
      <c r="AJ27757" s="835">
        <v>41790</v>
      </c>
      <c r="AK27757" s="831">
        <v>31997124.956000008</v>
      </c>
    </row>
    <row r="27758" spans="32:37">
      <c r="AF27758" s="831" t="s">
        <v>11497</v>
      </c>
      <c r="AG27758" s="831" t="s">
        <v>2674</v>
      </c>
      <c r="AH27758" s="831" t="s">
        <v>577</v>
      </c>
      <c r="AI27758" s="831">
        <v>0</v>
      </c>
      <c r="AJ27758" s="835">
        <v>41790</v>
      </c>
      <c r="AK27758" s="831">
        <v>149793646.76300001</v>
      </c>
    </row>
    <row r="27759" spans="32:37">
      <c r="AF27759" s="831" t="s">
        <v>11498</v>
      </c>
      <c r="AG27759" s="831" t="s">
        <v>2674</v>
      </c>
      <c r="AH27759" s="831" t="s">
        <v>3042</v>
      </c>
      <c r="AI27759" s="831">
        <v>0</v>
      </c>
      <c r="AJ27759" s="835">
        <v>41790</v>
      </c>
      <c r="AK27759" s="831">
        <v>-41488938.527000003</v>
      </c>
    </row>
    <row r="27760" spans="32:37">
      <c r="AF27760" s="831" t="s">
        <v>11499</v>
      </c>
      <c r="AG27760" s="831" t="s">
        <v>2674</v>
      </c>
      <c r="AH27760" s="831" t="s">
        <v>3044</v>
      </c>
      <c r="AI27760" s="831">
        <v>0</v>
      </c>
      <c r="AJ27760" s="835">
        <v>41790</v>
      </c>
      <c r="AK27760" s="831">
        <v>-2734199.8899999997</v>
      </c>
    </row>
    <row r="27761" spans="32:37">
      <c r="AF27761" s="831" t="s">
        <v>11500</v>
      </c>
      <c r="AG27761" s="831" t="s">
        <v>2674</v>
      </c>
      <c r="AH27761" s="831" t="s">
        <v>580</v>
      </c>
      <c r="AI27761" s="831">
        <v>0</v>
      </c>
      <c r="AJ27761" s="835">
        <v>41790</v>
      </c>
      <c r="AK27761" s="831">
        <v>-69707657.306999996</v>
      </c>
    </row>
    <row r="27762" spans="32:37">
      <c r="AF27762" s="831" t="s">
        <v>11501</v>
      </c>
      <c r="AG27762" s="831" t="s">
        <v>2674</v>
      </c>
      <c r="AH27762" s="831" t="s">
        <v>581</v>
      </c>
      <c r="AI27762" s="831">
        <v>0</v>
      </c>
      <c r="AJ27762" s="835">
        <v>41790</v>
      </c>
      <c r="AK27762" s="831">
        <v>5958727.8940000003</v>
      </c>
    </row>
    <row r="27763" spans="32:37">
      <c r="AF27763" s="831" t="s">
        <v>11502</v>
      </c>
      <c r="AG27763" s="831" t="s">
        <v>2674</v>
      </c>
      <c r="AH27763" s="831" t="s">
        <v>105</v>
      </c>
      <c r="AI27763" s="831">
        <v>0</v>
      </c>
      <c r="AJ27763" s="835">
        <v>41790</v>
      </c>
      <c r="AK27763" s="831">
        <v>420089711</v>
      </c>
    </row>
    <row r="27764" spans="32:37">
      <c r="AF27764" s="831" t="s">
        <v>11503</v>
      </c>
      <c r="AG27764" s="831" t="s">
        <v>2674</v>
      </c>
      <c r="AH27764" s="831" t="s">
        <v>3049</v>
      </c>
      <c r="AI27764" s="831">
        <v>0</v>
      </c>
      <c r="AJ27764" s="835">
        <v>41790</v>
      </c>
      <c r="AK27764" s="831">
        <v>709561626</v>
      </c>
    </row>
    <row r="27765" spans="32:37">
      <c r="AF27765" s="831" t="s">
        <v>11504</v>
      </c>
      <c r="AG27765" s="831" t="s">
        <v>2674</v>
      </c>
      <c r="AH27765" s="831" t="s">
        <v>103</v>
      </c>
      <c r="AI27765" s="831">
        <v>0</v>
      </c>
      <c r="AJ27765" s="835">
        <v>41790</v>
      </c>
      <c r="AK27765" s="831">
        <v>289471915</v>
      </c>
    </row>
    <row r="27766" spans="32:37">
      <c r="AF27766" s="831" t="s">
        <v>11505</v>
      </c>
      <c r="AG27766" s="831" t="s">
        <v>2674</v>
      </c>
      <c r="AH27766" s="831" t="s">
        <v>182</v>
      </c>
      <c r="AI27766" s="831">
        <v>0</v>
      </c>
      <c r="AJ27766" s="835">
        <v>41790</v>
      </c>
      <c r="AK27766" s="831">
        <v>69984388.799999997</v>
      </c>
    </row>
    <row r="27767" spans="32:37">
      <c r="AF27767" s="831" t="s">
        <v>11506</v>
      </c>
      <c r="AG27767" s="831" t="s">
        <v>2674</v>
      </c>
      <c r="AH27767" s="831" t="s">
        <v>6600</v>
      </c>
      <c r="AI27767" s="831">
        <v>0</v>
      </c>
      <c r="AJ27767" s="835">
        <v>41790</v>
      </c>
      <c r="AK27767" s="831">
        <v>31997124.956000008</v>
      </c>
    </row>
    <row r="27768" spans="32:37">
      <c r="AF27768" s="831" t="s">
        <v>11507</v>
      </c>
      <c r="AG27768" s="831" t="s">
        <v>2674</v>
      </c>
      <c r="AH27768" s="831" t="s">
        <v>6602</v>
      </c>
      <c r="AI27768" s="831">
        <v>0</v>
      </c>
      <c r="AJ27768" s="835">
        <v>41790</v>
      </c>
      <c r="AK27768" s="831">
        <v>15708716</v>
      </c>
    </row>
    <row r="27769" spans="32:37">
      <c r="AF27769" s="831" t="s">
        <v>11508</v>
      </c>
      <c r="AG27769" s="831" t="s">
        <v>2674</v>
      </c>
      <c r="AH27769" s="831" t="s">
        <v>650</v>
      </c>
      <c r="AI27769" s="831">
        <v>0</v>
      </c>
      <c r="AJ27769" s="835">
        <v>41790</v>
      </c>
      <c r="AK27769" s="831">
        <v>242496217.73223078</v>
      </c>
    </row>
    <row r="27770" spans="32:37">
      <c r="AF27770" s="831" t="s">
        <v>11509</v>
      </c>
      <c r="AG27770" s="831" t="s">
        <v>2674</v>
      </c>
      <c r="AH27770" s="831" t="s">
        <v>655</v>
      </c>
      <c r="AI27770" s="831">
        <v>0</v>
      </c>
      <c r="AJ27770" s="835">
        <v>41790</v>
      </c>
      <c r="AK27770" s="831">
        <v>1936751.44</v>
      </c>
    </row>
    <row r="27771" spans="32:37">
      <c r="AF27771" s="831" t="s">
        <v>11510</v>
      </c>
      <c r="AG27771" s="831" t="s">
        <v>2674</v>
      </c>
      <c r="AH27771" s="831" t="s">
        <v>546</v>
      </c>
      <c r="AI27771" s="831">
        <v>0</v>
      </c>
      <c r="AJ27771" s="835">
        <v>41820</v>
      </c>
      <c r="AK27771" s="831">
        <v>728057591</v>
      </c>
    </row>
    <row r="27772" spans="32:37">
      <c r="AF27772" s="831" t="s">
        <v>11511</v>
      </c>
      <c r="AG27772" s="831" t="s">
        <v>2674</v>
      </c>
      <c r="AH27772" s="831" t="s">
        <v>370</v>
      </c>
      <c r="AI27772" s="831">
        <v>0</v>
      </c>
      <c r="AJ27772" s="835">
        <v>41820</v>
      </c>
      <c r="AK27772" s="831">
        <v>911200946</v>
      </c>
    </row>
    <row r="27773" spans="32:37">
      <c r="AF27773" s="831" t="s">
        <v>11512</v>
      </c>
      <c r="AG27773" s="831" t="s">
        <v>2674</v>
      </c>
      <c r="AH27773" s="831" t="s">
        <v>126</v>
      </c>
      <c r="AI27773" s="831">
        <v>0</v>
      </c>
      <c r="AJ27773" s="835">
        <v>41820</v>
      </c>
      <c r="AK27773" s="831">
        <v>135362821</v>
      </c>
    </row>
    <row r="27774" spans="32:37">
      <c r="AF27774" s="831" t="s">
        <v>11513</v>
      </c>
      <c r="AG27774" s="831" t="s">
        <v>2674</v>
      </c>
      <c r="AH27774" s="831" t="s">
        <v>268</v>
      </c>
      <c r="AI27774" s="831">
        <v>0</v>
      </c>
      <c r="AJ27774" s="835">
        <v>41820</v>
      </c>
      <c r="AK27774" s="831">
        <v>18626919</v>
      </c>
    </row>
    <row r="27775" spans="32:37">
      <c r="AF27775" s="831" t="s">
        <v>11514</v>
      </c>
      <c r="AG27775" s="831" t="s">
        <v>2674</v>
      </c>
      <c r="AH27775" s="831" t="s">
        <v>547</v>
      </c>
      <c r="AI27775" s="831">
        <v>0</v>
      </c>
      <c r="AJ27775" s="835">
        <v>41820</v>
      </c>
      <c r="AK27775" s="831">
        <v>777719977</v>
      </c>
    </row>
    <row r="27776" spans="32:37">
      <c r="AF27776" s="831" t="s">
        <v>11515</v>
      </c>
      <c r="AG27776" s="831" t="s">
        <v>2674</v>
      </c>
      <c r="AH27776" s="831" t="s">
        <v>548</v>
      </c>
      <c r="AI27776" s="831">
        <v>0</v>
      </c>
      <c r="AJ27776" s="835">
        <v>41820</v>
      </c>
      <c r="AK27776" s="831">
        <v>117105496</v>
      </c>
    </row>
    <row r="27777" spans="32:37">
      <c r="AF27777" s="831" t="s">
        <v>11516</v>
      </c>
      <c r="AG27777" s="831" t="s">
        <v>2674</v>
      </c>
      <c r="AH27777" s="831" t="s">
        <v>549</v>
      </c>
      <c r="AI27777" s="831">
        <v>0</v>
      </c>
      <c r="AJ27777" s="835">
        <v>41820</v>
      </c>
      <c r="AK27777" s="831">
        <v>514798833</v>
      </c>
    </row>
    <row r="27778" spans="32:37">
      <c r="AF27778" s="831" t="s">
        <v>11517</v>
      </c>
      <c r="AG27778" s="831" t="s">
        <v>2674</v>
      </c>
      <c r="AH27778" s="831" t="s">
        <v>192</v>
      </c>
      <c r="AI27778" s="831">
        <v>0</v>
      </c>
      <c r="AJ27778" s="835">
        <v>41820</v>
      </c>
      <c r="AK27778" s="831">
        <v>-11632261</v>
      </c>
    </row>
    <row r="27779" spans="32:37">
      <c r="AF27779" s="831" t="s">
        <v>11518</v>
      </c>
      <c r="AG27779" s="831" t="s">
        <v>2674</v>
      </c>
      <c r="AH27779" s="831" t="s">
        <v>558</v>
      </c>
      <c r="AI27779" s="831">
        <v>0</v>
      </c>
      <c r="AJ27779" s="835">
        <v>41820</v>
      </c>
      <c r="AK27779" s="831">
        <v>775838125</v>
      </c>
    </row>
    <row r="27780" spans="32:37">
      <c r="AF27780" s="831" t="s">
        <v>11519</v>
      </c>
      <c r="AG27780" s="831" t="s">
        <v>2674</v>
      </c>
      <c r="AH27780" s="831" t="s">
        <v>65</v>
      </c>
      <c r="AI27780" s="831">
        <v>0</v>
      </c>
      <c r="AJ27780" s="835">
        <v>41820</v>
      </c>
      <c r="AK27780" s="831">
        <v>81270371</v>
      </c>
    </row>
    <row r="27781" spans="32:37">
      <c r="AF27781" s="831" t="s">
        <v>11520</v>
      </c>
      <c r="AG27781" s="831" t="s">
        <v>2674</v>
      </c>
      <c r="AH27781" s="831" t="s">
        <v>89</v>
      </c>
      <c r="AI27781" s="831">
        <v>0</v>
      </c>
      <c r="AJ27781" s="835">
        <v>41820</v>
      </c>
      <c r="AK27781" s="831">
        <v>156581</v>
      </c>
    </row>
    <row r="27782" spans="32:37">
      <c r="AF27782" s="831" t="s">
        <v>11521</v>
      </c>
      <c r="AG27782" s="831" t="s">
        <v>2674</v>
      </c>
      <c r="AH27782" s="831" t="s">
        <v>557</v>
      </c>
      <c r="AI27782" s="831">
        <v>0</v>
      </c>
      <c r="AJ27782" s="835">
        <v>41820</v>
      </c>
      <c r="AK27782" s="831">
        <v>175816</v>
      </c>
    </row>
    <row r="27783" spans="32:37">
      <c r="AF27783" s="831" t="s">
        <v>11522</v>
      </c>
      <c r="AG27783" s="831" t="s">
        <v>2674</v>
      </c>
      <c r="AH27783" s="831" t="s">
        <v>29</v>
      </c>
      <c r="AI27783" s="831">
        <v>0</v>
      </c>
      <c r="AJ27783" s="835">
        <v>41820</v>
      </c>
      <c r="AK27783" s="831">
        <v>1326248.81</v>
      </c>
    </row>
    <row r="27784" spans="32:37">
      <c r="AF27784" s="831" t="s">
        <v>11523</v>
      </c>
      <c r="AG27784" s="831" t="s">
        <v>2674</v>
      </c>
      <c r="AH27784" s="831" t="s">
        <v>2688</v>
      </c>
      <c r="AI27784" s="831">
        <v>0</v>
      </c>
      <c r="AJ27784" s="835">
        <v>41820</v>
      </c>
      <c r="AK27784" s="831">
        <v>4329800.9399999995</v>
      </c>
    </row>
    <row r="27785" spans="32:37">
      <c r="AF27785" s="831" t="s">
        <v>11524</v>
      </c>
      <c r="AG27785" s="831" t="s">
        <v>2674</v>
      </c>
      <c r="AH27785" s="831" t="s">
        <v>556</v>
      </c>
      <c r="AI27785" s="831">
        <v>0</v>
      </c>
      <c r="AJ27785" s="835">
        <v>41820</v>
      </c>
      <c r="AK27785" s="831">
        <v>3274918</v>
      </c>
    </row>
    <row r="27786" spans="32:37">
      <c r="AF27786" s="831" t="s">
        <v>11525</v>
      </c>
      <c r="AG27786" s="831" t="s">
        <v>2674</v>
      </c>
      <c r="AH27786" s="831" t="s">
        <v>555</v>
      </c>
      <c r="AI27786" s="831">
        <v>0</v>
      </c>
      <c r="AJ27786" s="835">
        <v>41820</v>
      </c>
      <c r="AK27786" s="831">
        <v>507133542</v>
      </c>
    </row>
    <row r="27787" spans="32:37">
      <c r="AF27787" s="831" t="s">
        <v>11526</v>
      </c>
      <c r="AG27787" s="831" t="s">
        <v>2674</v>
      </c>
      <c r="AH27787" s="831" t="s">
        <v>554</v>
      </c>
      <c r="AI27787" s="831">
        <v>0</v>
      </c>
      <c r="AJ27787" s="835">
        <v>41820</v>
      </c>
      <c r="AK27787" s="831">
        <v>519019570</v>
      </c>
    </row>
    <row r="27788" spans="32:37">
      <c r="AF27788" s="831" t="s">
        <v>11527</v>
      </c>
      <c r="AG27788" s="831" t="s">
        <v>2674</v>
      </c>
      <c r="AH27788" s="831" t="s">
        <v>553</v>
      </c>
      <c r="AI27788" s="831">
        <v>0</v>
      </c>
      <c r="AJ27788" s="835">
        <v>41820</v>
      </c>
      <c r="AK27788" s="831">
        <v>0</v>
      </c>
    </row>
    <row r="27789" spans="32:37">
      <c r="AF27789" s="831" t="s">
        <v>11528</v>
      </c>
      <c r="AG27789" s="831" t="s">
        <v>2674</v>
      </c>
      <c r="AH27789" s="831" t="s">
        <v>552</v>
      </c>
      <c r="AI27789" s="831">
        <v>0</v>
      </c>
      <c r="AJ27789" s="835">
        <v>41820</v>
      </c>
      <c r="AK27789" s="831">
        <v>0</v>
      </c>
    </row>
    <row r="27790" spans="32:37">
      <c r="AF27790" s="831" t="s">
        <v>11529</v>
      </c>
      <c r="AG27790" s="831" t="s">
        <v>2674</v>
      </c>
      <c r="AH27790" s="831" t="s">
        <v>551</v>
      </c>
      <c r="AI27790" s="831">
        <v>0</v>
      </c>
      <c r="AJ27790" s="835">
        <v>41820</v>
      </c>
      <c r="AK27790" s="831">
        <v>950588.81</v>
      </c>
    </row>
    <row r="27791" spans="32:37">
      <c r="AF27791" s="831" t="s">
        <v>11530</v>
      </c>
      <c r="AG27791" s="831" t="s">
        <v>2674</v>
      </c>
      <c r="AH27791" s="831" t="s">
        <v>550</v>
      </c>
      <c r="AI27791" s="831">
        <v>0</v>
      </c>
      <c r="AJ27791" s="835">
        <v>41820</v>
      </c>
      <c r="AK27791" s="831">
        <v>131163748</v>
      </c>
    </row>
    <row r="27792" spans="32:37">
      <c r="AF27792" s="831" t="s">
        <v>11531</v>
      </c>
      <c r="AG27792" s="831" t="s">
        <v>2674</v>
      </c>
      <c r="AH27792" s="831" t="s">
        <v>562</v>
      </c>
      <c r="AI27792" s="831">
        <v>0</v>
      </c>
      <c r="AJ27792" s="835">
        <v>41820</v>
      </c>
      <c r="AK27792" s="831">
        <v>0.78374999999999995</v>
      </c>
    </row>
    <row r="27793" spans="32:37">
      <c r="AF27793" s="831" t="s">
        <v>11532</v>
      </c>
      <c r="AG27793" s="831" t="s">
        <v>2674</v>
      </c>
      <c r="AH27793" s="831" t="s">
        <v>2698</v>
      </c>
      <c r="AI27793" s="831">
        <v>0</v>
      </c>
      <c r="AJ27793" s="835">
        <v>41820</v>
      </c>
      <c r="AK27793" s="831">
        <v>0.78385000000000005</v>
      </c>
    </row>
    <row r="27794" spans="32:37">
      <c r="AF27794" s="831" t="s">
        <v>11533</v>
      </c>
      <c r="AG27794" s="831" t="s">
        <v>2674</v>
      </c>
      <c r="AH27794" s="831" t="s">
        <v>560</v>
      </c>
      <c r="AI27794" s="831">
        <v>0</v>
      </c>
      <c r="AJ27794" s="835">
        <v>41820</v>
      </c>
      <c r="AK27794" s="831">
        <v>0.78376666666666672</v>
      </c>
    </row>
    <row r="27795" spans="32:37">
      <c r="AF27795" s="831" t="s">
        <v>11534</v>
      </c>
      <c r="AG27795" s="831" t="s">
        <v>2674</v>
      </c>
      <c r="AH27795" s="831" t="s">
        <v>559</v>
      </c>
      <c r="AI27795" s="831">
        <v>0</v>
      </c>
      <c r="AJ27795" s="835">
        <v>41820</v>
      </c>
      <c r="AK27795" s="831">
        <v>0.783775</v>
      </c>
    </row>
    <row r="27796" spans="32:37">
      <c r="AF27796" s="831" t="s">
        <v>11535</v>
      </c>
      <c r="AG27796" s="831" t="s">
        <v>2674</v>
      </c>
      <c r="AH27796" s="831" t="s">
        <v>568</v>
      </c>
      <c r="AI27796" s="831">
        <v>0</v>
      </c>
      <c r="AJ27796" s="835">
        <v>41820</v>
      </c>
      <c r="AK27796" s="831">
        <v>619891357.84230769</v>
      </c>
    </row>
    <row r="27797" spans="32:37">
      <c r="AF27797" s="831" t="s">
        <v>11536</v>
      </c>
      <c r="AG27797" s="831" t="s">
        <v>2674</v>
      </c>
      <c r="AH27797" s="831" t="s">
        <v>569</v>
      </c>
      <c r="AI27797" s="831">
        <v>0</v>
      </c>
      <c r="AJ27797" s="835">
        <v>41820</v>
      </c>
      <c r="AK27797" s="831">
        <v>763501602.97330773</v>
      </c>
    </row>
    <row r="27798" spans="32:37">
      <c r="AF27798" s="831" t="s">
        <v>11537</v>
      </c>
      <c r="AG27798" s="831" t="s">
        <v>2674</v>
      </c>
      <c r="AH27798" s="831" t="s">
        <v>570</v>
      </c>
      <c r="AI27798" s="831">
        <v>0</v>
      </c>
      <c r="AJ27798" s="835">
        <v>41820</v>
      </c>
      <c r="AK27798" s="831">
        <v>120238638.75123075</v>
      </c>
    </row>
    <row r="27799" spans="32:37">
      <c r="AF27799" s="831" t="s">
        <v>11538</v>
      </c>
      <c r="AG27799" s="831" t="s">
        <v>2674</v>
      </c>
      <c r="AH27799" s="831" t="s">
        <v>571</v>
      </c>
      <c r="AI27799" s="831">
        <v>0</v>
      </c>
      <c r="AJ27799" s="835">
        <v>41820</v>
      </c>
      <c r="AK27799" s="831">
        <v>372900260.97484618</v>
      </c>
    </row>
    <row r="27800" spans="32:37">
      <c r="AF27800" s="831" t="s">
        <v>11539</v>
      </c>
      <c r="AG27800" s="831" t="s">
        <v>2674</v>
      </c>
      <c r="AH27800" s="831" t="s">
        <v>573</v>
      </c>
      <c r="AI27800" s="831">
        <v>0</v>
      </c>
      <c r="AJ27800" s="835">
        <v>41820</v>
      </c>
      <c r="AK27800" s="831">
        <v>829703301.08042848</v>
      </c>
    </row>
    <row r="27801" spans="32:37">
      <c r="AF27801" s="831" t="s">
        <v>11540</v>
      </c>
      <c r="AG27801" s="831" t="s">
        <v>2674</v>
      </c>
      <c r="AH27801" s="831" t="s">
        <v>574</v>
      </c>
      <c r="AI27801" s="831">
        <v>0</v>
      </c>
      <c r="AJ27801" s="835">
        <v>41820</v>
      </c>
      <c r="AK27801" s="831">
        <v>674628835.57142854</v>
      </c>
    </row>
    <row r="27802" spans="32:37">
      <c r="AF27802" s="831" t="s">
        <v>11541</v>
      </c>
      <c r="AG27802" s="831" t="s">
        <v>2674</v>
      </c>
      <c r="AH27802" s="831" t="s">
        <v>575</v>
      </c>
      <c r="AI27802" s="831">
        <v>0</v>
      </c>
      <c r="AJ27802" s="835">
        <v>41820</v>
      </c>
      <c r="AK27802" s="831">
        <v>124242857.13</v>
      </c>
    </row>
    <row r="27803" spans="32:37">
      <c r="AF27803" s="831" t="s">
        <v>11542</v>
      </c>
      <c r="AG27803" s="831" t="s">
        <v>2674</v>
      </c>
      <c r="AH27803" s="831" t="s">
        <v>576</v>
      </c>
      <c r="AI27803" s="831">
        <v>0</v>
      </c>
      <c r="AJ27803" s="835">
        <v>41820</v>
      </c>
      <c r="AK27803" s="831">
        <v>407269836.23014289</v>
      </c>
    </row>
    <row r="27804" spans="32:37">
      <c r="AF27804" s="831" t="s">
        <v>11543</v>
      </c>
      <c r="AG27804" s="831" t="s">
        <v>2674</v>
      </c>
      <c r="AH27804" s="831" t="s">
        <v>572</v>
      </c>
      <c r="AI27804" s="831">
        <v>0</v>
      </c>
      <c r="AJ27804" s="835">
        <v>41820</v>
      </c>
      <c r="AK27804" s="831">
        <v>32506327.956000008</v>
      </c>
    </row>
    <row r="27805" spans="32:37">
      <c r="AF27805" s="831" t="s">
        <v>11544</v>
      </c>
      <c r="AG27805" s="831" t="s">
        <v>2674</v>
      </c>
      <c r="AH27805" s="831" t="s">
        <v>577</v>
      </c>
      <c r="AI27805" s="831">
        <v>0</v>
      </c>
      <c r="AJ27805" s="835">
        <v>41820</v>
      </c>
      <c r="AK27805" s="831">
        <v>153933560.76300001</v>
      </c>
    </row>
    <row r="27806" spans="32:37">
      <c r="AF27806" s="831" t="s">
        <v>11545</v>
      </c>
      <c r="AG27806" s="831" t="s">
        <v>2674</v>
      </c>
      <c r="AH27806" s="831" t="s">
        <v>3042</v>
      </c>
      <c r="AI27806" s="831">
        <v>0</v>
      </c>
      <c r="AJ27806" s="835">
        <v>41820</v>
      </c>
      <c r="AK27806" s="831">
        <v>-43087678.527000003</v>
      </c>
    </row>
    <row r="27807" spans="32:37">
      <c r="AF27807" s="831" t="s">
        <v>11546</v>
      </c>
      <c r="AG27807" s="831" t="s">
        <v>2674</v>
      </c>
      <c r="AH27807" s="831" t="s">
        <v>3044</v>
      </c>
      <c r="AI27807" s="831">
        <v>0</v>
      </c>
      <c r="AJ27807" s="835">
        <v>41820</v>
      </c>
      <c r="AK27807" s="831">
        <v>-2538336.8899999997</v>
      </c>
    </row>
    <row r="27808" spans="32:37">
      <c r="AF27808" s="831" t="s">
        <v>11547</v>
      </c>
      <c r="AG27808" s="831" t="s">
        <v>2674</v>
      </c>
      <c r="AH27808" s="831" t="s">
        <v>580</v>
      </c>
      <c r="AI27808" s="831">
        <v>0</v>
      </c>
      <c r="AJ27808" s="835">
        <v>41820</v>
      </c>
      <c r="AK27808" s="831">
        <v>-71232950.306999996</v>
      </c>
    </row>
    <row r="27809" spans="32:37">
      <c r="AF27809" s="831" t="s">
        <v>11548</v>
      </c>
      <c r="AG27809" s="831" t="s">
        <v>2674</v>
      </c>
      <c r="AH27809" s="831" t="s">
        <v>581</v>
      </c>
      <c r="AI27809" s="831">
        <v>0</v>
      </c>
      <c r="AJ27809" s="835">
        <v>41820</v>
      </c>
      <c r="AK27809" s="831">
        <v>5389272.8940000003</v>
      </c>
    </row>
    <row r="27810" spans="32:37">
      <c r="AF27810" s="831" t="s">
        <v>11549</v>
      </c>
      <c r="AG27810" s="831" t="s">
        <v>2674</v>
      </c>
      <c r="AH27810" s="831" t="s">
        <v>105</v>
      </c>
      <c r="AI27810" s="831">
        <v>0</v>
      </c>
      <c r="AJ27810" s="835">
        <v>41820</v>
      </c>
      <c r="AK27810" s="831">
        <v>455536132</v>
      </c>
    </row>
    <row r="27811" spans="32:37">
      <c r="AF27811" s="831" t="s">
        <v>11550</v>
      </c>
      <c r="AG27811" s="831" t="s">
        <v>2674</v>
      </c>
      <c r="AH27811" s="831" t="s">
        <v>3049</v>
      </c>
      <c r="AI27811" s="831">
        <v>0</v>
      </c>
      <c r="AJ27811" s="835">
        <v>41820</v>
      </c>
      <c r="AK27811" s="831">
        <v>754458364</v>
      </c>
    </row>
    <row r="27812" spans="32:37">
      <c r="AF27812" s="831" t="s">
        <v>11551</v>
      </c>
      <c r="AG27812" s="831" t="s">
        <v>2674</v>
      </c>
      <c r="AH27812" s="831" t="s">
        <v>103</v>
      </c>
      <c r="AI27812" s="831">
        <v>0</v>
      </c>
      <c r="AJ27812" s="835">
        <v>41820</v>
      </c>
      <c r="AK27812" s="831">
        <v>298922232</v>
      </c>
    </row>
    <row r="27813" spans="32:37">
      <c r="AF27813" s="831" t="s">
        <v>11552</v>
      </c>
      <c r="AG27813" s="831" t="s">
        <v>2674</v>
      </c>
      <c r="AH27813" s="831" t="s">
        <v>182</v>
      </c>
      <c r="AI27813" s="831">
        <v>0</v>
      </c>
      <c r="AJ27813" s="835">
        <v>41820</v>
      </c>
      <c r="AK27813" s="831">
        <v>71693060</v>
      </c>
    </row>
    <row r="27814" spans="32:37">
      <c r="AF27814" s="831" t="s">
        <v>11553</v>
      </c>
      <c r="AG27814" s="831" t="s">
        <v>2674</v>
      </c>
      <c r="AH27814" s="831" t="s">
        <v>6600</v>
      </c>
      <c r="AI27814" s="831">
        <v>0</v>
      </c>
      <c r="AJ27814" s="835">
        <v>41820</v>
      </c>
      <c r="AK27814" s="831">
        <v>32506327.956000008</v>
      </c>
    </row>
    <row r="27815" spans="32:37">
      <c r="AF27815" s="831" t="s">
        <v>11554</v>
      </c>
      <c r="AG27815" s="831" t="s">
        <v>2674</v>
      </c>
      <c r="AH27815" s="831" t="s">
        <v>6602</v>
      </c>
      <c r="AI27815" s="831">
        <v>0</v>
      </c>
      <c r="AJ27815" s="835">
        <v>41820</v>
      </c>
      <c r="AK27815" s="831">
        <v>18626919</v>
      </c>
    </row>
    <row r="27816" spans="32:37">
      <c r="AF27816" s="831" t="s">
        <v>11555</v>
      </c>
      <c r="AG27816" s="831" t="s">
        <v>2674</v>
      </c>
      <c r="AH27816" s="831" t="s">
        <v>650</v>
      </c>
      <c r="AI27816" s="831">
        <v>0</v>
      </c>
      <c r="AJ27816" s="835">
        <v>41820</v>
      </c>
      <c r="AK27816" s="831">
        <v>250141744.03992307</v>
      </c>
    </row>
    <row r="27817" spans="32:37">
      <c r="AF27817" s="831" t="s">
        <v>11556</v>
      </c>
      <c r="AG27817" s="831" t="s">
        <v>2674</v>
      </c>
      <c r="AH27817" s="831" t="s">
        <v>655</v>
      </c>
      <c r="AI27817" s="831">
        <v>0</v>
      </c>
      <c r="AJ27817" s="835">
        <v>41820</v>
      </c>
      <c r="AK27817" s="831">
        <v>739333.81</v>
      </c>
    </row>
    <row r="27818" spans="32:37">
      <c r="AF27818" s="831" t="s">
        <v>11557</v>
      </c>
      <c r="AG27818" s="831" t="s">
        <v>2674</v>
      </c>
      <c r="AH27818" s="831" t="s">
        <v>546</v>
      </c>
      <c r="AI27818" s="831">
        <v>0</v>
      </c>
      <c r="AJ27818" s="835">
        <v>41851</v>
      </c>
      <c r="AK27818" s="831">
        <v>739176022</v>
      </c>
    </row>
    <row r="27819" spans="32:37">
      <c r="AF27819" s="831" t="s">
        <v>11558</v>
      </c>
      <c r="AG27819" s="831" t="s">
        <v>2674</v>
      </c>
      <c r="AH27819" s="831" t="s">
        <v>370</v>
      </c>
      <c r="AI27819" s="831">
        <v>0</v>
      </c>
      <c r="AJ27819" s="835">
        <v>41851</v>
      </c>
      <c r="AK27819" s="831">
        <v>937279545</v>
      </c>
    </row>
    <row r="27820" spans="32:37">
      <c r="AF27820" s="831" t="s">
        <v>11559</v>
      </c>
      <c r="AG27820" s="831" t="s">
        <v>2674</v>
      </c>
      <c r="AH27820" s="831" t="s">
        <v>126</v>
      </c>
      <c r="AI27820" s="831">
        <v>0</v>
      </c>
      <c r="AJ27820" s="835">
        <v>41851</v>
      </c>
      <c r="AK27820" s="831">
        <v>138005087</v>
      </c>
    </row>
    <row r="27821" spans="32:37">
      <c r="AF27821" s="831" t="s">
        <v>11560</v>
      </c>
      <c r="AG27821" s="831" t="s">
        <v>2674</v>
      </c>
      <c r="AH27821" s="831" t="s">
        <v>268</v>
      </c>
      <c r="AI27821" s="831">
        <v>0</v>
      </c>
      <c r="AJ27821" s="835">
        <v>41851</v>
      </c>
      <c r="AK27821" s="831">
        <v>22009267</v>
      </c>
    </row>
    <row r="27822" spans="32:37">
      <c r="AF27822" s="831" t="s">
        <v>11561</v>
      </c>
      <c r="AG27822" s="831" t="s">
        <v>2674</v>
      </c>
      <c r="AH27822" s="831" t="s">
        <v>547</v>
      </c>
      <c r="AI27822" s="831">
        <v>0</v>
      </c>
      <c r="AJ27822" s="835">
        <v>41851</v>
      </c>
      <c r="AK27822" s="831">
        <v>777719977</v>
      </c>
    </row>
    <row r="27823" spans="32:37">
      <c r="AF27823" s="831" t="s">
        <v>11562</v>
      </c>
      <c r="AG27823" s="831" t="s">
        <v>2674</v>
      </c>
      <c r="AH27823" s="831" t="s">
        <v>548</v>
      </c>
      <c r="AI27823" s="831">
        <v>0</v>
      </c>
      <c r="AJ27823" s="835">
        <v>41851</v>
      </c>
      <c r="AK27823" s="831">
        <v>117105496</v>
      </c>
    </row>
    <row r="27824" spans="32:37">
      <c r="AF27824" s="831" t="s">
        <v>11563</v>
      </c>
      <c r="AG27824" s="831" t="s">
        <v>2674</v>
      </c>
      <c r="AH27824" s="831" t="s">
        <v>549</v>
      </c>
      <c r="AI27824" s="831">
        <v>0</v>
      </c>
      <c r="AJ27824" s="835">
        <v>41851</v>
      </c>
      <c r="AK27824" s="831">
        <v>530405930</v>
      </c>
    </row>
    <row r="27825" spans="32:37">
      <c r="AF27825" s="831" t="s">
        <v>11564</v>
      </c>
      <c r="AG27825" s="831" t="s">
        <v>2674</v>
      </c>
      <c r="AH27825" s="831" t="s">
        <v>192</v>
      </c>
      <c r="AI27825" s="831">
        <v>0</v>
      </c>
      <c r="AJ27825" s="835">
        <v>41851</v>
      </c>
      <c r="AK27825" s="831">
        <v>-11408077</v>
      </c>
    </row>
    <row r="27826" spans="32:37">
      <c r="AF27826" s="831" t="s">
        <v>11565</v>
      </c>
      <c r="AG27826" s="831" t="s">
        <v>2674</v>
      </c>
      <c r="AH27826" s="831" t="s">
        <v>558</v>
      </c>
      <c r="AI27826" s="831">
        <v>0</v>
      </c>
      <c r="AJ27826" s="835">
        <v>41851</v>
      </c>
      <c r="AK27826" s="831">
        <v>799274458</v>
      </c>
    </row>
    <row r="27827" spans="32:37">
      <c r="AF27827" s="831" t="s">
        <v>11566</v>
      </c>
      <c r="AG27827" s="831" t="s">
        <v>2674</v>
      </c>
      <c r="AH27827" s="831" t="s">
        <v>65</v>
      </c>
      <c r="AI27827" s="831">
        <v>0</v>
      </c>
      <c r="AJ27827" s="835">
        <v>41851</v>
      </c>
      <c r="AK27827" s="831">
        <v>96150192</v>
      </c>
    </row>
    <row r="27828" spans="32:37">
      <c r="AF27828" s="831" t="s">
        <v>11567</v>
      </c>
      <c r="AG27828" s="831" t="s">
        <v>2674</v>
      </c>
      <c r="AH27828" s="831" t="s">
        <v>89</v>
      </c>
      <c r="AI27828" s="831">
        <v>0</v>
      </c>
      <c r="AJ27828" s="835">
        <v>41851</v>
      </c>
      <c r="AK27828" s="831">
        <v>157312</v>
      </c>
    </row>
    <row r="27829" spans="32:37">
      <c r="AF27829" s="831" t="s">
        <v>11568</v>
      </c>
      <c r="AG27829" s="831" t="s">
        <v>2674</v>
      </c>
      <c r="AH27829" s="831" t="s">
        <v>557</v>
      </c>
      <c r="AI27829" s="831">
        <v>0</v>
      </c>
      <c r="AJ27829" s="835">
        <v>41851</v>
      </c>
      <c r="AK27829" s="831">
        <v>177567</v>
      </c>
    </row>
    <row r="27830" spans="32:37">
      <c r="AF27830" s="831" t="s">
        <v>11569</v>
      </c>
      <c r="AG27830" s="831" t="s">
        <v>2674</v>
      </c>
      <c r="AH27830" s="831" t="s">
        <v>29</v>
      </c>
      <c r="AI27830" s="831">
        <v>0</v>
      </c>
      <c r="AJ27830" s="835">
        <v>41851</v>
      </c>
      <c r="AK27830" s="831">
        <v>1565767.49</v>
      </c>
    </row>
    <row r="27831" spans="32:37">
      <c r="AF27831" s="831" t="s">
        <v>11570</v>
      </c>
      <c r="AG27831" s="831" t="s">
        <v>2674</v>
      </c>
      <c r="AH27831" s="831" t="s">
        <v>2688</v>
      </c>
      <c r="AI27831" s="831">
        <v>0</v>
      </c>
      <c r="AJ27831" s="835">
        <v>41851</v>
      </c>
      <c r="AK27831" s="831">
        <v>4315667.13</v>
      </c>
    </row>
    <row r="27832" spans="32:37">
      <c r="AF27832" s="831" t="s">
        <v>11571</v>
      </c>
      <c r="AG27832" s="831" t="s">
        <v>2674</v>
      </c>
      <c r="AH27832" s="831" t="s">
        <v>556</v>
      </c>
      <c r="AI27832" s="831">
        <v>0</v>
      </c>
      <c r="AJ27832" s="835">
        <v>41851</v>
      </c>
      <c r="AK27832" s="831">
        <v>3260165</v>
      </c>
    </row>
    <row r="27833" spans="32:37">
      <c r="AF27833" s="831" t="s">
        <v>11572</v>
      </c>
      <c r="AG27833" s="831" t="s">
        <v>2674</v>
      </c>
      <c r="AH27833" s="831" t="s">
        <v>555</v>
      </c>
      <c r="AI27833" s="831">
        <v>0</v>
      </c>
      <c r="AJ27833" s="835">
        <v>41851</v>
      </c>
      <c r="AK27833" s="831">
        <v>527670450</v>
      </c>
    </row>
    <row r="27834" spans="32:37">
      <c r="AF27834" s="831" t="s">
        <v>11573</v>
      </c>
      <c r="AG27834" s="831" t="s">
        <v>2674</v>
      </c>
      <c r="AH27834" s="831" t="s">
        <v>554</v>
      </c>
      <c r="AI27834" s="831">
        <v>0</v>
      </c>
      <c r="AJ27834" s="835">
        <v>41851</v>
      </c>
      <c r="AK27834" s="831">
        <v>540050830</v>
      </c>
    </row>
    <row r="27835" spans="32:37">
      <c r="AF27835" s="831" t="s">
        <v>11574</v>
      </c>
      <c r="AG27835" s="831" t="s">
        <v>2674</v>
      </c>
      <c r="AH27835" s="831" t="s">
        <v>553</v>
      </c>
      <c r="AI27835" s="831">
        <v>0</v>
      </c>
      <c r="AJ27835" s="835">
        <v>41851</v>
      </c>
      <c r="AK27835" s="831">
        <v>0</v>
      </c>
    </row>
    <row r="27836" spans="32:37">
      <c r="AF27836" s="831" t="s">
        <v>11575</v>
      </c>
      <c r="AG27836" s="831" t="s">
        <v>2674</v>
      </c>
      <c r="AH27836" s="831" t="s">
        <v>552</v>
      </c>
      <c r="AI27836" s="831">
        <v>0</v>
      </c>
      <c r="AJ27836" s="835">
        <v>41851</v>
      </c>
      <c r="AK27836" s="831">
        <v>0</v>
      </c>
    </row>
    <row r="27837" spans="32:37">
      <c r="AF27837" s="831" t="s">
        <v>11576</v>
      </c>
      <c r="AG27837" s="831" t="s">
        <v>2674</v>
      </c>
      <c r="AH27837" s="831" t="s">
        <v>551</v>
      </c>
      <c r="AI27837" s="831">
        <v>0</v>
      </c>
      <c r="AJ27837" s="835">
        <v>41851</v>
      </c>
      <c r="AK27837" s="831">
        <v>1101547.72</v>
      </c>
    </row>
    <row r="27838" spans="32:37">
      <c r="AF27838" s="831" t="s">
        <v>11577</v>
      </c>
      <c r="AG27838" s="831" t="s">
        <v>2674</v>
      </c>
      <c r="AH27838" s="831" t="s">
        <v>550</v>
      </c>
      <c r="AI27838" s="831">
        <v>0</v>
      </c>
      <c r="AJ27838" s="835">
        <v>41851</v>
      </c>
      <c r="AK27838" s="831">
        <v>135362821</v>
      </c>
    </row>
    <row r="27839" spans="32:37">
      <c r="AF27839" s="831" t="s">
        <v>11578</v>
      </c>
      <c r="AG27839" s="831" t="s">
        <v>2674</v>
      </c>
      <c r="AH27839" s="831" t="s">
        <v>562</v>
      </c>
      <c r="AI27839" s="831">
        <v>0</v>
      </c>
      <c r="AJ27839" s="835">
        <v>41851</v>
      </c>
      <c r="AK27839" s="831">
        <v>0.78364999999999996</v>
      </c>
    </row>
    <row r="27840" spans="32:37">
      <c r="AF27840" s="831" t="s">
        <v>11579</v>
      </c>
      <c r="AG27840" s="831" t="s">
        <v>2674</v>
      </c>
      <c r="AH27840" s="831" t="s">
        <v>2698</v>
      </c>
      <c r="AI27840" s="831">
        <v>0</v>
      </c>
      <c r="AJ27840" s="835">
        <v>41851</v>
      </c>
      <c r="AK27840" s="831">
        <v>0.78374999999999995</v>
      </c>
    </row>
    <row r="27841" spans="32:37">
      <c r="AF27841" s="831" t="s">
        <v>11580</v>
      </c>
      <c r="AG27841" s="831" t="s">
        <v>2674</v>
      </c>
      <c r="AH27841" s="831" t="s">
        <v>560</v>
      </c>
      <c r="AI27841" s="831">
        <v>0</v>
      </c>
      <c r="AJ27841" s="835">
        <v>41851</v>
      </c>
      <c r="AK27841" s="831">
        <v>0.78374999999999984</v>
      </c>
    </row>
    <row r="27842" spans="32:37">
      <c r="AF27842" s="831" t="s">
        <v>11581</v>
      </c>
      <c r="AG27842" s="831" t="s">
        <v>2674</v>
      </c>
      <c r="AH27842" s="831" t="s">
        <v>559</v>
      </c>
      <c r="AI27842" s="831">
        <v>0</v>
      </c>
      <c r="AJ27842" s="835">
        <v>41851</v>
      </c>
      <c r="AK27842" s="831">
        <v>0.78376666666666661</v>
      </c>
    </row>
    <row r="27843" spans="32:37">
      <c r="AF27843" s="831" t="s">
        <v>11582</v>
      </c>
      <c r="AG27843" s="831" t="s">
        <v>2674</v>
      </c>
      <c r="AH27843" s="831" t="s">
        <v>568</v>
      </c>
      <c r="AI27843" s="831">
        <v>0</v>
      </c>
      <c r="AJ27843" s="835">
        <v>41851</v>
      </c>
      <c r="AK27843" s="831">
        <v>637151141.61153841</v>
      </c>
    </row>
    <row r="27844" spans="32:37">
      <c r="AF27844" s="831" t="s">
        <v>11583</v>
      </c>
      <c r="AG27844" s="831" t="s">
        <v>2674</v>
      </c>
      <c r="AH27844" s="831" t="s">
        <v>569</v>
      </c>
      <c r="AI27844" s="831">
        <v>0</v>
      </c>
      <c r="AJ27844" s="835">
        <v>41851</v>
      </c>
      <c r="AK27844" s="831">
        <v>786284543.74253845</v>
      </c>
    </row>
    <row r="27845" spans="32:37">
      <c r="AF27845" s="831" t="s">
        <v>11584</v>
      </c>
      <c r="AG27845" s="831" t="s">
        <v>2674</v>
      </c>
      <c r="AH27845" s="831" t="s">
        <v>570</v>
      </c>
      <c r="AI27845" s="831">
        <v>0</v>
      </c>
      <c r="AJ27845" s="835">
        <v>41851</v>
      </c>
      <c r="AK27845" s="831">
        <v>122542079.44353844</v>
      </c>
    </row>
    <row r="27846" spans="32:37">
      <c r="AF27846" s="831" t="s">
        <v>11585</v>
      </c>
      <c r="AG27846" s="831" t="s">
        <v>2674</v>
      </c>
      <c r="AH27846" s="831" t="s">
        <v>571</v>
      </c>
      <c r="AI27846" s="831">
        <v>0</v>
      </c>
      <c r="AJ27846" s="835">
        <v>41851</v>
      </c>
      <c r="AK27846" s="831">
        <v>385003742.66715389</v>
      </c>
    </row>
    <row r="27847" spans="32:37">
      <c r="AF27847" s="831" t="s">
        <v>11586</v>
      </c>
      <c r="AG27847" s="831" t="s">
        <v>2674</v>
      </c>
      <c r="AH27847" s="831" t="s">
        <v>573</v>
      </c>
      <c r="AI27847" s="831">
        <v>0</v>
      </c>
      <c r="AJ27847" s="835">
        <v>41851</v>
      </c>
      <c r="AK27847" s="831">
        <v>843150331.57037497</v>
      </c>
    </row>
    <row r="27848" spans="32:37">
      <c r="AF27848" s="831" t="s">
        <v>11587</v>
      </c>
      <c r="AG27848" s="831" t="s">
        <v>2674</v>
      </c>
      <c r="AH27848" s="831" t="s">
        <v>574</v>
      </c>
      <c r="AI27848" s="831">
        <v>0</v>
      </c>
      <c r="AJ27848" s="835">
        <v>41851</v>
      </c>
      <c r="AK27848" s="831">
        <v>682697233.875</v>
      </c>
    </row>
    <row r="27849" spans="32:37">
      <c r="AF27849" s="831" t="s">
        <v>11588</v>
      </c>
      <c r="AG27849" s="831" t="s">
        <v>2674</v>
      </c>
      <c r="AH27849" s="831" t="s">
        <v>575</v>
      </c>
      <c r="AI27849" s="831">
        <v>0</v>
      </c>
      <c r="AJ27849" s="835">
        <v>41851</v>
      </c>
      <c r="AK27849" s="831">
        <v>125963135.86375</v>
      </c>
    </row>
    <row r="27850" spans="32:37">
      <c r="AF27850" s="831" t="s">
        <v>11589</v>
      </c>
      <c r="AG27850" s="831" t="s">
        <v>2674</v>
      </c>
      <c r="AH27850" s="831" t="s">
        <v>576</v>
      </c>
      <c r="AI27850" s="831">
        <v>0</v>
      </c>
      <c r="AJ27850" s="835">
        <v>41851</v>
      </c>
      <c r="AK27850" s="831">
        <v>415372081.57637501</v>
      </c>
    </row>
    <row r="27851" spans="32:37">
      <c r="AF27851" s="831" t="s">
        <v>11590</v>
      </c>
      <c r="AG27851" s="831" t="s">
        <v>2674</v>
      </c>
      <c r="AH27851" s="831" t="s">
        <v>572</v>
      </c>
      <c r="AI27851" s="831">
        <v>0</v>
      </c>
      <c r="AJ27851" s="835">
        <v>41851</v>
      </c>
      <c r="AK27851" s="831">
        <v>33061468.956000008</v>
      </c>
    </row>
    <row r="27852" spans="32:37">
      <c r="AF27852" s="831" t="s">
        <v>11591</v>
      </c>
      <c r="AG27852" s="831" t="s">
        <v>2674</v>
      </c>
      <c r="AH27852" s="831" t="s">
        <v>577</v>
      </c>
      <c r="AI27852" s="831">
        <v>0</v>
      </c>
      <c r="AJ27852" s="835">
        <v>41851</v>
      </c>
      <c r="AK27852" s="831">
        <v>157027827.76300001</v>
      </c>
    </row>
    <row r="27853" spans="32:37">
      <c r="AF27853" s="831" t="s">
        <v>11592</v>
      </c>
      <c r="AG27853" s="831" t="s">
        <v>2674</v>
      </c>
      <c r="AH27853" s="831" t="s">
        <v>3042</v>
      </c>
      <c r="AI27853" s="831">
        <v>0</v>
      </c>
      <c r="AJ27853" s="835">
        <v>41851</v>
      </c>
      <c r="AK27853" s="831">
        <v>-44607617.527000003</v>
      </c>
    </row>
    <row r="27854" spans="32:37">
      <c r="AF27854" s="831" t="s">
        <v>11593</v>
      </c>
      <c r="AG27854" s="831" t="s">
        <v>2674</v>
      </c>
      <c r="AH27854" s="831" t="s">
        <v>3044</v>
      </c>
      <c r="AI27854" s="831">
        <v>0</v>
      </c>
      <c r="AJ27854" s="835">
        <v>41851</v>
      </c>
      <c r="AK27854" s="831">
        <v>-2462838.8899999997</v>
      </c>
    </row>
    <row r="27855" spans="32:37">
      <c r="AF27855" s="831" t="s">
        <v>11594</v>
      </c>
      <c r="AG27855" s="831" t="s">
        <v>2674</v>
      </c>
      <c r="AH27855" s="831" t="s">
        <v>580</v>
      </c>
      <c r="AI27855" s="831">
        <v>0</v>
      </c>
      <c r="AJ27855" s="835">
        <v>41851</v>
      </c>
      <c r="AK27855" s="831">
        <v>-72554848.306999996</v>
      </c>
    </row>
    <row r="27856" spans="32:37">
      <c r="AF27856" s="831" t="s">
        <v>11595</v>
      </c>
      <c r="AG27856" s="831" t="s">
        <v>2674</v>
      </c>
      <c r="AH27856" s="831" t="s">
        <v>581</v>
      </c>
      <c r="AI27856" s="831">
        <v>0</v>
      </c>
      <c r="AJ27856" s="835">
        <v>41851</v>
      </c>
      <c r="AK27856" s="831">
        <v>6023686.8940000003</v>
      </c>
    </row>
    <row r="27857" spans="32:37">
      <c r="AF27857" s="831" t="s">
        <v>11596</v>
      </c>
      <c r="AG27857" s="831" t="s">
        <v>2674</v>
      </c>
      <c r="AH27857" s="831" t="s">
        <v>105</v>
      </c>
      <c r="AI27857" s="831">
        <v>0</v>
      </c>
      <c r="AJ27857" s="835">
        <v>41851</v>
      </c>
      <c r="AK27857" s="831">
        <v>472087799</v>
      </c>
    </row>
    <row r="27858" spans="32:37">
      <c r="AF27858" s="831" t="s">
        <v>11597</v>
      </c>
      <c r="AG27858" s="831" t="s">
        <v>2674</v>
      </c>
      <c r="AH27858" s="831" t="s">
        <v>3049</v>
      </c>
      <c r="AI27858" s="831">
        <v>0</v>
      </c>
      <c r="AJ27858" s="835">
        <v>41851</v>
      </c>
      <c r="AK27858" s="831">
        <v>778154132</v>
      </c>
    </row>
    <row r="27859" spans="32:37">
      <c r="AF27859" s="831" t="s">
        <v>11598</v>
      </c>
      <c r="AG27859" s="831" t="s">
        <v>2674</v>
      </c>
      <c r="AH27859" s="831" t="s">
        <v>103</v>
      </c>
      <c r="AI27859" s="831">
        <v>0</v>
      </c>
      <c r="AJ27859" s="835">
        <v>41851</v>
      </c>
      <c r="AK27859" s="831">
        <v>306066333</v>
      </c>
    </row>
    <row r="27860" spans="32:37">
      <c r="AF27860" s="831" t="s">
        <v>11599</v>
      </c>
      <c r="AG27860" s="831" t="s">
        <v>2674</v>
      </c>
      <c r="AH27860" s="831" t="s">
        <v>182</v>
      </c>
      <c r="AI27860" s="831">
        <v>0</v>
      </c>
      <c r="AJ27860" s="835">
        <v>41851</v>
      </c>
      <c r="AK27860" s="831">
        <v>72589813.714285716</v>
      </c>
    </row>
    <row r="27861" spans="32:37">
      <c r="AF27861" s="831" t="s">
        <v>11600</v>
      </c>
      <c r="AG27861" s="831" t="s">
        <v>2674</v>
      </c>
      <c r="AH27861" s="831" t="s">
        <v>6600</v>
      </c>
      <c r="AI27861" s="831">
        <v>0</v>
      </c>
      <c r="AJ27861" s="835">
        <v>41851</v>
      </c>
      <c r="AK27861" s="831">
        <v>33061468.956000008</v>
      </c>
    </row>
    <row r="27862" spans="32:37">
      <c r="AF27862" s="831" t="s">
        <v>11601</v>
      </c>
      <c r="AG27862" s="831" t="s">
        <v>2674</v>
      </c>
      <c r="AH27862" s="831" t="s">
        <v>6602</v>
      </c>
      <c r="AI27862" s="831">
        <v>0</v>
      </c>
      <c r="AJ27862" s="835">
        <v>41851</v>
      </c>
      <c r="AK27862" s="831">
        <v>22009267</v>
      </c>
    </row>
    <row r="27863" spans="32:37">
      <c r="AF27863" s="831" t="s">
        <v>11602</v>
      </c>
      <c r="AG27863" s="831" t="s">
        <v>2674</v>
      </c>
      <c r="AH27863" s="831" t="s">
        <v>650</v>
      </c>
      <c r="AI27863" s="831">
        <v>0</v>
      </c>
      <c r="AJ27863" s="835">
        <v>41851</v>
      </c>
      <c r="AK27863" s="831">
        <v>258051740.34761539</v>
      </c>
    </row>
    <row r="27864" spans="32:37">
      <c r="AF27864" s="831" t="s">
        <v>11603</v>
      </c>
      <c r="AG27864" s="831" t="s">
        <v>2674</v>
      </c>
      <c r="AH27864" s="831" t="s">
        <v>655</v>
      </c>
      <c r="AI27864" s="831">
        <v>0</v>
      </c>
      <c r="AJ27864" s="835">
        <v>41851</v>
      </c>
      <c r="AK27864" s="831">
        <v>953974.79</v>
      </c>
    </row>
    <row r="27865" spans="32:37">
      <c r="AF27865" s="831" t="s">
        <v>11604</v>
      </c>
      <c r="AG27865" s="831" t="s">
        <v>2674</v>
      </c>
      <c r="AH27865" s="831" t="s">
        <v>546</v>
      </c>
      <c r="AI27865" s="831">
        <v>0</v>
      </c>
      <c r="AJ27865" s="835">
        <v>41882</v>
      </c>
      <c r="AK27865" s="831">
        <v>752496052</v>
      </c>
    </row>
    <row r="27866" spans="32:37">
      <c r="AF27866" s="831" t="s">
        <v>11605</v>
      </c>
      <c r="AG27866" s="831" t="s">
        <v>2674</v>
      </c>
      <c r="AH27866" s="831" t="s">
        <v>370</v>
      </c>
      <c r="AI27866" s="831">
        <v>0</v>
      </c>
      <c r="AJ27866" s="835">
        <v>41882</v>
      </c>
      <c r="AK27866" s="831">
        <v>955327873</v>
      </c>
    </row>
    <row r="27867" spans="32:37">
      <c r="AF27867" s="831" t="s">
        <v>11606</v>
      </c>
      <c r="AG27867" s="831" t="s">
        <v>2674</v>
      </c>
      <c r="AH27867" s="831" t="s">
        <v>126</v>
      </c>
      <c r="AI27867" s="831">
        <v>0</v>
      </c>
      <c r="AJ27867" s="835">
        <v>41882</v>
      </c>
      <c r="AK27867" s="831">
        <v>141824046.03</v>
      </c>
    </row>
    <row r="27868" spans="32:37">
      <c r="AF27868" s="831" t="s">
        <v>11607</v>
      </c>
      <c r="AG27868" s="831" t="s">
        <v>2674</v>
      </c>
      <c r="AH27868" s="831" t="s">
        <v>268</v>
      </c>
      <c r="AI27868" s="831">
        <v>0</v>
      </c>
      <c r="AJ27868" s="835">
        <v>41882</v>
      </c>
      <c r="AK27868" s="831">
        <v>25500774.76800001</v>
      </c>
    </row>
    <row r="27869" spans="32:37">
      <c r="AF27869" s="831" t="s">
        <v>11608</v>
      </c>
      <c r="AG27869" s="831" t="s">
        <v>2674</v>
      </c>
      <c r="AH27869" s="831" t="s">
        <v>547</v>
      </c>
      <c r="AI27869" s="831">
        <v>0</v>
      </c>
      <c r="AJ27869" s="835">
        <v>41882</v>
      </c>
      <c r="AK27869" s="831">
        <v>777719977</v>
      </c>
    </row>
    <row r="27870" spans="32:37">
      <c r="AF27870" s="831" t="s">
        <v>11609</v>
      </c>
      <c r="AG27870" s="831" t="s">
        <v>2674</v>
      </c>
      <c r="AH27870" s="831" t="s">
        <v>548</v>
      </c>
      <c r="AI27870" s="831">
        <v>0</v>
      </c>
      <c r="AJ27870" s="835">
        <v>41882</v>
      </c>
      <c r="AK27870" s="831">
        <v>117105496</v>
      </c>
    </row>
    <row r="27871" spans="32:37">
      <c r="AF27871" s="831" t="s">
        <v>11610</v>
      </c>
      <c r="AG27871" s="831" t="s">
        <v>2674</v>
      </c>
      <c r="AH27871" s="831" t="s">
        <v>549</v>
      </c>
      <c r="AI27871" s="831">
        <v>0</v>
      </c>
      <c r="AJ27871" s="835">
        <v>41882</v>
      </c>
      <c r="AK27871" s="831">
        <v>548671343</v>
      </c>
    </row>
    <row r="27872" spans="32:37">
      <c r="AF27872" s="831" t="s">
        <v>11611</v>
      </c>
      <c r="AG27872" s="831" t="s">
        <v>2674</v>
      </c>
      <c r="AH27872" s="831" t="s">
        <v>192</v>
      </c>
      <c r="AI27872" s="831">
        <v>0</v>
      </c>
      <c r="AJ27872" s="835">
        <v>41882</v>
      </c>
      <c r="AK27872" s="831">
        <v>-11209860</v>
      </c>
    </row>
    <row r="27873" spans="32:37">
      <c r="AF27873" s="831" t="s">
        <v>11612</v>
      </c>
      <c r="AG27873" s="831" t="s">
        <v>2674</v>
      </c>
      <c r="AH27873" s="831" t="s">
        <v>558</v>
      </c>
      <c r="AI27873" s="831">
        <v>0</v>
      </c>
      <c r="AJ27873" s="835">
        <v>41882</v>
      </c>
      <c r="AK27873" s="831">
        <v>813503827.41700006</v>
      </c>
    </row>
    <row r="27874" spans="32:37">
      <c r="AF27874" s="831" t="s">
        <v>11613</v>
      </c>
      <c r="AG27874" s="831" t="s">
        <v>2674</v>
      </c>
      <c r="AH27874" s="831" t="s">
        <v>65</v>
      </c>
      <c r="AI27874" s="831">
        <v>0</v>
      </c>
      <c r="AJ27874" s="835">
        <v>41882</v>
      </c>
      <c r="AK27874" s="831">
        <v>110886310.662</v>
      </c>
    </row>
    <row r="27875" spans="32:37">
      <c r="AF27875" s="831" t="s">
        <v>11614</v>
      </c>
      <c r="AG27875" s="831" t="s">
        <v>2674</v>
      </c>
      <c r="AH27875" s="831" t="s">
        <v>89</v>
      </c>
      <c r="AI27875" s="831">
        <v>0</v>
      </c>
      <c r="AJ27875" s="835">
        <v>41882</v>
      </c>
      <c r="AK27875" s="831">
        <v>158540</v>
      </c>
    </row>
    <row r="27876" spans="32:37">
      <c r="AF27876" s="831" t="s">
        <v>11615</v>
      </c>
      <c r="AG27876" s="831" t="s">
        <v>2674</v>
      </c>
      <c r="AH27876" s="831" t="s">
        <v>557</v>
      </c>
      <c r="AI27876" s="831">
        <v>0</v>
      </c>
      <c r="AJ27876" s="835">
        <v>41882</v>
      </c>
      <c r="AK27876" s="831">
        <v>176987</v>
      </c>
    </row>
    <row r="27877" spans="32:37">
      <c r="AF27877" s="831" t="s">
        <v>11616</v>
      </c>
      <c r="AG27877" s="831" t="s">
        <v>2674</v>
      </c>
      <c r="AH27877" s="831" t="s">
        <v>29</v>
      </c>
      <c r="AI27877" s="831">
        <v>0</v>
      </c>
      <c r="AJ27877" s="835">
        <v>41882</v>
      </c>
      <c r="AK27877" s="831">
        <v>1746361.094</v>
      </c>
    </row>
    <row r="27878" spans="32:37">
      <c r="AF27878" s="831" t="s">
        <v>11617</v>
      </c>
      <c r="AG27878" s="831" t="s">
        <v>2674</v>
      </c>
      <c r="AH27878" s="831" t="s">
        <v>2688</v>
      </c>
      <c r="AI27878" s="831">
        <v>0</v>
      </c>
      <c r="AJ27878" s="835">
        <v>41882</v>
      </c>
      <c r="AK27878" s="831">
        <v>4781420.7300000004</v>
      </c>
    </row>
    <row r="27879" spans="32:37">
      <c r="AF27879" s="831" t="s">
        <v>11618</v>
      </c>
      <c r="AG27879" s="831" t="s">
        <v>2674</v>
      </c>
      <c r="AH27879" s="831" t="s">
        <v>556</v>
      </c>
      <c r="AI27879" s="831">
        <v>0</v>
      </c>
      <c r="AJ27879" s="835">
        <v>41882</v>
      </c>
      <c r="AK27879" s="831">
        <v>4890559</v>
      </c>
    </row>
    <row r="27880" spans="32:37">
      <c r="AF27880" s="831" t="s">
        <v>11619</v>
      </c>
      <c r="AG27880" s="831" t="s">
        <v>2674</v>
      </c>
      <c r="AH27880" s="831" t="s">
        <v>555</v>
      </c>
      <c r="AI27880" s="831">
        <v>0</v>
      </c>
      <c r="AJ27880" s="835">
        <v>41882</v>
      </c>
      <c r="AK27880" s="831">
        <v>533401131</v>
      </c>
    </row>
    <row r="27881" spans="32:37">
      <c r="AF27881" s="831" t="s">
        <v>11620</v>
      </c>
      <c r="AG27881" s="831" t="s">
        <v>2674</v>
      </c>
      <c r="AH27881" s="831" t="s">
        <v>554</v>
      </c>
      <c r="AI27881" s="831">
        <v>0</v>
      </c>
      <c r="AJ27881" s="835">
        <v>41882</v>
      </c>
      <c r="AK27881" s="831">
        <v>543423580</v>
      </c>
    </row>
    <row r="27882" spans="32:37">
      <c r="AF27882" s="831" t="s">
        <v>11621</v>
      </c>
      <c r="AG27882" s="831" t="s">
        <v>2674</v>
      </c>
      <c r="AH27882" s="831" t="s">
        <v>553</v>
      </c>
      <c r="AI27882" s="831">
        <v>0</v>
      </c>
      <c r="AJ27882" s="835">
        <v>41882</v>
      </c>
      <c r="AK27882" s="831">
        <v>0</v>
      </c>
    </row>
    <row r="27883" spans="32:37">
      <c r="AF27883" s="831" t="s">
        <v>11622</v>
      </c>
      <c r="AG27883" s="831" t="s">
        <v>2674</v>
      </c>
      <c r="AH27883" s="831" t="s">
        <v>552</v>
      </c>
      <c r="AI27883" s="831">
        <v>0</v>
      </c>
      <c r="AJ27883" s="835">
        <v>41882</v>
      </c>
      <c r="AK27883" s="831">
        <v>0</v>
      </c>
    </row>
    <row r="27884" spans="32:37">
      <c r="AF27884" s="831" t="s">
        <v>11623</v>
      </c>
      <c r="AG27884" s="831" t="s">
        <v>2674</v>
      </c>
      <c r="AH27884" s="831" t="s">
        <v>551</v>
      </c>
      <c r="AI27884" s="831">
        <v>0</v>
      </c>
      <c r="AJ27884" s="835">
        <v>41882</v>
      </c>
      <c r="AK27884" s="831">
        <v>1392541.4989999998</v>
      </c>
    </row>
    <row r="27885" spans="32:37">
      <c r="AF27885" s="831" t="s">
        <v>11624</v>
      </c>
      <c r="AG27885" s="831" t="s">
        <v>2674</v>
      </c>
      <c r="AH27885" s="831" t="s">
        <v>550</v>
      </c>
      <c r="AI27885" s="831">
        <v>0</v>
      </c>
      <c r="AJ27885" s="835">
        <v>41882</v>
      </c>
      <c r="AK27885" s="831">
        <v>138005087</v>
      </c>
    </row>
    <row r="27886" spans="32:37">
      <c r="AF27886" s="831" t="s">
        <v>11625</v>
      </c>
      <c r="AG27886" s="831" t="s">
        <v>2674</v>
      </c>
      <c r="AH27886" s="831" t="s">
        <v>562</v>
      </c>
      <c r="AI27886" s="831">
        <v>0</v>
      </c>
      <c r="AJ27886" s="835">
        <v>41882</v>
      </c>
      <c r="AK27886" s="831">
        <v>0.7833</v>
      </c>
    </row>
    <row r="27887" spans="32:37">
      <c r="AF27887" s="831" t="s">
        <v>11626</v>
      </c>
      <c r="AG27887" s="831" t="s">
        <v>2674</v>
      </c>
      <c r="AH27887" s="831" t="s">
        <v>2698</v>
      </c>
      <c r="AI27887" s="831">
        <v>0</v>
      </c>
      <c r="AJ27887" s="835">
        <v>41882</v>
      </c>
      <c r="AK27887" s="831">
        <v>0.78364999999999996</v>
      </c>
    </row>
    <row r="27888" spans="32:37">
      <c r="AF27888" s="831" t="s">
        <v>11627</v>
      </c>
      <c r="AG27888" s="831" t="s">
        <v>2674</v>
      </c>
      <c r="AH27888" s="831" t="s">
        <v>560</v>
      </c>
      <c r="AI27888" s="831">
        <v>0</v>
      </c>
      <c r="AJ27888" s="835">
        <v>41882</v>
      </c>
      <c r="AK27888" s="831">
        <v>0.78369374999999997</v>
      </c>
    </row>
    <row r="27889" spans="32:37">
      <c r="AF27889" s="831" t="s">
        <v>11628</v>
      </c>
      <c r="AG27889" s="831" t="s">
        <v>2674</v>
      </c>
      <c r="AH27889" s="831" t="s">
        <v>559</v>
      </c>
      <c r="AI27889" s="831">
        <v>0</v>
      </c>
      <c r="AJ27889" s="835">
        <v>41882</v>
      </c>
      <c r="AK27889" s="831">
        <v>0.78372083333333331</v>
      </c>
    </row>
    <row r="27890" spans="32:37">
      <c r="AF27890" s="831" t="s">
        <v>11629</v>
      </c>
      <c r="AG27890" s="831" t="s">
        <v>2674</v>
      </c>
      <c r="AH27890" s="831" t="s">
        <v>568</v>
      </c>
      <c r="AI27890" s="831">
        <v>0</v>
      </c>
      <c r="AJ27890" s="835">
        <v>41882</v>
      </c>
      <c r="AK27890" s="831">
        <v>654234997.14999998</v>
      </c>
    </row>
    <row r="27891" spans="32:37">
      <c r="AF27891" s="831" t="s">
        <v>11630</v>
      </c>
      <c r="AG27891" s="831" t="s">
        <v>2674</v>
      </c>
      <c r="AH27891" s="831" t="s">
        <v>569</v>
      </c>
      <c r="AI27891" s="831">
        <v>0</v>
      </c>
      <c r="AJ27891" s="835">
        <v>41882</v>
      </c>
      <c r="AK27891" s="831">
        <v>809130662.58869231</v>
      </c>
    </row>
    <row r="27892" spans="32:37">
      <c r="AF27892" s="831" t="s">
        <v>11631</v>
      </c>
      <c r="AG27892" s="831" t="s">
        <v>2674</v>
      </c>
      <c r="AH27892" s="831" t="s">
        <v>570</v>
      </c>
      <c r="AI27892" s="831">
        <v>0</v>
      </c>
      <c r="AJ27892" s="835">
        <v>41882</v>
      </c>
      <c r="AK27892" s="831">
        <v>124921808.98430769</v>
      </c>
    </row>
    <row r="27893" spans="32:37">
      <c r="AF27893" s="831" t="s">
        <v>11632</v>
      </c>
      <c r="AG27893" s="831" t="s">
        <v>2674</v>
      </c>
      <c r="AH27893" s="831" t="s">
        <v>571</v>
      </c>
      <c r="AI27893" s="831">
        <v>0</v>
      </c>
      <c r="AJ27893" s="835">
        <v>41882</v>
      </c>
      <c r="AK27893" s="831">
        <v>397063607.00692308</v>
      </c>
    </row>
    <row r="27894" spans="32:37">
      <c r="AF27894" s="831" t="s">
        <v>11633</v>
      </c>
      <c r="AG27894" s="831" t="s">
        <v>2674</v>
      </c>
      <c r="AH27894" s="831" t="s">
        <v>573</v>
      </c>
      <c r="AI27894" s="831">
        <v>0</v>
      </c>
      <c r="AJ27894" s="835">
        <v>41882</v>
      </c>
      <c r="AK27894" s="831">
        <v>855614502.84033334</v>
      </c>
    </row>
    <row r="27895" spans="32:37">
      <c r="AF27895" s="831" t="s">
        <v>11634</v>
      </c>
      <c r="AG27895" s="831" t="s">
        <v>2674</v>
      </c>
      <c r="AH27895" s="831" t="s">
        <v>574</v>
      </c>
      <c r="AI27895" s="831">
        <v>0</v>
      </c>
      <c r="AJ27895" s="835">
        <v>41882</v>
      </c>
      <c r="AK27895" s="831">
        <v>690452658.11111116</v>
      </c>
    </row>
    <row r="27896" spans="32:37">
      <c r="AF27896" s="831" t="s">
        <v>11635</v>
      </c>
      <c r="AG27896" s="831" t="s">
        <v>2674</v>
      </c>
      <c r="AH27896" s="831" t="s">
        <v>575</v>
      </c>
      <c r="AI27896" s="831">
        <v>0</v>
      </c>
      <c r="AJ27896" s="835">
        <v>41882</v>
      </c>
      <c r="AK27896" s="831">
        <v>127725459.21555556</v>
      </c>
    </row>
    <row r="27897" spans="32:37">
      <c r="AF27897" s="831" t="s">
        <v>11636</v>
      </c>
      <c r="AG27897" s="831" t="s">
        <v>2674</v>
      </c>
      <c r="AH27897" s="831" t="s">
        <v>576</v>
      </c>
      <c r="AI27897" s="831">
        <v>0</v>
      </c>
      <c r="AJ27897" s="835">
        <v>41882</v>
      </c>
      <c r="AK27897" s="831">
        <v>422408457.33644444</v>
      </c>
    </row>
    <row r="27898" spans="32:37">
      <c r="AF27898" s="831" t="s">
        <v>11637</v>
      </c>
      <c r="AG27898" s="831" t="s">
        <v>2674</v>
      </c>
      <c r="AH27898" s="831" t="s">
        <v>572</v>
      </c>
      <c r="AI27898" s="831">
        <v>0</v>
      </c>
      <c r="AJ27898" s="835">
        <v>41882</v>
      </c>
      <c r="AK27898" s="831">
        <v>33565597.724000007</v>
      </c>
    </row>
    <row r="27899" spans="32:37">
      <c r="AF27899" s="831" t="s">
        <v>11638</v>
      </c>
      <c r="AG27899" s="831" t="s">
        <v>2674</v>
      </c>
      <c r="AH27899" s="831" t="s">
        <v>577</v>
      </c>
      <c r="AI27899" s="831">
        <v>0</v>
      </c>
      <c r="AJ27899" s="835">
        <v>41882</v>
      </c>
      <c r="AK27899" s="831">
        <v>160354648.42500001</v>
      </c>
    </row>
    <row r="27900" spans="32:37">
      <c r="AF27900" s="831" t="s">
        <v>11639</v>
      </c>
      <c r="AG27900" s="831" t="s">
        <v>2674</v>
      </c>
      <c r="AH27900" s="831" t="s">
        <v>3042</v>
      </c>
      <c r="AI27900" s="831">
        <v>0</v>
      </c>
      <c r="AJ27900" s="835">
        <v>41882</v>
      </c>
      <c r="AK27900" s="831">
        <v>-46384889.891000003</v>
      </c>
    </row>
    <row r="27901" spans="32:37">
      <c r="AF27901" s="831" t="s">
        <v>11640</v>
      </c>
      <c r="AG27901" s="831" t="s">
        <v>2674</v>
      </c>
      <c r="AH27901" s="831" t="s">
        <v>3044</v>
      </c>
      <c r="AI27901" s="831">
        <v>0</v>
      </c>
      <c r="AJ27901" s="835">
        <v>41882</v>
      </c>
      <c r="AK27901" s="831">
        <v>-2154547.3159999996</v>
      </c>
    </row>
    <row r="27902" spans="32:37">
      <c r="AF27902" s="831" t="s">
        <v>11641</v>
      </c>
      <c r="AG27902" s="831" t="s">
        <v>2674</v>
      </c>
      <c r="AH27902" s="831" t="s">
        <v>580</v>
      </c>
      <c r="AI27902" s="831">
        <v>0</v>
      </c>
      <c r="AJ27902" s="835">
        <v>41882</v>
      </c>
      <c r="AK27902" s="831">
        <v>-74112712.891000003</v>
      </c>
    </row>
    <row r="27903" spans="32:37">
      <c r="AF27903" s="831" t="s">
        <v>11642</v>
      </c>
      <c r="AG27903" s="831" t="s">
        <v>2674</v>
      </c>
      <c r="AH27903" s="831" t="s">
        <v>581</v>
      </c>
      <c r="AI27903" s="831">
        <v>0</v>
      </c>
      <c r="AJ27903" s="835">
        <v>41882</v>
      </c>
      <c r="AK27903" s="831">
        <v>6514589.0720000006</v>
      </c>
    </row>
    <row r="27904" spans="32:37">
      <c r="AF27904" s="831" t="s">
        <v>11643</v>
      </c>
      <c r="AG27904" s="831" t="s">
        <v>2674</v>
      </c>
      <c r="AH27904" s="831" t="s">
        <v>105</v>
      </c>
      <c r="AI27904" s="831">
        <v>0</v>
      </c>
      <c r="AJ27904" s="835">
        <v>41882</v>
      </c>
      <c r="AK27904" s="831">
        <v>478699463.41700006</v>
      </c>
    </row>
    <row r="27905" spans="32:37">
      <c r="AF27905" s="831" t="s">
        <v>11644</v>
      </c>
      <c r="AG27905" s="831" t="s">
        <v>2674</v>
      </c>
      <c r="AH27905" s="831" t="s">
        <v>3049</v>
      </c>
      <c r="AI27905" s="831">
        <v>0</v>
      </c>
      <c r="AJ27905" s="835">
        <v>41882</v>
      </c>
      <c r="AK27905" s="831">
        <v>787453668.41700006</v>
      </c>
    </row>
    <row r="27906" spans="32:37">
      <c r="AF27906" s="831" t="s">
        <v>11645</v>
      </c>
      <c r="AG27906" s="831" t="s">
        <v>2674</v>
      </c>
      <c r="AH27906" s="831" t="s">
        <v>103</v>
      </c>
      <c r="AI27906" s="831">
        <v>0</v>
      </c>
      <c r="AJ27906" s="835">
        <v>41882</v>
      </c>
      <c r="AK27906" s="831">
        <v>308754205</v>
      </c>
    </row>
    <row r="27907" spans="32:37">
      <c r="AF27907" s="831" t="s">
        <v>11646</v>
      </c>
      <c r="AG27907" s="831" t="s">
        <v>2674</v>
      </c>
      <c r="AH27907" s="831" t="s">
        <v>182</v>
      </c>
      <c r="AI27907" s="831">
        <v>0</v>
      </c>
      <c r="AJ27907" s="835">
        <v>41882</v>
      </c>
      <c r="AK27907" s="831">
        <v>72923285.376000002</v>
      </c>
    </row>
    <row r="27908" spans="32:37">
      <c r="AF27908" s="831" t="s">
        <v>11647</v>
      </c>
      <c r="AG27908" s="831" t="s">
        <v>2674</v>
      </c>
      <c r="AH27908" s="831" t="s">
        <v>6600</v>
      </c>
      <c r="AI27908" s="831">
        <v>0</v>
      </c>
      <c r="AJ27908" s="835">
        <v>41882</v>
      </c>
      <c r="AK27908" s="831">
        <v>33565597.724000007</v>
      </c>
    </row>
    <row r="27909" spans="32:37">
      <c r="AF27909" s="831" t="s">
        <v>11648</v>
      </c>
      <c r="AG27909" s="831" t="s">
        <v>2674</v>
      </c>
      <c r="AH27909" s="831" t="s">
        <v>6602</v>
      </c>
      <c r="AI27909" s="831">
        <v>0</v>
      </c>
      <c r="AJ27909" s="835">
        <v>41882</v>
      </c>
      <c r="AK27909" s="831">
        <v>25500774.76800001</v>
      </c>
    </row>
    <row r="27910" spans="32:37">
      <c r="AF27910" s="831" t="s">
        <v>11649</v>
      </c>
      <c r="AG27910" s="831" t="s">
        <v>2674</v>
      </c>
      <c r="AH27910" s="831" t="s">
        <v>650</v>
      </c>
      <c r="AI27910" s="831">
        <v>0</v>
      </c>
      <c r="AJ27910" s="835">
        <v>41882</v>
      </c>
      <c r="AK27910" s="831">
        <v>265538072.42453846</v>
      </c>
    </row>
    <row r="27911" spans="32:37">
      <c r="AF27911" s="831" t="s">
        <v>11650</v>
      </c>
      <c r="AG27911" s="831" t="s">
        <v>2674</v>
      </c>
      <c r="AH27911" s="831" t="s">
        <v>655</v>
      </c>
      <c r="AI27911" s="831">
        <v>0</v>
      </c>
      <c r="AJ27911" s="835">
        <v>41882</v>
      </c>
      <c r="AK27911" s="831">
        <v>1018935.1089999999</v>
      </c>
    </row>
    <row r="27912" spans="32:37">
      <c r="AF27912" s="831" t="s">
        <v>11651</v>
      </c>
      <c r="AG27912" s="831" t="s">
        <v>2674</v>
      </c>
      <c r="AH27912" s="831" t="s">
        <v>546</v>
      </c>
      <c r="AI27912" s="831">
        <v>0</v>
      </c>
      <c r="AJ27912" s="835">
        <v>41912</v>
      </c>
      <c r="AK27912" s="831">
        <v>775508043</v>
      </c>
    </row>
    <row r="27913" spans="32:37">
      <c r="AF27913" s="831" t="s">
        <v>11652</v>
      </c>
      <c r="AG27913" s="831" t="s">
        <v>2674</v>
      </c>
      <c r="AH27913" s="831" t="s">
        <v>370</v>
      </c>
      <c r="AI27913" s="831">
        <v>0</v>
      </c>
      <c r="AJ27913" s="835">
        <v>41912</v>
      </c>
      <c r="AK27913" s="831">
        <v>955738548</v>
      </c>
    </row>
    <row r="27914" spans="32:37">
      <c r="AF27914" s="831" t="s">
        <v>11653</v>
      </c>
      <c r="AG27914" s="831" t="s">
        <v>2674</v>
      </c>
      <c r="AH27914" s="831" t="s">
        <v>126</v>
      </c>
      <c r="AI27914" s="831">
        <v>0</v>
      </c>
      <c r="AJ27914" s="835">
        <v>41912</v>
      </c>
      <c r="AK27914" s="831">
        <v>145830225</v>
      </c>
    </row>
    <row r="27915" spans="32:37">
      <c r="AF27915" s="831" t="s">
        <v>11654</v>
      </c>
      <c r="AG27915" s="831" t="s">
        <v>2674</v>
      </c>
      <c r="AH27915" s="831" t="s">
        <v>268</v>
      </c>
      <c r="AI27915" s="831">
        <v>0</v>
      </c>
      <c r="AJ27915" s="835">
        <v>41912</v>
      </c>
      <c r="AK27915" s="831">
        <v>29012035</v>
      </c>
    </row>
    <row r="27916" spans="32:37">
      <c r="AF27916" s="831" t="s">
        <v>11655</v>
      </c>
      <c r="AG27916" s="831" t="s">
        <v>2674</v>
      </c>
      <c r="AH27916" s="831" t="s">
        <v>547</v>
      </c>
      <c r="AI27916" s="831">
        <v>0</v>
      </c>
      <c r="AJ27916" s="835">
        <v>41912</v>
      </c>
      <c r="AK27916" s="831">
        <v>777719977</v>
      </c>
    </row>
    <row r="27917" spans="32:37">
      <c r="AF27917" s="831" t="s">
        <v>11656</v>
      </c>
      <c r="AG27917" s="831" t="s">
        <v>2674</v>
      </c>
      <c r="AH27917" s="831" t="s">
        <v>548</v>
      </c>
      <c r="AI27917" s="831">
        <v>0</v>
      </c>
      <c r="AJ27917" s="835">
        <v>41912</v>
      </c>
      <c r="AK27917" s="831">
        <v>117105496</v>
      </c>
    </row>
    <row r="27918" spans="32:37">
      <c r="AF27918" s="831" t="s">
        <v>11657</v>
      </c>
      <c r="AG27918" s="831" t="s">
        <v>2674</v>
      </c>
      <c r="AH27918" s="831" t="s">
        <v>549</v>
      </c>
      <c r="AI27918" s="831">
        <v>0</v>
      </c>
      <c r="AJ27918" s="835">
        <v>41912</v>
      </c>
      <c r="AK27918" s="831">
        <v>563989028</v>
      </c>
    </row>
    <row r="27919" spans="32:37">
      <c r="AF27919" s="831" t="s">
        <v>11658</v>
      </c>
      <c r="AG27919" s="831" t="s">
        <v>2674</v>
      </c>
      <c r="AH27919" s="831" t="s">
        <v>192</v>
      </c>
      <c r="AI27919" s="831">
        <v>0</v>
      </c>
      <c r="AJ27919" s="835">
        <v>41912</v>
      </c>
      <c r="AK27919" s="831">
        <v>-11006364</v>
      </c>
    </row>
    <row r="27920" spans="32:37">
      <c r="AF27920" s="831" t="s">
        <v>11659</v>
      </c>
      <c r="AG27920" s="831" t="s">
        <v>2674</v>
      </c>
      <c r="AH27920" s="831" t="s">
        <v>558</v>
      </c>
      <c r="AI27920" s="831">
        <v>0</v>
      </c>
      <c r="AJ27920" s="835">
        <v>41912</v>
      </c>
      <c r="AK27920" s="831">
        <v>809908323</v>
      </c>
    </row>
    <row r="27921" spans="32:37">
      <c r="AF27921" s="831" t="s">
        <v>11660</v>
      </c>
      <c r="AG27921" s="831" t="s">
        <v>2674</v>
      </c>
      <c r="AH27921" s="831" t="s">
        <v>65</v>
      </c>
      <c r="AI27921" s="831">
        <v>0</v>
      </c>
      <c r="AJ27921" s="835">
        <v>41912</v>
      </c>
      <c r="AK27921" s="831">
        <v>126643298</v>
      </c>
    </row>
    <row r="27922" spans="32:37">
      <c r="AF27922" s="831" t="s">
        <v>11661</v>
      </c>
      <c r="AG27922" s="831" t="s">
        <v>2674</v>
      </c>
      <c r="AH27922" s="831" t="s">
        <v>89</v>
      </c>
      <c r="AI27922" s="831">
        <v>0</v>
      </c>
      <c r="AJ27922" s="835">
        <v>41912</v>
      </c>
      <c r="AK27922" s="831">
        <v>159987</v>
      </c>
    </row>
    <row r="27923" spans="32:37">
      <c r="AF27923" s="831" t="s">
        <v>11662</v>
      </c>
      <c r="AG27923" s="831" t="s">
        <v>2674</v>
      </c>
      <c r="AH27923" s="831" t="s">
        <v>557</v>
      </c>
      <c r="AI27923" s="831">
        <v>0</v>
      </c>
      <c r="AJ27923" s="835">
        <v>41912</v>
      </c>
      <c r="AK27923" s="831">
        <v>180249</v>
      </c>
    </row>
    <row r="27924" spans="32:37">
      <c r="AF27924" s="831" t="s">
        <v>11663</v>
      </c>
      <c r="AG27924" s="831" t="s">
        <v>2674</v>
      </c>
      <c r="AH27924" s="831" t="s">
        <v>29</v>
      </c>
      <c r="AI27924" s="831">
        <v>0</v>
      </c>
      <c r="AJ27924" s="835">
        <v>41912</v>
      </c>
      <c r="AK27924" s="831">
        <v>2332375</v>
      </c>
    </row>
    <row r="27925" spans="32:37">
      <c r="AF27925" s="831" t="s">
        <v>11664</v>
      </c>
      <c r="AG27925" s="831" t="s">
        <v>2674</v>
      </c>
      <c r="AH27925" s="831" t="s">
        <v>2688</v>
      </c>
      <c r="AI27925" s="831">
        <v>0</v>
      </c>
      <c r="AJ27925" s="835">
        <v>41912</v>
      </c>
      <c r="AK27925" s="831">
        <v>4758526.78</v>
      </c>
    </row>
    <row r="27926" spans="32:37">
      <c r="AF27926" s="831" t="s">
        <v>11665</v>
      </c>
      <c r="AG27926" s="831" t="s">
        <v>2674</v>
      </c>
      <c r="AH27926" s="831" t="s">
        <v>556</v>
      </c>
      <c r="AI27926" s="831">
        <v>0</v>
      </c>
      <c r="AJ27926" s="835">
        <v>41912</v>
      </c>
      <c r="AK27926" s="831">
        <v>6520953</v>
      </c>
    </row>
    <row r="27927" spans="32:37">
      <c r="AF27927" s="831" t="s">
        <v>11666</v>
      </c>
      <c r="AG27927" s="831" t="s">
        <v>2674</v>
      </c>
      <c r="AH27927" s="831" t="s">
        <v>555</v>
      </c>
      <c r="AI27927" s="831">
        <v>0</v>
      </c>
      <c r="AJ27927" s="835">
        <v>41912</v>
      </c>
      <c r="AK27927" s="831">
        <v>528140339</v>
      </c>
    </row>
    <row r="27928" spans="32:37">
      <c r="AF27928" s="831" t="s">
        <v>11667</v>
      </c>
      <c r="AG27928" s="831" t="s">
        <v>2674</v>
      </c>
      <c r="AH27928" s="831" t="s">
        <v>554</v>
      </c>
      <c r="AI27928" s="831">
        <v>0</v>
      </c>
      <c r="AJ27928" s="835">
        <v>41912</v>
      </c>
      <c r="AK27928" s="831">
        <v>536741460</v>
      </c>
    </row>
    <row r="27929" spans="32:37">
      <c r="AF27929" s="831" t="s">
        <v>11668</v>
      </c>
      <c r="AG27929" s="831" t="s">
        <v>2674</v>
      </c>
      <c r="AH27929" s="831" t="s">
        <v>553</v>
      </c>
      <c r="AI27929" s="831">
        <v>0</v>
      </c>
      <c r="AJ27929" s="835">
        <v>41912</v>
      </c>
      <c r="AK27929" s="831">
        <v>0</v>
      </c>
    </row>
    <row r="27930" spans="32:37">
      <c r="AF27930" s="831" t="s">
        <v>11669</v>
      </c>
      <c r="AG27930" s="831" t="s">
        <v>2674</v>
      </c>
      <c r="AH27930" s="831" t="s">
        <v>552</v>
      </c>
      <c r="AI27930" s="831">
        <v>0</v>
      </c>
      <c r="AJ27930" s="835">
        <v>41912</v>
      </c>
      <c r="AK27930" s="831">
        <v>0</v>
      </c>
    </row>
    <row r="27931" spans="32:37">
      <c r="AF27931" s="831" t="s">
        <v>11670</v>
      </c>
      <c r="AG27931" s="831" t="s">
        <v>2674</v>
      </c>
      <c r="AH27931" s="831" t="s">
        <v>551</v>
      </c>
      <c r="AI27931" s="831">
        <v>0</v>
      </c>
      <c r="AJ27931" s="835">
        <v>41912</v>
      </c>
      <c r="AK27931" s="831">
        <v>1612094</v>
      </c>
    </row>
    <row r="27932" spans="32:37">
      <c r="AF27932" s="831" t="s">
        <v>11671</v>
      </c>
      <c r="AG27932" s="831" t="s">
        <v>2674</v>
      </c>
      <c r="AH27932" s="831" t="s">
        <v>550</v>
      </c>
      <c r="AI27932" s="831">
        <v>0</v>
      </c>
      <c r="AJ27932" s="835">
        <v>41912</v>
      </c>
      <c r="AK27932" s="831">
        <v>141824046.03</v>
      </c>
    </row>
    <row r="27933" spans="32:37">
      <c r="AF27933" s="831" t="s">
        <v>11672</v>
      </c>
      <c r="AG27933" s="831" t="s">
        <v>2674</v>
      </c>
      <c r="AH27933" s="831" t="s">
        <v>562</v>
      </c>
      <c r="AI27933" s="831">
        <v>0</v>
      </c>
      <c r="AJ27933" s="835">
        <v>41912</v>
      </c>
      <c r="AK27933" s="831">
        <v>0.78325</v>
      </c>
    </row>
    <row r="27934" spans="32:37">
      <c r="AF27934" s="831" t="s">
        <v>11673</v>
      </c>
      <c r="AG27934" s="831" t="s">
        <v>2674</v>
      </c>
      <c r="AH27934" s="831" t="s">
        <v>2698</v>
      </c>
      <c r="AI27934" s="831">
        <v>0</v>
      </c>
      <c r="AJ27934" s="835">
        <v>41912</v>
      </c>
      <c r="AK27934" s="831">
        <v>0.7833</v>
      </c>
    </row>
    <row r="27935" spans="32:37">
      <c r="AF27935" s="831" t="s">
        <v>11674</v>
      </c>
      <c r="AG27935" s="831" t="s">
        <v>2674</v>
      </c>
      <c r="AH27935" s="831" t="s">
        <v>560</v>
      </c>
      <c r="AI27935" s="831">
        <v>0</v>
      </c>
      <c r="AJ27935" s="835">
        <v>41912</v>
      </c>
      <c r="AK27935" s="831">
        <v>0.78364444444444448</v>
      </c>
    </row>
    <row r="27936" spans="32:37">
      <c r="AF27936" s="831" t="s">
        <v>11675</v>
      </c>
      <c r="AG27936" s="831" t="s">
        <v>2674</v>
      </c>
      <c r="AH27936" s="831" t="s">
        <v>559</v>
      </c>
      <c r="AI27936" s="831">
        <v>0</v>
      </c>
      <c r="AJ27936" s="835">
        <v>41912</v>
      </c>
      <c r="AK27936" s="831">
        <v>0.78366250000000004</v>
      </c>
    </row>
    <row r="27937" spans="32:37">
      <c r="AF27937" s="831" t="s">
        <v>11676</v>
      </c>
      <c r="AG27937" s="831" t="s">
        <v>2674</v>
      </c>
      <c r="AH27937" s="831" t="s">
        <v>568</v>
      </c>
      <c r="AI27937" s="831">
        <v>0</v>
      </c>
      <c r="AJ27937" s="835">
        <v>41912</v>
      </c>
      <c r="AK27937" s="831">
        <v>671683974.07307696</v>
      </c>
    </row>
    <row r="27938" spans="32:37">
      <c r="AF27938" s="831" t="s">
        <v>11677</v>
      </c>
      <c r="AG27938" s="831" t="s">
        <v>2674</v>
      </c>
      <c r="AH27938" s="831" t="s">
        <v>569</v>
      </c>
      <c r="AI27938" s="831">
        <v>0</v>
      </c>
      <c r="AJ27938" s="835">
        <v>41912</v>
      </c>
      <c r="AK27938" s="831">
        <v>832078660.51176918</v>
      </c>
    </row>
    <row r="27939" spans="32:37">
      <c r="AF27939" s="831" t="s">
        <v>11678</v>
      </c>
      <c r="AG27939" s="831" t="s">
        <v>2674</v>
      </c>
      <c r="AH27939" s="831" t="s">
        <v>570</v>
      </c>
      <c r="AI27939" s="831">
        <v>0</v>
      </c>
      <c r="AJ27939" s="835">
        <v>41912</v>
      </c>
      <c r="AK27939" s="831">
        <v>127379907.52276923</v>
      </c>
    </row>
    <row r="27940" spans="32:37">
      <c r="AF27940" s="831" t="s">
        <v>11679</v>
      </c>
      <c r="AG27940" s="831" t="s">
        <v>2674</v>
      </c>
      <c r="AH27940" s="831" t="s">
        <v>571</v>
      </c>
      <c r="AI27940" s="831">
        <v>0</v>
      </c>
      <c r="AJ27940" s="835">
        <v>41912</v>
      </c>
      <c r="AK27940" s="831">
        <v>409242621.46846157</v>
      </c>
    </row>
    <row r="27941" spans="32:37">
      <c r="AF27941" s="831" t="s">
        <v>11680</v>
      </c>
      <c r="AG27941" s="831" t="s">
        <v>2674</v>
      </c>
      <c r="AH27941" s="831" t="s">
        <v>573</v>
      </c>
      <c r="AI27941" s="831">
        <v>0</v>
      </c>
      <c r="AJ27941" s="835">
        <v>41912</v>
      </c>
      <c r="AK27941" s="831">
        <v>865626907.3563</v>
      </c>
    </row>
    <row r="27942" spans="32:37">
      <c r="AF27942" s="831" t="s">
        <v>11681</v>
      </c>
      <c r="AG27942" s="831" t="s">
        <v>2674</v>
      </c>
      <c r="AH27942" s="831" t="s">
        <v>574</v>
      </c>
      <c r="AI27942" s="831">
        <v>0</v>
      </c>
      <c r="AJ27942" s="835">
        <v>41912</v>
      </c>
      <c r="AK27942" s="831">
        <v>698958196.60000002</v>
      </c>
    </row>
    <row r="27943" spans="32:37">
      <c r="AF27943" s="831" t="s">
        <v>11682</v>
      </c>
      <c r="AG27943" s="831" t="s">
        <v>2674</v>
      </c>
      <c r="AH27943" s="831" t="s">
        <v>575</v>
      </c>
      <c r="AI27943" s="831">
        <v>0</v>
      </c>
      <c r="AJ27943" s="835">
        <v>41912</v>
      </c>
      <c r="AK27943" s="831">
        <v>129535935.794</v>
      </c>
    </row>
    <row r="27944" spans="32:37">
      <c r="AF27944" s="831" t="s">
        <v>11683</v>
      </c>
      <c r="AG27944" s="831" t="s">
        <v>2674</v>
      </c>
      <c r="AH27944" s="831" t="s">
        <v>576</v>
      </c>
      <c r="AI27944" s="831">
        <v>0</v>
      </c>
      <c r="AJ27944" s="835">
        <v>41912</v>
      </c>
      <c r="AK27944" s="831">
        <v>427412859.60280001</v>
      </c>
    </row>
    <row r="27945" spans="32:37">
      <c r="AF27945" s="831" t="s">
        <v>11684</v>
      </c>
      <c r="AG27945" s="831" t="s">
        <v>2674</v>
      </c>
      <c r="AH27945" s="831" t="s">
        <v>572</v>
      </c>
      <c r="AI27945" s="831">
        <v>0</v>
      </c>
      <c r="AJ27945" s="835">
        <v>41912</v>
      </c>
      <c r="AK27945" s="831">
        <v>33781162.955999985</v>
      </c>
    </row>
    <row r="27946" spans="32:37">
      <c r="AF27946" s="831" t="s">
        <v>11685</v>
      </c>
      <c r="AG27946" s="831" t="s">
        <v>2674</v>
      </c>
      <c r="AH27946" s="831" t="s">
        <v>577</v>
      </c>
      <c r="AI27946" s="831">
        <v>0</v>
      </c>
      <c r="AJ27946" s="835">
        <v>41912</v>
      </c>
      <c r="AK27946" s="831">
        <v>164186629.76300001</v>
      </c>
    </row>
    <row r="27947" spans="32:37">
      <c r="AF27947" s="831" t="s">
        <v>11686</v>
      </c>
      <c r="AG27947" s="831" t="s">
        <v>2674</v>
      </c>
      <c r="AH27947" s="831" t="s">
        <v>3042</v>
      </c>
      <c r="AI27947" s="831">
        <v>0</v>
      </c>
      <c r="AJ27947" s="835">
        <v>41912</v>
      </c>
      <c r="AK27947" s="831">
        <v>-47764358.527000003</v>
      </c>
    </row>
    <row r="27948" spans="32:37">
      <c r="AF27948" s="831" t="s">
        <v>11687</v>
      </c>
      <c r="AG27948" s="831" t="s">
        <v>2674</v>
      </c>
      <c r="AH27948" s="831" t="s">
        <v>3044</v>
      </c>
      <c r="AI27948" s="831">
        <v>0</v>
      </c>
      <c r="AJ27948" s="835">
        <v>41912</v>
      </c>
      <c r="AK27948" s="831">
        <v>-2027515.8899999997</v>
      </c>
    </row>
    <row r="27949" spans="32:37">
      <c r="AF27949" s="831" t="s">
        <v>11688</v>
      </c>
      <c r="AG27949" s="831" t="s">
        <v>2674</v>
      </c>
      <c r="AH27949" s="831" t="s">
        <v>580</v>
      </c>
      <c r="AI27949" s="831">
        <v>0</v>
      </c>
      <c r="AJ27949" s="835">
        <v>41912</v>
      </c>
      <c r="AK27949" s="831">
        <v>-75872333.307000011</v>
      </c>
    </row>
    <row r="27950" spans="32:37">
      <c r="AF27950" s="831" t="s">
        <v>11689</v>
      </c>
      <c r="AG27950" s="831" t="s">
        <v>2674</v>
      </c>
      <c r="AH27950" s="831" t="s">
        <v>581</v>
      </c>
      <c r="AI27950" s="831">
        <v>0</v>
      </c>
      <c r="AJ27950" s="835">
        <v>41912</v>
      </c>
      <c r="AK27950" s="831">
        <v>6304407.8940000003</v>
      </c>
    </row>
    <row r="27951" spans="32:37">
      <c r="AF27951" s="831" t="s">
        <v>11690</v>
      </c>
      <c r="AG27951" s="831" t="s">
        <v>2674</v>
      </c>
      <c r="AH27951" s="831" t="s">
        <v>105</v>
      </c>
      <c r="AI27951" s="831">
        <v>0</v>
      </c>
      <c r="AJ27951" s="835">
        <v>41912</v>
      </c>
      <c r="AK27951" s="831">
        <v>472452480</v>
      </c>
    </row>
    <row r="27952" spans="32:37">
      <c r="AF27952" s="831" t="s">
        <v>11691</v>
      </c>
      <c r="AG27952" s="831" t="s">
        <v>2674</v>
      </c>
      <c r="AH27952" s="831" t="s">
        <v>3049</v>
      </c>
      <c r="AI27952" s="831">
        <v>0</v>
      </c>
      <c r="AJ27952" s="835">
        <v>41912</v>
      </c>
      <c r="AK27952" s="831">
        <v>783051294</v>
      </c>
    </row>
    <row r="27953" spans="32:37">
      <c r="AF27953" s="831" t="s">
        <v>11692</v>
      </c>
      <c r="AG27953" s="831" t="s">
        <v>2674</v>
      </c>
      <c r="AH27953" s="831" t="s">
        <v>103</v>
      </c>
      <c r="AI27953" s="831">
        <v>0</v>
      </c>
      <c r="AJ27953" s="835">
        <v>41912</v>
      </c>
      <c r="AK27953" s="831">
        <v>310598814</v>
      </c>
    </row>
    <row r="27954" spans="32:37">
      <c r="AF27954" s="831" t="s">
        <v>11693</v>
      </c>
      <c r="AG27954" s="831" t="s">
        <v>2674</v>
      </c>
      <c r="AH27954" s="831" t="s">
        <v>182</v>
      </c>
      <c r="AI27954" s="831">
        <v>0</v>
      </c>
      <c r="AJ27954" s="835">
        <v>41912</v>
      </c>
      <c r="AK27954" s="831">
        <v>73471997.333333328</v>
      </c>
    </row>
    <row r="27955" spans="32:37">
      <c r="AF27955" s="831" t="s">
        <v>11694</v>
      </c>
      <c r="AG27955" s="831" t="s">
        <v>2674</v>
      </c>
      <c r="AH27955" s="831" t="s">
        <v>6600</v>
      </c>
      <c r="AI27955" s="831">
        <v>0</v>
      </c>
      <c r="AJ27955" s="835">
        <v>41912</v>
      </c>
      <c r="AK27955" s="831">
        <v>33781162.955999985</v>
      </c>
    </row>
    <row r="27956" spans="32:37">
      <c r="AF27956" s="831" t="s">
        <v>11695</v>
      </c>
      <c r="AG27956" s="831" t="s">
        <v>2674</v>
      </c>
      <c r="AH27956" s="831" t="s">
        <v>6602</v>
      </c>
      <c r="AI27956" s="831">
        <v>0</v>
      </c>
      <c r="AJ27956" s="835">
        <v>41912</v>
      </c>
      <c r="AK27956" s="831">
        <v>29012035</v>
      </c>
    </row>
    <row r="27957" spans="32:37">
      <c r="AF27957" s="831" t="s">
        <v>11696</v>
      </c>
      <c r="AG27957" s="831" t="s">
        <v>2674</v>
      </c>
      <c r="AH27957" s="831" t="s">
        <v>650</v>
      </c>
      <c r="AI27957" s="831">
        <v>0</v>
      </c>
      <c r="AJ27957" s="835">
        <v>41912</v>
      </c>
      <c r="AK27957" s="831">
        <v>273036122.95146155</v>
      </c>
    </row>
    <row r="27958" spans="32:37">
      <c r="AF27958" s="831" t="s">
        <v>11697</v>
      </c>
      <c r="AG27958" s="831" t="s">
        <v>2674</v>
      </c>
      <c r="AH27958" s="831" t="s">
        <v>655</v>
      </c>
      <c r="AI27958" s="831">
        <v>0</v>
      </c>
      <c r="AJ27958" s="835">
        <v>41912</v>
      </c>
      <c r="AK27958" s="831">
        <v>1341189</v>
      </c>
    </row>
    <row r="27959" spans="32:37">
      <c r="AF27959" s="831" t="s">
        <v>11698</v>
      </c>
      <c r="AG27959" s="831" t="s">
        <v>2674</v>
      </c>
      <c r="AH27959" s="831" t="s">
        <v>546</v>
      </c>
      <c r="AI27959" s="831">
        <v>0</v>
      </c>
      <c r="AJ27959" s="835">
        <v>41943</v>
      </c>
      <c r="AK27959" s="831">
        <v>788185615</v>
      </c>
    </row>
    <row r="27960" spans="32:37">
      <c r="AF27960" s="831" t="s">
        <v>11699</v>
      </c>
      <c r="AG27960" s="831" t="s">
        <v>2674</v>
      </c>
      <c r="AH27960" s="831" t="s">
        <v>370</v>
      </c>
      <c r="AI27960" s="831">
        <v>0</v>
      </c>
      <c r="AJ27960" s="835">
        <v>41943</v>
      </c>
      <c r="AK27960" s="831">
        <v>999911217</v>
      </c>
    </row>
    <row r="27961" spans="32:37">
      <c r="AF27961" s="831" t="s">
        <v>11700</v>
      </c>
      <c r="AG27961" s="831" t="s">
        <v>2674</v>
      </c>
      <c r="AH27961" s="831" t="s">
        <v>126</v>
      </c>
      <c r="AI27961" s="831">
        <v>0</v>
      </c>
      <c r="AJ27961" s="835">
        <v>41943</v>
      </c>
      <c r="AK27961" s="831">
        <v>149380039</v>
      </c>
    </row>
    <row r="27962" spans="32:37">
      <c r="AF27962" s="831" t="s">
        <v>11701</v>
      </c>
      <c r="AG27962" s="831" t="s">
        <v>2674</v>
      </c>
      <c r="AH27962" s="831" t="s">
        <v>268</v>
      </c>
      <c r="AI27962" s="831">
        <v>0</v>
      </c>
      <c r="AJ27962" s="835">
        <v>41943</v>
      </c>
      <c r="AK27962" s="831">
        <v>32657533</v>
      </c>
    </row>
    <row r="27963" spans="32:37">
      <c r="AF27963" s="831" t="s">
        <v>11702</v>
      </c>
      <c r="AG27963" s="831" t="s">
        <v>2674</v>
      </c>
      <c r="AH27963" s="831" t="s">
        <v>547</v>
      </c>
      <c r="AI27963" s="831">
        <v>0</v>
      </c>
      <c r="AJ27963" s="835">
        <v>41943</v>
      </c>
      <c r="AK27963" s="831">
        <v>777719977</v>
      </c>
    </row>
    <row r="27964" spans="32:37">
      <c r="AF27964" s="831" t="s">
        <v>11703</v>
      </c>
      <c r="AG27964" s="831" t="s">
        <v>2674</v>
      </c>
      <c r="AH27964" s="831" t="s">
        <v>548</v>
      </c>
      <c r="AI27964" s="831">
        <v>0</v>
      </c>
      <c r="AJ27964" s="835">
        <v>41943</v>
      </c>
      <c r="AK27964" s="831">
        <v>117105496</v>
      </c>
    </row>
    <row r="27965" spans="32:37">
      <c r="AF27965" s="831" t="s">
        <v>11704</v>
      </c>
      <c r="AG27965" s="831" t="s">
        <v>2674</v>
      </c>
      <c r="AH27965" s="831" t="s">
        <v>549</v>
      </c>
      <c r="AI27965" s="831">
        <v>0</v>
      </c>
      <c r="AJ27965" s="835">
        <v>41943</v>
      </c>
      <c r="AK27965" s="831">
        <v>580271359</v>
      </c>
    </row>
    <row r="27966" spans="32:37">
      <c r="AF27966" s="831" t="s">
        <v>11705</v>
      </c>
      <c r="AG27966" s="831" t="s">
        <v>2674</v>
      </c>
      <c r="AH27966" s="831" t="s">
        <v>192</v>
      </c>
      <c r="AI27966" s="831">
        <v>0</v>
      </c>
      <c r="AJ27966" s="835">
        <v>41943</v>
      </c>
      <c r="AK27966" s="831">
        <v>-11001950</v>
      </c>
    </row>
    <row r="27967" spans="32:37">
      <c r="AF27967" s="831" t="s">
        <v>11706</v>
      </c>
      <c r="AG27967" s="831" t="s">
        <v>2674</v>
      </c>
      <c r="AH27967" s="831" t="s">
        <v>558</v>
      </c>
      <c r="AI27967" s="831">
        <v>0</v>
      </c>
      <c r="AJ27967" s="835">
        <v>41943</v>
      </c>
      <c r="AK27967" s="831">
        <v>850531537</v>
      </c>
    </row>
    <row r="27968" spans="32:37">
      <c r="AF27968" s="831" t="s">
        <v>11707</v>
      </c>
      <c r="AG27968" s="831" t="s">
        <v>2674</v>
      </c>
      <c r="AH27968" s="831" t="s">
        <v>65</v>
      </c>
      <c r="AI27968" s="831">
        <v>0</v>
      </c>
      <c r="AJ27968" s="835">
        <v>41943</v>
      </c>
      <c r="AK27968" s="831">
        <v>144545337</v>
      </c>
    </row>
    <row r="27969" spans="32:37">
      <c r="AF27969" s="831" t="s">
        <v>11708</v>
      </c>
      <c r="AG27969" s="831" t="s">
        <v>2674</v>
      </c>
      <c r="AH27969" s="831" t="s">
        <v>89</v>
      </c>
      <c r="AI27969" s="831">
        <v>0</v>
      </c>
      <c r="AJ27969" s="835">
        <v>41943</v>
      </c>
      <c r="AK27969" s="831">
        <v>159189</v>
      </c>
    </row>
    <row r="27970" spans="32:37">
      <c r="AF27970" s="831" t="s">
        <v>11709</v>
      </c>
      <c r="AG27970" s="831" t="s">
        <v>2674</v>
      </c>
      <c r="AH27970" s="831" t="s">
        <v>557</v>
      </c>
      <c r="AI27970" s="831">
        <v>0</v>
      </c>
      <c r="AJ27970" s="835">
        <v>41943</v>
      </c>
      <c r="AK27970" s="831">
        <v>176925</v>
      </c>
    </row>
    <row r="27971" spans="32:37">
      <c r="AF27971" s="831" t="s">
        <v>11710</v>
      </c>
      <c r="AG27971" s="831" t="s">
        <v>2674</v>
      </c>
      <c r="AH27971" s="831" t="s">
        <v>29</v>
      </c>
      <c r="AI27971" s="831">
        <v>0</v>
      </c>
      <c r="AJ27971" s="835">
        <v>41943</v>
      </c>
      <c r="AK27971" s="831">
        <v>4443738</v>
      </c>
    </row>
    <row r="27972" spans="32:37">
      <c r="AF27972" s="831" t="s">
        <v>11711</v>
      </c>
      <c r="AG27972" s="831" t="s">
        <v>2674</v>
      </c>
      <c r="AH27972" s="831" t="s">
        <v>2688</v>
      </c>
      <c r="AI27972" s="831">
        <v>0</v>
      </c>
      <c r="AJ27972" s="835">
        <v>41943</v>
      </c>
      <c r="AK27972" s="831">
        <v>4878770.040000001</v>
      </c>
    </row>
    <row r="27973" spans="32:37">
      <c r="AF27973" s="831" t="s">
        <v>11712</v>
      </c>
      <c r="AG27973" s="831" t="s">
        <v>2674</v>
      </c>
      <c r="AH27973" s="831" t="s">
        <v>556</v>
      </c>
      <c r="AI27973" s="831">
        <v>0</v>
      </c>
      <c r="AJ27973" s="835">
        <v>41943</v>
      </c>
      <c r="AK27973" s="831">
        <v>8151347</v>
      </c>
    </row>
    <row r="27974" spans="32:37">
      <c r="AF27974" s="831" t="s">
        <v>11713</v>
      </c>
      <c r="AG27974" s="831" t="s">
        <v>2674</v>
      </c>
      <c r="AH27974" s="831" t="s">
        <v>555</v>
      </c>
      <c r="AI27974" s="831">
        <v>0</v>
      </c>
      <c r="AJ27974" s="835">
        <v>41943</v>
      </c>
      <c r="AK27974" s="831">
        <v>560953709</v>
      </c>
    </row>
    <row r="27975" spans="32:37">
      <c r="AF27975" s="831" t="s">
        <v>11714</v>
      </c>
      <c r="AG27975" s="831" t="s">
        <v>2674</v>
      </c>
      <c r="AH27975" s="831" t="s">
        <v>554</v>
      </c>
      <c r="AI27975" s="831">
        <v>0</v>
      </c>
      <c r="AJ27975" s="835">
        <v>41943</v>
      </c>
      <c r="AK27975" s="831">
        <v>571019140</v>
      </c>
    </row>
    <row r="27976" spans="32:37">
      <c r="AF27976" s="831" t="s">
        <v>11715</v>
      </c>
      <c r="AG27976" s="831" t="s">
        <v>2674</v>
      </c>
      <c r="AH27976" s="831" t="s">
        <v>553</v>
      </c>
      <c r="AI27976" s="831">
        <v>0</v>
      </c>
      <c r="AJ27976" s="835">
        <v>41943</v>
      </c>
      <c r="AK27976" s="831">
        <v>0</v>
      </c>
    </row>
    <row r="27977" spans="32:37">
      <c r="AF27977" s="831" t="s">
        <v>11716</v>
      </c>
      <c r="AG27977" s="831" t="s">
        <v>2674</v>
      </c>
      <c r="AH27977" s="831" t="s">
        <v>552</v>
      </c>
      <c r="AI27977" s="831">
        <v>0</v>
      </c>
      <c r="AJ27977" s="835">
        <v>41943</v>
      </c>
      <c r="AK27977" s="831">
        <v>0</v>
      </c>
    </row>
    <row r="27978" spans="32:37">
      <c r="AF27978" s="831" t="s">
        <v>11717</v>
      </c>
      <c r="AG27978" s="831" t="s">
        <v>2674</v>
      </c>
      <c r="AH27978" s="831" t="s">
        <v>551</v>
      </c>
      <c r="AI27978" s="831">
        <v>0</v>
      </c>
      <c r="AJ27978" s="835">
        <v>41943</v>
      </c>
      <c r="AK27978" s="831">
        <v>1179234</v>
      </c>
    </row>
    <row r="27979" spans="32:37">
      <c r="AF27979" s="831" t="s">
        <v>11718</v>
      </c>
      <c r="AG27979" s="831" t="s">
        <v>2674</v>
      </c>
      <c r="AH27979" s="831" t="s">
        <v>550</v>
      </c>
      <c r="AI27979" s="831">
        <v>0</v>
      </c>
      <c r="AJ27979" s="835">
        <v>41943</v>
      </c>
      <c r="AK27979" s="831">
        <v>145830225</v>
      </c>
    </row>
    <row r="27980" spans="32:37">
      <c r="AF27980" s="831" t="s">
        <v>11719</v>
      </c>
      <c r="AG27980" s="831" t="s">
        <v>2674</v>
      </c>
      <c r="AH27980" s="831" t="s">
        <v>562</v>
      </c>
      <c r="AI27980" s="831">
        <v>0</v>
      </c>
      <c r="AJ27980" s="835">
        <v>41943</v>
      </c>
      <c r="AK27980" s="831">
        <v>0.78380000000000005</v>
      </c>
    </row>
    <row r="27981" spans="32:37">
      <c r="AF27981" s="831" t="s">
        <v>11720</v>
      </c>
      <c r="AG27981" s="831" t="s">
        <v>2674</v>
      </c>
      <c r="AH27981" s="831" t="s">
        <v>2698</v>
      </c>
      <c r="AI27981" s="831">
        <v>0</v>
      </c>
      <c r="AJ27981" s="835">
        <v>41943</v>
      </c>
      <c r="AK27981" s="831">
        <v>0.78325</v>
      </c>
    </row>
    <row r="27982" spans="32:37">
      <c r="AF27982" s="831" t="s">
        <v>11721</v>
      </c>
      <c r="AG27982" s="831" t="s">
        <v>2674</v>
      </c>
      <c r="AH27982" s="831" t="s">
        <v>560</v>
      </c>
      <c r="AI27982" s="831">
        <v>0</v>
      </c>
      <c r="AJ27982" s="835">
        <v>41943</v>
      </c>
      <c r="AK27982" s="831">
        <v>0.78366000000000002</v>
      </c>
    </row>
    <row r="27983" spans="32:37">
      <c r="AF27983" s="831" t="s">
        <v>11722</v>
      </c>
      <c r="AG27983" s="831" t="s">
        <v>2674</v>
      </c>
      <c r="AH27983" s="831" t="s">
        <v>559</v>
      </c>
      <c r="AI27983" s="831">
        <v>0</v>
      </c>
      <c r="AJ27983" s="835">
        <v>41943</v>
      </c>
      <c r="AK27983" s="831">
        <v>0.78364999999999985</v>
      </c>
    </row>
    <row r="27984" spans="32:37">
      <c r="AF27984" s="831" t="s">
        <v>11723</v>
      </c>
      <c r="AG27984" s="831" t="s">
        <v>2674</v>
      </c>
      <c r="AH27984" s="831" t="s">
        <v>568</v>
      </c>
      <c r="AI27984" s="831">
        <v>0</v>
      </c>
      <c r="AJ27984" s="835">
        <v>41943</v>
      </c>
      <c r="AK27984" s="831">
        <v>688929865.38076925</v>
      </c>
    </row>
    <row r="27985" spans="32:37">
      <c r="AF27985" s="831" t="s">
        <v>11724</v>
      </c>
      <c r="AG27985" s="831" t="s">
        <v>2674</v>
      </c>
      <c r="AH27985" s="831" t="s">
        <v>569</v>
      </c>
      <c r="AI27985" s="831">
        <v>0</v>
      </c>
      <c r="AJ27985" s="835">
        <v>41943</v>
      </c>
      <c r="AK27985" s="831">
        <v>855702939.81946158</v>
      </c>
    </row>
    <row r="27986" spans="32:37">
      <c r="AF27986" s="831" t="s">
        <v>11725</v>
      </c>
      <c r="AG27986" s="831" t="s">
        <v>2674</v>
      </c>
      <c r="AH27986" s="831" t="s">
        <v>570</v>
      </c>
      <c r="AI27986" s="831">
        <v>0</v>
      </c>
      <c r="AJ27986" s="835">
        <v>41943</v>
      </c>
      <c r="AK27986" s="831">
        <v>129857553.83046153</v>
      </c>
    </row>
    <row r="27987" spans="32:37">
      <c r="AF27987" s="831" t="s">
        <v>11726</v>
      </c>
      <c r="AG27987" s="831" t="s">
        <v>2674</v>
      </c>
      <c r="AH27987" s="831" t="s">
        <v>571</v>
      </c>
      <c r="AI27987" s="831">
        <v>0</v>
      </c>
      <c r="AJ27987" s="835">
        <v>41943</v>
      </c>
      <c r="AK27987" s="831">
        <v>421465171.16076922</v>
      </c>
    </row>
    <row r="27988" spans="32:37">
      <c r="AF27988" s="831" t="s">
        <v>11727</v>
      </c>
      <c r="AG27988" s="831" t="s">
        <v>2674</v>
      </c>
      <c r="AH27988" s="831" t="s">
        <v>573</v>
      </c>
      <c r="AI27988" s="831">
        <v>0</v>
      </c>
      <c r="AJ27988" s="835">
        <v>41943</v>
      </c>
      <c r="AK27988" s="831">
        <v>877834571.86936367</v>
      </c>
    </row>
    <row r="27989" spans="32:37">
      <c r="AF27989" s="831" t="s">
        <v>11728</v>
      </c>
      <c r="AG27989" s="831" t="s">
        <v>2674</v>
      </c>
      <c r="AH27989" s="831" t="s">
        <v>574</v>
      </c>
      <c r="AI27989" s="831">
        <v>0</v>
      </c>
      <c r="AJ27989" s="835">
        <v>41943</v>
      </c>
      <c r="AK27989" s="831">
        <v>707069780.09090912</v>
      </c>
    </row>
    <row r="27990" spans="32:37">
      <c r="AF27990" s="831" t="s">
        <v>11729</v>
      </c>
      <c r="AG27990" s="831" t="s">
        <v>2674</v>
      </c>
      <c r="AH27990" s="831" t="s">
        <v>575</v>
      </c>
      <c r="AI27990" s="831">
        <v>0</v>
      </c>
      <c r="AJ27990" s="835">
        <v>41943</v>
      </c>
      <c r="AK27990" s="831">
        <v>131339945.17636365</v>
      </c>
    </row>
    <row r="27991" spans="32:37">
      <c r="AF27991" s="831" t="s">
        <v>11730</v>
      </c>
      <c r="AG27991" s="831" t="s">
        <v>2674</v>
      </c>
      <c r="AH27991" s="831" t="s">
        <v>576</v>
      </c>
      <c r="AI27991" s="831">
        <v>0</v>
      </c>
      <c r="AJ27991" s="835">
        <v>41943</v>
      </c>
      <c r="AK27991" s="831">
        <v>433816282.72981817</v>
      </c>
    </row>
    <row r="27992" spans="32:37">
      <c r="AF27992" s="831" t="s">
        <v>11731</v>
      </c>
      <c r="AG27992" s="831" t="s">
        <v>2674</v>
      </c>
      <c r="AH27992" s="831" t="s">
        <v>572</v>
      </c>
      <c r="AI27992" s="831">
        <v>0</v>
      </c>
      <c r="AJ27992" s="835">
        <v>41943</v>
      </c>
      <c r="AK27992" s="831">
        <v>34306433.956</v>
      </c>
    </row>
    <row r="27993" spans="32:37">
      <c r="AF27993" s="831" t="s">
        <v>11732</v>
      </c>
      <c r="AG27993" s="831" t="s">
        <v>2674</v>
      </c>
      <c r="AH27993" s="831" t="s">
        <v>577</v>
      </c>
      <c r="AI27993" s="831">
        <v>0</v>
      </c>
      <c r="AJ27993" s="835">
        <v>41943</v>
      </c>
      <c r="AK27993" s="831">
        <v>169874551.76300001</v>
      </c>
    </row>
    <row r="27994" spans="32:37">
      <c r="AF27994" s="831" t="s">
        <v>11733</v>
      </c>
      <c r="AG27994" s="831" t="s">
        <v>2674</v>
      </c>
      <c r="AH27994" s="831" t="s">
        <v>3042</v>
      </c>
      <c r="AI27994" s="831">
        <v>0</v>
      </c>
      <c r="AJ27994" s="835">
        <v>41943</v>
      </c>
      <c r="AK27994" s="831">
        <v>-49231778.527000003</v>
      </c>
    </row>
    <row r="27995" spans="32:37">
      <c r="AF27995" s="831" t="s">
        <v>11734</v>
      </c>
      <c r="AG27995" s="831" t="s">
        <v>2674</v>
      </c>
      <c r="AH27995" s="831" t="s">
        <v>3044</v>
      </c>
      <c r="AI27995" s="831">
        <v>0</v>
      </c>
      <c r="AJ27995" s="835">
        <v>41943</v>
      </c>
      <c r="AK27995" s="831">
        <v>-1676338.8899999997</v>
      </c>
    </row>
    <row r="27996" spans="32:37">
      <c r="AF27996" s="831" t="s">
        <v>11735</v>
      </c>
      <c r="AG27996" s="831" t="s">
        <v>2674</v>
      </c>
      <c r="AH27996" s="831" t="s">
        <v>580</v>
      </c>
      <c r="AI27996" s="831">
        <v>0</v>
      </c>
      <c r="AJ27996" s="835">
        <v>41943</v>
      </c>
      <c r="AK27996" s="831">
        <v>-77780641.306999996</v>
      </c>
    </row>
    <row r="27997" spans="32:37">
      <c r="AF27997" s="831" t="s">
        <v>11736</v>
      </c>
      <c r="AG27997" s="831" t="s">
        <v>2674</v>
      </c>
      <c r="AH27997" s="831" t="s">
        <v>581</v>
      </c>
      <c r="AI27997" s="831">
        <v>0</v>
      </c>
      <c r="AJ27997" s="835">
        <v>41943</v>
      </c>
      <c r="AK27997" s="831">
        <v>4385512.8940000003</v>
      </c>
    </row>
    <row r="27998" spans="32:37">
      <c r="AF27998" s="831" t="s">
        <v>11737</v>
      </c>
      <c r="AG27998" s="831" t="s">
        <v>2674</v>
      </c>
      <c r="AH27998" s="831" t="s">
        <v>105</v>
      </c>
      <c r="AI27998" s="831">
        <v>0</v>
      </c>
      <c r="AJ27998" s="835">
        <v>41943</v>
      </c>
      <c r="AK27998" s="831">
        <v>497850514</v>
      </c>
    </row>
    <row r="27999" spans="32:37">
      <c r="AF27999" s="831" t="s">
        <v>11738</v>
      </c>
      <c r="AG27999" s="831" t="s">
        <v>2674</v>
      </c>
      <c r="AH27999" s="831" t="s">
        <v>3049</v>
      </c>
      <c r="AI27999" s="831">
        <v>0</v>
      </c>
      <c r="AJ27999" s="835">
        <v>41943</v>
      </c>
      <c r="AK27999" s="831">
        <v>819726974</v>
      </c>
    </row>
    <row r="28000" spans="32:37">
      <c r="AF28000" s="831" t="s">
        <v>11739</v>
      </c>
      <c r="AG28000" s="831" t="s">
        <v>2674</v>
      </c>
      <c r="AH28000" s="831" t="s">
        <v>103</v>
      </c>
      <c r="AI28000" s="831">
        <v>0</v>
      </c>
      <c r="AJ28000" s="835">
        <v>41943</v>
      </c>
      <c r="AK28000" s="831">
        <v>321876460</v>
      </c>
    </row>
    <row r="28001" spans="32:37">
      <c r="AF28001" s="831" t="s">
        <v>11740</v>
      </c>
      <c r="AG28001" s="831" t="s">
        <v>2674</v>
      </c>
      <c r="AH28001" s="831" t="s">
        <v>182</v>
      </c>
      <c r="AI28001" s="831">
        <v>0</v>
      </c>
      <c r="AJ28001" s="835">
        <v>41943</v>
      </c>
      <c r="AK28001" s="831">
        <v>74624670</v>
      </c>
    </row>
    <row r="28002" spans="32:37">
      <c r="AF28002" s="831" t="s">
        <v>11741</v>
      </c>
      <c r="AG28002" s="831" t="s">
        <v>2674</v>
      </c>
      <c r="AH28002" s="831" t="s">
        <v>6600</v>
      </c>
      <c r="AI28002" s="831">
        <v>0</v>
      </c>
      <c r="AJ28002" s="835">
        <v>41943</v>
      </c>
      <c r="AK28002" s="831">
        <v>34306433.956</v>
      </c>
    </row>
    <row r="28003" spans="32:37">
      <c r="AF28003" s="831" t="s">
        <v>11742</v>
      </c>
      <c r="AG28003" s="831" t="s">
        <v>2674</v>
      </c>
      <c r="AH28003" s="831" t="s">
        <v>6602</v>
      </c>
      <c r="AI28003" s="831">
        <v>0</v>
      </c>
      <c r="AJ28003" s="835">
        <v>41943</v>
      </c>
      <c r="AK28003" s="831">
        <v>32657533</v>
      </c>
    </row>
    <row r="28004" spans="32:37">
      <c r="AF28004" s="831" t="s">
        <v>11743</v>
      </c>
      <c r="AG28004" s="831" t="s">
        <v>2674</v>
      </c>
      <c r="AH28004" s="831" t="s">
        <v>650</v>
      </c>
      <c r="AI28004" s="831">
        <v>0</v>
      </c>
      <c r="AJ28004" s="835">
        <v>41943</v>
      </c>
      <c r="AK28004" s="831">
        <v>280875581.18223077</v>
      </c>
    </row>
    <row r="28005" spans="32:37">
      <c r="AF28005" s="831" t="s">
        <v>11744</v>
      </c>
      <c r="AG28005" s="831" t="s">
        <v>2674</v>
      </c>
      <c r="AH28005" s="831" t="s">
        <v>655</v>
      </c>
      <c r="AI28005" s="831">
        <v>0</v>
      </c>
      <c r="AJ28005" s="835">
        <v>41943</v>
      </c>
      <c r="AK28005" s="831">
        <v>824847</v>
      </c>
    </row>
    <row r="28006" spans="32:37">
      <c r="AF28006" s="831" t="s">
        <v>11745</v>
      </c>
      <c r="AG28006" s="831" t="s">
        <v>2674</v>
      </c>
      <c r="AH28006" s="831" t="s">
        <v>546</v>
      </c>
      <c r="AI28006" s="831">
        <v>0</v>
      </c>
      <c r="AJ28006" s="835">
        <v>41973</v>
      </c>
      <c r="AK28006" s="831">
        <v>802902472</v>
      </c>
    </row>
    <row r="28007" spans="32:37">
      <c r="AF28007" s="831" t="s">
        <v>11746</v>
      </c>
      <c r="AG28007" s="831" t="s">
        <v>2674</v>
      </c>
      <c r="AH28007" s="831" t="s">
        <v>370</v>
      </c>
      <c r="AI28007" s="831">
        <v>0</v>
      </c>
      <c r="AJ28007" s="835">
        <v>41973</v>
      </c>
      <c r="AK28007" s="831">
        <v>1000702434</v>
      </c>
    </row>
    <row r="28008" spans="32:37">
      <c r="AF28008" s="831" t="s">
        <v>11747</v>
      </c>
      <c r="AG28008" s="831" t="s">
        <v>2674</v>
      </c>
      <c r="AH28008" s="831" t="s">
        <v>126</v>
      </c>
      <c r="AI28008" s="831">
        <v>0</v>
      </c>
      <c r="AJ28008" s="835">
        <v>41973</v>
      </c>
      <c r="AK28008" s="831">
        <v>153599665</v>
      </c>
    </row>
    <row r="28009" spans="32:37">
      <c r="AF28009" s="831" t="s">
        <v>11748</v>
      </c>
      <c r="AG28009" s="831" t="s">
        <v>2674</v>
      </c>
      <c r="AH28009" s="831" t="s">
        <v>268</v>
      </c>
      <c r="AI28009" s="831">
        <v>0</v>
      </c>
      <c r="AJ28009" s="835">
        <v>41973</v>
      </c>
      <c r="AK28009" s="831">
        <v>35013602</v>
      </c>
    </row>
    <row r="28010" spans="32:37">
      <c r="AF28010" s="831" t="s">
        <v>11749</v>
      </c>
      <c r="AG28010" s="831" t="s">
        <v>2674</v>
      </c>
      <c r="AH28010" s="831" t="s">
        <v>547</v>
      </c>
      <c r="AI28010" s="831">
        <v>0</v>
      </c>
      <c r="AJ28010" s="835">
        <v>41973</v>
      </c>
      <c r="AK28010" s="831">
        <v>777719977</v>
      </c>
    </row>
    <row r="28011" spans="32:37">
      <c r="AF28011" s="831" t="s">
        <v>11750</v>
      </c>
      <c r="AG28011" s="831" t="s">
        <v>2674</v>
      </c>
      <c r="AH28011" s="831" t="s">
        <v>548</v>
      </c>
      <c r="AI28011" s="831">
        <v>0</v>
      </c>
      <c r="AJ28011" s="835">
        <v>41973</v>
      </c>
      <c r="AK28011" s="831">
        <v>117105496</v>
      </c>
    </row>
    <row r="28012" spans="32:37">
      <c r="AF28012" s="831" t="s">
        <v>11751</v>
      </c>
      <c r="AG28012" s="831" t="s">
        <v>2674</v>
      </c>
      <c r="AH28012" s="831" t="s">
        <v>549</v>
      </c>
      <c r="AI28012" s="831">
        <v>0</v>
      </c>
      <c r="AJ28012" s="835">
        <v>41973</v>
      </c>
      <c r="AK28012" s="831">
        <v>598049309.95000005</v>
      </c>
    </row>
    <row r="28013" spans="32:37">
      <c r="AF28013" s="831" t="s">
        <v>11752</v>
      </c>
      <c r="AG28013" s="831" t="s">
        <v>2674</v>
      </c>
      <c r="AH28013" s="831" t="s">
        <v>192</v>
      </c>
      <c r="AI28013" s="831">
        <v>0</v>
      </c>
      <c r="AJ28013" s="835">
        <v>41973</v>
      </c>
      <c r="AK28013" s="831">
        <v>-10647566</v>
      </c>
    </row>
    <row r="28014" spans="32:37">
      <c r="AF28014" s="831" t="s">
        <v>11753</v>
      </c>
      <c r="AG28014" s="831" t="s">
        <v>2674</v>
      </c>
      <c r="AH28014" s="831" t="s">
        <v>558</v>
      </c>
      <c r="AI28014" s="831">
        <v>0</v>
      </c>
      <c r="AJ28014" s="835">
        <v>41973</v>
      </c>
      <c r="AK28014" s="831">
        <v>847102769</v>
      </c>
    </row>
    <row r="28015" spans="32:37">
      <c r="AF28015" s="831" t="s">
        <v>11754</v>
      </c>
      <c r="AG28015" s="831" t="s">
        <v>2674</v>
      </c>
      <c r="AH28015" s="831" t="s">
        <v>65</v>
      </c>
      <c r="AI28015" s="831">
        <v>0</v>
      </c>
      <c r="AJ28015" s="835">
        <v>41973</v>
      </c>
      <c r="AK28015" s="831">
        <v>160301151</v>
      </c>
    </row>
    <row r="28016" spans="32:37">
      <c r="AF28016" s="831" t="s">
        <v>11755</v>
      </c>
      <c r="AG28016" s="831" t="s">
        <v>2674</v>
      </c>
      <c r="AH28016" s="831" t="s">
        <v>89</v>
      </c>
      <c r="AI28016" s="831">
        <v>0</v>
      </c>
      <c r="AJ28016" s="835">
        <v>41973</v>
      </c>
      <c r="AK28016" s="831">
        <v>158266</v>
      </c>
    </row>
    <row r="28017" spans="32:37">
      <c r="AF28017" s="831" t="s">
        <v>11756</v>
      </c>
      <c r="AG28017" s="831" t="s">
        <v>2674</v>
      </c>
      <c r="AH28017" s="831" t="s">
        <v>557</v>
      </c>
      <c r="AI28017" s="831">
        <v>0</v>
      </c>
      <c r="AJ28017" s="835">
        <v>41973</v>
      </c>
      <c r="AK28017" s="831">
        <v>179245</v>
      </c>
    </row>
    <row r="28018" spans="32:37">
      <c r="AF28018" s="831" t="s">
        <v>11757</v>
      </c>
      <c r="AG28018" s="831" t="s">
        <v>2674</v>
      </c>
      <c r="AH28018" s="831" t="s">
        <v>29</v>
      </c>
      <c r="AI28018" s="831">
        <v>0</v>
      </c>
      <c r="AJ28018" s="835">
        <v>41973</v>
      </c>
      <c r="AK28018" s="831">
        <v>4556685.3900000006</v>
      </c>
    </row>
    <row r="28019" spans="32:37">
      <c r="AF28019" s="831" t="s">
        <v>11758</v>
      </c>
      <c r="AG28019" s="831" t="s">
        <v>2674</v>
      </c>
      <c r="AH28019" s="831" t="s">
        <v>2688</v>
      </c>
      <c r="AI28019" s="831">
        <v>0</v>
      </c>
      <c r="AJ28019" s="835">
        <v>41973</v>
      </c>
      <c r="AK28019" s="831">
        <v>4982602.75</v>
      </c>
    </row>
    <row r="28020" spans="32:37">
      <c r="AF28020" s="831" t="s">
        <v>11759</v>
      </c>
      <c r="AG28020" s="831" t="s">
        <v>2674</v>
      </c>
      <c r="AH28020" s="831" t="s">
        <v>556</v>
      </c>
      <c r="AI28020" s="831">
        <v>0</v>
      </c>
      <c r="AJ28020" s="835">
        <v>41973</v>
      </c>
      <c r="AK28020" s="831">
        <v>9781741</v>
      </c>
    </row>
    <row r="28021" spans="32:37">
      <c r="AF28021" s="831" t="s">
        <v>11760</v>
      </c>
      <c r="AG28021" s="831" t="s">
        <v>2674</v>
      </c>
      <c r="AH28021" s="831" t="s">
        <v>555</v>
      </c>
      <c r="AI28021" s="831">
        <v>0</v>
      </c>
      <c r="AJ28021" s="835">
        <v>41973</v>
      </c>
      <c r="AK28021" s="831">
        <v>559691148</v>
      </c>
    </row>
    <row r="28022" spans="32:37">
      <c r="AF28022" s="831" t="s">
        <v>11761</v>
      </c>
      <c r="AG28022" s="831" t="s">
        <v>2674</v>
      </c>
      <c r="AH28022" s="831" t="s">
        <v>554</v>
      </c>
      <c r="AI28022" s="831">
        <v>0</v>
      </c>
      <c r="AJ28022" s="835">
        <v>41973</v>
      </c>
      <c r="AK28022" s="831">
        <v>562759560</v>
      </c>
    </row>
    <row r="28023" spans="32:37">
      <c r="AF28023" s="831" t="s">
        <v>11762</v>
      </c>
      <c r="AG28023" s="831" t="s">
        <v>2674</v>
      </c>
      <c r="AH28023" s="831" t="s">
        <v>553</v>
      </c>
      <c r="AI28023" s="831">
        <v>0</v>
      </c>
      <c r="AJ28023" s="835">
        <v>41973</v>
      </c>
      <c r="AK28023" s="831">
        <v>0</v>
      </c>
    </row>
    <row r="28024" spans="32:37">
      <c r="AF28024" s="831" t="s">
        <v>11763</v>
      </c>
      <c r="AG28024" s="831" t="s">
        <v>2674</v>
      </c>
      <c r="AH28024" s="831" t="s">
        <v>552</v>
      </c>
      <c r="AI28024" s="831">
        <v>0</v>
      </c>
      <c r="AJ28024" s="835">
        <v>41973</v>
      </c>
      <c r="AK28024" s="831">
        <v>0</v>
      </c>
    </row>
    <row r="28025" spans="32:37">
      <c r="AF28025" s="831" t="s">
        <v>11764</v>
      </c>
      <c r="AG28025" s="831" t="s">
        <v>2674</v>
      </c>
      <c r="AH28025" s="831" t="s">
        <v>551</v>
      </c>
      <c r="AI28025" s="831">
        <v>0</v>
      </c>
      <c r="AJ28025" s="835">
        <v>41973</v>
      </c>
      <c r="AK28025" s="831">
        <v>3921189.3899999997</v>
      </c>
    </row>
    <row r="28026" spans="32:37">
      <c r="AF28026" s="831" t="s">
        <v>11765</v>
      </c>
      <c r="AG28026" s="831" t="s">
        <v>2674</v>
      </c>
      <c r="AH28026" s="831" t="s">
        <v>550</v>
      </c>
      <c r="AI28026" s="831">
        <v>0</v>
      </c>
      <c r="AJ28026" s="835">
        <v>41973</v>
      </c>
      <c r="AK28026" s="831">
        <v>149380039</v>
      </c>
    </row>
    <row r="28027" spans="32:37">
      <c r="AF28027" s="831" t="s">
        <v>11766</v>
      </c>
      <c r="AG28027" s="831" t="s">
        <v>2674</v>
      </c>
      <c r="AH28027" s="831" t="s">
        <v>562</v>
      </c>
      <c r="AI28027" s="831">
        <v>0</v>
      </c>
      <c r="AJ28027" s="835">
        <v>41973</v>
      </c>
      <c r="AK28027" s="831">
        <v>0.78390000000000004</v>
      </c>
    </row>
    <row r="28028" spans="32:37">
      <c r="AF28028" s="831" t="s">
        <v>11767</v>
      </c>
      <c r="AG28028" s="831" t="s">
        <v>2674</v>
      </c>
      <c r="AH28028" s="831" t="s">
        <v>2698</v>
      </c>
      <c r="AI28028" s="831">
        <v>0</v>
      </c>
      <c r="AJ28028" s="835">
        <v>41973</v>
      </c>
      <c r="AK28028" s="831">
        <v>0.78380000000000005</v>
      </c>
    </row>
    <row r="28029" spans="32:37">
      <c r="AF28029" s="831" t="s">
        <v>11768</v>
      </c>
      <c r="AG28029" s="831" t="s">
        <v>2674</v>
      </c>
      <c r="AH28029" s="831" t="s">
        <v>560</v>
      </c>
      <c r="AI28029" s="831">
        <v>0</v>
      </c>
      <c r="AJ28029" s="835">
        <v>41973</v>
      </c>
      <c r="AK28029" s="831">
        <v>0.78368181818181837</v>
      </c>
    </row>
    <row r="28030" spans="32:37">
      <c r="AF28030" s="831" t="s">
        <v>11769</v>
      </c>
      <c r="AG28030" s="831" t="s">
        <v>2674</v>
      </c>
      <c r="AH28030" s="831" t="s">
        <v>559</v>
      </c>
      <c r="AI28030" s="831">
        <v>0</v>
      </c>
      <c r="AJ28030" s="835">
        <v>41973</v>
      </c>
      <c r="AK28030" s="831">
        <v>0.78365416666666687</v>
      </c>
    </row>
    <row r="28031" spans="32:37">
      <c r="AF28031" s="831" t="s">
        <v>11770</v>
      </c>
      <c r="AG28031" s="831" t="s">
        <v>2674</v>
      </c>
      <c r="AH28031" s="831" t="s">
        <v>568</v>
      </c>
      <c r="AI28031" s="831">
        <v>0</v>
      </c>
      <c r="AJ28031" s="835">
        <v>41973</v>
      </c>
      <c r="AK28031" s="831">
        <v>706055335.61153853</v>
      </c>
    </row>
    <row r="28032" spans="32:37">
      <c r="AF28032" s="831" t="s">
        <v>11771</v>
      </c>
      <c r="AG28032" s="831" t="s">
        <v>2674</v>
      </c>
      <c r="AH28032" s="831" t="s">
        <v>569</v>
      </c>
      <c r="AI28032" s="831">
        <v>0</v>
      </c>
      <c r="AJ28032" s="835">
        <v>41973</v>
      </c>
      <c r="AK28032" s="831">
        <v>877011865.12715387</v>
      </c>
    </row>
    <row r="28033" spans="32:37">
      <c r="AF28033" s="831" t="s">
        <v>11772</v>
      </c>
      <c r="AG28033" s="831" t="s">
        <v>2674</v>
      </c>
      <c r="AH28033" s="831" t="s">
        <v>570</v>
      </c>
      <c r="AI28033" s="831">
        <v>0</v>
      </c>
      <c r="AJ28033" s="835">
        <v>41973</v>
      </c>
      <c r="AK28033" s="831">
        <v>132419769.36892308</v>
      </c>
    </row>
    <row r="28034" spans="32:37">
      <c r="AF28034" s="831" t="s">
        <v>11773</v>
      </c>
      <c r="AG28034" s="831" t="s">
        <v>2674</v>
      </c>
      <c r="AH28034" s="831" t="s">
        <v>571</v>
      </c>
      <c r="AI28034" s="831">
        <v>0</v>
      </c>
      <c r="AJ28034" s="835">
        <v>41973</v>
      </c>
      <c r="AK28034" s="831">
        <v>432199968.69923079</v>
      </c>
    </row>
    <row r="28035" spans="32:37">
      <c r="AF28035" s="831" t="s">
        <v>11774</v>
      </c>
      <c r="AG28035" s="831" t="s">
        <v>2674</v>
      </c>
      <c r="AH28035" s="831" t="s">
        <v>573</v>
      </c>
      <c r="AI28035" s="831">
        <v>0</v>
      </c>
      <c r="AJ28035" s="835">
        <v>41973</v>
      </c>
      <c r="AK28035" s="831">
        <v>888073560.38024998</v>
      </c>
    </row>
    <row r="28036" spans="32:37">
      <c r="AF28036" s="831" t="s">
        <v>11775</v>
      </c>
      <c r="AG28036" s="831" t="s">
        <v>2674</v>
      </c>
      <c r="AH28036" s="831" t="s">
        <v>574</v>
      </c>
      <c r="AI28036" s="831">
        <v>0</v>
      </c>
      <c r="AJ28036" s="835">
        <v>41973</v>
      </c>
      <c r="AK28036" s="831">
        <v>715055837.75</v>
      </c>
    </row>
    <row r="28037" spans="32:37">
      <c r="AF28037" s="831" t="s">
        <v>11776</v>
      </c>
      <c r="AG28037" s="831" t="s">
        <v>2674</v>
      </c>
      <c r="AH28037" s="831" t="s">
        <v>575</v>
      </c>
      <c r="AI28037" s="831">
        <v>0</v>
      </c>
      <c r="AJ28037" s="835">
        <v>41973</v>
      </c>
      <c r="AK28037" s="831">
        <v>133194921.82833333</v>
      </c>
    </row>
    <row r="28038" spans="32:37">
      <c r="AF28038" s="831" t="s">
        <v>11777</v>
      </c>
      <c r="AG28038" s="831" t="s">
        <v>2674</v>
      </c>
      <c r="AH28038" s="831" t="s">
        <v>576</v>
      </c>
      <c r="AI28038" s="831">
        <v>0</v>
      </c>
      <c r="AJ28038" s="835">
        <v>41973</v>
      </c>
      <c r="AK28038" s="831">
        <v>438403431.08566666</v>
      </c>
    </row>
    <row r="28039" spans="32:37">
      <c r="AF28039" s="831" t="s">
        <v>11778</v>
      </c>
      <c r="AG28039" s="831" t="s">
        <v>2674</v>
      </c>
      <c r="AH28039" s="831" t="s">
        <v>572</v>
      </c>
      <c r="AI28039" s="831">
        <v>0</v>
      </c>
      <c r="AJ28039" s="835">
        <v>41973</v>
      </c>
      <c r="AK28039" s="831">
        <v>33835425.924000025</v>
      </c>
    </row>
    <row r="28040" spans="32:37">
      <c r="AF28040" s="831" t="s">
        <v>11779</v>
      </c>
      <c r="AG28040" s="831" t="s">
        <v>2674</v>
      </c>
      <c r="AH28040" s="831" t="s">
        <v>577</v>
      </c>
      <c r="AI28040" s="831">
        <v>0</v>
      </c>
      <c r="AJ28040" s="835">
        <v>41973</v>
      </c>
      <c r="AK28040" s="831">
        <v>173617070.52700001</v>
      </c>
    </row>
    <row r="28041" spans="32:37">
      <c r="AF28041" s="831" t="s">
        <v>11780</v>
      </c>
      <c r="AG28041" s="831" t="s">
        <v>2674</v>
      </c>
      <c r="AH28041" s="831" t="s">
        <v>3042</v>
      </c>
      <c r="AI28041" s="831">
        <v>0</v>
      </c>
      <c r="AJ28041" s="835">
        <v>41973</v>
      </c>
      <c r="AK28041" s="831">
        <v>-50695273.862000003</v>
      </c>
    </row>
    <row r="28042" spans="32:37">
      <c r="AF28042" s="831" t="s">
        <v>11781</v>
      </c>
      <c r="AG28042" s="831" t="s">
        <v>2674</v>
      </c>
      <c r="AH28042" s="831" t="s">
        <v>3044</v>
      </c>
      <c r="AI28042" s="831">
        <v>0</v>
      </c>
      <c r="AJ28042" s="835">
        <v>41973</v>
      </c>
      <c r="AK28042" s="831">
        <v>-2169383.0120000001</v>
      </c>
    </row>
    <row r="28043" spans="32:37">
      <c r="AF28043" s="831" t="s">
        <v>11782</v>
      </c>
      <c r="AG28043" s="831" t="s">
        <v>2674</v>
      </c>
      <c r="AH28043" s="831" t="s">
        <v>580</v>
      </c>
      <c r="AI28043" s="831">
        <v>0</v>
      </c>
      <c r="AJ28043" s="835">
        <v>41973</v>
      </c>
      <c r="AK28043" s="831">
        <v>-79126603.180999994</v>
      </c>
    </row>
    <row r="28044" spans="32:37">
      <c r="AF28044" s="831" t="s">
        <v>11783</v>
      </c>
      <c r="AG28044" s="831" t="s">
        <v>2674</v>
      </c>
      <c r="AH28044" s="831" t="s">
        <v>581</v>
      </c>
      <c r="AI28044" s="831">
        <v>0</v>
      </c>
      <c r="AJ28044" s="835">
        <v>41973</v>
      </c>
      <c r="AK28044" s="831">
        <v>4040122.4290000005</v>
      </c>
    </row>
    <row r="28045" spans="32:37">
      <c r="AF28045" s="831" t="s">
        <v>11784</v>
      </c>
      <c r="AG28045" s="831" t="s">
        <v>2674</v>
      </c>
      <c r="AH28045" s="831" t="s">
        <v>105</v>
      </c>
      <c r="AI28045" s="831">
        <v>0</v>
      </c>
      <c r="AJ28045" s="835">
        <v>41973</v>
      </c>
      <c r="AK28045" s="831">
        <v>488862063</v>
      </c>
    </row>
    <row r="28046" spans="32:37">
      <c r="AF28046" s="831" t="s">
        <v>11785</v>
      </c>
      <c r="AG28046" s="831" t="s">
        <v>2674</v>
      </c>
      <c r="AH28046" s="831" t="s">
        <v>3049</v>
      </c>
      <c r="AI28046" s="831">
        <v>0</v>
      </c>
      <c r="AJ28046" s="835">
        <v>41973</v>
      </c>
      <c r="AK28046" s="831">
        <v>810336503</v>
      </c>
    </row>
    <row r="28047" spans="32:37">
      <c r="AF28047" s="831" t="s">
        <v>11786</v>
      </c>
      <c r="AG28047" s="831" t="s">
        <v>2674</v>
      </c>
      <c r="AH28047" s="831" t="s">
        <v>103</v>
      </c>
      <c r="AI28047" s="831">
        <v>0</v>
      </c>
      <c r="AJ28047" s="835">
        <v>41973</v>
      </c>
      <c r="AK28047" s="831">
        <v>321474440</v>
      </c>
    </row>
    <row r="28048" spans="32:37">
      <c r="AF28048" s="831" t="s">
        <v>11787</v>
      </c>
      <c r="AG28048" s="831" t="s">
        <v>2674</v>
      </c>
      <c r="AH28048" s="831" t="s">
        <v>182</v>
      </c>
      <c r="AI28048" s="831">
        <v>0</v>
      </c>
      <c r="AJ28048" s="835">
        <v>41973</v>
      </c>
      <c r="AK28048" s="831">
        <v>75281666.181818187</v>
      </c>
    </row>
    <row r="28049" spans="32:37">
      <c r="AF28049" s="831" t="s">
        <v>11788</v>
      </c>
      <c r="AG28049" s="831" t="s">
        <v>2674</v>
      </c>
      <c r="AH28049" s="831" t="s">
        <v>6600</v>
      </c>
      <c r="AI28049" s="831">
        <v>0</v>
      </c>
      <c r="AJ28049" s="835">
        <v>41973</v>
      </c>
      <c r="AK28049" s="831">
        <v>33835425.924000025</v>
      </c>
    </row>
    <row r="28050" spans="32:37">
      <c r="AF28050" s="831" t="s">
        <v>11789</v>
      </c>
      <c r="AG28050" s="831" t="s">
        <v>2674</v>
      </c>
      <c r="AH28050" s="831" t="s">
        <v>6602</v>
      </c>
      <c r="AI28050" s="831">
        <v>0</v>
      </c>
      <c r="AJ28050" s="835">
        <v>41973</v>
      </c>
      <c r="AK28050" s="831">
        <v>35013602</v>
      </c>
    </row>
    <row r="28051" spans="32:37">
      <c r="AF28051" s="831" t="s">
        <v>11790</v>
      </c>
      <c r="AG28051" s="831" t="s">
        <v>2674</v>
      </c>
      <c r="AH28051" s="831" t="s">
        <v>650</v>
      </c>
      <c r="AI28051" s="831">
        <v>0</v>
      </c>
      <c r="AJ28051" s="835">
        <v>41973</v>
      </c>
      <c r="AK28051" s="831">
        <v>287670371.56684613</v>
      </c>
    </row>
    <row r="28052" spans="32:37">
      <c r="AF28052" s="831" t="s">
        <v>11791</v>
      </c>
      <c r="AG28052" s="831" t="s">
        <v>2674</v>
      </c>
      <c r="AH28052" s="831" t="s">
        <v>655</v>
      </c>
      <c r="AI28052" s="831">
        <v>0</v>
      </c>
      <c r="AJ28052" s="835">
        <v>41973</v>
      </c>
      <c r="AK28052" s="831">
        <v>919694.3899999999</v>
      </c>
    </row>
    <row r="28053" spans="32:37">
      <c r="AF28053" s="831" t="s">
        <v>11792</v>
      </c>
      <c r="AG28053" s="831" t="s">
        <v>2674</v>
      </c>
      <c r="AH28053" s="831" t="s">
        <v>546</v>
      </c>
      <c r="AI28053" s="831">
        <v>0</v>
      </c>
      <c r="AJ28053" s="835">
        <v>42004</v>
      </c>
      <c r="AK28053" s="831">
        <v>828920000</v>
      </c>
    </row>
    <row r="28054" spans="32:37">
      <c r="AF28054" s="831" t="s">
        <v>11793</v>
      </c>
      <c r="AG28054" s="831" t="s">
        <v>2674</v>
      </c>
      <c r="AH28054" s="831" t="s">
        <v>370</v>
      </c>
      <c r="AI28054" s="831">
        <v>0</v>
      </c>
      <c r="AJ28054" s="835">
        <v>42004</v>
      </c>
      <c r="AK28054" s="831">
        <v>1042210000</v>
      </c>
    </row>
    <row r="28055" spans="32:37">
      <c r="AF28055" s="831" t="s">
        <v>11794</v>
      </c>
      <c r="AG28055" s="831" t="s">
        <v>2674</v>
      </c>
      <c r="AH28055" s="831" t="s">
        <v>126</v>
      </c>
      <c r="AI28055" s="831">
        <v>0</v>
      </c>
      <c r="AJ28055" s="835">
        <v>42004</v>
      </c>
      <c r="AK28055" s="831">
        <v>145409000</v>
      </c>
    </row>
    <row r="28056" spans="32:37">
      <c r="AF28056" s="831" t="s">
        <v>11795</v>
      </c>
      <c r="AG28056" s="831" t="s">
        <v>2674</v>
      </c>
      <c r="AH28056" s="831" t="s">
        <v>268</v>
      </c>
      <c r="AI28056" s="831">
        <v>0</v>
      </c>
      <c r="AJ28056" s="835">
        <v>42004</v>
      </c>
      <c r="AK28056" s="831">
        <v>43040000</v>
      </c>
    </row>
    <row r="28057" spans="32:37">
      <c r="AF28057" s="831" t="s">
        <v>11796</v>
      </c>
      <c r="AG28057" s="831" t="s">
        <v>2674</v>
      </c>
      <c r="AH28057" s="831" t="s">
        <v>547</v>
      </c>
      <c r="AI28057" s="831">
        <v>0</v>
      </c>
      <c r="AJ28057" s="835">
        <v>42004</v>
      </c>
      <c r="AK28057" s="831">
        <v>777719977</v>
      </c>
    </row>
    <row r="28058" spans="32:37">
      <c r="AF28058" s="831" t="s">
        <v>11797</v>
      </c>
      <c r="AG28058" s="831" t="s">
        <v>2674</v>
      </c>
      <c r="AH28058" s="831" t="s">
        <v>548</v>
      </c>
      <c r="AI28058" s="831">
        <v>0</v>
      </c>
      <c r="AJ28058" s="835">
        <v>42004</v>
      </c>
      <c r="AK28058" s="831">
        <v>117105496</v>
      </c>
    </row>
    <row r="28059" spans="32:37">
      <c r="AF28059" s="831" t="s">
        <v>11798</v>
      </c>
      <c r="AG28059" s="831" t="s">
        <v>2674</v>
      </c>
      <c r="AH28059" s="831" t="s">
        <v>549</v>
      </c>
      <c r="AI28059" s="831">
        <v>0</v>
      </c>
      <c r="AJ28059" s="835">
        <v>42004</v>
      </c>
      <c r="AK28059" s="831">
        <v>627874260</v>
      </c>
    </row>
    <row r="28060" spans="32:37">
      <c r="AF28060" s="831" t="s">
        <v>11799</v>
      </c>
      <c r="AG28060" s="831" t="s">
        <v>2674</v>
      </c>
      <c r="AH28060" s="831" t="s">
        <v>192</v>
      </c>
      <c r="AI28060" s="831">
        <v>0</v>
      </c>
      <c r="AJ28060" s="835">
        <v>42004</v>
      </c>
      <c r="AK28060" s="831">
        <v>-9140000</v>
      </c>
    </row>
    <row r="28061" spans="32:37">
      <c r="AF28061" s="831" t="s">
        <v>11800</v>
      </c>
      <c r="AG28061" s="831" t="s">
        <v>2674</v>
      </c>
      <c r="AH28061" s="831" t="s">
        <v>558</v>
      </c>
      <c r="AI28061" s="831">
        <v>0</v>
      </c>
      <c r="AJ28061" s="835">
        <v>42004</v>
      </c>
      <c r="AK28061" s="831">
        <v>896801000</v>
      </c>
    </row>
    <row r="28062" spans="32:37">
      <c r="AF28062" s="831" t="s">
        <v>11801</v>
      </c>
      <c r="AG28062" s="831" t="s">
        <v>2674</v>
      </c>
      <c r="AH28062" s="831" t="s">
        <v>65</v>
      </c>
      <c r="AI28062" s="831">
        <v>0</v>
      </c>
      <c r="AJ28062" s="835">
        <v>42004</v>
      </c>
      <c r="AK28062" s="831">
        <v>169813000</v>
      </c>
    </row>
    <row r="28063" spans="32:37">
      <c r="AF28063" s="831" t="s">
        <v>11802</v>
      </c>
      <c r="AG28063" s="831" t="s">
        <v>2674</v>
      </c>
      <c r="AH28063" s="831" t="s">
        <v>89</v>
      </c>
      <c r="AI28063" s="831">
        <v>0</v>
      </c>
      <c r="AJ28063" s="835">
        <v>42004</v>
      </c>
      <c r="AK28063" s="831">
        <v>157146</v>
      </c>
    </row>
    <row r="28064" spans="32:37">
      <c r="AF28064" s="831" t="s">
        <v>11803</v>
      </c>
      <c r="AG28064" s="831" t="s">
        <v>2674</v>
      </c>
      <c r="AH28064" s="831" t="s">
        <v>557</v>
      </c>
      <c r="AI28064" s="831">
        <v>0</v>
      </c>
      <c r="AJ28064" s="835">
        <v>42004</v>
      </c>
      <c r="AK28064" s="831">
        <v>178484</v>
      </c>
    </row>
    <row r="28065" spans="32:37">
      <c r="AF28065" s="831" t="s">
        <v>11804</v>
      </c>
      <c r="AG28065" s="831" t="s">
        <v>2674</v>
      </c>
      <c r="AH28065" s="831" t="s">
        <v>29</v>
      </c>
      <c r="AI28065" s="831">
        <v>0</v>
      </c>
      <c r="AJ28065" s="835">
        <v>42004</v>
      </c>
      <c r="AK28065" s="831">
        <v>6837000</v>
      </c>
    </row>
    <row r="28066" spans="32:37">
      <c r="AF28066" s="831" t="s">
        <v>11805</v>
      </c>
      <c r="AG28066" s="831" t="s">
        <v>2674</v>
      </c>
      <c r="AH28066" s="831" t="s">
        <v>2688</v>
      </c>
      <c r="AI28066" s="831">
        <v>0</v>
      </c>
      <c r="AJ28066" s="835">
        <v>42004</v>
      </c>
      <c r="AK28066" s="831">
        <v>5048648</v>
      </c>
    </row>
    <row r="28067" spans="32:37">
      <c r="AF28067" s="831" t="s">
        <v>11806</v>
      </c>
      <c r="AG28067" s="831" t="s">
        <v>2674</v>
      </c>
      <c r="AH28067" s="831" t="s">
        <v>556</v>
      </c>
      <c r="AI28067" s="831">
        <v>0</v>
      </c>
      <c r="AJ28067" s="835">
        <v>42004</v>
      </c>
      <c r="AK28067" s="831">
        <v>11412135</v>
      </c>
    </row>
    <row r="28068" spans="32:37">
      <c r="AF28068" s="831" t="s">
        <v>11807</v>
      </c>
      <c r="AG28068" s="831" t="s">
        <v>2674</v>
      </c>
      <c r="AH28068" s="831" t="s">
        <v>555</v>
      </c>
      <c r="AI28068" s="831">
        <v>0</v>
      </c>
      <c r="AJ28068" s="835">
        <v>42004</v>
      </c>
      <c r="AK28068" s="831">
        <v>596336076</v>
      </c>
    </row>
    <row r="28069" spans="32:37">
      <c r="AF28069" s="831" t="s">
        <v>11808</v>
      </c>
      <c r="AG28069" s="831" t="s">
        <v>2674</v>
      </c>
      <c r="AH28069" s="831" t="s">
        <v>554</v>
      </c>
      <c r="AI28069" s="831">
        <v>0</v>
      </c>
      <c r="AJ28069" s="835">
        <v>42004</v>
      </c>
      <c r="AK28069" s="831">
        <v>603608535</v>
      </c>
    </row>
    <row r="28070" spans="32:37">
      <c r="AF28070" s="831" t="s">
        <v>11809</v>
      </c>
      <c r="AG28070" s="831" t="s">
        <v>2674</v>
      </c>
      <c r="AH28070" s="831" t="s">
        <v>553</v>
      </c>
      <c r="AI28070" s="831">
        <v>0</v>
      </c>
      <c r="AJ28070" s="835">
        <v>42004</v>
      </c>
      <c r="AK28070" s="831">
        <v>0</v>
      </c>
    </row>
    <row r="28071" spans="32:37">
      <c r="AF28071" s="831" t="s">
        <v>11810</v>
      </c>
      <c r="AG28071" s="831" t="s">
        <v>2674</v>
      </c>
      <c r="AH28071" s="831" t="s">
        <v>552</v>
      </c>
      <c r="AI28071" s="831">
        <v>0</v>
      </c>
      <c r="AJ28071" s="835">
        <v>42004</v>
      </c>
      <c r="AK28071" s="831">
        <v>0</v>
      </c>
    </row>
    <row r="28072" spans="32:37">
      <c r="AF28072" s="831" t="s">
        <v>11811</v>
      </c>
      <c r="AG28072" s="831" t="s">
        <v>2674</v>
      </c>
      <c r="AH28072" s="831" t="s">
        <v>551</v>
      </c>
      <c r="AI28072" s="831">
        <v>0</v>
      </c>
      <c r="AJ28072" s="835">
        <v>42004</v>
      </c>
      <c r="AK28072" s="831">
        <v>6446340</v>
      </c>
    </row>
    <row r="28073" spans="32:37">
      <c r="AF28073" s="831" t="s">
        <v>11812</v>
      </c>
      <c r="AG28073" s="831" t="s">
        <v>2674</v>
      </c>
      <c r="AH28073" s="831" t="s">
        <v>550</v>
      </c>
      <c r="AI28073" s="831">
        <v>0</v>
      </c>
      <c r="AJ28073" s="835">
        <v>42004</v>
      </c>
      <c r="AK28073" s="831">
        <v>153599665</v>
      </c>
    </row>
    <row r="28074" spans="32:37">
      <c r="AF28074" s="831" t="s">
        <v>11813</v>
      </c>
      <c r="AG28074" s="831" t="s">
        <v>2674</v>
      </c>
      <c r="AH28074" s="831" t="s">
        <v>562</v>
      </c>
      <c r="AI28074" s="831">
        <v>0</v>
      </c>
      <c r="AJ28074" s="835">
        <v>42004</v>
      </c>
      <c r="AK28074" s="831">
        <v>0.78310000000000002</v>
      </c>
    </row>
    <row r="28075" spans="32:37">
      <c r="AF28075" s="831" t="s">
        <v>11814</v>
      </c>
      <c r="AG28075" s="831" t="s">
        <v>2674</v>
      </c>
      <c r="AH28075" s="831" t="s">
        <v>2698</v>
      </c>
      <c r="AI28075" s="831">
        <v>0</v>
      </c>
      <c r="AJ28075" s="835">
        <v>42004</v>
      </c>
      <c r="AK28075" s="831">
        <v>0.78390000000000004</v>
      </c>
    </row>
    <row r="28076" spans="32:37">
      <c r="AF28076" s="831" t="s">
        <v>11815</v>
      </c>
      <c r="AG28076" s="831" t="s">
        <v>2674</v>
      </c>
      <c r="AH28076" s="831" t="s">
        <v>560</v>
      </c>
      <c r="AI28076" s="831">
        <v>0</v>
      </c>
      <c r="AJ28076" s="835">
        <v>42004</v>
      </c>
      <c r="AK28076" s="831">
        <v>0.78363333333333329</v>
      </c>
    </row>
    <row r="28077" spans="32:37">
      <c r="AF28077" s="831" t="s">
        <v>11816</v>
      </c>
      <c r="AG28077" s="831" t="s">
        <v>2674</v>
      </c>
      <c r="AH28077" s="831" t="s">
        <v>559</v>
      </c>
      <c r="AI28077" s="831">
        <v>0</v>
      </c>
      <c r="AJ28077" s="835">
        <v>42004</v>
      </c>
      <c r="AK28077" s="831">
        <v>0.78363333333333329</v>
      </c>
    </row>
    <row r="28078" spans="32:37">
      <c r="AF28078" s="831" t="s">
        <v>11817</v>
      </c>
      <c r="AG28078" s="831" t="s">
        <v>2674</v>
      </c>
      <c r="AH28078" s="831" t="s">
        <v>568</v>
      </c>
      <c r="AI28078" s="831">
        <v>0</v>
      </c>
      <c r="AJ28078" s="835">
        <v>42004</v>
      </c>
      <c r="AK28078" s="831">
        <v>723814619.46153843</v>
      </c>
    </row>
    <row r="28079" spans="32:37">
      <c r="AF28079" s="831" t="s">
        <v>11818</v>
      </c>
      <c r="AG28079" s="831" t="s">
        <v>2674</v>
      </c>
      <c r="AH28079" s="831" t="s">
        <v>569</v>
      </c>
      <c r="AI28079" s="831">
        <v>0</v>
      </c>
      <c r="AJ28079" s="835">
        <v>42004</v>
      </c>
      <c r="AK28079" s="831">
        <v>899930209.58176923</v>
      </c>
    </row>
    <row r="28080" spans="32:37">
      <c r="AF28080" s="831" t="s">
        <v>11819</v>
      </c>
      <c r="AG28080" s="831" t="s">
        <v>2674</v>
      </c>
      <c r="AH28080" s="831" t="s">
        <v>570</v>
      </c>
      <c r="AI28080" s="831">
        <v>0</v>
      </c>
      <c r="AJ28080" s="835">
        <v>42004</v>
      </c>
      <c r="AK28080" s="831">
        <v>134134466.30307692</v>
      </c>
    </row>
    <row r="28081" spans="32:37">
      <c r="AF28081" s="831" t="s">
        <v>11820</v>
      </c>
      <c r="AG28081" s="831" t="s">
        <v>2674</v>
      </c>
      <c r="AH28081" s="831" t="s">
        <v>571</v>
      </c>
      <c r="AI28081" s="831">
        <v>0</v>
      </c>
      <c r="AJ28081" s="835">
        <v>42004</v>
      </c>
      <c r="AK28081" s="831">
        <v>445629705.61753845</v>
      </c>
    </row>
    <row r="28082" spans="32:37">
      <c r="AF28082" s="831" t="s">
        <v>11821</v>
      </c>
      <c r="AG28082" s="831" t="s">
        <v>2674</v>
      </c>
      <c r="AH28082" s="831" t="s">
        <v>573</v>
      </c>
      <c r="AI28082" s="831">
        <v>0</v>
      </c>
      <c r="AJ28082" s="835">
        <v>42004</v>
      </c>
      <c r="AK28082" s="831">
        <v>899930209.58176923</v>
      </c>
    </row>
    <row r="28083" spans="32:37">
      <c r="AF28083" s="831" t="s">
        <v>11822</v>
      </c>
      <c r="AG28083" s="831" t="s">
        <v>2674</v>
      </c>
      <c r="AH28083" s="831" t="s">
        <v>574</v>
      </c>
      <c r="AI28083" s="831">
        <v>0</v>
      </c>
      <c r="AJ28083" s="835">
        <v>42004</v>
      </c>
      <c r="AK28083" s="831">
        <v>723814619.46153843</v>
      </c>
    </row>
    <row r="28084" spans="32:37">
      <c r="AF28084" s="831" t="s">
        <v>11823</v>
      </c>
      <c r="AG28084" s="831" t="s">
        <v>2674</v>
      </c>
      <c r="AH28084" s="831" t="s">
        <v>575</v>
      </c>
      <c r="AI28084" s="831">
        <v>0</v>
      </c>
      <c r="AJ28084" s="835">
        <v>42004</v>
      </c>
      <c r="AK28084" s="831">
        <v>134134466.30307692</v>
      </c>
    </row>
    <row r="28085" spans="32:37">
      <c r="AF28085" s="831" t="s">
        <v>11824</v>
      </c>
      <c r="AG28085" s="831" t="s">
        <v>2674</v>
      </c>
      <c r="AH28085" s="831" t="s">
        <v>576</v>
      </c>
      <c r="AI28085" s="831">
        <v>0</v>
      </c>
      <c r="AJ28085" s="835">
        <v>42004</v>
      </c>
      <c r="AK28085" s="831">
        <v>445629705.61753845</v>
      </c>
    </row>
    <row r="28086" spans="32:37">
      <c r="AF28086" s="831" t="s">
        <v>11825</v>
      </c>
      <c r="AG28086" s="831" t="s">
        <v>2674</v>
      </c>
      <c r="AH28086" s="831" t="s">
        <v>572</v>
      </c>
      <c r="AI28086" s="831">
        <v>0</v>
      </c>
      <c r="AJ28086" s="835">
        <v>42004</v>
      </c>
      <c r="AK28086" s="831">
        <v>43040000</v>
      </c>
    </row>
    <row r="28087" spans="32:37">
      <c r="AF28087" s="831" t="s">
        <v>11826</v>
      </c>
      <c r="AG28087" s="831" t="s">
        <v>2674</v>
      </c>
      <c r="AH28087" s="831" t="s">
        <v>577</v>
      </c>
      <c r="AI28087" s="831">
        <v>0</v>
      </c>
      <c r="AJ28087" s="835">
        <v>42004</v>
      </c>
      <c r="AK28087" s="831">
        <v>169813000</v>
      </c>
    </row>
    <row r="28088" spans="32:37">
      <c r="AF28088" s="831" t="s">
        <v>11827</v>
      </c>
      <c r="AG28088" s="831" t="s">
        <v>2674</v>
      </c>
      <c r="AH28088" s="831" t="s">
        <v>3042</v>
      </c>
      <c r="AI28088" s="831">
        <v>0</v>
      </c>
      <c r="AJ28088" s="835">
        <v>42004</v>
      </c>
      <c r="AK28088" s="831">
        <v>-51705000</v>
      </c>
    </row>
    <row r="28089" spans="32:37">
      <c r="AF28089" s="831" t="s">
        <v>11828</v>
      </c>
      <c r="AG28089" s="831" t="s">
        <v>2674</v>
      </c>
      <c r="AH28089" s="831" t="s">
        <v>3044</v>
      </c>
      <c r="AI28089" s="831">
        <v>0</v>
      </c>
      <c r="AJ28089" s="835">
        <v>42004</v>
      </c>
      <c r="AK28089" s="831">
        <v>3515000</v>
      </c>
    </row>
    <row r="28090" spans="32:37">
      <c r="AF28090" s="831" t="s">
        <v>11829</v>
      </c>
      <c r="AG28090" s="831" t="s">
        <v>2674</v>
      </c>
      <c r="AH28090" s="831" t="s">
        <v>580</v>
      </c>
      <c r="AI28090" s="831">
        <v>0</v>
      </c>
      <c r="AJ28090" s="835">
        <v>42004</v>
      </c>
      <c r="AK28090" s="831">
        <v>-78262000</v>
      </c>
    </row>
    <row r="28091" spans="32:37">
      <c r="AF28091" s="831" t="s">
        <v>11830</v>
      </c>
      <c r="AG28091" s="831" t="s">
        <v>2674</v>
      </c>
      <c r="AH28091" s="831" t="s">
        <v>581</v>
      </c>
      <c r="AI28091" s="831">
        <v>0</v>
      </c>
      <c r="AJ28091" s="835">
        <v>42004</v>
      </c>
      <c r="AK28091" s="831">
        <v>9963000</v>
      </c>
    </row>
    <row r="28092" spans="32:37">
      <c r="AF28092" s="831" t="s">
        <v>11831</v>
      </c>
      <c r="AG28092" s="831" t="s">
        <v>2674</v>
      </c>
      <c r="AH28092" s="831" t="s">
        <v>105</v>
      </c>
      <c r="AI28092" s="831">
        <v>0</v>
      </c>
      <c r="AJ28092" s="835">
        <v>42004</v>
      </c>
      <c r="AK28092" s="831">
        <v>532345000</v>
      </c>
    </row>
    <row r="28093" spans="32:37">
      <c r="AF28093" s="831" t="s">
        <v>11832</v>
      </c>
      <c r="AG28093" s="831" t="s">
        <v>2674</v>
      </c>
      <c r="AH28093" s="831" t="s">
        <v>3049</v>
      </c>
      <c r="AI28093" s="831">
        <v>0</v>
      </c>
      <c r="AJ28093" s="835">
        <v>42004</v>
      </c>
      <c r="AK28093" s="831">
        <v>871130000</v>
      </c>
    </row>
    <row r="28094" spans="32:37">
      <c r="AF28094" s="831" t="s">
        <v>11833</v>
      </c>
      <c r="AG28094" s="831" t="s">
        <v>2674</v>
      </c>
      <c r="AH28094" s="831" t="s">
        <v>103</v>
      </c>
      <c r="AI28094" s="831">
        <v>0</v>
      </c>
      <c r="AJ28094" s="835">
        <v>42004</v>
      </c>
      <c r="AK28094" s="831">
        <v>338785000</v>
      </c>
    </row>
    <row r="28095" spans="32:37">
      <c r="AF28095" s="831" t="s">
        <v>11834</v>
      </c>
      <c r="AG28095" s="831" t="s">
        <v>2674</v>
      </c>
      <c r="AH28095" s="831" t="s">
        <v>182</v>
      </c>
      <c r="AI28095" s="831">
        <v>0</v>
      </c>
      <c r="AJ28095" s="835">
        <v>42004</v>
      </c>
      <c r="AK28095" s="831">
        <v>78262000</v>
      </c>
    </row>
    <row r="28096" spans="32:37">
      <c r="AF28096" s="831" t="s">
        <v>11835</v>
      </c>
      <c r="AG28096" s="831" t="s">
        <v>2674</v>
      </c>
      <c r="AH28096" s="831" t="s">
        <v>6600</v>
      </c>
      <c r="AI28096" s="831">
        <v>0</v>
      </c>
      <c r="AJ28096" s="835">
        <v>42004</v>
      </c>
      <c r="AK28096" s="831">
        <v>43040000</v>
      </c>
    </row>
    <row r="28097" spans="32:37">
      <c r="AF28097" s="831" t="s">
        <v>11836</v>
      </c>
      <c r="AG28097" s="831" t="s">
        <v>2674</v>
      </c>
      <c r="AH28097" s="831" t="s">
        <v>6602</v>
      </c>
      <c r="AI28097" s="831">
        <v>0</v>
      </c>
      <c r="AJ28097" s="835">
        <v>42004</v>
      </c>
      <c r="AK28097" s="831">
        <v>43040000</v>
      </c>
    </row>
    <row r="28098" spans="32:37">
      <c r="AF28098" s="831" t="s">
        <v>11837</v>
      </c>
      <c r="AG28098" s="831" t="s">
        <v>2674</v>
      </c>
      <c r="AH28098" s="831" t="s">
        <v>650</v>
      </c>
      <c r="AI28098" s="831">
        <v>0</v>
      </c>
      <c r="AJ28098" s="835">
        <v>42004</v>
      </c>
      <c r="AK28098" s="831">
        <v>294946351.96523076</v>
      </c>
    </row>
    <row r="28099" spans="32:37">
      <c r="AF28099" s="831" t="s">
        <v>11838</v>
      </c>
      <c r="AG28099" s="831" t="s">
        <v>2674</v>
      </c>
      <c r="AH28099" s="831" t="s">
        <v>655</v>
      </c>
      <c r="AI28099" s="831">
        <v>0</v>
      </c>
      <c r="AJ28099" s="835">
        <v>42004</v>
      </c>
      <c r="AK28099" s="831">
        <v>5599000</v>
      </c>
    </row>
    <row r="28100" spans="32:37">
      <c r="AF28100" s="831" t="s">
        <v>11839</v>
      </c>
      <c r="AG28100" s="831" t="s">
        <v>2674</v>
      </c>
      <c r="AH28100" s="831" t="s">
        <v>546</v>
      </c>
      <c r="AI28100" s="831">
        <v>0</v>
      </c>
      <c r="AJ28100" s="835">
        <v>42035</v>
      </c>
      <c r="AK28100" s="831">
        <v>829753309</v>
      </c>
    </row>
    <row r="28101" spans="32:37">
      <c r="AF28101" s="831" t="s">
        <v>11840</v>
      </c>
      <c r="AG28101" s="831" t="s">
        <v>2674</v>
      </c>
      <c r="AH28101" s="831" t="s">
        <v>370</v>
      </c>
      <c r="AI28101" s="831">
        <v>0</v>
      </c>
      <c r="AJ28101" s="835">
        <v>42035</v>
      </c>
      <c r="AK28101" s="831">
        <v>1044609243</v>
      </c>
    </row>
    <row r="28102" spans="32:37">
      <c r="AF28102" s="831" t="s">
        <v>11841</v>
      </c>
      <c r="AG28102" s="831" t="s">
        <v>2674</v>
      </c>
      <c r="AH28102" s="831" t="s">
        <v>126</v>
      </c>
      <c r="AI28102" s="831">
        <v>0</v>
      </c>
      <c r="AJ28102" s="835">
        <v>42035</v>
      </c>
      <c r="AK28102" s="831">
        <v>148860224</v>
      </c>
    </row>
    <row r="28103" spans="32:37">
      <c r="AF28103" s="831" t="s">
        <v>11842</v>
      </c>
      <c r="AG28103" s="831" t="s">
        <v>2674</v>
      </c>
      <c r="AH28103" s="831" t="s">
        <v>268</v>
      </c>
      <c r="AI28103" s="831">
        <v>0</v>
      </c>
      <c r="AJ28103" s="835">
        <v>42035</v>
      </c>
      <c r="AK28103" s="831">
        <v>3451938</v>
      </c>
    </row>
    <row r="28104" spans="32:37">
      <c r="AF28104" s="831" t="s">
        <v>11843</v>
      </c>
      <c r="AG28104" s="831" t="s">
        <v>2674</v>
      </c>
      <c r="AH28104" s="831" t="s">
        <v>547</v>
      </c>
      <c r="AI28104" s="831">
        <v>0</v>
      </c>
      <c r="AJ28104" s="835">
        <v>42035</v>
      </c>
      <c r="AK28104" s="831">
        <v>1044609243</v>
      </c>
    </row>
    <row r="28105" spans="32:37">
      <c r="AF28105" s="831" t="s">
        <v>11844</v>
      </c>
      <c r="AG28105" s="831" t="s">
        <v>2674</v>
      </c>
      <c r="AH28105" s="831" t="s">
        <v>548</v>
      </c>
      <c r="AI28105" s="831">
        <v>0</v>
      </c>
      <c r="AJ28105" s="835">
        <v>42035</v>
      </c>
      <c r="AK28105" s="831">
        <v>148860224</v>
      </c>
    </row>
    <row r="28106" spans="32:37">
      <c r="AF28106" s="831" t="s">
        <v>11845</v>
      </c>
      <c r="AG28106" s="831" t="s">
        <v>2674</v>
      </c>
      <c r="AH28106" s="831" t="s">
        <v>549</v>
      </c>
      <c r="AI28106" s="831">
        <v>0</v>
      </c>
      <c r="AJ28106" s="835">
        <v>42035</v>
      </c>
      <c r="AK28106" s="831">
        <v>635618516</v>
      </c>
    </row>
    <row r="28107" spans="32:37">
      <c r="AF28107" s="831" t="s">
        <v>11846</v>
      </c>
      <c r="AG28107" s="831" t="s">
        <v>2674</v>
      </c>
      <c r="AH28107" s="831" t="s">
        <v>192</v>
      </c>
      <c r="AI28107" s="831">
        <v>0</v>
      </c>
      <c r="AJ28107" s="835">
        <v>42035</v>
      </c>
      <c r="AK28107" s="831">
        <v>-9765211</v>
      </c>
    </row>
    <row r="28108" spans="32:37">
      <c r="AF28108" s="831" t="s">
        <v>11847</v>
      </c>
      <c r="AG28108" s="831" t="s">
        <v>2674</v>
      </c>
      <c r="AH28108" s="831" t="s">
        <v>558</v>
      </c>
      <c r="AI28108" s="831">
        <v>0</v>
      </c>
      <c r="AJ28108" s="835">
        <v>42035</v>
      </c>
      <c r="AK28108" s="831">
        <v>895749019</v>
      </c>
    </row>
    <row r="28109" spans="32:37">
      <c r="AF28109" s="831" t="s">
        <v>11848</v>
      </c>
      <c r="AG28109" s="831" t="s">
        <v>2674</v>
      </c>
      <c r="AH28109" s="831" t="s">
        <v>65</v>
      </c>
      <c r="AI28109" s="831">
        <v>0</v>
      </c>
      <c r="AJ28109" s="835">
        <v>42035</v>
      </c>
      <c r="AK28109" s="831">
        <v>16060962</v>
      </c>
    </row>
    <row r="28110" spans="32:37">
      <c r="AF28110" s="831" t="s">
        <v>11849</v>
      </c>
      <c r="AG28110" s="831" t="s">
        <v>2674</v>
      </c>
      <c r="AH28110" s="831" t="s">
        <v>89</v>
      </c>
      <c r="AI28110" s="831">
        <v>0</v>
      </c>
      <c r="AJ28110" s="835">
        <v>42035</v>
      </c>
      <c r="AK28110" s="831">
        <v>158062</v>
      </c>
    </row>
    <row r="28111" spans="32:37">
      <c r="AF28111" s="831" t="s">
        <v>11850</v>
      </c>
      <c r="AG28111" s="831" t="s">
        <v>2674</v>
      </c>
      <c r="AH28111" s="831" t="s">
        <v>557</v>
      </c>
      <c r="AI28111" s="831">
        <v>0</v>
      </c>
      <c r="AJ28111" s="835">
        <v>42035</v>
      </c>
      <c r="AK28111" s="831">
        <v>180227</v>
      </c>
    </row>
    <row r="28112" spans="32:37">
      <c r="AF28112" s="831" t="s">
        <v>11851</v>
      </c>
      <c r="AG28112" s="831" t="s">
        <v>2674</v>
      </c>
      <c r="AH28112" s="831" t="s">
        <v>29</v>
      </c>
      <c r="AI28112" s="831">
        <v>0</v>
      </c>
      <c r="AJ28112" s="835">
        <v>42035</v>
      </c>
      <c r="AK28112" s="831">
        <v>7401483</v>
      </c>
    </row>
    <row r="28113" spans="32:37">
      <c r="AF28113" s="831" t="s">
        <v>11852</v>
      </c>
      <c r="AG28113" s="831" t="s">
        <v>2674</v>
      </c>
      <c r="AH28113" s="831" t="s">
        <v>2688</v>
      </c>
      <c r="AI28113" s="831">
        <v>0</v>
      </c>
      <c r="AJ28113" s="835">
        <v>42035</v>
      </c>
      <c r="AK28113" s="831">
        <v>5438707</v>
      </c>
    </row>
    <row r="28114" spans="32:37">
      <c r="AF28114" s="831" t="s">
        <v>11853</v>
      </c>
      <c r="AG28114" s="831" t="s">
        <v>2674</v>
      </c>
      <c r="AH28114" s="831" t="s">
        <v>556</v>
      </c>
      <c r="AI28114" s="831">
        <v>0</v>
      </c>
      <c r="AJ28114" s="835">
        <v>42035</v>
      </c>
      <c r="AK28114" s="831">
        <v>11412135</v>
      </c>
    </row>
    <row r="28115" spans="32:37">
      <c r="AF28115" s="831" t="s">
        <v>11854</v>
      </c>
      <c r="AG28115" s="831" t="s">
        <v>2674</v>
      </c>
      <c r="AH28115" s="831" t="s">
        <v>555</v>
      </c>
      <c r="AI28115" s="831">
        <v>0</v>
      </c>
      <c r="AJ28115" s="835">
        <v>42035</v>
      </c>
      <c r="AK28115" s="831">
        <v>579511362</v>
      </c>
    </row>
    <row r="28116" spans="32:37">
      <c r="AF28116" s="831" t="s">
        <v>11855</v>
      </c>
      <c r="AG28116" s="831" t="s">
        <v>2674</v>
      </c>
      <c r="AH28116" s="831" t="s">
        <v>554</v>
      </c>
      <c r="AI28116" s="831">
        <v>0</v>
      </c>
      <c r="AJ28116" s="835">
        <v>42035</v>
      </c>
      <c r="AK28116" s="831">
        <v>622474260</v>
      </c>
    </row>
    <row r="28117" spans="32:37">
      <c r="AF28117" s="831" t="s">
        <v>11856</v>
      </c>
      <c r="AG28117" s="831" t="s">
        <v>2674</v>
      </c>
      <c r="AH28117" s="831" t="s">
        <v>553</v>
      </c>
      <c r="AI28117" s="831">
        <v>0</v>
      </c>
      <c r="AJ28117" s="835">
        <v>42035</v>
      </c>
      <c r="AK28117" s="831">
        <v>0</v>
      </c>
    </row>
    <row r="28118" spans="32:37">
      <c r="AF28118" s="831" t="s">
        <v>11857</v>
      </c>
      <c r="AG28118" s="831" t="s">
        <v>2674</v>
      </c>
      <c r="AH28118" s="831" t="s">
        <v>552</v>
      </c>
      <c r="AI28118" s="831">
        <v>0</v>
      </c>
      <c r="AJ28118" s="835">
        <v>42035</v>
      </c>
      <c r="AK28118" s="831">
        <v>0</v>
      </c>
    </row>
    <row r="28119" spans="32:37">
      <c r="AF28119" s="831" t="s">
        <v>11858</v>
      </c>
      <c r="AG28119" s="831" t="s">
        <v>2674</v>
      </c>
      <c r="AH28119" s="831" t="s">
        <v>551</v>
      </c>
      <c r="AI28119" s="831">
        <v>0</v>
      </c>
      <c r="AJ28119" s="835">
        <v>42035</v>
      </c>
      <c r="AK28119" s="831">
        <v>5260060</v>
      </c>
    </row>
    <row r="28120" spans="32:37">
      <c r="AF28120" s="831" t="s">
        <v>11859</v>
      </c>
      <c r="AG28120" s="831" t="s">
        <v>2674</v>
      </c>
      <c r="AH28120" s="831" t="s">
        <v>550</v>
      </c>
      <c r="AI28120" s="831">
        <v>0</v>
      </c>
      <c r="AJ28120" s="835">
        <v>42035</v>
      </c>
      <c r="AK28120" s="831">
        <v>145409000</v>
      </c>
    </row>
    <row r="28121" spans="32:37">
      <c r="AF28121" s="831" t="s">
        <v>11860</v>
      </c>
      <c r="AG28121" s="831" t="s">
        <v>2674</v>
      </c>
      <c r="AH28121" s="831" t="s">
        <v>562</v>
      </c>
      <c r="AI28121" s="831">
        <v>0</v>
      </c>
      <c r="AJ28121" s="835">
        <v>42035</v>
      </c>
      <c r="AK28121" s="831">
        <v>0.78439999999999999</v>
      </c>
    </row>
    <row r="28122" spans="32:37">
      <c r="AF28122" s="831" t="s">
        <v>11861</v>
      </c>
      <c r="AG28122" s="831" t="s">
        <v>2674</v>
      </c>
      <c r="AH28122" s="831" t="s">
        <v>2698</v>
      </c>
      <c r="AI28122" s="831">
        <v>0</v>
      </c>
      <c r="AJ28122" s="835">
        <v>42035</v>
      </c>
      <c r="AK28122" s="831">
        <v>0.78310000000000002</v>
      </c>
    </row>
    <row r="28123" spans="32:37">
      <c r="AF28123" s="831" t="s">
        <v>11862</v>
      </c>
      <c r="AG28123" s="831" t="s">
        <v>2674</v>
      </c>
      <c r="AH28123" s="831" t="s">
        <v>560</v>
      </c>
      <c r="AI28123" s="831">
        <v>0</v>
      </c>
      <c r="AJ28123" s="835">
        <v>42035</v>
      </c>
      <c r="AK28123" s="831">
        <v>0.78439999999999999</v>
      </c>
    </row>
    <row r="28124" spans="32:37">
      <c r="AF28124" s="831" t="s">
        <v>11863</v>
      </c>
      <c r="AG28124" s="831" t="s">
        <v>2674</v>
      </c>
      <c r="AH28124" s="831" t="s">
        <v>559</v>
      </c>
      <c r="AI28124" s="831">
        <v>0</v>
      </c>
      <c r="AJ28124" s="835">
        <v>42035</v>
      </c>
      <c r="AK28124" s="831">
        <v>0.78369583333333326</v>
      </c>
    </row>
    <row r="28125" spans="32:37">
      <c r="AF28125" s="831" t="s">
        <v>11864</v>
      </c>
      <c r="AG28125" s="831" t="s">
        <v>2674</v>
      </c>
      <c r="AH28125" s="831" t="s">
        <v>568</v>
      </c>
      <c r="AI28125" s="831">
        <v>0</v>
      </c>
      <c r="AJ28125" s="835">
        <v>42035</v>
      </c>
      <c r="AK28125" s="831">
        <v>739343777.07692313</v>
      </c>
    </row>
    <row r="28126" spans="32:37">
      <c r="AF28126" s="831" t="s">
        <v>11865</v>
      </c>
      <c r="AG28126" s="831" t="s">
        <v>2674</v>
      </c>
      <c r="AH28126" s="831" t="s">
        <v>569</v>
      </c>
      <c r="AI28126" s="831">
        <v>0</v>
      </c>
      <c r="AJ28126" s="835">
        <v>42035</v>
      </c>
      <c r="AK28126" s="831">
        <v>919552846</v>
      </c>
    </row>
    <row r="28127" spans="32:37">
      <c r="AF28127" s="831" t="s">
        <v>11866</v>
      </c>
      <c r="AG28127" s="831" t="s">
        <v>2674</v>
      </c>
      <c r="AH28127" s="831" t="s">
        <v>570</v>
      </c>
      <c r="AI28127" s="831">
        <v>0</v>
      </c>
      <c r="AJ28127" s="835">
        <v>42035</v>
      </c>
      <c r="AK28127" s="831">
        <v>136809116.92538461</v>
      </c>
    </row>
    <row r="28128" spans="32:37">
      <c r="AF28128" s="831" t="s">
        <v>11867</v>
      </c>
      <c r="AG28128" s="831" t="s">
        <v>2674</v>
      </c>
      <c r="AH28128" s="831" t="s">
        <v>571</v>
      </c>
      <c r="AI28128" s="831">
        <v>0</v>
      </c>
      <c r="AJ28128" s="835">
        <v>42035</v>
      </c>
      <c r="AK28128" s="831">
        <v>456907538.41669232</v>
      </c>
    </row>
    <row r="28129" spans="32:37">
      <c r="AF28129" s="831" t="s">
        <v>11868</v>
      </c>
      <c r="AG28129" s="831" t="s">
        <v>2674</v>
      </c>
      <c r="AH28129" s="831" t="s">
        <v>573</v>
      </c>
      <c r="AI28129" s="831">
        <v>0</v>
      </c>
      <c r="AJ28129" s="835">
        <v>42035</v>
      </c>
      <c r="AK28129" s="831">
        <v>1043409621.5</v>
      </c>
    </row>
    <row r="28130" spans="32:37">
      <c r="AF28130" s="831" t="s">
        <v>11869</v>
      </c>
      <c r="AG28130" s="831" t="s">
        <v>2674</v>
      </c>
      <c r="AH28130" s="831" t="s">
        <v>574</v>
      </c>
      <c r="AI28130" s="831">
        <v>0</v>
      </c>
      <c r="AJ28130" s="835">
        <v>42035</v>
      </c>
      <c r="AK28130" s="831">
        <v>829336654.5</v>
      </c>
    </row>
    <row r="28131" spans="32:37">
      <c r="AF28131" s="831" t="s">
        <v>11870</v>
      </c>
      <c r="AG28131" s="831" t="s">
        <v>2674</v>
      </c>
      <c r="AH28131" s="831" t="s">
        <v>575</v>
      </c>
      <c r="AI28131" s="831">
        <v>0</v>
      </c>
      <c r="AJ28131" s="835">
        <v>42035</v>
      </c>
      <c r="AK28131" s="831">
        <v>147134612</v>
      </c>
    </row>
    <row r="28132" spans="32:37">
      <c r="AF28132" s="831" t="s">
        <v>11871</v>
      </c>
      <c r="AG28132" s="831" t="s">
        <v>2674</v>
      </c>
      <c r="AH28132" s="831" t="s">
        <v>576</v>
      </c>
      <c r="AI28132" s="831">
        <v>0</v>
      </c>
      <c r="AJ28132" s="835">
        <v>42035</v>
      </c>
      <c r="AK28132" s="831">
        <v>535265337</v>
      </c>
    </row>
    <row r="28133" spans="32:37">
      <c r="AF28133" s="831" t="s">
        <v>11872</v>
      </c>
      <c r="AG28133" s="831" t="s">
        <v>2674</v>
      </c>
      <c r="AH28133" s="831" t="s">
        <v>572</v>
      </c>
      <c r="AI28133" s="831">
        <v>0</v>
      </c>
      <c r="AJ28133" s="835">
        <v>42035</v>
      </c>
      <c r="AK28133" s="831">
        <v>43193117</v>
      </c>
    </row>
    <row r="28134" spans="32:37">
      <c r="AF28134" s="831" t="s">
        <v>11873</v>
      </c>
      <c r="AG28134" s="831" t="s">
        <v>2674</v>
      </c>
      <c r="AH28134" s="831" t="s">
        <v>577</v>
      </c>
      <c r="AI28134" s="831">
        <v>0</v>
      </c>
      <c r="AJ28134" s="835">
        <v>42035</v>
      </c>
      <c r="AK28134" s="831">
        <v>172605174</v>
      </c>
    </row>
    <row r="28135" spans="32:37">
      <c r="AF28135" s="831" t="s">
        <v>11874</v>
      </c>
      <c r="AG28135" s="831" t="s">
        <v>2674</v>
      </c>
      <c r="AH28135" s="831" t="s">
        <v>3042</v>
      </c>
      <c r="AI28135" s="831">
        <v>0</v>
      </c>
      <c r="AJ28135" s="835">
        <v>42035</v>
      </c>
      <c r="AK28135" s="831">
        <v>-52806938</v>
      </c>
    </row>
    <row r="28136" spans="32:37">
      <c r="AF28136" s="831" t="s">
        <v>11875</v>
      </c>
      <c r="AG28136" s="831" t="s">
        <v>2674</v>
      </c>
      <c r="AH28136" s="831" t="s">
        <v>3044</v>
      </c>
      <c r="AI28136" s="831">
        <v>0</v>
      </c>
      <c r="AJ28136" s="835">
        <v>42035</v>
      </c>
      <c r="AK28136" s="831">
        <v>3134380</v>
      </c>
    </row>
    <row r="28137" spans="32:37">
      <c r="AF28137" s="831" t="s">
        <v>11876</v>
      </c>
      <c r="AG28137" s="831" t="s">
        <v>2674</v>
      </c>
      <c r="AH28137" s="831" t="s">
        <v>580</v>
      </c>
      <c r="AI28137" s="831">
        <v>0</v>
      </c>
      <c r="AJ28137" s="835">
        <v>42035</v>
      </c>
      <c r="AK28137" s="831">
        <v>-79238495</v>
      </c>
    </row>
    <row r="28138" spans="32:37">
      <c r="AF28138" s="831" t="s">
        <v>11877</v>
      </c>
      <c r="AG28138" s="831" t="s">
        <v>2674</v>
      </c>
      <c r="AH28138" s="831" t="s">
        <v>581</v>
      </c>
      <c r="AI28138" s="831">
        <v>0</v>
      </c>
      <c r="AJ28138" s="835">
        <v>42035</v>
      </c>
      <c r="AK28138" s="831">
        <v>9801179</v>
      </c>
    </row>
    <row r="28139" spans="32:37">
      <c r="AF28139" s="831" t="s">
        <v>11878</v>
      </c>
      <c r="AG28139" s="831" t="s">
        <v>2674</v>
      </c>
      <c r="AH28139" s="831" t="s">
        <v>105</v>
      </c>
      <c r="AI28139" s="831">
        <v>0</v>
      </c>
      <c r="AJ28139" s="835">
        <v>42035</v>
      </c>
      <c r="AK28139" s="831">
        <v>538185674</v>
      </c>
    </row>
    <row r="28140" spans="32:37">
      <c r="AF28140" s="831" t="s">
        <v>11879</v>
      </c>
      <c r="AG28140" s="831" t="s">
        <v>2674</v>
      </c>
      <c r="AH28140" s="831" t="s">
        <v>3049</v>
      </c>
      <c r="AI28140" s="831">
        <v>0</v>
      </c>
      <c r="AJ28140" s="835">
        <v>42035</v>
      </c>
      <c r="AK28140" s="831">
        <v>868832996</v>
      </c>
    </row>
    <row r="28141" spans="32:37">
      <c r="AF28141" s="831" t="s">
        <v>11880</v>
      </c>
      <c r="AG28141" s="831" t="s">
        <v>2674</v>
      </c>
      <c r="AH28141" s="831" t="s">
        <v>103</v>
      </c>
      <c r="AI28141" s="831">
        <v>0</v>
      </c>
      <c r="AJ28141" s="835">
        <v>42035</v>
      </c>
      <c r="AK28141" s="831">
        <v>330647322</v>
      </c>
    </row>
    <row r="28142" spans="32:37">
      <c r="AF28142" s="831" t="s">
        <v>11881</v>
      </c>
      <c r="AG28142" s="831" t="s">
        <v>2674</v>
      </c>
      <c r="AH28142" s="831" t="s">
        <v>182</v>
      </c>
      <c r="AI28142" s="831">
        <v>0</v>
      </c>
      <c r="AJ28142" s="835">
        <v>42035</v>
      </c>
      <c r="AK28142" s="831">
        <v>79397220</v>
      </c>
    </row>
    <row r="28143" spans="32:37">
      <c r="AF28143" s="831" t="s">
        <v>11882</v>
      </c>
      <c r="AG28143" s="831" t="s">
        <v>2674</v>
      </c>
      <c r="AH28143" s="831" t="s">
        <v>6600</v>
      </c>
      <c r="AI28143" s="831">
        <v>0</v>
      </c>
      <c r="AJ28143" s="835">
        <v>42035</v>
      </c>
      <c r="AK28143" s="831">
        <v>43193117</v>
      </c>
    </row>
    <row r="28144" spans="32:37">
      <c r="AF28144" s="831" t="s">
        <v>11883</v>
      </c>
      <c r="AG28144" s="831" t="s">
        <v>2674</v>
      </c>
      <c r="AH28144" s="831" t="s">
        <v>6602</v>
      </c>
      <c r="AI28144" s="831">
        <v>0</v>
      </c>
      <c r="AJ28144" s="835">
        <v>42035</v>
      </c>
      <c r="AK28144" s="831">
        <v>3451938</v>
      </c>
    </row>
    <row r="28145" spans="32:37">
      <c r="AF28145" s="831" t="s">
        <v>11884</v>
      </c>
      <c r="AG28145" s="831" t="s">
        <v>2674</v>
      </c>
      <c r="AH28145" s="831" t="s">
        <v>650</v>
      </c>
      <c r="AI28145" s="831">
        <v>0</v>
      </c>
      <c r="AJ28145" s="835">
        <v>42035</v>
      </c>
      <c r="AK28145" s="831">
        <v>300938254.07461542</v>
      </c>
    </row>
    <row r="28146" spans="32:37">
      <c r="AF28146" s="831" t="s">
        <v>11885</v>
      </c>
      <c r="AG28146" s="831" t="s">
        <v>2674</v>
      </c>
      <c r="AH28146" s="831" t="s">
        <v>655</v>
      </c>
      <c r="AI28146" s="831">
        <v>0</v>
      </c>
      <c r="AJ28146" s="835">
        <v>42035</v>
      </c>
      <c r="AK28146" s="831">
        <v>4403089</v>
      </c>
    </row>
    <row r="28147" spans="32:37">
      <c r="AF28147" s="831" t="s">
        <v>11886</v>
      </c>
      <c r="AG28147" s="831" t="s">
        <v>2674</v>
      </c>
      <c r="AH28147" s="831" t="s">
        <v>546</v>
      </c>
      <c r="AI28147" s="831">
        <v>0</v>
      </c>
      <c r="AJ28147" s="835">
        <v>42063</v>
      </c>
      <c r="AK28147" s="831">
        <v>965858339</v>
      </c>
    </row>
    <row r="28148" spans="32:37">
      <c r="AF28148" s="831" t="s">
        <v>11887</v>
      </c>
      <c r="AG28148" s="831" t="s">
        <v>2674</v>
      </c>
      <c r="AH28148" s="831" t="s">
        <v>370</v>
      </c>
      <c r="AI28148" s="831">
        <v>0</v>
      </c>
      <c r="AJ28148" s="835">
        <v>42063</v>
      </c>
      <c r="AK28148" s="831">
        <v>1253581727</v>
      </c>
    </row>
    <row r="28149" spans="32:37">
      <c r="AF28149" s="831" t="s">
        <v>11888</v>
      </c>
      <c r="AG28149" s="831" t="s">
        <v>2674</v>
      </c>
      <c r="AH28149" s="831" t="s">
        <v>126</v>
      </c>
      <c r="AI28149" s="831">
        <v>0</v>
      </c>
      <c r="AJ28149" s="835">
        <v>42063</v>
      </c>
      <c r="AK28149" s="831">
        <v>143500530</v>
      </c>
    </row>
    <row r="28150" spans="32:37">
      <c r="AF28150" s="831" t="s">
        <v>11889</v>
      </c>
      <c r="AG28150" s="831" t="s">
        <v>2674</v>
      </c>
      <c r="AH28150" s="831" t="s">
        <v>268</v>
      </c>
      <c r="AI28150" s="831">
        <v>0</v>
      </c>
      <c r="AJ28150" s="835">
        <v>42063</v>
      </c>
      <c r="AK28150" s="831">
        <v>-1907756</v>
      </c>
    </row>
    <row r="28151" spans="32:37">
      <c r="AF28151" s="831" t="s">
        <v>11890</v>
      </c>
      <c r="AG28151" s="831" t="s">
        <v>2674</v>
      </c>
      <c r="AH28151" s="831" t="s">
        <v>547</v>
      </c>
      <c r="AI28151" s="831">
        <v>0</v>
      </c>
      <c r="AJ28151" s="835">
        <v>42063</v>
      </c>
      <c r="AK28151" s="831">
        <v>1044609243</v>
      </c>
    </row>
    <row r="28152" spans="32:37">
      <c r="AF28152" s="831" t="s">
        <v>11891</v>
      </c>
      <c r="AG28152" s="831" t="s">
        <v>2674</v>
      </c>
      <c r="AH28152" s="831" t="s">
        <v>548</v>
      </c>
      <c r="AI28152" s="831">
        <v>0</v>
      </c>
      <c r="AJ28152" s="835">
        <v>42063</v>
      </c>
      <c r="AK28152" s="831">
        <v>148860224</v>
      </c>
    </row>
    <row r="28153" spans="32:37">
      <c r="AF28153" s="831" t="s">
        <v>11892</v>
      </c>
      <c r="AG28153" s="831" t="s">
        <v>2674</v>
      </c>
      <c r="AH28153" s="831" t="s">
        <v>549</v>
      </c>
      <c r="AI28153" s="831">
        <v>0</v>
      </c>
      <c r="AJ28153" s="835">
        <v>42063</v>
      </c>
      <c r="AK28153" s="831">
        <v>652795035</v>
      </c>
    </row>
    <row r="28154" spans="32:37">
      <c r="AF28154" s="831" t="s">
        <v>11893</v>
      </c>
      <c r="AG28154" s="831" t="s">
        <v>2674</v>
      </c>
      <c r="AH28154" s="831" t="s">
        <v>192</v>
      </c>
      <c r="AI28154" s="831">
        <v>0</v>
      </c>
      <c r="AJ28154" s="835">
        <v>42063</v>
      </c>
      <c r="AK28154" s="831">
        <v>-13765211</v>
      </c>
    </row>
    <row r="28155" spans="32:37">
      <c r="AF28155" s="831" t="s">
        <v>11894</v>
      </c>
      <c r="AG28155" s="831" t="s">
        <v>2674</v>
      </c>
      <c r="AH28155" s="831" t="s">
        <v>558</v>
      </c>
      <c r="AI28155" s="831">
        <v>0</v>
      </c>
      <c r="AJ28155" s="835">
        <v>42063</v>
      </c>
      <c r="AK28155" s="831">
        <v>1110081197</v>
      </c>
    </row>
    <row r="28156" spans="32:37">
      <c r="AF28156" s="831" t="s">
        <v>11895</v>
      </c>
      <c r="AG28156" s="831" t="s">
        <v>2674</v>
      </c>
      <c r="AH28156" s="831" t="s">
        <v>65</v>
      </c>
      <c r="AI28156" s="831">
        <v>0</v>
      </c>
      <c r="AJ28156" s="835">
        <v>42063</v>
      </c>
      <c r="AK28156" s="831">
        <v>31017741</v>
      </c>
    </row>
    <row r="28157" spans="32:37">
      <c r="AF28157" s="831" t="s">
        <v>11896</v>
      </c>
      <c r="AG28157" s="831" t="s">
        <v>2674</v>
      </c>
      <c r="AH28157" s="831" t="s">
        <v>89</v>
      </c>
      <c r="AI28157" s="831">
        <v>0</v>
      </c>
      <c r="AJ28157" s="835">
        <v>42063</v>
      </c>
      <c r="AK28157" s="831">
        <v>157073</v>
      </c>
    </row>
    <row r="28158" spans="32:37">
      <c r="AF28158" s="831" t="s">
        <v>11897</v>
      </c>
      <c r="AG28158" s="831" t="s">
        <v>2674</v>
      </c>
      <c r="AH28158" s="831" t="s">
        <v>557</v>
      </c>
      <c r="AI28158" s="831">
        <v>0</v>
      </c>
      <c r="AJ28158" s="835">
        <v>42063</v>
      </c>
      <c r="AK28158" s="831">
        <v>179494</v>
      </c>
    </row>
    <row r="28159" spans="32:37">
      <c r="AF28159" s="831" t="s">
        <v>11898</v>
      </c>
      <c r="AG28159" s="831" t="s">
        <v>2674</v>
      </c>
      <c r="AH28159" s="831" t="s">
        <v>29</v>
      </c>
      <c r="AI28159" s="831">
        <v>0</v>
      </c>
      <c r="AJ28159" s="835">
        <v>42063</v>
      </c>
      <c r="AK28159" s="831">
        <v>8683621</v>
      </c>
    </row>
    <row r="28160" spans="32:37">
      <c r="AF28160" s="831" t="s">
        <v>11899</v>
      </c>
      <c r="AG28160" s="831" t="s">
        <v>2674</v>
      </c>
      <c r="AH28160" s="831" t="s">
        <v>2688</v>
      </c>
      <c r="AI28160" s="831">
        <v>0</v>
      </c>
      <c r="AJ28160" s="835">
        <v>42063</v>
      </c>
      <c r="AK28160" s="831">
        <v>11508492</v>
      </c>
    </row>
    <row r="28161" spans="32:37">
      <c r="AF28161" s="831" t="s">
        <v>11900</v>
      </c>
      <c r="AG28161" s="831" t="s">
        <v>2674</v>
      </c>
      <c r="AH28161" s="831" t="s">
        <v>556</v>
      </c>
      <c r="AI28161" s="831">
        <v>0</v>
      </c>
      <c r="AJ28161" s="835">
        <v>42063</v>
      </c>
      <c r="AK28161" s="831">
        <v>11412135</v>
      </c>
    </row>
    <row r="28162" spans="32:37">
      <c r="AF28162" s="831" t="s">
        <v>11901</v>
      </c>
      <c r="AG28162" s="831" t="s">
        <v>2674</v>
      </c>
      <c r="AH28162" s="831" t="s">
        <v>555</v>
      </c>
      <c r="AI28162" s="831">
        <v>0</v>
      </c>
      <c r="AJ28162" s="835">
        <v>42063</v>
      </c>
      <c r="AK28162" s="831">
        <v>771141919</v>
      </c>
    </row>
    <row r="28163" spans="32:37">
      <c r="AF28163" s="831" t="s">
        <v>11902</v>
      </c>
      <c r="AG28163" s="831" t="s">
        <v>2674</v>
      </c>
      <c r="AH28163" s="831" t="s">
        <v>554</v>
      </c>
      <c r="AI28163" s="831">
        <v>0</v>
      </c>
      <c r="AJ28163" s="835">
        <v>42063</v>
      </c>
      <c r="AK28163" s="831">
        <v>856164850</v>
      </c>
    </row>
    <row r="28164" spans="32:37">
      <c r="AF28164" s="831" t="s">
        <v>11903</v>
      </c>
      <c r="AG28164" s="831" t="s">
        <v>2674</v>
      </c>
      <c r="AH28164" s="831" t="s">
        <v>553</v>
      </c>
      <c r="AI28164" s="831">
        <v>0</v>
      </c>
      <c r="AJ28164" s="835">
        <v>42063</v>
      </c>
      <c r="AK28164" s="831">
        <v>92382400</v>
      </c>
    </row>
    <row r="28165" spans="32:37">
      <c r="AF28165" s="831" t="s">
        <v>11904</v>
      </c>
      <c r="AG28165" s="831" t="s">
        <v>2674</v>
      </c>
      <c r="AH28165" s="831" t="s">
        <v>552</v>
      </c>
      <c r="AI28165" s="831">
        <v>0</v>
      </c>
      <c r="AJ28165" s="835">
        <v>42063</v>
      </c>
      <c r="AK28165" s="831">
        <v>0</v>
      </c>
    </row>
    <row r="28166" spans="32:37">
      <c r="AF28166" s="831" t="s">
        <v>11905</v>
      </c>
      <c r="AG28166" s="831" t="s">
        <v>2674</v>
      </c>
      <c r="AH28166" s="831" t="s">
        <v>551</v>
      </c>
      <c r="AI28166" s="831">
        <v>0</v>
      </c>
      <c r="AJ28166" s="835">
        <v>42063</v>
      </c>
      <c r="AK28166" s="831">
        <v>7487687</v>
      </c>
    </row>
    <row r="28167" spans="32:37">
      <c r="AF28167" s="831" t="s">
        <v>11906</v>
      </c>
      <c r="AG28167" s="831" t="s">
        <v>2674</v>
      </c>
      <c r="AH28167" s="831" t="s">
        <v>550</v>
      </c>
      <c r="AI28167" s="831">
        <v>0</v>
      </c>
      <c r="AJ28167" s="835">
        <v>42063</v>
      </c>
      <c r="AK28167" s="831">
        <v>148860224</v>
      </c>
    </row>
    <row r="28168" spans="32:37">
      <c r="AF28168" s="831" t="s">
        <v>11907</v>
      </c>
      <c r="AG28168" s="831" t="s">
        <v>2674</v>
      </c>
      <c r="AH28168" s="831" t="s">
        <v>562</v>
      </c>
      <c r="AI28168" s="831">
        <v>0</v>
      </c>
      <c r="AJ28168" s="835">
        <v>42063</v>
      </c>
      <c r="AK28168" s="831">
        <v>1.04575</v>
      </c>
    </row>
    <row r="28169" spans="32:37">
      <c r="AF28169" s="831" t="s">
        <v>11908</v>
      </c>
      <c r="AG28169" s="831" t="s">
        <v>2674</v>
      </c>
      <c r="AH28169" s="831" t="s">
        <v>2698</v>
      </c>
      <c r="AI28169" s="831">
        <v>0</v>
      </c>
      <c r="AJ28169" s="835">
        <v>42063</v>
      </c>
      <c r="AK28169" s="831">
        <v>0.78439999999999999</v>
      </c>
    </row>
    <row r="28170" spans="32:37">
      <c r="AF28170" s="831" t="s">
        <v>11909</v>
      </c>
      <c r="AG28170" s="831" t="s">
        <v>2674</v>
      </c>
      <c r="AH28170" s="831" t="s">
        <v>560</v>
      </c>
      <c r="AI28170" s="831">
        <v>0</v>
      </c>
      <c r="AJ28170" s="835">
        <v>42063</v>
      </c>
      <c r="AK28170" s="831">
        <v>0.91507499999999997</v>
      </c>
    </row>
    <row r="28171" spans="32:37">
      <c r="AF28171" s="831" t="s">
        <v>11910</v>
      </c>
      <c r="AG28171" s="831" t="s">
        <v>2674</v>
      </c>
      <c r="AH28171" s="831" t="s">
        <v>559</v>
      </c>
      <c r="AI28171" s="831">
        <v>0</v>
      </c>
      <c r="AJ28171" s="835">
        <v>42063</v>
      </c>
      <c r="AK28171" s="831">
        <v>0.80552083333333313</v>
      </c>
    </row>
    <row r="28172" spans="32:37">
      <c r="AF28172" s="831" t="s">
        <v>11911</v>
      </c>
      <c r="AG28172" s="831" t="s">
        <v>2674</v>
      </c>
      <c r="AH28172" s="831" t="s">
        <v>568</v>
      </c>
      <c r="AI28172" s="831">
        <v>0</v>
      </c>
      <c r="AJ28172" s="835">
        <v>42063</v>
      </c>
      <c r="AK28172" s="831">
        <v>764746840.38461542</v>
      </c>
    </row>
    <row r="28173" spans="32:37">
      <c r="AF28173" s="831" t="s">
        <v>11912</v>
      </c>
      <c r="AG28173" s="831" t="s">
        <v>2674</v>
      </c>
      <c r="AH28173" s="831" t="s">
        <v>569</v>
      </c>
      <c r="AI28173" s="831">
        <v>0</v>
      </c>
      <c r="AJ28173" s="835">
        <v>42063</v>
      </c>
      <c r="AK28173" s="831">
        <v>956157596</v>
      </c>
    </row>
    <row r="28174" spans="32:37">
      <c r="AF28174" s="831" t="s">
        <v>11913</v>
      </c>
      <c r="AG28174" s="831" t="s">
        <v>2674</v>
      </c>
      <c r="AH28174" s="831" t="s">
        <v>570</v>
      </c>
      <c r="AI28174" s="831">
        <v>0</v>
      </c>
      <c r="AJ28174" s="835">
        <v>42063</v>
      </c>
      <c r="AK28174" s="831">
        <v>138839504.15615386</v>
      </c>
    </row>
    <row r="28175" spans="32:37">
      <c r="AF28175" s="831" t="s">
        <v>11914</v>
      </c>
      <c r="AG28175" s="831" t="s">
        <v>2674</v>
      </c>
      <c r="AH28175" s="831" t="s">
        <v>571</v>
      </c>
      <c r="AI28175" s="831">
        <v>0</v>
      </c>
      <c r="AJ28175" s="835">
        <v>42063</v>
      </c>
      <c r="AK28175" s="831">
        <v>482774872.10899997</v>
      </c>
    </row>
    <row r="28176" spans="32:37">
      <c r="AF28176" s="831" t="s">
        <v>11915</v>
      </c>
      <c r="AG28176" s="831" t="s">
        <v>2674</v>
      </c>
      <c r="AH28176" s="831" t="s">
        <v>573</v>
      </c>
      <c r="AI28176" s="831">
        <v>0</v>
      </c>
      <c r="AJ28176" s="835">
        <v>42063</v>
      </c>
      <c r="AK28176" s="831">
        <v>1113466990</v>
      </c>
    </row>
    <row r="28177" spans="32:37">
      <c r="AF28177" s="831" t="s">
        <v>11916</v>
      </c>
      <c r="AG28177" s="831" t="s">
        <v>2674</v>
      </c>
      <c r="AH28177" s="831" t="s">
        <v>574</v>
      </c>
      <c r="AI28177" s="831">
        <v>0</v>
      </c>
      <c r="AJ28177" s="835">
        <v>42063</v>
      </c>
      <c r="AK28177" s="831">
        <v>874843882.66666663</v>
      </c>
    </row>
    <row r="28178" spans="32:37">
      <c r="AF28178" s="831" t="s">
        <v>11917</v>
      </c>
      <c r="AG28178" s="831" t="s">
        <v>2674</v>
      </c>
      <c r="AH28178" s="831" t="s">
        <v>575</v>
      </c>
      <c r="AI28178" s="831">
        <v>0</v>
      </c>
      <c r="AJ28178" s="835">
        <v>42063</v>
      </c>
      <c r="AK28178" s="831">
        <v>145923251.33333334</v>
      </c>
    </row>
    <row r="28179" spans="32:37">
      <c r="AF28179" s="831" t="s">
        <v>11918</v>
      </c>
      <c r="AG28179" s="831" t="s">
        <v>2674</v>
      </c>
      <c r="AH28179" s="831" t="s">
        <v>576</v>
      </c>
      <c r="AI28179" s="831">
        <v>0</v>
      </c>
      <c r="AJ28179" s="835">
        <v>42063</v>
      </c>
      <c r="AK28179" s="831">
        <v>595110401.33333337</v>
      </c>
    </row>
    <row r="28180" spans="32:37">
      <c r="AF28180" s="831" t="s">
        <v>11919</v>
      </c>
      <c r="AG28180" s="831" t="s">
        <v>2674</v>
      </c>
      <c r="AH28180" s="831" t="s">
        <v>572</v>
      </c>
      <c r="AI28180" s="831">
        <v>0</v>
      </c>
      <c r="AJ28180" s="835">
        <v>42063</v>
      </c>
      <c r="AK28180" s="831">
        <v>33261949</v>
      </c>
    </row>
    <row r="28181" spans="32:37">
      <c r="AF28181" s="831" t="s">
        <v>11920</v>
      </c>
      <c r="AG28181" s="831" t="s">
        <v>2674</v>
      </c>
      <c r="AH28181" s="831" t="s">
        <v>577</v>
      </c>
      <c r="AI28181" s="831">
        <v>0</v>
      </c>
      <c r="AJ28181" s="835">
        <v>42063</v>
      </c>
      <c r="AK28181" s="831">
        <v>173134660</v>
      </c>
    </row>
    <row r="28182" spans="32:37">
      <c r="AF28182" s="831" t="s">
        <v>11921</v>
      </c>
      <c r="AG28182" s="831" t="s">
        <v>2674</v>
      </c>
      <c r="AH28182" s="831" t="s">
        <v>3042</v>
      </c>
      <c r="AI28182" s="831">
        <v>0</v>
      </c>
      <c r="AJ28182" s="835">
        <v>42063</v>
      </c>
      <c r="AK28182" s="831">
        <v>-53542458</v>
      </c>
    </row>
    <row r="28183" spans="32:37">
      <c r="AF28183" s="831" t="s">
        <v>11922</v>
      </c>
      <c r="AG28183" s="831" t="s">
        <v>2674</v>
      </c>
      <c r="AH28183" s="831" t="s">
        <v>3044</v>
      </c>
      <c r="AI28183" s="831">
        <v>0</v>
      </c>
      <c r="AJ28183" s="835">
        <v>42063</v>
      </c>
      <c r="AK28183" s="831">
        <v>-787106</v>
      </c>
    </row>
    <row r="28184" spans="32:37">
      <c r="AF28184" s="831" t="s">
        <v>11923</v>
      </c>
      <c r="AG28184" s="831" t="s">
        <v>2674</v>
      </c>
      <c r="AH28184" s="831" t="s">
        <v>580</v>
      </c>
      <c r="AI28184" s="831">
        <v>0</v>
      </c>
      <c r="AJ28184" s="835">
        <v>42063</v>
      </c>
      <c r="AK28184" s="831">
        <v>-82473719</v>
      </c>
    </row>
    <row r="28185" spans="32:37">
      <c r="AF28185" s="831" t="s">
        <v>11924</v>
      </c>
      <c r="AG28185" s="831" t="s">
        <v>2674</v>
      </c>
      <c r="AH28185" s="831" t="s">
        <v>581</v>
      </c>
      <c r="AI28185" s="831">
        <v>0</v>
      </c>
      <c r="AJ28185" s="835">
        <v>42063</v>
      </c>
      <c r="AK28185" s="831">
        <v>11169610</v>
      </c>
    </row>
    <row r="28186" spans="32:37">
      <c r="AF28186" s="831" t="s">
        <v>11925</v>
      </c>
      <c r="AG28186" s="831" t="s">
        <v>2674</v>
      </c>
      <c r="AH28186" s="831" t="s">
        <v>105</v>
      </c>
      <c r="AI28186" s="831">
        <v>0</v>
      </c>
      <c r="AJ28186" s="835">
        <v>42063</v>
      </c>
      <c r="AK28186" s="831">
        <v>714800530</v>
      </c>
    </row>
    <row r="28187" spans="32:37">
      <c r="AF28187" s="831" t="s">
        <v>11926</v>
      </c>
      <c r="AG28187" s="831" t="s">
        <v>2674</v>
      </c>
      <c r="AH28187" s="831" t="s">
        <v>3049</v>
      </c>
      <c r="AI28187" s="831">
        <v>0</v>
      </c>
      <c r="AJ28187" s="835">
        <v>42063</v>
      </c>
      <c r="AK28187" s="831">
        <v>1078776977</v>
      </c>
    </row>
    <row r="28188" spans="32:37">
      <c r="AF28188" s="831" t="s">
        <v>11927</v>
      </c>
      <c r="AG28188" s="831" t="s">
        <v>2674</v>
      </c>
      <c r="AH28188" s="831" t="s">
        <v>103</v>
      </c>
      <c r="AI28188" s="831">
        <v>0</v>
      </c>
      <c r="AJ28188" s="835">
        <v>42063</v>
      </c>
      <c r="AK28188" s="831">
        <v>363976447</v>
      </c>
    </row>
    <row r="28189" spans="32:37">
      <c r="AF28189" s="831" t="s">
        <v>11928</v>
      </c>
      <c r="AG28189" s="831" t="s">
        <v>2674</v>
      </c>
      <c r="AH28189" s="831" t="s">
        <v>182</v>
      </c>
      <c r="AI28189" s="831">
        <v>0</v>
      </c>
      <c r="AJ28189" s="835">
        <v>42063</v>
      </c>
      <c r="AK28189" s="831">
        <v>91149096</v>
      </c>
    </row>
    <row r="28190" spans="32:37">
      <c r="AF28190" s="831" t="s">
        <v>11929</v>
      </c>
      <c r="AG28190" s="831" t="s">
        <v>2674</v>
      </c>
      <c r="AH28190" s="831" t="s">
        <v>6600</v>
      </c>
      <c r="AI28190" s="831">
        <v>0</v>
      </c>
      <c r="AJ28190" s="835">
        <v>42063</v>
      </c>
      <c r="AK28190" s="831">
        <v>33261949</v>
      </c>
    </row>
    <row r="28191" spans="32:37">
      <c r="AF28191" s="831" t="s">
        <v>11930</v>
      </c>
      <c r="AG28191" s="831" t="s">
        <v>2674</v>
      </c>
      <c r="AH28191" s="831" t="s">
        <v>6602</v>
      </c>
      <c r="AI28191" s="831">
        <v>0</v>
      </c>
      <c r="AJ28191" s="835">
        <v>42063</v>
      </c>
      <c r="AK28191" s="831">
        <v>-1907756</v>
      </c>
    </row>
    <row r="28192" spans="32:37">
      <c r="AF28192" s="831" t="s">
        <v>11931</v>
      </c>
      <c r="AG28192" s="831" t="s">
        <v>2674</v>
      </c>
      <c r="AH28192" s="831" t="s">
        <v>650</v>
      </c>
      <c r="AI28192" s="831">
        <v>0</v>
      </c>
      <c r="AJ28192" s="835">
        <v>42063</v>
      </c>
      <c r="AK28192" s="831">
        <v>309129053.2630769</v>
      </c>
    </row>
    <row r="28193" spans="32:37">
      <c r="AF28193" s="831" t="s">
        <v>11932</v>
      </c>
      <c r="AG28193" s="831" t="s">
        <v>2674</v>
      </c>
      <c r="AH28193" s="831" t="s">
        <v>655</v>
      </c>
      <c r="AI28193" s="831">
        <v>0</v>
      </c>
      <c r="AJ28193" s="835">
        <v>42063</v>
      </c>
      <c r="AK28193" s="831">
        <v>7002831</v>
      </c>
    </row>
    <row r="28194" spans="32:37">
      <c r="AF28194" s="831" t="s">
        <v>11933</v>
      </c>
      <c r="AG28194" s="831" t="s">
        <v>2674</v>
      </c>
      <c r="AH28194" s="831" t="s">
        <v>546</v>
      </c>
      <c r="AI28194" s="831">
        <v>0</v>
      </c>
      <c r="AJ28194" s="835">
        <v>42094</v>
      </c>
      <c r="AK28194" s="831">
        <v>925259190</v>
      </c>
    </row>
    <row r="28195" spans="32:37">
      <c r="AF28195" s="831" t="s">
        <v>11934</v>
      </c>
      <c r="AG28195" s="831" t="s">
        <v>2674</v>
      </c>
      <c r="AH28195" s="831" t="s">
        <v>370</v>
      </c>
      <c r="AI28195" s="831">
        <v>0</v>
      </c>
      <c r="AJ28195" s="835">
        <v>42094</v>
      </c>
      <c r="AK28195" s="831">
        <v>1161484479</v>
      </c>
    </row>
    <row r="28196" spans="32:37">
      <c r="AF28196" s="831" t="s">
        <v>11935</v>
      </c>
      <c r="AG28196" s="831" t="s">
        <v>2674</v>
      </c>
      <c r="AH28196" s="831" t="s">
        <v>126</v>
      </c>
      <c r="AI28196" s="831">
        <v>0</v>
      </c>
      <c r="AJ28196" s="835">
        <v>42094</v>
      </c>
      <c r="AK28196" s="831">
        <v>147807134</v>
      </c>
    </row>
    <row r="28197" spans="32:37">
      <c r="AF28197" s="831" t="s">
        <v>11936</v>
      </c>
      <c r="AG28197" s="831" t="s">
        <v>2674</v>
      </c>
      <c r="AH28197" s="831" t="s">
        <v>268</v>
      </c>
      <c r="AI28197" s="831">
        <v>0</v>
      </c>
      <c r="AJ28197" s="835">
        <v>42094</v>
      </c>
      <c r="AK28197" s="831">
        <v>2398849</v>
      </c>
    </row>
    <row r="28198" spans="32:37">
      <c r="AF28198" s="831" t="s">
        <v>11937</v>
      </c>
      <c r="AG28198" s="831" t="s">
        <v>2674</v>
      </c>
      <c r="AH28198" s="831" t="s">
        <v>547</v>
      </c>
      <c r="AI28198" s="831">
        <v>0</v>
      </c>
      <c r="AJ28198" s="835">
        <v>42094</v>
      </c>
      <c r="AK28198" s="831">
        <v>1044609243</v>
      </c>
    </row>
    <row r="28199" spans="32:37">
      <c r="AF28199" s="831" t="s">
        <v>11938</v>
      </c>
      <c r="AG28199" s="831" t="s">
        <v>2674</v>
      </c>
      <c r="AH28199" s="831" t="s">
        <v>548</v>
      </c>
      <c r="AI28199" s="831">
        <v>0</v>
      </c>
      <c r="AJ28199" s="835">
        <v>42094</v>
      </c>
      <c r="AK28199" s="831">
        <v>148860224</v>
      </c>
    </row>
    <row r="28200" spans="32:37">
      <c r="AF28200" s="831" t="s">
        <v>11939</v>
      </c>
      <c r="AG28200" s="831" t="s">
        <v>2674</v>
      </c>
      <c r="AH28200" s="831" t="s">
        <v>549</v>
      </c>
      <c r="AI28200" s="831">
        <v>0</v>
      </c>
      <c r="AJ28200" s="835">
        <v>42094</v>
      </c>
      <c r="AK28200" s="831">
        <v>664153787</v>
      </c>
    </row>
    <row r="28201" spans="32:37">
      <c r="AF28201" s="831" t="s">
        <v>11940</v>
      </c>
      <c r="AG28201" s="831" t="s">
        <v>2674</v>
      </c>
      <c r="AH28201" s="831" t="s">
        <v>192</v>
      </c>
      <c r="AI28201" s="831">
        <v>0</v>
      </c>
      <c r="AJ28201" s="835">
        <v>42094</v>
      </c>
      <c r="AK28201" s="831">
        <v>-15332196</v>
      </c>
    </row>
    <row r="28202" spans="32:37">
      <c r="AF28202" s="831" t="s">
        <v>11941</v>
      </c>
      <c r="AG28202" s="831" t="s">
        <v>2674</v>
      </c>
      <c r="AH28202" s="831" t="s">
        <v>558</v>
      </c>
      <c r="AI28202" s="831">
        <v>0</v>
      </c>
      <c r="AJ28202" s="835">
        <v>42094</v>
      </c>
      <c r="AK28202" s="831">
        <v>1013677345</v>
      </c>
    </row>
    <row r="28203" spans="32:37">
      <c r="AF28203" s="831" t="s">
        <v>11942</v>
      </c>
      <c r="AG28203" s="831" t="s">
        <v>2674</v>
      </c>
      <c r="AH28203" s="831" t="s">
        <v>65</v>
      </c>
      <c r="AI28203" s="831">
        <v>0</v>
      </c>
      <c r="AJ28203" s="835">
        <v>42094</v>
      </c>
      <c r="AK28203" s="831">
        <v>48515498</v>
      </c>
    </row>
    <row r="28204" spans="32:37">
      <c r="AF28204" s="831" t="s">
        <v>11943</v>
      </c>
      <c r="AG28204" s="831" t="s">
        <v>2674</v>
      </c>
      <c r="AH28204" s="831" t="s">
        <v>89</v>
      </c>
      <c r="AI28204" s="831">
        <v>0</v>
      </c>
      <c r="AJ28204" s="835">
        <v>42094</v>
      </c>
      <c r="AK28204" s="831">
        <v>153039</v>
      </c>
    </row>
    <row r="28205" spans="32:37">
      <c r="AF28205" s="831" t="s">
        <v>11944</v>
      </c>
      <c r="AG28205" s="831" t="s">
        <v>2674</v>
      </c>
      <c r="AH28205" s="831" t="s">
        <v>557</v>
      </c>
      <c r="AI28205" s="831">
        <v>0</v>
      </c>
      <c r="AJ28205" s="835">
        <v>42094</v>
      </c>
      <c r="AK28205" s="831">
        <v>174874</v>
      </c>
    </row>
    <row r="28206" spans="32:37">
      <c r="AF28206" s="831" t="s">
        <v>11945</v>
      </c>
      <c r="AG28206" s="831" t="s">
        <v>2674</v>
      </c>
      <c r="AH28206" s="831" t="s">
        <v>29</v>
      </c>
      <c r="AI28206" s="831">
        <v>0</v>
      </c>
      <c r="AJ28206" s="835">
        <v>42094</v>
      </c>
      <c r="AK28206" s="831">
        <v>10801248</v>
      </c>
    </row>
    <row r="28207" spans="32:37">
      <c r="AF28207" s="831" t="s">
        <v>11946</v>
      </c>
      <c r="AG28207" s="831" t="s">
        <v>2674</v>
      </c>
      <c r="AH28207" s="831" t="s">
        <v>2688</v>
      </c>
      <c r="AI28207" s="831">
        <v>0</v>
      </c>
      <c r="AJ28207" s="835">
        <v>42094</v>
      </c>
      <c r="AK28207" s="831">
        <v>88178967</v>
      </c>
    </row>
    <row r="28208" spans="32:37">
      <c r="AF28208" s="831" t="s">
        <v>11947</v>
      </c>
      <c r="AG28208" s="831" t="s">
        <v>2674</v>
      </c>
      <c r="AH28208" s="831" t="s">
        <v>556</v>
      </c>
      <c r="AI28208" s="831">
        <v>0</v>
      </c>
      <c r="AJ28208" s="835">
        <v>42094</v>
      </c>
      <c r="AK28208" s="831">
        <v>11412135</v>
      </c>
    </row>
    <row r="28209" spans="32:37">
      <c r="AF28209" s="831" t="s">
        <v>11948</v>
      </c>
      <c r="AG28209" s="831" t="s">
        <v>2674</v>
      </c>
      <c r="AH28209" s="831" t="s">
        <v>555</v>
      </c>
      <c r="AI28209" s="831">
        <v>0</v>
      </c>
      <c r="AJ28209" s="835">
        <v>42094</v>
      </c>
      <c r="AK28209" s="831">
        <v>794294654</v>
      </c>
    </row>
    <row r="28210" spans="32:37">
      <c r="AF28210" s="831" t="s">
        <v>11949</v>
      </c>
      <c r="AG28210" s="831" t="s">
        <v>2674</v>
      </c>
      <c r="AH28210" s="831" t="s">
        <v>554</v>
      </c>
      <c r="AI28210" s="831">
        <v>0</v>
      </c>
      <c r="AJ28210" s="835">
        <v>42094</v>
      </c>
      <c r="AK28210" s="831">
        <v>796448359</v>
      </c>
    </row>
    <row r="28211" spans="32:37">
      <c r="AF28211" s="831" t="s">
        <v>11950</v>
      </c>
      <c r="AG28211" s="831" t="s">
        <v>2674</v>
      </c>
      <c r="AH28211" s="831" t="s">
        <v>553</v>
      </c>
      <c r="AI28211" s="831">
        <v>0</v>
      </c>
      <c r="AJ28211" s="835">
        <v>42094</v>
      </c>
      <c r="AK28211" s="831">
        <v>52425000</v>
      </c>
    </row>
    <row r="28212" spans="32:37">
      <c r="AF28212" s="831" t="s">
        <v>11951</v>
      </c>
      <c r="AG28212" s="831" t="s">
        <v>2674</v>
      </c>
      <c r="AH28212" s="831" t="s">
        <v>552</v>
      </c>
      <c r="AI28212" s="831">
        <v>0</v>
      </c>
      <c r="AJ28212" s="835">
        <v>42094</v>
      </c>
      <c r="AK28212" s="831">
        <v>0</v>
      </c>
    </row>
    <row r="28213" spans="32:37">
      <c r="AF28213" s="831" t="s">
        <v>11952</v>
      </c>
      <c r="AG28213" s="831" t="s">
        <v>2674</v>
      </c>
      <c r="AH28213" s="831" t="s">
        <v>551</v>
      </c>
      <c r="AI28213" s="831">
        <v>0</v>
      </c>
      <c r="AJ28213" s="835">
        <v>42094</v>
      </c>
      <c r="AK28213" s="831">
        <v>8543411</v>
      </c>
    </row>
    <row r="28214" spans="32:37">
      <c r="AF28214" s="831" t="s">
        <v>11953</v>
      </c>
      <c r="AG28214" s="831" t="s">
        <v>2674</v>
      </c>
      <c r="AH28214" s="831" t="s">
        <v>550</v>
      </c>
      <c r="AI28214" s="831">
        <v>0</v>
      </c>
      <c r="AJ28214" s="835">
        <v>42094</v>
      </c>
      <c r="AK28214" s="831">
        <v>143500530</v>
      </c>
    </row>
    <row r="28215" spans="32:37">
      <c r="AF28215" s="831" t="s">
        <v>11954</v>
      </c>
      <c r="AG28215" s="831" t="s">
        <v>2674</v>
      </c>
      <c r="AH28215" s="831" t="s">
        <v>562</v>
      </c>
      <c r="AI28215" s="831">
        <v>0</v>
      </c>
      <c r="AJ28215" s="835">
        <v>42094</v>
      </c>
      <c r="AK28215" s="831">
        <v>1.0495000000000001</v>
      </c>
    </row>
    <row r="28216" spans="32:37">
      <c r="AF28216" s="831" t="s">
        <v>11955</v>
      </c>
      <c r="AG28216" s="831" t="s">
        <v>2674</v>
      </c>
      <c r="AH28216" s="831" t="s">
        <v>2698</v>
      </c>
      <c r="AI28216" s="831">
        <v>0</v>
      </c>
      <c r="AJ28216" s="835">
        <v>42094</v>
      </c>
      <c r="AK28216" s="831">
        <v>1.04575</v>
      </c>
    </row>
    <row r="28217" spans="32:37">
      <c r="AF28217" s="831" t="s">
        <v>11956</v>
      </c>
      <c r="AG28217" s="831" t="s">
        <v>2674</v>
      </c>
      <c r="AH28217" s="831" t="s">
        <v>560</v>
      </c>
      <c r="AI28217" s="831">
        <v>0</v>
      </c>
      <c r="AJ28217" s="835">
        <v>42094</v>
      </c>
      <c r="AK28217" s="831">
        <v>0.95988333333333331</v>
      </c>
    </row>
    <row r="28218" spans="32:37">
      <c r="AF28218" s="831" t="s">
        <v>11957</v>
      </c>
      <c r="AG28218" s="831" t="s">
        <v>2674</v>
      </c>
      <c r="AH28218" s="831" t="s">
        <v>559</v>
      </c>
      <c r="AI28218" s="831">
        <v>0</v>
      </c>
      <c r="AJ28218" s="835">
        <v>42094</v>
      </c>
      <c r="AK28218" s="831">
        <v>0.82766666666666655</v>
      </c>
    </row>
    <row r="28219" spans="32:37">
      <c r="AF28219" s="831" t="s">
        <v>11958</v>
      </c>
      <c r="AG28219" s="831" t="s">
        <v>2674</v>
      </c>
      <c r="AH28219" s="831" t="s">
        <v>568</v>
      </c>
      <c r="AI28219" s="831">
        <v>0</v>
      </c>
      <c r="AJ28219" s="835">
        <v>42094</v>
      </c>
      <c r="AK28219" s="831">
        <v>785705621.53846157</v>
      </c>
    </row>
    <row r="28220" spans="32:37">
      <c r="AF28220" s="831" t="s">
        <v>11959</v>
      </c>
      <c r="AG28220" s="831" t="s">
        <v>2674</v>
      </c>
      <c r="AH28220" s="831" t="s">
        <v>569</v>
      </c>
      <c r="AI28220" s="831">
        <v>0</v>
      </c>
      <c r="AJ28220" s="835">
        <v>42094</v>
      </c>
      <c r="AK28220" s="831">
        <v>984393199.30769229</v>
      </c>
    </row>
    <row r="28221" spans="32:37">
      <c r="AF28221" s="831" t="s">
        <v>11960</v>
      </c>
      <c r="AG28221" s="831" t="s">
        <v>2674</v>
      </c>
      <c r="AH28221" s="831" t="s">
        <v>570</v>
      </c>
      <c r="AI28221" s="831">
        <v>0</v>
      </c>
      <c r="AJ28221" s="835">
        <v>42094</v>
      </c>
      <c r="AK28221" s="831">
        <v>140931158.46384615</v>
      </c>
    </row>
    <row r="28222" spans="32:37">
      <c r="AF28222" s="831" t="s">
        <v>11961</v>
      </c>
      <c r="AG28222" s="831" t="s">
        <v>2674</v>
      </c>
      <c r="AH28222" s="831" t="s">
        <v>571</v>
      </c>
      <c r="AI28222" s="831">
        <v>0</v>
      </c>
      <c r="AJ28222" s="835">
        <v>42094</v>
      </c>
      <c r="AK28222" s="831">
        <v>502500066.26284611</v>
      </c>
    </row>
    <row r="28223" spans="32:37">
      <c r="AF28223" s="831" t="s">
        <v>11962</v>
      </c>
      <c r="AG28223" s="831" t="s">
        <v>2674</v>
      </c>
      <c r="AH28223" s="831" t="s">
        <v>573</v>
      </c>
      <c r="AI28223" s="831">
        <v>0</v>
      </c>
      <c r="AJ28223" s="835">
        <v>42094</v>
      </c>
      <c r="AK28223" s="831">
        <v>1125471362.25</v>
      </c>
    </row>
    <row r="28224" spans="32:37">
      <c r="AF28224" s="831" t="s">
        <v>11963</v>
      </c>
      <c r="AG28224" s="831" t="s">
        <v>2674</v>
      </c>
      <c r="AH28224" s="831" t="s">
        <v>574</v>
      </c>
      <c r="AI28224" s="831">
        <v>0</v>
      </c>
      <c r="AJ28224" s="835">
        <v>42094</v>
      </c>
      <c r="AK28224" s="831">
        <v>887447709.5</v>
      </c>
    </row>
    <row r="28225" spans="32:37">
      <c r="AF28225" s="831" t="s">
        <v>11964</v>
      </c>
      <c r="AG28225" s="831" t="s">
        <v>2674</v>
      </c>
      <c r="AH28225" s="831" t="s">
        <v>575</v>
      </c>
      <c r="AI28225" s="831">
        <v>0</v>
      </c>
      <c r="AJ28225" s="835">
        <v>42094</v>
      </c>
      <c r="AK28225" s="831">
        <v>146394222</v>
      </c>
    </row>
    <row r="28226" spans="32:37">
      <c r="AF28226" s="831" t="s">
        <v>11965</v>
      </c>
      <c r="AG28226" s="831" t="s">
        <v>2674</v>
      </c>
      <c r="AH28226" s="831" t="s">
        <v>576</v>
      </c>
      <c r="AI28226" s="831">
        <v>0</v>
      </c>
      <c r="AJ28226" s="835">
        <v>42094</v>
      </c>
      <c r="AK28226" s="831">
        <v>606715260</v>
      </c>
    </row>
    <row r="28227" spans="32:37">
      <c r="AF28227" s="831" t="s">
        <v>11966</v>
      </c>
      <c r="AG28227" s="831" t="s">
        <v>2674</v>
      </c>
      <c r="AH28227" s="831" t="s">
        <v>572</v>
      </c>
      <c r="AI28227" s="831">
        <v>0</v>
      </c>
      <c r="AJ28227" s="835">
        <v>42094</v>
      </c>
      <c r="AK28227" s="831">
        <v>36560084</v>
      </c>
    </row>
    <row r="28228" spans="32:37">
      <c r="AF28228" s="831" t="s">
        <v>11967</v>
      </c>
      <c r="AG28228" s="831" t="s">
        <v>2674</v>
      </c>
      <c r="AH28228" s="831" t="s">
        <v>577</v>
      </c>
      <c r="AI28228" s="831">
        <v>0</v>
      </c>
      <c r="AJ28228" s="835">
        <v>42094</v>
      </c>
      <c r="AK28228" s="831">
        <v>179877214</v>
      </c>
    </row>
    <row r="28229" spans="32:37">
      <c r="AF28229" s="831" t="s">
        <v>11968</v>
      </c>
      <c r="AG28229" s="831" t="s">
        <v>2674</v>
      </c>
      <c r="AH28229" s="831" t="s">
        <v>3042</v>
      </c>
      <c r="AI28229" s="831">
        <v>0</v>
      </c>
      <c r="AJ28229" s="835">
        <v>42094</v>
      </c>
      <c r="AK28229" s="831">
        <v>-55010221</v>
      </c>
    </row>
    <row r="28230" spans="32:37">
      <c r="AF28230" s="831" t="s">
        <v>11969</v>
      </c>
      <c r="AG28230" s="831" t="s">
        <v>2674</v>
      </c>
      <c r="AH28230" s="831" t="s">
        <v>3044</v>
      </c>
      <c r="AI28230" s="831">
        <v>0</v>
      </c>
      <c r="AJ28230" s="835">
        <v>42094</v>
      </c>
      <c r="AK28230" s="831">
        <v>-2080886</v>
      </c>
    </row>
    <row r="28231" spans="32:37">
      <c r="AF28231" s="831" t="s">
        <v>11970</v>
      </c>
      <c r="AG28231" s="831" t="s">
        <v>2674</v>
      </c>
      <c r="AH28231" s="831" t="s">
        <v>580</v>
      </c>
      <c r="AI28231" s="831">
        <v>0</v>
      </c>
      <c r="AJ28231" s="835">
        <v>42094</v>
      </c>
      <c r="AK28231" s="831">
        <v>-82773578</v>
      </c>
    </row>
    <row r="28232" spans="32:37">
      <c r="AF28232" s="831" t="s">
        <v>11971</v>
      </c>
      <c r="AG28232" s="831" t="s">
        <v>2674</v>
      </c>
      <c r="AH28232" s="831" t="s">
        <v>581</v>
      </c>
      <c r="AI28232" s="831">
        <v>0</v>
      </c>
      <c r="AJ28232" s="835">
        <v>42094</v>
      </c>
      <c r="AK28232" s="831">
        <v>10684351</v>
      </c>
    </row>
    <row r="28233" spans="32:37">
      <c r="AF28233" s="831" t="s">
        <v>11972</v>
      </c>
      <c r="AG28233" s="831" t="s">
        <v>2674</v>
      </c>
      <c r="AH28233" s="831" t="s">
        <v>105</v>
      </c>
      <c r="AI28233" s="831">
        <v>0</v>
      </c>
      <c r="AJ28233" s="835">
        <v>42094</v>
      </c>
      <c r="AK28233" s="831">
        <v>641529836</v>
      </c>
    </row>
    <row r="28234" spans="32:37">
      <c r="AF28234" s="831" t="s">
        <v>11973</v>
      </c>
      <c r="AG28234" s="831" t="s">
        <v>2674</v>
      </c>
      <c r="AH28234" s="831" t="s">
        <v>3049</v>
      </c>
      <c r="AI28234" s="831">
        <v>0</v>
      </c>
      <c r="AJ28234" s="835">
        <v>42094</v>
      </c>
      <c r="AK28234" s="831">
        <v>986480670</v>
      </c>
    </row>
    <row r="28235" spans="32:37">
      <c r="AF28235" s="831" t="s">
        <v>11974</v>
      </c>
      <c r="AG28235" s="831" t="s">
        <v>2674</v>
      </c>
      <c r="AH28235" s="831" t="s">
        <v>103</v>
      </c>
      <c r="AI28235" s="831">
        <v>0</v>
      </c>
      <c r="AJ28235" s="835">
        <v>42094</v>
      </c>
      <c r="AK28235" s="831">
        <v>344950834</v>
      </c>
    </row>
    <row r="28236" spans="32:37">
      <c r="AF28236" s="831" t="s">
        <v>11975</v>
      </c>
      <c r="AG28236" s="831" t="s">
        <v>2674</v>
      </c>
      <c r="AH28236" s="831" t="s">
        <v>182</v>
      </c>
      <c r="AI28236" s="831">
        <v>0</v>
      </c>
      <c r="AJ28236" s="835">
        <v>42094</v>
      </c>
      <c r="AK28236" s="831">
        <v>85077948</v>
      </c>
    </row>
    <row r="28237" spans="32:37">
      <c r="AF28237" s="831" t="s">
        <v>11976</v>
      </c>
      <c r="AG28237" s="831" t="s">
        <v>2674</v>
      </c>
      <c r="AH28237" s="831" t="s">
        <v>6600</v>
      </c>
      <c r="AI28237" s="831">
        <v>0</v>
      </c>
      <c r="AJ28237" s="835">
        <v>42094</v>
      </c>
      <c r="AK28237" s="831">
        <v>36560084</v>
      </c>
    </row>
    <row r="28238" spans="32:37">
      <c r="AF28238" s="831" t="s">
        <v>11977</v>
      </c>
      <c r="AG28238" s="831" t="s">
        <v>2674</v>
      </c>
      <c r="AH28238" s="831" t="s">
        <v>6602</v>
      </c>
      <c r="AI28238" s="831">
        <v>0</v>
      </c>
      <c r="AJ28238" s="835">
        <v>42094</v>
      </c>
      <c r="AK28238" s="831">
        <v>2398849</v>
      </c>
    </row>
    <row r="28239" spans="32:37">
      <c r="AF28239" s="831" t="s">
        <v>11978</v>
      </c>
      <c r="AG28239" s="831" t="s">
        <v>2674</v>
      </c>
      <c r="AH28239" s="831" t="s">
        <v>650</v>
      </c>
      <c r="AI28239" s="831">
        <v>0</v>
      </c>
      <c r="AJ28239" s="835">
        <v>42094</v>
      </c>
      <c r="AK28239" s="831">
        <v>315233998.53846157</v>
      </c>
    </row>
    <row r="28240" spans="32:37">
      <c r="AF28240" s="831" t="s">
        <v>11979</v>
      </c>
      <c r="AG28240" s="831" t="s">
        <v>2674</v>
      </c>
      <c r="AH28240" s="831" t="s">
        <v>655</v>
      </c>
      <c r="AI28240" s="831">
        <v>0</v>
      </c>
      <c r="AJ28240" s="835">
        <v>42094</v>
      </c>
      <c r="AK28240" s="831">
        <v>7308574</v>
      </c>
    </row>
    <row r="28241" spans="32:37">
      <c r="AF28241" s="831" t="s">
        <v>11980</v>
      </c>
      <c r="AG28241" s="831" t="s">
        <v>2674</v>
      </c>
      <c r="AH28241" s="831" t="s">
        <v>546</v>
      </c>
      <c r="AI28241" s="831">
        <v>0</v>
      </c>
      <c r="AJ28241" s="835">
        <v>42124</v>
      </c>
      <c r="AK28241" s="831">
        <v>887135523</v>
      </c>
    </row>
    <row r="28242" spans="32:37">
      <c r="AF28242" s="831" t="s">
        <v>11981</v>
      </c>
      <c r="AG28242" s="831" t="s">
        <v>2674</v>
      </c>
      <c r="AH28242" s="831" t="s">
        <v>370</v>
      </c>
      <c r="AI28242" s="831">
        <v>0</v>
      </c>
      <c r="AJ28242" s="835">
        <v>42124</v>
      </c>
      <c r="AK28242" s="831">
        <v>1155982366</v>
      </c>
    </row>
    <row r="28243" spans="32:37">
      <c r="AF28243" s="831" t="s">
        <v>11982</v>
      </c>
      <c r="AG28243" s="831" t="s">
        <v>2674</v>
      </c>
      <c r="AH28243" s="831" t="s">
        <v>126</v>
      </c>
      <c r="AI28243" s="831">
        <v>0</v>
      </c>
      <c r="AJ28243" s="835">
        <v>42124</v>
      </c>
      <c r="AK28243" s="831">
        <v>148898855</v>
      </c>
    </row>
    <row r="28244" spans="32:37">
      <c r="AF28244" s="831" t="s">
        <v>11983</v>
      </c>
      <c r="AG28244" s="831" t="s">
        <v>2674</v>
      </c>
      <c r="AH28244" s="831" t="s">
        <v>268</v>
      </c>
      <c r="AI28244" s="831">
        <v>0</v>
      </c>
      <c r="AJ28244" s="835">
        <v>42124</v>
      </c>
      <c r="AK28244" s="831">
        <v>3490177</v>
      </c>
    </row>
    <row r="28245" spans="32:37">
      <c r="AF28245" s="831" t="s">
        <v>11984</v>
      </c>
      <c r="AG28245" s="831" t="s">
        <v>2674</v>
      </c>
      <c r="AH28245" s="831" t="s">
        <v>547</v>
      </c>
      <c r="AI28245" s="831">
        <v>0</v>
      </c>
      <c r="AJ28245" s="835">
        <v>42124</v>
      </c>
      <c r="AK28245" s="831">
        <v>1044609243</v>
      </c>
    </row>
    <row r="28246" spans="32:37">
      <c r="AF28246" s="831" t="s">
        <v>11985</v>
      </c>
      <c r="AG28246" s="831" t="s">
        <v>2674</v>
      </c>
      <c r="AH28246" s="831" t="s">
        <v>548</v>
      </c>
      <c r="AI28246" s="831">
        <v>0</v>
      </c>
      <c r="AJ28246" s="835">
        <v>42124</v>
      </c>
      <c r="AK28246" s="831">
        <v>148860224</v>
      </c>
    </row>
    <row r="28247" spans="32:37">
      <c r="AF28247" s="831" t="s">
        <v>11986</v>
      </c>
      <c r="AG28247" s="831" t="s">
        <v>2674</v>
      </c>
      <c r="AH28247" s="831" t="s">
        <v>549</v>
      </c>
      <c r="AI28247" s="831">
        <v>0</v>
      </c>
      <c r="AJ28247" s="835">
        <v>42124</v>
      </c>
      <c r="AK28247" s="831">
        <v>695634421</v>
      </c>
    </row>
    <row r="28248" spans="32:37">
      <c r="AF28248" s="831" t="s">
        <v>11987</v>
      </c>
      <c r="AG28248" s="831" t="s">
        <v>2674</v>
      </c>
      <c r="AH28248" s="831" t="s">
        <v>192</v>
      </c>
      <c r="AI28248" s="831">
        <v>0</v>
      </c>
      <c r="AJ28248" s="835">
        <v>42124</v>
      </c>
      <c r="AK28248" s="831">
        <v>-17978430</v>
      </c>
    </row>
    <row r="28249" spans="32:37">
      <c r="AF28249" s="831" t="s">
        <v>11988</v>
      </c>
      <c r="AG28249" s="831" t="s">
        <v>2674</v>
      </c>
      <c r="AH28249" s="831" t="s">
        <v>558</v>
      </c>
      <c r="AI28249" s="831">
        <v>0</v>
      </c>
      <c r="AJ28249" s="835">
        <v>42124</v>
      </c>
      <c r="AK28249" s="831">
        <v>1007083670</v>
      </c>
    </row>
    <row r="28250" spans="32:37">
      <c r="AF28250" s="831" t="s">
        <v>11989</v>
      </c>
      <c r="AG28250" s="831" t="s">
        <v>2674</v>
      </c>
      <c r="AH28250" s="831" t="s">
        <v>65</v>
      </c>
      <c r="AI28250" s="831">
        <v>0</v>
      </c>
      <c r="AJ28250" s="835">
        <v>42124</v>
      </c>
      <c r="AK28250" s="831">
        <v>64640929</v>
      </c>
    </row>
    <row r="28251" spans="32:37">
      <c r="AF28251" s="831" t="s">
        <v>11990</v>
      </c>
      <c r="AG28251" s="831" t="s">
        <v>2674</v>
      </c>
      <c r="AH28251" s="831" t="s">
        <v>89</v>
      </c>
      <c r="AI28251" s="831">
        <v>0</v>
      </c>
      <c r="AJ28251" s="835">
        <v>42124</v>
      </c>
      <c r="AK28251" s="831">
        <v>147391</v>
      </c>
    </row>
    <row r="28252" spans="32:37">
      <c r="AF28252" s="831" t="s">
        <v>11991</v>
      </c>
      <c r="AG28252" s="831" t="s">
        <v>2674</v>
      </c>
      <c r="AH28252" s="831" t="s">
        <v>557</v>
      </c>
      <c r="AI28252" s="831">
        <v>0</v>
      </c>
      <c r="AJ28252" s="835">
        <v>42124</v>
      </c>
      <c r="AK28252" s="831">
        <v>168436</v>
      </c>
    </row>
    <row r="28253" spans="32:37">
      <c r="AF28253" s="831" t="s">
        <v>11992</v>
      </c>
      <c r="AG28253" s="831" t="s">
        <v>2674</v>
      </c>
      <c r="AH28253" s="831" t="s">
        <v>29</v>
      </c>
      <c r="AI28253" s="831">
        <v>0</v>
      </c>
      <c r="AJ28253" s="835">
        <v>42124</v>
      </c>
      <c r="AK28253" s="831">
        <v>18420222</v>
      </c>
    </row>
    <row r="28254" spans="32:37">
      <c r="AF28254" s="831" t="s">
        <v>11993</v>
      </c>
      <c r="AG28254" s="831" t="s">
        <v>2674</v>
      </c>
      <c r="AH28254" s="831" t="s">
        <v>2688</v>
      </c>
      <c r="AI28254" s="831">
        <v>0</v>
      </c>
      <c r="AJ28254" s="835">
        <v>42124</v>
      </c>
      <c r="AK28254" s="831">
        <v>149665387</v>
      </c>
    </row>
    <row r="28255" spans="32:37">
      <c r="AF28255" s="831" t="s">
        <v>11994</v>
      </c>
      <c r="AG28255" s="831" t="s">
        <v>2674</v>
      </c>
      <c r="AH28255" s="831" t="s">
        <v>556</v>
      </c>
      <c r="AI28255" s="831">
        <v>0</v>
      </c>
      <c r="AJ28255" s="835">
        <v>42124</v>
      </c>
      <c r="AK28255" s="831">
        <v>11412135</v>
      </c>
    </row>
    <row r="28256" spans="32:37">
      <c r="AF28256" s="831" t="s">
        <v>11995</v>
      </c>
      <c r="AG28256" s="831" t="s">
        <v>2674</v>
      </c>
      <c r="AH28256" s="831" t="s">
        <v>555</v>
      </c>
      <c r="AI28256" s="831">
        <v>0</v>
      </c>
      <c r="AJ28256" s="835">
        <v>42124</v>
      </c>
      <c r="AK28256" s="831">
        <v>781614407</v>
      </c>
    </row>
    <row r="28257" spans="32:37">
      <c r="AF28257" s="831" t="s">
        <v>11996</v>
      </c>
      <c r="AG28257" s="831" t="s">
        <v>2674</v>
      </c>
      <c r="AH28257" s="831" t="s">
        <v>554</v>
      </c>
      <c r="AI28257" s="831">
        <v>0</v>
      </c>
      <c r="AJ28257" s="835">
        <v>42124</v>
      </c>
      <c r="AK28257" s="831">
        <v>811049609</v>
      </c>
    </row>
    <row r="28258" spans="32:37">
      <c r="AF28258" s="831" t="s">
        <v>11997</v>
      </c>
      <c r="AG28258" s="831" t="s">
        <v>2674</v>
      </c>
      <c r="AH28258" s="831" t="s">
        <v>553</v>
      </c>
      <c r="AI28258" s="831">
        <v>0</v>
      </c>
      <c r="AJ28258" s="835">
        <v>42124</v>
      </c>
      <c r="AK28258" s="831">
        <v>47191500</v>
      </c>
    </row>
    <row r="28259" spans="32:37">
      <c r="AF28259" s="831" t="s">
        <v>11998</v>
      </c>
      <c r="AG28259" s="831" t="s">
        <v>2674</v>
      </c>
      <c r="AH28259" s="831" t="s">
        <v>552</v>
      </c>
      <c r="AI28259" s="831">
        <v>0</v>
      </c>
      <c r="AJ28259" s="835">
        <v>42124</v>
      </c>
      <c r="AK28259" s="831">
        <v>0</v>
      </c>
    </row>
    <row r="28260" spans="32:37">
      <c r="AF28260" s="831" t="s">
        <v>11999</v>
      </c>
      <c r="AG28260" s="831" t="s">
        <v>2674</v>
      </c>
      <c r="AH28260" s="831" t="s">
        <v>551</v>
      </c>
      <c r="AI28260" s="831">
        <v>0</v>
      </c>
      <c r="AJ28260" s="835">
        <v>42124</v>
      </c>
      <c r="AK28260" s="831">
        <v>10773380</v>
      </c>
    </row>
    <row r="28261" spans="32:37">
      <c r="AF28261" s="831" t="s">
        <v>12000</v>
      </c>
      <c r="AG28261" s="831" t="s">
        <v>2674</v>
      </c>
      <c r="AH28261" s="831" t="s">
        <v>550</v>
      </c>
      <c r="AI28261" s="831">
        <v>0</v>
      </c>
      <c r="AJ28261" s="835">
        <v>42124</v>
      </c>
      <c r="AK28261" s="831">
        <v>147807134</v>
      </c>
    </row>
    <row r="28262" spans="32:37">
      <c r="AF28262" s="831" t="s">
        <v>12001</v>
      </c>
      <c r="AG28262" s="831" t="s">
        <v>2674</v>
      </c>
      <c r="AH28262" s="831" t="s">
        <v>562</v>
      </c>
      <c r="AI28262" s="831">
        <v>0</v>
      </c>
      <c r="AJ28262" s="835">
        <v>42124</v>
      </c>
      <c r="AK28262" s="831">
        <v>1.0471999999999999</v>
      </c>
    </row>
    <row r="28263" spans="32:37">
      <c r="AF28263" s="831" t="s">
        <v>12002</v>
      </c>
      <c r="AG28263" s="831" t="s">
        <v>2674</v>
      </c>
      <c r="AH28263" s="831" t="s">
        <v>2698</v>
      </c>
      <c r="AI28263" s="831">
        <v>0</v>
      </c>
      <c r="AJ28263" s="835">
        <v>42124</v>
      </c>
      <c r="AK28263" s="831">
        <v>1.0495000000000001</v>
      </c>
    </row>
    <row r="28264" spans="32:37">
      <c r="AF28264" s="831" t="s">
        <v>12003</v>
      </c>
      <c r="AG28264" s="831" t="s">
        <v>2674</v>
      </c>
      <c r="AH28264" s="831" t="s">
        <v>560</v>
      </c>
      <c r="AI28264" s="831">
        <v>0</v>
      </c>
      <c r="AJ28264" s="835">
        <v>42124</v>
      </c>
      <c r="AK28264" s="831">
        <v>0.98171249999999999</v>
      </c>
    </row>
    <row r="28265" spans="32:37">
      <c r="AF28265" s="831" t="s">
        <v>12004</v>
      </c>
      <c r="AG28265" s="831" t="s">
        <v>2674</v>
      </c>
      <c r="AH28265" s="831" t="s">
        <v>559</v>
      </c>
      <c r="AI28265" s="831">
        <v>0</v>
      </c>
      <c r="AJ28265" s="835">
        <v>42124</v>
      </c>
      <c r="AK28265" s="831">
        <v>0.84962083333333327</v>
      </c>
    </row>
    <row r="28266" spans="32:37">
      <c r="AF28266" s="831" t="s">
        <v>12005</v>
      </c>
      <c r="AG28266" s="831" t="s">
        <v>2674</v>
      </c>
      <c r="AH28266" s="831" t="s">
        <v>568</v>
      </c>
      <c r="AI28266" s="831">
        <v>0</v>
      </c>
      <c r="AJ28266" s="835">
        <v>42124</v>
      </c>
      <c r="AK28266" s="831">
        <v>802858062.76923072</v>
      </c>
    </row>
    <row r="28267" spans="32:37">
      <c r="AF28267" s="831" t="s">
        <v>12006</v>
      </c>
      <c r="AG28267" s="831" t="s">
        <v>2674</v>
      </c>
      <c r="AH28267" s="831" t="s">
        <v>569</v>
      </c>
      <c r="AI28267" s="831">
        <v>0</v>
      </c>
      <c r="AJ28267" s="835">
        <v>42124</v>
      </c>
      <c r="AK28267" s="831">
        <v>1009137751.8461539</v>
      </c>
    </row>
    <row r="28268" spans="32:37">
      <c r="AF28268" s="831" t="s">
        <v>12007</v>
      </c>
      <c r="AG28268" s="831" t="s">
        <v>2674</v>
      </c>
      <c r="AH28268" s="831" t="s">
        <v>570</v>
      </c>
      <c r="AI28268" s="831">
        <v>0</v>
      </c>
      <c r="AJ28268" s="835">
        <v>42124</v>
      </c>
      <c r="AK28268" s="831">
        <v>142830548.07923076</v>
      </c>
    </row>
    <row r="28269" spans="32:37">
      <c r="AF28269" s="831" t="s">
        <v>12008</v>
      </c>
      <c r="AG28269" s="831" t="s">
        <v>2674</v>
      </c>
      <c r="AH28269" s="831" t="s">
        <v>571</v>
      </c>
      <c r="AI28269" s="831">
        <v>0</v>
      </c>
      <c r="AJ28269" s="835">
        <v>42124</v>
      </c>
      <c r="AK28269" s="831">
        <v>521003105.80130768</v>
      </c>
    </row>
    <row r="28270" spans="32:37">
      <c r="AF28270" s="831" t="s">
        <v>12009</v>
      </c>
      <c r="AG28270" s="831" t="s">
        <v>2674</v>
      </c>
      <c r="AH28270" s="831" t="s">
        <v>573</v>
      </c>
      <c r="AI28270" s="831">
        <v>0</v>
      </c>
      <c r="AJ28270" s="835">
        <v>42124</v>
      </c>
      <c r="AK28270" s="831">
        <v>1131573563</v>
      </c>
    </row>
    <row r="28271" spans="32:37">
      <c r="AF28271" s="831" t="s">
        <v>12010</v>
      </c>
      <c r="AG28271" s="831" t="s">
        <v>2674</v>
      </c>
      <c r="AH28271" s="831" t="s">
        <v>574</v>
      </c>
      <c r="AI28271" s="831">
        <v>0</v>
      </c>
      <c r="AJ28271" s="835">
        <v>42124</v>
      </c>
      <c r="AK28271" s="831">
        <v>887385272.20000005</v>
      </c>
    </row>
    <row r="28272" spans="32:37">
      <c r="AF28272" s="831" t="s">
        <v>12011</v>
      </c>
      <c r="AG28272" s="831" t="s">
        <v>2674</v>
      </c>
      <c r="AH28272" s="831" t="s">
        <v>575</v>
      </c>
      <c r="AI28272" s="831">
        <v>0</v>
      </c>
      <c r="AJ28272" s="835">
        <v>42124</v>
      </c>
      <c r="AK28272" s="831">
        <v>146895148.59999999</v>
      </c>
    </row>
    <row r="28273" spans="32:37">
      <c r="AF28273" s="831" t="s">
        <v>12012</v>
      </c>
      <c r="AG28273" s="831" t="s">
        <v>2674</v>
      </c>
      <c r="AH28273" s="831" t="s">
        <v>576</v>
      </c>
      <c r="AI28273" s="831">
        <v>0</v>
      </c>
      <c r="AJ28273" s="835">
        <v>42124</v>
      </c>
      <c r="AK28273" s="831">
        <v>615700522.39999998</v>
      </c>
    </row>
    <row r="28274" spans="32:37">
      <c r="AF28274" s="831" t="s">
        <v>12013</v>
      </c>
      <c r="AG28274" s="831" t="s">
        <v>2674</v>
      </c>
      <c r="AH28274" s="831" t="s">
        <v>572</v>
      </c>
      <c r="AI28274" s="831">
        <v>0</v>
      </c>
      <c r="AJ28274" s="835">
        <v>42124</v>
      </c>
      <c r="AK28274" s="831">
        <v>34629345</v>
      </c>
    </row>
    <row r="28275" spans="32:37">
      <c r="AF28275" s="831" t="s">
        <v>12014</v>
      </c>
      <c r="AG28275" s="831" t="s">
        <v>2674</v>
      </c>
      <c r="AH28275" s="831" t="s">
        <v>577</v>
      </c>
      <c r="AI28275" s="831">
        <v>0</v>
      </c>
      <c r="AJ28275" s="835">
        <v>42124</v>
      </c>
      <c r="AK28275" s="831">
        <v>182065430</v>
      </c>
    </row>
    <row r="28276" spans="32:37">
      <c r="AF28276" s="831" t="s">
        <v>12015</v>
      </c>
      <c r="AG28276" s="831" t="s">
        <v>2674</v>
      </c>
      <c r="AH28276" s="831" t="s">
        <v>3042</v>
      </c>
      <c r="AI28276" s="831">
        <v>0</v>
      </c>
      <c r="AJ28276" s="835">
        <v>42124</v>
      </c>
      <c r="AK28276" s="831">
        <v>-55986090</v>
      </c>
    </row>
    <row r="28277" spans="32:37">
      <c r="AF28277" s="831" t="s">
        <v>12016</v>
      </c>
      <c r="AG28277" s="831" t="s">
        <v>2674</v>
      </c>
      <c r="AH28277" s="831" t="s">
        <v>3044</v>
      </c>
      <c r="AI28277" s="831">
        <v>0</v>
      </c>
      <c r="AJ28277" s="835">
        <v>42124</v>
      </c>
      <c r="AK28277" s="831">
        <v>-4711846</v>
      </c>
    </row>
    <row r="28278" spans="32:37">
      <c r="AF28278" s="831" t="s">
        <v>12017</v>
      </c>
      <c r="AG28278" s="831" t="s">
        <v>2674</v>
      </c>
      <c r="AH28278" s="831" t="s">
        <v>580</v>
      </c>
      <c r="AI28278" s="831">
        <v>0</v>
      </c>
      <c r="AJ28278" s="835">
        <v>42124</v>
      </c>
      <c r="AK28278" s="831">
        <v>-84657241</v>
      </c>
    </row>
    <row r="28279" spans="32:37">
      <c r="AF28279" s="831" t="s">
        <v>12018</v>
      </c>
      <c r="AG28279" s="831" t="s">
        <v>2674</v>
      </c>
      <c r="AH28279" s="831" t="s">
        <v>581</v>
      </c>
      <c r="AI28279" s="831">
        <v>0</v>
      </c>
      <c r="AJ28279" s="835">
        <v>42124</v>
      </c>
      <c r="AK28279" s="831">
        <v>11310907</v>
      </c>
    </row>
    <row r="28280" spans="32:37">
      <c r="AF28280" s="831" t="s">
        <v>12019</v>
      </c>
      <c r="AG28280" s="831" t="s">
        <v>2674</v>
      </c>
      <c r="AH28280" s="831" t="s">
        <v>105</v>
      </c>
      <c r="AI28280" s="831">
        <v>0</v>
      </c>
      <c r="AJ28280" s="835">
        <v>42124</v>
      </c>
      <c r="AK28280" s="831">
        <v>651641572</v>
      </c>
    </row>
    <row r="28281" spans="32:37">
      <c r="AF28281" s="831" t="s">
        <v>12020</v>
      </c>
      <c r="AG28281" s="831" t="s">
        <v>2674</v>
      </c>
      <c r="AH28281" s="831" t="s">
        <v>3049</v>
      </c>
      <c r="AI28281" s="831">
        <v>0</v>
      </c>
      <c r="AJ28281" s="835">
        <v>42124</v>
      </c>
      <c r="AK28281" s="831">
        <v>980090700</v>
      </c>
    </row>
    <row r="28282" spans="32:37">
      <c r="AF28282" s="831" t="s">
        <v>12021</v>
      </c>
      <c r="AG28282" s="831" t="s">
        <v>2674</v>
      </c>
      <c r="AH28282" s="831" t="s">
        <v>103</v>
      </c>
      <c r="AI28282" s="831">
        <v>0</v>
      </c>
      <c r="AJ28282" s="835">
        <v>42124</v>
      </c>
      <c r="AK28282" s="831">
        <v>328449128</v>
      </c>
    </row>
    <row r="28283" spans="32:37">
      <c r="AF28283" s="831" t="s">
        <v>12022</v>
      </c>
      <c r="AG28283" s="831" t="s">
        <v>2674</v>
      </c>
      <c r="AH28283" s="831" t="s">
        <v>182</v>
      </c>
      <c r="AI28283" s="831">
        <v>0</v>
      </c>
      <c r="AJ28283" s="835">
        <v>42124</v>
      </c>
      <c r="AK28283" s="831">
        <v>88699464</v>
      </c>
    </row>
    <row r="28284" spans="32:37">
      <c r="AF28284" s="831" t="s">
        <v>12023</v>
      </c>
      <c r="AG28284" s="831" t="s">
        <v>2674</v>
      </c>
      <c r="AH28284" s="831" t="s">
        <v>6600</v>
      </c>
      <c r="AI28284" s="831">
        <v>0</v>
      </c>
      <c r="AJ28284" s="835">
        <v>42124</v>
      </c>
      <c r="AK28284" s="831">
        <v>34629345</v>
      </c>
    </row>
    <row r="28285" spans="32:37">
      <c r="AF28285" s="831" t="s">
        <v>12024</v>
      </c>
      <c r="AG28285" s="831" t="s">
        <v>2674</v>
      </c>
      <c r="AH28285" s="831" t="s">
        <v>6602</v>
      </c>
      <c r="AI28285" s="831">
        <v>0</v>
      </c>
      <c r="AJ28285" s="835">
        <v>42124</v>
      </c>
      <c r="AK28285" s="831">
        <v>3490177</v>
      </c>
    </row>
    <row r="28286" spans="32:37">
      <c r="AF28286" s="831" t="s">
        <v>12025</v>
      </c>
      <c r="AG28286" s="831" t="s">
        <v>2674</v>
      </c>
      <c r="AH28286" s="831" t="s">
        <v>650</v>
      </c>
      <c r="AI28286" s="831">
        <v>0</v>
      </c>
      <c r="AJ28286" s="835">
        <v>42124</v>
      </c>
      <c r="AK28286" s="831">
        <v>319013929.69230771</v>
      </c>
    </row>
    <row r="28287" spans="32:37">
      <c r="AF28287" s="831" t="s">
        <v>12026</v>
      </c>
      <c r="AG28287" s="831" t="s">
        <v>2674</v>
      </c>
      <c r="AH28287" s="831" t="s">
        <v>655</v>
      </c>
      <c r="AI28287" s="831">
        <v>0</v>
      </c>
      <c r="AJ28287" s="835">
        <v>42124</v>
      </c>
      <c r="AK28287" s="831">
        <v>8145535</v>
      </c>
    </row>
    <row r="28288" spans="32:37">
      <c r="AF28288" s="831" t="s">
        <v>10335</v>
      </c>
      <c r="AG28288" s="831" t="s">
        <v>2674</v>
      </c>
      <c r="AH28288" s="831" t="s">
        <v>546</v>
      </c>
      <c r="AI28288" s="831">
        <v>0</v>
      </c>
      <c r="AJ28288" s="835">
        <v>41060</v>
      </c>
      <c r="AK28288" s="831">
        <v>339221349</v>
      </c>
    </row>
    <row r="28289" spans="32:37">
      <c r="AF28289" s="831" t="s">
        <v>10336</v>
      </c>
      <c r="AG28289" s="831" t="s">
        <v>2674</v>
      </c>
      <c r="AH28289" s="831" t="s">
        <v>370</v>
      </c>
      <c r="AI28289" s="831">
        <v>0</v>
      </c>
      <c r="AJ28289" s="835">
        <v>41060</v>
      </c>
      <c r="AK28289" s="831">
        <v>412671638</v>
      </c>
    </row>
    <row r="28290" spans="32:37">
      <c r="AF28290" s="831" t="s">
        <v>10337</v>
      </c>
      <c r="AG28290" s="831" t="s">
        <v>2674</v>
      </c>
      <c r="AH28290" s="831" t="s">
        <v>126</v>
      </c>
      <c r="AI28290" s="831">
        <v>0</v>
      </c>
      <c r="AJ28290" s="835">
        <v>41060</v>
      </c>
      <c r="AK28290" s="831">
        <v>90520261</v>
      </c>
    </row>
    <row r="28291" spans="32:37">
      <c r="AF28291" s="831" t="s">
        <v>10338</v>
      </c>
      <c r="AG28291" s="831" t="s">
        <v>2674</v>
      </c>
      <c r="AH28291" s="831" t="s">
        <v>268</v>
      </c>
      <c r="AI28291" s="831">
        <v>0</v>
      </c>
      <c r="AJ28291" s="835">
        <v>41060</v>
      </c>
      <c r="AK28291" s="831">
        <v>5197337</v>
      </c>
    </row>
    <row r="28292" spans="32:37">
      <c r="AF28292" s="831" t="s">
        <v>10339</v>
      </c>
      <c r="AG28292" s="831" t="s">
        <v>2674</v>
      </c>
      <c r="AH28292" s="831" t="s">
        <v>547</v>
      </c>
      <c r="AI28292" s="831">
        <v>0</v>
      </c>
      <c r="AJ28292" s="835">
        <v>41060</v>
      </c>
      <c r="AK28292" s="831">
        <v>0</v>
      </c>
    </row>
    <row r="28293" spans="32:37">
      <c r="AF28293" s="831" t="s">
        <v>10340</v>
      </c>
      <c r="AG28293" s="831" t="s">
        <v>2674</v>
      </c>
      <c r="AH28293" s="831" t="s">
        <v>548</v>
      </c>
      <c r="AI28293" s="831">
        <v>0</v>
      </c>
      <c r="AJ28293" s="835">
        <v>41060</v>
      </c>
      <c r="AK28293" s="831">
        <v>0</v>
      </c>
    </row>
    <row r="28294" spans="32:37">
      <c r="AF28294" s="831" t="s">
        <v>10341</v>
      </c>
      <c r="AG28294" s="831" t="s">
        <v>2674</v>
      </c>
      <c r="AH28294" s="831" t="s">
        <v>549</v>
      </c>
      <c r="AI28294" s="831">
        <v>0</v>
      </c>
      <c r="AJ28294" s="835">
        <v>41060</v>
      </c>
      <c r="AK28294" s="831">
        <v>0</v>
      </c>
    </row>
    <row r="28295" spans="32:37">
      <c r="AF28295" s="831" t="s">
        <v>10342</v>
      </c>
      <c r="AG28295" s="831" t="s">
        <v>2674</v>
      </c>
      <c r="AH28295" s="831" t="s">
        <v>192</v>
      </c>
      <c r="AI28295" s="831">
        <v>0</v>
      </c>
      <c r="AJ28295" s="835">
        <v>41060</v>
      </c>
      <c r="AK28295" s="831">
        <v>-9254050</v>
      </c>
    </row>
    <row r="28296" spans="32:37">
      <c r="AF28296" s="831" t="s">
        <v>10343</v>
      </c>
      <c r="AG28296" s="831" t="s">
        <v>2674</v>
      </c>
      <c r="AH28296" s="831" t="s">
        <v>558</v>
      </c>
      <c r="AI28296" s="831">
        <v>0</v>
      </c>
      <c r="AJ28296" s="835">
        <v>41060</v>
      </c>
      <c r="AK28296" s="831">
        <v>322151377</v>
      </c>
    </row>
    <row r="28297" spans="32:37">
      <c r="AF28297" s="831" t="s">
        <v>10344</v>
      </c>
      <c r="AG28297" s="831" t="s">
        <v>2674</v>
      </c>
      <c r="AH28297" s="831" t="s">
        <v>65</v>
      </c>
      <c r="AI28297" s="831">
        <v>0</v>
      </c>
      <c r="AJ28297" s="835">
        <v>41060</v>
      </c>
      <c r="AK28297" s="831">
        <v>38110599</v>
      </c>
    </row>
    <row r="28298" spans="32:37">
      <c r="AF28298" s="831" t="s">
        <v>10345</v>
      </c>
      <c r="AG28298" s="831" t="s">
        <v>2674</v>
      </c>
      <c r="AH28298" s="831" t="s">
        <v>89</v>
      </c>
      <c r="AI28298" s="831">
        <v>0</v>
      </c>
      <c r="AJ28298" s="835">
        <v>41060</v>
      </c>
      <c r="AK28298" s="831">
        <v>122430</v>
      </c>
    </row>
    <row r="28299" spans="32:37">
      <c r="AF28299" s="831" t="s">
        <v>10346</v>
      </c>
      <c r="AG28299" s="831" t="s">
        <v>2674</v>
      </c>
      <c r="AH28299" s="831" t="s">
        <v>557</v>
      </c>
      <c r="AI28299" s="831">
        <v>0</v>
      </c>
      <c r="AJ28299" s="835">
        <v>41060</v>
      </c>
      <c r="AK28299" s="831">
        <v>124207</v>
      </c>
    </row>
    <row r="28300" spans="32:37">
      <c r="AF28300" s="831" t="s">
        <v>10347</v>
      </c>
      <c r="AG28300" s="831" t="s">
        <v>2674</v>
      </c>
      <c r="AH28300" s="831" t="s">
        <v>29</v>
      </c>
      <c r="AI28300" s="831">
        <v>0</v>
      </c>
      <c r="AJ28300" s="835">
        <v>41060</v>
      </c>
      <c r="AK28300" s="831">
        <v>2528808</v>
      </c>
    </row>
    <row r="28301" spans="32:37">
      <c r="AF28301" s="831" t="s">
        <v>10348</v>
      </c>
      <c r="AG28301" s="831" t="s">
        <v>2674</v>
      </c>
      <c r="AH28301" s="831" t="s">
        <v>2688</v>
      </c>
      <c r="AI28301" s="831">
        <v>0</v>
      </c>
      <c r="AJ28301" s="835">
        <v>41060</v>
      </c>
      <c r="AK28301" s="831">
        <v>3036435</v>
      </c>
    </row>
    <row r="28302" spans="32:37">
      <c r="AF28302" s="831" t="s">
        <v>10349</v>
      </c>
      <c r="AG28302" s="831" t="s">
        <v>2674</v>
      </c>
      <c r="AH28302" s="831" t="s">
        <v>556</v>
      </c>
      <c r="AI28302" s="831">
        <v>0</v>
      </c>
      <c r="AJ28302" s="835">
        <v>41060</v>
      </c>
      <c r="AK28302" s="831">
        <v>0</v>
      </c>
    </row>
    <row r="28303" spans="32:37">
      <c r="AF28303" s="831" t="s">
        <v>10350</v>
      </c>
      <c r="AG28303" s="831" t="s">
        <v>2674</v>
      </c>
      <c r="AH28303" s="831" t="s">
        <v>555</v>
      </c>
      <c r="AI28303" s="831">
        <v>0</v>
      </c>
      <c r="AJ28303" s="835">
        <v>41060</v>
      </c>
      <c r="AK28303" s="831">
        <v>196148980</v>
      </c>
    </row>
    <row r="28304" spans="32:37">
      <c r="AF28304" s="831" t="s">
        <v>10351</v>
      </c>
      <c r="AG28304" s="831" t="s">
        <v>2674</v>
      </c>
      <c r="AH28304" s="831" t="s">
        <v>554</v>
      </c>
      <c r="AI28304" s="831">
        <v>0</v>
      </c>
      <c r="AJ28304" s="835">
        <v>41060</v>
      </c>
      <c r="AK28304" s="831">
        <v>194772980</v>
      </c>
    </row>
    <row r="28305" spans="32:37">
      <c r="AF28305" s="831" t="s">
        <v>10352</v>
      </c>
      <c r="AG28305" s="831" t="s">
        <v>2674</v>
      </c>
      <c r="AH28305" s="831" t="s">
        <v>553</v>
      </c>
      <c r="AI28305" s="831">
        <v>0</v>
      </c>
      <c r="AJ28305" s="835">
        <v>41060</v>
      </c>
      <c r="AK28305" s="831">
        <v>0</v>
      </c>
    </row>
    <row r="28306" spans="32:37">
      <c r="AF28306" s="831" t="s">
        <v>10353</v>
      </c>
      <c r="AG28306" s="831" t="s">
        <v>2674</v>
      </c>
      <c r="AH28306" s="831" t="s">
        <v>552</v>
      </c>
      <c r="AI28306" s="831">
        <v>0</v>
      </c>
      <c r="AJ28306" s="835">
        <v>41060</v>
      </c>
      <c r="AK28306" s="831">
        <v>0</v>
      </c>
    </row>
    <row r="28307" spans="32:37">
      <c r="AF28307" s="831" t="s">
        <v>10354</v>
      </c>
      <c r="AG28307" s="831" t="s">
        <v>2674</v>
      </c>
      <c r="AH28307" s="831" t="s">
        <v>551</v>
      </c>
      <c r="AI28307" s="831">
        <v>0</v>
      </c>
      <c r="AJ28307" s="835">
        <v>41060</v>
      </c>
      <c r="AK28307" s="831">
        <v>2340522</v>
      </c>
    </row>
    <row r="28308" spans="32:37">
      <c r="AF28308" s="831" t="s">
        <v>10355</v>
      </c>
      <c r="AG28308" s="831" t="s">
        <v>2674</v>
      </c>
      <c r="AH28308" s="831" t="s">
        <v>550</v>
      </c>
      <c r="AI28308" s="831">
        <v>0</v>
      </c>
      <c r="AJ28308" s="835">
        <v>41060</v>
      </c>
      <c r="AK28308" s="831">
        <v>0</v>
      </c>
    </row>
    <row r="28309" spans="32:37">
      <c r="AF28309" s="831" t="s">
        <v>10356</v>
      </c>
      <c r="AG28309" s="831" t="s">
        <v>2674</v>
      </c>
      <c r="AH28309" s="831" t="s">
        <v>562</v>
      </c>
      <c r="AI28309" s="831">
        <v>0</v>
      </c>
      <c r="AJ28309" s="835">
        <v>41060</v>
      </c>
      <c r="AK28309" s="831">
        <v>0.78515000000000001</v>
      </c>
    </row>
    <row r="28310" spans="32:37">
      <c r="AF28310" s="831" t="s">
        <v>10357</v>
      </c>
      <c r="AG28310" s="831" t="s">
        <v>2674</v>
      </c>
      <c r="AH28310" s="831" t="s">
        <v>2698</v>
      </c>
      <c r="AI28310" s="831">
        <v>0</v>
      </c>
      <c r="AJ28310" s="835">
        <v>41060</v>
      </c>
      <c r="AK28310" s="831">
        <v>0.78585000000000005</v>
      </c>
    </row>
    <row r="28311" spans="32:37">
      <c r="AF28311" s="831" t="s">
        <v>10358</v>
      </c>
      <c r="AG28311" s="831" t="s">
        <v>2674</v>
      </c>
      <c r="AH28311" s="831" t="s">
        <v>560</v>
      </c>
      <c r="AI28311" s="831">
        <v>0</v>
      </c>
      <c r="AJ28311" s="835">
        <v>41060</v>
      </c>
      <c r="AK28311" s="831">
        <v>0.78580000000000005</v>
      </c>
    </row>
    <row r="28312" spans="32:37">
      <c r="AF28312" s="831" t="s">
        <v>10359</v>
      </c>
      <c r="AG28312" s="831" t="s">
        <v>2674</v>
      </c>
      <c r="AH28312" s="831" t="s">
        <v>559</v>
      </c>
      <c r="AI28312" s="831">
        <v>0</v>
      </c>
      <c r="AJ28312" s="835">
        <v>41060</v>
      </c>
      <c r="AK28312" s="831">
        <v>0.78569999999999995</v>
      </c>
    </row>
    <row r="28313" spans="32:37">
      <c r="AF28313" s="831" t="s">
        <v>10360</v>
      </c>
      <c r="AG28313" s="831" t="s">
        <v>2674</v>
      </c>
      <c r="AH28313" s="831" t="s">
        <v>568</v>
      </c>
      <c r="AI28313" s="831">
        <v>0</v>
      </c>
      <c r="AJ28313" s="835">
        <v>41060</v>
      </c>
      <c r="AK28313" s="831">
        <v>0</v>
      </c>
    </row>
    <row r="28314" spans="32:37">
      <c r="AF28314" s="831" t="s">
        <v>10361</v>
      </c>
      <c r="AG28314" s="831" t="s">
        <v>2674</v>
      </c>
      <c r="AH28314" s="831" t="s">
        <v>569</v>
      </c>
      <c r="AI28314" s="831">
        <v>0</v>
      </c>
      <c r="AJ28314" s="835">
        <v>41060</v>
      </c>
      <c r="AK28314" s="831">
        <v>0</v>
      </c>
    </row>
    <row r="28315" spans="32:37">
      <c r="AF28315" s="831" t="s">
        <v>10362</v>
      </c>
      <c r="AG28315" s="831" t="s">
        <v>2674</v>
      </c>
      <c r="AH28315" s="831" t="s">
        <v>570</v>
      </c>
      <c r="AI28315" s="831">
        <v>0</v>
      </c>
      <c r="AJ28315" s="835">
        <v>41060</v>
      </c>
      <c r="AK28315" s="831">
        <v>0</v>
      </c>
    </row>
    <row r="28316" spans="32:37">
      <c r="AF28316" s="831" t="s">
        <v>10363</v>
      </c>
      <c r="AG28316" s="831" t="s">
        <v>2674</v>
      </c>
      <c r="AH28316" s="831" t="s">
        <v>571</v>
      </c>
      <c r="AI28316" s="831">
        <v>0</v>
      </c>
      <c r="AJ28316" s="835">
        <v>41060</v>
      </c>
      <c r="AK28316" s="831">
        <v>0</v>
      </c>
    </row>
    <row r="28317" spans="32:37">
      <c r="AF28317" s="831" t="s">
        <v>10364</v>
      </c>
      <c r="AG28317" s="831" t="s">
        <v>2674</v>
      </c>
      <c r="AH28317" s="831" t="s">
        <v>573</v>
      </c>
      <c r="AI28317" s="831">
        <v>0</v>
      </c>
      <c r="AJ28317" s="835">
        <v>41060</v>
      </c>
      <c r="AK28317" s="831">
        <v>0</v>
      </c>
    </row>
    <row r="28318" spans="32:37">
      <c r="AF28318" s="831" t="s">
        <v>10365</v>
      </c>
      <c r="AG28318" s="831" t="s">
        <v>2674</v>
      </c>
      <c r="AH28318" s="831" t="s">
        <v>574</v>
      </c>
      <c r="AI28318" s="831">
        <v>0</v>
      </c>
      <c r="AJ28318" s="835">
        <v>41060</v>
      </c>
      <c r="AK28318" s="831">
        <v>0</v>
      </c>
    </row>
    <row r="28319" spans="32:37">
      <c r="AF28319" s="831" t="s">
        <v>10366</v>
      </c>
      <c r="AG28319" s="831" t="s">
        <v>2674</v>
      </c>
      <c r="AH28319" s="831" t="s">
        <v>575</v>
      </c>
      <c r="AI28319" s="831">
        <v>0</v>
      </c>
      <c r="AJ28319" s="835">
        <v>41060</v>
      </c>
      <c r="AK28319" s="831">
        <v>0</v>
      </c>
    </row>
    <row r="28320" spans="32:37">
      <c r="AF28320" s="831" t="s">
        <v>10367</v>
      </c>
      <c r="AG28320" s="831" t="s">
        <v>2674</v>
      </c>
      <c r="AH28320" s="831" t="s">
        <v>576</v>
      </c>
      <c r="AI28320" s="831">
        <v>0</v>
      </c>
      <c r="AJ28320" s="835">
        <v>41060</v>
      </c>
      <c r="AK28320" s="831">
        <v>0</v>
      </c>
    </row>
    <row r="28321" spans="32:37">
      <c r="AF28321" s="831" t="s">
        <v>10368</v>
      </c>
      <c r="AG28321" s="831" t="s">
        <v>2674</v>
      </c>
      <c r="AH28321" s="831" t="s">
        <v>572</v>
      </c>
      <c r="AI28321" s="831">
        <v>0</v>
      </c>
      <c r="AJ28321" s="835">
        <v>41060</v>
      </c>
      <c r="AK28321" s="831">
        <v>-2146826246</v>
      </c>
    </row>
    <row r="28322" spans="32:37">
      <c r="AF28322" s="831" t="s">
        <v>10369</v>
      </c>
      <c r="AG28322" s="831" t="s">
        <v>2674</v>
      </c>
      <c r="AH28322" s="831" t="s">
        <v>577</v>
      </c>
      <c r="AI28322" s="831">
        <v>0</v>
      </c>
      <c r="AJ28322" s="835">
        <v>41060</v>
      </c>
      <c r="AK28322" s="831">
        <v>-2146826246</v>
      </c>
    </row>
    <row r="28323" spans="32:37">
      <c r="AF28323" s="831" t="s">
        <v>10370</v>
      </c>
      <c r="AG28323" s="831" t="s">
        <v>2674</v>
      </c>
      <c r="AH28323" s="831" t="s">
        <v>3042</v>
      </c>
      <c r="AI28323" s="831">
        <v>0</v>
      </c>
      <c r="AJ28323" s="835">
        <v>41060</v>
      </c>
      <c r="AK28323" s="831">
        <v>-2146826246</v>
      </c>
    </row>
    <row r="28324" spans="32:37">
      <c r="AF28324" s="831" t="s">
        <v>10371</v>
      </c>
      <c r="AG28324" s="831" t="s">
        <v>2674</v>
      </c>
      <c r="AH28324" s="831" t="s">
        <v>3044</v>
      </c>
      <c r="AI28324" s="831">
        <v>0</v>
      </c>
      <c r="AJ28324" s="835">
        <v>41060</v>
      </c>
      <c r="AK28324" s="831">
        <v>-2146826246</v>
      </c>
    </row>
    <row r="28325" spans="32:37">
      <c r="AF28325" s="831" t="s">
        <v>10372</v>
      </c>
      <c r="AG28325" s="831" t="s">
        <v>2674</v>
      </c>
      <c r="AH28325" s="831" t="s">
        <v>580</v>
      </c>
      <c r="AI28325" s="831">
        <v>0</v>
      </c>
      <c r="AJ28325" s="835">
        <v>41060</v>
      </c>
      <c r="AK28325" s="831">
        <v>-2146826246</v>
      </c>
    </row>
    <row r="28326" spans="32:37">
      <c r="AF28326" s="831" t="s">
        <v>10373</v>
      </c>
      <c r="AG28326" s="831" t="s">
        <v>2674</v>
      </c>
      <c r="AH28326" s="831" t="s">
        <v>581</v>
      </c>
      <c r="AI28326" s="831">
        <v>0</v>
      </c>
      <c r="AJ28326" s="835">
        <v>41060</v>
      </c>
      <c r="AK28326" s="831">
        <v>-2146826246</v>
      </c>
    </row>
    <row r="28327" spans="32:37">
      <c r="AF28327" s="831" t="s">
        <v>10374</v>
      </c>
      <c r="AG28327" s="831" t="s">
        <v>2674</v>
      </c>
      <c r="AH28327" s="831" t="s">
        <v>105</v>
      </c>
      <c r="AI28327" s="831">
        <v>0</v>
      </c>
      <c r="AJ28327" s="835">
        <v>41060</v>
      </c>
      <c r="AK28327" s="831">
        <v>149985593</v>
      </c>
    </row>
    <row r="28328" spans="32:37">
      <c r="AF28328" s="831" t="s">
        <v>10375</v>
      </c>
      <c r="AG28328" s="831" t="s">
        <v>2674</v>
      </c>
      <c r="AH28328" s="831" t="s">
        <v>3049</v>
      </c>
      <c r="AI28328" s="831">
        <v>0</v>
      </c>
      <c r="AJ28328" s="835">
        <v>41060</v>
      </c>
      <c r="AK28328" s="831">
        <v>309400000</v>
      </c>
    </row>
    <row r="28329" spans="32:37">
      <c r="AF28329" s="831" t="s">
        <v>10376</v>
      </c>
      <c r="AG28329" s="831" t="s">
        <v>2674</v>
      </c>
      <c r="AH28329" s="831" t="s">
        <v>103</v>
      </c>
      <c r="AI28329" s="831">
        <v>0</v>
      </c>
      <c r="AJ28329" s="835">
        <v>41060</v>
      </c>
      <c r="AK28329" s="831">
        <v>159414407</v>
      </c>
    </row>
    <row r="28330" spans="32:37">
      <c r="AF28330" s="831" t="s">
        <v>10377</v>
      </c>
      <c r="AG28330" s="831" t="s">
        <v>2674</v>
      </c>
      <c r="AH28330" s="831" t="s">
        <v>182</v>
      </c>
      <c r="AI28330" s="831">
        <v>0</v>
      </c>
      <c r="AJ28330" s="835">
        <v>41060</v>
      </c>
      <c r="AK28330" s="831">
        <v>50472969.600000001</v>
      </c>
    </row>
    <row r="28331" spans="32:37">
      <c r="AF28331" s="831" t="s">
        <v>10378</v>
      </c>
      <c r="AG28331" s="831" t="s">
        <v>2674</v>
      </c>
      <c r="AH28331" s="831" t="s">
        <v>6600</v>
      </c>
      <c r="AI28331" s="831">
        <v>0</v>
      </c>
      <c r="AJ28331" s="835">
        <v>41060</v>
      </c>
      <c r="AK28331" s="831">
        <v>-2146826246</v>
      </c>
    </row>
    <row r="28332" spans="32:37">
      <c r="AF28332" s="831" t="s">
        <v>10379</v>
      </c>
      <c r="AG28332" s="831" t="s">
        <v>2674</v>
      </c>
      <c r="AH28332" s="831" t="s">
        <v>6602</v>
      </c>
      <c r="AI28332" s="831">
        <v>0</v>
      </c>
      <c r="AJ28332" s="835">
        <v>41060</v>
      </c>
      <c r="AK28332" s="831">
        <v>5197337</v>
      </c>
    </row>
    <row r="28333" spans="32:37">
      <c r="AF28333" s="831" t="s">
        <v>10380</v>
      </c>
      <c r="AG28333" s="831" t="s">
        <v>2674</v>
      </c>
      <c r="AH28333" s="831" t="s">
        <v>650</v>
      </c>
      <c r="AI28333" s="831">
        <v>0</v>
      </c>
      <c r="AJ28333" s="835">
        <v>41060</v>
      </c>
      <c r="AK28333" s="831">
        <v>0</v>
      </c>
    </row>
    <row r="28334" spans="32:37">
      <c r="AF28334" s="831" t="s">
        <v>10381</v>
      </c>
      <c r="AG28334" s="831" t="s">
        <v>2674</v>
      </c>
      <c r="AH28334" s="831" t="s">
        <v>655</v>
      </c>
      <c r="AI28334" s="831">
        <v>0</v>
      </c>
      <c r="AJ28334" s="835">
        <v>41060</v>
      </c>
      <c r="AK28334" s="831">
        <v>2125799</v>
      </c>
    </row>
    <row r="28335" spans="32:37">
      <c r="AF28335" s="831" t="s">
        <v>10382</v>
      </c>
      <c r="AG28335" s="831" t="s">
        <v>2674</v>
      </c>
      <c r="AH28335" s="831" t="s">
        <v>546</v>
      </c>
      <c r="AI28335" s="831">
        <v>0</v>
      </c>
      <c r="AJ28335" s="835">
        <v>41090</v>
      </c>
      <c r="AK28335" s="831">
        <v>342628450</v>
      </c>
    </row>
    <row r="28336" spans="32:37">
      <c r="AF28336" s="831" t="s">
        <v>10383</v>
      </c>
      <c r="AG28336" s="831" t="s">
        <v>2674</v>
      </c>
      <c r="AH28336" s="831" t="s">
        <v>370</v>
      </c>
      <c r="AI28336" s="831">
        <v>0</v>
      </c>
      <c r="AJ28336" s="835">
        <v>41090</v>
      </c>
      <c r="AK28336" s="831">
        <v>422295379</v>
      </c>
    </row>
    <row r="28337" spans="32:37">
      <c r="AF28337" s="831" t="s">
        <v>10384</v>
      </c>
      <c r="AG28337" s="831" t="s">
        <v>2674</v>
      </c>
      <c r="AH28337" s="831" t="s">
        <v>126</v>
      </c>
      <c r="AI28337" s="831">
        <v>0</v>
      </c>
      <c r="AJ28337" s="835">
        <v>41090</v>
      </c>
      <c r="AK28337" s="831">
        <v>91675016</v>
      </c>
    </row>
    <row r="28338" spans="32:37">
      <c r="AF28338" s="831" t="s">
        <v>10385</v>
      </c>
      <c r="AG28338" s="831" t="s">
        <v>2674</v>
      </c>
      <c r="AH28338" s="831" t="s">
        <v>268</v>
      </c>
      <c r="AI28338" s="831">
        <v>0</v>
      </c>
      <c r="AJ28338" s="835">
        <v>41090</v>
      </c>
      <c r="AK28338" s="831">
        <v>6352093</v>
      </c>
    </row>
    <row r="28339" spans="32:37">
      <c r="AF28339" s="831" t="s">
        <v>10386</v>
      </c>
      <c r="AG28339" s="831" t="s">
        <v>2674</v>
      </c>
      <c r="AH28339" s="831" t="s">
        <v>547</v>
      </c>
      <c r="AI28339" s="831">
        <v>0</v>
      </c>
      <c r="AJ28339" s="835">
        <v>41090</v>
      </c>
      <c r="AK28339" s="831">
        <v>0</v>
      </c>
    </row>
    <row r="28340" spans="32:37">
      <c r="AF28340" s="831" t="s">
        <v>10387</v>
      </c>
      <c r="AG28340" s="831" t="s">
        <v>2674</v>
      </c>
      <c r="AH28340" s="831" t="s">
        <v>548</v>
      </c>
      <c r="AI28340" s="831">
        <v>0</v>
      </c>
      <c r="AJ28340" s="835">
        <v>41090</v>
      </c>
      <c r="AK28340" s="831">
        <v>0</v>
      </c>
    </row>
    <row r="28341" spans="32:37">
      <c r="AF28341" s="831" t="s">
        <v>10388</v>
      </c>
      <c r="AG28341" s="831" t="s">
        <v>2674</v>
      </c>
      <c r="AH28341" s="831" t="s">
        <v>549</v>
      </c>
      <c r="AI28341" s="831">
        <v>0</v>
      </c>
      <c r="AJ28341" s="835">
        <v>41090</v>
      </c>
      <c r="AK28341" s="831">
        <v>0</v>
      </c>
    </row>
    <row r="28342" spans="32:37">
      <c r="AF28342" s="831" t="s">
        <v>10389</v>
      </c>
      <c r="AG28342" s="831" t="s">
        <v>2674</v>
      </c>
      <c r="AH28342" s="831" t="s">
        <v>192</v>
      </c>
      <c r="AI28342" s="831">
        <v>0</v>
      </c>
      <c r="AJ28342" s="835">
        <v>41090</v>
      </c>
      <c r="AK28342" s="831">
        <v>-9357224</v>
      </c>
    </row>
    <row r="28343" spans="32:37">
      <c r="AF28343" s="831" t="s">
        <v>10390</v>
      </c>
      <c r="AG28343" s="831" t="s">
        <v>2674</v>
      </c>
      <c r="AH28343" s="831" t="s">
        <v>558</v>
      </c>
      <c r="AI28343" s="831">
        <v>0</v>
      </c>
      <c r="AJ28343" s="835">
        <v>41090</v>
      </c>
      <c r="AK28343" s="831">
        <v>330620363</v>
      </c>
    </row>
    <row r="28344" spans="32:37">
      <c r="AF28344" s="831" t="s">
        <v>10391</v>
      </c>
      <c r="AG28344" s="831" t="s">
        <v>2674</v>
      </c>
      <c r="AH28344" s="831" t="s">
        <v>65</v>
      </c>
      <c r="AI28344" s="831">
        <v>0</v>
      </c>
      <c r="AJ28344" s="835">
        <v>41090</v>
      </c>
      <c r="AK28344" s="831">
        <v>46070355</v>
      </c>
    </row>
    <row r="28345" spans="32:37">
      <c r="AF28345" s="831" t="s">
        <v>10392</v>
      </c>
      <c r="AG28345" s="831" t="s">
        <v>2674</v>
      </c>
      <c r="AH28345" s="831" t="s">
        <v>89</v>
      </c>
      <c r="AI28345" s="831">
        <v>0</v>
      </c>
      <c r="AJ28345" s="835">
        <v>41090</v>
      </c>
      <c r="AK28345" s="831">
        <v>122094</v>
      </c>
    </row>
    <row r="28346" spans="32:37">
      <c r="AF28346" s="831" t="s">
        <v>10393</v>
      </c>
      <c r="AG28346" s="831" t="s">
        <v>2674</v>
      </c>
      <c r="AH28346" s="831" t="s">
        <v>557</v>
      </c>
      <c r="AI28346" s="831">
        <v>0</v>
      </c>
      <c r="AJ28346" s="835">
        <v>41090</v>
      </c>
      <c r="AK28346" s="831">
        <v>123933</v>
      </c>
    </row>
    <row r="28347" spans="32:37">
      <c r="AF28347" s="831" t="s">
        <v>10394</v>
      </c>
      <c r="AG28347" s="831" t="s">
        <v>2674</v>
      </c>
      <c r="AH28347" s="831" t="s">
        <v>29</v>
      </c>
      <c r="AI28347" s="831">
        <v>0</v>
      </c>
      <c r="AJ28347" s="835">
        <v>41090</v>
      </c>
      <c r="AK28347" s="831">
        <v>2579950</v>
      </c>
    </row>
    <row r="28348" spans="32:37">
      <c r="AF28348" s="831" t="s">
        <v>10395</v>
      </c>
      <c r="AG28348" s="831" t="s">
        <v>2674</v>
      </c>
      <c r="AH28348" s="831" t="s">
        <v>2688</v>
      </c>
      <c r="AI28348" s="831">
        <v>0</v>
      </c>
      <c r="AJ28348" s="835">
        <v>41090</v>
      </c>
      <c r="AK28348" s="831">
        <v>2983420</v>
      </c>
    </row>
    <row r="28349" spans="32:37">
      <c r="AF28349" s="831" t="s">
        <v>10396</v>
      </c>
      <c r="AG28349" s="831" t="s">
        <v>2674</v>
      </c>
      <c r="AH28349" s="831" t="s">
        <v>556</v>
      </c>
      <c r="AI28349" s="831">
        <v>0</v>
      </c>
      <c r="AJ28349" s="835">
        <v>41090</v>
      </c>
      <c r="AK28349" s="831">
        <v>0</v>
      </c>
    </row>
    <row r="28350" spans="32:37">
      <c r="AF28350" s="831" t="s">
        <v>10397</v>
      </c>
      <c r="AG28350" s="831" t="s">
        <v>2674</v>
      </c>
      <c r="AH28350" s="831" t="s">
        <v>555</v>
      </c>
      <c r="AI28350" s="831">
        <v>0</v>
      </c>
      <c r="AJ28350" s="835">
        <v>41090</v>
      </c>
      <c r="AK28350" s="831">
        <v>197249400</v>
      </c>
    </row>
    <row r="28351" spans="32:37">
      <c r="AF28351" s="831" t="s">
        <v>10398</v>
      </c>
      <c r="AG28351" s="831" t="s">
        <v>2674</v>
      </c>
      <c r="AH28351" s="831" t="s">
        <v>554</v>
      </c>
      <c r="AI28351" s="831">
        <v>0</v>
      </c>
      <c r="AJ28351" s="835">
        <v>41090</v>
      </c>
      <c r="AK28351" s="831">
        <v>196927620</v>
      </c>
    </row>
    <row r="28352" spans="32:37">
      <c r="AF28352" s="831" t="s">
        <v>10399</v>
      </c>
      <c r="AG28352" s="831" t="s">
        <v>2674</v>
      </c>
      <c r="AH28352" s="831" t="s">
        <v>553</v>
      </c>
      <c r="AI28352" s="831">
        <v>0</v>
      </c>
      <c r="AJ28352" s="835">
        <v>41090</v>
      </c>
      <c r="AK28352" s="831">
        <v>0</v>
      </c>
    </row>
    <row r="28353" spans="32:37">
      <c r="AF28353" s="831" t="s">
        <v>10400</v>
      </c>
      <c r="AG28353" s="831" t="s">
        <v>2674</v>
      </c>
      <c r="AH28353" s="831" t="s">
        <v>552</v>
      </c>
      <c r="AI28353" s="831">
        <v>0</v>
      </c>
      <c r="AJ28353" s="835">
        <v>41090</v>
      </c>
      <c r="AK28353" s="831">
        <v>0</v>
      </c>
    </row>
    <row r="28354" spans="32:37">
      <c r="AF28354" s="831" t="s">
        <v>10401</v>
      </c>
      <c r="AG28354" s="831" t="s">
        <v>2674</v>
      </c>
      <c r="AH28354" s="831" t="s">
        <v>551</v>
      </c>
      <c r="AI28354" s="831">
        <v>0</v>
      </c>
      <c r="AJ28354" s="835">
        <v>41090</v>
      </c>
      <c r="AK28354" s="831">
        <v>2420279</v>
      </c>
    </row>
    <row r="28355" spans="32:37">
      <c r="AF28355" s="831" t="s">
        <v>10402</v>
      </c>
      <c r="AG28355" s="831" t="s">
        <v>2674</v>
      </c>
      <c r="AH28355" s="831" t="s">
        <v>550</v>
      </c>
      <c r="AI28355" s="831">
        <v>0</v>
      </c>
      <c r="AJ28355" s="835">
        <v>41090</v>
      </c>
      <c r="AK28355" s="831">
        <v>90520261</v>
      </c>
    </row>
    <row r="28356" spans="32:37">
      <c r="AF28356" s="831" t="s">
        <v>10403</v>
      </c>
      <c r="AG28356" s="831" t="s">
        <v>2674</v>
      </c>
      <c r="AH28356" s="831" t="s">
        <v>562</v>
      </c>
      <c r="AI28356" s="831">
        <v>0</v>
      </c>
      <c r="AJ28356" s="835">
        <v>41090</v>
      </c>
      <c r="AK28356" s="831">
        <v>0.78505000000000003</v>
      </c>
    </row>
    <row r="28357" spans="32:37">
      <c r="AF28357" s="831" t="s">
        <v>10404</v>
      </c>
      <c r="AG28357" s="831" t="s">
        <v>2674</v>
      </c>
      <c r="AH28357" s="831" t="s">
        <v>2698</v>
      </c>
      <c r="AI28357" s="831">
        <v>0</v>
      </c>
      <c r="AJ28357" s="835">
        <v>41090</v>
      </c>
      <c r="AK28357" s="831">
        <v>0.78515000000000001</v>
      </c>
    </row>
    <row r="28358" spans="32:37">
      <c r="AF28358" s="831" t="s">
        <v>10405</v>
      </c>
      <c r="AG28358" s="831" t="s">
        <v>2674</v>
      </c>
      <c r="AH28358" s="831" t="s">
        <v>560</v>
      </c>
      <c r="AI28358" s="831">
        <v>0</v>
      </c>
      <c r="AJ28358" s="835">
        <v>41090</v>
      </c>
      <c r="AK28358" s="831">
        <v>0.78567500000000001</v>
      </c>
    </row>
    <row r="28359" spans="32:37">
      <c r="AF28359" s="831" t="s">
        <v>10406</v>
      </c>
      <c r="AG28359" s="831" t="s">
        <v>2674</v>
      </c>
      <c r="AH28359" s="831" t="s">
        <v>559</v>
      </c>
      <c r="AI28359" s="831">
        <v>0</v>
      </c>
      <c r="AJ28359" s="835">
        <v>41090</v>
      </c>
      <c r="AK28359" s="831">
        <v>0.78561666666666674</v>
      </c>
    </row>
    <row r="28360" spans="32:37">
      <c r="AF28360" s="831" t="s">
        <v>10407</v>
      </c>
      <c r="AG28360" s="831" t="s">
        <v>2674</v>
      </c>
      <c r="AH28360" s="831" t="s">
        <v>568</v>
      </c>
      <c r="AI28360" s="831">
        <v>0</v>
      </c>
      <c r="AJ28360" s="835">
        <v>41090</v>
      </c>
      <c r="AK28360" s="831">
        <v>0</v>
      </c>
    </row>
    <row r="28361" spans="32:37">
      <c r="AF28361" s="831" t="s">
        <v>10408</v>
      </c>
      <c r="AG28361" s="831" t="s">
        <v>2674</v>
      </c>
      <c r="AH28361" s="831" t="s">
        <v>569</v>
      </c>
      <c r="AI28361" s="831">
        <v>0</v>
      </c>
      <c r="AJ28361" s="835">
        <v>41090</v>
      </c>
      <c r="AK28361" s="831">
        <v>0</v>
      </c>
    </row>
    <row r="28362" spans="32:37">
      <c r="AF28362" s="831" t="s">
        <v>10409</v>
      </c>
      <c r="AG28362" s="831" t="s">
        <v>2674</v>
      </c>
      <c r="AH28362" s="831" t="s">
        <v>570</v>
      </c>
      <c r="AI28362" s="831">
        <v>0</v>
      </c>
      <c r="AJ28362" s="835">
        <v>41090</v>
      </c>
      <c r="AK28362" s="831">
        <v>0</v>
      </c>
    </row>
    <row r="28363" spans="32:37">
      <c r="AF28363" s="831" t="s">
        <v>10410</v>
      </c>
      <c r="AG28363" s="831" t="s">
        <v>2674</v>
      </c>
      <c r="AH28363" s="831" t="s">
        <v>571</v>
      </c>
      <c r="AI28363" s="831">
        <v>0</v>
      </c>
      <c r="AJ28363" s="835">
        <v>41090</v>
      </c>
      <c r="AK28363" s="831">
        <v>0</v>
      </c>
    </row>
    <row r="28364" spans="32:37">
      <c r="AF28364" s="831" t="s">
        <v>10411</v>
      </c>
      <c r="AG28364" s="831" t="s">
        <v>2674</v>
      </c>
      <c r="AH28364" s="831" t="s">
        <v>573</v>
      </c>
      <c r="AI28364" s="831">
        <v>0</v>
      </c>
      <c r="AJ28364" s="835">
        <v>41090</v>
      </c>
      <c r="AK28364" s="831">
        <v>0</v>
      </c>
    </row>
    <row r="28365" spans="32:37">
      <c r="AF28365" s="831" t="s">
        <v>10412</v>
      </c>
      <c r="AG28365" s="831" t="s">
        <v>2674</v>
      </c>
      <c r="AH28365" s="831" t="s">
        <v>574</v>
      </c>
      <c r="AI28365" s="831">
        <v>0</v>
      </c>
      <c r="AJ28365" s="835">
        <v>41090</v>
      </c>
      <c r="AK28365" s="831">
        <v>0</v>
      </c>
    </row>
    <row r="28366" spans="32:37">
      <c r="AF28366" s="831" t="s">
        <v>10413</v>
      </c>
      <c r="AG28366" s="831" t="s">
        <v>2674</v>
      </c>
      <c r="AH28366" s="831" t="s">
        <v>575</v>
      </c>
      <c r="AI28366" s="831">
        <v>0</v>
      </c>
      <c r="AJ28366" s="835">
        <v>41090</v>
      </c>
      <c r="AK28366" s="831">
        <v>0</v>
      </c>
    </row>
    <row r="28367" spans="32:37">
      <c r="AF28367" s="831" t="s">
        <v>10414</v>
      </c>
      <c r="AG28367" s="831" t="s">
        <v>2674</v>
      </c>
      <c r="AH28367" s="831" t="s">
        <v>576</v>
      </c>
      <c r="AI28367" s="831">
        <v>0</v>
      </c>
      <c r="AJ28367" s="835">
        <v>41090</v>
      </c>
      <c r="AK28367" s="831">
        <v>0</v>
      </c>
    </row>
    <row r="28368" spans="32:37">
      <c r="AF28368" s="831" t="s">
        <v>10415</v>
      </c>
      <c r="AG28368" s="831" t="s">
        <v>2674</v>
      </c>
      <c r="AH28368" s="831" t="s">
        <v>572</v>
      </c>
      <c r="AI28368" s="831">
        <v>0</v>
      </c>
      <c r="AJ28368" s="835">
        <v>41090</v>
      </c>
      <c r="AK28368" s="831">
        <v>-2146826246</v>
      </c>
    </row>
    <row r="28369" spans="32:37">
      <c r="AF28369" s="831" t="s">
        <v>10416</v>
      </c>
      <c r="AG28369" s="831" t="s">
        <v>2674</v>
      </c>
      <c r="AH28369" s="831" t="s">
        <v>577</v>
      </c>
      <c r="AI28369" s="831">
        <v>0</v>
      </c>
      <c r="AJ28369" s="835">
        <v>41090</v>
      </c>
      <c r="AK28369" s="831">
        <v>-2146826246</v>
      </c>
    </row>
    <row r="28370" spans="32:37">
      <c r="AF28370" s="831" t="s">
        <v>10417</v>
      </c>
      <c r="AG28370" s="831" t="s">
        <v>2674</v>
      </c>
      <c r="AH28370" s="831" t="s">
        <v>3042</v>
      </c>
      <c r="AI28370" s="831">
        <v>0</v>
      </c>
      <c r="AJ28370" s="835">
        <v>41090</v>
      </c>
      <c r="AK28370" s="831">
        <v>-2146826246</v>
      </c>
    </row>
    <row r="28371" spans="32:37">
      <c r="AF28371" s="831" t="s">
        <v>10418</v>
      </c>
      <c r="AG28371" s="831" t="s">
        <v>2674</v>
      </c>
      <c r="AH28371" s="831" t="s">
        <v>3044</v>
      </c>
      <c r="AI28371" s="831">
        <v>0</v>
      </c>
      <c r="AJ28371" s="835">
        <v>41090</v>
      </c>
      <c r="AK28371" s="831">
        <v>-2146826246</v>
      </c>
    </row>
    <row r="28372" spans="32:37">
      <c r="AF28372" s="831" t="s">
        <v>10419</v>
      </c>
      <c r="AG28372" s="831" t="s">
        <v>2674</v>
      </c>
      <c r="AH28372" s="831" t="s">
        <v>580</v>
      </c>
      <c r="AI28372" s="831">
        <v>0</v>
      </c>
      <c r="AJ28372" s="835">
        <v>41090</v>
      </c>
      <c r="AK28372" s="831">
        <v>-2146826246</v>
      </c>
    </row>
    <row r="28373" spans="32:37">
      <c r="AF28373" s="831" t="s">
        <v>10420</v>
      </c>
      <c r="AG28373" s="831" t="s">
        <v>2674</v>
      </c>
      <c r="AH28373" s="831" t="s">
        <v>581</v>
      </c>
      <c r="AI28373" s="831">
        <v>0</v>
      </c>
      <c r="AJ28373" s="835">
        <v>41090</v>
      </c>
      <c r="AK28373" s="831">
        <v>-2146826246</v>
      </c>
    </row>
    <row r="28374" spans="32:37">
      <c r="AF28374" s="831" t="s">
        <v>10421</v>
      </c>
      <c r="AG28374" s="831" t="s">
        <v>2674</v>
      </c>
      <c r="AH28374" s="831" t="s">
        <v>105</v>
      </c>
      <c r="AI28374" s="831">
        <v>0</v>
      </c>
      <c r="AJ28374" s="835">
        <v>41090</v>
      </c>
      <c r="AK28374" s="831">
        <v>152917631</v>
      </c>
    </row>
    <row r="28375" spans="32:37">
      <c r="AF28375" s="831" t="s">
        <v>10422</v>
      </c>
      <c r="AG28375" s="831" t="s">
        <v>2674</v>
      </c>
      <c r="AH28375" s="831" t="s">
        <v>3049</v>
      </c>
      <c r="AI28375" s="831">
        <v>0</v>
      </c>
      <c r="AJ28375" s="835">
        <v>41090</v>
      </c>
      <c r="AK28375" s="831">
        <v>317640148</v>
      </c>
    </row>
    <row r="28376" spans="32:37">
      <c r="AF28376" s="831" t="s">
        <v>10423</v>
      </c>
      <c r="AG28376" s="831" t="s">
        <v>2674</v>
      </c>
      <c r="AH28376" s="831" t="s">
        <v>103</v>
      </c>
      <c r="AI28376" s="831">
        <v>0</v>
      </c>
      <c r="AJ28376" s="835">
        <v>41090</v>
      </c>
      <c r="AK28376" s="831">
        <v>164722517</v>
      </c>
    </row>
    <row r="28377" spans="32:37">
      <c r="AF28377" s="831" t="s">
        <v>10424</v>
      </c>
      <c r="AG28377" s="831" t="s">
        <v>2674</v>
      </c>
      <c r="AH28377" s="831" t="s">
        <v>182</v>
      </c>
      <c r="AI28377" s="831">
        <v>0</v>
      </c>
      <c r="AJ28377" s="835">
        <v>41090</v>
      </c>
      <c r="AK28377" s="831">
        <v>51276754</v>
      </c>
    </row>
    <row r="28378" spans="32:37">
      <c r="AF28378" s="831" t="s">
        <v>10425</v>
      </c>
      <c r="AG28378" s="831" t="s">
        <v>2674</v>
      </c>
      <c r="AH28378" s="831" t="s">
        <v>6600</v>
      </c>
      <c r="AI28378" s="831">
        <v>0</v>
      </c>
      <c r="AJ28378" s="835">
        <v>41090</v>
      </c>
      <c r="AK28378" s="831">
        <v>-2146826246</v>
      </c>
    </row>
    <row r="28379" spans="32:37">
      <c r="AF28379" s="831" t="s">
        <v>10426</v>
      </c>
      <c r="AG28379" s="831" t="s">
        <v>2674</v>
      </c>
      <c r="AH28379" s="831" t="s">
        <v>6602</v>
      </c>
      <c r="AI28379" s="831">
        <v>0</v>
      </c>
      <c r="AJ28379" s="835">
        <v>41090</v>
      </c>
      <c r="AK28379" s="831">
        <v>6352093</v>
      </c>
    </row>
    <row r="28380" spans="32:37">
      <c r="AF28380" s="831" t="s">
        <v>10427</v>
      </c>
      <c r="AG28380" s="831" t="s">
        <v>2674</v>
      </c>
      <c r="AH28380" s="831" t="s">
        <v>650</v>
      </c>
      <c r="AI28380" s="831">
        <v>0</v>
      </c>
      <c r="AJ28380" s="835">
        <v>41090</v>
      </c>
      <c r="AK28380" s="831">
        <v>0</v>
      </c>
    </row>
    <row r="28381" spans="32:37">
      <c r="AF28381" s="831" t="s">
        <v>10428</v>
      </c>
      <c r="AG28381" s="831" t="s">
        <v>2674</v>
      </c>
      <c r="AH28381" s="831" t="s">
        <v>655</v>
      </c>
      <c r="AI28381" s="831">
        <v>0</v>
      </c>
      <c r="AJ28381" s="835">
        <v>41090</v>
      </c>
      <c r="AK28381" s="831">
        <v>2251978</v>
      </c>
    </row>
    <row r="28382" spans="32:37">
      <c r="AF28382" s="831" t="s">
        <v>10429</v>
      </c>
      <c r="AG28382" s="831" t="s">
        <v>2674</v>
      </c>
      <c r="AH28382" s="831" t="s">
        <v>546</v>
      </c>
      <c r="AI28382" s="831">
        <v>0</v>
      </c>
      <c r="AJ28382" s="835">
        <v>41121</v>
      </c>
      <c r="AK28382" s="831">
        <v>350104350</v>
      </c>
    </row>
    <row r="28383" spans="32:37">
      <c r="AF28383" s="831" t="s">
        <v>10430</v>
      </c>
      <c r="AG28383" s="831" t="s">
        <v>2674</v>
      </c>
      <c r="AH28383" s="831" t="s">
        <v>370</v>
      </c>
      <c r="AI28383" s="831">
        <v>0</v>
      </c>
      <c r="AJ28383" s="835">
        <v>41121</v>
      </c>
      <c r="AK28383" s="831">
        <v>438122032</v>
      </c>
    </row>
    <row r="28384" spans="32:37">
      <c r="AF28384" s="831" t="s">
        <v>10431</v>
      </c>
      <c r="AG28384" s="831" t="s">
        <v>2674</v>
      </c>
      <c r="AH28384" s="831" t="s">
        <v>126</v>
      </c>
      <c r="AI28384" s="831">
        <v>0</v>
      </c>
      <c r="AJ28384" s="835">
        <v>41121</v>
      </c>
      <c r="AK28384" s="831">
        <v>93426827</v>
      </c>
    </row>
    <row r="28385" spans="32:37">
      <c r="AF28385" s="831" t="s">
        <v>10432</v>
      </c>
      <c r="AG28385" s="831" t="s">
        <v>2674</v>
      </c>
      <c r="AH28385" s="831" t="s">
        <v>268</v>
      </c>
      <c r="AI28385" s="831">
        <v>0</v>
      </c>
      <c r="AJ28385" s="835">
        <v>41121</v>
      </c>
      <c r="AK28385" s="831">
        <v>8103905</v>
      </c>
    </row>
    <row r="28386" spans="32:37">
      <c r="AF28386" s="831" t="s">
        <v>10433</v>
      </c>
      <c r="AG28386" s="831" t="s">
        <v>2674</v>
      </c>
      <c r="AH28386" s="831" t="s">
        <v>547</v>
      </c>
      <c r="AI28386" s="831">
        <v>0</v>
      </c>
      <c r="AJ28386" s="835">
        <v>41121</v>
      </c>
      <c r="AK28386" s="831">
        <v>0</v>
      </c>
    </row>
    <row r="28387" spans="32:37">
      <c r="AF28387" s="831" t="s">
        <v>10434</v>
      </c>
      <c r="AG28387" s="831" t="s">
        <v>2674</v>
      </c>
      <c r="AH28387" s="831" t="s">
        <v>548</v>
      </c>
      <c r="AI28387" s="831">
        <v>0</v>
      </c>
      <c r="AJ28387" s="835">
        <v>41121</v>
      </c>
      <c r="AK28387" s="831">
        <v>0</v>
      </c>
    </row>
    <row r="28388" spans="32:37">
      <c r="AF28388" s="831" t="s">
        <v>10435</v>
      </c>
      <c r="AG28388" s="831" t="s">
        <v>2674</v>
      </c>
      <c r="AH28388" s="831" t="s">
        <v>549</v>
      </c>
      <c r="AI28388" s="831">
        <v>0</v>
      </c>
      <c r="AJ28388" s="835">
        <v>41121</v>
      </c>
      <c r="AK28388" s="831">
        <v>0</v>
      </c>
    </row>
    <row r="28389" spans="32:37">
      <c r="AF28389" s="831" t="s">
        <v>10436</v>
      </c>
      <c r="AG28389" s="831" t="s">
        <v>2674</v>
      </c>
      <c r="AH28389" s="831" t="s">
        <v>192</v>
      </c>
      <c r="AI28389" s="831">
        <v>0</v>
      </c>
      <c r="AJ28389" s="835">
        <v>41121</v>
      </c>
      <c r="AK28389" s="831">
        <v>-9691486</v>
      </c>
    </row>
    <row r="28390" spans="32:37">
      <c r="AF28390" s="831" t="s">
        <v>10437</v>
      </c>
      <c r="AG28390" s="831" t="s">
        <v>2674</v>
      </c>
      <c r="AH28390" s="831" t="s">
        <v>558</v>
      </c>
      <c r="AI28390" s="831">
        <v>0</v>
      </c>
      <c r="AJ28390" s="835">
        <v>41121</v>
      </c>
      <c r="AK28390" s="831">
        <v>344695205</v>
      </c>
    </row>
    <row r="28391" spans="32:37">
      <c r="AF28391" s="831" t="s">
        <v>10438</v>
      </c>
      <c r="AG28391" s="831" t="s">
        <v>2674</v>
      </c>
      <c r="AH28391" s="831" t="s">
        <v>65</v>
      </c>
      <c r="AI28391" s="831">
        <v>0</v>
      </c>
      <c r="AJ28391" s="835">
        <v>41121</v>
      </c>
      <c r="AK28391" s="831">
        <v>54573964</v>
      </c>
    </row>
    <row r="28392" spans="32:37">
      <c r="AF28392" s="831" t="s">
        <v>10439</v>
      </c>
      <c r="AG28392" s="831" t="s">
        <v>2674</v>
      </c>
      <c r="AH28392" s="831" t="s">
        <v>89</v>
      </c>
      <c r="AI28392" s="831">
        <v>0</v>
      </c>
      <c r="AJ28392" s="835">
        <v>41121</v>
      </c>
      <c r="AK28392" s="831">
        <v>121835</v>
      </c>
    </row>
    <row r="28393" spans="32:37">
      <c r="AF28393" s="831" t="s">
        <v>10440</v>
      </c>
      <c r="AG28393" s="831" t="s">
        <v>2674</v>
      </c>
      <c r="AH28393" s="831" t="s">
        <v>557</v>
      </c>
      <c r="AI28393" s="831">
        <v>0</v>
      </c>
      <c r="AJ28393" s="835">
        <v>41121</v>
      </c>
      <c r="AK28393" s="831">
        <v>123680</v>
      </c>
    </row>
    <row r="28394" spans="32:37">
      <c r="AF28394" s="831" t="s">
        <v>10441</v>
      </c>
      <c r="AG28394" s="831" t="s">
        <v>2674</v>
      </c>
      <c r="AH28394" s="831" t="s">
        <v>29</v>
      </c>
      <c r="AI28394" s="831">
        <v>0</v>
      </c>
      <c r="AJ28394" s="835">
        <v>41121</v>
      </c>
      <c r="AK28394" s="831">
        <v>2520940</v>
      </c>
    </row>
    <row r="28395" spans="32:37">
      <c r="AF28395" s="831" t="s">
        <v>10442</v>
      </c>
      <c r="AG28395" s="831" t="s">
        <v>2674</v>
      </c>
      <c r="AH28395" s="831" t="s">
        <v>2688</v>
      </c>
      <c r="AI28395" s="831">
        <v>0</v>
      </c>
      <c r="AJ28395" s="835">
        <v>41121</v>
      </c>
      <c r="AK28395" s="831">
        <v>2874987.63</v>
      </c>
    </row>
    <row r="28396" spans="32:37">
      <c r="AF28396" s="831" t="s">
        <v>10443</v>
      </c>
      <c r="AG28396" s="831" t="s">
        <v>2674</v>
      </c>
      <c r="AH28396" s="831" t="s">
        <v>556</v>
      </c>
      <c r="AI28396" s="831">
        <v>0</v>
      </c>
      <c r="AJ28396" s="835">
        <v>41121</v>
      </c>
      <c r="AK28396" s="831">
        <v>0</v>
      </c>
    </row>
    <row r="28397" spans="32:37">
      <c r="AF28397" s="831" t="s">
        <v>10444</v>
      </c>
      <c r="AG28397" s="831" t="s">
        <v>2674</v>
      </c>
      <c r="AH28397" s="831" t="s">
        <v>555</v>
      </c>
      <c r="AI28397" s="831">
        <v>0</v>
      </c>
      <c r="AJ28397" s="835">
        <v>41121</v>
      </c>
      <c r="AK28397" s="831">
        <v>212532560</v>
      </c>
    </row>
    <row r="28398" spans="32:37">
      <c r="AF28398" s="831" t="s">
        <v>10445</v>
      </c>
      <c r="AG28398" s="831" t="s">
        <v>2674</v>
      </c>
      <c r="AH28398" s="831" t="s">
        <v>554</v>
      </c>
      <c r="AI28398" s="831">
        <v>0</v>
      </c>
      <c r="AJ28398" s="835">
        <v>41121</v>
      </c>
      <c r="AK28398" s="831">
        <v>206644050</v>
      </c>
    </row>
    <row r="28399" spans="32:37">
      <c r="AF28399" s="831" t="s">
        <v>10446</v>
      </c>
      <c r="AG28399" s="831" t="s">
        <v>2674</v>
      </c>
      <c r="AH28399" s="831" t="s">
        <v>553</v>
      </c>
      <c r="AI28399" s="831">
        <v>0</v>
      </c>
      <c r="AJ28399" s="835">
        <v>41121</v>
      </c>
      <c r="AK28399" s="831">
        <v>0</v>
      </c>
    </row>
    <row r="28400" spans="32:37">
      <c r="AF28400" s="831" t="s">
        <v>10447</v>
      </c>
      <c r="AG28400" s="831" t="s">
        <v>2674</v>
      </c>
      <c r="AH28400" s="831" t="s">
        <v>552</v>
      </c>
      <c r="AI28400" s="831">
        <v>0</v>
      </c>
      <c r="AJ28400" s="835">
        <v>41121</v>
      </c>
      <c r="AK28400" s="831">
        <v>0</v>
      </c>
    </row>
    <row r="28401" spans="32:37">
      <c r="AF28401" s="831" t="s">
        <v>10448</v>
      </c>
      <c r="AG28401" s="831" t="s">
        <v>2674</v>
      </c>
      <c r="AH28401" s="831" t="s">
        <v>551</v>
      </c>
      <c r="AI28401" s="831">
        <v>0</v>
      </c>
      <c r="AJ28401" s="835">
        <v>41121</v>
      </c>
      <c r="AK28401" s="831">
        <v>2408186</v>
      </c>
    </row>
    <row r="28402" spans="32:37">
      <c r="AF28402" s="831" t="s">
        <v>10449</v>
      </c>
      <c r="AG28402" s="831" t="s">
        <v>2674</v>
      </c>
      <c r="AH28402" s="831" t="s">
        <v>550</v>
      </c>
      <c r="AI28402" s="831">
        <v>0</v>
      </c>
      <c r="AJ28402" s="835">
        <v>41121</v>
      </c>
      <c r="AK28402" s="831">
        <v>91675016</v>
      </c>
    </row>
    <row r="28403" spans="32:37">
      <c r="AF28403" s="831" t="s">
        <v>10450</v>
      </c>
      <c r="AG28403" s="831" t="s">
        <v>2674</v>
      </c>
      <c r="AH28403" s="831" t="s">
        <v>562</v>
      </c>
      <c r="AI28403" s="831">
        <v>0</v>
      </c>
      <c r="AJ28403" s="835">
        <v>41121</v>
      </c>
      <c r="AK28403" s="831">
        <v>0.78495000000000004</v>
      </c>
    </row>
    <row r="28404" spans="32:37">
      <c r="AF28404" s="831" t="s">
        <v>10451</v>
      </c>
      <c r="AG28404" s="831" t="s">
        <v>2674</v>
      </c>
      <c r="AH28404" s="831" t="s">
        <v>2698</v>
      </c>
      <c r="AI28404" s="831">
        <v>0</v>
      </c>
      <c r="AJ28404" s="835">
        <v>41121</v>
      </c>
      <c r="AK28404" s="831">
        <v>0.78505000000000003</v>
      </c>
    </row>
    <row r="28405" spans="32:37">
      <c r="AF28405" s="831" t="s">
        <v>10452</v>
      </c>
      <c r="AG28405" s="831" t="s">
        <v>2674</v>
      </c>
      <c r="AH28405" s="831" t="s">
        <v>560</v>
      </c>
      <c r="AI28405" s="831">
        <v>0</v>
      </c>
      <c r="AJ28405" s="835">
        <v>41121</v>
      </c>
      <c r="AK28405" s="831">
        <v>0.7855714285714287</v>
      </c>
    </row>
    <row r="28406" spans="32:37">
      <c r="AF28406" s="831" t="s">
        <v>10453</v>
      </c>
      <c r="AG28406" s="831" t="s">
        <v>2674</v>
      </c>
      <c r="AH28406" s="831" t="s">
        <v>559</v>
      </c>
      <c r="AI28406" s="831">
        <v>0</v>
      </c>
      <c r="AJ28406" s="835">
        <v>41121</v>
      </c>
      <c r="AK28406" s="831">
        <v>0.7854916666666667</v>
      </c>
    </row>
    <row r="28407" spans="32:37">
      <c r="AF28407" s="831" t="s">
        <v>10454</v>
      </c>
      <c r="AG28407" s="831" t="s">
        <v>2674</v>
      </c>
      <c r="AH28407" s="831" t="s">
        <v>568</v>
      </c>
      <c r="AI28407" s="831">
        <v>0</v>
      </c>
      <c r="AJ28407" s="835">
        <v>41121</v>
      </c>
      <c r="AK28407" s="831">
        <v>0</v>
      </c>
    </row>
    <row r="28408" spans="32:37">
      <c r="AF28408" s="831" t="s">
        <v>10455</v>
      </c>
      <c r="AG28408" s="831" t="s">
        <v>2674</v>
      </c>
      <c r="AH28408" s="831" t="s">
        <v>569</v>
      </c>
      <c r="AI28408" s="831">
        <v>0</v>
      </c>
      <c r="AJ28408" s="835">
        <v>41121</v>
      </c>
      <c r="AK28408" s="831">
        <v>0</v>
      </c>
    </row>
    <row r="28409" spans="32:37">
      <c r="AF28409" s="831" t="s">
        <v>10456</v>
      </c>
      <c r="AG28409" s="831" t="s">
        <v>2674</v>
      </c>
      <c r="AH28409" s="831" t="s">
        <v>570</v>
      </c>
      <c r="AI28409" s="831">
        <v>0</v>
      </c>
      <c r="AJ28409" s="835">
        <v>41121</v>
      </c>
      <c r="AK28409" s="831">
        <v>0</v>
      </c>
    </row>
    <row r="28410" spans="32:37">
      <c r="AF28410" s="831" t="s">
        <v>10457</v>
      </c>
      <c r="AG28410" s="831" t="s">
        <v>2674</v>
      </c>
      <c r="AH28410" s="831" t="s">
        <v>571</v>
      </c>
      <c r="AI28410" s="831">
        <v>0</v>
      </c>
      <c r="AJ28410" s="835">
        <v>41121</v>
      </c>
      <c r="AK28410" s="831">
        <v>0</v>
      </c>
    </row>
    <row r="28411" spans="32:37">
      <c r="AF28411" s="831" t="s">
        <v>10458</v>
      </c>
      <c r="AG28411" s="831" t="s">
        <v>2674</v>
      </c>
      <c r="AH28411" s="831" t="s">
        <v>573</v>
      </c>
      <c r="AI28411" s="831">
        <v>0</v>
      </c>
      <c r="AJ28411" s="835">
        <v>41121</v>
      </c>
      <c r="AK28411" s="831">
        <v>0</v>
      </c>
    </row>
    <row r="28412" spans="32:37">
      <c r="AF28412" s="831" t="s">
        <v>10459</v>
      </c>
      <c r="AG28412" s="831" t="s">
        <v>2674</v>
      </c>
      <c r="AH28412" s="831" t="s">
        <v>574</v>
      </c>
      <c r="AI28412" s="831">
        <v>0</v>
      </c>
      <c r="AJ28412" s="835">
        <v>41121</v>
      </c>
      <c r="AK28412" s="831">
        <v>0</v>
      </c>
    </row>
    <row r="28413" spans="32:37">
      <c r="AF28413" s="831" t="s">
        <v>10460</v>
      </c>
      <c r="AG28413" s="831" t="s">
        <v>2674</v>
      </c>
      <c r="AH28413" s="831" t="s">
        <v>575</v>
      </c>
      <c r="AI28413" s="831">
        <v>0</v>
      </c>
      <c r="AJ28413" s="835">
        <v>41121</v>
      </c>
      <c r="AK28413" s="831">
        <v>0</v>
      </c>
    </row>
    <row r="28414" spans="32:37">
      <c r="AF28414" s="831" t="s">
        <v>10461</v>
      </c>
      <c r="AG28414" s="831" t="s">
        <v>2674</v>
      </c>
      <c r="AH28414" s="831" t="s">
        <v>576</v>
      </c>
      <c r="AI28414" s="831">
        <v>0</v>
      </c>
      <c r="AJ28414" s="835">
        <v>41121</v>
      </c>
      <c r="AK28414" s="831">
        <v>0</v>
      </c>
    </row>
    <row r="28415" spans="32:37">
      <c r="AF28415" s="831" t="s">
        <v>10462</v>
      </c>
      <c r="AG28415" s="831" t="s">
        <v>2674</v>
      </c>
      <c r="AH28415" s="831" t="s">
        <v>572</v>
      </c>
      <c r="AI28415" s="831">
        <v>0</v>
      </c>
      <c r="AJ28415" s="835">
        <v>41121</v>
      </c>
      <c r="AK28415" s="831">
        <v>-2146826246</v>
      </c>
    </row>
    <row r="28416" spans="32:37">
      <c r="AF28416" s="831" t="s">
        <v>10463</v>
      </c>
      <c r="AG28416" s="831" t="s">
        <v>2674</v>
      </c>
      <c r="AH28416" s="831" t="s">
        <v>577</v>
      </c>
      <c r="AI28416" s="831">
        <v>0</v>
      </c>
      <c r="AJ28416" s="835">
        <v>41121</v>
      </c>
      <c r="AK28416" s="831">
        <v>-2146826246</v>
      </c>
    </row>
    <row r="28417" spans="32:37">
      <c r="AF28417" s="831" t="s">
        <v>10464</v>
      </c>
      <c r="AG28417" s="831" t="s">
        <v>2674</v>
      </c>
      <c r="AH28417" s="831" t="s">
        <v>3042</v>
      </c>
      <c r="AI28417" s="831">
        <v>0</v>
      </c>
      <c r="AJ28417" s="835">
        <v>41121</v>
      </c>
      <c r="AK28417" s="831">
        <v>-2146826246</v>
      </c>
    </row>
    <row r="28418" spans="32:37">
      <c r="AF28418" s="831" t="s">
        <v>10465</v>
      </c>
      <c r="AG28418" s="831" t="s">
        <v>2674</v>
      </c>
      <c r="AH28418" s="831" t="s">
        <v>3044</v>
      </c>
      <c r="AI28418" s="831">
        <v>0</v>
      </c>
      <c r="AJ28418" s="835">
        <v>41121</v>
      </c>
      <c r="AK28418" s="831">
        <v>-2146826246</v>
      </c>
    </row>
    <row r="28419" spans="32:37">
      <c r="AF28419" s="831" t="s">
        <v>10466</v>
      </c>
      <c r="AG28419" s="831" t="s">
        <v>2674</v>
      </c>
      <c r="AH28419" s="831" t="s">
        <v>580</v>
      </c>
      <c r="AI28419" s="831">
        <v>0</v>
      </c>
      <c r="AJ28419" s="835">
        <v>41121</v>
      </c>
      <c r="AK28419" s="831">
        <v>-2146826246</v>
      </c>
    </row>
    <row r="28420" spans="32:37">
      <c r="AF28420" s="831" t="s">
        <v>10467</v>
      </c>
      <c r="AG28420" s="831" t="s">
        <v>2674</v>
      </c>
      <c r="AH28420" s="831" t="s">
        <v>581</v>
      </c>
      <c r="AI28420" s="831">
        <v>0</v>
      </c>
      <c r="AJ28420" s="835">
        <v>41121</v>
      </c>
      <c r="AK28420" s="831">
        <v>-2146826246</v>
      </c>
    </row>
    <row r="28421" spans="32:37">
      <c r="AF28421" s="831" t="s">
        <v>10468</v>
      </c>
      <c r="AG28421" s="831" t="s">
        <v>2674</v>
      </c>
      <c r="AH28421" s="831" t="s">
        <v>105</v>
      </c>
      <c r="AI28421" s="831">
        <v>0</v>
      </c>
      <c r="AJ28421" s="835">
        <v>41121</v>
      </c>
      <c r="AK28421" s="831">
        <v>164564846</v>
      </c>
    </row>
    <row r="28422" spans="32:37">
      <c r="AF28422" s="831" t="s">
        <v>10469</v>
      </c>
      <c r="AG28422" s="831" t="s">
        <v>2674</v>
      </c>
      <c r="AH28422" s="831" t="s">
        <v>3049</v>
      </c>
      <c r="AI28422" s="831">
        <v>0</v>
      </c>
      <c r="AJ28422" s="835">
        <v>41121</v>
      </c>
      <c r="AK28422" s="831">
        <v>330970241</v>
      </c>
    </row>
    <row r="28423" spans="32:37">
      <c r="AF28423" s="831" t="s">
        <v>10470</v>
      </c>
      <c r="AG28423" s="831" t="s">
        <v>2674</v>
      </c>
      <c r="AH28423" s="831" t="s">
        <v>103</v>
      </c>
      <c r="AI28423" s="831">
        <v>0</v>
      </c>
      <c r="AJ28423" s="835">
        <v>41121</v>
      </c>
      <c r="AK28423" s="831">
        <v>166405395</v>
      </c>
    </row>
    <row r="28424" spans="32:37">
      <c r="AF28424" s="831" t="s">
        <v>10471</v>
      </c>
      <c r="AG28424" s="831" t="s">
        <v>2674</v>
      </c>
      <c r="AH28424" s="831" t="s">
        <v>182</v>
      </c>
      <c r="AI28424" s="831">
        <v>0</v>
      </c>
      <c r="AJ28424" s="835">
        <v>41121</v>
      </c>
      <c r="AK28424" s="831">
        <v>50915117.142857142</v>
      </c>
    </row>
    <row r="28425" spans="32:37">
      <c r="AF28425" s="831" t="s">
        <v>10472</v>
      </c>
      <c r="AG28425" s="831" t="s">
        <v>2674</v>
      </c>
      <c r="AH28425" s="831" t="s">
        <v>6600</v>
      </c>
      <c r="AI28425" s="831">
        <v>0</v>
      </c>
      <c r="AJ28425" s="835">
        <v>41121</v>
      </c>
      <c r="AK28425" s="831">
        <v>-2146826246</v>
      </c>
    </row>
    <row r="28426" spans="32:37">
      <c r="AF28426" s="831" t="s">
        <v>10473</v>
      </c>
      <c r="AG28426" s="831" t="s">
        <v>2674</v>
      </c>
      <c r="AH28426" s="831" t="s">
        <v>6602</v>
      </c>
      <c r="AI28426" s="831">
        <v>0</v>
      </c>
      <c r="AJ28426" s="835">
        <v>41121</v>
      </c>
      <c r="AK28426" s="831">
        <v>8103905</v>
      </c>
    </row>
    <row r="28427" spans="32:37">
      <c r="AF28427" s="831" t="s">
        <v>10474</v>
      </c>
      <c r="AG28427" s="831" t="s">
        <v>2674</v>
      </c>
      <c r="AH28427" s="831" t="s">
        <v>650</v>
      </c>
      <c r="AI28427" s="831">
        <v>0</v>
      </c>
      <c r="AJ28427" s="835">
        <v>41121</v>
      </c>
      <c r="AK28427" s="831">
        <v>0</v>
      </c>
    </row>
    <row r="28428" spans="32:37">
      <c r="AF28428" s="831" t="s">
        <v>10475</v>
      </c>
      <c r="AG28428" s="831" t="s">
        <v>2674</v>
      </c>
      <c r="AH28428" s="831" t="s">
        <v>655</v>
      </c>
      <c r="AI28428" s="831">
        <v>0</v>
      </c>
      <c r="AJ28428" s="835">
        <v>41121</v>
      </c>
      <c r="AK28428" s="831">
        <v>2307351</v>
      </c>
    </row>
    <row r="28429" spans="32:37">
      <c r="AF28429" s="831" t="s">
        <v>10476</v>
      </c>
      <c r="AG28429" s="831" t="s">
        <v>2674</v>
      </c>
      <c r="AH28429" s="831" t="s">
        <v>546</v>
      </c>
      <c r="AI28429" s="831">
        <v>0</v>
      </c>
      <c r="AJ28429" s="835">
        <v>41152</v>
      </c>
      <c r="AK28429" s="831">
        <v>362295244</v>
      </c>
    </row>
    <row r="28430" spans="32:37">
      <c r="AF28430" s="831" t="s">
        <v>10477</v>
      </c>
      <c r="AG28430" s="831" t="s">
        <v>2674</v>
      </c>
      <c r="AH28430" s="831" t="s">
        <v>370</v>
      </c>
      <c r="AI28430" s="831">
        <v>0</v>
      </c>
      <c r="AJ28430" s="835">
        <v>41152</v>
      </c>
      <c r="AK28430" s="831">
        <v>452262206</v>
      </c>
    </row>
    <row r="28431" spans="32:37">
      <c r="AF28431" s="831" t="s">
        <v>10478</v>
      </c>
      <c r="AG28431" s="831" t="s">
        <v>2674</v>
      </c>
      <c r="AH28431" s="831" t="s">
        <v>126</v>
      </c>
      <c r="AI28431" s="831">
        <v>0</v>
      </c>
      <c r="AJ28431" s="835">
        <v>41152</v>
      </c>
      <c r="AK28431" s="831">
        <v>95414973</v>
      </c>
    </row>
    <row r="28432" spans="32:37">
      <c r="AF28432" s="831" t="s">
        <v>10479</v>
      </c>
      <c r="AG28432" s="831" t="s">
        <v>2674</v>
      </c>
      <c r="AH28432" s="831" t="s">
        <v>268</v>
      </c>
      <c r="AI28432" s="831">
        <v>0</v>
      </c>
      <c r="AJ28432" s="835">
        <v>41152</v>
      </c>
      <c r="AK28432" s="831">
        <v>10092049</v>
      </c>
    </row>
    <row r="28433" spans="32:37">
      <c r="AF28433" s="831" t="s">
        <v>10480</v>
      </c>
      <c r="AG28433" s="831" t="s">
        <v>2674</v>
      </c>
      <c r="AH28433" s="831" t="s">
        <v>547</v>
      </c>
      <c r="AI28433" s="831">
        <v>0</v>
      </c>
      <c r="AJ28433" s="835">
        <v>41152</v>
      </c>
      <c r="AK28433" s="831">
        <v>0</v>
      </c>
    </row>
    <row r="28434" spans="32:37">
      <c r="AF28434" s="831" t="s">
        <v>10481</v>
      </c>
      <c r="AG28434" s="831" t="s">
        <v>2674</v>
      </c>
      <c r="AH28434" s="831" t="s">
        <v>548</v>
      </c>
      <c r="AI28434" s="831">
        <v>0</v>
      </c>
      <c r="AJ28434" s="835">
        <v>41152</v>
      </c>
      <c r="AK28434" s="831">
        <v>0</v>
      </c>
    </row>
    <row r="28435" spans="32:37">
      <c r="AF28435" s="831" t="s">
        <v>10482</v>
      </c>
      <c r="AG28435" s="831" t="s">
        <v>2674</v>
      </c>
      <c r="AH28435" s="831" t="s">
        <v>549</v>
      </c>
      <c r="AI28435" s="831">
        <v>0</v>
      </c>
      <c r="AJ28435" s="835">
        <v>41152</v>
      </c>
      <c r="AK28435" s="831">
        <v>0</v>
      </c>
    </row>
    <row r="28436" spans="32:37">
      <c r="AF28436" s="831" t="s">
        <v>10483</v>
      </c>
      <c r="AG28436" s="831" t="s">
        <v>2674</v>
      </c>
      <c r="AH28436" s="831" t="s">
        <v>192</v>
      </c>
      <c r="AI28436" s="831">
        <v>0</v>
      </c>
      <c r="AJ28436" s="835">
        <v>41152</v>
      </c>
      <c r="AK28436" s="831">
        <v>-9148265</v>
      </c>
    </row>
    <row r="28437" spans="32:37">
      <c r="AF28437" s="831" t="s">
        <v>10484</v>
      </c>
      <c r="AG28437" s="831" t="s">
        <v>2674</v>
      </c>
      <c r="AH28437" s="831" t="s">
        <v>558</v>
      </c>
      <c r="AI28437" s="831">
        <v>0</v>
      </c>
      <c r="AJ28437" s="835">
        <v>41152</v>
      </c>
      <c r="AK28437" s="831">
        <v>356847233</v>
      </c>
    </row>
    <row r="28438" spans="32:37">
      <c r="AF28438" s="831" t="s">
        <v>10485</v>
      </c>
      <c r="AG28438" s="831" t="s">
        <v>2674</v>
      </c>
      <c r="AH28438" s="831" t="s">
        <v>65</v>
      </c>
      <c r="AI28438" s="831">
        <v>0</v>
      </c>
      <c r="AJ28438" s="835">
        <v>41152</v>
      </c>
      <c r="AK28438" s="831">
        <v>63143485</v>
      </c>
    </row>
    <row r="28439" spans="32:37">
      <c r="AF28439" s="831" t="s">
        <v>10486</v>
      </c>
      <c r="AG28439" s="831" t="s">
        <v>2674</v>
      </c>
      <c r="AH28439" s="831" t="s">
        <v>89</v>
      </c>
      <c r="AI28439" s="831">
        <v>0</v>
      </c>
      <c r="AJ28439" s="835">
        <v>41152</v>
      </c>
      <c r="AK28439" s="831">
        <v>122109</v>
      </c>
    </row>
    <row r="28440" spans="32:37">
      <c r="AF28440" s="831" t="s">
        <v>10487</v>
      </c>
      <c r="AG28440" s="831" t="s">
        <v>2674</v>
      </c>
      <c r="AH28440" s="831" t="s">
        <v>557</v>
      </c>
      <c r="AI28440" s="831">
        <v>0</v>
      </c>
      <c r="AJ28440" s="835">
        <v>41152</v>
      </c>
      <c r="AK28440" s="831">
        <v>123973</v>
      </c>
    </row>
    <row r="28441" spans="32:37">
      <c r="AF28441" s="831" t="s">
        <v>10488</v>
      </c>
      <c r="AG28441" s="831" t="s">
        <v>2674</v>
      </c>
      <c r="AH28441" s="831" t="s">
        <v>29</v>
      </c>
      <c r="AI28441" s="831">
        <v>0</v>
      </c>
      <c r="AJ28441" s="835">
        <v>41152</v>
      </c>
      <c r="AK28441" s="831">
        <v>2024314</v>
      </c>
    </row>
    <row r="28442" spans="32:37">
      <c r="AF28442" s="831" t="s">
        <v>10489</v>
      </c>
      <c r="AG28442" s="831" t="s">
        <v>2674</v>
      </c>
      <c r="AH28442" s="831" t="s">
        <v>2688</v>
      </c>
      <c r="AI28442" s="831">
        <v>0</v>
      </c>
      <c r="AJ28442" s="835">
        <v>41152</v>
      </c>
      <c r="AK28442" s="831">
        <v>2600544</v>
      </c>
    </row>
    <row r="28443" spans="32:37">
      <c r="AF28443" s="831" t="s">
        <v>10490</v>
      </c>
      <c r="AG28443" s="831" t="s">
        <v>2674</v>
      </c>
      <c r="AH28443" s="831" t="s">
        <v>556</v>
      </c>
      <c r="AI28443" s="831">
        <v>0</v>
      </c>
      <c r="AJ28443" s="835">
        <v>41152</v>
      </c>
      <c r="AK28443" s="831">
        <v>902857</v>
      </c>
    </row>
    <row r="28444" spans="32:37">
      <c r="AF28444" s="831" t="s">
        <v>10491</v>
      </c>
      <c r="AG28444" s="831" t="s">
        <v>2674</v>
      </c>
      <c r="AH28444" s="831" t="s">
        <v>555</v>
      </c>
      <c r="AI28444" s="831">
        <v>0</v>
      </c>
      <c r="AJ28444" s="835">
        <v>41152</v>
      </c>
      <c r="AK28444" s="831">
        <v>221766870</v>
      </c>
    </row>
    <row r="28445" spans="32:37">
      <c r="AF28445" s="831" t="s">
        <v>10492</v>
      </c>
      <c r="AG28445" s="831" t="s">
        <v>2674</v>
      </c>
      <c r="AH28445" s="831" t="s">
        <v>554</v>
      </c>
      <c r="AI28445" s="831">
        <v>0</v>
      </c>
      <c r="AJ28445" s="835">
        <v>41152</v>
      </c>
      <c r="AK28445" s="831">
        <v>217001920</v>
      </c>
    </row>
    <row r="28446" spans="32:37">
      <c r="AF28446" s="831" t="s">
        <v>10493</v>
      </c>
      <c r="AG28446" s="831" t="s">
        <v>2674</v>
      </c>
      <c r="AH28446" s="831" t="s">
        <v>553</v>
      </c>
      <c r="AI28446" s="831">
        <v>0</v>
      </c>
      <c r="AJ28446" s="835">
        <v>41152</v>
      </c>
      <c r="AK28446" s="831">
        <v>0</v>
      </c>
    </row>
    <row r="28447" spans="32:37">
      <c r="AF28447" s="831" t="s">
        <v>10494</v>
      </c>
      <c r="AG28447" s="831" t="s">
        <v>2674</v>
      </c>
      <c r="AH28447" s="831" t="s">
        <v>552</v>
      </c>
      <c r="AI28447" s="831">
        <v>0</v>
      </c>
      <c r="AJ28447" s="835">
        <v>41152</v>
      </c>
      <c r="AK28447" s="831">
        <v>0</v>
      </c>
    </row>
    <row r="28448" spans="32:37">
      <c r="AF28448" s="831" t="s">
        <v>10495</v>
      </c>
      <c r="AG28448" s="831" t="s">
        <v>2674</v>
      </c>
      <c r="AH28448" s="831" t="s">
        <v>551</v>
      </c>
      <c r="AI28448" s="831">
        <v>0</v>
      </c>
      <c r="AJ28448" s="835">
        <v>41152</v>
      </c>
      <c r="AK28448" s="831">
        <v>1690236</v>
      </c>
    </row>
    <row r="28449" spans="32:37">
      <c r="AF28449" s="831" t="s">
        <v>10496</v>
      </c>
      <c r="AG28449" s="831" t="s">
        <v>2674</v>
      </c>
      <c r="AH28449" s="831" t="s">
        <v>550</v>
      </c>
      <c r="AI28449" s="831">
        <v>0</v>
      </c>
      <c r="AJ28449" s="835">
        <v>41152</v>
      </c>
      <c r="AK28449" s="831">
        <v>93426827</v>
      </c>
    </row>
    <row r="28450" spans="32:37">
      <c r="AF28450" s="831" t="s">
        <v>10497</v>
      </c>
      <c r="AG28450" s="831" t="s">
        <v>2674</v>
      </c>
      <c r="AH28450" s="831" t="s">
        <v>562</v>
      </c>
      <c r="AI28450" s="831">
        <v>0</v>
      </c>
      <c r="AJ28450" s="835">
        <v>41152</v>
      </c>
      <c r="AK28450" s="831">
        <v>0.78449999999999998</v>
      </c>
    </row>
    <row r="28451" spans="32:37">
      <c r="AF28451" s="831" t="s">
        <v>10498</v>
      </c>
      <c r="AG28451" s="831" t="s">
        <v>2674</v>
      </c>
      <c r="AH28451" s="831" t="s">
        <v>2698</v>
      </c>
      <c r="AI28451" s="831">
        <v>0</v>
      </c>
      <c r="AJ28451" s="835">
        <v>41152</v>
      </c>
      <c r="AK28451" s="831">
        <v>0.78495000000000004</v>
      </c>
    </row>
    <row r="28452" spans="32:37">
      <c r="AF28452" s="831" t="s">
        <v>10499</v>
      </c>
      <c r="AG28452" s="831" t="s">
        <v>2674</v>
      </c>
      <c r="AH28452" s="831" t="s">
        <v>560</v>
      </c>
      <c r="AI28452" s="831">
        <v>0</v>
      </c>
      <c r="AJ28452" s="835">
        <v>41152</v>
      </c>
      <c r="AK28452" s="831">
        <v>0.78543750000000001</v>
      </c>
    </row>
    <row r="28453" spans="32:37">
      <c r="AF28453" s="831" t="s">
        <v>10500</v>
      </c>
      <c r="AG28453" s="831" t="s">
        <v>2674</v>
      </c>
      <c r="AH28453" s="831" t="s">
        <v>559</v>
      </c>
      <c r="AI28453" s="831">
        <v>0</v>
      </c>
      <c r="AJ28453" s="835">
        <v>41152</v>
      </c>
      <c r="AK28453" s="831">
        <v>0.78544999999999998</v>
      </c>
    </row>
    <row r="28454" spans="32:37">
      <c r="AF28454" s="831" t="s">
        <v>10501</v>
      </c>
      <c r="AG28454" s="831" t="s">
        <v>2674</v>
      </c>
      <c r="AH28454" s="831" t="s">
        <v>568</v>
      </c>
      <c r="AI28454" s="831">
        <v>0</v>
      </c>
      <c r="AJ28454" s="835">
        <v>41152</v>
      </c>
      <c r="AK28454" s="831">
        <v>0</v>
      </c>
    </row>
    <row r="28455" spans="32:37">
      <c r="AF28455" s="831" t="s">
        <v>10502</v>
      </c>
      <c r="AG28455" s="831" t="s">
        <v>2674</v>
      </c>
      <c r="AH28455" s="831" t="s">
        <v>569</v>
      </c>
      <c r="AI28455" s="831">
        <v>0</v>
      </c>
      <c r="AJ28455" s="835">
        <v>41152</v>
      </c>
      <c r="AK28455" s="831">
        <v>0</v>
      </c>
    </row>
    <row r="28456" spans="32:37">
      <c r="AF28456" s="831" t="s">
        <v>10503</v>
      </c>
      <c r="AG28456" s="831" t="s">
        <v>2674</v>
      </c>
      <c r="AH28456" s="831" t="s">
        <v>570</v>
      </c>
      <c r="AI28456" s="831">
        <v>0</v>
      </c>
      <c r="AJ28456" s="835">
        <v>41152</v>
      </c>
      <c r="AK28456" s="831">
        <v>0</v>
      </c>
    </row>
    <row r="28457" spans="32:37">
      <c r="AF28457" s="831" t="s">
        <v>10504</v>
      </c>
      <c r="AG28457" s="831" t="s">
        <v>2674</v>
      </c>
      <c r="AH28457" s="831" t="s">
        <v>571</v>
      </c>
      <c r="AI28457" s="831">
        <v>0</v>
      </c>
      <c r="AJ28457" s="835">
        <v>41152</v>
      </c>
      <c r="AK28457" s="831">
        <v>0</v>
      </c>
    </row>
    <row r="28458" spans="32:37">
      <c r="AF28458" s="831" t="s">
        <v>10505</v>
      </c>
      <c r="AG28458" s="831" t="s">
        <v>2674</v>
      </c>
      <c r="AH28458" s="831" t="s">
        <v>573</v>
      </c>
      <c r="AI28458" s="831">
        <v>0</v>
      </c>
      <c r="AJ28458" s="835">
        <v>41152</v>
      </c>
      <c r="AK28458" s="831">
        <v>0</v>
      </c>
    </row>
    <row r="28459" spans="32:37">
      <c r="AF28459" s="831" t="s">
        <v>10506</v>
      </c>
      <c r="AG28459" s="831" t="s">
        <v>2674</v>
      </c>
      <c r="AH28459" s="831" t="s">
        <v>574</v>
      </c>
      <c r="AI28459" s="831">
        <v>0</v>
      </c>
      <c r="AJ28459" s="835">
        <v>41152</v>
      </c>
      <c r="AK28459" s="831">
        <v>0</v>
      </c>
    </row>
    <row r="28460" spans="32:37">
      <c r="AF28460" s="831" t="s">
        <v>10507</v>
      </c>
      <c r="AG28460" s="831" t="s">
        <v>2674</v>
      </c>
      <c r="AH28460" s="831" t="s">
        <v>575</v>
      </c>
      <c r="AI28460" s="831">
        <v>0</v>
      </c>
      <c r="AJ28460" s="835">
        <v>41152</v>
      </c>
      <c r="AK28460" s="831">
        <v>0</v>
      </c>
    </row>
    <row r="28461" spans="32:37">
      <c r="AF28461" s="831" t="s">
        <v>10508</v>
      </c>
      <c r="AG28461" s="831" t="s">
        <v>2674</v>
      </c>
      <c r="AH28461" s="831" t="s">
        <v>576</v>
      </c>
      <c r="AI28461" s="831">
        <v>0</v>
      </c>
      <c r="AJ28461" s="835">
        <v>41152</v>
      </c>
      <c r="AK28461" s="831">
        <v>0</v>
      </c>
    </row>
    <row r="28462" spans="32:37">
      <c r="AF28462" s="831" t="s">
        <v>10509</v>
      </c>
      <c r="AG28462" s="831" t="s">
        <v>2674</v>
      </c>
      <c r="AH28462" s="831" t="s">
        <v>572</v>
      </c>
      <c r="AI28462" s="831">
        <v>0</v>
      </c>
      <c r="AJ28462" s="835">
        <v>41152</v>
      </c>
      <c r="AK28462" s="831">
        <v>-2146826246</v>
      </c>
    </row>
    <row r="28463" spans="32:37">
      <c r="AF28463" s="831" t="s">
        <v>10510</v>
      </c>
      <c r="AG28463" s="831" t="s">
        <v>2674</v>
      </c>
      <c r="AH28463" s="831" t="s">
        <v>577</v>
      </c>
      <c r="AI28463" s="831">
        <v>0</v>
      </c>
      <c r="AJ28463" s="835">
        <v>41152</v>
      </c>
      <c r="AK28463" s="831">
        <v>-2146826246</v>
      </c>
    </row>
    <row r="28464" spans="32:37">
      <c r="AF28464" s="831" t="s">
        <v>10511</v>
      </c>
      <c r="AG28464" s="831" t="s">
        <v>2674</v>
      </c>
      <c r="AH28464" s="831" t="s">
        <v>3042</v>
      </c>
      <c r="AI28464" s="831">
        <v>0</v>
      </c>
      <c r="AJ28464" s="835">
        <v>41152</v>
      </c>
      <c r="AK28464" s="831">
        <v>-2146826246</v>
      </c>
    </row>
    <row r="28465" spans="32:37">
      <c r="AF28465" s="831" t="s">
        <v>10512</v>
      </c>
      <c r="AG28465" s="831" t="s">
        <v>2674</v>
      </c>
      <c r="AH28465" s="831" t="s">
        <v>3044</v>
      </c>
      <c r="AI28465" s="831">
        <v>0</v>
      </c>
      <c r="AJ28465" s="835">
        <v>41152</v>
      </c>
      <c r="AK28465" s="831">
        <v>-2146826246</v>
      </c>
    </row>
    <row r="28466" spans="32:37">
      <c r="AF28466" s="831" t="s">
        <v>10513</v>
      </c>
      <c r="AG28466" s="831" t="s">
        <v>2674</v>
      </c>
      <c r="AH28466" s="831" t="s">
        <v>580</v>
      </c>
      <c r="AI28466" s="831">
        <v>0</v>
      </c>
      <c r="AJ28466" s="835">
        <v>41152</v>
      </c>
      <c r="AK28466" s="831">
        <v>-2146826246</v>
      </c>
    </row>
    <row r="28467" spans="32:37">
      <c r="AF28467" s="831" t="s">
        <v>10514</v>
      </c>
      <c r="AG28467" s="831" t="s">
        <v>2674</v>
      </c>
      <c r="AH28467" s="831" t="s">
        <v>581</v>
      </c>
      <c r="AI28467" s="831">
        <v>0</v>
      </c>
      <c r="AJ28467" s="835">
        <v>41152</v>
      </c>
      <c r="AK28467" s="831">
        <v>-2146826246</v>
      </c>
    </row>
    <row r="28468" spans="32:37">
      <c r="AF28468" s="831" t="s">
        <v>10515</v>
      </c>
      <c r="AG28468" s="831" t="s">
        <v>2674</v>
      </c>
      <c r="AH28468" s="831" t="s">
        <v>105</v>
      </c>
      <c r="AI28468" s="831">
        <v>0</v>
      </c>
      <c r="AJ28468" s="835">
        <v>41152</v>
      </c>
      <c r="AK28468" s="831">
        <v>180384094</v>
      </c>
    </row>
    <row r="28469" spans="32:37">
      <c r="AF28469" s="831" t="s">
        <v>10516</v>
      </c>
      <c r="AG28469" s="831" t="s">
        <v>2674</v>
      </c>
      <c r="AH28469" s="831" t="s">
        <v>3049</v>
      </c>
      <c r="AI28469" s="831">
        <v>0</v>
      </c>
      <c r="AJ28469" s="835">
        <v>41152</v>
      </c>
      <c r="AK28469" s="831">
        <v>343993651</v>
      </c>
    </row>
    <row r="28470" spans="32:37">
      <c r="AF28470" s="831" t="s">
        <v>10517</v>
      </c>
      <c r="AG28470" s="831" t="s">
        <v>2674</v>
      </c>
      <c r="AH28470" s="831" t="s">
        <v>103</v>
      </c>
      <c r="AI28470" s="831">
        <v>0</v>
      </c>
      <c r="AJ28470" s="835">
        <v>41152</v>
      </c>
      <c r="AK28470" s="831">
        <v>163609557</v>
      </c>
    </row>
    <row r="28471" spans="32:37">
      <c r="AF28471" s="831" t="s">
        <v>10518</v>
      </c>
      <c r="AG28471" s="831" t="s">
        <v>2674</v>
      </c>
      <c r="AH28471" s="831" t="s">
        <v>182</v>
      </c>
      <c r="AI28471" s="831">
        <v>0</v>
      </c>
      <c r="AJ28471" s="835">
        <v>41152</v>
      </c>
      <c r="AK28471" s="831">
        <v>50326770</v>
      </c>
    </row>
    <row r="28472" spans="32:37">
      <c r="AF28472" s="831" t="s">
        <v>10519</v>
      </c>
      <c r="AG28472" s="831" t="s">
        <v>2674</v>
      </c>
      <c r="AH28472" s="831" t="s">
        <v>6600</v>
      </c>
      <c r="AI28472" s="831">
        <v>0</v>
      </c>
      <c r="AJ28472" s="835">
        <v>41152</v>
      </c>
      <c r="AK28472" s="831">
        <v>-2146826246</v>
      </c>
    </row>
    <row r="28473" spans="32:37">
      <c r="AF28473" s="831" t="s">
        <v>10520</v>
      </c>
      <c r="AG28473" s="831" t="s">
        <v>2674</v>
      </c>
      <c r="AH28473" s="831" t="s">
        <v>6602</v>
      </c>
      <c r="AI28473" s="831">
        <v>0</v>
      </c>
      <c r="AJ28473" s="835">
        <v>41152</v>
      </c>
      <c r="AK28473" s="831">
        <v>10092049</v>
      </c>
    </row>
    <row r="28474" spans="32:37">
      <c r="AF28474" s="831" t="s">
        <v>10521</v>
      </c>
      <c r="AG28474" s="831" t="s">
        <v>2674</v>
      </c>
      <c r="AH28474" s="831" t="s">
        <v>650</v>
      </c>
      <c r="AI28474" s="831">
        <v>0</v>
      </c>
      <c r="AJ28474" s="835">
        <v>41152</v>
      </c>
      <c r="AK28474" s="831">
        <v>0</v>
      </c>
    </row>
    <row r="28475" spans="32:37">
      <c r="AF28475" s="831" t="s">
        <v>10522</v>
      </c>
      <c r="AG28475" s="831" t="s">
        <v>2674</v>
      </c>
      <c r="AH28475" s="831" t="s">
        <v>655</v>
      </c>
      <c r="AI28475" s="831">
        <v>0</v>
      </c>
      <c r="AJ28475" s="835">
        <v>41152</v>
      </c>
      <c r="AK28475" s="831">
        <v>1649423</v>
      </c>
    </row>
    <row r="28476" spans="32:37">
      <c r="AF28476" s="831" t="s">
        <v>10523</v>
      </c>
      <c r="AG28476" s="831" t="s">
        <v>2674</v>
      </c>
      <c r="AH28476" s="831" t="s">
        <v>546</v>
      </c>
      <c r="AI28476" s="831">
        <v>0</v>
      </c>
      <c r="AJ28476" s="835">
        <v>41182</v>
      </c>
      <c r="AK28476" s="831">
        <v>367084945</v>
      </c>
    </row>
    <row r="28477" spans="32:37">
      <c r="AF28477" s="831" t="s">
        <v>10524</v>
      </c>
      <c r="AG28477" s="831" t="s">
        <v>2674</v>
      </c>
      <c r="AH28477" s="831" t="s">
        <v>370</v>
      </c>
      <c r="AI28477" s="831">
        <v>0</v>
      </c>
      <c r="AJ28477" s="835">
        <v>41182</v>
      </c>
      <c r="AK28477" s="831">
        <v>456586970</v>
      </c>
    </row>
    <row r="28478" spans="32:37">
      <c r="AF28478" s="831" t="s">
        <v>10525</v>
      </c>
      <c r="AG28478" s="831" t="s">
        <v>2674</v>
      </c>
      <c r="AH28478" s="831" t="s">
        <v>126</v>
      </c>
      <c r="AI28478" s="831">
        <v>0</v>
      </c>
      <c r="AJ28478" s="835">
        <v>41182</v>
      </c>
      <c r="AK28478" s="831">
        <v>97409403</v>
      </c>
    </row>
    <row r="28479" spans="32:37">
      <c r="AF28479" s="831" t="s">
        <v>10526</v>
      </c>
      <c r="AG28479" s="831" t="s">
        <v>2674</v>
      </c>
      <c r="AH28479" s="831" t="s">
        <v>268</v>
      </c>
      <c r="AI28479" s="831">
        <v>0</v>
      </c>
      <c r="AJ28479" s="835">
        <v>41182</v>
      </c>
      <c r="AK28479" s="831">
        <v>12086480</v>
      </c>
    </row>
    <row r="28480" spans="32:37">
      <c r="AF28480" s="831" t="s">
        <v>10527</v>
      </c>
      <c r="AG28480" s="831" t="s">
        <v>2674</v>
      </c>
      <c r="AH28480" s="831" t="s">
        <v>547</v>
      </c>
      <c r="AI28480" s="831">
        <v>0</v>
      </c>
      <c r="AJ28480" s="835">
        <v>41182</v>
      </c>
      <c r="AK28480" s="831">
        <v>0</v>
      </c>
    </row>
    <row r="28481" spans="32:37">
      <c r="AF28481" s="831" t="s">
        <v>10528</v>
      </c>
      <c r="AG28481" s="831" t="s">
        <v>2674</v>
      </c>
      <c r="AH28481" s="831" t="s">
        <v>548</v>
      </c>
      <c r="AI28481" s="831">
        <v>0</v>
      </c>
      <c r="AJ28481" s="835">
        <v>41182</v>
      </c>
      <c r="AK28481" s="831">
        <v>0</v>
      </c>
    </row>
    <row r="28482" spans="32:37">
      <c r="AF28482" s="831" t="s">
        <v>10529</v>
      </c>
      <c r="AG28482" s="831" t="s">
        <v>2674</v>
      </c>
      <c r="AH28482" s="831" t="s">
        <v>549</v>
      </c>
      <c r="AI28482" s="831">
        <v>0</v>
      </c>
      <c r="AJ28482" s="835">
        <v>41182</v>
      </c>
      <c r="AK28482" s="831">
        <v>0</v>
      </c>
    </row>
    <row r="28483" spans="32:37">
      <c r="AF28483" s="831" t="s">
        <v>10530</v>
      </c>
      <c r="AG28483" s="831" t="s">
        <v>2674</v>
      </c>
      <c r="AH28483" s="831" t="s">
        <v>192</v>
      </c>
      <c r="AI28483" s="831">
        <v>0</v>
      </c>
      <c r="AJ28483" s="835">
        <v>41182</v>
      </c>
      <c r="AK28483" s="831">
        <v>-9429800</v>
      </c>
    </row>
    <row r="28484" spans="32:37">
      <c r="AF28484" s="831" t="s">
        <v>10531</v>
      </c>
      <c r="AG28484" s="831" t="s">
        <v>2674</v>
      </c>
      <c r="AH28484" s="831" t="s">
        <v>558</v>
      </c>
      <c r="AI28484" s="831">
        <v>0</v>
      </c>
      <c r="AJ28484" s="835">
        <v>41182</v>
      </c>
      <c r="AK28484" s="831">
        <v>359177567</v>
      </c>
    </row>
    <row r="28485" spans="32:37">
      <c r="AF28485" s="831" t="s">
        <v>10532</v>
      </c>
      <c r="AG28485" s="831" t="s">
        <v>2674</v>
      </c>
      <c r="AH28485" s="831" t="s">
        <v>65</v>
      </c>
      <c r="AI28485" s="831">
        <v>0</v>
      </c>
      <c r="AJ28485" s="835">
        <v>41182</v>
      </c>
      <c r="AK28485" s="831">
        <v>71268198</v>
      </c>
    </row>
    <row r="28486" spans="32:37">
      <c r="AF28486" s="831" t="s">
        <v>10533</v>
      </c>
      <c r="AG28486" s="831" t="s">
        <v>2674</v>
      </c>
      <c r="AH28486" s="831" t="s">
        <v>89</v>
      </c>
      <c r="AI28486" s="831">
        <v>0</v>
      </c>
      <c r="AJ28486" s="835">
        <v>41182</v>
      </c>
      <c r="AK28486" s="831">
        <v>122822</v>
      </c>
    </row>
    <row r="28487" spans="32:37">
      <c r="AF28487" s="831" t="s">
        <v>10534</v>
      </c>
      <c r="AG28487" s="831" t="s">
        <v>2674</v>
      </c>
      <c r="AH28487" s="831" t="s">
        <v>557</v>
      </c>
      <c r="AI28487" s="831">
        <v>0</v>
      </c>
      <c r="AJ28487" s="835">
        <v>41182</v>
      </c>
      <c r="AK28487" s="831">
        <v>124710</v>
      </c>
    </row>
    <row r="28488" spans="32:37">
      <c r="AF28488" s="831" t="s">
        <v>10535</v>
      </c>
      <c r="AG28488" s="831" t="s">
        <v>2674</v>
      </c>
      <c r="AH28488" s="831" t="s">
        <v>29</v>
      </c>
      <c r="AI28488" s="831">
        <v>0</v>
      </c>
      <c r="AJ28488" s="835">
        <v>41182</v>
      </c>
      <c r="AK28488" s="831">
        <v>2101787</v>
      </c>
    </row>
    <row r="28489" spans="32:37">
      <c r="AF28489" s="831" t="s">
        <v>10536</v>
      </c>
      <c r="AG28489" s="831" t="s">
        <v>2674</v>
      </c>
      <c r="AH28489" s="831" t="s">
        <v>2688</v>
      </c>
      <c r="AI28489" s="831">
        <v>0</v>
      </c>
      <c r="AJ28489" s="835">
        <v>41182</v>
      </c>
      <c r="AK28489" s="831">
        <v>2502472</v>
      </c>
    </row>
    <row r="28490" spans="32:37">
      <c r="AF28490" s="831" t="s">
        <v>10537</v>
      </c>
      <c r="AG28490" s="831" t="s">
        <v>2674</v>
      </c>
      <c r="AH28490" s="831" t="s">
        <v>556</v>
      </c>
      <c r="AI28490" s="831">
        <v>0</v>
      </c>
      <c r="AJ28490" s="835">
        <v>41182</v>
      </c>
      <c r="AK28490" s="831">
        <v>902857</v>
      </c>
    </row>
    <row r="28491" spans="32:37">
      <c r="AF28491" s="831" t="s">
        <v>10538</v>
      </c>
      <c r="AG28491" s="831" t="s">
        <v>2674</v>
      </c>
      <c r="AH28491" s="831" t="s">
        <v>555</v>
      </c>
      <c r="AI28491" s="831">
        <v>0</v>
      </c>
      <c r="AJ28491" s="835">
        <v>41182</v>
      </c>
      <c r="AK28491" s="831">
        <v>230223270</v>
      </c>
    </row>
    <row r="28492" spans="32:37">
      <c r="AF28492" s="831" t="s">
        <v>10539</v>
      </c>
      <c r="AG28492" s="831" t="s">
        <v>2674</v>
      </c>
      <c r="AH28492" s="831" t="s">
        <v>554</v>
      </c>
      <c r="AI28492" s="831">
        <v>0</v>
      </c>
      <c r="AJ28492" s="835">
        <v>41182</v>
      </c>
      <c r="AK28492" s="831">
        <v>219562790</v>
      </c>
    </row>
    <row r="28493" spans="32:37">
      <c r="AF28493" s="831" t="s">
        <v>10540</v>
      </c>
      <c r="AG28493" s="831" t="s">
        <v>2674</v>
      </c>
      <c r="AH28493" s="831" t="s">
        <v>553</v>
      </c>
      <c r="AI28493" s="831">
        <v>0</v>
      </c>
      <c r="AJ28493" s="835">
        <v>41182</v>
      </c>
      <c r="AK28493" s="831">
        <v>0</v>
      </c>
    </row>
    <row r="28494" spans="32:37">
      <c r="AF28494" s="831" t="s">
        <v>10541</v>
      </c>
      <c r="AG28494" s="831" t="s">
        <v>2674</v>
      </c>
      <c r="AH28494" s="831" t="s">
        <v>552</v>
      </c>
      <c r="AI28494" s="831">
        <v>0</v>
      </c>
      <c r="AJ28494" s="835">
        <v>41182</v>
      </c>
      <c r="AK28494" s="831">
        <v>0</v>
      </c>
    </row>
    <row r="28495" spans="32:37">
      <c r="AF28495" s="831" t="s">
        <v>10542</v>
      </c>
      <c r="AG28495" s="831" t="s">
        <v>2674</v>
      </c>
      <c r="AH28495" s="831" t="s">
        <v>551</v>
      </c>
      <c r="AI28495" s="831">
        <v>0</v>
      </c>
      <c r="AJ28495" s="835">
        <v>41182</v>
      </c>
      <c r="AK28495" s="831">
        <v>1960032</v>
      </c>
    </row>
    <row r="28496" spans="32:37">
      <c r="AF28496" s="831" t="s">
        <v>10543</v>
      </c>
      <c r="AG28496" s="831" t="s">
        <v>2674</v>
      </c>
      <c r="AH28496" s="831" t="s">
        <v>550</v>
      </c>
      <c r="AI28496" s="831">
        <v>0</v>
      </c>
      <c r="AJ28496" s="835">
        <v>41182</v>
      </c>
      <c r="AK28496" s="831">
        <v>95414973</v>
      </c>
    </row>
    <row r="28497" spans="32:37">
      <c r="AF28497" s="831" t="s">
        <v>10544</v>
      </c>
      <c r="AG28497" s="831" t="s">
        <v>2674</v>
      </c>
      <c r="AH28497" s="831" t="s">
        <v>562</v>
      </c>
      <c r="AI28497" s="831">
        <v>0</v>
      </c>
      <c r="AJ28497" s="835">
        <v>41182</v>
      </c>
      <c r="AK28497" s="831">
        <v>0.78464999999999996</v>
      </c>
    </row>
    <row r="28498" spans="32:37">
      <c r="AF28498" s="831" t="s">
        <v>10545</v>
      </c>
      <c r="AG28498" s="831" t="s">
        <v>2674</v>
      </c>
      <c r="AH28498" s="831" t="s">
        <v>2698</v>
      </c>
      <c r="AI28498" s="831">
        <v>0</v>
      </c>
      <c r="AJ28498" s="835">
        <v>41182</v>
      </c>
      <c r="AK28498" s="831">
        <v>0.78449999999999998</v>
      </c>
    </row>
    <row r="28499" spans="32:37">
      <c r="AF28499" s="831" t="s">
        <v>10546</v>
      </c>
      <c r="AG28499" s="831" t="s">
        <v>2674</v>
      </c>
      <c r="AH28499" s="831" t="s">
        <v>560</v>
      </c>
      <c r="AI28499" s="831">
        <v>0</v>
      </c>
      <c r="AJ28499" s="835">
        <v>41182</v>
      </c>
      <c r="AK28499" s="831">
        <v>0.78534999999999999</v>
      </c>
    </row>
    <row r="28500" spans="32:37">
      <c r="AF28500" s="831" t="s">
        <v>10547</v>
      </c>
      <c r="AG28500" s="831" t="s">
        <v>2674</v>
      </c>
      <c r="AH28500" s="831" t="s">
        <v>559</v>
      </c>
      <c r="AI28500" s="831">
        <v>0</v>
      </c>
      <c r="AJ28500" s="835">
        <v>41182</v>
      </c>
      <c r="AK28500" s="831">
        <v>0.78557083333333333</v>
      </c>
    </row>
    <row r="28501" spans="32:37">
      <c r="AF28501" s="831" t="s">
        <v>10548</v>
      </c>
      <c r="AG28501" s="831" t="s">
        <v>2674</v>
      </c>
      <c r="AH28501" s="831" t="s">
        <v>568</v>
      </c>
      <c r="AI28501" s="831">
        <v>0</v>
      </c>
      <c r="AJ28501" s="835">
        <v>41182</v>
      </c>
      <c r="AK28501" s="831">
        <v>0</v>
      </c>
    </row>
    <row r="28502" spans="32:37">
      <c r="AF28502" s="831" t="s">
        <v>10549</v>
      </c>
      <c r="AG28502" s="831" t="s">
        <v>2674</v>
      </c>
      <c r="AH28502" s="831" t="s">
        <v>569</v>
      </c>
      <c r="AI28502" s="831">
        <v>0</v>
      </c>
      <c r="AJ28502" s="835">
        <v>41182</v>
      </c>
      <c r="AK28502" s="831">
        <v>0</v>
      </c>
    </row>
    <row r="28503" spans="32:37">
      <c r="AF28503" s="831" t="s">
        <v>10550</v>
      </c>
      <c r="AG28503" s="831" t="s">
        <v>2674</v>
      </c>
      <c r="AH28503" s="831" t="s">
        <v>570</v>
      </c>
      <c r="AI28503" s="831">
        <v>0</v>
      </c>
      <c r="AJ28503" s="835">
        <v>41182</v>
      </c>
      <c r="AK28503" s="831">
        <v>0</v>
      </c>
    </row>
    <row r="28504" spans="32:37">
      <c r="AF28504" s="831" t="s">
        <v>10551</v>
      </c>
      <c r="AG28504" s="831" t="s">
        <v>2674</v>
      </c>
      <c r="AH28504" s="831" t="s">
        <v>571</v>
      </c>
      <c r="AI28504" s="831">
        <v>0</v>
      </c>
      <c r="AJ28504" s="835">
        <v>41182</v>
      </c>
      <c r="AK28504" s="831">
        <v>0</v>
      </c>
    </row>
    <row r="28505" spans="32:37">
      <c r="AF28505" s="831" t="s">
        <v>10552</v>
      </c>
      <c r="AG28505" s="831" t="s">
        <v>2674</v>
      </c>
      <c r="AH28505" s="831" t="s">
        <v>573</v>
      </c>
      <c r="AI28505" s="831">
        <v>0</v>
      </c>
      <c r="AJ28505" s="835">
        <v>41182</v>
      </c>
      <c r="AK28505" s="831">
        <v>0</v>
      </c>
    </row>
    <row r="28506" spans="32:37">
      <c r="AF28506" s="831" t="s">
        <v>10553</v>
      </c>
      <c r="AG28506" s="831" t="s">
        <v>2674</v>
      </c>
      <c r="AH28506" s="831" t="s">
        <v>574</v>
      </c>
      <c r="AI28506" s="831">
        <v>0</v>
      </c>
      <c r="AJ28506" s="835">
        <v>41182</v>
      </c>
      <c r="AK28506" s="831">
        <v>0</v>
      </c>
    </row>
    <row r="28507" spans="32:37">
      <c r="AF28507" s="831" t="s">
        <v>10554</v>
      </c>
      <c r="AG28507" s="831" t="s">
        <v>2674</v>
      </c>
      <c r="AH28507" s="831" t="s">
        <v>575</v>
      </c>
      <c r="AI28507" s="831">
        <v>0</v>
      </c>
      <c r="AJ28507" s="835">
        <v>41182</v>
      </c>
      <c r="AK28507" s="831">
        <v>0</v>
      </c>
    </row>
    <row r="28508" spans="32:37">
      <c r="AF28508" s="831" t="s">
        <v>10555</v>
      </c>
      <c r="AG28508" s="831" t="s">
        <v>2674</v>
      </c>
      <c r="AH28508" s="831" t="s">
        <v>576</v>
      </c>
      <c r="AI28508" s="831">
        <v>0</v>
      </c>
      <c r="AJ28508" s="835">
        <v>41182</v>
      </c>
      <c r="AK28508" s="831">
        <v>0</v>
      </c>
    </row>
    <row r="28509" spans="32:37">
      <c r="AF28509" s="831" t="s">
        <v>10556</v>
      </c>
      <c r="AG28509" s="831" t="s">
        <v>2674</v>
      </c>
      <c r="AH28509" s="831" t="s">
        <v>572</v>
      </c>
      <c r="AI28509" s="831">
        <v>0</v>
      </c>
      <c r="AJ28509" s="835">
        <v>41182</v>
      </c>
      <c r="AK28509" s="831">
        <v>-2146826246</v>
      </c>
    </row>
    <row r="28510" spans="32:37">
      <c r="AF28510" s="831" t="s">
        <v>10557</v>
      </c>
      <c r="AG28510" s="831" t="s">
        <v>2674</v>
      </c>
      <c r="AH28510" s="831" t="s">
        <v>577</v>
      </c>
      <c r="AI28510" s="831">
        <v>0</v>
      </c>
      <c r="AJ28510" s="835">
        <v>41182</v>
      </c>
      <c r="AK28510" s="831">
        <v>-2146826246</v>
      </c>
    </row>
    <row r="28511" spans="32:37">
      <c r="AF28511" s="831" t="s">
        <v>10558</v>
      </c>
      <c r="AG28511" s="831" t="s">
        <v>2674</v>
      </c>
      <c r="AH28511" s="831" t="s">
        <v>3042</v>
      </c>
      <c r="AI28511" s="831">
        <v>0</v>
      </c>
      <c r="AJ28511" s="835">
        <v>41182</v>
      </c>
      <c r="AK28511" s="831">
        <v>-2146826246</v>
      </c>
    </row>
    <row r="28512" spans="32:37">
      <c r="AF28512" s="831" t="s">
        <v>10559</v>
      </c>
      <c r="AG28512" s="831" t="s">
        <v>2674</v>
      </c>
      <c r="AH28512" s="831" t="s">
        <v>3044</v>
      </c>
      <c r="AI28512" s="831">
        <v>0</v>
      </c>
      <c r="AJ28512" s="835">
        <v>41182</v>
      </c>
      <c r="AK28512" s="831">
        <v>-2146826246</v>
      </c>
    </row>
    <row r="28513" spans="32:37">
      <c r="AF28513" s="831" t="s">
        <v>10560</v>
      </c>
      <c r="AG28513" s="831" t="s">
        <v>2674</v>
      </c>
      <c r="AH28513" s="831" t="s">
        <v>580</v>
      </c>
      <c r="AI28513" s="831">
        <v>0</v>
      </c>
      <c r="AJ28513" s="835">
        <v>41182</v>
      </c>
      <c r="AK28513" s="831">
        <v>-2146826246</v>
      </c>
    </row>
    <row r="28514" spans="32:37">
      <c r="AF28514" s="831" t="s">
        <v>10561</v>
      </c>
      <c r="AG28514" s="831" t="s">
        <v>2674</v>
      </c>
      <c r="AH28514" s="831" t="s">
        <v>581</v>
      </c>
      <c r="AI28514" s="831">
        <v>0</v>
      </c>
      <c r="AJ28514" s="835">
        <v>41182</v>
      </c>
      <c r="AK28514" s="831">
        <v>-2146826246</v>
      </c>
    </row>
    <row r="28515" spans="32:37">
      <c r="AF28515" s="831" t="s">
        <v>10562</v>
      </c>
      <c r="AG28515" s="831" t="s">
        <v>2674</v>
      </c>
      <c r="AH28515" s="831" t="s">
        <v>105</v>
      </c>
      <c r="AI28515" s="831">
        <v>0</v>
      </c>
      <c r="AJ28515" s="835">
        <v>41182</v>
      </c>
      <c r="AK28515" s="831">
        <v>185303362</v>
      </c>
    </row>
    <row r="28516" spans="32:37">
      <c r="AF28516" s="831" t="s">
        <v>10563</v>
      </c>
      <c r="AG28516" s="831" t="s">
        <v>2674</v>
      </c>
      <c r="AH28516" s="831" t="s">
        <v>3049</v>
      </c>
      <c r="AI28516" s="831">
        <v>0</v>
      </c>
      <c r="AJ28516" s="835">
        <v>41182</v>
      </c>
      <c r="AK28516" s="831">
        <v>347265603</v>
      </c>
    </row>
    <row r="28517" spans="32:37">
      <c r="AF28517" s="831" t="s">
        <v>10564</v>
      </c>
      <c r="AG28517" s="831" t="s">
        <v>2674</v>
      </c>
      <c r="AH28517" s="831" t="s">
        <v>103</v>
      </c>
      <c r="AI28517" s="831">
        <v>0</v>
      </c>
      <c r="AJ28517" s="835">
        <v>41182</v>
      </c>
      <c r="AK28517" s="831">
        <v>161962241</v>
      </c>
    </row>
    <row r="28518" spans="32:37">
      <c r="AF28518" s="831" t="s">
        <v>10565</v>
      </c>
      <c r="AG28518" s="831" t="s">
        <v>2674</v>
      </c>
      <c r="AH28518" s="831" t="s">
        <v>182</v>
      </c>
      <c r="AI28518" s="831">
        <v>0</v>
      </c>
      <c r="AJ28518" s="835">
        <v>41182</v>
      </c>
      <c r="AK28518" s="831">
        <v>49982530.666666664</v>
      </c>
    </row>
    <row r="28519" spans="32:37">
      <c r="AF28519" s="831" t="s">
        <v>10566</v>
      </c>
      <c r="AG28519" s="831" t="s">
        <v>2674</v>
      </c>
      <c r="AH28519" s="831" t="s">
        <v>6600</v>
      </c>
      <c r="AI28519" s="831">
        <v>0</v>
      </c>
      <c r="AJ28519" s="835">
        <v>41182</v>
      </c>
      <c r="AK28519" s="831">
        <v>-2146826246</v>
      </c>
    </row>
    <row r="28520" spans="32:37">
      <c r="AF28520" s="831" t="s">
        <v>10567</v>
      </c>
      <c r="AG28520" s="831" t="s">
        <v>2674</v>
      </c>
      <c r="AH28520" s="831" t="s">
        <v>6602</v>
      </c>
      <c r="AI28520" s="831">
        <v>0</v>
      </c>
      <c r="AJ28520" s="835">
        <v>41182</v>
      </c>
      <c r="AK28520" s="831">
        <v>12086480</v>
      </c>
    </row>
    <row r="28521" spans="32:37">
      <c r="AF28521" s="831" t="s">
        <v>10568</v>
      </c>
      <c r="AG28521" s="831" t="s">
        <v>2674</v>
      </c>
      <c r="AH28521" s="831" t="s">
        <v>650</v>
      </c>
      <c r="AI28521" s="831">
        <v>0</v>
      </c>
      <c r="AJ28521" s="835">
        <v>41182</v>
      </c>
      <c r="AK28521" s="831">
        <v>0</v>
      </c>
    </row>
    <row r="28522" spans="32:37">
      <c r="AF28522" s="831" t="s">
        <v>10569</v>
      </c>
      <c r="AG28522" s="831" t="s">
        <v>2674</v>
      </c>
      <c r="AH28522" s="831" t="s">
        <v>655</v>
      </c>
      <c r="AI28522" s="831">
        <v>0</v>
      </c>
      <c r="AJ28522" s="835">
        <v>41182</v>
      </c>
      <c r="AK28522" s="831">
        <v>1640278</v>
      </c>
    </row>
    <row r="28523" spans="32:37">
      <c r="AF28523" s="831" t="s">
        <v>10570</v>
      </c>
      <c r="AG28523" s="831" t="s">
        <v>2674</v>
      </c>
      <c r="AH28523" s="831" t="s">
        <v>546</v>
      </c>
      <c r="AI28523" s="831">
        <v>0</v>
      </c>
      <c r="AJ28523" s="835">
        <v>41213</v>
      </c>
      <c r="AK28523" s="831">
        <v>376404251</v>
      </c>
    </row>
    <row r="28524" spans="32:37">
      <c r="AF28524" s="831" t="s">
        <v>10571</v>
      </c>
      <c r="AG28524" s="831" t="s">
        <v>2674</v>
      </c>
      <c r="AH28524" s="831" t="s">
        <v>370</v>
      </c>
      <c r="AI28524" s="831">
        <v>0</v>
      </c>
      <c r="AJ28524" s="835">
        <v>41213</v>
      </c>
      <c r="AK28524" s="831">
        <v>453336865</v>
      </c>
    </row>
    <row r="28525" spans="32:37">
      <c r="AF28525" s="831" t="s">
        <v>10572</v>
      </c>
      <c r="AG28525" s="831" t="s">
        <v>2674</v>
      </c>
      <c r="AH28525" s="831" t="s">
        <v>126</v>
      </c>
      <c r="AI28525" s="831">
        <v>0</v>
      </c>
      <c r="AJ28525" s="835">
        <v>41213</v>
      </c>
      <c r="AK28525" s="831">
        <v>99431431</v>
      </c>
    </row>
    <row r="28526" spans="32:37">
      <c r="AF28526" s="831" t="s">
        <v>10573</v>
      </c>
      <c r="AG28526" s="831" t="s">
        <v>2674</v>
      </c>
      <c r="AH28526" s="831" t="s">
        <v>268</v>
      </c>
      <c r="AI28526" s="831">
        <v>0</v>
      </c>
      <c r="AJ28526" s="835">
        <v>41213</v>
      </c>
      <c r="AK28526" s="831">
        <v>14108507</v>
      </c>
    </row>
    <row r="28527" spans="32:37">
      <c r="AF28527" s="831" t="s">
        <v>10574</v>
      </c>
      <c r="AG28527" s="831" t="s">
        <v>2674</v>
      </c>
      <c r="AH28527" s="831" t="s">
        <v>547</v>
      </c>
      <c r="AI28527" s="831">
        <v>0</v>
      </c>
      <c r="AJ28527" s="835">
        <v>41213</v>
      </c>
      <c r="AK28527" s="831">
        <v>0</v>
      </c>
    </row>
    <row r="28528" spans="32:37">
      <c r="AF28528" s="831" t="s">
        <v>10575</v>
      </c>
      <c r="AG28528" s="831" t="s">
        <v>2674</v>
      </c>
      <c r="AH28528" s="831" t="s">
        <v>548</v>
      </c>
      <c r="AI28528" s="831">
        <v>0</v>
      </c>
      <c r="AJ28528" s="835">
        <v>41213</v>
      </c>
      <c r="AK28528" s="831">
        <v>0</v>
      </c>
    </row>
    <row r="28529" spans="32:37">
      <c r="AF28529" s="831" t="s">
        <v>10576</v>
      </c>
      <c r="AG28529" s="831" t="s">
        <v>2674</v>
      </c>
      <c r="AH28529" s="831" t="s">
        <v>549</v>
      </c>
      <c r="AI28529" s="831">
        <v>0</v>
      </c>
      <c r="AJ28529" s="835">
        <v>41213</v>
      </c>
      <c r="AK28529" s="831">
        <v>0</v>
      </c>
    </row>
    <row r="28530" spans="32:37">
      <c r="AF28530" s="831" t="s">
        <v>10577</v>
      </c>
      <c r="AG28530" s="831" t="s">
        <v>2674</v>
      </c>
      <c r="AH28530" s="831" t="s">
        <v>192</v>
      </c>
      <c r="AI28530" s="831">
        <v>0</v>
      </c>
      <c r="AJ28530" s="835">
        <v>41213</v>
      </c>
      <c r="AK28530" s="831">
        <v>-9860253</v>
      </c>
    </row>
    <row r="28531" spans="32:37">
      <c r="AF28531" s="831" t="s">
        <v>10578</v>
      </c>
      <c r="AG28531" s="831" t="s">
        <v>2674</v>
      </c>
      <c r="AH28531" s="831" t="s">
        <v>558</v>
      </c>
      <c r="AI28531" s="831">
        <v>0</v>
      </c>
      <c r="AJ28531" s="835">
        <v>41213</v>
      </c>
      <c r="AK28531" s="831">
        <v>353905434</v>
      </c>
    </row>
    <row r="28532" spans="32:37">
      <c r="AF28532" s="831" t="s">
        <v>10579</v>
      </c>
      <c r="AG28532" s="831" t="s">
        <v>2674</v>
      </c>
      <c r="AH28532" s="831" t="s">
        <v>65</v>
      </c>
      <c r="AI28532" s="831">
        <v>0</v>
      </c>
      <c r="AJ28532" s="835">
        <v>41213</v>
      </c>
      <c r="AK28532" s="831">
        <v>80308330</v>
      </c>
    </row>
    <row r="28533" spans="32:37">
      <c r="AF28533" s="831" t="s">
        <v>10580</v>
      </c>
      <c r="AG28533" s="831" t="s">
        <v>2674</v>
      </c>
      <c r="AH28533" s="831" t="s">
        <v>89</v>
      </c>
      <c r="AI28533" s="831">
        <v>0</v>
      </c>
      <c r="AJ28533" s="835">
        <v>41213</v>
      </c>
      <c r="AK28533" s="831">
        <v>123024</v>
      </c>
    </row>
    <row r="28534" spans="32:37">
      <c r="AF28534" s="831" t="s">
        <v>10581</v>
      </c>
      <c r="AG28534" s="831" t="s">
        <v>2674</v>
      </c>
      <c r="AH28534" s="831" t="s">
        <v>557</v>
      </c>
      <c r="AI28534" s="831">
        <v>0</v>
      </c>
      <c r="AJ28534" s="835">
        <v>41213</v>
      </c>
      <c r="AK28534" s="831">
        <v>124999</v>
      </c>
    </row>
    <row r="28535" spans="32:37">
      <c r="AF28535" s="831" t="s">
        <v>10582</v>
      </c>
      <c r="AG28535" s="831" t="s">
        <v>2674</v>
      </c>
      <c r="AH28535" s="831" t="s">
        <v>29</v>
      </c>
      <c r="AI28535" s="831">
        <v>0</v>
      </c>
      <c r="AJ28535" s="835">
        <v>41213</v>
      </c>
      <c r="AK28535" s="831">
        <v>2261339</v>
      </c>
    </row>
    <row r="28536" spans="32:37">
      <c r="AF28536" s="831" t="s">
        <v>10583</v>
      </c>
      <c r="AG28536" s="831" t="s">
        <v>2674</v>
      </c>
      <c r="AH28536" s="831" t="s">
        <v>2688</v>
      </c>
      <c r="AI28536" s="831">
        <v>0</v>
      </c>
      <c r="AJ28536" s="835">
        <v>41213</v>
      </c>
      <c r="AK28536" s="831">
        <v>2480728</v>
      </c>
    </row>
    <row r="28537" spans="32:37">
      <c r="AF28537" s="831" t="s">
        <v>10584</v>
      </c>
      <c r="AG28537" s="831" t="s">
        <v>2674</v>
      </c>
      <c r="AH28537" s="831" t="s">
        <v>556</v>
      </c>
      <c r="AI28537" s="831">
        <v>0</v>
      </c>
      <c r="AJ28537" s="835">
        <v>41213</v>
      </c>
      <c r="AK28537" s="831">
        <v>902857</v>
      </c>
    </row>
    <row r="28538" spans="32:37">
      <c r="AF28538" s="831" t="s">
        <v>10585</v>
      </c>
      <c r="AG28538" s="831" t="s">
        <v>2674</v>
      </c>
      <c r="AH28538" s="831" t="s">
        <v>555</v>
      </c>
      <c r="AI28538" s="831">
        <v>0</v>
      </c>
      <c r="AJ28538" s="835">
        <v>41213</v>
      </c>
      <c r="AK28538" s="831">
        <v>223326560</v>
      </c>
    </row>
    <row r="28539" spans="32:37">
      <c r="AF28539" s="831" t="s">
        <v>10586</v>
      </c>
      <c r="AG28539" s="831" t="s">
        <v>2674</v>
      </c>
      <c r="AH28539" s="831" t="s">
        <v>554</v>
      </c>
      <c r="AI28539" s="831">
        <v>0</v>
      </c>
      <c r="AJ28539" s="835">
        <v>41213</v>
      </c>
      <c r="AK28539" s="831">
        <v>217988230</v>
      </c>
    </row>
    <row r="28540" spans="32:37">
      <c r="AF28540" s="831" t="s">
        <v>10587</v>
      </c>
      <c r="AG28540" s="831" t="s">
        <v>2674</v>
      </c>
      <c r="AH28540" s="831" t="s">
        <v>553</v>
      </c>
      <c r="AI28540" s="831">
        <v>0</v>
      </c>
      <c r="AJ28540" s="835">
        <v>41213</v>
      </c>
      <c r="AK28540" s="831">
        <v>0</v>
      </c>
    </row>
    <row r="28541" spans="32:37">
      <c r="AF28541" s="831" t="s">
        <v>10588</v>
      </c>
      <c r="AG28541" s="831" t="s">
        <v>2674</v>
      </c>
      <c r="AH28541" s="831" t="s">
        <v>552</v>
      </c>
      <c r="AI28541" s="831">
        <v>0</v>
      </c>
      <c r="AJ28541" s="835">
        <v>41213</v>
      </c>
      <c r="AK28541" s="831">
        <v>0</v>
      </c>
    </row>
    <row r="28542" spans="32:37">
      <c r="AF28542" s="831" t="s">
        <v>10589</v>
      </c>
      <c r="AG28542" s="831" t="s">
        <v>2674</v>
      </c>
      <c r="AH28542" s="831" t="s">
        <v>551</v>
      </c>
      <c r="AI28542" s="831">
        <v>0</v>
      </c>
      <c r="AJ28542" s="835">
        <v>41213</v>
      </c>
      <c r="AK28542" s="831">
        <v>2033933</v>
      </c>
    </row>
    <row r="28543" spans="32:37">
      <c r="AF28543" s="831" t="s">
        <v>10590</v>
      </c>
      <c r="AG28543" s="831" t="s">
        <v>2674</v>
      </c>
      <c r="AH28543" s="831" t="s">
        <v>550</v>
      </c>
      <c r="AI28543" s="831">
        <v>0</v>
      </c>
      <c r="AJ28543" s="835">
        <v>41213</v>
      </c>
      <c r="AK28543" s="831">
        <v>97409403</v>
      </c>
    </row>
    <row r="28544" spans="32:37">
      <c r="AF28544" s="831" t="s">
        <v>10591</v>
      </c>
      <c r="AG28544" s="831" t="s">
        <v>2674</v>
      </c>
      <c r="AH28544" s="831" t="s">
        <v>562</v>
      </c>
      <c r="AI28544" s="831">
        <v>0</v>
      </c>
      <c r="AJ28544" s="835">
        <v>41213</v>
      </c>
      <c r="AK28544" s="831">
        <v>0.78434999999999999</v>
      </c>
    </row>
    <row r="28545" spans="32:37">
      <c r="AF28545" s="831" t="s">
        <v>10592</v>
      </c>
      <c r="AG28545" s="831" t="s">
        <v>2674</v>
      </c>
      <c r="AH28545" s="831" t="s">
        <v>2698</v>
      </c>
      <c r="AI28545" s="831">
        <v>0</v>
      </c>
      <c r="AJ28545" s="835">
        <v>41213</v>
      </c>
      <c r="AK28545" s="831">
        <v>0.78464999999999996</v>
      </c>
    </row>
    <row r="28546" spans="32:37">
      <c r="AF28546" s="831" t="s">
        <v>10593</v>
      </c>
      <c r="AG28546" s="831" t="s">
        <v>2674</v>
      </c>
      <c r="AH28546" s="831" t="s">
        <v>560</v>
      </c>
      <c r="AI28546" s="831">
        <v>0</v>
      </c>
      <c r="AJ28546" s="835">
        <v>41213</v>
      </c>
      <c r="AK28546" s="831">
        <v>0.78525</v>
      </c>
    </row>
    <row r="28547" spans="32:37">
      <c r="AF28547" s="831" t="s">
        <v>10594</v>
      </c>
      <c r="AG28547" s="831" t="s">
        <v>2674</v>
      </c>
      <c r="AH28547" s="831" t="s">
        <v>559</v>
      </c>
      <c r="AI28547" s="831">
        <v>0</v>
      </c>
      <c r="AJ28547" s="835">
        <v>41213</v>
      </c>
      <c r="AK28547" s="831">
        <v>0.78536666666666666</v>
      </c>
    </row>
    <row r="28548" spans="32:37">
      <c r="AF28548" s="831" t="s">
        <v>10595</v>
      </c>
      <c r="AG28548" s="831" t="s">
        <v>2674</v>
      </c>
      <c r="AH28548" s="831" t="s">
        <v>568</v>
      </c>
      <c r="AI28548" s="831">
        <v>0</v>
      </c>
      <c r="AJ28548" s="835">
        <v>41213</v>
      </c>
      <c r="AK28548" s="831">
        <v>0</v>
      </c>
    </row>
    <row r="28549" spans="32:37">
      <c r="AF28549" s="831" t="s">
        <v>10596</v>
      </c>
      <c r="AG28549" s="831" t="s">
        <v>2674</v>
      </c>
      <c r="AH28549" s="831" t="s">
        <v>569</v>
      </c>
      <c r="AI28549" s="831">
        <v>0</v>
      </c>
      <c r="AJ28549" s="835">
        <v>41213</v>
      </c>
      <c r="AK28549" s="831">
        <v>0</v>
      </c>
    </row>
    <row r="28550" spans="32:37">
      <c r="AF28550" s="831" t="s">
        <v>10597</v>
      </c>
      <c r="AG28550" s="831" t="s">
        <v>2674</v>
      </c>
      <c r="AH28550" s="831" t="s">
        <v>570</v>
      </c>
      <c r="AI28550" s="831">
        <v>0</v>
      </c>
      <c r="AJ28550" s="835">
        <v>41213</v>
      </c>
      <c r="AK28550" s="831">
        <v>0</v>
      </c>
    </row>
    <row r="28551" spans="32:37">
      <c r="AF28551" s="831" t="s">
        <v>10598</v>
      </c>
      <c r="AG28551" s="831" t="s">
        <v>2674</v>
      </c>
      <c r="AH28551" s="831" t="s">
        <v>571</v>
      </c>
      <c r="AI28551" s="831">
        <v>0</v>
      </c>
      <c r="AJ28551" s="835">
        <v>41213</v>
      </c>
      <c r="AK28551" s="831">
        <v>0</v>
      </c>
    </row>
    <row r="28552" spans="32:37">
      <c r="AF28552" s="831" t="s">
        <v>10599</v>
      </c>
      <c r="AG28552" s="831" t="s">
        <v>2674</v>
      </c>
      <c r="AH28552" s="831" t="s">
        <v>573</v>
      </c>
      <c r="AI28552" s="831">
        <v>0</v>
      </c>
      <c r="AJ28552" s="835">
        <v>41213</v>
      </c>
      <c r="AK28552" s="831">
        <v>0</v>
      </c>
    </row>
    <row r="28553" spans="32:37">
      <c r="AF28553" s="831" t="s">
        <v>10600</v>
      </c>
      <c r="AG28553" s="831" t="s">
        <v>2674</v>
      </c>
      <c r="AH28553" s="831" t="s">
        <v>574</v>
      </c>
      <c r="AI28553" s="831">
        <v>0</v>
      </c>
      <c r="AJ28553" s="835">
        <v>41213</v>
      </c>
      <c r="AK28553" s="831">
        <v>0</v>
      </c>
    </row>
    <row r="28554" spans="32:37">
      <c r="AF28554" s="831" t="s">
        <v>10601</v>
      </c>
      <c r="AG28554" s="831" t="s">
        <v>2674</v>
      </c>
      <c r="AH28554" s="831" t="s">
        <v>575</v>
      </c>
      <c r="AI28554" s="831">
        <v>0</v>
      </c>
      <c r="AJ28554" s="835">
        <v>41213</v>
      </c>
      <c r="AK28554" s="831">
        <v>0</v>
      </c>
    </row>
    <row r="28555" spans="32:37">
      <c r="AF28555" s="831" t="s">
        <v>10602</v>
      </c>
      <c r="AG28555" s="831" t="s">
        <v>2674</v>
      </c>
      <c r="AH28555" s="831" t="s">
        <v>576</v>
      </c>
      <c r="AI28555" s="831">
        <v>0</v>
      </c>
      <c r="AJ28555" s="835">
        <v>41213</v>
      </c>
      <c r="AK28555" s="831">
        <v>0</v>
      </c>
    </row>
    <row r="28556" spans="32:37">
      <c r="AF28556" s="831" t="s">
        <v>10603</v>
      </c>
      <c r="AG28556" s="831" t="s">
        <v>2674</v>
      </c>
      <c r="AH28556" s="831" t="s">
        <v>572</v>
      </c>
      <c r="AI28556" s="831">
        <v>0</v>
      </c>
      <c r="AJ28556" s="835">
        <v>41213</v>
      </c>
      <c r="AK28556" s="831">
        <v>-2146826246</v>
      </c>
    </row>
    <row r="28557" spans="32:37">
      <c r="AF28557" s="831" t="s">
        <v>10604</v>
      </c>
      <c r="AG28557" s="831" t="s">
        <v>2674</v>
      </c>
      <c r="AH28557" s="831" t="s">
        <v>577</v>
      </c>
      <c r="AI28557" s="831">
        <v>0</v>
      </c>
      <c r="AJ28557" s="835">
        <v>41213</v>
      </c>
      <c r="AK28557" s="831">
        <v>-2146826246</v>
      </c>
    </row>
    <row r="28558" spans="32:37">
      <c r="AF28558" s="831" t="s">
        <v>10605</v>
      </c>
      <c r="AG28558" s="831" t="s">
        <v>2674</v>
      </c>
      <c r="AH28558" s="831" t="s">
        <v>3042</v>
      </c>
      <c r="AI28558" s="831">
        <v>0</v>
      </c>
      <c r="AJ28558" s="835">
        <v>41213</v>
      </c>
      <c r="AK28558" s="831">
        <v>-2146826246</v>
      </c>
    </row>
    <row r="28559" spans="32:37">
      <c r="AF28559" s="831" t="s">
        <v>10606</v>
      </c>
      <c r="AG28559" s="831" t="s">
        <v>2674</v>
      </c>
      <c r="AH28559" s="831" t="s">
        <v>3044</v>
      </c>
      <c r="AI28559" s="831">
        <v>0</v>
      </c>
      <c r="AJ28559" s="835">
        <v>41213</v>
      </c>
      <c r="AK28559" s="831">
        <v>-2146826246</v>
      </c>
    </row>
    <row r="28560" spans="32:37">
      <c r="AF28560" s="831" t="s">
        <v>10607</v>
      </c>
      <c r="AG28560" s="831" t="s">
        <v>2674</v>
      </c>
      <c r="AH28560" s="831" t="s">
        <v>580</v>
      </c>
      <c r="AI28560" s="831">
        <v>0</v>
      </c>
      <c r="AJ28560" s="835">
        <v>41213</v>
      </c>
      <c r="AK28560" s="831">
        <v>-2146826246</v>
      </c>
    </row>
    <row r="28561" spans="32:37">
      <c r="AF28561" s="831" t="s">
        <v>10608</v>
      </c>
      <c r="AG28561" s="831" t="s">
        <v>2674</v>
      </c>
      <c r="AH28561" s="831" t="s">
        <v>581</v>
      </c>
      <c r="AI28561" s="831">
        <v>0</v>
      </c>
      <c r="AJ28561" s="835">
        <v>41213</v>
      </c>
      <c r="AK28561" s="831">
        <v>-2146826246</v>
      </c>
    </row>
    <row r="28562" spans="32:37">
      <c r="AF28562" s="831" t="s">
        <v>10609</v>
      </c>
      <c r="AG28562" s="831" t="s">
        <v>2674</v>
      </c>
      <c r="AH28562" s="831" t="s">
        <v>105</v>
      </c>
      <c r="AI28562" s="831">
        <v>0</v>
      </c>
      <c r="AJ28562" s="835">
        <v>41213</v>
      </c>
      <c r="AK28562" s="831">
        <v>184676086</v>
      </c>
    </row>
    <row r="28563" spans="32:37">
      <c r="AF28563" s="831" t="s">
        <v>10610</v>
      </c>
      <c r="AG28563" s="831" t="s">
        <v>2674</v>
      </c>
      <c r="AH28563" s="831" t="s">
        <v>3049</v>
      </c>
      <c r="AI28563" s="831">
        <v>0</v>
      </c>
      <c r="AJ28563" s="835">
        <v>41213</v>
      </c>
      <c r="AK28563" s="831">
        <v>342133447</v>
      </c>
    </row>
    <row r="28564" spans="32:37">
      <c r="AF28564" s="831" t="s">
        <v>10611</v>
      </c>
      <c r="AG28564" s="831" t="s">
        <v>2674</v>
      </c>
      <c r="AH28564" s="831" t="s">
        <v>103</v>
      </c>
      <c r="AI28564" s="831">
        <v>0</v>
      </c>
      <c r="AJ28564" s="835">
        <v>41213</v>
      </c>
      <c r="AK28564" s="831">
        <v>157457361</v>
      </c>
    </row>
    <row r="28565" spans="32:37">
      <c r="AF28565" s="831" t="s">
        <v>10612</v>
      </c>
      <c r="AG28565" s="831" t="s">
        <v>2674</v>
      </c>
      <c r="AH28565" s="831" t="s">
        <v>182</v>
      </c>
      <c r="AI28565" s="831">
        <v>0</v>
      </c>
      <c r="AJ28565" s="835">
        <v>41213</v>
      </c>
      <c r="AK28565" s="831">
        <v>49941625.200000003</v>
      </c>
    </row>
    <row r="28566" spans="32:37">
      <c r="AF28566" s="831" t="s">
        <v>10613</v>
      </c>
      <c r="AG28566" s="831" t="s">
        <v>2674</v>
      </c>
      <c r="AH28566" s="831" t="s">
        <v>6600</v>
      </c>
      <c r="AI28566" s="831">
        <v>0</v>
      </c>
      <c r="AJ28566" s="835">
        <v>41213</v>
      </c>
      <c r="AK28566" s="831">
        <v>-2146826246</v>
      </c>
    </row>
    <row r="28567" spans="32:37">
      <c r="AF28567" s="831" t="s">
        <v>10614</v>
      </c>
      <c r="AG28567" s="831" t="s">
        <v>2674</v>
      </c>
      <c r="AH28567" s="831" t="s">
        <v>6602</v>
      </c>
      <c r="AI28567" s="831">
        <v>0</v>
      </c>
      <c r="AJ28567" s="835">
        <v>41213</v>
      </c>
      <c r="AK28567" s="831">
        <v>14108507</v>
      </c>
    </row>
    <row r="28568" spans="32:37">
      <c r="AF28568" s="831" t="s">
        <v>10615</v>
      </c>
      <c r="AG28568" s="831" t="s">
        <v>2674</v>
      </c>
      <c r="AH28568" s="831" t="s">
        <v>650</v>
      </c>
      <c r="AI28568" s="831">
        <v>0</v>
      </c>
      <c r="AJ28568" s="835">
        <v>41213</v>
      </c>
      <c r="AK28568" s="831">
        <v>0</v>
      </c>
    </row>
    <row r="28569" spans="32:37">
      <c r="AF28569" s="831" t="s">
        <v>10616</v>
      </c>
      <c r="AG28569" s="831" t="s">
        <v>2674</v>
      </c>
      <c r="AH28569" s="831" t="s">
        <v>655</v>
      </c>
      <c r="AI28569" s="831">
        <v>0</v>
      </c>
      <c r="AJ28569" s="835">
        <v>41213</v>
      </c>
      <c r="AK28569" s="831">
        <v>1927116</v>
      </c>
    </row>
    <row r="28570" spans="32:37">
      <c r="AF28570" s="831" t="s">
        <v>10617</v>
      </c>
      <c r="AG28570" s="831" t="s">
        <v>2674</v>
      </c>
      <c r="AH28570" s="831" t="s">
        <v>546</v>
      </c>
      <c r="AI28570" s="831">
        <v>0</v>
      </c>
      <c r="AJ28570" s="835">
        <v>41243</v>
      </c>
      <c r="AK28570" s="831">
        <v>394083786</v>
      </c>
    </row>
    <row r="28571" spans="32:37">
      <c r="AF28571" s="831" t="s">
        <v>10618</v>
      </c>
      <c r="AG28571" s="831" t="s">
        <v>2674</v>
      </c>
      <c r="AH28571" s="831" t="s">
        <v>370</v>
      </c>
      <c r="AI28571" s="831">
        <v>0</v>
      </c>
      <c r="AJ28571" s="835">
        <v>41243</v>
      </c>
      <c r="AK28571" s="831">
        <v>468781857</v>
      </c>
    </row>
    <row r="28572" spans="32:37">
      <c r="AF28572" s="831" t="s">
        <v>10619</v>
      </c>
      <c r="AG28572" s="831" t="s">
        <v>2674</v>
      </c>
      <c r="AH28572" s="831" t="s">
        <v>126</v>
      </c>
      <c r="AI28572" s="831">
        <v>0</v>
      </c>
      <c r="AJ28572" s="835">
        <v>41243</v>
      </c>
      <c r="AK28572" s="831">
        <v>101856827</v>
      </c>
    </row>
    <row r="28573" spans="32:37">
      <c r="AF28573" s="831" t="s">
        <v>10620</v>
      </c>
      <c r="AG28573" s="831" t="s">
        <v>2674</v>
      </c>
      <c r="AH28573" s="831" t="s">
        <v>268</v>
      </c>
      <c r="AI28573" s="831">
        <v>0</v>
      </c>
      <c r="AJ28573" s="835">
        <v>41243</v>
      </c>
      <c r="AK28573" s="831">
        <v>16533903</v>
      </c>
    </row>
    <row r="28574" spans="32:37">
      <c r="AF28574" s="831" t="s">
        <v>10621</v>
      </c>
      <c r="AG28574" s="831" t="s">
        <v>2674</v>
      </c>
      <c r="AH28574" s="831" t="s">
        <v>547</v>
      </c>
      <c r="AI28574" s="831">
        <v>0</v>
      </c>
      <c r="AJ28574" s="835">
        <v>41243</v>
      </c>
      <c r="AK28574" s="831">
        <v>0</v>
      </c>
    </row>
    <row r="28575" spans="32:37">
      <c r="AF28575" s="831" t="s">
        <v>10622</v>
      </c>
      <c r="AG28575" s="831" t="s">
        <v>2674</v>
      </c>
      <c r="AH28575" s="831" t="s">
        <v>548</v>
      </c>
      <c r="AI28575" s="831">
        <v>0</v>
      </c>
      <c r="AJ28575" s="835">
        <v>41243</v>
      </c>
      <c r="AK28575" s="831">
        <v>0</v>
      </c>
    </row>
    <row r="28576" spans="32:37">
      <c r="AF28576" s="831" t="s">
        <v>10623</v>
      </c>
      <c r="AG28576" s="831" t="s">
        <v>2674</v>
      </c>
      <c r="AH28576" s="831" t="s">
        <v>549</v>
      </c>
      <c r="AI28576" s="831">
        <v>0</v>
      </c>
      <c r="AJ28576" s="835">
        <v>41243</v>
      </c>
      <c r="AK28576" s="831">
        <v>0</v>
      </c>
    </row>
    <row r="28577" spans="32:37">
      <c r="AF28577" s="831" t="s">
        <v>10624</v>
      </c>
      <c r="AG28577" s="831" t="s">
        <v>2674</v>
      </c>
      <c r="AH28577" s="831" t="s">
        <v>192</v>
      </c>
      <c r="AI28577" s="831">
        <v>0</v>
      </c>
      <c r="AJ28577" s="835">
        <v>41243</v>
      </c>
      <c r="AK28577" s="831">
        <v>-10079693</v>
      </c>
    </row>
    <row r="28578" spans="32:37">
      <c r="AF28578" s="831" t="s">
        <v>10625</v>
      </c>
      <c r="AG28578" s="831" t="s">
        <v>2674</v>
      </c>
      <c r="AH28578" s="831" t="s">
        <v>558</v>
      </c>
      <c r="AI28578" s="831">
        <v>0</v>
      </c>
      <c r="AJ28578" s="835">
        <v>41243</v>
      </c>
      <c r="AK28578" s="831">
        <v>366925030</v>
      </c>
    </row>
    <row r="28579" spans="32:37">
      <c r="AF28579" s="831" t="s">
        <v>10626</v>
      </c>
      <c r="AG28579" s="831" t="s">
        <v>2674</v>
      </c>
      <c r="AH28579" s="831" t="s">
        <v>65</v>
      </c>
      <c r="AI28579" s="831">
        <v>0</v>
      </c>
      <c r="AJ28579" s="835">
        <v>41243</v>
      </c>
      <c r="AK28579" s="831">
        <v>89510969</v>
      </c>
    </row>
    <row r="28580" spans="32:37">
      <c r="AF28580" s="831" t="s">
        <v>10627</v>
      </c>
      <c r="AG28580" s="831" t="s">
        <v>2674</v>
      </c>
      <c r="AH28580" s="831" t="s">
        <v>89</v>
      </c>
      <c r="AI28580" s="831">
        <v>0</v>
      </c>
      <c r="AJ28580" s="835">
        <v>41243</v>
      </c>
      <c r="AK28580" s="831">
        <v>123534</v>
      </c>
    </row>
    <row r="28581" spans="32:37">
      <c r="AF28581" s="831" t="s">
        <v>10628</v>
      </c>
      <c r="AG28581" s="831" t="s">
        <v>2674</v>
      </c>
      <c r="AH28581" s="831" t="s">
        <v>557</v>
      </c>
      <c r="AI28581" s="831">
        <v>0</v>
      </c>
      <c r="AJ28581" s="835">
        <v>41243</v>
      </c>
      <c r="AK28581" s="831">
        <v>125715</v>
      </c>
    </row>
    <row r="28582" spans="32:37">
      <c r="AF28582" s="831" t="s">
        <v>10629</v>
      </c>
      <c r="AG28582" s="831" t="s">
        <v>2674</v>
      </c>
      <c r="AH28582" s="831" t="s">
        <v>29</v>
      </c>
      <c r="AI28582" s="831">
        <v>0</v>
      </c>
      <c r="AJ28582" s="835">
        <v>41243</v>
      </c>
      <c r="AK28582" s="831">
        <v>2094921</v>
      </c>
    </row>
    <row r="28583" spans="32:37">
      <c r="AF28583" s="831" t="s">
        <v>10630</v>
      </c>
      <c r="AG28583" s="831" t="s">
        <v>2674</v>
      </c>
      <c r="AH28583" s="831" t="s">
        <v>2688</v>
      </c>
      <c r="AI28583" s="831">
        <v>0</v>
      </c>
      <c r="AJ28583" s="835">
        <v>41243</v>
      </c>
      <c r="AK28583" s="831">
        <v>2867819</v>
      </c>
    </row>
    <row r="28584" spans="32:37">
      <c r="AF28584" s="831" t="s">
        <v>10631</v>
      </c>
      <c r="AG28584" s="831" t="s">
        <v>2674</v>
      </c>
      <c r="AH28584" s="831" t="s">
        <v>556</v>
      </c>
      <c r="AI28584" s="831">
        <v>0</v>
      </c>
      <c r="AJ28584" s="835">
        <v>41243</v>
      </c>
      <c r="AK28584" s="831">
        <v>902857</v>
      </c>
    </row>
    <row r="28585" spans="32:37">
      <c r="AF28585" s="831" t="s">
        <v>10632</v>
      </c>
      <c r="AG28585" s="831" t="s">
        <v>2674</v>
      </c>
      <c r="AH28585" s="831" t="s">
        <v>555</v>
      </c>
      <c r="AI28585" s="831">
        <v>0</v>
      </c>
      <c r="AJ28585" s="835">
        <v>41243</v>
      </c>
      <c r="AK28585" s="831">
        <v>236413970</v>
      </c>
    </row>
    <row r="28586" spans="32:37">
      <c r="AF28586" s="831" t="s">
        <v>10633</v>
      </c>
      <c r="AG28586" s="831" t="s">
        <v>2674</v>
      </c>
      <c r="AH28586" s="831" t="s">
        <v>554</v>
      </c>
      <c r="AI28586" s="831">
        <v>0</v>
      </c>
      <c r="AJ28586" s="835">
        <v>41243</v>
      </c>
      <c r="AK28586" s="831">
        <v>238298670</v>
      </c>
    </row>
    <row r="28587" spans="32:37">
      <c r="AF28587" s="831" t="s">
        <v>10634</v>
      </c>
      <c r="AG28587" s="831" t="s">
        <v>2674</v>
      </c>
      <c r="AH28587" s="831" t="s">
        <v>553</v>
      </c>
      <c r="AI28587" s="831">
        <v>0</v>
      </c>
      <c r="AJ28587" s="835">
        <v>41243</v>
      </c>
      <c r="AK28587" s="831">
        <v>0</v>
      </c>
    </row>
    <row r="28588" spans="32:37">
      <c r="AF28588" s="831" t="s">
        <v>10635</v>
      </c>
      <c r="AG28588" s="831" t="s">
        <v>2674</v>
      </c>
      <c r="AH28588" s="831" t="s">
        <v>552</v>
      </c>
      <c r="AI28588" s="831">
        <v>0</v>
      </c>
      <c r="AJ28588" s="835">
        <v>41243</v>
      </c>
      <c r="AK28588" s="831">
        <v>0</v>
      </c>
    </row>
    <row r="28589" spans="32:37">
      <c r="AF28589" s="831" t="s">
        <v>10636</v>
      </c>
      <c r="AG28589" s="831" t="s">
        <v>2674</v>
      </c>
      <c r="AH28589" s="831" t="s">
        <v>551</v>
      </c>
      <c r="AI28589" s="831">
        <v>0</v>
      </c>
      <c r="AJ28589" s="835">
        <v>41243</v>
      </c>
      <c r="AK28589" s="831">
        <v>1916351</v>
      </c>
    </row>
    <row r="28590" spans="32:37">
      <c r="AF28590" s="831" t="s">
        <v>10637</v>
      </c>
      <c r="AG28590" s="831" t="s">
        <v>2674</v>
      </c>
      <c r="AH28590" s="831" t="s">
        <v>550</v>
      </c>
      <c r="AI28590" s="831">
        <v>0</v>
      </c>
      <c r="AJ28590" s="835">
        <v>41243</v>
      </c>
      <c r="AK28590" s="831">
        <v>99431431</v>
      </c>
    </row>
    <row r="28591" spans="32:37">
      <c r="AF28591" s="831" t="s">
        <v>10638</v>
      </c>
      <c r="AG28591" s="831" t="s">
        <v>2674</v>
      </c>
      <c r="AH28591" s="831" t="s">
        <v>562</v>
      </c>
      <c r="AI28591" s="831">
        <v>0</v>
      </c>
      <c r="AJ28591" s="835">
        <v>41243</v>
      </c>
      <c r="AK28591" s="831">
        <v>0.78415000000000001</v>
      </c>
    </row>
    <row r="28592" spans="32:37">
      <c r="AF28592" s="831" t="s">
        <v>10639</v>
      </c>
      <c r="AG28592" s="831" t="s">
        <v>2674</v>
      </c>
      <c r="AH28592" s="831" t="s">
        <v>2698</v>
      </c>
      <c r="AI28592" s="831">
        <v>0</v>
      </c>
      <c r="AJ28592" s="835">
        <v>41243</v>
      </c>
      <c r="AK28592" s="831">
        <v>0.78434999999999999</v>
      </c>
    </row>
    <row r="28593" spans="32:37">
      <c r="AF28593" s="831" t="s">
        <v>10640</v>
      </c>
      <c r="AG28593" s="831" t="s">
        <v>2674</v>
      </c>
      <c r="AH28593" s="831" t="s">
        <v>560</v>
      </c>
      <c r="AI28593" s="831">
        <v>0</v>
      </c>
      <c r="AJ28593" s="835">
        <v>41243</v>
      </c>
      <c r="AK28593" s="831">
        <v>0.7851499999999999</v>
      </c>
    </row>
    <row r="28594" spans="32:37">
      <c r="AF28594" s="831" t="s">
        <v>10641</v>
      </c>
      <c r="AG28594" s="831" t="s">
        <v>2674</v>
      </c>
      <c r="AH28594" s="831" t="s">
        <v>559</v>
      </c>
      <c r="AI28594" s="831">
        <v>0</v>
      </c>
      <c r="AJ28594" s="835">
        <v>41243</v>
      </c>
      <c r="AK28594" s="831">
        <v>0.78524166666666673</v>
      </c>
    </row>
    <row r="28595" spans="32:37">
      <c r="AF28595" s="831" t="s">
        <v>10642</v>
      </c>
      <c r="AG28595" s="831" t="s">
        <v>2674</v>
      </c>
      <c r="AH28595" s="831" t="s">
        <v>568</v>
      </c>
      <c r="AI28595" s="831">
        <v>0</v>
      </c>
      <c r="AJ28595" s="835">
        <v>41243</v>
      </c>
      <c r="AK28595" s="831">
        <v>0</v>
      </c>
    </row>
    <row r="28596" spans="32:37">
      <c r="AF28596" s="831" t="s">
        <v>10643</v>
      </c>
      <c r="AG28596" s="831" t="s">
        <v>2674</v>
      </c>
      <c r="AH28596" s="831" t="s">
        <v>569</v>
      </c>
      <c r="AI28596" s="831">
        <v>0</v>
      </c>
      <c r="AJ28596" s="835">
        <v>41243</v>
      </c>
      <c r="AK28596" s="831">
        <v>0</v>
      </c>
    </row>
    <row r="28597" spans="32:37">
      <c r="AF28597" s="831" t="s">
        <v>10644</v>
      </c>
      <c r="AG28597" s="831" t="s">
        <v>2674</v>
      </c>
      <c r="AH28597" s="831" t="s">
        <v>570</v>
      </c>
      <c r="AI28597" s="831">
        <v>0</v>
      </c>
      <c r="AJ28597" s="835">
        <v>41243</v>
      </c>
      <c r="AK28597" s="831">
        <v>0</v>
      </c>
    </row>
    <row r="28598" spans="32:37">
      <c r="AF28598" s="831" t="s">
        <v>10645</v>
      </c>
      <c r="AG28598" s="831" t="s">
        <v>2674</v>
      </c>
      <c r="AH28598" s="831" t="s">
        <v>571</v>
      </c>
      <c r="AI28598" s="831">
        <v>0</v>
      </c>
      <c r="AJ28598" s="835">
        <v>41243</v>
      </c>
      <c r="AK28598" s="831">
        <v>0</v>
      </c>
    </row>
    <row r="28599" spans="32:37">
      <c r="AF28599" s="831" t="s">
        <v>10646</v>
      </c>
      <c r="AG28599" s="831" t="s">
        <v>2674</v>
      </c>
      <c r="AH28599" s="831" t="s">
        <v>573</v>
      </c>
      <c r="AI28599" s="831">
        <v>0</v>
      </c>
      <c r="AJ28599" s="835">
        <v>41243</v>
      </c>
      <c r="AK28599" s="831">
        <v>0</v>
      </c>
    </row>
    <row r="28600" spans="32:37">
      <c r="AF28600" s="831" t="s">
        <v>10647</v>
      </c>
      <c r="AG28600" s="831" t="s">
        <v>2674</v>
      </c>
      <c r="AH28600" s="831" t="s">
        <v>574</v>
      </c>
      <c r="AI28600" s="831">
        <v>0</v>
      </c>
      <c r="AJ28600" s="835">
        <v>41243</v>
      </c>
      <c r="AK28600" s="831">
        <v>0</v>
      </c>
    </row>
    <row r="28601" spans="32:37">
      <c r="AF28601" s="831" t="s">
        <v>10648</v>
      </c>
      <c r="AG28601" s="831" t="s">
        <v>2674</v>
      </c>
      <c r="AH28601" s="831" t="s">
        <v>575</v>
      </c>
      <c r="AI28601" s="831">
        <v>0</v>
      </c>
      <c r="AJ28601" s="835">
        <v>41243</v>
      </c>
      <c r="AK28601" s="831">
        <v>0</v>
      </c>
    </row>
    <row r="28602" spans="32:37">
      <c r="AF28602" s="831" t="s">
        <v>10649</v>
      </c>
      <c r="AG28602" s="831" t="s">
        <v>2674</v>
      </c>
      <c r="AH28602" s="831" t="s">
        <v>576</v>
      </c>
      <c r="AI28602" s="831">
        <v>0</v>
      </c>
      <c r="AJ28602" s="835">
        <v>41243</v>
      </c>
      <c r="AK28602" s="831">
        <v>0</v>
      </c>
    </row>
    <row r="28603" spans="32:37">
      <c r="AF28603" s="831" t="s">
        <v>10650</v>
      </c>
      <c r="AG28603" s="831" t="s">
        <v>2674</v>
      </c>
      <c r="AH28603" s="831" t="s">
        <v>572</v>
      </c>
      <c r="AI28603" s="831">
        <v>0</v>
      </c>
      <c r="AJ28603" s="835">
        <v>41243</v>
      </c>
      <c r="AK28603" s="831">
        <v>-2146826246</v>
      </c>
    </row>
    <row r="28604" spans="32:37">
      <c r="AF28604" s="831" t="s">
        <v>10651</v>
      </c>
      <c r="AG28604" s="831" t="s">
        <v>2674</v>
      </c>
      <c r="AH28604" s="831" t="s">
        <v>577</v>
      </c>
      <c r="AI28604" s="831">
        <v>0</v>
      </c>
      <c r="AJ28604" s="835">
        <v>41243</v>
      </c>
      <c r="AK28604" s="831">
        <v>-2146826246</v>
      </c>
    </row>
    <row r="28605" spans="32:37">
      <c r="AF28605" s="831" t="s">
        <v>10652</v>
      </c>
      <c r="AG28605" s="831" t="s">
        <v>2674</v>
      </c>
      <c r="AH28605" s="831" t="s">
        <v>3042</v>
      </c>
      <c r="AI28605" s="831">
        <v>0</v>
      </c>
      <c r="AJ28605" s="835">
        <v>41243</v>
      </c>
      <c r="AK28605" s="831">
        <v>-2146826246</v>
      </c>
    </row>
    <row r="28606" spans="32:37">
      <c r="AF28606" s="831" t="s">
        <v>10653</v>
      </c>
      <c r="AG28606" s="831" t="s">
        <v>2674</v>
      </c>
      <c r="AH28606" s="831" t="s">
        <v>3044</v>
      </c>
      <c r="AI28606" s="831">
        <v>0</v>
      </c>
      <c r="AJ28606" s="835">
        <v>41243</v>
      </c>
      <c r="AK28606" s="831">
        <v>-2146826246</v>
      </c>
    </row>
    <row r="28607" spans="32:37">
      <c r="AF28607" s="831" t="s">
        <v>10654</v>
      </c>
      <c r="AG28607" s="831" t="s">
        <v>2674</v>
      </c>
      <c r="AH28607" s="831" t="s">
        <v>580</v>
      </c>
      <c r="AI28607" s="831">
        <v>0</v>
      </c>
      <c r="AJ28607" s="835">
        <v>41243</v>
      </c>
      <c r="AK28607" s="831">
        <v>-2146826246</v>
      </c>
    </row>
    <row r="28608" spans="32:37">
      <c r="AF28608" s="831" t="s">
        <v>10655</v>
      </c>
      <c r="AG28608" s="831" t="s">
        <v>2674</v>
      </c>
      <c r="AH28608" s="831" t="s">
        <v>581</v>
      </c>
      <c r="AI28608" s="831">
        <v>0</v>
      </c>
      <c r="AJ28608" s="835">
        <v>41243</v>
      </c>
      <c r="AK28608" s="831">
        <v>-2146826246</v>
      </c>
    </row>
    <row r="28609" spans="32:37">
      <c r="AF28609" s="831" t="s">
        <v>10656</v>
      </c>
      <c r="AG28609" s="831" t="s">
        <v>2674</v>
      </c>
      <c r="AH28609" s="831" t="s">
        <v>105</v>
      </c>
      <c r="AI28609" s="831">
        <v>0</v>
      </c>
      <c r="AJ28609" s="835">
        <v>41243</v>
      </c>
      <c r="AK28609" s="831">
        <v>202127506</v>
      </c>
    </row>
    <row r="28610" spans="32:37">
      <c r="AF28610" s="831" t="s">
        <v>10657</v>
      </c>
      <c r="AG28610" s="831" t="s">
        <v>2674</v>
      </c>
      <c r="AH28610" s="831" t="s">
        <v>3049</v>
      </c>
      <c r="AI28610" s="831">
        <v>0</v>
      </c>
      <c r="AJ28610" s="835">
        <v>41243</v>
      </c>
      <c r="AK28610" s="831">
        <v>355103629</v>
      </c>
    </row>
    <row r="28611" spans="32:37">
      <c r="AF28611" s="831" t="s">
        <v>10658</v>
      </c>
      <c r="AG28611" s="831" t="s">
        <v>2674</v>
      </c>
      <c r="AH28611" s="831" t="s">
        <v>103</v>
      </c>
      <c r="AI28611" s="831">
        <v>0</v>
      </c>
      <c r="AJ28611" s="835">
        <v>41243</v>
      </c>
      <c r="AK28611" s="831">
        <v>152976123</v>
      </c>
    </row>
    <row r="28612" spans="32:37">
      <c r="AF28612" s="831" t="s">
        <v>10659</v>
      </c>
      <c r="AG28612" s="831" t="s">
        <v>2674</v>
      </c>
      <c r="AH28612" s="831" t="s">
        <v>182</v>
      </c>
      <c r="AI28612" s="831">
        <v>0</v>
      </c>
      <c r="AJ28612" s="835">
        <v>41243</v>
      </c>
      <c r="AK28612" s="831">
        <v>50142446.18181818</v>
      </c>
    </row>
    <row r="28613" spans="32:37">
      <c r="AF28613" s="831" t="s">
        <v>10660</v>
      </c>
      <c r="AG28613" s="831" t="s">
        <v>2674</v>
      </c>
      <c r="AH28613" s="831" t="s">
        <v>6600</v>
      </c>
      <c r="AI28613" s="831">
        <v>0</v>
      </c>
      <c r="AJ28613" s="835">
        <v>41243</v>
      </c>
      <c r="AK28613" s="831">
        <v>-2146826246</v>
      </c>
    </row>
    <row r="28614" spans="32:37">
      <c r="AF28614" s="831" t="s">
        <v>10661</v>
      </c>
      <c r="AG28614" s="831" t="s">
        <v>2674</v>
      </c>
      <c r="AH28614" s="831" t="s">
        <v>6602</v>
      </c>
      <c r="AI28614" s="831">
        <v>0</v>
      </c>
      <c r="AJ28614" s="835">
        <v>41243</v>
      </c>
      <c r="AK28614" s="831">
        <v>16533903</v>
      </c>
    </row>
    <row r="28615" spans="32:37">
      <c r="AF28615" s="831" t="s">
        <v>10662</v>
      </c>
      <c r="AG28615" s="831" t="s">
        <v>2674</v>
      </c>
      <c r="AH28615" s="831" t="s">
        <v>650</v>
      </c>
      <c r="AI28615" s="831">
        <v>0</v>
      </c>
      <c r="AJ28615" s="835">
        <v>41243</v>
      </c>
      <c r="AK28615" s="831">
        <v>0</v>
      </c>
    </row>
    <row r="28616" spans="32:37">
      <c r="AF28616" s="831" t="s">
        <v>10663</v>
      </c>
      <c r="AG28616" s="831" t="s">
        <v>2674</v>
      </c>
      <c r="AH28616" s="831" t="s">
        <v>655</v>
      </c>
      <c r="AI28616" s="831">
        <v>0</v>
      </c>
      <c r="AJ28616" s="835">
        <v>41243</v>
      </c>
      <c r="AK28616" s="831">
        <v>1720042</v>
      </c>
    </row>
    <row r="28617" spans="32:37">
      <c r="AF28617" s="831" t="s">
        <v>10664</v>
      </c>
      <c r="AG28617" s="831" t="s">
        <v>2674</v>
      </c>
      <c r="AH28617" s="831" t="s">
        <v>546</v>
      </c>
      <c r="AI28617" s="831">
        <v>0</v>
      </c>
      <c r="AJ28617" s="835">
        <v>41274</v>
      </c>
      <c r="AK28617" s="831">
        <v>412125624</v>
      </c>
    </row>
    <row r="28618" spans="32:37">
      <c r="AF28618" s="831" t="s">
        <v>10665</v>
      </c>
      <c r="AG28618" s="831" t="s">
        <v>2674</v>
      </c>
      <c r="AH28618" s="831" t="s">
        <v>370</v>
      </c>
      <c r="AI28618" s="831">
        <v>0</v>
      </c>
      <c r="AJ28618" s="835">
        <v>41274</v>
      </c>
      <c r="AK28618" s="831">
        <v>515268910</v>
      </c>
    </row>
    <row r="28619" spans="32:37">
      <c r="AF28619" s="831" t="s">
        <v>10666</v>
      </c>
      <c r="AG28619" s="831" t="s">
        <v>2674</v>
      </c>
      <c r="AH28619" s="831" t="s">
        <v>126</v>
      </c>
      <c r="AI28619" s="831">
        <v>0</v>
      </c>
      <c r="AJ28619" s="835">
        <v>41274</v>
      </c>
      <c r="AK28619" s="831">
        <v>101162875</v>
      </c>
    </row>
    <row r="28620" spans="32:37">
      <c r="AF28620" s="831" t="s">
        <v>10667</v>
      </c>
      <c r="AG28620" s="831" t="s">
        <v>2674</v>
      </c>
      <c r="AH28620" s="831" t="s">
        <v>268</v>
      </c>
      <c r="AI28620" s="831">
        <v>0</v>
      </c>
      <c r="AJ28620" s="835">
        <v>41274</v>
      </c>
      <c r="AK28620" s="831">
        <v>15839951</v>
      </c>
    </row>
    <row r="28621" spans="32:37">
      <c r="AF28621" s="831" t="s">
        <v>10668</v>
      </c>
      <c r="AG28621" s="831" t="s">
        <v>2674</v>
      </c>
      <c r="AH28621" s="831" t="s">
        <v>547</v>
      </c>
      <c r="AI28621" s="831">
        <v>0</v>
      </c>
      <c r="AJ28621" s="835">
        <v>41274</v>
      </c>
      <c r="AK28621" s="831">
        <v>0</v>
      </c>
    </row>
    <row r="28622" spans="32:37">
      <c r="AF28622" s="831" t="s">
        <v>10669</v>
      </c>
      <c r="AG28622" s="831" t="s">
        <v>2674</v>
      </c>
      <c r="AH28622" s="831" t="s">
        <v>548</v>
      </c>
      <c r="AI28622" s="831">
        <v>0</v>
      </c>
      <c r="AJ28622" s="835">
        <v>41274</v>
      </c>
      <c r="AK28622" s="831">
        <v>0</v>
      </c>
    </row>
    <row r="28623" spans="32:37">
      <c r="AF28623" s="831" t="s">
        <v>10670</v>
      </c>
      <c r="AG28623" s="831" t="s">
        <v>2674</v>
      </c>
      <c r="AH28623" s="831" t="s">
        <v>549</v>
      </c>
      <c r="AI28623" s="831">
        <v>0</v>
      </c>
      <c r="AJ28623" s="835">
        <v>41274</v>
      </c>
      <c r="AK28623" s="831">
        <v>0</v>
      </c>
    </row>
    <row r="28624" spans="32:37">
      <c r="AF28624" s="831" t="s">
        <v>10671</v>
      </c>
      <c r="AG28624" s="831" t="s">
        <v>2674</v>
      </c>
      <c r="AH28624" s="831" t="s">
        <v>192</v>
      </c>
      <c r="AI28624" s="831">
        <v>0</v>
      </c>
      <c r="AJ28624" s="835">
        <v>41274</v>
      </c>
      <c r="AK28624" s="831">
        <v>-10390612</v>
      </c>
    </row>
    <row r="28625" spans="32:37">
      <c r="AF28625" s="831" t="s">
        <v>10672</v>
      </c>
      <c r="AG28625" s="831" t="s">
        <v>2674</v>
      </c>
      <c r="AH28625" s="831" t="s">
        <v>558</v>
      </c>
      <c r="AI28625" s="831">
        <v>0</v>
      </c>
      <c r="AJ28625" s="835">
        <v>41274</v>
      </c>
      <c r="AK28625" s="831">
        <v>414106035</v>
      </c>
    </row>
    <row r="28626" spans="32:37">
      <c r="AF28626" s="831" t="s">
        <v>10673</v>
      </c>
      <c r="AG28626" s="831" t="s">
        <v>2674</v>
      </c>
      <c r="AH28626" s="831" t="s">
        <v>65</v>
      </c>
      <c r="AI28626" s="831">
        <v>0</v>
      </c>
      <c r="AJ28626" s="835">
        <v>41274</v>
      </c>
      <c r="AK28626" s="831">
        <v>98876380</v>
      </c>
    </row>
    <row r="28627" spans="32:37">
      <c r="AF28627" s="831" t="s">
        <v>10674</v>
      </c>
      <c r="AG28627" s="831" t="s">
        <v>2674</v>
      </c>
      <c r="AH28627" s="831" t="s">
        <v>89</v>
      </c>
      <c r="AI28627" s="831">
        <v>0</v>
      </c>
      <c r="AJ28627" s="835">
        <v>41274</v>
      </c>
      <c r="AK28627" s="831">
        <v>124397</v>
      </c>
    </row>
    <row r="28628" spans="32:37">
      <c r="AF28628" s="831" t="s">
        <v>10675</v>
      </c>
      <c r="AG28628" s="831" t="s">
        <v>2674</v>
      </c>
      <c r="AH28628" s="831" t="s">
        <v>557</v>
      </c>
      <c r="AI28628" s="831">
        <v>0</v>
      </c>
      <c r="AJ28628" s="835">
        <v>41274</v>
      </c>
      <c r="AK28628" s="831">
        <v>127200</v>
      </c>
    </row>
    <row r="28629" spans="32:37">
      <c r="AF28629" s="831" t="s">
        <v>10676</v>
      </c>
      <c r="AG28629" s="831" t="s">
        <v>2674</v>
      </c>
      <c r="AH28629" s="831" t="s">
        <v>29</v>
      </c>
      <c r="AI28629" s="831">
        <v>0</v>
      </c>
      <c r="AJ28629" s="835">
        <v>41274</v>
      </c>
      <c r="AK28629" s="831">
        <v>1921756</v>
      </c>
    </row>
    <row r="28630" spans="32:37">
      <c r="AF28630" s="831" t="s">
        <v>10677</v>
      </c>
      <c r="AG28630" s="831" t="s">
        <v>2674</v>
      </c>
      <c r="AH28630" s="831" t="s">
        <v>2688</v>
      </c>
      <c r="AI28630" s="831">
        <v>0</v>
      </c>
      <c r="AJ28630" s="835">
        <v>41274</v>
      </c>
      <c r="AK28630" s="831">
        <v>2457254</v>
      </c>
    </row>
    <row r="28631" spans="32:37">
      <c r="AF28631" s="831" t="s">
        <v>10678</v>
      </c>
      <c r="AG28631" s="831" t="s">
        <v>2674</v>
      </c>
      <c r="AH28631" s="831" t="s">
        <v>556</v>
      </c>
      <c r="AI28631" s="831">
        <v>0</v>
      </c>
      <c r="AJ28631" s="835">
        <v>41274</v>
      </c>
      <c r="AK28631" s="831">
        <v>902857</v>
      </c>
    </row>
    <row r="28632" spans="32:37">
      <c r="AF28632" s="831" t="s">
        <v>10679</v>
      </c>
      <c r="AG28632" s="831" t="s">
        <v>2674</v>
      </c>
      <c r="AH28632" s="831" t="s">
        <v>555</v>
      </c>
      <c r="AI28632" s="831">
        <v>0</v>
      </c>
      <c r="AJ28632" s="835">
        <v>41274</v>
      </c>
      <c r="AK28632" s="831">
        <v>274948010</v>
      </c>
    </row>
    <row r="28633" spans="32:37">
      <c r="AF28633" s="831" t="s">
        <v>10680</v>
      </c>
      <c r="AG28633" s="831" t="s">
        <v>2674</v>
      </c>
      <c r="AH28633" s="831" t="s">
        <v>554</v>
      </c>
      <c r="AI28633" s="831">
        <v>0</v>
      </c>
      <c r="AJ28633" s="835">
        <v>41274</v>
      </c>
      <c r="AK28633" s="831">
        <v>273069880</v>
      </c>
    </row>
    <row r="28634" spans="32:37">
      <c r="AF28634" s="831" t="s">
        <v>10681</v>
      </c>
      <c r="AG28634" s="831" t="s">
        <v>2674</v>
      </c>
      <c r="AH28634" s="831" t="s">
        <v>553</v>
      </c>
      <c r="AI28634" s="831">
        <v>0</v>
      </c>
      <c r="AJ28634" s="835">
        <v>41274</v>
      </c>
      <c r="AK28634" s="831">
        <v>0</v>
      </c>
    </row>
    <row r="28635" spans="32:37">
      <c r="AF28635" s="831" t="s">
        <v>10682</v>
      </c>
      <c r="AG28635" s="831" t="s">
        <v>2674</v>
      </c>
      <c r="AH28635" s="831" t="s">
        <v>552</v>
      </c>
      <c r="AI28635" s="831">
        <v>0</v>
      </c>
      <c r="AJ28635" s="835">
        <v>41274</v>
      </c>
      <c r="AK28635" s="831">
        <v>0</v>
      </c>
    </row>
    <row r="28636" spans="32:37">
      <c r="AF28636" s="831" t="s">
        <v>10683</v>
      </c>
      <c r="AG28636" s="831" t="s">
        <v>2674</v>
      </c>
      <c r="AH28636" s="831" t="s">
        <v>551</v>
      </c>
      <c r="AI28636" s="831">
        <v>0</v>
      </c>
      <c r="AJ28636" s="835">
        <v>41274</v>
      </c>
      <c r="AK28636" s="831">
        <v>1740472</v>
      </c>
    </row>
    <row r="28637" spans="32:37">
      <c r="AF28637" s="831" t="s">
        <v>10684</v>
      </c>
      <c r="AG28637" s="831" t="s">
        <v>2674</v>
      </c>
      <c r="AH28637" s="831" t="s">
        <v>550</v>
      </c>
      <c r="AI28637" s="831">
        <v>0</v>
      </c>
      <c r="AJ28637" s="835">
        <v>41274</v>
      </c>
      <c r="AK28637" s="831">
        <v>101856827</v>
      </c>
    </row>
    <row r="28638" spans="32:37">
      <c r="AF28638" s="831" t="s">
        <v>10685</v>
      </c>
      <c r="AG28638" s="831" t="s">
        <v>2674</v>
      </c>
      <c r="AH28638" s="831" t="s">
        <v>562</v>
      </c>
      <c r="AI28638" s="831">
        <v>0</v>
      </c>
      <c r="AJ28638" s="835">
        <v>41274</v>
      </c>
      <c r="AK28638" s="831">
        <v>0.78400000000000003</v>
      </c>
    </row>
    <row r="28639" spans="32:37">
      <c r="AF28639" s="831" t="s">
        <v>10686</v>
      </c>
      <c r="AG28639" s="831" t="s">
        <v>2674</v>
      </c>
      <c r="AH28639" s="831" t="s">
        <v>2698</v>
      </c>
      <c r="AI28639" s="831">
        <v>0</v>
      </c>
      <c r="AJ28639" s="835">
        <v>41274</v>
      </c>
      <c r="AK28639" s="831">
        <v>0.78415000000000001</v>
      </c>
    </row>
    <row r="28640" spans="32:37">
      <c r="AF28640" s="831" t="s">
        <v>10687</v>
      </c>
      <c r="AG28640" s="831" t="s">
        <v>2674</v>
      </c>
      <c r="AH28640" s="831" t="s">
        <v>560</v>
      </c>
      <c r="AI28640" s="831">
        <v>0</v>
      </c>
      <c r="AJ28640" s="835">
        <v>41274</v>
      </c>
      <c r="AK28640" s="831">
        <v>0.7850541666666665</v>
      </c>
    </row>
    <row r="28641" spans="32:37">
      <c r="AF28641" s="831" t="s">
        <v>10688</v>
      </c>
      <c r="AG28641" s="831" t="s">
        <v>2674</v>
      </c>
      <c r="AH28641" s="831" t="s">
        <v>559</v>
      </c>
      <c r="AI28641" s="831">
        <v>0</v>
      </c>
      <c r="AJ28641" s="835">
        <v>41274</v>
      </c>
      <c r="AK28641" s="831">
        <v>0.7850541666666665</v>
      </c>
    </row>
    <row r="28642" spans="32:37">
      <c r="AF28642" s="831" t="s">
        <v>10689</v>
      </c>
      <c r="AG28642" s="831" t="s">
        <v>2674</v>
      </c>
      <c r="AH28642" s="831" t="s">
        <v>568</v>
      </c>
      <c r="AI28642" s="831">
        <v>0</v>
      </c>
      <c r="AJ28642" s="835">
        <v>41274</v>
      </c>
      <c r="AK28642" s="831">
        <v>0</v>
      </c>
    </row>
    <row r="28643" spans="32:37">
      <c r="AF28643" s="831" t="s">
        <v>10690</v>
      </c>
      <c r="AG28643" s="831" t="s">
        <v>2674</v>
      </c>
      <c r="AH28643" s="831" t="s">
        <v>569</v>
      </c>
      <c r="AI28643" s="831">
        <v>0</v>
      </c>
      <c r="AJ28643" s="835">
        <v>41274</v>
      </c>
      <c r="AK28643" s="831">
        <v>0</v>
      </c>
    </row>
    <row r="28644" spans="32:37">
      <c r="AF28644" s="831" t="s">
        <v>10691</v>
      </c>
      <c r="AG28644" s="831" t="s">
        <v>2674</v>
      </c>
      <c r="AH28644" s="831" t="s">
        <v>570</v>
      </c>
      <c r="AI28644" s="831">
        <v>0</v>
      </c>
      <c r="AJ28644" s="835">
        <v>41274</v>
      </c>
      <c r="AK28644" s="831">
        <v>0</v>
      </c>
    </row>
    <row r="28645" spans="32:37">
      <c r="AF28645" s="831" t="s">
        <v>10692</v>
      </c>
      <c r="AG28645" s="831" t="s">
        <v>2674</v>
      </c>
      <c r="AH28645" s="831" t="s">
        <v>571</v>
      </c>
      <c r="AI28645" s="831">
        <v>0</v>
      </c>
      <c r="AJ28645" s="835">
        <v>41274</v>
      </c>
      <c r="AK28645" s="831">
        <v>0</v>
      </c>
    </row>
    <row r="28646" spans="32:37">
      <c r="AF28646" s="831" t="s">
        <v>10693</v>
      </c>
      <c r="AG28646" s="831" t="s">
        <v>2674</v>
      </c>
      <c r="AH28646" s="831" t="s">
        <v>573</v>
      </c>
      <c r="AI28646" s="831">
        <v>0</v>
      </c>
      <c r="AJ28646" s="835">
        <v>41274</v>
      </c>
      <c r="AK28646" s="831">
        <v>-2146826265</v>
      </c>
    </row>
    <row r="28647" spans="32:37">
      <c r="AF28647" s="831" t="s">
        <v>10694</v>
      </c>
      <c r="AG28647" s="831" t="s">
        <v>2674</v>
      </c>
      <c r="AH28647" s="831" t="s">
        <v>574</v>
      </c>
      <c r="AI28647" s="831">
        <v>0</v>
      </c>
      <c r="AJ28647" s="835">
        <v>41274</v>
      </c>
      <c r="AK28647" s="831">
        <v>-2146826265</v>
      </c>
    </row>
    <row r="28648" spans="32:37">
      <c r="AF28648" s="831" t="s">
        <v>10695</v>
      </c>
      <c r="AG28648" s="831" t="s">
        <v>2674</v>
      </c>
      <c r="AH28648" s="831" t="s">
        <v>575</v>
      </c>
      <c r="AI28648" s="831">
        <v>0</v>
      </c>
      <c r="AJ28648" s="835">
        <v>41274</v>
      </c>
      <c r="AK28648" s="831">
        <v>-2146826265</v>
      </c>
    </row>
    <row r="28649" spans="32:37">
      <c r="AF28649" s="831" t="s">
        <v>10696</v>
      </c>
      <c r="AG28649" s="831" t="s">
        <v>2674</v>
      </c>
      <c r="AH28649" s="831" t="s">
        <v>576</v>
      </c>
      <c r="AI28649" s="831">
        <v>0</v>
      </c>
      <c r="AJ28649" s="835">
        <v>41274</v>
      </c>
      <c r="AK28649" s="831">
        <v>-2146826265</v>
      </c>
    </row>
    <row r="28650" spans="32:37">
      <c r="AF28650" s="831" t="s">
        <v>10697</v>
      </c>
      <c r="AG28650" s="831" t="s">
        <v>2674</v>
      </c>
      <c r="AH28650" s="831" t="s">
        <v>572</v>
      </c>
      <c r="AI28650" s="831">
        <v>0</v>
      </c>
      <c r="AJ28650" s="835">
        <v>41274</v>
      </c>
      <c r="AK28650" s="831">
        <v>-2146826246</v>
      </c>
    </row>
    <row r="28651" spans="32:37">
      <c r="AF28651" s="831" t="s">
        <v>10698</v>
      </c>
      <c r="AG28651" s="831" t="s">
        <v>2674</v>
      </c>
      <c r="AH28651" s="831" t="s">
        <v>577</v>
      </c>
      <c r="AI28651" s="831">
        <v>0</v>
      </c>
      <c r="AJ28651" s="835">
        <v>41274</v>
      </c>
      <c r="AK28651" s="831">
        <v>-2146826246</v>
      </c>
    </row>
    <row r="28652" spans="32:37">
      <c r="AF28652" s="831" t="s">
        <v>10699</v>
      </c>
      <c r="AG28652" s="831" t="s">
        <v>2674</v>
      </c>
      <c r="AH28652" s="831" t="s">
        <v>3042</v>
      </c>
      <c r="AI28652" s="831">
        <v>0</v>
      </c>
      <c r="AJ28652" s="835">
        <v>41274</v>
      </c>
      <c r="AK28652" s="831">
        <v>-2146826246</v>
      </c>
    </row>
    <row r="28653" spans="32:37">
      <c r="AF28653" s="831" t="s">
        <v>10700</v>
      </c>
      <c r="AG28653" s="831" t="s">
        <v>2674</v>
      </c>
      <c r="AH28653" s="831" t="s">
        <v>3044</v>
      </c>
      <c r="AI28653" s="831">
        <v>0</v>
      </c>
      <c r="AJ28653" s="835">
        <v>41274</v>
      </c>
      <c r="AK28653" s="831">
        <v>-2146826246</v>
      </c>
    </row>
    <row r="28654" spans="32:37">
      <c r="AF28654" s="831" t="s">
        <v>10701</v>
      </c>
      <c r="AG28654" s="831" t="s">
        <v>2674</v>
      </c>
      <c r="AH28654" s="831" t="s">
        <v>580</v>
      </c>
      <c r="AI28654" s="831">
        <v>0</v>
      </c>
      <c r="AJ28654" s="835">
        <v>41274</v>
      </c>
      <c r="AK28654" s="831">
        <v>-2146826246</v>
      </c>
    </row>
    <row r="28655" spans="32:37">
      <c r="AF28655" s="831" t="s">
        <v>10702</v>
      </c>
      <c r="AG28655" s="831" t="s">
        <v>2674</v>
      </c>
      <c r="AH28655" s="831" t="s">
        <v>581</v>
      </c>
      <c r="AI28655" s="831">
        <v>0</v>
      </c>
      <c r="AJ28655" s="835">
        <v>41274</v>
      </c>
      <c r="AK28655" s="831">
        <v>-2146826246</v>
      </c>
    </row>
    <row r="28656" spans="32:37">
      <c r="AF28656" s="831" t="s">
        <v>10703</v>
      </c>
      <c r="AG28656" s="831" t="s">
        <v>2674</v>
      </c>
      <c r="AH28656" s="831" t="s">
        <v>105</v>
      </c>
      <c r="AI28656" s="831">
        <v>0</v>
      </c>
      <c r="AJ28656" s="835">
        <v>41274</v>
      </c>
      <c r="AK28656" s="831">
        <v>237580126</v>
      </c>
    </row>
    <row r="28657" spans="32:37">
      <c r="AF28657" s="831" t="s">
        <v>10704</v>
      </c>
      <c r="AG28657" s="831" t="s">
        <v>2674</v>
      </c>
      <c r="AH28657" s="831" t="s">
        <v>3049</v>
      </c>
      <c r="AI28657" s="831">
        <v>0</v>
      </c>
      <c r="AJ28657" s="835">
        <v>41274</v>
      </c>
      <c r="AK28657" s="831">
        <v>400647257</v>
      </c>
    </row>
    <row r="28658" spans="32:37">
      <c r="AF28658" s="831" t="s">
        <v>10705</v>
      </c>
      <c r="AG28658" s="831" t="s">
        <v>2674</v>
      </c>
      <c r="AH28658" s="831" t="s">
        <v>103</v>
      </c>
      <c r="AI28658" s="831">
        <v>0</v>
      </c>
      <c r="AJ28658" s="835">
        <v>41274</v>
      </c>
      <c r="AK28658" s="831">
        <v>163067131</v>
      </c>
    </row>
    <row r="28659" spans="32:37">
      <c r="AF28659" s="831" t="s">
        <v>10706</v>
      </c>
      <c r="AG28659" s="831" t="s">
        <v>2674</v>
      </c>
      <c r="AH28659" s="831" t="s">
        <v>182</v>
      </c>
      <c r="AI28659" s="831">
        <v>0</v>
      </c>
      <c r="AJ28659" s="835">
        <v>41274</v>
      </c>
      <c r="AK28659" s="831">
        <v>53318071</v>
      </c>
    </row>
    <row r="28660" spans="32:37">
      <c r="AF28660" s="831" t="s">
        <v>10707</v>
      </c>
      <c r="AG28660" s="831" t="s">
        <v>2674</v>
      </c>
      <c r="AH28660" s="831" t="s">
        <v>6600</v>
      </c>
      <c r="AI28660" s="831">
        <v>0</v>
      </c>
      <c r="AJ28660" s="835">
        <v>41274</v>
      </c>
      <c r="AK28660" s="831">
        <v>-2146826246</v>
      </c>
    </row>
    <row r="28661" spans="32:37">
      <c r="AF28661" s="831" t="s">
        <v>10708</v>
      </c>
      <c r="AG28661" s="831" t="s">
        <v>2674</v>
      </c>
      <c r="AH28661" s="831" t="s">
        <v>6602</v>
      </c>
      <c r="AI28661" s="831">
        <v>0</v>
      </c>
      <c r="AJ28661" s="835">
        <v>41274</v>
      </c>
      <c r="AK28661" s="831">
        <v>15839951</v>
      </c>
    </row>
    <row r="28662" spans="32:37">
      <c r="AF28662" s="831" t="s">
        <v>10709</v>
      </c>
      <c r="AG28662" s="831" t="s">
        <v>2674</v>
      </c>
      <c r="AH28662" s="831" t="s">
        <v>650</v>
      </c>
      <c r="AI28662" s="831">
        <v>0</v>
      </c>
      <c r="AJ28662" s="835">
        <v>41274</v>
      </c>
      <c r="AK28662" s="831">
        <v>0</v>
      </c>
    </row>
    <row r="28663" spans="32:37">
      <c r="AF28663" s="831" t="s">
        <v>10710</v>
      </c>
      <c r="AG28663" s="831" t="s">
        <v>2674</v>
      </c>
      <c r="AH28663" s="831" t="s">
        <v>655</v>
      </c>
      <c r="AI28663" s="831">
        <v>0</v>
      </c>
      <c r="AJ28663" s="835">
        <v>41274</v>
      </c>
      <c r="AK28663" s="831">
        <v>1622276</v>
      </c>
    </row>
    <row r="28664" spans="32:37">
      <c r="AF28664" s="831" t="s">
        <v>10711</v>
      </c>
      <c r="AG28664" s="831" t="s">
        <v>2674</v>
      </c>
      <c r="AH28664" s="831" t="s">
        <v>546</v>
      </c>
      <c r="AI28664" s="831">
        <v>0</v>
      </c>
      <c r="AJ28664" s="835">
        <v>41305</v>
      </c>
      <c r="AK28664" s="831">
        <v>421051783</v>
      </c>
    </row>
    <row r="28665" spans="32:37">
      <c r="AF28665" s="831" t="s">
        <v>10712</v>
      </c>
      <c r="AG28665" s="831" t="s">
        <v>2674</v>
      </c>
      <c r="AH28665" s="831" t="s">
        <v>370</v>
      </c>
      <c r="AI28665" s="831">
        <v>0</v>
      </c>
      <c r="AJ28665" s="835">
        <v>41305</v>
      </c>
      <c r="AK28665" s="831">
        <v>511487760</v>
      </c>
    </row>
    <row r="28666" spans="32:37">
      <c r="AF28666" s="831" t="s">
        <v>10713</v>
      </c>
      <c r="AG28666" s="831" t="s">
        <v>2674</v>
      </c>
      <c r="AH28666" s="831" t="s">
        <v>126</v>
      </c>
      <c r="AI28666" s="831">
        <v>0</v>
      </c>
      <c r="AJ28666" s="835">
        <v>41305</v>
      </c>
      <c r="AK28666" s="831">
        <v>96883184</v>
      </c>
    </row>
    <row r="28667" spans="32:37">
      <c r="AF28667" s="831" t="s">
        <v>10714</v>
      </c>
      <c r="AG28667" s="831" t="s">
        <v>2674</v>
      </c>
      <c r="AH28667" s="831" t="s">
        <v>268</v>
      </c>
      <c r="AI28667" s="831">
        <v>0</v>
      </c>
      <c r="AJ28667" s="835">
        <v>41305</v>
      </c>
      <c r="AK28667" s="831">
        <v>2119961</v>
      </c>
    </row>
    <row r="28668" spans="32:37">
      <c r="AF28668" s="831" t="s">
        <v>10715</v>
      </c>
      <c r="AG28668" s="831" t="s">
        <v>2674</v>
      </c>
      <c r="AH28668" s="831" t="s">
        <v>547</v>
      </c>
      <c r="AI28668" s="831">
        <v>0</v>
      </c>
      <c r="AJ28668" s="835">
        <v>41305</v>
      </c>
      <c r="AK28668" s="831">
        <v>511487760</v>
      </c>
    </row>
    <row r="28669" spans="32:37">
      <c r="AF28669" s="831" t="s">
        <v>10716</v>
      </c>
      <c r="AG28669" s="831" t="s">
        <v>2674</v>
      </c>
      <c r="AH28669" s="831" t="s">
        <v>548</v>
      </c>
      <c r="AI28669" s="831">
        <v>0</v>
      </c>
      <c r="AJ28669" s="835">
        <v>41305</v>
      </c>
      <c r="AK28669" s="831">
        <v>96883184</v>
      </c>
    </row>
    <row r="28670" spans="32:37">
      <c r="AF28670" s="831" t="s">
        <v>10717</v>
      </c>
      <c r="AG28670" s="831" t="s">
        <v>2674</v>
      </c>
      <c r="AH28670" s="831" t="s">
        <v>549</v>
      </c>
      <c r="AI28670" s="831">
        <v>0</v>
      </c>
      <c r="AJ28670" s="835">
        <v>41305</v>
      </c>
      <c r="AK28670" s="831">
        <v>0</v>
      </c>
    </row>
    <row r="28671" spans="32:37">
      <c r="AF28671" s="831" t="s">
        <v>10718</v>
      </c>
      <c r="AG28671" s="831" t="s">
        <v>2674</v>
      </c>
      <c r="AH28671" s="831" t="s">
        <v>192</v>
      </c>
      <c r="AI28671" s="831">
        <v>0</v>
      </c>
      <c r="AJ28671" s="835">
        <v>41305</v>
      </c>
      <c r="AK28671" s="831">
        <v>-10696839</v>
      </c>
    </row>
    <row r="28672" spans="32:37">
      <c r="AF28672" s="831" t="s">
        <v>10719</v>
      </c>
      <c r="AG28672" s="831" t="s">
        <v>2674</v>
      </c>
      <c r="AH28672" s="831" t="s">
        <v>558</v>
      </c>
      <c r="AI28672" s="831">
        <v>0</v>
      </c>
      <c r="AJ28672" s="835">
        <v>41305</v>
      </c>
      <c r="AK28672" s="831">
        <v>414604576</v>
      </c>
    </row>
    <row r="28673" spans="32:37">
      <c r="AF28673" s="831" t="s">
        <v>10720</v>
      </c>
      <c r="AG28673" s="831" t="s">
        <v>2674</v>
      </c>
      <c r="AH28673" s="831" t="s">
        <v>65</v>
      </c>
      <c r="AI28673" s="831">
        <v>0</v>
      </c>
      <c r="AJ28673" s="835">
        <v>41305</v>
      </c>
      <c r="AK28673" s="831">
        <v>9476383</v>
      </c>
    </row>
    <row r="28674" spans="32:37">
      <c r="AF28674" s="831" t="s">
        <v>10721</v>
      </c>
      <c r="AG28674" s="831" t="s">
        <v>2674</v>
      </c>
      <c r="AH28674" s="831" t="s">
        <v>89</v>
      </c>
      <c r="AI28674" s="831">
        <v>0</v>
      </c>
      <c r="AJ28674" s="835">
        <v>41305</v>
      </c>
      <c r="AK28674" s="831">
        <v>125947</v>
      </c>
    </row>
    <row r="28675" spans="32:37">
      <c r="AF28675" s="831" t="s">
        <v>10722</v>
      </c>
      <c r="AG28675" s="831" t="s">
        <v>2674</v>
      </c>
      <c r="AH28675" s="831" t="s">
        <v>557</v>
      </c>
      <c r="AI28675" s="831">
        <v>0</v>
      </c>
      <c r="AJ28675" s="835">
        <v>41305</v>
      </c>
      <c r="AK28675" s="831">
        <v>128972</v>
      </c>
    </row>
    <row r="28676" spans="32:37">
      <c r="AF28676" s="831" t="s">
        <v>10723</v>
      </c>
      <c r="AG28676" s="831" t="s">
        <v>2674</v>
      </c>
      <c r="AH28676" s="831" t="s">
        <v>29</v>
      </c>
      <c r="AI28676" s="831">
        <v>0</v>
      </c>
      <c r="AJ28676" s="835">
        <v>41305</v>
      </c>
      <c r="AK28676" s="831">
        <v>1949343</v>
      </c>
    </row>
    <row r="28677" spans="32:37">
      <c r="AF28677" s="831" t="s">
        <v>10724</v>
      </c>
      <c r="AG28677" s="831" t="s">
        <v>2674</v>
      </c>
      <c r="AH28677" s="831" t="s">
        <v>2688</v>
      </c>
      <c r="AI28677" s="831">
        <v>0</v>
      </c>
      <c r="AJ28677" s="835">
        <v>41305</v>
      </c>
      <c r="AK28677" s="831">
        <v>2693419</v>
      </c>
    </row>
    <row r="28678" spans="32:37">
      <c r="AF28678" s="831" t="s">
        <v>10725</v>
      </c>
      <c r="AG28678" s="831" t="s">
        <v>2674</v>
      </c>
      <c r="AH28678" s="831" t="s">
        <v>556</v>
      </c>
      <c r="AI28678" s="831">
        <v>0</v>
      </c>
      <c r="AJ28678" s="835">
        <v>41305</v>
      </c>
      <c r="AK28678" s="831">
        <v>902857</v>
      </c>
    </row>
    <row r="28679" spans="32:37">
      <c r="AF28679" s="831" t="s">
        <v>10726</v>
      </c>
      <c r="AG28679" s="831" t="s">
        <v>2674</v>
      </c>
      <c r="AH28679" s="831" t="s">
        <v>555</v>
      </c>
      <c r="AI28679" s="831">
        <v>0</v>
      </c>
      <c r="AJ28679" s="835">
        <v>41305</v>
      </c>
      <c r="AK28679" s="831">
        <v>261608550</v>
      </c>
    </row>
    <row r="28680" spans="32:37">
      <c r="AF28680" s="831" t="s">
        <v>10727</v>
      </c>
      <c r="AG28680" s="831" t="s">
        <v>2674</v>
      </c>
      <c r="AH28680" s="831" t="s">
        <v>554</v>
      </c>
      <c r="AI28680" s="831">
        <v>0</v>
      </c>
      <c r="AJ28680" s="835">
        <v>41305</v>
      </c>
      <c r="AK28680" s="831">
        <v>265544650</v>
      </c>
    </row>
    <row r="28681" spans="32:37">
      <c r="AF28681" s="831" t="s">
        <v>10728</v>
      </c>
      <c r="AG28681" s="831" t="s">
        <v>2674</v>
      </c>
      <c r="AH28681" s="831" t="s">
        <v>553</v>
      </c>
      <c r="AI28681" s="831">
        <v>0</v>
      </c>
      <c r="AJ28681" s="835">
        <v>41305</v>
      </c>
      <c r="AK28681" s="831">
        <v>0</v>
      </c>
    </row>
    <row r="28682" spans="32:37">
      <c r="AF28682" s="831" t="s">
        <v>10729</v>
      </c>
      <c r="AG28682" s="831" t="s">
        <v>2674</v>
      </c>
      <c r="AH28682" s="831" t="s">
        <v>552</v>
      </c>
      <c r="AI28682" s="831">
        <v>0</v>
      </c>
      <c r="AJ28682" s="835">
        <v>41305</v>
      </c>
      <c r="AK28682" s="831">
        <v>0</v>
      </c>
    </row>
    <row r="28683" spans="32:37">
      <c r="AF28683" s="831" t="s">
        <v>10730</v>
      </c>
      <c r="AG28683" s="831" t="s">
        <v>2674</v>
      </c>
      <c r="AH28683" s="831" t="s">
        <v>551</v>
      </c>
      <c r="AI28683" s="831">
        <v>0</v>
      </c>
      <c r="AJ28683" s="835">
        <v>41305</v>
      </c>
      <c r="AK28683" s="831">
        <v>1906076</v>
      </c>
    </row>
    <row r="28684" spans="32:37">
      <c r="AF28684" s="831" t="s">
        <v>10731</v>
      </c>
      <c r="AG28684" s="831" t="s">
        <v>2674</v>
      </c>
      <c r="AH28684" s="831" t="s">
        <v>550</v>
      </c>
      <c r="AI28684" s="831">
        <v>0</v>
      </c>
      <c r="AJ28684" s="835">
        <v>41305</v>
      </c>
      <c r="AK28684" s="831">
        <v>101162875</v>
      </c>
    </row>
    <row r="28685" spans="32:37">
      <c r="AF28685" s="831" t="s">
        <v>10732</v>
      </c>
      <c r="AG28685" s="831" t="s">
        <v>2674</v>
      </c>
      <c r="AH28685" s="831" t="s">
        <v>562</v>
      </c>
      <c r="AI28685" s="831">
        <v>0</v>
      </c>
      <c r="AJ28685" s="835">
        <v>41305</v>
      </c>
      <c r="AK28685" s="831">
        <v>0.78385000000000005</v>
      </c>
    </row>
    <row r="28686" spans="32:37">
      <c r="AF28686" s="831" t="s">
        <v>10733</v>
      </c>
      <c r="AG28686" s="831" t="s">
        <v>2674</v>
      </c>
      <c r="AH28686" s="831" t="s">
        <v>2698</v>
      </c>
      <c r="AI28686" s="831">
        <v>0</v>
      </c>
      <c r="AJ28686" s="835">
        <v>41305</v>
      </c>
      <c r="AK28686" s="831">
        <v>0.78400000000000003</v>
      </c>
    </row>
    <row r="28687" spans="32:37">
      <c r="AF28687" s="831" t="s">
        <v>10734</v>
      </c>
      <c r="AG28687" s="831" t="s">
        <v>2674</v>
      </c>
      <c r="AH28687" s="831" t="s">
        <v>560</v>
      </c>
      <c r="AI28687" s="831">
        <v>0</v>
      </c>
      <c r="AJ28687" s="835">
        <v>41305</v>
      </c>
      <c r="AK28687" s="831">
        <v>0.78385000000000005</v>
      </c>
    </row>
    <row r="28688" spans="32:37">
      <c r="AF28688" s="831" t="s">
        <v>10735</v>
      </c>
      <c r="AG28688" s="831" t="s">
        <v>2674</v>
      </c>
      <c r="AH28688" s="831" t="s">
        <v>559</v>
      </c>
      <c r="AI28688" s="831">
        <v>0</v>
      </c>
      <c r="AJ28688" s="835">
        <v>41305</v>
      </c>
      <c r="AK28688" s="831">
        <v>0.78486250000000002</v>
      </c>
    </row>
    <row r="28689" spans="32:37">
      <c r="AF28689" s="831" t="s">
        <v>10736</v>
      </c>
      <c r="AG28689" s="831" t="s">
        <v>2674</v>
      </c>
      <c r="AH28689" s="831" t="s">
        <v>568</v>
      </c>
      <c r="AI28689" s="831">
        <v>0</v>
      </c>
      <c r="AJ28689" s="835">
        <v>41305</v>
      </c>
      <c r="AK28689" s="831">
        <v>373888864.66666669</v>
      </c>
    </row>
    <row r="28690" spans="32:37">
      <c r="AF28690" s="831" t="s">
        <v>10737</v>
      </c>
      <c r="AG28690" s="831" t="s">
        <v>2674</v>
      </c>
      <c r="AH28690" s="831" t="s">
        <v>569</v>
      </c>
      <c r="AI28690" s="831">
        <v>0</v>
      </c>
      <c r="AJ28690" s="835">
        <v>41305</v>
      </c>
      <c r="AK28690" s="831">
        <v>458979290.77777779</v>
      </c>
    </row>
    <row r="28691" spans="32:37">
      <c r="AF28691" s="831" t="s">
        <v>10738</v>
      </c>
      <c r="AG28691" s="831" t="s">
        <v>2674</v>
      </c>
      <c r="AH28691" s="831" t="s">
        <v>570</v>
      </c>
      <c r="AI28691" s="831">
        <v>0</v>
      </c>
      <c r="AJ28691" s="835">
        <v>41305</v>
      </c>
      <c r="AK28691" s="831">
        <v>96420088.555555552</v>
      </c>
    </row>
    <row r="28692" spans="32:37">
      <c r="AF28692" s="831" t="s">
        <v>10739</v>
      </c>
      <c r="AG28692" s="831" t="s">
        <v>2674</v>
      </c>
      <c r="AH28692" s="831" t="s">
        <v>571</v>
      </c>
      <c r="AI28692" s="831">
        <v>0</v>
      </c>
      <c r="AJ28692" s="835">
        <v>41305</v>
      </c>
      <c r="AK28692" s="831">
        <v>187471539.44444445</v>
      </c>
    </row>
    <row r="28693" spans="32:37">
      <c r="AF28693" s="831" t="s">
        <v>10740</v>
      </c>
      <c r="AG28693" s="831" t="s">
        <v>2674</v>
      </c>
      <c r="AH28693" s="831" t="s">
        <v>573</v>
      </c>
      <c r="AI28693" s="831">
        <v>0</v>
      </c>
      <c r="AJ28693" s="835">
        <v>41305</v>
      </c>
      <c r="AK28693" s="831">
        <v>513378335</v>
      </c>
    </row>
    <row r="28694" spans="32:37">
      <c r="AF28694" s="831" t="s">
        <v>10741</v>
      </c>
      <c r="AG28694" s="831" t="s">
        <v>2674</v>
      </c>
      <c r="AH28694" s="831" t="s">
        <v>574</v>
      </c>
      <c r="AI28694" s="831">
        <v>0</v>
      </c>
      <c r="AJ28694" s="835">
        <v>41305</v>
      </c>
      <c r="AK28694" s="831">
        <v>416588703.5</v>
      </c>
    </row>
    <row r="28695" spans="32:37">
      <c r="AF28695" s="831" t="s">
        <v>10742</v>
      </c>
      <c r="AG28695" s="831" t="s">
        <v>2674</v>
      </c>
      <c r="AH28695" s="831" t="s">
        <v>575</v>
      </c>
      <c r="AI28695" s="831">
        <v>0</v>
      </c>
      <c r="AJ28695" s="835">
        <v>41305</v>
      </c>
      <c r="AK28695" s="831">
        <v>99023029.5</v>
      </c>
    </row>
    <row r="28696" spans="32:37">
      <c r="AF28696" s="831" t="s">
        <v>10743</v>
      </c>
      <c r="AG28696" s="831" t="s">
        <v>2674</v>
      </c>
      <c r="AH28696" s="831" t="s">
        <v>576</v>
      </c>
      <c r="AI28696" s="831">
        <v>0</v>
      </c>
      <c r="AJ28696" s="835">
        <v>41305</v>
      </c>
      <c r="AK28696" s="831">
        <v>233642368.5</v>
      </c>
    </row>
    <row r="28697" spans="32:37">
      <c r="AF28697" s="831" t="s">
        <v>10744</v>
      </c>
      <c r="AG28697" s="831" t="s">
        <v>2674</v>
      </c>
      <c r="AH28697" s="831" t="s">
        <v>572</v>
      </c>
      <c r="AI28697" s="831">
        <v>0</v>
      </c>
      <c r="AJ28697" s="835">
        <v>41305</v>
      </c>
      <c r="AK28697" s="831">
        <v>-2146826246</v>
      </c>
    </row>
    <row r="28698" spans="32:37">
      <c r="AF28698" s="831" t="s">
        <v>10745</v>
      </c>
      <c r="AG28698" s="831" t="s">
        <v>2674</v>
      </c>
      <c r="AH28698" s="831" t="s">
        <v>577</v>
      </c>
      <c r="AI28698" s="831">
        <v>0</v>
      </c>
      <c r="AJ28698" s="835">
        <v>41305</v>
      </c>
      <c r="AK28698" s="831">
        <v>-2146826246</v>
      </c>
    </row>
    <row r="28699" spans="32:37">
      <c r="AF28699" s="831" t="s">
        <v>10746</v>
      </c>
      <c r="AG28699" s="831" t="s">
        <v>2674</v>
      </c>
      <c r="AH28699" s="831" t="s">
        <v>3042</v>
      </c>
      <c r="AI28699" s="831">
        <v>0</v>
      </c>
      <c r="AJ28699" s="835">
        <v>41305</v>
      </c>
      <c r="AK28699" s="831">
        <v>-2146826246</v>
      </c>
    </row>
    <row r="28700" spans="32:37">
      <c r="AF28700" s="831" t="s">
        <v>10747</v>
      </c>
      <c r="AG28700" s="831" t="s">
        <v>2674</v>
      </c>
      <c r="AH28700" s="831" t="s">
        <v>3044</v>
      </c>
      <c r="AI28700" s="831">
        <v>0</v>
      </c>
      <c r="AJ28700" s="835">
        <v>41305</v>
      </c>
      <c r="AK28700" s="831">
        <v>-2146826246</v>
      </c>
    </row>
    <row r="28701" spans="32:37">
      <c r="AF28701" s="831" t="s">
        <v>10748</v>
      </c>
      <c r="AG28701" s="831" t="s">
        <v>2674</v>
      </c>
      <c r="AH28701" s="831" t="s">
        <v>580</v>
      </c>
      <c r="AI28701" s="831">
        <v>0</v>
      </c>
      <c r="AJ28701" s="835">
        <v>41305</v>
      </c>
      <c r="AK28701" s="831">
        <v>-2146826246</v>
      </c>
    </row>
    <row r="28702" spans="32:37">
      <c r="AF28702" s="831" t="s">
        <v>10749</v>
      </c>
      <c r="AG28702" s="831" t="s">
        <v>2674</v>
      </c>
      <c r="AH28702" s="831" t="s">
        <v>581</v>
      </c>
      <c r="AI28702" s="831">
        <v>0</v>
      </c>
      <c r="AJ28702" s="835">
        <v>41305</v>
      </c>
      <c r="AK28702" s="831">
        <v>-2146826246</v>
      </c>
    </row>
    <row r="28703" spans="32:37">
      <c r="AF28703" s="831" t="s">
        <v>10750</v>
      </c>
      <c r="AG28703" s="831" t="s">
        <v>2674</v>
      </c>
      <c r="AH28703" s="831" t="s">
        <v>105</v>
      </c>
      <c r="AI28703" s="831">
        <v>0</v>
      </c>
      <c r="AJ28703" s="835">
        <v>41305</v>
      </c>
      <c r="AK28703" s="831">
        <v>229704611</v>
      </c>
    </row>
    <row r="28704" spans="32:37">
      <c r="AF28704" s="831" t="s">
        <v>10751</v>
      </c>
      <c r="AG28704" s="831" t="s">
        <v>2674</v>
      </c>
      <c r="AH28704" s="831" t="s">
        <v>3049</v>
      </c>
      <c r="AI28704" s="831">
        <v>0</v>
      </c>
      <c r="AJ28704" s="835">
        <v>41305</v>
      </c>
      <c r="AK28704" s="831">
        <v>400579663</v>
      </c>
    </row>
    <row r="28705" spans="32:37">
      <c r="AF28705" s="831" t="s">
        <v>10752</v>
      </c>
      <c r="AG28705" s="831" t="s">
        <v>2674</v>
      </c>
      <c r="AH28705" s="831" t="s">
        <v>103</v>
      </c>
      <c r="AI28705" s="831">
        <v>0</v>
      </c>
      <c r="AJ28705" s="835">
        <v>41305</v>
      </c>
      <c r="AK28705" s="831">
        <v>170875052</v>
      </c>
    </row>
    <row r="28706" spans="32:37">
      <c r="AF28706" s="831" t="s">
        <v>10753</v>
      </c>
      <c r="AG28706" s="831" t="s">
        <v>2674</v>
      </c>
      <c r="AH28706" s="831" t="s">
        <v>182</v>
      </c>
      <c r="AI28706" s="831">
        <v>0</v>
      </c>
      <c r="AJ28706" s="835">
        <v>41305</v>
      </c>
      <c r="AK28706" s="831">
        <v>57203676</v>
      </c>
    </row>
    <row r="28707" spans="32:37">
      <c r="AF28707" s="831" t="s">
        <v>10754</v>
      </c>
      <c r="AG28707" s="831" t="s">
        <v>2674</v>
      </c>
      <c r="AH28707" s="831" t="s">
        <v>6600</v>
      </c>
      <c r="AI28707" s="831">
        <v>0</v>
      </c>
      <c r="AJ28707" s="835">
        <v>41305</v>
      </c>
      <c r="AK28707" s="831">
        <v>-2146826246</v>
      </c>
    </row>
    <row r="28708" spans="32:37">
      <c r="AF28708" s="831" t="s">
        <v>10755</v>
      </c>
      <c r="AG28708" s="831" t="s">
        <v>2674</v>
      </c>
      <c r="AH28708" s="831" t="s">
        <v>6602</v>
      </c>
      <c r="AI28708" s="831">
        <v>0</v>
      </c>
      <c r="AJ28708" s="835">
        <v>41305</v>
      </c>
      <c r="AK28708" s="831">
        <v>2119961</v>
      </c>
    </row>
    <row r="28709" spans="32:37">
      <c r="AF28709" s="831" t="s">
        <v>10756</v>
      </c>
      <c r="AG28709" s="831" t="s">
        <v>2674</v>
      </c>
      <c r="AH28709" s="831" t="s">
        <v>650</v>
      </c>
      <c r="AI28709" s="831">
        <v>0</v>
      </c>
      <c r="AJ28709" s="835">
        <v>41305</v>
      </c>
      <c r="AK28709" s="831">
        <v>162276642.66666666</v>
      </c>
    </row>
    <row r="28710" spans="32:37">
      <c r="AF28710" s="831" t="s">
        <v>10757</v>
      </c>
      <c r="AG28710" s="831" t="s">
        <v>2674</v>
      </c>
      <c r="AH28710" s="831" t="s">
        <v>655</v>
      </c>
      <c r="AI28710" s="831">
        <v>0</v>
      </c>
      <c r="AJ28710" s="835">
        <v>41305</v>
      </c>
      <c r="AK28710" s="831">
        <v>1743639</v>
      </c>
    </row>
    <row r="28711" spans="32:37">
      <c r="AF28711" s="831" t="s">
        <v>10758</v>
      </c>
      <c r="AG28711" s="831" t="s">
        <v>2674</v>
      </c>
      <c r="AH28711" s="831" t="s">
        <v>546</v>
      </c>
      <c r="AI28711" s="831">
        <v>0</v>
      </c>
      <c r="AJ28711" s="835">
        <v>41333</v>
      </c>
      <c r="AK28711" s="831">
        <v>436810603</v>
      </c>
    </row>
    <row r="28712" spans="32:37">
      <c r="AF28712" s="831" t="s">
        <v>10759</v>
      </c>
      <c r="AG28712" s="831" t="s">
        <v>2674</v>
      </c>
      <c r="AH28712" s="831" t="s">
        <v>370</v>
      </c>
      <c r="AI28712" s="831">
        <v>0</v>
      </c>
      <c r="AJ28712" s="835">
        <v>41333</v>
      </c>
      <c r="AK28712" s="831">
        <v>522076176</v>
      </c>
    </row>
    <row r="28713" spans="32:37">
      <c r="AF28713" s="831" t="s">
        <v>10760</v>
      </c>
      <c r="AG28713" s="831" t="s">
        <v>2674</v>
      </c>
      <c r="AH28713" s="831" t="s">
        <v>126</v>
      </c>
      <c r="AI28713" s="831">
        <v>0</v>
      </c>
      <c r="AJ28713" s="835">
        <v>41333</v>
      </c>
      <c r="AK28713" s="831">
        <v>98581107</v>
      </c>
    </row>
    <row r="28714" spans="32:37">
      <c r="AF28714" s="831" t="s">
        <v>10761</v>
      </c>
      <c r="AG28714" s="831" t="s">
        <v>2674</v>
      </c>
      <c r="AH28714" s="831" t="s">
        <v>268</v>
      </c>
      <c r="AI28714" s="831">
        <v>0</v>
      </c>
      <c r="AJ28714" s="835">
        <v>41333</v>
      </c>
      <c r="AK28714" s="831">
        <v>3817884</v>
      </c>
    </row>
    <row r="28715" spans="32:37">
      <c r="AF28715" s="831" t="s">
        <v>10762</v>
      </c>
      <c r="AG28715" s="831" t="s">
        <v>2674</v>
      </c>
      <c r="AH28715" s="831" t="s">
        <v>547</v>
      </c>
      <c r="AI28715" s="831">
        <v>0</v>
      </c>
      <c r="AJ28715" s="835">
        <v>41333</v>
      </c>
      <c r="AK28715" s="831">
        <v>511487760</v>
      </c>
    </row>
    <row r="28716" spans="32:37">
      <c r="AF28716" s="831" t="s">
        <v>10763</v>
      </c>
      <c r="AG28716" s="831" t="s">
        <v>2674</v>
      </c>
      <c r="AH28716" s="831" t="s">
        <v>548</v>
      </c>
      <c r="AI28716" s="831">
        <v>0</v>
      </c>
      <c r="AJ28716" s="835">
        <v>41333</v>
      </c>
      <c r="AK28716" s="831">
        <v>96883184</v>
      </c>
    </row>
    <row r="28717" spans="32:37">
      <c r="AF28717" s="831" t="s">
        <v>10764</v>
      </c>
      <c r="AG28717" s="831" t="s">
        <v>2674</v>
      </c>
      <c r="AH28717" s="831" t="s">
        <v>549</v>
      </c>
      <c r="AI28717" s="831">
        <v>0</v>
      </c>
      <c r="AJ28717" s="835">
        <v>41333</v>
      </c>
      <c r="AK28717" s="831">
        <v>0</v>
      </c>
    </row>
    <row r="28718" spans="32:37">
      <c r="AF28718" s="831" t="s">
        <v>10765</v>
      </c>
      <c r="AG28718" s="831" t="s">
        <v>2674</v>
      </c>
      <c r="AH28718" s="831" t="s">
        <v>192</v>
      </c>
      <c r="AI28718" s="831">
        <v>0</v>
      </c>
      <c r="AJ28718" s="835">
        <v>41333</v>
      </c>
      <c r="AK28718" s="831">
        <v>-11285954</v>
      </c>
    </row>
    <row r="28719" spans="32:37">
      <c r="AF28719" s="831" t="s">
        <v>10766</v>
      </c>
      <c r="AG28719" s="831" t="s">
        <v>2674</v>
      </c>
      <c r="AH28719" s="831" t="s">
        <v>558</v>
      </c>
      <c r="AI28719" s="831">
        <v>0</v>
      </c>
      <c r="AJ28719" s="835">
        <v>41333</v>
      </c>
      <c r="AK28719" s="831">
        <v>423495069</v>
      </c>
    </row>
    <row r="28720" spans="32:37">
      <c r="AF28720" s="831" t="s">
        <v>10767</v>
      </c>
      <c r="AG28720" s="831" t="s">
        <v>2674</v>
      </c>
      <c r="AH28720" s="831" t="s">
        <v>65</v>
      </c>
      <c r="AI28720" s="831">
        <v>0</v>
      </c>
      <c r="AJ28720" s="835">
        <v>41333</v>
      </c>
      <c r="AK28720" s="831">
        <v>18985748</v>
      </c>
    </row>
    <row r="28721" spans="32:37">
      <c r="AF28721" s="831" t="s">
        <v>10768</v>
      </c>
      <c r="AG28721" s="831" t="s">
        <v>2674</v>
      </c>
      <c r="AH28721" s="831" t="s">
        <v>89</v>
      </c>
      <c r="AI28721" s="831">
        <v>0</v>
      </c>
      <c r="AJ28721" s="835">
        <v>41333</v>
      </c>
      <c r="AK28721" s="831">
        <v>127639</v>
      </c>
    </row>
    <row r="28722" spans="32:37">
      <c r="AF28722" s="831" t="s">
        <v>10769</v>
      </c>
      <c r="AG28722" s="831" t="s">
        <v>2674</v>
      </c>
      <c r="AH28722" s="831" t="s">
        <v>557</v>
      </c>
      <c r="AI28722" s="831">
        <v>0</v>
      </c>
      <c r="AJ28722" s="835">
        <v>41333</v>
      </c>
      <c r="AK28722" s="831">
        <v>130995</v>
      </c>
    </row>
    <row r="28723" spans="32:37">
      <c r="AF28723" s="831" t="s">
        <v>10770</v>
      </c>
      <c r="AG28723" s="831" t="s">
        <v>2674</v>
      </c>
      <c r="AH28723" s="831" t="s">
        <v>29</v>
      </c>
      <c r="AI28723" s="831">
        <v>0</v>
      </c>
      <c r="AJ28723" s="835">
        <v>41333</v>
      </c>
      <c r="AK28723" s="831">
        <v>2238797</v>
      </c>
    </row>
    <row r="28724" spans="32:37">
      <c r="AF28724" s="831" t="s">
        <v>10771</v>
      </c>
      <c r="AG28724" s="831" t="s">
        <v>2674</v>
      </c>
      <c r="AH28724" s="831" t="s">
        <v>2688</v>
      </c>
      <c r="AI28724" s="831">
        <v>0</v>
      </c>
      <c r="AJ28724" s="835">
        <v>41333</v>
      </c>
      <c r="AK28724" s="831">
        <v>2647738</v>
      </c>
    </row>
    <row r="28725" spans="32:37">
      <c r="AF28725" s="831" t="s">
        <v>10772</v>
      </c>
      <c r="AG28725" s="831" t="s">
        <v>2674</v>
      </c>
      <c r="AH28725" s="831" t="s">
        <v>556</v>
      </c>
      <c r="AI28725" s="831">
        <v>0</v>
      </c>
      <c r="AJ28725" s="835">
        <v>41333</v>
      </c>
      <c r="AK28725" s="831">
        <v>902857</v>
      </c>
    </row>
    <row r="28726" spans="32:37">
      <c r="AF28726" s="831" t="s">
        <v>10773</v>
      </c>
      <c r="AG28726" s="831" t="s">
        <v>2674</v>
      </c>
      <c r="AH28726" s="831" t="s">
        <v>555</v>
      </c>
      <c r="AI28726" s="831">
        <v>0</v>
      </c>
      <c r="AJ28726" s="835">
        <v>41333</v>
      </c>
      <c r="AK28726" s="831">
        <v>267734690</v>
      </c>
    </row>
    <row r="28727" spans="32:37">
      <c r="AF28727" s="831" t="s">
        <v>10774</v>
      </c>
      <c r="AG28727" s="831" t="s">
        <v>2674</v>
      </c>
      <c r="AH28727" s="831" t="s">
        <v>554</v>
      </c>
      <c r="AI28727" s="831">
        <v>0</v>
      </c>
      <c r="AJ28727" s="835">
        <v>41333</v>
      </c>
      <c r="AK28727" s="831">
        <v>272030190</v>
      </c>
    </row>
    <row r="28728" spans="32:37">
      <c r="AF28728" s="831" t="s">
        <v>10775</v>
      </c>
      <c r="AG28728" s="831" t="s">
        <v>2674</v>
      </c>
      <c r="AH28728" s="831" t="s">
        <v>553</v>
      </c>
      <c r="AI28728" s="831">
        <v>0</v>
      </c>
      <c r="AJ28728" s="835">
        <v>41333</v>
      </c>
      <c r="AK28728" s="831">
        <v>0</v>
      </c>
    </row>
    <row r="28729" spans="32:37">
      <c r="AF28729" s="831" t="s">
        <v>10776</v>
      </c>
      <c r="AG28729" s="831" t="s">
        <v>2674</v>
      </c>
      <c r="AH28729" s="831" t="s">
        <v>552</v>
      </c>
      <c r="AI28729" s="831">
        <v>0</v>
      </c>
      <c r="AJ28729" s="835">
        <v>41333</v>
      </c>
      <c r="AK28729" s="831">
        <v>0</v>
      </c>
    </row>
    <row r="28730" spans="32:37">
      <c r="AF28730" s="831" t="s">
        <v>10777</v>
      </c>
      <c r="AG28730" s="831" t="s">
        <v>2674</v>
      </c>
      <c r="AH28730" s="831" t="s">
        <v>551</v>
      </c>
      <c r="AI28730" s="831">
        <v>0</v>
      </c>
      <c r="AJ28730" s="835">
        <v>41333</v>
      </c>
      <c r="AK28730" s="831">
        <v>1930398</v>
      </c>
    </row>
    <row r="28731" spans="32:37">
      <c r="AF28731" s="831" t="s">
        <v>10778</v>
      </c>
      <c r="AG28731" s="831" t="s">
        <v>2674</v>
      </c>
      <c r="AH28731" s="831" t="s">
        <v>550</v>
      </c>
      <c r="AI28731" s="831">
        <v>0</v>
      </c>
      <c r="AJ28731" s="835">
        <v>41333</v>
      </c>
      <c r="AK28731" s="831">
        <v>96883184</v>
      </c>
    </row>
    <row r="28732" spans="32:37">
      <c r="AF28732" s="831" t="s">
        <v>10779</v>
      </c>
      <c r="AG28732" s="831" t="s">
        <v>2674</v>
      </c>
      <c r="AH28732" s="831" t="s">
        <v>562</v>
      </c>
      <c r="AI28732" s="831">
        <v>0</v>
      </c>
      <c r="AJ28732" s="835">
        <v>41333</v>
      </c>
      <c r="AK28732" s="831">
        <v>0.78434999999999999</v>
      </c>
    </row>
    <row r="28733" spans="32:37">
      <c r="AF28733" s="831" t="s">
        <v>10780</v>
      </c>
      <c r="AG28733" s="831" t="s">
        <v>2674</v>
      </c>
      <c r="AH28733" s="831" t="s">
        <v>2698</v>
      </c>
      <c r="AI28733" s="831">
        <v>0</v>
      </c>
      <c r="AJ28733" s="835">
        <v>41333</v>
      </c>
      <c r="AK28733" s="831">
        <v>0.78385000000000005</v>
      </c>
    </row>
    <row r="28734" spans="32:37">
      <c r="AF28734" s="831" t="s">
        <v>10781</v>
      </c>
      <c r="AG28734" s="831" t="s">
        <v>2674</v>
      </c>
      <c r="AH28734" s="831" t="s">
        <v>560</v>
      </c>
      <c r="AI28734" s="831">
        <v>0</v>
      </c>
      <c r="AJ28734" s="835">
        <v>41333</v>
      </c>
      <c r="AK28734" s="831">
        <v>0.78410000000000002</v>
      </c>
    </row>
    <row r="28735" spans="32:37">
      <c r="AF28735" s="831" t="s">
        <v>10782</v>
      </c>
      <c r="AG28735" s="831" t="s">
        <v>2674</v>
      </c>
      <c r="AH28735" s="831" t="s">
        <v>559</v>
      </c>
      <c r="AI28735" s="831">
        <v>0</v>
      </c>
      <c r="AJ28735" s="835">
        <v>41333</v>
      </c>
      <c r="AK28735" s="831">
        <v>0.78474583333333314</v>
      </c>
    </row>
    <row r="28736" spans="32:37">
      <c r="AF28736" s="831" t="s">
        <v>10783</v>
      </c>
      <c r="AG28736" s="831" t="s">
        <v>2674</v>
      </c>
      <c r="AH28736" s="831" t="s">
        <v>568</v>
      </c>
      <c r="AI28736" s="831">
        <v>0</v>
      </c>
      <c r="AJ28736" s="835">
        <v>41333</v>
      </c>
      <c r="AK28736" s="831">
        <v>380181038.5</v>
      </c>
    </row>
    <row r="28737" spans="32:37">
      <c r="AF28737" s="831" t="s">
        <v>10784</v>
      </c>
      <c r="AG28737" s="831" t="s">
        <v>2674</v>
      </c>
      <c r="AH28737" s="831" t="s">
        <v>569</v>
      </c>
      <c r="AI28737" s="831">
        <v>0</v>
      </c>
      <c r="AJ28737" s="835">
        <v>41333</v>
      </c>
      <c r="AK28737" s="831">
        <v>465288979.30000001</v>
      </c>
    </row>
    <row r="28738" spans="32:37">
      <c r="AF28738" s="831" t="s">
        <v>10785</v>
      </c>
      <c r="AG28738" s="831" t="s">
        <v>2674</v>
      </c>
      <c r="AH28738" s="831" t="s">
        <v>570</v>
      </c>
      <c r="AI28738" s="831">
        <v>0</v>
      </c>
      <c r="AJ28738" s="835">
        <v>41333</v>
      </c>
      <c r="AK28738" s="831">
        <v>96636190.400000006</v>
      </c>
    </row>
    <row r="28739" spans="32:37">
      <c r="AF28739" s="831" t="s">
        <v>10786</v>
      </c>
      <c r="AG28739" s="831" t="s">
        <v>2674</v>
      </c>
      <c r="AH28739" s="831" t="s">
        <v>571</v>
      </c>
      <c r="AI28739" s="831">
        <v>0</v>
      </c>
      <c r="AJ28739" s="835">
        <v>41333</v>
      </c>
      <c r="AK28739" s="831">
        <v>192024019</v>
      </c>
    </row>
    <row r="28740" spans="32:37">
      <c r="AF28740" s="831" t="s">
        <v>10787</v>
      </c>
      <c r="AG28740" s="831" t="s">
        <v>2674</v>
      </c>
      <c r="AH28740" s="831" t="s">
        <v>573</v>
      </c>
      <c r="AI28740" s="831">
        <v>0</v>
      </c>
      <c r="AJ28740" s="835">
        <v>41333</v>
      </c>
      <c r="AK28740" s="831">
        <v>516277615.33333331</v>
      </c>
    </row>
    <row r="28741" spans="32:37">
      <c r="AF28741" s="831" t="s">
        <v>10788</v>
      </c>
      <c r="AG28741" s="831" t="s">
        <v>2674</v>
      </c>
      <c r="AH28741" s="831" t="s">
        <v>574</v>
      </c>
      <c r="AI28741" s="831">
        <v>0</v>
      </c>
      <c r="AJ28741" s="835">
        <v>41333</v>
      </c>
      <c r="AK28741" s="831">
        <v>423329336.66666669</v>
      </c>
    </row>
    <row r="28742" spans="32:37">
      <c r="AF28742" s="831" t="s">
        <v>10789</v>
      </c>
      <c r="AG28742" s="831" t="s">
        <v>2674</v>
      </c>
      <c r="AH28742" s="831" t="s">
        <v>575</v>
      </c>
      <c r="AI28742" s="831">
        <v>0</v>
      </c>
      <c r="AJ28742" s="835">
        <v>41333</v>
      </c>
      <c r="AK28742" s="831">
        <v>98875722</v>
      </c>
    </row>
    <row r="28743" spans="32:37">
      <c r="AF28743" s="831" t="s">
        <v>10790</v>
      </c>
      <c r="AG28743" s="831" t="s">
        <v>2674</v>
      </c>
      <c r="AH28743" s="831" t="s">
        <v>576</v>
      </c>
      <c r="AI28743" s="831">
        <v>0</v>
      </c>
      <c r="AJ28743" s="835">
        <v>41333</v>
      </c>
      <c r="AK28743" s="831">
        <v>233427024</v>
      </c>
    </row>
    <row r="28744" spans="32:37">
      <c r="AF28744" s="831" t="s">
        <v>10791</v>
      </c>
      <c r="AG28744" s="831" t="s">
        <v>2674</v>
      </c>
      <c r="AH28744" s="831" t="s">
        <v>572</v>
      </c>
      <c r="AI28744" s="831">
        <v>0</v>
      </c>
      <c r="AJ28744" s="835">
        <v>41333</v>
      </c>
      <c r="AK28744" s="831">
        <v>-2146826246</v>
      </c>
    </row>
    <row r="28745" spans="32:37">
      <c r="AF28745" s="831" t="s">
        <v>10792</v>
      </c>
      <c r="AG28745" s="831" t="s">
        <v>2674</v>
      </c>
      <c r="AH28745" s="831" t="s">
        <v>577</v>
      </c>
      <c r="AI28745" s="831">
        <v>0</v>
      </c>
      <c r="AJ28745" s="835">
        <v>41333</v>
      </c>
      <c r="AK28745" s="831">
        <v>-2146826246</v>
      </c>
    </row>
    <row r="28746" spans="32:37">
      <c r="AF28746" s="831" t="s">
        <v>10793</v>
      </c>
      <c r="AG28746" s="831" t="s">
        <v>2674</v>
      </c>
      <c r="AH28746" s="831" t="s">
        <v>3042</v>
      </c>
      <c r="AI28746" s="831">
        <v>0</v>
      </c>
      <c r="AJ28746" s="835">
        <v>41333</v>
      </c>
      <c r="AK28746" s="831">
        <v>-2146826246</v>
      </c>
    </row>
    <row r="28747" spans="32:37">
      <c r="AF28747" s="831" t="s">
        <v>10794</v>
      </c>
      <c r="AG28747" s="831" t="s">
        <v>2674</v>
      </c>
      <c r="AH28747" s="831" t="s">
        <v>3044</v>
      </c>
      <c r="AI28747" s="831">
        <v>0</v>
      </c>
      <c r="AJ28747" s="835">
        <v>41333</v>
      </c>
      <c r="AK28747" s="831">
        <v>-2146826246</v>
      </c>
    </row>
    <row r="28748" spans="32:37">
      <c r="AF28748" s="831" t="s">
        <v>10795</v>
      </c>
      <c r="AG28748" s="831" t="s">
        <v>2674</v>
      </c>
      <c r="AH28748" s="831" t="s">
        <v>580</v>
      </c>
      <c r="AI28748" s="831">
        <v>0</v>
      </c>
      <c r="AJ28748" s="835">
        <v>41333</v>
      </c>
      <c r="AK28748" s="831">
        <v>-2146826246</v>
      </c>
    </row>
    <row r="28749" spans="32:37">
      <c r="AF28749" s="831" t="s">
        <v>10796</v>
      </c>
      <c r="AG28749" s="831" t="s">
        <v>2674</v>
      </c>
      <c r="AH28749" s="831" t="s">
        <v>581</v>
      </c>
      <c r="AI28749" s="831">
        <v>0</v>
      </c>
      <c r="AJ28749" s="835">
        <v>41333</v>
      </c>
      <c r="AK28749" s="831">
        <v>-2146826246</v>
      </c>
    </row>
    <row r="28750" spans="32:37">
      <c r="AF28750" s="831" t="s">
        <v>10797</v>
      </c>
      <c r="AG28750" s="831" t="s">
        <v>2674</v>
      </c>
      <c r="AH28750" s="831" t="s">
        <v>105</v>
      </c>
      <c r="AI28750" s="831">
        <v>0</v>
      </c>
      <c r="AJ28750" s="835">
        <v>41333</v>
      </c>
      <c r="AK28750" s="831">
        <v>232996335</v>
      </c>
    </row>
    <row r="28751" spans="32:37">
      <c r="AF28751" s="831" t="s">
        <v>10798</v>
      </c>
      <c r="AG28751" s="831" t="s">
        <v>2674</v>
      </c>
      <c r="AH28751" s="831" t="s">
        <v>3049</v>
      </c>
      <c r="AI28751" s="831">
        <v>0</v>
      </c>
      <c r="AJ28751" s="835">
        <v>41333</v>
      </c>
      <c r="AK28751" s="831">
        <v>409742104</v>
      </c>
    </row>
    <row r="28752" spans="32:37">
      <c r="AF28752" s="831" t="s">
        <v>10799</v>
      </c>
      <c r="AG28752" s="831" t="s">
        <v>2674</v>
      </c>
      <c r="AH28752" s="831" t="s">
        <v>103</v>
      </c>
      <c r="AI28752" s="831">
        <v>0</v>
      </c>
      <c r="AJ28752" s="835">
        <v>41333</v>
      </c>
      <c r="AK28752" s="831">
        <v>176745769</v>
      </c>
    </row>
    <row r="28753" spans="32:37">
      <c r="AF28753" s="831" t="s">
        <v>10800</v>
      </c>
      <c r="AG28753" s="831" t="s">
        <v>2674</v>
      </c>
      <c r="AH28753" s="831" t="s">
        <v>182</v>
      </c>
      <c r="AI28753" s="831">
        <v>0</v>
      </c>
      <c r="AJ28753" s="835">
        <v>41333</v>
      </c>
      <c r="AK28753" s="831">
        <v>55637232</v>
      </c>
    </row>
    <row r="28754" spans="32:37">
      <c r="AF28754" s="831" t="s">
        <v>10801</v>
      </c>
      <c r="AG28754" s="831" t="s">
        <v>2674</v>
      </c>
      <c r="AH28754" s="831" t="s">
        <v>6600</v>
      </c>
      <c r="AI28754" s="831">
        <v>0</v>
      </c>
      <c r="AJ28754" s="835">
        <v>41333</v>
      </c>
      <c r="AK28754" s="831">
        <v>-2146826246</v>
      </c>
    </row>
    <row r="28755" spans="32:37">
      <c r="AF28755" s="831" t="s">
        <v>10802</v>
      </c>
      <c r="AG28755" s="831" t="s">
        <v>2674</v>
      </c>
      <c r="AH28755" s="831" t="s">
        <v>6602</v>
      </c>
      <c r="AI28755" s="831">
        <v>0</v>
      </c>
      <c r="AJ28755" s="835">
        <v>41333</v>
      </c>
      <c r="AK28755" s="831">
        <v>3817884</v>
      </c>
    </row>
    <row r="28756" spans="32:37">
      <c r="AF28756" s="831" t="s">
        <v>10803</v>
      </c>
      <c r="AG28756" s="831" t="s">
        <v>2674</v>
      </c>
      <c r="AH28756" s="831" t="s">
        <v>650</v>
      </c>
      <c r="AI28756" s="831">
        <v>0</v>
      </c>
      <c r="AJ28756" s="835">
        <v>41333</v>
      </c>
      <c r="AK28756" s="831">
        <v>163723555.30000001</v>
      </c>
    </row>
    <row r="28757" spans="32:37">
      <c r="AF28757" s="831" t="s">
        <v>10804</v>
      </c>
      <c r="AG28757" s="831" t="s">
        <v>2674</v>
      </c>
      <c r="AH28757" s="831" t="s">
        <v>655</v>
      </c>
      <c r="AI28757" s="831">
        <v>0</v>
      </c>
      <c r="AJ28757" s="835">
        <v>41333</v>
      </c>
      <c r="AK28757" s="831">
        <v>1851569</v>
      </c>
    </row>
    <row r="28758" spans="32:37">
      <c r="AF28758" s="831" t="s">
        <v>10805</v>
      </c>
      <c r="AG28758" s="831" t="s">
        <v>2674</v>
      </c>
      <c r="AH28758" s="831" t="s">
        <v>546</v>
      </c>
      <c r="AI28758" s="831">
        <v>0</v>
      </c>
      <c r="AJ28758" s="835">
        <v>41364</v>
      </c>
      <c r="AK28758" s="831">
        <v>455655641</v>
      </c>
    </row>
    <row r="28759" spans="32:37">
      <c r="AF28759" s="831" t="s">
        <v>10806</v>
      </c>
      <c r="AG28759" s="831" t="s">
        <v>2674</v>
      </c>
      <c r="AH28759" s="831" t="s">
        <v>370</v>
      </c>
      <c r="AI28759" s="831">
        <v>0</v>
      </c>
      <c r="AJ28759" s="835">
        <v>41364</v>
      </c>
      <c r="AK28759" s="831">
        <v>548973661</v>
      </c>
    </row>
    <row r="28760" spans="32:37">
      <c r="AF28760" s="831" t="s">
        <v>10807</v>
      </c>
      <c r="AG28760" s="831" t="s">
        <v>2674</v>
      </c>
      <c r="AH28760" s="831" t="s">
        <v>126</v>
      </c>
      <c r="AI28760" s="831">
        <v>0</v>
      </c>
      <c r="AJ28760" s="835">
        <v>41364</v>
      </c>
      <c r="AK28760" s="831">
        <v>100809389</v>
      </c>
    </row>
    <row r="28761" spans="32:37">
      <c r="AF28761" s="831" t="s">
        <v>10808</v>
      </c>
      <c r="AG28761" s="831" t="s">
        <v>2674</v>
      </c>
      <c r="AH28761" s="831" t="s">
        <v>268</v>
      </c>
      <c r="AI28761" s="831">
        <v>0</v>
      </c>
      <c r="AJ28761" s="835">
        <v>41364</v>
      </c>
      <c r="AK28761" s="831">
        <v>6046166</v>
      </c>
    </row>
    <row r="28762" spans="32:37">
      <c r="AF28762" s="831" t="s">
        <v>10809</v>
      </c>
      <c r="AG28762" s="831" t="s">
        <v>2674</v>
      </c>
      <c r="AH28762" s="831" t="s">
        <v>547</v>
      </c>
      <c r="AI28762" s="831">
        <v>0</v>
      </c>
      <c r="AJ28762" s="835">
        <v>41364</v>
      </c>
      <c r="AK28762" s="831">
        <v>511487760</v>
      </c>
    </row>
    <row r="28763" spans="32:37">
      <c r="AF28763" s="831" t="s">
        <v>10810</v>
      </c>
      <c r="AG28763" s="831" t="s">
        <v>2674</v>
      </c>
      <c r="AH28763" s="831" t="s">
        <v>548</v>
      </c>
      <c r="AI28763" s="831">
        <v>0</v>
      </c>
      <c r="AJ28763" s="835">
        <v>41364</v>
      </c>
      <c r="AK28763" s="831">
        <v>96883184</v>
      </c>
    </row>
    <row r="28764" spans="32:37">
      <c r="AF28764" s="831" t="s">
        <v>10811</v>
      </c>
      <c r="AG28764" s="831" t="s">
        <v>2674</v>
      </c>
      <c r="AH28764" s="831" t="s">
        <v>549</v>
      </c>
      <c r="AI28764" s="831">
        <v>0</v>
      </c>
      <c r="AJ28764" s="835">
        <v>41364</v>
      </c>
      <c r="AK28764" s="831">
        <v>0</v>
      </c>
    </row>
    <row r="28765" spans="32:37">
      <c r="AF28765" s="831" t="s">
        <v>10812</v>
      </c>
      <c r="AG28765" s="831" t="s">
        <v>2674</v>
      </c>
      <c r="AH28765" s="831" t="s">
        <v>192</v>
      </c>
      <c r="AI28765" s="831">
        <v>0</v>
      </c>
      <c r="AJ28765" s="835">
        <v>41364</v>
      </c>
      <c r="AK28765" s="831">
        <v>-11725074</v>
      </c>
    </row>
    <row r="28766" spans="32:37">
      <c r="AF28766" s="831" t="s">
        <v>10813</v>
      </c>
      <c r="AG28766" s="831" t="s">
        <v>2674</v>
      </c>
      <c r="AH28766" s="831" t="s">
        <v>558</v>
      </c>
      <c r="AI28766" s="831">
        <v>0</v>
      </c>
      <c r="AJ28766" s="835">
        <v>41364</v>
      </c>
      <c r="AK28766" s="831">
        <v>448164272</v>
      </c>
    </row>
    <row r="28767" spans="32:37">
      <c r="AF28767" s="831" t="s">
        <v>10814</v>
      </c>
      <c r="AG28767" s="831" t="s">
        <v>2674</v>
      </c>
      <c r="AH28767" s="831" t="s">
        <v>65</v>
      </c>
      <c r="AI28767" s="831">
        <v>0</v>
      </c>
      <c r="AJ28767" s="835">
        <v>41364</v>
      </c>
      <c r="AK28767" s="831">
        <v>27883165</v>
      </c>
    </row>
    <row r="28768" spans="32:37">
      <c r="AF28768" s="831" t="s">
        <v>10815</v>
      </c>
      <c r="AG28768" s="831" t="s">
        <v>2674</v>
      </c>
      <c r="AH28768" s="831" t="s">
        <v>89</v>
      </c>
      <c r="AI28768" s="831">
        <v>0</v>
      </c>
      <c r="AJ28768" s="835">
        <v>41364</v>
      </c>
      <c r="AK28768" s="831">
        <v>129296</v>
      </c>
    </row>
    <row r="28769" spans="32:37">
      <c r="AF28769" s="831" t="s">
        <v>10816</v>
      </c>
      <c r="AG28769" s="831" t="s">
        <v>2674</v>
      </c>
      <c r="AH28769" s="831" t="s">
        <v>557</v>
      </c>
      <c r="AI28769" s="831">
        <v>0</v>
      </c>
      <c r="AJ28769" s="835">
        <v>41364</v>
      </c>
      <c r="AK28769" s="831">
        <v>133005</v>
      </c>
    </row>
    <row r="28770" spans="32:37">
      <c r="AF28770" s="831" t="s">
        <v>10817</v>
      </c>
      <c r="AG28770" s="831" t="s">
        <v>2674</v>
      </c>
      <c r="AH28770" s="831" t="s">
        <v>29</v>
      </c>
      <c r="AI28770" s="831">
        <v>0</v>
      </c>
      <c r="AJ28770" s="835">
        <v>41364</v>
      </c>
      <c r="AK28770" s="831">
        <v>2674773</v>
      </c>
    </row>
    <row r="28771" spans="32:37">
      <c r="AF28771" s="831" t="s">
        <v>10818</v>
      </c>
      <c r="AG28771" s="831" t="s">
        <v>2674</v>
      </c>
      <c r="AH28771" s="831" t="s">
        <v>2688</v>
      </c>
      <c r="AI28771" s="831">
        <v>0</v>
      </c>
      <c r="AJ28771" s="835">
        <v>41364</v>
      </c>
      <c r="AK28771" s="831">
        <v>2715490</v>
      </c>
    </row>
    <row r="28772" spans="32:37">
      <c r="AF28772" s="831" t="s">
        <v>10819</v>
      </c>
      <c r="AG28772" s="831" t="s">
        <v>2674</v>
      </c>
      <c r="AH28772" s="831" t="s">
        <v>556</v>
      </c>
      <c r="AI28772" s="831">
        <v>0</v>
      </c>
      <c r="AJ28772" s="835">
        <v>41364</v>
      </c>
      <c r="AK28772" s="831">
        <v>902857</v>
      </c>
    </row>
    <row r="28773" spans="32:37">
      <c r="AF28773" s="831" t="s">
        <v>10820</v>
      </c>
      <c r="AG28773" s="831" t="s">
        <v>2674</v>
      </c>
      <c r="AH28773" s="831" t="s">
        <v>555</v>
      </c>
      <c r="AI28773" s="831">
        <v>0</v>
      </c>
      <c r="AJ28773" s="835">
        <v>41364</v>
      </c>
      <c r="AK28773" s="831">
        <v>285158930</v>
      </c>
    </row>
    <row r="28774" spans="32:37">
      <c r="AF28774" s="831" t="s">
        <v>10821</v>
      </c>
      <c r="AG28774" s="831" t="s">
        <v>2674</v>
      </c>
      <c r="AH28774" s="831" t="s">
        <v>554</v>
      </c>
      <c r="AI28774" s="831">
        <v>0</v>
      </c>
      <c r="AJ28774" s="835">
        <v>41364</v>
      </c>
      <c r="AK28774" s="831">
        <v>281381290</v>
      </c>
    </row>
    <row r="28775" spans="32:37">
      <c r="AF28775" s="831" t="s">
        <v>10822</v>
      </c>
      <c r="AG28775" s="831" t="s">
        <v>2674</v>
      </c>
      <c r="AH28775" s="831" t="s">
        <v>553</v>
      </c>
      <c r="AI28775" s="831">
        <v>0</v>
      </c>
      <c r="AJ28775" s="835">
        <v>41364</v>
      </c>
      <c r="AK28775" s="831">
        <v>0</v>
      </c>
    </row>
    <row r="28776" spans="32:37">
      <c r="AF28776" s="831" t="s">
        <v>10823</v>
      </c>
      <c r="AG28776" s="831" t="s">
        <v>2674</v>
      </c>
      <c r="AH28776" s="831" t="s">
        <v>552</v>
      </c>
      <c r="AI28776" s="831">
        <v>0</v>
      </c>
      <c r="AJ28776" s="835">
        <v>41364</v>
      </c>
      <c r="AK28776" s="831">
        <v>0</v>
      </c>
    </row>
    <row r="28777" spans="32:37">
      <c r="AF28777" s="831" t="s">
        <v>10824</v>
      </c>
      <c r="AG28777" s="831" t="s">
        <v>2674</v>
      </c>
      <c r="AH28777" s="831" t="s">
        <v>551</v>
      </c>
      <c r="AI28777" s="831">
        <v>0</v>
      </c>
      <c r="AJ28777" s="835">
        <v>41364</v>
      </c>
      <c r="AK28777" s="831">
        <v>2175856</v>
      </c>
    </row>
    <row r="28778" spans="32:37">
      <c r="AF28778" s="831" t="s">
        <v>10825</v>
      </c>
      <c r="AG28778" s="831" t="s">
        <v>2674</v>
      </c>
      <c r="AH28778" s="831" t="s">
        <v>550</v>
      </c>
      <c r="AI28778" s="831">
        <v>0</v>
      </c>
      <c r="AJ28778" s="835">
        <v>41364</v>
      </c>
      <c r="AK28778" s="831">
        <v>98581107</v>
      </c>
    </row>
    <row r="28779" spans="32:37">
      <c r="AF28779" s="831" t="s">
        <v>10826</v>
      </c>
      <c r="AG28779" s="831" t="s">
        <v>2674</v>
      </c>
      <c r="AH28779" s="831" t="s">
        <v>562</v>
      </c>
      <c r="AI28779" s="831">
        <v>0</v>
      </c>
      <c r="AJ28779" s="835">
        <v>41364</v>
      </c>
      <c r="AK28779" s="831">
        <v>0.78425</v>
      </c>
    </row>
    <row r="28780" spans="32:37">
      <c r="AF28780" s="831" t="s">
        <v>10827</v>
      </c>
      <c r="AG28780" s="831" t="s">
        <v>2674</v>
      </c>
      <c r="AH28780" s="831" t="s">
        <v>2698</v>
      </c>
      <c r="AI28780" s="831">
        <v>0</v>
      </c>
      <c r="AJ28780" s="835">
        <v>41364</v>
      </c>
      <c r="AK28780" s="831">
        <v>0.78434999999999999</v>
      </c>
    </row>
    <row r="28781" spans="32:37">
      <c r="AF28781" s="831" t="s">
        <v>10828</v>
      </c>
      <c r="AG28781" s="831" t="s">
        <v>2674</v>
      </c>
      <c r="AH28781" s="831" t="s">
        <v>560</v>
      </c>
      <c r="AI28781" s="831">
        <v>0</v>
      </c>
      <c r="AJ28781" s="835">
        <v>41364</v>
      </c>
      <c r="AK28781" s="831">
        <v>0.78415000000000001</v>
      </c>
    </row>
    <row r="28782" spans="32:37">
      <c r="AF28782" s="831" t="s">
        <v>10829</v>
      </c>
      <c r="AG28782" s="831" t="s">
        <v>2674</v>
      </c>
      <c r="AH28782" s="831" t="s">
        <v>559</v>
      </c>
      <c r="AI28782" s="831">
        <v>0</v>
      </c>
      <c r="AJ28782" s="835">
        <v>41364</v>
      </c>
      <c r="AK28782" s="831">
        <v>0.78459166666666669</v>
      </c>
    </row>
    <row r="28783" spans="32:37">
      <c r="AF28783" s="831" t="s">
        <v>10830</v>
      </c>
      <c r="AG28783" s="831" t="s">
        <v>2674</v>
      </c>
      <c r="AH28783" s="831" t="s">
        <v>568</v>
      </c>
      <c r="AI28783" s="831">
        <v>0</v>
      </c>
      <c r="AJ28783" s="835">
        <v>41364</v>
      </c>
      <c r="AK28783" s="831">
        <v>387042366</v>
      </c>
    </row>
    <row r="28784" spans="32:37">
      <c r="AF28784" s="831" t="s">
        <v>10831</v>
      </c>
      <c r="AG28784" s="831" t="s">
        <v>2674</v>
      </c>
      <c r="AH28784" s="831" t="s">
        <v>569</v>
      </c>
      <c r="AI28784" s="831">
        <v>0</v>
      </c>
      <c r="AJ28784" s="835">
        <v>41364</v>
      </c>
      <c r="AK28784" s="831">
        <v>472896677.63636363</v>
      </c>
    </row>
    <row r="28785" spans="32:37">
      <c r="AF28785" s="831" t="s">
        <v>10832</v>
      </c>
      <c r="AG28785" s="831" t="s">
        <v>2674</v>
      </c>
      <c r="AH28785" s="831" t="s">
        <v>570</v>
      </c>
      <c r="AI28785" s="831">
        <v>0</v>
      </c>
      <c r="AJ28785" s="835">
        <v>41364</v>
      </c>
      <c r="AK28785" s="831">
        <v>97015572.090909094</v>
      </c>
    </row>
    <row r="28786" spans="32:37">
      <c r="AF28786" s="831" t="s">
        <v>10833</v>
      </c>
      <c r="AG28786" s="831" t="s">
        <v>2674</v>
      </c>
      <c r="AH28786" s="831" t="s">
        <v>571</v>
      </c>
      <c r="AI28786" s="831">
        <v>0</v>
      </c>
      <c r="AJ28786" s="835">
        <v>41364</v>
      </c>
      <c r="AK28786" s="831">
        <v>197450778.09090909</v>
      </c>
    </row>
    <row r="28787" spans="32:37">
      <c r="AF28787" s="831" t="s">
        <v>10834</v>
      </c>
      <c r="AG28787" s="831" t="s">
        <v>2674</v>
      </c>
      <c r="AH28787" s="831" t="s">
        <v>573</v>
      </c>
      <c r="AI28787" s="831">
        <v>0</v>
      </c>
      <c r="AJ28787" s="835">
        <v>41364</v>
      </c>
      <c r="AK28787" s="831">
        <v>524451626.75</v>
      </c>
    </row>
    <row r="28788" spans="32:37">
      <c r="AF28788" s="831" t="s">
        <v>10835</v>
      </c>
      <c r="AG28788" s="831" t="s">
        <v>2674</v>
      </c>
      <c r="AH28788" s="831" t="s">
        <v>574</v>
      </c>
      <c r="AI28788" s="831">
        <v>0</v>
      </c>
      <c r="AJ28788" s="835">
        <v>41364</v>
      </c>
      <c r="AK28788" s="831">
        <v>431410912.75</v>
      </c>
    </row>
    <row r="28789" spans="32:37">
      <c r="AF28789" s="831" t="s">
        <v>10836</v>
      </c>
      <c r="AG28789" s="831" t="s">
        <v>2674</v>
      </c>
      <c r="AH28789" s="831" t="s">
        <v>575</v>
      </c>
      <c r="AI28789" s="831">
        <v>0</v>
      </c>
      <c r="AJ28789" s="835">
        <v>41364</v>
      </c>
      <c r="AK28789" s="831">
        <v>99359138.75</v>
      </c>
    </row>
    <row r="28790" spans="32:37">
      <c r="AF28790" s="831" t="s">
        <v>10837</v>
      </c>
      <c r="AG28790" s="831" t="s">
        <v>2674</v>
      </c>
      <c r="AH28790" s="831" t="s">
        <v>576</v>
      </c>
      <c r="AI28790" s="831">
        <v>0</v>
      </c>
      <c r="AJ28790" s="835">
        <v>41364</v>
      </c>
      <c r="AK28790" s="831">
        <v>237999860.25</v>
      </c>
    </row>
    <row r="28791" spans="32:37">
      <c r="AF28791" s="831" t="s">
        <v>10838</v>
      </c>
      <c r="AG28791" s="831" t="s">
        <v>2674</v>
      </c>
      <c r="AH28791" s="831" t="s">
        <v>572</v>
      </c>
      <c r="AI28791" s="831">
        <v>0</v>
      </c>
      <c r="AJ28791" s="835">
        <v>41364</v>
      </c>
      <c r="AK28791" s="831">
        <v>-2146826246</v>
      </c>
    </row>
    <row r="28792" spans="32:37">
      <c r="AF28792" s="831" t="s">
        <v>10839</v>
      </c>
      <c r="AG28792" s="831" t="s">
        <v>2674</v>
      </c>
      <c r="AH28792" s="831" t="s">
        <v>577</v>
      </c>
      <c r="AI28792" s="831">
        <v>0</v>
      </c>
      <c r="AJ28792" s="835">
        <v>41364</v>
      </c>
      <c r="AK28792" s="831">
        <v>-2146826246</v>
      </c>
    </row>
    <row r="28793" spans="32:37">
      <c r="AF28793" s="831" t="s">
        <v>10840</v>
      </c>
      <c r="AG28793" s="831" t="s">
        <v>2674</v>
      </c>
      <c r="AH28793" s="831" t="s">
        <v>3042</v>
      </c>
      <c r="AI28793" s="831">
        <v>0</v>
      </c>
      <c r="AJ28793" s="835">
        <v>41364</v>
      </c>
      <c r="AK28793" s="831">
        <v>-2146826246</v>
      </c>
    </row>
    <row r="28794" spans="32:37">
      <c r="AF28794" s="831" t="s">
        <v>10841</v>
      </c>
      <c r="AG28794" s="831" t="s">
        <v>2674</v>
      </c>
      <c r="AH28794" s="831" t="s">
        <v>3044</v>
      </c>
      <c r="AI28794" s="831">
        <v>0</v>
      </c>
      <c r="AJ28794" s="835">
        <v>41364</v>
      </c>
      <c r="AK28794" s="831">
        <v>-2146826246</v>
      </c>
    </row>
    <row r="28795" spans="32:37">
      <c r="AF28795" s="831" t="s">
        <v>10842</v>
      </c>
      <c r="AG28795" s="831" t="s">
        <v>2674</v>
      </c>
      <c r="AH28795" s="831" t="s">
        <v>580</v>
      </c>
      <c r="AI28795" s="831">
        <v>0</v>
      </c>
      <c r="AJ28795" s="835">
        <v>41364</v>
      </c>
      <c r="AK28795" s="831">
        <v>-2146826246</v>
      </c>
    </row>
    <row r="28796" spans="32:37">
      <c r="AF28796" s="831" t="s">
        <v>10843</v>
      </c>
      <c r="AG28796" s="831" t="s">
        <v>2674</v>
      </c>
      <c r="AH28796" s="831" t="s">
        <v>581</v>
      </c>
      <c r="AI28796" s="831">
        <v>0</v>
      </c>
      <c r="AJ28796" s="835">
        <v>41364</v>
      </c>
      <c r="AK28796" s="831">
        <v>-2146826246</v>
      </c>
    </row>
    <row r="28797" spans="32:37">
      <c r="AF28797" s="831" t="s">
        <v>10844</v>
      </c>
      <c r="AG28797" s="831" t="s">
        <v>2674</v>
      </c>
      <c r="AH28797" s="831" t="s">
        <v>105</v>
      </c>
      <c r="AI28797" s="831">
        <v>0</v>
      </c>
      <c r="AJ28797" s="835">
        <v>41364</v>
      </c>
      <c r="AK28797" s="831">
        <v>251718369</v>
      </c>
    </row>
    <row r="28798" spans="32:37">
      <c r="AF28798" s="831" t="s">
        <v>10845</v>
      </c>
      <c r="AG28798" s="831" t="s">
        <v>2674</v>
      </c>
      <c r="AH28798" s="831" t="s">
        <v>3049</v>
      </c>
      <c r="AI28798" s="831">
        <v>0</v>
      </c>
      <c r="AJ28798" s="835">
        <v>41364</v>
      </c>
      <c r="AK28798" s="831">
        <v>433573874</v>
      </c>
    </row>
    <row r="28799" spans="32:37">
      <c r="AF28799" s="831" t="s">
        <v>10846</v>
      </c>
      <c r="AG28799" s="831" t="s">
        <v>2674</v>
      </c>
      <c r="AH28799" s="831" t="s">
        <v>103</v>
      </c>
      <c r="AI28799" s="831">
        <v>0</v>
      </c>
      <c r="AJ28799" s="835">
        <v>41364</v>
      </c>
      <c r="AK28799" s="831">
        <v>181855505</v>
      </c>
    </row>
    <row r="28800" spans="32:37">
      <c r="AF28800" s="831" t="s">
        <v>10847</v>
      </c>
      <c r="AG28800" s="831" t="s">
        <v>2674</v>
      </c>
      <c r="AH28800" s="831" t="s">
        <v>182</v>
      </c>
      <c r="AI28800" s="831">
        <v>0</v>
      </c>
      <c r="AJ28800" s="835">
        <v>41364</v>
      </c>
      <c r="AK28800" s="831">
        <v>54931936</v>
      </c>
    </row>
    <row r="28801" spans="32:37">
      <c r="AF28801" s="831" t="s">
        <v>10848</v>
      </c>
      <c r="AG28801" s="831" t="s">
        <v>2674</v>
      </c>
      <c r="AH28801" s="831" t="s">
        <v>6600</v>
      </c>
      <c r="AI28801" s="831">
        <v>0</v>
      </c>
      <c r="AJ28801" s="835">
        <v>41364</v>
      </c>
      <c r="AK28801" s="831">
        <v>-2146826246</v>
      </c>
    </row>
    <row r="28802" spans="32:37">
      <c r="AF28802" s="831" t="s">
        <v>10849</v>
      </c>
      <c r="AG28802" s="831" t="s">
        <v>2674</v>
      </c>
      <c r="AH28802" s="831" t="s">
        <v>6602</v>
      </c>
      <c r="AI28802" s="831">
        <v>0</v>
      </c>
      <c r="AJ28802" s="835">
        <v>41364</v>
      </c>
      <c r="AK28802" s="831">
        <v>6046166</v>
      </c>
    </row>
    <row r="28803" spans="32:37">
      <c r="AF28803" s="831" t="s">
        <v>10850</v>
      </c>
      <c r="AG28803" s="831" t="s">
        <v>2674</v>
      </c>
      <c r="AH28803" s="831" t="s">
        <v>650</v>
      </c>
      <c r="AI28803" s="831">
        <v>0</v>
      </c>
      <c r="AJ28803" s="835">
        <v>41364</v>
      </c>
      <c r="AK28803" s="831">
        <v>165371914.36363637</v>
      </c>
    </row>
    <row r="28804" spans="32:37">
      <c r="AF28804" s="831" t="s">
        <v>10851</v>
      </c>
      <c r="AG28804" s="831" t="s">
        <v>2674</v>
      </c>
      <c r="AH28804" s="831" t="s">
        <v>655</v>
      </c>
      <c r="AI28804" s="831">
        <v>0</v>
      </c>
      <c r="AJ28804" s="835">
        <v>41364</v>
      </c>
      <c r="AK28804" s="831">
        <v>1831184</v>
      </c>
    </row>
    <row r="28805" spans="32:37">
      <c r="AF28805" s="831" t="s">
        <v>10852</v>
      </c>
      <c r="AG28805" s="831" t="s">
        <v>2674</v>
      </c>
      <c r="AH28805" s="831" t="s">
        <v>546</v>
      </c>
      <c r="AI28805" s="831">
        <v>0</v>
      </c>
      <c r="AJ28805" s="835">
        <v>41394</v>
      </c>
      <c r="AK28805" s="831">
        <v>479771222</v>
      </c>
    </row>
    <row r="28806" spans="32:37">
      <c r="AF28806" s="831" t="s">
        <v>10853</v>
      </c>
      <c r="AG28806" s="831" t="s">
        <v>2674</v>
      </c>
      <c r="AH28806" s="831" t="s">
        <v>370</v>
      </c>
      <c r="AI28806" s="831">
        <v>0</v>
      </c>
      <c r="AJ28806" s="835">
        <v>41394</v>
      </c>
      <c r="AK28806" s="831">
        <v>566329383</v>
      </c>
    </row>
    <row r="28807" spans="32:37">
      <c r="AF28807" s="831" t="s">
        <v>10854</v>
      </c>
      <c r="AG28807" s="831" t="s">
        <v>2674</v>
      </c>
      <c r="AH28807" s="831" t="s">
        <v>126</v>
      </c>
      <c r="AI28807" s="831">
        <v>0</v>
      </c>
      <c r="AJ28807" s="835">
        <v>41394</v>
      </c>
      <c r="AK28807" s="831">
        <v>103327866</v>
      </c>
    </row>
    <row r="28808" spans="32:37">
      <c r="AF28808" s="831" t="s">
        <v>10855</v>
      </c>
      <c r="AG28808" s="831" t="s">
        <v>2674</v>
      </c>
      <c r="AH28808" s="831" t="s">
        <v>268</v>
      </c>
      <c r="AI28808" s="831">
        <v>0</v>
      </c>
      <c r="AJ28808" s="835">
        <v>41394</v>
      </c>
      <c r="AK28808" s="831">
        <v>8564643</v>
      </c>
    </row>
    <row r="28809" spans="32:37">
      <c r="AF28809" s="831" t="s">
        <v>10856</v>
      </c>
      <c r="AG28809" s="831" t="s">
        <v>2674</v>
      </c>
      <c r="AH28809" s="831" t="s">
        <v>547</v>
      </c>
      <c r="AI28809" s="831">
        <v>0</v>
      </c>
      <c r="AJ28809" s="835">
        <v>41394</v>
      </c>
      <c r="AK28809" s="831">
        <v>511487760</v>
      </c>
    </row>
    <row r="28810" spans="32:37">
      <c r="AF28810" s="831" t="s">
        <v>10857</v>
      </c>
      <c r="AG28810" s="831" t="s">
        <v>2674</v>
      </c>
      <c r="AH28810" s="831" t="s">
        <v>548</v>
      </c>
      <c r="AI28810" s="831">
        <v>0</v>
      </c>
      <c r="AJ28810" s="835">
        <v>41394</v>
      </c>
      <c r="AK28810" s="831">
        <v>96883184</v>
      </c>
    </row>
    <row r="28811" spans="32:37">
      <c r="AF28811" s="831" t="s">
        <v>10858</v>
      </c>
      <c r="AG28811" s="831" t="s">
        <v>2674</v>
      </c>
      <c r="AH28811" s="831" t="s">
        <v>549</v>
      </c>
      <c r="AI28811" s="831">
        <v>0</v>
      </c>
      <c r="AJ28811" s="835">
        <v>41394</v>
      </c>
      <c r="AK28811" s="831">
        <v>0</v>
      </c>
    </row>
    <row r="28812" spans="32:37">
      <c r="AF28812" s="831" t="s">
        <v>10859</v>
      </c>
      <c r="AG28812" s="831" t="s">
        <v>2674</v>
      </c>
      <c r="AH28812" s="831" t="s">
        <v>192</v>
      </c>
      <c r="AI28812" s="831">
        <v>0</v>
      </c>
      <c r="AJ28812" s="835">
        <v>41394</v>
      </c>
      <c r="AK28812" s="831">
        <v>-12137335</v>
      </c>
    </row>
    <row r="28813" spans="32:37">
      <c r="AF28813" s="831" t="s">
        <v>10860</v>
      </c>
      <c r="AG28813" s="831" t="s">
        <v>2674</v>
      </c>
      <c r="AH28813" s="831" t="s">
        <v>558</v>
      </c>
      <c r="AI28813" s="831">
        <v>0</v>
      </c>
      <c r="AJ28813" s="835">
        <v>41394</v>
      </c>
      <c r="AK28813" s="831">
        <v>463001517</v>
      </c>
    </row>
    <row r="28814" spans="32:37">
      <c r="AF28814" s="831" t="s">
        <v>10861</v>
      </c>
      <c r="AG28814" s="831" t="s">
        <v>2674</v>
      </c>
      <c r="AH28814" s="831" t="s">
        <v>65</v>
      </c>
      <c r="AI28814" s="831">
        <v>0</v>
      </c>
      <c r="AJ28814" s="835">
        <v>41394</v>
      </c>
      <c r="AK28814" s="831">
        <v>38829477</v>
      </c>
    </row>
    <row r="28815" spans="32:37">
      <c r="AF28815" s="831" t="s">
        <v>10862</v>
      </c>
      <c r="AG28815" s="831" t="s">
        <v>2674</v>
      </c>
      <c r="AH28815" s="831" t="s">
        <v>89</v>
      </c>
      <c r="AI28815" s="831">
        <v>0</v>
      </c>
      <c r="AJ28815" s="835">
        <v>41394</v>
      </c>
      <c r="AK28815" s="831">
        <v>132126</v>
      </c>
    </row>
    <row r="28816" spans="32:37">
      <c r="AF28816" s="831" t="s">
        <v>10863</v>
      </c>
      <c r="AG28816" s="831" t="s">
        <v>2674</v>
      </c>
      <c r="AH28816" s="831" t="s">
        <v>557</v>
      </c>
      <c r="AI28816" s="831">
        <v>0</v>
      </c>
      <c r="AJ28816" s="835">
        <v>41394</v>
      </c>
      <c r="AK28816" s="831">
        <v>135969</v>
      </c>
    </row>
    <row r="28817" spans="32:37">
      <c r="AF28817" s="831" t="s">
        <v>10864</v>
      </c>
      <c r="AG28817" s="831" t="s">
        <v>2674</v>
      </c>
      <c r="AH28817" s="831" t="s">
        <v>29</v>
      </c>
      <c r="AI28817" s="831">
        <v>0</v>
      </c>
      <c r="AJ28817" s="835">
        <v>41394</v>
      </c>
      <c r="AK28817" s="831">
        <v>3183810</v>
      </c>
    </row>
    <row r="28818" spans="32:37">
      <c r="AF28818" s="831" t="s">
        <v>10865</v>
      </c>
      <c r="AG28818" s="831" t="s">
        <v>2674</v>
      </c>
      <c r="AH28818" s="831" t="s">
        <v>2688</v>
      </c>
      <c r="AI28818" s="831">
        <v>0</v>
      </c>
      <c r="AJ28818" s="835">
        <v>41394</v>
      </c>
      <c r="AK28818" s="831">
        <v>2795249</v>
      </c>
    </row>
    <row r="28819" spans="32:37">
      <c r="AF28819" s="831" t="s">
        <v>10866</v>
      </c>
      <c r="AG28819" s="831" t="s">
        <v>2674</v>
      </c>
      <c r="AH28819" s="831" t="s">
        <v>556</v>
      </c>
      <c r="AI28819" s="831">
        <v>0</v>
      </c>
      <c r="AJ28819" s="835">
        <v>41394</v>
      </c>
      <c r="AK28819" s="831">
        <v>902857</v>
      </c>
    </row>
    <row r="28820" spans="32:37">
      <c r="AF28820" s="831" t="s">
        <v>10867</v>
      </c>
      <c r="AG28820" s="831" t="s">
        <v>2674</v>
      </c>
      <c r="AH28820" s="831" t="s">
        <v>555</v>
      </c>
      <c r="AI28820" s="831">
        <v>0</v>
      </c>
      <c r="AJ28820" s="835">
        <v>41394</v>
      </c>
      <c r="AK28820" s="831">
        <v>292199280</v>
      </c>
    </row>
    <row r="28821" spans="32:37">
      <c r="AF28821" s="831" t="s">
        <v>10868</v>
      </c>
      <c r="AG28821" s="831" t="s">
        <v>2674</v>
      </c>
      <c r="AH28821" s="831" t="s">
        <v>554</v>
      </c>
      <c r="AI28821" s="831">
        <v>0</v>
      </c>
      <c r="AJ28821" s="835">
        <v>41394</v>
      </c>
      <c r="AK28821" s="831">
        <v>282835760</v>
      </c>
    </row>
    <row r="28822" spans="32:37">
      <c r="AF28822" s="831" t="s">
        <v>10869</v>
      </c>
      <c r="AG28822" s="831" t="s">
        <v>2674</v>
      </c>
      <c r="AH28822" s="831" t="s">
        <v>553</v>
      </c>
      <c r="AI28822" s="831">
        <v>0</v>
      </c>
      <c r="AJ28822" s="835">
        <v>41394</v>
      </c>
      <c r="AK28822" s="831">
        <v>0</v>
      </c>
    </row>
    <row r="28823" spans="32:37">
      <c r="AF28823" s="831" t="s">
        <v>10870</v>
      </c>
      <c r="AG28823" s="831" t="s">
        <v>2674</v>
      </c>
      <c r="AH28823" s="831" t="s">
        <v>552</v>
      </c>
      <c r="AI28823" s="831">
        <v>0</v>
      </c>
      <c r="AJ28823" s="835">
        <v>41394</v>
      </c>
      <c r="AK28823" s="831">
        <v>0</v>
      </c>
    </row>
    <row r="28824" spans="32:37">
      <c r="AF28824" s="831" t="s">
        <v>10871</v>
      </c>
      <c r="AG28824" s="831" t="s">
        <v>2674</v>
      </c>
      <c r="AH28824" s="831" t="s">
        <v>551</v>
      </c>
      <c r="AI28824" s="831">
        <v>0</v>
      </c>
      <c r="AJ28824" s="835">
        <v>41394</v>
      </c>
      <c r="AK28824" s="831">
        <v>3073568</v>
      </c>
    </row>
    <row r="28825" spans="32:37">
      <c r="AF28825" s="831" t="s">
        <v>10872</v>
      </c>
      <c r="AG28825" s="831" t="s">
        <v>2674</v>
      </c>
      <c r="AH28825" s="831" t="s">
        <v>550</v>
      </c>
      <c r="AI28825" s="831">
        <v>0</v>
      </c>
      <c r="AJ28825" s="835">
        <v>41394</v>
      </c>
      <c r="AK28825" s="831">
        <v>100809389</v>
      </c>
    </row>
    <row r="28826" spans="32:37">
      <c r="AF28826" s="831" t="s">
        <v>10873</v>
      </c>
      <c r="AG28826" s="831" t="s">
        <v>2674</v>
      </c>
      <c r="AH28826" s="831" t="s">
        <v>562</v>
      </c>
      <c r="AI28826" s="831">
        <v>0</v>
      </c>
      <c r="AJ28826" s="835">
        <v>41394</v>
      </c>
      <c r="AK28826" s="831">
        <v>0.78405000000000002</v>
      </c>
    </row>
    <row r="28827" spans="32:37">
      <c r="AF28827" s="831" t="s">
        <v>10874</v>
      </c>
      <c r="AG28827" s="831" t="s">
        <v>2674</v>
      </c>
      <c r="AH28827" s="831" t="s">
        <v>2698</v>
      </c>
      <c r="AI28827" s="831">
        <v>0</v>
      </c>
      <c r="AJ28827" s="835">
        <v>41394</v>
      </c>
      <c r="AK28827" s="831">
        <v>0.78425</v>
      </c>
    </row>
    <row r="28828" spans="32:37">
      <c r="AF28828" s="831" t="s">
        <v>10875</v>
      </c>
      <c r="AG28828" s="831" t="s">
        <v>2674</v>
      </c>
      <c r="AH28828" s="831" t="s">
        <v>560</v>
      </c>
      <c r="AI28828" s="831">
        <v>0</v>
      </c>
      <c r="AJ28828" s="835">
        <v>41394</v>
      </c>
      <c r="AK28828" s="831">
        <v>0.78412500000000007</v>
      </c>
    </row>
    <row r="28829" spans="32:37">
      <c r="AF28829" s="831" t="s">
        <v>10876</v>
      </c>
      <c r="AG28829" s="831" t="s">
        <v>2674</v>
      </c>
      <c r="AH28829" s="831" t="s">
        <v>559</v>
      </c>
      <c r="AI28829" s="831">
        <v>0</v>
      </c>
      <c r="AJ28829" s="835">
        <v>41394</v>
      </c>
      <c r="AK28829" s="831">
        <v>0.78444166666666681</v>
      </c>
    </row>
    <row r="28830" spans="32:37">
      <c r="AF28830" s="831" t="s">
        <v>10877</v>
      </c>
      <c r="AG28830" s="831" t="s">
        <v>2674</v>
      </c>
      <c r="AH28830" s="831" t="s">
        <v>568</v>
      </c>
      <c r="AI28830" s="831">
        <v>0</v>
      </c>
      <c r="AJ28830" s="835">
        <v>41394</v>
      </c>
      <c r="AK28830" s="831">
        <v>394769770.66666669</v>
      </c>
    </row>
    <row r="28831" spans="32:37">
      <c r="AF28831" s="831" t="s">
        <v>10878</v>
      </c>
      <c r="AG28831" s="831" t="s">
        <v>2674</v>
      </c>
      <c r="AH28831" s="831" t="s">
        <v>569</v>
      </c>
      <c r="AI28831" s="831">
        <v>0</v>
      </c>
      <c r="AJ28831" s="835">
        <v>41394</v>
      </c>
      <c r="AK28831" s="831">
        <v>480682736.41666669</v>
      </c>
    </row>
    <row r="28832" spans="32:37">
      <c r="AF28832" s="831" t="s">
        <v>10879</v>
      </c>
      <c r="AG28832" s="831" t="s">
        <v>2674</v>
      </c>
      <c r="AH28832" s="831" t="s">
        <v>570</v>
      </c>
      <c r="AI28832" s="831">
        <v>0</v>
      </c>
      <c r="AJ28832" s="835">
        <v>41394</v>
      </c>
      <c r="AK28832" s="831">
        <v>97541596.583333328</v>
      </c>
    </row>
    <row r="28833" spans="32:37">
      <c r="AF28833" s="831" t="s">
        <v>10880</v>
      </c>
      <c r="AG28833" s="831" t="s">
        <v>2674</v>
      </c>
      <c r="AH28833" s="831" t="s">
        <v>571</v>
      </c>
      <c r="AI28833" s="831">
        <v>0</v>
      </c>
      <c r="AJ28833" s="835">
        <v>41394</v>
      </c>
      <c r="AK28833" s="831">
        <v>202392383.16666666</v>
      </c>
    </row>
    <row r="28834" spans="32:37">
      <c r="AF28834" s="831" t="s">
        <v>10881</v>
      </c>
      <c r="AG28834" s="831" t="s">
        <v>2674</v>
      </c>
      <c r="AH28834" s="831" t="s">
        <v>573</v>
      </c>
      <c r="AI28834" s="831">
        <v>0</v>
      </c>
      <c r="AJ28834" s="835">
        <v>41394</v>
      </c>
      <c r="AK28834" s="831">
        <v>532827178</v>
      </c>
    </row>
    <row r="28835" spans="32:37">
      <c r="AF28835" s="831" t="s">
        <v>10882</v>
      </c>
      <c r="AG28835" s="831" t="s">
        <v>2674</v>
      </c>
      <c r="AH28835" s="831" t="s">
        <v>574</v>
      </c>
      <c r="AI28835" s="831">
        <v>0</v>
      </c>
      <c r="AJ28835" s="835">
        <v>41394</v>
      </c>
      <c r="AK28835" s="831">
        <v>441082974.60000002</v>
      </c>
    </row>
    <row r="28836" spans="32:37">
      <c r="AF28836" s="831" t="s">
        <v>10883</v>
      </c>
      <c r="AG28836" s="831" t="s">
        <v>2674</v>
      </c>
      <c r="AH28836" s="831" t="s">
        <v>575</v>
      </c>
      <c r="AI28836" s="831">
        <v>0</v>
      </c>
      <c r="AJ28836" s="835">
        <v>41394</v>
      </c>
      <c r="AK28836" s="831">
        <v>100152884.2</v>
      </c>
    </row>
    <row r="28837" spans="32:37">
      <c r="AF28837" s="831" t="s">
        <v>10884</v>
      </c>
      <c r="AG28837" s="831" t="s">
        <v>2674</v>
      </c>
      <c r="AH28837" s="831" t="s">
        <v>576</v>
      </c>
      <c r="AI28837" s="831">
        <v>0</v>
      </c>
      <c r="AJ28837" s="835">
        <v>41394</v>
      </c>
      <c r="AK28837" s="831">
        <v>241749896</v>
      </c>
    </row>
    <row r="28838" spans="32:37">
      <c r="AF28838" s="831" t="s">
        <v>10885</v>
      </c>
      <c r="AG28838" s="831" t="s">
        <v>2674</v>
      </c>
      <c r="AH28838" s="831" t="s">
        <v>572</v>
      </c>
      <c r="AI28838" s="831">
        <v>0</v>
      </c>
      <c r="AJ28838" s="835">
        <v>41394</v>
      </c>
      <c r="AK28838" s="831">
        <v>24404594</v>
      </c>
    </row>
    <row r="28839" spans="32:37">
      <c r="AF28839" s="831" t="s">
        <v>10886</v>
      </c>
      <c r="AG28839" s="831" t="s">
        <v>2674</v>
      </c>
      <c r="AH28839" s="831" t="s">
        <v>577</v>
      </c>
      <c r="AI28839" s="831">
        <v>0</v>
      </c>
      <c r="AJ28839" s="835">
        <v>41394</v>
      </c>
      <c r="AK28839" s="831">
        <v>137705857</v>
      </c>
    </row>
    <row r="28840" spans="32:37">
      <c r="AF28840" s="831" t="s">
        <v>10887</v>
      </c>
      <c r="AG28840" s="831" t="s">
        <v>2674</v>
      </c>
      <c r="AH28840" s="831" t="s">
        <v>3042</v>
      </c>
      <c r="AI28840" s="831">
        <v>0</v>
      </c>
      <c r="AJ28840" s="835">
        <v>41394</v>
      </c>
      <c r="AK28840" s="831">
        <v>-34403926</v>
      </c>
    </row>
    <row r="28841" spans="32:37">
      <c r="AF28841" s="831" t="s">
        <v>10888</v>
      </c>
      <c r="AG28841" s="831" t="s">
        <v>2674</v>
      </c>
      <c r="AH28841" s="831" t="s">
        <v>3044</v>
      </c>
      <c r="AI28841" s="831">
        <v>0</v>
      </c>
      <c r="AJ28841" s="835">
        <v>41394</v>
      </c>
      <c r="AK28841" s="831">
        <v>-4759976</v>
      </c>
    </row>
    <row r="28842" spans="32:37">
      <c r="AF28842" s="831" t="s">
        <v>10889</v>
      </c>
      <c r="AG28842" s="831" t="s">
        <v>2674</v>
      </c>
      <c r="AH28842" s="831" t="s">
        <v>580</v>
      </c>
      <c r="AI28842" s="831">
        <v>0</v>
      </c>
      <c r="AJ28842" s="835">
        <v>41394</v>
      </c>
      <c r="AK28842" s="831">
        <v>-71824276</v>
      </c>
    </row>
    <row r="28843" spans="32:37">
      <c r="AF28843" s="831" t="s">
        <v>10890</v>
      </c>
      <c r="AG28843" s="831" t="s">
        <v>2674</v>
      </c>
      <c r="AH28843" s="831" t="s">
        <v>581</v>
      </c>
      <c r="AI28843" s="831">
        <v>0</v>
      </c>
      <c r="AJ28843" s="835">
        <v>41394</v>
      </c>
      <c r="AK28843" s="831">
        <v>4094604</v>
      </c>
    </row>
    <row r="28844" spans="32:37">
      <c r="AF28844" s="831" t="s">
        <v>10891</v>
      </c>
      <c r="AG28844" s="831" t="s">
        <v>2674</v>
      </c>
      <c r="AH28844" s="831" t="s">
        <v>105</v>
      </c>
      <c r="AI28844" s="831">
        <v>0</v>
      </c>
      <c r="AJ28844" s="835">
        <v>41394</v>
      </c>
      <c r="AK28844" s="831">
        <v>256750039</v>
      </c>
    </row>
    <row r="28845" spans="32:37">
      <c r="AF28845" s="831" t="s">
        <v>10892</v>
      </c>
      <c r="AG28845" s="831" t="s">
        <v>2674</v>
      </c>
      <c r="AH28845" s="831" t="s">
        <v>3049</v>
      </c>
      <c r="AI28845" s="831">
        <v>0</v>
      </c>
      <c r="AJ28845" s="835">
        <v>41394</v>
      </c>
      <c r="AK28845" s="831">
        <v>448399148</v>
      </c>
    </row>
    <row r="28846" spans="32:37">
      <c r="AF28846" s="831" t="s">
        <v>10893</v>
      </c>
      <c r="AG28846" s="831" t="s">
        <v>2674</v>
      </c>
      <c r="AH28846" s="831" t="s">
        <v>103</v>
      </c>
      <c r="AI28846" s="831">
        <v>0</v>
      </c>
      <c r="AJ28846" s="835">
        <v>41394</v>
      </c>
      <c r="AK28846" s="831">
        <v>191649109</v>
      </c>
    </row>
    <row r="28847" spans="32:37">
      <c r="AF28847" s="831" t="s">
        <v>10894</v>
      </c>
      <c r="AG28847" s="831" t="s">
        <v>2674</v>
      </c>
      <c r="AH28847" s="831" t="s">
        <v>182</v>
      </c>
      <c r="AI28847" s="831">
        <v>0</v>
      </c>
      <c r="AJ28847" s="835">
        <v>41394</v>
      </c>
      <c r="AK28847" s="831">
        <v>55518615</v>
      </c>
    </row>
    <row r="28848" spans="32:37">
      <c r="AF28848" s="831" t="s">
        <v>10895</v>
      </c>
      <c r="AG28848" s="831" t="s">
        <v>2674</v>
      </c>
      <c r="AH28848" s="831" t="s">
        <v>6600</v>
      </c>
      <c r="AI28848" s="831">
        <v>0</v>
      </c>
      <c r="AJ28848" s="835">
        <v>41394</v>
      </c>
      <c r="AK28848" s="831">
        <v>24404594</v>
      </c>
    </row>
    <row r="28849" spans="32:37">
      <c r="AF28849" s="831" t="s">
        <v>10896</v>
      </c>
      <c r="AG28849" s="831" t="s">
        <v>2674</v>
      </c>
      <c r="AH28849" s="831" t="s">
        <v>6602</v>
      </c>
      <c r="AI28849" s="831">
        <v>0</v>
      </c>
      <c r="AJ28849" s="835">
        <v>41394</v>
      </c>
      <c r="AK28849" s="831">
        <v>8564643</v>
      </c>
    </row>
    <row r="28850" spans="32:37">
      <c r="AF28850" s="831" t="s">
        <v>10897</v>
      </c>
      <c r="AG28850" s="831" t="s">
        <v>2674</v>
      </c>
      <c r="AH28850" s="831" t="s">
        <v>650</v>
      </c>
      <c r="AI28850" s="831">
        <v>0</v>
      </c>
      <c r="AJ28850" s="835">
        <v>41394</v>
      </c>
      <c r="AK28850" s="831">
        <v>167561680.58333334</v>
      </c>
    </row>
    <row r="28851" spans="32:37">
      <c r="AF28851" s="831" t="s">
        <v>10898</v>
      </c>
      <c r="AG28851" s="831" t="s">
        <v>2674</v>
      </c>
      <c r="AH28851" s="831" t="s">
        <v>655</v>
      </c>
      <c r="AI28851" s="831">
        <v>0</v>
      </c>
      <c r="AJ28851" s="835">
        <v>41394</v>
      </c>
      <c r="AK28851" s="831">
        <v>2577725</v>
      </c>
    </row>
    <row r="28852" spans="32:37">
      <c r="AF28852" s="831" t="s">
        <v>10899</v>
      </c>
      <c r="AG28852" s="831" t="s">
        <v>2674</v>
      </c>
      <c r="AH28852" s="831" t="s">
        <v>546</v>
      </c>
      <c r="AI28852" s="831">
        <v>0</v>
      </c>
      <c r="AJ28852" s="835">
        <v>41425</v>
      </c>
      <c r="AK28852" s="831">
        <v>505264542</v>
      </c>
    </row>
    <row r="28853" spans="32:37">
      <c r="AF28853" s="831" t="s">
        <v>10900</v>
      </c>
      <c r="AG28853" s="831" t="s">
        <v>2674</v>
      </c>
      <c r="AH28853" s="831" t="s">
        <v>370</v>
      </c>
      <c r="AI28853" s="831">
        <v>0</v>
      </c>
      <c r="AJ28853" s="835">
        <v>41425</v>
      </c>
      <c r="AK28853" s="831">
        <v>595292976</v>
      </c>
    </row>
    <row r="28854" spans="32:37">
      <c r="AF28854" s="831" t="s">
        <v>10901</v>
      </c>
      <c r="AG28854" s="831" t="s">
        <v>2674</v>
      </c>
      <c r="AH28854" s="831" t="s">
        <v>126</v>
      </c>
      <c r="AI28854" s="831">
        <v>0</v>
      </c>
      <c r="AJ28854" s="835">
        <v>41425</v>
      </c>
      <c r="AK28854" s="831">
        <v>105651356</v>
      </c>
    </row>
    <row r="28855" spans="32:37">
      <c r="AF28855" s="831" t="s">
        <v>10902</v>
      </c>
      <c r="AG28855" s="831" t="s">
        <v>2674</v>
      </c>
      <c r="AH28855" s="831" t="s">
        <v>268</v>
      </c>
      <c r="AI28855" s="831">
        <v>0</v>
      </c>
      <c r="AJ28855" s="835">
        <v>41425</v>
      </c>
      <c r="AK28855" s="831">
        <v>10888133</v>
      </c>
    </row>
    <row r="28856" spans="32:37">
      <c r="AF28856" s="831" t="s">
        <v>10903</v>
      </c>
      <c r="AG28856" s="831" t="s">
        <v>2674</v>
      </c>
      <c r="AH28856" s="831" t="s">
        <v>547</v>
      </c>
      <c r="AI28856" s="831">
        <v>0</v>
      </c>
      <c r="AJ28856" s="835">
        <v>41425</v>
      </c>
      <c r="AK28856" s="831">
        <v>511487760</v>
      </c>
    </row>
    <row r="28857" spans="32:37">
      <c r="AF28857" s="831" t="s">
        <v>10904</v>
      </c>
      <c r="AG28857" s="831" t="s">
        <v>2674</v>
      </c>
      <c r="AH28857" s="831" t="s">
        <v>548</v>
      </c>
      <c r="AI28857" s="831">
        <v>0</v>
      </c>
      <c r="AJ28857" s="835">
        <v>41425</v>
      </c>
      <c r="AK28857" s="831">
        <v>96883184</v>
      </c>
    </row>
    <row r="28858" spans="32:37">
      <c r="AF28858" s="831" t="s">
        <v>10905</v>
      </c>
      <c r="AG28858" s="831" t="s">
        <v>2674</v>
      </c>
      <c r="AH28858" s="831" t="s">
        <v>549</v>
      </c>
      <c r="AI28858" s="831">
        <v>0</v>
      </c>
      <c r="AJ28858" s="835">
        <v>41425</v>
      </c>
      <c r="AK28858" s="831">
        <v>339221349</v>
      </c>
    </row>
    <row r="28859" spans="32:37">
      <c r="AF28859" s="831" t="s">
        <v>10906</v>
      </c>
      <c r="AG28859" s="831" t="s">
        <v>2674</v>
      </c>
      <c r="AH28859" s="831" t="s">
        <v>192</v>
      </c>
      <c r="AI28859" s="831">
        <v>0</v>
      </c>
      <c r="AJ28859" s="835">
        <v>41425</v>
      </c>
      <c r="AK28859" s="831">
        <v>-12896676</v>
      </c>
    </row>
    <row r="28860" spans="32:37">
      <c r="AF28860" s="831" t="s">
        <v>10907</v>
      </c>
      <c r="AG28860" s="831" t="s">
        <v>2674</v>
      </c>
      <c r="AH28860" s="831" t="s">
        <v>558</v>
      </c>
      <c r="AI28860" s="831">
        <v>0</v>
      </c>
      <c r="AJ28860" s="835">
        <v>41425</v>
      </c>
      <c r="AK28860" s="831">
        <v>489641620</v>
      </c>
    </row>
    <row r="28861" spans="32:37">
      <c r="AF28861" s="831" t="s">
        <v>10908</v>
      </c>
      <c r="AG28861" s="831" t="s">
        <v>2674</v>
      </c>
      <c r="AH28861" s="831" t="s">
        <v>65</v>
      </c>
      <c r="AI28861" s="831">
        <v>0</v>
      </c>
      <c r="AJ28861" s="835">
        <v>41425</v>
      </c>
      <c r="AK28861" s="831">
        <v>49637231</v>
      </c>
    </row>
    <row r="28862" spans="32:37">
      <c r="AF28862" s="831" t="s">
        <v>10909</v>
      </c>
      <c r="AG28862" s="831" t="s">
        <v>2674</v>
      </c>
      <c r="AH28862" s="831" t="s">
        <v>89</v>
      </c>
      <c r="AI28862" s="831">
        <v>0</v>
      </c>
      <c r="AJ28862" s="835">
        <v>41425</v>
      </c>
      <c r="AK28862" s="831">
        <v>135204</v>
      </c>
    </row>
    <row r="28863" spans="32:37">
      <c r="AF28863" s="831" t="s">
        <v>10910</v>
      </c>
      <c r="AG28863" s="831" t="s">
        <v>2674</v>
      </c>
      <c r="AH28863" s="831" t="s">
        <v>557</v>
      </c>
      <c r="AI28863" s="831">
        <v>0</v>
      </c>
      <c r="AJ28863" s="835">
        <v>41425</v>
      </c>
      <c r="AK28863" s="831">
        <v>139930</v>
      </c>
    </row>
    <row r="28864" spans="32:37">
      <c r="AF28864" s="831" t="s">
        <v>10911</v>
      </c>
      <c r="AG28864" s="831" t="s">
        <v>2674</v>
      </c>
      <c r="AH28864" s="831" t="s">
        <v>29</v>
      </c>
      <c r="AI28864" s="831">
        <v>0</v>
      </c>
      <c r="AJ28864" s="835">
        <v>41425</v>
      </c>
      <c r="AK28864" s="831">
        <v>2486253</v>
      </c>
    </row>
    <row r="28865" spans="32:37">
      <c r="AF28865" s="831" t="s">
        <v>10912</v>
      </c>
      <c r="AG28865" s="831" t="s">
        <v>2674</v>
      </c>
      <c r="AH28865" s="831" t="s">
        <v>2688</v>
      </c>
      <c r="AI28865" s="831">
        <v>0</v>
      </c>
      <c r="AJ28865" s="835">
        <v>41425</v>
      </c>
      <c r="AK28865" s="831">
        <v>2733940</v>
      </c>
    </row>
    <row r="28866" spans="32:37">
      <c r="AF28866" s="831" t="s">
        <v>10913</v>
      </c>
      <c r="AG28866" s="831" t="s">
        <v>2674</v>
      </c>
      <c r="AH28866" s="831" t="s">
        <v>556</v>
      </c>
      <c r="AI28866" s="831">
        <v>0</v>
      </c>
      <c r="AJ28866" s="835">
        <v>41425</v>
      </c>
      <c r="AK28866" s="831">
        <v>902857</v>
      </c>
    </row>
    <row r="28867" spans="32:37">
      <c r="AF28867" s="831" t="s">
        <v>10914</v>
      </c>
      <c r="AG28867" s="831" t="s">
        <v>2674</v>
      </c>
      <c r="AH28867" s="831" t="s">
        <v>555</v>
      </c>
      <c r="AI28867" s="831">
        <v>0</v>
      </c>
      <c r="AJ28867" s="835">
        <v>41425</v>
      </c>
      <c r="AK28867" s="831">
        <v>310274630</v>
      </c>
    </row>
    <row r="28868" spans="32:37">
      <c r="AF28868" s="831" t="s">
        <v>10915</v>
      </c>
      <c r="AG28868" s="831" t="s">
        <v>2674</v>
      </c>
      <c r="AH28868" s="831" t="s">
        <v>554</v>
      </c>
      <c r="AI28868" s="831">
        <v>0</v>
      </c>
      <c r="AJ28868" s="835">
        <v>41425</v>
      </c>
      <c r="AK28868" s="831">
        <v>296232200</v>
      </c>
    </row>
    <row r="28869" spans="32:37">
      <c r="AF28869" s="831" t="s">
        <v>10916</v>
      </c>
      <c r="AG28869" s="831" t="s">
        <v>2674</v>
      </c>
      <c r="AH28869" s="831" t="s">
        <v>553</v>
      </c>
      <c r="AI28869" s="831">
        <v>0</v>
      </c>
      <c r="AJ28869" s="835">
        <v>41425</v>
      </c>
      <c r="AK28869" s="831">
        <v>0</v>
      </c>
    </row>
    <row r="28870" spans="32:37">
      <c r="AF28870" s="831" t="s">
        <v>10917</v>
      </c>
      <c r="AG28870" s="831" t="s">
        <v>2674</v>
      </c>
      <c r="AH28870" s="831" t="s">
        <v>552</v>
      </c>
      <c r="AI28870" s="831">
        <v>0</v>
      </c>
      <c r="AJ28870" s="835">
        <v>41425</v>
      </c>
      <c r="AK28870" s="831">
        <v>0</v>
      </c>
    </row>
    <row r="28871" spans="32:37">
      <c r="AF28871" s="831" t="s">
        <v>10918</v>
      </c>
      <c r="AG28871" s="831" t="s">
        <v>2674</v>
      </c>
      <c r="AH28871" s="831" t="s">
        <v>551</v>
      </c>
      <c r="AI28871" s="831">
        <v>0</v>
      </c>
      <c r="AJ28871" s="835">
        <v>41425</v>
      </c>
      <c r="AK28871" s="831">
        <v>2323653</v>
      </c>
    </row>
    <row r="28872" spans="32:37">
      <c r="AF28872" s="831" t="s">
        <v>10919</v>
      </c>
      <c r="AG28872" s="831" t="s">
        <v>2674</v>
      </c>
      <c r="AH28872" s="831" t="s">
        <v>550</v>
      </c>
      <c r="AI28872" s="831">
        <v>0</v>
      </c>
      <c r="AJ28872" s="835">
        <v>41425</v>
      </c>
      <c r="AK28872" s="831">
        <v>103327866</v>
      </c>
    </row>
    <row r="28873" spans="32:37">
      <c r="AF28873" s="831" t="s">
        <v>10920</v>
      </c>
      <c r="AG28873" s="831" t="s">
        <v>2674</v>
      </c>
      <c r="AH28873" s="831" t="s">
        <v>562</v>
      </c>
      <c r="AI28873" s="831">
        <v>0</v>
      </c>
      <c r="AJ28873" s="835">
        <v>41425</v>
      </c>
      <c r="AK28873" s="831">
        <v>0.78405000000000002</v>
      </c>
    </row>
    <row r="28874" spans="32:37">
      <c r="AF28874" s="831" t="s">
        <v>10921</v>
      </c>
      <c r="AG28874" s="831" t="s">
        <v>2674</v>
      </c>
      <c r="AH28874" s="831" t="s">
        <v>2698</v>
      </c>
      <c r="AI28874" s="831">
        <v>0</v>
      </c>
      <c r="AJ28874" s="835">
        <v>41425</v>
      </c>
      <c r="AK28874" s="831">
        <v>0.78405000000000002</v>
      </c>
    </row>
    <row r="28875" spans="32:37">
      <c r="AF28875" s="831" t="s">
        <v>10922</v>
      </c>
      <c r="AG28875" s="831" t="s">
        <v>2674</v>
      </c>
      <c r="AH28875" s="831" t="s">
        <v>560</v>
      </c>
      <c r="AI28875" s="831">
        <v>0</v>
      </c>
      <c r="AJ28875" s="835">
        <v>41425</v>
      </c>
      <c r="AK28875" s="831">
        <v>0.78410999999999997</v>
      </c>
    </row>
    <row r="28876" spans="32:37">
      <c r="AF28876" s="831" t="s">
        <v>10923</v>
      </c>
      <c r="AG28876" s="831" t="s">
        <v>2674</v>
      </c>
      <c r="AH28876" s="831" t="s">
        <v>559</v>
      </c>
      <c r="AI28876" s="831">
        <v>0</v>
      </c>
      <c r="AJ28876" s="835">
        <v>41425</v>
      </c>
      <c r="AK28876" s="831">
        <v>0.78434999999999999</v>
      </c>
    </row>
    <row r="28877" spans="32:37">
      <c r="AF28877" s="831" t="s">
        <v>10924</v>
      </c>
      <c r="AG28877" s="831" t="s">
        <v>2674</v>
      </c>
      <c r="AH28877" s="831" t="s">
        <v>568</v>
      </c>
      <c r="AI28877" s="831">
        <v>0</v>
      </c>
      <c r="AJ28877" s="835">
        <v>41425</v>
      </c>
      <c r="AK28877" s="831">
        <v>403269368.46153843</v>
      </c>
    </row>
    <row r="28878" spans="32:37">
      <c r="AF28878" s="831" t="s">
        <v>10925</v>
      </c>
      <c r="AG28878" s="831" t="s">
        <v>2674</v>
      </c>
      <c r="AH28878" s="831" t="s">
        <v>569</v>
      </c>
      <c r="AI28878" s="831">
        <v>0</v>
      </c>
      <c r="AJ28878" s="835">
        <v>41425</v>
      </c>
      <c r="AK28878" s="831">
        <v>489498908.69230771</v>
      </c>
    </row>
    <row r="28879" spans="32:37">
      <c r="AF28879" s="831" t="s">
        <v>10926</v>
      </c>
      <c r="AG28879" s="831" t="s">
        <v>2674</v>
      </c>
      <c r="AH28879" s="831" t="s">
        <v>570</v>
      </c>
      <c r="AI28879" s="831">
        <v>0</v>
      </c>
      <c r="AJ28879" s="835">
        <v>41425</v>
      </c>
      <c r="AK28879" s="831">
        <v>98165424.230769232</v>
      </c>
    </row>
    <row r="28880" spans="32:37">
      <c r="AF28880" s="831" t="s">
        <v>10927</v>
      </c>
      <c r="AG28880" s="831" t="s">
        <v>2674</v>
      </c>
      <c r="AH28880" s="831" t="s">
        <v>571</v>
      </c>
      <c r="AI28880" s="831">
        <v>0</v>
      </c>
      <c r="AJ28880" s="835">
        <v>41425</v>
      </c>
      <c r="AK28880" s="831">
        <v>207953338.07692307</v>
      </c>
    </row>
    <row r="28881" spans="32:37">
      <c r="AF28881" s="831" t="s">
        <v>10928</v>
      </c>
      <c r="AG28881" s="831" t="s">
        <v>2674</v>
      </c>
      <c r="AH28881" s="831" t="s">
        <v>573</v>
      </c>
      <c r="AI28881" s="831">
        <v>0</v>
      </c>
      <c r="AJ28881" s="835">
        <v>41425</v>
      </c>
      <c r="AK28881" s="831">
        <v>543238144.33333337</v>
      </c>
    </row>
    <row r="28882" spans="32:37">
      <c r="AF28882" s="831" t="s">
        <v>10929</v>
      </c>
      <c r="AG28882" s="831" t="s">
        <v>2674</v>
      </c>
      <c r="AH28882" s="831" t="s">
        <v>574</v>
      </c>
      <c r="AI28882" s="831">
        <v>0</v>
      </c>
      <c r="AJ28882" s="835">
        <v>41425</v>
      </c>
      <c r="AK28882" s="831">
        <v>451779902.5</v>
      </c>
    </row>
    <row r="28883" spans="32:37">
      <c r="AF28883" s="831" t="s">
        <v>10930</v>
      </c>
      <c r="AG28883" s="831" t="s">
        <v>2674</v>
      </c>
      <c r="AH28883" s="831" t="s">
        <v>575</v>
      </c>
      <c r="AI28883" s="831">
        <v>0</v>
      </c>
      <c r="AJ28883" s="835">
        <v>41425</v>
      </c>
      <c r="AK28883" s="831">
        <v>101069296.16666667</v>
      </c>
    </row>
    <row r="28884" spans="32:37">
      <c r="AF28884" s="831" t="s">
        <v>10931</v>
      </c>
      <c r="AG28884" s="831" t="s">
        <v>2674</v>
      </c>
      <c r="AH28884" s="831" t="s">
        <v>576</v>
      </c>
      <c r="AI28884" s="831">
        <v>0</v>
      </c>
      <c r="AJ28884" s="835">
        <v>41425</v>
      </c>
      <c r="AK28884" s="831">
        <v>247239046.16666666</v>
      </c>
    </row>
    <row r="28885" spans="32:37">
      <c r="AF28885" s="831" t="s">
        <v>10932</v>
      </c>
      <c r="AG28885" s="831" t="s">
        <v>2674</v>
      </c>
      <c r="AH28885" s="831" t="s">
        <v>572</v>
      </c>
      <c r="AI28885" s="831">
        <v>0</v>
      </c>
      <c r="AJ28885" s="835">
        <v>41425</v>
      </c>
      <c r="AK28885" s="831">
        <v>21530747</v>
      </c>
    </row>
    <row r="28886" spans="32:37">
      <c r="AF28886" s="831" t="s">
        <v>10933</v>
      </c>
      <c r="AG28886" s="831" t="s">
        <v>2674</v>
      </c>
      <c r="AH28886" s="831" t="s">
        <v>577</v>
      </c>
      <c r="AI28886" s="831">
        <v>0</v>
      </c>
      <c r="AJ28886" s="835">
        <v>41425</v>
      </c>
      <c r="AK28886" s="831">
        <v>110403012</v>
      </c>
    </row>
    <row r="28887" spans="32:37">
      <c r="AF28887" s="831" t="s">
        <v>10934</v>
      </c>
      <c r="AG28887" s="831" t="s">
        <v>2674</v>
      </c>
      <c r="AH28887" s="831" t="s">
        <v>3042</v>
      </c>
      <c r="AI28887" s="831">
        <v>0</v>
      </c>
      <c r="AJ28887" s="835">
        <v>41425</v>
      </c>
      <c r="AK28887" s="831">
        <v>-27020607</v>
      </c>
    </row>
    <row r="28888" spans="32:37">
      <c r="AF28888" s="831" t="s">
        <v>10935</v>
      </c>
      <c r="AG28888" s="831" t="s">
        <v>2674</v>
      </c>
      <c r="AH28888" s="831" t="s">
        <v>3044</v>
      </c>
      <c r="AI28888" s="831">
        <v>0</v>
      </c>
      <c r="AJ28888" s="835">
        <v>41425</v>
      </c>
      <c r="AK28888" s="831">
        <v>-4070350</v>
      </c>
    </row>
    <row r="28889" spans="32:37">
      <c r="AF28889" s="831" t="s">
        <v>10936</v>
      </c>
      <c r="AG28889" s="831" t="s">
        <v>2674</v>
      </c>
      <c r="AH28889" s="831" t="s">
        <v>580</v>
      </c>
      <c r="AI28889" s="831">
        <v>0</v>
      </c>
      <c r="AJ28889" s="835">
        <v>41425</v>
      </c>
      <c r="AK28889" s="831">
        <v>-55847177</v>
      </c>
    </row>
    <row r="28890" spans="32:37">
      <c r="AF28890" s="831" t="s">
        <v>10937</v>
      </c>
      <c r="AG28890" s="831" t="s">
        <v>2674</v>
      </c>
      <c r="AH28890" s="831" t="s">
        <v>581</v>
      </c>
      <c r="AI28890" s="831">
        <v>0</v>
      </c>
      <c r="AJ28890" s="835">
        <v>41425</v>
      </c>
      <c r="AK28890" s="831">
        <v>3833349</v>
      </c>
    </row>
    <row r="28891" spans="32:37">
      <c r="AF28891" s="831" t="s">
        <v>10938</v>
      </c>
      <c r="AG28891" s="831" t="s">
        <v>2674</v>
      </c>
      <c r="AH28891" s="831" t="s">
        <v>105</v>
      </c>
      <c r="AI28891" s="831">
        <v>0</v>
      </c>
      <c r="AJ28891" s="835">
        <v>41425</v>
      </c>
      <c r="AK28891" s="831">
        <v>274684797</v>
      </c>
    </row>
    <row r="28892" spans="32:37">
      <c r="AF28892" s="831" t="s">
        <v>10939</v>
      </c>
      <c r="AG28892" s="831" t="s">
        <v>2674</v>
      </c>
      <c r="AH28892" s="831" t="s">
        <v>3049</v>
      </c>
      <c r="AI28892" s="831">
        <v>0</v>
      </c>
      <c r="AJ28892" s="835">
        <v>41425</v>
      </c>
      <c r="AK28892" s="831">
        <v>474215187</v>
      </c>
    </row>
    <row r="28893" spans="32:37">
      <c r="AF28893" s="831" t="s">
        <v>10940</v>
      </c>
      <c r="AG28893" s="831" t="s">
        <v>2674</v>
      </c>
      <c r="AH28893" s="831" t="s">
        <v>103</v>
      </c>
      <c r="AI28893" s="831">
        <v>0</v>
      </c>
      <c r="AJ28893" s="835">
        <v>41425</v>
      </c>
      <c r="AK28893" s="831">
        <v>199530390</v>
      </c>
    </row>
    <row r="28894" spans="32:37">
      <c r="AF28894" s="831" t="s">
        <v>10941</v>
      </c>
      <c r="AG28894" s="831" t="s">
        <v>2674</v>
      </c>
      <c r="AH28894" s="831" t="s">
        <v>182</v>
      </c>
      <c r="AI28894" s="831">
        <v>0</v>
      </c>
      <c r="AJ28894" s="835">
        <v>41425</v>
      </c>
      <c r="AK28894" s="831">
        <v>56542824</v>
      </c>
    </row>
    <row r="28895" spans="32:37">
      <c r="AF28895" s="831" t="s">
        <v>10942</v>
      </c>
      <c r="AG28895" s="831" t="s">
        <v>2674</v>
      </c>
      <c r="AH28895" s="831" t="s">
        <v>6600</v>
      </c>
      <c r="AI28895" s="831">
        <v>0</v>
      </c>
      <c r="AJ28895" s="835">
        <v>41425</v>
      </c>
      <c r="AK28895" s="831">
        <v>21530747</v>
      </c>
    </row>
    <row r="28896" spans="32:37">
      <c r="AF28896" s="831" t="s">
        <v>10943</v>
      </c>
      <c r="AG28896" s="831" t="s">
        <v>2674</v>
      </c>
      <c r="AH28896" s="831" t="s">
        <v>6602</v>
      </c>
      <c r="AI28896" s="831">
        <v>0</v>
      </c>
      <c r="AJ28896" s="835">
        <v>41425</v>
      </c>
      <c r="AK28896" s="831">
        <v>10888133</v>
      </c>
    </row>
    <row r="28897" spans="32:37">
      <c r="AF28897" s="831" t="s">
        <v>10944</v>
      </c>
      <c r="AG28897" s="831" t="s">
        <v>2674</v>
      </c>
      <c r="AH28897" s="831" t="s">
        <v>650</v>
      </c>
      <c r="AI28897" s="831">
        <v>0</v>
      </c>
      <c r="AJ28897" s="835">
        <v>41425</v>
      </c>
      <c r="AK28897" s="831">
        <v>170020812.07692307</v>
      </c>
    </row>
    <row r="28898" spans="32:37">
      <c r="AF28898" s="831" t="s">
        <v>10945</v>
      </c>
      <c r="AG28898" s="831" t="s">
        <v>2674</v>
      </c>
      <c r="AH28898" s="831" t="s">
        <v>655</v>
      </c>
      <c r="AI28898" s="831">
        <v>0</v>
      </c>
      <c r="AJ28898" s="835">
        <v>41425</v>
      </c>
      <c r="AK28898" s="831">
        <v>2273827</v>
      </c>
    </row>
    <row r="28899" spans="32:37">
      <c r="AF28899" s="831" t="s">
        <v>10946</v>
      </c>
      <c r="AG28899" s="831" t="s">
        <v>2674</v>
      </c>
      <c r="AH28899" s="831" t="s">
        <v>546</v>
      </c>
      <c r="AI28899" s="831">
        <v>0</v>
      </c>
      <c r="AJ28899" s="835">
        <v>41455</v>
      </c>
      <c r="AK28899" s="831">
        <v>514798833</v>
      </c>
    </row>
    <row r="28900" spans="32:37">
      <c r="AF28900" s="831" t="s">
        <v>10947</v>
      </c>
      <c r="AG28900" s="831" t="s">
        <v>2674</v>
      </c>
      <c r="AH28900" s="831" t="s">
        <v>370</v>
      </c>
      <c r="AI28900" s="831">
        <v>0</v>
      </c>
      <c r="AJ28900" s="835">
        <v>41455</v>
      </c>
      <c r="AK28900" s="831">
        <v>641101315</v>
      </c>
    </row>
    <row r="28901" spans="32:37">
      <c r="AF28901" s="831" t="s">
        <v>10948</v>
      </c>
      <c r="AG28901" s="831" t="s">
        <v>2674</v>
      </c>
      <c r="AH28901" s="831" t="s">
        <v>126</v>
      </c>
      <c r="AI28901" s="831">
        <v>0</v>
      </c>
      <c r="AJ28901" s="835">
        <v>41455</v>
      </c>
      <c r="AK28901" s="831">
        <v>108060358</v>
      </c>
    </row>
    <row r="28902" spans="32:37">
      <c r="AF28902" s="831" t="s">
        <v>10949</v>
      </c>
      <c r="AG28902" s="831" t="s">
        <v>2674</v>
      </c>
      <c r="AH28902" s="831" t="s">
        <v>268</v>
      </c>
      <c r="AI28902" s="831">
        <v>0</v>
      </c>
      <c r="AJ28902" s="835">
        <v>41455</v>
      </c>
      <c r="AK28902" s="831">
        <v>13297133</v>
      </c>
    </row>
    <row r="28903" spans="32:37">
      <c r="AF28903" s="831" t="s">
        <v>10950</v>
      </c>
      <c r="AG28903" s="831" t="s">
        <v>2674</v>
      </c>
      <c r="AH28903" s="831" t="s">
        <v>547</v>
      </c>
      <c r="AI28903" s="831">
        <v>0</v>
      </c>
      <c r="AJ28903" s="835">
        <v>41455</v>
      </c>
      <c r="AK28903" s="831">
        <v>511487760</v>
      </c>
    </row>
    <row r="28904" spans="32:37">
      <c r="AF28904" s="831" t="s">
        <v>10951</v>
      </c>
      <c r="AG28904" s="831" t="s">
        <v>2674</v>
      </c>
      <c r="AH28904" s="831" t="s">
        <v>548</v>
      </c>
      <c r="AI28904" s="831">
        <v>0</v>
      </c>
      <c r="AJ28904" s="835">
        <v>41455</v>
      </c>
      <c r="AK28904" s="831">
        <v>96883184</v>
      </c>
    </row>
    <row r="28905" spans="32:37">
      <c r="AF28905" s="831" t="s">
        <v>10952</v>
      </c>
      <c r="AG28905" s="831" t="s">
        <v>2674</v>
      </c>
      <c r="AH28905" s="831" t="s">
        <v>549</v>
      </c>
      <c r="AI28905" s="831">
        <v>0</v>
      </c>
      <c r="AJ28905" s="835">
        <v>41455</v>
      </c>
      <c r="AK28905" s="831">
        <v>342628450</v>
      </c>
    </row>
    <row r="28906" spans="32:37">
      <c r="AF28906" s="831" t="s">
        <v>10953</v>
      </c>
      <c r="AG28906" s="831" t="s">
        <v>2674</v>
      </c>
      <c r="AH28906" s="831" t="s">
        <v>192</v>
      </c>
      <c r="AI28906" s="831">
        <v>0</v>
      </c>
      <c r="AJ28906" s="835">
        <v>41455</v>
      </c>
      <c r="AK28906" s="831">
        <v>-11546784</v>
      </c>
    </row>
    <row r="28907" spans="32:37">
      <c r="AF28907" s="831" t="s">
        <v>10954</v>
      </c>
      <c r="AG28907" s="831" t="s">
        <v>2674</v>
      </c>
      <c r="AH28907" s="831" t="s">
        <v>558</v>
      </c>
      <c r="AI28907" s="831">
        <v>0</v>
      </c>
      <c r="AJ28907" s="835">
        <v>41455</v>
      </c>
      <c r="AK28907" s="831">
        <v>533040957</v>
      </c>
    </row>
    <row r="28908" spans="32:37">
      <c r="AF28908" s="831" t="s">
        <v>10955</v>
      </c>
      <c r="AG28908" s="831" t="s">
        <v>2674</v>
      </c>
      <c r="AH28908" s="831" t="s">
        <v>65</v>
      </c>
      <c r="AI28908" s="831">
        <v>0</v>
      </c>
      <c r="AJ28908" s="835">
        <v>41455</v>
      </c>
      <c r="AK28908" s="831">
        <v>60193699</v>
      </c>
    </row>
    <row r="28909" spans="32:37">
      <c r="AF28909" s="831" t="s">
        <v>10956</v>
      </c>
      <c r="AG28909" s="831" t="s">
        <v>2674</v>
      </c>
      <c r="AH28909" s="831" t="s">
        <v>89</v>
      </c>
      <c r="AI28909" s="831">
        <v>0</v>
      </c>
      <c r="AJ28909" s="835">
        <v>41455</v>
      </c>
      <c r="AK28909" s="831">
        <v>136633</v>
      </c>
    </row>
    <row r="28910" spans="32:37">
      <c r="AF28910" s="831" t="s">
        <v>10957</v>
      </c>
      <c r="AG28910" s="831" t="s">
        <v>2674</v>
      </c>
      <c r="AH28910" s="831" t="s">
        <v>557</v>
      </c>
      <c r="AI28910" s="831">
        <v>0</v>
      </c>
      <c r="AJ28910" s="835">
        <v>41455</v>
      </c>
      <c r="AK28910" s="831">
        <v>142092</v>
      </c>
    </row>
    <row r="28911" spans="32:37">
      <c r="AF28911" s="831" t="s">
        <v>10958</v>
      </c>
      <c r="AG28911" s="831" t="s">
        <v>2674</v>
      </c>
      <c r="AH28911" s="831" t="s">
        <v>29</v>
      </c>
      <c r="AI28911" s="831">
        <v>0</v>
      </c>
      <c r="AJ28911" s="835">
        <v>41455</v>
      </c>
      <c r="AK28911" s="831">
        <v>1424399.06</v>
      </c>
    </row>
    <row r="28912" spans="32:37">
      <c r="AF28912" s="831" t="s">
        <v>10959</v>
      </c>
      <c r="AG28912" s="831" t="s">
        <v>2674</v>
      </c>
      <c r="AH28912" s="831" t="s">
        <v>2688</v>
      </c>
      <c r="AI28912" s="831">
        <v>0</v>
      </c>
      <c r="AJ28912" s="835">
        <v>41455</v>
      </c>
      <c r="AK28912" s="831">
        <v>2204366.9500000002</v>
      </c>
    </row>
    <row r="28913" spans="32:37">
      <c r="AF28913" s="831" t="s">
        <v>10960</v>
      </c>
      <c r="AG28913" s="831" t="s">
        <v>2674</v>
      </c>
      <c r="AH28913" s="831" t="s">
        <v>556</v>
      </c>
      <c r="AI28913" s="831">
        <v>0</v>
      </c>
      <c r="AJ28913" s="835">
        <v>41455</v>
      </c>
      <c r="AK28913" s="831">
        <v>902857</v>
      </c>
    </row>
    <row r="28914" spans="32:37">
      <c r="AF28914" s="831" t="s">
        <v>10961</v>
      </c>
      <c r="AG28914" s="831" t="s">
        <v>2674</v>
      </c>
      <c r="AH28914" s="831" t="s">
        <v>555</v>
      </c>
      <c r="AI28914" s="831">
        <v>0</v>
      </c>
      <c r="AJ28914" s="835">
        <v>41455</v>
      </c>
      <c r="AK28914" s="831">
        <v>353611880</v>
      </c>
    </row>
    <row r="28915" spans="32:37">
      <c r="AF28915" s="831" t="s">
        <v>10962</v>
      </c>
      <c r="AG28915" s="831" t="s">
        <v>2674</v>
      </c>
      <c r="AH28915" s="831" t="s">
        <v>554</v>
      </c>
      <c r="AI28915" s="831">
        <v>0</v>
      </c>
      <c r="AJ28915" s="835">
        <v>41455</v>
      </c>
      <c r="AK28915" s="831">
        <v>343079700</v>
      </c>
    </row>
    <row r="28916" spans="32:37">
      <c r="AF28916" s="831" t="s">
        <v>10963</v>
      </c>
      <c r="AG28916" s="831" t="s">
        <v>2674</v>
      </c>
      <c r="AH28916" s="831" t="s">
        <v>553</v>
      </c>
      <c r="AI28916" s="831">
        <v>0</v>
      </c>
      <c r="AJ28916" s="835">
        <v>41455</v>
      </c>
      <c r="AK28916" s="831">
        <v>0</v>
      </c>
    </row>
    <row r="28917" spans="32:37">
      <c r="AF28917" s="831" t="s">
        <v>10964</v>
      </c>
      <c r="AG28917" s="831" t="s">
        <v>2674</v>
      </c>
      <c r="AH28917" s="831" t="s">
        <v>552</v>
      </c>
      <c r="AI28917" s="831">
        <v>0</v>
      </c>
      <c r="AJ28917" s="835">
        <v>41455</v>
      </c>
      <c r="AK28917" s="831">
        <v>0</v>
      </c>
    </row>
    <row r="28918" spans="32:37">
      <c r="AF28918" s="831" t="s">
        <v>10965</v>
      </c>
      <c r="AG28918" s="831" t="s">
        <v>2674</v>
      </c>
      <c r="AH28918" s="831" t="s">
        <v>551</v>
      </c>
      <c r="AI28918" s="831">
        <v>0</v>
      </c>
      <c r="AJ28918" s="835">
        <v>41455</v>
      </c>
      <c r="AK28918" s="831">
        <v>1176193.06</v>
      </c>
    </row>
    <row r="28919" spans="32:37">
      <c r="AF28919" s="831" t="s">
        <v>10966</v>
      </c>
      <c r="AG28919" s="831" t="s">
        <v>2674</v>
      </c>
      <c r="AH28919" s="831" t="s">
        <v>550</v>
      </c>
      <c r="AI28919" s="831">
        <v>0</v>
      </c>
      <c r="AJ28919" s="835">
        <v>41455</v>
      </c>
      <c r="AK28919" s="831">
        <v>105651356</v>
      </c>
    </row>
    <row r="28920" spans="32:37">
      <c r="AF28920" s="831" t="s">
        <v>10967</v>
      </c>
      <c r="AG28920" s="831" t="s">
        <v>2674</v>
      </c>
      <c r="AH28920" s="831" t="s">
        <v>562</v>
      </c>
      <c r="AI28920" s="831">
        <v>0</v>
      </c>
      <c r="AJ28920" s="835">
        <v>41455</v>
      </c>
      <c r="AK28920" s="831">
        <v>0.78395000000000004</v>
      </c>
    </row>
    <row r="28921" spans="32:37">
      <c r="AF28921" s="831" t="s">
        <v>10968</v>
      </c>
      <c r="AG28921" s="831" t="s">
        <v>2674</v>
      </c>
      <c r="AH28921" s="831" t="s">
        <v>2698</v>
      </c>
      <c r="AI28921" s="831">
        <v>0</v>
      </c>
      <c r="AJ28921" s="835">
        <v>41455</v>
      </c>
      <c r="AK28921" s="831">
        <v>0.78405000000000002</v>
      </c>
    </row>
    <row r="28922" spans="32:37">
      <c r="AF28922" s="831" t="s">
        <v>10969</v>
      </c>
      <c r="AG28922" s="831" t="s">
        <v>2674</v>
      </c>
      <c r="AH28922" s="831" t="s">
        <v>560</v>
      </c>
      <c r="AI28922" s="831">
        <v>0</v>
      </c>
      <c r="AJ28922" s="835">
        <v>41455</v>
      </c>
      <c r="AK28922" s="831">
        <v>0.78408333333333335</v>
      </c>
    </row>
    <row r="28923" spans="32:37">
      <c r="AF28923" s="831" t="s">
        <v>10970</v>
      </c>
      <c r="AG28923" s="831" t="s">
        <v>2674</v>
      </c>
      <c r="AH28923" s="831" t="s">
        <v>559</v>
      </c>
      <c r="AI28923" s="831">
        <v>0</v>
      </c>
      <c r="AJ28923" s="835">
        <v>41455</v>
      </c>
      <c r="AK28923" s="831">
        <v>0.78425833333333339</v>
      </c>
    </row>
    <row r="28924" spans="32:37">
      <c r="AF28924" s="831" t="s">
        <v>10971</v>
      </c>
      <c r="AG28924" s="831" t="s">
        <v>2674</v>
      </c>
      <c r="AH28924" s="831" t="s">
        <v>568</v>
      </c>
      <c r="AI28924" s="831">
        <v>0</v>
      </c>
      <c r="AJ28924" s="835">
        <v>41455</v>
      </c>
      <c r="AK28924" s="831">
        <v>416775328.76923078</v>
      </c>
    </row>
    <row r="28925" spans="32:37">
      <c r="AF28925" s="831" t="s">
        <v>10972</v>
      </c>
      <c r="AG28925" s="831" t="s">
        <v>2674</v>
      </c>
      <c r="AH28925" s="831" t="s">
        <v>569</v>
      </c>
      <c r="AI28925" s="831">
        <v>0</v>
      </c>
      <c r="AJ28925" s="835">
        <v>41455</v>
      </c>
      <c r="AK28925" s="831">
        <v>507070422.30769229</v>
      </c>
    </row>
    <row r="28926" spans="32:37">
      <c r="AF28926" s="831" t="s">
        <v>10973</v>
      </c>
      <c r="AG28926" s="831" t="s">
        <v>2674</v>
      </c>
      <c r="AH28926" s="831" t="s">
        <v>570</v>
      </c>
      <c r="AI28926" s="831">
        <v>0</v>
      </c>
      <c r="AJ28926" s="835">
        <v>41455</v>
      </c>
      <c r="AK28926" s="831">
        <v>99514662.461538464</v>
      </c>
    </row>
    <row r="28927" spans="32:37">
      <c r="AF28927" s="831" t="s">
        <v>10974</v>
      </c>
      <c r="AG28927" s="831" t="s">
        <v>2674</v>
      </c>
      <c r="AH28927" s="831" t="s">
        <v>571</v>
      </c>
      <c r="AI28927" s="831">
        <v>0</v>
      </c>
      <c r="AJ28927" s="835">
        <v>41455</v>
      </c>
      <c r="AK28927" s="831">
        <v>220626949.15384614</v>
      </c>
    </row>
    <row r="28928" spans="32:37">
      <c r="AF28928" s="831" t="s">
        <v>10975</v>
      </c>
      <c r="AG28928" s="831" t="s">
        <v>2674</v>
      </c>
      <c r="AH28928" s="831" t="s">
        <v>573</v>
      </c>
      <c r="AI28928" s="831">
        <v>0</v>
      </c>
      <c r="AJ28928" s="835">
        <v>41455</v>
      </c>
      <c r="AK28928" s="831">
        <v>557218597.28571427</v>
      </c>
    </row>
    <row r="28929" spans="32:37">
      <c r="AF28929" s="831" t="s">
        <v>10976</v>
      </c>
      <c r="AG28929" s="831" t="s">
        <v>2674</v>
      </c>
      <c r="AH28929" s="831" t="s">
        <v>574</v>
      </c>
      <c r="AI28929" s="831">
        <v>0</v>
      </c>
      <c r="AJ28929" s="835">
        <v>41455</v>
      </c>
      <c r="AK28929" s="831">
        <v>460782606.85714287</v>
      </c>
    </row>
    <row r="28930" spans="32:37">
      <c r="AF28930" s="831" t="s">
        <v>10977</v>
      </c>
      <c r="AG28930" s="831" t="s">
        <v>2674</v>
      </c>
      <c r="AH28930" s="831" t="s">
        <v>575</v>
      </c>
      <c r="AI28930" s="831">
        <v>0</v>
      </c>
      <c r="AJ28930" s="835">
        <v>41455</v>
      </c>
      <c r="AK28930" s="831">
        <v>102068019.28571428</v>
      </c>
    </row>
    <row r="28931" spans="32:37">
      <c r="AF28931" s="831" t="s">
        <v>10978</v>
      </c>
      <c r="AG28931" s="831" t="s">
        <v>2674</v>
      </c>
      <c r="AH28931" s="831" t="s">
        <v>576</v>
      </c>
      <c r="AI28931" s="831">
        <v>0</v>
      </c>
      <c r="AJ28931" s="835">
        <v>41455</v>
      </c>
      <c r="AK28931" s="831">
        <v>256882402</v>
      </c>
    </row>
    <row r="28932" spans="32:37">
      <c r="AF28932" s="831" t="s">
        <v>10979</v>
      </c>
      <c r="AG28932" s="831" t="s">
        <v>2674</v>
      </c>
      <c r="AH28932" s="831" t="s">
        <v>572</v>
      </c>
      <c r="AI28932" s="831">
        <v>0</v>
      </c>
      <c r="AJ28932" s="835">
        <v>41455</v>
      </c>
      <c r="AK28932" s="831">
        <v>22784991</v>
      </c>
    </row>
    <row r="28933" spans="32:37">
      <c r="AF28933" s="831" t="s">
        <v>10980</v>
      </c>
      <c r="AG28933" s="831" t="s">
        <v>2674</v>
      </c>
      <c r="AH28933" s="831" t="s">
        <v>577</v>
      </c>
      <c r="AI28933" s="831">
        <v>0</v>
      </c>
      <c r="AJ28933" s="835">
        <v>41455</v>
      </c>
      <c r="AK28933" s="831">
        <v>112999724</v>
      </c>
    </row>
    <row r="28934" spans="32:37">
      <c r="AF28934" s="831" t="s">
        <v>10981</v>
      </c>
      <c r="AG28934" s="831" t="s">
        <v>2674</v>
      </c>
      <c r="AH28934" s="831" t="s">
        <v>3042</v>
      </c>
      <c r="AI28934" s="831">
        <v>0</v>
      </c>
      <c r="AJ28934" s="835">
        <v>41455</v>
      </c>
      <c r="AK28934" s="831">
        <v>-27618860</v>
      </c>
    </row>
    <row r="28935" spans="32:37">
      <c r="AF28935" s="831" t="s">
        <v>10982</v>
      </c>
      <c r="AG28935" s="831" t="s">
        <v>2674</v>
      </c>
      <c r="AH28935" s="831" t="s">
        <v>3044</v>
      </c>
      <c r="AI28935" s="831">
        <v>0</v>
      </c>
      <c r="AJ28935" s="835">
        <v>41455</v>
      </c>
      <c r="AK28935" s="831">
        <v>-4183071</v>
      </c>
    </row>
    <row r="28936" spans="32:37">
      <c r="AF28936" s="831" t="s">
        <v>10983</v>
      </c>
      <c r="AG28936" s="831" t="s">
        <v>2674</v>
      </c>
      <c r="AH28936" s="831" t="s">
        <v>580</v>
      </c>
      <c r="AI28936" s="831">
        <v>0</v>
      </c>
      <c r="AJ28936" s="835">
        <v>41455</v>
      </c>
      <c r="AK28936" s="831">
        <v>-56400279</v>
      </c>
    </row>
    <row r="28937" spans="32:37">
      <c r="AF28937" s="831" t="s">
        <v>10984</v>
      </c>
      <c r="AG28937" s="831" t="s">
        <v>2674</v>
      </c>
      <c r="AH28937" s="831" t="s">
        <v>581</v>
      </c>
      <c r="AI28937" s="831">
        <v>0</v>
      </c>
      <c r="AJ28937" s="835">
        <v>41455</v>
      </c>
      <c r="AK28937" s="831">
        <v>4204371</v>
      </c>
    </row>
    <row r="28938" spans="32:37">
      <c r="AF28938" s="831" t="s">
        <v>10985</v>
      </c>
      <c r="AG28938" s="831" t="s">
        <v>2674</v>
      </c>
      <c r="AH28938" s="831" t="s">
        <v>105</v>
      </c>
      <c r="AI28938" s="831">
        <v>0</v>
      </c>
      <c r="AJ28938" s="835">
        <v>41455</v>
      </c>
      <c r="AK28938" s="831">
        <v>314742537</v>
      </c>
    </row>
    <row r="28939" spans="32:37">
      <c r="AF28939" s="831" t="s">
        <v>10986</v>
      </c>
      <c r="AG28939" s="831" t="s">
        <v>2674</v>
      </c>
      <c r="AH28939" s="831" t="s">
        <v>3049</v>
      </c>
      <c r="AI28939" s="831">
        <v>0</v>
      </c>
      <c r="AJ28939" s="835">
        <v>41455</v>
      </c>
      <c r="AK28939" s="831">
        <v>517978918</v>
      </c>
    </row>
    <row r="28940" spans="32:37">
      <c r="AF28940" s="831" t="s">
        <v>10987</v>
      </c>
      <c r="AG28940" s="831" t="s">
        <v>2674</v>
      </c>
      <c r="AH28940" s="831" t="s">
        <v>103</v>
      </c>
      <c r="AI28940" s="831">
        <v>0</v>
      </c>
      <c r="AJ28940" s="835">
        <v>41455</v>
      </c>
      <c r="AK28940" s="831">
        <v>203236381</v>
      </c>
    </row>
    <row r="28941" spans="32:37">
      <c r="AF28941" s="831" t="s">
        <v>10988</v>
      </c>
      <c r="AG28941" s="831" t="s">
        <v>2674</v>
      </c>
      <c r="AH28941" s="831" t="s">
        <v>182</v>
      </c>
      <c r="AI28941" s="831">
        <v>0</v>
      </c>
      <c r="AJ28941" s="835">
        <v>41455</v>
      </c>
      <c r="AK28941" s="831">
        <v>57441170</v>
      </c>
    </row>
    <row r="28942" spans="32:37">
      <c r="AF28942" s="831" t="s">
        <v>10989</v>
      </c>
      <c r="AG28942" s="831" t="s">
        <v>2674</v>
      </c>
      <c r="AH28942" s="831" t="s">
        <v>6600</v>
      </c>
      <c r="AI28942" s="831">
        <v>0</v>
      </c>
      <c r="AJ28942" s="835">
        <v>41455</v>
      </c>
      <c r="AK28942" s="831">
        <v>22784991</v>
      </c>
    </row>
    <row r="28943" spans="32:37">
      <c r="AF28943" s="831" t="s">
        <v>10990</v>
      </c>
      <c r="AG28943" s="831" t="s">
        <v>2674</v>
      </c>
      <c r="AH28943" s="831" t="s">
        <v>6602</v>
      </c>
      <c r="AI28943" s="831">
        <v>0</v>
      </c>
      <c r="AJ28943" s="835">
        <v>41455</v>
      </c>
      <c r="AK28943" s="831">
        <v>13297133</v>
      </c>
    </row>
    <row r="28944" spans="32:37">
      <c r="AF28944" s="831" t="s">
        <v>10991</v>
      </c>
      <c r="AG28944" s="831" t="s">
        <v>2674</v>
      </c>
      <c r="AH28944" s="831" t="s">
        <v>650</v>
      </c>
      <c r="AI28944" s="831">
        <v>0</v>
      </c>
      <c r="AJ28944" s="835">
        <v>41455</v>
      </c>
      <c r="AK28944" s="831">
        <v>173391733.15384614</v>
      </c>
    </row>
    <row r="28945" spans="32:37">
      <c r="AF28945" s="831" t="s">
        <v>10992</v>
      </c>
      <c r="AG28945" s="831" t="s">
        <v>2674</v>
      </c>
      <c r="AH28945" s="831" t="s">
        <v>655</v>
      </c>
      <c r="AI28945" s="831">
        <v>0</v>
      </c>
      <c r="AJ28945" s="835">
        <v>41455</v>
      </c>
      <c r="AK28945" s="831">
        <v>1055339.06</v>
      </c>
    </row>
    <row r="28946" spans="32:37">
      <c r="AF28946" s="831" t="s">
        <v>10993</v>
      </c>
      <c r="AG28946" s="831" t="s">
        <v>2674</v>
      </c>
      <c r="AH28946" s="831" t="s">
        <v>546</v>
      </c>
      <c r="AI28946" s="831">
        <v>0</v>
      </c>
      <c r="AJ28946" s="835">
        <v>41486</v>
      </c>
      <c r="AK28946" s="831">
        <v>530405930</v>
      </c>
    </row>
    <row r="28947" spans="32:37">
      <c r="AF28947" s="831" t="s">
        <v>10994</v>
      </c>
      <c r="AG28947" s="831" t="s">
        <v>2674</v>
      </c>
      <c r="AH28947" s="831" t="s">
        <v>370</v>
      </c>
      <c r="AI28947" s="831">
        <v>0</v>
      </c>
      <c r="AJ28947" s="835">
        <v>41486</v>
      </c>
      <c r="AK28947" s="831">
        <v>658328328</v>
      </c>
    </row>
    <row r="28948" spans="32:37">
      <c r="AF28948" s="831" t="s">
        <v>10995</v>
      </c>
      <c r="AG28948" s="831" t="s">
        <v>2674</v>
      </c>
      <c r="AH28948" s="831" t="s">
        <v>126</v>
      </c>
      <c r="AI28948" s="831">
        <v>0</v>
      </c>
      <c r="AJ28948" s="835">
        <v>41486</v>
      </c>
      <c r="AK28948" s="831">
        <v>110887562</v>
      </c>
    </row>
    <row r="28949" spans="32:37">
      <c r="AF28949" s="831" t="s">
        <v>10996</v>
      </c>
      <c r="AG28949" s="831" t="s">
        <v>2674</v>
      </c>
      <c r="AH28949" s="831" t="s">
        <v>268</v>
      </c>
      <c r="AI28949" s="831">
        <v>0</v>
      </c>
      <c r="AJ28949" s="835">
        <v>41486</v>
      </c>
      <c r="AK28949" s="831">
        <v>16124340</v>
      </c>
    </row>
    <row r="28950" spans="32:37">
      <c r="AF28950" s="831" t="s">
        <v>10997</v>
      </c>
      <c r="AG28950" s="831" t="s">
        <v>2674</v>
      </c>
      <c r="AH28950" s="831" t="s">
        <v>547</v>
      </c>
      <c r="AI28950" s="831">
        <v>0</v>
      </c>
      <c r="AJ28950" s="835">
        <v>41486</v>
      </c>
      <c r="AK28950" s="831">
        <v>511487760</v>
      </c>
    </row>
    <row r="28951" spans="32:37">
      <c r="AF28951" s="831" t="s">
        <v>10998</v>
      </c>
      <c r="AG28951" s="831" t="s">
        <v>2674</v>
      </c>
      <c r="AH28951" s="831" t="s">
        <v>548</v>
      </c>
      <c r="AI28951" s="831">
        <v>0</v>
      </c>
      <c r="AJ28951" s="835">
        <v>41486</v>
      </c>
      <c r="AK28951" s="831">
        <v>96883184</v>
      </c>
    </row>
    <row r="28952" spans="32:37">
      <c r="AF28952" s="831" t="s">
        <v>10999</v>
      </c>
      <c r="AG28952" s="831" t="s">
        <v>2674</v>
      </c>
      <c r="AH28952" s="831" t="s">
        <v>549</v>
      </c>
      <c r="AI28952" s="831">
        <v>0</v>
      </c>
      <c r="AJ28952" s="835">
        <v>41486</v>
      </c>
      <c r="AK28952" s="831">
        <v>350104350</v>
      </c>
    </row>
    <row r="28953" spans="32:37">
      <c r="AF28953" s="831" t="s">
        <v>11000</v>
      </c>
      <c r="AG28953" s="831" t="s">
        <v>2674</v>
      </c>
      <c r="AH28953" s="831" t="s">
        <v>192</v>
      </c>
      <c r="AI28953" s="831">
        <v>0</v>
      </c>
      <c r="AJ28953" s="835">
        <v>41486</v>
      </c>
      <c r="AK28953" s="831">
        <v>-11946675</v>
      </c>
    </row>
    <row r="28954" spans="32:37">
      <c r="AF28954" s="831" t="s">
        <v>11001</v>
      </c>
      <c r="AG28954" s="831" t="s">
        <v>2674</v>
      </c>
      <c r="AH28954" s="831" t="s">
        <v>558</v>
      </c>
      <c r="AI28954" s="831">
        <v>0</v>
      </c>
      <c r="AJ28954" s="835">
        <v>41486</v>
      </c>
      <c r="AK28954" s="831">
        <v>547440766</v>
      </c>
    </row>
    <row r="28955" spans="32:37">
      <c r="AF28955" s="831" t="s">
        <v>11002</v>
      </c>
      <c r="AG28955" s="831" t="s">
        <v>2674</v>
      </c>
      <c r="AH28955" s="831" t="s">
        <v>65</v>
      </c>
      <c r="AI28955" s="831">
        <v>0</v>
      </c>
      <c r="AJ28955" s="835">
        <v>41486</v>
      </c>
      <c r="AK28955" s="831">
        <v>71979253</v>
      </c>
    </row>
    <row r="28956" spans="32:37">
      <c r="AF28956" s="831" t="s">
        <v>11003</v>
      </c>
      <c r="AG28956" s="831" t="s">
        <v>2674</v>
      </c>
      <c r="AH28956" s="831" t="s">
        <v>89</v>
      </c>
      <c r="AI28956" s="831">
        <v>0</v>
      </c>
      <c r="AJ28956" s="835">
        <v>41486</v>
      </c>
      <c r="AK28956" s="831">
        <v>138057</v>
      </c>
    </row>
    <row r="28957" spans="32:37">
      <c r="AF28957" s="831" t="s">
        <v>11004</v>
      </c>
      <c r="AG28957" s="831" t="s">
        <v>2674</v>
      </c>
      <c r="AH28957" s="831" t="s">
        <v>557</v>
      </c>
      <c r="AI28957" s="831">
        <v>0</v>
      </c>
      <c r="AJ28957" s="835">
        <v>41486</v>
      </c>
      <c r="AK28957" s="831">
        <v>145518</v>
      </c>
    </row>
    <row r="28958" spans="32:37">
      <c r="AF28958" s="831" t="s">
        <v>11005</v>
      </c>
      <c r="AG28958" s="831" t="s">
        <v>2674</v>
      </c>
      <c r="AH28958" s="831" t="s">
        <v>29</v>
      </c>
      <c r="AI28958" s="831">
        <v>0</v>
      </c>
      <c r="AJ28958" s="835">
        <v>41486</v>
      </c>
      <c r="AK28958" s="831">
        <v>1452161.1670000001</v>
      </c>
    </row>
    <row r="28959" spans="32:37">
      <c r="AF28959" s="831" t="s">
        <v>11006</v>
      </c>
      <c r="AG28959" s="831" t="s">
        <v>2674</v>
      </c>
      <c r="AH28959" s="831" t="s">
        <v>2688</v>
      </c>
      <c r="AI28959" s="831">
        <v>0</v>
      </c>
      <c r="AJ28959" s="835">
        <v>41486</v>
      </c>
      <c r="AK28959" s="831">
        <v>1987224.58</v>
      </c>
    </row>
    <row r="28960" spans="32:37">
      <c r="AF28960" s="831" t="s">
        <v>11007</v>
      </c>
      <c r="AG28960" s="831" t="s">
        <v>2674</v>
      </c>
      <c r="AH28960" s="831" t="s">
        <v>556</v>
      </c>
      <c r="AI28960" s="831">
        <v>0</v>
      </c>
      <c r="AJ28960" s="835">
        <v>41486</v>
      </c>
      <c r="AK28960" s="831">
        <v>2547589</v>
      </c>
    </row>
    <row r="28961" spans="32:37">
      <c r="AF28961" s="831" t="s">
        <v>11008</v>
      </c>
      <c r="AG28961" s="831" t="s">
        <v>2674</v>
      </c>
      <c r="AH28961" s="831" t="s">
        <v>555</v>
      </c>
      <c r="AI28961" s="831">
        <v>0</v>
      </c>
      <c r="AJ28961" s="835">
        <v>41486</v>
      </c>
      <c r="AK28961" s="831">
        <v>359140020</v>
      </c>
    </row>
    <row r="28962" spans="32:37">
      <c r="AF28962" s="831" t="s">
        <v>11009</v>
      </c>
      <c r="AG28962" s="831" t="s">
        <v>2674</v>
      </c>
      <c r="AH28962" s="831" t="s">
        <v>554</v>
      </c>
      <c r="AI28962" s="831">
        <v>0</v>
      </c>
      <c r="AJ28962" s="835">
        <v>41486</v>
      </c>
      <c r="AK28962" s="831">
        <v>364984870</v>
      </c>
    </row>
    <row r="28963" spans="32:37">
      <c r="AF28963" s="831" t="s">
        <v>11010</v>
      </c>
      <c r="AG28963" s="831" t="s">
        <v>2674</v>
      </c>
      <c r="AH28963" s="831" t="s">
        <v>553</v>
      </c>
      <c r="AI28963" s="831">
        <v>0</v>
      </c>
      <c r="AJ28963" s="835">
        <v>41486</v>
      </c>
      <c r="AK28963" s="831">
        <v>0</v>
      </c>
    </row>
    <row r="28964" spans="32:37">
      <c r="AF28964" s="831" t="s">
        <v>11011</v>
      </c>
      <c r="AG28964" s="831" t="s">
        <v>2674</v>
      </c>
      <c r="AH28964" s="831" t="s">
        <v>552</v>
      </c>
      <c r="AI28964" s="831">
        <v>0</v>
      </c>
      <c r="AJ28964" s="835">
        <v>41486</v>
      </c>
      <c r="AK28964" s="831">
        <v>0</v>
      </c>
    </row>
    <row r="28965" spans="32:37">
      <c r="AF28965" s="831" t="s">
        <v>11012</v>
      </c>
      <c r="AG28965" s="831" t="s">
        <v>2674</v>
      </c>
      <c r="AH28965" s="831" t="s">
        <v>551</v>
      </c>
      <c r="AI28965" s="831">
        <v>0</v>
      </c>
      <c r="AJ28965" s="835">
        <v>41486</v>
      </c>
      <c r="AK28965" s="831">
        <v>1334074.5780000002</v>
      </c>
    </row>
    <row r="28966" spans="32:37">
      <c r="AF28966" s="831" t="s">
        <v>11013</v>
      </c>
      <c r="AG28966" s="831" t="s">
        <v>2674</v>
      </c>
      <c r="AH28966" s="831" t="s">
        <v>550</v>
      </c>
      <c r="AI28966" s="831">
        <v>0</v>
      </c>
      <c r="AJ28966" s="835">
        <v>41486</v>
      </c>
      <c r="AK28966" s="831">
        <v>108060358</v>
      </c>
    </row>
    <row r="28967" spans="32:37">
      <c r="AF28967" s="831" t="s">
        <v>11014</v>
      </c>
      <c r="AG28967" s="831" t="s">
        <v>2674</v>
      </c>
      <c r="AH28967" s="831" t="s">
        <v>562</v>
      </c>
      <c r="AI28967" s="831">
        <v>0</v>
      </c>
      <c r="AJ28967" s="835">
        <v>41486</v>
      </c>
      <c r="AK28967" s="831">
        <v>0.78374999999999995</v>
      </c>
    </row>
    <row r="28968" spans="32:37">
      <c r="AF28968" s="831" t="s">
        <v>11015</v>
      </c>
      <c r="AG28968" s="831" t="s">
        <v>2674</v>
      </c>
      <c r="AH28968" s="831" t="s">
        <v>2698</v>
      </c>
      <c r="AI28968" s="831">
        <v>0</v>
      </c>
      <c r="AJ28968" s="835">
        <v>41486</v>
      </c>
      <c r="AK28968" s="831">
        <v>0.78395000000000004</v>
      </c>
    </row>
    <row r="28969" spans="32:37">
      <c r="AF28969" s="831" t="s">
        <v>11016</v>
      </c>
      <c r="AG28969" s="831" t="s">
        <v>2674</v>
      </c>
      <c r="AH28969" s="831" t="s">
        <v>560</v>
      </c>
      <c r="AI28969" s="831">
        <v>0</v>
      </c>
      <c r="AJ28969" s="835">
        <v>41486</v>
      </c>
      <c r="AK28969" s="831">
        <v>0.78403571428571439</v>
      </c>
    </row>
    <row r="28970" spans="32:37">
      <c r="AF28970" s="831" t="s">
        <v>11017</v>
      </c>
      <c r="AG28970" s="831" t="s">
        <v>2674</v>
      </c>
      <c r="AH28970" s="831" t="s">
        <v>559</v>
      </c>
      <c r="AI28970" s="831">
        <v>0</v>
      </c>
      <c r="AJ28970" s="835">
        <v>41486</v>
      </c>
      <c r="AK28970" s="831">
        <v>0.7841583333333334</v>
      </c>
    </row>
    <row r="28971" spans="32:37">
      <c r="AF28971" s="831" t="s">
        <v>11018</v>
      </c>
      <c r="AG28971" s="831" t="s">
        <v>2674</v>
      </c>
      <c r="AH28971" s="831" t="s">
        <v>568</v>
      </c>
      <c r="AI28971" s="831">
        <v>0</v>
      </c>
      <c r="AJ28971" s="835">
        <v>41486</v>
      </c>
      <c r="AK28971" s="831">
        <v>431219750.30769229</v>
      </c>
    </row>
    <row r="28972" spans="32:37">
      <c r="AF28972" s="831" t="s">
        <v>11019</v>
      </c>
      <c r="AG28972" s="831" t="s">
        <v>2674</v>
      </c>
      <c r="AH28972" s="831" t="s">
        <v>569</v>
      </c>
      <c r="AI28972" s="831">
        <v>0</v>
      </c>
      <c r="AJ28972" s="835">
        <v>41486</v>
      </c>
      <c r="AK28972" s="831">
        <v>525226803</v>
      </c>
    </row>
    <row r="28973" spans="32:37">
      <c r="AF28973" s="831" t="s">
        <v>11020</v>
      </c>
      <c r="AG28973" s="831" t="s">
        <v>2674</v>
      </c>
      <c r="AH28973" s="831" t="s">
        <v>570</v>
      </c>
      <c r="AI28973" s="831">
        <v>0</v>
      </c>
      <c r="AJ28973" s="835">
        <v>41486</v>
      </c>
      <c r="AK28973" s="831">
        <v>100992550.61538461</v>
      </c>
    </row>
    <row r="28974" spans="32:37">
      <c r="AF28974" s="831" t="s">
        <v>11021</v>
      </c>
      <c r="AG28974" s="831" t="s">
        <v>2674</v>
      </c>
      <c r="AH28974" s="831" t="s">
        <v>571</v>
      </c>
      <c r="AI28974" s="831">
        <v>0</v>
      </c>
      <c r="AJ28974" s="835">
        <v>41486</v>
      </c>
      <c r="AK28974" s="831">
        <v>233627225.76923078</v>
      </c>
    </row>
    <row r="28975" spans="32:37">
      <c r="AF28975" s="831" t="s">
        <v>11022</v>
      </c>
      <c r="AG28975" s="831" t="s">
        <v>2674</v>
      </c>
      <c r="AH28975" s="831" t="s">
        <v>573</v>
      </c>
      <c r="AI28975" s="831">
        <v>0</v>
      </c>
      <c r="AJ28975" s="835">
        <v>41486</v>
      </c>
      <c r="AK28975" s="831">
        <v>569857313.625</v>
      </c>
    </row>
    <row r="28976" spans="32:37">
      <c r="AF28976" s="831" t="s">
        <v>11023</v>
      </c>
      <c r="AG28976" s="831" t="s">
        <v>2674</v>
      </c>
      <c r="AH28976" s="831" t="s">
        <v>574</v>
      </c>
      <c r="AI28976" s="831">
        <v>0</v>
      </c>
      <c r="AJ28976" s="835">
        <v>41486</v>
      </c>
      <c r="AK28976" s="831">
        <v>469485522.25</v>
      </c>
    </row>
    <row r="28977" spans="32:37">
      <c r="AF28977" s="831" t="s">
        <v>11024</v>
      </c>
      <c r="AG28977" s="831" t="s">
        <v>2674</v>
      </c>
      <c r="AH28977" s="831" t="s">
        <v>575</v>
      </c>
      <c r="AI28977" s="831">
        <v>0</v>
      </c>
      <c r="AJ28977" s="835">
        <v>41486</v>
      </c>
      <c r="AK28977" s="831">
        <v>103170462.125</v>
      </c>
    </row>
    <row r="28978" spans="32:37">
      <c r="AF28978" s="831" t="s">
        <v>11025</v>
      </c>
      <c r="AG28978" s="831" t="s">
        <v>2674</v>
      </c>
      <c r="AH28978" s="831" t="s">
        <v>576</v>
      </c>
      <c r="AI28978" s="831">
        <v>0</v>
      </c>
      <c r="AJ28978" s="835">
        <v>41486</v>
      </c>
      <c r="AK28978" s="831">
        <v>265012255.125</v>
      </c>
    </row>
    <row r="28979" spans="32:37">
      <c r="AF28979" s="831" t="s">
        <v>11026</v>
      </c>
      <c r="AG28979" s="831" t="s">
        <v>2674</v>
      </c>
      <c r="AH28979" s="831" t="s">
        <v>572</v>
      </c>
      <c r="AI28979" s="831">
        <v>0</v>
      </c>
      <c r="AJ28979" s="835">
        <v>41486</v>
      </c>
      <c r="AK28979" s="831">
        <v>23860386</v>
      </c>
    </row>
    <row r="28980" spans="32:37">
      <c r="AF28980" s="831" t="s">
        <v>11027</v>
      </c>
      <c r="AG28980" s="831" t="s">
        <v>2674</v>
      </c>
      <c r="AH28980" s="831" t="s">
        <v>577</v>
      </c>
      <c r="AI28980" s="831">
        <v>0</v>
      </c>
      <c r="AJ28980" s="835">
        <v>41486</v>
      </c>
      <c r="AK28980" s="831">
        <v>116281669</v>
      </c>
    </row>
    <row r="28981" spans="32:37">
      <c r="AF28981" s="831" t="s">
        <v>11028</v>
      </c>
      <c r="AG28981" s="831" t="s">
        <v>2674</v>
      </c>
      <c r="AH28981" s="831" t="s">
        <v>3042</v>
      </c>
      <c r="AI28981" s="831">
        <v>0</v>
      </c>
      <c r="AJ28981" s="835">
        <v>41486</v>
      </c>
      <c r="AK28981" s="831">
        <v>-28313674</v>
      </c>
    </row>
    <row r="28982" spans="32:37">
      <c r="AF28982" s="831" t="s">
        <v>11029</v>
      </c>
      <c r="AG28982" s="831" t="s">
        <v>2674</v>
      </c>
      <c r="AH28982" s="831" t="s">
        <v>3044</v>
      </c>
      <c r="AI28982" s="831">
        <v>0</v>
      </c>
      <c r="AJ28982" s="835">
        <v>41486</v>
      </c>
      <c r="AK28982" s="831">
        <v>-4195755</v>
      </c>
    </row>
    <row r="28983" spans="32:37">
      <c r="AF28983" s="831" t="s">
        <v>11030</v>
      </c>
      <c r="AG28983" s="831" t="s">
        <v>2674</v>
      </c>
      <c r="AH28983" s="831" t="s">
        <v>580</v>
      </c>
      <c r="AI28983" s="831">
        <v>0</v>
      </c>
      <c r="AJ28983" s="835">
        <v>41486</v>
      </c>
      <c r="AK28983" s="831">
        <v>-57513801</v>
      </c>
    </row>
    <row r="28984" spans="32:37">
      <c r="AF28984" s="831" t="s">
        <v>11031</v>
      </c>
      <c r="AG28984" s="831" t="s">
        <v>2674</v>
      </c>
      <c r="AH28984" s="831" t="s">
        <v>581</v>
      </c>
      <c r="AI28984" s="831">
        <v>0</v>
      </c>
      <c r="AJ28984" s="835">
        <v>41486</v>
      </c>
      <c r="AK28984" s="831">
        <v>4189789</v>
      </c>
    </row>
    <row r="28985" spans="32:37">
      <c r="AF28985" s="831" t="s">
        <v>11032</v>
      </c>
      <c r="AG28985" s="831" t="s">
        <v>2674</v>
      </c>
      <c r="AH28985" s="831" t="s">
        <v>105</v>
      </c>
      <c r="AI28985" s="831">
        <v>0</v>
      </c>
      <c r="AJ28985" s="835">
        <v>41486</v>
      </c>
      <c r="AK28985" s="831">
        <v>321921227</v>
      </c>
    </row>
    <row r="28986" spans="32:37">
      <c r="AF28986" s="831" t="s">
        <v>11033</v>
      </c>
      <c r="AG28986" s="831" t="s">
        <v>2674</v>
      </c>
      <c r="AH28986" s="831" t="s">
        <v>3049</v>
      </c>
      <c r="AI28986" s="831">
        <v>0</v>
      </c>
      <c r="AJ28986" s="835">
        <v>41486</v>
      </c>
      <c r="AK28986" s="831">
        <v>533353115</v>
      </c>
    </row>
    <row r="28987" spans="32:37">
      <c r="AF28987" s="831" t="s">
        <v>11034</v>
      </c>
      <c r="AG28987" s="831" t="s">
        <v>2674</v>
      </c>
      <c r="AH28987" s="831" t="s">
        <v>103</v>
      </c>
      <c r="AI28987" s="831">
        <v>0</v>
      </c>
      <c r="AJ28987" s="835">
        <v>41486</v>
      </c>
      <c r="AK28987" s="831">
        <v>211431888</v>
      </c>
    </row>
    <row r="28988" spans="32:37">
      <c r="AF28988" s="831" t="s">
        <v>11035</v>
      </c>
      <c r="AG28988" s="831" t="s">
        <v>2674</v>
      </c>
      <c r="AH28988" s="831" t="s">
        <v>182</v>
      </c>
      <c r="AI28988" s="831">
        <v>0</v>
      </c>
      <c r="AJ28988" s="835">
        <v>41486</v>
      </c>
      <c r="AK28988" s="831">
        <v>58107797.142857142</v>
      </c>
    </row>
    <row r="28989" spans="32:37">
      <c r="AF28989" s="831" t="s">
        <v>11036</v>
      </c>
      <c r="AG28989" s="831" t="s">
        <v>2674</v>
      </c>
      <c r="AH28989" s="831" t="s">
        <v>6600</v>
      </c>
      <c r="AI28989" s="831">
        <v>0</v>
      </c>
      <c r="AJ28989" s="835">
        <v>41486</v>
      </c>
      <c r="AK28989" s="831">
        <v>23860386</v>
      </c>
    </row>
    <row r="28990" spans="32:37">
      <c r="AF28990" s="831" t="s">
        <v>11037</v>
      </c>
      <c r="AG28990" s="831" t="s">
        <v>2674</v>
      </c>
      <c r="AH28990" s="831" t="s">
        <v>6602</v>
      </c>
      <c r="AI28990" s="831">
        <v>0</v>
      </c>
      <c r="AJ28990" s="835">
        <v>41486</v>
      </c>
      <c r="AK28990" s="831">
        <v>16124340</v>
      </c>
    </row>
    <row r="28991" spans="32:37">
      <c r="AF28991" s="831" t="s">
        <v>11038</v>
      </c>
      <c r="AG28991" s="831" t="s">
        <v>2674</v>
      </c>
      <c r="AH28991" s="831" t="s">
        <v>650</v>
      </c>
      <c r="AI28991" s="831">
        <v>0</v>
      </c>
      <c r="AJ28991" s="835">
        <v>41486</v>
      </c>
      <c r="AK28991" s="831">
        <v>176984761.69230768</v>
      </c>
    </row>
    <row r="28992" spans="32:37">
      <c r="AF28992" s="831" t="s">
        <v>11039</v>
      </c>
      <c r="AG28992" s="831" t="s">
        <v>2674</v>
      </c>
      <c r="AH28992" s="831" t="s">
        <v>655</v>
      </c>
      <c r="AI28992" s="831">
        <v>0</v>
      </c>
      <c r="AJ28992" s="835">
        <v>41486</v>
      </c>
      <c r="AK28992" s="831">
        <v>1081919.6189999999</v>
      </c>
    </row>
    <row r="28993" spans="32:37">
      <c r="AF28993" s="831" t="s">
        <v>11040</v>
      </c>
      <c r="AG28993" s="831" t="s">
        <v>2674</v>
      </c>
      <c r="AH28993" s="831" t="s">
        <v>546</v>
      </c>
      <c r="AI28993" s="831">
        <v>0</v>
      </c>
      <c r="AJ28993" s="835">
        <v>41517</v>
      </c>
      <c r="AK28993" s="831">
        <v>548671343</v>
      </c>
    </row>
    <row r="28994" spans="32:37">
      <c r="AF28994" s="831" t="s">
        <v>11041</v>
      </c>
      <c r="AG28994" s="831" t="s">
        <v>2674</v>
      </c>
      <c r="AH28994" s="831" t="s">
        <v>370</v>
      </c>
      <c r="AI28994" s="831">
        <v>0</v>
      </c>
      <c r="AJ28994" s="835">
        <v>41517</v>
      </c>
      <c r="AK28994" s="831">
        <v>657414575</v>
      </c>
    </row>
    <row r="28995" spans="32:37">
      <c r="AF28995" s="831" t="s">
        <v>11042</v>
      </c>
      <c r="AG28995" s="831" t="s">
        <v>2674</v>
      </c>
      <c r="AH28995" s="831" t="s">
        <v>126</v>
      </c>
      <c r="AI28995" s="831">
        <v>0</v>
      </c>
      <c r="AJ28995" s="835">
        <v>41517</v>
      </c>
      <c r="AK28995" s="831">
        <v>113874944</v>
      </c>
    </row>
    <row r="28996" spans="32:37">
      <c r="AF28996" s="831" t="s">
        <v>11043</v>
      </c>
      <c r="AG28996" s="831" t="s">
        <v>2674</v>
      </c>
      <c r="AH28996" s="831" t="s">
        <v>268</v>
      </c>
      <c r="AI28996" s="831">
        <v>0</v>
      </c>
      <c r="AJ28996" s="835">
        <v>41517</v>
      </c>
      <c r="AK28996" s="831">
        <v>19111719</v>
      </c>
    </row>
    <row r="28997" spans="32:37">
      <c r="AF28997" s="831" t="s">
        <v>11044</v>
      </c>
      <c r="AG28997" s="831" t="s">
        <v>2674</v>
      </c>
      <c r="AH28997" s="831" t="s">
        <v>547</v>
      </c>
      <c r="AI28997" s="831">
        <v>0</v>
      </c>
      <c r="AJ28997" s="835">
        <v>41517</v>
      </c>
      <c r="AK28997" s="831">
        <v>511487760</v>
      </c>
    </row>
    <row r="28998" spans="32:37">
      <c r="AF28998" s="831" t="s">
        <v>11045</v>
      </c>
      <c r="AG28998" s="831" t="s">
        <v>2674</v>
      </c>
      <c r="AH28998" s="831" t="s">
        <v>548</v>
      </c>
      <c r="AI28998" s="831">
        <v>0</v>
      </c>
      <c r="AJ28998" s="835">
        <v>41517</v>
      </c>
      <c r="AK28998" s="831">
        <v>96883184</v>
      </c>
    </row>
    <row r="28999" spans="32:37">
      <c r="AF28999" s="831" t="s">
        <v>11046</v>
      </c>
      <c r="AG28999" s="831" t="s">
        <v>2674</v>
      </c>
      <c r="AH28999" s="831" t="s">
        <v>549</v>
      </c>
      <c r="AI28999" s="831">
        <v>0</v>
      </c>
      <c r="AJ28999" s="835">
        <v>41517</v>
      </c>
      <c r="AK28999" s="831">
        <v>362295244</v>
      </c>
    </row>
    <row r="29000" spans="32:37">
      <c r="AF29000" s="831" t="s">
        <v>11047</v>
      </c>
      <c r="AG29000" s="831" t="s">
        <v>2674</v>
      </c>
      <c r="AH29000" s="831" t="s">
        <v>192</v>
      </c>
      <c r="AI29000" s="831">
        <v>0</v>
      </c>
      <c r="AJ29000" s="835">
        <v>41517</v>
      </c>
      <c r="AK29000" s="831">
        <v>-12472831</v>
      </c>
    </row>
    <row r="29001" spans="32:37">
      <c r="AF29001" s="831" t="s">
        <v>11048</v>
      </c>
      <c r="AG29001" s="831" t="s">
        <v>2674</v>
      </c>
      <c r="AH29001" s="831" t="s">
        <v>558</v>
      </c>
      <c r="AI29001" s="831">
        <v>0</v>
      </c>
      <c r="AJ29001" s="835">
        <v>41517</v>
      </c>
      <c r="AK29001" s="831">
        <v>543539630.65999997</v>
      </c>
    </row>
    <row r="29002" spans="32:37">
      <c r="AF29002" s="831" t="s">
        <v>11049</v>
      </c>
      <c r="AG29002" s="831" t="s">
        <v>2674</v>
      </c>
      <c r="AH29002" s="831" t="s">
        <v>65</v>
      </c>
      <c r="AI29002" s="831">
        <v>0</v>
      </c>
      <c r="AJ29002" s="835">
        <v>41517</v>
      </c>
      <c r="AK29002" s="831">
        <v>83388551</v>
      </c>
    </row>
    <row r="29003" spans="32:37">
      <c r="AF29003" s="831" t="s">
        <v>11050</v>
      </c>
      <c r="AG29003" s="831" t="s">
        <v>2674</v>
      </c>
      <c r="AH29003" s="831" t="s">
        <v>89</v>
      </c>
      <c r="AI29003" s="831">
        <v>0</v>
      </c>
      <c r="AJ29003" s="835">
        <v>41517</v>
      </c>
      <c r="AK29003" s="831">
        <v>139614</v>
      </c>
    </row>
    <row r="29004" spans="32:37">
      <c r="AF29004" s="831" t="s">
        <v>11051</v>
      </c>
      <c r="AG29004" s="831" t="s">
        <v>2674</v>
      </c>
      <c r="AH29004" s="831" t="s">
        <v>557</v>
      </c>
      <c r="AI29004" s="831">
        <v>0</v>
      </c>
      <c r="AJ29004" s="835">
        <v>41517</v>
      </c>
      <c r="AK29004" s="831">
        <v>147732</v>
      </c>
    </row>
    <row r="29005" spans="32:37">
      <c r="AF29005" s="831" t="s">
        <v>11052</v>
      </c>
      <c r="AG29005" s="831" t="s">
        <v>2674</v>
      </c>
      <c r="AH29005" s="831" t="s">
        <v>29</v>
      </c>
      <c r="AI29005" s="831">
        <v>0</v>
      </c>
      <c r="AJ29005" s="835">
        <v>41517</v>
      </c>
      <c r="AK29005" s="831">
        <v>1641079.85</v>
      </c>
    </row>
    <row r="29006" spans="32:37">
      <c r="AF29006" s="831" t="s">
        <v>11053</v>
      </c>
      <c r="AG29006" s="831" t="s">
        <v>2674</v>
      </c>
      <c r="AH29006" s="831" t="s">
        <v>2688</v>
      </c>
      <c r="AI29006" s="831">
        <v>0</v>
      </c>
      <c r="AJ29006" s="835">
        <v>41517</v>
      </c>
      <c r="AK29006" s="831">
        <v>1980496.8299999998</v>
      </c>
    </row>
    <row r="29007" spans="32:37">
      <c r="AF29007" s="831" t="s">
        <v>11054</v>
      </c>
      <c r="AG29007" s="831" t="s">
        <v>2674</v>
      </c>
      <c r="AH29007" s="831" t="s">
        <v>556</v>
      </c>
      <c r="AI29007" s="831">
        <v>0</v>
      </c>
      <c r="AJ29007" s="835">
        <v>41517</v>
      </c>
      <c r="AK29007" s="831">
        <v>1644732</v>
      </c>
    </row>
    <row r="29008" spans="32:37">
      <c r="AF29008" s="831" t="s">
        <v>11055</v>
      </c>
      <c r="AG29008" s="831" t="s">
        <v>2674</v>
      </c>
      <c r="AH29008" s="831" t="s">
        <v>555</v>
      </c>
      <c r="AI29008" s="831">
        <v>0</v>
      </c>
      <c r="AJ29008" s="835">
        <v>41517</v>
      </c>
      <c r="AK29008" s="831">
        <v>349976200</v>
      </c>
    </row>
    <row r="29009" spans="32:37">
      <c r="AF29009" s="831" t="s">
        <v>11056</v>
      </c>
      <c r="AG29009" s="831" t="s">
        <v>2674</v>
      </c>
      <c r="AH29009" s="831" t="s">
        <v>554</v>
      </c>
      <c r="AI29009" s="831">
        <v>0</v>
      </c>
      <c r="AJ29009" s="835">
        <v>41517</v>
      </c>
      <c r="AK29009" s="831">
        <v>362271180</v>
      </c>
    </row>
    <row r="29010" spans="32:37">
      <c r="AF29010" s="831" t="s">
        <v>11057</v>
      </c>
      <c r="AG29010" s="831" t="s">
        <v>2674</v>
      </c>
      <c r="AH29010" s="831" t="s">
        <v>553</v>
      </c>
      <c r="AI29010" s="831">
        <v>0</v>
      </c>
      <c r="AJ29010" s="835">
        <v>41517</v>
      </c>
      <c r="AK29010" s="831">
        <v>0</v>
      </c>
    </row>
    <row r="29011" spans="32:37">
      <c r="AF29011" s="831" t="s">
        <v>11058</v>
      </c>
      <c r="AG29011" s="831" t="s">
        <v>2674</v>
      </c>
      <c r="AH29011" s="831" t="s">
        <v>552</v>
      </c>
      <c r="AI29011" s="831">
        <v>0</v>
      </c>
      <c r="AJ29011" s="835">
        <v>41517</v>
      </c>
      <c r="AK29011" s="831">
        <v>0</v>
      </c>
    </row>
    <row r="29012" spans="32:37">
      <c r="AF29012" s="831" t="s">
        <v>11059</v>
      </c>
      <c r="AG29012" s="831" t="s">
        <v>2674</v>
      </c>
      <c r="AH29012" s="831" t="s">
        <v>551</v>
      </c>
      <c r="AI29012" s="831">
        <v>0</v>
      </c>
      <c r="AJ29012" s="835">
        <v>41517</v>
      </c>
      <c r="AK29012" s="831">
        <v>1337345.54</v>
      </c>
    </row>
    <row r="29013" spans="32:37">
      <c r="AF29013" s="831" t="s">
        <v>11060</v>
      </c>
      <c r="AG29013" s="831" t="s">
        <v>2674</v>
      </c>
      <c r="AH29013" s="831" t="s">
        <v>550</v>
      </c>
      <c r="AI29013" s="831">
        <v>0</v>
      </c>
      <c r="AJ29013" s="835">
        <v>41517</v>
      </c>
      <c r="AK29013" s="831">
        <v>110887562</v>
      </c>
    </row>
    <row r="29014" spans="32:37">
      <c r="AF29014" s="831" t="s">
        <v>11061</v>
      </c>
      <c r="AG29014" s="831" t="s">
        <v>2674</v>
      </c>
      <c r="AH29014" s="831" t="s">
        <v>562</v>
      </c>
      <c r="AI29014" s="831">
        <v>0</v>
      </c>
      <c r="AJ29014" s="835">
        <v>41517</v>
      </c>
      <c r="AK29014" s="831">
        <v>0.78385000000000005</v>
      </c>
    </row>
    <row r="29015" spans="32:37">
      <c r="AF29015" s="831" t="s">
        <v>11062</v>
      </c>
      <c r="AG29015" s="831" t="s">
        <v>2674</v>
      </c>
      <c r="AH29015" s="831" t="s">
        <v>2698</v>
      </c>
      <c r="AI29015" s="831">
        <v>0</v>
      </c>
      <c r="AJ29015" s="835">
        <v>41517</v>
      </c>
      <c r="AK29015" s="831">
        <v>0.78374999999999995</v>
      </c>
    </row>
    <row r="29016" spans="32:37">
      <c r="AF29016" s="831" t="s">
        <v>11063</v>
      </c>
      <c r="AG29016" s="831" t="s">
        <v>2674</v>
      </c>
      <c r="AH29016" s="831" t="s">
        <v>560</v>
      </c>
      <c r="AI29016" s="831">
        <v>0</v>
      </c>
      <c r="AJ29016" s="835">
        <v>41517</v>
      </c>
      <c r="AK29016" s="831">
        <v>0.7840125</v>
      </c>
    </row>
    <row r="29017" spans="32:37">
      <c r="AF29017" s="831" t="s">
        <v>11064</v>
      </c>
      <c r="AG29017" s="831" t="s">
        <v>2674</v>
      </c>
      <c r="AH29017" s="831" t="s">
        <v>559</v>
      </c>
      <c r="AI29017" s="831">
        <v>0</v>
      </c>
      <c r="AJ29017" s="835">
        <v>41517</v>
      </c>
      <c r="AK29017" s="831">
        <v>0.78410416666666671</v>
      </c>
    </row>
    <row r="29018" spans="32:37">
      <c r="AF29018" s="831" t="s">
        <v>11065</v>
      </c>
      <c r="AG29018" s="831" t="s">
        <v>2674</v>
      </c>
      <c r="AH29018" s="831" t="s">
        <v>568</v>
      </c>
      <c r="AI29018" s="831">
        <v>0</v>
      </c>
      <c r="AJ29018" s="835">
        <v>41517</v>
      </c>
      <c r="AK29018" s="831">
        <v>446494134.38461536</v>
      </c>
    </row>
    <row r="29019" spans="32:37">
      <c r="AF29019" s="831" t="s">
        <v>11066</v>
      </c>
      <c r="AG29019" s="831" t="s">
        <v>2674</v>
      </c>
      <c r="AH29019" s="831" t="s">
        <v>569</v>
      </c>
      <c r="AI29019" s="831">
        <v>0</v>
      </c>
      <c r="AJ29019" s="835">
        <v>41517</v>
      </c>
      <c r="AK29019" s="831">
        <v>542095460.15384614</v>
      </c>
    </row>
    <row r="29020" spans="32:37">
      <c r="AF29020" s="831" t="s">
        <v>11067</v>
      </c>
      <c r="AG29020" s="831" t="s">
        <v>2674</v>
      </c>
      <c r="AH29020" s="831" t="s">
        <v>570</v>
      </c>
      <c r="AI29020" s="831">
        <v>0</v>
      </c>
      <c r="AJ29020" s="835">
        <v>41517</v>
      </c>
      <c r="AK29020" s="831">
        <v>102565482.6923077</v>
      </c>
    </row>
    <row r="29021" spans="32:37">
      <c r="AF29021" s="831" t="s">
        <v>11068</v>
      </c>
      <c r="AG29021" s="831" t="s">
        <v>2674</v>
      </c>
      <c r="AH29021" s="831" t="s">
        <v>571</v>
      </c>
      <c r="AI29021" s="831">
        <v>0</v>
      </c>
      <c r="AJ29021" s="835">
        <v>41517</v>
      </c>
      <c r="AK29021" s="831">
        <v>245131875.46153846</v>
      </c>
    </row>
    <row r="29022" spans="32:37">
      <c r="AF29022" s="831" t="s">
        <v>11069</v>
      </c>
      <c r="AG29022" s="831" t="s">
        <v>2674</v>
      </c>
      <c r="AH29022" s="831" t="s">
        <v>573</v>
      </c>
      <c r="AI29022" s="831">
        <v>0</v>
      </c>
      <c r="AJ29022" s="835">
        <v>41517</v>
      </c>
      <c r="AK29022" s="831">
        <v>579585898.22222221</v>
      </c>
    </row>
    <row r="29023" spans="32:37">
      <c r="AF29023" s="831" t="s">
        <v>11070</v>
      </c>
      <c r="AG29023" s="831" t="s">
        <v>2674</v>
      </c>
      <c r="AH29023" s="831" t="s">
        <v>574</v>
      </c>
      <c r="AI29023" s="831">
        <v>0</v>
      </c>
      <c r="AJ29023" s="835">
        <v>41517</v>
      </c>
      <c r="AK29023" s="831">
        <v>478283946.77777779</v>
      </c>
    </row>
    <row r="29024" spans="32:37">
      <c r="AF29024" s="831" t="s">
        <v>11071</v>
      </c>
      <c r="AG29024" s="831" t="s">
        <v>2674</v>
      </c>
      <c r="AH29024" s="831" t="s">
        <v>575</v>
      </c>
      <c r="AI29024" s="831">
        <v>0</v>
      </c>
      <c r="AJ29024" s="835">
        <v>41517</v>
      </c>
      <c r="AK29024" s="831">
        <v>104359849</v>
      </c>
    </row>
    <row r="29025" spans="32:37">
      <c r="AF29025" s="831" t="s">
        <v>11072</v>
      </c>
      <c r="AG29025" s="831" t="s">
        <v>2674</v>
      </c>
      <c r="AH29025" s="831" t="s">
        <v>576</v>
      </c>
      <c r="AI29025" s="831">
        <v>0</v>
      </c>
      <c r="AJ29025" s="835">
        <v>41517</v>
      </c>
      <c r="AK29025" s="831">
        <v>270469259.22222221</v>
      </c>
    </row>
    <row r="29026" spans="32:37">
      <c r="AF29026" s="831" t="s">
        <v>11073</v>
      </c>
      <c r="AG29026" s="831" t="s">
        <v>2674</v>
      </c>
      <c r="AH29026" s="831" t="s">
        <v>572</v>
      </c>
      <c r="AI29026" s="831">
        <v>0</v>
      </c>
      <c r="AJ29026" s="835">
        <v>41517</v>
      </c>
      <c r="AK29026" s="831">
        <v>24859621</v>
      </c>
    </row>
    <row r="29027" spans="32:37">
      <c r="AF29027" s="831" t="s">
        <v>11074</v>
      </c>
      <c r="AG29027" s="831" t="s">
        <v>2674</v>
      </c>
      <c r="AH29027" s="831" t="s">
        <v>577</v>
      </c>
      <c r="AI29027" s="831">
        <v>0</v>
      </c>
      <c r="AJ29027" s="835">
        <v>41517</v>
      </c>
      <c r="AK29027" s="831">
        <v>119121446</v>
      </c>
    </row>
    <row r="29028" spans="32:37">
      <c r="AF29028" s="831" t="s">
        <v>11075</v>
      </c>
      <c r="AG29028" s="831" t="s">
        <v>2674</v>
      </c>
      <c r="AH29028" s="831" t="s">
        <v>3042</v>
      </c>
      <c r="AI29028" s="831">
        <v>0</v>
      </c>
      <c r="AJ29028" s="835">
        <v>41517</v>
      </c>
      <c r="AK29028" s="831">
        <v>-29143089</v>
      </c>
    </row>
    <row r="29029" spans="32:37">
      <c r="AF29029" s="831" t="s">
        <v>11076</v>
      </c>
      <c r="AG29029" s="831" t="s">
        <v>2674</v>
      </c>
      <c r="AH29029" s="831" t="s">
        <v>3044</v>
      </c>
      <c r="AI29029" s="831">
        <v>0</v>
      </c>
      <c r="AJ29029" s="835">
        <v>41517</v>
      </c>
      <c r="AK29029" s="831">
        <v>-4417525</v>
      </c>
    </row>
    <row r="29030" spans="32:37">
      <c r="AF29030" s="831" t="s">
        <v>11077</v>
      </c>
      <c r="AG29030" s="831" t="s">
        <v>2674</v>
      </c>
      <c r="AH29030" s="831" t="s">
        <v>580</v>
      </c>
      <c r="AI29030" s="831">
        <v>0</v>
      </c>
      <c r="AJ29030" s="835">
        <v>41517</v>
      </c>
      <c r="AK29030" s="831">
        <v>-58376707</v>
      </c>
    </row>
    <row r="29031" spans="32:37">
      <c r="AF29031" s="831" t="s">
        <v>11078</v>
      </c>
      <c r="AG29031" s="831" t="s">
        <v>2674</v>
      </c>
      <c r="AH29031" s="831" t="s">
        <v>581</v>
      </c>
      <c r="AI29031" s="831">
        <v>0</v>
      </c>
      <c r="AJ29031" s="835">
        <v>41517</v>
      </c>
      <c r="AK29031" s="831">
        <v>4578677</v>
      </c>
    </row>
    <row r="29032" spans="32:37">
      <c r="AF29032" s="831" t="s">
        <v>11079</v>
      </c>
      <c r="AG29032" s="831" t="s">
        <v>2674</v>
      </c>
      <c r="AH29032" s="831" t="s">
        <v>105</v>
      </c>
      <c r="AI29032" s="831">
        <v>0</v>
      </c>
      <c r="AJ29032" s="835">
        <v>41517</v>
      </c>
      <c r="AK29032" s="831">
        <v>314125292</v>
      </c>
    </row>
    <row r="29033" spans="32:37">
      <c r="AF29033" s="831" t="s">
        <v>11080</v>
      </c>
      <c r="AG29033" s="831" t="s">
        <v>2674</v>
      </c>
      <c r="AH29033" s="831" t="s">
        <v>3049</v>
      </c>
      <c r="AI29033" s="831">
        <v>0</v>
      </c>
      <c r="AJ29033" s="835">
        <v>41517</v>
      </c>
      <c r="AK29033" s="831">
        <v>527249449.14999998</v>
      </c>
    </row>
    <row r="29034" spans="32:37">
      <c r="AF29034" s="831" t="s">
        <v>11081</v>
      </c>
      <c r="AG29034" s="831" t="s">
        <v>2674</v>
      </c>
      <c r="AH29034" s="831" t="s">
        <v>103</v>
      </c>
      <c r="AI29034" s="831">
        <v>0</v>
      </c>
      <c r="AJ29034" s="835">
        <v>41517</v>
      </c>
      <c r="AK29034" s="831">
        <v>213124157.14999998</v>
      </c>
    </row>
    <row r="29035" spans="32:37">
      <c r="AF29035" s="831" t="s">
        <v>11082</v>
      </c>
      <c r="AG29035" s="831" t="s">
        <v>2674</v>
      </c>
      <c r="AH29035" s="831" t="s">
        <v>182</v>
      </c>
      <c r="AI29035" s="831">
        <v>0</v>
      </c>
      <c r="AJ29035" s="835">
        <v>41517</v>
      </c>
      <c r="AK29035" s="831">
        <v>57914724</v>
      </c>
    </row>
    <row r="29036" spans="32:37">
      <c r="AF29036" s="831" t="s">
        <v>11083</v>
      </c>
      <c r="AG29036" s="831" t="s">
        <v>2674</v>
      </c>
      <c r="AH29036" s="831" t="s">
        <v>6600</v>
      </c>
      <c r="AI29036" s="831">
        <v>0</v>
      </c>
      <c r="AJ29036" s="835">
        <v>41517</v>
      </c>
      <c r="AK29036" s="831">
        <v>24859621</v>
      </c>
    </row>
    <row r="29037" spans="32:37">
      <c r="AF29037" s="831" t="s">
        <v>11084</v>
      </c>
      <c r="AG29037" s="831" t="s">
        <v>2674</v>
      </c>
      <c r="AH29037" s="831" t="s">
        <v>6602</v>
      </c>
      <c r="AI29037" s="831">
        <v>0</v>
      </c>
      <c r="AJ29037" s="835">
        <v>41517</v>
      </c>
      <c r="AK29037" s="831">
        <v>19111719</v>
      </c>
    </row>
    <row r="29038" spans="32:37">
      <c r="AF29038" s="831" t="s">
        <v>11085</v>
      </c>
      <c r="AG29038" s="831" t="s">
        <v>2674</v>
      </c>
      <c r="AH29038" s="831" t="s">
        <v>650</v>
      </c>
      <c r="AI29038" s="831">
        <v>0</v>
      </c>
      <c r="AJ29038" s="835">
        <v>41517</v>
      </c>
      <c r="AK29038" s="831">
        <v>180578512.62692308</v>
      </c>
    </row>
    <row r="29039" spans="32:37">
      <c r="AF29039" s="831" t="s">
        <v>11086</v>
      </c>
      <c r="AG29039" s="831" t="s">
        <v>2674</v>
      </c>
      <c r="AH29039" s="831" t="s">
        <v>655</v>
      </c>
      <c r="AI29039" s="831">
        <v>0</v>
      </c>
      <c r="AJ29039" s="835">
        <v>41517</v>
      </c>
      <c r="AK29039" s="831">
        <v>1231052.19</v>
      </c>
    </row>
    <row r="29040" spans="32:37">
      <c r="AF29040" s="831" t="s">
        <v>11087</v>
      </c>
      <c r="AG29040" s="831" t="s">
        <v>2674</v>
      </c>
      <c r="AH29040" s="831" t="s">
        <v>546</v>
      </c>
      <c r="AI29040" s="831">
        <v>0</v>
      </c>
      <c r="AJ29040" s="835">
        <v>41547</v>
      </c>
      <c r="AK29040" s="831">
        <v>563989028</v>
      </c>
    </row>
    <row r="29041" spans="32:37">
      <c r="AF29041" s="831" t="s">
        <v>11088</v>
      </c>
      <c r="AG29041" s="831" t="s">
        <v>2674</v>
      </c>
      <c r="AH29041" s="831" t="s">
        <v>370</v>
      </c>
      <c r="AI29041" s="831">
        <v>0</v>
      </c>
      <c r="AJ29041" s="835">
        <v>41547</v>
      </c>
      <c r="AK29041" s="831">
        <v>692795586</v>
      </c>
    </row>
    <row r="29042" spans="32:37">
      <c r="AF29042" s="831" t="s">
        <v>11089</v>
      </c>
      <c r="AG29042" s="831" t="s">
        <v>2674</v>
      </c>
      <c r="AH29042" s="831" t="s">
        <v>126</v>
      </c>
      <c r="AI29042" s="831">
        <v>0</v>
      </c>
      <c r="AJ29042" s="835">
        <v>41547</v>
      </c>
      <c r="AK29042" s="831">
        <v>117170637</v>
      </c>
    </row>
    <row r="29043" spans="32:37">
      <c r="AF29043" s="831" t="s">
        <v>11090</v>
      </c>
      <c r="AG29043" s="831" t="s">
        <v>2674</v>
      </c>
      <c r="AH29043" s="831" t="s">
        <v>268</v>
      </c>
      <c r="AI29043" s="831">
        <v>0</v>
      </c>
      <c r="AJ29043" s="835">
        <v>41547</v>
      </c>
      <c r="AK29043" s="831">
        <v>22407414</v>
      </c>
    </row>
    <row r="29044" spans="32:37">
      <c r="AF29044" s="831" t="s">
        <v>11091</v>
      </c>
      <c r="AG29044" s="831" t="s">
        <v>2674</v>
      </c>
      <c r="AH29044" s="831" t="s">
        <v>547</v>
      </c>
      <c r="AI29044" s="831">
        <v>0</v>
      </c>
      <c r="AJ29044" s="835">
        <v>41547</v>
      </c>
      <c r="AK29044" s="831">
        <v>511487760</v>
      </c>
    </row>
    <row r="29045" spans="32:37">
      <c r="AF29045" s="831" t="s">
        <v>11092</v>
      </c>
      <c r="AG29045" s="831" t="s">
        <v>2674</v>
      </c>
      <c r="AH29045" s="831" t="s">
        <v>548</v>
      </c>
      <c r="AI29045" s="831">
        <v>0</v>
      </c>
      <c r="AJ29045" s="835">
        <v>41547</v>
      </c>
      <c r="AK29045" s="831">
        <v>96883184</v>
      </c>
    </row>
    <row r="29046" spans="32:37">
      <c r="AF29046" s="831" t="s">
        <v>11093</v>
      </c>
      <c r="AG29046" s="831" t="s">
        <v>2674</v>
      </c>
      <c r="AH29046" s="831" t="s">
        <v>549</v>
      </c>
      <c r="AI29046" s="831">
        <v>0</v>
      </c>
      <c r="AJ29046" s="835">
        <v>41547</v>
      </c>
      <c r="AK29046" s="831">
        <v>367084945</v>
      </c>
    </row>
    <row r="29047" spans="32:37">
      <c r="AF29047" s="831" t="s">
        <v>11094</v>
      </c>
      <c r="AG29047" s="831" t="s">
        <v>2674</v>
      </c>
      <c r="AH29047" s="831" t="s">
        <v>192</v>
      </c>
      <c r="AI29047" s="831">
        <v>0</v>
      </c>
      <c r="AJ29047" s="835">
        <v>41547</v>
      </c>
      <c r="AK29047" s="831">
        <v>-12882814</v>
      </c>
    </row>
    <row r="29048" spans="32:37">
      <c r="AF29048" s="831" t="s">
        <v>11095</v>
      </c>
      <c r="AG29048" s="831" t="s">
        <v>2674</v>
      </c>
      <c r="AH29048" s="831" t="s">
        <v>558</v>
      </c>
      <c r="AI29048" s="831">
        <v>0</v>
      </c>
      <c r="AJ29048" s="835">
        <v>41547</v>
      </c>
      <c r="AK29048" s="831">
        <v>575624949</v>
      </c>
    </row>
    <row r="29049" spans="32:37">
      <c r="AF29049" s="831" t="s">
        <v>11096</v>
      </c>
      <c r="AG29049" s="831" t="s">
        <v>2674</v>
      </c>
      <c r="AH29049" s="831" t="s">
        <v>65</v>
      </c>
      <c r="AI29049" s="831">
        <v>0</v>
      </c>
      <c r="AJ29049" s="835">
        <v>41547</v>
      </c>
      <c r="AK29049" s="831">
        <v>95313557</v>
      </c>
    </row>
    <row r="29050" spans="32:37">
      <c r="AF29050" s="831" t="s">
        <v>11097</v>
      </c>
      <c r="AG29050" s="831" t="s">
        <v>2674</v>
      </c>
      <c r="AH29050" s="831" t="s">
        <v>89</v>
      </c>
      <c r="AI29050" s="831">
        <v>0</v>
      </c>
      <c r="AJ29050" s="835">
        <v>41547</v>
      </c>
      <c r="AK29050" s="831">
        <v>141558</v>
      </c>
    </row>
    <row r="29051" spans="32:37">
      <c r="AF29051" s="831" t="s">
        <v>11098</v>
      </c>
      <c r="AG29051" s="831" t="s">
        <v>2674</v>
      </c>
      <c r="AH29051" s="831" t="s">
        <v>557</v>
      </c>
      <c r="AI29051" s="831">
        <v>0</v>
      </c>
      <c r="AJ29051" s="835">
        <v>41547</v>
      </c>
      <c r="AK29051" s="831">
        <v>150480</v>
      </c>
    </row>
    <row r="29052" spans="32:37">
      <c r="AF29052" s="831" t="s">
        <v>11099</v>
      </c>
      <c r="AG29052" s="831" t="s">
        <v>2674</v>
      </c>
      <c r="AH29052" s="831" t="s">
        <v>29</v>
      </c>
      <c r="AI29052" s="831">
        <v>0</v>
      </c>
      <c r="AJ29052" s="835">
        <v>41547</v>
      </c>
      <c r="AK29052" s="831">
        <v>1808536.49</v>
      </c>
    </row>
    <row r="29053" spans="32:37">
      <c r="AF29053" s="831" t="s">
        <v>11100</v>
      </c>
      <c r="AG29053" s="831" t="s">
        <v>2674</v>
      </c>
      <c r="AH29053" s="831" t="s">
        <v>2688</v>
      </c>
      <c r="AI29053" s="831">
        <v>0</v>
      </c>
      <c r="AJ29053" s="835">
        <v>41547</v>
      </c>
      <c r="AK29053" s="831">
        <v>1944896.06</v>
      </c>
    </row>
    <row r="29054" spans="32:37">
      <c r="AF29054" s="831" t="s">
        <v>11101</v>
      </c>
      <c r="AG29054" s="831" t="s">
        <v>2674</v>
      </c>
      <c r="AH29054" s="831" t="s">
        <v>556</v>
      </c>
      <c r="AI29054" s="831">
        <v>0</v>
      </c>
      <c r="AJ29054" s="835">
        <v>41547</v>
      </c>
      <c r="AK29054" s="831">
        <v>1644732</v>
      </c>
    </row>
    <row r="29055" spans="32:37">
      <c r="AF29055" s="831" t="s">
        <v>11102</v>
      </c>
      <c r="AG29055" s="831" t="s">
        <v>2674</v>
      </c>
      <c r="AH29055" s="831" t="s">
        <v>555</v>
      </c>
      <c r="AI29055" s="831">
        <v>0</v>
      </c>
      <c r="AJ29055" s="835">
        <v>41547</v>
      </c>
      <c r="AK29055" s="831">
        <v>373785500</v>
      </c>
    </row>
    <row r="29056" spans="32:37">
      <c r="AF29056" s="831" t="s">
        <v>11103</v>
      </c>
      <c r="AG29056" s="831" t="s">
        <v>2674</v>
      </c>
      <c r="AH29056" s="831" t="s">
        <v>554</v>
      </c>
      <c r="AI29056" s="831">
        <v>0</v>
      </c>
      <c r="AJ29056" s="835">
        <v>41547</v>
      </c>
      <c r="AK29056" s="831">
        <v>389313510</v>
      </c>
    </row>
    <row r="29057" spans="32:37">
      <c r="AF29057" s="831" t="s">
        <v>11104</v>
      </c>
      <c r="AG29057" s="831" t="s">
        <v>2674</v>
      </c>
      <c r="AH29057" s="831" t="s">
        <v>553</v>
      </c>
      <c r="AI29057" s="831">
        <v>0</v>
      </c>
      <c r="AJ29057" s="835">
        <v>41547</v>
      </c>
      <c r="AK29057" s="831">
        <v>0</v>
      </c>
    </row>
    <row r="29058" spans="32:37">
      <c r="AF29058" s="831" t="s">
        <v>11105</v>
      </c>
      <c r="AG29058" s="831" t="s">
        <v>2674</v>
      </c>
      <c r="AH29058" s="831" t="s">
        <v>552</v>
      </c>
      <c r="AI29058" s="831">
        <v>0</v>
      </c>
      <c r="AJ29058" s="835">
        <v>41547</v>
      </c>
      <c r="AK29058" s="831">
        <v>0</v>
      </c>
    </row>
    <row r="29059" spans="32:37">
      <c r="AF29059" s="831" t="s">
        <v>11106</v>
      </c>
      <c r="AG29059" s="831" t="s">
        <v>2674</v>
      </c>
      <c r="AH29059" s="831" t="s">
        <v>551</v>
      </c>
      <c r="AI29059" s="831">
        <v>0</v>
      </c>
      <c r="AJ29059" s="835">
        <v>41547</v>
      </c>
      <c r="AK29059" s="831">
        <v>1611508.6</v>
      </c>
    </row>
    <row r="29060" spans="32:37">
      <c r="AF29060" s="831" t="s">
        <v>11107</v>
      </c>
      <c r="AG29060" s="831" t="s">
        <v>2674</v>
      </c>
      <c r="AH29060" s="831" t="s">
        <v>550</v>
      </c>
      <c r="AI29060" s="831">
        <v>0</v>
      </c>
      <c r="AJ29060" s="835">
        <v>41547</v>
      </c>
      <c r="AK29060" s="831">
        <v>113874944</v>
      </c>
    </row>
    <row r="29061" spans="32:37">
      <c r="AF29061" s="831" t="s">
        <v>11108</v>
      </c>
      <c r="AG29061" s="831" t="s">
        <v>2674</v>
      </c>
      <c r="AH29061" s="831" t="s">
        <v>562</v>
      </c>
      <c r="AI29061" s="831">
        <v>0</v>
      </c>
      <c r="AJ29061" s="835">
        <v>41547</v>
      </c>
      <c r="AK29061" s="831">
        <v>0.78395000000000004</v>
      </c>
    </row>
    <row r="29062" spans="32:37">
      <c r="AF29062" s="831" t="s">
        <v>11109</v>
      </c>
      <c r="AG29062" s="831" t="s">
        <v>2674</v>
      </c>
      <c r="AH29062" s="831" t="s">
        <v>2698</v>
      </c>
      <c r="AI29062" s="831">
        <v>0</v>
      </c>
      <c r="AJ29062" s="835">
        <v>41547</v>
      </c>
      <c r="AK29062" s="831">
        <v>0.78385000000000005</v>
      </c>
    </row>
    <row r="29063" spans="32:37">
      <c r="AF29063" s="831" t="s">
        <v>11110</v>
      </c>
      <c r="AG29063" s="831" t="s">
        <v>2674</v>
      </c>
      <c r="AH29063" s="831" t="s">
        <v>560</v>
      </c>
      <c r="AI29063" s="831">
        <v>0</v>
      </c>
      <c r="AJ29063" s="835">
        <v>41547</v>
      </c>
      <c r="AK29063" s="831">
        <v>0.78400555555555551</v>
      </c>
    </row>
    <row r="29064" spans="32:37">
      <c r="AF29064" s="831" t="s">
        <v>11111</v>
      </c>
      <c r="AG29064" s="831" t="s">
        <v>2674</v>
      </c>
      <c r="AH29064" s="831" t="s">
        <v>559</v>
      </c>
      <c r="AI29064" s="831">
        <v>0</v>
      </c>
      <c r="AJ29064" s="835">
        <v>41547</v>
      </c>
      <c r="AK29064" s="831">
        <v>0.78404583333333333</v>
      </c>
    </row>
    <row r="29065" spans="32:37">
      <c r="AF29065" s="831" t="s">
        <v>11112</v>
      </c>
      <c r="AG29065" s="831" t="s">
        <v>2674</v>
      </c>
      <c r="AH29065" s="831" t="s">
        <v>568</v>
      </c>
      <c r="AI29065" s="831">
        <v>0</v>
      </c>
      <c r="AJ29065" s="835">
        <v>41547</v>
      </c>
      <c r="AK29065" s="831">
        <v>462009040.84615386</v>
      </c>
    </row>
    <row r="29066" spans="32:37">
      <c r="AF29066" s="831" t="s">
        <v>11113</v>
      </c>
      <c r="AG29066" s="831" t="s">
        <v>2674</v>
      </c>
      <c r="AH29066" s="831" t="s">
        <v>569</v>
      </c>
      <c r="AI29066" s="831">
        <v>0</v>
      </c>
      <c r="AJ29066" s="835">
        <v>41547</v>
      </c>
      <c r="AK29066" s="831">
        <v>560598027.84615386</v>
      </c>
    </row>
    <row r="29067" spans="32:37">
      <c r="AF29067" s="831" t="s">
        <v>11114</v>
      </c>
      <c r="AG29067" s="831" t="s">
        <v>2674</v>
      </c>
      <c r="AH29067" s="831" t="s">
        <v>570</v>
      </c>
      <c r="AI29067" s="831">
        <v>0</v>
      </c>
      <c r="AJ29067" s="835">
        <v>41547</v>
      </c>
      <c r="AK29067" s="831">
        <v>104238995.3076923</v>
      </c>
    </row>
    <row r="29068" spans="32:37">
      <c r="AF29068" s="831" t="s">
        <v>11115</v>
      </c>
      <c r="AG29068" s="831" t="s">
        <v>2674</v>
      </c>
      <c r="AH29068" s="831" t="s">
        <v>571</v>
      </c>
      <c r="AI29068" s="831">
        <v>0</v>
      </c>
      <c r="AJ29068" s="835">
        <v>41547</v>
      </c>
      <c r="AK29068" s="831">
        <v>257329819.61538461</v>
      </c>
    </row>
    <row r="29069" spans="32:37">
      <c r="AF29069" s="831" t="s">
        <v>11116</v>
      </c>
      <c r="AG29069" s="831" t="s">
        <v>2674</v>
      </c>
      <c r="AH29069" s="831" t="s">
        <v>573</v>
      </c>
      <c r="AI29069" s="831">
        <v>0</v>
      </c>
      <c r="AJ29069" s="835">
        <v>41547</v>
      </c>
      <c r="AK29069" s="831">
        <v>590906867</v>
      </c>
    </row>
    <row r="29070" spans="32:37">
      <c r="AF29070" s="831" t="s">
        <v>11117</v>
      </c>
      <c r="AG29070" s="831" t="s">
        <v>2674</v>
      </c>
      <c r="AH29070" s="831" t="s">
        <v>574</v>
      </c>
      <c r="AI29070" s="831">
        <v>0</v>
      </c>
      <c r="AJ29070" s="835">
        <v>41547</v>
      </c>
      <c r="AK29070" s="831">
        <v>486854454.89999998</v>
      </c>
    </row>
    <row r="29071" spans="32:37">
      <c r="AF29071" s="831" t="s">
        <v>11118</v>
      </c>
      <c r="AG29071" s="831" t="s">
        <v>2674</v>
      </c>
      <c r="AH29071" s="831" t="s">
        <v>575</v>
      </c>
      <c r="AI29071" s="831">
        <v>0</v>
      </c>
      <c r="AJ29071" s="835">
        <v>41547</v>
      </c>
      <c r="AK29071" s="831">
        <v>105640927.8</v>
      </c>
    </row>
    <row r="29072" spans="32:37">
      <c r="AF29072" s="831" t="s">
        <v>11119</v>
      </c>
      <c r="AG29072" s="831" t="s">
        <v>2674</v>
      </c>
      <c r="AH29072" s="831" t="s">
        <v>576</v>
      </c>
      <c r="AI29072" s="831">
        <v>0</v>
      </c>
      <c r="AJ29072" s="835">
        <v>41547</v>
      </c>
      <c r="AK29072" s="831">
        <v>277318070.10000002</v>
      </c>
    </row>
    <row r="29073" spans="32:37">
      <c r="AF29073" s="831" t="s">
        <v>11120</v>
      </c>
      <c r="AG29073" s="831" t="s">
        <v>2674</v>
      </c>
      <c r="AH29073" s="831" t="s">
        <v>572</v>
      </c>
      <c r="AI29073" s="831">
        <v>0</v>
      </c>
      <c r="AJ29073" s="835">
        <v>41547</v>
      </c>
      <c r="AK29073" s="831">
        <v>26160885</v>
      </c>
    </row>
    <row r="29074" spans="32:37">
      <c r="AF29074" s="831" t="s">
        <v>11121</v>
      </c>
      <c r="AG29074" s="831" t="s">
        <v>2674</v>
      </c>
      <c r="AH29074" s="831" t="s">
        <v>577</v>
      </c>
      <c r="AI29074" s="831">
        <v>0</v>
      </c>
      <c r="AJ29074" s="835">
        <v>41547</v>
      </c>
      <c r="AK29074" s="831">
        <v>122921739</v>
      </c>
    </row>
    <row r="29075" spans="32:37">
      <c r="AF29075" s="831" t="s">
        <v>11122</v>
      </c>
      <c r="AG29075" s="831" t="s">
        <v>2674</v>
      </c>
      <c r="AH29075" s="831" t="s">
        <v>3042</v>
      </c>
      <c r="AI29075" s="831">
        <v>0</v>
      </c>
      <c r="AJ29075" s="835">
        <v>41547</v>
      </c>
      <c r="AK29075" s="831">
        <v>-30135210</v>
      </c>
    </row>
    <row r="29076" spans="32:37">
      <c r="AF29076" s="831" t="s">
        <v>11123</v>
      </c>
      <c r="AG29076" s="831" t="s">
        <v>2674</v>
      </c>
      <c r="AH29076" s="831" t="s">
        <v>3044</v>
      </c>
      <c r="AI29076" s="831">
        <v>0</v>
      </c>
      <c r="AJ29076" s="835">
        <v>41547</v>
      </c>
      <c r="AK29076" s="831">
        <v>-4515854</v>
      </c>
    </row>
    <row r="29077" spans="32:37">
      <c r="AF29077" s="831" t="s">
        <v>11124</v>
      </c>
      <c r="AG29077" s="831" t="s">
        <v>2674</v>
      </c>
      <c r="AH29077" s="831" t="s">
        <v>580</v>
      </c>
      <c r="AI29077" s="831">
        <v>0</v>
      </c>
      <c r="AJ29077" s="835">
        <v>41547</v>
      </c>
      <c r="AK29077" s="831">
        <v>-59169843</v>
      </c>
    </row>
    <row r="29078" spans="32:37">
      <c r="AF29078" s="831" t="s">
        <v>11125</v>
      </c>
      <c r="AG29078" s="831" t="s">
        <v>2674</v>
      </c>
      <c r="AH29078" s="831" t="s">
        <v>581</v>
      </c>
      <c r="AI29078" s="831">
        <v>0</v>
      </c>
      <c r="AJ29078" s="835">
        <v>41547</v>
      </c>
      <c r="AK29078" s="831">
        <v>4375184</v>
      </c>
    </row>
    <row r="29079" spans="32:37">
      <c r="AF29079" s="831" t="s">
        <v>11126</v>
      </c>
      <c r="AG29079" s="831" t="s">
        <v>2674</v>
      </c>
      <c r="AH29079" s="831" t="s">
        <v>105</v>
      </c>
      <c r="AI29079" s="831">
        <v>0</v>
      </c>
      <c r="AJ29079" s="835">
        <v>41547</v>
      </c>
      <c r="AK29079" s="831">
        <v>338957368</v>
      </c>
    </row>
    <row r="29080" spans="32:37">
      <c r="AF29080" s="831" t="s">
        <v>11127</v>
      </c>
      <c r="AG29080" s="831" t="s">
        <v>2674</v>
      </c>
      <c r="AH29080" s="831" t="s">
        <v>3049</v>
      </c>
      <c r="AI29080" s="831">
        <v>0</v>
      </c>
      <c r="AJ29080" s="835">
        <v>41547</v>
      </c>
      <c r="AK29080" s="831">
        <v>558920871</v>
      </c>
    </row>
    <row r="29081" spans="32:37">
      <c r="AF29081" s="831" t="s">
        <v>11128</v>
      </c>
      <c r="AG29081" s="831" t="s">
        <v>2674</v>
      </c>
      <c r="AH29081" s="831" t="s">
        <v>103</v>
      </c>
      <c r="AI29081" s="831">
        <v>0</v>
      </c>
      <c r="AJ29081" s="835">
        <v>41547</v>
      </c>
      <c r="AK29081" s="831">
        <v>219963503</v>
      </c>
    </row>
    <row r="29082" spans="32:37">
      <c r="AF29082" s="831" t="s">
        <v>11129</v>
      </c>
      <c r="AG29082" s="831" t="s">
        <v>2674</v>
      </c>
      <c r="AH29082" s="831" t="s">
        <v>182</v>
      </c>
      <c r="AI29082" s="831">
        <v>0</v>
      </c>
      <c r="AJ29082" s="835">
        <v>41547</v>
      </c>
      <c r="AK29082" s="831">
        <v>57784893.333333336</v>
      </c>
    </row>
    <row r="29083" spans="32:37">
      <c r="AF29083" s="831" t="s">
        <v>11130</v>
      </c>
      <c r="AG29083" s="831" t="s">
        <v>2674</v>
      </c>
      <c r="AH29083" s="831" t="s">
        <v>6600</v>
      </c>
      <c r="AI29083" s="831">
        <v>0</v>
      </c>
      <c r="AJ29083" s="835">
        <v>41547</v>
      </c>
      <c r="AK29083" s="831">
        <v>26160885</v>
      </c>
    </row>
    <row r="29084" spans="32:37">
      <c r="AF29084" s="831" t="s">
        <v>11131</v>
      </c>
      <c r="AG29084" s="831" t="s">
        <v>2674</v>
      </c>
      <c r="AH29084" s="831" t="s">
        <v>6602</v>
      </c>
      <c r="AI29084" s="831">
        <v>0</v>
      </c>
      <c r="AJ29084" s="835">
        <v>41547</v>
      </c>
      <c r="AK29084" s="831">
        <v>22407414</v>
      </c>
    </row>
    <row r="29085" spans="32:37">
      <c r="AF29085" s="831" t="s">
        <v>11132</v>
      </c>
      <c r="AG29085" s="831" t="s">
        <v>2674</v>
      </c>
      <c r="AH29085" s="831" t="s">
        <v>650</v>
      </c>
      <c r="AI29085" s="831">
        <v>0</v>
      </c>
      <c r="AJ29085" s="835">
        <v>41547</v>
      </c>
      <c r="AK29085" s="831">
        <v>184913431.55000001</v>
      </c>
    </row>
    <row r="29086" spans="32:37">
      <c r="AF29086" s="831" t="s">
        <v>11133</v>
      </c>
      <c r="AG29086" s="831" t="s">
        <v>2674</v>
      </c>
      <c r="AH29086" s="831" t="s">
        <v>655</v>
      </c>
      <c r="AI29086" s="831">
        <v>0</v>
      </c>
      <c r="AJ29086" s="835">
        <v>41547</v>
      </c>
      <c r="AK29086" s="831">
        <v>1374522.24</v>
      </c>
    </row>
    <row r="29087" spans="32:37">
      <c r="AF29087" s="831" t="s">
        <v>11134</v>
      </c>
      <c r="AG29087" s="831" t="s">
        <v>2674</v>
      </c>
      <c r="AH29087" s="831" t="s">
        <v>546</v>
      </c>
      <c r="AI29087" s="831">
        <v>0</v>
      </c>
      <c r="AJ29087" s="835">
        <v>41578</v>
      </c>
      <c r="AK29087" s="831">
        <v>580271359</v>
      </c>
    </row>
    <row r="29088" spans="32:37">
      <c r="AF29088" s="831" t="s">
        <v>11135</v>
      </c>
      <c r="AG29088" s="831" t="s">
        <v>2674</v>
      </c>
      <c r="AH29088" s="831" t="s">
        <v>370</v>
      </c>
      <c r="AI29088" s="831">
        <v>0</v>
      </c>
      <c r="AJ29088" s="835">
        <v>41578</v>
      </c>
      <c r="AK29088" s="831">
        <v>723686405</v>
      </c>
    </row>
    <row r="29089" spans="32:37">
      <c r="AF29089" s="831" t="s">
        <v>11136</v>
      </c>
      <c r="AG29089" s="831" t="s">
        <v>2674</v>
      </c>
      <c r="AH29089" s="831" t="s">
        <v>126</v>
      </c>
      <c r="AI29089" s="831">
        <v>0</v>
      </c>
      <c r="AJ29089" s="835">
        <v>41578</v>
      </c>
      <c r="AK29089" s="831">
        <v>120290863</v>
      </c>
    </row>
    <row r="29090" spans="32:37">
      <c r="AF29090" s="831" t="s">
        <v>11137</v>
      </c>
      <c r="AG29090" s="831" t="s">
        <v>2674</v>
      </c>
      <c r="AH29090" s="831" t="s">
        <v>268</v>
      </c>
      <c r="AI29090" s="831">
        <v>0</v>
      </c>
      <c r="AJ29090" s="835">
        <v>41578</v>
      </c>
      <c r="AK29090" s="831">
        <v>25527641</v>
      </c>
    </row>
    <row r="29091" spans="32:37">
      <c r="AF29091" s="831" t="s">
        <v>11138</v>
      </c>
      <c r="AG29091" s="831" t="s">
        <v>2674</v>
      </c>
      <c r="AH29091" s="831" t="s">
        <v>547</v>
      </c>
      <c r="AI29091" s="831">
        <v>0</v>
      </c>
      <c r="AJ29091" s="835">
        <v>41578</v>
      </c>
      <c r="AK29091" s="831">
        <v>511487760</v>
      </c>
    </row>
    <row r="29092" spans="32:37">
      <c r="AF29092" s="831" t="s">
        <v>11139</v>
      </c>
      <c r="AG29092" s="831" t="s">
        <v>2674</v>
      </c>
      <c r="AH29092" s="831" t="s">
        <v>548</v>
      </c>
      <c r="AI29092" s="831">
        <v>0</v>
      </c>
      <c r="AJ29092" s="835">
        <v>41578</v>
      </c>
      <c r="AK29092" s="831">
        <v>96883184</v>
      </c>
    </row>
    <row r="29093" spans="32:37">
      <c r="AF29093" s="831" t="s">
        <v>11140</v>
      </c>
      <c r="AG29093" s="831" t="s">
        <v>2674</v>
      </c>
      <c r="AH29093" s="831" t="s">
        <v>549</v>
      </c>
      <c r="AI29093" s="831">
        <v>0</v>
      </c>
      <c r="AJ29093" s="835">
        <v>41578</v>
      </c>
      <c r="AK29093" s="831">
        <v>376404251</v>
      </c>
    </row>
    <row r="29094" spans="32:37">
      <c r="AF29094" s="831" t="s">
        <v>11141</v>
      </c>
      <c r="AG29094" s="831" t="s">
        <v>2674</v>
      </c>
      <c r="AH29094" s="831" t="s">
        <v>192</v>
      </c>
      <c r="AI29094" s="831">
        <v>0</v>
      </c>
      <c r="AJ29094" s="835">
        <v>41578</v>
      </c>
      <c r="AK29094" s="831">
        <v>-13193791</v>
      </c>
    </row>
    <row r="29095" spans="32:37">
      <c r="AF29095" s="831" t="s">
        <v>11142</v>
      </c>
      <c r="AG29095" s="831" t="s">
        <v>2674</v>
      </c>
      <c r="AH29095" s="831" t="s">
        <v>558</v>
      </c>
      <c r="AI29095" s="831">
        <v>0</v>
      </c>
      <c r="AJ29095" s="835">
        <v>41578</v>
      </c>
      <c r="AK29095" s="831">
        <v>603395542</v>
      </c>
    </row>
    <row r="29096" spans="32:37">
      <c r="AF29096" s="831" t="s">
        <v>11143</v>
      </c>
      <c r="AG29096" s="831" t="s">
        <v>2674</v>
      </c>
      <c r="AH29096" s="831" t="s">
        <v>65</v>
      </c>
      <c r="AI29096" s="831">
        <v>0</v>
      </c>
      <c r="AJ29096" s="835">
        <v>41578</v>
      </c>
      <c r="AK29096" s="831">
        <v>107527674</v>
      </c>
    </row>
    <row r="29097" spans="32:37">
      <c r="AF29097" s="831" t="s">
        <v>11144</v>
      </c>
      <c r="AG29097" s="831" t="s">
        <v>2674</v>
      </c>
      <c r="AH29097" s="831" t="s">
        <v>89</v>
      </c>
      <c r="AI29097" s="831">
        <v>0</v>
      </c>
      <c r="AJ29097" s="835">
        <v>41578</v>
      </c>
      <c r="AK29097" s="831">
        <v>143295</v>
      </c>
    </row>
    <row r="29098" spans="32:37">
      <c r="AF29098" s="831" t="s">
        <v>11145</v>
      </c>
      <c r="AG29098" s="831" t="s">
        <v>2674</v>
      </c>
      <c r="AH29098" s="831" t="s">
        <v>557</v>
      </c>
      <c r="AI29098" s="831">
        <v>0</v>
      </c>
      <c r="AJ29098" s="835">
        <v>41578</v>
      </c>
      <c r="AK29098" s="831">
        <v>153100</v>
      </c>
    </row>
    <row r="29099" spans="32:37">
      <c r="AF29099" s="831" t="s">
        <v>11146</v>
      </c>
      <c r="AG29099" s="831" t="s">
        <v>2674</v>
      </c>
      <c r="AH29099" s="831" t="s">
        <v>29</v>
      </c>
      <c r="AI29099" s="831">
        <v>0</v>
      </c>
      <c r="AJ29099" s="835">
        <v>41578</v>
      </c>
      <c r="AK29099" s="831">
        <v>1718550.9230000002</v>
      </c>
    </row>
    <row r="29100" spans="32:37">
      <c r="AF29100" s="831" t="s">
        <v>11147</v>
      </c>
      <c r="AG29100" s="831" t="s">
        <v>2674</v>
      </c>
      <c r="AH29100" s="831" t="s">
        <v>2688</v>
      </c>
      <c r="AI29100" s="831">
        <v>0</v>
      </c>
      <c r="AJ29100" s="835">
        <v>41578</v>
      </c>
      <c r="AK29100" s="831">
        <v>2316853.79</v>
      </c>
    </row>
    <row r="29101" spans="32:37">
      <c r="AF29101" s="831" t="s">
        <v>11148</v>
      </c>
      <c r="AG29101" s="831" t="s">
        <v>2674</v>
      </c>
      <c r="AH29101" s="831" t="s">
        <v>556</v>
      </c>
      <c r="AI29101" s="831">
        <v>0</v>
      </c>
      <c r="AJ29101" s="835">
        <v>41578</v>
      </c>
      <c r="AK29101" s="831">
        <v>1644732</v>
      </c>
    </row>
    <row r="29102" spans="32:37">
      <c r="AF29102" s="831" t="s">
        <v>11149</v>
      </c>
      <c r="AG29102" s="831" t="s">
        <v>2674</v>
      </c>
      <c r="AH29102" s="831" t="s">
        <v>555</v>
      </c>
      <c r="AI29102" s="831">
        <v>0</v>
      </c>
      <c r="AJ29102" s="835">
        <v>41578</v>
      </c>
      <c r="AK29102" s="831">
        <v>400055160</v>
      </c>
    </row>
    <row r="29103" spans="32:37">
      <c r="AF29103" s="831" t="s">
        <v>11150</v>
      </c>
      <c r="AG29103" s="831" t="s">
        <v>2674</v>
      </c>
      <c r="AH29103" s="831" t="s">
        <v>554</v>
      </c>
      <c r="AI29103" s="831">
        <v>0</v>
      </c>
      <c r="AJ29103" s="835">
        <v>41578</v>
      </c>
      <c r="AK29103" s="831">
        <v>409100170</v>
      </c>
    </row>
    <row r="29104" spans="32:37">
      <c r="AF29104" s="831" t="s">
        <v>11151</v>
      </c>
      <c r="AG29104" s="831" t="s">
        <v>2674</v>
      </c>
      <c r="AH29104" s="831" t="s">
        <v>553</v>
      </c>
      <c r="AI29104" s="831">
        <v>0</v>
      </c>
      <c r="AJ29104" s="835">
        <v>41578</v>
      </c>
      <c r="AK29104" s="831">
        <v>0</v>
      </c>
    </row>
    <row r="29105" spans="32:37">
      <c r="AF29105" s="831" t="s">
        <v>11152</v>
      </c>
      <c r="AG29105" s="831" t="s">
        <v>2674</v>
      </c>
      <c r="AH29105" s="831" t="s">
        <v>552</v>
      </c>
      <c r="AI29105" s="831">
        <v>0</v>
      </c>
      <c r="AJ29105" s="835">
        <v>41578</v>
      </c>
      <c r="AK29105" s="831">
        <v>0</v>
      </c>
    </row>
    <row r="29106" spans="32:37">
      <c r="AF29106" s="831" t="s">
        <v>11153</v>
      </c>
      <c r="AG29106" s="831" t="s">
        <v>2674</v>
      </c>
      <c r="AH29106" s="831" t="s">
        <v>551</v>
      </c>
      <c r="AI29106" s="831">
        <v>0</v>
      </c>
      <c r="AJ29106" s="835">
        <v>41578</v>
      </c>
      <c r="AK29106" s="831">
        <v>1543588.5830000001</v>
      </c>
    </row>
    <row r="29107" spans="32:37">
      <c r="AF29107" s="831" t="s">
        <v>11154</v>
      </c>
      <c r="AG29107" s="831" t="s">
        <v>2674</v>
      </c>
      <c r="AH29107" s="831" t="s">
        <v>550</v>
      </c>
      <c r="AI29107" s="831">
        <v>0</v>
      </c>
      <c r="AJ29107" s="835">
        <v>41578</v>
      </c>
      <c r="AK29107" s="831">
        <v>117170637</v>
      </c>
    </row>
    <row r="29108" spans="32:37">
      <c r="AF29108" s="831" t="s">
        <v>11155</v>
      </c>
      <c r="AG29108" s="831" t="s">
        <v>2674</v>
      </c>
      <c r="AH29108" s="831" t="s">
        <v>562</v>
      </c>
      <c r="AI29108" s="831">
        <v>0</v>
      </c>
      <c r="AJ29108" s="835">
        <v>41578</v>
      </c>
      <c r="AK29108" s="831">
        <v>0.78395000000000004</v>
      </c>
    </row>
    <row r="29109" spans="32:37">
      <c r="AF29109" s="831" t="s">
        <v>11156</v>
      </c>
      <c r="AG29109" s="831" t="s">
        <v>2674</v>
      </c>
      <c r="AH29109" s="831" t="s">
        <v>2698</v>
      </c>
      <c r="AI29109" s="831">
        <v>0</v>
      </c>
      <c r="AJ29109" s="835">
        <v>41578</v>
      </c>
      <c r="AK29109" s="831">
        <v>0.78395000000000004</v>
      </c>
    </row>
    <row r="29110" spans="32:37">
      <c r="AF29110" s="831" t="s">
        <v>11157</v>
      </c>
      <c r="AG29110" s="831" t="s">
        <v>2674</v>
      </c>
      <c r="AH29110" s="831" t="s">
        <v>560</v>
      </c>
      <c r="AI29110" s="831">
        <v>0</v>
      </c>
      <c r="AJ29110" s="835">
        <v>41578</v>
      </c>
      <c r="AK29110" s="831">
        <v>0.78400000000000003</v>
      </c>
    </row>
    <row r="29111" spans="32:37">
      <c r="AF29111" s="831" t="s">
        <v>11158</v>
      </c>
      <c r="AG29111" s="831" t="s">
        <v>2674</v>
      </c>
      <c r="AH29111" s="831" t="s">
        <v>559</v>
      </c>
      <c r="AI29111" s="831">
        <v>0</v>
      </c>
      <c r="AJ29111" s="835">
        <v>41578</v>
      </c>
      <c r="AK29111" s="831">
        <v>0.78401250000000011</v>
      </c>
    </row>
    <row r="29112" spans="32:37">
      <c r="AF29112" s="831" t="s">
        <v>11159</v>
      </c>
      <c r="AG29112" s="831" t="s">
        <v>2674</v>
      </c>
      <c r="AH29112" s="831" t="s">
        <v>568</v>
      </c>
      <c r="AI29112" s="831">
        <v>0</v>
      </c>
      <c r="AJ29112" s="835">
        <v>41578</v>
      </c>
      <c r="AK29112" s="831">
        <v>478407995.76923078</v>
      </c>
    </row>
    <row r="29113" spans="32:37">
      <c r="AF29113" s="831" t="s">
        <v>11160</v>
      </c>
      <c r="AG29113" s="831" t="s">
        <v>2674</v>
      </c>
      <c r="AH29113" s="831" t="s">
        <v>569</v>
      </c>
      <c r="AI29113" s="831">
        <v>0</v>
      </c>
      <c r="AJ29113" s="835">
        <v>41578</v>
      </c>
      <c r="AK29113" s="831">
        <v>581144138.23076928</v>
      </c>
    </row>
    <row r="29114" spans="32:37">
      <c r="AF29114" s="831" t="s">
        <v>11161</v>
      </c>
      <c r="AG29114" s="831" t="s">
        <v>2674</v>
      </c>
      <c r="AH29114" s="831" t="s">
        <v>570</v>
      </c>
      <c r="AI29114" s="831">
        <v>0</v>
      </c>
      <c r="AJ29114" s="835">
        <v>41578</v>
      </c>
      <c r="AK29114" s="831">
        <v>105999107.61538461</v>
      </c>
    </row>
    <row r="29115" spans="32:37">
      <c r="AF29115" s="831" t="s">
        <v>11162</v>
      </c>
      <c r="AG29115" s="831" t="s">
        <v>2674</v>
      </c>
      <c r="AH29115" s="831" t="s">
        <v>571</v>
      </c>
      <c r="AI29115" s="831">
        <v>0</v>
      </c>
      <c r="AJ29115" s="835">
        <v>41578</v>
      </c>
      <c r="AK29115" s="831">
        <v>269945691.38461536</v>
      </c>
    </row>
    <row r="29116" spans="32:37">
      <c r="AF29116" s="831" t="s">
        <v>11163</v>
      </c>
      <c r="AG29116" s="831" t="s">
        <v>2674</v>
      </c>
      <c r="AH29116" s="831" t="s">
        <v>573</v>
      </c>
      <c r="AI29116" s="831">
        <v>0</v>
      </c>
      <c r="AJ29116" s="835">
        <v>41578</v>
      </c>
      <c r="AK29116" s="831">
        <v>602977734.09090912</v>
      </c>
    </row>
    <row r="29117" spans="32:37">
      <c r="AF29117" s="831" t="s">
        <v>11164</v>
      </c>
      <c r="AG29117" s="831" t="s">
        <v>2674</v>
      </c>
      <c r="AH29117" s="831" t="s">
        <v>574</v>
      </c>
      <c r="AI29117" s="831">
        <v>0</v>
      </c>
      <c r="AJ29117" s="835">
        <v>41578</v>
      </c>
      <c r="AK29117" s="831">
        <v>495346900.72727275</v>
      </c>
    </row>
    <row r="29118" spans="32:37">
      <c r="AF29118" s="831" t="s">
        <v>11165</v>
      </c>
      <c r="AG29118" s="831" t="s">
        <v>2674</v>
      </c>
      <c r="AH29118" s="831" t="s">
        <v>575</v>
      </c>
      <c r="AI29118" s="831">
        <v>0</v>
      </c>
      <c r="AJ29118" s="835">
        <v>41578</v>
      </c>
      <c r="AK29118" s="831">
        <v>106972740.09090909</v>
      </c>
    </row>
    <row r="29119" spans="32:37">
      <c r="AF29119" s="831" t="s">
        <v>11166</v>
      </c>
      <c r="AG29119" s="831" t="s">
        <v>2674</v>
      </c>
      <c r="AH29119" s="831" t="s">
        <v>576</v>
      </c>
      <c r="AI29119" s="831">
        <v>0</v>
      </c>
      <c r="AJ29119" s="835">
        <v>41578</v>
      </c>
      <c r="AK29119" s="831">
        <v>283862763.27272725</v>
      </c>
    </row>
    <row r="29120" spans="32:37">
      <c r="AF29120" s="831" t="s">
        <v>11167</v>
      </c>
      <c r="AG29120" s="831" t="s">
        <v>2674</v>
      </c>
      <c r="AH29120" s="831" t="s">
        <v>572</v>
      </c>
      <c r="AI29120" s="831">
        <v>0</v>
      </c>
      <c r="AJ29120" s="835">
        <v>41578</v>
      </c>
      <c r="AK29120" s="831">
        <v>27259085</v>
      </c>
    </row>
    <row r="29121" spans="32:37">
      <c r="AF29121" s="831" t="s">
        <v>11168</v>
      </c>
      <c r="AG29121" s="831" t="s">
        <v>2674</v>
      </c>
      <c r="AH29121" s="831" t="s">
        <v>577</v>
      </c>
      <c r="AI29121" s="831">
        <v>0</v>
      </c>
      <c r="AJ29121" s="835">
        <v>41578</v>
      </c>
      <c r="AK29121" s="831">
        <v>126095724</v>
      </c>
    </row>
    <row r="29122" spans="32:37">
      <c r="AF29122" s="831" t="s">
        <v>11169</v>
      </c>
      <c r="AG29122" s="831" t="s">
        <v>2674</v>
      </c>
      <c r="AH29122" s="831" t="s">
        <v>3042</v>
      </c>
      <c r="AI29122" s="831">
        <v>0</v>
      </c>
      <c r="AJ29122" s="835">
        <v>41578</v>
      </c>
      <c r="AK29122" s="831">
        <v>-31522962</v>
      </c>
    </row>
    <row r="29123" spans="32:37">
      <c r="AF29123" s="831" t="s">
        <v>11170</v>
      </c>
      <c r="AG29123" s="831" t="s">
        <v>2674</v>
      </c>
      <c r="AH29123" s="831" t="s">
        <v>3044</v>
      </c>
      <c r="AI29123" s="831">
        <v>0</v>
      </c>
      <c r="AJ29123" s="835">
        <v>41578</v>
      </c>
      <c r="AK29123" s="831">
        <v>-4397277</v>
      </c>
    </row>
    <row r="29124" spans="32:37">
      <c r="AF29124" s="831" t="s">
        <v>11171</v>
      </c>
      <c r="AG29124" s="831" t="s">
        <v>2674</v>
      </c>
      <c r="AH29124" s="831" t="s">
        <v>580</v>
      </c>
      <c r="AI29124" s="831">
        <v>0</v>
      </c>
      <c r="AJ29124" s="835">
        <v>41578</v>
      </c>
      <c r="AK29124" s="831">
        <v>-60213639</v>
      </c>
    </row>
    <row r="29125" spans="32:37">
      <c r="AF29125" s="831" t="s">
        <v>11172</v>
      </c>
      <c r="AG29125" s="831" t="s">
        <v>2674</v>
      </c>
      <c r="AH29125" s="831" t="s">
        <v>581</v>
      </c>
      <c r="AI29125" s="831">
        <v>0</v>
      </c>
      <c r="AJ29125" s="835">
        <v>41578</v>
      </c>
      <c r="AK29125" s="831">
        <v>4896268</v>
      </c>
    </row>
    <row r="29126" spans="32:37">
      <c r="AF29126" s="831" t="s">
        <v>11173</v>
      </c>
      <c r="AG29126" s="831" t="s">
        <v>2674</v>
      </c>
      <c r="AH29126" s="831" t="s">
        <v>105</v>
      </c>
      <c r="AI29126" s="831">
        <v>0</v>
      </c>
      <c r="AJ29126" s="835">
        <v>41578</v>
      </c>
      <c r="AK29126" s="831">
        <v>349309695</v>
      </c>
    </row>
    <row r="29127" spans="32:37">
      <c r="AF29127" s="831" t="s">
        <v>11174</v>
      </c>
      <c r="AG29127" s="831" t="s">
        <v>2674</v>
      </c>
      <c r="AH29127" s="831" t="s">
        <v>3049</v>
      </c>
      <c r="AI29127" s="831">
        <v>0</v>
      </c>
      <c r="AJ29127" s="835">
        <v>41578</v>
      </c>
      <c r="AK29127" s="831">
        <v>582451860</v>
      </c>
    </row>
    <row r="29128" spans="32:37">
      <c r="AF29128" s="831" t="s">
        <v>11175</v>
      </c>
      <c r="AG29128" s="831" t="s">
        <v>2674</v>
      </c>
      <c r="AH29128" s="831" t="s">
        <v>103</v>
      </c>
      <c r="AI29128" s="831">
        <v>0</v>
      </c>
      <c r="AJ29128" s="835">
        <v>41578</v>
      </c>
      <c r="AK29128" s="831">
        <v>233142165</v>
      </c>
    </row>
    <row r="29129" spans="32:37">
      <c r="AF29129" s="831" t="s">
        <v>11176</v>
      </c>
      <c r="AG29129" s="831" t="s">
        <v>2674</v>
      </c>
      <c r="AH29129" s="831" t="s">
        <v>182</v>
      </c>
      <c r="AI29129" s="831">
        <v>0</v>
      </c>
      <c r="AJ29129" s="835">
        <v>41578</v>
      </c>
      <c r="AK29129" s="831">
        <v>58216306.799999997</v>
      </c>
    </row>
    <row r="29130" spans="32:37">
      <c r="AF29130" s="831" t="s">
        <v>11177</v>
      </c>
      <c r="AG29130" s="831" t="s">
        <v>2674</v>
      </c>
      <c r="AH29130" s="831" t="s">
        <v>6600</v>
      </c>
      <c r="AI29130" s="831">
        <v>0</v>
      </c>
      <c r="AJ29130" s="835">
        <v>41578</v>
      </c>
      <c r="AK29130" s="831">
        <v>27259085</v>
      </c>
    </row>
    <row r="29131" spans="32:37">
      <c r="AF29131" s="831" t="s">
        <v>11178</v>
      </c>
      <c r="AG29131" s="831" t="s">
        <v>2674</v>
      </c>
      <c r="AH29131" s="831" t="s">
        <v>6602</v>
      </c>
      <c r="AI29131" s="831">
        <v>0</v>
      </c>
      <c r="AJ29131" s="835">
        <v>41578</v>
      </c>
      <c r="AK29131" s="831">
        <v>25527641</v>
      </c>
    </row>
    <row r="29132" spans="32:37">
      <c r="AF29132" s="831" t="s">
        <v>11179</v>
      </c>
      <c r="AG29132" s="831" t="s">
        <v>2674</v>
      </c>
      <c r="AH29132" s="831" t="s">
        <v>650</v>
      </c>
      <c r="AI29132" s="831">
        <v>0</v>
      </c>
      <c r="AJ29132" s="835">
        <v>41578</v>
      </c>
      <c r="AK29132" s="831">
        <v>190388810.31923077</v>
      </c>
    </row>
    <row r="29133" spans="32:37">
      <c r="AF29133" s="831" t="s">
        <v>11180</v>
      </c>
      <c r="AG29133" s="831" t="s">
        <v>2674</v>
      </c>
      <c r="AH29133" s="831" t="s">
        <v>655</v>
      </c>
      <c r="AI29133" s="831">
        <v>0</v>
      </c>
      <c r="AJ29133" s="835">
        <v>41578</v>
      </c>
      <c r="AK29133" s="831">
        <v>1325401.845</v>
      </c>
    </row>
    <row r="29134" spans="32:37">
      <c r="AF29134" s="831" t="s">
        <v>11181</v>
      </c>
      <c r="AG29134" s="831" t="s">
        <v>2674</v>
      </c>
      <c r="AH29134" s="831" t="s">
        <v>546</v>
      </c>
      <c r="AI29134" s="831">
        <v>0</v>
      </c>
      <c r="AJ29134" s="835">
        <v>41608</v>
      </c>
      <c r="AK29134" s="831">
        <v>598049309.95000005</v>
      </c>
    </row>
    <row r="29135" spans="32:37">
      <c r="AF29135" s="831" t="s">
        <v>11182</v>
      </c>
      <c r="AG29135" s="831" t="s">
        <v>2674</v>
      </c>
      <c r="AH29135" s="831" t="s">
        <v>370</v>
      </c>
      <c r="AI29135" s="831">
        <v>0</v>
      </c>
      <c r="AJ29135" s="835">
        <v>41608</v>
      </c>
      <c r="AK29135" s="831">
        <v>744271522.09000015</v>
      </c>
    </row>
    <row r="29136" spans="32:37">
      <c r="AF29136" s="831" t="s">
        <v>11183</v>
      </c>
      <c r="AG29136" s="831" t="s">
        <v>2674</v>
      </c>
      <c r="AH29136" s="831" t="s">
        <v>126</v>
      </c>
      <c r="AI29136" s="831">
        <v>0</v>
      </c>
      <c r="AJ29136" s="835">
        <v>41608</v>
      </c>
      <c r="AK29136" s="831">
        <v>123117939.85600001</v>
      </c>
    </row>
    <row r="29137" spans="32:37">
      <c r="AF29137" s="831" t="s">
        <v>11184</v>
      </c>
      <c r="AG29137" s="831" t="s">
        <v>2674</v>
      </c>
      <c r="AH29137" s="831" t="s">
        <v>268</v>
      </c>
      <c r="AI29137" s="831">
        <v>0</v>
      </c>
      <c r="AJ29137" s="835">
        <v>41608</v>
      </c>
      <c r="AK29137" s="831">
        <v>28354718.032000005</v>
      </c>
    </row>
    <row r="29138" spans="32:37">
      <c r="AF29138" s="831" t="s">
        <v>11185</v>
      </c>
      <c r="AG29138" s="831" t="s">
        <v>2674</v>
      </c>
      <c r="AH29138" s="831" t="s">
        <v>547</v>
      </c>
      <c r="AI29138" s="831">
        <v>0</v>
      </c>
      <c r="AJ29138" s="835">
        <v>41608</v>
      </c>
      <c r="AK29138" s="831">
        <v>511487760</v>
      </c>
    </row>
    <row r="29139" spans="32:37">
      <c r="AF29139" s="831" t="s">
        <v>11186</v>
      </c>
      <c r="AG29139" s="831" t="s">
        <v>2674</v>
      </c>
      <c r="AH29139" s="831" t="s">
        <v>548</v>
      </c>
      <c r="AI29139" s="831">
        <v>0</v>
      </c>
      <c r="AJ29139" s="835">
        <v>41608</v>
      </c>
      <c r="AK29139" s="831">
        <v>96883184</v>
      </c>
    </row>
    <row r="29140" spans="32:37">
      <c r="AF29140" s="831" t="s">
        <v>11187</v>
      </c>
      <c r="AG29140" s="831" t="s">
        <v>2674</v>
      </c>
      <c r="AH29140" s="831" t="s">
        <v>549</v>
      </c>
      <c r="AI29140" s="831">
        <v>0</v>
      </c>
      <c r="AJ29140" s="835">
        <v>41608</v>
      </c>
      <c r="AK29140" s="831">
        <v>394083786</v>
      </c>
    </row>
    <row r="29141" spans="32:37">
      <c r="AF29141" s="831" t="s">
        <v>11188</v>
      </c>
      <c r="AG29141" s="831" t="s">
        <v>2674</v>
      </c>
      <c r="AH29141" s="831" t="s">
        <v>192</v>
      </c>
      <c r="AI29141" s="831">
        <v>0</v>
      </c>
      <c r="AJ29141" s="835">
        <v>41608</v>
      </c>
      <c r="AK29141" s="831">
        <v>-13734258.050000001</v>
      </c>
    </row>
    <row r="29142" spans="32:37">
      <c r="AF29142" s="831" t="s">
        <v>11189</v>
      </c>
      <c r="AG29142" s="831" t="s">
        <v>2674</v>
      </c>
      <c r="AH29142" s="831" t="s">
        <v>558</v>
      </c>
      <c r="AI29142" s="831">
        <v>0</v>
      </c>
      <c r="AJ29142" s="835">
        <v>41608</v>
      </c>
      <c r="AK29142" s="831">
        <v>621153581.74699998</v>
      </c>
    </row>
    <row r="29143" spans="32:37">
      <c r="AF29143" s="831" t="s">
        <v>11190</v>
      </c>
      <c r="AG29143" s="831" t="s">
        <v>2674</v>
      </c>
      <c r="AH29143" s="831" t="s">
        <v>65</v>
      </c>
      <c r="AI29143" s="831">
        <v>0</v>
      </c>
      <c r="AJ29143" s="835">
        <v>41608</v>
      </c>
      <c r="AK29143" s="831">
        <v>119540969.236</v>
      </c>
    </row>
    <row r="29144" spans="32:37">
      <c r="AF29144" s="831" t="s">
        <v>11191</v>
      </c>
      <c r="AG29144" s="831" t="s">
        <v>2674</v>
      </c>
      <c r="AH29144" s="831" t="s">
        <v>89</v>
      </c>
      <c r="AI29144" s="831">
        <v>0</v>
      </c>
      <c r="AJ29144" s="835">
        <v>41608</v>
      </c>
      <c r="AK29144" s="831">
        <v>145224</v>
      </c>
    </row>
    <row r="29145" spans="32:37">
      <c r="AF29145" s="831" t="s">
        <v>11192</v>
      </c>
      <c r="AG29145" s="831" t="s">
        <v>2674</v>
      </c>
      <c r="AH29145" s="831" t="s">
        <v>557</v>
      </c>
      <c r="AI29145" s="831">
        <v>0</v>
      </c>
      <c r="AJ29145" s="835">
        <v>41608</v>
      </c>
      <c r="AK29145" s="831">
        <v>155996</v>
      </c>
    </row>
    <row r="29146" spans="32:37">
      <c r="AF29146" s="831" t="s">
        <v>11193</v>
      </c>
      <c r="AG29146" s="831" t="s">
        <v>2674</v>
      </c>
      <c r="AH29146" s="831" t="s">
        <v>29</v>
      </c>
      <c r="AI29146" s="831">
        <v>0</v>
      </c>
      <c r="AJ29146" s="835">
        <v>41608</v>
      </c>
      <c r="AK29146" s="831">
        <v>1891894.6070000001</v>
      </c>
    </row>
    <row r="29147" spans="32:37">
      <c r="AF29147" s="831" t="s">
        <v>11194</v>
      </c>
      <c r="AG29147" s="831" t="s">
        <v>2674</v>
      </c>
      <c r="AH29147" s="831" t="s">
        <v>2688</v>
      </c>
      <c r="AI29147" s="831">
        <v>0</v>
      </c>
      <c r="AJ29147" s="835">
        <v>41608</v>
      </c>
      <c r="AK29147" s="831">
        <v>3430395.37</v>
      </c>
    </row>
    <row r="29148" spans="32:37">
      <c r="AF29148" s="831" t="s">
        <v>11195</v>
      </c>
      <c r="AG29148" s="831" t="s">
        <v>2674</v>
      </c>
      <c r="AH29148" s="831" t="s">
        <v>556</v>
      </c>
      <c r="AI29148" s="831">
        <v>0</v>
      </c>
      <c r="AJ29148" s="835">
        <v>41608</v>
      </c>
      <c r="AK29148" s="831">
        <v>1644732</v>
      </c>
    </row>
    <row r="29149" spans="32:37">
      <c r="AF29149" s="831" t="s">
        <v>11196</v>
      </c>
      <c r="AG29149" s="831" t="s">
        <v>2674</v>
      </c>
      <c r="AH29149" s="831" t="s">
        <v>555</v>
      </c>
      <c r="AI29149" s="831">
        <v>0</v>
      </c>
      <c r="AJ29149" s="835">
        <v>41608</v>
      </c>
      <c r="AK29149" s="831">
        <v>414052390</v>
      </c>
    </row>
    <row r="29150" spans="32:37">
      <c r="AF29150" s="831" t="s">
        <v>11197</v>
      </c>
      <c r="AG29150" s="831" t="s">
        <v>2674</v>
      </c>
      <c r="AH29150" s="831" t="s">
        <v>554</v>
      </c>
      <c r="AI29150" s="831">
        <v>0</v>
      </c>
      <c r="AJ29150" s="835">
        <v>41608</v>
      </c>
      <c r="AK29150" s="831">
        <v>421904620</v>
      </c>
    </row>
    <row r="29151" spans="32:37">
      <c r="AF29151" s="831" t="s">
        <v>11198</v>
      </c>
      <c r="AG29151" s="831" t="s">
        <v>2674</v>
      </c>
      <c r="AH29151" s="831" t="s">
        <v>553</v>
      </c>
      <c r="AI29151" s="831">
        <v>0</v>
      </c>
      <c r="AJ29151" s="835">
        <v>41608</v>
      </c>
      <c r="AK29151" s="831">
        <v>0</v>
      </c>
    </row>
    <row r="29152" spans="32:37">
      <c r="AF29152" s="831" t="s">
        <v>11199</v>
      </c>
      <c r="AG29152" s="831" t="s">
        <v>2674</v>
      </c>
      <c r="AH29152" s="831" t="s">
        <v>552</v>
      </c>
      <c r="AI29152" s="831">
        <v>0</v>
      </c>
      <c r="AJ29152" s="835">
        <v>41608</v>
      </c>
      <c r="AK29152" s="831">
        <v>0</v>
      </c>
    </row>
    <row r="29153" spans="32:37">
      <c r="AF29153" s="831" t="s">
        <v>11200</v>
      </c>
      <c r="AG29153" s="831" t="s">
        <v>2674</v>
      </c>
      <c r="AH29153" s="831" t="s">
        <v>551</v>
      </c>
      <c r="AI29153" s="831">
        <v>0</v>
      </c>
      <c r="AJ29153" s="835">
        <v>41608</v>
      </c>
      <c r="AK29153" s="831">
        <v>1659941.3510000003</v>
      </c>
    </row>
    <row r="29154" spans="32:37">
      <c r="AF29154" s="831" t="s">
        <v>11201</v>
      </c>
      <c r="AG29154" s="831" t="s">
        <v>2674</v>
      </c>
      <c r="AH29154" s="831" t="s">
        <v>550</v>
      </c>
      <c r="AI29154" s="831">
        <v>0</v>
      </c>
      <c r="AJ29154" s="835">
        <v>41608</v>
      </c>
      <c r="AK29154" s="831">
        <v>120290863</v>
      </c>
    </row>
    <row r="29155" spans="32:37">
      <c r="AF29155" s="831" t="s">
        <v>11202</v>
      </c>
      <c r="AG29155" s="831" t="s">
        <v>2674</v>
      </c>
      <c r="AH29155" s="831" t="s">
        <v>562</v>
      </c>
      <c r="AI29155" s="831">
        <v>0</v>
      </c>
      <c r="AJ29155" s="835">
        <v>41608</v>
      </c>
      <c r="AK29155" s="831">
        <v>0.78385000000000005</v>
      </c>
    </row>
    <row r="29156" spans="32:37">
      <c r="AF29156" s="831" t="s">
        <v>11203</v>
      </c>
      <c r="AG29156" s="831" t="s">
        <v>2674</v>
      </c>
      <c r="AH29156" s="831" t="s">
        <v>2698</v>
      </c>
      <c r="AI29156" s="831">
        <v>0</v>
      </c>
      <c r="AJ29156" s="835">
        <v>41608</v>
      </c>
      <c r="AK29156" s="831">
        <v>0.78395000000000004</v>
      </c>
    </row>
    <row r="29157" spans="32:37">
      <c r="AF29157" s="831" t="s">
        <v>11204</v>
      </c>
      <c r="AG29157" s="831" t="s">
        <v>2674</v>
      </c>
      <c r="AH29157" s="831" t="s">
        <v>560</v>
      </c>
      <c r="AI29157" s="831">
        <v>0</v>
      </c>
      <c r="AJ29157" s="835">
        <v>41608</v>
      </c>
      <c r="AK29157" s="831">
        <v>0.78398636363636354</v>
      </c>
    </row>
    <row r="29158" spans="32:37">
      <c r="AF29158" s="831" t="s">
        <v>11205</v>
      </c>
      <c r="AG29158" s="831" t="s">
        <v>2674</v>
      </c>
      <c r="AH29158" s="831" t="s">
        <v>559</v>
      </c>
      <c r="AI29158" s="831">
        <v>0</v>
      </c>
      <c r="AJ29158" s="835">
        <v>41608</v>
      </c>
      <c r="AK29158" s="831">
        <v>0.78398749999999995</v>
      </c>
    </row>
    <row r="29159" spans="32:37">
      <c r="AF29159" s="831" t="s">
        <v>11206</v>
      </c>
      <c r="AG29159" s="831" t="s">
        <v>2674</v>
      </c>
      <c r="AH29159" s="831" t="s">
        <v>568</v>
      </c>
      <c r="AI29159" s="831">
        <v>0</v>
      </c>
      <c r="AJ29159" s="835">
        <v>41608</v>
      </c>
      <c r="AK29159" s="831">
        <v>495457615.68846154</v>
      </c>
    </row>
    <row r="29160" spans="32:37">
      <c r="AF29160" s="831" t="s">
        <v>11207</v>
      </c>
      <c r="AG29160" s="831" t="s">
        <v>2674</v>
      </c>
      <c r="AH29160" s="831" t="s">
        <v>569</v>
      </c>
      <c r="AI29160" s="831">
        <v>0</v>
      </c>
      <c r="AJ29160" s="835">
        <v>41608</v>
      </c>
      <c r="AK29160" s="831">
        <v>603523727.23769236</v>
      </c>
    </row>
    <row r="29161" spans="32:37">
      <c r="AF29161" s="831" t="s">
        <v>11208</v>
      </c>
      <c r="AG29161" s="831" t="s">
        <v>2674</v>
      </c>
      <c r="AH29161" s="831" t="s">
        <v>570</v>
      </c>
      <c r="AI29161" s="831">
        <v>0</v>
      </c>
      <c r="AJ29161" s="835">
        <v>41608</v>
      </c>
      <c r="AK29161" s="831">
        <v>107821146.75815384</v>
      </c>
    </row>
    <row r="29162" spans="32:37">
      <c r="AF29162" s="831" t="s">
        <v>11209</v>
      </c>
      <c r="AG29162" s="831" t="s">
        <v>2674</v>
      </c>
      <c r="AH29162" s="831" t="s">
        <v>571</v>
      </c>
      <c r="AI29162" s="831">
        <v>0</v>
      </c>
      <c r="AJ29162" s="835">
        <v>41608</v>
      </c>
      <c r="AK29162" s="831">
        <v>283259717.08169228</v>
      </c>
    </row>
    <row r="29163" spans="32:37">
      <c r="AF29163" s="831" t="s">
        <v>11210</v>
      </c>
      <c r="AG29163" s="831" t="s">
        <v>2674</v>
      </c>
      <c r="AH29163" s="831" t="s">
        <v>573</v>
      </c>
      <c r="AI29163" s="831">
        <v>0</v>
      </c>
      <c r="AJ29163" s="835">
        <v>41608</v>
      </c>
      <c r="AK29163" s="831">
        <v>614752216.42416668</v>
      </c>
    </row>
    <row r="29164" spans="32:37">
      <c r="AF29164" s="831" t="s">
        <v>11211</v>
      </c>
      <c r="AG29164" s="831" t="s">
        <v>2674</v>
      </c>
      <c r="AH29164" s="831" t="s">
        <v>574</v>
      </c>
      <c r="AI29164" s="831">
        <v>0</v>
      </c>
      <c r="AJ29164" s="835">
        <v>41608</v>
      </c>
      <c r="AK29164" s="831">
        <v>503905434.82916665</v>
      </c>
    </row>
    <row r="29165" spans="32:37">
      <c r="AF29165" s="831" t="s">
        <v>11212</v>
      </c>
      <c r="AG29165" s="831" t="s">
        <v>2674</v>
      </c>
      <c r="AH29165" s="831" t="s">
        <v>575</v>
      </c>
      <c r="AI29165" s="831">
        <v>0</v>
      </c>
      <c r="AJ29165" s="835">
        <v>41608</v>
      </c>
      <c r="AK29165" s="831">
        <v>108318173.40466666</v>
      </c>
    </row>
    <row r="29166" spans="32:37">
      <c r="AF29166" s="831" t="s">
        <v>11213</v>
      </c>
      <c r="AG29166" s="831" t="s">
        <v>2674</v>
      </c>
      <c r="AH29166" s="831" t="s">
        <v>576</v>
      </c>
      <c r="AI29166" s="831">
        <v>0</v>
      </c>
      <c r="AJ29166" s="835">
        <v>41608</v>
      </c>
      <c r="AK29166" s="831">
        <v>290020734.67183334</v>
      </c>
    </row>
    <row r="29167" spans="32:37">
      <c r="AF29167" s="831" t="s">
        <v>11214</v>
      </c>
      <c r="AG29167" s="831" t="s">
        <v>2674</v>
      </c>
      <c r="AH29167" s="831" t="s">
        <v>572</v>
      </c>
      <c r="AI29167" s="831">
        <v>0</v>
      </c>
      <c r="AJ29167" s="835">
        <v>41608</v>
      </c>
      <c r="AK29167" s="831">
        <v>27660766.032000005</v>
      </c>
    </row>
    <row r="29168" spans="32:37">
      <c r="AF29168" s="831" t="s">
        <v>11215</v>
      </c>
      <c r="AG29168" s="831" t="s">
        <v>2674</v>
      </c>
      <c r="AH29168" s="831" t="s">
        <v>577</v>
      </c>
      <c r="AI29168" s="831">
        <v>0</v>
      </c>
      <c r="AJ29168" s="835">
        <v>41608</v>
      </c>
      <c r="AK29168" s="831">
        <v>128906380.236</v>
      </c>
    </row>
    <row r="29169" spans="32:37">
      <c r="AF29169" s="831" t="s">
        <v>11216</v>
      </c>
      <c r="AG29169" s="831" t="s">
        <v>2674</v>
      </c>
      <c r="AH29169" s="831" t="s">
        <v>3042</v>
      </c>
      <c r="AI29169" s="831">
        <v>0</v>
      </c>
      <c r="AJ29169" s="835">
        <v>41608</v>
      </c>
      <c r="AK29169" s="831">
        <v>-32754423.664999999</v>
      </c>
    </row>
    <row r="29170" spans="32:37">
      <c r="AF29170" s="831" t="s">
        <v>11217</v>
      </c>
      <c r="AG29170" s="831" t="s">
        <v>2674</v>
      </c>
      <c r="AH29170" s="831" t="s">
        <v>3044</v>
      </c>
      <c r="AI29170" s="831">
        <v>0</v>
      </c>
      <c r="AJ29170" s="835">
        <v>41608</v>
      </c>
      <c r="AK29170" s="831">
        <v>-4752350.8779999996</v>
      </c>
    </row>
    <row r="29171" spans="32:37">
      <c r="AF29171" s="831" t="s">
        <v>11218</v>
      </c>
      <c r="AG29171" s="831" t="s">
        <v>2674</v>
      </c>
      <c r="AH29171" s="831" t="s">
        <v>580</v>
      </c>
      <c r="AI29171" s="831">
        <v>0</v>
      </c>
      <c r="AJ29171" s="835">
        <v>41608</v>
      </c>
      <c r="AK29171" s="831">
        <v>-61342758.126000002</v>
      </c>
    </row>
    <row r="29172" spans="32:37">
      <c r="AF29172" s="831" t="s">
        <v>11219</v>
      </c>
      <c r="AG29172" s="831" t="s">
        <v>2674</v>
      </c>
      <c r="AH29172" s="831" t="s">
        <v>581</v>
      </c>
      <c r="AI29172" s="831">
        <v>0</v>
      </c>
      <c r="AJ29172" s="835">
        <v>41608</v>
      </c>
      <c r="AK29172" s="831">
        <v>5348437.4649999999</v>
      </c>
    </row>
    <row r="29173" spans="32:37">
      <c r="AF29173" s="831" t="s">
        <v>11220</v>
      </c>
      <c r="AG29173" s="831" t="s">
        <v>2674</v>
      </c>
      <c r="AH29173" s="831" t="s">
        <v>105</v>
      </c>
      <c r="AI29173" s="831">
        <v>0</v>
      </c>
      <c r="AJ29173" s="835">
        <v>41608</v>
      </c>
      <c r="AK29173" s="831">
        <v>357758420.06199998</v>
      </c>
    </row>
    <row r="29174" spans="32:37">
      <c r="AF29174" s="831" t="s">
        <v>11221</v>
      </c>
      <c r="AG29174" s="831" t="s">
        <v>2674</v>
      </c>
      <c r="AH29174" s="831" t="s">
        <v>3049</v>
      </c>
      <c r="AI29174" s="831">
        <v>0</v>
      </c>
      <c r="AJ29174" s="835">
        <v>41608</v>
      </c>
      <c r="AK29174" s="831">
        <v>601955674.8829999</v>
      </c>
    </row>
    <row r="29175" spans="32:37">
      <c r="AF29175" s="831" t="s">
        <v>11222</v>
      </c>
      <c r="AG29175" s="831" t="s">
        <v>2674</v>
      </c>
      <c r="AH29175" s="831" t="s">
        <v>103</v>
      </c>
      <c r="AI29175" s="831">
        <v>0</v>
      </c>
      <c r="AJ29175" s="835">
        <v>41608</v>
      </c>
      <c r="AK29175" s="831">
        <v>244197254.82099998</v>
      </c>
    </row>
    <row r="29176" spans="32:37">
      <c r="AF29176" s="831" t="s">
        <v>11223</v>
      </c>
      <c r="AG29176" s="831" t="s">
        <v>2674</v>
      </c>
      <c r="AH29176" s="831" t="s">
        <v>182</v>
      </c>
      <c r="AI29176" s="831">
        <v>0</v>
      </c>
      <c r="AJ29176" s="835">
        <v>41608</v>
      </c>
      <c r="AK29176" s="831">
        <v>58896650.319272734</v>
      </c>
    </row>
    <row r="29177" spans="32:37">
      <c r="AF29177" s="831" t="s">
        <v>11224</v>
      </c>
      <c r="AG29177" s="831" t="s">
        <v>2674</v>
      </c>
      <c r="AH29177" s="831" t="s">
        <v>6600</v>
      </c>
      <c r="AI29177" s="831">
        <v>0</v>
      </c>
      <c r="AJ29177" s="835">
        <v>41608</v>
      </c>
      <c r="AK29177" s="831">
        <v>27660766.032000005</v>
      </c>
    </row>
    <row r="29178" spans="32:37">
      <c r="AF29178" s="831" t="s">
        <v>11225</v>
      </c>
      <c r="AG29178" s="831" t="s">
        <v>2674</v>
      </c>
      <c r="AH29178" s="831" t="s">
        <v>6602</v>
      </c>
      <c r="AI29178" s="831">
        <v>0</v>
      </c>
      <c r="AJ29178" s="835">
        <v>41608</v>
      </c>
      <c r="AK29178" s="831">
        <v>28354718.032000005</v>
      </c>
    </row>
    <row r="29179" spans="32:37">
      <c r="AF29179" s="831" t="s">
        <v>11226</v>
      </c>
      <c r="AG29179" s="831" t="s">
        <v>2674</v>
      </c>
      <c r="AH29179" s="831" t="s">
        <v>650</v>
      </c>
      <c r="AI29179" s="831">
        <v>0</v>
      </c>
      <c r="AJ29179" s="835">
        <v>41608</v>
      </c>
      <c r="AK29179" s="831">
        <v>197061109.84392309</v>
      </c>
    </row>
    <row r="29180" spans="32:37">
      <c r="AF29180" s="831" t="s">
        <v>11227</v>
      </c>
      <c r="AG29180" s="831" t="s">
        <v>2674</v>
      </c>
      <c r="AH29180" s="831" t="s">
        <v>655</v>
      </c>
      <c r="AI29180" s="831">
        <v>0</v>
      </c>
      <c r="AJ29180" s="835">
        <v>41608</v>
      </c>
      <c r="AK29180" s="831">
        <v>1514274.5550000002</v>
      </c>
    </row>
    <row r="29181" spans="32:37">
      <c r="AF29181" s="831" t="s">
        <v>11228</v>
      </c>
      <c r="AG29181" s="831" t="s">
        <v>2674</v>
      </c>
      <c r="AH29181" s="831" t="s">
        <v>546</v>
      </c>
      <c r="AI29181" s="831">
        <v>0</v>
      </c>
      <c r="AJ29181" s="835">
        <v>41639</v>
      </c>
      <c r="AK29181" s="831">
        <v>627874260</v>
      </c>
    </row>
    <row r="29182" spans="32:37">
      <c r="AF29182" s="831" t="s">
        <v>11229</v>
      </c>
      <c r="AG29182" s="831" t="s">
        <v>2674</v>
      </c>
      <c r="AH29182" s="831" t="s">
        <v>370</v>
      </c>
      <c r="AI29182" s="831">
        <v>0</v>
      </c>
      <c r="AJ29182" s="835">
        <v>41639</v>
      </c>
      <c r="AK29182" s="831">
        <v>789514969.56299996</v>
      </c>
    </row>
    <row r="29183" spans="32:37">
      <c r="AF29183" s="831" t="s">
        <v>11230</v>
      </c>
      <c r="AG29183" s="831" t="s">
        <v>2674</v>
      </c>
      <c r="AH29183" s="831" t="s">
        <v>126</v>
      </c>
      <c r="AI29183" s="831">
        <v>0</v>
      </c>
      <c r="AJ29183" s="835">
        <v>41639</v>
      </c>
      <c r="AK29183" s="831">
        <v>114089765.91</v>
      </c>
    </row>
    <row r="29184" spans="32:37">
      <c r="AF29184" s="831" t="s">
        <v>11231</v>
      </c>
      <c r="AG29184" s="831" t="s">
        <v>2674</v>
      </c>
      <c r="AH29184" s="831" t="s">
        <v>268</v>
      </c>
      <c r="AI29184" s="831">
        <v>0</v>
      </c>
      <c r="AJ29184" s="835">
        <v>41639</v>
      </c>
      <c r="AK29184" s="831">
        <v>27176541.956000008</v>
      </c>
    </row>
    <row r="29185" spans="32:37">
      <c r="AF29185" s="831" t="s">
        <v>11232</v>
      </c>
      <c r="AG29185" s="831" t="s">
        <v>2674</v>
      </c>
      <c r="AH29185" s="831" t="s">
        <v>547</v>
      </c>
      <c r="AI29185" s="831">
        <v>0</v>
      </c>
      <c r="AJ29185" s="835">
        <v>41639</v>
      </c>
      <c r="AK29185" s="831">
        <v>511487760</v>
      </c>
    </row>
    <row r="29186" spans="32:37">
      <c r="AF29186" s="831" t="s">
        <v>11233</v>
      </c>
      <c r="AG29186" s="831" t="s">
        <v>2674</v>
      </c>
      <c r="AH29186" s="831" t="s">
        <v>548</v>
      </c>
      <c r="AI29186" s="831">
        <v>0</v>
      </c>
      <c r="AJ29186" s="835">
        <v>41639</v>
      </c>
      <c r="AK29186" s="831">
        <v>96883184</v>
      </c>
    </row>
    <row r="29187" spans="32:37">
      <c r="AF29187" s="831" t="s">
        <v>11234</v>
      </c>
      <c r="AG29187" s="831" t="s">
        <v>2674</v>
      </c>
      <c r="AH29187" s="831" t="s">
        <v>549</v>
      </c>
      <c r="AI29187" s="831">
        <v>0</v>
      </c>
      <c r="AJ29187" s="835">
        <v>41639</v>
      </c>
      <c r="AK29187" s="831">
        <v>412125624</v>
      </c>
    </row>
    <row r="29188" spans="32:37">
      <c r="AF29188" s="831" t="s">
        <v>11235</v>
      </c>
      <c r="AG29188" s="831" t="s">
        <v>2674</v>
      </c>
      <c r="AH29188" s="831" t="s">
        <v>192</v>
      </c>
      <c r="AI29188" s="831">
        <v>0</v>
      </c>
      <c r="AJ29188" s="835">
        <v>41639</v>
      </c>
      <c r="AK29188" s="831">
        <v>-13734258</v>
      </c>
    </row>
    <row r="29189" spans="32:37">
      <c r="AF29189" s="831" t="s">
        <v>11236</v>
      </c>
      <c r="AG29189" s="831" t="s">
        <v>2674</v>
      </c>
      <c r="AH29189" s="831" t="s">
        <v>558</v>
      </c>
      <c r="AI29189" s="831">
        <v>0</v>
      </c>
      <c r="AJ29189" s="835">
        <v>41639</v>
      </c>
      <c r="AK29189" s="831">
        <v>675425203.71399999</v>
      </c>
    </row>
    <row r="29190" spans="32:37">
      <c r="AF29190" s="831" t="s">
        <v>11237</v>
      </c>
      <c r="AG29190" s="831" t="s">
        <v>2674</v>
      </c>
      <c r="AH29190" s="831" t="s">
        <v>65</v>
      </c>
      <c r="AI29190" s="831">
        <v>0</v>
      </c>
      <c r="AJ29190" s="835">
        <v>41639</v>
      </c>
      <c r="AK29190" s="831">
        <v>132856888.763</v>
      </c>
    </row>
    <row r="29191" spans="32:37">
      <c r="AF29191" s="831" t="s">
        <v>11238</v>
      </c>
      <c r="AG29191" s="831" t="s">
        <v>2674</v>
      </c>
      <c r="AH29191" s="831" t="s">
        <v>89</v>
      </c>
      <c r="AI29191" s="831">
        <v>0</v>
      </c>
      <c r="AJ29191" s="835">
        <v>41639</v>
      </c>
      <c r="AK29191" s="831">
        <v>147601</v>
      </c>
    </row>
    <row r="29192" spans="32:37">
      <c r="AF29192" s="831" t="s">
        <v>11239</v>
      </c>
      <c r="AG29192" s="831" t="s">
        <v>2674</v>
      </c>
      <c r="AH29192" s="831" t="s">
        <v>557</v>
      </c>
      <c r="AI29192" s="831">
        <v>0</v>
      </c>
      <c r="AJ29192" s="835">
        <v>41639</v>
      </c>
      <c r="AK29192" s="831">
        <v>160431</v>
      </c>
    </row>
    <row r="29193" spans="32:37">
      <c r="AF29193" s="831" t="s">
        <v>11240</v>
      </c>
      <c r="AG29193" s="831" t="s">
        <v>2674</v>
      </c>
      <c r="AH29193" s="831" t="s">
        <v>29</v>
      </c>
      <c r="AI29193" s="831">
        <v>0</v>
      </c>
      <c r="AJ29193" s="835">
        <v>41639</v>
      </c>
      <c r="AK29193" s="831">
        <v>1938216.4366000001</v>
      </c>
    </row>
    <row r="29194" spans="32:37">
      <c r="AF29194" s="831" t="s">
        <v>11241</v>
      </c>
      <c r="AG29194" s="831" t="s">
        <v>2674</v>
      </c>
      <c r="AH29194" s="831" t="s">
        <v>2688</v>
      </c>
      <c r="AI29194" s="831">
        <v>0</v>
      </c>
      <c r="AJ29194" s="835">
        <v>41639</v>
      </c>
      <c r="AK29194" s="831">
        <v>3277121.17</v>
      </c>
    </row>
    <row r="29195" spans="32:37">
      <c r="AF29195" s="831" t="s">
        <v>11242</v>
      </c>
      <c r="AG29195" s="831" t="s">
        <v>2674</v>
      </c>
      <c r="AH29195" s="831" t="s">
        <v>556</v>
      </c>
      <c r="AI29195" s="831">
        <v>0</v>
      </c>
      <c r="AJ29195" s="835">
        <v>41639</v>
      </c>
      <c r="AK29195" s="831">
        <v>1644732</v>
      </c>
    </row>
    <row r="29196" spans="32:37">
      <c r="AF29196" s="831" t="s">
        <v>11243</v>
      </c>
      <c r="AG29196" s="831" t="s">
        <v>2674</v>
      </c>
      <c r="AH29196" s="831" t="s">
        <v>555</v>
      </c>
      <c r="AI29196" s="831">
        <v>0</v>
      </c>
      <c r="AJ29196" s="835">
        <v>41639</v>
      </c>
      <c r="AK29196" s="831">
        <v>435796650</v>
      </c>
    </row>
    <row r="29197" spans="32:37">
      <c r="AF29197" s="831" t="s">
        <v>11244</v>
      </c>
      <c r="AG29197" s="831" t="s">
        <v>2674</v>
      </c>
      <c r="AH29197" s="831" t="s">
        <v>554</v>
      </c>
      <c r="AI29197" s="831">
        <v>0</v>
      </c>
      <c r="AJ29197" s="835">
        <v>41639</v>
      </c>
      <c r="AK29197" s="831">
        <v>428326680</v>
      </c>
    </row>
    <row r="29198" spans="32:37">
      <c r="AF29198" s="831" t="s">
        <v>11245</v>
      </c>
      <c r="AG29198" s="831" t="s">
        <v>2674</v>
      </c>
      <c r="AH29198" s="831" t="s">
        <v>553</v>
      </c>
      <c r="AI29198" s="831">
        <v>0</v>
      </c>
      <c r="AJ29198" s="835">
        <v>41639</v>
      </c>
      <c r="AK29198" s="831">
        <v>0</v>
      </c>
    </row>
    <row r="29199" spans="32:37">
      <c r="AF29199" s="831" t="s">
        <v>11246</v>
      </c>
      <c r="AG29199" s="831" t="s">
        <v>2674</v>
      </c>
      <c r="AH29199" s="831" t="s">
        <v>552</v>
      </c>
      <c r="AI29199" s="831">
        <v>0</v>
      </c>
      <c r="AJ29199" s="835">
        <v>41639</v>
      </c>
      <c r="AK29199" s="831">
        <v>0</v>
      </c>
    </row>
    <row r="29200" spans="32:37">
      <c r="AF29200" s="831" t="s">
        <v>11247</v>
      </c>
      <c r="AG29200" s="831" t="s">
        <v>2674</v>
      </c>
      <c r="AH29200" s="831" t="s">
        <v>551</v>
      </c>
      <c r="AI29200" s="831">
        <v>0</v>
      </c>
      <c r="AJ29200" s="835">
        <v>41639</v>
      </c>
      <c r="AK29200" s="831">
        <v>1803383.8316000002</v>
      </c>
    </row>
    <row r="29201" spans="32:37">
      <c r="AF29201" s="831" t="s">
        <v>11248</v>
      </c>
      <c r="AG29201" s="831" t="s">
        <v>2674</v>
      </c>
      <c r="AH29201" s="831" t="s">
        <v>550</v>
      </c>
      <c r="AI29201" s="831">
        <v>0</v>
      </c>
      <c r="AJ29201" s="835">
        <v>41639</v>
      </c>
      <c r="AK29201" s="831">
        <v>123117939.85600001</v>
      </c>
    </row>
    <row r="29202" spans="32:37">
      <c r="AF29202" s="831" t="s">
        <v>11249</v>
      </c>
      <c r="AG29202" s="831" t="s">
        <v>2674</v>
      </c>
      <c r="AH29202" s="831" t="s">
        <v>562</v>
      </c>
      <c r="AI29202" s="831">
        <v>0</v>
      </c>
      <c r="AJ29202" s="835">
        <v>41639</v>
      </c>
      <c r="AK29202" s="831">
        <v>0.78334999999999999</v>
      </c>
    </row>
    <row r="29203" spans="32:37">
      <c r="AF29203" s="831" t="s">
        <v>11250</v>
      </c>
      <c r="AG29203" s="831" t="s">
        <v>2674</v>
      </c>
      <c r="AH29203" s="831" t="s">
        <v>2698</v>
      </c>
      <c r="AI29203" s="831">
        <v>0</v>
      </c>
      <c r="AJ29203" s="835">
        <v>41639</v>
      </c>
      <c r="AK29203" s="831">
        <v>0.78385000000000005</v>
      </c>
    </row>
    <row r="29204" spans="32:37">
      <c r="AF29204" s="831" t="s">
        <v>11251</v>
      </c>
      <c r="AG29204" s="831" t="s">
        <v>2674</v>
      </c>
      <c r="AH29204" s="831" t="s">
        <v>560</v>
      </c>
      <c r="AI29204" s="831">
        <v>0</v>
      </c>
      <c r="AJ29204" s="835">
        <v>41639</v>
      </c>
      <c r="AK29204" s="831">
        <v>0.78393333333333326</v>
      </c>
    </row>
    <row r="29205" spans="32:37">
      <c r="AF29205" s="831" t="s">
        <v>11252</v>
      </c>
      <c r="AG29205" s="831" t="s">
        <v>2674</v>
      </c>
      <c r="AH29205" s="831" t="s">
        <v>559</v>
      </c>
      <c r="AI29205" s="831">
        <v>0</v>
      </c>
      <c r="AJ29205" s="835">
        <v>41639</v>
      </c>
      <c r="AK29205" s="831">
        <v>0.78393333333333326</v>
      </c>
    </row>
    <row r="29206" spans="32:37">
      <c r="AF29206" s="831" t="s">
        <v>11253</v>
      </c>
      <c r="AG29206" s="831" t="s">
        <v>2674</v>
      </c>
      <c r="AH29206" s="831" t="s">
        <v>568</v>
      </c>
      <c r="AI29206" s="831">
        <v>0</v>
      </c>
      <c r="AJ29206" s="835">
        <v>41639</v>
      </c>
      <c r="AK29206" s="831">
        <v>513441498.30384612</v>
      </c>
    </row>
    <row r="29207" spans="32:37">
      <c r="AF29207" s="831" t="s">
        <v>11254</v>
      </c>
      <c r="AG29207" s="831" t="s">
        <v>2674</v>
      </c>
      <c r="AH29207" s="831" t="s">
        <v>569</v>
      </c>
      <c r="AI29207" s="831">
        <v>0</v>
      </c>
      <c r="AJ29207" s="835">
        <v>41639</v>
      </c>
      <c r="AK29207" s="831">
        <v>628195505.12715387</v>
      </c>
    </row>
    <row r="29208" spans="32:37">
      <c r="AF29208" s="831" t="s">
        <v>11255</v>
      </c>
      <c r="AG29208" s="831" t="s">
        <v>2674</v>
      </c>
      <c r="AH29208" s="831" t="s">
        <v>570</v>
      </c>
      <c r="AI29208" s="831">
        <v>0</v>
      </c>
      <c r="AJ29208" s="835">
        <v>41639</v>
      </c>
      <c r="AK29208" s="831">
        <v>108762142.05892308</v>
      </c>
    </row>
    <row r="29209" spans="32:37">
      <c r="AF29209" s="831" t="s">
        <v>11256</v>
      </c>
      <c r="AG29209" s="831" t="s">
        <v>2674</v>
      </c>
      <c r="AH29209" s="831" t="s">
        <v>571</v>
      </c>
      <c r="AI29209" s="831">
        <v>0</v>
      </c>
      <c r="AJ29209" s="835">
        <v>41639</v>
      </c>
      <c r="AK29209" s="831">
        <v>297832512.59023076</v>
      </c>
    </row>
    <row r="29210" spans="32:37">
      <c r="AF29210" s="831" t="s">
        <v>11257</v>
      </c>
      <c r="AG29210" s="831" t="s">
        <v>2674</v>
      </c>
      <c r="AH29210" s="831" t="s">
        <v>573</v>
      </c>
      <c r="AI29210" s="831">
        <v>0</v>
      </c>
      <c r="AJ29210" s="835">
        <v>41639</v>
      </c>
      <c r="AK29210" s="831">
        <v>628195505.12715387</v>
      </c>
    </row>
    <row r="29211" spans="32:37">
      <c r="AF29211" s="831" t="s">
        <v>11258</v>
      </c>
      <c r="AG29211" s="831" t="s">
        <v>2674</v>
      </c>
      <c r="AH29211" s="831" t="s">
        <v>574</v>
      </c>
      <c r="AI29211" s="831">
        <v>0</v>
      </c>
      <c r="AJ29211" s="835">
        <v>41639</v>
      </c>
      <c r="AK29211" s="831">
        <v>513441498.30384612</v>
      </c>
    </row>
    <row r="29212" spans="32:37">
      <c r="AF29212" s="831" t="s">
        <v>11259</v>
      </c>
      <c r="AG29212" s="831" t="s">
        <v>2674</v>
      </c>
      <c r="AH29212" s="831" t="s">
        <v>575</v>
      </c>
      <c r="AI29212" s="831">
        <v>0</v>
      </c>
      <c r="AJ29212" s="835">
        <v>41639</v>
      </c>
      <c r="AK29212" s="831">
        <v>108762142.05892308</v>
      </c>
    </row>
    <row r="29213" spans="32:37">
      <c r="AF29213" s="831" t="s">
        <v>11260</v>
      </c>
      <c r="AG29213" s="831" t="s">
        <v>2674</v>
      </c>
      <c r="AH29213" s="831" t="s">
        <v>576</v>
      </c>
      <c r="AI29213" s="831">
        <v>0</v>
      </c>
      <c r="AJ29213" s="835">
        <v>41639</v>
      </c>
      <c r="AK29213" s="831">
        <v>297832512.59023076</v>
      </c>
    </row>
    <row r="29214" spans="32:37">
      <c r="AF29214" s="831" t="s">
        <v>11261</v>
      </c>
      <c r="AG29214" s="831" t="s">
        <v>2674</v>
      </c>
      <c r="AH29214" s="831" t="s">
        <v>572</v>
      </c>
      <c r="AI29214" s="831">
        <v>0</v>
      </c>
      <c r="AJ29214" s="835">
        <v>41639</v>
      </c>
      <c r="AK29214" s="831">
        <v>27176541.956000008</v>
      </c>
    </row>
    <row r="29215" spans="32:37">
      <c r="AF29215" s="831" t="s">
        <v>11262</v>
      </c>
      <c r="AG29215" s="831" t="s">
        <v>2674</v>
      </c>
      <c r="AH29215" s="831" t="s">
        <v>577</v>
      </c>
      <c r="AI29215" s="831">
        <v>0</v>
      </c>
      <c r="AJ29215" s="835">
        <v>41639</v>
      </c>
      <c r="AK29215" s="831">
        <v>132856888.763</v>
      </c>
    </row>
    <row r="29216" spans="32:37">
      <c r="AF29216" s="831" t="s">
        <v>11263</v>
      </c>
      <c r="AG29216" s="831" t="s">
        <v>2674</v>
      </c>
      <c r="AH29216" s="831" t="s">
        <v>3042</v>
      </c>
      <c r="AI29216" s="831">
        <v>0</v>
      </c>
      <c r="AJ29216" s="835">
        <v>41639</v>
      </c>
      <c r="AK29216" s="831">
        <v>-34369525.527000003</v>
      </c>
    </row>
    <row r="29217" spans="32:37">
      <c r="AF29217" s="831" t="s">
        <v>11264</v>
      </c>
      <c r="AG29217" s="831" t="s">
        <v>2674</v>
      </c>
      <c r="AH29217" s="831" t="s">
        <v>3044</v>
      </c>
      <c r="AI29217" s="831">
        <v>0</v>
      </c>
      <c r="AJ29217" s="835">
        <v>41639</v>
      </c>
      <c r="AK29217" s="831">
        <v>-4400746.8899999997</v>
      </c>
    </row>
    <row r="29218" spans="32:37">
      <c r="AF29218" s="831" t="s">
        <v>11265</v>
      </c>
      <c r="AG29218" s="831" t="s">
        <v>2674</v>
      </c>
      <c r="AH29218" s="831" t="s">
        <v>580</v>
      </c>
      <c r="AI29218" s="831">
        <v>0</v>
      </c>
      <c r="AJ29218" s="835">
        <v>41639</v>
      </c>
      <c r="AK29218" s="831">
        <v>-64107005.306999996</v>
      </c>
    </row>
    <row r="29219" spans="32:37">
      <c r="AF29219" s="831" t="s">
        <v>11266</v>
      </c>
      <c r="AG29219" s="831" t="s">
        <v>2674</v>
      </c>
      <c r="AH29219" s="831" t="s">
        <v>581</v>
      </c>
      <c r="AI29219" s="831">
        <v>0</v>
      </c>
      <c r="AJ29219" s="835">
        <v>41639</v>
      </c>
      <c r="AK29219" s="831">
        <v>5010635.8940000003</v>
      </c>
    </row>
    <row r="29220" spans="32:37">
      <c r="AF29220" s="831" t="s">
        <v>11267</v>
      </c>
      <c r="AG29220" s="831" t="s">
        <v>2674</v>
      </c>
      <c r="AH29220" s="831" t="s">
        <v>105</v>
      </c>
      <c r="AI29220" s="831">
        <v>0</v>
      </c>
      <c r="AJ29220" s="835">
        <v>41639</v>
      </c>
      <c r="AK29220" s="831">
        <v>391573847.611</v>
      </c>
    </row>
    <row r="29221" spans="32:37">
      <c r="AF29221" s="831" t="s">
        <v>11268</v>
      </c>
      <c r="AG29221" s="831" t="s">
        <v>2674</v>
      </c>
      <c r="AH29221" s="831" t="s">
        <v>3049</v>
      </c>
      <c r="AI29221" s="831">
        <v>0</v>
      </c>
      <c r="AJ29221" s="835">
        <v>41639</v>
      </c>
      <c r="AK29221" s="831">
        <v>644326442.18900001</v>
      </c>
    </row>
    <row r="29222" spans="32:37">
      <c r="AF29222" s="831" t="s">
        <v>11269</v>
      </c>
      <c r="AG29222" s="831" t="s">
        <v>2674</v>
      </c>
      <c r="AH29222" s="831" t="s">
        <v>103</v>
      </c>
      <c r="AI29222" s="831">
        <v>0</v>
      </c>
      <c r="AJ29222" s="835">
        <v>41639</v>
      </c>
      <c r="AK29222" s="831">
        <v>252752594.57800001</v>
      </c>
    </row>
    <row r="29223" spans="32:37">
      <c r="AF29223" s="831" t="s">
        <v>11270</v>
      </c>
      <c r="AG29223" s="831" t="s">
        <v>2674</v>
      </c>
      <c r="AH29223" s="831" t="s">
        <v>182</v>
      </c>
      <c r="AI29223" s="831">
        <v>0</v>
      </c>
      <c r="AJ29223" s="835">
        <v>41639</v>
      </c>
      <c r="AK29223" s="831">
        <v>64107005.307000004</v>
      </c>
    </row>
    <row r="29224" spans="32:37">
      <c r="AF29224" s="831" t="s">
        <v>11271</v>
      </c>
      <c r="AG29224" s="831" t="s">
        <v>2674</v>
      </c>
      <c r="AH29224" s="831" t="s">
        <v>6600</v>
      </c>
      <c r="AI29224" s="831">
        <v>0</v>
      </c>
      <c r="AJ29224" s="835">
        <v>41639</v>
      </c>
      <c r="AK29224" s="831">
        <v>27176541.956000008</v>
      </c>
    </row>
    <row r="29225" spans="32:37">
      <c r="AF29225" s="831" t="s">
        <v>11272</v>
      </c>
      <c r="AG29225" s="831" t="s">
        <v>2674</v>
      </c>
      <c r="AH29225" s="831" t="s">
        <v>6602</v>
      </c>
      <c r="AI29225" s="831">
        <v>0</v>
      </c>
      <c r="AJ29225" s="835">
        <v>41639</v>
      </c>
      <c r="AK29225" s="831">
        <v>27176541.956000008</v>
      </c>
    </row>
    <row r="29226" spans="32:37">
      <c r="AF29226" s="831" t="s">
        <v>11273</v>
      </c>
      <c r="AG29226" s="831" t="s">
        <v>2674</v>
      </c>
      <c r="AH29226" s="831" t="s">
        <v>650</v>
      </c>
      <c r="AI29226" s="831">
        <v>0</v>
      </c>
      <c r="AJ29226" s="835">
        <v>41639</v>
      </c>
      <c r="AK29226" s="831">
        <v>204736223.04223078</v>
      </c>
    </row>
    <row r="29227" spans="32:37">
      <c r="AF29227" s="831" t="s">
        <v>11274</v>
      </c>
      <c r="AG29227" s="831" t="s">
        <v>2674</v>
      </c>
      <c r="AH29227" s="831" t="s">
        <v>655</v>
      </c>
      <c r="AI29227" s="831">
        <v>0</v>
      </c>
      <c r="AJ29227" s="835">
        <v>41639</v>
      </c>
      <c r="AK29227" s="831">
        <v>1605185.0136000002</v>
      </c>
    </row>
    <row r="29228" spans="32:37">
      <c r="AF29228" s="831" t="s">
        <v>11275</v>
      </c>
      <c r="AG29228" s="831" t="s">
        <v>2674</v>
      </c>
      <c r="AH29228" s="831" t="s">
        <v>546</v>
      </c>
      <c r="AI29228" s="831">
        <v>0</v>
      </c>
      <c r="AJ29228" s="835">
        <v>41670</v>
      </c>
      <c r="AK29228" s="831">
        <v>635618516</v>
      </c>
    </row>
    <row r="29229" spans="32:37">
      <c r="AF29229" s="831" t="s">
        <v>11276</v>
      </c>
      <c r="AG29229" s="831" t="s">
        <v>2674</v>
      </c>
      <c r="AH29229" s="831" t="s">
        <v>370</v>
      </c>
      <c r="AI29229" s="831">
        <v>0</v>
      </c>
      <c r="AJ29229" s="835">
        <v>41670</v>
      </c>
      <c r="AK29229" s="831">
        <v>777719977</v>
      </c>
    </row>
    <row r="29230" spans="32:37">
      <c r="AF29230" s="831" t="s">
        <v>11277</v>
      </c>
      <c r="AG29230" s="831" t="s">
        <v>2674</v>
      </c>
      <c r="AH29230" s="831" t="s">
        <v>126</v>
      </c>
      <c r="AI29230" s="831">
        <v>0</v>
      </c>
      <c r="AJ29230" s="835">
        <v>41670</v>
      </c>
      <c r="AK29230" s="831">
        <v>117105496</v>
      </c>
    </row>
    <row r="29231" spans="32:37">
      <c r="AF29231" s="831" t="s">
        <v>11278</v>
      </c>
      <c r="AG29231" s="831" t="s">
        <v>2674</v>
      </c>
      <c r="AH29231" s="831" t="s">
        <v>268</v>
      </c>
      <c r="AI29231" s="831">
        <v>0</v>
      </c>
      <c r="AJ29231" s="835">
        <v>41670</v>
      </c>
      <c r="AK29231" s="831">
        <v>3298821</v>
      </c>
    </row>
    <row r="29232" spans="32:37">
      <c r="AF29232" s="831" t="s">
        <v>11279</v>
      </c>
      <c r="AG29232" s="831" t="s">
        <v>2674</v>
      </c>
      <c r="AH29232" s="831" t="s">
        <v>547</v>
      </c>
      <c r="AI29232" s="831">
        <v>0</v>
      </c>
      <c r="AJ29232" s="835">
        <v>41670</v>
      </c>
      <c r="AK29232" s="831">
        <v>777719977</v>
      </c>
    </row>
    <row r="29233" spans="32:37">
      <c r="AF29233" s="831" t="s">
        <v>11280</v>
      </c>
      <c r="AG29233" s="831" t="s">
        <v>2674</v>
      </c>
      <c r="AH29233" s="831" t="s">
        <v>548</v>
      </c>
      <c r="AI29233" s="831">
        <v>0</v>
      </c>
      <c r="AJ29233" s="835">
        <v>41670</v>
      </c>
      <c r="AK29233" s="831">
        <v>117105496</v>
      </c>
    </row>
    <row r="29234" spans="32:37">
      <c r="AF29234" s="831" t="s">
        <v>11281</v>
      </c>
      <c r="AG29234" s="831" t="s">
        <v>2674</v>
      </c>
      <c r="AH29234" s="831" t="s">
        <v>549</v>
      </c>
      <c r="AI29234" s="831">
        <v>0</v>
      </c>
      <c r="AJ29234" s="835">
        <v>41670</v>
      </c>
      <c r="AK29234" s="831">
        <v>421051783</v>
      </c>
    </row>
    <row r="29235" spans="32:37">
      <c r="AF29235" s="831" t="s">
        <v>11282</v>
      </c>
      <c r="AG29235" s="831" t="s">
        <v>2674</v>
      </c>
      <c r="AH29235" s="831" t="s">
        <v>192</v>
      </c>
      <c r="AI29235" s="831">
        <v>0</v>
      </c>
      <c r="AJ29235" s="835">
        <v>41670</v>
      </c>
      <c r="AK29235" s="831">
        <v>-14010990</v>
      </c>
    </row>
    <row r="29236" spans="32:37">
      <c r="AF29236" s="831" t="s">
        <v>11283</v>
      </c>
      <c r="AG29236" s="831" t="s">
        <v>2674</v>
      </c>
      <c r="AH29236" s="831" t="s">
        <v>558</v>
      </c>
      <c r="AI29236" s="831">
        <v>0</v>
      </c>
      <c r="AJ29236" s="835">
        <v>41670</v>
      </c>
      <c r="AK29236" s="831">
        <v>660614481.35800004</v>
      </c>
    </row>
    <row r="29237" spans="32:37">
      <c r="AF29237" s="831" t="s">
        <v>11284</v>
      </c>
      <c r="AG29237" s="831" t="s">
        <v>2674</v>
      </c>
      <c r="AH29237" s="831" t="s">
        <v>65</v>
      </c>
      <c r="AI29237" s="831">
        <v>0</v>
      </c>
      <c r="AJ29237" s="835">
        <v>41670</v>
      </c>
      <c r="AK29237" s="831">
        <v>13268788</v>
      </c>
    </row>
    <row r="29238" spans="32:37">
      <c r="AF29238" s="831" t="s">
        <v>11285</v>
      </c>
      <c r="AG29238" s="831" t="s">
        <v>2674</v>
      </c>
      <c r="AH29238" s="831" t="s">
        <v>89</v>
      </c>
      <c r="AI29238" s="831">
        <v>0</v>
      </c>
      <c r="AJ29238" s="835">
        <v>41670</v>
      </c>
      <c r="AK29238" s="831">
        <v>149103</v>
      </c>
    </row>
    <row r="29239" spans="32:37">
      <c r="AF29239" s="831" t="s">
        <v>11286</v>
      </c>
      <c r="AG29239" s="831" t="s">
        <v>2674</v>
      </c>
      <c r="AH29239" s="831" t="s">
        <v>557</v>
      </c>
      <c r="AI29239" s="831">
        <v>0</v>
      </c>
      <c r="AJ29239" s="835">
        <v>41670</v>
      </c>
      <c r="AK29239" s="831">
        <v>162799</v>
      </c>
    </row>
    <row r="29240" spans="32:37">
      <c r="AF29240" s="831" t="s">
        <v>11287</v>
      </c>
      <c r="AG29240" s="831" t="s">
        <v>2674</v>
      </c>
      <c r="AH29240" s="831" t="s">
        <v>29</v>
      </c>
      <c r="AI29240" s="831">
        <v>0</v>
      </c>
      <c r="AJ29240" s="835">
        <v>41670</v>
      </c>
      <c r="AK29240" s="831">
        <v>1994542.716</v>
      </c>
    </row>
    <row r="29241" spans="32:37">
      <c r="AF29241" s="831" t="s">
        <v>11288</v>
      </c>
      <c r="AG29241" s="831" t="s">
        <v>2674</v>
      </c>
      <c r="AH29241" s="831" t="s">
        <v>2688</v>
      </c>
      <c r="AI29241" s="831">
        <v>0</v>
      </c>
      <c r="AJ29241" s="835">
        <v>41670</v>
      </c>
      <c r="AK29241" s="831">
        <v>3487768.05</v>
      </c>
    </row>
    <row r="29242" spans="32:37">
      <c r="AF29242" s="831" t="s">
        <v>11289</v>
      </c>
      <c r="AG29242" s="831" t="s">
        <v>2674</v>
      </c>
      <c r="AH29242" s="831" t="s">
        <v>556</v>
      </c>
      <c r="AI29242" s="831">
        <v>0</v>
      </c>
      <c r="AJ29242" s="835">
        <v>41670</v>
      </c>
      <c r="AK29242" s="831">
        <v>1644732</v>
      </c>
    </row>
    <row r="29243" spans="32:37">
      <c r="AF29243" s="831" t="s">
        <v>11290</v>
      </c>
      <c r="AG29243" s="831" t="s">
        <v>2674</v>
      </c>
      <c r="AH29243" s="831" t="s">
        <v>555</v>
      </c>
      <c r="AI29243" s="831">
        <v>0</v>
      </c>
      <c r="AJ29243" s="835">
        <v>41670</v>
      </c>
      <c r="AK29243" s="831">
        <v>421635600</v>
      </c>
    </row>
    <row r="29244" spans="32:37">
      <c r="AF29244" s="831" t="s">
        <v>11291</v>
      </c>
      <c r="AG29244" s="831" t="s">
        <v>2674</v>
      </c>
      <c r="AH29244" s="831" t="s">
        <v>554</v>
      </c>
      <c r="AI29244" s="831">
        <v>0</v>
      </c>
      <c r="AJ29244" s="835">
        <v>41670</v>
      </c>
      <c r="AK29244" s="831">
        <v>432162250</v>
      </c>
    </row>
    <row r="29245" spans="32:37">
      <c r="AF29245" s="831" t="s">
        <v>11292</v>
      </c>
      <c r="AG29245" s="831" t="s">
        <v>2674</v>
      </c>
      <c r="AH29245" s="831" t="s">
        <v>553</v>
      </c>
      <c r="AI29245" s="831">
        <v>0</v>
      </c>
      <c r="AJ29245" s="835">
        <v>41670</v>
      </c>
      <c r="AK29245" s="831">
        <v>0</v>
      </c>
    </row>
    <row r="29246" spans="32:37">
      <c r="AF29246" s="831" t="s">
        <v>11293</v>
      </c>
      <c r="AG29246" s="831" t="s">
        <v>2674</v>
      </c>
      <c r="AH29246" s="831" t="s">
        <v>552</v>
      </c>
      <c r="AI29246" s="831">
        <v>0</v>
      </c>
      <c r="AJ29246" s="835">
        <v>41670</v>
      </c>
      <c r="AK29246" s="831">
        <v>0</v>
      </c>
    </row>
    <row r="29247" spans="32:37">
      <c r="AF29247" s="831" t="s">
        <v>11294</v>
      </c>
      <c r="AG29247" s="831" t="s">
        <v>2674</v>
      </c>
      <c r="AH29247" s="831" t="s">
        <v>551</v>
      </c>
      <c r="AI29247" s="831">
        <v>0</v>
      </c>
      <c r="AJ29247" s="835">
        <v>41670</v>
      </c>
      <c r="AK29247" s="831">
        <v>1853357.048</v>
      </c>
    </row>
    <row r="29248" spans="32:37">
      <c r="AF29248" s="831" t="s">
        <v>11295</v>
      </c>
      <c r="AG29248" s="831" t="s">
        <v>2674</v>
      </c>
      <c r="AH29248" s="831" t="s">
        <v>550</v>
      </c>
      <c r="AI29248" s="831">
        <v>0</v>
      </c>
      <c r="AJ29248" s="835">
        <v>41670</v>
      </c>
      <c r="AK29248" s="831">
        <v>114089765.91</v>
      </c>
    </row>
    <row r="29249" spans="32:37">
      <c r="AF29249" s="831" t="s">
        <v>11296</v>
      </c>
      <c r="AG29249" s="831" t="s">
        <v>2674</v>
      </c>
      <c r="AH29249" s="831" t="s">
        <v>562</v>
      </c>
      <c r="AI29249" s="831">
        <v>0</v>
      </c>
      <c r="AJ29249" s="835">
        <v>41670</v>
      </c>
      <c r="AK29249" s="831">
        <v>0.78364999999999996</v>
      </c>
    </row>
    <row r="29250" spans="32:37">
      <c r="AF29250" s="831" t="s">
        <v>11297</v>
      </c>
      <c r="AG29250" s="831" t="s">
        <v>2674</v>
      </c>
      <c r="AH29250" s="831" t="s">
        <v>2698</v>
      </c>
      <c r="AI29250" s="831">
        <v>0</v>
      </c>
      <c r="AJ29250" s="835">
        <v>41670</v>
      </c>
      <c r="AK29250" s="831">
        <v>0.78334999999999999</v>
      </c>
    </row>
    <row r="29251" spans="32:37">
      <c r="AF29251" s="831" t="s">
        <v>11298</v>
      </c>
      <c r="AG29251" s="831" t="s">
        <v>2674</v>
      </c>
      <c r="AH29251" s="831" t="s">
        <v>560</v>
      </c>
      <c r="AI29251" s="831">
        <v>0</v>
      </c>
      <c r="AJ29251" s="835">
        <v>41670</v>
      </c>
      <c r="AK29251" s="831">
        <v>0.78364999999999996</v>
      </c>
    </row>
    <row r="29252" spans="32:37">
      <c r="AF29252" s="831" t="s">
        <v>11299</v>
      </c>
      <c r="AG29252" s="831" t="s">
        <v>2674</v>
      </c>
      <c r="AH29252" s="831" t="s">
        <v>559</v>
      </c>
      <c r="AI29252" s="831">
        <v>0</v>
      </c>
      <c r="AJ29252" s="835">
        <v>41670</v>
      </c>
      <c r="AK29252" s="831">
        <v>0.78391666666666648</v>
      </c>
    </row>
    <row r="29253" spans="32:37">
      <c r="AF29253" s="831" t="s">
        <v>11300</v>
      </c>
      <c r="AG29253" s="831" t="s">
        <v>2674</v>
      </c>
      <c r="AH29253" s="831" t="s">
        <v>568</v>
      </c>
      <c r="AI29253" s="831">
        <v>0</v>
      </c>
      <c r="AJ29253" s="835">
        <v>41670</v>
      </c>
      <c r="AK29253" s="831">
        <v>530633259.22692305</v>
      </c>
    </row>
    <row r="29254" spans="32:37">
      <c r="AF29254" s="831" t="s">
        <v>11301</v>
      </c>
      <c r="AG29254" s="831" t="s">
        <v>2674</v>
      </c>
      <c r="AH29254" s="831" t="s">
        <v>569</v>
      </c>
      <c r="AI29254" s="831">
        <v>0</v>
      </c>
      <c r="AJ29254" s="835">
        <v>41670</v>
      </c>
      <c r="AK29254" s="831">
        <v>648384048.74253845</v>
      </c>
    </row>
    <row r="29255" spans="32:37">
      <c r="AF29255" s="831" t="s">
        <v>11302</v>
      </c>
      <c r="AG29255" s="831" t="s">
        <v>2674</v>
      </c>
      <c r="AH29255" s="831" t="s">
        <v>570</v>
      </c>
      <c r="AI29255" s="831">
        <v>0</v>
      </c>
      <c r="AJ29255" s="835">
        <v>41670</v>
      </c>
      <c r="AK29255" s="831">
        <v>109988497.52046154</v>
      </c>
    </row>
    <row r="29256" spans="32:37">
      <c r="AF29256" s="831" t="s">
        <v>11303</v>
      </c>
      <c r="AG29256" s="831" t="s">
        <v>2674</v>
      </c>
      <c r="AH29256" s="831" t="s">
        <v>571</v>
      </c>
      <c r="AI29256" s="831">
        <v>0</v>
      </c>
      <c r="AJ29256" s="835">
        <v>41670</v>
      </c>
      <c r="AK29256" s="831">
        <v>308674440.74407691</v>
      </c>
    </row>
    <row r="29257" spans="32:37">
      <c r="AF29257" s="831" t="s">
        <v>11304</v>
      </c>
      <c r="AG29257" s="831" t="s">
        <v>2674</v>
      </c>
      <c r="AH29257" s="831" t="s">
        <v>573</v>
      </c>
      <c r="AI29257" s="831">
        <v>0</v>
      </c>
      <c r="AJ29257" s="835">
        <v>41670</v>
      </c>
      <c r="AK29257" s="831">
        <v>783617473.28149998</v>
      </c>
    </row>
    <row r="29258" spans="32:37">
      <c r="AF29258" s="831" t="s">
        <v>11305</v>
      </c>
      <c r="AG29258" s="831" t="s">
        <v>2674</v>
      </c>
      <c r="AH29258" s="831" t="s">
        <v>574</v>
      </c>
      <c r="AI29258" s="831">
        <v>0</v>
      </c>
      <c r="AJ29258" s="835">
        <v>41670</v>
      </c>
      <c r="AK29258" s="831">
        <v>631746388</v>
      </c>
    </row>
    <row r="29259" spans="32:37">
      <c r="AF29259" s="831" t="s">
        <v>11306</v>
      </c>
      <c r="AG29259" s="831" t="s">
        <v>2674</v>
      </c>
      <c r="AH29259" s="831" t="s">
        <v>575</v>
      </c>
      <c r="AI29259" s="831">
        <v>0</v>
      </c>
      <c r="AJ29259" s="835">
        <v>41670</v>
      </c>
      <c r="AK29259" s="831">
        <v>115597630.955</v>
      </c>
    </row>
    <row r="29260" spans="32:37">
      <c r="AF29260" s="831" t="s">
        <v>11307</v>
      </c>
      <c r="AG29260" s="831" t="s">
        <v>2674</v>
      </c>
      <c r="AH29260" s="831" t="s">
        <v>576</v>
      </c>
      <c r="AI29260" s="831">
        <v>0</v>
      </c>
      <c r="AJ29260" s="835">
        <v>41670</v>
      </c>
      <c r="AK29260" s="831">
        <v>385049519.80550003</v>
      </c>
    </row>
    <row r="29261" spans="32:37">
      <c r="AF29261" s="831" t="s">
        <v>11308</v>
      </c>
      <c r="AG29261" s="831" t="s">
        <v>2674</v>
      </c>
      <c r="AH29261" s="831" t="s">
        <v>572</v>
      </c>
      <c r="AI29261" s="831">
        <v>0</v>
      </c>
      <c r="AJ29261" s="835">
        <v>41670</v>
      </c>
      <c r="AK29261" s="831">
        <v>28355401.956000008</v>
      </c>
    </row>
    <row r="29262" spans="32:37">
      <c r="AF29262" s="831" t="s">
        <v>11309</v>
      </c>
      <c r="AG29262" s="831" t="s">
        <v>2674</v>
      </c>
      <c r="AH29262" s="831" t="s">
        <v>577</v>
      </c>
      <c r="AI29262" s="831">
        <v>0</v>
      </c>
      <c r="AJ29262" s="835">
        <v>41670</v>
      </c>
      <c r="AK29262" s="831">
        <v>136649293.76300001</v>
      </c>
    </row>
    <row r="29263" spans="32:37">
      <c r="AF29263" s="831" t="s">
        <v>11310</v>
      </c>
      <c r="AG29263" s="831" t="s">
        <v>2674</v>
      </c>
      <c r="AH29263" s="831" t="s">
        <v>3042</v>
      </c>
      <c r="AI29263" s="831">
        <v>0</v>
      </c>
      <c r="AJ29263" s="835">
        <v>41670</v>
      </c>
      <c r="AK29263" s="831">
        <v>-35903077.527000003</v>
      </c>
    </row>
    <row r="29264" spans="32:37">
      <c r="AF29264" s="831" t="s">
        <v>11311</v>
      </c>
      <c r="AG29264" s="831" t="s">
        <v>2674</v>
      </c>
      <c r="AH29264" s="831" t="s">
        <v>3044</v>
      </c>
      <c r="AI29264" s="831">
        <v>0</v>
      </c>
      <c r="AJ29264" s="835">
        <v>41670</v>
      </c>
      <c r="AK29264" s="831">
        <v>-4357745.8899999997</v>
      </c>
    </row>
    <row r="29265" spans="32:37">
      <c r="AF29265" s="831" t="s">
        <v>11312</v>
      </c>
      <c r="AG29265" s="831" t="s">
        <v>2674</v>
      </c>
      <c r="AH29265" s="831" t="s">
        <v>580</v>
      </c>
      <c r="AI29265" s="831">
        <v>0</v>
      </c>
      <c r="AJ29265" s="835">
        <v>41670</v>
      </c>
      <c r="AK29265" s="831">
        <v>-64979972.306999996</v>
      </c>
    </row>
    <row r="29266" spans="32:37">
      <c r="AF29266" s="831" t="s">
        <v>11313</v>
      </c>
      <c r="AG29266" s="831" t="s">
        <v>2674</v>
      </c>
      <c r="AH29266" s="831" t="s">
        <v>581</v>
      </c>
      <c r="AI29266" s="831">
        <v>0</v>
      </c>
      <c r="AJ29266" s="835">
        <v>41670</v>
      </c>
      <c r="AK29266" s="831">
        <v>5221448.8940000003</v>
      </c>
    </row>
    <row r="29267" spans="32:37">
      <c r="AF29267" s="831" t="s">
        <v>11314</v>
      </c>
      <c r="AG29267" s="831" t="s">
        <v>2674</v>
      </c>
      <c r="AH29267" s="831" t="s">
        <v>105</v>
      </c>
      <c r="AI29267" s="831">
        <v>0</v>
      </c>
      <c r="AJ29267" s="835">
        <v>41670</v>
      </c>
      <c r="AK29267" s="831">
        <v>378525192</v>
      </c>
    </row>
    <row r="29268" spans="32:37">
      <c r="AF29268" s="831" t="s">
        <v>11315</v>
      </c>
      <c r="AG29268" s="831" t="s">
        <v>2674</v>
      </c>
      <c r="AH29268" s="831" t="s">
        <v>3049</v>
      </c>
      <c r="AI29268" s="831">
        <v>0</v>
      </c>
      <c r="AJ29268" s="835">
        <v>41670</v>
      </c>
      <c r="AK29268" s="831">
        <v>636021249.54999995</v>
      </c>
    </row>
    <row r="29269" spans="32:37">
      <c r="AF29269" s="831" t="s">
        <v>11316</v>
      </c>
      <c r="AG29269" s="831" t="s">
        <v>2674</v>
      </c>
      <c r="AH29269" s="831" t="s">
        <v>103</v>
      </c>
      <c r="AI29269" s="831">
        <v>0</v>
      </c>
      <c r="AJ29269" s="835">
        <v>41670</v>
      </c>
      <c r="AK29269" s="831">
        <v>257496057.55000001</v>
      </c>
    </row>
    <row r="29270" spans="32:37">
      <c r="AF29270" s="831" t="s">
        <v>11317</v>
      </c>
      <c r="AG29270" s="831" t="s">
        <v>2674</v>
      </c>
      <c r="AH29270" s="831" t="s">
        <v>182</v>
      </c>
      <c r="AI29270" s="831">
        <v>0</v>
      </c>
      <c r="AJ29270" s="835">
        <v>41670</v>
      </c>
      <c r="AK29270" s="831">
        <v>67679280</v>
      </c>
    </row>
    <row r="29271" spans="32:37">
      <c r="AF29271" s="831" t="s">
        <v>11318</v>
      </c>
      <c r="AG29271" s="831" t="s">
        <v>2674</v>
      </c>
      <c r="AH29271" s="831" t="s">
        <v>6600</v>
      </c>
      <c r="AI29271" s="831">
        <v>0</v>
      </c>
      <c r="AJ29271" s="835">
        <v>41670</v>
      </c>
      <c r="AK29271" s="831">
        <v>28355401.956000008</v>
      </c>
    </row>
    <row r="29272" spans="32:37">
      <c r="AF29272" s="831" t="s">
        <v>11319</v>
      </c>
      <c r="AG29272" s="831" t="s">
        <v>2674</v>
      </c>
      <c r="AH29272" s="831" t="s">
        <v>6602</v>
      </c>
      <c r="AI29272" s="831">
        <v>0</v>
      </c>
      <c r="AJ29272" s="835">
        <v>41670</v>
      </c>
      <c r="AK29272" s="831">
        <v>3298821</v>
      </c>
    </row>
    <row r="29273" spans="32:37">
      <c r="AF29273" s="831" t="s">
        <v>11320</v>
      </c>
      <c r="AG29273" s="831" t="s">
        <v>2674</v>
      </c>
      <c r="AH29273" s="831" t="s">
        <v>650</v>
      </c>
      <c r="AI29273" s="831">
        <v>0</v>
      </c>
      <c r="AJ29273" s="835">
        <v>41670</v>
      </c>
      <c r="AK29273" s="831">
        <v>211999986.62300003</v>
      </c>
    </row>
    <row r="29274" spans="32:37">
      <c r="AF29274" s="831" t="s">
        <v>11321</v>
      </c>
      <c r="AG29274" s="831" t="s">
        <v>2674</v>
      </c>
      <c r="AH29274" s="831" t="s">
        <v>655</v>
      </c>
      <c r="AI29274" s="831">
        <v>0</v>
      </c>
      <c r="AJ29274" s="835">
        <v>41670</v>
      </c>
      <c r="AK29274" s="831">
        <v>1732566.0729999999</v>
      </c>
    </row>
    <row r="29275" spans="32:37">
      <c r="AF29275" s="831" t="s">
        <v>11322</v>
      </c>
      <c r="AG29275" s="831" t="s">
        <v>2674</v>
      </c>
      <c r="AH29275" s="831" t="s">
        <v>546</v>
      </c>
      <c r="AI29275" s="831">
        <v>0</v>
      </c>
      <c r="AJ29275" s="835">
        <v>41698</v>
      </c>
      <c r="AK29275" s="831">
        <v>652795035</v>
      </c>
    </row>
    <row r="29276" spans="32:37">
      <c r="AF29276" s="831" t="s">
        <v>11323</v>
      </c>
      <c r="AG29276" s="831" t="s">
        <v>2674</v>
      </c>
      <c r="AH29276" s="831" t="s">
        <v>370</v>
      </c>
      <c r="AI29276" s="831">
        <v>0</v>
      </c>
      <c r="AJ29276" s="835">
        <v>41698</v>
      </c>
      <c r="AK29276" s="831">
        <v>794421636</v>
      </c>
    </row>
    <row r="29277" spans="32:37">
      <c r="AF29277" s="831" t="s">
        <v>11324</v>
      </c>
      <c r="AG29277" s="831" t="s">
        <v>2674</v>
      </c>
      <c r="AH29277" s="831" t="s">
        <v>126</v>
      </c>
      <c r="AI29277" s="831">
        <v>0</v>
      </c>
      <c r="AJ29277" s="835">
        <v>41698</v>
      </c>
      <c r="AK29277" s="831">
        <v>120615628</v>
      </c>
    </row>
    <row r="29278" spans="32:37">
      <c r="AF29278" s="831" t="s">
        <v>11325</v>
      </c>
      <c r="AG29278" s="831" t="s">
        <v>2674</v>
      </c>
      <c r="AH29278" s="831" t="s">
        <v>268</v>
      </c>
      <c r="AI29278" s="831">
        <v>0</v>
      </c>
      <c r="AJ29278" s="835">
        <v>41698</v>
      </c>
      <c r="AK29278" s="831">
        <v>7870295</v>
      </c>
    </row>
    <row r="29279" spans="32:37">
      <c r="AF29279" s="831" t="s">
        <v>11326</v>
      </c>
      <c r="AG29279" s="831" t="s">
        <v>2674</v>
      </c>
      <c r="AH29279" s="831" t="s">
        <v>547</v>
      </c>
      <c r="AI29279" s="831">
        <v>0</v>
      </c>
      <c r="AJ29279" s="835">
        <v>41698</v>
      </c>
      <c r="AK29279" s="831">
        <v>777719977</v>
      </c>
    </row>
    <row r="29280" spans="32:37">
      <c r="AF29280" s="831" t="s">
        <v>11327</v>
      </c>
      <c r="AG29280" s="831" t="s">
        <v>2674</v>
      </c>
      <c r="AH29280" s="831" t="s">
        <v>548</v>
      </c>
      <c r="AI29280" s="831">
        <v>0</v>
      </c>
      <c r="AJ29280" s="835">
        <v>41698</v>
      </c>
      <c r="AK29280" s="831">
        <v>117105496</v>
      </c>
    </row>
    <row r="29281" spans="32:37">
      <c r="AF29281" s="831" t="s">
        <v>11328</v>
      </c>
      <c r="AG29281" s="831" t="s">
        <v>2674</v>
      </c>
      <c r="AH29281" s="831" t="s">
        <v>549</v>
      </c>
      <c r="AI29281" s="831">
        <v>0</v>
      </c>
      <c r="AJ29281" s="835">
        <v>41698</v>
      </c>
      <c r="AK29281" s="831">
        <v>436810603</v>
      </c>
    </row>
    <row r="29282" spans="32:37">
      <c r="AF29282" s="831" t="s">
        <v>11329</v>
      </c>
      <c r="AG29282" s="831" t="s">
        <v>2674</v>
      </c>
      <c r="AH29282" s="831" t="s">
        <v>192</v>
      </c>
      <c r="AI29282" s="831">
        <v>0</v>
      </c>
      <c r="AJ29282" s="835">
        <v>41698</v>
      </c>
      <c r="AK29282" s="831">
        <v>-13506118</v>
      </c>
    </row>
    <row r="29283" spans="32:37">
      <c r="AF29283" s="831" t="s">
        <v>11330</v>
      </c>
      <c r="AG29283" s="831" t="s">
        <v>2674</v>
      </c>
      <c r="AH29283" s="831" t="s">
        <v>558</v>
      </c>
      <c r="AI29283" s="831">
        <v>0</v>
      </c>
      <c r="AJ29283" s="835">
        <v>41698</v>
      </c>
      <c r="AK29283" s="831">
        <v>673806008.21000004</v>
      </c>
    </row>
    <row r="29284" spans="32:37">
      <c r="AF29284" s="831" t="s">
        <v>11331</v>
      </c>
      <c r="AG29284" s="831" t="s">
        <v>2674</v>
      </c>
      <c r="AH29284" s="831" t="s">
        <v>65</v>
      </c>
      <c r="AI29284" s="831">
        <v>0</v>
      </c>
      <c r="AJ29284" s="835">
        <v>41698</v>
      </c>
      <c r="AK29284" s="831">
        <v>27696081</v>
      </c>
    </row>
    <row r="29285" spans="32:37">
      <c r="AF29285" s="831" t="s">
        <v>11332</v>
      </c>
      <c r="AG29285" s="831" t="s">
        <v>2674</v>
      </c>
      <c r="AH29285" s="831" t="s">
        <v>89</v>
      </c>
      <c r="AI29285" s="831">
        <v>0</v>
      </c>
      <c r="AJ29285" s="835">
        <v>41698</v>
      </c>
      <c r="AK29285" s="831">
        <v>150328</v>
      </c>
    </row>
    <row r="29286" spans="32:37">
      <c r="AF29286" s="831" t="s">
        <v>11333</v>
      </c>
      <c r="AG29286" s="831" t="s">
        <v>2674</v>
      </c>
      <c r="AH29286" s="831" t="s">
        <v>557</v>
      </c>
      <c r="AI29286" s="831">
        <v>0</v>
      </c>
      <c r="AJ29286" s="835">
        <v>41698</v>
      </c>
      <c r="AK29286" s="831">
        <v>165052</v>
      </c>
    </row>
    <row r="29287" spans="32:37">
      <c r="AF29287" s="831" t="s">
        <v>11334</v>
      </c>
      <c r="AG29287" s="831" t="s">
        <v>2674</v>
      </c>
      <c r="AH29287" s="831" t="s">
        <v>29</v>
      </c>
      <c r="AI29287" s="831">
        <v>0</v>
      </c>
      <c r="AJ29287" s="835">
        <v>41698</v>
      </c>
      <c r="AK29287" s="831">
        <v>2075568.541</v>
      </c>
    </row>
    <row r="29288" spans="32:37">
      <c r="AF29288" s="831" t="s">
        <v>11335</v>
      </c>
      <c r="AG29288" s="831" t="s">
        <v>2674</v>
      </c>
      <c r="AH29288" s="831" t="s">
        <v>2688</v>
      </c>
      <c r="AI29288" s="831">
        <v>0</v>
      </c>
      <c r="AJ29288" s="835">
        <v>41698</v>
      </c>
      <c r="AK29288" s="831">
        <v>4740340.3599999994</v>
      </c>
    </row>
    <row r="29289" spans="32:37">
      <c r="AF29289" s="831" t="s">
        <v>11336</v>
      </c>
      <c r="AG29289" s="831" t="s">
        <v>2674</v>
      </c>
      <c r="AH29289" s="831" t="s">
        <v>556</v>
      </c>
      <c r="AI29289" s="831">
        <v>0</v>
      </c>
      <c r="AJ29289" s="835">
        <v>41698</v>
      </c>
      <c r="AK29289" s="831">
        <v>1644732</v>
      </c>
    </row>
    <row r="29290" spans="32:37">
      <c r="AF29290" s="831" t="s">
        <v>11337</v>
      </c>
      <c r="AG29290" s="831" t="s">
        <v>2674</v>
      </c>
      <c r="AH29290" s="831" t="s">
        <v>555</v>
      </c>
      <c r="AI29290" s="831">
        <v>0</v>
      </c>
      <c r="AJ29290" s="835">
        <v>41698</v>
      </c>
      <c r="AK29290" s="831">
        <v>437465824</v>
      </c>
    </row>
    <row r="29291" spans="32:37">
      <c r="AF29291" s="831" t="s">
        <v>11338</v>
      </c>
      <c r="AG29291" s="831" t="s">
        <v>2674</v>
      </c>
      <c r="AH29291" s="831" t="s">
        <v>554</v>
      </c>
      <c r="AI29291" s="831">
        <v>0</v>
      </c>
      <c r="AJ29291" s="835">
        <v>41698</v>
      </c>
      <c r="AK29291" s="831">
        <v>440045130</v>
      </c>
    </row>
    <row r="29292" spans="32:37">
      <c r="AF29292" s="831" t="s">
        <v>11339</v>
      </c>
      <c r="AG29292" s="831" t="s">
        <v>2674</v>
      </c>
      <c r="AH29292" s="831" t="s">
        <v>553</v>
      </c>
      <c r="AI29292" s="831">
        <v>0</v>
      </c>
      <c r="AJ29292" s="835">
        <v>41698</v>
      </c>
      <c r="AK29292" s="831">
        <v>0</v>
      </c>
    </row>
    <row r="29293" spans="32:37">
      <c r="AF29293" s="831" t="s">
        <v>11340</v>
      </c>
      <c r="AG29293" s="831" t="s">
        <v>2674</v>
      </c>
      <c r="AH29293" s="831" t="s">
        <v>552</v>
      </c>
      <c r="AI29293" s="831">
        <v>0</v>
      </c>
      <c r="AJ29293" s="835">
        <v>41698</v>
      </c>
      <c r="AK29293" s="831">
        <v>0</v>
      </c>
    </row>
    <row r="29294" spans="32:37">
      <c r="AF29294" s="831" t="s">
        <v>11341</v>
      </c>
      <c r="AG29294" s="831" t="s">
        <v>2674</v>
      </c>
      <c r="AH29294" s="831" t="s">
        <v>551</v>
      </c>
      <c r="AI29294" s="831">
        <v>0</v>
      </c>
      <c r="AJ29294" s="835">
        <v>41698</v>
      </c>
      <c r="AK29294" s="831">
        <v>1790155.7879999999</v>
      </c>
    </row>
    <row r="29295" spans="32:37">
      <c r="AF29295" s="831" t="s">
        <v>11342</v>
      </c>
      <c r="AG29295" s="831" t="s">
        <v>2674</v>
      </c>
      <c r="AH29295" s="831" t="s">
        <v>550</v>
      </c>
      <c r="AI29295" s="831">
        <v>0</v>
      </c>
      <c r="AJ29295" s="835">
        <v>41698</v>
      </c>
      <c r="AK29295" s="831">
        <v>117105496</v>
      </c>
    </row>
    <row r="29296" spans="32:37">
      <c r="AF29296" s="831" t="s">
        <v>11343</v>
      </c>
      <c r="AG29296" s="831" t="s">
        <v>2674</v>
      </c>
      <c r="AH29296" s="831" t="s">
        <v>562</v>
      </c>
      <c r="AI29296" s="831">
        <v>0</v>
      </c>
      <c r="AJ29296" s="835">
        <v>41698</v>
      </c>
      <c r="AK29296" s="831">
        <v>0.78385000000000005</v>
      </c>
    </row>
    <row r="29297" spans="32:37">
      <c r="AF29297" s="831" t="s">
        <v>11344</v>
      </c>
      <c r="AG29297" s="831" t="s">
        <v>2674</v>
      </c>
      <c r="AH29297" s="831" t="s">
        <v>2698</v>
      </c>
      <c r="AI29297" s="831">
        <v>0</v>
      </c>
      <c r="AJ29297" s="835">
        <v>41698</v>
      </c>
      <c r="AK29297" s="831">
        <v>0.78364999999999996</v>
      </c>
    </row>
    <row r="29298" spans="32:37">
      <c r="AF29298" s="831" t="s">
        <v>11345</v>
      </c>
      <c r="AG29298" s="831" t="s">
        <v>2674</v>
      </c>
      <c r="AH29298" s="831" t="s">
        <v>560</v>
      </c>
      <c r="AI29298" s="831">
        <v>0</v>
      </c>
      <c r="AJ29298" s="835">
        <v>41698</v>
      </c>
      <c r="AK29298" s="831">
        <v>0.78374999999999995</v>
      </c>
    </row>
    <row r="29299" spans="32:37">
      <c r="AF29299" s="831" t="s">
        <v>11346</v>
      </c>
      <c r="AG29299" s="831" t="s">
        <v>2674</v>
      </c>
      <c r="AH29299" s="831" t="s">
        <v>559</v>
      </c>
      <c r="AI29299" s="831">
        <v>0</v>
      </c>
      <c r="AJ29299" s="835">
        <v>41698</v>
      </c>
      <c r="AK29299" s="831">
        <v>0.7838750000000001</v>
      </c>
    </row>
    <row r="29300" spans="32:37">
      <c r="AF29300" s="831" t="s">
        <v>11347</v>
      </c>
      <c r="AG29300" s="831" t="s">
        <v>2674</v>
      </c>
      <c r="AH29300" s="831" t="s">
        <v>568</v>
      </c>
      <c r="AI29300" s="831">
        <v>0</v>
      </c>
      <c r="AJ29300" s="835">
        <v>41698</v>
      </c>
      <c r="AK29300" s="831">
        <v>548459663.22692311</v>
      </c>
    </row>
    <row r="29301" spans="32:37">
      <c r="AF29301" s="831" t="s">
        <v>11348</v>
      </c>
      <c r="AG29301" s="831" t="s">
        <v>2674</v>
      </c>
      <c r="AH29301" s="831" t="s">
        <v>569</v>
      </c>
      <c r="AI29301" s="831">
        <v>0</v>
      </c>
      <c r="AJ29301" s="835">
        <v>41698</v>
      </c>
      <c r="AK29301" s="831">
        <v>670148193.05023074</v>
      </c>
    </row>
    <row r="29302" spans="32:37">
      <c r="AF29302" s="831" t="s">
        <v>11349</v>
      </c>
      <c r="AG29302" s="831" t="s">
        <v>2674</v>
      </c>
      <c r="AH29302" s="831" t="s">
        <v>570</v>
      </c>
      <c r="AI29302" s="831">
        <v>0</v>
      </c>
      <c r="AJ29302" s="835">
        <v>41698</v>
      </c>
      <c r="AK29302" s="831">
        <v>111814070.13584615</v>
      </c>
    </row>
    <row r="29303" spans="32:37">
      <c r="AF29303" s="831" t="s">
        <v>11350</v>
      </c>
      <c r="AG29303" s="831" t="s">
        <v>2674</v>
      </c>
      <c r="AH29303" s="831" t="s">
        <v>571</v>
      </c>
      <c r="AI29303" s="831">
        <v>0</v>
      </c>
      <c r="AJ29303" s="835">
        <v>41698</v>
      </c>
      <c r="AK29303" s="831">
        <v>320628110.0517692</v>
      </c>
    </row>
    <row r="29304" spans="32:37">
      <c r="AF29304" s="831" t="s">
        <v>11351</v>
      </c>
      <c r="AG29304" s="831" t="s">
        <v>2674</v>
      </c>
      <c r="AH29304" s="831" t="s">
        <v>573</v>
      </c>
      <c r="AI29304" s="831">
        <v>0</v>
      </c>
      <c r="AJ29304" s="835">
        <v>41698</v>
      </c>
      <c r="AK29304" s="831">
        <v>787218860.85433328</v>
      </c>
    </row>
    <row r="29305" spans="32:37">
      <c r="AF29305" s="831" t="s">
        <v>11352</v>
      </c>
      <c r="AG29305" s="831" t="s">
        <v>2674</v>
      </c>
      <c r="AH29305" s="831" t="s">
        <v>574</v>
      </c>
      <c r="AI29305" s="831">
        <v>0</v>
      </c>
      <c r="AJ29305" s="835">
        <v>41698</v>
      </c>
      <c r="AK29305" s="831">
        <v>638762603.66666663</v>
      </c>
    </row>
    <row r="29306" spans="32:37">
      <c r="AF29306" s="831" t="s">
        <v>11353</v>
      </c>
      <c r="AG29306" s="831" t="s">
        <v>2674</v>
      </c>
      <c r="AH29306" s="831" t="s">
        <v>575</v>
      </c>
      <c r="AI29306" s="831">
        <v>0</v>
      </c>
      <c r="AJ29306" s="835">
        <v>41698</v>
      </c>
      <c r="AK29306" s="831">
        <v>117270296.63666666</v>
      </c>
    </row>
    <row r="29307" spans="32:37">
      <c r="AF29307" s="831" t="s">
        <v>11354</v>
      </c>
      <c r="AG29307" s="831" t="s">
        <v>2674</v>
      </c>
      <c r="AH29307" s="831" t="s">
        <v>576</v>
      </c>
      <c r="AI29307" s="831">
        <v>0</v>
      </c>
      <c r="AJ29307" s="835">
        <v>41698</v>
      </c>
      <c r="AK29307" s="831">
        <v>385067117.20366669</v>
      </c>
    </row>
    <row r="29308" spans="32:37">
      <c r="AF29308" s="831" t="s">
        <v>11355</v>
      </c>
      <c r="AG29308" s="831" t="s">
        <v>2674</v>
      </c>
      <c r="AH29308" s="831" t="s">
        <v>572</v>
      </c>
      <c r="AI29308" s="831">
        <v>0</v>
      </c>
      <c r="AJ29308" s="835">
        <v>41698</v>
      </c>
      <c r="AK29308" s="831">
        <v>31228952.956000008</v>
      </c>
    </row>
    <row r="29309" spans="32:37">
      <c r="AF29309" s="831" t="s">
        <v>11356</v>
      </c>
      <c r="AG29309" s="831" t="s">
        <v>2674</v>
      </c>
      <c r="AH29309" s="831" t="s">
        <v>577</v>
      </c>
      <c r="AI29309" s="831">
        <v>0</v>
      </c>
      <c r="AJ29309" s="835">
        <v>41698</v>
      </c>
      <c r="AK29309" s="831">
        <v>141567221.76300001</v>
      </c>
    </row>
    <row r="29310" spans="32:37">
      <c r="AF29310" s="831" t="s">
        <v>11357</v>
      </c>
      <c r="AG29310" s="831" t="s">
        <v>2674</v>
      </c>
      <c r="AH29310" s="831" t="s">
        <v>3042</v>
      </c>
      <c r="AI29310" s="831">
        <v>0</v>
      </c>
      <c r="AJ29310" s="835">
        <v>41698</v>
      </c>
      <c r="AK29310" s="831">
        <v>-37210157.527000003</v>
      </c>
    </row>
    <row r="29311" spans="32:37">
      <c r="AF29311" s="831" t="s">
        <v>11358</v>
      </c>
      <c r="AG29311" s="831" t="s">
        <v>2674</v>
      </c>
      <c r="AH29311" s="831" t="s">
        <v>3044</v>
      </c>
      <c r="AI29311" s="831">
        <v>0</v>
      </c>
      <c r="AJ29311" s="835">
        <v>41698</v>
      </c>
      <c r="AK29311" s="831">
        <v>-3847935.8899999997</v>
      </c>
    </row>
    <row r="29312" spans="32:37">
      <c r="AF29312" s="831" t="s">
        <v>11359</v>
      </c>
      <c r="AG29312" s="831" t="s">
        <v>2674</v>
      </c>
      <c r="AH29312" s="831" t="s">
        <v>580</v>
      </c>
      <c r="AI29312" s="831">
        <v>0</v>
      </c>
      <c r="AJ29312" s="835">
        <v>41698</v>
      </c>
      <c r="AK29312" s="831">
        <v>-65813930.306999996</v>
      </c>
    </row>
    <row r="29313" spans="32:37">
      <c r="AF29313" s="831" t="s">
        <v>11360</v>
      </c>
      <c r="AG29313" s="831" t="s">
        <v>2674</v>
      </c>
      <c r="AH29313" s="831" t="s">
        <v>581</v>
      </c>
      <c r="AI29313" s="831">
        <v>0</v>
      </c>
      <c r="AJ29313" s="835">
        <v>41698</v>
      </c>
      <c r="AK29313" s="831">
        <v>5417725.8940000003</v>
      </c>
    </row>
    <row r="29314" spans="32:37">
      <c r="AF29314" s="831" t="s">
        <v>11361</v>
      </c>
      <c r="AG29314" s="831" t="s">
        <v>2674</v>
      </c>
      <c r="AH29314" s="831" t="s">
        <v>105</v>
      </c>
      <c r="AI29314" s="831">
        <v>0</v>
      </c>
      <c r="AJ29314" s="835">
        <v>41698</v>
      </c>
      <c r="AK29314" s="831">
        <v>385102312</v>
      </c>
    </row>
    <row r="29315" spans="32:37">
      <c r="AF29315" s="831" t="s">
        <v>11362</v>
      </c>
      <c r="AG29315" s="831" t="s">
        <v>2674</v>
      </c>
      <c r="AH29315" s="831" t="s">
        <v>3049</v>
      </c>
      <c r="AI29315" s="831">
        <v>0</v>
      </c>
      <c r="AJ29315" s="835">
        <v>41698</v>
      </c>
      <c r="AK29315" s="831">
        <v>650688857.41999996</v>
      </c>
    </row>
    <row r="29316" spans="32:37">
      <c r="AF29316" s="831" t="s">
        <v>11363</v>
      </c>
      <c r="AG29316" s="831" t="s">
        <v>2674</v>
      </c>
      <c r="AH29316" s="831" t="s">
        <v>103</v>
      </c>
      <c r="AI29316" s="831">
        <v>0</v>
      </c>
      <c r="AJ29316" s="835">
        <v>41698</v>
      </c>
      <c r="AK29316" s="831">
        <v>265586545.41999999</v>
      </c>
    </row>
    <row r="29317" spans="32:37">
      <c r="AF29317" s="831" t="s">
        <v>11364</v>
      </c>
      <c r="AG29317" s="831" t="s">
        <v>2674</v>
      </c>
      <c r="AH29317" s="831" t="s">
        <v>182</v>
      </c>
      <c r="AI29317" s="831">
        <v>0</v>
      </c>
      <c r="AJ29317" s="835">
        <v>41698</v>
      </c>
      <c r="AK29317" s="831">
        <v>65878782</v>
      </c>
    </row>
    <row r="29318" spans="32:37">
      <c r="AF29318" s="831" t="s">
        <v>11365</v>
      </c>
      <c r="AG29318" s="831" t="s">
        <v>2674</v>
      </c>
      <c r="AH29318" s="831" t="s">
        <v>6600</v>
      </c>
      <c r="AI29318" s="831">
        <v>0</v>
      </c>
      <c r="AJ29318" s="835">
        <v>41698</v>
      </c>
      <c r="AK29318" s="831">
        <v>31228952.956000008</v>
      </c>
    </row>
    <row r="29319" spans="32:37">
      <c r="AF29319" s="831" t="s">
        <v>11366</v>
      </c>
      <c r="AG29319" s="831" t="s">
        <v>2674</v>
      </c>
      <c r="AH29319" s="831" t="s">
        <v>6602</v>
      </c>
      <c r="AI29319" s="831">
        <v>0</v>
      </c>
      <c r="AJ29319" s="835">
        <v>41698</v>
      </c>
      <c r="AK29319" s="831">
        <v>7870295</v>
      </c>
    </row>
    <row r="29320" spans="32:37">
      <c r="AF29320" s="831" t="s">
        <v>11367</v>
      </c>
      <c r="AG29320" s="831" t="s">
        <v>2674</v>
      </c>
      <c r="AH29320" s="831" t="s">
        <v>650</v>
      </c>
      <c r="AI29320" s="831">
        <v>0</v>
      </c>
      <c r="AJ29320" s="835">
        <v>41698</v>
      </c>
      <c r="AK29320" s="831">
        <v>219285486.1168462</v>
      </c>
    </row>
    <row r="29321" spans="32:37">
      <c r="AF29321" s="831" t="s">
        <v>11368</v>
      </c>
      <c r="AG29321" s="831" t="s">
        <v>2674</v>
      </c>
      <c r="AH29321" s="831" t="s">
        <v>655</v>
      </c>
      <c r="AI29321" s="831">
        <v>0</v>
      </c>
      <c r="AJ29321" s="835">
        <v>41698</v>
      </c>
      <c r="AK29321" s="831">
        <v>1640758.8330000001</v>
      </c>
    </row>
    <row r="29322" spans="32:37">
      <c r="AF29322" s="831" t="s">
        <v>11369</v>
      </c>
      <c r="AG29322" s="831" t="s">
        <v>2674</v>
      </c>
      <c r="AH29322" s="831" t="s">
        <v>546</v>
      </c>
      <c r="AI29322" s="831">
        <v>0</v>
      </c>
      <c r="AJ29322" s="835">
        <v>41729</v>
      </c>
      <c r="AK29322" s="831">
        <v>664153787</v>
      </c>
    </row>
    <row r="29323" spans="32:37">
      <c r="AF29323" s="831" t="s">
        <v>11370</v>
      </c>
      <c r="AG29323" s="831" t="s">
        <v>2674</v>
      </c>
      <c r="AH29323" s="831" t="s">
        <v>370</v>
      </c>
      <c r="AI29323" s="831">
        <v>0</v>
      </c>
      <c r="AJ29323" s="835">
        <v>41729</v>
      </c>
      <c r="AK29323" s="831">
        <v>834303183</v>
      </c>
    </row>
    <row r="29324" spans="32:37">
      <c r="AF29324" s="831" t="s">
        <v>11371</v>
      </c>
      <c r="AG29324" s="831" t="s">
        <v>2674</v>
      </c>
      <c r="AH29324" s="831" t="s">
        <v>126</v>
      </c>
      <c r="AI29324" s="831">
        <v>0</v>
      </c>
      <c r="AJ29324" s="835">
        <v>41729</v>
      </c>
      <c r="AK29324" s="831">
        <v>124206790</v>
      </c>
    </row>
    <row r="29325" spans="32:37">
      <c r="AF29325" s="831" t="s">
        <v>11372</v>
      </c>
      <c r="AG29325" s="831" t="s">
        <v>2674</v>
      </c>
      <c r="AH29325" s="831" t="s">
        <v>268</v>
      </c>
      <c r="AI29325" s="831">
        <v>0</v>
      </c>
      <c r="AJ29325" s="835">
        <v>41729</v>
      </c>
      <c r="AK29325" s="831">
        <v>8878765</v>
      </c>
    </row>
    <row r="29326" spans="32:37">
      <c r="AF29326" s="831" t="s">
        <v>11373</v>
      </c>
      <c r="AG29326" s="831" t="s">
        <v>2674</v>
      </c>
      <c r="AH29326" s="831" t="s">
        <v>547</v>
      </c>
      <c r="AI29326" s="831">
        <v>0</v>
      </c>
      <c r="AJ29326" s="835">
        <v>41729</v>
      </c>
      <c r="AK29326" s="831">
        <v>777719977</v>
      </c>
    </row>
    <row r="29327" spans="32:37">
      <c r="AF29327" s="831" t="s">
        <v>11374</v>
      </c>
      <c r="AG29327" s="831" t="s">
        <v>2674</v>
      </c>
      <c r="AH29327" s="831" t="s">
        <v>548</v>
      </c>
      <c r="AI29327" s="831">
        <v>0</v>
      </c>
      <c r="AJ29327" s="835">
        <v>41729</v>
      </c>
      <c r="AK29327" s="831">
        <v>117105496</v>
      </c>
    </row>
    <row r="29328" spans="32:37">
      <c r="AF29328" s="831" t="s">
        <v>11375</v>
      </c>
      <c r="AG29328" s="831" t="s">
        <v>2674</v>
      </c>
      <c r="AH29328" s="831" t="s">
        <v>549</v>
      </c>
      <c r="AI29328" s="831">
        <v>0</v>
      </c>
      <c r="AJ29328" s="835">
        <v>41729</v>
      </c>
      <c r="AK29328" s="831">
        <v>455655641</v>
      </c>
    </row>
    <row r="29329" spans="32:37">
      <c r="AF29329" s="831" t="s">
        <v>11376</v>
      </c>
      <c r="AG29329" s="831" t="s">
        <v>2674</v>
      </c>
      <c r="AH29329" s="831" t="s">
        <v>192</v>
      </c>
      <c r="AI29329" s="831">
        <v>0</v>
      </c>
      <c r="AJ29329" s="835">
        <v>41729</v>
      </c>
      <c r="AK29329" s="831">
        <v>-12498345</v>
      </c>
    </row>
    <row r="29330" spans="32:37">
      <c r="AF29330" s="831" t="s">
        <v>11377</v>
      </c>
      <c r="AG29330" s="831" t="s">
        <v>2674</v>
      </c>
      <c r="AH29330" s="831" t="s">
        <v>558</v>
      </c>
      <c r="AI29330" s="831">
        <v>0</v>
      </c>
      <c r="AJ29330" s="835">
        <v>41729</v>
      </c>
      <c r="AK29330" s="831">
        <v>710096393</v>
      </c>
    </row>
    <row r="29331" spans="32:37">
      <c r="AF29331" s="831" t="s">
        <v>11378</v>
      </c>
      <c r="AG29331" s="831" t="s">
        <v>2674</v>
      </c>
      <c r="AH29331" s="831" t="s">
        <v>65</v>
      </c>
      <c r="AI29331" s="831">
        <v>0</v>
      </c>
      <c r="AJ29331" s="835">
        <v>41729</v>
      </c>
      <c r="AK29331" s="831">
        <v>38451284</v>
      </c>
    </row>
    <row r="29332" spans="32:37">
      <c r="AF29332" s="831" t="s">
        <v>11379</v>
      </c>
      <c r="AG29332" s="831" t="s">
        <v>2674</v>
      </c>
      <c r="AH29332" s="831" t="s">
        <v>89</v>
      </c>
      <c r="AI29332" s="831">
        <v>0</v>
      </c>
      <c r="AJ29332" s="835">
        <v>41729</v>
      </c>
      <c r="AK29332" s="831">
        <v>151606</v>
      </c>
    </row>
    <row r="29333" spans="32:37">
      <c r="AF29333" s="831" t="s">
        <v>11380</v>
      </c>
      <c r="AG29333" s="831" t="s">
        <v>2674</v>
      </c>
      <c r="AH29333" s="831" t="s">
        <v>557</v>
      </c>
      <c r="AI29333" s="831">
        <v>0</v>
      </c>
      <c r="AJ29333" s="835">
        <v>41729</v>
      </c>
      <c r="AK29333" s="831">
        <v>167127</v>
      </c>
    </row>
    <row r="29334" spans="32:37">
      <c r="AF29334" s="831" t="s">
        <v>11381</v>
      </c>
      <c r="AG29334" s="831" t="s">
        <v>2674</v>
      </c>
      <c r="AH29334" s="831" t="s">
        <v>29</v>
      </c>
      <c r="AI29334" s="831">
        <v>0</v>
      </c>
      <c r="AJ29334" s="835">
        <v>41729</v>
      </c>
      <c r="AK29334" s="831">
        <v>2189531.31</v>
      </c>
    </row>
    <row r="29335" spans="32:37">
      <c r="AF29335" s="831" t="s">
        <v>11382</v>
      </c>
      <c r="AG29335" s="831" t="s">
        <v>2674</v>
      </c>
      <c r="AH29335" s="831" t="s">
        <v>2688</v>
      </c>
      <c r="AI29335" s="831">
        <v>0</v>
      </c>
      <c r="AJ29335" s="835">
        <v>41729</v>
      </c>
      <c r="AK29335" s="831">
        <v>4729841</v>
      </c>
    </row>
    <row r="29336" spans="32:37">
      <c r="AF29336" s="831" t="s">
        <v>11383</v>
      </c>
      <c r="AG29336" s="831" t="s">
        <v>2674</v>
      </c>
      <c r="AH29336" s="831" t="s">
        <v>556</v>
      </c>
      <c r="AI29336" s="831">
        <v>0</v>
      </c>
      <c r="AJ29336" s="835">
        <v>41729</v>
      </c>
      <c r="AK29336" s="831">
        <v>1644732</v>
      </c>
    </row>
    <row r="29337" spans="32:37">
      <c r="AF29337" s="831" t="s">
        <v>11384</v>
      </c>
      <c r="AG29337" s="831" t="s">
        <v>2674</v>
      </c>
      <c r="AH29337" s="831" t="s">
        <v>555</v>
      </c>
      <c r="AI29337" s="831">
        <v>0</v>
      </c>
      <c r="AJ29337" s="835">
        <v>41729</v>
      </c>
      <c r="AK29337" s="831">
        <v>466790280</v>
      </c>
    </row>
    <row r="29338" spans="32:37">
      <c r="AF29338" s="831" t="s">
        <v>11385</v>
      </c>
      <c r="AG29338" s="831" t="s">
        <v>2674</v>
      </c>
      <c r="AH29338" s="831" t="s">
        <v>554</v>
      </c>
      <c r="AI29338" s="831">
        <v>0</v>
      </c>
      <c r="AJ29338" s="835">
        <v>41729</v>
      </c>
      <c r="AK29338" s="831">
        <v>476154670</v>
      </c>
    </row>
    <row r="29339" spans="32:37">
      <c r="AF29339" s="831" t="s">
        <v>11386</v>
      </c>
      <c r="AG29339" s="831" t="s">
        <v>2674</v>
      </c>
      <c r="AH29339" s="831" t="s">
        <v>553</v>
      </c>
      <c r="AI29339" s="831">
        <v>0</v>
      </c>
      <c r="AJ29339" s="835">
        <v>41729</v>
      </c>
      <c r="AK29339" s="831">
        <v>0</v>
      </c>
    </row>
    <row r="29340" spans="32:37">
      <c r="AF29340" s="831" t="s">
        <v>11387</v>
      </c>
      <c r="AG29340" s="831" t="s">
        <v>2674</v>
      </c>
      <c r="AH29340" s="831" t="s">
        <v>552</v>
      </c>
      <c r="AI29340" s="831">
        <v>0</v>
      </c>
      <c r="AJ29340" s="835">
        <v>41729</v>
      </c>
      <c r="AK29340" s="831">
        <v>0</v>
      </c>
    </row>
    <row r="29341" spans="32:37">
      <c r="AF29341" s="831" t="s">
        <v>11388</v>
      </c>
      <c r="AG29341" s="831" t="s">
        <v>2674</v>
      </c>
      <c r="AH29341" s="831" t="s">
        <v>551</v>
      </c>
      <c r="AI29341" s="831">
        <v>0</v>
      </c>
      <c r="AJ29341" s="835">
        <v>41729</v>
      </c>
      <c r="AK29341" s="831">
        <v>1979269.31</v>
      </c>
    </row>
    <row r="29342" spans="32:37">
      <c r="AF29342" s="831" t="s">
        <v>11389</v>
      </c>
      <c r="AG29342" s="831" t="s">
        <v>2674</v>
      </c>
      <c r="AH29342" s="831" t="s">
        <v>550</v>
      </c>
      <c r="AI29342" s="831">
        <v>0</v>
      </c>
      <c r="AJ29342" s="835">
        <v>41729</v>
      </c>
      <c r="AK29342" s="831">
        <v>120615628</v>
      </c>
    </row>
    <row r="29343" spans="32:37">
      <c r="AF29343" s="831" t="s">
        <v>11390</v>
      </c>
      <c r="AG29343" s="831" t="s">
        <v>2674</v>
      </c>
      <c r="AH29343" s="831" t="s">
        <v>562</v>
      </c>
      <c r="AI29343" s="831">
        <v>0</v>
      </c>
      <c r="AJ29343" s="835">
        <v>41729</v>
      </c>
      <c r="AK29343" s="831">
        <v>0.78374999999999995</v>
      </c>
    </row>
    <row r="29344" spans="32:37">
      <c r="AF29344" s="831" t="s">
        <v>11391</v>
      </c>
      <c r="AG29344" s="831" t="s">
        <v>2674</v>
      </c>
      <c r="AH29344" s="831" t="s">
        <v>2698</v>
      </c>
      <c r="AI29344" s="831">
        <v>0</v>
      </c>
      <c r="AJ29344" s="835">
        <v>41729</v>
      </c>
      <c r="AK29344" s="831">
        <v>0.78385000000000005</v>
      </c>
    </row>
    <row r="29345" spans="32:37">
      <c r="AF29345" s="831" t="s">
        <v>11392</v>
      </c>
      <c r="AG29345" s="831" t="s">
        <v>2674</v>
      </c>
      <c r="AH29345" s="831" t="s">
        <v>560</v>
      </c>
      <c r="AI29345" s="831">
        <v>0</v>
      </c>
      <c r="AJ29345" s="835">
        <v>41729</v>
      </c>
      <c r="AK29345" s="831">
        <v>0.78375000000000006</v>
      </c>
    </row>
    <row r="29346" spans="32:37">
      <c r="AF29346" s="831" t="s">
        <v>11393</v>
      </c>
      <c r="AG29346" s="831" t="s">
        <v>2674</v>
      </c>
      <c r="AH29346" s="831" t="s">
        <v>559</v>
      </c>
      <c r="AI29346" s="831">
        <v>0</v>
      </c>
      <c r="AJ29346" s="835">
        <v>41729</v>
      </c>
      <c r="AK29346" s="831">
        <v>0.78383333333333338</v>
      </c>
    </row>
    <row r="29347" spans="32:37">
      <c r="AF29347" s="831" t="s">
        <v>11394</v>
      </c>
      <c r="AG29347" s="831" t="s">
        <v>2674</v>
      </c>
      <c r="AH29347" s="831" t="s">
        <v>568</v>
      </c>
      <c r="AI29347" s="831">
        <v>0</v>
      </c>
      <c r="AJ29347" s="835">
        <v>41729</v>
      </c>
      <c r="AK29347" s="831">
        <v>565947600.45769227</v>
      </c>
    </row>
    <row r="29348" spans="32:37">
      <c r="AF29348" s="831" t="s">
        <v>11395</v>
      </c>
      <c r="AG29348" s="831" t="s">
        <v>2674</v>
      </c>
      <c r="AH29348" s="831" t="s">
        <v>569</v>
      </c>
      <c r="AI29348" s="831">
        <v>0</v>
      </c>
      <c r="AJ29348" s="835">
        <v>41729</v>
      </c>
      <c r="AK29348" s="831">
        <v>694165655.12715387</v>
      </c>
    </row>
    <row r="29349" spans="32:37">
      <c r="AF29349" s="831" t="s">
        <v>11396</v>
      </c>
      <c r="AG29349" s="831" t="s">
        <v>2674</v>
      </c>
      <c r="AH29349" s="831" t="s">
        <v>570</v>
      </c>
      <c r="AI29349" s="831">
        <v>0</v>
      </c>
      <c r="AJ29349" s="835">
        <v>41729</v>
      </c>
      <c r="AK29349" s="831">
        <v>113785276.52046154</v>
      </c>
    </row>
    <row r="29350" spans="32:37">
      <c r="AF29350" s="831" t="s">
        <v>11397</v>
      </c>
      <c r="AG29350" s="831" t="s">
        <v>2674</v>
      </c>
      <c r="AH29350" s="831" t="s">
        <v>571</v>
      </c>
      <c r="AI29350" s="831">
        <v>0</v>
      </c>
      <c r="AJ29350" s="835">
        <v>41729</v>
      </c>
      <c r="AK29350" s="831">
        <v>334328550.28253847</v>
      </c>
    </row>
    <row r="29351" spans="32:37">
      <c r="AF29351" s="831" t="s">
        <v>11398</v>
      </c>
      <c r="AG29351" s="831" t="s">
        <v>2674</v>
      </c>
      <c r="AH29351" s="831" t="s">
        <v>573</v>
      </c>
      <c r="AI29351" s="831">
        <v>0</v>
      </c>
      <c r="AJ29351" s="835">
        <v>41729</v>
      </c>
      <c r="AK29351" s="831">
        <v>798989941.39074993</v>
      </c>
    </row>
    <row r="29352" spans="32:37">
      <c r="AF29352" s="831" t="s">
        <v>11399</v>
      </c>
      <c r="AG29352" s="831" t="s">
        <v>2674</v>
      </c>
      <c r="AH29352" s="831" t="s">
        <v>574</v>
      </c>
      <c r="AI29352" s="831">
        <v>0</v>
      </c>
      <c r="AJ29352" s="835">
        <v>41729</v>
      </c>
      <c r="AK29352" s="831">
        <v>645110399.5</v>
      </c>
    </row>
    <row r="29353" spans="32:37">
      <c r="AF29353" s="831" t="s">
        <v>11400</v>
      </c>
      <c r="AG29353" s="831" t="s">
        <v>2674</v>
      </c>
      <c r="AH29353" s="831" t="s">
        <v>575</v>
      </c>
      <c r="AI29353" s="831">
        <v>0</v>
      </c>
      <c r="AJ29353" s="835">
        <v>41729</v>
      </c>
      <c r="AK29353" s="831">
        <v>119004419.97749999</v>
      </c>
    </row>
    <row r="29354" spans="32:37">
      <c r="AF29354" s="831" t="s">
        <v>11401</v>
      </c>
      <c r="AG29354" s="831" t="s">
        <v>2674</v>
      </c>
      <c r="AH29354" s="831" t="s">
        <v>576</v>
      </c>
      <c r="AI29354" s="831">
        <v>0</v>
      </c>
      <c r="AJ29354" s="835">
        <v>41729</v>
      </c>
      <c r="AK29354" s="831">
        <v>391575852.40275002</v>
      </c>
    </row>
    <row r="29355" spans="32:37">
      <c r="AF29355" s="831" t="s">
        <v>11402</v>
      </c>
      <c r="AG29355" s="831" t="s">
        <v>2674</v>
      </c>
      <c r="AH29355" s="831" t="s">
        <v>572</v>
      </c>
      <c r="AI29355" s="831">
        <v>0</v>
      </c>
      <c r="AJ29355" s="835">
        <v>41729</v>
      </c>
      <c r="AK29355" s="831">
        <v>30009140.956000008</v>
      </c>
    </row>
    <row r="29356" spans="32:37">
      <c r="AF29356" s="831" t="s">
        <v>11403</v>
      </c>
      <c r="AG29356" s="831" t="s">
        <v>2674</v>
      </c>
      <c r="AH29356" s="831" t="s">
        <v>577</v>
      </c>
      <c r="AI29356" s="831">
        <v>0</v>
      </c>
      <c r="AJ29356" s="835">
        <v>41729</v>
      </c>
      <c r="AK29356" s="831">
        <v>143425007.76300001</v>
      </c>
    </row>
    <row r="29357" spans="32:37">
      <c r="AF29357" s="831" t="s">
        <v>11404</v>
      </c>
      <c r="AG29357" s="831" t="s">
        <v>2674</v>
      </c>
      <c r="AH29357" s="831" t="s">
        <v>3042</v>
      </c>
      <c r="AI29357" s="831">
        <v>0</v>
      </c>
      <c r="AJ29357" s="835">
        <v>41729</v>
      </c>
      <c r="AK29357" s="831">
        <v>-38745656.527000003</v>
      </c>
    </row>
    <row r="29358" spans="32:37">
      <c r="AF29358" s="831" t="s">
        <v>11405</v>
      </c>
      <c r="AG29358" s="831" t="s">
        <v>2674</v>
      </c>
      <c r="AH29358" s="831" t="s">
        <v>3044</v>
      </c>
      <c r="AI29358" s="831">
        <v>0</v>
      </c>
      <c r="AJ29358" s="835">
        <v>41729</v>
      </c>
      <c r="AK29358" s="831">
        <v>-3699815.8899999997</v>
      </c>
    </row>
    <row r="29359" spans="32:37">
      <c r="AF29359" s="831" t="s">
        <v>11406</v>
      </c>
      <c r="AG29359" s="831" t="s">
        <v>2674</v>
      </c>
      <c r="AH29359" s="831" t="s">
        <v>580</v>
      </c>
      <c r="AI29359" s="831">
        <v>0</v>
      </c>
      <c r="AJ29359" s="835">
        <v>41729</v>
      </c>
      <c r="AK29359" s="831">
        <v>-67131930.306999996</v>
      </c>
    </row>
    <row r="29360" spans="32:37">
      <c r="AF29360" s="831" t="s">
        <v>11407</v>
      </c>
      <c r="AG29360" s="831" t="s">
        <v>2674</v>
      </c>
      <c r="AH29360" s="831" t="s">
        <v>581</v>
      </c>
      <c r="AI29360" s="831">
        <v>0</v>
      </c>
      <c r="AJ29360" s="835">
        <v>41729</v>
      </c>
      <c r="AK29360" s="831">
        <v>5442741.8940000003</v>
      </c>
    </row>
    <row r="29361" spans="32:37">
      <c r="AF29361" s="831" t="s">
        <v>11408</v>
      </c>
      <c r="AG29361" s="831" t="s">
        <v>2674</v>
      </c>
      <c r="AH29361" s="831" t="s">
        <v>105</v>
      </c>
      <c r="AI29361" s="831">
        <v>0</v>
      </c>
      <c r="AJ29361" s="835">
        <v>41729</v>
      </c>
      <c r="AK29361" s="831">
        <v>411102058</v>
      </c>
    </row>
    <row r="29362" spans="32:37">
      <c r="AF29362" s="831" t="s">
        <v>11409</v>
      </c>
      <c r="AG29362" s="831" t="s">
        <v>2674</v>
      </c>
      <c r="AH29362" s="831" t="s">
        <v>3049</v>
      </c>
      <c r="AI29362" s="831">
        <v>0</v>
      </c>
      <c r="AJ29362" s="835">
        <v>41729</v>
      </c>
      <c r="AK29362" s="831">
        <v>690412081</v>
      </c>
    </row>
    <row r="29363" spans="32:37">
      <c r="AF29363" s="831" t="s">
        <v>11410</v>
      </c>
      <c r="AG29363" s="831" t="s">
        <v>2674</v>
      </c>
      <c r="AH29363" s="831" t="s">
        <v>103</v>
      </c>
      <c r="AI29363" s="831">
        <v>0</v>
      </c>
      <c r="AJ29363" s="835">
        <v>41729</v>
      </c>
      <c r="AK29363" s="831">
        <v>279310023</v>
      </c>
    </row>
    <row r="29364" spans="32:37">
      <c r="AF29364" s="831" t="s">
        <v>11411</v>
      </c>
      <c r="AG29364" s="831" t="s">
        <v>2674</v>
      </c>
      <c r="AH29364" s="831" t="s">
        <v>182</v>
      </c>
      <c r="AI29364" s="831">
        <v>0</v>
      </c>
      <c r="AJ29364" s="835">
        <v>41729</v>
      </c>
      <c r="AK29364" s="831">
        <v>67031636</v>
      </c>
    </row>
    <row r="29365" spans="32:37">
      <c r="AF29365" s="831" t="s">
        <v>11412</v>
      </c>
      <c r="AG29365" s="831" t="s">
        <v>2674</v>
      </c>
      <c r="AH29365" s="831" t="s">
        <v>6600</v>
      </c>
      <c r="AI29365" s="831">
        <v>0</v>
      </c>
      <c r="AJ29365" s="835">
        <v>41729</v>
      </c>
      <c r="AK29365" s="831">
        <v>30009140.956000008</v>
      </c>
    </row>
    <row r="29366" spans="32:37">
      <c r="AF29366" s="831" t="s">
        <v>11413</v>
      </c>
      <c r="AG29366" s="831" t="s">
        <v>2674</v>
      </c>
      <c r="AH29366" s="831" t="s">
        <v>6602</v>
      </c>
      <c r="AI29366" s="831">
        <v>0</v>
      </c>
      <c r="AJ29366" s="835">
        <v>41729</v>
      </c>
      <c r="AK29366" s="831">
        <v>8878765</v>
      </c>
    </row>
    <row r="29367" spans="32:37">
      <c r="AF29367" s="831" t="s">
        <v>11414</v>
      </c>
      <c r="AG29367" s="831" t="s">
        <v>2674</v>
      </c>
      <c r="AH29367" s="831" t="s">
        <v>650</v>
      </c>
      <c r="AI29367" s="831">
        <v>0</v>
      </c>
      <c r="AJ29367" s="835">
        <v>41729</v>
      </c>
      <c r="AK29367" s="831">
        <v>227175044.1168462</v>
      </c>
    </row>
    <row r="29368" spans="32:37">
      <c r="AF29368" s="831" t="s">
        <v>11415</v>
      </c>
      <c r="AG29368" s="831" t="s">
        <v>2674</v>
      </c>
      <c r="AH29368" s="831" t="s">
        <v>655</v>
      </c>
      <c r="AI29368" s="831">
        <v>0</v>
      </c>
      <c r="AJ29368" s="835">
        <v>41729</v>
      </c>
      <c r="AK29368" s="831">
        <v>1723087.31</v>
      </c>
    </row>
    <row r="29369" spans="32:37">
      <c r="AF29369" s="831" t="s">
        <v>11416</v>
      </c>
      <c r="AG29369" s="831" t="s">
        <v>2674</v>
      </c>
      <c r="AH29369" s="831" t="s">
        <v>546</v>
      </c>
      <c r="AI29369" s="831">
        <v>0</v>
      </c>
      <c r="AJ29369" s="835">
        <v>41759</v>
      </c>
      <c r="AK29369" s="831">
        <v>695634421</v>
      </c>
    </row>
    <row r="29370" spans="32:37">
      <c r="AF29370" s="831" t="s">
        <v>11417</v>
      </c>
      <c r="AG29370" s="831" t="s">
        <v>2674</v>
      </c>
      <c r="AH29370" s="831" t="s">
        <v>370</v>
      </c>
      <c r="AI29370" s="831">
        <v>0</v>
      </c>
      <c r="AJ29370" s="835">
        <v>41759</v>
      </c>
      <c r="AK29370" s="831">
        <v>838269546</v>
      </c>
    </row>
    <row r="29371" spans="32:37">
      <c r="AF29371" s="831" t="s">
        <v>11418</v>
      </c>
      <c r="AG29371" s="831" t="s">
        <v>2674</v>
      </c>
      <c r="AH29371" s="831" t="s">
        <v>126</v>
      </c>
      <c r="AI29371" s="831">
        <v>0</v>
      </c>
      <c r="AJ29371" s="835">
        <v>41759</v>
      </c>
      <c r="AK29371" s="831">
        <v>127155751</v>
      </c>
    </row>
    <row r="29372" spans="32:37">
      <c r="AF29372" s="831" t="s">
        <v>11419</v>
      </c>
      <c r="AG29372" s="831" t="s">
        <v>2674</v>
      </c>
      <c r="AH29372" s="831" t="s">
        <v>268</v>
      </c>
      <c r="AI29372" s="831">
        <v>0</v>
      </c>
      <c r="AJ29372" s="835">
        <v>41759</v>
      </c>
      <c r="AK29372" s="831">
        <v>11900832</v>
      </c>
    </row>
    <row r="29373" spans="32:37">
      <c r="AF29373" s="831" t="s">
        <v>11420</v>
      </c>
      <c r="AG29373" s="831" t="s">
        <v>2674</v>
      </c>
      <c r="AH29373" s="831" t="s">
        <v>547</v>
      </c>
      <c r="AI29373" s="831">
        <v>0</v>
      </c>
      <c r="AJ29373" s="835">
        <v>41759</v>
      </c>
      <c r="AK29373" s="831">
        <v>777719977</v>
      </c>
    </row>
    <row r="29374" spans="32:37">
      <c r="AF29374" s="831" t="s">
        <v>11421</v>
      </c>
      <c r="AG29374" s="831" t="s">
        <v>2674</v>
      </c>
      <c r="AH29374" s="831" t="s">
        <v>548</v>
      </c>
      <c r="AI29374" s="831">
        <v>0</v>
      </c>
      <c r="AJ29374" s="835">
        <v>41759</v>
      </c>
      <c r="AK29374" s="831">
        <v>117105496</v>
      </c>
    </row>
    <row r="29375" spans="32:37">
      <c r="AF29375" s="831" t="s">
        <v>11422</v>
      </c>
      <c r="AG29375" s="831" t="s">
        <v>2674</v>
      </c>
      <c r="AH29375" s="831" t="s">
        <v>549</v>
      </c>
      <c r="AI29375" s="831">
        <v>0</v>
      </c>
      <c r="AJ29375" s="835">
        <v>41759</v>
      </c>
      <c r="AK29375" s="831">
        <v>479771222</v>
      </c>
    </row>
    <row r="29376" spans="32:37">
      <c r="AF29376" s="831" t="s">
        <v>11423</v>
      </c>
      <c r="AG29376" s="831" t="s">
        <v>2674</v>
      </c>
      <c r="AH29376" s="831" t="s">
        <v>192</v>
      </c>
      <c r="AI29376" s="831">
        <v>0</v>
      </c>
      <c r="AJ29376" s="835">
        <v>41759</v>
      </c>
      <c r="AK29376" s="831">
        <v>-13335656</v>
      </c>
    </row>
    <row r="29377" spans="32:37">
      <c r="AF29377" s="831" t="s">
        <v>11424</v>
      </c>
      <c r="AG29377" s="831" t="s">
        <v>2674</v>
      </c>
      <c r="AH29377" s="831" t="s">
        <v>558</v>
      </c>
      <c r="AI29377" s="831">
        <v>0</v>
      </c>
      <c r="AJ29377" s="835">
        <v>41759</v>
      </c>
      <c r="AK29377" s="831">
        <v>711113795</v>
      </c>
    </row>
    <row r="29378" spans="32:37">
      <c r="AF29378" s="831" t="s">
        <v>11425</v>
      </c>
      <c r="AG29378" s="831" t="s">
        <v>2674</v>
      </c>
      <c r="AH29378" s="831" t="s">
        <v>65</v>
      </c>
      <c r="AI29378" s="831">
        <v>0</v>
      </c>
      <c r="AJ29378" s="835">
        <v>41759</v>
      </c>
      <c r="AK29378" s="831">
        <v>52388499</v>
      </c>
    </row>
    <row r="29379" spans="32:37">
      <c r="AF29379" s="831" t="s">
        <v>11426</v>
      </c>
      <c r="AG29379" s="831" t="s">
        <v>2674</v>
      </c>
      <c r="AH29379" s="831" t="s">
        <v>89</v>
      </c>
      <c r="AI29379" s="831">
        <v>0</v>
      </c>
      <c r="AJ29379" s="835">
        <v>41759</v>
      </c>
      <c r="AK29379" s="831">
        <v>154230</v>
      </c>
    </row>
    <row r="29380" spans="32:37">
      <c r="AF29380" s="831" t="s">
        <v>11427</v>
      </c>
      <c r="AG29380" s="831" t="s">
        <v>2674</v>
      </c>
      <c r="AH29380" s="831" t="s">
        <v>557</v>
      </c>
      <c r="AI29380" s="831">
        <v>0</v>
      </c>
      <c r="AJ29380" s="835">
        <v>41759</v>
      </c>
      <c r="AK29380" s="831">
        <v>171119</v>
      </c>
    </row>
    <row r="29381" spans="32:37">
      <c r="AF29381" s="831" t="s">
        <v>11428</v>
      </c>
      <c r="AG29381" s="831" t="s">
        <v>2674</v>
      </c>
      <c r="AH29381" s="831" t="s">
        <v>29</v>
      </c>
      <c r="AI29381" s="831">
        <v>0</v>
      </c>
      <c r="AJ29381" s="835">
        <v>41759</v>
      </c>
      <c r="AK29381" s="831">
        <v>2260198</v>
      </c>
    </row>
    <row r="29382" spans="32:37">
      <c r="AF29382" s="831" t="s">
        <v>11429</v>
      </c>
      <c r="AG29382" s="831" t="s">
        <v>2674</v>
      </c>
      <c r="AH29382" s="831" t="s">
        <v>2688</v>
      </c>
      <c r="AI29382" s="831">
        <v>0</v>
      </c>
      <c r="AJ29382" s="835">
        <v>41759</v>
      </c>
      <c r="AK29382" s="831">
        <v>4802589</v>
      </c>
    </row>
    <row r="29383" spans="32:37">
      <c r="AF29383" s="831" t="s">
        <v>11430</v>
      </c>
      <c r="AG29383" s="831" t="s">
        <v>2674</v>
      </c>
      <c r="AH29383" s="831" t="s">
        <v>556</v>
      </c>
      <c r="AI29383" s="831">
        <v>0</v>
      </c>
      <c r="AJ29383" s="835">
        <v>41759</v>
      </c>
      <c r="AK29383" s="831">
        <v>1644732</v>
      </c>
    </row>
    <row r="29384" spans="32:37">
      <c r="AF29384" s="831" t="s">
        <v>11431</v>
      </c>
      <c r="AG29384" s="831" t="s">
        <v>2674</v>
      </c>
      <c r="AH29384" s="831" t="s">
        <v>555</v>
      </c>
      <c r="AI29384" s="831">
        <v>0</v>
      </c>
      <c r="AJ29384" s="835">
        <v>41759</v>
      </c>
      <c r="AK29384" s="831">
        <v>465033436</v>
      </c>
    </row>
    <row r="29385" spans="32:37">
      <c r="AF29385" s="831" t="s">
        <v>11432</v>
      </c>
      <c r="AG29385" s="831" t="s">
        <v>2674</v>
      </c>
      <c r="AH29385" s="831" t="s">
        <v>554</v>
      </c>
      <c r="AI29385" s="831">
        <v>0</v>
      </c>
      <c r="AJ29385" s="835">
        <v>41759</v>
      </c>
      <c r="AK29385" s="831">
        <v>471272450</v>
      </c>
    </row>
    <row r="29386" spans="32:37">
      <c r="AF29386" s="831" t="s">
        <v>11433</v>
      </c>
      <c r="AG29386" s="831" t="s">
        <v>2674</v>
      </c>
      <c r="AH29386" s="831" t="s">
        <v>553</v>
      </c>
      <c r="AI29386" s="831">
        <v>0</v>
      </c>
      <c r="AJ29386" s="835">
        <v>41759</v>
      </c>
      <c r="AK29386" s="831">
        <v>0</v>
      </c>
    </row>
    <row r="29387" spans="32:37">
      <c r="AF29387" s="831" t="s">
        <v>11434</v>
      </c>
      <c r="AG29387" s="831" t="s">
        <v>2674</v>
      </c>
      <c r="AH29387" s="831" t="s">
        <v>552</v>
      </c>
      <c r="AI29387" s="831">
        <v>0</v>
      </c>
      <c r="AJ29387" s="835">
        <v>41759</v>
      </c>
      <c r="AK29387" s="831">
        <v>0</v>
      </c>
    </row>
    <row r="29388" spans="32:37">
      <c r="AF29388" s="831" t="s">
        <v>11435</v>
      </c>
      <c r="AG29388" s="831" t="s">
        <v>2674</v>
      </c>
      <c r="AH29388" s="831" t="s">
        <v>551</v>
      </c>
      <c r="AI29388" s="831">
        <v>0</v>
      </c>
      <c r="AJ29388" s="835">
        <v>41759</v>
      </c>
      <c r="AK29388" s="831">
        <v>2028560</v>
      </c>
    </row>
    <row r="29389" spans="32:37">
      <c r="AF29389" s="831" t="s">
        <v>11436</v>
      </c>
      <c r="AG29389" s="831" t="s">
        <v>2674</v>
      </c>
      <c r="AH29389" s="831" t="s">
        <v>550</v>
      </c>
      <c r="AI29389" s="831">
        <v>0</v>
      </c>
      <c r="AJ29389" s="835">
        <v>41759</v>
      </c>
      <c r="AK29389" s="831">
        <v>124206790</v>
      </c>
    </row>
    <row r="29390" spans="32:37">
      <c r="AF29390" s="831" t="s">
        <v>11437</v>
      </c>
      <c r="AG29390" s="831" t="s">
        <v>2674</v>
      </c>
      <c r="AH29390" s="831" t="s">
        <v>562</v>
      </c>
      <c r="AI29390" s="831">
        <v>0</v>
      </c>
      <c r="AJ29390" s="835">
        <v>41759</v>
      </c>
      <c r="AK29390" s="831">
        <v>0.78374999999999995</v>
      </c>
    </row>
    <row r="29391" spans="32:37">
      <c r="AF29391" s="831" t="s">
        <v>11438</v>
      </c>
      <c r="AG29391" s="831" t="s">
        <v>2674</v>
      </c>
      <c r="AH29391" s="831" t="s">
        <v>2698</v>
      </c>
      <c r="AI29391" s="831">
        <v>0</v>
      </c>
      <c r="AJ29391" s="835">
        <v>41759</v>
      </c>
      <c r="AK29391" s="831">
        <v>0.78374999999999995</v>
      </c>
    </row>
    <row r="29392" spans="32:37">
      <c r="AF29392" s="831" t="s">
        <v>11439</v>
      </c>
      <c r="AG29392" s="831" t="s">
        <v>2674</v>
      </c>
      <c r="AH29392" s="831" t="s">
        <v>560</v>
      </c>
      <c r="AI29392" s="831">
        <v>0</v>
      </c>
      <c r="AJ29392" s="835">
        <v>41759</v>
      </c>
      <c r="AK29392" s="831">
        <v>0.78374999999999995</v>
      </c>
    </row>
    <row r="29393" spans="32:37">
      <c r="AF29393" s="831" t="s">
        <v>11440</v>
      </c>
      <c r="AG29393" s="831" t="s">
        <v>2674</v>
      </c>
      <c r="AH29393" s="831" t="s">
        <v>559</v>
      </c>
      <c r="AI29393" s="831">
        <v>0</v>
      </c>
      <c r="AJ29393" s="835">
        <v>41759</v>
      </c>
      <c r="AK29393" s="831">
        <v>0.78380833333333344</v>
      </c>
    </row>
    <row r="29394" spans="32:37">
      <c r="AF29394" s="831" t="s">
        <v>11441</v>
      </c>
      <c r="AG29394" s="831" t="s">
        <v>2674</v>
      </c>
      <c r="AH29394" s="831" t="s">
        <v>568</v>
      </c>
      <c r="AI29394" s="831">
        <v>0</v>
      </c>
      <c r="AJ29394" s="835">
        <v>41759</v>
      </c>
      <c r="AK29394" s="831">
        <v>584407506.61153841</v>
      </c>
    </row>
    <row r="29395" spans="32:37">
      <c r="AF29395" s="831" t="s">
        <v>11442</v>
      </c>
      <c r="AG29395" s="831" t="s">
        <v>2674</v>
      </c>
      <c r="AH29395" s="831" t="s">
        <v>569</v>
      </c>
      <c r="AI29395" s="831">
        <v>0</v>
      </c>
      <c r="AJ29395" s="835">
        <v>41759</v>
      </c>
      <c r="AK29395" s="831">
        <v>716419184.74253845</v>
      </c>
    </row>
    <row r="29396" spans="32:37">
      <c r="AF29396" s="831" t="s">
        <v>11443</v>
      </c>
      <c r="AG29396" s="831" t="s">
        <v>2674</v>
      </c>
      <c r="AH29396" s="831" t="s">
        <v>570</v>
      </c>
      <c r="AI29396" s="831">
        <v>0</v>
      </c>
      <c r="AJ29396" s="835">
        <v>41759</v>
      </c>
      <c r="AK29396" s="831">
        <v>115811919.75123075</v>
      </c>
    </row>
    <row r="29397" spans="32:37">
      <c r="AF29397" s="831" t="s">
        <v>11444</v>
      </c>
      <c r="AG29397" s="831" t="s">
        <v>2674</v>
      </c>
      <c r="AH29397" s="831" t="s">
        <v>571</v>
      </c>
      <c r="AI29397" s="831">
        <v>0</v>
      </c>
      <c r="AJ29397" s="835">
        <v>41759</v>
      </c>
      <c r="AK29397" s="831">
        <v>346424029.66715389</v>
      </c>
    </row>
    <row r="29398" spans="32:37">
      <c r="AF29398" s="831" t="s">
        <v>11445</v>
      </c>
      <c r="AG29398" s="831" t="s">
        <v>2674</v>
      </c>
      <c r="AH29398" s="831" t="s">
        <v>573</v>
      </c>
      <c r="AI29398" s="831">
        <v>0</v>
      </c>
      <c r="AJ29398" s="835">
        <v>41759</v>
      </c>
      <c r="AK29398" s="831">
        <v>806845862.3125999</v>
      </c>
    </row>
    <row r="29399" spans="32:37">
      <c r="AF29399" s="831" t="s">
        <v>11446</v>
      </c>
      <c r="AG29399" s="831" t="s">
        <v>2674</v>
      </c>
      <c r="AH29399" s="831" t="s">
        <v>574</v>
      </c>
      <c r="AI29399" s="831">
        <v>0</v>
      </c>
      <c r="AJ29399" s="835">
        <v>41759</v>
      </c>
      <c r="AK29399" s="831">
        <v>655215203.79999995</v>
      </c>
    </row>
    <row r="29400" spans="32:37">
      <c r="AF29400" s="831" t="s">
        <v>11447</v>
      </c>
      <c r="AG29400" s="831" t="s">
        <v>2674</v>
      </c>
      <c r="AH29400" s="831" t="s">
        <v>575</v>
      </c>
      <c r="AI29400" s="831">
        <v>0</v>
      </c>
      <c r="AJ29400" s="835">
        <v>41759</v>
      </c>
      <c r="AK29400" s="831">
        <v>120634686.182</v>
      </c>
    </row>
    <row r="29401" spans="32:37">
      <c r="AF29401" s="831" t="s">
        <v>11448</v>
      </c>
      <c r="AG29401" s="831" t="s">
        <v>2674</v>
      </c>
      <c r="AH29401" s="831" t="s">
        <v>576</v>
      </c>
      <c r="AI29401" s="831">
        <v>0</v>
      </c>
      <c r="AJ29401" s="835">
        <v>41759</v>
      </c>
      <c r="AK29401" s="831">
        <v>395052602.12220001</v>
      </c>
    </row>
    <row r="29402" spans="32:37">
      <c r="AF29402" s="831" t="s">
        <v>11449</v>
      </c>
      <c r="AG29402" s="831" t="s">
        <v>2674</v>
      </c>
      <c r="AH29402" s="831" t="s">
        <v>572</v>
      </c>
      <c r="AI29402" s="831">
        <v>0</v>
      </c>
      <c r="AJ29402" s="835">
        <v>41759</v>
      </c>
      <c r="AK29402" s="831">
        <v>30512730.956000008</v>
      </c>
    </row>
    <row r="29403" spans="32:37">
      <c r="AF29403" s="831" t="s">
        <v>11450</v>
      </c>
      <c r="AG29403" s="831" t="s">
        <v>2674</v>
      </c>
      <c r="AH29403" s="831" t="s">
        <v>577</v>
      </c>
      <c r="AI29403" s="831">
        <v>0</v>
      </c>
      <c r="AJ29403" s="835">
        <v>41759</v>
      </c>
      <c r="AK29403" s="831">
        <v>146415910.76300001</v>
      </c>
    </row>
    <row r="29404" spans="32:37">
      <c r="AF29404" s="831" t="s">
        <v>11451</v>
      </c>
      <c r="AG29404" s="831" t="s">
        <v>2674</v>
      </c>
      <c r="AH29404" s="831" t="s">
        <v>3042</v>
      </c>
      <c r="AI29404" s="831">
        <v>0</v>
      </c>
      <c r="AJ29404" s="835">
        <v>41759</v>
      </c>
      <c r="AK29404" s="831">
        <v>-40083828.527000003</v>
      </c>
    </row>
    <row r="29405" spans="32:37">
      <c r="AF29405" s="831" t="s">
        <v>11452</v>
      </c>
      <c r="AG29405" s="831" t="s">
        <v>2674</v>
      </c>
      <c r="AH29405" s="831" t="s">
        <v>3044</v>
      </c>
      <c r="AI29405" s="831">
        <v>0</v>
      </c>
      <c r="AJ29405" s="835">
        <v>41759</v>
      </c>
      <c r="AK29405" s="831">
        <v>-3325177.8899999997</v>
      </c>
    </row>
    <row r="29406" spans="32:37">
      <c r="AF29406" s="831" t="s">
        <v>11453</v>
      </c>
      <c r="AG29406" s="831" t="s">
        <v>2674</v>
      </c>
      <c r="AH29406" s="831" t="s">
        <v>580</v>
      </c>
      <c r="AI29406" s="831">
        <v>0</v>
      </c>
      <c r="AJ29406" s="835">
        <v>41759</v>
      </c>
      <c r="AK29406" s="831">
        <v>-68772047.306999996</v>
      </c>
    </row>
    <row r="29407" spans="32:37">
      <c r="AF29407" s="831" t="s">
        <v>11454</v>
      </c>
      <c r="AG29407" s="831" t="s">
        <v>2674</v>
      </c>
      <c r="AH29407" s="831" t="s">
        <v>581</v>
      </c>
      <c r="AI29407" s="831">
        <v>0</v>
      </c>
      <c r="AJ29407" s="835">
        <v>41759</v>
      </c>
      <c r="AK29407" s="831">
        <v>5605173.8940000003</v>
      </c>
    </row>
    <row r="29408" spans="32:37">
      <c r="AF29408" s="831" t="s">
        <v>11455</v>
      </c>
      <c r="AG29408" s="831" t="s">
        <v>2674</v>
      </c>
      <c r="AH29408" s="831" t="s">
        <v>105</v>
      </c>
      <c r="AI29408" s="831">
        <v>0</v>
      </c>
      <c r="AJ29408" s="835">
        <v>41759</v>
      </c>
      <c r="AK29408" s="831">
        <v>408959601</v>
      </c>
    </row>
    <row r="29409" spans="32:37">
      <c r="AF29409" s="831" t="s">
        <v>11456</v>
      </c>
      <c r="AG29409" s="831" t="s">
        <v>2674</v>
      </c>
      <c r="AH29409" s="831" t="s">
        <v>3049</v>
      </c>
      <c r="AI29409" s="831">
        <v>0</v>
      </c>
      <c r="AJ29409" s="835">
        <v>41759</v>
      </c>
      <c r="AK29409" s="831">
        <v>692167557</v>
      </c>
    </row>
    <row r="29410" spans="32:37">
      <c r="AF29410" s="831" t="s">
        <v>11457</v>
      </c>
      <c r="AG29410" s="831" t="s">
        <v>2674</v>
      </c>
      <c r="AH29410" s="831" t="s">
        <v>103</v>
      </c>
      <c r="AI29410" s="831">
        <v>0</v>
      </c>
      <c r="AJ29410" s="835">
        <v>41759</v>
      </c>
      <c r="AK29410" s="831">
        <v>283207956</v>
      </c>
    </row>
    <row r="29411" spans="32:37">
      <c r="AF29411" s="831" t="s">
        <v>11458</v>
      </c>
      <c r="AG29411" s="831" t="s">
        <v>2674</v>
      </c>
      <c r="AH29411" s="831" t="s">
        <v>182</v>
      </c>
      <c r="AI29411" s="831">
        <v>0</v>
      </c>
      <c r="AJ29411" s="835">
        <v>41759</v>
      </c>
      <c r="AK29411" s="831">
        <v>69513741</v>
      </c>
    </row>
    <row r="29412" spans="32:37">
      <c r="AF29412" s="831" t="s">
        <v>11459</v>
      </c>
      <c r="AG29412" s="831" t="s">
        <v>2674</v>
      </c>
      <c r="AH29412" s="831" t="s">
        <v>6600</v>
      </c>
      <c r="AI29412" s="831">
        <v>0</v>
      </c>
      <c r="AJ29412" s="835">
        <v>41759</v>
      </c>
      <c r="AK29412" s="831">
        <v>30512730.956000008</v>
      </c>
    </row>
    <row r="29413" spans="32:37">
      <c r="AF29413" s="831" t="s">
        <v>11460</v>
      </c>
      <c r="AG29413" s="831" t="s">
        <v>2674</v>
      </c>
      <c r="AH29413" s="831" t="s">
        <v>6602</v>
      </c>
      <c r="AI29413" s="831">
        <v>0</v>
      </c>
      <c r="AJ29413" s="835">
        <v>41759</v>
      </c>
      <c r="AK29413" s="831">
        <v>11900832</v>
      </c>
    </row>
    <row r="29414" spans="32:37">
      <c r="AF29414" s="831" t="s">
        <v>11461</v>
      </c>
      <c r="AG29414" s="831" t="s">
        <v>2674</v>
      </c>
      <c r="AH29414" s="831" t="s">
        <v>650</v>
      </c>
      <c r="AI29414" s="831">
        <v>0</v>
      </c>
      <c r="AJ29414" s="835">
        <v>41759</v>
      </c>
      <c r="AK29414" s="831">
        <v>234971386.50146157</v>
      </c>
    </row>
    <row r="29415" spans="32:37">
      <c r="AF29415" s="831" t="s">
        <v>11462</v>
      </c>
      <c r="AG29415" s="831" t="s">
        <v>2674</v>
      </c>
      <c r="AH29415" s="831" t="s">
        <v>655</v>
      </c>
      <c r="AI29415" s="831">
        <v>0</v>
      </c>
      <c r="AJ29415" s="835">
        <v>41759</v>
      </c>
      <c r="AK29415" s="831">
        <v>1842214</v>
      </c>
    </row>
    <row r="29416" spans="32:37">
      <c r="AF29416" s="831" t="s">
        <v>11463</v>
      </c>
      <c r="AG29416" s="831" t="s">
        <v>2674</v>
      </c>
      <c r="AH29416" s="831" t="s">
        <v>546</v>
      </c>
      <c r="AI29416" s="831">
        <v>0</v>
      </c>
      <c r="AJ29416" s="835">
        <v>41790</v>
      </c>
      <c r="AK29416" s="831">
        <v>718268239</v>
      </c>
    </row>
    <row r="29417" spans="32:37">
      <c r="AF29417" s="831" t="s">
        <v>11464</v>
      </c>
      <c r="AG29417" s="831" t="s">
        <v>2674</v>
      </c>
      <c r="AH29417" s="831" t="s">
        <v>370</v>
      </c>
      <c r="AI29417" s="831">
        <v>0</v>
      </c>
      <c r="AJ29417" s="835">
        <v>41790</v>
      </c>
      <c r="AK29417" s="831">
        <v>862492850</v>
      </c>
    </row>
    <row r="29418" spans="32:37">
      <c r="AF29418" s="831" t="s">
        <v>11465</v>
      </c>
      <c r="AG29418" s="831" t="s">
        <v>2674</v>
      </c>
      <c r="AH29418" s="831" t="s">
        <v>126</v>
      </c>
      <c r="AI29418" s="831">
        <v>0</v>
      </c>
      <c r="AJ29418" s="835">
        <v>41790</v>
      </c>
      <c r="AK29418" s="831">
        <v>131163748</v>
      </c>
    </row>
    <row r="29419" spans="32:37">
      <c r="AF29419" s="831" t="s">
        <v>11466</v>
      </c>
      <c r="AG29419" s="831" t="s">
        <v>2674</v>
      </c>
      <c r="AH29419" s="831" t="s">
        <v>268</v>
      </c>
      <c r="AI29419" s="831">
        <v>0</v>
      </c>
      <c r="AJ29419" s="835">
        <v>41790</v>
      </c>
      <c r="AK29419" s="831">
        <v>15708716</v>
      </c>
    </row>
    <row r="29420" spans="32:37">
      <c r="AF29420" s="831" t="s">
        <v>11467</v>
      </c>
      <c r="AG29420" s="831" t="s">
        <v>2674</v>
      </c>
      <c r="AH29420" s="831" t="s">
        <v>547</v>
      </c>
      <c r="AI29420" s="831">
        <v>0</v>
      </c>
      <c r="AJ29420" s="835">
        <v>41790</v>
      </c>
      <c r="AK29420" s="831">
        <v>777719977</v>
      </c>
    </row>
    <row r="29421" spans="32:37">
      <c r="AF29421" s="831" t="s">
        <v>11468</v>
      </c>
      <c r="AG29421" s="831" t="s">
        <v>2674</v>
      </c>
      <c r="AH29421" s="831" t="s">
        <v>548</v>
      </c>
      <c r="AI29421" s="831">
        <v>0</v>
      </c>
      <c r="AJ29421" s="835">
        <v>41790</v>
      </c>
      <c r="AK29421" s="831">
        <v>117105496</v>
      </c>
    </row>
    <row r="29422" spans="32:37">
      <c r="AF29422" s="831" t="s">
        <v>11469</v>
      </c>
      <c r="AG29422" s="831" t="s">
        <v>2674</v>
      </c>
      <c r="AH29422" s="831" t="s">
        <v>549</v>
      </c>
      <c r="AI29422" s="831">
        <v>0</v>
      </c>
      <c r="AJ29422" s="835">
        <v>41790</v>
      </c>
      <c r="AK29422" s="831">
        <v>505264542</v>
      </c>
    </row>
    <row r="29423" spans="32:37">
      <c r="AF29423" s="831" t="s">
        <v>11470</v>
      </c>
      <c r="AG29423" s="831" t="s">
        <v>2674</v>
      </c>
      <c r="AH29423" s="831" t="s">
        <v>192</v>
      </c>
      <c r="AI29423" s="831">
        <v>0</v>
      </c>
      <c r="AJ29423" s="835">
        <v>41790</v>
      </c>
      <c r="AK29423" s="831">
        <v>-13258185</v>
      </c>
    </row>
    <row r="29424" spans="32:37">
      <c r="AF29424" s="831" t="s">
        <v>11471</v>
      </c>
      <c r="AG29424" s="831" t="s">
        <v>2674</v>
      </c>
      <c r="AH29424" s="831" t="s">
        <v>558</v>
      </c>
      <c r="AI29424" s="831">
        <v>0</v>
      </c>
      <c r="AJ29424" s="835">
        <v>41790</v>
      </c>
      <c r="AK29424" s="831">
        <v>731329102</v>
      </c>
    </row>
    <row r="29425" spans="32:37">
      <c r="AF29425" s="831" t="s">
        <v>11472</v>
      </c>
      <c r="AG29425" s="831" t="s">
        <v>2674</v>
      </c>
      <c r="AH29425" s="831" t="s">
        <v>65</v>
      </c>
      <c r="AI29425" s="831">
        <v>0</v>
      </c>
      <c r="AJ29425" s="835">
        <v>41790</v>
      </c>
      <c r="AK29425" s="831">
        <v>66573989</v>
      </c>
    </row>
    <row r="29426" spans="32:37">
      <c r="AF29426" s="831" t="s">
        <v>11473</v>
      </c>
      <c r="AG29426" s="831" t="s">
        <v>2674</v>
      </c>
      <c r="AH29426" s="831" t="s">
        <v>89</v>
      </c>
      <c r="AI29426" s="831">
        <v>0</v>
      </c>
      <c r="AJ29426" s="835">
        <v>41790</v>
      </c>
      <c r="AK29426" s="831">
        <v>156336</v>
      </c>
    </row>
    <row r="29427" spans="32:37">
      <c r="AF29427" s="831" t="s">
        <v>11474</v>
      </c>
      <c r="AG29427" s="831" t="s">
        <v>2674</v>
      </c>
      <c r="AH29427" s="831" t="s">
        <v>557</v>
      </c>
      <c r="AI29427" s="831">
        <v>0</v>
      </c>
      <c r="AJ29427" s="835">
        <v>41790</v>
      </c>
      <c r="AK29427" s="831">
        <v>174602</v>
      </c>
    </row>
    <row r="29428" spans="32:37">
      <c r="AF29428" s="831" t="s">
        <v>11475</v>
      </c>
      <c r="AG29428" s="831" t="s">
        <v>2674</v>
      </c>
      <c r="AH29428" s="831" t="s">
        <v>29</v>
      </c>
      <c r="AI29428" s="831">
        <v>0</v>
      </c>
      <c r="AJ29428" s="835">
        <v>41790</v>
      </c>
      <c r="AK29428" s="831">
        <v>2450103.0319999997</v>
      </c>
    </row>
    <row r="29429" spans="32:37">
      <c r="AF29429" s="831" t="s">
        <v>11476</v>
      </c>
      <c r="AG29429" s="831" t="s">
        <v>2674</v>
      </c>
      <c r="AH29429" s="831" t="s">
        <v>2688</v>
      </c>
      <c r="AI29429" s="831">
        <v>0</v>
      </c>
      <c r="AJ29429" s="835">
        <v>41790</v>
      </c>
      <c r="AK29429" s="831">
        <v>4770534.2300000004</v>
      </c>
    </row>
    <row r="29430" spans="32:37">
      <c r="AF29430" s="831" t="s">
        <v>11477</v>
      </c>
      <c r="AG29430" s="831" t="s">
        <v>2674</v>
      </c>
      <c r="AH29430" s="831" t="s">
        <v>556</v>
      </c>
      <c r="AI29430" s="831">
        <v>0</v>
      </c>
      <c r="AJ29430" s="835">
        <v>41790</v>
      </c>
      <c r="AK29430" s="831">
        <v>1644732</v>
      </c>
    </row>
    <row r="29431" spans="32:37">
      <c r="AF29431" s="831" t="s">
        <v>11478</v>
      </c>
      <c r="AG29431" s="831" t="s">
        <v>2674</v>
      </c>
      <c r="AH29431" s="831" t="s">
        <v>555</v>
      </c>
      <c r="AI29431" s="831">
        <v>0</v>
      </c>
      <c r="AJ29431" s="835">
        <v>41790</v>
      </c>
      <c r="AK29431" s="831">
        <v>468159807</v>
      </c>
    </row>
    <row r="29432" spans="32:37">
      <c r="AF29432" s="831" t="s">
        <v>11479</v>
      </c>
      <c r="AG29432" s="831" t="s">
        <v>2674</v>
      </c>
      <c r="AH29432" s="831" t="s">
        <v>554</v>
      </c>
      <c r="AI29432" s="831">
        <v>0</v>
      </c>
      <c r="AJ29432" s="835">
        <v>41790</v>
      </c>
      <c r="AK29432" s="831">
        <v>476165900</v>
      </c>
    </row>
    <row r="29433" spans="32:37">
      <c r="AF29433" s="831" t="s">
        <v>11480</v>
      </c>
      <c r="AG29433" s="831" t="s">
        <v>2674</v>
      </c>
      <c r="AH29433" s="831" t="s">
        <v>553</v>
      </c>
      <c r="AI29433" s="831">
        <v>0</v>
      </c>
      <c r="AJ29433" s="835">
        <v>41790</v>
      </c>
      <c r="AK29433" s="831">
        <v>0</v>
      </c>
    </row>
    <row r="29434" spans="32:37">
      <c r="AF29434" s="831" t="s">
        <v>11481</v>
      </c>
      <c r="AG29434" s="831" t="s">
        <v>2674</v>
      </c>
      <c r="AH29434" s="831" t="s">
        <v>552</v>
      </c>
      <c r="AI29434" s="831">
        <v>0</v>
      </c>
      <c r="AJ29434" s="835">
        <v>41790</v>
      </c>
      <c r="AK29434" s="831">
        <v>0</v>
      </c>
    </row>
    <row r="29435" spans="32:37">
      <c r="AF29435" s="831" t="s">
        <v>11482</v>
      </c>
      <c r="AG29435" s="831" t="s">
        <v>2674</v>
      </c>
      <c r="AH29435" s="831" t="s">
        <v>551</v>
      </c>
      <c r="AI29435" s="831">
        <v>0</v>
      </c>
      <c r="AJ29435" s="835">
        <v>41790</v>
      </c>
      <c r="AK29435" s="831">
        <v>2150143.8450000002</v>
      </c>
    </row>
    <row r="29436" spans="32:37">
      <c r="AF29436" s="831" t="s">
        <v>11483</v>
      </c>
      <c r="AG29436" s="831" t="s">
        <v>2674</v>
      </c>
      <c r="AH29436" s="831" t="s">
        <v>550</v>
      </c>
      <c r="AI29436" s="831">
        <v>0</v>
      </c>
      <c r="AJ29436" s="835">
        <v>41790</v>
      </c>
      <c r="AK29436" s="831">
        <v>127155751</v>
      </c>
    </row>
    <row r="29437" spans="32:37">
      <c r="AF29437" s="831" t="s">
        <v>11484</v>
      </c>
      <c r="AG29437" s="831" t="s">
        <v>2674</v>
      </c>
      <c r="AH29437" s="831" t="s">
        <v>562</v>
      </c>
      <c r="AI29437" s="831">
        <v>0</v>
      </c>
      <c r="AJ29437" s="835">
        <v>41790</v>
      </c>
      <c r="AK29437" s="831">
        <v>0.78385000000000005</v>
      </c>
    </row>
    <row r="29438" spans="32:37">
      <c r="AF29438" s="831" t="s">
        <v>11485</v>
      </c>
      <c r="AG29438" s="831" t="s">
        <v>2674</v>
      </c>
      <c r="AH29438" s="831" t="s">
        <v>2698</v>
      </c>
      <c r="AI29438" s="831">
        <v>0</v>
      </c>
      <c r="AJ29438" s="835">
        <v>41790</v>
      </c>
      <c r="AK29438" s="831">
        <v>0.78374999999999995</v>
      </c>
    </row>
    <row r="29439" spans="32:37">
      <c r="AF29439" s="831" t="s">
        <v>11486</v>
      </c>
      <c r="AG29439" s="831" t="s">
        <v>2674</v>
      </c>
      <c r="AH29439" s="831" t="s">
        <v>560</v>
      </c>
      <c r="AI29439" s="831">
        <v>0</v>
      </c>
      <c r="AJ29439" s="835">
        <v>41790</v>
      </c>
      <c r="AK29439" s="831">
        <v>0.78376999999999997</v>
      </c>
    </row>
    <row r="29440" spans="32:37">
      <c r="AF29440" s="831" t="s">
        <v>11487</v>
      </c>
      <c r="AG29440" s="831" t="s">
        <v>2674</v>
      </c>
      <c r="AH29440" s="831" t="s">
        <v>559</v>
      </c>
      <c r="AI29440" s="831">
        <v>0</v>
      </c>
      <c r="AJ29440" s="835">
        <v>41790</v>
      </c>
      <c r="AK29440" s="831">
        <v>0.78379166666666666</v>
      </c>
    </row>
    <row r="29441" spans="32:37">
      <c r="AF29441" s="831" t="s">
        <v>11488</v>
      </c>
      <c r="AG29441" s="831" t="s">
        <v>2674</v>
      </c>
      <c r="AH29441" s="831" t="s">
        <v>568</v>
      </c>
      <c r="AI29441" s="831">
        <v>0</v>
      </c>
      <c r="AJ29441" s="835">
        <v>41790</v>
      </c>
      <c r="AK29441" s="831">
        <v>602753430.99615383</v>
      </c>
    </row>
    <row r="29442" spans="32:37">
      <c r="AF29442" s="831" t="s">
        <v>11489</v>
      </c>
      <c r="AG29442" s="831" t="s">
        <v>2674</v>
      </c>
      <c r="AH29442" s="831" t="s">
        <v>569</v>
      </c>
      <c r="AI29442" s="831">
        <v>0</v>
      </c>
      <c r="AJ29442" s="835">
        <v>41790</v>
      </c>
      <c r="AK29442" s="831">
        <v>739200989.8963846</v>
      </c>
    </row>
    <row r="29443" spans="32:37">
      <c r="AF29443" s="831" t="s">
        <v>11490</v>
      </c>
      <c r="AG29443" s="831" t="s">
        <v>2674</v>
      </c>
      <c r="AH29443" s="831" t="s">
        <v>570</v>
      </c>
      <c r="AI29443" s="831">
        <v>0</v>
      </c>
      <c r="AJ29443" s="835">
        <v>41790</v>
      </c>
      <c r="AK29443" s="831">
        <v>117953141.44353844</v>
      </c>
    </row>
    <row r="29444" spans="32:37">
      <c r="AF29444" s="831" t="s">
        <v>11491</v>
      </c>
      <c r="AG29444" s="831" t="s">
        <v>2674</v>
      </c>
      <c r="AH29444" s="831" t="s">
        <v>571</v>
      </c>
      <c r="AI29444" s="831">
        <v>0</v>
      </c>
      <c r="AJ29444" s="835">
        <v>41790</v>
      </c>
      <c r="AK29444" s="831">
        <v>358988619.82100004</v>
      </c>
    </row>
    <row r="29445" spans="32:37">
      <c r="AF29445" s="831" t="s">
        <v>11492</v>
      </c>
      <c r="AG29445" s="831" t="s">
        <v>2674</v>
      </c>
      <c r="AH29445" s="831" t="s">
        <v>573</v>
      </c>
      <c r="AI29445" s="831">
        <v>0</v>
      </c>
      <c r="AJ29445" s="835">
        <v>41790</v>
      </c>
      <c r="AK29445" s="831">
        <v>816120360.26049995</v>
      </c>
    </row>
    <row r="29446" spans="32:37">
      <c r="AF29446" s="831" t="s">
        <v>11493</v>
      </c>
      <c r="AG29446" s="831" t="s">
        <v>2674</v>
      </c>
      <c r="AH29446" s="831" t="s">
        <v>574</v>
      </c>
      <c r="AI29446" s="831">
        <v>0</v>
      </c>
      <c r="AJ29446" s="835">
        <v>41790</v>
      </c>
      <c r="AK29446" s="831">
        <v>665724043</v>
      </c>
    </row>
    <row r="29447" spans="32:37">
      <c r="AF29447" s="831" t="s">
        <v>11494</v>
      </c>
      <c r="AG29447" s="831" t="s">
        <v>2674</v>
      </c>
      <c r="AH29447" s="831" t="s">
        <v>575</v>
      </c>
      <c r="AI29447" s="831">
        <v>0</v>
      </c>
      <c r="AJ29447" s="835">
        <v>41790</v>
      </c>
      <c r="AK29447" s="831">
        <v>122389529.81833333</v>
      </c>
    </row>
    <row r="29448" spans="32:37">
      <c r="AF29448" s="831" t="s">
        <v>11495</v>
      </c>
      <c r="AG29448" s="831" t="s">
        <v>2674</v>
      </c>
      <c r="AH29448" s="831" t="s">
        <v>576</v>
      </c>
      <c r="AI29448" s="831">
        <v>0</v>
      </c>
      <c r="AJ29448" s="835">
        <v>41790</v>
      </c>
      <c r="AK29448" s="831">
        <v>399225453.60183334</v>
      </c>
    </row>
    <row r="29449" spans="32:37">
      <c r="AF29449" s="831" t="s">
        <v>11496</v>
      </c>
      <c r="AG29449" s="831" t="s">
        <v>2674</v>
      </c>
      <c r="AH29449" s="831" t="s">
        <v>572</v>
      </c>
      <c r="AI29449" s="831">
        <v>0</v>
      </c>
      <c r="AJ29449" s="835">
        <v>41790</v>
      </c>
      <c r="AK29449" s="831">
        <v>31997124.956000008</v>
      </c>
    </row>
    <row r="29450" spans="32:37">
      <c r="AF29450" s="831" t="s">
        <v>11497</v>
      </c>
      <c r="AG29450" s="831" t="s">
        <v>2674</v>
      </c>
      <c r="AH29450" s="831" t="s">
        <v>577</v>
      </c>
      <c r="AI29450" s="831">
        <v>0</v>
      </c>
      <c r="AJ29450" s="835">
        <v>41790</v>
      </c>
      <c r="AK29450" s="831">
        <v>149793646.76300001</v>
      </c>
    </row>
    <row r="29451" spans="32:37">
      <c r="AF29451" s="831" t="s">
        <v>11498</v>
      </c>
      <c r="AG29451" s="831" t="s">
        <v>2674</v>
      </c>
      <c r="AH29451" s="831" t="s">
        <v>3042</v>
      </c>
      <c r="AI29451" s="831">
        <v>0</v>
      </c>
      <c r="AJ29451" s="835">
        <v>41790</v>
      </c>
      <c r="AK29451" s="831">
        <v>-41488938.527000003</v>
      </c>
    </row>
    <row r="29452" spans="32:37">
      <c r="AF29452" s="831" t="s">
        <v>11499</v>
      </c>
      <c r="AG29452" s="831" t="s">
        <v>2674</v>
      </c>
      <c r="AH29452" s="831" t="s">
        <v>3044</v>
      </c>
      <c r="AI29452" s="831">
        <v>0</v>
      </c>
      <c r="AJ29452" s="835">
        <v>41790</v>
      </c>
      <c r="AK29452" s="831">
        <v>-2734199.8899999997</v>
      </c>
    </row>
    <row r="29453" spans="32:37">
      <c r="AF29453" s="831" t="s">
        <v>11500</v>
      </c>
      <c r="AG29453" s="831" t="s">
        <v>2674</v>
      </c>
      <c r="AH29453" s="831" t="s">
        <v>580</v>
      </c>
      <c r="AI29453" s="831">
        <v>0</v>
      </c>
      <c r="AJ29453" s="835">
        <v>41790</v>
      </c>
      <c r="AK29453" s="831">
        <v>-69707657.306999996</v>
      </c>
    </row>
    <row r="29454" spans="32:37">
      <c r="AF29454" s="831" t="s">
        <v>11501</v>
      </c>
      <c r="AG29454" s="831" t="s">
        <v>2674</v>
      </c>
      <c r="AH29454" s="831" t="s">
        <v>581</v>
      </c>
      <c r="AI29454" s="831">
        <v>0</v>
      </c>
      <c r="AJ29454" s="835">
        <v>41790</v>
      </c>
      <c r="AK29454" s="831">
        <v>5958727.8940000003</v>
      </c>
    </row>
    <row r="29455" spans="32:37">
      <c r="AF29455" s="831" t="s">
        <v>11502</v>
      </c>
      <c r="AG29455" s="831" t="s">
        <v>2674</v>
      </c>
      <c r="AH29455" s="831" t="s">
        <v>105</v>
      </c>
      <c r="AI29455" s="831">
        <v>0</v>
      </c>
      <c r="AJ29455" s="835">
        <v>41790</v>
      </c>
      <c r="AK29455" s="831">
        <v>420089711</v>
      </c>
    </row>
    <row r="29456" spans="32:37">
      <c r="AF29456" s="831" t="s">
        <v>11503</v>
      </c>
      <c r="AG29456" s="831" t="s">
        <v>2674</v>
      </c>
      <c r="AH29456" s="831" t="s">
        <v>3049</v>
      </c>
      <c r="AI29456" s="831">
        <v>0</v>
      </c>
      <c r="AJ29456" s="835">
        <v>41790</v>
      </c>
      <c r="AK29456" s="831">
        <v>709561626</v>
      </c>
    </row>
    <row r="29457" spans="32:37">
      <c r="AF29457" s="831" t="s">
        <v>11504</v>
      </c>
      <c r="AG29457" s="831" t="s">
        <v>2674</v>
      </c>
      <c r="AH29457" s="831" t="s">
        <v>103</v>
      </c>
      <c r="AI29457" s="831">
        <v>0</v>
      </c>
      <c r="AJ29457" s="835">
        <v>41790</v>
      </c>
      <c r="AK29457" s="831">
        <v>289471915</v>
      </c>
    </row>
    <row r="29458" spans="32:37">
      <c r="AF29458" s="831" t="s">
        <v>11505</v>
      </c>
      <c r="AG29458" s="831" t="s">
        <v>2674</v>
      </c>
      <c r="AH29458" s="831" t="s">
        <v>182</v>
      </c>
      <c r="AI29458" s="831">
        <v>0</v>
      </c>
      <c r="AJ29458" s="835">
        <v>41790</v>
      </c>
      <c r="AK29458" s="831">
        <v>69984388.799999997</v>
      </c>
    </row>
    <row r="29459" spans="32:37">
      <c r="AF29459" s="831" t="s">
        <v>11506</v>
      </c>
      <c r="AG29459" s="831" t="s">
        <v>2674</v>
      </c>
      <c r="AH29459" s="831" t="s">
        <v>6600</v>
      </c>
      <c r="AI29459" s="831">
        <v>0</v>
      </c>
      <c r="AJ29459" s="835">
        <v>41790</v>
      </c>
      <c r="AK29459" s="831">
        <v>31997124.956000008</v>
      </c>
    </row>
    <row r="29460" spans="32:37">
      <c r="AF29460" s="831" t="s">
        <v>11507</v>
      </c>
      <c r="AG29460" s="831" t="s">
        <v>2674</v>
      </c>
      <c r="AH29460" s="831" t="s">
        <v>6602</v>
      </c>
      <c r="AI29460" s="831">
        <v>0</v>
      </c>
      <c r="AJ29460" s="835">
        <v>41790</v>
      </c>
      <c r="AK29460" s="831">
        <v>15708716</v>
      </c>
    </row>
    <row r="29461" spans="32:37">
      <c r="AF29461" s="831" t="s">
        <v>11508</v>
      </c>
      <c r="AG29461" s="831" t="s">
        <v>2674</v>
      </c>
      <c r="AH29461" s="831" t="s">
        <v>650</v>
      </c>
      <c r="AI29461" s="831">
        <v>0</v>
      </c>
      <c r="AJ29461" s="835">
        <v>41790</v>
      </c>
      <c r="AK29461" s="831">
        <v>242496217.73223078</v>
      </c>
    </row>
    <row r="29462" spans="32:37">
      <c r="AF29462" s="831" t="s">
        <v>11509</v>
      </c>
      <c r="AG29462" s="831" t="s">
        <v>2674</v>
      </c>
      <c r="AH29462" s="831" t="s">
        <v>655</v>
      </c>
      <c r="AI29462" s="831">
        <v>0</v>
      </c>
      <c r="AJ29462" s="835">
        <v>41790</v>
      </c>
      <c r="AK29462" s="831">
        <v>1936751.44</v>
      </c>
    </row>
    <row r="29463" spans="32:37">
      <c r="AF29463" s="831" t="s">
        <v>11510</v>
      </c>
      <c r="AG29463" s="831" t="s">
        <v>2674</v>
      </c>
      <c r="AH29463" s="831" t="s">
        <v>546</v>
      </c>
      <c r="AI29463" s="831">
        <v>0</v>
      </c>
      <c r="AJ29463" s="835">
        <v>41820</v>
      </c>
      <c r="AK29463" s="831">
        <v>728057591</v>
      </c>
    </row>
    <row r="29464" spans="32:37">
      <c r="AF29464" s="831" t="s">
        <v>11511</v>
      </c>
      <c r="AG29464" s="831" t="s">
        <v>2674</v>
      </c>
      <c r="AH29464" s="831" t="s">
        <v>370</v>
      </c>
      <c r="AI29464" s="831">
        <v>0</v>
      </c>
      <c r="AJ29464" s="835">
        <v>41820</v>
      </c>
      <c r="AK29464" s="831">
        <v>911200946</v>
      </c>
    </row>
    <row r="29465" spans="32:37">
      <c r="AF29465" s="831" t="s">
        <v>11512</v>
      </c>
      <c r="AG29465" s="831" t="s">
        <v>2674</v>
      </c>
      <c r="AH29465" s="831" t="s">
        <v>126</v>
      </c>
      <c r="AI29465" s="831">
        <v>0</v>
      </c>
      <c r="AJ29465" s="835">
        <v>41820</v>
      </c>
      <c r="AK29465" s="831">
        <v>135362821</v>
      </c>
    </row>
    <row r="29466" spans="32:37">
      <c r="AF29466" s="831" t="s">
        <v>11513</v>
      </c>
      <c r="AG29466" s="831" t="s">
        <v>2674</v>
      </c>
      <c r="AH29466" s="831" t="s">
        <v>268</v>
      </c>
      <c r="AI29466" s="831">
        <v>0</v>
      </c>
      <c r="AJ29466" s="835">
        <v>41820</v>
      </c>
      <c r="AK29466" s="831">
        <v>18626919</v>
      </c>
    </row>
    <row r="29467" spans="32:37">
      <c r="AF29467" s="831" t="s">
        <v>11514</v>
      </c>
      <c r="AG29467" s="831" t="s">
        <v>2674</v>
      </c>
      <c r="AH29467" s="831" t="s">
        <v>547</v>
      </c>
      <c r="AI29467" s="831">
        <v>0</v>
      </c>
      <c r="AJ29467" s="835">
        <v>41820</v>
      </c>
      <c r="AK29467" s="831">
        <v>777719977</v>
      </c>
    </row>
    <row r="29468" spans="32:37">
      <c r="AF29468" s="831" t="s">
        <v>11515</v>
      </c>
      <c r="AG29468" s="831" t="s">
        <v>2674</v>
      </c>
      <c r="AH29468" s="831" t="s">
        <v>548</v>
      </c>
      <c r="AI29468" s="831">
        <v>0</v>
      </c>
      <c r="AJ29468" s="835">
        <v>41820</v>
      </c>
      <c r="AK29468" s="831">
        <v>117105496</v>
      </c>
    </row>
    <row r="29469" spans="32:37">
      <c r="AF29469" s="831" t="s">
        <v>11516</v>
      </c>
      <c r="AG29469" s="831" t="s">
        <v>2674</v>
      </c>
      <c r="AH29469" s="831" t="s">
        <v>549</v>
      </c>
      <c r="AI29469" s="831">
        <v>0</v>
      </c>
      <c r="AJ29469" s="835">
        <v>41820</v>
      </c>
      <c r="AK29469" s="831">
        <v>514798833</v>
      </c>
    </row>
    <row r="29470" spans="32:37">
      <c r="AF29470" s="831" t="s">
        <v>11517</v>
      </c>
      <c r="AG29470" s="831" t="s">
        <v>2674</v>
      </c>
      <c r="AH29470" s="831" t="s">
        <v>192</v>
      </c>
      <c r="AI29470" s="831">
        <v>0</v>
      </c>
      <c r="AJ29470" s="835">
        <v>41820</v>
      </c>
      <c r="AK29470" s="831">
        <v>-11632261</v>
      </c>
    </row>
    <row r="29471" spans="32:37">
      <c r="AF29471" s="831" t="s">
        <v>11518</v>
      </c>
      <c r="AG29471" s="831" t="s">
        <v>2674</v>
      </c>
      <c r="AH29471" s="831" t="s">
        <v>558</v>
      </c>
      <c r="AI29471" s="831">
        <v>0</v>
      </c>
      <c r="AJ29471" s="835">
        <v>41820</v>
      </c>
      <c r="AK29471" s="831">
        <v>775838125</v>
      </c>
    </row>
    <row r="29472" spans="32:37">
      <c r="AF29472" s="831" t="s">
        <v>11519</v>
      </c>
      <c r="AG29472" s="831" t="s">
        <v>2674</v>
      </c>
      <c r="AH29472" s="831" t="s">
        <v>65</v>
      </c>
      <c r="AI29472" s="831">
        <v>0</v>
      </c>
      <c r="AJ29472" s="835">
        <v>41820</v>
      </c>
      <c r="AK29472" s="831">
        <v>81270371</v>
      </c>
    </row>
    <row r="29473" spans="32:37">
      <c r="AF29473" s="831" t="s">
        <v>11520</v>
      </c>
      <c r="AG29473" s="831" t="s">
        <v>2674</v>
      </c>
      <c r="AH29473" s="831" t="s">
        <v>89</v>
      </c>
      <c r="AI29473" s="831">
        <v>0</v>
      </c>
      <c r="AJ29473" s="835">
        <v>41820</v>
      </c>
      <c r="AK29473" s="831">
        <v>156581</v>
      </c>
    </row>
    <row r="29474" spans="32:37">
      <c r="AF29474" s="831" t="s">
        <v>11521</v>
      </c>
      <c r="AG29474" s="831" t="s">
        <v>2674</v>
      </c>
      <c r="AH29474" s="831" t="s">
        <v>557</v>
      </c>
      <c r="AI29474" s="831">
        <v>0</v>
      </c>
      <c r="AJ29474" s="835">
        <v>41820</v>
      </c>
      <c r="AK29474" s="831">
        <v>175816</v>
      </c>
    </row>
    <row r="29475" spans="32:37">
      <c r="AF29475" s="831" t="s">
        <v>11522</v>
      </c>
      <c r="AG29475" s="831" t="s">
        <v>2674</v>
      </c>
      <c r="AH29475" s="831" t="s">
        <v>29</v>
      </c>
      <c r="AI29475" s="831">
        <v>0</v>
      </c>
      <c r="AJ29475" s="835">
        <v>41820</v>
      </c>
      <c r="AK29475" s="831">
        <v>1326248.81</v>
      </c>
    </row>
    <row r="29476" spans="32:37">
      <c r="AF29476" s="831" t="s">
        <v>11523</v>
      </c>
      <c r="AG29476" s="831" t="s">
        <v>2674</v>
      </c>
      <c r="AH29476" s="831" t="s">
        <v>2688</v>
      </c>
      <c r="AI29476" s="831">
        <v>0</v>
      </c>
      <c r="AJ29476" s="835">
        <v>41820</v>
      </c>
      <c r="AK29476" s="831">
        <v>4329800.9399999995</v>
      </c>
    </row>
    <row r="29477" spans="32:37">
      <c r="AF29477" s="831" t="s">
        <v>11524</v>
      </c>
      <c r="AG29477" s="831" t="s">
        <v>2674</v>
      </c>
      <c r="AH29477" s="831" t="s">
        <v>556</v>
      </c>
      <c r="AI29477" s="831">
        <v>0</v>
      </c>
      <c r="AJ29477" s="835">
        <v>41820</v>
      </c>
      <c r="AK29477" s="831">
        <v>3274918</v>
      </c>
    </row>
    <row r="29478" spans="32:37">
      <c r="AF29478" s="831" t="s">
        <v>11525</v>
      </c>
      <c r="AG29478" s="831" t="s">
        <v>2674</v>
      </c>
      <c r="AH29478" s="831" t="s">
        <v>555</v>
      </c>
      <c r="AI29478" s="831">
        <v>0</v>
      </c>
      <c r="AJ29478" s="835">
        <v>41820</v>
      </c>
      <c r="AK29478" s="831">
        <v>507133542</v>
      </c>
    </row>
    <row r="29479" spans="32:37">
      <c r="AF29479" s="831" t="s">
        <v>11526</v>
      </c>
      <c r="AG29479" s="831" t="s">
        <v>2674</v>
      </c>
      <c r="AH29479" s="831" t="s">
        <v>554</v>
      </c>
      <c r="AI29479" s="831">
        <v>0</v>
      </c>
      <c r="AJ29479" s="835">
        <v>41820</v>
      </c>
      <c r="AK29479" s="831">
        <v>519019570</v>
      </c>
    </row>
    <row r="29480" spans="32:37">
      <c r="AF29480" s="831" t="s">
        <v>11527</v>
      </c>
      <c r="AG29480" s="831" t="s">
        <v>2674</v>
      </c>
      <c r="AH29480" s="831" t="s">
        <v>553</v>
      </c>
      <c r="AI29480" s="831">
        <v>0</v>
      </c>
      <c r="AJ29480" s="835">
        <v>41820</v>
      </c>
      <c r="AK29480" s="831">
        <v>0</v>
      </c>
    </row>
    <row r="29481" spans="32:37">
      <c r="AF29481" s="831" t="s">
        <v>11528</v>
      </c>
      <c r="AG29481" s="831" t="s">
        <v>2674</v>
      </c>
      <c r="AH29481" s="831" t="s">
        <v>552</v>
      </c>
      <c r="AI29481" s="831">
        <v>0</v>
      </c>
      <c r="AJ29481" s="835">
        <v>41820</v>
      </c>
      <c r="AK29481" s="831">
        <v>0</v>
      </c>
    </row>
    <row r="29482" spans="32:37">
      <c r="AF29482" s="831" t="s">
        <v>11529</v>
      </c>
      <c r="AG29482" s="831" t="s">
        <v>2674</v>
      </c>
      <c r="AH29482" s="831" t="s">
        <v>551</v>
      </c>
      <c r="AI29482" s="831">
        <v>0</v>
      </c>
      <c r="AJ29482" s="835">
        <v>41820</v>
      </c>
      <c r="AK29482" s="831">
        <v>950588.81</v>
      </c>
    </row>
    <row r="29483" spans="32:37">
      <c r="AF29483" s="831" t="s">
        <v>11530</v>
      </c>
      <c r="AG29483" s="831" t="s">
        <v>2674</v>
      </c>
      <c r="AH29483" s="831" t="s">
        <v>550</v>
      </c>
      <c r="AI29483" s="831">
        <v>0</v>
      </c>
      <c r="AJ29483" s="835">
        <v>41820</v>
      </c>
      <c r="AK29483" s="831">
        <v>131163748</v>
      </c>
    </row>
    <row r="29484" spans="32:37">
      <c r="AF29484" s="831" t="s">
        <v>11531</v>
      </c>
      <c r="AG29484" s="831" t="s">
        <v>2674</v>
      </c>
      <c r="AH29484" s="831" t="s">
        <v>562</v>
      </c>
      <c r="AI29484" s="831">
        <v>0</v>
      </c>
      <c r="AJ29484" s="835">
        <v>41820</v>
      </c>
      <c r="AK29484" s="831">
        <v>0.78374999999999995</v>
      </c>
    </row>
    <row r="29485" spans="32:37">
      <c r="AF29485" s="831" t="s">
        <v>11532</v>
      </c>
      <c r="AG29485" s="831" t="s">
        <v>2674</v>
      </c>
      <c r="AH29485" s="831" t="s">
        <v>2698</v>
      </c>
      <c r="AI29485" s="831">
        <v>0</v>
      </c>
      <c r="AJ29485" s="835">
        <v>41820</v>
      </c>
      <c r="AK29485" s="831">
        <v>0.78385000000000005</v>
      </c>
    </row>
    <row r="29486" spans="32:37">
      <c r="AF29486" s="831" t="s">
        <v>11533</v>
      </c>
      <c r="AG29486" s="831" t="s">
        <v>2674</v>
      </c>
      <c r="AH29486" s="831" t="s">
        <v>560</v>
      </c>
      <c r="AI29486" s="831">
        <v>0</v>
      </c>
      <c r="AJ29486" s="835">
        <v>41820</v>
      </c>
      <c r="AK29486" s="831">
        <v>0.78376666666666672</v>
      </c>
    </row>
    <row r="29487" spans="32:37">
      <c r="AF29487" s="831" t="s">
        <v>11534</v>
      </c>
      <c r="AG29487" s="831" t="s">
        <v>2674</v>
      </c>
      <c r="AH29487" s="831" t="s">
        <v>559</v>
      </c>
      <c r="AI29487" s="831">
        <v>0</v>
      </c>
      <c r="AJ29487" s="835">
        <v>41820</v>
      </c>
      <c r="AK29487" s="831">
        <v>0.783775</v>
      </c>
    </row>
    <row r="29488" spans="32:37">
      <c r="AF29488" s="831" t="s">
        <v>11535</v>
      </c>
      <c r="AG29488" s="831" t="s">
        <v>2674</v>
      </c>
      <c r="AH29488" s="831" t="s">
        <v>568</v>
      </c>
      <c r="AI29488" s="831">
        <v>0</v>
      </c>
      <c r="AJ29488" s="835">
        <v>41820</v>
      </c>
      <c r="AK29488" s="831">
        <v>619891357.84230769</v>
      </c>
    </row>
    <row r="29489" spans="32:37">
      <c r="AF29489" s="831" t="s">
        <v>11536</v>
      </c>
      <c r="AG29489" s="831" t="s">
        <v>2674</v>
      </c>
      <c r="AH29489" s="831" t="s">
        <v>569</v>
      </c>
      <c r="AI29489" s="831">
        <v>0</v>
      </c>
      <c r="AJ29489" s="835">
        <v>41820</v>
      </c>
      <c r="AK29489" s="831">
        <v>763501602.97330773</v>
      </c>
    </row>
    <row r="29490" spans="32:37">
      <c r="AF29490" s="831" t="s">
        <v>11537</v>
      </c>
      <c r="AG29490" s="831" t="s">
        <v>2674</v>
      </c>
      <c r="AH29490" s="831" t="s">
        <v>570</v>
      </c>
      <c r="AI29490" s="831">
        <v>0</v>
      </c>
      <c r="AJ29490" s="835">
        <v>41820</v>
      </c>
      <c r="AK29490" s="831">
        <v>120238638.75123075</v>
      </c>
    </row>
    <row r="29491" spans="32:37">
      <c r="AF29491" s="831" t="s">
        <v>11538</v>
      </c>
      <c r="AG29491" s="831" t="s">
        <v>2674</v>
      </c>
      <c r="AH29491" s="831" t="s">
        <v>571</v>
      </c>
      <c r="AI29491" s="831">
        <v>0</v>
      </c>
      <c r="AJ29491" s="835">
        <v>41820</v>
      </c>
      <c r="AK29491" s="831">
        <v>372900260.97484618</v>
      </c>
    </row>
    <row r="29492" spans="32:37">
      <c r="AF29492" s="831" t="s">
        <v>11539</v>
      </c>
      <c r="AG29492" s="831" t="s">
        <v>2674</v>
      </c>
      <c r="AH29492" s="831" t="s">
        <v>573</v>
      </c>
      <c r="AI29492" s="831">
        <v>0</v>
      </c>
      <c r="AJ29492" s="835">
        <v>41820</v>
      </c>
      <c r="AK29492" s="831">
        <v>829703301.08042848</v>
      </c>
    </row>
    <row r="29493" spans="32:37">
      <c r="AF29493" s="831" t="s">
        <v>11540</v>
      </c>
      <c r="AG29493" s="831" t="s">
        <v>2674</v>
      </c>
      <c r="AH29493" s="831" t="s">
        <v>574</v>
      </c>
      <c r="AI29493" s="831">
        <v>0</v>
      </c>
      <c r="AJ29493" s="835">
        <v>41820</v>
      </c>
      <c r="AK29493" s="831">
        <v>674628835.57142854</v>
      </c>
    </row>
    <row r="29494" spans="32:37">
      <c r="AF29494" s="831" t="s">
        <v>11541</v>
      </c>
      <c r="AG29494" s="831" t="s">
        <v>2674</v>
      </c>
      <c r="AH29494" s="831" t="s">
        <v>575</v>
      </c>
      <c r="AI29494" s="831">
        <v>0</v>
      </c>
      <c r="AJ29494" s="835">
        <v>41820</v>
      </c>
      <c r="AK29494" s="831">
        <v>124242857.13</v>
      </c>
    </row>
    <row r="29495" spans="32:37">
      <c r="AF29495" s="831" t="s">
        <v>11542</v>
      </c>
      <c r="AG29495" s="831" t="s">
        <v>2674</v>
      </c>
      <c r="AH29495" s="831" t="s">
        <v>576</v>
      </c>
      <c r="AI29495" s="831">
        <v>0</v>
      </c>
      <c r="AJ29495" s="835">
        <v>41820</v>
      </c>
      <c r="AK29495" s="831">
        <v>407269836.23014289</v>
      </c>
    </row>
    <row r="29496" spans="32:37">
      <c r="AF29496" s="831" t="s">
        <v>11543</v>
      </c>
      <c r="AG29496" s="831" t="s">
        <v>2674</v>
      </c>
      <c r="AH29496" s="831" t="s">
        <v>572</v>
      </c>
      <c r="AI29496" s="831">
        <v>0</v>
      </c>
      <c r="AJ29496" s="835">
        <v>41820</v>
      </c>
      <c r="AK29496" s="831">
        <v>32506327.956000008</v>
      </c>
    </row>
    <row r="29497" spans="32:37">
      <c r="AF29497" s="831" t="s">
        <v>11544</v>
      </c>
      <c r="AG29497" s="831" t="s">
        <v>2674</v>
      </c>
      <c r="AH29497" s="831" t="s">
        <v>577</v>
      </c>
      <c r="AI29497" s="831">
        <v>0</v>
      </c>
      <c r="AJ29497" s="835">
        <v>41820</v>
      </c>
      <c r="AK29497" s="831">
        <v>153933560.76300001</v>
      </c>
    </row>
    <row r="29498" spans="32:37">
      <c r="AF29498" s="831" t="s">
        <v>11545</v>
      </c>
      <c r="AG29498" s="831" t="s">
        <v>2674</v>
      </c>
      <c r="AH29498" s="831" t="s">
        <v>3042</v>
      </c>
      <c r="AI29498" s="831">
        <v>0</v>
      </c>
      <c r="AJ29498" s="835">
        <v>41820</v>
      </c>
      <c r="AK29498" s="831">
        <v>-43087678.527000003</v>
      </c>
    </row>
    <row r="29499" spans="32:37">
      <c r="AF29499" s="831" t="s">
        <v>11546</v>
      </c>
      <c r="AG29499" s="831" t="s">
        <v>2674</v>
      </c>
      <c r="AH29499" s="831" t="s">
        <v>3044</v>
      </c>
      <c r="AI29499" s="831">
        <v>0</v>
      </c>
      <c r="AJ29499" s="835">
        <v>41820</v>
      </c>
      <c r="AK29499" s="831">
        <v>-2538336.8899999997</v>
      </c>
    </row>
    <row r="29500" spans="32:37">
      <c r="AF29500" s="831" t="s">
        <v>11547</v>
      </c>
      <c r="AG29500" s="831" t="s">
        <v>2674</v>
      </c>
      <c r="AH29500" s="831" t="s">
        <v>580</v>
      </c>
      <c r="AI29500" s="831">
        <v>0</v>
      </c>
      <c r="AJ29500" s="835">
        <v>41820</v>
      </c>
      <c r="AK29500" s="831">
        <v>-71232950.306999996</v>
      </c>
    </row>
    <row r="29501" spans="32:37">
      <c r="AF29501" s="831" t="s">
        <v>11548</v>
      </c>
      <c r="AG29501" s="831" t="s">
        <v>2674</v>
      </c>
      <c r="AH29501" s="831" t="s">
        <v>581</v>
      </c>
      <c r="AI29501" s="831">
        <v>0</v>
      </c>
      <c r="AJ29501" s="835">
        <v>41820</v>
      </c>
      <c r="AK29501" s="831">
        <v>5389272.8940000003</v>
      </c>
    </row>
    <row r="29502" spans="32:37">
      <c r="AF29502" s="831" t="s">
        <v>11549</v>
      </c>
      <c r="AG29502" s="831" t="s">
        <v>2674</v>
      </c>
      <c r="AH29502" s="831" t="s">
        <v>105</v>
      </c>
      <c r="AI29502" s="831">
        <v>0</v>
      </c>
      <c r="AJ29502" s="835">
        <v>41820</v>
      </c>
      <c r="AK29502" s="831">
        <v>455536132</v>
      </c>
    </row>
    <row r="29503" spans="32:37">
      <c r="AF29503" s="831" t="s">
        <v>11550</v>
      </c>
      <c r="AG29503" s="831" t="s">
        <v>2674</v>
      </c>
      <c r="AH29503" s="831" t="s">
        <v>3049</v>
      </c>
      <c r="AI29503" s="831">
        <v>0</v>
      </c>
      <c r="AJ29503" s="835">
        <v>41820</v>
      </c>
      <c r="AK29503" s="831">
        <v>754458364</v>
      </c>
    </row>
    <row r="29504" spans="32:37">
      <c r="AF29504" s="831" t="s">
        <v>11551</v>
      </c>
      <c r="AG29504" s="831" t="s">
        <v>2674</v>
      </c>
      <c r="AH29504" s="831" t="s">
        <v>103</v>
      </c>
      <c r="AI29504" s="831">
        <v>0</v>
      </c>
      <c r="AJ29504" s="835">
        <v>41820</v>
      </c>
      <c r="AK29504" s="831">
        <v>298922232</v>
      </c>
    </row>
    <row r="29505" spans="32:37">
      <c r="AF29505" s="831" t="s">
        <v>11552</v>
      </c>
      <c r="AG29505" s="831" t="s">
        <v>2674</v>
      </c>
      <c r="AH29505" s="831" t="s">
        <v>182</v>
      </c>
      <c r="AI29505" s="831">
        <v>0</v>
      </c>
      <c r="AJ29505" s="835">
        <v>41820</v>
      </c>
      <c r="AK29505" s="831">
        <v>71693060</v>
      </c>
    </row>
    <row r="29506" spans="32:37">
      <c r="AF29506" s="831" t="s">
        <v>11553</v>
      </c>
      <c r="AG29506" s="831" t="s">
        <v>2674</v>
      </c>
      <c r="AH29506" s="831" t="s">
        <v>6600</v>
      </c>
      <c r="AI29506" s="831">
        <v>0</v>
      </c>
      <c r="AJ29506" s="835">
        <v>41820</v>
      </c>
      <c r="AK29506" s="831">
        <v>32506327.956000008</v>
      </c>
    </row>
    <row r="29507" spans="32:37">
      <c r="AF29507" s="831" t="s">
        <v>11554</v>
      </c>
      <c r="AG29507" s="831" t="s">
        <v>2674</v>
      </c>
      <c r="AH29507" s="831" t="s">
        <v>6602</v>
      </c>
      <c r="AI29507" s="831">
        <v>0</v>
      </c>
      <c r="AJ29507" s="835">
        <v>41820</v>
      </c>
      <c r="AK29507" s="831">
        <v>18626919</v>
      </c>
    </row>
    <row r="29508" spans="32:37">
      <c r="AF29508" s="831" t="s">
        <v>11555</v>
      </c>
      <c r="AG29508" s="831" t="s">
        <v>2674</v>
      </c>
      <c r="AH29508" s="831" t="s">
        <v>650</v>
      </c>
      <c r="AI29508" s="831">
        <v>0</v>
      </c>
      <c r="AJ29508" s="835">
        <v>41820</v>
      </c>
      <c r="AK29508" s="831">
        <v>250141744.03992307</v>
      </c>
    </row>
    <row r="29509" spans="32:37">
      <c r="AF29509" s="831" t="s">
        <v>11556</v>
      </c>
      <c r="AG29509" s="831" t="s">
        <v>2674</v>
      </c>
      <c r="AH29509" s="831" t="s">
        <v>655</v>
      </c>
      <c r="AI29509" s="831">
        <v>0</v>
      </c>
      <c r="AJ29509" s="835">
        <v>41820</v>
      </c>
      <c r="AK29509" s="831">
        <v>739333.81</v>
      </c>
    </row>
    <row r="29510" spans="32:37">
      <c r="AF29510" s="831" t="s">
        <v>11557</v>
      </c>
      <c r="AG29510" s="831" t="s">
        <v>2674</v>
      </c>
      <c r="AH29510" s="831" t="s">
        <v>546</v>
      </c>
      <c r="AI29510" s="831">
        <v>0</v>
      </c>
      <c r="AJ29510" s="835">
        <v>41851</v>
      </c>
      <c r="AK29510" s="831">
        <v>739176022</v>
      </c>
    </row>
    <row r="29511" spans="32:37">
      <c r="AF29511" s="831" t="s">
        <v>11558</v>
      </c>
      <c r="AG29511" s="831" t="s">
        <v>2674</v>
      </c>
      <c r="AH29511" s="831" t="s">
        <v>370</v>
      </c>
      <c r="AI29511" s="831">
        <v>0</v>
      </c>
      <c r="AJ29511" s="835">
        <v>41851</v>
      </c>
      <c r="AK29511" s="831">
        <v>937279545</v>
      </c>
    </row>
    <row r="29512" spans="32:37">
      <c r="AF29512" s="831" t="s">
        <v>11559</v>
      </c>
      <c r="AG29512" s="831" t="s">
        <v>2674</v>
      </c>
      <c r="AH29512" s="831" t="s">
        <v>126</v>
      </c>
      <c r="AI29512" s="831">
        <v>0</v>
      </c>
      <c r="AJ29512" s="835">
        <v>41851</v>
      </c>
      <c r="AK29512" s="831">
        <v>138005087</v>
      </c>
    </row>
    <row r="29513" spans="32:37">
      <c r="AF29513" s="831" t="s">
        <v>11560</v>
      </c>
      <c r="AG29513" s="831" t="s">
        <v>2674</v>
      </c>
      <c r="AH29513" s="831" t="s">
        <v>268</v>
      </c>
      <c r="AI29513" s="831">
        <v>0</v>
      </c>
      <c r="AJ29513" s="835">
        <v>41851</v>
      </c>
      <c r="AK29513" s="831">
        <v>22009267</v>
      </c>
    </row>
    <row r="29514" spans="32:37">
      <c r="AF29514" s="831" t="s">
        <v>11561</v>
      </c>
      <c r="AG29514" s="831" t="s">
        <v>2674</v>
      </c>
      <c r="AH29514" s="831" t="s">
        <v>547</v>
      </c>
      <c r="AI29514" s="831">
        <v>0</v>
      </c>
      <c r="AJ29514" s="835">
        <v>41851</v>
      </c>
      <c r="AK29514" s="831">
        <v>777719977</v>
      </c>
    </row>
    <row r="29515" spans="32:37">
      <c r="AF29515" s="831" t="s">
        <v>11562</v>
      </c>
      <c r="AG29515" s="831" t="s">
        <v>2674</v>
      </c>
      <c r="AH29515" s="831" t="s">
        <v>548</v>
      </c>
      <c r="AI29515" s="831">
        <v>0</v>
      </c>
      <c r="AJ29515" s="835">
        <v>41851</v>
      </c>
      <c r="AK29515" s="831">
        <v>117105496</v>
      </c>
    </row>
    <row r="29516" spans="32:37">
      <c r="AF29516" s="831" t="s">
        <v>11563</v>
      </c>
      <c r="AG29516" s="831" t="s">
        <v>2674</v>
      </c>
      <c r="AH29516" s="831" t="s">
        <v>549</v>
      </c>
      <c r="AI29516" s="831">
        <v>0</v>
      </c>
      <c r="AJ29516" s="835">
        <v>41851</v>
      </c>
      <c r="AK29516" s="831">
        <v>530405930</v>
      </c>
    </row>
    <row r="29517" spans="32:37">
      <c r="AF29517" s="831" t="s">
        <v>11564</v>
      </c>
      <c r="AG29517" s="831" t="s">
        <v>2674</v>
      </c>
      <c r="AH29517" s="831" t="s">
        <v>192</v>
      </c>
      <c r="AI29517" s="831">
        <v>0</v>
      </c>
      <c r="AJ29517" s="835">
        <v>41851</v>
      </c>
      <c r="AK29517" s="831">
        <v>-11408077</v>
      </c>
    </row>
    <row r="29518" spans="32:37">
      <c r="AF29518" s="831" t="s">
        <v>11565</v>
      </c>
      <c r="AG29518" s="831" t="s">
        <v>2674</v>
      </c>
      <c r="AH29518" s="831" t="s">
        <v>558</v>
      </c>
      <c r="AI29518" s="831">
        <v>0</v>
      </c>
      <c r="AJ29518" s="835">
        <v>41851</v>
      </c>
      <c r="AK29518" s="831">
        <v>799274458</v>
      </c>
    </row>
    <row r="29519" spans="32:37">
      <c r="AF29519" s="831" t="s">
        <v>11566</v>
      </c>
      <c r="AG29519" s="831" t="s">
        <v>2674</v>
      </c>
      <c r="AH29519" s="831" t="s">
        <v>65</v>
      </c>
      <c r="AI29519" s="831">
        <v>0</v>
      </c>
      <c r="AJ29519" s="835">
        <v>41851</v>
      </c>
      <c r="AK29519" s="831">
        <v>96150192</v>
      </c>
    </row>
    <row r="29520" spans="32:37">
      <c r="AF29520" s="831" t="s">
        <v>11567</v>
      </c>
      <c r="AG29520" s="831" t="s">
        <v>2674</v>
      </c>
      <c r="AH29520" s="831" t="s">
        <v>89</v>
      </c>
      <c r="AI29520" s="831">
        <v>0</v>
      </c>
      <c r="AJ29520" s="835">
        <v>41851</v>
      </c>
      <c r="AK29520" s="831">
        <v>157312</v>
      </c>
    </row>
    <row r="29521" spans="32:37">
      <c r="AF29521" s="831" t="s">
        <v>11568</v>
      </c>
      <c r="AG29521" s="831" t="s">
        <v>2674</v>
      </c>
      <c r="AH29521" s="831" t="s">
        <v>557</v>
      </c>
      <c r="AI29521" s="831">
        <v>0</v>
      </c>
      <c r="AJ29521" s="835">
        <v>41851</v>
      </c>
      <c r="AK29521" s="831">
        <v>177567</v>
      </c>
    </row>
    <row r="29522" spans="32:37">
      <c r="AF29522" s="831" t="s">
        <v>11569</v>
      </c>
      <c r="AG29522" s="831" t="s">
        <v>2674</v>
      </c>
      <c r="AH29522" s="831" t="s">
        <v>29</v>
      </c>
      <c r="AI29522" s="831">
        <v>0</v>
      </c>
      <c r="AJ29522" s="835">
        <v>41851</v>
      </c>
      <c r="AK29522" s="831">
        <v>1565767.49</v>
      </c>
    </row>
    <row r="29523" spans="32:37">
      <c r="AF29523" s="831" t="s">
        <v>11570</v>
      </c>
      <c r="AG29523" s="831" t="s">
        <v>2674</v>
      </c>
      <c r="AH29523" s="831" t="s">
        <v>2688</v>
      </c>
      <c r="AI29523" s="831">
        <v>0</v>
      </c>
      <c r="AJ29523" s="835">
        <v>41851</v>
      </c>
      <c r="AK29523" s="831">
        <v>4315667.13</v>
      </c>
    </row>
    <row r="29524" spans="32:37">
      <c r="AF29524" s="831" t="s">
        <v>11571</v>
      </c>
      <c r="AG29524" s="831" t="s">
        <v>2674</v>
      </c>
      <c r="AH29524" s="831" t="s">
        <v>556</v>
      </c>
      <c r="AI29524" s="831">
        <v>0</v>
      </c>
      <c r="AJ29524" s="835">
        <v>41851</v>
      </c>
      <c r="AK29524" s="831">
        <v>3260165</v>
      </c>
    </row>
    <row r="29525" spans="32:37">
      <c r="AF29525" s="831" t="s">
        <v>11572</v>
      </c>
      <c r="AG29525" s="831" t="s">
        <v>2674</v>
      </c>
      <c r="AH29525" s="831" t="s">
        <v>555</v>
      </c>
      <c r="AI29525" s="831">
        <v>0</v>
      </c>
      <c r="AJ29525" s="835">
        <v>41851</v>
      </c>
      <c r="AK29525" s="831">
        <v>527670450</v>
      </c>
    </row>
    <row r="29526" spans="32:37">
      <c r="AF29526" s="831" t="s">
        <v>11573</v>
      </c>
      <c r="AG29526" s="831" t="s">
        <v>2674</v>
      </c>
      <c r="AH29526" s="831" t="s">
        <v>554</v>
      </c>
      <c r="AI29526" s="831">
        <v>0</v>
      </c>
      <c r="AJ29526" s="835">
        <v>41851</v>
      </c>
      <c r="AK29526" s="831">
        <v>540050830</v>
      </c>
    </row>
    <row r="29527" spans="32:37">
      <c r="AF29527" s="831" t="s">
        <v>11574</v>
      </c>
      <c r="AG29527" s="831" t="s">
        <v>2674</v>
      </c>
      <c r="AH29527" s="831" t="s">
        <v>553</v>
      </c>
      <c r="AI29527" s="831">
        <v>0</v>
      </c>
      <c r="AJ29527" s="835">
        <v>41851</v>
      </c>
      <c r="AK29527" s="831">
        <v>0</v>
      </c>
    </row>
    <row r="29528" spans="32:37">
      <c r="AF29528" s="831" t="s">
        <v>11575</v>
      </c>
      <c r="AG29528" s="831" t="s">
        <v>2674</v>
      </c>
      <c r="AH29528" s="831" t="s">
        <v>552</v>
      </c>
      <c r="AI29528" s="831">
        <v>0</v>
      </c>
      <c r="AJ29528" s="835">
        <v>41851</v>
      </c>
      <c r="AK29528" s="831">
        <v>0</v>
      </c>
    </row>
    <row r="29529" spans="32:37">
      <c r="AF29529" s="831" t="s">
        <v>11576</v>
      </c>
      <c r="AG29529" s="831" t="s">
        <v>2674</v>
      </c>
      <c r="AH29529" s="831" t="s">
        <v>551</v>
      </c>
      <c r="AI29529" s="831">
        <v>0</v>
      </c>
      <c r="AJ29529" s="835">
        <v>41851</v>
      </c>
      <c r="AK29529" s="831">
        <v>1101547.72</v>
      </c>
    </row>
    <row r="29530" spans="32:37">
      <c r="AF29530" s="831" t="s">
        <v>11577</v>
      </c>
      <c r="AG29530" s="831" t="s">
        <v>2674</v>
      </c>
      <c r="AH29530" s="831" t="s">
        <v>550</v>
      </c>
      <c r="AI29530" s="831">
        <v>0</v>
      </c>
      <c r="AJ29530" s="835">
        <v>41851</v>
      </c>
      <c r="AK29530" s="831">
        <v>135362821</v>
      </c>
    </row>
    <row r="29531" spans="32:37">
      <c r="AF29531" s="831" t="s">
        <v>11578</v>
      </c>
      <c r="AG29531" s="831" t="s">
        <v>2674</v>
      </c>
      <c r="AH29531" s="831" t="s">
        <v>562</v>
      </c>
      <c r="AI29531" s="831">
        <v>0</v>
      </c>
      <c r="AJ29531" s="835">
        <v>41851</v>
      </c>
      <c r="AK29531" s="831">
        <v>0.78364999999999996</v>
      </c>
    </row>
    <row r="29532" spans="32:37">
      <c r="AF29532" s="831" t="s">
        <v>11579</v>
      </c>
      <c r="AG29532" s="831" t="s">
        <v>2674</v>
      </c>
      <c r="AH29532" s="831" t="s">
        <v>2698</v>
      </c>
      <c r="AI29532" s="831">
        <v>0</v>
      </c>
      <c r="AJ29532" s="835">
        <v>41851</v>
      </c>
      <c r="AK29532" s="831">
        <v>0.78374999999999995</v>
      </c>
    </row>
    <row r="29533" spans="32:37">
      <c r="AF29533" s="831" t="s">
        <v>11580</v>
      </c>
      <c r="AG29533" s="831" t="s">
        <v>2674</v>
      </c>
      <c r="AH29533" s="831" t="s">
        <v>560</v>
      </c>
      <c r="AI29533" s="831">
        <v>0</v>
      </c>
      <c r="AJ29533" s="835">
        <v>41851</v>
      </c>
      <c r="AK29533" s="831">
        <v>0.78374999999999984</v>
      </c>
    </row>
    <row r="29534" spans="32:37">
      <c r="AF29534" s="831" t="s">
        <v>11581</v>
      </c>
      <c r="AG29534" s="831" t="s">
        <v>2674</v>
      </c>
      <c r="AH29534" s="831" t="s">
        <v>559</v>
      </c>
      <c r="AI29534" s="831">
        <v>0</v>
      </c>
      <c r="AJ29534" s="835">
        <v>41851</v>
      </c>
      <c r="AK29534" s="831">
        <v>0.78376666666666661</v>
      </c>
    </row>
    <row r="29535" spans="32:37">
      <c r="AF29535" s="831" t="s">
        <v>11582</v>
      </c>
      <c r="AG29535" s="831" t="s">
        <v>2674</v>
      </c>
      <c r="AH29535" s="831" t="s">
        <v>568</v>
      </c>
      <c r="AI29535" s="831">
        <v>0</v>
      </c>
      <c r="AJ29535" s="835">
        <v>41851</v>
      </c>
      <c r="AK29535" s="831">
        <v>637151141.61153841</v>
      </c>
    </row>
    <row r="29536" spans="32:37">
      <c r="AF29536" s="831" t="s">
        <v>11583</v>
      </c>
      <c r="AG29536" s="831" t="s">
        <v>2674</v>
      </c>
      <c r="AH29536" s="831" t="s">
        <v>569</v>
      </c>
      <c r="AI29536" s="831">
        <v>0</v>
      </c>
      <c r="AJ29536" s="835">
        <v>41851</v>
      </c>
      <c r="AK29536" s="831">
        <v>786284543.74253845</v>
      </c>
    </row>
    <row r="29537" spans="32:37">
      <c r="AF29537" s="831" t="s">
        <v>11584</v>
      </c>
      <c r="AG29537" s="831" t="s">
        <v>2674</v>
      </c>
      <c r="AH29537" s="831" t="s">
        <v>570</v>
      </c>
      <c r="AI29537" s="831">
        <v>0</v>
      </c>
      <c r="AJ29537" s="835">
        <v>41851</v>
      </c>
      <c r="AK29537" s="831">
        <v>122542079.44353844</v>
      </c>
    </row>
    <row r="29538" spans="32:37">
      <c r="AF29538" s="831" t="s">
        <v>11585</v>
      </c>
      <c r="AG29538" s="831" t="s">
        <v>2674</v>
      </c>
      <c r="AH29538" s="831" t="s">
        <v>571</v>
      </c>
      <c r="AI29538" s="831">
        <v>0</v>
      </c>
      <c r="AJ29538" s="835">
        <v>41851</v>
      </c>
      <c r="AK29538" s="831">
        <v>385003742.66715389</v>
      </c>
    </row>
    <row r="29539" spans="32:37">
      <c r="AF29539" s="831" t="s">
        <v>11586</v>
      </c>
      <c r="AG29539" s="831" t="s">
        <v>2674</v>
      </c>
      <c r="AH29539" s="831" t="s">
        <v>573</v>
      </c>
      <c r="AI29539" s="831">
        <v>0</v>
      </c>
      <c r="AJ29539" s="835">
        <v>41851</v>
      </c>
      <c r="AK29539" s="831">
        <v>843150331.57037497</v>
      </c>
    </row>
    <row r="29540" spans="32:37">
      <c r="AF29540" s="831" t="s">
        <v>11587</v>
      </c>
      <c r="AG29540" s="831" t="s">
        <v>2674</v>
      </c>
      <c r="AH29540" s="831" t="s">
        <v>574</v>
      </c>
      <c r="AI29540" s="831">
        <v>0</v>
      </c>
      <c r="AJ29540" s="835">
        <v>41851</v>
      </c>
      <c r="AK29540" s="831">
        <v>682697233.875</v>
      </c>
    </row>
    <row r="29541" spans="32:37">
      <c r="AF29541" s="831" t="s">
        <v>11588</v>
      </c>
      <c r="AG29541" s="831" t="s">
        <v>2674</v>
      </c>
      <c r="AH29541" s="831" t="s">
        <v>575</v>
      </c>
      <c r="AI29541" s="831">
        <v>0</v>
      </c>
      <c r="AJ29541" s="835">
        <v>41851</v>
      </c>
      <c r="AK29541" s="831">
        <v>125963135.86375</v>
      </c>
    </row>
    <row r="29542" spans="32:37">
      <c r="AF29542" s="831" t="s">
        <v>11589</v>
      </c>
      <c r="AG29542" s="831" t="s">
        <v>2674</v>
      </c>
      <c r="AH29542" s="831" t="s">
        <v>576</v>
      </c>
      <c r="AI29542" s="831">
        <v>0</v>
      </c>
      <c r="AJ29542" s="835">
        <v>41851</v>
      </c>
      <c r="AK29542" s="831">
        <v>415372081.57637501</v>
      </c>
    </row>
    <row r="29543" spans="32:37">
      <c r="AF29543" s="831" t="s">
        <v>11590</v>
      </c>
      <c r="AG29543" s="831" t="s">
        <v>2674</v>
      </c>
      <c r="AH29543" s="831" t="s">
        <v>572</v>
      </c>
      <c r="AI29543" s="831">
        <v>0</v>
      </c>
      <c r="AJ29543" s="835">
        <v>41851</v>
      </c>
      <c r="AK29543" s="831">
        <v>33061468.956000008</v>
      </c>
    </row>
    <row r="29544" spans="32:37">
      <c r="AF29544" s="831" t="s">
        <v>11591</v>
      </c>
      <c r="AG29544" s="831" t="s">
        <v>2674</v>
      </c>
      <c r="AH29544" s="831" t="s">
        <v>577</v>
      </c>
      <c r="AI29544" s="831">
        <v>0</v>
      </c>
      <c r="AJ29544" s="835">
        <v>41851</v>
      </c>
      <c r="AK29544" s="831">
        <v>157027827.76300001</v>
      </c>
    </row>
    <row r="29545" spans="32:37">
      <c r="AF29545" s="831" t="s">
        <v>11592</v>
      </c>
      <c r="AG29545" s="831" t="s">
        <v>2674</v>
      </c>
      <c r="AH29545" s="831" t="s">
        <v>3042</v>
      </c>
      <c r="AI29545" s="831">
        <v>0</v>
      </c>
      <c r="AJ29545" s="835">
        <v>41851</v>
      </c>
      <c r="AK29545" s="831">
        <v>-44607617.527000003</v>
      </c>
    </row>
    <row r="29546" spans="32:37">
      <c r="AF29546" s="831" t="s">
        <v>11593</v>
      </c>
      <c r="AG29546" s="831" t="s">
        <v>2674</v>
      </c>
      <c r="AH29546" s="831" t="s">
        <v>3044</v>
      </c>
      <c r="AI29546" s="831">
        <v>0</v>
      </c>
      <c r="AJ29546" s="835">
        <v>41851</v>
      </c>
      <c r="AK29546" s="831">
        <v>-2462838.8899999997</v>
      </c>
    </row>
    <row r="29547" spans="32:37">
      <c r="AF29547" s="831" t="s">
        <v>11594</v>
      </c>
      <c r="AG29547" s="831" t="s">
        <v>2674</v>
      </c>
      <c r="AH29547" s="831" t="s">
        <v>580</v>
      </c>
      <c r="AI29547" s="831">
        <v>0</v>
      </c>
      <c r="AJ29547" s="835">
        <v>41851</v>
      </c>
      <c r="AK29547" s="831">
        <v>-72554848.306999996</v>
      </c>
    </row>
    <row r="29548" spans="32:37">
      <c r="AF29548" s="831" t="s">
        <v>11595</v>
      </c>
      <c r="AG29548" s="831" t="s">
        <v>2674</v>
      </c>
      <c r="AH29548" s="831" t="s">
        <v>581</v>
      </c>
      <c r="AI29548" s="831">
        <v>0</v>
      </c>
      <c r="AJ29548" s="835">
        <v>41851</v>
      </c>
      <c r="AK29548" s="831">
        <v>6023686.8940000003</v>
      </c>
    </row>
    <row r="29549" spans="32:37">
      <c r="AF29549" s="831" t="s">
        <v>11596</v>
      </c>
      <c r="AG29549" s="831" t="s">
        <v>2674</v>
      </c>
      <c r="AH29549" s="831" t="s">
        <v>105</v>
      </c>
      <c r="AI29549" s="831">
        <v>0</v>
      </c>
      <c r="AJ29549" s="835">
        <v>41851</v>
      </c>
      <c r="AK29549" s="831">
        <v>472087799</v>
      </c>
    </row>
    <row r="29550" spans="32:37">
      <c r="AF29550" s="831" t="s">
        <v>11597</v>
      </c>
      <c r="AG29550" s="831" t="s">
        <v>2674</v>
      </c>
      <c r="AH29550" s="831" t="s">
        <v>3049</v>
      </c>
      <c r="AI29550" s="831">
        <v>0</v>
      </c>
      <c r="AJ29550" s="835">
        <v>41851</v>
      </c>
      <c r="AK29550" s="831">
        <v>778154132</v>
      </c>
    </row>
    <row r="29551" spans="32:37">
      <c r="AF29551" s="831" t="s">
        <v>11598</v>
      </c>
      <c r="AG29551" s="831" t="s">
        <v>2674</v>
      </c>
      <c r="AH29551" s="831" t="s">
        <v>103</v>
      </c>
      <c r="AI29551" s="831">
        <v>0</v>
      </c>
      <c r="AJ29551" s="835">
        <v>41851</v>
      </c>
      <c r="AK29551" s="831">
        <v>306066333</v>
      </c>
    </row>
    <row r="29552" spans="32:37">
      <c r="AF29552" s="831" t="s">
        <v>11599</v>
      </c>
      <c r="AG29552" s="831" t="s">
        <v>2674</v>
      </c>
      <c r="AH29552" s="831" t="s">
        <v>182</v>
      </c>
      <c r="AI29552" s="831">
        <v>0</v>
      </c>
      <c r="AJ29552" s="835">
        <v>41851</v>
      </c>
      <c r="AK29552" s="831">
        <v>72589813.714285716</v>
      </c>
    </row>
    <row r="29553" spans="32:37">
      <c r="AF29553" s="831" t="s">
        <v>11600</v>
      </c>
      <c r="AG29553" s="831" t="s">
        <v>2674</v>
      </c>
      <c r="AH29553" s="831" t="s">
        <v>6600</v>
      </c>
      <c r="AI29553" s="831">
        <v>0</v>
      </c>
      <c r="AJ29553" s="835">
        <v>41851</v>
      </c>
      <c r="AK29553" s="831">
        <v>33061468.956000008</v>
      </c>
    </row>
    <row r="29554" spans="32:37">
      <c r="AF29554" s="831" t="s">
        <v>11601</v>
      </c>
      <c r="AG29554" s="831" t="s">
        <v>2674</v>
      </c>
      <c r="AH29554" s="831" t="s">
        <v>6602</v>
      </c>
      <c r="AI29554" s="831">
        <v>0</v>
      </c>
      <c r="AJ29554" s="835">
        <v>41851</v>
      </c>
      <c r="AK29554" s="831">
        <v>22009267</v>
      </c>
    </row>
    <row r="29555" spans="32:37">
      <c r="AF29555" s="831" t="s">
        <v>11602</v>
      </c>
      <c r="AG29555" s="831" t="s">
        <v>2674</v>
      </c>
      <c r="AH29555" s="831" t="s">
        <v>650</v>
      </c>
      <c r="AI29555" s="831">
        <v>0</v>
      </c>
      <c r="AJ29555" s="835">
        <v>41851</v>
      </c>
      <c r="AK29555" s="831">
        <v>258051740.34761539</v>
      </c>
    </row>
    <row r="29556" spans="32:37">
      <c r="AF29556" s="831" t="s">
        <v>11603</v>
      </c>
      <c r="AG29556" s="831" t="s">
        <v>2674</v>
      </c>
      <c r="AH29556" s="831" t="s">
        <v>655</v>
      </c>
      <c r="AI29556" s="831">
        <v>0</v>
      </c>
      <c r="AJ29556" s="835">
        <v>41851</v>
      </c>
      <c r="AK29556" s="831">
        <v>953974.79</v>
      </c>
    </row>
    <row r="29557" spans="32:37">
      <c r="AF29557" s="831" t="s">
        <v>11604</v>
      </c>
      <c r="AG29557" s="831" t="s">
        <v>2674</v>
      </c>
      <c r="AH29557" s="831" t="s">
        <v>546</v>
      </c>
      <c r="AI29557" s="831">
        <v>0</v>
      </c>
      <c r="AJ29557" s="835">
        <v>41882</v>
      </c>
      <c r="AK29557" s="831">
        <v>752496052</v>
      </c>
    </row>
    <row r="29558" spans="32:37">
      <c r="AF29558" s="831" t="s">
        <v>11605</v>
      </c>
      <c r="AG29558" s="831" t="s">
        <v>2674</v>
      </c>
      <c r="AH29558" s="831" t="s">
        <v>370</v>
      </c>
      <c r="AI29558" s="831">
        <v>0</v>
      </c>
      <c r="AJ29558" s="835">
        <v>41882</v>
      </c>
      <c r="AK29558" s="831">
        <v>955327873</v>
      </c>
    </row>
    <row r="29559" spans="32:37">
      <c r="AF29559" s="831" t="s">
        <v>11606</v>
      </c>
      <c r="AG29559" s="831" t="s">
        <v>2674</v>
      </c>
      <c r="AH29559" s="831" t="s">
        <v>126</v>
      </c>
      <c r="AI29559" s="831">
        <v>0</v>
      </c>
      <c r="AJ29559" s="835">
        <v>41882</v>
      </c>
      <c r="AK29559" s="831">
        <v>141824046.03</v>
      </c>
    </row>
    <row r="29560" spans="32:37">
      <c r="AF29560" s="831" t="s">
        <v>11607</v>
      </c>
      <c r="AG29560" s="831" t="s">
        <v>2674</v>
      </c>
      <c r="AH29560" s="831" t="s">
        <v>268</v>
      </c>
      <c r="AI29560" s="831">
        <v>0</v>
      </c>
      <c r="AJ29560" s="835">
        <v>41882</v>
      </c>
      <c r="AK29560" s="831">
        <v>25500774.76800001</v>
      </c>
    </row>
    <row r="29561" spans="32:37">
      <c r="AF29561" s="831" t="s">
        <v>11608</v>
      </c>
      <c r="AG29561" s="831" t="s">
        <v>2674</v>
      </c>
      <c r="AH29561" s="831" t="s">
        <v>547</v>
      </c>
      <c r="AI29561" s="831">
        <v>0</v>
      </c>
      <c r="AJ29561" s="835">
        <v>41882</v>
      </c>
      <c r="AK29561" s="831">
        <v>777719977</v>
      </c>
    </row>
    <row r="29562" spans="32:37">
      <c r="AF29562" s="831" t="s">
        <v>11609</v>
      </c>
      <c r="AG29562" s="831" t="s">
        <v>2674</v>
      </c>
      <c r="AH29562" s="831" t="s">
        <v>548</v>
      </c>
      <c r="AI29562" s="831">
        <v>0</v>
      </c>
      <c r="AJ29562" s="835">
        <v>41882</v>
      </c>
      <c r="AK29562" s="831">
        <v>117105496</v>
      </c>
    </row>
    <row r="29563" spans="32:37">
      <c r="AF29563" s="831" t="s">
        <v>11610</v>
      </c>
      <c r="AG29563" s="831" t="s">
        <v>2674</v>
      </c>
      <c r="AH29563" s="831" t="s">
        <v>549</v>
      </c>
      <c r="AI29563" s="831">
        <v>0</v>
      </c>
      <c r="AJ29563" s="835">
        <v>41882</v>
      </c>
      <c r="AK29563" s="831">
        <v>548671343</v>
      </c>
    </row>
    <row r="29564" spans="32:37">
      <c r="AF29564" s="831" t="s">
        <v>11611</v>
      </c>
      <c r="AG29564" s="831" t="s">
        <v>2674</v>
      </c>
      <c r="AH29564" s="831" t="s">
        <v>192</v>
      </c>
      <c r="AI29564" s="831">
        <v>0</v>
      </c>
      <c r="AJ29564" s="835">
        <v>41882</v>
      </c>
      <c r="AK29564" s="831">
        <v>-11209860</v>
      </c>
    </row>
    <row r="29565" spans="32:37">
      <c r="AF29565" s="831" t="s">
        <v>11612</v>
      </c>
      <c r="AG29565" s="831" t="s">
        <v>2674</v>
      </c>
      <c r="AH29565" s="831" t="s">
        <v>558</v>
      </c>
      <c r="AI29565" s="831">
        <v>0</v>
      </c>
      <c r="AJ29565" s="835">
        <v>41882</v>
      </c>
      <c r="AK29565" s="831">
        <v>813503827.41700006</v>
      </c>
    </row>
    <row r="29566" spans="32:37">
      <c r="AF29566" s="831" t="s">
        <v>11613</v>
      </c>
      <c r="AG29566" s="831" t="s">
        <v>2674</v>
      </c>
      <c r="AH29566" s="831" t="s">
        <v>65</v>
      </c>
      <c r="AI29566" s="831">
        <v>0</v>
      </c>
      <c r="AJ29566" s="835">
        <v>41882</v>
      </c>
      <c r="AK29566" s="831">
        <v>110886310.662</v>
      </c>
    </row>
    <row r="29567" spans="32:37">
      <c r="AF29567" s="831" t="s">
        <v>11614</v>
      </c>
      <c r="AG29567" s="831" t="s">
        <v>2674</v>
      </c>
      <c r="AH29567" s="831" t="s">
        <v>89</v>
      </c>
      <c r="AI29567" s="831">
        <v>0</v>
      </c>
      <c r="AJ29567" s="835">
        <v>41882</v>
      </c>
      <c r="AK29567" s="831">
        <v>158540</v>
      </c>
    </row>
    <row r="29568" spans="32:37">
      <c r="AF29568" s="831" t="s">
        <v>11615</v>
      </c>
      <c r="AG29568" s="831" t="s">
        <v>2674</v>
      </c>
      <c r="AH29568" s="831" t="s">
        <v>557</v>
      </c>
      <c r="AI29568" s="831">
        <v>0</v>
      </c>
      <c r="AJ29568" s="835">
        <v>41882</v>
      </c>
      <c r="AK29568" s="831">
        <v>176987</v>
      </c>
    </row>
    <row r="29569" spans="32:37">
      <c r="AF29569" s="831" t="s">
        <v>11616</v>
      </c>
      <c r="AG29569" s="831" t="s">
        <v>2674</v>
      </c>
      <c r="AH29569" s="831" t="s">
        <v>29</v>
      </c>
      <c r="AI29569" s="831">
        <v>0</v>
      </c>
      <c r="AJ29569" s="835">
        <v>41882</v>
      </c>
      <c r="AK29569" s="831">
        <v>1746361.094</v>
      </c>
    </row>
    <row r="29570" spans="32:37">
      <c r="AF29570" s="831" t="s">
        <v>11617</v>
      </c>
      <c r="AG29570" s="831" t="s">
        <v>2674</v>
      </c>
      <c r="AH29570" s="831" t="s">
        <v>2688</v>
      </c>
      <c r="AI29570" s="831">
        <v>0</v>
      </c>
      <c r="AJ29570" s="835">
        <v>41882</v>
      </c>
      <c r="AK29570" s="831">
        <v>4781420.7300000004</v>
      </c>
    </row>
    <row r="29571" spans="32:37">
      <c r="AF29571" s="831" t="s">
        <v>11618</v>
      </c>
      <c r="AG29571" s="831" t="s">
        <v>2674</v>
      </c>
      <c r="AH29571" s="831" t="s">
        <v>556</v>
      </c>
      <c r="AI29571" s="831">
        <v>0</v>
      </c>
      <c r="AJ29571" s="835">
        <v>41882</v>
      </c>
      <c r="AK29571" s="831">
        <v>4890559</v>
      </c>
    </row>
    <row r="29572" spans="32:37">
      <c r="AF29572" s="831" t="s">
        <v>11619</v>
      </c>
      <c r="AG29572" s="831" t="s">
        <v>2674</v>
      </c>
      <c r="AH29572" s="831" t="s">
        <v>555</v>
      </c>
      <c r="AI29572" s="831">
        <v>0</v>
      </c>
      <c r="AJ29572" s="835">
        <v>41882</v>
      </c>
      <c r="AK29572" s="831">
        <v>533401131</v>
      </c>
    </row>
    <row r="29573" spans="32:37">
      <c r="AF29573" s="831" t="s">
        <v>11620</v>
      </c>
      <c r="AG29573" s="831" t="s">
        <v>2674</v>
      </c>
      <c r="AH29573" s="831" t="s">
        <v>554</v>
      </c>
      <c r="AI29573" s="831">
        <v>0</v>
      </c>
      <c r="AJ29573" s="835">
        <v>41882</v>
      </c>
      <c r="AK29573" s="831">
        <v>543423580</v>
      </c>
    </row>
    <row r="29574" spans="32:37">
      <c r="AF29574" s="831" t="s">
        <v>11621</v>
      </c>
      <c r="AG29574" s="831" t="s">
        <v>2674</v>
      </c>
      <c r="AH29574" s="831" t="s">
        <v>553</v>
      </c>
      <c r="AI29574" s="831">
        <v>0</v>
      </c>
      <c r="AJ29574" s="835">
        <v>41882</v>
      </c>
      <c r="AK29574" s="831">
        <v>0</v>
      </c>
    </row>
    <row r="29575" spans="32:37">
      <c r="AF29575" s="831" t="s">
        <v>11622</v>
      </c>
      <c r="AG29575" s="831" t="s">
        <v>2674</v>
      </c>
      <c r="AH29575" s="831" t="s">
        <v>552</v>
      </c>
      <c r="AI29575" s="831">
        <v>0</v>
      </c>
      <c r="AJ29575" s="835">
        <v>41882</v>
      </c>
      <c r="AK29575" s="831">
        <v>0</v>
      </c>
    </row>
    <row r="29576" spans="32:37">
      <c r="AF29576" s="831" t="s">
        <v>11623</v>
      </c>
      <c r="AG29576" s="831" t="s">
        <v>2674</v>
      </c>
      <c r="AH29576" s="831" t="s">
        <v>551</v>
      </c>
      <c r="AI29576" s="831">
        <v>0</v>
      </c>
      <c r="AJ29576" s="835">
        <v>41882</v>
      </c>
      <c r="AK29576" s="831">
        <v>1392541.4989999998</v>
      </c>
    </row>
    <row r="29577" spans="32:37">
      <c r="AF29577" s="831" t="s">
        <v>11624</v>
      </c>
      <c r="AG29577" s="831" t="s">
        <v>2674</v>
      </c>
      <c r="AH29577" s="831" t="s">
        <v>550</v>
      </c>
      <c r="AI29577" s="831">
        <v>0</v>
      </c>
      <c r="AJ29577" s="835">
        <v>41882</v>
      </c>
      <c r="AK29577" s="831">
        <v>138005087</v>
      </c>
    </row>
    <row r="29578" spans="32:37">
      <c r="AF29578" s="831" t="s">
        <v>11625</v>
      </c>
      <c r="AG29578" s="831" t="s">
        <v>2674</v>
      </c>
      <c r="AH29578" s="831" t="s">
        <v>562</v>
      </c>
      <c r="AI29578" s="831">
        <v>0</v>
      </c>
      <c r="AJ29578" s="835">
        <v>41882</v>
      </c>
      <c r="AK29578" s="831">
        <v>0.7833</v>
      </c>
    </row>
    <row r="29579" spans="32:37">
      <c r="AF29579" s="831" t="s">
        <v>11626</v>
      </c>
      <c r="AG29579" s="831" t="s">
        <v>2674</v>
      </c>
      <c r="AH29579" s="831" t="s">
        <v>2698</v>
      </c>
      <c r="AI29579" s="831">
        <v>0</v>
      </c>
      <c r="AJ29579" s="835">
        <v>41882</v>
      </c>
      <c r="AK29579" s="831">
        <v>0.78364999999999996</v>
      </c>
    </row>
    <row r="29580" spans="32:37">
      <c r="AF29580" s="831" t="s">
        <v>11627</v>
      </c>
      <c r="AG29580" s="831" t="s">
        <v>2674</v>
      </c>
      <c r="AH29580" s="831" t="s">
        <v>560</v>
      </c>
      <c r="AI29580" s="831">
        <v>0</v>
      </c>
      <c r="AJ29580" s="835">
        <v>41882</v>
      </c>
      <c r="AK29580" s="831">
        <v>0.78369374999999997</v>
      </c>
    </row>
    <row r="29581" spans="32:37">
      <c r="AF29581" s="831" t="s">
        <v>11628</v>
      </c>
      <c r="AG29581" s="831" t="s">
        <v>2674</v>
      </c>
      <c r="AH29581" s="831" t="s">
        <v>559</v>
      </c>
      <c r="AI29581" s="831">
        <v>0</v>
      </c>
      <c r="AJ29581" s="835">
        <v>41882</v>
      </c>
      <c r="AK29581" s="831">
        <v>0.78372083333333331</v>
      </c>
    </row>
    <row r="29582" spans="32:37">
      <c r="AF29582" s="831" t="s">
        <v>11629</v>
      </c>
      <c r="AG29582" s="831" t="s">
        <v>2674</v>
      </c>
      <c r="AH29582" s="831" t="s">
        <v>568</v>
      </c>
      <c r="AI29582" s="831">
        <v>0</v>
      </c>
      <c r="AJ29582" s="835">
        <v>41882</v>
      </c>
      <c r="AK29582" s="831">
        <v>654234997.14999998</v>
      </c>
    </row>
    <row r="29583" spans="32:37">
      <c r="AF29583" s="831" t="s">
        <v>11630</v>
      </c>
      <c r="AG29583" s="831" t="s">
        <v>2674</v>
      </c>
      <c r="AH29583" s="831" t="s">
        <v>569</v>
      </c>
      <c r="AI29583" s="831">
        <v>0</v>
      </c>
      <c r="AJ29583" s="835">
        <v>41882</v>
      </c>
      <c r="AK29583" s="831">
        <v>809130662.58869231</v>
      </c>
    </row>
    <row r="29584" spans="32:37">
      <c r="AF29584" s="831" t="s">
        <v>11631</v>
      </c>
      <c r="AG29584" s="831" t="s">
        <v>2674</v>
      </c>
      <c r="AH29584" s="831" t="s">
        <v>570</v>
      </c>
      <c r="AI29584" s="831">
        <v>0</v>
      </c>
      <c r="AJ29584" s="835">
        <v>41882</v>
      </c>
      <c r="AK29584" s="831">
        <v>124921808.98430769</v>
      </c>
    </row>
    <row r="29585" spans="32:37">
      <c r="AF29585" s="831" t="s">
        <v>11632</v>
      </c>
      <c r="AG29585" s="831" t="s">
        <v>2674</v>
      </c>
      <c r="AH29585" s="831" t="s">
        <v>571</v>
      </c>
      <c r="AI29585" s="831">
        <v>0</v>
      </c>
      <c r="AJ29585" s="835">
        <v>41882</v>
      </c>
      <c r="AK29585" s="831">
        <v>397063607.00692308</v>
      </c>
    </row>
    <row r="29586" spans="32:37">
      <c r="AF29586" s="831" t="s">
        <v>11633</v>
      </c>
      <c r="AG29586" s="831" t="s">
        <v>2674</v>
      </c>
      <c r="AH29586" s="831" t="s">
        <v>573</v>
      </c>
      <c r="AI29586" s="831">
        <v>0</v>
      </c>
      <c r="AJ29586" s="835">
        <v>41882</v>
      </c>
      <c r="AK29586" s="831">
        <v>855614502.84033334</v>
      </c>
    </row>
    <row r="29587" spans="32:37">
      <c r="AF29587" s="831" t="s">
        <v>11634</v>
      </c>
      <c r="AG29587" s="831" t="s">
        <v>2674</v>
      </c>
      <c r="AH29587" s="831" t="s">
        <v>574</v>
      </c>
      <c r="AI29587" s="831">
        <v>0</v>
      </c>
      <c r="AJ29587" s="835">
        <v>41882</v>
      </c>
      <c r="AK29587" s="831">
        <v>690452658.11111116</v>
      </c>
    </row>
    <row r="29588" spans="32:37">
      <c r="AF29588" s="831" t="s">
        <v>11635</v>
      </c>
      <c r="AG29588" s="831" t="s">
        <v>2674</v>
      </c>
      <c r="AH29588" s="831" t="s">
        <v>575</v>
      </c>
      <c r="AI29588" s="831">
        <v>0</v>
      </c>
      <c r="AJ29588" s="835">
        <v>41882</v>
      </c>
      <c r="AK29588" s="831">
        <v>127725459.21555556</v>
      </c>
    </row>
    <row r="29589" spans="32:37">
      <c r="AF29589" s="831" t="s">
        <v>11636</v>
      </c>
      <c r="AG29589" s="831" t="s">
        <v>2674</v>
      </c>
      <c r="AH29589" s="831" t="s">
        <v>576</v>
      </c>
      <c r="AI29589" s="831">
        <v>0</v>
      </c>
      <c r="AJ29589" s="835">
        <v>41882</v>
      </c>
      <c r="AK29589" s="831">
        <v>422408457.33644444</v>
      </c>
    </row>
    <row r="29590" spans="32:37">
      <c r="AF29590" s="831" t="s">
        <v>11637</v>
      </c>
      <c r="AG29590" s="831" t="s">
        <v>2674</v>
      </c>
      <c r="AH29590" s="831" t="s">
        <v>572</v>
      </c>
      <c r="AI29590" s="831">
        <v>0</v>
      </c>
      <c r="AJ29590" s="835">
        <v>41882</v>
      </c>
      <c r="AK29590" s="831">
        <v>33565597.724000007</v>
      </c>
    </row>
    <row r="29591" spans="32:37">
      <c r="AF29591" s="831" t="s">
        <v>11638</v>
      </c>
      <c r="AG29591" s="831" t="s">
        <v>2674</v>
      </c>
      <c r="AH29591" s="831" t="s">
        <v>577</v>
      </c>
      <c r="AI29591" s="831">
        <v>0</v>
      </c>
      <c r="AJ29591" s="835">
        <v>41882</v>
      </c>
      <c r="AK29591" s="831">
        <v>160354648.42500001</v>
      </c>
    </row>
    <row r="29592" spans="32:37">
      <c r="AF29592" s="831" t="s">
        <v>11639</v>
      </c>
      <c r="AG29592" s="831" t="s">
        <v>2674</v>
      </c>
      <c r="AH29592" s="831" t="s">
        <v>3042</v>
      </c>
      <c r="AI29592" s="831">
        <v>0</v>
      </c>
      <c r="AJ29592" s="835">
        <v>41882</v>
      </c>
      <c r="AK29592" s="831">
        <v>-46384889.891000003</v>
      </c>
    </row>
    <row r="29593" spans="32:37">
      <c r="AF29593" s="831" t="s">
        <v>11640</v>
      </c>
      <c r="AG29593" s="831" t="s">
        <v>2674</v>
      </c>
      <c r="AH29593" s="831" t="s">
        <v>3044</v>
      </c>
      <c r="AI29593" s="831">
        <v>0</v>
      </c>
      <c r="AJ29593" s="835">
        <v>41882</v>
      </c>
      <c r="AK29593" s="831">
        <v>-2154547.3159999996</v>
      </c>
    </row>
    <row r="29594" spans="32:37">
      <c r="AF29594" s="831" t="s">
        <v>11641</v>
      </c>
      <c r="AG29594" s="831" t="s">
        <v>2674</v>
      </c>
      <c r="AH29594" s="831" t="s">
        <v>580</v>
      </c>
      <c r="AI29594" s="831">
        <v>0</v>
      </c>
      <c r="AJ29594" s="835">
        <v>41882</v>
      </c>
      <c r="AK29594" s="831">
        <v>-74112712.891000003</v>
      </c>
    </row>
    <row r="29595" spans="32:37">
      <c r="AF29595" s="831" t="s">
        <v>11642</v>
      </c>
      <c r="AG29595" s="831" t="s">
        <v>2674</v>
      </c>
      <c r="AH29595" s="831" t="s">
        <v>581</v>
      </c>
      <c r="AI29595" s="831">
        <v>0</v>
      </c>
      <c r="AJ29595" s="835">
        <v>41882</v>
      </c>
      <c r="AK29595" s="831">
        <v>6514589.0720000006</v>
      </c>
    </row>
    <row r="29596" spans="32:37">
      <c r="AF29596" s="831" t="s">
        <v>11643</v>
      </c>
      <c r="AG29596" s="831" t="s">
        <v>2674</v>
      </c>
      <c r="AH29596" s="831" t="s">
        <v>105</v>
      </c>
      <c r="AI29596" s="831">
        <v>0</v>
      </c>
      <c r="AJ29596" s="835">
        <v>41882</v>
      </c>
      <c r="AK29596" s="831">
        <v>478699463.41700006</v>
      </c>
    </row>
    <row r="29597" spans="32:37">
      <c r="AF29597" s="831" t="s">
        <v>11644</v>
      </c>
      <c r="AG29597" s="831" t="s">
        <v>2674</v>
      </c>
      <c r="AH29597" s="831" t="s">
        <v>3049</v>
      </c>
      <c r="AI29597" s="831">
        <v>0</v>
      </c>
      <c r="AJ29597" s="835">
        <v>41882</v>
      </c>
      <c r="AK29597" s="831">
        <v>787453668.41700006</v>
      </c>
    </row>
    <row r="29598" spans="32:37">
      <c r="AF29598" s="831" t="s">
        <v>11645</v>
      </c>
      <c r="AG29598" s="831" t="s">
        <v>2674</v>
      </c>
      <c r="AH29598" s="831" t="s">
        <v>103</v>
      </c>
      <c r="AI29598" s="831">
        <v>0</v>
      </c>
      <c r="AJ29598" s="835">
        <v>41882</v>
      </c>
      <c r="AK29598" s="831">
        <v>308754205</v>
      </c>
    </row>
    <row r="29599" spans="32:37">
      <c r="AF29599" s="831" t="s">
        <v>11646</v>
      </c>
      <c r="AG29599" s="831" t="s">
        <v>2674</v>
      </c>
      <c r="AH29599" s="831" t="s">
        <v>182</v>
      </c>
      <c r="AI29599" s="831">
        <v>0</v>
      </c>
      <c r="AJ29599" s="835">
        <v>41882</v>
      </c>
      <c r="AK29599" s="831">
        <v>72923285.376000002</v>
      </c>
    </row>
    <row r="29600" spans="32:37">
      <c r="AF29600" s="831" t="s">
        <v>11647</v>
      </c>
      <c r="AG29600" s="831" t="s">
        <v>2674</v>
      </c>
      <c r="AH29600" s="831" t="s">
        <v>6600</v>
      </c>
      <c r="AI29600" s="831">
        <v>0</v>
      </c>
      <c r="AJ29600" s="835">
        <v>41882</v>
      </c>
      <c r="AK29600" s="831">
        <v>33565597.724000007</v>
      </c>
    </row>
    <row r="29601" spans="32:37">
      <c r="AF29601" s="831" t="s">
        <v>11648</v>
      </c>
      <c r="AG29601" s="831" t="s">
        <v>2674</v>
      </c>
      <c r="AH29601" s="831" t="s">
        <v>6602</v>
      </c>
      <c r="AI29601" s="831">
        <v>0</v>
      </c>
      <c r="AJ29601" s="835">
        <v>41882</v>
      </c>
      <c r="AK29601" s="831">
        <v>25500774.76800001</v>
      </c>
    </row>
    <row r="29602" spans="32:37">
      <c r="AF29602" s="831" t="s">
        <v>11649</v>
      </c>
      <c r="AG29602" s="831" t="s">
        <v>2674</v>
      </c>
      <c r="AH29602" s="831" t="s">
        <v>650</v>
      </c>
      <c r="AI29602" s="831">
        <v>0</v>
      </c>
      <c r="AJ29602" s="835">
        <v>41882</v>
      </c>
      <c r="AK29602" s="831">
        <v>265538072.42453846</v>
      </c>
    </row>
    <row r="29603" spans="32:37">
      <c r="AF29603" s="831" t="s">
        <v>11650</v>
      </c>
      <c r="AG29603" s="831" t="s">
        <v>2674</v>
      </c>
      <c r="AH29603" s="831" t="s">
        <v>655</v>
      </c>
      <c r="AI29603" s="831">
        <v>0</v>
      </c>
      <c r="AJ29603" s="835">
        <v>41882</v>
      </c>
      <c r="AK29603" s="831">
        <v>1018935.1089999999</v>
      </c>
    </row>
    <row r="29604" spans="32:37">
      <c r="AF29604" s="831" t="s">
        <v>11651</v>
      </c>
      <c r="AG29604" s="831" t="s">
        <v>2674</v>
      </c>
      <c r="AH29604" s="831" t="s">
        <v>546</v>
      </c>
      <c r="AI29604" s="831">
        <v>0</v>
      </c>
      <c r="AJ29604" s="835">
        <v>41912</v>
      </c>
      <c r="AK29604" s="831">
        <v>775508043</v>
      </c>
    </row>
    <row r="29605" spans="32:37">
      <c r="AF29605" s="831" t="s">
        <v>11652</v>
      </c>
      <c r="AG29605" s="831" t="s">
        <v>2674</v>
      </c>
      <c r="AH29605" s="831" t="s">
        <v>370</v>
      </c>
      <c r="AI29605" s="831">
        <v>0</v>
      </c>
      <c r="AJ29605" s="835">
        <v>41912</v>
      </c>
      <c r="AK29605" s="831">
        <v>955738548</v>
      </c>
    </row>
    <row r="29606" spans="32:37">
      <c r="AF29606" s="831" t="s">
        <v>11653</v>
      </c>
      <c r="AG29606" s="831" t="s">
        <v>2674</v>
      </c>
      <c r="AH29606" s="831" t="s">
        <v>126</v>
      </c>
      <c r="AI29606" s="831">
        <v>0</v>
      </c>
      <c r="AJ29606" s="835">
        <v>41912</v>
      </c>
      <c r="AK29606" s="831">
        <v>145830225</v>
      </c>
    </row>
    <row r="29607" spans="32:37">
      <c r="AF29607" s="831" t="s">
        <v>11654</v>
      </c>
      <c r="AG29607" s="831" t="s">
        <v>2674</v>
      </c>
      <c r="AH29607" s="831" t="s">
        <v>268</v>
      </c>
      <c r="AI29607" s="831">
        <v>0</v>
      </c>
      <c r="AJ29607" s="835">
        <v>41912</v>
      </c>
      <c r="AK29607" s="831">
        <v>29012035</v>
      </c>
    </row>
    <row r="29608" spans="32:37">
      <c r="AF29608" s="831" t="s">
        <v>11655</v>
      </c>
      <c r="AG29608" s="831" t="s">
        <v>2674</v>
      </c>
      <c r="AH29608" s="831" t="s">
        <v>547</v>
      </c>
      <c r="AI29608" s="831">
        <v>0</v>
      </c>
      <c r="AJ29608" s="835">
        <v>41912</v>
      </c>
      <c r="AK29608" s="831">
        <v>777719977</v>
      </c>
    </row>
    <row r="29609" spans="32:37">
      <c r="AF29609" s="831" t="s">
        <v>11656</v>
      </c>
      <c r="AG29609" s="831" t="s">
        <v>2674</v>
      </c>
      <c r="AH29609" s="831" t="s">
        <v>548</v>
      </c>
      <c r="AI29609" s="831">
        <v>0</v>
      </c>
      <c r="AJ29609" s="835">
        <v>41912</v>
      </c>
      <c r="AK29609" s="831">
        <v>117105496</v>
      </c>
    </row>
    <row r="29610" spans="32:37">
      <c r="AF29610" s="831" t="s">
        <v>11657</v>
      </c>
      <c r="AG29610" s="831" t="s">
        <v>2674</v>
      </c>
      <c r="AH29610" s="831" t="s">
        <v>549</v>
      </c>
      <c r="AI29610" s="831">
        <v>0</v>
      </c>
      <c r="AJ29610" s="835">
        <v>41912</v>
      </c>
      <c r="AK29610" s="831">
        <v>563989028</v>
      </c>
    </row>
    <row r="29611" spans="32:37">
      <c r="AF29611" s="831" t="s">
        <v>11658</v>
      </c>
      <c r="AG29611" s="831" t="s">
        <v>2674</v>
      </c>
      <c r="AH29611" s="831" t="s">
        <v>192</v>
      </c>
      <c r="AI29611" s="831">
        <v>0</v>
      </c>
      <c r="AJ29611" s="835">
        <v>41912</v>
      </c>
      <c r="AK29611" s="831">
        <v>-11006364</v>
      </c>
    </row>
    <row r="29612" spans="32:37">
      <c r="AF29612" s="831" t="s">
        <v>11659</v>
      </c>
      <c r="AG29612" s="831" t="s">
        <v>2674</v>
      </c>
      <c r="AH29612" s="831" t="s">
        <v>558</v>
      </c>
      <c r="AI29612" s="831">
        <v>0</v>
      </c>
      <c r="AJ29612" s="835">
        <v>41912</v>
      </c>
      <c r="AK29612" s="831">
        <v>809908323</v>
      </c>
    </row>
    <row r="29613" spans="32:37">
      <c r="AF29613" s="831" t="s">
        <v>11660</v>
      </c>
      <c r="AG29613" s="831" t="s">
        <v>2674</v>
      </c>
      <c r="AH29613" s="831" t="s">
        <v>65</v>
      </c>
      <c r="AI29613" s="831">
        <v>0</v>
      </c>
      <c r="AJ29613" s="835">
        <v>41912</v>
      </c>
      <c r="AK29613" s="831">
        <v>126643298</v>
      </c>
    </row>
    <row r="29614" spans="32:37">
      <c r="AF29614" s="831" t="s">
        <v>11661</v>
      </c>
      <c r="AG29614" s="831" t="s">
        <v>2674</v>
      </c>
      <c r="AH29614" s="831" t="s">
        <v>89</v>
      </c>
      <c r="AI29614" s="831">
        <v>0</v>
      </c>
      <c r="AJ29614" s="835">
        <v>41912</v>
      </c>
      <c r="AK29614" s="831">
        <v>159987</v>
      </c>
    </row>
    <row r="29615" spans="32:37">
      <c r="AF29615" s="831" t="s">
        <v>11662</v>
      </c>
      <c r="AG29615" s="831" t="s">
        <v>2674</v>
      </c>
      <c r="AH29615" s="831" t="s">
        <v>557</v>
      </c>
      <c r="AI29615" s="831">
        <v>0</v>
      </c>
      <c r="AJ29615" s="835">
        <v>41912</v>
      </c>
      <c r="AK29615" s="831">
        <v>180249</v>
      </c>
    </row>
    <row r="29616" spans="32:37">
      <c r="AF29616" s="831" t="s">
        <v>11663</v>
      </c>
      <c r="AG29616" s="831" t="s">
        <v>2674</v>
      </c>
      <c r="AH29616" s="831" t="s">
        <v>29</v>
      </c>
      <c r="AI29616" s="831">
        <v>0</v>
      </c>
      <c r="AJ29616" s="835">
        <v>41912</v>
      </c>
      <c r="AK29616" s="831">
        <v>2332375</v>
      </c>
    </row>
    <row r="29617" spans="32:37">
      <c r="AF29617" s="831" t="s">
        <v>11664</v>
      </c>
      <c r="AG29617" s="831" t="s">
        <v>2674</v>
      </c>
      <c r="AH29617" s="831" t="s">
        <v>2688</v>
      </c>
      <c r="AI29617" s="831">
        <v>0</v>
      </c>
      <c r="AJ29617" s="835">
        <v>41912</v>
      </c>
      <c r="AK29617" s="831">
        <v>4758526.78</v>
      </c>
    </row>
    <row r="29618" spans="32:37">
      <c r="AF29618" s="831" t="s">
        <v>11665</v>
      </c>
      <c r="AG29618" s="831" t="s">
        <v>2674</v>
      </c>
      <c r="AH29618" s="831" t="s">
        <v>556</v>
      </c>
      <c r="AI29618" s="831">
        <v>0</v>
      </c>
      <c r="AJ29618" s="835">
        <v>41912</v>
      </c>
      <c r="AK29618" s="831">
        <v>6520953</v>
      </c>
    </row>
    <row r="29619" spans="32:37">
      <c r="AF29619" s="831" t="s">
        <v>11666</v>
      </c>
      <c r="AG29619" s="831" t="s">
        <v>2674</v>
      </c>
      <c r="AH29619" s="831" t="s">
        <v>555</v>
      </c>
      <c r="AI29619" s="831">
        <v>0</v>
      </c>
      <c r="AJ29619" s="835">
        <v>41912</v>
      </c>
      <c r="AK29619" s="831">
        <v>528140339</v>
      </c>
    </row>
    <row r="29620" spans="32:37">
      <c r="AF29620" s="831" t="s">
        <v>11667</v>
      </c>
      <c r="AG29620" s="831" t="s">
        <v>2674</v>
      </c>
      <c r="AH29620" s="831" t="s">
        <v>554</v>
      </c>
      <c r="AI29620" s="831">
        <v>0</v>
      </c>
      <c r="AJ29620" s="835">
        <v>41912</v>
      </c>
      <c r="AK29620" s="831">
        <v>536741460</v>
      </c>
    </row>
    <row r="29621" spans="32:37">
      <c r="AF29621" s="831" t="s">
        <v>11668</v>
      </c>
      <c r="AG29621" s="831" t="s">
        <v>2674</v>
      </c>
      <c r="AH29621" s="831" t="s">
        <v>553</v>
      </c>
      <c r="AI29621" s="831">
        <v>0</v>
      </c>
      <c r="AJ29621" s="835">
        <v>41912</v>
      </c>
      <c r="AK29621" s="831">
        <v>0</v>
      </c>
    </row>
    <row r="29622" spans="32:37">
      <c r="AF29622" s="831" t="s">
        <v>11669</v>
      </c>
      <c r="AG29622" s="831" t="s">
        <v>2674</v>
      </c>
      <c r="AH29622" s="831" t="s">
        <v>552</v>
      </c>
      <c r="AI29622" s="831">
        <v>0</v>
      </c>
      <c r="AJ29622" s="835">
        <v>41912</v>
      </c>
      <c r="AK29622" s="831">
        <v>0</v>
      </c>
    </row>
    <row r="29623" spans="32:37">
      <c r="AF29623" s="831" t="s">
        <v>11670</v>
      </c>
      <c r="AG29623" s="831" t="s">
        <v>2674</v>
      </c>
      <c r="AH29623" s="831" t="s">
        <v>551</v>
      </c>
      <c r="AI29623" s="831">
        <v>0</v>
      </c>
      <c r="AJ29623" s="835">
        <v>41912</v>
      </c>
      <c r="AK29623" s="831">
        <v>1612094</v>
      </c>
    </row>
    <row r="29624" spans="32:37">
      <c r="AF29624" s="831" t="s">
        <v>11671</v>
      </c>
      <c r="AG29624" s="831" t="s">
        <v>2674</v>
      </c>
      <c r="AH29624" s="831" t="s">
        <v>550</v>
      </c>
      <c r="AI29624" s="831">
        <v>0</v>
      </c>
      <c r="AJ29624" s="835">
        <v>41912</v>
      </c>
      <c r="AK29624" s="831">
        <v>141824046.03</v>
      </c>
    </row>
    <row r="29625" spans="32:37">
      <c r="AF29625" s="831" t="s">
        <v>11672</v>
      </c>
      <c r="AG29625" s="831" t="s">
        <v>2674</v>
      </c>
      <c r="AH29625" s="831" t="s">
        <v>562</v>
      </c>
      <c r="AI29625" s="831">
        <v>0</v>
      </c>
      <c r="AJ29625" s="835">
        <v>41912</v>
      </c>
      <c r="AK29625" s="831">
        <v>0.78325</v>
      </c>
    </row>
    <row r="29626" spans="32:37">
      <c r="AF29626" s="831" t="s">
        <v>11673</v>
      </c>
      <c r="AG29626" s="831" t="s">
        <v>2674</v>
      </c>
      <c r="AH29626" s="831" t="s">
        <v>2698</v>
      </c>
      <c r="AI29626" s="831">
        <v>0</v>
      </c>
      <c r="AJ29626" s="835">
        <v>41912</v>
      </c>
      <c r="AK29626" s="831">
        <v>0.7833</v>
      </c>
    </row>
    <row r="29627" spans="32:37">
      <c r="AF29627" s="831" t="s">
        <v>11674</v>
      </c>
      <c r="AG29627" s="831" t="s">
        <v>2674</v>
      </c>
      <c r="AH29627" s="831" t="s">
        <v>560</v>
      </c>
      <c r="AI29627" s="831">
        <v>0</v>
      </c>
      <c r="AJ29627" s="835">
        <v>41912</v>
      </c>
      <c r="AK29627" s="831">
        <v>0.78364444444444448</v>
      </c>
    </row>
    <row r="29628" spans="32:37">
      <c r="AF29628" s="831" t="s">
        <v>11675</v>
      </c>
      <c r="AG29628" s="831" t="s">
        <v>2674</v>
      </c>
      <c r="AH29628" s="831" t="s">
        <v>559</v>
      </c>
      <c r="AI29628" s="831">
        <v>0</v>
      </c>
      <c r="AJ29628" s="835">
        <v>41912</v>
      </c>
      <c r="AK29628" s="831">
        <v>0.78366250000000004</v>
      </c>
    </row>
    <row r="29629" spans="32:37">
      <c r="AF29629" s="831" t="s">
        <v>11676</v>
      </c>
      <c r="AG29629" s="831" t="s">
        <v>2674</v>
      </c>
      <c r="AH29629" s="831" t="s">
        <v>568</v>
      </c>
      <c r="AI29629" s="831">
        <v>0</v>
      </c>
      <c r="AJ29629" s="835">
        <v>41912</v>
      </c>
      <c r="AK29629" s="831">
        <v>671683974.07307696</v>
      </c>
    </row>
    <row r="29630" spans="32:37">
      <c r="AF29630" s="831" t="s">
        <v>11677</v>
      </c>
      <c r="AG29630" s="831" t="s">
        <v>2674</v>
      </c>
      <c r="AH29630" s="831" t="s">
        <v>569</v>
      </c>
      <c r="AI29630" s="831">
        <v>0</v>
      </c>
      <c r="AJ29630" s="835">
        <v>41912</v>
      </c>
      <c r="AK29630" s="831">
        <v>832078660.51176918</v>
      </c>
    </row>
    <row r="29631" spans="32:37">
      <c r="AF29631" s="831" t="s">
        <v>11678</v>
      </c>
      <c r="AG29631" s="831" t="s">
        <v>2674</v>
      </c>
      <c r="AH29631" s="831" t="s">
        <v>570</v>
      </c>
      <c r="AI29631" s="831">
        <v>0</v>
      </c>
      <c r="AJ29631" s="835">
        <v>41912</v>
      </c>
      <c r="AK29631" s="831">
        <v>127379907.52276923</v>
      </c>
    </row>
    <row r="29632" spans="32:37">
      <c r="AF29632" s="831" t="s">
        <v>11679</v>
      </c>
      <c r="AG29632" s="831" t="s">
        <v>2674</v>
      </c>
      <c r="AH29632" s="831" t="s">
        <v>571</v>
      </c>
      <c r="AI29632" s="831">
        <v>0</v>
      </c>
      <c r="AJ29632" s="835">
        <v>41912</v>
      </c>
      <c r="AK29632" s="831">
        <v>409242621.46846157</v>
      </c>
    </row>
    <row r="29633" spans="32:37">
      <c r="AF29633" s="831" t="s">
        <v>11680</v>
      </c>
      <c r="AG29633" s="831" t="s">
        <v>2674</v>
      </c>
      <c r="AH29633" s="831" t="s">
        <v>573</v>
      </c>
      <c r="AI29633" s="831">
        <v>0</v>
      </c>
      <c r="AJ29633" s="835">
        <v>41912</v>
      </c>
      <c r="AK29633" s="831">
        <v>865626907.3563</v>
      </c>
    </row>
    <row r="29634" spans="32:37">
      <c r="AF29634" s="831" t="s">
        <v>11681</v>
      </c>
      <c r="AG29634" s="831" t="s">
        <v>2674</v>
      </c>
      <c r="AH29634" s="831" t="s">
        <v>574</v>
      </c>
      <c r="AI29634" s="831">
        <v>0</v>
      </c>
      <c r="AJ29634" s="835">
        <v>41912</v>
      </c>
      <c r="AK29634" s="831">
        <v>698958196.60000002</v>
      </c>
    </row>
    <row r="29635" spans="32:37">
      <c r="AF29635" s="831" t="s">
        <v>11682</v>
      </c>
      <c r="AG29635" s="831" t="s">
        <v>2674</v>
      </c>
      <c r="AH29635" s="831" t="s">
        <v>575</v>
      </c>
      <c r="AI29635" s="831">
        <v>0</v>
      </c>
      <c r="AJ29635" s="835">
        <v>41912</v>
      </c>
      <c r="AK29635" s="831">
        <v>129535935.794</v>
      </c>
    </row>
    <row r="29636" spans="32:37">
      <c r="AF29636" s="831" t="s">
        <v>11683</v>
      </c>
      <c r="AG29636" s="831" t="s">
        <v>2674</v>
      </c>
      <c r="AH29636" s="831" t="s">
        <v>576</v>
      </c>
      <c r="AI29636" s="831">
        <v>0</v>
      </c>
      <c r="AJ29636" s="835">
        <v>41912</v>
      </c>
      <c r="AK29636" s="831">
        <v>427412859.60280001</v>
      </c>
    </row>
    <row r="29637" spans="32:37">
      <c r="AF29637" s="831" t="s">
        <v>11684</v>
      </c>
      <c r="AG29637" s="831" t="s">
        <v>2674</v>
      </c>
      <c r="AH29637" s="831" t="s">
        <v>572</v>
      </c>
      <c r="AI29637" s="831">
        <v>0</v>
      </c>
      <c r="AJ29637" s="835">
        <v>41912</v>
      </c>
      <c r="AK29637" s="831">
        <v>33781162.955999985</v>
      </c>
    </row>
    <row r="29638" spans="32:37">
      <c r="AF29638" s="831" t="s">
        <v>11685</v>
      </c>
      <c r="AG29638" s="831" t="s">
        <v>2674</v>
      </c>
      <c r="AH29638" s="831" t="s">
        <v>577</v>
      </c>
      <c r="AI29638" s="831">
        <v>0</v>
      </c>
      <c r="AJ29638" s="835">
        <v>41912</v>
      </c>
      <c r="AK29638" s="831">
        <v>164186629.76300001</v>
      </c>
    </row>
    <row r="29639" spans="32:37">
      <c r="AF29639" s="831" t="s">
        <v>11686</v>
      </c>
      <c r="AG29639" s="831" t="s">
        <v>2674</v>
      </c>
      <c r="AH29639" s="831" t="s">
        <v>3042</v>
      </c>
      <c r="AI29639" s="831">
        <v>0</v>
      </c>
      <c r="AJ29639" s="835">
        <v>41912</v>
      </c>
      <c r="AK29639" s="831">
        <v>-47764358.527000003</v>
      </c>
    </row>
    <row r="29640" spans="32:37">
      <c r="AF29640" s="831" t="s">
        <v>11687</v>
      </c>
      <c r="AG29640" s="831" t="s">
        <v>2674</v>
      </c>
      <c r="AH29640" s="831" t="s">
        <v>3044</v>
      </c>
      <c r="AI29640" s="831">
        <v>0</v>
      </c>
      <c r="AJ29640" s="835">
        <v>41912</v>
      </c>
      <c r="AK29640" s="831">
        <v>-2027515.8899999997</v>
      </c>
    </row>
    <row r="29641" spans="32:37">
      <c r="AF29641" s="831" t="s">
        <v>11688</v>
      </c>
      <c r="AG29641" s="831" t="s">
        <v>2674</v>
      </c>
      <c r="AH29641" s="831" t="s">
        <v>580</v>
      </c>
      <c r="AI29641" s="831">
        <v>0</v>
      </c>
      <c r="AJ29641" s="835">
        <v>41912</v>
      </c>
      <c r="AK29641" s="831">
        <v>-75872333.307000011</v>
      </c>
    </row>
    <row r="29642" spans="32:37">
      <c r="AF29642" s="831" t="s">
        <v>11689</v>
      </c>
      <c r="AG29642" s="831" t="s">
        <v>2674</v>
      </c>
      <c r="AH29642" s="831" t="s">
        <v>581</v>
      </c>
      <c r="AI29642" s="831">
        <v>0</v>
      </c>
      <c r="AJ29642" s="835">
        <v>41912</v>
      </c>
      <c r="AK29642" s="831">
        <v>6304407.8940000003</v>
      </c>
    </row>
    <row r="29643" spans="32:37">
      <c r="AF29643" s="831" t="s">
        <v>11690</v>
      </c>
      <c r="AG29643" s="831" t="s">
        <v>2674</v>
      </c>
      <c r="AH29643" s="831" t="s">
        <v>105</v>
      </c>
      <c r="AI29643" s="831">
        <v>0</v>
      </c>
      <c r="AJ29643" s="835">
        <v>41912</v>
      </c>
      <c r="AK29643" s="831">
        <v>472452480</v>
      </c>
    </row>
    <row r="29644" spans="32:37">
      <c r="AF29644" s="831" t="s">
        <v>11691</v>
      </c>
      <c r="AG29644" s="831" t="s">
        <v>2674</v>
      </c>
      <c r="AH29644" s="831" t="s">
        <v>3049</v>
      </c>
      <c r="AI29644" s="831">
        <v>0</v>
      </c>
      <c r="AJ29644" s="835">
        <v>41912</v>
      </c>
      <c r="AK29644" s="831">
        <v>783051294</v>
      </c>
    </row>
    <row r="29645" spans="32:37">
      <c r="AF29645" s="831" t="s">
        <v>11692</v>
      </c>
      <c r="AG29645" s="831" t="s">
        <v>2674</v>
      </c>
      <c r="AH29645" s="831" t="s">
        <v>103</v>
      </c>
      <c r="AI29645" s="831">
        <v>0</v>
      </c>
      <c r="AJ29645" s="835">
        <v>41912</v>
      </c>
      <c r="AK29645" s="831">
        <v>310598814</v>
      </c>
    </row>
    <row r="29646" spans="32:37">
      <c r="AF29646" s="831" t="s">
        <v>11693</v>
      </c>
      <c r="AG29646" s="831" t="s">
        <v>2674</v>
      </c>
      <c r="AH29646" s="831" t="s">
        <v>182</v>
      </c>
      <c r="AI29646" s="831">
        <v>0</v>
      </c>
      <c r="AJ29646" s="835">
        <v>41912</v>
      </c>
      <c r="AK29646" s="831">
        <v>73471997.333333328</v>
      </c>
    </row>
    <row r="29647" spans="32:37">
      <c r="AF29647" s="831" t="s">
        <v>11694</v>
      </c>
      <c r="AG29647" s="831" t="s">
        <v>2674</v>
      </c>
      <c r="AH29647" s="831" t="s">
        <v>6600</v>
      </c>
      <c r="AI29647" s="831">
        <v>0</v>
      </c>
      <c r="AJ29647" s="835">
        <v>41912</v>
      </c>
      <c r="AK29647" s="831">
        <v>33781162.955999985</v>
      </c>
    </row>
    <row r="29648" spans="32:37">
      <c r="AF29648" s="831" t="s">
        <v>11695</v>
      </c>
      <c r="AG29648" s="831" t="s">
        <v>2674</v>
      </c>
      <c r="AH29648" s="831" t="s">
        <v>6602</v>
      </c>
      <c r="AI29648" s="831">
        <v>0</v>
      </c>
      <c r="AJ29648" s="835">
        <v>41912</v>
      </c>
      <c r="AK29648" s="831">
        <v>29012035</v>
      </c>
    </row>
    <row r="29649" spans="32:37">
      <c r="AF29649" s="831" t="s">
        <v>11696</v>
      </c>
      <c r="AG29649" s="831" t="s">
        <v>2674</v>
      </c>
      <c r="AH29649" s="831" t="s">
        <v>650</v>
      </c>
      <c r="AI29649" s="831">
        <v>0</v>
      </c>
      <c r="AJ29649" s="835">
        <v>41912</v>
      </c>
      <c r="AK29649" s="831">
        <v>273036122.95146155</v>
      </c>
    </row>
    <row r="29650" spans="32:37">
      <c r="AF29650" s="831" t="s">
        <v>11697</v>
      </c>
      <c r="AG29650" s="831" t="s">
        <v>2674</v>
      </c>
      <c r="AH29650" s="831" t="s">
        <v>655</v>
      </c>
      <c r="AI29650" s="831">
        <v>0</v>
      </c>
      <c r="AJ29650" s="835">
        <v>41912</v>
      </c>
      <c r="AK29650" s="831">
        <v>1341189</v>
      </c>
    </row>
    <row r="29651" spans="32:37">
      <c r="AF29651" s="831" t="s">
        <v>11698</v>
      </c>
      <c r="AG29651" s="831" t="s">
        <v>2674</v>
      </c>
      <c r="AH29651" s="831" t="s">
        <v>546</v>
      </c>
      <c r="AI29651" s="831">
        <v>0</v>
      </c>
      <c r="AJ29651" s="835">
        <v>41943</v>
      </c>
      <c r="AK29651" s="831">
        <v>788185615</v>
      </c>
    </row>
    <row r="29652" spans="32:37">
      <c r="AF29652" s="831" t="s">
        <v>11699</v>
      </c>
      <c r="AG29652" s="831" t="s">
        <v>2674</v>
      </c>
      <c r="AH29652" s="831" t="s">
        <v>370</v>
      </c>
      <c r="AI29652" s="831">
        <v>0</v>
      </c>
      <c r="AJ29652" s="835">
        <v>41943</v>
      </c>
      <c r="AK29652" s="831">
        <v>999911217</v>
      </c>
    </row>
    <row r="29653" spans="32:37">
      <c r="AF29653" s="831" t="s">
        <v>11700</v>
      </c>
      <c r="AG29653" s="831" t="s">
        <v>2674</v>
      </c>
      <c r="AH29653" s="831" t="s">
        <v>126</v>
      </c>
      <c r="AI29653" s="831">
        <v>0</v>
      </c>
      <c r="AJ29653" s="835">
        <v>41943</v>
      </c>
      <c r="AK29653" s="831">
        <v>149380039</v>
      </c>
    </row>
    <row r="29654" spans="32:37">
      <c r="AF29654" s="831" t="s">
        <v>11701</v>
      </c>
      <c r="AG29654" s="831" t="s">
        <v>2674</v>
      </c>
      <c r="AH29654" s="831" t="s">
        <v>268</v>
      </c>
      <c r="AI29654" s="831">
        <v>0</v>
      </c>
      <c r="AJ29654" s="835">
        <v>41943</v>
      </c>
      <c r="AK29654" s="831">
        <v>32657533</v>
      </c>
    </row>
    <row r="29655" spans="32:37">
      <c r="AF29655" s="831" t="s">
        <v>11702</v>
      </c>
      <c r="AG29655" s="831" t="s">
        <v>2674</v>
      </c>
      <c r="AH29655" s="831" t="s">
        <v>547</v>
      </c>
      <c r="AI29655" s="831">
        <v>0</v>
      </c>
      <c r="AJ29655" s="835">
        <v>41943</v>
      </c>
      <c r="AK29655" s="831">
        <v>777719977</v>
      </c>
    </row>
    <row r="29656" spans="32:37">
      <c r="AF29656" s="831" t="s">
        <v>11703</v>
      </c>
      <c r="AG29656" s="831" t="s">
        <v>2674</v>
      </c>
      <c r="AH29656" s="831" t="s">
        <v>548</v>
      </c>
      <c r="AI29656" s="831">
        <v>0</v>
      </c>
      <c r="AJ29656" s="835">
        <v>41943</v>
      </c>
      <c r="AK29656" s="831">
        <v>117105496</v>
      </c>
    </row>
    <row r="29657" spans="32:37">
      <c r="AF29657" s="831" t="s">
        <v>11704</v>
      </c>
      <c r="AG29657" s="831" t="s">
        <v>2674</v>
      </c>
      <c r="AH29657" s="831" t="s">
        <v>549</v>
      </c>
      <c r="AI29657" s="831">
        <v>0</v>
      </c>
      <c r="AJ29657" s="835">
        <v>41943</v>
      </c>
      <c r="AK29657" s="831">
        <v>580271359</v>
      </c>
    </row>
    <row r="29658" spans="32:37">
      <c r="AF29658" s="831" t="s">
        <v>11705</v>
      </c>
      <c r="AG29658" s="831" t="s">
        <v>2674</v>
      </c>
      <c r="AH29658" s="831" t="s">
        <v>192</v>
      </c>
      <c r="AI29658" s="831">
        <v>0</v>
      </c>
      <c r="AJ29658" s="835">
        <v>41943</v>
      </c>
      <c r="AK29658" s="831">
        <v>-11001950</v>
      </c>
    </row>
    <row r="29659" spans="32:37">
      <c r="AF29659" s="831" t="s">
        <v>11706</v>
      </c>
      <c r="AG29659" s="831" t="s">
        <v>2674</v>
      </c>
      <c r="AH29659" s="831" t="s">
        <v>558</v>
      </c>
      <c r="AI29659" s="831">
        <v>0</v>
      </c>
      <c r="AJ29659" s="835">
        <v>41943</v>
      </c>
      <c r="AK29659" s="831">
        <v>850531537</v>
      </c>
    </row>
    <row r="29660" spans="32:37">
      <c r="AF29660" s="831" t="s">
        <v>11707</v>
      </c>
      <c r="AG29660" s="831" t="s">
        <v>2674</v>
      </c>
      <c r="AH29660" s="831" t="s">
        <v>65</v>
      </c>
      <c r="AI29660" s="831">
        <v>0</v>
      </c>
      <c r="AJ29660" s="835">
        <v>41943</v>
      </c>
      <c r="AK29660" s="831">
        <v>144545337</v>
      </c>
    </row>
    <row r="29661" spans="32:37">
      <c r="AF29661" s="831" t="s">
        <v>11708</v>
      </c>
      <c r="AG29661" s="831" t="s">
        <v>2674</v>
      </c>
      <c r="AH29661" s="831" t="s">
        <v>89</v>
      </c>
      <c r="AI29661" s="831">
        <v>0</v>
      </c>
      <c r="AJ29661" s="835">
        <v>41943</v>
      </c>
      <c r="AK29661" s="831">
        <v>159189</v>
      </c>
    </row>
    <row r="29662" spans="32:37">
      <c r="AF29662" s="831" t="s">
        <v>11709</v>
      </c>
      <c r="AG29662" s="831" t="s">
        <v>2674</v>
      </c>
      <c r="AH29662" s="831" t="s">
        <v>557</v>
      </c>
      <c r="AI29662" s="831">
        <v>0</v>
      </c>
      <c r="AJ29662" s="835">
        <v>41943</v>
      </c>
      <c r="AK29662" s="831">
        <v>176925</v>
      </c>
    </row>
    <row r="29663" spans="32:37">
      <c r="AF29663" s="831" t="s">
        <v>11710</v>
      </c>
      <c r="AG29663" s="831" t="s">
        <v>2674</v>
      </c>
      <c r="AH29663" s="831" t="s">
        <v>29</v>
      </c>
      <c r="AI29663" s="831">
        <v>0</v>
      </c>
      <c r="AJ29663" s="835">
        <v>41943</v>
      </c>
      <c r="AK29663" s="831">
        <v>4443738</v>
      </c>
    </row>
    <row r="29664" spans="32:37">
      <c r="AF29664" s="831" t="s">
        <v>11711</v>
      </c>
      <c r="AG29664" s="831" t="s">
        <v>2674</v>
      </c>
      <c r="AH29664" s="831" t="s">
        <v>2688</v>
      </c>
      <c r="AI29664" s="831">
        <v>0</v>
      </c>
      <c r="AJ29664" s="835">
        <v>41943</v>
      </c>
      <c r="AK29664" s="831">
        <v>4878770.040000001</v>
      </c>
    </row>
    <row r="29665" spans="32:37">
      <c r="AF29665" s="831" t="s">
        <v>11712</v>
      </c>
      <c r="AG29665" s="831" t="s">
        <v>2674</v>
      </c>
      <c r="AH29665" s="831" t="s">
        <v>556</v>
      </c>
      <c r="AI29665" s="831">
        <v>0</v>
      </c>
      <c r="AJ29665" s="835">
        <v>41943</v>
      </c>
      <c r="AK29665" s="831">
        <v>8151347</v>
      </c>
    </row>
    <row r="29666" spans="32:37">
      <c r="AF29666" s="831" t="s">
        <v>11713</v>
      </c>
      <c r="AG29666" s="831" t="s">
        <v>2674</v>
      </c>
      <c r="AH29666" s="831" t="s">
        <v>555</v>
      </c>
      <c r="AI29666" s="831">
        <v>0</v>
      </c>
      <c r="AJ29666" s="835">
        <v>41943</v>
      </c>
      <c r="AK29666" s="831">
        <v>560953709</v>
      </c>
    </row>
    <row r="29667" spans="32:37">
      <c r="AF29667" s="831" t="s">
        <v>11714</v>
      </c>
      <c r="AG29667" s="831" t="s">
        <v>2674</v>
      </c>
      <c r="AH29667" s="831" t="s">
        <v>554</v>
      </c>
      <c r="AI29667" s="831">
        <v>0</v>
      </c>
      <c r="AJ29667" s="835">
        <v>41943</v>
      </c>
      <c r="AK29667" s="831">
        <v>571019140</v>
      </c>
    </row>
    <row r="29668" spans="32:37">
      <c r="AF29668" s="831" t="s">
        <v>11715</v>
      </c>
      <c r="AG29668" s="831" t="s">
        <v>2674</v>
      </c>
      <c r="AH29668" s="831" t="s">
        <v>553</v>
      </c>
      <c r="AI29668" s="831">
        <v>0</v>
      </c>
      <c r="AJ29668" s="835">
        <v>41943</v>
      </c>
      <c r="AK29668" s="831">
        <v>0</v>
      </c>
    </row>
    <row r="29669" spans="32:37">
      <c r="AF29669" s="831" t="s">
        <v>11716</v>
      </c>
      <c r="AG29669" s="831" t="s">
        <v>2674</v>
      </c>
      <c r="AH29669" s="831" t="s">
        <v>552</v>
      </c>
      <c r="AI29669" s="831">
        <v>0</v>
      </c>
      <c r="AJ29669" s="835">
        <v>41943</v>
      </c>
      <c r="AK29669" s="831">
        <v>0</v>
      </c>
    </row>
    <row r="29670" spans="32:37">
      <c r="AF29670" s="831" t="s">
        <v>11717</v>
      </c>
      <c r="AG29670" s="831" t="s">
        <v>2674</v>
      </c>
      <c r="AH29670" s="831" t="s">
        <v>551</v>
      </c>
      <c r="AI29670" s="831">
        <v>0</v>
      </c>
      <c r="AJ29670" s="835">
        <v>41943</v>
      </c>
      <c r="AK29670" s="831">
        <v>1179234</v>
      </c>
    </row>
    <row r="29671" spans="32:37">
      <c r="AF29671" s="831" t="s">
        <v>11718</v>
      </c>
      <c r="AG29671" s="831" t="s">
        <v>2674</v>
      </c>
      <c r="AH29671" s="831" t="s">
        <v>550</v>
      </c>
      <c r="AI29671" s="831">
        <v>0</v>
      </c>
      <c r="AJ29671" s="835">
        <v>41943</v>
      </c>
      <c r="AK29671" s="831">
        <v>145830225</v>
      </c>
    </row>
    <row r="29672" spans="32:37">
      <c r="AF29672" s="831" t="s">
        <v>11719</v>
      </c>
      <c r="AG29672" s="831" t="s">
        <v>2674</v>
      </c>
      <c r="AH29672" s="831" t="s">
        <v>562</v>
      </c>
      <c r="AI29672" s="831">
        <v>0</v>
      </c>
      <c r="AJ29672" s="835">
        <v>41943</v>
      </c>
      <c r="AK29672" s="831">
        <v>0.78380000000000005</v>
      </c>
    </row>
    <row r="29673" spans="32:37">
      <c r="AF29673" s="831" t="s">
        <v>11720</v>
      </c>
      <c r="AG29673" s="831" t="s">
        <v>2674</v>
      </c>
      <c r="AH29673" s="831" t="s">
        <v>2698</v>
      </c>
      <c r="AI29673" s="831">
        <v>0</v>
      </c>
      <c r="AJ29673" s="835">
        <v>41943</v>
      </c>
      <c r="AK29673" s="831">
        <v>0.78325</v>
      </c>
    </row>
    <row r="29674" spans="32:37">
      <c r="AF29674" s="831" t="s">
        <v>11721</v>
      </c>
      <c r="AG29674" s="831" t="s">
        <v>2674</v>
      </c>
      <c r="AH29674" s="831" t="s">
        <v>560</v>
      </c>
      <c r="AI29674" s="831">
        <v>0</v>
      </c>
      <c r="AJ29674" s="835">
        <v>41943</v>
      </c>
      <c r="AK29674" s="831">
        <v>0.78366000000000002</v>
      </c>
    </row>
    <row r="29675" spans="32:37">
      <c r="AF29675" s="831" t="s">
        <v>11722</v>
      </c>
      <c r="AG29675" s="831" t="s">
        <v>2674</v>
      </c>
      <c r="AH29675" s="831" t="s">
        <v>559</v>
      </c>
      <c r="AI29675" s="831">
        <v>0</v>
      </c>
      <c r="AJ29675" s="835">
        <v>41943</v>
      </c>
      <c r="AK29675" s="831">
        <v>0.78364999999999985</v>
      </c>
    </row>
    <row r="29676" spans="32:37">
      <c r="AF29676" s="831" t="s">
        <v>11723</v>
      </c>
      <c r="AG29676" s="831" t="s">
        <v>2674</v>
      </c>
      <c r="AH29676" s="831" t="s">
        <v>568</v>
      </c>
      <c r="AI29676" s="831">
        <v>0</v>
      </c>
      <c r="AJ29676" s="835">
        <v>41943</v>
      </c>
      <c r="AK29676" s="831">
        <v>688929865.38076925</v>
      </c>
    </row>
    <row r="29677" spans="32:37">
      <c r="AF29677" s="831" t="s">
        <v>11724</v>
      </c>
      <c r="AG29677" s="831" t="s">
        <v>2674</v>
      </c>
      <c r="AH29677" s="831" t="s">
        <v>569</v>
      </c>
      <c r="AI29677" s="831">
        <v>0</v>
      </c>
      <c r="AJ29677" s="835">
        <v>41943</v>
      </c>
      <c r="AK29677" s="831">
        <v>855702939.81946158</v>
      </c>
    </row>
    <row r="29678" spans="32:37">
      <c r="AF29678" s="831" t="s">
        <v>11725</v>
      </c>
      <c r="AG29678" s="831" t="s">
        <v>2674</v>
      </c>
      <c r="AH29678" s="831" t="s">
        <v>570</v>
      </c>
      <c r="AI29678" s="831">
        <v>0</v>
      </c>
      <c r="AJ29678" s="835">
        <v>41943</v>
      </c>
      <c r="AK29678" s="831">
        <v>129857553.83046153</v>
      </c>
    </row>
    <row r="29679" spans="32:37">
      <c r="AF29679" s="831" t="s">
        <v>11726</v>
      </c>
      <c r="AG29679" s="831" t="s">
        <v>2674</v>
      </c>
      <c r="AH29679" s="831" t="s">
        <v>571</v>
      </c>
      <c r="AI29679" s="831">
        <v>0</v>
      </c>
      <c r="AJ29679" s="835">
        <v>41943</v>
      </c>
      <c r="AK29679" s="831">
        <v>421465171.16076922</v>
      </c>
    </row>
    <row r="29680" spans="32:37">
      <c r="AF29680" s="831" t="s">
        <v>11727</v>
      </c>
      <c r="AG29680" s="831" t="s">
        <v>2674</v>
      </c>
      <c r="AH29680" s="831" t="s">
        <v>573</v>
      </c>
      <c r="AI29680" s="831">
        <v>0</v>
      </c>
      <c r="AJ29680" s="835">
        <v>41943</v>
      </c>
      <c r="AK29680" s="831">
        <v>877834571.86936367</v>
      </c>
    </row>
    <row r="29681" spans="32:37">
      <c r="AF29681" s="831" t="s">
        <v>11728</v>
      </c>
      <c r="AG29681" s="831" t="s">
        <v>2674</v>
      </c>
      <c r="AH29681" s="831" t="s">
        <v>574</v>
      </c>
      <c r="AI29681" s="831">
        <v>0</v>
      </c>
      <c r="AJ29681" s="835">
        <v>41943</v>
      </c>
      <c r="AK29681" s="831">
        <v>707069780.09090912</v>
      </c>
    </row>
    <row r="29682" spans="32:37">
      <c r="AF29682" s="831" t="s">
        <v>11729</v>
      </c>
      <c r="AG29682" s="831" t="s">
        <v>2674</v>
      </c>
      <c r="AH29682" s="831" t="s">
        <v>575</v>
      </c>
      <c r="AI29682" s="831">
        <v>0</v>
      </c>
      <c r="AJ29682" s="835">
        <v>41943</v>
      </c>
      <c r="AK29682" s="831">
        <v>131339945.17636365</v>
      </c>
    </row>
    <row r="29683" spans="32:37">
      <c r="AF29683" s="831" t="s">
        <v>11730</v>
      </c>
      <c r="AG29683" s="831" t="s">
        <v>2674</v>
      </c>
      <c r="AH29683" s="831" t="s">
        <v>576</v>
      </c>
      <c r="AI29683" s="831">
        <v>0</v>
      </c>
      <c r="AJ29683" s="835">
        <v>41943</v>
      </c>
      <c r="AK29683" s="831">
        <v>433816282.72981817</v>
      </c>
    </row>
    <row r="29684" spans="32:37">
      <c r="AF29684" s="831" t="s">
        <v>11731</v>
      </c>
      <c r="AG29684" s="831" t="s">
        <v>2674</v>
      </c>
      <c r="AH29684" s="831" t="s">
        <v>572</v>
      </c>
      <c r="AI29684" s="831">
        <v>0</v>
      </c>
      <c r="AJ29684" s="835">
        <v>41943</v>
      </c>
      <c r="AK29684" s="831">
        <v>34306433.956</v>
      </c>
    </row>
    <row r="29685" spans="32:37">
      <c r="AF29685" s="831" t="s">
        <v>11732</v>
      </c>
      <c r="AG29685" s="831" t="s">
        <v>2674</v>
      </c>
      <c r="AH29685" s="831" t="s">
        <v>577</v>
      </c>
      <c r="AI29685" s="831">
        <v>0</v>
      </c>
      <c r="AJ29685" s="835">
        <v>41943</v>
      </c>
      <c r="AK29685" s="831">
        <v>169874551.76300001</v>
      </c>
    </row>
    <row r="29686" spans="32:37">
      <c r="AF29686" s="831" t="s">
        <v>11733</v>
      </c>
      <c r="AG29686" s="831" t="s">
        <v>2674</v>
      </c>
      <c r="AH29686" s="831" t="s">
        <v>3042</v>
      </c>
      <c r="AI29686" s="831">
        <v>0</v>
      </c>
      <c r="AJ29686" s="835">
        <v>41943</v>
      </c>
      <c r="AK29686" s="831">
        <v>-49231778.527000003</v>
      </c>
    </row>
    <row r="29687" spans="32:37">
      <c r="AF29687" s="831" t="s">
        <v>11734</v>
      </c>
      <c r="AG29687" s="831" t="s">
        <v>2674</v>
      </c>
      <c r="AH29687" s="831" t="s">
        <v>3044</v>
      </c>
      <c r="AI29687" s="831">
        <v>0</v>
      </c>
      <c r="AJ29687" s="835">
        <v>41943</v>
      </c>
      <c r="AK29687" s="831">
        <v>-1676338.8899999997</v>
      </c>
    </row>
    <row r="29688" spans="32:37">
      <c r="AF29688" s="831" t="s">
        <v>11735</v>
      </c>
      <c r="AG29688" s="831" t="s">
        <v>2674</v>
      </c>
      <c r="AH29688" s="831" t="s">
        <v>580</v>
      </c>
      <c r="AI29688" s="831">
        <v>0</v>
      </c>
      <c r="AJ29688" s="835">
        <v>41943</v>
      </c>
      <c r="AK29688" s="831">
        <v>-77780641.306999996</v>
      </c>
    </row>
    <row r="29689" spans="32:37">
      <c r="AF29689" s="831" t="s">
        <v>11736</v>
      </c>
      <c r="AG29689" s="831" t="s">
        <v>2674</v>
      </c>
      <c r="AH29689" s="831" t="s">
        <v>581</v>
      </c>
      <c r="AI29689" s="831">
        <v>0</v>
      </c>
      <c r="AJ29689" s="835">
        <v>41943</v>
      </c>
      <c r="AK29689" s="831">
        <v>4385512.8940000003</v>
      </c>
    </row>
    <row r="29690" spans="32:37">
      <c r="AF29690" s="831" t="s">
        <v>11737</v>
      </c>
      <c r="AG29690" s="831" t="s">
        <v>2674</v>
      </c>
      <c r="AH29690" s="831" t="s">
        <v>105</v>
      </c>
      <c r="AI29690" s="831">
        <v>0</v>
      </c>
      <c r="AJ29690" s="835">
        <v>41943</v>
      </c>
      <c r="AK29690" s="831">
        <v>497850514</v>
      </c>
    </row>
    <row r="29691" spans="32:37">
      <c r="AF29691" s="831" t="s">
        <v>11738</v>
      </c>
      <c r="AG29691" s="831" t="s">
        <v>2674</v>
      </c>
      <c r="AH29691" s="831" t="s">
        <v>3049</v>
      </c>
      <c r="AI29691" s="831">
        <v>0</v>
      </c>
      <c r="AJ29691" s="835">
        <v>41943</v>
      </c>
      <c r="AK29691" s="831">
        <v>819726974</v>
      </c>
    </row>
    <row r="29692" spans="32:37">
      <c r="AF29692" s="831" t="s">
        <v>11739</v>
      </c>
      <c r="AG29692" s="831" t="s">
        <v>2674</v>
      </c>
      <c r="AH29692" s="831" t="s">
        <v>103</v>
      </c>
      <c r="AI29692" s="831">
        <v>0</v>
      </c>
      <c r="AJ29692" s="835">
        <v>41943</v>
      </c>
      <c r="AK29692" s="831">
        <v>321876460</v>
      </c>
    </row>
    <row r="29693" spans="32:37">
      <c r="AF29693" s="831" t="s">
        <v>11740</v>
      </c>
      <c r="AG29693" s="831" t="s">
        <v>2674</v>
      </c>
      <c r="AH29693" s="831" t="s">
        <v>182</v>
      </c>
      <c r="AI29693" s="831">
        <v>0</v>
      </c>
      <c r="AJ29693" s="835">
        <v>41943</v>
      </c>
      <c r="AK29693" s="831">
        <v>74624670</v>
      </c>
    </row>
    <row r="29694" spans="32:37">
      <c r="AF29694" s="831" t="s">
        <v>11741</v>
      </c>
      <c r="AG29694" s="831" t="s">
        <v>2674</v>
      </c>
      <c r="AH29694" s="831" t="s">
        <v>6600</v>
      </c>
      <c r="AI29694" s="831">
        <v>0</v>
      </c>
      <c r="AJ29694" s="835">
        <v>41943</v>
      </c>
      <c r="AK29694" s="831">
        <v>34306433.956</v>
      </c>
    </row>
    <row r="29695" spans="32:37">
      <c r="AF29695" s="831" t="s">
        <v>11742</v>
      </c>
      <c r="AG29695" s="831" t="s">
        <v>2674</v>
      </c>
      <c r="AH29695" s="831" t="s">
        <v>6602</v>
      </c>
      <c r="AI29695" s="831">
        <v>0</v>
      </c>
      <c r="AJ29695" s="835">
        <v>41943</v>
      </c>
      <c r="AK29695" s="831">
        <v>32657533</v>
      </c>
    </row>
    <row r="29696" spans="32:37">
      <c r="AF29696" s="831" t="s">
        <v>11743</v>
      </c>
      <c r="AG29696" s="831" t="s">
        <v>2674</v>
      </c>
      <c r="AH29696" s="831" t="s">
        <v>650</v>
      </c>
      <c r="AI29696" s="831">
        <v>0</v>
      </c>
      <c r="AJ29696" s="835">
        <v>41943</v>
      </c>
      <c r="AK29696" s="831">
        <v>280875581.18223077</v>
      </c>
    </row>
    <row r="29697" spans="32:37">
      <c r="AF29697" s="831" t="s">
        <v>11744</v>
      </c>
      <c r="AG29697" s="831" t="s">
        <v>2674</v>
      </c>
      <c r="AH29697" s="831" t="s">
        <v>655</v>
      </c>
      <c r="AI29697" s="831">
        <v>0</v>
      </c>
      <c r="AJ29697" s="835">
        <v>41943</v>
      </c>
      <c r="AK29697" s="831">
        <v>824847</v>
      </c>
    </row>
    <row r="29698" spans="32:37">
      <c r="AF29698" s="831" t="s">
        <v>11745</v>
      </c>
      <c r="AG29698" s="831" t="s">
        <v>2674</v>
      </c>
      <c r="AH29698" s="831" t="s">
        <v>546</v>
      </c>
      <c r="AI29698" s="831">
        <v>0</v>
      </c>
      <c r="AJ29698" s="835">
        <v>41973</v>
      </c>
      <c r="AK29698" s="831">
        <v>802902472</v>
      </c>
    </row>
    <row r="29699" spans="32:37">
      <c r="AF29699" s="831" t="s">
        <v>11746</v>
      </c>
      <c r="AG29699" s="831" t="s">
        <v>2674</v>
      </c>
      <c r="AH29699" s="831" t="s">
        <v>370</v>
      </c>
      <c r="AI29699" s="831">
        <v>0</v>
      </c>
      <c r="AJ29699" s="835">
        <v>41973</v>
      </c>
      <c r="AK29699" s="831">
        <v>1000702434</v>
      </c>
    </row>
    <row r="29700" spans="32:37">
      <c r="AF29700" s="831" t="s">
        <v>11747</v>
      </c>
      <c r="AG29700" s="831" t="s">
        <v>2674</v>
      </c>
      <c r="AH29700" s="831" t="s">
        <v>126</v>
      </c>
      <c r="AI29700" s="831">
        <v>0</v>
      </c>
      <c r="AJ29700" s="835">
        <v>41973</v>
      </c>
      <c r="AK29700" s="831">
        <v>153599665</v>
      </c>
    </row>
    <row r="29701" spans="32:37">
      <c r="AF29701" s="831" t="s">
        <v>11748</v>
      </c>
      <c r="AG29701" s="831" t="s">
        <v>2674</v>
      </c>
      <c r="AH29701" s="831" t="s">
        <v>268</v>
      </c>
      <c r="AI29701" s="831">
        <v>0</v>
      </c>
      <c r="AJ29701" s="835">
        <v>41973</v>
      </c>
      <c r="AK29701" s="831">
        <v>35013602</v>
      </c>
    </row>
    <row r="29702" spans="32:37">
      <c r="AF29702" s="831" t="s">
        <v>11749</v>
      </c>
      <c r="AG29702" s="831" t="s">
        <v>2674</v>
      </c>
      <c r="AH29702" s="831" t="s">
        <v>547</v>
      </c>
      <c r="AI29702" s="831">
        <v>0</v>
      </c>
      <c r="AJ29702" s="835">
        <v>41973</v>
      </c>
      <c r="AK29702" s="831">
        <v>777719977</v>
      </c>
    </row>
    <row r="29703" spans="32:37">
      <c r="AF29703" s="831" t="s">
        <v>11750</v>
      </c>
      <c r="AG29703" s="831" t="s">
        <v>2674</v>
      </c>
      <c r="AH29703" s="831" t="s">
        <v>548</v>
      </c>
      <c r="AI29703" s="831">
        <v>0</v>
      </c>
      <c r="AJ29703" s="835">
        <v>41973</v>
      </c>
      <c r="AK29703" s="831">
        <v>117105496</v>
      </c>
    </row>
    <row r="29704" spans="32:37">
      <c r="AF29704" s="831" t="s">
        <v>11751</v>
      </c>
      <c r="AG29704" s="831" t="s">
        <v>2674</v>
      </c>
      <c r="AH29704" s="831" t="s">
        <v>549</v>
      </c>
      <c r="AI29704" s="831">
        <v>0</v>
      </c>
      <c r="AJ29704" s="835">
        <v>41973</v>
      </c>
      <c r="AK29704" s="831">
        <v>598049309.95000005</v>
      </c>
    </row>
    <row r="29705" spans="32:37">
      <c r="AF29705" s="831" t="s">
        <v>11752</v>
      </c>
      <c r="AG29705" s="831" t="s">
        <v>2674</v>
      </c>
      <c r="AH29705" s="831" t="s">
        <v>192</v>
      </c>
      <c r="AI29705" s="831">
        <v>0</v>
      </c>
      <c r="AJ29705" s="835">
        <v>41973</v>
      </c>
      <c r="AK29705" s="831">
        <v>-10647566</v>
      </c>
    </row>
    <row r="29706" spans="32:37">
      <c r="AF29706" s="831" t="s">
        <v>11753</v>
      </c>
      <c r="AG29706" s="831" t="s">
        <v>2674</v>
      </c>
      <c r="AH29706" s="831" t="s">
        <v>558</v>
      </c>
      <c r="AI29706" s="831">
        <v>0</v>
      </c>
      <c r="AJ29706" s="835">
        <v>41973</v>
      </c>
      <c r="AK29706" s="831">
        <v>847102769</v>
      </c>
    </row>
    <row r="29707" spans="32:37">
      <c r="AF29707" s="831" t="s">
        <v>11754</v>
      </c>
      <c r="AG29707" s="831" t="s">
        <v>2674</v>
      </c>
      <c r="AH29707" s="831" t="s">
        <v>65</v>
      </c>
      <c r="AI29707" s="831">
        <v>0</v>
      </c>
      <c r="AJ29707" s="835">
        <v>41973</v>
      </c>
      <c r="AK29707" s="831">
        <v>160301151</v>
      </c>
    </row>
    <row r="29708" spans="32:37">
      <c r="AF29708" s="831" t="s">
        <v>11755</v>
      </c>
      <c r="AG29708" s="831" t="s">
        <v>2674</v>
      </c>
      <c r="AH29708" s="831" t="s">
        <v>89</v>
      </c>
      <c r="AI29708" s="831">
        <v>0</v>
      </c>
      <c r="AJ29708" s="835">
        <v>41973</v>
      </c>
      <c r="AK29708" s="831">
        <v>158266</v>
      </c>
    </row>
    <row r="29709" spans="32:37">
      <c r="AF29709" s="831" t="s">
        <v>11756</v>
      </c>
      <c r="AG29709" s="831" t="s">
        <v>2674</v>
      </c>
      <c r="AH29709" s="831" t="s">
        <v>557</v>
      </c>
      <c r="AI29709" s="831">
        <v>0</v>
      </c>
      <c r="AJ29709" s="835">
        <v>41973</v>
      </c>
      <c r="AK29709" s="831">
        <v>179245</v>
      </c>
    </row>
    <row r="29710" spans="32:37">
      <c r="AF29710" s="831" t="s">
        <v>11757</v>
      </c>
      <c r="AG29710" s="831" t="s">
        <v>2674</v>
      </c>
      <c r="AH29710" s="831" t="s">
        <v>29</v>
      </c>
      <c r="AI29710" s="831">
        <v>0</v>
      </c>
      <c r="AJ29710" s="835">
        <v>41973</v>
      </c>
      <c r="AK29710" s="831">
        <v>4556685.3900000006</v>
      </c>
    </row>
    <row r="29711" spans="32:37">
      <c r="AF29711" s="831" t="s">
        <v>11758</v>
      </c>
      <c r="AG29711" s="831" t="s">
        <v>2674</v>
      </c>
      <c r="AH29711" s="831" t="s">
        <v>2688</v>
      </c>
      <c r="AI29711" s="831">
        <v>0</v>
      </c>
      <c r="AJ29711" s="835">
        <v>41973</v>
      </c>
      <c r="AK29711" s="831">
        <v>4982602.75</v>
      </c>
    </row>
    <row r="29712" spans="32:37">
      <c r="AF29712" s="831" t="s">
        <v>11759</v>
      </c>
      <c r="AG29712" s="831" t="s">
        <v>2674</v>
      </c>
      <c r="AH29712" s="831" t="s">
        <v>556</v>
      </c>
      <c r="AI29712" s="831">
        <v>0</v>
      </c>
      <c r="AJ29712" s="835">
        <v>41973</v>
      </c>
      <c r="AK29712" s="831">
        <v>9781741</v>
      </c>
    </row>
    <row r="29713" spans="32:37">
      <c r="AF29713" s="831" t="s">
        <v>11760</v>
      </c>
      <c r="AG29713" s="831" t="s">
        <v>2674</v>
      </c>
      <c r="AH29713" s="831" t="s">
        <v>555</v>
      </c>
      <c r="AI29713" s="831">
        <v>0</v>
      </c>
      <c r="AJ29713" s="835">
        <v>41973</v>
      </c>
      <c r="AK29713" s="831">
        <v>559691148</v>
      </c>
    </row>
    <row r="29714" spans="32:37">
      <c r="AF29714" s="831" t="s">
        <v>11761</v>
      </c>
      <c r="AG29714" s="831" t="s">
        <v>2674</v>
      </c>
      <c r="AH29714" s="831" t="s">
        <v>554</v>
      </c>
      <c r="AI29714" s="831">
        <v>0</v>
      </c>
      <c r="AJ29714" s="835">
        <v>41973</v>
      </c>
      <c r="AK29714" s="831">
        <v>562759560</v>
      </c>
    </row>
    <row r="29715" spans="32:37">
      <c r="AF29715" s="831" t="s">
        <v>11762</v>
      </c>
      <c r="AG29715" s="831" t="s">
        <v>2674</v>
      </c>
      <c r="AH29715" s="831" t="s">
        <v>553</v>
      </c>
      <c r="AI29715" s="831">
        <v>0</v>
      </c>
      <c r="AJ29715" s="835">
        <v>41973</v>
      </c>
      <c r="AK29715" s="831">
        <v>0</v>
      </c>
    </row>
    <row r="29716" spans="32:37">
      <c r="AF29716" s="831" t="s">
        <v>11763</v>
      </c>
      <c r="AG29716" s="831" t="s">
        <v>2674</v>
      </c>
      <c r="AH29716" s="831" t="s">
        <v>552</v>
      </c>
      <c r="AI29716" s="831">
        <v>0</v>
      </c>
      <c r="AJ29716" s="835">
        <v>41973</v>
      </c>
      <c r="AK29716" s="831">
        <v>0</v>
      </c>
    </row>
    <row r="29717" spans="32:37">
      <c r="AF29717" s="831" t="s">
        <v>11764</v>
      </c>
      <c r="AG29717" s="831" t="s">
        <v>2674</v>
      </c>
      <c r="AH29717" s="831" t="s">
        <v>551</v>
      </c>
      <c r="AI29717" s="831">
        <v>0</v>
      </c>
      <c r="AJ29717" s="835">
        <v>41973</v>
      </c>
      <c r="AK29717" s="831">
        <v>3921189.3899999997</v>
      </c>
    </row>
    <row r="29718" spans="32:37">
      <c r="AF29718" s="831" t="s">
        <v>11765</v>
      </c>
      <c r="AG29718" s="831" t="s">
        <v>2674</v>
      </c>
      <c r="AH29718" s="831" t="s">
        <v>550</v>
      </c>
      <c r="AI29718" s="831">
        <v>0</v>
      </c>
      <c r="AJ29718" s="835">
        <v>41973</v>
      </c>
      <c r="AK29718" s="831">
        <v>149380039</v>
      </c>
    </row>
    <row r="29719" spans="32:37">
      <c r="AF29719" s="831" t="s">
        <v>11766</v>
      </c>
      <c r="AG29719" s="831" t="s">
        <v>2674</v>
      </c>
      <c r="AH29719" s="831" t="s">
        <v>562</v>
      </c>
      <c r="AI29719" s="831">
        <v>0</v>
      </c>
      <c r="AJ29719" s="835">
        <v>41973</v>
      </c>
      <c r="AK29719" s="831">
        <v>0.78390000000000004</v>
      </c>
    </row>
    <row r="29720" spans="32:37">
      <c r="AF29720" s="831" t="s">
        <v>11767</v>
      </c>
      <c r="AG29720" s="831" t="s">
        <v>2674</v>
      </c>
      <c r="AH29720" s="831" t="s">
        <v>2698</v>
      </c>
      <c r="AI29720" s="831">
        <v>0</v>
      </c>
      <c r="AJ29720" s="835">
        <v>41973</v>
      </c>
      <c r="AK29720" s="831">
        <v>0.78380000000000005</v>
      </c>
    </row>
    <row r="29721" spans="32:37">
      <c r="AF29721" s="831" t="s">
        <v>11768</v>
      </c>
      <c r="AG29721" s="831" t="s">
        <v>2674</v>
      </c>
      <c r="AH29721" s="831" t="s">
        <v>560</v>
      </c>
      <c r="AI29721" s="831">
        <v>0</v>
      </c>
      <c r="AJ29721" s="835">
        <v>41973</v>
      </c>
      <c r="AK29721" s="831">
        <v>0.78368181818181837</v>
      </c>
    </row>
    <row r="29722" spans="32:37">
      <c r="AF29722" s="831" t="s">
        <v>11769</v>
      </c>
      <c r="AG29722" s="831" t="s">
        <v>2674</v>
      </c>
      <c r="AH29722" s="831" t="s">
        <v>559</v>
      </c>
      <c r="AI29722" s="831">
        <v>0</v>
      </c>
      <c r="AJ29722" s="835">
        <v>41973</v>
      </c>
      <c r="AK29722" s="831">
        <v>0.78365416666666687</v>
      </c>
    </row>
    <row r="29723" spans="32:37">
      <c r="AF29723" s="831" t="s">
        <v>11770</v>
      </c>
      <c r="AG29723" s="831" t="s">
        <v>2674</v>
      </c>
      <c r="AH29723" s="831" t="s">
        <v>568</v>
      </c>
      <c r="AI29723" s="831">
        <v>0</v>
      </c>
      <c r="AJ29723" s="835">
        <v>41973</v>
      </c>
      <c r="AK29723" s="831">
        <v>706055335.61153853</v>
      </c>
    </row>
    <row r="29724" spans="32:37">
      <c r="AF29724" s="831" t="s">
        <v>11771</v>
      </c>
      <c r="AG29724" s="831" t="s">
        <v>2674</v>
      </c>
      <c r="AH29724" s="831" t="s">
        <v>569</v>
      </c>
      <c r="AI29724" s="831">
        <v>0</v>
      </c>
      <c r="AJ29724" s="835">
        <v>41973</v>
      </c>
      <c r="AK29724" s="831">
        <v>877011865.12715387</v>
      </c>
    </row>
    <row r="29725" spans="32:37">
      <c r="AF29725" s="831" t="s">
        <v>11772</v>
      </c>
      <c r="AG29725" s="831" t="s">
        <v>2674</v>
      </c>
      <c r="AH29725" s="831" t="s">
        <v>570</v>
      </c>
      <c r="AI29725" s="831">
        <v>0</v>
      </c>
      <c r="AJ29725" s="835">
        <v>41973</v>
      </c>
      <c r="AK29725" s="831">
        <v>132419769.36892308</v>
      </c>
    </row>
    <row r="29726" spans="32:37">
      <c r="AF29726" s="831" t="s">
        <v>11773</v>
      </c>
      <c r="AG29726" s="831" t="s">
        <v>2674</v>
      </c>
      <c r="AH29726" s="831" t="s">
        <v>571</v>
      </c>
      <c r="AI29726" s="831">
        <v>0</v>
      </c>
      <c r="AJ29726" s="835">
        <v>41973</v>
      </c>
      <c r="AK29726" s="831">
        <v>432199968.69923079</v>
      </c>
    </row>
    <row r="29727" spans="32:37">
      <c r="AF29727" s="831" t="s">
        <v>11774</v>
      </c>
      <c r="AG29727" s="831" t="s">
        <v>2674</v>
      </c>
      <c r="AH29727" s="831" t="s">
        <v>573</v>
      </c>
      <c r="AI29727" s="831">
        <v>0</v>
      </c>
      <c r="AJ29727" s="835">
        <v>41973</v>
      </c>
      <c r="AK29727" s="831">
        <v>888073560.38024998</v>
      </c>
    </row>
    <row r="29728" spans="32:37">
      <c r="AF29728" s="831" t="s">
        <v>11775</v>
      </c>
      <c r="AG29728" s="831" t="s">
        <v>2674</v>
      </c>
      <c r="AH29728" s="831" t="s">
        <v>574</v>
      </c>
      <c r="AI29728" s="831">
        <v>0</v>
      </c>
      <c r="AJ29728" s="835">
        <v>41973</v>
      </c>
      <c r="AK29728" s="831">
        <v>715055837.75</v>
      </c>
    </row>
    <row r="29729" spans="32:37">
      <c r="AF29729" s="831" t="s">
        <v>11776</v>
      </c>
      <c r="AG29729" s="831" t="s">
        <v>2674</v>
      </c>
      <c r="AH29729" s="831" t="s">
        <v>575</v>
      </c>
      <c r="AI29729" s="831">
        <v>0</v>
      </c>
      <c r="AJ29729" s="835">
        <v>41973</v>
      </c>
      <c r="AK29729" s="831">
        <v>133194921.82833333</v>
      </c>
    </row>
    <row r="29730" spans="32:37">
      <c r="AF29730" s="831" t="s">
        <v>11777</v>
      </c>
      <c r="AG29730" s="831" t="s">
        <v>2674</v>
      </c>
      <c r="AH29730" s="831" t="s">
        <v>576</v>
      </c>
      <c r="AI29730" s="831">
        <v>0</v>
      </c>
      <c r="AJ29730" s="835">
        <v>41973</v>
      </c>
      <c r="AK29730" s="831">
        <v>438403431.08566666</v>
      </c>
    </row>
    <row r="29731" spans="32:37">
      <c r="AF29731" s="831" t="s">
        <v>11778</v>
      </c>
      <c r="AG29731" s="831" t="s">
        <v>2674</v>
      </c>
      <c r="AH29731" s="831" t="s">
        <v>572</v>
      </c>
      <c r="AI29731" s="831">
        <v>0</v>
      </c>
      <c r="AJ29731" s="835">
        <v>41973</v>
      </c>
      <c r="AK29731" s="831">
        <v>33835425.924000025</v>
      </c>
    </row>
    <row r="29732" spans="32:37">
      <c r="AF29732" s="831" t="s">
        <v>11779</v>
      </c>
      <c r="AG29732" s="831" t="s">
        <v>2674</v>
      </c>
      <c r="AH29732" s="831" t="s">
        <v>577</v>
      </c>
      <c r="AI29732" s="831">
        <v>0</v>
      </c>
      <c r="AJ29732" s="835">
        <v>41973</v>
      </c>
      <c r="AK29732" s="831">
        <v>173617070.52700001</v>
      </c>
    </row>
    <row r="29733" spans="32:37">
      <c r="AF29733" s="831" t="s">
        <v>11780</v>
      </c>
      <c r="AG29733" s="831" t="s">
        <v>2674</v>
      </c>
      <c r="AH29733" s="831" t="s">
        <v>3042</v>
      </c>
      <c r="AI29733" s="831">
        <v>0</v>
      </c>
      <c r="AJ29733" s="835">
        <v>41973</v>
      </c>
      <c r="AK29733" s="831">
        <v>-50695273.862000003</v>
      </c>
    </row>
    <row r="29734" spans="32:37">
      <c r="AF29734" s="831" t="s">
        <v>11781</v>
      </c>
      <c r="AG29734" s="831" t="s">
        <v>2674</v>
      </c>
      <c r="AH29734" s="831" t="s">
        <v>3044</v>
      </c>
      <c r="AI29734" s="831">
        <v>0</v>
      </c>
      <c r="AJ29734" s="835">
        <v>41973</v>
      </c>
      <c r="AK29734" s="831">
        <v>-2169383.0120000001</v>
      </c>
    </row>
    <row r="29735" spans="32:37">
      <c r="AF29735" s="831" t="s">
        <v>11782</v>
      </c>
      <c r="AG29735" s="831" t="s">
        <v>2674</v>
      </c>
      <c r="AH29735" s="831" t="s">
        <v>580</v>
      </c>
      <c r="AI29735" s="831">
        <v>0</v>
      </c>
      <c r="AJ29735" s="835">
        <v>41973</v>
      </c>
      <c r="AK29735" s="831">
        <v>-79126603.180999994</v>
      </c>
    </row>
    <row r="29736" spans="32:37">
      <c r="AF29736" s="831" t="s">
        <v>11783</v>
      </c>
      <c r="AG29736" s="831" t="s">
        <v>2674</v>
      </c>
      <c r="AH29736" s="831" t="s">
        <v>581</v>
      </c>
      <c r="AI29736" s="831">
        <v>0</v>
      </c>
      <c r="AJ29736" s="835">
        <v>41973</v>
      </c>
      <c r="AK29736" s="831">
        <v>4040122.4290000005</v>
      </c>
    </row>
    <row r="29737" spans="32:37">
      <c r="AF29737" s="831" t="s">
        <v>11784</v>
      </c>
      <c r="AG29737" s="831" t="s">
        <v>2674</v>
      </c>
      <c r="AH29737" s="831" t="s">
        <v>105</v>
      </c>
      <c r="AI29737" s="831">
        <v>0</v>
      </c>
      <c r="AJ29737" s="835">
        <v>41973</v>
      </c>
      <c r="AK29737" s="831">
        <v>488862063</v>
      </c>
    </row>
    <row r="29738" spans="32:37">
      <c r="AF29738" s="831" t="s">
        <v>11785</v>
      </c>
      <c r="AG29738" s="831" t="s">
        <v>2674</v>
      </c>
      <c r="AH29738" s="831" t="s">
        <v>3049</v>
      </c>
      <c r="AI29738" s="831">
        <v>0</v>
      </c>
      <c r="AJ29738" s="835">
        <v>41973</v>
      </c>
      <c r="AK29738" s="831">
        <v>810336503</v>
      </c>
    </row>
    <row r="29739" spans="32:37">
      <c r="AF29739" s="831" t="s">
        <v>11786</v>
      </c>
      <c r="AG29739" s="831" t="s">
        <v>2674</v>
      </c>
      <c r="AH29739" s="831" t="s">
        <v>103</v>
      </c>
      <c r="AI29739" s="831">
        <v>0</v>
      </c>
      <c r="AJ29739" s="835">
        <v>41973</v>
      </c>
      <c r="AK29739" s="831">
        <v>321474440</v>
      </c>
    </row>
    <row r="29740" spans="32:37">
      <c r="AF29740" s="831" t="s">
        <v>11787</v>
      </c>
      <c r="AG29740" s="831" t="s">
        <v>2674</v>
      </c>
      <c r="AH29740" s="831" t="s">
        <v>182</v>
      </c>
      <c r="AI29740" s="831">
        <v>0</v>
      </c>
      <c r="AJ29740" s="835">
        <v>41973</v>
      </c>
      <c r="AK29740" s="831">
        <v>75281666.181818187</v>
      </c>
    </row>
    <row r="29741" spans="32:37">
      <c r="AF29741" s="831" t="s">
        <v>11788</v>
      </c>
      <c r="AG29741" s="831" t="s">
        <v>2674</v>
      </c>
      <c r="AH29741" s="831" t="s">
        <v>6600</v>
      </c>
      <c r="AI29741" s="831">
        <v>0</v>
      </c>
      <c r="AJ29741" s="835">
        <v>41973</v>
      </c>
      <c r="AK29741" s="831">
        <v>33835425.924000025</v>
      </c>
    </row>
    <row r="29742" spans="32:37">
      <c r="AF29742" s="831" t="s">
        <v>11789</v>
      </c>
      <c r="AG29742" s="831" t="s">
        <v>2674</v>
      </c>
      <c r="AH29742" s="831" t="s">
        <v>6602</v>
      </c>
      <c r="AI29742" s="831">
        <v>0</v>
      </c>
      <c r="AJ29742" s="835">
        <v>41973</v>
      </c>
      <c r="AK29742" s="831">
        <v>35013602</v>
      </c>
    </row>
    <row r="29743" spans="32:37">
      <c r="AF29743" s="831" t="s">
        <v>11790</v>
      </c>
      <c r="AG29743" s="831" t="s">
        <v>2674</v>
      </c>
      <c r="AH29743" s="831" t="s">
        <v>650</v>
      </c>
      <c r="AI29743" s="831">
        <v>0</v>
      </c>
      <c r="AJ29743" s="835">
        <v>41973</v>
      </c>
      <c r="AK29743" s="831">
        <v>287670371.56684613</v>
      </c>
    </row>
    <row r="29744" spans="32:37">
      <c r="AF29744" s="831" t="s">
        <v>11791</v>
      </c>
      <c r="AG29744" s="831" t="s">
        <v>2674</v>
      </c>
      <c r="AH29744" s="831" t="s">
        <v>655</v>
      </c>
      <c r="AI29744" s="831">
        <v>0</v>
      </c>
      <c r="AJ29744" s="835">
        <v>41973</v>
      </c>
      <c r="AK29744" s="831">
        <v>919694.3899999999</v>
      </c>
    </row>
    <row r="29745" spans="32:37">
      <c r="AF29745" s="831" t="s">
        <v>11792</v>
      </c>
      <c r="AG29745" s="831" t="s">
        <v>2674</v>
      </c>
      <c r="AH29745" s="831" t="s">
        <v>546</v>
      </c>
      <c r="AI29745" s="831">
        <v>0</v>
      </c>
      <c r="AJ29745" s="835">
        <v>42004</v>
      </c>
      <c r="AK29745" s="831">
        <v>828920000</v>
      </c>
    </row>
    <row r="29746" spans="32:37">
      <c r="AF29746" s="831" t="s">
        <v>11793</v>
      </c>
      <c r="AG29746" s="831" t="s">
        <v>2674</v>
      </c>
      <c r="AH29746" s="831" t="s">
        <v>370</v>
      </c>
      <c r="AI29746" s="831">
        <v>0</v>
      </c>
      <c r="AJ29746" s="835">
        <v>42004</v>
      </c>
      <c r="AK29746" s="831">
        <v>1042210000</v>
      </c>
    </row>
    <row r="29747" spans="32:37">
      <c r="AF29747" s="831" t="s">
        <v>11794</v>
      </c>
      <c r="AG29747" s="831" t="s">
        <v>2674</v>
      </c>
      <c r="AH29747" s="831" t="s">
        <v>126</v>
      </c>
      <c r="AI29747" s="831">
        <v>0</v>
      </c>
      <c r="AJ29747" s="835">
        <v>42004</v>
      </c>
      <c r="AK29747" s="831">
        <v>145409000</v>
      </c>
    </row>
    <row r="29748" spans="32:37">
      <c r="AF29748" s="831" t="s">
        <v>11795</v>
      </c>
      <c r="AG29748" s="831" t="s">
        <v>2674</v>
      </c>
      <c r="AH29748" s="831" t="s">
        <v>268</v>
      </c>
      <c r="AI29748" s="831">
        <v>0</v>
      </c>
      <c r="AJ29748" s="835">
        <v>42004</v>
      </c>
      <c r="AK29748" s="831">
        <v>43040000</v>
      </c>
    </row>
    <row r="29749" spans="32:37">
      <c r="AF29749" s="831" t="s">
        <v>11796</v>
      </c>
      <c r="AG29749" s="831" t="s">
        <v>2674</v>
      </c>
      <c r="AH29749" s="831" t="s">
        <v>547</v>
      </c>
      <c r="AI29749" s="831">
        <v>0</v>
      </c>
      <c r="AJ29749" s="835">
        <v>42004</v>
      </c>
      <c r="AK29749" s="831">
        <v>777719977</v>
      </c>
    </row>
    <row r="29750" spans="32:37">
      <c r="AF29750" s="831" t="s">
        <v>11797</v>
      </c>
      <c r="AG29750" s="831" t="s">
        <v>2674</v>
      </c>
      <c r="AH29750" s="831" t="s">
        <v>548</v>
      </c>
      <c r="AI29750" s="831">
        <v>0</v>
      </c>
      <c r="AJ29750" s="835">
        <v>42004</v>
      </c>
      <c r="AK29750" s="831">
        <v>117105496</v>
      </c>
    </row>
    <row r="29751" spans="32:37">
      <c r="AF29751" s="831" t="s">
        <v>11798</v>
      </c>
      <c r="AG29751" s="831" t="s">
        <v>2674</v>
      </c>
      <c r="AH29751" s="831" t="s">
        <v>549</v>
      </c>
      <c r="AI29751" s="831">
        <v>0</v>
      </c>
      <c r="AJ29751" s="835">
        <v>42004</v>
      </c>
      <c r="AK29751" s="831">
        <v>627874260</v>
      </c>
    </row>
    <row r="29752" spans="32:37">
      <c r="AF29752" s="831" t="s">
        <v>11799</v>
      </c>
      <c r="AG29752" s="831" t="s">
        <v>2674</v>
      </c>
      <c r="AH29752" s="831" t="s">
        <v>192</v>
      </c>
      <c r="AI29752" s="831">
        <v>0</v>
      </c>
      <c r="AJ29752" s="835">
        <v>42004</v>
      </c>
      <c r="AK29752" s="831">
        <v>-9140000</v>
      </c>
    </row>
    <row r="29753" spans="32:37">
      <c r="AF29753" s="831" t="s">
        <v>11800</v>
      </c>
      <c r="AG29753" s="831" t="s">
        <v>2674</v>
      </c>
      <c r="AH29753" s="831" t="s">
        <v>558</v>
      </c>
      <c r="AI29753" s="831">
        <v>0</v>
      </c>
      <c r="AJ29753" s="835">
        <v>42004</v>
      </c>
      <c r="AK29753" s="831">
        <v>896801000</v>
      </c>
    </row>
    <row r="29754" spans="32:37">
      <c r="AF29754" s="831" t="s">
        <v>11801</v>
      </c>
      <c r="AG29754" s="831" t="s">
        <v>2674</v>
      </c>
      <c r="AH29754" s="831" t="s">
        <v>65</v>
      </c>
      <c r="AI29754" s="831">
        <v>0</v>
      </c>
      <c r="AJ29754" s="835">
        <v>42004</v>
      </c>
      <c r="AK29754" s="831">
        <v>169813000</v>
      </c>
    </row>
    <row r="29755" spans="32:37">
      <c r="AF29755" s="831" t="s">
        <v>11802</v>
      </c>
      <c r="AG29755" s="831" t="s">
        <v>2674</v>
      </c>
      <c r="AH29755" s="831" t="s">
        <v>89</v>
      </c>
      <c r="AI29755" s="831">
        <v>0</v>
      </c>
      <c r="AJ29755" s="835">
        <v>42004</v>
      </c>
      <c r="AK29755" s="831">
        <v>157146</v>
      </c>
    </row>
    <row r="29756" spans="32:37">
      <c r="AF29756" s="831" t="s">
        <v>11803</v>
      </c>
      <c r="AG29756" s="831" t="s">
        <v>2674</v>
      </c>
      <c r="AH29756" s="831" t="s">
        <v>557</v>
      </c>
      <c r="AI29756" s="831">
        <v>0</v>
      </c>
      <c r="AJ29756" s="835">
        <v>42004</v>
      </c>
      <c r="AK29756" s="831">
        <v>178484</v>
      </c>
    </row>
    <row r="29757" spans="32:37">
      <c r="AF29757" s="831" t="s">
        <v>11804</v>
      </c>
      <c r="AG29757" s="831" t="s">
        <v>2674</v>
      </c>
      <c r="AH29757" s="831" t="s">
        <v>29</v>
      </c>
      <c r="AI29757" s="831">
        <v>0</v>
      </c>
      <c r="AJ29757" s="835">
        <v>42004</v>
      </c>
      <c r="AK29757" s="831">
        <v>6837000</v>
      </c>
    </row>
    <row r="29758" spans="32:37">
      <c r="AF29758" s="831" t="s">
        <v>11805</v>
      </c>
      <c r="AG29758" s="831" t="s">
        <v>2674</v>
      </c>
      <c r="AH29758" s="831" t="s">
        <v>2688</v>
      </c>
      <c r="AI29758" s="831">
        <v>0</v>
      </c>
      <c r="AJ29758" s="835">
        <v>42004</v>
      </c>
      <c r="AK29758" s="831">
        <v>5048648</v>
      </c>
    </row>
    <row r="29759" spans="32:37">
      <c r="AF29759" s="831" t="s">
        <v>11806</v>
      </c>
      <c r="AG29759" s="831" t="s">
        <v>2674</v>
      </c>
      <c r="AH29759" s="831" t="s">
        <v>556</v>
      </c>
      <c r="AI29759" s="831">
        <v>0</v>
      </c>
      <c r="AJ29759" s="835">
        <v>42004</v>
      </c>
      <c r="AK29759" s="831">
        <v>11412135</v>
      </c>
    </row>
    <row r="29760" spans="32:37">
      <c r="AF29760" s="831" t="s">
        <v>11807</v>
      </c>
      <c r="AG29760" s="831" t="s">
        <v>2674</v>
      </c>
      <c r="AH29760" s="831" t="s">
        <v>555</v>
      </c>
      <c r="AI29760" s="831">
        <v>0</v>
      </c>
      <c r="AJ29760" s="835">
        <v>42004</v>
      </c>
      <c r="AK29760" s="831">
        <v>596336076</v>
      </c>
    </row>
    <row r="29761" spans="32:37">
      <c r="AF29761" s="831" t="s">
        <v>11808</v>
      </c>
      <c r="AG29761" s="831" t="s">
        <v>2674</v>
      </c>
      <c r="AH29761" s="831" t="s">
        <v>554</v>
      </c>
      <c r="AI29761" s="831">
        <v>0</v>
      </c>
      <c r="AJ29761" s="835">
        <v>42004</v>
      </c>
      <c r="AK29761" s="831">
        <v>603608535</v>
      </c>
    </row>
    <row r="29762" spans="32:37">
      <c r="AF29762" s="831" t="s">
        <v>11809</v>
      </c>
      <c r="AG29762" s="831" t="s">
        <v>2674</v>
      </c>
      <c r="AH29762" s="831" t="s">
        <v>553</v>
      </c>
      <c r="AI29762" s="831">
        <v>0</v>
      </c>
      <c r="AJ29762" s="835">
        <v>42004</v>
      </c>
      <c r="AK29762" s="831">
        <v>0</v>
      </c>
    </row>
    <row r="29763" spans="32:37">
      <c r="AF29763" s="831" t="s">
        <v>11810</v>
      </c>
      <c r="AG29763" s="831" t="s">
        <v>2674</v>
      </c>
      <c r="AH29763" s="831" t="s">
        <v>552</v>
      </c>
      <c r="AI29763" s="831">
        <v>0</v>
      </c>
      <c r="AJ29763" s="835">
        <v>42004</v>
      </c>
      <c r="AK29763" s="831">
        <v>0</v>
      </c>
    </row>
    <row r="29764" spans="32:37">
      <c r="AF29764" s="831" t="s">
        <v>11811</v>
      </c>
      <c r="AG29764" s="831" t="s">
        <v>2674</v>
      </c>
      <c r="AH29764" s="831" t="s">
        <v>551</v>
      </c>
      <c r="AI29764" s="831">
        <v>0</v>
      </c>
      <c r="AJ29764" s="835">
        <v>42004</v>
      </c>
      <c r="AK29764" s="831">
        <v>6446340</v>
      </c>
    </row>
    <row r="29765" spans="32:37">
      <c r="AF29765" s="831" t="s">
        <v>11812</v>
      </c>
      <c r="AG29765" s="831" t="s">
        <v>2674</v>
      </c>
      <c r="AH29765" s="831" t="s">
        <v>550</v>
      </c>
      <c r="AI29765" s="831">
        <v>0</v>
      </c>
      <c r="AJ29765" s="835">
        <v>42004</v>
      </c>
      <c r="AK29765" s="831">
        <v>153599665</v>
      </c>
    </row>
    <row r="29766" spans="32:37">
      <c r="AF29766" s="831" t="s">
        <v>11813</v>
      </c>
      <c r="AG29766" s="831" t="s">
        <v>2674</v>
      </c>
      <c r="AH29766" s="831" t="s">
        <v>562</v>
      </c>
      <c r="AI29766" s="831">
        <v>0</v>
      </c>
      <c r="AJ29766" s="835">
        <v>42004</v>
      </c>
      <c r="AK29766" s="831">
        <v>0.78310000000000002</v>
      </c>
    </row>
    <row r="29767" spans="32:37">
      <c r="AF29767" s="831" t="s">
        <v>11814</v>
      </c>
      <c r="AG29767" s="831" t="s">
        <v>2674</v>
      </c>
      <c r="AH29767" s="831" t="s">
        <v>2698</v>
      </c>
      <c r="AI29767" s="831">
        <v>0</v>
      </c>
      <c r="AJ29767" s="835">
        <v>42004</v>
      </c>
      <c r="AK29767" s="831">
        <v>0.78390000000000004</v>
      </c>
    </row>
    <row r="29768" spans="32:37">
      <c r="AF29768" s="831" t="s">
        <v>11815</v>
      </c>
      <c r="AG29768" s="831" t="s">
        <v>2674</v>
      </c>
      <c r="AH29768" s="831" t="s">
        <v>560</v>
      </c>
      <c r="AI29768" s="831">
        <v>0</v>
      </c>
      <c r="AJ29768" s="835">
        <v>42004</v>
      </c>
      <c r="AK29768" s="831">
        <v>0.78363333333333329</v>
      </c>
    </row>
    <row r="29769" spans="32:37">
      <c r="AF29769" s="831" t="s">
        <v>11816</v>
      </c>
      <c r="AG29769" s="831" t="s">
        <v>2674</v>
      </c>
      <c r="AH29769" s="831" t="s">
        <v>559</v>
      </c>
      <c r="AI29769" s="831">
        <v>0</v>
      </c>
      <c r="AJ29769" s="835">
        <v>42004</v>
      </c>
      <c r="AK29769" s="831">
        <v>0.78363333333333329</v>
      </c>
    </row>
    <row r="29770" spans="32:37">
      <c r="AF29770" s="831" t="s">
        <v>11817</v>
      </c>
      <c r="AG29770" s="831" t="s">
        <v>2674</v>
      </c>
      <c r="AH29770" s="831" t="s">
        <v>568</v>
      </c>
      <c r="AI29770" s="831">
        <v>0</v>
      </c>
      <c r="AJ29770" s="835">
        <v>42004</v>
      </c>
      <c r="AK29770" s="831">
        <v>723814619.46153843</v>
      </c>
    </row>
    <row r="29771" spans="32:37">
      <c r="AF29771" s="831" t="s">
        <v>11818</v>
      </c>
      <c r="AG29771" s="831" t="s">
        <v>2674</v>
      </c>
      <c r="AH29771" s="831" t="s">
        <v>569</v>
      </c>
      <c r="AI29771" s="831">
        <v>0</v>
      </c>
      <c r="AJ29771" s="835">
        <v>42004</v>
      </c>
      <c r="AK29771" s="831">
        <v>899930209.58176923</v>
      </c>
    </row>
    <row r="29772" spans="32:37">
      <c r="AF29772" s="831" t="s">
        <v>11819</v>
      </c>
      <c r="AG29772" s="831" t="s">
        <v>2674</v>
      </c>
      <c r="AH29772" s="831" t="s">
        <v>570</v>
      </c>
      <c r="AI29772" s="831">
        <v>0</v>
      </c>
      <c r="AJ29772" s="835">
        <v>42004</v>
      </c>
      <c r="AK29772" s="831">
        <v>134134466.30307692</v>
      </c>
    </row>
    <row r="29773" spans="32:37">
      <c r="AF29773" s="831" t="s">
        <v>11820</v>
      </c>
      <c r="AG29773" s="831" t="s">
        <v>2674</v>
      </c>
      <c r="AH29773" s="831" t="s">
        <v>571</v>
      </c>
      <c r="AI29773" s="831">
        <v>0</v>
      </c>
      <c r="AJ29773" s="835">
        <v>42004</v>
      </c>
      <c r="AK29773" s="831">
        <v>445629705.61753845</v>
      </c>
    </row>
    <row r="29774" spans="32:37">
      <c r="AF29774" s="831" t="s">
        <v>11821</v>
      </c>
      <c r="AG29774" s="831" t="s">
        <v>2674</v>
      </c>
      <c r="AH29774" s="831" t="s">
        <v>573</v>
      </c>
      <c r="AI29774" s="831">
        <v>0</v>
      </c>
      <c r="AJ29774" s="835">
        <v>42004</v>
      </c>
      <c r="AK29774" s="831">
        <v>899930209.58176923</v>
      </c>
    </row>
    <row r="29775" spans="32:37">
      <c r="AF29775" s="831" t="s">
        <v>11822</v>
      </c>
      <c r="AG29775" s="831" t="s">
        <v>2674</v>
      </c>
      <c r="AH29775" s="831" t="s">
        <v>574</v>
      </c>
      <c r="AI29775" s="831">
        <v>0</v>
      </c>
      <c r="AJ29775" s="835">
        <v>42004</v>
      </c>
      <c r="AK29775" s="831">
        <v>723814619.46153843</v>
      </c>
    </row>
    <row r="29776" spans="32:37">
      <c r="AF29776" s="831" t="s">
        <v>11823</v>
      </c>
      <c r="AG29776" s="831" t="s">
        <v>2674</v>
      </c>
      <c r="AH29776" s="831" t="s">
        <v>575</v>
      </c>
      <c r="AI29776" s="831">
        <v>0</v>
      </c>
      <c r="AJ29776" s="835">
        <v>42004</v>
      </c>
      <c r="AK29776" s="831">
        <v>134134466.30307692</v>
      </c>
    </row>
    <row r="29777" spans="32:37">
      <c r="AF29777" s="831" t="s">
        <v>11824</v>
      </c>
      <c r="AG29777" s="831" t="s">
        <v>2674</v>
      </c>
      <c r="AH29777" s="831" t="s">
        <v>576</v>
      </c>
      <c r="AI29777" s="831">
        <v>0</v>
      </c>
      <c r="AJ29777" s="835">
        <v>42004</v>
      </c>
      <c r="AK29777" s="831">
        <v>445629705.61753845</v>
      </c>
    </row>
    <row r="29778" spans="32:37">
      <c r="AF29778" s="831" t="s">
        <v>11825</v>
      </c>
      <c r="AG29778" s="831" t="s">
        <v>2674</v>
      </c>
      <c r="AH29778" s="831" t="s">
        <v>572</v>
      </c>
      <c r="AI29778" s="831">
        <v>0</v>
      </c>
      <c r="AJ29778" s="835">
        <v>42004</v>
      </c>
      <c r="AK29778" s="831">
        <v>43040000</v>
      </c>
    </row>
    <row r="29779" spans="32:37">
      <c r="AF29779" s="831" t="s">
        <v>11826</v>
      </c>
      <c r="AG29779" s="831" t="s">
        <v>2674</v>
      </c>
      <c r="AH29779" s="831" t="s">
        <v>577</v>
      </c>
      <c r="AI29779" s="831">
        <v>0</v>
      </c>
      <c r="AJ29779" s="835">
        <v>42004</v>
      </c>
      <c r="AK29779" s="831">
        <v>169813000</v>
      </c>
    </row>
    <row r="29780" spans="32:37">
      <c r="AF29780" s="831" t="s">
        <v>11827</v>
      </c>
      <c r="AG29780" s="831" t="s">
        <v>2674</v>
      </c>
      <c r="AH29780" s="831" t="s">
        <v>3042</v>
      </c>
      <c r="AI29780" s="831">
        <v>0</v>
      </c>
      <c r="AJ29780" s="835">
        <v>42004</v>
      </c>
      <c r="AK29780" s="831">
        <v>-51705000</v>
      </c>
    </row>
    <row r="29781" spans="32:37">
      <c r="AF29781" s="831" t="s">
        <v>11828</v>
      </c>
      <c r="AG29781" s="831" t="s">
        <v>2674</v>
      </c>
      <c r="AH29781" s="831" t="s">
        <v>3044</v>
      </c>
      <c r="AI29781" s="831">
        <v>0</v>
      </c>
      <c r="AJ29781" s="835">
        <v>42004</v>
      </c>
      <c r="AK29781" s="831">
        <v>3515000</v>
      </c>
    </row>
    <row r="29782" spans="32:37">
      <c r="AF29782" s="831" t="s">
        <v>11829</v>
      </c>
      <c r="AG29782" s="831" t="s">
        <v>2674</v>
      </c>
      <c r="AH29782" s="831" t="s">
        <v>580</v>
      </c>
      <c r="AI29782" s="831">
        <v>0</v>
      </c>
      <c r="AJ29782" s="835">
        <v>42004</v>
      </c>
      <c r="AK29782" s="831">
        <v>-78262000</v>
      </c>
    </row>
    <row r="29783" spans="32:37">
      <c r="AF29783" s="831" t="s">
        <v>11830</v>
      </c>
      <c r="AG29783" s="831" t="s">
        <v>2674</v>
      </c>
      <c r="AH29783" s="831" t="s">
        <v>581</v>
      </c>
      <c r="AI29783" s="831">
        <v>0</v>
      </c>
      <c r="AJ29783" s="835">
        <v>42004</v>
      </c>
      <c r="AK29783" s="831">
        <v>9963000</v>
      </c>
    </row>
    <row r="29784" spans="32:37">
      <c r="AF29784" s="831" t="s">
        <v>11831</v>
      </c>
      <c r="AG29784" s="831" t="s">
        <v>2674</v>
      </c>
      <c r="AH29784" s="831" t="s">
        <v>105</v>
      </c>
      <c r="AI29784" s="831">
        <v>0</v>
      </c>
      <c r="AJ29784" s="835">
        <v>42004</v>
      </c>
      <c r="AK29784" s="831">
        <v>532345000</v>
      </c>
    </row>
    <row r="29785" spans="32:37">
      <c r="AF29785" s="831" t="s">
        <v>11832</v>
      </c>
      <c r="AG29785" s="831" t="s">
        <v>2674</v>
      </c>
      <c r="AH29785" s="831" t="s">
        <v>3049</v>
      </c>
      <c r="AI29785" s="831">
        <v>0</v>
      </c>
      <c r="AJ29785" s="835">
        <v>42004</v>
      </c>
      <c r="AK29785" s="831">
        <v>871130000</v>
      </c>
    </row>
    <row r="29786" spans="32:37">
      <c r="AF29786" s="831" t="s">
        <v>11833</v>
      </c>
      <c r="AG29786" s="831" t="s">
        <v>2674</v>
      </c>
      <c r="AH29786" s="831" t="s">
        <v>103</v>
      </c>
      <c r="AI29786" s="831">
        <v>0</v>
      </c>
      <c r="AJ29786" s="835">
        <v>42004</v>
      </c>
      <c r="AK29786" s="831">
        <v>338785000</v>
      </c>
    </row>
    <row r="29787" spans="32:37">
      <c r="AF29787" s="831" t="s">
        <v>11834</v>
      </c>
      <c r="AG29787" s="831" t="s">
        <v>2674</v>
      </c>
      <c r="AH29787" s="831" t="s">
        <v>182</v>
      </c>
      <c r="AI29787" s="831">
        <v>0</v>
      </c>
      <c r="AJ29787" s="835">
        <v>42004</v>
      </c>
      <c r="AK29787" s="831">
        <v>78262000</v>
      </c>
    </row>
    <row r="29788" spans="32:37">
      <c r="AF29788" s="831" t="s">
        <v>11835</v>
      </c>
      <c r="AG29788" s="831" t="s">
        <v>2674</v>
      </c>
      <c r="AH29788" s="831" t="s">
        <v>6600</v>
      </c>
      <c r="AI29788" s="831">
        <v>0</v>
      </c>
      <c r="AJ29788" s="835">
        <v>42004</v>
      </c>
      <c r="AK29788" s="831">
        <v>43040000</v>
      </c>
    </row>
    <row r="29789" spans="32:37">
      <c r="AF29789" s="831" t="s">
        <v>11836</v>
      </c>
      <c r="AG29789" s="831" t="s">
        <v>2674</v>
      </c>
      <c r="AH29789" s="831" t="s">
        <v>6602</v>
      </c>
      <c r="AI29789" s="831">
        <v>0</v>
      </c>
      <c r="AJ29789" s="835">
        <v>42004</v>
      </c>
      <c r="AK29789" s="831">
        <v>43040000</v>
      </c>
    </row>
    <row r="29790" spans="32:37">
      <c r="AF29790" s="831" t="s">
        <v>11837</v>
      </c>
      <c r="AG29790" s="831" t="s">
        <v>2674</v>
      </c>
      <c r="AH29790" s="831" t="s">
        <v>650</v>
      </c>
      <c r="AI29790" s="831">
        <v>0</v>
      </c>
      <c r="AJ29790" s="835">
        <v>42004</v>
      </c>
      <c r="AK29790" s="831">
        <v>294946351.96523076</v>
      </c>
    </row>
    <row r="29791" spans="32:37">
      <c r="AF29791" s="831" t="s">
        <v>11838</v>
      </c>
      <c r="AG29791" s="831" t="s">
        <v>2674</v>
      </c>
      <c r="AH29791" s="831" t="s">
        <v>655</v>
      </c>
      <c r="AI29791" s="831">
        <v>0</v>
      </c>
      <c r="AJ29791" s="835">
        <v>42004</v>
      </c>
      <c r="AK29791" s="831">
        <v>5599000</v>
      </c>
    </row>
    <row r="29792" spans="32:37">
      <c r="AF29792" s="831" t="s">
        <v>11839</v>
      </c>
      <c r="AG29792" s="831" t="s">
        <v>2674</v>
      </c>
      <c r="AH29792" s="831" t="s">
        <v>546</v>
      </c>
      <c r="AI29792" s="831">
        <v>0</v>
      </c>
      <c r="AJ29792" s="835">
        <v>42035</v>
      </c>
      <c r="AK29792" s="831">
        <v>829753309</v>
      </c>
    </row>
    <row r="29793" spans="32:37">
      <c r="AF29793" s="831" t="s">
        <v>11840</v>
      </c>
      <c r="AG29793" s="831" t="s">
        <v>2674</v>
      </c>
      <c r="AH29793" s="831" t="s">
        <v>370</v>
      </c>
      <c r="AI29793" s="831">
        <v>0</v>
      </c>
      <c r="AJ29793" s="835">
        <v>42035</v>
      </c>
      <c r="AK29793" s="831">
        <v>1044609243</v>
      </c>
    </row>
    <row r="29794" spans="32:37">
      <c r="AF29794" s="831" t="s">
        <v>11841</v>
      </c>
      <c r="AG29794" s="831" t="s">
        <v>2674</v>
      </c>
      <c r="AH29794" s="831" t="s">
        <v>126</v>
      </c>
      <c r="AI29794" s="831">
        <v>0</v>
      </c>
      <c r="AJ29794" s="835">
        <v>42035</v>
      </c>
      <c r="AK29794" s="831">
        <v>148860224</v>
      </c>
    </row>
    <row r="29795" spans="32:37">
      <c r="AF29795" s="831" t="s">
        <v>11842</v>
      </c>
      <c r="AG29795" s="831" t="s">
        <v>2674</v>
      </c>
      <c r="AH29795" s="831" t="s">
        <v>268</v>
      </c>
      <c r="AI29795" s="831">
        <v>0</v>
      </c>
      <c r="AJ29795" s="835">
        <v>42035</v>
      </c>
      <c r="AK29795" s="831">
        <v>3451938</v>
      </c>
    </row>
    <row r="29796" spans="32:37">
      <c r="AF29796" s="831" t="s">
        <v>11843</v>
      </c>
      <c r="AG29796" s="831" t="s">
        <v>2674</v>
      </c>
      <c r="AH29796" s="831" t="s">
        <v>547</v>
      </c>
      <c r="AI29796" s="831">
        <v>0</v>
      </c>
      <c r="AJ29796" s="835">
        <v>42035</v>
      </c>
      <c r="AK29796" s="831">
        <v>1044609243</v>
      </c>
    </row>
    <row r="29797" spans="32:37">
      <c r="AF29797" s="831" t="s">
        <v>11844</v>
      </c>
      <c r="AG29797" s="831" t="s">
        <v>2674</v>
      </c>
      <c r="AH29797" s="831" t="s">
        <v>548</v>
      </c>
      <c r="AI29797" s="831">
        <v>0</v>
      </c>
      <c r="AJ29797" s="835">
        <v>42035</v>
      </c>
      <c r="AK29797" s="831">
        <v>148860224</v>
      </c>
    </row>
    <row r="29798" spans="32:37">
      <c r="AF29798" s="831" t="s">
        <v>11845</v>
      </c>
      <c r="AG29798" s="831" t="s">
        <v>2674</v>
      </c>
      <c r="AH29798" s="831" t="s">
        <v>549</v>
      </c>
      <c r="AI29798" s="831">
        <v>0</v>
      </c>
      <c r="AJ29798" s="835">
        <v>42035</v>
      </c>
      <c r="AK29798" s="831">
        <v>635618516</v>
      </c>
    </row>
    <row r="29799" spans="32:37">
      <c r="AF29799" s="831" t="s">
        <v>11846</v>
      </c>
      <c r="AG29799" s="831" t="s">
        <v>2674</v>
      </c>
      <c r="AH29799" s="831" t="s">
        <v>192</v>
      </c>
      <c r="AI29799" s="831">
        <v>0</v>
      </c>
      <c r="AJ29799" s="835">
        <v>42035</v>
      </c>
      <c r="AK29799" s="831">
        <v>-9765211</v>
      </c>
    </row>
    <row r="29800" spans="32:37">
      <c r="AF29800" s="831" t="s">
        <v>11847</v>
      </c>
      <c r="AG29800" s="831" t="s">
        <v>2674</v>
      </c>
      <c r="AH29800" s="831" t="s">
        <v>558</v>
      </c>
      <c r="AI29800" s="831">
        <v>0</v>
      </c>
      <c r="AJ29800" s="835">
        <v>42035</v>
      </c>
      <c r="AK29800" s="831">
        <v>895749019</v>
      </c>
    </row>
    <row r="29801" spans="32:37">
      <c r="AF29801" s="831" t="s">
        <v>11848</v>
      </c>
      <c r="AG29801" s="831" t="s">
        <v>2674</v>
      </c>
      <c r="AH29801" s="831" t="s">
        <v>65</v>
      </c>
      <c r="AI29801" s="831">
        <v>0</v>
      </c>
      <c r="AJ29801" s="835">
        <v>42035</v>
      </c>
      <c r="AK29801" s="831">
        <v>16060962</v>
      </c>
    </row>
    <row r="29802" spans="32:37">
      <c r="AF29802" s="831" t="s">
        <v>11849</v>
      </c>
      <c r="AG29802" s="831" t="s">
        <v>2674</v>
      </c>
      <c r="AH29802" s="831" t="s">
        <v>89</v>
      </c>
      <c r="AI29802" s="831">
        <v>0</v>
      </c>
      <c r="AJ29802" s="835">
        <v>42035</v>
      </c>
      <c r="AK29802" s="831">
        <v>158062</v>
      </c>
    </row>
    <row r="29803" spans="32:37">
      <c r="AF29803" s="831" t="s">
        <v>11850</v>
      </c>
      <c r="AG29803" s="831" t="s">
        <v>2674</v>
      </c>
      <c r="AH29803" s="831" t="s">
        <v>557</v>
      </c>
      <c r="AI29803" s="831">
        <v>0</v>
      </c>
      <c r="AJ29803" s="835">
        <v>42035</v>
      </c>
      <c r="AK29803" s="831">
        <v>180227</v>
      </c>
    </row>
    <row r="29804" spans="32:37">
      <c r="AF29804" s="831" t="s">
        <v>11851</v>
      </c>
      <c r="AG29804" s="831" t="s">
        <v>2674</v>
      </c>
      <c r="AH29804" s="831" t="s">
        <v>29</v>
      </c>
      <c r="AI29804" s="831">
        <v>0</v>
      </c>
      <c r="AJ29804" s="835">
        <v>42035</v>
      </c>
      <c r="AK29804" s="831">
        <v>7401483</v>
      </c>
    </row>
    <row r="29805" spans="32:37">
      <c r="AF29805" s="831" t="s">
        <v>11852</v>
      </c>
      <c r="AG29805" s="831" t="s">
        <v>2674</v>
      </c>
      <c r="AH29805" s="831" t="s">
        <v>2688</v>
      </c>
      <c r="AI29805" s="831">
        <v>0</v>
      </c>
      <c r="AJ29805" s="835">
        <v>42035</v>
      </c>
      <c r="AK29805" s="831">
        <v>5438707</v>
      </c>
    </row>
    <row r="29806" spans="32:37">
      <c r="AF29806" s="831" t="s">
        <v>11853</v>
      </c>
      <c r="AG29806" s="831" t="s">
        <v>2674</v>
      </c>
      <c r="AH29806" s="831" t="s">
        <v>556</v>
      </c>
      <c r="AI29806" s="831">
        <v>0</v>
      </c>
      <c r="AJ29806" s="835">
        <v>42035</v>
      </c>
      <c r="AK29806" s="831">
        <v>11412135</v>
      </c>
    </row>
    <row r="29807" spans="32:37">
      <c r="AF29807" s="831" t="s">
        <v>11854</v>
      </c>
      <c r="AG29807" s="831" t="s">
        <v>2674</v>
      </c>
      <c r="AH29807" s="831" t="s">
        <v>555</v>
      </c>
      <c r="AI29807" s="831">
        <v>0</v>
      </c>
      <c r="AJ29807" s="835">
        <v>42035</v>
      </c>
      <c r="AK29807" s="831">
        <v>579511362</v>
      </c>
    </row>
    <row r="29808" spans="32:37">
      <c r="AF29808" s="831" t="s">
        <v>11855</v>
      </c>
      <c r="AG29808" s="831" t="s">
        <v>2674</v>
      </c>
      <c r="AH29808" s="831" t="s">
        <v>554</v>
      </c>
      <c r="AI29808" s="831">
        <v>0</v>
      </c>
      <c r="AJ29808" s="835">
        <v>42035</v>
      </c>
      <c r="AK29808" s="831">
        <v>622474260</v>
      </c>
    </row>
    <row r="29809" spans="32:37">
      <c r="AF29809" s="831" t="s">
        <v>11856</v>
      </c>
      <c r="AG29809" s="831" t="s">
        <v>2674</v>
      </c>
      <c r="AH29809" s="831" t="s">
        <v>553</v>
      </c>
      <c r="AI29809" s="831">
        <v>0</v>
      </c>
      <c r="AJ29809" s="835">
        <v>42035</v>
      </c>
      <c r="AK29809" s="831">
        <v>0</v>
      </c>
    </row>
    <row r="29810" spans="32:37">
      <c r="AF29810" s="831" t="s">
        <v>11857</v>
      </c>
      <c r="AG29810" s="831" t="s">
        <v>2674</v>
      </c>
      <c r="AH29810" s="831" t="s">
        <v>552</v>
      </c>
      <c r="AI29810" s="831">
        <v>0</v>
      </c>
      <c r="AJ29810" s="835">
        <v>42035</v>
      </c>
      <c r="AK29810" s="831">
        <v>0</v>
      </c>
    </row>
    <row r="29811" spans="32:37">
      <c r="AF29811" s="831" t="s">
        <v>11858</v>
      </c>
      <c r="AG29811" s="831" t="s">
        <v>2674</v>
      </c>
      <c r="AH29811" s="831" t="s">
        <v>551</v>
      </c>
      <c r="AI29811" s="831">
        <v>0</v>
      </c>
      <c r="AJ29811" s="835">
        <v>42035</v>
      </c>
      <c r="AK29811" s="831">
        <v>5260060</v>
      </c>
    </row>
    <row r="29812" spans="32:37">
      <c r="AF29812" s="831" t="s">
        <v>11859</v>
      </c>
      <c r="AG29812" s="831" t="s">
        <v>2674</v>
      </c>
      <c r="AH29812" s="831" t="s">
        <v>550</v>
      </c>
      <c r="AI29812" s="831">
        <v>0</v>
      </c>
      <c r="AJ29812" s="835">
        <v>42035</v>
      </c>
      <c r="AK29812" s="831">
        <v>145409000</v>
      </c>
    </row>
    <row r="29813" spans="32:37">
      <c r="AF29813" s="831" t="s">
        <v>11860</v>
      </c>
      <c r="AG29813" s="831" t="s">
        <v>2674</v>
      </c>
      <c r="AH29813" s="831" t="s">
        <v>562</v>
      </c>
      <c r="AI29813" s="831">
        <v>0</v>
      </c>
      <c r="AJ29813" s="835">
        <v>42035</v>
      </c>
      <c r="AK29813" s="831">
        <v>0.78439999999999999</v>
      </c>
    </row>
    <row r="29814" spans="32:37">
      <c r="AF29814" s="831" t="s">
        <v>11861</v>
      </c>
      <c r="AG29814" s="831" t="s">
        <v>2674</v>
      </c>
      <c r="AH29814" s="831" t="s">
        <v>2698</v>
      </c>
      <c r="AI29814" s="831">
        <v>0</v>
      </c>
      <c r="AJ29814" s="835">
        <v>42035</v>
      </c>
      <c r="AK29814" s="831">
        <v>0.78310000000000002</v>
      </c>
    </row>
    <row r="29815" spans="32:37">
      <c r="AF29815" s="831" t="s">
        <v>11862</v>
      </c>
      <c r="AG29815" s="831" t="s">
        <v>2674</v>
      </c>
      <c r="AH29815" s="831" t="s">
        <v>560</v>
      </c>
      <c r="AI29815" s="831">
        <v>0</v>
      </c>
      <c r="AJ29815" s="835">
        <v>42035</v>
      </c>
      <c r="AK29815" s="831">
        <v>0.78439999999999999</v>
      </c>
    </row>
    <row r="29816" spans="32:37">
      <c r="AF29816" s="831" t="s">
        <v>11863</v>
      </c>
      <c r="AG29816" s="831" t="s">
        <v>2674</v>
      </c>
      <c r="AH29816" s="831" t="s">
        <v>559</v>
      </c>
      <c r="AI29816" s="831">
        <v>0</v>
      </c>
      <c r="AJ29816" s="835">
        <v>42035</v>
      </c>
      <c r="AK29816" s="831">
        <v>0.78369583333333326</v>
      </c>
    </row>
    <row r="29817" spans="32:37">
      <c r="AF29817" s="831" t="s">
        <v>11864</v>
      </c>
      <c r="AG29817" s="831" t="s">
        <v>2674</v>
      </c>
      <c r="AH29817" s="831" t="s">
        <v>568</v>
      </c>
      <c r="AI29817" s="831">
        <v>0</v>
      </c>
      <c r="AJ29817" s="835">
        <v>42035</v>
      </c>
      <c r="AK29817" s="831">
        <v>739343777.07692313</v>
      </c>
    </row>
    <row r="29818" spans="32:37">
      <c r="AF29818" s="831" t="s">
        <v>11865</v>
      </c>
      <c r="AG29818" s="831" t="s">
        <v>2674</v>
      </c>
      <c r="AH29818" s="831" t="s">
        <v>569</v>
      </c>
      <c r="AI29818" s="831">
        <v>0</v>
      </c>
      <c r="AJ29818" s="835">
        <v>42035</v>
      </c>
      <c r="AK29818" s="831">
        <v>919552846</v>
      </c>
    </row>
    <row r="29819" spans="32:37">
      <c r="AF29819" s="831" t="s">
        <v>11866</v>
      </c>
      <c r="AG29819" s="831" t="s">
        <v>2674</v>
      </c>
      <c r="AH29819" s="831" t="s">
        <v>570</v>
      </c>
      <c r="AI29819" s="831">
        <v>0</v>
      </c>
      <c r="AJ29819" s="835">
        <v>42035</v>
      </c>
      <c r="AK29819" s="831">
        <v>136809116.92538461</v>
      </c>
    </row>
    <row r="29820" spans="32:37">
      <c r="AF29820" s="831" t="s">
        <v>11867</v>
      </c>
      <c r="AG29820" s="831" t="s">
        <v>2674</v>
      </c>
      <c r="AH29820" s="831" t="s">
        <v>571</v>
      </c>
      <c r="AI29820" s="831">
        <v>0</v>
      </c>
      <c r="AJ29820" s="835">
        <v>42035</v>
      </c>
      <c r="AK29820" s="831">
        <v>456907538.41669232</v>
      </c>
    </row>
    <row r="29821" spans="32:37">
      <c r="AF29821" s="831" t="s">
        <v>11868</v>
      </c>
      <c r="AG29821" s="831" t="s">
        <v>2674</v>
      </c>
      <c r="AH29821" s="831" t="s">
        <v>573</v>
      </c>
      <c r="AI29821" s="831">
        <v>0</v>
      </c>
      <c r="AJ29821" s="835">
        <v>42035</v>
      </c>
      <c r="AK29821" s="831">
        <v>1043409621.5</v>
      </c>
    </row>
    <row r="29822" spans="32:37">
      <c r="AF29822" s="831" t="s">
        <v>11869</v>
      </c>
      <c r="AG29822" s="831" t="s">
        <v>2674</v>
      </c>
      <c r="AH29822" s="831" t="s">
        <v>574</v>
      </c>
      <c r="AI29822" s="831">
        <v>0</v>
      </c>
      <c r="AJ29822" s="835">
        <v>42035</v>
      </c>
      <c r="AK29822" s="831">
        <v>829336654.5</v>
      </c>
    </row>
    <row r="29823" spans="32:37">
      <c r="AF29823" s="831" t="s">
        <v>11870</v>
      </c>
      <c r="AG29823" s="831" t="s">
        <v>2674</v>
      </c>
      <c r="AH29823" s="831" t="s">
        <v>575</v>
      </c>
      <c r="AI29823" s="831">
        <v>0</v>
      </c>
      <c r="AJ29823" s="835">
        <v>42035</v>
      </c>
      <c r="AK29823" s="831">
        <v>147134612</v>
      </c>
    </row>
    <row r="29824" spans="32:37">
      <c r="AF29824" s="831" t="s">
        <v>11871</v>
      </c>
      <c r="AG29824" s="831" t="s">
        <v>2674</v>
      </c>
      <c r="AH29824" s="831" t="s">
        <v>576</v>
      </c>
      <c r="AI29824" s="831">
        <v>0</v>
      </c>
      <c r="AJ29824" s="835">
        <v>42035</v>
      </c>
      <c r="AK29824" s="831">
        <v>535265337</v>
      </c>
    </row>
    <row r="29825" spans="32:37">
      <c r="AF29825" s="831" t="s">
        <v>11872</v>
      </c>
      <c r="AG29825" s="831" t="s">
        <v>2674</v>
      </c>
      <c r="AH29825" s="831" t="s">
        <v>572</v>
      </c>
      <c r="AI29825" s="831">
        <v>0</v>
      </c>
      <c r="AJ29825" s="835">
        <v>42035</v>
      </c>
      <c r="AK29825" s="831">
        <v>43193117</v>
      </c>
    </row>
    <row r="29826" spans="32:37">
      <c r="AF29826" s="831" t="s">
        <v>11873</v>
      </c>
      <c r="AG29826" s="831" t="s">
        <v>2674</v>
      </c>
      <c r="AH29826" s="831" t="s">
        <v>577</v>
      </c>
      <c r="AI29826" s="831">
        <v>0</v>
      </c>
      <c r="AJ29826" s="835">
        <v>42035</v>
      </c>
      <c r="AK29826" s="831">
        <v>172605174</v>
      </c>
    </row>
    <row r="29827" spans="32:37">
      <c r="AF29827" s="831" t="s">
        <v>11874</v>
      </c>
      <c r="AG29827" s="831" t="s">
        <v>2674</v>
      </c>
      <c r="AH29827" s="831" t="s">
        <v>3042</v>
      </c>
      <c r="AI29827" s="831">
        <v>0</v>
      </c>
      <c r="AJ29827" s="835">
        <v>42035</v>
      </c>
      <c r="AK29827" s="831">
        <v>-52806938</v>
      </c>
    </row>
    <row r="29828" spans="32:37">
      <c r="AF29828" s="831" t="s">
        <v>11875</v>
      </c>
      <c r="AG29828" s="831" t="s">
        <v>2674</v>
      </c>
      <c r="AH29828" s="831" t="s">
        <v>3044</v>
      </c>
      <c r="AI29828" s="831">
        <v>0</v>
      </c>
      <c r="AJ29828" s="835">
        <v>42035</v>
      </c>
      <c r="AK29828" s="831">
        <v>3134380</v>
      </c>
    </row>
    <row r="29829" spans="32:37">
      <c r="AF29829" s="831" t="s">
        <v>11876</v>
      </c>
      <c r="AG29829" s="831" t="s">
        <v>2674</v>
      </c>
      <c r="AH29829" s="831" t="s">
        <v>580</v>
      </c>
      <c r="AI29829" s="831">
        <v>0</v>
      </c>
      <c r="AJ29829" s="835">
        <v>42035</v>
      </c>
      <c r="AK29829" s="831">
        <v>-79238495</v>
      </c>
    </row>
    <row r="29830" spans="32:37">
      <c r="AF29830" s="831" t="s">
        <v>11877</v>
      </c>
      <c r="AG29830" s="831" t="s">
        <v>2674</v>
      </c>
      <c r="AH29830" s="831" t="s">
        <v>581</v>
      </c>
      <c r="AI29830" s="831">
        <v>0</v>
      </c>
      <c r="AJ29830" s="835">
        <v>42035</v>
      </c>
      <c r="AK29830" s="831">
        <v>9801179</v>
      </c>
    </row>
    <row r="29831" spans="32:37">
      <c r="AF29831" s="831" t="s">
        <v>11878</v>
      </c>
      <c r="AG29831" s="831" t="s">
        <v>2674</v>
      </c>
      <c r="AH29831" s="831" t="s">
        <v>105</v>
      </c>
      <c r="AI29831" s="831">
        <v>0</v>
      </c>
      <c r="AJ29831" s="835">
        <v>42035</v>
      </c>
      <c r="AK29831" s="831">
        <v>538185674</v>
      </c>
    </row>
    <row r="29832" spans="32:37">
      <c r="AF29832" s="831" t="s">
        <v>11879</v>
      </c>
      <c r="AG29832" s="831" t="s">
        <v>2674</v>
      </c>
      <c r="AH29832" s="831" t="s">
        <v>3049</v>
      </c>
      <c r="AI29832" s="831">
        <v>0</v>
      </c>
      <c r="AJ29832" s="835">
        <v>42035</v>
      </c>
      <c r="AK29832" s="831">
        <v>868832996</v>
      </c>
    </row>
    <row r="29833" spans="32:37">
      <c r="AF29833" s="831" t="s">
        <v>11880</v>
      </c>
      <c r="AG29833" s="831" t="s">
        <v>2674</v>
      </c>
      <c r="AH29833" s="831" t="s">
        <v>103</v>
      </c>
      <c r="AI29833" s="831">
        <v>0</v>
      </c>
      <c r="AJ29833" s="835">
        <v>42035</v>
      </c>
      <c r="AK29833" s="831">
        <v>330647322</v>
      </c>
    </row>
    <row r="29834" spans="32:37">
      <c r="AF29834" s="831" t="s">
        <v>11881</v>
      </c>
      <c r="AG29834" s="831" t="s">
        <v>2674</v>
      </c>
      <c r="AH29834" s="831" t="s">
        <v>182</v>
      </c>
      <c r="AI29834" s="831">
        <v>0</v>
      </c>
      <c r="AJ29834" s="835">
        <v>42035</v>
      </c>
      <c r="AK29834" s="831">
        <v>79397220</v>
      </c>
    </row>
    <row r="29835" spans="32:37">
      <c r="AF29835" s="831" t="s">
        <v>11882</v>
      </c>
      <c r="AG29835" s="831" t="s">
        <v>2674</v>
      </c>
      <c r="AH29835" s="831" t="s">
        <v>6600</v>
      </c>
      <c r="AI29835" s="831">
        <v>0</v>
      </c>
      <c r="AJ29835" s="835">
        <v>42035</v>
      </c>
      <c r="AK29835" s="831">
        <v>43193117</v>
      </c>
    </row>
    <row r="29836" spans="32:37">
      <c r="AF29836" s="831" t="s">
        <v>11883</v>
      </c>
      <c r="AG29836" s="831" t="s">
        <v>2674</v>
      </c>
      <c r="AH29836" s="831" t="s">
        <v>6602</v>
      </c>
      <c r="AI29836" s="831">
        <v>0</v>
      </c>
      <c r="AJ29836" s="835">
        <v>42035</v>
      </c>
      <c r="AK29836" s="831">
        <v>3451938</v>
      </c>
    </row>
    <row r="29837" spans="32:37">
      <c r="AF29837" s="831" t="s">
        <v>11884</v>
      </c>
      <c r="AG29837" s="831" t="s">
        <v>2674</v>
      </c>
      <c r="AH29837" s="831" t="s">
        <v>650</v>
      </c>
      <c r="AI29837" s="831">
        <v>0</v>
      </c>
      <c r="AJ29837" s="835">
        <v>42035</v>
      </c>
      <c r="AK29837" s="831">
        <v>300938254.07461542</v>
      </c>
    </row>
    <row r="29838" spans="32:37">
      <c r="AF29838" s="831" t="s">
        <v>11885</v>
      </c>
      <c r="AG29838" s="831" t="s">
        <v>2674</v>
      </c>
      <c r="AH29838" s="831" t="s">
        <v>655</v>
      </c>
      <c r="AI29838" s="831">
        <v>0</v>
      </c>
      <c r="AJ29838" s="835">
        <v>42035</v>
      </c>
      <c r="AK29838" s="831">
        <v>4403089</v>
      </c>
    </row>
    <row r="29839" spans="32:37">
      <c r="AF29839" s="831" t="s">
        <v>11886</v>
      </c>
      <c r="AG29839" s="831" t="s">
        <v>2674</v>
      </c>
      <c r="AH29839" s="831" t="s">
        <v>546</v>
      </c>
      <c r="AI29839" s="831">
        <v>0</v>
      </c>
      <c r="AJ29839" s="835">
        <v>42063</v>
      </c>
      <c r="AK29839" s="831">
        <v>965858339</v>
      </c>
    </row>
    <row r="29840" spans="32:37">
      <c r="AF29840" s="831" t="s">
        <v>11887</v>
      </c>
      <c r="AG29840" s="831" t="s">
        <v>2674</v>
      </c>
      <c r="AH29840" s="831" t="s">
        <v>370</v>
      </c>
      <c r="AI29840" s="831">
        <v>0</v>
      </c>
      <c r="AJ29840" s="835">
        <v>42063</v>
      </c>
      <c r="AK29840" s="831">
        <v>1253581727</v>
      </c>
    </row>
    <row r="29841" spans="32:37">
      <c r="AF29841" s="831" t="s">
        <v>11888</v>
      </c>
      <c r="AG29841" s="831" t="s">
        <v>2674</v>
      </c>
      <c r="AH29841" s="831" t="s">
        <v>126</v>
      </c>
      <c r="AI29841" s="831">
        <v>0</v>
      </c>
      <c r="AJ29841" s="835">
        <v>42063</v>
      </c>
      <c r="AK29841" s="831">
        <v>143500530</v>
      </c>
    </row>
    <row r="29842" spans="32:37">
      <c r="AF29842" s="831" t="s">
        <v>11889</v>
      </c>
      <c r="AG29842" s="831" t="s">
        <v>2674</v>
      </c>
      <c r="AH29842" s="831" t="s">
        <v>268</v>
      </c>
      <c r="AI29842" s="831">
        <v>0</v>
      </c>
      <c r="AJ29842" s="835">
        <v>42063</v>
      </c>
      <c r="AK29842" s="831">
        <v>-1907756</v>
      </c>
    </row>
    <row r="29843" spans="32:37">
      <c r="AF29843" s="831" t="s">
        <v>11890</v>
      </c>
      <c r="AG29843" s="831" t="s">
        <v>2674</v>
      </c>
      <c r="AH29843" s="831" t="s">
        <v>547</v>
      </c>
      <c r="AI29843" s="831">
        <v>0</v>
      </c>
      <c r="AJ29843" s="835">
        <v>42063</v>
      </c>
      <c r="AK29843" s="831">
        <v>1044609243</v>
      </c>
    </row>
    <row r="29844" spans="32:37">
      <c r="AF29844" s="831" t="s">
        <v>11891</v>
      </c>
      <c r="AG29844" s="831" t="s">
        <v>2674</v>
      </c>
      <c r="AH29844" s="831" t="s">
        <v>548</v>
      </c>
      <c r="AI29844" s="831">
        <v>0</v>
      </c>
      <c r="AJ29844" s="835">
        <v>42063</v>
      </c>
      <c r="AK29844" s="831">
        <v>148860224</v>
      </c>
    </row>
    <row r="29845" spans="32:37">
      <c r="AF29845" s="831" t="s">
        <v>11892</v>
      </c>
      <c r="AG29845" s="831" t="s">
        <v>2674</v>
      </c>
      <c r="AH29845" s="831" t="s">
        <v>549</v>
      </c>
      <c r="AI29845" s="831">
        <v>0</v>
      </c>
      <c r="AJ29845" s="835">
        <v>42063</v>
      </c>
      <c r="AK29845" s="831">
        <v>652795035</v>
      </c>
    </row>
    <row r="29846" spans="32:37">
      <c r="AF29846" s="831" t="s">
        <v>11893</v>
      </c>
      <c r="AG29846" s="831" t="s">
        <v>2674</v>
      </c>
      <c r="AH29846" s="831" t="s">
        <v>192</v>
      </c>
      <c r="AI29846" s="831">
        <v>0</v>
      </c>
      <c r="AJ29846" s="835">
        <v>42063</v>
      </c>
      <c r="AK29846" s="831">
        <v>-13765211</v>
      </c>
    </row>
    <row r="29847" spans="32:37">
      <c r="AF29847" s="831" t="s">
        <v>11894</v>
      </c>
      <c r="AG29847" s="831" t="s">
        <v>2674</v>
      </c>
      <c r="AH29847" s="831" t="s">
        <v>558</v>
      </c>
      <c r="AI29847" s="831">
        <v>0</v>
      </c>
      <c r="AJ29847" s="835">
        <v>42063</v>
      </c>
      <c r="AK29847" s="831">
        <v>1110081197</v>
      </c>
    </row>
    <row r="29848" spans="32:37">
      <c r="AF29848" s="831" t="s">
        <v>11895</v>
      </c>
      <c r="AG29848" s="831" t="s">
        <v>2674</v>
      </c>
      <c r="AH29848" s="831" t="s">
        <v>65</v>
      </c>
      <c r="AI29848" s="831">
        <v>0</v>
      </c>
      <c r="AJ29848" s="835">
        <v>42063</v>
      </c>
      <c r="AK29848" s="831">
        <v>31017741</v>
      </c>
    </row>
    <row r="29849" spans="32:37">
      <c r="AF29849" s="831" t="s">
        <v>11896</v>
      </c>
      <c r="AG29849" s="831" t="s">
        <v>2674</v>
      </c>
      <c r="AH29849" s="831" t="s">
        <v>89</v>
      </c>
      <c r="AI29849" s="831">
        <v>0</v>
      </c>
      <c r="AJ29849" s="835">
        <v>42063</v>
      </c>
      <c r="AK29849" s="831">
        <v>157073</v>
      </c>
    </row>
    <row r="29850" spans="32:37">
      <c r="AF29850" s="831" t="s">
        <v>11897</v>
      </c>
      <c r="AG29850" s="831" t="s">
        <v>2674</v>
      </c>
      <c r="AH29850" s="831" t="s">
        <v>557</v>
      </c>
      <c r="AI29850" s="831">
        <v>0</v>
      </c>
      <c r="AJ29850" s="835">
        <v>42063</v>
      </c>
      <c r="AK29850" s="831">
        <v>179494</v>
      </c>
    </row>
    <row r="29851" spans="32:37">
      <c r="AF29851" s="831" t="s">
        <v>11898</v>
      </c>
      <c r="AG29851" s="831" t="s">
        <v>2674</v>
      </c>
      <c r="AH29851" s="831" t="s">
        <v>29</v>
      </c>
      <c r="AI29851" s="831">
        <v>0</v>
      </c>
      <c r="AJ29851" s="835">
        <v>42063</v>
      </c>
      <c r="AK29851" s="831">
        <v>8683621</v>
      </c>
    </row>
    <row r="29852" spans="32:37">
      <c r="AF29852" s="831" t="s">
        <v>11899</v>
      </c>
      <c r="AG29852" s="831" t="s">
        <v>2674</v>
      </c>
      <c r="AH29852" s="831" t="s">
        <v>2688</v>
      </c>
      <c r="AI29852" s="831">
        <v>0</v>
      </c>
      <c r="AJ29852" s="835">
        <v>42063</v>
      </c>
      <c r="AK29852" s="831">
        <v>11508492</v>
      </c>
    </row>
    <row r="29853" spans="32:37">
      <c r="AF29853" s="831" t="s">
        <v>11900</v>
      </c>
      <c r="AG29853" s="831" t="s">
        <v>2674</v>
      </c>
      <c r="AH29853" s="831" t="s">
        <v>556</v>
      </c>
      <c r="AI29853" s="831">
        <v>0</v>
      </c>
      <c r="AJ29853" s="835">
        <v>42063</v>
      </c>
      <c r="AK29853" s="831">
        <v>11412135</v>
      </c>
    </row>
    <row r="29854" spans="32:37">
      <c r="AF29854" s="831" t="s">
        <v>11901</v>
      </c>
      <c r="AG29854" s="831" t="s">
        <v>2674</v>
      </c>
      <c r="AH29854" s="831" t="s">
        <v>555</v>
      </c>
      <c r="AI29854" s="831">
        <v>0</v>
      </c>
      <c r="AJ29854" s="835">
        <v>42063</v>
      </c>
      <c r="AK29854" s="831">
        <v>771141919</v>
      </c>
    </row>
    <row r="29855" spans="32:37">
      <c r="AF29855" s="831" t="s">
        <v>11902</v>
      </c>
      <c r="AG29855" s="831" t="s">
        <v>2674</v>
      </c>
      <c r="AH29855" s="831" t="s">
        <v>554</v>
      </c>
      <c r="AI29855" s="831">
        <v>0</v>
      </c>
      <c r="AJ29855" s="835">
        <v>42063</v>
      </c>
      <c r="AK29855" s="831">
        <v>856164850</v>
      </c>
    </row>
    <row r="29856" spans="32:37">
      <c r="AF29856" s="831" t="s">
        <v>11903</v>
      </c>
      <c r="AG29856" s="831" t="s">
        <v>2674</v>
      </c>
      <c r="AH29856" s="831" t="s">
        <v>553</v>
      </c>
      <c r="AI29856" s="831">
        <v>0</v>
      </c>
      <c r="AJ29856" s="835">
        <v>42063</v>
      </c>
      <c r="AK29856" s="831">
        <v>92382400</v>
      </c>
    </row>
    <row r="29857" spans="32:37">
      <c r="AF29857" s="831" t="s">
        <v>11904</v>
      </c>
      <c r="AG29857" s="831" t="s">
        <v>2674</v>
      </c>
      <c r="AH29857" s="831" t="s">
        <v>552</v>
      </c>
      <c r="AI29857" s="831">
        <v>0</v>
      </c>
      <c r="AJ29857" s="835">
        <v>42063</v>
      </c>
      <c r="AK29857" s="831">
        <v>0</v>
      </c>
    </row>
    <row r="29858" spans="32:37">
      <c r="AF29858" s="831" t="s">
        <v>11905</v>
      </c>
      <c r="AG29858" s="831" t="s">
        <v>2674</v>
      </c>
      <c r="AH29858" s="831" t="s">
        <v>551</v>
      </c>
      <c r="AI29858" s="831">
        <v>0</v>
      </c>
      <c r="AJ29858" s="835">
        <v>42063</v>
      </c>
      <c r="AK29858" s="831">
        <v>7487687</v>
      </c>
    </row>
    <row r="29859" spans="32:37">
      <c r="AF29859" s="831" t="s">
        <v>11906</v>
      </c>
      <c r="AG29859" s="831" t="s">
        <v>2674</v>
      </c>
      <c r="AH29859" s="831" t="s">
        <v>550</v>
      </c>
      <c r="AI29859" s="831">
        <v>0</v>
      </c>
      <c r="AJ29859" s="835">
        <v>42063</v>
      </c>
      <c r="AK29859" s="831">
        <v>148860224</v>
      </c>
    </row>
    <row r="29860" spans="32:37">
      <c r="AF29860" s="831" t="s">
        <v>11907</v>
      </c>
      <c r="AG29860" s="831" t="s">
        <v>2674</v>
      </c>
      <c r="AH29860" s="831" t="s">
        <v>562</v>
      </c>
      <c r="AI29860" s="831">
        <v>0</v>
      </c>
      <c r="AJ29860" s="835">
        <v>42063</v>
      </c>
      <c r="AK29860" s="831">
        <v>1.04575</v>
      </c>
    </row>
    <row r="29861" spans="32:37">
      <c r="AF29861" s="831" t="s">
        <v>11908</v>
      </c>
      <c r="AG29861" s="831" t="s">
        <v>2674</v>
      </c>
      <c r="AH29861" s="831" t="s">
        <v>2698</v>
      </c>
      <c r="AI29861" s="831">
        <v>0</v>
      </c>
      <c r="AJ29861" s="835">
        <v>42063</v>
      </c>
      <c r="AK29861" s="831">
        <v>0.78439999999999999</v>
      </c>
    </row>
    <row r="29862" spans="32:37">
      <c r="AF29862" s="831" t="s">
        <v>11909</v>
      </c>
      <c r="AG29862" s="831" t="s">
        <v>2674</v>
      </c>
      <c r="AH29862" s="831" t="s">
        <v>560</v>
      </c>
      <c r="AI29862" s="831">
        <v>0</v>
      </c>
      <c r="AJ29862" s="835">
        <v>42063</v>
      </c>
      <c r="AK29862" s="831">
        <v>0.91507499999999997</v>
      </c>
    </row>
    <row r="29863" spans="32:37">
      <c r="AF29863" s="831" t="s">
        <v>11910</v>
      </c>
      <c r="AG29863" s="831" t="s">
        <v>2674</v>
      </c>
      <c r="AH29863" s="831" t="s">
        <v>559</v>
      </c>
      <c r="AI29863" s="831">
        <v>0</v>
      </c>
      <c r="AJ29863" s="835">
        <v>42063</v>
      </c>
      <c r="AK29863" s="831">
        <v>0.80552083333333313</v>
      </c>
    </row>
    <row r="29864" spans="32:37">
      <c r="AF29864" s="831" t="s">
        <v>11911</v>
      </c>
      <c r="AG29864" s="831" t="s">
        <v>2674</v>
      </c>
      <c r="AH29864" s="831" t="s">
        <v>568</v>
      </c>
      <c r="AI29864" s="831">
        <v>0</v>
      </c>
      <c r="AJ29864" s="835">
        <v>42063</v>
      </c>
      <c r="AK29864" s="831">
        <v>764746840.38461542</v>
      </c>
    </row>
    <row r="29865" spans="32:37">
      <c r="AF29865" s="831" t="s">
        <v>11912</v>
      </c>
      <c r="AG29865" s="831" t="s">
        <v>2674</v>
      </c>
      <c r="AH29865" s="831" t="s">
        <v>569</v>
      </c>
      <c r="AI29865" s="831">
        <v>0</v>
      </c>
      <c r="AJ29865" s="835">
        <v>42063</v>
      </c>
      <c r="AK29865" s="831">
        <v>956157596</v>
      </c>
    </row>
    <row r="29866" spans="32:37">
      <c r="AF29866" s="831" t="s">
        <v>11913</v>
      </c>
      <c r="AG29866" s="831" t="s">
        <v>2674</v>
      </c>
      <c r="AH29866" s="831" t="s">
        <v>570</v>
      </c>
      <c r="AI29866" s="831">
        <v>0</v>
      </c>
      <c r="AJ29866" s="835">
        <v>42063</v>
      </c>
      <c r="AK29866" s="831">
        <v>138839504.15615386</v>
      </c>
    </row>
    <row r="29867" spans="32:37">
      <c r="AF29867" s="831" t="s">
        <v>11914</v>
      </c>
      <c r="AG29867" s="831" t="s">
        <v>2674</v>
      </c>
      <c r="AH29867" s="831" t="s">
        <v>571</v>
      </c>
      <c r="AI29867" s="831">
        <v>0</v>
      </c>
      <c r="AJ29867" s="835">
        <v>42063</v>
      </c>
      <c r="AK29867" s="831">
        <v>482774872.10899997</v>
      </c>
    </row>
    <row r="29868" spans="32:37">
      <c r="AF29868" s="831" t="s">
        <v>11915</v>
      </c>
      <c r="AG29868" s="831" t="s">
        <v>2674</v>
      </c>
      <c r="AH29868" s="831" t="s">
        <v>573</v>
      </c>
      <c r="AI29868" s="831">
        <v>0</v>
      </c>
      <c r="AJ29868" s="835">
        <v>42063</v>
      </c>
      <c r="AK29868" s="831">
        <v>1113466990</v>
      </c>
    </row>
    <row r="29869" spans="32:37">
      <c r="AF29869" s="831" t="s">
        <v>11916</v>
      </c>
      <c r="AG29869" s="831" t="s">
        <v>2674</v>
      </c>
      <c r="AH29869" s="831" t="s">
        <v>574</v>
      </c>
      <c r="AI29869" s="831">
        <v>0</v>
      </c>
      <c r="AJ29869" s="835">
        <v>42063</v>
      </c>
      <c r="AK29869" s="831">
        <v>874843882.66666663</v>
      </c>
    </row>
    <row r="29870" spans="32:37">
      <c r="AF29870" s="831" t="s">
        <v>11917</v>
      </c>
      <c r="AG29870" s="831" t="s">
        <v>2674</v>
      </c>
      <c r="AH29870" s="831" t="s">
        <v>575</v>
      </c>
      <c r="AI29870" s="831">
        <v>0</v>
      </c>
      <c r="AJ29870" s="835">
        <v>42063</v>
      </c>
      <c r="AK29870" s="831">
        <v>145923251.33333334</v>
      </c>
    </row>
    <row r="29871" spans="32:37">
      <c r="AF29871" s="831" t="s">
        <v>11918</v>
      </c>
      <c r="AG29871" s="831" t="s">
        <v>2674</v>
      </c>
      <c r="AH29871" s="831" t="s">
        <v>576</v>
      </c>
      <c r="AI29871" s="831">
        <v>0</v>
      </c>
      <c r="AJ29871" s="835">
        <v>42063</v>
      </c>
      <c r="AK29871" s="831">
        <v>595110401.33333337</v>
      </c>
    </row>
    <row r="29872" spans="32:37">
      <c r="AF29872" s="831" t="s">
        <v>11919</v>
      </c>
      <c r="AG29872" s="831" t="s">
        <v>2674</v>
      </c>
      <c r="AH29872" s="831" t="s">
        <v>572</v>
      </c>
      <c r="AI29872" s="831">
        <v>0</v>
      </c>
      <c r="AJ29872" s="835">
        <v>42063</v>
      </c>
      <c r="AK29872" s="831">
        <v>33261949</v>
      </c>
    </row>
    <row r="29873" spans="32:37">
      <c r="AF29873" s="831" t="s">
        <v>11920</v>
      </c>
      <c r="AG29873" s="831" t="s">
        <v>2674</v>
      </c>
      <c r="AH29873" s="831" t="s">
        <v>577</v>
      </c>
      <c r="AI29873" s="831">
        <v>0</v>
      </c>
      <c r="AJ29873" s="835">
        <v>42063</v>
      </c>
      <c r="AK29873" s="831">
        <v>173134660</v>
      </c>
    </row>
    <row r="29874" spans="32:37">
      <c r="AF29874" s="831" t="s">
        <v>11921</v>
      </c>
      <c r="AG29874" s="831" t="s">
        <v>2674</v>
      </c>
      <c r="AH29874" s="831" t="s">
        <v>3042</v>
      </c>
      <c r="AI29874" s="831">
        <v>0</v>
      </c>
      <c r="AJ29874" s="835">
        <v>42063</v>
      </c>
      <c r="AK29874" s="831">
        <v>-53542458</v>
      </c>
    </row>
    <row r="29875" spans="32:37">
      <c r="AF29875" s="831" t="s">
        <v>11922</v>
      </c>
      <c r="AG29875" s="831" t="s">
        <v>2674</v>
      </c>
      <c r="AH29875" s="831" t="s">
        <v>3044</v>
      </c>
      <c r="AI29875" s="831">
        <v>0</v>
      </c>
      <c r="AJ29875" s="835">
        <v>42063</v>
      </c>
      <c r="AK29875" s="831">
        <v>-787106</v>
      </c>
    </row>
    <row r="29876" spans="32:37">
      <c r="AF29876" s="831" t="s">
        <v>11923</v>
      </c>
      <c r="AG29876" s="831" t="s">
        <v>2674</v>
      </c>
      <c r="AH29876" s="831" t="s">
        <v>580</v>
      </c>
      <c r="AI29876" s="831">
        <v>0</v>
      </c>
      <c r="AJ29876" s="835">
        <v>42063</v>
      </c>
      <c r="AK29876" s="831">
        <v>-82473719</v>
      </c>
    </row>
    <row r="29877" spans="32:37">
      <c r="AF29877" s="831" t="s">
        <v>11924</v>
      </c>
      <c r="AG29877" s="831" t="s">
        <v>2674</v>
      </c>
      <c r="AH29877" s="831" t="s">
        <v>581</v>
      </c>
      <c r="AI29877" s="831">
        <v>0</v>
      </c>
      <c r="AJ29877" s="835">
        <v>42063</v>
      </c>
      <c r="AK29877" s="831">
        <v>11169610</v>
      </c>
    </row>
    <row r="29878" spans="32:37">
      <c r="AF29878" s="831" t="s">
        <v>11925</v>
      </c>
      <c r="AG29878" s="831" t="s">
        <v>2674</v>
      </c>
      <c r="AH29878" s="831" t="s">
        <v>105</v>
      </c>
      <c r="AI29878" s="831">
        <v>0</v>
      </c>
      <c r="AJ29878" s="835">
        <v>42063</v>
      </c>
      <c r="AK29878" s="831">
        <v>714800530</v>
      </c>
    </row>
    <row r="29879" spans="32:37">
      <c r="AF29879" s="831" t="s">
        <v>11926</v>
      </c>
      <c r="AG29879" s="831" t="s">
        <v>2674</v>
      </c>
      <c r="AH29879" s="831" t="s">
        <v>3049</v>
      </c>
      <c r="AI29879" s="831">
        <v>0</v>
      </c>
      <c r="AJ29879" s="835">
        <v>42063</v>
      </c>
      <c r="AK29879" s="831">
        <v>1078776977</v>
      </c>
    </row>
    <row r="29880" spans="32:37">
      <c r="AF29880" s="831" t="s">
        <v>11927</v>
      </c>
      <c r="AG29880" s="831" t="s">
        <v>2674</v>
      </c>
      <c r="AH29880" s="831" t="s">
        <v>103</v>
      </c>
      <c r="AI29880" s="831">
        <v>0</v>
      </c>
      <c r="AJ29880" s="835">
        <v>42063</v>
      </c>
      <c r="AK29880" s="831">
        <v>363976447</v>
      </c>
    </row>
    <row r="29881" spans="32:37">
      <c r="AF29881" s="831" t="s">
        <v>11928</v>
      </c>
      <c r="AG29881" s="831" t="s">
        <v>2674</v>
      </c>
      <c r="AH29881" s="831" t="s">
        <v>182</v>
      </c>
      <c r="AI29881" s="831">
        <v>0</v>
      </c>
      <c r="AJ29881" s="835">
        <v>42063</v>
      </c>
      <c r="AK29881" s="831">
        <v>91149096</v>
      </c>
    </row>
    <row r="29882" spans="32:37">
      <c r="AF29882" s="831" t="s">
        <v>11929</v>
      </c>
      <c r="AG29882" s="831" t="s">
        <v>2674</v>
      </c>
      <c r="AH29882" s="831" t="s">
        <v>6600</v>
      </c>
      <c r="AI29882" s="831">
        <v>0</v>
      </c>
      <c r="AJ29882" s="835">
        <v>42063</v>
      </c>
      <c r="AK29882" s="831">
        <v>33261949</v>
      </c>
    </row>
    <row r="29883" spans="32:37">
      <c r="AF29883" s="831" t="s">
        <v>11930</v>
      </c>
      <c r="AG29883" s="831" t="s">
        <v>2674</v>
      </c>
      <c r="AH29883" s="831" t="s">
        <v>6602</v>
      </c>
      <c r="AI29883" s="831">
        <v>0</v>
      </c>
      <c r="AJ29883" s="835">
        <v>42063</v>
      </c>
      <c r="AK29883" s="831">
        <v>-1907756</v>
      </c>
    </row>
    <row r="29884" spans="32:37">
      <c r="AF29884" s="831" t="s">
        <v>11931</v>
      </c>
      <c r="AG29884" s="831" t="s">
        <v>2674</v>
      </c>
      <c r="AH29884" s="831" t="s">
        <v>650</v>
      </c>
      <c r="AI29884" s="831">
        <v>0</v>
      </c>
      <c r="AJ29884" s="835">
        <v>42063</v>
      </c>
      <c r="AK29884" s="831">
        <v>309129053.2630769</v>
      </c>
    </row>
    <row r="29885" spans="32:37">
      <c r="AF29885" s="831" t="s">
        <v>11932</v>
      </c>
      <c r="AG29885" s="831" t="s">
        <v>2674</v>
      </c>
      <c r="AH29885" s="831" t="s">
        <v>655</v>
      </c>
      <c r="AI29885" s="831">
        <v>0</v>
      </c>
      <c r="AJ29885" s="835">
        <v>42063</v>
      </c>
      <c r="AK29885" s="831">
        <v>7002831</v>
      </c>
    </row>
    <row r="29886" spans="32:37">
      <c r="AF29886" s="831" t="s">
        <v>11933</v>
      </c>
      <c r="AG29886" s="831" t="s">
        <v>2674</v>
      </c>
      <c r="AH29886" s="831" t="s">
        <v>546</v>
      </c>
      <c r="AI29886" s="831">
        <v>0</v>
      </c>
      <c r="AJ29886" s="835">
        <v>42094</v>
      </c>
      <c r="AK29886" s="831">
        <v>925259190</v>
      </c>
    </row>
    <row r="29887" spans="32:37">
      <c r="AF29887" s="831" t="s">
        <v>11934</v>
      </c>
      <c r="AG29887" s="831" t="s">
        <v>2674</v>
      </c>
      <c r="AH29887" s="831" t="s">
        <v>370</v>
      </c>
      <c r="AI29887" s="831">
        <v>0</v>
      </c>
      <c r="AJ29887" s="835">
        <v>42094</v>
      </c>
      <c r="AK29887" s="831">
        <v>1161484479</v>
      </c>
    </row>
    <row r="29888" spans="32:37">
      <c r="AF29888" s="831" t="s">
        <v>11935</v>
      </c>
      <c r="AG29888" s="831" t="s">
        <v>2674</v>
      </c>
      <c r="AH29888" s="831" t="s">
        <v>126</v>
      </c>
      <c r="AI29888" s="831">
        <v>0</v>
      </c>
      <c r="AJ29888" s="835">
        <v>42094</v>
      </c>
      <c r="AK29888" s="831">
        <v>147807134</v>
      </c>
    </row>
    <row r="29889" spans="32:37">
      <c r="AF29889" s="831" t="s">
        <v>11936</v>
      </c>
      <c r="AG29889" s="831" t="s">
        <v>2674</v>
      </c>
      <c r="AH29889" s="831" t="s">
        <v>268</v>
      </c>
      <c r="AI29889" s="831">
        <v>0</v>
      </c>
      <c r="AJ29889" s="835">
        <v>42094</v>
      </c>
      <c r="AK29889" s="831">
        <v>2398849</v>
      </c>
    </row>
    <row r="29890" spans="32:37">
      <c r="AF29890" s="831" t="s">
        <v>11937</v>
      </c>
      <c r="AG29890" s="831" t="s">
        <v>2674</v>
      </c>
      <c r="AH29890" s="831" t="s">
        <v>547</v>
      </c>
      <c r="AI29890" s="831">
        <v>0</v>
      </c>
      <c r="AJ29890" s="835">
        <v>42094</v>
      </c>
      <c r="AK29890" s="831">
        <v>1044609243</v>
      </c>
    </row>
    <row r="29891" spans="32:37">
      <c r="AF29891" s="831" t="s">
        <v>11938</v>
      </c>
      <c r="AG29891" s="831" t="s">
        <v>2674</v>
      </c>
      <c r="AH29891" s="831" t="s">
        <v>548</v>
      </c>
      <c r="AI29891" s="831">
        <v>0</v>
      </c>
      <c r="AJ29891" s="835">
        <v>42094</v>
      </c>
      <c r="AK29891" s="831">
        <v>148860224</v>
      </c>
    </row>
    <row r="29892" spans="32:37">
      <c r="AF29892" s="831" t="s">
        <v>11939</v>
      </c>
      <c r="AG29892" s="831" t="s">
        <v>2674</v>
      </c>
      <c r="AH29892" s="831" t="s">
        <v>549</v>
      </c>
      <c r="AI29892" s="831">
        <v>0</v>
      </c>
      <c r="AJ29892" s="835">
        <v>42094</v>
      </c>
      <c r="AK29892" s="831">
        <v>664153787</v>
      </c>
    </row>
    <row r="29893" spans="32:37">
      <c r="AF29893" s="831" t="s">
        <v>11940</v>
      </c>
      <c r="AG29893" s="831" t="s">
        <v>2674</v>
      </c>
      <c r="AH29893" s="831" t="s">
        <v>192</v>
      </c>
      <c r="AI29893" s="831">
        <v>0</v>
      </c>
      <c r="AJ29893" s="835">
        <v>42094</v>
      </c>
      <c r="AK29893" s="831">
        <v>-15332196</v>
      </c>
    </row>
    <row r="29894" spans="32:37">
      <c r="AF29894" s="831" t="s">
        <v>11941</v>
      </c>
      <c r="AG29894" s="831" t="s">
        <v>2674</v>
      </c>
      <c r="AH29894" s="831" t="s">
        <v>558</v>
      </c>
      <c r="AI29894" s="831">
        <v>0</v>
      </c>
      <c r="AJ29894" s="835">
        <v>42094</v>
      </c>
      <c r="AK29894" s="831">
        <v>1013677345</v>
      </c>
    </row>
    <row r="29895" spans="32:37">
      <c r="AF29895" s="831" t="s">
        <v>11942</v>
      </c>
      <c r="AG29895" s="831" t="s">
        <v>2674</v>
      </c>
      <c r="AH29895" s="831" t="s">
        <v>65</v>
      </c>
      <c r="AI29895" s="831">
        <v>0</v>
      </c>
      <c r="AJ29895" s="835">
        <v>42094</v>
      </c>
      <c r="AK29895" s="831">
        <v>48515498</v>
      </c>
    </row>
    <row r="29896" spans="32:37">
      <c r="AF29896" s="831" t="s">
        <v>11943</v>
      </c>
      <c r="AG29896" s="831" t="s">
        <v>2674</v>
      </c>
      <c r="AH29896" s="831" t="s">
        <v>89</v>
      </c>
      <c r="AI29896" s="831">
        <v>0</v>
      </c>
      <c r="AJ29896" s="835">
        <v>42094</v>
      </c>
      <c r="AK29896" s="831">
        <v>153039</v>
      </c>
    </row>
    <row r="29897" spans="32:37">
      <c r="AF29897" s="831" t="s">
        <v>11944</v>
      </c>
      <c r="AG29897" s="831" t="s">
        <v>2674</v>
      </c>
      <c r="AH29897" s="831" t="s">
        <v>557</v>
      </c>
      <c r="AI29897" s="831">
        <v>0</v>
      </c>
      <c r="AJ29897" s="835">
        <v>42094</v>
      </c>
      <c r="AK29897" s="831">
        <v>174874</v>
      </c>
    </row>
    <row r="29898" spans="32:37">
      <c r="AF29898" s="831" t="s">
        <v>11945</v>
      </c>
      <c r="AG29898" s="831" t="s">
        <v>2674</v>
      </c>
      <c r="AH29898" s="831" t="s">
        <v>29</v>
      </c>
      <c r="AI29898" s="831">
        <v>0</v>
      </c>
      <c r="AJ29898" s="835">
        <v>42094</v>
      </c>
      <c r="AK29898" s="831">
        <v>10801248</v>
      </c>
    </row>
    <row r="29899" spans="32:37">
      <c r="AF29899" s="831" t="s">
        <v>11946</v>
      </c>
      <c r="AG29899" s="831" t="s">
        <v>2674</v>
      </c>
      <c r="AH29899" s="831" t="s">
        <v>2688</v>
      </c>
      <c r="AI29899" s="831">
        <v>0</v>
      </c>
      <c r="AJ29899" s="835">
        <v>42094</v>
      </c>
      <c r="AK29899" s="831">
        <v>88178967</v>
      </c>
    </row>
    <row r="29900" spans="32:37">
      <c r="AF29900" s="831" t="s">
        <v>11947</v>
      </c>
      <c r="AG29900" s="831" t="s">
        <v>2674</v>
      </c>
      <c r="AH29900" s="831" t="s">
        <v>556</v>
      </c>
      <c r="AI29900" s="831">
        <v>0</v>
      </c>
      <c r="AJ29900" s="835">
        <v>42094</v>
      </c>
      <c r="AK29900" s="831">
        <v>11412135</v>
      </c>
    </row>
    <row r="29901" spans="32:37">
      <c r="AF29901" s="831" t="s">
        <v>11948</v>
      </c>
      <c r="AG29901" s="831" t="s">
        <v>2674</v>
      </c>
      <c r="AH29901" s="831" t="s">
        <v>555</v>
      </c>
      <c r="AI29901" s="831">
        <v>0</v>
      </c>
      <c r="AJ29901" s="835">
        <v>42094</v>
      </c>
      <c r="AK29901" s="831">
        <v>794294654</v>
      </c>
    </row>
    <row r="29902" spans="32:37">
      <c r="AF29902" s="831" t="s">
        <v>11949</v>
      </c>
      <c r="AG29902" s="831" t="s">
        <v>2674</v>
      </c>
      <c r="AH29902" s="831" t="s">
        <v>554</v>
      </c>
      <c r="AI29902" s="831">
        <v>0</v>
      </c>
      <c r="AJ29902" s="835">
        <v>42094</v>
      </c>
      <c r="AK29902" s="831">
        <v>796448359</v>
      </c>
    </row>
    <row r="29903" spans="32:37">
      <c r="AF29903" s="831" t="s">
        <v>11950</v>
      </c>
      <c r="AG29903" s="831" t="s">
        <v>2674</v>
      </c>
      <c r="AH29903" s="831" t="s">
        <v>553</v>
      </c>
      <c r="AI29903" s="831">
        <v>0</v>
      </c>
      <c r="AJ29903" s="835">
        <v>42094</v>
      </c>
      <c r="AK29903" s="831">
        <v>52425000</v>
      </c>
    </row>
    <row r="29904" spans="32:37">
      <c r="AF29904" s="831" t="s">
        <v>11951</v>
      </c>
      <c r="AG29904" s="831" t="s">
        <v>2674</v>
      </c>
      <c r="AH29904" s="831" t="s">
        <v>552</v>
      </c>
      <c r="AI29904" s="831">
        <v>0</v>
      </c>
      <c r="AJ29904" s="835">
        <v>42094</v>
      </c>
      <c r="AK29904" s="831">
        <v>0</v>
      </c>
    </row>
    <row r="29905" spans="32:37">
      <c r="AF29905" s="831" t="s">
        <v>11952</v>
      </c>
      <c r="AG29905" s="831" t="s">
        <v>2674</v>
      </c>
      <c r="AH29905" s="831" t="s">
        <v>551</v>
      </c>
      <c r="AI29905" s="831">
        <v>0</v>
      </c>
      <c r="AJ29905" s="835">
        <v>42094</v>
      </c>
      <c r="AK29905" s="831">
        <v>8543411</v>
      </c>
    </row>
    <row r="29906" spans="32:37">
      <c r="AF29906" s="831" t="s">
        <v>11953</v>
      </c>
      <c r="AG29906" s="831" t="s">
        <v>2674</v>
      </c>
      <c r="AH29906" s="831" t="s">
        <v>550</v>
      </c>
      <c r="AI29906" s="831">
        <v>0</v>
      </c>
      <c r="AJ29906" s="835">
        <v>42094</v>
      </c>
      <c r="AK29906" s="831">
        <v>143500530</v>
      </c>
    </row>
    <row r="29907" spans="32:37">
      <c r="AF29907" s="831" t="s">
        <v>11954</v>
      </c>
      <c r="AG29907" s="831" t="s">
        <v>2674</v>
      </c>
      <c r="AH29907" s="831" t="s">
        <v>562</v>
      </c>
      <c r="AI29907" s="831">
        <v>0</v>
      </c>
      <c r="AJ29907" s="835">
        <v>42094</v>
      </c>
      <c r="AK29907" s="831">
        <v>1.0495000000000001</v>
      </c>
    </row>
    <row r="29908" spans="32:37">
      <c r="AF29908" s="831" t="s">
        <v>11955</v>
      </c>
      <c r="AG29908" s="831" t="s">
        <v>2674</v>
      </c>
      <c r="AH29908" s="831" t="s">
        <v>2698</v>
      </c>
      <c r="AI29908" s="831">
        <v>0</v>
      </c>
      <c r="AJ29908" s="835">
        <v>42094</v>
      </c>
      <c r="AK29908" s="831">
        <v>1.04575</v>
      </c>
    </row>
    <row r="29909" spans="32:37">
      <c r="AF29909" s="831" t="s">
        <v>11956</v>
      </c>
      <c r="AG29909" s="831" t="s">
        <v>2674</v>
      </c>
      <c r="AH29909" s="831" t="s">
        <v>560</v>
      </c>
      <c r="AI29909" s="831">
        <v>0</v>
      </c>
      <c r="AJ29909" s="835">
        <v>42094</v>
      </c>
      <c r="AK29909" s="831">
        <v>0.95988333333333331</v>
      </c>
    </row>
    <row r="29910" spans="32:37">
      <c r="AF29910" s="831" t="s">
        <v>11957</v>
      </c>
      <c r="AG29910" s="831" t="s">
        <v>2674</v>
      </c>
      <c r="AH29910" s="831" t="s">
        <v>559</v>
      </c>
      <c r="AI29910" s="831">
        <v>0</v>
      </c>
      <c r="AJ29910" s="835">
        <v>42094</v>
      </c>
      <c r="AK29910" s="831">
        <v>0.82766666666666655</v>
      </c>
    </row>
    <row r="29911" spans="32:37">
      <c r="AF29911" s="831" t="s">
        <v>11958</v>
      </c>
      <c r="AG29911" s="831" t="s">
        <v>2674</v>
      </c>
      <c r="AH29911" s="831" t="s">
        <v>568</v>
      </c>
      <c r="AI29911" s="831">
        <v>0</v>
      </c>
      <c r="AJ29911" s="835">
        <v>42094</v>
      </c>
      <c r="AK29911" s="831">
        <v>785705621.53846157</v>
      </c>
    </row>
    <row r="29912" spans="32:37">
      <c r="AF29912" s="831" t="s">
        <v>11959</v>
      </c>
      <c r="AG29912" s="831" t="s">
        <v>2674</v>
      </c>
      <c r="AH29912" s="831" t="s">
        <v>569</v>
      </c>
      <c r="AI29912" s="831">
        <v>0</v>
      </c>
      <c r="AJ29912" s="835">
        <v>42094</v>
      </c>
      <c r="AK29912" s="831">
        <v>984393199.30769229</v>
      </c>
    </row>
    <row r="29913" spans="32:37">
      <c r="AF29913" s="831" t="s">
        <v>11960</v>
      </c>
      <c r="AG29913" s="831" t="s">
        <v>2674</v>
      </c>
      <c r="AH29913" s="831" t="s">
        <v>570</v>
      </c>
      <c r="AI29913" s="831">
        <v>0</v>
      </c>
      <c r="AJ29913" s="835">
        <v>42094</v>
      </c>
      <c r="AK29913" s="831">
        <v>140931158.46384615</v>
      </c>
    </row>
    <row r="29914" spans="32:37">
      <c r="AF29914" s="831" t="s">
        <v>11961</v>
      </c>
      <c r="AG29914" s="831" t="s">
        <v>2674</v>
      </c>
      <c r="AH29914" s="831" t="s">
        <v>571</v>
      </c>
      <c r="AI29914" s="831">
        <v>0</v>
      </c>
      <c r="AJ29914" s="835">
        <v>42094</v>
      </c>
      <c r="AK29914" s="831">
        <v>502500066.26284611</v>
      </c>
    </row>
    <row r="29915" spans="32:37">
      <c r="AF29915" s="831" t="s">
        <v>11962</v>
      </c>
      <c r="AG29915" s="831" t="s">
        <v>2674</v>
      </c>
      <c r="AH29915" s="831" t="s">
        <v>573</v>
      </c>
      <c r="AI29915" s="831">
        <v>0</v>
      </c>
      <c r="AJ29915" s="835">
        <v>42094</v>
      </c>
      <c r="AK29915" s="831">
        <v>1125471362.25</v>
      </c>
    </row>
    <row r="29916" spans="32:37">
      <c r="AF29916" s="831" t="s">
        <v>11963</v>
      </c>
      <c r="AG29916" s="831" t="s">
        <v>2674</v>
      </c>
      <c r="AH29916" s="831" t="s">
        <v>574</v>
      </c>
      <c r="AI29916" s="831">
        <v>0</v>
      </c>
      <c r="AJ29916" s="835">
        <v>42094</v>
      </c>
      <c r="AK29916" s="831">
        <v>887447709.5</v>
      </c>
    </row>
    <row r="29917" spans="32:37">
      <c r="AF29917" s="831" t="s">
        <v>11964</v>
      </c>
      <c r="AG29917" s="831" t="s">
        <v>2674</v>
      </c>
      <c r="AH29917" s="831" t="s">
        <v>575</v>
      </c>
      <c r="AI29917" s="831">
        <v>0</v>
      </c>
      <c r="AJ29917" s="835">
        <v>42094</v>
      </c>
      <c r="AK29917" s="831">
        <v>146394222</v>
      </c>
    </row>
    <row r="29918" spans="32:37">
      <c r="AF29918" s="831" t="s">
        <v>11965</v>
      </c>
      <c r="AG29918" s="831" t="s">
        <v>2674</v>
      </c>
      <c r="AH29918" s="831" t="s">
        <v>576</v>
      </c>
      <c r="AI29918" s="831">
        <v>0</v>
      </c>
      <c r="AJ29918" s="835">
        <v>42094</v>
      </c>
      <c r="AK29918" s="831">
        <v>606715260</v>
      </c>
    </row>
    <row r="29919" spans="32:37">
      <c r="AF29919" s="831" t="s">
        <v>11966</v>
      </c>
      <c r="AG29919" s="831" t="s">
        <v>2674</v>
      </c>
      <c r="AH29919" s="831" t="s">
        <v>572</v>
      </c>
      <c r="AI29919" s="831">
        <v>0</v>
      </c>
      <c r="AJ29919" s="835">
        <v>42094</v>
      </c>
      <c r="AK29919" s="831">
        <v>36560084</v>
      </c>
    </row>
    <row r="29920" spans="32:37">
      <c r="AF29920" s="831" t="s">
        <v>11967</v>
      </c>
      <c r="AG29920" s="831" t="s">
        <v>2674</v>
      </c>
      <c r="AH29920" s="831" t="s">
        <v>577</v>
      </c>
      <c r="AI29920" s="831">
        <v>0</v>
      </c>
      <c r="AJ29920" s="835">
        <v>42094</v>
      </c>
      <c r="AK29920" s="831">
        <v>179877214</v>
      </c>
    </row>
    <row r="29921" spans="32:37">
      <c r="AF29921" s="831" t="s">
        <v>11968</v>
      </c>
      <c r="AG29921" s="831" t="s">
        <v>2674</v>
      </c>
      <c r="AH29921" s="831" t="s">
        <v>3042</v>
      </c>
      <c r="AI29921" s="831">
        <v>0</v>
      </c>
      <c r="AJ29921" s="835">
        <v>42094</v>
      </c>
      <c r="AK29921" s="831">
        <v>-55010221</v>
      </c>
    </row>
    <row r="29922" spans="32:37">
      <c r="AF29922" s="831" t="s">
        <v>11969</v>
      </c>
      <c r="AG29922" s="831" t="s">
        <v>2674</v>
      </c>
      <c r="AH29922" s="831" t="s">
        <v>3044</v>
      </c>
      <c r="AI29922" s="831">
        <v>0</v>
      </c>
      <c r="AJ29922" s="835">
        <v>42094</v>
      </c>
      <c r="AK29922" s="831">
        <v>-2080886</v>
      </c>
    </row>
    <row r="29923" spans="32:37">
      <c r="AF29923" s="831" t="s">
        <v>11970</v>
      </c>
      <c r="AG29923" s="831" t="s">
        <v>2674</v>
      </c>
      <c r="AH29923" s="831" t="s">
        <v>580</v>
      </c>
      <c r="AI29923" s="831">
        <v>0</v>
      </c>
      <c r="AJ29923" s="835">
        <v>42094</v>
      </c>
      <c r="AK29923" s="831">
        <v>-82773578</v>
      </c>
    </row>
    <row r="29924" spans="32:37">
      <c r="AF29924" s="831" t="s">
        <v>11971</v>
      </c>
      <c r="AG29924" s="831" t="s">
        <v>2674</v>
      </c>
      <c r="AH29924" s="831" t="s">
        <v>581</v>
      </c>
      <c r="AI29924" s="831">
        <v>0</v>
      </c>
      <c r="AJ29924" s="835">
        <v>42094</v>
      </c>
      <c r="AK29924" s="831">
        <v>10684351</v>
      </c>
    </row>
    <row r="29925" spans="32:37">
      <c r="AF29925" s="831" t="s">
        <v>11972</v>
      </c>
      <c r="AG29925" s="831" t="s">
        <v>2674</v>
      </c>
      <c r="AH29925" s="831" t="s">
        <v>105</v>
      </c>
      <c r="AI29925" s="831">
        <v>0</v>
      </c>
      <c r="AJ29925" s="835">
        <v>42094</v>
      </c>
      <c r="AK29925" s="831">
        <v>641529836</v>
      </c>
    </row>
    <row r="29926" spans="32:37">
      <c r="AF29926" s="831" t="s">
        <v>11973</v>
      </c>
      <c r="AG29926" s="831" t="s">
        <v>2674</v>
      </c>
      <c r="AH29926" s="831" t="s">
        <v>3049</v>
      </c>
      <c r="AI29926" s="831">
        <v>0</v>
      </c>
      <c r="AJ29926" s="835">
        <v>42094</v>
      </c>
      <c r="AK29926" s="831">
        <v>986480670</v>
      </c>
    </row>
    <row r="29927" spans="32:37">
      <c r="AF29927" s="831" t="s">
        <v>11974</v>
      </c>
      <c r="AG29927" s="831" t="s">
        <v>2674</v>
      </c>
      <c r="AH29927" s="831" t="s">
        <v>103</v>
      </c>
      <c r="AI29927" s="831">
        <v>0</v>
      </c>
      <c r="AJ29927" s="835">
        <v>42094</v>
      </c>
      <c r="AK29927" s="831">
        <v>344950834</v>
      </c>
    </row>
    <row r="29928" spans="32:37">
      <c r="AF29928" s="831" t="s">
        <v>11975</v>
      </c>
      <c r="AG29928" s="831" t="s">
        <v>2674</v>
      </c>
      <c r="AH29928" s="831" t="s">
        <v>182</v>
      </c>
      <c r="AI29928" s="831">
        <v>0</v>
      </c>
      <c r="AJ29928" s="835">
        <v>42094</v>
      </c>
      <c r="AK29928" s="831">
        <v>85077948</v>
      </c>
    </row>
    <row r="29929" spans="32:37">
      <c r="AF29929" s="831" t="s">
        <v>11976</v>
      </c>
      <c r="AG29929" s="831" t="s">
        <v>2674</v>
      </c>
      <c r="AH29929" s="831" t="s">
        <v>6600</v>
      </c>
      <c r="AI29929" s="831">
        <v>0</v>
      </c>
      <c r="AJ29929" s="835">
        <v>42094</v>
      </c>
      <c r="AK29929" s="831">
        <v>36560084</v>
      </c>
    </row>
    <row r="29930" spans="32:37">
      <c r="AF29930" s="831" t="s">
        <v>11977</v>
      </c>
      <c r="AG29930" s="831" t="s">
        <v>2674</v>
      </c>
      <c r="AH29930" s="831" t="s">
        <v>6602</v>
      </c>
      <c r="AI29930" s="831">
        <v>0</v>
      </c>
      <c r="AJ29930" s="835">
        <v>42094</v>
      </c>
      <c r="AK29930" s="831">
        <v>2398849</v>
      </c>
    </row>
    <row r="29931" spans="32:37">
      <c r="AF29931" s="831" t="s">
        <v>11978</v>
      </c>
      <c r="AG29931" s="831" t="s">
        <v>2674</v>
      </c>
      <c r="AH29931" s="831" t="s">
        <v>650</v>
      </c>
      <c r="AI29931" s="831">
        <v>0</v>
      </c>
      <c r="AJ29931" s="835">
        <v>42094</v>
      </c>
      <c r="AK29931" s="831">
        <v>315233998.53846157</v>
      </c>
    </row>
    <row r="29932" spans="32:37">
      <c r="AF29932" s="831" t="s">
        <v>11979</v>
      </c>
      <c r="AG29932" s="831" t="s">
        <v>2674</v>
      </c>
      <c r="AH29932" s="831" t="s">
        <v>655</v>
      </c>
      <c r="AI29932" s="831">
        <v>0</v>
      </c>
      <c r="AJ29932" s="835">
        <v>42094</v>
      </c>
      <c r="AK29932" s="831">
        <v>7308574</v>
      </c>
    </row>
    <row r="29933" spans="32:37">
      <c r="AF29933" s="831" t="s">
        <v>11980</v>
      </c>
      <c r="AG29933" s="831" t="s">
        <v>2674</v>
      </c>
      <c r="AH29933" s="831" t="s">
        <v>546</v>
      </c>
      <c r="AI29933" s="831">
        <v>0</v>
      </c>
      <c r="AJ29933" s="835">
        <v>42124</v>
      </c>
      <c r="AK29933" s="831">
        <v>887135523</v>
      </c>
    </row>
    <row r="29934" spans="32:37">
      <c r="AF29934" s="831" t="s">
        <v>11981</v>
      </c>
      <c r="AG29934" s="831" t="s">
        <v>2674</v>
      </c>
      <c r="AH29934" s="831" t="s">
        <v>370</v>
      </c>
      <c r="AI29934" s="831">
        <v>0</v>
      </c>
      <c r="AJ29934" s="835">
        <v>42124</v>
      </c>
      <c r="AK29934" s="831">
        <v>1155982366</v>
      </c>
    </row>
    <row r="29935" spans="32:37">
      <c r="AF29935" s="831" t="s">
        <v>11982</v>
      </c>
      <c r="AG29935" s="831" t="s">
        <v>2674</v>
      </c>
      <c r="AH29935" s="831" t="s">
        <v>126</v>
      </c>
      <c r="AI29935" s="831">
        <v>0</v>
      </c>
      <c r="AJ29935" s="835">
        <v>42124</v>
      </c>
      <c r="AK29935" s="831">
        <v>148898855</v>
      </c>
    </row>
    <row r="29936" spans="32:37">
      <c r="AF29936" s="831" t="s">
        <v>11983</v>
      </c>
      <c r="AG29936" s="831" t="s">
        <v>2674</v>
      </c>
      <c r="AH29936" s="831" t="s">
        <v>268</v>
      </c>
      <c r="AI29936" s="831">
        <v>0</v>
      </c>
      <c r="AJ29936" s="835">
        <v>42124</v>
      </c>
      <c r="AK29936" s="831">
        <v>3490177</v>
      </c>
    </row>
    <row r="29937" spans="32:37">
      <c r="AF29937" s="831" t="s">
        <v>11984</v>
      </c>
      <c r="AG29937" s="831" t="s">
        <v>2674</v>
      </c>
      <c r="AH29937" s="831" t="s">
        <v>547</v>
      </c>
      <c r="AI29937" s="831">
        <v>0</v>
      </c>
      <c r="AJ29937" s="835">
        <v>42124</v>
      </c>
      <c r="AK29937" s="831">
        <v>1044609243</v>
      </c>
    </row>
    <row r="29938" spans="32:37">
      <c r="AF29938" s="831" t="s">
        <v>11985</v>
      </c>
      <c r="AG29938" s="831" t="s">
        <v>2674</v>
      </c>
      <c r="AH29938" s="831" t="s">
        <v>548</v>
      </c>
      <c r="AI29938" s="831">
        <v>0</v>
      </c>
      <c r="AJ29938" s="835">
        <v>42124</v>
      </c>
      <c r="AK29938" s="831">
        <v>148860224</v>
      </c>
    </row>
    <row r="29939" spans="32:37">
      <c r="AF29939" s="831" t="s">
        <v>11986</v>
      </c>
      <c r="AG29939" s="831" t="s">
        <v>2674</v>
      </c>
      <c r="AH29939" s="831" t="s">
        <v>549</v>
      </c>
      <c r="AI29939" s="831">
        <v>0</v>
      </c>
      <c r="AJ29939" s="835">
        <v>42124</v>
      </c>
      <c r="AK29939" s="831">
        <v>695634421</v>
      </c>
    </row>
    <row r="29940" spans="32:37">
      <c r="AF29940" s="831" t="s">
        <v>11987</v>
      </c>
      <c r="AG29940" s="831" t="s">
        <v>2674</v>
      </c>
      <c r="AH29940" s="831" t="s">
        <v>192</v>
      </c>
      <c r="AI29940" s="831">
        <v>0</v>
      </c>
      <c r="AJ29940" s="835">
        <v>42124</v>
      </c>
      <c r="AK29940" s="831">
        <v>-17978430</v>
      </c>
    </row>
    <row r="29941" spans="32:37">
      <c r="AF29941" s="831" t="s">
        <v>11988</v>
      </c>
      <c r="AG29941" s="831" t="s">
        <v>2674</v>
      </c>
      <c r="AH29941" s="831" t="s">
        <v>558</v>
      </c>
      <c r="AI29941" s="831">
        <v>0</v>
      </c>
      <c r="AJ29941" s="835">
        <v>42124</v>
      </c>
      <c r="AK29941" s="831">
        <v>1007083670</v>
      </c>
    </row>
    <row r="29942" spans="32:37">
      <c r="AF29942" s="831" t="s">
        <v>11989</v>
      </c>
      <c r="AG29942" s="831" t="s">
        <v>2674</v>
      </c>
      <c r="AH29942" s="831" t="s">
        <v>65</v>
      </c>
      <c r="AI29942" s="831">
        <v>0</v>
      </c>
      <c r="AJ29942" s="835">
        <v>42124</v>
      </c>
      <c r="AK29942" s="831">
        <v>64640929</v>
      </c>
    </row>
    <row r="29943" spans="32:37">
      <c r="AF29943" s="831" t="s">
        <v>11990</v>
      </c>
      <c r="AG29943" s="831" t="s">
        <v>2674</v>
      </c>
      <c r="AH29943" s="831" t="s">
        <v>89</v>
      </c>
      <c r="AI29943" s="831">
        <v>0</v>
      </c>
      <c r="AJ29943" s="835">
        <v>42124</v>
      </c>
      <c r="AK29943" s="831">
        <v>147391</v>
      </c>
    </row>
    <row r="29944" spans="32:37">
      <c r="AF29944" s="831" t="s">
        <v>11991</v>
      </c>
      <c r="AG29944" s="831" t="s">
        <v>2674</v>
      </c>
      <c r="AH29944" s="831" t="s">
        <v>557</v>
      </c>
      <c r="AI29944" s="831">
        <v>0</v>
      </c>
      <c r="AJ29944" s="835">
        <v>42124</v>
      </c>
      <c r="AK29944" s="831">
        <v>168436</v>
      </c>
    </row>
    <row r="29945" spans="32:37">
      <c r="AF29945" s="831" t="s">
        <v>11992</v>
      </c>
      <c r="AG29945" s="831" t="s">
        <v>2674</v>
      </c>
      <c r="AH29945" s="831" t="s">
        <v>29</v>
      </c>
      <c r="AI29945" s="831">
        <v>0</v>
      </c>
      <c r="AJ29945" s="835">
        <v>42124</v>
      </c>
      <c r="AK29945" s="831">
        <v>18420222</v>
      </c>
    </row>
    <row r="29946" spans="32:37">
      <c r="AF29946" s="831" t="s">
        <v>11993</v>
      </c>
      <c r="AG29946" s="831" t="s">
        <v>2674</v>
      </c>
      <c r="AH29946" s="831" t="s">
        <v>2688</v>
      </c>
      <c r="AI29946" s="831">
        <v>0</v>
      </c>
      <c r="AJ29946" s="835">
        <v>42124</v>
      </c>
      <c r="AK29946" s="831">
        <v>149665387</v>
      </c>
    </row>
    <row r="29947" spans="32:37">
      <c r="AF29947" s="831" t="s">
        <v>11994</v>
      </c>
      <c r="AG29947" s="831" t="s">
        <v>2674</v>
      </c>
      <c r="AH29947" s="831" t="s">
        <v>556</v>
      </c>
      <c r="AI29947" s="831">
        <v>0</v>
      </c>
      <c r="AJ29947" s="835">
        <v>42124</v>
      </c>
      <c r="AK29947" s="831">
        <v>11412135</v>
      </c>
    </row>
    <row r="29948" spans="32:37">
      <c r="AF29948" s="831" t="s">
        <v>11995</v>
      </c>
      <c r="AG29948" s="831" t="s">
        <v>2674</v>
      </c>
      <c r="AH29948" s="831" t="s">
        <v>555</v>
      </c>
      <c r="AI29948" s="831">
        <v>0</v>
      </c>
      <c r="AJ29948" s="835">
        <v>42124</v>
      </c>
      <c r="AK29948" s="831">
        <v>781614407</v>
      </c>
    </row>
    <row r="29949" spans="32:37">
      <c r="AF29949" s="831" t="s">
        <v>11996</v>
      </c>
      <c r="AG29949" s="831" t="s">
        <v>2674</v>
      </c>
      <c r="AH29949" s="831" t="s">
        <v>554</v>
      </c>
      <c r="AI29949" s="831">
        <v>0</v>
      </c>
      <c r="AJ29949" s="835">
        <v>42124</v>
      </c>
      <c r="AK29949" s="831">
        <v>811049609</v>
      </c>
    </row>
    <row r="29950" spans="32:37">
      <c r="AF29950" s="831" t="s">
        <v>11997</v>
      </c>
      <c r="AG29950" s="831" t="s">
        <v>2674</v>
      </c>
      <c r="AH29950" s="831" t="s">
        <v>553</v>
      </c>
      <c r="AI29950" s="831">
        <v>0</v>
      </c>
      <c r="AJ29950" s="835">
        <v>42124</v>
      </c>
      <c r="AK29950" s="831">
        <v>47191500</v>
      </c>
    </row>
    <row r="29951" spans="32:37">
      <c r="AF29951" s="831" t="s">
        <v>11998</v>
      </c>
      <c r="AG29951" s="831" t="s">
        <v>2674</v>
      </c>
      <c r="AH29951" s="831" t="s">
        <v>552</v>
      </c>
      <c r="AI29951" s="831">
        <v>0</v>
      </c>
      <c r="AJ29951" s="835">
        <v>42124</v>
      </c>
      <c r="AK29951" s="831">
        <v>0</v>
      </c>
    </row>
    <row r="29952" spans="32:37">
      <c r="AF29952" s="831" t="s">
        <v>11999</v>
      </c>
      <c r="AG29952" s="831" t="s">
        <v>2674</v>
      </c>
      <c r="AH29952" s="831" t="s">
        <v>551</v>
      </c>
      <c r="AI29952" s="831">
        <v>0</v>
      </c>
      <c r="AJ29952" s="835">
        <v>42124</v>
      </c>
      <c r="AK29952" s="831">
        <v>10773380</v>
      </c>
    </row>
    <row r="29953" spans="32:37">
      <c r="AF29953" s="831" t="s">
        <v>12000</v>
      </c>
      <c r="AG29953" s="831" t="s">
        <v>2674</v>
      </c>
      <c r="AH29953" s="831" t="s">
        <v>550</v>
      </c>
      <c r="AI29953" s="831">
        <v>0</v>
      </c>
      <c r="AJ29953" s="835">
        <v>42124</v>
      </c>
      <c r="AK29953" s="831">
        <v>147807134</v>
      </c>
    </row>
    <row r="29954" spans="32:37">
      <c r="AF29954" s="831" t="s">
        <v>12001</v>
      </c>
      <c r="AG29954" s="831" t="s">
        <v>2674</v>
      </c>
      <c r="AH29954" s="831" t="s">
        <v>562</v>
      </c>
      <c r="AI29954" s="831">
        <v>0</v>
      </c>
      <c r="AJ29954" s="835">
        <v>42124</v>
      </c>
      <c r="AK29954" s="831">
        <v>1.0471999999999999</v>
      </c>
    </row>
    <row r="29955" spans="32:37">
      <c r="AF29955" s="831" t="s">
        <v>12002</v>
      </c>
      <c r="AG29955" s="831" t="s">
        <v>2674</v>
      </c>
      <c r="AH29955" s="831" t="s">
        <v>2698</v>
      </c>
      <c r="AI29955" s="831">
        <v>0</v>
      </c>
      <c r="AJ29955" s="835">
        <v>42124</v>
      </c>
      <c r="AK29955" s="831">
        <v>1.0495000000000001</v>
      </c>
    </row>
    <row r="29956" spans="32:37">
      <c r="AF29956" s="831" t="s">
        <v>12003</v>
      </c>
      <c r="AG29956" s="831" t="s">
        <v>2674</v>
      </c>
      <c r="AH29956" s="831" t="s">
        <v>560</v>
      </c>
      <c r="AI29956" s="831">
        <v>0</v>
      </c>
      <c r="AJ29956" s="835">
        <v>42124</v>
      </c>
      <c r="AK29956" s="831">
        <v>0.98171249999999999</v>
      </c>
    </row>
    <row r="29957" spans="32:37">
      <c r="AF29957" s="831" t="s">
        <v>12004</v>
      </c>
      <c r="AG29957" s="831" t="s">
        <v>2674</v>
      </c>
      <c r="AH29957" s="831" t="s">
        <v>559</v>
      </c>
      <c r="AI29957" s="831">
        <v>0</v>
      </c>
      <c r="AJ29957" s="835">
        <v>42124</v>
      </c>
      <c r="AK29957" s="831">
        <v>0.84962083333333327</v>
      </c>
    </row>
    <row r="29958" spans="32:37">
      <c r="AF29958" s="831" t="s">
        <v>12005</v>
      </c>
      <c r="AG29958" s="831" t="s">
        <v>2674</v>
      </c>
      <c r="AH29958" s="831" t="s">
        <v>568</v>
      </c>
      <c r="AI29958" s="831">
        <v>0</v>
      </c>
      <c r="AJ29958" s="835">
        <v>42124</v>
      </c>
      <c r="AK29958" s="831">
        <v>802858062.76923072</v>
      </c>
    </row>
    <row r="29959" spans="32:37">
      <c r="AF29959" s="831" t="s">
        <v>12006</v>
      </c>
      <c r="AG29959" s="831" t="s">
        <v>2674</v>
      </c>
      <c r="AH29959" s="831" t="s">
        <v>569</v>
      </c>
      <c r="AI29959" s="831">
        <v>0</v>
      </c>
      <c r="AJ29959" s="835">
        <v>42124</v>
      </c>
      <c r="AK29959" s="831">
        <v>1009137751.8461539</v>
      </c>
    </row>
    <row r="29960" spans="32:37">
      <c r="AF29960" s="831" t="s">
        <v>12007</v>
      </c>
      <c r="AG29960" s="831" t="s">
        <v>2674</v>
      </c>
      <c r="AH29960" s="831" t="s">
        <v>570</v>
      </c>
      <c r="AI29960" s="831">
        <v>0</v>
      </c>
      <c r="AJ29960" s="835">
        <v>42124</v>
      </c>
      <c r="AK29960" s="831">
        <v>142830548.07923076</v>
      </c>
    </row>
    <row r="29961" spans="32:37">
      <c r="AF29961" s="831" t="s">
        <v>12008</v>
      </c>
      <c r="AG29961" s="831" t="s">
        <v>2674</v>
      </c>
      <c r="AH29961" s="831" t="s">
        <v>571</v>
      </c>
      <c r="AI29961" s="831">
        <v>0</v>
      </c>
      <c r="AJ29961" s="835">
        <v>42124</v>
      </c>
      <c r="AK29961" s="831">
        <v>521003105.80130768</v>
      </c>
    </row>
    <row r="29962" spans="32:37">
      <c r="AF29962" s="831" t="s">
        <v>12009</v>
      </c>
      <c r="AG29962" s="831" t="s">
        <v>2674</v>
      </c>
      <c r="AH29962" s="831" t="s">
        <v>573</v>
      </c>
      <c r="AI29962" s="831">
        <v>0</v>
      </c>
      <c r="AJ29962" s="835">
        <v>42124</v>
      </c>
      <c r="AK29962" s="831">
        <v>1131573563</v>
      </c>
    </row>
    <row r="29963" spans="32:37">
      <c r="AF29963" s="831" t="s">
        <v>12010</v>
      </c>
      <c r="AG29963" s="831" t="s">
        <v>2674</v>
      </c>
      <c r="AH29963" s="831" t="s">
        <v>574</v>
      </c>
      <c r="AI29963" s="831">
        <v>0</v>
      </c>
      <c r="AJ29963" s="835">
        <v>42124</v>
      </c>
      <c r="AK29963" s="831">
        <v>887385272.20000005</v>
      </c>
    </row>
    <row r="29964" spans="32:37">
      <c r="AF29964" s="831" t="s">
        <v>12011</v>
      </c>
      <c r="AG29964" s="831" t="s">
        <v>2674</v>
      </c>
      <c r="AH29964" s="831" t="s">
        <v>575</v>
      </c>
      <c r="AI29964" s="831">
        <v>0</v>
      </c>
      <c r="AJ29964" s="835">
        <v>42124</v>
      </c>
      <c r="AK29964" s="831">
        <v>146895148.59999999</v>
      </c>
    </row>
    <row r="29965" spans="32:37">
      <c r="AF29965" s="831" t="s">
        <v>12012</v>
      </c>
      <c r="AG29965" s="831" t="s">
        <v>2674</v>
      </c>
      <c r="AH29965" s="831" t="s">
        <v>576</v>
      </c>
      <c r="AI29965" s="831">
        <v>0</v>
      </c>
      <c r="AJ29965" s="835">
        <v>42124</v>
      </c>
      <c r="AK29965" s="831">
        <v>615700522.39999998</v>
      </c>
    </row>
    <row r="29966" spans="32:37">
      <c r="AF29966" s="831" t="s">
        <v>12013</v>
      </c>
      <c r="AG29966" s="831" t="s">
        <v>2674</v>
      </c>
      <c r="AH29966" s="831" t="s">
        <v>572</v>
      </c>
      <c r="AI29966" s="831">
        <v>0</v>
      </c>
      <c r="AJ29966" s="835">
        <v>42124</v>
      </c>
      <c r="AK29966" s="831">
        <v>34629345</v>
      </c>
    </row>
    <row r="29967" spans="32:37">
      <c r="AF29967" s="831" t="s">
        <v>12014</v>
      </c>
      <c r="AG29967" s="831" t="s">
        <v>2674</v>
      </c>
      <c r="AH29967" s="831" t="s">
        <v>577</v>
      </c>
      <c r="AI29967" s="831">
        <v>0</v>
      </c>
      <c r="AJ29967" s="835">
        <v>42124</v>
      </c>
      <c r="AK29967" s="831">
        <v>182065430</v>
      </c>
    </row>
    <row r="29968" spans="32:37">
      <c r="AF29968" s="831" t="s">
        <v>12015</v>
      </c>
      <c r="AG29968" s="831" t="s">
        <v>2674</v>
      </c>
      <c r="AH29968" s="831" t="s">
        <v>3042</v>
      </c>
      <c r="AI29968" s="831">
        <v>0</v>
      </c>
      <c r="AJ29968" s="835">
        <v>42124</v>
      </c>
      <c r="AK29968" s="831">
        <v>-55986090</v>
      </c>
    </row>
    <row r="29969" spans="32:37">
      <c r="AF29969" s="831" t="s">
        <v>12016</v>
      </c>
      <c r="AG29969" s="831" t="s">
        <v>2674</v>
      </c>
      <c r="AH29969" s="831" t="s">
        <v>3044</v>
      </c>
      <c r="AI29969" s="831">
        <v>0</v>
      </c>
      <c r="AJ29969" s="835">
        <v>42124</v>
      </c>
      <c r="AK29969" s="831">
        <v>-4711846</v>
      </c>
    </row>
    <row r="29970" spans="32:37">
      <c r="AF29970" s="831" t="s">
        <v>12017</v>
      </c>
      <c r="AG29970" s="831" t="s">
        <v>2674</v>
      </c>
      <c r="AH29970" s="831" t="s">
        <v>580</v>
      </c>
      <c r="AI29970" s="831">
        <v>0</v>
      </c>
      <c r="AJ29970" s="835">
        <v>42124</v>
      </c>
      <c r="AK29970" s="831">
        <v>-84657241</v>
      </c>
    </row>
    <row r="29971" spans="32:37">
      <c r="AF29971" s="831" t="s">
        <v>12018</v>
      </c>
      <c r="AG29971" s="831" t="s">
        <v>2674</v>
      </c>
      <c r="AH29971" s="831" t="s">
        <v>581</v>
      </c>
      <c r="AI29971" s="831">
        <v>0</v>
      </c>
      <c r="AJ29971" s="835">
        <v>42124</v>
      </c>
      <c r="AK29971" s="831">
        <v>11310907</v>
      </c>
    </row>
    <row r="29972" spans="32:37">
      <c r="AF29972" s="831" t="s">
        <v>12019</v>
      </c>
      <c r="AG29972" s="831" t="s">
        <v>2674</v>
      </c>
      <c r="AH29972" s="831" t="s">
        <v>105</v>
      </c>
      <c r="AI29972" s="831">
        <v>0</v>
      </c>
      <c r="AJ29972" s="835">
        <v>42124</v>
      </c>
      <c r="AK29972" s="831">
        <v>651641572</v>
      </c>
    </row>
    <row r="29973" spans="32:37">
      <c r="AF29973" s="831" t="s">
        <v>12020</v>
      </c>
      <c r="AG29973" s="831" t="s">
        <v>2674</v>
      </c>
      <c r="AH29973" s="831" t="s">
        <v>3049</v>
      </c>
      <c r="AI29973" s="831">
        <v>0</v>
      </c>
      <c r="AJ29973" s="835">
        <v>42124</v>
      </c>
      <c r="AK29973" s="831">
        <v>980090700</v>
      </c>
    </row>
    <row r="29974" spans="32:37">
      <c r="AF29974" s="831" t="s">
        <v>12021</v>
      </c>
      <c r="AG29974" s="831" t="s">
        <v>2674</v>
      </c>
      <c r="AH29974" s="831" t="s">
        <v>103</v>
      </c>
      <c r="AI29974" s="831">
        <v>0</v>
      </c>
      <c r="AJ29974" s="835">
        <v>42124</v>
      </c>
      <c r="AK29974" s="831">
        <v>328449128</v>
      </c>
    </row>
    <row r="29975" spans="32:37">
      <c r="AF29975" s="831" t="s">
        <v>12022</v>
      </c>
      <c r="AG29975" s="831" t="s">
        <v>2674</v>
      </c>
      <c r="AH29975" s="831" t="s">
        <v>182</v>
      </c>
      <c r="AI29975" s="831">
        <v>0</v>
      </c>
      <c r="AJ29975" s="835">
        <v>42124</v>
      </c>
      <c r="AK29975" s="831">
        <v>88699464</v>
      </c>
    </row>
    <row r="29976" spans="32:37">
      <c r="AF29976" s="831" t="s">
        <v>12023</v>
      </c>
      <c r="AG29976" s="831" t="s">
        <v>2674</v>
      </c>
      <c r="AH29976" s="831" t="s">
        <v>6600</v>
      </c>
      <c r="AI29976" s="831">
        <v>0</v>
      </c>
      <c r="AJ29976" s="835">
        <v>42124</v>
      </c>
      <c r="AK29976" s="831">
        <v>34629345</v>
      </c>
    </row>
    <row r="29977" spans="32:37">
      <c r="AF29977" s="831" t="s">
        <v>12024</v>
      </c>
      <c r="AG29977" s="831" t="s">
        <v>2674</v>
      </c>
      <c r="AH29977" s="831" t="s">
        <v>6602</v>
      </c>
      <c r="AI29977" s="831">
        <v>0</v>
      </c>
      <c r="AJ29977" s="835">
        <v>42124</v>
      </c>
      <c r="AK29977" s="831">
        <v>3490177</v>
      </c>
    </row>
    <row r="29978" spans="32:37">
      <c r="AF29978" s="831" t="s">
        <v>12025</v>
      </c>
      <c r="AG29978" s="831" t="s">
        <v>2674</v>
      </c>
      <c r="AH29978" s="831" t="s">
        <v>650</v>
      </c>
      <c r="AI29978" s="831">
        <v>0</v>
      </c>
      <c r="AJ29978" s="835">
        <v>42124</v>
      </c>
      <c r="AK29978" s="831">
        <v>319013929.69230771</v>
      </c>
    </row>
    <row r="29979" spans="32:37">
      <c r="AF29979" s="831" t="s">
        <v>12026</v>
      </c>
      <c r="AG29979" s="831" t="s">
        <v>2674</v>
      </c>
      <c r="AH29979" s="831" t="s">
        <v>655</v>
      </c>
      <c r="AI29979" s="831">
        <v>0</v>
      </c>
      <c r="AJ29979" s="835">
        <v>42124</v>
      </c>
      <c r="AK29979" s="831">
        <v>8145535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20"/>
  <sheetViews>
    <sheetView workbookViewId="0"/>
  </sheetViews>
  <sheetFormatPr defaultRowHeight="15"/>
  <cols>
    <col min="1" max="1" width="23.42578125" bestFit="1" customWidth="1"/>
    <col min="2" max="2" width="52.5703125" customWidth="1"/>
  </cols>
  <sheetData>
    <row r="1" spans="1:3">
      <c r="A1" s="1084" t="s">
        <v>622</v>
      </c>
      <c r="B1" s="1084"/>
    </row>
    <row r="2" spans="1:3">
      <c r="A2" s="1085" t="s">
        <v>623</v>
      </c>
      <c r="B2" s="1086" t="s">
        <v>624</v>
      </c>
    </row>
    <row r="3" spans="1:3">
      <c r="A3" s="1085" t="s">
        <v>625</v>
      </c>
      <c r="B3" s="1086">
        <v>7.9</v>
      </c>
    </row>
    <row r="4" spans="1:3">
      <c r="A4" s="1085" t="s">
        <v>626</v>
      </c>
      <c r="B4" s="1086"/>
    </row>
    <row r="5" spans="1:3">
      <c r="A5" s="258"/>
    </row>
    <row r="6" spans="1:3">
      <c r="A6" s="1084" t="s">
        <v>637</v>
      </c>
      <c r="B6" s="1084"/>
    </row>
    <row r="7" spans="1:3">
      <c r="A7" s="1085"/>
      <c r="B7" s="1085"/>
    </row>
    <row r="8" spans="1:3">
      <c r="A8" s="258"/>
    </row>
    <row r="9" spans="1:3">
      <c r="A9" s="1084" t="s">
        <v>627</v>
      </c>
      <c r="B9" s="1084"/>
    </row>
    <row r="10" spans="1:3">
      <c r="A10" s="1085" t="s">
        <v>469</v>
      </c>
      <c r="B10" s="1086" t="e">
        <f ca="1">OFFSET(mapping.mfi_detail.mfi_name,1,0)</f>
        <v>#NAME?</v>
      </c>
      <c r="C10" t="s">
        <v>665</v>
      </c>
    </row>
    <row r="11" spans="1:3">
      <c r="A11" s="1085" t="s">
        <v>426</v>
      </c>
      <c r="B11" s="1086" t="e">
        <f ca="1">OFFSET(mapping.mfi_detail.mfi_id,1,0)</f>
        <v>#NAME?</v>
      </c>
    </row>
    <row r="12" spans="1:3">
      <c r="A12" s="1085" t="s">
        <v>635</v>
      </c>
      <c r="B12" s="1086" t="e">
        <f ca="1">OFFSET(mapping.mfi_detail.reporting_currency,1,0)</f>
        <v>#NAME?</v>
      </c>
    </row>
    <row r="13" spans="1:3">
      <c r="A13" s="1085" t="s">
        <v>628</v>
      </c>
      <c r="B13" s="1086" t="e">
        <f ca="1">OFFSET(mapping.mfi_detail.country_name,1,0)</f>
        <v>#NAME?</v>
      </c>
    </row>
    <row r="14" spans="1:3">
      <c r="A14" s="1085" t="s">
        <v>629</v>
      </c>
      <c r="B14" s="1086" t="e">
        <f ca="1">OFFSET(mapping.mfi_detail.region_name,1,0)</f>
        <v>#NAME?</v>
      </c>
    </row>
    <row r="15" spans="1:3">
      <c r="A15" s="1085" t="s">
        <v>630</v>
      </c>
      <c r="B15" s="1086" t="e">
        <f ca="1">OFFSET(mapping.mfi_detail.region_id,1,0)</f>
        <v>#NAME?</v>
      </c>
    </row>
    <row r="16" spans="1:3">
      <c r="A16" s="1085" t="s">
        <v>631</v>
      </c>
      <c r="B16" s="1086" t="e">
        <f ca="1">OFFSET(mapping.mfi_detail.network,1,0)</f>
        <v>#NAME?</v>
      </c>
    </row>
    <row r="17" spans="1:2">
      <c r="A17" s="1085" t="s">
        <v>632</v>
      </c>
      <c r="B17" s="1086" t="e">
        <f ca="1">OFFSET(mapping.mfi_detail.date_established,1,0)</f>
        <v>#NAME?</v>
      </c>
    </row>
    <row r="18" spans="1:2">
      <c r="A18" s="1085" t="s">
        <v>633</v>
      </c>
      <c r="B18" s="1086" t="e">
        <f ca="1">OFFSET(mapping.mfi_detail.legal_status,1,0)</f>
        <v>#NAME?</v>
      </c>
    </row>
    <row r="19" spans="1:2">
      <c r="A19" s="1085" t="s">
        <v>636</v>
      </c>
      <c r="B19" s="1086" t="e">
        <f ca="1">OFFSET(mapping.mfi_detail.usd_fx_rate,1,0)</f>
        <v>#NAME?</v>
      </c>
    </row>
    <row r="20" spans="1:2">
      <c r="A20" s="1085" t="s">
        <v>634</v>
      </c>
      <c r="B20" s="1086" t="e">
        <f ca="1">OFFSET(mapping.mfi_detail.usd_eur_fx_rate,1,0)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N81"/>
  <sheetViews>
    <sheetView zoomScale="85" zoomScaleNormal="85" workbookViewId="0">
      <pane xSplit="2" ySplit="1" topLeftCell="AH2" activePane="bottomRight" state="frozen"/>
      <selection pane="topRight" activeCell="C1" sqref="C1"/>
      <selection pane="bottomLeft" activeCell="A2" sqref="A2"/>
      <selection pane="bottomRight" activeCell="C5" sqref="C5:AL5"/>
    </sheetView>
  </sheetViews>
  <sheetFormatPr defaultRowHeight="15" outlineLevelRow="1"/>
  <cols>
    <col min="1" max="1" width="12.7109375" style="831" customWidth="1"/>
    <col min="2" max="2" width="25.140625" style="683" customWidth="1"/>
    <col min="3" max="3" width="49.28515625" style="831" customWidth="1"/>
    <col min="4" max="38" width="15.5703125" style="831" customWidth="1"/>
    <col min="39" max="16384" width="9.140625" style="831"/>
  </cols>
  <sheetData>
    <row r="1" spans="1:40" outlineLevel="1">
      <c r="A1" s="879">
        <v>17</v>
      </c>
      <c r="B1" s="891" t="s">
        <v>566</v>
      </c>
      <c r="C1" s="892" t="str">
        <f>DATA_FORMATTING!E122</f>
        <v/>
      </c>
      <c r="D1" s="892" t="str">
        <f>DATA_FORMATTING!F122</f>
        <v/>
      </c>
      <c r="E1" s="892" t="str">
        <f>DATA_FORMATTING!G122</f>
        <v/>
      </c>
      <c r="F1" s="892" t="str">
        <f>DATA_FORMATTING!H122</f>
        <v/>
      </c>
      <c r="G1" s="892" t="str">
        <f>DATA_FORMATTING!I122</f>
        <v/>
      </c>
      <c r="H1" s="892" t="str">
        <f>DATA_FORMATTING!J122</f>
        <v/>
      </c>
      <c r="I1" s="892" t="str">
        <f>DATA_FORMATTING!K122</f>
        <v/>
      </c>
      <c r="J1" s="892" t="str">
        <f>DATA_FORMATTING!L122</f>
        <v/>
      </c>
      <c r="K1" s="892" t="str">
        <f>DATA_FORMATTING!M122</f>
        <v/>
      </c>
      <c r="L1" s="892" t="str">
        <f>DATA_FORMATTING!N122</f>
        <v/>
      </c>
      <c r="M1" s="892" t="str">
        <f>DATA_FORMATTING!O122</f>
        <v/>
      </c>
      <c r="N1" s="892" t="str">
        <f>DATA_FORMATTING!P122</f>
        <v/>
      </c>
      <c r="O1" s="892" t="str">
        <f>DATA_FORMATTING!Q122</f>
        <v/>
      </c>
      <c r="P1" s="892" t="str">
        <f>DATA_FORMATTING!R122</f>
        <v/>
      </c>
      <c r="Q1" s="892" t="str">
        <f>DATA_FORMATTING!S122</f>
        <v/>
      </c>
      <c r="R1" s="892" t="str">
        <f>DATA_FORMATTING!T122</f>
        <v/>
      </c>
      <c r="S1" s="892" t="str">
        <f>DATA_FORMATTING!U122</f>
        <v/>
      </c>
      <c r="T1" s="892" t="str">
        <f>DATA_FORMATTING!V122</f>
        <v/>
      </c>
      <c r="U1" s="892" t="str">
        <f>DATA_FORMATTING!W122</f>
        <v/>
      </c>
      <c r="V1" s="892" t="str">
        <f>DATA_FORMATTING!X122</f>
        <v/>
      </c>
      <c r="W1" s="892" t="str">
        <f>DATA_FORMATTING!Y122</f>
        <v/>
      </c>
      <c r="X1" s="892" t="str">
        <f>DATA_FORMATTING!Z122</f>
        <v/>
      </c>
      <c r="Y1" s="892" t="str">
        <f>DATA_FORMATTING!AA122</f>
        <v/>
      </c>
      <c r="Z1" s="892" t="str">
        <f>DATA_FORMATTING!AB122</f>
        <v/>
      </c>
      <c r="AA1" s="892" t="str">
        <f>DATA_FORMATTING!AC122</f>
        <v/>
      </c>
      <c r="AB1" s="892" t="str">
        <f>DATA_FORMATTING!AD122</f>
        <v/>
      </c>
      <c r="AC1" s="892" t="str">
        <f>DATA_FORMATTING!AE122</f>
        <v/>
      </c>
      <c r="AD1" s="892" t="str">
        <f>DATA_FORMATTING!AF122</f>
        <v/>
      </c>
      <c r="AE1" s="892" t="str">
        <f>DATA_FORMATTING!AG122</f>
        <v/>
      </c>
      <c r="AF1" s="892" t="str">
        <f>DATA_FORMATTING!AH122</f>
        <v/>
      </c>
      <c r="AG1" s="892" t="str">
        <f>DATA_FORMATTING!AI122</f>
        <v/>
      </c>
      <c r="AH1" s="892" t="str">
        <f>DATA_FORMATTING!AJ122</f>
        <v/>
      </c>
      <c r="AI1" s="892" t="str">
        <f>DATA_FORMATTING!AK122</f>
        <v/>
      </c>
      <c r="AJ1" s="892" t="str">
        <f>DATA_FORMATTING!AL122</f>
        <v/>
      </c>
      <c r="AK1" s="892" t="str">
        <f>DATA_FORMATTING!AM122</f>
        <v/>
      </c>
      <c r="AL1" s="892">
        <f>DATA_FORMATTING!AN122</f>
        <v>4</v>
      </c>
      <c r="AM1" s="887"/>
      <c r="AN1" s="887"/>
    </row>
    <row r="2" spans="1:40" outlineLevel="1">
      <c r="A2" t="s">
        <v>545</v>
      </c>
      <c r="B2" s="888" t="s">
        <v>565</v>
      </c>
      <c r="C2" s="887" t="e">
        <f t="shared" ref="C2:AL2" si="0">EOMONTH(C1,-1)</f>
        <v>#VALUE!</v>
      </c>
      <c r="D2" s="887" t="e">
        <f t="shared" si="0"/>
        <v>#VALUE!</v>
      </c>
      <c r="E2" s="887" t="e">
        <f t="shared" si="0"/>
        <v>#VALUE!</v>
      </c>
      <c r="F2" s="887" t="e">
        <f t="shared" si="0"/>
        <v>#VALUE!</v>
      </c>
      <c r="G2" s="887" t="e">
        <f t="shared" si="0"/>
        <v>#VALUE!</v>
      </c>
      <c r="H2" s="887" t="e">
        <f t="shared" si="0"/>
        <v>#VALUE!</v>
      </c>
      <c r="I2" s="887" t="e">
        <f t="shared" si="0"/>
        <v>#VALUE!</v>
      </c>
      <c r="J2" s="887" t="e">
        <f t="shared" si="0"/>
        <v>#VALUE!</v>
      </c>
      <c r="K2" s="887" t="e">
        <f t="shared" si="0"/>
        <v>#VALUE!</v>
      </c>
      <c r="L2" s="887" t="e">
        <f t="shared" si="0"/>
        <v>#VALUE!</v>
      </c>
      <c r="M2" s="887" t="e">
        <f t="shared" si="0"/>
        <v>#VALUE!</v>
      </c>
      <c r="N2" s="887" t="e">
        <f t="shared" si="0"/>
        <v>#VALUE!</v>
      </c>
      <c r="O2" s="887" t="e">
        <f t="shared" si="0"/>
        <v>#VALUE!</v>
      </c>
      <c r="P2" s="887" t="e">
        <f t="shared" si="0"/>
        <v>#VALUE!</v>
      </c>
      <c r="Q2" s="887" t="e">
        <f t="shared" si="0"/>
        <v>#VALUE!</v>
      </c>
      <c r="R2" s="887" t="e">
        <f t="shared" si="0"/>
        <v>#VALUE!</v>
      </c>
      <c r="S2" s="887" t="e">
        <f t="shared" si="0"/>
        <v>#VALUE!</v>
      </c>
      <c r="T2" s="887" t="e">
        <f t="shared" si="0"/>
        <v>#VALUE!</v>
      </c>
      <c r="U2" s="887" t="e">
        <f t="shared" si="0"/>
        <v>#VALUE!</v>
      </c>
      <c r="V2" s="887" t="e">
        <f t="shared" si="0"/>
        <v>#VALUE!</v>
      </c>
      <c r="W2" s="887" t="e">
        <f t="shared" si="0"/>
        <v>#VALUE!</v>
      </c>
      <c r="X2" s="887" t="e">
        <f t="shared" si="0"/>
        <v>#VALUE!</v>
      </c>
      <c r="Y2" s="887" t="e">
        <f t="shared" si="0"/>
        <v>#VALUE!</v>
      </c>
      <c r="Z2" s="887" t="e">
        <f t="shared" si="0"/>
        <v>#VALUE!</v>
      </c>
      <c r="AA2" s="887" t="e">
        <f t="shared" si="0"/>
        <v>#VALUE!</v>
      </c>
      <c r="AB2" s="887" t="e">
        <f t="shared" si="0"/>
        <v>#VALUE!</v>
      </c>
      <c r="AC2" s="887" t="e">
        <f t="shared" si="0"/>
        <v>#VALUE!</v>
      </c>
      <c r="AD2" s="887" t="e">
        <f t="shared" si="0"/>
        <v>#VALUE!</v>
      </c>
      <c r="AE2" s="887" t="e">
        <f t="shared" si="0"/>
        <v>#VALUE!</v>
      </c>
      <c r="AF2" s="887" t="e">
        <f t="shared" si="0"/>
        <v>#VALUE!</v>
      </c>
      <c r="AG2" s="887" t="e">
        <f t="shared" si="0"/>
        <v>#VALUE!</v>
      </c>
      <c r="AH2" s="887" t="e">
        <f t="shared" si="0"/>
        <v>#VALUE!</v>
      </c>
      <c r="AI2" s="887" t="e">
        <f t="shared" si="0"/>
        <v>#VALUE!</v>
      </c>
      <c r="AJ2" s="887" t="e">
        <f t="shared" si="0"/>
        <v>#VALUE!</v>
      </c>
      <c r="AK2" s="887" t="e">
        <f t="shared" si="0"/>
        <v>#VALUE!</v>
      </c>
      <c r="AL2" s="887" t="e">
        <f t="shared" si="0"/>
        <v>#NUM!</v>
      </c>
      <c r="AM2" s="887"/>
      <c r="AN2" s="887"/>
    </row>
    <row r="3" spans="1:40" outlineLevel="1">
      <c r="B3" s="888" t="s">
        <v>564</v>
      </c>
      <c r="C3" s="887" t="e">
        <f ca="1">DATE(YEAR(C1),IF(OR(Config!$B$13="Sri Lanka",Config!$B$13="India"),4,1),IF(OR(Config!$B$13="Sri Lanka",Config!$B$13="India"),30,31))</f>
        <v>#VALUE!</v>
      </c>
      <c r="D3" s="887" t="e">
        <f ca="1">DATE(YEAR(D1),IF(OR(Config!$B$13="Sri Lanka",Config!$B$13="India"),4,1),IF(OR(Config!$B$13="Sri Lanka",Config!$B$13="India"),30,31))</f>
        <v>#VALUE!</v>
      </c>
      <c r="E3" s="887" t="e">
        <f ca="1">DATE(YEAR(E1),IF(OR(Config!$B$13="Sri Lanka",Config!$B$13="India"),4,1),IF(OR(Config!$B$13="Sri Lanka",Config!$B$13="India"),30,31))</f>
        <v>#VALUE!</v>
      </c>
      <c r="F3" s="887" t="e">
        <f ca="1">DATE(YEAR(F1),IF(OR(Config!$B$13="Sri Lanka",Config!$B$13="India"),4,1),IF(OR(Config!$B$13="Sri Lanka",Config!$B$13="India"),30,31))</f>
        <v>#VALUE!</v>
      </c>
      <c r="G3" s="887" t="e">
        <f ca="1">DATE(YEAR(G1),IF(OR(Config!$B$13="Sri Lanka",Config!$B$13="India"),4,1),IF(OR(Config!$B$13="Sri Lanka",Config!$B$13="India"),30,31))</f>
        <v>#VALUE!</v>
      </c>
      <c r="H3" s="887" t="e">
        <f ca="1">DATE(YEAR(H1),IF(OR(Config!$B$13="Sri Lanka",Config!$B$13="India"),4,1),IF(OR(Config!$B$13="Sri Lanka",Config!$B$13="India"),30,31))</f>
        <v>#VALUE!</v>
      </c>
      <c r="I3" s="887" t="e">
        <f ca="1">DATE(YEAR(I1),IF(OR(Config!$B$13="Sri Lanka",Config!$B$13="India"),4,1),IF(OR(Config!$B$13="Sri Lanka",Config!$B$13="India"),30,31))</f>
        <v>#VALUE!</v>
      </c>
      <c r="J3" s="887" t="e">
        <f ca="1">DATE(YEAR(J1),IF(OR(Config!$B$13="Sri Lanka",Config!$B$13="India"),4,1),IF(OR(Config!$B$13="Sri Lanka",Config!$B$13="India"),30,31))</f>
        <v>#VALUE!</v>
      </c>
      <c r="K3" s="887" t="e">
        <f ca="1">DATE(YEAR(K1),IF(OR(Config!$B$13="Sri Lanka",Config!$B$13="India"),4,1),IF(OR(Config!$B$13="Sri Lanka",Config!$B$13="India"),30,31))</f>
        <v>#VALUE!</v>
      </c>
      <c r="L3" s="887" t="e">
        <f ca="1">DATE(YEAR(L1),IF(OR(Config!$B$13="Sri Lanka",Config!$B$13="India"),4,1),IF(OR(Config!$B$13="Sri Lanka",Config!$B$13="India"),30,31))</f>
        <v>#VALUE!</v>
      </c>
      <c r="M3" s="887" t="e">
        <f ca="1">DATE(YEAR(M1),IF(OR(Config!$B$13="Sri Lanka",Config!$B$13="India"),4,1),IF(OR(Config!$B$13="Sri Lanka",Config!$B$13="India"),30,31))</f>
        <v>#VALUE!</v>
      </c>
      <c r="N3" s="887" t="e">
        <f ca="1">DATE(YEAR(N1),IF(OR(Config!$B$13="Sri Lanka",Config!$B$13="India"),4,1),IF(OR(Config!$B$13="Sri Lanka",Config!$B$13="India"),30,31))</f>
        <v>#VALUE!</v>
      </c>
      <c r="O3" s="887" t="e">
        <f ca="1">DATE(YEAR(O1),IF(OR(Config!$B$13="Sri Lanka",Config!$B$13="India"),4,1),IF(OR(Config!$B$13="Sri Lanka",Config!$B$13="India"),30,31))</f>
        <v>#VALUE!</v>
      </c>
      <c r="P3" s="887" t="e">
        <f ca="1">DATE(YEAR(P1),IF(OR(Config!$B$13="Sri Lanka",Config!$B$13="India"),4,1),IF(OR(Config!$B$13="Sri Lanka",Config!$B$13="India"),30,31))</f>
        <v>#VALUE!</v>
      </c>
      <c r="Q3" s="887" t="e">
        <f ca="1">DATE(YEAR(Q1),IF(OR(Config!$B$13="Sri Lanka",Config!$B$13="India"),4,1),IF(OR(Config!$B$13="Sri Lanka",Config!$B$13="India"),30,31))</f>
        <v>#VALUE!</v>
      </c>
      <c r="R3" s="887" t="e">
        <f ca="1">DATE(YEAR(R1),IF(OR(Config!$B$13="Sri Lanka",Config!$B$13="India"),4,1),IF(OR(Config!$B$13="Sri Lanka",Config!$B$13="India"),30,31))</f>
        <v>#VALUE!</v>
      </c>
      <c r="S3" s="887" t="e">
        <f ca="1">DATE(YEAR(S1),IF(OR(Config!$B$13="Sri Lanka",Config!$B$13="India"),4,1),IF(OR(Config!$B$13="Sri Lanka",Config!$B$13="India"),30,31))</f>
        <v>#VALUE!</v>
      </c>
      <c r="T3" s="887" t="e">
        <f ca="1">DATE(YEAR(T1),IF(OR(Config!$B$13="Sri Lanka",Config!$B$13="India"),4,1),IF(OR(Config!$B$13="Sri Lanka",Config!$B$13="India"),30,31))</f>
        <v>#VALUE!</v>
      </c>
      <c r="U3" s="887" t="e">
        <f ca="1">DATE(YEAR(U1),IF(OR(Config!$B$13="Sri Lanka",Config!$B$13="India"),4,1),IF(OR(Config!$B$13="Sri Lanka",Config!$B$13="India"),30,31))</f>
        <v>#VALUE!</v>
      </c>
      <c r="V3" s="887" t="e">
        <f ca="1">DATE(YEAR(V1),IF(OR(Config!$B$13="Sri Lanka",Config!$B$13="India"),4,1),IF(OR(Config!$B$13="Sri Lanka",Config!$B$13="India"),30,31))</f>
        <v>#VALUE!</v>
      </c>
      <c r="W3" s="887" t="e">
        <f ca="1">DATE(YEAR(W1),IF(OR(Config!$B$13="Sri Lanka",Config!$B$13="India"),4,1),IF(OR(Config!$B$13="Sri Lanka",Config!$B$13="India"),30,31))</f>
        <v>#VALUE!</v>
      </c>
      <c r="X3" s="887" t="e">
        <f ca="1">DATE(YEAR(X1),IF(OR(Config!$B$13="Sri Lanka",Config!$B$13="India"),4,1),IF(OR(Config!$B$13="Sri Lanka",Config!$B$13="India"),30,31))</f>
        <v>#VALUE!</v>
      </c>
      <c r="Y3" s="887" t="e">
        <f ca="1">DATE(YEAR(Y1),IF(OR(Config!$B$13="Sri Lanka",Config!$B$13="India"),4,1),IF(OR(Config!$B$13="Sri Lanka",Config!$B$13="India"),30,31))</f>
        <v>#VALUE!</v>
      </c>
      <c r="Z3" s="887" t="e">
        <f ca="1">DATE(YEAR(Z1),IF(OR(Config!$B$13="Sri Lanka",Config!$B$13="India"),4,1),IF(OR(Config!$B$13="Sri Lanka",Config!$B$13="India"),30,31))</f>
        <v>#VALUE!</v>
      </c>
      <c r="AA3" s="887" t="e">
        <f ca="1">DATE(YEAR(AA1),IF(OR(Config!$B$13="Sri Lanka",Config!$B$13="India"),4,1),IF(OR(Config!$B$13="Sri Lanka",Config!$B$13="India"),30,31))</f>
        <v>#VALUE!</v>
      </c>
      <c r="AB3" s="887" t="e">
        <f ca="1">DATE(YEAR(AB1),IF(OR(Config!$B$13="Sri Lanka",Config!$B$13="India"),4,1),IF(OR(Config!$B$13="Sri Lanka",Config!$B$13="India"),30,31))</f>
        <v>#VALUE!</v>
      </c>
      <c r="AC3" s="887" t="e">
        <f ca="1">DATE(YEAR(AC1),IF(OR(Config!$B$13="Sri Lanka",Config!$B$13="India"),4,1),IF(OR(Config!$B$13="Sri Lanka",Config!$B$13="India"),30,31))</f>
        <v>#VALUE!</v>
      </c>
      <c r="AD3" s="887" t="e">
        <f ca="1">DATE(YEAR(AD1),IF(OR(Config!$B$13="Sri Lanka",Config!$B$13="India"),4,1),IF(OR(Config!$B$13="Sri Lanka",Config!$B$13="India"),30,31))</f>
        <v>#VALUE!</v>
      </c>
      <c r="AE3" s="887" t="e">
        <f ca="1">DATE(YEAR(AE1),IF(OR(Config!$B$13="Sri Lanka",Config!$B$13="India"),4,1),IF(OR(Config!$B$13="Sri Lanka",Config!$B$13="India"),30,31))</f>
        <v>#VALUE!</v>
      </c>
      <c r="AF3" s="887" t="e">
        <f ca="1">DATE(YEAR(AF1),IF(OR(Config!$B$13="Sri Lanka",Config!$B$13="India"),4,1),IF(OR(Config!$B$13="Sri Lanka",Config!$B$13="India"),30,31))</f>
        <v>#VALUE!</v>
      </c>
      <c r="AG3" s="887" t="e">
        <f ca="1">DATE(YEAR(AG1),IF(OR(Config!$B$13="Sri Lanka",Config!$B$13="India"),4,1),IF(OR(Config!$B$13="Sri Lanka",Config!$B$13="India"),30,31))</f>
        <v>#VALUE!</v>
      </c>
      <c r="AH3" s="887" t="e">
        <f ca="1">DATE(YEAR(AH1),IF(OR(Config!$B$13="Sri Lanka",Config!$B$13="India"),4,1),IF(OR(Config!$B$13="Sri Lanka",Config!$B$13="India"),30,31))</f>
        <v>#VALUE!</v>
      </c>
      <c r="AI3" s="887" t="e">
        <f ca="1">DATE(YEAR(AI1),IF(OR(Config!$B$13="Sri Lanka",Config!$B$13="India"),4,1),IF(OR(Config!$B$13="Sri Lanka",Config!$B$13="India"),30,31))</f>
        <v>#VALUE!</v>
      </c>
      <c r="AJ3" s="887" t="e">
        <f ca="1">DATE(YEAR(AJ1),IF(OR(Config!$B$13="Sri Lanka",Config!$B$13="India"),4,1),IF(OR(Config!$B$13="Sri Lanka",Config!$B$13="India"),30,31))</f>
        <v>#VALUE!</v>
      </c>
      <c r="AK3" s="887" t="e">
        <f ca="1">DATE(YEAR(AK1),IF(OR(Config!$B$13="Sri Lanka",Config!$B$13="India"),4,1),IF(OR(Config!$B$13="Sri Lanka",Config!$B$13="India"),30,31))</f>
        <v>#VALUE!</v>
      </c>
      <c r="AL3" s="887" t="e">
        <f ca="1">DATE(YEAR(AL1),IF(OR(Config!$B$13="Sri Lanka",Config!$B$13="India"),4,1),IF(OR(Config!$B$13="Sri Lanka",Config!$B$13="India"),30,31))</f>
        <v>#NAME?</v>
      </c>
    </row>
    <row r="4" spans="1:40" outlineLevel="1">
      <c r="B4" s="888" t="s">
        <v>563</v>
      </c>
      <c r="C4" s="887" t="e">
        <f t="shared" ref="C4:AL4" si="1">EOMONTH(C1,-12)</f>
        <v>#VALUE!</v>
      </c>
      <c r="D4" s="887" t="e">
        <f t="shared" si="1"/>
        <v>#VALUE!</v>
      </c>
      <c r="E4" s="887" t="e">
        <f t="shared" si="1"/>
        <v>#VALUE!</v>
      </c>
      <c r="F4" s="887" t="e">
        <f t="shared" si="1"/>
        <v>#VALUE!</v>
      </c>
      <c r="G4" s="887" t="e">
        <f t="shared" si="1"/>
        <v>#VALUE!</v>
      </c>
      <c r="H4" s="887" t="e">
        <f t="shared" si="1"/>
        <v>#VALUE!</v>
      </c>
      <c r="I4" s="887" t="e">
        <f t="shared" si="1"/>
        <v>#VALUE!</v>
      </c>
      <c r="J4" s="887" t="e">
        <f t="shared" si="1"/>
        <v>#VALUE!</v>
      </c>
      <c r="K4" s="887" t="e">
        <f t="shared" si="1"/>
        <v>#VALUE!</v>
      </c>
      <c r="L4" s="887" t="e">
        <f t="shared" si="1"/>
        <v>#VALUE!</v>
      </c>
      <c r="M4" s="887" t="e">
        <f t="shared" si="1"/>
        <v>#VALUE!</v>
      </c>
      <c r="N4" s="887" t="e">
        <f t="shared" si="1"/>
        <v>#VALUE!</v>
      </c>
      <c r="O4" s="887" t="e">
        <f t="shared" si="1"/>
        <v>#VALUE!</v>
      </c>
      <c r="P4" s="887" t="e">
        <f t="shared" si="1"/>
        <v>#VALUE!</v>
      </c>
      <c r="Q4" s="887" t="e">
        <f t="shared" si="1"/>
        <v>#VALUE!</v>
      </c>
      <c r="R4" s="887" t="e">
        <f t="shared" si="1"/>
        <v>#VALUE!</v>
      </c>
      <c r="S4" s="887" t="e">
        <f t="shared" si="1"/>
        <v>#VALUE!</v>
      </c>
      <c r="T4" s="887" t="e">
        <f t="shared" si="1"/>
        <v>#VALUE!</v>
      </c>
      <c r="U4" s="887" t="e">
        <f t="shared" si="1"/>
        <v>#VALUE!</v>
      </c>
      <c r="V4" s="887" t="e">
        <f t="shared" si="1"/>
        <v>#VALUE!</v>
      </c>
      <c r="W4" s="887" t="e">
        <f t="shared" si="1"/>
        <v>#VALUE!</v>
      </c>
      <c r="X4" s="887" t="e">
        <f t="shared" si="1"/>
        <v>#VALUE!</v>
      </c>
      <c r="Y4" s="887" t="e">
        <f t="shared" si="1"/>
        <v>#VALUE!</v>
      </c>
      <c r="Z4" s="887" t="e">
        <f t="shared" si="1"/>
        <v>#VALUE!</v>
      </c>
      <c r="AA4" s="887" t="e">
        <f t="shared" si="1"/>
        <v>#VALUE!</v>
      </c>
      <c r="AB4" s="887" t="e">
        <f t="shared" si="1"/>
        <v>#VALUE!</v>
      </c>
      <c r="AC4" s="887" t="e">
        <f t="shared" si="1"/>
        <v>#VALUE!</v>
      </c>
      <c r="AD4" s="887" t="e">
        <f t="shared" si="1"/>
        <v>#VALUE!</v>
      </c>
      <c r="AE4" s="887" t="e">
        <f t="shared" si="1"/>
        <v>#VALUE!</v>
      </c>
      <c r="AF4" s="887" t="e">
        <f t="shared" si="1"/>
        <v>#VALUE!</v>
      </c>
      <c r="AG4" s="887" t="e">
        <f t="shared" si="1"/>
        <v>#VALUE!</v>
      </c>
      <c r="AH4" s="887" t="e">
        <f t="shared" si="1"/>
        <v>#VALUE!</v>
      </c>
      <c r="AI4" s="887" t="e">
        <f t="shared" si="1"/>
        <v>#VALUE!</v>
      </c>
      <c r="AJ4" s="887" t="e">
        <f t="shared" si="1"/>
        <v>#VALUE!</v>
      </c>
      <c r="AK4" s="887" t="e">
        <f t="shared" si="1"/>
        <v>#VALUE!</v>
      </c>
      <c r="AL4" s="887" t="e">
        <f t="shared" si="1"/>
        <v>#NUM!</v>
      </c>
    </row>
    <row r="5" spans="1:40">
      <c r="A5" s="879"/>
      <c r="B5" s="884"/>
      <c r="C5" s="892" t="str">
        <f>C1</f>
        <v/>
      </c>
      <c r="D5" s="892" t="str">
        <f t="shared" ref="D5:AL5" si="2">D1</f>
        <v/>
      </c>
      <c r="E5" s="892" t="str">
        <f t="shared" si="2"/>
        <v/>
      </c>
      <c r="F5" s="892" t="str">
        <f t="shared" si="2"/>
        <v/>
      </c>
      <c r="G5" s="892" t="str">
        <f t="shared" si="2"/>
        <v/>
      </c>
      <c r="H5" s="892" t="str">
        <f t="shared" si="2"/>
        <v/>
      </c>
      <c r="I5" s="892" t="str">
        <f t="shared" si="2"/>
        <v/>
      </c>
      <c r="J5" s="892" t="str">
        <f t="shared" si="2"/>
        <v/>
      </c>
      <c r="K5" s="892" t="str">
        <f t="shared" si="2"/>
        <v/>
      </c>
      <c r="L5" s="892" t="str">
        <f t="shared" si="2"/>
        <v/>
      </c>
      <c r="M5" s="892" t="str">
        <f t="shared" si="2"/>
        <v/>
      </c>
      <c r="N5" s="892" t="str">
        <f t="shared" si="2"/>
        <v/>
      </c>
      <c r="O5" s="892" t="str">
        <f t="shared" si="2"/>
        <v/>
      </c>
      <c r="P5" s="892" t="str">
        <f t="shared" si="2"/>
        <v/>
      </c>
      <c r="Q5" s="892" t="str">
        <f t="shared" si="2"/>
        <v/>
      </c>
      <c r="R5" s="892" t="str">
        <f t="shared" si="2"/>
        <v/>
      </c>
      <c r="S5" s="892" t="str">
        <f t="shared" si="2"/>
        <v/>
      </c>
      <c r="T5" s="892" t="str">
        <f t="shared" si="2"/>
        <v/>
      </c>
      <c r="U5" s="892" t="str">
        <f t="shared" si="2"/>
        <v/>
      </c>
      <c r="V5" s="892" t="str">
        <f t="shared" si="2"/>
        <v/>
      </c>
      <c r="W5" s="892" t="str">
        <f t="shared" si="2"/>
        <v/>
      </c>
      <c r="X5" s="892" t="str">
        <f t="shared" si="2"/>
        <v/>
      </c>
      <c r="Y5" s="892" t="str">
        <f t="shared" si="2"/>
        <v/>
      </c>
      <c r="Z5" s="892" t="str">
        <f t="shared" si="2"/>
        <v/>
      </c>
      <c r="AA5" s="892" t="str">
        <f t="shared" si="2"/>
        <v/>
      </c>
      <c r="AB5" s="892" t="str">
        <f t="shared" si="2"/>
        <v/>
      </c>
      <c r="AC5" s="892" t="str">
        <f t="shared" si="2"/>
        <v/>
      </c>
      <c r="AD5" s="892" t="str">
        <f t="shared" si="2"/>
        <v/>
      </c>
      <c r="AE5" s="892" t="str">
        <f t="shared" si="2"/>
        <v/>
      </c>
      <c r="AF5" s="892" t="str">
        <f t="shared" si="2"/>
        <v/>
      </c>
      <c r="AG5" s="892" t="str">
        <f t="shared" si="2"/>
        <v/>
      </c>
      <c r="AH5" s="892" t="str">
        <f t="shared" si="2"/>
        <v/>
      </c>
      <c r="AI5" s="892" t="str">
        <f t="shared" si="2"/>
        <v/>
      </c>
      <c r="AJ5" s="892" t="str">
        <f t="shared" si="2"/>
        <v/>
      </c>
      <c r="AK5" s="892" t="str">
        <f t="shared" si="2"/>
        <v/>
      </c>
      <c r="AL5" s="892">
        <f t="shared" si="2"/>
        <v>4</v>
      </c>
    </row>
    <row r="6" spans="1:40">
      <c r="A6" s="890">
        <v>282</v>
      </c>
      <c r="B6" s="886" t="s">
        <v>562</v>
      </c>
      <c r="C6" s="831" t="e">
        <f>VLOOKUP(C1,DB_LOAD!$H$3:$L$10000,4,FALSE)</f>
        <v>#N/A</v>
      </c>
      <c r="D6" s="831" t="e">
        <f>VLOOKUP(D1,DB_LOAD!$H$3:$L$10000,4,FALSE)</f>
        <v>#N/A</v>
      </c>
      <c r="E6" s="831" t="e">
        <f>VLOOKUP(E1,DB_LOAD!$H$3:$L$10000,4,FALSE)</f>
        <v>#N/A</v>
      </c>
      <c r="F6" s="831" t="e">
        <f>VLOOKUP(F1,DB_LOAD!$H$3:$L$10000,4,FALSE)</f>
        <v>#N/A</v>
      </c>
      <c r="G6" s="831" t="e">
        <f>VLOOKUP(G1,DB_LOAD!$H$3:$L$10000,4,FALSE)</f>
        <v>#N/A</v>
      </c>
      <c r="H6" s="831" t="e">
        <f>VLOOKUP(H1,DB_LOAD!$H$3:$L$10000,4,FALSE)</f>
        <v>#N/A</v>
      </c>
      <c r="I6" s="831" t="e">
        <f>VLOOKUP(I1,DB_LOAD!$H$3:$L$10000,4,FALSE)</f>
        <v>#N/A</v>
      </c>
      <c r="J6" s="831" t="e">
        <f>VLOOKUP(J1,DB_LOAD!$H$3:$L$10000,4,FALSE)</f>
        <v>#N/A</v>
      </c>
      <c r="K6" s="831" t="e">
        <f>VLOOKUP(K1,DB_LOAD!$H$3:$L$10000,4,FALSE)</f>
        <v>#N/A</v>
      </c>
      <c r="L6" s="831" t="e">
        <f>VLOOKUP(L1,DB_LOAD!$H$3:$L$10000,4,FALSE)</f>
        <v>#N/A</v>
      </c>
      <c r="M6" s="831" t="e">
        <f>VLOOKUP(M1,DB_LOAD!$H$3:$L$10000,4,FALSE)</f>
        <v>#N/A</v>
      </c>
      <c r="N6" s="831" t="e">
        <f>VLOOKUP(N1,DB_LOAD!$H$3:$L$10000,4,FALSE)</f>
        <v>#N/A</v>
      </c>
      <c r="O6" s="831" t="e">
        <f>VLOOKUP(O1,DB_LOAD!$H$3:$L$10000,4,FALSE)</f>
        <v>#N/A</v>
      </c>
      <c r="P6" s="831" t="e">
        <f>VLOOKUP(P1,DB_LOAD!$H$3:$L$10000,4,FALSE)</f>
        <v>#N/A</v>
      </c>
      <c r="Q6" s="831" t="e">
        <f>VLOOKUP(Q1,DB_LOAD!$H$3:$L$10000,4,FALSE)</f>
        <v>#N/A</v>
      </c>
      <c r="R6" s="831" t="e">
        <f>VLOOKUP(R1,DB_LOAD!$H$3:$L$10000,4,FALSE)</f>
        <v>#N/A</v>
      </c>
      <c r="S6" s="831" t="e">
        <f>VLOOKUP(S1,DB_LOAD!$H$3:$L$10000,4,FALSE)</f>
        <v>#N/A</v>
      </c>
      <c r="T6" s="831" t="e">
        <f>VLOOKUP(T1,DB_LOAD!$H$3:$L$10000,4,FALSE)</f>
        <v>#N/A</v>
      </c>
      <c r="U6" s="831" t="e">
        <f>VLOOKUP(U1,DB_LOAD!$H$3:$L$10000,4,FALSE)</f>
        <v>#N/A</v>
      </c>
      <c r="V6" s="831" t="e">
        <f>VLOOKUP(V1,DB_LOAD!$H$3:$L$10000,4,FALSE)</f>
        <v>#N/A</v>
      </c>
      <c r="W6" s="831" t="e">
        <f>VLOOKUP(W1,DB_LOAD!$H$3:$L$10000,4,FALSE)</f>
        <v>#N/A</v>
      </c>
      <c r="X6" s="831" t="e">
        <f>VLOOKUP(X1,DB_LOAD!$H$3:$L$10000,4,FALSE)</f>
        <v>#N/A</v>
      </c>
      <c r="Y6" s="831" t="e">
        <f>VLOOKUP(Y1,DB_LOAD!$H$3:$L$10000,4,FALSE)</f>
        <v>#N/A</v>
      </c>
      <c r="Z6" s="831" t="e">
        <f>VLOOKUP(Z1,DB_LOAD!$H$3:$L$10000,4,FALSE)</f>
        <v>#N/A</v>
      </c>
      <c r="AA6" s="831" t="e">
        <f>VLOOKUP(AA1,DB_LOAD!$H$3:$L$10000,4,FALSE)</f>
        <v>#N/A</v>
      </c>
      <c r="AB6" s="831" t="e">
        <f>VLOOKUP(AB1,DB_LOAD!$H$3:$L$10000,4,FALSE)</f>
        <v>#N/A</v>
      </c>
      <c r="AC6" s="831" t="e">
        <f>VLOOKUP(AC1,DB_LOAD!$H$3:$L$10000,4,FALSE)</f>
        <v>#N/A</v>
      </c>
      <c r="AD6" s="831" t="e">
        <f>VLOOKUP(AD1,DB_LOAD!$H$3:$L$10000,4,FALSE)</f>
        <v>#N/A</v>
      </c>
      <c r="AE6" s="831" t="e">
        <f>VLOOKUP(AE1,DB_LOAD!$H$3:$L$10000,4,FALSE)</f>
        <v>#N/A</v>
      </c>
      <c r="AF6" s="831" t="e">
        <f>VLOOKUP(AF1,DB_LOAD!$H$3:$L$10000,4,FALSE)</f>
        <v>#N/A</v>
      </c>
      <c r="AG6" s="831" t="e">
        <f>VLOOKUP(AG1,DB_LOAD!$H$3:$L$10000,4,FALSE)</f>
        <v>#N/A</v>
      </c>
      <c r="AH6" s="831" t="e">
        <f>VLOOKUP(AH1,DB_LOAD!$H$3:$L$10000,4,FALSE)</f>
        <v>#N/A</v>
      </c>
      <c r="AI6" s="831" t="e">
        <f>VLOOKUP(AI1,DB_LOAD!$H$3:$L$10000,4,FALSE)</f>
        <v>#N/A</v>
      </c>
      <c r="AJ6" s="831" t="e">
        <f>VLOOKUP(AJ1,DB_LOAD!$H$3:$L$10000,4,FALSE)</f>
        <v>#N/A</v>
      </c>
      <c r="AK6" s="831" t="e">
        <f>VLOOKUP(AK1,DB_LOAD!$H$3:$L$10000,4,FALSE)</f>
        <v>#N/A</v>
      </c>
      <c r="AL6" s="831" t="e">
        <f>VLOOKUP(AL1,DB_LOAD!$H$3:$L$10000,4,FALSE)</f>
        <v>#N/A</v>
      </c>
    </row>
    <row r="7" spans="1:40">
      <c r="A7" s="890">
        <v>283</v>
      </c>
      <c r="B7" s="886" t="s">
        <v>561</v>
      </c>
      <c r="C7" s="831" t="e">
        <f>VLOOKUP(C2,DB_LOAD!$H$3:$L$10000,4,FALSE)</f>
        <v>#VALUE!</v>
      </c>
      <c r="D7" s="831" t="e">
        <f>VLOOKUP(D2,DB_LOAD!$H$3:$L$10000,4,FALSE)</f>
        <v>#VALUE!</v>
      </c>
      <c r="E7" s="831" t="e">
        <f>VLOOKUP(E2,DB_LOAD!$H$3:$L$10000,4,FALSE)</f>
        <v>#VALUE!</v>
      </c>
      <c r="F7" s="831" t="e">
        <f>VLOOKUP(F2,DB_LOAD!$H$3:$L$10000,4,FALSE)</f>
        <v>#VALUE!</v>
      </c>
      <c r="G7" s="831" t="e">
        <f>VLOOKUP(G2,DB_LOAD!$H$3:$L$10000,4,FALSE)</f>
        <v>#VALUE!</v>
      </c>
      <c r="H7" s="831" t="e">
        <f>VLOOKUP(H2,DB_LOAD!$H$3:$L$10000,4,FALSE)</f>
        <v>#VALUE!</v>
      </c>
      <c r="I7" s="831" t="e">
        <f>VLOOKUP(I2,DB_LOAD!$H$3:$L$10000,4,FALSE)</f>
        <v>#VALUE!</v>
      </c>
      <c r="J7" s="831" t="e">
        <f>VLOOKUP(J2,DB_LOAD!$H$3:$L$10000,4,FALSE)</f>
        <v>#VALUE!</v>
      </c>
      <c r="K7" s="831" t="e">
        <f>VLOOKUP(K2,DB_LOAD!$H$3:$L$10000,4,FALSE)</f>
        <v>#VALUE!</v>
      </c>
      <c r="L7" s="831" t="e">
        <f>VLOOKUP(L2,DB_LOAD!$H$3:$L$10000,4,FALSE)</f>
        <v>#VALUE!</v>
      </c>
      <c r="M7" s="831" t="e">
        <f>VLOOKUP(M2,DB_LOAD!$H$3:$L$10000,4,FALSE)</f>
        <v>#VALUE!</v>
      </c>
      <c r="N7" s="831" t="e">
        <f>VLOOKUP(N2,DB_LOAD!$H$3:$L$10000,4,FALSE)</f>
        <v>#VALUE!</v>
      </c>
      <c r="O7" s="831" t="e">
        <f>VLOOKUP(O2,DB_LOAD!$H$3:$L$10000,4,FALSE)</f>
        <v>#VALUE!</v>
      </c>
      <c r="P7" s="831" t="e">
        <f>VLOOKUP(P2,DB_LOAD!$H$3:$L$10000,4,FALSE)</f>
        <v>#VALUE!</v>
      </c>
      <c r="Q7" s="831" t="e">
        <f>VLOOKUP(Q2,DB_LOAD!$H$3:$L$10000,4,FALSE)</f>
        <v>#VALUE!</v>
      </c>
      <c r="R7" s="831" t="e">
        <f>VLOOKUP(R2,DB_LOAD!$H$3:$L$10000,4,FALSE)</f>
        <v>#VALUE!</v>
      </c>
      <c r="S7" s="831" t="e">
        <f>VLOOKUP(S2,DB_LOAD!$H$3:$L$10000,4,FALSE)</f>
        <v>#VALUE!</v>
      </c>
      <c r="T7" s="831" t="e">
        <f>VLOOKUP(T2,DB_LOAD!$H$3:$L$10000,4,FALSE)</f>
        <v>#VALUE!</v>
      </c>
      <c r="U7" s="831" t="e">
        <f>VLOOKUP(U2,DB_LOAD!$H$3:$L$10000,4,FALSE)</f>
        <v>#VALUE!</v>
      </c>
      <c r="V7" s="831" t="e">
        <f>VLOOKUP(V2,DB_LOAD!$H$3:$L$10000,4,FALSE)</f>
        <v>#VALUE!</v>
      </c>
      <c r="W7" s="831" t="e">
        <f>VLOOKUP(W2,DB_LOAD!$H$3:$L$10000,4,FALSE)</f>
        <v>#VALUE!</v>
      </c>
      <c r="X7" s="831" t="e">
        <f>VLOOKUP(X2,DB_LOAD!$H$3:$L$10000,4,FALSE)</f>
        <v>#VALUE!</v>
      </c>
      <c r="Y7" s="831" t="e">
        <f>VLOOKUP(Y2,DB_LOAD!$H$3:$L$10000,4,FALSE)</f>
        <v>#VALUE!</v>
      </c>
      <c r="Z7" s="831" t="e">
        <f>VLOOKUP(Z2,DB_LOAD!$H$3:$L$10000,4,FALSE)</f>
        <v>#VALUE!</v>
      </c>
      <c r="AA7" s="831" t="e">
        <f>VLOOKUP(AA2,DB_LOAD!$H$3:$L$10000,4,FALSE)</f>
        <v>#VALUE!</v>
      </c>
      <c r="AB7" s="831" t="e">
        <f>VLOOKUP(AB2,DB_LOAD!$H$3:$L$10000,4,FALSE)</f>
        <v>#VALUE!</v>
      </c>
      <c r="AC7" s="831" t="e">
        <f>VLOOKUP(AC2,DB_LOAD!$H$3:$L$10000,4,FALSE)</f>
        <v>#VALUE!</v>
      </c>
      <c r="AD7" s="831" t="e">
        <f>VLOOKUP(AD2,DB_LOAD!$H$3:$L$10000,4,FALSE)</f>
        <v>#VALUE!</v>
      </c>
      <c r="AE7" s="831" t="e">
        <f>VLOOKUP(AE2,DB_LOAD!$H$3:$L$10000,4,FALSE)</f>
        <v>#VALUE!</v>
      </c>
      <c r="AF7" s="831" t="e">
        <f>VLOOKUP(AF2,DB_LOAD!$H$3:$L$10000,4,FALSE)</f>
        <v>#VALUE!</v>
      </c>
      <c r="AG7" s="831" t="e">
        <f>VLOOKUP(AG2,DB_LOAD!$H$3:$L$10000,4,FALSE)</f>
        <v>#VALUE!</v>
      </c>
      <c r="AH7" s="831" t="e">
        <f>VLOOKUP(AH2,DB_LOAD!$H$3:$L$10000,4,FALSE)</f>
        <v>#VALUE!</v>
      </c>
      <c r="AI7" s="831" t="e">
        <f>VLOOKUP(AI2,DB_LOAD!$H$3:$L$10000,4,FALSE)</f>
        <v>#VALUE!</v>
      </c>
      <c r="AJ7" s="831" t="e">
        <f>VLOOKUP(AJ2,DB_LOAD!$H$3:$L$10000,4,FALSE)</f>
        <v>#VALUE!</v>
      </c>
      <c r="AK7" s="831" t="e">
        <f>VLOOKUP(AK2,DB_LOAD!$H$3:$L$10000,4,FALSE)</f>
        <v>#VALUE!</v>
      </c>
      <c r="AL7" s="831" t="e">
        <f>VLOOKUP(AL2,DB_LOAD!$H$3:$L$10000,4,FALSE)</f>
        <v>#NUM!</v>
      </c>
    </row>
    <row r="8" spans="1:40">
      <c r="A8" s="890">
        <v>284</v>
      </c>
      <c r="B8" s="886" t="s">
        <v>560</v>
      </c>
      <c r="C8" s="831" t="e">
        <f ca="1">AVERAGE((OFFSET(DB_LOAD!$K3:$K10000,MATCH(C1,DB_LOAD!$H3:$H10000,0)-1,0,IF(OR(Config!$B$13="India",Config!$B$13="Sri Lanka"),IF(MONTH(C1)=3,12,MONTH(C1)-3),MONTH(C1))*1)))</f>
        <v>#N/A</v>
      </c>
      <c r="D8" s="831" t="e">
        <f ca="1">AVERAGE((OFFSET(DB_LOAD!$K3:$K10000,MATCH(D1,DB_LOAD!$H3:$H10000,0)-1,0,IF(OR(Config!$B$13="India",Config!$B$13="Sri Lanka"),IF(MONTH(D1)=3,12,MONTH(D1)-3),MONTH(D1))*1)))</f>
        <v>#N/A</v>
      </c>
      <c r="E8" s="831" t="e">
        <f ca="1">AVERAGE((OFFSET(DB_LOAD!$K3:$K10000,MATCH(E1,DB_LOAD!$H3:$H10000,0)-1,0,IF(OR(Config!$B$13="India",Config!$B$13="Sri Lanka"),IF(MONTH(E1)=3,12,MONTH(E1)-3),MONTH(E1))*1)))</f>
        <v>#N/A</v>
      </c>
      <c r="F8" s="831" t="e">
        <f ca="1">AVERAGE((OFFSET(DB_LOAD!$K3:$K10000,MATCH(F1,DB_LOAD!$H3:$H10000,0)-1,0,IF(OR(Config!$B$13="India",Config!$B$13="Sri Lanka"),IF(MONTH(F1)=3,12,MONTH(F1)-3),MONTH(F1))*1)))</f>
        <v>#N/A</v>
      </c>
      <c r="G8" s="831" t="e">
        <f ca="1">AVERAGE((OFFSET(DB_LOAD!$K3:$K10000,MATCH(G1,DB_LOAD!$H3:$H10000,0)-1,0,IF(OR(Config!$B$13="India",Config!$B$13="Sri Lanka"),IF(MONTH(G1)=3,12,MONTH(G1)-3),MONTH(G1))*1)))</f>
        <v>#N/A</v>
      </c>
      <c r="H8" s="831" t="e">
        <f ca="1">AVERAGE((OFFSET(DB_LOAD!$K3:$K10000,MATCH(H1,DB_LOAD!$H3:$H10000,0)-1,0,IF(OR(Config!$B$13="India",Config!$B$13="Sri Lanka"),IF(MONTH(H1)=3,12,MONTH(H1)-3),MONTH(H1))*1)))</f>
        <v>#N/A</v>
      </c>
      <c r="I8" s="831" t="e">
        <f ca="1">AVERAGE((OFFSET(DB_LOAD!$K3:$K10000,MATCH(I1,DB_LOAD!$H3:$H10000,0)-1,0,IF(OR(Config!$B$13="India",Config!$B$13="Sri Lanka"),IF(MONTH(I1)=3,12,MONTH(I1)-3),MONTH(I1))*1)))</f>
        <v>#N/A</v>
      </c>
      <c r="J8" s="831" t="e">
        <f ca="1">AVERAGE((OFFSET(DB_LOAD!$K3:$K10000,MATCH(J1,DB_LOAD!$H3:$H10000,0)-1,0,IF(OR(Config!$B$13="India",Config!$B$13="Sri Lanka"),IF(MONTH(J1)=3,12,MONTH(J1)-3),MONTH(J1))*1)))</f>
        <v>#N/A</v>
      </c>
      <c r="K8" s="831" t="e">
        <f ca="1">AVERAGE((OFFSET(DB_LOAD!$K3:$K10000,MATCH(K1,DB_LOAD!$H3:$H10000,0)-1,0,IF(OR(Config!$B$13="India",Config!$B$13="Sri Lanka"),IF(MONTH(K1)=3,12,MONTH(K1)-3),MONTH(K1))*1)))</f>
        <v>#N/A</v>
      </c>
      <c r="L8" s="831" t="e">
        <f ca="1">AVERAGE((OFFSET(DB_LOAD!$K3:$K10000,MATCH(L1,DB_LOAD!$H3:$H10000,0)-1,0,IF(OR(Config!$B$13="India",Config!$B$13="Sri Lanka"),IF(MONTH(L1)=3,12,MONTH(L1)-3),MONTH(L1))*1)))</f>
        <v>#N/A</v>
      </c>
      <c r="M8" s="831" t="e">
        <f ca="1">AVERAGE((OFFSET(DB_LOAD!$K3:$K10000,MATCH(M1,DB_LOAD!$H3:$H10000,0)-1,0,IF(OR(Config!$B$13="India",Config!$B$13="Sri Lanka"),IF(MONTH(M1)=3,12,MONTH(M1)-3),MONTH(M1))*1)))</f>
        <v>#N/A</v>
      </c>
      <c r="N8" s="831" t="e">
        <f ca="1">AVERAGE((OFFSET(DB_LOAD!$K3:$K10000,MATCH(N1,DB_LOAD!$H3:$H10000,0)-1,0,IF(OR(Config!$B$13="India",Config!$B$13="Sri Lanka"),IF(MONTH(N1)=3,12,MONTH(N1)-3),MONTH(N1))*1)))</f>
        <v>#N/A</v>
      </c>
      <c r="O8" s="831" t="e">
        <f ca="1">AVERAGE((OFFSET(DB_LOAD!$K3:$K10000,MATCH(O1,DB_LOAD!$H3:$H10000,0)-1,0,IF(OR(Config!$B$13="India",Config!$B$13="Sri Lanka"),IF(MONTH(O1)=3,12,MONTH(O1)-3),MONTH(O1))*1)))</f>
        <v>#N/A</v>
      </c>
      <c r="P8" s="831" t="e">
        <f ca="1">AVERAGE((OFFSET(DB_LOAD!$K3:$K10000,MATCH(P1,DB_LOAD!$H3:$H10000,0)-1,0,IF(OR(Config!$B$13="India",Config!$B$13="Sri Lanka"),IF(MONTH(P1)=3,12,MONTH(P1)-3),MONTH(P1))*1)))</f>
        <v>#N/A</v>
      </c>
      <c r="Q8" s="831" t="e">
        <f ca="1">AVERAGE((OFFSET(DB_LOAD!$K3:$K10000,MATCH(Q1,DB_LOAD!$H3:$H10000,0)-1,0,IF(OR(Config!$B$13="India",Config!$B$13="Sri Lanka"),IF(MONTH(Q1)=3,12,MONTH(Q1)-3),MONTH(Q1))*1)))</f>
        <v>#N/A</v>
      </c>
      <c r="R8" s="831" t="e">
        <f ca="1">AVERAGE((OFFSET(DB_LOAD!$K3:$K10000,MATCH(R1,DB_LOAD!$H3:$H10000,0)-1,0,IF(OR(Config!$B$13="India",Config!$B$13="Sri Lanka"),IF(MONTH(R1)=3,12,MONTH(R1)-3),MONTH(R1))*1)))</f>
        <v>#N/A</v>
      </c>
      <c r="S8" s="831" t="e">
        <f ca="1">AVERAGE((OFFSET(DB_LOAD!$K3:$K10000,MATCH(S1,DB_LOAD!$H3:$H10000,0)-1,0,IF(OR(Config!$B$13="India",Config!$B$13="Sri Lanka"),IF(MONTH(S1)=3,12,MONTH(S1)-3),MONTH(S1))*1)))</f>
        <v>#N/A</v>
      </c>
      <c r="T8" s="831" t="e">
        <f ca="1">AVERAGE((OFFSET(DB_LOAD!$K3:$K10000,MATCH(T1,DB_LOAD!$H3:$H10000,0)-1,0,IF(OR(Config!$B$13="India",Config!$B$13="Sri Lanka"),IF(MONTH(T1)=3,12,MONTH(T1)-3),MONTH(T1))*1)))</f>
        <v>#N/A</v>
      </c>
      <c r="U8" s="831" t="e">
        <f ca="1">AVERAGE((OFFSET(DB_LOAD!$K3:$K10000,MATCH(U1,DB_LOAD!$H3:$H10000,0)-1,0,IF(OR(Config!$B$13="India",Config!$B$13="Sri Lanka"),IF(MONTH(U1)=3,12,MONTH(U1)-3),MONTH(U1))*1)))</f>
        <v>#N/A</v>
      </c>
      <c r="V8" s="831" t="e">
        <f ca="1">AVERAGE((OFFSET(DB_LOAD!$K3:$K10000,MATCH(V1,DB_LOAD!$H3:$H10000,0)-1,0,IF(OR(Config!$B$13="India",Config!$B$13="Sri Lanka"),IF(MONTH(V1)=3,12,MONTH(V1)-3),MONTH(V1))*1)))</f>
        <v>#N/A</v>
      </c>
      <c r="W8" s="831" t="e">
        <f ca="1">AVERAGE((OFFSET(DB_LOAD!$K3:$K10000,MATCH(W1,DB_LOAD!$H3:$H10000,0)-1,0,IF(OR(Config!$B$13="India",Config!$B$13="Sri Lanka"),IF(MONTH(W1)=3,12,MONTH(W1)-3),MONTH(W1))*1)))</f>
        <v>#N/A</v>
      </c>
      <c r="X8" s="831" t="e">
        <f ca="1">AVERAGE((OFFSET(DB_LOAD!$K3:$K10000,MATCH(X1,DB_LOAD!$H3:$H10000,0)-1,0,IF(OR(Config!$B$13="India",Config!$B$13="Sri Lanka"),IF(MONTH(X1)=3,12,MONTH(X1)-3),MONTH(X1))*1)))</f>
        <v>#N/A</v>
      </c>
      <c r="Y8" s="831" t="e">
        <f ca="1">AVERAGE((OFFSET(DB_LOAD!$K3:$K10000,MATCH(Y1,DB_LOAD!$H3:$H10000,0)-1,0,IF(OR(Config!$B$13="India",Config!$B$13="Sri Lanka"),IF(MONTH(Y1)=3,12,MONTH(Y1)-3),MONTH(Y1))*1)))</f>
        <v>#N/A</v>
      </c>
      <c r="Z8" s="831" t="e">
        <f ca="1">AVERAGE((OFFSET(DB_LOAD!$K3:$K10000,MATCH(Z1,DB_LOAD!$H3:$H10000,0)-1,0,IF(OR(Config!$B$13="India",Config!$B$13="Sri Lanka"),IF(MONTH(Z1)=3,12,MONTH(Z1)-3),MONTH(Z1))*1)))</f>
        <v>#N/A</v>
      </c>
      <c r="AA8" s="831" t="e">
        <f ca="1">AVERAGE((OFFSET(DB_LOAD!$K3:$K10000,MATCH(AA1,DB_LOAD!$H3:$H10000,0)-1,0,IF(OR(Config!$B$13="India",Config!$B$13="Sri Lanka"),IF(MONTH(AA1)=3,12,MONTH(AA1)-3),MONTH(AA1))*1)))</f>
        <v>#N/A</v>
      </c>
      <c r="AB8" s="831" t="e">
        <f ca="1">AVERAGE((OFFSET(DB_LOAD!$K3:$K10000,MATCH(AB1,DB_LOAD!$H3:$H10000,0)-1,0,IF(OR(Config!$B$13="India",Config!$B$13="Sri Lanka"),IF(MONTH(AB1)=3,12,MONTH(AB1)-3),MONTH(AB1))*1)))</f>
        <v>#N/A</v>
      </c>
      <c r="AC8" s="831" t="e">
        <f ca="1">AVERAGE((OFFSET(DB_LOAD!$K3:$K10000,MATCH(AC1,DB_LOAD!$H3:$H10000,0)-1,0,IF(OR(Config!$B$13="India",Config!$B$13="Sri Lanka"),IF(MONTH(AC1)=3,12,MONTH(AC1)-3),MONTH(AC1))*1)))</f>
        <v>#N/A</v>
      </c>
      <c r="AD8" s="831" t="e">
        <f ca="1">AVERAGE((OFFSET(DB_LOAD!$K3:$K10000,MATCH(AD1,DB_LOAD!$H3:$H10000,0)-1,0,IF(OR(Config!$B$13="India",Config!$B$13="Sri Lanka"),IF(MONTH(AD1)=3,12,MONTH(AD1)-3),MONTH(AD1))*1)))</f>
        <v>#N/A</v>
      </c>
      <c r="AE8" s="831" t="e">
        <f ca="1">AVERAGE((OFFSET(DB_LOAD!$K3:$K10000,MATCH(AE1,DB_LOAD!$H3:$H10000,0)-1,0,IF(OR(Config!$B$13="India",Config!$B$13="Sri Lanka"),IF(MONTH(AE1)=3,12,MONTH(AE1)-3),MONTH(AE1))*1)))</f>
        <v>#N/A</v>
      </c>
      <c r="AF8" s="831" t="e">
        <f ca="1">AVERAGE((OFFSET(DB_LOAD!$K3:$K10000,MATCH(AF1,DB_LOAD!$H3:$H10000,0)-1,0,IF(OR(Config!$B$13="India",Config!$B$13="Sri Lanka"),IF(MONTH(AF1)=3,12,MONTH(AF1)-3),MONTH(AF1))*1)))</f>
        <v>#N/A</v>
      </c>
      <c r="AG8" s="831" t="e">
        <f ca="1">AVERAGE((OFFSET(DB_LOAD!$K3:$K10000,MATCH(AG1,DB_LOAD!$H3:$H10000,0)-1,0,IF(OR(Config!$B$13="India",Config!$B$13="Sri Lanka"),IF(MONTH(AG1)=3,12,MONTH(AG1)-3),MONTH(AG1))*1)))</f>
        <v>#N/A</v>
      </c>
      <c r="AH8" s="831" t="e">
        <f ca="1">AVERAGE((OFFSET(DB_LOAD!$K3:$K10000,MATCH(AH1,DB_LOAD!$H3:$H10000,0)-1,0,IF(OR(Config!$B$13="India",Config!$B$13="Sri Lanka"),IF(MONTH(AH1)=3,12,MONTH(AH1)-3),MONTH(AH1))*1)))</f>
        <v>#N/A</v>
      </c>
      <c r="AI8" s="831" t="e">
        <f ca="1">AVERAGE((OFFSET(DB_LOAD!$K3:$K10000,MATCH(AI1,DB_LOAD!$H3:$H10000,0)-1,0,IF(OR(Config!$B$13="India",Config!$B$13="Sri Lanka"),IF(MONTH(AI1)=3,12,MONTH(AI1)-3),MONTH(AI1))*1)))</f>
        <v>#N/A</v>
      </c>
      <c r="AJ8" s="831" t="e">
        <f ca="1">AVERAGE((OFFSET(DB_LOAD!$K3:$K10000,MATCH(AJ1,DB_LOAD!$H3:$H10000,0)-1,0,IF(OR(Config!$B$13="India",Config!$B$13="Sri Lanka"),IF(MONTH(AJ1)=3,12,MONTH(AJ1)-3),MONTH(AJ1))*1)))</f>
        <v>#N/A</v>
      </c>
      <c r="AK8" s="831" t="e">
        <f ca="1">AVERAGE((OFFSET(DB_LOAD!$K3:$K10000,MATCH(AK1,DB_LOAD!$H3:$H10000,0)-1,0,IF(OR(Config!$B$13="India",Config!$B$13="Sri Lanka"),IF(MONTH(AK1)=3,12,MONTH(AK1)-3),MONTH(AK1))*1)))</f>
        <v>#N/A</v>
      </c>
      <c r="AL8" s="831" t="e">
        <f ca="1">AVERAGE((OFFSET(DB_LOAD!$K3:$K10000,MATCH(AL1,DB_LOAD!$H3:$H10000,0)-1,0,IF(OR(Config!$B$13="India",Config!$B$13="Sri Lanka"),IF(MONTH(AL1)=3,12,MONTH(AL1)-3),MONTH(AL1))*1)))</f>
        <v>#N/A</v>
      </c>
    </row>
    <row r="9" spans="1:40" ht="18" customHeight="1">
      <c r="A9" s="890">
        <v>285</v>
      </c>
      <c r="B9" s="885" t="s">
        <v>559</v>
      </c>
      <c r="C9" s="831" t="e">
        <f ca="1">AVERAGE((OFFSET(DB_LOAD!$K3:$K10000,MATCH(C1,DB_LOAD!$H3:$H10000,0)-1,0,12,1)))</f>
        <v>#N/A</v>
      </c>
      <c r="D9" s="831" t="e">
        <f ca="1">AVERAGE((OFFSET(DB_LOAD!$K3:$K10000,MATCH(D1,DB_LOAD!$H3:$H10000,0)-1,0,12,1)))</f>
        <v>#N/A</v>
      </c>
      <c r="E9" s="831" t="e">
        <f ca="1">AVERAGE((OFFSET(DB_LOAD!$K3:$K10000,MATCH(E1,DB_LOAD!$H3:$H10000,0)-1,0,12,1)))</f>
        <v>#N/A</v>
      </c>
      <c r="F9" s="831" t="e">
        <f ca="1">AVERAGE((OFFSET(DB_LOAD!$K3:$K10000,MATCH(F1,DB_LOAD!$H3:$H10000,0)-1,0,12,1)))</f>
        <v>#N/A</v>
      </c>
      <c r="G9" s="831" t="e">
        <f ca="1">AVERAGE((OFFSET(DB_LOAD!$K3:$K10000,MATCH(G1,DB_LOAD!$H3:$H10000,0)-1,0,12,1)))</f>
        <v>#N/A</v>
      </c>
      <c r="H9" s="831" t="e">
        <f ca="1">AVERAGE((OFFSET(DB_LOAD!$K3:$K10000,MATCH(H1,DB_LOAD!$H3:$H10000,0)-1,0,12,1)))</f>
        <v>#N/A</v>
      </c>
      <c r="I9" s="831" t="e">
        <f ca="1">AVERAGE((OFFSET(DB_LOAD!$K3:$K10000,MATCH(I1,DB_LOAD!$H3:$H10000,0)-1,0,12,1)))</f>
        <v>#N/A</v>
      </c>
      <c r="J9" s="831" t="e">
        <f ca="1">AVERAGE((OFFSET(DB_LOAD!$K3:$K10000,MATCH(J1,DB_LOAD!$H3:$H10000,0)-1,0,12,1)))</f>
        <v>#N/A</v>
      </c>
      <c r="K9" s="831" t="e">
        <f ca="1">AVERAGE((OFFSET(DB_LOAD!$K3:$K10000,MATCH(K1,DB_LOAD!$H3:$H10000,0)-1,0,12,1)))</f>
        <v>#N/A</v>
      </c>
      <c r="L9" s="831" t="e">
        <f ca="1">AVERAGE((OFFSET(DB_LOAD!$K3:$K10000,MATCH(L1,DB_LOAD!$H3:$H10000,0)-1,0,12,1)))</f>
        <v>#N/A</v>
      </c>
      <c r="M9" s="831" t="e">
        <f ca="1">AVERAGE((OFFSET(DB_LOAD!$K3:$K10000,MATCH(M1,DB_LOAD!$H3:$H10000,0)-1,0,12,1)))</f>
        <v>#N/A</v>
      </c>
      <c r="N9" s="831" t="e">
        <f ca="1">AVERAGE((OFFSET(DB_LOAD!$K3:$K10000,MATCH(N1,DB_LOAD!$H3:$H10000,0)-1,0,12,1)))</f>
        <v>#N/A</v>
      </c>
      <c r="O9" s="831" t="e">
        <f ca="1">AVERAGE((OFFSET(DB_LOAD!$K3:$K10000,MATCH(O1,DB_LOAD!$H3:$H10000,0)-1,0,12,1)))</f>
        <v>#N/A</v>
      </c>
      <c r="P9" s="831" t="e">
        <f ca="1">AVERAGE((OFFSET(DB_LOAD!$K3:$K10000,MATCH(P1,DB_LOAD!$H3:$H10000,0)-1,0,12,1)))</f>
        <v>#N/A</v>
      </c>
      <c r="Q9" s="831" t="e">
        <f ca="1">AVERAGE((OFFSET(DB_LOAD!$K3:$K10000,MATCH(Q1,DB_LOAD!$H3:$H10000,0)-1,0,12,1)))</f>
        <v>#N/A</v>
      </c>
      <c r="R9" s="831" t="e">
        <f ca="1">AVERAGE((OFFSET(DB_LOAD!$K3:$K10000,MATCH(R1,DB_LOAD!$H3:$H10000,0)-1,0,12,1)))</f>
        <v>#N/A</v>
      </c>
      <c r="S9" s="831" t="e">
        <f ca="1">AVERAGE((OFFSET(DB_LOAD!$K3:$K10000,MATCH(S1,DB_LOAD!$H3:$H10000,0)-1,0,12,1)))</f>
        <v>#N/A</v>
      </c>
      <c r="T9" s="831" t="e">
        <f ca="1">AVERAGE((OFFSET(DB_LOAD!$K3:$K10000,MATCH(T1,DB_LOAD!$H3:$H10000,0)-1,0,12,1)))</f>
        <v>#N/A</v>
      </c>
      <c r="U9" s="831" t="e">
        <f ca="1">AVERAGE((OFFSET(DB_LOAD!$K3:$K10000,MATCH(U1,DB_LOAD!$H3:$H10000,0)-1,0,12,1)))</f>
        <v>#N/A</v>
      </c>
      <c r="V9" s="831" t="e">
        <f ca="1">AVERAGE((OFFSET(DB_LOAD!$K3:$K10000,MATCH(V1,DB_LOAD!$H3:$H10000,0)-1,0,12,1)))</f>
        <v>#N/A</v>
      </c>
      <c r="W9" s="831" t="e">
        <f ca="1">AVERAGE((OFFSET(DB_LOAD!$K3:$K10000,MATCH(W1,DB_LOAD!$H3:$H10000,0)-1,0,12,1)))</f>
        <v>#N/A</v>
      </c>
      <c r="X9" s="831" t="e">
        <f ca="1">AVERAGE((OFFSET(DB_LOAD!$K3:$K10000,MATCH(X1,DB_LOAD!$H3:$H10000,0)-1,0,12,1)))</f>
        <v>#N/A</v>
      </c>
      <c r="Y9" s="831" t="e">
        <f ca="1">AVERAGE((OFFSET(DB_LOAD!$K3:$K10000,MATCH(Y1,DB_LOAD!$H3:$H10000,0)-1,0,12,1)))</f>
        <v>#N/A</v>
      </c>
      <c r="Z9" s="831" t="e">
        <f ca="1">AVERAGE((OFFSET(DB_LOAD!$K3:$K10000,MATCH(Z1,DB_LOAD!$H3:$H10000,0)-1,0,12,1)))</f>
        <v>#N/A</v>
      </c>
      <c r="AA9" s="831" t="e">
        <f ca="1">AVERAGE((OFFSET(DB_LOAD!$K3:$K10000,MATCH(AA1,DB_LOAD!$H3:$H10000,0)-1,0,12,1)))</f>
        <v>#N/A</v>
      </c>
      <c r="AB9" s="831" t="e">
        <f ca="1">AVERAGE((OFFSET(DB_LOAD!$K3:$K10000,MATCH(AB1,DB_LOAD!$H3:$H10000,0)-1,0,12,1)))</f>
        <v>#N/A</v>
      </c>
      <c r="AC9" s="831" t="e">
        <f ca="1">AVERAGE((OFFSET(DB_LOAD!$K3:$K10000,MATCH(AC1,DB_LOAD!$H3:$H10000,0)-1,0,12,1)))</f>
        <v>#N/A</v>
      </c>
      <c r="AD9" s="831" t="e">
        <f ca="1">AVERAGE((OFFSET(DB_LOAD!$K3:$K10000,MATCH(AD1,DB_LOAD!$H3:$H10000,0)-1,0,12,1)))</f>
        <v>#N/A</v>
      </c>
      <c r="AE9" s="831" t="e">
        <f ca="1">AVERAGE((OFFSET(DB_LOAD!$K3:$K10000,MATCH(AE1,DB_LOAD!$H3:$H10000,0)-1,0,12,1)))</f>
        <v>#N/A</v>
      </c>
      <c r="AF9" s="831" t="e">
        <f ca="1">AVERAGE((OFFSET(DB_LOAD!$K3:$K10000,MATCH(AF1,DB_LOAD!$H3:$H10000,0)-1,0,12,1)))</f>
        <v>#N/A</v>
      </c>
      <c r="AG9" s="831" t="e">
        <f ca="1">AVERAGE((OFFSET(DB_LOAD!$K3:$K10000,MATCH(AG1,DB_LOAD!$H3:$H10000,0)-1,0,12,1)))</f>
        <v>#N/A</v>
      </c>
      <c r="AH9" s="831" t="e">
        <f ca="1">AVERAGE((OFFSET(DB_LOAD!$K3:$K10000,MATCH(AH1,DB_LOAD!$H3:$H10000,0)-1,0,12,1)))</f>
        <v>#N/A</v>
      </c>
      <c r="AI9" s="831" t="e">
        <f ca="1">AVERAGE((OFFSET(DB_LOAD!$K3:$K10000,MATCH(AI1,DB_LOAD!$H3:$H10000,0)-1,0,12,1)))</f>
        <v>#N/A</v>
      </c>
      <c r="AJ9" s="831" t="e">
        <f ca="1">AVERAGE((OFFSET(DB_LOAD!$K3:$K10000,MATCH(AJ1,DB_LOAD!$H3:$H10000,0)-1,0,12,1)))</f>
        <v>#N/A</v>
      </c>
      <c r="AK9" s="831" t="e">
        <f ca="1">AVERAGE((OFFSET(DB_LOAD!$K3:$K10000,MATCH(AK1,DB_LOAD!$H3:$H10000,0)-1,0,12,1)))</f>
        <v>#N/A</v>
      </c>
      <c r="AL9" s="831" t="e">
        <f ca="1">AVERAGE((OFFSET(DB_LOAD!$K3:$K10000,MATCH(AL1,DB_LOAD!$H3:$H10000,0)-1,0,12,1)))</f>
        <v>#N/A</v>
      </c>
    </row>
    <row r="10" spans="1:40">
      <c r="A10" s="890">
        <v>253</v>
      </c>
      <c r="B10" s="883" t="s">
        <v>370</v>
      </c>
      <c r="C10" s="880" t="str">
        <f>IFERROR(DATA_FORMATTING!E131,"")</f>
        <v/>
      </c>
      <c r="D10" s="880" t="str">
        <f>IFERROR(DATA_FORMATTING!F131,"")</f>
        <v/>
      </c>
      <c r="E10" s="880" t="str">
        <f>IFERROR(DATA_FORMATTING!G131,"")</f>
        <v/>
      </c>
      <c r="F10" s="880" t="str">
        <f>IFERROR(DATA_FORMATTING!H131,"")</f>
        <v/>
      </c>
      <c r="G10" s="880" t="str">
        <f>IFERROR(DATA_FORMATTING!I131,"")</f>
        <v/>
      </c>
      <c r="H10" s="880" t="str">
        <f>IFERROR(DATA_FORMATTING!J131,"")</f>
        <v/>
      </c>
      <c r="I10" s="880" t="str">
        <f>IFERROR(DATA_FORMATTING!K131,"")</f>
        <v/>
      </c>
      <c r="J10" s="880" t="str">
        <f>IFERROR(DATA_FORMATTING!L131,"")</f>
        <v/>
      </c>
      <c r="K10" s="880" t="str">
        <f>IFERROR(DATA_FORMATTING!M131,"")</f>
        <v/>
      </c>
      <c r="L10" s="880" t="str">
        <f>IFERROR(DATA_FORMATTING!N131,"")</f>
        <v/>
      </c>
      <c r="M10" s="880" t="str">
        <f>IFERROR(DATA_FORMATTING!O131,"")</f>
        <v/>
      </c>
      <c r="N10" s="880" t="str">
        <f>IFERROR(DATA_FORMATTING!P131,"")</f>
        <v/>
      </c>
      <c r="O10" s="880" t="str">
        <f>IFERROR(DATA_FORMATTING!Q131,"")</f>
        <v/>
      </c>
      <c r="P10" s="880" t="str">
        <f>IFERROR(DATA_FORMATTING!R131,"")</f>
        <v/>
      </c>
      <c r="Q10" s="880" t="str">
        <f>IFERROR(DATA_FORMATTING!S131,"")</f>
        <v/>
      </c>
      <c r="R10" s="880" t="str">
        <f>IFERROR(DATA_FORMATTING!T131,"")</f>
        <v/>
      </c>
      <c r="S10" s="880" t="str">
        <f>IFERROR(DATA_FORMATTING!U131,"")</f>
        <v/>
      </c>
      <c r="T10" s="880" t="str">
        <f>IFERROR(DATA_FORMATTING!V131,"")</f>
        <v/>
      </c>
      <c r="U10" s="880" t="str">
        <f>IFERROR(DATA_FORMATTING!W131,"")</f>
        <v/>
      </c>
      <c r="V10" s="880" t="str">
        <f>IFERROR(DATA_FORMATTING!X131,"")</f>
        <v/>
      </c>
      <c r="W10" s="880" t="str">
        <f>IFERROR(DATA_FORMATTING!Y131,"")</f>
        <v/>
      </c>
      <c r="X10" s="880" t="str">
        <f>IFERROR(DATA_FORMATTING!Z131,"")</f>
        <v/>
      </c>
      <c r="Y10" s="880" t="str">
        <f>IFERROR(DATA_FORMATTING!AA131,"")</f>
        <v/>
      </c>
      <c r="Z10" s="880" t="str">
        <f>IFERROR(DATA_FORMATTING!AB131,"")</f>
        <v/>
      </c>
      <c r="AA10" s="880" t="str">
        <f>IFERROR(DATA_FORMATTING!AC131,"")</f>
        <v/>
      </c>
      <c r="AB10" s="880" t="str">
        <f>IFERROR(DATA_FORMATTING!AD131,"")</f>
        <v/>
      </c>
      <c r="AC10" s="880" t="str">
        <f>IFERROR(DATA_FORMATTING!AE131,"")</f>
        <v/>
      </c>
      <c r="AD10" s="880" t="str">
        <f>IFERROR(DATA_FORMATTING!AF131,"")</f>
        <v/>
      </c>
      <c r="AE10" s="880" t="str">
        <f>IFERROR(DATA_FORMATTING!AG131,"")</f>
        <v/>
      </c>
      <c r="AF10" s="880" t="str">
        <f>IFERROR(DATA_FORMATTING!AH131,"")</f>
        <v/>
      </c>
      <c r="AG10" s="880" t="str">
        <f>IFERROR(DATA_FORMATTING!AI131,"")</f>
        <v/>
      </c>
      <c r="AH10" s="880" t="str">
        <f>IFERROR(DATA_FORMATTING!AJ131,"")</f>
        <v/>
      </c>
      <c r="AI10" s="880" t="str">
        <f>IFERROR(DATA_FORMATTING!AK131,"")</f>
        <v/>
      </c>
      <c r="AJ10" s="880" t="str">
        <f>IFERROR(DATA_FORMATTING!AL131,"")</f>
        <v/>
      </c>
      <c r="AK10" s="880" t="str">
        <f>IFERROR(DATA_FORMATTING!AM131,"")</f>
        <v/>
      </c>
      <c r="AL10" s="880" t="str">
        <f>IFERROR(DATA_FORMATTING!AN131,"")</f>
        <v/>
      </c>
    </row>
    <row r="11" spans="1:40">
      <c r="A11" s="890">
        <v>252</v>
      </c>
      <c r="B11" s="882" t="s">
        <v>546</v>
      </c>
      <c r="C11" s="880" t="str">
        <f>IFERROR(DATA_FORMATTING!E128,"")</f>
        <v/>
      </c>
      <c r="D11" s="880" t="str">
        <f>IFERROR(DATA_FORMATTING!F128,"")</f>
        <v/>
      </c>
      <c r="E11" s="880" t="str">
        <f>IFERROR(DATA_FORMATTING!G128,"")</f>
        <v/>
      </c>
      <c r="F11" s="880" t="str">
        <f>IFERROR(DATA_FORMATTING!H128,"")</f>
        <v/>
      </c>
      <c r="G11" s="880" t="str">
        <f>IFERROR(DATA_FORMATTING!I128,"")</f>
        <v/>
      </c>
      <c r="H11" s="880" t="str">
        <f>IFERROR(DATA_FORMATTING!J128,"")</f>
        <v/>
      </c>
      <c r="I11" s="880" t="str">
        <f>IFERROR(DATA_FORMATTING!K128,"")</f>
        <v/>
      </c>
      <c r="J11" s="880" t="str">
        <f>IFERROR(DATA_FORMATTING!L128,"")</f>
        <v/>
      </c>
      <c r="K11" s="880" t="str">
        <f>IFERROR(DATA_FORMATTING!M128,"")</f>
        <v/>
      </c>
      <c r="L11" s="880" t="str">
        <f>IFERROR(DATA_FORMATTING!N128,"")</f>
        <v/>
      </c>
      <c r="M11" s="880" t="str">
        <f>IFERROR(DATA_FORMATTING!O128,"")</f>
        <v/>
      </c>
      <c r="N11" s="880" t="str">
        <f>IFERROR(DATA_FORMATTING!P128,"")</f>
        <v/>
      </c>
      <c r="O11" s="880" t="str">
        <f>IFERROR(DATA_FORMATTING!Q128,"")</f>
        <v/>
      </c>
      <c r="P11" s="880" t="str">
        <f>IFERROR(DATA_FORMATTING!R128,"")</f>
        <v/>
      </c>
      <c r="Q11" s="880" t="str">
        <f>IFERROR(DATA_FORMATTING!S128,"")</f>
        <v/>
      </c>
      <c r="R11" s="880" t="str">
        <f>IFERROR(DATA_FORMATTING!T128,"")</f>
        <v/>
      </c>
      <c r="S11" s="880" t="str">
        <f>IFERROR(DATA_FORMATTING!U128,"")</f>
        <v/>
      </c>
      <c r="T11" s="880" t="str">
        <f>IFERROR(DATA_FORMATTING!V128,"")</f>
        <v/>
      </c>
      <c r="U11" s="880" t="str">
        <f>IFERROR(DATA_FORMATTING!W128,"")</f>
        <v/>
      </c>
      <c r="V11" s="880" t="str">
        <f>IFERROR(DATA_FORMATTING!X128,"")</f>
        <v/>
      </c>
      <c r="W11" s="880" t="str">
        <f>IFERROR(DATA_FORMATTING!Y128,"")</f>
        <v/>
      </c>
      <c r="X11" s="880" t="str">
        <f>IFERROR(DATA_FORMATTING!Z128,"")</f>
        <v/>
      </c>
      <c r="Y11" s="880" t="str">
        <f>IFERROR(DATA_FORMATTING!AA128,"")</f>
        <v/>
      </c>
      <c r="Z11" s="880" t="str">
        <f>IFERROR(DATA_FORMATTING!AB128,"")</f>
        <v/>
      </c>
      <c r="AA11" s="880" t="str">
        <f>IFERROR(DATA_FORMATTING!AC128,"")</f>
        <v/>
      </c>
      <c r="AB11" s="880" t="str">
        <f>IFERROR(DATA_FORMATTING!AD128,"")</f>
        <v/>
      </c>
      <c r="AC11" s="880" t="str">
        <f>IFERROR(DATA_FORMATTING!AE128,"")</f>
        <v/>
      </c>
      <c r="AD11" s="880" t="str">
        <f>IFERROR(DATA_FORMATTING!AF128,"")</f>
        <v/>
      </c>
      <c r="AE11" s="880" t="str">
        <f>IFERROR(DATA_FORMATTING!AG128,"")</f>
        <v/>
      </c>
      <c r="AF11" s="880" t="str">
        <f>IFERROR(DATA_FORMATTING!AH128,"")</f>
        <v/>
      </c>
      <c r="AG11" s="880" t="str">
        <f>IFERROR(DATA_FORMATTING!AI128,"")</f>
        <v/>
      </c>
      <c r="AH11" s="880" t="str">
        <f>IFERROR(DATA_FORMATTING!AJ128,"")</f>
        <v/>
      </c>
      <c r="AI11" s="880" t="str">
        <f>IFERROR(DATA_FORMATTING!AK128,"")</f>
        <v/>
      </c>
      <c r="AJ11" s="880" t="str">
        <f>IFERROR(DATA_FORMATTING!AL128,"")</f>
        <v/>
      </c>
      <c r="AK11" s="880" t="str">
        <f>IFERROR(DATA_FORMATTING!AM128,"")</f>
        <v/>
      </c>
      <c r="AL11" s="880" t="str">
        <f>IFERROR(DATA_FORMATTING!AN128,"")</f>
        <v/>
      </c>
    </row>
    <row r="12" spans="1:40">
      <c r="A12" s="890">
        <v>267</v>
      </c>
      <c r="B12" s="882" t="s">
        <v>192</v>
      </c>
      <c r="C12" s="880" t="str">
        <f>IFERROR(DATA_FORMATTING!E129,"")</f>
        <v/>
      </c>
      <c r="D12" s="880" t="str">
        <f>IFERROR(DATA_FORMATTING!F129,"")</f>
        <v/>
      </c>
      <c r="E12" s="880" t="str">
        <f>IFERROR(DATA_FORMATTING!G129,"")</f>
        <v/>
      </c>
      <c r="F12" s="880" t="str">
        <f>IFERROR(DATA_FORMATTING!H129,"")</f>
        <v/>
      </c>
      <c r="G12" s="880" t="str">
        <f>IFERROR(DATA_FORMATTING!I129,"")</f>
        <v/>
      </c>
      <c r="H12" s="880" t="str">
        <f>IFERROR(DATA_FORMATTING!J129,"")</f>
        <v/>
      </c>
      <c r="I12" s="880" t="str">
        <f>IFERROR(DATA_FORMATTING!K129,"")</f>
        <v/>
      </c>
      <c r="J12" s="880" t="str">
        <f>IFERROR(DATA_FORMATTING!L129,"")</f>
        <v/>
      </c>
      <c r="K12" s="880" t="str">
        <f>IFERROR(DATA_FORMATTING!M129,"")</f>
        <v/>
      </c>
      <c r="L12" s="880" t="str">
        <f>IFERROR(DATA_FORMATTING!N129,"")</f>
        <v/>
      </c>
      <c r="M12" s="880" t="str">
        <f>IFERROR(DATA_FORMATTING!O129,"")</f>
        <v/>
      </c>
      <c r="N12" s="880" t="str">
        <f>IFERROR(DATA_FORMATTING!P129,"")</f>
        <v/>
      </c>
      <c r="O12" s="880" t="str">
        <f>IFERROR(DATA_FORMATTING!Q129,"")</f>
        <v/>
      </c>
      <c r="P12" s="880" t="str">
        <f>IFERROR(DATA_FORMATTING!R129,"")</f>
        <v/>
      </c>
      <c r="Q12" s="880" t="str">
        <f>IFERROR(DATA_FORMATTING!S129,"")</f>
        <v/>
      </c>
      <c r="R12" s="880" t="str">
        <f>IFERROR(DATA_FORMATTING!T129,"")</f>
        <v/>
      </c>
      <c r="S12" s="880" t="str">
        <f>IFERROR(DATA_FORMATTING!U129,"")</f>
        <v/>
      </c>
      <c r="T12" s="880" t="str">
        <f>IFERROR(DATA_FORMATTING!V129,"")</f>
        <v/>
      </c>
      <c r="U12" s="880" t="str">
        <f>IFERROR(DATA_FORMATTING!W129,"")</f>
        <v/>
      </c>
      <c r="V12" s="880" t="str">
        <f>IFERROR(DATA_FORMATTING!X129,"")</f>
        <v/>
      </c>
      <c r="W12" s="880" t="str">
        <f>IFERROR(DATA_FORMATTING!Y129,"")</f>
        <v/>
      </c>
      <c r="X12" s="880" t="str">
        <f>IFERROR(DATA_FORMATTING!Z129,"")</f>
        <v/>
      </c>
      <c r="Y12" s="880" t="str">
        <f>IFERROR(DATA_FORMATTING!AA129,"")</f>
        <v/>
      </c>
      <c r="Z12" s="880" t="str">
        <f>IFERROR(DATA_FORMATTING!AB129,"")</f>
        <v/>
      </c>
      <c r="AA12" s="880" t="str">
        <f>IFERROR(DATA_FORMATTING!AC129,"")</f>
        <v/>
      </c>
      <c r="AB12" s="880" t="str">
        <f>IFERROR(DATA_FORMATTING!AD129,"")</f>
        <v/>
      </c>
      <c r="AC12" s="880" t="str">
        <f>IFERROR(DATA_FORMATTING!AE129,"")</f>
        <v/>
      </c>
      <c r="AD12" s="880" t="str">
        <f>IFERROR(DATA_FORMATTING!AF129,"")</f>
        <v/>
      </c>
      <c r="AE12" s="880" t="str">
        <f>IFERROR(DATA_FORMATTING!AG129,"")</f>
        <v/>
      </c>
      <c r="AF12" s="880" t="str">
        <f>IFERROR(DATA_FORMATTING!AH129,"")</f>
        <v/>
      </c>
      <c r="AG12" s="880" t="str">
        <f>IFERROR(DATA_FORMATTING!AI129,"")</f>
        <v/>
      </c>
      <c r="AH12" s="880" t="str">
        <f>IFERROR(DATA_FORMATTING!AJ129,"")</f>
        <v/>
      </c>
      <c r="AI12" s="880" t="str">
        <f>IFERROR(DATA_FORMATTING!AK129,"")</f>
        <v/>
      </c>
      <c r="AJ12" s="880" t="str">
        <f>IFERROR(DATA_FORMATTING!AL129,"")</f>
        <v/>
      </c>
      <c r="AK12" s="880" t="str">
        <f>IFERROR(DATA_FORMATTING!AM129,"")</f>
        <v/>
      </c>
      <c r="AL12" s="880" t="str">
        <f>IFERROR(DATA_FORMATTING!AN129,"")</f>
        <v/>
      </c>
    </row>
    <row r="13" spans="1:40">
      <c r="A13" s="890">
        <v>268</v>
      </c>
      <c r="B13" s="882" t="s">
        <v>558</v>
      </c>
      <c r="C13" s="880" t="str">
        <f>IFERROR(DATA_FORMATTING!E142,"")</f>
        <v/>
      </c>
      <c r="D13" s="880" t="str">
        <f>IFERROR(DATA_FORMATTING!F142,"")</f>
        <v/>
      </c>
      <c r="E13" s="880" t="str">
        <f>IFERROR(DATA_FORMATTING!G142,"")</f>
        <v/>
      </c>
      <c r="F13" s="880" t="str">
        <f>IFERROR(DATA_FORMATTING!H142,"")</f>
        <v/>
      </c>
      <c r="G13" s="880" t="str">
        <f>IFERROR(DATA_FORMATTING!I142,"")</f>
        <v/>
      </c>
      <c r="H13" s="880" t="str">
        <f>IFERROR(DATA_FORMATTING!J142,"")</f>
        <v/>
      </c>
      <c r="I13" s="880" t="str">
        <f>IFERROR(DATA_FORMATTING!K142,"")</f>
        <v/>
      </c>
      <c r="J13" s="880" t="str">
        <f>IFERROR(DATA_FORMATTING!L142,"")</f>
        <v/>
      </c>
      <c r="K13" s="880" t="str">
        <f>IFERROR(DATA_FORMATTING!M142,"")</f>
        <v/>
      </c>
      <c r="L13" s="880" t="str">
        <f>IFERROR(DATA_FORMATTING!N142,"")</f>
        <v/>
      </c>
      <c r="M13" s="880" t="str">
        <f>IFERROR(DATA_FORMATTING!O142,"")</f>
        <v/>
      </c>
      <c r="N13" s="880" t="str">
        <f>IFERROR(DATA_FORMATTING!P142,"")</f>
        <v/>
      </c>
      <c r="O13" s="880" t="str">
        <f>IFERROR(DATA_FORMATTING!Q142,"")</f>
        <v/>
      </c>
      <c r="P13" s="880" t="str">
        <f>IFERROR(DATA_FORMATTING!R142,"")</f>
        <v/>
      </c>
      <c r="Q13" s="880" t="str">
        <f>IFERROR(DATA_FORMATTING!S142,"")</f>
        <v/>
      </c>
      <c r="R13" s="880" t="str">
        <f>IFERROR(DATA_FORMATTING!T142,"")</f>
        <v/>
      </c>
      <c r="S13" s="880" t="str">
        <f>IFERROR(DATA_FORMATTING!U142,"")</f>
        <v/>
      </c>
      <c r="T13" s="880" t="str">
        <f>IFERROR(DATA_FORMATTING!V142,"")</f>
        <v/>
      </c>
      <c r="U13" s="880" t="str">
        <f>IFERROR(DATA_FORMATTING!W142,"")</f>
        <v/>
      </c>
      <c r="V13" s="880" t="str">
        <f>IFERROR(DATA_FORMATTING!X142,"")</f>
        <v/>
      </c>
      <c r="W13" s="880" t="str">
        <f>IFERROR(DATA_FORMATTING!Y142,"")</f>
        <v/>
      </c>
      <c r="X13" s="880" t="str">
        <f>IFERROR(DATA_FORMATTING!Z142,"")</f>
        <v/>
      </c>
      <c r="Y13" s="880" t="str">
        <f>IFERROR(DATA_FORMATTING!AA142,"")</f>
        <v/>
      </c>
      <c r="Z13" s="880" t="str">
        <f>IFERROR(DATA_FORMATTING!AB142,"")</f>
        <v/>
      </c>
      <c r="AA13" s="880" t="str">
        <f>IFERROR(DATA_FORMATTING!AC142,"")</f>
        <v/>
      </c>
      <c r="AB13" s="880" t="str">
        <f>IFERROR(DATA_FORMATTING!AD142,"")</f>
        <v/>
      </c>
      <c r="AC13" s="880" t="str">
        <f>IFERROR(DATA_FORMATTING!AE142,"")</f>
        <v/>
      </c>
      <c r="AD13" s="880" t="str">
        <f>IFERROR(DATA_FORMATTING!AF142,"")</f>
        <v/>
      </c>
      <c r="AE13" s="880" t="str">
        <f>IFERROR(DATA_FORMATTING!AG142,"")</f>
        <v/>
      </c>
      <c r="AF13" s="880" t="str">
        <f>IFERROR(DATA_FORMATTING!AH142,"")</f>
        <v/>
      </c>
      <c r="AG13" s="880" t="str">
        <f>IFERROR(DATA_FORMATTING!AI142,"")</f>
        <v/>
      </c>
      <c r="AH13" s="880" t="str">
        <f>IFERROR(DATA_FORMATTING!AJ142,"")</f>
        <v/>
      </c>
      <c r="AI13" s="880" t="str">
        <f>IFERROR(DATA_FORMATTING!AK142,"")</f>
        <v/>
      </c>
      <c r="AJ13" s="880" t="str">
        <f>IFERROR(DATA_FORMATTING!AL142,"")</f>
        <v/>
      </c>
      <c r="AK13" s="880" t="str">
        <f>IFERROR(DATA_FORMATTING!AM142,"")</f>
        <v/>
      </c>
      <c r="AL13" s="880" t="str">
        <f>IFERROR(DATA_FORMATTING!AN142,"")</f>
        <v/>
      </c>
    </row>
    <row r="14" spans="1:40">
      <c r="A14" s="890">
        <v>255</v>
      </c>
      <c r="B14" s="882" t="s">
        <v>126</v>
      </c>
      <c r="C14" s="880" t="str">
        <f>IFERROR(DATA_FORMATTING!E147,"")</f>
        <v/>
      </c>
      <c r="D14" s="880" t="str">
        <f>IFERROR(DATA_FORMATTING!F147,"")</f>
        <v/>
      </c>
      <c r="E14" s="880" t="str">
        <f>IFERROR(DATA_FORMATTING!G147,"")</f>
        <v/>
      </c>
      <c r="F14" s="880" t="str">
        <f>IFERROR(DATA_FORMATTING!H147,"")</f>
        <v/>
      </c>
      <c r="G14" s="880" t="str">
        <f>IFERROR(DATA_FORMATTING!I147,"")</f>
        <v/>
      </c>
      <c r="H14" s="880" t="str">
        <f>IFERROR(DATA_FORMATTING!J147,"")</f>
        <v/>
      </c>
      <c r="I14" s="880" t="str">
        <f>IFERROR(DATA_FORMATTING!K147,"")</f>
        <v/>
      </c>
      <c r="J14" s="880" t="str">
        <f>IFERROR(DATA_FORMATTING!L147,"")</f>
        <v/>
      </c>
      <c r="K14" s="880" t="str">
        <f>IFERROR(DATA_FORMATTING!M147,"")</f>
        <v/>
      </c>
      <c r="L14" s="880" t="str">
        <f>IFERROR(DATA_FORMATTING!N147,"")</f>
        <v/>
      </c>
      <c r="M14" s="880" t="str">
        <f>IFERROR(DATA_FORMATTING!O147,"")</f>
        <v/>
      </c>
      <c r="N14" s="880" t="str">
        <f>IFERROR(DATA_FORMATTING!P147,"")</f>
        <v/>
      </c>
      <c r="O14" s="880" t="str">
        <f>IFERROR(DATA_FORMATTING!Q147,"")</f>
        <v/>
      </c>
      <c r="P14" s="880" t="str">
        <f>IFERROR(DATA_FORMATTING!R147,"")</f>
        <v/>
      </c>
      <c r="Q14" s="880" t="str">
        <f>IFERROR(DATA_FORMATTING!S147,"")</f>
        <v/>
      </c>
      <c r="R14" s="880" t="str">
        <f>IFERROR(DATA_FORMATTING!T147,"")</f>
        <v/>
      </c>
      <c r="S14" s="880" t="str">
        <f>IFERROR(DATA_FORMATTING!U147,"")</f>
        <v/>
      </c>
      <c r="T14" s="880" t="str">
        <f>IFERROR(DATA_FORMATTING!V147,"")</f>
        <v/>
      </c>
      <c r="U14" s="880" t="str">
        <f>IFERROR(DATA_FORMATTING!W147,"")</f>
        <v/>
      </c>
      <c r="V14" s="880" t="str">
        <f>IFERROR(DATA_FORMATTING!X147,"")</f>
        <v/>
      </c>
      <c r="W14" s="880" t="str">
        <f>IFERROR(DATA_FORMATTING!Y147,"")</f>
        <v/>
      </c>
      <c r="X14" s="880" t="str">
        <f>IFERROR(DATA_FORMATTING!Z147,"")</f>
        <v/>
      </c>
      <c r="Y14" s="880" t="str">
        <f>IFERROR(DATA_FORMATTING!AA147,"")</f>
        <v/>
      </c>
      <c r="Z14" s="880" t="str">
        <f>IFERROR(DATA_FORMATTING!AB147,"")</f>
        <v/>
      </c>
      <c r="AA14" s="880" t="str">
        <f>IFERROR(DATA_FORMATTING!AC147,"")</f>
        <v/>
      </c>
      <c r="AB14" s="880" t="str">
        <f>IFERROR(DATA_FORMATTING!AD147,"")</f>
        <v/>
      </c>
      <c r="AC14" s="880" t="str">
        <f>IFERROR(DATA_FORMATTING!AE147,"")</f>
        <v/>
      </c>
      <c r="AD14" s="880" t="str">
        <f>IFERROR(DATA_FORMATTING!AF147,"")</f>
        <v/>
      </c>
      <c r="AE14" s="880" t="str">
        <f>IFERROR(DATA_FORMATTING!AG147,"")</f>
        <v/>
      </c>
      <c r="AF14" s="880" t="str">
        <f>IFERROR(DATA_FORMATTING!AH147,"")</f>
        <v/>
      </c>
      <c r="AG14" s="880" t="str">
        <f>IFERROR(DATA_FORMATTING!AI147,"")</f>
        <v/>
      </c>
      <c r="AH14" s="880" t="str">
        <f>IFERROR(DATA_FORMATTING!AJ147,"")</f>
        <v/>
      </c>
      <c r="AI14" s="880" t="str">
        <f>IFERROR(DATA_FORMATTING!AK147,"")</f>
        <v/>
      </c>
      <c r="AJ14" s="880" t="str">
        <f>IFERROR(DATA_FORMATTING!AL147,"")</f>
        <v/>
      </c>
      <c r="AK14" s="880" t="str">
        <f>IFERROR(DATA_FORMATTING!AM147,"")</f>
        <v/>
      </c>
      <c r="AL14" s="880" t="str">
        <f>IFERROR(DATA_FORMATTING!AN147,"")</f>
        <v/>
      </c>
    </row>
    <row r="15" spans="1:40">
      <c r="A15" s="890">
        <v>269</v>
      </c>
      <c r="B15" s="882" t="s">
        <v>65</v>
      </c>
      <c r="C15" s="880" t="str">
        <f>IFERROR(DATA_FORMATTING!AY123,"")</f>
        <v/>
      </c>
      <c r="D15" s="880" t="str">
        <f>IFERROR(DATA_FORMATTING!AZ123,"")</f>
        <v/>
      </c>
      <c r="E15" s="880" t="str">
        <f>IFERROR(DATA_FORMATTING!BA123,"")</f>
        <v/>
      </c>
      <c r="F15" s="880" t="str">
        <f>IFERROR(DATA_FORMATTING!BB123,"")</f>
        <v/>
      </c>
      <c r="G15" s="880" t="str">
        <f>IFERROR(DATA_FORMATTING!BC123,"")</f>
        <v/>
      </c>
      <c r="H15" s="880" t="str">
        <f>IFERROR(DATA_FORMATTING!BD123,"")</f>
        <v/>
      </c>
      <c r="I15" s="880" t="str">
        <f>IFERROR(DATA_FORMATTING!BE123,"")</f>
        <v/>
      </c>
      <c r="J15" s="880" t="str">
        <f>IFERROR(DATA_FORMATTING!BF123,"")</f>
        <v/>
      </c>
      <c r="K15" s="880" t="str">
        <f>IFERROR(DATA_FORMATTING!BG123,"")</f>
        <v/>
      </c>
      <c r="L15" s="880" t="str">
        <f>IFERROR(DATA_FORMATTING!BH123,"")</f>
        <v/>
      </c>
      <c r="M15" s="880" t="str">
        <f>IFERROR(DATA_FORMATTING!BI123,"")</f>
        <v/>
      </c>
      <c r="N15" s="880" t="str">
        <f>IFERROR(DATA_FORMATTING!BJ123,"")</f>
        <v/>
      </c>
      <c r="O15" s="880" t="str">
        <f>IFERROR(DATA_FORMATTING!BK123,"")</f>
        <v/>
      </c>
      <c r="P15" s="880" t="str">
        <f>IFERROR(DATA_FORMATTING!BL123,"")</f>
        <v/>
      </c>
      <c r="Q15" s="880" t="str">
        <f>IFERROR(DATA_FORMATTING!BM123,"")</f>
        <v/>
      </c>
      <c r="R15" s="880" t="str">
        <f>IFERROR(DATA_FORMATTING!BN123,"")</f>
        <v/>
      </c>
      <c r="S15" s="880" t="str">
        <f>IFERROR(DATA_FORMATTING!BO123,"")</f>
        <v/>
      </c>
      <c r="T15" s="880" t="str">
        <f>IFERROR(DATA_FORMATTING!BP123,"")</f>
        <v/>
      </c>
      <c r="U15" s="880" t="str">
        <f>IFERROR(DATA_FORMATTING!BQ123,"")</f>
        <v/>
      </c>
      <c r="V15" s="880" t="str">
        <f>IFERROR(DATA_FORMATTING!BR123,"")</f>
        <v/>
      </c>
      <c r="W15" s="880" t="str">
        <f>IFERROR(DATA_FORMATTING!BS123,"")</f>
        <v/>
      </c>
      <c r="X15" s="880" t="str">
        <f>IFERROR(DATA_FORMATTING!BT123,"")</f>
        <v/>
      </c>
      <c r="Y15" s="880" t="str">
        <f>IFERROR(DATA_FORMATTING!BU123,"")</f>
        <v/>
      </c>
      <c r="Z15" s="880" t="str">
        <f>IFERROR(DATA_FORMATTING!BV123,"")</f>
        <v/>
      </c>
      <c r="AA15" s="880" t="str">
        <f>IFERROR(DATA_FORMATTING!BW123,"")</f>
        <v/>
      </c>
      <c r="AB15" s="880" t="str">
        <f>IFERROR(DATA_FORMATTING!BX123,"")</f>
        <v/>
      </c>
      <c r="AC15" s="880" t="str">
        <f>IFERROR(DATA_FORMATTING!BY123,"")</f>
        <v/>
      </c>
      <c r="AD15" s="880" t="str">
        <f>IFERROR(DATA_FORMATTING!BZ123,"")</f>
        <v/>
      </c>
      <c r="AE15" s="880" t="str">
        <f>IFERROR(DATA_FORMATTING!CA123,"")</f>
        <v/>
      </c>
      <c r="AF15" s="880" t="str">
        <f>IFERROR(DATA_FORMATTING!CB123,"")</f>
        <v/>
      </c>
      <c r="AG15" s="880" t="str">
        <f>IFERROR(DATA_FORMATTING!CC123,"")</f>
        <v/>
      </c>
      <c r="AH15" s="880" t="str">
        <f>IFERROR(DATA_FORMATTING!CD123,"")</f>
        <v/>
      </c>
      <c r="AI15" s="880" t="str">
        <f>IFERROR(DATA_FORMATTING!CE123,"")</f>
        <v/>
      </c>
      <c r="AJ15" s="880" t="str">
        <f>IFERROR(DATA_FORMATTING!CF123,"")</f>
        <v/>
      </c>
      <c r="AK15" s="880" t="str">
        <f>IFERROR(DATA_FORMATTING!CG123,"")</f>
        <v/>
      </c>
      <c r="AL15" s="880" t="str">
        <f>IFERROR(DATA_FORMATTING!CH123,"")</f>
        <v/>
      </c>
    </row>
    <row r="16" spans="1:40">
      <c r="A16" s="890">
        <v>256</v>
      </c>
      <c r="B16" s="882" t="s">
        <v>268</v>
      </c>
      <c r="C16" s="880" t="str">
        <f>IFERROR(DATA_FORMATTING!AY145,"")</f>
        <v/>
      </c>
      <c r="D16" s="880" t="str">
        <f>IFERROR(DATA_FORMATTING!AZ145,"")</f>
        <v/>
      </c>
      <c r="E16" s="880" t="str">
        <f>IFERROR(DATA_FORMATTING!BA145,"")</f>
        <v/>
      </c>
      <c r="F16" s="880" t="str">
        <f>IFERROR(DATA_FORMATTING!BB145,"")</f>
        <v/>
      </c>
      <c r="G16" s="880" t="str">
        <f>IFERROR(DATA_FORMATTING!BC145,"")</f>
        <v/>
      </c>
      <c r="H16" s="880" t="str">
        <f>IFERROR(DATA_FORMATTING!BD145,"")</f>
        <v/>
      </c>
      <c r="I16" s="880" t="str">
        <f>IFERROR(DATA_FORMATTING!BE145,"")</f>
        <v/>
      </c>
      <c r="J16" s="880" t="str">
        <f>IFERROR(DATA_FORMATTING!BF145,"")</f>
        <v/>
      </c>
      <c r="K16" s="880" t="str">
        <f>IFERROR(DATA_FORMATTING!BG145,"")</f>
        <v/>
      </c>
      <c r="L16" s="880" t="str">
        <f>IFERROR(DATA_FORMATTING!BH145,"")</f>
        <v/>
      </c>
      <c r="M16" s="880" t="str">
        <f>IFERROR(DATA_FORMATTING!BI145,"")</f>
        <v/>
      </c>
      <c r="N16" s="880" t="str">
        <f>IFERROR(DATA_FORMATTING!BJ145,"")</f>
        <v/>
      </c>
      <c r="O16" s="880" t="str">
        <f>IFERROR(DATA_FORMATTING!BK145,"")</f>
        <v/>
      </c>
      <c r="P16" s="880" t="str">
        <f>IFERROR(DATA_FORMATTING!BL145,"")</f>
        <v/>
      </c>
      <c r="Q16" s="880" t="str">
        <f>IFERROR(DATA_FORMATTING!BM145,"")</f>
        <v/>
      </c>
      <c r="R16" s="880" t="str">
        <f>IFERROR(DATA_FORMATTING!BN145,"")</f>
        <v/>
      </c>
      <c r="S16" s="880" t="str">
        <f>IFERROR(DATA_FORMATTING!BO145,"")</f>
        <v/>
      </c>
      <c r="T16" s="880" t="str">
        <f>IFERROR(DATA_FORMATTING!BP145,"")</f>
        <v/>
      </c>
      <c r="U16" s="880" t="str">
        <f>IFERROR(DATA_FORMATTING!BQ145,"")</f>
        <v/>
      </c>
      <c r="V16" s="880" t="str">
        <f>IFERROR(DATA_FORMATTING!BR145,"")</f>
        <v/>
      </c>
      <c r="W16" s="880" t="str">
        <f>IFERROR(DATA_FORMATTING!BS145,"")</f>
        <v/>
      </c>
      <c r="X16" s="880" t="str">
        <f>IFERROR(DATA_FORMATTING!BT145,"")</f>
        <v/>
      </c>
      <c r="Y16" s="880" t="str">
        <f>IFERROR(DATA_FORMATTING!BU145,"")</f>
        <v/>
      </c>
      <c r="Z16" s="880" t="str">
        <f>IFERROR(DATA_FORMATTING!BV145,"")</f>
        <v/>
      </c>
      <c r="AA16" s="880" t="str">
        <f>IFERROR(DATA_FORMATTING!BW145,"")</f>
        <v/>
      </c>
      <c r="AB16" s="880" t="str">
        <f>IFERROR(DATA_FORMATTING!BX145,"")</f>
        <v/>
      </c>
      <c r="AC16" s="880" t="str">
        <f>IFERROR(DATA_FORMATTING!BY145,"")</f>
        <v/>
      </c>
      <c r="AD16" s="880" t="str">
        <f>IFERROR(DATA_FORMATTING!BZ145,"")</f>
        <v/>
      </c>
      <c r="AE16" s="880" t="str">
        <f>IFERROR(DATA_FORMATTING!CA145,"")</f>
        <v/>
      </c>
      <c r="AF16" s="880" t="str">
        <f>IFERROR(DATA_FORMATTING!CB145,"")</f>
        <v/>
      </c>
      <c r="AG16" s="880" t="str">
        <f>IFERROR(DATA_FORMATTING!CC145,"")</f>
        <v/>
      </c>
      <c r="AH16" s="880" t="str">
        <f>IFERROR(DATA_FORMATTING!CD145,"")</f>
        <v/>
      </c>
      <c r="AI16" s="880" t="str">
        <f>IFERROR(DATA_FORMATTING!CE145,"")</f>
        <v/>
      </c>
      <c r="AJ16" s="880" t="str">
        <f>IFERROR(DATA_FORMATTING!CF145,"")</f>
        <v/>
      </c>
      <c r="AK16" s="880" t="str">
        <f>IFERROR(DATA_FORMATTING!CG145,"")</f>
        <v/>
      </c>
      <c r="AL16" s="880" t="str">
        <f>IFERROR(DATA_FORMATTING!CH145,"")</f>
        <v/>
      </c>
    </row>
    <row r="17" spans="1:38">
      <c r="A17" s="890">
        <v>270</v>
      </c>
      <c r="B17" s="882" t="s">
        <v>89</v>
      </c>
      <c r="C17" s="880" t="str">
        <f>IFERROR(DATA_FORMATTING!EO128,"")</f>
        <v/>
      </c>
      <c r="D17" s="880" t="str">
        <f>IFERROR(DATA_FORMATTING!EP128,"")</f>
        <v/>
      </c>
      <c r="E17" s="880" t="str">
        <f>IFERROR(DATA_FORMATTING!EQ128,"")</f>
        <v/>
      </c>
      <c r="F17" s="880" t="str">
        <f>IFERROR(DATA_FORMATTING!ER128,"")</f>
        <v/>
      </c>
      <c r="G17" s="880" t="str">
        <f>IFERROR(DATA_FORMATTING!ES128,"")</f>
        <v/>
      </c>
      <c r="H17" s="880" t="str">
        <f>IFERROR(DATA_FORMATTING!ET128,"")</f>
        <v/>
      </c>
      <c r="I17" s="880" t="str">
        <f>IFERROR(DATA_FORMATTING!EU128,"")</f>
        <v/>
      </c>
      <c r="J17" s="880" t="str">
        <f>IFERROR(DATA_FORMATTING!EV128,"")</f>
        <v/>
      </c>
      <c r="K17" s="880" t="str">
        <f>IFERROR(DATA_FORMATTING!EW128,"")</f>
        <v/>
      </c>
      <c r="L17" s="880" t="str">
        <f>IFERROR(DATA_FORMATTING!EX128,"")</f>
        <v/>
      </c>
      <c r="M17" s="880" t="str">
        <f>IFERROR(DATA_FORMATTING!EY128,"")</f>
        <v/>
      </c>
      <c r="N17" s="880" t="str">
        <f>IFERROR(DATA_FORMATTING!EZ128,"")</f>
        <v/>
      </c>
      <c r="O17" s="880" t="str">
        <f>IFERROR(DATA_FORMATTING!FA128,"")</f>
        <v/>
      </c>
      <c r="P17" s="880" t="str">
        <f>IFERROR(DATA_FORMATTING!FB128,"")</f>
        <v/>
      </c>
      <c r="Q17" s="880" t="str">
        <f>IFERROR(DATA_FORMATTING!FC128,"")</f>
        <v/>
      </c>
      <c r="R17" s="880" t="str">
        <f>IFERROR(DATA_FORMATTING!FD128,"")</f>
        <v/>
      </c>
      <c r="S17" s="880" t="str">
        <f>IFERROR(DATA_FORMATTING!FE128,"")</f>
        <v/>
      </c>
      <c r="T17" s="880" t="str">
        <f>IFERROR(DATA_FORMATTING!FF128,"")</f>
        <v/>
      </c>
      <c r="U17" s="880" t="str">
        <f>IFERROR(DATA_FORMATTING!FG128,"")</f>
        <v/>
      </c>
      <c r="V17" s="880" t="str">
        <f>IFERROR(DATA_FORMATTING!FH128,"")</f>
        <v/>
      </c>
      <c r="W17" s="880" t="str">
        <f>IFERROR(DATA_FORMATTING!FI128,"")</f>
        <v/>
      </c>
      <c r="X17" s="880" t="str">
        <f>IFERROR(DATA_FORMATTING!FJ128,"")</f>
        <v/>
      </c>
      <c r="Y17" s="880" t="str">
        <f>IFERROR(DATA_FORMATTING!FK128,"")</f>
        <v/>
      </c>
      <c r="Z17" s="880" t="str">
        <f>IFERROR(DATA_FORMATTING!FL128,"")</f>
        <v/>
      </c>
      <c r="AA17" s="880" t="str">
        <f>IFERROR(DATA_FORMATTING!FM128,"")</f>
        <v/>
      </c>
      <c r="AB17" s="880" t="str">
        <f>IFERROR(DATA_FORMATTING!FN128,"")</f>
        <v/>
      </c>
      <c r="AC17" s="880" t="str">
        <f>IFERROR(DATA_FORMATTING!FO128,"")</f>
        <v/>
      </c>
      <c r="AD17" s="880" t="str">
        <f>IFERROR(DATA_FORMATTING!FP128,"")</f>
        <v/>
      </c>
      <c r="AE17" s="880" t="str">
        <f>IFERROR(DATA_FORMATTING!FQ128,"")</f>
        <v/>
      </c>
      <c r="AF17" s="880" t="str">
        <f>IFERROR(DATA_FORMATTING!FR128,"")</f>
        <v/>
      </c>
      <c r="AG17" s="880" t="str">
        <f>IFERROR(DATA_FORMATTING!FS128,"")</f>
        <v/>
      </c>
      <c r="AH17" s="880" t="str">
        <f>IFERROR(DATA_FORMATTING!FT128,"")</f>
        <v/>
      </c>
      <c r="AI17" s="880" t="str">
        <f>IFERROR(DATA_FORMATTING!FU128,"")</f>
        <v/>
      </c>
      <c r="AJ17" s="880" t="str">
        <f>IFERROR(DATA_FORMATTING!FV128,"")</f>
        <v/>
      </c>
      <c r="AK17" s="880" t="str">
        <f>IFERROR(DATA_FORMATTING!FW128,"")</f>
        <v/>
      </c>
      <c r="AL17" s="880" t="str">
        <f>IFERROR(DATA_FORMATTING!FX128,"")</f>
        <v/>
      </c>
    </row>
    <row r="18" spans="1:38">
      <c r="A18" s="890">
        <v>271</v>
      </c>
      <c r="B18" s="881" t="s">
        <v>557</v>
      </c>
      <c r="C18" s="880" t="str">
        <f>IFERROR(DATA_FORMATTING!EO127,"")</f>
        <v/>
      </c>
      <c r="D18" s="880" t="str">
        <f>IFERROR(DATA_FORMATTING!EP127,"")</f>
        <v/>
      </c>
      <c r="E18" s="880" t="str">
        <f>IFERROR(DATA_FORMATTING!EQ127,"")</f>
        <v/>
      </c>
      <c r="F18" s="880" t="str">
        <f>IFERROR(DATA_FORMATTING!ER127,"")</f>
        <v/>
      </c>
      <c r="G18" s="880" t="str">
        <f>IFERROR(DATA_FORMATTING!ES127,"")</f>
        <v/>
      </c>
      <c r="H18" s="880" t="str">
        <f>IFERROR(DATA_FORMATTING!ET127,"")</f>
        <v/>
      </c>
      <c r="I18" s="880" t="str">
        <f>IFERROR(DATA_FORMATTING!EU127,"")</f>
        <v/>
      </c>
      <c r="J18" s="880" t="str">
        <f>IFERROR(DATA_FORMATTING!EV127,"")</f>
        <v/>
      </c>
      <c r="K18" s="880" t="str">
        <f>IFERROR(DATA_FORMATTING!EW127,"")</f>
        <v/>
      </c>
      <c r="L18" s="880" t="str">
        <f>IFERROR(DATA_FORMATTING!EX127,"")</f>
        <v/>
      </c>
      <c r="M18" s="880" t="str">
        <f>IFERROR(DATA_FORMATTING!EY127,"")</f>
        <v/>
      </c>
      <c r="N18" s="880" t="str">
        <f>IFERROR(DATA_FORMATTING!EZ127,"")</f>
        <v/>
      </c>
      <c r="O18" s="880" t="str">
        <f>IFERROR(DATA_FORMATTING!FA127,"")</f>
        <v/>
      </c>
      <c r="P18" s="880" t="str">
        <f>IFERROR(DATA_FORMATTING!FB127,"")</f>
        <v/>
      </c>
      <c r="Q18" s="880" t="str">
        <f>IFERROR(DATA_FORMATTING!FC127,"")</f>
        <v/>
      </c>
      <c r="R18" s="880" t="str">
        <f>IFERROR(DATA_FORMATTING!FD127,"")</f>
        <v/>
      </c>
      <c r="S18" s="880" t="str">
        <f>IFERROR(DATA_FORMATTING!FE127,"")</f>
        <v/>
      </c>
      <c r="T18" s="880" t="str">
        <f>IFERROR(DATA_FORMATTING!FF127,"")</f>
        <v/>
      </c>
      <c r="U18" s="880" t="str">
        <f>IFERROR(DATA_FORMATTING!FG127,"")</f>
        <v/>
      </c>
      <c r="V18" s="880" t="str">
        <f>IFERROR(DATA_FORMATTING!FH127,"")</f>
        <v/>
      </c>
      <c r="W18" s="880" t="str">
        <f>IFERROR(DATA_FORMATTING!FI127,"")</f>
        <v/>
      </c>
      <c r="X18" s="880" t="str">
        <f>IFERROR(DATA_FORMATTING!FJ127,"")</f>
        <v/>
      </c>
      <c r="Y18" s="880" t="str">
        <f>IFERROR(DATA_FORMATTING!FK127,"")</f>
        <v/>
      </c>
      <c r="Z18" s="880" t="str">
        <f>IFERROR(DATA_FORMATTING!FL127,"")</f>
        <v/>
      </c>
      <c r="AA18" s="880" t="str">
        <f>IFERROR(DATA_FORMATTING!FM127,"")</f>
        <v/>
      </c>
      <c r="AB18" s="880" t="str">
        <f>IFERROR(DATA_FORMATTING!FN127,"")</f>
        <v/>
      </c>
      <c r="AC18" s="880" t="str">
        <f>IFERROR(DATA_FORMATTING!FO127,"")</f>
        <v/>
      </c>
      <c r="AD18" s="880" t="str">
        <f>IFERROR(DATA_FORMATTING!FP127,"")</f>
        <v/>
      </c>
      <c r="AE18" s="880" t="str">
        <f>IFERROR(DATA_FORMATTING!FQ127,"")</f>
        <v/>
      </c>
      <c r="AF18" s="880" t="str">
        <f>IFERROR(DATA_FORMATTING!FR127,"")</f>
        <v/>
      </c>
      <c r="AG18" s="880" t="str">
        <f>IFERROR(DATA_FORMATTING!FS127,"")</f>
        <v/>
      </c>
      <c r="AH18" s="880" t="str">
        <f>IFERROR(DATA_FORMATTING!FT127,"")</f>
        <v/>
      </c>
      <c r="AI18" s="880" t="str">
        <f>IFERROR(DATA_FORMATTING!FU127,"")</f>
        <v/>
      </c>
      <c r="AJ18" s="880" t="str">
        <f>IFERROR(DATA_FORMATTING!FV127,"")</f>
        <v/>
      </c>
      <c r="AK18" s="880" t="str">
        <f>IFERROR(DATA_FORMATTING!FW127,"")</f>
        <v/>
      </c>
      <c r="AL18" s="880" t="str">
        <f>IFERROR(DATA_FORMATTING!FX127,"")</f>
        <v/>
      </c>
    </row>
    <row r="19" spans="1:38">
      <c r="A19" s="890">
        <v>262</v>
      </c>
      <c r="B19" s="881" t="s">
        <v>547</v>
      </c>
      <c r="C19" s="880" t="str">
        <f ca="1">IFERROR(HLOOKUP(C3,DATA_FORMATTING!$E$122:$AN$148,10,FALSE),"")</f>
        <v/>
      </c>
      <c r="D19" s="880" t="str">
        <f ca="1">IFERROR(HLOOKUP(D3,DATA_FORMATTING!$E$122:$AN$148,10,FALSE),"")</f>
        <v/>
      </c>
      <c r="E19" s="880" t="str">
        <f ca="1">IFERROR(HLOOKUP(E3,DATA_FORMATTING!$E$122:$AN$148,10,FALSE),"")</f>
        <v/>
      </c>
      <c r="F19" s="880" t="str">
        <f ca="1">IFERROR(HLOOKUP(F3,DATA_FORMATTING!$E$122:$AN$148,10,FALSE),"")</f>
        <v/>
      </c>
      <c r="G19" s="880" t="str">
        <f ca="1">IFERROR(HLOOKUP(G3,DATA_FORMATTING!$E$122:$AN$148,10,FALSE),"")</f>
        <v/>
      </c>
      <c r="H19" s="880" t="str">
        <f ca="1">IFERROR(HLOOKUP(H3,DATA_FORMATTING!$E$122:$AN$148,10,FALSE),"")</f>
        <v/>
      </c>
      <c r="I19" s="880" t="str">
        <f ca="1">IFERROR(HLOOKUP(I3,DATA_FORMATTING!$E$122:$AN$148,10,FALSE),"")</f>
        <v/>
      </c>
      <c r="J19" s="880" t="str">
        <f ca="1">IFERROR(HLOOKUP(J3,DATA_FORMATTING!$E$122:$AN$148,10,FALSE),"")</f>
        <v/>
      </c>
      <c r="K19" s="880" t="str">
        <f ca="1">IFERROR(HLOOKUP(K3,DATA_FORMATTING!$E$122:$AN$148,10,FALSE),"")</f>
        <v/>
      </c>
      <c r="L19" s="880" t="str">
        <f ca="1">IFERROR(HLOOKUP(L3,DATA_FORMATTING!$E$122:$AN$148,10,FALSE),"")</f>
        <v/>
      </c>
      <c r="M19" s="880" t="str">
        <f ca="1">IFERROR(HLOOKUP(M3,DATA_FORMATTING!$E$122:$AN$148,10,FALSE),"")</f>
        <v/>
      </c>
      <c r="N19" s="880" t="str">
        <f ca="1">IFERROR(HLOOKUP(N3,DATA_FORMATTING!$E$122:$AN$148,10,FALSE),"")</f>
        <v/>
      </c>
      <c r="O19" s="880" t="str">
        <f ca="1">IFERROR(HLOOKUP(O3,DATA_FORMATTING!$E$122:$AN$148,10,FALSE),"")</f>
        <v/>
      </c>
      <c r="P19" s="880" t="str">
        <f ca="1">IFERROR(HLOOKUP(P3,DATA_FORMATTING!$E$122:$AN$148,10,FALSE),"")</f>
        <v/>
      </c>
      <c r="Q19" s="880" t="str">
        <f ca="1">IFERROR(HLOOKUP(Q3,DATA_FORMATTING!$E$122:$AN$148,10,FALSE),"")</f>
        <v/>
      </c>
      <c r="R19" s="880" t="str">
        <f ca="1">IFERROR(HLOOKUP(R3,DATA_FORMATTING!$E$122:$AN$148,10,FALSE),"")</f>
        <v/>
      </c>
      <c r="S19" s="880" t="str">
        <f ca="1">IFERROR(HLOOKUP(S3,DATA_FORMATTING!$E$122:$AN$148,10,FALSE),"")</f>
        <v/>
      </c>
      <c r="T19" s="880" t="str">
        <f ca="1">IFERROR(HLOOKUP(T3,DATA_FORMATTING!$E$122:$AN$148,10,FALSE),"")</f>
        <v/>
      </c>
      <c r="U19" s="880" t="str">
        <f ca="1">IFERROR(HLOOKUP(U3,DATA_FORMATTING!$E$122:$AN$148,10,FALSE),"")</f>
        <v/>
      </c>
      <c r="V19" s="880" t="str">
        <f ca="1">IFERROR(HLOOKUP(V3,DATA_FORMATTING!$E$122:$AN$148,10,FALSE),"")</f>
        <v/>
      </c>
      <c r="W19" s="880" t="str">
        <f ca="1">IFERROR(HLOOKUP(W3,DATA_FORMATTING!$E$122:$AN$148,10,FALSE),"")</f>
        <v/>
      </c>
      <c r="X19" s="880" t="str">
        <f ca="1">IFERROR(HLOOKUP(X3,DATA_FORMATTING!$E$122:$AN$148,10,FALSE),"")</f>
        <v/>
      </c>
      <c r="Y19" s="880" t="str">
        <f ca="1">IFERROR(HLOOKUP(Y3,DATA_FORMATTING!$E$122:$AN$148,10,FALSE),"")</f>
        <v/>
      </c>
      <c r="Z19" s="880" t="str">
        <f ca="1">IFERROR(HLOOKUP(Z3,DATA_FORMATTING!$E$122:$AN$148,10,FALSE),"")</f>
        <v/>
      </c>
      <c r="AA19" s="880" t="str">
        <f ca="1">IFERROR(HLOOKUP(AA3,DATA_FORMATTING!$E$122:$AN$148,10,FALSE),"")</f>
        <v/>
      </c>
      <c r="AB19" s="880" t="str">
        <f ca="1">IFERROR(HLOOKUP(AB3,DATA_FORMATTING!$E$122:$AN$148,10,FALSE),"")</f>
        <v/>
      </c>
      <c r="AC19" s="880" t="str">
        <f ca="1">IFERROR(HLOOKUP(AC3,DATA_FORMATTING!$E$122:$AN$148,10,FALSE),"")</f>
        <v/>
      </c>
      <c r="AD19" s="880" t="str">
        <f ca="1">IFERROR(HLOOKUP(AD3,DATA_FORMATTING!$E$122:$AN$148,10,FALSE),"")</f>
        <v/>
      </c>
      <c r="AE19" s="880" t="str">
        <f ca="1">IFERROR(HLOOKUP(AE3,DATA_FORMATTING!$E$122:$AN$148,10,FALSE),"")</f>
        <v/>
      </c>
      <c r="AF19" s="880" t="str">
        <f ca="1">IFERROR(HLOOKUP(AF3,DATA_FORMATTING!$E$122:$AN$148,10,FALSE),"")</f>
        <v/>
      </c>
      <c r="AG19" s="880" t="str">
        <f ca="1">IFERROR(HLOOKUP(AG3,DATA_FORMATTING!$E$122:$AN$148,10,FALSE),"")</f>
        <v/>
      </c>
      <c r="AH19" s="880" t="str">
        <f ca="1">IFERROR(HLOOKUP(AH3,DATA_FORMATTING!$E$122:$AN$148,10,FALSE),"")</f>
        <v/>
      </c>
      <c r="AI19" s="880" t="str">
        <f ca="1">IFERROR(HLOOKUP(AI3,DATA_FORMATTING!$E$122:$AN$148,10,FALSE),"")</f>
        <v/>
      </c>
      <c r="AJ19" s="880" t="str">
        <f ca="1">IFERROR(HLOOKUP(AJ3,DATA_FORMATTING!$E$122:$AN$148,10,FALSE),"")</f>
        <v/>
      </c>
      <c r="AK19" s="880" t="str">
        <f ca="1">IFERROR(HLOOKUP(AK3,DATA_FORMATTING!$E$122:$AN$148,10,FALSE),"")</f>
        <v/>
      </c>
      <c r="AL19" s="880" t="str">
        <f ca="1">IFERROR(HLOOKUP(AL3,DATA_FORMATTING!$E$122:$AN$148,10,FALSE),"")</f>
        <v/>
      </c>
    </row>
    <row r="20" spans="1:38">
      <c r="A20" s="890">
        <v>263</v>
      </c>
      <c r="B20" s="881" t="s">
        <v>548</v>
      </c>
      <c r="C20" s="880" t="str">
        <f ca="1">IFERROR(HLOOKUP(C3,DATA_FORMATTING!$E$122:$AN$148,26,FALSE),"")</f>
        <v/>
      </c>
      <c r="D20" s="880" t="str">
        <f ca="1">IFERROR(HLOOKUP(D3,DATA_FORMATTING!$E$122:$AN$148,26,FALSE),"")</f>
        <v/>
      </c>
      <c r="E20" s="880" t="str">
        <f ca="1">IFERROR(HLOOKUP(E3,DATA_FORMATTING!$E$122:$AN$148,26,FALSE),"")</f>
        <v/>
      </c>
      <c r="F20" s="880" t="str">
        <f ca="1">IFERROR(HLOOKUP(F3,DATA_FORMATTING!$E$122:$AN$148,26,FALSE),"")</f>
        <v/>
      </c>
      <c r="G20" s="880" t="str">
        <f ca="1">IFERROR(HLOOKUP(G3,DATA_FORMATTING!$E$122:$AN$148,26,FALSE),"")</f>
        <v/>
      </c>
      <c r="H20" s="880" t="str">
        <f ca="1">IFERROR(HLOOKUP(H3,DATA_FORMATTING!$E$122:$AN$148,26,FALSE),"")</f>
        <v/>
      </c>
      <c r="I20" s="880" t="str">
        <f ca="1">IFERROR(HLOOKUP(I3,DATA_FORMATTING!$E$122:$AN$148,26,FALSE),"")</f>
        <v/>
      </c>
      <c r="J20" s="880" t="str">
        <f ca="1">IFERROR(HLOOKUP(J3,DATA_FORMATTING!$E$122:$AN$148,26,FALSE),"")</f>
        <v/>
      </c>
      <c r="K20" s="880" t="str">
        <f ca="1">IFERROR(HLOOKUP(K3,DATA_FORMATTING!$E$122:$AN$148,26,FALSE),"")</f>
        <v/>
      </c>
      <c r="L20" s="880" t="str">
        <f ca="1">IFERROR(HLOOKUP(L3,DATA_FORMATTING!$E$122:$AN$148,26,FALSE),"")</f>
        <v/>
      </c>
      <c r="M20" s="880" t="str">
        <f ca="1">IFERROR(HLOOKUP(M3,DATA_FORMATTING!$E$122:$AN$148,26,FALSE),"")</f>
        <v/>
      </c>
      <c r="N20" s="880" t="str">
        <f ca="1">IFERROR(HLOOKUP(N3,DATA_FORMATTING!$E$122:$AN$148,26,FALSE),"")</f>
        <v/>
      </c>
      <c r="O20" s="880" t="str">
        <f ca="1">IFERROR(HLOOKUP(O3,DATA_FORMATTING!$E$122:$AN$148,26,FALSE),"")</f>
        <v/>
      </c>
      <c r="P20" s="880" t="str">
        <f ca="1">IFERROR(HLOOKUP(P3,DATA_FORMATTING!$E$122:$AN$148,26,FALSE),"")</f>
        <v/>
      </c>
      <c r="Q20" s="880" t="str">
        <f ca="1">IFERROR(HLOOKUP(Q3,DATA_FORMATTING!$E$122:$AN$148,26,FALSE),"")</f>
        <v/>
      </c>
      <c r="R20" s="880" t="str">
        <f ca="1">IFERROR(HLOOKUP(R3,DATA_FORMATTING!$E$122:$AN$148,26,FALSE),"")</f>
        <v/>
      </c>
      <c r="S20" s="880" t="str">
        <f ca="1">IFERROR(HLOOKUP(S3,DATA_FORMATTING!$E$122:$AN$148,26,FALSE),"")</f>
        <v/>
      </c>
      <c r="T20" s="880" t="str">
        <f ca="1">IFERROR(HLOOKUP(T3,DATA_FORMATTING!$E$122:$AN$148,26,FALSE),"")</f>
        <v/>
      </c>
      <c r="U20" s="880" t="str">
        <f ca="1">IFERROR(HLOOKUP(U3,DATA_FORMATTING!$E$122:$AN$148,26,FALSE),"")</f>
        <v/>
      </c>
      <c r="V20" s="880" t="str">
        <f ca="1">IFERROR(HLOOKUP(V3,DATA_FORMATTING!$E$122:$AN$148,26,FALSE),"")</f>
        <v/>
      </c>
      <c r="W20" s="880" t="str">
        <f ca="1">IFERROR(HLOOKUP(W3,DATA_FORMATTING!$E$122:$AN$148,26,FALSE),"")</f>
        <v/>
      </c>
      <c r="X20" s="880" t="str">
        <f ca="1">IFERROR(HLOOKUP(X3,DATA_FORMATTING!$E$122:$AN$148,26,FALSE),"")</f>
        <v/>
      </c>
      <c r="Y20" s="880" t="str">
        <f ca="1">IFERROR(HLOOKUP(Y3,DATA_FORMATTING!$E$122:$AN$148,26,FALSE),"")</f>
        <v/>
      </c>
      <c r="Z20" s="880" t="str">
        <f ca="1">IFERROR(HLOOKUP(Z3,DATA_FORMATTING!$E$122:$AN$148,26,FALSE),"")</f>
        <v/>
      </c>
      <c r="AA20" s="880" t="str">
        <f ca="1">IFERROR(HLOOKUP(AA3,DATA_FORMATTING!$E$122:$AN$148,26,FALSE),"")</f>
        <v/>
      </c>
      <c r="AB20" s="880" t="str">
        <f ca="1">IFERROR(HLOOKUP(AB3,DATA_FORMATTING!$E$122:$AN$148,26,FALSE),"")</f>
        <v/>
      </c>
      <c r="AC20" s="880" t="str">
        <f ca="1">IFERROR(HLOOKUP(AC3,DATA_FORMATTING!$E$122:$AN$148,26,FALSE),"")</f>
        <v/>
      </c>
      <c r="AD20" s="880" t="str">
        <f ca="1">IFERROR(HLOOKUP(AD3,DATA_FORMATTING!$E$122:$AN$148,26,FALSE),"")</f>
        <v/>
      </c>
      <c r="AE20" s="880" t="str">
        <f ca="1">IFERROR(HLOOKUP(AE3,DATA_FORMATTING!$E$122:$AN$148,26,FALSE),"")</f>
        <v/>
      </c>
      <c r="AF20" s="880" t="str">
        <f ca="1">IFERROR(HLOOKUP(AF3,DATA_FORMATTING!$E$122:$AN$148,26,FALSE),"")</f>
        <v/>
      </c>
      <c r="AG20" s="880" t="str">
        <f ca="1">IFERROR(HLOOKUP(AG3,DATA_FORMATTING!$E$122:$AN$148,26,FALSE),"")</f>
        <v/>
      </c>
      <c r="AH20" s="880" t="str">
        <f ca="1">IFERROR(HLOOKUP(AH3,DATA_FORMATTING!$E$122:$AN$148,26,FALSE),"")</f>
        <v/>
      </c>
      <c r="AI20" s="880" t="str">
        <f ca="1">IFERROR(HLOOKUP(AI3,DATA_FORMATTING!$E$122:$AN$148,26,FALSE),"")</f>
        <v/>
      </c>
      <c r="AJ20" s="880" t="str">
        <f ca="1">IFERROR(HLOOKUP(AJ3,DATA_FORMATTING!$E$122:$AN$148,26,FALSE),"")</f>
        <v/>
      </c>
      <c r="AK20" s="880" t="str">
        <f ca="1">IFERROR(HLOOKUP(AK3,DATA_FORMATTING!$E$122:$AN$148,26,FALSE),"")</f>
        <v/>
      </c>
      <c r="AL20" s="880" t="str">
        <f ca="1">IFERROR(HLOOKUP(AL3,DATA_FORMATTING!$E$122:$AN$148,26,FALSE),"")</f>
        <v/>
      </c>
    </row>
    <row r="21" spans="1:38">
      <c r="A21" s="890">
        <v>272</v>
      </c>
      <c r="B21" s="881" t="s">
        <v>29</v>
      </c>
      <c r="C21" s="880" t="e">
        <f>DATA_FORMATTING!CT126</f>
        <v>#NAME?</v>
      </c>
      <c r="D21" s="880" t="e">
        <f>DATA_FORMATTING!CU126</f>
        <v>#NAME?</v>
      </c>
      <c r="E21" s="880" t="e">
        <f>DATA_FORMATTING!CV126</f>
        <v>#NAME?</v>
      </c>
      <c r="F21" s="880" t="e">
        <f>DATA_FORMATTING!CW126</f>
        <v>#NAME?</v>
      </c>
      <c r="G21" s="880" t="e">
        <f>DATA_FORMATTING!CX126</f>
        <v>#NAME?</v>
      </c>
      <c r="H21" s="880" t="e">
        <f>DATA_FORMATTING!CY126</f>
        <v>#NAME?</v>
      </c>
      <c r="I21" s="880" t="e">
        <f>DATA_FORMATTING!CZ126</f>
        <v>#NAME?</v>
      </c>
      <c r="J21" s="880" t="e">
        <f>DATA_FORMATTING!DA126</f>
        <v>#NAME?</v>
      </c>
      <c r="K21" s="880" t="e">
        <f>DATA_FORMATTING!DB126</f>
        <v>#NAME?</v>
      </c>
      <c r="L21" s="880" t="e">
        <f>DATA_FORMATTING!DC126</f>
        <v>#NAME?</v>
      </c>
      <c r="M21" s="880" t="e">
        <f>DATA_FORMATTING!DD126</f>
        <v>#NAME?</v>
      </c>
      <c r="N21" s="880" t="e">
        <f>DATA_FORMATTING!DE126</f>
        <v>#NAME?</v>
      </c>
      <c r="O21" s="880" t="e">
        <f>DATA_FORMATTING!DF126</f>
        <v>#NAME?</v>
      </c>
      <c r="P21" s="880" t="e">
        <f>DATA_FORMATTING!DG126</f>
        <v>#NAME?</v>
      </c>
      <c r="Q21" s="880" t="e">
        <f>DATA_FORMATTING!DH126</f>
        <v>#NAME?</v>
      </c>
      <c r="R21" s="880" t="e">
        <f>DATA_FORMATTING!DI126</f>
        <v>#NAME?</v>
      </c>
      <c r="S21" s="880" t="e">
        <f>DATA_FORMATTING!DJ126</f>
        <v>#NAME?</v>
      </c>
      <c r="T21" s="880" t="e">
        <f>DATA_FORMATTING!DK126</f>
        <v>#NAME?</v>
      </c>
      <c r="U21" s="880" t="e">
        <f>DATA_FORMATTING!DL126</f>
        <v>#NAME?</v>
      </c>
      <c r="V21" s="880" t="e">
        <f>DATA_FORMATTING!DM126</f>
        <v>#NAME?</v>
      </c>
      <c r="W21" s="880" t="e">
        <f>DATA_FORMATTING!DN126</f>
        <v>#NAME?</v>
      </c>
      <c r="X21" s="880" t="e">
        <f>DATA_FORMATTING!DO126</f>
        <v>#NAME?</v>
      </c>
      <c r="Y21" s="880" t="e">
        <f>DATA_FORMATTING!DP126</f>
        <v>#NAME?</v>
      </c>
      <c r="Z21" s="880" t="e">
        <f>DATA_FORMATTING!DQ126</f>
        <v>#NAME?</v>
      </c>
      <c r="AA21" s="880" t="e">
        <f>DATA_FORMATTING!DR126</f>
        <v>#NAME?</v>
      </c>
      <c r="AB21" s="880" t="e">
        <f>DATA_FORMATTING!DS126</f>
        <v>#NAME?</v>
      </c>
      <c r="AC21" s="880" t="e">
        <f>DATA_FORMATTING!DT126</f>
        <v>#NAME?</v>
      </c>
      <c r="AD21" s="880" t="e">
        <f>DATA_FORMATTING!DU126</f>
        <v>#NAME?</v>
      </c>
      <c r="AE21" s="880" t="e">
        <f>DATA_FORMATTING!DV126</f>
        <v>#NAME?</v>
      </c>
      <c r="AF21" s="880" t="e">
        <f>DATA_FORMATTING!DW126</f>
        <v>#NAME?</v>
      </c>
      <c r="AG21" s="880" t="e">
        <f>DATA_FORMATTING!DX126</f>
        <v>#NAME?</v>
      </c>
      <c r="AH21" s="880" t="e">
        <f>DATA_FORMATTING!DY126</f>
        <v>#NAME?</v>
      </c>
      <c r="AI21" s="880" t="e">
        <f>DATA_FORMATTING!DZ126</f>
        <v>#NAME?</v>
      </c>
      <c r="AJ21" s="880" t="e">
        <f>DATA_FORMATTING!EA126</f>
        <v>#NAME?</v>
      </c>
      <c r="AK21" s="880" t="e">
        <f>DATA_FORMATTING!EB126</f>
        <v>#NAME?</v>
      </c>
      <c r="AL21" s="880" t="e">
        <f>DATA_FORMATTING!EC126</f>
        <v>#NAME?</v>
      </c>
    </row>
    <row r="22" spans="1:38">
      <c r="A22" s="890">
        <v>273</v>
      </c>
      <c r="B22" s="881" t="s">
        <v>567</v>
      </c>
      <c r="C22" s="880" t="e">
        <f>DATA_FORMATTING!CT131</f>
        <v>#NAME?</v>
      </c>
      <c r="D22" s="880" t="e">
        <f>DATA_FORMATTING!CU131</f>
        <v>#NAME?</v>
      </c>
      <c r="E22" s="880" t="e">
        <f>DATA_FORMATTING!CV131</f>
        <v>#NAME?</v>
      </c>
      <c r="F22" s="880" t="e">
        <f>DATA_FORMATTING!CW131</f>
        <v>#NAME?</v>
      </c>
      <c r="G22" s="880" t="e">
        <f>DATA_FORMATTING!CX131</f>
        <v>#NAME?</v>
      </c>
      <c r="H22" s="880" t="e">
        <f>DATA_FORMATTING!CY131</f>
        <v>#NAME?</v>
      </c>
      <c r="I22" s="880" t="e">
        <f>DATA_FORMATTING!CZ131</f>
        <v>#NAME?</v>
      </c>
      <c r="J22" s="880" t="e">
        <f>DATA_FORMATTING!DA131</f>
        <v>#NAME?</v>
      </c>
      <c r="K22" s="880" t="e">
        <f>DATA_FORMATTING!DB131</f>
        <v>#NAME?</v>
      </c>
      <c r="L22" s="880" t="e">
        <f>DATA_FORMATTING!DC131</f>
        <v>#NAME?</v>
      </c>
      <c r="M22" s="880" t="e">
        <f>DATA_FORMATTING!DD131</f>
        <v>#NAME?</v>
      </c>
      <c r="N22" s="880" t="e">
        <f>DATA_FORMATTING!DE131</f>
        <v>#NAME?</v>
      </c>
      <c r="O22" s="880" t="e">
        <f>DATA_FORMATTING!DF131</f>
        <v>#NAME?</v>
      </c>
      <c r="P22" s="880" t="e">
        <f>DATA_FORMATTING!DG131</f>
        <v>#NAME?</v>
      </c>
      <c r="Q22" s="880" t="e">
        <f>DATA_FORMATTING!DH131</f>
        <v>#NAME?</v>
      </c>
      <c r="R22" s="880" t="e">
        <f>DATA_FORMATTING!DI131</f>
        <v>#NAME?</v>
      </c>
      <c r="S22" s="880" t="e">
        <f>DATA_FORMATTING!DJ131</f>
        <v>#NAME?</v>
      </c>
      <c r="T22" s="880" t="e">
        <f>DATA_FORMATTING!DK131</f>
        <v>#NAME?</v>
      </c>
      <c r="U22" s="880" t="e">
        <f>DATA_FORMATTING!DL131</f>
        <v>#NAME?</v>
      </c>
      <c r="V22" s="880" t="e">
        <f>DATA_FORMATTING!DM131</f>
        <v>#NAME?</v>
      </c>
      <c r="W22" s="880" t="e">
        <f>DATA_FORMATTING!DN131</f>
        <v>#NAME?</v>
      </c>
      <c r="X22" s="880" t="e">
        <f>DATA_FORMATTING!DO131</f>
        <v>#NAME?</v>
      </c>
      <c r="Y22" s="880" t="e">
        <f>DATA_FORMATTING!DP131</f>
        <v>#NAME?</v>
      </c>
      <c r="Z22" s="880" t="e">
        <f>DATA_FORMATTING!DQ131</f>
        <v>#NAME?</v>
      </c>
      <c r="AA22" s="880" t="e">
        <f>DATA_FORMATTING!DR131</f>
        <v>#NAME?</v>
      </c>
      <c r="AB22" s="880" t="e">
        <f>DATA_FORMATTING!DS131</f>
        <v>#NAME?</v>
      </c>
      <c r="AC22" s="880" t="e">
        <f>DATA_FORMATTING!DT131</f>
        <v>#NAME?</v>
      </c>
      <c r="AD22" s="880" t="e">
        <f>DATA_FORMATTING!DU131</f>
        <v>#NAME?</v>
      </c>
      <c r="AE22" s="880" t="e">
        <f>DATA_FORMATTING!DV131</f>
        <v>#NAME?</v>
      </c>
      <c r="AF22" s="880" t="e">
        <f>DATA_FORMATTING!DW131</f>
        <v>#NAME?</v>
      </c>
      <c r="AG22" s="880" t="e">
        <f>DATA_FORMATTING!DX131</f>
        <v>#NAME?</v>
      </c>
      <c r="AH22" s="880" t="e">
        <f>DATA_FORMATTING!DY131</f>
        <v>#NAME?</v>
      </c>
      <c r="AI22" s="880" t="e">
        <f>DATA_FORMATTING!DZ131</f>
        <v>#NAME?</v>
      </c>
      <c r="AJ22" s="880" t="e">
        <f>DATA_FORMATTING!EA131</f>
        <v>#NAME?</v>
      </c>
      <c r="AK22" s="880" t="e">
        <f>DATA_FORMATTING!EB131</f>
        <v>#NAME?</v>
      </c>
      <c r="AL22" s="880" t="e">
        <f>DATA_FORMATTING!EC131</f>
        <v>#NAME?</v>
      </c>
    </row>
    <row r="23" spans="1:38">
      <c r="A23" s="890">
        <v>274</v>
      </c>
      <c r="B23" s="881" t="s">
        <v>556</v>
      </c>
      <c r="C23" s="880" t="e">
        <f>DATA_FORMATTING!CT140</f>
        <v>#NAME?</v>
      </c>
      <c r="D23" s="880" t="e">
        <f>DATA_FORMATTING!CU140</f>
        <v>#NAME?</v>
      </c>
      <c r="E23" s="880" t="e">
        <f>DATA_FORMATTING!CV140</f>
        <v>#NAME?</v>
      </c>
      <c r="F23" s="880" t="e">
        <f>DATA_FORMATTING!CW140</f>
        <v>#NAME?</v>
      </c>
      <c r="G23" s="880" t="e">
        <f>DATA_FORMATTING!CX140</f>
        <v>#NAME?</v>
      </c>
      <c r="H23" s="880" t="e">
        <f>DATA_FORMATTING!CY140</f>
        <v>#NAME?</v>
      </c>
      <c r="I23" s="880" t="e">
        <f>DATA_FORMATTING!CZ140</f>
        <v>#NAME?</v>
      </c>
      <c r="J23" s="880" t="e">
        <f>DATA_FORMATTING!DA140</f>
        <v>#NAME?</v>
      </c>
      <c r="K23" s="880" t="e">
        <f>DATA_FORMATTING!DB140</f>
        <v>#NAME?</v>
      </c>
      <c r="L23" s="880" t="e">
        <f>DATA_FORMATTING!DC140</f>
        <v>#NAME?</v>
      </c>
      <c r="M23" s="880" t="e">
        <f>DATA_FORMATTING!DD140</f>
        <v>#NAME?</v>
      </c>
      <c r="N23" s="880" t="e">
        <f>DATA_FORMATTING!DE140</f>
        <v>#NAME?</v>
      </c>
      <c r="O23" s="880" t="e">
        <f>DATA_FORMATTING!DF140</f>
        <v>#NAME?</v>
      </c>
      <c r="P23" s="880" t="e">
        <f>DATA_FORMATTING!DG140</f>
        <v>#NAME?</v>
      </c>
      <c r="Q23" s="880" t="e">
        <f>DATA_FORMATTING!DH140</f>
        <v>#NAME?</v>
      </c>
      <c r="R23" s="880" t="e">
        <f>DATA_FORMATTING!DI140</f>
        <v>#NAME?</v>
      </c>
      <c r="S23" s="880" t="e">
        <f>DATA_FORMATTING!DJ140</f>
        <v>#NAME?</v>
      </c>
      <c r="T23" s="880" t="e">
        <f>DATA_FORMATTING!DK140</f>
        <v>#NAME?</v>
      </c>
      <c r="U23" s="880" t="e">
        <f>DATA_FORMATTING!DL140</f>
        <v>#NAME?</v>
      </c>
      <c r="V23" s="880" t="e">
        <f>DATA_FORMATTING!DM140</f>
        <v>#NAME?</v>
      </c>
      <c r="W23" s="880" t="e">
        <f>DATA_FORMATTING!DN140</f>
        <v>#NAME?</v>
      </c>
      <c r="X23" s="880" t="e">
        <f>DATA_FORMATTING!DO140</f>
        <v>#NAME?</v>
      </c>
      <c r="Y23" s="880" t="e">
        <f>DATA_FORMATTING!DP140</f>
        <v>#NAME?</v>
      </c>
      <c r="Z23" s="880" t="e">
        <f>DATA_FORMATTING!DQ140</f>
        <v>#NAME?</v>
      </c>
      <c r="AA23" s="880" t="e">
        <f>DATA_FORMATTING!DR140</f>
        <v>#NAME?</v>
      </c>
      <c r="AB23" s="880" t="e">
        <f>DATA_FORMATTING!DS140</f>
        <v>#NAME?</v>
      </c>
      <c r="AC23" s="880" t="e">
        <f>DATA_FORMATTING!DT140</f>
        <v>#NAME?</v>
      </c>
      <c r="AD23" s="880" t="e">
        <f>DATA_FORMATTING!DU140</f>
        <v>#NAME?</v>
      </c>
      <c r="AE23" s="880" t="e">
        <f>DATA_FORMATTING!DV140</f>
        <v>#NAME?</v>
      </c>
      <c r="AF23" s="880" t="e">
        <f>DATA_FORMATTING!DW140</f>
        <v>#NAME?</v>
      </c>
      <c r="AG23" s="880" t="e">
        <f>DATA_FORMATTING!DX140</f>
        <v>#NAME?</v>
      </c>
      <c r="AH23" s="880" t="e">
        <f>DATA_FORMATTING!DY140</f>
        <v>#NAME?</v>
      </c>
      <c r="AI23" s="880" t="e">
        <f>DATA_FORMATTING!DZ140</f>
        <v>#NAME?</v>
      </c>
      <c r="AJ23" s="880" t="e">
        <f>DATA_FORMATTING!EA140</f>
        <v>#NAME?</v>
      </c>
      <c r="AK23" s="880" t="e">
        <f>DATA_FORMATTING!EB140</f>
        <v>#NAME?</v>
      </c>
      <c r="AL23" s="880" t="e">
        <f>DATA_FORMATTING!EC140</f>
        <v>#NAME?</v>
      </c>
    </row>
    <row r="24" spans="1:38">
      <c r="A24" s="890">
        <v>264</v>
      </c>
      <c r="B24" s="881" t="s">
        <v>549</v>
      </c>
      <c r="C24" s="880" t="str">
        <f>IFERROR(DATA_FORMATTING!E157,"")</f>
        <v/>
      </c>
      <c r="D24" s="880" t="str">
        <f>IFERROR(DATA_FORMATTING!F157,"")</f>
        <v/>
      </c>
      <c r="E24" s="880" t="str">
        <f>IFERROR(DATA_FORMATTING!G157,"")</f>
        <v/>
      </c>
      <c r="F24" s="880" t="str">
        <f>IFERROR(DATA_FORMATTING!H157,"")</f>
        <v/>
      </c>
      <c r="G24" s="880" t="str">
        <f>IFERROR(DATA_FORMATTING!I157,"")</f>
        <v/>
      </c>
      <c r="H24" s="880" t="str">
        <f>IFERROR(DATA_FORMATTING!J157,"")</f>
        <v/>
      </c>
      <c r="I24" s="880" t="str">
        <f>IFERROR(DATA_FORMATTING!K157,"")</f>
        <v/>
      </c>
      <c r="J24" s="880" t="str">
        <f>IFERROR(DATA_FORMATTING!L157,"")</f>
        <v/>
      </c>
      <c r="K24" s="880" t="str">
        <f>IFERROR(DATA_FORMATTING!M157,"")</f>
        <v/>
      </c>
      <c r="L24" s="880" t="str">
        <f>IFERROR(DATA_FORMATTING!N157,"")</f>
        <v/>
      </c>
      <c r="M24" s="880" t="str">
        <f>IFERROR(DATA_FORMATTING!O157,"")</f>
        <v/>
      </c>
      <c r="N24" s="880" t="str">
        <f>IFERROR(DATA_FORMATTING!P157,"")</f>
        <v/>
      </c>
      <c r="O24" s="880" t="str">
        <f>IFERROR(DATA_FORMATTING!Q157,"")</f>
        <v/>
      </c>
      <c r="P24" s="880" t="str">
        <f>IFERROR(DATA_FORMATTING!R157,"")</f>
        <v/>
      </c>
      <c r="Q24" s="880" t="str">
        <f>IFERROR(DATA_FORMATTING!S157,"")</f>
        <v/>
      </c>
      <c r="R24" s="880" t="str">
        <f>IFERROR(DATA_FORMATTING!T157,"")</f>
        <v/>
      </c>
      <c r="S24" s="880" t="str">
        <f>IFERROR(DATA_FORMATTING!U157,"")</f>
        <v/>
      </c>
      <c r="T24" s="880" t="str">
        <f>IFERROR(DATA_FORMATTING!V157,"")</f>
        <v/>
      </c>
      <c r="U24" s="880" t="str">
        <f>IFERROR(DATA_FORMATTING!W157,"")</f>
        <v/>
      </c>
      <c r="V24" s="880" t="str">
        <f>IFERROR(DATA_FORMATTING!X157,"")</f>
        <v/>
      </c>
      <c r="W24" s="880" t="str">
        <f>IFERROR(DATA_FORMATTING!Y157,"")</f>
        <v/>
      </c>
      <c r="X24" s="880" t="str">
        <f>IFERROR(DATA_FORMATTING!Z157,"")</f>
        <v/>
      </c>
      <c r="Y24" s="880" t="str">
        <f>IFERROR(DATA_FORMATTING!AA157,"")</f>
        <v/>
      </c>
      <c r="Z24" s="880" t="str">
        <f>IFERROR(DATA_FORMATTING!AB157,"")</f>
        <v/>
      </c>
      <c r="AA24" s="880" t="str">
        <f>IFERROR(DATA_FORMATTING!AC157,"")</f>
        <v/>
      </c>
      <c r="AB24" s="880" t="str">
        <f>IFERROR(DATA_FORMATTING!AD157,"")</f>
        <v/>
      </c>
      <c r="AC24" s="880" t="str">
        <f>IFERROR(DATA_FORMATTING!AE157,"")</f>
        <v/>
      </c>
      <c r="AD24" s="880" t="str">
        <f>IFERROR(DATA_FORMATTING!AF157,"")</f>
        <v/>
      </c>
      <c r="AE24" s="880" t="str">
        <f>IFERROR(DATA_FORMATTING!AG157,"")</f>
        <v/>
      </c>
      <c r="AF24" s="880" t="str">
        <f>IFERROR(DATA_FORMATTING!AH157,"")</f>
        <v/>
      </c>
      <c r="AG24" s="880" t="str">
        <f>IFERROR(DATA_FORMATTING!AI157,"")</f>
        <v/>
      </c>
      <c r="AH24" s="880" t="str">
        <f>IFERROR(DATA_FORMATTING!AJ157,"")</f>
        <v/>
      </c>
      <c r="AI24" s="880" t="str">
        <f>IFERROR(DATA_FORMATTING!AK157,"")</f>
        <v/>
      </c>
      <c r="AJ24" s="880" t="str">
        <f>IFERROR(DATA_FORMATTING!AL157,"")</f>
        <v/>
      </c>
      <c r="AK24" s="880" t="str">
        <f>IFERROR(DATA_FORMATTING!AM157,"")</f>
        <v/>
      </c>
      <c r="AL24" s="880" t="str">
        <f>IFERROR(DATA_FORMATTING!AN157,"")</f>
        <v/>
      </c>
    </row>
    <row r="25" spans="1:38">
      <c r="A25" s="890">
        <v>275</v>
      </c>
      <c r="B25" s="881" t="s">
        <v>555</v>
      </c>
      <c r="C25" s="880" t="e">
        <f>DATA_FORMATTING!GH124</f>
        <v>#NAME?</v>
      </c>
      <c r="D25" s="880" t="e">
        <f>DATA_FORMATTING!GI124</f>
        <v>#NAME?</v>
      </c>
      <c r="E25" s="880" t="e">
        <f>DATA_FORMATTING!GJ124</f>
        <v>#NAME?</v>
      </c>
      <c r="F25" s="880" t="e">
        <f>DATA_FORMATTING!GK124</f>
        <v>#NAME?</v>
      </c>
      <c r="G25" s="880" t="e">
        <f>DATA_FORMATTING!GL124</f>
        <v>#NAME?</v>
      </c>
      <c r="H25" s="880" t="e">
        <f>DATA_FORMATTING!GM124</f>
        <v>#NAME?</v>
      </c>
      <c r="I25" s="880" t="e">
        <f>DATA_FORMATTING!GN124</f>
        <v>#NAME?</v>
      </c>
      <c r="J25" s="880" t="e">
        <f>DATA_FORMATTING!GO124</f>
        <v>#NAME?</v>
      </c>
      <c r="K25" s="880" t="e">
        <f>DATA_FORMATTING!GP124</f>
        <v>#NAME?</v>
      </c>
      <c r="L25" s="880" t="e">
        <f>DATA_FORMATTING!GQ124</f>
        <v>#NAME?</v>
      </c>
      <c r="M25" s="880" t="e">
        <f>DATA_FORMATTING!GR124</f>
        <v>#NAME?</v>
      </c>
      <c r="N25" s="880" t="e">
        <f>DATA_FORMATTING!GS124</f>
        <v>#NAME?</v>
      </c>
      <c r="O25" s="880" t="e">
        <f>DATA_FORMATTING!GT124</f>
        <v>#NAME?</v>
      </c>
      <c r="P25" s="880" t="e">
        <f>DATA_FORMATTING!GU124</f>
        <v>#NAME?</v>
      </c>
      <c r="Q25" s="880" t="e">
        <f>DATA_FORMATTING!GV124</f>
        <v>#NAME?</v>
      </c>
      <c r="R25" s="880" t="e">
        <f>DATA_FORMATTING!GW124</f>
        <v>#NAME?</v>
      </c>
      <c r="S25" s="880" t="e">
        <f>DATA_FORMATTING!GX124</f>
        <v>#NAME?</v>
      </c>
      <c r="T25" s="880" t="e">
        <f>DATA_FORMATTING!GY124</f>
        <v>#NAME?</v>
      </c>
      <c r="U25" s="880" t="e">
        <f>DATA_FORMATTING!GZ124</f>
        <v>#NAME?</v>
      </c>
      <c r="V25" s="880" t="e">
        <f>DATA_FORMATTING!HA124</f>
        <v>#NAME?</v>
      </c>
      <c r="W25" s="880" t="e">
        <f>DATA_FORMATTING!HB124</f>
        <v>#NAME?</v>
      </c>
      <c r="X25" s="880" t="e">
        <f>DATA_FORMATTING!HC124</f>
        <v>#NAME?</v>
      </c>
      <c r="Y25" s="880" t="e">
        <f>DATA_FORMATTING!HD124</f>
        <v>#NAME?</v>
      </c>
      <c r="Z25" s="880" t="e">
        <f>DATA_FORMATTING!HE124</f>
        <v>#NAME?</v>
      </c>
      <c r="AA25" s="880" t="e">
        <f>DATA_FORMATTING!HF124</f>
        <v>#NAME?</v>
      </c>
      <c r="AB25" s="880" t="e">
        <f>DATA_FORMATTING!HG124</f>
        <v>#NAME?</v>
      </c>
      <c r="AC25" s="880" t="e">
        <f>DATA_FORMATTING!HH124</f>
        <v>#NAME?</v>
      </c>
      <c r="AD25" s="880" t="e">
        <f>DATA_FORMATTING!HI124</f>
        <v>#NAME?</v>
      </c>
      <c r="AE25" s="880" t="e">
        <f>DATA_FORMATTING!HJ124</f>
        <v>#NAME?</v>
      </c>
      <c r="AF25" s="880" t="e">
        <f>DATA_FORMATTING!HK124</f>
        <v>#NAME?</v>
      </c>
      <c r="AG25" s="880" t="e">
        <f>DATA_FORMATTING!HL124</f>
        <v>#NAME?</v>
      </c>
      <c r="AH25" s="880" t="e">
        <f>DATA_FORMATTING!HM124</f>
        <v>#NAME?</v>
      </c>
      <c r="AI25" s="880" t="e">
        <f>DATA_FORMATTING!HN124</f>
        <v>#NAME?</v>
      </c>
      <c r="AJ25" s="880" t="e">
        <f>DATA_FORMATTING!HO124</f>
        <v>#NAME?</v>
      </c>
      <c r="AK25" s="880" t="e">
        <f>DATA_FORMATTING!HP124</f>
        <v>#NAME?</v>
      </c>
      <c r="AL25" s="880" t="e">
        <f>DATA_FORMATTING!HQ124</f>
        <v>#NAME?</v>
      </c>
    </row>
    <row r="26" spans="1:38">
      <c r="A26" s="890">
        <v>276</v>
      </c>
      <c r="B26" s="881" t="s">
        <v>554</v>
      </c>
      <c r="C26" s="880" t="e">
        <f>DATA_FORMATTING!GH126</f>
        <v>#NAME?</v>
      </c>
      <c r="D26" s="880" t="e">
        <f>DATA_FORMATTING!GI126</f>
        <v>#NAME?</v>
      </c>
      <c r="E26" s="880" t="e">
        <f>DATA_FORMATTING!GJ126</f>
        <v>#NAME?</v>
      </c>
      <c r="F26" s="880" t="e">
        <f>DATA_FORMATTING!GK126</f>
        <v>#NAME?</v>
      </c>
      <c r="G26" s="880" t="e">
        <f>DATA_FORMATTING!GL126</f>
        <v>#NAME?</v>
      </c>
      <c r="H26" s="880" t="e">
        <f>DATA_FORMATTING!GM126</f>
        <v>#NAME?</v>
      </c>
      <c r="I26" s="880" t="e">
        <f>DATA_FORMATTING!GN126</f>
        <v>#NAME?</v>
      </c>
      <c r="J26" s="880" t="e">
        <f>DATA_FORMATTING!GO126</f>
        <v>#NAME?</v>
      </c>
      <c r="K26" s="880" t="e">
        <f>DATA_FORMATTING!GP126</f>
        <v>#NAME?</v>
      </c>
      <c r="L26" s="880" t="e">
        <f>DATA_FORMATTING!GQ126</f>
        <v>#NAME?</v>
      </c>
      <c r="M26" s="880" t="e">
        <f>DATA_FORMATTING!GR126</f>
        <v>#NAME?</v>
      </c>
      <c r="N26" s="880" t="e">
        <f>DATA_FORMATTING!GS126</f>
        <v>#NAME?</v>
      </c>
      <c r="O26" s="880" t="e">
        <f>DATA_FORMATTING!GT126</f>
        <v>#NAME?</v>
      </c>
      <c r="P26" s="880" t="e">
        <f>DATA_FORMATTING!GU126</f>
        <v>#NAME?</v>
      </c>
      <c r="Q26" s="880" t="e">
        <f>DATA_FORMATTING!GV126</f>
        <v>#NAME?</v>
      </c>
      <c r="R26" s="880" t="e">
        <f>DATA_FORMATTING!GW126</f>
        <v>#NAME?</v>
      </c>
      <c r="S26" s="880" t="e">
        <f>DATA_FORMATTING!GX126</f>
        <v>#NAME?</v>
      </c>
      <c r="T26" s="880" t="e">
        <f>DATA_FORMATTING!GY126</f>
        <v>#NAME?</v>
      </c>
      <c r="U26" s="880" t="e">
        <f>DATA_FORMATTING!GZ126</f>
        <v>#NAME?</v>
      </c>
      <c r="V26" s="880" t="e">
        <f>DATA_FORMATTING!HA126</f>
        <v>#NAME?</v>
      </c>
      <c r="W26" s="880" t="e">
        <f>DATA_FORMATTING!HB126</f>
        <v>#NAME?</v>
      </c>
      <c r="X26" s="880" t="e">
        <f>DATA_FORMATTING!HC126</f>
        <v>#NAME?</v>
      </c>
      <c r="Y26" s="880" t="e">
        <f>DATA_FORMATTING!HD126</f>
        <v>#NAME?</v>
      </c>
      <c r="Z26" s="880" t="e">
        <f>DATA_FORMATTING!HE126</f>
        <v>#NAME?</v>
      </c>
      <c r="AA26" s="880" t="e">
        <f>DATA_FORMATTING!HF126</f>
        <v>#NAME?</v>
      </c>
      <c r="AB26" s="880" t="e">
        <f>DATA_FORMATTING!HG126</f>
        <v>#NAME?</v>
      </c>
      <c r="AC26" s="880" t="e">
        <f>DATA_FORMATTING!HH126</f>
        <v>#NAME?</v>
      </c>
      <c r="AD26" s="880" t="e">
        <f>DATA_FORMATTING!HI126</f>
        <v>#NAME?</v>
      </c>
      <c r="AE26" s="880" t="e">
        <f>DATA_FORMATTING!HJ126</f>
        <v>#NAME?</v>
      </c>
      <c r="AF26" s="880" t="e">
        <f>DATA_FORMATTING!HK126</f>
        <v>#NAME?</v>
      </c>
      <c r="AG26" s="880" t="e">
        <f>DATA_FORMATTING!HL126</f>
        <v>#NAME?</v>
      </c>
      <c r="AH26" s="880" t="e">
        <f>DATA_FORMATTING!HM126</f>
        <v>#NAME?</v>
      </c>
      <c r="AI26" s="880" t="e">
        <f>DATA_FORMATTING!HN126</f>
        <v>#NAME?</v>
      </c>
      <c r="AJ26" s="880" t="e">
        <f>DATA_FORMATTING!HO126</f>
        <v>#NAME?</v>
      </c>
      <c r="AK26" s="880" t="e">
        <f>DATA_FORMATTING!HP126</f>
        <v>#NAME?</v>
      </c>
      <c r="AL26" s="880" t="e">
        <f>DATA_FORMATTING!HQ126</f>
        <v>#NAME?</v>
      </c>
    </row>
    <row r="27" spans="1:38">
      <c r="A27" s="890">
        <v>277</v>
      </c>
      <c r="B27" s="881" t="s">
        <v>553</v>
      </c>
      <c r="C27" s="880" t="e">
        <f>SUM(DATA_FORMATTING!GH59:GH60)</f>
        <v>#NAME?</v>
      </c>
      <c r="D27" s="880" t="e">
        <f>SUM(DATA_FORMATTING!GI59:GI60)</f>
        <v>#NAME?</v>
      </c>
      <c r="E27" s="880" t="e">
        <f>SUM(DATA_FORMATTING!GJ59:GJ60)</f>
        <v>#NAME?</v>
      </c>
      <c r="F27" s="880" t="e">
        <f>SUM(DATA_FORMATTING!GK59:GK60)</f>
        <v>#NAME?</v>
      </c>
      <c r="G27" s="880" t="e">
        <f>SUM(DATA_FORMATTING!GL59:GL60)</f>
        <v>#NAME?</v>
      </c>
      <c r="H27" s="880" t="e">
        <f>SUM(DATA_FORMATTING!GM59:GM60)</f>
        <v>#NAME?</v>
      </c>
      <c r="I27" s="880" t="e">
        <f>SUM(DATA_FORMATTING!GN59:GN60)</f>
        <v>#NAME?</v>
      </c>
      <c r="J27" s="880" t="e">
        <f>SUM(DATA_FORMATTING!GO59:GO60)</f>
        <v>#NAME?</v>
      </c>
      <c r="K27" s="880" t="e">
        <f>SUM(DATA_FORMATTING!GP59:GP60)</f>
        <v>#NAME?</v>
      </c>
      <c r="L27" s="880" t="e">
        <f>SUM(DATA_FORMATTING!GQ59:GQ60)</f>
        <v>#NAME?</v>
      </c>
      <c r="M27" s="880" t="e">
        <f>SUM(DATA_FORMATTING!GR59:GR60)</f>
        <v>#NAME?</v>
      </c>
      <c r="N27" s="880" t="e">
        <f>SUM(DATA_FORMATTING!GS59:GS60)</f>
        <v>#NAME?</v>
      </c>
      <c r="O27" s="880" t="e">
        <f>SUM(DATA_FORMATTING!GT59:GT60)</f>
        <v>#NAME?</v>
      </c>
      <c r="P27" s="880" t="e">
        <f>SUM(DATA_FORMATTING!GU59:GU60)</f>
        <v>#NAME?</v>
      </c>
      <c r="Q27" s="880" t="e">
        <f>SUM(DATA_FORMATTING!GV59:GV60)</f>
        <v>#NAME?</v>
      </c>
      <c r="R27" s="880" t="e">
        <f>SUM(DATA_FORMATTING!GW59:GW60)</f>
        <v>#NAME?</v>
      </c>
      <c r="S27" s="880" t="e">
        <f>SUM(DATA_FORMATTING!GX59:GX60)</f>
        <v>#NAME?</v>
      </c>
      <c r="T27" s="880" t="e">
        <f>SUM(DATA_FORMATTING!GY59:GY60)</f>
        <v>#NAME?</v>
      </c>
      <c r="U27" s="880" t="e">
        <f>SUM(DATA_FORMATTING!GZ59:GZ60)</f>
        <v>#NAME?</v>
      </c>
      <c r="V27" s="880" t="e">
        <f>SUM(DATA_FORMATTING!HA59:HA60)</f>
        <v>#NAME?</v>
      </c>
      <c r="W27" s="880" t="e">
        <f>SUM(DATA_FORMATTING!HB59:HB60)</f>
        <v>#NAME?</v>
      </c>
      <c r="X27" s="880" t="e">
        <f>SUM(DATA_FORMATTING!HC59:HC60)</f>
        <v>#NAME?</v>
      </c>
      <c r="Y27" s="880" t="e">
        <f>SUM(DATA_FORMATTING!HD59:HD60)</f>
        <v>#NAME?</v>
      </c>
      <c r="Z27" s="880" t="e">
        <f>SUM(DATA_FORMATTING!HE59:HE60)</f>
        <v>#NAME?</v>
      </c>
      <c r="AA27" s="880" t="e">
        <f>SUM(DATA_FORMATTING!HF59:HF60)</f>
        <v>#NAME?</v>
      </c>
      <c r="AB27" s="880" t="e">
        <f>SUM(DATA_FORMATTING!HG59:HG60)</f>
        <v>#NAME?</v>
      </c>
      <c r="AC27" s="880" t="e">
        <f>SUM(DATA_FORMATTING!HH59:HH60)</f>
        <v>#NAME?</v>
      </c>
      <c r="AD27" s="880" t="e">
        <f>SUM(DATA_FORMATTING!HI59:HI60)</f>
        <v>#NAME?</v>
      </c>
      <c r="AE27" s="880" t="e">
        <f>SUM(DATA_FORMATTING!HJ59:HJ60)</f>
        <v>#NAME?</v>
      </c>
      <c r="AF27" s="880" t="e">
        <f>SUM(DATA_FORMATTING!HK59:HK60)</f>
        <v>#NAME?</v>
      </c>
      <c r="AG27" s="880" t="e">
        <f>SUM(DATA_FORMATTING!HL59:HL60)</f>
        <v>#NAME?</v>
      </c>
      <c r="AH27" s="880" t="e">
        <f>SUM(DATA_FORMATTING!HM59:HM60)</f>
        <v>#NAME?</v>
      </c>
      <c r="AI27" s="880" t="e">
        <f>SUM(DATA_FORMATTING!HN59:HN60)</f>
        <v>#NAME?</v>
      </c>
      <c r="AJ27" s="880" t="e">
        <f>SUM(DATA_FORMATTING!HO59:HO60)</f>
        <v>#NAME?</v>
      </c>
      <c r="AK27" s="880" t="e">
        <f>SUM(DATA_FORMATTING!HP59:HP60)</f>
        <v>#NAME?</v>
      </c>
      <c r="AL27" s="880" t="e">
        <f>SUM(DATA_FORMATTING!HQ59:HQ60)</f>
        <v>#NAME?</v>
      </c>
    </row>
    <row r="28" spans="1:38">
      <c r="A28" s="890">
        <v>278</v>
      </c>
      <c r="B28" s="881" t="s">
        <v>552</v>
      </c>
      <c r="C28" s="880" t="e">
        <f>SUM(DATA_FORMATTING!GH65:GH66)</f>
        <v>#NAME?</v>
      </c>
      <c r="D28" s="880" t="e">
        <f>SUM(DATA_FORMATTING!GI65:GI66)</f>
        <v>#NAME?</v>
      </c>
      <c r="E28" s="880" t="e">
        <f>SUM(DATA_FORMATTING!GJ65:GJ66)</f>
        <v>#NAME?</v>
      </c>
      <c r="F28" s="880" t="e">
        <f>SUM(DATA_FORMATTING!GK65:GK66)</f>
        <v>#NAME?</v>
      </c>
      <c r="G28" s="880" t="e">
        <f>SUM(DATA_FORMATTING!GL65:GL66)</f>
        <v>#NAME?</v>
      </c>
      <c r="H28" s="880" t="e">
        <f>SUM(DATA_FORMATTING!GM65:GM66)</f>
        <v>#NAME?</v>
      </c>
      <c r="I28" s="880" t="e">
        <f>SUM(DATA_FORMATTING!GN65:GN66)</f>
        <v>#NAME?</v>
      </c>
      <c r="J28" s="880" t="e">
        <f>SUM(DATA_FORMATTING!GO65:GO66)</f>
        <v>#NAME?</v>
      </c>
      <c r="K28" s="880" t="e">
        <f>SUM(DATA_FORMATTING!GP65:GP66)</f>
        <v>#NAME?</v>
      </c>
      <c r="L28" s="880" t="e">
        <f>SUM(DATA_FORMATTING!GQ65:GQ66)</f>
        <v>#NAME?</v>
      </c>
      <c r="M28" s="880" t="e">
        <f>SUM(DATA_FORMATTING!GR65:GR66)</f>
        <v>#NAME?</v>
      </c>
      <c r="N28" s="880" t="e">
        <f>SUM(DATA_FORMATTING!GS65:GS66)</f>
        <v>#NAME?</v>
      </c>
      <c r="O28" s="880" t="e">
        <f>SUM(DATA_FORMATTING!GT65:GT66)</f>
        <v>#NAME?</v>
      </c>
      <c r="P28" s="880" t="e">
        <f>SUM(DATA_FORMATTING!GU65:GU66)</f>
        <v>#NAME?</v>
      </c>
      <c r="Q28" s="880" t="e">
        <f>SUM(DATA_FORMATTING!GV65:GV66)</f>
        <v>#NAME?</v>
      </c>
      <c r="R28" s="880" t="e">
        <f>SUM(DATA_FORMATTING!GW65:GW66)</f>
        <v>#NAME?</v>
      </c>
      <c r="S28" s="880" t="e">
        <f>SUM(DATA_FORMATTING!GX65:GX66)</f>
        <v>#NAME?</v>
      </c>
      <c r="T28" s="880" t="e">
        <f>SUM(DATA_FORMATTING!GY65:GY66)</f>
        <v>#NAME?</v>
      </c>
      <c r="U28" s="880" t="e">
        <f>SUM(DATA_FORMATTING!GZ65:GZ66)</f>
        <v>#NAME?</v>
      </c>
      <c r="V28" s="880" t="e">
        <f>SUM(DATA_FORMATTING!HA65:HA66)</f>
        <v>#NAME?</v>
      </c>
      <c r="W28" s="880" t="e">
        <f>SUM(DATA_FORMATTING!HB65:HB66)</f>
        <v>#NAME?</v>
      </c>
      <c r="X28" s="880" t="e">
        <f>SUM(DATA_FORMATTING!HC65:HC66)</f>
        <v>#NAME?</v>
      </c>
      <c r="Y28" s="880" t="e">
        <f>SUM(DATA_FORMATTING!HD65:HD66)</f>
        <v>#NAME?</v>
      </c>
      <c r="Z28" s="880" t="e">
        <f>SUM(DATA_FORMATTING!HE65:HE66)</f>
        <v>#NAME?</v>
      </c>
      <c r="AA28" s="880" t="e">
        <f>SUM(DATA_FORMATTING!HF65:HF66)</f>
        <v>#NAME?</v>
      </c>
      <c r="AB28" s="880" t="e">
        <f>SUM(DATA_FORMATTING!HG65:HG66)</f>
        <v>#NAME?</v>
      </c>
      <c r="AC28" s="880" t="e">
        <f>SUM(DATA_FORMATTING!HH65:HH66)</f>
        <v>#NAME?</v>
      </c>
      <c r="AD28" s="880" t="e">
        <f>SUM(DATA_FORMATTING!HI65:HI66)</f>
        <v>#NAME?</v>
      </c>
      <c r="AE28" s="880" t="e">
        <f>SUM(DATA_FORMATTING!HJ65:HJ66)</f>
        <v>#NAME?</v>
      </c>
      <c r="AF28" s="880" t="e">
        <f>SUM(DATA_FORMATTING!HK65:HK66)</f>
        <v>#NAME?</v>
      </c>
      <c r="AG28" s="880" t="e">
        <f>SUM(DATA_FORMATTING!HL65:HL66)</f>
        <v>#NAME?</v>
      </c>
      <c r="AH28" s="880" t="e">
        <f>SUM(DATA_FORMATTING!HM65:HM66)</f>
        <v>#NAME?</v>
      </c>
      <c r="AI28" s="880" t="e">
        <f>SUM(DATA_FORMATTING!HN65:HN66)</f>
        <v>#NAME?</v>
      </c>
      <c r="AJ28" s="880" t="e">
        <f>SUM(DATA_FORMATTING!HO65:HO66)</f>
        <v>#NAME?</v>
      </c>
      <c r="AK28" s="880" t="e">
        <f>SUM(DATA_FORMATTING!HP65:HP66)</f>
        <v>#NAME?</v>
      </c>
      <c r="AL28" s="880" t="e">
        <f>SUM(DATA_FORMATTING!HQ65:HQ66)</f>
        <v>#NAME?</v>
      </c>
    </row>
    <row r="29" spans="1:38">
      <c r="A29" s="890">
        <v>279</v>
      </c>
      <c r="B29" s="881" t="s">
        <v>551</v>
      </c>
      <c r="C29" s="880" t="e">
        <f>SUM(DATA_FORMATTING!CT128:CT130)</f>
        <v>#NAME?</v>
      </c>
      <c r="D29" s="880" t="e">
        <f>SUM(DATA_FORMATTING!CU128:CU130)</f>
        <v>#NAME?</v>
      </c>
      <c r="E29" s="880" t="e">
        <f>SUM(DATA_FORMATTING!CV128:CV130)</f>
        <v>#NAME?</v>
      </c>
      <c r="F29" s="880" t="e">
        <f>SUM(DATA_FORMATTING!CW128:CW130)</f>
        <v>#NAME?</v>
      </c>
      <c r="G29" s="880" t="e">
        <f>SUM(DATA_FORMATTING!CX128:CX130)</f>
        <v>#NAME?</v>
      </c>
      <c r="H29" s="880" t="e">
        <f>SUM(DATA_FORMATTING!CY128:CY130)</f>
        <v>#NAME?</v>
      </c>
      <c r="I29" s="880" t="e">
        <f>SUM(DATA_FORMATTING!CZ128:CZ130)</f>
        <v>#NAME?</v>
      </c>
      <c r="J29" s="880" t="e">
        <f>SUM(DATA_FORMATTING!DA128:DA130)</f>
        <v>#NAME?</v>
      </c>
      <c r="K29" s="880" t="e">
        <f>SUM(DATA_FORMATTING!DB128:DB130)</f>
        <v>#NAME?</v>
      </c>
      <c r="L29" s="880" t="e">
        <f>SUM(DATA_FORMATTING!DC128:DC130)</f>
        <v>#NAME?</v>
      </c>
      <c r="M29" s="880" t="e">
        <f>SUM(DATA_FORMATTING!DD128:DD130)</f>
        <v>#NAME?</v>
      </c>
      <c r="N29" s="880" t="e">
        <f>SUM(DATA_FORMATTING!DE128:DE130)</f>
        <v>#NAME?</v>
      </c>
      <c r="O29" s="880" t="e">
        <f>SUM(DATA_FORMATTING!DF128:DF130)</f>
        <v>#NAME?</v>
      </c>
      <c r="P29" s="880" t="e">
        <f>SUM(DATA_FORMATTING!DG128:DG130)</f>
        <v>#NAME?</v>
      </c>
      <c r="Q29" s="880" t="e">
        <f>SUM(DATA_FORMATTING!DH128:DH130)</f>
        <v>#NAME?</v>
      </c>
      <c r="R29" s="880" t="e">
        <f>SUM(DATA_FORMATTING!DI128:DI130)</f>
        <v>#NAME?</v>
      </c>
      <c r="S29" s="880" t="e">
        <f>SUM(DATA_FORMATTING!DJ128:DJ130)</f>
        <v>#NAME?</v>
      </c>
      <c r="T29" s="880" t="e">
        <f>SUM(DATA_FORMATTING!DK128:DK130)</f>
        <v>#NAME?</v>
      </c>
      <c r="U29" s="880" t="e">
        <f>SUM(DATA_FORMATTING!DL128:DL130)</f>
        <v>#NAME?</v>
      </c>
      <c r="V29" s="880" t="e">
        <f>SUM(DATA_FORMATTING!DM128:DM130)</f>
        <v>#NAME?</v>
      </c>
      <c r="W29" s="880" t="e">
        <f>SUM(DATA_FORMATTING!DN128:DN130)</f>
        <v>#NAME?</v>
      </c>
      <c r="X29" s="880" t="e">
        <f>SUM(DATA_FORMATTING!DO128:DO130)</f>
        <v>#NAME?</v>
      </c>
      <c r="Y29" s="880" t="e">
        <f>SUM(DATA_FORMATTING!DP128:DP130)</f>
        <v>#NAME?</v>
      </c>
      <c r="Z29" s="880" t="e">
        <f>SUM(DATA_FORMATTING!DQ128:DQ130)</f>
        <v>#NAME?</v>
      </c>
      <c r="AA29" s="880" t="e">
        <f>SUM(DATA_FORMATTING!DR128:DR130)</f>
        <v>#NAME?</v>
      </c>
      <c r="AB29" s="880" t="e">
        <f>SUM(DATA_FORMATTING!DS128:DS130)</f>
        <v>#NAME?</v>
      </c>
      <c r="AC29" s="880" t="e">
        <f>SUM(DATA_FORMATTING!DT128:DT130)</f>
        <v>#NAME?</v>
      </c>
      <c r="AD29" s="880" t="e">
        <f>SUM(DATA_FORMATTING!DU128:DU130)</f>
        <v>#NAME?</v>
      </c>
      <c r="AE29" s="880" t="e">
        <f>SUM(DATA_FORMATTING!DV128:DV130)</f>
        <v>#NAME?</v>
      </c>
      <c r="AF29" s="880" t="e">
        <f>SUM(DATA_FORMATTING!DW128:DW130)</f>
        <v>#NAME?</v>
      </c>
      <c r="AG29" s="880" t="e">
        <f>SUM(DATA_FORMATTING!DX128:DX130)</f>
        <v>#NAME?</v>
      </c>
      <c r="AH29" s="880" t="e">
        <f>SUM(DATA_FORMATTING!DY128:DY130)</f>
        <v>#NAME?</v>
      </c>
      <c r="AI29" s="880" t="e">
        <f>SUM(DATA_FORMATTING!DZ128:DZ130)</f>
        <v>#NAME?</v>
      </c>
      <c r="AJ29" s="880" t="e">
        <f>SUM(DATA_FORMATTING!EA128:EA130)</f>
        <v>#NAME?</v>
      </c>
      <c r="AK29" s="880" t="e">
        <f>SUM(DATA_FORMATTING!EB128:EB130)</f>
        <v>#NAME?</v>
      </c>
      <c r="AL29" s="880" t="e">
        <f>SUM(DATA_FORMATTING!EC128:EC130)</f>
        <v>#NAME?</v>
      </c>
    </row>
    <row r="30" spans="1:38">
      <c r="A30" s="890">
        <v>281</v>
      </c>
      <c r="B30" s="881" t="s">
        <v>550</v>
      </c>
      <c r="C30" s="880" t="str">
        <f>IFERROR(HLOOKUP(C2,DATA_FORMATTING!$E$122:$AN$148,26,FALSE),"")</f>
        <v/>
      </c>
      <c r="D30" s="880" t="str">
        <f>IFERROR(HLOOKUP(D2,DATA_FORMATTING!$E$122:$AN$148,26,FALSE),"")</f>
        <v/>
      </c>
      <c r="E30" s="880" t="str">
        <f>IFERROR(HLOOKUP(E2,DATA_FORMATTING!$E$122:$AN$148,26,FALSE),"")</f>
        <v/>
      </c>
      <c r="F30" s="880" t="str">
        <f>IFERROR(HLOOKUP(F2,DATA_FORMATTING!$E$122:$AN$148,26,FALSE),"")</f>
        <v/>
      </c>
      <c r="G30" s="880" t="str">
        <f>IFERROR(HLOOKUP(G2,DATA_FORMATTING!$E$122:$AN$148,26,FALSE),"")</f>
        <v/>
      </c>
      <c r="H30" s="880" t="str">
        <f>IFERROR(HLOOKUP(H2,DATA_FORMATTING!$E$122:$AN$148,26,FALSE),"")</f>
        <v/>
      </c>
      <c r="I30" s="880" t="str">
        <f>IFERROR(HLOOKUP(I2,DATA_FORMATTING!$E$122:$AN$148,26,FALSE),"")</f>
        <v/>
      </c>
      <c r="J30" s="880" t="str">
        <f>IFERROR(HLOOKUP(J2,DATA_FORMATTING!$E$122:$AN$148,26,FALSE),"")</f>
        <v/>
      </c>
      <c r="K30" s="880" t="str">
        <f>IFERROR(HLOOKUP(K2,DATA_FORMATTING!$E$122:$AN$148,26,FALSE),"")</f>
        <v/>
      </c>
      <c r="L30" s="880" t="str">
        <f>IFERROR(HLOOKUP(L2,DATA_FORMATTING!$E$122:$AN$148,26,FALSE),"")</f>
        <v/>
      </c>
      <c r="M30" s="880" t="str">
        <f>IFERROR(HLOOKUP(M2,DATA_FORMATTING!$E$122:$AN$148,26,FALSE),"")</f>
        <v/>
      </c>
      <c r="N30" s="880" t="str">
        <f>IFERROR(HLOOKUP(N2,DATA_FORMATTING!$E$122:$AN$148,26,FALSE),"")</f>
        <v/>
      </c>
      <c r="O30" s="880" t="str">
        <f>IFERROR(HLOOKUP(O2,DATA_FORMATTING!$E$122:$AN$148,26,FALSE),"")</f>
        <v/>
      </c>
      <c r="P30" s="880" t="str">
        <f>IFERROR(HLOOKUP(P2,DATA_FORMATTING!$E$122:$AN$148,26,FALSE),"")</f>
        <v/>
      </c>
      <c r="Q30" s="880" t="str">
        <f>IFERROR(HLOOKUP(Q2,DATA_FORMATTING!$E$122:$AN$148,26,FALSE),"")</f>
        <v/>
      </c>
      <c r="R30" s="880" t="str">
        <f>IFERROR(HLOOKUP(R2,DATA_FORMATTING!$E$122:$AN$148,26,FALSE),"")</f>
        <v/>
      </c>
      <c r="S30" s="880" t="str">
        <f>IFERROR(HLOOKUP(S2,DATA_FORMATTING!$E$122:$AN$148,26,FALSE),"")</f>
        <v/>
      </c>
      <c r="T30" s="880" t="str">
        <f>IFERROR(HLOOKUP(T2,DATA_FORMATTING!$E$122:$AN$148,26,FALSE),"")</f>
        <v/>
      </c>
      <c r="U30" s="880" t="str">
        <f>IFERROR(HLOOKUP(U2,DATA_FORMATTING!$E$122:$AN$148,26,FALSE),"")</f>
        <v/>
      </c>
      <c r="V30" s="880" t="str">
        <f>IFERROR(HLOOKUP(V2,DATA_FORMATTING!$E$122:$AN$148,26,FALSE),"")</f>
        <v/>
      </c>
      <c r="W30" s="880" t="str">
        <f>IFERROR(HLOOKUP(W2,DATA_FORMATTING!$E$122:$AN$148,26,FALSE),"")</f>
        <v/>
      </c>
      <c r="X30" s="880" t="str">
        <f>IFERROR(HLOOKUP(X2,DATA_FORMATTING!$E$122:$AN$148,26,FALSE),"")</f>
        <v/>
      </c>
      <c r="Y30" s="880" t="str">
        <f>IFERROR(HLOOKUP(Y2,DATA_FORMATTING!$E$122:$AN$148,26,FALSE),"")</f>
        <v/>
      </c>
      <c r="Z30" s="880" t="str">
        <f>IFERROR(HLOOKUP(Z2,DATA_FORMATTING!$E$122:$AN$148,26,FALSE),"")</f>
        <v/>
      </c>
      <c r="AA30" s="880" t="str">
        <f>IFERROR(HLOOKUP(AA2,DATA_FORMATTING!$E$122:$AN$148,26,FALSE),"")</f>
        <v/>
      </c>
      <c r="AB30" s="880" t="str">
        <f>IFERROR(HLOOKUP(AB2,DATA_FORMATTING!$E$122:$AN$148,26,FALSE),"")</f>
        <v/>
      </c>
      <c r="AC30" s="880" t="str">
        <f>IFERROR(HLOOKUP(AC2,DATA_FORMATTING!$E$122:$AN$148,26,FALSE),"")</f>
        <v/>
      </c>
      <c r="AD30" s="880" t="str">
        <f>IFERROR(HLOOKUP(AD2,DATA_FORMATTING!$E$122:$AN$148,26,FALSE),"")</f>
        <v/>
      </c>
      <c r="AE30" s="880" t="str">
        <f>IFERROR(HLOOKUP(AE2,DATA_FORMATTING!$E$122:$AN$148,26,FALSE),"")</f>
        <v/>
      </c>
      <c r="AF30" s="880" t="str">
        <f>IFERROR(HLOOKUP(AF2,DATA_FORMATTING!$E$122:$AN$148,26,FALSE),"")</f>
        <v/>
      </c>
      <c r="AG30" s="880" t="str">
        <f>IFERROR(HLOOKUP(AG2,DATA_FORMATTING!$E$122:$AN$148,26,FALSE),"")</f>
        <v/>
      </c>
      <c r="AH30" s="880" t="str">
        <f>IFERROR(HLOOKUP(AH2,DATA_FORMATTING!$E$122:$AN$148,26,FALSE),"")</f>
        <v/>
      </c>
      <c r="AI30" s="880" t="str">
        <f>IFERROR(HLOOKUP(AI2,DATA_FORMATTING!$E$122:$AN$148,26,FALSE),"")</f>
        <v/>
      </c>
      <c r="AJ30" s="880" t="str">
        <f>IFERROR(HLOOKUP(AJ2,DATA_FORMATTING!$E$122:$AN$148,26,FALSE),"")</f>
        <v/>
      </c>
      <c r="AK30" s="880" t="str">
        <f>IFERROR(HLOOKUP(AK2,DATA_FORMATTING!$E$122:$AN$148,26,FALSE),"")</f>
        <v/>
      </c>
      <c r="AL30" s="880" t="str">
        <f>IFERROR(HLOOKUP(AL2,DATA_FORMATTING!$E$122:$AN$148,26,FALSE),"")</f>
        <v/>
      </c>
    </row>
    <row r="31" spans="1:38">
      <c r="A31" s="890">
        <v>286</v>
      </c>
      <c r="B31" s="895" t="s">
        <v>568</v>
      </c>
      <c r="C31" s="880"/>
      <c r="D31" s="880"/>
      <c r="E31" s="880"/>
      <c r="F31" s="880"/>
      <c r="G31" s="880"/>
      <c r="H31" s="880"/>
      <c r="I31" s="880"/>
      <c r="J31" s="880"/>
      <c r="K31" s="880" t="e">
        <f>AVERAGEIF(DATA_FORMATTING!A121:M121,1,DATA_FORMATTING!A128:M128)</f>
        <v>#DIV/0!</v>
      </c>
      <c r="L31" s="880" t="e">
        <f>AVERAGEIF(DATA_FORMATTING!B121:N121,1,DATA_FORMATTING!B128:N128)</f>
        <v>#DIV/0!</v>
      </c>
      <c r="M31" s="880" t="e">
        <f>AVERAGEIF(DATA_FORMATTING!C121:O121,1,DATA_FORMATTING!C128:O128)</f>
        <v>#DIV/0!</v>
      </c>
      <c r="N31" s="880" t="e">
        <f>AVERAGEIF(DATA_FORMATTING!D121:P121,1,DATA_FORMATTING!D128:P128)</f>
        <v>#DIV/0!</v>
      </c>
      <c r="O31" s="880" t="e">
        <f>AVERAGEIF(DATA_FORMATTING!E121:Q121,1,DATA_FORMATTING!E128:Q128)</f>
        <v>#DIV/0!</v>
      </c>
      <c r="P31" s="880" t="e">
        <f>AVERAGEIF(DATA_FORMATTING!F121:R121,1,DATA_FORMATTING!F128:R128)</f>
        <v>#DIV/0!</v>
      </c>
      <c r="Q31" s="880" t="e">
        <f>AVERAGEIF(DATA_FORMATTING!G121:S121,1,DATA_FORMATTING!G128:S128)</f>
        <v>#DIV/0!</v>
      </c>
      <c r="R31" s="880" t="e">
        <f>AVERAGEIF(DATA_FORMATTING!H121:T121,1,DATA_FORMATTING!H128:T128)</f>
        <v>#DIV/0!</v>
      </c>
      <c r="S31" s="880" t="e">
        <f>AVERAGEIF(DATA_FORMATTING!I121:U121,1,DATA_FORMATTING!I128:U128)</f>
        <v>#DIV/0!</v>
      </c>
      <c r="T31" s="880" t="e">
        <f>AVERAGEIF(DATA_FORMATTING!J121:V121,1,DATA_FORMATTING!J128:V128)</f>
        <v>#DIV/0!</v>
      </c>
      <c r="U31" s="880" t="e">
        <f>AVERAGEIF(DATA_FORMATTING!K121:W121,1,DATA_FORMATTING!K128:W128)</f>
        <v>#DIV/0!</v>
      </c>
      <c r="V31" s="880" t="e">
        <f>AVERAGEIF(DATA_FORMATTING!L121:X121,1,DATA_FORMATTING!L128:X128)</f>
        <v>#DIV/0!</v>
      </c>
      <c r="W31" s="880" t="e">
        <f>AVERAGEIF(DATA_FORMATTING!M121:Y121,1,DATA_FORMATTING!M128:Y128)</f>
        <v>#DIV/0!</v>
      </c>
      <c r="X31" s="880" t="e">
        <f>AVERAGEIF(DATA_FORMATTING!N121:Z121,1,DATA_FORMATTING!N128:Z128)</f>
        <v>#DIV/0!</v>
      </c>
      <c r="Y31" s="880" t="e">
        <f>AVERAGEIF(DATA_FORMATTING!O121:AA121,1,DATA_FORMATTING!O128:AA128)</f>
        <v>#DIV/0!</v>
      </c>
      <c r="Z31" s="880" t="e">
        <f>AVERAGEIF(DATA_FORMATTING!P121:AB121,1,DATA_FORMATTING!P128:AB128)</f>
        <v>#DIV/0!</v>
      </c>
      <c r="AA31" s="880" t="e">
        <f>AVERAGEIF(DATA_FORMATTING!Q121:AC121,1,DATA_FORMATTING!Q128:AC128)</f>
        <v>#DIV/0!</v>
      </c>
      <c r="AB31" s="880" t="e">
        <f>AVERAGEIF(DATA_FORMATTING!R121:AD121,1,DATA_FORMATTING!R128:AD128)</f>
        <v>#DIV/0!</v>
      </c>
      <c r="AC31" s="880" t="e">
        <f>AVERAGEIF(DATA_FORMATTING!S121:AE121,1,DATA_FORMATTING!S128:AE128)</f>
        <v>#DIV/0!</v>
      </c>
      <c r="AD31" s="880" t="e">
        <f>AVERAGEIF(DATA_FORMATTING!T121:AF121,1,DATA_FORMATTING!T128:AF128)</f>
        <v>#DIV/0!</v>
      </c>
      <c r="AE31" s="880" t="e">
        <f>AVERAGEIF(DATA_FORMATTING!U121:AG121,1,DATA_FORMATTING!U128:AG128)</f>
        <v>#DIV/0!</v>
      </c>
      <c r="AF31" s="880" t="e">
        <f>AVERAGEIF(DATA_FORMATTING!V121:AH121,1,DATA_FORMATTING!V128:AH128)</f>
        <v>#DIV/0!</v>
      </c>
      <c r="AG31" s="880" t="e">
        <f>AVERAGEIF(DATA_FORMATTING!W121:AI121,1,DATA_FORMATTING!W128:AI128)</f>
        <v>#DIV/0!</v>
      </c>
      <c r="AH31" s="880" t="e">
        <f>AVERAGEIF(DATA_FORMATTING!X121:AJ121,1,DATA_FORMATTING!X128:AJ128)</f>
        <v>#DIV/0!</v>
      </c>
      <c r="AI31" s="880" t="e">
        <f>AVERAGEIF(DATA_FORMATTING!Y121:AK121,1,DATA_FORMATTING!Y128:AK128)</f>
        <v>#DIV/0!</v>
      </c>
      <c r="AJ31" s="880" t="e">
        <f>AVERAGEIF(DATA_FORMATTING!Z121:AL121,1,DATA_FORMATTING!Z128:AL128)</f>
        <v>#DIV/0!</v>
      </c>
      <c r="AK31" s="880" t="e">
        <f>AVERAGEIF(DATA_FORMATTING!AA121:AM121,1,DATA_FORMATTING!AA128:AM128)</f>
        <v>#DIV/0!</v>
      </c>
      <c r="AL31" s="880" t="e">
        <f>AVERAGEIF(DATA_FORMATTING!AB121:AN121,1,DATA_FORMATTING!AB128:AN128)</f>
        <v>#DIV/0!</v>
      </c>
    </row>
    <row r="32" spans="1:38">
      <c r="A32" s="894">
        <v>287</v>
      </c>
      <c r="B32" s="895" t="s">
        <v>569</v>
      </c>
      <c r="C32" s="880"/>
      <c r="D32" s="880"/>
      <c r="E32" s="880"/>
      <c r="F32" s="880"/>
      <c r="G32" s="880"/>
      <c r="H32" s="880"/>
      <c r="I32" s="880"/>
      <c r="J32" s="880"/>
      <c r="K32" s="880" t="e">
        <f>AVERAGEIF(DATA_FORMATTING!A121:M121,1,DATA_FORMATTING!A131:M131)</f>
        <v>#DIV/0!</v>
      </c>
      <c r="L32" s="880" t="e">
        <f>AVERAGEIF(DATA_FORMATTING!B121:N121,1,DATA_FORMATTING!B131:N131)</f>
        <v>#DIV/0!</v>
      </c>
      <c r="M32" s="880" t="e">
        <f>AVERAGEIF(DATA_FORMATTING!C121:O121,1,DATA_FORMATTING!C131:O131)</f>
        <v>#DIV/0!</v>
      </c>
      <c r="N32" s="880" t="e">
        <f>AVERAGEIF(DATA_FORMATTING!D121:P121,1,DATA_FORMATTING!D131:P131)</f>
        <v>#DIV/0!</v>
      </c>
      <c r="O32" s="880" t="e">
        <f>AVERAGEIF(DATA_FORMATTING!E121:Q121,1,DATA_FORMATTING!E131:Q131)</f>
        <v>#DIV/0!</v>
      </c>
      <c r="P32" s="880" t="e">
        <f>AVERAGEIF(DATA_FORMATTING!F121:R121,1,DATA_FORMATTING!F131:R131)</f>
        <v>#DIV/0!</v>
      </c>
      <c r="Q32" s="880" t="e">
        <f>AVERAGEIF(DATA_FORMATTING!G121:S121,1,DATA_FORMATTING!G131:S131)</f>
        <v>#DIV/0!</v>
      </c>
      <c r="R32" s="880" t="e">
        <f>AVERAGEIF(DATA_FORMATTING!H121:T121,1,DATA_FORMATTING!H131:T131)</f>
        <v>#DIV/0!</v>
      </c>
      <c r="S32" s="880" t="e">
        <f>AVERAGEIF(DATA_FORMATTING!I121:U121,1,DATA_FORMATTING!I131:U131)</f>
        <v>#DIV/0!</v>
      </c>
      <c r="T32" s="880" t="e">
        <f>AVERAGEIF(DATA_FORMATTING!J121:V121,1,DATA_FORMATTING!J131:V131)</f>
        <v>#DIV/0!</v>
      </c>
      <c r="U32" s="880" t="e">
        <f>AVERAGEIF(DATA_FORMATTING!K121:W121,1,DATA_FORMATTING!K131:W131)</f>
        <v>#DIV/0!</v>
      </c>
      <c r="V32" s="880" t="e">
        <f>AVERAGEIF(DATA_FORMATTING!L121:X121,1,DATA_FORMATTING!L131:X131)</f>
        <v>#DIV/0!</v>
      </c>
      <c r="W32" s="880" t="e">
        <f>AVERAGEIF(DATA_FORMATTING!M121:Y121,1,DATA_FORMATTING!M131:Y131)</f>
        <v>#DIV/0!</v>
      </c>
      <c r="X32" s="880" t="e">
        <f>AVERAGEIF(DATA_FORMATTING!N121:Z121,1,DATA_FORMATTING!N131:Z131)</f>
        <v>#DIV/0!</v>
      </c>
      <c r="Y32" s="880" t="e">
        <f>AVERAGEIF(DATA_FORMATTING!O121:AA121,1,DATA_FORMATTING!O131:AA131)</f>
        <v>#DIV/0!</v>
      </c>
      <c r="Z32" s="880" t="e">
        <f>AVERAGEIF(DATA_FORMATTING!P121:AB121,1,DATA_FORMATTING!P131:AB131)</f>
        <v>#DIV/0!</v>
      </c>
      <c r="AA32" s="880" t="e">
        <f>AVERAGEIF(DATA_FORMATTING!Q121:AC121,1,DATA_FORMATTING!Q131:AC131)</f>
        <v>#DIV/0!</v>
      </c>
      <c r="AB32" s="880" t="e">
        <f>AVERAGEIF(DATA_FORMATTING!R121:AD121,1,DATA_FORMATTING!R131:AD131)</f>
        <v>#DIV/0!</v>
      </c>
      <c r="AC32" s="880" t="e">
        <f>AVERAGEIF(DATA_FORMATTING!S121:AE121,1,DATA_FORMATTING!S131:AE131)</f>
        <v>#DIV/0!</v>
      </c>
      <c r="AD32" s="880" t="e">
        <f>AVERAGEIF(DATA_FORMATTING!T121:AF121,1,DATA_FORMATTING!T131:AF131)</f>
        <v>#DIV/0!</v>
      </c>
      <c r="AE32" s="880" t="e">
        <f>AVERAGEIF(DATA_FORMATTING!U121:AG121,1,DATA_FORMATTING!U131:AG131)</f>
        <v>#DIV/0!</v>
      </c>
      <c r="AF32" s="880" t="e">
        <f>AVERAGEIF(DATA_FORMATTING!V121:AH121,1,DATA_FORMATTING!V131:AH131)</f>
        <v>#DIV/0!</v>
      </c>
      <c r="AG32" s="880" t="e">
        <f>AVERAGEIF(DATA_FORMATTING!W121:AI121,1,DATA_FORMATTING!W131:AI131)</f>
        <v>#DIV/0!</v>
      </c>
      <c r="AH32" s="880" t="e">
        <f>AVERAGEIF(DATA_FORMATTING!X121:AJ121,1,DATA_FORMATTING!X131:AJ131)</f>
        <v>#DIV/0!</v>
      </c>
      <c r="AI32" s="880" t="e">
        <f>AVERAGEIF(DATA_FORMATTING!Y121:AK121,1,DATA_FORMATTING!Y131:AK131)</f>
        <v>#DIV/0!</v>
      </c>
      <c r="AJ32" s="880" t="e">
        <f>AVERAGEIF(DATA_FORMATTING!Z121:AL121,1,DATA_FORMATTING!Z131:AL131)</f>
        <v>#DIV/0!</v>
      </c>
      <c r="AK32" s="880" t="e">
        <f>AVERAGEIF(DATA_FORMATTING!AA121:AM121,1,DATA_FORMATTING!AA131:AM131)</f>
        <v>#DIV/0!</v>
      </c>
      <c r="AL32" s="880" t="e">
        <f>AVERAGEIF(DATA_FORMATTING!AB121:AN121,1,DATA_FORMATTING!AB131:AN131)</f>
        <v>#DIV/0!</v>
      </c>
    </row>
    <row r="33" spans="1:38">
      <c r="A33" s="894">
        <v>288</v>
      </c>
      <c r="B33" s="895" t="s">
        <v>570</v>
      </c>
      <c r="C33" s="880"/>
      <c r="D33" s="880"/>
      <c r="E33" s="880"/>
      <c r="F33" s="880"/>
      <c r="G33" s="880"/>
      <c r="H33" s="880"/>
      <c r="I33" s="880"/>
      <c r="J33" s="880"/>
      <c r="K33" s="880" t="e">
        <f>AVERAGEIF(DATA_FORMATTING!A121:M121,1,DATA_FORMATTING!A147:M147)</f>
        <v>#DIV/0!</v>
      </c>
      <c r="L33" s="880" t="e">
        <f>AVERAGEIF(DATA_FORMATTING!B121:N121,1,DATA_FORMATTING!B147:N147)</f>
        <v>#DIV/0!</v>
      </c>
      <c r="M33" s="880" t="e">
        <f>AVERAGEIF(DATA_FORMATTING!C121:O121,1,DATA_FORMATTING!C147:O147)</f>
        <v>#DIV/0!</v>
      </c>
      <c r="N33" s="880" t="e">
        <f>AVERAGEIF(DATA_FORMATTING!D121:P121,1,DATA_FORMATTING!D147:P147)</f>
        <v>#DIV/0!</v>
      </c>
      <c r="O33" s="880" t="e">
        <f>AVERAGEIF(DATA_FORMATTING!E121:Q121,1,DATA_FORMATTING!E147:Q147)</f>
        <v>#DIV/0!</v>
      </c>
      <c r="P33" s="880" t="e">
        <f>AVERAGEIF(DATA_FORMATTING!F121:R121,1,DATA_FORMATTING!F147:R147)</f>
        <v>#DIV/0!</v>
      </c>
      <c r="Q33" s="880" t="e">
        <f>AVERAGEIF(DATA_FORMATTING!G121:S121,1,DATA_FORMATTING!G147:S147)</f>
        <v>#DIV/0!</v>
      </c>
      <c r="R33" s="880" t="e">
        <f>AVERAGEIF(DATA_FORMATTING!H121:T121,1,DATA_FORMATTING!H147:T147)</f>
        <v>#DIV/0!</v>
      </c>
      <c r="S33" s="880" t="e">
        <f>AVERAGEIF(DATA_FORMATTING!I121:U121,1,DATA_FORMATTING!I147:U147)</f>
        <v>#DIV/0!</v>
      </c>
      <c r="T33" s="880" t="e">
        <f>AVERAGEIF(DATA_FORMATTING!J121:V121,1,DATA_FORMATTING!J147:V147)</f>
        <v>#DIV/0!</v>
      </c>
      <c r="U33" s="880" t="e">
        <f>AVERAGEIF(DATA_FORMATTING!K121:W121,1,DATA_FORMATTING!K147:W147)</f>
        <v>#DIV/0!</v>
      </c>
      <c r="V33" s="880" t="e">
        <f>AVERAGEIF(DATA_FORMATTING!L121:X121,1,DATA_FORMATTING!L147:X147)</f>
        <v>#DIV/0!</v>
      </c>
      <c r="W33" s="880" t="e">
        <f>AVERAGEIF(DATA_FORMATTING!M121:Y121,1,DATA_FORMATTING!M147:Y147)</f>
        <v>#DIV/0!</v>
      </c>
      <c r="X33" s="880" t="e">
        <f>AVERAGEIF(DATA_FORMATTING!N121:Z121,1,DATA_FORMATTING!N147:Z147)</f>
        <v>#DIV/0!</v>
      </c>
      <c r="Y33" s="880" t="e">
        <f>AVERAGEIF(DATA_FORMATTING!O121:AA121,1,DATA_FORMATTING!O147:AA147)</f>
        <v>#DIV/0!</v>
      </c>
      <c r="Z33" s="880" t="e">
        <f>AVERAGEIF(DATA_FORMATTING!P121:AB121,1,DATA_FORMATTING!P147:AB147)</f>
        <v>#DIV/0!</v>
      </c>
      <c r="AA33" s="880" t="e">
        <f>AVERAGEIF(DATA_FORMATTING!Q121:AC121,1,DATA_FORMATTING!Q147:AC147)</f>
        <v>#DIV/0!</v>
      </c>
      <c r="AB33" s="880" t="e">
        <f>AVERAGEIF(DATA_FORMATTING!R121:AD121,1,DATA_FORMATTING!R147:AD147)</f>
        <v>#DIV/0!</v>
      </c>
      <c r="AC33" s="880" t="e">
        <f>AVERAGEIF(DATA_FORMATTING!S121:AE121,1,DATA_FORMATTING!S147:AE147)</f>
        <v>#DIV/0!</v>
      </c>
      <c r="AD33" s="880" t="e">
        <f>AVERAGEIF(DATA_FORMATTING!T121:AF121,1,DATA_FORMATTING!T147:AF147)</f>
        <v>#DIV/0!</v>
      </c>
      <c r="AE33" s="880" t="e">
        <f>AVERAGEIF(DATA_FORMATTING!U121:AG121,1,DATA_FORMATTING!U147:AG147)</f>
        <v>#DIV/0!</v>
      </c>
      <c r="AF33" s="880" t="e">
        <f>AVERAGEIF(DATA_FORMATTING!V121:AH121,1,DATA_FORMATTING!V147:AH147)</f>
        <v>#DIV/0!</v>
      </c>
      <c r="AG33" s="880" t="e">
        <f>AVERAGEIF(DATA_FORMATTING!W121:AI121,1,DATA_FORMATTING!W147:AI147)</f>
        <v>#DIV/0!</v>
      </c>
      <c r="AH33" s="880" t="e">
        <f>AVERAGEIF(DATA_FORMATTING!X121:AJ121,1,DATA_FORMATTING!X147:AJ147)</f>
        <v>#DIV/0!</v>
      </c>
      <c r="AI33" s="880" t="e">
        <f>AVERAGEIF(DATA_FORMATTING!Y121:AK121,1,DATA_FORMATTING!Y147:AK147)</f>
        <v>#DIV/0!</v>
      </c>
      <c r="AJ33" s="880" t="e">
        <f>AVERAGEIF(DATA_FORMATTING!Z121:AL121,1,DATA_FORMATTING!Z147:AL147)</f>
        <v>#DIV/0!</v>
      </c>
      <c r="AK33" s="880" t="e">
        <f>AVERAGEIF(DATA_FORMATTING!AA121:AM121,1,DATA_FORMATTING!AA147:AM147)</f>
        <v>#DIV/0!</v>
      </c>
      <c r="AL33" s="880" t="e">
        <f>AVERAGEIF(DATA_FORMATTING!AB121:AN121,1,DATA_FORMATTING!AB147:AN147)</f>
        <v>#DIV/0!</v>
      </c>
    </row>
    <row r="34" spans="1:38">
      <c r="A34" s="894">
        <v>289</v>
      </c>
      <c r="B34" s="895" t="s">
        <v>571</v>
      </c>
      <c r="C34" s="1075"/>
      <c r="D34" s="880"/>
      <c r="E34" s="880"/>
      <c r="F34" s="880"/>
      <c r="G34" s="880"/>
      <c r="H34" s="880"/>
      <c r="I34" s="880"/>
      <c r="J34" s="880"/>
      <c r="K34" s="880" t="e">
        <f>AVERAGEIF(DATA_FORMATTING!A121:M121,1,DATA_FORMATTING!A135:M135)</f>
        <v>#DIV/0!</v>
      </c>
      <c r="L34" s="880" t="e">
        <f>AVERAGEIF(DATA_FORMATTING!B121:N121,1,DATA_FORMATTING!B135:N135)</f>
        <v>#DIV/0!</v>
      </c>
      <c r="M34" s="880" t="e">
        <f>AVERAGEIF(DATA_FORMATTING!C121:O121,1,DATA_FORMATTING!C135:O135)</f>
        <v>#DIV/0!</v>
      </c>
      <c r="N34" s="880" t="e">
        <f>AVERAGEIF(DATA_FORMATTING!D121:P121,1,DATA_FORMATTING!D135:P135)</f>
        <v>#DIV/0!</v>
      </c>
      <c r="O34" s="880" t="e">
        <f>AVERAGEIF(DATA_FORMATTING!E121:Q121,1,DATA_FORMATTING!E135:Q135)</f>
        <v>#DIV/0!</v>
      </c>
      <c r="P34" s="880" t="e">
        <f>AVERAGEIF(DATA_FORMATTING!F121:R121,1,DATA_FORMATTING!F135:R135)</f>
        <v>#DIV/0!</v>
      </c>
      <c r="Q34" s="880" t="e">
        <f>AVERAGEIF(DATA_FORMATTING!G121:S121,1,DATA_FORMATTING!G135:S135)</f>
        <v>#DIV/0!</v>
      </c>
      <c r="R34" s="880" t="e">
        <f>AVERAGEIF(DATA_FORMATTING!H121:T121,1,DATA_FORMATTING!H135:T135)</f>
        <v>#DIV/0!</v>
      </c>
      <c r="S34" s="880" t="e">
        <f>AVERAGEIF(DATA_FORMATTING!I121:U121,1,DATA_FORMATTING!I135:U135)</f>
        <v>#DIV/0!</v>
      </c>
      <c r="T34" s="880" t="e">
        <f>AVERAGEIF(DATA_FORMATTING!J121:V121,1,DATA_FORMATTING!J135:V135)</f>
        <v>#DIV/0!</v>
      </c>
      <c r="U34" s="880" t="e">
        <f>AVERAGEIF(DATA_FORMATTING!K121:W121,1,DATA_FORMATTING!K135:W135)</f>
        <v>#DIV/0!</v>
      </c>
      <c r="V34" s="880" t="e">
        <f>AVERAGEIF(DATA_FORMATTING!L121:X121,1,DATA_FORMATTING!L135:X135)</f>
        <v>#DIV/0!</v>
      </c>
      <c r="W34" s="880" t="e">
        <f>AVERAGEIF(DATA_FORMATTING!M121:Y121,1,DATA_FORMATTING!M135:Y135)</f>
        <v>#DIV/0!</v>
      </c>
      <c r="X34" s="880" t="e">
        <f>AVERAGEIF(DATA_FORMATTING!N121:Z121,1,DATA_FORMATTING!N135:Z135)</f>
        <v>#DIV/0!</v>
      </c>
      <c r="Y34" s="880" t="e">
        <f>AVERAGEIF(DATA_FORMATTING!O121:AA121,1,DATA_FORMATTING!O135:AA135)</f>
        <v>#DIV/0!</v>
      </c>
      <c r="Z34" s="880" t="e">
        <f>AVERAGEIF(DATA_FORMATTING!P121:AB121,1,DATA_FORMATTING!P135:AB135)</f>
        <v>#DIV/0!</v>
      </c>
      <c r="AA34" s="880" t="e">
        <f>AVERAGEIF(DATA_FORMATTING!Q121:AC121,1,DATA_FORMATTING!Q135:AC135)</f>
        <v>#DIV/0!</v>
      </c>
      <c r="AB34" s="880" t="e">
        <f>AVERAGEIF(DATA_FORMATTING!R121:AD121,1,DATA_FORMATTING!R135:AD135)</f>
        <v>#DIV/0!</v>
      </c>
      <c r="AC34" s="880" t="e">
        <f>AVERAGEIF(DATA_FORMATTING!S121:AE121,1,DATA_FORMATTING!S135:AE135)</f>
        <v>#DIV/0!</v>
      </c>
      <c r="AD34" s="880" t="e">
        <f>AVERAGEIF(DATA_FORMATTING!T121:AF121,1,DATA_FORMATTING!T135:AF135)</f>
        <v>#DIV/0!</v>
      </c>
      <c r="AE34" s="880" t="e">
        <f>AVERAGEIF(DATA_FORMATTING!U121:AG121,1,DATA_FORMATTING!U135:AG135)</f>
        <v>#DIV/0!</v>
      </c>
      <c r="AF34" s="880" t="e">
        <f>AVERAGEIF(DATA_FORMATTING!V121:AH121,1,DATA_FORMATTING!V135:AH135)</f>
        <v>#DIV/0!</v>
      </c>
      <c r="AG34" s="880" t="e">
        <f>AVERAGEIF(DATA_FORMATTING!W121:AI121,1,DATA_FORMATTING!W135:AI135)</f>
        <v>#DIV/0!</v>
      </c>
      <c r="AH34" s="880" t="e">
        <f>AVERAGEIF(DATA_FORMATTING!X121:AJ121,1,DATA_FORMATTING!X135:AJ135)</f>
        <v>#DIV/0!</v>
      </c>
      <c r="AI34" s="880" t="e">
        <f>AVERAGEIF(DATA_FORMATTING!Y121:AK121,1,DATA_FORMATTING!Y135:AK135)</f>
        <v>#DIV/0!</v>
      </c>
      <c r="AJ34" s="880" t="e">
        <f>AVERAGEIF(DATA_FORMATTING!Z121:AL121,1,DATA_FORMATTING!Z135:AL135)</f>
        <v>#DIV/0!</v>
      </c>
      <c r="AK34" s="880" t="e">
        <f>AVERAGEIF(DATA_FORMATTING!AA121:AM121,1,DATA_FORMATTING!AA135:AM135)</f>
        <v>#DIV/0!</v>
      </c>
      <c r="AL34" s="880" t="e">
        <f>AVERAGEIF(DATA_FORMATTING!AB121:AN121,1,DATA_FORMATTING!AB135:AN135)</f>
        <v>#DIV/0!</v>
      </c>
    </row>
    <row r="35" spans="1:38">
      <c r="A35" s="894">
        <v>294</v>
      </c>
      <c r="B35" s="895" t="s">
        <v>572</v>
      </c>
      <c r="C35" s="880" t="e">
        <f>DATA_FORMATTING!AY208</f>
        <v>#NAME?</v>
      </c>
      <c r="D35" s="880" t="e">
        <f>DATA_FORMATTING!AZ208</f>
        <v>#NAME?</v>
      </c>
      <c r="E35" s="880" t="e">
        <f>DATA_FORMATTING!BA208</f>
        <v>#NAME?</v>
      </c>
      <c r="F35" s="880" t="e">
        <f>DATA_FORMATTING!BB208</f>
        <v>#NAME?</v>
      </c>
      <c r="G35" s="880" t="e">
        <f>DATA_FORMATTING!BC208</f>
        <v>#NAME?</v>
      </c>
      <c r="H35" s="880" t="e">
        <f>DATA_FORMATTING!BD208</f>
        <v>#NAME?</v>
      </c>
      <c r="I35" s="880" t="e">
        <f>DATA_FORMATTING!BE208</f>
        <v>#NAME?</v>
      </c>
      <c r="J35" s="880" t="e">
        <f>DATA_FORMATTING!BF208</f>
        <v>#NAME?</v>
      </c>
      <c r="K35" s="880" t="e">
        <f>DATA_FORMATTING!BG208</f>
        <v>#NAME?</v>
      </c>
      <c r="L35" s="880" t="e">
        <f>DATA_FORMATTING!BH208</f>
        <v>#NAME?</v>
      </c>
      <c r="M35" s="880" t="e">
        <f>DATA_FORMATTING!BI208</f>
        <v>#NAME?</v>
      </c>
      <c r="N35" s="880" t="e">
        <f>DATA_FORMATTING!BJ208</f>
        <v>#NAME?</v>
      </c>
      <c r="O35" s="880" t="e">
        <f>DATA_FORMATTING!BK208</f>
        <v>#NAME?</v>
      </c>
      <c r="P35" s="880" t="e">
        <f>DATA_FORMATTING!BL208</f>
        <v>#NAME?</v>
      </c>
      <c r="Q35" s="880" t="e">
        <f>DATA_FORMATTING!BM208</f>
        <v>#NAME?</v>
      </c>
      <c r="R35" s="880" t="e">
        <f>DATA_FORMATTING!BN208</f>
        <v>#NAME?</v>
      </c>
      <c r="S35" s="880" t="e">
        <f>DATA_FORMATTING!BO208</f>
        <v>#NAME?</v>
      </c>
      <c r="T35" s="880" t="e">
        <f>DATA_FORMATTING!BP208</f>
        <v>#NAME?</v>
      </c>
      <c r="U35" s="880" t="e">
        <f>DATA_FORMATTING!BQ208</f>
        <v>#NAME?</v>
      </c>
      <c r="V35" s="880" t="e">
        <f>DATA_FORMATTING!BR208</f>
        <v>#NAME?</v>
      </c>
      <c r="W35" s="880" t="e">
        <f>DATA_FORMATTING!BS208</f>
        <v>#NAME?</v>
      </c>
      <c r="X35" s="880" t="e">
        <f>DATA_FORMATTING!BT208</f>
        <v>#NAME?</v>
      </c>
      <c r="Y35" s="880" t="e">
        <f>DATA_FORMATTING!BU208</f>
        <v>#NAME?</v>
      </c>
      <c r="Z35" s="880" t="e">
        <f>DATA_FORMATTING!BV208</f>
        <v>#NAME?</v>
      </c>
      <c r="AA35" s="880" t="e">
        <f>DATA_FORMATTING!BW208</f>
        <v>#NAME?</v>
      </c>
      <c r="AB35" s="880" t="e">
        <f>DATA_FORMATTING!BX208</f>
        <v>#NAME?</v>
      </c>
      <c r="AC35" s="880" t="e">
        <f>DATA_FORMATTING!BY208</f>
        <v>#NAME?</v>
      </c>
      <c r="AD35" s="880" t="e">
        <f>DATA_FORMATTING!BZ208</f>
        <v>#NAME?</v>
      </c>
      <c r="AE35" s="880" t="e">
        <f>DATA_FORMATTING!CA208</f>
        <v>#NAME?</v>
      </c>
      <c r="AF35" s="880" t="e">
        <f>DATA_FORMATTING!CB208</f>
        <v>#NAME?</v>
      </c>
      <c r="AG35" s="880" t="e">
        <f>DATA_FORMATTING!CC208</f>
        <v>#NAME?</v>
      </c>
      <c r="AH35" s="880" t="e">
        <f>DATA_FORMATTING!CD208</f>
        <v>#NAME?</v>
      </c>
      <c r="AI35" s="880" t="e">
        <f>DATA_FORMATTING!CE208</f>
        <v>#NAME?</v>
      </c>
      <c r="AJ35" s="880" t="e">
        <f>DATA_FORMATTING!CF208</f>
        <v>#NAME?</v>
      </c>
      <c r="AK35" s="880" t="e">
        <f>DATA_FORMATTING!CG208</f>
        <v>#NAME?</v>
      </c>
      <c r="AL35" s="880" t="e">
        <f>DATA_FORMATTING!CH208</f>
        <v>#NAME?</v>
      </c>
    </row>
    <row r="36" spans="1:38">
      <c r="A36" s="894">
        <v>290</v>
      </c>
      <c r="B36" s="895" t="s">
        <v>573</v>
      </c>
      <c r="C36" s="1075"/>
      <c r="D36" s="880"/>
      <c r="E36" s="880"/>
      <c r="F36" s="880"/>
      <c r="G36" s="880"/>
      <c r="H36" s="880"/>
      <c r="I36" s="880"/>
      <c r="J36" s="880" t="e">
        <f ca="1">AVERAGEIF(INDIRECT(CELL("address",OFFSET(J10,0,IF(MONTH(J5)-MONTH(J3)+1&gt;-1,-(MONTH(J5)-MONTH(J3)+1),-(12+(MONTH(J5)-MONTH(J3)+1)))))):J10,"&lt;&gt;0",INDIRECT(CELL("address",OFFSET(J10,0,IF(MONTH(J5)-MONTH(J3)+1&gt;-1,-(MONTH(J5)-MONTH(J3)+1),-(12+(MONTH(J5)-MONTH(J3)+1)))))):J10)</f>
        <v>#VALUE!</v>
      </c>
      <c r="K36" s="880" t="e">
        <f ca="1">AVERAGEIF(INDIRECT(CELL("address",OFFSET(K10,0,IF(MONTH(K5)-MONTH(K3)+1&gt;-1,-(MONTH(K5)-MONTH(K3)+1),-(12+(MONTH(K5)-MONTH(K3)+1)))))):K10,"&lt;&gt;0",INDIRECT(CELL("address",OFFSET(K10,0,IF(MONTH(K5)-MONTH(K3)+1&gt;-1,-(MONTH(K5)-MONTH(K3)+1),-(12+(MONTH(K5)-MONTH(K3)+1)))))):K10)</f>
        <v>#VALUE!</v>
      </c>
      <c r="L36" s="880" t="e">
        <f ca="1">AVERAGEIF(INDIRECT(CELL("address",OFFSET(L10,0,IF(MONTH(L5)-MONTH(L3)+1&gt;-1,-(MONTH(L5)-MONTH(L3)+1),-(12+(MONTH(L5)-MONTH(L3)+1)))))):L10,"&lt;&gt;0",INDIRECT(CELL("address",OFFSET(L10,0,IF(MONTH(L5)-MONTH(L3)+1&gt;-1,-(MONTH(L5)-MONTH(L3)+1),-(12+(MONTH(L5)-MONTH(L3)+1)))))):L10)</f>
        <v>#VALUE!</v>
      </c>
      <c r="M36" s="880" t="e">
        <f ca="1">AVERAGEIF(INDIRECT(CELL("address",OFFSET(M10,0,IF(MONTH(M5)-MONTH(M3)+1&gt;-1,-(MONTH(M5)-MONTH(M3)+1),-(12+(MONTH(M5)-MONTH(M3)+1)))))):M10,"&lt;&gt;0",INDIRECT(CELL("address",OFFSET(M10,0,IF(MONTH(M5)-MONTH(M3)+1&gt;-1,-(MONTH(M5)-MONTH(M3)+1),-(12+(MONTH(M5)-MONTH(M3)+1)))))):M10)</f>
        <v>#VALUE!</v>
      </c>
      <c r="N36" s="880" t="e">
        <f ca="1">AVERAGEIF(INDIRECT(CELL("address",OFFSET(N10,0,IF(MONTH(N5)-MONTH(N3)+1&gt;-1,-(MONTH(N5)-MONTH(N3)+1),-(12+(MONTH(N5)-MONTH(N3)+1)))))):N10,"&lt;&gt;0",INDIRECT(CELL("address",OFFSET(N10,0,IF(MONTH(N5)-MONTH(N3)+1&gt;-1,-(MONTH(N5)-MONTH(N3)+1),-(12+(MONTH(N5)-MONTH(N3)+1)))))):N10)</f>
        <v>#VALUE!</v>
      </c>
      <c r="O36" s="880" t="e">
        <f ca="1">AVERAGEIF(INDIRECT(CELL("address",OFFSET(O10,0,IF(MONTH(O5)-MONTH(O3)+1&gt;-1,-(MONTH(O5)-MONTH(O3)+1),-(12+(MONTH(O5)-MONTH(O3)+1)))))):O10,"&lt;&gt;0",INDIRECT(CELL("address",OFFSET(O10,0,IF(MONTH(O5)-MONTH(O3)+1&gt;-1,-(MONTH(O5)-MONTH(O3)+1),-(12+(MONTH(O5)-MONTH(O3)+1)))))):O10)</f>
        <v>#VALUE!</v>
      </c>
      <c r="P36" s="880" t="e">
        <f ca="1">AVERAGEIF(INDIRECT(CELL("address",OFFSET(P10,0,IF(MONTH(P5)-MONTH(P3)+1&gt;-1,-(MONTH(P5)-MONTH(P3)+1),-(12+(MONTH(P5)-MONTH(P3)+1)))))):P10,"&lt;&gt;0",INDIRECT(CELL("address",OFFSET(P10,0,IF(MONTH(P5)-MONTH(P3)+1&gt;-1,-(MONTH(P5)-MONTH(P3)+1),-(12+(MONTH(P5)-MONTH(P3)+1)))))):P10)</f>
        <v>#VALUE!</v>
      </c>
      <c r="Q36" s="880" t="e">
        <f ca="1">AVERAGEIF(INDIRECT(CELL("address",OFFSET(Q10,0,IF(MONTH(Q5)-MONTH(Q3)+1&gt;-1,-(MONTH(Q5)-MONTH(Q3)+1),-(12+(MONTH(Q5)-MONTH(Q3)+1)))))):Q10,"&lt;&gt;0",INDIRECT(CELL("address",OFFSET(Q10,0,IF(MONTH(Q5)-MONTH(Q3)+1&gt;-1,-(MONTH(Q5)-MONTH(Q3)+1),-(12+(MONTH(Q5)-MONTH(Q3)+1)))))):Q10)</f>
        <v>#VALUE!</v>
      </c>
      <c r="R36" s="880" t="e">
        <f ca="1">AVERAGEIF(INDIRECT(CELL("address",OFFSET(R10,0,IF(MONTH(R5)-MONTH(R3)+1&gt;-1,-(MONTH(R5)-MONTH(R3)+1),-(12+(MONTH(R5)-MONTH(R3)+1)))))):R10,"&lt;&gt;0",INDIRECT(CELL("address",OFFSET(R10,0,IF(MONTH(R5)-MONTH(R3)+1&gt;-1,-(MONTH(R5)-MONTH(R3)+1),-(12+(MONTH(R5)-MONTH(R3)+1)))))):R10)</f>
        <v>#VALUE!</v>
      </c>
      <c r="S36" s="880" t="e">
        <f ca="1">AVERAGEIF(INDIRECT(CELL("address",OFFSET(S10,0,IF(MONTH(S5)-MONTH(S3)+1&gt;-1,-(MONTH(S5)-MONTH(S3)+1),-(12+(MONTH(S5)-MONTH(S3)+1)))))):S10,"&lt;&gt;0",INDIRECT(CELL("address",OFFSET(S10,0,IF(MONTH(S5)-MONTH(S3)+1&gt;-1,-(MONTH(S5)-MONTH(S3)+1),-(12+(MONTH(S5)-MONTH(S3)+1)))))):S10)</f>
        <v>#VALUE!</v>
      </c>
      <c r="T36" s="880" t="e">
        <f ca="1">AVERAGEIF(INDIRECT(CELL("address",OFFSET(T10,0,IF(MONTH(T5)-MONTH(T3)+1&gt;-1,-(MONTH(T5)-MONTH(T3)+1),-(12+(MONTH(T5)-MONTH(T3)+1)))))):T10,"&lt;&gt;0",INDIRECT(CELL("address",OFFSET(T10,0,IF(MONTH(T5)-MONTH(T3)+1&gt;-1,-(MONTH(T5)-MONTH(T3)+1),-(12+(MONTH(T5)-MONTH(T3)+1)))))):T10)</f>
        <v>#VALUE!</v>
      </c>
      <c r="U36" s="880" t="e">
        <f ca="1">AVERAGEIF(INDIRECT(CELL("address",OFFSET(U10,0,IF(MONTH(U5)-MONTH(U3)+1&gt;-1,-(MONTH(U5)-MONTH(U3)+1),-(12+(MONTH(U5)-MONTH(U3)+1)))))):U10,"&lt;&gt;0",INDIRECT(CELL("address",OFFSET(U10,0,IF(MONTH(U5)-MONTH(U3)+1&gt;-1,-(MONTH(U5)-MONTH(U3)+1),-(12+(MONTH(U5)-MONTH(U3)+1)))))):U10)</f>
        <v>#VALUE!</v>
      </c>
      <c r="V36" s="880" t="e">
        <f ca="1">AVERAGEIF(INDIRECT(CELL("address",OFFSET(V10,0,IF(MONTH(V5)-MONTH(V3)+1&gt;-1,-(MONTH(V5)-MONTH(V3)+1),-(12+(MONTH(V5)-MONTH(V3)+1)))))):V10,"&lt;&gt;0",INDIRECT(CELL("address",OFFSET(V10,0,IF(MONTH(V5)-MONTH(V3)+1&gt;-1,-(MONTH(V5)-MONTH(V3)+1),-(12+(MONTH(V5)-MONTH(V3)+1)))))):V10)</f>
        <v>#VALUE!</v>
      </c>
      <c r="W36" s="880" t="e">
        <f ca="1">AVERAGEIF(INDIRECT(CELL("address",OFFSET(W10,0,IF(MONTH(W5)-MONTH(W3)+1&gt;-1,-(MONTH(W5)-MONTH(W3)+1),-(12+(MONTH(W5)-MONTH(W3)+1)))))):W10,"&lt;&gt;0",INDIRECT(CELL("address",OFFSET(W10,0,IF(MONTH(W5)-MONTH(W3)+1&gt;-1,-(MONTH(W5)-MONTH(W3)+1),-(12+(MONTH(W5)-MONTH(W3)+1)))))):W10)</f>
        <v>#VALUE!</v>
      </c>
      <c r="X36" s="880" t="e">
        <f ca="1">AVERAGEIF(INDIRECT(CELL("address",OFFSET(X10,0,IF(MONTH(X5)-MONTH(X3)+1&gt;-1,-(MONTH(X5)-MONTH(X3)+1),-(12+(MONTH(X5)-MONTH(X3)+1)))))):X10,"&lt;&gt;0",INDIRECT(CELL("address",OFFSET(X10,0,IF(MONTH(X5)-MONTH(X3)+1&gt;-1,-(MONTH(X5)-MONTH(X3)+1),-(12+(MONTH(X5)-MONTH(X3)+1)))))):X10)</f>
        <v>#VALUE!</v>
      </c>
      <c r="Y36" s="880" t="e">
        <f ca="1">AVERAGEIF(INDIRECT(CELL("address",OFFSET(Y10,0,IF(MONTH(Y5)-MONTH(Y3)+1&gt;-1,-(MONTH(Y5)-MONTH(Y3)+1),-(12+(MONTH(Y5)-MONTH(Y3)+1)))))):Y10,"&lt;&gt;0",INDIRECT(CELL("address",OFFSET(Y10,0,IF(MONTH(Y5)-MONTH(Y3)+1&gt;-1,-(MONTH(Y5)-MONTH(Y3)+1),-(12+(MONTH(Y5)-MONTH(Y3)+1)))))):Y10)</f>
        <v>#VALUE!</v>
      </c>
      <c r="Z36" s="880" t="e">
        <f ca="1">AVERAGEIF(INDIRECT(CELL("address",OFFSET(Z10,0,IF(MONTH(Z5)-MONTH(Z3)+1&gt;-1,-(MONTH(Z5)-MONTH(Z3)+1),-(12+(MONTH(Z5)-MONTH(Z3)+1)))))):Z10,"&lt;&gt;0",INDIRECT(CELL("address",OFFSET(Z10,0,IF(MONTH(Z5)-MONTH(Z3)+1&gt;-1,-(MONTH(Z5)-MONTH(Z3)+1),-(12+(MONTH(Z5)-MONTH(Z3)+1)))))):Z10)</f>
        <v>#VALUE!</v>
      </c>
      <c r="AA36" s="880" t="e">
        <f ca="1">AVERAGEIF(INDIRECT(CELL("address",OFFSET(AA10,0,IF(MONTH(AA5)-MONTH(AA3)+1&gt;-1,-(MONTH(AA5)-MONTH(AA3)+1),-(12+(MONTH(AA5)-MONTH(AA3)+1)))))):AA10,"&lt;&gt;0",INDIRECT(CELL("address",OFFSET(AA10,0,IF(MONTH(AA5)-MONTH(AA3)+1&gt;-1,-(MONTH(AA5)-MONTH(AA3)+1),-(12+(MONTH(AA5)-MONTH(AA3)+1)))))):AA10)</f>
        <v>#VALUE!</v>
      </c>
      <c r="AB36" s="880" t="e">
        <f ca="1">AVERAGEIF(INDIRECT(CELL("address",OFFSET(AB10,0,IF(MONTH(AB5)-MONTH(AB3)+1&gt;-1,-(MONTH(AB5)-MONTH(AB3)+1),-(12+(MONTH(AB5)-MONTH(AB3)+1)))))):AB10,"&lt;&gt;0",INDIRECT(CELL("address",OFFSET(AB10,0,IF(MONTH(AB5)-MONTH(AB3)+1&gt;-1,-(MONTH(AB5)-MONTH(AB3)+1),-(12+(MONTH(AB5)-MONTH(AB3)+1)))))):AB10)</f>
        <v>#VALUE!</v>
      </c>
      <c r="AC36" s="880" t="e">
        <f ca="1">AVERAGEIF(INDIRECT(CELL("address",OFFSET(AC10,0,IF(MONTH(AC5)-MONTH(AC3)+1&gt;-1,-(MONTH(AC5)-MONTH(AC3)+1),-(12+(MONTH(AC5)-MONTH(AC3)+1)))))):AC10,"&lt;&gt;0",INDIRECT(CELL("address",OFFSET(AC10,0,IF(MONTH(AC5)-MONTH(AC3)+1&gt;-1,-(MONTH(AC5)-MONTH(AC3)+1),-(12+(MONTH(AC5)-MONTH(AC3)+1)))))):AC10)</f>
        <v>#VALUE!</v>
      </c>
      <c r="AD36" s="880" t="e">
        <f ca="1">AVERAGEIF(INDIRECT(CELL("address",OFFSET(AD10,0,IF(MONTH(AD5)-MONTH(AD3)+1&gt;-1,-(MONTH(AD5)-MONTH(AD3)+1),-(12+(MONTH(AD5)-MONTH(AD3)+1)))))):AD10,"&lt;&gt;0",INDIRECT(CELL("address",OFFSET(AD10,0,IF(MONTH(AD5)-MONTH(AD3)+1&gt;-1,-(MONTH(AD5)-MONTH(AD3)+1),-(12+(MONTH(AD5)-MONTH(AD3)+1)))))):AD10)</f>
        <v>#VALUE!</v>
      </c>
      <c r="AE36" s="880" t="e">
        <f ca="1">AVERAGEIF(INDIRECT(CELL("address",OFFSET(AE10,0,IF(MONTH(AE5)-MONTH(AE3)+1&gt;-1,-(MONTH(AE5)-MONTH(AE3)+1),-(12+(MONTH(AE5)-MONTH(AE3)+1)))))):AE10,"&lt;&gt;0",INDIRECT(CELL("address",OFFSET(AE10,0,IF(MONTH(AE5)-MONTH(AE3)+1&gt;-1,-(MONTH(AE5)-MONTH(AE3)+1),-(12+(MONTH(AE5)-MONTH(AE3)+1)))))):AE10)</f>
        <v>#VALUE!</v>
      </c>
      <c r="AF36" s="880" t="e">
        <f ca="1">AVERAGEIF(INDIRECT(CELL("address",OFFSET(AF10,0,IF(MONTH(AF5)-MONTH(AF3)+1&gt;-1,-(MONTH(AF5)-MONTH(AF3)+1),-(12+(MONTH(AF5)-MONTH(AF3)+1)))))):AF10,"&lt;&gt;0",INDIRECT(CELL("address",OFFSET(AF10,0,IF(MONTH(AF5)-MONTH(AF3)+1&gt;-1,-(MONTH(AF5)-MONTH(AF3)+1),-(12+(MONTH(AF5)-MONTH(AF3)+1)))))):AF10)</f>
        <v>#VALUE!</v>
      </c>
      <c r="AG36" s="880" t="e">
        <f ca="1">AVERAGEIF(INDIRECT(CELL("address",OFFSET(AG10,0,IF(MONTH(AG5)-MONTH(AG3)+1&gt;-1,-(MONTH(AG5)-MONTH(AG3)+1),-(12+(MONTH(AG5)-MONTH(AG3)+1)))))):AG10,"&lt;&gt;0",INDIRECT(CELL("address",OFFSET(AG10,0,IF(MONTH(AG5)-MONTH(AG3)+1&gt;-1,-(MONTH(AG5)-MONTH(AG3)+1),-(12+(MONTH(AG5)-MONTH(AG3)+1)))))):AG10)</f>
        <v>#VALUE!</v>
      </c>
      <c r="AH36" s="880" t="e">
        <f ca="1">AVERAGEIF(INDIRECT(CELL("address",OFFSET(AH10,0,IF(MONTH(AH5)-MONTH(AH3)+1&gt;-1,-(MONTH(AH5)-MONTH(AH3)+1),-(12+(MONTH(AH5)-MONTH(AH3)+1)))))):AH10,"&lt;&gt;0",INDIRECT(CELL("address",OFFSET(AH10,0,IF(MONTH(AH5)-MONTH(AH3)+1&gt;-1,-(MONTH(AH5)-MONTH(AH3)+1),-(12+(MONTH(AH5)-MONTH(AH3)+1)))))):AH10)</f>
        <v>#VALUE!</v>
      </c>
      <c r="AI36" s="880" t="e">
        <f ca="1">AVERAGEIF(INDIRECT(CELL("address",OFFSET(AI10,0,IF(MONTH(AI5)-MONTH(AI3)+1&gt;-1,-(MONTH(AI5)-MONTH(AI3)+1),-(12+(MONTH(AI5)-MONTH(AI3)+1)))))):AI10,"&lt;&gt;0",INDIRECT(CELL("address",OFFSET(AI10,0,IF(MONTH(AI5)-MONTH(AI3)+1&gt;-1,-(MONTH(AI5)-MONTH(AI3)+1),-(12+(MONTH(AI5)-MONTH(AI3)+1)))))):AI10)</f>
        <v>#VALUE!</v>
      </c>
      <c r="AJ36" s="880" t="e">
        <f ca="1">AVERAGEIF(INDIRECT(CELL("address",OFFSET(AJ10,0,IF(MONTH(AJ5)-MONTH(AJ3)+1&gt;-1,-(MONTH(AJ5)-MONTH(AJ3)+1),-(12+(MONTH(AJ5)-MONTH(AJ3)+1)))))):AJ10,"&lt;&gt;0",INDIRECT(CELL("address",OFFSET(AJ10,0,IF(MONTH(AJ5)-MONTH(AJ3)+1&gt;-1,-(MONTH(AJ5)-MONTH(AJ3)+1),-(12+(MONTH(AJ5)-MONTH(AJ3)+1)))))):AJ10)</f>
        <v>#VALUE!</v>
      </c>
      <c r="AK36" s="880" t="e">
        <f ca="1">AVERAGEIF(INDIRECT(CELL("address",OFFSET(AK10,0,IF(MONTH(AK5)-MONTH(AK3)+1&gt;-1,-(MONTH(AK5)-MONTH(AK3)+1),-(12+(MONTH(AK5)-MONTH(AK3)+1)))))):AK10,"&lt;&gt;0",INDIRECT(CELL("address",OFFSET(AK10,0,IF(MONTH(AK5)-MONTH(AK3)+1&gt;-1,-(MONTH(AK5)-MONTH(AK3)+1),-(12+(MONTH(AK5)-MONTH(AK3)+1)))))):AK10)</f>
        <v>#VALUE!</v>
      </c>
      <c r="AL36" s="880" t="e">
        <f ca="1">AVERAGEIF(INDIRECT(CELL("address",OFFSET(AL10,0,IF(MONTH(AL5)-MONTH(AL3)+1&gt;-1,-(MONTH(AL5)-MONTH(AL3)+1),-(12+(MONTH(AL5)-MONTH(AL3)+1)))))):AL10,"&lt;&gt;0",INDIRECT(CELL("address",OFFSET(AL10,0,IF(MONTH(AL5)-MONTH(AL3)+1&gt;-1,-(MONTH(AL5)-MONTH(AL3)+1),-(12+(MONTH(AL5)-MONTH(AL3)+1)))))):AL10)</f>
        <v>#NAME?</v>
      </c>
    </row>
    <row r="37" spans="1:38">
      <c r="A37" s="894">
        <v>291</v>
      </c>
      <c r="B37" s="895" t="s">
        <v>574</v>
      </c>
      <c r="C37" s="1075"/>
      <c r="D37" s="880"/>
      <c r="E37" s="880"/>
      <c r="F37" s="880"/>
      <c r="G37" s="880"/>
      <c r="H37" s="880"/>
      <c r="I37" s="880"/>
      <c r="J37" s="880" t="e">
        <f ca="1">AVERAGEIF(INDIRECT(CELL("address",OFFSET(J11,0,IF(MONTH(J5)-MONTH(J3)+1&gt;-1,-(MONTH(J5)-MONTH(J3)+1),-(12+(MONTH(J5)-MONTH(J3)+1)))))):J11,"&lt;&gt;0",INDIRECT(CELL("address",OFFSET(J11,0,IF(MONTH(J5)-MONTH(J3)+1&gt;-1,-(MONTH(J5)-MONTH(J3)+1),-(12+(MONTH(J5)-MONTH(J3)+1)))))):J11)</f>
        <v>#VALUE!</v>
      </c>
      <c r="K37" s="880" t="e">
        <f ca="1">AVERAGEIF(INDIRECT(CELL("address",OFFSET(K11,0,IF(MONTH(K5)-MONTH(K3)+1&gt;-1,-(MONTH(K5)-MONTH(K3)+1),-(12+(MONTH(K5)-MONTH(K3)+1)))))):K11,"&lt;&gt;0",INDIRECT(CELL("address",OFFSET(K11,0,IF(MONTH(K5)-MONTH(K3)+1&gt;-1,-(MONTH(K5)-MONTH(K3)+1),-(12+(MONTH(K5)-MONTH(K3)+1)))))):K11)</f>
        <v>#VALUE!</v>
      </c>
      <c r="L37" s="880" t="e">
        <f ca="1">AVERAGEIF(INDIRECT(CELL("address",OFFSET(L11,0,IF(MONTH(L5)-MONTH(L3)+1&gt;-1,-(MONTH(L5)-MONTH(L3)+1),-(12+(MONTH(L5)-MONTH(L3)+1)))))):L11,"&lt;&gt;0",INDIRECT(CELL("address",OFFSET(L11,0,IF(MONTH(L5)-MONTH(L3)+1&gt;-1,-(MONTH(L5)-MONTH(L3)+1),-(12+(MONTH(L5)-MONTH(L3)+1)))))):L11)</f>
        <v>#VALUE!</v>
      </c>
      <c r="M37" s="880" t="e">
        <f ca="1">AVERAGEIF(INDIRECT(CELL("address",OFFSET(M11,0,IF(MONTH(M5)-MONTH(M3)+1&gt;-1,-(MONTH(M5)-MONTH(M3)+1),-(12+(MONTH(M5)-MONTH(M3)+1)))))):M11,"&lt;&gt;0",INDIRECT(CELL("address",OFFSET(M11,0,IF(MONTH(M5)-MONTH(M3)+1&gt;-1,-(MONTH(M5)-MONTH(M3)+1),-(12+(MONTH(M5)-MONTH(M3)+1)))))):M11)</f>
        <v>#VALUE!</v>
      </c>
      <c r="N37" s="880" t="e">
        <f ca="1">AVERAGEIF(INDIRECT(CELL("address",OFFSET(N11,0,IF(MONTH(N5)-MONTH(N3)+1&gt;-1,-(MONTH(N5)-MONTH(N3)+1),-(12+(MONTH(N5)-MONTH(N3)+1)))))):N11,"&lt;&gt;0",INDIRECT(CELL("address",OFFSET(N11,0,IF(MONTH(N5)-MONTH(N3)+1&gt;-1,-(MONTH(N5)-MONTH(N3)+1),-(12+(MONTH(N5)-MONTH(N3)+1)))))):N11)</f>
        <v>#VALUE!</v>
      </c>
      <c r="O37" s="880" t="e">
        <f ca="1">AVERAGEIF(INDIRECT(CELL("address",OFFSET(O11,0,IF(MONTH(O5)-MONTH(O3)+1&gt;-1,-(MONTH(O5)-MONTH(O3)+1),-(12+(MONTH(O5)-MONTH(O3)+1)))))):O11,"&lt;&gt;0",INDIRECT(CELL("address",OFFSET(O11,0,IF(MONTH(O5)-MONTH(O3)+1&gt;-1,-(MONTH(O5)-MONTH(O3)+1),-(12+(MONTH(O5)-MONTH(O3)+1)))))):O11)</f>
        <v>#VALUE!</v>
      </c>
      <c r="P37" s="880" t="e">
        <f ca="1">AVERAGEIF(INDIRECT(CELL("address",OFFSET(P11,0,IF(MONTH(P5)-MONTH(P3)+1&gt;-1,-(MONTH(P5)-MONTH(P3)+1),-(12+(MONTH(P5)-MONTH(P3)+1)))))):P11,"&lt;&gt;0",INDIRECT(CELL("address",OFFSET(P11,0,IF(MONTH(P5)-MONTH(P3)+1&gt;-1,-(MONTH(P5)-MONTH(P3)+1),-(12+(MONTH(P5)-MONTH(P3)+1)))))):P11)</f>
        <v>#VALUE!</v>
      </c>
      <c r="Q37" s="880" t="e">
        <f ca="1">AVERAGEIF(INDIRECT(CELL("address",OFFSET(Q11,0,IF(MONTH(Q5)-MONTH(Q3)+1&gt;-1,-(MONTH(Q5)-MONTH(Q3)+1),-(12+(MONTH(Q5)-MONTH(Q3)+1)))))):Q11,"&lt;&gt;0",INDIRECT(CELL("address",OFFSET(Q11,0,IF(MONTH(Q5)-MONTH(Q3)+1&gt;-1,-(MONTH(Q5)-MONTH(Q3)+1),-(12+(MONTH(Q5)-MONTH(Q3)+1)))))):Q11)</f>
        <v>#VALUE!</v>
      </c>
      <c r="R37" s="880" t="e">
        <f ca="1">AVERAGEIF(INDIRECT(CELL("address",OFFSET(R11,0,IF(MONTH(R5)-MONTH(R3)+1&gt;-1,-(MONTH(R5)-MONTH(R3)+1),-(12+(MONTH(R5)-MONTH(R3)+1)))))):R11,"&lt;&gt;0",INDIRECT(CELL("address",OFFSET(R11,0,IF(MONTH(R5)-MONTH(R3)+1&gt;-1,-(MONTH(R5)-MONTH(R3)+1),-(12+(MONTH(R5)-MONTH(R3)+1)))))):R11)</f>
        <v>#VALUE!</v>
      </c>
      <c r="S37" s="880" t="e">
        <f ca="1">AVERAGEIF(INDIRECT(CELL("address",OFFSET(S11,0,IF(MONTH(S5)-MONTH(S3)+1&gt;-1,-(MONTH(S5)-MONTH(S3)+1),-(12+(MONTH(S5)-MONTH(S3)+1)))))):S11,"&lt;&gt;0",INDIRECT(CELL("address",OFFSET(S11,0,IF(MONTH(S5)-MONTH(S3)+1&gt;-1,-(MONTH(S5)-MONTH(S3)+1),-(12+(MONTH(S5)-MONTH(S3)+1)))))):S11)</f>
        <v>#VALUE!</v>
      </c>
      <c r="T37" s="880" t="e">
        <f ca="1">AVERAGEIF(INDIRECT(CELL("address",OFFSET(T11,0,IF(MONTH(T5)-MONTH(T3)+1&gt;-1,-(MONTH(T5)-MONTH(T3)+1),-(12+(MONTH(T5)-MONTH(T3)+1)))))):T11,"&lt;&gt;0",INDIRECT(CELL("address",OFFSET(T11,0,IF(MONTH(T5)-MONTH(T3)+1&gt;-1,-(MONTH(T5)-MONTH(T3)+1),-(12+(MONTH(T5)-MONTH(T3)+1)))))):T11)</f>
        <v>#VALUE!</v>
      </c>
      <c r="U37" s="880" t="e">
        <f ca="1">AVERAGEIF(INDIRECT(CELL("address",OFFSET(U11,0,IF(MONTH(U5)-MONTH(U3)+1&gt;-1,-(MONTH(U5)-MONTH(U3)+1),-(12+(MONTH(U5)-MONTH(U3)+1)))))):U11,"&lt;&gt;0",INDIRECT(CELL("address",OFFSET(U11,0,IF(MONTH(U5)-MONTH(U3)+1&gt;-1,-(MONTH(U5)-MONTH(U3)+1),-(12+(MONTH(U5)-MONTH(U3)+1)))))):U11)</f>
        <v>#VALUE!</v>
      </c>
      <c r="V37" s="880" t="e">
        <f ca="1">AVERAGEIF(INDIRECT(CELL("address",OFFSET(V11,0,IF(MONTH(V5)-MONTH(V3)+1&gt;-1,-(MONTH(V5)-MONTH(V3)+1),-(12+(MONTH(V5)-MONTH(V3)+1)))))):V11,"&lt;&gt;0",INDIRECT(CELL("address",OFFSET(V11,0,IF(MONTH(V5)-MONTH(V3)+1&gt;-1,-(MONTH(V5)-MONTH(V3)+1),-(12+(MONTH(V5)-MONTH(V3)+1)))))):V11)</f>
        <v>#VALUE!</v>
      </c>
      <c r="W37" s="880" t="e">
        <f ca="1">AVERAGEIF(INDIRECT(CELL("address",OFFSET(W11,0,IF(MONTH(W5)-MONTH(W3)+1&gt;-1,-(MONTH(W5)-MONTH(W3)+1),-(12+(MONTH(W5)-MONTH(W3)+1)))))):W11,"&lt;&gt;0",INDIRECT(CELL("address",OFFSET(W11,0,IF(MONTH(W5)-MONTH(W3)+1&gt;-1,-(MONTH(W5)-MONTH(W3)+1),-(12+(MONTH(W5)-MONTH(W3)+1)))))):W11)</f>
        <v>#VALUE!</v>
      </c>
      <c r="X37" s="880" t="e">
        <f ca="1">AVERAGEIF(INDIRECT(CELL("address",OFFSET(X11,0,IF(MONTH(X5)-MONTH(X3)+1&gt;-1,-(MONTH(X5)-MONTH(X3)+1),-(12+(MONTH(X5)-MONTH(X3)+1)))))):X11,"&lt;&gt;0",INDIRECT(CELL("address",OFFSET(X11,0,IF(MONTH(X5)-MONTH(X3)+1&gt;-1,-(MONTH(X5)-MONTH(X3)+1),-(12+(MONTH(X5)-MONTH(X3)+1)))))):X11)</f>
        <v>#VALUE!</v>
      </c>
      <c r="Y37" s="880" t="e">
        <f ca="1">AVERAGEIF(INDIRECT(CELL("address",OFFSET(Y11,0,IF(MONTH(Y5)-MONTH(Y3)+1&gt;-1,-(MONTH(Y5)-MONTH(Y3)+1),-(12+(MONTH(Y5)-MONTH(Y3)+1)))))):Y11,"&lt;&gt;0",INDIRECT(CELL("address",OFFSET(Y11,0,IF(MONTH(Y5)-MONTH(Y3)+1&gt;-1,-(MONTH(Y5)-MONTH(Y3)+1),-(12+(MONTH(Y5)-MONTH(Y3)+1)))))):Y11)</f>
        <v>#VALUE!</v>
      </c>
      <c r="Z37" s="880" t="e">
        <f ca="1">AVERAGEIF(INDIRECT(CELL("address",OFFSET(Z11,0,IF(MONTH(Z5)-MONTH(Z3)+1&gt;-1,-(MONTH(Z5)-MONTH(Z3)+1),-(12+(MONTH(Z5)-MONTH(Z3)+1)))))):Z11,"&lt;&gt;0",INDIRECT(CELL("address",OFFSET(Z11,0,IF(MONTH(Z5)-MONTH(Z3)+1&gt;-1,-(MONTH(Z5)-MONTH(Z3)+1),-(12+(MONTH(Z5)-MONTH(Z3)+1)))))):Z11)</f>
        <v>#VALUE!</v>
      </c>
      <c r="AA37" s="880" t="e">
        <f ca="1">AVERAGEIF(INDIRECT(CELL("address",OFFSET(AA11,0,IF(MONTH(AA5)-MONTH(AA3)+1&gt;-1,-(MONTH(AA5)-MONTH(AA3)+1),-(12+(MONTH(AA5)-MONTH(AA3)+1)))))):AA11,"&lt;&gt;0",INDIRECT(CELL("address",OFFSET(AA11,0,IF(MONTH(AA5)-MONTH(AA3)+1&gt;-1,-(MONTH(AA5)-MONTH(AA3)+1),-(12+(MONTH(AA5)-MONTH(AA3)+1)))))):AA11)</f>
        <v>#VALUE!</v>
      </c>
      <c r="AB37" s="880" t="e">
        <f ca="1">AVERAGEIF(INDIRECT(CELL("address",OFFSET(AB11,0,IF(MONTH(AB5)-MONTH(AB3)+1&gt;-1,-(MONTH(AB5)-MONTH(AB3)+1),-(12+(MONTH(AB5)-MONTH(AB3)+1)))))):AB11,"&lt;&gt;0",INDIRECT(CELL("address",OFFSET(AB11,0,IF(MONTH(AB5)-MONTH(AB3)+1&gt;-1,-(MONTH(AB5)-MONTH(AB3)+1),-(12+(MONTH(AB5)-MONTH(AB3)+1)))))):AB11)</f>
        <v>#VALUE!</v>
      </c>
      <c r="AC37" s="880" t="e">
        <f ca="1">AVERAGEIF(INDIRECT(CELL("address",OFFSET(AC11,0,IF(MONTH(AC5)-MONTH(AC3)+1&gt;-1,-(MONTH(AC5)-MONTH(AC3)+1),-(12+(MONTH(AC5)-MONTH(AC3)+1)))))):AC11,"&lt;&gt;0",INDIRECT(CELL("address",OFFSET(AC11,0,IF(MONTH(AC5)-MONTH(AC3)+1&gt;-1,-(MONTH(AC5)-MONTH(AC3)+1),-(12+(MONTH(AC5)-MONTH(AC3)+1)))))):AC11)</f>
        <v>#VALUE!</v>
      </c>
      <c r="AD37" s="880" t="e">
        <f ca="1">AVERAGEIF(INDIRECT(CELL("address",OFFSET(AD11,0,IF(MONTH(AD5)-MONTH(AD3)+1&gt;-1,-(MONTH(AD5)-MONTH(AD3)+1),-(12+(MONTH(AD5)-MONTH(AD3)+1)))))):AD11,"&lt;&gt;0",INDIRECT(CELL("address",OFFSET(AD11,0,IF(MONTH(AD5)-MONTH(AD3)+1&gt;-1,-(MONTH(AD5)-MONTH(AD3)+1),-(12+(MONTH(AD5)-MONTH(AD3)+1)))))):AD11)</f>
        <v>#VALUE!</v>
      </c>
      <c r="AE37" s="880" t="e">
        <f ca="1">AVERAGEIF(INDIRECT(CELL("address",OFFSET(AE11,0,IF(MONTH(AE5)-MONTH(AE3)+1&gt;-1,-(MONTH(AE5)-MONTH(AE3)+1),-(12+(MONTH(AE5)-MONTH(AE3)+1)))))):AE11,"&lt;&gt;0",INDIRECT(CELL("address",OFFSET(AE11,0,IF(MONTH(AE5)-MONTH(AE3)+1&gt;-1,-(MONTH(AE5)-MONTH(AE3)+1),-(12+(MONTH(AE5)-MONTH(AE3)+1)))))):AE11)</f>
        <v>#VALUE!</v>
      </c>
      <c r="AF37" s="880" t="e">
        <f ca="1">AVERAGEIF(INDIRECT(CELL("address",OFFSET(AF11,0,IF(MONTH(AF5)-MONTH(AF3)+1&gt;-1,-(MONTH(AF5)-MONTH(AF3)+1),-(12+(MONTH(AF5)-MONTH(AF3)+1)))))):AF11,"&lt;&gt;0",INDIRECT(CELL("address",OFFSET(AF11,0,IF(MONTH(AF5)-MONTH(AF3)+1&gt;-1,-(MONTH(AF5)-MONTH(AF3)+1),-(12+(MONTH(AF5)-MONTH(AF3)+1)))))):AF11)</f>
        <v>#VALUE!</v>
      </c>
      <c r="AG37" s="880" t="e">
        <f ca="1">AVERAGEIF(INDIRECT(CELL("address",OFFSET(AG11,0,IF(MONTH(AG5)-MONTH(AG3)+1&gt;-1,-(MONTH(AG5)-MONTH(AG3)+1),-(12+(MONTH(AG5)-MONTH(AG3)+1)))))):AG11,"&lt;&gt;0",INDIRECT(CELL("address",OFFSET(AG11,0,IF(MONTH(AG5)-MONTH(AG3)+1&gt;-1,-(MONTH(AG5)-MONTH(AG3)+1),-(12+(MONTH(AG5)-MONTH(AG3)+1)))))):AG11)</f>
        <v>#VALUE!</v>
      </c>
      <c r="AH37" s="880" t="e">
        <f ca="1">AVERAGEIF(INDIRECT(CELL("address",OFFSET(AH11,0,IF(MONTH(AH5)-MONTH(AH3)+1&gt;-1,-(MONTH(AH5)-MONTH(AH3)+1),-(12+(MONTH(AH5)-MONTH(AH3)+1)))))):AH11,"&lt;&gt;0",INDIRECT(CELL("address",OFFSET(AH11,0,IF(MONTH(AH5)-MONTH(AH3)+1&gt;-1,-(MONTH(AH5)-MONTH(AH3)+1),-(12+(MONTH(AH5)-MONTH(AH3)+1)))))):AH11)</f>
        <v>#VALUE!</v>
      </c>
      <c r="AI37" s="880" t="e">
        <f ca="1">AVERAGEIF(INDIRECT(CELL("address",OFFSET(AI11,0,IF(MONTH(AI5)-MONTH(AI3)+1&gt;-1,-(MONTH(AI5)-MONTH(AI3)+1),-(12+(MONTH(AI5)-MONTH(AI3)+1)))))):AI11,"&lt;&gt;0",INDIRECT(CELL("address",OFFSET(AI11,0,IF(MONTH(AI5)-MONTH(AI3)+1&gt;-1,-(MONTH(AI5)-MONTH(AI3)+1),-(12+(MONTH(AI5)-MONTH(AI3)+1)))))):AI11)</f>
        <v>#VALUE!</v>
      </c>
      <c r="AJ37" s="880" t="e">
        <f ca="1">AVERAGEIF(INDIRECT(CELL("address",OFFSET(AJ11,0,IF(MONTH(AJ5)-MONTH(AJ3)+1&gt;-1,-(MONTH(AJ5)-MONTH(AJ3)+1),-(12+(MONTH(AJ5)-MONTH(AJ3)+1)))))):AJ11,"&lt;&gt;0",INDIRECT(CELL("address",OFFSET(AJ11,0,IF(MONTH(AJ5)-MONTH(AJ3)+1&gt;-1,-(MONTH(AJ5)-MONTH(AJ3)+1),-(12+(MONTH(AJ5)-MONTH(AJ3)+1)))))):AJ11)</f>
        <v>#VALUE!</v>
      </c>
      <c r="AK37" s="880" t="e">
        <f ca="1">AVERAGEIF(INDIRECT(CELL("address",OFFSET(AK11,0,IF(MONTH(AK5)-MONTH(AK3)+1&gt;-1,-(MONTH(AK5)-MONTH(AK3)+1),-(12+(MONTH(AK5)-MONTH(AK3)+1)))))):AK11,"&lt;&gt;0",INDIRECT(CELL("address",OFFSET(AK11,0,IF(MONTH(AK5)-MONTH(AK3)+1&gt;-1,-(MONTH(AK5)-MONTH(AK3)+1),-(12+(MONTH(AK5)-MONTH(AK3)+1)))))):AK11)</f>
        <v>#VALUE!</v>
      </c>
      <c r="AL37" s="880" t="e">
        <f ca="1">AVERAGEIF(INDIRECT(CELL("address",OFFSET(AL11,0,IF(MONTH(AL5)-MONTH(AL3)+1&gt;-1,-(MONTH(AL5)-MONTH(AL3)+1),-(12+(MONTH(AL5)-MONTH(AL3)+1)))))):AL11,"&lt;&gt;0",INDIRECT(CELL("address",OFFSET(AL11,0,IF(MONTH(AL5)-MONTH(AL3)+1&gt;-1,-(MONTH(AL5)-MONTH(AL3)+1),-(12+(MONTH(AL5)-MONTH(AL3)+1)))))):AL11)</f>
        <v>#NAME?</v>
      </c>
    </row>
    <row r="38" spans="1:38">
      <c r="A38" s="894">
        <v>292</v>
      </c>
      <c r="B38" s="895" t="s">
        <v>575</v>
      </c>
      <c r="C38" s="1075"/>
      <c r="D38" s="880"/>
      <c r="E38" s="880"/>
      <c r="F38" s="880"/>
      <c r="G38" s="880"/>
      <c r="H38" s="880"/>
      <c r="I38" s="880"/>
      <c r="J38" s="880" t="e">
        <f ca="1">AVERAGEIF(INDIRECT(CELL("address",OFFSET(J14,0,IF(MONTH(J5)-MONTH(J3)+1&gt;-1,-(MONTH(J5)-MONTH(J3)+1),-(12+(MONTH(J5)-MONTH(J3)+1)))))):J14,"&lt;&gt;0",INDIRECT(CELL("address",OFFSET(J14,0,IF(MONTH(J5)-MONTH(J3)+1&gt;-1,-(MONTH(J5)-MONTH(J3)+1),-(12+(MONTH(J5)-MONTH(J3)+1)))))):J14)</f>
        <v>#VALUE!</v>
      </c>
      <c r="K38" s="880" t="e">
        <f ca="1">AVERAGEIF(INDIRECT(CELL("address",OFFSET(K14,0,IF(MONTH(K5)-MONTH(K3)+1&gt;-1,-(MONTH(K5)-MONTH(K3)+1),-(12+(MONTH(K5)-MONTH(K3)+1)))))):K14,"&lt;&gt;0",INDIRECT(CELL("address",OFFSET(K14,0,IF(MONTH(K5)-MONTH(K3)+1&gt;-1,-(MONTH(K5)-MONTH(K3)+1),-(12+(MONTH(K5)-MONTH(K3)+1)))))):K14)</f>
        <v>#VALUE!</v>
      </c>
      <c r="L38" s="880" t="e">
        <f ca="1">AVERAGEIF(INDIRECT(CELL("address",OFFSET(L14,0,IF(MONTH(L5)-MONTH(L3)+1&gt;-1,-(MONTH(L5)-MONTH(L3)+1),-(12+(MONTH(L5)-MONTH(L3)+1)))))):L14,"&lt;&gt;0",INDIRECT(CELL("address",OFFSET(L14,0,IF(MONTH(L5)-MONTH(L3)+1&gt;-1,-(MONTH(L5)-MONTH(L3)+1),-(12+(MONTH(L5)-MONTH(L3)+1)))))):L14)</f>
        <v>#VALUE!</v>
      </c>
      <c r="M38" s="880" t="e">
        <f ca="1">AVERAGEIF(INDIRECT(CELL("address",OFFSET(M14,0,IF(MONTH(M5)-MONTH(M3)+1&gt;-1,-(MONTH(M5)-MONTH(M3)+1),-(12+(MONTH(M5)-MONTH(M3)+1)))))):M14,"&lt;&gt;0",INDIRECT(CELL("address",OFFSET(M14,0,IF(MONTH(M5)-MONTH(M3)+1&gt;-1,-(MONTH(M5)-MONTH(M3)+1),-(12+(MONTH(M5)-MONTH(M3)+1)))))):M14)</f>
        <v>#VALUE!</v>
      </c>
      <c r="N38" s="880" t="e">
        <f ca="1">AVERAGEIF(INDIRECT(CELL("address",OFFSET(N14,0,IF(MONTH(N5)-MONTH(N3)+1&gt;-1,-(MONTH(N5)-MONTH(N3)+1),-(12+(MONTH(N5)-MONTH(N3)+1)))))):N14,"&lt;&gt;0",INDIRECT(CELL("address",OFFSET(N14,0,IF(MONTH(N5)-MONTH(N3)+1&gt;-1,-(MONTH(N5)-MONTH(N3)+1),-(12+(MONTH(N5)-MONTH(N3)+1)))))):N14)</f>
        <v>#VALUE!</v>
      </c>
      <c r="O38" s="880" t="e">
        <f ca="1">AVERAGEIF(INDIRECT(CELL("address",OFFSET(O14,0,IF(MONTH(O5)-MONTH(O3)+1&gt;-1,-(MONTH(O5)-MONTH(O3)+1),-(12+(MONTH(O5)-MONTH(O3)+1)))))):O14,"&lt;&gt;0",INDIRECT(CELL("address",OFFSET(O14,0,IF(MONTH(O5)-MONTH(O3)+1&gt;-1,-(MONTH(O5)-MONTH(O3)+1),-(12+(MONTH(O5)-MONTH(O3)+1)))))):O14)</f>
        <v>#VALUE!</v>
      </c>
      <c r="P38" s="880" t="e">
        <f ca="1">AVERAGEIF(INDIRECT(CELL("address",OFFSET(P14,0,IF(MONTH(P5)-MONTH(P3)+1&gt;-1,-(MONTH(P5)-MONTH(P3)+1),-(12+(MONTH(P5)-MONTH(P3)+1)))))):P14,"&lt;&gt;0",INDIRECT(CELL("address",OFFSET(P14,0,IF(MONTH(P5)-MONTH(P3)+1&gt;-1,-(MONTH(P5)-MONTH(P3)+1),-(12+(MONTH(P5)-MONTH(P3)+1)))))):P14)</f>
        <v>#VALUE!</v>
      </c>
      <c r="Q38" s="880" t="e">
        <f ca="1">AVERAGEIF(INDIRECT(CELL("address",OFFSET(Q14,0,IF(MONTH(Q5)-MONTH(Q3)+1&gt;-1,-(MONTH(Q5)-MONTH(Q3)+1),-(12+(MONTH(Q5)-MONTH(Q3)+1)))))):Q14,"&lt;&gt;0",INDIRECT(CELL("address",OFFSET(Q14,0,IF(MONTH(Q5)-MONTH(Q3)+1&gt;-1,-(MONTH(Q5)-MONTH(Q3)+1),-(12+(MONTH(Q5)-MONTH(Q3)+1)))))):Q14)</f>
        <v>#VALUE!</v>
      </c>
      <c r="R38" s="880" t="e">
        <f ca="1">AVERAGEIF(INDIRECT(CELL("address",OFFSET(R14,0,IF(MONTH(R5)-MONTH(R3)+1&gt;-1,-(MONTH(R5)-MONTH(R3)+1),-(12+(MONTH(R5)-MONTH(R3)+1)))))):R14,"&lt;&gt;0",INDIRECT(CELL("address",OFFSET(R14,0,IF(MONTH(R5)-MONTH(R3)+1&gt;-1,-(MONTH(R5)-MONTH(R3)+1),-(12+(MONTH(R5)-MONTH(R3)+1)))))):R14)</f>
        <v>#VALUE!</v>
      </c>
      <c r="S38" s="880" t="e">
        <f ca="1">AVERAGEIF(INDIRECT(CELL("address",OFFSET(S14,0,IF(MONTH(S5)-MONTH(S3)+1&gt;-1,-(MONTH(S5)-MONTH(S3)+1),-(12+(MONTH(S5)-MONTH(S3)+1)))))):S14,"&lt;&gt;0",INDIRECT(CELL("address",OFFSET(S14,0,IF(MONTH(S5)-MONTH(S3)+1&gt;-1,-(MONTH(S5)-MONTH(S3)+1),-(12+(MONTH(S5)-MONTH(S3)+1)))))):S14)</f>
        <v>#VALUE!</v>
      </c>
      <c r="T38" s="880" t="e">
        <f ca="1">AVERAGEIF(INDIRECT(CELL("address",OFFSET(T14,0,IF(MONTH(T5)-MONTH(T3)+1&gt;-1,-(MONTH(T5)-MONTH(T3)+1),-(12+(MONTH(T5)-MONTH(T3)+1)))))):T14,"&lt;&gt;0",INDIRECT(CELL("address",OFFSET(T14,0,IF(MONTH(T5)-MONTH(T3)+1&gt;-1,-(MONTH(T5)-MONTH(T3)+1),-(12+(MONTH(T5)-MONTH(T3)+1)))))):T14)</f>
        <v>#VALUE!</v>
      </c>
      <c r="U38" s="880" t="e">
        <f ca="1">AVERAGEIF(INDIRECT(CELL("address",OFFSET(U14,0,IF(MONTH(U5)-MONTH(U3)+1&gt;-1,-(MONTH(U5)-MONTH(U3)+1),-(12+(MONTH(U5)-MONTH(U3)+1)))))):U14,"&lt;&gt;0",INDIRECT(CELL("address",OFFSET(U14,0,IF(MONTH(U5)-MONTH(U3)+1&gt;-1,-(MONTH(U5)-MONTH(U3)+1),-(12+(MONTH(U5)-MONTH(U3)+1)))))):U14)</f>
        <v>#VALUE!</v>
      </c>
      <c r="V38" s="880" t="e">
        <f ca="1">AVERAGEIF(INDIRECT(CELL("address",OFFSET(V14,0,IF(MONTH(V5)-MONTH(V3)+1&gt;-1,-(MONTH(V5)-MONTH(V3)+1),-(12+(MONTH(V5)-MONTH(V3)+1)))))):V14,"&lt;&gt;0",INDIRECT(CELL("address",OFFSET(V14,0,IF(MONTH(V5)-MONTH(V3)+1&gt;-1,-(MONTH(V5)-MONTH(V3)+1),-(12+(MONTH(V5)-MONTH(V3)+1)))))):V14)</f>
        <v>#VALUE!</v>
      </c>
      <c r="W38" s="880" t="e">
        <f ca="1">AVERAGEIF(INDIRECT(CELL("address",OFFSET(W14,0,IF(MONTH(W5)-MONTH(W3)+1&gt;-1,-(MONTH(W5)-MONTH(W3)+1),-(12+(MONTH(W5)-MONTH(W3)+1)))))):W14,"&lt;&gt;0",INDIRECT(CELL("address",OFFSET(W14,0,IF(MONTH(W5)-MONTH(W3)+1&gt;-1,-(MONTH(W5)-MONTH(W3)+1),-(12+(MONTH(W5)-MONTH(W3)+1)))))):W14)</f>
        <v>#VALUE!</v>
      </c>
      <c r="X38" s="880" t="e">
        <f ca="1">AVERAGEIF(INDIRECT(CELL("address",OFFSET(X14,0,IF(MONTH(X5)-MONTH(X3)+1&gt;-1,-(MONTH(X5)-MONTH(X3)+1),-(12+(MONTH(X5)-MONTH(X3)+1)))))):X14,"&lt;&gt;0",INDIRECT(CELL("address",OFFSET(X14,0,IF(MONTH(X5)-MONTH(X3)+1&gt;-1,-(MONTH(X5)-MONTH(X3)+1),-(12+(MONTH(X5)-MONTH(X3)+1)))))):X14)</f>
        <v>#VALUE!</v>
      </c>
      <c r="Y38" s="880" t="e">
        <f ca="1">AVERAGEIF(INDIRECT(CELL("address",OFFSET(Y14,0,IF(MONTH(Y5)-MONTH(Y3)+1&gt;-1,-(MONTH(Y5)-MONTH(Y3)+1),-(12+(MONTH(Y5)-MONTH(Y3)+1)))))):Y14,"&lt;&gt;0",INDIRECT(CELL("address",OFFSET(Y14,0,IF(MONTH(Y5)-MONTH(Y3)+1&gt;-1,-(MONTH(Y5)-MONTH(Y3)+1),-(12+(MONTH(Y5)-MONTH(Y3)+1)))))):Y14)</f>
        <v>#VALUE!</v>
      </c>
      <c r="Z38" s="880" t="e">
        <f ca="1">AVERAGEIF(INDIRECT(CELL("address",OFFSET(Z14,0,IF(MONTH(Z5)-MONTH(Z3)+1&gt;-1,-(MONTH(Z5)-MONTH(Z3)+1),-(12+(MONTH(Z5)-MONTH(Z3)+1)))))):Z14,"&lt;&gt;0",INDIRECT(CELL("address",OFFSET(Z14,0,IF(MONTH(Z5)-MONTH(Z3)+1&gt;-1,-(MONTH(Z5)-MONTH(Z3)+1),-(12+(MONTH(Z5)-MONTH(Z3)+1)))))):Z14)</f>
        <v>#VALUE!</v>
      </c>
      <c r="AA38" s="880" t="e">
        <f ca="1">AVERAGEIF(INDIRECT(CELL("address",OFFSET(AA14,0,IF(MONTH(AA5)-MONTH(AA3)+1&gt;-1,-(MONTH(AA5)-MONTH(AA3)+1),-(12+(MONTH(AA5)-MONTH(AA3)+1)))))):AA14,"&lt;&gt;0",INDIRECT(CELL("address",OFFSET(AA14,0,IF(MONTH(AA5)-MONTH(AA3)+1&gt;-1,-(MONTH(AA5)-MONTH(AA3)+1),-(12+(MONTH(AA5)-MONTH(AA3)+1)))))):AA14)</f>
        <v>#VALUE!</v>
      </c>
      <c r="AB38" s="880" t="e">
        <f ca="1">AVERAGEIF(INDIRECT(CELL("address",OFFSET(AB14,0,IF(MONTH(AB5)-MONTH(AB3)+1&gt;-1,-(MONTH(AB5)-MONTH(AB3)+1),-(12+(MONTH(AB5)-MONTH(AB3)+1)))))):AB14,"&lt;&gt;0",INDIRECT(CELL("address",OFFSET(AB14,0,IF(MONTH(AB5)-MONTH(AB3)+1&gt;-1,-(MONTH(AB5)-MONTH(AB3)+1),-(12+(MONTH(AB5)-MONTH(AB3)+1)))))):AB14)</f>
        <v>#VALUE!</v>
      </c>
      <c r="AC38" s="880" t="e">
        <f ca="1">AVERAGEIF(INDIRECT(CELL("address",OFFSET(AC14,0,IF(MONTH(AC5)-MONTH(AC3)+1&gt;-1,-(MONTH(AC5)-MONTH(AC3)+1),-(12+(MONTH(AC5)-MONTH(AC3)+1)))))):AC14,"&lt;&gt;0",INDIRECT(CELL("address",OFFSET(AC14,0,IF(MONTH(AC5)-MONTH(AC3)+1&gt;-1,-(MONTH(AC5)-MONTH(AC3)+1),-(12+(MONTH(AC5)-MONTH(AC3)+1)))))):AC14)</f>
        <v>#VALUE!</v>
      </c>
      <c r="AD38" s="880" t="e">
        <f ca="1">AVERAGEIF(INDIRECT(CELL("address",OFFSET(AD14,0,IF(MONTH(AD5)-MONTH(AD3)+1&gt;-1,-(MONTH(AD5)-MONTH(AD3)+1),-(12+(MONTH(AD5)-MONTH(AD3)+1)))))):AD14,"&lt;&gt;0",INDIRECT(CELL("address",OFFSET(AD14,0,IF(MONTH(AD5)-MONTH(AD3)+1&gt;-1,-(MONTH(AD5)-MONTH(AD3)+1),-(12+(MONTH(AD5)-MONTH(AD3)+1)))))):AD14)</f>
        <v>#VALUE!</v>
      </c>
      <c r="AE38" s="880" t="e">
        <f ca="1">AVERAGEIF(INDIRECT(CELL("address",OFFSET(AE14,0,IF(MONTH(AE5)-MONTH(AE3)+1&gt;-1,-(MONTH(AE5)-MONTH(AE3)+1),-(12+(MONTH(AE5)-MONTH(AE3)+1)))))):AE14,"&lt;&gt;0",INDIRECT(CELL("address",OFFSET(AE14,0,IF(MONTH(AE5)-MONTH(AE3)+1&gt;-1,-(MONTH(AE5)-MONTH(AE3)+1),-(12+(MONTH(AE5)-MONTH(AE3)+1)))))):AE14)</f>
        <v>#VALUE!</v>
      </c>
      <c r="AF38" s="880" t="e">
        <f ca="1">AVERAGEIF(INDIRECT(CELL("address",OFFSET(AF14,0,IF(MONTH(AF5)-MONTH(AF3)+1&gt;-1,-(MONTH(AF5)-MONTH(AF3)+1),-(12+(MONTH(AF5)-MONTH(AF3)+1)))))):AF14,"&lt;&gt;0",INDIRECT(CELL("address",OFFSET(AF14,0,IF(MONTH(AF5)-MONTH(AF3)+1&gt;-1,-(MONTH(AF5)-MONTH(AF3)+1),-(12+(MONTH(AF5)-MONTH(AF3)+1)))))):AF14)</f>
        <v>#VALUE!</v>
      </c>
      <c r="AG38" s="880" t="e">
        <f ca="1">AVERAGEIF(INDIRECT(CELL("address",OFFSET(AG14,0,IF(MONTH(AG5)-MONTH(AG3)+1&gt;-1,-(MONTH(AG5)-MONTH(AG3)+1),-(12+(MONTH(AG5)-MONTH(AG3)+1)))))):AG14,"&lt;&gt;0",INDIRECT(CELL("address",OFFSET(AG14,0,IF(MONTH(AG5)-MONTH(AG3)+1&gt;-1,-(MONTH(AG5)-MONTH(AG3)+1),-(12+(MONTH(AG5)-MONTH(AG3)+1)))))):AG14)</f>
        <v>#VALUE!</v>
      </c>
      <c r="AH38" s="880" t="e">
        <f ca="1">AVERAGEIF(INDIRECT(CELL("address",OFFSET(AH14,0,IF(MONTH(AH5)-MONTH(AH3)+1&gt;-1,-(MONTH(AH5)-MONTH(AH3)+1),-(12+(MONTH(AH5)-MONTH(AH3)+1)))))):AH14,"&lt;&gt;0",INDIRECT(CELL("address",OFFSET(AH14,0,IF(MONTH(AH5)-MONTH(AH3)+1&gt;-1,-(MONTH(AH5)-MONTH(AH3)+1),-(12+(MONTH(AH5)-MONTH(AH3)+1)))))):AH14)</f>
        <v>#VALUE!</v>
      </c>
      <c r="AI38" s="880" t="e">
        <f ca="1">AVERAGEIF(INDIRECT(CELL("address",OFFSET(AI14,0,IF(MONTH(AI5)-MONTH(AI3)+1&gt;-1,-(MONTH(AI5)-MONTH(AI3)+1),-(12+(MONTH(AI5)-MONTH(AI3)+1)))))):AI14,"&lt;&gt;0",INDIRECT(CELL("address",OFFSET(AI14,0,IF(MONTH(AI5)-MONTH(AI3)+1&gt;-1,-(MONTH(AI5)-MONTH(AI3)+1),-(12+(MONTH(AI5)-MONTH(AI3)+1)))))):AI14)</f>
        <v>#VALUE!</v>
      </c>
      <c r="AJ38" s="880" t="e">
        <f ca="1">AVERAGEIF(INDIRECT(CELL("address",OFFSET(AJ14,0,IF(MONTH(AJ5)-MONTH(AJ3)+1&gt;-1,-(MONTH(AJ5)-MONTH(AJ3)+1),-(12+(MONTH(AJ5)-MONTH(AJ3)+1)))))):AJ14,"&lt;&gt;0",INDIRECT(CELL("address",OFFSET(AJ14,0,IF(MONTH(AJ5)-MONTH(AJ3)+1&gt;-1,-(MONTH(AJ5)-MONTH(AJ3)+1),-(12+(MONTH(AJ5)-MONTH(AJ3)+1)))))):AJ14)</f>
        <v>#VALUE!</v>
      </c>
      <c r="AK38" s="880" t="e">
        <f ca="1">AVERAGEIF(INDIRECT(CELL("address",OFFSET(AK14,0,IF(MONTH(AK5)-MONTH(AK3)+1&gt;-1,-(MONTH(AK5)-MONTH(AK3)+1),-(12+(MONTH(AK5)-MONTH(AK3)+1)))))):AK14,"&lt;&gt;0",INDIRECT(CELL("address",OFFSET(AK14,0,IF(MONTH(AK5)-MONTH(AK3)+1&gt;-1,-(MONTH(AK5)-MONTH(AK3)+1),-(12+(MONTH(AK5)-MONTH(AK3)+1)))))):AK14)</f>
        <v>#VALUE!</v>
      </c>
      <c r="AL38" s="880" t="e">
        <f ca="1">AVERAGEIF(INDIRECT(CELL("address",OFFSET(AL14,0,IF(MONTH(AL5)-MONTH(AL3)+1&gt;-1,-(MONTH(AL5)-MONTH(AL3)+1),-(12+(MONTH(AL5)-MONTH(AL3)+1)))))):AL14,"&lt;&gt;0",INDIRECT(CELL("address",OFFSET(AL14,0,IF(MONTH(AL5)-MONTH(AL3)+1&gt;-1,-(MONTH(AL5)-MONTH(AL3)+1),-(12+(MONTH(AL5)-MONTH(AL3)+1)))))):AL14)</f>
        <v>#NAME?</v>
      </c>
    </row>
    <row r="39" spans="1:38">
      <c r="A39" s="894">
        <v>293</v>
      </c>
      <c r="B39" s="895" t="s">
        <v>576</v>
      </c>
      <c r="C39" s="1075"/>
      <c r="D39" s="880"/>
      <c r="E39" s="880"/>
      <c r="F39" s="880"/>
      <c r="G39" s="880"/>
      <c r="H39" s="880"/>
      <c r="I39" s="880"/>
      <c r="J39" s="880" t="e">
        <f ca="1">AVERAGEIF(INDIRECT(CELL("address",OFFSET(J45,0,IF(MONTH(J5)-MONTH(J3)+1&gt;-1,-(MONTH(J5)-MONTH(J3)+1),-(12+(MONTH(J5)-MONTH(J3)+1)))))):J45,"&lt;&gt;0",INDIRECT(CELL("address",OFFSET(J45,0,IF(MONTH(J5)-MONTH(J3)+1&gt;-1,-(MONTH(J5)-MONTH(J3)+1),-(12+(MONTH(J5)-MONTH(J3)+1)))))):J45)</f>
        <v>#VALUE!</v>
      </c>
      <c r="K39" s="880" t="e">
        <f ca="1">AVERAGEIF(INDIRECT(CELL("address",OFFSET(K45,0,IF(MONTH(K5)-MONTH(K3)+1&gt;-1,-(MONTH(K5)-MONTH(K3)+1),-(12+(MONTH(K5)-MONTH(K3)+1)))))):K45,"&lt;&gt;0",INDIRECT(CELL("address",OFFSET(K45,0,IF(MONTH(K5)-MONTH(K3)+1&gt;-1,-(MONTH(K5)-MONTH(K3)+1),-(12+(MONTH(K5)-MONTH(K3)+1)))))):K45)</f>
        <v>#VALUE!</v>
      </c>
      <c r="L39" s="880" t="e">
        <f ca="1">AVERAGEIF(INDIRECT(CELL("address",OFFSET(L45,0,IF(MONTH(L5)-MONTH(L3)+1&gt;-1,-(MONTH(L5)-MONTH(L3)+1),-(12+(MONTH(L5)-MONTH(L3)+1)))))):L45,"&lt;&gt;0",INDIRECT(CELL("address",OFFSET(L45,0,IF(MONTH(L5)-MONTH(L3)+1&gt;-1,-(MONTH(L5)-MONTH(L3)+1),-(12+(MONTH(L5)-MONTH(L3)+1)))))):L45)</f>
        <v>#VALUE!</v>
      </c>
      <c r="M39" s="880" t="e">
        <f ca="1">AVERAGEIF(INDIRECT(CELL("address",OFFSET(M45,0,IF(MONTH(M5)-MONTH(M3)+1&gt;-1,-(MONTH(M5)-MONTH(M3)+1),-(12+(MONTH(M5)-MONTH(M3)+1)))))):M45,"&lt;&gt;0",INDIRECT(CELL("address",OFFSET(M45,0,IF(MONTH(M5)-MONTH(M3)+1&gt;-1,-(MONTH(M5)-MONTH(M3)+1),-(12+(MONTH(M5)-MONTH(M3)+1)))))):M45)</f>
        <v>#VALUE!</v>
      </c>
      <c r="N39" s="880" t="e">
        <f ca="1">AVERAGEIF(INDIRECT(CELL("address",OFFSET(N45,0,IF(MONTH(N5)-MONTH(N3)+1&gt;-1,-(MONTH(N5)-MONTH(N3)+1),-(12+(MONTH(N5)-MONTH(N3)+1)))))):N45,"&lt;&gt;0",INDIRECT(CELL("address",OFFSET(N45,0,IF(MONTH(N5)-MONTH(N3)+1&gt;-1,-(MONTH(N5)-MONTH(N3)+1),-(12+(MONTH(N5)-MONTH(N3)+1)))))):N45)</f>
        <v>#VALUE!</v>
      </c>
      <c r="O39" s="880" t="e">
        <f ca="1">AVERAGEIF(INDIRECT(CELL("address",OFFSET(O45,0,IF(MONTH(O5)-MONTH(O3)+1&gt;-1,-(MONTH(O5)-MONTH(O3)+1),-(12+(MONTH(O5)-MONTH(O3)+1)))))):O45,"&lt;&gt;0",INDIRECT(CELL("address",OFFSET(O45,0,IF(MONTH(O5)-MONTH(O3)+1&gt;-1,-(MONTH(O5)-MONTH(O3)+1),-(12+(MONTH(O5)-MONTH(O3)+1)))))):O45)</f>
        <v>#VALUE!</v>
      </c>
      <c r="P39" s="880" t="e">
        <f ca="1">AVERAGEIF(INDIRECT(CELL("address",OFFSET(P45,0,IF(MONTH(P5)-MONTH(P3)+1&gt;-1,-(MONTH(P5)-MONTH(P3)+1),-(12+(MONTH(P5)-MONTH(P3)+1)))))):P45,"&lt;&gt;0",INDIRECT(CELL("address",OFFSET(P45,0,IF(MONTH(P5)-MONTH(P3)+1&gt;-1,-(MONTH(P5)-MONTH(P3)+1),-(12+(MONTH(P5)-MONTH(P3)+1)))))):P45)</f>
        <v>#VALUE!</v>
      </c>
      <c r="Q39" s="880" t="e">
        <f ca="1">AVERAGEIF(INDIRECT(CELL("address",OFFSET(Q45,0,IF(MONTH(Q5)-MONTH(Q3)+1&gt;-1,-(MONTH(Q5)-MONTH(Q3)+1),-(12+(MONTH(Q5)-MONTH(Q3)+1)))))):Q45,"&lt;&gt;0",INDIRECT(CELL("address",OFFSET(Q45,0,IF(MONTH(Q5)-MONTH(Q3)+1&gt;-1,-(MONTH(Q5)-MONTH(Q3)+1),-(12+(MONTH(Q5)-MONTH(Q3)+1)))))):Q45)</f>
        <v>#VALUE!</v>
      </c>
      <c r="R39" s="880" t="e">
        <f ca="1">AVERAGEIF(INDIRECT(CELL("address",OFFSET(R45,0,IF(MONTH(R5)-MONTH(R3)+1&gt;-1,-(MONTH(R5)-MONTH(R3)+1),-(12+(MONTH(R5)-MONTH(R3)+1)))))):R45,"&lt;&gt;0",INDIRECT(CELL("address",OFFSET(R45,0,IF(MONTH(R5)-MONTH(R3)+1&gt;-1,-(MONTH(R5)-MONTH(R3)+1),-(12+(MONTH(R5)-MONTH(R3)+1)))))):R45)</f>
        <v>#VALUE!</v>
      </c>
      <c r="S39" s="880" t="e">
        <f ca="1">AVERAGEIF(INDIRECT(CELL("address",OFFSET(S45,0,IF(MONTH(S5)-MONTH(S3)+1&gt;-1,-(MONTH(S5)-MONTH(S3)+1),-(12+(MONTH(S5)-MONTH(S3)+1)))))):S45,"&lt;&gt;0",INDIRECT(CELL("address",OFFSET(S45,0,IF(MONTH(S5)-MONTH(S3)+1&gt;-1,-(MONTH(S5)-MONTH(S3)+1),-(12+(MONTH(S5)-MONTH(S3)+1)))))):S45)</f>
        <v>#VALUE!</v>
      </c>
      <c r="T39" s="880" t="e">
        <f ca="1">AVERAGEIF(INDIRECT(CELL("address",OFFSET(T45,0,IF(MONTH(T5)-MONTH(T3)+1&gt;-1,-(MONTH(T5)-MONTH(T3)+1),-(12+(MONTH(T5)-MONTH(T3)+1)))))):T45,"&lt;&gt;0",INDIRECT(CELL("address",OFFSET(T45,0,IF(MONTH(T5)-MONTH(T3)+1&gt;-1,-(MONTH(T5)-MONTH(T3)+1),-(12+(MONTH(T5)-MONTH(T3)+1)))))):T45)</f>
        <v>#VALUE!</v>
      </c>
      <c r="U39" s="880" t="e">
        <f ca="1">AVERAGEIF(INDIRECT(CELL("address",OFFSET(U45,0,IF(MONTH(U5)-MONTH(U3)+1&gt;-1,-(MONTH(U5)-MONTH(U3)+1),-(12+(MONTH(U5)-MONTH(U3)+1)))))):U45,"&lt;&gt;0",INDIRECT(CELL("address",OFFSET(U45,0,IF(MONTH(U5)-MONTH(U3)+1&gt;-1,-(MONTH(U5)-MONTH(U3)+1),-(12+(MONTH(U5)-MONTH(U3)+1)))))):U45)</f>
        <v>#VALUE!</v>
      </c>
      <c r="V39" s="880" t="e">
        <f ca="1">AVERAGEIF(INDIRECT(CELL("address",OFFSET(V45,0,IF(MONTH(V5)-MONTH(V3)+1&gt;-1,-(MONTH(V5)-MONTH(V3)+1),-(12+(MONTH(V5)-MONTH(V3)+1)))))):V45,"&lt;&gt;0",INDIRECT(CELL("address",OFFSET(V45,0,IF(MONTH(V5)-MONTH(V3)+1&gt;-1,-(MONTH(V5)-MONTH(V3)+1),-(12+(MONTH(V5)-MONTH(V3)+1)))))):V45)</f>
        <v>#VALUE!</v>
      </c>
      <c r="W39" s="880" t="e">
        <f ca="1">AVERAGEIF(INDIRECT(CELL("address",OFFSET(W45,0,IF(MONTH(W5)-MONTH(W3)+1&gt;-1,-(MONTH(W5)-MONTH(W3)+1),-(12+(MONTH(W5)-MONTH(W3)+1)))))):W45,"&lt;&gt;0",INDIRECT(CELL("address",OFFSET(W45,0,IF(MONTH(W5)-MONTH(W3)+1&gt;-1,-(MONTH(W5)-MONTH(W3)+1),-(12+(MONTH(W5)-MONTH(W3)+1)))))):W45)</f>
        <v>#VALUE!</v>
      </c>
      <c r="X39" s="880" t="e">
        <f ca="1">AVERAGEIF(INDIRECT(CELL("address",OFFSET(X45,0,IF(MONTH(X5)-MONTH(X3)+1&gt;-1,-(MONTH(X5)-MONTH(X3)+1),-(12+(MONTH(X5)-MONTH(X3)+1)))))):X45,"&lt;&gt;0",INDIRECT(CELL("address",OFFSET(X45,0,IF(MONTH(X5)-MONTH(X3)+1&gt;-1,-(MONTH(X5)-MONTH(X3)+1),-(12+(MONTH(X5)-MONTH(X3)+1)))))):X45)</f>
        <v>#VALUE!</v>
      </c>
      <c r="Y39" s="880" t="e">
        <f ca="1">AVERAGEIF(INDIRECT(CELL("address",OFFSET(Y45,0,IF(MONTH(Y5)-MONTH(Y3)+1&gt;-1,-(MONTH(Y5)-MONTH(Y3)+1),-(12+(MONTH(Y5)-MONTH(Y3)+1)))))):Y45,"&lt;&gt;0",INDIRECT(CELL("address",OFFSET(Y45,0,IF(MONTH(Y5)-MONTH(Y3)+1&gt;-1,-(MONTH(Y5)-MONTH(Y3)+1),-(12+(MONTH(Y5)-MONTH(Y3)+1)))))):Y45)</f>
        <v>#VALUE!</v>
      </c>
      <c r="Z39" s="880" t="e">
        <f ca="1">AVERAGEIF(INDIRECT(CELL("address",OFFSET(Z45,0,IF(MONTH(Z5)-MONTH(Z3)+1&gt;-1,-(MONTH(Z5)-MONTH(Z3)+1),-(12+(MONTH(Z5)-MONTH(Z3)+1)))))):Z45,"&lt;&gt;0",INDIRECT(CELL("address",OFFSET(Z45,0,IF(MONTH(Z5)-MONTH(Z3)+1&gt;-1,-(MONTH(Z5)-MONTH(Z3)+1),-(12+(MONTH(Z5)-MONTH(Z3)+1)))))):Z45)</f>
        <v>#VALUE!</v>
      </c>
      <c r="AA39" s="880" t="e">
        <f ca="1">AVERAGEIF(INDIRECT(CELL("address",OFFSET(AA45,0,IF(MONTH(AA5)-MONTH(AA3)+1&gt;-1,-(MONTH(AA5)-MONTH(AA3)+1),-(12+(MONTH(AA5)-MONTH(AA3)+1)))))):AA45,"&lt;&gt;0",INDIRECT(CELL("address",OFFSET(AA45,0,IF(MONTH(AA5)-MONTH(AA3)+1&gt;-1,-(MONTH(AA5)-MONTH(AA3)+1),-(12+(MONTH(AA5)-MONTH(AA3)+1)))))):AA45)</f>
        <v>#VALUE!</v>
      </c>
      <c r="AB39" s="880" t="e">
        <f ca="1">AVERAGEIF(INDIRECT(CELL("address",OFFSET(AB45,0,IF(MONTH(AB5)-MONTH(AB3)+1&gt;-1,-(MONTH(AB5)-MONTH(AB3)+1),-(12+(MONTH(AB5)-MONTH(AB3)+1)))))):AB45,"&lt;&gt;0",INDIRECT(CELL("address",OFFSET(AB45,0,IF(MONTH(AB5)-MONTH(AB3)+1&gt;-1,-(MONTH(AB5)-MONTH(AB3)+1),-(12+(MONTH(AB5)-MONTH(AB3)+1)))))):AB45)</f>
        <v>#VALUE!</v>
      </c>
      <c r="AC39" s="880" t="e">
        <f ca="1">AVERAGEIF(INDIRECT(CELL("address",OFFSET(AC45,0,IF(MONTH(AC5)-MONTH(AC3)+1&gt;-1,-(MONTH(AC5)-MONTH(AC3)+1),-(12+(MONTH(AC5)-MONTH(AC3)+1)))))):AC45,"&lt;&gt;0",INDIRECT(CELL("address",OFFSET(AC45,0,IF(MONTH(AC5)-MONTH(AC3)+1&gt;-1,-(MONTH(AC5)-MONTH(AC3)+1),-(12+(MONTH(AC5)-MONTH(AC3)+1)))))):AC45)</f>
        <v>#VALUE!</v>
      </c>
      <c r="AD39" s="880" t="e">
        <f ca="1">AVERAGEIF(INDIRECT(CELL("address",OFFSET(AD45,0,IF(MONTH(AD5)-MONTH(AD3)+1&gt;-1,-(MONTH(AD5)-MONTH(AD3)+1),-(12+(MONTH(AD5)-MONTH(AD3)+1)))))):AD45,"&lt;&gt;0",INDIRECT(CELL("address",OFFSET(AD45,0,IF(MONTH(AD5)-MONTH(AD3)+1&gt;-1,-(MONTH(AD5)-MONTH(AD3)+1),-(12+(MONTH(AD5)-MONTH(AD3)+1)))))):AD45)</f>
        <v>#VALUE!</v>
      </c>
      <c r="AE39" s="880" t="e">
        <f ca="1">AVERAGEIF(INDIRECT(CELL("address",OFFSET(AE45,0,IF(MONTH(AE5)-MONTH(AE3)+1&gt;-1,-(MONTH(AE5)-MONTH(AE3)+1),-(12+(MONTH(AE5)-MONTH(AE3)+1)))))):AE45,"&lt;&gt;0",INDIRECT(CELL("address",OFFSET(AE45,0,IF(MONTH(AE5)-MONTH(AE3)+1&gt;-1,-(MONTH(AE5)-MONTH(AE3)+1),-(12+(MONTH(AE5)-MONTH(AE3)+1)))))):AE45)</f>
        <v>#VALUE!</v>
      </c>
      <c r="AF39" s="880" t="e">
        <f ca="1">AVERAGEIF(INDIRECT(CELL("address",OFFSET(AF45,0,IF(MONTH(AF5)-MONTH(AF3)+1&gt;-1,-(MONTH(AF5)-MONTH(AF3)+1),-(12+(MONTH(AF5)-MONTH(AF3)+1)))))):AF45,"&lt;&gt;0",INDIRECT(CELL("address",OFFSET(AF45,0,IF(MONTH(AF5)-MONTH(AF3)+1&gt;-1,-(MONTH(AF5)-MONTH(AF3)+1),-(12+(MONTH(AF5)-MONTH(AF3)+1)))))):AF45)</f>
        <v>#VALUE!</v>
      </c>
      <c r="AG39" s="880" t="e">
        <f ca="1">AVERAGEIF(INDIRECT(CELL("address",OFFSET(AG45,0,IF(MONTH(AG5)-MONTH(AG3)+1&gt;-1,-(MONTH(AG5)-MONTH(AG3)+1),-(12+(MONTH(AG5)-MONTH(AG3)+1)))))):AG45,"&lt;&gt;0",INDIRECT(CELL("address",OFFSET(AG45,0,IF(MONTH(AG5)-MONTH(AG3)+1&gt;-1,-(MONTH(AG5)-MONTH(AG3)+1),-(12+(MONTH(AG5)-MONTH(AG3)+1)))))):AG45)</f>
        <v>#VALUE!</v>
      </c>
      <c r="AH39" s="880" t="e">
        <f ca="1">AVERAGEIF(INDIRECT(CELL("address",OFFSET(AH45,0,IF(MONTH(AH5)-MONTH(AH3)+1&gt;-1,-(MONTH(AH5)-MONTH(AH3)+1),-(12+(MONTH(AH5)-MONTH(AH3)+1)))))):AH45,"&lt;&gt;0",INDIRECT(CELL("address",OFFSET(AH45,0,IF(MONTH(AH5)-MONTH(AH3)+1&gt;-1,-(MONTH(AH5)-MONTH(AH3)+1),-(12+(MONTH(AH5)-MONTH(AH3)+1)))))):AH45)</f>
        <v>#VALUE!</v>
      </c>
      <c r="AI39" s="880" t="e">
        <f ca="1">AVERAGEIF(INDIRECT(CELL("address",OFFSET(AI45,0,IF(MONTH(AI5)-MONTH(AI3)+1&gt;-1,-(MONTH(AI5)-MONTH(AI3)+1),-(12+(MONTH(AI5)-MONTH(AI3)+1)))))):AI45,"&lt;&gt;0",INDIRECT(CELL("address",OFFSET(AI45,0,IF(MONTH(AI5)-MONTH(AI3)+1&gt;-1,-(MONTH(AI5)-MONTH(AI3)+1),-(12+(MONTH(AI5)-MONTH(AI3)+1)))))):AI45)</f>
        <v>#VALUE!</v>
      </c>
      <c r="AJ39" s="880" t="e">
        <f ca="1">AVERAGEIF(INDIRECT(CELL("address",OFFSET(AJ45,0,IF(MONTH(AJ5)-MONTH(AJ3)+1&gt;-1,-(MONTH(AJ5)-MONTH(AJ3)+1),-(12+(MONTH(AJ5)-MONTH(AJ3)+1)))))):AJ45,"&lt;&gt;0",INDIRECT(CELL("address",OFFSET(AJ45,0,IF(MONTH(AJ5)-MONTH(AJ3)+1&gt;-1,-(MONTH(AJ5)-MONTH(AJ3)+1),-(12+(MONTH(AJ5)-MONTH(AJ3)+1)))))):AJ45)</f>
        <v>#VALUE!</v>
      </c>
      <c r="AK39" s="880" t="e">
        <f ca="1">AVERAGEIF(INDIRECT(CELL("address",OFFSET(AK45,0,IF(MONTH(AK5)-MONTH(AK3)+1&gt;-1,-(MONTH(AK5)-MONTH(AK3)+1),-(12+(MONTH(AK5)-MONTH(AK3)+1)))))):AK45,"&lt;&gt;0",INDIRECT(CELL("address",OFFSET(AK45,0,IF(MONTH(AK5)-MONTH(AK3)+1&gt;-1,-(MONTH(AK5)-MONTH(AK3)+1),-(12+(MONTH(AK5)-MONTH(AK3)+1)))))):AK45)</f>
        <v>#VALUE!</v>
      </c>
      <c r="AL39" s="880" t="e">
        <f ca="1">AVERAGEIF(INDIRECT(CELL("address",OFFSET(AL45,0,IF(MONTH(AL5)-MONTH(AL3)+1&gt;-1,-(MONTH(AL5)-MONTH(AL3)+1),-(12+(MONTH(AL5)-MONTH(AL3)+1)))))):AL45,"&lt;&gt;0",INDIRECT(CELL("address",OFFSET(AL45,0,IF(MONTH(AL5)-MONTH(AL3)+1&gt;-1,-(MONTH(AL5)-MONTH(AL3)+1),-(12+(MONTH(AL5)-MONTH(AL3)+1)))))):AL45)</f>
        <v>#NAME?</v>
      </c>
    </row>
    <row r="40" spans="1:38">
      <c r="A40" s="894">
        <v>295</v>
      </c>
      <c r="B40" s="895" t="s">
        <v>577</v>
      </c>
      <c r="C40" s="1075" t="e">
        <f>DATA_FORMATTING!AY186</f>
        <v>#NAME?</v>
      </c>
      <c r="D40" s="880" t="e">
        <f>DATA_FORMATTING!AZ186</f>
        <v>#NAME?</v>
      </c>
      <c r="E40" s="880" t="e">
        <f>DATA_FORMATTING!BA186</f>
        <v>#NAME?</v>
      </c>
      <c r="F40" s="880" t="e">
        <f>DATA_FORMATTING!BB186</f>
        <v>#NAME?</v>
      </c>
      <c r="G40" s="880" t="e">
        <f>DATA_FORMATTING!BC186</f>
        <v>#NAME?</v>
      </c>
      <c r="H40" s="880" t="e">
        <f>DATA_FORMATTING!BD186</f>
        <v>#NAME?</v>
      </c>
      <c r="I40" s="880" t="e">
        <f>DATA_FORMATTING!BE186</f>
        <v>#NAME?</v>
      </c>
      <c r="J40" s="880" t="e">
        <f>DATA_FORMATTING!BF186</f>
        <v>#NAME?</v>
      </c>
      <c r="K40" s="880" t="e">
        <f>DATA_FORMATTING!BG186</f>
        <v>#NAME?</v>
      </c>
      <c r="L40" s="880" t="e">
        <f>DATA_FORMATTING!BH186</f>
        <v>#NAME?</v>
      </c>
      <c r="M40" s="880" t="e">
        <f>DATA_FORMATTING!BI186</f>
        <v>#NAME?</v>
      </c>
      <c r="N40" s="880" t="e">
        <f>DATA_FORMATTING!BJ186</f>
        <v>#NAME?</v>
      </c>
      <c r="O40" s="880" t="e">
        <f>DATA_FORMATTING!BK186</f>
        <v>#NAME?</v>
      </c>
      <c r="P40" s="880" t="e">
        <f>DATA_FORMATTING!BL186</f>
        <v>#NAME?</v>
      </c>
      <c r="Q40" s="880" t="e">
        <f>DATA_FORMATTING!BM186</f>
        <v>#NAME?</v>
      </c>
      <c r="R40" s="880" t="e">
        <f>DATA_FORMATTING!BN186</f>
        <v>#NAME?</v>
      </c>
      <c r="S40" s="880" t="e">
        <f>DATA_FORMATTING!BO186</f>
        <v>#NAME?</v>
      </c>
      <c r="T40" s="880" t="e">
        <f>DATA_FORMATTING!BP186</f>
        <v>#NAME?</v>
      </c>
      <c r="U40" s="880" t="e">
        <f>DATA_FORMATTING!BQ186</f>
        <v>#NAME?</v>
      </c>
      <c r="V40" s="880" t="e">
        <f>DATA_FORMATTING!BR186</f>
        <v>#NAME?</v>
      </c>
      <c r="W40" s="880" t="e">
        <f>DATA_FORMATTING!BS186</f>
        <v>#NAME?</v>
      </c>
      <c r="X40" s="880" t="e">
        <f>DATA_FORMATTING!BT186</f>
        <v>#NAME?</v>
      </c>
      <c r="Y40" s="880" t="e">
        <f>DATA_FORMATTING!BU186</f>
        <v>#NAME?</v>
      </c>
      <c r="Z40" s="880" t="e">
        <f>DATA_FORMATTING!BV186</f>
        <v>#NAME?</v>
      </c>
      <c r="AA40" s="880" t="e">
        <f>DATA_FORMATTING!BW186</f>
        <v>#NAME?</v>
      </c>
      <c r="AB40" s="880" t="e">
        <f>DATA_FORMATTING!BX186</f>
        <v>#NAME?</v>
      </c>
      <c r="AC40" s="880" t="e">
        <f>DATA_FORMATTING!BY186</f>
        <v>#NAME?</v>
      </c>
      <c r="AD40" s="880" t="e">
        <f>DATA_FORMATTING!BZ186</f>
        <v>#NAME?</v>
      </c>
      <c r="AE40" s="880" t="e">
        <f>DATA_FORMATTING!CA186</f>
        <v>#NAME?</v>
      </c>
      <c r="AF40" s="880" t="e">
        <f>DATA_FORMATTING!CB186</f>
        <v>#NAME?</v>
      </c>
      <c r="AG40" s="880" t="e">
        <f>DATA_FORMATTING!CC186</f>
        <v>#NAME?</v>
      </c>
      <c r="AH40" s="880" t="e">
        <f>DATA_FORMATTING!CD186</f>
        <v>#NAME?</v>
      </c>
      <c r="AI40" s="880" t="e">
        <f>DATA_FORMATTING!CE186</f>
        <v>#NAME?</v>
      </c>
      <c r="AJ40" s="880" t="e">
        <f>DATA_FORMATTING!CF186</f>
        <v>#NAME?</v>
      </c>
      <c r="AK40" s="880" t="e">
        <f>DATA_FORMATTING!CG186</f>
        <v>#NAME?</v>
      </c>
      <c r="AL40" s="880" t="e">
        <f>DATA_FORMATTING!CH186</f>
        <v>#NAME?</v>
      </c>
    </row>
    <row r="41" spans="1:38">
      <c r="A41" s="894">
        <v>296</v>
      </c>
      <c r="B41" s="895" t="s">
        <v>578</v>
      </c>
      <c r="C41" s="1075" t="e">
        <f>DATA_FORMATTING!AY187</f>
        <v>#NAME?</v>
      </c>
      <c r="D41" s="880" t="e">
        <f>DATA_FORMATTING!AZ187</f>
        <v>#NAME?</v>
      </c>
      <c r="E41" s="880" t="e">
        <f>DATA_FORMATTING!BA187</f>
        <v>#NAME?</v>
      </c>
      <c r="F41" s="880" t="e">
        <f>DATA_FORMATTING!BB187</f>
        <v>#NAME?</v>
      </c>
      <c r="G41" s="880" t="e">
        <f>DATA_FORMATTING!BC187</f>
        <v>#NAME?</v>
      </c>
      <c r="H41" s="880" t="e">
        <f>DATA_FORMATTING!BD187</f>
        <v>#NAME?</v>
      </c>
      <c r="I41" s="880" t="e">
        <f>DATA_FORMATTING!BE187</f>
        <v>#NAME?</v>
      </c>
      <c r="J41" s="880" t="e">
        <f>DATA_FORMATTING!BF187</f>
        <v>#NAME?</v>
      </c>
      <c r="K41" s="880" t="e">
        <f>DATA_FORMATTING!BG187</f>
        <v>#NAME?</v>
      </c>
      <c r="L41" s="880" t="e">
        <f>DATA_FORMATTING!BH187</f>
        <v>#NAME?</v>
      </c>
      <c r="M41" s="880" t="e">
        <f>DATA_FORMATTING!BI187</f>
        <v>#NAME?</v>
      </c>
      <c r="N41" s="880" t="e">
        <f>DATA_FORMATTING!BJ187</f>
        <v>#NAME?</v>
      </c>
      <c r="O41" s="880" t="e">
        <f>DATA_FORMATTING!BK187</f>
        <v>#NAME?</v>
      </c>
      <c r="P41" s="880" t="e">
        <f>DATA_FORMATTING!BL187</f>
        <v>#NAME?</v>
      </c>
      <c r="Q41" s="880" t="e">
        <f>DATA_FORMATTING!BM187</f>
        <v>#NAME?</v>
      </c>
      <c r="R41" s="880" t="e">
        <f>DATA_FORMATTING!BN187</f>
        <v>#NAME?</v>
      </c>
      <c r="S41" s="880" t="e">
        <f>DATA_FORMATTING!BO187</f>
        <v>#NAME?</v>
      </c>
      <c r="T41" s="880" t="e">
        <f>DATA_FORMATTING!BP187</f>
        <v>#NAME?</v>
      </c>
      <c r="U41" s="880" t="e">
        <f>DATA_FORMATTING!BQ187</f>
        <v>#NAME?</v>
      </c>
      <c r="V41" s="880" t="e">
        <f>DATA_FORMATTING!BR187</f>
        <v>#NAME?</v>
      </c>
      <c r="W41" s="880" t="e">
        <f>DATA_FORMATTING!BS187</f>
        <v>#NAME?</v>
      </c>
      <c r="X41" s="880" t="e">
        <f>DATA_FORMATTING!BT187</f>
        <v>#NAME?</v>
      </c>
      <c r="Y41" s="880" t="e">
        <f>DATA_FORMATTING!BU187</f>
        <v>#NAME?</v>
      </c>
      <c r="Z41" s="880" t="e">
        <f>DATA_FORMATTING!BV187</f>
        <v>#NAME?</v>
      </c>
      <c r="AA41" s="880" t="e">
        <f>DATA_FORMATTING!BW187</f>
        <v>#NAME?</v>
      </c>
      <c r="AB41" s="880" t="e">
        <f>DATA_FORMATTING!BX187</f>
        <v>#NAME?</v>
      </c>
      <c r="AC41" s="880" t="e">
        <f>DATA_FORMATTING!BY187</f>
        <v>#NAME?</v>
      </c>
      <c r="AD41" s="880" t="e">
        <f>DATA_FORMATTING!BZ187</f>
        <v>#NAME?</v>
      </c>
      <c r="AE41" s="880" t="e">
        <f>DATA_FORMATTING!CA187</f>
        <v>#NAME?</v>
      </c>
      <c r="AF41" s="880" t="e">
        <f>DATA_FORMATTING!CB187</f>
        <v>#NAME?</v>
      </c>
      <c r="AG41" s="880" t="e">
        <f>DATA_FORMATTING!CC187</f>
        <v>#NAME?</v>
      </c>
      <c r="AH41" s="880" t="e">
        <f>DATA_FORMATTING!CD187</f>
        <v>#NAME?</v>
      </c>
      <c r="AI41" s="880" t="e">
        <f>DATA_FORMATTING!CE187</f>
        <v>#NAME?</v>
      </c>
      <c r="AJ41" s="880" t="e">
        <f>DATA_FORMATTING!CF187</f>
        <v>#NAME?</v>
      </c>
      <c r="AK41" s="880" t="e">
        <f>DATA_FORMATTING!CG187</f>
        <v>#NAME?</v>
      </c>
      <c r="AL41" s="880" t="e">
        <f>DATA_FORMATTING!CH187</f>
        <v>#NAME?</v>
      </c>
    </row>
    <row r="42" spans="1:38">
      <c r="A42" s="894">
        <v>297</v>
      </c>
      <c r="B42" s="895" t="s">
        <v>579</v>
      </c>
      <c r="C42" s="1075" t="e">
        <f>DATA_FORMATTING!AY189</f>
        <v>#NAME?</v>
      </c>
      <c r="D42" s="880" t="e">
        <f>DATA_FORMATTING!AZ189</f>
        <v>#NAME?</v>
      </c>
      <c r="E42" s="880" t="e">
        <f>DATA_FORMATTING!BA189</f>
        <v>#NAME?</v>
      </c>
      <c r="F42" s="880" t="e">
        <f>DATA_FORMATTING!BB189</f>
        <v>#NAME?</v>
      </c>
      <c r="G42" s="880" t="e">
        <f>DATA_FORMATTING!BC189</f>
        <v>#NAME?</v>
      </c>
      <c r="H42" s="880" t="e">
        <f>DATA_FORMATTING!BD189</f>
        <v>#NAME?</v>
      </c>
      <c r="I42" s="880" t="e">
        <f>DATA_FORMATTING!BE189</f>
        <v>#NAME?</v>
      </c>
      <c r="J42" s="880" t="e">
        <f>DATA_FORMATTING!BF189</f>
        <v>#NAME?</v>
      </c>
      <c r="K42" s="880" t="e">
        <f>DATA_FORMATTING!BG189</f>
        <v>#NAME?</v>
      </c>
      <c r="L42" s="880" t="e">
        <f>DATA_FORMATTING!BH189</f>
        <v>#NAME?</v>
      </c>
      <c r="M42" s="880" t="e">
        <f>DATA_FORMATTING!BI189</f>
        <v>#NAME?</v>
      </c>
      <c r="N42" s="880" t="e">
        <f>DATA_FORMATTING!BJ189</f>
        <v>#NAME?</v>
      </c>
      <c r="O42" s="880" t="e">
        <f>DATA_FORMATTING!BK189</f>
        <v>#NAME?</v>
      </c>
      <c r="P42" s="880" t="e">
        <f>DATA_FORMATTING!BL189</f>
        <v>#NAME?</v>
      </c>
      <c r="Q42" s="880" t="e">
        <f>DATA_FORMATTING!BM189</f>
        <v>#NAME?</v>
      </c>
      <c r="R42" s="880" t="e">
        <f>DATA_FORMATTING!BN189</f>
        <v>#NAME?</v>
      </c>
      <c r="S42" s="880" t="e">
        <f>DATA_FORMATTING!BO189</f>
        <v>#NAME?</v>
      </c>
      <c r="T42" s="880" t="e">
        <f>DATA_FORMATTING!BP189</f>
        <v>#NAME?</v>
      </c>
      <c r="U42" s="880" t="e">
        <f>DATA_FORMATTING!BQ189</f>
        <v>#NAME?</v>
      </c>
      <c r="V42" s="880" t="e">
        <f>DATA_FORMATTING!BR189</f>
        <v>#NAME?</v>
      </c>
      <c r="W42" s="880" t="e">
        <f>DATA_FORMATTING!BS189</f>
        <v>#NAME?</v>
      </c>
      <c r="X42" s="880" t="e">
        <f>DATA_FORMATTING!BT189</f>
        <v>#NAME?</v>
      </c>
      <c r="Y42" s="880" t="e">
        <f>DATA_FORMATTING!BU189</f>
        <v>#NAME?</v>
      </c>
      <c r="Z42" s="880" t="e">
        <f>DATA_FORMATTING!BV189</f>
        <v>#NAME?</v>
      </c>
      <c r="AA42" s="880" t="e">
        <f>DATA_FORMATTING!BW189</f>
        <v>#NAME?</v>
      </c>
      <c r="AB42" s="880" t="e">
        <f>DATA_FORMATTING!BX189</f>
        <v>#NAME?</v>
      </c>
      <c r="AC42" s="880" t="e">
        <f>DATA_FORMATTING!BY189</f>
        <v>#NAME?</v>
      </c>
      <c r="AD42" s="880" t="e">
        <f>DATA_FORMATTING!BZ189</f>
        <v>#NAME?</v>
      </c>
      <c r="AE42" s="880" t="e">
        <f>DATA_FORMATTING!CA189</f>
        <v>#NAME?</v>
      </c>
      <c r="AF42" s="880" t="e">
        <f>DATA_FORMATTING!CB189</f>
        <v>#NAME?</v>
      </c>
      <c r="AG42" s="880" t="e">
        <f>DATA_FORMATTING!CC189</f>
        <v>#NAME?</v>
      </c>
      <c r="AH42" s="880" t="e">
        <f>DATA_FORMATTING!CD189</f>
        <v>#NAME?</v>
      </c>
      <c r="AI42" s="880" t="e">
        <f>DATA_FORMATTING!CE189</f>
        <v>#NAME?</v>
      </c>
      <c r="AJ42" s="880" t="e">
        <f>DATA_FORMATTING!CF189</f>
        <v>#NAME?</v>
      </c>
      <c r="AK42" s="880" t="e">
        <f>DATA_FORMATTING!CG189</f>
        <v>#NAME?</v>
      </c>
      <c r="AL42" s="880" t="e">
        <f>DATA_FORMATTING!CH189</f>
        <v>#NAME?</v>
      </c>
    </row>
    <row r="43" spans="1:38">
      <c r="A43" s="894">
        <v>298</v>
      </c>
      <c r="B43" s="895" t="s">
        <v>580</v>
      </c>
      <c r="C43" s="1075" t="e">
        <f>DATA_FORMATTING!AY194</f>
        <v>#NAME?</v>
      </c>
      <c r="D43" s="880" t="e">
        <f>DATA_FORMATTING!AZ194</f>
        <v>#NAME?</v>
      </c>
      <c r="E43" s="880" t="e">
        <f>DATA_FORMATTING!BA194</f>
        <v>#NAME?</v>
      </c>
      <c r="F43" s="880" t="e">
        <f>DATA_FORMATTING!BB194</f>
        <v>#NAME?</v>
      </c>
      <c r="G43" s="880" t="e">
        <f>DATA_FORMATTING!BC194</f>
        <v>#NAME?</v>
      </c>
      <c r="H43" s="880" t="e">
        <f>DATA_FORMATTING!BD194</f>
        <v>#NAME?</v>
      </c>
      <c r="I43" s="880" t="e">
        <f>DATA_FORMATTING!BE194</f>
        <v>#NAME?</v>
      </c>
      <c r="J43" s="880" t="e">
        <f>DATA_FORMATTING!BF194</f>
        <v>#NAME?</v>
      </c>
      <c r="K43" s="880" t="e">
        <f>DATA_FORMATTING!BG194</f>
        <v>#NAME?</v>
      </c>
      <c r="L43" s="880" t="e">
        <f>DATA_FORMATTING!BH194</f>
        <v>#NAME?</v>
      </c>
      <c r="M43" s="880" t="e">
        <f>DATA_FORMATTING!BI194</f>
        <v>#NAME?</v>
      </c>
      <c r="N43" s="880" t="e">
        <f>DATA_FORMATTING!BJ194</f>
        <v>#NAME?</v>
      </c>
      <c r="O43" s="880" t="e">
        <f>DATA_FORMATTING!BK194</f>
        <v>#NAME?</v>
      </c>
      <c r="P43" s="880" t="e">
        <f>DATA_FORMATTING!BL194</f>
        <v>#NAME?</v>
      </c>
      <c r="Q43" s="880" t="e">
        <f>DATA_FORMATTING!BM194</f>
        <v>#NAME?</v>
      </c>
      <c r="R43" s="880" t="e">
        <f>DATA_FORMATTING!BN194</f>
        <v>#NAME?</v>
      </c>
      <c r="S43" s="880" t="e">
        <f>DATA_FORMATTING!BO194</f>
        <v>#NAME?</v>
      </c>
      <c r="T43" s="880" t="e">
        <f>DATA_FORMATTING!BP194</f>
        <v>#NAME?</v>
      </c>
      <c r="U43" s="880" t="e">
        <f>DATA_FORMATTING!BQ194</f>
        <v>#NAME?</v>
      </c>
      <c r="V43" s="880" t="e">
        <f>DATA_FORMATTING!BR194</f>
        <v>#NAME?</v>
      </c>
      <c r="W43" s="880" t="e">
        <f>DATA_FORMATTING!BS194</f>
        <v>#NAME?</v>
      </c>
      <c r="X43" s="880" t="e">
        <f>DATA_FORMATTING!BT194</f>
        <v>#NAME?</v>
      </c>
      <c r="Y43" s="880" t="e">
        <f>DATA_FORMATTING!BU194</f>
        <v>#NAME?</v>
      </c>
      <c r="Z43" s="880" t="e">
        <f>DATA_FORMATTING!BV194</f>
        <v>#NAME?</v>
      </c>
      <c r="AA43" s="880" t="e">
        <f>DATA_FORMATTING!BW194</f>
        <v>#NAME?</v>
      </c>
      <c r="AB43" s="880" t="e">
        <f>DATA_FORMATTING!BX194</f>
        <v>#NAME?</v>
      </c>
      <c r="AC43" s="880" t="e">
        <f>DATA_FORMATTING!BY194</f>
        <v>#NAME?</v>
      </c>
      <c r="AD43" s="880" t="e">
        <f>DATA_FORMATTING!BZ194</f>
        <v>#NAME?</v>
      </c>
      <c r="AE43" s="880" t="e">
        <f>DATA_FORMATTING!CA194</f>
        <v>#NAME?</v>
      </c>
      <c r="AF43" s="880" t="e">
        <f>DATA_FORMATTING!CB194</f>
        <v>#NAME?</v>
      </c>
      <c r="AG43" s="880" t="e">
        <f>DATA_FORMATTING!CC194</f>
        <v>#NAME?</v>
      </c>
      <c r="AH43" s="880" t="e">
        <f>DATA_FORMATTING!CD194</f>
        <v>#NAME?</v>
      </c>
      <c r="AI43" s="880" t="e">
        <f>DATA_FORMATTING!CE194</f>
        <v>#NAME?</v>
      </c>
      <c r="AJ43" s="880" t="e">
        <f>DATA_FORMATTING!CF194</f>
        <v>#NAME?</v>
      </c>
      <c r="AK43" s="880" t="e">
        <f>DATA_FORMATTING!CG194</f>
        <v>#NAME?</v>
      </c>
      <c r="AL43" s="880" t="e">
        <f>DATA_FORMATTING!CH194</f>
        <v>#NAME?</v>
      </c>
    </row>
    <row r="44" spans="1:38">
      <c r="A44" s="894">
        <v>299</v>
      </c>
      <c r="B44" s="895" t="s">
        <v>581</v>
      </c>
      <c r="C44" s="1075" t="e">
        <f>DATA_FORMATTING!AY193</f>
        <v>#NAME?</v>
      </c>
      <c r="D44" s="880" t="e">
        <f>DATA_FORMATTING!AZ193</f>
        <v>#NAME?</v>
      </c>
      <c r="E44" s="880" t="e">
        <f>DATA_FORMATTING!BA193</f>
        <v>#NAME?</v>
      </c>
      <c r="F44" s="880" t="e">
        <f>DATA_FORMATTING!BB193</f>
        <v>#NAME?</v>
      </c>
      <c r="G44" s="880" t="e">
        <f>DATA_FORMATTING!BC193</f>
        <v>#NAME?</v>
      </c>
      <c r="H44" s="880" t="e">
        <f>DATA_FORMATTING!BD193</f>
        <v>#NAME?</v>
      </c>
      <c r="I44" s="880" t="e">
        <f>DATA_FORMATTING!BE193</f>
        <v>#NAME?</v>
      </c>
      <c r="J44" s="880" t="e">
        <f>DATA_FORMATTING!BF193</f>
        <v>#NAME?</v>
      </c>
      <c r="K44" s="880" t="e">
        <f>DATA_FORMATTING!BG193</f>
        <v>#NAME?</v>
      </c>
      <c r="L44" s="880" t="e">
        <f>DATA_FORMATTING!BH193</f>
        <v>#NAME?</v>
      </c>
      <c r="M44" s="880" t="e">
        <f>DATA_FORMATTING!BI193</f>
        <v>#NAME?</v>
      </c>
      <c r="N44" s="880" t="e">
        <f>DATA_FORMATTING!BJ193</f>
        <v>#NAME?</v>
      </c>
      <c r="O44" s="880" t="e">
        <f>DATA_FORMATTING!BK193</f>
        <v>#NAME?</v>
      </c>
      <c r="P44" s="880" t="e">
        <f>DATA_FORMATTING!BL193</f>
        <v>#NAME?</v>
      </c>
      <c r="Q44" s="880" t="e">
        <f>DATA_FORMATTING!BM193</f>
        <v>#NAME?</v>
      </c>
      <c r="R44" s="880" t="e">
        <f>DATA_FORMATTING!BN193</f>
        <v>#NAME?</v>
      </c>
      <c r="S44" s="880" t="e">
        <f>DATA_FORMATTING!BO193</f>
        <v>#NAME?</v>
      </c>
      <c r="T44" s="880" t="e">
        <f>DATA_FORMATTING!BP193</f>
        <v>#NAME?</v>
      </c>
      <c r="U44" s="880" t="e">
        <f>DATA_FORMATTING!BQ193</f>
        <v>#NAME?</v>
      </c>
      <c r="V44" s="880" t="e">
        <f>DATA_FORMATTING!BR193</f>
        <v>#NAME?</v>
      </c>
      <c r="W44" s="880" t="e">
        <f>DATA_FORMATTING!BS193</f>
        <v>#NAME?</v>
      </c>
      <c r="X44" s="880" t="e">
        <f>DATA_FORMATTING!BT193</f>
        <v>#NAME?</v>
      </c>
      <c r="Y44" s="880" t="e">
        <f>DATA_FORMATTING!BU193</f>
        <v>#NAME?</v>
      </c>
      <c r="Z44" s="880" t="e">
        <f>DATA_FORMATTING!BV193</f>
        <v>#NAME?</v>
      </c>
      <c r="AA44" s="880" t="e">
        <f>DATA_FORMATTING!BW193</f>
        <v>#NAME?</v>
      </c>
      <c r="AB44" s="880" t="e">
        <f>DATA_FORMATTING!BX193</f>
        <v>#NAME?</v>
      </c>
      <c r="AC44" s="880" t="e">
        <f>DATA_FORMATTING!BY193</f>
        <v>#NAME?</v>
      </c>
      <c r="AD44" s="880" t="e">
        <f>DATA_FORMATTING!BZ193</f>
        <v>#NAME?</v>
      </c>
      <c r="AE44" s="880" t="e">
        <f>DATA_FORMATTING!CA193</f>
        <v>#NAME?</v>
      </c>
      <c r="AF44" s="880" t="e">
        <f>DATA_FORMATTING!CB193</f>
        <v>#NAME?</v>
      </c>
      <c r="AG44" s="880" t="e">
        <f>DATA_FORMATTING!CC193</f>
        <v>#NAME?</v>
      </c>
      <c r="AH44" s="880" t="e">
        <f>DATA_FORMATTING!CD193</f>
        <v>#NAME?</v>
      </c>
      <c r="AI44" s="880" t="e">
        <f>DATA_FORMATTING!CE193</f>
        <v>#NAME?</v>
      </c>
      <c r="AJ44" s="880" t="e">
        <f>DATA_FORMATTING!CF193</f>
        <v>#NAME?</v>
      </c>
      <c r="AK44" s="880" t="e">
        <f>DATA_FORMATTING!CG193</f>
        <v>#NAME?</v>
      </c>
      <c r="AL44" s="880" t="e">
        <f>DATA_FORMATTING!CH193</f>
        <v>#NAME?</v>
      </c>
    </row>
    <row r="45" spans="1:38">
      <c r="A45" s="894">
        <v>300</v>
      </c>
      <c r="B45" s="895" t="s">
        <v>105</v>
      </c>
      <c r="C45" s="1075" t="str">
        <f>IFERROR(DATA_FORMATTING!E135,"")</f>
        <v/>
      </c>
      <c r="D45" s="880" t="str">
        <f>IFERROR(DATA_FORMATTING!F135,"")</f>
        <v/>
      </c>
      <c r="E45" s="880" t="str">
        <f>IFERROR(DATA_FORMATTING!G135,"")</f>
        <v/>
      </c>
      <c r="F45" s="880" t="str">
        <f>IFERROR(DATA_FORMATTING!H135,"")</f>
        <v/>
      </c>
      <c r="G45" s="880" t="str">
        <f>IFERROR(DATA_FORMATTING!I135,"")</f>
        <v/>
      </c>
      <c r="H45" s="880" t="str">
        <f>IFERROR(DATA_FORMATTING!J135,"")</f>
        <v/>
      </c>
      <c r="I45" s="880" t="str">
        <f>IFERROR(DATA_FORMATTING!K135,"")</f>
        <v/>
      </c>
      <c r="J45" s="880" t="str">
        <f>IFERROR(DATA_FORMATTING!L135,"")</f>
        <v/>
      </c>
      <c r="K45" s="880" t="str">
        <f>IFERROR(DATA_FORMATTING!M135,"")</f>
        <v/>
      </c>
      <c r="L45" s="880" t="str">
        <f>IFERROR(DATA_FORMATTING!N135,"")</f>
        <v/>
      </c>
      <c r="M45" s="880" t="str">
        <f>IFERROR(DATA_FORMATTING!O135,"")</f>
        <v/>
      </c>
      <c r="N45" s="880" t="str">
        <f>IFERROR(DATA_FORMATTING!P135,"")</f>
        <v/>
      </c>
      <c r="O45" s="880" t="str">
        <f>IFERROR(DATA_FORMATTING!Q135,"")</f>
        <v/>
      </c>
      <c r="P45" s="880" t="str">
        <f>IFERROR(DATA_FORMATTING!R135,"")</f>
        <v/>
      </c>
      <c r="Q45" s="880" t="str">
        <f>IFERROR(DATA_FORMATTING!S135,"")</f>
        <v/>
      </c>
      <c r="R45" s="880" t="str">
        <f>IFERROR(DATA_FORMATTING!T135,"")</f>
        <v/>
      </c>
      <c r="S45" s="880" t="str">
        <f>IFERROR(DATA_FORMATTING!U135,"")</f>
        <v/>
      </c>
      <c r="T45" s="880" t="str">
        <f>IFERROR(DATA_FORMATTING!V135,"")</f>
        <v/>
      </c>
      <c r="U45" s="880" t="str">
        <f>IFERROR(DATA_FORMATTING!W135,"")</f>
        <v/>
      </c>
      <c r="V45" s="880" t="str">
        <f>IFERROR(DATA_FORMATTING!X135,"")</f>
        <v/>
      </c>
      <c r="W45" s="880" t="str">
        <f>IFERROR(DATA_FORMATTING!Y135,"")</f>
        <v/>
      </c>
      <c r="X45" s="880" t="str">
        <f>IFERROR(DATA_FORMATTING!Z135,"")</f>
        <v/>
      </c>
      <c r="Y45" s="880" t="str">
        <f>IFERROR(DATA_FORMATTING!AA135,"")</f>
        <v/>
      </c>
      <c r="Z45" s="880" t="str">
        <f>IFERROR(DATA_FORMATTING!AB135,"")</f>
        <v/>
      </c>
      <c r="AA45" s="880" t="str">
        <f>IFERROR(DATA_FORMATTING!AC135,"")</f>
        <v/>
      </c>
      <c r="AB45" s="880" t="str">
        <f>IFERROR(DATA_FORMATTING!AD135,"")</f>
        <v/>
      </c>
      <c r="AC45" s="880" t="str">
        <f>IFERROR(DATA_FORMATTING!AE135,"")</f>
        <v/>
      </c>
      <c r="AD45" s="880" t="str">
        <f>IFERROR(DATA_FORMATTING!AF135,"")</f>
        <v/>
      </c>
      <c r="AE45" s="880" t="str">
        <f>IFERROR(DATA_FORMATTING!AG135,"")</f>
        <v/>
      </c>
      <c r="AF45" s="880" t="str">
        <f>IFERROR(DATA_FORMATTING!AH135,"")</f>
        <v/>
      </c>
      <c r="AG45" s="880" t="str">
        <f>IFERROR(DATA_FORMATTING!AI135,"")</f>
        <v/>
      </c>
      <c r="AH45" s="880" t="str">
        <f>IFERROR(DATA_FORMATTING!AJ135,"")</f>
        <v/>
      </c>
      <c r="AI45" s="880" t="str">
        <f>IFERROR(DATA_FORMATTING!AK135,"")</f>
        <v/>
      </c>
      <c r="AJ45" s="880" t="str">
        <f>IFERROR(DATA_FORMATTING!AL135,"")</f>
        <v/>
      </c>
      <c r="AK45" s="880" t="str">
        <f>IFERROR(DATA_FORMATTING!AM135,"")</f>
        <v/>
      </c>
      <c r="AL45" s="880" t="str">
        <f>IFERROR(DATA_FORMATTING!AN135,"")</f>
        <v/>
      </c>
    </row>
    <row r="46" spans="1:38">
      <c r="A46" s="894">
        <v>302</v>
      </c>
      <c r="B46" s="895" t="s">
        <v>621</v>
      </c>
      <c r="C46" s="1075" t="e">
        <f>DATA_FORMATTING!E134+DATA_FORMATTING!E135</f>
        <v>#VALUE!</v>
      </c>
      <c r="D46" s="1075" t="e">
        <f>DATA_FORMATTING!F134+DATA_FORMATTING!F135</f>
        <v>#VALUE!</v>
      </c>
      <c r="E46" s="1075" t="e">
        <f>DATA_FORMATTING!G134+DATA_FORMATTING!G135</f>
        <v>#VALUE!</v>
      </c>
      <c r="F46" s="1075" t="e">
        <f>DATA_FORMATTING!H134+DATA_FORMATTING!H135</f>
        <v>#VALUE!</v>
      </c>
      <c r="G46" s="1075" t="e">
        <f>DATA_FORMATTING!I134+DATA_FORMATTING!I135</f>
        <v>#VALUE!</v>
      </c>
      <c r="H46" s="1075" t="e">
        <f>DATA_FORMATTING!J134+DATA_FORMATTING!J135</f>
        <v>#VALUE!</v>
      </c>
      <c r="I46" s="1075" t="e">
        <f>DATA_FORMATTING!K134+DATA_FORMATTING!K135</f>
        <v>#VALUE!</v>
      </c>
      <c r="J46" s="1075" t="e">
        <f>DATA_FORMATTING!L134+DATA_FORMATTING!L135</f>
        <v>#VALUE!</v>
      </c>
      <c r="K46" s="1075" t="e">
        <f>DATA_FORMATTING!M134+DATA_FORMATTING!M135</f>
        <v>#VALUE!</v>
      </c>
      <c r="L46" s="1075" t="e">
        <f>DATA_FORMATTING!N134+DATA_FORMATTING!N135</f>
        <v>#VALUE!</v>
      </c>
      <c r="M46" s="1075" t="e">
        <f>DATA_FORMATTING!O134+DATA_FORMATTING!O135</f>
        <v>#VALUE!</v>
      </c>
      <c r="N46" s="1075" t="e">
        <f>DATA_FORMATTING!P134+DATA_FORMATTING!P135</f>
        <v>#VALUE!</v>
      </c>
      <c r="O46" s="1075" t="e">
        <f>DATA_FORMATTING!Q134+DATA_FORMATTING!Q135</f>
        <v>#VALUE!</v>
      </c>
      <c r="P46" s="1075" t="e">
        <f>DATA_FORMATTING!R134+DATA_FORMATTING!R135</f>
        <v>#VALUE!</v>
      </c>
      <c r="Q46" s="1075" t="e">
        <f>DATA_FORMATTING!S134+DATA_FORMATTING!S135</f>
        <v>#VALUE!</v>
      </c>
      <c r="R46" s="1075" t="e">
        <f>DATA_FORMATTING!T134+DATA_FORMATTING!T135</f>
        <v>#VALUE!</v>
      </c>
      <c r="S46" s="1075" t="e">
        <f>DATA_FORMATTING!U134+DATA_FORMATTING!U135</f>
        <v>#VALUE!</v>
      </c>
      <c r="T46" s="1075" t="e">
        <f>DATA_FORMATTING!V134+DATA_FORMATTING!V135</f>
        <v>#VALUE!</v>
      </c>
      <c r="U46" s="1075" t="e">
        <f>DATA_FORMATTING!W134+DATA_FORMATTING!W135</f>
        <v>#VALUE!</v>
      </c>
      <c r="V46" s="1075" t="e">
        <f>DATA_FORMATTING!X134+DATA_FORMATTING!X135</f>
        <v>#VALUE!</v>
      </c>
      <c r="W46" s="1075" t="e">
        <f>DATA_FORMATTING!Y134+DATA_FORMATTING!Y135</f>
        <v>#VALUE!</v>
      </c>
      <c r="X46" s="1075" t="e">
        <f>DATA_FORMATTING!Z134+DATA_FORMATTING!Z135</f>
        <v>#VALUE!</v>
      </c>
      <c r="Y46" s="1075" t="e">
        <f>DATA_FORMATTING!AA134+DATA_FORMATTING!AA135</f>
        <v>#VALUE!</v>
      </c>
      <c r="Z46" s="1075" t="e">
        <f>DATA_FORMATTING!AB134+DATA_FORMATTING!AB135</f>
        <v>#VALUE!</v>
      </c>
      <c r="AA46" s="1075" t="e">
        <f>DATA_FORMATTING!AC134+DATA_FORMATTING!AC135</f>
        <v>#VALUE!</v>
      </c>
      <c r="AB46" s="1075" t="e">
        <f>DATA_FORMATTING!AD134+DATA_FORMATTING!AD135</f>
        <v>#VALUE!</v>
      </c>
      <c r="AC46" s="1075" t="e">
        <f>DATA_FORMATTING!AE134+DATA_FORMATTING!AE135</f>
        <v>#VALUE!</v>
      </c>
      <c r="AD46" s="1075" t="e">
        <f>DATA_FORMATTING!AF134+DATA_FORMATTING!AF135</f>
        <v>#VALUE!</v>
      </c>
      <c r="AE46" s="1075" t="e">
        <f>DATA_FORMATTING!AG134+DATA_FORMATTING!AG135</f>
        <v>#VALUE!</v>
      </c>
      <c r="AF46" s="1075" t="e">
        <f>DATA_FORMATTING!AH134+DATA_FORMATTING!AH135</f>
        <v>#VALUE!</v>
      </c>
      <c r="AG46" s="1075" t="e">
        <f>DATA_FORMATTING!AI134+DATA_FORMATTING!AI135</f>
        <v>#VALUE!</v>
      </c>
      <c r="AH46" s="1075" t="e">
        <f>DATA_FORMATTING!AJ134+DATA_FORMATTING!AJ135</f>
        <v>#VALUE!</v>
      </c>
      <c r="AI46" s="1075" t="e">
        <f>DATA_FORMATTING!AK134+DATA_FORMATTING!AK135</f>
        <v>#VALUE!</v>
      </c>
      <c r="AJ46" s="1075" t="e">
        <f>DATA_FORMATTING!AL134+DATA_FORMATTING!AL135</f>
        <v>#VALUE!</v>
      </c>
      <c r="AK46" s="1075" t="e">
        <f>DATA_FORMATTING!AM134+DATA_FORMATTING!AM135</f>
        <v>#VALUE!</v>
      </c>
      <c r="AL46" s="1075" t="e">
        <f>DATA_FORMATTING!AN134+DATA_FORMATTING!AN135</f>
        <v>#NAME?</v>
      </c>
    </row>
    <row r="47" spans="1:38">
      <c r="A47" s="894">
        <v>306</v>
      </c>
      <c r="B47" s="895" t="s">
        <v>103</v>
      </c>
      <c r="C47" s="1075" t="str">
        <f>IFERROR(DATA_FORMATTING!E134,"")</f>
        <v/>
      </c>
      <c r="D47" s="1075" t="str">
        <f>IFERROR(DATA_FORMATTING!F134,"")</f>
        <v/>
      </c>
      <c r="E47" s="1075" t="str">
        <f>IFERROR(DATA_FORMATTING!G134,"")</f>
        <v/>
      </c>
      <c r="F47" s="1075" t="str">
        <f>IFERROR(DATA_FORMATTING!H134,"")</f>
        <v/>
      </c>
      <c r="G47" s="1075" t="str">
        <f>IFERROR(DATA_FORMATTING!I134,"")</f>
        <v/>
      </c>
      <c r="H47" s="1075" t="str">
        <f>IFERROR(DATA_FORMATTING!J134,"")</f>
        <v/>
      </c>
      <c r="I47" s="1075" t="str">
        <f>IFERROR(DATA_FORMATTING!K134,"")</f>
        <v/>
      </c>
      <c r="J47" s="1075" t="str">
        <f>IFERROR(DATA_FORMATTING!L134,"")</f>
        <v/>
      </c>
      <c r="K47" s="1075" t="str">
        <f>IFERROR(DATA_FORMATTING!M134,"")</f>
        <v/>
      </c>
      <c r="L47" s="1075" t="str">
        <f>IFERROR(DATA_FORMATTING!N134,"")</f>
        <v/>
      </c>
      <c r="M47" s="1075" t="str">
        <f>IFERROR(DATA_FORMATTING!O134,"")</f>
        <v/>
      </c>
      <c r="N47" s="1075" t="str">
        <f>IFERROR(DATA_FORMATTING!P134,"")</f>
        <v/>
      </c>
      <c r="O47" s="1075" t="str">
        <f>IFERROR(DATA_FORMATTING!Q134,"")</f>
        <v/>
      </c>
      <c r="P47" s="1075" t="str">
        <f>IFERROR(DATA_FORMATTING!R134,"")</f>
        <v/>
      </c>
      <c r="Q47" s="1075" t="str">
        <f>IFERROR(DATA_FORMATTING!S134,"")</f>
        <v/>
      </c>
      <c r="R47" s="1075" t="str">
        <f>IFERROR(DATA_FORMATTING!T134,"")</f>
        <v/>
      </c>
      <c r="S47" s="1075" t="str">
        <f>IFERROR(DATA_FORMATTING!U134,"")</f>
        <v/>
      </c>
      <c r="T47" s="1075" t="str">
        <f>IFERROR(DATA_FORMATTING!V134,"")</f>
        <v/>
      </c>
      <c r="U47" s="1075" t="str">
        <f>IFERROR(DATA_FORMATTING!W134,"")</f>
        <v/>
      </c>
      <c r="V47" s="1075" t="str">
        <f>IFERROR(DATA_FORMATTING!X134,"")</f>
        <v/>
      </c>
      <c r="W47" s="1075" t="str">
        <f>IFERROR(DATA_FORMATTING!Y134,"")</f>
        <v/>
      </c>
      <c r="X47" s="1075" t="str">
        <f>IFERROR(DATA_FORMATTING!Z134,"")</f>
        <v/>
      </c>
      <c r="Y47" s="1075" t="str">
        <f>IFERROR(DATA_FORMATTING!AA134,"")</f>
        <v/>
      </c>
      <c r="Z47" s="1075" t="str">
        <f>IFERROR(DATA_FORMATTING!AB134,"")</f>
        <v/>
      </c>
      <c r="AA47" s="1075" t="str">
        <f>IFERROR(DATA_FORMATTING!AC134,"")</f>
        <v/>
      </c>
      <c r="AB47" s="1075" t="str">
        <f>IFERROR(DATA_FORMATTING!AD134,"")</f>
        <v/>
      </c>
      <c r="AC47" s="1075" t="str">
        <f>IFERROR(DATA_FORMATTING!AE134,"")</f>
        <v/>
      </c>
      <c r="AD47" s="1075" t="str">
        <f>IFERROR(DATA_FORMATTING!AF134,"")</f>
        <v/>
      </c>
      <c r="AE47" s="1075" t="str">
        <f>IFERROR(DATA_FORMATTING!AG134,"")</f>
        <v/>
      </c>
      <c r="AF47" s="1075" t="str">
        <f>IFERROR(DATA_FORMATTING!AH134,"")</f>
        <v/>
      </c>
      <c r="AG47" s="1075" t="str">
        <f>IFERROR(DATA_FORMATTING!AI134,"")</f>
        <v/>
      </c>
      <c r="AH47" s="1075" t="str">
        <f>IFERROR(DATA_FORMATTING!AJ134,"")</f>
        <v/>
      </c>
      <c r="AI47" s="1075" t="str">
        <f>IFERROR(DATA_FORMATTING!AK134,"")</f>
        <v/>
      </c>
      <c r="AJ47" s="1075" t="str">
        <f>IFERROR(DATA_FORMATTING!AL134,"")</f>
        <v/>
      </c>
      <c r="AK47" s="1075" t="str">
        <f>IFERROR(DATA_FORMATTING!AM134,"")</f>
        <v/>
      </c>
      <c r="AL47" s="1075" t="str">
        <f>IFERROR(DATA_FORMATTING!AN134,"")</f>
        <v/>
      </c>
    </row>
    <row r="48" spans="1:38">
      <c r="A48" s="831">
        <v>307</v>
      </c>
      <c r="B48" s="895" t="s">
        <v>182</v>
      </c>
      <c r="C48" s="1075" t="e">
        <f ca="1">-DATA_FORMATTING!AY131*12/IF(MOD(MONTH(C1)-MONTH(C3)+1,12)=0,12,MOD(MONTH(C1)-MONTH(C3)+1,12))</f>
        <v>#NAME?</v>
      </c>
      <c r="D48" s="1075" t="e">
        <f ca="1">-DATA_FORMATTING!AZ131*12/IF(MOD(MONTH(D1)-MONTH(D3)+1,12)=0,12,MOD(MONTH(D1)-MONTH(D3)+1,12))</f>
        <v>#NAME?</v>
      </c>
      <c r="E48" s="1075" t="e">
        <f ca="1">-DATA_FORMATTING!BA131*12/IF(MOD(MONTH(E1)-MONTH(E3)+1,12)=0,12,MOD(MONTH(E1)-MONTH(E3)+1,12))</f>
        <v>#NAME?</v>
      </c>
      <c r="F48" s="1075" t="e">
        <f ca="1">-DATA_FORMATTING!BB131*12/IF(MOD(MONTH(F1)-MONTH(F3)+1,12)=0,12,MOD(MONTH(F1)-MONTH(F3)+1,12))</f>
        <v>#NAME?</v>
      </c>
      <c r="G48" s="1075" t="e">
        <f ca="1">-DATA_FORMATTING!BC131*12/IF(MOD(MONTH(G1)-MONTH(G3)+1,12)=0,12,MOD(MONTH(G1)-MONTH(G3)+1,12))</f>
        <v>#NAME?</v>
      </c>
      <c r="H48" s="1075" t="e">
        <f ca="1">-DATA_FORMATTING!BD131*12/IF(MOD(MONTH(H1)-MONTH(H3)+1,12)=0,12,MOD(MONTH(H1)-MONTH(H3)+1,12))</f>
        <v>#NAME?</v>
      </c>
      <c r="I48" s="1075" t="e">
        <f ca="1">-DATA_FORMATTING!BE131*12/IF(MOD(MONTH(I1)-MONTH(I3)+1,12)=0,12,MOD(MONTH(I1)-MONTH(I3)+1,12))</f>
        <v>#NAME?</v>
      </c>
      <c r="J48" s="1075" t="e">
        <f ca="1">-DATA_FORMATTING!BF131*12/IF(MOD(MONTH(J1)-MONTH(J3)+1,12)=0,12,MOD(MONTH(J1)-MONTH(J3)+1,12))</f>
        <v>#NAME?</v>
      </c>
      <c r="K48" s="1075" t="e">
        <f ca="1">-DATA_FORMATTING!BG131*12/IF(MOD(MONTH(K1)-MONTH(K3)+1,12)=0,12,MOD(MONTH(K1)-MONTH(K3)+1,12))</f>
        <v>#NAME?</v>
      </c>
      <c r="L48" s="1075" t="e">
        <f ca="1">-DATA_FORMATTING!BH131*12/IF(MOD(MONTH(L1)-MONTH(L3)+1,12)=0,12,MOD(MONTH(L1)-MONTH(L3)+1,12))</f>
        <v>#NAME?</v>
      </c>
      <c r="M48" s="1075" t="e">
        <f ca="1">-DATA_FORMATTING!BI131*12/IF(MOD(MONTH(M1)-MONTH(M3)+1,12)=0,12,MOD(MONTH(M1)-MONTH(M3)+1,12))</f>
        <v>#NAME?</v>
      </c>
      <c r="N48" s="1075" t="e">
        <f ca="1">-DATA_FORMATTING!BJ131*12/IF(MOD(MONTH(N1)-MONTH(N3)+1,12)=0,12,MOD(MONTH(N1)-MONTH(N3)+1,12))</f>
        <v>#NAME?</v>
      </c>
      <c r="O48" s="1075" t="e">
        <f ca="1">-DATA_FORMATTING!BK131*12/IF(MOD(MONTH(O1)-MONTH(O3)+1,12)=0,12,MOD(MONTH(O1)-MONTH(O3)+1,12))</f>
        <v>#NAME?</v>
      </c>
      <c r="P48" s="1075" t="e">
        <f ca="1">-DATA_FORMATTING!BL131*12/IF(MOD(MONTH(P1)-MONTH(P3)+1,12)=0,12,MOD(MONTH(P1)-MONTH(P3)+1,12))</f>
        <v>#NAME?</v>
      </c>
      <c r="Q48" s="1075" t="e">
        <f ca="1">-DATA_FORMATTING!BM131*12/IF(MOD(MONTH(Q1)-MONTH(Q3)+1,12)=0,12,MOD(MONTH(Q1)-MONTH(Q3)+1,12))</f>
        <v>#NAME?</v>
      </c>
      <c r="R48" s="1075" t="e">
        <f ca="1">-DATA_FORMATTING!BN131*12/IF(MOD(MONTH(R1)-MONTH(R3)+1,12)=0,12,MOD(MONTH(R1)-MONTH(R3)+1,12))</f>
        <v>#NAME?</v>
      </c>
      <c r="S48" s="1075" t="e">
        <f ca="1">-DATA_FORMATTING!BO131*12/IF(MOD(MONTH(S1)-MONTH(S3)+1,12)=0,12,MOD(MONTH(S1)-MONTH(S3)+1,12))</f>
        <v>#NAME?</v>
      </c>
      <c r="T48" s="1075" t="e">
        <f ca="1">-DATA_FORMATTING!BP131*12/IF(MOD(MONTH(T1)-MONTH(T3)+1,12)=0,12,MOD(MONTH(T1)-MONTH(T3)+1,12))</f>
        <v>#NAME?</v>
      </c>
      <c r="U48" s="1075" t="e">
        <f ca="1">-DATA_FORMATTING!BQ131*12/IF(MOD(MONTH(U1)-MONTH(U3)+1,12)=0,12,MOD(MONTH(U1)-MONTH(U3)+1,12))</f>
        <v>#NAME?</v>
      </c>
      <c r="V48" s="1075" t="e">
        <f ca="1">-DATA_FORMATTING!BR131*12/IF(MOD(MONTH(V1)-MONTH(V3)+1,12)=0,12,MOD(MONTH(V1)-MONTH(V3)+1,12))</f>
        <v>#NAME?</v>
      </c>
      <c r="W48" s="1075" t="e">
        <f ca="1">-DATA_FORMATTING!BS131*12/IF(MOD(MONTH(W1)-MONTH(W3)+1,12)=0,12,MOD(MONTH(W1)-MONTH(W3)+1,12))</f>
        <v>#NAME?</v>
      </c>
      <c r="X48" s="1075" t="e">
        <f ca="1">-DATA_FORMATTING!BT131*12/IF(MOD(MONTH(X1)-MONTH(X3)+1,12)=0,12,MOD(MONTH(X1)-MONTH(X3)+1,12))</f>
        <v>#NAME?</v>
      </c>
      <c r="Y48" s="1075" t="e">
        <f ca="1">-DATA_FORMATTING!BU131*12/IF(MOD(MONTH(Y1)-MONTH(Y3)+1,12)=0,12,MOD(MONTH(Y1)-MONTH(Y3)+1,12))</f>
        <v>#NAME?</v>
      </c>
      <c r="Z48" s="1075" t="e">
        <f ca="1">-DATA_FORMATTING!BV131*12/IF(MOD(MONTH(Z1)-MONTH(Z3)+1,12)=0,12,MOD(MONTH(Z1)-MONTH(Z3)+1,12))</f>
        <v>#NAME?</v>
      </c>
      <c r="AA48" s="1075" t="e">
        <f ca="1">-DATA_FORMATTING!BW131*12/IF(MOD(MONTH(AA1)-MONTH(AA3)+1,12)=0,12,MOD(MONTH(AA1)-MONTH(AA3)+1,12))</f>
        <v>#NAME?</v>
      </c>
      <c r="AB48" s="1075" t="e">
        <f ca="1">-DATA_FORMATTING!BX131*12/IF(MOD(MONTH(AB1)-MONTH(AB3)+1,12)=0,12,MOD(MONTH(AB1)-MONTH(AB3)+1,12))</f>
        <v>#NAME?</v>
      </c>
      <c r="AC48" s="1075" t="e">
        <f ca="1">-DATA_FORMATTING!BY131*12/IF(MOD(MONTH(AC1)-MONTH(AC3)+1,12)=0,12,MOD(MONTH(AC1)-MONTH(AC3)+1,12))</f>
        <v>#NAME?</v>
      </c>
      <c r="AD48" s="1075" t="e">
        <f ca="1">-DATA_FORMATTING!BZ131*12/IF(MOD(MONTH(AD1)-MONTH(AD3)+1,12)=0,12,MOD(MONTH(AD1)-MONTH(AD3)+1,12))</f>
        <v>#NAME?</v>
      </c>
      <c r="AE48" s="1075" t="e">
        <f ca="1">-DATA_FORMATTING!CA131*12/IF(MOD(MONTH(AE1)-MONTH(AE3)+1,12)=0,12,MOD(MONTH(AE1)-MONTH(AE3)+1,12))</f>
        <v>#NAME?</v>
      </c>
      <c r="AF48" s="1075" t="e">
        <f ca="1">-DATA_FORMATTING!CB131*12/IF(MOD(MONTH(AF1)-MONTH(AF3)+1,12)=0,12,MOD(MONTH(AF1)-MONTH(AF3)+1,12))</f>
        <v>#NAME?</v>
      </c>
      <c r="AG48" s="1075" t="e">
        <f ca="1">-DATA_FORMATTING!CC131*12/IF(MOD(MONTH(AG1)-MONTH(AG3)+1,12)=0,12,MOD(MONTH(AG1)-MONTH(AG3)+1,12))</f>
        <v>#NAME?</v>
      </c>
      <c r="AH48" s="1075" t="e">
        <f ca="1">-DATA_FORMATTING!CD131*12/IF(MOD(MONTH(AH1)-MONTH(AH3)+1,12)=0,12,MOD(MONTH(AH1)-MONTH(AH3)+1,12))</f>
        <v>#NAME?</v>
      </c>
      <c r="AI48" s="1075" t="e">
        <f ca="1">-DATA_FORMATTING!CE131*12/IF(MOD(MONTH(AI1)-MONTH(AI3)+1,12)=0,12,MOD(MONTH(AI1)-MONTH(AI3)+1,12))</f>
        <v>#NAME?</v>
      </c>
      <c r="AJ48" s="1075" t="e">
        <f ca="1">-DATA_FORMATTING!CF131*12/IF(MOD(MONTH(AJ1)-MONTH(AJ3)+1,12)=0,12,MOD(MONTH(AJ1)-MONTH(AJ3)+1,12))</f>
        <v>#NAME?</v>
      </c>
      <c r="AK48" s="1075" t="e">
        <f ca="1">-DATA_FORMATTING!CG131*12/IF(MOD(MONTH(AK1)-MONTH(AK3)+1,12)=0,12,MOD(MONTH(AK1)-MONTH(AK3)+1,12))</f>
        <v>#NAME?</v>
      </c>
      <c r="AL48" s="1075" t="e">
        <f ca="1">-DATA_FORMATTING!CH131*12/IF(MOD(MONTH(AL1)-MONTH(AL3)+1,12)=0,12,MOD(MONTH(AL1)-MONTH(AL3)+1,12))</f>
        <v>#NAME?</v>
      </c>
    </row>
    <row r="49" spans="1:38" ht="15.75" customHeight="1">
      <c r="A49" s="894">
        <v>308</v>
      </c>
      <c r="B49" s="895" t="s">
        <v>648</v>
      </c>
      <c r="C49" s="1075" t="e">
        <f>DATA_FORMATTING!AY205</f>
        <v>#NAME?</v>
      </c>
      <c r="D49" s="1075" t="e">
        <f>DATA_FORMATTING!AZ205</f>
        <v>#NAME?</v>
      </c>
      <c r="E49" s="1075" t="e">
        <f>DATA_FORMATTING!BA205</f>
        <v>#NAME?</v>
      </c>
      <c r="F49" s="1075" t="e">
        <f>DATA_FORMATTING!BB205</f>
        <v>#NAME?</v>
      </c>
      <c r="G49" s="1075" t="e">
        <f>DATA_FORMATTING!BC205</f>
        <v>#NAME?</v>
      </c>
      <c r="H49" s="1075" t="e">
        <f>DATA_FORMATTING!BD205</f>
        <v>#NAME?</v>
      </c>
      <c r="I49" s="1075" t="e">
        <f>DATA_FORMATTING!BE205</f>
        <v>#NAME?</v>
      </c>
      <c r="J49" s="1075" t="e">
        <f>DATA_FORMATTING!BF205</f>
        <v>#NAME?</v>
      </c>
      <c r="K49" s="1075" t="e">
        <f>DATA_FORMATTING!BG205</f>
        <v>#NAME?</v>
      </c>
      <c r="L49" s="1075" t="e">
        <f>DATA_FORMATTING!BH205</f>
        <v>#NAME?</v>
      </c>
      <c r="M49" s="1075" t="e">
        <f>DATA_FORMATTING!BI205</f>
        <v>#NAME?</v>
      </c>
      <c r="N49" s="1075" t="e">
        <f>DATA_FORMATTING!BJ205</f>
        <v>#NAME?</v>
      </c>
      <c r="O49" s="1075" t="e">
        <f>DATA_FORMATTING!BK205</f>
        <v>#NAME?</v>
      </c>
      <c r="P49" s="1075" t="e">
        <f>DATA_FORMATTING!BL205</f>
        <v>#NAME?</v>
      </c>
      <c r="Q49" s="1075" t="e">
        <f>DATA_FORMATTING!BM205</f>
        <v>#NAME?</v>
      </c>
      <c r="R49" s="1075" t="e">
        <f>DATA_FORMATTING!BN205</f>
        <v>#NAME?</v>
      </c>
      <c r="S49" s="1075" t="e">
        <f>DATA_FORMATTING!BO205</f>
        <v>#NAME?</v>
      </c>
      <c r="T49" s="1075" t="e">
        <f>DATA_FORMATTING!BP205</f>
        <v>#NAME?</v>
      </c>
      <c r="U49" s="1075" t="e">
        <f>DATA_FORMATTING!BQ205</f>
        <v>#NAME?</v>
      </c>
      <c r="V49" s="1075" t="e">
        <f>DATA_FORMATTING!BR205</f>
        <v>#NAME?</v>
      </c>
      <c r="W49" s="1075" t="e">
        <f>DATA_FORMATTING!BS205</f>
        <v>#NAME?</v>
      </c>
      <c r="X49" s="1075" t="e">
        <f>DATA_FORMATTING!BT205</f>
        <v>#NAME?</v>
      </c>
      <c r="Y49" s="1075" t="e">
        <f>DATA_FORMATTING!BU205</f>
        <v>#NAME?</v>
      </c>
      <c r="Z49" s="1075" t="e">
        <f>DATA_FORMATTING!BV205</f>
        <v>#NAME?</v>
      </c>
      <c r="AA49" s="1075" t="e">
        <f>DATA_FORMATTING!BW205</f>
        <v>#NAME?</v>
      </c>
      <c r="AB49" s="1075" t="e">
        <f>DATA_FORMATTING!BX205</f>
        <v>#NAME?</v>
      </c>
      <c r="AC49" s="1075" t="e">
        <f>DATA_FORMATTING!BY205</f>
        <v>#NAME?</v>
      </c>
      <c r="AD49" s="1075" t="e">
        <f>DATA_FORMATTING!BZ205</f>
        <v>#NAME?</v>
      </c>
      <c r="AE49" s="1075" t="e">
        <f>DATA_FORMATTING!CA205</f>
        <v>#NAME?</v>
      </c>
      <c r="AF49" s="1075" t="e">
        <f>DATA_FORMATTING!CB205</f>
        <v>#NAME?</v>
      </c>
      <c r="AG49" s="1075" t="e">
        <f>DATA_FORMATTING!CC205</f>
        <v>#NAME?</v>
      </c>
      <c r="AH49" s="1075" t="e">
        <f>DATA_FORMATTING!CD205</f>
        <v>#NAME?</v>
      </c>
      <c r="AI49" s="1075" t="e">
        <f>DATA_FORMATTING!CE205</f>
        <v>#NAME?</v>
      </c>
      <c r="AJ49" s="1075" t="e">
        <f>DATA_FORMATTING!CF205</f>
        <v>#NAME?</v>
      </c>
      <c r="AK49" s="1075" t="e">
        <f>DATA_FORMATTING!CG205</f>
        <v>#NAME?</v>
      </c>
      <c r="AL49" s="1075" t="e">
        <f>DATA_FORMATTING!CH205</f>
        <v>#NAME?</v>
      </c>
    </row>
    <row r="50" spans="1:38" ht="15.75" customHeight="1">
      <c r="A50" s="894">
        <v>309</v>
      </c>
      <c r="B50" s="895" t="s">
        <v>649</v>
      </c>
      <c r="C50" s="1075" t="str">
        <f>IFERROR(DATA_FORMATTING!AY142,"")</f>
        <v/>
      </c>
      <c r="D50" s="1075" t="str">
        <f>IFERROR(DATA_FORMATTING!AZ142,"")</f>
        <v/>
      </c>
      <c r="E50" s="1075" t="str">
        <f>IFERROR(DATA_FORMATTING!BA142,"")</f>
        <v/>
      </c>
      <c r="F50" s="1075" t="str">
        <f>IFERROR(DATA_FORMATTING!BB142,"")</f>
        <v/>
      </c>
      <c r="G50" s="1075" t="str">
        <f>IFERROR(DATA_FORMATTING!BC142,"")</f>
        <v/>
      </c>
      <c r="H50" s="1075" t="str">
        <f>IFERROR(DATA_FORMATTING!BD142,"")</f>
        <v/>
      </c>
      <c r="I50" s="1075" t="str">
        <f>IFERROR(DATA_FORMATTING!BE142,"")</f>
        <v/>
      </c>
      <c r="J50" s="1075" t="str">
        <f>IFERROR(DATA_FORMATTING!BF142,"")</f>
        <v/>
      </c>
      <c r="K50" s="1075" t="str">
        <f>IFERROR(DATA_FORMATTING!BG142,"")</f>
        <v/>
      </c>
      <c r="L50" s="1075" t="str">
        <f>IFERROR(DATA_FORMATTING!BH142,"")</f>
        <v/>
      </c>
      <c r="M50" s="1075" t="str">
        <f>IFERROR(DATA_FORMATTING!BI142,"")</f>
        <v/>
      </c>
      <c r="N50" s="1075" t="str">
        <f>IFERROR(DATA_FORMATTING!BJ142,"")</f>
        <v/>
      </c>
      <c r="O50" s="1075" t="str">
        <f>IFERROR(DATA_FORMATTING!BK142,"")</f>
        <v/>
      </c>
      <c r="P50" s="1075" t="str">
        <f>IFERROR(DATA_FORMATTING!BL142,"")</f>
        <v/>
      </c>
      <c r="Q50" s="1075" t="str">
        <f>IFERROR(DATA_FORMATTING!BM142,"")</f>
        <v/>
      </c>
      <c r="R50" s="1075" t="str">
        <f>IFERROR(DATA_FORMATTING!BN142,"")</f>
        <v/>
      </c>
      <c r="S50" s="1075" t="str">
        <f>IFERROR(DATA_FORMATTING!BO142,"")</f>
        <v/>
      </c>
      <c r="T50" s="1075" t="str">
        <f>IFERROR(DATA_FORMATTING!BP142,"")</f>
        <v/>
      </c>
      <c r="U50" s="1075" t="str">
        <f>IFERROR(DATA_FORMATTING!BQ142,"")</f>
        <v/>
      </c>
      <c r="V50" s="1075" t="str">
        <f>IFERROR(DATA_FORMATTING!BR142,"")</f>
        <v/>
      </c>
      <c r="W50" s="1075" t="str">
        <f>IFERROR(DATA_FORMATTING!BS142,"")</f>
        <v/>
      </c>
      <c r="X50" s="1075" t="str">
        <f>IFERROR(DATA_FORMATTING!BT142,"")</f>
        <v/>
      </c>
      <c r="Y50" s="1075" t="str">
        <f>IFERROR(DATA_FORMATTING!BU142,"")</f>
        <v/>
      </c>
      <c r="Z50" s="1075" t="str">
        <f>IFERROR(DATA_FORMATTING!BV142,"")</f>
        <v/>
      </c>
      <c r="AA50" s="1075" t="str">
        <f>IFERROR(DATA_FORMATTING!BW142,"")</f>
        <v/>
      </c>
      <c r="AB50" s="1075" t="str">
        <f>IFERROR(DATA_FORMATTING!BX142,"")</f>
        <v/>
      </c>
      <c r="AC50" s="1075" t="str">
        <f>IFERROR(DATA_FORMATTING!BY142,"")</f>
        <v/>
      </c>
      <c r="AD50" s="1075" t="str">
        <f>IFERROR(DATA_FORMATTING!BZ142,"")</f>
        <v/>
      </c>
      <c r="AE50" s="1075" t="str">
        <f>IFERROR(DATA_FORMATTING!CA142,"")</f>
        <v/>
      </c>
      <c r="AF50" s="1075" t="str">
        <f>IFERROR(DATA_FORMATTING!CB142,"")</f>
        <v/>
      </c>
      <c r="AG50" s="1075" t="str">
        <f>IFERROR(DATA_FORMATTING!CC142,"")</f>
        <v/>
      </c>
      <c r="AH50" s="1075" t="str">
        <f>IFERROR(DATA_FORMATTING!CD142,"")</f>
        <v/>
      </c>
      <c r="AI50" s="1075" t="str">
        <f>IFERROR(DATA_FORMATTING!CE142,"")</f>
        <v/>
      </c>
      <c r="AJ50" s="1075" t="str">
        <f>IFERROR(DATA_FORMATTING!CF142,"")</f>
        <v/>
      </c>
      <c r="AK50" s="1075" t="str">
        <f>IFERROR(DATA_FORMATTING!CG142,"")</f>
        <v/>
      </c>
      <c r="AL50" s="1075" t="str">
        <f>IFERROR(DATA_FORMATTING!CH142,"")</f>
        <v/>
      </c>
    </row>
    <row r="51" spans="1:38" ht="15.75" customHeight="1">
      <c r="A51" s="894">
        <v>310</v>
      </c>
      <c r="B51" s="895" t="s">
        <v>650</v>
      </c>
      <c r="C51" s="1075"/>
      <c r="D51" s="880"/>
      <c r="E51" s="880"/>
      <c r="F51" s="880"/>
      <c r="G51" s="880"/>
      <c r="H51" s="880"/>
      <c r="I51" s="880"/>
      <c r="J51" s="880"/>
      <c r="K51" s="880" t="e">
        <f>AVERAGEIF(DATA_FORMATTING!A121:M121,1,DATA_FORMATTING!A134:M134)</f>
        <v>#DIV/0!</v>
      </c>
      <c r="L51" s="880" t="e">
        <f>AVERAGEIF(DATA_FORMATTING!B121:N121,1,DATA_FORMATTING!B134:N134)</f>
        <v>#DIV/0!</v>
      </c>
      <c r="M51" s="880" t="e">
        <f>AVERAGEIF(DATA_FORMATTING!C121:O121,1,DATA_FORMATTING!C134:O134)</f>
        <v>#DIV/0!</v>
      </c>
      <c r="N51" s="880" t="e">
        <f>AVERAGEIF(DATA_FORMATTING!D121:P121,1,DATA_FORMATTING!D134:P134)</f>
        <v>#DIV/0!</v>
      </c>
      <c r="O51" s="880" t="e">
        <f>AVERAGEIF(DATA_FORMATTING!E121:Q121,1,DATA_FORMATTING!E134:Q134)</f>
        <v>#DIV/0!</v>
      </c>
      <c r="P51" s="880" t="e">
        <f>AVERAGEIF(DATA_FORMATTING!F121:R121,1,DATA_FORMATTING!F134:R134)</f>
        <v>#DIV/0!</v>
      </c>
      <c r="Q51" s="880" t="e">
        <f>AVERAGEIF(DATA_FORMATTING!G121:S121,1,DATA_FORMATTING!G134:S134)</f>
        <v>#DIV/0!</v>
      </c>
      <c r="R51" s="880" t="e">
        <f>AVERAGEIF(DATA_FORMATTING!H121:T121,1,DATA_FORMATTING!H134:T134)</f>
        <v>#DIV/0!</v>
      </c>
      <c r="S51" s="880" t="e">
        <f>AVERAGEIF(DATA_FORMATTING!I121:U121,1,DATA_FORMATTING!I134:U134)</f>
        <v>#DIV/0!</v>
      </c>
      <c r="T51" s="880" t="e">
        <f>AVERAGEIF(DATA_FORMATTING!J121:V121,1,DATA_FORMATTING!J134:V134)</f>
        <v>#DIV/0!</v>
      </c>
      <c r="U51" s="880" t="e">
        <f>AVERAGEIF(DATA_FORMATTING!K121:W121,1,DATA_FORMATTING!K134:W134)</f>
        <v>#DIV/0!</v>
      </c>
      <c r="V51" s="880" t="e">
        <f>AVERAGEIF(DATA_FORMATTING!L121:X121,1,DATA_FORMATTING!L134:X134)</f>
        <v>#DIV/0!</v>
      </c>
      <c r="W51" s="880" t="e">
        <f>AVERAGEIF(DATA_FORMATTING!M121:Y121,1,DATA_FORMATTING!M134:Y134)</f>
        <v>#DIV/0!</v>
      </c>
      <c r="X51" s="880" t="e">
        <f>AVERAGEIF(DATA_FORMATTING!N121:Z121,1,DATA_FORMATTING!N134:Z134)</f>
        <v>#DIV/0!</v>
      </c>
      <c r="Y51" s="880" t="e">
        <f>AVERAGEIF(DATA_FORMATTING!O121:AA121,1,DATA_FORMATTING!O134:AA134)</f>
        <v>#DIV/0!</v>
      </c>
      <c r="Z51" s="880" t="e">
        <f>AVERAGEIF(DATA_FORMATTING!P121:AB121,1,DATA_FORMATTING!P134:AB134)</f>
        <v>#DIV/0!</v>
      </c>
      <c r="AA51" s="880" t="e">
        <f>AVERAGEIF(DATA_FORMATTING!Q121:AC121,1,DATA_FORMATTING!Q134:AC134)</f>
        <v>#DIV/0!</v>
      </c>
      <c r="AB51" s="880" t="e">
        <f>AVERAGEIF(DATA_FORMATTING!R121:AD121,1,DATA_FORMATTING!R134:AD134)</f>
        <v>#DIV/0!</v>
      </c>
      <c r="AC51" s="880" t="e">
        <f>AVERAGEIF(DATA_FORMATTING!S121:AE121,1,DATA_FORMATTING!S134:AE134)</f>
        <v>#DIV/0!</v>
      </c>
      <c r="AD51" s="880" t="e">
        <f>AVERAGEIF(DATA_FORMATTING!T121:AF121,1,DATA_FORMATTING!T134:AF134)</f>
        <v>#DIV/0!</v>
      </c>
      <c r="AE51" s="880" t="e">
        <f>AVERAGEIF(DATA_FORMATTING!U121:AG121,1,DATA_FORMATTING!U134:AG134)</f>
        <v>#DIV/0!</v>
      </c>
      <c r="AF51" s="880" t="e">
        <f>AVERAGEIF(DATA_FORMATTING!V121:AH121,1,DATA_FORMATTING!V134:AH134)</f>
        <v>#DIV/0!</v>
      </c>
      <c r="AG51" s="880" t="e">
        <f>AVERAGEIF(DATA_FORMATTING!W121:AI121,1,DATA_FORMATTING!W134:AI134)</f>
        <v>#DIV/0!</v>
      </c>
      <c r="AH51" s="880" t="e">
        <f>AVERAGEIF(DATA_FORMATTING!X121:AJ121,1,DATA_FORMATTING!X134:AJ134)</f>
        <v>#DIV/0!</v>
      </c>
      <c r="AI51" s="880" t="e">
        <f>AVERAGEIF(DATA_FORMATTING!Y121:AK121,1,DATA_FORMATTING!Y134:AK134)</f>
        <v>#DIV/0!</v>
      </c>
      <c r="AJ51" s="880" t="e">
        <f>AVERAGEIF(DATA_FORMATTING!Z121:AL121,1,DATA_FORMATTING!Z134:AL134)</f>
        <v>#DIV/0!</v>
      </c>
      <c r="AK51" s="880" t="e">
        <f>AVERAGEIF(DATA_FORMATTING!AA121:AM121,1,DATA_FORMATTING!AA134:AM134)</f>
        <v>#DIV/0!</v>
      </c>
      <c r="AL51" s="880" t="e">
        <f>AVERAGEIF(DATA_FORMATTING!AB121:AN121,1,DATA_FORMATTING!AB134:AN134)</f>
        <v>#DIV/0!</v>
      </c>
    </row>
    <row r="52" spans="1:38" ht="15.75" customHeight="1">
      <c r="A52" s="890">
        <v>311</v>
      </c>
      <c r="B52" s="895" t="s">
        <v>655</v>
      </c>
      <c r="C52" s="880" t="e">
        <f>SUM(DATA_FORMATTING!CT129:CT130)</f>
        <v>#NAME?</v>
      </c>
      <c r="D52" s="880" t="e">
        <f>SUM(DATA_FORMATTING!CU129:CU130)</f>
        <v>#NAME?</v>
      </c>
      <c r="E52" s="880" t="e">
        <f>SUM(DATA_FORMATTING!CV129:CV130)</f>
        <v>#NAME?</v>
      </c>
      <c r="F52" s="880" t="e">
        <f>SUM(DATA_FORMATTING!CW129:CW130)</f>
        <v>#NAME?</v>
      </c>
      <c r="G52" s="880" t="e">
        <f>SUM(DATA_FORMATTING!CX129:CX130)</f>
        <v>#NAME?</v>
      </c>
      <c r="H52" s="880" t="e">
        <f>SUM(DATA_FORMATTING!CY129:CY130)</f>
        <v>#NAME?</v>
      </c>
      <c r="I52" s="880" t="e">
        <f>SUM(DATA_FORMATTING!CZ129:CZ130)</f>
        <v>#NAME?</v>
      </c>
      <c r="J52" s="880" t="e">
        <f>SUM(DATA_FORMATTING!DA129:DA130)</f>
        <v>#NAME?</v>
      </c>
      <c r="K52" s="880" t="e">
        <f>SUM(DATA_FORMATTING!DB129:DB130)</f>
        <v>#NAME?</v>
      </c>
      <c r="L52" s="880" t="e">
        <f>SUM(DATA_FORMATTING!DC129:DC130)</f>
        <v>#NAME?</v>
      </c>
      <c r="M52" s="880" t="e">
        <f>SUM(DATA_FORMATTING!DD129:DD130)</f>
        <v>#NAME?</v>
      </c>
      <c r="N52" s="880" t="e">
        <f>SUM(DATA_FORMATTING!DE129:DE130)</f>
        <v>#NAME?</v>
      </c>
      <c r="O52" s="880" t="e">
        <f>SUM(DATA_FORMATTING!DF129:DF130)</f>
        <v>#NAME?</v>
      </c>
      <c r="P52" s="880" t="e">
        <f>SUM(DATA_FORMATTING!DG129:DG130)</f>
        <v>#NAME?</v>
      </c>
      <c r="Q52" s="880" t="e">
        <f>SUM(DATA_FORMATTING!DH129:DH130)</f>
        <v>#NAME?</v>
      </c>
      <c r="R52" s="880" t="e">
        <f>SUM(DATA_FORMATTING!DI129:DI130)</f>
        <v>#NAME?</v>
      </c>
      <c r="S52" s="880" t="e">
        <f>SUM(DATA_FORMATTING!DJ129:DJ130)</f>
        <v>#NAME?</v>
      </c>
      <c r="T52" s="880" t="e">
        <f>SUM(DATA_FORMATTING!DK129:DK130)</f>
        <v>#NAME?</v>
      </c>
      <c r="U52" s="880" t="e">
        <f>SUM(DATA_FORMATTING!DL129:DL130)</f>
        <v>#NAME?</v>
      </c>
      <c r="V52" s="880" t="e">
        <f>SUM(DATA_FORMATTING!DM129:DM130)</f>
        <v>#NAME?</v>
      </c>
      <c r="W52" s="880" t="e">
        <f>SUM(DATA_FORMATTING!DN129:DN130)</f>
        <v>#NAME?</v>
      </c>
      <c r="X52" s="880" t="e">
        <f>SUM(DATA_FORMATTING!DO129:DO130)</f>
        <v>#NAME?</v>
      </c>
      <c r="Y52" s="880" t="e">
        <f>SUM(DATA_FORMATTING!DP129:DP130)</f>
        <v>#NAME?</v>
      </c>
      <c r="Z52" s="880" t="e">
        <f>SUM(DATA_FORMATTING!DQ129:DQ130)</f>
        <v>#NAME?</v>
      </c>
      <c r="AA52" s="880" t="e">
        <f>SUM(DATA_FORMATTING!DR129:DR130)</f>
        <v>#NAME?</v>
      </c>
      <c r="AB52" s="880" t="e">
        <f>SUM(DATA_FORMATTING!DS129:DS130)</f>
        <v>#NAME?</v>
      </c>
      <c r="AC52" s="880" t="e">
        <f>SUM(DATA_FORMATTING!DT129:DT130)</f>
        <v>#NAME?</v>
      </c>
      <c r="AD52" s="880" t="e">
        <f>SUM(DATA_FORMATTING!DU129:DU130)</f>
        <v>#NAME?</v>
      </c>
      <c r="AE52" s="880" t="e">
        <f>SUM(DATA_FORMATTING!DV129:DV130)</f>
        <v>#NAME?</v>
      </c>
      <c r="AF52" s="880" t="e">
        <f>SUM(DATA_FORMATTING!DW129:DW130)</f>
        <v>#NAME?</v>
      </c>
      <c r="AG52" s="880" t="e">
        <f>SUM(DATA_FORMATTING!DX129:DX130)</f>
        <v>#NAME?</v>
      </c>
      <c r="AH52" s="880" t="e">
        <f>SUM(DATA_FORMATTING!DY129:DY130)</f>
        <v>#NAME?</v>
      </c>
      <c r="AI52" s="880" t="e">
        <f>SUM(DATA_FORMATTING!DZ129:DZ130)</f>
        <v>#NAME?</v>
      </c>
      <c r="AJ52" s="880" t="e">
        <f>SUM(DATA_FORMATTING!EA129:EA130)</f>
        <v>#NAME?</v>
      </c>
      <c r="AK52" s="880" t="e">
        <f>SUM(DATA_FORMATTING!EB129:EB130)</f>
        <v>#NAME?</v>
      </c>
      <c r="AL52" s="880" t="e">
        <f>SUM(DATA_FORMATTING!EC129:EC130)</f>
        <v>#NAME?</v>
      </c>
    </row>
    <row r="53" spans="1:38" ht="15.75" customHeight="1">
      <c r="B53" s="889"/>
      <c r="C53" s="1075"/>
      <c r="D53" s="880"/>
      <c r="E53" s="880"/>
      <c r="F53" s="880"/>
      <c r="G53" s="880"/>
      <c r="H53" s="880"/>
      <c r="I53" s="880"/>
      <c r="J53" s="880"/>
      <c r="K53" s="880"/>
      <c r="L53" s="880"/>
      <c r="M53" s="880"/>
      <c r="N53" s="880"/>
      <c r="O53" s="880"/>
      <c r="P53" s="880"/>
      <c r="Q53" s="880"/>
      <c r="R53" s="880"/>
      <c r="S53" s="880"/>
      <c r="T53" s="880"/>
      <c r="U53" s="880"/>
      <c r="V53" s="880"/>
      <c r="W53" s="880"/>
      <c r="X53" s="880"/>
      <c r="Y53" s="880"/>
      <c r="Z53" s="880"/>
      <c r="AA53" s="880"/>
      <c r="AB53" s="880"/>
      <c r="AC53" s="880"/>
      <c r="AD53" s="880"/>
      <c r="AE53" s="880"/>
      <c r="AF53" s="880"/>
      <c r="AG53" s="880"/>
      <c r="AH53" s="880"/>
      <c r="AI53" s="880"/>
      <c r="AJ53" s="880"/>
      <c r="AK53" s="880"/>
      <c r="AL53" s="880"/>
    </row>
    <row r="54" spans="1:38" ht="15.75" customHeight="1">
      <c r="B54" s="889"/>
      <c r="C54" s="1075"/>
      <c r="D54" s="880"/>
      <c r="E54" s="880"/>
      <c r="F54" s="880"/>
      <c r="G54" s="880"/>
      <c r="H54" s="880"/>
      <c r="I54" s="880"/>
      <c r="J54" s="880"/>
      <c r="K54" s="880"/>
      <c r="L54" s="880"/>
      <c r="M54" s="880"/>
      <c r="N54" s="880"/>
      <c r="O54" s="880"/>
      <c r="P54" s="880"/>
      <c r="Q54" s="880"/>
      <c r="R54" s="880"/>
      <c r="S54" s="880"/>
      <c r="T54" s="880"/>
      <c r="U54" s="880"/>
      <c r="V54" s="880"/>
      <c r="W54" s="880"/>
      <c r="X54" s="880"/>
      <c r="Y54" s="880"/>
      <c r="Z54" s="880"/>
      <c r="AA54" s="880"/>
      <c r="AB54" s="880"/>
      <c r="AC54" s="880"/>
      <c r="AD54" s="880"/>
      <c r="AE54" s="880"/>
      <c r="AF54" s="880"/>
      <c r="AG54" s="880"/>
      <c r="AH54" s="880"/>
      <c r="AI54" s="880"/>
      <c r="AJ54" s="880"/>
      <c r="AK54" s="880"/>
      <c r="AL54" s="880"/>
    </row>
    <row r="55" spans="1:38" ht="15.75" customHeight="1">
      <c r="B55" s="889"/>
      <c r="C55" s="1075"/>
      <c r="D55" s="880"/>
      <c r="E55" s="880"/>
      <c r="F55" s="880"/>
      <c r="G55" s="880"/>
      <c r="H55" s="880"/>
      <c r="I55" s="880"/>
      <c r="J55" s="880"/>
      <c r="K55" s="880"/>
      <c r="L55" s="880"/>
      <c r="M55" s="880"/>
      <c r="N55" s="880"/>
      <c r="O55" s="880"/>
      <c r="P55" s="880"/>
      <c r="Q55" s="880"/>
      <c r="R55" s="880"/>
      <c r="S55" s="880"/>
      <c r="T55" s="880"/>
      <c r="U55" s="880"/>
      <c r="V55" s="880"/>
      <c r="W55" s="880"/>
      <c r="X55" s="880"/>
      <c r="Y55" s="880"/>
      <c r="Z55" s="880"/>
      <c r="AA55" s="880"/>
      <c r="AB55" s="880"/>
      <c r="AC55" s="880"/>
      <c r="AD55" s="880"/>
      <c r="AE55" s="880"/>
      <c r="AF55" s="880"/>
      <c r="AG55" s="880"/>
      <c r="AH55" s="880"/>
      <c r="AI55" s="880"/>
      <c r="AJ55" s="880"/>
      <c r="AK55" s="880"/>
      <c r="AL55" s="880"/>
    </row>
    <row r="56" spans="1:38" ht="15.75" customHeight="1">
      <c r="B56" s="889"/>
      <c r="C56" s="1075"/>
      <c r="D56" s="880"/>
      <c r="E56" s="880"/>
      <c r="F56" s="880"/>
      <c r="G56" s="880"/>
      <c r="H56" s="880"/>
      <c r="I56" s="880"/>
      <c r="J56" s="880"/>
      <c r="K56" s="880"/>
      <c r="L56" s="880"/>
      <c r="M56" s="880"/>
      <c r="N56" s="880"/>
      <c r="O56" s="880"/>
      <c r="P56" s="880"/>
      <c r="Q56" s="880"/>
      <c r="R56" s="880"/>
      <c r="S56" s="880"/>
      <c r="T56" s="880"/>
      <c r="U56" s="880"/>
      <c r="V56" s="880"/>
      <c r="W56" s="880"/>
      <c r="X56" s="880"/>
      <c r="Y56" s="880"/>
      <c r="Z56" s="880"/>
      <c r="AA56" s="880"/>
      <c r="AB56" s="880"/>
      <c r="AC56" s="880"/>
      <c r="AD56" s="880"/>
      <c r="AE56" s="880"/>
      <c r="AF56" s="880"/>
      <c r="AG56" s="880"/>
      <c r="AH56" s="880"/>
      <c r="AI56" s="880"/>
      <c r="AJ56" s="880"/>
      <c r="AK56" s="880"/>
      <c r="AL56" s="880"/>
    </row>
    <row r="57" spans="1:38" ht="15.75" customHeight="1">
      <c r="B57" s="889"/>
      <c r="C57" s="1075"/>
      <c r="D57" s="880"/>
      <c r="E57" s="880"/>
      <c r="F57" s="880"/>
      <c r="G57" s="880"/>
      <c r="H57" s="880"/>
      <c r="I57" s="880"/>
      <c r="J57" s="880"/>
      <c r="K57" s="880"/>
      <c r="L57" s="880"/>
      <c r="M57" s="880"/>
      <c r="N57" s="880"/>
      <c r="O57" s="880"/>
      <c r="P57" s="880"/>
      <c r="Q57" s="880"/>
      <c r="R57" s="880"/>
      <c r="S57" s="880"/>
      <c r="T57" s="880"/>
      <c r="U57" s="880"/>
      <c r="V57" s="880"/>
      <c r="W57" s="880"/>
      <c r="X57" s="880"/>
      <c r="Y57" s="880"/>
      <c r="Z57" s="880"/>
      <c r="AA57" s="880"/>
      <c r="AB57" s="880"/>
      <c r="AC57" s="880"/>
      <c r="AD57" s="880"/>
      <c r="AE57" s="880"/>
      <c r="AF57" s="880"/>
      <c r="AG57" s="880"/>
      <c r="AH57" s="880"/>
      <c r="AI57" s="880"/>
      <c r="AJ57" s="880"/>
      <c r="AK57" s="880"/>
      <c r="AL57" s="880"/>
    </row>
    <row r="58" spans="1:38" ht="15.75" customHeight="1">
      <c r="B58" s="889"/>
      <c r="C58" s="1075"/>
      <c r="D58" s="880"/>
      <c r="E58" s="880"/>
      <c r="F58" s="880"/>
      <c r="G58" s="880"/>
      <c r="H58" s="880"/>
      <c r="I58" s="880"/>
      <c r="J58" s="880"/>
      <c r="K58" s="880"/>
      <c r="L58" s="880"/>
      <c r="M58" s="880"/>
      <c r="N58" s="880"/>
      <c r="O58" s="880"/>
      <c r="P58" s="880"/>
      <c r="Q58" s="880"/>
      <c r="R58" s="880"/>
      <c r="S58" s="880"/>
      <c r="T58" s="880"/>
      <c r="U58" s="880"/>
      <c r="V58" s="880"/>
      <c r="W58" s="880"/>
      <c r="X58" s="880"/>
      <c r="Y58" s="880"/>
      <c r="Z58" s="880"/>
      <c r="AA58" s="880"/>
      <c r="AB58" s="880"/>
      <c r="AC58" s="880"/>
      <c r="AD58" s="880"/>
      <c r="AE58" s="880"/>
      <c r="AF58" s="880"/>
      <c r="AG58" s="880"/>
      <c r="AH58" s="880"/>
      <c r="AI58" s="880"/>
      <c r="AJ58" s="880"/>
      <c r="AK58" s="880"/>
      <c r="AL58" s="880"/>
    </row>
    <row r="59" spans="1:38" ht="15.75" customHeight="1">
      <c r="B59" s="889"/>
      <c r="C59" s="1075"/>
      <c r="D59" s="880"/>
      <c r="E59" s="880"/>
      <c r="F59" s="880"/>
      <c r="G59" s="880"/>
      <c r="H59" s="880"/>
      <c r="I59" s="880"/>
      <c r="J59" s="880"/>
      <c r="K59" s="880"/>
      <c r="L59" s="880"/>
      <c r="M59" s="880"/>
      <c r="N59" s="880"/>
      <c r="O59" s="880"/>
      <c r="P59" s="880"/>
      <c r="Q59" s="880"/>
      <c r="R59" s="880"/>
      <c r="S59" s="880"/>
      <c r="T59" s="880"/>
      <c r="U59" s="880"/>
      <c r="V59" s="880"/>
      <c r="W59" s="880"/>
      <c r="X59" s="880"/>
      <c r="Y59" s="880"/>
      <c r="Z59" s="880"/>
      <c r="AA59" s="880"/>
      <c r="AB59" s="880"/>
      <c r="AC59" s="880"/>
      <c r="AD59" s="880"/>
      <c r="AE59" s="880"/>
      <c r="AF59" s="880"/>
      <c r="AG59" s="880"/>
      <c r="AH59" s="880"/>
      <c r="AI59" s="880"/>
      <c r="AJ59" s="880"/>
      <c r="AK59" s="880"/>
      <c r="AL59" s="880"/>
    </row>
    <row r="60" spans="1:38" ht="15.75" customHeight="1">
      <c r="B60" s="889"/>
      <c r="C60" s="1075"/>
      <c r="D60" s="880"/>
      <c r="E60" s="880"/>
      <c r="F60" s="880"/>
      <c r="G60" s="880"/>
      <c r="H60" s="880"/>
      <c r="I60" s="880"/>
      <c r="J60" s="880"/>
      <c r="K60" s="880"/>
      <c r="L60" s="880"/>
      <c r="M60" s="880"/>
      <c r="N60" s="880"/>
      <c r="O60" s="880"/>
      <c r="P60" s="880"/>
      <c r="Q60" s="880"/>
      <c r="R60" s="880"/>
      <c r="S60" s="880"/>
      <c r="T60" s="880"/>
      <c r="U60" s="880"/>
      <c r="V60" s="880"/>
      <c r="W60" s="880"/>
      <c r="X60" s="880"/>
      <c r="Y60" s="880"/>
      <c r="Z60" s="880"/>
      <c r="AA60" s="880"/>
      <c r="AB60" s="880"/>
      <c r="AC60" s="880"/>
      <c r="AD60" s="880"/>
      <c r="AE60" s="880"/>
      <c r="AF60" s="880"/>
      <c r="AG60" s="880"/>
      <c r="AH60" s="880"/>
      <c r="AI60" s="880"/>
      <c r="AJ60" s="880"/>
      <c r="AK60" s="880"/>
      <c r="AL60" s="880"/>
    </row>
    <row r="61" spans="1:38" ht="15.75" customHeight="1">
      <c r="B61" s="889"/>
      <c r="C61" s="1075"/>
      <c r="D61" s="880"/>
      <c r="E61" s="880"/>
      <c r="F61" s="880"/>
      <c r="G61" s="880"/>
      <c r="H61" s="880"/>
      <c r="I61" s="880"/>
      <c r="J61" s="880"/>
      <c r="K61" s="880"/>
      <c r="L61" s="880"/>
      <c r="M61" s="880"/>
      <c r="N61" s="880"/>
      <c r="O61" s="880"/>
      <c r="P61" s="880"/>
      <c r="Q61" s="880"/>
      <c r="R61" s="880"/>
      <c r="S61" s="880"/>
      <c r="T61" s="880"/>
      <c r="U61" s="880"/>
      <c r="V61" s="880"/>
      <c r="W61" s="880"/>
      <c r="X61" s="880"/>
      <c r="Y61" s="880"/>
      <c r="Z61" s="880"/>
      <c r="AA61" s="880"/>
      <c r="AB61" s="880"/>
      <c r="AC61" s="880"/>
      <c r="AD61" s="880"/>
      <c r="AE61" s="880"/>
      <c r="AF61" s="880"/>
      <c r="AG61" s="880"/>
      <c r="AH61" s="880"/>
      <c r="AI61" s="880"/>
      <c r="AJ61" s="880"/>
      <c r="AK61" s="880"/>
      <c r="AL61" s="880"/>
    </row>
    <row r="62" spans="1:38" ht="15.75" customHeight="1">
      <c r="B62" s="889"/>
      <c r="C62" s="1075"/>
      <c r="D62" s="880"/>
      <c r="E62" s="880"/>
      <c r="F62" s="880"/>
      <c r="G62" s="880"/>
      <c r="H62" s="880"/>
      <c r="I62" s="880"/>
      <c r="J62" s="880"/>
      <c r="K62" s="880"/>
      <c r="L62" s="880"/>
      <c r="M62" s="880"/>
      <c r="N62" s="880"/>
      <c r="O62" s="880"/>
      <c r="P62" s="880"/>
      <c r="Q62" s="880"/>
      <c r="R62" s="880"/>
      <c r="S62" s="880"/>
      <c r="T62" s="880"/>
      <c r="U62" s="880"/>
      <c r="V62" s="880"/>
      <c r="W62" s="880"/>
      <c r="X62" s="880"/>
      <c r="Y62" s="880"/>
      <c r="Z62" s="880"/>
      <c r="AA62" s="880"/>
      <c r="AB62" s="880"/>
      <c r="AC62" s="880"/>
      <c r="AD62" s="880"/>
      <c r="AE62" s="880"/>
      <c r="AF62" s="880"/>
      <c r="AG62" s="880"/>
      <c r="AH62" s="880"/>
      <c r="AI62" s="880"/>
      <c r="AJ62" s="880"/>
      <c r="AK62" s="880"/>
      <c r="AL62" s="880"/>
    </row>
    <row r="63" spans="1:38" ht="15.75" customHeight="1">
      <c r="B63" s="889"/>
      <c r="C63" s="1075"/>
      <c r="D63" s="880"/>
      <c r="E63" s="880"/>
      <c r="F63" s="880"/>
      <c r="G63" s="880"/>
      <c r="H63" s="880"/>
      <c r="I63" s="880"/>
      <c r="J63" s="880"/>
      <c r="K63" s="880"/>
      <c r="L63" s="880"/>
      <c r="M63" s="880"/>
      <c r="N63" s="880"/>
      <c r="O63" s="880"/>
      <c r="P63" s="880"/>
      <c r="Q63" s="880"/>
      <c r="R63" s="880"/>
      <c r="S63" s="880"/>
      <c r="T63" s="880"/>
      <c r="U63" s="880"/>
      <c r="V63" s="880"/>
      <c r="W63" s="880"/>
      <c r="X63" s="880"/>
      <c r="Y63" s="880"/>
      <c r="Z63" s="880"/>
      <c r="AA63" s="880"/>
      <c r="AB63" s="880"/>
      <c r="AC63" s="880"/>
      <c r="AD63" s="880"/>
      <c r="AE63" s="880"/>
      <c r="AF63" s="880"/>
      <c r="AG63" s="880"/>
      <c r="AH63" s="880"/>
      <c r="AI63" s="880"/>
      <c r="AJ63" s="880"/>
      <c r="AK63" s="880"/>
      <c r="AL63" s="880"/>
    </row>
    <row r="64" spans="1:38" ht="15.75" customHeight="1">
      <c r="B64" s="831"/>
      <c r="C64" s="1076"/>
      <c r="D64" s="880"/>
      <c r="E64" s="880"/>
      <c r="F64" s="880"/>
      <c r="G64" s="880"/>
      <c r="H64" s="880"/>
      <c r="I64" s="880"/>
      <c r="J64" s="880"/>
      <c r="K64" s="880"/>
      <c r="L64" s="880"/>
      <c r="M64" s="880"/>
      <c r="N64" s="880"/>
      <c r="O64" s="880"/>
      <c r="P64" s="880"/>
      <c r="Q64" s="880"/>
      <c r="R64" s="880"/>
      <c r="S64" s="880"/>
      <c r="T64" s="880"/>
      <c r="U64" s="880"/>
      <c r="V64" s="880"/>
      <c r="W64" s="880"/>
      <c r="X64" s="880"/>
      <c r="Y64" s="880"/>
      <c r="Z64" s="880"/>
      <c r="AA64" s="880"/>
      <c r="AB64" s="880"/>
      <c r="AC64" s="880"/>
      <c r="AD64" s="880"/>
      <c r="AE64" s="880"/>
      <c r="AF64" s="880"/>
      <c r="AG64" s="880"/>
      <c r="AH64" s="880"/>
      <c r="AI64" s="880"/>
      <c r="AJ64" s="880"/>
      <c r="AK64" s="880"/>
      <c r="AL64" s="880"/>
    </row>
    <row r="65" spans="2:38" ht="15.75" customHeight="1">
      <c r="B65" s="831"/>
      <c r="C65" s="1076"/>
      <c r="D65" s="880"/>
      <c r="E65" s="880"/>
      <c r="F65" s="880"/>
      <c r="G65" s="880"/>
      <c r="H65" s="880"/>
      <c r="I65" s="880"/>
      <c r="J65" s="880"/>
      <c r="K65" s="880"/>
      <c r="L65" s="880"/>
      <c r="M65" s="880"/>
      <c r="N65" s="880"/>
      <c r="O65" s="880"/>
      <c r="P65" s="880"/>
      <c r="Q65" s="880"/>
      <c r="R65" s="880"/>
      <c r="S65" s="880"/>
      <c r="T65" s="880"/>
      <c r="U65" s="880"/>
      <c r="V65" s="880"/>
      <c r="W65" s="880"/>
      <c r="X65" s="880"/>
      <c r="Y65" s="880"/>
      <c r="Z65" s="880"/>
      <c r="AA65" s="880"/>
      <c r="AB65" s="880"/>
      <c r="AC65" s="880"/>
      <c r="AD65" s="880"/>
      <c r="AE65" s="880"/>
      <c r="AF65" s="880"/>
      <c r="AG65" s="880"/>
      <c r="AH65" s="880"/>
      <c r="AI65" s="880"/>
      <c r="AJ65" s="880"/>
      <c r="AK65" s="880"/>
      <c r="AL65" s="880"/>
    </row>
    <row r="66" spans="2:38" ht="15.75" customHeight="1">
      <c r="B66" s="831"/>
      <c r="C66" s="1076"/>
      <c r="D66" s="880"/>
      <c r="E66" s="880"/>
      <c r="F66" s="880"/>
      <c r="G66" s="880"/>
      <c r="H66" s="880"/>
      <c r="I66" s="880"/>
      <c r="J66" s="880"/>
      <c r="K66" s="880"/>
      <c r="L66" s="880"/>
      <c r="M66" s="880"/>
      <c r="N66" s="880"/>
      <c r="O66" s="880"/>
      <c r="P66" s="880"/>
      <c r="Q66" s="880"/>
      <c r="R66" s="880"/>
      <c r="S66" s="880"/>
      <c r="T66" s="880"/>
      <c r="U66" s="880"/>
      <c r="V66" s="880"/>
      <c r="W66" s="880"/>
      <c r="X66" s="880"/>
      <c r="Y66" s="880"/>
      <c r="Z66" s="880"/>
      <c r="AA66" s="880"/>
      <c r="AB66" s="880"/>
      <c r="AC66" s="880"/>
      <c r="AD66" s="880"/>
      <c r="AE66" s="880"/>
      <c r="AF66" s="880"/>
      <c r="AG66" s="880"/>
      <c r="AH66" s="880"/>
      <c r="AI66" s="880"/>
      <c r="AJ66" s="880"/>
      <c r="AK66" s="880"/>
      <c r="AL66" s="880"/>
    </row>
    <row r="67" spans="2:38" ht="15.75" customHeight="1">
      <c r="B67" s="831"/>
      <c r="C67" s="1076"/>
      <c r="D67" s="880"/>
      <c r="E67" s="880"/>
      <c r="F67" s="880"/>
      <c r="G67" s="880"/>
      <c r="H67" s="880"/>
      <c r="I67" s="880"/>
      <c r="J67" s="880"/>
      <c r="K67" s="880"/>
      <c r="L67" s="880"/>
      <c r="M67" s="880"/>
      <c r="N67" s="880"/>
      <c r="O67" s="880"/>
      <c r="P67" s="880"/>
      <c r="Q67" s="880"/>
      <c r="R67" s="880"/>
      <c r="S67" s="880"/>
      <c r="T67" s="880"/>
      <c r="U67" s="880"/>
      <c r="V67" s="880"/>
      <c r="W67" s="880"/>
      <c r="X67" s="880"/>
      <c r="Y67" s="880"/>
      <c r="Z67" s="880"/>
      <c r="AA67" s="880"/>
      <c r="AB67" s="880"/>
      <c r="AC67" s="880"/>
      <c r="AD67" s="880"/>
      <c r="AE67" s="880"/>
      <c r="AF67" s="880"/>
      <c r="AG67" s="880"/>
      <c r="AH67" s="880"/>
      <c r="AI67" s="880"/>
      <c r="AJ67" s="880"/>
      <c r="AK67" s="880"/>
      <c r="AL67" s="880"/>
    </row>
    <row r="68" spans="2:38">
      <c r="C68" s="880"/>
      <c r="D68" s="880"/>
      <c r="E68" s="880"/>
      <c r="F68" s="880"/>
      <c r="G68" s="880"/>
      <c r="H68" s="880"/>
      <c r="I68" s="880"/>
      <c r="J68" s="880"/>
      <c r="K68" s="880"/>
      <c r="L68" s="880"/>
      <c r="M68" s="880"/>
      <c r="N68" s="880"/>
      <c r="O68" s="880"/>
      <c r="P68" s="880"/>
      <c r="Q68" s="880"/>
      <c r="R68" s="880"/>
      <c r="S68" s="880"/>
      <c r="T68" s="880"/>
      <c r="U68" s="880"/>
      <c r="V68" s="880"/>
      <c r="W68" s="880"/>
      <c r="X68" s="880"/>
      <c r="Y68" s="880"/>
      <c r="Z68" s="880"/>
      <c r="AA68" s="880"/>
      <c r="AB68" s="880"/>
      <c r="AC68" s="880"/>
      <c r="AD68" s="880"/>
      <c r="AE68" s="880"/>
      <c r="AF68" s="880"/>
      <c r="AG68" s="880"/>
      <c r="AH68" s="880"/>
      <c r="AI68" s="880"/>
      <c r="AJ68" s="880"/>
      <c r="AK68" s="880"/>
      <c r="AL68" s="880"/>
    </row>
    <row r="69" spans="2:38">
      <c r="C69" s="880"/>
      <c r="D69" s="880"/>
      <c r="E69" s="880"/>
      <c r="F69" s="880"/>
      <c r="G69" s="880"/>
      <c r="H69" s="880"/>
      <c r="I69" s="880"/>
      <c r="J69" s="880"/>
      <c r="K69" s="880"/>
      <c r="L69" s="880"/>
      <c r="M69" s="880"/>
      <c r="N69" s="880"/>
      <c r="O69" s="880"/>
      <c r="P69" s="880"/>
      <c r="Q69" s="880"/>
      <c r="R69" s="880"/>
      <c r="S69" s="880"/>
      <c r="T69" s="880"/>
      <c r="U69" s="880"/>
      <c r="V69" s="880"/>
      <c r="W69" s="880"/>
      <c r="X69" s="880"/>
      <c r="Y69" s="880"/>
      <c r="Z69" s="880"/>
      <c r="AA69" s="880"/>
      <c r="AB69" s="880"/>
      <c r="AC69" s="880"/>
      <c r="AD69" s="880"/>
      <c r="AE69" s="880"/>
      <c r="AF69" s="880"/>
      <c r="AG69" s="880"/>
      <c r="AH69" s="880"/>
      <c r="AI69" s="880"/>
      <c r="AJ69" s="880"/>
      <c r="AK69" s="880"/>
      <c r="AL69" s="880"/>
    </row>
    <row r="70" spans="2:38">
      <c r="C70" s="880"/>
      <c r="D70" s="880"/>
      <c r="E70" s="880"/>
      <c r="F70" s="880"/>
      <c r="G70" s="880"/>
      <c r="H70" s="880"/>
      <c r="I70" s="880"/>
      <c r="J70" s="880"/>
      <c r="K70" s="880"/>
      <c r="L70" s="880"/>
      <c r="M70" s="880"/>
      <c r="N70" s="880"/>
      <c r="O70" s="880"/>
      <c r="P70" s="880"/>
      <c r="Q70" s="880"/>
      <c r="R70" s="880"/>
      <c r="S70" s="880"/>
      <c r="T70" s="880"/>
      <c r="U70" s="880"/>
      <c r="V70" s="880"/>
      <c r="W70" s="880"/>
      <c r="X70" s="880"/>
      <c r="Y70" s="880"/>
      <c r="Z70" s="880"/>
      <c r="AA70" s="880"/>
      <c r="AB70" s="880"/>
      <c r="AC70" s="880"/>
      <c r="AD70" s="880"/>
      <c r="AE70" s="880"/>
      <c r="AF70" s="880"/>
      <c r="AG70" s="880"/>
      <c r="AH70" s="880"/>
      <c r="AI70" s="880"/>
      <c r="AJ70" s="880"/>
      <c r="AK70" s="880"/>
      <c r="AL70" s="880"/>
    </row>
    <row r="71" spans="2:38">
      <c r="C71" s="880"/>
      <c r="D71" s="880"/>
      <c r="E71" s="880"/>
      <c r="F71" s="880"/>
      <c r="G71" s="880"/>
      <c r="H71" s="880"/>
      <c r="I71" s="880"/>
      <c r="J71" s="880"/>
      <c r="K71" s="880"/>
      <c r="L71" s="880"/>
      <c r="M71" s="880"/>
      <c r="N71" s="880"/>
      <c r="O71" s="880"/>
      <c r="P71" s="880"/>
      <c r="Q71" s="880"/>
      <c r="R71" s="880"/>
      <c r="S71" s="880"/>
      <c r="T71" s="880"/>
      <c r="U71" s="880"/>
      <c r="V71" s="880"/>
      <c r="W71" s="880"/>
      <c r="X71" s="880"/>
      <c r="Y71" s="880"/>
      <c r="Z71" s="880"/>
      <c r="AA71" s="880"/>
      <c r="AB71" s="880"/>
      <c r="AC71" s="880"/>
      <c r="AD71" s="880"/>
      <c r="AE71" s="880"/>
      <c r="AF71" s="880"/>
      <c r="AG71" s="880"/>
      <c r="AH71" s="880"/>
      <c r="AI71" s="880"/>
      <c r="AJ71" s="880"/>
      <c r="AK71" s="880"/>
      <c r="AL71" s="880"/>
    </row>
    <row r="72" spans="2:38">
      <c r="C72" s="880"/>
      <c r="D72" s="880"/>
      <c r="E72" s="880"/>
      <c r="F72" s="880"/>
      <c r="G72" s="880"/>
      <c r="H72" s="880"/>
      <c r="I72" s="880"/>
      <c r="J72" s="880"/>
      <c r="K72" s="880"/>
      <c r="L72" s="880"/>
      <c r="M72" s="880"/>
      <c r="N72" s="880"/>
      <c r="O72" s="880"/>
      <c r="P72" s="880"/>
      <c r="Q72" s="880"/>
      <c r="R72" s="880"/>
      <c r="S72" s="880"/>
      <c r="T72" s="880"/>
      <c r="U72" s="880"/>
      <c r="V72" s="880"/>
      <c r="W72" s="880"/>
      <c r="X72" s="880"/>
      <c r="Y72" s="880"/>
      <c r="Z72" s="880"/>
      <c r="AA72" s="880"/>
      <c r="AB72" s="880"/>
      <c r="AC72" s="880"/>
      <c r="AD72" s="880"/>
      <c r="AE72" s="880"/>
      <c r="AF72" s="880"/>
      <c r="AG72" s="880"/>
      <c r="AH72" s="880"/>
      <c r="AI72" s="880"/>
      <c r="AJ72" s="880"/>
      <c r="AK72" s="880"/>
      <c r="AL72" s="880"/>
    </row>
    <row r="73" spans="2:38">
      <c r="C73" s="880"/>
      <c r="D73" s="880"/>
      <c r="E73" s="880"/>
      <c r="F73" s="880"/>
      <c r="G73" s="880"/>
      <c r="H73" s="880"/>
      <c r="I73" s="880"/>
      <c r="J73" s="880"/>
      <c r="K73" s="880"/>
      <c r="L73" s="880"/>
      <c r="M73" s="880"/>
      <c r="N73" s="880"/>
      <c r="O73" s="880"/>
      <c r="P73" s="880"/>
      <c r="Q73" s="880"/>
      <c r="R73" s="880"/>
      <c r="S73" s="880"/>
      <c r="T73" s="880"/>
      <c r="U73" s="880"/>
      <c r="V73" s="880"/>
      <c r="W73" s="880"/>
      <c r="X73" s="880"/>
      <c r="Y73" s="880"/>
      <c r="Z73" s="880"/>
      <c r="AA73" s="880"/>
      <c r="AB73" s="880"/>
      <c r="AC73" s="880"/>
      <c r="AD73" s="880"/>
      <c r="AE73" s="880"/>
      <c r="AF73" s="880"/>
      <c r="AG73" s="880"/>
      <c r="AH73" s="880"/>
      <c r="AI73" s="880"/>
      <c r="AJ73" s="880"/>
      <c r="AK73" s="880"/>
      <c r="AL73" s="880"/>
    </row>
    <row r="74" spans="2:38">
      <c r="C74" s="880"/>
      <c r="D74" s="880"/>
      <c r="E74" s="880"/>
      <c r="F74" s="880"/>
      <c r="G74" s="880"/>
      <c r="H74" s="880"/>
      <c r="I74" s="880"/>
      <c r="J74" s="880"/>
      <c r="K74" s="880"/>
      <c r="L74" s="880"/>
      <c r="M74" s="880"/>
      <c r="N74" s="880"/>
      <c r="O74" s="880"/>
      <c r="P74" s="880"/>
      <c r="Q74" s="880"/>
      <c r="R74" s="880"/>
      <c r="S74" s="880"/>
      <c r="T74" s="880"/>
      <c r="U74" s="880"/>
      <c r="V74" s="880"/>
      <c r="W74" s="880"/>
      <c r="X74" s="880"/>
      <c r="Y74" s="880"/>
      <c r="Z74" s="880"/>
      <c r="AA74" s="880"/>
      <c r="AB74" s="880"/>
      <c r="AC74" s="880"/>
      <c r="AD74" s="880"/>
      <c r="AE74" s="880"/>
      <c r="AF74" s="880"/>
      <c r="AG74" s="880"/>
      <c r="AH74" s="880"/>
      <c r="AI74" s="880"/>
      <c r="AJ74" s="880"/>
      <c r="AK74" s="880"/>
      <c r="AL74" s="880"/>
    </row>
    <row r="75" spans="2:38">
      <c r="C75" s="880"/>
      <c r="D75" s="880"/>
      <c r="E75" s="880"/>
      <c r="F75" s="880"/>
      <c r="G75" s="880"/>
      <c r="H75" s="880"/>
      <c r="I75" s="880"/>
      <c r="J75" s="880"/>
      <c r="K75" s="880"/>
      <c r="L75" s="880"/>
      <c r="M75" s="880"/>
      <c r="N75" s="880"/>
      <c r="O75" s="880"/>
      <c r="P75" s="880"/>
      <c r="Q75" s="880"/>
      <c r="R75" s="880"/>
      <c r="S75" s="880"/>
      <c r="T75" s="880"/>
      <c r="U75" s="880"/>
      <c r="V75" s="880"/>
      <c r="W75" s="880"/>
      <c r="X75" s="880"/>
      <c r="Y75" s="880"/>
      <c r="Z75" s="880"/>
      <c r="AA75" s="880"/>
      <c r="AB75" s="880"/>
      <c r="AC75" s="880"/>
      <c r="AD75" s="880"/>
      <c r="AE75" s="880"/>
      <c r="AF75" s="880"/>
      <c r="AG75" s="880"/>
      <c r="AH75" s="880"/>
      <c r="AI75" s="880"/>
      <c r="AJ75" s="880"/>
      <c r="AK75" s="880"/>
      <c r="AL75" s="880"/>
    </row>
    <row r="76" spans="2:38">
      <c r="C76" s="880"/>
      <c r="D76" s="880"/>
      <c r="E76" s="880"/>
      <c r="F76" s="880"/>
      <c r="G76" s="880"/>
      <c r="H76" s="880"/>
      <c r="I76" s="880"/>
      <c r="J76" s="880"/>
      <c r="K76" s="880"/>
      <c r="L76" s="880"/>
      <c r="M76" s="880"/>
      <c r="N76" s="880"/>
      <c r="O76" s="880"/>
      <c r="P76" s="880"/>
      <c r="Q76" s="880"/>
      <c r="R76" s="880"/>
      <c r="S76" s="880"/>
      <c r="T76" s="880"/>
      <c r="U76" s="880"/>
      <c r="V76" s="880"/>
      <c r="W76" s="880"/>
      <c r="X76" s="880"/>
      <c r="Y76" s="880"/>
      <c r="Z76" s="880"/>
      <c r="AA76" s="880"/>
      <c r="AB76" s="880"/>
      <c r="AC76" s="880"/>
      <c r="AD76" s="880"/>
      <c r="AE76" s="880"/>
      <c r="AF76" s="880"/>
      <c r="AG76" s="880"/>
      <c r="AH76" s="880"/>
      <c r="AI76" s="880"/>
      <c r="AJ76" s="880"/>
      <c r="AK76" s="880"/>
      <c r="AL76" s="880"/>
    </row>
    <row r="77" spans="2:38">
      <c r="C77" s="880"/>
      <c r="D77" s="880"/>
      <c r="E77" s="880"/>
      <c r="F77" s="880"/>
      <c r="G77" s="880"/>
      <c r="H77" s="880"/>
      <c r="I77" s="880"/>
      <c r="J77" s="880"/>
      <c r="K77" s="880"/>
      <c r="L77" s="880"/>
      <c r="M77" s="880"/>
      <c r="N77" s="880"/>
      <c r="O77" s="880"/>
      <c r="P77" s="880"/>
      <c r="Q77" s="880"/>
      <c r="R77" s="880"/>
      <c r="S77" s="880"/>
      <c r="T77" s="880"/>
      <c r="U77" s="880"/>
      <c r="V77" s="880"/>
      <c r="W77" s="880"/>
      <c r="X77" s="880"/>
      <c r="Y77" s="880"/>
      <c r="Z77" s="880"/>
      <c r="AA77" s="880"/>
      <c r="AB77" s="880"/>
      <c r="AC77" s="880"/>
      <c r="AD77" s="880"/>
      <c r="AE77" s="880"/>
      <c r="AF77" s="880"/>
      <c r="AG77" s="880"/>
      <c r="AH77" s="880"/>
      <c r="AI77" s="880"/>
      <c r="AJ77" s="880"/>
      <c r="AK77" s="880"/>
      <c r="AL77" s="880"/>
    </row>
    <row r="78" spans="2:38">
      <c r="C78" s="880"/>
      <c r="D78" s="880"/>
      <c r="E78" s="880"/>
      <c r="F78" s="880"/>
      <c r="G78" s="880"/>
      <c r="H78" s="880"/>
      <c r="I78" s="880"/>
      <c r="J78" s="880"/>
      <c r="K78" s="880"/>
      <c r="L78" s="880"/>
      <c r="M78" s="880"/>
      <c r="N78" s="880"/>
      <c r="O78" s="880"/>
      <c r="P78" s="880"/>
      <c r="Q78" s="880"/>
      <c r="R78" s="880"/>
      <c r="S78" s="880"/>
      <c r="T78" s="880"/>
      <c r="U78" s="880"/>
      <c r="V78" s="880"/>
      <c r="W78" s="880"/>
      <c r="X78" s="880"/>
      <c r="Y78" s="880"/>
      <c r="Z78" s="880"/>
      <c r="AA78" s="880"/>
      <c r="AB78" s="880"/>
      <c r="AC78" s="880"/>
      <c r="AD78" s="880"/>
      <c r="AE78" s="880"/>
      <c r="AF78" s="880"/>
      <c r="AG78" s="880"/>
      <c r="AH78" s="880"/>
      <c r="AI78" s="880"/>
      <c r="AJ78" s="880"/>
      <c r="AK78" s="880"/>
      <c r="AL78" s="880"/>
    </row>
    <row r="79" spans="2:38">
      <c r="C79" s="880"/>
      <c r="D79" s="880"/>
      <c r="E79" s="880"/>
      <c r="F79" s="880"/>
      <c r="G79" s="880"/>
      <c r="H79" s="880"/>
      <c r="I79" s="880"/>
      <c r="J79" s="880"/>
      <c r="K79" s="880"/>
      <c r="L79" s="880"/>
      <c r="M79" s="880"/>
      <c r="N79" s="880"/>
      <c r="O79" s="880"/>
      <c r="P79" s="880"/>
      <c r="Q79" s="880"/>
      <c r="R79" s="880"/>
      <c r="S79" s="880"/>
      <c r="T79" s="880"/>
      <c r="U79" s="880"/>
      <c r="V79" s="880"/>
      <c r="W79" s="880"/>
      <c r="X79" s="880"/>
      <c r="Y79" s="880"/>
      <c r="Z79" s="880"/>
      <c r="AA79" s="880"/>
      <c r="AB79" s="880"/>
      <c r="AC79" s="880"/>
      <c r="AD79" s="880"/>
      <c r="AE79" s="880"/>
      <c r="AF79" s="880"/>
      <c r="AG79" s="880"/>
      <c r="AH79" s="880"/>
      <c r="AI79" s="880"/>
      <c r="AJ79" s="880"/>
      <c r="AK79" s="880"/>
      <c r="AL79" s="880"/>
    </row>
    <row r="80" spans="2:38">
      <c r="C80" s="880"/>
      <c r="D80" s="880"/>
      <c r="E80" s="880"/>
      <c r="F80" s="880"/>
      <c r="G80" s="880"/>
      <c r="H80" s="880"/>
      <c r="I80" s="880"/>
      <c r="J80" s="880"/>
      <c r="K80" s="880"/>
      <c r="L80" s="880"/>
      <c r="M80" s="880"/>
      <c r="N80" s="880"/>
      <c r="O80" s="880"/>
      <c r="P80" s="880"/>
      <c r="Q80" s="880"/>
      <c r="R80" s="880"/>
      <c r="S80" s="880"/>
      <c r="T80" s="880"/>
      <c r="U80" s="880"/>
      <c r="V80" s="880"/>
      <c r="W80" s="880"/>
      <c r="X80" s="880"/>
      <c r="Y80" s="880"/>
      <c r="Z80" s="880"/>
      <c r="AA80" s="880"/>
      <c r="AB80" s="880"/>
      <c r="AC80" s="880"/>
      <c r="AD80" s="880"/>
      <c r="AE80" s="880"/>
      <c r="AF80" s="880"/>
      <c r="AG80" s="880"/>
      <c r="AH80" s="880"/>
      <c r="AI80" s="880"/>
      <c r="AJ80" s="880"/>
      <c r="AK80" s="880"/>
      <c r="AL80" s="880"/>
    </row>
    <row r="81" spans="3:38">
      <c r="C81" s="880"/>
      <c r="D81" s="880"/>
      <c r="E81" s="880"/>
      <c r="F81" s="880"/>
      <c r="G81" s="880"/>
      <c r="H81" s="880"/>
      <c r="I81" s="880"/>
      <c r="J81" s="880"/>
      <c r="K81" s="880"/>
      <c r="L81" s="880"/>
      <c r="M81" s="880"/>
      <c r="N81" s="880"/>
      <c r="O81" s="880"/>
      <c r="P81" s="880"/>
      <c r="Q81" s="880"/>
      <c r="R81" s="880"/>
      <c r="S81" s="880"/>
      <c r="T81" s="880"/>
      <c r="U81" s="880"/>
      <c r="V81" s="880"/>
      <c r="W81" s="880"/>
      <c r="X81" s="880"/>
      <c r="Y81" s="880"/>
      <c r="Z81" s="880"/>
      <c r="AA81" s="880"/>
      <c r="AB81" s="880"/>
      <c r="AC81" s="880"/>
      <c r="AD81" s="880"/>
      <c r="AE81" s="880"/>
      <c r="AF81" s="880"/>
      <c r="AG81" s="880"/>
      <c r="AH81" s="880"/>
      <c r="AI81" s="880"/>
      <c r="AJ81" s="880"/>
      <c r="AK81" s="880"/>
      <c r="AL81" s="880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HY300"/>
  <sheetViews>
    <sheetView zoomScale="55" zoomScaleNormal="55" workbookViewId="0">
      <selection sqref="A1:XFD1048576"/>
    </sheetView>
  </sheetViews>
  <sheetFormatPr defaultRowHeight="15"/>
  <cols>
    <col min="1" max="1" width="22.28515625" bestFit="1" customWidth="1"/>
    <col min="2" max="2" width="11.85546875" bestFit="1" customWidth="1"/>
    <col min="3" max="3" width="8.140625" bestFit="1" customWidth="1"/>
    <col min="4" max="4" width="55" bestFit="1" customWidth="1"/>
    <col min="5" max="6" width="21.42578125" bestFit="1" customWidth="1"/>
    <col min="7" max="7" width="21.7109375" bestFit="1" customWidth="1"/>
    <col min="8" max="8" width="21.140625" bestFit="1" customWidth="1"/>
    <col min="9" max="9" width="21.7109375" bestFit="1" customWidth="1"/>
    <col min="10" max="10" width="20.85546875" bestFit="1" customWidth="1"/>
    <col min="11" max="11" width="55.140625" bestFit="1" customWidth="1"/>
    <col min="12" max="12" width="22" bestFit="1" customWidth="1"/>
    <col min="13" max="13" width="21.42578125" bestFit="1" customWidth="1"/>
    <col min="14" max="14" width="22" bestFit="1" customWidth="1"/>
    <col min="15" max="15" width="20.42578125" bestFit="1" customWidth="1"/>
    <col min="16" max="16" width="22.28515625" bestFit="1" customWidth="1"/>
    <col min="17" max="17" width="22" bestFit="1" customWidth="1"/>
    <col min="18" max="18" width="35.42578125" bestFit="1" customWidth="1"/>
    <col min="19" max="19" width="22.28515625" bestFit="1" customWidth="1"/>
    <col min="20" max="20" width="21.7109375" bestFit="1" customWidth="1"/>
    <col min="21" max="22" width="22.28515625" bestFit="1" customWidth="1"/>
    <col min="23" max="23" width="21.7109375" bestFit="1" customWidth="1"/>
    <col min="24" max="24" width="22" bestFit="1" customWidth="1"/>
    <col min="25" max="25" width="37.28515625" bestFit="1" customWidth="1"/>
    <col min="26" max="26" width="22" bestFit="1" customWidth="1"/>
    <col min="27" max="27" width="21.7109375" bestFit="1" customWidth="1"/>
    <col min="28" max="28" width="22.28515625" bestFit="1" customWidth="1"/>
    <col min="29" max="30" width="22.42578125" bestFit="1" customWidth="1"/>
    <col min="31" max="31" width="22.28515625" bestFit="1" customWidth="1"/>
    <col min="32" max="32" width="22" bestFit="1" customWidth="1"/>
    <col min="33" max="33" width="22.28515625" bestFit="1" customWidth="1"/>
    <col min="34" max="34" width="22.42578125" bestFit="1" customWidth="1"/>
    <col min="35" max="37" width="22" bestFit="1" customWidth="1"/>
    <col min="38" max="38" width="21.7109375" bestFit="1" customWidth="1"/>
    <col min="39" max="40" width="22" bestFit="1" customWidth="1"/>
    <col min="41" max="41" width="14.7109375" bestFit="1" customWidth="1"/>
    <col min="42" max="42" width="55" bestFit="1" customWidth="1"/>
    <col min="43" max="43" width="10.85546875" bestFit="1" customWidth="1"/>
    <col min="44" max="46" width="21.42578125" bestFit="1" customWidth="1"/>
    <col min="47" max="47" width="21.7109375" bestFit="1" customWidth="1"/>
    <col min="49" max="49" width="11" bestFit="1" customWidth="1"/>
    <col min="50" max="50" width="55.140625" bestFit="1" customWidth="1"/>
    <col min="51" max="51" width="10.85546875" bestFit="1" customWidth="1"/>
    <col min="52" max="52" width="11.28515625" bestFit="1" customWidth="1"/>
    <col min="53" max="53" width="11" bestFit="1" customWidth="1"/>
    <col min="54" max="54" width="16.7109375" bestFit="1" customWidth="1"/>
    <col min="55" max="56" width="17" bestFit="1" customWidth="1"/>
    <col min="57" max="58" width="17.28515625" bestFit="1" customWidth="1"/>
    <col min="59" max="59" width="17.85546875" bestFit="1" customWidth="1"/>
    <col min="60" max="61" width="16.28515625" bestFit="1" customWidth="1"/>
    <col min="62" max="62" width="17.85546875" bestFit="1" customWidth="1"/>
    <col min="63" max="63" width="17.28515625" bestFit="1" customWidth="1"/>
    <col min="64" max="65" width="17.85546875" bestFit="1" customWidth="1"/>
    <col min="66" max="67" width="17.28515625" bestFit="1" customWidth="1"/>
    <col min="68" max="68" width="17.85546875" bestFit="1" customWidth="1"/>
    <col min="69" max="69" width="17" bestFit="1" customWidth="1"/>
    <col min="70" max="70" width="17.85546875" bestFit="1" customWidth="1"/>
    <col min="71" max="71" width="17.28515625" bestFit="1" customWidth="1"/>
    <col min="72" max="72" width="17.85546875" bestFit="1" customWidth="1"/>
    <col min="73" max="73" width="16.5703125" bestFit="1" customWidth="1"/>
    <col min="74" max="74" width="17" bestFit="1" customWidth="1"/>
    <col min="75" max="77" width="17.28515625" bestFit="1" customWidth="1"/>
    <col min="78" max="78" width="17.85546875" bestFit="1" customWidth="1"/>
    <col min="79" max="80" width="17.28515625" bestFit="1" customWidth="1"/>
    <col min="81" max="82" width="17.85546875" bestFit="1" customWidth="1"/>
    <col min="83" max="83" width="18.28515625" bestFit="1" customWidth="1"/>
    <col min="84" max="84" width="17" bestFit="1" customWidth="1"/>
    <col min="85" max="85" width="16.7109375" bestFit="1" customWidth="1"/>
    <col min="86" max="86" width="17" bestFit="1" customWidth="1"/>
    <col min="87" max="87" width="9.140625" customWidth="1"/>
    <col min="88" max="88" width="14.7109375" bestFit="1" customWidth="1"/>
    <col min="89" max="89" width="55.140625" bestFit="1" customWidth="1"/>
    <col min="90" max="90" width="10.85546875" bestFit="1" customWidth="1"/>
    <col min="91" max="91" width="17" bestFit="1" customWidth="1"/>
    <col min="92" max="92" width="17.85546875" bestFit="1" customWidth="1"/>
    <col min="93" max="93" width="17.28515625" bestFit="1" customWidth="1"/>
    <col min="94" max="94" width="18.28515625" bestFit="1" customWidth="1"/>
    <col min="95" max="95" width="9.42578125" customWidth="1"/>
    <col min="96" max="96" width="3" bestFit="1" customWidth="1"/>
    <col min="97" max="97" width="46.42578125" bestFit="1" customWidth="1"/>
    <col min="98" max="98" width="14.85546875" bestFit="1" customWidth="1"/>
    <col min="99" max="99" width="15.7109375" bestFit="1" customWidth="1"/>
    <col min="100" max="100" width="14.85546875" bestFit="1" customWidth="1"/>
    <col min="101" max="101" width="15.7109375" bestFit="1" customWidth="1"/>
    <col min="102" max="103" width="19.42578125" bestFit="1" customWidth="1"/>
    <col min="104" max="104" width="19.5703125" bestFit="1" customWidth="1"/>
    <col min="105" max="105" width="18.85546875" bestFit="1" customWidth="1"/>
    <col min="106" max="107" width="19.5703125" bestFit="1" customWidth="1"/>
    <col min="108" max="108" width="19.42578125" bestFit="1" customWidth="1"/>
    <col min="109" max="109" width="21.7109375" bestFit="1" customWidth="1"/>
    <col min="110" max="110" width="19.5703125" bestFit="1" customWidth="1"/>
    <col min="111" max="111" width="19.140625" bestFit="1" customWidth="1"/>
    <col min="112" max="112" width="19.42578125" bestFit="1" customWidth="1"/>
    <col min="113" max="116" width="19.5703125" bestFit="1" customWidth="1"/>
    <col min="117" max="117" width="19.42578125" bestFit="1" customWidth="1"/>
    <col min="118" max="118" width="19.140625" bestFit="1" customWidth="1"/>
    <col min="119" max="119" width="19.5703125" bestFit="1" customWidth="1"/>
    <col min="120" max="120" width="19.42578125" bestFit="1" customWidth="1"/>
    <col min="121" max="123" width="19.85546875" bestFit="1" customWidth="1"/>
    <col min="124" max="124" width="19.5703125" bestFit="1" customWidth="1"/>
    <col min="125" max="125" width="19.85546875" bestFit="1" customWidth="1"/>
    <col min="126" max="126" width="19.5703125" bestFit="1" customWidth="1"/>
    <col min="127" max="127" width="19.42578125" bestFit="1" customWidth="1"/>
    <col min="128" max="130" width="19.85546875" bestFit="1" customWidth="1"/>
    <col min="131" max="131" width="20.42578125" bestFit="1" customWidth="1"/>
    <col min="132" max="133" width="20.140625" bestFit="1" customWidth="1"/>
    <col min="134" max="134" width="11.140625" bestFit="1" customWidth="1"/>
    <col min="135" max="135" width="46.42578125" bestFit="1" customWidth="1"/>
    <col min="136" max="136" width="10.85546875" bestFit="1" customWidth="1"/>
    <col min="137" max="137" width="10.5703125" bestFit="1" customWidth="1"/>
    <col min="138" max="139" width="19.42578125" bestFit="1" customWidth="1"/>
    <col min="140" max="140" width="19.28515625" bestFit="1" customWidth="1"/>
    <col min="141" max="142" width="11.85546875" customWidth="1"/>
    <col min="143" max="143" width="3" bestFit="1" customWidth="1"/>
    <col min="144" max="144" width="37.28515625" bestFit="1" customWidth="1"/>
    <col min="145" max="145" width="10.85546875" bestFit="1" customWidth="1"/>
    <col min="146" max="146" width="11.28515625" bestFit="1" customWidth="1"/>
    <col min="147" max="147" width="10.28515625" bestFit="1" customWidth="1"/>
    <col min="148" max="149" width="11.28515625" bestFit="1" customWidth="1"/>
    <col min="150" max="151" width="11.5703125" bestFit="1" customWidth="1"/>
    <col min="152" max="152" width="11" bestFit="1" customWidth="1"/>
    <col min="153" max="153" width="11.5703125" bestFit="1" customWidth="1"/>
    <col min="154" max="154" width="10.5703125" bestFit="1" customWidth="1"/>
    <col min="155" max="155" width="10.85546875" bestFit="1" customWidth="1"/>
    <col min="156" max="156" width="11" bestFit="1" customWidth="1"/>
    <col min="157" max="157" width="11.5703125" bestFit="1" customWidth="1"/>
    <col min="158" max="158" width="11.28515625" bestFit="1" customWidth="1"/>
    <col min="159" max="160" width="11" bestFit="1" customWidth="1"/>
    <col min="161" max="161" width="11.5703125" bestFit="1" customWidth="1"/>
    <col min="162" max="162" width="11" bestFit="1" customWidth="1"/>
    <col min="163" max="163" width="11.5703125" bestFit="1" customWidth="1"/>
    <col min="164" max="166" width="11" bestFit="1" customWidth="1"/>
    <col min="167" max="167" width="11.28515625" bestFit="1" customWidth="1"/>
    <col min="168" max="171" width="11" bestFit="1" customWidth="1"/>
    <col min="172" max="172" width="11.5703125" bestFit="1" customWidth="1"/>
    <col min="173" max="173" width="11.28515625" bestFit="1" customWidth="1"/>
    <col min="174" max="174" width="11.5703125" bestFit="1" customWidth="1"/>
    <col min="175" max="175" width="11" bestFit="1" customWidth="1"/>
    <col min="176" max="176" width="11.5703125" bestFit="1" customWidth="1"/>
    <col min="177" max="177" width="11" bestFit="1" customWidth="1"/>
    <col min="178" max="178" width="11.28515625" bestFit="1" customWidth="1"/>
    <col min="179" max="179" width="10.85546875" bestFit="1" customWidth="1"/>
    <col min="180" max="180" width="11.5703125" bestFit="1" customWidth="1"/>
    <col min="181" max="181" width="10.7109375" bestFit="1" customWidth="1"/>
    <col min="182" max="182" width="37.28515625" bestFit="1" customWidth="1"/>
    <col min="183" max="183" width="10.85546875" bestFit="1" customWidth="1"/>
    <col min="184" max="184" width="10.5703125" bestFit="1" customWidth="1"/>
    <col min="185" max="185" width="11.5703125" bestFit="1" customWidth="1"/>
    <col min="186" max="186" width="11" bestFit="1" customWidth="1"/>
    <col min="187" max="187" width="10.28515625" bestFit="1" customWidth="1"/>
    <col min="188" max="188" width="14" bestFit="1" customWidth="1"/>
    <col min="189" max="189" width="71" bestFit="1" customWidth="1"/>
    <col min="190" max="192" width="13.5703125" bestFit="1" customWidth="1"/>
    <col min="193" max="195" width="13.5703125" customWidth="1"/>
    <col min="196" max="196" width="13.140625" customWidth="1"/>
    <col min="197" max="197" width="13.5703125" customWidth="1"/>
    <col min="198" max="199" width="13.140625" customWidth="1"/>
    <col min="200" max="200" width="13.5703125" customWidth="1"/>
    <col min="201" max="201" width="13.140625" customWidth="1"/>
    <col min="202" max="206" width="13.5703125" customWidth="1"/>
    <col min="207" max="207" width="13.140625" customWidth="1"/>
    <col min="208" max="208" width="12.85546875" customWidth="1"/>
    <col min="209" max="209" width="13.140625" customWidth="1"/>
    <col min="210" max="211" width="13.5703125" customWidth="1"/>
    <col min="212" max="212" width="13.140625" customWidth="1"/>
    <col min="213" max="219" width="13.5703125" customWidth="1"/>
    <col min="220" max="220" width="14.28515625" bestFit="1" customWidth="1"/>
    <col min="221" max="222" width="15" bestFit="1" customWidth="1"/>
    <col min="223" max="225" width="17.7109375" bestFit="1" customWidth="1"/>
    <col min="226" max="226" width="5.28515625" bestFit="1" customWidth="1"/>
    <col min="227" max="227" width="8.5703125" bestFit="1" customWidth="1"/>
    <col min="228" max="228" width="28" bestFit="1" customWidth="1"/>
    <col min="229" max="229" width="10.85546875" bestFit="1" customWidth="1"/>
    <col min="230" max="230" width="15.42578125" bestFit="1" customWidth="1"/>
    <col min="231" max="231" width="17" bestFit="1" customWidth="1"/>
    <col min="232" max="232" width="16.5703125" bestFit="1" customWidth="1"/>
    <col min="233" max="233" width="17.7109375" bestFit="1" customWidth="1"/>
  </cols>
  <sheetData>
    <row r="1" spans="1:233">
      <c r="A1" s="4" t="s">
        <v>50</v>
      </c>
      <c r="B1" t="s">
        <v>51</v>
      </c>
    </row>
    <row r="2" spans="1:233">
      <c r="A2" t="s">
        <v>52</v>
      </c>
      <c r="B2" s="5">
        <v>4</v>
      </c>
      <c r="C2" t="e">
        <v>#NUM!</v>
      </c>
      <c r="D2" t="s">
        <v>53</v>
      </c>
      <c r="AB2" s="6">
        <v>40268</v>
      </c>
      <c r="AC2" s="6">
        <v>39903</v>
      </c>
      <c r="AP2" t="s">
        <v>54</v>
      </c>
      <c r="AX2" t="s">
        <v>53</v>
      </c>
      <c r="CK2" t="s">
        <v>54</v>
      </c>
      <c r="CS2" t="s">
        <v>53</v>
      </c>
      <c r="HT2" t="s">
        <v>54</v>
      </c>
    </row>
    <row r="3" spans="1:233">
      <c r="A3" t="e">
        <v>#NAME?</v>
      </c>
      <c r="B3" s="447">
        <v>1</v>
      </c>
      <c r="D3" s="4" t="s">
        <v>55</v>
      </c>
      <c r="E3" t="e">
        <v>#VALUE!</v>
      </c>
      <c r="F3" t="e">
        <v>#VALUE!</v>
      </c>
      <c r="G3" t="e">
        <v>#VALUE!</v>
      </c>
      <c r="H3" t="e">
        <v>#VALUE!</v>
      </c>
      <c r="I3" t="e">
        <v>#VALUE!</v>
      </c>
      <c r="J3" t="e">
        <v>#VALUE!</v>
      </c>
      <c r="K3" t="e">
        <v>#VALUE!</v>
      </c>
      <c r="L3" t="e">
        <v>#VALUE!</v>
      </c>
      <c r="M3" t="e">
        <v>#VALUE!</v>
      </c>
      <c r="N3" t="e">
        <v>#VALUE!</v>
      </c>
      <c r="O3" t="e">
        <v>#VALUE!</v>
      </c>
      <c r="P3" t="e">
        <v>#VALUE!</v>
      </c>
      <c r="Q3" t="e">
        <v>#VALUE!</v>
      </c>
      <c r="R3" t="e">
        <v>#VALUE!</v>
      </c>
      <c r="S3" t="e">
        <v>#VALUE!</v>
      </c>
      <c r="T3" t="e">
        <v>#VALUE!</v>
      </c>
      <c r="U3" t="e">
        <v>#VALUE!</v>
      </c>
      <c r="V3" t="e">
        <v>#VALUE!</v>
      </c>
      <c r="W3" t="e">
        <v>#VALUE!</v>
      </c>
      <c r="X3" t="e">
        <v>#VALUE!</v>
      </c>
      <c r="Y3" t="e">
        <v>#VALUE!</v>
      </c>
      <c r="Z3" t="e">
        <v>#VALUE!</v>
      </c>
      <c r="AA3" t="e">
        <v>#VALUE!</v>
      </c>
      <c r="AB3" t="e">
        <v>#VALUE!</v>
      </c>
      <c r="AC3" t="e">
        <v>#VALUE!</v>
      </c>
      <c r="AD3" t="e">
        <v>#VALUE!</v>
      </c>
      <c r="AE3" t="e">
        <v>#VALUE!</v>
      </c>
      <c r="AF3" t="e">
        <v>#VALUE!</v>
      </c>
      <c r="AG3" t="e">
        <v>#VALUE!</v>
      </c>
      <c r="AH3" t="e">
        <v>#VALUE!</v>
      </c>
      <c r="AI3" t="e">
        <v>#VALUE!</v>
      </c>
      <c r="AJ3" t="e">
        <v>#VALUE!</v>
      </c>
      <c r="AK3" t="e">
        <v>#VALUE!</v>
      </c>
      <c r="AL3" t="e">
        <v>#VALUE!</v>
      </c>
      <c r="AM3" t="e">
        <v>#VALUE!</v>
      </c>
      <c r="AN3" t="e">
        <v>#VALUE!</v>
      </c>
      <c r="AP3" s="4" t="s">
        <v>55</v>
      </c>
      <c r="AX3" s="4" t="s">
        <v>56</v>
      </c>
      <c r="AY3" t="e">
        <v>#NAME?</v>
      </c>
      <c r="AZ3" t="e">
        <v>#NAME?</v>
      </c>
      <c r="BA3" t="e">
        <v>#NAME?</v>
      </c>
      <c r="BB3" t="e">
        <v>#NAME?</v>
      </c>
      <c r="BC3" t="e">
        <v>#NAME?</v>
      </c>
      <c r="BD3" t="e">
        <v>#NAME?</v>
      </c>
      <c r="BE3" t="e">
        <v>#NAME?</v>
      </c>
      <c r="BF3" t="e">
        <v>#NAME?</v>
      </c>
      <c r="BG3" t="e">
        <v>#NAME?</v>
      </c>
      <c r="BH3" t="e">
        <v>#NAME?</v>
      </c>
      <c r="BI3" t="e">
        <v>#NAME?</v>
      </c>
      <c r="BJ3" t="e">
        <v>#NAME?</v>
      </c>
      <c r="BK3" t="e">
        <v>#NAME?</v>
      </c>
      <c r="BL3" t="e">
        <v>#NAME?</v>
      </c>
      <c r="BM3" t="e">
        <v>#NAME?</v>
      </c>
      <c r="BN3" t="e">
        <v>#NAME?</v>
      </c>
      <c r="BO3" t="e">
        <v>#NAME?</v>
      </c>
      <c r="BP3" t="e">
        <v>#NAME?</v>
      </c>
      <c r="BQ3" t="e">
        <v>#NAME?</v>
      </c>
      <c r="BR3" t="e">
        <v>#NAME?</v>
      </c>
      <c r="BS3" t="e">
        <v>#NAME?</v>
      </c>
      <c r="BT3" t="e">
        <v>#NAME?</v>
      </c>
      <c r="BU3" t="e">
        <v>#NAME?</v>
      </c>
      <c r="BV3" t="e">
        <v>#NAME?</v>
      </c>
      <c r="BW3" t="e">
        <v>#NAME?</v>
      </c>
      <c r="BX3" t="e">
        <v>#NAME?</v>
      </c>
      <c r="BY3" t="e">
        <v>#NAME?</v>
      </c>
      <c r="BZ3" t="e">
        <v>#NAME?</v>
      </c>
      <c r="CA3" t="e">
        <v>#NAME?</v>
      </c>
      <c r="CB3" t="e">
        <v>#NAME?</v>
      </c>
      <c r="CC3" t="e">
        <v>#NAME?</v>
      </c>
      <c r="CD3" t="e">
        <v>#NAME?</v>
      </c>
      <c r="CE3" t="e">
        <v>#NAME?</v>
      </c>
      <c r="CF3" t="e">
        <v>#NAME?</v>
      </c>
      <c r="CG3" t="e">
        <v>#NAME?</v>
      </c>
      <c r="CH3" t="e">
        <v>#NAME?</v>
      </c>
      <c r="CK3" s="4" t="s">
        <v>56</v>
      </c>
      <c r="CS3" s="4" t="s">
        <v>57</v>
      </c>
      <c r="CT3" t="e">
        <v>#NAME?</v>
      </c>
      <c r="CU3" t="e">
        <v>#NAME?</v>
      </c>
      <c r="CV3" t="e">
        <v>#NAME?</v>
      </c>
      <c r="CW3" t="e">
        <v>#NAME?</v>
      </c>
      <c r="CX3" t="e">
        <v>#NAME?</v>
      </c>
      <c r="CY3" t="e">
        <v>#NAME?</v>
      </c>
      <c r="CZ3" t="e">
        <v>#NAME?</v>
      </c>
      <c r="DA3" t="e">
        <v>#NAME?</v>
      </c>
      <c r="DB3" t="e">
        <v>#NAME?</v>
      </c>
      <c r="DC3" t="e">
        <v>#NAME?</v>
      </c>
      <c r="DD3" t="e">
        <v>#NAME?</v>
      </c>
      <c r="DE3" t="e">
        <v>#NAME?</v>
      </c>
      <c r="DF3" t="e">
        <v>#NAME?</v>
      </c>
      <c r="DG3" t="e">
        <v>#NAME?</v>
      </c>
      <c r="DH3" t="e">
        <v>#NAME?</v>
      </c>
      <c r="DI3" t="e">
        <v>#NAME?</v>
      </c>
      <c r="DJ3" t="e">
        <v>#NAME?</v>
      </c>
      <c r="DK3" t="e">
        <v>#NAME?</v>
      </c>
      <c r="DL3" t="e">
        <v>#NAME?</v>
      </c>
      <c r="DM3" t="e">
        <v>#NAME?</v>
      </c>
      <c r="DN3" t="e">
        <v>#NAME?</v>
      </c>
      <c r="DO3" t="e">
        <v>#NAME?</v>
      </c>
      <c r="DP3" t="e">
        <v>#NAME?</v>
      </c>
      <c r="DQ3" t="e">
        <v>#NAME?</v>
      </c>
      <c r="DR3" t="e">
        <v>#NAME?</v>
      </c>
      <c r="DS3" t="e">
        <v>#NAME?</v>
      </c>
      <c r="DT3" t="e">
        <v>#NAME?</v>
      </c>
      <c r="DU3" t="e">
        <v>#NAME?</v>
      </c>
      <c r="DV3" t="e">
        <v>#NAME?</v>
      </c>
      <c r="DW3" t="e">
        <v>#NAME?</v>
      </c>
      <c r="DX3" t="e">
        <v>#NAME?</v>
      </c>
      <c r="DY3" t="e">
        <v>#NAME?</v>
      </c>
      <c r="DZ3" t="e">
        <v>#NAME?</v>
      </c>
      <c r="EA3" t="e">
        <v>#NAME?</v>
      </c>
      <c r="EB3" t="e">
        <v>#NAME?</v>
      </c>
      <c r="EC3" t="e">
        <v>#NAME?</v>
      </c>
      <c r="EE3" s="4" t="s">
        <v>57</v>
      </c>
      <c r="EN3" s="4" t="s">
        <v>58</v>
      </c>
      <c r="EO3" t="e">
        <v>#NAME?</v>
      </c>
      <c r="EP3" t="e">
        <v>#NAME?</v>
      </c>
      <c r="EQ3" t="e">
        <v>#NAME?</v>
      </c>
      <c r="ER3" t="e">
        <v>#NAME?</v>
      </c>
      <c r="ES3" t="e">
        <v>#NAME?</v>
      </c>
      <c r="ET3" t="e">
        <v>#NAME?</v>
      </c>
      <c r="EU3" t="e">
        <v>#NAME?</v>
      </c>
      <c r="EV3" t="e">
        <v>#NAME?</v>
      </c>
      <c r="EW3" t="e">
        <v>#NAME?</v>
      </c>
      <c r="EX3" t="e">
        <v>#NAME?</v>
      </c>
      <c r="EY3" t="e">
        <v>#NAME?</v>
      </c>
      <c r="EZ3" t="e">
        <v>#NAME?</v>
      </c>
      <c r="FA3" t="e">
        <v>#NAME?</v>
      </c>
      <c r="FB3" t="e">
        <v>#NAME?</v>
      </c>
      <c r="FC3" t="e">
        <v>#NAME?</v>
      </c>
      <c r="FD3" t="e">
        <v>#NAME?</v>
      </c>
      <c r="FE3" t="e">
        <v>#NAME?</v>
      </c>
      <c r="FF3" t="e">
        <v>#NAME?</v>
      </c>
      <c r="FG3" t="e">
        <v>#NAME?</v>
      </c>
      <c r="FH3" t="e">
        <v>#NAME?</v>
      </c>
      <c r="FI3" t="e">
        <v>#NAME?</v>
      </c>
      <c r="FJ3" t="e">
        <v>#NAME?</v>
      </c>
      <c r="FK3" t="e">
        <v>#NAME?</v>
      </c>
      <c r="FL3" t="e">
        <v>#NAME?</v>
      </c>
      <c r="FM3" t="e">
        <v>#NAME?</v>
      </c>
      <c r="FN3" t="e">
        <v>#NAME?</v>
      </c>
      <c r="FO3" t="e">
        <v>#NAME?</v>
      </c>
      <c r="FP3" t="e">
        <v>#NAME?</v>
      </c>
      <c r="FQ3" t="e">
        <v>#NAME?</v>
      </c>
      <c r="FR3" t="e">
        <v>#NAME?</v>
      </c>
      <c r="FS3" t="e">
        <v>#NAME?</v>
      </c>
      <c r="FT3" t="e">
        <v>#NAME?</v>
      </c>
      <c r="FU3" t="e">
        <v>#NAME?</v>
      </c>
      <c r="FV3" t="e">
        <v>#NAME?</v>
      </c>
      <c r="FW3" t="e">
        <v>#NAME?</v>
      </c>
      <c r="FX3" t="e">
        <v>#NAME?</v>
      </c>
      <c r="FZ3" s="4" t="s">
        <v>58</v>
      </c>
      <c r="GE3" s="4"/>
      <c r="GG3" s="4" t="s">
        <v>59</v>
      </c>
      <c r="GH3" t="e">
        <v>#NAME?</v>
      </c>
      <c r="GI3" t="e">
        <v>#NAME?</v>
      </c>
      <c r="GJ3" t="e">
        <v>#NAME?</v>
      </c>
      <c r="GK3" t="e">
        <v>#NAME?</v>
      </c>
      <c r="GL3" t="e">
        <v>#NAME?</v>
      </c>
      <c r="GM3" t="e">
        <v>#NAME?</v>
      </c>
      <c r="GN3" t="e">
        <v>#NAME?</v>
      </c>
      <c r="GO3" t="e">
        <v>#NAME?</v>
      </c>
      <c r="GP3" t="e">
        <v>#NAME?</v>
      </c>
      <c r="GQ3" t="e">
        <v>#NAME?</v>
      </c>
      <c r="GR3" t="e">
        <v>#NAME?</v>
      </c>
      <c r="GS3" t="e">
        <v>#NAME?</v>
      </c>
      <c r="GT3" t="e">
        <v>#NAME?</v>
      </c>
      <c r="GU3" t="e">
        <v>#NAME?</v>
      </c>
      <c r="GV3" t="e">
        <v>#NAME?</v>
      </c>
      <c r="GW3" t="e">
        <v>#NAME?</v>
      </c>
      <c r="GX3" t="e">
        <v>#NAME?</v>
      </c>
      <c r="GY3" t="e">
        <v>#NAME?</v>
      </c>
      <c r="GZ3" t="e">
        <v>#NAME?</v>
      </c>
      <c r="HA3" t="e">
        <v>#NAME?</v>
      </c>
      <c r="HB3" t="e">
        <v>#NAME?</v>
      </c>
      <c r="HC3" t="e">
        <v>#NAME?</v>
      </c>
      <c r="HD3" t="e">
        <v>#NAME?</v>
      </c>
      <c r="HE3" t="e">
        <v>#NAME?</v>
      </c>
      <c r="HF3" t="e">
        <v>#NAME?</v>
      </c>
      <c r="HG3" t="e">
        <v>#NAME?</v>
      </c>
      <c r="HH3" t="e">
        <v>#NAME?</v>
      </c>
      <c r="HI3" t="e">
        <v>#NAME?</v>
      </c>
      <c r="HJ3" t="e">
        <v>#NAME?</v>
      </c>
      <c r="HK3" t="e">
        <v>#NAME?</v>
      </c>
      <c r="HL3" t="e">
        <v>#NAME?</v>
      </c>
      <c r="HM3" t="e">
        <v>#NAME?</v>
      </c>
      <c r="HN3" t="e">
        <v>#NAME?</v>
      </c>
      <c r="HO3" t="e">
        <v>#NAME?</v>
      </c>
      <c r="HP3" t="e">
        <v>#NAME?</v>
      </c>
      <c r="HQ3" t="e">
        <v>#NAME?</v>
      </c>
      <c r="HT3" s="4" t="s">
        <v>59</v>
      </c>
    </row>
    <row r="4" spans="1:233">
      <c r="D4" s="4"/>
      <c r="E4" s="447"/>
      <c r="F4" s="447"/>
      <c r="G4" s="447"/>
      <c r="H4" s="447"/>
      <c r="I4" s="447"/>
      <c r="J4" s="447"/>
      <c r="K4" s="447"/>
      <c r="L4" s="447">
        <v>1</v>
      </c>
      <c r="M4" s="447">
        <v>1</v>
      </c>
      <c r="N4" s="447">
        <v>1</v>
      </c>
      <c r="O4" s="447">
        <v>1</v>
      </c>
      <c r="P4" s="447">
        <v>1</v>
      </c>
      <c r="Q4" s="447">
        <v>1</v>
      </c>
      <c r="R4" s="447">
        <v>1</v>
      </c>
      <c r="S4" s="447">
        <v>1</v>
      </c>
      <c r="T4" s="447">
        <v>1</v>
      </c>
      <c r="U4" s="447">
        <v>1</v>
      </c>
      <c r="V4" s="447">
        <v>1</v>
      </c>
      <c r="W4" s="447">
        <v>1</v>
      </c>
      <c r="X4" s="447">
        <v>1</v>
      </c>
      <c r="Y4" s="447">
        <v>1</v>
      </c>
      <c r="Z4" s="447">
        <v>1</v>
      </c>
      <c r="AA4" s="447">
        <v>1</v>
      </c>
      <c r="AB4" s="447">
        <v>1</v>
      </c>
      <c r="AC4" s="447">
        <v>1</v>
      </c>
      <c r="AD4" s="447">
        <v>1</v>
      </c>
      <c r="AE4" s="447">
        <v>1</v>
      </c>
      <c r="AF4" s="447">
        <v>1</v>
      </c>
      <c r="AG4" s="447">
        <v>1</v>
      </c>
      <c r="AH4" s="447">
        <v>1</v>
      </c>
      <c r="AI4" s="447">
        <v>1</v>
      </c>
      <c r="AJ4" s="447">
        <v>1</v>
      </c>
      <c r="AK4" s="447">
        <v>1</v>
      </c>
      <c r="AL4" s="447">
        <v>1</v>
      </c>
      <c r="AM4" s="447">
        <v>1</v>
      </c>
      <c r="AN4" s="447">
        <v>1</v>
      </c>
      <c r="AP4" s="4"/>
      <c r="AX4" s="4"/>
      <c r="CK4" s="4"/>
      <c r="CS4" s="4"/>
      <c r="EE4" s="4"/>
      <c r="EN4" s="4"/>
      <c r="FZ4" s="4"/>
      <c r="GE4" s="4"/>
      <c r="GG4" s="4"/>
      <c r="HT4" s="4"/>
    </row>
    <row r="5" spans="1:233">
      <c r="B5" s="6"/>
      <c r="D5" s="7"/>
      <c r="E5" s="8" t="e">
        <v>#VALUE!</v>
      </c>
      <c r="F5" s="8" t="e">
        <v>#VALUE!</v>
      </c>
      <c r="G5" s="8" t="e">
        <v>#VALUE!</v>
      </c>
      <c r="H5" s="8" t="e">
        <v>#VALUE!</v>
      </c>
      <c r="I5" s="8" t="e">
        <v>#VALUE!</v>
      </c>
      <c r="J5" s="8" t="e">
        <v>#VALUE!</v>
      </c>
      <c r="K5" s="8" t="e">
        <v>#VALUE!</v>
      </c>
      <c r="L5" s="8" t="e">
        <v>#VALUE!</v>
      </c>
      <c r="M5" s="8" t="e">
        <v>#VALUE!</v>
      </c>
      <c r="N5" s="8" t="e">
        <v>#VALUE!</v>
      </c>
      <c r="O5" s="8" t="e">
        <v>#VALUE!</v>
      </c>
      <c r="P5" s="8" t="e">
        <v>#VALUE!</v>
      </c>
      <c r="Q5" s="8" t="e">
        <v>#VALUE!</v>
      </c>
      <c r="R5" s="8" t="e">
        <v>#VALUE!</v>
      </c>
      <c r="S5" s="8" t="e">
        <v>#VALUE!</v>
      </c>
      <c r="T5" s="8" t="e">
        <v>#VALUE!</v>
      </c>
      <c r="U5" s="8" t="e">
        <v>#VALUE!</v>
      </c>
      <c r="V5" s="8" t="e">
        <v>#VALUE!</v>
      </c>
      <c r="W5" s="8" t="e">
        <v>#VALUE!</v>
      </c>
      <c r="X5" s="8" t="e">
        <v>#VALUE!</v>
      </c>
      <c r="Y5" s="8" t="e">
        <v>#VALUE!</v>
      </c>
      <c r="Z5" s="8" t="e">
        <v>#VALUE!</v>
      </c>
      <c r="AA5" s="8" t="e">
        <v>#VALUE!</v>
      </c>
      <c r="AB5" s="8" t="e">
        <v>#VALUE!</v>
      </c>
      <c r="AC5" s="8" t="e">
        <v>#VALUE!</v>
      </c>
      <c r="AD5" s="8" t="e">
        <v>#VALUE!</v>
      </c>
      <c r="AE5" s="8" t="e">
        <v>#VALUE!</v>
      </c>
      <c r="AF5" s="8" t="e">
        <v>#VALUE!</v>
      </c>
      <c r="AG5" s="8" t="e">
        <v>#VALUE!</v>
      </c>
      <c r="AH5" s="8" t="e">
        <v>#VALUE!</v>
      </c>
      <c r="AI5" s="8" t="e">
        <v>#VALUE!</v>
      </c>
      <c r="AJ5" s="8" t="e">
        <v>#VALUE!</v>
      </c>
      <c r="AK5" s="8" t="e">
        <v>#VALUE!</v>
      </c>
      <c r="AL5" s="8" t="e">
        <v>#VALUE!</v>
      </c>
      <c r="AM5" s="8" t="e">
        <v>#VALUE!</v>
      </c>
      <c r="AN5" s="8" t="e">
        <v>#VALUE!</v>
      </c>
      <c r="AO5" s="9" t="s">
        <v>60</v>
      </c>
      <c r="AP5" s="10"/>
      <c r="AQ5" s="10" t="s">
        <v>140</v>
      </c>
      <c r="AR5" s="10" t="s">
        <v>140</v>
      </c>
      <c r="AS5" s="10" t="s">
        <v>140</v>
      </c>
      <c r="AT5" s="10" t="s">
        <v>140</v>
      </c>
      <c r="AU5" s="10" t="s">
        <v>140</v>
      </c>
      <c r="AX5" s="8"/>
      <c r="AY5" s="8" t="e">
        <v>#NAME?</v>
      </c>
      <c r="AZ5" s="8" t="e">
        <v>#NAME?</v>
      </c>
      <c r="BA5" s="8" t="e">
        <v>#NAME?</v>
      </c>
      <c r="BB5" s="8" t="e">
        <v>#NAME?</v>
      </c>
      <c r="BC5" s="8" t="e">
        <v>#NAME?</v>
      </c>
      <c r="BD5" s="8" t="e">
        <v>#NAME?</v>
      </c>
      <c r="BE5" s="8" t="e">
        <v>#NAME?</v>
      </c>
      <c r="BF5" s="8" t="e">
        <v>#NAME?</v>
      </c>
      <c r="BG5" s="8" t="e">
        <v>#NAME?</v>
      </c>
      <c r="BH5" s="8" t="e">
        <v>#NAME?</v>
      </c>
      <c r="BI5" s="8" t="e">
        <v>#NAME?</v>
      </c>
      <c r="BJ5" s="8" t="e">
        <v>#NAME?</v>
      </c>
      <c r="BK5" s="8" t="e">
        <v>#NAME?</v>
      </c>
      <c r="BL5" s="8" t="e">
        <v>#NAME?</v>
      </c>
      <c r="BM5" s="8" t="e">
        <v>#NAME?</v>
      </c>
      <c r="BN5" s="8" t="e">
        <v>#NAME?</v>
      </c>
      <c r="BO5" s="8" t="e">
        <v>#NAME?</v>
      </c>
      <c r="BP5" s="8" t="e">
        <v>#NAME?</v>
      </c>
      <c r="BQ5" s="8" t="e">
        <v>#NAME?</v>
      </c>
      <c r="BR5" s="8" t="e">
        <v>#NAME?</v>
      </c>
      <c r="BS5" s="8" t="e">
        <v>#NAME?</v>
      </c>
      <c r="BT5" s="8" t="e">
        <v>#NAME?</v>
      </c>
      <c r="BU5" s="8" t="e">
        <v>#NAME?</v>
      </c>
      <c r="BV5" s="8" t="e">
        <v>#NAME?</v>
      </c>
      <c r="BW5" s="8" t="e">
        <v>#NAME?</v>
      </c>
      <c r="BX5" s="8" t="e">
        <v>#NAME?</v>
      </c>
      <c r="BY5" s="8" t="e">
        <v>#NAME?</v>
      </c>
      <c r="BZ5" s="8" t="e">
        <v>#NAME?</v>
      </c>
      <c r="CA5" s="8" t="e">
        <v>#NAME?</v>
      </c>
      <c r="CB5" s="8" t="e">
        <v>#NAME?</v>
      </c>
      <c r="CC5" s="8" t="e">
        <v>#NAME?</v>
      </c>
      <c r="CD5" s="8" t="e">
        <v>#NAME?</v>
      </c>
      <c r="CE5" s="8" t="e">
        <v>#NAME?</v>
      </c>
      <c r="CF5" s="8" t="e">
        <v>#NAME?</v>
      </c>
      <c r="CG5" s="8" t="e">
        <v>#NAME?</v>
      </c>
      <c r="CH5" s="8" t="e">
        <v>#NAME?</v>
      </c>
      <c r="CI5" s="11"/>
      <c r="CJ5" s="11" t="s">
        <v>140</v>
      </c>
      <c r="CK5" s="10"/>
      <c r="CL5" s="10" t="s">
        <v>140</v>
      </c>
      <c r="CM5" s="10" t="s">
        <v>140</v>
      </c>
      <c r="CN5" s="10" t="s">
        <v>140</v>
      </c>
      <c r="CO5" s="10" t="s">
        <v>140</v>
      </c>
      <c r="CP5" s="10" t="s">
        <v>140</v>
      </c>
      <c r="CT5" s="8" t="e">
        <v>#NAME?</v>
      </c>
      <c r="CU5" s="8" t="e">
        <v>#NAME?</v>
      </c>
      <c r="CV5" s="8" t="e">
        <v>#NAME?</v>
      </c>
      <c r="CW5" s="8" t="e">
        <v>#NAME?</v>
      </c>
      <c r="CX5" s="8" t="e">
        <v>#NAME?</v>
      </c>
      <c r="CY5" s="8" t="e">
        <v>#NAME?</v>
      </c>
      <c r="CZ5" s="8" t="e">
        <v>#NAME?</v>
      </c>
      <c r="DA5" s="8" t="e">
        <v>#NAME?</v>
      </c>
      <c r="DB5" s="8" t="e">
        <v>#NAME?</v>
      </c>
      <c r="DC5" s="8" t="e">
        <v>#NAME?</v>
      </c>
      <c r="DD5" s="8" t="e">
        <v>#NAME?</v>
      </c>
      <c r="DE5" s="8" t="e">
        <v>#NAME?</v>
      </c>
      <c r="DF5" s="8" t="e">
        <v>#NAME?</v>
      </c>
      <c r="DG5" s="8" t="e">
        <v>#NAME?</v>
      </c>
      <c r="DH5" s="8" t="e">
        <v>#NAME?</v>
      </c>
      <c r="DI5" s="8" t="e">
        <v>#NAME?</v>
      </c>
      <c r="DJ5" s="8" t="e">
        <v>#NAME?</v>
      </c>
      <c r="DK5" s="8" t="e">
        <v>#NAME?</v>
      </c>
      <c r="DL5" s="8" t="e">
        <v>#NAME?</v>
      </c>
      <c r="DM5" s="8" t="e">
        <v>#NAME?</v>
      </c>
      <c r="DN5" s="8" t="e">
        <v>#NAME?</v>
      </c>
      <c r="DO5" s="8" t="e">
        <v>#NAME?</v>
      </c>
      <c r="DP5" s="8" t="e">
        <v>#NAME?</v>
      </c>
      <c r="DQ5" s="8" t="e">
        <v>#NAME?</v>
      </c>
      <c r="DR5" s="8" t="e">
        <v>#NAME?</v>
      </c>
      <c r="DS5" s="8" t="e">
        <v>#NAME?</v>
      </c>
      <c r="DT5" s="8" t="e">
        <v>#NAME?</v>
      </c>
      <c r="DU5" s="8" t="e">
        <v>#NAME?</v>
      </c>
      <c r="DV5" s="8" t="e">
        <v>#NAME?</v>
      </c>
      <c r="DW5" s="8" t="e">
        <v>#NAME?</v>
      </c>
      <c r="DX5" s="8" t="e">
        <v>#NAME?</v>
      </c>
      <c r="DY5" s="8" t="e">
        <v>#NAME?</v>
      </c>
      <c r="DZ5" s="8" t="e">
        <v>#NAME?</v>
      </c>
      <c r="EA5" s="8" t="e">
        <v>#NAME?</v>
      </c>
      <c r="EB5" s="8" t="e">
        <v>#NAME?</v>
      </c>
      <c r="EC5" s="8" t="e">
        <v>#NAME?</v>
      </c>
      <c r="EF5" s="10" t="s">
        <v>140</v>
      </c>
      <c r="EG5" s="10" t="s">
        <v>140</v>
      </c>
      <c r="EH5" s="10" t="s">
        <v>140</v>
      </c>
      <c r="EI5" s="10" t="s">
        <v>140</v>
      </c>
      <c r="EJ5" s="10" t="s">
        <v>140</v>
      </c>
      <c r="EO5" s="8" t="e">
        <v>#NAME?</v>
      </c>
      <c r="EP5" s="8" t="e">
        <v>#NAME?</v>
      </c>
      <c r="EQ5" s="8" t="e">
        <v>#NAME?</v>
      </c>
      <c r="ER5" s="8" t="e">
        <v>#NAME?</v>
      </c>
      <c r="ES5" s="8" t="e">
        <v>#NAME?</v>
      </c>
      <c r="ET5" s="8" t="e">
        <v>#NAME?</v>
      </c>
      <c r="EU5" s="8" t="e">
        <v>#NAME?</v>
      </c>
      <c r="EV5" s="8" t="e">
        <v>#NAME?</v>
      </c>
      <c r="EW5" s="8" t="e">
        <v>#NAME?</v>
      </c>
      <c r="EX5" s="8" t="e">
        <v>#NAME?</v>
      </c>
      <c r="EY5" s="8" t="e">
        <v>#NAME?</v>
      </c>
      <c r="EZ5" s="8" t="e">
        <v>#NAME?</v>
      </c>
      <c r="FA5" s="8" t="e">
        <v>#NAME?</v>
      </c>
      <c r="FB5" s="8" t="e">
        <v>#NAME?</v>
      </c>
      <c r="FC5" s="8" t="e">
        <v>#NAME?</v>
      </c>
      <c r="FD5" s="8" t="e">
        <v>#NAME?</v>
      </c>
      <c r="FE5" s="8" t="e">
        <v>#NAME?</v>
      </c>
      <c r="FF5" s="8" t="e">
        <v>#NAME?</v>
      </c>
      <c r="FG5" s="8" t="e">
        <v>#NAME?</v>
      </c>
      <c r="FH5" s="8" t="e">
        <v>#NAME?</v>
      </c>
      <c r="FI5" s="8" t="e">
        <v>#NAME?</v>
      </c>
      <c r="FJ5" s="8" t="e">
        <v>#NAME?</v>
      </c>
      <c r="FK5" s="8" t="e">
        <v>#NAME?</v>
      </c>
      <c r="FL5" s="8" t="e">
        <v>#NAME?</v>
      </c>
      <c r="FM5" s="8" t="e">
        <v>#NAME?</v>
      </c>
      <c r="FN5" s="8" t="e">
        <v>#NAME?</v>
      </c>
      <c r="FO5" s="8" t="e">
        <v>#NAME?</v>
      </c>
      <c r="FP5" s="8" t="e">
        <v>#NAME?</v>
      </c>
      <c r="FQ5" s="8" t="e">
        <v>#NAME?</v>
      </c>
      <c r="FR5" s="8" t="e">
        <v>#NAME?</v>
      </c>
      <c r="FS5" s="8" t="e">
        <v>#NAME?</v>
      </c>
      <c r="FT5" s="8" t="e">
        <v>#NAME?</v>
      </c>
      <c r="FU5" s="8" t="e">
        <v>#NAME?</v>
      </c>
      <c r="FV5" s="8" t="e">
        <v>#NAME?</v>
      </c>
      <c r="FW5" s="8" t="e">
        <v>#NAME?</v>
      </c>
      <c r="FX5" s="8" t="e">
        <v>#NAME?</v>
      </c>
      <c r="GA5" s="10" t="s">
        <v>140</v>
      </c>
      <c r="GB5" s="10" t="s">
        <v>140</v>
      </c>
      <c r="GC5" s="10" t="s">
        <v>140</v>
      </c>
      <c r="GD5" s="10" t="s">
        <v>140</v>
      </c>
      <c r="GE5" s="10" t="s">
        <v>140</v>
      </c>
      <c r="GH5" s="8" t="e">
        <v>#NAME?</v>
      </c>
      <c r="GI5" s="8" t="e">
        <v>#NAME?</v>
      </c>
      <c r="GJ5" s="8" t="e">
        <v>#NAME?</v>
      </c>
      <c r="GK5" s="8" t="e">
        <v>#NAME?</v>
      </c>
      <c r="GL5" s="8" t="e">
        <v>#NAME?</v>
      </c>
      <c r="GM5" s="8" t="e">
        <v>#NAME?</v>
      </c>
      <c r="GN5" s="8" t="e">
        <v>#NAME?</v>
      </c>
      <c r="GO5" s="8" t="e">
        <v>#NAME?</v>
      </c>
      <c r="GP5" s="8" t="e">
        <v>#NAME?</v>
      </c>
      <c r="GQ5" s="8" t="e">
        <v>#NAME?</v>
      </c>
      <c r="GR5" s="8" t="e">
        <v>#NAME?</v>
      </c>
      <c r="GS5" s="8" t="e">
        <v>#NAME?</v>
      </c>
      <c r="GT5" s="8" t="e">
        <v>#NAME?</v>
      </c>
      <c r="GU5" s="8" t="e">
        <v>#NAME?</v>
      </c>
      <c r="GV5" s="8" t="e">
        <v>#NAME?</v>
      </c>
      <c r="GW5" s="8" t="e">
        <v>#NAME?</v>
      </c>
      <c r="GX5" s="8" t="e">
        <v>#NAME?</v>
      </c>
      <c r="GY5" s="8" t="e">
        <v>#NAME?</v>
      </c>
      <c r="GZ5" s="8" t="e">
        <v>#NAME?</v>
      </c>
      <c r="HA5" s="8" t="e">
        <v>#NAME?</v>
      </c>
      <c r="HB5" s="8" t="e">
        <v>#NAME?</v>
      </c>
      <c r="HC5" s="8" t="e">
        <v>#NAME?</v>
      </c>
      <c r="HD5" s="8" t="e">
        <v>#NAME?</v>
      </c>
      <c r="HE5" s="8" t="e">
        <v>#NAME?</v>
      </c>
      <c r="HF5" s="8" t="e">
        <v>#NAME?</v>
      </c>
      <c r="HG5" s="8" t="e">
        <v>#NAME?</v>
      </c>
      <c r="HH5" s="8" t="e">
        <v>#NAME?</v>
      </c>
      <c r="HI5" s="8" t="e">
        <v>#NAME?</v>
      </c>
      <c r="HJ5" s="8" t="e">
        <v>#NAME?</v>
      </c>
      <c r="HK5" s="8" t="e">
        <v>#NAME?</v>
      </c>
      <c r="HL5" s="8" t="e">
        <v>#NAME?</v>
      </c>
      <c r="HM5" s="8" t="e">
        <v>#NAME?</v>
      </c>
      <c r="HN5" s="8" t="e">
        <v>#NAME?</v>
      </c>
      <c r="HO5" s="8" t="e">
        <v>#NAME?</v>
      </c>
      <c r="HP5" s="8" t="e">
        <v>#NAME?</v>
      </c>
      <c r="HQ5" s="8" t="e">
        <v>#NAME?</v>
      </c>
      <c r="HT5" s="10"/>
      <c r="HU5" s="10" t="s">
        <v>140</v>
      </c>
      <c r="HV5" s="10" t="s">
        <v>140</v>
      </c>
      <c r="HW5" s="10" t="s">
        <v>140</v>
      </c>
      <c r="HX5" s="10" t="s">
        <v>140</v>
      </c>
      <c r="HY5" s="10" t="s">
        <v>140</v>
      </c>
    </row>
    <row r="6" spans="1:233" ht="18.75" thickBot="1">
      <c r="D6" s="12"/>
      <c r="E6" s="13">
        <v>1</v>
      </c>
      <c r="F6" s="13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  <c r="N6" s="13">
        <v>1</v>
      </c>
      <c r="O6" s="13">
        <v>1</v>
      </c>
      <c r="P6" s="13">
        <v>1</v>
      </c>
      <c r="Q6" s="13">
        <v>1</v>
      </c>
      <c r="R6" s="13">
        <v>1</v>
      </c>
      <c r="S6" s="13">
        <v>1</v>
      </c>
      <c r="T6" s="13">
        <v>1</v>
      </c>
      <c r="U6" s="13">
        <v>1</v>
      </c>
      <c r="V6" s="13">
        <v>1</v>
      </c>
      <c r="W6" s="13">
        <v>1</v>
      </c>
      <c r="X6" s="13">
        <v>1</v>
      </c>
      <c r="Y6" s="13">
        <v>1</v>
      </c>
      <c r="Z6" s="13">
        <v>1</v>
      </c>
      <c r="AA6" s="13">
        <v>1</v>
      </c>
      <c r="AB6" s="13">
        <v>1</v>
      </c>
      <c r="AC6" s="13">
        <v>1</v>
      </c>
      <c r="AD6" s="13">
        <v>1</v>
      </c>
      <c r="AE6" s="13">
        <v>1</v>
      </c>
      <c r="AF6" s="13">
        <v>1</v>
      </c>
      <c r="AG6" s="13">
        <v>1</v>
      </c>
      <c r="AH6" s="13">
        <v>1</v>
      </c>
      <c r="AI6" s="13">
        <v>1</v>
      </c>
      <c r="AJ6" s="13">
        <v>1</v>
      </c>
      <c r="AK6" s="13">
        <v>1</v>
      </c>
      <c r="AL6" s="13">
        <v>1</v>
      </c>
      <c r="AM6" s="13">
        <v>1</v>
      </c>
      <c r="AN6" s="13">
        <v>1</v>
      </c>
      <c r="AO6" s="13"/>
      <c r="AP6" s="13"/>
      <c r="AQ6" s="13">
        <v>1</v>
      </c>
      <c r="AR6" s="13">
        <v>1</v>
      </c>
      <c r="AS6" s="13">
        <v>1</v>
      </c>
      <c r="AT6" s="13">
        <v>1</v>
      </c>
      <c r="AU6" s="13">
        <v>1</v>
      </c>
      <c r="AW6">
        <v>0</v>
      </c>
      <c r="AX6" s="12"/>
      <c r="AY6" s="15">
        <v>1</v>
      </c>
      <c r="AZ6" s="15">
        <v>1</v>
      </c>
      <c r="BA6" s="15">
        <v>1</v>
      </c>
      <c r="BB6" s="15">
        <v>1</v>
      </c>
      <c r="BC6" s="15">
        <v>1</v>
      </c>
      <c r="BD6" s="15">
        <v>1</v>
      </c>
      <c r="BE6" s="15">
        <v>1</v>
      </c>
      <c r="BF6" s="15">
        <v>1</v>
      </c>
      <c r="BG6" s="15">
        <v>1</v>
      </c>
      <c r="BH6" s="15">
        <v>1</v>
      </c>
      <c r="BI6" s="15">
        <v>1</v>
      </c>
      <c r="BJ6" s="15">
        <v>1</v>
      </c>
      <c r="BK6" s="15">
        <v>1</v>
      </c>
      <c r="BL6" s="15">
        <v>1</v>
      </c>
      <c r="BM6" s="15">
        <v>1</v>
      </c>
      <c r="BN6" s="15">
        <v>1</v>
      </c>
      <c r="BO6" s="15">
        <v>1</v>
      </c>
      <c r="BP6" s="15">
        <v>1</v>
      </c>
      <c r="BQ6" s="15">
        <v>1</v>
      </c>
      <c r="BR6" s="15">
        <v>1</v>
      </c>
      <c r="BS6" s="15">
        <v>1</v>
      </c>
      <c r="BT6" s="15">
        <v>1</v>
      </c>
      <c r="BU6" s="15">
        <v>1</v>
      </c>
      <c r="BV6" s="15">
        <v>1</v>
      </c>
      <c r="BW6" s="15">
        <v>1</v>
      </c>
      <c r="BX6" s="15">
        <v>1</v>
      </c>
      <c r="BY6" s="15">
        <v>1</v>
      </c>
      <c r="BZ6" s="15">
        <v>1</v>
      </c>
      <c r="CA6" s="15">
        <v>1</v>
      </c>
      <c r="CB6" s="15">
        <v>1</v>
      </c>
      <c r="CC6" s="15">
        <v>1</v>
      </c>
      <c r="CD6" s="15">
        <v>1</v>
      </c>
      <c r="CE6" s="15">
        <v>1</v>
      </c>
      <c r="CF6" s="15">
        <v>1</v>
      </c>
      <c r="CG6" s="15">
        <v>1</v>
      </c>
      <c r="CH6" s="15">
        <v>1</v>
      </c>
      <c r="CJ6" s="14" t="s">
        <v>61</v>
      </c>
      <c r="CK6" s="12"/>
      <c r="CL6" s="15">
        <v>1</v>
      </c>
      <c r="CM6" s="15">
        <v>1</v>
      </c>
      <c r="CN6" s="15">
        <v>1</v>
      </c>
      <c r="CO6" s="15">
        <v>1</v>
      </c>
      <c r="CP6" s="15">
        <v>1</v>
      </c>
      <c r="CT6" s="15">
        <v>1</v>
      </c>
      <c r="CU6" s="15">
        <v>1</v>
      </c>
      <c r="CV6" s="15">
        <v>1</v>
      </c>
      <c r="CW6" s="15">
        <v>1</v>
      </c>
      <c r="CX6" s="15">
        <v>1</v>
      </c>
      <c r="CY6" s="15">
        <v>1</v>
      </c>
      <c r="CZ6" s="15">
        <v>1</v>
      </c>
      <c r="DA6" s="15">
        <v>1</v>
      </c>
      <c r="DB6" s="15">
        <v>1</v>
      </c>
      <c r="DC6" s="15">
        <v>1</v>
      </c>
      <c r="DD6" s="15">
        <v>1</v>
      </c>
      <c r="DE6" s="15">
        <v>1</v>
      </c>
      <c r="DF6" s="15">
        <v>1</v>
      </c>
      <c r="DG6" s="15">
        <v>1</v>
      </c>
      <c r="DH6" s="15">
        <v>1</v>
      </c>
      <c r="DI6" s="15">
        <v>1</v>
      </c>
      <c r="DJ6" s="15">
        <v>1</v>
      </c>
      <c r="DK6" s="15">
        <v>1</v>
      </c>
      <c r="DL6" s="15">
        <v>1</v>
      </c>
      <c r="DM6" s="15">
        <v>1</v>
      </c>
      <c r="DN6" s="15">
        <v>1</v>
      </c>
      <c r="DO6" s="15">
        <v>1</v>
      </c>
      <c r="DP6" s="15">
        <v>1</v>
      </c>
      <c r="DQ6" s="15">
        <v>1</v>
      </c>
      <c r="DR6" s="15">
        <v>1</v>
      </c>
      <c r="DS6" s="15">
        <v>1</v>
      </c>
      <c r="DT6" s="15">
        <v>1</v>
      </c>
      <c r="DU6" s="15">
        <v>1</v>
      </c>
      <c r="DV6" s="15">
        <v>1</v>
      </c>
      <c r="DW6" s="15">
        <v>1</v>
      </c>
      <c r="DX6" s="15">
        <v>1</v>
      </c>
      <c r="DY6" s="15">
        <v>1</v>
      </c>
      <c r="DZ6" s="15">
        <v>1</v>
      </c>
      <c r="EA6" s="15">
        <v>1</v>
      </c>
      <c r="EB6" s="15">
        <v>1</v>
      </c>
      <c r="EC6" s="15">
        <v>1</v>
      </c>
      <c r="EE6">
        <v>1</v>
      </c>
      <c r="EF6" s="15">
        <v>1</v>
      </c>
      <c r="EG6" s="15">
        <v>1</v>
      </c>
      <c r="EH6" s="15">
        <v>1</v>
      </c>
      <c r="EI6" s="15">
        <v>1</v>
      </c>
      <c r="EJ6" s="15">
        <v>1</v>
      </c>
      <c r="FY6" s="16"/>
      <c r="FZ6" s="16"/>
      <c r="GA6" s="12"/>
      <c r="GB6" s="12"/>
      <c r="GC6" s="12"/>
      <c r="GD6" s="12"/>
      <c r="GE6" s="12"/>
      <c r="GG6" s="17" t="s">
        <v>62</v>
      </c>
      <c r="GH6" s="15">
        <v>1</v>
      </c>
      <c r="GI6" s="15">
        <v>1</v>
      </c>
      <c r="GJ6" s="15">
        <v>1</v>
      </c>
      <c r="GK6" s="15">
        <v>1</v>
      </c>
      <c r="GL6" s="15">
        <v>1</v>
      </c>
      <c r="GM6" s="15">
        <v>1</v>
      </c>
      <c r="GN6" s="15">
        <v>1</v>
      </c>
      <c r="GO6" s="15">
        <v>1</v>
      </c>
      <c r="GP6" s="15">
        <v>1</v>
      </c>
      <c r="GQ6" s="15">
        <v>1</v>
      </c>
      <c r="GR6" s="15">
        <v>1</v>
      </c>
      <c r="GS6" s="15">
        <v>1</v>
      </c>
      <c r="GT6" s="15">
        <v>1</v>
      </c>
      <c r="GU6" s="15">
        <v>1</v>
      </c>
      <c r="GV6" s="15">
        <v>1</v>
      </c>
      <c r="GW6" s="15">
        <v>1</v>
      </c>
      <c r="GX6" s="15">
        <v>1</v>
      </c>
      <c r="GY6" s="15">
        <v>1</v>
      </c>
      <c r="GZ6" s="15">
        <v>1</v>
      </c>
      <c r="HA6" s="15">
        <v>1</v>
      </c>
      <c r="HB6" s="15">
        <v>1</v>
      </c>
      <c r="HC6" s="15">
        <v>1</v>
      </c>
      <c r="HD6" s="15">
        <v>1</v>
      </c>
      <c r="HE6" s="15">
        <v>1</v>
      </c>
      <c r="HF6" s="15">
        <v>1</v>
      </c>
      <c r="HG6" s="15">
        <v>1</v>
      </c>
      <c r="HH6" s="15">
        <v>1</v>
      </c>
      <c r="HI6" s="15">
        <v>1</v>
      </c>
      <c r="HJ6" s="15">
        <v>1</v>
      </c>
      <c r="HK6" s="15">
        <v>1</v>
      </c>
      <c r="HL6" s="15">
        <v>1</v>
      </c>
      <c r="HM6" s="15">
        <v>1</v>
      </c>
      <c r="HN6" s="15">
        <v>1</v>
      </c>
      <c r="HO6" s="15">
        <v>1</v>
      </c>
      <c r="HP6" s="15">
        <v>1</v>
      </c>
      <c r="HQ6" s="15">
        <v>1</v>
      </c>
      <c r="HT6" s="12"/>
      <c r="HU6" s="15">
        <v>1</v>
      </c>
      <c r="HV6" s="15">
        <v>1</v>
      </c>
      <c r="HW6" s="15">
        <v>1</v>
      </c>
      <c r="HX6" s="15">
        <v>1</v>
      </c>
      <c r="HY6" s="15">
        <v>1</v>
      </c>
    </row>
    <row r="7" spans="1:233" ht="15.75" thickBot="1">
      <c r="A7" t="s">
        <v>12028</v>
      </c>
      <c r="B7">
        <v>0</v>
      </c>
      <c r="D7" s="18"/>
      <c r="E7" s="19" t="s">
        <v>140</v>
      </c>
      <c r="F7" s="19" t="s">
        <v>140</v>
      </c>
      <c r="G7" s="19" t="s">
        <v>140</v>
      </c>
      <c r="H7" s="19" t="s">
        <v>140</v>
      </c>
      <c r="I7" s="19" t="s">
        <v>140</v>
      </c>
      <c r="J7" s="19" t="s">
        <v>140</v>
      </c>
      <c r="K7" s="19" t="s">
        <v>140</v>
      </c>
      <c r="L7" s="19" t="s">
        <v>140</v>
      </c>
      <c r="M7" s="19" t="s">
        <v>140</v>
      </c>
      <c r="N7" s="19" t="s">
        <v>140</v>
      </c>
      <c r="O7" s="19" t="s">
        <v>140</v>
      </c>
      <c r="P7" s="19" t="s">
        <v>140</v>
      </c>
      <c r="Q7" s="19" t="s">
        <v>140</v>
      </c>
      <c r="R7" s="19" t="s">
        <v>140</v>
      </c>
      <c r="S7" s="19" t="s">
        <v>140</v>
      </c>
      <c r="T7" s="19" t="s">
        <v>140</v>
      </c>
      <c r="U7" s="19" t="s">
        <v>140</v>
      </c>
      <c r="V7" s="19" t="s">
        <v>140</v>
      </c>
      <c r="W7" s="19" t="s">
        <v>140</v>
      </c>
      <c r="X7" s="19" t="s">
        <v>140</v>
      </c>
      <c r="Y7" s="19" t="s">
        <v>140</v>
      </c>
      <c r="Z7" s="19" t="s">
        <v>140</v>
      </c>
      <c r="AA7" s="19" t="s">
        <v>140</v>
      </c>
      <c r="AB7" s="19" t="s">
        <v>140</v>
      </c>
      <c r="AC7" s="19" t="s">
        <v>140</v>
      </c>
      <c r="AD7" s="19" t="s">
        <v>140</v>
      </c>
      <c r="AE7" s="19" t="s">
        <v>140</v>
      </c>
      <c r="AF7" s="19" t="s">
        <v>140</v>
      </c>
      <c r="AG7" s="19" t="s">
        <v>140</v>
      </c>
      <c r="AH7" s="19" t="s">
        <v>140</v>
      </c>
      <c r="AI7" s="19" t="s">
        <v>140</v>
      </c>
      <c r="AJ7" s="19" t="s">
        <v>140</v>
      </c>
      <c r="AK7" s="19" t="s">
        <v>140</v>
      </c>
      <c r="AL7" s="19" t="s">
        <v>140</v>
      </c>
      <c r="AM7" s="19" t="s">
        <v>140</v>
      </c>
      <c r="AN7" s="19">
        <v>4</v>
      </c>
      <c r="AP7" s="18"/>
      <c r="AQ7" s="19" t="s">
        <v>140</v>
      </c>
      <c r="AR7" s="19" t="s">
        <v>140</v>
      </c>
      <c r="AS7" s="19" t="s">
        <v>140</v>
      </c>
      <c r="AT7" s="19" t="s">
        <v>140</v>
      </c>
      <c r="AU7" s="19" t="e">
        <v>#NAME?</v>
      </c>
      <c r="AW7" s="19">
        <v>0</v>
      </c>
      <c r="AX7" s="20" t="s">
        <v>63</v>
      </c>
      <c r="AY7" s="19">
        <v>0</v>
      </c>
      <c r="AZ7" s="19">
        <v>0</v>
      </c>
      <c r="BA7" s="19">
        <v>0</v>
      </c>
      <c r="BB7" s="19">
        <v>0</v>
      </c>
      <c r="BC7" s="19">
        <v>0</v>
      </c>
      <c r="BD7" s="19">
        <v>0</v>
      </c>
      <c r="BE7" s="19">
        <v>0</v>
      </c>
      <c r="BF7" s="19">
        <v>0</v>
      </c>
      <c r="BG7" s="19">
        <v>0</v>
      </c>
      <c r="BH7" s="19">
        <v>0</v>
      </c>
      <c r="BI7" s="19">
        <v>0</v>
      </c>
      <c r="BJ7" s="19">
        <v>0</v>
      </c>
      <c r="BK7" s="19">
        <v>0</v>
      </c>
      <c r="BL7" s="19">
        <v>0</v>
      </c>
      <c r="BM7" s="19">
        <v>0</v>
      </c>
      <c r="BN7" s="19">
        <v>0</v>
      </c>
      <c r="BO7" s="19">
        <v>0</v>
      </c>
      <c r="BP7" s="19">
        <v>0</v>
      </c>
      <c r="BQ7" s="19">
        <v>0</v>
      </c>
      <c r="BR7" s="19">
        <v>0</v>
      </c>
      <c r="BS7" s="19">
        <v>0</v>
      </c>
      <c r="BT7" s="19">
        <v>0</v>
      </c>
      <c r="BU7" s="19">
        <v>0</v>
      </c>
      <c r="BV7" s="19">
        <v>0</v>
      </c>
      <c r="BW7" s="19">
        <v>0</v>
      </c>
      <c r="BX7" s="19">
        <v>0</v>
      </c>
      <c r="BY7" s="19">
        <v>0</v>
      </c>
      <c r="BZ7" s="19">
        <v>0</v>
      </c>
      <c r="CA7" s="19">
        <v>0</v>
      </c>
      <c r="CB7" s="19">
        <v>0</v>
      </c>
      <c r="CC7" s="19">
        <v>0</v>
      </c>
      <c r="CD7" s="19">
        <v>0</v>
      </c>
      <c r="CE7" s="19">
        <v>0</v>
      </c>
      <c r="CF7" s="19">
        <v>0</v>
      </c>
      <c r="CG7" s="19">
        <v>0</v>
      </c>
      <c r="CH7" s="19">
        <v>4</v>
      </c>
      <c r="CK7" s="20"/>
      <c r="CL7" s="19" t="s">
        <v>140</v>
      </c>
      <c r="CM7" s="19" t="s">
        <v>140</v>
      </c>
      <c r="CN7" s="19" t="s">
        <v>140</v>
      </c>
      <c r="CO7" s="19" t="s">
        <v>140</v>
      </c>
      <c r="CP7" s="19" t="e">
        <v>#NAME?</v>
      </c>
      <c r="CS7" s="20"/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 s="19">
        <v>0</v>
      </c>
      <c r="DC7" s="19">
        <v>0</v>
      </c>
      <c r="DD7" s="19">
        <v>0</v>
      </c>
      <c r="DE7" s="19">
        <v>0</v>
      </c>
      <c r="DF7" s="19">
        <v>0</v>
      </c>
      <c r="DG7" s="19">
        <v>0</v>
      </c>
      <c r="DH7" s="19">
        <v>0</v>
      </c>
      <c r="DI7" s="19">
        <v>0</v>
      </c>
      <c r="DJ7" s="19">
        <v>0</v>
      </c>
      <c r="DK7" s="19">
        <v>0</v>
      </c>
      <c r="DL7" s="19">
        <v>0</v>
      </c>
      <c r="DM7" s="19">
        <v>0</v>
      </c>
      <c r="DN7" s="19">
        <v>0</v>
      </c>
      <c r="DO7" s="19">
        <v>0</v>
      </c>
      <c r="DP7" s="19">
        <v>0</v>
      </c>
      <c r="DQ7" s="19">
        <v>0</v>
      </c>
      <c r="DR7" s="19">
        <v>0</v>
      </c>
      <c r="DS7" s="19">
        <v>0</v>
      </c>
      <c r="DT7" s="19">
        <v>0</v>
      </c>
      <c r="DU7" s="19">
        <v>0</v>
      </c>
      <c r="DV7" s="19">
        <v>0</v>
      </c>
      <c r="DW7" s="19">
        <v>0</v>
      </c>
      <c r="DX7" s="19">
        <v>0</v>
      </c>
      <c r="DY7" s="19">
        <v>0</v>
      </c>
      <c r="DZ7" s="19">
        <v>0</v>
      </c>
      <c r="EA7" s="19">
        <v>0</v>
      </c>
      <c r="EB7" s="19">
        <v>0</v>
      </c>
      <c r="EC7" s="19">
        <v>4</v>
      </c>
      <c r="EE7" s="20"/>
      <c r="EF7" s="19" t="s">
        <v>140</v>
      </c>
      <c r="EG7" s="19" t="s">
        <v>140</v>
      </c>
      <c r="EH7" s="19" t="s">
        <v>140</v>
      </c>
      <c r="EI7" s="19" t="s">
        <v>140</v>
      </c>
      <c r="EJ7" s="19" t="e">
        <v>#NAME?</v>
      </c>
      <c r="EN7" s="20"/>
      <c r="EO7" s="19">
        <v>0</v>
      </c>
      <c r="EP7" s="19">
        <v>0</v>
      </c>
      <c r="EQ7" s="19">
        <v>0</v>
      </c>
      <c r="ER7" s="19">
        <v>0</v>
      </c>
      <c r="ES7" s="19">
        <v>0</v>
      </c>
      <c r="ET7" s="19">
        <v>0</v>
      </c>
      <c r="EU7" s="19">
        <v>0</v>
      </c>
      <c r="EV7" s="19">
        <v>0</v>
      </c>
      <c r="EW7" s="19">
        <v>0</v>
      </c>
      <c r="EX7" s="19">
        <v>0</v>
      </c>
      <c r="EY7" s="19">
        <v>0</v>
      </c>
      <c r="EZ7" s="19">
        <v>0</v>
      </c>
      <c r="FA7" s="19">
        <v>0</v>
      </c>
      <c r="FB7" s="19">
        <v>0</v>
      </c>
      <c r="FC7" s="19">
        <v>0</v>
      </c>
      <c r="FD7" s="19">
        <v>0</v>
      </c>
      <c r="FE7" s="19">
        <v>0</v>
      </c>
      <c r="FF7" s="19">
        <v>0</v>
      </c>
      <c r="FG7" s="19">
        <v>0</v>
      </c>
      <c r="FH7" s="19">
        <v>0</v>
      </c>
      <c r="FI7" s="19">
        <v>0</v>
      </c>
      <c r="FJ7" s="19">
        <v>0</v>
      </c>
      <c r="FK7" s="19">
        <v>0</v>
      </c>
      <c r="FL7" s="19">
        <v>0</v>
      </c>
      <c r="FM7" s="19">
        <v>0</v>
      </c>
      <c r="FN7" s="19">
        <v>0</v>
      </c>
      <c r="FO7" s="19">
        <v>0</v>
      </c>
      <c r="FP7" s="19">
        <v>0</v>
      </c>
      <c r="FQ7" s="19">
        <v>0</v>
      </c>
      <c r="FR7" s="19">
        <v>0</v>
      </c>
      <c r="FS7" s="19">
        <v>0</v>
      </c>
      <c r="FT7" s="19">
        <v>0</v>
      </c>
      <c r="FU7" s="19">
        <v>0</v>
      </c>
      <c r="FV7" s="19">
        <v>0</v>
      </c>
      <c r="FW7" s="19">
        <v>0</v>
      </c>
      <c r="FX7" s="19">
        <v>4</v>
      </c>
      <c r="FZ7" s="20"/>
      <c r="GA7" s="19" t="s">
        <v>140</v>
      </c>
      <c r="GB7" s="19" t="s">
        <v>140</v>
      </c>
      <c r="GC7" s="19" t="s">
        <v>140</v>
      </c>
      <c r="GD7" s="19" t="s">
        <v>140</v>
      </c>
      <c r="GE7" s="19" t="e">
        <v>#NAME?</v>
      </c>
      <c r="GF7" s="21"/>
      <c r="GG7" s="19"/>
      <c r="GH7" s="19">
        <v>0</v>
      </c>
      <c r="GI7" s="19">
        <v>0</v>
      </c>
      <c r="GJ7" s="19">
        <v>0</v>
      </c>
      <c r="GK7" s="19">
        <v>0</v>
      </c>
      <c r="GL7" s="19">
        <v>0</v>
      </c>
      <c r="GM7" s="19">
        <v>0</v>
      </c>
      <c r="GN7" s="19">
        <v>0</v>
      </c>
      <c r="GO7" s="19">
        <v>0</v>
      </c>
      <c r="GP7" s="19">
        <v>0</v>
      </c>
      <c r="GQ7" s="19">
        <v>0</v>
      </c>
      <c r="GR7" s="19">
        <v>0</v>
      </c>
      <c r="GS7" s="19">
        <v>0</v>
      </c>
      <c r="GT7" s="19">
        <v>0</v>
      </c>
      <c r="GU7" s="19">
        <v>0</v>
      </c>
      <c r="GV7" s="19">
        <v>0</v>
      </c>
      <c r="GW7" s="19">
        <v>0</v>
      </c>
      <c r="GX7" s="19">
        <v>0</v>
      </c>
      <c r="GY7" s="19">
        <v>0</v>
      </c>
      <c r="GZ7" s="19">
        <v>0</v>
      </c>
      <c r="HA7" s="19">
        <v>0</v>
      </c>
      <c r="HB7" s="19">
        <v>0</v>
      </c>
      <c r="HC7" s="19">
        <v>0</v>
      </c>
      <c r="HD7" s="19">
        <v>0</v>
      </c>
      <c r="HE7" s="19">
        <v>0</v>
      </c>
      <c r="HF7" s="19">
        <v>0</v>
      </c>
      <c r="HG7" s="19">
        <v>0</v>
      </c>
      <c r="HH7" s="19">
        <v>0</v>
      </c>
      <c r="HI7" s="19">
        <v>0</v>
      </c>
      <c r="HJ7" s="19">
        <v>0</v>
      </c>
      <c r="HK7" s="19">
        <v>0</v>
      </c>
      <c r="HL7" s="19">
        <v>0</v>
      </c>
      <c r="HM7" s="19">
        <v>0</v>
      </c>
      <c r="HN7" s="19">
        <v>0</v>
      </c>
      <c r="HO7" s="19">
        <v>0</v>
      </c>
      <c r="HP7" s="19">
        <v>0</v>
      </c>
      <c r="HQ7" s="19">
        <v>4</v>
      </c>
      <c r="HR7" s="21"/>
      <c r="HS7" s="21"/>
      <c r="HT7" s="19"/>
      <c r="HU7" s="19" t="s">
        <v>140</v>
      </c>
      <c r="HV7" s="19" t="s">
        <v>140</v>
      </c>
      <c r="HW7" s="19" t="s">
        <v>140</v>
      </c>
      <c r="HX7" s="19" t="s">
        <v>140</v>
      </c>
      <c r="HY7" s="19" t="e">
        <v>#NAME?</v>
      </c>
    </row>
    <row r="8" spans="1:233" ht="15.75" thickBot="1">
      <c r="A8" t="s">
        <v>12029</v>
      </c>
      <c r="B8">
        <v>0</v>
      </c>
      <c r="D8" s="22" t="s">
        <v>64</v>
      </c>
      <c r="E8" s="510" t="e">
        <v>#VALUE!</v>
      </c>
      <c r="F8" s="510" t="e">
        <v>#VALUE!</v>
      </c>
      <c r="G8" s="510" t="e">
        <v>#VALUE!</v>
      </c>
      <c r="H8" s="510" t="e">
        <v>#VALUE!</v>
      </c>
      <c r="I8" s="510" t="e">
        <v>#VALUE!</v>
      </c>
      <c r="J8" s="510" t="e">
        <v>#VALUE!</v>
      </c>
      <c r="K8" s="510" t="e">
        <v>#VALUE!</v>
      </c>
      <c r="L8" s="510" t="e">
        <v>#VALUE!</v>
      </c>
      <c r="M8" s="510" t="e">
        <v>#VALUE!</v>
      </c>
      <c r="N8" s="510" t="e">
        <v>#VALUE!</v>
      </c>
      <c r="O8" s="510" t="e">
        <v>#VALUE!</v>
      </c>
      <c r="P8" s="510" t="e">
        <v>#VALUE!</v>
      </c>
      <c r="Q8" s="510" t="e">
        <v>#VALUE!</v>
      </c>
      <c r="R8" s="510" t="e">
        <v>#VALUE!</v>
      </c>
      <c r="S8" s="510" t="e">
        <v>#VALUE!</v>
      </c>
      <c r="T8" s="510" t="e">
        <v>#VALUE!</v>
      </c>
      <c r="U8" s="510" t="e">
        <v>#VALUE!</v>
      </c>
      <c r="V8" s="510" t="e">
        <v>#VALUE!</v>
      </c>
      <c r="W8" s="510" t="e">
        <v>#VALUE!</v>
      </c>
      <c r="X8" s="510" t="e">
        <v>#VALUE!</v>
      </c>
      <c r="Y8" s="510" t="e">
        <v>#VALUE!</v>
      </c>
      <c r="Z8" s="510" t="e">
        <v>#VALUE!</v>
      </c>
      <c r="AA8" s="510" t="e">
        <v>#VALUE!</v>
      </c>
      <c r="AB8" s="510" t="e">
        <v>#VALUE!</v>
      </c>
      <c r="AC8" s="510" t="e">
        <v>#VALUE!</v>
      </c>
      <c r="AD8" s="510" t="e">
        <v>#VALUE!</v>
      </c>
      <c r="AE8" s="510" t="e">
        <v>#VALUE!</v>
      </c>
      <c r="AF8" s="510" t="e">
        <v>#VALUE!</v>
      </c>
      <c r="AG8" s="510" t="e">
        <v>#VALUE!</v>
      </c>
      <c r="AH8" s="510" t="e">
        <v>#VALUE!</v>
      </c>
      <c r="AI8" s="510" t="e">
        <v>#VALUE!</v>
      </c>
      <c r="AJ8" s="510" t="e">
        <v>#VALUE!</v>
      </c>
      <c r="AK8" s="510" t="e">
        <v>#VALUE!</v>
      </c>
      <c r="AL8" s="510" t="e">
        <v>#VALUE!</v>
      </c>
      <c r="AM8" s="510" t="e">
        <v>#VALUE!</v>
      </c>
      <c r="AN8" s="510" t="e">
        <v>#VALUE!</v>
      </c>
      <c r="AP8" s="22" t="s">
        <v>64</v>
      </c>
      <c r="AQ8" s="23"/>
      <c r="AR8" s="23"/>
      <c r="AS8" s="23"/>
      <c r="AT8" s="23"/>
      <c r="AU8" s="23"/>
      <c r="AW8">
        <v>0</v>
      </c>
      <c r="AX8" s="24" t="s">
        <v>65</v>
      </c>
      <c r="AY8" s="25" t="e">
        <v>#NAME?</v>
      </c>
      <c r="AZ8" s="25" t="e">
        <v>#NAME?</v>
      </c>
      <c r="BA8" s="25" t="e">
        <v>#NAME?</v>
      </c>
      <c r="BB8" s="25" t="e">
        <v>#NAME?</v>
      </c>
      <c r="BC8" s="25" t="e">
        <v>#NAME?</v>
      </c>
      <c r="BD8" s="25" t="e">
        <v>#NAME?</v>
      </c>
      <c r="BE8" s="25" t="e">
        <v>#NAME?</v>
      </c>
      <c r="BF8" s="25" t="e">
        <v>#NAME?</v>
      </c>
      <c r="BG8" s="25" t="e">
        <v>#NAME?</v>
      </c>
      <c r="BH8" s="25" t="e">
        <v>#NAME?</v>
      </c>
      <c r="BI8" s="25" t="e">
        <v>#NAME?</v>
      </c>
      <c r="BJ8" s="25" t="e">
        <v>#NAME?</v>
      </c>
      <c r="BK8" s="25" t="e">
        <v>#NAME?</v>
      </c>
      <c r="BL8" s="25" t="e">
        <v>#NAME?</v>
      </c>
      <c r="BM8" s="25" t="e">
        <v>#NAME?</v>
      </c>
      <c r="BN8" s="25" t="e">
        <v>#NAME?</v>
      </c>
      <c r="BO8" s="25" t="e">
        <v>#NAME?</v>
      </c>
      <c r="BP8" s="25" t="e">
        <v>#NAME?</v>
      </c>
      <c r="BQ8" s="25" t="e">
        <v>#NAME?</v>
      </c>
      <c r="BR8" s="25" t="e">
        <v>#NAME?</v>
      </c>
      <c r="BS8" s="25" t="e">
        <v>#NAME?</v>
      </c>
      <c r="BT8" s="25" t="e">
        <v>#NAME?</v>
      </c>
      <c r="BU8" s="25" t="e">
        <v>#NAME?</v>
      </c>
      <c r="BV8" s="25" t="e">
        <v>#NAME?</v>
      </c>
      <c r="BW8" s="25" t="e">
        <v>#NAME?</v>
      </c>
      <c r="BX8" s="25" t="e">
        <v>#NAME?</v>
      </c>
      <c r="BY8" s="25" t="e">
        <v>#NAME?</v>
      </c>
      <c r="BZ8" s="25" t="e">
        <v>#NAME?</v>
      </c>
      <c r="CA8" s="25" t="e">
        <v>#NAME?</v>
      </c>
      <c r="CB8" s="25" t="e">
        <v>#NAME?</v>
      </c>
      <c r="CC8" s="25" t="e">
        <v>#NAME?</v>
      </c>
      <c r="CD8" s="25" t="e">
        <v>#NAME?</v>
      </c>
      <c r="CE8" s="25" t="e">
        <v>#NAME?</v>
      </c>
      <c r="CF8" s="25" t="e">
        <v>#NAME?</v>
      </c>
      <c r="CG8" s="25" t="e">
        <v>#NAME?</v>
      </c>
      <c r="CH8" s="25" t="e">
        <v>#NAME?</v>
      </c>
      <c r="CK8" s="24" t="s">
        <v>65</v>
      </c>
      <c r="CL8" s="25">
        <v>0</v>
      </c>
      <c r="CM8" s="25">
        <v>0</v>
      </c>
      <c r="CN8" s="25">
        <v>0</v>
      </c>
      <c r="CO8" s="25">
        <v>0</v>
      </c>
      <c r="CP8" s="25">
        <v>0</v>
      </c>
      <c r="CS8" s="26"/>
      <c r="CT8" s="27"/>
      <c r="CU8" s="28"/>
      <c r="CV8" s="28"/>
      <c r="CW8" s="28"/>
      <c r="CX8" s="28"/>
      <c r="CY8" s="28"/>
      <c r="CZ8" s="28"/>
      <c r="DA8" s="28"/>
      <c r="DB8" s="28"/>
      <c r="DC8" s="28"/>
      <c r="DD8" s="28"/>
      <c r="DE8" s="28"/>
      <c r="DF8" s="28"/>
      <c r="DG8" s="28"/>
      <c r="DH8" s="28"/>
      <c r="DI8" s="28"/>
      <c r="DJ8" s="28"/>
      <c r="DK8" s="28"/>
      <c r="DL8" s="28"/>
      <c r="DM8" s="28"/>
      <c r="DN8" s="28"/>
      <c r="DO8" s="28"/>
      <c r="DP8" s="28"/>
      <c r="DQ8" s="28"/>
      <c r="DR8" s="28"/>
      <c r="DS8" s="28"/>
      <c r="DT8" s="28"/>
      <c r="DU8" s="28"/>
      <c r="DV8" s="28"/>
      <c r="DW8" s="28"/>
      <c r="DX8" s="28"/>
      <c r="DY8" s="28"/>
      <c r="DZ8" s="28"/>
      <c r="EA8" s="28"/>
      <c r="EB8" s="28"/>
      <c r="EC8" s="29"/>
      <c r="EE8" s="26"/>
      <c r="EF8" s="29"/>
      <c r="EG8" s="29"/>
      <c r="EH8" s="29"/>
      <c r="EI8" s="29"/>
      <c r="EJ8" s="29"/>
      <c r="EN8" s="30"/>
      <c r="EO8" s="31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3"/>
      <c r="FY8" s="6"/>
      <c r="FZ8" s="30"/>
      <c r="GA8" s="33"/>
      <c r="GB8" s="33"/>
      <c r="GC8" s="33"/>
      <c r="GD8" s="33"/>
      <c r="GE8" s="33"/>
      <c r="GF8" s="34"/>
      <c r="GG8" s="30"/>
      <c r="GH8" s="34"/>
      <c r="GI8" s="34"/>
      <c r="GJ8" s="34"/>
      <c r="GK8" s="34"/>
      <c r="GL8" s="34"/>
      <c r="GM8" s="34"/>
      <c r="GN8" s="34"/>
      <c r="GO8" s="34"/>
      <c r="GP8" s="34"/>
      <c r="GQ8" s="34"/>
      <c r="GR8" s="34"/>
      <c r="GS8" s="34"/>
      <c r="GT8" s="34"/>
      <c r="GU8" s="34"/>
      <c r="GV8" s="34"/>
      <c r="GW8" s="34"/>
      <c r="GX8" s="34"/>
      <c r="GY8" s="34"/>
      <c r="GZ8" s="34"/>
      <c r="HA8" s="34"/>
      <c r="HB8" s="34"/>
      <c r="HC8" s="34"/>
      <c r="HD8" s="34"/>
      <c r="HE8" s="34"/>
      <c r="HF8" s="34"/>
      <c r="HG8" s="34"/>
      <c r="HH8" s="34"/>
      <c r="HI8" s="34"/>
      <c r="HJ8" s="34"/>
      <c r="HK8" s="34"/>
      <c r="HL8" s="34"/>
      <c r="HM8" s="34"/>
      <c r="HN8" s="34"/>
      <c r="HO8" s="34"/>
      <c r="HP8" s="34"/>
      <c r="HQ8" s="34"/>
      <c r="HR8" s="34"/>
      <c r="HS8" s="34"/>
      <c r="HU8" s="34"/>
      <c r="HV8" s="34"/>
      <c r="HW8" s="34"/>
      <c r="HX8" s="34"/>
      <c r="HY8" s="34"/>
    </row>
    <row r="9" spans="1:233" ht="15.75" thickBot="1">
      <c r="A9" t="s">
        <v>12030</v>
      </c>
      <c r="B9">
        <v>0</v>
      </c>
      <c r="D9" s="35" t="s">
        <v>66</v>
      </c>
      <c r="E9" s="25" t="e">
        <v>#VALUE!</v>
      </c>
      <c r="F9" s="25" t="e">
        <v>#VALUE!</v>
      </c>
      <c r="G9" s="25" t="e">
        <v>#VALUE!</v>
      </c>
      <c r="H9" s="25" t="e">
        <v>#VALUE!</v>
      </c>
      <c r="I9" s="25" t="e">
        <v>#VALUE!</v>
      </c>
      <c r="J9" s="25" t="e">
        <v>#VALUE!</v>
      </c>
      <c r="K9" s="25" t="e">
        <v>#VALUE!</v>
      </c>
      <c r="L9" s="25" t="e">
        <v>#VALUE!</v>
      </c>
      <c r="M9" s="25" t="e">
        <v>#VALUE!</v>
      </c>
      <c r="N9" s="25" t="e">
        <v>#VALUE!</v>
      </c>
      <c r="O9" s="25" t="e">
        <v>#VALUE!</v>
      </c>
      <c r="P9" s="25" t="e">
        <v>#VALUE!</v>
      </c>
      <c r="Q9" s="25" t="e">
        <v>#VALUE!</v>
      </c>
      <c r="R9" s="25" t="e">
        <v>#VALUE!</v>
      </c>
      <c r="S9" s="25" t="e">
        <v>#VALUE!</v>
      </c>
      <c r="T9" s="25" t="e">
        <v>#VALUE!</v>
      </c>
      <c r="U9" s="25" t="e">
        <v>#VALUE!</v>
      </c>
      <c r="V9" s="25" t="e">
        <v>#VALUE!</v>
      </c>
      <c r="W9" s="25" t="e">
        <v>#VALUE!</v>
      </c>
      <c r="X9" s="25" t="e">
        <v>#VALUE!</v>
      </c>
      <c r="Y9" s="25" t="e">
        <v>#VALUE!</v>
      </c>
      <c r="Z9" s="25" t="e">
        <v>#VALUE!</v>
      </c>
      <c r="AA9" s="25" t="e">
        <v>#VALUE!</v>
      </c>
      <c r="AB9" s="25" t="e">
        <v>#VALUE!</v>
      </c>
      <c r="AC9" s="25" t="e">
        <v>#VALUE!</v>
      </c>
      <c r="AD9" s="25" t="e">
        <v>#VALUE!</v>
      </c>
      <c r="AE9" s="25" t="e">
        <v>#VALUE!</v>
      </c>
      <c r="AF9" s="25" t="e">
        <v>#VALUE!</v>
      </c>
      <c r="AG9" s="25" t="e">
        <v>#VALUE!</v>
      </c>
      <c r="AH9" s="25" t="e">
        <v>#VALUE!</v>
      </c>
      <c r="AI9" s="25" t="e">
        <v>#VALUE!</v>
      </c>
      <c r="AJ9" s="25" t="e">
        <v>#VALUE!</v>
      </c>
      <c r="AK9" s="25" t="e">
        <v>#VALUE!</v>
      </c>
      <c r="AL9" s="25" t="e">
        <v>#VALUE!</v>
      </c>
      <c r="AM9" s="25" t="e">
        <v>#VALUE!</v>
      </c>
      <c r="AN9" s="25" t="e">
        <v>#VALUE!</v>
      </c>
      <c r="AP9" s="35" t="s">
        <v>66</v>
      </c>
      <c r="AQ9" s="25">
        <v>0</v>
      </c>
      <c r="AR9" s="25">
        <v>0</v>
      </c>
      <c r="AS9" s="25">
        <v>0</v>
      </c>
      <c r="AT9" s="25">
        <v>0</v>
      </c>
      <c r="AU9" s="25">
        <v>0</v>
      </c>
      <c r="AW9">
        <v>0</v>
      </c>
      <c r="AX9" s="36" t="s">
        <v>67</v>
      </c>
      <c r="AY9" s="25" t="e">
        <v>#NAME?</v>
      </c>
      <c r="AZ9" s="25" t="e">
        <v>#NAME?</v>
      </c>
      <c r="BA9" s="25" t="e">
        <v>#NAME?</v>
      </c>
      <c r="BB9" s="25" t="e">
        <v>#NAME?</v>
      </c>
      <c r="BC9" s="25" t="e">
        <v>#NAME?</v>
      </c>
      <c r="BD9" s="25" t="e">
        <v>#NAME?</v>
      </c>
      <c r="BE9" s="25" t="e">
        <v>#NAME?</v>
      </c>
      <c r="BF9" s="25" t="e">
        <v>#NAME?</v>
      </c>
      <c r="BG9" s="25" t="e">
        <v>#NAME?</v>
      </c>
      <c r="BH9" s="25" t="e">
        <v>#NAME?</v>
      </c>
      <c r="BI9" s="25" t="e">
        <v>#NAME?</v>
      </c>
      <c r="BJ9" s="25" t="e">
        <v>#NAME?</v>
      </c>
      <c r="BK9" s="25" t="e">
        <v>#NAME?</v>
      </c>
      <c r="BL9" s="25" t="e">
        <v>#NAME?</v>
      </c>
      <c r="BM9" s="25" t="e">
        <v>#NAME?</v>
      </c>
      <c r="BN9" s="25" t="e">
        <v>#NAME?</v>
      </c>
      <c r="BO9" s="25" t="e">
        <v>#NAME?</v>
      </c>
      <c r="BP9" s="25" t="e">
        <v>#NAME?</v>
      </c>
      <c r="BQ9" s="25" t="e">
        <v>#NAME?</v>
      </c>
      <c r="BR9" s="25" t="e">
        <v>#NAME?</v>
      </c>
      <c r="BS9" s="25" t="e">
        <v>#NAME?</v>
      </c>
      <c r="BT9" s="25" t="e">
        <v>#NAME?</v>
      </c>
      <c r="BU9" s="25" t="e">
        <v>#NAME?</v>
      </c>
      <c r="BV9" s="25" t="e">
        <v>#NAME?</v>
      </c>
      <c r="BW9" s="25" t="e">
        <v>#NAME?</v>
      </c>
      <c r="BX9" s="25" t="e">
        <v>#NAME?</v>
      </c>
      <c r="BY9" s="25" t="e">
        <v>#NAME?</v>
      </c>
      <c r="BZ9" s="25" t="e">
        <v>#NAME?</v>
      </c>
      <c r="CA9" s="25" t="e">
        <v>#NAME?</v>
      </c>
      <c r="CB9" s="25" t="e">
        <v>#NAME?</v>
      </c>
      <c r="CC9" s="25" t="e">
        <v>#NAME?</v>
      </c>
      <c r="CD9" s="25" t="e">
        <v>#NAME?</v>
      </c>
      <c r="CE9" s="25" t="e">
        <v>#NAME?</v>
      </c>
      <c r="CF9" s="25" t="e">
        <v>#NAME?</v>
      </c>
      <c r="CG9" s="25" t="e">
        <v>#NAME?</v>
      </c>
      <c r="CH9" s="25" t="e">
        <v>#NAME?</v>
      </c>
      <c r="CK9" s="36" t="s">
        <v>67</v>
      </c>
      <c r="CL9" s="25">
        <v>0</v>
      </c>
      <c r="CM9" s="25">
        <v>0</v>
      </c>
      <c r="CN9" s="25">
        <v>0</v>
      </c>
      <c r="CO9" s="25">
        <v>0</v>
      </c>
      <c r="CP9" s="25">
        <v>0</v>
      </c>
      <c r="CS9" s="36" t="s">
        <v>68</v>
      </c>
      <c r="CT9" s="25" t="e">
        <v>#NAME?</v>
      </c>
      <c r="CU9" s="25" t="e">
        <v>#NAME?</v>
      </c>
      <c r="CV9" s="25" t="e">
        <v>#NAME?</v>
      </c>
      <c r="CW9" s="25" t="e">
        <v>#NAME?</v>
      </c>
      <c r="CX9" s="25" t="e">
        <v>#NAME?</v>
      </c>
      <c r="CY9" s="25" t="e">
        <v>#NAME?</v>
      </c>
      <c r="CZ9" s="25" t="e">
        <v>#NAME?</v>
      </c>
      <c r="DA9" s="25" t="e">
        <v>#NAME?</v>
      </c>
      <c r="DB9" s="25" t="e">
        <v>#NAME?</v>
      </c>
      <c r="DC9" s="25" t="e">
        <v>#NAME?</v>
      </c>
      <c r="DD9" s="25" t="e">
        <v>#NAME?</v>
      </c>
      <c r="DE9" s="25" t="e">
        <v>#NAME?</v>
      </c>
      <c r="DF9" s="25" t="e">
        <v>#NAME?</v>
      </c>
      <c r="DG9" s="25" t="e">
        <v>#NAME?</v>
      </c>
      <c r="DH9" s="25" t="e">
        <v>#NAME?</v>
      </c>
      <c r="DI9" s="25" t="e">
        <v>#NAME?</v>
      </c>
      <c r="DJ9" s="25" t="e">
        <v>#NAME?</v>
      </c>
      <c r="DK9" s="25" t="e">
        <v>#NAME?</v>
      </c>
      <c r="DL9" s="25" t="e">
        <v>#NAME?</v>
      </c>
      <c r="DM9" s="25" t="e">
        <v>#NAME?</v>
      </c>
      <c r="DN9" s="25" t="e">
        <v>#NAME?</v>
      </c>
      <c r="DO9" s="25" t="e">
        <v>#NAME?</v>
      </c>
      <c r="DP9" s="25" t="e">
        <v>#NAME?</v>
      </c>
      <c r="DQ9" s="25" t="e">
        <v>#NAME?</v>
      </c>
      <c r="DR9" s="25" t="e">
        <v>#NAME?</v>
      </c>
      <c r="DS9" s="25" t="e">
        <v>#NAME?</v>
      </c>
      <c r="DT9" s="25" t="e">
        <v>#NAME?</v>
      </c>
      <c r="DU9" s="25" t="e">
        <v>#NAME?</v>
      </c>
      <c r="DV9" s="25" t="e">
        <v>#NAME?</v>
      </c>
      <c r="DW9" s="25" t="e">
        <v>#NAME?</v>
      </c>
      <c r="DX9" s="25" t="e">
        <v>#NAME?</v>
      </c>
      <c r="DY9" s="25" t="e">
        <v>#NAME?</v>
      </c>
      <c r="DZ9" s="25" t="e">
        <v>#NAME?</v>
      </c>
      <c r="EA9" s="25" t="e">
        <v>#NAME?</v>
      </c>
      <c r="EB9" s="25" t="e">
        <v>#NAME?</v>
      </c>
      <c r="EC9" s="25" t="e">
        <v>#NAME?</v>
      </c>
      <c r="EE9" s="36" t="s">
        <v>68</v>
      </c>
      <c r="EF9" s="25">
        <v>0</v>
      </c>
      <c r="EG9" s="25">
        <v>0</v>
      </c>
      <c r="EH9" s="25">
        <v>0</v>
      </c>
      <c r="EI9" s="25">
        <v>0</v>
      </c>
      <c r="EJ9" s="25">
        <v>0</v>
      </c>
      <c r="EM9" s="37"/>
      <c r="EN9" s="38" t="s">
        <v>69</v>
      </c>
      <c r="EO9" s="25" t="e">
        <v>#NAME?</v>
      </c>
      <c r="EP9" s="25" t="e">
        <v>#NAME?</v>
      </c>
      <c r="EQ9" s="25" t="e">
        <v>#NAME?</v>
      </c>
      <c r="ER9" s="25" t="e">
        <v>#NAME?</v>
      </c>
      <c r="ES9" s="25" t="e">
        <v>#NAME?</v>
      </c>
      <c r="ET9" s="25" t="e">
        <v>#NAME?</v>
      </c>
      <c r="EU9" s="25" t="e">
        <v>#NAME?</v>
      </c>
      <c r="EV9" s="25" t="e">
        <v>#NAME?</v>
      </c>
      <c r="EW9" s="25" t="e">
        <v>#NAME?</v>
      </c>
      <c r="EX9" s="25" t="e">
        <v>#NAME?</v>
      </c>
      <c r="EY9" s="25" t="e">
        <v>#NAME?</v>
      </c>
      <c r="EZ9" s="25" t="e">
        <v>#NAME?</v>
      </c>
      <c r="FA9" s="25" t="e">
        <v>#NAME?</v>
      </c>
      <c r="FB9" s="25" t="e">
        <v>#NAME?</v>
      </c>
      <c r="FC9" s="25" t="e">
        <v>#NAME?</v>
      </c>
      <c r="FD9" s="25" t="e">
        <v>#NAME?</v>
      </c>
      <c r="FE9" s="25" t="e">
        <v>#NAME?</v>
      </c>
      <c r="FF9" s="25" t="e">
        <v>#NAME?</v>
      </c>
      <c r="FG9" s="25" t="e">
        <v>#NAME?</v>
      </c>
      <c r="FH9" s="25" t="e">
        <v>#NAME?</v>
      </c>
      <c r="FI9" s="25" t="e">
        <v>#NAME?</v>
      </c>
      <c r="FJ9" s="25" t="e">
        <v>#NAME?</v>
      </c>
      <c r="FK9" s="25" t="e">
        <v>#NAME?</v>
      </c>
      <c r="FL9" s="25" t="e">
        <v>#NAME?</v>
      </c>
      <c r="FM9" s="25" t="e">
        <v>#NAME?</v>
      </c>
      <c r="FN9" s="25" t="e">
        <v>#NAME?</v>
      </c>
      <c r="FO9" s="25" t="e">
        <v>#NAME?</v>
      </c>
      <c r="FP9" s="25" t="e">
        <v>#NAME?</v>
      </c>
      <c r="FQ9" s="25" t="e">
        <v>#NAME?</v>
      </c>
      <c r="FR9" s="25" t="e">
        <v>#NAME?</v>
      </c>
      <c r="FS9" s="25" t="e">
        <v>#NAME?</v>
      </c>
      <c r="FT9" s="25" t="e">
        <v>#NAME?</v>
      </c>
      <c r="FU9" s="25" t="e">
        <v>#NAME?</v>
      </c>
      <c r="FV9" s="25" t="e">
        <v>#NAME?</v>
      </c>
      <c r="FW9" s="25" t="e">
        <v>#NAME?</v>
      </c>
      <c r="FX9" s="25" t="e">
        <v>#NAME?</v>
      </c>
      <c r="FZ9" s="38" t="s">
        <v>69</v>
      </c>
      <c r="GA9" s="25">
        <v>0</v>
      </c>
      <c r="GB9" s="25">
        <v>0</v>
      </c>
      <c r="GC9" s="25">
        <v>0</v>
      </c>
      <c r="GD9" s="25">
        <v>0</v>
      </c>
      <c r="GE9" s="25">
        <v>0</v>
      </c>
      <c r="GF9" s="34"/>
      <c r="GG9" s="829" t="s">
        <v>70</v>
      </c>
      <c r="GH9" s="25" t="e">
        <v>#NAME?</v>
      </c>
      <c r="GI9" s="25" t="e">
        <v>#NAME?</v>
      </c>
      <c r="GJ9" s="25" t="e">
        <v>#NAME?</v>
      </c>
      <c r="GK9" s="25" t="e">
        <v>#NAME?</v>
      </c>
      <c r="GL9" s="25" t="e">
        <v>#NAME?</v>
      </c>
      <c r="GM9" s="25" t="e">
        <v>#NAME?</v>
      </c>
      <c r="GN9" s="25" t="e">
        <v>#NAME?</v>
      </c>
      <c r="GO9" s="25" t="e">
        <v>#NAME?</v>
      </c>
      <c r="GP9" s="25" t="e">
        <v>#NAME?</v>
      </c>
      <c r="GQ9" s="25" t="e">
        <v>#NAME?</v>
      </c>
      <c r="GR9" s="25" t="e">
        <v>#NAME?</v>
      </c>
      <c r="GS9" s="25" t="e">
        <v>#NAME?</v>
      </c>
      <c r="GT9" s="25" t="e">
        <v>#NAME?</v>
      </c>
      <c r="GU9" s="25" t="e">
        <v>#NAME?</v>
      </c>
      <c r="GV9" s="25" t="e">
        <v>#NAME?</v>
      </c>
      <c r="GW9" s="25" t="e">
        <v>#NAME?</v>
      </c>
      <c r="GX9" s="25" t="e">
        <v>#NAME?</v>
      </c>
      <c r="GY9" s="25" t="e">
        <v>#NAME?</v>
      </c>
      <c r="GZ9" s="25" t="e">
        <v>#NAME?</v>
      </c>
      <c r="HA9" s="25" t="e">
        <v>#NAME?</v>
      </c>
      <c r="HB9" s="25" t="e">
        <v>#NAME?</v>
      </c>
      <c r="HC9" s="25" t="e">
        <v>#NAME?</v>
      </c>
      <c r="HD9" s="25" t="e">
        <v>#NAME?</v>
      </c>
      <c r="HE9" s="25" t="e">
        <v>#NAME?</v>
      </c>
      <c r="HF9" s="25" t="e">
        <v>#NAME?</v>
      </c>
      <c r="HG9" s="25" t="e">
        <v>#NAME?</v>
      </c>
      <c r="HH9" s="25" t="e">
        <v>#NAME?</v>
      </c>
      <c r="HI9" s="25" t="e">
        <v>#NAME?</v>
      </c>
      <c r="HJ9" s="25" t="e">
        <v>#NAME?</v>
      </c>
      <c r="HK9" s="25" t="e">
        <v>#NAME?</v>
      </c>
      <c r="HL9" s="25" t="e">
        <v>#NAME?</v>
      </c>
      <c r="HM9" s="25" t="e">
        <v>#NAME?</v>
      </c>
      <c r="HN9" s="25" t="e">
        <v>#NAME?</v>
      </c>
      <c r="HO9" s="25" t="e">
        <v>#NAME?</v>
      </c>
      <c r="HP9" s="25" t="e">
        <v>#NAME?</v>
      </c>
      <c r="HQ9" s="25" t="e">
        <v>#NAME?</v>
      </c>
      <c r="HR9" s="34"/>
      <c r="HS9" s="34"/>
      <c r="HT9" s="829" t="s">
        <v>70</v>
      </c>
      <c r="HU9" s="25">
        <v>0</v>
      </c>
      <c r="HV9" s="25">
        <v>0</v>
      </c>
      <c r="HW9" s="25">
        <v>0</v>
      </c>
      <c r="HX9" s="25">
        <v>0</v>
      </c>
      <c r="HY9" s="25">
        <v>0</v>
      </c>
    </row>
    <row r="10" spans="1:233">
      <c r="A10" t="s">
        <v>12031</v>
      </c>
      <c r="B10">
        <v>0</v>
      </c>
      <c r="D10" s="40" t="s">
        <v>71</v>
      </c>
      <c r="E10" s="25" t="e">
        <v>#VALUE!</v>
      </c>
      <c r="F10" s="25" t="e">
        <v>#VALUE!</v>
      </c>
      <c r="G10" s="25" t="e">
        <v>#VALUE!</v>
      </c>
      <c r="H10" s="25" t="e">
        <v>#VALUE!</v>
      </c>
      <c r="I10" s="25" t="e">
        <v>#VALUE!</v>
      </c>
      <c r="J10" s="25" t="e">
        <v>#VALUE!</v>
      </c>
      <c r="K10" s="25" t="e">
        <v>#VALUE!</v>
      </c>
      <c r="L10" s="25" t="e">
        <v>#VALUE!</v>
      </c>
      <c r="M10" s="25" t="e">
        <v>#VALUE!</v>
      </c>
      <c r="N10" s="25" t="e">
        <v>#VALUE!</v>
      </c>
      <c r="O10" s="25" t="e">
        <v>#VALUE!</v>
      </c>
      <c r="P10" s="25" t="e">
        <v>#VALUE!</v>
      </c>
      <c r="Q10" s="25" t="e">
        <v>#VALUE!</v>
      </c>
      <c r="R10" s="25" t="e">
        <v>#VALUE!</v>
      </c>
      <c r="S10" s="25" t="e">
        <v>#VALUE!</v>
      </c>
      <c r="T10" s="25" t="e">
        <v>#VALUE!</v>
      </c>
      <c r="U10" s="25" t="e">
        <v>#VALUE!</v>
      </c>
      <c r="V10" s="25" t="e">
        <v>#VALUE!</v>
      </c>
      <c r="W10" s="25" t="e">
        <v>#VALUE!</v>
      </c>
      <c r="X10" s="25" t="e">
        <v>#VALUE!</v>
      </c>
      <c r="Y10" s="25" t="e">
        <v>#VALUE!</v>
      </c>
      <c r="Z10" s="25" t="e">
        <v>#VALUE!</v>
      </c>
      <c r="AA10" s="25" t="e">
        <v>#VALUE!</v>
      </c>
      <c r="AB10" s="25" t="e">
        <v>#VALUE!</v>
      </c>
      <c r="AC10" s="25" t="e">
        <v>#VALUE!</v>
      </c>
      <c r="AD10" s="25" t="e">
        <v>#VALUE!</v>
      </c>
      <c r="AE10" s="25" t="e">
        <v>#VALUE!</v>
      </c>
      <c r="AF10" s="25" t="e">
        <v>#VALUE!</v>
      </c>
      <c r="AG10" s="25" t="e">
        <v>#VALUE!</v>
      </c>
      <c r="AH10" s="25" t="e">
        <v>#VALUE!</v>
      </c>
      <c r="AI10" s="25" t="e">
        <v>#VALUE!</v>
      </c>
      <c r="AJ10" s="25" t="e">
        <v>#VALUE!</v>
      </c>
      <c r="AK10" s="25" t="e">
        <v>#VALUE!</v>
      </c>
      <c r="AL10" s="25" t="e">
        <v>#VALUE!</v>
      </c>
      <c r="AM10" s="25" t="e">
        <v>#VALUE!</v>
      </c>
      <c r="AN10" s="25" t="e">
        <v>#VALUE!</v>
      </c>
      <c r="AP10" s="40" t="s">
        <v>71</v>
      </c>
      <c r="AQ10" s="25">
        <v>0</v>
      </c>
      <c r="AR10" s="25">
        <v>0</v>
      </c>
      <c r="AS10" s="25">
        <v>0</v>
      </c>
      <c r="AT10" s="25">
        <v>0</v>
      </c>
      <c r="AU10" s="25">
        <v>0</v>
      </c>
      <c r="AW10">
        <v>0</v>
      </c>
      <c r="AX10" s="36" t="s">
        <v>72</v>
      </c>
      <c r="AY10" s="25" t="e">
        <v>#NAME?</v>
      </c>
      <c r="AZ10" s="25" t="e">
        <v>#NAME?</v>
      </c>
      <c r="BA10" s="25" t="e">
        <v>#NAME?</v>
      </c>
      <c r="BB10" s="25" t="e">
        <v>#NAME?</v>
      </c>
      <c r="BC10" s="25" t="e">
        <v>#NAME?</v>
      </c>
      <c r="BD10" s="25" t="e">
        <v>#NAME?</v>
      </c>
      <c r="BE10" s="25" t="e">
        <v>#NAME?</v>
      </c>
      <c r="BF10" s="25" t="e">
        <v>#NAME?</v>
      </c>
      <c r="BG10" s="25" t="e">
        <v>#NAME?</v>
      </c>
      <c r="BH10" s="25" t="e">
        <v>#NAME?</v>
      </c>
      <c r="BI10" s="25" t="e">
        <v>#NAME?</v>
      </c>
      <c r="BJ10" s="25" t="e">
        <v>#NAME?</v>
      </c>
      <c r="BK10" s="25" t="e">
        <v>#NAME?</v>
      </c>
      <c r="BL10" s="25" t="e">
        <v>#NAME?</v>
      </c>
      <c r="BM10" s="25" t="e">
        <v>#NAME?</v>
      </c>
      <c r="BN10" s="25" t="e">
        <v>#NAME?</v>
      </c>
      <c r="BO10" s="25" t="e">
        <v>#NAME?</v>
      </c>
      <c r="BP10" s="25" t="e">
        <v>#NAME?</v>
      </c>
      <c r="BQ10" s="25" t="e">
        <v>#NAME?</v>
      </c>
      <c r="BR10" s="25" t="e">
        <v>#NAME?</v>
      </c>
      <c r="BS10" s="25" t="e">
        <v>#NAME?</v>
      </c>
      <c r="BT10" s="25" t="e">
        <v>#NAME?</v>
      </c>
      <c r="BU10" s="25" t="e">
        <v>#NAME?</v>
      </c>
      <c r="BV10" s="25" t="e">
        <v>#NAME?</v>
      </c>
      <c r="BW10" s="25" t="e">
        <v>#NAME?</v>
      </c>
      <c r="BX10" s="25" t="e">
        <v>#NAME?</v>
      </c>
      <c r="BY10" s="25" t="e">
        <v>#NAME?</v>
      </c>
      <c r="BZ10" s="25" t="e">
        <v>#NAME?</v>
      </c>
      <c r="CA10" s="25" t="e">
        <v>#NAME?</v>
      </c>
      <c r="CB10" s="25" t="e">
        <v>#NAME?</v>
      </c>
      <c r="CC10" s="25" t="e">
        <v>#NAME?</v>
      </c>
      <c r="CD10" s="25" t="e">
        <v>#NAME?</v>
      </c>
      <c r="CE10" s="25" t="e">
        <v>#NAME?</v>
      </c>
      <c r="CF10" s="25" t="e">
        <v>#NAME?</v>
      </c>
      <c r="CG10" s="25" t="e">
        <v>#NAME?</v>
      </c>
      <c r="CH10" s="25" t="e">
        <v>#NAME?</v>
      </c>
      <c r="CK10" s="36" t="s">
        <v>72</v>
      </c>
      <c r="CL10" s="25">
        <v>0</v>
      </c>
      <c r="CM10" s="25">
        <v>0</v>
      </c>
      <c r="CN10" s="25">
        <v>0</v>
      </c>
      <c r="CO10" s="25">
        <v>0</v>
      </c>
      <c r="CP10" s="25">
        <v>0</v>
      </c>
      <c r="CS10" s="36" t="s">
        <v>73</v>
      </c>
      <c r="CT10" s="25" t="e">
        <v>#NAME?</v>
      </c>
      <c r="CU10" s="25" t="e">
        <v>#NAME?</v>
      </c>
      <c r="CV10" s="25" t="e">
        <v>#NAME?</v>
      </c>
      <c r="CW10" s="25" t="e">
        <v>#NAME?</v>
      </c>
      <c r="CX10" s="25" t="e">
        <v>#NAME?</v>
      </c>
      <c r="CY10" s="25" t="e">
        <v>#NAME?</v>
      </c>
      <c r="CZ10" s="25" t="e">
        <v>#NAME?</v>
      </c>
      <c r="DA10" s="25" t="e">
        <v>#NAME?</v>
      </c>
      <c r="DB10" s="25" t="e">
        <v>#NAME?</v>
      </c>
      <c r="DC10" s="25" t="e">
        <v>#NAME?</v>
      </c>
      <c r="DD10" s="25" t="e">
        <v>#NAME?</v>
      </c>
      <c r="DE10" s="25" t="e">
        <v>#NAME?</v>
      </c>
      <c r="DF10" s="25" t="e">
        <v>#NAME?</v>
      </c>
      <c r="DG10" s="25" t="e">
        <v>#NAME?</v>
      </c>
      <c r="DH10" s="25" t="e">
        <v>#NAME?</v>
      </c>
      <c r="DI10" s="25" t="e">
        <v>#NAME?</v>
      </c>
      <c r="DJ10" s="25" t="e">
        <v>#NAME?</v>
      </c>
      <c r="DK10" s="25" t="e">
        <v>#NAME?</v>
      </c>
      <c r="DL10" s="25" t="e">
        <v>#NAME?</v>
      </c>
      <c r="DM10" s="25" t="e">
        <v>#NAME?</v>
      </c>
      <c r="DN10" s="25" t="e">
        <v>#NAME?</v>
      </c>
      <c r="DO10" s="25" t="e">
        <v>#NAME?</v>
      </c>
      <c r="DP10" s="25" t="e">
        <v>#NAME?</v>
      </c>
      <c r="DQ10" s="25" t="e">
        <v>#NAME?</v>
      </c>
      <c r="DR10" s="25" t="e">
        <v>#NAME?</v>
      </c>
      <c r="DS10" s="25" t="e">
        <v>#NAME?</v>
      </c>
      <c r="DT10" s="25" t="e">
        <v>#NAME?</v>
      </c>
      <c r="DU10" s="25" t="e">
        <v>#NAME?</v>
      </c>
      <c r="DV10" s="25" t="e">
        <v>#NAME?</v>
      </c>
      <c r="DW10" s="25" t="e">
        <v>#NAME?</v>
      </c>
      <c r="DX10" s="25" t="e">
        <v>#NAME?</v>
      </c>
      <c r="DY10" s="25" t="e">
        <v>#NAME?</v>
      </c>
      <c r="DZ10" s="25" t="e">
        <v>#NAME?</v>
      </c>
      <c r="EA10" s="25" t="e">
        <v>#NAME?</v>
      </c>
      <c r="EB10" s="25" t="e">
        <v>#NAME?</v>
      </c>
      <c r="EC10" s="25" t="e">
        <v>#NAME?</v>
      </c>
      <c r="EE10" s="36" t="s">
        <v>73</v>
      </c>
      <c r="EF10" s="25">
        <v>0</v>
      </c>
      <c r="EG10" s="25">
        <v>0</v>
      </c>
      <c r="EH10" s="25">
        <v>0</v>
      </c>
      <c r="EI10" s="25">
        <v>0</v>
      </c>
      <c r="EJ10" s="25">
        <v>0</v>
      </c>
      <c r="EM10" s="37"/>
      <c r="EN10" s="36" t="s">
        <v>74</v>
      </c>
      <c r="EO10" s="25" t="e">
        <v>#NAME?</v>
      </c>
      <c r="EP10" s="25" t="e">
        <v>#NAME?</v>
      </c>
      <c r="EQ10" s="25" t="e">
        <v>#NAME?</v>
      </c>
      <c r="ER10" s="25" t="e">
        <v>#NAME?</v>
      </c>
      <c r="ES10" s="25" t="e">
        <v>#NAME?</v>
      </c>
      <c r="ET10" s="25" t="e">
        <v>#NAME?</v>
      </c>
      <c r="EU10" s="25" t="e">
        <v>#NAME?</v>
      </c>
      <c r="EV10" s="25" t="e">
        <v>#NAME?</v>
      </c>
      <c r="EW10" s="25" t="e">
        <v>#NAME?</v>
      </c>
      <c r="EX10" s="25" t="e">
        <v>#NAME?</v>
      </c>
      <c r="EY10" s="25" t="e">
        <v>#NAME?</v>
      </c>
      <c r="EZ10" s="25" t="e">
        <v>#NAME?</v>
      </c>
      <c r="FA10" s="25" t="e">
        <v>#NAME?</v>
      </c>
      <c r="FB10" s="25" t="e">
        <v>#NAME?</v>
      </c>
      <c r="FC10" s="25" t="e">
        <v>#NAME?</v>
      </c>
      <c r="FD10" s="25" t="e">
        <v>#NAME?</v>
      </c>
      <c r="FE10" s="25" t="e">
        <v>#NAME?</v>
      </c>
      <c r="FF10" s="25" t="e">
        <v>#NAME?</v>
      </c>
      <c r="FG10" s="25" t="e">
        <v>#NAME?</v>
      </c>
      <c r="FH10" s="25" t="e">
        <v>#NAME?</v>
      </c>
      <c r="FI10" s="25" t="e">
        <v>#NAME?</v>
      </c>
      <c r="FJ10" s="25" t="e">
        <v>#NAME?</v>
      </c>
      <c r="FK10" s="25" t="e">
        <v>#NAME?</v>
      </c>
      <c r="FL10" s="25" t="e">
        <v>#NAME?</v>
      </c>
      <c r="FM10" s="25" t="e">
        <v>#NAME?</v>
      </c>
      <c r="FN10" s="25" t="e">
        <v>#NAME?</v>
      </c>
      <c r="FO10" s="25" t="e">
        <v>#NAME?</v>
      </c>
      <c r="FP10" s="25" t="e">
        <v>#NAME?</v>
      </c>
      <c r="FQ10" s="25" t="e">
        <v>#NAME?</v>
      </c>
      <c r="FR10" s="25" t="e">
        <v>#NAME?</v>
      </c>
      <c r="FS10" s="25" t="e">
        <v>#NAME?</v>
      </c>
      <c r="FT10" s="25" t="e">
        <v>#NAME?</v>
      </c>
      <c r="FU10" s="25" t="e">
        <v>#NAME?</v>
      </c>
      <c r="FV10" s="25" t="e">
        <v>#NAME?</v>
      </c>
      <c r="FW10" s="25" t="e">
        <v>#NAME?</v>
      </c>
      <c r="FX10" s="25" t="e">
        <v>#NAME?</v>
      </c>
      <c r="FZ10" s="36" t="s">
        <v>74</v>
      </c>
      <c r="GA10" s="25">
        <v>0</v>
      </c>
      <c r="GB10" s="25">
        <v>0</v>
      </c>
      <c r="GC10" s="25">
        <v>0</v>
      </c>
      <c r="GD10" s="25">
        <v>0</v>
      </c>
      <c r="GE10" s="25">
        <v>0</v>
      </c>
      <c r="GF10" s="34"/>
      <c r="GG10" s="41" t="s">
        <v>70</v>
      </c>
      <c r="GH10" s="25" t="e">
        <v>#NAME?</v>
      </c>
      <c r="GI10" s="25" t="e">
        <v>#NAME?</v>
      </c>
      <c r="GJ10" s="25" t="e">
        <v>#NAME?</v>
      </c>
      <c r="GK10" s="25" t="e">
        <v>#NAME?</v>
      </c>
      <c r="GL10" s="25" t="e">
        <v>#NAME?</v>
      </c>
      <c r="GM10" s="25" t="e">
        <v>#NAME?</v>
      </c>
      <c r="GN10" s="25" t="e">
        <v>#NAME?</v>
      </c>
      <c r="GO10" s="25" t="e">
        <v>#NAME?</v>
      </c>
      <c r="GP10" s="25" t="e">
        <v>#NAME?</v>
      </c>
      <c r="GQ10" s="25" t="e">
        <v>#NAME?</v>
      </c>
      <c r="GR10" s="25" t="e">
        <v>#NAME?</v>
      </c>
      <c r="GS10" s="25" t="e">
        <v>#NAME?</v>
      </c>
      <c r="GT10" s="25" t="e">
        <v>#NAME?</v>
      </c>
      <c r="GU10" s="25" t="e">
        <v>#NAME?</v>
      </c>
      <c r="GV10" s="25" t="e">
        <v>#NAME?</v>
      </c>
      <c r="GW10" s="25" t="e">
        <v>#NAME?</v>
      </c>
      <c r="GX10" s="25" t="e">
        <v>#NAME?</v>
      </c>
      <c r="GY10" s="25" t="e">
        <v>#NAME?</v>
      </c>
      <c r="GZ10" s="25" t="e">
        <v>#NAME?</v>
      </c>
      <c r="HA10" s="25" t="e">
        <v>#NAME?</v>
      </c>
      <c r="HB10" s="25" t="e">
        <v>#NAME?</v>
      </c>
      <c r="HC10" s="25" t="e">
        <v>#NAME?</v>
      </c>
      <c r="HD10" s="25" t="e">
        <v>#NAME?</v>
      </c>
      <c r="HE10" s="25" t="e">
        <v>#NAME?</v>
      </c>
      <c r="HF10" s="25" t="e">
        <v>#NAME?</v>
      </c>
      <c r="HG10" s="25" t="e">
        <v>#NAME?</v>
      </c>
      <c r="HH10" s="25" t="e">
        <v>#NAME?</v>
      </c>
      <c r="HI10" s="25" t="e">
        <v>#NAME?</v>
      </c>
      <c r="HJ10" s="25" t="e">
        <v>#NAME?</v>
      </c>
      <c r="HK10" s="25" t="e">
        <v>#NAME?</v>
      </c>
      <c r="HL10" s="25" t="e">
        <v>#NAME?</v>
      </c>
      <c r="HM10" s="25" t="e">
        <v>#NAME?</v>
      </c>
      <c r="HN10" s="25" t="e">
        <v>#NAME?</v>
      </c>
      <c r="HO10" s="25" t="e">
        <v>#NAME?</v>
      </c>
      <c r="HP10" s="25" t="e">
        <v>#NAME?</v>
      </c>
      <c r="HQ10" s="25" t="e">
        <v>#NAME?</v>
      </c>
      <c r="HR10" s="34"/>
      <c r="HS10" s="34"/>
      <c r="HT10" s="829" t="s">
        <v>70</v>
      </c>
      <c r="HU10" s="25">
        <v>0</v>
      </c>
      <c r="HV10" s="25">
        <v>0</v>
      </c>
      <c r="HW10" s="25">
        <v>0</v>
      </c>
      <c r="HX10" s="25">
        <v>0</v>
      </c>
      <c r="HY10" s="25">
        <v>0</v>
      </c>
    </row>
    <row r="11" spans="1:233">
      <c r="A11" t="s">
        <v>12032</v>
      </c>
      <c r="B11">
        <v>0</v>
      </c>
      <c r="D11" s="40" t="s">
        <v>76</v>
      </c>
      <c r="E11" s="25" t="e">
        <v>#VALUE!</v>
      </c>
      <c r="F11" s="25" t="e">
        <v>#VALUE!</v>
      </c>
      <c r="G11" s="25" t="e">
        <v>#VALUE!</v>
      </c>
      <c r="H11" s="25" t="e">
        <v>#VALUE!</v>
      </c>
      <c r="I11" s="25" t="e">
        <v>#VALUE!</v>
      </c>
      <c r="J11" s="25" t="e">
        <v>#VALUE!</v>
      </c>
      <c r="K11" s="25" t="e">
        <v>#VALUE!</v>
      </c>
      <c r="L11" s="25" t="e">
        <v>#VALUE!</v>
      </c>
      <c r="M11" s="25" t="e">
        <v>#VALUE!</v>
      </c>
      <c r="N11" s="25" t="e">
        <v>#VALUE!</v>
      </c>
      <c r="O11" s="25" t="e">
        <v>#VALUE!</v>
      </c>
      <c r="P11" s="25" t="e">
        <v>#VALUE!</v>
      </c>
      <c r="Q11" s="25" t="e">
        <v>#VALUE!</v>
      </c>
      <c r="R11" s="25" t="e">
        <v>#VALUE!</v>
      </c>
      <c r="S11" s="25" t="e">
        <v>#VALUE!</v>
      </c>
      <c r="T11" s="25" t="e">
        <v>#VALUE!</v>
      </c>
      <c r="U11" s="25" t="e">
        <v>#VALUE!</v>
      </c>
      <c r="V11" s="25" t="e">
        <v>#VALUE!</v>
      </c>
      <c r="W11" s="25" t="e">
        <v>#VALUE!</v>
      </c>
      <c r="X11" s="25" t="e">
        <v>#VALUE!</v>
      </c>
      <c r="Y11" s="25" t="e">
        <v>#VALUE!</v>
      </c>
      <c r="Z11" s="25" t="e">
        <v>#VALUE!</v>
      </c>
      <c r="AA11" s="25" t="e">
        <v>#VALUE!</v>
      </c>
      <c r="AB11" s="25" t="e">
        <v>#VALUE!</v>
      </c>
      <c r="AC11" s="25" t="e">
        <v>#VALUE!</v>
      </c>
      <c r="AD11" s="25" t="e">
        <v>#VALUE!</v>
      </c>
      <c r="AE11" s="25" t="e">
        <v>#VALUE!</v>
      </c>
      <c r="AF11" s="25" t="e">
        <v>#VALUE!</v>
      </c>
      <c r="AG11" s="25" t="e">
        <v>#VALUE!</v>
      </c>
      <c r="AH11" s="25" t="e">
        <v>#VALUE!</v>
      </c>
      <c r="AI11" s="25" t="e">
        <v>#VALUE!</v>
      </c>
      <c r="AJ11" s="25" t="e">
        <v>#VALUE!</v>
      </c>
      <c r="AK11" s="25" t="e">
        <v>#VALUE!</v>
      </c>
      <c r="AL11" s="25" t="e">
        <v>#VALUE!</v>
      </c>
      <c r="AM11" s="25" t="e">
        <v>#VALUE!</v>
      </c>
      <c r="AN11" s="25" t="e">
        <v>#VALUE!</v>
      </c>
      <c r="AP11" s="40" t="s">
        <v>76</v>
      </c>
      <c r="AQ11" s="25">
        <v>0</v>
      </c>
      <c r="AR11" s="25">
        <v>0</v>
      </c>
      <c r="AS11" s="25">
        <v>0</v>
      </c>
      <c r="AT11" s="25">
        <v>0</v>
      </c>
      <c r="AU11" s="25">
        <v>0</v>
      </c>
      <c r="AW11">
        <v>0</v>
      </c>
      <c r="AX11" s="42" t="s">
        <v>77</v>
      </c>
      <c r="AY11" s="25" t="e">
        <v>#NAME?</v>
      </c>
      <c r="AZ11" s="25" t="e">
        <v>#NAME?</v>
      </c>
      <c r="BA11" s="25" t="e">
        <v>#NAME?</v>
      </c>
      <c r="BB11" s="25" t="e">
        <v>#NAME?</v>
      </c>
      <c r="BC11" s="25" t="e">
        <v>#NAME?</v>
      </c>
      <c r="BD11" s="25" t="e">
        <v>#NAME?</v>
      </c>
      <c r="BE11" s="25" t="e">
        <v>#NAME?</v>
      </c>
      <c r="BF11" s="25" t="e">
        <v>#NAME?</v>
      </c>
      <c r="BG11" s="25" t="e">
        <v>#NAME?</v>
      </c>
      <c r="BH11" s="25" t="e">
        <v>#NAME?</v>
      </c>
      <c r="BI11" s="25" t="e">
        <v>#NAME?</v>
      </c>
      <c r="BJ11" s="25" t="e">
        <v>#NAME?</v>
      </c>
      <c r="BK11" s="25" t="e">
        <v>#NAME?</v>
      </c>
      <c r="BL11" s="25" t="e">
        <v>#NAME?</v>
      </c>
      <c r="BM11" s="25" t="e">
        <v>#NAME?</v>
      </c>
      <c r="BN11" s="25" t="e">
        <v>#NAME?</v>
      </c>
      <c r="BO11" s="25" t="e">
        <v>#NAME?</v>
      </c>
      <c r="BP11" s="25" t="e">
        <v>#NAME?</v>
      </c>
      <c r="BQ11" s="25" t="e">
        <v>#NAME?</v>
      </c>
      <c r="BR11" s="25" t="e">
        <v>#NAME?</v>
      </c>
      <c r="BS11" s="25" t="e">
        <v>#NAME?</v>
      </c>
      <c r="BT11" s="25" t="e">
        <v>#NAME?</v>
      </c>
      <c r="BU11" s="25" t="e">
        <v>#NAME?</v>
      </c>
      <c r="BV11" s="25" t="e">
        <v>#NAME?</v>
      </c>
      <c r="BW11" s="25" t="e">
        <v>#NAME?</v>
      </c>
      <c r="BX11" s="25" t="e">
        <v>#NAME?</v>
      </c>
      <c r="BY11" s="25" t="e">
        <v>#NAME?</v>
      </c>
      <c r="BZ11" s="25" t="e">
        <v>#NAME?</v>
      </c>
      <c r="CA11" s="25" t="e">
        <v>#NAME?</v>
      </c>
      <c r="CB11" s="25" t="e">
        <v>#NAME?</v>
      </c>
      <c r="CC11" s="25" t="e">
        <v>#NAME?</v>
      </c>
      <c r="CD11" s="25" t="e">
        <v>#NAME?</v>
      </c>
      <c r="CE11" s="25" t="e">
        <v>#NAME?</v>
      </c>
      <c r="CF11" s="25" t="e">
        <v>#NAME?</v>
      </c>
      <c r="CG11" s="25" t="e">
        <v>#NAME?</v>
      </c>
      <c r="CH11" s="25" t="e">
        <v>#NAME?</v>
      </c>
      <c r="CK11" s="42" t="s">
        <v>77</v>
      </c>
      <c r="CL11" s="25">
        <v>0</v>
      </c>
      <c r="CM11" s="25">
        <v>0</v>
      </c>
      <c r="CN11" s="25">
        <v>0</v>
      </c>
      <c r="CO11" s="25">
        <v>0</v>
      </c>
      <c r="CP11" s="25">
        <v>0</v>
      </c>
      <c r="CS11" s="43" t="s">
        <v>78</v>
      </c>
      <c r="CT11" s="25" t="e">
        <v>#NAME?</v>
      </c>
      <c r="CU11" s="25" t="e">
        <v>#NAME?</v>
      </c>
      <c r="CV11" s="25" t="e">
        <v>#NAME?</v>
      </c>
      <c r="CW11" s="25" t="e">
        <v>#NAME?</v>
      </c>
      <c r="CX11" s="25" t="e">
        <v>#NAME?</v>
      </c>
      <c r="CY11" s="25" t="e">
        <v>#NAME?</v>
      </c>
      <c r="CZ11" s="25" t="e">
        <v>#NAME?</v>
      </c>
      <c r="DA11" s="25" t="e">
        <v>#NAME?</v>
      </c>
      <c r="DB11" s="25" t="e">
        <v>#NAME?</v>
      </c>
      <c r="DC11" s="25" t="e">
        <v>#NAME?</v>
      </c>
      <c r="DD11" s="25" t="e">
        <v>#NAME?</v>
      </c>
      <c r="DE11" s="25" t="e">
        <v>#NAME?</v>
      </c>
      <c r="DF11" s="25" t="e">
        <v>#NAME?</v>
      </c>
      <c r="DG11" s="25" t="e">
        <v>#NAME?</v>
      </c>
      <c r="DH11" s="25" t="e">
        <v>#NAME?</v>
      </c>
      <c r="DI11" s="25" t="e">
        <v>#NAME?</v>
      </c>
      <c r="DJ11" s="25" t="e">
        <v>#NAME?</v>
      </c>
      <c r="DK11" s="25" t="e">
        <v>#NAME?</v>
      </c>
      <c r="DL11" s="25" t="e">
        <v>#NAME?</v>
      </c>
      <c r="DM11" s="25" t="e">
        <v>#NAME?</v>
      </c>
      <c r="DN11" s="25" t="e">
        <v>#NAME?</v>
      </c>
      <c r="DO11" s="25" t="e">
        <v>#NAME?</v>
      </c>
      <c r="DP11" s="25" t="e">
        <v>#NAME?</v>
      </c>
      <c r="DQ11" s="25" t="e">
        <v>#NAME?</v>
      </c>
      <c r="DR11" s="25" t="e">
        <v>#NAME?</v>
      </c>
      <c r="DS11" s="25" t="e">
        <v>#NAME?</v>
      </c>
      <c r="DT11" s="25" t="e">
        <v>#NAME?</v>
      </c>
      <c r="DU11" s="25" t="e">
        <v>#NAME?</v>
      </c>
      <c r="DV11" s="25" t="e">
        <v>#NAME?</v>
      </c>
      <c r="DW11" s="25" t="e">
        <v>#NAME?</v>
      </c>
      <c r="DX11" s="25" t="e">
        <v>#NAME?</v>
      </c>
      <c r="DY11" s="25" t="e">
        <v>#NAME?</v>
      </c>
      <c r="DZ11" s="25" t="e">
        <v>#NAME?</v>
      </c>
      <c r="EA11" s="25" t="e">
        <v>#NAME?</v>
      </c>
      <c r="EB11" s="25" t="e">
        <v>#NAME?</v>
      </c>
      <c r="EC11" s="25" t="e">
        <v>#NAME?</v>
      </c>
      <c r="EE11" s="43" t="s">
        <v>78</v>
      </c>
      <c r="EF11" s="25">
        <v>0</v>
      </c>
      <c r="EG11" s="25">
        <v>0</v>
      </c>
      <c r="EH11" s="25">
        <v>0</v>
      </c>
      <c r="EI11" s="25">
        <v>0</v>
      </c>
      <c r="EJ11" s="25">
        <v>0</v>
      </c>
      <c r="EM11" s="37"/>
      <c r="EN11" s="36" t="s">
        <v>79</v>
      </c>
      <c r="EO11" s="25" t="e">
        <v>#NAME?</v>
      </c>
      <c r="EP11" s="25" t="e">
        <v>#NAME?</v>
      </c>
      <c r="EQ11" s="25" t="e">
        <v>#NAME?</v>
      </c>
      <c r="ER11" s="25" t="e">
        <v>#NAME?</v>
      </c>
      <c r="ES11" s="25" t="e">
        <v>#NAME?</v>
      </c>
      <c r="ET11" s="25" t="e">
        <v>#NAME?</v>
      </c>
      <c r="EU11" s="25" t="e">
        <v>#NAME?</v>
      </c>
      <c r="EV11" s="25" t="e">
        <v>#NAME?</v>
      </c>
      <c r="EW11" s="25" t="e">
        <v>#NAME?</v>
      </c>
      <c r="EX11" s="25" t="e">
        <v>#NAME?</v>
      </c>
      <c r="EY11" s="25" t="e">
        <v>#NAME?</v>
      </c>
      <c r="EZ11" s="25" t="e">
        <v>#NAME?</v>
      </c>
      <c r="FA11" s="25" t="e">
        <v>#NAME?</v>
      </c>
      <c r="FB11" s="25" t="e">
        <v>#NAME?</v>
      </c>
      <c r="FC11" s="25" t="e">
        <v>#NAME?</v>
      </c>
      <c r="FD11" s="25" t="e">
        <v>#NAME?</v>
      </c>
      <c r="FE11" s="25" t="e">
        <v>#NAME?</v>
      </c>
      <c r="FF11" s="25" t="e">
        <v>#NAME?</v>
      </c>
      <c r="FG11" s="25" t="e">
        <v>#NAME?</v>
      </c>
      <c r="FH11" s="25" t="e">
        <v>#NAME?</v>
      </c>
      <c r="FI11" s="25" t="e">
        <v>#NAME?</v>
      </c>
      <c r="FJ11" s="25" t="e">
        <v>#NAME?</v>
      </c>
      <c r="FK11" s="25" t="e">
        <v>#NAME?</v>
      </c>
      <c r="FL11" s="25" t="e">
        <v>#NAME?</v>
      </c>
      <c r="FM11" s="25" t="e">
        <v>#NAME?</v>
      </c>
      <c r="FN11" s="25" t="e">
        <v>#NAME?</v>
      </c>
      <c r="FO11" s="25" t="e">
        <v>#NAME?</v>
      </c>
      <c r="FP11" s="25" t="e">
        <v>#NAME?</v>
      </c>
      <c r="FQ11" s="25" t="e">
        <v>#NAME?</v>
      </c>
      <c r="FR11" s="25" t="e">
        <v>#NAME?</v>
      </c>
      <c r="FS11" s="25" t="e">
        <v>#NAME?</v>
      </c>
      <c r="FT11" s="25" t="e">
        <v>#NAME?</v>
      </c>
      <c r="FU11" s="25" t="e">
        <v>#NAME?</v>
      </c>
      <c r="FV11" s="25" t="e">
        <v>#NAME?</v>
      </c>
      <c r="FW11" s="25" t="e">
        <v>#NAME?</v>
      </c>
      <c r="FX11" s="25" t="e">
        <v>#NAME?</v>
      </c>
      <c r="FZ11" s="36" t="s">
        <v>79</v>
      </c>
      <c r="GA11" s="25">
        <v>0</v>
      </c>
      <c r="GB11" s="25">
        <v>0</v>
      </c>
      <c r="GC11" s="25">
        <v>0</v>
      </c>
      <c r="GD11" s="25">
        <v>0</v>
      </c>
      <c r="GE11" s="25">
        <v>0</v>
      </c>
      <c r="GG11" s="41" t="s">
        <v>75</v>
      </c>
      <c r="GH11" s="25" t="e">
        <v>#NAME?</v>
      </c>
      <c r="GI11" s="25" t="e">
        <v>#NAME?</v>
      </c>
      <c r="GJ11" s="25" t="e">
        <v>#NAME?</v>
      </c>
      <c r="GK11" s="25" t="e">
        <v>#NAME?</v>
      </c>
      <c r="GL11" s="25" t="e">
        <v>#NAME?</v>
      </c>
      <c r="GM11" s="25" t="e">
        <v>#NAME?</v>
      </c>
      <c r="GN11" s="25" t="e">
        <v>#NAME?</v>
      </c>
      <c r="GO11" s="25" t="e">
        <v>#NAME?</v>
      </c>
      <c r="GP11" s="25" t="e">
        <v>#NAME?</v>
      </c>
      <c r="GQ11" s="25" t="e">
        <v>#NAME?</v>
      </c>
      <c r="GR11" s="25" t="e">
        <v>#NAME?</v>
      </c>
      <c r="GS11" s="25" t="e">
        <v>#NAME?</v>
      </c>
      <c r="GT11" s="25" t="e">
        <v>#NAME?</v>
      </c>
      <c r="GU11" s="25" t="e">
        <v>#NAME?</v>
      </c>
      <c r="GV11" s="25" t="e">
        <v>#NAME?</v>
      </c>
      <c r="GW11" s="25" t="e">
        <v>#NAME?</v>
      </c>
      <c r="GX11" s="25" t="e">
        <v>#NAME?</v>
      </c>
      <c r="GY11" s="25" t="e">
        <v>#NAME?</v>
      </c>
      <c r="GZ11" s="25" t="e">
        <v>#NAME?</v>
      </c>
      <c r="HA11" s="25" t="e">
        <v>#NAME?</v>
      </c>
      <c r="HB11" s="25" t="e">
        <v>#NAME?</v>
      </c>
      <c r="HC11" s="25" t="e">
        <v>#NAME?</v>
      </c>
      <c r="HD11" s="25" t="e">
        <v>#NAME?</v>
      </c>
      <c r="HE11" s="25" t="e">
        <v>#NAME?</v>
      </c>
      <c r="HF11" s="25" t="e">
        <v>#NAME?</v>
      </c>
      <c r="HG11" s="25" t="e">
        <v>#NAME?</v>
      </c>
      <c r="HH11" s="25" t="e">
        <v>#NAME?</v>
      </c>
      <c r="HI11" s="25" t="e">
        <v>#NAME?</v>
      </c>
      <c r="HJ11" s="25" t="e">
        <v>#NAME?</v>
      </c>
      <c r="HK11" s="25" t="e">
        <v>#NAME?</v>
      </c>
      <c r="HL11" s="25" t="e">
        <v>#NAME?</v>
      </c>
      <c r="HM11" s="25" t="e">
        <v>#NAME?</v>
      </c>
      <c r="HN11" s="25" t="e">
        <v>#NAME?</v>
      </c>
      <c r="HO11" s="25" t="e">
        <v>#NAME?</v>
      </c>
      <c r="HP11" s="25" t="e">
        <v>#NAME?</v>
      </c>
      <c r="HQ11" s="25" t="e">
        <v>#NAME?</v>
      </c>
      <c r="HT11" s="41" t="s">
        <v>75</v>
      </c>
      <c r="HU11" s="25">
        <v>0</v>
      </c>
      <c r="HV11" s="25">
        <v>0</v>
      </c>
      <c r="HW11" s="25">
        <v>0</v>
      </c>
      <c r="HX11" s="25">
        <v>0</v>
      </c>
      <c r="HY11" s="25">
        <v>0</v>
      </c>
    </row>
    <row r="12" spans="1:233">
      <c r="A12" t="s">
        <v>140</v>
      </c>
      <c r="B12">
        <v>0</v>
      </c>
      <c r="D12" s="40" t="s">
        <v>81</v>
      </c>
      <c r="E12" s="25" t="e">
        <v>#VALUE!</v>
      </c>
      <c r="F12" s="25" t="e">
        <v>#VALUE!</v>
      </c>
      <c r="G12" s="25" t="e">
        <v>#VALUE!</v>
      </c>
      <c r="H12" s="25" t="e">
        <v>#VALUE!</v>
      </c>
      <c r="I12" s="25" t="e">
        <v>#VALUE!</v>
      </c>
      <c r="J12" s="25" t="e">
        <v>#VALUE!</v>
      </c>
      <c r="K12" s="25" t="e">
        <v>#VALUE!</v>
      </c>
      <c r="L12" s="25" t="e">
        <v>#VALUE!</v>
      </c>
      <c r="M12" s="25" t="e">
        <v>#VALUE!</v>
      </c>
      <c r="N12" s="25" t="e">
        <v>#VALUE!</v>
      </c>
      <c r="O12" s="25" t="e">
        <v>#VALUE!</v>
      </c>
      <c r="P12" s="25" t="e">
        <v>#VALUE!</v>
      </c>
      <c r="Q12" s="25" t="e">
        <v>#VALUE!</v>
      </c>
      <c r="R12" s="25" t="e">
        <v>#VALUE!</v>
      </c>
      <c r="S12" s="25" t="e">
        <v>#VALUE!</v>
      </c>
      <c r="T12" s="25" t="e">
        <v>#VALUE!</v>
      </c>
      <c r="U12" s="25" t="e">
        <v>#VALUE!</v>
      </c>
      <c r="V12" s="25" t="e">
        <v>#VALUE!</v>
      </c>
      <c r="W12" s="25" t="e">
        <v>#VALUE!</v>
      </c>
      <c r="X12" s="25" t="e">
        <v>#VALUE!</v>
      </c>
      <c r="Y12" s="25" t="e">
        <v>#VALUE!</v>
      </c>
      <c r="Z12" s="25" t="e">
        <v>#VALUE!</v>
      </c>
      <c r="AA12" s="25" t="e">
        <v>#VALUE!</v>
      </c>
      <c r="AB12" s="25" t="e">
        <v>#VALUE!</v>
      </c>
      <c r="AC12" s="25" t="e">
        <v>#VALUE!</v>
      </c>
      <c r="AD12" s="25" t="e">
        <v>#VALUE!</v>
      </c>
      <c r="AE12" s="25" t="e">
        <v>#VALUE!</v>
      </c>
      <c r="AF12" s="25" t="e">
        <v>#VALUE!</v>
      </c>
      <c r="AG12" s="25" t="e">
        <v>#VALUE!</v>
      </c>
      <c r="AH12" s="25" t="e">
        <v>#VALUE!</v>
      </c>
      <c r="AI12" s="25" t="e">
        <v>#VALUE!</v>
      </c>
      <c r="AJ12" s="25" t="e">
        <v>#VALUE!</v>
      </c>
      <c r="AK12" s="25" t="e">
        <v>#VALUE!</v>
      </c>
      <c r="AL12" s="25" t="e">
        <v>#VALUE!</v>
      </c>
      <c r="AM12" s="25" t="e">
        <v>#VALUE!</v>
      </c>
      <c r="AN12" s="25" t="e">
        <v>#VALUE!</v>
      </c>
      <c r="AP12" s="40" t="s">
        <v>81</v>
      </c>
      <c r="AQ12" s="25">
        <v>0</v>
      </c>
      <c r="AR12" s="25">
        <v>0</v>
      </c>
      <c r="AS12" s="25">
        <v>0</v>
      </c>
      <c r="AT12" s="25">
        <v>0</v>
      </c>
      <c r="AU12" s="25">
        <v>0</v>
      </c>
      <c r="AW12">
        <v>0</v>
      </c>
      <c r="AX12" s="45" t="s">
        <v>82</v>
      </c>
      <c r="AY12" s="46" t="e">
        <v>#NAME?</v>
      </c>
      <c r="AZ12" s="46" t="e">
        <v>#NAME?</v>
      </c>
      <c r="BA12" s="46" t="e">
        <v>#NAME?</v>
      </c>
      <c r="BB12" s="46" t="e">
        <v>#NAME?</v>
      </c>
      <c r="BC12" s="46" t="e">
        <v>#NAME?</v>
      </c>
      <c r="BD12" s="46" t="e">
        <v>#NAME?</v>
      </c>
      <c r="BE12" s="46" t="e">
        <v>#NAME?</v>
      </c>
      <c r="BF12" s="46" t="e">
        <v>#NAME?</v>
      </c>
      <c r="BG12" s="46" t="e">
        <v>#NAME?</v>
      </c>
      <c r="BH12" s="46" t="e">
        <v>#NAME?</v>
      </c>
      <c r="BI12" s="46" t="e">
        <v>#NAME?</v>
      </c>
      <c r="BJ12" s="46" t="e">
        <v>#NAME?</v>
      </c>
      <c r="BK12" s="46" t="e">
        <v>#NAME?</v>
      </c>
      <c r="BL12" s="46" t="e">
        <v>#NAME?</v>
      </c>
      <c r="BM12" s="46" t="e">
        <v>#NAME?</v>
      </c>
      <c r="BN12" s="46" t="e">
        <v>#NAME?</v>
      </c>
      <c r="BO12" s="46" t="e">
        <v>#NAME?</v>
      </c>
      <c r="BP12" s="46" t="e">
        <v>#NAME?</v>
      </c>
      <c r="BQ12" s="46" t="e">
        <v>#NAME?</v>
      </c>
      <c r="BR12" s="46" t="e">
        <v>#NAME?</v>
      </c>
      <c r="BS12" s="46" t="e">
        <v>#NAME?</v>
      </c>
      <c r="BT12" s="46" t="e">
        <v>#NAME?</v>
      </c>
      <c r="BU12" s="46" t="e">
        <v>#NAME?</v>
      </c>
      <c r="BV12" s="46" t="e">
        <v>#NAME?</v>
      </c>
      <c r="BW12" s="46" t="e">
        <v>#NAME?</v>
      </c>
      <c r="BX12" s="46" t="e">
        <v>#NAME?</v>
      </c>
      <c r="BY12" s="46" t="e">
        <v>#NAME?</v>
      </c>
      <c r="BZ12" s="46" t="e">
        <v>#NAME?</v>
      </c>
      <c r="CA12" s="46" t="e">
        <v>#NAME?</v>
      </c>
      <c r="CB12" s="46" t="e">
        <v>#NAME?</v>
      </c>
      <c r="CC12" s="46" t="e">
        <v>#NAME?</v>
      </c>
      <c r="CD12" s="46" t="e">
        <v>#NAME?</v>
      </c>
      <c r="CE12" s="46" t="e">
        <v>#NAME?</v>
      </c>
      <c r="CF12" s="46" t="e">
        <v>#NAME?</v>
      </c>
      <c r="CG12" s="46" t="e">
        <v>#NAME?</v>
      </c>
      <c r="CH12" s="46" t="e">
        <v>#NAME?</v>
      </c>
      <c r="CK12" s="45" t="s">
        <v>82</v>
      </c>
      <c r="CL12" s="46">
        <v>0</v>
      </c>
      <c r="CM12" s="46">
        <v>0</v>
      </c>
      <c r="CN12" s="46">
        <v>0</v>
      </c>
      <c r="CO12" s="46">
        <v>0</v>
      </c>
      <c r="CP12" s="46">
        <v>0</v>
      </c>
      <c r="CS12" s="42" t="s">
        <v>83</v>
      </c>
      <c r="CT12" s="25" t="e">
        <v>#NAME?</v>
      </c>
      <c r="CU12" s="25" t="e">
        <v>#NAME?</v>
      </c>
      <c r="CV12" s="25" t="e">
        <v>#NAME?</v>
      </c>
      <c r="CW12" s="25" t="e">
        <v>#NAME?</v>
      </c>
      <c r="CX12" s="25" t="e">
        <v>#NAME?</v>
      </c>
      <c r="CY12" s="25" t="e">
        <v>#NAME?</v>
      </c>
      <c r="CZ12" s="25" t="e">
        <v>#NAME?</v>
      </c>
      <c r="DA12" s="25" t="e">
        <v>#NAME?</v>
      </c>
      <c r="DB12" s="25" t="e">
        <v>#NAME?</v>
      </c>
      <c r="DC12" s="25" t="e">
        <v>#NAME?</v>
      </c>
      <c r="DD12" s="25" t="e">
        <v>#NAME?</v>
      </c>
      <c r="DE12" s="25" t="e">
        <v>#NAME?</v>
      </c>
      <c r="DF12" s="25" t="e">
        <v>#NAME?</v>
      </c>
      <c r="DG12" s="25" t="e">
        <v>#NAME?</v>
      </c>
      <c r="DH12" s="25" t="e">
        <v>#NAME?</v>
      </c>
      <c r="DI12" s="25" t="e">
        <v>#NAME?</v>
      </c>
      <c r="DJ12" s="25" t="e">
        <v>#NAME?</v>
      </c>
      <c r="DK12" s="25" t="e">
        <v>#NAME?</v>
      </c>
      <c r="DL12" s="25" t="e">
        <v>#NAME?</v>
      </c>
      <c r="DM12" s="25" t="e">
        <v>#NAME?</v>
      </c>
      <c r="DN12" s="25" t="e">
        <v>#NAME?</v>
      </c>
      <c r="DO12" s="25" t="e">
        <v>#NAME?</v>
      </c>
      <c r="DP12" s="25" t="e">
        <v>#NAME?</v>
      </c>
      <c r="DQ12" s="25" t="e">
        <v>#NAME?</v>
      </c>
      <c r="DR12" s="25" t="e">
        <v>#NAME?</v>
      </c>
      <c r="DS12" s="25" t="e">
        <v>#NAME?</v>
      </c>
      <c r="DT12" s="25" t="e">
        <v>#NAME?</v>
      </c>
      <c r="DU12" s="25" t="e">
        <v>#NAME?</v>
      </c>
      <c r="DV12" s="25" t="e">
        <v>#NAME?</v>
      </c>
      <c r="DW12" s="25" t="e">
        <v>#NAME?</v>
      </c>
      <c r="DX12" s="25" t="e">
        <v>#NAME?</v>
      </c>
      <c r="DY12" s="25" t="e">
        <v>#NAME?</v>
      </c>
      <c r="DZ12" s="25" t="e">
        <v>#NAME?</v>
      </c>
      <c r="EA12" s="25" t="e">
        <v>#NAME?</v>
      </c>
      <c r="EB12" s="25" t="e">
        <v>#NAME?</v>
      </c>
      <c r="EC12" s="25" t="e">
        <v>#NAME?</v>
      </c>
      <c r="EE12" s="42" t="s">
        <v>83</v>
      </c>
      <c r="EF12" s="25">
        <v>0</v>
      </c>
      <c r="EG12" s="25">
        <v>0</v>
      </c>
      <c r="EH12" s="25">
        <v>0</v>
      </c>
      <c r="EI12" s="25">
        <v>0</v>
      </c>
      <c r="EJ12" s="25">
        <v>0</v>
      </c>
      <c r="EM12" s="37"/>
      <c r="EN12" s="42" t="s">
        <v>84</v>
      </c>
      <c r="EO12" s="25" t="e">
        <v>#NAME?</v>
      </c>
      <c r="EP12" s="25" t="e">
        <v>#NAME?</v>
      </c>
      <c r="EQ12" s="25" t="e">
        <v>#NAME?</v>
      </c>
      <c r="ER12" s="25" t="e">
        <v>#NAME?</v>
      </c>
      <c r="ES12" s="25" t="e">
        <v>#NAME?</v>
      </c>
      <c r="ET12" s="25" t="e">
        <v>#NAME?</v>
      </c>
      <c r="EU12" s="25" t="e">
        <v>#NAME?</v>
      </c>
      <c r="EV12" s="25" t="e">
        <v>#NAME?</v>
      </c>
      <c r="EW12" s="25" t="e">
        <v>#NAME?</v>
      </c>
      <c r="EX12" s="25" t="e">
        <v>#NAME?</v>
      </c>
      <c r="EY12" s="25" t="e">
        <v>#NAME?</v>
      </c>
      <c r="EZ12" s="25" t="e">
        <v>#NAME?</v>
      </c>
      <c r="FA12" s="25" t="e">
        <v>#NAME?</v>
      </c>
      <c r="FB12" s="25" t="e">
        <v>#NAME?</v>
      </c>
      <c r="FC12" s="25" t="e">
        <v>#NAME?</v>
      </c>
      <c r="FD12" s="25" t="e">
        <v>#NAME?</v>
      </c>
      <c r="FE12" s="25" t="e">
        <v>#NAME?</v>
      </c>
      <c r="FF12" s="25" t="e">
        <v>#NAME?</v>
      </c>
      <c r="FG12" s="25" t="e">
        <v>#NAME?</v>
      </c>
      <c r="FH12" s="25" t="e">
        <v>#NAME?</v>
      </c>
      <c r="FI12" s="25" t="e">
        <v>#NAME?</v>
      </c>
      <c r="FJ12" s="25" t="e">
        <v>#NAME?</v>
      </c>
      <c r="FK12" s="25" t="e">
        <v>#NAME?</v>
      </c>
      <c r="FL12" s="25" t="e">
        <v>#NAME?</v>
      </c>
      <c r="FM12" s="25" t="e">
        <v>#NAME?</v>
      </c>
      <c r="FN12" s="25" t="e">
        <v>#NAME?</v>
      </c>
      <c r="FO12" s="25" t="e">
        <v>#NAME?</v>
      </c>
      <c r="FP12" s="25" t="e">
        <v>#NAME?</v>
      </c>
      <c r="FQ12" s="25" t="e">
        <v>#NAME?</v>
      </c>
      <c r="FR12" s="25" t="e">
        <v>#NAME?</v>
      </c>
      <c r="FS12" s="25" t="e">
        <v>#NAME?</v>
      </c>
      <c r="FT12" s="25" t="e">
        <v>#NAME?</v>
      </c>
      <c r="FU12" s="25" t="e">
        <v>#NAME?</v>
      </c>
      <c r="FV12" s="25" t="e">
        <v>#NAME?</v>
      </c>
      <c r="FW12" s="25" t="e">
        <v>#NAME?</v>
      </c>
      <c r="FX12" s="25" t="e">
        <v>#NAME?</v>
      </c>
      <c r="FZ12" s="42" t="s">
        <v>84</v>
      </c>
      <c r="GA12" s="25">
        <v>0</v>
      </c>
      <c r="GB12" s="25">
        <v>0</v>
      </c>
      <c r="GC12" s="25">
        <v>0</v>
      </c>
      <c r="GD12" s="25">
        <v>0</v>
      </c>
      <c r="GE12" s="25">
        <v>0</v>
      </c>
      <c r="GG12" s="44" t="s">
        <v>80</v>
      </c>
      <c r="GH12" s="25" t="e">
        <v>#NAME?</v>
      </c>
      <c r="GI12" s="25" t="e">
        <v>#NAME?</v>
      </c>
      <c r="GJ12" s="25" t="e">
        <v>#NAME?</v>
      </c>
      <c r="GK12" s="25" t="e">
        <v>#NAME?</v>
      </c>
      <c r="GL12" s="25" t="e">
        <v>#NAME?</v>
      </c>
      <c r="GM12" s="25" t="e">
        <v>#NAME?</v>
      </c>
      <c r="GN12" s="25" t="e">
        <v>#NAME?</v>
      </c>
      <c r="GO12" s="25" t="e">
        <v>#NAME?</v>
      </c>
      <c r="GP12" s="25" t="e">
        <v>#NAME?</v>
      </c>
      <c r="GQ12" s="25" t="e">
        <v>#NAME?</v>
      </c>
      <c r="GR12" s="25" t="e">
        <v>#NAME?</v>
      </c>
      <c r="GS12" s="25" t="e">
        <v>#NAME?</v>
      </c>
      <c r="GT12" s="25" t="e">
        <v>#NAME?</v>
      </c>
      <c r="GU12" s="25" t="e">
        <v>#NAME?</v>
      </c>
      <c r="GV12" s="25" t="e">
        <v>#NAME?</v>
      </c>
      <c r="GW12" s="25" t="e">
        <v>#NAME?</v>
      </c>
      <c r="GX12" s="25" t="e">
        <v>#NAME?</v>
      </c>
      <c r="GY12" s="25" t="e">
        <v>#NAME?</v>
      </c>
      <c r="GZ12" s="25" t="e">
        <v>#NAME?</v>
      </c>
      <c r="HA12" s="25" t="e">
        <v>#NAME?</v>
      </c>
      <c r="HB12" s="25" t="e">
        <v>#NAME?</v>
      </c>
      <c r="HC12" s="25" t="e">
        <v>#NAME?</v>
      </c>
      <c r="HD12" s="25" t="e">
        <v>#NAME?</v>
      </c>
      <c r="HE12" s="25" t="e">
        <v>#NAME?</v>
      </c>
      <c r="HF12" s="25" t="e">
        <v>#NAME?</v>
      </c>
      <c r="HG12" s="25" t="e">
        <v>#NAME?</v>
      </c>
      <c r="HH12" s="25" t="e">
        <v>#NAME?</v>
      </c>
      <c r="HI12" s="25" t="e">
        <v>#NAME?</v>
      </c>
      <c r="HJ12" s="25" t="e">
        <v>#NAME?</v>
      </c>
      <c r="HK12" s="25" t="e">
        <v>#NAME?</v>
      </c>
      <c r="HL12" s="25" t="e">
        <v>#NAME?</v>
      </c>
      <c r="HM12" s="25" t="e">
        <v>#NAME?</v>
      </c>
      <c r="HN12" s="25" t="e">
        <v>#NAME?</v>
      </c>
      <c r="HO12" s="25" t="e">
        <v>#NAME?</v>
      </c>
      <c r="HP12" s="25" t="e">
        <v>#NAME?</v>
      </c>
      <c r="HQ12" s="25" t="e">
        <v>#NAME?</v>
      </c>
      <c r="HT12" s="44" t="s">
        <v>80</v>
      </c>
      <c r="HU12" s="25">
        <v>0</v>
      </c>
      <c r="HV12" s="25">
        <v>0</v>
      </c>
      <c r="HW12" s="25">
        <v>0</v>
      </c>
      <c r="HX12" s="25">
        <v>0</v>
      </c>
      <c r="HY12" s="25">
        <v>0</v>
      </c>
    </row>
    <row r="13" spans="1:233">
      <c r="A13" t="s">
        <v>140</v>
      </c>
      <c r="B13">
        <v>0</v>
      </c>
      <c r="D13" s="35" t="s">
        <v>10</v>
      </c>
      <c r="E13" s="25" t="e">
        <v>#VALUE!</v>
      </c>
      <c r="F13" s="25" t="e">
        <v>#VALUE!</v>
      </c>
      <c r="G13" s="25" t="e">
        <v>#VALUE!</v>
      </c>
      <c r="H13" s="25" t="e">
        <v>#VALUE!</v>
      </c>
      <c r="I13" s="25" t="e">
        <v>#VALUE!</v>
      </c>
      <c r="J13" s="25" t="e">
        <v>#VALUE!</v>
      </c>
      <c r="K13" s="25" t="e">
        <v>#VALUE!</v>
      </c>
      <c r="L13" s="25" t="e">
        <v>#VALUE!</v>
      </c>
      <c r="M13" s="25" t="e">
        <v>#VALUE!</v>
      </c>
      <c r="N13" s="25" t="e">
        <v>#VALUE!</v>
      </c>
      <c r="O13" s="25" t="e">
        <v>#VALUE!</v>
      </c>
      <c r="P13" s="25" t="e">
        <v>#VALUE!</v>
      </c>
      <c r="Q13" s="25" t="e">
        <v>#VALUE!</v>
      </c>
      <c r="R13" s="25" t="e">
        <v>#VALUE!</v>
      </c>
      <c r="S13" s="25" t="e">
        <v>#VALUE!</v>
      </c>
      <c r="T13" s="25" t="e">
        <v>#VALUE!</v>
      </c>
      <c r="U13" s="25" t="e">
        <v>#VALUE!</v>
      </c>
      <c r="V13" s="25" t="e">
        <v>#VALUE!</v>
      </c>
      <c r="W13" s="25" t="e">
        <v>#VALUE!</v>
      </c>
      <c r="X13" s="25" t="e">
        <v>#VALUE!</v>
      </c>
      <c r="Y13" s="25" t="e">
        <v>#VALUE!</v>
      </c>
      <c r="Z13" s="25" t="e">
        <v>#VALUE!</v>
      </c>
      <c r="AA13" s="25" t="e">
        <v>#VALUE!</v>
      </c>
      <c r="AB13" s="25" t="e">
        <v>#VALUE!</v>
      </c>
      <c r="AC13" s="25" t="e">
        <v>#VALUE!</v>
      </c>
      <c r="AD13" s="25" t="e">
        <v>#VALUE!</v>
      </c>
      <c r="AE13" s="25" t="e">
        <v>#VALUE!</v>
      </c>
      <c r="AF13" s="25" t="e">
        <v>#VALUE!</v>
      </c>
      <c r="AG13" s="25" t="e">
        <v>#VALUE!</v>
      </c>
      <c r="AH13" s="25" t="e">
        <v>#VALUE!</v>
      </c>
      <c r="AI13" s="25" t="e">
        <v>#VALUE!</v>
      </c>
      <c r="AJ13" s="25" t="e">
        <v>#VALUE!</v>
      </c>
      <c r="AK13" s="25" t="e">
        <v>#VALUE!</v>
      </c>
      <c r="AL13" s="25" t="e">
        <v>#VALUE!</v>
      </c>
      <c r="AM13" s="25" t="e">
        <v>#VALUE!</v>
      </c>
      <c r="AN13" s="25" t="e">
        <v>#VALUE!</v>
      </c>
      <c r="AP13" s="35" t="s">
        <v>10</v>
      </c>
      <c r="AQ13" s="25">
        <v>0</v>
      </c>
      <c r="AR13" s="25">
        <v>0</v>
      </c>
      <c r="AS13" s="25">
        <v>0</v>
      </c>
      <c r="AT13" s="25">
        <v>0</v>
      </c>
      <c r="AU13" s="25">
        <v>0</v>
      </c>
      <c r="AW13" t="s">
        <v>86</v>
      </c>
      <c r="AX13" s="47" t="s">
        <v>87</v>
      </c>
      <c r="AY13" s="48" t="s">
        <v>86</v>
      </c>
      <c r="AZ13" s="48" t="s">
        <v>86</v>
      </c>
      <c r="BA13" s="48" t="s">
        <v>86</v>
      </c>
      <c r="BB13" s="48" t="s">
        <v>86</v>
      </c>
      <c r="BC13" s="48" t="s">
        <v>86</v>
      </c>
      <c r="BD13" s="48" t="s">
        <v>86</v>
      </c>
      <c r="BE13" s="48" t="s">
        <v>86</v>
      </c>
      <c r="BF13" s="48" t="s">
        <v>86</v>
      </c>
      <c r="BG13" s="48" t="s">
        <v>86</v>
      </c>
      <c r="BH13" s="48" t="s">
        <v>86</v>
      </c>
      <c r="BI13" s="48" t="s">
        <v>86</v>
      </c>
      <c r="BJ13" s="48" t="s">
        <v>86</v>
      </c>
      <c r="BK13" s="48" t="s">
        <v>86</v>
      </c>
      <c r="BL13" s="48" t="s">
        <v>86</v>
      </c>
      <c r="BM13" s="48" t="s">
        <v>86</v>
      </c>
      <c r="BN13" s="48" t="s">
        <v>86</v>
      </c>
      <c r="BO13" s="48" t="s">
        <v>86</v>
      </c>
      <c r="BP13" s="48" t="s">
        <v>86</v>
      </c>
      <c r="BQ13" s="48" t="s">
        <v>86</v>
      </c>
      <c r="BR13" s="48" t="s">
        <v>86</v>
      </c>
      <c r="BS13" s="48" t="s">
        <v>86</v>
      </c>
      <c r="BT13" s="48" t="s">
        <v>86</v>
      </c>
      <c r="BU13" s="48" t="s">
        <v>86</v>
      </c>
      <c r="BV13" s="48" t="s">
        <v>86</v>
      </c>
      <c r="BW13" s="48" t="s">
        <v>86</v>
      </c>
      <c r="BX13" s="48" t="s">
        <v>86</v>
      </c>
      <c r="BY13" s="48" t="s">
        <v>86</v>
      </c>
      <c r="BZ13" s="48" t="s">
        <v>86</v>
      </c>
      <c r="CA13" s="48" t="s">
        <v>86</v>
      </c>
      <c r="CB13" s="48" t="s">
        <v>86</v>
      </c>
      <c r="CC13" s="48" t="s">
        <v>86</v>
      </c>
      <c r="CD13" s="48" t="s">
        <v>86</v>
      </c>
      <c r="CE13" s="48" t="s">
        <v>86</v>
      </c>
      <c r="CF13" s="48" t="s">
        <v>86</v>
      </c>
      <c r="CG13" s="48" t="s">
        <v>86</v>
      </c>
      <c r="CH13" s="48" t="s">
        <v>86</v>
      </c>
      <c r="CK13" s="47" t="s">
        <v>87</v>
      </c>
      <c r="CL13" s="48" t="s">
        <v>86</v>
      </c>
      <c r="CM13" s="48" t="s">
        <v>86</v>
      </c>
      <c r="CN13" s="48" t="s">
        <v>86</v>
      </c>
      <c r="CO13" s="48" t="s">
        <v>86</v>
      </c>
      <c r="CP13" s="48" t="s">
        <v>86</v>
      </c>
      <c r="CS13" s="42" t="s">
        <v>88</v>
      </c>
      <c r="CT13" s="25" t="e">
        <v>#NAME?</v>
      </c>
      <c r="CU13" s="25" t="e">
        <v>#NAME?</v>
      </c>
      <c r="CV13" s="25" t="e">
        <v>#NAME?</v>
      </c>
      <c r="CW13" s="25" t="e">
        <v>#NAME?</v>
      </c>
      <c r="CX13" s="25" t="e">
        <v>#NAME?</v>
      </c>
      <c r="CY13" s="25" t="e">
        <v>#NAME?</v>
      </c>
      <c r="CZ13" s="25" t="e">
        <v>#NAME?</v>
      </c>
      <c r="DA13" s="25" t="e">
        <v>#NAME?</v>
      </c>
      <c r="DB13" s="25" t="e">
        <v>#NAME?</v>
      </c>
      <c r="DC13" s="25" t="e">
        <v>#NAME?</v>
      </c>
      <c r="DD13" s="25" t="e">
        <v>#NAME?</v>
      </c>
      <c r="DE13" s="25" t="e">
        <v>#NAME?</v>
      </c>
      <c r="DF13" s="25" t="e">
        <v>#NAME?</v>
      </c>
      <c r="DG13" s="25" t="e">
        <v>#NAME?</v>
      </c>
      <c r="DH13" s="25" t="e">
        <v>#NAME?</v>
      </c>
      <c r="DI13" s="25" t="e">
        <v>#NAME?</v>
      </c>
      <c r="DJ13" s="25" t="e">
        <v>#NAME?</v>
      </c>
      <c r="DK13" s="25" t="e">
        <v>#NAME?</v>
      </c>
      <c r="DL13" s="25" t="e">
        <v>#NAME?</v>
      </c>
      <c r="DM13" s="25" t="e">
        <v>#NAME?</v>
      </c>
      <c r="DN13" s="25" t="e">
        <v>#NAME?</v>
      </c>
      <c r="DO13" s="25" t="e">
        <v>#NAME?</v>
      </c>
      <c r="DP13" s="25" t="e">
        <v>#NAME?</v>
      </c>
      <c r="DQ13" s="25" t="e">
        <v>#NAME?</v>
      </c>
      <c r="DR13" s="25" t="e">
        <v>#NAME?</v>
      </c>
      <c r="DS13" s="25" t="e">
        <v>#NAME?</v>
      </c>
      <c r="DT13" s="25" t="e">
        <v>#NAME?</v>
      </c>
      <c r="DU13" s="25" t="e">
        <v>#NAME?</v>
      </c>
      <c r="DV13" s="25" t="e">
        <v>#NAME?</v>
      </c>
      <c r="DW13" s="25" t="e">
        <v>#NAME?</v>
      </c>
      <c r="DX13" s="25" t="e">
        <v>#NAME?</v>
      </c>
      <c r="DY13" s="25" t="e">
        <v>#NAME?</v>
      </c>
      <c r="DZ13" s="25" t="e">
        <v>#NAME?</v>
      </c>
      <c r="EA13" s="25" t="e">
        <v>#NAME?</v>
      </c>
      <c r="EB13" s="25" t="e">
        <v>#NAME?</v>
      </c>
      <c r="EC13" s="25" t="e">
        <v>#NAME?</v>
      </c>
      <c r="EE13" s="42" t="s">
        <v>88</v>
      </c>
      <c r="EF13" s="25">
        <v>0</v>
      </c>
      <c r="EG13" s="25">
        <v>0</v>
      </c>
      <c r="EH13" s="25">
        <v>0</v>
      </c>
      <c r="EI13" s="25">
        <v>0</v>
      </c>
      <c r="EJ13" s="25">
        <v>0</v>
      </c>
      <c r="EM13" s="37"/>
      <c r="EN13" s="42" t="s">
        <v>89</v>
      </c>
      <c r="EO13" s="25" t="e">
        <v>#NAME?</v>
      </c>
      <c r="EP13" s="25" t="e">
        <v>#NAME?</v>
      </c>
      <c r="EQ13" s="25" t="e">
        <v>#NAME?</v>
      </c>
      <c r="ER13" s="25" t="e">
        <v>#NAME?</v>
      </c>
      <c r="ES13" s="25" t="e">
        <v>#NAME?</v>
      </c>
      <c r="ET13" s="25" t="e">
        <v>#NAME?</v>
      </c>
      <c r="EU13" s="25" t="e">
        <v>#NAME?</v>
      </c>
      <c r="EV13" s="25" t="e">
        <v>#NAME?</v>
      </c>
      <c r="EW13" s="25" t="e">
        <v>#NAME?</v>
      </c>
      <c r="EX13" s="25" t="e">
        <v>#NAME?</v>
      </c>
      <c r="EY13" s="25" t="e">
        <v>#NAME?</v>
      </c>
      <c r="EZ13" s="25" t="e">
        <v>#NAME?</v>
      </c>
      <c r="FA13" s="25" t="e">
        <v>#NAME?</v>
      </c>
      <c r="FB13" s="25" t="e">
        <v>#NAME?</v>
      </c>
      <c r="FC13" s="25" t="e">
        <v>#NAME?</v>
      </c>
      <c r="FD13" s="25" t="e">
        <v>#NAME?</v>
      </c>
      <c r="FE13" s="25" t="e">
        <v>#NAME?</v>
      </c>
      <c r="FF13" s="25" t="e">
        <v>#NAME?</v>
      </c>
      <c r="FG13" s="25" t="e">
        <v>#NAME?</v>
      </c>
      <c r="FH13" s="25" t="e">
        <v>#NAME?</v>
      </c>
      <c r="FI13" s="25" t="e">
        <v>#NAME?</v>
      </c>
      <c r="FJ13" s="25" t="e">
        <v>#NAME?</v>
      </c>
      <c r="FK13" s="25" t="e">
        <v>#NAME?</v>
      </c>
      <c r="FL13" s="25" t="e">
        <v>#NAME?</v>
      </c>
      <c r="FM13" s="25" t="e">
        <v>#NAME?</v>
      </c>
      <c r="FN13" s="25" t="e">
        <v>#NAME?</v>
      </c>
      <c r="FO13" s="25" t="e">
        <v>#NAME?</v>
      </c>
      <c r="FP13" s="25" t="e">
        <v>#NAME?</v>
      </c>
      <c r="FQ13" s="25" t="e">
        <v>#NAME?</v>
      </c>
      <c r="FR13" s="25" t="e">
        <v>#NAME?</v>
      </c>
      <c r="FS13" s="25" t="e">
        <v>#NAME?</v>
      </c>
      <c r="FT13" s="25" t="e">
        <v>#NAME?</v>
      </c>
      <c r="FU13" s="25" t="e">
        <v>#NAME?</v>
      </c>
      <c r="FV13" s="25" t="e">
        <v>#NAME?</v>
      </c>
      <c r="FW13" s="25" t="e">
        <v>#NAME?</v>
      </c>
      <c r="FX13" s="25" t="e">
        <v>#NAME?</v>
      </c>
      <c r="FZ13" s="42" t="s">
        <v>89</v>
      </c>
      <c r="GA13" s="25">
        <v>0</v>
      </c>
      <c r="GB13" s="25">
        <v>0</v>
      </c>
      <c r="GC13" s="25">
        <v>0</v>
      </c>
      <c r="GD13" s="25">
        <v>0</v>
      </c>
      <c r="GE13" s="25">
        <v>0</v>
      </c>
      <c r="GG13" s="41" t="s">
        <v>85</v>
      </c>
      <c r="GH13" s="25" t="e">
        <v>#NAME?</v>
      </c>
      <c r="GI13" s="25" t="e">
        <v>#NAME?</v>
      </c>
      <c r="GJ13" s="25" t="e">
        <v>#NAME?</v>
      </c>
      <c r="GK13" s="25" t="e">
        <v>#NAME?</v>
      </c>
      <c r="GL13" s="25" t="e">
        <v>#NAME?</v>
      </c>
      <c r="GM13" s="25" t="e">
        <v>#NAME?</v>
      </c>
      <c r="GN13" s="25" t="e">
        <v>#NAME?</v>
      </c>
      <c r="GO13" s="25" t="e">
        <v>#NAME?</v>
      </c>
      <c r="GP13" s="25" t="e">
        <v>#NAME?</v>
      </c>
      <c r="GQ13" s="25" t="e">
        <v>#NAME?</v>
      </c>
      <c r="GR13" s="25" t="e">
        <v>#NAME?</v>
      </c>
      <c r="GS13" s="25" t="e">
        <v>#NAME?</v>
      </c>
      <c r="GT13" s="25" t="e">
        <v>#NAME?</v>
      </c>
      <c r="GU13" s="25" t="e">
        <v>#NAME?</v>
      </c>
      <c r="GV13" s="25" t="e">
        <v>#NAME?</v>
      </c>
      <c r="GW13" s="25" t="e">
        <v>#NAME?</v>
      </c>
      <c r="GX13" s="25" t="e">
        <v>#NAME?</v>
      </c>
      <c r="GY13" s="25" t="e">
        <v>#NAME?</v>
      </c>
      <c r="GZ13" s="25" t="e">
        <v>#NAME?</v>
      </c>
      <c r="HA13" s="25" t="e">
        <v>#NAME?</v>
      </c>
      <c r="HB13" s="25" t="e">
        <v>#NAME?</v>
      </c>
      <c r="HC13" s="25" t="e">
        <v>#NAME?</v>
      </c>
      <c r="HD13" s="25" t="e">
        <v>#NAME?</v>
      </c>
      <c r="HE13" s="25" t="e">
        <v>#NAME?</v>
      </c>
      <c r="HF13" s="25" t="e">
        <v>#NAME?</v>
      </c>
      <c r="HG13" s="25" t="e">
        <v>#NAME?</v>
      </c>
      <c r="HH13" s="25" t="e">
        <v>#NAME?</v>
      </c>
      <c r="HI13" s="25" t="e">
        <v>#NAME?</v>
      </c>
      <c r="HJ13" s="25" t="e">
        <v>#NAME?</v>
      </c>
      <c r="HK13" s="25" t="e">
        <v>#NAME?</v>
      </c>
      <c r="HL13" s="25" t="e">
        <v>#NAME?</v>
      </c>
      <c r="HM13" s="25" t="e">
        <v>#NAME?</v>
      </c>
      <c r="HN13" s="25" t="e">
        <v>#NAME?</v>
      </c>
      <c r="HO13" s="25" t="e">
        <v>#NAME?</v>
      </c>
      <c r="HP13" s="25" t="e">
        <v>#NAME?</v>
      </c>
      <c r="HQ13" s="25" t="e">
        <v>#NAME?</v>
      </c>
      <c r="HT13" s="41" t="s">
        <v>85</v>
      </c>
      <c r="HU13" s="25">
        <v>0</v>
      </c>
      <c r="HV13" s="25">
        <v>0</v>
      </c>
      <c r="HW13" s="25">
        <v>0</v>
      </c>
      <c r="HX13" s="25">
        <v>0</v>
      </c>
      <c r="HY13" s="25">
        <v>0</v>
      </c>
    </row>
    <row r="14" spans="1:233" ht="15.75" thickBot="1">
      <c r="A14" t="s">
        <v>140</v>
      </c>
      <c r="B14">
        <v>0</v>
      </c>
      <c r="D14" s="35" t="s">
        <v>91</v>
      </c>
      <c r="E14" s="25" t="e">
        <v>#VALUE!</v>
      </c>
      <c r="F14" s="25" t="e">
        <v>#VALUE!</v>
      </c>
      <c r="G14" s="25" t="e">
        <v>#VALUE!</v>
      </c>
      <c r="H14" s="25" t="e">
        <v>#VALUE!</v>
      </c>
      <c r="I14" s="25" t="e">
        <v>#VALUE!</v>
      </c>
      <c r="J14" s="25" t="e">
        <v>#VALUE!</v>
      </c>
      <c r="K14" s="25" t="e">
        <v>#VALUE!</v>
      </c>
      <c r="L14" s="25" t="e">
        <v>#VALUE!</v>
      </c>
      <c r="M14" s="25" t="e">
        <v>#VALUE!</v>
      </c>
      <c r="N14" s="25" t="e">
        <v>#VALUE!</v>
      </c>
      <c r="O14" s="25" t="e">
        <v>#VALUE!</v>
      </c>
      <c r="P14" s="25" t="e">
        <v>#VALUE!</v>
      </c>
      <c r="Q14" s="25" t="e">
        <v>#VALUE!</v>
      </c>
      <c r="R14" s="25" t="e">
        <v>#VALUE!</v>
      </c>
      <c r="S14" s="25" t="e">
        <v>#VALUE!</v>
      </c>
      <c r="T14" s="25" t="e">
        <v>#VALUE!</v>
      </c>
      <c r="U14" s="25" t="e">
        <v>#VALUE!</v>
      </c>
      <c r="V14" s="25" t="e">
        <v>#VALUE!</v>
      </c>
      <c r="W14" s="25" t="e">
        <v>#VALUE!</v>
      </c>
      <c r="X14" s="25" t="e">
        <v>#VALUE!</v>
      </c>
      <c r="Y14" s="25" t="e">
        <v>#VALUE!</v>
      </c>
      <c r="Z14" s="25" t="e">
        <v>#VALUE!</v>
      </c>
      <c r="AA14" s="25" t="e">
        <v>#VALUE!</v>
      </c>
      <c r="AB14" s="25" t="e">
        <v>#VALUE!</v>
      </c>
      <c r="AC14" s="25" t="e">
        <v>#VALUE!</v>
      </c>
      <c r="AD14" s="25" t="e">
        <v>#VALUE!</v>
      </c>
      <c r="AE14" s="25" t="e">
        <v>#VALUE!</v>
      </c>
      <c r="AF14" s="25" t="e">
        <v>#VALUE!</v>
      </c>
      <c r="AG14" s="25" t="e">
        <v>#VALUE!</v>
      </c>
      <c r="AH14" s="25" t="e">
        <v>#VALUE!</v>
      </c>
      <c r="AI14" s="25" t="e">
        <v>#VALUE!</v>
      </c>
      <c r="AJ14" s="25" t="e">
        <v>#VALUE!</v>
      </c>
      <c r="AK14" s="25" t="e">
        <v>#VALUE!</v>
      </c>
      <c r="AL14" s="25" t="e">
        <v>#VALUE!</v>
      </c>
      <c r="AM14" s="25" t="e">
        <v>#VALUE!</v>
      </c>
      <c r="AN14" s="25" t="e">
        <v>#VALUE!</v>
      </c>
      <c r="AP14" s="35" t="s">
        <v>91</v>
      </c>
      <c r="AQ14" s="25">
        <v>0</v>
      </c>
      <c r="AR14" s="25">
        <v>0</v>
      </c>
      <c r="AS14" s="25">
        <v>0</v>
      </c>
      <c r="AT14" s="25">
        <v>0</v>
      </c>
      <c r="AU14" s="25">
        <v>0</v>
      </c>
      <c r="AX14" s="50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K14" s="50"/>
      <c r="CL14" s="51"/>
      <c r="CM14" s="51"/>
      <c r="CN14" s="51"/>
      <c r="CO14" s="51"/>
      <c r="CP14" s="51"/>
      <c r="CS14" s="42" t="s">
        <v>92</v>
      </c>
      <c r="CT14" s="25" t="e">
        <v>#NAME?</v>
      </c>
      <c r="CU14" s="25" t="e">
        <v>#NAME?</v>
      </c>
      <c r="CV14" s="25" t="e">
        <v>#NAME?</v>
      </c>
      <c r="CW14" s="25" t="e">
        <v>#NAME?</v>
      </c>
      <c r="CX14" s="25" t="e">
        <v>#NAME?</v>
      </c>
      <c r="CY14" s="25" t="e">
        <v>#NAME?</v>
      </c>
      <c r="CZ14" s="25" t="e">
        <v>#NAME?</v>
      </c>
      <c r="DA14" s="25" t="e">
        <v>#NAME?</v>
      </c>
      <c r="DB14" s="25" t="e">
        <v>#NAME?</v>
      </c>
      <c r="DC14" s="25" t="e">
        <v>#NAME?</v>
      </c>
      <c r="DD14" s="25" t="e">
        <v>#NAME?</v>
      </c>
      <c r="DE14" s="25" t="e">
        <v>#NAME?</v>
      </c>
      <c r="DF14" s="25" t="e">
        <v>#NAME?</v>
      </c>
      <c r="DG14" s="25" t="e">
        <v>#NAME?</v>
      </c>
      <c r="DH14" s="25" t="e">
        <v>#NAME?</v>
      </c>
      <c r="DI14" s="25" t="e">
        <v>#NAME?</v>
      </c>
      <c r="DJ14" s="25" t="e">
        <v>#NAME?</v>
      </c>
      <c r="DK14" s="25" t="e">
        <v>#NAME?</v>
      </c>
      <c r="DL14" s="25" t="e">
        <v>#NAME?</v>
      </c>
      <c r="DM14" s="25" t="e">
        <v>#NAME?</v>
      </c>
      <c r="DN14" s="25" t="e">
        <v>#NAME?</v>
      </c>
      <c r="DO14" s="25" t="e">
        <v>#NAME?</v>
      </c>
      <c r="DP14" s="25" t="e">
        <v>#NAME?</v>
      </c>
      <c r="DQ14" s="25" t="e">
        <v>#NAME?</v>
      </c>
      <c r="DR14" s="25" t="e">
        <v>#NAME?</v>
      </c>
      <c r="DS14" s="25" t="e">
        <v>#NAME?</v>
      </c>
      <c r="DT14" s="25" t="e">
        <v>#NAME?</v>
      </c>
      <c r="DU14" s="25" t="e">
        <v>#NAME?</v>
      </c>
      <c r="DV14" s="25" t="e">
        <v>#NAME?</v>
      </c>
      <c r="DW14" s="25" t="e">
        <v>#NAME?</v>
      </c>
      <c r="DX14" s="25" t="e">
        <v>#NAME?</v>
      </c>
      <c r="DY14" s="25" t="e">
        <v>#NAME?</v>
      </c>
      <c r="DZ14" s="25" t="e">
        <v>#NAME?</v>
      </c>
      <c r="EA14" s="25" t="e">
        <v>#NAME?</v>
      </c>
      <c r="EB14" s="25" t="e">
        <v>#NAME?</v>
      </c>
      <c r="EC14" s="25" t="e">
        <v>#NAME?</v>
      </c>
      <c r="EE14" s="42" t="s">
        <v>92</v>
      </c>
      <c r="EF14" s="25">
        <v>0</v>
      </c>
      <c r="EG14" s="25">
        <v>0</v>
      </c>
      <c r="EH14" s="25">
        <v>0</v>
      </c>
      <c r="EI14" s="25">
        <v>0</v>
      </c>
      <c r="EJ14" s="25">
        <v>0</v>
      </c>
      <c r="EM14" s="37"/>
      <c r="EN14" s="52" t="s">
        <v>93</v>
      </c>
      <c r="EO14" s="25" t="e">
        <v>#NAME?</v>
      </c>
      <c r="EP14" s="25" t="e">
        <v>#NAME?</v>
      </c>
      <c r="EQ14" s="25" t="e">
        <v>#NAME?</v>
      </c>
      <c r="ER14" s="25" t="e">
        <v>#NAME?</v>
      </c>
      <c r="ES14" s="25" t="e">
        <v>#NAME?</v>
      </c>
      <c r="ET14" s="25" t="e">
        <v>#NAME?</v>
      </c>
      <c r="EU14" s="25" t="e">
        <v>#NAME?</v>
      </c>
      <c r="EV14" s="25" t="e">
        <v>#NAME?</v>
      </c>
      <c r="EW14" s="25" t="e">
        <v>#NAME?</v>
      </c>
      <c r="EX14" s="25" t="e">
        <v>#NAME?</v>
      </c>
      <c r="EY14" s="25" t="e">
        <v>#NAME?</v>
      </c>
      <c r="EZ14" s="25" t="e">
        <v>#NAME?</v>
      </c>
      <c r="FA14" s="25" t="e">
        <v>#NAME?</v>
      </c>
      <c r="FB14" s="25" t="e">
        <v>#NAME?</v>
      </c>
      <c r="FC14" s="25" t="e">
        <v>#NAME?</v>
      </c>
      <c r="FD14" s="25" t="e">
        <v>#NAME?</v>
      </c>
      <c r="FE14" s="25" t="e">
        <v>#NAME?</v>
      </c>
      <c r="FF14" s="25" t="e">
        <v>#NAME?</v>
      </c>
      <c r="FG14" s="25" t="e">
        <v>#NAME?</v>
      </c>
      <c r="FH14" s="25" t="e">
        <v>#NAME?</v>
      </c>
      <c r="FI14" s="25" t="e">
        <v>#NAME?</v>
      </c>
      <c r="FJ14" s="25" t="e">
        <v>#NAME?</v>
      </c>
      <c r="FK14" s="25" t="e">
        <v>#NAME?</v>
      </c>
      <c r="FL14" s="25" t="e">
        <v>#NAME?</v>
      </c>
      <c r="FM14" s="25" t="e">
        <v>#NAME?</v>
      </c>
      <c r="FN14" s="25" t="e">
        <v>#NAME?</v>
      </c>
      <c r="FO14" s="25" t="e">
        <v>#NAME?</v>
      </c>
      <c r="FP14" s="25" t="e">
        <v>#NAME?</v>
      </c>
      <c r="FQ14" s="25" t="e">
        <v>#NAME?</v>
      </c>
      <c r="FR14" s="25" t="e">
        <v>#NAME?</v>
      </c>
      <c r="FS14" s="25" t="e">
        <v>#NAME?</v>
      </c>
      <c r="FT14" s="25" t="e">
        <v>#NAME?</v>
      </c>
      <c r="FU14" s="25" t="e">
        <v>#NAME?</v>
      </c>
      <c r="FV14" s="25" t="e">
        <v>#NAME?</v>
      </c>
      <c r="FW14" s="25" t="e">
        <v>#NAME?</v>
      </c>
      <c r="FX14" s="25" t="e">
        <v>#NAME?</v>
      </c>
      <c r="FZ14" s="52" t="s">
        <v>93</v>
      </c>
      <c r="GA14" s="25">
        <v>0</v>
      </c>
      <c r="GB14" s="25">
        <v>0</v>
      </c>
      <c r="GC14" s="25">
        <v>0</v>
      </c>
      <c r="GD14" s="25">
        <v>0</v>
      </c>
      <c r="GE14" s="25">
        <v>0</v>
      </c>
      <c r="GG14" s="49" t="s">
        <v>90</v>
      </c>
      <c r="GH14" s="25" t="e">
        <v>#NAME?</v>
      </c>
      <c r="GI14" s="25" t="e">
        <v>#NAME?</v>
      </c>
      <c r="GJ14" s="25" t="e">
        <v>#NAME?</v>
      </c>
      <c r="GK14" s="25" t="e">
        <v>#NAME?</v>
      </c>
      <c r="GL14" s="25" t="e">
        <v>#NAME?</v>
      </c>
      <c r="GM14" s="25" t="e">
        <v>#NAME?</v>
      </c>
      <c r="GN14" s="25" t="e">
        <v>#NAME?</v>
      </c>
      <c r="GO14" s="25" t="e">
        <v>#NAME?</v>
      </c>
      <c r="GP14" s="25" t="e">
        <v>#NAME?</v>
      </c>
      <c r="GQ14" s="25" t="e">
        <v>#NAME?</v>
      </c>
      <c r="GR14" s="25" t="e">
        <v>#NAME?</v>
      </c>
      <c r="GS14" s="25" t="e">
        <v>#NAME?</v>
      </c>
      <c r="GT14" s="25" t="e">
        <v>#NAME?</v>
      </c>
      <c r="GU14" s="25" t="e">
        <v>#NAME?</v>
      </c>
      <c r="GV14" s="25" t="e">
        <v>#NAME?</v>
      </c>
      <c r="GW14" s="25" t="e">
        <v>#NAME?</v>
      </c>
      <c r="GX14" s="25" t="e">
        <v>#NAME?</v>
      </c>
      <c r="GY14" s="25" t="e">
        <v>#NAME?</v>
      </c>
      <c r="GZ14" s="25" t="e">
        <v>#NAME?</v>
      </c>
      <c r="HA14" s="25" t="e">
        <v>#NAME?</v>
      </c>
      <c r="HB14" s="25" t="e">
        <v>#NAME?</v>
      </c>
      <c r="HC14" s="25" t="e">
        <v>#NAME?</v>
      </c>
      <c r="HD14" s="25" t="e">
        <v>#NAME?</v>
      </c>
      <c r="HE14" s="25" t="e">
        <v>#NAME?</v>
      </c>
      <c r="HF14" s="25" t="e">
        <v>#NAME?</v>
      </c>
      <c r="HG14" s="25" t="e">
        <v>#NAME?</v>
      </c>
      <c r="HH14" s="25" t="e">
        <v>#NAME?</v>
      </c>
      <c r="HI14" s="25" t="e">
        <v>#NAME?</v>
      </c>
      <c r="HJ14" s="25" t="e">
        <v>#NAME?</v>
      </c>
      <c r="HK14" s="25" t="e">
        <v>#NAME?</v>
      </c>
      <c r="HL14" s="25" t="e">
        <v>#NAME?</v>
      </c>
      <c r="HM14" s="25" t="e">
        <v>#NAME?</v>
      </c>
      <c r="HN14" s="25" t="e">
        <v>#NAME?</v>
      </c>
      <c r="HO14" s="25" t="e">
        <v>#NAME?</v>
      </c>
      <c r="HP14" s="25" t="e">
        <v>#NAME?</v>
      </c>
      <c r="HQ14" s="25" t="e">
        <v>#NAME?</v>
      </c>
      <c r="HT14" s="49" t="s">
        <v>90</v>
      </c>
      <c r="HU14" s="25">
        <v>0</v>
      </c>
      <c r="HV14" s="25">
        <v>0</v>
      </c>
      <c r="HW14" s="25">
        <v>0</v>
      </c>
      <c r="HX14" s="25">
        <v>0</v>
      </c>
      <c r="HY14" s="25">
        <v>0</v>
      </c>
    </row>
    <row r="15" spans="1:233">
      <c r="A15" t="s">
        <v>140</v>
      </c>
      <c r="B15">
        <v>0</v>
      </c>
      <c r="D15" s="35" t="s">
        <v>94</v>
      </c>
      <c r="E15" s="25" t="e">
        <v>#VALUE!</v>
      </c>
      <c r="F15" s="25" t="e">
        <v>#VALUE!</v>
      </c>
      <c r="G15" s="25" t="e">
        <v>#VALUE!</v>
      </c>
      <c r="H15" s="25" t="e">
        <v>#VALUE!</v>
      </c>
      <c r="I15" s="25" t="e">
        <v>#VALUE!</v>
      </c>
      <c r="J15" s="25" t="e">
        <v>#VALUE!</v>
      </c>
      <c r="K15" s="25" t="e">
        <v>#VALUE!</v>
      </c>
      <c r="L15" s="25" t="e">
        <v>#VALUE!</v>
      </c>
      <c r="M15" s="25" t="e">
        <v>#VALUE!</v>
      </c>
      <c r="N15" s="25" t="e">
        <v>#VALUE!</v>
      </c>
      <c r="O15" s="25" t="e">
        <v>#VALUE!</v>
      </c>
      <c r="P15" s="25" t="e">
        <v>#VALUE!</v>
      </c>
      <c r="Q15" s="25" t="e">
        <v>#VALUE!</v>
      </c>
      <c r="R15" s="25" t="e">
        <v>#VALUE!</v>
      </c>
      <c r="S15" s="25" t="e">
        <v>#VALUE!</v>
      </c>
      <c r="T15" s="25" t="e">
        <v>#VALUE!</v>
      </c>
      <c r="U15" s="25" t="e">
        <v>#VALUE!</v>
      </c>
      <c r="V15" s="25" t="e">
        <v>#VALUE!</v>
      </c>
      <c r="W15" s="25" t="e">
        <v>#VALUE!</v>
      </c>
      <c r="X15" s="25" t="e">
        <v>#VALUE!</v>
      </c>
      <c r="Y15" s="25" t="e">
        <v>#VALUE!</v>
      </c>
      <c r="Z15" s="25" t="e">
        <v>#VALUE!</v>
      </c>
      <c r="AA15" s="25" t="e">
        <v>#VALUE!</v>
      </c>
      <c r="AB15" s="25" t="e">
        <v>#VALUE!</v>
      </c>
      <c r="AC15" s="25" t="e">
        <v>#VALUE!</v>
      </c>
      <c r="AD15" s="25" t="e">
        <v>#VALUE!</v>
      </c>
      <c r="AE15" s="25" t="e">
        <v>#VALUE!</v>
      </c>
      <c r="AF15" s="25" t="e">
        <v>#VALUE!</v>
      </c>
      <c r="AG15" s="25" t="e">
        <v>#VALUE!</v>
      </c>
      <c r="AH15" s="25" t="e">
        <v>#VALUE!</v>
      </c>
      <c r="AI15" s="25" t="e">
        <v>#VALUE!</v>
      </c>
      <c r="AJ15" s="25" t="e">
        <v>#VALUE!</v>
      </c>
      <c r="AK15" s="25" t="e">
        <v>#VALUE!</v>
      </c>
      <c r="AL15" s="25" t="e">
        <v>#VALUE!</v>
      </c>
      <c r="AM15" s="25" t="e">
        <v>#VALUE!</v>
      </c>
      <c r="AN15" s="25" t="e">
        <v>#VALUE!</v>
      </c>
      <c r="AP15" s="35" t="s">
        <v>94</v>
      </c>
      <c r="AQ15" s="25">
        <v>0</v>
      </c>
      <c r="AR15" s="25">
        <v>0</v>
      </c>
      <c r="AS15" s="25">
        <v>0</v>
      </c>
      <c r="AT15" s="25">
        <v>0</v>
      </c>
      <c r="AU15" s="25">
        <v>0</v>
      </c>
      <c r="AW15">
        <v>0</v>
      </c>
      <c r="AX15" s="53" t="s">
        <v>95</v>
      </c>
      <c r="AY15" s="25" t="e">
        <v>#NAME?</v>
      </c>
      <c r="AZ15" s="25" t="e">
        <v>#NAME?</v>
      </c>
      <c r="BA15" s="25" t="e">
        <v>#NAME?</v>
      </c>
      <c r="BB15" s="25" t="e">
        <v>#NAME?</v>
      </c>
      <c r="BC15" s="25" t="e">
        <v>#NAME?</v>
      </c>
      <c r="BD15" s="25" t="e">
        <v>#NAME?</v>
      </c>
      <c r="BE15" s="25" t="e">
        <v>#NAME?</v>
      </c>
      <c r="BF15" s="25" t="e">
        <v>#NAME?</v>
      </c>
      <c r="BG15" s="25" t="e">
        <v>#NAME?</v>
      </c>
      <c r="BH15" s="25" t="e">
        <v>#NAME?</v>
      </c>
      <c r="BI15" s="25" t="e">
        <v>#NAME?</v>
      </c>
      <c r="BJ15" s="25" t="e">
        <v>#NAME?</v>
      </c>
      <c r="BK15" s="25" t="e">
        <v>#NAME?</v>
      </c>
      <c r="BL15" s="25" t="e">
        <v>#NAME?</v>
      </c>
      <c r="BM15" s="25" t="e">
        <v>#NAME?</v>
      </c>
      <c r="BN15" s="25" t="e">
        <v>#NAME?</v>
      </c>
      <c r="BO15" s="25" t="e">
        <v>#NAME?</v>
      </c>
      <c r="BP15" s="25" t="e">
        <v>#NAME?</v>
      </c>
      <c r="BQ15" s="25" t="e">
        <v>#NAME?</v>
      </c>
      <c r="BR15" s="25" t="e">
        <v>#NAME?</v>
      </c>
      <c r="BS15" s="25" t="e">
        <v>#NAME?</v>
      </c>
      <c r="BT15" s="25" t="e">
        <v>#NAME?</v>
      </c>
      <c r="BU15" s="25" t="e">
        <v>#NAME?</v>
      </c>
      <c r="BV15" s="25" t="e">
        <v>#NAME?</v>
      </c>
      <c r="BW15" s="25" t="e">
        <v>#NAME?</v>
      </c>
      <c r="BX15" s="25" t="e">
        <v>#NAME?</v>
      </c>
      <c r="BY15" s="25" t="e">
        <v>#NAME?</v>
      </c>
      <c r="BZ15" s="25" t="e">
        <v>#NAME?</v>
      </c>
      <c r="CA15" s="25" t="e">
        <v>#NAME?</v>
      </c>
      <c r="CB15" s="25" t="e">
        <v>#NAME?</v>
      </c>
      <c r="CC15" s="25" t="e">
        <v>#NAME?</v>
      </c>
      <c r="CD15" s="25" t="e">
        <v>#NAME?</v>
      </c>
      <c r="CE15" s="25" t="e">
        <v>#NAME?</v>
      </c>
      <c r="CF15" s="25" t="e">
        <v>#NAME?</v>
      </c>
      <c r="CG15" s="25" t="e">
        <v>#NAME?</v>
      </c>
      <c r="CH15" s="25" t="e">
        <v>#NAME?</v>
      </c>
      <c r="CK15" s="53" t="s">
        <v>95</v>
      </c>
      <c r="CL15" s="25">
        <v>0</v>
      </c>
      <c r="CM15" s="25">
        <v>0</v>
      </c>
      <c r="CN15" s="25">
        <v>0</v>
      </c>
      <c r="CO15" s="25">
        <v>0</v>
      </c>
      <c r="CP15" s="25">
        <v>0</v>
      </c>
      <c r="CS15" s="42" t="s">
        <v>96</v>
      </c>
      <c r="CT15" s="25" t="e">
        <v>#NAME?</v>
      </c>
      <c r="CU15" s="25" t="e">
        <v>#NAME?</v>
      </c>
      <c r="CV15" s="25" t="e">
        <v>#NAME?</v>
      </c>
      <c r="CW15" s="25" t="e">
        <v>#NAME?</v>
      </c>
      <c r="CX15" s="25" t="e">
        <v>#NAME?</v>
      </c>
      <c r="CY15" s="25" t="e">
        <v>#NAME?</v>
      </c>
      <c r="CZ15" s="25" t="e">
        <v>#NAME?</v>
      </c>
      <c r="DA15" s="25" t="e">
        <v>#NAME?</v>
      </c>
      <c r="DB15" s="25" t="e">
        <v>#NAME?</v>
      </c>
      <c r="DC15" s="25" t="e">
        <v>#NAME?</v>
      </c>
      <c r="DD15" s="25" t="e">
        <v>#NAME?</v>
      </c>
      <c r="DE15" s="25" t="e">
        <v>#NAME?</v>
      </c>
      <c r="DF15" s="25" t="e">
        <v>#NAME?</v>
      </c>
      <c r="DG15" s="25" t="e">
        <v>#NAME?</v>
      </c>
      <c r="DH15" s="25" t="e">
        <v>#NAME?</v>
      </c>
      <c r="DI15" s="25" t="e">
        <v>#NAME?</v>
      </c>
      <c r="DJ15" s="25" t="e">
        <v>#NAME?</v>
      </c>
      <c r="DK15" s="25" t="e">
        <v>#NAME?</v>
      </c>
      <c r="DL15" s="25" t="e">
        <v>#NAME?</v>
      </c>
      <c r="DM15" s="25" t="e">
        <v>#NAME?</v>
      </c>
      <c r="DN15" s="25" t="e">
        <v>#NAME?</v>
      </c>
      <c r="DO15" s="25" t="e">
        <v>#NAME?</v>
      </c>
      <c r="DP15" s="25" t="e">
        <v>#NAME?</v>
      </c>
      <c r="DQ15" s="25" t="e">
        <v>#NAME?</v>
      </c>
      <c r="DR15" s="25" t="e">
        <v>#NAME?</v>
      </c>
      <c r="DS15" s="25" t="e">
        <v>#NAME?</v>
      </c>
      <c r="DT15" s="25" t="e">
        <v>#NAME?</v>
      </c>
      <c r="DU15" s="25" t="e">
        <v>#NAME?</v>
      </c>
      <c r="DV15" s="25" t="e">
        <v>#NAME?</v>
      </c>
      <c r="DW15" s="25" t="e">
        <v>#NAME?</v>
      </c>
      <c r="DX15" s="25" t="e">
        <v>#NAME?</v>
      </c>
      <c r="DY15" s="25" t="e">
        <v>#NAME?</v>
      </c>
      <c r="DZ15" s="25" t="e">
        <v>#NAME?</v>
      </c>
      <c r="EA15" s="25" t="e">
        <v>#NAME?</v>
      </c>
      <c r="EB15" s="25" t="e">
        <v>#NAME?</v>
      </c>
      <c r="EC15" s="25" t="e">
        <v>#NAME?</v>
      </c>
      <c r="EE15" s="42" t="s">
        <v>96</v>
      </c>
      <c r="EF15" s="25">
        <v>0</v>
      </c>
      <c r="EG15" s="25">
        <v>0</v>
      </c>
      <c r="EH15" s="25">
        <v>0</v>
      </c>
      <c r="EI15" s="25">
        <v>0</v>
      </c>
      <c r="EJ15" s="25">
        <v>0</v>
      </c>
      <c r="EM15" s="37"/>
    </row>
    <row r="16" spans="1:233">
      <c r="A16" t="s">
        <v>140</v>
      </c>
      <c r="B16">
        <v>0</v>
      </c>
      <c r="D16" s="54" t="s">
        <v>97</v>
      </c>
      <c r="E16" s="55" t="e">
        <v>#VALUE!</v>
      </c>
      <c r="F16" s="55" t="e">
        <v>#VALUE!</v>
      </c>
      <c r="G16" s="55" t="e">
        <v>#VALUE!</v>
      </c>
      <c r="H16" s="55" t="e">
        <v>#VALUE!</v>
      </c>
      <c r="I16" s="55" t="e">
        <v>#VALUE!</v>
      </c>
      <c r="J16" s="55" t="e">
        <v>#VALUE!</v>
      </c>
      <c r="K16" s="55" t="e">
        <v>#VALUE!</v>
      </c>
      <c r="L16" s="55" t="e">
        <v>#VALUE!</v>
      </c>
      <c r="M16" s="55" t="e">
        <v>#VALUE!</v>
      </c>
      <c r="N16" s="55" t="e">
        <v>#VALUE!</v>
      </c>
      <c r="O16" s="55" t="e">
        <v>#VALUE!</v>
      </c>
      <c r="P16" s="55" t="e">
        <v>#VALUE!</v>
      </c>
      <c r="Q16" s="55" t="e">
        <v>#VALUE!</v>
      </c>
      <c r="R16" s="55" t="e">
        <v>#VALUE!</v>
      </c>
      <c r="S16" s="55" t="e">
        <v>#VALUE!</v>
      </c>
      <c r="T16" s="55" t="e">
        <v>#VALUE!</v>
      </c>
      <c r="U16" s="55" t="e">
        <v>#VALUE!</v>
      </c>
      <c r="V16" s="55" t="e">
        <v>#VALUE!</v>
      </c>
      <c r="W16" s="55" t="e">
        <v>#VALUE!</v>
      </c>
      <c r="X16" s="55" t="e">
        <v>#VALUE!</v>
      </c>
      <c r="Y16" s="55" t="e">
        <v>#VALUE!</v>
      </c>
      <c r="Z16" s="55" t="e">
        <v>#VALUE!</v>
      </c>
      <c r="AA16" s="55" t="e">
        <v>#VALUE!</v>
      </c>
      <c r="AB16" s="55" t="e">
        <v>#VALUE!</v>
      </c>
      <c r="AC16" s="55" t="e">
        <v>#VALUE!</v>
      </c>
      <c r="AD16" s="55" t="e">
        <v>#VALUE!</v>
      </c>
      <c r="AE16" s="55" t="e">
        <v>#VALUE!</v>
      </c>
      <c r="AF16" s="55" t="e">
        <v>#VALUE!</v>
      </c>
      <c r="AG16" s="55" t="e">
        <v>#VALUE!</v>
      </c>
      <c r="AH16" s="55" t="e">
        <v>#VALUE!</v>
      </c>
      <c r="AI16" s="55" t="e">
        <v>#VALUE!</v>
      </c>
      <c r="AJ16" s="55" t="e">
        <v>#VALUE!</v>
      </c>
      <c r="AK16" s="55" t="e">
        <v>#VALUE!</v>
      </c>
      <c r="AL16" s="55" t="e">
        <v>#VALUE!</v>
      </c>
      <c r="AM16" s="55" t="e">
        <v>#VALUE!</v>
      </c>
      <c r="AN16" s="55" t="e">
        <v>#VALUE!</v>
      </c>
      <c r="AP16" s="54" t="s">
        <v>97</v>
      </c>
      <c r="AQ16" s="55">
        <v>0</v>
      </c>
      <c r="AR16" s="55">
        <v>0</v>
      </c>
      <c r="AS16" s="55">
        <v>0</v>
      </c>
      <c r="AT16" s="55">
        <v>0</v>
      </c>
      <c r="AU16" s="55">
        <v>0</v>
      </c>
      <c r="AW16">
        <v>0</v>
      </c>
      <c r="AX16" s="53" t="s">
        <v>98</v>
      </c>
      <c r="AY16" s="25" t="e">
        <v>#NAME?</v>
      </c>
      <c r="AZ16" s="25" t="e">
        <v>#NAME?</v>
      </c>
      <c r="BA16" s="25" t="e">
        <v>#NAME?</v>
      </c>
      <c r="BB16" s="25" t="e">
        <v>#NAME?</v>
      </c>
      <c r="BC16" s="25" t="e">
        <v>#NAME?</v>
      </c>
      <c r="BD16" s="25" t="e">
        <v>#NAME?</v>
      </c>
      <c r="BE16" s="25" t="e">
        <v>#NAME?</v>
      </c>
      <c r="BF16" s="25" t="e">
        <v>#NAME?</v>
      </c>
      <c r="BG16" s="25" t="e">
        <v>#NAME?</v>
      </c>
      <c r="BH16" s="25" t="e">
        <v>#NAME?</v>
      </c>
      <c r="BI16" s="25" t="e">
        <v>#NAME?</v>
      </c>
      <c r="BJ16" s="25" t="e">
        <v>#NAME?</v>
      </c>
      <c r="BK16" s="25" t="e">
        <v>#NAME?</v>
      </c>
      <c r="BL16" s="25" t="e">
        <v>#NAME?</v>
      </c>
      <c r="BM16" s="25" t="e">
        <v>#NAME?</v>
      </c>
      <c r="BN16" s="25" t="e">
        <v>#NAME?</v>
      </c>
      <c r="BO16" s="25" t="e">
        <v>#NAME?</v>
      </c>
      <c r="BP16" s="25" t="e">
        <v>#NAME?</v>
      </c>
      <c r="BQ16" s="25" t="e">
        <v>#NAME?</v>
      </c>
      <c r="BR16" s="25" t="e">
        <v>#NAME?</v>
      </c>
      <c r="BS16" s="25" t="e">
        <v>#NAME?</v>
      </c>
      <c r="BT16" s="25" t="e">
        <v>#NAME?</v>
      </c>
      <c r="BU16" s="25" t="e">
        <v>#NAME?</v>
      </c>
      <c r="BV16" s="25" t="e">
        <v>#NAME?</v>
      </c>
      <c r="BW16" s="25" t="e">
        <v>#NAME?</v>
      </c>
      <c r="BX16" s="25" t="e">
        <v>#NAME?</v>
      </c>
      <c r="BY16" s="25" t="e">
        <v>#NAME?</v>
      </c>
      <c r="BZ16" s="25" t="e">
        <v>#NAME?</v>
      </c>
      <c r="CA16" s="25" t="e">
        <v>#NAME?</v>
      </c>
      <c r="CB16" s="25" t="e">
        <v>#NAME?</v>
      </c>
      <c r="CC16" s="25" t="e">
        <v>#NAME?</v>
      </c>
      <c r="CD16" s="25" t="e">
        <v>#NAME?</v>
      </c>
      <c r="CE16" s="25" t="e">
        <v>#NAME?</v>
      </c>
      <c r="CF16" s="25" t="e">
        <v>#NAME?</v>
      </c>
      <c r="CG16" s="25" t="e">
        <v>#NAME?</v>
      </c>
      <c r="CH16" s="25" t="e">
        <v>#NAME?</v>
      </c>
      <c r="CK16" s="53" t="s">
        <v>98</v>
      </c>
      <c r="CL16" s="25">
        <v>0</v>
      </c>
      <c r="CM16" s="25">
        <v>0</v>
      </c>
      <c r="CN16" s="25">
        <v>0</v>
      </c>
      <c r="CO16" s="25">
        <v>0</v>
      </c>
      <c r="CP16" s="25">
        <v>0</v>
      </c>
      <c r="CS16" s="42" t="s">
        <v>30</v>
      </c>
      <c r="CT16" s="25" t="e">
        <v>#NAME?</v>
      </c>
      <c r="CU16" s="25" t="e">
        <v>#NAME?</v>
      </c>
      <c r="CV16" s="25" t="e">
        <v>#NAME?</v>
      </c>
      <c r="CW16" s="25" t="e">
        <v>#NAME?</v>
      </c>
      <c r="CX16" s="25" t="e">
        <v>#NAME?</v>
      </c>
      <c r="CY16" s="25" t="e">
        <v>#NAME?</v>
      </c>
      <c r="CZ16" s="25" t="e">
        <v>#NAME?</v>
      </c>
      <c r="DA16" s="25" t="e">
        <v>#NAME?</v>
      </c>
      <c r="DB16" s="25" t="e">
        <v>#NAME?</v>
      </c>
      <c r="DC16" s="25" t="e">
        <v>#NAME?</v>
      </c>
      <c r="DD16" s="25" t="e">
        <v>#NAME?</v>
      </c>
      <c r="DE16" s="25" t="e">
        <v>#NAME?</v>
      </c>
      <c r="DF16" s="25" t="e">
        <v>#NAME?</v>
      </c>
      <c r="DG16" s="25" t="e">
        <v>#NAME?</v>
      </c>
      <c r="DH16" s="25" t="e">
        <v>#NAME?</v>
      </c>
      <c r="DI16" s="25" t="e">
        <v>#NAME?</v>
      </c>
      <c r="DJ16" s="25" t="e">
        <v>#NAME?</v>
      </c>
      <c r="DK16" s="25" t="e">
        <v>#NAME?</v>
      </c>
      <c r="DL16" s="25" t="e">
        <v>#NAME?</v>
      </c>
      <c r="DM16" s="25" t="e">
        <v>#NAME?</v>
      </c>
      <c r="DN16" s="25" t="e">
        <v>#NAME?</v>
      </c>
      <c r="DO16" s="25" t="e">
        <v>#NAME?</v>
      </c>
      <c r="DP16" s="25" t="e">
        <v>#NAME?</v>
      </c>
      <c r="DQ16" s="25" t="e">
        <v>#NAME?</v>
      </c>
      <c r="DR16" s="25" t="e">
        <v>#NAME?</v>
      </c>
      <c r="DS16" s="25" t="e">
        <v>#NAME?</v>
      </c>
      <c r="DT16" s="25" t="e">
        <v>#NAME?</v>
      </c>
      <c r="DU16" s="25" t="e">
        <v>#NAME?</v>
      </c>
      <c r="DV16" s="25" t="e">
        <v>#NAME?</v>
      </c>
      <c r="DW16" s="25" t="e">
        <v>#NAME?</v>
      </c>
      <c r="DX16" s="25" t="e">
        <v>#NAME?</v>
      </c>
      <c r="DY16" s="25" t="e">
        <v>#NAME?</v>
      </c>
      <c r="DZ16" s="25" t="e">
        <v>#NAME?</v>
      </c>
      <c r="EA16" s="25" t="e">
        <v>#NAME?</v>
      </c>
      <c r="EB16" s="25" t="e">
        <v>#NAME?</v>
      </c>
      <c r="EC16" s="25" t="e">
        <v>#NAME?</v>
      </c>
      <c r="EE16" s="42" t="s">
        <v>30</v>
      </c>
      <c r="EF16" s="25">
        <v>0</v>
      </c>
      <c r="EG16" s="25">
        <v>0</v>
      </c>
      <c r="EH16" s="25">
        <v>0</v>
      </c>
      <c r="EI16" s="25">
        <v>0</v>
      </c>
      <c r="EJ16" s="25">
        <v>0</v>
      </c>
      <c r="EM16" s="37"/>
    </row>
    <row r="17" spans="1:190">
      <c r="A17" t="s">
        <v>140</v>
      </c>
      <c r="B17">
        <v>0</v>
      </c>
      <c r="D17" s="56"/>
      <c r="E17" s="57"/>
      <c r="F17" s="57"/>
      <c r="G17" s="57"/>
      <c r="H17" s="57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P17" s="56"/>
      <c r="AQ17" s="57"/>
      <c r="AR17" s="57"/>
      <c r="AS17" s="57"/>
      <c r="AT17" s="57"/>
      <c r="AU17" s="57"/>
      <c r="AW17">
        <v>0</v>
      </c>
      <c r="AX17" s="45" t="s">
        <v>99</v>
      </c>
      <c r="AY17" s="46" t="e">
        <v>#NAME?</v>
      </c>
      <c r="AZ17" s="46" t="e">
        <v>#NAME?</v>
      </c>
      <c r="BA17" s="46" t="e">
        <v>#NAME?</v>
      </c>
      <c r="BB17" s="46" t="e">
        <v>#NAME?</v>
      </c>
      <c r="BC17" s="46" t="e">
        <v>#NAME?</v>
      </c>
      <c r="BD17" s="46" t="e">
        <v>#NAME?</v>
      </c>
      <c r="BE17" s="46" t="e">
        <v>#NAME?</v>
      </c>
      <c r="BF17" s="46" t="e">
        <v>#NAME?</v>
      </c>
      <c r="BG17" s="46" t="e">
        <v>#NAME?</v>
      </c>
      <c r="BH17" s="46" t="e">
        <v>#NAME?</v>
      </c>
      <c r="BI17" s="46" t="e">
        <v>#NAME?</v>
      </c>
      <c r="BJ17" s="46" t="e">
        <v>#NAME?</v>
      </c>
      <c r="BK17" s="46" t="e">
        <v>#NAME?</v>
      </c>
      <c r="BL17" s="46" t="e">
        <v>#NAME?</v>
      </c>
      <c r="BM17" s="46" t="e">
        <v>#NAME?</v>
      </c>
      <c r="BN17" s="46" t="e">
        <v>#NAME?</v>
      </c>
      <c r="BO17" s="46" t="e">
        <v>#NAME?</v>
      </c>
      <c r="BP17" s="46" t="e">
        <v>#NAME?</v>
      </c>
      <c r="BQ17" s="46" t="e">
        <v>#NAME?</v>
      </c>
      <c r="BR17" s="46" t="e">
        <v>#NAME?</v>
      </c>
      <c r="BS17" s="46" t="e">
        <v>#NAME?</v>
      </c>
      <c r="BT17" s="46" t="e">
        <v>#NAME?</v>
      </c>
      <c r="BU17" s="46" t="e">
        <v>#NAME?</v>
      </c>
      <c r="BV17" s="46" t="e">
        <v>#NAME?</v>
      </c>
      <c r="BW17" s="46" t="e">
        <v>#NAME?</v>
      </c>
      <c r="BX17" s="46" t="e">
        <v>#NAME?</v>
      </c>
      <c r="BY17" s="46" t="e">
        <v>#NAME?</v>
      </c>
      <c r="BZ17" s="46" t="e">
        <v>#NAME?</v>
      </c>
      <c r="CA17" s="46" t="e">
        <v>#NAME?</v>
      </c>
      <c r="CB17" s="46" t="e">
        <v>#NAME?</v>
      </c>
      <c r="CC17" s="46" t="e">
        <v>#NAME?</v>
      </c>
      <c r="CD17" s="46" t="e">
        <v>#NAME?</v>
      </c>
      <c r="CE17" s="46" t="e">
        <v>#NAME?</v>
      </c>
      <c r="CF17" s="46" t="e">
        <v>#NAME?</v>
      </c>
      <c r="CG17" s="46" t="e">
        <v>#NAME?</v>
      </c>
      <c r="CH17" s="46" t="e">
        <v>#NAME?</v>
      </c>
      <c r="CK17" s="45" t="s">
        <v>99</v>
      </c>
      <c r="CL17" s="46">
        <v>0</v>
      </c>
      <c r="CM17" s="46">
        <v>0</v>
      </c>
      <c r="CN17" s="46">
        <v>0</v>
      </c>
      <c r="CO17" s="46">
        <v>0</v>
      </c>
      <c r="CP17" s="46">
        <v>0</v>
      </c>
      <c r="CS17" s="42" t="s">
        <v>47</v>
      </c>
      <c r="CT17" s="25" t="e">
        <v>#NAME?</v>
      </c>
      <c r="CU17" s="25" t="e">
        <v>#NAME?</v>
      </c>
      <c r="CV17" s="25" t="e">
        <v>#NAME?</v>
      </c>
      <c r="CW17" s="25" t="e">
        <v>#NAME?</v>
      </c>
      <c r="CX17" s="25" t="e">
        <v>#NAME?</v>
      </c>
      <c r="CY17" s="25" t="e">
        <v>#NAME?</v>
      </c>
      <c r="CZ17" s="25" t="e">
        <v>#NAME?</v>
      </c>
      <c r="DA17" s="25" t="e">
        <v>#NAME?</v>
      </c>
      <c r="DB17" s="25" t="e">
        <v>#NAME?</v>
      </c>
      <c r="DC17" s="25" t="e">
        <v>#NAME?</v>
      </c>
      <c r="DD17" s="25" t="e">
        <v>#NAME?</v>
      </c>
      <c r="DE17" s="25" t="e">
        <v>#NAME?</v>
      </c>
      <c r="DF17" s="25" t="e">
        <v>#NAME?</v>
      </c>
      <c r="DG17" s="25" t="e">
        <v>#NAME?</v>
      </c>
      <c r="DH17" s="25" t="e">
        <v>#NAME?</v>
      </c>
      <c r="DI17" s="25" t="e">
        <v>#NAME?</v>
      </c>
      <c r="DJ17" s="25" t="e">
        <v>#NAME?</v>
      </c>
      <c r="DK17" s="25" t="e">
        <v>#NAME?</v>
      </c>
      <c r="DL17" s="25" t="e">
        <v>#NAME?</v>
      </c>
      <c r="DM17" s="25" t="e">
        <v>#NAME?</v>
      </c>
      <c r="DN17" s="25" t="e">
        <v>#NAME?</v>
      </c>
      <c r="DO17" s="25" t="e">
        <v>#NAME?</v>
      </c>
      <c r="DP17" s="25" t="e">
        <v>#NAME?</v>
      </c>
      <c r="DQ17" s="25" t="e">
        <v>#NAME?</v>
      </c>
      <c r="DR17" s="25" t="e">
        <v>#NAME?</v>
      </c>
      <c r="DS17" s="25" t="e">
        <v>#NAME?</v>
      </c>
      <c r="DT17" s="25" t="e">
        <v>#NAME?</v>
      </c>
      <c r="DU17" s="25" t="e">
        <v>#NAME?</v>
      </c>
      <c r="DV17" s="25" t="e">
        <v>#NAME?</v>
      </c>
      <c r="DW17" s="25" t="e">
        <v>#NAME?</v>
      </c>
      <c r="DX17" s="25" t="e">
        <v>#NAME?</v>
      </c>
      <c r="DY17" s="25" t="e">
        <v>#NAME?</v>
      </c>
      <c r="DZ17" s="25" t="e">
        <v>#NAME?</v>
      </c>
      <c r="EA17" s="25" t="e">
        <v>#NAME?</v>
      </c>
      <c r="EB17" s="25" t="e">
        <v>#NAME?</v>
      </c>
      <c r="EC17" s="25" t="e">
        <v>#NAME?</v>
      </c>
      <c r="EE17" s="42" t="s">
        <v>47</v>
      </c>
      <c r="EF17" s="25">
        <v>0</v>
      </c>
      <c r="EG17" s="25">
        <v>0</v>
      </c>
      <c r="EH17" s="25">
        <v>0</v>
      </c>
      <c r="EI17" s="25">
        <v>0</v>
      </c>
      <c r="EJ17" s="25">
        <v>0</v>
      </c>
      <c r="EM17" s="37"/>
      <c r="GH17" t="e">
        <v>#NAME?</v>
      </c>
    </row>
    <row r="18" spans="1:190">
      <c r="A18" t="s">
        <v>140</v>
      </c>
      <c r="B18">
        <v>0</v>
      </c>
      <c r="D18" s="58" t="s">
        <v>100</v>
      </c>
      <c r="E18" s="57"/>
      <c r="F18" s="57"/>
      <c r="G18" s="57"/>
      <c r="H18" s="57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P18" s="58" t="s">
        <v>100</v>
      </c>
      <c r="AQ18" s="57"/>
      <c r="AR18" s="57"/>
      <c r="AS18" s="57"/>
      <c r="AT18" s="57"/>
      <c r="AU18" s="57"/>
      <c r="AW18" t="s">
        <v>86</v>
      </c>
      <c r="AX18" s="47" t="s">
        <v>101</v>
      </c>
      <c r="AY18" s="48" t="s">
        <v>86</v>
      </c>
      <c r="AZ18" s="48" t="s">
        <v>86</v>
      </c>
      <c r="BA18" s="48" t="s">
        <v>86</v>
      </c>
      <c r="BB18" s="48" t="s">
        <v>86</v>
      </c>
      <c r="BC18" s="48" t="s">
        <v>86</v>
      </c>
      <c r="BD18" s="48" t="s">
        <v>86</v>
      </c>
      <c r="BE18" s="48" t="s">
        <v>86</v>
      </c>
      <c r="BF18" s="48" t="s">
        <v>86</v>
      </c>
      <c r="BG18" s="48" t="s">
        <v>86</v>
      </c>
      <c r="BH18" s="48" t="s">
        <v>86</v>
      </c>
      <c r="BI18" s="48" t="s">
        <v>86</v>
      </c>
      <c r="BJ18" s="48" t="s">
        <v>86</v>
      </c>
      <c r="BK18" s="48" t="s">
        <v>86</v>
      </c>
      <c r="BL18" s="48" t="s">
        <v>86</v>
      </c>
      <c r="BM18" s="48" t="s">
        <v>86</v>
      </c>
      <c r="BN18" s="48" t="s">
        <v>86</v>
      </c>
      <c r="BO18" s="48" t="s">
        <v>86</v>
      </c>
      <c r="BP18" s="48" t="s">
        <v>86</v>
      </c>
      <c r="BQ18" s="48" t="s">
        <v>86</v>
      </c>
      <c r="BR18" s="48" t="s">
        <v>86</v>
      </c>
      <c r="BS18" s="48" t="s">
        <v>86</v>
      </c>
      <c r="BT18" s="48" t="s">
        <v>86</v>
      </c>
      <c r="BU18" s="48" t="s">
        <v>86</v>
      </c>
      <c r="BV18" s="48" t="s">
        <v>86</v>
      </c>
      <c r="BW18" s="48" t="s">
        <v>86</v>
      </c>
      <c r="BX18" s="48" t="s">
        <v>86</v>
      </c>
      <c r="BY18" s="48" t="s">
        <v>86</v>
      </c>
      <c r="BZ18" s="48" t="s">
        <v>86</v>
      </c>
      <c r="CA18" s="48" t="s">
        <v>86</v>
      </c>
      <c r="CB18" s="48" t="s">
        <v>86</v>
      </c>
      <c r="CC18" s="48" t="s">
        <v>86</v>
      </c>
      <c r="CD18" s="48" t="s">
        <v>86</v>
      </c>
      <c r="CE18" s="48" t="s">
        <v>86</v>
      </c>
      <c r="CF18" s="48" t="s">
        <v>86</v>
      </c>
      <c r="CG18" s="48" t="s">
        <v>86</v>
      </c>
      <c r="CH18" s="48" t="s">
        <v>86</v>
      </c>
      <c r="CK18" s="47" t="s">
        <v>101</v>
      </c>
      <c r="CL18" s="48" t="s">
        <v>86</v>
      </c>
      <c r="CM18" s="48" t="s">
        <v>86</v>
      </c>
      <c r="CN18" s="48" t="s">
        <v>86</v>
      </c>
      <c r="CO18" s="48" t="s">
        <v>86</v>
      </c>
      <c r="CP18" s="48" t="s">
        <v>86</v>
      </c>
      <c r="CS18" s="42" t="s">
        <v>102</v>
      </c>
      <c r="CT18" s="25" t="e">
        <v>#NAME?</v>
      </c>
      <c r="CU18" s="25" t="e">
        <v>#NAME?</v>
      </c>
      <c r="CV18" s="25" t="e">
        <v>#NAME?</v>
      </c>
      <c r="CW18" s="25" t="e">
        <v>#NAME?</v>
      </c>
      <c r="CX18" s="25" t="e">
        <v>#NAME?</v>
      </c>
      <c r="CY18" s="25" t="e">
        <v>#NAME?</v>
      </c>
      <c r="CZ18" s="25" t="e">
        <v>#NAME?</v>
      </c>
      <c r="DA18" s="25" t="e">
        <v>#NAME?</v>
      </c>
      <c r="DB18" s="25" t="e">
        <v>#NAME?</v>
      </c>
      <c r="DC18" s="25" t="e">
        <v>#NAME?</v>
      </c>
      <c r="DD18" s="25" t="e">
        <v>#NAME?</v>
      </c>
      <c r="DE18" s="25" t="e">
        <v>#NAME?</v>
      </c>
      <c r="DF18" s="25" t="e">
        <v>#NAME?</v>
      </c>
      <c r="DG18" s="25" t="e">
        <v>#NAME?</v>
      </c>
      <c r="DH18" s="25" t="e">
        <v>#NAME?</v>
      </c>
      <c r="DI18" s="25" t="e">
        <v>#NAME?</v>
      </c>
      <c r="DJ18" s="25" t="e">
        <v>#NAME?</v>
      </c>
      <c r="DK18" s="25" t="e">
        <v>#NAME?</v>
      </c>
      <c r="DL18" s="25" t="e">
        <v>#NAME?</v>
      </c>
      <c r="DM18" s="25" t="e">
        <v>#NAME?</v>
      </c>
      <c r="DN18" s="25" t="e">
        <v>#NAME?</v>
      </c>
      <c r="DO18" s="25" t="e">
        <v>#NAME?</v>
      </c>
      <c r="DP18" s="25" t="e">
        <v>#NAME?</v>
      </c>
      <c r="DQ18" s="25" t="e">
        <v>#NAME?</v>
      </c>
      <c r="DR18" s="25" t="e">
        <v>#NAME?</v>
      </c>
      <c r="DS18" s="25" t="e">
        <v>#NAME?</v>
      </c>
      <c r="DT18" s="25" t="e">
        <v>#NAME?</v>
      </c>
      <c r="DU18" s="25" t="e">
        <v>#NAME?</v>
      </c>
      <c r="DV18" s="25" t="e">
        <v>#NAME?</v>
      </c>
      <c r="DW18" s="25" t="e">
        <v>#NAME?</v>
      </c>
      <c r="DX18" s="25" t="e">
        <v>#NAME?</v>
      </c>
      <c r="DY18" s="25" t="e">
        <v>#NAME?</v>
      </c>
      <c r="DZ18" s="25" t="e">
        <v>#NAME?</v>
      </c>
      <c r="EA18" s="25" t="e">
        <v>#NAME?</v>
      </c>
      <c r="EB18" s="25" t="e">
        <v>#NAME?</v>
      </c>
      <c r="EC18" s="25" t="e">
        <v>#NAME?</v>
      </c>
      <c r="EE18" s="42" t="s">
        <v>102</v>
      </c>
      <c r="EF18" s="25">
        <v>0</v>
      </c>
      <c r="EG18" s="25">
        <v>0</v>
      </c>
      <c r="EH18" s="25">
        <v>0</v>
      </c>
      <c r="EI18" s="25">
        <v>0</v>
      </c>
      <c r="EJ18" s="25">
        <v>0</v>
      </c>
      <c r="EM18" s="37"/>
    </row>
    <row r="19" spans="1:190">
      <c r="A19" t="s">
        <v>140</v>
      </c>
      <c r="B19">
        <v>0</v>
      </c>
      <c r="D19" s="35" t="s">
        <v>103</v>
      </c>
      <c r="E19" s="25" t="e">
        <v>#VALUE!</v>
      </c>
      <c r="F19" s="25" t="e">
        <v>#VALUE!</v>
      </c>
      <c r="G19" s="25" t="e">
        <v>#VALUE!</v>
      </c>
      <c r="H19" s="25" t="e">
        <v>#VALUE!</v>
      </c>
      <c r="I19" s="25" t="e">
        <v>#VALUE!</v>
      </c>
      <c r="J19" s="25" t="e">
        <v>#VALUE!</v>
      </c>
      <c r="K19" s="25" t="e">
        <v>#VALUE!</v>
      </c>
      <c r="L19" s="25" t="e">
        <v>#VALUE!</v>
      </c>
      <c r="M19" s="25" t="e">
        <v>#VALUE!</v>
      </c>
      <c r="N19" s="25" t="e">
        <v>#VALUE!</v>
      </c>
      <c r="O19" s="25" t="e">
        <v>#VALUE!</v>
      </c>
      <c r="P19" s="25" t="e">
        <v>#VALUE!</v>
      </c>
      <c r="Q19" s="25" t="e">
        <v>#VALUE!</v>
      </c>
      <c r="R19" s="25" t="e">
        <v>#VALUE!</v>
      </c>
      <c r="S19" s="25" t="e">
        <v>#VALUE!</v>
      </c>
      <c r="T19" s="25" t="e">
        <v>#VALUE!</v>
      </c>
      <c r="U19" s="25" t="e">
        <v>#VALUE!</v>
      </c>
      <c r="V19" s="25" t="e">
        <v>#VALUE!</v>
      </c>
      <c r="W19" s="25" t="e">
        <v>#VALUE!</v>
      </c>
      <c r="X19" s="25" t="e">
        <v>#VALUE!</v>
      </c>
      <c r="Y19" s="25" t="e">
        <v>#VALUE!</v>
      </c>
      <c r="Z19" s="25" t="e">
        <v>#VALUE!</v>
      </c>
      <c r="AA19" s="25" t="e">
        <v>#VALUE!</v>
      </c>
      <c r="AB19" s="25" t="e">
        <v>#VALUE!</v>
      </c>
      <c r="AC19" s="25" t="e">
        <v>#VALUE!</v>
      </c>
      <c r="AD19" s="25" t="e">
        <v>#VALUE!</v>
      </c>
      <c r="AE19" s="25" t="e">
        <v>#VALUE!</v>
      </c>
      <c r="AF19" s="25" t="e">
        <v>#VALUE!</v>
      </c>
      <c r="AG19" s="25" t="e">
        <v>#VALUE!</v>
      </c>
      <c r="AH19" s="25" t="e">
        <v>#VALUE!</v>
      </c>
      <c r="AI19" s="25" t="e">
        <v>#VALUE!</v>
      </c>
      <c r="AJ19" s="25" t="e">
        <v>#VALUE!</v>
      </c>
      <c r="AK19" s="25" t="e">
        <v>#VALUE!</v>
      </c>
      <c r="AL19" s="25" t="e">
        <v>#VALUE!</v>
      </c>
      <c r="AM19" s="25" t="e">
        <v>#VALUE!</v>
      </c>
      <c r="AN19" s="25" t="e">
        <v>#VALUE!</v>
      </c>
      <c r="AP19" s="35" t="s">
        <v>103</v>
      </c>
      <c r="AQ19" s="25">
        <v>0</v>
      </c>
      <c r="AR19" s="25">
        <v>0</v>
      </c>
      <c r="AS19" s="25">
        <v>0</v>
      </c>
      <c r="AT19" s="25">
        <v>0</v>
      </c>
      <c r="AU19" s="25">
        <v>0</v>
      </c>
      <c r="AX19" s="59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K19" s="59"/>
      <c r="CL19" s="51"/>
      <c r="CM19" s="51"/>
      <c r="CN19" s="51"/>
      <c r="CO19" s="51"/>
      <c r="CP19" s="51"/>
      <c r="CS19" s="60" t="s">
        <v>104</v>
      </c>
      <c r="CT19" s="51">
        <v>0</v>
      </c>
      <c r="CU19" s="51">
        <v>0</v>
      </c>
      <c r="CV19" s="51">
        <v>0</v>
      </c>
      <c r="CW19" s="51">
        <v>0</v>
      </c>
      <c r="CX19" s="51">
        <v>0</v>
      </c>
      <c r="CY19" s="51">
        <v>0</v>
      </c>
      <c r="CZ19" s="51">
        <v>0</v>
      </c>
      <c r="DA19" s="51">
        <v>0</v>
      </c>
      <c r="DB19" s="51">
        <v>0</v>
      </c>
      <c r="DC19" s="51">
        <v>0</v>
      </c>
      <c r="DD19" s="51">
        <v>0</v>
      </c>
      <c r="DE19" s="51">
        <v>0</v>
      </c>
      <c r="DF19" s="51">
        <v>0</v>
      </c>
      <c r="DG19" s="51">
        <v>0</v>
      </c>
      <c r="DH19" s="51">
        <v>0</v>
      </c>
      <c r="DI19" s="51">
        <v>0</v>
      </c>
      <c r="DJ19" s="51">
        <v>0</v>
      </c>
      <c r="DK19" s="51">
        <v>0</v>
      </c>
      <c r="DL19" s="51">
        <v>0</v>
      </c>
      <c r="DM19" s="51">
        <v>0</v>
      </c>
      <c r="DN19" s="51">
        <v>0</v>
      </c>
      <c r="DO19" s="51">
        <v>0</v>
      </c>
      <c r="DP19" s="51">
        <v>0</v>
      </c>
      <c r="DQ19" s="51">
        <v>0</v>
      </c>
      <c r="DR19" s="51">
        <v>0</v>
      </c>
      <c r="DS19" s="51">
        <v>0</v>
      </c>
      <c r="DT19" s="51">
        <v>0</v>
      </c>
      <c r="DU19" s="51">
        <v>0</v>
      </c>
      <c r="DV19" s="51">
        <v>0</v>
      </c>
      <c r="DW19" s="51">
        <v>0</v>
      </c>
      <c r="DX19" s="51">
        <v>0</v>
      </c>
      <c r="DY19" s="51">
        <v>0</v>
      </c>
      <c r="DZ19" s="51">
        <v>0</v>
      </c>
      <c r="EA19" s="51">
        <v>0</v>
      </c>
      <c r="EB19" s="51">
        <v>0</v>
      </c>
      <c r="EC19" s="51">
        <v>0</v>
      </c>
      <c r="EE19" s="60" t="s">
        <v>104</v>
      </c>
      <c r="EF19" s="25">
        <v>0</v>
      </c>
      <c r="EG19" s="25">
        <v>0</v>
      </c>
      <c r="EH19" s="25">
        <v>0</v>
      </c>
      <c r="EI19" s="25">
        <v>0</v>
      </c>
      <c r="EJ19" s="25">
        <v>0</v>
      </c>
      <c r="EM19" s="37"/>
    </row>
    <row r="20" spans="1:190" ht="15.75" thickBot="1">
      <c r="A20" t="s">
        <v>140</v>
      </c>
      <c r="B20">
        <v>0</v>
      </c>
      <c r="D20" s="56" t="s">
        <v>105</v>
      </c>
      <c r="E20" s="25" t="e">
        <v>#VALUE!</v>
      </c>
      <c r="F20" s="25" t="e">
        <v>#VALUE!</v>
      </c>
      <c r="G20" s="25" t="e">
        <v>#VALUE!</v>
      </c>
      <c r="H20" s="25" t="e">
        <v>#VALUE!</v>
      </c>
      <c r="I20" s="25" t="e">
        <v>#VALUE!</v>
      </c>
      <c r="J20" s="25" t="e">
        <v>#VALUE!</v>
      </c>
      <c r="K20" s="25" t="e">
        <v>#VALUE!</v>
      </c>
      <c r="L20" s="25" t="e">
        <v>#VALUE!</v>
      </c>
      <c r="M20" s="25" t="e">
        <v>#VALUE!</v>
      </c>
      <c r="N20" s="25" t="e">
        <v>#VALUE!</v>
      </c>
      <c r="O20" s="25" t="e">
        <v>#VALUE!</v>
      </c>
      <c r="P20" s="25" t="e">
        <v>#VALUE!</v>
      </c>
      <c r="Q20" s="25" t="e">
        <v>#VALUE!</v>
      </c>
      <c r="R20" s="25" t="e">
        <v>#VALUE!</v>
      </c>
      <c r="S20" s="25" t="e">
        <v>#VALUE!</v>
      </c>
      <c r="T20" s="25" t="e">
        <v>#VALUE!</v>
      </c>
      <c r="U20" s="25" t="e">
        <v>#VALUE!</v>
      </c>
      <c r="V20" s="25" t="e">
        <v>#VALUE!</v>
      </c>
      <c r="W20" s="25" t="e">
        <v>#VALUE!</v>
      </c>
      <c r="X20" s="25" t="e">
        <v>#VALUE!</v>
      </c>
      <c r="Y20" s="25" t="e">
        <v>#VALUE!</v>
      </c>
      <c r="Z20" s="25" t="e">
        <v>#VALUE!</v>
      </c>
      <c r="AA20" s="25" t="e">
        <v>#VALUE!</v>
      </c>
      <c r="AB20" s="25" t="e">
        <v>#VALUE!</v>
      </c>
      <c r="AC20" s="25" t="e">
        <v>#VALUE!</v>
      </c>
      <c r="AD20" s="25" t="e">
        <v>#VALUE!</v>
      </c>
      <c r="AE20" s="25" t="e">
        <v>#VALUE!</v>
      </c>
      <c r="AF20" s="25" t="e">
        <v>#VALUE!</v>
      </c>
      <c r="AG20" s="25" t="e">
        <v>#VALUE!</v>
      </c>
      <c r="AH20" s="25" t="e">
        <v>#VALUE!</v>
      </c>
      <c r="AI20" s="25" t="e">
        <v>#VALUE!</v>
      </c>
      <c r="AJ20" s="25" t="e">
        <v>#VALUE!</v>
      </c>
      <c r="AK20" s="25" t="e">
        <v>#VALUE!</v>
      </c>
      <c r="AL20" s="25" t="e">
        <v>#VALUE!</v>
      </c>
      <c r="AM20" s="25" t="e">
        <v>#VALUE!</v>
      </c>
      <c r="AN20" s="25" t="e">
        <v>#VALUE!</v>
      </c>
      <c r="AP20" s="56" t="s">
        <v>105</v>
      </c>
      <c r="AQ20" s="25">
        <v>0</v>
      </c>
      <c r="AR20" s="25">
        <v>0</v>
      </c>
      <c r="AS20" s="25">
        <v>0</v>
      </c>
      <c r="AT20" s="25">
        <v>0</v>
      </c>
      <c r="AU20" s="25">
        <v>0</v>
      </c>
      <c r="AW20">
        <v>0</v>
      </c>
      <c r="AX20" s="61" t="s">
        <v>106</v>
      </c>
      <c r="AY20" s="25" t="e">
        <v>#NAME?</v>
      </c>
      <c r="AZ20" s="25" t="e">
        <v>#NAME?</v>
      </c>
      <c r="BA20" s="25" t="e">
        <v>#NAME?</v>
      </c>
      <c r="BB20" s="25" t="e">
        <v>#NAME?</v>
      </c>
      <c r="BC20" s="25" t="e">
        <v>#NAME?</v>
      </c>
      <c r="BD20" s="25" t="e">
        <v>#NAME?</v>
      </c>
      <c r="BE20" s="25" t="e">
        <v>#NAME?</v>
      </c>
      <c r="BF20" s="25" t="e">
        <v>#NAME?</v>
      </c>
      <c r="BG20" s="25" t="e">
        <v>#NAME?</v>
      </c>
      <c r="BH20" s="25" t="e">
        <v>#NAME?</v>
      </c>
      <c r="BI20" s="25" t="e">
        <v>#NAME?</v>
      </c>
      <c r="BJ20" s="25" t="e">
        <v>#NAME?</v>
      </c>
      <c r="BK20" s="25" t="e">
        <v>#NAME?</v>
      </c>
      <c r="BL20" s="25" t="e">
        <v>#NAME?</v>
      </c>
      <c r="BM20" s="25" t="e">
        <v>#NAME?</v>
      </c>
      <c r="BN20" s="25" t="e">
        <v>#NAME?</v>
      </c>
      <c r="BO20" s="25" t="e">
        <v>#NAME?</v>
      </c>
      <c r="BP20" s="25" t="e">
        <v>#NAME?</v>
      </c>
      <c r="BQ20" s="25" t="e">
        <v>#NAME?</v>
      </c>
      <c r="BR20" s="25" t="e">
        <v>#NAME?</v>
      </c>
      <c r="BS20" s="25" t="e">
        <v>#NAME?</v>
      </c>
      <c r="BT20" s="25" t="e">
        <v>#NAME?</v>
      </c>
      <c r="BU20" s="25" t="e">
        <v>#NAME?</v>
      </c>
      <c r="BV20" s="25" t="e">
        <v>#NAME?</v>
      </c>
      <c r="BW20" s="25" t="e">
        <v>#NAME?</v>
      </c>
      <c r="BX20" s="25" t="e">
        <v>#NAME?</v>
      </c>
      <c r="BY20" s="25" t="e">
        <v>#NAME?</v>
      </c>
      <c r="BZ20" s="25" t="e">
        <v>#NAME?</v>
      </c>
      <c r="CA20" s="25" t="e">
        <v>#NAME?</v>
      </c>
      <c r="CB20" s="25" t="e">
        <v>#NAME?</v>
      </c>
      <c r="CC20" s="25" t="e">
        <v>#NAME?</v>
      </c>
      <c r="CD20" s="25" t="e">
        <v>#NAME?</v>
      </c>
      <c r="CE20" s="25" t="e">
        <v>#NAME?</v>
      </c>
      <c r="CF20" s="25" t="e">
        <v>#NAME?</v>
      </c>
      <c r="CG20" s="25" t="e">
        <v>#NAME?</v>
      </c>
      <c r="CH20" s="25" t="e">
        <v>#NAME?</v>
      </c>
      <c r="CK20" s="61" t="s">
        <v>106</v>
      </c>
      <c r="CL20" s="25">
        <v>0</v>
      </c>
      <c r="CM20" s="25">
        <v>0</v>
      </c>
      <c r="CN20" s="25">
        <v>0</v>
      </c>
      <c r="CO20" s="25">
        <v>0</v>
      </c>
      <c r="CP20" s="25">
        <v>0</v>
      </c>
      <c r="CS20" s="62" t="s">
        <v>107</v>
      </c>
      <c r="CT20" s="63" t="e">
        <v>#NAME?</v>
      </c>
      <c r="CU20" s="63" t="e">
        <v>#NAME?</v>
      </c>
      <c r="CV20" s="63" t="e">
        <v>#NAME?</v>
      </c>
      <c r="CW20" s="63" t="e">
        <v>#NAME?</v>
      </c>
      <c r="CX20" s="63" t="e">
        <v>#NAME?</v>
      </c>
      <c r="CY20" s="63" t="e">
        <v>#NAME?</v>
      </c>
      <c r="CZ20" s="63" t="e">
        <v>#NAME?</v>
      </c>
      <c r="DA20" s="63" t="e">
        <v>#NAME?</v>
      </c>
      <c r="DB20" s="63" t="e">
        <v>#NAME?</v>
      </c>
      <c r="DC20" s="63" t="e">
        <v>#NAME?</v>
      </c>
      <c r="DD20" s="63" t="e">
        <v>#NAME?</v>
      </c>
      <c r="DE20" s="63" t="e">
        <v>#NAME?</v>
      </c>
      <c r="DF20" s="63" t="e">
        <v>#NAME?</v>
      </c>
      <c r="DG20" s="63" t="e">
        <v>#NAME?</v>
      </c>
      <c r="DH20" s="63" t="e">
        <v>#NAME?</v>
      </c>
      <c r="DI20" s="63" t="e">
        <v>#NAME?</v>
      </c>
      <c r="DJ20" s="63" t="e">
        <v>#NAME?</v>
      </c>
      <c r="DK20" s="63" t="e">
        <v>#NAME?</v>
      </c>
      <c r="DL20" s="63" t="e">
        <v>#NAME?</v>
      </c>
      <c r="DM20" s="63" t="e">
        <v>#NAME?</v>
      </c>
      <c r="DN20" s="63" t="e">
        <v>#NAME?</v>
      </c>
      <c r="DO20" s="63" t="e">
        <v>#NAME?</v>
      </c>
      <c r="DP20" s="63" t="e">
        <v>#NAME?</v>
      </c>
      <c r="DQ20" s="63" t="e">
        <v>#NAME?</v>
      </c>
      <c r="DR20" s="63" t="e">
        <v>#NAME?</v>
      </c>
      <c r="DS20" s="63" t="e">
        <v>#NAME?</v>
      </c>
      <c r="DT20" s="63" t="e">
        <v>#NAME?</v>
      </c>
      <c r="DU20" s="63" t="e">
        <v>#NAME?</v>
      </c>
      <c r="DV20" s="63" t="e">
        <v>#NAME?</v>
      </c>
      <c r="DW20" s="63" t="e">
        <v>#NAME?</v>
      </c>
      <c r="DX20" s="63" t="e">
        <v>#NAME?</v>
      </c>
      <c r="DY20" s="63" t="e">
        <v>#NAME?</v>
      </c>
      <c r="DZ20" s="63" t="e">
        <v>#NAME?</v>
      </c>
      <c r="EA20" s="63" t="e">
        <v>#NAME?</v>
      </c>
      <c r="EB20" s="63" t="e">
        <v>#NAME?</v>
      </c>
      <c r="EC20" s="63" t="e">
        <v>#NAME?</v>
      </c>
      <c r="EE20" s="62" t="s">
        <v>107</v>
      </c>
      <c r="EF20" s="63">
        <v>0</v>
      </c>
      <c r="EG20" s="63">
        <v>0</v>
      </c>
      <c r="EH20" s="63">
        <v>0</v>
      </c>
      <c r="EI20" s="63">
        <v>0</v>
      </c>
      <c r="EJ20" s="63">
        <v>0</v>
      </c>
    </row>
    <row r="21" spans="1:190">
      <c r="A21" t="s">
        <v>140</v>
      </c>
      <c r="B21">
        <v>0</v>
      </c>
      <c r="D21" s="40" t="s">
        <v>108</v>
      </c>
      <c r="E21" s="25" t="e">
        <v>#VALUE!</v>
      </c>
      <c r="F21" s="25" t="e">
        <v>#VALUE!</v>
      </c>
      <c r="G21" s="25" t="e">
        <v>#VALUE!</v>
      </c>
      <c r="H21" s="25" t="e">
        <v>#VALUE!</v>
      </c>
      <c r="I21" s="25" t="e">
        <v>#VALUE!</v>
      </c>
      <c r="J21" s="25" t="e">
        <v>#VALUE!</v>
      </c>
      <c r="K21" s="25" t="e">
        <v>#VALUE!</v>
      </c>
      <c r="L21" s="25" t="e">
        <v>#VALUE!</v>
      </c>
      <c r="M21" s="25" t="e">
        <v>#VALUE!</v>
      </c>
      <c r="N21" s="25" t="e">
        <v>#VALUE!</v>
      </c>
      <c r="O21" s="25" t="e">
        <v>#VALUE!</v>
      </c>
      <c r="P21" s="25" t="e">
        <v>#VALUE!</v>
      </c>
      <c r="Q21" s="25" t="e">
        <v>#VALUE!</v>
      </c>
      <c r="R21" s="25" t="e">
        <v>#VALUE!</v>
      </c>
      <c r="S21" s="25" t="e">
        <v>#VALUE!</v>
      </c>
      <c r="T21" s="25" t="e">
        <v>#VALUE!</v>
      </c>
      <c r="U21" s="25" t="e">
        <v>#VALUE!</v>
      </c>
      <c r="V21" s="25" t="e">
        <v>#VALUE!</v>
      </c>
      <c r="W21" s="25" t="e">
        <v>#VALUE!</v>
      </c>
      <c r="X21" s="25" t="e">
        <v>#VALUE!</v>
      </c>
      <c r="Y21" s="25" t="e">
        <v>#VALUE!</v>
      </c>
      <c r="Z21" s="25" t="e">
        <v>#VALUE!</v>
      </c>
      <c r="AA21" s="25" t="e">
        <v>#VALUE!</v>
      </c>
      <c r="AB21" s="25" t="e">
        <v>#VALUE!</v>
      </c>
      <c r="AC21" s="25" t="e">
        <v>#VALUE!</v>
      </c>
      <c r="AD21" s="25" t="e">
        <v>#VALUE!</v>
      </c>
      <c r="AE21" s="25" t="e">
        <v>#VALUE!</v>
      </c>
      <c r="AF21" s="25" t="e">
        <v>#VALUE!</v>
      </c>
      <c r="AG21" s="25" t="e">
        <v>#VALUE!</v>
      </c>
      <c r="AH21" s="25" t="e">
        <v>#VALUE!</v>
      </c>
      <c r="AI21" s="25" t="e">
        <v>#VALUE!</v>
      </c>
      <c r="AJ21" s="25" t="e">
        <v>#VALUE!</v>
      </c>
      <c r="AK21" s="25" t="e">
        <v>#VALUE!</v>
      </c>
      <c r="AL21" s="25" t="e">
        <v>#VALUE!</v>
      </c>
      <c r="AM21" s="25" t="e">
        <v>#VALUE!</v>
      </c>
      <c r="AN21" s="25" t="e">
        <v>#VALUE!</v>
      </c>
      <c r="AP21" s="40" t="s">
        <v>108</v>
      </c>
      <c r="AQ21" s="25">
        <v>0</v>
      </c>
      <c r="AR21" s="25">
        <v>0</v>
      </c>
      <c r="AS21" s="25">
        <v>0</v>
      </c>
      <c r="AT21" s="25">
        <v>0</v>
      </c>
      <c r="AU21" s="25">
        <v>0</v>
      </c>
      <c r="AW21">
        <v>0</v>
      </c>
      <c r="AX21" s="61" t="s">
        <v>109</v>
      </c>
      <c r="AY21" s="25" t="e">
        <v>#NAME?</v>
      </c>
      <c r="AZ21" s="25" t="e">
        <v>#NAME?</v>
      </c>
      <c r="BA21" s="25" t="e">
        <v>#NAME?</v>
      </c>
      <c r="BB21" s="25" t="e">
        <v>#NAME?</v>
      </c>
      <c r="BC21" s="25" t="e">
        <v>#NAME?</v>
      </c>
      <c r="BD21" s="25" t="e">
        <v>#NAME?</v>
      </c>
      <c r="BE21" s="25" t="e">
        <v>#NAME?</v>
      </c>
      <c r="BF21" s="25" t="e">
        <v>#NAME?</v>
      </c>
      <c r="BG21" s="25" t="e">
        <v>#NAME?</v>
      </c>
      <c r="BH21" s="25" t="e">
        <v>#NAME?</v>
      </c>
      <c r="BI21" s="25" t="e">
        <v>#NAME?</v>
      </c>
      <c r="BJ21" s="25" t="e">
        <v>#NAME?</v>
      </c>
      <c r="BK21" s="25" t="e">
        <v>#NAME?</v>
      </c>
      <c r="BL21" s="25" t="e">
        <v>#NAME?</v>
      </c>
      <c r="BM21" s="25" t="e">
        <v>#NAME?</v>
      </c>
      <c r="BN21" s="25" t="e">
        <v>#NAME?</v>
      </c>
      <c r="BO21" s="25" t="e">
        <v>#NAME?</v>
      </c>
      <c r="BP21" s="25" t="e">
        <v>#NAME?</v>
      </c>
      <c r="BQ21" s="25" t="e">
        <v>#NAME?</v>
      </c>
      <c r="BR21" s="25" t="e">
        <v>#NAME?</v>
      </c>
      <c r="BS21" s="25" t="e">
        <v>#NAME?</v>
      </c>
      <c r="BT21" s="25" t="e">
        <v>#NAME?</v>
      </c>
      <c r="BU21" s="25" t="e">
        <v>#NAME?</v>
      </c>
      <c r="BV21" s="25" t="e">
        <v>#NAME?</v>
      </c>
      <c r="BW21" s="25" t="e">
        <v>#NAME?</v>
      </c>
      <c r="BX21" s="25" t="e">
        <v>#NAME?</v>
      </c>
      <c r="BY21" s="25" t="e">
        <v>#NAME?</v>
      </c>
      <c r="BZ21" s="25" t="e">
        <v>#NAME?</v>
      </c>
      <c r="CA21" s="25" t="e">
        <v>#NAME?</v>
      </c>
      <c r="CB21" s="25" t="e">
        <v>#NAME?</v>
      </c>
      <c r="CC21" s="25" t="e">
        <v>#NAME?</v>
      </c>
      <c r="CD21" s="25" t="e">
        <v>#NAME?</v>
      </c>
      <c r="CE21" s="25" t="e">
        <v>#NAME?</v>
      </c>
      <c r="CF21" s="25" t="e">
        <v>#NAME?</v>
      </c>
      <c r="CG21" s="25" t="e">
        <v>#NAME?</v>
      </c>
      <c r="CH21" s="25" t="e">
        <v>#NAME?</v>
      </c>
      <c r="CK21" s="61" t="s">
        <v>109</v>
      </c>
      <c r="CL21" s="25">
        <v>0</v>
      </c>
      <c r="CM21" s="25">
        <v>0</v>
      </c>
      <c r="CN21" s="25">
        <v>0</v>
      </c>
      <c r="CO21" s="25">
        <v>0</v>
      </c>
      <c r="CP21" s="25">
        <v>0</v>
      </c>
    </row>
    <row r="22" spans="1:190" ht="15.75" thickBot="1">
      <c r="A22" t="s">
        <v>140</v>
      </c>
      <c r="B22">
        <v>0</v>
      </c>
      <c r="D22" s="40" t="s">
        <v>110</v>
      </c>
      <c r="E22" s="25" t="e">
        <v>#VALUE!</v>
      </c>
      <c r="F22" s="25" t="e">
        <v>#VALUE!</v>
      </c>
      <c r="G22" s="25" t="e">
        <v>#VALUE!</v>
      </c>
      <c r="H22" s="25" t="e">
        <v>#VALUE!</v>
      </c>
      <c r="I22" s="25" t="e">
        <v>#VALUE!</v>
      </c>
      <c r="J22" s="25" t="e">
        <v>#VALUE!</v>
      </c>
      <c r="K22" s="25" t="e">
        <v>#VALUE!</v>
      </c>
      <c r="L22" s="25" t="e">
        <v>#VALUE!</v>
      </c>
      <c r="M22" s="25" t="e">
        <v>#VALUE!</v>
      </c>
      <c r="N22" s="25" t="e">
        <v>#VALUE!</v>
      </c>
      <c r="O22" s="25" t="e">
        <v>#VALUE!</v>
      </c>
      <c r="P22" s="25" t="e">
        <v>#VALUE!</v>
      </c>
      <c r="Q22" s="25" t="e">
        <v>#VALUE!</v>
      </c>
      <c r="R22" s="25" t="e">
        <v>#VALUE!</v>
      </c>
      <c r="S22" s="25" t="e">
        <v>#VALUE!</v>
      </c>
      <c r="T22" s="25" t="e">
        <v>#VALUE!</v>
      </c>
      <c r="U22" s="25" t="e">
        <v>#VALUE!</v>
      </c>
      <c r="V22" s="25" t="e">
        <v>#VALUE!</v>
      </c>
      <c r="W22" s="25" t="e">
        <v>#VALUE!</v>
      </c>
      <c r="X22" s="25" t="e">
        <v>#VALUE!</v>
      </c>
      <c r="Y22" s="25" t="e">
        <v>#VALUE!</v>
      </c>
      <c r="Z22" s="25" t="e">
        <v>#VALUE!</v>
      </c>
      <c r="AA22" s="25" t="e">
        <v>#VALUE!</v>
      </c>
      <c r="AB22" s="25" t="e">
        <v>#VALUE!</v>
      </c>
      <c r="AC22" s="25" t="e">
        <v>#VALUE!</v>
      </c>
      <c r="AD22" s="25" t="e">
        <v>#VALUE!</v>
      </c>
      <c r="AE22" s="25" t="e">
        <v>#VALUE!</v>
      </c>
      <c r="AF22" s="25" t="e">
        <v>#VALUE!</v>
      </c>
      <c r="AG22" s="25" t="e">
        <v>#VALUE!</v>
      </c>
      <c r="AH22" s="25" t="e">
        <v>#VALUE!</v>
      </c>
      <c r="AI22" s="25" t="e">
        <v>#VALUE!</v>
      </c>
      <c r="AJ22" s="25" t="e">
        <v>#VALUE!</v>
      </c>
      <c r="AK22" s="25" t="e">
        <v>#VALUE!</v>
      </c>
      <c r="AL22" s="25" t="e">
        <v>#VALUE!</v>
      </c>
      <c r="AM22" s="25" t="e">
        <v>#VALUE!</v>
      </c>
      <c r="AN22" s="25" t="e">
        <v>#VALUE!</v>
      </c>
      <c r="AP22" s="40" t="s">
        <v>110</v>
      </c>
      <c r="AQ22" s="25">
        <v>0</v>
      </c>
      <c r="AR22" s="25">
        <v>0</v>
      </c>
      <c r="AS22" s="25">
        <v>0</v>
      </c>
      <c r="AT22" s="25">
        <v>0</v>
      </c>
      <c r="AU22" s="25">
        <v>0</v>
      </c>
      <c r="AW22">
        <v>0</v>
      </c>
      <c r="AX22" s="64" t="s">
        <v>111</v>
      </c>
      <c r="AY22" s="51" t="e">
        <v>#NAME?</v>
      </c>
      <c r="AZ22" s="51" t="e">
        <v>#NAME?</v>
      </c>
      <c r="BA22" s="51" t="e">
        <v>#NAME?</v>
      </c>
      <c r="BB22" s="51" t="e">
        <v>#NAME?</v>
      </c>
      <c r="BC22" s="51" t="e">
        <v>#NAME?</v>
      </c>
      <c r="BD22" s="51" t="e">
        <v>#NAME?</v>
      </c>
      <c r="BE22" s="51" t="e">
        <v>#NAME?</v>
      </c>
      <c r="BF22" s="51" t="e">
        <v>#NAME?</v>
      </c>
      <c r="BG22" s="51" t="e">
        <v>#NAME?</v>
      </c>
      <c r="BH22" s="51" t="e">
        <v>#NAME?</v>
      </c>
      <c r="BI22" s="51" t="e">
        <v>#NAME?</v>
      </c>
      <c r="BJ22" s="51" t="e">
        <v>#NAME?</v>
      </c>
      <c r="BK22" s="51" t="e">
        <v>#NAME?</v>
      </c>
      <c r="BL22" s="51" t="e">
        <v>#NAME?</v>
      </c>
      <c r="BM22" s="51" t="e">
        <v>#NAME?</v>
      </c>
      <c r="BN22" s="51" t="e">
        <v>#NAME?</v>
      </c>
      <c r="BO22" s="51" t="e">
        <v>#NAME?</v>
      </c>
      <c r="BP22" s="51" t="e">
        <v>#NAME?</v>
      </c>
      <c r="BQ22" s="51" t="e">
        <v>#NAME?</v>
      </c>
      <c r="BR22" s="51" t="e">
        <v>#NAME?</v>
      </c>
      <c r="BS22" s="51" t="e">
        <v>#NAME?</v>
      </c>
      <c r="BT22" s="51" t="e">
        <v>#NAME?</v>
      </c>
      <c r="BU22" s="51" t="e">
        <v>#NAME?</v>
      </c>
      <c r="BV22" s="51" t="e">
        <v>#NAME?</v>
      </c>
      <c r="BW22" s="51" t="e">
        <v>#NAME?</v>
      </c>
      <c r="BX22" s="51" t="e">
        <v>#NAME?</v>
      </c>
      <c r="BY22" s="51" t="e">
        <v>#NAME?</v>
      </c>
      <c r="BZ22" s="51" t="e">
        <v>#NAME?</v>
      </c>
      <c r="CA22" s="51" t="e">
        <v>#NAME?</v>
      </c>
      <c r="CB22" s="51" t="e">
        <v>#NAME?</v>
      </c>
      <c r="CC22" s="51" t="e">
        <v>#NAME?</v>
      </c>
      <c r="CD22" s="51" t="e">
        <v>#NAME?</v>
      </c>
      <c r="CE22" s="51" t="e">
        <v>#NAME?</v>
      </c>
      <c r="CF22" s="51" t="e">
        <v>#NAME?</v>
      </c>
      <c r="CG22" s="51" t="e">
        <v>#NAME?</v>
      </c>
      <c r="CH22" s="51" t="e">
        <v>#NAME?</v>
      </c>
      <c r="CK22" s="64" t="s">
        <v>111</v>
      </c>
      <c r="CL22" s="51">
        <v>0</v>
      </c>
      <c r="CM22" s="51">
        <v>0</v>
      </c>
      <c r="CN22" s="51">
        <v>0</v>
      </c>
      <c r="CO22" s="51">
        <v>0</v>
      </c>
      <c r="CP22" s="51">
        <v>0</v>
      </c>
      <c r="CT22" t="s">
        <v>140</v>
      </c>
      <c r="CU22" t="s">
        <v>140</v>
      </c>
      <c r="CV22" t="s">
        <v>140</v>
      </c>
      <c r="CW22" t="s">
        <v>140</v>
      </c>
      <c r="CX22" t="s">
        <v>140</v>
      </c>
      <c r="CY22" t="s">
        <v>140</v>
      </c>
      <c r="CZ22" t="s">
        <v>140</v>
      </c>
      <c r="DA22" t="s">
        <v>140</v>
      </c>
      <c r="DB22" t="s">
        <v>140</v>
      </c>
      <c r="DC22" t="s">
        <v>140</v>
      </c>
      <c r="DD22" t="s">
        <v>140</v>
      </c>
      <c r="DE22" t="s">
        <v>140</v>
      </c>
    </row>
    <row r="23" spans="1:190" ht="15.75" thickBot="1">
      <c r="A23" t="s">
        <v>140</v>
      </c>
      <c r="B23">
        <v>0</v>
      </c>
      <c r="D23" s="65" t="s">
        <v>112</v>
      </c>
      <c r="E23" s="25" t="e">
        <v>#VALUE!</v>
      </c>
      <c r="F23" s="25" t="e">
        <v>#VALUE!</v>
      </c>
      <c r="G23" s="25" t="e">
        <v>#VALUE!</v>
      </c>
      <c r="H23" s="25" t="e">
        <v>#VALUE!</v>
      </c>
      <c r="I23" s="25" t="e">
        <v>#VALUE!</v>
      </c>
      <c r="J23" s="25" t="e">
        <v>#VALUE!</v>
      </c>
      <c r="K23" s="25" t="e">
        <v>#VALUE!</v>
      </c>
      <c r="L23" s="25" t="e">
        <v>#VALUE!</v>
      </c>
      <c r="M23" s="25" t="e">
        <v>#VALUE!</v>
      </c>
      <c r="N23" s="25" t="e">
        <v>#VALUE!</v>
      </c>
      <c r="O23" s="25" t="e">
        <v>#VALUE!</v>
      </c>
      <c r="P23" s="25" t="e">
        <v>#VALUE!</v>
      </c>
      <c r="Q23" s="25" t="e">
        <v>#VALUE!</v>
      </c>
      <c r="R23" s="25" t="e">
        <v>#VALUE!</v>
      </c>
      <c r="S23" s="25" t="e">
        <v>#VALUE!</v>
      </c>
      <c r="T23" s="25" t="e">
        <v>#VALUE!</v>
      </c>
      <c r="U23" s="25" t="e">
        <v>#VALUE!</v>
      </c>
      <c r="V23" s="25" t="e">
        <v>#VALUE!</v>
      </c>
      <c r="W23" s="25" t="e">
        <v>#VALUE!</v>
      </c>
      <c r="X23" s="25" t="e">
        <v>#VALUE!</v>
      </c>
      <c r="Y23" s="25" t="e">
        <v>#VALUE!</v>
      </c>
      <c r="Z23" s="25" t="e">
        <v>#VALUE!</v>
      </c>
      <c r="AA23" s="25" t="e">
        <v>#VALUE!</v>
      </c>
      <c r="AB23" s="25" t="e">
        <v>#VALUE!</v>
      </c>
      <c r="AC23" s="25" t="e">
        <v>#VALUE!</v>
      </c>
      <c r="AD23" s="25" t="e">
        <v>#VALUE!</v>
      </c>
      <c r="AE23" s="25" t="e">
        <v>#VALUE!</v>
      </c>
      <c r="AF23" s="25" t="e">
        <v>#VALUE!</v>
      </c>
      <c r="AG23" s="25" t="e">
        <v>#VALUE!</v>
      </c>
      <c r="AH23" s="25" t="e">
        <v>#VALUE!</v>
      </c>
      <c r="AI23" s="25" t="e">
        <v>#VALUE!</v>
      </c>
      <c r="AJ23" s="25" t="e">
        <v>#VALUE!</v>
      </c>
      <c r="AK23" s="25" t="e">
        <v>#VALUE!</v>
      </c>
      <c r="AL23" s="25" t="e">
        <v>#VALUE!</v>
      </c>
      <c r="AM23" s="25" t="e">
        <v>#VALUE!</v>
      </c>
      <c r="AN23" s="25" t="e">
        <v>#VALUE!</v>
      </c>
      <c r="AP23" s="65" t="s">
        <v>112</v>
      </c>
      <c r="AQ23" s="25">
        <v>0</v>
      </c>
      <c r="AR23" s="25">
        <v>0</v>
      </c>
      <c r="AS23" s="25">
        <v>0</v>
      </c>
      <c r="AT23" s="25">
        <v>0</v>
      </c>
      <c r="AU23" s="25">
        <v>0</v>
      </c>
      <c r="AW23">
        <v>0</v>
      </c>
      <c r="AX23" s="45" t="s">
        <v>113</v>
      </c>
      <c r="AY23" s="46" t="e">
        <v>#NAME?</v>
      </c>
      <c r="AZ23" s="46" t="e">
        <v>#NAME?</v>
      </c>
      <c r="BA23" s="46" t="e">
        <v>#NAME?</v>
      </c>
      <c r="BB23" s="46" t="e">
        <v>#NAME?</v>
      </c>
      <c r="BC23" s="46" t="e">
        <v>#NAME?</v>
      </c>
      <c r="BD23" s="46" t="e">
        <v>#NAME?</v>
      </c>
      <c r="BE23" s="46" t="e">
        <v>#NAME?</v>
      </c>
      <c r="BF23" s="46" t="e">
        <v>#NAME?</v>
      </c>
      <c r="BG23" s="46" t="e">
        <v>#NAME?</v>
      </c>
      <c r="BH23" s="46" t="e">
        <v>#NAME?</v>
      </c>
      <c r="BI23" s="46" t="e">
        <v>#NAME?</v>
      </c>
      <c r="BJ23" s="46" t="e">
        <v>#NAME?</v>
      </c>
      <c r="BK23" s="46" t="e">
        <v>#NAME?</v>
      </c>
      <c r="BL23" s="46" t="e">
        <v>#NAME?</v>
      </c>
      <c r="BM23" s="46" t="e">
        <v>#NAME?</v>
      </c>
      <c r="BN23" s="46" t="e">
        <v>#NAME?</v>
      </c>
      <c r="BO23" s="46" t="e">
        <v>#NAME?</v>
      </c>
      <c r="BP23" s="46" t="e">
        <v>#NAME?</v>
      </c>
      <c r="BQ23" s="46" t="e">
        <v>#NAME?</v>
      </c>
      <c r="BR23" s="46" t="e">
        <v>#NAME?</v>
      </c>
      <c r="BS23" s="46" t="e">
        <v>#NAME?</v>
      </c>
      <c r="BT23" s="46" t="e">
        <v>#NAME?</v>
      </c>
      <c r="BU23" s="46" t="e">
        <v>#NAME?</v>
      </c>
      <c r="BV23" s="46" t="e">
        <v>#NAME?</v>
      </c>
      <c r="BW23" s="46" t="e">
        <v>#NAME?</v>
      </c>
      <c r="BX23" s="46" t="e">
        <v>#NAME?</v>
      </c>
      <c r="BY23" s="46" t="e">
        <v>#NAME?</v>
      </c>
      <c r="BZ23" s="46" t="e">
        <v>#NAME?</v>
      </c>
      <c r="CA23" s="46" t="e">
        <v>#NAME?</v>
      </c>
      <c r="CB23" s="46" t="e">
        <v>#NAME?</v>
      </c>
      <c r="CC23" s="46" t="e">
        <v>#NAME?</v>
      </c>
      <c r="CD23" s="46" t="e">
        <v>#NAME?</v>
      </c>
      <c r="CE23" s="46" t="e">
        <v>#NAME?</v>
      </c>
      <c r="CF23" s="46" t="e">
        <v>#NAME?</v>
      </c>
      <c r="CG23" s="46" t="e">
        <v>#NAME?</v>
      </c>
      <c r="CH23" s="46" t="e">
        <v>#NAME?</v>
      </c>
      <c r="CK23" s="45" t="s">
        <v>113</v>
      </c>
      <c r="CL23" s="46">
        <v>0</v>
      </c>
      <c r="CM23" s="46">
        <v>0</v>
      </c>
      <c r="CN23" s="46">
        <v>0</v>
      </c>
      <c r="CO23" s="46">
        <v>0</v>
      </c>
      <c r="CP23" s="46">
        <v>0</v>
      </c>
      <c r="CS23" s="20"/>
      <c r="CT23" s="19">
        <v>0</v>
      </c>
      <c r="CU23" s="19">
        <v>0</v>
      </c>
      <c r="CV23" s="19">
        <v>0</v>
      </c>
      <c r="CW23" s="19">
        <v>0</v>
      </c>
      <c r="CX23" s="19">
        <v>0</v>
      </c>
      <c r="CY23" s="19">
        <v>0</v>
      </c>
      <c r="CZ23" s="19">
        <v>0</v>
      </c>
      <c r="DA23" s="19">
        <v>0</v>
      </c>
      <c r="DB23" s="19">
        <v>0</v>
      </c>
      <c r="DC23" s="19">
        <v>0</v>
      </c>
      <c r="DD23" s="19">
        <v>0</v>
      </c>
      <c r="DE23" s="19">
        <v>0</v>
      </c>
      <c r="ED23" t="e">
        <v>#N/A</v>
      </c>
    </row>
    <row r="24" spans="1:190">
      <c r="A24" t="s">
        <v>140</v>
      </c>
      <c r="B24">
        <v>0</v>
      </c>
      <c r="D24" s="66" t="s">
        <v>114</v>
      </c>
      <c r="E24" s="25" t="e">
        <v>#VALUE!</v>
      </c>
      <c r="F24" s="25" t="e">
        <v>#VALUE!</v>
      </c>
      <c r="G24" s="25" t="e">
        <v>#VALUE!</v>
      </c>
      <c r="H24" s="25" t="e">
        <v>#VALUE!</v>
      </c>
      <c r="I24" s="25" t="e">
        <v>#VALUE!</v>
      </c>
      <c r="J24" s="25" t="e">
        <v>#VALUE!</v>
      </c>
      <c r="K24" s="25" t="e">
        <v>#VALUE!</v>
      </c>
      <c r="L24" s="25" t="e">
        <v>#VALUE!</v>
      </c>
      <c r="M24" s="25" t="e">
        <v>#VALUE!</v>
      </c>
      <c r="N24" s="25" t="e">
        <v>#VALUE!</v>
      </c>
      <c r="O24" s="25" t="e">
        <v>#VALUE!</v>
      </c>
      <c r="P24" s="25" t="e">
        <v>#VALUE!</v>
      </c>
      <c r="Q24" s="25" t="e">
        <v>#VALUE!</v>
      </c>
      <c r="R24" s="25" t="e">
        <v>#VALUE!</v>
      </c>
      <c r="S24" s="25" t="e">
        <v>#VALUE!</v>
      </c>
      <c r="T24" s="25" t="e">
        <v>#VALUE!</v>
      </c>
      <c r="U24" s="25" t="e">
        <v>#VALUE!</v>
      </c>
      <c r="V24" s="25" t="e">
        <v>#VALUE!</v>
      </c>
      <c r="W24" s="25" t="e">
        <v>#VALUE!</v>
      </c>
      <c r="X24" s="25" t="e">
        <v>#VALUE!</v>
      </c>
      <c r="Y24" s="25" t="e">
        <v>#VALUE!</v>
      </c>
      <c r="Z24" s="25" t="e">
        <v>#VALUE!</v>
      </c>
      <c r="AA24" s="25" t="e">
        <v>#VALUE!</v>
      </c>
      <c r="AB24" s="25" t="e">
        <v>#VALUE!</v>
      </c>
      <c r="AC24" s="25" t="e">
        <v>#VALUE!</v>
      </c>
      <c r="AD24" s="25" t="e">
        <v>#VALUE!</v>
      </c>
      <c r="AE24" s="25" t="e">
        <v>#VALUE!</v>
      </c>
      <c r="AF24" s="25" t="e">
        <v>#VALUE!</v>
      </c>
      <c r="AG24" s="25" t="e">
        <v>#VALUE!</v>
      </c>
      <c r="AH24" s="25" t="e">
        <v>#VALUE!</v>
      </c>
      <c r="AI24" s="25" t="e">
        <v>#VALUE!</v>
      </c>
      <c r="AJ24" s="25" t="e">
        <v>#VALUE!</v>
      </c>
      <c r="AK24" s="25" t="e">
        <v>#VALUE!</v>
      </c>
      <c r="AL24" s="25" t="e">
        <v>#VALUE!</v>
      </c>
      <c r="AM24" s="25" t="e">
        <v>#VALUE!</v>
      </c>
      <c r="AN24" s="25" t="e">
        <v>#VALUE!</v>
      </c>
      <c r="AP24" s="66" t="s">
        <v>114</v>
      </c>
      <c r="AQ24" s="25">
        <v>0</v>
      </c>
      <c r="AR24" s="25">
        <v>0</v>
      </c>
      <c r="AS24" s="25">
        <v>0</v>
      </c>
      <c r="AT24" s="25">
        <v>0</v>
      </c>
      <c r="AU24" s="25">
        <v>0</v>
      </c>
      <c r="AW24" t="s">
        <v>86</v>
      </c>
      <c r="AX24" s="67" t="s">
        <v>115</v>
      </c>
      <c r="AY24" s="48" t="s">
        <v>86</v>
      </c>
      <c r="AZ24" s="48" t="s">
        <v>86</v>
      </c>
      <c r="BA24" s="48" t="s">
        <v>86</v>
      </c>
      <c r="BB24" s="48" t="s">
        <v>86</v>
      </c>
      <c r="BC24" s="48" t="s">
        <v>86</v>
      </c>
      <c r="BD24" s="48" t="s">
        <v>86</v>
      </c>
      <c r="BE24" s="48" t="s">
        <v>86</v>
      </c>
      <c r="BF24" s="48" t="s">
        <v>86</v>
      </c>
      <c r="BG24" s="48" t="s">
        <v>86</v>
      </c>
      <c r="BH24" s="48" t="s">
        <v>86</v>
      </c>
      <c r="BI24" s="48" t="s">
        <v>86</v>
      </c>
      <c r="BJ24" s="48" t="s">
        <v>86</v>
      </c>
      <c r="BK24" s="48" t="s">
        <v>86</v>
      </c>
      <c r="BL24" s="48" t="s">
        <v>86</v>
      </c>
      <c r="BM24" s="48" t="s">
        <v>86</v>
      </c>
      <c r="BN24" s="48" t="s">
        <v>86</v>
      </c>
      <c r="BO24" s="48" t="s">
        <v>86</v>
      </c>
      <c r="BP24" s="48" t="s">
        <v>86</v>
      </c>
      <c r="BQ24" s="48" t="s">
        <v>86</v>
      </c>
      <c r="BR24" s="48" t="s">
        <v>86</v>
      </c>
      <c r="BS24" s="48" t="s">
        <v>86</v>
      </c>
      <c r="BT24" s="48" t="s">
        <v>86</v>
      </c>
      <c r="BU24" s="48" t="s">
        <v>86</v>
      </c>
      <c r="BV24" s="48" t="s">
        <v>86</v>
      </c>
      <c r="BW24" s="48" t="s">
        <v>86</v>
      </c>
      <c r="BX24" s="48" t="s">
        <v>86</v>
      </c>
      <c r="BY24" s="48" t="s">
        <v>86</v>
      </c>
      <c r="BZ24" s="48" t="s">
        <v>86</v>
      </c>
      <c r="CA24" s="48" t="s">
        <v>86</v>
      </c>
      <c r="CB24" s="48" t="s">
        <v>86</v>
      </c>
      <c r="CC24" s="48" t="s">
        <v>86</v>
      </c>
      <c r="CD24" s="48" t="s">
        <v>86</v>
      </c>
      <c r="CE24" s="48" t="s">
        <v>86</v>
      </c>
      <c r="CF24" s="48" t="s">
        <v>86</v>
      </c>
      <c r="CG24" s="48" t="s">
        <v>86</v>
      </c>
      <c r="CH24" s="48" t="s">
        <v>86</v>
      </c>
      <c r="CK24" s="67" t="s">
        <v>115</v>
      </c>
      <c r="CL24" s="48" t="s">
        <v>86</v>
      </c>
      <c r="CM24" s="48" t="s">
        <v>86</v>
      </c>
      <c r="CN24" s="48" t="s">
        <v>86</v>
      </c>
      <c r="CO24" s="48" t="s">
        <v>86</v>
      </c>
      <c r="CP24" s="48" t="s">
        <v>86</v>
      </c>
      <c r="CS24" s="26"/>
      <c r="CT24" s="27"/>
      <c r="CU24" s="28"/>
      <c r="CV24" s="28"/>
      <c r="CW24" s="28"/>
      <c r="CX24" s="28"/>
      <c r="CY24" s="28"/>
      <c r="CZ24" s="28"/>
      <c r="DA24" s="28"/>
      <c r="DB24" s="28"/>
      <c r="DC24" s="28"/>
      <c r="DD24" s="28"/>
      <c r="DE24" s="28"/>
    </row>
    <row r="25" spans="1:190">
      <c r="A25" t="s">
        <v>140</v>
      </c>
      <c r="B25">
        <v>0</v>
      </c>
      <c r="D25" s="65" t="s">
        <v>116</v>
      </c>
      <c r="E25" s="25" t="e">
        <v>#VALUE!</v>
      </c>
      <c r="F25" s="25" t="e">
        <v>#VALUE!</v>
      </c>
      <c r="G25" s="25" t="e">
        <v>#VALUE!</v>
      </c>
      <c r="H25" s="25" t="e">
        <v>#VALUE!</v>
      </c>
      <c r="I25" s="25" t="e">
        <v>#VALUE!</v>
      </c>
      <c r="J25" s="25" t="e">
        <v>#VALUE!</v>
      </c>
      <c r="K25" s="25" t="e">
        <v>#VALUE!</v>
      </c>
      <c r="L25" s="25" t="e">
        <v>#VALUE!</v>
      </c>
      <c r="M25" s="25" t="e">
        <v>#VALUE!</v>
      </c>
      <c r="N25" s="25" t="e">
        <v>#VALUE!</v>
      </c>
      <c r="O25" s="25" t="e">
        <v>#VALUE!</v>
      </c>
      <c r="P25" s="25" t="e">
        <v>#VALUE!</v>
      </c>
      <c r="Q25" s="25" t="e">
        <v>#VALUE!</v>
      </c>
      <c r="R25" s="25" t="e">
        <v>#VALUE!</v>
      </c>
      <c r="S25" s="25" t="e">
        <v>#VALUE!</v>
      </c>
      <c r="T25" s="25" t="e">
        <v>#VALUE!</v>
      </c>
      <c r="U25" s="25" t="e">
        <v>#VALUE!</v>
      </c>
      <c r="V25" s="25" t="e">
        <v>#VALUE!</v>
      </c>
      <c r="W25" s="25" t="e">
        <v>#VALUE!</v>
      </c>
      <c r="X25" s="25" t="e">
        <v>#VALUE!</v>
      </c>
      <c r="Y25" s="25" t="e">
        <v>#VALUE!</v>
      </c>
      <c r="Z25" s="25" t="e">
        <v>#VALUE!</v>
      </c>
      <c r="AA25" s="25" t="e">
        <v>#VALUE!</v>
      </c>
      <c r="AB25" s="25" t="e">
        <v>#VALUE!</v>
      </c>
      <c r="AC25" s="25" t="e">
        <v>#VALUE!</v>
      </c>
      <c r="AD25" s="25" t="e">
        <v>#VALUE!</v>
      </c>
      <c r="AE25" s="25" t="e">
        <v>#VALUE!</v>
      </c>
      <c r="AF25" s="25" t="e">
        <v>#VALUE!</v>
      </c>
      <c r="AG25" s="25" t="e">
        <v>#VALUE!</v>
      </c>
      <c r="AH25" s="25" t="e">
        <v>#VALUE!</v>
      </c>
      <c r="AI25" s="25" t="e">
        <v>#VALUE!</v>
      </c>
      <c r="AJ25" s="25" t="e">
        <v>#VALUE!</v>
      </c>
      <c r="AK25" s="25" t="e">
        <v>#VALUE!</v>
      </c>
      <c r="AL25" s="25" t="e">
        <v>#VALUE!</v>
      </c>
      <c r="AM25" s="25" t="e">
        <v>#VALUE!</v>
      </c>
      <c r="AN25" s="25" t="e">
        <v>#VALUE!</v>
      </c>
      <c r="AP25" s="65" t="s">
        <v>116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X25" s="47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K25" s="47"/>
      <c r="CL25" s="51"/>
      <c r="CM25" s="51"/>
      <c r="CN25" s="51"/>
      <c r="CO25" s="51"/>
      <c r="CP25" s="51"/>
      <c r="CS25" s="36" t="s">
        <v>68</v>
      </c>
      <c r="CT25" s="25">
        <v>0</v>
      </c>
      <c r="CU25" s="25">
        <v>0</v>
      </c>
      <c r="CV25" s="25">
        <v>0</v>
      </c>
      <c r="CW25" s="25">
        <v>0</v>
      </c>
      <c r="CX25" s="25">
        <v>0</v>
      </c>
      <c r="CY25" s="25">
        <v>0</v>
      </c>
      <c r="CZ25" s="25">
        <v>0</v>
      </c>
      <c r="DA25" s="25">
        <v>0</v>
      </c>
      <c r="DB25" s="25">
        <v>0</v>
      </c>
      <c r="DC25" s="25">
        <v>0</v>
      </c>
      <c r="DD25" s="25">
        <v>0</v>
      </c>
      <c r="DE25" s="25">
        <v>0</v>
      </c>
    </row>
    <row r="26" spans="1:190">
      <c r="A26" t="s">
        <v>140</v>
      </c>
      <c r="B26">
        <v>0</v>
      </c>
      <c r="D26" s="35" t="s">
        <v>117</v>
      </c>
      <c r="E26" s="25" t="e">
        <v>#VALUE!</v>
      </c>
      <c r="F26" s="25" t="e">
        <v>#VALUE!</v>
      </c>
      <c r="G26" s="25" t="e">
        <v>#VALUE!</v>
      </c>
      <c r="H26" s="25" t="e">
        <v>#VALUE!</v>
      </c>
      <c r="I26" s="25" t="e">
        <v>#VALUE!</v>
      </c>
      <c r="J26" s="25" t="e">
        <v>#VALUE!</v>
      </c>
      <c r="K26" s="25" t="e">
        <v>#VALUE!</v>
      </c>
      <c r="L26" s="25" t="e">
        <v>#VALUE!</v>
      </c>
      <c r="M26" s="25" t="e">
        <v>#VALUE!</v>
      </c>
      <c r="N26" s="25" t="e">
        <v>#VALUE!</v>
      </c>
      <c r="O26" s="25" t="e">
        <v>#VALUE!</v>
      </c>
      <c r="P26" s="25" t="e">
        <v>#VALUE!</v>
      </c>
      <c r="Q26" s="25" t="e">
        <v>#VALUE!</v>
      </c>
      <c r="R26" s="25" t="e">
        <v>#VALUE!</v>
      </c>
      <c r="S26" s="25" t="e">
        <v>#VALUE!</v>
      </c>
      <c r="T26" s="25" t="e">
        <v>#VALUE!</v>
      </c>
      <c r="U26" s="25" t="e">
        <v>#VALUE!</v>
      </c>
      <c r="V26" s="25" t="e">
        <v>#VALUE!</v>
      </c>
      <c r="W26" s="25" t="e">
        <v>#VALUE!</v>
      </c>
      <c r="X26" s="25" t="e">
        <v>#VALUE!</v>
      </c>
      <c r="Y26" s="25" t="e">
        <v>#VALUE!</v>
      </c>
      <c r="Z26" s="25" t="e">
        <v>#VALUE!</v>
      </c>
      <c r="AA26" s="25" t="e">
        <v>#VALUE!</v>
      </c>
      <c r="AB26" s="25" t="e">
        <v>#VALUE!</v>
      </c>
      <c r="AC26" s="25" t="e">
        <v>#VALUE!</v>
      </c>
      <c r="AD26" s="25" t="e">
        <v>#VALUE!</v>
      </c>
      <c r="AE26" s="25" t="e">
        <v>#VALUE!</v>
      </c>
      <c r="AF26" s="25" t="e">
        <v>#VALUE!</v>
      </c>
      <c r="AG26" s="25" t="e">
        <v>#VALUE!</v>
      </c>
      <c r="AH26" s="25" t="e">
        <v>#VALUE!</v>
      </c>
      <c r="AI26" s="25" t="e">
        <v>#VALUE!</v>
      </c>
      <c r="AJ26" s="25" t="e">
        <v>#VALUE!</v>
      </c>
      <c r="AK26" s="25" t="e">
        <v>#VALUE!</v>
      </c>
      <c r="AL26" s="25" t="e">
        <v>#VALUE!</v>
      </c>
      <c r="AM26" s="25" t="e">
        <v>#VALUE!</v>
      </c>
      <c r="AN26" s="25" t="e">
        <v>#VALUE!</v>
      </c>
      <c r="AP26" s="35" t="s">
        <v>117</v>
      </c>
      <c r="AQ26" s="25">
        <v>0</v>
      </c>
      <c r="AR26" s="25">
        <v>0</v>
      </c>
      <c r="AS26" s="25">
        <v>0</v>
      </c>
      <c r="AT26" s="25">
        <v>0</v>
      </c>
      <c r="AU26" s="25">
        <v>0</v>
      </c>
      <c r="AW26">
        <v>0</v>
      </c>
      <c r="AX26" s="61" t="s">
        <v>118</v>
      </c>
      <c r="AY26" s="25" t="e">
        <v>#NAME?</v>
      </c>
      <c r="AZ26" s="25" t="e">
        <v>#NAME?</v>
      </c>
      <c r="BA26" s="25" t="e">
        <v>#NAME?</v>
      </c>
      <c r="BB26" s="25" t="e">
        <v>#NAME?</v>
      </c>
      <c r="BC26" s="25" t="e">
        <v>#NAME?</v>
      </c>
      <c r="BD26" s="25" t="e">
        <v>#NAME?</v>
      </c>
      <c r="BE26" s="25" t="e">
        <v>#NAME?</v>
      </c>
      <c r="BF26" s="25" t="e">
        <v>#NAME?</v>
      </c>
      <c r="BG26" s="25" t="e">
        <v>#NAME?</v>
      </c>
      <c r="BH26" s="25" t="e">
        <v>#NAME?</v>
      </c>
      <c r="BI26" s="25" t="e">
        <v>#NAME?</v>
      </c>
      <c r="BJ26" s="25" t="e">
        <v>#NAME?</v>
      </c>
      <c r="BK26" s="25" t="e">
        <v>#NAME?</v>
      </c>
      <c r="BL26" s="25" t="e">
        <v>#NAME?</v>
      </c>
      <c r="BM26" s="25" t="e">
        <v>#NAME?</v>
      </c>
      <c r="BN26" s="25" t="e">
        <v>#NAME?</v>
      </c>
      <c r="BO26" s="25" t="e">
        <v>#NAME?</v>
      </c>
      <c r="BP26" s="25" t="e">
        <v>#NAME?</v>
      </c>
      <c r="BQ26" s="25" t="e">
        <v>#NAME?</v>
      </c>
      <c r="BR26" s="25" t="e">
        <v>#NAME?</v>
      </c>
      <c r="BS26" s="25" t="e">
        <v>#NAME?</v>
      </c>
      <c r="BT26" s="25" t="e">
        <v>#NAME?</v>
      </c>
      <c r="BU26" s="25" t="e">
        <v>#NAME?</v>
      </c>
      <c r="BV26" s="25" t="e">
        <v>#NAME?</v>
      </c>
      <c r="BW26" s="25" t="e">
        <v>#NAME?</v>
      </c>
      <c r="BX26" s="25" t="e">
        <v>#NAME?</v>
      </c>
      <c r="BY26" s="25" t="e">
        <v>#NAME?</v>
      </c>
      <c r="BZ26" s="25" t="e">
        <v>#NAME?</v>
      </c>
      <c r="CA26" s="25" t="e">
        <v>#NAME?</v>
      </c>
      <c r="CB26" s="25" t="e">
        <v>#NAME?</v>
      </c>
      <c r="CC26" s="25" t="e">
        <v>#NAME?</v>
      </c>
      <c r="CD26" s="25" t="e">
        <v>#NAME?</v>
      </c>
      <c r="CE26" s="25" t="e">
        <v>#NAME?</v>
      </c>
      <c r="CF26" s="25" t="e">
        <v>#NAME?</v>
      </c>
      <c r="CG26" s="25" t="e">
        <v>#NAME?</v>
      </c>
      <c r="CH26" s="25" t="e">
        <v>#NAME?</v>
      </c>
      <c r="CK26" s="61" t="s">
        <v>118</v>
      </c>
      <c r="CL26" s="25">
        <v>0</v>
      </c>
      <c r="CM26" s="25">
        <v>0</v>
      </c>
      <c r="CN26" s="25">
        <v>0</v>
      </c>
      <c r="CO26" s="25">
        <v>0</v>
      </c>
      <c r="CP26" s="25">
        <v>0</v>
      </c>
      <c r="CS26" s="36" t="s">
        <v>73</v>
      </c>
      <c r="CT26" s="25">
        <v>0</v>
      </c>
      <c r="CU26" s="25">
        <v>0</v>
      </c>
      <c r="CV26" s="25">
        <v>0</v>
      </c>
      <c r="CW26" s="25">
        <v>0</v>
      </c>
      <c r="CX26" s="25">
        <v>0</v>
      </c>
      <c r="CY26" s="25">
        <v>0</v>
      </c>
      <c r="CZ26" s="25">
        <v>0</v>
      </c>
      <c r="DA26" s="25">
        <v>0</v>
      </c>
      <c r="DB26" s="25">
        <v>0</v>
      </c>
      <c r="DC26" s="25">
        <v>0</v>
      </c>
      <c r="DD26" s="25">
        <v>0</v>
      </c>
      <c r="DE26" s="25">
        <v>0</v>
      </c>
    </row>
    <row r="27" spans="1:190">
      <c r="A27" t="s">
        <v>140</v>
      </c>
      <c r="B27">
        <v>0</v>
      </c>
      <c r="D27" s="68" t="s">
        <v>119</v>
      </c>
      <c r="E27" s="69" t="e">
        <v>#VALUE!</v>
      </c>
      <c r="F27" s="69" t="e">
        <v>#VALUE!</v>
      </c>
      <c r="G27" s="69" t="e">
        <v>#VALUE!</v>
      </c>
      <c r="H27" s="69" t="e">
        <v>#VALUE!</v>
      </c>
      <c r="I27" s="69" t="e">
        <v>#VALUE!</v>
      </c>
      <c r="J27" s="69" t="e">
        <v>#VALUE!</v>
      </c>
      <c r="K27" s="69" t="e">
        <v>#VALUE!</v>
      </c>
      <c r="L27" s="69" t="e">
        <v>#VALUE!</v>
      </c>
      <c r="M27" s="69" t="e">
        <v>#VALUE!</v>
      </c>
      <c r="N27" s="69" t="e">
        <v>#VALUE!</v>
      </c>
      <c r="O27" s="69" t="e">
        <v>#VALUE!</v>
      </c>
      <c r="P27" s="69" t="e">
        <v>#VALUE!</v>
      </c>
      <c r="Q27" s="69" t="e">
        <v>#VALUE!</v>
      </c>
      <c r="R27" s="69" t="e">
        <v>#VALUE!</v>
      </c>
      <c r="S27" s="69" t="e">
        <v>#VALUE!</v>
      </c>
      <c r="T27" s="69" t="e">
        <v>#VALUE!</v>
      </c>
      <c r="U27" s="69" t="e">
        <v>#VALUE!</v>
      </c>
      <c r="V27" s="69" t="e">
        <v>#VALUE!</v>
      </c>
      <c r="W27" s="69" t="e">
        <v>#VALUE!</v>
      </c>
      <c r="X27" s="69" t="e">
        <v>#VALUE!</v>
      </c>
      <c r="Y27" s="69" t="e">
        <v>#VALUE!</v>
      </c>
      <c r="Z27" s="69" t="e">
        <v>#VALUE!</v>
      </c>
      <c r="AA27" s="69" t="e">
        <v>#VALUE!</v>
      </c>
      <c r="AB27" s="69" t="e">
        <v>#VALUE!</v>
      </c>
      <c r="AC27" s="69" t="e">
        <v>#VALUE!</v>
      </c>
      <c r="AD27" s="69" t="e">
        <v>#VALUE!</v>
      </c>
      <c r="AE27" s="69" t="e">
        <v>#VALUE!</v>
      </c>
      <c r="AF27" s="69" t="e">
        <v>#VALUE!</v>
      </c>
      <c r="AG27" s="69" t="e">
        <v>#VALUE!</v>
      </c>
      <c r="AH27" s="69" t="e">
        <v>#VALUE!</v>
      </c>
      <c r="AI27" s="69" t="e">
        <v>#VALUE!</v>
      </c>
      <c r="AJ27" s="69" t="e">
        <v>#VALUE!</v>
      </c>
      <c r="AK27" s="69" t="e">
        <v>#VALUE!</v>
      </c>
      <c r="AL27" s="69" t="e">
        <v>#VALUE!</v>
      </c>
      <c r="AM27" s="69" t="e">
        <v>#VALUE!</v>
      </c>
      <c r="AN27" s="69" t="e">
        <v>#VALUE!</v>
      </c>
      <c r="AP27" s="68" t="s">
        <v>119</v>
      </c>
      <c r="AQ27" s="69">
        <v>0</v>
      </c>
      <c r="AR27" s="69">
        <v>0</v>
      </c>
      <c r="AS27" s="69">
        <v>0</v>
      </c>
      <c r="AT27" s="69">
        <v>0</v>
      </c>
      <c r="AU27" s="69">
        <v>0</v>
      </c>
      <c r="AW27">
        <v>0</v>
      </c>
      <c r="AX27" s="45" t="s">
        <v>120</v>
      </c>
      <c r="AY27" s="46" t="e">
        <v>#NAME?</v>
      </c>
      <c r="AZ27" s="46" t="e">
        <v>#NAME?</v>
      </c>
      <c r="BA27" s="46" t="e">
        <v>#NAME?</v>
      </c>
      <c r="BB27" s="46" t="e">
        <v>#NAME?</v>
      </c>
      <c r="BC27" s="46" t="e">
        <v>#NAME?</v>
      </c>
      <c r="BD27" s="46" t="e">
        <v>#NAME?</v>
      </c>
      <c r="BE27" s="46" t="e">
        <v>#NAME?</v>
      </c>
      <c r="BF27" s="46" t="e">
        <v>#NAME?</v>
      </c>
      <c r="BG27" s="46" t="e">
        <v>#NAME?</v>
      </c>
      <c r="BH27" s="46" t="e">
        <v>#NAME?</v>
      </c>
      <c r="BI27" s="46" t="e">
        <v>#NAME?</v>
      </c>
      <c r="BJ27" s="46" t="e">
        <v>#NAME?</v>
      </c>
      <c r="BK27" s="46" t="e">
        <v>#NAME?</v>
      </c>
      <c r="BL27" s="46" t="e">
        <v>#NAME?</v>
      </c>
      <c r="BM27" s="46" t="e">
        <v>#NAME?</v>
      </c>
      <c r="BN27" s="46" t="e">
        <v>#NAME?</v>
      </c>
      <c r="BO27" s="46" t="e">
        <v>#NAME?</v>
      </c>
      <c r="BP27" s="46" t="e">
        <v>#NAME?</v>
      </c>
      <c r="BQ27" s="46" t="e">
        <v>#NAME?</v>
      </c>
      <c r="BR27" s="46" t="e">
        <v>#NAME?</v>
      </c>
      <c r="BS27" s="46" t="e">
        <v>#NAME?</v>
      </c>
      <c r="BT27" s="46" t="e">
        <v>#NAME?</v>
      </c>
      <c r="BU27" s="46" t="e">
        <v>#NAME?</v>
      </c>
      <c r="BV27" s="46" t="e">
        <v>#NAME?</v>
      </c>
      <c r="BW27" s="46" t="e">
        <v>#NAME?</v>
      </c>
      <c r="BX27" s="46" t="e">
        <v>#NAME?</v>
      </c>
      <c r="BY27" s="46" t="e">
        <v>#NAME?</v>
      </c>
      <c r="BZ27" s="46" t="e">
        <v>#NAME?</v>
      </c>
      <c r="CA27" s="46" t="e">
        <v>#NAME?</v>
      </c>
      <c r="CB27" s="46" t="e">
        <v>#NAME?</v>
      </c>
      <c r="CC27" s="46" t="e">
        <v>#NAME?</v>
      </c>
      <c r="CD27" s="46" t="e">
        <v>#NAME?</v>
      </c>
      <c r="CE27" s="46" t="e">
        <v>#NAME?</v>
      </c>
      <c r="CF27" s="46" t="e">
        <v>#NAME?</v>
      </c>
      <c r="CG27" s="46" t="e">
        <v>#NAME?</v>
      </c>
      <c r="CH27" s="46" t="e">
        <v>#NAME?</v>
      </c>
      <c r="CK27" s="45" t="s">
        <v>120</v>
      </c>
      <c r="CL27" s="46">
        <v>0</v>
      </c>
      <c r="CM27" s="46">
        <v>0</v>
      </c>
      <c r="CN27" s="46">
        <v>0</v>
      </c>
      <c r="CO27" s="46">
        <v>0</v>
      </c>
      <c r="CP27" s="46">
        <v>0</v>
      </c>
      <c r="CS27" s="43" t="s">
        <v>78</v>
      </c>
      <c r="CT27" s="25">
        <v>0</v>
      </c>
      <c r="CU27" s="25">
        <v>0</v>
      </c>
      <c r="CV27" s="25">
        <v>0</v>
      </c>
      <c r="CW27" s="25">
        <v>0</v>
      </c>
      <c r="CX27" s="25">
        <v>0</v>
      </c>
      <c r="CY27" s="25">
        <v>0</v>
      </c>
      <c r="CZ27" s="25">
        <v>0</v>
      </c>
      <c r="DA27" s="25">
        <v>0</v>
      </c>
      <c r="DB27" s="25">
        <v>0</v>
      </c>
      <c r="DC27" s="25">
        <v>0</v>
      </c>
      <c r="DD27" s="25">
        <v>0</v>
      </c>
      <c r="DE27" s="25">
        <v>0</v>
      </c>
    </row>
    <row r="28" spans="1:190">
      <c r="A28" t="s">
        <v>140</v>
      </c>
      <c r="B28">
        <v>0</v>
      </c>
      <c r="D28" s="70"/>
      <c r="E28" s="71"/>
      <c r="F28" s="71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P28" s="70"/>
      <c r="AQ28" s="71"/>
      <c r="AR28" s="71"/>
      <c r="AS28" s="71"/>
      <c r="AT28" s="71"/>
      <c r="AU28" s="71"/>
      <c r="AX28" s="47"/>
      <c r="AY28" s="51"/>
      <c r="AZ28" s="51"/>
      <c r="BA28" s="51"/>
      <c r="BB28" s="51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51"/>
      <c r="BX28" s="51"/>
      <c r="BY28" s="51"/>
      <c r="BZ28" s="51"/>
      <c r="CA28" s="51"/>
      <c r="CB28" s="51"/>
      <c r="CC28" s="51"/>
      <c r="CD28" s="51"/>
      <c r="CE28" s="51"/>
      <c r="CF28" s="51"/>
      <c r="CG28" s="51"/>
      <c r="CH28" s="51"/>
      <c r="CK28" s="47"/>
      <c r="CL28" s="51"/>
      <c r="CM28" s="51"/>
      <c r="CN28" s="51"/>
      <c r="CO28" s="51"/>
      <c r="CP28" s="51"/>
      <c r="CS28" s="42" t="s">
        <v>83</v>
      </c>
      <c r="CT28" s="25">
        <v>0</v>
      </c>
      <c r="CU28" s="25">
        <v>0</v>
      </c>
      <c r="CV28" s="25">
        <v>0</v>
      </c>
      <c r="CW28" s="25">
        <v>0</v>
      </c>
      <c r="CX28" s="25">
        <v>0</v>
      </c>
      <c r="CY28" s="25">
        <v>0</v>
      </c>
      <c r="CZ28" s="25">
        <v>0</v>
      </c>
      <c r="DA28" s="25">
        <v>0</v>
      </c>
      <c r="DB28" s="25">
        <v>0</v>
      </c>
      <c r="DC28" s="25">
        <v>0</v>
      </c>
      <c r="DD28" s="25">
        <v>0</v>
      </c>
      <c r="DE28" s="25">
        <v>0</v>
      </c>
    </row>
    <row r="29" spans="1:190">
      <c r="A29" t="s">
        <v>140</v>
      </c>
      <c r="B29">
        <v>0</v>
      </c>
      <c r="D29" s="58" t="s">
        <v>121</v>
      </c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P29" s="58" t="s">
        <v>121</v>
      </c>
      <c r="AQ29" s="71"/>
      <c r="AR29" s="71"/>
      <c r="AS29" s="71"/>
      <c r="AT29" s="71"/>
      <c r="AU29" s="71"/>
      <c r="AW29">
        <v>0</v>
      </c>
      <c r="AX29" s="61" t="s">
        <v>122</v>
      </c>
      <c r="AY29" s="25" t="e">
        <v>#NAME?</v>
      </c>
      <c r="AZ29" s="25" t="e">
        <v>#NAME?</v>
      </c>
      <c r="BA29" s="25" t="e">
        <v>#NAME?</v>
      </c>
      <c r="BB29" s="25" t="e">
        <v>#NAME?</v>
      </c>
      <c r="BC29" s="25" t="e">
        <v>#NAME?</v>
      </c>
      <c r="BD29" s="25" t="e">
        <v>#NAME?</v>
      </c>
      <c r="BE29" s="25" t="e">
        <v>#NAME?</v>
      </c>
      <c r="BF29" s="25" t="e">
        <v>#NAME?</v>
      </c>
      <c r="BG29" s="25" t="e">
        <v>#NAME?</v>
      </c>
      <c r="BH29" s="25" t="e">
        <v>#NAME?</v>
      </c>
      <c r="BI29" s="25" t="e">
        <v>#NAME?</v>
      </c>
      <c r="BJ29" s="25" t="e">
        <v>#NAME?</v>
      </c>
      <c r="BK29" s="25" t="e">
        <v>#NAME?</v>
      </c>
      <c r="BL29" s="25" t="e">
        <v>#NAME?</v>
      </c>
      <c r="BM29" s="25" t="e">
        <v>#NAME?</v>
      </c>
      <c r="BN29" s="25" t="e">
        <v>#NAME?</v>
      </c>
      <c r="BO29" s="25" t="e">
        <v>#NAME?</v>
      </c>
      <c r="BP29" s="25" t="e">
        <v>#NAME?</v>
      </c>
      <c r="BQ29" s="25" t="e">
        <v>#NAME?</v>
      </c>
      <c r="BR29" s="25" t="e">
        <v>#NAME?</v>
      </c>
      <c r="BS29" s="25" t="e">
        <v>#NAME?</v>
      </c>
      <c r="BT29" s="25" t="e">
        <v>#NAME?</v>
      </c>
      <c r="BU29" s="25" t="e">
        <v>#NAME?</v>
      </c>
      <c r="BV29" s="25" t="e">
        <v>#NAME?</v>
      </c>
      <c r="BW29" s="25" t="e">
        <v>#NAME?</v>
      </c>
      <c r="BX29" s="25" t="e">
        <v>#NAME?</v>
      </c>
      <c r="BY29" s="25" t="e">
        <v>#NAME?</v>
      </c>
      <c r="BZ29" s="25" t="e">
        <v>#NAME?</v>
      </c>
      <c r="CA29" s="25" t="e">
        <v>#NAME?</v>
      </c>
      <c r="CB29" s="25" t="e">
        <v>#NAME?</v>
      </c>
      <c r="CC29" s="25" t="e">
        <v>#NAME?</v>
      </c>
      <c r="CD29" s="25" t="e">
        <v>#NAME?</v>
      </c>
      <c r="CE29" s="25" t="e">
        <v>#NAME?</v>
      </c>
      <c r="CF29" s="25" t="e">
        <v>#NAME?</v>
      </c>
      <c r="CG29" s="25" t="e">
        <v>#NAME?</v>
      </c>
      <c r="CH29" s="25" t="e">
        <v>#NAME?</v>
      </c>
      <c r="CK29" s="61" t="s">
        <v>122</v>
      </c>
      <c r="CL29" s="25">
        <v>0</v>
      </c>
      <c r="CM29" s="25">
        <v>0</v>
      </c>
      <c r="CN29" s="25">
        <v>0</v>
      </c>
      <c r="CO29" s="25">
        <v>0</v>
      </c>
      <c r="CP29" s="25">
        <v>0</v>
      </c>
      <c r="CS29" s="42" t="s">
        <v>88</v>
      </c>
      <c r="CT29" s="25">
        <v>0</v>
      </c>
      <c r="CU29" s="25">
        <v>0</v>
      </c>
      <c r="CV29" s="25">
        <v>0</v>
      </c>
      <c r="CW29" s="25">
        <v>0</v>
      </c>
      <c r="CX29" s="25">
        <v>0</v>
      </c>
      <c r="CY29" s="25">
        <v>0</v>
      </c>
      <c r="CZ29" s="25">
        <v>0</v>
      </c>
      <c r="DA29" s="25">
        <v>0</v>
      </c>
      <c r="DB29" s="25">
        <v>0</v>
      </c>
      <c r="DC29" s="25">
        <v>0</v>
      </c>
      <c r="DD29" s="25">
        <v>0</v>
      </c>
      <c r="DE29" s="25">
        <v>0</v>
      </c>
    </row>
    <row r="30" spans="1:190">
      <c r="A30" t="s">
        <v>140</v>
      </c>
      <c r="B30">
        <v>0</v>
      </c>
      <c r="D30" s="35" t="s">
        <v>123</v>
      </c>
      <c r="E30" s="25" t="e">
        <v>#VALUE!</v>
      </c>
      <c r="F30" s="25" t="e">
        <v>#VALUE!</v>
      </c>
      <c r="G30" s="25" t="e">
        <v>#VALUE!</v>
      </c>
      <c r="H30" s="25" t="e">
        <v>#VALUE!</v>
      </c>
      <c r="I30" s="25" t="e">
        <v>#VALUE!</v>
      </c>
      <c r="J30" s="25" t="e">
        <v>#VALUE!</v>
      </c>
      <c r="K30" s="25" t="e">
        <v>#VALUE!</v>
      </c>
      <c r="L30" s="25" t="e">
        <v>#VALUE!</v>
      </c>
      <c r="M30" s="25" t="e">
        <v>#VALUE!</v>
      </c>
      <c r="N30" s="25" t="e">
        <v>#VALUE!</v>
      </c>
      <c r="O30" s="25" t="e">
        <v>#VALUE!</v>
      </c>
      <c r="P30" s="25" t="e">
        <v>#VALUE!</v>
      </c>
      <c r="Q30" s="25" t="e">
        <v>#VALUE!</v>
      </c>
      <c r="R30" s="25" t="e">
        <v>#VALUE!</v>
      </c>
      <c r="S30" s="25" t="e">
        <v>#VALUE!</v>
      </c>
      <c r="T30" s="25" t="e">
        <v>#VALUE!</v>
      </c>
      <c r="U30" s="25" t="e">
        <v>#VALUE!</v>
      </c>
      <c r="V30" s="25" t="e">
        <v>#VALUE!</v>
      </c>
      <c r="W30" s="25" t="e">
        <v>#VALUE!</v>
      </c>
      <c r="X30" s="25" t="e">
        <v>#VALUE!</v>
      </c>
      <c r="Y30" s="25" t="e">
        <v>#VALUE!</v>
      </c>
      <c r="Z30" s="25" t="e">
        <v>#VALUE!</v>
      </c>
      <c r="AA30" s="25" t="e">
        <v>#VALUE!</v>
      </c>
      <c r="AB30" s="25" t="e">
        <v>#VALUE!</v>
      </c>
      <c r="AC30" s="25" t="e">
        <v>#VALUE!</v>
      </c>
      <c r="AD30" s="25" t="e">
        <v>#VALUE!</v>
      </c>
      <c r="AE30" s="25" t="e">
        <v>#VALUE!</v>
      </c>
      <c r="AF30" s="25" t="e">
        <v>#VALUE!</v>
      </c>
      <c r="AG30" s="25" t="e">
        <v>#VALUE!</v>
      </c>
      <c r="AH30" s="25" t="e">
        <v>#VALUE!</v>
      </c>
      <c r="AI30" s="25" t="e">
        <v>#VALUE!</v>
      </c>
      <c r="AJ30" s="25" t="e">
        <v>#VALUE!</v>
      </c>
      <c r="AK30" s="25" t="e">
        <v>#VALUE!</v>
      </c>
      <c r="AL30" s="25" t="e">
        <v>#VALUE!</v>
      </c>
      <c r="AM30" s="25" t="e">
        <v>#VALUE!</v>
      </c>
      <c r="AN30" s="25" t="e">
        <v>#VALUE!</v>
      </c>
      <c r="AP30" s="35" t="s">
        <v>123</v>
      </c>
      <c r="AQ30" s="25">
        <v>0</v>
      </c>
      <c r="AR30" s="25">
        <v>0</v>
      </c>
      <c r="AS30" s="25">
        <v>0</v>
      </c>
      <c r="AT30" s="25">
        <v>0</v>
      </c>
      <c r="AU30" s="25">
        <v>0</v>
      </c>
      <c r="AW30">
        <v>0</v>
      </c>
      <c r="AX30" s="45" t="s">
        <v>124</v>
      </c>
      <c r="AY30" s="46" t="e">
        <v>#NAME?</v>
      </c>
      <c r="AZ30" s="46" t="e">
        <v>#NAME?</v>
      </c>
      <c r="BA30" s="46" t="e">
        <v>#NAME?</v>
      </c>
      <c r="BB30" s="46" t="e">
        <v>#NAME?</v>
      </c>
      <c r="BC30" s="46" t="e">
        <v>#NAME?</v>
      </c>
      <c r="BD30" s="46" t="e">
        <v>#NAME?</v>
      </c>
      <c r="BE30" s="46" t="e">
        <v>#NAME?</v>
      </c>
      <c r="BF30" s="46" t="e">
        <v>#NAME?</v>
      </c>
      <c r="BG30" s="46" t="e">
        <v>#NAME?</v>
      </c>
      <c r="BH30" s="46" t="e">
        <v>#NAME?</v>
      </c>
      <c r="BI30" s="46" t="e">
        <v>#NAME?</v>
      </c>
      <c r="BJ30" s="46" t="e">
        <v>#NAME?</v>
      </c>
      <c r="BK30" s="46" t="e">
        <v>#NAME?</v>
      </c>
      <c r="BL30" s="46" t="e">
        <v>#NAME?</v>
      </c>
      <c r="BM30" s="46" t="e">
        <v>#NAME?</v>
      </c>
      <c r="BN30" s="46" t="e">
        <v>#NAME?</v>
      </c>
      <c r="BO30" s="46" t="e">
        <v>#NAME?</v>
      </c>
      <c r="BP30" s="46" t="e">
        <v>#NAME?</v>
      </c>
      <c r="BQ30" s="46" t="e">
        <v>#NAME?</v>
      </c>
      <c r="BR30" s="46" t="e">
        <v>#NAME?</v>
      </c>
      <c r="BS30" s="46" t="e">
        <v>#NAME?</v>
      </c>
      <c r="BT30" s="46" t="e">
        <v>#NAME?</v>
      </c>
      <c r="BU30" s="46" t="e">
        <v>#NAME?</v>
      </c>
      <c r="BV30" s="46" t="e">
        <v>#NAME?</v>
      </c>
      <c r="BW30" s="46" t="e">
        <v>#NAME?</v>
      </c>
      <c r="BX30" s="46" t="e">
        <v>#NAME?</v>
      </c>
      <c r="BY30" s="46" t="e">
        <v>#NAME?</v>
      </c>
      <c r="BZ30" s="46" t="e">
        <v>#NAME?</v>
      </c>
      <c r="CA30" s="46" t="e">
        <v>#NAME?</v>
      </c>
      <c r="CB30" s="46" t="e">
        <v>#NAME?</v>
      </c>
      <c r="CC30" s="46" t="e">
        <v>#NAME?</v>
      </c>
      <c r="CD30" s="46" t="e">
        <v>#NAME?</v>
      </c>
      <c r="CE30" s="46" t="e">
        <v>#NAME?</v>
      </c>
      <c r="CF30" s="46" t="e">
        <v>#NAME?</v>
      </c>
      <c r="CG30" s="46" t="e">
        <v>#NAME?</v>
      </c>
      <c r="CH30" s="46" t="e">
        <v>#NAME?</v>
      </c>
      <c r="CK30" s="45" t="s">
        <v>124</v>
      </c>
      <c r="CL30" s="46">
        <v>0</v>
      </c>
      <c r="CM30" s="46">
        <v>0</v>
      </c>
      <c r="CN30" s="46">
        <v>0</v>
      </c>
      <c r="CO30" s="46">
        <v>0</v>
      </c>
      <c r="CP30" s="46">
        <v>0</v>
      </c>
      <c r="CS30" s="42" t="s">
        <v>92</v>
      </c>
      <c r="CT30" s="25">
        <v>0</v>
      </c>
      <c r="CU30" s="25">
        <v>0</v>
      </c>
      <c r="CV30" s="25">
        <v>0</v>
      </c>
      <c r="CW30" s="25">
        <v>0</v>
      </c>
      <c r="CX30" s="25">
        <v>0</v>
      </c>
      <c r="CY30" s="25">
        <v>0</v>
      </c>
      <c r="CZ30" s="25">
        <v>0</v>
      </c>
      <c r="DA30" s="25">
        <v>0</v>
      </c>
      <c r="DB30" s="25">
        <v>0</v>
      </c>
      <c r="DC30" s="25">
        <v>0</v>
      </c>
      <c r="DD30" s="25">
        <v>0</v>
      </c>
      <c r="DE30" s="25">
        <v>0</v>
      </c>
    </row>
    <row r="31" spans="1:190">
      <c r="A31" t="s">
        <v>140</v>
      </c>
      <c r="B31">
        <v>0</v>
      </c>
      <c r="D31" s="35" t="s">
        <v>125</v>
      </c>
      <c r="E31" s="25" t="e">
        <v>#VALUE!</v>
      </c>
      <c r="F31" s="25" t="e">
        <v>#VALUE!</v>
      </c>
      <c r="G31" s="25" t="e">
        <v>#VALUE!</v>
      </c>
      <c r="H31" s="25" t="e">
        <v>#VALUE!</v>
      </c>
      <c r="I31" s="25" t="e">
        <v>#VALUE!</v>
      </c>
      <c r="J31" s="25" t="e">
        <v>#VALUE!</v>
      </c>
      <c r="K31" s="25" t="e">
        <v>#VALUE!</v>
      </c>
      <c r="L31" s="25" t="e">
        <v>#VALUE!</v>
      </c>
      <c r="M31" s="25" t="e">
        <v>#VALUE!</v>
      </c>
      <c r="N31" s="25" t="e">
        <v>#VALUE!</v>
      </c>
      <c r="O31" s="25" t="e">
        <v>#VALUE!</v>
      </c>
      <c r="P31" s="25" t="e">
        <v>#VALUE!</v>
      </c>
      <c r="Q31" s="25" t="e">
        <v>#VALUE!</v>
      </c>
      <c r="R31" s="25" t="e">
        <v>#VALUE!</v>
      </c>
      <c r="S31" s="25" t="e">
        <v>#VALUE!</v>
      </c>
      <c r="T31" s="25" t="e">
        <v>#VALUE!</v>
      </c>
      <c r="U31" s="25" t="e">
        <v>#VALUE!</v>
      </c>
      <c r="V31" s="25" t="e">
        <v>#VALUE!</v>
      </c>
      <c r="W31" s="25" t="e">
        <v>#VALUE!</v>
      </c>
      <c r="X31" s="25" t="e">
        <v>#VALUE!</v>
      </c>
      <c r="Y31" s="25" t="e">
        <v>#VALUE!</v>
      </c>
      <c r="Z31" s="25" t="e">
        <v>#VALUE!</v>
      </c>
      <c r="AA31" s="25" t="e">
        <v>#VALUE!</v>
      </c>
      <c r="AB31" s="25" t="e">
        <v>#VALUE!</v>
      </c>
      <c r="AC31" s="25" t="e">
        <v>#VALUE!</v>
      </c>
      <c r="AD31" s="25" t="e">
        <v>#VALUE!</v>
      </c>
      <c r="AE31" s="25" t="e">
        <v>#VALUE!</v>
      </c>
      <c r="AF31" s="25" t="e">
        <v>#VALUE!</v>
      </c>
      <c r="AG31" s="25" t="e">
        <v>#VALUE!</v>
      </c>
      <c r="AH31" s="25" t="e">
        <v>#VALUE!</v>
      </c>
      <c r="AI31" s="25" t="e">
        <v>#VALUE!</v>
      </c>
      <c r="AJ31" s="25" t="e">
        <v>#VALUE!</v>
      </c>
      <c r="AK31" s="25" t="e">
        <v>#VALUE!</v>
      </c>
      <c r="AL31" s="25" t="e">
        <v>#VALUE!</v>
      </c>
      <c r="AM31" s="25" t="e">
        <v>#VALUE!</v>
      </c>
      <c r="AN31" s="25" t="e">
        <v>#VALUE!</v>
      </c>
      <c r="AP31" s="35" t="s">
        <v>125</v>
      </c>
      <c r="AQ31" s="25">
        <v>0</v>
      </c>
      <c r="AR31" s="25">
        <v>0</v>
      </c>
      <c r="AS31" s="25">
        <v>0</v>
      </c>
      <c r="AT31" s="25">
        <v>0</v>
      </c>
      <c r="AU31" s="25">
        <v>0</v>
      </c>
      <c r="AW31" t="s">
        <v>86</v>
      </c>
      <c r="AX31" s="67" t="s">
        <v>4</v>
      </c>
      <c r="AY31" s="72" t="s">
        <v>86</v>
      </c>
      <c r="AZ31" s="72" t="s">
        <v>86</v>
      </c>
      <c r="BA31" s="72" t="s">
        <v>86</v>
      </c>
      <c r="BB31" s="72" t="s">
        <v>86</v>
      </c>
      <c r="BC31" s="72" t="s">
        <v>86</v>
      </c>
      <c r="BD31" s="72" t="s">
        <v>86</v>
      </c>
      <c r="BE31" s="72" t="s">
        <v>86</v>
      </c>
      <c r="BF31" s="72" t="s">
        <v>86</v>
      </c>
      <c r="BG31" s="72" t="s">
        <v>86</v>
      </c>
      <c r="BH31" s="72" t="s">
        <v>86</v>
      </c>
      <c r="BI31" s="72" t="s">
        <v>86</v>
      </c>
      <c r="BJ31" s="72" t="s">
        <v>86</v>
      </c>
      <c r="BK31" s="72" t="s">
        <v>86</v>
      </c>
      <c r="BL31" s="72" t="s">
        <v>86</v>
      </c>
      <c r="BM31" s="72" t="s">
        <v>86</v>
      </c>
      <c r="BN31" s="72" t="s">
        <v>86</v>
      </c>
      <c r="BO31" s="72" t="s">
        <v>86</v>
      </c>
      <c r="BP31" s="72" t="s">
        <v>86</v>
      </c>
      <c r="BQ31" s="72" t="s">
        <v>86</v>
      </c>
      <c r="BR31" s="72" t="s">
        <v>86</v>
      </c>
      <c r="BS31" s="72" t="s">
        <v>86</v>
      </c>
      <c r="BT31" s="72" t="s">
        <v>86</v>
      </c>
      <c r="BU31" s="72" t="s">
        <v>86</v>
      </c>
      <c r="BV31" s="72" t="s">
        <v>86</v>
      </c>
      <c r="BW31" s="72" t="s">
        <v>86</v>
      </c>
      <c r="BX31" s="72" t="s">
        <v>86</v>
      </c>
      <c r="BY31" s="72" t="s">
        <v>86</v>
      </c>
      <c r="BZ31" s="72" t="s">
        <v>86</v>
      </c>
      <c r="CA31" s="72" t="s">
        <v>86</v>
      </c>
      <c r="CB31" s="72" t="s">
        <v>86</v>
      </c>
      <c r="CC31" s="72" t="s">
        <v>86</v>
      </c>
      <c r="CD31" s="72" t="s">
        <v>86</v>
      </c>
      <c r="CE31" s="72" t="s">
        <v>86</v>
      </c>
      <c r="CF31" s="72" t="s">
        <v>86</v>
      </c>
      <c r="CG31" s="72" t="s">
        <v>86</v>
      </c>
      <c r="CH31" s="72" t="s">
        <v>86</v>
      </c>
      <c r="CK31" s="67" t="s">
        <v>4</v>
      </c>
      <c r="CL31" s="72" t="s">
        <v>86</v>
      </c>
      <c r="CM31" s="72" t="s">
        <v>86</v>
      </c>
      <c r="CN31" s="72" t="s">
        <v>86</v>
      </c>
      <c r="CO31" s="72" t="s">
        <v>86</v>
      </c>
      <c r="CP31" s="72" t="s">
        <v>86</v>
      </c>
      <c r="CS31" s="42" t="s">
        <v>96</v>
      </c>
      <c r="CT31" s="25">
        <v>0</v>
      </c>
      <c r="CU31" s="25">
        <v>0</v>
      </c>
      <c r="CV31" s="25">
        <v>0</v>
      </c>
      <c r="CW31" s="25">
        <v>0</v>
      </c>
      <c r="CX31" s="25">
        <v>0</v>
      </c>
      <c r="CY31" s="25">
        <v>0</v>
      </c>
      <c r="CZ31" s="25">
        <v>0</v>
      </c>
      <c r="DA31" s="25">
        <v>0</v>
      </c>
      <c r="DB31" s="25">
        <v>0</v>
      </c>
      <c r="DC31" s="25">
        <v>0</v>
      </c>
      <c r="DD31" s="25">
        <v>0</v>
      </c>
      <c r="DE31" s="25">
        <v>0</v>
      </c>
    </row>
    <row r="32" spans="1:190">
      <c r="A32" t="s">
        <v>140</v>
      </c>
      <c r="B32">
        <v>0</v>
      </c>
      <c r="D32" s="68" t="s">
        <v>126</v>
      </c>
      <c r="E32" s="69" t="e">
        <v>#VALUE!</v>
      </c>
      <c r="F32" s="69" t="e">
        <v>#VALUE!</v>
      </c>
      <c r="G32" s="69" t="e">
        <v>#VALUE!</v>
      </c>
      <c r="H32" s="69" t="e">
        <v>#VALUE!</v>
      </c>
      <c r="I32" s="69" t="e">
        <v>#VALUE!</v>
      </c>
      <c r="J32" s="69" t="e">
        <v>#VALUE!</v>
      </c>
      <c r="K32" s="69" t="e">
        <v>#VALUE!</v>
      </c>
      <c r="L32" s="69" t="e">
        <v>#VALUE!</v>
      </c>
      <c r="M32" s="69" t="e">
        <v>#VALUE!</v>
      </c>
      <c r="N32" s="69" t="e">
        <v>#VALUE!</v>
      </c>
      <c r="O32" s="69" t="e">
        <v>#VALUE!</v>
      </c>
      <c r="P32" s="69" t="e">
        <v>#VALUE!</v>
      </c>
      <c r="Q32" s="69" t="e">
        <v>#VALUE!</v>
      </c>
      <c r="R32" s="69" t="e">
        <v>#VALUE!</v>
      </c>
      <c r="S32" s="69" t="e">
        <v>#VALUE!</v>
      </c>
      <c r="T32" s="69" t="e">
        <v>#VALUE!</v>
      </c>
      <c r="U32" s="69" t="e">
        <v>#VALUE!</v>
      </c>
      <c r="V32" s="69" t="e">
        <v>#VALUE!</v>
      </c>
      <c r="W32" s="69" t="e">
        <v>#VALUE!</v>
      </c>
      <c r="X32" s="69" t="e">
        <v>#VALUE!</v>
      </c>
      <c r="Y32" s="69" t="e">
        <v>#VALUE!</v>
      </c>
      <c r="Z32" s="69" t="e">
        <v>#VALUE!</v>
      </c>
      <c r="AA32" s="69" t="e">
        <v>#VALUE!</v>
      </c>
      <c r="AB32" s="69" t="e">
        <v>#VALUE!</v>
      </c>
      <c r="AC32" s="69" t="e">
        <v>#VALUE!</v>
      </c>
      <c r="AD32" s="69" t="e">
        <v>#VALUE!</v>
      </c>
      <c r="AE32" s="69" t="e">
        <v>#VALUE!</v>
      </c>
      <c r="AF32" s="69" t="e">
        <v>#VALUE!</v>
      </c>
      <c r="AG32" s="69" t="e">
        <v>#VALUE!</v>
      </c>
      <c r="AH32" s="69" t="e">
        <v>#VALUE!</v>
      </c>
      <c r="AI32" s="69" t="e">
        <v>#VALUE!</v>
      </c>
      <c r="AJ32" s="69" t="e">
        <v>#VALUE!</v>
      </c>
      <c r="AK32" s="69" t="e">
        <v>#VALUE!</v>
      </c>
      <c r="AL32" s="69" t="e">
        <v>#VALUE!</v>
      </c>
      <c r="AM32" s="69" t="e">
        <v>#VALUE!</v>
      </c>
      <c r="AN32" s="69" t="e">
        <v>#VALUE!</v>
      </c>
      <c r="AO32" s="73"/>
      <c r="AP32" s="68" t="s">
        <v>126</v>
      </c>
      <c r="AQ32" s="69">
        <v>0</v>
      </c>
      <c r="AR32" s="69">
        <v>0</v>
      </c>
      <c r="AS32" s="69">
        <v>0</v>
      </c>
      <c r="AT32" s="69">
        <v>0</v>
      </c>
      <c r="AU32" s="69">
        <v>0</v>
      </c>
      <c r="AV32" s="73"/>
      <c r="AW32" s="73"/>
      <c r="AX32" s="67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K32" s="67"/>
      <c r="CL32" s="74"/>
      <c r="CM32" s="74"/>
      <c r="CN32" s="74"/>
      <c r="CO32" s="74"/>
      <c r="CP32" s="74"/>
      <c r="CS32" s="42" t="s">
        <v>30</v>
      </c>
      <c r="CT32" s="25">
        <v>0</v>
      </c>
      <c r="CU32" s="25">
        <v>0</v>
      </c>
      <c r="CV32" s="25">
        <v>0</v>
      </c>
      <c r="CW32" s="25">
        <v>0</v>
      </c>
      <c r="CX32" s="25">
        <v>0</v>
      </c>
      <c r="CY32" s="25">
        <v>0</v>
      </c>
      <c r="CZ32" s="25">
        <v>0</v>
      </c>
      <c r="DA32" s="25">
        <v>0</v>
      </c>
      <c r="DB32" s="25">
        <v>0</v>
      </c>
      <c r="DC32" s="25">
        <v>0</v>
      </c>
      <c r="DD32" s="25">
        <v>0</v>
      </c>
      <c r="DE32" s="25">
        <v>0</v>
      </c>
    </row>
    <row r="33" spans="1:233" ht="15.75" thickBot="1">
      <c r="A33" t="s">
        <v>140</v>
      </c>
      <c r="B33">
        <v>0</v>
      </c>
      <c r="D33" s="75" t="s">
        <v>127</v>
      </c>
      <c r="E33" s="76" t="e">
        <v>#VALUE!</v>
      </c>
      <c r="F33" s="76" t="e">
        <v>#VALUE!</v>
      </c>
      <c r="G33" s="76" t="e">
        <v>#VALUE!</v>
      </c>
      <c r="H33" s="76" t="e">
        <v>#VALUE!</v>
      </c>
      <c r="I33" s="76" t="e">
        <v>#VALUE!</v>
      </c>
      <c r="J33" s="76" t="e">
        <v>#VALUE!</v>
      </c>
      <c r="K33" s="76" t="e">
        <v>#VALUE!</v>
      </c>
      <c r="L33" s="76" t="e">
        <v>#VALUE!</v>
      </c>
      <c r="M33" s="76" t="e">
        <v>#VALUE!</v>
      </c>
      <c r="N33" s="76" t="e">
        <v>#VALUE!</v>
      </c>
      <c r="O33" s="76" t="e">
        <v>#VALUE!</v>
      </c>
      <c r="P33" s="76" t="e">
        <v>#VALUE!</v>
      </c>
      <c r="Q33" s="76" t="e">
        <v>#VALUE!</v>
      </c>
      <c r="R33" s="76" t="e">
        <v>#VALUE!</v>
      </c>
      <c r="S33" s="76" t="e">
        <v>#VALUE!</v>
      </c>
      <c r="T33" s="76" t="e">
        <v>#VALUE!</v>
      </c>
      <c r="U33" s="76" t="e">
        <v>#VALUE!</v>
      </c>
      <c r="V33" s="76" t="e">
        <v>#VALUE!</v>
      </c>
      <c r="W33" s="76" t="e">
        <v>#VALUE!</v>
      </c>
      <c r="X33" s="76" t="e">
        <v>#VALUE!</v>
      </c>
      <c r="Y33" s="76" t="e">
        <v>#VALUE!</v>
      </c>
      <c r="Z33" s="76" t="e">
        <v>#VALUE!</v>
      </c>
      <c r="AA33" s="76" t="e">
        <v>#VALUE!</v>
      </c>
      <c r="AB33" s="76" t="e">
        <v>#VALUE!</v>
      </c>
      <c r="AC33" s="76" t="e">
        <v>#VALUE!</v>
      </c>
      <c r="AD33" s="76" t="e">
        <v>#VALUE!</v>
      </c>
      <c r="AE33" s="76" t="e">
        <v>#VALUE!</v>
      </c>
      <c r="AF33" s="76" t="e">
        <v>#VALUE!</v>
      </c>
      <c r="AG33" s="76" t="e">
        <v>#VALUE!</v>
      </c>
      <c r="AH33" s="76" t="e">
        <v>#VALUE!</v>
      </c>
      <c r="AI33" s="76" t="e">
        <v>#VALUE!</v>
      </c>
      <c r="AJ33" s="76" t="e">
        <v>#VALUE!</v>
      </c>
      <c r="AK33" s="76" t="e">
        <v>#VALUE!</v>
      </c>
      <c r="AL33" s="76" t="e">
        <v>#VALUE!</v>
      </c>
      <c r="AM33" s="76" t="e">
        <v>#VALUE!</v>
      </c>
      <c r="AN33" s="76" t="e">
        <v>#VALUE!</v>
      </c>
      <c r="AO33" s="77"/>
      <c r="AP33" s="75" t="s">
        <v>127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7"/>
      <c r="AW33" s="77">
        <v>0</v>
      </c>
      <c r="AX33" s="61" t="s">
        <v>128</v>
      </c>
      <c r="AY33" s="25" t="e">
        <v>#NAME?</v>
      </c>
      <c r="AZ33" s="25" t="e">
        <v>#NAME?</v>
      </c>
      <c r="BA33" s="25" t="e">
        <v>#NAME?</v>
      </c>
      <c r="BB33" s="25" t="e">
        <v>#NAME?</v>
      </c>
      <c r="BC33" s="25" t="e">
        <v>#NAME?</v>
      </c>
      <c r="BD33" s="25" t="e">
        <v>#NAME?</v>
      </c>
      <c r="BE33" s="25" t="e">
        <v>#NAME?</v>
      </c>
      <c r="BF33" s="25" t="e">
        <v>#NAME?</v>
      </c>
      <c r="BG33" s="25" t="e">
        <v>#NAME?</v>
      </c>
      <c r="BH33" s="25" t="e">
        <v>#NAME?</v>
      </c>
      <c r="BI33" s="25" t="e">
        <v>#NAME?</v>
      </c>
      <c r="BJ33" s="25" t="e">
        <v>#NAME?</v>
      </c>
      <c r="BK33" s="25" t="e">
        <v>#NAME?</v>
      </c>
      <c r="BL33" s="25" t="e">
        <v>#NAME?</v>
      </c>
      <c r="BM33" s="25" t="e">
        <v>#NAME?</v>
      </c>
      <c r="BN33" s="25" t="e">
        <v>#NAME?</v>
      </c>
      <c r="BO33" s="25" t="e">
        <v>#NAME?</v>
      </c>
      <c r="BP33" s="25" t="e">
        <v>#NAME?</v>
      </c>
      <c r="BQ33" s="25" t="e">
        <v>#NAME?</v>
      </c>
      <c r="BR33" s="25" t="e">
        <v>#NAME?</v>
      </c>
      <c r="BS33" s="25" t="e">
        <v>#NAME?</v>
      </c>
      <c r="BT33" s="25" t="e">
        <v>#NAME?</v>
      </c>
      <c r="BU33" s="25" t="e">
        <v>#NAME?</v>
      </c>
      <c r="BV33" s="25" t="e">
        <v>#NAME?</v>
      </c>
      <c r="BW33" s="25" t="e">
        <v>#NAME?</v>
      </c>
      <c r="BX33" s="25" t="e">
        <v>#NAME?</v>
      </c>
      <c r="BY33" s="25" t="e">
        <v>#NAME?</v>
      </c>
      <c r="BZ33" s="25" t="e">
        <v>#NAME?</v>
      </c>
      <c r="CA33" s="25" t="e">
        <v>#NAME?</v>
      </c>
      <c r="CB33" s="25" t="e">
        <v>#NAME?</v>
      </c>
      <c r="CC33" s="25" t="e">
        <v>#NAME?</v>
      </c>
      <c r="CD33" s="25" t="e">
        <v>#NAME?</v>
      </c>
      <c r="CE33" s="25" t="e">
        <v>#NAME?</v>
      </c>
      <c r="CF33" s="25" t="e">
        <v>#NAME?</v>
      </c>
      <c r="CG33" s="25" t="e">
        <v>#NAME?</v>
      </c>
      <c r="CH33" s="25" t="e">
        <v>#NAME?</v>
      </c>
      <c r="CK33" s="61" t="s">
        <v>128</v>
      </c>
      <c r="CL33" s="25">
        <v>0</v>
      </c>
      <c r="CM33" s="25">
        <v>0</v>
      </c>
      <c r="CN33" s="25">
        <v>0</v>
      </c>
      <c r="CO33" s="25">
        <v>0</v>
      </c>
      <c r="CP33" s="25">
        <v>0</v>
      </c>
      <c r="CS33" s="42" t="s">
        <v>47</v>
      </c>
      <c r="CT33" s="25">
        <v>0</v>
      </c>
      <c r="CU33" s="25">
        <v>0</v>
      </c>
      <c r="CV33" s="25">
        <v>0</v>
      </c>
      <c r="CW33" s="25">
        <v>0</v>
      </c>
      <c r="CX33" s="25">
        <v>0</v>
      </c>
      <c r="CY33" s="25">
        <v>0</v>
      </c>
      <c r="CZ33" s="25">
        <v>0</v>
      </c>
      <c r="DA33" s="25">
        <v>0</v>
      </c>
      <c r="DB33" s="25">
        <v>0</v>
      </c>
      <c r="DC33" s="25">
        <v>0</v>
      </c>
      <c r="DD33" s="25">
        <v>0</v>
      </c>
      <c r="DE33" s="25">
        <v>0</v>
      </c>
    </row>
    <row r="34" spans="1:233" ht="16.5" customHeight="1">
      <c r="A34" t="s">
        <v>140</v>
      </c>
      <c r="B34">
        <v>0</v>
      </c>
      <c r="D34" t="s">
        <v>542</v>
      </c>
      <c r="E34" s="259" t="e">
        <v>#VALUE!</v>
      </c>
      <c r="F34" s="259" t="e">
        <v>#VALUE!</v>
      </c>
      <c r="G34" s="259" t="e">
        <v>#VALUE!</v>
      </c>
      <c r="H34" s="259" t="e">
        <v>#VALUE!</v>
      </c>
      <c r="I34" s="259" t="e">
        <v>#VALUE!</v>
      </c>
      <c r="J34" s="259" t="e">
        <v>#VALUE!</v>
      </c>
      <c r="K34" s="259" t="e">
        <v>#VALUE!</v>
      </c>
      <c r="L34" s="259" t="e">
        <v>#VALUE!</v>
      </c>
      <c r="M34" s="259" t="e">
        <v>#VALUE!</v>
      </c>
      <c r="N34" s="259" t="e">
        <v>#VALUE!</v>
      </c>
      <c r="O34" s="259" t="e">
        <v>#VALUE!</v>
      </c>
      <c r="P34" s="259" t="e">
        <v>#VALUE!</v>
      </c>
      <c r="Q34" s="259" t="e">
        <v>#VALUE!</v>
      </c>
      <c r="R34" s="259" t="e">
        <v>#VALUE!</v>
      </c>
      <c r="S34" s="259" t="e">
        <v>#VALUE!</v>
      </c>
      <c r="T34" s="259" t="e">
        <v>#VALUE!</v>
      </c>
      <c r="U34" s="259" t="e">
        <v>#VALUE!</v>
      </c>
      <c r="V34" s="259" t="e">
        <v>#VALUE!</v>
      </c>
      <c r="W34" s="259" t="e">
        <v>#VALUE!</v>
      </c>
      <c r="X34" s="259" t="e">
        <v>#VALUE!</v>
      </c>
      <c r="Y34" s="259" t="e">
        <v>#VALUE!</v>
      </c>
      <c r="Z34" s="259" t="e">
        <v>#VALUE!</v>
      </c>
      <c r="AA34" s="259" t="e">
        <v>#VALUE!</v>
      </c>
      <c r="AB34" s="259" t="e">
        <v>#VALUE!</v>
      </c>
      <c r="AC34" s="259" t="e">
        <v>#VALUE!</v>
      </c>
      <c r="AD34" s="259" t="e">
        <v>#VALUE!</v>
      </c>
      <c r="AE34" s="259" t="e">
        <v>#VALUE!</v>
      </c>
      <c r="AF34" s="259" t="e">
        <v>#VALUE!</v>
      </c>
      <c r="AG34" s="259" t="e">
        <v>#VALUE!</v>
      </c>
      <c r="AH34" s="259" t="e">
        <v>#VALUE!</v>
      </c>
      <c r="AI34" s="259" t="e">
        <v>#VALUE!</v>
      </c>
      <c r="AJ34" s="259" t="e">
        <v>#VALUE!</v>
      </c>
      <c r="AK34" s="259" t="e">
        <v>#VALUE!</v>
      </c>
      <c r="AL34" s="259" t="e">
        <v>#VALUE!</v>
      </c>
      <c r="AM34" s="259" t="e">
        <v>#VALUE!</v>
      </c>
      <c r="AN34" s="259" t="e">
        <v>#VALUE!</v>
      </c>
      <c r="AW34" s="259">
        <v>0</v>
      </c>
      <c r="AX34" s="45" t="s">
        <v>129</v>
      </c>
      <c r="AY34" s="46" t="e">
        <v>#NAME?</v>
      </c>
      <c r="AZ34" s="46" t="e">
        <v>#NAME?</v>
      </c>
      <c r="BA34" s="46" t="e">
        <v>#NAME?</v>
      </c>
      <c r="BB34" s="46" t="e">
        <v>#NAME?</v>
      </c>
      <c r="BC34" s="46" t="e">
        <v>#NAME?</v>
      </c>
      <c r="BD34" s="46" t="e">
        <v>#NAME?</v>
      </c>
      <c r="BE34" s="46" t="e">
        <v>#NAME?</v>
      </c>
      <c r="BF34" s="46" t="e">
        <v>#NAME?</v>
      </c>
      <c r="BG34" s="46" t="e">
        <v>#NAME?</v>
      </c>
      <c r="BH34" s="46" t="e">
        <v>#NAME?</v>
      </c>
      <c r="BI34" s="46" t="e">
        <v>#NAME?</v>
      </c>
      <c r="BJ34" s="46" t="e">
        <v>#NAME?</v>
      </c>
      <c r="BK34" s="46" t="e">
        <v>#NAME?</v>
      </c>
      <c r="BL34" s="46" t="e">
        <v>#NAME?</v>
      </c>
      <c r="BM34" s="46" t="e">
        <v>#NAME?</v>
      </c>
      <c r="BN34" s="46" t="e">
        <v>#NAME?</v>
      </c>
      <c r="BO34" s="46" t="e">
        <v>#NAME?</v>
      </c>
      <c r="BP34" s="46" t="e">
        <v>#NAME?</v>
      </c>
      <c r="BQ34" s="46" t="e">
        <v>#NAME?</v>
      </c>
      <c r="BR34" s="46" t="e">
        <v>#NAME?</v>
      </c>
      <c r="BS34" s="46" t="e">
        <v>#NAME?</v>
      </c>
      <c r="BT34" s="46" t="e">
        <v>#NAME?</v>
      </c>
      <c r="BU34" s="46" t="e">
        <v>#NAME?</v>
      </c>
      <c r="BV34" s="46" t="e">
        <v>#NAME?</v>
      </c>
      <c r="BW34" s="46" t="e">
        <v>#NAME?</v>
      </c>
      <c r="BX34" s="46" t="e">
        <v>#NAME?</v>
      </c>
      <c r="BY34" s="46" t="e">
        <v>#NAME?</v>
      </c>
      <c r="BZ34" s="46" t="e">
        <v>#NAME?</v>
      </c>
      <c r="CA34" s="46" t="e">
        <v>#NAME?</v>
      </c>
      <c r="CB34" s="46" t="e">
        <v>#NAME?</v>
      </c>
      <c r="CC34" s="46" t="e">
        <v>#NAME?</v>
      </c>
      <c r="CD34" s="46" t="e">
        <v>#NAME?</v>
      </c>
      <c r="CE34" s="46" t="e">
        <v>#NAME?</v>
      </c>
      <c r="CF34" s="46" t="e">
        <v>#NAME?</v>
      </c>
      <c r="CG34" s="46" t="e">
        <v>#NAME?</v>
      </c>
      <c r="CH34" s="46" t="e">
        <v>#NAME?</v>
      </c>
      <c r="CK34" s="45" t="s">
        <v>129</v>
      </c>
      <c r="CL34" s="46">
        <v>0</v>
      </c>
      <c r="CM34" s="46">
        <v>0</v>
      </c>
      <c r="CN34" s="46">
        <v>0</v>
      </c>
      <c r="CO34" s="46">
        <v>0</v>
      </c>
      <c r="CP34" s="46">
        <v>0</v>
      </c>
      <c r="CS34" s="42" t="s">
        <v>102</v>
      </c>
      <c r="CT34" s="25">
        <v>0</v>
      </c>
      <c r="CU34" s="25">
        <v>0</v>
      </c>
      <c r="CV34" s="25">
        <v>0</v>
      </c>
      <c r="CW34" s="25">
        <v>0</v>
      </c>
      <c r="CX34" s="25">
        <v>0</v>
      </c>
      <c r="CY34" s="25">
        <v>0</v>
      </c>
      <c r="CZ34" s="25">
        <v>0</v>
      </c>
      <c r="DA34" s="25">
        <v>0</v>
      </c>
      <c r="DB34" s="25">
        <v>0</v>
      </c>
      <c r="DC34" s="25">
        <v>0</v>
      </c>
      <c r="DD34" s="25">
        <v>0</v>
      </c>
      <c r="DE34" s="25">
        <v>0</v>
      </c>
    </row>
    <row r="35" spans="1:233" ht="15.75" thickBot="1">
      <c r="A35" t="s">
        <v>140</v>
      </c>
      <c r="B35">
        <v>0</v>
      </c>
      <c r="D35" t="s">
        <v>540</v>
      </c>
      <c r="E35" s="78" t="e">
        <v>#VALUE!</v>
      </c>
      <c r="F35" s="78" t="e">
        <v>#VALUE!</v>
      </c>
      <c r="G35" s="78" t="e">
        <v>#VALUE!</v>
      </c>
      <c r="H35" s="78" t="e">
        <v>#VALUE!</v>
      </c>
      <c r="I35" s="78" t="e">
        <v>#VALUE!</v>
      </c>
      <c r="J35" s="78" t="e">
        <v>#VALUE!</v>
      </c>
      <c r="K35" s="78" t="e">
        <v>#VALUE!</v>
      </c>
      <c r="L35" s="78" t="e">
        <v>#VALUE!</v>
      </c>
      <c r="M35" s="78" t="e">
        <v>#VALUE!</v>
      </c>
      <c r="N35" s="78" t="e">
        <v>#VALUE!</v>
      </c>
      <c r="O35" s="78" t="e">
        <v>#VALUE!</v>
      </c>
      <c r="P35" s="78" t="e">
        <v>#VALUE!</v>
      </c>
      <c r="Q35" s="78" t="e">
        <v>#VALUE!</v>
      </c>
      <c r="R35" s="78" t="e">
        <v>#VALUE!</v>
      </c>
      <c r="S35" s="78" t="e">
        <v>#VALUE!</v>
      </c>
      <c r="T35" s="78" t="e">
        <v>#VALUE!</v>
      </c>
      <c r="U35" s="78" t="e">
        <v>#VALUE!</v>
      </c>
      <c r="V35" s="78" t="e">
        <v>#VALUE!</v>
      </c>
      <c r="W35" s="78" t="e">
        <v>#VALUE!</v>
      </c>
      <c r="X35" s="78" t="e">
        <v>#VALUE!</v>
      </c>
      <c r="Y35" s="78" t="e">
        <v>#VALUE!</v>
      </c>
      <c r="Z35" s="78" t="e">
        <v>#VALUE!</v>
      </c>
      <c r="AA35" s="78" t="e">
        <v>#VALUE!</v>
      </c>
      <c r="AB35" s="78" t="e">
        <v>#VALUE!</v>
      </c>
      <c r="AC35" s="78" t="e">
        <v>#VALUE!</v>
      </c>
      <c r="AD35" s="78" t="e">
        <v>#VALUE!</v>
      </c>
      <c r="AE35" s="78" t="e">
        <v>#VALUE!</v>
      </c>
      <c r="AF35" s="78" t="e">
        <v>#VALUE!</v>
      </c>
      <c r="AG35" s="78" t="e">
        <v>#VALUE!</v>
      </c>
      <c r="AH35" s="78" t="e">
        <v>#VALUE!</v>
      </c>
      <c r="AI35" s="78" t="e">
        <v>#VALUE!</v>
      </c>
      <c r="AJ35" s="78" t="e">
        <v>#VALUE!</v>
      </c>
      <c r="AK35" s="78" t="e">
        <v>#VALUE!</v>
      </c>
      <c r="AL35" s="78" t="e">
        <v>#VALUE!</v>
      </c>
      <c r="AM35" s="78" t="e">
        <v>#VALUE!</v>
      </c>
      <c r="AN35" s="78" t="e">
        <v>#VALUE!</v>
      </c>
      <c r="AX35" s="79"/>
      <c r="AY35" s="80"/>
      <c r="AZ35" s="80"/>
      <c r="BA35" s="80"/>
      <c r="BB35" s="80"/>
      <c r="BC35" s="80"/>
      <c r="BD35" s="80"/>
      <c r="BE35" s="80"/>
      <c r="BF35" s="80"/>
      <c r="BG35" s="80"/>
      <c r="BH35" s="80"/>
      <c r="BI35" s="80"/>
      <c r="BJ35" s="80"/>
      <c r="BK35" s="80"/>
      <c r="BL35" s="80"/>
      <c r="BM35" s="80"/>
      <c r="BN35" s="80"/>
      <c r="BO35" s="80"/>
      <c r="BP35" s="80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0"/>
      <c r="CF35" s="80"/>
      <c r="CG35" s="80"/>
      <c r="CH35" s="80"/>
      <c r="CK35" s="79"/>
      <c r="CL35" s="80"/>
      <c r="CM35" s="80"/>
      <c r="CN35" s="80"/>
      <c r="CO35" s="80"/>
      <c r="CP35" s="80"/>
      <c r="CS35" s="60" t="s">
        <v>104</v>
      </c>
      <c r="CT35" s="51">
        <v>0</v>
      </c>
      <c r="CU35" s="51">
        <v>0</v>
      </c>
      <c r="CV35" s="51">
        <v>0</v>
      </c>
      <c r="CW35" s="51">
        <v>0</v>
      </c>
      <c r="CX35" s="51">
        <v>0</v>
      </c>
      <c r="CY35" s="51">
        <v>0</v>
      </c>
      <c r="CZ35" s="51">
        <v>0</v>
      </c>
      <c r="DA35" s="51">
        <v>0</v>
      </c>
      <c r="DB35" s="51">
        <v>0</v>
      </c>
      <c r="DC35" s="51">
        <v>0</v>
      </c>
      <c r="DD35" s="51">
        <v>0</v>
      </c>
      <c r="DE35" s="51">
        <v>0</v>
      </c>
    </row>
    <row r="36" spans="1:233" ht="15.75" thickBot="1">
      <c r="A36" t="s">
        <v>140</v>
      </c>
      <c r="B36">
        <v>0</v>
      </c>
      <c r="D36" t="s">
        <v>541</v>
      </c>
      <c r="E36" s="78" t="e">
        <v>#VALUE!</v>
      </c>
      <c r="F36" s="78" t="e">
        <v>#VALUE!</v>
      </c>
      <c r="G36" s="78" t="e">
        <v>#VALUE!</v>
      </c>
      <c r="H36" s="78" t="e">
        <v>#VALUE!</v>
      </c>
      <c r="I36" s="78" t="e">
        <v>#VALUE!</v>
      </c>
      <c r="J36" s="78" t="e">
        <v>#VALUE!</v>
      </c>
      <c r="K36" s="78" t="e">
        <v>#VALUE!</v>
      </c>
      <c r="L36" s="78" t="e">
        <v>#VALUE!</v>
      </c>
      <c r="M36" s="78" t="e">
        <v>#VALUE!</v>
      </c>
      <c r="N36" s="78" t="e">
        <v>#VALUE!</v>
      </c>
      <c r="O36" s="78" t="e">
        <v>#VALUE!</v>
      </c>
      <c r="P36" s="78" t="e">
        <v>#VALUE!</v>
      </c>
      <c r="Q36" s="78" t="e">
        <v>#VALUE!</v>
      </c>
      <c r="R36" s="78" t="e">
        <v>#VALUE!</v>
      </c>
      <c r="S36" s="78" t="e">
        <v>#VALUE!</v>
      </c>
      <c r="T36" s="78" t="e">
        <v>#VALUE!</v>
      </c>
      <c r="U36" s="78" t="e">
        <v>#VALUE!</v>
      </c>
      <c r="V36" s="78" t="e">
        <v>#VALUE!</v>
      </c>
      <c r="W36" s="78" t="e">
        <v>#VALUE!</v>
      </c>
      <c r="X36" s="78" t="e">
        <v>#VALUE!</v>
      </c>
      <c r="Y36" s="78" t="e">
        <v>#VALUE!</v>
      </c>
      <c r="Z36" s="78" t="e">
        <v>#VALUE!</v>
      </c>
      <c r="AA36" s="78" t="e">
        <v>#VALUE!</v>
      </c>
      <c r="AB36" s="78" t="e">
        <v>#VALUE!</v>
      </c>
      <c r="AC36" s="78" t="e">
        <v>#VALUE!</v>
      </c>
      <c r="AD36" s="78" t="e">
        <v>#VALUE!</v>
      </c>
      <c r="AE36" s="78" t="e">
        <v>#VALUE!</v>
      </c>
      <c r="AF36" s="78" t="e">
        <v>#VALUE!</v>
      </c>
      <c r="AG36" s="78" t="e">
        <v>#VALUE!</v>
      </c>
      <c r="AH36" s="78" t="e">
        <v>#VALUE!</v>
      </c>
      <c r="AI36" s="78" t="e">
        <v>#VALUE!</v>
      </c>
      <c r="AJ36" s="78" t="e">
        <v>#VALUE!</v>
      </c>
      <c r="AK36" s="78" t="e">
        <v>#VALUE!</v>
      </c>
      <c r="AL36" s="78" t="e">
        <v>#VALUE!</v>
      </c>
      <c r="AM36" s="78" t="e">
        <v>#VALUE!</v>
      </c>
      <c r="AN36" s="78" t="e">
        <v>#VALUE!</v>
      </c>
      <c r="AX36" s="81"/>
      <c r="AY36" s="82"/>
      <c r="AZ36" s="82"/>
      <c r="BA36" s="82"/>
      <c r="BB36" s="82"/>
      <c r="BC36" s="82"/>
      <c r="BD36" s="82"/>
      <c r="BE36" s="82"/>
      <c r="BF36" s="82"/>
      <c r="BG36" s="82"/>
      <c r="BH36" s="82"/>
      <c r="BI36" s="82"/>
      <c r="BJ36" s="82"/>
      <c r="BK36" s="82"/>
      <c r="BL36" s="82"/>
      <c r="BM36" s="82"/>
      <c r="BN36" s="82"/>
      <c r="BO36" s="82"/>
      <c r="BP36" s="82"/>
      <c r="BQ36" s="82"/>
      <c r="BR36" s="82"/>
      <c r="BS36" s="82"/>
      <c r="BT36" s="82"/>
      <c r="BU36" s="82"/>
      <c r="BV36" s="82"/>
      <c r="BW36" s="82"/>
      <c r="BX36" s="82"/>
      <c r="BY36" s="82"/>
      <c r="BZ36" s="82"/>
      <c r="CA36" s="82"/>
      <c r="CB36" s="82"/>
      <c r="CC36" s="82"/>
      <c r="CD36" s="82"/>
      <c r="CE36" s="82"/>
      <c r="CF36" s="82"/>
      <c r="CG36" s="82"/>
      <c r="CH36" s="82"/>
      <c r="CK36" s="81"/>
      <c r="CL36" s="82"/>
      <c r="CM36" s="82"/>
      <c r="CN36" s="82"/>
      <c r="CO36" s="82"/>
      <c r="CP36" s="82"/>
      <c r="CS36" s="62" t="s">
        <v>107</v>
      </c>
      <c r="CT36" s="63">
        <v>0</v>
      </c>
      <c r="CU36" s="63">
        <v>0</v>
      </c>
      <c r="CV36" s="63">
        <v>0</v>
      </c>
      <c r="CW36" s="63">
        <v>0</v>
      </c>
      <c r="CX36" s="63">
        <v>0</v>
      </c>
      <c r="CY36" s="63">
        <v>0</v>
      </c>
      <c r="CZ36" s="63">
        <v>0</v>
      </c>
      <c r="DA36" s="63">
        <v>0</v>
      </c>
      <c r="DB36" s="63">
        <v>0</v>
      </c>
      <c r="DC36" s="63">
        <v>0</v>
      </c>
      <c r="DD36" s="63">
        <v>0</v>
      </c>
      <c r="DE36" s="63">
        <v>0</v>
      </c>
    </row>
    <row r="37" spans="1:233">
      <c r="A37" t="s">
        <v>140</v>
      </c>
      <c r="B37">
        <v>0</v>
      </c>
      <c r="E37" s="259"/>
      <c r="F37" s="259"/>
      <c r="G37" s="259"/>
      <c r="H37" s="259"/>
      <c r="I37" s="259"/>
      <c r="J37" s="259"/>
      <c r="K37" s="259"/>
      <c r="L37" s="259"/>
      <c r="M37" s="259"/>
      <c r="N37" s="259"/>
      <c r="O37" s="259"/>
      <c r="P37" s="259"/>
      <c r="Q37" s="259"/>
      <c r="R37" s="259"/>
      <c r="S37" s="259"/>
      <c r="T37" s="259"/>
      <c r="U37" s="259"/>
      <c r="V37" s="259"/>
      <c r="W37" s="259"/>
      <c r="X37" s="259"/>
      <c r="Y37" s="259"/>
      <c r="Z37" s="259"/>
      <c r="AA37" s="259"/>
      <c r="AB37" s="259"/>
      <c r="AC37" s="259"/>
      <c r="AD37" s="259"/>
      <c r="AE37" s="259"/>
      <c r="AF37" s="259"/>
      <c r="AG37" s="259"/>
      <c r="AH37" s="259"/>
      <c r="AI37" s="259"/>
      <c r="AJ37" s="259"/>
      <c r="AK37" s="259"/>
      <c r="AL37" s="259"/>
      <c r="AM37" s="259"/>
      <c r="AN37" s="259"/>
      <c r="AX37" s="81"/>
      <c r="AY37" s="82"/>
      <c r="AZ37" s="82"/>
      <c r="BA37" s="82"/>
      <c r="BB37" s="82"/>
      <c r="BC37" s="82"/>
      <c r="BD37" s="82"/>
      <c r="BE37" s="82"/>
      <c r="BF37" s="82"/>
      <c r="BG37" s="82"/>
      <c r="BH37" s="82"/>
      <c r="BI37" s="82"/>
      <c r="BJ37" s="82"/>
      <c r="BK37" s="82"/>
      <c r="BL37" s="82"/>
      <c r="BM37" s="82"/>
      <c r="BN37" s="82"/>
      <c r="BO37" s="82"/>
      <c r="BP37" s="82"/>
      <c r="BQ37" s="82"/>
      <c r="BR37" s="82"/>
      <c r="BS37" s="82"/>
      <c r="BT37" s="82"/>
      <c r="BU37" s="82"/>
      <c r="BV37" s="82"/>
      <c r="BW37" s="82"/>
      <c r="BX37" s="82"/>
      <c r="BY37" s="82"/>
      <c r="BZ37" s="82"/>
      <c r="CA37" s="82"/>
      <c r="CB37" s="82"/>
      <c r="CC37" s="82"/>
      <c r="CD37" s="82"/>
      <c r="CE37" s="82"/>
      <c r="CF37" s="82"/>
      <c r="CG37" s="82"/>
      <c r="CH37" s="82"/>
      <c r="CK37" s="81"/>
      <c r="CL37" s="82"/>
      <c r="CM37" s="82"/>
      <c r="CN37" s="82"/>
      <c r="CO37" s="82"/>
      <c r="CP37" s="82"/>
    </row>
    <row r="38" spans="1:233">
      <c r="A38" t="s">
        <v>140</v>
      </c>
      <c r="B38">
        <v>0</v>
      </c>
      <c r="E38" s="259"/>
      <c r="F38" s="259"/>
      <c r="G38" s="259"/>
      <c r="H38" s="259"/>
      <c r="I38" s="259"/>
      <c r="J38" s="259"/>
      <c r="K38" s="259"/>
      <c r="L38" s="259"/>
      <c r="M38" s="259"/>
      <c r="N38" s="259"/>
      <c r="O38" s="259"/>
      <c r="P38" s="259"/>
      <c r="Q38" s="259"/>
      <c r="R38" s="259"/>
      <c r="S38" s="259"/>
      <c r="T38" s="259"/>
      <c r="U38" s="259"/>
      <c r="V38" s="259"/>
      <c r="W38" s="259"/>
      <c r="X38" s="259"/>
      <c r="Y38" s="259"/>
      <c r="Z38" s="259"/>
      <c r="AA38" s="259"/>
      <c r="AB38" s="259"/>
      <c r="AC38" s="259"/>
      <c r="AD38" s="259"/>
      <c r="AE38" s="259"/>
      <c r="AF38" s="259"/>
      <c r="AG38" s="259"/>
      <c r="AH38" s="259"/>
      <c r="AI38" s="259"/>
      <c r="AJ38" s="259"/>
      <c r="AK38" s="259"/>
      <c r="AL38" s="259"/>
      <c r="AM38" s="259"/>
      <c r="AN38" s="259"/>
      <c r="AX38" s="81"/>
      <c r="AY38" s="82"/>
      <c r="AZ38" s="82"/>
      <c r="BA38" s="82"/>
      <c r="BB38" s="82"/>
      <c r="BC38" s="82"/>
      <c r="BD38" s="82"/>
      <c r="BE38" s="82"/>
      <c r="BF38" s="82"/>
      <c r="BG38" s="82"/>
      <c r="BH38" s="82"/>
      <c r="BI38" s="82"/>
      <c r="BJ38" s="82"/>
      <c r="BK38" s="82"/>
      <c r="BL38" s="82"/>
      <c r="BM38" s="82"/>
      <c r="BN38" s="82"/>
      <c r="BO38" s="82"/>
      <c r="BP38" s="82"/>
      <c r="BQ38" s="82"/>
      <c r="BR38" s="82"/>
      <c r="BS38" s="82"/>
      <c r="BT38" s="82"/>
      <c r="BU38" s="82"/>
      <c r="BV38" s="82"/>
      <c r="BW38" s="82"/>
      <c r="BX38" s="82"/>
      <c r="BY38" s="82"/>
      <c r="BZ38" s="82"/>
      <c r="CA38" s="82"/>
      <c r="CB38" s="82"/>
      <c r="CC38" s="82"/>
      <c r="CD38" s="82"/>
      <c r="CE38" s="82"/>
      <c r="CF38" s="82"/>
      <c r="CG38" s="82"/>
      <c r="CH38" s="82"/>
      <c r="CK38" s="81"/>
      <c r="CL38" s="82"/>
      <c r="CM38" s="82"/>
      <c r="CN38" s="82"/>
      <c r="CO38" s="82"/>
      <c r="CP38" s="82"/>
    </row>
    <row r="39" spans="1:233">
      <c r="A39" t="s">
        <v>140</v>
      </c>
      <c r="B39">
        <v>0</v>
      </c>
      <c r="D39" t="s">
        <v>53</v>
      </c>
      <c r="AP39" t="s">
        <v>54</v>
      </c>
      <c r="AX39" t="s">
        <v>53</v>
      </c>
      <c r="AY39" s="83"/>
      <c r="AZ39" s="83"/>
      <c r="BA39" s="83"/>
      <c r="BB39" s="83"/>
      <c r="BC39" s="83"/>
      <c r="BD39" s="83"/>
      <c r="BE39" s="83"/>
      <c r="BF39" s="83"/>
      <c r="BG39" s="83"/>
      <c r="BH39" s="83"/>
      <c r="BI39" s="83"/>
      <c r="BJ39" s="83"/>
      <c r="BK39" s="83"/>
      <c r="BL39" s="83"/>
      <c r="BM39" s="83"/>
      <c r="BN39" s="83"/>
      <c r="BO39" s="83"/>
      <c r="BP39" s="83"/>
      <c r="BQ39" s="83"/>
      <c r="BR39" s="83"/>
      <c r="BS39" s="83"/>
      <c r="BT39" s="83"/>
      <c r="BU39" s="83"/>
      <c r="BV39" s="83"/>
      <c r="BW39" s="83"/>
      <c r="BX39" s="83"/>
      <c r="BY39" s="83"/>
      <c r="BZ39" s="83"/>
      <c r="CA39" s="83"/>
      <c r="CB39" s="83"/>
      <c r="CC39" s="83"/>
      <c r="CD39" s="83"/>
      <c r="CE39" s="83"/>
      <c r="CF39" s="83"/>
      <c r="CG39" s="83"/>
      <c r="CH39" s="83"/>
      <c r="CK39" t="s">
        <v>54</v>
      </c>
      <c r="CS39" t="s">
        <v>53</v>
      </c>
      <c r="EE39" t="s">
        <v>54</v>
      </c>
      <c r="EN39" t="s">
        <v>53</v>
      </c>
      <c r="FZ39" t="s">
        <v>54</v>
      </c>
      <c r="GG39" t="s">
        <v>54</v>
      </c>
      <c r="HT39" s="4" t="s">
        <v>520</v>
      </c>
    </row>
    <row r="40" spans="1:233">
      <c r="A40" t="s">
        <v>140</v>
      </c>
      <c r="B40">
        <v>0</v>
      </c>
      <c r="D40" s="4" t="s">
        <v>130</v>
      </c>
      <c r="AP40" s="4" t="s">
        <v>130</v>
      </c>
      <c r="AX40" s="4" t="s">
        <v>131</v>
      </c>
      <c r="AY40" s="83"/>
      <c r="AZ40" s="83"/>
      <c r="BA40" s="83"/>
      <c r="BB40" s="83"/>
      <c r="BC40" s="83"/>
      <c r="BD40" s="83"/>
      <c r="BE40" s="83"/>
      <c r="BF40" s="83"/>
      <c r="BG40" s="83"/>
      <c r="BH40" s="83"/>
      <c r="BI40" s="83"/>
      <c r="BJ40" s="83"/>
      <c r="BK40" s="83"/>
      <c r="BL40" s="83"/>
      <c r="BM40" s="83"/>
      <c r="BN40" s="83"/>
      <c r="BO40" s="83"/>
      <c r="BP40" s="83"/>
      <c r="BQ40" s="83"/>
      <c r="BR40" s="83"/>
      <c r="BS40" s="83"/>
      <c r="BT40" s="83"/>
      <c r="BU40" s="83"/>
      <c r="BV40" s="83"/>
      <c r="BW40" s="83"/>
      <c r="BX40" s="83"/>
      <c r="BY40" s="83"/>
      <c r="BZ40" s="83"/>
      <c r="CA40" s="83"/>
      <c r="CB40" s="83"/>
      <c r="CC40" s="83"/>
      <c r="CD40" s="83"/>
      <c r="CE40" s="83"/>
      <c r="CF40" s="83"/>
      <c r="CG40" s="83"/>
      <c r="CH40" s="83"/>
      <c r="CK40" s="4" t="s">
        <v>131</v>
      </c>
      <c r="CS40" s="4" t="s">
        <v>132</v>
      </c>
      <c r="EC40">
        <v>1900</v>
      </c>
      <c r="EE40" s="4" t="s">
        <v>132</v>
      </c>
      <c r="EN40" s="4" t="s">
        <v>133</v>
      </c>
      <c r="FZ40" s="4" t="s">
        <v>133</v>
      </c>
      <c r="GG40" s="4" t="s">
        <v>520</v>
      </c>
    </row>
    <row r="41" spans="1:233">
      <c r="A41" t="s">
        <v>140</v>
      </c>
      <c r="B41">
        <v>0</v>
      </c>
      <c r="D41" s="9"/>
      <c r="E41" s="8" t="e">
        <v>#VALUE!</v>
      </c>
      <c r="F41" s="8" t="e">
        <v>#VALUE!</v>
      </c>
      <c r="G41" s="8" t="e">
        <v>#VALUE!</v>
      </c>
      <c r="H41" s="8" t="e">
        <v>#VALUE!</v>
      </c>
      <c r="I41" s="8" t="e">
        <v>#VALUE!</v>
      </c>
      <c r="J41" s="8" t="e">
        <v>#VALUE!</v>
      </c>
      <c r="K41" s="8" t="e">
        <v>#VALUE!</v>
      </c>
      <c r="L41" s="8" t="e">
        <v>#VALUE!</v>
      </c>
      <c r="M41" s="8" t="e">
        <v>#VALUE!</v>
      </c>
      <c r="N41" s="8" t="e">
        <v>#VALUE!</v>
      </c>
      <c r="O41" s="8" t="e">
        <v>#VALUE!</v>
      </c>
      <c r="P41" s="8" t="e">
        <v>#VALUE!</v>
      </c>
      <c r="Q41" s="8" t="e">
        <v>#VALUE!</v>
      </c>
      <c r="R41" s="8" t="e">
        <v>#VALUE!</v>
      </c>
      <c r="S41" s="8" t="e">
        <v>#VALUE!</v>
      </c>
      <c r="T41" s="8" t="e">
        <v>#VALUE!</v>
      </c>
      <c r="U41" s="8" t="e">
        <v>#VALUE!</v>
      </c>
      <c r="V41" s="8" t="e">
        <v>#VALUE!</v>
      </c>
      <c r="W41" s="8" t="e">
        <v>#VALUE!</v>
      </c>
      <c r="X41" s="8" t="e">
        <v>#VALUE!</v>
      </c>
      <c r="Y41" s="8" t="e">
        <v>#VALUE!</v>
      </c>
      <c r="Z41" s="8" t="e">
        <v>#VALUE!</v>
      </c>
      <c r="AA41" s="8" t="e">
        <v>#VALUE!</v>
      </c>
      <c r="AB41" s="8" t="e">
        <v>#VALUE!</v>
      </c>
      <c r="AC41" s="8" t="e">
        <v>#VALUE!</v>
      </c>
      <c r="AD41" s="8" t="e">
        <v>#VALUE!</v>
      </c>
      <c r="AE41" s="8" t="e">
        <v>#VALUE!</v>
      </c>
      <c r="AF41" s="8" t="e">
        <v>#VALUE!</v>
      </c>
      <c r="AG41" s="8" t="e">
        <v>#VALUE!</v>
      </c>
      <c r="AH41" s="8" t="e">
        <v>#VALUE!</v>
      </c>
      <c r="AI41" s="8" t="e">
        <v>#VALUE!</v>
      </c>
      <c r="AJ41" s="8" t="e">
        <v>#VALUE!</v>
      </c>
      <c r="AK41" s="8" t="e">
        <v>#VALUE!</v>
      </c>
      <c r="AL41" s="8" t="e">
        <v>#VALUE!</v>
      </c>
      <c r="AM41" s="8" t="e">
        <v>#VALUE!</v>
      </c>
      <c r="AN41" s="8" t="e">
        <v>#NAME?</v>
      </c>
      <c r="AO41" s="9" t="s">
        <v>60</v>
      </c>
      <c r="AP41" s="10"/>
      <c r="AQ41" s="10" t="s">
        <v>140</v>
      </c>
      <c r="AR41" s="10" t="s">
        <v>140</v>
      </c>
      <c r="AS41" s="10" t="s">
        <v>140</v>
      </c>
      <c r="AT41" s="10" t="s">
        <v>140</v>
      </c>
      <c r="AU41" s="10" t="s">
        <v>140</v>
      </c>
      <c r="AY41" s="8" t="e">
        <v>#NAME?</v>
      </c>
      <c r="AZ41" s="8" t="e">
        <v>#NAME?</v>
      </c>
      <c r="BA41" s="8" t="e">
        <v>#NAME?</v>
      </c>
      <c r="BB41" s="8" t="e">
        <v>#NAME?</v>
      </c>
      <c r="BC41" s="8" t="e">
        <v>#NAME?</v>
      </c>
      <c r="BD41" s="8" t="e">
        <v>#NAME?</v>
      </c>
      <c r="BE41" s="8" t="e">
        <v>#NAME?</v>
      </c>
      <c r="BF41" s="8" t="e">
        <v>#NAME?</v>
      </c>
      <c r="BG41" s="8" t="e">
        <v>#NAME?</v>
      </c>
      <c r="BH41" s="8" t="e">
        <v>#NAME?</v>
      </c>
      <c r="BI41" s="8" t="e">
        <v>#NAME?</v>
      </c>
      <c r="BJ41" s="8" t="e">
        <v>#NAME?</v>
      </c>
      <c r="BK41" s="8" t="e">
        <v>#NAME?</v>
      </c>
      <c r="BL41" s="8" t="e">
        <v>#NAME?</v>
      </c>
      <c r="BM41" s="8" t="e">
        <v>#NAME?</v>
      </c>
      <c r="BN41" s="8" t="e">
        <v>#NAME?</v>
      </c>
      <c r="BO41" s="8" t="e">
        <v>#NAME?</v>
      </c>
      <c r="BP41" s="8" t="e">
        <v>#NAME?</v>
      </c>
      <c r="BQ41" s="8" t="e">
        <v>#NAME?</v>
      </c>
      <c r="BR41" s="8" t="e">
        <v>#NAME?</v>
      </c>
      <c r="BS41" s="8" t="e">
        <v>#NAME?</v>
      </c>
      <c r="BT41" s="8" t="e">
        <v>#NAME?</v>
      </c>
      <c r="BU41" s="8" t="e">
        <v>#NAME?</v>
      </c>
      <c r="BV41" s="8" t="e">
        <v>#NAME?</v>
      </c>
      <c r="BW41" s="8" t="e">
        <v>#NAME?</v>
      </c>
      <c r="BX41" s="8" t="e">
        <v>#NAME?</v>
      </c>
      <c r="BY41" s="8" t="e">
        <v>#NAME?</v>
      </c>
      <c r="BZ41" s="8" t="e">
        <v>#NAME?</v>
      </c>
      <c r="CA41" s="8" t="e">
        <v>#NAME?</v>
      </c>
      <c r="CB41" s="8" t="e">
        <v>#NAME?</v>
      </c>
      <c r="CC41" s="8" t="e">
        <v>#NAME?</v>
      </c>
      <c r="CD41" s="8" t="e">
        <v>#NAME?</v>
      </c>
      <c r="CE41" s="8" t="e">
        <v>#NAME?</v>
      </c>
      <c r="CF41" s="8" t="e">
        <v>#NAME?</v>
      </c>
      <c r="CG41" s="8" t="e">
        <v>#NAME?</v>
      </c>
      <c r="CH41" s="8" t="e">
        <v>#NAME?</v>
      </c>
      <c r="CI41" s="11"/>
      <c r="CJ41" s="9" t="s">
        <v>60</v>
      </c>
      <c r="CK41" s="10"/>
      <c r="CL41" s="10" t="s">
        <v>140</v>
      </c>
      <c r="CM41" s="10" t="s">
        <v>140</v>
      </c>
      <c r="CN41" s="10" t="s">
        <v>140</v>
      </c>
      <c r="CO41" s="10" t="s">
        <v>140</v>
      </c>
      <c r="CP41" s="10" t="s">
        <v>140</v>
      </c>
      <c r="CQ41" s="84"/>
      <c r="CR41" s="84"/>
      <c r="CS41" s="8" t="e">
        <v>#NAME?</v>
      </c>
      <c r="CT41" s="8" t="e">
        <v>#NAME?</v>
      </c>
      <c r="CU41" s="8" t="e">
        <v>#NAME?</v>
      </c>
      <c r="CV41" s="8" t="e">
        <v>#NAME?</v>
      </c>
      <c r="CW41" s="8" t="e">
        <v>#NAME?</v>
      </c>
      <c r="CX41" s="8" t="e">
        <v>#NAME?</v>
      </c>
      <c r="CY41" s="8" t="e">
        <v>#NAME?</v>
      </c>
      <c r="CZ41" s="8" t="e">
        <v>#NAME?</v>
      </c>
      <c r="DA41" s="8" t="e">
        <v>#NAME?</v>
      </c>
      <c r="DB41" s="8" t="e">
        <v>#NAME?</v>
      </c>
      <c r="DC41" s="8" t="e">
        <v>#NAME?</v>
      </c>
      <c r="DD41" s="8" t="e">
        <v>#NAME?</v>
      </c>
      <c r="DE41" s="8" t="e">
        <v>#NAME?</v>
      </c>
      <c r="DF41" s="8" t="e">
        <v>#NAME?</v>
      </c>
      <c r="DG41" s="8" t="e">
        <v>#NAME?</v>
      </c>
      <c r="DH41" s="8" t="e">
        <v>#NAME?</v>
      </c>
      <c r="DI41" s="8" t="e">
        <v>#NAME?</v>
      </c>
      <c r="DJ41" s="8" t="e">
        <v>#NAME?</v>
      </c>
      <c r="DK41" s="8" t="e">
        <v>#NAME?</v>
      </c>
      <c r="DL41" s="8" t="e">
        <v>#NAME?</v>
      </c>
      <c r="DM41" s="8" t="e">
        <v>#NAME?</v>
      </c>
      <c r="DN41" s="8" t="e">
        <v>#NAME?</v>
      </c>
      <c r="DO41" s="8" t="e">
        <v>#NAME?</v>
      </c>
      <c r="DP41" s="8" t="e">
        <v>#NAME?</v>
      </c>
      <c r="DQ41" s="8" t="e">
        <v>#NAME?</v>
      </c>
      <c r="DR41" s="8" t="e">
        <v>#NAME?</v>
      </c>
      <c r="DS41" s="8" t="e">
        <v>#NAME?</v>
      </c>
      <c r="DT41" s="8" t="e">
        <v>#NAME?</v>
      </c>
      <c r="DU41" s="8" t="e">
        <v>#NAME?</v>
      </c>
      <c r="DV41" s="8" t="e">
        <v>#NAME?</v>
      </c>
      <c r="DW41" s="8" t="e">
        <v>#NAME?</v>
      </c>
      <c r="DX41" s="8" t="e">
        <v>#NAME?</v>
      </c>
      <c r="DY41" s="8" t="e">
        <v>#NAME?</v>
      </c>
      <c r="DZ41" s="8" t="e">
        <v>#NAME?</v>
      </c>
      <c r="EA41" s="8" t="e">
        <v>#NAME?</v>
      </c>
      <c r="EB41" s="8" t="e">
        <v>#NAME?</v>
      </c>
      <c r="EC41" s="8" t="e">
        <v>#NAME?</v>
      </c>
      <c r="EE41" s="8" t="s">
        <v>140</v>
      </c>
      <c r="EF41" s="10" t="s">
        <v>140</v>
      </c>
      <c r="EG41" s="10" t="s">
        <v>140</v>
      </c>
      <c r="EH41" s="10" t="s">
        <v>140</v>
      </c>
      <c r="EI41" s="10" t="s">
        <v>140</v>
      </c>
      <c r="EJ41" s="10" t="s">
        <v>140</v>
      </c>
      <c r="EO41" s="8" t="e">
        <v>#NAME?</v>
      </c>
      <c r="EP41" s="8" t="e">
        <v>#NAME?</v>
      </c>
      <c r="EQ41" s="8" t="e">
        <v>#NAME?</v>
      </c>
      <c r="ER41" s="8" t="e">
        <v>#NAME?</v>
      </c>
      <c r="ES41" s="8" t="e">
        <v>#NAME?</v>
      </c>
      <c r="ET41" s="8" t="e">
        <v>#NAME?</v>
      </c>
      <c r="EU41" s="8" t="e">
        <v>#NAME?</v>
      </c>
      <c r="EV41" s="8" t="e">
        <v>#NAME?</v>
      </c>
      <c r="EW41" s="8" t="e">
        <v>#NAME?</v>
      </c>
      <c r="EX41" s="8" t="e">
        <v>#NAME?</v>
      </c>
      <c r="EY41" s="8" t="e">
        <v>#NAME?</v>
      </c>
      <c r="EZ41" s="8" t="e">
        <v>#NAME?</v>
      </c>
      <c r="FA41" s="8" t="e">
        <v>#NAME?</v>
      </c>
      <c r="FB41" s="8" t="e">
        <v>#NAME?</v>
      </c>
      <c r="FC41" s="8" t="e">
        <v>#NAME?</v>
      </c>
      <c r="FD41" s="8" t="e">
        <v>#NAME?</v>
      </c>
      <c r="FE41" s="8" t="e">
        <v>#NAME?</v>
      </c>
      <c r="FF41" s="8" t="e">
        <v>#NAME?</v>
      </c>
      <c r="FG41" s="8" t="e">
        <v>#NAME?</v>
      </c>
      <c r="FH41" s="8" t="e">
        <v>#NAME?</v>
      </c>
      <c r="FI41" s="8" t="e">
        <v>#NAME?</v>
      </c>
      <c r="FJ41" s="8" t="e">
        <v>#NAME?</v>
      </c>
      <c r="FK41" s="8" t="e">
        <v>#NAME?</v>
      </c>
      <c r="FL41" s="8" t="e">
        <v>#NAME?</v>
      </c>
      <c r="FM41" s="8" t="e">
        <v>#NAME?</v>
      </c>
      <c r="FN41" s="8" t="e">
        <v>#NAME?</v>
      </c>
      <c r="FO41" s="8" t="e">
        <v>#NAME?</v>
      </c>
      <c r="FP41" s="8" t="e">
        <v>#NAME?</v>
      </c>
      <c r="FQ41" s="8" t="e">
        <v>#NAME?</v>
      </c>
      <c r="FR41" s="8" t="e">
        <v>#NAME?</v>
      </c>
      <c r="FS41" s="8" t="e">
        <v>#NAME?</v>
      </c>
      <c r="FT41" s="8" t="e">
        <v>#NAME?</v>
      </c>
      <c r="FU41" s="8" t="e">
        <v>#NAME?</v>
      </c>
      <c r="FV41" s="8" t="e">
        <v>#NAME?</v>
      </c>
      <c r="FW41" s="8" t="e">
        <v>#NAME?</v>
      </c>
      <c r="FX41" s="8" t="e">
        <v>#NAME?</v>
      </c>
      <c r="GA41" s="10" t="s">
        <v>140</v>
      </c>
      <c r="GB41" s="10" t="s">
        <v>140</v>
      </c>
      <c r="GC41" s="10" t="s">
        <v>140</v>
      </c>
      <c r="GD41" s="10" t="s">
        <v>140</v>
      </c>
      <c r="GE41" s="10" t="s">
        <v>140</v>
      </c>
      <c r="GH41" s="8" t="e">
        <v>#NAME?</v>
      </c>
      <c r="GI41" s="8" t="e">
        <v>#NAME?</v>
      </c>
      <c r="GJ41" s="8" t="e">
        <v>#NAME?</v>
      </c>
      <c r="GK41" s="8" t="e">
        <v>#NAME?</v>
      </c>
      <c r="GL41" s="8" t="e">
        <v>#NAME?</v>
      </c>
      <c r="GM41" s="8" t="e">
        <v>#NAME?</v>
      </c>
      <c r="GN41" s="8" t="e">
        <v>#NAME?</v>
      </c>
      <c r="GO41" s="8" t="e">
        <v>#NAME?</v>
      </c>
      <c r="GP41" s="8" t="e">
        <v>#NAME?</v>
      </c>
      <c r="GQ41" s="8" t="e">
        <v>#NAME?</v>
      </c>
      <c r="GR41" s="8" t="e">
        <v>#NAME?</v>
      </c>
      <c r="GS41" s="8" t="e">
        <v>#NAME?</v>
      </c>
      <c r="GT41" s="8" t="e">
        <v>#NAME?</v>
      </c>
      <c r="GU41" s="8" t="e">
        <v>#NAME?</v>
      </c>
      <c r="GV41" s="8" t="e">
        <v>#NAME?</v>
      </c>
      <c r="GW41" s="8" t="e">
        <v>#NAME?</v>
      </c>
      <c r="GX41" s="8" t="e">
        <v>#NAME?</v>
      </c>
      <c r="GY41" s="8" t="e">
        <v>#NAME?</v>
      </c>
      <c r="GZ41" s="8" t="e">
        <v>#NAME?</v>
      </c>
      <c r="HA41" s="8" t="e">
        <v>#NAME?</v>
      </c>
      <c r="HB41" s="8" t="e">
        <v>#NAME?</v>
      </c>
      <c r="HC41" s="8" t="e">
        <v>#NAME?</v>
      </c>
      <c r="HD41" s="8" t="e">
        <v>#NAME?</v>
      </c>
      <c r="HE41" s="8" t="e">
        <v>#NAME?</v>
      </c>
      <c r="HF41" s="8" t="e">
        <v>#NAME?</v>
      </c>
      <c r="HG41" s="8" t="e">
        <v>#NAME?</v>
      </c>
      <c r="HH41" s="8" t="e">
        <v>#NAME?</v>
      </c>
      <c r="HI41" s="8" t="e">
        <v>#NAME?</v>
      </c>
      <c r="HJ41" s="8" t="e">
        <v>#NAME?</v>
      </c>
      <c r="HK41" s="8" t="e">
        <v>#NAME?</v>
      </c>
      <c r="HL41" s="8" t="e">
        <v>#NAME?</v>
      </c>
      <c r="HM41" s="8" t="e">
        <v>#NAME?</v>
      </c>
      <c r="HN41" s="8" t="e">
        <v>#NAME?</v>
      </c>
      <c r="HO41" s="8" t="e">
        <v>#NAME?</v>
      </c>
      <c r="HP41" s="8" t="e">
        <v>#NAME?</v>
      </c>
      <c r="HQ41" s="8" t="e">
        <v>#NAME?</v>
      </c>
      <c r="HT41" s="10"/>
      <c r="HU41" s="10" t="s">
        <v>140</v>
      </c>
      <c r="HV41" s="10" t="s">
        <v>140</v>
      </c>
      <c r="HW41" s="10" t="s">
        <v>140</v>
      </c>
      <c r="HX41" s="10" t="s">
        <v>140</v>
      </c>
      <c r="HY41" s="10" t="s">
        <v>140</v>
      </c>
    </row>
    <row r="42" spans="1:233" s="85" customFormat="1">
      <c r="A42" t="s">
        <v>140</v>
      </c>
      <c r="B42">
        <v>0</v>
      </c>
      <c r="C42"/>
      <c r="D42" s="13"/>
      <c r="E42" s="13">
        <v>1</v>
      </c>
      <c r="F42" s="13">
        <v>1</v>
      </c>
      <c r="G42" s="13">
        <v>1</v>
      </c>
      <c r="H42" s="13">
        <v>1</v>
      </c>
      <c r="I42" s="13">
        <v>1</v>
      </c>
      <c r="J42" s="13">
        <v>1</v>
      </c>
      <c r="K42" s="13">
        <v>1</v>
      </c>
      <c r="L42" s="13">
        <v>1</v>
      </c>
      <c r="M42" s="13">
        <v>1</v>
      </c>
      <c r="N42" s="13">
        <v>1</v>
      </c>
      <c r="O42" s="13">
        <v>1</v>
      </c>
      <c r="P42" s="13">
        <v>1</v>
      </c>
      <c r="Q42" s="13">
        <v>1</v>
      </c>
      <c r="R42" s="13">
        <v>1</v>
      </c>
      <c r="S42" s="13">
        <v>1</v>
      </c>
      <c r="T42" s="13">
        <v>1</v>
      </c>
      <c r="U42" s="13">
        <v>1</v>
      </c>
      <c r="V42" s="13">
        <v>1</v>
      </c>
      <c r="W42" s="13">
        <v>1</v>
      </c>
      <c r="X42" s="13">
        <v>1</v>
      </c>
      <c r="Y42" s="13">
        <v>1</v>
      </c>
      <c r="Z42" s="13">
        <v>1</v>
      </c>
      <c r="AA42" s="13">
        <v>1</v>
      </c>
      <c r="AB42" s="13">
        <v>1</v>
      </c>
      <c r="AC42" s="13">
        <v>1</v>
      </c>
      <c r="AD42" s="13">
        <v>1</v>
      </c>
      <c r="AE42" s="13">
        <v>1</v>
      </c>
      <c r="AF42" s="13">
        <v>1</v>
      </c>
      <c r="AG42" s="13">
        <v>1</v>
      </c>
      <c r="AH42" s="13">
        <v>1</v>
      </c>
      <c r="AI42" s="13">
        <v>1</v>
      </c>
      <c r="AJ42" s="13">
        <v>1</v>
      </c>
      <c r="AK42" s="13">
        <v>1</v>
      </c>
      <c r="AL42" s="13">
        <v>1</v>
      </c>
      <c r="AM42" s="13">
        <v>1</v>
      </c>
      <c r="AN42" s="13">
        <v>1</v>
      </c>
      <c r="AO42" s="13"/>
      <c r="AP42" s="13"/>
      <c r="AQ42" s="13">
        <v>1</v>
      </c>
      <c r="AR42" s="13">
        <v>1</v>
      </c>
      <c r="AS42" s="13">
        <v>1</v>
      </c>
      <c r="AT42" s="13">
        <v>1</v>
      </c>
      <c r="AU42" s="13">
        <v>1</v>
      </c>
      <c r="AX42" s="13"/>
      <c r="AY42" s="13">
        <v>1</v>
      </c>
      <c r="AZ42" s="13">
        <v>1</v>
      </c>
      <c r="BA42" s="13">
        <v>1</v>
      </c>
      <c r="BB42" s="13">
        <v>1</v>
      </c>
      <c r="BC42" s="13">
        <v>1</v>
      </c>
      <c r="BD42" s="13">
        <v>1</v>
      </c>
      <c r="BE42" s="13">
        <v>1</v>
      </c>
      <c r="BF42" s="13">
        <v>1</v>
      </c>
      <c r="BG42" s="13">
        <v>1</v>
      </c>
      <c r="BH42" s="13">
        <v>1</v>
      </c>
      <c r="BI42" s="13">
        <v>1</v>
      </c>
      <c r="BJ42" s="13">
        <v>1</v>
      </c>
      <c r="BK42" s="13">
        <v>1</v>
      </c>
      <c r="BL42" s="13">
        <v>1</v>
      </c>
      <c r="BM42" s="13">
        <v>1</v>
      </c>
      <c r="BN42" s="13">
        <v>1</v>
      </c>
      <c r="BO42" s="13">
        <v>1</v>
      </c>
      <c r="BP42" s="13">
        <v>1</v>
      </c>
      <c r="BQ42" s="13">
        <v>1</v>
      </c>
      <c r="BR42" s="13">
        <v>1</v>
      </c>
      <c r="BS42" s="13">
        <v>1</v>
      </c>
      <c r="BT42" s="13">
        <v>1</v>
      </c>
      <c r="BU42" s="13">
        <v>1</v>
      </c>
      <c r="BV42" s="13">
        <v>1</v>
      </c>
      <c r="BW42" s="13">
        <v>1</v>
      </c>
      <c r="BX42" s="13">
        <v>1</v>
      </c>
      <c r="BY42" s="13">
        <v>1</v>
      </c>
      <c r="BZ42" s="13">
        <v>1</v>
      </c>
      <c r="CA42" s="13">
        <v>1</v>
      </c>
      <c r="CB42" s="13">
        <v>1</v>
      </c>
      <c r="CC42" s="13">
        <v>1</v>
      </c>
      <c r="CD42" s="13">
        <v>1</v>
      </c>
      <c r="CE42" s="13">
        <v>1</v>
      </c>
      <c r="CF42" s="13">
        <v>1</v>
      </c>
      <c r="CG42" s="13">
        <v>1</v>
      </c>
      <c r="CH42" s="13">
        <v>1</v>
      </c>
      <c r="CI42" s="86"/>
      <c r="CJ42" s="14" t="s">
        <v>61</v>
      </c>
      <c r="CK42" s="13"/>
      <c r="CL42" s="13">
        <v>1</v>
      </c>
      <c r="CM42" s="13">
        <v>1</v>
      </c>
      <c r="CN42" s="13">
        <v>1</v>
      </c>
      <c r="CO42" s="13">
        <v>1</v>
      </c>
      <c r="CP42" s="13">
        <v>1</v>
      </c>
      <c r="CS42" s="13"/>
      <c r="CT42" s="13">
        <v>1</v>
      </c>
      <c r="CU42" s="13">
        <v>1</v>
      </c>
      <c r="CV42" s="13">
        <v>1</v>
      </c>
      <c r="CW42" s="13">
        <v>1</v>
      </c>
      <c r="CX42" s="13">
        <v>1</v>
      </c>
      <c r="CY42" s="13">
        <v>1</v>
      </c>
      <c r="CZ42" s="13">
        <v>1</v>
      </c>
      <c r="DA42" s="13">
        <v>1</v>
      </c>
      <c r="DB42" s="13">
        <v>1</v>
      </c>
      <c r="DC42" s="13">
        <v>1</v>
      </c>
      <c r="DD42" s="13">
        <v>1</v>
      </c>
      <c r="DE42" s="13">
        <v>1</v>
      </c>
      <c r="DF42" s="13">
        <v>1</v>
      </c>
      <c r="DG42" s="13">
        <v>1</v>
      </c>
      <c r="DH42" s="13">
        <v>1</v>
      </c>
      <c r="DI42" s="13">
        <v>1</v>
      </c>
      <c r="DJ42" s="13">
        <v>1</v>
      </c>
      <c r="DK42" s="13">
        <v>1</v>
      </c>
      <c r="DL42" s="13">
        <v>1</v>
      </c>
      <c r="DM42" s="13">
        <v>1</v>
      </c>
      <c r="DN42" s="13">
        <v>1</v>
      </c>
      <c r="DO42" s="13">
        <v>1</v>
      </c>
      <c r="DP42" s="13">
        <v>1</v>
      </c>
      <c r="DQ42" s="13">
        <v>1</v>
      </c>
      <c r="DR42" s="13">
        <v>1</v>
      </c>
      <c r="DS42" s="13">
        <v>1</v>
      </c>
      <c r="DT42" s="13">
        <v>1</v>
      </c>
      <c r="DU42" s="13">
        <v>1</v>
      </c>
      <c r="DV42" s="13">
        <v>1</v>
      </c>
      <c r="DW42" s="13">
        <v>1</v>
      </c>
      <c r="DX42" s="13">
        <v>1</v>
      </c>
      <c r="DY42" s="13">
        <v>1</v>
      </c>
      <c r="DZ42" s="13">
        <v>1</v>
      </c>
      <c r="EA42" s="13">
        <v>1</v>
      </c>
      <c r="EB42" s="13">
        <v>1</v>
      </c>
      <c r="EC42" s="13">
        <v>1</v>
      </c>
      <c r="EE42" s="13"/>
      <c r="EF42" s="13">
        <v>1</v>
      </c>
      <c r="EG42" s="13">
        <v>1</v>
      </c>
      <c r="EH42" s="13">
        <v>1</v>
      </c>
      <c r="EI42" s="13">
        <v>1</v>
      </c>
      <c r="EJ42" s="13">
        <v>1</v>
      </c>
      <c r="EN42" s="87"/>
      <c r="EO42" s="87">
        <v>0</v>
      </c>
      <c r="EP42" s="87">
        <v>0</v>
      </c>
      <c r="EQ42" s="87">
        <v>0</v>
      </c>
      <c r="ER42" s="87">
        <v>0</v>
      </c>
      <c r="ES42" s="87">
        <v>0</v>
      </c>
      <c r="ET42" s="87">
        <v>0</v>
      </c>
      <c r="EU42" s="87">
        <v>0</v>
      </c>
      <c r="EV42" s="87">
        <v>0</v>
      </c>
      <c r="EW42" s="87">
        <v>0</v>
      </c>
      <c r="EX42" s="87">
        <v>0</v>
      </c>
      <c r="EY42" s="87">
        <v>0</v>
      </c>
      <c r="EZ42" s="87">
        <v>0</v>
      </c>
      <c r="FA42" s="87">
        <v>0</v>
      </c>
      <c r="FB42" s="87">
        <v>0</v>
      </c>
      <c r="FC42" s="87">
        <v>0</v>
      </c>
      <c r="FD42" s="87">
        <v>0</v>
      </c>
      <c r="FE42" s="87">
        <v>0</v>
      </c>
      <c r="FF42" s="87">
        <v>0</v>
      </c>
      <c r="FG42" s="87">
        <v>0</v>
      </c>
      <c r="FH42" s="87">
        <v>0</v>
      </c>
      <c r="FI42" s="87">
        <v>0</v>
      </c>
      <c r="FJ42" s="87">
        <v>0</v>
      </c>
      <c r="FK42" s="87">
        <v>0</v>
      </c>
      <c r="FL42" s="87">
        <v>0</v>
      </c>
      <c r="FM42" s="87">
        <v>0</v>
      </c>
      <c r="FN42" s="87">
        <v>0</v>
      </c>
      <c r="FO42" s="87">
        <v>0</v>
      </c>
      <c r="FP42" s="87">
        <v>0</v>
      </c>
      <c r="FQ42" s="87">
        <v>0</v>
      </c>
      <c r="FR42" s="87">
        <v>0</v>
      </c>
      <c r="FS42" s="87">
        <v>0</v>
      </c>
      <c r="FT42" s="87">
        <v>0</v>
      </c>
      <c r="FU42" s="87">
        <v>0</v>
      </c>
      <c r="FV42" s="87">
        <v>0</v>
      </c>
      <c r="FW42" s="87">
        <v>0</v>
      </c>
      <c r="FX42" s="87">
        <v>0</v>
      </c>
      <c r="GH42" s="87">
        <v>1</v>
      </c>
      <c r="GI42" s="87">
        <v>1</v>
      </c>
      <c r="GJ42" s="87">
        <v>1</v>
      </c>
      <c r="GK42" s="87">
        <v>1</v>
      </c>
      <c r="GL42" s="87">
        <v>1</v>
      </c>
      <c r="GM42" s="87">
        <v>1</v>
      </c>
      <c r="GN42" s="87">
        <v>1</v>
      </c>
      <c r="GO42" s="87">
        <v>1</v>
      </c>
      <c r="GP42" s="87">
        <v>1</v>
      </c>
      <c r="GQ42" s="87">
        <v>1</v>
      </c>
      <c r="GR42" s="87">
        <v>1</v>
      </c>
      <c r="GS42" s="87">
        <v>1</v>
      </c>
      <c r="GT42" s="87">
        <v>1</v>
      </c>
      <c r="GU42" s="87">
        <v>1</v>
      </c>
      <c r="GV42" s="87">
        <v>1</v>
      </c>
      <c r="GW42" s="87">
        <v>1</v>
      </c>
      <c r="GX42" s="87">
        <v>1</v>
      </c>
      <c r="GY42" s="87">
        <v>1</v>
      </c>
      <c r="GZ42" s="87">
        <v>1</v>
      </c>
      <c r="HA42" s="87">
        <v>1</v>
      </c>
      <c r="HB42" s="87">
        <v>1</v>
      </c>
      <c r="HC42" s="87">
        <v>1</v>
      </c>
      <c r="HD42" s="87">
        <v>1</v>
      </c>
      <c r="HE42" s="87">
        <v>1</v>
      </c>
      <c r="HF42" s="87">
        <v>1</v>
      </c>
      <c r="HG42" s="87">
        <v>1</v>
      </c>
      <c r="HH42" s="87">
        <v>1</v>
      </c>
      <c r="HI42" s="87">
        <v>1</v>
      </c>
      <c r="HJ42" s="87">
        <v>1</v>
      </c>
      <c r="HK42" s="87">
        <v>1</v>
      </c>
      <c r="HL42" s="87">
        <v>1</v>
      </c>
      <c r="HM42" s="87">
        <v>1</v>
      </c>
      <c r="HN42" s="87">
        <v>1</v>
      </c>
      <c r="HO42" s="87">
        <v>1</v>
      </c>
      <c r="HP42" s="87">
        <v>1</v>
      </c>
      <c r="HQ42" s="87">
        <v>1</v>
      </c>
      <c r="HT42" s="12"/>
      <c r="HU42" s="15">
        <v>1</v>
      </c>
      <c r="HV42" s="15">
        <v>1</v>
      </c>
      <c r="HW42" s="15">
        <v>1</v>
      </c>
      <c r="HX42" s="15">
        <v>1</v>
      </c>
      <c r="HY42" s="15">
        <v>1</v>
      </c>
    </row>
    <row r="43" spans="1:233" s="6" customFormat="1" ht="15.75">
      <c r="A43" t="s">
        <v>140</v>
      </c>
      <c r="B43">
        <v>0</v>
      </c>
      <c r="C43"/>
      <c r="D43" s="85"/>
      <c r="E43" s="88" t="s">
        <v>140</v>
      </c>
      <c r="F43" s="88" t="s">
        <v>140</v>
      </c>
      <c r="G43" s="88" t="s">
        <v>140</v>
      </c>
      <c r="H43" s="88" t="s">
        <v>140</v>
      </c>
      <c r="I43" s="88" t="s">
        <v>140</v>
      </c>
      <c r="J43" s="88" t="s">
        <v>140</v>
      </c>
      <c r="K43" s="88" t="s">
        <v>140</v>
      </c>
      <c r="L43" s="88" t="s">
        <v>140</v>
      </c>
      <c r="M43" s="88" t="s">
        <v>140</v>
      </c>
      <c r="N43" s="88" t="s">
        <v>140</v>
      </c>
      <c r="O43" s="88" t="s">
        <v>140</v>
      </c>
      <c r="P43" s="88" t="s">
        <v>140</v>
      </c>
      <c r="Q43" s="88" t="s">
        <v>140</v>
      </c>
      <c r="R43" s="88" t="s">
        <v>140</v>
      </c>
      <c r="S43" s="88" t="s">
        <v>140</v>
      </c>
      <c r="T43" s="88" t="s">
        <v>140</v>
      </c>
      <c r="U43" s="88" t="s">
        <v>140</v>
      </c>
      <c r="V43" s="88" t="s">
        <v>140</v>
      </c>
      <c r="W43" s="88" t="s">
        <v>140</v>
      </c>
      <c r="X43" s="88" t="s">
        <v>140</v>
      </c>
      <c r="Y43" s="88" t="s">
        <v>140</v>
      </c>
      <c r="Z43" s="88" t="s">
        <v>140</v>
      </c>
      <c r="AA43" s="88" t="s">
        <v>140</v>
      </c>
      <c r="AB43" s="88" t="s">
        <v>140</v>
      </c>
      <c r="AC43" s="88" t="s">
        <v>140</v>
      </c>
      <c r="AD43" s="88" t="s">
        <v>140</v>
      </c>
      <c r="AE43" s="88" t="s">
        <v>140</v>
      </c>
      <c r="AF43" s="88" t="s">
        <v>140</v>
      </c>
      <c r="AG43" s="88" t="s">
        <v>140</v>
      </c>
      <c r="AH43" s="88" t="s">
        <v>140</v>
      </c>
      <c r="AI43" s="88" t="s">
        <v>140</v>
      </c>
      <c r="AJ43" s="88" t="s">
        <v>140</v>
      </c>
      <c r="AK43" s="88" t="s">
        <v>140</v>
      </c>
      <c r="AL43" s="88" t="s">
        <v>140</v>
      </c>
      <c r="AM43" s="88" t="s">
        <v>140</v>
      </c>
      <c r="AN43" s="88">
        <v>4</v>
      </c>
      <c r="AP43" s="88"/>
      <c r="AQ43" s="88" t="s">
        <v>140</v>
      </c>
      <c r="AR43" s="88" t="s">
        <v>140</v>
      </c>
      <c r="AS43" s="88" t="s">
        <v>140</v>
      </c>
      <c r="AT43" s="88" t="s">
        <v>140</v>
      </c>
      <c r="AU43" s="88" t="e">
        <v>#NAME?</v>
      </c>
      <c r="AW43" s="88">
        <v>0</v>
      </c>
      <c r="AX43" s="89"/>
      <c r="AY43" s="88">
        <v>0</v>
      </c>
      <c r="AZ43" s="88">
        <v>0</v>
      </c>
      <c r="BA43" s="88">
        <v>0</v>
      </c>
      <c r="BB43" s="88">
        <v>0</v>
      </c>
      <c r="BC43" s="88">
        <v>0</v>
      </c>
      <c r="BD43" s="88">
        <v>0</v>
      </c>
      <c r="BE43" s="88">
        <v>0</v>
      </c>
      <c r="BF43" s="88">
        <v>0</v>
      </c>
      <c r="BG43" s="88">
        <v>0</v>
      </c>
      <c r="BH43" s="88">
        <v>0</v>
      </c>
      <c r="BI43" s="88">
        <v>0</v>
      </c>
      <c r="BJ43" s="88">
        <v>0</v>
      </c>
      <c r="BK43" s="88">
        <v>0</v>
      </c>
      <c r="BL43" s="88">
        <v>0</v>
      </c>
      <c r="BM43" s="88">
        <v>0</v>
      </c>
      <c r="BN43" s="88">
        <v>0</v>
      </c>
      <c r="BO43" s="88">
        <v>0</v>
      </c>
      <c r="BP43" s="88">
        <v>0</v>
      </c>
      <c r="BQ43" s="88">
        <v>0</v>
      </c>
      <c r="BR43" s="88">
        <v>0</v>
      </c>
      <c r="BS43" s="88">
        <v>0</v>
      </c>
      <c r="BT43" s="88">
        <v>0</v>
      </c>
      <c r="BU43" s="88">
        <v>0</v>
      </c>
      <c r="BV43" s="88">
        <v>0</v>
      </c>
      <c r="BW43" s="88">
        <v>0</v>
      </c>
      <c r="BX43" s="88">
        <v>0</v>
      </c>
      <c r="BY43" s="88">
        <v>0</v>
      </c>
      <c r="BZ43" s="88">
        <v>0</v>
      </c>
      <c r="CA43" s="88">
        <v>0</v>
      </c>
      <c r="CB43" s="88">
        <v>0</v>
      </c>
      <c r="CC43" s="88">
        <v>0</v>
      </c>
      <c r="CD43" s="88">
        <v>0</v>
      </c>
      <c r="CE43" s="88">
        <v>0</v>
      </c>
      <c r="CF43" s="88">
        <v>0</v>
      </c>
      <c r="CG43" s="88">
        <v>0</v>
      </c>
      <c r="CH43" s="88">
        <v>4</v>
      </c>
      <c r="CK43" s="89"/>
      <c r="CL43" s="88" t="s">
        <v>140</v>
      </c>
      <c r="CM43" s="88" t="s">
        <v>140</v>
      </c>
      <c r="CN43" s="88" t="s">
        <v>140</v>
      </c>
      <c r="CO43" s="88" t="s">
        <v>140</v>
      </c>
      <c r="CP43" s="88" t="e">
        <v>#NAME?</v>
      </c>
      <c r="CS43" s="89"/>
      <c r="CT43" s="88">
        <v>0</v>
      </c>
      <c r="CU43" s="88">
        <v>0</v>
      </c>
      <c r="CV43" s="88">
        <v>0</v>
      </c>
      <c r="CW43" s="88">
        <v>0</v>
      </c>
      <c r="CX43" s="88">
        <v>0</v>
      </c>
      <c r="CY43" s="88">
        <v>0</v>
      </c>
      <c r="CZ43" s="88">
        <v>0</v>
      </c>
      <c r="DA43" s="88">
        <v>0</v>
      </c>
      <c r="DB43" s="88">
        <v>0</v>
      </c>
      <c r="DC43" s="88">
        <v>0</v>
      </c>
      <c r="DD43" s="88">
        <v>0</v>
      </c>
      <c r="DE43" s="88">
        <v>0</v>
      </c>
      <c r="DF43" s="88">
        <v>0</v>
      </c>
      <c r="DG43" s="88">
        <v>0</v>
      </c>
      <c r="DH43" s="88">
        <v>0</v>
      </c>
      <c r="DI43" s="88">
        <v>0</v>
      </c>
      <c r="DJ43" s="88">
        <v>0</v>
      </c>
      <c r="DK43" s="88">
        <v>0</v>
      </c>
      <c r="DL43" s="88">
        <v>0</v>
      </c>
      <c r="DM43" s="88">
        <v>0</v>
      </c>
      <c r="DN43" s="88">
        <v>0</v>
      </c>
      <c r="DO43" s="88">
        <v>0</v>
      </c>
      <c r="DP43" s="88">
        <v>0</v>
      </c>
      <c r="DQ43" s="88">
        <v>0</v>
      </c>
      <c r="DR43" s="88">
        <v>0</v>
      </c>
      <c r="DS43" s="88">
        <v>0</v>
      </c>
      <c r="DT43" s="88">
        <v>0</v>
      </c>
      <c r="DU43" s="88">
        <v>0</v>
      </c>
      <c r="DV43" s="88">
        <v>0</v>
      </c>
      <c r="DW43" s="88">
        <v>0</v>
      </c>
      <c r="DX43" s="88">
        <v>0</v>
      </c>
      <c r="DY43" s="88">
        <v>0</v>
      </c>
      <c r="DZ43" s="88">
        <v>0</v>
      </c>
      <c r="EA43" s="88">
        <v>0</v>
      </c>
      <c r="EB43" s="88">
        <v>0</v>
      </c>
      <c r="EC43" s="88">
        <v>4</v>
      </c>
      <c r="EE43" s="89"/>
      <c r="EF43" s="88" t="s">
        <v>140</v>
      </c>
      <c r="EG43" s="88" t="s">
        <v>140</v>
      </c>
      <c r="EH43" s="88" t="s">
        <v>140</v>
      </c>
      <c r="EI43" s="88" t="s">
        <v>140</v>
      </c>
      <c r="EJ43" s="88" t="e">
        <v>#NAME?</v>
      </c>
      <c r="EN43" s="89"/>
      <c r="EO43" s="88">
        <v>0</v>
      </c>
      <c r="EP43" s="88">
        <v>0</v>
      </c>
      <c r="EQ43" s="88">
        <v>0</v>
      </c>
      <c r="ER43" s="88">
        <v>0</v>
      </c>
      <c r="ES43" s="88">
        <v>0</v>
      </c>
      <c r="ET43" s="88">
        <v>0</v>
      </c>
      <c r="EU43" s="88">
        <v>0</v>
      </c>
      <c r="EV43" s="88">
        <v>0</v>
      </c>
      <c r="EW43" s="88">
        <v>0</v>
      </c>
      <c r="EX43" s="88">
        <v>0</v>
      </c>
      <c r="EY43" s="88">
        <v>0</v>
      </c>
      <c r="EZ43" s="88">
        <v>0</v>
      </c>
      <c r="FA43" s="88">
        <v>0</v>
      </c>
      <c r="FB43" s="88">
        <v>0</v>
      </c>
      <c r="FC43" s="88">
        <v>0</v>
      </c>
      <c r="FD43" s="88">
        <v>0</v>
      </c>
      <c r="FE43" s="88">
        <v>0</v>
      </c>
      <c r="FF43" s="88">
        <v>0</v>
      </c>
      <c r="FG43" s="88">
        <v>0</v>
      </c>
      <c r="FH43" s="88">
        <v>0</v>
      </c>
      <c r="FI43" s="88">
        <v>0</v>
      </c>
      <c r="FJ43" s="88">
        <v>0</v>
      </c>
      <c r="FK43" s="88">
        <v>0</v>
      </c>
      <c r="FL43" s="88">
        <v>0</v>
      </c>
      <c r="FM43" s="88">
        <v>0</v>
      </c>
      <c r="FN43" s="88">
        <v>0</v>
      </c>
      <c r="FO43" s="88">
        <v>0</v>
      </c>
      <c r="FP43" s="88">
        <v>0</v>
      </c>
      <c r="FQ43" s="88">
        <v>0</v>
      </c>
      <c r="FR43" s="88">
        <v>0</v>
      </c>
      <c r="FS43" s="88">
        <v>0</v>
      </c>
      <c r="FT43" s="88">
        <v>0</v>
      </c>
      <c r="FU43" s="88">
        <v>0</v>
      </c>
      <c r="FV43" s="88">
        <v>0</v>
      </c>
      <c r="FW43" s="88">
        <v>0</v>
      </c>
      <c r="FX43" s="88">
        <v>4</v>
      </c>
      <c r="FZ43" s="89"/>
      <c r="GA43" s="88" t="s">
        <v>140</v>
      </c>
      <c r="GB43" s="88" t="s">
        <v>140</v>
      </c>
      <c r="GC43" s="88" t="s">
        <v>140</v>
      </c>
      <c r="GD43" s="88" t="s">
        <v>140</v>
      </c>
      <c r="GE43" s="88" t="e">
        <v>#NAME?</v>
      </c>
      <c r="GG43" s="89"/>
      <c r="GH43" s="88">
        <v>0</v>
      </c>
      <c r="GI43" s="88">
        <v>0</v>
      </c>
      <c r="GJ43" s="88">
        <v>0</v>
      </c>
      <c r="GK43" s="88">
        <v>0</v>
      </c>
      <c r="GL43" s="88">
        <v>0</v>
      </c>
      <c r="GM43" s="88">
        <v>0</v>
      </c>
      <c r="GN43" s="88">
        <v>0</v>
      </c>
      <c r="GO43" s="88">
        <v>0</v>
      </c>
      <c r="GP43" s="88">
        <v>0</v>
      </c>
      <c r="GQ43" s="88">
        <v>0</v>
      </c>
      <c r="GR43" s="88">
        <v>0</v>
      </c>
      <c r="GS43" s="88">
        <v>0</v>
      </c>
      <c r="GT43" s="88">
        <v>0</v>
      </c>
      <c r="GU43" s="88">
        <v>0</v>
      </c>
      <c r="GV43" s="88">
        <v>0</v>
      </c>
      <c r="GW43" s="88">
        <v>0</v>
      </c>
      <c r="GX43" s="88">
        <v>0</v>
      </c>
      <c r="GY43" s="88">
        <v>0</v>
      </c>
      <c r="GZ43" s="88">
        <v>0</v>
      </c>
      <c r="HA43" s="88">
        <v>0</v>
      </c>
      <c r="HB43" s="88">
        <v>0</v>
      </c>
      <c r="HC43" s="88">
        <v>0</v>
      </c>
      <c r="HD43" s="88">
        <v>0</v>
      </c>
      <c r="HE43" s="88">
        <v>0</v>
      </c>
      <c r="HF43" s="88">
        <v>0</v>
      </c>
      <c r="HG43" s="88">
        <v>0</v>
      </c>
      <c r="HH43" s="88">
        <v>0</v>
      </c>
      <c r="HI43" s="88">
        <v>0</v>
      </c>
      <c r="HJ43" s="88">
        <v>0</v>
      </c>
      <c r="HK43" s="88">
        <v>0</v>
      </c>
      <c r="HL43" s="88">
        <v>0</v>
      </c>
      <c r="HM43" s="88">
        <v>0</v>
      </c>
      <c r="HN43" s="88">
        <v>0</v>
      </c>
      <c r="HO43" s="88">
        <v>0</v>
      </c>
      <c r="HP43" s="88">
        <v>0</v>
      </c>
      <c r="HQ43" s="88">
        <v>4</v>
      </c>
      <c r="HT43" s="89"/>
      <c r="HU43" s="88" t="s">
        <v>140</v>
      </c>
      <c r="HV43" s="88" t="s">
        <v>140</v>
      </c>
      <c r="HW43" s="88" t="s">
        <v>140</v>
      </c>
      <c r="HX43" s="88" t="s">
        <v>140</v>
      </c>
      <c r="HY43" s="88" t="e">
        <v>#NAME?</v>
      </c>
    </row>
    <row r="44" spans="1:233" ht="15.75">
      <c r="A44" t="s">
        <v>140</v>
      </c>
      <c r="B44">
        <v>0</v>
      </c>
      <c r="D44" s="85"/>
      <c r="E44" s="85">
        <v>0</v>
      </c>
      <c r="F44" s="85">
        <v>0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1</v>
      </c>
      <c r="N44" s="85">
        <v>1</v>
      </c>
      <c r="O44" s="85">
        <v>1</v>
      </c>
      <c r="P44" s="85">
        <v>1</v>
      </c>
      <c r="Q44" s="85">
        <v>1</v>
      </c>
      <c r="R44" s="85">
        <v>1</v>
      </c>
      <c r="S44" s="85">
        <v>1</v>
      </c>
      <c r="T44" s="85">
        <v>1</v>
      </c>
      <c r="U44" s="85">
        <v>1</v>
      </c>
      <c r="V44" s="85">
        <v>1</v>
      </c>
      <c r="W44" s="85">
        <v>1</v>
      </c>
      <c r="X44" s="85">
        <v>1</v>
      </c>
      <c r="Y44" s="85">
        <v>1</v>
      </c>
      <c r="Z44" s="85">
        <v>1</v>
      </c>
      <c r="AA44" s="85">
        <v>1</v>
      </c>
      <c r="AB44" s="85">
        <v>1</v>
      </c>
      <c r="AC44" s="85">
        <v>1</v>
      </c>
      <c r="AD44" s="85">
        <v>1</v>
      </c>
      <c r="AE44" s="85">
        <v>1</v>
      </c>
      <c r="AF44" s="85">
        <v>1</v>
      </c>
      <c r="AG44" s="85">
        <v>1</v>
      </c>
      <c r="AH44" s="85">
        <v>1</v>
      </c>
      <c r="AI44" s="85">
        <v>1</v>
      </c>
      <c r="AJ44" s="85">
        <v>1</v>
      </c>
      <c r="AK44" s="85">
        <v>1</v>
      </c>
      <c r="AL44" s="85">
        <v>1</v>
      </c>
      <c r="AM44" s="85">
        <v>1</v>
      </c>
      <c r="AN44" s="85">
        <v>1</v>
      </c>
      <c r="AO44" s="78"/>
      <c r="AV44" s="78"/>
      <c r="AW44" s="90"/>
      <c r="AX44" s="91"/>
      <c r="AY44" s="92"/>
      <c r="AZ44" s="92"/>
      <c r="BA44" s="92"/>
      <c r="BB44" s="92"/>
      <c r="BC44" s="92"/>
      <c r="BD44" s="92"/>
      <c r="BE44" s="92"/>
      <c r="BF44" s="92"/>
      <c r="BG44" s="92"/>
      <c r="BH44" s="92"/>
      <c r="BI44" s="92"/>
      <c r="BJ44" s="92"/>
      <c r="BK44" s="92"/>
      <c r="BL44" s="92"/>
      <c r="BM44" s="92"/>
      <c r="BN44" s="92"/>
      <c r="BO44" s="92"/>
      <c r="BP44" s="92"/>
      <c r="BQ44" s="92"/>
      <c r="BR44" s="92"/>
      <c r="BS44" s="92"/>
      <c r="BT44" s="92"/>
      <c r="BU44" s="92"/>
      <c r="BV44" s="92"/>
      <c r="BW44" s="92"/>
      <c r="BX44" s="92"/>
      <c r="BY44" s="92"/>
      <c r="BZ44" s="92"/>
      <c r="CA44" s="92"/>
      <c r="CB44" s="92"/>
      <c r="CC44" s="92"/>
      <c r="CD44" s="92"/>
      <c r="CE44" s="92"/>
      <c r="CF44" s="92"/>
      <c r="CG44" s="92"/>
      <c r="CH44" s="92"/>
      <c r="CI44" s="83"/>
      <c r="CJ44" s="83"/>
      <c r="CK44" s="91"/>
      <c r="CL44" s="92"/>
      <c r="CM44" s="92"/>
      <c r="CN44" s="92"/>
      <c r="CO44" s="92"/>
      <c r="CP44" s="92"/>
      <c r="CQ44" s="83"/>
      <c r="CR44" s="83"/>
      <c r="CS44" s="83"/>
      <c r="CT44" s="83"/>
      <c r="CU44" s="83"/>
      <c r="CV44" s="83"/>
      <c r="CW44" s="83"/>
      <c r="CX44" s="83"/>
      <c r="CY44" s="83"/>
      <c r="CZ44" s="83"/>
      <c r="DA44" s="83"/>
      <c r="DB44" s="83"/>
      <c r="DC44" s="83"/>
      <c r="DD44" s="83"/>
      <c r="DE44" s="83"/>
      <c r="DF44" s="83"/>
      <c r="DG44" s="83"/>
      <c r="DH44" s="83"/>
      <c r="DI44" s="83"/>
      <c r="DJ44" s="83"/>
      <c r="DK44" s="83"/>
      <c r="DL44" s="83"/>
      <c r="DM44" s="83"/>
      <c r="DN44" s="83"/>
      <c r="DO44" s="83"/>
      <c r="DP44" s="83"/>
      <c r="DQ44" s="83"/>
      <c r="DR44" s="83"/>
      <c r="DS44" s="83"/>
      <c r="DT44" s="83"/>
      <c r="DU44" s="83"/>
      <c r="DV44" s="83"/>
      <c r="DW44" s="83"/>
      <c r="DX44" s="83"/>
      <c r="DY44" s="83"/>
      <c r="DZ44" s="83"/>
      <c r="EA44" s="83"/>
      <c r="EB44" s="83"/>
      <c r="EC44" s="83"/>
      <c r="EE44" s="83"/>
      <c r="EF44" s="83"/>
      <c r="EG44" s="83"/>
      <c r="EH44" s="83"/>
      <c r="EI44" s="83"/>
      <c r="EJ44" s="83"/>
    </row>
    <row r="45" spans="1:233" ht="15.75">
      <c r="A45" t="s">
        <v>140</v>
      </c>
      <c r="B45">
        <v>0</v>
      </c>
      <c r="D45" s="93" t="s">
        <v>64</v>
      </c>
      <c r="E45" s="94"/>
      <c r="F45" s="94"/>
      <c r="G45" s="94"/>
      <c r="H45" s="94"/>
      <c r="I45" s="94"/>
      <c r="J45" s="94"/>
      <c r="K45" s="94"/>
      <c r="L45" s="94"/>
      <c r="M45" s="94"/>
      <c r="N45" s="94"/>
      <c r="O45" s="94"/>
      <c r="P45" s="94"/>
      <c r="Q45" s="94"/>
      <c r="R45" s="94"/>
      <c r="S45" s="94"/>
      <c r="T45" s="94"/>
      <c r="U45" s="94"/>
      <c r="V45" s="94"/>
      <c r="W45" s="94"/>
      <c r="X45" s="94"/>
      <c r="Y45" s="94"/>
      <c r="Z45" s="94"/>
      <c r="AA45" s="94"/>
      <c r="AB45" s="94"/>
      <c r="AC45" s="94"/>
      <c r="AD45" s="94"/>
      <c r="AE45" s="94"/>
      <c r="AF45" s="94"/>
      <c r="AG45" s="94"/>
      <c r="AH45" s="94"/>
      <c r="AI45" s="94"/>
      <c r="AJ45" s="94"/>
      <c r="AK45" s="94"/>
      <c r="AL45" s="94"/>
      <c r="AM45" s="94"/>
      <c r="AN45" s="94"/>
      <c r="AO45" s="78"/>
      <c r="AP45" s="93" t="s">
        <v>64</v>
      </c>
      <c r="AQ45" s="94"/>
      <c r="AR45" s="94"/>
      <c r="AS45" s="94"/>
      <c r="AT45" s="94"/>
      <c r="AU45" s="94"/>
      <c r="AV45" s="78"/>
      <c r="AW45" s="78">
        <v>0</v>
      </c>
      <c r="AX45" s="95" t="s">
        <v>134</v>
      </c>
      <c r="AY45" s="96" t="e">
        <v>#NAME?</v>
      </c>
      <c r="AZ45" s="96" t="e">
        <v>#NAME?</v>
      </c>
      <c r="BA45" s="96" t="e">
        <v>#NAME?</v>
      </c>
      <c r="BB45" s="96" t="e">
        <v>#NAME?</v>
      </c>
      <c r="BC45" s="96" t="e">
        <v>#NAME?</v>
      </c>
      <c r="BD45" s="96" t="e">
        <v>#NAME?</v>
      </c>
      <c r="BE45" s="96" t="e">
        <v>#NAME?</v>
      </c>
      <c r="BF45" s="96" t="e">
        <v>#NAME?</v>
      </c>
      <c r="BG45" s="96" t="e">
        <v>#NAME?</v>
      </c>
      <c r="BH45" s="96" t="e">
        <v>#NAME?</v>
      </c>
      <c r="BI45" s="96" t="e">
        <v>#NAME?</v>
      </c>
      <c r="BJ45" s="96" t="e">
        <v>#NAME?</v>
      </c>
      <c r="BK45" s="96" t="e">
        <v>#NAME?</v>
      </c>
      <c r="BL45" s="96" t="e">
        <v>#NAME?</v>
      </c>
      <c r="BM45" s="96" t="e">
        <v>#NAME?</v>
      </c>
      <c r="BN45" s="96" t="e">
        <v>#NAME?</v>
      </c>
      <c r="BO45" s="96" t="e">
        <v>#NAME?</v>
      </c>
      <c r="BP45" s="96" t="e">
        <v>#NAME?</v>
      </c>
      <c r="BQ45" s="96" t="e">
        <v>#NAME?</v>
      </c>
      <c r="BR45" s="96" t="e">
        <v>#NAME?</v>
      </c>
      <c r="BS45" s="96" t="e">
        <v>#NAME?</v>
      </c>
      <c r="BT45" s="96" t="e">
        <v>#NAME?</v>
      </c>
      <c r="BU45" s="96" t="e">
        <v>#NAME?</v>
      </c>
      <c r="BV45" s="96" t="e">
        <v>#NAME?</v>
      </c>
      <c r="BW45" s="96" t="e">
        <v>#NAME?</v>
      </c>
      <c r="BX45" s="96" t="e">
        <v>#NAME?</v>
      </c>
      <c r="BY45" s="96" t="e">
        <v>#NAME?</v>
      </c>
      <c r="BZ45" s="96" t="e">
        <v>#NAME?</v>
      </c>
      <c r="CA45" s="96" t="e">
        <v>#NAME?</v>
      </c>
      <c r="CB45" s="96" t="e">
        <v>#NAME?</v>
      </c>
      <c r="CC45" s="96" t="e">
        <v>#NAME?</v>
      </c>
      <c r="CD45" s="96" t="e">
        <v>#NAME?</v>
      </c>
      <c r="CE45" s="96" t="e">
        <v>#NAME?</v>
      </c>
      <c r="CF45" s="96" t="e">
        <v>#NAME?</v>
      </c>
      <c r="CG45" s="96" t="e">
        <v>#NAME?</v>
      </c>
      <c r="CH45" s="96" t="e">
        <v>#NAME?</v>
      </c>
      <c r="CK45" s="95" t="s">
        <v>134</v>
      </c>
      <c r="CL45" s="96">
        <v>0</v>
      </c>
      <c r="CM45" s="96">
        <v>0</v>
      </c>
      <c r="CN45" s="96">
        <v>0</v>
      </c>
      <c r="CO45" s="96">
        <v>0</v>
      </c>
      <c r="CP45" s="96">
        <v>0</v>
      </c>
      <c r="CS45" s="97" t="s">
        <v>135</v>
      </c>
      <c r="CT45" s="98" t="e">
        <v>#NAME?</v>
      </c>
      <c r="CU45" s="98" t="e">
        <v>#NAME?</v>
      </c>
      <c r="CV45" s="98" t="e">
        <v>#NAME?</v>
      </c>
      <c r="CW45" s="98" t="e">
        <v>#NAME?</v>
      </c>
      <c r="CX45" s="98" t="e">
        <v>#NAME?</v>
      </c>
      <c r="CY45" s="98" t="e">
        <v>#NAME?</v>
      </c>
      <c r="CZ45" s="98" t="e">
        <v>#NAME?</v>
      </c>
      <c r="DA45" s="98" t="e">
        <v>#NAME?</v>
      </c>
      <c r="DB45" s="98" t="e">
        <v>#NAME?</v>
      </c>
      <c r="DC45" s="98" t="e">
        <v>#NAME?</v>
      </c>
      <c r="DD45" s="98" t="e">
        <v>#NAME?</v>
      </c>
      <c r="DE45" s="98" t="e">
        <v>#NAME?</v>
      </c>
      <c r="DF45" s="98" t="e">
        <v>#NAME?</v>
      </c>
      <c r="DG45" s="98" t="e">
        <v>#NAME?</v>
      </c>
      <c r="DH45" s="98" t="e">
        <v>#NAME?</v>
      </c>
      <c r="DI45" s="98" t="e">
        <v>#NAME?</v>
      </c>
      <c r="DJ45" s="98" t="e">
        <v>#NAME?</v>
      </c>
      <c r="DK45" s="98" t="e">
        <v>#NAME?</v>
      </c>
      <c r="DL45" s="98" t="e">
        <v>#NAME?</v>
      </c>
      <c r="DM45" s="98" t="e">
        <v>#NAME?</v>
      </c>
      <c r="DN45" s="98" t="e">
        <v>#NAME?</v>
      </c>
      <c r="DO45" s="98" t="e">
        <v>#NAME?</v>
      </c>
      <c r="DP45" s="98" t="e">
        <v>#NAME?</v>
      </c>
      <c r="DQ45" s="98" t="e">
        <v>#NAME?</v>
      </c>
      <c r="DR45" s="98" t="e">
        <v>#NAME?</v>
      </c>
      <c r="DS45" s="98" t="e">
        <v>#NAME?</v>
      </c>
      <c r="DT45" s="98" t="e">
        <v>#NAME?</v>
      </c>
      <c r="DU45" s="98" t="e">
        <v>#NAME?</v>
      </c>
      <c r="DV45" s="98" t="e">
        <v>#NAME?</v>
      </c>
      <c r="DW45" s="98" t="e">
        <v>#NAME?</v>
      </c>
      <c r="DX45" s="98" t="e">
        <v>#NAME?</v>
      </c>
      <c r="DY45" s="98" t="e">
        <v>#NAME?</v>
      </c>
      <c r="DZ45" s="98" t="e">
        <v>#NAME?</v>
      </c>
      <c r="EA45" s="98" t="e">
        <v>#NAME?</v>
      </c>
      <c r="EB45" s="98" t="e">
        <v>#NAME?</v>
      </c>
      <c r="EC45" s="98" t="e">
        <v>#NAME?</v>
      </c>
      <c r="EE45" s="97" t="s">
        <v>135</v>
      </c>
      <c r="EF45" s="98"/>
      <c r="EG45" s="98"/>
      <c r="EH45" s="98"/>
      <c r="EI45" s="98"/>
      <c r="EJ45" s="98"/>
      <c r="EN45" s="99" t="s">
        <v>136</v>
      </c>
      <c r="EO45" s="100"/>
      <c r="EP45" s="100"/>
      <c r="EQ45" s="100"/>
      <c r="ER45" s="100"/>
      <c r="ES45" s="100"/>
      <c r="ET45" s="100"/>
      <c r="EU45" s="100"/>
      <c r="EV45" s="100"/>
      <c r="EW45" s="100"/>
      <c r="EX45" s="100"/>
      <c r="EY45" s="100"/>
      <c r="EZ45" s="100"/>
      <c r="FA45" s="100"/>
      <c r="FB45" s="100"/>
      <c r="FC45" s="100"/>
      <c r="FD45" s="100"/>
      <c r="FE45" s="100"/>
      <c r="FF45" s="100"/>
      <c r="FG45" s="100"/>
      <c r="FH45" s="100"/>
      <c r="FI45" s="100"/>
      <c r="FJ45" s="100"/>
      <c r="FK45" s="100"/>
      <c r="FL45" s="100"/>
      <c r="FM45" s="100"/>
      <c r="FN45" s="100"/>
      <c r="FO45" s="100"/>
      <c r="FP45" s="100"/>
      <c r="FQ45" s="100"/>
      <c r="FR45" s="100"/>
      <c r="FS45" s="100"/>
      <c r="FT45" s="100"/>
      <c r="FU45" s="100"/>
      <c r="FV45" s="100"/>
      <c r="FW45" s="100"/>
      <c r="FX45" s="100"/>
      <c r="FZ45" s="99" t="s">
        <v>136</v>
      </c>
      <c r="GA45" s="100"/>
      <c r="GB45" s="100"/>
      <c r="GC45" s="100"/>
      <c r="GD45" s="100"/>
      <c r="GE45" s="100"/>
      <c r="GG45" s="99" t="s">
        <v>517</v>
      </c>
      <c r="GH45" s="100"/>
      <c r="GI45" s="100"/>
      <c r="GJ45" s="100"/>
      <c r="GK45" s="100"/>
      <c r="GL45" s="100"/>
      <c r="GM45" s="100"/>
      <c r="GN45" s="100"/>
      <c r="GO45" s="100"/>
      <c r="GP45" s="100"/>
      <c r="GQ45" s="100"/>
      <c r="GR45" s="100"/>
      <c r="GS45" s="100"/>
      <c r="GT45" s="100"/>
      <c r="GU45" s="100"/>
      <c r="GV45" s="100"/>
      <c r="GW45" s="100"/>
      <c r="GX45" s="100"/>
      <c r="GY45" s="100"/>
      <c r="GZ45" s="100"/>
      <c r="HA45" s="100"/>
      <c r="HB45" s="100"/>
      <c r="HC45" s="100"/>
      <c r="HD45" s="100"/>
      <c r="HE45" s="100"/>
      <c r="HF45" s="100"/>
      <c r="HG45" s="100"/>
      <c r="HH45" s="100"/>
      <c r="HI45" s="100"/>
      <c r="HJ45" s="100"/>
      <c r="HK45" s="100"/>
      <c r="HL45" s="100"/>
      <c r="HM45" s="100"/>
      <c r="HN45" s="100"/>
      <c r="HO45" s="100"/>
      <c r="HP45" s="100"/>
      <c r="HQ45" s="100"/>
      <c r="HT45" s="99" t="s">
        <v>517</v>
      </c>
      <c r="HU45" s="100"/>
      <c r="HV45" s="100"/>
      <c r="HW45" s="100"/>
      <c r="HX45" s="100"/>
      <c r="HY45" s="100"/>
    </row>
    <row r="46" spans="1:233" ht="15.75">
      <c r="A46" t="s">
        <v>140</v>
      </c>
      <c r="B46">
        <v>0</v>
      </c>
      <c r="D46" s="101" t="s">
        <v>137</v>
      </c>
      <c r="E46" s="102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78"/>
      <c r="AP46" s="101" t="s">
        <v>137</v>
      </c>
      <c r="AQ46" s="102"/>
      <c r="AR46" s="102"/>
      <c r="AS46" s="102"/>
      <c r="AT46" s="102"/>
      <c r="AU46" s="102"/>
      <c r="AV46" s="78"/>
      <c r="AW46" s="78">
        <v>0</v>
      </c>
      <c r="AX46" s="103" t="s">
        <v>138</v>
      </c>
      <c r="AY46" s="104" t="e">
        <v>#NAME?</v>
      </c>
      <c r="AZ46" s="104" t="e">
        <v>#NAME?</v>
      </c>
      <c r="BA46" s="104" t="e">
        <v>#NAME?</v>
      </c>
      <c r="BB46" s="104" t="e">
        <v>#NAME?</v>
      </c>
      <c r="BC46" s="104" t="e">
        <v>#NAME?</v>
      </c>
      <c r="BD46" s="104" t="e">
        <v>#NAME?</v>
      </c>
      <c r="BE46" s="104" t="e">
        <v>#NAME?</v>
      </c>
      <c r="BF46" s="104" t="e">
        <v>#NAME?</v>
      </c>
      <c r="BG46" s="104" t="e">
        <v>#NAME?</v>
      </c>
      <c r="BH46" s="104" t="e">
        <v>#NAME?</v>
      </c>
      <c r="BI46" s="104" t="e">
        <v>#NAME?</v>
      </c>
      <c r="BJ46" s="104" t="e">
        <v>#NAME?</v>
      </c>
      <c r="BK46" s="104" t="e">
        <v>#NAME?</v>
      </c>
      <c r="BL46" s="104" t="e">
        <v>#NAME?</v>
      </c>
      <c r="BM46" s="104" t="e">
        <v>#NAME?</v>
      </c>
      <c r="BN46" s="104" t="e">
        <v>#NAME?</v>
      </c>
      <c r="BO46" s="104" t="e">
        <v>#NAME?</v>
      </c>
      <c r="BP46" s="104" t="e">
        <v>#NAME?</v>
      </c>
      <c r="BQ46" s="104" t="e">
        <v>#NAME?</v>
      </c>
      <c r="BR46" s="104" t="e">
        <v>#NAME?</v>
      </c>
      <c r="BS46" s="104" t="e">
        <v>#NAME?</v>
      </c>
      <c r="BT46" s="104" t="e">
        <v>#NAME?</v>
      </c>
      <c r="BU46" s="104" t="e">
        <v>#NAME?</v>
      </c>
      <c r="BV46" s="104" t="e">
        <v>#NAME?</v>
      </c>
      <c r="BW46" s="104" t="e">
        <v>#NAME?</v>
      </c>
      <c r="BX46" s="104" t="e">
        <v>#NAME?</v>
      </c>
      <c r="BY46" s="104" t="e">
        <v>#NAME?</v>
      </c>
      <c r="BZ46" s="104" t="e">
        <v>#NAME?</v>
      </c>
      <c r="CA46" s="104" t="e">
        <v>#NAME?</v>
      </c>
      <c r="CB46" s="104" t="e">
        <v>#NAME?</v>
      </c>
      <c r="CC46" s="104" t="e">
        <v>#NAME?</v>
      </c>
      <c r="CD46" s="104" t="e">
        <v>#NAME?</v>
      </c>
      <c r="CE46" s="104" t="e">
        <v>#NAME?</v>
      </c>
      <c r="CF46" s="104" t="e">
        <v>#NAME?</v>
      </c>
      <c r="CG46" s="104" t="e">
        <v>#NAME?</v>
      </c>
      <c r="CH46" s="104" t="e">
        <v>#NAME?</v>
      </c>
      <c r="CI46" s="6"/>
      <c r="CK46" s="103" t="s">
        <v>138</v>
      </c>
      <c r="CL46" s="104">
        <v>0</v>
      </c>
      <c r="CM46" s="104">
        <v>0</v>
      </c>
      <c r="CN46" s="104">
        <v>0</v>
      </c>
      <c r="CO46" s="104">
        <v>0</v>
      </c>
      <c r="CP46" s="104">
        <v>0</v>
      </c>
      <c r="CQ46" s="6"/>
      <c r="CS46" s="105" t="s">
        <v>68</v>
      </c>
      <c r="CT46" s="104" t="e">
        <v>#NAME?</v>
      </c>
      <c r="CU46" s="104" t="e">
        <v>#NAME?</v>
      </c>
      <c r="CV46" s="104" t="e">
        <v>#NAME?</v>
      </c>
      <c r="CW46" s="104" t="e">
        <v>#NAME?</v>
      </c>
      <c r="CX46" s="104" t="e">
        <v>#NAME?</v>
      </c>
      <c r="CY46" s="104" t="e">
        <v>#NAME?</v>
      </c>
      <c r="CZ46" s="104" t="e">
        <v>#NAME?</v>
      </c>
      <c r="DA46" s="104" t="e">
        <v>#NAME?</v>
      </c>
      <c r="DB46" s="104" t="e">
        <v>#NAME?</v>
      </c>
      <c r="DC46" s="104" t="e">
        <v>#NAME?</v>
      </c>
      <c r="DD46" s="104" t="e">
        <v>#NAME?</v>
      </c>
      <c r="DE46" s="104" t="e">
        <v>#NAME?</v>
      </c>
      <c r="DF46" s="104" t="e">
        <v>#NAME?</v>
      </c>
      <c r="DG46" s="104" t="e">
        <v>#NAME?</v>
      </c>
      <c r="DH46" s="104" t="e">
        <v>#NAME?</v>
      </c>
      <c r="DI46" s="104" t="e">
        <v>#NAME?</v>
      </c>
      <c r="DJ46" s="104" t="e">
        <v>#NAME?</v>
      </c>
      <c r="DK46" s="104" t="e">
        <v>#NAME?</v>
      </c>
      <c r="DL46" s="104" t="e">
        <v>#NAME?</v>
      </c>
      <c r="DM46" s="104" t="e">
        <v>#NAME?</v>
      </c>
      <c r="DN46" s="104" t="e">
        <v>#NAME?</v>
      </c>
      <c r="DO46" s="104" t="e">
        <v>#NAME?</v>
      </c>
      <c r="DP46" s="104" t="e">
        <v>#NAME?</v>
      </c>
      <c r="DQ46" s="104" t="e">
        <v>#NAME?</v>
      </c>
      <c r="DR46" s="104" t="e">
        <v>#NAME?</v>
      </c>
      <c r="DS46" s="104" t="e">
        <v>#NAME?</v>
      </c>
      <c r="DT46" s="104" t="e">
        <v>#NAME?</v>
      </c>
      <c r="DU46" s="104" t="e">
        <v>#NAME?</v>
      </c>
      <c r="DV46" s="104" t="e">
        <v>#NAME?</v>
      </c>
      <c r="DW46" s="104" t="e">
        <v>#NAME?</v>
      </c>
      <c r="DX46" s="104" t="e">
        <v>#NAME?</v>
      </c>
      <c r="DY46" s="104" t="e">
        <v>#NAME?</v>
      </c>
      <c r="DZ46" s="104" t="e">
        <v>#NAME?</v>
      </c>
      <c r="EA46" s="104" t="e">
        <v>#NAME?</v>
      </c>
      <c r="EB46" s="104" t="e">
        <v>#NAME?</v>
      </c>
      <c r="EC46" s="104" t="e">
        <v>#NAME?</v>
      </c>
      <c r="EE46" s="105" t="s">
        <v>68</v>
      </c>
      <c r="EF46" s="104">
        <v>0</v>
      </c>
      <c r="EG46" s="104">
        <v>0</v>
      </c>
      <c r="EH46" s="104">
        <v>0</v>
      </c>
      <c r="EI46" s="104">
        <v>0</v>
      </c>
      <c r="EJ46" s="104">
        <v>0</v>
      </c>
      <c r="EN46" s="106" t="s">
        <v>139</v>
      </c>
      <c r="EO46" s="107" t="e">
        <v>#NAME?</v>
      </c>
      <c r="EP46" s="107" t="e">
        <v>#NAME?</v>
      </c>
      <c r="EQ46" s="107" t="e">
        <v>#NAME?</v>
      </c>
      <c r="ER46" s="107" t="e">
        <v>#NAME?</v>
      </c>
      <c r="ES46" s="107" t="e">
        <v>#NAME?</v>
      </c>
      <c r="ET46" s="107" t="e">
        <v>#NAME?</v>
      </c>
      <c r="EU46" s="107" t="e">
        <v>#NAME?</v>
      </c>
      <c r="EV46" s="107" t="e">
        <v>#NAME?</v>
      </c>
      <c r="EW46" s="107" t="e">
        <v>#NAME?</v>
      </c>
      <c r="EX46" s="107" t="e">
        <v>#NAME?</v>
      </c>
      <c r="EY46" s="107" t="e">
        <v>#NAME?</v>
      </c>
      <c r="EZ46" s="107" t="e">
        <v>#NAME?</v>
      </c>
      <c r="FA46" s="107" t="e">
        <v>#NAME?</v>
      </c>
      <c r="FB46" s="107" t="e">
        <v>#NAME?</v>
      </c>
      <c r="FC46" s="107" t="e">
        <v>#NAME?</v>
      </c>
      <c r="FD46" s="107" t="e">
        <v>#NAME?</v>
      </c>
      <c r="FE46" s="107" t="e">
        <v>#NAME?</v>
      </c>
      <c r="FF46" s="107" t="e">
        <v>#NAME?</v>
      </c>
      <c r="FG46" s="107" t="e">
        <v>#NAME?</v>
      </c>
      <c r="FH46" s="107" t="e">
        <v>#NAME?</v>
      </c>
      <c r="FI46" s="107" t="e">
        <v>#NAME?</v>
      </c>
      <c r="FJ46" s="107" t="e">
        <v>#NAME?</v>
      </c>
      <c r="FK46" s="107" t="e">
        <v>#NAME?</v>
      </c>
      <c r="FL46" s="107" t="e">
        <v>#NAME?</v>
      </c>
      <c r="FM46" s="107" t="e">
        <v>#NAME?</v>
      </c>
      <c r="FN46" s="107" t="e">
        <v>#NAME?</v>
      </c>
      <c r="FO46" s="107" t="e">
        <v>#NAME?</v>
      </c>
      <c r="FP46" s="107" t="e">
        <v>#NAME?</v>
      </c>
      <c r="FQ46" s="107" t="e">
        <v>#NAME?</v>
      </c>
      <c r="FR46" s="107" t="e">
        <v>#NAME?</v>
      </c>
      <c r="FS46" s="107" t="e">
        <v>#NAME?</v>
      </c>
      <c r="FT46" s="107" t="e">
        <v>#NAME?</v>
      </c>
      <c r="FU46" s="107" t="e">
        <v>#NAME?</v>
      </c>
      <c r="FV46" s="107" t="e">
        <v>#NAME?</v>
      </c>
      <c r="FW46" s="107" t="e">
        <v>#NAME?</v>
      </c>
      <c r="FX46" s="107" t="e">
        <v>#NAME?</v>
      </c>
      <c r="FZ46" s="106" t="s">
        <v>139</v>
      </c>
      <c r="GA46" s="104">
        <v>0</v>
      </c>
      <c r="GB46" s="104">
        <v>0</v>
      </c>
      <c r="GC46" s="107">
        <v>0</v>
      </c>
      <c r="GD46" s="107">
        <v>0</v>
      </c>
      <c r="GE46" s="107">
        <v>0</v>
      </c>
      <c r="GG46" s="754" t="s">
        <v>518</v>
      </c>
      <c r="GH46" s="4" t="e">
        <v>#NAME?</v>
      </c>
      <c r="GI46" s="4" t="e">
        <v>#NAME?</v>
      </c>
      <c r="GJ46" s="4" t="e">
        <v>#NAME?</v>
      </c>
      <c r="GK46" s="4" t="e">
        <v>#NAME?</v>
      </c>
      <c r="GL46" s="4" t="e">
        <v>#NAME?</v>
      </c>
      <c r="GM46" s="4" t="e">
        <v>#NAME?</v>
      </c>
      <c r="GN46" s="4" t="e">
        <v>#NAME?</v>
      </c>
      <c r="GO46" s="4" t="e">
        <v>#NAME?</v>
      </c>
      <c r="GP46" s="4" t="e">
        <v>#NAME?</v>
      </c>
      <c r="GQ46" s="4" t="e">
        <v>#NAME?</v>
      </c>
      <c r="GR46" s="4" t="e">
        <v>#NAME?</v>
      </c>
      <c r="GS46" s="4" t="e">
        <v>#NAME?</v>
      </c>
      <c r="GT46" s="4" t="e">
        <v>#NAME?</v>
      </c>
      <c r="GU46" s="4" t="e">
        <v>#NAME?</v>
      </c>
      <c r="GV46" s="4" t="e">
        <v>#NAME?</v>
      </c>
      <c r="GW46" s="4" t="e">
        <v>#NAME?</v>
      </c>
      <c r="GX46" s="4" t="e">
        <v>#NAME?</v>
      </c>
      <c r="GY46" s="4" t="e">
        <v>#NAME?</v>
      </c>
      <c r="GZ46" s="4" t="e">
        <v>#NAME?</v>
      </c>
      <c r="HA46" s="4" t="e">
        <v>#NAME?</v>
      </c>
      <c r="HB46" s="4" t="e">
        <v>#NAME?</v>
      </c>
      <c r="HC46" s="4" t="e">
        <v>#NAME?</v>
      </c>
      <c r="HD46" s="4" t="e">
        <v>#NAME?</v>
      </c>
      <c r="HE46" s="4" t="e">
        <v>#NAME?</v>
      </c>
      <c r="HF46" s="4" t="e">
        <v>#NAME?</v>
      </c>
      <c r="HG46" s="4" t="e">
        <v>#NAME?</v>
      </c>
      <c r="HH46" s="4" t="e">
        <v>#NAME?</v>
      </c>
      <c r="HI46" s="4" t="e">
        <v>#NAME?</v>
      </c>
      <c r="HJ46" s="4" t="e">
        <v>#NAME?</v>
      </c>
      <c r="HK46" s="4" t="e">
        <v>#NAME?</v>
      </c>
      <c r="HL46" s="4" t="e">
        <v>#NAME?</v>
      </c>
      <c r="HM46" s="4" t="e">
        <v>#NAME?</v>
      </c>
      <c r="HN46" s="4" t="e">
        <v>#NAME?</v>
      </c>
      <c r="HO46" s="4" t="e">
        <v>#NAME?</v>
      </c>
      <c r="HP46" s="4" t="e">
        <v>#NAME?</v>
      </c>
      <c r="HQ46" s="4" t="e">
        <v>#NAME?</v>
      </c>
      <c r="HT46" s="754" t="s">
        <v>518</v>
      </c>
      <c r="HU46" s="757">
        <v>0</v>
      </c>
      <c r="HV46">
        <v>0</v>
      </c>
      <c r="HW46">
        <v>0</v>
      </c>
      <c r="HX46">
        <v>0</v>
      </c>
      <c r="HY46">
        <v>0</v>
      </c>
    </row>
    <row r="47" spans="1:233" ht="15.75">
      <c r="A47" t="s">
        <v>140</v>
      </c>
      <c r="B47">
        <v>0</v>
      </c>
      <c r="D47" s="108" t="s">
        <v>140</v>
      </c>
      <c r="E47" s="109"/>
      <c r="F47" s="109"/>
      <c r="G47" s="109"/>
      <c r="H47" s="109"/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  <c r="AC47" s="109"/>
      <c r="AD47" s="109"/>
      <c r="AE47" s="109"/>
      <c r="AF47" s="109"/>
      <c r="AG47" s="109"/>
      <c r="AH47" s="109"/>
      <c r="AI47" s="109"/>
      <c r="AJ47" s="109"/>
      <c r="AK47" s="109"/>
      <c r="AL47" s="109"/>
      <c r="AM47" s="109"/>
      <c r="AN47" s="109"/>
      <c r="AO47" s="78"/>
      <c r="AP47" s="108"/>
      <c r="AQ47" s="109"/>
      <c r="AR47" s="109"/>
      <c r="AS47" s="109"/>
      <c r="AT47" s="109"/>
      <c r="AU47" s="109"/>
      <c r="AV47" s="78"/>
      <c r="AW47" s="78">
        <v>0</v>
      </c>
      <c r="AX47" s="103" t="s">
        <v>141</v>
      </c>
      <c r="AY47" s="104" t="e">
        <v>#NAME?</v>
      </c>
      <c r="AZ47" s="104" t="e">
        <v>#NAME?</v>
      </c>
      <c r="BA47" s="104" t="e">
        <v>#NAME?</v>
      </c>
      <c r="BB47" s="104" t="e">
        <v>#NAME?</v>
      </c>
      <c r="BC47" s="104" t="e">
        <v>#NAME?</v>
      </c>
      <c r="BD47" s="104" t="e">
        <v>#NAME?</v>
      </c>
      <c r="BE47" s="104" t="e">
        <v>#NAME?</v>
      </c>
      <c r="BF47" s="104" t="e">
        <v>#NAME?</v>
      </c>
      <c r="BG47" s="104" t="e">
        <v>#NAME?</v>
      </c>
      <c r="BH47" s="104" t="e">
        <v>#NAME?</v>
      </c>
      <c r="BI47" s="104" t="e">
        <v>#NAME?</v>
      </c>
      <c r="BJ47" s="104" t="e">
        <v>#NAME?</v>
      </c>
      <c r="BK47" s="104" t="e">
        <v>#NAME?</v>
      </c>
      <c r="BL47" s="104" t="e">
        <v>#NAME?</v>
      </c>
      <c r="BM47" s="104" t="e">
        <v>#NAME?</v>
      </c>
      <c r="BN47" s="104" t="e">
        <v>#NAME?</v>
      </c>
      <c r="BO47" s="104" t="e">
        <v>#NAME?</v>
      </c>
      <c r="BP47" s="104" t="e">
        <v>#NAME?</v>
      </c>
      <c r="BQ47" s="104" t="e">
        <v>#NAME?</v>
      </c>
      <c r="BR47" s="104" t="e">
        <v>#NAME?</v>
      </c>
      <c r="BS47" s="104" t="e">
        <v>#NAME?</v>
      </c>
      <c r="BT47" s="104" t="e">
        <v>#NAME?</v>
      </c>
      <c r="BU47" s="104" t="e">
        <v>#NAME?</v>
      </c>
      <c r="BV47" s="104" t="e">
        <v>#NAME?</v>
      </c>
      <c r="BW47" s="104" t="e">
        <v>#NAME?</v>
      </c>
      <c r="BX47" s="104" t="e">
        <v>#NAME?</v>
      </c>
      <c r="BY47" s="104" t="e">
        <v>#NAME?</v>
      </c>
      <c r="BZ47" s="104" t="e">
        <v>#NAME?</v>
      </c>
      <c r="CA47" s="104" t="e">
        <v>#NAME?</v>
      </c>
      <c r="CB47" s="104" t="e">
        <v>#NAME?</v>
      </c>
      <c r="CC47" s="104" t="e">
        <v>#NAME?</v>
      </c>
      <c r="CD47" s="104" t="e">
        <v>#NAME?</v>
      </c>
      <c r="CE47" s="104" t="e">
        <v>#NAME?</v>
      </c>
      <c r="CF47" s="104" t="e">
        <v>#NAME?</v>
      </c>
      <c r="CG47" s="104" t="e">
        <v>#NAME?</v>
      </c>
      <c r="CH47" s="104" t="e">
        <v>#NAME?</v>
      </c>
      <c r="CK47" s="103" t="s">
        <v>141</v>
      </c>
      <c r="CL47" s="104">
        <v>0</v>
      </c>
      <c r="CM47" s="104">
        <v>0</v>
      </c>
      <c r="CN47" s="104">
        <v>0</v>
      </c>
      <c r="CO47" s="104">
        <v>0</v>
      </c>
      <c r="CP47" s="104">
        <v>0</v>
      </c>
      <c r="CS47" s="105" t="s">
        <v>73</v>
      </c>
      <c r="CT47" s="104" t="e">
        <v>#NAME?</v>
      </c>
      <c r="CU47" s="104" t="e">
        <v>#NAME?</v>
      </c>
      <c r="CV47" s="104" t="e">
        <v>#NAME?</v>
      </c>
      <c r="CW47" s="104" t="e">
        <v>#NAME?</v>
      </c>
      <c r="CX47" s="104" t="e">
        <v>#NAME?</v>
      </c>
      <c r="CY47" s="104" t="e">
        <v>#NAME?</v>
      </c>
      <c r="CZ47" s="104" t="e">
        <v>#NAME?</v>
      </c>
      <c r="DA47" s="104" t="e">
        <v>#NAME?</v>
      </c>
      <c r="DB47" s="104" t="e">
        <v>#NAME?</v>
      </c>
      <c r="DC47" s="104" t="e">
        <v>#NAME?</v>
      </c>
      <c r="DD47" s="104" t="e">
        <v>#NAME?</v>
      </c>
      <c r="DE47" s="104" t="e">
        <v>#NAME?</v>
      </c>
      <c r="DF47" s="104" t="e">
        <v>#NAME?</v>
      </c>
      <c r="DG47" s="104" t="e">
        <v>#NAME?</v>
      </c>
      <c r="DH47" s="104" t="e">
        <v>#NAME?</v>
      </c>
      <c r="DI47" s="104" t="e">
        <v>#NAME?</v>
      </c>
      <c r="DJ47" s="104" t="e">
        <v>#NAME?</v>
      </c>
      <c r="DK47" s="104" t="e">
        <v>#NAME?</v>
      </c>
      <c r="DL47" s="104" t="e">
        <v>#NAME?</v>
      </c>
      <c r="DM47" s="104" t="e">
        <v>#NAME?</v>
      </c>
      <c r="DN47" s="104" t="e">
        <v>#NAME?</v>
      </c>
      <c r="DO47" s="104" t="e">
        <v>#NAME?</v>
      </c>
      <c r="DP47" s="104" t="e">
        <v>#NAME?</v>
      </c>
      <c r="DQ47" s="104" t="e">
        <v>#NAME?</v>
      </c>
      <c r="DR47" s="104" t="e">
        <v>#NAME?</v>
      </c>
      <c r="DS47" s="104" t="e">
        <v>#NAME?</v>
      </c>
      <c r="DT47" s="104" t="e">
        <v>#NAME?</v>
      </c>
      <c r="DU47" s="104" t="e">
        <v>#NAME?</v>
      </c>
      <c r="DV47" s="104" t="e">
        <v>#NAME?</v>
      </c>
      <c r="DW47" s="104" t="e">
        <v>#NAME?</v>
      </c>
      <c r="DX47" s="104" t="e">
        <v>#NAME?</v>
      </c>
      <c r="DY47" s="104" t="e">
        <v>#NAME?</v>
      </c>
      <c r="DZ47" s="104" t="e">
        <v>#NAME?</v>
      </c>
      <c r="EA47" s="104" t="e">
        <v>#NAME?</v>
      </c>
      <c r="EB47" s="104" t="e">
        <v>#NAME?</v>
      </c>
      <c r="EC47" s="104" t="e">
        <v>#NAME?</v>
      </c>
      <c r="EE47" s="105" t="s">
        <v>73</v>
      </c>
      <c r="EF47" s="104">
        <v>0</v>
      </c>
      <c r="EG47" s="104">
        <v>0</v>
      </c>
      <c r="EH47" s="104">
        <v>0</v>
      </c>
      <c r="EI47" s="104">
        <v>0</v>
      </c>
      <c r="EJ47" s="104">
        <v>0</v>
      </c>
      <c r="EN47" s="110" t="s">
        <v>11</v>
      </c>
      <c r="EO47" s="107" t="e">
        <v>#NAME?</v>
      </c>
      <c r="EP47" s="107" t="e">
        <v>#NAME?</v>
      </c>
      <c r="EQ47" s="107" t="e">
        <v>#NAME?</v>
      </c>
      <c r="ER47" s="107" t="e">
        <v>#NAME?</v>
      </c>
      <c r="ES47" s="107" t="e">
        <v>#NAME?</v>
      </c>
      <c r="ET47" s="107" t="e">
        <v>#NAME?</v>
      </c>
      <c r="EU47" s="107" t="e">
        <v>#NAME?</v>
      </c>
      <c r="EV47" s="107" t="e">
        <v>#NAME?</v>
      </c>
      <c r="EW47" s="107" t="e">
        <v>#NAME?</v>
      </c>
      <c r="EX47" s="107" t="e">
        <v>#NAME?</v>
      </c>
      <c r="EY47" s="107" t="e">
        <v>#NAME?</v>
      </c>
      <c r="EZ47" s="107" t="e">
        <v>#NAME?</v>
      </c>
      <c r="FA47" s="107" t="e">
        <v>#NAME?</v>
      </c>
      <c r="FB47" s="107" t="e">
        <v>#NAME?</v>
      </c>
      <c r="FC47" s="107" t="e">
        <v>#NAME?</v>
      </c>
      <c r="FD47" s="107" t="e">
        <v>#NAME?</v>
      </c>
      <c r="FE47" s="107" t="e">
        <v>#NAME?</v>
      </c>
      <c r="FF47" s="107" t="e">
        <v>#NAME?</v>
      </c>
      <c r="FG47" s="107" t="e">
        <v>#NAME?</v>
      </c>
      <c r="FH47" s="107" t="e">
        <v>#NAME?</v>
      </c>
      <c r="FI47" s="107" t="e">
        <v>#NAME?</v>
      </c>
      <c r="FJ47" s="107" t="e">
        <v>#NAME?</v>
      </c>
      <c r="FK47" s="107" t="e">
        <v>#NAME?</v>
      </c>
      <c r="FL47" s="107" t="e">
        <v>#NAME?</v>
      </c>
      <c r="FM47" s="107" t="e">
        <v>#NAME?</v>
      </c>
      <c r="FN47" s="107" t="e">
        <v>#NAME?</v>
      </c>
      <c r="FO47" s="107" t="e">
        <v>#NAME?</v>
      </c>
      <c r="FP47" s="107" t="e">
        <v>#NAME?</v>
      </c>
      <c r="FQ47" s="107" t="e">
        <v>#NAME?</v>
      </c>
      <c r="FR47" s="107" t="e">
        <v>#NAME?</v>
      </c>
      <c r="FS47" s="107" t="e">
        <v>#NAME?</v>
      </c>
      <c r="FT47" s="107" t="e">
        <v>#NAME?</v>
      </c>
      <c r="FU47" s="107" t="e">
        <v>#NAME?</v>
      </c>
      <c r="FV47" s="107" t="e">
        <v>#NAME?</v>
      </c>
      <c r="FW47" s="107" t="e">
        <v>#NAME?</v>
      </c>
      <c r="FX47" s="107" t="e">
        <v>#NAME?</v>
      </c>
      <c r="FZ47" s="110" t="s">
        <v>11</v>
      </c>
      <c r="GA47" s="107">
        <v>0</v>
      </c>
      <c r="GB47" s="107">
        <v>0</v>
      </c>
      <c r="GC47" s="107">
        <v>0</v>
      </c>
      <c r="GD47" s="107">
        <v>0</v>
      </c>
      <c r="GE47" s="107">
        <v>0</v>
      </c>
      <c r="GG47" s="755" t="s">
        <v>291</v>
      </c>
      <c r="GH47" s="758" t="e">
        <v>#NAME?</v>
      </c>
      <c r="GI47" s="758" t="e">
        <v>#NAME?</v>
      </c>
      <c r="GJ47" s="758" t="e">
        <v>#NAME?</v>
      </c>
      <c r="GK47" s="758" t="e">
        <v>#NAME?</v>
      </c>
      <c r="GL47" s="758" t="e">
        <v>#NAME?</v>
      </c>
      <c r="GM47" s="758" t="e">
        <v>#NAME?</v>
      </c>
      <c r="GN47" s="758" t="e">
        <v>#NAME?</v>
      </c>
      <c r="GO47" s="758" t="e">
        <v>#NAME?</v>
      </c>
      <c r="GP47" s="758" t="e">
        <v>#NAME?</v>
      </c>
      <c r="GQ47" s="758" t="e">
        <v>#NAME?</v>
      </c>
      <c r="GR47" s="758" t="e">
        <v>#NAME?</v>
      </c>
      <c r="GS47" s="758" t="e">
        <v>#NAME?</v>
      </c>
      <c r="GT47" s="758" t="e">
        <v>#NAME?</v>
      </c>
      <c r="GU47" s="758" t="e">
        <v>#NAME?</v>
      </c>
      <c r="GV47" s="758" t="e">
        <v>#NAME?</v>
      </c>
      <c r="GW47" s="758" t="e">
        <v>#NAME?</v>
      </c>
      <c r="GX47" s="758" t="e">
        <v>#NAME?</v>
      </c>
      <c r="GY47" s="758" t="e">
        <v>#NAME?</v>
      </c>
      <c r="GZ47" s="758" t="e">
        <v>#NAME?</v>
      </c>
      <c r="HA47" s="758" t="e">
        <v>#NAME?</v>
      </c>
      <c r="HB47" s="758" t="e">
        <v>#NAME?</v>
      </c>
      <c r="HC47" s="758" t="e">
        <v>#NAME?</v>
      </c>
      <c r="HD47" s="758" t="e">
        <v>#NAME?</v>
      </c>
      <c r="HE47" s="758" t="e">
        <v>#NAME?</v>
      </c>
      <c r="HF47" s="758" t="e">
        <v>#NAME?</v>
      </c>
      <c r="HG47" s="758" t="e">
        <v>#NAME?</v>
      </c>
      <c r="HH47" s="758" t="e">
        <v>#NAME?</v>
      </c>
      <c r="HI47" s="758" t="e">
        <v>#NAME?</v>
      </c>
      <c r="HJ47" s="758" t="e">
        <v>#NAME?</v>
      </c>
      <c r="HK47" s="758" t="e">
        <v>#NAME?</v>
      </c>
      <c r="HL47" s="758" t="e">
        <v>#NAME?</v>
      </c>
      <c r="HM47" s="758" t="e">
        <v>#NAME?</v>
      </c>
      <c r="HN47" s="758" t="e">
        <v>#NAME?</v>
      </c>
      <c r="HO47" s="758" t="e">
        <v>#NAME?</v>
      </c>
      <c r="HP47" s="758" t="e">
        <v>#NAME?</v>
      </c>
      <c r="HQ47" s="758" t="e">
        <v>#NAME?</v>
      </c>
      <c r="HT47" s="755" t="s">
        <v>291</v>
      </c>
      <c r="HU47" s="107">
        <v>0</v>
      </c>
      <c r="HV47" s="758">
        <v>0</v>
      </c>
      <c r="HW47" s="758">
        <v>0</v>
      </c>
      <c r="HX47" s="758">
        <v>0</v>
      </c>
      <c r="HY47" s="758">
        <v>0</v>
      </c>
    </row>
    <row r="48" spans="1:233" ht="15.75">
      <c r="A48" t="s">
        <v>140</v>
      </c>
      <c r="B48">
        <v>0</v>
      </c>
      <c r="D48" s="103" t="s">
        <v>142</v>
      </c>
      <c r="E48" s="111" t="e">
        <v>#VALUE!</v>
      </c>
      <c r="F48" s="111" t="e">
        <v>#VALUE!</v>
      </c>
      <c r="G48" s="111" t="e">
        <v>#VALUE!</v>
      </c>
      <c r="H48" s="111" t="e">
        <v>#VALUE!</v>
      </c>
      <c r="I48" s="111" t="e">
        <v>#VALUE!</v>
      </c>
      <c r="J48" s="111" t="e">
        <v>#VALUE!</v>
      </c>
      <c r="K48" s="111" t="e">
        <v>#VALUE!</v>
      </c>
      <c r="L48" s="111" t="e">
        <v>#VALUE!</v>
      </c>
      <c r="M48" s="111" t="e">
        <v>#VALUE!</v>
      </c>
      <c r="N48" s="111" t="e">
        <v>#VALUE!</v>
      </c>
      <c r="O48" s="111" t="e">
        <v>#VALUE!</v>
      </c>
      <c r="P48" s="111" t="e">
        <v>#VALUE!</v>
      </c>
      <c r="Q48" s="111" t="e">
        <v>#VALUE!</v>
      </c>
      <c r="R48" s="111" t="e">
        <v>#VALUE!</v>
      </c>
      <c r="S48" s="111" t="e">
        <v>#VALUE!</v>
      </c>
      <c r="T48" s="111" t="e">
        <v>#VALUE!</v>
      </c>
      <c r="U48" s="111" t="e">
        <v>#VALUE!</v>
      </c>
      <c r="V48" s="111" t="e">
        <v>#VALUE!</v>
      </c>
      <c r="W48" s="111" t="e">
        <v>#VALUE!</v>
      </c>
      <c r="X48" s="111" t="e">
        <v>#VALUE!</v>
      </c>
      <c r="Y48" s="111" t="e">
        <v>#VALUE!</v>
      </c>
      <c r="Z48" s="111" t="e">
        <v>#VALUE!</v>
      </c>
      <c r="AA48" s="111" t="e">
        <v>#VALUE!</v>
      </c>
      <c r="AB48" s="111" t="e">
        <v>#VALUE!</v>
      </c>
      <c r="AC48" s="111" t="e">
        <v>#VALUE!</v>
      </c>
      <c r="AD48" s="111" t="e">
        <v>#VALUE!</v>
      </c>
      <c r="AE48" s="111" t="e">
        <v>#VALUE!</v>
      </c>
      <c r="AF48" s="111" t="e">
        <v>#VALUE!</v>
      </c>
      <c r="AG48" s="111" t="e">
        <v>#VALUE!</v>
      </c>
      <c r="AH48" s="111" t="e">
        <v>#VALUE!</v>
      </c>
      <c r="AI48" s="111" t="e">
        <v>#VALUE!</v>
      </c>
      <c r="AJ48" s="111" t="e">
        <v>#VALUE!</v>
      </c>
      <c r="AK48" s="111" t="e">
        <v>#VALUE!</v>
      </c>
      <c r="AL48" s="111" t="e">
        <v>#VALUE!</v>
      </c>
      <c r="AM48" s="111" t="e">
        <v>#VALUE!</v>
      </c>
      <c r="AN48" s="111" t="e">
        <v>#NAME?</v>
      </c>
      <c r="AO48" s="78"/>
      <c r="AP48" s="103" t="s">
        <v>142</v>
      </c>
      <c r="AQ48" s="111">
        <v>0</v>
      </c>
      <c r="AR48" s="111">
        <v>0</v>
      </c>
      <c r="AS48" s="111">
        <v>0</v>
      </c>
      <c r="AT48" s="111">
        <v>0</v>
      </c>
      <c r="AU48" s="111">
        <v>0</v>
      </c>
      <c r="AV48" s="78"/>
      <c r="AW48" s="78">
        <v>0</v>
      </c>
      <c r="AX48" s="95" t="s">
        <v>143</v>
      </c>
      <c r="AY48" s="96" t="e">
        <v>#NAME?</v>
      </c>
      <c r="AZ48" s="96" t="e">
        <v>#NAME?</v>
      </c>
      <c r="BA48" s="96" t="e">
        <v>#NAME?</v>
      </c>
      <c r="BB48" s="96" t="e">
        <v>#NAME?</v>
      </c>
      <c r="BC48" s="96" t="e">
        <v>#NAME?</v>
      </c>
      <c r="BD48" s="96" t="e">
        <v>#NAME?</v>
      </c>
      <c r="BE48" s="96" t="e">
        <v>#NAME?</v>
      </c>
      <c r="BF48" s="96" t="e">
        <v>#NAME?</v>
      </c>
      <c r="BG48" s="96" t="e">
        <v>#NAME?</v>
      </c>
      <c r="BH48" s="96" t="e">
        <v>#NAME?</v>
      </c>
      <c r="BI48" s="96" t="e">
        <v>#NAME?</v>
      </c>
      <c r="BJ48" s="96" t="e">
        <v>#NAME?</v>
      </c>
      <c r="BK48" s="96" t="e">
        <v>#NAME?</v>
      </c>
      <c r="BL48" s="96" t="e">
        <v>#NAME?</v>
      </c>
      <c r="BM48" s="96" t="e">
        <v>#NAME?</v>
      </c>
      <c r="BN48" s="96" t="e">
        <v>#NAME?</v>
      </c>
      <c r="BO48" s="96" t="e">
        <v>#NAME?</v>
      </c>
      <c r="BP48" s="96" t="e">
        <v>#NAME?</v>
      </c>
      <c r="BQ48" s="96" t="e">
        <v>#NAME?</v>
      </c>
      <c r="BR48" s="96" t="e">
        <v>#NAME?</v>
      </c>
      <c r="BS48" s="96" t="e">
        <v>#NAME?</v>
      </c>
      <c r="BT48" s="96" t="e">
        <v>#NAME?</v>
      </c>
      <c r="BU48" s="96" t="e">
        <v>#NAME?</v>
      </c>
      <c r="BV48" s="96" t="e">
        <v>#NAME?</v>
      </c>
      <c r="BW48" s="96" t="e">
        <v>#NAME?</v>
      </c>
      <c r="BX48" s="96" t="e">
        <v>#NAME?</v>
      </c>
      <c r="BY48" s="96" t="e">
        <v>#NAME?</v>
      </c>
      <c r="BZ48" s="96" t="e">
        <v>#NAME?</v>
      </c>
      <c r="CA48" s="96" t="e">
        <v>#NAME?</v>
      </c>
      <c r="CB48" s="96" t="e">
        <v>#NAME?</v>
      </c>
      <c r="CC48" s="96" t="e">
        <v>#NAME?</v>
      </c>
      <c r="CD48" s="96" t="e">
        <v>#NAME?</v>
      </c>
      <c r="CE48" s="96" t="e">
        <v>#NAME?</v>
      </c>
      <c r="CF48" s="96" t="e">
        <v>#NAME?</v>
      </c>
      <c r="CG48" s="96" t="e">
        <v>#NAME?</v>
      </c>
      <c r="CH48" s="96" t="e">
        <v>#NAME?</v>
      </c>
      <c r="CK48" s="95" t="s">
        <v>143</v>
      </c>
      <c r="CL48" s="96">
        <v>0</v>
      </c>
      <c r="CM48" s="96">
        <v>0</v>
      </c>
      <c r="CN48" s="96">
        <v>0</v>
      </c>
      <c r="CO48" s="96">
        <v>0</v>
      </c>
      <c r="CP48" s="96">
        <v>0</v>
      </c>
      <c r="CS48" s="105" t="s">
        <v>78</v>
      </c>
      <c r="CT48" s="112" t="e">
        <v>#NAME?</v>
      </c>
      <c r="CU48" s="112" t="e">
        <v>#NAME?</v>
      </c>
      <c r="CV48" s="112" t="e">
        <v>#NAME?</v>
      </c>
      <c r="CW48" s="112" t="e">
        <v>#NAME?</v>
      </c>
      <c r="CX48" s="112" t="e">
        <v>#NAME?</v>
      </c>
      <c r="CY48" s="112" t="e">
        <v>#NAME?</v>
      </c>
      <c r="CZ48" s="112" t="e">
        <v>#NAME?</v>
      </c>
      <c r="DA48" s="112" t="e">
        <v>#NAME?</v>
      </c>
      <c r="DB48" s="112" t="e">
        <v>#NAME?</v>
      </c>
      <c r="DC48" s="112" t="e">
        <v>#NAME?</v>
      </c>
      <c r="DD48" s="112" t="e">
        <v>#NAME?</v>
      </c>
      <c r="DE48" s="112" t="e">
        <v>#NAME?</v>
      </c>
      <c r="DF48" s="112" t="e">
        <v>#NAME?</v>
      </c>
      <c r="DG48" s="112" t="e">
        <v>#NAME?</v>
      </c>
      <c r="DH48" s="112" t="e">
        <v>#NAME?</v>
      </c>
      <c r="DI48" s="112" t="e">
        <v>#NAME?</v>
      </c>
      <c r="DJ48" s="112" t="e">
        <v>#NAME?</v>
      </c>
      <c r="DK48" s="112" t="e">
        <v>#NAME?</v>
      </c>
      <c r="DL48" s="112" t="e">
        <v>#NAME?</v>
      </c>
      <c r="DM48" s="112" t="e">
        <v>#NAME?</v>
      </c>
      <c r="DN48" s="112" t="e">
        <v>#NAME?</v>
      </c>
      <c r="DO48" s="112" t="e">
        <v>#NAME?</v>
      </c>
      <c r="DP48" s="112" t="e">
        <v>#NAME?</v>
      </c>
      <c r="DQ48" s="112" t="e">
        <v>#NAME?</v>
      </c>
      <c r="DR48" s="112" t="e">
        <v>#NAME?</v>
      </c>
      <c r="DS48" s="112" t="e">
        <v>#NAME?</v>
      </c>
      <c r="DT48" s="112" t="e">
        <v>#NAME?</v>
      </c>
      <c r="DU48" s="112" t="e">
        <v>#NAME?</v>
      </c>
      <c r="DV48" s="112" t="e">
        <v>#NAME?</v>
      </c>
      <c r="DW48" s="112" t="e">
        <v>#NAME?</v>
      </c>
      <c r="DX48" s="112" t="e">
        <v>#NAME?</v>
      </c>
      <c r="DY48" s="112" t="e">
        <v>#NAME?</v>
      </c>
      <c r="DZ48" s="112" t="e">
        <v>#NAME?</v>
      </c>
      <c r="EA48" s="112" t="e">
        <v>#NAME?</v>
      </c>
      <c r="EB48" s="112" t="e">
        <v>#NAME?</v>
      </c>
      <c r="EC48" s="112" t="e">
        <v>#NAME?</v>
      </c>
      <c r="EE48" s="105" t="s">
        <v>78</v>
      </c>
      <c r="EF48" s="112"/>
      <c r="EG48" s="112"/>
      <c r="EH48" s="112"/>
      <c r="EI48" s="112"/>
      <c r="EJ48" s="112"/>
      <c r="EN48" s="110" t="s">
        <v>144</v>
      </c>
      <c r="EO48" s="107" t="e">
        <v>#NAME?</v>
      </c>
      <c r="EP48" s="107" t="e">
        <v>#NAME?</v>
      </c>
      <c r="EQ48" s="107" t="e">
        <v>#NAME?</v>
      </c>
      <c r="ER48" s="107" t="e">
        <v>#NAME?</v>
      </c>
      <c r="ES48" s="107" t="e">
        <v>#NAME?</v>
      </c>
      <c r="ET48" s="107" t="e">
        <v>#NAME?</v>
      </c>
      <c r="EU48" s="107" t="e">
        <v>#NAME?</v>
      </c>
      <c r="EV48" s="107" t="e">
        <v>#NAME?</v>
      </c>
      <c r="EW48" s="107" t="e">
        <v>#NAME?</v>
      </c>
      <c r="EX48" s="107" t="e">
        <v>#NAME?</v>
      </c>
      <c r="EY48" s="107" t="e">
        <v>#NAME?</v>
      </c>
      <c r="EZ48" s="107" t="e">
        <v>#NAME?</v>
      </c>
      <c r="FA48" s="107" t="e">
        <v>#NAME?</v>
      </c>
      <c r="FB48" s="107" t="e">
        <v>#NAME?</v>
      </c>
      <c r="FC48" s="107" t="e">
        <v>#NAME?</v>
      </c>
      <c r="FD48" s="107" t="e">
        <v>#NAME?</v>
      </c>
      <c r="FE48" s="107" t="e">
        <v>#NAME?</v>
      </c>
      <c r="FF48" s="107" t="e">
        <v>#NAME?</v>
      </c>
      <c r="FG48" s="107" t="e">
        <v>#NAME?</v>
      </c>
      <c r="FH48" s="107" t="e">
        <v>#NAME?</v>
      </c>
      <c r="FI48" s="107" t="e">
        <v>#NAME?</v>
      </c>
      <c r="FJ48" s="107" t="e">
        <v>#NAME?</v>
      </c>
      <c r="FK48" s="107" t="e">
        <v>#NAME?</v>
      </c>
      <c r="FL48" s="107" t="e">
        <v>#NAME?</v>
      </c>
      <c r="FM48" s="107" t="e">
        <v>#NAME?</v>
      </c>
      <c r="FN48" s="107" t="e">
        <v>#NAME?</v>
      </c>
      <c r="FO48" s="107" t="e">
        <v>#NAME?</v>
      </c>
      <c r="FP48" s="107" t="e">
        <v>#NAME?</v>
      </c>
      <c r="FQ48" s="107" t="e">
        <v>#NAME?</v>
      </c>
      <c r="FR48" s="107" t="e">
        <v>#NAME?</v>
      </c>
      <c r="FS48" s="107" t="e">
        <v>#NAME?</v>
      </c>
      <c r="FT48" s="107" t="e">
        <v>#NAME?</v>
      </c>
      <c r="FU48" s="107" t="e">
        <v>#NAME?</v>
      </c>
      <c r="FV48" s="107" t="e">
        <v>#NAME?</v>
      </c>
      <c r="FW48" s="107" t="e">
        <v>#NAME?</v>
      </c>
      <c r="FX48" s="107" t="e">
        <v>#NAME?</v>
      </c>
      <c r="FZ48" s="110" t="s">
        <v>144</v>
      </c>
      <c r="GA48" s="107">
        <v>0</v>
      </c>
      <c r="GB48" s="107">
        <v>0</v>
      </c>
      <c r="GC48" s="107">
        <v>0</v>
      </c>
      <c r="GD48" s="107">
        <v>0</v>
      </c>
      <c r="GE48" s="107">
        <v>0</v>
      </c>
      <c r="GG48" s="755" t="s">
        <v>519</v>
      </c>
      <c r="GH48" s="758" t="e">
        <v>#NAME?</v>
      </c>
      <c r="GI48" s="758" t="e">
        <v>#NAME?</v>
      </c>
      <c r="GJ48" s="758" t="e">
        <v>#NAME?</v>
      </c>
      <c r="GK48" s="758" t="e">
        <v>#NAME?</v>
      </c>
      <c r="GL48" s="758" t="e">
        <v>#NAME?</v>
      </c>
      <c r="GM48" s="758" t="e">
        <v>#NAME?</v>
      </c>
      <c r="GN48" s="758" t="e">
        <v>#NAME?</v>
      </c>
      <c r="GO48" s="758" t="e">
        <v>#NAME?</v>
      </c>
      <c r="GP48" s="758" t="e">
        <v>#NAME?</v>
      </c>
      <c r="GQ48" s="758" t="e">
        <v>#NAME?</v>
      </c>
      <c r="GR48" s="758" t="e">
        <v>#NAME?</v>
      </c>
      <c r="GS48" s="758" t="e">
        <v>#NAME?</v>
      </c>
      <c r="GT48" s="758" t="e">
        <v>#NAME?</v>
      </c>
      <c r="GU48" s="758" t="e">
        <v>#NAME?</v>
      </c>
      <c r="GV48" s="758" t="e">
        <v>#NAME?</v>
      </c>
      <c r="GW48" s="758" t="e">
        <v>#NAME?</v>
      </c>
      <c r="GX48" s="758" t="e">
        <v>#NAME?</v>
      </c>
      <c r="GY48" s="758" t="e">
        <v>#NAME?</v>
      </c>
      <c r="GZ48" s="758" t="e">
        <v>#NAME?</v>
      </c>
      <c r="HA48" s="758" t="e">
        <v>#NAME?</v>
      </c>
      <c r="HB48" s="758" t="e">
        <v>#NAME?</v>
      </c>
      <c r="HC48" s="758" t="e">
        <v>#NAME?</v>
      </c>
      <c r="HD48" s="758" t="e">
        <v>#NAME?</v>
      </c>
      <c r="HE48" s="758" t="e">
        <v>#NAME?</v>
      </c>
      <c r="HF48" s="758" t="e">
        <v>#NAME?</v>
      </c>
      <c r="HG48" s="758" t="e">
        <v>#NAME?</v>
      </c>
      <c r="HH48" s="758" t="e">
        <v>#NAME?</v>
      </c>
      <c r="HI48" s="758" t="e">
        <v>#NAME?</v>
      </c>
      <c r="HJ48" s="758" t="e">
        <v>#NAME?</v>
      </c>
      <c r="HK48" s="758" t="e">
        <v>#NAME?</v>
      </c>
      <c r="HL48" s="758" t="e">
        <v>#NAME?</v>
      </c>
      <c r="HM48" s="758" t="e">
        <v>#NAME?</v>
      </c>
      <c r="HN48" s="758" t="e">
        <v>#NAME?</v>
      </c>
      <c r="HO48" s="758" t="e">
        <v>#NAME?</v>
      </c>
      <c r="HP48" s="758" t="e">
        <v>#NAME?</v>
      </c>
      <c r="HQ48" s="758" t="e">
        <v>#NAME?</v>
      </c>
      <c r="HT48" s="755" t="s">
        <v>519</v>
      </c>
      <c r="HU48" s="107">
        <v>0</v>
      </c>
      <c r="HV48" s="758">
        <v>0</v>
      </c>
      <c r="HW48" s="758">
        <v>0</v>
      </c>
      <c r="HX48" s="758">
        <v>0</v>
      </c>
      <c r="HY48" s="758">
        <v>0</v>
      </c>
    </row>
    <row r="49" spans="1:233" ht="15.75">
      <c r="A49" t="s">
        <v>140</v>
      </c>
      <c r="B49">
        <v>0</v>
      </c>
      <c r="D49" s="113" t="s">
        <v>145</v>
      </c>
      <c r="E49" s="104" t="e">
        <v>#VALUE!</v>
      </c>
      <c r="F49" s="104" t="e">
        <v>#VALUE!</v>
      </c>
      <c r="G49" s="104" t="e">
        <v>#VALUE!</v>
      </c>
      <c r="H49" s="104" t="e">
        <v>#VALUE!</v>
      </c>
      <c r="I49" s="104" t="e">
        <v>#VALUE!</v>
      </c>
      <c r="J49" s="104" t="e">
        <v>#VALUE!</v>
      </c>
      <c r="K49" s="104" t="e">
        <v>#VALUE!</v>
      </c>
      <c r="L49" s="104" t="e">
        <v>#VALUE!</v>
      </c>
      <c r="M49" s="104" t="e">
        <v>#VALUE!</v>
      </c>
      <c r="N49" s="104" t="e">
        <v>#VALUE!</v>
      </c>
      <c r="O49" s="104" t="e">
        <v>#VALUE!</v>
      </c>
      <c r="P49" s="104" t="e">
        <v>#VALUE!</v>
      </c>
      <c r="Q49" s="104" t="e">
        <v>#VALUE!</v>
      </c>
      <c r="R49" s="104" t="e">
        <v>#VALUE!</v>
      </c>
      <c r="S49" s="104" t="e">
        <v>#VALUE!</v>
      </c>
      <c r="T49" s="104" t="e">
        <v>#VALUE!</v>
      </c>
      <c r="U49" s="104" t="e">
        <v>#VALUE!</v>
      </c>
      <c r="V49" s="104" t="e">
        <v>#VALUE!</v>
      </c>
      <c r="W49" s="104" t="e">
        <v>#VALUE!</v>
      </c>
      <c r="X49" s="104" t="e">
        <v>#VALUE!</v>
      </c>
      <c r="Y49" s="104" t="e">
        <v>#VALUE!</v>
      </c>
      <c r="Z49" s="104" t="e">
        <v>#VALUE!</v>
      </c>
      <c r="AA49" s="104" t="e">
        <v>#VALUE!</v>
      </c>
      <c r="AB49" s="104" t="e">
        <v>#VALUE!</v>
      </c>
      <c r="AC49" s="104" t="e">
        <v>#VALUE!</v>
      </c>
      <c r="AD49" s="104" t="e">
        <v>#VALUE!</v>
      </c>
      <c r="AE49" s="104" t="e">
        <v>#VALUE!</v>
      </c>
      <c r="AF49" s="104" t="e">
        <v>#VALUE!</v>
      </c>
      <c r="AG49" s="104" t="e">
        <v>#VALUE!</v>
      </c>
      <c r="AH49" s="104" t="e">
        <v>#VALUE!</v>
      </c>
      <c r="AI49" s="104" t="e">
        <v>#VALUE!</v>
      </c>
      <c r="AJ49" s="104" t="e">
        <v>#VALUE!</v>
      </c>
      <c r="AK49" s="104" t="e">
        <v>#VALUE!</v>
      </c>
      <c r="AL49" s="104" t="e">
        <v>#VALUE!</v>
      </c>
      <c r="AM49" s="104" t="e">
        <v>#VALUE!</v>
      </c>
      <c r="AN49" s="104" t="e">
        <v>#NAME?</v>
      </c>
      <c r="AO49" s="78"/>
      <c r="AP49" s="113" t="s">
        <v>145</v>
      </c>
      <c r="AQ49" s="104">
        <v>0</v>
      </c>
      <c r="AR49" s="104">
        <v>0</v>
      </c>
      <c r="AS49" s="104">
        <v>0</v>
      </c>
      <c r="AT49" s="104">
        <v>0</v>
      </c>
      <c r="AU49" s="104">
        <v>0</v>
      </c>
      <c r="AV49" s="78"/>
      <c r="AW49" s="78">
        <v>0</v>
      </c>
      <c r="AX49" s="103" t="s">
        <v>146</v>
      </c>
      <c r="AY49" s="104" t="e">
        <v>#NAME?</v>
      </c>
      <c r="AZ49" s="104" t="e">
        <v>#NAME?</v>
      </c>
      <c r="BA49" s="104" t="e">
        <v>#NAME?</v>
      </c>
      <c r="BB49" s="104" t="e">
        <v>#NAME?</v>
      </c>
      <c r="BC49" s="104" t="e">
        <v>#NAME?</v>
      </c>
      <c r="BD49" s="104" t="e">
        <v>#NAME?</v>
      </c>
      <c r="BE49" s="104" t="e">
        <v>#NAME?</v>
      </c>
      <c r="BF49" s="104" t="e">
        <v>#NAME?</v>
      </c>
      <c r="BG49" s="104" t="e">
        <v>#NAME?</v>
      </c>
      <c r="BH49" s="104" t="e">
        <v>#NAME?</v>
      </c>
      <c r="BI49" s="104" t="e">
        <v>#NAME?</v>
      </c>
      <c r="BJ49" s="104" t="e">
        <v>#NAME?</v>
      </c>
      <c r="BK49" s="104" t="e">
        <v>#NAME?</v>
      </c>
      <c r="BL49" s="104" t="e">
        <v>#NAME?</v>
      </c>
      <c r="BM49" s="104" t="e">
        <v>#NAME?</v>
      </c>
      <c r="BN49" s="104" t="e">
        <v>#NAME?</v>
      </c>
      <c r="BO49" s="104" t="e">
        <v>#NAME?</v>
      </c>
      <c r="BP49" s="104" t="e">
        <v>#NAME?</v>
      </c>
      <c r="BQ49" s="104" t="e">
        <v>#NAME?</v>
      </c>
      <c r="BR49" s="104" t="e">
        <v>#NAME?</v>
      </c>
      <c r="BS49" s="104" t="e">
        <v>#NAME?</v>
      </c>
      <c r="BT49" s="104" t="e">
        <v>#NAME?</v>
      </c>
      <c r="BU49" s="104" t="e">
        <v>#NAME?</v>
      </c>
      <c r="BV49" s="104" t="e">
        <v>#NAME?</v>
      </c>
      <c r="BW49" s="104" t="e">
        <v>#NAME?</v>
      </c>
      <c r="BX49" s="104" t="e">
        <v>#NAME?</v>
      </c>
      <c r="BY49" s="104" t="e">
        <v>#NAME?</v>
      </c>
      <c r="BZ49" s="104" t="e">
        <v>#NAME?</v>
      </c>
      <c r="CA49" s="104" t="e">
        <v>#NAME?</v>
      </c>
      <c r="CB49" s="104" t="e">
        <v>#NAME?</v>
      </c>
      <c r="CC49" s="104" t="e">
        <v>#NAME?</v>
      </c>
      <c r="CD49" s="104" t="e">
        <v>#NAME?</v>
      </c>
      <c r="CE49" s="104" t="e">
        <v>#NAME?</v>
      </c>
      <c r="CF49" s="104" t="e">
        <v>#NAME?</v>
      </c>
      <c r="CG49" s="104" t="e">
        <v>#NAME?</v>
      </c>
      <c r="CH49" s="104" t="e">
        <v>#NAME?</v>
      </c>
      <c r="CI49" s="83"/>
      <c r="CK49" s="103" t="s">
        <v>146</v>
      </c>
      <c r="CL49" s="104">
        <v>0</v>
      </c>
      <c r="CM49" s="104">
        <v>0</v>
      </c>
      <c r="CN49" s="104">
        <v>0</v>
      </c>
      <c r="CO49" s="104">
        <v>0</v>
      </c>
      <c r="CP49" s="104">
        <v>0</v>
      </c>
      <c r="CQ49" s="83"/>
      <c r="CS49" s="105" t="s">
        <v>147</v>
      </c>
      <c r="CT49" s="104" t="e">
        <v>#NAME?</v>
      </c>
      <c r="CU49" s="104" t="e">
        <v>#NAME?</v>
      </c>
      <c r="CV49" s="104" t="e">
        <v>#NAME?</v>
      </c>
      <c r="CW49" s="104" t="e">
        <v>#NAME?</v>
      </c>
      <c r="CX49" s="104" t="e">
        <v>#NAME?</v>
      </c>
      <c r="CY49" s="104" t="e">
        <v>#NAME?</v>
      </c>
      <c r="CZ49" s="104" t="e">
        <v>#NAME?</v>
      </c>
      <c r="DA49" s="104" t="e">
        <v>#NAME?</v>
      </c>
      <c r="DB49" s="104" t="e">
        <v>#NAME?</v>
      </c>
      <c r="DC49" s="104" t="e">
        <v>#NAME?</v>
      </c>
      <c r="DD49" s="104" t="e">
        <v>#NAME?</v>
      </c>
      <c r="DE49" s="104" t="e">
        <v>#NAME?</v>
      </c>
      <c r="DF49" s="104" t="e">
        <v>#NAME?</v>
      </c>
      <c r="DG49" s="104" t="e">
        <v>#NAME?</v>
      </c>
      <c r="DH49" s="104" t="e">
        <v>#NAME?</v>
      </c>
      <c r="DI49" s="104" t="e">
        <v>#NAME?</v>
      </c>
      <c r="DJ49" s="104" t="e">
        <v>#NAME?</v>
      </c>
      <c r="DK49" s="104" t="e">
        <v>#NAME?</v>
      </c>
      <c r="DL49" s="104" t="e">
        <v>#NAME?</v>
      </c>
      <c r="DM49" s="104" t="e">
        <v>#NAME?</v>
      </c>
      <c r="DN49" s="104" t="e">
        <v>#NAME?</v>
      </c>
      <c r="DO49" s="104" t="e">
        <v>#NAME?</v>
      </c>
      <c r="DP49" s="104" t="e">
        <v>#NAME?</v>
      </c>
      <c r="DQ49" s="104" t="e">
        <v>#NAME?</v>
      </c>
      <c r="DR49" s="104" t="e">
        <v>#NAME?</v>
      </c>
      <c r="DS49" s="104" t="e">
        <v>#NAME?</v>
      </c>
      <c r="DT49" s="104" t="e">
        <v>#NAME?</v>
      </c>
      <c r="DU49" s="104" t="e">
        <v>#NAME?</v>
      </c>
      <c r="DV49" s="104" t="e">
        <v>#NAME?</v>
      </c>
      <c r="DW49" s="104" t="e">
        <v>#NAME?</v>
      </c>
      <c r="DX49" s="104" t="e">
        <v>#NAME?</v>
      </c>
      <c r="DY49" s="104" t="e">
        <v>#NAME?</v>
      </c>
      <c r="DZ49" s="104" t="e">
        <v>#NAME?</v>
      </c>
      <c r="EA49" s="104" t="e">
        <v>#NAME?</v>
      </c>
      <c r="EB49" s="104" t="e">
        <v>#NAME?</v>
      </c>
      <c r="EC49" s="104" t="e">
        <v>#NAME?</v>
      </c>
      <c r="EE49" s="105" t="s">
        <v>147</v>
      </c>
      <c r="EF49" s="104">
        <v>0</v>
      </c>
      <c r="EG49" s="104">
        <v>0</v>
      </c>
      <c r="EH49" s="104">
        <v>0</v>
      </c>
      <c r="EI49" s="104">
        <v>0</v>
      </c>
      <c r="EJ49" s="104">
        <v>0</v>
      </c>
      <c r="EN49" s="110" t="s">
        <v>148</v>
      </c>
      <c r="EO49" s="107" t="e">
        <v>#NAME?</v>
      </c>
      <c r="EP49" s="107" t="e">
        <v>#NAME?</v>
      </c>
      <c r="EQ49" s="107" t="e">
        <v>#NAME?</v>
      </c>
      <c r="ER49" s="107" t="e">
        <v>#NAME?</v>
      </c>
      <c r="ES49" s="107" t="e">
        <v>#NAME?</v>
      </c>
      <c r="ET49" s="107" t="e">
        <v>#NAME?</v>
      </c>
      <c r="EU49" s="107" t="e">
        <v>#NAME?</v>
      </c>
      <c r="EV49" s="107" t="e">
        <v>#NAME?</v>
      </c>
      <c r="EW49" s="107" t="e">
        <v>#NAME?</v>
      </c>
      <c r="EX49" s="107" t="e">
        <v>#NAME?</v>
      </c>
      <c r="EY49" s="107" t="e">
        <v>#NAME?</v>
      </c>
      <c r="EZ49" s="107" t="e">
        <v>#NAME?</v>
      </c>
      <c r="FA49" s="107" t="e">
        <v>#NAME?</v>
      </c>
      <c r="FB49" s="107" t="e">
        <v>#NAME?</v>
      </c>
      <c r="FC49" s="107" t="e">
        <v>#NAME?</v>
      </c>
      <c r="FD49" s="107" t="e">
        <v>#NAME?</v>
      </c>
      <c r="FE49" s="107" t="e">
        <v>#NAME?</v>
      </c>
      <c r="FF49" s="107" t="e">
        <v>#NAME?</v>
      </c>
      <c r="FG49" s="107" t="e">
        <v>#NAME?</v>
      </c>
      <c r="FH49" s="107" t="e">
        <v>#NAME?</v>
      </c>
      <c r="FI49" s="107" t="e">
        <v>#NAME?</v>
      </c>
      <c r="FJ49" s="107" t="e">
        <v>#NAME?</v>
      </c>
      <c r="FK49" s="107" t="e">
        <v>#NAME?</v>
      </c>
      <c r="FL49" s="107" t="e">
        <v>#NAME?</v>
      </c>
      <c r="FM49" s="107" t="e">
        <v>#NAME?</v>
      </c>
      <c r="FN49" s="107" t="e">
        <v>#NAME?</v>
      </c>
      <c r="FO49" s="107" t="e">
        <v>#NAME?</v>
      </c>
      <c r="FP49" s="107" t="e">
        <v>#NAME?</v>
      </c>
      <c r="FQ49" s="107" t="e">
        <v>#NAME?</v>
      </c>
      <c r="FR49" s="107" t="e">
        <v>#NAME?</v>
      </c>
      <c r="FS49" s="107" t="e">
        <v>#NAME?</v>
      </c>
      <c r="FT49" s="107" t="e">
        <v>#NAME?</v>
      </c>
      <c r="FU49" s="107" t="e">
        <v>#NAME?</v>
      </c>
      <c r="FV49" s="107" t="e">
        <v>#NAME?</v>
      </c>
      <c r="FW49" s="107" t="e">
        <v>#NAME?</v>
      </c>
      <c r="FX49" s="107" t="e">
        <v>#NAME?</v>
      </c>
      <c r="FZ49" s="110" t="s">
        <v>148</v>
      </c>
      <c r="GA49" s="107">
        <v>0</v>
      </c>
      <c r="GB49" s="107">
        <v>0</v>
      </c>
      <c r="GC49" s="107">
        <v>0</v>
      </c>
      <c r="GD49" s="107">
        <v>0</v>
      </c>
      <c r="GE49" s="107">
        <v>0</v>
      </c>
      <c r="GG49" s="755" t="s">
        <v>94</v>
      </c>
      <c r="GH49" s="758" t="e">
        <v>#NAME?</v>
      </c>
      <c r="GI49" s="758" t="e">
        <v>#NAME?</v>
      </c>
      <c r="GJ49" s="758" t="e">
        <v>#NAME?</v>
      </c>
      <c r="GK49" s="758" t="e">
        <v>#NAME?</v>
      </c>
      <c r="GL49" s="758" t="e">
        <v>#NAME?</v>
      </c>
      <c r="GM49" s="758" t="e">
        <v>#NAME?</v>
      </c>
      <c r="GN49" s="758" t="e">
        <v>#NAME?</v>
      </c>
      <c r="GO49" s="758" t="e">
        <v>#NAME?</v>
      </c>
      <c r="GP49" s="758" t="e">
        <v>#NAME?</v>
      </c>
      <c r="GQ49" s="758" t="e">
        <v>#NAME?</v>
      </c>
      <c r="GR49" s="758" t="e">
        <v>#NAME?</v>
      </c>
      <c r="GS49" s="758" t="e">
        <v>#NAME?</v>
      </c>
      <c r="GT49" s="758" t="e">
        <v>#NAME?</v>
      </c>
      <c r="GU49" s="758" t="e">
        <v>#NAME?</v>
      </c>
      <c r="GV49" s="758" t="e">
        <v>#NAME?</v>
      </c>
      <c r="GW49" s="758" t="e">
        <v>#NAME?</v>
      </c>
      <c r="GX49" s="758" t="e">
        <v>#NAME?</v>
      </c>
      <c r="GY49" s="758" t="e">
        <v>#NAME?</v>
      </c>
      <c r="GZ49" s="758" t="e">
        <v>#NAME?</v>
      </c>
      <c r="HA49" s="758" t="e">
        <v>#NAME?</v>
      </c>
      <c r="HB49" s="758" t="e">
        <v>#NAME?</v>
      </c>
      <c r="HC49" s="758" t="e">
        <v>#NAME?</v>
      </c>
      <c r="HD49" s="758" t="e">
        <v>#NAME?</v>
      </c>
      <c r="HE49" s="758" t="e">
        <v>#NAME?</v>
      </c>
      <c r="HF49" s="758" t="e">
        <v>#NAME?</v>
      </c>
      <c r="HG49" s="758" t="e">
        <v>#NAME?</v>
      </c>
      <c r="HH49" s="758" t="e">
        <v>#NAME?</v>
      </c>
      <c r="HI49" s="758" t="e">
        <v>#NAME?</v>
      </c>
      <c r="HJ49" s="758" t="e">
        <v>#NAME?</v>
      </c>
      <c r="HK49" s="758" t="e">
        <v>#NAME?</v>
      </c>
      <c r="HL49" s="758" t="e">
        <v>#NAME?</v>
      </c>
      <c r="HM49" s="758" t="e">
        <v>#NAME?</v>
      </c>
      <c r="HN49" s="758" t="e">
        <v>#NAME?</v>
      </c>
      <c r="HO49" s="758" t="e">
        <v>#NAME?</v>
      </c>
      <c r="HP49" s="758" t="e">
        <v>#NAME?</v>
      </c>
      <c r="HQ49" s="758" t="e">
        <v>#NAME?</v>
      </c>
      <c r="HT49" s="755" t="s">
        <v>94</v>
      </c>
      <c r="HU49" s="107">
        <v>0</v>
      </c>
      <c r="HV49" s="758">
        <v>0</v>
      </c>
      <c r="HW49" s="758">
        <v>0</v>
      </c>
      <c r="HX49" s="758">
        <v>0</v>
      </c>
      <c r="HY49" s="758">
        <v>0</v>
      </c>
    </row>
    <row r="50" spans="1:233" ht="15.75">
      <c r="A50" t="s">
        <v>140</v>
      </c>
      <c r="B50">
        <v>0</v>
      </c>
      <c r="D50" s="113" t="s">
        <v>149</v>
      </c>
      <c r="E50" s="104" t="e">
        <v>#VALUE!</v>
      </c>
      <c r="F50" s="104" t="e">
        <v>#VALUE!</v>
      </c>
      <c r="G50" s="104" t="e">
        <v>#VALUE!</v>
      </c>
      <c r="H50" s="104" t="e">
        <v>#VALUE!</v>
      </c>
      <c r="I50" s="104" t="e">
        <v>#VALUE!</v>
      </c>
      <c r="J50" s="104" t="e">
        <v>#VALUE!</v>
      </c>
      <c r="K50" s="104" t="e">
        <v>#VALUE!</v>
      </c>
      <c r="L50" s="104" t="e">
        <v>#VALUE!</v>
      </c>
      <c r="M50" s="104" t="e">
        <v>#VALUE!</v>
      </c>
      <c r="N50" s="104" t="e">
        <v>#VALUE!</v>
      </c>
      <c r="O50" s="104" t="e">
        <v>#VALUE!</v>
      </c>
      <c r="P50" s="104" t="e">
        <v>#VALUE!</v>
      </c>
      <c r="Q50" s="104" t="e">
        <v>#VALUE!</v>
      </c>
      <c r="R50" s="104" t="e">
        <v>#VALUE!</v>
      </c>
      <c r="S50" s="104" t="e">
        <v>#VALUE!</v>
      </c>
      <c r="T50" s="104" t="e">
        <v>#VALUE!</v>
      </c>
      <c r="U50" s="104" t="e">
        <v>#VALUE!</v>
      </c>
      <c r="V50" s="104" t="e">
        <v>#VALUE!</v>
      </c>
      <c r="W50" s="104" t="e">
        <v>#VALUE!</v>
      </c>
      <c r="X50" s="104" t="e">
        <v>#VALUE!</v>
      </c>
      <c r="Y50" s="104" t="e">
        <v>#VALUE!</v>
      </c>
      <c r="Z50" s="104" t="e">
        <v>#VALUE!</v>
      </c>
      <c r="AA50" s="104" t="e">
        <v>#VALUE!</v>
      </c>
      <c r="AB50" s="104" t="e">
        <v>#VALUE!</v>
      </c>
      <c r="AC50" s="104" t="e">
        <v>#VALUE!</v>
      </c>
      <c r="AD50" s="104" t="e">
        <v>#VALUE!</v>
      </c>
      <c r="AE50" s="104" t="e">
        <v>#VALUE!</v>
      </c>
      <c r="AF50" s="104" t="e">
        <v>#VALUE!</v>
      </c>
      <c r="AG50" s="104" t="e">
        <v>#VALUE!</v>
      </c>
      <c r="AH50" s="104" t="e">
        <v>#VALUE!</v>
      </c>
      <c r="AI50" s="104" t="e">
        <v>#VALUE!</v>
      </c>
      <c r="AJ50" s="104" t="e">
        <v>#VALUE!</v>
      </c>
      <c r="AK50" s="104" t="e">
        <v>#VALUE!</v>
      </c>
      <c r="AL50" s="104" t="e">
        <v>#VALUE!</v>
      </c>
      <c r="AM50" s="104" t="e">
        <v>#VALUE!</v>
      </c>
      <c r="AN50" s="104" t="e">
        <v>#NAME?</v>
      </c>
      <c r="AO50" s="78"/>
      <c r="AP50" s="113" t="s">
        <v>149</v>
      </c>
      <c r="AQ50" s="104">
        <v>0</v>
      </c>
      <c r="AR50" s="104">
        <v>0</v>
      </c>
      <c r="AS50" s="104">
        <v>0</v>
      </c>
      <c r="AT50" s="104">
        <v>0</v>
      </c>
      <c r="AU50" s="104">
        <v>0</v>
      </c>
      <c r="AV50" s="78"/>
      <c r="AW50" s="78">
        <v>0</v>
      </c>
      <c r="AX50" s="103" t="s">
        <v>150</v>
      </c>
      <c r="AY50" s="104" t="e">
        <v>#NAME?</v>
      </c>
      <c r="AZ50" s="104" t="e">
        <v>#NAME?</v>
      </c>
      <c r="BA50" s="104" t="e">
        <v>#NAME?</v>
      </c>
      <c r="BB50" s="104" t="e">
        <v>#NAME?</v>
      </c>
      <c r="BC50" s="104" t="e">
        <v>#NAME?</v>
      </c>
      <c r="BD50" s="104" t="e">
        <v>#NAME?</v>
      </c>
      <c r="BE50" s="104" t="e">
        <v>#NAME?</v>
      </c>
      <c r="BF50" s="104" t="e">
        <v>#NAME?</v>
      </c>
      <c r="BG50" s="104" t="e">
        <v>#NAME?</v>
      </c>
      <c r="BH50" s="104" t="e">
        <v>#NAME?</v>
      </c>
      <c r="BI50" s="104" t="e">
        <v>#NAME?</v>
      </c>
      <c r="BJ50" s="104" t="e">
        <v>#NAME?</v>
      </c>
      <c r="BK50" s="104" t="e">
        <v>#NAME?</v>
      </c>
      <c r="BL50" s="104" t="e">
        <v>#NAME?</v>
      </c>
      <c r="BM50" s="104" t="e">
        <v>#NAME?</v>
      </c>
      <c r="BN50" s="104" t="e">
        <v>#NAME?</v>
      </c>
      <c r="BO50" s="104" t="e">
        <v>#NAME?</v>
      </c>
      <c r="BP50" s="104" t="e">
        <v>#NAME?</v>
      </c>
      <c r="BQ50" s="104" t="e">
        <v>#NAME?</v>
      </c>
      <c r="BR50" s="104" t="e">
        <v>#NAME?</v>
      </c>
      <c r="BS50" s="104" t="e">
        <v>#NAME?</v>
      </c>
      <c r="BT50" s="104" t="e">
        <v>#NAME?</v>
      </c>
      <c r="BU50" s="104" t="e">
        <v>#NAME?</v>
      </c>
      <c r="BV50" s="104" t="e">
        <v>#NAME?</v>
      </c>
      <c r="BW50" s="104" t="e">
        <v>#NAME?</v>
      </c>
      <c r="BX50" s="104" t="e">
        <v>#NAME?</v>
      </c>
      <c r="BY50" s="104" t="e">
        <v>#NAME?</v>
      </c>
      <c r="BZ50" s="104" t="e">
        <v>#NAME?</v>
      </c>
      <c r="CA50" s="104" t="e">
        <v>#NAME?</v>
      </c>
      <c r="CB50" s="104" t="e">
        <v>#NAME?</v>
      </c>
      <c r="CC50" s="104" t="e">
        <v>#NAME?</v>
      </c>
      <c r="CD50" s="104" t="e">
        <v>#NAME?</v>
      </c>
      <c r="CE50" s="104" t="e">
        <v>#NAME?</v>
      </c>
      <c r="CF50" s="104" t="e">
        <v>#NAME?</v>
      </c>
      <c r="CG50" s="104" t="e">
        <v>#NAME?</v>
      </c>
      <c r="CH50" s="104" t="e">
        <v>#NAME?</v>
      </c>
      <c r="CI50" s="83"/>
      <c r="CK50" s="103" t="s">
        <v>150</v>
      </c>
      <c r="CL50" s="104">
        <v>0</v>
      </c>
      <c r="CM50" s="104">
        <v>0</v>
      </c>
      <c r="CN50" s="104">
        <v>0</v>
      </c>
      <c r="CO50" s="104">
        <v>0</v>
      </c>
      <c r="CP50" s="104">
        <v>0</v>
      </c>
      <c r="CQ50" s="83"/>
      <c r="CS50" s="105" t="s">
        <v>151</v>
      </c>
      <c r="CT50" s="104" t="e">
        <v>#NAME?</v>
      </c>
      <c r="CU50" s="104" t="e">
        <v>#NAME?</v>
      </c>
      <c r="CV50" s="104" t="e">
        <v>#NAME?</v>
      </c>
      <c r="CW50" s="104" t="e">
        <v>#NAME?</v>
      </c>
      <c r="CX50" s="104" t="e">
        <v>#NAME?</v>
      </c>
      <c r="CY50" s="104" t="e">
        <v>#NAME?</v>
      </c>
      <c r="CZ50" s="104" t="e">
        <v>#NAME?</v>
      </c>
      <c r="DA50" s="104" t="e">
        <v>#NAME?</v>
      </c>
      <c r="DB50" s="104" t="e">
        <v>#NAME?</v>
      </c>
      <c r="DC50" s="104" t="e">
        <v>#NAME?</v>
      </c>
      <c r="DD50" s="104" t="e">
        <v>#NAME?</v>
      </c>
      <c r="DE50" s="104" t="e">
        <v>#NAME?</v>
      </c>
      <c r="DF50" s="104" t="e">
        <v>#NAME?</v>
      </c>
      <c r="DG50" s="104" t="e">
        <v>#NAME?</v>
      </c>
      <c r="DH50" s="104" t="e">
        <v>#NAME?</v>
      </c>
      <c r="DI50" s="104" t="e">
        <v>#NAME?</v>
      </c>
      <c r="DJ50" s="104" t="e">
        <v>#NAME?</v>
      </c>
      <c r="DK50" s="104" t="e">
        <v>#NAME?</v>
      </c>
      <c r="DL50" s="104" t="e">
        <v>#NAME?</v>
      </c>
      <c r="DM50" s="104" t="e">
        <v>#NAME?</v>
      </c>
      <c r="DN50" s="104" t="e">
        <v>#NAME?</v>
      </c>
      <c r="DO50" s="104" t="e">
        <v>#NAME?</v>
      </c>
      <c r="DP50" s="104" t="e">
        <v>#NAME?</v>
      </c>
      <c r="DQ50" s="104" t="e">
        <v>#NAME?</v>
      </c>
      <c r="DR50" s="104" t="e">
        <v>#NAME?</v>
      </c>
      <c r="DS50" s="104" t="e">
        <v>#NAME?</v>
      </c>
      <c r="DT50" s="104" t="e">
        <v>#NAME?</v>
      </c>
      <c r="DU50" s="104" t="e">
        <v>#NAME?</v>
      </c>
      <c r="DV50" s="104" t="e">
        <v>#NAME?</v>
      </c>
      <c r="DW50" s="104" t="e">
        <v>#NAME?</v>
      </c>
      <c r="DX50" s="104" t="e">
        <v>#NAME?</v>
      </c>
      <c r="DY50" s="104" t="e">
        <v>#NAME?</v>
      </c>
      <c r="DZ50" s="104" t="e">
        <v>#NAME?</v>
      </c>
      <c r="EA50" s="104" t="e">
        <v>#NAME?</v>
      </c>
      <c r="EB50" s="104" t="e">
        <v>#NAME?</v>
      </c>
      <c r="EC50" s="104" t="e">
        <v>#NAME?</v>
      </c>
      <c r="EE50" s="105" t="s">
        <v>151</v>
      </c>
      <c r="EF50" s="104">
        <v>0</v>
      </c>
      <c r="EG50" s="104">
        <v>0</v>
      </c>
      <c r="EH50" s="104">
        <v>0</v>
      </c>
      <c r="EI50" s="104">
        <v>0</v>
      </c>
      <c r="EJ50" s="104">
        <v>0</v>
      </c>
      <c r="EN50" s="114" t="s">
        <v>152</v>
      </c>
      <c r="EO50" s="107" t="e">
        <v>#NAME?</v>
      </c>
      <c r="EP50" s="107" t="e">
        <v>#NAME?</v>
      </c>
      <c r="EQ50" s="107" t="e">
        <v>#NAME?</v>
      </c>
      <c r="ER50" s="107" t="e">
        <v>#NAME?</v>
      </c>
      <c r="ES50" s="107" t="e">
        <v>#NAME?</v>
      </c>
      <c r="ET50" s="107" t="e">
        <v>#NAME?</v>
      </c>
      <c r="EU50" s="107" t="e">
        <v>#NAME?</v>
      </c>
      <c r="EV50" s="107" t="e">
        <v>#NAME?</v>
      </c>
      <c r="EW50" s="107" t="e">
        <v>#NAME?</v>
      </c>
      <c r="EX50" s="107" t="e">
        <v>#NAME?</v>
      </c>
      <c r="EY50" s="107" t="e">
        <v>#NAME?</v>
      </c>
      <c r="EZ50" s="107" t="e">
        <v>#NAME?</v>
      </c>
      <c r="FA50" s="107" t="e">
        <v>#NAME?</v>
      </c>
      <c r="FB50" s="107" t="e">
        <v>#NAME?</v>
      </c>
      <c r="FC50" s="107" t="e">
        <v>#NAME?</v>
      </c>
      <c r="FD50" s="107" t="e">
        <v>#NAME?</v>
      </c>
      <c r="FE50" s="107" t="e">
        <v>#NAME?</v>
      </c>
      <c r="FF50" s="107" t="e">
        <v>#NAME?</v>
      </c>
      <c r="FG50" s="107" t="e">
        <v>#NAME?</v>
      </c>
      <c r="FH50" s="107" t="e">
        <v>#NAME?</v>
      </c>
      <c r="FI50" s="107" t="e">
        <v>#NAME?</v>
      </c>
      <c r="FJ50" s="107" t="e">
        <v>#NAME?</v>
      </c>
      <c r="FK50" s="107" t="e">
        <v>#NAME?</v>
      </c>
      <c r="FL50" s="107" t="e">
        <v>#NAME?</v>
      </c>
      <c r="FM50" s="107" t="e">
        <v>#NAME?</v>
      </c>
      <c r="FN50" s="107" t="e">
        <v>#NAME?</v>
      </c>
      <c r="FO50" s="107" t="e">
        <v>#NAME?</v>
      </c>
      <c r="FP50" s="107" t="e">
        <v>#NAME?</v>
      </c>
      <c r="FQ50" s="107" t="e">
        <v>#NAME?</v>
      </c>
      <c r="FR50" s="107" t="e">
        <v>#NAME?</v>
      </c>
      <c r="FS50" s="107" t="e">
        <v>#NAME?</v>
      </c>
      <c r="FT50" s="107" t="e">
        <v>#NAME?</v>
      </c>
      <c r="FU50" s="107" t="e">
        <v>#NAME?</v>
      </c>
      <c r="FV50" s="107" t="e">
        <v>#NAME?</v>
      </c>
      <c r="FW50" s="107" t="e">
        <v>#NAME?</v>
      </c>
      <c r="FX50" s="107" t="e">
        <v>#NAME?</v>
      </c>
      <c r="FZ50" s="114" t="s">
        <v>152</v>
      </c>
      <c r="GA50" s="107">
        <v>0</v>
      </c>
      <c r="GB50" s="107">
        <v>0</v>
      </c>
      <c r="GC50" s="107">
        <v>0</v>
      </c>
      <c r="GD50" s="107">
        <v>0</v>
      </c>
      <c r="GE50" s="107">
        <v>0</v>
      </c>
      <c r="GG50" s="754" t="s">
        <v>374</v>
      </c>
      <c r="GH50" s="4" t="e">
        <v>#NAME?</v>
      </c>
      <c r="GI50" s="4" t="e">
        <v>#NAME?</v>
      </c>
      <c r="GJ50" s="4" t="e">
        <v>#NAME?</v>
      </c>
      <c r="GK50" s="4" t="e">
        <v>#NAME?</v>
      </c>
      <c r="GL50" s="4" t="e">
        <v>#NAME?</v>
      </c>
      <c r="GM50" s="4" t="e">
        <v>#NAME?</v>
      </c>
      <c r="GN50" s="4" t="e">
        <v>#NAME?</v>
      </c>
      <c r="GO50" s="4" t="e">
        <v>#NAME?</v>
      </c>
      <c r="GP50" s="4" t="e">
        <v>#NAME?</v>
      </c>
      <c r="GQ50" s="4" t="e">
        <v>#NAME?</v>
      </c>
      <c r="GR50" s="4" t="e">
        <v>#NAME?</v>
      </c>
      <c r="GS50" s="4" t="e">
        <v>#NAME?</v>
      </c>
      <c r="GT50" s="4" t="e">
        <v>#NAME?</v>
      </c>
      <c r="GU50" s="4" t="e">
        <v>#NAME?</v>
      </c>
      <c r="GV50" s="4" t="e">
        <v>#NAME?</v>
      </c>
      <c r="GW50" s="4" t="e">
        <v>#NAME?</v>
      </c>
      <c r="GX50" s="4" t="e">
        <v>#NAME?</v>
      </c>
      <c r="GY50" s="4" t="e">
        <v>#NAME?</v>
      </c>
      <c r="GZ50" s="4" t="e">
        <v>#NAME?</v>
      </c>
      <c r="HA50" s="4" t="e">
        <v>#NAME?</v>
      </c>
      <c r="HB50" s="4" t="e">
        <v>#NAME?</v>
      </c>
      <c r="HC50" s="4" t="e">
        <v>#NAME?</v>
      </c>
      <c r="HD50" s="4" t="e">
        <v>#NAME?</v>
      </c>
      <c r="HE50" s="4" t="e">
        <v>#NAME?</v>
      </c>
      <c r="HF50" s="4" t="e">
        <v>#NAME?</v>
      </c>
      <c r="HG50" s="4" t="e">
        <v>#NAME?</v>
      </c>
      <c r="HH50" s="4" t="e">
        <v>#NAME?</v>
      </c>
      <c r="HI50" s="4" t="e">
        <v>#NAME?</v>
      </c>
      <c r="HJ50" s="4" t="e">
        <v>#NAME?</v>
      </c>
      <c r="HK50" s="4" t="e">
        <v>#NAME?</v>
      </c>
      <c r="HL50" s="4" t="e">
        <v>#NAME?</v>
      </c>
      <c r="HM50" s="4" t="e">
        <v>#NAME?</v>
      </c>
      <c r="HN50" s="4" t="e">
        <v>#NAME?</v>
      </c>
      <c r="HO50" s="4" t="e">
        <v>#NAME?</v>
      </c>
      <c r="HP50" s="4" t="e">
        <v>#NAME?</v>
      </c>
      <c r="HQ50" s="4" t="e">
        <v>#NAME?</v>
      </c>
      <c r="HT50" s="754" t="s">
        <v>374</v>
      </c>
      <c r="HU50" s="757">
        <v>0</v>
      </c>
      <c r="HV50">
        <v>0</v>
      </c>
      <c r="HW50">
        <v>0</v>
      </c>
      <c r="HX50">
        <v>0</v>
      </c>
      <c r="HY50">
        <v>0</v>
      </c>
    </row>
    <row r="51" spans="1:233" ht="15.75">
      <c r="A51" t="s">
        <v>140</v>
      </c>
      <c r="B51">
        <v>0</v>
      </c>
      <c r="D51" s="105" t="s">
        <v>153</v>
      </c>
      <c r="E51" s="104" t="e">
        <v>#VALUE!</v>
      </c>
      <c r="F51" s="104" t="e">
        <v>#VALUE!</v>
      </c>
      <c r="G51" s="104" t="e">
        <v>#VALUE!</v>
      </c>
      <c r="H51" s="104" t="e">
        <v>#VALUE!</v>
      </c>
      <c r="I51" s="104" t="e">
        <v>#VALUE!</v>
      </c>
      <c r="J51" s="104" t="e">
        <v>#VALUE!</v>
      </c>
      <c r="K51" s="104" t="e">
        <v>#VALUE!</v>
      </c>
      <c r="L51" s="104" t="e">
        <v>#VALUE!</v>
      </c>
      <c r="M51" s="104" t="e">
        <v>#VALUE!</v>
      </c>
      <c r="N51" s="104" t="e">
        <v>#VALUE!</v>
      </c>
      <c r="O51" s="104" t="e">
        <v>#VALUE!</v>
      </c>
      <c r="P51" s="104" t="e">
        <v>#VALUE!</v>
      </c>
      <c r="Q51" s="104" t="e">
        <v>#VALUE!</v>
      </c>
      <c r="R51" s="104" t="e">
        <v>#VALUE!</v>
      </c>
      <c r="S51" s="104" t="e">
        <v>#VALUE!</v>
      </c>
      <c r="T51" s="104" t="e">
        <v>#VALUE!</v>
      </c>
      <c r="U51" s="104" t="e">
        <v>#VALUE!</v>
      </c>
      <c r="V51" s="104" t="e">
        <v>#VALUE!</v>
      </c>
      <c r="W51" s="104" t="e">
        <v>#VALUE!</v>
      </c>
      <c r="X51" s="104" t="e">
        <v>#VALUE!</v>
      </c>
      <c r="Y51" s="104" t="e">
        <v>#VALUE!</v>
      </c>
      <c r="Z51" s="104" t="e">
        <v>#VALUE!</v>
      </c>
      <c r="AA51" s="104" t="e">
        <v>#VALUE!</v>
      </c>
      <c r="AB51" s="104" t="e">
        <v>#VALUE!</v>
      </c>
      <c r="AC51" s="104" t="e">
        <v>#VALUE!</v>
      </c>
      <c r="AD51" s="104" t="e">
        <v>#VALUE!</v>
      </c>
      <c r="AE51" s="104" t="e">
        <v>#VALUE!</v>
      </c>
      <c r="AF51" s="104" t="e">
        <v>#VALUE!</v>
      </c>
      <c r="AG51" s="104" t="e">
        <v>#VALUE!</v>
      </c>
      <c r="AH51" s="104" t="e">
        <v>#VALUE!</v>
      </c>
      <c r="AI51" s="104" t="e">
        <v>#VALUE!</v>
      </c>
      <c r="AJ51" s="104" t="e">
        <v>#VALUE!</v>
      </c>
      <c r="AK51" s="104" t="e">
        <v>#VALUE!</v>
      </c>
      <c r="AL51" s="104" t="e">
        <v>#VALUE!</v>
      </c>
      <c r="AM51" s="104" t="e">
        <v>#VALUE!</v>
      </c>
      <c r="AN51" s="104" t="e">
        <v>#NAME?</v>
      </c>
      <c r="AO51" s="78"/>
      <c r="AP51" s="105" t="s">
        <v>153</v>
      </c>
      <c r="AQ51" s="104">
        <v>0</v>
      </c>
      <c r="AR51" s="104">
        <v>0</v>
      </c>
      <c r="AS51" s="104">
        <v>0</v>
      </c>
      <c r="AT51" s="104">
        <v>0</v>
      </c>
      <c r="AU51" s="104">
        <v>0</v>
      </c>
      <c r="AV51" s="78"/>
      <c r="AW51" s="78">
        <v>0</v>
      </c>
      <c r="AX51" s="115" t="s">
        <v>154</v>
      </c>
      <c r="AY51" s="116" t="e">
        <v>#NAME?</v>
      </c>
      <c r="AZ51" s="116" t="e">
        <v>#NAME?</v>
      </c>
      <c r="BA51" s="116" t="e">
        <v>#NAME?</v>
      </c>
      <c r="BB51" s="116" t="e">
        <v>#NAME?</v>
      </c>
      <c r="BC51" s="116" t="e">
        <v>#NAME?</v>
      </c>
      <c r="BD51" s="116" t="e">
        <v>#NAME?</v>
      </c>
      <c r="BE51" s="116" t="e">
        <v>#NAME?</v>
      </c>
      <c r="BF51" s="116" t="e">
        <v>#NAME?</v>
      </c>
      <c r="BG51" s="116" t="e">
        <v>#NAME?</v>
      </c>
      <c r="BH51" s="116" t="e">
        <v>#NAME?</v>
      </c>
      <c r="BI51" s="116" t="e">
        <v>#NAME?</v>
      </c>
      <c r="BJ51" s="116" t="e">
        <v>#NAME?</v>
      </c>
      <c r="BK51" s="116" t="e">
        <v>#NAME?</v>
      </c>
      <c r="BL51" s="116" t="e">
        <v>#NAME?</v>
      </c>
      <c r="BM51" s="116" t="e">
        <v>#NAME?</v>
      </c>
      <c r="BN51" s="116" t="e">
        <v>#NAME?</v>
      </c>
      <c r="BO51" s="116" t="e">
        <v>#NAME?</v>
      </c>
      <c r="BP51" s="116" t="e">
        <v>#NAME?</v>
      </c>
      <c r="BQ51" s="116" t="e">
        <v>#NAME?</v>
      </c>
      <c r="BR51" s="116" t="e">
        <v>#NAME?</v>
      </c>
      <c r="BS51" s="116" t="e">
        <v>#NAME?</v>
      </c>
      <c r="BT51" s="116" t="e">
        <v>#NAME?</v>
      </c>
      <c r="BU51" s="116" t="e">
        <v>#NAME?</v>
      </c>
      <c r="BV51" s="116" t="e">
        <v>#NAME?</v>
      </c>
      <c r="BW51" s="116" t="e">
        <v>#NAME?</v>
      </c>
      <c r="BX51" s="116" t="e">
        <v>#NAME?</v>
      </c>
      <c r="BY51" s="116" t="e">
        <v>#NAME?</v>
      </c>
      <c r="BZ51" s="116" t="e">
        <v>#NAME?</v>
      </c>
      <c r="CA51" s="116" t="e">
        <v>#NAME?</v>
      </c>
      <c r="CB51" s="116" t="e">
        <v>#NAME?</v>
      </c>
      <c r="CC51" s="116" t="e">
        <v>#NAME?</v>
      </c>
      <c r="CD51" s="116" t="e">
        <v>#NAME?</v>
      </c>
      <c r="CE51" s="116" t="e">
        <v>#NAME?</v>
      </c>
      <c r="CF51" s="116" t="e">
        <v>#NAME?</v>
      </c>
      <c r="CG51" s="116" t="e">
        <v>#NAME?</v>
      </c>
      <c r="CH51" s="116" t="e">
        <v>#NAME?</v>
      </c>
      <c r="CI51" s="83"/>
      <c r="CK51" s="115" t="s">
        <v>154</v>
      </c>
      <c r="CL51" s="116">
        <v>0</v>
      </c>
      <c r="CM51" s="116">
        <v>0</v>
      </c>
      <c r="CN51" s="116">
        <v>0</v>
      </c>
      <c r="CO51" s="116">
        <v>0</v>
      </c>
      <c r="CP51" s="116">
        <v>0</v>
      </c>
      <c r="CQ51" s="83"/>
      <c r="CS51" s="105" t="s">
        <v>155</v>
      </c>
      <c r="CT51" s="104" t="e">
        <v>#NAME?</v>
      </c>
      <c r="CU51" s="104" t="e">
        <v>#NAME?</v>
      </c>
      <c r="CV51" s="104" t="e">
        <v>#NAME?</v>
      </c>
      <c r="CW51" s="104" t="e">
        <v>#NAME?</v>
      </c>
      <c r="CX51" s="104" t="e">
        <v>#NAME?</v>
      </c>
      <c r="CY51" s="104" t="e">
        <v>#NAME?</v>
      </c>
      <c r="CZ51" s="104" t="e">
        <v>#NAME?</v>
      </c>
      <c r="DA51" s="104" t="e">
        <v>#NAME?</v>
      </c>
      <c r="DB51" s="104" t="e">
        <v>#NAME?</v>
      </c>
      <c r="DC51" s="104" t="e">
        <v>#NAME?</v>
      </c>
      <c r="DD51" s="104" t="e">
        <v>#NAME?</v>
      </c>
      <c r="DE51" s="104" t="e">
        <v>#NAME?</v>
      </c>
      <c r="DF51" s="104" t="e">
        <v>#NAME?</v>
      </c>
      <c r="DG51" s="104" t="e">
        <v>#NAME?</v>
      </c>
      <c r="DH51" s="104" t="e">
        <v>#NAME?</v>
      </c>
      <c r="DI51" s="104" t="e">
        <v>#NAME?</v>
      </c>
      <c r="DJ51" s="104" t="e">
        <v>#NAME?</v>
      </c>
      <c r="DK51" s="104" t="e">
        <v>#NAME?</v>
      </c>
      <c r="DL51" s="104" t="e">
        <v>#NAME?</v>
      </c>
      <c r="DM51" s="104" t="e">
        <v>#NAME?</v>
      </c>
      <c r="DN51" s="104" t="e">
        <v>#NAME?</v>
      </c>
      <c r="DO51" s="104" t="e">
        <v>#NAME?</v>
      </c>
      <c r="DP51" s="104" t="e">
        <v>#NAME?</v>
      </c>
      <c r="DQ51" s="104" t="e">
        <v>#NAME?</v>
      </c>
      <c r="DR51" s="104" t="e">
        <v>#NAME?</v>
      </c>
      <c r="DS51" s="104" t="e">
        <v>#NAME?</v>
      </c>
      <c r="DT51" s="104" t="e">
        <v>#NAME?</v>
      </c>
      <c r="DU51" s="104" t="e">
        <v>#NAME?</v>
      </c>
      <c r="DV51" s="104" t="e">
        <v>#NAME?</v>
      </c>
      <c r="DW51" s="104" t="e">
        <v>#NAME?</v>
      </c>
      <c r="DX51" s="104" t="e">
        <v>#NAME?</v>
      </c>
      <c r="DY51" s="104" t="e">
        <v>#NAME?</v>
      </c>
      <c r="DZ51" s="104" t="e">
        <v>#NAME?</v>
      </c>
      <c r="EA51" s="104" t="e">
        <v>#NAME?</v>
      </c>
      <c r="EB51" s="104" t="e">
        <v>#NAME?</v>
      </c>
      <c r="EC51" s="104" t="e">
        <v>#NAME?</v>
      </c>
      <c r="EE51" s="105" t="s">
        <v>155</v>
      </c>
      <c r="EF51" s="104">
        <v>0</v>
      </c>
      <c r="EG51" s="104">
        <v>0</v>
      </c>
      <c r="EH51" s="104">
        <v>0</v>
      </c>
      <c r="EI51" s="104">
        <v>0</v>
      </c>
      <c r="EJ51" s="104">
        <v>0</v>
      </c>
      <c r="EN51" s="114" t="s">
        <v>12</v>
      </c>
      <c r="EO51" s="107" t="e">
        <v>#NAME?</v>
      </c>
      <c r="EP51" s="107" t="e">
        <v>#NAME?</v>
      </c>
      <c r="EQ51" s="107" t="e">
        <v>#NAME?</v>
      </c>
      <c r="ER51" s="107" t="e">
        <v>#NAME?</v>
      </c>
      <c r="ES51" s="107" t="e">
        <v>#NAME?</v>
      </c>
      <c r="ET51" s="107" t="e">
        <v>#NAME?</v>
      </c>
      <c r="EU51" s="107" t="e">
        <v>#NAME?</v>
      </c>
      <c r="EV51" s="107" t="e">
        <v>#NAME?</v>
      </c>
      <c r="EW51" s="107" t="e">
        <v>#NAME?</v>
      </c>
      <c r="EX51" s="107" t="e">
        <v>#NAME?</v>
      </c>
      <c r="EY51" s="107" t="e">
        <v>#NAME?</v>
      </c>
      <c r="EZ51" s="107" t="e">
        <v>#NAME?</v>
      </c>
      <c r="FA51" s="107" t="e">
        <v>#NAME?</v>
      </c>
      <c r="FB51" s="107" t="e">
        <v>#NAME?</v>
      </c>
      <c r="FC51" s="107" t="e">
        <v>#NAME?</v>
      </c>
      <c r="FD51" s="107" t="e">
        <v>#NAME?</v>
      </c>
      <c r="FE51" s="107" t="e">
        <v>#NAME?</v>
      </c>
      <c r="FF51" s="107" t="e">
        <v>#NAME?</v>
      </c>
      <c r="FG51" s="107" t="e">
        <v>#NAME?</v>
      </c>
      <c r="FH51" s="107" t="e">
        <v>#NAME?</v>
      </c>
      <c r="FI51" s="107" t="e">
        <v>#NAME?</v>
      </c>
      <c r="FJ51" s="107" t="e">
        <v>#NAME?</v>
      </c>
      <c r="FK51" s="107" t="e">
        <v>#NAME?</v>
      </c>
      <c r="FL51" s="107" t="e">
        <v>#NAME?</v>
      </c>
      <c r="FM51" s="107" t="e">
        <v>#NAME?</v>
      </c>
      <c r="FN51" s="107" t="e">
        <v>#NAME?</v>
      </c>
      <c r="FO51" s="107" t="e">
        <v>#NAME?</v>
      </c>
      <c r="FP51" s="107" t="e">
        <v>#NAME?</v>
      </c>
      <c r="FQ51" s="107" t="e">
        <v>#NAME?</v>
      </c>
      <c r="FR51" s="107" t="e">
        <v>#NAME?</v>
      </c>
      <c r="FS51" s="107" t="e">
        <v>#NAME?</v>
      </c>
      <c r="FT51" s="107" t="e">
        <v>#NAME?</v>
      </c>
      <c r="FU51" s="107" t="e">
        <v>#NAME?</v>
      </c>
      <c r="FV51" s="107" t="e">
        <v>#NAME?</v>
      </c>
      <c r="FW51" s="107" t="e">
        <v>#NAME?</v>
      </c>
      <c r="FX51" s="107" t="e">
        <v>#NAME?</v>
      </c>
      <c r="FZ51" s="114" t="s">
        <v>12</v>
      </c>
      <c r="GA51" s="107">
        <v>0</v>
      </c>
      <c r="GB51" s="107">
        <v>0</v>
      </c>
      <c r="GC51" s="107">
        <v>0</v>
      </c>
      <c r="GD51" s="107">
        <v>0</v>
      </c>
      <c r="GE51" s="107">
        <v>0</v>
      </c>
      <c r="GG51" s="756" t="s">
        <v>85</v>
      </c>
      <c r="GH51" s="758" t="e">
        <v>#NAME?</v>
      </c>
      <c r="GI51" s="758" t="e">
        <v>#NAME?</v>
      </c>
      <c r="GJ51" s="758" t="e">
        <v>#NAME?</v>
      </c>
      <c r="GK51" s="758" t="e">
        <v>#NAME?</v>
      </c>
      <c r="GL51" s="758" t="e">
        <v>#NAME?</v>
      </c>
      <c r="GM51" s="758" t="e">
        <v>#NAME?</v>
      </c>
      <c r="GN51" s="758" t="e">
        <v>#NAME?</v>
      </c>
      <c r="GO51" s="758" t="e">
        <v>#NAME?</v>
      </c>
      <c r="GP51" s="758" t="e">
        <v>#NAME?</v>
      </c>
      <c r="GQ51" s="758" t="e">
        <v>#NAME?</v>
      </c>
      <c r="GR51" s="758" t="e">
        <v>#NAME?</v>
      </c>
      <c r="GS51" s="758" t="e">
        <v>#NAME?</v>
      </c>
      <c r="GT51" s="758" t="e">
        <v>#NAME?</v>
      </c>
      <c r="GU51" s="758" t="e">
        <v>#NAME?</v>
      </c>
      <c r="GV51" s="758" t="e">
        <v>#NAME?</v>
      </c>
      <c r="GW51" s="758" t="e">
        <v>#NAME?</v>
      </c>
      <c r="GX51" s="758" t="e">
        <v>#NAME?</v>
      </c>
      <c r="GY51" s="758" t="e">
        <v>#NAME?</v>
      </c>
      <c r="GZ51" s="758" t="e">
        <v>#NAME?</v>
      </c>
      <c r="HA51" s="758" t="e">
        <v>#NAME?</v>
      </c>
      <c r="HB51" s="758" t="e">
        <v>#NAME?</v>
      </c>
      <c r="HC51" s="758" t="e">
        <v>#NAME?</v>
      </c>
      <c r="HD51" s="758" t="e">
        <v>#NAME?</v>
      </c>
      <c r="HE51" s="758" t="e">
        <v>#NAME?</v>
      </c>
      <c r="HF51" s="758" t="e">
        <v>#NAME?</v>
      </c>
      <c r="HG51" s="758" t="e">
        <v>#NAME?</v>
      </c>
      <c r="HH51" s="758" t="e">
        <v>#NAME?</v>
      </c>
      <c r="HI51" s="758" t="e">
        <v>#NAME?</v>
      </c>
      <c r="HJ51" s="758" t="e">
        <v>#NAME?</v>
      </c>
      <c r="HK51" s="758" t="e">
        <v>#NAME?</v>
      </c>
      <c r="HL51" s="758" t="e">
        <v>#NAME?</v>
      </c>
      <c r="HM51" s="758" t="e">
        <v>#NAME?</v>
      </c>
      <c r="HN51" s="758" t="e">
        <v>#NAME?</v>
      </c>
      <c r="HO51" s="758" t="e">
        <v>#NAME?</v>
      </c>
      <c r="HP51" s="758" t="e">
        <v>#NAME?</v>
      </c>
      <c r="HQ51" s="758" t="e">
        <v>#NAME?</v>
      </c>
      <c r="HT51" s="756" t="s">
        <v>85</v>
      </c>
      <c r="HU51" s="107">
        <v>0</v>
      </c>
      <c r="HV51" s="758">
        <v>0</v>
      </c>
      <c r="HW51" s="758">
        <v>0</v>
      </c>
      <c r="HX51" s="758">
        <v>0</v>
      </c>
      <c r="HY51" s="758">
        <v>0</v>
      </c>
    </row>
    <row r="52" spans="1:233" ht="15.75">
      <c r="A52" t="s">
        <v>140</v>
      </c>
      <c r="B52">
        <v>0</v>
      </c>
      <c r="D52" s="117" t="s">
        <v>156</v>
      </c>
      <c r="E52" s="104" t="e">
        <v>#VALUE!</v>
      </c>
      <c r="F52" s="104" t="e">
        <v>#VALUE!</v>
      </c>
      <c r="G52" s="104" t="e">
        <v>#VALUE!</v>
      </c>
      <c r="H52" s="104" t="e">
        <v>#VALUE!</v>
      </c>
      <c r="I52" s="104" t="e">
        <v>#VALUE!</v>
      </c>
      <c r="J52" s="104" t="e">
        <v>#VALUE!</v>
      </c>
      <c r="K52" s="104" t="e">
        <v>#VALUE!</v>
      </c>
      <c r="L52" s="104" t="e">
        <v>#VALUE!</v>
      </c>
      <c r="M52" s="104" t="e">
        <v>#VALUE!</v>
      </c>
      <c r="N52" s="104" t="e">
        <v>#VALUE!</v>
      </c>
      <c r="O52" s="104" t="e">
        <v>#VALUE!</v>
      </c>
      <c r="P52" s="104" t="e">
        <v>#VALUE!</v>
      </c>
      <c r="Q52" s="104" t="e">
        <v>#VALUE!</v>
      </c>
      <c r="R52" s="104" t="e">
        <v>#VALUE!</v>
      </c>
      <c r="S52" s="104" t="e">
        <v>#VALUE!</v>
      </c>
      <c r="T52" s="104" t="e">
        <v>#VALUE!</v>
      </c>
      <c r="U52" s="104" t="e">
        <v>#VALUE!</v>
      </c>
      <c r="V52" s="104" t="e">
        <v>#VALUE!</v>
      </c>
      <c r="W52" s="104" t="e">
        <v>#VALUE!</v>
      </c>
      <c r="X52" s="104" t="e">
        <v>#VALUE!</v>
      </c>
      <c r="Y52" s="104" t="e">
        <v>#VALUE!</v>
      </c>
      <c r="Z52" s="104" t="e">
        <v>#VALUE!</v>
      </c>
      <c r="AA52" s="104" t="e">
        <v>#VALUE!</v>
      </c>
      <c r="AB52" s="104" t="e">
        <v>#VALUE!</v>
      </c>
      <c r="AC52" s="104" t="e">
        <v>#VALUE!</v>
      </c>
      <c r="AD52" s="104" t="e">
        <v>#VALUE!</v>
      </c>
      <c r="AE52" s="104" t="e">
        <v>#VALUE!</v>
      </c>
      <c r="AF52" s="104" t="e">
        <v>#VALUE!</v>
      </c>
      <c r="AG52" s="104" t="e">
        <v>#VALUE!</v>
      </c>
      <c r="AH52" s="104" t="e">
        <v>#VALUE!</v>
      </c>
      <c r="AI52" s="104" t="e">
        <v>#VALUE!</v>
      </c>
      <c r="AJ52" s="104" t="e">
        <v>#VALUE!</v>
      </c>
      <c r="AK52" s="104" t="e">
        <v>#VALUE!</v>
      </c>
      <c r="AL52" s="104" t="e">
        <v>#VALUE!</v>
      </c>
      <c r="AM52" s="104" t="e">
        <v>#VALUE!</v>
      </c>
      <c r="AN52" s="104" t="e">
        <v>#NAME?</v>
      </c>
      <c r="AO52" s="78"/>
      <c r="AP52" s="117" t="s">
        <v>156</v>
      </c>
      <c r="AQ52" s="104">
        <v>0</v>
      </c>
      <c r="AR52" s="104">
        <v>0</v>
      </c>
      <c r="AS52" s="104">
        <v>0</v>
      </c>
      <c r="AT52" s="104">
        <v>0</v>
      </c>
      <c r="AU52" s="104">
        <v>0</v>
      </c>
      <c r="AV52" s="78"/>
      <c r="AW52" s="78"/>
      <c r="AX52" s="118" t="s">
        <v>157</v>
      </c>
      <c r="AY52" s="119"/>
      <c r="AZ52" s="119"/>
      <c r="BA52" s="119"/>
      <c r="BB52" s="119"/>
      <c r="BC52" s="119"/>
      <c r="BD52" s="119"/>
      <c r="BE52" s="119"/>
      <c r="BF52" s="119"/>
      <c r="BG52" s="119"/>
      <c r="BH52" s="119"/>
      <c r="BI52" s="119"/>
      <c r="BJ52" s="119"/>
      <c r="BK52" s="119"/>
      <c r="BL52" s="119"/>
      <c r="BM52" s="119"/>
      <c r="BN52" s="119"/>
      <c r="BO52" s="119"/>
      <c r="BP52" s="119"/>
      <c r="BQ52" s="119"/>
      <c r="BR52" s="119"/>
      <c r="BS52" s="119"/>
      <c r="BT52" s="119"/>
      <c r="BU52" s="119"/>
      <c r="BV52" s="119"/>
      <c r="BW52" s="119"/>
      <c r="BX52" s="119"/>
      <c r="BY52" s="119"/>
      <c r="BZ52" s="119"/>
      <c r="CA52" s="119"/>
      <c r="CB52" s="119"/>
      <c r="CC52" s="119"/>
      <c r="CD52" s="119"/>
      <c r="CE52" s="119"/>
      <c r="CF52" s="119"/>
      <c r="CG52" s="119"/>
      <c r="CH52" s="119"/>
      <c r="CI52" s="83"/>
      <c r="CK52" s="118" t="s">
        <v>157</v>
      </c>
      <c r="CL52" s="119"/>
      <c r="CM52" s="119"/>
      <c r="CN52" s="119"/>
      <c r="CO52" s="119"/>
      <c r="CP52" s="119"/>
      <c r="CQ52" s="83"/>
      <c r="CS52" s="105" t="s">
        <v>158</v>
      </c>
      <c r="CT52" s="104" t="e">
        <v>#NAME?</v>
      </c>
      <c r="CU52" s="104" t="e">
        <v>#NAME?</v>
      </c>
      <c r="CV52" s="104" t="e">
        <v>#NAME?</v>
      </c>
      <c r="CW52" s="104" t="e">
        <v>#NAME?</v>
      </c>
      <c r="CX52" s="104" t="e">
        <v>#NAME?</v>
      </c>
      <c r="CY52" s="104" t="e">
        <v>#NAME?</v>
      </c>
      <c r="CZ52" s="104" t="e">
        <v>#NAME?</v>
      </c>
      <c r="DA52" s="104" t="e">
        <v>#NAME?</v>
      </c>
      <c r="DB52" s="104" t="e">
        <v>#NAME?</v>
      </c>
      <c r="DC52" s="104" t="e">
        <v>#NAME?</v>
      </c>
      <c r="DD52" s="104" t="e">
        <v>#NAME?</v>
      </c>
      <c r="DE52" s="104" t="e">
        <v>#NAME?</v>
      </c>
      <c r="DF52" s="104" t="e">
        <v>#NAME?</v>
      </c>
      <c r="DG52" s="104" t="e">
        <v>#NAME?</v>
      </c>
      <c r="DH52" s="104" t="e">
        <v>#NAME?</v>
      </c>
      <c r="DI52" s="104" t="e">
        <v>#NAME?</v>
      </c>
      <c r="DJ52" s="104" t="e">
        <v>#NAME?</v>
      </c>
      <c r="DK52" s="104" t="e">
        <v>#NAME?</v>
      </c>
      <c r="DL52" s="104" t="e">
        <v>#NAME?</v>
      </c>
      <c r="DM52" s="104" t="e">
        <v>#NAME?</v>
      </c>
      <c r="DN52" s="104" t="e">
        <v>#NAME?</v>
      </c>
      <c r="DO52" s="104" t="e">
        <v>#NAME?</v>
      </c>
      <c r="DP52" s="104" t="e">
        <v>#NAME?</v>
      </c>
      <c r="DQ52" s="104" t="e">
        <v>#NAME?</v>
      </c>
      <c r="DR52" s="104" t="e">
        <v>#NAME?</v>
      </c>
      <c r="DS52" s="104" t="e">
        <v>#NAME?</v>
      </c>
      <c r="DT52" s="104" t="e">
        <v>#NAME?</v>
      </c>
      <c r="DU52" s="104" t="e">
        <v>#NAME?</v>
      </c>
      <c r="DV52" s="104" t="e">
        <v>#NAME?</v>
      </c>
      <c r="DW52" s="104" t="e">
        <v>#NAME?</v>
      </c>
      <c r="DX52" s="104" t="e">
        <v>#NAME?</v>
      </c>
      <c r="DY52" s="104" t="e">
        <v>#NAME?</v>
      </c>
      <c r="DZ52" s="104" t="e">
        <v>#NAME?</v>
      </c>
      <c r="EA52" s="104" t="e">
        <v>#NAME?</v>
      </c>
      <c r="EB52" s="104" t="e">
        <v>#NAME?</v>
      </c>
      <c r="EC52" s="104" t="e">
        <v>#NAME?</v>
      </c>
      <c r="EE52" s="105" t="s">
        <v>158</v>
      </c>
      <c r="EF52" s="104">
        <v>0</v>
      </c>
      <c r="EG52" s="104">
        <v>0</v>
      </c>
      <c r="EH52" s="104">
        <v>0</v>
      </c>
      <c r="EI52" s="104">
        <v>0</v>
      </c>
      <c r="EJ52" s="104">
        <v>0</v>
      </c>
      <c r="GG52" s="756" t="s">
        <v>90</v>
      </c>
      <c r="GH52" s="758" t="e">
        <v>#NAME?</v>
      </c>
      <c r="GI52" s="758" t="e">
        <v>#NAME?</v>
      </c>
      <c r="GJ52" s="758" t="e">
        <v>#NAME?</v>
      </c>
      <c r="GK52" s="758" t="e">
        <v>#NAME?</v>
      </c>
      <c r="GL52" s="758" t="e">
        <v>#NAME?</v>
      </c>
      <c r="GM52" s="758" t="e">
        <v>#NAME?</v>
      </c>
      <c r="GN52" s="758" t="e">
        <v>#NAME?</v>
      </c>
      <c r="GO52" s="758" t="e">
        <v>#NAME?</v>
      </c>
      <c r="GP52" s="758" t="e">
        <v>#NAME?</v>
      </c>
      <c r="GQ52" s="758" t="e">
        <v>#NAME?</v>
      </c>
      <c r="GR52" s="758" t="e">
        <v>#NAME?</v>
      </c>
      <c r="GS52" s="758" t="e">
        <v>#NAME?</v>
      </c>
      <c r="GT52" s="758" t="e">
        <v>#NAME?</v>
      </c>
      <c r="GU52" s="758" t="e">
        <v>#NAME?</v>
      </c>
      <c r="GV52" s="758" t="e">
        <v>#NAME?</v>
      </c>
      <c r="GW52" s="758" t="e">
        <v>#NAME?</v>
      </c>
      <c r="GX52" s="758" t="e">
        <v>#NAME?</v>
      </c>
      <c r="GY52" s="758" t="e">
        <v>#NAME?</v>
      </c>
      <c r="GZ52" s="758" t="e">
        <v>#NAME?</v>
      </c>
      <c r="HA52" s="758" t="e">
        <v>#NAME?</v>
      </c>
      <c r="HB52" s="758" t="e">
        <v>#NAME?</v>
      </c>
      <c r="HC52" s="758" t="e">
        <v>#NAME?</v>
      </c>
      <c r="HD52" s="758" t="e">
        <v>#NAME?</v>
      </c>
      <c r="HE52" s="758" t="e">
        <v>#NAME?</v>
      </c>
      <c r="HF52" s="758" t="e">
        <v>#NAME?</v>
      </c>
      <c r="HG52" s="758" t="e">
        <v>#NAME?</v>
      </c>
      <c r="HH52" s="758" t="e">
        <v>#NAME?</v>
      </c>
      <c r="HI52" s="758" t="e">
        <v>#NAME?</v>
      </c>
      <c r="HJ52" s="758" t="e">
        <v>#NAME?</v>
      </c>
      <c r="HK52" s="758" t="e">
        <v>#NAME?</v>
      </c>
      <c r="HL52" s="758" t="e">
        <v>#NAME?</v>
      </c>
      <c r="HM52" s="758" t="e">
        <v>#NAME?</v>
      </c>
      <c r="HN52" s="758" t="e">
        <v>#NAME?</v>
      </c>
      <c r="HO52" s="758" t="e">
        <v>#NAME?</v>
      </c>
      <c r="HP52" s="758" t="e">
        <v>#NAME?</v>
      </c>
      <c r="HQ52" s="758" t="e">
        <v>#NAME?</v>
      </c>
      <c r="HT52" s="756" t="s">
        <v>90</v>
      </c>
      <c r="HU52" s="107">
        <v>0</v>
      </c>
      <c r="HV52" s="758">
        <v>0</v>
      </c>
      <c r="HW52" s="758">
        <v>0</v>
      </c>
      <c r="HX52" s="758">
        <v>0</v>
      </c>
      <c r="HY52" s="758">
        <v>0</v>
      </c>
    </row>
    <row r="53" spans="1:233" ht="15.75">
      <c r="A53" t="s">
        <v>140</v>
      </c>
      <c r="B53">
        <v>0</v>
      </c>
      <c r="D53" s="105" t="s">
        <v>159</v>
      </c>
      <c r="E53" s="96" t="e">
        <v>#VALUE!</v>
      </c>
      <c r="F53" s="96" t="e">
        <v>#VALUE!</v>
      </c>
      <c r="G53" s="96" t="e">
        <v>#VALUE!</v>
      </c>
      <c r="H53" s="96" t="e">
        <v>#VALUE!</v>
      </c>
      <c r="I53" s="96" t="e">
        <v>#VALUE!</v>
      </c>
      <c r="J53" s="96" t="e">
        <v>#VALUE!</v>
      </c>
      <c r="K53" s="96" t="e">
        <v>#VALUE!</v>
      </c>
      <c r="L53" s="96" t="e">
        <v>#VALUE!</v>
      </c>
      <c r="M53" s="96" t="e">
        <v>#VALUE!</v>
      </c>
      <c r="N53" s="96" t="e">
        <v>#VALUE!</v>
      </c>
      <c r="O53" s="96" t="e">
        <v>#VALUE!</v>
      </c>
      <c r="P53" s="96" t="e">
        <v>#VALUE!</v>
      </c>
      <c r="Q53" s="96" t="e">
        <v>#VALUE!</v>
      </c>
      <c r="R53" s="96" t="e">
        <v>#VALUE!</v>
      </c>
      <c r="S53" s="96" t="e">
        <v>#VALUE!</v>
      </c>
      <c r="T53" s="96" t="e">
        <v>#VALUE!</v>
      </c>
      <c r="U53" s="96" t="e">
        <v>#VALUE!</v>
      </c>
      <c r="V53" s="96" t="e">
        <v>#VALUE!</v>
      </c>
      <c r="W53" s="96" t="e">
        <v>#VALUE!</v>
      </c>
      <c r="X53" s="96" t="e">
        <v>#VALUE!</v>
      </c>
      <c r="Y53" s="96" t="e">
        <v>#VALUE!</v>
      </c>
      <c r="Z53" s="96" t="e">
        <v>#VALUE!</v>
      </c>
      <c r="AA53" s="96" t="e">
        <v>#VALUE!</v>
      </c>
      <c r="AB53" s="96" t="e">
        <v>#VALUE!</v>
      </c>
      <c r="AC53" s="96" t="e">
        <v>#VALUE!</v>
      </c>
      <c r="AD53" s="96" t="e">
        <v>#VALUE!</v>
      </c>
      <c r="AE53" s="96" t="e">
        <v>#VALUE!</v>
      </c>
      <c r="AF53" s="96" t="e">
        <v>#VALUE!</v>
      </c>
      <c r="AG53" s="96" t="e">
        <v>#VALUE!</v>
      </c>
      <c r="AH53" s="96" t="e">
        <v>#VALUE!</v>
      </c>
      <c r="AI53" s="96" t="e">
        <v>#VALUE!</v>
      </c>
      <c r="AJ53" s="96" t="e">
        <v>#VALUE!</v>
      </c>
      <c r="AK53" s="96" t="e">
        <v>#VALUE!</v>
      </c>
      <c r="AL53" s="96" t="e">
        <v>#VALUE!</v>
      </c>
      <c r="AM53" s="96" t="e">
        <v>#VALUE!</v>
      </c>
      <c r="AN53" s="96" t="e">
        <v>#NAME?</v>
      </c>
      <c r="AO53" s="78"/>
      <c r="AP53" s="105" t="s">
        <v>159</v>
      </c>
      <c r="AQ53" s="96">
        <v>0</v>
      </c>
      <c r="AR53" s="96">
        <v>0</v>
      </c>
      <c r="AS53" s="96">
        <v>0</v>
      </c>
      <c r="AT53" s="96">
        <v>0</v>
      </c>
      <c r="AU53" s="96">
        <v>0</v>
      </c>
      <c r="AV53" s="78"/>
      <c r="AW53" s="78"/>
      <c r="AX53" s="120" t="s">
        <v>140</v>
      </c>
      <c r="AY53" s="96"/>
      <c r="AZ53" s="96"/>
      <c r="BA53" s="96"/>
      <c r="BB53" s="96"/>
      <c r="BC53" s="96"/>
      <c r="BD53" s="96"/>
      <c r="BE53" s="96"/>
      <c r="BF53" s="96"/>
      <c r="BG53" s="96"/>
      <c r="BH53" s="96"/>
      <c r="BI53" s="96"/>
      <c r="BJ53" s="96"/>
      <c r="BK53" s="96"/>
      <c r="BL53" s="96"/>
      <c r="BM53" s="96"/>
      <c r="BN53" s="96"/>
      <c r="BO53" s="96"/>
      <c r="BP53" s="96"/>
      <c r="BQ53" s="96"/>
      <c r="BR53" s="96"/>
      <c r="BS53" s="96"/>
      <c r="BT53" s="96"/>
      <c r="BU53" s="96"/>
      <c r="BV53" s="96"/>
      <c r="BW53" s="96"/>
      <c r="BX53" s="96"/>
      <c r="BY53" s="96"/>
      <c r="BZ53" s="96"/>
      <c r="CA53" s="96"/>
      <c r="CB53" s="96"/>
      <c r="CC53" s="96"/>
      <c r="CD53" s="96"/>
      <c r="CE53" s="96"/>
      <c r="CF53" s="96"/>
      <c r="CG53" s="96"/>
      <c r="CH53" s="96"/>
      <c r="CI53" s="83"/>
      <c r="CK53" s="120" t="s">
        <v>140</v>
      </c>
      <c r="CL53" s="96"/>
      <c r="CM53" s="96"/>
      <c r="CN53" s="96"/>
      <c r="CO53" s="96"/>
      <c r="CP53" s="96"/>
      <c r="CQ53" s="83"/>
      <c r="CS53" s="105" t="s">
        <v>160</v>
      </c>
      <c r="CT53" s="104" t="e">
        <v>#NAME?</v>
      </c>
      <c r="CU53" s="104" t="e">
        <v>#NAME?</v>
      </c>
      <c r="CV53" s="104" t="e">
        <v>#NAME?</v>
      </c>
      <c r="CW53" s="104" t="e">
        <v>#NAME?</v>
      </c>
      <c r="CX53" s="104" t="e">
        <v>#NAME?</v>
      </c>
      <c r="CY53" s="104" t="e">
        <v>#NAME?</v>
      </c>
      <c r="CZ53" s="104" t="e">
        <v>#NAME?</v>
      </c>
      <c r="DA53" s="104" t="e">
        <v>#NAME?</v>
      </c>
      <c r="DB53" s="104" t="e">
        <v>#NAME?</v>
      </c>
      <c r="DC53" s="104" t="e">
        <v>#NAME?</v>
      </c>
      <c r="DD53" s="104" t="e">
        <v>#NAME?</v>
      </c>
      <c r="DE53" s="104" t="e">
        <v>#NAME?</v>
      </c>
      <c r="DF53" s="104" t="e">
        <v>#NAME?</v>
      </c>
      <c r="DG53" s="104" t="e">
        <v>#NAME?</v>
      </c>
      <c r="DH53" s="104" t="e">
        <v>#NAME?</v>
      </c>
      <c r="DI53" s="104" t="e">
        <v>#NAME?</v>
      </c>
      <c r="DJ53" s="104" t="e">
        <v>#NAME?</v>
      </c>
      <c r="DK53" s="104" t="e">
        <v>#NAME?</v>
      </c>
      <c r="DL53" s="104" t="e">
        <v>#NAME?</v>
      </c>
      <c r="DM53" s="104" t="e">
        <v>#NAME?</v>
      </c>
      <c r="DN53" s="104" t="e">
        <v>#NAME?</v>
      </c>
      <c r="DO53" s="104" t="e">
        <v>#NAME?</v>
      </c>
      <c r="DP53" s="104" t="e">
        <v>#NAME?</v>
      </c>
      <c r="DQ53" s="104" t="e">
        <v>#NAME?</v>
      </c>
      <c r="DR53" s="104" t="e">
        <v>#NAME?</v>
      </c>
      <c r="DS53" s="104" t="e">
        <v>#NAME?</v>
      </c>
      <c r="DT53" s="104" t="e">
        <v>#NAME?</v>
      </c>
      <c r="DU53" s="104" t="e">
        <v>#NAME?</v>
      </c>
      <c r="DV53" s="104" t="e">
        <v>#NAME?</v>
      </c>
      <c r="DW53" s="104" t="e">
        <v>#NAME?</v>
      </c>
      <c r="DX53" s="104" t="e">
        <v>#NAME?</v>
      </c>
      <c r="DY53" s="104" t="e">
        <v>#NAME?</v>
      </c>
      <c r="DZ53" s="104" t="e">
        <v>#NAME?</v>
      </c>
      <c r="EA53" s="104" t="e">
        <v>#NAME?</v>
      </c>
      <c r="EB53" s="104" t="e">
        <v>#NAME?</v>
      </c>
      <c r="EC53" s="104" t="e">
        <v>#NAME?</v>
      </c>
      <c r="EE53" s="105" t="s">
        <v>160</v>
      </c>
      <c r="EF53" s="104">
        <v>0</v>
      </c>
      <c r="EG53" s="104">
        <v>0</v>
      </c>
      <c r="EH53" s="104">
        <v>0</v>
      </c>
      <c r="EI53" s="104">
        <v>0</v>
      </c>
      <c r="EJ53" s="104">
        <v>0</v>
      </c>
      <c r="GG53" s="756" t="s">
        <v>117</v>
      </c>
      <c r="GH53" s="758" t="e">
        <v>#NAME?</v>
      </c>
      <c r="GI53" s="758" t="e">
        <v>#NAME?</v>
      </c>
      <c r="GJ53" s="758" t="e">
        <v>#NAME?</v>
      </c>
      <c r="GK53" s="758" t="e">
        <v>#NAME?</v>
      </c>
      <c r="GL53" s="758" t="e">
        <v>#NAME?</v>
      </c>
      <c r="GM53" s="758" t="e">
        <v>#NAME?</v>
      </c>
      <c r="GN53" s="758" t="e">
        <v>#NAME?</v>
      </c>
      <c r="GO53" s="758" t="e">
        <v>#NAME?</v>
      </c>
      <c r="GP53" s="758" t="e">
        <v>#NAME?</v>
      </c>
      <c r="GQ53" s="758" t="e">
        <v>#NAME?</v>
      </c>
      <c r="GR53" s="758" t="e">
        <v>#NAME?</v>
      </c>
      <c r="GS53" s="758" t="e">
        <v>#NAME?</v>
      </c>
      <c r="GT53" s="758" t="e">
        <v>#NAME?</v>
      </c>
      <c r="GU53" s="758" t="e">
        <v>#NAME?</v>
      </c>
      <c r="GV53" s="758" t="e">
        <v>#NAME?</v>
      </c>
      <c r="GW53" s="758" t="e">
        <v>#NAME?</v>
      </c>
      <c r="GX53" s="758" t="e">
        <v>#NAME?</v>
      </c>
      <c r="GY53" s="758" t="e">
        <v>#NAME?</v>
      </c>
      <c r="GZ53" s="758" t="e">
        <v>#NAME?</v>
      </c>
      <c r="HA53" s="758" t="e">
        <v>#NAME?</v>
      </c>
      <c r="HB53" s="758" t="e">
        <v>#NAME?</v>
      </c>
      <c r="HC53" s="758" t="e">
        <v>#NAME?</v>
      </c>
      <c r="HD53" s="758" t="e">
        <v>#NAME?</v>
      </c>
      <c r="HE53" s="758" t="e">
        <v>#NAME?</v>
      </c>
      <c r="HF53" s="758" t="e">
        <v>#NAME?</v>
      </c>
      <c r="HG53" s="758" t="e">
        <v>#NAME?</v>
      </c>
      <c r="HH53" s="758" t="e">
        <v>#NAME?</v>
      </c>
      <c r="HI53" s="758" t="e">
        <v>#NAME?</v>
      </c>
      <c r="HJ53" s="758" t="e">
        <v>#NAME?</v>
      </c>
      <c r="HK53" s="758" t="e">
        <v>#NAME?</v>
      </c>
      <c r="HL53" s="758" t="e">
        <v>#NAME?</v>
      </c>
      <c r="HM53" s="758" t="e">
        <v>#NAME?</v>
      </c>
      <c r="HN53" s="758" t="e">
        <v>#NAME?</v>
      </c>
      <c r="HO53" s="758" t="e">
        <v>#NAME?</v>
      </c>
      <c r="HP53" s="758" t="e">
        <v>#NAME?</v>
      </c>
      <c r="HQ53" s="758" t="e">
        <v>#NAME?</v>
      </c>
      <c r="HT53" s="756" t="s">
        <v>117</v>
      </c>
      <c r="HU53" s="107">
        <v>0</v>
      </c>
      <c r="HV53" s="758">
        <v>0</v>
      </c>
      <c r="HW53" s="758">
        <v>0</v>
      </c>
      <c r="HX53" s="758">
        <v>0</v>
      </c>
      <c r="HY53" s="758">
        <v>0</v>
      </c>
    </row>
    <row r="54" spans="1:233" ht="15.75">
      <c r="A54" t="s">
        <v>140</v>
      </c>
      <c r="B54">
        <v>0</v>
      </c>
      <c r="D54" s="103" t="s">
        <v>140</v>
      </c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78"/>
      <c r="AP54" s="103" t="s">
        <v>140</v>
      </c>
      <c r="AQ54" s="121"/>
      <c r="AR54" s="121"/>
      <c r="AS54" s="121"/>
      <c r="AT54" s="121"/>
      <c r="AU54" s="121"/>
      <c r="AV54" s="78"/>
      <c r="AW54" s="78">
        <v>0</v>
      </c>
      <c r="AX54" s="120" t="s">
        <v>77</v>
      </c>
      <c r="AY54" s="104" t="e">
        <v>#NAME?</v>
      </c>
      <c r="AZ54" s="104" t="e">
        <v>#NAME?</v>
      </c>
      <c r="BA54" s="104" t="e">
        <v>#NAME?</v>
      </c>
      <c r="BB54" s="104" t="e">
        <v>#NAME?</v>
      </c>
      <c r="BC54" s="104" t="e">
        <v>#NAME?</v>
      </c>
      <c r="BD54" s="104" t="e">
        <v>#NAME?</v>
      </c>
      <c r="BE54" s="104" t="e">
        <v>#NAME?</v>
      </c>
      <c r="BF54" s="104" t="e">
        <v>#NAME?</v>
      </c>
      <c r="BG54" s="104" t="e">
        <v>#NAME?</v>
      </c>
      <c r="BH54" s="104" t="e">
        <v>#NAME?</v>
      </c>
      <c r="BI54" s="104" t="e">
        <v>#NAME?</v>
      </c>
      <c r="BJ54" s="104" t="e">
        <v>#NAME?</v>
      </c>
      <c r="BK54" s="104" t="e">
        <v>#NAME?</v>
      </c>
      <c r="BL54" s="104" t="e">
        <v>#NAME?</v>
      </c>
      <c r="BM54" s="104" t="e">
        <v>#NAME?</v>
      </c>
      <c r="BN54" s="104" t="e">
        <v>#NAME?</v>
      </c>
      <c r="BO54" s="104" t="e">
        <v>#NAME?</v>
      </c>
      <c r="BP54" s="104" t="e">
        <v>#NAME?</v>
      </c>
      <c r="BQ54" s="104" t="e">
        <v>#NAME?</v>
      </c>
      <c r="BR54" s="104" t="e">
        <v>#NAME?</v>
      </c>
      <c r="BS54" s="104" t="e">
        <v>#NAME?</v>
      </c>
      <c r="BT54" s="104" t="e">
        <v>#NAME?</v>
      </c>
      <c r="BU54" s="104" t="e">
        <v>#NAME?</v>
      </c>
      <c r="BV54" s="104" t="e">
        <v>#NAME?</v>
      </c>
      <c r="BW54" s="104" t="e">
        <v>#NAME?</v>
      </c>
      <c r="BX54" s="104" t="e">
        <v>#NAME?</v>
      </c>
      <c r="BY54" s="104" t="e">
        <v>#NAME?</v>
      </c>
      <c r="BZ54" s="104" t="e">
        <v>#NAME?</v>
      </c>
      <c r="CA54" s="104" t="e">
        <v>#NAME?</v>
      </c>
      <c r="CB54" s="104" t="e">
        <v>#NAME?</v>
      </c>
      <c r="CC54" s="104" t="e">
        <v>#NAME?</v>
      </c>
      <c r="CD54" s="104" t="e">
        <v>#NAME?</v>
      </c>
      <c r="CE54" s="104" t="e">
        <v>#NAME?</v>
      </c>
      <c r="CF54" s="104" t="e">
        <v>#NAME?</v>
      </c>
      <c r="CG54" s="104" t="e">
        <v>#NAME?</v>
      </c>
      <c r="CH54" s="104" t="e">
        <v>#NAME?</v>
      </c>
      <c r="CI54" s="83"/>
      <c r="CK54" s="120" t="s">
        <v>77</v>
      </c>
      <c r="CL54" s="104">
        <v>0</v>
      </c>
      <c r="CM54" s="104">
        <v>0</v>
      </c>
      <c r="CN54" s="104">
        <v>0</v>
      </c>
      <c r="CO54" s="104">
        <v>0</v>
      </c>
      <c r="CP54" s="104">
        <v>0</v>
      </c>
      <c r="CQ54" s="83"/>
      <c r="CS54" s="105" t="s">
        <v>161</v>
      </c>
      <c r="CT54" s="104" t="e">
        <v>#NAME?</v>
      </c>
      <c r="CU54" s="104" t="e">
        <v>#NAME?</v>
      </c>
      <c r="CV54" s="104" t="e">
        <v>#NAME?</v>
      </c>
      <c r="CW54" s="104" t="e">
        <v>#NAME?</v>
      </c>
      <c r="CX54" s="104" t="e">
        <v>#NAME?</v>
      </c>
      <c r="CY54" s="104" t="e">
        <v>#NAME?</v>
      </c>
      <c r="CZ54" s="104" t="e">
        <v>#NAME?</v>
      </c>
      <c r="DA54" s="104" t="e">
        <v>#NAME?</v>
      </c>
      <c r="DB54" s="104" t="e">
        <v>#NAME?</v>
      </c>
      <c r="DC54" s="104" t="e">
        <v>#NAME?</v>
      </c>
      <c r="DD54" s="104" t="e">
        <v>#NAME?</v>
      </c>
      <c r="DE54" s="104" t="e">
        <v>#NAME?</v>
      </c>
      <c r="DF54" s="104" t="e">
        <v>#NAME?</v>
      </c>
      <c r="DG54" s="104" t="e">
        <v>#NAME?</v>
      </c>
      <c r="DH54" s="104" t="e">
        <v>#NAME?</v>
      </c>
      <c r="DI54" s="104" t="e">
        <v>#NAME?</v>
      </c>
      <c r="DJ54" s="104" t="e">
        <v>#NAME?</v>
      </c>
      <c r="DK54" s="104" t="e">
        <v>#NAME?</v>
      </c>
      <c r="DL54" s="104" t="e">
        <v>#NAME?</v>
      </c>
      <c r="DM54" s="104" t="e">
        <v>#NAME?</v>
      </c>
      <c r="DN54" s="104" t="e">
        <v>#NAME?</v>
      </c>
      <c r="DO54" s="104" t="e">
        <v>#NAME?</v>
      </c>
      <c r="DP54" s="104" t="e">
        <v>#NAME?</v>
      </c>
      <c r="DQ54" s="104" t="e">
        <v>#NAME?</v>
      </c>
      <c r="DR54" s="104" t="e">
        <v>#NAME?</v>
      </c>
      <c r="DS54" s="104" t="e">
        <v>#NAME?</v>
      </c>
      <c r="DT54" s="104" t="e">
        <v>#NAME?</v>
      </c>
      <c r="DU54" s="104" t="e">
        <v>#NAME?</v>
      </c>
      <c r="DV54" s="104" t="e">
        <v>#NAME?</v>
      </c>
      <c r="DW54" s="104" t="e">
        <v>#NAME?</v>
      </c>
      <c r="DX54" s="104" t="e">
        <v>#NAME?</v>
      </c>
      <c r="DY54" s="104" t="e">
        <v>#NAME?</v>
      </c>
      <c r="DZ54" s="104" t="e">
        <v>#NAME?</v>
      </c>
      <c r="EA54" s="104" t="e">
        <v>#NAME?</v>
      </c>
      <c r="EB54" s="104" t="e">
        <v>#NAME?</v>
      </c>
      <c r="EC54" s="104" t="e">
        <v>#NAME?</v>
      </c>
      <c r="EE54" s="105" t="s">
        <v>161</v>
      </c>
      <c r="EF54" s="104">
        <v>0</v>
      </c>
      <c r="EG54" s="104">
        <v>0</v>
      </c>
      <c r="EH54" s="104">
        <v>0</v>
      </c>
      <c r="EI54" s="104">
        <v>0</v>
      </c>
      <c r="EJ54" s="104">
        <v>0</v>
      </c>
    </row>
    <row r="55" spans="1:233" ht="15.75">
      <c r="A55" t="s">
        <v>140</v>
      </c>
      <c r="B55">
        <v>0</v>
      </c>
      <c r="D55" s="103" t="s">
        <v>162</v>
      </c>
      <c r="E55" s="104" t="e">
        <v>#VALUE!</v>
      </c>
      <c r="F55" s="104" t="e">
        <v>#VALUE!</v>
      </c>
      <c r="G55" s="104" t="e">
        <v>#VALUE!</v>
      </c>
      <c r="H55" s="104" t="e">
        <v>#VALUE!</v>
      </c>
      <c r="I55" s="104" t="e">
        <v>#VALUE!</v>
      </c>
      <c r="J55" s="104" t="e">
        <v>#VALUE!</v>
      </c>
      <c r="K55" s="104" t="e">
        <v>#VALUE!</v>
      </c>
      <c r="L55" s="104" t="e">
        <v>#VALUE!</v>
      </c>
      <c r="M55" s="104" t="e">
        <v>#VALUE!</v>
      </c>
      <c r="N55" s="104" t="e">
        <v>#VALUE!</v>
      </c>
      <c r="O55" s="104" t="e">
        <v>#VALUE!</v>
      </c>
      <c r="P55" s="104" t="e">
        <v>#VALUE!</v>
      </c>
      <c r="Q55" s="104" t="e">
        <v>#VALUE!</v>
      </c>
      <c r="R55" s="104" t="e">
        <v>#VALUE!</v>
      </c>
      <c r="S55" s="104" t="e">
        <v>#VALUE!</v>
      </c>
      <c r="T55" s="104" t="e">
        <v>#VALUE!</v>
      </c>
      <c r="U55" s="104" t="e">
        <v>#VALUE!</v>
      </c>
      <c r="V55" s="104" t="e">
        <v>#VALUE!</v>
      </c>
      <c r="W55" s="104" t="e">
        <v>#VALUE!</v>
      </c>
      <c r="X55" s="104" t="e">
        <v>#VALUE!</v>
      </c>
      <c r="Y55" s="104" t="e">
        <v>#VALUE!</v>
      </c>
      <c r="Z55" s="104" t="e">
        <v>#VALUE!</v>
      </c>
      <c r="AA55" s="104" t="e">
        <v>#VALUE!</v>
      </c>
      <c r="AB55" s="104" t="e">
        <v>#VALUE!</v>
      </c>
      <c r="AC55" s="104" t="e">
        <v>#VALUE!</v>
      </c>
      <c r="AD55" s="104" t="e">
        <v>#VALUE!</v>
      </c>
      <c r="AE55" s="104" t="e">
        <v>#VALUE!</v>
      </c>
      <c r="AF55" s="104" t="e">
        <v>#VALUE!</v>
      </c>
      <c r="AG55" s="104" t="e">
        <v>#VALUE!</v>
      </c>
      <c r="AH55" s="104" t="e">
        <v>#VALUE!</v>
      </c>
      <c r="AI55" s="104" t="e">
        <v>#VALUE!</v>
      </c>
      <c r="AJ55" s="104" t="e">
        <v>#VALUE!</v>
      </c>
      <c r="AK55" s="104" t="e">
        <v>#VALUE!</v>
      </c>
      <c r="AL55" s="104" t="e">
        <v>#VALUE!</v>
      </c>
      <c r="AM55" s="104" t="e">
        <v>#VALUE!</v>
      </c>
      <c r="AN55" s="104" t="e">
        <v>#NAME?</v>
      </c>
      <c r="AO55" s="78"/>
      <c r="AP55" s="103" t="s">
        <v>162</v>
      </c>
      <c r="AQ55" s="104">
        <v>0</v>
      </c>
      <c r="AR55" s="104">
        <v>0</v>
      </c>
      <c r="AS55" s="104">
        <v>0</v>
      </c>
      <c r="AT55" s="104">
        <v>0</v>
      </c>
      <c r="AU55" s="104">
        <v>0</v>
      </c>
      <c r="AV55" s="78"/>
      <c r="AW55" s="78">
        <v>0</v>
      </c>
      <c r="AX55" s="108" t="s">
        <v>163</v>
      </c>
      <c r="AY55" s="122" t="e">
        <v>#NAME?</v>
      </c>
      <c r="AZ55" s="122" t="e">
        <v>#NAME?</v>
      </c>
      <c r="BA55" s="122" t="e">
        <v>#NAME?</v>
      </c>
      <c r="BB55" s="122" t="e">
        <v>#NAME?</v>
      </c>
      <c r="BC55" s="122" t="e">
        <v>#NAME?</v>
      </c>
      <c r="BD55" s="122" t="e">
        <v>#NAME?</v>
      </c>
      <c r="BE55" s="122" t="e">
        <v>#NAME?</v>
      </c>
      <c r="BF55" s="122" t="e">
        <v>#NAME?</v>
      </c>
      <c r="BG55" s="122" t="e">
        <v>#NAME?</v>
      </c>
      <c r="BH55" s="122" t="e">
        <v>#NAME?</v>
      </c>
      <c r="BI55" s="122" t="e">
        <v>#NAME?</v>
      </c>
      <c r="BJ55" s="122" t="e">
        <v>#NAME?</v>
      </c>
      <c r="BK55" s="122" t="e">
        <v>#NAME?</v>
      </c>
      <c r="BL55" s="122" t="e">
        <v>#NAME?</v>
      </c>
      <c r="BM55" s="122" t="e">
        <v>#NAME?</v>
      </c>
      <c r="BN55" s="122" t="e">
        <v>#NAME?</v>
      </c>
      <c r="BO55" s="122" t="e">
        <v>#NAME?</v>
      </c>
      <c r="BP55" s="122" t="e">
        <v>#NAME?</v>
      </c>
      <c r="BQ55" s="122" t="e">
        <v>#NAME?</v>
      </c>
      <c r="BR55" s="122" t="e">
        <v>#NAME?</v>
      </c>
      <c r="BS55" s="122" t="e">
        <v>#NAME?</v>
      </c>
      <c r="BT55" s="122" t="e">
        <v>#NAME?</v>
      </c>
      <c r="BU55" s="122" t="e">
        <v>#NAME?</v>
      </c>
      <c r="BV55" s="122" t="e">
        <v>#NAME?</v>
      </c>
      <c r="BW55" s="122" t="e">
        <v>#NAME?</v>
      </c>
      <c r="BX55" s="122" t="e">
        <v>#NAME?</v>
      </c>
      <c r="BY55" s="122" t="e">
        <v>#NAME?</v>
      </c>
      <c r="BZ55" s="122" t="e">
        <v>#NAME?</v>
      </c>
      <c r="CA55" s="122" t="e">
        <v>#NAME?</v>
      </c>
      <c r="CB55" s="122" t="e">
        <v>#NAME?</v>
      </c>
      <c r="CC55" s="122" t="e">
        <v>#NAME?</v>
      </c>
      <c r="CD55" s="122" t="e">
        <v>#NAME?</v>
      </c>
      <c r="CE55" s="122" t="e">
        <v>#NAME?</v>
      </c>
      <c r="CF55" s="122" t="e">
        <v>#NAME?</v>
      </c>
      <c r="CG55" s="122" t="e">
        <v>#NAME?</v>
      </c>
      <c r="CH55" s="122" t="e">
        <v>#NAME?</v>
      </c>
      <c r="CI55" s="83"/>
      <c r="CK55" s="108" t="s">
        <v>163</v>
      </c>
      <c r="CL55" s="122">
        <v>0</v>
      </c>
      <c r="CM55" s="122">
        <v>0</v>
      </c>
      <c r="CN55" s="122">
        <v>0</v>
      </c>
      <c r="CO55" s="122">
        <v>0</v>
      </c>
      <c r="CP55" s="122">
        <v>0</v>
      </c>
      <c r="CQ55" s="83"/>
      <c r="CS55" s="123" t="s">
        <v>164</v>
      </c>
      <c r="CT55" s="112"/>
      <c r="CU55" s="112"/>
      <c r="CV55" s="112"/>
      <c r="CW55" s="112"/>
      <c r="CX55" s="112"/>
      <c r="CY55" s="112"/>
      <c r="CZ55" s="112"/>
      <c r="DA55" s="112"/>
      <c r="DB55" s="112"/>
      <c r="DC55" s="112"/>
      <c r="DD55" s="112"/>
      <c r="DE55" s="112"/>
      <c r="DF55" s="112"/>
      <c r="DG55" s="112"/>
      <c r="DH55" s="112"/>
      <c r="DI55" s="112"/>
      <c r="DJ55" s="112"/>
      <c r="DK55" s="112"/>
      <c r="DL55" s="112"/>
      <c r="DM55" s="112"/>
      <c r="DN55" s="112"/>
      <c r="DO55" s="112"/>
      <c r="DP55" s="112"/>
      <c r="DQ55" s="112"/>
      <c r="DR55" s="112"/>
      <c r="DS55" s="112"/>
      <c r="DT55" s="112"/>
      <c r="DU55" s="112"/>
      <c r="DV55" s="112"/>
      <c r="DW55" s="112"/>
      <c r="DX55" s="112"/>
      <c r="DY55" s="112"/>
      <c r="DZ55" s="112"/>
      <c r="EA55" s="112"/>
      <c r="EB55" s="112"/>
      <c r="EC55" s="112"/>
      <c r="EE55" s="123" t="s">
        <v>164</v>
      </c>
      <c r="EF55" s="112"/>
      <c r="EG55" s="112"/>
      <c r="EH55" s="112"/>
      <c r="EI55" s="112"/>
      <c r="EJ55" s="112"/>
      <c r="GG55" s="99" t="s">
        <v>526</v>
      </c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T55" s="99" t="s">
        <v>526</v>
      </c>
      <c r="HU55" s="99"/>
      <c r="HV55" s="99"/>
      <c r="HW55" s="99"/>
      <c r="HX55" s="99"/>
      <c r="HY55" s="99"/>
    </row>
    <row r="56" spans="1:233" ht="15.75">
      <c r="A56" t="s">
        <v>140</v>
      </c>
      <c r="B56">
        <v>0</v>
      </c>
      <c r="D56" s="113" t="s">
        <v>165</v>
      </c>
      <c r="E56" s="104" t="e">
        <v>#VALUE!</v>
      </c>
      <c r="F56" s="104" t="e">
        <v>#VALUE!</v>
      </c>
      <c r="G56" s="104" t="e">
        <v>#VALUE!</v>
      </c>
      <c r="H56" s="104" t="e">
        <v>#VALUE!</v>
      </c>
      <c r="I56" s="104" t="e">
        <v>#VALUE!</v>
      </c>
      <c r="J56" s="104" t="e">
        <v>#VALUE!</v>
      </c>
      <c r="K56" s="104" t="e">
        <v>#VALUE!</v>
      </c>
      <c r="L56" s="104" t="e">
        <v>#VALUE!</v>
      </c>
      <c r="M56" s="104" t="e">
        <v>#VALUE!</v>
      </c>
      <c r="N56" s="104" t="e">
        <v>#VALUE!</v>
      </c>
      <c r="O56" s="104" t="e">
        <v>#VALUE!</v>
      </c>
      <c r="P56" s="104" t="e">
        <v>#VALUE!</v>
      </c>
      <c r="Q56" s="104" t="e">
        <v>#VALUE!</v>
      </c>
      <c r="R56" s="104" t="e">
        <v>#VALUE!</v>
      </c>
      <c r="S56" s="104" t="e">
        <v>#VALUE!</v>
      </c>
      <c r="T56" s="104" t="e">
        <v>#VALUE!</v>
      </c>
      <c r="U56" s="104" t="e">
        <v>#VALUE!</v>
      </c>
      <c r="V56" s="104" t="e">
        <v>#VALUE!</v>
      </c>
      <c r="W56" s="104" t="e">
        <v>#VALUE!</v>
      </c>
      <c r="X56" s="104" t="e">
        <v>#VALUE!</v>
      </c>
      <c r="Y56" s="104" t="e">
        <v>#VALUE!</v>
      </c>
      <c r="Z56" s="104" t="e">
        <v>#VALUE!</v>
      </c>
      <c r="AA56" s="104" t="e">
        <v>#VALUE!</v>
      </c>
      <c r="AB56" s="104" t="e">
        <v>#VALUE!</v>
      </c>
      <c r="AC56" s="104" t="e">
        <v>#VALUE!</v>
      </c>
      <c r="AD56" s="104" t="e">
        <v>#VALUE!</v>
      </c>
      <c r="AE56" s="104" t="e">
        <v>#VALUE!</v>
      </c>
      <c r="AF56" s="104" t="e">
        <v>#VALUE!</v>
      </c>
      <c r="AG56" s="104" t="e">
        <v>#VALUE!</v>
      </c>
      <c r="AH56" s="104" t="e">
        <v>#VALUE!</v>
      </c>
      <c r="AI56" s="104" t="e">
        <v>#VALUE!</v>
      </c>
      <c r="AJ56" s="104" t="e">
        <v>#VALUE!</v>
      </c>
      <c r="AK56" s="104" t="e">
        <v>#VALUE!</v>
      </c>
      <c r="AL56" s="104" t="e">
        <v>#VALUE!</v>
      </c>
      <c r="AM56" s="104" t="e">
        <v>#VALUE!</v>
      </c>
      <c r="AN56" s="104" t="e">
        <v>#NAME?</v>
      </c>
      <c r="AO56" s="78"/>
      <c r="AP56" s="113" t="s">
        <v>165</v>
      </c>
      <c r="AQ56" s="104">
        <v>0</v>
      </c>
      <c r="AR56" s="104">
        <v>0</v>
      </c>
      <c r="AS56" s="104">
        <v>0</v>
      </c>
      <c r="AT56" s="104">
        <v>0</v>
      </c>
      <c r="AU56" s="104">
        <v>0</v>
      </c>
      <c r="AV56" s="78"/>
      <c r="AW56" s="78"/>
      <c r="AX56" s="120" t="s">
        <v>140</v>
      </c>
      <c r="AY56" s="112"/>
      <c r="AZ56" s="112"/>
      <c r="BA56" s="112"/>
      <c r="BB56" s="112"/>
      <c r="BC56" s="112"/>
      <c r="BD56" s="112"/>
      <c r="BE56" s="112"/>
      <c r="BF56" s="112"/>
      <c r="BG56" s="112"/>
      <c r="BH56" s="112"/>
      <c r="BI56" s="112"/>
      <c r="BJ56" s="112"/>
      <c r="BK56" s="112"/>
      <c r="BL56" s="112"/>
      <c r="BM56" s="112"/>
      <c r="BN56" s="112"/>
      <c r="BO56" s="112"/>
      <c r="BP56" s="112"/>
      <c r="BQ56" s="112"/>
      <c r="BR56" s="112"/>
      <c r="BS56" s="112"/>
      <c r="BT56" s="112"/>
      <c r="BU56" s="112"/>
      <c r="BV56" s="112"/>
      <c r="BW56" s="112"/>
      <c r="BX56" s="112"/>
      <c r="BY56" s="112"/>
      <c r="BZ56" s="112"/>
      <c r="CA56" s="112"/>
      <c r="CB56" s="112"/>
      <c r="CC56" s="112"/>
      <c r="CD56" s="112"/>
      <c r="CE56" s="112"/>
      <c r="CF56" s="112"/>
      <c r="CG56" s="112"/>
      <c r="CH56" s="112"/>
      <c r="CI56" s="83"/>
      <c r="CK56" s="120" t="s">
        <v>140</v>
      </c>
      <c r="CL56" s="112"/>
      <c r="CM56" s="112"/>
      <c r="CN56" s="112"/>
      <c r="CO56" s="112"/>
      <c r="CP56" s="112"/>
      <c r="CQ56" s="83"/>
      <c r="CS56" s="123" t="s">
        <v>140</v>
      </c>
      <c r="CT56" s="112"/>
      <c r="CU56" s="112"/>
      <c r="CV56" s="112"/>
      <c r="CW56" s="112"/>
      <c r="CX56" s="112"/>
      <c r="CY56" s="112"/>
      <c r="CZ56" s="112"/>
      <c r="DA56" s="112"/>
      <c r="DB56" s="112"/>
      <c r="DC56" s="112"/>
      <c r="DD56" s="112"/>
      <c r="DE56" s="112"/>
      <c r="DF56" s="112"/>
      <c r="DG56" s="112"/>
      <c r="DH56" s="112"/>
      <c r="DI56" s="112"/>
      <c r="DJ56" s="112"/>
      <c r="DK56" s="112"/>
      <c r="DL56" s="112"/>
      <c r="DM56" s="112"/>
      <c r="DN56" s="112"/>
      <c r="DO56" s="112"/>
      <c r="DP56" s="112"/>
      <c r="DQ56" s="112"/>
      <c r="DR56" s="112"/>
      <c r="DS56" s="112"/>
      <c r="DT56" s="112"/>
      <c r="DU56" s="112"/>
      <c r="DV56" s="112"/>
      <c r="DW56" s="112"/>
      <c r="DX56" s="112"/>
      <c r="DY56" s="112"/>
      <c r="DZ56" s="112"/>
      <c r="EA56" s="112"/>
      <c r="EB56" s="112"/>
      <c r="EC56" s="112"/>
      <c r="EE56" s="123" t="s">
        <v>140</v>
      </c>
      <c r="EF56" s="112"/>
      <c r="EG56" s="112"/>
      <c r="EH56" s="112"/>
      <c r="EI56" s="112"/>
      <c r="EJ56" s="112"/>
      <c r="GG56" s="120" t="s">
        <v>70</v>
      </c>
      <c r="GH56" s="11" t="e">
        <v>#NAME?</v>
      </c>
      <c r="GI56" s="11" t="e">
        <v>#NAME?</v>
      </c>
      <c r="GJ56" s="11" t="e">
        <v>#NAME?</v>
      </c>
      <c r="GK56" s="11" t="e">
        <v>#NAME?</v>
      </c>
      <c r="GL56" s="11" t="e">
        <v>#NAME?</v>
      </c>
      <c r="GM56" s="11" t="e">
        <v>#NAME?</v>
      </c>
      <c r="GN56" s="11" t="e">
        <v>#NAME?</v>
      </c>
      <c r="GO56" s="11" t="e">
        <v>#NAME?</v>
      </c>
      <c r="GP56" s="11" t="e">
        <v>#NAME?</v>
      </c>
      <c r="GQ56" s="11" t="e">
        <v>#NAME?</v>
      </c>
      <c r="GR56" s="11" t="e">
        <v>#NAME?</v>
      </c>
      <c r="GS56" s="11" t="e">
        <v>#NAME?</v>
      </c>
      <c r="GT56" s="11" t="e">
        <v>#NAME?</v>
      </c>
      <c r="GU56" s="11" t="e">
        <v>#NAME?</v>
      </c>
      <c r="GV56" s="11" t="e">
        <v>#NAME?</v>
      </c>
      <c r="GW56" s="11" t="e">
        <v>#NAME?</v>
      </c>
      <c r="GX56" s="11" t="e">
        <v>#NAME?</v>
      </c>
      <c r="GY56" s="11" t="e">
        <v>#NAME?</v>
      </c>
      <c r="GZ56" s="11" t="e">
        <v>#NAME?</v>
      </c>
      <c r="HA56" s="11" t="e">
        <v>#NAME?</v>
      </c>
      <c r="HB56" s="11" t="e">
        <v>#NAME?</v>
      </c>
      <c r="HC56" s="11" t="e">
        <v>#NAME?</v>
      </c>
      <c r="HD56" s="11" t="e">
        <v>#NAME?</v>
      </c>
      <c r="HE56" s="11" t="e">
        <v>#NAME?</v>
      </c>
      <c r="HF56" s="11" t="e">
        <v>#NAME?</v>
      </c>
      <c r="HG56" s="11" t="e">
        <v>#NAME?</v>
      </c>
      <c r="HH56" s="11" t="e">
        <v>#NAME?</v>
      </c>
      <c r="HI56" s="11" t="e">
        <v>#NAME?</v>
      </c>
      <c r="HJ56" s="11" t="e">
        <v>#NAME?</v>
      </c>
      <c r="HK56" s="11" t="e">
        <v>#NAME?</v>
      </c>
      <c r="HL56" s="11" t="e">
        <v>#NAME?</v>
      </c>
      <c r="HM56" s="11" t="e">
        <v>#NAME?</v>
      </c>
      <c r="HN56" s="11" t="e">
        <v>#NAME?</v>
      </c>
      <c r="HO56" s="11" t="e">
        <v>#NAME?</v>
      </c>
      <c r="HP56" s="11" t="e">
        <v>#NAME?</v>
      </c>
      <c r="HQ56" s="11" t="e">
        <v>#NAME?</v>
      </c>
      <c r="HT56" s="120" t="s">
        <v>70</v>
      </c>
      <c r="HU56" s="11">
        <v>0</v>
      </c>
      <c r="HV56" s="11">
        <v>0</v>
      </c>
      <c r="HW56" s="11">
        <v>0</v>
      </c>
      <c r="HX56" s="11">
        <v>0</v>
      </c>
      <c r="HY56" s="11">
        <v>0</v>
      </c>
    </row>
    <row r="57" spans="1:233" ht="15.75">
      <c r="A57" t="s">
        <v>140</v>
      </c>
      <c r="B57">
        <v>0</v>
      </c>
      <c r="D57" s="103" t="s">
        <v>166</v>
      </c>
      <c r="E57" s="96" t="e">
        <v>#VALUE!</v>
      </c>
      <c r="F57" s="96" t="e">
        <v>#VALUE!</v>
      </c>
      <c r="G57" s="96" t="e">
        <v>#VALUE!</v>
      </c>
      <c r="H57" s="96" t="e">
        <v>#VALUE!</v>
      </c>
      <c r="I57" s="96" t="e">
        <v>#VALUE!</v>
      </c>
      <c r="J57" s="96" t="e">
        <v>#VALUE!</v>
      </c>
      <c r="K57" s="96" t="e">
        <v>#VALUE!</v>
      </c>
      <c r="L57" s="96" t="e">
        <v>#VALUE!</v>
      </c>
      <c r="M57" s="96" t="e">
        <v>#VALUE!</v>
      </c>
      <c r="N57" s="96" t="e">
        <v>#VALUE!</v>
      </c>
      <c r="O57" s="96" t="e">
        <v>#VALUE!</v>
      </c>
      <c r="P57" s="96" t="e">
        <v>#VALUE!</v>
      </c>
      <c r="Q57" s="96" t="e">
        <v>#VALUE!</v>
      </c>
      <c r="R57" s="96" t="e">
        <v>#VALUE!</v>
      </c>
      <c r="S57" s="96" t="e">
        <v>#VALUE!</v>
      </c>
      <c r="T57" s="96" t="e">
        <v>#VALUE!</v>
      </c>
      <c r="U57" s="96" t="e">
        <v>#VALUE!</v>
      </c>
      <c r="V57" s="96" t="e">
        <v>#VALUE!</v>
      </c>
      <c r="W57" s="96" t="e">
        <v>#VALUE!</v>
      </c>
      <c r="X57" s="96" t="e">
        <v>#VALUE!</v>
      </c>
      <c r="Y57" s="96" t="e">
        <v>#VALUE!</v>
      </c>
      <c r="Z57" s="96" t="e">
        <v>#VALUE!</v>
      </c>
      <c r="AA57" s="96" t="e">
        <v>#VALUE!</v>
      </c>
      <c r="AB57" s="96" t="e">
        <v>#VALUE!</v>
      </c>
      <c r="AC57" s="96" t="e">
        <v>#VALUE!</v>
      </c>
      <c r="AD57" s="96" t="e">
        <v>#VALUE!</v>
      </c>
      <c r="AE57" s="96" t="e">
        <v>#VALUE!</v>
      </c>
      <c r="AF57" s="96" t="e">
        <v>#VALUE!</v>
      </c>
      <c r="AG57" s="96" t="e">
        <v>#VALUE!</v>
      </c>
      <c r="AH57" s="96" t="e">
        <v>#VALUE!</v>
      </c>
      <c r="AI57" s="96" t="e">
        <v>#VALUE!</v>
      </c>
      <c r="AJ57" s="96" t="e">
        <v>#VALUE!</v>
      </c>
      <c r="AK57" s="96" t="e">
        <v>#VALUE!</v>
      </c>
      <c r="AL57" s="96" t="e">
        <v>#VALUE!</v>
      </c>
      <c r="AM57" s="96" t="e">
        <v>#VALUE!</v>
      </c>
      <c r="AN57" s="96" t="e">
        <v>#NAME?</v>
      </c>
      <c r="AO57" s="78"/>
      <c r="AP57" s="103" t="s">
        <v>166</v>
      </c>
      <c r="AQ57" s="96">
        <v>0</v>
      </c>
      <c r="AR57" s="96">
        <v>0</v>
      </c>
      <c r="AS57" s="96">
        <v>0</v>
      </c>
      <c r="AT57" s="96">
        <v>0</v>
      </c>
      <c r="AU57" s="96">
        <v>0</v>
      </c>
      <c r="AV57" s="78"/>
      <c r="AW57" s="78">
        <v>0</v>
      </c>
      <c r="AX57" s="120" t="s">
        <v>167</v>
      </c>
      <c r="AY57" s="104" t="e">
        <v>#NAME?</v>
      </c>
      <c r="AZ57" s="104" t="e">
        <v>#NAME?</v>
      </c>
      <c r="BA57" s="104" t="e">
        <v>#NAME?</v>
      </c>
      <c r="BB57" s="104" t="e">
        <v>#NAME?</v>
      </c>
      <c r="BC57" s="104" t="e">
        <v>#NAME?</v>
      </c>
      <c r="BD57" s="104" t="e">
        <v>#NAME?</v>
      </c>
      <c r="BE57" s="104" t="e">
        <v>#NAME?</v>
      </c>
      <c r="BF57" s="104" t="e">
        <v>#NAME?</v>
      </c>
      <c r="BG57" s="104" t="e">
        <v>#NAME?</v>
      </c>
      <c r="BH57" s="104" t="e">
        <v>#NAME?</v>
      </c>
      <c r="BI57" s="104" t="e">
        <v>#NAME?</v>
      </c>
      <c r="BJ57" s="104" t="e">
        <v>#NAME?</v>
      </c>
      <c r="BK57" s="104" t="e">
        <v>#NAME?</v>
      </c>
      <c r="BL57" s="104" t="e">
        <v>#NAME?</v>
      </c>
      <c r="BM57" s="104" t="e">
        <v>#NAME?</v>
      </c>
      <c r="BN57" s="104" t="e">
        <v>#NAME?</v>
      </c>
      <c r="BO57" s="104" t="e">
        <v>#NAME?</v>
      </c>
      <c r="BP57" s="104" t="e">
        <v>#NAME?</v>
      </c>
      <c r="BQ57" s="104" t="e">
        <v>#NAME?</v>
      </c>
      <c r="BR57" s="104" t="e">
        <v>#NAME?</v>
      </c>
      <c r="BS57" s="104" t="e">
        <v>#NAME?</v>
      </c>
      <c r="BT57" s="104" t="e">
        <v>#NAME?</v>
      </c>
      <c r="BU57" s="104" t="e">
        <v>#NAME?</v>
      </c>
      <c r="BV57" s="104" t="e">
        <v>#NAME?</v>
      </c>
      <c r="BW57" s="104" t="e">
        <v>#NAME?</v>
      </c>
      <c r="BX57" s="104" t="e">
        <v>#NAME?</v>
      </c>
      <c r="BY57" s="104" t="e">
        <v>#NAME?</v>
      </c>
      <c r="BZ57" s="104" t="e">
        <v>#NAME?</v>
      </c>
      <c r="CA57" s="104" t="e">
        <v>#NAME?</v>
      </c>
      <c r="CB57" s="104" t="e">
        <v>#NAME?</v>
      </c>
      <c r="CC57" s="104" t="e">
        <v>#NAME?</v>
      </c>
      <c r="CD57" s="104" t="e">
        <v>#NAME?</v>
      </c>
      <c r="CE57" s="104" t="e">
        <v>#NAME?</v>
      </c>
      <c r="CF57" s="104" t="e">
        <v>#NAME?</v>
      </c>
      <c r="CG57" s="104" t="e">
        <v>#NAME?</v>
      </c>
      <c r="CH57" s="104" t="e">
        <v>#NAME?</v>
      </c>
      <c r="CI57" s="83"/>
      <c r="CK57" s="120" t="s">
        <v>167</v>
      </c>
      <c r="CL57" s="104">
        <v>0</v>
      </c>
      <c r="CM57" s="104">
        <v>0</v>
      </c>
      <c r="CN57" s="104">
        <v>0</v>
      </c>
      <c r="CO57" s="104">
        <v>0</v>
      </c>
      <c r="CP57" s="104">
        <v>0</v>
      </c>
      <c r="CQ57" s="83"/>
      <c r="CS57" s="124" t="s">
        <v>168</v>
      </c>
      <c r="CT57" s="116" t="e">
        <v>#NAME?</v>
      </c>
      <c r="CU57" s="116" t="e">
        <v>#NAME?</v>
      </c>
      <c r="CV57" s="116" t="e">
        <v>#NAME?</v>
      </c>
      <c r="CW57" s="116" t="e">
        <v>#NAME?</v>
      </c>
      <c r="CX57" s="116" t="e">
        <v>#NAME?</v>
      </c>
      <c r="CY57" s="116" t="e">
        <v>#NAME?</v>
      </c>
      <c r="CZ57" s="116" t="e">
        <v>#NAME?</v>
      </c>
      <c r="DA57" s="116" t="e">
        <v>#NAME?</v>
      </c>
      <c r="DB57" s="116" t="e">
        <v>#NAME?</v>
      </c>
      <c r="DC57" s="116" t="e">
        <v>#NAME?</v>
      </c>
      <c r="DD57" s="116" t="e">
        <v>#NAME?</v>
      </c>
      <c r="DE57" s="116" t="e">
        <v>#NAME?</v>
      </c>
      <c r="DF57" s="116" t="e">
        <v>#NAME?</v>
      </c>
      <c r="DG57" s="116" t="e">
        <v>#NAME?</v>
      </c>
      <c r="DH57" s="116" t="e">
        <v>#NAME?</v>
      </c>
      <c r="DI57" s="116" t="e">
        <v>#NAME?</v>
      </c>
      <c r="DJ57" s="116" t="e">
        <v>#NAME?</v>
      </c>
      <c r="DK57" s="116" t="e">
        <v>#NAME?</v>
      </c>
      <c r="DL57" s="116" t="e">
        <v>#NAME?</v>
      </c>
      <c r="DM57" s="116" t="e">
        <v>#NAME?</v>
      </c>
      <c r="DN57" s="116" t="e">
        <v>#NAME?</v>
      </c>
      <c r="DO57" s="116" t="e">
        <v>#NAME?</v>
      </c>
      <c r="DP57" s="116" t="e">
        <v>#NAME?</v>
      </c>
      <c r="DQ57" s="116" t="e">
        <v>#NAME?</v>
      </c>
      <c r="DR57" s="116" t="e">
        <v>#NAME?</v>
      </c>
      <c r="DS57" s="116" t="e">
        <v>#NAME?</v>
      </c>
      <c r="DT57" s="116" t="e">
        <v>#NAME?</v>
      </c>
      <c r="DU57" s="116" t="e">
        <v>#NAME?</v>
      </c>
      <c r="DV57" s="116" t="e">
        <v>#NAME?</v>
      </c>
      <c r="DW57" s="116" t="e">
        <v>#NAME?</v>
      </c>
      <c r="DX57" s="116" t="e">
        <v>#NAME?</v>
      </c>
      <c r="DY57" s="116" t="e">
        <v>#NAME?</v>
      </c>
      <c r="DZ57" s="116" t="e">
        <v>#NAME?</v>
      </c>
      <c r="EA57" s="116" t="e">
        <v>#NAME?</v>
      </c>
      <c r="EB57" s="116" t="e">
        <v>#NAME?</v>
      </c>
      <c r="EC57" s="116" t="e">
        <v>#NAME?</v>
      </c>
      <c r="EE57" s="124" t="s">
        <v>168</v>
      </c>
      <c r="EF57" s="116">
        <v>0</v>
      </c>
      <c r="EG57" s="116">
        <v>0</v>
      </c>
      <c r="EH57" s="116">
        <v>0</v>
      </c>
      <c r="EI57" s="116">
        <v>0</v>
      </c>
      <c r="EJ57" s="116">
        <v>0</v>
      </c>
      <c r="GG57" s="120" t="s">
        <v>525</v>
      </c>
      <c r="GH57" s="758" t="e">
        <v>#NAME?</v>
      </c>
      <c r="GI57" s="758" t="e">
        <v>#NAME?</v>
      </c>
      <c r="GJ57" s="758" t="e">
        <v>#NAME?</v>
      </c>
      <c r="GK57" s="758" t="e">
        <v>#NAME?</v>
      </c>
      <c r="GL57" s="758" t="e">
        <v>#NAME?</v>
      </c>
      <c r="GM57" s="758" t="e">
        <v>#NAME?</v>
      </c>
      <c r="GN57" s="758" t="e">
        <v>#NAME?</v>
      </c>
      <c r="GO57" s="758" t="e">
        <v>#NAME?</v>
      </c>
      <c r="GP57" s="758" t="e">
        <v>#NAME?</v>
      </c>
      <c r="GQ57" s="758" t="e">
        <v>#NAME?</v>
      </c>
      <c r="GR57" s="758" t="e">
        <v>#NAME?</v>
      </c>
      <c r="GS57" s="758" t="e">
        <v>#NAME?</v>
      </c>
      <c r="GT57" s="758" t="e">
        <v>#NAME?</v>
      </c>
      <c r="GU57" s="758" t="e">
        <v>#NAME?</v>
      </c>
      <c r="GV57" s="758" t="e">
        <v>#NAME?</v>
      </c>
      <c r="GW57" s="758" t="e">
        <v>#NAME?</v>
      </c>
      <c r="GX57" s="758" t="e">
        <v>#NAME?</v>
      </c>
      <c r="GY57" s="758" t="e">
        <v>#NAME?</v>
      </c>
      <c r="GZ57" s="758" t="e">
        <v>#NAME?</v>
      </c>
      <c r="HA57" s="758" t="e">
        <v>#NAME?</v>
      </c>
      <c r="HB57" s="758" t="e">
        <v>#NAME?</v>
      </c>
      <c r="HC57" s="758" t="e">
        <v>#NAME?</v>
      </c>
      <c r="HD57" s="758" t="e">
        <v>#NAME?</v>
      </c>
      <c r="HE57" s="758" t="e">
        <v>#NAME?</v>
      </c>
      <c r="HF57" s="758" t="e">
        <v>#NAME?</v>
      </c>
      <c r="HG57" s="758" t="e">
        <v>#NAME?</v>
      </c>
      <c r="HH57" s="758" t="e">
        <v>#NAME?</v>
      </c>
      <c r="HI57" s="758" t="e">
        <v>#NAME?</v>
      </c>
      <c r="HJ57" s="758" t="e">
        <v>#NAME?</v>
      </c>
      <c r="HK57" s="758" t="e">
        <v>#NAME?</v>
      </c>
      <c r="HL57" s="758" t="e">
        <v>#NAME?</v>
      </c>
      <c r="HM57" s="758" t="e">
        <v>#NAME?</v>
      </c>
      <c r="HN57" s="758" t="e">
        <v>#NAME?</v>
      </c>
      <c r="HO57" s="758" t="e">
        <v>#NAME?</v>
      </c>
      <c r="HP57" s="758" t="e">
        <v>#NAME?</v>
      </c>
      <c r="HQ57" s="758" t="e">
        <v>#NAME?</v>
      </c>
      <c r="HT57" s="120" t="s">
        <v>525</v>
      </c>
      <c r="HU57" s="758">
        <v>0</v>
      </c>
      <c r="HV57" s="758">
        <v>0</v>
      </c>
      <c r="HW57" s="758">
        <v>0</v>
      </c>
      <c r="HX57" s="758">
        <v>0</v>
      </c>
      <c r="HY57" s="758">
        <v>0</v>
      </c>
    </row>
    <row r="58" spans="1:233" ht="15.75">
      <c r="A58" t="s">
        <v>140</v>
      </c>
      <c r="B58">
        <v>0</v>
      </c>
      <c r="D58" s="103" t="s">
        <v>140</v>
      </c>
      <c r="E58" s="121"/>
      <c r="F58" s="121"/>
      <c r="G58" s="121"/>
      <c r="H58" s="121"/>
      <c r="I58" s="121"/>
      <c r="J58" s="121"/>
      <c r="K58" s="121"/>
      <c r="L58" s="121"/>
      <c r="M58" s="121"/>
      <c r="N58" s="121"/>
      <c r="O58" s="121"/>
      <c r="P58" s="121"/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  <c r="AN58" s="121"/>
      <c r="AO58" s="78"/>
      <c r="AP58" s="103" t="s">
        <v>140</v>
      </c>
      <c r="AQ58" s="121"/>
      <c r="AR58" s="121"/>
      <c r="AS58" s="121"/>
      <c r="AT58" s="121"/>
      <c r="AU58" s="121"/>
      <c r="AV58" s="78"/>
      <c r="AW58" s="78">
        <v>0</v>
      </c>
      <c r="AX58" s="120" t="s">
        <v>169</v>
      </c>
      <c r="AY58" s="104" t="e">
        <v>#NAME?</v>
      </c>
      <c r="AZ58" s="104" t="e">
        <v>#NAME?</v>
      </c>
      <c r="BA58" s="104" t="e">
        <v>#NAME?</v>
      </c>
      <c r="BB58" s="104" t="e">
        <v>#NAME?</v>
      </c>
      <c r="BC58" s="104" t="e">
        <v>#NAME?</v>
      </c>
      <c r="BD58" s="104" t="e">
        <v>#NAME?</v>
      </c>
      <c r="BE58" s="104" t="e">
        <v>#NAME?</v>
      </c>
      <c r="BF58" s="104" t="e">
        <v>#NAME?</v>
      </c>
      <c r="BG58" s="104" t="e">
        <v>#NAME?</v>
      </c>
      <c r="BH58" s="104" t="e">
        <v>#NAME?</v>
      </c>
      <c r="BI58" s="104" t="e">
        <v>#NAME?</v>
      </c>
      <c r="BJ58" s="104" t="e">
        <v>#NAME?</v>
      </c>
      <c r="BK58" s="104" t="e">
        <v>#NAME?</v>
      </c>
      <c r="BL58" s="104" t="e">
        <v>#NAME?</v>
      </c>
      <c r="BM58" s="104" t="e">
        <v>#NAME?</v>
      </c>
      <c r="BN58" s="104" t="e">
        <v>#NAME?</v>
      </c>
      <c r="BO58" s="104" t="e">
        <v>#NAME?</v>
      </c>
      <c r="BP58" s="104" t="e">
        <v>#NAME?</v>
      </c>
      <c r="BQ58" s="104" t="e">
        <v>#NAME?</v>
      </c>
      <c r="BR58" s="104" t="e">
        <v>#NAME?</v>
      </c>
      <c r="BS58" s="104" t="e">
        <v>#NAME?</v>
      </c>
      <c r="BT58" s="104" t="e">
        <v>#NAME?</v>
      </c>
      <c r="BU58" s="104" t="e">
        <v>#NAME?</v>
      </c>
      <c r="BV58" s="104" t="e">
        <v>#NAME?</v>
      </c>
      <c r="BW58" s="104" t="e">
        <v>#NAME?</v>
      </c>
      <c r="BX58" s="104" t="e">
        <v>#NAME?</v>
      </c>
      <c r="BY58" s="104" t="e">
        <v>#NAME?</v>
      </c>
      <c r="BZ58" s="104" t="e">
        <v>#NAME?</v>
      </c>
      <c r="CA58" s="104" t="e">
        <v>#NAME?</v>
      </c>
      <c r="CB58" s="104" t="e">
        <v>#NAME?</v>
      </c>
      <c r="CC58" s="104" t="e">
        <v>#NAME?</v>
      </c>
      <c r="CD58" s="104" t="e">
        <v>#NAME?</v>
      </c>
      <c r="CE58" s="104" t="e">
        <v>#NAME?</v>
      </c>
      <c r="CF58" s="104" t="e">
        <v>#NAME?</v>
      </c>
      <c r="CG58" s="104" t="e">
        <v>#NAME?</v>
      </c>
      <c r="CH58" s="104" t="e">
        <v>#NAME?</v>
      </c>
      <c r="CI58" s="83"/>
      <c r="CK58" s="120" t="s">
        <v>169</v>
      </c>
      <c r="CL58" s="104">
        <v>0</v>
      </c>
      <c r="CM58" s="104">
        <v>0</v>
      </c>
      <c r="CN58" s="104">
        <v>0</v>
      </c>
      <c r="CO58" s="104">
        <v>0</v>
      </c>
      <c r="CP58" s="104">
        <v>0</v>
      </c>
      <c r="CQ58" s="83"/>
      <c r="CS58" s="125" t="s">
        <v>170</v>
      </c>
      <c r="CT58" s="104" t="e">
        <v>#NAME?</v>
      </c>
      <c r="CU58" s="104" t="e">
        <v>#NAME?</v>
      </c>
      <c r="CV58" s="104" t="e">
        <v>#NAME?</v>
      </c>
      <c r="CW58" s="104" t="e">
        <v>#NAME?</v>
      </c>
      <c r="CX58" s="104" t="e">
        <v>#NAME?</v>
      </c>
      <c r="CY58" s="104" t="e">
        <v>#NAME?</v>
      </c>
      <c r="CZ58" s="104" t="e">
        <v>#NAME?</v>
      </c>
      <c r="DA58" s="104" t="e">
        <v>#NAME?</v>
      </c>
      <c r="DB58" s="104" t="e">
        <v>#NAME?</v>
      </c>
      <c r="DC58" s="104" t="e">
        <v>#NAME?</v>
      </c>
      <c r="DD58" s="104" t="e">
        <v>#NAME?</v>
      </c>
      <c r="DE58" s="104" t="e">
        <v>#NAME?</v>
      </c>
      <c r="DF58" s="104" t="e">
        <v>#NAME?</v>
      </c>
      <c r="DG58" s="104" t="e">
        <v>#NAME?</v>
      </c>
      <c r="DH58" s="104" t="e">
        <v>#NAME?</v>
      </c>
      <c r="DI58" s="104" t="e">
        <v>#NAME?</v>
      </c>
      <c r="DJ58" s="104" t="e">
        <v>#NAME?</v>
      </c>
      <c r="DK58" s="104" t="e">
        <v>#NAME?</v>
      </c>
      <c r="DL58" s="104" t="e">
        <v>#NAME?</v>
      </c>
      <c r="DM58" s="104" t="e">
        <v>#NAME?</v>
      </c>
      <c r="DN58" s="104" t="e">
        <v>#NAME?</v>
      </c>
      <c r="DO58" s="104" t="e">
        <v>#NAME?</v>
      </c>
      <c r="DP58" s="104" t="e">
        <v>#NAME?</v>
      </c>
      <c r="DQ58" s="104" t="e">
        <v>#NAME?</v>
      </c>
      <c r="DR58" s="104" t="e">
        <v>#NAME?</v>
      </c>
      <c r="DS58" s="104" t="e">
        <v>#NAME?</v>
      </c>
      <c r="DT58" s="104" t="e">
        <v>#NAME?</v>
      </c>
      <c r="DU58" s="104" t="e">
        <v>#NAME?</v>
      </c>
      <c r="DV58" s="104" t="e">
        <v>#NAME?</v>
      </c>
      <c r="DW58" s="104" t="e">
        <v>#NAME?</v>
      </c>
      <c r="DX58" s="104" t="e">
        <v>#NAME?</v>
      </c>
      <c r="DY58" s="104" t="e">
        <v>#NAME?</v>
      </c>
      <c r="DZ58" s="104" t="e">
        <v>#NAME?</v>
      </c>
      <c r="EA58" s="104" t="e">
        <v>#NAME?</v>
      </c>
      <c r="EB58" s="104" t="e">
        <v>#NAME?</v>
      </c>
      <c r="EC58" s="104" t="e">
        <v>#NAME?</v>
      </c>
      <c r="EE58" s="125" t="s">
        <v>170</v>
      </c>
      <c r="EF58" s="104">
        <v>0</v>
      </c>
      <c r="EG58" s="104">
        <v>0</v>
      </c>
      <c r="EH58" s="104">
        <v>0</v>
      </c>
      <c r="EI58" s="104">
        <v>0</v>
      </c>
      <c r="EJ58" s="104">
        <v>0</v>
      </c>
      <c r="GG58" s="120" t="s">
        <v>522</v>
      </c>
      <c r="GH58" s="758" t="e">
        <v>#NAME?</v>
      </c>
      <c r="GI58" s="758" t="e">
        <v>#NAME?</v>
      </c>
      <c r="GJ58" s="758" t="e">
        <v>#NAME?</v>
      </c>
      <c r="GK58" s="758" t="e">
        <v>#NAME?</v>
      </c>
      <c r="GL58" s="758" t="e">
        <v>#NAME?</v>
      </c>
      <c r="GM58" s="758" t="e">
        <v>#NAME?</v>
      </c>
      <c r="GN58" s="758" t="e">
        <v>#NAME?</v>
      </c>
      <c r="GO58" s="758" t="e">
        <v>#NAME?</v>
      </c>
      <c r="GP58" s="758" t="e">
        <v>#NAME?</v>
      </c>
      <c r="GQ58" s="758" t="e">
        <v>#NAME?</v>
      </c>
      <c r="GR58" s="758" t="e">
        <v>#NAME?</v>
      </c>
      <c r="GS58" s="758" t="e">
        <v>#NAME?</v>
      </c>
      <c r="GT58" s="758" t="e">
        <v>#NAME?</v>
      </c>
      <c r="GU58" s="758" t="e">
        <v>#NAME?</v>
      </c>
      <c r="GV58" s="758" t="e">
        <v>#NAME?</v>
      </c>
      <c r="GW58" s="758" t="e">
        <v>#NAME?</v>
      </c>
      <c r="GX58" s="758" t="e">
        <v>#NAME?</v>
      </c>
      <c r="GY58" s="758" t="e">
        <v>#NAME?</v>
      </c>
      <c r="GZ58" s="758" t="e">
        <v>#NAME?</v>
      </c>
      <c r="HA58" s="758" t="e">
        <v>#NAME?</v>
      </c>
      <c r="HB58" s="758" t="e">
        <v>#NAME?</v>
      </c>
      <c r="HC58" s="758" t="e">
        <v>#NAME?</v>
      </c>
      <c r="HD58" s="758" t="e">
        <v>#NAME?</v>
      </c>
      <c r="HE58" s="758" t="e">
        <v>#NAME?</v>
      </c>
      <c r="HF58" s="758" t="e">
        <v>#NAME?</v>
      </c>
      <c r="HG58" s="758" t="e">
        <v>#NAME?</v>
      </c>
      <c r="HH58" s="758" t="e">
        <v>#NAME?</v>
      </c>
      <c r="HI58" s="758" t="e">
        <v>#NAME?</v>
      </c>
      <c r="HJ58" s="758" t="e">
        <v>#NAME?</v>
      </c>
      <c r="HK58" s="758" t="e">
        <v>#NAME?</v>
      </c>
      <c r="HL58" s="758" t="e">
        <v>#NAME?</v>
      </c>
      <c r="HM58" s="758" t="e">
        <v>#NAME?</v>
      </c>
      <c r="HN58" s="758" t="e">
        <v>#NAME?</v>
      </c>
      <c r="HO58" s="758" t="e">
        <v>#NAME?</v>
      </c>
      <c r="HP58" s="758" t="e">
        <v>#NAME?</v>
      </c>
      <c r="HQ58" s="758" t="e">
        <v>#NAME?</v>
      </c>
      <c r="HT58" s="120" t="s">
        <v>522</v>
      </c>
      <c r="HU58" s="758">
        <v>0</v>
      </c>
      <c r="HV58" s="758">
        <v>0</v>
      </c>
      <c r="HW58" s="758">
        <v>0</v>
      </c>
      <c r="HX58" s="758">
        <v>0</v>
      </c>
      <c r="HY58" s="758">
        <v>0</v>
      </c>
    </row>
    <row r="59" spans="1:233" ht="15.75">
      <c r="A59" t="s">
        <v>140</v>
      </c>
      <c r="B59">
        <v>0</v>
      </c>
      <c r="D59" s="103" t="s">
        <v>171</v>
      </c>
      <c r="E59" s="104" t="e">
        <v>#VALUE!</v>
      </c>
      <c r="F59" s="104" t="e">
        <v>#VALUE!</v>
      </c>
      <c r="G59" s="104" t="e">
        <v>#VALUE!</v>
      </c>
      <c r="H59" s="104" t="e">
        <v>#VALUE!</v>
      </c>
      <c r="I59" s="104" t="e">
        <v>#VALUE!</v>
      </c>
      <c r="J59" s="104" t="e">
        <v>#VALUE!</v>
      </c>
      <c r="K59" s="104" t="e">
        <v>#VALUE!</v>
      </c>
      <c r="L59" s="104" t="e">
        <v>#VALUE!</v>
      </c>
      <c r="M59" s="104" t="e">
        <v>#VALUE!</v>
      </c>
      <c r="N59" s="104" t="e">
        <v>#VALUE!</v>
      </c>
      <c r="O59" s="104" t="e">
        <v>#VALUE!</v>
      </c>
      <c r="P59" s="104" t="e">
        <v>#VALUE!</v>
      </c>
      <c r="Q59" s="104" t="e">
        <v>#VALUE!</v>
      </c>
      <c r="R59" s="104" t="e">
        <v>#VALUE!</v>
      </c>
      <c r="S59" s="104" t="e">
        <v>#VALUE!</v>
      </c>
      <c r="T59" s="104" t="e">
        <v>#VALUE!</v>
      </c>
      <c r="U59" s="104" t="e">
        <v>#VALUE!</v>
      </c>
      <c r="V59" s="104" t="e">
        <v>#VALUE!</v>
      </c>
      <c r="W59" s="104" t="e">
        <v>#VALUE!</v>
      </c>
      <c r="X59" s="104" t="e">
        <v>#VALUE!</v>
      </c>
      <c r="Y59" s="104" t="e">
        <v>#VALUE!</v>
      </c>
      <c r="Z59" s="104" t="e">
        <v>#VALUE!</v>
      </c>
      <c r="AA59" s="104" t="e">
        <v>#VALUE!</v>
      </c>
      <c r="AB59" s="104" t="e">
        <v>#VALUE!</v>
      </c>
      <c r="AC59" s="104" t="e">
        <v>#VALUE!</v>
      </c>
      <c r="AD59" s="104" t="e">
        <v>#VALUE!</v>
      </c>
      <c r="AE59" s="104" t="e">
        <v>#VALUE!</v>
      </c>
      <c r="AF59" s="104" t="e">
        <v>#VALUE!</v>
      </c>
      <c r="AG59" s="104" t="e">
        <v>#VALUE!</v>
      </c>
      <c r="AH59" s="104" t="e">
        <v>#VALUE!</v>
      </c>
      <c r="AI59" s="104" t="e">
        <v>#VALUE!</v>
      </c>
      <c r="AJ59" s="104" t="e">
        <v>#VALUE!</v>
      </c>
      <c r="AK59" s="104" t="e">
        <v>#VALUE!</v>
      </c>
      <c r="AL59" s="104" t="e">
        <v>#VALUE!</v>
      </c>
      <c r="AM59" s="104" t="e">
        <v>#VALUE!</v>
      </c>
      <c r="AN59" s="104" t="e">
        <v>#NAME?</v>
      </c>
      <c r="AO59" s="78"/>
      <c r="AP59" s="103" t="s">
        <v>171</v>
      </c>
      <c r="AQ59" s="104">
        <v>0</v>
      </c>
      <c r="AR59" s="104">
        <v>0</v>
      </c>
      <c r="AS59" s="104">
        <v>0</v>
      </c>
      <c r="AT59" s="104">
        <v>0</v>
      </c>
      <c r="AU59" s="104">
        <v>0</v>
      </c>
      <c r="AV59" s="78"/>
      <c r="AW59" s="78">
        <v>0</v>
      </c>
      <c r="AX59" s="103" t="s">
        <v>172</v>
      </c>
      <c r="AY59" s="104" t="e">
        <v>#NAME?</v>
      </c>
      <c r="AZ59" s="104" t="e">
        <v>#NAME?</v>
      </c>
      <c r="BA59" s="104" t="e">
        <v>#NAME?</v>
      </c>
      <c r="BB59" s="104" t="e">
        <v>#NAME?</v>
      </c>
      <c r="BC59" s="104" t="e">
        <v>#NAME?</v>
      </c>
      <c r="BD59" s="104" t="e">
        <v>#NAME?</v>
      </c>
      <c r="BE59" s="104" t="e">
        <v>#NAME?</v>
      </c>
      <c r="BF59" s="104" t="e">
        <v>#NAME?</v>
      </c>
      <c r="BG59" s="104" t="e">
        <v>#NAME?</v>
      </c>
      <c r="BH59" s="104" t="e">
        <v>#NAME?</v>
      </c>
      <c r="BI59" s="104" t="e">
        <v>#NAME?</v>
      </c>
      <c r="BJ59" s="104" t="e">
        <v>#NAME?</v>
      </c>
      <c r="BK59" s="104" t="e">
        <v>#NAME?</v>
      </c>
      <c r="BL59" s="104" t="e">
        <v>#NAME?</v>
      </c>
      <c r="BM59" s="104" t="e">
        <v>#NAME?</v>
      </c>
      <c r="BN59" s="104" t="e">
        <v>#NAME?</v>
      </c>
      <c r="BO59" s="104" t="e">
        <v>#NAME?</v>
      </c>
      <c r="BP59" s="104" t="e">
        <v>#NAME?</v>
      </c>
      <c r="BQ59" s="104" t="e">
        <v>#NAME?</v>
      </c>
      <c r="BR59" s="104" t="e">
        <v>#NAME?</v>
      </c>
      <c r="BS59" s="104" t="e">
        <v>#NAME?</v>
      </c>
      <c r="BT59" s="104" t="e">
        <v>#NAME?</v>
      </c>
      <c r="BU59" s="104" t="e">
        <v>#NAME?</v>
      </c>
      <c r="BV59" s="104" t="e">
        <v>#NAME?</v>
      </c>
      <c r="BW59" s="104" t="e">
        <v>#NAME?</v>
      </c>
      <c r="BX59" s="104" t="e">
        <v>#NAME?</v>
      </c>
      <c r="BY59" s="104" t="e">
        <v>#NAME?</v>
      </c>
      <c r="BZ59" s="104" t="e">
        <v>#NAME?</v>
      </c>
      <c r="CA59" s="104" t="e">
        <v>#NAME?</v>
      </c>
      <c r="CB59" s="104" t="e">
        <v>#NAME?</v>
      </c>
      <c r="CC59" s="104" t="e">
        <v>#NAME?</v>
      </c>
      <c r="CD59" s="104" t="e">
        <v>#NAME?</v>
      </c>
      <c r="CE59" s="104" t="e">
        <v>#NAME?</v>
      </c>
      <c r="CF59" s="104" t="e">
        <v>#NAME?</v>
      </c>
      <c r="CG59" s="104" t="e">
        <v>#NAME?</v>
      </c>
      <c r="CH59" s="104" t="e">
        <v>#NAME?</v>
      </c>
      <c r="CI59" s="83"/>
      <c r="CK59" s="103" t="s">
        <v>172</v>
      </c>
      <c r="CL59" s="104">
        <v>0</v>
      </c>
      <c r="CM59" s="104">
        <v>0</v>
      </c>
      <c r="CN59" s="104">
        <v>0</v>
      </c>
      <c r="CO59" s="104">
        <v>0</v>
      </c>
      <c r="CP59" s="104">
        <v>0</v>
      </c>
      <c r="CQ59" s="83"/>
      <c r="CS59" s="125" t="s">
        <v>173</v>
      </c>
      <c r="CT59" s="104" t="e">
        <v>#NAME?</v>
      </c>
      <c r="CU59" s="104" t="e">
        <v>#NAME?</v>
      </c>
      <c r="CV59" s="104" t="e">
        <v>#NAME?</v>
      </c>
      <c r="CW59" s="104" t="e">
        <v>#NAME?</v>
      </c>
      <c r="CX59" s="104" t="e">
        <v>#NAME?</v>
      </c>
      <c r="CY59" s="104" t="e">
        <v>#NAME?</v>
      </c>
      <c r="CZ59" s="104" t="e">
        <v>#NAME?</v>
      </c>
      <c r="DA59" s="104" t="e">
        <v>#NAME?</v>
      </c>
      <c r="DB59" s="104" t="e">
        <v>#NAME?</v>
      </c>
      <c r="DC59" s="104" t="e">
        <v>#NAME?</v>
      </c>
      <c r="DD59" s="104" t="e">
        <v>#NAME?</v>
      </c>
      <c r="DE59" s="104" t="e">
        <v>#NAME?</v>
      </c>
      <c r="DF59" s="104" t="e">
        <v>#NAME?</v>
      </c>
      <c r="DG59" s="104" t="e">
        <v>#NAME?</v>
      </c>
      <c r="DH59" s="104" t="e">
        <v>#NAME?</v>
      </c>
      <c r="DI59" s="104" t="e">
        <v>#NAME?</v>
      </c>
      <c r="DJ59" s="104" t="e">
        <v>#NAME?</v>
      </c>
      <c r="DK59" s="104" t="e">
        <v>#NAME?</v>
      </c>
      <c r="DL59" s="104" t="e">
        <v>#NAME?</v>
      </c>
      <c r="DM59" s="104" t="e">
        <v>#NAME?</v>
      </c>
      <c r="DN59" s="104" t="e">
        <v>#NAME?</v>
      </c>
      <c r="DO59" s="104" t="e">
        <v>#NAME?</v>
      </c>
      <c r="DP59" s="104" t="e">
        <v>#NAME?</v>
      </c>
      <c r="DQ59" s="104" t="e">
        <v>#NAME?</v>
      </c>
      <c r="DR59" s="104" t="e">
        <v>#NAME?</v>
      </c>
      <c r="DS59" s="104" t="e">
        <v>#NAME?</v>
      </c>
      <c r="DT59" s="104" t="e">
        <v>#NAME?</v>
      </c>
      <c r="DU59" s="104" t="e">
        <v>#NAME?</v>
      </c>
      <c r="DV59" s="104" t="e">
        <v>#NAME?</v>
      </c>
      <c r="DW59" s="104" t="e">
        <v>#NAME?</v>
      </c>
      <c r="DX59" s="104" t="e">
        <v>#NAME?</v>
      </c>
      <c r="DY59" s="104" t="e">
        <v>#NAME?</v>
      </c>
      <c r="DZ59" s="104" t="e">
        <v>#NAME?</v>
      </c>
      <c r="EA59" s="104" t="e">
        <v>#NAME?</v>
      </c>
      <c r="EB59" s="104" t="e">
        <v>#NAME?</v>
      </c>
      <c r="EC59" s="104" t="e">
        <v>#NAME?</v>
      </c>
      <c r="EE59" s="125" t="s">
        <v>173</v>
      </c>
      <c r="EF59" s="104">
        <v>0</v>
      </c>
      <c r="EG59" s="104">
        <v>0</v>
      </c>
      <c r="EH59" s="104">
        <v>0</v>
      </c>
      <c r="EI59" s="104">
        <v>0</v>
      </c>
      <c r="EJ59" s="104">
        <v>0</v>
      </c>
      <c r="GG59" s="120" t="s">
        <v>523</v>
      </c>
      <c r="GH59" s="758" t="e">
        <v>#NAME?</v>
      </c>
      <c r="GI59" s="758" t="e">
        <v>#NAME?</v>
      </c>
      <c r="GJ59" s="758" t="e">
        <v>#NAME?</v>
      </c>
      <c r="GK59" s="758" t="e">
        <v>#NAME?</v>
      </c>
      <c r="GL59" s="758" t="e">
        <v>#NAME?</v>
      </c>
      <c r="GM59" s="758" t="e">
        <v>#NAME?</v>
      </c>
      <c r="GN59" s="758" t="e">
        <v>#NAME?</v>
      </c>
      <c r="GO59" s="758" t="e">
        <v>#NAME?</v>
      </c>
      <c r="GP59" s="758" t="e">
        <v>#NAME?</v>
      </c>
      <c r="GQ59" s="758" t="e">
        <v>#NAME?</v>
      </c>
      <c r="GR59" s="758" t="e">
        <v>#NAME?</v>
      </c>
      <c r="GS59" s="758" t="e">
        <v>#NAME?</v>
      </c>
      <c r="GT59" s="758" t="e">
        <v>#NAME?</v>
      </c>
      <c r="GU59" s="758" t="e">
        <v>#NAME?</v>
      </c>
      <c r="GV59" s="758" t="e">
        <v>#NAME?</v>
      </c>
      <c r="GW59" s="758" t="e">
        <v>#NAME?</v>
      </c>
      <c r="GX59" s="758" t="e">
        <v>#NAME?</v>
      </c>
      <c r="GY59" s="758" t="e">
        <v>#NAME?</v>
      </c>
      <c r="GZ59" s="758" t="e">
        <v>#NAME?</v>
      </c>
      <c r="HA59" s="758" t="e">
        <v>#NAME?</v>
      </c>
      <c r="HB59" s="758" t="e">
        <v>#NAME?</v>
      </c>
      <c r="HC59" s="758" t="e">
        <v>#NAME?</v>
      </c>
      <c r="HD59" s="758" t="e">
        <v>#NAME?</v>
      </c>
      <c r="HE59" s="758" t="e">
        <v>#NAME?</v>
      </c>
      <c r="HF59" s="758" t="e">
        <v>#NAME?</v>
      </c>
      <c r="HG59" s="758" t="e">
        <v>#NAME?</v>
      </c>
      <c r="HH59" s="758" t="e">
        <v>#NAME?</v>
      </c>
      <c r="HI59" s="758" t="e">
        <v>#NAME?</v>
      </c>
      <c r="HJ59" s="758" t="e">
        <v>#NAME?</v>
      </c>
      <c r="HK59" s="758" t="e">
        <v>#NAME?</v>
      </c>
      <c r="HL59" s="758" t="e">
        <v>#NAME?</v>
      </c>
      <c r="HM59" s="758" t="e">
        <v>#NAME?</v>
      </c>
      <c r="HN59" s="758" t="e">
        <v>#NAME?</v>
      </c>
      <c r="HO59" s="758" t="e">
        <v>#NAME?</v>
      </c>
      <c r="HP59" s="758" t="e">
        <v>#NAME?</v>
      </c>
      <c r="HQ59" s="758" t="e">
        <v>#NAME?</v>
      </c>
      <c r="HT59" s="120" t="s">
        <v>523</v>
      </c>
      <c r="HU59" s="758">
        <v>0</v>
      </c>
      <c r="HV59" s="758">
        <v>0</v>
      </c>
      <c r="HW59" s="758">
        <v>0</v>
      </c>
      <c r="HX59" s="758">
        <v>0</v>
      </c>
      <c r="HY59" s="758">
        <v>0</v>
      </c>
    </row>
    <row r="60" spans="1:233" ht="15.75">
      <c r="A60" t="s">
        <v>140</v>
      </c>
      <c r="B60">
        <v>0</v>
      </c>
      <c r="D60" s="103" t="s">
        <v>174</v>
      </c>
      <c r="E60" s="104" t="e">
        <v>#VALUE!</v>
      </c>
      <c r="F60" s="104" t="e">
        <v>#VALUE!</v>
      </c>
      <c r="G60" s="104" t="e">
        <v>#VALUE!</v>
      </c>
      <c r="H60" s="104" t="e">
        <v>#VALUE!</v>
      </c>
      <c r="I60" s="104" t="e">
        <v>#VALUE!</v>
      </c>
      <c r="J60" s="104" t="e">
        <v>#VALUE!</v>
      </c>
      <c r="K60" s="104" t="e">
        <v>#VALUE!</v>
      </c>
      <c r="L60" s="104" t="e">
        <v>#VALUE!</v>
      </c>
      <c r="M60" s="104" t="e">
        <v>#VALUE!</v>
      </c>
      <c r="N60" s="104" t="e">
        <v>#VALUE!</v>
      </c>
      <c r="O60" s="104" t="e">
        <v>#VALUE!</v>
      </c>
      <c r="P60" s="104" t="e">
        <v>#VALUE!</v>
      </c>
      <c r="Q60" s="104" t="e">
        <v>#VALUE!</v>
      </c>
      <c r="R60" s="104" t="e">
        <v>#VALUE!</v>
      </c>
      <c r="S60" s="104" t="e">
        <v>#VALUE!</v>
      </c>
      <c r="T60" s="104" t="e">
        <v>#VALUE!</v>
      </c>
      <c r="U60" s="104" t="e">
        <v>#VALUE!</v>
      </c>
      <c r="V60" s="104" t="e">
        <v>#VALUE!</v>
      </c>
      <c r="W60" s="104" t="e">
        <v>#VALUE!</v>
      </c>
      <c r="X60" s="104" t="e">
        <v>#VALUE!</v>
      </c>
      <c r="Y60" s="104" t="e">
        <v>#VALUE!</v>
      </c>
      <c r="Z60" s="104" t="e">
        <v>#VALUE!</v>
      </c>
      <c r="AA60" s="104" t="e">
        <v>#VALUE!</v>
      </c>
      <c r="AB60" s="104" t="e">
        <v>#VALUE!</v>
      </c>
      <c r="AC60" s="104" t="e">
        <v>#VALUE!</v>
      </c>
      <c r="AD60" s="104" t="e">
        <v>#VALUE!</v>
      </c>
      <c r="AE60" s="104" t="e">
        <v>#VALUE!</v>
      </c>
      <c r="AF60" s="104" t="e">
        <v>#VALUE!</v>
      </c>
      <c r="AG60" s="104" t="e">
        <v>#VALUE!</v>
      </c>
      <c r="AH60" s="104" t="e">
        <v>#VALUE!</v>
      </c>
      <c r="AI60" s="104" t="e">
        <v>#VALUE!</v>
      </c>
      <c r="AJ60" s="104" t="e">
        <v>#VALUE!</v>
      </c>
      <c r="AK60" s="104" t="e">
        <v>#VALUE!</v>
      </c>
      <c r="AL60" s="104" t="e">
        <v>#VALUE!</v>
      </c>
      <c r="AM60" s="104" t="e">
        <v>#VALUE!</v>
      </c>
      <c r="AN60" s="104" t="e">
        <v>#NAME?</v>
      </c>
      <c r="AO60" s="78"/>
      <c r="AP60" s="103" t="s">
        <v>174</v>
      </c>
      <c r="AQ60" s="104">
        <v>0</v>
      </c>
      <c r="AR60" s="104">
        <v>0</v>
      </c>
      <c r="AS60" s="104">
        <v>0</v>
      </c>
      <c r="AT60" s="104">
        <v>0</v>
      </c>
      <c r="AU60" s="104">
        <v>0</v>
      </c>
      <c r="AV60" s="78"/>
      <c r="AW60" s="78">
        <v>0</v>
      </c>
      <c r="AX60" s="120" t="s">
        <v>175</v>
      </c>
      <c r="AY60" s="104" t="e">
        <v>#NAME?</v>
      </c>
      <c r="AZ60" s="104" t="e">
        <v>#NAME?</v>
      </c>
      <c r="BA60" s="104" t="e">
        <v>#NAME?</v>
      </c>
      <c r="BB60" s="104" t="e">
        <v>#NAME?</v>
      </c>
      <c r="BC60" s="104" t="e">
        <v>#NAME?</v>
      </c>
      <c r="BD60" s="104" t="e">
        <v>#NAME?</v>
      </c>
      <c r="BE60" s="104" t="e">
        <v>#NAME?</v>
      </c>
      <c r="BF60" s="104" t="e">
        <v>#NAME?</v>
      </c>
      <c r="BG60" s="104" t="e">
        <v>#NAME?</v>
      </c>
      <c r="BH60" s="104" t="e">
        <v>#NAME?</v>
      </c>
      <c r="BI60" s="104" t="e">
        <v>#NAME?</v>
      </c>
      <c r="BJ60" s="104" t="e">
        <v>#NAME?</v>
      </c>
      <c r="BK60" s="104" t="e">
        <v>#NAME?</v>
      </c>
      <c r="BL60" s="104" t="e">
        <v>#NAME?</v>
      </c>
      <c r="BM60" s="104" t="e">
        <v>#NAME?</v>
      </c>
      <c r="BN60" s="104" t="e">
        <v>#NAME?</v>
      </c>
      <c r="BO60" s="104" t="e">
        <v>#NAME?</v>
      </c>
      <c r="BP60" s="104" t="e">
        <v>#NAME?</v>
      </c>
      <c r="BQ60" s="104" t="e">
        <v>#NAME?</v>
      </c>
      <c r="BR60" s="104" t="e">
        <v>#NAME?</v>
      </c>
      <c r="BS60" s="104" t="e">
        <v>#NAME?</v>
      </c>
      <c r="BT60" s="104" t="e">
        <v>#NAME?</v>
      </c>
      <c r="BU60" s="104" t="e">
        <v>#NAME?</v>
      </c>
      <c r="BV60" s="104" t="e">
        <v>#NAME?</v>
      </c>
      <c r="BW60" s="104" t="e">
        <v>#NAME?</v>
      </c>
      <c r="BX60" s="104" t="e">
        <v>#NAME?</v>
      </c>
      <c r="BY60" s="104" t="e">
        <v>#NAME?</v>
      </c>
      <c r="BZ60" s="104" t="e">
        <v>#NAME?</v>
      </c>
      <c r="CA60" s="104" t="e">
        <v>#NAME?</v>
      </c>
      <c r="CB60" s="104" t="e">
        <v>#NAME?</v>
      </c>
      <c r="CC60" s="104" t="e">
        <v>#NAME?</v>
      </c>
      <c r="CD60" s="104" t="e">
        <v>#NAME?</v>
      </c>
      <c r="CE60" s="104" t="e">
        <v>#NAME?</v>
      </c>
      <c r="CF60" s="104" t="e">
        <v>#NAME?</v>
      </c>
      <c r="CG60" s="104" t="e">
        <v>#NAME?</v>
      </c>
      <c r="CH60" s="104" t="e">
        <v>#NAME?</v>
      </c>
      <c r="CI60" s="83"/>
      <c r="CK60" s="120" t="s">
        <v>175</v>
      </c>
      <c r="CL60" s="104">
        <v>0</v>
      </c>
      <c r="CM60" s="104">
        <v>0</v>
      </c>
      <c r="CN60" s="104">
        <v>0</v>
      </c>
      <c r="CO60" s="104">
        <v>0</v>
      </c>
      <c r="CP60" s="104">
        <v>0</v>
      </c>
      <c r="CQ60" s="83"/>
      <c r="CS60" s="125" t="s">
        <v>78</v>
      </c>
      <c r="CT60" s="104" t="e">
        <v>#NAME?</v>
      </c>
      <c r="CU60" s="104" t="e">
        <v>#NAME?</v>
      </c>
      <c r="CV60" s="104" t="e">
        <v>#NAME?</v>
      </c>
      <c r="CW60" s="104" t="e">
        <v>#NAME?</v>
      </c>
      <c r="CX60" s="104" t="e">
        <v>#NAME?</v>
      </c>
      <c r="CY60" s="104" t="e">
        <v>#NAME?</v>
      </c>
      <c r="CZ60" s="104" t="e">
        <v>#NAME?</v>
      </c>
      <c r="DA60" s="104" t="e">
        <v>#NAME?</v>
      </c>
      <c r="DB60" s="104" t="e">
        <v>#NAME?</v>
      </c>
      <c r="DC60" s="104" t="e">
        <v>#NAME?</v>
      </c>
      <c r="DD60" s="104" t="e">
        <v>#NAME?</v>
      </c>
      <c r="DE60" s="104" t="e">
        <v>#NAME?</v>
      </c>
      <c r="DF60" s="104" t="e">
        <v>#NAME?</v>
      </c>
      <c r="DG60" s="104" t="e">
        <v>#NAME?</v>
      </c>
      <c r="DH60" s="104" t="e">
        <v>#NAME?</v>
      </c>
      <c r="DI60" s="104" t="e">
        <v>#NAME?</v>
      </c>
      <c r="DJ60" s="104" t="e">
        <v>#NAME?</v>
      </c>
      <c r="DK60" s="104" t="e">
        <v>#NAME?</v>
      </c>
      <c r="DL60" s="104" t="e">
        <v>#NAME?</v>
      </c>
      <c r="DM60" s="104" t="e">
        <v>#NAME?</v>
      </c>
      <c r="DN60" s="104" t="e">
        <v>#NAME?</v>
      </c>
      <c r="DO60" s="104" t="e">
        <v>#NAME?</v>
      </c>
      <c r="DP60" s="104" t="e">
        <v>#NAME?</v>
      </c>
      <c r="DQ60" s="104" t="e">
        <v>#NAME?</v>
      </c>
      <c r="DR60" s="104" t="e">
        <v>#NAME?</v>
      </c>
      <c r="DS60" s="104" t="e">
        <v>#NAME?</v>
      </c>
      <c r="DT60" s="104" t="e">
        <v>#NAME?</v>
      </c>
      <c r="DU60" s="104" t="e">
        <v>#NAME?</v>
      </c>
      <c r="DV60" s="104" t="e">
        <v>#NAME?</v>
      </c>
      <c r="DW60" s="104" t="e">
        <v>#NAME?</v>
      </c>
      <c r="DX60" s="104" t="e">
        <v>#NAME?</v>
      </c>
      <c r="DY60" s="104" t="e">
        <v>#NAME?</v>
      </c>
      <c r="DZ60" s="104" t="e">
        <v>#NAME?</v>
      </c>
      <c r="EA60" s="104" t="e">
        <v>#NAME?</v>
      </c>
      <c r="EB60" s="104" t="e">
        <v>#NAME?</v>
      </c>
      <c r="EC60" s="104" t="e">
        <v>#NAME?</v>
      </c>
      <c r="EE60" s="125" t="s">
        <v>78</v>
      </c>
      <c r="EF60" s="104">
        <v>0</v>
      </c>
      <c r="EG60" s="104">
        <v>0</v>
      </c>
      <c r="EH60" s="104">
        <v>0</v>
      </c>
      <c r="EI60" s="104">
        <v>0</v>
      </c>
      <c r="EJ60" s="104">
        <v>0</v>
      </c>
      <c r="GG60" s="120" t="s">
        <v>524</v>
      </c>
      <c r="GH60" s="758" t="e">
        <v>#NAME?</v>
      </c>
      <c r="GI60" s="758" t="e">
        <v>#NAME?</v>
      </c>
      <c r="GJ60" s="758" t="e">
        <v>#NAME?</v>
      </c>
      <c r="GK60" s="758" t="e">
        <v>#NAME?</v>
      </c>
      <c r="GL60" s="758" t="e">
        <v>#NAME?</v>
      </c>
      <c r="GM60" s="758" t="e">
        <v>#NAME?</v>
      </c>
      <c r="GN60" s="758" t="e">
        <v>#NAME?</v>
      </c>
      <c r="GO60" s="758" t="e">
        <v>#NAME?</v>
      </c>
      <c r="GP60" s="758" t="e">
        <v>#NAME?</v>
      </c>
      <c r="GQ60" s="758" t="e">
        <v>#NAME?</v>
      </c>
      <c r="GR60" s="758" t="e">
        <v>#NAME?</v>
      </c>
      <c r="GS60" s="758" t="e">
        <v>#NAME?</v>
      </c>
      <c r="GT60" s="758" t="e">
        <v>#NAME?</v>
      </c>
      <c r="GU60" s="758" t="e">
        <v>#NAME?</v>
      </c>
      <c r="GV60" s="758" t="e">
        <v>#NAME?</v>
      </c>
      <c r="GW60" s="758" t="e">
        <v>#NAME?</v>
      </c>
      <c r="GX60" s="758" t="e">
        <v>#NAME?</v>
      </c>
      <c r="GY60" s="758" t="e">
        <v>#NAME?</v>
      </c>
      <c r="GZ60" s="758" t="e">
        <v>#NAME?</v>
      </c>
      <c r="HA60" s="758" t="e">
        <v>#NAME?</v>
      </c>
      <c r="HB60" s="758" t="e">
        <v>#NAME?</v>
      </c>
      <c r="HC60" s="758" t="e">
        <v>#NAME?</v>
      </c>
      <c r="HD60" s="758" t="e">
        <v>#NAME?</v>
      </c>
      <c r="HE60" s="758" t="e">
        <v>#NAME?</v>
      </c>
      <c r="HF60" s="758" t="e">
        <v>#NAME?</v>
      </c>
      <c r="HG60" s="758" t="e">
        <v>#NAME?</v>
      </c>
      <c r="HH60" s="758" t="e">
        <v>#NAME?</v>
      </c>
      <c r="HI60" s="758" t="e">
        <v>#NAME?</v>
      </c>
      <c r="HJ60" s="758" t="e">
        <v>#NAME?</v>
      </c>
      <c r="HK60" s="758" t="e">
        <v>#NAME?</v>
      </c>
      <c r="HL60" s="758" t="e">
        <v>#NAME?</v>
      </c>
      <c r="HM60" s="758" t="e">
        <v>#NAME?</v>
      </c>
      <c r="HN60" s="758" t="e">
        <v>#NAME?</v>
      </c>
      <c r="HO60" s="758" t="e">
        <v>#NAME?</v>
      </c>
      <c r="HP60" s="758" t="e">
        <v>#NAME?</v>
      </c>
      <c r="HQ60" s="758" t="e">
        <v>#NAME?</v>
      </c>
      <c r="HT60" s="120" t="s">
        <v>524</v>
      </c>
      <c r="HU60" s="758">
        <v>0</v>
      </c>
      <c r="HV60" s="758">
        <v>0</v>
      </c>
      <c r="HW60" s="758">
        <v>0</v>
      </c>
      <c r="HX60" s="758">
        <v>0</v>
      </c>
      <c r="HY60" s="758">
        <v>0</v>
      </c>
    </row>
    <row r="61" spans="1:233" ht="15.75">
      <c r="A61" t="s">
        <v>140</v>
      </c>
      <c r="B61">
        <v>0</v>
      </c>
      <c r="D61" s="95" t="s">
        <v>176</v>
      </c>
      <c r="E61" s="122" t="e">
        <v>#VALUE!</v>
      </c>
      <c r="F61" s="122" t="e">
        <v>#VALUE!</v>
      </c>
      <c r="G61" s="122" t="e">
        <v>#VALUE!</v>
      </c>
      <c r="H61" s="122" t="e">
        <v>#VALUE!</v>
      </c>
      <c r="I61" s="122" t="e">
        <v>#VALUE!</v>
      </c>
      <c r="J61" s="122" t="e">
        <v>#VALUE!</v>
      </c>
      <c r="K61" s="122" t="e">
        <v>#VALUE!</v>
      </c>
      <c r="L61" s="122" t="e">
        <v>#VALUE!</v>
      </c>
      <c r="M61" s="122" t="e">
        <v>#VALUE!</v>
      </c>
      <c r="N61" s="122" t="e">
        <v>#VALUE!</v>
      </c>
      <c r="O61" s="122" t="e">
        <v>#VALUE!</v>
      </c>
      <c r="P61" s="122" t="e">
        <v>#VALUE!</v>
      </c>
      <c r="Q61" s="122" t="e">
        <v>#VALUE!</v>
      </c>
      <c r="R61" s="122" t="e">
        <v>#VALUE!</v>
      </c>
      <c r="S61" s="122" t="e">
        <v>#VALUE!</v>
      </c>
      <c r="T61" s="122" t="e">
        <v>#VALUE!</v>
      </c>
      <c r="U61" s="122" t="e">
        <v>#VALUE!</v>
      </c>
      <c r="V61" s="122" t="e">
        <v>#VALUE!</v>
      </c>
      <c r="W61" s="122" t="e">
        <v>#VALUE!</v>
      </c>
      <c r="X61" s="122" t="e">
        <v>#VALUE!</v>
      </c>
      <c r="Y61" s="122" t="e">
        <v>#VALUE!</v>
      </c>
      <c r="Z61" s="122" t="e">
        <v>#VALUE!</v>
      </c>
      <c r="AA61" s="122" t="e">
        <v>#VALUE!</v>
      </c>
      <c r="AB61" s="122" t="e">
        <v>#VALUE!</v>
      </c>
      <c r="AC61" s="122" t="e">
        <v>#VALUE!</v>
      </c>
      <c r="AD61" s="122" t="e">
        <v>#VALUE!</v>
      </c>
      <c r="AE61" s="122" t="e">
        <v>#VALUE!</v>
      </c>
      <c r="AF61" s="122" t="e">
        <v>#VALUE!</v>
      </c>
      <c r="AG61" s="122" t="e">
        <v>#VALUE!</v>
      </c>
      <c r="AH61" s="122" t="e">
        <v>#VALUE!</v>
      </c>
      <c r="AI61" s="122" t="e">
        <v>#VALUE!</v>
      </c>
      <c r="AJ61" s="122" t="e">
        <v>#VALUE!</v>
      </c>
      <c r="AK61" s="122" t="e">
        <v>#VALUE!</v>
      </c>
      <c r="AL61" s="122" t="e">
        <v>#VALUE!</v>
      </c>
      <c r="AM61" s="122" t="e">
        <v>#VALUE!</v>
      </c>
      <c r="AN61" s="122" t="e">
        <v>#NAME?</v>
      </c>
      <c r="AO61" s="78"/>
      <c r="AP61" s="95" t="s">
        <v>176</v>
      </c>
      <c r="AQ61" s="122">
        <v>0</v>
      </c>
      <c r="AR61" s="122">
        <v>0</v>
      </c>
      <c r="AS61" s="122">
        <v>0</v>
      </c>
      <c r="AT61" s="122">
        <v>0</v>
      </c>
      <c r="AU61" s="122">
        <v>0</v>
      </c>
      <c r="AV61" s="78"/>
      <c r="AW61" s="78">
        <v>0</v>
      </c>
      <c r="AX61" s="115" t="s">
        <v>177</v>
      </c>
      <c r="AY61" s="116" t="e">
        <v>#NAME?</v>
      </c>
      <c r="AZ61" s="116" t="e">
        <v>#NAME?</v>
      </c>
      <c r="BA61" s="116" t="e">
        <v>#NAME?</v>
      </c>
      <c r="BB61" s="116" t="e">
        <v>#NAME?</v>
      </c>
      <c r="BC61" s="116" t="e">
        <v>#NAME?</v>
      </c>
      <c r="BD61" s="116" t="e">
        <v>#NAME?</v>
      </c>
      <c r="BE61" s="116" t="e">
        <v>#NAME?</v>
      </c>
      <c r="BF61" s="116" t="e">
        <v>#NAME?</v>
      </c>
      <c r="BG61" s="116" t="e">
        <v>#NAME?</v>
      </c>
      <c r="BH61" s="116" t="e">
        <v>#NAME?</v>
      </c>
      <c r="BI61" s="116" t="e">
        <v>#NAME?</v>
      </c>
      <c r="BJ61" s="116" t="e">
        <v>#NAME?</v>
      </c>
      <c r="BK61" s="116" t="e">
        <v>#NAME?</v>
      </c>
      <c r="BL61" s="116" t="e">
        <v>#NAME?</v>
      </c>
      <c r="BM61" s="116" t="e">
        <v>#NAME?</v>
      </c>
      <c r="BN61" s="116" t="e">
        <v>#NAME?</v>
      </c>
      <c r="BO61" s="116" t="e">
        <v>#NAME?</v>
      </c>
      <c r="BP61" s="116" t="e">
        <v>#NAME?</v>
      </c>
      <c r="BQ61" s="116" t="e">
        <v>#NAME?</v>
      </c>
      <c r="BR61" s="116" t="e">
        <v>#NAME?</v>
      </c>
      <c r="BS61" s="116" t="e">
        <v>#NAME?</v>
      </c>
      <c r="BT61" s="116" t="e">
        <v>#NAME?</v>
      </c>
      <c r="BU61" s="116" t="e">
        <v>#NAME?</v>
      </c>
      <c r="BV61" s="116" t="e">
        <v>#NAME?</v>
      </c>
      <c r="BW61" s="116" t="e">
        <v>#NAME?</v>
      </c>
      <c r="BX61" s="116" t="e">
        <v>#NAME?</v>
      </c>
      <c r="BY61" s="116" t="e">
        <v>#NAME?</v>
      </c>
      <c r="BZ61" s="116" t="e">
        <v>#NAME?</v>
      </c>
      <c r="CA61" s="116" t="e">
        <v>#NAME?</v>
      </c>
      <c r="CB61" s="116" t="e">
        <v>#NAME?</v>
      </c>
      <c r="CC61" s="116" t="e">
        <v>#NAME?</v>
      </c>
      <c r="CD61" s="116" t="e">
        <v>#NAME?</v>
      </c>
      <c r="CE61" s="116" t="e">
        <v>#NAME?</v>
      </c>
      <c r="CF61" s="116" t="e">
        <v>#NAME?</v>
      </c>
      <c r="CG61" s="116" t="e">
        <v>#NAME?</v>
      </c>
      <c r="CH61" s="116" t="e">
        <v>#NAME?</v>
      </c>
      <c r="CI61" s="83"/>
      <c r="CK61" s="115" t="s">
        <v>177</v>
      </c>
      <c r="CL61" s="116">
        <v>0</v>
      </c>
      <c r="CM61" s="116">
        <v>0</v>
      </c>
      <c r="CN61" s="116">
        <v>0</v>
      </c>
      <c r="CO61" s="116">
        <v>0</v>
      </c>
      <c r="CP61" s="116">
        <v>0</v>
      </c>
      <c r="CQ61" s="83"/>
      <c r="CS61" s="126" t="s">
        <v>140</v>
      </c>
      <c r="CT61" s="96"/>
      <c r="CU61" s="96"/>
      <c r="CV61" s="96"/>
      <c r="CW61" s="96"/>
      <c r="CX61" s="96"/>
      <c r="CY61" s="96"/>
      <c r="CZ61" s="96"/>
      <c r="DA61" s="96"/>
      <c r="DB61" s="96"/>
      <c r="DC61" s="96"/>
      <c r="DD61" s="96"/>
      <c r="DE61" s="96"/>
      <c r="DF61" s="96"/>
      <c r="DG61" s="96"/>
      <c r="DH61" s="96"/>
      <c r="DI61" s="96"/>
      <c r="DJ61" s="96"/>
      <c r="DK61" s="96"/>
      <c r="DL61" s="96"/>
      <c r="DM61" s="96"/>
      <c r="DN61" s="96"/>
      <c r="DO61" s="96"/>
      <c r="DP61" s="96"/>
      <c r="DQ61" s="96"/>
      <c r="DR61" s="96"/>
      <c r="DS61" s="96"/>
      <c r="DT61" s="96"/>
      <c r="DU61" s="96"/>
      <c r="DV61" s="96"/>
      <c r="DW61" s="96"/>
      <c r="DX61" s="96"/>
      <c r="DY61" s="96"/>
      <c r="DZ61" s="96"/>
      <c r="EA61" s="96"/>
      <c r="EB61" s="96"/>
      <c r="EC61" s="96"/>
      <c r="EE61" s="126" t="s">
        <v>140</v>
      </c>
      <c r="EF61" s="96"/>
      <c r="EG61" s="96"/>
      <c r="EH61" s="96"/>
      <c r="EI61" s="96"/>
      <c r="EJ61" s="96"/>
      <c r="GG61" s="120"/>
      <c r="GH61" s="11"/>
      <c r="GI61" s="11"/>
      <c r="GJ61" s="11"/>
      <c r="GK61" s="11"/>
      <c r="GL61" s="11"/>
      <c r="GM61" s="11"/>
      <c r="GN61" s="11"/>
      <c r="GO61" s="11"/>
      <c r="GP61" s="11"/>
      <c r="GQ61" s="11"/>
      <c r="GR61" s="11"/>
      <c r="GS61" s="11"/>
      <c r="GT61" s="11"/>
      <c r="GU61" s="11"/>
      <c r="GV61" s="11"/>
      <c r="GW61" s="11"/>
      <c r="GX61" s="11"/>
      <c r="GY61" s="11"/>
      <c r="GZ61" s="11"/>
      <c r="HA61" s="11"/>
      <c r="HB61" s="11"/>
      <c r="HC61" s="11"/>
      <c r="HD61" s="11"/>
      <c r="HE61" s="11"/>
      <c r="HF61" s="11"/>
      <c r="HG61" s="11"/>
      <c r="HH61" s="11"/>
      <c r="HI61" s="11"/>
      <c r="HJ61" s="11"/>
      <c r="HK61" s="11"/>
      <c r="HL61" s="11"/>
      <c r="HM61" s="11"/>
      <c r="HN61" s="11"/>
      <c r="HO61" s="11"/>
      <c r="HP61" s="11"/>
      <c r="HQ61" s="11"/>
      <c r="HT61" s="120"/>
      <c r="HU61" s="11"/>
      <c r="HV61" s="11"/>
      <c r="HW61" s="11"/>
      <c r="HX61" s="11"/>
      <c r="HY61" s="11"/>
    </row>
    <row r="62" spans="1:233" ht="15.75">
      <c r="A62" t="s">
        <v>140</v>
      </c>
      <c r="B62">
        <v>0</v>
      </c>
      <c r="D62" s="103" t="s">
        <v>140</v>
      </c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78"/>
      <c r="AP62" s="103" t="s">
        <v>140</v>
      </c>
      <c r="AQ62" s="121"/>
      <c r="AR62" s="121"/>
      <c r="AS62" s="121"/>
      <c r="AT62" s="121"/>
      <c r="AU62" s="121"/>
      <c r="AV62" s="78"/>
      <c r="AW62" s="78"/>
      <c r="AX62" s="127" t="s">
        <v>157</v>
      </c>
      <c r="AY62" s="119"/>
      <c r="AZ62" s="119"/>
      <c r="BA62" s="119"/>
      <c r="BB62" s="119"/>
      <c r="BC62" s="119"/>
      <c r="BD62" s="119"/>
      <c r="BE62" s="119"/>
      <c r="BF62" s="119"/>
      <c r="BG62" s="119"/>
      <c r="BH62" s="119"/>
      <c r="BI62" s="119"/>
      <c r="BJ62" s="119"/>
      <c r="BK62" s="119"/>
      <c r="BL62" s="119"/>
      <c r="BM62" s="119"/>
      <c r="BN62" s="119"/>
      <c r="BO62" s="119"/>
      <c r="BP62" s="119"/>
      <c r="BQ62" s="119"/>
      <c r="BR62" s="119"/>
      <c r="BS62" s="119"/>
      <c r="BT62" s="119"/>
      <c r="BU62" s="119"/>
      <c r="BV62" s="119"/>
      <c r="BW62" s="119"/>
      <c r="BX62" s="119"/>
      <c r="BY62" s="119"/>
      <c r="BZ62" s="119"/>
      <c r="CA62" s="119"/>
      <c r="CB62" s="119"/>
      <c r="CC62" s="119"/>
      <c r="CD62" s="119"/>
      <c r="CE62" s="119"/>
      <c r="CF62" s="119"/>
      <c r="CG62" s="119"/>
      <c r="CH62" s="119"/>
      <c r="CK62" s="127" t="s">
        <v>157</v>
      </c>
      <c r="CL62" s="119"/>
      <c r="CM62" s="119"/>
      <c r="CN62" s="119"/>
      <c r="CO62" s="119"/>
      <c r="CP62" s="119"/>
      <c r="CS62" s="105" t="s">
        <v>178</v>
      </c>
      <c r="CT62" s="112"/>
      <c r="CU62" s="112"/>
      <c r="CV62" s="112"/>
      <c r="CW62" s="112"/>
      <c r="CX62" s="112"/>
      <c r="CY62" s="112"/>
      <c r="CZ62" s="112"/>
      <c r="DA62" s="112"/>
      <c r="DB62" s="112"/>
      <c r="DC62" s="112"/>
      <c r="DD62" s="112"/>
      <c r="DE62" s="112"/>
      <c r="DF62" s="112"/>
      <c r="DG62" s="112"/>
      <c r="DH62" s="112"/>
      <c r="DI62" s="112"/>
      <c r="DJ62" s="112"/>
      <c r="DK62" s="112"/>
      <c r="DL62" s="112"/>
      <c r="DM62" s="112"/>
      <c r="DN62" s="112"/>
      <c r="DO62" s="112"/>
      <c r="DP62" s="112"/>
      <c r="DQ62" s="112"/>
      <c r="DR62" s="112"/>
      <c r="DS62" s="112"/>
      <c r="DT62" s="112"/>
      <c r="DU62" s="112"/>
      <c r="DV62" s="112"/>
      <c r="DW62" s="112"/>
      <c r="DX62" s="112"/>
      <c r="DY62" s="112"/>
      <c r="DZ62" s="112"/>
      <c r="EA62" s="112"/>
      <c r="EB62" s="112"/>
      <c r="EC62" s="112"/>
      <c r="EE62" s="105" t="s">
        <v>178</v>
      </c>
      <c r="EF62" s="112"/>
      <c r="EG62" s="112"/>
      <c r="EH62" s="112"/>
      <c r="EI62" s="112"/>
      <c r="EJ62" s="112"/>
      <c r="GG62" s="120" t="s">
        <v>80</v>
      </c>
      <c r="GH62" s="11" t="e">
        <v>#NAME?</v>
      </c>
      <c r="GI62" s="11" t="e">
        <v>#NAME?</v>
      </c>
      <c r="GJ62" s="11" t="e">
        <v>#NAME?</v>
      </c>
      <c r="GK62" s="11" t="e">
        <v>#NAME?</v>
      </c>
      <c r="GL62" s="11" t="e">
        <v>#NAME?</v>
      </c>
      <c r="GM62" s="11" t="e">
        <v>#NAME?</v>
      </c>
      <c r="GN62" s="11" t="e">
        <v>#NAME?</v>
      </c>
      <c r="GO62" s="11" t="e">
        <v>#NAME?</v>
      </c>
      <c r="GP62" s="11" t="e">
        <v>#NAME?</v>
      </c>
      <c r="GQ62" s="11" t="e">
        <v>#NAME?</v>
      </c>
      <c r="GR62" s="11" t="e">
        <v>#NAME?</v>
      </c>
      <c r="GS62" s="11" t="e">
        <v>#NAME?</v>
      </c>
      <c r="GT62" s="11" t="e">
        <v>#NAME?</v>
      </c>
      <c r="GU62" s="11" t="e">
        <v>#NAME?</v>
      </c>
      <c r="GV62" s="11" t="e">
        <v>#NAME?</v>
      </c>
      <c r="GW62" s="11" t="e">
        <v>#NAME?</v>
      </c>
      <c r="GX62" s="11" t="e">
        <v>#NAME?</v>
      </c>
      <c r="GY62" s="11" t="e">
        <v>#NAME?</v>
      </c>
      <c r="GZ62" s="11" t="e">
        <v>#NAME?</v>
      </c>
      <c r="HA62" s="11" t="e">
        <v>#NAME?</v>
      </c>
      <c r="HB62" s="11" t="e">
        <v>#NAME?</v>
      </c>
      <c r="HC62" s="11" t="e">
        <v>#NAME?</v>
      </c>
      <c r="HD62" s="11" t="e">
        <v>#NAME?</v>
      </c>
      <c r="HE62" s="11" t="e">
        <v>#NAME?</v>
      </c>
      <c r="HF62" s="11" t="e">
        <v>#NAME?</v>
      </c>
      <c r="HG62" s="11" t="e">
        <v>#NAME?</v>
      </c>
      <c r="HH62" s="11" t="e">
        <v>#NAME?</v>
      </c>
      <c r="HI62" s="11" t="e">
        <v>#NAME?</v>
      </c>
      <c r="HJ62" s="11" t="e">
        <v>#NAME?</v>
      </c>
      <c r="HK62" s="11" t="e">
        <v>#NAME?</v>
      </c>
      <c r="HL62" s="11" t="e">
        <v>#NAME?</v>
      </c>
      <c r="HM62" s="11" t="e">
        <v>#NAME?</v>
      </c>
      <c r="HN62" s="11" t="e">
        <v>#NAME?</v>
      </c>
      <c r="HO62" s="11" t="e">
        <v>#NAME?</v>
      </c>
      <c r="HP62" s="11" t="e">
        <v>#NAME?</v>
      </c>
      <c r="HQ62" s="11" t="e">
        <v>#NAME?</v>
      </c>
      <c r="HT62" s="120" t="s">
        <v>80</v>
      </c>
      <c r="HU62" s="11">
        <v>0</v>
      </c>
      <c r="HV62" s="11">
        <v>0</v>
      </c>
      <c r="HW62" s="11">
        <v>0</v>
      </c>
      <c r="HX62" s="11">
        <v>0</v>
      </c>
      <c r="HY62" s="11">
        <v>0</v>
      </c>
    </row>
    <row r="63" spans="1:233" ht="15.75">
      <c r="A63" t="s">
        <v>140</v>
      </c>
      <c r="B63">
        <v>0</v>
      </c>
      <c r="D63" s="128" t="s">
        <v>179</v>
      </c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P63" s="128" t="s">
        <v>179</v>
      </c>
      <c r="AQ63" s="129"/>
      <c r="AR63" s="129"/>
      <c r="AS63" s="129"/>
      <c r="AT63" s="129"/>
      <c r="AU63" s="129"/>
      <c r="AX63" s="130" t="s">
        <v>140</v>
      </c>
      <c r="AY63" s="96"/>
      <c r="AZ63" s="96"/>
      <c r="BA63" s="96"/>
      <c r="BB63" s="96"/>
      <c r="BC63" s="96"/>
      <c r="BD63" s="96"/>
      <c r="BE63" s="96"/>
      <c r="BF63" s="96"/>
      <c r="BG63" s="96"/>
      <c r="BH63" s="96"/>
      <c r="BI63" s="96"/>
      <c r="BJ63" s="96"/>
      <c r="BK63" s="96"/>
      <c r="BL63" s="96"/>
      <c r="BM63" s="96"/>
      <c r="BN63" s="96"/>
      <c r="BO63" s="96"/>
      <c r="BP63" s="96"/>
      <c r="BQ63" s="96"/>
      <c r="BR63" s="96"/>
      <c r="BS63" s="96"/>
      <c r="BT63" s="96"/>
      <c r="BU63" s="96"/>
      <c r="BV63" s="96"/>
      <c r="BW63" s="96"/>
      <c r="BX63" s="96"/>
      <c r="BY63" s="96"/>
      <c r="BZ63" s="96"/>
      <c r="CA63" s="96"/>
      <c r="CB63" s="96"/>
      <c r="CC63" s="96"/>
      <c r="CD63" s="96"/>
      <c r="CE63" s="96"/>
      <c r="CF63" s="96"/>
      <c r="CG63" s="96"/>
      <c r="CH63" s="96"/>
      <c r="CK63" s="130" t="s">
        <v>140</v>
      </c>
      <c r="CL63" s="96"/>
      <c r="CM63" s="96"/>
      <c r="CN63" s="96"/>
      <c r="CO63" s="96"/>
      <c r="CP63" s="96"/>
      <c r="CS63" s="105" t="s">
        <v>180</v>
      </c>
      <c r="CT63" s="112"/>
      <c r="CU63" s="112"/>
      <c r="CV63" s="112"/>
      <c r="CW63" s="112"/>
      <c r="CX63" s="112"/>
      <c r="CY63" s="112"/>
      <c r="CZ63" s="112"/>
      <c r="DA63" s="112"/>
      <c r="DB63" s="112"/>
      <c r="DC63" s="112"/>
      <c r="DD63" s="112"/>
      <c r="DE63" s="112"/>
      <c r="DF63" s="112"/>
      <c r="DG63" s="112"/>
      <c r="DH63" s="112"/>
      <c r="DI63" s="112"/>
      <c r="DJ63" s="112"/>
      <c r="DK63" s="112"/>
      <c r="DL63" s="112"/>
      <c r="DM63" s="112"/>
      <c r="DN63" s="112"/>
      <c r="DO63" s="112"/>
      <c r="DP63" s="112"/>
      <c r="DQ63" s="112"/>
      <c r="DR63" s="112"/>
      <c r="DS63" s="112"/>
      <c r="DT63" s="112"/>
      <c r="DU63" s="112"/>
      <c r="DV63" s="112"/>
      <c r="DW63" s="112"/>
      <c r="DX63" s="112"/>
      <c r="DY63" s="112"/>
      <c r="DZ63" s="112"/>
      <c r="EA63" s="112"/>
      <c r="EB63" s="112"/>
      <c r="EC63" s="112"/>
      <c r="EE63" s="105" t="s">
        <v>180</v>
      </c>
      <c r="EF63" s="112"/>
      <c r="EG63" s="112"/>
      <c r="EH63" s="112"/>
      <c r="EI63" s="112"/>
      <c r="EJ63" s="112"/>
      <c r="GG63" s="120" t="s">
        <v>521</v>
      </c>
      <c r="GH63" s="758" t="e">
        <v>#NAME?</v>
      </c>
      <c r="GI63" s="758" t="e">
        <v>#NAME?</v>
      </c>
      <c r="GJ63" s="758" t="e">
        <v>#NAME?</v>
      </c>
      <c r="GK63" s="758" t="e">
        <v>#NAME?</v>
      </c>
      <c r="GL63" s="758" t="e">
        <v>#NAME?</v>
      </c>
      <c r="GM63" s="758" t="e">
        <v>#NAME?</v>
      </c>
      <c r="GN63" s="758" t="e">
        <v>#NAME?</v>
      </c>
      <c r="GO63" s="758" t="e">
        <v>#NAME?</v>
      </c>
      <c r="GP63" s="758" t="e">
        <v>#NAME?</v>
      </c>
      <c r="GQ63" s="758" t="e">
        <v>#NAME?</v>
      </c>
      <c r="GR63" s="758" t="e">
        <v>#NAME?</v>
      </c>
      <c r="GS63" s="758" t="e">
        <v>#NAME?</v>
      </c>
      <c r="GT63" s="758" t="e">
        <v>#NAME?</v>
      </c>
      <c r="GU63" s="758" t="e">
        <v>#NAME?</v>
      </c>
      <c r="GV63" s="758" t="e">
        <v>#NAME?</v>
      </c>
      <c r="GW63" s="758" t="e">
        <v>#NAME?</v>
      </c>
      <c r="GX63" s="758" t="e">
        <v>#NAME?</v>
      </c>
      <c r="GY63" s="758" t="e">
        <v>#NAME?</v>
      </c>
      <c r="GZ63" s="758" t="e">
        <v>#NAME?</v>
      </c>
      <c r="HA63" s="758" t="e">
        <v>#NAME?</v>
      </c>
      <c r="HB63" s="758" t="e">
        <v>#NAME?</v>
      </c>
      <c r="HC63" s="758" t="e">
        <v>#NAME?</v>
      </c>
      <c r="HD63" s="758" t="e">
        <v>#NAME?</v>
      </c>
      <c r="HE63" s="758" t="e">
        <v>#NAME?</v>
      </c>
      <c r="HF63" s="758" t="e">
        <v>#NAME?</v>
      </c>
      <c r="HG63" s="758" t="e">
        <v>#NAME?</v>
      </c>
      <c r="HH63" s="758" t="e">
        <v>#NAME?</v>
      </c>
      <c r="HI63" s="758" t="e">
        <v>#NAME?</v>
      </c>
      <c r="HJ63" s="758" t="e">
        <v>#NAME?</v>
      </c>
      <c r="HK63" s="758" t="e">
        <v>#NAME?</v>
      </c>
      <c r="HL63" s="758" t="e">
        <v>#NAME?</v>
      </c>
      <c r="HM63" s="758" t="e">
        <v>#NAME?</v>
      </c>
      <c r="HN63" s="758" t="e">
        <v>#NAME?</v>
      </c>
      <c r="HO63" s="758" t="e">
        <v>#NAME?</v>
      </c>
      <c r="HP63" s="758" t="e">
        <v>#NAME?</v>
      </c>
      <c r="HQ63" s="758" t="e">
        <v>#NAME?</v>
      </c>
      <c r="HT63" s="120" t="s">
        <v>521</v>
      </c>
      <c r="HU63" s="758">
        <v>0</v>
      </c>
      <c r="HV63" s="758">
        <v>0</v>
      </c>
      <c r="HW63" s="758">
        <v>0</v>
      </c>
      <c r="HX63" s="758">
        <v>0</v>
      </c>
      <c r="HY63" s="758">
        <v>0</v>
      </c>
    </row>
    <row r="64" spans="1:233" ht="15.75">
      <c r="A64" t="s">
        <v>140</v>
      </c>
      <c r="B64">
        <v>0</v>
      </c>
      <c r="D64" s="103" t="s">
        <v>181</v>
      </c>
      <c r="E64" s="104" t="e">
        <v>#VALUE!</v>
      </c>
      <c r="F64" s="104" t="e">
        <v>#VALUE!</v>
      </c>
      <c r="G64" s="104" t="e">
        <v>#VALUE!</v>
      </c>
      <c r="H64" s="104" t="e">
        <v>#VALUE!</v>
      </c>
      <c r="I64" s="104" t="e">
        <v>#VALUE!</v>
      </c>
      <c r="J64" s="104" t="e">
        <v>#VALUE!</v>
      </c>
      <c r="K64" s="104" t="e">
        <v>#VALUE!</v>
      </c>
      <c r="L64" s="104" t="e">
        <v>#VALUE!</v>
      </c>
      <c r="M64" s="104" t="e">
        <v>#VALUE!</v>
      </c>
      <c r="N64" s="104" t="e">
        <v>#VALUE!</v>
      </c>
      <c r="O64" s="104" t="e">
        <v>#VALUE!</v>
      </c>
      <c r="P64" s="104" t="e">
        <v>#VALUE!</v>
      </c>
      <c r="Q64" s="104" t="e">
        <v>#VALUE!</v>
      </c>
      <c r="R64" s="104" t="e">
        <v>#VALUE!</v>
      </c>
      <c r="S64" s="104" t="e">
        <v>#VALUE!</v>
      </c>
      <c r="T64" s="104" t="e">
        <v>#VALUE!</v>
      </c>
      <c r="U64" s="104" t="e">
        <v>#VALUE!</v>
      </c>
      <c r="V64" s="104" t="e">
        <v>#VALUE!</v>
      </c>
      <c r="W64" s="104" t="e">
        <v>#VALUE!</v>
      </c>
      <c r="X64" s="104" t="e">
        <v>#VALUE!</v>
      </c>
      <c r="Y64" s="104" t="e">
        <v>#VALUE!</v>
      </c>
      <c r="Z64" s="104" t="e">
        <v>#VALUE!</v>
      </c>
      <c r="AA64" s="104" t="e">
        <v>#VALUE!</v>
      </c>
      <c r="AB64" s="104" t="e">
        <v>#VALUE!</v>
      </c>
      <c r="AC64" s="104" t="e">
        <v>#VALUE!</v>
      </c>
      <c r="AD64" s="104" t="e">
        <v>#VALUE!</v>
      </c>
      <c r="AE64" s="104" t="e">
        <v>#VALUE!</v>
      </c>
      <c r="AF64" s="104" t="e">
        <v>#VALUE!</v>
      </c>
      <c r="AG64" s="104" t="e">
        <v>#VALUE!</v>
      </c>
      <c r="AH64" s="104" t="e">
        <v>#VALUE!</v>
      </c>
      <c r="AI64" s="104" t="e">
        <v>#VALUE!</v>
      </c>
      <c r="AJ64" s="104" t="e">
        <v>#VALUE!</v>
      </c>
      <c r="AK64" s="104" t="e">
        <v>#VALUE!</v>
      </c>
      <c r="AL64" s="104" t="e">
        <v>#VALUE!</v>
      </c>
      <c r="AM64" s="104" t="e">
        <v>#VALUE!</v>
      </c>
      <c r="AN64" s="104" t="e">
        <v>#NAME?</v>
      </c>
      <c r="AP64" s="103" t="s">
        <v>181</v>
      </c>
      <c r="AQ64" s="104">
        <v>0</v>
      </c>
      <c r="AR64" s="104">
        <v>0</v>
      </c>
      <c r="AS64" s="104">
        <v>0</v>
      </c>
      <c r="AT64" s="104">
        <v>0</v>
      </c>
      <c r="AU64" s="104">
        <v>0</v>
      </c>
      <c r="AW64">
        <v>0</v>
      </c>
      <c r="AX64" s="108" t="s">
        <v>182</v>
      </c>
      <c r="AY64" s="96" t="e">
        <v>#NAME?</v>
      </c>
      <c r="AZ64" s="96" t="e">
        <v>#NAME?</v>
      </c>
      <c r="BA64" s="96" t="e">
        <v>#NAME?</v>
      </c>
      <c r="BB64" s="96" t="e">
        <v>#NAME?</v>
      </c>
      <c r="BC64" s="96" t="e">
        <v>#NAME?</v>
      </c>
      <c r="BD64" s="96" t="e">
        <v>#NAME?</v>
      </c>
      <c r="BE64" s="96" t="e">
        <v>#NAME?</v>
      </c>
      <c r="BF64" s="96" t="e">
        <v>#NAME?</v>
      </c>
      <c r="BG64" s="96" t="e">
        <v>#NAME?</v>
      </c>
      <c r="BH64" s="96" t="e">
        <v>#NAME?</v>
      </c>
      <c r="BI64" s="96" t="e">
        <v>#NAME?</v>
      </c>
      <c r="BJ64" s="96" t="e">
        <v>#NAME?</v>
      </c>
      <c r="BK64" s="96" t="e">
        <v>#NAME?</v>
      </c>
      <c r="BL64" s="96" t="e">
        <v>#NAME?</v>
      </c>
      <c r="BM64" s="96" t="e">
        <v>#NAME?</v>
      </c>
      <c r="BN64" s="96" t="e">
        <v>#NAME?</v>
      </c>
      <c r="BO64" s="96" t="e">
        <v>#NAME?</v>
      </c>
      <c r="BP64" s="96" t="e">
        <v>#NAME?</v>
      </c>
      <c r="BQ64" s="96" t="e">
        <v>#NAME?</v>
      </c>
      <c r="BR64" s="96" t="e">
        <v>#NAME?</v>
      </c>
      <c r="BS64" s="96" t="e">
        <v>#NAME?</v>
      </c>
      <c r="BT64" s="96" t="e">
        <v>#NAME?</v>
      </c>
      <c r="BU64" s="96" t="e">
        <v>#NAME?</v>
      </c>
      <c r="BV64" s="96" t="e">
        <v>#NAME?</v>
      </c>
      <c r="BW64" s="96" t="e">
        <v>#NAME?</v>
      </c>
      <c r="BX64" s="96" t="e">
        <v>#NAME?</v>
      </c>
      <c r="BY64" s="96" t="e">
        <v>#NAME?</v>
      </c>
      <c r="BZ64" s="96" t="e">
        <v>#NAME?</v>
      </c>
      <c r="CA64" s="96" t="e">
        <v>#NAME?</v>
      </c>
      <c r="CB64" s="96" t="e">
        <v>#NAME?</v>
      </c>
      <c r="CC64" s="96" t="e">
        <v>#NAME?</v>
      </c>
      <c r="CD64" s="96" t="e">
        <v>#NAME?</v>
      </c>
      <c r="CE64" s="96" t="e">
        <v>#NAME?</v>
      </c>
      <c r="CF64" s="96" t="e">
        <v>#NAME?</v>
      </c>
      <c r="CG64" s="96" t="e">
        <v>#NAME?</v>
      </c>
      <c r="CH64" s="96" t="e">
        <v>#NAME?</v>
      </c>
      <c r="CK64" s="108" t="s">
        <v>182</v>
      </c>
      <c r="CL64" s="96"/>
      <c r="CM64" s="96"/>
      <c r="CN64" s="96"/>
      <c r="CO64" s="96"/>
      <c r="CP64" s="96"/>
      <c r="CS64" s="105" t="s">
        <v>183</v>
      </c>
      <c r="CT64" s="104" t="e">
        <v>#NAME?</v>
      </c>
      <c r="CU64" s="104" t="e">
        <v>#NAME?</v>
      </c>
      <c r="CV64" s="104" t="e">
        <v>#NAME?</v>
      </c>
      <c r="CW64" s="104" t="e">
        <v>#NAME?</v>
      </c>
      <c r="CX64" s="104" t="e">
        <v>#NAME?</v>
      </c>
      <c r="CY64" s="104" t="e">
        <v>#NAME?</v>
      </c>
      <c r="CZ64" s="104" t="e">
        <v>#NAME?</v>
      </c>
      <c r="DA64" s="104" t="e">
        <v>#NAME?</v>
      </c>
      <c r="DB64" s="104" t="e">
        <v>#NAME?</v>
      </c>
      <c r="DC64" s="104" t="e">
        <v>#NAME?</v>
      </c>
      <c r="DD64" s="104" t="e">
        <v>#NAME?</v>
      </c>
      <c r="DE64" s="104" t="e">
        <v>#NAME?</v>
      </c>
      <c r="DF64" s="104" t="e">
        <v>#NAME?</v>
      </c>
      <c r="DG64" s="104" t="e">
        <v>#NAME?</v>
      </c>
      <c r="DH64" s="104" t="e">
        <v>#NAME?</v>
      </c>
      <c r="DI64" s="104" t="e">
        <v>#NAME?</v>
      </c>
      <c r="DJ64" s="104" t="e">
        <v>#NAME?</v>
      </c>
      <c r="DK64" s="104" t="e">
        <v>#NAME?</v>
      </c>
      <c r="DL64" s="104" t="e">
        <v>#NAME?</v>
      </c>
      <c r="DM64" s="104" t="e">
        <v>#NAME?</v>
      </c>
      <c r="DN64" s="104" t="e">
        <v>#NAME?</v>
      </c>
      <c r="DO64" s="104" t="e">
        <v>#NAME?</v>
      </c>
      <c r="DP64" s="104" t="e">
        <v>#NAME?</v>
      </c>
      <c r="DQ64" s="104" t="e">
        <v>#NAME?</v>
      </c>
      <c r="DR64" s="104" t="e">
        <v>#NAME?</v>
      </c>
      <c r="DS64" s="104" t="e">
        <v>#NAME?</v>
      </c>
      <c r="DT64" s="104" t="e">
        <v>#NAME?</v>
      </c>
      <c r="DU64" s="104" t="e">
        <v>#NAME?</v>
      </c>
      <c r="DV64" s="104" t="e">
        <v>#NAME?</v>
      </c>
      <c r="DW64" s="104" t="e">
        <v>#NAME?</v>
      </c>
      <c r="DX64" s="104" t="e">
        <v>#NAME?</v>
      </c>
      <c r="DY64" s="104" t="e">
        <v>#NAME?</v>
      </c>
      <c r="DZ64" s="104" t="e">
        <v>#NAME?</v>
      </c>
      <c r="EA64" s="104" t="e">
        <v>#NAME?</v>
      </c>
      <c r="EB64" s="104" t="e">
        <v>#NAME?</v>
      </c>
      <c r="EC64" s="104" t="e">
        <v>#NAME?</v>
      </c>
      <c r="EE64" s="105" t="s">
        <v>183</v>
      </c>
      <c r="EF64" s="104">
        <v>0</v>
      </c>
      <c r="EG64" s="104">
        <v>0</v>
      </c>
      <c r="EH64" s="104">
        <v>0</v>
      </c>
      <c r="EI64" s="104">
        <v>0</v>
      </c>
      <c r="EJ64" s="104">
        <v>0</v>
      </c>
      <c r="GG64" s="120" t="s">
        <v>660</v>
      </c>
      <c r="GH64" s="758" t="e">
        <v>#NAME?</v>
      </c>
      <c r="GI64" s="758" t="e">
        <v>#NAME?</v>
      </c>
      <c r="GJ64" s="758" t="e">
        <v>#NAME?</v>
      </c>
      <c r="GK64" s="758" t="e">
        <v>#NAME?</v>
      </c>
      <c r="GL64" s="758" t="e">
        <v>#NAME?</v>
      </c>
      <c r="GM64" s="758" t="e">
        <v>#NAME?</v>
      </c>
      <c r="GN64" s="758" t="e">
        <v>#NAME?</v>
      </c>
      <c r="GO64" s="758" t="e">
        <v>#NAME?</v>
      </c>
      <c r="GP64" s="758" t="e">
        <v>#NAME?</v>
      </c>
      <c r="GQ64" s="758" t="e">
        <v>#NAME?</v>
      </c>
      <c r="GR64" s="758" t="e">
        <v>#NAME?</v>
      </c>
      <c r="GS64" s="758" t="e">
        <v>#NAME?</v>
      </c>
      <c r="GT64" s="758" t="e">
        <v>#NAME?</v>
      </c>
      <c r="GU64" s="758" t="e">
        <v>#NAME?</v>
      </c>
      <c r="GV64" s="758" t="e">
        <v>#NAME?</v>
      </c>
      <c r="GW64" s="758" t="e">
        <v>#NAME?</v>
      </c>
      <c r="GX64" s="758" t="e">
        <v>#NAME?</v>
      </c>
      <c r="GY64" s="758" t="e">
        <v>#NAME?</v>
      </c>
      <c r="GZ64" s="758" t="e">
        <v>#NAME?</v>
      </c>
      <c r="HA64" s="758" t="e">
        <v>#NAME?</v>
      </c>
      <c r="HB64" s="758" t="e">
        <v>#NAME?</v>
      </c>
      <c r="HC64" s="758" t="e">
        <v>#NAME?</v>
      </c>
      <c r="HD64" s="758" t="e">
        <v>#NAME?</v>
      </c>
      <c r="HE64" s="758" t="e">
        <v>#NAME?</v>
      </c>
      <c r="HF64" s="758" t="e">
        <v>#NAME?</v>
      </c>
      <c r="HG64" s="758" t="e">
        <v>#NAME?</v>
      </c>
      <c r="HH64" s="758" t="e">
        <v>#NAME?</v>
      </c>
      <c r="HI64" s="758" t="e">
        <v>#NAME?</v>
      </c>
      <c r="HJ64" s="758" t="e">
        <v>#NAME?</v>
      </c>
      <c r="HK64" s="758" t="e">
        <v>#NAME?</v>
      </c>
      <c r="HL64" s="758" t="e">
        <v>#NAME?</v>
      </c>
      <c r="HM64" s="758" t="e">
        <v>#NAME?</v>
      </c>
      <c r="HN64" s="758" t="e">
        <v>#NAME?</v>
      </c>
      <c r="HO64" s="758" t="e">
        <v>#NAME?</v>
      </c>
      <c r="HP64" s="758" t="e">
        <v>#NAME?</v>
      </c>
      <c r="HQ64" s="758" t="e">
        <v>#NAME?</v>
      </c>
      <c r="HT64" s="120" t="s">
        <v>660</v>
      </c>
      <c r="HU64" s="758">
        <v>0</v>
      </c>
      <c r="HV64" s="758">
        <v>0</v>
      </c>
      <c r="HW64" s="758">
        <v>0</v>
      </c>
      <c r="HX64" s="758">
        <v>0</v>
      </c>
      <c r="HY64" s="758">
        <v>0</v>
      </c>
    </row>
    <row r="65" spans="1:233" ht="15.75">
      <c r="A65" t="s">
        <v>140</v>
      </c>
      <c r="B65">
        <v>0</v>
      </c>
      <c r="D65" s="113" t="s">
        <v>184</v>
      </c>
      <c r="E65" s="104" t="e">
        <v>#VALUE!</v>
      </c>
      <c r="F65" s="104" t="e">
        <v>#VALUE!</v>
      </c>
      <c r="G65" s="104" t="e">
        <v>#VALUE!</v>
      </c>
      <c r="H65" s="104" t="e">
        <v>#VALUE!</v>
      </c>
      <c r="I65" s="104" t="e">
        <v>#VALUE!</v>
      </c>
      <c r="J65" s="104" t="e">
        <v>#VALUE!</v>
      </c>
      <c r="K65" s="104" t="e">
        <v>#VALUE!</v>
      </c>
      <c r="L65" s="104" t="e">
        <v>#VALUE!</v>
      </c>
      <c r="M65" s="104" t="e">
        <v>#VALUE!</v>
      </c>
      <c r="N65" s="104" t="e">
        <v>#VALUE!</v>
      </c>
      <c r="O65" s="104" t="e">
        <v>#VALUE!</v>
      </c>
      <c r="P65" s="104" t="e">
        <v>#VALUE!</v>
      </c>
      <c r="Q65" s="104" t="e">
        <v>#VALUE!</v>
      </c>
      <c r="R65" s="104" t="e">
        <v>#VALUE!</v>
      </c>
      <c r="S65" s="104" t="e">
        <v>#VALUE!</v>
      </c>
      <c r="T65" s="104" t="e">
        <v>#VALUE!</v>
      </c>
      <c r="U65" s="104" t="e">
        <v>#VALUE!</v>
      </c>
      <c r="V65" s="104" t="e">
        <v>#VALUE!</v>
      </c>
      <c r="W65" s="104" t="e">
        <v>#VALUE!</v>
      </c>
      <c r="X65" s="104" t="e">
        <v>#VALUE!</v>
      </c>
      <c r="Y65" s="104" t="e">
        <v>#VALUE!</v>
      </c>
      <c r="Z65" s="104" t="e">
        <v>#VALUE!</v>
      </c>
      <c r="AA65" s="104" t="e">
        <v>#VALUE!</v>
      </c>
      <c r="AB65" s="104" t="e">
        <v>#VALUE!</v>
      </c>
      <c r="AC65" s="104" t="e">
        <v>#VALUE!</v>
      </c>
      <c r="AD65" s="104" t="e">
        <v>#VALUE!</v>
      </c>
      <c r="AE65" s="104" t="e">
        <v>#VALUE!</v>
      </c>
      <c r="AF65" s="104" t="e">
        <v>#VALUE!</v>
      </c>
      <c r="AG65" s="104" t="e">
        <v>#VALUE!</v>
      </c>
      <c r="AH65" s="104" t="e">
        <v>#VALUE!</v>
      </c>
      <c r="AI65" s="104" t="e">
        <v>#VALUE!</v>
      </c>
      <c r="AJ65" s="104" t="e">
        <v>#VALUE!</v>
      </c>
      <c r="AK65" s="104" t="e">
        <v>#VALUE!</v>
      </c>
      <c r="AL65" s="104" t="e">
        <v>#VALUE!</v>
      </c>
      <c r="AM65" s="104" t="e">
        <v>#VALUE!</v>
      </c>
      <c r="AN65" s="104" t="e">
        <v>#NAME?</v>
      </c>
      <c r="AP65" s="113" t="s">
        <v>184</v>
      </c>
      <c r="AQ65" s="104">
        <v>0</v>
      </c>
      <c r="AR65" s="104">
        <v>0</v>
      </c>
      <c r="AS65" s="104">
        <v>0</v>
      </c>
      <c r="AT65" s="104">
        <v>0</v>
      </c>
      <c r="AU65" s="104">
        <v>0</v>
      </c>
      <c r="AW65">
        <v>0</v>
      </c>
      <c r="AX65" s="131" t="s">
        <v>185</v>
      </c>
      <c r="AY65" s="104" t="e">
        <v>#NAME?</v>
      </c>
      <c r="AZ65" s="104" t="e">
        <v>#NAME?</v>
      </c>
      <c r="BA65" s="104" t="e">
        <v>#NAME?</v>
      </c>
      <c r="BB65" s="104" t="e">
        <v>#NAME?</v>
      </c>
      <c r="BC65" s="104" t="e">
        <v>#NAME?</v>
      </c>
      <c r="BD65" s="104" t="e">
        <v>#NAME?</v>
      </c>
      <c r="BE65" s="104" t="e">
        <v>#NAME?</v>
      </c>
      <c r="BF65" s="104" t="e">
        <v>#NAME?</v>
      </c>
      <c r="BG65" s="104" t="e">
        <v>#NAME?</v>
      </c>
      <c r="BH65" s="104" t="e">
        <v>#NAME?</v>
      </c>
      <c r="BI65" s="104" t="e">
        <v>#NAME?</v>
      </c>
      <c r="BJ65" s="104" t="e">
        <v>#NAME?</v>
      </c>
      <c r="BK65" s="104" t="e">
        <v>#NAME?</v>
      </c>
      <c r="BL65" s="104" t="e">
        <v>#NAME?</v>
      </c>
      <c r="BM65" s="104" t="e">
        <v>#NAME?</v>
      </c>
      <c r="BN65" s="104" t="e">
        <v>#NAME?</v>
      </c>
      <c r="BO65" s="104" t="e">
        <v>#NAME?</v>
      </c>
      <c r="BP65" s="104" t="e">
        <v>#NAME?</v>
      </c>
      <c r="BQ65" s="104" t="e">
        <v>#NAME?</v>
      </c>
      <c r="BR65" s="104" t="e">
        <v>#NAME?</v>
      </c>
      <c r="BS65" s="104" t="e">
        <v>#NAME?</v>
      </c>
      <c r="BT65" s="104" t="e">
        <v>#NAME?</v>
      </c>
      <c r="BU65" s="104" t="e">
        <v>#NAME?</v>
      </c>
      <c r="BV65" s="104" t="e">
        <v>#NAME?</v>
      </c>
      <c r="BW65" s="104" t="e">
        <v>#NAME?</v>
      </c>
      <c r="BX65" s="104" t="e">
        <v>#NAME?</v>
      </c>
      <c r="BY65" s="104" t="e">
        <v>#NAME?</v>
      </c>
      <c r="BZ65" s="104" t="e">
        <v>#NAME?</v>
      </c>
      <c r="CA65" s="104" t="e">
        <v>#NAME?</v>
      </c>
      <c r="CB65" s="104" t="e">
        <v>#NAME?</v>
      </c>
      <c r="CC65" s="104" t="e">
        <v>#NAME?</v>
      </c>
      <c r="CD65" s="104" t="e">
        <v>#NAME?</v>
      </c>
      <c r="CE65" s="104" t="e">
        <v>#NAME?</v>
      </c>
      <c r="CF65" s="104" t="e">
        <v>#NAME?</v>
      </c>
      <c r="CG65" s="104" t="e">
        <v>#NAME?</v>
      </c>
      <c r="CH65" s="104" t="e">
        <v>#NAME?</v>
      </c>
      <c r="CK65" s="131" t="s">
        <v>185</v>
      </c>
      <c r="CL65" s="104">
        <v>0</v>
      </c>
      <c r="CM65" s="104">
        <v>0</v>
      </c>
      <c r="CN65" s="104">
        <v>0</v>
      </c>
      <c r="CO65" s="104">
        <v>0</v>
      </c>
      <c r="CP65" s="104">
        <v>0</v>
      </c>
      <c r="CS65" s="105" t="s">
        <v>186</v>
      </c>
      <c r="CT65" s="104" t="e">
        <v>#NAME?</v>
      </c>
      <c r="CU65" s="104" t="e">
        <v>#NAME?</v>
      </c>
      <c r="CV65" s="104" t="e">
        <v>#NAME?</v>
      </c>
      <c r="CW65" s="104" t="e">
        <v>#NAME?</v>
      </c>
      <c r="CX65" s="104" t="e">
        <v>#NAME?</v>
      </c>
      <c r="CY65" s="104" t="e">
        <v>#NAME?</v>
      </c>
      <c r="CZ65" s="104" t="e">
        <v>#NAME?</v>
      </c>
      <c r="DA65" s="104" t="e">
        <v>#NAME?</v>
      </c>
      <c r="DB65" s="104" t="e">
        <v>#NAME?</v>
      </c>
      <c r="DC65" s="104" t="e">
        <v>#NAME?</v>
      </c>
      <c r="DD65" s="104" t="e">
        <v>#NAME?</v>
      </c>
      <c r="DE65" s="104" t="e">
        <v>#NAME?</v>
      </c>
      <c r="DF65" s="104" t="e">
        <v>#NAME?</v>
      </c>
      <c r="DG65" s="104" t="e">
        <v>#NAME?</v>
      </c>
      <c r="DH65" s="104" t="e">
        <v>#NAME?</v>
      </c>
      <c r="DI65" s="104" t="e">
        <v>#NAME?</v>
      </c>
      <c r="DJ65" s="104" t="e">
        <v>#NAME?</v>
      </c>
      <c r="DK65" s="104" t="e">
        <v>#NAME?</v>
      </c>
      <c r="DL65" s="104" t="e">
        <v>#NAME?</v>
      </c>
      <c r="DM65" s="104" t="e">
        <v>#NAME?</v>
      </c>
      <c r="DN65" s="104" t="e">
        <v>#NAME?</v>
      </c>
      <c r="DO65" s="104" t="e">
        <v>#NAME?</v>
      </c>
      <c r="DP65" s="104" t="e">
        <v>#NAME?</v>
      </c>
      <c r="DQ65" s="104" t="e">
        <v>#NAME?</v>
      </c>
      <c r="DR65" s="104" t="e">
        <v>#NAME?</v>
      </c>
      <c r="DS65" s="104" t="e">
        <v>#NAME?</v>
      </c>
      <c r="DT65" s="104" t="e">
        <v>#NAME?</v>
      </c>
      <c r="DU65" s="104" t="e">
        <v>#NAME?</v>
      </c>
      <c r="DV65" s="104" t="e">
        <v>#NAME?</v>
      </c>
      <c r="DW65" s="104" t="e">
        <v>#NAME?</v>
      </c>
      <c r="DX65" s="104" t="e">
        <v>#NAME?</v>
      </c>
      <c r="DY65" s="104" t="e">
        <v>#NAME?</v>
      </c>
      <c r="DZ65" s="104" t="e">
        <v>#NAME?</v>
      </c>
      <c r="EA65" s="104" t="e">
        <v>#NAME?</v>
      </c>
      <c r="EB65" s="104" t="e">
        <v>#NAME?</v>
      </c>
      <c r="EC65" s="104" t="e">
        <v>#NAME?</v>
      </c>
      <c r="EE65" s="105" t="s">
        <v>186</v>
      </c>
      <c r="EF65" s="104">
        <v>0</v>
      </c>
      <c r="EG65" s="104">
        <v>0</v>
      </c>
      <c r="EH65" s="104">
        <v>0</v>
      </c>
      <c r="EI65" s="104">
        <v>0</v>
      </c>
      <c r="EJ65" s="104">
        <v>0</v>
      </c>
      <c r="GG65" s="120" t="s">
        <v>661</v>
      </c>
      <c r="GH65" s="758" t="e">
        <v>#NAME?</v>
      </c>
      <c r="GI65" s="758" t="e">
        <v>#NAME?</v>
      </c>
      <c r="GJ65" s="758" t="e">
        <v>#NAME?</v>
      </c>
      <c r="GK65" s="758" t="e">
        <v>#NAME?</v>
      </c>
      <c r="GL65" s="758" t="e">
        <v>#NAME?</v>
      </c>
      <c r="GM65" s="758" t="e">
        <v>#NAME?</v>
      </c>
      <c r="GN65" s="758" t="e">
        <v>#NAME?</v>
      </c>
      <c r="GO65" s="758" t="e">
        <v>#NAME?</v>
      </c>
      <c r="GP65" s="758" t="e">
        <v>#NAME?</v>
      </c>
      <c r="GQ65" s="758" t="e">
        <v>#NAME?</v>
      </c>
      <c r="GR65" s="758" t="e">
        <v>#NAME?</v>
      </c>
      <c r="GS65" s="758" t="e">
        <v>#NAME?</v>
      </c>
      <c r="GT65" s="758" t="e">
        <v>#NAME?</v>
      </c>
      <c r="GU65" s="758" t="e">
        <v>#NAME?</v>
      </c>
      <c r="GV65" s="758" t="e">
        <v>#NAME?</v>
      </c>
      <c r="GW65" s="758" t="e">
        <v>#NAME?</v>
      </c>
      <c r="GX65" s="758" t="e">
        <v>#NAME?</v>
      </c>
      <c r="GY65" s="758" t="e">
        <v>#NAME?</v>
      </c>
      <c r="GZ65" s="758" t="e">
        <v>#NAME?</v>
      </c>
      <c r="HA65" s="758" t="e">
        <v>#NAME?</v>
      </c>
      <c r="HB65" s="758" t="e">
        <v>#NAME?</v>
      </c>
      <c r="HC65" s="758" t="e">
        <v>#NAME?</v>
      </c>
      <c r="HD65" s="758" t="e">
        <v>#NAME?</v>
      </c>
      <c r="HE65" s="758" t="e">
        <v>#NAME?</v>
      </c>
      <c r="HF65" s="758" t="e">
        <v>#NAME?</v>
      </c>
      <c r="HG65" s="758" t="e">
        <v>#NAME?</v>
      </c>
      <c r="HH65" s="758" t="e">
        <v>#NAME?</v>
      </c>
      <c r="HI65" s="758" t="e">
        <v>#NAME?</v>
      </c>
      <c r="HJ65" s="758" t="e">
        <v>#NAME?</v>
      </c>
      <c r="HK65" s="758" t="e">
        <v>#NAME?</v>
      </c>
      <c r="HL65" s="758" t="e">
        <v>#NAME?</v>
      </c>
      <c r="HM65" s="758" t="e">
        <v>#NAME?</v>
      </c>
      <c r="HN65" s="758" t="e">
        <v>#NAME?</v>
      </c>
      <c r="HO65" s="758" t="e">
        <v>#NAME?</v>
      </c>
      <c r="HP65" s="758" t="e">
        <v>#NAME?</v>
      </c>
      <c r="HQ65" s="758" t="e">
        <v>#NAME?</v>
      </c>
      <c r="HT65" s="120" t="s">
        <v>661</v>
      </c>
      <c r="HU65" s="758">
        <v>0</v>
      </c>
      <c r="HV65" s="758">
        <v>0</v>
      </c>
      <c r="HW65" s="758">
        <v>0</v>
      </c>
      <c r="HX65" s="758">
        <v>0</v>
      </c>
      <c r="HY65" s="758">
        <v>0</v>
      </c>
    </row>
    <row r="66" spans="1:233" ht="15.75">
      <c r="A66" t="s">
        <v>140</v>
      </c>
      <c r="B66">
        <v>0</v>
      </c>
      <c r="D66" s="113" t="s">
        <v>187</v>
      </c>
      <c r="E66" s="104" t="e">
        <v>#VALUE!</v>
      </c>
      <c r="F66" s="104" t="e">
        <v>#VALUE!</v>
      </c>
      <c r="G66" s="104" t="e">
        <v>#VALUE!</v>
      </c>
      <c r="H66" s="104" t="e">
        <v>#VALUE!</v>
      </c>
      <c r="I66" s="104" t="e">
        <v>#VALUE!</v>
      </c>
      <c r="J66" s="104" t="e">
        <v>#VALUE!</v>
      </c>
      <c r="K66" s="104" t="e">
        <v>#VALUE!</v>
      </c>
      <c r="L66" s="104" t="e">
        <v>#VALUE!</v>
      </c>
      <c r="M66" s="104" t="e">
        <v>#VALUE!</v>
      </c>
      <c r="N66" s="104" t="e">
        <v>#VALUE!</v>
      </c>
      <c r="O66" s="104" t="e">
        <v>#VALUE!</v>
      </c>
      <c r="P66" s="104" t="e">
        <v>#VALUE!</v>
      </c>
      <c r="Q66" s="104" t="e">
        <v>#VALUE!</v>
      </c>
      <c r="R66" s="104" t="e">
        <v>#VALUE!</v>
      </c>
      <c r="S66" s="104" t="e">
        <v>#VALUE!</v>
      </c>
      <c r="T66" s="104" t="e">
        <v>#VALUE!</v>
      </c>
      <c r="U66" s="104" t="e">
        <v>#VALUE!</v>
      </c>
      <c r="V66" s="104" t="e">
        <v>#VALUE!</v>
      </c>
      <c r="W66" s="104" t="e">
        <v>#VALUE!</v>
      </c>
      <c r="X66" s="104" t="e">
        <v>#VALUE!</v>
      </c>
      <c r="Y66" s="104" t="e">
        <v>#VALUE!</v>
      </c>
      <c r="Z66" s="104" t="e">
        <v>#VALUE!</v>
      </c>
      <c r="AA66" s="104" t="e">
        <v>#VALUE!</v>
      </c>
      <c r="AB66" s="104" t="e">
        <v>#VALUE!</v>
      </c>
      <c r="AC66" s="104" t="e">
        <v>#VALUE!</v>
      </c>
      <c r="AD66" s="104" t="e">
        <v>#VALUE!</v>
      </c>
      <c r="AE66" s="104" t="e">
        <v>#VALUE!</v>
      </c>
      <c r="AF66" s="104" t="e">
        <v>#VALUE!</v>
      </c>
      <c r="AG66" s="104" t="e">
        <v>#VALUE!</v>
      </c>
      <c r="AH66" s="104" t="e">
        <v>#VALUE!</v>
      </c>
      <c r="AI66" s="104" t="e">
        <v>#VALUE!</v>
      </c>
      <c r="AJ66" s="104" t="e">
        <v>#VALUE!</v>
      </c>
      <c r="AK66" s="104" t="e">
        <v>#VALUE!</v>
      </c>
      <c r="AL66" s="104" t="e">
        <v>#VALUE!</v>
      </c>
      <c r="AM66" s="104" t="e">
        <v>#VALUE!</v>
      </c>
      <c r="AN66" s="104" t="e">
        <v>#NAME?</v>
      </c>
      <c r="AP66" s="113" t="s">
        <v>187</v>
      </c>
      <c r="AQ66" s="104">
        <v>0</v>
      </c>
      <c r="AR66" s="104">
        <v>0</v>
      </c>
      <c r="AS66" s="104">
        <v>0</v>
      </c>
      <c r="AT66" s="104">
        <v>0</v>
      </c>
      <c r="AU66" s="104">
        <v>0</v>
      </c>
      <c r="AW66">
        <v>0</v>
      </c>
      <c r="AX66" s="131" t="s">
        <v>188</v>
      </c>
      <c r="AY66" s="104" t="e">
        <v>#NAME?</v>
      </c>
      <c r="AZ66" s="104" t="e">
        <v>#NAME?</v>
      </c>
      <c r="BA66" s="104" t="e">
        <v>#NAME?</v>
      </c>
      <c r="BB66" s="104" t="e">
        <v>#NAME?</v>
      </c>
      <c r="BC66" s="104" t="e">
        <v>#NAME?</v>
      </c>
      <c r="BD66" s="104" t="e">
        <v>#NAME?</v>
      </c>
      <c r="BE66" s="104" t="e">
        <v>#NAME?</v>
      </c>
      <c r="BF66" s="104" t="e">
        <v>#NAME?</v>
      </c>
      <c r="BG66" s="104" t="e">
        <v>#NAME?</v>
      </c>
      <c r="BH66" s="104" t="e">
        <v>#NAME?</v>
      </c>
      <c r="BI66" s="104" t="e">
        <v>#NAME?</v>
      </c>
      <c r="BJ66" s="104" t="e">
        <v>#NAME?</v>
      </c>
      <c r="BK66" s="104" t="e">
        <v>#NAME?</v>
      </c>
      <c r="BL66" s="104" t="e">
        <v>#NAME?</v>
      </c>
      <c r="BM66" s="104" t="e">
        <v>#NAME?</v>
      </c>
      <c r="BN66" s="104" t="e">
        <v>#NAME?</v>
      </c>
      <c r="BO66" s="104" t="e">
        <v>#NAME?</v>
      </c>
      <c r="BP66" s="104" t="e">
        <v>#NAME?</v>
      </c>
      <c r="BQ66" s="104" t="e">
        <v>#NAME?</v>
      </c>
      <c r="BR66" s="104" t="e">
        <v>#NAME?</v>
      </c>
      <c r="BS66" s="104" t="e">
        <v>#NAME?</v>
      </c>
      <c r="BT66" s="104" t="e">
        <v>#NAME?</v>
      </c>
      <c r="BU66" s="104" t="e">
        <v>#NAME?</v>
      </c>
      <c r="BV66" s="104" t="e">
        <v>#NAME?</v>
      </c>
      <c r="BW66" s="104" t="e">
        <v>#NAME?</v>
      </c>
      <c r="BX66" s="104" t="e">
        <v>#NAME?</v>
      </c>
      <c r="BY66" s="104" t="e">
        <v>#NAME?</v>
      </c>
      <c r="BZ66" s="104" t="e">
        <v>#NAME?</v>
      </c>
      <c r="CA66" s="104" t="e">
        <v>#NAME?</v>
      </c>
      <c r="CB66" s="104" t="e">
        <v>#NAME?</v>
      </c>
      <c r="CC66" s="104" t="e">
        <v>#NAME?</v>
      </c>
      <c r="CD66" s="104" t="e">
        <v>#NAME?</v>
      </c>
      <c r="CE66" s="104" t="e">
        <v>#NAME?</v>
      </c>
      <c r="CF66" s="104" t="e">
        <v>#NAME?</v>
      </c>
      <c r="CG66" s="104" t="e">
        <v>#NAME?</v>
      </c>
      <c r="CH66" s="104" t="e">
        <v>#NAME?</v>
      </c>
      <c r="CK66" s="131" t="s">
        <v>188</v>
      </c>
      <c r="CL66" s="104">
        <v>0</v>
      </c>
      <c r="CM66" s="104">
        <v>0</v>
      </c>
      <c r="CN66" s="104">
        <v>0</v>
      </c>
      <c r="CO66" s="104">
        <v>0</v>
      </c>
      <c r="CP66" s="104">
        <v>0</v>
      </c>
      <c r="CS66" s="125" t="s">
        <v>189</v>
      </c>
      <c r="CT66" s="104" t="e">
        <v>#NAME?</v>
      </c>
      <c r="CU66" s="104" t="e">
        <v>#NAME?</v>
      </c>
      <c r="CV66" s="104" t="e">
        <v>#NAME?</v>
      </c>
      <c r="CW66" s="104" t="e">
        <v>#NAME?</v>
      </c>
      <c r="CX66" s="104" t="e">
        <v>#NAME?</v>
      </c>
      <c r="CY66" s="104" t="e">
        <v>#NAME?</v>
      </c>
      <c r="CZ66" s="104" t="e">
        <v>#NAME?</v>
      </c>
      <c r="DA66" s="104" t="e">
        <v>#NAME?</v>
      </c>
      <c r="DB66" s="104" t="e">
        <v>#NAME?</v>
      </c>
      <c r="DC66" s="104" t="e">
        <v>#NAME?</v>
      </c>
      <c r="DD66" s="104" t="e">
        <v>#NAME?</v>
      </c>
      <c r="DE66" s="104" t="e">
        <v>#NAME?</v>
      </c>
      <c r="DF66" s="104" t="e">
        <v>#NAME?</v>
      </c>
      <c r="DG66" s="104" t="e">
        <v>#NAME?</v>
      </c>
      <c r="DH66" s="104" t="e">
        <v>#NAME?</v>
      </c>
      <c r="DI66" s="104" t="e">
        <v>#NAME?</v>
      </c>
      <c r="DJ66" s="104" t="e">
        <v>#NAME?</v>
      </c>
      <c r="DK66" s="104" t="e">
        <v>#NAME?</v>
      </c>
      <c r="DL66" s="104" t="e">
        <v>#NAME?</v>
      </c>
      <c r="DM66" s="104" t="e">
        <v>#NAME?</v>
      </c>
      <c r="DN66" s="104" t="e">
        <v>#NAME?</v>
      </c>
      <c r="DO66" s="104" t="e">
        <v>#NAME?</v>
      </c>
      <c r="DP66" s="104" t="e">
        <v>#NAME?</v>
      </c>
      <c r="DQ66" s="104" t="e">
        <v>#NAME?</v>
      </c>
      <c r="DR66" s="104" t="e">
        <v>#NAME?</v>
      </c>
      <c r="DS66" s="104" t="e">
        <v>#NAME?</v>
      </c>
      <c r="DT66" s="104" t="e">
        <v>#NAME?</v>
      </c>
      <c r="DU66" s="104" t="e">
        <v>#NAME?</v>
      </c>
      <c r="DV66" s="104" t="e">
        <v>#NAME?</v>
      </c>
      <c r="DW66" s="104" t="e">
        <v>#NAME?</v>
      </c>
      <c r="DX66" s="104" t="e">
        <v>#NAME?</v>
      </c>
      <c r="DY66" s="104" t="e">
        <v>#NAME?</v>
      </c>
      <c r="DZ66" s="104" t="e">
        <v>#NAME?</v>
      </c>
      <c r="EA66" s="104" t="e">
        <v>#NAME?</v>
      </c>
      <c r="EB66" s="104" t="e">
        <v>#NAME?</v>
      </c>
      <c r="EC66" s="104" t="e">
        <v>#NAME?</v>
      </c>
      <c r="EE66" s="125" t="s">
        <v>189</v>
      </c>
      <c r="EF66" s="104">
        <v>0</v>
      </c>
      <c r="EG66" s="104">
        <v>0</v>
      </c>
      <c r="EH66" s="104">
        <v>0</v>
      </c>
      <c r="EI66" s="104">
        <v>0</v>
      </c>
      <c r="EJ66" s="104">
        <v>0</v>
      </c>
      <c r="GG66" s="120" t="s">
        <v>662</v>
      </c>
      <c r="GH66" s="758" t="e">
        <v>#NAME?</v>
      </c>
      <c r="GI66" s="758" t="e">
        <v>#NAME?</v>
      </c>
      <c r="GJ66" s="758" t="e">
        <v>#NAME?</v>
      </c>
      <c r="GK66" s="758" t="e">
        <v>#NAME?</v>
      </c>
      <c r="GL66" s="758" t="e">
        <v>#NAME?</v>
      </c>
      <c r="GM66" s="758" t="e">
        <v>#NAME?</v>
      </c>
      <c r="GN66" s="758" t="e">
        <v>#NAME?</v>
      </c>
      <c r="GO66" s="758" t="e">
        <v>#NAME?</v>
      </c>
      <c r="GP66" s="758" t="e">
        <v>#NAME?</v>
      </c>
      <c r="GQ66" s="758" t="e">
        <v>#NAME?</v>
      </c>
      <c r="GR66" s="758" t="e">
        <v>#NAME?</v>
      </c>
      <c r="GS66" s="758" t="e">
        <v>#NAME?</v>
      </c>
      <c r="GT66" s="758" t="e">
        <v>#NAME?</v>
      </c>
      <c r="GU66" s="758" t="e">
        <v>#NAME?</v>
      </c>
      <c r="GV66" s="758" t="e">
        <v>#NAME?</v>
      </c>
      <c r="GW66" s="758" t="e">
        <v>#NAME?</v>
      </c>
      <c r="GX66" s="758" t="e">
        <v>#NAME?</v>
      </c>
      <c r="GY66" s="758" t="e">
        <v>#NAME?</v>
      </c>
      <c r="GZ66" s="758" t="e">
        <v>#NAME?</v>
      </c>
      <c r="HA66" s="758" t="e">
        <v>#NAME?</v>
      </c>
      <c r="HB66" s="758" t="e">
        <v>#NAME?</v>
      </c>
      <c r="HC66" s="758" t="e">
        <v>#NAME?</v>
      </c>
      <c r="HD66" s="758" t="e">
        <v>#NAME?</v>
      </c>
      <c r="HE66" s="758" t="e">
        <v>#NAME?</v>
      </c>
      <c r="HF66" s="758" t="e">
        <v>#NAME?</v>
      </c>
      <c r="HG66" s="758" t="e">
        <v>#NAME?</v>
      </c>
      <c r="HH66" s="758" t="e">
        <v>#NAME?</v>
      </c>
      <c r="HI66" s="758" t="e">
        <v>#NAME?</v>
      </c>
      <c r="HJ66" s="758" t="e">
        <v>#NAME?</v>
      </c>
      <c r="HK66" s="758" t="e">
        <v>#NAME?</v>
      </c>
      <c r="HL66" s="758" t="e">
        <v>#NAME?</v>
      </c>
      <c r="HM66" s="758" t="e">
        <v>#NAME?</v>
      </c>
      <c r="HN66" s="758" t="e">
        <v>#NAME?</v>
      </c>
      <c r="HO66" s="758" t="e">
        <v>#NAME?</v>
      </c>
      <c r="HP66" s="758" t="e">
        <v>#NAME?</v>
      </c>
      <c r="HQ66" s="758" t="e">
        <v>#NAME?</v>
      </c>
      <c r="HT66" s="120" t="s">
        <v>662</v>
      </c>
      <c r="HU66" s="758">
        <v>0</v>
      </c>
      <c r="HV66" s="758">
        <v>0</v>
      </c>
      <c r="HW66" s="758">
        <v>0</v>
      </c>
      <c r="HX66" s="758">
        <v>0</v>
      </c>
      <c r="HY66" s="758">
        <v>0</v>
      </c>
    </row>
    <row r="67" spans="1:233" ht="15.75">
      <c r="A67" t="s">
        <v>140</v>
      </c>
      <c r="B67">
        <v>0</v>
      </c>
      <c r="D67" s="103" t="s">
        <v>190</v>
      </c>
      <c r="E67" s="96" t="e">
        <v>#VALUE!</v>
      </c>
      <c r="F67" s="96" t="e">
        <v>#VALUE!</v>
      </c>
      <c r="G67" s="96" t="e">
        <v>#VALUE!</v>
      </c>
      <c r="H67" s="96" t="e">
        <v>#VALUE!</v>
      </c>
      <c r="I67" s="96" t="e">
        <v>#VALUE!</v>
      </c>
      <c r="J67" s="96" t="e">
        <v>#VALUE!</v>
      </c>
      <c r="K67" s="96" t="e">
        <v>#VALUE!</v>
      </c>
      <c r="L67" s="96" t="e">
        <v>#VALUE!</v>
      </c>
      <c r="M67" s="96" t="e">
        <v>#VALUE!</v>
      </c>
      <c r="N67" s="96" t="e">
        <v>#VALUE!</v>
      </c>
      <c r="O67" s="96" t="e">
        <v>#VALUE!</v>
      </c>
      <c r="P67" s="96" t="e">
        <v>#VALUE!</v>
      </c>
      <c r="Q67" s="96" t="e">
        <v>#VALUE!</v>
      </c>
      <c r="R67" s="96" t="e">
        <v>#VALUE!</v>
      </c>
      <c r="S67" s="96" t="e">
        <v>#VALUE!</v>
      </c>
      <c r="T67" s="96" t="e">
        <v>#VALUE!</v>
      </c>
      <c r="U67" s="96" t="e">
        <v>#VALUE!</v>
      </c>
      <c r="V67" s="96" t="e">
        <v>#VALUE!</v>
      </c>
      <c r="W67" s="96" t="e">
        <v>#VALUE!</v>
      </c>
      <c r="X67" s="96" t="e">
        <v>#VALUE!</v>
      </c>
      <c r="Y67" s="96" t="e">
        <v>#VALUE!</v>
      </c>
      <c r="Z67" s="96" t="e">
        <v>#VALUE!</v>
      </c>
      <c r="AA67" s="96" t="e">
        <v>#VALUE!</v>
      </c>
      <c r="AB67" s="96" t="e">
        <v>#VALUE!</v>
      </c>
      <c r="AC67" s="96" t="e">
        <v>#VALUE!</v>
      </c>
      <c r="AD67" s="96" t="e">
        <v>#VALUE!</v>
      </c>
      <c r="AE67" s="96" t="e">
        <v>#VALUE!</v>
      </c>
      <c r="AF67" s="96" t="e">
        <v>#VALUE!</v>
      </c>
      <c r="AG67" s="96" t="e">
        <v>#VALUE!</v>
      </c>
      <c r="AH67" s="96" t="e">
        <v>#VALUE!</v>
      </c>
      <c r="AI67" s="96" t="e">
        <v>#VALUE!</v>
      </c>
      <c r="AJ67" s="96" t="e">
        <v>#VALUE!</v>
      </c>
      <c r="AK67" s="96" t="e">
        <v>#VALUE!</v>
      </c>
      <c r="AL67" s="96" t="e">
        <v>#VALUE!</v>
      </c>
      <c r="AM67" s="96" t="e">
        <v>#VALUE!</v>
      </c>
      <c r="AN67" s="96" t="e">
        <v>#NAME?</v>
      </c>
      <c r="AP67" s="103" t="s">
        <v>190</v>
      </c>
      <c r="AQ67" s="96">
        <v>0</v>
      </c>
      <c r="AR67" s="96">
        <v>0</v>
      </c>
      <c r="AS67" s="96">
        <v>0</v>
      </c>
      <c r="AT67" s="96">
        <v>0</v>
      </c>
      <c r="AU67" s="96">
        <v>0</v>
      </c>
      <c r="AW67">
        <v>0</v>
      </c>
      <c r="AX67" s="131" t="s">
        <v>191</v>
      </c>
      <c r="AY67" s="104" t="e">
        <v>#NAME?</v>
      </c>
      <c r="AZ67" s="104" t="e">
        <v>#NAME?</v>
      </c>
      <c r="BA67" s="104" t="e">
        <v>#NAME?</v>
      </c>
      <c r="BB67" s="104" t="e">
        <v>#NAME?</v>
      </c>
      <c r="BC67" s="104" t="e">
        <v>#NAME?</v>
      </c>
      <c r="BD67" s="104" t="e">
        <v>#NAME?</v>
      </c>
      <c r="BE67" s="104" t="e">
        <v>#NAME?</v>
      </c>
      <c r="BF67" s="104" t="e">
        <v>#NAME?</v>
      </c>
      <c r="BG67" s="104" t="e">
        <v>#NAME?</v>
      </c>
      <c r="BH67" s="104" t="e">
        <v>#NAME?</v>
      </c>
      <c r="BI67" s="104" t="e">
        <v>#NAME?</v>
      </c>
      <c r="BJ67" s="104" t="e">
        <v>#NAME?</v>
      </c>
      <c r="BK67" s="104" t="e">
        <v>#NAME?</v>
      </c>
      <c r="BL67" s="104" t="e">
        <v>#NAME?</v>
      </c>
      <c r="BM67" s="104" t="e">
        <v>#NAME?</v>
      </c>
      <c r="BN67" s="104" t="e">
        <v>#NAME?</v>
      </c>
      <c r="BO67" s="104" t="e">
        <v>#NAME?</v>
      </c>
      <c r="BP67" s="104" t="e">
        <v>#NAME?</v>
      </c>
      <c r="BQ67" s="104" t="e">
        <v>#NAME?</v>
      </c>
      <c r="BR67" s="104" t="e">
        <v>#NAME?</v>
      </c>
      <c r="BS67" s="104" t="e">
        <v>#NAME?</v>
      </c>
      <c r="BT67" s="104" t="e">
        <v>#NAME?</v>
      </c>
      <c r="BU67" s="104" t="e">
        <v>#NAME?</v>
      </c>
      <c r="BV67" s="104" t="e">
        <v>#NAME?</v>
      </c>
      <c r="BW67" s="104" t="e">
        <v>#NAME?</v>
      </c>
      <c r="BX67" s="104" t="e">
        <v>#NAME?</v>
      </c>
      <c r="BY67" s="104" t="e">
        <v>#NAME?</v>
      </c>
      <c r="BZ67" s="104" t="e">
        <v>#NAME?</v>
      </c>
      <c r="CA67" s="104" t="e">
        <v>#NAME?</v>
      </c>
      <c r="CB67" s="104" t="e">
        <v>#NAME?</v>
      </c>
      <c r="CC67" s="104" t="e">
        <v>#NAME?</v>
      </c>
      <c r="CD67" s="104" t="e">
        <v>#NAME?</v>
      </c>
      <c r="CE67" s="104" t="e">
        <v>#NAME?</v>
      </c>
      <c r="CF67" s="104" t="e">
        <v>#NAME?</v>
      </c>
      <c r="CG67" s="104" t="e">
        <v>#NAME?</v>
      </c>
      <c r="CH67" s="104" t="e">
        <v>#NAME?</v>
      </c>
      <c r="CK67" s="131" t="s">
        <v>191</v>
      </c>
      <c r="CL67" s="104">
        <v>0</v>
      </c>
      <c r="CM67" s="104">
        <v>0</v>
      </c>
      <c r="CN67" s="104">
        <v>0</v>
      </c>
      <c r="CO67" s="104">
        <v>0</v>
      </c>
      <c r="CP67" s="104">
        <v>0</v>
      </c>
      <c r="CS67" s="115" t="s">
        <v>192</v>
      </c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E67" s="115" t="s">
        <v>192</v>
      </c>
      <c r="EF67" s="116">
        <v>0</v>
      </c>
      <c r="EG67" s="116">
        <v>0</v>
      </c>
      <c r="EH67" s="116">
        <v>0</v>
      </c>
      <c r="EI67" s="116">
        <v>0</v>
      </c>
      <c r="EJ67" s="116">
        <v>0</v>
      </c>
    </row>
    <row r="68" spans="1:233" ht="15.75">
      <c r="A68" t="s">
        <v>140</v>
      </c>
      <c r="B68">
        <v>0</v>
      </c>
      <c r="D68" s="103" t="s">
        <v>140</v>
      </c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  <c r="AN68" s="121"/>
      <c r="AP68" s="103" t="s">
        <v>140</v>
      </c>
      <c r="AQ68" s="121"/>
      <c r="AR68" s="121"/>
      <c r="AS68" s="121"/>
      <c r="AT68" s="121"/>
      <c r="AU68" s="121"/>
      <c r="AW68" s="78">
        <v>0</v>
      </c>
      <c r="AX68" s="115" t="s">
        <v>193</v>
      </c>
      <c r="AY68" s="116" t="e">
        <v>#NAME?</v>
      </c>
      <c r="AZ68" s="116" t="e">
        <v>#NAME?</v>
      </c>
      <c r="BA68" s="116" t="e">
        <v>#NAME?</v>
      </c>
      <c r="BB68" s="116" t="e">
        <v>#NAME?</v>
      </c>
      <c r="BC68" s="116" t="e">
        <v>#NAME?</v>
      </c>
      <c r="BD68" s="116" t="e">
        <v>#NAME?</v>
      </c>
      <c r="BE68" s="116" t="e">
        <v>#NAME?</v>
      </c>
      <c r="BF68" s="116" t="e">
        <v>#NAME?</v>
      </c>
      <c r="BG68" s="116" t="e">
        <v>#NAME?</v>
      </c>
      <c r="BH68" s="116" t="e">
        <v>#NAME?</v>
      </c>
      <c r="BI68" s="116" t="e">
        <v>#NAME?</v>
      </c>
      <c r="BJ68" s="116" t="e">
        <v>#NAME?</v>
      </c>
      <c r="BK68" s="116" t="e">
        <v>#NAME?</v>
      </c>
      <c r="BL68" s="116" t="e">
        <v>#NAME?</v>
      </c>
      <c r="BM68" s="116" t="e">
        <v>#NAME?</v>
      </c>
      <c r="BN68" s="116" t="e">
        <v>#NAME?</v>
      </c>
      <c r="BO68" s="116" t="e">
        <v>#NAME?</v>
      </c>
      <c r="BP68" s="116" t="e">
        <v>#NAME?</v>
      </c>
      <c r="BQ68" s="116" t="e">
        <v>#NAME?</v>
      </c>
      <c r="BR68" s="116" t="e">
        <v>#NAME?</v>
      </c>
      <c r="BS68" s="116" t="e">
        <v>#NAME?</v>
      </c>
      <c r="BT68" s="116" t="e">
        <v>#NAME?</v>
      </c>
      <c r="BU68" s="116" t="e">
        <v>#NAME?</v>
      </c>
      <c r="BV68" s="116" t="e">
        <v>#NAME?</v>
      </c>
      <c r="BW68" s="116" t="e">
        <v>#NAME?</v>
      </c>
      <c r="BX68" s="116" t="e">
        <v>#NAME?</v>
      </c>
      <c r="BY68" s="116" t="e">
        <v>#NAME?</v>
      </c>
      <c r="BZ68" s="116" t="e">
        <v>#NAME?</v>
      </c>
      <c r="CA68" s="116" t="e">
        <v>#NAME?</v>
      </c>
      <c r="CB68" s="116" t="e">
        <v>#NAME?</v>
      </c>
      <c r="CC68" s="116" t="e">
        <v>#NAME?</v>
      </c>
      <c r="CD68" s="116" t="e">
        <v>#NAME?</v>
      </c>
      <c r="CE68" s="116" t="e">
        <v>#NAME?</v>
      </c>
      <c r="CF68" s="116" t="e">
        <v>#NAME?</v>
      </c>
      <c r="CG68" s="116" t="e">
        <v>#NAME?</v>
      </c>
      <c r="CH68" s="116" t="e">
        <v>#NAME?</v>
      </c>
      <c r="CK68" s="115" t="s">
        <v>193</v>
      </c>
      <c r="CL68" s="116">
        <v>0</v>
      </c>
      <c r="CM68" s="116">
        <v>0</v>
      </c>
      <c r="CN68" s="116">
        <v>0</v>
      </c>
      <c r="CO68" s="116">
        <v>0</v>
      </c>
      <c r="CP68" s="116">
        <v>0</v>
      </c>
      <c r="CS68" s="132" t="s">
        <v>194</v>
      </c>
      <c r="CT68" s="133"/>
      <c r="CU68" s="133"/>
      <c r="CV68" s="133"/>
      <c r="CW68" s="133"/>
      <c r="CX68" s="133"/>
      <c r="CY68" s="133"/>
      <c r="CZ68" s="133"/>
      <c r="DA68" s="133"/>
      <c r="DB68" s="133"/>
      <c r="DC68" s="133"/>
      <c r="DD68" s="133"/>
      <c r="DE68" s="133"/>
      <c r="DF68" s="133"/>
      <c r="DG68" s="133"/>
      <c r="DH68" s="133"/>
      <c r="DI68" s="133"/>
      <c r="DJ68" s="133"/>
      <c r="DK68" s="133"/>
      <c r="DL68" s="133"/>
      <c r="DM68" s="133"/>
      <c r="DN68" s="133"/>
      <c r="DO68" s="133"/>
      <c r="DP68" s="133"/>
      <c r="DQ68" s="133"/>
      <c r="DR68" s="133"/>
      <c r="DS68" s="133"/>
      <c r="DT68" s="133"/>
      <c r="DU68" s="133"/>
      <c r="DV68" s="133"/>
      <c r="DW68" s="133"/>
      <c r="DX68" s="133"/>
      <c r="DY68" s="133"/>
      <c r="DZ68" s="133"/>
      <c r="EA68" s="133"/>
      <c r="EB68" s="133"/>
      <c r="EC68" s="133"/>
      <c r="EE68" s="132" t="s">
        <v>194</v>
      </c>
      <c r="EF68" s="133"/>
      <c r="EG68" s="133"/>
      <c r="EH68" s="133"/>
      <c r="EI68" s="133"/>
      <c r="EJ68" s="133"/>
    </row>
    <row r="69" spans="1:233" ht="15.75">
      <c r="A69" t="s">
        <v>140</v>
      </c>
      <c r="B69">
        <v>0</v>
      </c>
      <c r="D69" s="103" t="s">
        <v>195</v>
      </c>
      <c r="E69" s="96" t="e">
        <v>#VALUE!</v>
      </c>
      <c r="F69" s="96" t="e">
        <v>#VALUE!</v>
      </c>
      <c r="G69" s="96" t="e">
        <v>#VALUE!</v>
      </c>
      <c r="H69" s="96" t="e">
        <v>#VALUE!</v>
      </c>
      <c r="I69" s="96" t="e">
        <v>#VALUE!</v>
      </c>
      <c r="J69" s="96" t="e">
        <v>#VALUE!</v>
      </c>
      <c r="K69" s="96" t="e">
        <v>#VALUE!</v>
      </c>
      <c r="L69" s="96" t="e">
        <v>#VALUE!</v>
      </c>
      <c r="M69" s="96" t="e">
        <v>#VALUE!</v>
      </c>
      <c r="N69" s="96" t="e">
        <v>#VALUE!</v>
      </c>
      <c r="O69" s="96" t="e">
        <v>#VALUE!</v>
      </c>
      <c r="P69" s="96" t="e">
        <v>#VALUE!</v>
      </c>
      <c r="Q69" s="96" t="e">
        <v>#VALUE!</v>
      </c>
      <c r="R69" s="96" t="e">
        <v>#VALUE!</v>
      </c>
      <c r="S69" s="96" t="e">
        <v>#VALUE!</v>
      </c>
      <c r="T69" s="96" t="e">
        <v>#VALUE!</v>
      </c>
      <c r="U69" s="96" t="e">
        <v>#VALUE!</v>
      </c>
      <c r="V69" s="96" t="e">
        <v>#VALUE!</v>
      </c>
      <c r="W69" s="96" t="e">
        <v>#VALUE!</v>
      </c>
      <c r="X69" s="96" t="e">
        <v>#VALUE!</v>
      </c>
      <c r="Y69" s="96" t="e">
        <v>#VALUE!</v>
      </c>
      <c r="Z69" s="96" t="e">
        <v>#VALUE!</v>
      </c>
      <c r="AA69" s="96" t="e">
        <v>#VALUE!</v>
      </c>
      <c r="AB69" s="96" t="e">
        <v>#VALUE!</v>
      </c>
      <c r="AC69" s="96" t="e">
        <v>#VALUE!</v>
      </c>
      <c r="AD69" s="96" t="e">
        <v>#VALUE!</v>
      </c>
      <c r="AE69" s="96" t="e">
        <v>#VALUE!</v>
      </c>
      <c r="AF69" s="96" t="e">
        <v>#VALUE!</v>
      </c>
      <c r="AG69" s="96" t="e">
        <v>#VALUE!</v>
      </c>
      <c r="AH69" s="96" t="e">
        <v>#VALUE!</v>
      </c>
      <c r="AI69" s="96" t="e">
        <v>#VALUE!</v>
      </c>
      <c r="AJ69" s="96" t="e">
        <v>#VALUE!</v>
      </c>
      <c r="AK69" s="96" t="e">
        <v>#VALUE!</v>
      </c>
      <c r="AL69" s="96" t="e">
        <v>#VALUE!</v>
      </c>
      <c r="AM69" s="96" t="e">
        <v>#VALUE!</v>
      </c>
      <c r="AN69" s="96" t="e">
        <v>#NAME?</v>
      </c>
      <c r="AP69" s="103" t="s">
        <v>195</v>
      </c>
      <c r="AQ69" s="96"/>
      <c r="AR69" s="96"/>
      <c r="AS69" s="96"/>
      <c r="AT69" s="96"/>
      <c r="AU69" s="96"/>
      <c r="AX69" s="127" t="s">
        <v>157</v>
      </c>
      <c r="AY69" s="119"/>
      <c r="AZ69" s="119"/>
      <c r="BA69" s="119"/>
      <c r="BB69" s="119"/>
      <c r="BC69" s="119"/>
      <c r="BD69" s="119"/>
      <c r="BE69" s="119"/>
      <c r="BF69" s="119"/>
      <c r="BG69" s="119"/>
      <c r="BH69" s="119"/>
      <c r="BI69" s="119"/>
      <c r="BJ69" s="119"/>
      <c r="BK69" s="119"/>
      <c r="BL69" s="119"/>
      <c r="BM69" s="119"/>
      <c r="BN69" s="119"/>
      <c r="BO69" s="119"/>
      <c r="BP69" s="119"/>
      <c r="BQ69" s="119"/>
      <c r="BR69" s="119"/>
      <c r="BS69" s="119"/>
      <c r="BT69" s="119"/>
      <c r="BU69" s="119"/>
      <c r="BV69" s="119"/>
      <c r="BW69" s="119"/>
      <c r="BX69" s="119"/>
      <c r="BY69" s="119"/>
      <c r="BZ69" s="119"/>
      <c r="CA69" s="119"/>
      <c r="CB69" s="119"/>
      <c r="CC69" s="119"/>
      <c r="CD69" s="119"/>
      <c r="CE69" s="119"/>
      <c r="CF69" s="119"/>
      <c r="CG69" s="119"/>
      <c r="CH69" s="119"/>
      <c r="CK69" s="127" t="s">
        <v>157</v>
      </c>
      <c r="CL69" s="119"/>
      <c r="CM69" s="119"/>
      <c r="CN69" s="119"/>
      <c r="CO69" s="119"/>
      <c r="CP69" s="119"/>
      <c r="CS69" s="134"/>
      <c r="CT69" s="135"/>
      <c r="CU69" s="135"/>
      <c r="CV69" s="135"/>
      <c r="CW69" s="135"/>
      <c r="CX69" s="135"/>
      <c r="CY69" s="135"/>
      <c r="CZ69" s="135"/>
      <c r="DA69" s="135"/>
      <c r="DB69" s="135"/>
      <c r="DC69" s="135"/>
      <c r="DD69" s="135"/>
      <c r="DE69" s="135"/>
      <c r="DF69" s="135"/>
      <c r="DG69" s="135"/>
      <c r="DH69" s="135"/>
      <c r="DI69" s="135"/>
      <c r="DJ69" s="135"/>
      <c r="DK69" s="135"/>
      <c r="DL69" s="135"/>
      <c r="DM69" s="135"/>
      <c r="DN69" s="135"/>
      <c r="DO69" s="135"/>
      <c r="DP69" s="135"/>
      <c r="DQ69" s="135"/>
      <c r="DR69" s="135"/>
      <c r="DS69" s="135"/>
      <c r="DT69" s="135"/>
      <c r="DU69" s="135"/>
      <c r="DV69" s="135"/>
      <c r="DW69" s="135"/>
      <c r="DX69" s="135"/>
      <c r="DY69" s="135"/>
      <c r="DZ69" s="135"/>
      <c r="EA69" s="135"/>
      <c r="EB69" s="135"/>
      <c r="EC69" s="135"/>
      <c r="EE69" s="134"/>
      <c r="EF69" s="135"/>
      <c r="EG69" s="135"/>
      <c r="EH69" s="135"/>
      <c r="EI69" s="135"/>
      <c r="EJ69" s="135"/>
      <c r="GG69" s="120"/>
    </row>
    <row r="70" spans="1:233" ht="15.75">
      <c r="A70" t="s">
        <v>140</v>
      </c>
      <c r="B70">
        <v>0</v>
      </c>
      <c r="D70" s="117" t="s">
        <v>196</v>
      </c>
      <c r="E70" s="104" t="e">
        <v>#VALUE!</v>
      </c>
      <c r="F70" s="104" t="e">
        <v>#VALUE!</v>
      </c>
      <c r="G70" s="104" t="e">
        <v>#VALUE!</v>
      </c>
      <c r="H70" s="104" t="e">
        <v>#VALUE!</v>
      </c>
      <c r="I70" s="104" t="e">
        <v>#VALUE!</v>
      </c>
      <c r="J70" s="104" t="e">
        <v>#VALUE!</v>
      </c>
      <c r="K70" s="104" t="e">
        <v>#VALUE!</v>
      </c>
      <c r="L70" s="104" t="e">
        <v>#VALUE!</v>
      </c>
      <c r="M70" s="104" t="e">
        <v>#VALUE!</v>
      </c>
      <c r="N70" s="104" t="e">
        <v>#VALUE!</v>
      </c>
      <c r="O70" s="104" t="e">
        <v>#VALUE!</v>
      </c>
      <c r="P70" s="104" t="e">
        <v>#VALUE!</v>
      </c>
      <c r="Q70" s="104" t="e">
        <v>#VALUE!</v>
      </c>
      <c r="R70" s="104" t="e">
        <v>#VALUE!</v>
      </c>
      <c r="S70" s="104" t="e">
        <v>#VALUE!</v>
      </c>
      <c r="T70" s="104" t="e">
        <v>#VALUE!</v>
      </c>
      <c r="U70" s="104" t="e">
        <v>#VALUE!</v>
      </c>
      <c r="V70" s="104" t="e">
        <v>#VALUE!</v>
      </c>
      <c r="W70" s="104" t="e">
        <v>#VALUE!</v>
      </c>
      <c r="X70" s="104" t="e">
        <v>#VALUE!</v>
      </c>
      <c r="Y70" s="104" t="e">
        <v>#VALUE!</v>
      </c>
      <c r="Z70" s="104" t="e">
        <v>#VALUE!</v>
      </c>
      <c r="AA70" s="104" t="e">
        <v>#VALUE!</v>
      </c>
      <c r="AB70" s="104" t="e">
        <v>#VALUE!</v>
      </c>
      <c r="AC70" s="104" t="e">
        <v>#VALUE!</v>
      </c>
      <c r="AD70" s="104" t="e">
        <v>#VALUE!</v>
      </c>
      <c r="AE70" s="104" t="e">
        <v>#VALUE!</v>
      </c>
      <c r="AF70" s="104" t="e">
        <v>#VALUE!</v>
      </c>
      <c r="AG70" s="104" t="e">
        <v>#VALUE!</v>
      </c>
      <c r="AH70" s="104" t="e">
        <v>#VALUE!</v>
      </c>
      <c r="AI70" s="104" t="e">
        <v>#VALUE!</v>
      </c>
      <c r="AJ70" s="104" t="e">
        <v>#VALUE!</v>
      </c>
      <c r="AK70" s="104" t="e">
        <v>#VALUE!</v>
      </c>
      <c r="AL70" s="104" t="e">
        <v>#VALUE!</v>
      </c>
      <c r="AM70" s="104" t="e">
        <v>#VALUE!</v>
      </c>
      <c r="AN70" s="104" t="e">
        <v>#NAME?</v>
      </c>
      <c r="AP70" s="117" t="s">
        <v>196</v>
      </c>
      <c r="AQ70" s="104">
        <v>0</v>
      </c>
      <c r="AR70" s="104">
        <v>0</v>
      </c>
      <c r="AS70" s="104">
        <v>0</v>
      </c>
      <c r="AT70" s="104">
        <v>0</v>
      </c>
      <c r="AU70" s="104">
        <v>0</v>
      </c>
      <c r="AX70" s="120" t="s">
        <v>140</v>
      </c>
      <c r="AY70" s="96"/>
      <c r="AZ70" s="96"/>
      <c r="BA70" s="96"/>
      <c r="BB70" s="96"/>
      <c r="BC70" s="96"/>
      <c r="BD70" s="96"/>
      <c r="BE70" s="96"/>
      <c r="BF70" s="96"/>
      <c r="BG70" s="96"/>
      <c r="BH70" s="96"/>
      <c r="BI70" s="96"/>
      <c r="BJ70" s="96"/>
      <c r="BK70" s="96"/>
      <c r="BL70" s="96"/>
      <c r="BM70" s="96"/>
      <c r="BN70" s="96"/>
      <c r="BO70" s="96"/>
      <c r="BP70" s="96"/>
      <c r="BQ70" s="96"/>
      <c r="BR70" s="96"/>
      <c r="BS70" s="96"/>
      <c r="BT70" s="96"/>
      <c r="BU70" s="96"/>
      <c r="BV70" s="96"/>
      <c r="BW70" s="96"/>
      <c r="BX70" s="96"/>
      <c r="BY70" s="96"/>
      <c r="BZ70" s="96"/>
      <c r="CA70" s="96"/>
      <c r="CB70" s="96"/>
      <c r="CC70" s="96"/>
      <c r="CD70" s="96"/>
      <c r="CE70" s="96"/>
      <c r="CF70" s="96"/>
      <c r="CG70" s="96"/>
      <c r="CH70" s="96"/>
      <c r="CK70" s="120" t="s">
        <v>140</v>
      </c>
      <c r="CL70" s="96"/>
      <c r="CM70" s="96"/>
      <c r="CN70" s="96"/>
      <c r="CO70" s="96"/>
      <c r="CP70" s="96"/>
      <c r="CS70" s="124" t="s">
        <v>104</v>
      </c>
      <c r="CT70" s="136" t="e">
        <v>#NAME?</v>
      </c>
      <c r="CU70" s="136" t="e">
        <v>#NAME?</v>
      </c>
      <c r="CV70" s="136" t="e">
        <v>#NAME?</v>
      </c>
      <c r="CW70" s="136" t="e">
        <v>#NAME?</v>
      </c>
      <c r="CX70" s="136" t="e">
        <v>#NAME?</v>
      </c>
      <c r="CY70" s="136" t="e">
        <v>#NAME?</v>
      </c>
      <c r="CZ70" s="136" t="e">
        <v>#NAME?</v>
      </c>
      <c r="DA70" s="136" t="e">
        <v>#NAME?</v>
      </c>
      <c r="DB70" s="136" t="e">
        <v>#NAME?</v>
      </c>
      <c r="DC70" s="136" t="e">
        <v>#NAME?</v>
      </c>
      <c r="DD70" s="136" t="e">
        <v>#NAME?</v>
      </c>
      <c r="DE70" s="136" t="e">
        <v>#NAME?</v>
      </c>
      <c r="DF70" s="136" t="e">
        <v>#NAME?</v>
      </c>
      <c r="DG70" s="136" t="e">
        <v>#NAME?</v>
      </c>
      <c r="DH70" s="136" t="e">
        <v>#NAME?</v>
      </c>
      <c r="DI70" s="136" t="e">
        <v>#NAME?</v>
      </c>
      <c r="DJ70" s="136" t="e">
        <v>#NAME?</v>
      </c>
      <c r="DK70" s="136" t="e">
        <v>#NAME?</v>
      </c>
      <c r="DL70" s="136" t="e">
        <v>#NAME?</v>
      </c>
      <c r="DM70" s="136" t="e">
        <v>#NAME?</v>
      </c>
      <c r="DN70" s="136" t="e">
        <v>#NAME?</v>
      </c>
      <c r="DO70" s="136" t="e">
        <v>#NAME?</v>
      </c>
      <c r="DP70" s="136" t="e">
        <v>#NAME?</v>
      </c>
      <c r="DQ70" s="136" t="e">
        <v>#NAME?</v>
      </c>
      <c r="DR70" s="136" t="e">
        <v>#NAME?</v>
      </c>
      <c r="DS70" s="136" t="e">
        <v>#NAME?</v>
      </c>
      <c r="DT70" s="136" t="e">
        <v>#NAME?</v>
      </c>
      <c r="DU70" s="136" t="e">
        <v>#NAME?</v>
      </c>
      <c r="DV70" s="136" t="e">
        <v>#NAME?</v>
      </c>
      <c r="DW70" s="136" t="e">
        <v>#NAME?</v>
      </c>
      <c r="DX70" s="136" t="e">
        <v>#NAME?</v>
      </c>
      <c r="DY70" s="136" t="e">
        <v>#NAME?</v>
      </c>
      <c r="DZ70" s="136" t="e">
        <v>#NAME?</v>
      </c>
      <c r="EA70" s="136" t="e">
        <v>#NAME?</v>
      </c>
      <c r="EB70" s="136" t="e">
        <v>#NAME?</v>
      </c>
      <c r="EC70" s="136" t="e">
        <v>#NAME?</v>
      </c>
      <c r="EE70" s="124" t="s">
        <v>104</v>
      </c>
      <c r="EF70" s="136">
        <v>0</v>
      </c>
      <c r="EG70" s="136">
        <v>0</v>
      </c>
      <c r="EH70" s="136">
        <v>0</v>
      </c>
      <c r="EI70" s="136">
        <v>0</v>
      </c>
      <c r="EJ70" s="136">
        <v>0</v>
      </c>
      <c r="GF70" t="s">
        <v>527</v>
      </c>
      <c r="GG70" t="s">
        <v>70</v>
      </c>
      <c r="GH70" s="11" t="e">
        <v>#NAME?</v>
      </c>
      <c r="GI70" s="11" t="e">
        <v>#NAME?</v>
      </c>
      <c r="GJ70" s="11" t="e">
        <v>#NAME?</v>
      </c>
      <c r="GK70" s="11" t="e">
        <v>#NAME?</v>
      </c>
      <c r="GL70" s="11" t="e">
        <v>#NAME?</v>
      </c>
      <c r="GM70" s="11" t="e">
        <v>#NAME?</v>
      </c>
      <c r="GN70" s="11" t="e">
        <v>#NAME?</v>
      </c>
      <c r="GO70" s="11" t="e">
        <v>#NAME?</v>
      </c>
      <c r="GP70" s="11" t="e">
        <v>#NAME?</v>
      </c>
      <c r="GQ70" s="11" t="e">
        <v>#NAME?</v>
      </c>
      <c r="GR70" s="11" t="e">
        <v>#NAME?</v>
      </c>
      <c r="GS70" s="11" t="e">
        <v>#NAME?</v>
      </c>
      <c r="GT70" s="11" t="e">
        <v>#NAME?</v>
      </c>
      <c r="GU70" s="11" t="e">
        <v>#NAME?</v>
      </c>
      <c r="GV70" s="11" t="e">
        <v>#NAME?</v>
      </c>
      <c r="GW70" s="11" t="e">
        <v>#NAME?</v>
      </c>
      <c r="GX70" s="11" t="e">
        <v>#NAME?</v>
      </c>
      <c r="GY70" s="11" t="e">
        <v>#NAME?</v>
      </c>
      <c r="GZ70" s="11" t="e">
        <v>#NAME?</v>
      </c>
      <c r="HA70" s="11" t="e">
        <v>#NAME?</v>
      </c>
      <c r="HB70" s="11" t="e">
        <v>#NAME?</v>
      </c>
      <c r="HC70" s="11" t="e">
        <v>#NAME?</v>
      </c>
      <c r="HD70" s="11" t="e">
        <v>#NAME?</v>
      </c>
      <c r="HE70" s="11" t="e">
        <v>#NAME?</v>
      </c>
      <c r="HF70" s="11" t="e">
        <v>#NAME?</v>
      </c>
      <c r="HG70" s="11" t="e">
        <v>#NAME?</v>
      </c>
      <c r="HH70" s="11" t="e">
        <v>#NAME?</v>
      </c>
      <c r="HI70" s="11" t="e">
        <v>#NAME?</v>
      </c>
      <c r="HJ70" s="11" t="e">
        <v>#NAME?</v>
      </c>
      <c r="HK70" s="11" t="e">
        <v>#NAME?</v>
      </c>
      <c r="HL70" s="11" t="e">
        <v>#NAME?</v>
      </c>
      <c r="HM70" s="11" t="e">
        <v>#NAME?</v>
      </c>
      <c r="HN70" s="11" t="e">
        <v>#NAME?</v>
      </c>
      <c r="HO70" s="11" t="e">
        <v>#NAME?</v>
      </c>
      <c r="HP70" s="11" t="e">
        <v>#NAME?</v>
      </c>
      <c r="HQ70" s="11" t="e">
        <v>#NAME?</v>
      </c>
      <c r="HS70" t="s">
        <v>527</v>
      </c>
      <c r="HT70" t="s">
        <v>70</v>
      </c>
      <c r="HU70" s="11">
        <v>0</v>
      </c>
      <c r="HV70" s="11">
        <v>0</v>
      </c>
      <c r="HW70" s="11">
        <v>0</v>
      </c>
      <c r="HX70" s="11">
        <v>0</v>
      </c>
      <c r="HY70" s="11">
        <v>0</v>
      </c>
    </row>
    <row r="71" spans="1:233" ht="15.75">
      <c r="A71" t="s">
        <v>140</v>
      </c>
      <c r="B71">
        <v>0</v>
      </c>
      <c r="D71" s="117" t="s">
        <v>197</v>
      </c>
      <c r="E71" s="104" t="e">
        <v>#VALUE!</v>
      </c>
      <c r="F71" s="104" t="e">
        <v>#VALUE!</v>
      </c>
      <c r="G71" s="104" t="e">
        <v>#VALUE!</v>
      </c>
      <c r="H71" s="104" t="e">
        <v>#VALUE!</v>
      </c>
      <c r="I71" s="104" t="e">
        <v>#VALUE!</v>
      </c>
      <c r="J71" s="104" t="e">
        <v>#VALUE!</v>
      </c>
      <c r="K71" s="104" t="e">
        <v>#VALUE!</v>
      </c>
      <c r="L71" s="104" t="e">
        <v>#VALUE!</v>
      </c>
      <c r="M71" s="104" t="e">
        <v>#VALUE!</v>
      </c>
      <c r="N71" s="104" t="e">
        <v>#VALUE!</v>
      </c>
      <c r="O71" s="104" t="e">
        <v>#VALUE!</v>
      </c>
      <c r="P71" s="104" t="e">
        <v>#VALUE!</v>
      </c>
      <c r="Q71" s="104" t="e">
        <v>#VALUE!</v>
      </c>
      <c r="R71" s="104" t="e">
        <v>#VALUE!</v>
      </c>
      <c r="S71" s="104" t="e">
        <v>#VALUE!</v>
      </c>
      <c r="T71" s="104" t="e">
        <v>#VALUE!</v>
      </c>
      <c r="U71" s="104" t="e">
        <v>#VALUE!</v>
      </c>
      <c r="V71" s="104" t="e">
        <v>#VALUE!</v>
      </c>
      <c r="W71" s="104" t="e">
        <v>#VALUE!</v>
      </c>
      <c r="X71" s="104" t="e">
        <v>#VALUE!</v>
      </c>
      <c r="Y71" s="104" t="e">
        <v>#VALUE!</v>
      </c>
      <c r="Z71" s="104" t="e">
        <v>#VALUE!</v>
      </c>
      <c r="AA71" s="104" t="e">
        <v>#VALUE!</v>
      </c>
      <c r="AB71" s="104" t="e">
        <v>#VALUE!</v>
      </c>
      <c r="AC71" s="104" t="e">
        <v>#VALUE!</v>
      </c>
      <c r="AD71" s="104" t="e">
        <v>#VALUE!</v>
      </c>
      <c r="AE71" s="104" t="e">
        <v>#VALUE!</v>
      </c>
      <c r="AF71" s="104" t="e">
        <v>#VALUE!</v>
      </c>
      <c r="AG71" s="104" t="e">
        <v>#VALUE!</v>
      </c>
      <c r="AH71" s="104" t="e">
        <v>#VALUE!</v>
      </c>
      <c r="AI71" s="104" t="e">
        <v>#VALUE!</v>
      </c>
      <c r="AJ71" s="104" t="e">
        <v>#VALUE!</v>
      </c>
      <c r="AK71" s="104" t="e">
        <v>#VALUE!</v>
      </c>
      <c r="AL71" s="104" t="e">
        <v>#VALUE!</v>
      </c>
      <c r="AM71" s="104" t="e">
        <v>#VALUE!</v>
      </c>
      <c r="AN71" s="104" t="e">
        <v>#NAME?</v>
      </c>
      <c r="AP71" s="117" t="s">
        <v>197</v>
      </c>
      <c r="AQ71" s="104">
        <v>0</v>
      </c>
      <c r="AR71" s="104">
        <v>0</v>
      </c>
      <c r="AS71" s="104">
        <v>0</v>
      </c>
      <c r="AT71" s="104">
        <v>0</v>
      </c>
      <c r="AU71" s="104">
        <v>0</v>
      </c>
      <c r="AW71">
        <v>0</v>
      </c>
      <c r="AX71" s="120" t="s">
        <v>198</v>
      </c>
      <c r="AY71" s="104" t="e">
        <v>#NAME?</v>
      </c>
      <c r="AZ71" s="104" t="e">
        <v>#NAME?</v>
      </c>
      <c r="BA71" s="104" t="e">
        <v>#NAME?</v>
      </c>
      <c r="BB71" s="104" t="e">
        <v>#NAME?</v>
      </c>
      <c r="BC71" s="104" t="e">
        <v>#NAME?</v>
      </c>
      <c r="BD71" s="104" t="e">
        <v>#NAME?</v>
      </c>
      <c r="BE71" s="104" t="e">
        <v>#NAME?</v>
      </c>
      <c r="BF71" s="104" t="e">
        <v>#NAME?</v>
      </c>
      <c r="BG71" s="104" t="e">
        <v>#NAME?</v>
      </c>
      <c r="BH71" s="104" t="e">
        <v>#NAME?</v>
      </c>
      <c r="BI71" s="104" t="e">
        <v>#NAME?</v>
      </c>
      <c r="BJ71" s="104" t="e">
        <v>#NAME?</v>
      </c>
      <c r="BK71" s="104" t="e">
        <v>#NAME?</v>
      </c>
      <c r="BL71" s="104" t="e">
        <v>#NAME?</v>
      </c>
      <c r="BM71" s="104" t="e">
        <v>#NAME?</v>
      </c>
      <c r="BN71" s="104" t="e">
        <v>#NAME?</v>
      </c>
      <c r="BO71" s="104" t="e">
        <v>#NAME?</v>
      </c>
      <c r="BP71" s="104" t="e">
        <v>#NAME?</v>
      </c>
      <c r="BQ71" s="104" t="e">
        <v>#NAME?</v>
      </c>
      <c r="BR71" s="104" t="e">
        <v>#NAME?</v>
      </c>
      <c r="BS71" s="104" t="e">
        <v>#NAME?</v>
      </c>
      <c r="BT71" s="104" t="e">
        <v>#NAME?</v>
      </c>
      <c r="BU71" s="104" t="e">
        <v>#NAME?</v>
      </c>
      <c r="BV71" s="104" t="e">
        <v>#NAME?</v>
      </c>
      <c r="BW71" s="104" t="e">
        <v>#NAME?</v>
      </c>
      <c r="BX71" s="104" t="e">
        <v>#NAME?</v>
      </c>
      <c r="BY71" s="104" t="e">
        <v>#NAME?</v>
      </c>
      <c r="BZ71" s="104" t="e">
        <v>#NAME?</v>
      </c>
      <c r="CA71" s="104" t="e">
        <v>#NAME?</v>
      </c>
      <c r="CB71" s="104" t="e">
        <v>#NAME?</v>
      </c>
      <c r="CC71" s="104" t="e">
        <v>#NAME?</v>
      </c>
      <c r="CD71" s="104" t="e">
        <v>#NAME?</v>
      </c>
      <c r="CE71" s="104" t="e">
        <v>#NAME?</v>
      </c>
      <c r="CF71" s="104" t="e">
        <v>#NAME?</v>
      </c>
      <c r="CG71" s="104" t="e">
        <v>#NAME?</v>
      </c>
      <c r="CH71" s="104" t="e">
        <v>#NAME?</v>
      </c>
      <c r="CK71" s="120" t="s">
        <v>198</v>
      </c>
      <c r="CL71" s="104">
        <v>0</v>
      </c>
      <c r="CM71" s="104">
        <v>0</v>
      </c>
      <c r="CN71" s="104">
        <v>0</v>
      </c>
      <c r="CO71" s="104">
        <v>0</v>
      </c>
      <c r="CP71" s="104">
        <v>0</v>
      </c>
      <c r="CS71" s="4">
        <v>2010</v>
      </c>
      <c r="CT71" t="e">
        <v>#NAME?</v>
      </c>
      <c r="CU71" t="e">
        <v>#NAME?</v>
      </c>
      <c r="CV71" t="e">
        <v>#NAME?</v>
      </c>
      <c r="CW71" t="e">
        <v>#NAME?</v>
      </c>
      <c r="CX71" t="e">
        <v>#NAME?</v>
      </c>
      <c r="CY71" t="e">
        <v>#NAME?</v>
      </c>
      <c r="CZ71" t="e">
        <v>#NAME?</v>
      </c>
      <c r="DA71" t="e">
        <v>#NAME?</v>
      </c>
      <c r="DB71" t="e">
        <v>#NAME?</v>
      </c>
      <c r="DC71" t="e">
        <v>#NAME?</v>
      </c>
      <c r="DD71" t="e">
        <v>#NAME?</v>
      </c>
      <c r="DE71" t="e">
        <v>#NAME?</v>
      </c>
      <c r="DF71" t="e">
        <v>#NAME?</v>
      </c>
      <c r="DG71" t="e">
        <v>#NAME?</v>
      </c>
      <c r="DH71" t="e">
        <v>#NAME?</v>
      </c>
      <c r="DI71" t="e">
        <v>#NAME?</v>
      </c>
      <c r="DJ71" t="e">
        <v>#NAME?</v>
      </c>
      <c r="DK71" t="e">
        <v>#NAME?</v>
      </c>
      <c r="DL71" t="e">
        <v>#NAME?</v>
      </c>
      <c r="DM71" t="e">
        <v>#NAME?</v>
      </c>
      <c r="DN71" t="e">
        <v>#NAME?</v>
      </c>
      <c r="DO71" t="e">
        <v>#NAME?</v>
      </c>
      <c r="DP71" t="e">
        <v>#NAME?</v>
      </c>
      <c r="DQ71" t="e">
        <v>#NAME?</v>
      </c>
      <c r="DR71" t="e">
        <v>#NAME?</v>
      </c>
      <c r="DS71" t="e">
        <v>#NAME?</v>
      </c>
      <c r="DT71" t="e">
        <v>#NAME?</v>
      </c>
      <c r="DU71" t="e">
        <v>#NAME?</v>
      </c>
      <c r="DV71" t="e">
        <v>#NAME?</v>
      </c>
      <c r="DW71" t="e">
        <v>#NAME?</v>
      </c>
      <c r="DX71" t="e">
        <v>#NAME?</v>
      </c>
      <c r="DY71" t="e">
        <v>#NAME?</v>
      </c>
      <c r="DZ71" t="e">
        <v>#NAME?</v>
      </c>
      <c r="EA71" t="e">
        <v>#NAME?</v>
      </c>
      <c r="EB71" t="e">
        <v>#NAME?</v>
      </c>
      <c r="EC71" t="e">
        <v>#NAME?</v>
      </c>
      <c r="ED71" s="4" t="e">
        <v>#NAME?</v>
      </c>
      <c r="GG71" t="s">
        <v>75</v>
      </c>
      <c r="GH71" s="758" t="e">
        <v>#NAME?</v>
      </c>
      <c r="GI71" s="758" t="e">
        <v>#NAME?</v>
      </c>
      <c r="GJ71" s="758" t="e">
        <v>#NAME?</v>
      </c>
      <c r="GK71" s="758" t="e">
        <v>#NAME?</v>
      </c>
      <c r="GL71" s="758" t="e">
        <v>#NAME?</v>
      </c>
      <c r="GM71" s="758" t="e">
        <v>#NAME?</v>
      </c>
      <c r="GN71" s="758" t="e">
        <v>#NAME?</v>
      </c>
      <c r="GO71" s="758" t="e">
        <v>#NAME?</v>
      </c>
      <c r="GP71" s="758" t="e">
        <v>#NAME?</v>
      </c>
      <c r="GQ71" s="758" t="e">
        <v>#NAME?</v>
      </c>
      <c r="GR71" s="758" t="e">
        <v>#NAME?</v>
      </c>
      <c r="GS71" s="758" t="e">
        <v>#NAME?</v>
      </c>
      <c r="GT71" s="758" t="e">
        <v>#NAME?</v>
      </c>
      <c r="GU71" s="758" t="e">
        <v>#NAME?</v>
      </c>
      <c r="GV71" s="758" t="e">
        <v>#NAME?</v>
      </c>
      <c r="GW71" s="758" t="e">
        <v>#NAME?</v>
      </c>
      <c r="GX71" s="758" t="e">
        <v>#NAME?</v>
      </c>
      <c r="GY71" s="758" t="e">
        <v>#NAME?</v>
      </c>
      <c r="GZ71" s="758" t="e">
        <v>#NAME?</v>
      </c>
      <c r="HA71" s="758" t="e">
        <v>#NAME?</v>
      </c>
      <c r="HB71" s="758" t="e">
        <v>#NAME?</v>
      </c>
      <c r="HC71" s="758" t="e">
        <v>#NAME?</v>
      </c>
      <c r="HD71" s="758" t="e">
        <v>#NAME?</v>
      </c>
      <c r="HE71" s="758" t="e">
        <v>#NAME?</v>
      </c>
      <c r="HF71" s="758" t="e">
        <v>#NAME?</v>
      </c>
      <c r="HG71" s="758" t="e">
        <v>#NAME?</v>
      </c>
      <c r="HH71" s="758" t="e">
        <v>#NAME?</v>
      </c>
      <c r="HI71" s="758" t="e">
        <v>#NAME?</v>
      </c>
      <c r="HJ71" s="758" t="e">
        <v>#NAME?</v>
      </c>
      <c r="HK71" s="758" t="e">
        <v>#NAME?</v>
      </c>
      <c r="HL71" s="758" t="e">
        <v>#NAME?</v>
      </c>
      <c r="HM71" s="758" t="e">
        <v>#NAME?</v>
      </c>
      <c r="HN71" s="758" t="e">
        <v>#NAME?</v>
      </c>
      <c r="HO71" s="758" t="e">
        <v>#NAME?</v>
      </c>
      <c r="HP71" s="758" t="e">
        <v>#NAME?</v>
      </c>
      <c r="HQ71" s="758" t="e">
        <v>#NAME?</v>
      </c>
      <c r="HT71" t="s">
        <v>75</v>
      </c>
      <c r="HU71" s="758">
        <v>0</v>
      </c>
      <c r="HV71" s="758">
        <v>0</v>
      </c>
      <c r="HW71" s="758">
        <v>0</v>
      </c>
      <c r="HX71" s="758">
        <v>0</v>
      </c>
      <c r="HY71" s="758">
        <v>0</v>
      </c>
    </row>
    <row r="72" spans="1:233" ht="15.75">
      <c r="A72" t="s">
        <v>140</v>
      </c>
      <c r="B72">
        <v>0</v>
      </c>
      <c r="D72" s="117" t="s">
        <v>199</v>
      </c>
      <c r="E72" s="104" t="e">
        <v>#VALUE!</v>
      </c>
      <c r="F72" s="104" t="e">
        <v>#VALUE!</v>
      </c>
      <c r="G72" s="104" t="e">
        <v>#VALUE!</v>
      </c>
      <c r="H72" s="104" t="e">
        <v>#VALUE!</v>
      </c>
      <c r="I72" s="104" t="e">
        <v>#VALUE!</v>
      </c>
      <c r="J72" s="104" t="e">
        <v>#VALUE!</v>
      </c>
      <c r="K72" s="104" t="e">
        <v>#VALUE!</v>
      </c>
      <c r="L72" s="104" t="e">
        <v>#VALUE!</v>
      </c>
      <c r="M72" s="104" t="e">
        <v>#VALUE!</v>
      </c>
      <c r="N72" s="104" t="e">
        <v>#VALUE!</v>
      </c>
      <c r="O72" s="104" t="e">
        <v>#VALUE!</v>
      </c>
      <c r="P72" s="104" t="e">
        <v>#VALUE!</v>
      </c>
      <c r="Q72" s="104" t="e">
        <v>#VALUE!</v>
      </c>
      <c r="R72" s="104" t="e">
        <v>#VALUE!</v>
      </c>
      <c r="S72" s="104" t="e">
        <v>#VALUE!</v>
      </c>
      <c r="T72" s="104" t="e">
        <v>#VALUE!</v>
      </c>
      <c r="U72" s="104" t="e">
        <v>#VALUE!</v>
      </c>
      <c r="V72" s="104" t="e">
        <v>#VALUE!</v>
      </c>
      <c r="W72" s="104" t="e">
        <v>#VALUE!</v>
      </c>
      <c r="X72" s="104" t="e">
        <v>#VALUE!</v>
      </c>
      <c r="Y72" s="104" t="e">
        <v>#VALUE!</v>
      </c>
      <c r="Z72" s="104" t="e">
        <v>#VALUE!</v>
      </c>
      <c r="AA72" s="104" t="e">
        <v>#VALUE!</v>
      </c>
      <c r="AB72" s="104" t="e">
        <v>#VALUE!</v>
      </c>
      <c r="AC72" s="104" t="e">
        <v>#VALUE!</v>
      </c>
      <c r="AD72" s="104" t="e">
        <v>#VALUE!</v>
      </c>
      <c r="AE72" s="104" t="e">
        <v>#VALUE!</v>
      </c>
      <c r="AF72" s="104" t="e">
        <v>#VALUE!</v>
      </c>
      <c r="AG72" s="104" t="e">
        <v>#VALUE!</v>
      </c>
      <c r="AH72" s="104" t="e">
        <v>#VALUE!</v>
      </c>
      <c r="AI72" s="104" t="e">
        <v>#VALUE!</v>
      </c>
      <c r="AJ72" s="104" t="e">
        <v>#VALUE!</v>
      </c>
      <c r="AK72" s="104" t="e">
        <v>#VALUE!</v>
      </c>
      <c r="AL72" s="104" t="e">
        <v>#VALUE!</v>
      </c>
      <c r="AM72" s="104" t="e">
        <v>#VALUE!</v>
      </c>
      <c r="AN72" s="104" t="e">
        <v>#NAME?</v>
      </c>
      <c r="AP72" s="117" t="s">
        <v>199</v>
      </c>
      <c r="AQ72" s="104">
        <v>0</v>
      </c>
      <c r="AR72" s="104">
        <v>0</v>
      </c>
      <c r="AS72" s="104">
        <v>0</v>
      </c>
      <c r="AT72" s="104">
        <v>0</v>
      </c>
      <c r="AU72" s="104">
        <v>0</v>
      </c>
      <c r="AW72">
        <v>0</v>
      </c>
      <c r="AX72" s="120" t="s">
        <v>200</v>
      </c>
      <c r="AY72" s="104" t="e">
        <v>#NAME?</v>
      </c>
      <c r="AZ72" s="104" t="e">
        <v>#NAME?</v>
      </c>
      <c r="BA72" s="104" t="e">
        <v>#NAME?</v>
      </c>
      <c r="BB72" s="104" t="e">
        <v>#NAME?</v>
      </c>
      <c r="BC72" s="104" t="e">
        <v>#NAME?</v>
      </c>
      <c r="BD72" s="104" t="e">
        <v>#NAME?</v>
      </c>
      <c r="BE72" s="104" t="e">
        <v>#NAME?</v>
      </c>
      <c r="BF72" s="104" t="e">
        <v>#NAME?</v>
      </c>
      <c r="BG72" s="104" t="e">
        <v>#NAME?</v>
      </c>
      <c r="BH72" s="104" t="e">
        <v>#NAME?</v>
      </c>
      <c r="BI72" s="104" t="e">
        <v>#NAME?</v>
      </c>
      <c r="BJ72" s="104" t="e">
        <v>#NAME?</v>
      </c>
      <c r="BK72" s="104" t="e">
        <v>#NAME?</v>
      </c>
      <c r="BL72" s="104" t="e">
        <v>#NAME?</v>
      </c>
      <c r="BM72" s="104" t="e">
        <v>#NAME?</v>
      </c>
      <c r="BN72" s="104" t="e">
        <v>#NAME?</v>
      </c>
      <c r="BO72" s="104" t="e">
        <v>#NAME?</v>
      </c>
      <c r="BP72" s="104" t="e">
        <v>#NAME?</v>
      </c>
      <c r="BQ72" s="104" t="e">
        <v>#NAME?</v>
      </c>
      <c r="BR72" s="104" t="e">
        <v>#NAME?</v>
      </c>
      <c r="BS72" s="104" t="e">
        <v>#NAME?</v>
      </c>
      <c r="BT72" s="104" t="e">
        <v>#NAME?</v>
      </c>
      <c r="BU72" s="104" t="e">
        <v>#NAME?</v>
      </c>
      <c r="BV72" s="104" t="e">
        <v>#NAME?</v>
      </c>
      <c r="BW72" s="104" t="e">
        <v>#NAME?</v>
      </c>
      <c r="BX72" s="104" t="e">
        <v>#NAME?</v>
      </c>
      <c r="BY72" s="104" t="e">
        <v>#NAME?</v>
      </c>
      <c r="BZ72" s="104" t="e">
        <v>#NAME?</v>
      </c>
      <c r="CA72" s="104" t="e">
        <v>#NAME?</v>
      </c>
      <c r="CB72" s="104" t="e">
        <v>#NAME?</v>
      </c>
      <c r="CC72" s="104" t="e">
        <v>#NAME?</v>
      </c>
      <c r="CD72" s="104" t="e">
        <v>#NAME?</v>
      </c>
      <c r="CE72" s="104" t="e">
        <v>#NAME?</v>
      </c>
      <c r="CF72" s="104" t="e">
        <v>#NAME?</v>
      </c>
      <c r="CG72" s="104" t="e">
        <v>#NAME?</v>
      </c>
      <c r="CH72" s="104" t="e">
        <v>#NAME?</v>
      </c>
      <c r="CK72" s="120" t="s">
        <v>200</v>
      </c>
      <c r="CL72" s="104">
        <v>0</v>
      </c>
      <c r="CM72" s="104">
        <v>0</v>
      </c>
      <c r="CN72" s="104">
        <v>0</v>
      </c>
      <c r="CO72" s="104">
        <v>0</v>
      </c>
      <c r="CP72" s="104">
        <v>0</v>
      </c>
      <c r="GG72" t="s">
        <v>80</v>
      </c>
      <c r="GH72" s="11" t="e">
        <v>#NAME?</v>
      </c>
      <c r="GI72" s="11" t="e">
        <v>#NAME?</v>
      </c>
      <c r="GJ72" s="11" t="e">
        <v>#NAME?</v>
      </c>
      <c r="GK72" s="11" t="e">
        <v>#NAME?</v>
      </c>
      <c r="GL72" s="11" t="e">
        <v>#NAME?</v>
      </c>
      <c r="GM72" s="11" t="e">
        <v>#NAME?</v>
      </c>
      <c r="GN72" s="11" t="e">
        <v>#NAME?</v>
      </c>
      <c r="GO72" s="11" t="e">
        <v>#NAME?</v>
      </c>
      <c r="GP72" s="11" t="e">
        <v>#NAME?</v>
      </c>
      <c r="GQ72" s="11" t="e">
        <v>#NAME?</v>
      </c>
      <c r="GR72" s="11" t="e">
        <v>#NAME?</v>
      </c>
      <c r="GS72" s="11" t="e">
        <v>#NAME?</v>
      </c>
      <c r="GT72" s="11" t="e">
        <v>#NAME?</v>
      </c>
      <c r="GU72" s="11" t="e">
        <v>#NAME?</v>
      </c>
      <c r="GV72" s="11" t="e">
        <v>#NAME?</v>
      </c>
      <c r="GW72" s="11" t="e">
        <v>#NAME?</v>
      </c>
      <c r="GX72" s="11" t="e">
        <v>#NAME?</v>
      </c>
      <c r="GY72" s="11" t="e">
        <v>#NAME?</v>
      </c>
      <c r="GZ72" s="11" t="e">
        <v>#NAME?</v>
      </c>
      <c r="HA72" s="11" t="e">
        <v>#NAME?</v>
      </c>
      <c r="HB72" s="11" t="e">
        <v>#NAME?</v>
      </c>
      <c r="HC72" s="11" t="e">
        <v>#NAME?</v>
      </c>
      <c r="HD72" s="11" t="e">
        <v>#NAME?</v>
      </c>
      <c r="HE72" s="11" t="e">
        <v>#NAME?</v>
      </c>
      <c r="HF72" s="11" t="e">
        <v>#NAME?</v>
      </c>
      <c r="HG72" s="11" t="e">
        <v>#NAME?</v>
      </c>
      <c r="HH72" s="11" t="e">
        <v>#NAME?</v>
      </c>
      <c r="HI72" s="11" t="e">
        <v>#NAME?</v>
      </c>
      <c r="HJ72" s="11" t="e">
        <v>#NAME?</v>
      </c>
      <c r="HK72" s="11" t="e">
        <v>#NAME?</v>
      </c>
      <c r="HL72" s="11" t="e">
        <v>#NAME?</v>
      </c>
      <c r="HM72" s="11" t="e">
        <v>#NAME?</v>
      </c>
      <c r="HN72" s="11" t="e">
        <v>#NAME?</v>
      </c>
      <c r="HO72" s="11" t="e">
        <v>#NAME?</v>
      </c>
      <c r="HP72" s="11" t="e">
        <v>#NAME?</v>
      </c>
      <c r="HQ72" s="11" t="e">
        <v>#NAME?</v>
      </c>
      <c r="HT72" t="s">
        <v>80</v>
      </c>
      <c r="HU72" s="11">
        <v>0</v>
      </c>
      <c r="HV72" s="11">
        <v>0</v>
      </c>
      <c r="HW72" s="11">
        <v>0</v>
      </c>
      <c r="HX72" s="11">
        <v>0</v>
      </c>
      <c r="HY72" s="11">
        <v>0</v>
      </c>
    </row>
    <row r="73" spans="1:233" ht="15.75">
      <c r="A73" t="s">
        <v>140</v>
      </c>
      <c r="B73">
        <v>0</v>
      </c>
      <c r="D73" s="117" t="s">
        <v>201</v>
      </c>
      <c r="E73" s="104" t="e">
        <v>#VALUE!</v>
      </c>
      <c r="F73" s="104" t="e">
        <v>#VALUE!</v>
      </c>
      <c r="G73" s="104" t="e">
        <v>#VALUE!</v>
      </c>
      <c r="H73" s="104" t="e">
        <v>#VALUE!</v>
      </c>
      <c r="I73" s="104" t="e">
        <v>#VALUE!</v>
      </c>
      <c r="J73" s="104" t="e">
        <v>#VALUE!</v>
      </c>
      <c r="K73" s="104" t="e">
        <v>#VALUE!</v>
      </c>
      <c r="L73" s="104" t="e">
        <v>#VALUE!</v>
      </c>
      <c r="M73" s="104" t="e">
        <v>#VALUE!</v>
      </c>
      <c r="N73" s="104" t="e">
        <v>#VALUE!</v>
      </c>
      <c r="O73" s="104" t="e">
        <v>#VALUE!</v>
      </c>
      <c r="P73" s="104" t="e">
        <v>#VALUE!</v>
      </c>
      <c r="Q73" s="104" t="e">
        <v>#VALUE!</v>
      </c>
      <c r="R73" s="104" t="e">
        <v>#VALUE!</v>
      </c>
      <c r="S73" s="104" t="e">
        <v>#VALUE!</v>
      </c>
      <c r="T73" s="104" t="e">
        <v>#VALUE!</v>
      </c>
      <c r="U73" s="104" t="e">
        <v>#VALUE!</v>
      </c>
      <c r="V73" s="104" t="e">
        <v>#VALUE!</v>
      </c>
      <c r="W73" s="104" t="e">
        <v>#VALUE!</v>
      </c>
      <c r="X73" s="104" t="e">
        <v>#VALUE!</v>
      </c>
      <c r="Y73" s="104" t="e">
        <v>#VALUE!</v>
      </c>
      <c r="Z73" s="104" t="e">
        <v>#VALUE!</v>
      </c>
      <c r="AA73" s="104" t="e">
        <v>#VALUE!</v>
      </c>
      <c r="AB73" s="104" t="e">
        <v>#VALUE!</v>
      </c>
      <c r="AC73" s="104" t="e">
        <v>#VALUE!</v>
      </c>
      <c r="AD73" s="104" t="e">
        <v>#VALUE!</v>
      </c>
      <c r="AE73" s="104" t="e">
        <v>#VALUE!</v>
      </c>
      <c r="AF73" s="104" t="e">
        <v>#VALUE!</v>
      </c>
      <c r="AG73" s="104" t="e">
        <v>#VALUE!</v>
      </c>
      <c r="AH73" s="104" t="e">
        <v>#VALUE!</v>
      </c>
      <c r="AI73" s="104" t="e">
        <v>#VALUE!</v>
      </c>
      <c r="AJ73" s="104" t="e">
        <v>#VALUE!</v>
      </c>
      <c r="AK73" s="104" t="e">
        <v>#VALUE!</v>
      </c>
      <c r="AL73" s="104" t="e">
        <v>#VALUE!</v>
      </c>
      <c r="AM73" s="104" t="e">
        <v>#VALUE!</v>
      </c>
      <c r="AN73" s="104" t="e">
        <v>#NAME?</v>
      </c>
      <c r="AP73" s="117" t="s">
        <v>201</v>
      </c>
      <c r="AQ73" s="104">
        <v>0</v>
      </c>
      <c r="AR73" s="104">
        <v>0</v>
      </c>
      <c r="AS73" s="104">
        <v>0</v>
      </c>
      <c r="AT73" s="104">
        <v>0</v>
      </c>
      <c r="AU73" s="104">
        <v>0</v>
      </c>
      <c r="AW73">
        <v>0</v>
      </c>
      <c r="AX73" s="108" t="s">
        <v>202</v>
      </c>
      <c r="AY73" s="122" t="e">
        <v>#NAME?</v>
      </c>
      <c r="AZ73" s="122" t="e">
        <v>#NAME?</v>
      </c>
      <c r="BA73" s="122" t="e">
        <v>#NAME?</v>
      </c>
      <c r="BB73" s="122" t="e">
        <v>#NAME?</v>
      </c>
      <c r="BC73" s="122" t="e">
        <v>#NAME?</v>
      </c>
      <c r="BD73" s="122" t="e">
        <v>#NAME?</v>
      </c>
      <c r="BE73" s="122" t="e">
        <v>#NAME?</v>
      </c>
      <c r="BF73" s="122" t="e">
        <v>#NAME?</v>
      </c>
      <c r="BG73" s="122" t="e">
        <v>#NAME?</v>
      </c>
      <c r="BH73" s="122" t="e">
        <v>#NAME?</v>
      </c>
      <c r="BI73" s="122" t="e">
        <v>#NAME?</v>
      </c>
      <c r="BJ73" s="122" t="e">
        <v>#NAME?</v>
      </c>
      <c r="BK73" s="122" t="e">
        <v>#NAME?</v>
      </c>
      <c r="BL73" s="122" t="e">
        <v>#NAME?</v>
      </c>
      <c r="BM73" s="122" t="e">
        <v>#NAME?</v>
      </c>
      <c r="BN73" s="122" t="e">
        <v>#NAME?</v>
      </c>
      <c r="BO73" s="122" t="e">
        <v>#NAME?</v>
      </c>
      <c r="BP73" s="122" t="e">
        <v>#NAME?</v>
      </c>
      <c r="BQ73" s="122" t="e">
        <v>#NAME?</v>
      </c>
      <c r="BR73" s="122" t="e">
        <v>#NAME?</v>
      </c>
      <c r="BS73" s="122" t="e">
        <v>#NAME?</v>
      </c>
      <c r="BT73" s="122" t="e">
        <v>#NAME?</v>
      </c>
      <c r="BU73" s="122" t="e">
        <v>#NAME?</v>
      </c>
      <c r="BV73" s="122" t="e">
        <v>#NAME?</v>
      </c>
      <c r="BW73" s="122" t="e">
        <v>#NAME?</v>
      </c>
      <c r="BX73" s="122" t="e">
        <v>#NAME?</v>
      </c>
      <c r="BY73" s="122" t="e">
        <v>#NAME?</v>
      </c>
      <c r="BZ73" s="122" t="e">
        <v>#NAME?</v>
      </c>
      <c r="CA73" s="122" t="e">
        <v>#NAME?</v>
      </c>
      <c r="CB73" s="122" t="e">
        <v>#NAME?</v>
      </c>
      <c r="CC73" s="122" t="e">
        <v>#NAME?</v>
      </c>
      <c r="CD73" s="122" t="e">
        <v>#NAME?</v>
      </c>
      <c r="CE73" s="122" t="e">
        <v>#NAME?</v>
      </c>
      <c r="CF73" s="122" t="e">
        <v>#NAME?</v>
      </c>
      <c r="CG73" s="122" t="e">
        <v>#NAME?</v>
      </c>
      <c r="CH73" s="122" t="e">
        <v>#NAME?</v>
      </c>
      <c r="CK73" s="108" t="s">
        <v>202</v>
      </c>
      <c r="CL73" s="122"/>
      <c r="CM73" s="122"/>
      <c r="CN73" s="122"/>
      <c r="CO73" s="122"/>
      <c r="CP73" s="122"/>
      <c r="GG73" t="s">
        <v>85</v>
      </c>
      <c r="GH73" s="758" t="e">
        <v>#NAME?</v>
      </c>
      <c r="GI73" s="758" t="e">
        <v>#NAME?</v>
      </c>
      <c r="GJ73" s="758" t="e">
        <v>#NAME?</v>
      </c>
      <c r="GK73" s="758" t="e">
        <v>#NAME?</v>
      </c>
      <c r="GL73" s="758" t="e">
        <v>#NAME?</v>
      </c>
      <c r="GM73" s="758" t="e">
        <v>#NAME?</v>
      </c>
      <c r="GN73" s="758" t="e">
        <v>#NAME?</v>
      </c>
      <c r="GO73" s="758" t="e">
        <v>#NAME?</v>
      </c>
      <c r="GP73" s="758" t="e">
        <v>#NAME?</v>
      </c>
      <c r="GQ73" s="758" t="e">
        <v>#NAME?</v>
      </c>
      <c r="GR73" s="758" t="e">
        <v>#NAME?</v>
      </c>
      <c r="GS73" s="758" t="e">
        <v>#NAME?</v>
      </c>
      <c r="GT73" s="758" t="e">
        <v>#NAME?</v>
      </c>
      <c r="GU73" s="758" t="e">
        <v>#NAME?</v>
      </c>
      <c r="GV73" s="758" t="e">
        <v>#NAME?</v>
      </c>
      <c r="GW73" s="758" t="e">
        <v>#NAME?</v>
      </c>
      <c r="GX73" s="758" t="e">
        <v>#NAME?</v>
      </c>
      <c r="GY73" s="758" t="e">
        <v>#NAME?</v>
      </c>
      <c r="GZ73" s="758" t="e">
        <v>#NAME?</v>
      </c>
      <c r="HA73" s="758" t="e">
        <v>#NAME?</v>
      </c>
      <c r="HB73" s="758" t="e">
        <v>#NAME?</v>
      </c>
      <c r="HC73" s="758" t="e">
        <v>#NAME?</v>
      </c>
      <c r="HD73" s="758" t="e">
        <v>#NAME?</v>
      </c>
      <c r="HE73" s="758" t="e">
        <v>#NAME?</v>
      </c>
      <c r="HF73" s="758" t="e">
        <v>#NAME?</v>
      </c>
      <c r="HG73" s="758" t="e">
        <v>#NAME?</v>
      </c>
      <c r="HH73" s="758" t="e">
        <v>#NAME?</v>
      </c>
      <c r="HI73" s="758" t="e">
        <v>#NAME?</v>
      </c>
      <c r="HJ73" s="758" t="e">
        <v>#NAME?</v>
      </c>
      <c r="HK73" s="758" t="e">
        <v>#NAME?</v>
      </c>
      <c r="HL73" s="758" t="e">
        <v>#NAME?</v>
      </c>
      <c r="HM73" s="758" t="e">
        <v>#NAME?</v>
      </c>
      <c r="HN73" s="758" t="e">
        <v>#NAME?</v>
      </c>
      <c r="HO73" s="758" t="e">
        <v>#NAME?</v>
      </c>
      <c r="HP73" s="758" t="e">
        <v>#NAME?</v>
      </c>
      <c r="HQ73" s="758" t="e">
        <v>#NAME?</v>
      </c>
      <c r="HT73" t="s">
        <v>85</v>
      </c>
      <c r="HU73" s="758">
        <v>0</v>
      </c>
      <c r="HV73" s="758">
        <v>0</v>
      </c>
      <c r="HW73" s="758">
        <v>0</v>
      </c>
      <c r="HX73" s="758">
        <v>0</v>
      </c>
      <c r="HY73" s="758">
        <v>0</v>
      </c>
    </row>
    <row r="74" spans="1:233" ht="15.75">
      <c r="A74" t="s">
        <v>140</v>
      </c>
      <c r="B74">
        <v>0</v>
      </c>
      <c r="D74" s="95" t="s">
        <v>203</v>
      </c>
      <c r="E74" s="122" t="e">
        <v>#VALUE!</v>
      </c>
      <c r="F74" s="122" t="e">
        <v>#VALUE!</v>
      </c>
      <c r="G74" s="122" t="e">
        <v>#VALUE!</v>
      </c>
      <c r="H74" s="122" t="e">
        <v>#VALUE!</v>
      </c>
      <c r="I74" s="122" t="e">
        <v>#VALUE!</v>
      </c>
      <c r="J74" s="122" t="e">
        <v>#VALUE!</v>
      </c>
      <c r="K74" s="122" t="e">
        <v>#VALUE!</v>
      </c>
      <c r="L74" s="122" t="e">
        <v>#VALUE!</v>
      </c>
      <c r="M74" s="122" t="e">
        <v>#VALUE!</v>
      </c>
      <c r="N74" s="122" t="e">
        <v>#VALUE!</v>
      </c>
      <c r="O74" s="122" t="e">
        <v>#VALUE!</v>
      </c>
      <c r="P74" s="122" t="e">
        <v>#VALUE!</v>
      </c>
      <c r="Q74" s="122" t="e">
        <v>#VALUE!</v>
      </c>
      <c r="R74" s="122" t="e">
        <v>#VALUE!</v>
      </c>
      <c r="S74" s="122" t="e">
        <v>#VALUE!</v>
      </c>
      <c r="T74" s="122" t="e">
        <v>#VALUE!</v>
      </c>
      <c r="U74" s="122" t="e">
        <v>#VALUE!</v>
      </c>
      <c r="V74" s="122" t="e">
        <v>#VALUE!</v>
      </c>
      <c r="W74" s="122" t="e">
        <v>#VALUE!</v>
      </c>
      <c r="X74" s="122" t="e">
        <v>#VALUE!</v>
      </c>
      <c r="Y74" s="122" t="e">
        <v>#VALUE!</v>
      </c>
      <c r="Z74" s="122" t="e">
        <v>#VALUE!</v>
      </c>
      <c r="AA74" s="122" t="e">
        <v>#VALUE!</v>
      </c>
      <c r="AB74" s="122" t="e">
        <v>#VALUE!</v>
      </c>
      <c r="AC74" s="122" t="e">
        <v>#VALUE!</v>
      </c>
      <c r="AD74" s="122" t="e">
        <v>#VALUE!</v>
      </c>
      <c r="AE74" s="122" t="e">
        <v>#VALUE!</v>
      </c>
      <c r="AF74" s="122" t="e">
        <v>#VALUE!</v>
      </c>
      <c r="AG74" s="122" t="e">
        <v>#VALUE!</v>
      </c>
      <c r="AH74" s="122" t="e">
        <v>#VALUE!</v>
      </c>
      <c r="AI74" s="122" t="e">
        <v>#VALUE!</v>
      </c>
      <c r="AJ74" s="122" t="e">
        <v>#VALUE!</v>
      </c>
      <c r="AK74" s="122" t="e">
        <v>#VALUE!</v>
      </c>
      <c r="AL74" s="122" t="e">
        <v>#VALUE!</v>
      </c>
      <c r="AM74" s="122" t="e">
        <v>#VALUE!</v>
      </c>
      <c r="AN74" s="122" t="e">
        <v>#NAME?</v>
      </c>
      <c r="AP74" s="95" t="s">
        <v>203</v>
      </c>
      <c r="AQ74" s="122">
        <v>0</v>
      </c>
      <c r="AR74" s="122">
        <v>0</v>
      </c>
      <c r="AS74" s="122">
        <v>0</v>
      </c>
      <c r="AT74" s="122">
        <v>0</v>
      </c>
      <c r="AU74" s="122">
        <v>0</v>
      </c>
      <c r="AX74" s="120" t="s">
        <v>140</v>
      </c>
      <c r="AY74" s="96"/>
      <c r="AZ74" s="96"/>
      <c r="BA74" s="96"/>
      <c r="BB74" s="96"/>
      <c r="BC74" s="96"/>
      <c r="BD74" s="96"/>
      <c r="BE74" s="96"/>
      <c r="BF74" s="96"/>
      <c r="BG74" s="96"/>
      <c r="BH74" s="96"/>
      <c r="BI74" s="96"/>
      <c r="BJ74" s="96"/>
      <c r="BK74" s="96"/>
      <c r="BL74" s="96"/>
      <c r="BM74" s="96"/>
      <c r="BN74" s="96"/>
      <c r="BO74" s="96"/>
      <c r="BP74" s="96"/>
      <c r="BQ74" s="96"/>
      <c r="BR74" s="96"/>
      <c r="BS74" s="96"/>
      <c r="BT74" s="96"/>
      <c r="BU74" s="96"/>
      <c r="BV74" s="96"/>
      <c r="BW74" s="96"/>
      <c r="BX74" s="96"/>
      <c r="BY74" s="96"/>
      <c r="BZ74" s="96"/>
      <c r="CA74" s="96"/>
      <c r="CB74" s="96"/>
      <c r="CC74" s="96"/>
      <c r="CD74" s="96"/>
      <c r="CE74" s="96"/>
      <c r="CF74" s="96"/>
      <c r="CG74" s="96"/>
      <c r="CH74" s="96"/>
      <c r="CK74" s="120" t="s">
        <v>140</v>
      </c>
      <c r="CL74" s="96"/>
      <c r="CM74" s="96"/>
      <c r="CN74" s="96"/>
      <c r="CO74" s="96"/>
      <c r="CP74" s="96"/>
      <c r="GG74" t="s">
        <v>90</v>
      </c>
      <c r="GH74" s="758" t="e">
        <v>#NAME?</v>
      </c>
      <c r="GI74" s="758" t="e">
        <v>#NAME?</v>
      </c>
      <c r="GJ74" s="758" t="e">
        <v>#NAME?</v>
      </c>
      <c r="GK74" s="758" t="e">
        <v>#NAME?</v>
      </c>
      <c r="GL74" s="758" t="e">
        <v>#NAME?</v>
      </c>
      <c r="GM74" s="758" t="e">
        <v>#NAME?</v>
      </c>
      <c r="GN74" s="758" t="e">
        <v>#NAME?</v>
      </c>
      <c r="GO74" s="758" t="e">
        <v>#NAME?</v>
      </c>
      <c r="GP74" s="758" t="e">
        <v>#NAME?</v>
      </c>
      <c r="GQ74" s="758" t="e">
        <v>#NAME?</v>
      </c>
      <c r="GR74" s="758" t="e">
        <v>#NAME?</v>
      </c>
      <c r="GS74" s="758" t="e">
        <v>#NAME?</v>
      </c>
      <c r="GT74" s="758" t="e">
        <v>#NAME?</v>
      </c>
      <c r="GU74" s="758" t="e">
        <v>#NAME?</v>
      </c>
      <c r="GV74" s="758" t="e">
        <v>#NAME?</v>
      </c>
      <c r="GW74" s="758" t="e">
        <v>#NAME?</v>
      </c>
      <c r="GX74" s="758" t="e">
        <v>#NAME?</v>
      </c>
      <c r="GY74" s="758" t="e">
        <v>#NAME?</v>
      </c>
      <c r="GZ74" s="758" t="e">
        <v>#NAME?</v>
      </c>
      <c r="HA74" s="758" t="e">
        <v>#NAME?</v>
      </c>
      <c r="HB74" s="758" t="e">
        <v>#NAME?</v>
      </c>
      <c r="HC74" s="758" t="e">
        <v>#NAME?</v>
      </c>
      <c r="HD74" s="758" t="e">
        <v>#NAME?</v>
      </c>
      <c r="HE74" s="758" t="e">
        <v>#NAME?</v>
      </c>
      <c r="HF74" s="758" t="e">
        <v>#NAME?</v>
      </c>
      <c r="HG74" s="758" t="e">
        <v>#NAME?</v>
      </c>
      <c r="HH74" s="758" t="e">
        <v>#NAME?</v>
      </c>
      <c r="HI74" s="758" t="e">
        <v>#NAME?</v>
      </c>
      <c r="HJ74" s="758" t="e">
        <v>#NAME?</v>
      </c>
      <c r="HK74" s="758" t="e">
        <v>#NAME?</v>
      </c>
      <c r="HL74" s="758" t="e">
        <v>#NAME?</v>
      </c>
      <c r="HM74" s="758" t="e">
        <v>#NAME?</v>
      </c>
      <c r="HN74" s="758" t="e">
        <v>#NAME?</v>
      </c>
      <c r="HO74" s="758" t="e">
        <v>#NAME?</v>
      </c>
      <c r="HP74" s="758" t="e">
        <v>#NAME?</v>
      </c>
      <c r="HQ74" s="758" t="e">
        <v>#NAME?</v>
      </c>
      <c r="HT74" t="s">
        <v>90</v>
      </c>
      <c r="HU74" s="758">
        <v>0</v>
      </c>
      <c r="HV74" s="758">
        <v>0</v>
      </c>
      <c r="HW74" s="758">
        <v>0</v>
      </c>
      <c r="HX74" s="758">
        <v>0</v>
      </c>
      <c r="HY74" s="758">
        <v>0</v>
      </c>
    </row>
    <row r="75" spans="1:233" ht="15.75">
      <c r="A75" t="s">
        <v>140</v>
      </c>
      <c r="B75">
        <v>0</v>
      </c>
      <c r="D75" s="103" t="s">
        <v>140</v>
      </c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P75" s="103" t="s">
        <v>140</v>
      </c>
      <c r="AQ75" s="121"/>
      <c r="AR75" s="121"/>
      <c r="AS75" s="121"/>
      <c r="AT75" s="121"/>
      <c r="AU75" s="121"/>
      <c r="AW75" s="78">
        <v>0</v>
      </c>
      <c r="AX75" s="115" t="s">
        <v>204</v>
      </c>
      <c r="AY75" s="116" t="e">
        <v>#NAME?</v>
      </c>
      <c r="AZ75" s="116" t="e">
        <v>#NAME?</v>
      </c>
      <c r="BA75" s="116" t="e">
        <v>#NAME?</v>
      </c>
      <c r="BB75" s="116" t="e">
        <v>#NAME?</v>
      </c>
      <c r="BC75" s="116" t="e">
        <v>#NAME?</v>
      </c>
      <c r="BD75" s="116" t="e">
        <v>#NAME?</v>
      </c>
      <c r="BE75" s="116" t="e">
        <v>#NAME?</v>
      </c>
      <c r="BF75" s="116" t="e">
        <v>#NAME?</v>
      </c>
      <c r="BG75" s="116" t="e">
        <v>#NAME?</v>
      </c>
      <c r="BH75" s="116" t="e">
        <v>#NAME?</v>
      </c>
      <c r="BI75" s="116" t="e">
        <v>#NAME?</v>
      </c>
      <c r="BJ75" s="116" t="e">
        <v>#NAME?</v>
      </c>
      <c r="BK75" s="116" t="e">
        <v>#NAME?</v>
      </c>
      <c r="BL75" s="116" t="e">
        <v>#NAME?</v>
      </c>
      <c r="BM75" s="116" t="e">
        <v>#NAME?</v>
      </c>
      <c r="BN75" s="116" t="e">
        <v>#NAME?</v>
      </c>
      <c r="BO75" s="116" t="e">
        <v>#NAME?</v>
      </c>
      <c r="BP75" s="116" t="e">
        <v>#NAME?</v>
      </c>
      <c r="BQ75" s="116" t="e">
        <v>#NAME?</v>
      </c>
      <c r="BR75" s="116" t="e">
        <v>#NAME?</v>
      </c>
      <c r="BS75" s="116" t="e">
        <v>#NAME?</v>
      </c>
      <c r="BT75" s="116" t="e">
        <v>#NAME?</v>
      </c>
      <c r="BU75" s="116" t="e">
        <v>#NAME?</v>
      </c>
      <c r="BV75" s="116" t="e">
        <v>#NAME?</v>
      </c>
      <c r="BW75" s="116" t="e">
        <v>#NAME?</v>
      </c>
      <c r="BX75" s="116" t="e">
        <v>#NAME?</v>
      </c>
      <c r="BY75" s="116" t="e">
        <v>#NAME?</v>
      </c>
      <c r="BZ75" s="116" t="e">
        <v>#NAME?</v>
      </c>
      <c r="CA75" s="116" t="e">
        <v>#NAME?</v>
      </c>
      <c r="CB75" s="116" t="e">
        <v>#NAME?</v>
      </c>
      <c r="CC75" s="116" t="e">
        <v>#NAME?</v>
      </c>
      <c r="CD75" s="116" t="e">
        <v>#NAME?</v>
      </c>
      <c r="CE75" s="116" t="e">
        <v>#NAME?</v>
      </c>
      <c r="CF75" s="116" t="e">
        <v>#NAME?</v>
      </c>
      <c r="CG75" s="116" t="e">
        <v>#NAME?</v>
      </c>
      <c r="CH75" s="116" t="e">
        <v>#NAME?</v>
      </c>
      <c r="CK75" s="115" t="s">
        <v>204</v>
      </c>
      <c r="CL75" s="116">
        <v>0</v>
      </c>
      <c r="CM75" s="116">
        <v>0</v>
      </c>
      <c r="CN75" s="116">
        <v>0</v>
      </c>
      <c r="CO75" s="116">
        <v>0</v>
      </c>
      <c r="CP75" s="116">
        <v>0</v>
      </c>
    </row>
    <row r="76" spans="1:233" ht="15.75">
      <c r="A76" t="s">
        <v>140</v>
      </c>
      <c r="B76">
        <v>0</v>
      </c>
      <c r="D76" s="97" t="s">
        <v>97</v>
      </c>
      <c r="E76" s="98" t="e">
        <v>#VALUE!</v>
      </c>
      <c r="F76" s="98" t="e">
        <v>#VALUE!</v>
      </c>
      <c r="G76" s="98" t="e">
        <v>#VALUE!</v>
      </c>
      <c r="H76" s="98" t="e">
        <v>#VALUE!</v>
      </c>
      <c r="I76" s="98" t="e">
        <v>#VALUE!</v>
      </c>
      <c r="J76" s="98" t="e">
        <v>#VALUE!</v>
      </c>
      <c r="K76" s="98" t="e">
        <v>#VALUE!</v>
      </c>
      <c r="L76" s="98" t="e">
        <v>#VALUE!</v>
      </c>
      <c r="M76" s="98" t="e">
        <v>#VALUE!</v>
      </c>
      <c r="N76" s="98" t="e">
        <v>#VALUE!</v>
      </c>
      <c r="O76" s="98" t="e">
        <v>#VALUE!</v>
      </c>
      <c r="P76" s="98" t="e">
        <v>#VALUE!</v>
      </c>
      <c r="Q76" s="98" t="e">
        <v>#VALUE!</v>
      </c>
      <c r="R76" s="98" t="e">
        <v>#VALUE!</v>
      </c>
      <c r="S76" s="98" t="e">
        <v>#VALUE!</v>
      </c>
      <c r="T76" s="98" t="e">
        <v>#VALUE!</v>
      </c>
      <c r="U76" s="98" t="e">
        <v>#VALUE!</v>
      </c>
      <c r="V76" s="98" t="e">
        <v>#VALUE!</v>
      </c>
      <c r="W76" s="98" t="e">
        <v>#VALUE!</v>
      </c>
      <c r="X76" s="98" t="e">
        <v>#VALUE!</v>
      </c>
      <c r="Y76" s="98" t="e">
        <v>#VALUE!</v>
      </c>
      <c r="Z76" s="98" t="e">
        <v>#VALUE!</v>
      </c>
      <c r="AA76" s="98" t="e">
        <v>#VALUE!</v>
      </c>
      <c r="AB76" s="98" t="e">
        <v>#VALUE!</v>
      </c>
      <c r="AC76" s="98" t="e">
        <v>#VALUE!</v>
      </c>
      <c r="AD76" s="98" t="e">
        <v>#VALUE!</v>
      </c>
      <c r="AE76" s="98" t="e">
        <v>#VALUE!</v>
      </c>
      <c r="AF76" s="98" t="e">
        <v>#VALUE!</v>
      </c>
      <c r="AG76" s="98" t="e">
        <v>#VALUE!</v>
      </c>
      <c r="AH76" s="98" t="e">
        <v>#VALUE!</v>
      </c>
      <c r="AI76" s="98" t="e">
        <v>#VALUE!</v>
      </c>
      <c r="AJ76" s="98" t="e">
        <v>#VALUE!</v>
      </c>
      <c r="AK76" s="98" t="e">
        <v>#VALUE!</v>
      </c>
      <c r="AL76" s="98" t="e">
        <v>#VALUE!</v>
      </c>
      <c r="AM76" s="98" t="e">
        <v>#VALUE!</v>
      </c>
      <c r="AN76" s="98" t="e">
        <v>#NAME?</v>
      </c>
      <c r="AP76" s="97" t="s">
        <v>97</v>
      </c>
      <c r="AQ76" s="98">
        <v>0</v>
      </c>
      <c r="AR76" s="98">
        <v>0</v>
      </c>
      <c r="AS76" s="98">
        <v>0</v>
      </c>
      <c r="AT76" s="98">
        <v>0</v>
      </c>
      <c r="AU76" s="98">
        <v>0</v>
      </c>
      <c r="AX76" s="127" t="s">
        <v>157</v>
      </c>
      <c r="AY76" s="119"/>
      <c r="AZ76" s="119"/>
      <c r="BA76" s="119"/>
      <c r="BB76" s="119"/>
      <c r="BC76" s="119"/>
      <c r="BD76" s="119"/>
      <c r="BE76" s="119"/>
      <c r="BF76" s="119"/>
      <c r="BG76" s="119"/>
      <c r="BH76" s="119"/>
      <c r="BI76" s="119"/>
      <c r="BJ76" s="119"/>
      <c r="BK76" s="119"/>
      <c r="BL76" s="119"/>
      <c r="BM76" s="119"/>
      <c r="BN76" s="119"/>
      <c r="BO76" s="119"/>
      <c r="BP76" s="119"/>
      <c r="BQ76" s="119"/>
      <c r="BR76" s="119"/>
      <c r="BS76" s="119"/>
      <c r="BT76" s="119"/>
      <c r="BU76" s="119"/>
      <c r="BV76" s="119"/>
      <c r="BW76" s="119"/>
      <c r="BX76" s="119"/>
      <c r="BY76" s="119"/>
      <c r="BZ76" s="119"/>
      <c r="CA76" s="119"/>
      <c r="CB76" s="119"/>
      <c r="CC76" s="119"/>
      <c r="CD76" s="119"/>
      <c r="CE76" s="119"/>
      <c r="CF76" s="119"/>
      <c r="CG76" s="119"/>
      <c r="CH76" s="119"/>
      <c r="CK76" s="127" t="s">
        <v>157</v>
      </c>
      <c r="CL76" s="119"/>
      <c r="CM76" s="119"/>
      <c r="CN76" s="119"/>
      <c r="CO76" s="119"/>
      <c r="CP76" s="119"/>
    </row>
    <row r="77" spans="1:233" ht="15.75">
      <c r="A77" t="s">
        <v>140</v>
      </c>
      <c r="B77">
        <v>0</v>
      </c>
      <c r="D77" s="103" t="s">
        <v>140</v>
      </c>
      <c r="E77" s="121"/>
      <c r="F77" s="121"/>
      <c r="G77" s="121"/>
      <c r="H77" s="121"/>
      <c r="I77" s="121"/>
      <c r="J77" s="121"/>
      <c r="K77" s="121"/>
      <c r="L77" s="121"/>
      <c r="M77" s="121"/>
      <c r="N77" s="121"/>
      <c r="O77" s="121"/>
      <c r="P77" s="121"/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  <c r="AN77" s="121"/>
      <c r="AP77" s="103" t="s">
        <v>140</v>
      </c>
      <c r="AQ77" s="121"/>
      <c r="AR77" s="121"/>
      <c r="AS77" s="121"/>
      <c r="AT77" s="121"/>
      <c r="AU77" s="121"/>
      <c r="AX77" s="127" t="s">
        <v>140</v>
      </c>
      <c r="AY77" s="96"/>
      <c r="AZ77" s="96"/>
      <c r="BA77" s="96"/>
      <c r="BB77" s="96"/>
      <c r="BC77" s="96"/>
      <c r="BD77" s="96"/>
      <c r="BE77" s="96"/>
      <c r="BF77" s="96"/>
      <c r="BG77" s="96"/>
      <c r="BH77" s="96"/>
      <c r="BI77" s="96"/>
      <c r="BJ77" s="96"/>
      <c r="BK77" s="96"/>
      <c r="BL77" s="96"/>
      <c r="BM77" s="96"/>
      <c r="BN77" s="96"/>
      <c r="BO77" s="96"/>
      <c r="BP77" s="96"/>
      <c r="BQ77" s="96"/>
      <c r="BR77" s="96"/>
      <c r="BS77" s="96"/>
      <c r="BT77" s="96"/>
      <c r="BU77" s="96"/>
      <c r="BV77" s="96"/>
      <c r="BW77" s="96"/>
      <c r="BX77" s="96"/>
      <c r="BY77" s="96"/>
      <c r="BZ77" s="96"/>
      <c r="CA77" s="96"/>
      <c r="CB77" s="96"/>
      <c r="CC77" s="96"/>
      <c r="CD77" s="96"/>
      <c r="CE77" s="96"/>
      <c r="CF77" s="96"/>
      <c r="CG77" s="96"/>
      <c r="CH77" s="96"/>
      <c r="CK77" s="127" t="s">
        <v>140</v>
      </c>
      <c r="CL77" s="96"/>
      <c r="CM77" s="96"/>
      <c r="CN77" s="96"/>
      <c r="CO77" s="96"/>
      <c r="CP77" s="96"/>
    </row>
    <row r="78" spans="1:233" ht="15.75">
      <c r="A78" t="s">
        <v>140</v>
      </c>
      <c r="B78">
        <v>0</v>
      </c>
      <c r="D78" s="115" t="s">
        <v>100</v>
      </c>
      <c r="E78" s="137"/>
      <c r="F78" s="137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137"/>
      <c r="R78" s="137"/>
      <c r="S78" s="137"/>
      <c r="T78" s="137"/>
      <c r="U78" s="137"/>
      <c r="V78" s="137"/>
      <c r="W78" s="137"/>
      <c r="X78" s="137"/>
      <c r="Y78" s="137"/>
      <c r="Z78" s="137"/>
      <c r="AA78" s="137"/>
      <c r="AB78" s="137"/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P78" s="115" t="s">
        <v>100</v>
      </c>
      <c r="AQ78" s="137"/>
      <c r="AR78" s="137"/>
      <c r="AS78" s="137"/>
      <c r="AT78" s="137"/>
      <c r="AU78" s="137"/>
      <c r="AW78">
        <v>0</v>
      </c>
      <c r="AX78" s="103" t="s">
        <v>205</v>
      </c>
      <c r="AY78" s="104" t="e">
        <v>#NAME?</v>
      </c>
      <c r="AZ78" s="104" t="e">
        <v>#NAME?</v>
      </c>
      <c r="BA78" s="104" t="e">
        <v>#NAME?</v>
      </c>
      <c r="BB78" s="104" t="e">
        <v>#NAME?</v>
      </c>
      <c r="BC78" s="104" t="e">
        <v>#NAME?</v>
      </c>
      <c r="BD78" s="104" t="e">
        <v>#NAME?</v>
      </c>
      <c r="BE78" s="104" t="e">
        <v>#NAME?</v>
      </c>
      <c r="BF78" s="104" t="e">
        <v>#NAME?</v>
      </c>
      <c r="BG78" s="104" t="e">
        <v>#NAME?</v>
      </c>
      <c r="BH78" s="104" t="e">
        <v>#NAME?</v>
      </c>
      <c r="BI78" s="104" t="e">
        <v>#NAME?</v>
      </c>
      <c r="BJ78" s="104" t="e">
        <v>#NAME?</v>
      </c>
      <c r="BK78" s="104" t="e">
        <v>#NAME?</v>
      </c>
      <c r="BL78" s="104" t="e">
        <v>#NAME?</v>
      </c>
      <c r="BM78" s="104" t="e">
        <v>#NAME?</v>
      </c>
      <c r="BN78" s="104" t="e">
        <v>#NAME?</v>
      </c>
      <c r="BO78" s="104" t="e">
        <v>#NAME?</v>
      </c>
      <c r="BP78" s="104" t="e">
        <v>#NAME?</v>
      </c>
      <c r="BQ78" s="104" t="e">
        <v>#NAME?</v>
      </c>
      <c r="BR78" s="104" t="e">
        <v>#NAME?</v>
      </c>
      <c r="BS78" s="104" t="e">
        <v>#NAME?</v>
      </c>
      <c r="BT78" s="104" t="e">
        <v>#NAME?</v>
      </c>
      <c r="BU78" s="104" t="e">
        <v>#NAME?</v>
      </c>
      <c r="BV78" s="104" t="e">
        <v>#NAME?</v>
      </c>
      <c r="BW78" s="104" t="e">
        <v>#NAME?</v>
      </c>
      <c r="BX78" s="104" t="e">
        <v>#NAME?</v>
      </c>
      <c r="BY78" s="104" t="e">
        <v>#NAME?</v>
      </c>
      <c r="BZ78" s="104" t="e">
        <v>#NAME?</v>
      </c>
      <c r="CA78" s="104" t="e">
        <v>#NAME?</v>
      </c>
      <c r="CB78" s="104" t="e">
        <v>#NAME?</v>
      </c>
      <c r="CC78" s="104" t="e">
        <v>#NAME?</v>
      </c>
      <c r="CD78" s="104" t="e">
        <v>#NAME?</v>
      </c>
      <c r="CE78" s="104" t="e">
        <v>#NAME?</v>
      </c>
      <c r="CF78" s="104" t="e">
        <v>#NAME?</v>
      </c>
      <c r="CG78" s="104" t="e">
        <v>#NAME?</v>
      </c>
      <c r="CH78" s="104" t="e">
        <v>#NAME?</v>
      </c>
      <c r="CK78" s="103" t="s">
        <v>205</v>
      </c>
      <c r="CL78" s="104">
        <v>0</v>
      </c>
      <c r="CM78" s="104">
        <v>0</v>
      </c>
      <c r="CN78" s="104">
        <v>0</v>
      </c>
      <c r="CO78" s="104">
        <v>0</v>
      </c>
      <c r="CP78" s="104">
        <v>0</v>
      </c>
    </row>
    <row r="79" spans="1:233" ht="15.75">
      <c r="A79" t="s">
        <v>140</v>
      </c>
      <c r="B79">
        <v>0</v>
      </c>
      <c r="D79" s="103" t="s">
        <v>140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P79" s="103" t="s">
        <v>140</v>
      </c>
      <c r="AQ79" s="121"/>
      <c r="AR79" s="121"/>
      <c r="AS79" s="121"/>
      <c r="AT79" s="121"/>
      <c r="AU79" s="121"/>
      <c r="AW79" s="78">
        <v>0</v>
      </c>
      <c r="AX79" s="115" t="s">
        <v>206</v>
      </c>
      <c r="AY79" s="116" t="e">
        <v>#NAME?</v>
      </c>
      <c r="AZ79" s="116" t="e">
        <v>#NAME?</v>
      </c>
      <c r="BA79" s="116" t="e">
        <v>#NAME?</v>
      </c>
      <c r="BB79" s="116" t="e">
        <v>#NAME?</v>
      </c>
      <c r="BC79" s="116" t="e">
        <v>#NAME?</v>
      </c>
      <c r="BD79" s="116" t="e">
        <v>#NAME?</v>
      </c>
      <c r="BE79" s="116" t="e">
        <v>#NAME?</v>
      </c>
      <c r="BF79" s="116" t="e">
        <v>#NAME?</v>
      </c>
      <c r="BG79" s="116" t="e">
        <v>#NAME?</v>
      </c>
      <c r="BH79" s="116" t="e">
        <v>#NAME?</v>
      </c>
      <c r="BI79" s="116" t="e">
        <v>#NAME?</v>
      </c>
      <c r="BJ79" s="116" t="e">
        <v>#NAME?</v>
      </c>
      <c r="BK79" s="116" t="e">
        <v>#NAME?</v>
      </c>
      <c r="BL79" s="116" t="e">
        <v>#NAME?</v>
      </c>
      <c r="BM79" s="116" t="e">
        <v>#NAME?</v>
      </c>
      <c r="BN79" s="116" t="e">
        <v>#NAME?</v>
      </c>
      <c r="BO79" s="116" t="e">
        <v>#NAME?</v>
      </c>
      <c r="BP79" s="116" t="e">
        <v>#NAME?</v>
      </c>
      <c r="BQ79" s="116" t="e">
        <v>#NAME?</v>
      </c>
      <c r="BR79" s="116" t="e">
        <v>#NAME?</v>
      </c>
      <c r="BS79" s="116" t="e">
        <v>#NAME?</v>
      </c>
      <c r="BT79" s="116" t="e">
        <v>#NAME?</v>
      </c>
      <c r="BU79" s="116" t="e">
        <v>#NAME?</v>
      </c>
      <c r="BV79" s="116" t="e">
        <v>#NAME?</v>
      </c>
      <c r="BW79" s="116" t="e">
        <v>#NAME?</v>
      </c>
      <c r="BX79" s="116" t="e">
        <v>#NAME?</v>
      </c>
      <c r="BY79" s="116" t="e">
        <v>#NAME?</v>
      </c>
      <c r="BZ79" s="116" t="e">
        <v>#NAME?</v>
      </c>
      <c r="CA79" s="116" t="e">
        <v>#NAME?</v>
      </c>
      <c r="CB79" s="116" t="e">
        <v>#NAME?</v>
      </c>
      <c r="CC79" s="116" t="e">
        <v>#NAME?</v>
      </c>
      <c r="CD79" s="116" t="e">
        <v>#NAME?</v>
      </c>
      <c r="CE79" s="116" t="e">
        <v>#NAME?</v>
      </c>
      <c r="CF79" s="116" t="e">
        <v>#NAME?</v>
      </c>
      <c r="CG79" s="116" t="e">
        <v>#NAME?</v>
      </c>
      <c r="CH79" s="116" t="e">
        <v>#NAME?</v>
      </c>
      <c r="CK79" s="115" t="s">
        <v>206</v>
      </c>
      <c r="CL79" s="116">
        <v>0</v>
      </c>
      <c r="CM79" s="116">
        <v>0</v>
      </c>
      <c r="CN79" s="116">
        <v>0</v>
      </c>
      <c r="CO79" s="116">
        <v>0</v>
      </c>
      <c r="CP79" s="116">
        <v>0</v>
      </c>
    </row>
    <row r="80" spans="1:233" ht="15.75">
      <c r="A80" t="s">
        <v>140</v>
      </c>
      <c r="B80">
        <v>0</v>
      </c>
      <c r="D80" s="128" t="s">
        <v>207</v>
      </c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P80" s="128" t="s">
        <v>207</v>
      </c>
      <c r="AQ80" s="129"/>
      <c r="AR80" s="129"/>
      <c r="AS80" s="129"/>
      <c r="AT80" s="129"/>
      <c r="AU80" s="129"/>
      <c r="AX80" s="127" t="s">
        <v>157</v>
      </c>
      <c r="AY80" s="119"/>
      <c r="AZ80" s="119"/>
      <c r="BA80" s="119"/>
      <c r="BB80" s="119"/>
      <c r="BC80" s="119"/>
      <c r="BD80" s="119"/>
      <c r="BE80" s="119"/>
      <c r="BF80" s="119"/>
      <c r="BG80" s="119"/>
      <c r="BH80" s="119"/>
      <c r="BI80" s="119"/>
      <c r="BJ80" s="119"/>
      <c r="BK80" s="119"/>
      <c r="BL80" s="119"/>
      <c r="BM80" s="119"/>
      <c r="BN80" s="119"/>
      <c r="BO80" s="119"/>
      <c r="BP80" s="119"/>
      <c r="BQ80" s="119"/>
      <c r="BR80" s="119"/>
      <c r="BS80" s="119"/>
      <c r="BT80" s="119"/>
      <c r="BU80" s="119"/>
      <c r="BV80" s="119"/>
      <c r="BW80" s="119"/>
      <c r="BX80" s="119"/>
      <c r="BY80" s="119"/>
      <c r="BZ80" s="119"/>
      <c r="CA80" s="119"/>
      <c r="CB80" s="119"/>
      <c r="CC80" s="119"/>
      <c r="CD80" s="119"/>
      <c r="CE80" s="119"/>
      <c r="CF80" s="119"/>
      <c r="CG80" s="119"/>
      <c r="CH80" s="119"/>
      <c r="CK80" s="127" t="s">
        <v>157</v>
      </c>
      <c r="CL80" s="119"/>
      <c r="CM80" s="119"/>
      <c r="CN80" s="119"/>
      <c r="CO80" s="119"/>
      <c r="CP80" s="119"/>
    </row>
    <row r="81" spans="1:94" ht="15.75">
      <c r="A81" t="s">
        <v>140</v>
      </c>
      <c r="B81">
        <v>0</v>
      </c>
      <c r="D81" s="103" t="s">
        <v>208</v>
      </c>
      <c r="E81" s="96" t="e">
        <v>#VALUE!</v>
      </c>
      <c r="F81" s="96" t="e">
        <v>#VALUE!</v>
      </c>
      <c r="G81" s="96" t="e">
        <v>#VALUE!</v>
      </c>
      <c r="H81" s="96" t="e">
        <v>#VALUE!</v>
      </c>
      <c r="I81" s="96" t="e">
        <v>#VALUE!</v>
      </c>
      <c r="J81" s="96" t="e">
        <v>#VALUE!</v>
      </c>
      <c r="K81" s="96" t="e">
        <v>#VALUE!</v>
      </c>
      <c r="L81" s="96" t="e">
        <v>#VALUE!</v>
      </c>
      <c r="M81" s="96" t="e">
        <v>#VALUE!</v>
      </c>
      <c r="N81" s="96" t="e">
        <v>#VALUE!</v>
      </c>
      <c r="O81" s="96" t="e">
        <v>#VALUE!</v>
      </c>
      <c r="P81" s="96" t="e">
        <v>#VALUE!</v>
      </c>
      <c r="Q81" s="96" t="e">
        <v>#VALUE!</v>
      </c>
      <c r="R81" s="96" t="e">
        <v>#VALUE!</v>
      </c>
      <c r="S81" s="96" t="e">
        <v>#VALUE!</v>
      </c>
      <c r="T81" s="96" t="e">
        <v>#VALUE!</v>
      </c>
      <c r="U81" s="96" t="e">
        <v>#VALUE!</v>
      </c>
      <c r="V81" s="96" t="e">
        <v>#VALUE!</v>
      </c>
      <c r="W81" s="96" t="e">
        <v>#VALUE!</v>
      </c>
      <c r="X81" s="96" t="e">
        <v>#VALUE!</v>
      </c>
      <c r="Y81" s="96" t="e">
        <v>#VALUE!</v>
      </c>
      <c r="Z81" s="96" t="e">
        <v>#VALUE!</v>
      </c>
      <c r="AA81" s="96" t="e">
        <v>#VALUE!</v>
      </c>
      <c r="AB81" s="96" t="e">
        <v>#VALUE!</v>
      </c>
      <c r="AC81" s="96" t="e">
        <v>#VALUE!</v>
      </c>
      <c r="AD81" s="96" t="e">
        <v>#VALUE!</v>
      </c>
      <c r="AE81" s="96" t="e">
        <v>#VALUE!</v>
      </c>
      <c r="AF81" s="96" t="e">
        <v>#VALUE!</v>
      </c>
      <c r="AG81" s="96" t="e">
        <v>#VALUE!</v>
      </c>
      <c r="AH81" s="96" t="e">
        <v>#VALUE!</v>
      </c>
      <c r="AI81" s="96" t="e">
        <v>#VALUE!</v>
      </c>
      <c r="AJ81" s="96" t="e">
        <v>#VALUE!</v>
      </c>
      <c r="AK81" s="96" t="e">
        <v>#VALUE!</v>
      </c>
      <c r="AL81" s="96" t="e">
        <v>#VALUE!</v>
      </c>
      <c r="AM81" s="96" t="e">
        <v>#VALUE!</v>
      </c>
      <c r="AN81" s="96" t="e">
        <v>#NAME?</v>
      </c>
      <c r="AP81" s="103" t="s">
        <v>208</v>
      </c>
      <c r="AQ81" s="96">
        <v>0</v>
      </c>
      <c r="AR81" s="96">
        <v>0</v>
      </c>
      <c r="AS81" s="96">
        <v>0</v>
      </c>
      <c r="AT81" s="96">
        <v>0</v>
      </c>
      <c r="AU81" s="96">
        <v>0</v>
      </c>
      <c r="AW81">
        <v>0</v>
      </c>
      <c r="AX81" s="103" t="s">
        <v>122</v>
      </c>
      <c r="AY81" s="104" t="e">
        <v>#NAME?</v>
      </c>
      <c r="AZ81" s="104" t="e">
        <v>#NAME?</v>
      </c>
      <c r="BA81" s="104" t="e">
        <v>#NAME?</v>
      </c>
      <c r="BB81" s="104" t="e">
        <v>#NAME?</v>
      </c>
      <c r="BC81" s="104" t="e">
        <v>#NAME?</v>
      </c>
      <c r="BD81" s="104" t="e">
        <v>#NAME?</v>
      </c>
      <c r="BE81" s="104" t="e">
        <v>#NAME?</v>
      </c>
      <c r="BF81" s="104" t="e">
        <v>#NAME?</v>
      </c>
      <c r="BG81" s="104" t="e">
        <v>#NAME?</v>
      </c>
      <c r="BH81" s="104" t="e">
        <v>#NAME?</v>
      </c>
      <c r="BI81" s="104" t="e">
        <v>#NAME?</v>
      </c>
      <c r="BJ81" s="104" t="e">
        <v>#NAME?</v>
      </c>
      <c r="BK81" s="104" t="e">
        <v>#NAME?</v>
      </c>
      <c r="BL81" s="104" t="e">
        <v>#NAME?</v>
      </c>
      <c r="BM81" s="104" t="e">
        <v>#NAME?</v>
      </c>
      <c r="BN81" s="104" t="e">
        <v>#NAME?</v>
      </c>
      <c r="BO81" s="104" t="e">
        <v>#NAME?</v>
      </c>
      <c r="BP81" s="104" t="e">
        <v>#NAME?</v>
      </c>
      <c r="BQ81" s="104" t="e">
        <v>#NAME?</v>
      </c>
      <c r="BR81" s="104" t="e">
        <v>#NAME?</v>
      </c>
      <c r="BS81" s="104" t="e">
        <v>#NAME?</v>
      </c>
      <c r="BT81" s="104" t="e">
        <v>#NAME?</v>
      </c>
      <c r="BU81" s="104" t="e">
        <v>#NAME?</v>
      </c>
      <c r="BV81" s="104" t="e">
        <v>#NAME?</v>
      </c>
      <c r="BW81" s="104" t="e">
        <v>#NAME?</v>
      </c>
      <c r="BX81" s="104" t="e">
        <v>#NAME?</v>
      </c>
      <c r="BY81" s="104" t="e">
        <v>#NAME?</v>
      </c>
      <c r="BZ81" s="104" t="e">
        <v>#NAME?</v>
      </c>
      <c r="CA81" s="104" t="e">
        <v>#NAME?</v>
      </c>
      <c r="CB81" s="104" t="e">
        <v>#NAME?</v>
      </c>
      <c r="CC81" s="104" t="e">
        <v>#NAME?</v>
      </c>
      <c r="CD81" s="104" t="e">
        <v>#NAME?</v>
      </c>
      <c r="CE81" s="104" t="e">
        <v>#NAME?</v>
      </c>
      <c r="CF81" s="104" t="e">
        <v>#NAME?</v>
      </c>
      <c r="CG81" s="104" t="e">
        <v>#NAME?</v>
      </c>
      <c r="CH81" s="104" t="e">
        <v>#NAME?</v>
      </c>
      <c r="CK81" s="103" t="s">
        <v>122</v>
      </c>
      <c r="CL81" s="104">
        <v>0</v>
      </c>
      <c r="CM81" s="104">
        <v>0</v>
      </c>
      <c r="CN81" s="104">
        <v>0</v>
      </c>
      <c r="CO81" s="104">
        <v>0</v>
      </c>
      <c r="CP81" s="104">
        <v>0</v>
      </c>
    </row>
    <row r="82" spans="1:94" ht="15.75">
      <c r="A82" t="s">
        <v>140</v>
      </c>
      <c r="B82">
        <v>0</v>
      </c>
      <c r="D82" s="118" t="s">
        <v>209</v>
      </c>
      <c r="E82" s="104" t="e">
        <v>#VALUE!</v>
      </c>
      <c r="F82" s="104" t="e">
        <v>#VALUE!</v>
      </c>
      <c r="G82" s="104" t="e">
        <v>#VALUE!</v>
      </c>
      <c r="H82" s="104" t="e">
        <v>#VALUE!</v>
      </c>
      <c r="I82" s="104" t="e">
        <v>#VALUE!</v>
      </c>
      <c r="J82" s="104" t="e">
        <v>#VALUE!</v>
      </c>
      <c r="K82" s="104" t="e">
        <v>#VALUE!</v>
      </c>
      <c r="L82" s="104" t="e">
        <v>#VALUE!</v>
      </c>
      <c r="M82" s="104" t="e">
        <v>#VALUE!</v>
      </c>
      <c r="N82" s="104" t="e">
        <v>#VALUE!</v>
      </c>
      <c r="O82" s="104" t="e">
        <v>#VALUE!</v>
      </c>
      <c r="P82" s="104" t="e">
        <v>#VALUE!</v>
      </c>
      <c r="Q82" s="104" t="e">
        <v>#VALUE!</v>
      </c>
      <c r="R82" s="104" t="e">
        <v>#VALUE!</v>
      </c>
      <c r="S82" s="104" t="e">
        <v>#VALUE!</v>
      </c>
      <c r="T82" s="104" t="e">
        <v>#VALUE!</v>
      </c>
      <c r="U82" s="104" t="e">
        <v>#VALUE!</v>
      </c>
      <c r="V82" s="104" t="e">
        <v>#VALUE!</v>
      </c>
      <c r="W82" s="104" t="e">
        <v>#VALUE!</v>
      </c>
      <c r="X82" s="104" t="e">
        <v>#VALUE!</v>
      </c>
      <c r="Y82" s="104" t="e">
        <v>#VALUE!</v>
      </c>
      <c r="Z82" s="104" t="e">
        <v>#VALUE!</v>
      </c>
      <c r="AA82" s="104" t="e">
        <v>#VALUE!</v>
      </c>
      <c r="AB82" s="104" t="e">
        <v>#VALUE!</v>
      </c>
      <c r="AC82" s="104" t="e">
        <v>#VALUE!</v>
      </c>
      <c r="AD82" s="104" t="e">
        <v>#VALUE!</v>
      </c>
      <c r="AE82" s="104" t="e">
        <v>#VALUE!</v>
      </c>
      <c r="AF82" s="104" t="e">
        <v>#VALUE!</v>
      </c>
      <c r="AG82" s="104" t="e">
        <v>#VALUE!</v>
      </c>
      <c r="AH82" s="104" t="e">
        <v>#VALUE!</v>
      </c>
      <c r="AI82" s="104" t="e">
        <v>#VALUE!</v>
      </c>
      <c r="AJ82" s="104" t="e">
        <v>#VALUE!</v>
      </c>
      <c r="AK82" s="104" t="e">
        <v>#VALUE!</v>
      </c>
      <c r="AL82" s="104" t="e">
        <v>#VALUE!</v>
      </c>
      <c r="AM82" s="104" t="e">
        <v>#VALUE!</v>
      </c>
      <c r="AN82" s="104" t="e">
        <v>#NAME?</v>
      </c>
      <c r="AP82" s="118" t="s">
        <v>209</v>
      </c>
      <c r="AQ82" s="104">
        <v>0</v>
      </c>
      <c r="AR82" s="104">
        <v>0</v>
      </c>
      <c r="AS82" s="104">
        <v>0</v>
      </c>
      <c r="AT82" s="104">
        <v>0</v>
      </c>
      <c r="AU82" s="104">
        <v>0</v>
      </c>
      <c r="AW82" s="78">
        <v>0</v>
      </c>
      <c r="AX82" s="115" t="s">
        <v>210</v>
      </c>
      <c r="AY82" s="116" t="e">
        <v>#NAME?</v>
      </c>
      <c r="AZ82" s="116" t="e">
        <v>#NAME?</v>
      </c>
      <c r="BA82" s="116" t="e">
        <v>#NAME?</v>
      </c>
      <c r="BB82" s="116" t="e">
        <v>#NAME?</v>
      </c>
      <c r="BC82" s="116" t="e">
        <v>#NAME?</v>
      </c>
      <c r="BD82" s="116" t="e">
        <v>#NAME?</v>
      </c>
      <c r="BE82" s="116" t="e">
        <v>#NAME?</v>
      </c>
      <c r="BF82" s="116" t="e">
        <v>#NAME?</v>
      </c>
      <c r="BG82" s="116" t="e">
        <v>#NAME?</v>
      </c>
      <c r="BH82" s="116" t="e">
        <v>#NAME?</v>
      </c>
      <c r="BI82" s="116" t="e">
        <v>#NAME?</v>
      </c>
      <c r="BJ82" s="116" t="e">
        <v>#NAME?</v>
      </c>
      <c r="BK82" s="116" t="e">
        <v>#NAME?</v>
      </c>
      <c r="BL82" s="116" t="e">
        <v>#NAME?</v>
      </c>
      <c r="BM82" s="116" t="e">
        <v>#NAME?</v>
      </c>
      <c r="BN82" s="116" t="e">
        <v>#NAME?</v>
      </c>
      <c r="BO82" s="116" t="e">
        <v>#NAME?</v>
      </c>
      <c r="BP82" s="116" t="e">
        <v>#NAME?</v>
      </c>
      <c r="BQ82" s="116" t="e">
        <v>#NAME?</v>
      </c>
      <c r="BR82" s="116" t="e">
        <v>#NAME?</v>
      </c>
      <c r="BS82" s="116" t="e">
        <v>#NAME?</v>
      </c>
      <c r="BT82" s="116" t="e">
        <v>#NAME?</v>
      </c>
      <c r="BU82" s="116" t="e">
        <v>#NAME?</v>
      </c>
      <c r="BV82" s="116" t="e">
        <v>#NAME?</v>
      </c>
      <c r="BW82" s="116" t="e">
        <v>#NAME?</v>
      </c>
      <c r="BX82" s="116" t="e">
        <v>#NAME?</v>
      </c>
      <c r="BY82" s="116" t="e">
        <v>#NAME?</v>
      </c>
      <c r="BZ82" s="116" t="e">
        <v>#NAME?</v>
      </c>
      <c r="CA82" s="116" t="e">
        <v>#NAME?</v>
      </c>
      <c r="CB82" s="116" t="e">
        <v>#NAME?</v>
      </c>
      <c r="CC82" s="116" t="e">
        <v>#NAME?</v>
      </c>
      <c r="CD82" s="116" t="e">
        <v>#NAME?</v>
      </c>
      <c r="CE82" s="116" t="e">
        <v>#NAME?</v>
      </c>
      <c r="CF82" s="116" t="e">
        <v>#NAME?</v>
      </c>
      <c r="CG82" s="116" t="e">
        <v>#NAME?</v>
      </c>
      <c r="CH82" s="116" t="e">
        <v>#NAME?</v>
      </c>
      <c r="CK82" s="115" t="s">
        <v>210</v>
      </c>
      <c r="CL82" s="116">
        <v>0</v>
      </c>
      <c r="CM82" s="116">
        <v>0</v>
      </c>
      <c r="CN82" s="116">
        <v>0</v>
      </c>
      <c r="CO82" s="116">
        <v>0</v>
      </c>
      <c r="CP82" s="116">
        <v>0</v>
      </c>
    </row>
    <row r="83" spans="1:94" ht="15.75">
      <c r="A83" t="s">
        <v>140</v>
      </c>
      <c r="B83">
        <v>0</v>
      </c>
      <c r="D83" s="118" t="s">
        <v>211</v>
      </c>
      <c r="E83" s="104" t="e">
        <v>#VALUE!</v>
      </c>
      <c r="F83" s="104" t="e">
        <v>#VALUE!</v>
      </c>
      <c r="G83" s="104" t="e">
        <v>#VALUE!</v>
      </c>
      <c r="H83" s="104" t="e">
        <v>#VALUE!</v>
      </c>
      <c r="I83" s="104" t="e">
        <v>#VALUE!</v>
      </c>
      <c r="J83" s="104" t="e">
        <v>#VALUE!</v>
      </c>
      <c r="K83" s="104" t="e">
        <v>#VALUE!</v>
      </c>
      <c r="L83" s="104" t="e">
        <v>#VALUE!</v>
      </c>
      <c r="M83" s="104" t="e">
        <v>#VALUE!</v>
      </c>
      <c r="N83" s="104" t="e">
        <v>#VALUE!</v>
      </c>
      <c r="O83" s="104" t="e">
        <v>#VALUE!</v>
      </c>
      <c r="P83" s="104" t="e">
        <v>#VALUE!</v>
      </c>
      <c r="Q83" s="104" t="e">
        <v>#VALUE!</v>
      </c>
      <c r="R83" s="104" t="e">
        <v>#VALUE!</v>
      </c>
      <c r="S83" s="104" t="e">
        <v>#VALUE!</v>
      </c>
      <c r="T83" s="104" t="e">
        <v>#VALUE!</v>
      </c>
      <c r="U83" s="104" t="e">
        <v>#VALUE!</v>
      </c>
      <c r="V83" s="104" t="e">
        <v>#VALUE!</v>
      </c>
      <c r="W83" s="104" t="e">
        <v>#VALUE!</v>
      </c>
      <c r="X83" s="104" t="e">
        <v>#VALUE!</v>
      </c>
      <c r="Y83" s="104" t="e">
        <v>#VALUE!</v>
      </c>
      <c r="Z83" s="104" t="e">
        <v>#VALUE!</v>
      </c>
      <c r="AA83" s="104" t="e">
        <v>#VALUE!</v>
      </c>
      <c r="AB83" s="104" t="e">
        <v>#VALUE!</v>
      </c>
      <c r="AC83" s="104" t="e">
        <v>#VALUE!</v>
      </c>
      <c r="AD83" s="104" t="e">
        <v>#VALUE!</v>
      </c>
      <c r="AE83" s="104" t="e">
        <v>#VALUE!</v>
      </c>
      <c r="AF83" s="104" t="e">
        <v>#VALUE!</v>
      </c>
      <c r="AG83" s="104" t="e">
        <v>#VALUE!</v>
      </c>
      <c r="AH83" s="104" t="e">
        <v>#VALUE!</v>
      </c>
      <c r="AI83" s="104" t="e">
        <v>#VALUE!</v>
      </c>
      <c r="AJ83" s="104" t="e">
        <v>#VALUE!</v>
      </c>
      <c r="AK83" s="104" t="e">
        <v>#VALUE!</v>
      </c>
      <c r="AL83" s="104" t="e">
        <v>#VALUE!</v>
      </c>
      <c r="AM83" s="104" t="e">
        <v>#VALUE!</v>
      </c>
      <c r="AN83" s="104" t="e">
        <v>#NAME?</v>
      </c>
      <c r="AP83" s="118" t="s">
        <v>211</v>
      </c>
      <c r="AQ83" s="104">
        <v>0</v>
      </c>
      <c r="AR83" s="104">
        <v>0</v>
      </c>
      <c r="AS83" s="104">
        <v>0</v>
      </c>
      <c r="AT83" s="104">
        <v>0</v>
      </c>
      <c r="AU83" s="104">
        <v>0</v>
      </c>
      <c r="AX83" s="127" t="s">
        <v>157</v>
      </c>
      <c r="AY83" s="119"/>
      <c r="AZ83" s="119"/>
      <c r="BA83" s="119"/>
      <c r="BB83" s="119"/>
      <c r="BC83" s="119"/>
      <c r="BD83" s="119"/>
      <c r="BE83" s="119"/>
      <c r="BF83" s="119"/>
      <c r="BG83" s="119"/>
      <c r="BH83" s="119"/>
      <c r="BI83" s="119"/>
      <c r="BJ83" s="119"/>
      <c r="BK83" s="119"/>
      <c r="BL83" s="119"/>
      <c r="BM83" s="119"/>
      <c r="BN83" s="119"/>
      <c r="BO83" s="119"/>
      <c r="BP83" s="119"/>
      <c r="BQ83" s="119"/>
      <c r="BR83" s="119"/>
      <c r="BS83" s="119"/>
      <c r="BT83" s="119"/>
      <c r="BU83" s="119"/>
      <c r="BV83" s="119"/>
      <c r="BW83" s="119"/>
      <c r="BX83" s="119"/>
      <c r="BY83" s="119"/>
      <c r="BZ83" s="119"/>
      <c r="CA83" s="119"/>
      <c r="CB83" s="119"/>
      <c r="CC83" s="119"/>
      <c r="CD83" s="119"/>
      <c r="CE83" s="119"/>
      <c r="CF83" s="119"/>
      <c r="CG83" s="119"/>
      <c r="CH83" s="119"/>
      <c r="CK83" s="127" t="s">
        <v>157</v>
      </c>
      <c r="CL83" s="119"/>
      <c r="CM83" s="119"/>
      <c r="CN83" s="119"/>
      <c r="CO83" s="119"/>
      <c r="CP83" s="119"/>
    </row>
    <row r="84" spans="1:94" ht="15.75">
      <c r="A84" t="s">
        <v>140</v>
      </c>
      <c r="B84">
        <v>0</v>
      </c>
      <c r="D84" s="105" t="s">
        <v>212</v>
      </c>
      <c r="E84" s="104" t="e">
        <v>#VALUE!</v>
      </c>
      <c r="F84" s="104" t="e">
        <v>#VALUE!</v>
      </c>
      <c r="G84" s="104" t="e">
        <v>#VALUE!</v>
      </c>
      <c r="H84" s="104" t="e">
        <v>#VALUE!</v>
      </c>
      <c r="I84" s="104" t="e">
        <v>#VALUE!</v>
      </c>
      <c r="J84" s="104" t="e">
        <v>#VALUE!</v>
      </c>
      <c r="K84" s="104" t="e">
        <v>#VALUE!</v>
      </c>
      <c r="L84" s="104" t="e">
        <v>#VALUE!</v>
      </c>
      <c r="M84" s="104" t="e">
        <v>#VALUE!</v>
      </c>
      <c r="N84" s="104" t="e">
        <v>#VALUE!</v>
      </c>
      <c r="O84" s="104" t="e">
        <v>#VALUE!</v>
      </c>
      <c r="P84" s="104" t="e">
        <v>#VALUE!</v>
      </c>
      <c r="Q84" s="104" t="e">
        <v>#VALUE!</v>
      </c>
      <c r="R84" s="104" t="e">
        <v>#VALUE!</v>
      </c>
      <c r="S84" s="104" t="e">
        <v>#VALUE!</v>
      </c>
      <c r="T84" s="104" t="e">
        <v>#VALUE!</v>
      </c>
      <c r="U84" s="104" t="e">
        <v>#VALUE!</v>
      </c>
      <c r="V84" s="104" t="e">
        <v>#VALUE!</v>
      </c>
      <c r="W84" s="104" t="e">
        <v>#VALUE!</v>
      </c>
      <c r="X84" s="104" t="e">
        <v>#VALUE!</v>
      </c>
      <c r="Y84" s="104" t="e">
        <v>#VALUE!</v>
      </c>
      <c r="Z84" s="104" t="e">
        <v>#VALUE!</v>
      </c>
      <c r="AA84" s="104" t="e">
        <v>#VALUE!</v>
      </c>
      <c r="AB84" s="104" t="e">
        <v>#VALUE!</v>
      </c>
      <c r="AC84" s="104" t="e">
        <v>#VALUE!</v>
      </c>
      <c r="AD84" s="104" t="e">
        <v>#VALUE!</v>
      </c>
      <c r="AE84" s="104" t="e">
        <v>#VALUE!</v>
      </c>
      <c r="AF84" s="104" t="e">
        <v>#VALUE!</v>
      </c>
      <c r="AG84" s="104" t="e">
        <v>#VALUE!</v>
      </c>
      <c r="AH84" s="104" t="e">
        <v>#VALUE!</v>
      </c>
      <c r="AI84" s="104" t="e">
        <v>#VALUE!</v>
      </c>
      <c r="AJ84" s="104" t="e">
        <v>#VALUE!</v>
      </c>
      <c r="AK84" s="104" t="e">
        <v>#VALUE!</v>
      </c>
      <c r="AL84" s="104" t="e">
        <v>#VALUE!</v>
      </c>
      <c r="AM84" s="104" t="e">
        <v>#VALUE!</v>
      </c>
      <c r="AN84" s="104" t="e">
        <v>#NAME?</v>
      </c>
      <c r="AP84" s="105" t="s">
        <v>212</v>
      </c>
      <c r="AQ84" s="104">
        <v>0</v>
      </c>
      <c r="AR84" s="104">
        <v>0</v>
      </c>
      <c r="AS84" s="104">
        <v>0</v>
      </c>
      <c r="AT84" s="104">
        <v>0</v>
      </c>
      <c r="AU84" s="104">
        <v>0</v>
      </c>
      <c r="AW84" s="138">
        <v>0</v>
      </c>
      <c r="AX84" s="103" t="s">
        <v>213</v>
      </c>
      <c r="AY84" s="104" t="e">
        <v>#NAME?</v>
      </c>
      <c r="AZ84" s="104" t="e">
        <v>#NAME?</v>
      </c>
      <c r="BA84" s="104" t="e">
        <v>#NAME?</v>
      </c>
      <c r="BB84" s="104" t="e">
        <v>#NAME?</v>
      </c>
      <c r="BC84" s="104" t="e">
        <v>#NAME?</v>
      </c>
      <c r="BD84" s="104" t="e">
        <v>#NAME?</v>
      </c>
      <c r="BE84" s="104" t="e">
        <v>#NAME?</v>
      </c>
      <c r="BF84" s="104" t="e">
        <v>#NAME?</v>
      </c>
      <c r="BG84" s="104" t="e">
        <v>#NAME?</v>
      </c>
      <c r="BH84" s="104" t="e">
        <v>#NAME?</v>
      </c>
      <c r="BI84" s="104" t="e">
        <v>#NAME?</v>
      </c>
      <c r="BJ84" s="104" t="e">
        <v>#NAME?</v>
      </c>
      <c r="BK84" s="104" t="e">
        <v>#NAME?</v>
      </c>
      <c r="BL84" s="104" t="e">
        <v>#NAME?</v>
      </c>
      <c r="BM84" s="104" t="e">
        <v>#NAME?</v>
      </c>
      <c r="BN84" s="104" t="e">
        <v>#NAME?</v>
      </c>
      <c r="BO84" s="104" t="e">
        <v>#NAME?</v>
      </c>
      <c r="BP84" s="104" t="e">
        <v>#NAME?</v>
      </c>
      <c r="BQ84" s="104" t="e">
        <v>#NAME?</v>
      </c>
      <c r="BR84" s="104" t="e">
        <v>#NAME?</v>
      </c>
      <c r="BS84" s="104" t="e">
        <v>#NAME?</v>
      </c>
      <c r="BT84" s="104" t="e">
        <v>#NAME?</v>
      </c>
      <c r="BU84" s="104" t="e">
        <v>#NAME?</v>
      </c>
      <c r="BV84" s="104" t="e">
        <v>#NAME?</v>
      </c>
      <c r="BW84" s="104" t="e">
        <v>#NAME?</v>
      </c>
      <c r="BX84" s="104" t="e">
        <v>#NAME?</v>
      </c>
      <c r="BY84" s="104" t="e">
        <v>#NAME?</v>
      </c>
      <c r="BZ84" s="104" t="e">
        <v>#NAME?</v>
      </c>
      <c r="CA84" s="104" t="e">
        <v>#NAME?</v>
      </c>
      <c r="CB84" s="104" t="e">
        <v>#NAME?</v>
      </c>
      <c r="CC84" s="104" t="e">
        <v>#NAME?</v>
      </c>
      <c r="CD84" s="104" t="e">
        <v>#NAME?</v>
      </c>
      <c r="CE84" s="104" t="e">
        <v>#NAME?</v>
      </c>
      <c r="CF84" s="104" t="e">
        <v>#NAME?</v>
      </c>
      <c r="CG84" s="104" t="e">
        <v>#NAME?</v>
      </c>
      <c r="CH84" s="104" t="e">
        <v>#NAME?</v>
      </c>
      <c r="CK84" s="103" t="s">
        <v>213</v>
      </c>
      <c r="CL84" s="104">
        <v>0</v>
      </c>
      <c r="CM84" s="104">
        <v>0</v>
      </c>
      <c r="CN84" s="104">
        <v>0</v>
      </c>
      <c r="CO84" s="104">
        <v>0</v>
      </c>
      <c r="CP84" s="104">
        <v>0</v>
      </c>
    </row>
    <row r="85" spans="1:94" ht="15.75">
      <c r="A85" t="s">
        <v>140</v>
      </c>
      <c r="B85">
        <v>0</v>
      </c>
      <c r="D85" s="120" t="s">
        <v>214</v>
      </c>
      <c r="E85" s="112" t="e">
        <v>#VALUE!</v>
      </c>
      <c r="F85" s="112" t="e">
        <v>#VALUE!</v>
      </c>
      <c r="G85" s="112" t="e">
        <v>#VALUE!</v>
      </c>
      <c r="H85" s="112" t="e">
        <v>#VALUE!</v>
      </c>
      <c r="I85" s="112" t="e">
        <v>#VALUE!</v>
      </c>
      <c r="J85" s="112" t="e">
        <v>#VALUE!</v>
      </c>
      <c r="K85" s="112" t="e">
        <v>#VALUE!</v>
      </c>
      <c r="L85" s="112" t="e">
        <v>#VALUE!</v>
      </c>
      <c r="M85" s="112" t="e">
        <v>#VALUE!</v>
      </c>
      <c r="N85" s="112" t="e">
        <v>#VALUE!</v>
      </c>
      <c r="O85" s="112" t="e">
        <v>#VALUE!</v>
      </c>
      <c r="P85" s="112" t="e">
        <v>#VALUE!</v>
      </c>
      <c r="Q85" s="112" t="e">
        <v>#VALUE!</v>
      </c>
      <c r="R85" s="112" t="e">
        <v>#VALUE!</v>
      </c>
      <c r="S85" s="112" t="e">
        <v>#VALUE!</v>
      </c>
      <c r="T85" s="112" t="e">
        <v>#VALUE!</v>
      </c>
      <c r="U85" s="112" t="e">
        <v>#VALUE!</v>
      </c>
      <c r="V85" s="112" t="e">
        <v>#VALUE!</v>
      </c>
      <c r="W85" s="112" t="e">
        <v>#VALUE!</v>
      </c>
      <c r="X85" s="112" t="e">
        <v>#VALUE!</v>
      </c>
      <c r="Y85" s="112" t="e">
        <v>#VALUE!</v>
      </c>
      <c r="Z85" s="112" t="e">
        <v>#VALUE!</v>
      </c>
      <c r="AA85" s="112" t="e">
        <v>#VALUE!</v>
      </c>
      <c r="AB85" s="112" t="e">
        <v>#VALUE!</v>
      </c>
      <c r="AC85" s="112" t="e">
        <v>#VALUE!</v>
      </c>
      <c r="AD85" s="112" t="e">
        <v>#VALUE!</v>
      </c>
      <c r="AE85" s="112" t="e">
        <v>#VALUE!</v>
      </c>
      <c r="AF85" s="112" t="e">
        <v>#VALUE!</v>
      </c>
      <c r="AG85" s="112" t="e">
        <v>#VALUE!</v>
      </c>
      <c r="AH85" s="112" t="e">
        <v>#VALUE!</v>
      </c>
      <c r="AI85" s="112" t="e">
        <v>#VALUE!</v>
      </c>
      <c r="AJ85" s="112" t="e">
        <v>#VALUE!</v>
      </c>
      <c r="AK85" s="112" t="e">
        <v>#VALUE!</v>
      </c>
      <c r="AL85" s="112" t="e">
        <v>#VALUE!</v>
      </c>
      <c r="AM85" s="112" t="e">
        <v>#VALUE!</v>
      </c>
      <c r="AN85" s="112" t="e">
        <v>#NAME?</v>
      </c>
      <c r="AP85" s="120" t="s">
        <v>214</v>
      </c>
      <c r="AQ85" s="112">
        <v>0</v>
      </c>
      <c r="AR85" s="112">
        <v>0</v>
      </c>
      <c r="AS85" s="112">
        <v>0</v>
      </c>
      <c r="AT85" s="112">
        <v>0</v>
      </c>
      <c r="AU85" s="112">
        <v>0</v>
      </c>
      <c r="AW85">
        <v>0</v>
      </c>
      <c r="AX85" s="103" t="s">
        <v>215</v>
      </c>
      <c r="AY85" s="104" t="e">
        <v>#NAME?</v>
      </c>
      <c r="AZ85" s="104" t="e">
        <v>#NAME?</v>
      </c>
      <c r="BA85" s="104" t="e">
        <v>#NAME?</v>
      </c>
      <c r="BB85" s="104" t="e">
        <v>#NAME?</v>
      </c>
      <c r="BC85" s="104" t="e">
        <v>#NAME?</v>
      </c>
      <c r="BD85" s="104" t="e">
        <v>#NAME?</v>
      </c>
      <c r="BE85" s="104" t="e">
        <v>#NAME?</v>
      </c>
      <c r="BF85" s="104" t="e">
        <v>#NAME?</v>
      </c>
      <c r="BG85" s="104" t="e">
        <v>#NAME?</v>
      </c>
      <c r="BH85" s="104" t="e">
        <v>#NAME?</v>
      </c>
      <c r="BI85" s="104" t="e">
        <v>#NAME?</v>
      </c>
      <c r="BJ85" s="104" t="e">
        <v>#NAME?</v>
      </c>
      <c r="BK85" s="104" t="e">
        <v>#NAME?</v>
      </c>
      <c r="BL85" s="104" t="e">
        <v>#NAME?</v>
      </c>
      <c r="BM85" s="104" t="e">
        <v>#NAME?</v>
      </c>
      <c r="BN85" s="104" t="e">
        <v>#NAME?</v>
      </c>
      <c r="BO85" s="104" t="e">
        <v>#NAME?</v>
      </c>
      <c r="BP85" s="104" t="e">
        <v>#NAME?</v>
      </c>
      <c r="BQ85" s="104" t="e">
        <v>#NAME?</v>
      </c>
      <c r="BR85" s="104" t="e">
        <v>#NAME?</v>
      </c>
      <c r="BS85" s="104" t="e">
        <v>#NAME?</v>
      </c>
      <c r="BT85" s="104" t="e">
        <v>#NAME?</v>
      </c>
      <c r="BU85" s="104" t="e">
        <v>#NAME?</v>
      </c>
      <c r="BV85" s="104" t="e">
        <v>#NAME?</v>
      </c>
      <c r="BW85" s="104" t="e">
        <v>#NAME?</v>
      </c>
      <c r="BX85" s="104" t="e">
        <v>#NAME?</v>
      </c>
      <c r="BY85" s="104" t="e">
        <v>#NAME?</v>
      </c>
      <c r="BZ85" s="104" t="e">
        <v>#NAME?</v>
      </c>
      <c r="CA85" s="104" t="e">
        <v>#NAME?</v>
      </c>
      <c r="CB85" s="104" t="e">
        <v>#NAME?</v>
      </c>
      <c r="CC85" s="104" t="e">
        <v>#NAME?</v>
      </c>
      <c r="CD85" s="104" t="e">
        <v>#NAME?</v>
      </c>
      <c r="CE85" s="104" t="e">
        <v>#NAME?</v>
      </c>
      <c r="CF85" s="104" t="e">
        <v>#NAME?</v>
      </c>
      <c r="CG85" s="104" t="e">
        <v>#NAME?</v>
      </c>
      <c r="CH85" s="104" t="e">
        <v>#NAME?</v>
      </c>
      <c r="CK85" s="103" t="s">
        <v>215</v>
      </c>
      <c r="CL85" s="104">
        <v>0</v>
      </c>
      <c r="CM85" s="104">
        <v>0</v>
      </c>
      <c r="CN85" s="104">
        <v>0</v>
      </c>
      <c r="CO85" s="104">
        <v>0</v>
      </c>
      <c r="CP85" s="104">
        <v>0</v>
      </c>
    </row>
    <row r="86" spans="1:94" ht="15.75">
      <c r="A86" t="s">
        <v>140</v>
      </c>
      <c r="B86">
        <v>0</v>
      </c>
      <c r="D86" s="113" t="s">
        <v>216</v>
      </c>
      <c r="E86" s="104" t="e">
        <v>#VALUE!</v>
      </c>
      <c r="F86" s="104" t="e">
        <v>#VALUE!</v>
      </c>
      <c r="G86" s="104" t="e">
        <v>#VALUE!</v>
      </c>
      <c r="H86" s="104" t="e">
        <v>#VALUE!</v>
      </c>
      <c r="I86" s="104" t="e">
        <v>#VALUE!</v>
      </c>
      <c r="J86" s="104" t="e">
        <v>#VALUE!</v>
      </c>
      <c r="K86" s="104" t="e">
        <v>#VALUE!</v>
      </c>
      <c r="L86" s="104" t="e">
        <v>#VALUE!</v>
      </c>
      <c r="M86" s="104" t="e">
        <v>#VALUE!</v>
      </c>
      <c r="N86" s="104" t="e">
        <v>#VALUE!</v>
      </c>
      <c r="O86" s="104" t="e">
        <v>#VALUE!</v>
      </c>
      <c r="P86" s="104" t="e">
        <v>#VALUE!</v>
      </c>
      <c r="Q86" s="104" t="e">
        <v>#VALUE!</v>
      </c>
      <c r="R86" s="104" t="e">
        <v>#VALUE!</v>
      </c>
      <c r="S86" s="104" t="e">
        <v>#VALUE!</v>
      </c>
      <c r="T86" s="104" t="e">
        <v>#VALUE!</v>
      </c>
      <c r="U86" s="104" t="e">
        <v>#VALUE!</v>
      </c>
      <c r="V86" s="104" t="e">
        <v>#VALUE!</v>
      </c>
      <c r="W86" s="104" t="e">
        <v>#VALUE!</v>
      </c>
      <c r="X86" s="104" t="e">
        <v>#VALUE!</v>
      </c>
      <c r="Y86" s="104" t="e">
        <v>#VALUE!</v>
      </c>
      <c r="Z86" s="104" t="e">
        <v>#VALUE!</v>
      </c>
      <c r="AA86" s="104" t="e">
        <v>#VALUE!</v>
      </c>
      <c r="AB86" s="104" t="e">
        <v>#VALUE!</v>
      </c>
      <c r="AC86" s="104" t="e">
        <v>#VALUE!</v>
      </c>
      <c r="AD86" s="104" t="e">
        <v>#VALUE!</v>
      </c>
      <c r="AE86" s="104" t="e">
        <v>#VALUE!</v>
      </c>
      <c r="AF86" s="104" t="e">
        <v>#VALUE!</v>
      </c>
      <c r="AG86" s="104" t="e">
        <v>#VALUE!</v>
      </c>
      <c r="AH86" s="104" t="e">
        <v>#VALUE!</v>
      </c>
      <c r="AI86" s="104" t="e">
        <v>#VALUE!</v>
      </c>
      <c r="AJ86" s="104" t="e">
        <v>#VALUE!</v>
      </c>
      <c r="AK86" s="104" t="e">
        <v>#VALUE!</v>
      </c>
      <c r="AL86" s="104" t="e">
        <v>#VALUE!</v>
      </c>
      <c r="AM86" s="104" t="e">
        <v>#VALUE!</v>
      </c>
      <c r="AN86" s="104" t="e">
        <v>#NAME?</v>
      </c>
      <c r="AP86" s="113" t="s">
        <v>216</v>
      </c>
      <c r="AQ86" s="104">
        <v>0</v>
      </c>
      <c r="AR86" s="104">
        <v>0</v>
      </c>
      <c r="AS86" s="104">
        <v>0</v>
      </c>
      <c r="AT86" s="104">
        <v>0</v>
      </c>
      <c r="AU86" s="104">
        <v>0</v>
      </c>
      <c r="AW86" s="138">
        <v>0</v>
      </c>
      <c r="AX86" s="103" t="s">
        <v>217</v>
      </c>
      <c r="AY86" s="104" t="e">
        <v>#NAME?</v>
      </c>
      <c r="AZ86" s="104" t="e">
        <v>#NAME?</v>
      </c>
      <c r="BA86" s="104" t="e">
        <v>#NAME?</v>
      </c>
      <c r="BB86" s="104" t="e">
        <v>#NAME?</v>
      </c>
      <c r="BC86" s="104" t="e">
        <v>#NAME?</v>
      </c>
      <c r="BD86" s="104" t="e">
        <v>#NAME?</v>
      </c>
      <c r="BE86" s="104" t="e">
        <v>#NAME?</v>
      </c>
      <c r="BF86" s="104" t="e">
        <v>#NAME?</v>
      </c>
      <c r="BG86" s="104" t="e">
        <v>#NAME?</v>
      </c>
      <c r="BH86" s="104" t="e">
        <v>#NAME?</v>
      </c>
      <c r="BI86" s="104" t="e">
        <v>#NAME?</v>
      </c>
      <c r="BJ86" s="104" t="e">
        <v>#NAME?</v>
      </c>
      <c r="BK86" s="104" t="e">
        <v>#NAME?</v>
      </c>
      <c r="BL86" s="104" t="e">
        <v>#NAME?</v>
      </c>
      <c r="BM86" s="104" t="e">
        <v>#NAME?</v>
      </c>
      <c r="BN86" s="104" t="e">
        <v>#NAME?</v>
      </c>
      <c r="BO86" s="104" t="e">
        <v>#NAME?</v>
      </c>
      <c r="BP86" s="104" t="e">
        <v>#NAME?</v>
      </c>
      <c r="BQ86" s="104" t="e">
        <v>#NAME?</v>
      </c>
      <c r="BR86" s="104" t="e">
        <v>#NAME?</v>
      </c>
      <c r="BS86" s="104" t="e">
        <v>#NAME?</v>
      </c>
      <c r="BT86" s="104" t="e">
        <v>#NAME?</v>
      </c>
      <c r="BU86" s="104" t="e">
        <v>#NAME?</v>
      </c>
      <c r="BV86" s="104" t="e">
        <v>#NAME?</v>
      </c>
      <c r="BW86" s="104" t="e">
        <v>#NAME?</v>
      </c>
      <c r="BX86" s="104" t="e">
        <v>#NAME?</v>
      </c>
      <c r="BY86" s="104" t="e">
        <v>#NAME?</v>
      </c>
      <c r="BZ86" s="104" t="e">
        <v>#NAME?</v>
      </c>
      <c r="CA86" s="104" t="e">
        <v>#NAME?</v>
      </c>
      <c r="CB86" s="104" t="e">
        <v>#NAME?</v>
      </c>
      <c r="CC86" s="104" t="e">
        <v>#NAME?</v>
      </c>
      <c r="CD86" s="104" t="e">
        <v>#NAME?</v>
      </c>
      <c r="CE86" s="104" t="e">
        <v>#NAME?</v>
      </c>
      <c r="CF86" s="104" t="e">
        <v>#NAME?</v>
      </c>
      <c r="CG86" s="104" t="e">
        <v>#NAME?</v>
      </c>
      <c r="CH86" s="104" t="e">
        <v>#NAME?</v>
      </c>
      <c r="CK86" s="103" t="s">
        <v>217</v>
      </c>
      <c r="CL86" s="104">
        <v>0</v>
      </c>
      <c r="CM86" s="104">
        <v>0</v>
      </c>
      <c r="CN86" s="104">
        <v>0</v>
      </c>
      <c r="CO86" s="104">
        <v>0</v>
      </c>
      <c r="CP86" s="104">
        <v>0</v>
      </c>
    </row>
    <row r="87" spans="1:94" ht="15.75">
      <c r="A87" t="s">
        <v>140</v>
      </c>
      <c r="B87">
        <v>0</v>
      </c>
      <c r="D87" s="113" t="s">
        <v>218</v>
      </c>
      <c r="E87" s="104" t="e">
        <v>#VALUE!</v>
      </c>
      <c r="F87" s="104" t="e">
        <v>#VALUE!</v>
      </c>
      <c r="G87" s="104" t="e">
        <v>#VALUE!</v>
      </c>
      <c r="H87" s="104" t="e">
        <v>#VALUE!</v>
      </c>
      <c r="I87" s="104" t="e">
        <v>#VALUE!</v>
      </c>
      <c r="J87" s="104" t="e">
        <v>#VALUE!</v>
      </c>
      <c r="K87" s="104" t="e">
        <v>#VALUE!</v>
      </c>
      <c r="L87" s="104" t="e">
        <v>#VALUE!</v>
      </c>
      <c r="M87" s="104" t="e">
        <v>#VALUE!</v>
      </c>
      <c r="N87" s="104" t="e">
        <v>#VALUE!</v>
      </c>
      <c r="O87" s="104" t="e">
        <v>#VALUE!</v>
      </c>
      <c r="P87" s="104" t="e">
        <v>#VALUE!</v>
      </c>
      <c r="Q87" s="104" t="e">
        <v>#VALUE!</v>
      </c>
      <c r="R87" s="104" t="e">
        <v>#VALUE!</v>
      </c>
      <c r="S87" s="104" t="e">
        <v>#VALUE!</v>
      </c>
      <c r="T87" s="104" t="e">
        <v>#VALUE!</v>
      </c>
      <c r="U87" s="104" t="e">
        <v>#VALUE!</v>
      </c>
      <c r="V87" s="104" t="e">
        <v>#VALUE!</v>
      </c>
      <c r="W87" s="104" t="e">
        <v>#VALUE!</v>
      </c>
      <c r="X87" s="104" t="e">
        <v>#VALUE!</v>
      </c>
      <c r="Y87" s="104" t="e">
        <v>#VALUE!</v>
      </c>
      <c r="Z87" s="104" t="e">
        <v>#VALUE!</v>
      </c>
      <c r="AA87" s="104" t="e">
        <v>#VALUE!</v>
      </c>
      <c r="AB87" s="104" t="e">
        <v>#VALUE!</v>
      </c>
      <c r="AC87" s="104" t="e">
        <v>#VALUE!</v>
      </c>
      <c r="AD87" s="104" t="e">
        <v>#VALUE!</v>
      </c>
      <c r="AE87" s="104" t="e">
        <v>#VALUE!</v>
      </c>
      <c r="AF87" s="104" t="e">
        <v>#VALUE!</v>
      </c>
      <c r="AG87" s="104" t="e">
        <v>#VALUE!</v>
      </c>
      <c r="AH87" s="104" t="e">
        <v>#VALUE!</v>
      </c>
      <c r="AI87" s="104" t="e">
        <v>#VALUE!</v>
      </c>
      <c r="AJ87" s="104" t="e">
        <v>#VALUE!</v>
      </c>
      <c r="AK87" s="104" t="e">
        <v>#VALUE!</v>
      </c>
      <c r="AL87" s="104" t="e">
        <v>#VALUE!</v>
      </c>
      <c r="AM87" s="104" t="e">
        <v>#VALUE!</v>
      </c>
      <c r="AN87" s="104" t="e">
        <v>#NAME?</v>
      </c>
      <c r="AP87" s="113" t="s">
        <v>218</v>
      </c>
      <c r="AQ87" s="104">
        <v>0</v>
      </c>
      <c r="AR87" s="104">
        <v>0</v>
      </c>
      <c r="AS87" s="104">
        <v>0</v>
      </c>
      <c r="AT87" s="104">
        <v>0</v>
      </c>
      <c r="AU87" s="104">
        <v>0</v>
      </c>
      <c r="AW87" s="78">
        <v>0</v>
      </c>
      <c r="AX87" s="97" t="s">
        <v>219</v>
      </c>
      <c r="AY87" s="100" t="e">
        <v>#NAME?</v>
      </c>
      <c r="AZ87" s="100" t="e">
        <v>#NAME?</v>
      </c>
      <c r="BA87" s="100" t="e">
        <v>#NAME?</v>
      </c>
      <c r="BB87" s="100" t="e">
        <v>#NAME?</v>
      </c>
      <c r="BC87" s="100" t="e">
        <v>#NAME?</v>
      </c>
      <c r="BD87" s="100" t="e">
        <v>#NAME?</v>
      </c>
      <c r="BE87" s="100" t="e">
        <v>#NAME?</v>
      </c>
      <c r="BF87" s="100" t="e">
        <v>#NAME?</v>
      </c>
      <c r="BG87" s="100" t="e">
        <v>#NAME?</v>
      </c>
      <c r="BH87" s="100" t="e">
        <v>#NAME?</v>
      </c>
      <c r="BI87" s="100" t="e">
        <v>#NAME?</v>
      </c>
      <c r="BJ87" s="100" t="e">
        <v>#NAME?</v>
      </c>
      <c r="BK87" s="100" t="e">
        <v>#NAME?</v>
      </c>
      <c r="BL87" s="100" t="e">
        <v>#NAME?</v>
      </c>
      <c r="BM87" s="100" t="e">
        <v>#NAME?</v>
      </c>
      <c r="BN87" s="100" t="e">
        <v>#NAME?</v>
      </c>
      <c r="BO87" s="100" t="e">
        <v>#NAME?</v>
      </c>
      <c r="BP87" s="100" t="e">
        <v>#NAME?</v>
      </c>
      <c r="BQ87" s="100" t="e">
        <v>#NAME?</v>
      </c>
      <c r="BR87" s="100" t="e">
        <v>#NAME?</v>
      </c>
      <c r="BS87" s="100" t="e">
        <v>#NAME?</v>
      </c>
      <c r="BT87" s="100" t="e">
        <v>#NAME?</v>
      </c>
      <c r="BU87" s="100" t="e">
        <v>#NAME?</v>
      </c>
      <c r="BV87" s="100" t="e">
        <v>#NAME?</v>
      </c>
      <c r="BW87" s="100" t="e">
        <v>#NAME?</v>
      </c>
      <c r="BX87" s="100" t="e">
        <v>#NAME?</v>
      </c>
      <c r="BY87" s="100" t="e">
        <v>#NAME?</v>
      </c>
      <c r="BZ87" s="100" t="e">
        <v>#NAME?</v>
      </c>
      <c r="CA87" s="100" t="e">
        <v>#NAME?</v>
      </c>
      <c r="CB87" s="100" t="e">
        <v>#NAME?</v>
      </c>
      <c r="CC87" s="100" t="e">
        <v>#NAME?</v>
      </c>
      <c r="CD87" s="100" t="e">
        <v>#NAME?</v>
      </c>
      <c r="CE87" s="100" t="e">
        <v>#NAME?</v>
      </c>
      <c r="CF87" s="100" t="e">
        <v>#NAME?</v>
      </c>
      <c r="CG87" s="100" t="e">
        <v>#NAME?</v>
      </c>
      <c r="CH87" s="100" t="e">
        <v>#NAME?</v>
      </c>
      <c r="CK87" s="97" t="s">
        <v>219</v>
      </c>
      <c r="CL87" s="100">
        <v>0</v>
      </c>
      <c r="CM87" s="100">
        <v>0</v>
      </c>
      <c r="CN87" s="100">
        <v>0</v>
      </c>
      <c r="CO87" s="100">
        <v>0</v>
      </c>
      <c r="CP87" s="100">
        <v>0</v>
      </c>
    </row>
    <row r="88" spans="1:94" ht="15.75">
      <c r="A88" t="s">
        <v>140</v>
      </c>
      <c r="B88">
        <v>0</v>
      </c>
      <c r="D88" s="105" t="s">
        <v>220</v>
      </c>
      <c r="E88" s="104" t="e">
        <v>#VALUE!</v>
      </c>
      <c r="F88" s="104" t="e">
        <v>#VALUE!</v>
      </c>
      <c r="G88" s="104" t="e">
        <v>#VALUE!</v>
      </c>
      <c r="H88" s="104" t="e">
        <v>#VALUE!</v>
      </c>
      <c r="I88" s="104" t="e">
        <v>#VALUE!</v>
      </c>
      <c r="J88" s="104" t="e">
        <v>#VALUE!</v>
      </c>
      <c r="K88" s="104" t="e">
        <v>#VALUE!</v>
      </c>
      <c r="L88" s="104" t="e">
        <v>#VALUE!</v>
      </c>
      <c r="M88" s="104" t="e">
        <v>#VALUE!</v>
      </c>
      <c r="N88" s="104" t="e">
        <v>#VALUE!</v>
      </c>
      <c r="O88" s="104" t="e">
        <v>#VALUE!</v>
      </c>
      <c r="P88" s="104" t="e">
        <v>#VALUE!</v>
      </c>
      <c r="Q88" s="104" t="e">
        <v>#VALUE!</v>
      </c>
      <c r="R88" s="104" t="e">
        <v>#VALUE!</v>
      </c>
      <c r="S88" s="104" t="e">
        <v>#VALUE!</v>
      </c>
      <c r="T88" s="104" t="e">
        <v>#VALUE!</v>
      </c>
      <c r="U88" s="104" t="e">
        <v>#VALUE!</v>
      </c>
      <c r="V88" s="104" t="e">
        <v>#VALUE!</v>
      </c>
      <c r="W88" s="104" t="e">
        <v>#VALUE!</v>
      </c>
      <c r="X88" s="104" t="e">
        <v>#VALUE!</v>
      </c>
      <c r="Y88" s="104" t="e">
        <v>#VALUE!</v>
      </c>
      <c r="Z88" s="104" t="e">
        <v>#VALUE!</v>
      </c>
      <c r="AA88" s="104" t="e">
        <v>#VALUE!</v>
      </c>
      <c r="AB88" s="104" t="e">
        <v>#VALUE!</v>
      </c>
      <c r="AC88" s="104" t="e">
        <v>#VALUE!</v>
      </c>
      <c r="AD88" s="104" t="e">
        <v>#VALUE!</v>
      </c>
      <c r="AE88" s="104" t="e">
        <v>#VALUE!</v>
      </c>
      <c r="AF88" s="104" t="e">
        <v>#VALUE!</v>
      </c>
      <c r="AG88" s="104" t="e">
        <v>#VALUE!</v>
      </c>
      <c r="AH88" s="104" t="e">
        <v>#VALUE!</v>
      </c>
      <c r="AI88" s="104" t="e">
        <v>#VALUE!</v>
      </c>
      <c r="AJ88" s="104" t="e">
        <v>#VALUE!</v>
      </c>
      <c r="AK88" s="104" t="e">
        <v>#VALUE!</v>
      </c>
      <c r="AL88" s="104" t="e">
        <v>#VALUE!</v>
      </c>
      <c r="AM88" s="104" t="e">
        <v>#VALUE!</v>
      </c>
      <c r="AN88" s="104" t="e">
        <v>#NAME?</v>
      </c>
      <c r="AP88" s="105" t="s">
        <v>220</v>
      </c>
      <c r="AQ88" s="104">
        <v>0</v>
      </c>
      <c r="AR88" s="104">
        <v>0</v>
      </c>
      <c r="AS88" s="104">
        <v>0</v>
      </c>
      <c r="AT88" s="104">
        <v>0</v>
      </c>
      <c r="AU88" s="104">
        <v>0</v>
      </c>
      <c r="AX88" s="139" t="s">
        <v>157</v>
      </c>
      <c r="AY88" s="140"/>
      <c r="AZ88" s="140"/>
      <c r="BA88" s="140"/>
      <c r="BB88" s="140"/>
      <c r="BC88" s="140"/>
      <c r="BD88" s="140"/>
      <c r="BE88" s="140"/>
      <c r="BF88" s="140"/>
      <c r="BG88" s="140"/>
      <c r="BH88" s="140"/>
      <c r="BI88" s="140"/>
      <c r="BJ88" s="140"/>
      <c r="BK88" s="140"/>
      <c r="BL88" s="140"/>
      <c r="BM88" s="140"/>
      <c r="BN88" s="140"/>
      <c r="BO88" s="140"/>
      <c r="BP88" s="140"/>
      <c r="BQ88" s="140"/>
      <c r="BR88" s="140"/>
      <c r="BS88" s="140"/>
      <c r="BT88" s="140"/>
      <c r="BU88" s="140"/>
      <c r="BV88" s="140"/>
      <c r="BW88" s="140"/>
      <c r="BX88" s="140"/>
      <c r="BY88" s="140"/>
      <c r="BZ88" s="140"/>
      <c r="CA88" s="140"/>
      <c r="CB88" s="140"/>
      <c r="CC88" s="140"/>
      <c r="CD88" s="140"/>
      <c r="CE88" s="140"/>
      <c r="CF88" s="140"/>
      <c r="CG88" s="140"/>
      <c r="CH88" s="140"/>
      <c r="CK88" s="139" t="s">
        <v>157</v>
      </c>
      <c r="CL88" s="140"/>
      <c r="CM88" s="140"/>
      <c r="CN88" s="140"/>
      <c r="CO88" s="140"/>
      <c r="CP88" s="140"/>
    </row>
    <row r="89" spans="1:94" ht="15.75">
      <c r="A89" t="s">
        <v>140</v>
      </c>
      <c r="B89">
        <v>0</v>
      </c>
      <c r="D89" s="103" t="s">
        <v>221</v>
      </c>
      <c r="E89" s="104" t="e">
        <v>#VALUE!</v>
      </c>
      <c r="F89" s="104" t="e">
        <v>#VALUE!</v>
      </c>
      <c r="G89" s="104" t="e">
        <v>#VALUE!</v>
      </c>
      <c r="H89" s="104" t="e">
        <v>#VALUE!</v>
      </c>
      <c r="I89" s="104" t="e">
        <v>#VALUE!</v>
      </c>
      <c r="J89" s="104" t="e">
        <v>#VALUE!</v>
      </c>
      <c r="K89" s="104" t="e">
        <v>#VALUE!</v>
      </c>
      <c r="L89" s="104" t="e">
        <v>#VALUE!</v>
      </c>
      <c r="M89" s="104" t="e">
        <v>#VALUE!</v>
      </c>
      <c r="N89" s="104" t="e">
        <v>#VALUE!</v>
      </c>
      <c r="O89" s="104" t="e">
        <v>#VALUE!</v>
      </c>
      <c r="P89" s="104" t="e">
        <v>#VALUE!</v>
      </c>
      <c r="Q89" s="104" t="e">
        <v>#VALUE!</v>
      </c>
      <c r="R89" s="104" t="e">
        <v>#VALUE!</v>
      </c>
      <c r="S89" s="104" t="e">
        <v>#VALUE!</v>
      </c>
      <c r="T89" s="104" t="e">
        <v>#VALUE!</v>
      </c>
      <c r="U89" s="104" t="e">
        <v>#VALUE!</v>
      </c>
      <c r="V89" s="104" t="e">
        <v>#VALUE!</v>
      </c>
      <c r="W89" s="104" t="e">
        <v>#VALUE!</v>
      </c>
      <c r="X89" s="104" t="e">
        <v>#VALUE!</v>
      </c>
      <c r="Y89" s="104" t="e">
        <v>#VALUE!</v>
      </c>
      <c r="Z89" s="104" t="e">
        <v>#VALUE!</v>
      </c>
      <c r="AA89" s="104" t="e">
        <v>#VALUE!</v>
      </c>
      <c r="AB89" s="104" t="e">
        <v>#VALUE!</v>
      </c>
      <c r="AC89" s="104" t="e">
        <v>#VALUE!</v>
      </c>
      <c r="AD89" s="104" t="e">
        <v>#VALUE!</v>
      </c>
      <c r="AE89" s="104" t="e">
        <v>#VALUE!</v>
      </c>
      <c r="AF89" s="104" t="e">
        <v>#VALUE!</v>
      </c>
      <c r="AG89" s="104" t="e">
        <v>#VALUE!</v>
      </c>
      <c r="AH89" s="104" t="e">
        <v>#VALUE!</v>
      </c>
      <c r="AI89" s="104" t="e">
        <v>#VALUE!</v>
      </c>
      <c r="AJ89" s="104" t="e">
        <v>#VALUE!</v>
      </c>
      <c r="AK89" s="104" t="e">
        <v>#VALUE!</v>
      </c>
      <c r="AL89" s="104" t="e">
        <v>#VALUE!</v>
      </c>
      <c r="AM89" s="104" t="e">
        <v>#VALUE!</v>
      </c>
      <c r="AN89" s="104" t="e">
        <v>#NAME?</v>
      </c>
      <c r="AP89" s="103" t="s">
        <v>221</v>
      </c>
      <c r="AQ89" s="104">
        <v>0</v>
      </c>
      <c r="AR89" s="104">
        <v>0</v>
      </c>
      <c r="AS89" s="104">
        <v>0</v>
      </c>
      <c r="AT89" s="104">
        <v>0</v>
      </c>
      <c r="AU89" s="104">
        <v>0</v>
      </c>
      <c r="AX89" s="141" t="s">
        <v>140</v>
      </c>
      <c r="AY89" s="142"/>
      <c r="AZ89" s="142"/>
      <c r="BA89" s="142"/>
      <c r="BB89" s="142"/>
      <c r="BC89" s="142"/>
      <c r="BD89" s="142"/>
      <c r="BE89" s="142"/>
      <c r="BF89" s="142"/>
      <c r="BG89" s="142"/>
      <c r="BH89" s="142"/>
      <c r="BI89" s="142"/>
      <c r="BJ89" s="142"/>
      <c r="BK89" s="142"/>
      <c r="BL89" s="142"/>
      <c r="BM89" s="142"/>
      <c r="BN89" s="142"/>
      <c r="BO89" s="142"/>
      <c r="BP89" s="142"/>
      <c r="BQ89" s="142"/>
      <c r="BR89" s="142"/>
      <c r="BS89" s="142"/>
      <c r="BT89" s="142"/>
      <c r="BU89" s="142"/>
      <c r="BV89" s="142"/>
      <c r="BW89" s="142"/>
      <c r="BX89" s="142"/>
      <c r="BY89" s="142"/>
      <c r="BZ89" s="142"/>
      <c r="CA89" s="142"/>
      <c r="CB89" s="142"/>
      <c r="CC89" s="142"/>
      <c r="CD89" s="142"/>
      <c r="CE89" s="142"/>
      <c r="CF89" s="142"/>
      <c r="CG89" s="142"/>
      <c r="CH89" s="142"/>
      <c r="CK89" s="141" t="s">
        <v>140</v>
      </c>
      <c r="CL89" s="142"/>
      <c r="CM89" s="142"/>
      <c r="CN89" s="142"/>
      <c r="CO89" s="142"/>
      <c r="CP89" s="142"/>
    </row>
    <row r="90" spans="1:94" ht="15.75">
      <c r="A90" t="s">
        <v>140</v>
      </c>
      <c r="B90">
        <v>0</v>
      </c>
      <c r="D90" s="95" t="s">
        <v>222</v>
      </c>
      <c r="E90" s="122" t="e">
        <v>#VALUE!</v>
      </c>
      <c r="F90" s="122" t="e">
        <v>#VALUE!</v>
      </c>
      <c r="G90" s="122" t="e">
        <v>#VALUE!</v>
      </c>
      <c r="H90" s="122" t="e">
        <v>#VALUE!</v>
      </c>
      <c r="I90" s="122" t="e">
        <v>#VALUE!</v>
      </c>
      <c r="J90" s="122" t="e">
        <v>#VALUE!</v>
      </c>
      <c r="K90" s="122" t="e">
        <v>#VALUE!</v>
      </c>
      <c r="L90" s="122" t="e">
        <v>#VALUE!</v>
      </c>
      <c r="M90" s="122" t="e">
        <v>#VALUE!</v>
      </c>
      <c r="N90" s="122" t="e">
        <v>#VALUE!</v>
      </c>
      <c r="O90" s="122" t="e">
        <v>#VALUE!</v>
      </c>
      <c r="P90" s="122" t="e">
        <v>#VALUE!</v>
      </c>
      <c r="Q90" s="122" t="e">
        <v>#VALUE!</v>
      </c>
      <c r="R90" s="122" t="e">
        <v>#VALUE!</v>
      </c>
      <c r="S90" s="122" t="e">
        <v>#VALUE!</v>
      </c>
      <c r="T90" s="122" t="e">
        <v>#VALUE!</v>
      </c>
      <c r="U90" s="122" t="e">
        <v>#VALUE!</v>
      </c>
      <c r="V90" s="122" t="e">
        <v>#VALUE!</v>
      </c>
      <c r="W90" s="122" t="e">
        <v>#VALUE!</v>
      </c>
      <c r="X90" s="122" t="e">
        <v>#VALUE!</v>
      </c>
      <c r="Y90" s="122" t="e">
        <v>#VALUE!</v>
      </c>
      <c r="Z90" s="122" t="e">
        <v>#VALUE!</v>
      </c>
      <c r="AA90" s="122" t="e">
        <v>#VALUE!</v>
      </c>
      <c r="AB90" s="122" t="e">
        <v>#VALUE!</v>
      </c>
      <c r="AC90" s="122" t="e">
        <v>#VALUE!</v>
      </c>
      <c r="AD90" s="122" t="e">
        <v>#VALUE!</v>
      </c>
      <c r="AE90" s="122" t="e">
        <v>#VALUE!</v>
      </c>
      <c r="AF90" s="122" t="e">
        <v>#VALUE!</v>
      </c>
      <c r="AG90" s="122" t="e">
        <v>#VALUE!</v>
      </c>
      <c r="AH90" s="122" t="e">
        <v>#VALUE!</v>
      </c>
      <c r="AI90" s="122" t="e">
        <v>#VALUE!</v>
      </c>
      <c r="AJ90" s="122" t="e">
        <v>#VALUE!</v>
      </c>
      <c r="AK90" s="122" t="e">
        <v>#VALUE!</v>
      </c>
      <c r="AL90" s="122" t="e">
        <v>#VALUE!</v>
      </c>
      <c r="AM90" s="122" t="e">
        <v>#VALUE!</v>
      </c>
      <c r="AN90" s="122" t="e">
        <v>#NAME?</v>
      </c>
      <c r="AP90" s="95" t="s">
        <v>222</v>
      </c>
      <c r="AQ90" s="122">
        <v>0</v>
      </c>
      <c r="AR90" s="122">
        <v>0</v>
      </c>
      <c r="AS90" s="122">
        <v>0</v>
      </c>
      <c r="AT90" s="122">
        <v>0</v>
      </c>
      <c r="AU90" s="122">
        <v>0</v>
      </c>
      <c r="AW90">
        <v>0</v>
      </c>
      <c r="AX90" s="105" t="s">
        <v>223</v>
      </c>
      <c r="AY90" s="104" t="e">
        <v>#NAME?</v>
      </c>
      <c r="AZ90" s="104" t="e">
        <v>#NAME?</v>
      </c>
      <c r="BA90" s="104" t="e">
        <v>#NAME?</v>
      </c>
      <c r="BB90" s="104" t="e">
        <v>#NAME?</v>
      </c>
      <c r="BC90" s="104" t="e">
        <v>#NAME?</v>
      </c>
      <c r="BD90" s="104" t="e">
        <v>#NAME?</v>
      </c>
      <c r="BE90" s="104" t="e">
        <v>#NAME?</v>
      </c>
      <c r="BF90" s="104" t="e">
        <v>#NAME?</v>
      </c>
      <c r="BG90" s="104" t="e">
        <v>#NAME?</v>
      </c>
      <c r="BH90" s="104" t="e">
        <v>#NAME?</v>
      </c>
      <c r="BI90" s="104" t="e">
        <v>#NAME?</v>
      </c>
      <c r="BJ90" s="104" t="e">
        <v>#NAME?</v>
      </c>
      <c r="BK90" s="104" t="e">
        <v>#NAME?</v>
      </c>
      <c r="BL90" s="104" t="e">
        <v>#NAME?</v>
      </c>
      <c r="BM90" s="104" t="e">
        <v>#NAME?</v>
      </c>
      <c r="BN90" s="104" t="e">
        <v>#NAME?</v>
      </c>
      <c r="BO90" s="104" t="e">
        <v>#NAME?</v>
      </c>
      <c r="BP90" s="104" t="e">
        <v>#NAME?</v>
      </c>
      <c r="BQ90" s="104" t="e">
        <v>#NAME?</v>
      </c>
      <c r="BR90" s="104" t="e">
        <v>#NAME?</v>
      </c>
      <c r="BS90" s="104" t="e">
        <v>#NAME?</v>
      </c>
      <c r="BT90" s="104" t="e">
        <v>#NAME?</v>
      </c>
      <c r="BU90" s="104" t="e">
        <v>#NAME?</v>
      </c>
      <c r="BV90" s="104" t="e">
        <v>#NAME?</v>
      </c>
      <c r="BW90" s="104" t="e">
        <v>#NAME?</v>
      </c>
      <c r="BX90" s="104" t="e">
        <v>#NAME?</v>
      </c>
      <c r="BY90" s="104" t="e">
        <v>#NAME?</v>
      </c>
      <c r="BZ90" s="104" t="e">
        <v>#NAME?</v>
      </c>
      <c r="CA90" s="104" t="e">
        <v>#NAME?</v>
      </c>
      <c r="CB90" s="104" t="e">
        <v>#NAME?</v>
      </c>
      <c r="CC90" s="104" t="e">
        <v>#NAME?</v>
      </c>
      <c r="CD90" s="104" t="e">
        <v>#NAME?</v>
      </c>
      <c r="CE90" s="104" t="e">
        <v>#NAME?</v>
      </c>
      <c r="CF90" s="104" t="e">
        <v>#NAME?</v>
      </c>
      <c r="CG90" s="104" t="e">
        <v>#NAME?</v>
      </c>
      <c r="CH90" s="104" t="e">
        <v>#NAME?</v>
      </c>
      <c r="CK90" s="105" t="s">
        <v>223</v>
      </c>
      <c r="CL90" s="104">
        <v>0</v>
      </c>
      <c r="CM90" s="104">
        <v>0</v>
      </c>
      <c r="CN90" s="104">
        <v>0</v>
      </c>
      <c r="CO90" s="104">
        <v>0</v>
      </c>
      <c r="CP90" s="104">
        <v>0</v>
      </c>
    </row>
    <row r="91" spans="1:94" ht="15.75">
      <c r="A91" t="s">
        <v>140</v>
      </c>
      <c r="B91">
        <v>0</v>
      </c>
      <c r="D91" s="103" t="s">
        <v>140</v>
      </c>
      <c r="E91" s="121"/>
      <c r="F91" s="121"/>
      <c r="G91" s="121"/>
      <c r="H91" s="121"/>
      <c r="I91" s="121"/>
      <c r="J91" s="121"/>
      <c r="K91" s="121"/>
      <c r="L91" s="121"/>
      <c r="M91" s="121"/>
      <c r="N91" s="121"/>
      <c r="O91" s="121"/>
      <c r="P91" s="121"/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  <c r="AN91" s="121"/>
      <c r="AP91" s="103" t="s">
        <v>140</v>
      </c>
      <c r="AQ91" s="121"/>
      <c r="AR91" s="121"/>
      <c r="AS91" s="121"/>
      <c r="AT91" s="121"/>
      <c r="AU91" s="121"/>
      <c r="AW91">
        <v>0</v>
      </c>
      <c r="AX91" s="105" t="s">
        <v>224</v>
      </c>
      <c r="AY91" s="104" t="e">
        <v>#NAME?</v>
      </c>
      <c r="AZ91" s="104" t="e">
        <v>#NAME?</v>
      </c>
      <c r="BA91" s="104" t="e">
        <v>#NAME?</v>
      </c>
      <c r="BB91" s="104" t="e">
        <v>#NAME?</v>
      </c>
      <c r="BC91" s="104" t="e">
        <v>#NAME?</v>
      </c>
      <c r="BD91" s="104" t="e">
        <v>#NAME?</v>
      </c>
      <c r="BE91" s="104" t="e">
        <v>#NAME?</v>
      </c>
      <c r="BF91" s="104" t="e">
        <v>#NAME?</v>
      </c>
      <c r="BG91" s="104" t="e">
        <v>#NAME?</v>
      </c>
      <c r="BH91" s="104" t="e">
        <v>#NAME?</v>
      </c>
      <c r="BI91" s="104" t="e">
        <v>#NAME?</v>
      </c>
      <c r="BJ91" s="104" t="e">
        <v>#NAME?</v>
      </c>
      <c r="BK91" s="104" t="e">
        <v>#NAME?</v>
      </c>
      <c r="BL91" s="104" t="e">
        <v>#NAME?</v>
      </c>
      <c r="BM91" s="104" t="e">
        <v>#NAME?</v>
      </c>
      <c r="BN91" s="104" t="e">
        <v>#NAME?</v>
      </c>
      <c r="BO91" s="104" t="e">
        <v>#NAME?</v>
      </c>
      <c r="BP91" s="104" t="e">
        <v>#NAME?</v>
      </c>
      <c r="BQ91" s="104" t="e">
        <v>#NAME?</v>
      </c>
      <c r="BR91" s="104" t="e">
        <v>#NAME?</v>
      </c>
      <c r="BS91" s="104" t="e">
        <v>#NAME?</v>
      </c>
      <c r="BT91" s="104" t="e">
        <v>#NAME?</v>
      </c>
      <c r="BU91" s="104" t="e">
        <v>#NAME?</v>
      </c>
      <c r="BV91" s="104" t="e">
        <v>#NAME?</v>
      </c>
      <c r="BW91" s="104" t="e">
        <v>#NAME?</v>
      </c>
      <c r="BX91" s="104" t="e">
        <v>#NAME?</v>
      </c>
      <c r="BY91" s="104" t="e">
        <v>#NAME?</v>
      </c>
      <c r="BZ91" s="104" t="e">
        <v>#NAME?</v>
      </c>
      <c r="CA91" s="104" t="e">
        <v>#NAME?</v>
      </c>
      <c r="CB91" s="104" t="e">
        <v>#NAME?</v>
      </c>
      <c r="CC91" s="104" t="e">
        <v>#NAME?</v>
      </c>
      <c r="CD91" s="104" t="e">
        <v>#NAME?</v>
      </c>
      <c r="CE91" s="104" t="e">
        <v>#NAME?</v>
      </c>
      <c r="CF91" s="104" t="e">
        <v>#NAME?</v>
      </c>
      <c r="CG91" s="104" t="e">
        <v>#NAME?</v>
      </c>
      <c r="CH91" s="104" t="e">
        <v>#NAME?</v>
      </c>
      <c r="CK91" s="105" t="s">
        <v>224</v>
      </c>
      <c r="CL91" s="104">
        <v>0</v>
      </c>
      <c r="CM91" s="104">
        <v>0</v>
      </c>
      <c r="CN91" s="104">
        <v>0</v>
      </c>
      <c r="CO91" s="104">
        <v>0</v>
      </c>
      <c r="CP91" s="104">
        <v>0</v>
      </c>
    </row>
    <row r="92" spans="1:94" ht="15.75">
      <c r="A92" t="s">
        <v>140</v>
      </c>
      <c r="B92">
        <v>0</v>
      </c>
      <c r="D92" s="128" t="s">
        <v>225</v>
      </c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P92" s="128" t="s">
        <v>225</v>
      </c>
      <c r="AQ92" s="129"/>
      <c r="AR92" s="129"/>
      <c r="AS92" s="129"/>
      <c r="AT92" s="129"/>
      <c r="AU92" s="129"/>
      <c r="AW92" t="s">
        <v>140</v>
      </c>
      <c r="AX92" s="97" t="s">
        <v>226</v>
      </c>
      <c r="AY92" s="100" t="s">
        <v>140</v>
      </c>
      <c r="AZ92" s="100" t="s">
        <v>140</v>
      </c>
      <c r="BA92" s="100" t="s">
        <v>140</v>
      </c>
      <c r="BB92" s="100" t="s">
        <v>140</v>
      </c>
      <c r="BC92" s="100" t="s">
        <v>140</v>
      </c>
      <c r="BD92" s="100" t="s">
        <v>140</v>
      </c>
      <c r="BE92" s="100" t="s">
        <v>140</v>
      </c>
      <c r="BF92" s="100" t="s">
        <v>140</v>
      </c>
      <c r="BG92" s="100" t="s">
        <v>140</v>
      </c>
      <c r="BH92" s="100" t="s">
        <v>140</v>
      </c>
      <c r="BI92" s="100" t="s">
        <v>140</v>
      </c>
      <c r="BJ92" s="100" t="s">
        <v>140</v>
      </c>
      <c r="BK92" s="100" t="s">
        <v>140</v>
      </c>
      <c r="BL92" s="100" t="s">
        <v>140</v>
      </c>
      <c r="BM92" s="100" t="s">
        <v>140</v>
      </c>
      <c r="BN92" s="100" t="s">
        <v>140</v>
      </c>
      <c r="BO92" s="100" t="s">
        <v>140</v>
      </c>
      <c r="BP92" s="100" t="s">
        <v>140</v>
      </c>
      <c r="BQ92" s="100" t="s">
        <v>140</v>
      </c>
      <c r="BR92" s="100" t="s">
        <v>140</v>
      </c>
      <c r="BS92" s="100" t="s">
        <v>140</v>
      </c>
      <c r="BT92" s="100" t="s">
        <v>140</v>
      </c>
      <c r="BU92" s="100" t="s">
        <v>140</v>
      </c>
      <c r="BV92" s="100" t="s">
        <v>140</v>
      </c>
      <c r="BW92" s="100" t="s">
        <v>140</v>
      </c>
      <c r="BX92" s="100" t="s">
        <v>140</v>
      </c>
      <c r="BY92" s="100" t="s">
        <v>140</v>
      </c>
      <c r="BZ92" s="100" t="s">
        <v>140</v>
      </c>
      <c r="CA92" s="100" t="s">
        <v>140</v>
      </c>
      <c r="CB92" s="100" t="s">
        <v>140</v>
      </c>
      <c r="CC92" s="100" t="s">
        <v>140</v>
      </c>
      <c r="CD92" s="100" t="s">
        <v>140</v>
      </c>
      <c r="CE92" s="100" t="s">
        <v>140</v>
      </c>
      <c r="CF92" s="100" t="s">
        <v>140</v>
      </c>
      <c r="CG92" s="100" t="s">
        <v>140</v>
      </c>
      <c r="CH92" s="100" t="s">
        <v>140</v>
      </c>
      <c r="CK92" s="97" t="s">
        <v>226</v>
      </c>
      <c r="CL92" s="100" t="s">
        <v>140</v>
      </c>
      <c r="CM92" s="100" t="s">
        <v>140</v>
      </c>
      <c r="CN92" s="100"/>
      <c r="CO92" s="100"/>
      <c r="CP92" s="100"/>
    </row>
    <row r="93" spans="1:94" ht="15.75">
      <c r="A93" t="s">
        <v>140</v>
      </c>
      <c r="B93">
        <v>0</v>
      </c>
      <c r="D93" s="103" t="s">
        <v>227</v>
      </c>
      <c r="E93" s="112" t="e">
        <v>#VALUE!</v>
      </c>
      <c r="F93" s="112" t="e">
        <v>#VALUE!</v>
      </c>
      <c r="G93" s="112" t="e">
        <v>#VALUE!</v>
      </c>
      <c r="H93" s="112" t="e">
        <v>#VALUE!</v>
      </c>
      <c r="I93" s="112" t="e">
        <v>#VALUE!</v>
      </c>
      <c r="J93" s="112" t="e">
        <v>#VALUE!</v>
      </c>
      <c r="K93" s="112" t="e">
        <v>#VALUE!</v>
      </c>
      <c r="L93" s="112" t="e">
        <v>#VALUE!</v>
      </c>
      <c r="M93" s="112" t="e">
        <v>#VALUE!</v>
      </c>
      <c r="N93" s="112" t="e">
        <v>#VALUE!</v>
      </c>
      <c r="O93" s="112" t="e">
        <v>#VALUE!</v>
      </c>
      <c r="P93" s="112" t="e">
        <v>#VALUE!</v>
      </c>
      <c r="Q93" s="112" t="e">
        <v>#VALUE!</v>
      </c>
      <c r="R93" s="112" t="e">
        <v>#VALUE!</v>
      </c>
      <c r="S93" s="112" t="e">
        <v>#VALUE!</v>
      </c>
      <c r="T93" s="112" t="e">
        <v>#VALUE!</v>
      </c>
      <c r="U93" s="112" t="e">
        <v>#VALUE!</v>
      </c>
      <c r="V93" s="112" t="e">
        <v>#VALUE!</v>
      </c>
      <c r="W93" s="112" t="e">
        <v>#VALUE!</v>
      </c>
      <c r="X93" s="112" t="e">
        <v>#VALUE!</v>
      </c>
      <c r="Y93" s="112" t="e">
        <v>#VALUE!</v>
      </c>
      <c r="Z93" s="112" t="e">
        <v>#VALUE!</v>
      </c>
      <c r="AA93" s="112" t="e">
        <v>#VALUE!</v>
      </c>
      <c r="AB93" s="112" t="e">
        <v>#VALUE!</v>
      </c>
      <c r="AC93" s="112" t="e">
        <v>#VALUE!</v>
      </c>
      <c r="AD93" s="112" t="e">
        <v>#VALUE!</v>
      </c>
      <c r="AE93" s="112" t="e">
        <v>#VALUE!</v>
      </c>
      <c r="AF93" s="112" t="e">
        <v>#VALUE!</v>
      </c>
      <c r="AG93" s="112" t="e">
        <v>#VALUE!</v>
      </c>
      <c r="AH93" s="112" t="e">
        <v>#VALUE!</v>
      </c>
      <c r="AI93" s="112" t="e">
        <v>#VALUE!</v>
      </c>
      <c r="AJ93" s="112" t="e">
        <v>#VALUE!</v>
      </c>
      <c r="AK93" s="112" t="e">
        <v>#VALUE!</v>
      </c>
      <c r="AL93" s="112" t="e">
        <v>#VALUE!</v>
      </c>
      <c r="AM93" s="112" t="e">
        <v>#VALUE!</v>
      </c>
      <c r="AN93" s="112" t="e">
        <v>#NAME?</v>
      </c>
      <c r="AP93" s="103" t="s">
        <v>227</v>
      </c>
      <c r="AQ93" s="112">
        <v>0</v>
      </c>
      <c r="AR93" s="112">
        <v>0</v>
      </c>
      <c r="AS93" s="112">
        <v>0</v>
      </c>
      <c r="AT93" s="112">
        <v>0</v>
      </c>
      <c r="AU93" s="112">
        <v>0</v>
      </c>
    </row>
    <row r="94" spans="1:94" ht="15.75">
      <c r="A94" t="s">
        <v>140</v>
      </c>
      <c r="B94">
        <v>0</v>
      </c>
      <c r="D94" s="113" t="s">
        <v>228</v>
      </c>
      <c r="E94" s="104" t="e">
        <v>#VALUE!</v>
      </c>
      <c r="F94" s="104" t="e">
        <v>#VALUE!</v>
      </c>
      <c r="G94" s="104" t="e">
        <v>#VALUE!</v>
      </c>
      <c r="H94" s="104" t="e">
        <v>#VALUE!</v>
      </c>
      <c r="I94" s="104" t="e">
        <v>#VALUE!</v>
      </c>
      <c r="J94" s="104" t="e">
        <v>#VALUE!</v>
      </c>
      <c r="K94" s="104" t="e">
        <v>#VALUE!</v>
      </c>
      <c r="L94" s="104" t="e">
        <v>#VALUE!</v>
      </c>
      <c r="M94" s="104" t="e">
        <v>#VALUE!</v>
      </c>
      <c r="N94" s="104" t="e">
        <v>#VALUE!</v>
      </c>
      <c r="O94" s="104" t="e">
        <v>#VALUE!</v>
      </c>
      <c r="P94" s="104" t="e">
        <v>#VALUE!</v>
      </c>
      <c r="Q94" s="104" t="e">
        <v>#VALUE!</v>
      </c>
      <c r="R94" s="104" t="e">
        <v>#VALUE!</v>
      </c>
      <c r="S94" s="104" t="e">
        <v>#VALUE!</v>
      </c>
      <c r="T94" s="104" t="e">
        <v>#VALUE!</v>
      </c>
      <c r="U94" s="104" t="e">
        <v>#VALUE!</v>
      </c>
      <c r="V94" s="104" t="e">
        <v>#VALUE!</v>
      </c>
      <c r="W94" s="104" t="e">
        <v>#VALUE!</v>
      </c>
      <c r="X94" s="104" t="e">
        <v>#VALUE!</v>
      </c>
      <c r="Y94" s="104" t="e">
        <v>#VALUE!</v>
      </c>
      <c r="Z94" s="104" t="e">
        <v>#VALUE!</v>
      </c>
      <c r="AA94" s="104" t="e">
        <v>#VALUE!</v>
      </c>
      <c r="AB94" s="104" t="e">
        <v>#VALUE!</v>
      </c>
      <c r="AC94" s="104" t="e">
        <v>#VALUE!</v>
      </c>
      <c r="AD94" s="104" t="e">
        <v>#VALUE!</v>
      </c>
      <c r="AE94" s="104" t="e">
        <v>#VALUE!</v>
      </c>
      <c r="AF94" s="104" t="e">
        <v>#VALUE!</v>
      </c>
      <c r="AG94" s="104" t="e">
        <v>#VALUE!</v>
      </c>
      <c r="AH94" s="104" t="e">
        <v>#VALUE!</v>
      </c>
      <c r="AI94" s="104" t="e">
        <v>#VALUE!</v>
      </c>
      <c r="AJ94" s="104" t="e">
        <v>#VALUE!</v>
      </c>
      <c r="AK94" s="104" t="e">
        <v>#VALUE!</v>
      </c>
      <c r="AL94" s="104" t="e">
        <v>#VALUE!</v>
      </c>
      <c r="AM94" s="104" t="e">
        <v>#VALUE!</v>
      </c>
      <c r="AN94" s="104" t="e">
        <v>#NAME?</v>
      </c>
      <c r="AP94" s="113" t="s">
        <v>228</v>
      </c>
      <c r="AQ94" s="104">
        <v>0</v>
      </c>
      <c r="AR94" s="104">
        <v>0</v>
      </c>
      <c r="AS94" s="104">
        <v>0</v>
      </c>
      <c r="AT94" s="104">
        <v>0</v>
      </c>
      <c r="AU94" s="104">
        <v>0</v>
      </c>
    </row>
    <row r="95" spans="1:94" ht="15.75">
      <c r="A95" t="s">
        <v>140</v>
      </c>
      <c r="B95">
        <v>0</v>
      </c>
      <c r="D95" s="113" t="s">
        <v>229</v>
      </c>
      <c r="E95" s="96" t="e">
        <v>#VALUE!</v>
      </c>
      <c r="F95" s="96" t="e">
        <v>#VALUE!</v>
      </c>
      <c r="G95" s="96" t="e">
        <v>#VALUE!</v>
      </c>
      <c r="H95" s="96" t="e">
        <v>#VALUE!</v>
      </c>
      <c r="I95" s="96" t="e">
        <v>#VALUE!</v>
      </c>
      <c r="J95" s="96" t="e">
        <v>#VALUE!</v>
      </c>
      <c r="K95" s="96" t="e">
        <v>#VALUE!</v>
      </c>
      <c r="L95" s="96" t="e">
        <v>#VALUE!</v>
      </c>
      <c r="M95" s="96" t="e">
        <v>#VALUE!</v>
      </c>
      <c r="N95" s="96" t="e">
        <v>#VALUE!</v>
      </c>
      <c r="O95" s="96" t="e">
        <v>#VALUE!</v>
      </c>
      <c r="P95" s="96" t="e">
        <v>#VALUE!</v>
      </c>
      <c r="Q95" s="96" t="e">
        <v>#VALUE!</v>
      </c>
      <c r="R95" s="96" t="e">
        <v>#VALUE!</v>
      </c>
      <c r="S95" s="96" t="e">
        <v>#VALUE!</v>
      </c>
      <c r="T95" s="96" t="e">
        <v>#VALUE!</v>
      </c>
      <c r="U95" s="96" t="e">
        <v>#VALUE!</v>
      </c>
      <c r="V95" s="96" t="e">
        <v>#VALUE!</v>
      </c>
      <c r="W95" s="96" t="e">
        <v>#VALUE!</v>
      </c>
      <c r="X95" s="96" t="e">
        <v>#VALUE!</v>
      </c>
      <c r="Y95" s="96" t="e">
        <v>#VALUE!</v>
      </c>
      <c r="Z95" s="96" t="e">
        <v>#VALUE!</v>
      </c>
      <c r="AA95" s="96" t="e">
        <v>#VALUE!</v>
      </c>
      <c r="AB95" s="96" t="e">
        <v>#VALUE!</v>
      </c>
      <c r="AC95" s="96" t="e">
        <v>#VALUE!</v>
      </c>
      <c r="AD95" s="96" t="e">
        <v>#VALUE!</v>
      </c>
      <c r="AE95" s="96" t="e">
        <v>#VALUE!</v>
      </c>
      <c r="AF95" s="96" t="e">
        <v>#VALUE!</v>
      </c>
      <c r="AG95" s="96" t="e">
        <v>#VALUE!</v>
      </c>
      <c r="AH95" s="96" t="e">
        <v>#VALUE!</v>
      </c>
      <c r="AI95" s="96" t="e">
        <v>#VALUE!</v>
      </c>
      <c r="AJ95" s="96" t="e">
        <v>#VALUE!</v>
      </c>
      <c r="AK95" s="96" t="e">
        <v>#VALUE!</v>
      </c>
      <c r="AL95" s="96" t="e">
        <v>#VALUE!</v>
      </c>
      <c r="AM95" s="96" t="e">
        <v>#VALUE!</v>
      </c>
      <c r="AN95" s="96" t="e">
        <v>#NAME?</v>
      </c>
      <c r="AP95" s="113" t="s">
        <v>229</v>
      </c>
      <c r="AQ95" s="96">
        <v>0</v>
      </c>
      <c r="AR95" s="96">
        <v>0</v>
      </c>
      <c r="AS95" s="96">
        <v>0</v>
      </c>
      <c r="AT95" s="96">
        <v>0</v>
      </c>
      <c r="AU95" s="96">
        <v>0</v>
      </c>
    </row>
    <row r="96" spans="1:94" ht="15.75">
      <c r="A96" t="s">
        <v>140</v>
      </c>
      <c r="B96">
        <v>0</v>
      </c>
      <c r="D96" s="143" t="s">
        <v>230</v>
      </c>
      <c r="E96" s="104" t="e">
        <v>#VALUE!</v>
      </c>
      <c r="F96" s="104" t="e">
        <v>#VALUE!</v>
      </c>
      <c r="G96" s="104" t="e">
        <v>#VALUE!</v>
      </c>
      <c r="H96" s="104" t="e">
        <v>#VALUE!</v>
      </c>
      <c r="I96" s="104" t="e">
        <v>#VALUE!</v>
      </c>
      <c r="J96" s="104" t="e">
        <v>#VALUE!</v>
      </c>
      <c r="K96" s="104" t="e">
        <v>#VALUE!</v>
      </c>
      <c r="L96" s="104" t="e">
        <v>#VALUE!</v>
      </c>
      <c r="M96" s="104" t="e">
        <v>#VALUE!</v>
      </c>
      <c r="N96" s="104" t="e">
        <v>#VALUE!</v>
      </c>
      <c r="O96" s="104" t="e">
        <v>#VALUE!</v>
      </c>
      <c r="P96" s="104" t="e">
        <v>#VALUE!</v>
      </c>
      <c r="Q96" s="104" t="e">
        <v>#VALUE!</v>
      </c>
      <c r="R96" s="104" t="e">
        <v>#VALUE!</v>
      </c>
      <c r="S96" s="104" t="e">
        <v>#VALUE!</v>
      </c>
      <c r="T96" s="104" t="e">
        <v>#VALUE!</v>
      </c>
      <c r="U96" s="104" t="e">
        <v>#VALUE!</v>
      </c>
      <c r="V96" s="104" t="e">
        <v>#VALUE!</v>
      </c>
      <c r="W96" s="104" t="e">
        <v>#VALUE!</v>
      </c>
      <c r="X96" s="104" t="e">
        <v>#VALUE!</v>
      </c>
      <c r="Y96" s="104" t="e">
        <v>#VALUE!</v>
      </c>
      <c r="Z96" s="104" t="e">
        <v>#VALUE!</v>
      </c>
      <c r="AA96" s="104" t="e">
        <v>#VALUE!</v>
      </c>
      <c r="AB96" s="104" t="e">
        <v>#VALUE!</v>
      </c>
      <c r="AC96" s="104" t="e">
        <v>#VALUE!</v>
      </c>
      <c r="AD96" s="104" t="e">
        <v>#VALUE!</v>
      </c>
      <c r="AE96" s="104" t="e">
        <v>#VALUE!</v>
      </c>
      <c r="AF96" s="104" t="e">
        <v>#VALUE!</v>
      </c>
      <c r="AG96" s="104" t="e">
        <v>#VALUE!</v>
      </c>
      <c r="AH96" s="104" t="e">
        <v>#VALUE!</v>
      </c>
      <c r="AI96" s="104" t="e">
        <v>#VALUE!</v>
      </c>
      <c r="AJ96" s="104" t="e">
        <v>#VALUE!</v>
      </c>
      <c r="AK96" s="104" t="e">
        <v>#VALUE!</v>
      </c>
      <c r="AL96" s="104" t="e">
        <v>#VALUE!</v>
      </c>
      <c r="AM96" s="104" t="e">
        <v>#VALUE!</v>
      </c>
      <c r="AN96" s="104" t="e">
        <v>#NAME?</v>
      </c>
      <c r="AP96" s="144" t="s">
        <v>230</v>
      </c>
      <c r="AQ96" s="104">
        <v>0</v>
      </c>
      <c r="AR96" s="104">
        <v>0</v>
      </c>
      <c r="AS96" s="104">
        <v>0</v>
      </c>
      <c r="AT96" s="104">
        <v>0</v>
      </c>
      <c r="AU96" s="104">
        <v>0</v>
      </c>
    </row>
    <row r="97" spans="1:47" ht="15.75">
      <c r="A97" t="s">
        <v>140</v>
      </c>
      <c r="B97">
        <v>0</v>
      </c>
      <c r="D97" s="145" t="s">
        <v>231</v>
      </c>
      <c r="E97" s="104" t="e">
        <v>#VALUE!</v>
      </c>
      <c r="F97" s="104" t="e">
        <v>#VALUE!</v>
      </c>
      <c r="G97" s="104" t="e">
        <v>#VALUE!</v>
      </c>
      <c r="H97" s="104" t="e">
        <v>#VALUE!</v>
      </c>
      <c r="I97" s="104" t="e">
        <v>#VALUE!</v>
      </c>
      <c r="J97" s="104" t="e">
        <v>#VALUE!</v>
      </c>
      <c r="K97" s="104" t="e">
        <v>#VALUE!</v>
      </c>
      <c r="L97" s="104" t="e">
        <v>#VALUE!</v>
      </c>
      <c r="M97" s="104" t="e">
        <v>#VALUE!</v>
      </c>
      <c r="N97" s="104" t="e">
        <v>#VALUE!</v>
      </c>
      <c r="O97" s="104" t="e">
        <v>#VALUE!</v>
      </c>
      <c r="P97" s="104" t="e">
        <v>#VALUE!</v>
      </c>
      <c r="Q97" s="104" t="e">
        <v>#VALUE!</v>
      </c>
      <c r="R97" s="104" t="e">
        <v>#VALUE!</v>
      </c>
      <c r="S97" s="104" t="e">
        <v>#VALUE!</v>
      </c>
      <c r="T97" s="104" t="e">
        <v>#VALUE!</v>
      </c>
      <c r="U97" s="104" t="e">
        <v>#VALUE!</v>
      </c>
      <c r="V97" s="104" t="e">
        <v>#VALUE!</v>
      </c>
      <c r="W97" s="104" t="e">
        <v>#VALUE!</v>
      </c>
      <c r="X97" s="104" t="e">
        <v>#VALUE!</v>
      </c>
      <c r="Y97" s="104" t="e">
        <v>#VALUE!</v>
      </c>
      <c r="Z97" s="104" t="e">
        <v>#VALUE!</v>
      </c>
      <c r="AA97" s="104" t="e">
        <v>#VALUE!</v>
      </c>
      <c r="AB97" s="104" t="e">
        <v>#VALUE!</v>
      </c>
      <c r="AC97" s="104" t="e">
        <v>#VALUE!</v>
      </c>
      <c r="AD97" s="104" t="e">
        <v>#VALUE!</v>
      </c>
      <c r="AE97" s="104" t="e">
        <v>#VALUE!</v>
      </c>
      <c r="AF97" s="104" t="e">
        <v>#VALUE!</v>
      </c>
      <c r="AG97" s="104" t="e">
        <v>#VALUE!</v>
      </c>
      <c r="AH97" s="104" t="e">
        <v>#VALUE!</v>
      </c>
      <c r="AI97" s="104" t="e">
        <v>#VALUE!</v>
      </c>
      <c r="AJ97" s="104" t="e">
        <v>#VALUE!</v>
      </c>
      <c r="AK97" s="104" t="e">
        <v>#VALUE!</v>
      </c>
      <c r="AL97" s="104" t="e">
        <v>#VALUE!</v>
      </c>
      <c r="AM97" s="104" t="e">
        <v>#VALUE!</v>
      </c>
      <c r="AN97" s="104" t="e">
        <v>#NAME?</v>
      </c>
      <c r="AP97" s="146" t="s">
        <v>231</v>
      </c>
      <c r="AQ97" s="104">
        <v>0</v>
      </c>
      <c r="AR97" s="104">
        <v>0</v>
      </c>
      <c r="AS97" s="104">
        <v>0</v>
      </c>
      <c r="AT97" s="104">
        <v>0</v>
      </c>
      <c r="AU97" s="104">
        <v>0</v>
      </c>
    </row>
    <row r="98" spans="1:47" ht="15.75">
      <c r="A98" t="s">
        <v>140</v>
      </c>
      <c r="B98">
        <v>0</v>
      </c>
      <c r="D98" s="145" t="s">
        <v>232</v>
      </c>
      <c r="E98" s="104" t="e">
        <v>#VALUE!</v>
      </c>
      <c r="F98" s="104" t="e">
        <v>#VALUE!</v>
      </c>
      <c r="G98" s="104" t="e">
        <v>#VALUE!</v>
      </c>
      <c r="H98" s="104" t="e">
        <v>#VALUE!</v>
      </c>
      <c r="I98" s="104" t="e">
        <v>#VALUE!</v>
      </c>
      <c r="J98" s="104" t="e">
        <v>#VALUE!</v>
      </c>
      <c r="K98" s="104" t="e">
        <v>#VALUE!</v>
      </c>
      <c r="L98" s="104" t="e">
        <v>#VALUE!</v>
      </c>
      <c r="M98" s="104" t="e">
        <v>#VALUE!</v>
      </c>
      <c r="N98" s="104" t="e">
        <v>#VALUE!</v>
      </c>
      <c r="O98" s="104" t="e">
        <v>#VALUE!</v>
      </c>
      <c r="P98" s="104" t="e">
        <v>#VALUE!</v>
      </c>
      <c r="Q98" s="104" t="e">
        <v>#VALUE!</v>
      </c>
      <c r="R98" s="104" t="e">
        <v>#VALUE!</v>
      </c>
      <c r="S98" s="104" t="e">
        <v>#VALUE!</v>
      </c>
      <c r="T98" s="104" t="e">
        <v>#VALUE!</v>
      </c>
      <c r="U98" s="104" t="e">
        <v>#VALUE!</v>
      </c>
      <c r="V98" s="104" t="e">
        <v>#VALUE!</v>
      </c>
      <c r="W98" s="104" t="e">
        <v>#VALUE!</v>
      </c>
      <c r="X98" s="104" t="e">
        <v>#VALUE!</v>
      </c>
      <c r="Y98" s="104" t="e">
        <v>#VALUE!</v>
      </c>
      <c r="Z98" s="104" t="e">
        <v>#VALUE!</v>
      </c>
      <c r="AA98" s="104" t="e">
        <v>#VALUE!</v>
      </c>
      <c r="AB98" s="104" t="e">
        <v>#VALUE!</v>
      </c>
      <c r="AC98" s="104" t="e">
        <v>#VALUE!</v>
      </c>
      <c r="AD98" s="104" t="e">
        <v>#VALUE!</v>
      </c>
      <c r="AE98" s="104" t="e">
        <v>#VALUE!</v>
      </c>
      <c r="AF98" s="104" t="e">
        <v>#VALUE!</v>
      </c>
      <c r="AG98" s="104" t="e">
        <v>#VALUE!</v>
      </c>
      <c r="AH98" s="104" t="e">
        <v>#VALUE!</v>
      </c>
      <c r="AI98" s="104" t="e">
        <v>#VALUE!</v>
      </c>
      <c r="AJ98" s="104" t="e">
        <v>#VALUE!</v>
      </c>
      <c r="AK98" s="104" t="e">
        <v>#VALUE!</v>
      </c>
      <c r="AL98" s="104" t="e">
        <v>#VALUE!</v>
      </c>
      <c r="AM98" s="104" t="e">
        <v>#VALUE!</v>
      </c>
      <c r="AN98" s="104" t="e">
        <v>#NAME?</v>
      </c>
      <c r="AP98" s="146" t="s">
        <v>232</v>
      </c>
      <c r="AQ98" s="104">
        <v>0</v>
      </c>
      <c r="AR98" s="104">
        <v>0</v>
      </c>
      <c r="AS98" s="104">
        <v>0</v>
      </c>
      <c r="AT98" s="104">
        <v>0</v>
      </c>
      <c r="AU98" s="104">
        <v>0</v>
      </c>
    </row>
    <row r="99" spans="1:47" ht="15.75">
      <c r="A99" t="s">
        <v>140</v>
      </c>
      <c r="B99">
        <v>0</v>
      </c>
      <c r="D99" s="103" t="s">
        <v>233</v>
      </c>
      <c r="E99" s="112" t="e">
        <v>#VALUE!</v>
      </c>
      <c r="F99" s="112" t="e">
        <v>#VALUE!</v>
      </c>
      <c r="G99" s="112" t="e">
        <v>#VALUE!</v>
      </c>
      <c r="H99" s="112" t="e">
        <v>#VALUE!</v>
      </c>
      <c r="I99" s="112" t="e">
        <v>#VALUE!</v>
      </c>
      <c r="J99" s="112" t="e">
        <v>#VALUE!</v>
      </c>
      <c r="K99" s="112" t="e">
        <v>#VALUE!</v>
      </c>
      <c r="L99" s="112" t="e">
        <v>#VALUE!</v>
      </c>
      <c r="M99" s="112" t="e">
        <v>#VALUE!</v>
      </c>
      <c r="N99" s="112" t="e">
        <v>#VALUE!</v>
      </c>
      <c r="O99" s="112" t="e">
        <v>#VALUE!</v>
      </c>
      <c r="P99" s="112" t="e">
        <v>#VALUE!</v>
      </c>
      <c r="Q99" s="112" t="e">
        <v>#VALUE!</v>
      </c>
      <c r="R99" s="112" t="e">
        <v>#VALUE!</v>
      </c>
      <c r="S99" s="112" t="e">
        <v>#VALUE!</v>
      </c>
      <c r="T99" s="112" t="e">
        <v>#VALUE!</v>
      </c>
      <c r="U99" s="112" t="e">
        <v>#VALUE!</v>
      </c>
      <c r="V99" s="112" t="e">
        <v>#VALUE!</v>
      </c>
      <c r="W99" s="112" t="e">
        <v>#VALUE!</v>
      </c>
      <c r="X99" s="112" t="e">
        <v>#VALUE!</v>
      </c>
      <c r="Y99" s="112" t="e">
        <v>#VALUE!</v>
      </c>
      <c r="Z99" s="112" t="e">
        <v>#VALUE!</v>
      </c>
      <c r="AA99" s="112" t="e">
        <v>#VALUE!</v>
      </c>
      <c r="AB99" s="112" t="e">
        <v>#VALUE!</v>
      </c>
      <c r="AC99" s="112" t="e">
        <v>#VALUE!</v>
      </c>
      <c r="AD99" s="112" t="e">
        <v>#VALUE!</v>
      </c>
      <c r="AE99" s="112" t="e">
        <v>#VALUE!</v>
      </c>
      <c r="AF99" s="112" t="e">
        <v>#VALUE!</v>
      </c>
      <c r="AG99" s="112" t="e">
        <v>#VALUE!</v>
      </c>
      <c r="AH99" s="112" t="e">
        <v>#VALUE!</v>
      </c>
      <c r="AI99" s="112" t="e">
        <v>#VALUE!</v>
      </c>
      <c r="AJ99" s="112" t="e">
        <v>#VALUE!</v>
      </c>
      <c r="AK99" s="112" t="e">
        <v>#VALUE!</v>
      </c>
      <c r="AL99" s="112" t="e">
        <v>#VALUE!</v>
      </c>
      <c r="AM99" s="112" t="e">
        <v>#VALUE!</v>
      </c>
      <c r="AN99" s="112" t="e">
        <v>#NAME?</v>
      </c>
      <c r="AP99" s="103" t="s">
        <v>233</v>
      </c>
      <c r="AQ99" s="112">
        <v>0</v>
      </c>
      <c r="AR99" s="112">
        <v>0</v>
      </c>
      <c r="AS99" s="112">
        <v>0</v>
      </c>
      <c r="AT99" s="112">
        <v>0</v>
      </c>
      <c r="AU99" s="112">
        <v>0</v>
      </c>
    </row>
    <row r="100" spans="1:47" ht="15.75">
      <c r="A100" t="s">
        <v>140</v>
      </c>
      <c r="B100">
        <v>0</v>
      </c>
      <c r="D100" s="113" t="s">
        <v>116</v>
      </c>
      <c r="E100" s="104" t="e">
        <v>#VALUE!</v>
      </c>
      <c r="F100" s="104" t="e">
        <v>#VALUE!</v>
      </c>
      <c r="G100" s="104" t="e">
        <v>#VALUE!</v>
      </c>
      <c r="H100" s="104" t="e">
        <v>#VALUE!</v>
      </c>
      <c r="I100" s="104" t="e">
        <v>#VALUE!</v>
      </c>
      <c r="J100" s="104" t="e">
        <v>#VALUE!</v>
      </c>
      <c r="K100" s="104" t="e">
        <v>#VALUE!</v>
      </c>
      <c r="L100" s="104" t="e">
        <v>#VALUE!</v>
      </c>
      <c r="M100" s="104" t="e">
        <v>#VALUE!</v>
      </c>
      <c r="N100" s="104" t="e">
        <v>#VALUE!</v>
      </c>
      <c r="O100" s="104" t="e">
        <v>#VALUE!</v>
      </c>
      <c r="P100" s="104" t="e">
        <v>#VALUE!</v>
      </c>
      <c r="Q100" s="104" t="e">
        <v>#VALUE!</v>
      </c>
      <c r="R100" s="104" t="e">
        <v>#VALUE!</v>
      </c>
      <c r="S100" s="104" t="e">
        <v>#VALUE!</v>
      </c>
      <c r="T100" s="104" t="e">
        <v>#VALUE!</v>
      </c>
      <c r="U100" s="104" t="e">
        <v>#VALUE!</v>
      </c>
      <c r="V100" s="104" t="e">
        <v>#VALUE!</v>
      </c>
      <c r="W100" s="104" t="e">
        <v>#VALUE!</v>
      </c>
      <c r="X100" s="104" t="e">
        <v>#VALUE!</v>
      </c>
      <c r="Y100" s="104" t="e">
        <v>#VALUE!</v>
      </c>
      <c r="Z100" s="104" t="e">
        <v>#VALUE!</v>
      </c>
      <c r="AA100" s="104" t="e">
        <v>#VALUE!</v>
      </c>
      <c r="AB100" s="104" t="e">
        <v>#VALUE!</v>
      </c>
      <c r="AC100" s="104" t="e">
        <v>#VALUE!</v>
      </c>
      <c r="AD100" s="104" t="e">
        <v>#VALUE!</v>
      </c>
      <c r="AE100" s="104" t="e">
        <v>#VALUE!</v>
      </c>
      <c r="AF100" s="104" t="e">
        <v>#VALUE!</v>
      </c>
      <c r="AG100" s="104" t="e">
        <v>#VALUE!</v>
      </c>
      <c r="AH100" s="104" t="e">
        <v>#VALUE!</v>
      </c>
      <c r="AI100" s="104" t="e">
        <v>#VALUE!</v>
      </c>
      <c r="AJ100" s="104" t="e">
        <v>#VALUE!</v>
      </c>
      <c r="AK100" s="104" t="e">
        <v>#VALUE!</v>
      </c>
      <c r="AL100" s="104" t="e">
        <v>#VALUE!</v>
      </c>
      <c r="AM100" s="104" t="e">
        <v>#VALUE!</v>
      </c>
      <c r="AN100" s="104" t="e">
        <v>#NAME?</v>
      </c>
      <c r="AP100" s="113" t="s">
        <v>116</v>
      </c>
      <c r="AQ100" s="104">
        <v>0</v>
      </c>
      <c r="AR100" s="104">
        <v>0</v>
      </c>
      <c r="AS100" s="104">
        <v>0</v>
      </c>
      <c r="AT100" s="104">
        <v>0</v>
      </c>
      <c r="AU100" s="104">
        <v>0</v>
      </c>
    </row>
    <row r="101" spans="1:47" ht="15.75">
      <c r="A101" t="s">
        <v>140</v>
      </c>
      <c r="B101">
        <v>0</v>
      </c>
      <c r="D101" s="113" t="s">
        <v>234</v>
      </c>
      <c r="E101" s="104" t="e">
        <v>#VALUE!</v>
      </c>
      <c r="F101" s="104" t="e">
        <v>#VALUE!</v>
      </c>
      <c r="G101" s="104" t="e">
        <v>#VALUE!</v>
      </c>
      <c r="H101" s="104" t="e">
        <v>#VALUE!</v>
      </c>
      <c r="I101" s="104" t="e">
        <v>#VALUE!</v>
      </c>
      <c r="J101" s="104" t="e">
        <v>#VALUE!</v>
      </c>
      <c r="K101" s="104" t="e">
        <v>#VALUE!</v>
      </c>
      <c r="L101" s="104" t="e">
        <v>#VALUE!</v>
      </c>
      <c r="M101" s="104" t="e">
        <v>#VALUE!</v>
      </c>
      <c r="N101" s="104" t="e">
        <v>#VALUE!</v>
      </c>
      <c r="O101" s="104" t="e">
        <v>#VALUE!</v>
      </c>
      <c r="P101" s="104" t="e">
        <v>#VALUE!</v>
      </c>
      <c r="Q101" s="104" t="e">
        <v>#VALUE!</v>
      </c>
      <c r="R101" s="104" t="e">
        <v>#VALUE!</v>
      </c>
      <c r="S101" s="104" t="e">
        <v>#VALUE!</v>
      </c>
      <c r="T101" s="104" t="e">
        <v>#VALUE!</v>
      </c>
      <c r="U101" s="104" t="e">
        <v>#VALUE!</v>
      </c>
      <c r="V101" s="104" t="e">
        <v>#VALUE!</v>
      </c>
      <c r="W101" s="104" t="e">
        <v>#VALUE!</v>
      </c>
      <c r="X101" s="104" t="e">
        <v>#VALUE!</v>
      </c>
      <c r="Y101" s="104" t="e">
        <v>#VALUE!</v>
      </c>
      <c r="Z101" s="104" t="e">
        <v>#VALUE!</v>
      </c>
      <c r="AA101" s="104" t="e">
        <v>#VALUE!</v>
      </c>
      <c r="AB101" s="104" t="e">
        <v>#VALUE!</v>
      </c>
      <c r="AC101" s="104" t="e">
        <v>#VALUE!</v>
      </c>
      <c r="AD101" s="104" t="e">
        <v>#VALUE!</v>
      </c>
      <c r="AE101" s="104" t="e">
        <v>#VALUE!</v>
      </c>
      <c r="AF101" s="104" t="e">
        <v>#VALUE!</v>
      </c>
      <c r="AG101" s="104" t="e">
        <v>#VALUE!</v>
      </c>
      <c r="AH101" s="104" t="e">
        <v>#VALUE!</v>
      </c>
      <c r="AI101" s="104" t="e">
        <v>#VALUE!</v>
      </c>
      <c r="AJ101" s="104" t="e">
        <v>#VALUE!</v>
      </c>
      <c r="AK101" s="104" t="e">
        <v>#VALUE!</v>
      </c>
      <c r="AL101" s="104" t="e">
        <v>#VALUE!</v>
      </c>
      <c r="AM101" s="104" t="e">
        <v>#VALUE!</v>
      </c>
      <c r="AN101" s="104" t="e">
        <v>#NAME?</v>
      </c>
      <c r="AP101" s="113" t="s">
        <v>234</v>
      </c>
      <c r="AQ101" s="104">
        <v>0</v>
      </c>
      <c r="AR101" s="104">
        <v>0</v>
      </c>
      <c r="AS101" s="104">
        <v>0</v>
      </c>
      <c r="AT101" s="104">
        <v>0</v>
      </c>
      <c r="AU101" s="104">
        <v>0</v>
      </c>
    </row>
    <row r="102" spans="1:47" ht="15.75">
      <c r="A102" t="s">
        <v>140</v>
      </c>
      <c r="B102">
        <v>0</v>
      </c>
      <c r="D102" s="147" t="s">
        <v>235</v>
      </c>
      <c r="E102" s="104" t="e">
        <v>#VALUE!</v>
      </c>
      <c r="F102" s="104" t="e">
        <v>#VALUE!</v>
      </c>
      <c r="G102" s="104" t="e">
        <v>#VALUE!</v>
      </c>
      <c r="H102" s="104" t="e">
        <v>#VALUE!</v>
      </c>
      <c r="I102" s="104" t="e">
        <v>#VALUE!</v>
      </c>
      <c r="J102" s="104" t="e">
        <v>#VALUE!</v>
      </c>
      <c r="K102" s="104" t="e">
        <v>#VALUE!</v>
      </c>
      <c r="L102" s="104" t="e">
        <v>#VALUE!</v>
      </c>
      <c r="M102" s="104" t="e">
        <v>#VALUE!</v>
      </c>
      <c r="N102" s="104" t="e">
        <v>#VALUE!</v>
      </c>
      <c r="O102" s="104" t="e">
        <v>#VALUE!</v>
      </c>
      <c r="P102" s="104" t="e">
        <v>#VALUE!</v>
      </c>
      <c r="Q102" s="104" t="e">
        <v>#VALUE!</v>
      </c>
      <c r="R102" s="104" t="e">
        <v>#VALUE!</v>
      </c>
      <c r="S102" s="104" t="e">
        <v>#VALUE!</v>
      </c>
      <c r="T102" s="104" t="e">
        <v>#VALUE!</v>
      </c>
      <c r="U102" s="104" t="e">
        <v>#VALUE!</v>
      </c>
      <c r="V102" s="104" t="e">
        <v>#VALUE!</v>
      </c>
      <c r="W102" s="104" t="e">
        <v>#VALUE!</v>
      </c>
      <c r="X102" s="104" t="e">
        <v>#VALUE!</v>
      </c>
      <c r="Y102" s="104" t="e">
        <v>#VALUE!</v>
      </c>
      <c r="Z102" s="104" t="e">
        <v>#VALUE!</v>
      </c>
      <c r="AA102" s="104" t="e">
        <v>#VALUE!</v>
      </c>
      <c r="AB102" s="104" t="e">
        <v>#VALUE!</v>
      </c>
      <c r="AC102" s="104" t="e">
        <v>#VALUE!</v>
      </c>
      <c r="AD102" s="104" t="e">
        <v>#VALUE!</v>
      </c>
      <c r="AE102" s="104" t="e">
        <v>#VALUE!</v>
      </c>
      <c r="AF102" s="104" t="e">
        <v>#VALUE!</v>
      </c>
      <c r="AG102" s="104" t="e">
        <v>#VALUE!</v>
      </c>
      <c r="AH102" s="104" t="e">
        <v>#VALUE!</v>
      </c>
      <c r="AI102" s="104" t="e">
        <v>#VALUE!</v>
      </c>
      <c r="AJ102" s="104" t="e">
        <v>#VALUE!</v>
      </c>
      <c r="AK102" s="104" t="e">
        <v>#VALUE!</v>
      </c>
      <c r="AL102" s="104" t="e">
        <v>#VALUE!</v>
      </c>
      <c r="AM102" s="104" t="e">
        <v>#VALUE!</v>
      </c>
      <c r="AN102" s="104" t="e">
        <v>#NAME?</v>
      </c>
      <c r="AP102" s="147" t="s">
        <v>235</v>
      </c>
      <c r="AQ102" s="104">
        <v>0</v>
      </c>
      <c r="AR102" s="104">
        <v>0</v>
      </c>
      <c r="AS102" s="104">
        <v>0</v>
      </c>
      <c r="AT102" s="104">
        <v>0</v>
      </c>
      <c r="AU102" s="104">
        <v>0</v>
      </c>
    </row>
    <row r="103" spans="1:47" ht="15.75">
      <c r="A103" t="s">
        <v>140</v>
      </c>
      <c r="B103">
        <v>0</v>
      </c>
      <c r="D103" s="95" t="s">
        <v>236</v>
      </c>
      <c r="E103" s="122" t="e">
        <v>#VALUE!</v>
      </c>
      <c r="F103" s="122" t="e">
        <v>#VALUE!</v>
      </c>
      <c r="G103" s="122" t="e">
        <v>#VALUE!</v>
      </c>
      <c r="H103" s="122" t="e">
        <v>#VALUE!</v>
      </c>
      <c r="I103" s="122" t="e">
        <v>#VALUE!</v>
      </c>
      <c r="J103" s="122" t="e">
        <v>#VALUE!</v>
      </c>
      <c r="K103" s="122" t="e">
        <v>#VALUE!</v>
      </c>
      <c r="L103" s="122" t="e">
        <v>#VALUE!</v>
      </c>
      <c r="M103" s="122" t="e">
        <v>#VALUE!</v>
      </c>
      <c r="N103" s="122" t="e">
        <v>#VALUE!</v>
      </c>
      <c r="O103" s="122" t="e">
        <v>#VALUE!</v>
      </c>
      <c r="P103" s="122" t="e">
        <v>#VALUE!</v>
      </c>
      <c r="Q103" s="122" t="e">
        <v>#VALUE!</v>
      </c>
      <c r="R103" s="122" t="e">
        <v>#VALUE!</v>
      </c>
      <c r="S103" s="122" t="e">
        <v>#VALUE!</v>
      </c>
      <c r="T103" s="122" t="e">
        <v>#VALUE!</v>
      </c>
      <c r="U103" s="122" t="e">
        <v>#VALUE!</v>
      </c>
      <c r="V103" s="122" t="e">
        <v>#VALUE!</v>
      </c>
      <c r="W103" s="122" t="e">
        <v>#VALUE!</v>
      </c>
      <c r="X103" s="122" t="e">
        <v>#VALUE!</v>
      </c>
      <c r="Y103" s="122" t="e">
        <v>#VALUE!</v>
      </c>
      <c r="Z103" s="122" t="e">
        <v>#VALUE!</v>
      </c>
      <c r="AA103" s="122" t="e">
        <v>#VALUE!</v>
      </c>
      <c r="AB103" s="122" t="e">
        <v>#VALUE!</v>
      </c>
      <c r="AC103" s="122" t="e">
        <v>#VALUE!</v>
      </c>
      <c r="AD103" s="122" t="e">
        <v>#VALUE!</v>
      </c>
      <c r="AE103" s="122" t="e">
        <v>#VALUE!</v>
      </c>
      <c r="AF103" s="122" t="e">
        <v>#VALUE!</v>
      </c>
      <c r="AG103" s="122" t="e">
        <v>#VALUE!</v>
      </c>
      <c r="AH103" s="122" t="e">
        <v>#VALUE!</v>
      </c>
      <c r="AI103" s="122" t="e">
        <v>#VALUE!</v>
      </c>
      <c r="AJ103" s="122" t="e">
        <v>#VALUE!</v>
      </c>
      <c r="AK103" s="122" t="e">
        <v>#VALUE!</v>
      </c>
      <c r="AL103" s="122" t="e">
        <v>#VALUE!</v>
      </c>
      <c r="AM103" s="122" t="e">
        <v>#VALUE!</v>
      </c>
      <c r="AN103" s="122" t="e">
        <v>#NAME?</v>
      </c>
      <c r="AP103" s="95" t="s">
        <v>236</v>
      </c>
      <c r="AQ103" s="122">
        <v>0</v>
      </c>
      <c r="AR103" s="122">
        <v>0</v>
      </c>
      <c r="AS103" s="122">
        <v>0</v>
      </c>
      <c r="AT103" s="122">
        <v>0</v>
      </c>
      <c r="AU103" s="122">
        <v>0</v>
      </c>
    </row>
    <row r="104" spans="1:47" ht="15.75">
      <c r="A104" t="s">
        <v>140</v>
      </c>
      <c r="B104">
        <v>0</v>
      </c>
      <c r="D104" s="95" t="s">
        <v>140</v>
      </c>
      <c r="E104" s="148"/>
      <c r="F104" s="148"/>
      <c r="G104" s="148"/>
      <c r="H104" s="148"/>
      <c r="I104" s="148"/>
      <c r="J104" s="148"/>
      <c r="K104" s="148"/>
      <c r="L104" s="148"/>
      <c r="M104" s="148"/>
      <c r="N104" s="148"/>
      <c r="O104" s="148"/>
      <c r="P104" s="148"/>
      <c r="Q104" s="148"/>
      <c r="R104" s="148"/>
      <c r="S104" s="148"/>
      <c r="T104" s="148"/>
      <c r="U104" s="148"/>
      <c r="V104" s="148"/>
      <c r="W104" s="148"/>
      <c r="X104" s="148"/>
      <c r="Y104" s="148"/>
      <c r="Z104" s="148"/>
      <c r="AA104" s="148"/>
      <c r="AB104" s="148"/>
      <c r="AC104" s="148"/>
      <c r="AD104" s="148"/>
      <c r="AE104" s="148"/>
      <c r="AF104" s="148"/>
      <c r="AG104" s="148"/>
      <c r="AH104" s="148"/>
      <c r="AI104" s="148"/>
      <c r="AJ104" s="148"/>
      <c r="AK104" s="148"/>
      <c r="AL104" s="148"/>
      <c r="AM104" s="148"/>
      <c r="AN104" s="148"/>
      <c r="AP104" s="95" t="s">
        <v>140</v>
      </c>
      <c r="AQ104" s="148"/>
      <c r="AR104" s="148"/>
      <c r="AS104" s="148"/>
      <c r="AT104" s="148"/>
      <c r="AU104" s="148"/>
    </row>
    <row r="105" spans="1:47" ht="15.75">
      <c r="A105" t="s">
        <v>140</v>
      </c>
      <c r="B105">
        <v>0</v>
      </c>
      <c r="D105" s="115" t="s">
        <v>237</v>
      </c>
      <c r="E105" s="116" t="e">
        <v>#VALUE!</v>
      </c>
      <c r="F105" s="116" t="e">
        <v>#VALUE!</v>
      </c>
      <c r="G105" s="116" t="e">
        <v>#VALUE!</v>
      </c>
      <c r="H105" s="116" t="e">
        <v>#VALUE!</v>
      </c>
      <c r="I105" s="116" t="e">
        <v>#VALUE!</v>
      </c>
      <c r="J105" s="116" t="e">
        <v>#VALUE!</v>
      </c>
      <c r="K105" s="116" t="e">
        <v>#VALUE!</v>
      </c>
      <c r="L105" s="116" t="e">
        <v>#VALUE!</v>
      </c>
      <c r="M105" s="116" t="e">
        <v>#VALUE!</v>
      </c>
      <c r="N105" s="116" t="e">
        <v>#VALUE!</v>
      </c>
      <c r="O105" s="116" t="e">
        <v>#VALUE!</v>
      </c>
      <c r="P105" s="116" t="e">
        <v>#VALUE!</v>
      </c>
      <c r="Q105" s="116" t="e">
        <v>#VALUE!</v>
      </c>
      <c r="R105" s="116" t="e">
        <v>#VALUE!</v>
      </c>
      <c r="S105" s="116" t="e">
        <v>#VALUE!</v>
      </c>
      <c r="T105" s="116" t="e">
        <v>#VALUE!</v>
      </c>
      <c r="U105" s="116" t="e">
        <v>#VALUE!</v>
      </c>
      <c r="V105" s="116" t="e">
        <v>#VALUE!</v>
      </c>
      <c r="W105" s="116" t="e">
        <v>#VALUE!</v>
      </c>
      <c r="X105" s="116" t="e">
        <v>#VALUE!</v>
      </c>
      <c r="Y105" s="116" t="e">
        <v>#VALUE!</v>
      </c>
      <c r="Z105" s="116" t="e">
        <v>#VALUE!</v>
      </c>
      <c r="AA105" s="116" t="e">
        <v>#VALUE!</v>
      </c>
      <c r="AB105" s="116" t="e">
        <v>#VALUE!</v>
      </c>
      <c r="AC105" s="116" t="e">
        <v>#VALUE!</v>
      </c>
      <c r="AD105" s="116" t="e">
        <v>#VALUE!</v>
      </c>
      <c r="AE105" s="116" t="e">
        <v>#VALUE!</v>
      </c>
      <c r="AF105" s="116" t="e">
        <v>#VALUE!</v>
      </c>
      <c r="AG105" s="116" t="e">
        <v>#VALUE!</v>
      </c>
      <c r="AH105" s="116" t="e">
        <v>#VALUE!</v>
      </c>
      <c r="AI105" s="116" t="e">
        <v>#VALUE!</v>
      </c>
      <c r="AJ105" s="116" t="e">
        <v>#VALUE!</v>
      </c>
      <c r="AK105" s="116" t="e">
        <v>#VALUE!</v>
      </c>
      <c r="AL105" s="116" t="e">
        <v>#VALUE!</v>
      </c>
      <c r="AM105" s="116" t="e">
        <v>#VALUE!</v>
      </c>
      <c r="AN105" s="116" t="e">
        <v>#NAME?</v>
      </c>
      <c r="AP105" s="115" t="s">
        <v>237</v>
      </c>
      <c r="AQ105" s="116">
        <v>0</v>
      </c>
      <c r="AR105" s="116">
        <v>0</v>
      </c>
      <c r="AS105" s="116">
        <v>0</v>
      </c>
      <c r="AT105" s="116">
        <v>0</v>
      </c>
      <c r="AU105" s="116">
        <v>0</v>
      </c>
    </row>
    <row r="106" spans="1:47" ht="15.75">
      <c r="A106" t="s">
        <v>140</v>
      </c>
      <c r="B106">
        <v>0</v>
      </c>
      <c r="D106" s="103" t="s">
        <v>140</v>
      </c>
      <c r="E106" s="121"/>
      <c r="F106" s="121"/>
      <c r="G106" s="121"/>
      <c r="H106" s="121"/>
      <c r="I106" s="121"/>
      <c r="J106" s="121"/>
      <c r="K106" s="121"/>
      <c r="L106" s="121"/>
      <c r="M106" s="121"/>
      <c r="N106" s="121"/>
      <c r="O106" s="121"/>
      <c r="P106" s="121"/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  <c r="AN106" s="121"/>
      <c r="AP106" s="103" t="s">
        <v>140</v>
      </c>
      <c r="AQ106" s="121"/>
      <c r="AR106" s="121"/>
      <c r="AS106" s="121"/>
      <c r="AT106" s="121"/>
      <c r="AU106" s="121"/>
    </row>
    <row r="107" spans="1:47" ht="15.75">
      <c r="A107" t="s">
        <v>140</v>
      </c>
      <c r="B107">
        <v>0</v>
      </c>
      <c r="D107" s="115" t="s">
        <v>121</v>
      </c>
      <c r="E107" s="137"/>
      <c r="F107" s="137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137"/>
      <c r="R107" s="137"/>
      <c r="S107" s="137"/>
      <c r="T107" s="137"/>
      <c r="U107" s="137"/>
      <c r="V107" s="137"/>
      <c r="W107" s="137"/>
      <c r="X107" s="137"/>
      <c r="Y107" s="137"/>
      <c r="Z107" s="137"/>
      <c r="AA107" s="137"/>
      <c r="AB107" s="137"/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P107" s="115" t="s">
        <v>121</v>
      </c>
      <c r="AQ107" s="137"/>
      <c r="AR107" s="137"/>
      <c r="AS107" s="137"/>
      <c r="AT107" s="137"/>
      <c r="AU107" s="137"/>
    </row>
    <row r="108" spans="1:47" ht="15.75">
      <c r="A108" t="s">
        <v>140</v>
      </c>
      <c r="B108">
        <v>0</v>
      </c>
      <c r="D108" s="95" t="s">
        <v>140</v>
      </c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P108" s="95" t="s">
        <v>140</v>
      </c>
      <c r="AQ108" s="121"/>
      <c r="AR108" s="121"/>
      <c r="AS108" s="121"/>
      <c r="AT108" s="121"/>
      <c r="AU108" s="121"/>
    </row>
    <row r="109" spans="1:47" ht="15.75">
      <c r="A109" t="s">
        <v>140</v>
      </c>
      <c r="B109">
        <v>0</v>
      </c>
      <c r="D109" s="103" t="s">
        <v>238</v>
      </c>
      <c r="E109" s="104" t="e">
        <v>#VALUE!</v>
      </c>
      <c r="F109" s="104" t="e">
        <v>#VALUE!</v>
      </c>
      <c r="G109" s="104" t="e">
        <v>#VALUE!</v>
      </c>
      <c r="H109" s="104" t="e">
        <v>#VALUE!</v>
      </c>
      <c r="I109" s="104" t="e">
        <v>#VALUE!</v>
      </c>
      <c r="J109" s="104" t="e">
        <v>#VALUE!</v>
      </c>
      <c r="K109" s="104" t="e">
        <v>#VALUE!</v>
      </c>
      <c r="L109" s="104" t="e">
        <v>#VALUE!</v>
      </c>
      <c r="M109" s="104" t="e">
        <v>#VALUE!</v>
      </c>
      <c r="N109" s="104" t="e">
        <v>#VALUE!</v>
      </c>
      <c r="O109" s="104" t="e">
        <v>#VALUE!</v>
      </c>
      <c r="P109" s="104" t="e">
        <v>#VALUE!</v>
      </c>
      <c r="Q109" s="104" t="e">
        <v>#VALUE!</v>
      </c>
      <c r="R109" s="104" t="e">
        <v>#VALUE!</v>
      </c>
      <c r="S109" s="104" t="e">
        <v>#VALUE!</v>
      </c>
      <c r="T109" s="104" t="e">
        <v>#VALUE!</v>
      </c>
      <c r="U109" s="104" t="e">
        <v>#VALUE!</v>
      </c>
      <c r="V109" s="104" t="e">
        <v>#VALUE!</v>
      </c>
      <c r="W109" s="104" t="e">
        <v>#VALUE!</v>
      </c>
      <c r="X109" s="104" t="e">
        <v>#VALUE!</v>
      </c>
      <c r="Y109" s="104" t="e">
        <v>#VALUE!</v>
      </c>
      <c r="Z109" s="104" t="e">
        <v>#VALUE!</v>
      </c>
      <c r="AA109" s="104" t="e">
        <v>#VALUE!</v>
      </c>
      <c r="AB109" s="104" t="e">
        <v>#VALUE!</v>
      </c>
      <c r="AC109" s="104" t="e">
        <v>#VALUE!</v>
      </c>
      <c r="AD109" s="104" t="e">
        <v>#VALUE!</v>
      </c>
      <c r="AE109" s="104" t="e">
        <v>#VALUE!</v>
      </c>
      <c r="AF109" s="104" t="e">
        <v>#VALUE!</v>
      </c>
      <c r="AG109" s="104" t="e">
        <v>#VALUE!</v>
      </c>
      <c r="AH109" s="104" t="e">
        <v>#VALUE!</v>
      </c>
      <c r="AI109" s="104" t="e">
        <v>#VALUE!</v>
      </c>
      <c r="AJ109" s="104" t="e">
        <v>#VALUE!</v>
      </c>
      <c r="AK109" s="104" t="e">
        <v>#VALUE!</v>
      </c>
      <c r="AL109" s="104" t="e">
        <v>#VALUE!</v>
      </c>
      <c r="AM109" s="104" t="e">
        <v>#VALUE!</v>
      </c>
      <c r="AN109" s="104" t="e">
        <v>#NAME?</v>
      </c>
      <c r="AP109" s="103" t="s">
        <v>238</v>
      </c>
      <c r="AQ109" s="104">
        <v>0</v>
      </c>
      <c r="AR109" s="104">
        <v>0</v>
      </c>
      <c r="AS109" s="104">
        <v>0</v>
      </c>
      <c r="AT109" s="104">
        <v>0</v>
      </c>
      <c r="AU109" s="104">
        <v>0</v>
      </c>
    </row>
    <row r="110" spans="1:47" ht="15.75">
      <c r="A110" t="s">
        <v>140</v>
      </c>
      <c r="B110">
        <v>0</v>
      </c>
      <c r="D110" s="103" t="s">
        <v>239</v>
      </c>
      <c r="E110" s="112" t="e">
        <v>#VALUE!</v>
      </c>
      <c r="F110" s="112" t="e">
        <v>#VALUE!</v>
      </c>
      <c r="G110" s="112" t="e">
        <v>#VALUE!</v>
      </c>
      <c r="H110" s="112" t="e">
        <v>#VALUE!</v>
      </c>
      <c r="I110" s="112" t="e">
        <v>#VALUE!</v>
      </c>
      <c r="J110" s="112" t="e">
        <v>#VALUE!</v>
      </c>
      <c r="K110" s="112" t="e">
        <v>#VALUE!</v>
      </c>
      <c r="L110" s="112" t="e">
        <v>#VALUE!</v>
      </c>
      <c r="M110" s="112" t="e">
        <v>#VALUE!</v>
      </c>
      <c r="N110" s="112" t="e">
        <v>#VALUE!</v>
      </c>
      <c r="O110" s="112" t="e">
        <v>#VALUE!</v>
      </c>
      <c r="P110" s="112" t="e">
        <v>#VALUE!</v>
      </c>
      <c r="Q110" s="112" t="e">
        <v>#VALUE!</v>
      </c>
      <c r="R110" s="112" t="e">
        <v>#VALUE!</v>
      </c>
      <c r="S110" s="112" t="e">
        <v>#VALUE!</v>
      </c>
      <c r="T110" s="112" t="e">
        <v>#VALUE!</v>
      </c>
      <c r="U110" s="112" t="e">
        <v>#VALUE!</v>
      </c>
      <c r="V110" s="112" t="e">
        <v>#VALUE!</v>
      </c>
      <c r="W110" s="112" t="e">
        <v>#VALUE!</v>
      </c>
      <c r="X110" s="112" t="e">
        <v>#VALUE!</v>
      </c>
      <c r="Y110" s="112" t="e">
        <v>#VALUE!</v>
      </c>
      <c r="Z110" s="112" t="e">
        <v>#VALUE!</v>
      </c>
      <c r="AA110" s="112" t="e">
        <v>#VALUE!</v>
      </c>
      <c r="AB110" s="112" t="e">
        <v>#VALUE!</v>
      </c>
      <c r="AC110" s="112" t="e">
        <v>#VALUE!</v>
      </c>
      <c r="AD110" s="112" t="e">
        <v>#VALUE!</v>
      </c>
      <c r="AE110" s="112" t="e">
        <v>#VALUE!</v>
      </c>
      <c r="AF110" s="112" t="e">
        <v>#VALUE!</v>
      </c>
      <c r="AG110" s="112" t="e">
        <v>#VALUE!</v>
      </c>
      <c r="AH110" s="112" t="e">
        <v>#VALUE!</v>
      </c>
      <c r="AI110" s="112" t="e">
        <v>#VALUE!</v>
      </c>
      <c r="AJ110" s="112" t="e">
        <v>#VALUE!</v>
      </c>
      <c r="AK110" s="112" t="e">
        <v>#VALUE!</v>
      </c>
      <c r="AL110" s="112" t="e">
        <v>#VALUE!</v>
      </c>
      <c r="AM110" s="112" t="e">
        <v>#VALUE!</v>
      </c>
      <c r="AN110" s="112" t="e">
        <v>#NAME?</v>
      </c>
      <c r="AP110" s="103" t="s">
        <v>239</v>
      </c>
      <c r="AQ110" s="112">
        <v>0</v>
      </c>
      <c r="AR110" s="112">
        <v>0</v>
      </c>
      <c r="AS110" s="112">
        <v>0</v>
      </c>
      <c r="AT110" s="112">
        <v>0</v>
      </c>
      <c r="AU110" s="112">
        <v>0</v>
      </c>
    </row>
    <row r="111" spans="1:47" ht="15.75">
      <c r="A111" t="s">
        <v>140</v>
      </c>
      <c r="B111">
        <v>0</v>
      </c>
      <c r="D111" s="113" t="s">
        <v>240</v>
      </c>
      <c r="E111" s="104" t="e">
        <v>#VALUE!</v>
      </c>
      <c r="F111" s="104" t="e">
        <v>#VALUE!</v>
      </c>
      <c r="G111" s="104" t="e">
        <v>#VALUE!</v>
      </c>
      <c r="H111" s="104" t="e">
        <v>#VALUE!</v>
      </c>
      <c r="I111" s="104" t="e">
        <v>#VALUE!</v>
      </c>
      <c r="J111" s="104" t="e">
        <v>#VALUE!</v>
      </c>
      <c r="K111" s="104" t="e">
        <v>#VALUE!</v>
      </c>
      <c r="L111" s="104" t="e">
        <v>#VALUE!</v>
      </c>
      <c r="M111" s="104" t="e">
        <v>#VALUE!</v>
      </c>
      <c r="N111" s="104" t="e">
        <v>#VALUE!</v>
      </c>
      <c r="O111" s="104" t="e">
        <v>#VALUE!</v>
      </c>
      <c r="P111" s="104" t="e">
        <v>#VALUE!</v>
      </c>
      <c r="Q111" s="104" t="e">
        <v>#VALUE!</v>
      </c>
      <c r="R111" s="104" t="e">
        <v>#VALUE!</v>
      </c>
      <c r="S111" s="104" t="e">
        <v>#VALUE!</v>
      </c>
      <c r="T111" s="104" t="e">
        <v>#VALUE!</v>
      </c>
      <c r="U111" s="104" t="e">
        <v>#VALUE!</v>
      </c>
      <c r="V111" s="104" t="e">
        <v>#VALUE!</v>
      </c>
      <c r="W111" s="104" t="e">
        <v>#VALUE!</v>
      </c>
      <c r="X111" s="104" t="e">
        <v>#VALUE!</v>
      </c>
      <c r="Y111" s="104" t="e">
        <v>#VALUE!</v>
      </c>
      <c r="Z111" s="104" t="e">
        <v>#VALUE!</v>
      </c>
      <c r="AA111" s="104" t="e">
        <v>#VALUE!</v>
      </c>
      <c r="AB111" s="104" t="e">
        <v>#VALUE!</v>
      </c>
      <c r="AC111" s="104" t="e">
        <v>#VALUE!</v>
      </c>
      <c r="AD111" s="104" t="e">
        <v>#VALUE!</v>
      </c>
      <c r="AE111" s="104" t="e">
        <v>#VALUE!</v>
      </c>
      <c r="AF111" s="104" t="e">
        <v>#VALUE!</v>
      </c>
      <c r="AG111" s="104" t="e">
        <v>#VALUE!</v>
      </c>
      <c r="AH111" s="104" t="e">
        <v>#VALUE!</v>
      </c>
      <c r="AI111" s="104" t="e">
        <v>#VALUE!</v>
      </c>
      <c r="AJ111" s="104" t="e">
        <v>#VALUE!</v>
      </c>
      <c r="AK111" s="104" t="e">
        <v>#VALUE!</v>
      </c>
      <c r="AL111" s="104" t="e">
        <v>#VALUE!</v>
      </c>
      <c r="AM111" s="104" t="e">
        <v>#VALUE!</v>
      </c>
      <c r="AN111" s="104" t="e">
        <v>#NAME?</v>
      </c>
      <c r="AP111" s="113" t="s">
        <v>240</v>
      </c>
      <c r="AQ111" s="104">
        <v>0</v>
      </c>
      <c r="AR111" s="104">
        <v>0</v>
      </c>
      <c r="AS111" s="104">
        <v>0</v>
      </c>
      <c r="AT111" s="104">
        <v>0</v>
      </c>
      <c r="AU111" s="104">
        <v>0</v>
      </c>
    </row>
    <row r="112" spans="1:47" ht="15.75">
      <c r="A112" t="s">
        <v>140</v>
      </c>
      <c r="B112">
        <v>0</v>
      </c>
      <c r="D112" s="113" t="s">
        <v>241</v>
      </c>
      <c r="E112" s="104" t="e">
        <v>#VALUE!</v>
      </c>
      <c r="F112" s="104" t="e">
        <v>#VALUE!</v>
      </c>
      <c r="G112" s="104" t="e">
        <v>#VALUE!</v>
      </c>
      <c r="H112" s="104" t="e">
        <v>#VALUE!</v>
      </c>
      <c r="I112" s="104" t="e">
        <v>#VALUE!</v>
      </c>
      <c r="J112" s="104" t="e">
        <v>#VALUE!</v>
      </c>
      <c r="K112" s="104" t="e">
        <v>#VALUE!</v>
      </c>
      <c r="L112" s="104" t="e">
        <v>#VALUE!</v>
      </c>
      <c r="M112" s="104" t="e">
        <v>#VALUE!</v>
      </c>
      <c r="N112" s="104" t="e">
        <v>#VALUE!</v>
      </c>
      <c r="O112" s="104" t="e">
        <v>#VALUE!</v>
      </c>
      <c r="P112" s="104" t="e">
        <v>#VALUE!</v>
      </c>
      <c r="Q112" s="104" t="e">
        <v>#VALUE!</v>
      </c>
      <c r="R112" s="104" t="e">
        <v>#VALUE!</v>
      </c>
      <c r="S112" s="104" t="e">
        <v>#VALUE!</v>
      </c>
      <c r="T112" s="104" t="e">
        <v>#VALUE!</v>
      </c>
      <c r="U112" s="104" t="e">
        <v>#VALUE!</v>
      </c>
      <c r="V112" s="104" t="e">
        <v>#VALUE!</v>
      </c>
      <c r="W112" s="104" t="e">
        <v>#VALUE!</v>
      </c>
      <c r="X112" s="104" t="e">
        <v>#VALUE!</v>
      </c>
      <c r="Y112" s="104" t="e">
        <v>#VALUE!</v>
      </c>
      <c r="Z112" s="104" t="e">
        <v>#VALUE!</v>
      </c>
      <c r="AA112" s="104" t="e">
        <v>#VALUE!</v>
      </c>
      <c r="AB112" s="104" t="e">
        <v>#VALUE!</v>
      </c>
      <c r="AC112" s="104" t="e">
        <v>#VALUE!</v>
      </c>
      <c r="AD112" s="104" t="e">
        <v>#VALUE!</v>
      </c>
      <c r="AE112" s="104" t="e">
        <v>#VALUE!</v>
      </c>
      <c r="AF112" s="104" t="e">
        <v>#VALUE!</v>
      </c>
      <c r="AG112" s="104" t="e">
        <v>#VALUE!</v>
      </c>
      <c r="AH112" s="104" t="e">
        <v>#VALUE!</v>
      </c>
      <c r="AI112" s="104" t="e">
        <v>#VALUE!</v>
      </c>
      <c r="AJ112" s="104" t="e">
        <v>#VALUE!</v>
      </c>
      <c r="AK112" s="104" t="e">
        <v>#VALUE!</v>
      </c>
      <c r="AL112" s="104" t="e">
        <v>#VALUE!</v>
      </c>
      <c r="AM112" s="104" t="e">
        <v>#VALUE!</v>
      </c>
      <c r="AN112" s="104" t="e">
        <v>#NAME?</v>
      </c>
      <c r="AP112" s="113" t="s">
        <v>241</v>
      </c>
      <c r="AQ112" s="104">
        <v>0</v>
      </c>
      <c r="AR112" s="104">
        <v>0</v>
      </c>
      <c r="AS112" s="104">
        <v>0</v>
      </c>
      <c r="AT112" s="104">
        <v>0</v>
      </c>
      <c r="AU112" s="104">
        <v>0</v>
      </c>
    </row>
    <row r="113" spans="1:233" ht="15.75">
      <c r="A113" t="s">
        <v>140</v>
      </c>
      <c r="B113">
        <v>0</v>
      </c>
      <c r="D113" s="103" t="s">
        <v>242</v>
      </c>
      <c r="E113" s="104" t="e">
        <v>#VALUE!</v>
      </c>
      <c r="F113" s="104" t="e">
        <v>#VALUE!</v>
      </c>
      <c r="G113" s="104" t="e">
        <v>#VALUE!</v>
      </c>
      <c r="H113" s="104" t="e">
        <v>#VALUE!</v>
      </c>
      <c r="I113" s="104" t="e">
        <v>#VALUE!</v>
      </c>
      <c r="J113" s="104" t="e">
        <v>#VALUE!</v>
      </c>
      <c r="K113" s="104" t="e">
        <v>#VALUE!</v>
      </c>
      <c r="L113" s="104" t="e">
        <v>#VALUE!</v>
      </c>
      <c r="M113" s="104" t="e">
        <v>#VALUE!</v>
      </c>
      <c r="N113" s="104" t="e">
        <v>#VALUE!</v>
      </c>
      <c r="O113" s="104" t="e">
        <v>#VALUE!</v>
      </c>
      <c r="P113" s="104" t="e">
        <v>#VALUE!</v>
      </c>
      <c r="Q113" s="104" t="e">
        <v>#VALUE!</v>
      </c>
      <c r="R113" s="104" t="e">
        <v>#VALUE!</v>
      </c>
      <c r="S113" s="104" t="e">
        <v>#VALUE!</v>
      </c>
      <c r="T113" s="104" t="e">
        <v>#VALUE!</v>
      </c>
      <c r="U113" s="104" t="e">
        <v>#VALUE!</v>
      </c>
      <c r="V113" s="104" t="e">
        <v>#VALUE!</v>
      </c>
      <c r="W113" s="104" t="e">
        <v>#VALUE!</v>
      </c>
      <c r="X113" s="104" t="e">
        <v>#VALUE!</v>
      </c>
      <c r="Y113" s="104" t="e">
        <v>#VALUE!</v>
      </c>
      <c r="Z113" s="104" t="e">
        <v>#VALUE!</v>
      </c>
      <c r="AA113" s="104" t="e">
        <v>#VALUE!</v>
      </c>
      <c r="AB113" s="104" t="e">
        <v>#VALUE!</v>
      </c>
      <c r="AC113" s="104" t="e">
        <v>#VALUE!</v>
      </c>
      <c r="AD113" s="104" t="e">
        <v>#VALUE!</v>
      </c>
      <c r="AE113" s="104" t="e">
        <v>#VALUE!</v>
      </c>
      <c r="AF113" s="104" t="e">
        <v>#VALUE!</v>
      </c>
      <c r="AG113" s="104" t="e">
        <v>#VALUE!</v>
      </c>
      <c r="AH113" s="104" t="e">
        <v>#VALUE!</v>
      </c>
      <c r="AI113" s="104" t="e">
        <v>#VALUE!</v>
      </c>
      <c r="AJ113" s="104" t="e">
        <v>#VALUE!</v>
      </c>
      <c r="AK113" s="104" t="e">
        <v>#VALUE!</v>
      </c>
      <c r="AL113" s="104" t="e">
        <v>#VALUE!</v>
      </c>
      <c r="AM113" s="104" t="e">
        <v>#VALUE!</v>
      </c>
      <c r="AN113" s="104" t="e">
        <v>#NAME?</v>
      </c>
      <c r="AP113" s="103" t="s">
        <v>242</v>
      </c>
      <c r="AQ113" s="104">
        <v>0</v>
      </c>
      <c r="AR113" s="104">
        <v>0</v>
      </c>
      <c r="AS113" s="104">
        <v>0</v>
      </c>
      <c r="AT113" s="104">
        <v>0</v>
      </c>
      <c r="AU113" s="104">
        <v>0</v>
      </c>
    </row>
    <row r="114" spans="1:233" ht="15.75">
      <c r="A114" t="s">
        <v>140</v>
      </c>
      <c r="B114">
        <v>0</v>
      </c>
      <c r="D114" s="149" t="s">
        <v>243</v>
      </c>
      <c r="E114" s="96" t="e">
        <v>#VALUE!</v>
      </c>
      <c r="F114" s="96" t="e">
        <v>#VALUE!</v>
      </c>
      <c r="G114" s="96" t="e">
        <v>#VALUE!</v>
      </c>
      <c r="H114" s="96" t="e">
        <v>#VALUE!</v>
      </c>
      <c r="I114" s="96" t="e">
        <v>#VALUE!</v>
      </c>
      <c r="J114" s="96" t="e">
        <v>#VALUE!</v>
      </c>
      <c r="K114" s="96" t="e">
        <v>#VALUE!</v>
      </c>
      <c r="L114" s="96" t="e">
        <v>#VALUE!</v>
      </c>
      <c r="M114" s="96" t="e">
        <v>#VALUE!</v>
      </c>
      <c r="N114" s="96" t="e">
        <v>#VALUE!</v>
      </c>
      <c r="O114" s="96" t="e">
        <v>#VALUE!</v>
      </c>
      <c r="P114" s="96" t="e">
        <v>#VALUE!</v>
      </c>
      <c r="Q114" s="96" t="e">
        <v>#VALUE!</v>
      </c>
      <c r="R114" s="96" t="e">
        <v>#VALUE!</v>
      </c>
      <c r="S114" s="96" t="e">
        <v>#VALUE!</v>
      </c>
      <c r="T114" s="96" t="e">
        <v>#VALUE!</v>
      </c>
      <c r="U114" s="96" t="e">
        <v>#VALUE!</v>
      </c>
      <c r="V114" s="96" t="e">
        <v>#VALUE!</v>
      </c>
      <c r="W114" s="96" t="e">
        <v>#VALUE!</v>
      </c>
      <c r="X114" s="96" t="e">
        <v>#VALUE!</v>
      </c>
      <c r="Y114" s="96" t="e">
        <v>#VALUE!</v>
      </c>
      <c r="Z114" s="96" t="e">
        <v>#VALUE!</v>
      </c>
      <c r="AA114" s="96" t="e">
        <v>#VALUE!</v>
      </c>
      <c r="AB114" s="96" t="e">
        <v>#VALUE!</v>
      </c>
      <c r="AC114" s="96" t="e">
        <v>#VALUE!</v>
      </c>
      <c r="AD114" s="96" t="e">
        <v>#VALUE!</v>
      </c>
      <c r="AE114" s="96" t="e">
        <v>#VALUE!</v>
      </c>
      <c r="AF114" s="96" t="e">
        <v>#VALUE!</v>
      </c>
      <c r="AG114" s="96" t="e">
        <v>#VALUE!</v>
      </c>
      <c r="AH114" s="96" t="e">
        <v>#VALUE!</v>
      </c>
      <c r="AI114" s="96" t="e">
        <v>#VALUE!</v>
      </c>
      <c r="AJ114" s="96" t="e">
        <v>#VALUE!</v>
      </c>
      <c r="AK114" s="96" t="e">
        <v>#VALUE!</v>
      </c>
      <c r="AL114" s="96" t="e">
        <v>#VALUE!</v>
      </c>
      <c r="AM114" s="96" t="e">
        <v>#VALUE!</v>
      </c>
      <c r="AN114" s="96" t="e">
        <v>#NAME?</v>
      </c>
      <c r="AP114" s="149" t="s">
        <v>243</v>
      </c>
      <c r="AQ114" s="96">
        <v>0</v>
      </c>
      <c r="AR114" s="96">
        <v>0</v>
      </c>
      <c r="AS114" s="96">
        <v>0</v>
      </c>
      <c r="AT114" s="96">
        <v>0</v>
      </c>
      <c r="AU114" s="96">
        <v>0</v>
      </c>
    </row>
    <row r="115" spans="1:233" ht="15.75">
      <c r="A115" t="s">
        <v>140</v>
      </c>
      <c r="B115">
        <v>0</v>
      </c>
      <c r="D115" s="113" t="s">
        <v>244</v>
      </c>
      <c r="E115" s="104" t="e">
        <v>#VALUE!</v>
      </c>
      <c r="F115" s="104" t="e">
        <v>#VALUE!</v>
      </c>
      <c r="G115" s="104" t="e">
        <v>#VALUE!</v>
      </c>
      <c r="H115" s="104" t="e">
        <v>#VALUE!</v>
      </c>
      <c r="I115" s="104" t="e">
        <v>#VALUE!</v>
      </c>
      <c r="J115" s="104" t="e">
        <v>#VALUE!</v>
      </c>
      <c r="K115" s="104" t="e">
        <v>#VALUE!</v>
      </c>
      <c r="L115" s="104" t="e">
        <v>#VALUE!</v>
      </c>
      <c r="M115" s="104" t="e">
        <v>#VALUE!</v>
      </c>
      <c r="N115" s="104" t="e">
        <v>#VALUE!</v>
      </c>
      <c r="O115" s="104" t="e">
        <v>#VALUE!</v>
      </c>
      <c r="P115" s="104" t="e">
        <v>#VALUE!</v>
      </c>
      <c r="Q115" s="104" t="e">
        <v>#VALUE!</v>
      </c>
      <c r="R115" s="104" t="e">
        <v>#VALUE!</v>
      </c>
      <c r="S115" s="104" t="e">
        <v>#VALUE!</v>
      </c>
      <c r="T115" s="104" t="e">
        <v>#VALUE!</v>
      </c>
      <c r="U115" s="104" t="e">
        <v>#VALUE!</v>
      </c>
      <c r="V115" s="104" t="e">
        <v>#VALUE!</v>
      </c>
      <c r="W115" s="104" t="e">
        <v>#VALUE!</v>
      </c>
      <c r="X115" s="104" t="e">
        <v>#VALUE!</v>
      </c>
      <c r="Y115" s="104" t="e">
        <v>#VALUE!</v>
      </c>
      <c r="Z115" s="104" t="e">
        <v>#VALUE!</v>
      </c>
      <c r="AA115" s="104" t="e">
        <v>#VALUE!</v>
      </c>
      <c r="AB115" s="104" t="e">
        <v>#VALUE!</v>
      </c>
      <c r="AC115" s="104" t="e">
        <v>#VALUE!</v>
      </c>
      <c r="AD115" s="104" t="e">
        <v>#VALUE!</v>
      </c>
      <c r="AE115" s="104" t="e">
        <v>#VALUE!</v>
      </c>
      <c r="AF115" s="104" t="e">
        <v>#VALUE!</v>
      </c>
      <c r="AG115" s="104" t="e">
        <v>#VALUE!</v>
      </c>
      <c r="AH115" s="104" t="e">
        <v>#VALUE!</v>
      </c>
      <c r="AI115" s="104" t="e">
        <v>#VALUE!</v>
      </c>
      <c r="AJ115" s="104" t="e">
        <v>#VALUE!</v>
      </c>
      <c r="AK115" s="104" t="e">
        <v>#VALUE!</v>
      </c>
      <c r="AL115" s="104" t="e">
        <v>#VALUE!</v>
      </c>
      <c r="AM115" s="104" t="e">
        <v>#VALUE!</v>
      </c>
      <c r="AN115" s="104" t="e">
        <v>#NAME?</v>
      </c>
      <c r="AP115" s="113" t="s">
        <v>244</v>
      </c>
      <c r="AQ115" s="104">
        <v>0</v>
      </c>
      <c r="AR115" s="104">
        <v>0</v>
      </c>
      <c r="AS115" s="104">
        <v>0</v>
      </c>
      <c r="AT115" s="104">
        <v>0</v>
      </c>
      <c r="AU115" s="104">
        <v>0</v>
      </c>
    </row>
    <row r="116" spans="1:233" ht="15.75">
      <c r="A116" t="s">
        <v>140</v>
      </c>
      <c r="B116">
        <v>0</v>
      </c>
      <c r="D116" s="113" t="s">
        <v>245</v>
      </c>
      <c r="E116" s="104" t="e">
        <v>#VALUE!</v>
      </c>
      <c r="F116" s="104" t="e">
        <v>#VALUE!</v>
      </c>
      <c r="G116" s="104" t="e">
        <v>#VALUE!</v>
      </c>
      <c r="H116" s="104" t="e">
        <v>#VALUE!</v>
      </c>
      <c r="I116" s="104" t="e">
        <v>#VALUE!</v>
      </c>
      <c r="J116" s="104" t="e">
        <v>#VALUE!</v>
      </c>
      <c r="K116" s="104" t="e">
        <v>#VALUE!</v>
      </c>
      <c r="L116" s="104" t="e">
        <v>#VALUE!</v>
      </c>
      <c r="M116" s="104" t="e">
        <v>#VALUE!</v>
      </c>
      <c r="N116" s="104" t="e">
        <v>#VALUE!</v>
      </c>
      <c r="O116" s="104" t="e">
        <v>#VALUE!</v>
      </c>
      <c r="P116" s="104" t="e">
        <v>#VALUE!</v>
      </c>
      <c r="Q116" s="104" t="e">
        <v>#VALUE!</v>
      </c>
      <c r="R116" s="104" t="e">
        <v>#VALUE!</v>
      </c>
      <c r="S116" s="104" t="e">
        <v>#VALUE!</v>
      </c>
      <c r="T116" s="104" t="e">
        <v>#VALUE!</v>
      </c>
      <c r="U116" s="104" t="e">
        <v>#VALUE!</v>
      </c>
      <c r="V116" s="104" t="e">
        <v>#VALUE!</v>
      </c>
      <c r="W116" s="104" t="e">
        <v>#VALUE!</v>
      </c>
      <c r="X116" s="104" t="e">
        <v>#VALUE!</v>
      </c>
      <c r="Y116" s="104" t="e">
        <v>#VALUE!</v>
      </c>
      <c r="Z116" s="104" t="e">
        <v>#VALUE!</v>
      </c>
      <c r="AA116" s="104" t="e">
        <v>#VALUE!</v>
      </c>
      <c r="AB116" s="104" t="e">
        <v>#VALUE!</v>
      </c>
      <c r="AC116" s="104" t="e">
        <v>#VALUE!</v>
      </c>
      <c r="AD116" s="104" t="e">
        <v>#VALUE!</v>
      </c>
      <c r="AE116" s="104" t="e">
        <v>#VALUE!</v>
      </c>
      <c r="AF116" s="104" t="e">
        <v>#VALUE!</v>
      </c>
      <c r="AG116" s="104" t="e">
        <v>#VALUE!</v>
      </c>
      <c r="AH116" s="104" t="e">
        <v>#VALUE!</v>
      </c>
      <c r="AI116" s="104" t="e">
        <v>#VALUE!</v>
      </c>
      <c r="AJ116" s="104" t="e">
        <v>#VALUE!</v>
      </c>
      <c r="AK116" s="104" t="e">
        <v>#VALUE!</v>
      </c>
      <c r="AL116" s="104" t="e">
        <v>#VALUE!</v>
      </c>
      <c r="AM116" s="104" t="e">
        <v>#VALUE!</v>
      </c>
      <c r="AN116" s="104" t="e">
        <v>#NAME?</v>
      </c>
      <c r="AP116" s="113" t="s">
        <v>245</v>
      </c>
      <c r="AQ116" s="104">
        <v>0</v>
      </c>
      <c r="AR116" s="104">
        <v>0</v>
      </c>
      <c r="AS116" s="104">
        <v>0</v>
      </c>
      <c r="AT116" s="104">
        <v>0</v>
      </c>
      <c r="AU116" s="104">
        <v>0</v>
      </c>
    </row>
    <row r="117" spans="1:233" ht="15.75">
      <c r="A117" t="s">
        <v>140</v>
      </c>
      <c r="B117">
        <v>0</v>
      </c>
      <c r="D117" s="115" t="s">
        <v>246</v>
      </c>
      <c r="E117" s="116" t="e">
        <v>#VALUE!</v>
      </c>
      <c r="F117" s="116" t="e">
        <v>#VALUE!</v>
      </c>
      <c r="G117" s="116" t="e">
        <v>#VALUE!</v>
      </c>
      <c r="H117" s="116" t="e">
        <v>#VALUE!</v>
      </c>
      <c r="I117" s="116" t="e">
        <v>#VALUE!</v>
      </c>
      <c r="J117" s="116" t="e">
        <v>#VALUE!</v>
      </c>
      <c r="K117" s="116" t="e">
        <v>#VALUE!</v>
      </c>
      <c r="L117" s="116" t="e">
        <v>#VALUE!</v>
      </c>
      <c r="M117" s="116" t="e">
        <v>#VALUE!</v>
      </c>
      <c r="N117" s="116" t="e">
        <v>#VALUE!</v>
      </c>
      <c r="O117" s="116" t="e">
        <v>#VALUE!</v>
      </c>
      <c r="P117" s="116" t="e">
        <v>#VALUE!</v>
      </c>
      <c r="Q117" s="116" t="e">
        <v>#VALUE!</v>
      </c>
      <c r="R117" s="116" t="e">
        <v>#VALUE!</v>
      </c>
      <c r="S117" s="116" t="e">
        <v>#VALUE!</v>
      </c>
      <c r="T117" s="116" t="e">
        <v>#VALUE!</v>
      </c>
      <c r="U117" s="116" t="e">
        <v>#VALUE!</v>
      </c>
      <c r="V117" s="116" t="e">
        <v>#VALUE!</v>
      </c>
      <c r="W117" s="116" t="e">
        <v>#VALUE!</v>
      </c>
      <c r="X117" s="116" t="e">
        <v>#VALUE!</v>
      </c>
      <c r="Y117" s="116" t="e">
        <v>#VALUE!</v>
      </c>
      <c r="Z117" s="116" t="e">
        <v>#VALUE!</v>
      </c>
      <c r="AA117" s="116" t="e">
        <v>#VALUE!</v>
      </c>
      <c r="AB117" s="116" t="e">
        <v>#VALUE!</v>
      </c>
      <c r="AC117" s="116" t="e">
        <v>#VALUE!</v>
      </c>
      <c r="AD117" s="116" t="e">
        <v>#VALUE!</v>
      </c>
      <c r="AE117" s="116" t="e">
        <v>#VALUE!</v>
      </c>
      <c r="AF117" s="116" t="e">
        <v>#VALUE!</v>
      </c>
      <c r="AG117" s="116" t="e">
        <v>#VALUE!</v>
      </c>
      <c r="AH117" s="116" t="e">
        <v>#VALUE!</v>
      </c>
      <c r="AI117" s="116" t="e">
        <v>#VALUE!</v>
      </c>
      <c r="AJ117" s="116" t="e">
        <v>#VALUE!</v>
      </c>
      <c r="AK117" s="116" t="e">
        <v>#VALUE!</v>
      </c>
      <c r="AL117" s="116" t="e">
        <v>#VALUE!</v>
      </c>
      <c r="AM117" s="116" t="e">
        <v>#VALUE!</v>
      </c>
      <c r="AN117" s="116" t="e">
        <v>#NAME?</v>
      </c>
      <c r="AP117" s="115" t="s">
        <v>246</v>
      </c>
      <c r="AQ117" s="116">
        <v>0</v>
      </c>
      <c r="AR117" s="116">
        <v>0</v>
      </c>
      <c r="AS117" s="116">
        <v>0</v>
      </c>
      <c r="AT117" s="116">
        <v>0</v>
      </c>
      <c r="AU117" s="116">
        <v>0</v>
      </c>
    </row>
    <row r="118" spans="1:233" ht="15.75">
      <c r="A118" t="s">
        <v>140</v>
      </c>
      <c r="B118">
        <v>0</v>
      </c>
      <c r="D118" s="95" t="s">
        <v>140</v>
      </c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P118" s="95" t="s">
        <v>140</v>
      </c>
      <c r="AQ118" s="121"/>
      <c r="AR118" s="121"/>
      <c r="AS118" s="121"/>
      <c r="AT118" s="121"/>
      <c r="AU118" s="121"/>
    </row>
    <row r="119" spans="1:233" ht="15.75">
      <c r="A119" t="s">
        <v>140</v>
      </c>
      <c r="B119">
        <v>0</v>
      </c>
      <c r="D119" s="97" t="s">
        <v>127</v>
      </c>
      <c r="E119" s="98" t="e">
        <v>#VALUE!</v>
      </c>
      <c r="F119" s="98" t="e">
        <v>#VALUE!</v>
      </c>
      <c r="G119" s="98" t="e">
        <v>#VALUE!</v>
      </c>
      <c r="H119" s="98" t="e">
        <v>#VALUE!</v>
      </c>
      <c r="I119" s="98" t="e">
        <v>#VALUE!</v>
      </c>
      <c r="J119" s="98" t="e">
        <v>#VALUE!</v>
      </c>
      <c r="K119" s="98" t="e">
        <v>#VALUE!</v>
      </c>
      <c r="L119" s="98" t="e">
        <v>#VALUE!</v>
      </c>
      <c r="M119" s="98" t="e">
        <v>#VALUE!</v>
      </c>
      <c r="N119" s="98" t="e">
        <v>#VALUE!</v>
      </c>
      <c r="O119" s="98" t="e">
        <v>#VALUE!</v>
      </c>
      <c r="P119" s="98" t="e">
        <v>#VALUE!</v>
      </c>
      <c r="Q119" s="98" t="e">
        <v>#VALUE!</v>
      </c>
      <c r="R119" s="98" t="e">
        <v>#VALUE!</v>
      </c>
      <c r="S119" s="98" t="e">
        <v>#VALUE!</v>
      </c>
      <c r="T119" s="98" t="e">
        <v>#VALUE!</v>
      </c>
      <c r="U119" s="98" t="e">
        <v>#VALUE!</v>
      </c>
      <c r="V119" s="98" t="e">
        <v>#VALUE!</v>
      </c>
      <c r="W119" s="98" t="e">
        <v>#VALUE!</v>
      </c>
      <c r="X119" s="98" t="e">
        <v>#VALUE!</v>
      </c>
      <c r="Y119" s="98" t="e">
        <v>#VALUE!</v>
      </c>
      <c r="Z119" s="98" t="e">
        <v>#VALUE!</v>
      </c>
      <c r="AA119" s="98" t="e">
        <v>#VALUE!</v>
      </c>
      <c r="AB119" s="98" t="e">
        <v>#VALUE!</v>
      </c>
      <c r="AC119" s="98" t="e">
        <v>#VALUE!</v>
      </c>
      <c r="AD119" s="98" t="e">
        <v>#VALUE!</v>
      </c>
      <c r="AE119" s="98" t="e">
        <v>#VALUE!</v>
      </c>
      <c r="AF119" s="98" t="e">
        <v>#VALUE!</v>
      </c>
      <c r="AG119" s="98" t="e">
        <v>#VALUE!</v>
      </c>
      <c r="AH119" s="98" t="e">
        <v>#VALUE!</v>
      </c>
      <c r="AI119" s="98" t="e">
        <v>#VALUE!</v>
      </c>
      <c r="AJ119" s="98" t="e">
        <v>#VALUE!</v>
      </c>
      <c r="AK119" s="98" t="e">
        <v>#VALUE!</v>
      </c>
      <c r="AL119" s="98" t="e">
        <v>#VALUE!</v>
      </c>
      <c r="AM119" s="98" t="e">
        <v>#VALUE!</v>
      </c>
      <c r="AN119" s="98" t="e">
        <v>#NAME?</v>
      </c>
      <c r="AP119" s="97" t="s">
        <v>127</v>
      </c>
      <c r="AQ119" s="98">
        <v>0</v>
      </c>
      <c r="AR119" s="98">
        <v>0</v>
      </c>
      <c r="AS119" s="98">
        <v>0</v>
      </c>
      <c r="AT119" s="98">
        <v>0</v>
      </c>
      <c r="AU119" s="98">
        <v>0</v>
      </c>
    </row>
    <row r="120" spans="1:233">
      <c r="A120" t="s">
        <v>140</v>
      </c>
      <c r="B120">
        <v>0</v>
      </c>
    </row>
    <row r="121" spans="1:233" ht="15.75" thickBot="1">
      <c r="A121" t="s">
        <v>140</v>
      </c>
      <c r="B121">
        <v>0</v>
      </c>
      <c r="E121" t="e">
        <v>#VALUE!</v>
      </c>
      <c r="F121" t="e">
        <v>#VALUE!</v>
      </c>
      <c r="G121" t="e">
        <v>#VALUE!</v>
      </c>
      <c r="H121" t="e">
        <v>#VALUE!</v>
      </c>
      <c r="I121" t="e">
        <v>#VALUE!</v>
      </c>
      <c r="J121" t="e">
        <v>#VALUE!</v>
      </c>
      <c r="K121" t="e">
        <v>#VALUE!</v>
      </c>
      <c r="L121" t="e">
        <v>#VALUE!</v>
      </c>
      <c r="M121" t="e">
        <v>#VALUE!</v>
      </c>
      <c r="N121" t="e">
        <v>#VALUE!</v>
      </c>
      <c r="O121" t="e">
        <v>#VALUE!</v>
      </c>
      <c r="P121" t="e">
        <v>#VALUE!</v>
      </c>
      <c r="Q121" t="e">
        <v>#VALUE!</v>
      </c>
      <c r="R121" t="e">
        <v>#VALUE!</v>
      </c>
      <c r="S121" t="e">
        <v>#VALUE!</v>
      </c>
      <c r="T121" t="e">
        <v>#VALUE!</v>
      </c>
      <c r="U121" t="e">
        <v>#VALUE!</v>
      </c>
      <c r="V121" t="e">
        <v>#VALUE!</v>
      </c>
      <c r="W121" t="e">
        <v>#VALUE!</v>
      </c>
      <c r="X121" t="e">
        <v>#VALUE!</v>
      </c>
      <c r="Y121" t="e">
        <v>#VALUE!</v>
      </c>
      <c r="Z121" t="e">
        <v>#VALUE!</v>
      </c>
      <c r="AA121" t="e">
        <v>#VALUE!</v>
      </c>
      <c r="AB121" t="e">
        <v>#VALUE!</v>
      </c>
      <c r="AC121" t="e">
        <v>#VALUE!</v>
      </c>
      <c r="AD121" t="e">
        <v>#VALUE!</v>
      </c>
      <c r="AE121" t="e">
        <v>#VALUE!</v>
      </c>
      <c r="AF121" t="e">
        <v>#VALUE!</v>
      </c>
      <c r="AG121" t="e">
        <v>#VALUE!</v>
      </c>
      <c r="AH121" t="e">
        <v>#VALUE!</v>
      </c>
      <c r="AI121" t="e">
        <v>#VALUE!</v>
      </c>
      <c r="AJ121" t="e">
        <v>#VALUE!</v>
      </c>
      <c r="AK121" t="e">
        <v>#VALUE!</v>
      </c>
      <c r="AL121" t="e">
        <v>#VALUE!</v>
      </c>
      <c r="AM121" t="e">
        <v>#VALUE!</v>
      </c>
      <c r="AN121" t="e">
        <v>#NAME?</v>
      </c>
      <c r="CL121" s="10" t="e">
        <v>#NAME?</v>
      </c>
      <c r="CM121" s="10" t="e">
        <v>#NAME?</v>
      </c>
      <c r="CN121" s="10" t="e">
        <v>#NAME?</v>
      </c>
      <c r="CO121" s="10" t="e">
        <v>#NAME?</v>
      </c>
      <c r="CP121" s="10" t="e">
        <v>#NAME?</v>
      </c>
    </row>
    <row r="122" spans="1:233" ht="20.25" customHeight="1" thickBot="1">
      <c r="A122" t="s">
        <v>140</v>
      </c>
      <c r="B122">
        <v>0</v>
      </c>
      <c r="D122" s="18"/>
      <c r="E122" s="19" t="s">
        <v>140</v>
      </c>
      <c r="F122" s="19" t="s">
        <v>140</v>
      </c>
      <c r="G122" s="19" t="s">
        <v>140</v>
      </c>
      <c r="H122" s="19" t="s">
        <v>140</v>
      </c>
      <c r="I122" s="19" t="s">
        <v>140</v>
      </c>
      <c r="J122" s="19" t="s">
        <v>140</v>
      </c>
      <c r="K122" s="19" t="s">
        <v>140</v>
      </c>
      <c r="L122" s="19" t="s">
        <v>140</v>
      </c>
      <c r="M122" s="19" t="s">
        <v>140</v>
      </c>
      <c r="N122" s="19" t="s">
        <v>140</v>
      </c>
      <c r="O122" s="19" t="s">
        <v>140</v>
      </c>
      <c r="P122" s="19" t="s">
        <v>140</v>
      </c>
      <c r="Q122" s="19" t="s">
        <v>140</v>
      </c>
      <c r="R122" s="19" t="s">
        <v>140</v>
      </c>
      <c r="S122" s="19" t="s">
        <v>140</v>
      </c>
      <c r="T122" s="19" t="s">
        <v>140</v>
      </c>
      <c r="U122" s="19" t="s">
        <v>140</v>
      </c>
      <c r="V122" s="19" t="s">
        <v>140</v>
      </c>
      <c r="W122" s="19" t="s">
        <v>140</v>
      </c>
      <c r="X122" s="19" t="s">
        <v>140</v>
      </c>
      <c r="Y122" s="19" t="s">
        <v>140</v>
      </c>
      <c r="Z122" s="19" t="s">
        <v>140</v>
      </c>
      <c r="AA122" s="19" t="s">
        <v>140</v>
      </c>
      <c r="AB122" s="19" t="s">
        <v>140</v>
      </c>
      <c r="AC122" s="19" t="s">
        <v>140</v>
      </c>
      <c r="AD122" s="19" t="s">
        <v>140</v>
      </c>
      <c r="AE122" s="19" t="s">
        <v>140</v>
      </c>
      <c r="AF122" s="19" t="s">
        <v>140</v>
      </c>
      <c r="AG122" s="19" t="s">
        <v>140</v>
      </c>
      <c r="AH122" s="19" t="s">
        <v>140</v>
      </c>
      <c r="AI122" s="19" t="s">
        <v>140</v>
      </c>
      <c r="AJ122" s="19" t="s">
        <v>140</v>
      </c>
      <c r="AK122" s="19" t="s">
        <v>140</v>
      </c>
      <c r="AL122" s="19" t="s">
        <v>140</v>
      </c>
      <c r="AM122" s="19" t="s">
        <v>140</v>
      </c>
      <c r="AN122" s="19">
        <v>4</v>
      </c>
      <c r="AP122" s="18"/>
      <c r="AQ122" s="19" t="s">
        <v>140</v>
      </c>
      <c r="AR122" s="19" t="s">
        <v>140</v>
      </c>
      <c r="AS122" s="19" t="s">
        <v>140</v>
      </c>
      <c r="AT122" s="19" t="s">
        <v>140</v>
      </c>
      <c r="AU122" s="19" t="e">
        <v>#NAME?</v>
      </c>
      <c r="AW122" s="19">
        <v>0</v>
      </c>
      <c r="AX122" s="20" t="s">
        <v>63</v>
      </c>
      <c r="AY122" s="19">
        <v>0</v>
      </c>
      <c r="AZ122" s="19">
        <v>0</v>
      </c>
      <c r="BA122" s="19">
        <v>0</v>
      </c>
      <c r="BB122" s="19">
        <v>0</v>
      </c>
      <c r="BC122" s="19">
        <v>0</v>
      </c>
      <c r="BD122" s="19">
        <v>0</v>
      </c>
      <c r="BE122" s="19">
        <v>0</v>
      </c>
      <c r="BF122" s="19">
        <v>0</v>
      </c>
      <c r="BG122" s="19">
        <v>0</v>
      </c>
      <c r="BH122" s="19">
        <v>0</v>
      </c>
      <c r="BI122" s="19">
        <v>0</v>
      </c>
      <c r="BJ122" s="19">
        <v>0</v>
      </c>
      <c r="BK122" s="19">
        <v>0</v>
      </c>
      <c r="BL122" s="19">
        <v>0</v>
      </c>
      <c r="BM122" s="19">
        <v>0</v>
      </c>
      <c r="BN122" s="19">
        <v>0</v>
      </c>
      <c r="BO122" s="19">
        <v>0</v>
      </c>
      <c r="BP122" s="19">
        <v>0</v>
      </c>
      <c r="BQ122" s="19">
        <v>0</v>
      </c>
      <c r="BR122" s="19">
        <v>0</v>
      </c>
      <c r="BS122" s="19">
        <v>0</v>
      </c>
      <c r="BT122" s="19">
        <v>0</v>
      </c>
      <c r="BU122" s="19">
        <v>0</v>
      </c>
      <c r="BV122" s="19">
        <v>0</v>
      </c>
      <c r="BW122" s="19">
        <v>0</v>
      </c>
      <c r="BX122" s="19">
        <v>0</v>
      </c>
      <c r="BY122" s="19">
        <v>0</v>
      </c>
      <c r="BZ122" s="19">
        <v>0</v>
      </c>
      <c r="CA122" s="19">
        <v>0</v>
      </c>
      <c r="CB122" s="19">
        <v>0</v>
      </c>
      <c r="CC122" s="19">
        <v>0</v>
      </c>
      <c r="CD122" s="19">
        <v>0</v>
      </c>
      <c r="CE122" s="19">
        <v>0</v>
      </c>
      <c r="CF122" s="19">
        <v>0</v>
      </c>
      <c r="CG122" s="19">
        <v>0</v>
      </c>
      <c r="CH122" s="19">
        <v>4</v>
      </c>
      <c r="CK122" s="20">
        <v>0</v>
      </c>
      <c r="CL122" s="19" t="s">
        <v>140</v>
      </c>
      <c r="CM122" s="19" t="s">
        <v>140</v>
      </c>
      <c r="CN122" s="19" t="s">
        <v>140</v>
      </c>
      <c r="CO122" s="19" t="s">
        <v>140</v>
      </c>
      <c r="CP122" s="19" t="e">
        <v>#NAME?</v>
      </c>
      <c r="CS122" s="20">
        <v>0</v>
      </c>
      <c r="CT122" s="19">
        <v>0</v>
      </c>
      <c r="CU122" s="19">
        <v>0</v>
      </c>
      <c r="CV122" s="19">
        <v>0</v>
      </c>
      <c r="CW122" s="19">
        <v>0</v>
      </c>
      <c r="CX122" s="19">
        <v>0</v>
      </c>
      <c r="CY122" s="19">
        <v>0</v>
      </c>
      <c r="CZ122" s="19">
        <v>0</v>
      </c>
      <c r="DA122" s="19">
        <v>0</v>
      </c>
      <c r="DB122" s="19">
        <v>0</v>
      </c>
      <c r="DC122" s="19">
        <v>0</v>
      </c>
      <c r="DD122" s="19">
        <v>0</v>
      </c>
      <c r="DE122" s="19">
        <v>0</v>
      </c>
      <c r="DF122" s="19">
        <v>0</v>
      </c>
      <c r="DG122" s="19">
        <v>0</v>
      </c>
      <c r="DH122" s="19">
        <v>0</v>
      </c>
      <c r="DI122" s="19">
        <v>0</v>
      </c>
      <c r="DJ122" s="19">
        <v>0</v>
      </c>
      <c r="DK122" s="19">
        <v>0</v>
      </c>
      <c r="DL122" s="19">
        <v>0</v>
      </c>
      <c r="DM122" s="19">
        <v>0</v>
      </c>
      <c r="DN122" s="19">
        <v>0</v>
      </c>
      <c r="DO122" s="19">
        <v>0</v>
      </c>
      <c r="DP122" s="19">
        <v>0</v>
      </c>
      <c r="DQ122" s="19">
        <v>0</v>
      </c>
      <c r="DR122" s="19">
        <v>0</v>
      </c>
      <c r="DS122" s="19">
        <v>0</v>
      </c>
      <c r="DT122" s="19">
        <v>0</v>
      </c>
      <c r="DU122" s="19">
        <v>0</v>
      </c>
      <c r="DV122" s="19">
        <v>0</v>
      </c>
      <c r="DW122" s="19">
        <v>0</v>
      </c>
      <c r="DX122" s="19">
        <v>0</v>
      </c>
      <c r="DY122" s="19">
        <v>0</v>
      </c>
      <c r="DZ122" s="19">
        <v>0</v>
      </c>
      <c r="EA122" s="19">
        <v>0</v>
      </c>
      <c r="EB122" s="19">
        <v>0</v>
      </c>
      <c r="EC122" s="19">
        <v>4</v>
      </c>
      <c r="EE122" s="20"/>
      <c r="EF122" s="19">
        <v>40543</v>
      </c>
      <c r="EG122" s="19">
        <v>40908</v>
      </c>
      <c r="EH122" s="19">
        <v>41274</v>
      </c>
      <c r="EI122" s="19">
        <v>41639</v>
      </c>
      <c r="EJ122" s="19">
        <v>42004</v>
      </c>
      <c r="EN122" s="20"/>
      <c r="EO122" s="19">
        <v>0</v>
      </c>
      <c r="EP122" s="19">
        <v>0</v>
      </c>
      <c r="EQ122" s="19">
        <v>0</v>
      </c>
      <c r="ER122" s="19">
        <v>0</v>
      </c>
      <c r="ES122" s="19">
        <v>0</v>
      </c>
      <c r="ET122" s="19">
        <v>0</v>
      </c>
      <c r="EU122" s="19">
        <v>0</v>
      </c>
      <c r="EV122" s="19">
        <v>0</v>
      </c>
      <c r="EW122" s="19">
        <v>0</v>
      </c>
      <c r="EX122" s="19">
        <v>0</v>
      </c>
      <c r="EY122" s="19">
        <v>0</v>
      </c>
      <c r="EZ122" s="19">
        <v>0</v>
      </c>
      <c r="FA122" s="19">
        <v>0</v>
      </c>
      <c r="FB122" s="19">
        <v>0</v>
      </c>
      <c r="FC122" s="19">
        <v>0</v>
      </c>
      <c r="FD122" s="19">
        <v>0</v>
      </c>
      <c r="FE122" s="19">
        <v>0</v>
      </c>
      <c r="FF122" s="19">
        <v>0</v>
      </c>
      <c r="FG122" s="19">
        <v>0</v>
      </c>
      <c r="FH122" s="19">
        <v>0</v>
      </c>
      <c r="FI122" s="19">
        <v>0</v>
      </c>
      <c r="FJ122" s="19">
        <v>0</v>
      </c>
      <c r="FK122" s="19">
        <v>0</v>
      </c>
      <c r="FL122" s="19">
        <v>0</v>
      </c>
      <c r="FM122" s="19">
        <v>0</v>
      </c>
      <c r="FN122" s="19">
        <v>0</v>
      </c>
      <c r="FO122" s="19">
        <v>0</v>
      </c>
      <c r="FP122" s="19">
        <v>0</v>
      </c>
      <c r="FQ122" s="19">
        <v>0</v>
      </c>
      <c r="FR122" s="19">
        <v>0</v>
      </c>
      <c r="FS122" s="19">
        <v>0</v>
      </c>
      <c r="FT122" s="19">
        <v>0</v>
      </c>
      <c r="FU122" s="19">
        <v>0</v>
      </c>
      <c r="FV122" s="19">
        <v>0</v>
      </c>
      <c r="FW122" s="19">
        <v>0</v>
      </c>
      <c r="FX122" s="19">
        <v>4</v>
      </c>
      <c r="FZ122" s="20"/>
      <c r="GA122" s="19">
        <v>40543</v>
      </c>
      <c r="GB122" s="19">
        <v>40908</v>
      </c>
      <c r="GC122" s="19">
        <v>41274</v>
      </c>
      <c r="GD122" s="19">
        <v>41639</v>
      </c>
      <c r="GE122" s="19">
        <v>42004</v>
      </c>
      <c r="GG122" s="19"/>
      <c r="GH122" s="19">
        <v>0</v>
      </c>
      <c r="GI122" s="19">
        <v>0</v>
      </c>
      <c r="GJ122" s="19">
        <v>0</v>
      </c>
      <c r="GK122" s="19">
        <v>0</v>
      </c>
      <c r="GL122" s="19">
        <v>0</v>
      </c>
      <c r="GM122" s="19">
        <v>0</v>
      </c>
      <c r="GN122" s="19">
        <v>0</v>
      </c>
      <c r="GO122" s="19">
        <v>0</v>
      </c>
      <c r="GP122" s="19">
        <v>0</v>
      </c>
      <c r="GQ122" s="19">
        <v>0</v>
      </c>
      <c r="GR122" s="19">
        <v>0</v>
      </c>
      <c r="GS122" s="19">
        <v>0</v>
      </c>
      <c r="GT122" s="19">
        <v>0</v>
      </c>
      <c r="GU122" s="19">
        <v>0</v>
      </c>
      <c r="GV122" s="19">
        <v>0</v>
      </c>
      <c r="GW122" s="19">
        <v>0</v>
      </c>
      <c r="GX122" s="19">
        <v>0</v>
      </c>
      <c r="GY122" s="19">
        <v>0</v>
      </c>
      <c r="GZ122" s="19">
        <v>0</v>
      </c>
      <c r="HA122" s="19">
        <v>0</v>
      </c>
      <c r="HB122" s="19">
        <v>0</v>
      </c>
      <c r="HC122" s="19">
        <v>0</v>
      </c>
      <c r="HD122" s="19">
        <v>0</v>
      </c>
      <c r="HE122" s="19">
        <v>0</v>
      </c>
      <c r="HF122" s="19">
        <v>0</v>
      </c>
      <c r="HG122" s="19">
        <v>0</v>
      </c>
      <c r="HH122" s="19">
        <v>0</v>
      </c>
      <c r="HI122" s="19">
        <v>0</v>
      </c>
      <c r="HJ122" s="19">
        <v>0</v>
      </c>
      <c r="HK122" s="19">
        <v>0</v>
      </c>
      <c r="HL122" s="19">
        <v>0</v>
      </c>
      <c r="HM122" s="19">
        <v>0</v>
      </c>
      <c r="HN122" s="19">
        <v>0</v>
      </c>
      <c r="HO122" s="19">
        <v>0</v>
      </c>
      <c r="HP122" s="19">
        <v>0</v>
      </c>
      <c r="HQ122" s="19">
        <v>4</v>
      </c>
      <c r="HT122" s="19"/>
      <c r="HU122" s="19">
        <v>40543</v>
      </c>
      <c r="HV122" s="19">
        <v>40908</v>
      </c>
      <c r="HW122" s="19">
        <v>41274</v>
      </c>
      <c r="HX122" s="19">
        <v>41639</v>
      </c>
      <c r="HY122" s="19">
        <v>42004</v>
      </c>
    </row>
    <row r="123" spans="1:233" ht="15.75" thickBot="1">
      <c r="A123" t="s">
        <v>140</v>
      </c>
      <c r="B123">
        <v>0</v>
      </c>
      <c r="D123" s="22" t="s">
        <v>64</v>
      </c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  <c r="AG123" s="23"/>
      <c r="AH123" s="23"/>
      <c r="AI123" s="23"/>
      <c r="AJ123" s="23"/>
      <c r="AK123" s="23"/>
      <c r="AL123" s="23"/>
      <c r="AM123" s="23"/>
      <c r="AN123" s="23"/>
      <c r="AP123" s="22" t="s">
        <v>64</v>
      </c>
      <c r="AQ123" s="23"/>
      <c r="AR123" s="23"/>
      <c r="AS123" s="23"/>
      <c r="AT123" s="23"/>
      <c r="AU123" s="23"/>
      <c r="AW123" s="78">
        <v>0</v>
      </c>
      <c r="AX123" s="24" t="s">
        <v>65</v>
      </c>
      <c r="AY123" s="25" t="e">
        <v>#NAME?</v>
      </c>
      <c r="AZ123" s="25" t="e">
        <v>#NAME?</v>
      </c>
      <c r="BA123" s="25" t="e">
        <v>#NAME?</v>
      </c>
      <c r="BB123" s="25" t="e">
        <v>#NAME?</v>
      </c>
      <c r="BC123" s="25" t="e">
        <v>#NAME?</v>
      </c>
      <c r="BD123" s="25" t="e">
        <v>#NAME?</v>
      </c>
      <c r="BE123" s="25" t="e">
        <v>#NAME?</v>
      </c>
      <c r="BF123" s="25" t="e">
        <v>#NAME?</v>
      </c>
      <c r="BG123" s="25" t="e">
        <v>#NAME?</v>
      </c>
      <c r="BH123" s="25" t="e">
        <v>#NAME?</v>
      </c>
      <c r="BI123" s="25" t="e">
        <v>#NAME?</v>
      </c>
      <c r="BJ123" s="25" t="e">
        <v>#NAME?</v>
      </c>
      <c r="BK123" s="25" t="e">
        <v>#NAME?</v>
      </c>
      <c r="BL123" s="25" t="e">
        <v>#NAME?</v>
      </c>
      <c r="BM123" s="25" t="e">
        <v>#NAME?</v>
      </c>
      <c r="BN123" s="25" t="e">
        <v>#NAME?</v>
      </c>
      <c r="BO123" s="25" t="e">
        <v>#NAME?</v>
      </c>
      <c r="BP123" s="25" t="e">
        <v>#NAME?</v>
      </c>
      <c r="BQ123" s="25" t="e">
        <v>#NAME?</v>
      </c>
      <c r="BR123" s="25" t="e">
        <v>#NAME?</v>
      </c>
      <c r="BS123" s="25" t="e">
        <v>#NAME?</v>
      </c>
      <c r="BT123" s="25" t="e">
        <v>#NAME?</v>
      </c>
      <c r="BU123" s="25" t="e">
        <v>#NAME?</v>
      </c>
      <c r="BV123" s="25" t="e">
        <v>#NAME?</v>
      </c>
      <c r="BW123" s="25" t="e">
        <v>#NAME?</v>
      </c>
      <c r="BX123" s="25" t="e">
        <v>#NAME?</v>
      </c>
      <c r="BY123" s="25" t="e">
        <v>#NAME?</v>
      </c>
      <c r="BZ123" s="25" t="e">
        <v>#NAME?</v>
      </c>
      <c r="CA123" s="25" t="e">
        <v>#NAME?</v>
      </c>
      <c r="CB123" s="25" t="e">
        <v>#NAME?</v>
      </c>
      <c r="CC123" s="25" t="e">
        <v>#NAME?</v>
      </c>
      <c r="CD123" s="25" t="e">
        <v>#NAME?</v>
      </c>
      <c r="CE123" s="25" t="e">
        <v>#NAME?</v>
      </c>
      <c r="CF123" s="25" t="e">
        <v>#NAME?</v>
      </c>
      <c r="CG123" s="25" t="e">
        <v>#NAME?</v>
      </c>
      <c r="CH123" s="25" t="e">
        <v>#NAME?</v>
      </c>
      <c r="CK123" s="24" t="s">
        <v>65</v>
      </c>
      <c r="CL123" s="25">
        <v>0</v>
      </c>
      <c r="CM123" s="25">
        <v>0</v>
      </c>
      <c r="CN123" s="25">
        <v>0</v>
      </c>
      <c r="CO123" s="25">
        <v>0</v>
      </c>
      <c r="CP123" s="25">
        <v>0</v>
      </c>
      <c r="CS123" s="26"/>
      <c r="CT123" s="29" t="e">
        <v>#NAME?</v>
      </c>
      <c r="CU123" s="29" t="e">
        <v>#NAME?</v>
      </c>
      <c r="CV123" s="29" t="e">
        <v>#NAME?</v>
      </c>
      <c r="CW123" s="29" t="e">
        <v>#NAME?</v>
      </c>
      <c r="CX123" s="29" t="e">
        <v>#NAME?</v>
      </c>
      <c r="CY123" s="29" t="e">
        <v>#NAME?</v>
      </c>
      <c r="CZ123" s="29" t="e">
        <v>#NAME?</v>
      </c>
      <c r="DA123" s="29" t="e">
        <v>#NAME?</v>
      </c>
      <c r="DB123" s="29" t="e">
        <v>#NAME?</v>
      </c>
      <c r="DC123" s="29" t="e">
        <v>#NAME?</v>
      </c>
      <c r="DD123" s="29" t="e">
        <v>#NAME?</v>
      </c>
      <c r="DE123" s="29" t="e">
        <v>#NAME?</v>
      </c>
      <c r="DF123" s="29" t="e">
        <v>#NAME?</v>
      </c>
      <c r="DG123" s="29" t="e">
        <v>#NAME?</v>
      </c>
      <c r="DH123" s="29" t="e">
        <v>#NAME?</v>
      </c>
      <c r="DI123" s="29" t="e">
        <v>#NAME?</v>
      </c>
      <c r="DJ123" s="29" t="e">
        <v>#NAME?</v>
      </c>
      <c r="DK123" s="29" t="e">
        <v>#NAME?</v>
      </c>
      <c r="DL123" s="29" t="e">
        <v>#NAME?</v>
      </c>
      <c r="DM123" s="29" t="e">
        <v>#NAME?</v>
      </c>
      <c r="DN123" s="29" t="e">
        <v>#NAME?</v>
      </c>
      <c r="DO123" s="29" t="e">
        <v>#NAME?</v>
      </c>
      <c r="DP123" s="29" t="e">
        <v>#NAME?</v>
      </c>
      <c r="DQ123" s="29" t="e">
        <v>#NAME?</v>
      </c>
      <c r="DR123" s="29" t="e">
        <v>#NAME?</v>
      </c>
      <c r="DS123" s="29" t="e">
        <v>#NAME?</v>
      </c>
      <c r="DT123" s="29" t="e">
        <v>#NAME?</v>
      </c>
      <c r="DU123" s="29" t="e">
        <v>#NAME?</v>
      </c>
      <c r="DV123" s="29" t="e">
        <v>#NAME?</v>
      </c>
      <c r="DW123" s="29" t="e">
        <v>#NAME?</v>
      </c>
      <c r="DX123" s="29" t="e">
        <v>#NAME?</v>
      </c>
      <c r="DY123" s="29" t="e">
        <v>#NAME?</v>
      </c>
      <c r="DZ123" s="29" t="e">
        <v>#NAME?</v>
      </c>
      <c r="EA123" s="29" t="e">
        <v>#NAME?</v>
      </c>
      <c r="EB123" s="29" t="e">
        <v>#NAME?</v>
      </c>
      <c r="EC123" s="29" t="e">
        <v>#NAME?</v>
      </c>
      <c r="EE123" s="26"/>
      <c r="EF123" s="29"/>
      <c r="EG123" s="29"/>
      <c r="EH123" s="29"/>
      <c r="EI123" s="29"/>
      <c r="EJ123" s="29"/>
      <c r="EN123" s="30"/>
      <c r="EO123" s="31"/>
      <c r="EP123" s="32"/>
      <c r="EQ123" s="32"/>
      <c r="ER123" s="32"/>
      <c r="ES123" s="32"/>
      <c r="ET123" s="32"/>
      <c r="EU123" s="32"/>
      <c r="EV123" s="32"/>
      <c r="EW123" s="32"/>
      <c r="EX123" s="32"/>
      <c r="EY123" s="32"/>
      <c r="EZ123" s="32"/>
      <c r="FA123" s="32"/>
      <c r="FB123" s="32"/>
      <c r="FC123" s="32"/>
      <c r="FD123" s="32"/>
      <c r="FE123" s="32"/>
      <c r="FF123" s="32"/>
      <c r="FG123" s="32"/>
      <c r="FH123" s="32"/>
      <c r="FI123" s="32"/>
      <c r="FJ123" s="32"/>
      <c r="FK123" s="32"/>
      <c r="FL123" s="32"/>
      <c r="FM123" s="32"/>
      <c r="FN123" s="32"/>
      <c r="FO123" s="32"/>
      <c r="FP123" s="32"/>
      <c r="FQ123" s="32"/>
      <c r="FR123" s="32"/>
      <c r="FS123" s="32"/>
      <c r="FT123" s="32"/>
      <c r="FU123" s="32"/>
      <c r="FV123" s="32"/>
      <c r="FW123" s="32"/>
      <c r="FX123" s="33"/>
      <c r="FZ123" s="30"/>
      <c r="GA123" s="33"/>
      <c r="GB123" s="33"/>
      <c r="GC123" s="33"/>
      <c r="GD123" s="33"/>
      <c r="GE123" s="33"/>
      <c r="GG123" s="30"/>
      <c r="GH123" s="31"/>
      <c r="GI123" s="32"/>
      <c r="GJ123" s="32"/>
      <c r="GK123" s="32"/>
      <c r="GL123" s="32"/>
      <c r="GM123" s="32"/>
      <c r="GN123" s="32"/>
      <c r="GO123" s="32"/>
      <c r="GP123" s="32"/>
      <c r="GQ123" s="32"/>
      <c r="GR123" s="32"/>
      <c r="GS123" s="32"/>
      <c r="GT123" s="32"/>
      <c r="GU123" s="32"/>
      <c r="GV123" s="32"/>
      <c r="GW123" s="32"/>
      <c r="GX123" s="32"/>
      <c r="GY123" s="32"/>
      <c r="GZ123" s="32"/>
      <c r="HA123" s="32"/>
      <c r="HB123" s="32"/>
      <c r="HC123" s="32"/>
      <c r="HD123" s="32"/>
      <c r="HE123" s="32"/>
      <c r="HF123" s="32"/>
      <c r="HG123" s="32"/>
      <c r="HH123" s="32"/>
      <c r="HI123" s="32"/>
      <c r="HJ123" s="32"/>
      <c r="HK123" s="32"/>
      <c r="HL123" s="32"/>
      <c r="HM123" s="32"/>
      <c r="HN123" s="32"/>
      <c r="HO123" s="32"/>
      <c r="HP123" s="32"/>
      <c r="HQ123" s="33"/>
      <c r="HT123" s="30"/>
      <c r="HU123" s="31"/>
      <c r="HV123" s="32"/>
      <c r="HW123" s="32"/>
      <c r="HX123" s="32"/>
      <c r="HY123" s="32"/>
    </row>
    <row r="124" spans="1:233">
      <c r="A124" t="s">
        <v>140</v>
      </c>
      <c r="B124">
        <v>0</v>
      </c>
      <c r="D124" s="35" t="s">
        <v>66</v>
      </c>
      <c r="E124" s="25" t="e">
        <v>#VALUE!</v>
      </c>
      <c r="F124" s="25" t="e">
        <v>#VALUE!</v>
      </c>
      <c r="G124" s="25" t="e">
        <v>#VALUE!</v>
      </c>
      <c r="H124" s="25" t="e">
        <v>#VALUE!</v>
      </c>
      <c r="I124" s="25" t="e">
        <v>#VALUE!</v>
      </c>
      <c r="J124" s="25" t="e">
        <v>#VALUE!</v>
      </c>
      <c r="K124" s="25" t="e">
        <v>#VALUE!</v>
      </c>
      <c r="L124" s="25" t="e">
        <v>#VALUE!</v>
      </c>
      <c r="M124" s="25" t="e">
        <v>#VALUE!</v>
      </c>
      <c r="N124" s="25" t="e">
        <v>#VALUE!</v>
      </c>
      <c r="O124" s="25" t="e">
        <v>#VALUE!</v>
      </c>
      <c r="P124" s="25" t="e">
        <v>#VALUE!</v>
      </c>
      <c r="Q124" s="25" t="e">
        <v>#VALUE!</v>
      </c>
      <c r="R124" s="25" t="e">
        <v>#VALUE!</v>
      </c>
      <c r="S124" s="25" t="e">
        <v>#VALUE!</v>
      </c>
      <c r="T124" s="25" t="e">
        <v>#VALUE!</v>
      </c>
      <c r="U124" s="25" t="e">
        <v>#VALUE!</v>
      </c>
      <c r="V124" s="25" t="e">
        <v>#VALUE!</v>
      </c>
      <c r="W124" s="25" t="e">
        <v>#VALUE!</v>
      </c>
      <c r="X124" s="25" t="e">
        <v>#VALUE!</v>
      </c>
      <c r="Y124" s="25" t="e">
        <v>#VALUE!</v>
      </c>
      <c r="Z124" s="25" t="e">
        <v>#VALUE!</v>
      </c>
      <c r="AA124" s="25" t="e">
        <v>#VALUE!</v>
      </c>
      <c r="AB124" s="25" t="e">
        <v>#VALUE!</v>
      </c>
      <c r="AC124" s="25" t="e">
        <v>#VALUE!</v>
      </c>
      <c r="AD124" s="25" t="e">
        <v>#VALUE!</v>
      </c>
      <c r="AE124" s="25" t="e">
        <v>#VALUE!</v>
      </c>
      <c r="AF124" s="25" t="e">
        <v>#VALUE!</v>
      </c>
      <c r="AG124" s="25" t="e">
        <v>#VALUE!</v>
      </c>
      <c r="AH124" s="25" t="e">
        <v>#VALUE!</v>
      </c>
      <c r="AI124" s="25" t="e">
        <v>#VALUE!</v>
      </c>
      <c r="AJ124" s="25" t="e">
        <v>#VALUE!</v>
      </c>
      <c r="AK124" s="25" t="e">
        <v>#VALUE!</v>
      </c>
      <c r="AL124" s="25" t="e">
        <v>#VALUE!</v>
      </c>
      <c r="AM124" s="25" t="e">
        <v>#VALUE!</v>
      </c>
      <c r="AN124" s="25" t="e">
        <v>#NAME?</v>
      </c>
      <c r="AP124" s="35" t="s">
        <v>66</v>
      </c>
      <c r="AQ124" s="25">
        <v>0</v>
      </c>
      <c r="AR124" s="25">
        <v>0</v>
      </c>
      <c r="AS124" s="25">
        <v>0</v>
      </c>
      <c r="AT124" s="25">
        <v>0</v>
      </c>
      <c r="AU124" s="25">
        <v>0</v>
      </c>
      <c r="AW124" s="78">
        <v>0</v>
      </c>
      <c r="AX124" s="36" t="s">
        <v>67</v>
      </c>
      <c r="AY124" s="25" t="e">
        <v>#NAME?</v>
      </c>
      <c r="AZ124" s="25" t="e">
        <v>#NAME?</v>
      </c>
      <c r="BA124" s="25" t="e">
        <v>#NAME?</v>
      </c>
      <c r="BB124" s="25" t="e">
        <v>#NAME?</v>
      </c>
      <c r="BC124" s="25" t="e">
        <v>#NAME?</v>
      </c>
      <c r="BD124" s="25" t="e">
        <v>#NAME?</v>
      </c>
      <c r="BE124" s="25" t="e">
        <v>#NAME?</v>
      </c>
      <c r="BF124" s="25" t="e">
        <v>#NAME?</v>
      </c>
      <c r="BG124" s="25" t="e">
        <v>#NAME?</v>
      </c>
      <c r="BH124" s="25" t="e">
        <v>#NAME?</v>
      </c>
      <c r="BI124" s="25" t="e">
        <v>#NAME?</v>
      </c>
      <c r="BJ124" s="25" t="e">
        <v>#NAME?</v>
      </c>
      <c r="BK124" s="25" t="e">
        <v>#NAME?</v>
      </c>
      <c r="BL124" s="25" t="e">
        <v>#NAME?</v>
      </c>
      <c r="BM124" s="25" t="e">
        <v>#NAME?</v>
      </c>
      <c r="BN124" s="25" t="e">
        <v>#NAME?</v>
      </c>
      <c r="BO124" s="25" t="e">
        <v>#NAME?</v>
      </c>
      <c r="BP124" s="25" t="e">
        <v>#NAME?</v>
      </c>
      <c r="BQ124" s="25" t="e">
        <v>#NAME?</v>
      </c>
      <c r="BR124" s="25" t="e">
        <v>#NAME?</v>
      </c>
      <c r="BS124" s="25" t="e">
        <v>#NAME?</v>
      </c>
      <c r="BT124" s="25" t="e">
        <v>#NAME?</v>
      </c>
      <c r="BU124" s="25" t="e">
        <v>#NAME?</v>
      </c>
      <c r="BV124" s="25" t="e">
        <v>#NAME?</v>
      </c>
      <c r="BW124" s="25" t="e">
        <v>#NAME?</v>
      </c>
      <c r="BX124" s="25" t="e">
        <v>#NAME?</v>
      </c>
      <c r="BY124" s="25" t="e">
        <v>#NAME?</v>
      </c>
      <c r="BZ124" s="25" t="e">
        <v>#NAME?</v>
      </c>
      <c r="CA124" s="25" t="e">
        <v>#NAME?</v>
      </c>
      <c r="CB124" s="25" t="e">
        <v>#NAME?</v>
      </c>
      <c r="CC124" s="25" t="e">
        <v>#NAME?</v>
      </c>
      <c r="CD124" s="25" t="e">
        <v>#NAME?</v>
      </c>
      <c r="CE124" s="25" t="e">
        <v>#NAME?</v>
      </c>
      <c r="CF124" s="25" t="e">
        <v>#NAME?</v>
      </c>
      <c r="CG124" s="25" t="e">
        <v>#NAME?</v>
      </c>
      <c r="CH124" s="25" t="e">
        <v>#NAME?</v>
      </c>
      <c r="CK124" s="36" t="s">
        <v>67</v>
      </c>
      <c r="CL124" s="25">
        <v>0</v>
      </c>
      <c r="CM124" s="25">
        <v>0</v>
      </c>
      <c r="CN124" s="25">
        <v>0</v>
      </c>
      <c r="CO124" s="25">
        <v>0</v>
      </c>
      <c r="CP124" s="25">
        <v>0</v>
      </c>
      <c r="CR124">
        <v>0</v>
      </c>
      <c r="CS124" s="36" t="s">
        <v>68</v>
      </c>
      <c r="CT124" s="25" t="e">
        <v>#NAME?</v>
      </c>
      <c r="CU124" s="25" t="e">
        <v>#NAME?</v>
      </c>
      <c r="CV124" s="25" t="e">
        <v>#NAME?</v>
      </c>
      <c r="CW124" s="25" t="e">
        <v>#NAME?</v>
      </c>
      <c r="CX124" s="25" t="e">
        <v>#NAME?</v>
      </c>
      <c r="CY124" s="25" t="e">
        <v>#NAME?</v>
      </c>
      <c r="CZ124" s="25" t="e">
        <v>#NAME?</v>
      </c>
      <c r="DA124" s="25" t="e">
        <v>#NAME?</v>
      </c>
      <c r="DB124" s="25" t="e">
        <v>#NAME?</v>
      </c>
      <c r="DC124" s="25" t="e">
        <v>#NAME?</v>
      </c>
      <c r="DD124" s="25" t="e">
        <v>#NAME?</v>
      </c>
      <c r="DE124" s="25" t="e">
        <v>#NAME?</v>
      </c>
      <c r="DF124" s="25" t="e">
        <v>#NAME?</v>
      </c>
      <c r="DG124" s="25" t="e">
        <v>#NAME?</v>
      </c>
      <c r="DH124" s="25" t="e">
        <v>#NAME?</v>
      </c>
      <c r="DI124" s="25" t="e">
        <v>#NAME?</v>
      </c>
      <c r="DJ124" s="25" t="e">
        <v>#NAME?</v>
      </c>
      <c r="DK124" s="25" t="e">
        <v>#NAME?</v>
      </c>
      <c r="DL124" s="25" t="e">
        <v>#NAME?</v>
      </c>
      <c r="DM124" s="25" t="e">
        <v>#NAME?</v>
      </c>
      <c r="DN124" s="25" t="e">
        <v>#NAME?</v>
      </c>
      <c r="DO124" s="25" t="e">
        <v>#NAME?</v>
      </c>
      <c r="DP124" s="25" t="e">
        <v>#NAME?</v>
      </c>
      <c r="DQ124" s="25" t="e">
        <v>#NAME?</v>
      </c>
      <c r="DR124" s="25" t="e">
        <v>#NAME?</v>
      </c>
      <c r="DS124" s="25" t="e">
        <v>#NAME?</v>
      </c>
      <c r="DT124" s="25" t="e">
        <v>#NAME?</v>
      </c>
      <c r="DU124" s="25" t="e">
        <v>#NAME?</v>
      </c>
      <c r="DV124" s="25" t="e">
        <v>#NAME?</v>
      </c>
      <c r="DW124" s="25" t="e">
        <v>#NAME?</v>
      </c>
      <c r="DX124" s="25" t="e">
        <v>#NAME?</v>
      </c>
      <c r="DY124" s="25" t="e">
        <v>#NAME?</v>
      </c>
      <c r="DZ124" s="25" t="e">
        <v>#NAME?</v>
      </c>
      <c r="EA124" s="25" t="e">
        <v>#NAME?</v>
      </c>
      <c r="EB124" s="25" t="e">
        <v>#NAME?</v>
      </c>
      <c r="EC124" s="25" t="e">
        <v>#NAME?</v>
      </c>
      <c r="EE124" s="36" t="s">
        <v>68</v>
      </c>
      <c r="EF124" s="25">
        <v>0</v>
      </c>
      <c r="EG124" s="25">
        <v>0</v>
      </c>
      <c r="EH124" s="25">
        <v>0</v>
      </c>
      <c r="EI124" s="25">
        <v>0</v>
      </c>
      <c r="EJ124" s="25">
        <v>0</v>
      </c>
      <c r="EM124" s="37">
        <v>0</v>
      </c>
      <c r="EN124" s="38" t="s">
        <v>69</v>
      </c>
      <c r="EO124" s="25" t="e">
        <v>#NAME?</v>
      </c>
      <c r="EP124" s="25" t="e">
        <v>#NAME?</v>
      </c>
      <c r="EQ124" s="25" t="e">
        <v>#NAME?</v>
      </c>
      <c r="ER124" s="25" t="e">
        <v>#NAME?</v>
      </c>
      <c r="ES124" s="25" t="e">
        <v>#NAME?</v>
      </c>
      <c r="ET124" s="25" t="e">
        <v>#NAME?</v>
      </c>
      <c r="EU124" s="25" t="e">
        <v>#NAME?</v>
      </c>
      <c r="EV124" s="25" t="e">
        <v>#NAME?</v>
      </c>
      <c r="EW124" s="25" t="e">
        <v>#NAME?</v>
      </c>
      <c r="EX124" s="25" t="e">
        <v>#NAME?</v>
      </c>
      <c r="EY124" s="25" t="e">
        <v>#NAME?</v>
      </c>
      <c r="EZ124" s="25" t="e">
        <v>#NAME?</v>
      </c>
      <c r="FA124" s="25" t="e">
        <v>#NAME?</v>
      </c>
      <c r="FB124" s="25" t="e">
        <v>#NAME?</v>
      </c>
      <c r="FC124" s="25" t="e">
        <v>#NAME?</v>
      </c>
      <c r="FD124" s="25" t="e">
        <v>#NAME?</v>
      </c>
      <c r="FE124" s="25" t="e">
        <v>#NAME?</v>
      </c>
      <c r="FF124" s="25" t="e">
        <v>#NAME?</v>
      </c>
      <c r="FG124" s="25" t="e">
        <v>#NAME?</v>
      </c>
      <c r="FH124" s="25" t="e">
        <v>#NAME?</v>
      </c>
      <c r="FI124" s="25" t="e">
        <v>#NAME?</v>
      </c>
      <c r="FJ124" s="25" t="e">
        <v>#NAME?</v>
      </c>
      <c r="FK124" s="25" t="e">
        <v>#NAME?</v>
      </c>
      <c r="FL124" s="25" t="e">
        <v>#NAME?</v>
      </c>
      <c r="FM124" s="25" t="e">
        <v>#NAME?</v>
      </c>
      <c r="FN124" s="25" t="e">
        <v>#NAME?</v>
      </c>
      <c r="FO124" s="25" t="e">
        <v>#NAME?</v>
      </c>
      <c r="FP124" s="25" t="e">
        <v>#NAME?</v>
      </c>
      <c r="FQ124" s="25" t="e">
        <v>#NAME?</v>
      </c>
      <c r="FR124" s="25" t="e">
        <v>#NAME?</v>
      </c>
      <c r="FS124" s="25" t="e">
        <v>#NAME?</v>
      </c>
      <c r="FT124" s="25" t="e">
        <v>#NAME?</v>
      </c>
      <c r="FU124" s="25" t="e">
        <v>#NAME?</v>
      </c>
      <c r="FV124" s="25" t="e">
        <v>#NAME?</v>
      </c>
      <c r="FW124" s="25" t="e">
        <v>#NAME?</v>
      </c>
      <c r="FX124" s="25" t="e">
        <v>#NAME?</v>
      </c>
      <c r="FZ124" s="38" t="s">
        <v>69</v>
      </c>
      <c r="GA124" s="25">
        <v>0</v>
      </c>
      <c r="GB124" s="25">
        <v>0</v>
      </c>
      <c r="GC124" s="25">
        <v>0</v>
      </c>
      <c r="GD124" s="25">
        <v>0</v>
      </c>
      <c r="GE124" s="25">
        <v>0</v>
      </c>
      <c r="GG124" s="39" t="s">
        <v>70</v>
      </c>
      <c r="GH124" s="25" t="e">
        <v>#NAME?</v>
      </c>
      <c r="GI124" s="25" t="e">
        <v>#NAME?</v>
      </c>
      <c r="GJ124" s="25" t="e">
        <v>#NAME?</v>
      </c>
      <c r="GK124" s="25" t="e">
        <v>#NAME?</v>
      </c>
      <c r="GL124" s="25" t="e">
        <v>#NAME?</v>
      </c>
      <c r="GM124" s="25" t="e">
        <v>#NAME?</v>
      </c>
      <c r="GN124" s="25" t="e">
        <v>#NAME?</v>
      </c>
      <c r="GO124" s="25" t="e">
        <v>#NAME?</v>
      </c>
      <c r="GP124" s="25" t="e">
        <v>#NAME?</v>
      </c>
      <c r="GQ124" s="25" t="e">
        <v>#NAME?</v>
      </c>
      <c r="GR124" s="25" t="e">
        <v>#NAME?</v>
      </c>
      <c r="GS124" s="25" t="e">
        <v>#NAME?</v>
      </c>
      <c r="GT124" s="25" t="e">
        <v>#NAME?</v>
      </c>
      <c r="GU124" s="25" t="e">
        <v>#NAME?</v>
      </c>
      <c r="GV124" s="25" t="e">
        <v>#NAME?</v>
      </c>
      <c r="GW124" s="25" t="e">
        <v>#NAME?</v>
      </c>
      <c r="GX124" s="25" t="e">
        <v>#NAME?</v>
      </c>
      <c r="GY124" s="25" t="e">
        <v>#NAME?</v>
      </c>
      <c r="GZ124" s="25" t="e">
        <v>#NAME?</v>
      </c>
      <c r="HA124" s="25" t="e">
        <v>#NAME?</v>
      </c>
      <c r="HB124" s="25" t="e">
        <v>#NAME?</v>
      </c>
      <c r="HC124" s="25" t="e">
        <v>#NAME?</v>
      </c>
      <c r="HD124" s="25" t="e">
        <v>#NAME?</v>
      </c>
      <c r="HE124" s="25" t="e">
        <v>#NAME?</v>
      </c>
      <c r="HF124" s="25" t="e">
        <v>#NAME?</v>
      </c>
      <c r="HG124" s="25" t="e">
        <v>#NAME?</v>
      </c>
      <c r="HH124" s="25" t="e">
        <v>#NAME?</v>
      </c>
      <c r="HI124" s="25" t="e">
        <v>#NAME?</v>
      </c>
      <c r="HJ124" s="25" t="e">
        <v>#NAME?</v>
      </c>
      <c r="HK124" s="25" t="e">
        <v>#NAME?</v>
      </c>
      <c r="HL124" s="25" t="e">
        <v>#NAME?</v>
      </c>
      <c r="HM124" s="25" t="e">
        <v>#NAME?</v>
      </c>
      <c r="HN124" s="25" t="e">
        <v>#NAME?</v>
      </c>
      <c r="HO124" s="25" t="e">
        <v>#NAME?</v>
      </c>
      <c r="HP124" s="25" t="e">
        <v>#NAME?</v>
      </c>
      <c r="HQ124" s="25" t="e">
        <v>#NAME?</v>
      </c>
      <c r="HT124" s="39" t="s">
        <v>70</v>
      </c>
      <c r="HU124" s="25">
        <v>0</v>
      </c>
      <c r="HV124" s="25">
        <v>0</v>
      </c>
      <c r="HW124" s="25">
        <v>0</v>
      </c>
      <c r="HX124" s="25">
        <v>0</v>
      </c>
      <c r="HY124" s="25">
        <v>0</v>
      </c>
    </row>
    <row r="125" spans="1:233">
      <c r="A125" t="s">
        <v>140</v>
      </c>
      <c r="B125">
        <v>0</v>
      </c>
      <c r="D125" s="40" t="s">
        <v>71</v>
      </c>
      <c r="E125" s="25" t="e">
        <v>#VALUE!</v>
      </c>
      <c r="F125" s="25" t="e">
        <v>#VALUE!</v>
      </c>
      <c r="G125" s="25" t="e">
        <v>#VALUE!</v>
      </c>
      <c r="H125" s="25" t="e">
        <v>#VALUE!</v>
      </c>
      <c r="I125" s="25" t="e">
        <v>#VALUE!</v>
      </c>
      <c r="J125" s="25" t="e">
        <v>#VALUE!</v>
      </c>
      <c r="K125" s="25" t="e">
        <v>#VALUE!</v>
      </c>
      <c r="L125" s="25" t="e">
        <v>#VALUE!</v>
      </c>
      <c r="M125" s="25" t="e">
        <v>#VALUE!</v>
      </c>
      <c r="N125" s="25" t="e">
        <v>#VALUE!</v>
      </c>
      <c r="O125" s="25" t="e">
        <v>#VALUE!</v>
      </c>
      <c r="P125" s="25" t="e">
        <v>#VALUE!</v>
      </c>
      <c r="Q125" s="25" t="e">
        <v>#VALUE!</v>
      </c>
      <c r="R125" s="25" t="e">
        <v>#VALUE!</v>
      </c>
      <c r="S125" s="25" t="e">
        <v>#VALUE!</v>
      </c>
      <c r="T125" s="25" t="e">
        <v>#VALUE!</v>
      </c>
      <c r="U125" s="25" t="e">
        <v>#VALUE!</v>
      </c>
      <c r="V125" s="25" t="e">
        <v>#VALUE!</v>
      </c>
      <c r="W125" s="25" t="e">
        <v>#VALUE!</v>
      </c>
      <c r="X125" s="25" t="e">
        <v>#VALUE!</v>
      </c>
      <c r="Y125" s="25" t="e">
        <v>#VALUE!</v>
      </c>
      <c r="Z125" s="25" t="e">
        <v>#VALUE!</v>
      </c>
      <c r="AA125" s="25" t="e">
        <v>#VALUE!</v>
      </c>
      <c r="AB125" s="25" t="e">
        <v>#VALUE!</v>
      </c>
      <c r="AC125" s="25" t="e">
        <v>#VALUE!</v>
      </c>
      <c r="AD125" s="25" t="e">
        <v>#VALUE!</v>
      </c>
      <c r="AE125" s="25" t="e">
        <v>#VALUE!</v>
      </c>
      <c r="AF125" s="25" t="e">
        <v>#VALUE!</v>
      </c>
      <c r="AG125" s="25" t="e">
        <v>#VALUE!</v>
      </c>
      <c r="AH125" s="25" t="e">
        <v>#VALUE!</v>
      </c>
      <c r="AI125" s="25" t="e">
        <v>#VALUE!</v>
      </c>
      <c r="AJ125" s="25" t="e">
        <v>#VALUE!</v>
      </c>
      <c r="AK125" s="25" t="e">
        <v>#VALUE!</v>
      </c>
      <c r="AL125" s="25" t="e">
        <v>#VALUE!</v>
      </c>
      <c r="AM125" s="25" t="e">
        <v>#VALUE!</v>
      </c>
      <c r="AN125" s="25" t="e">
        <v>#NAME?</v>
      </c>
      <c r="AP125" s="40" t="s">
        <v>71</v>
      </c>
      <c r="AQ125" s="25">
        <v>0</v>
      </c>
      <c r="AR125" s="25">
        <v>0</v>
      </c>
      <c r="AS125" s="25">
        <v>0</v>
      </c>
      <c r="AT125" s="25">
        <v>0</v>
      </c>
      <c r="AU125" s="25">
        <v>0</v>
      </c>
      <c r="AW125" s="78">
        <v>0</v>
      </c>
      <c r="AX125" s="36" t="s">
        <v>72</v>
      </c>
      <c r="AY125" s="25" t="e">
        <v>#NAME?</v>
      </c>
      <c r="AZ125" s="25" t="e">
        <v>#NAME?</v>
      </c>
      <c r="BA125" s="25" t="e">
        <v>#NAME?</v>
      </c>
      <c r="BB125" s="25" t="e">
        <v>#NAME?</v>
      </c>
      <c r="BC125" s="25" t="e">
        <v>#NAME?</v>
      </c>
      <c r="BD125" s="25" t="e">
        <v>#NAME?</v>
      </c>
      <c r="BE125" s="25" t="e">
        <v>#NAME?</v>
      </c>
      <c r="BF125" s="25" t="e">
        <v>#NAME?</v>
      </c>
      <c r="BG125" s="25" t="e">
        <v>#NAME?</v>
      </c>
      <c r="BH125" s="25" t="e">
        <v>#NAME?</v>
      </c>
      <c r="BI125" s="25" t="e">
        <v>#NAME?</v>
      </c>
      <c r="BJ125" s="25" t="e">
        <v>#NAME?</v>
      </c>
      <c r="BK125" s="25" t="e">
        <v>#NAME?</v>
      </c>
      <c r="BL125" s="25" t="e">
        <v>#NAME?</v>
      </c>
      <c r="BM125" s="25" t="e">
        <v>#NAME?</v>
      </c>
      <c r="BN125" s="25" t="e">
        <v>#NAME?</v>
      </c>
      <c r="BO125" s="25" t="e">
        <v>#NAME?</v>
      </c>
      <c r="BP125" s="25" t="e">
        <v>#NAME?</v>
      </c>
      <c r="BQ125" s="25" t="e">
        <v>#NAME?</v>
      </c>
      <c r="BR125" s="25" t="e">
        <v>#NAME?</v>
      </c>
      <c r="BS125" s="25" t="e">
        <v>#NAME?</v>
      </c>
      <c r="BT125" s="25" t="e">
        <v>#NAME?</v>
      </c>
      <c r="BU125" s="25" t="e">
        <v>#NAME?</v>
      </c>
      <c r="BV125" s="25" t="e">
        <v>#NAME?</v>
      </c>
      <c r="BW125" s="25" t="e">
        <v>#NAME?</v>
      </c>
      <c r="BX125" s="25" t="e">
        <v>#NAME?</v>
      </c>
      <c r="BY125" s="25" t="e">
        <v>#NAME?</v>
      </c>
      <c r="BZ125" s="25" t="e">
        <v>#NAME?</v>
      </c>
      <c r="CA125" s="25" t="e">
        <v>#NAME?</v>
      </c>
      <c r="CB125" s="25" t="e">
        <v>#NAME?</v>
      </c>
      <c r="CC125" s="25" t="e">
        <v>#NAME?</v>
      </c>
      <c r="CD125" s="25" t="e">
        <v>#NAME?</v>
      </c>
      <c r="CE125" s="25" t="e">
        <v>#NAME?</v>
      </c>
      <c r="CF125" s="25" t="e">
        <v>#NAME?</v>
      </c>
      <c r="CG125" s="25" t="e">
        <v>#NAME?</v>
      </c>
      <c r="CH125" s="25" t="e">
        <v>#NAME?</v>
      </c>
      <c r="CK125" s="36" t="s">
        <v>72</v>
      </c>
      <c r="CL125" s="25">
        <v>0</v>
      </c>
      <c r="CM125" s="25">
        <v>0</v>
      </c>
      <c r="CN125" s="25">
        <v>0</v>
      </c>
      <c r="CO125" s="25">
        <v>0</v>
      </c>
      <c r="CP125" s="25">
        <v>0</v>
      </c>
      <c r="CR125">
        <v>0</v>
      </c>
      <c r="CS125" s="36" t="s">
        <v>73</v>
      </c>
      <c r="CT125" s="25" t="e">
        <v>#NAME?</v>
      </c>
      <c r="CU125" s="25" t="e">
        <v>#NAME?</v>
      </c>
      <c r="CV125" s="25" t="e">
        <v>#NAME?</v>
      </c>
      <c r="CW125" s="25" t="e">
        <v>#NAME?</v>
      </c>
      <c r="CX125" s="25" t="e">
        <v>#NAME?</v>
      </c>
      <c r="CY125" s="25" t="e">
        <v>#NAME?</v>
      </c>
      <c r="CZ125" s="25" t="e">
        <v>#NAME?</v>
      </c>
      <c r="DA125" s="25" t="e">
        <v>#NAME?</v>
      </c>
      <c r="DB125" s="25" t="e">
        <v>#NAME?</v>
      </c>
      <c r="DC125" s="25" t="e">
        <v>#NAME?</v>
      </c>
      <c r="DD125" s="25" t="e">
        <v>#NAME?</v>
      </c>
      <c r="DE125" s="25" t="e">
        <v>#NAME?</v>
      </c>
      <c r="DF125" s="25" t="e">
        <v>#NAME?</v>
      </c>
      <c r="DG125" s="25" t="e">
        <v>#NAME?</v>
      </c>
      <c r="DH125" s="25" t="e">
        <v>#NAME?</v>
      </c>
      <c r="DI125" s="25" t="e">
        <v>#NAME?</v>
      </c>
      <c r="DJ125" s="25" t="e">
        <v>#NAME?</v>
      </c>
      <c r="DK125" s="25" t="e">
        <v>#NAME?</v>
      </c>
      <c r="DL125" s="25" t="e">
        <v>#NAME?</v>
      </c>
      <c r="DM125" s="25" t="e">
        <v>#NAME?</v>
      </c>
      <c r="DN125" s="25" t="e">
        <v>#NAME?</v>
      </c>
      <c r="DO125" s="25" t="e">
        <v>#NAME?</v>
      </c>
      <c r="DP125" s="25" t="e">
        <v>#NAME?</v>
      </c>
      <c r="DQ125" s="25" t="e">
        <v>#NAME?</v>
      </c>
      <c r="DR125" s="25" t="e">
        <v>#NAME?</v>
      </c>
      <c r="DS125" s="25" t="e">
        <v>#NAME?</v>
      </c>
      <c r="DT125" s="25" t="e">
        <v>#NAME?</v>
      </c>
      <c r="DU125" s="25" t="e">
        <v>#NAME?</v>
      </c>
      <c r="DV125" s="25" t="e">
        <v>#NAME?</v>
      </c>
      <c r="DW125" s="25" t="e">
        <v>#NAME?</v>
      </c>
      <c r="DX125" s="25" t="e">
        <v>#NAME?</v>
      </c>
      <c r="DY125" s="25" t="e">
        <v>#NAME?</v>
      </c>
      <c r="DZ125" s="25" t="e">
        <v>#NAME?</v>
      </c>
      <c r="EA125" s="25" t="e">
        <v>#NAME?</v>
      </c>
      <c r="EB125" s="25" t="e">
        <v>#NAME?</v>
      </c>
      <c r="EC125" s="25" t="e">
        <v>#NAME?</v>
      </c>
      <c r="EE125" s="36" t="s">
        <v>73</v>
      </c>
      <c r="EF125" s="25">
        <v>0</v>
      </c>
      <c r="EG125" s="25">
        <v>0</v>
      </c>
      <c r="EH125" s="25">
        <v>0</v>
      </c>
      <c r="EI125" s="25">
        <v>0</v>
      </c>
      <c r="EJ125" s="25">
        <v>0</v>
      </c>
      <c r="EM125" s="37">
        <v>0</v>
      </c>
      <c r="EN125" s="36" t="s">
        <v>74</v>
      </c>
      <c r="EO125" s="25" t="e">
        <v>#NAME?</v>
      </c>
      <c r="EP125" s="25" t="e">
        <v>#NAME?</v>
      </c>
      <c r="EQ125" s="25" t="e">
        <v>#NAME?</v>
      </c>
      <c r="ER125" s="25" t="e">
        <v>#NAME?</v>
      </c>
      <c r="ES125" s="25" t="e">
        <v>#NAME?</v>
      </c>
      <c r="ET125" s="25" t="e">
        <v>#NAME?</v>
      </c>
      <c r="EU125" s="25" t="e">
        <v>#NAME?</v>
      </c>
      <c r="EV125" s="25" t="e">
        <v>#NAME?</v>
      </c>
      <c r="EW125" s="25" t="e">
        <v>#NAME?</v>
      </c>
      <c r="EX125" s="25" t="e">
        <v>#NAME?</v>
      </c>
      <c r="EY125" s="25" t="e">
        <v>#NAME?</v>
      </c>
      <c r="EZ125" s="25" t="e">
        <v>#NAME?</v>
      </c>
      <c r="FA125" s="25" t="e">
        <v>#NAME?</v>
      </c>
      <c r="FB125" s="25" t="e">
        <v>#NAME?</v>
      </c>
      <c r="FC125" s="25" t="e">
        <v>#NAME?</v>
      </c>
      <c r="FD125" s="25" t="e">
        <v>#NAME?</v>
      </c>
      <c r="FE125" s="25" t="e">
        <v>#NAME?</v>
      </c>
      <c r="FF125" s="25" t="e">
        <v>#NAME?</v>
      </c>
      <c r="FG125" s="25" t="e">
        <v>#NAME?</v>
      </c>
      <c r="FH125" s="25" t="e">
        <v>#NAME?</v>
      </c>
      <c r="FI125" s="25" t="e">
        <v>#NAME?</v>
      </c>
      <c r="FJ125" s="25" t="e">
        <v>#NAME?</v>
      </c>
      <c r="FK125" s="25" t="e">
        <v>#NAME?</v>
      </c>
      <c r="FL125" s="25" t="e">
        <v>#NAME?</v>
      </c>
      <c r="FM125" s="25" t="e">
        <v>#NAME?</v>
      </c>
      <c r="FN125" s="25" t="e">
        <v>#NAME?</v>
      </c>
      <c r="FO125" s="25" t="e">
        <v>#NAME?</v>
      </c>
      <c r="FP125" s="25" t="e">
        <v>#NAME?</v>
      </c>
      <c r="FQ125" s="25" t="e">
        <v>#NAME?</v>
      </c>
      <c r="FR125" s="25" t="e">
        <v>#NAME?</v>
      </c>
      <c r="FS125" s="25" t="e">
        <v>#NAME?</v>
      </c>
      <c r="FT125" s="25" t="e">
        <v>#NAME?</v>
      </c>
      <c r="FU125" s="25" t="e">
        <v>#NAME?</v>
      </c>
      <c r="FV125" s="25" t="e">
        <v>#NAME?</v>
      </c>
      <c r="FW125" s="25" t="e">
        <v>#NAME?</v>
      </c>
      <c r="FX125" s="25" t="e">
        <v>#NAME?</v>
      </c>
      <c r="FZ125" s="36" t="s">
        <v>74</v>
      </c>
      <c r="GA125" s="25">
        <v>0</v>
      </c>
      <c r="GB125" s="25">
        <v>0</v>
      </c>
      <c r="GC125" s="25">
        <v>0</v>
      </c>
      <c r="GD125" s="25">
        <v>0</v>
      </c>
      <c r="GE125" s="25">
        <v>0</v>
      </c>
      <c r="GG125" s="41" t="s">
        <v>75</v>
      </c>
      <c r="GH125" s="25" t="e">
        <v>#NAME?</v>
      </c>
      <c r="GI125" s="25" t="e">
        <v>#NAME?</v>
      </c>
      <c r="GJ125" s="25" t="e">
        <v>#NAME?</v>
      </c>
      <c r="GK125" s="25" t="e">
        <v>#NAME?</v>
      </c>
      <c r="GL125" s="25" t="e">
        <v>#NAME?</v>
      </c>
      <c r="GM125" s="25" t="e">
        <v>#NAME?</v>
      </c>
      <c r="GN125" s="25" t="e">
        <v>#NAME?</v>
      </c>
      <c r="GO125" s="25" t="e">
        <v>#NAME?</v>
      </c>
      <c r="GP125" s="25" t="e">
        <v>#NAME?</v>
      </c>
      <c r="GQ125" s="25" t="e">
        <v>#NAME?</v>
      </c>
      <c r="GR125" s="25" t="e">
        <v>#NAME?</v>
      </c>
      <c r="GS125" s="25" t="e">
        <v>#NAME?</v>
      </c>
      <c r="GT125" s="25" t="e">
        <v>#NAME?</v>
      </c>
      <c r="GU125" s="25" t="e">
        <v>#NAME?</v>
      </c>
      <c r="GV125" s="25" t="e">
        <v>#NAME?</v>
      </c>
      <c r="GW125" s="25" t="e">
        <v>#NAME?</v>
      </c>
      <c r="GX125" s="25" t="e">
        <v>#NAME?</v>
      </c>
      <c r="GY125" s="25" t="e">
        <v>#NAME?</v>
      </c>
      <c r="GZ125" s="25" t="e">
        <v>#NAME?</v>
      </c>
      <c r="HA125" s="25" t="e">
        <v>#NAME?</v>
      </c>
      <c r="HB125" s="25" t="e">
        <v>#NAME?</v>
      </c>
      <c r="HC125" s="25" t="e">
        <v>#NAME?</v>
      </c>
      <c r="HD125" s="25" t="e">
        <v>#NAME?</v>
      </c>
      <c r="HE125" s="25" t="e">
        <v>#NAME?</v>
      </c>
      <c r="HF125" s="25" t="e">
        <v>#NAME?</v>
      </c>
      <c r="HG125" s="25" t="e">
        <v>#NAME?</v>
      </c>
      <c r="HH125" s="25" t="e">
        <v>#NAME?</v>
      </c>
      <c r="HI125" s="25" t="e">
        <v>#NAME?</v>
      </c>
      <c r="HJ125" s="25" t="e">
        <v>#NAME?</v>
      </c>
      <c r="HK125" s="25" t="e">
        <v>#NAME?</v>
      </c>
      <c r="HL125" s="25" t="e">
        <v>#NAME?</v>
      </c>
      <c r="HM125" s="25" t="e">
        <v>#NAME?</v>
      </c>
      <c r="HN125" s="25" t="e">
        <v>#NAME?</v>
      </c>
      <c r="HO125" s="25" t="e">
        <v>#NAME?</v>
      </c>
      <c r="HP125" s="25" t="e">
        <v>#NAME?</v>
      </c>
      <c r="HQ125" s="25" t="e">
        <v>#NAME?</v>
      </c>
      <c r="HT125" s="41" t="s">
        <v>75</v>
      </c>
      <c r="HU125" s="25">
        <v>0</v>
      </c>
      <c r="HV125" s="25">
        <v>0</v>
      </c>
      <c r="HW125" s="25">
        <v>0</v>
      </c>
      <c r="HX125" s="25">
        <v>0</v>
      </c>
      <c r="HY125" s="25">
        <v>0</v>
      </c>
    </row>
    <row r="126" spans="1:233">
      <c r="A126" t="s">
        <v>140</v>
      </c>
      <c r="B126">
        <v>0</v>
      </c>
      <c r="D126" s="40" t="s">
        <v>76</v>
      </c>
      <c r="E126" s="25" t="e">
        <v>#VALUE!</v>
      </c>
      <c r="F126" s="25" t="e">
        <v>#VALUE!</v>
      </c>
      <c r="G126" s="25" t="e">
        <v>#VALUE!</v>
      </c>
      <c r="H126" s="25" t="e">
        <v>#VALUE!</v>
      </c>
      <c r="I126" s="25" t="e">
        <v>#VALUE!</v>
      </c>
      <c r="J126" s="25" t="e">
        <v>#VALUE!</v>
      </c>
      <c r="K126" s="25" t="e">
        <v>#VALUE!</v>
      </c>
      <c r="L126" s="25" t="e">
        <v>#VALUE!</v>
      </c>
      <c r="M126" s="25" t="e">
        <v>#VALUE!</v>
      </c>
      <c r="N126" s="25" t="e">
        <v>#VALUE!</v>
      </c>
      <c r="O126" s="25" t="e">
        <v>#VALUE!</v>
      </c>
      <c r="P126" s="25" t="e">
        <v>#VALUE!</v>
      </c>
      <c r="Q126" s="25" t="e">
        <v>#VALUE!</v>
      </c>
      <c r="R126" s="25" t="e">
        <v>#VALUE!</v>
      </c>
      <c r="S126" s="25" t="e">
        <v>#VALUE!</v>
      </c>
      <c r="T126" s="25" t="e">
        <v>#VALUE!</v>
      </c>
      <c r="U126" s="25" t="e">
        <v>#VALUE!</v>
      </c>
      <c r="V126" s="25" t="e">
        <v>#VALUE!</v>
      </c>
      <c r="W126" s="25" t="e">
        <v>#VALUE!</v>
      </c>
      <c r="X126" s="25" t="e">
        <v>#VALUE!</v>
      </c>
      <c r="Y126" s="25" t="e">
        <v>#VALUE!</v>
      </c>
      <c r="Z126" s="25" t="e">
        <v>#VALUE!</v>
      </c>
      <c r="AA126" s="25" t="e">
        <v>#VALUE!</v>
      </c>
      <c r="AB126" s="25" t="e">
        <v>#VALUE!</v>
      </c>
      <c r="AC126" s="25" t="e">
        <v>#VALUE!</v>
      </c>
      <c r="AD126" s="25" t="e">
        <v>#VALUE!</v>
      </c>
      <c r="AE126" s="25" t="e">
        <v>#VALUE!</v>
      </c>
      <c r="AF126" s="25" t="e">
        <v>#VALUE!</v>
      </c>
      <c r="AG126" s="25" t="e">
        <v>#VALUE!</v>
      </c>
      <c r="AH126" s="25" t="e">
        <v>#VALUE!</v>
      </c>
      <c r="AI126" s="25" t="e">
        <v>#VALUE!</v>
      </c>
      <c r="AJ126" s="25" t="e">
        <v>#VALUE!</v>
      </c>
      <c r="AK126" s="25" t="e">
        <v>#VALUE!</v>
      </c>
      <c r="AL126" s="25" t="e">
        <v>#VALUE!</v>
      </c>
      <c r="AM126" s="25" t="e">
        <v>#VALUE!</v>
      </c>
      <c r="AN126" s="25" t="e">
        <v>#NAME?</v>
      </c>
      <c r="AP126" s="40" t="s">
        <v>76</v>
      </c>
      <c r="AQ126" s="25">
        <v>0</v>
      </c>
      <c r="AR126" s="25">
        <v>0</v>
      </c>
      <c r="AS126" s="25">
        <v>0</v>
      </c>
      <c r="AT126" s="25">
        <v>0</v>
      </c>
      <c r="AU126" s="25">
        <v>0</v>
      </c>
      <c r="AW126" s="78">
        <v>0</v>
      </c>
      <c r="AX126" s="42" t="s">
        <v>77</v>
      </c>
      <c r="AY126" s="25" t="e">
        <v>#NAME?</v>
      </c>
      <c r="AZ126" s="25" t="e">
        <v>#NAME?</v>
      </c>
      <c r="BA126" s="25" t="e">
        <v>#NAME?</v>
      </c>
      <c r="BB126" s="25" t="e">
        <v>#NAME?</v>
      </c>
      <c r="BC126" s="25" t="e">
        <v>#NAME?</v>
      </c>
      <c r="BD126" s="25" t="e">
        <v>#NAME?</v>
      </c>
      <c r="BE126" s="25" t="e">
        <v>#NAME?</v>
      </c>
      <c r="BF126" s="25" t="e">
        <v>#NAME?</v>
      </c>
      <c r="BG126" s="25" t="e">
        <v>#NAME?</v>
      </c>
      <c r="BH126" s="25" t="e">
        <v>#NAME?</v>
      </c>
      <c r="BI126" s="25" t="e">
        <v>#NAME?</v>
      </c>
      <c r="BJ126" s="25" t="e">
        <v>#NAME?</v>
      </c>
      <c r="BK126" s="25" t="e">
        <v>#NAME?</v>
      </c>
      <c r="BL126" s="25" t="e">
        <v>#NAME?</v>
      </c>
      <c r="BM126" s="25" t="e">
        <v>#NAME?</v>
      </c>
      <c r="BN126" s="25" t="e">
        <v>#NAME?</v>
      </c>
      <c r="BO126" s="25" t="e">
        <v>#NAME?</v>
      </c>
      <c r="BP126" s="25" t="e">
        <v>#NAME?</v>
      </c>
      <c r="BQ126" s="25" t="e">
        <v>#NAME?</v>
      </c>
      <c r="BR126" s="25" t="e">
        <v>#NAME?</v>
      </c>
      <c r="BS126" s="25" t="e">
        <v>#NAME?</v>
      </c>
      <c r="BT126" s="25" t="e">
        <v>#NAME?</v>
      </c>
      <c r="BU126" s="25" t="e">
        <v>#NAME?</v>
      </c>
      <c r="BV126" s="25" t="e">
        <v>#NAME?</v>
      </c>
      <c r="BW126" s="25" t="e">
        <v>#NAME?</v>
      </c>
      <c r="BX126" s="25" t="e">
        <v>#NAME?</v>
      </c>
      <c r="BY126" s="25" t="e">
        <v>#NAME?</v>
      </c>
      <c r="BZ126" s="25" t="e">
        <v>#NAME?</v>
      </c>
      <c r="CA126" s="25" t="e">
        <v>#NAME?</v>
      </c>
      <c r="CB126" s="25" t="e">
        <v>#NAME?</v>
      </c>
      <c r="CC126" s="25" t="e">
        <v>#NAME?</v>
      </c>
      <c r="CD126" s="25" t="e">
        <v>#NAME?</v>
      </c>
      <c r="CE126" s="25" t="e">
        <v>#NAME?</v>
      </c>
      <c r="CF126" s="25" t="e">
        <v>#NAME?</v>
      </c>
      <c r="CG126" s="25" t="e">
        <v>#NAME?</v>
      </c>
      <c r="CH126" s="25" t="e">
        <v>#NAME?</v>
      </c>
      <c r="CK126" s="42" t="s">
        <v>77</v>
      </c>
      <c r="CL126" s="25">
        <v>0</v>
      </c>
      <c r="CM126" s="25">
        <v>0</v>
      </c>
      <c r="CN126" s="25">
        <v>0</v>
      </c>
      <c r="CO126" s="25">
        <v>0</v>
      </c>
      <c r="CP126" s="25">
        <v>0</v>
      </c>
      <c r="CR126">
        <v>0</v>
      </c>
      <c r="CS126" s="43" t="s">
        <v>78</v>
      </c>
      <c r="CT126" s="51" t="e">
        <v>#NAME?</v>
      </c>
      <c r="CU126" s="51" t="e">
        <v>#NAME?</v>
      </c>
      <c r="CV126" s="51" t="e">
        <v>#NAME?</v>
      </c>
      <c r="CW126" s="51" t="e">
        <v>#NAME?</v>
      </c>
      <c r="CX126" s="51" t="e">
        <v>#NAME?</v>
      </c>
      <c r="CY126" s="51" t="e">
        <v>#NAME?</v>
      </c>
      <c r="CZ126" s="51" t="e">
        <v>#NAME?</v>
      </c>
      <c r="DA126" s="51" t="e">
        <v>#NAME?</v>
      </c>
      <c r="DB126" s="51" t="e">
        <v>#NAME?</v>
      </c>
      <c r="DC126" s="51" t="e">
        <v>#NAME?</v>
      </c>
      <c r="DD126" s="51" t="e">
        <v>#NAME?</v>
      </c>
      <c r="DE126" s="51" t="e">
        <v>#NAME?</v>
      </c>
      <c r="DF126" s="51" t="e">
        <v>#NAME?</v>
      </c>
      <c r="DG126" s="51" t="e">
        <v>#NAME?</v>
      </c>
      <c r="DH126" s="51" t="e">
        <v>#NAME?</v>
      </c>
      <c r="DI126" s="51" t="e">
        <v>#NAME?</v>
      </c>
      <c r="DJ126" s="51" t="e">
        <v>#NAME?</v>
      </c>
      <c r="DK126" s="51" t="e">
        <v>#NAME?</v>
      </c>
      <c r="DL126" s="51" t="e">
        <v>#NAME?</v>
      </c>
      <c r="DM126" s="51" t="e">
        <v>#NAME?</v>
      </c>
      <c r="DN126" s="51" t="e">
        <v>#NAME?</v>
      </c>
      <c r="DO126" s="51" t="e">
        <v>#NAME?</v>
      </c>
      <c r="DP126" s="51" t="e">
        <v>#NAME?</v>
      </c>
      <c r="DQ126" s="51" t="e">
        <v>#NAME?</v>
      </c>
      <c r="DR126" s="51" t="e">
        <v>#NAME?</v>
      </c>
      <c r="DS126" s="51" t="e">
        <v>#NAME?</v>
      </c>
      <c r="DT126" s="51" t="e">
        <v>#NAME?</v>
      </c>
      <c r="DU126" s="51" t="e">
        <v>#NAME?</v>
      </c>
      <c r="DV126" s="51" t="e">
        <v>#NAME?</v>
      </c>
      <c r="DW126" s="51" t="e">
        <v>#NAME?</v>
      </c>
      <c r="DX126" s="51" t="e">
        <v>#NAME?</v>
      </c>
      <c r="DY126" s="51" t="e">
        <v>#NAME?</v>
      </c>
      <c r="DZ126" s="51" t="e">
        <v>#NAME?</v>
      </c>
      <c r="EA126" s="51" t="e">
        <v>#NAME?</v>
      </c>
      <c r="EB126" s="51" t="e">
        <v>#NAME?</v>
      </c>
      <c r="EC126" s="51" t="e">
        <v>#NAME?</v>
      </c>
      <c r="EE126" s="43" t="s">
        <v>78</v>
      </c>
      <c r="EF126" s="51">
        <v>0</v>
      </c>
      <c r="EG126" s="51">
        <v>0</v>
      </c>
      <c r="EH126" s="51">
        <v>0</v>
      </c>
      <c r="EI126" s="51">
        <v>0</v>
      </c>
      <c r="EJ126" s="51">
        <v>0</v>
      </c>
      <c r="EM126" s="37">
        <v>0</v>
      </c>
      <c r="EN126" s="36" t="s">
        <v>79</v>
      </c>
      <c r="EO126" s="25" t="e">
        <v>#NAME?</v>
      </c>
      <c r="EP126" s="25" t="e">
        <v>#NAME?</v>
      </c>
      <c r="EQ126" s="25" t="e">
        <v>#NAME?</v>
      </c>
      <c r="ER126" s="25" t="e">
        <v>#NAME?</v>
      </c>
      <c r="ES126" s="25" t="e">
        <v>#NAME?</v>
      </c>
      <c r="ET126" s="25" t="e">
        <v>#NAME?</v>
      </c>
      <c r="EU126" s="25" t="e">
        <v>#NAME?</v>
      </c>
      <c r="EV126" s="25" t="e">
        <v>#NAME?</v>
      </c>
      <c r="EW126" s="25" t="e">
        <v>#NAME?</v>
      </c>
      <c r="EX126" s="25" t="e">
        <v>#NAME?</v>
      </c>
      <c r="EY126" s="25" t="e">
        <v>#NAME?</v>
      </c>
      <c r="EZ126" s="25" t="e">
        <v>#NAME?</v>
      </c>
      <c r="FA126" s="25" t="e">
        <v>#NAME?</v>
      </c>
      <c r="FB126" s="25" t="e">
        <v>#NAME?</v>
      </c>
      <c r="FC126" s="25" t="e">
        <v>#NAME?</v>
      </c>
      <c r="FD126" s="25" t="e">
        <v>#NAME?</v>
      </c>
      <c r="FE126" s="25" t="e">
        <v>#NAME?</v>
      </c>
      <c r="FF126" s="25" t="e">
        <v>#NAME?</v>
      </c>
      <c r="FG126" s="25" t="e">
        <v>#NAME?</v>
      </c>
      <c r="FH126" s="25" t="e">
        <v>#NAME?</v>
      </c>
      <c r="FI126" s="25" t="e">
        <v>#NAME?</v>
      </c>
      <c r="FJ126" s="25" t="e">
        <v>#NAME?</v>
      </c>
      <c r="FK126" s="25" t="e">
        <v>#NAME?</v>
      </c>
      <c r="FL126" s="25" t="e">
        <v>#NAME?</v>
      </c>
      <c r="FM126" s="25" t="e">
        <v>#NAME?</v>
      </c>
      <c r="FN126" s="25" t="e">
        <v>#NAME?</v>
      </c>
      <c r="FO126" s="25" t="e">
        <v>#NAME?</v>
      </c>
      <c r="FP126" s="25" t="e">
        <v>#NAME?</v>
      </c>
      <c r="FQ126" s="25" t="e">
        <v>#NAME?</v>
      </c>
      <c r="FR126" s="25" t="e">
        <v>#NAME?</v>
      </c>
      <c r="FS126" s="25" t="e">
        <v>#NAME?</v>
      </c>
      <c r="FT126" s="25" t="e">
        <v>#NAME?</v>
      </c>
      <c r="FU126" s="25" t="e">
        <v>#NAME?</v>
      </c>
      <c r="FV126" s="25" t="e">
        <v>#NAME?</v>
      </c>
      <c r="FW126" s="25" t="e">
        <v>#NAME?</v>
      </c>
      <c r="FX126" s="25" t="e">
        <v>#NAME?</v>
      </c>
      <c r="FZ126" s="36" t="s">
        <v>79</v>
      </c>
      <c r="GA126" s="25">
        <v>0</v>
      </c>
      <c r="GB126" s="25">
        <v>0</v>
      </c>
      <c r="GC126" s="25">
        <v>0</v>
      </c>
      <c r="GD126" s="25">
        <v>0</v>
      </c>
      <c r="GE126" s="25">
        <v>0</v>
      </c>
      <c r="GG126" s="44" t="s">
        <v>80</v>
      </c>
      <c r="GH126" s="25" t="e">
        <v>#NAME?</v>
      </c>
      <c r="GI126" s="25" t="e">
        <v>#NAME?</v>
      </c>
      <c r="GJ126" s="25" t="e">
        <v>#NAME?</v>
      </c>
      <c r="GK126" s="25" t="e">
        <v>#NAME?</v>
      </c>
      <c r="GL126" s="25" t="e">
        <v>#NAME?</v>
      </c>
      <c r="GM126" s="25" t="e">
        <v>#NAME?</v>
      </c>
      <c r="GN126" s="25" t="e">
        <v>#NAME?</v>
      </c>
      <c r="GO126" s="25" t="e">
        <v>#NAME?</v>
      </c>
      <c r="GP126" s="25" t="e">
        <v>#NAME?</v>
      </c>
      <c r="GQ126" s="25" t="e">
        <v>#NAME?</v>
      </c>
      <c r="GR126" s="25" t="e">
        <v>#NAME?</v>
      </c>
      <c r="GS126" s="25" t="e">
        <v>#NAME?</v>
      </c>
      <c r="GT126" s="25" t="e">
        <v>#NAME?</v>
      </c>
      <c r="GU126" s="25" t="e">
        <v>#NAME?</v>
      </c>
      <c r="GV126" s="25" t="e">
        <v>#NAME?</v>
      </c>
      <c r="GW126" s="25" t="e">
        <v>#NAME?</v>
      </c>
      <c r="GX126" s="25" t="e">
        <v>#NAME?</v>
      </c>
      <c r="GY126" s="25" t="e">
        <v>#NAME?</v>
      </c>
      <c r="GZ126" s="25" t="e">
        <v>#NAME?</v>
      </c>
      <c r="HA126" s="25" t="e">
        <v>#NAME?</v>
      </c>
      <c r="HB126" s="25" t="e">
        <v>#NAME?</v>
      </c>
      <c r="HC126" s="25" t="e">
        <v>#NAME?</v>
      </c>
      <c r="HD126" s="25" t="e">
        <v>#NAME?</v>
      </c>
      <c r="HE126" s="25" t="e">
        <v>#NAME?</v>
      </c>
      <c r="HF126" s="25" t="e">
        <v>#NAME?</v>
      </c>
      <c r="HG126" s="25" t="e">
        <v>#NAME?</v>
      </c>
      <c r="HH126" s="25" t="e">
        <v>#NAME?</v>
      </c>
      <c r="HI126" s="25" t="e">
        <v>#NAME?</v>
      </c>
      <c r="HJ126" s="25" t="e">
        <v>#NAME?</v>
      </c>
      <c r="HK126" s="25" t="e">
        <v>#NAME?</v>
      </c>
      <c r="HL126" s="25" t="e">
        <v>#NAME?</v>
      </c>
      <c r="HM126" s="25" t="e">
        <v>#NAME?</v>
      </c>
      <c r="HN126" s="25" t="e">
        <v>#NAME?</v>
      </c>
      <c r="HO126" s="25" t="e">
        <v>#NAME?</v>
      </c>
      <c r="HP126" s="25" t="e">
        <v>#NAME?</v>
      </c>
      <c r="HQ126" s="25" t="e">
        <v>#NAME?</v>
      </c>
      <c r="HT126" s="44" t="s">
        <v>80</v>
      </c>
      <c r="HU126" s="25">
        <v>0</v>
      </c>
      <c r="HV126" s="25">
        <v>0</v>
      </c>
      <c r="HW126" s="25">
        <v>0</v>
      </c>
      <c r="HX126" s="25">
        <v>0</v>
      </c>
      <c r="HY126" s="25">
        <v>0</v>
      </c>
    </row>
    <row r="127" spans="1:233">
      <c r="A127" t="s">
        <v>140</v>
      </c>
      <c r="B127">
        <v>0</v>
      </c>
      <c r="D127" s="40" t="s">
        <v>81</v>
      </c>
      <c r="E127" s="25" t="e">
        <v>#VALUE!</v>
      </c>
      <c r="F127" s="25" t="e">
        <v>#VALUE!</v>
      </c>
      <c r="G127" s="25" t="e">
        <v>#VALUE!</v>
      </c>
      <c r="H127" s="25" t="e">
        <v>#VALUE!</v>
      </c>
      <c r="I127" s="25" t="e">
        <v>#VALUE!</v>
      </c>
      <c r="J127" s="25" t="e">
        <v>#VALUE!</v>
      </c>
      <c r="K127" s="25" t="e">
        <v>#VALUE!</v>
      </c>
      <c r="L127" s="25" t="e">
        <v>#VALUE!</v>
      </c>
      <c r="M127" s="25" t="e">
        <v>#VALUE!</v>
      </c>
      <c r="N127" s="25" t="e">
        <v>#VALUE!</v>
      </c>
      <c r="O127" s="25" t="e">
        <v>#VALUE!</v>
      </c>
      <c r="P127" s="25" t="e">
        <v>#VALUE!</v>
      </c>
      <c r="Q127" s="25" t="e">
        <v>#VALUE!</v>
      </c>
      <c r="R127" s="25" t="e">
        <v>#VALUE!</v>
      </c>
      <c r="S127" s="25" t="e">
        <v>#VALUE!</v>
      </c>
      <c r="T127" s="25" t="e">
        <v>#VALUE!</v>
      </c>
      <c r="U127" s="25" t="e">
        <v>#VALUE!</v>
      </c>
      <c r="V127" s="25" t="e">
        <v>#VALUE!</v>
      </c>
      <c r="W127" s="25" t="e">
        <v>#VALUE!</v>
      </c>
      <c r="X127" s="25" t="e">
        <v>#VALUE!</v>
      </c>
      <c r="Y127" s="25" t="e">
        <v>#VALUE!</v>
      </c>
      <c r="Z127" s="25" t="e">
        <v>#VALUE!</v>
      </c>
      <c r="AA127" s="25" t="e">
        <v>#VALUE!</v>
      </c>
      <c r="AB127" s="25" t="e">
        <v>#VALUE!</v>
      </c>
      <c r="AC127" s="25" t="e">
        <v>#VALUE!</v>
      </c>
      <c r="AD127" s="25" t="e">
        <v>#VALUE!</v>
      </c>
      <c r="AE127" s="25" t="e">
        <v>#VALUE!</v>
      </c>
      <c r="AF127" s="25" t="e">
        <v>#VALUE!</v>
      </c>
      <c r="AG127" s="25" t="e">
        <v>#VALUE!</v>
      </c>
      <c r="AH127" s="25" t="e">
        <v>#VALUE!</v>
      </c>
      <c r="AI127" s="25" t="e">
        <v>#VALUE!</v>
      </c>
      <c r="AJ127" s="25" t="e">
        <v>#VALUE!</v>
      </c>
      <c r="AK127" s="25" t="e">
        <v>#VALUE!</v>
      </c>
      <c r="AL127" s="25" t="e">
        <v>#VALUE!</v>
      </c>
      <c r="AM127" s="25" t="e">
        <v>#VALUE!</v>
      </c>
      <c r="AN127" s="25" t="e">
        <v>#NAME?</v>
      </c>
      <c r="AP127" s="40" t="s">
        <v>81</v>
      </c>
      <c r="AQ127" s="25">
        <v>0</v>
      </c>
      <c r="AR127" s="25">
        <v>0</v>
      </c>
      <c r="AS127" s="25">
        <v>0</v>
      </c>
      <c r="AT127" s="25">
        <v>0</v>
      </c>
      <c r="AU127" s="25">
        <v>0</v>
      </c>
      <c r="AW127" s="78">
        <v>0</v>
      </c>
      <c r="AX127" s="45" t="s">
        <v>82</v>
      </c>
      <c r="AY127" s="46" t="e">
        <v>#NAME?</v>
      </c>
      <c r="AZ127" s="46" t="e">
        <v>#NAME?</v>
      </c>
      <c r="BA127" s="46" t="e">
        <v>#NAME?</v>
      </c>
      <c r="BB127" s="46" t="e">
        <v>#NAME?</v>
      </c>
      <c r="BC127" s="46" t="e">
        <v>#NAME?</v>
      </c>
      <c r="BD127" s="46" t="e">
        <v>#NAME?</v>
      </c>
      <c r="BE127" s="46" t="e">
        <v>#NAME?</v>
      </c>
      <c r="BF127" s="46" t="e">
        <v>#NAME?</v>
      </c>
      <c r="BG127" s="46" t="e">
        <v>#NAME?</v>
      </c>
      <c r="BH127" s="46" t="e">
        <v>#NAME?</v>
      </c>
      <c r="BI127" s="46" t="e">
        <v>#NAME?</v>
      </c>
      <c r="BJ127" s="46" t="e">
        <v>#NAME?</v>
      </c>
      <c r="BK127" s="46" t="e">
        <v>#NAME?</v>
      </c>
      <c r="BL127" s="46" t="e">
        <v>#NAME?</v>
      </c>
      <c r="BM127" s="46" t="e">
        <v>#NAME?</v>
      </c>
      <c r="BN127" s="46" t="e">
        <v>#NAME?</v>
      </c>
      <c r="BO127" s="46" t="e">
        <v>#NAME?</v>
      </c>
      <c r="BP127" s="46" t="e">
        <v>#NAME?</v>
      </c>
      <c r="BQ127" s="46" t="e">
        <v>#NAME?</v>
      </c>
      <c r="BR127" s="46" t="e">
        <v>#NAME?</v>
      </c>
      <c r="BS127" s="46" t="e">
        <v>#NAME?</v>
      </c>
      <c r="BT127" s="46" t="e">
        <v>#NAME?</v>
      </c>
      <c r="BU127" s="46" t="e">
        <v>#NAME?</v>
      </c>
      <c r="BV127" s="46" t="e">
        <v>#NAME?</v>
      </c>
      <c r="BW127" s="46" t="e">
        <v>#NAME?</v>
      </c>
      <c r="BX127" s="46" t="e">
        <v>#NAME?</v>
      </c>
      <c r="BY127" s="46" t="e">
        <v>#NAME?</v>
      </c>
      <c r="BZ127" s="46" t="e">
        <v>#NAME?</v>
      </c>
      <c r="CA127" s="46" t="e">
        <v>#NAME?</v>
      </c>
      <c r="CB127" s="46" t="e">
        <v>#NAME?</v>
      </c>
      <c r="CC127" s="46" t="e">
        <v>#NAME?</v>
      </c>
      <c r="CD127" s="46" t="e">
        <v>#NAME?</v>
      </c>
      <c r="CE127" s="46" t="e">
        <v>#NAME?</v>
      </c>
      <c r="CF127" s="46" t="e">
        <v>#NAME?</v>
      </c>
      <c r="CG127" s="46" t="e">
        <v>#NAME?</v>
      </c>
      <c r="CH127" s="46" t="e">
        <v>#NAME?</v>
      </c>
      <c r="CK127" s="45" t="s">
        <v>82</v>
      </c>
      <c r="CL127" s="46">
        <v>0</v>
      </c>
      <c r="CM127" s="46">
        <v>0</v>
      </c>
      <c r="CN127" s="46">
        <v>0</v>
      </c>
      <c r="CO127" s="46">
        <v>0</v>
      </c>
      <c r="CP127" s="46">
        <v>0</v>
      </c>
      <c r="CR127">
        <v>0</v>
      </c>
      <c r="CS127" s="42" t="s">
        <v>83</v>
      </c>
      <c r="CT127" s="25" t="e">
        <v>#NAME?</v>
      </c>
      <c r="CU127" s="25" t="e">
        <v>#NAME?</v>
      </c>
      <c r="CV127" s="25" t="e">
        <v>#NAME?</v>
      </c>
      <c r="CW127" s="25" t="e">
        <v>#NAME?</v>
      </c>
      <c r="CX127" s="25" t="e">
        <v>#NAME?</v>
      </c>
      <c r="CY127" s="25" t="e">
        <v>#NAME?</v>
      </c>
      <c r="CZ127" s="25" t="e">
        <v>#NAME?</v>
      </c>
      <c r="DA127" s="25" t="e">
        <v>#NAME?</v>
      </c>
      <c r="DB127" s="25" t="e">
        <v>#NAME?</v>
      </c>
      <c r="DC127" s="25" t="e">
        <v>#NAME?</v>
      </c>
      <c r="DD127" s="25" t="e">
        <v>#NAME?</v>
      </c>
      <c r="DE127" s="25" t="e">
        <v>#NAME?</v>
      </c>
      <c r="DF127" s="25" t="e">
        <v>#NAME?</v>
      </c>
      <c r="DG127" s="25" t="e">
        <v>#NAME?</v>
      </c>
      <c r="DH127" s="25" t="e">
        <v>#NAME?</v>
      </c>
      <c r="DI127" s="25" t="e">
        <v>#NAME?</v>
      </c>
      <c r="DJ127" s="25" t="e">
        <v>#NAME?</v>
      </c>
      <c r="DK127" s="25" t="e">
        <v>#NAME?</v>
      </c>
      <c r="DL127" s="25" t="e">
        <v>#NAME?</v>
      </c>
      <c r="DM127" s="25" t="e">
        <v>#NAME?</v>
      </c>
      <c r="DN127" s="25" t="e">
        <v>#NAME?</v>
      </c>
      <c r="DO127" s="25" t="e">
        <v>#NAME?</v>
      </c>
      <c r="DP127" s="25" t="e">
        <v>#NAME?</v>
      </c>
      <c r="DQ127" s="25" t="e">
        <v>#NAME?</v>
      </c>
      <c r="DR127" s="25" t="e">
        <v>#NAME?</v>
      </c>
      <c r="DS127" s="25" t="e">
        <v>#NAME?</v>
      </c>
      <c r="DT127" s="25" t="e">
        <v>#NAME?</v>
      </c>
      <c r="DU127" s="25" t="e">
        <v>#NAME?</v>
      </c>
      <c r="DV127" s="25" t="e">
        <v>#NAME?</v>
      </c>
      <c r="DW127" s="25" t="e">
        <v>#NAME?</v>
      </c>
      <c r="DX127" s="25" t="e">
        <v>#NAME?</v>
      </c>
      <c r="DY127" s="25" t="e">
        <v>#NAME?</v>
      </c>
      <c r="DZ127" s="25" t="e">
        <v>#NAME?</v>
      </c>
      <c r="EA127" s="25" t="e">
        <v>#NAME?</v>
      </c>
      <c r="EB127" s="25" t="e">
        <v>#NAME?</v>
      </c>
      <c r="EC127" s="25" t="e">
        <v>#NAME?</v>
      </c>
      <c r="EE127" s="42" t="s">
        <v>83</v>
      </c>
      <c r="EF127" s="25">
        <v>0</v>
      </c>
      <c r="EG127" s="25">
        <v>0</v>
      </c>
      <c r="EH127" s="25">
        <v>0</v>
      </c>
      <c r="EI127" s="25">
        <v>0</v>
      </c>
      <c r="EJ127" s="25">
        <v>0</v>
      </c>
      <c r="EM127" s="37">
        <v>0</v>
      </c>
      <c r="EN127" s="42" t="s">
        <v>84</v>
      </c>
      <c r="EO127" s="25" t="e">
        <v>#NAME?</v>
      </c>
      <c r="EP127" s="25" t="e">
        <v>#NAME?</v>
      </c>
      <c r="EQ127" s="25" t="e">
        <v>#NAME?</v>
      </c>
      <c r="ER127" s="25" t="e">
        <v>#NAME?</v>
      </c>
      <c r="ES127" s="25" t="e">
        <v>#NAME?</v>
      </c>
      <c r="ET127" s="25" t="e">
        <v>#NAME?</v>
      </c>
      <c r="EU127" s="25" t="e">
        <v>#NAME?</v>
      </c>
      <c r="EV127" s="25" t="e">
        <v>#NAME?</v>
      </c>
      <c r="EW127" s="25" t="e">
        <v>#NAME?</v>
      </c>
      <c r="EX127" s="25" t="e">
        <v>#NAME?</v>
      </c>
      <c r="EY127" s="25" t="e">
        <v>#NAME?</v>
      </c>
      <c r="EZ127" s="25" t="e">
        <v>#NAME?</v>
      </c>
      <c r="FA127" s="25" t="e">
        <v>#NAME?</v>
      </c>
      <c r="FB127" s="25" t="e">
        <v>#NAME?</v>
      </c>
      <c r="FC127" s="25" t="e">
        <v>#NAME?</v>
      </c>
      <c r="FD127" s="25" t="e">
        <v>#NAME?</v>
      </c>
      <c r="FE127" s="25" t="e">
        <v>#NAME?</v>
      </c>
      <c r="FF127" s="25" t="e">
        <v>#NAME?</v>
      </c>
      <c r="FG127" s="25" t="e">
        <v>#NAME?</v>
      </c>
      <c r="FH127" s="25" t="e">
        <v>#NAME?</v>
      </c>
      <c r="FI127" s="25" t="e">
        <v>#NAME?</v>
      </c>
      <c r="FJ127" s="25" t="e">
        <v>#NAME?</v>
      </c>
      <c r="FK127" s="25" t="e">
        <v>#NAME?</v>
      </c>
      <c r="FL127" s="25" t="e">
        <v>#NAME?</v>
      </c>
      <c r="FM127" s="25" t="e">
        <v>#NAME?</v>
      </c>
      <c r="FN127" s="25" t="e">
        <v>#NAME?</v>
      </c>
      <c r="FO127" s="25" t="e">
        <v>#NAME?</v>
      </c>
      <c r="FP127" s="25" t="e">
        <v>#NAME?</v>
      </c>
      <c r="FQ127" s="25" t="e">
        <v>#NAME?</v>
      </c>
      <c r="FR127" s="25" t="e">
        <v>#NAME?</v>
      </c>
      <c r="FS127" s="25" t="e">
        <v>#NAME?</v>
      </c>
      <c r="FT127" s="25" t="e">
        <v>#NAME?</v>
      </c>
      <c r="FU127" s="25" t="e">
        <v>#NAME?</v>
      </c>
      <c r="FV127" s="25" t="e">
        <v>#NAME?</v>
      </c>
      <c r="FW127" s="25" t="e">
        <v>#NAME?</v>
      </c>
      <c r="FX127" s="25" t="e">
        <v>#NAME?</v>
      </c>
      <c r="FZ127" s="42" t="s">
        <v>84</v>
      </c>
      <c r="GA127" s="25">
        <v>0</v>
      </c>
      <c r="GB127" s="25">
        <v>0</v>
      </c>
      <c r="GC127" s="25">
        <v>0</v>
      </c>
      <c r="GD127" s="25">
        <v>0</v>
      </c>
      <c r="GE127" s="25">
        <v>0</v>
      </c>
      <c r="GG127" s="41" t="s">
        <v>85</v>
      </c>
      <c r="GH127" s="25" t="e">
        <v>#NAME?</v>
      </c>
      <c r="GI127" s="25" t="e">
        <v>#NAME?</v>
      </c>
      <c r="GJ127" s="25" t="e">
        <v>#NAME?</v>
      </c>
      <c r="GK127" s="25" t="e">
        <v>#NAME?</v>
      </c>
      <c r="GL127" s="25" t="e">
        <v>#NAME?</v>
      </c>
      <c r="GM127" s="25" t="e">
        <v>#NAME?</v>
      </c>
      <c r="GN127" s="25" t="e">
        <v>#NAME?</v>
      </c>
      <c r="GO127" s="25" t="e">
        <v>#NAME?</v>
      </c>
      <c r="GP127" s="25" t="e">
        <v>#NAME?</v>
      </c>
      <c r="GQ127" s="25" t="e">
        <v>#NAME?</v>
      </c>
      <c r="GR127" s="25" t="e">
        <v>#NAME?</v>
      </c>
      <c r="GS127" s="25" t="e">
        <v>#NAME?</v>
      </c>
      <c r="GT127" s="25" t="e">
        <v>#NAME?</v>
      </c>
      <c r="GU127" s="25" t="e">
        <v>#NAME?</v>
      </c>
      <c r="GV127" s="25" t="e">
        <v>#NAME?</v>
      </c>
      <c r="GW127" s="25" t="e">
        <v>#NAME?</v>
      </c>
      <c r="GX127" s="25" t="e">
        <v>#NAME?</v>
      </c>
      <c r="GY127" s="25" t="e">
        <v>#NAME?</v>
      </c>
      <c r="GZ127" s="25" t="e">
        <v>#NAME?</v>
      </c>
      <c r="HA127" s="25" t="e">
        <v>#NAME?</v>
      </c>
      <c r="HB127" s="25" t="e">
        <v>#NAME?</v>
      </c>
      <c r="HC127" s="25" t="e">
        <v>#NAME?</v>
      </c>
      <c r="HD127" s="25" t="e">
        <v>#NAME?</v>
      </c>
      <c r="HE127" s="25" t="e">
        <v>#NAME?</v>
      </c>
      <c r="HF127" s="25" t="e">
        <v>#NAME?</v>
      </c>
      <c r="HG127" s="25" t="e">
        <v>#NAME?</v>
      </c>
      <c r="HH127" s="25" t="e">
        <v>#NAME?</v>
      </c>
      <c r="HI127" s="25" t="e">
        <v>#NAME?</v>
      </c>
      <c r="HJ127" s="25" t="e">
        <v>#NAME?</v>
      </c>
      <c r="HK127" s="25" t="e">
        <v>#NAME?</v>
      </c>
      <c r="HL127" s="25" t="e">
        <v>#NAME?</v>
      </c>
      <c r="HM127" s="25" t="e">
        <v>#NAME?</v>
      </c>
      <c r="HN127" s="25" t="e">
        <v>#NAME?</v>
      </c>
      <c r="HO127" s="25" t="e">
        <v>#NAME?</v>
      </c>
      <c r="HP127" s="25" t="e">
        <v>#NAME?</v>
      </c>
      <c r="HQ127" s="25" t="e">
        <v>#NAME?</v>
      </c>
      <c r="HT127" s="41" t="s">
        <v>85</v>
      </c>
      <c r="HU127" s="25">
        <v>0</v>
      </c>
      <c r="HV127" s="25">
        <v>0</v>
      </c>
      <c r="HW127" s="25">
        <v>0</v>
      </c>
      <c r="HX127" s="25">
        <v>0</v>
      </c>
      <c r="HY127" s="25">
        <v>0</v>
      </c>
    </row>
    <row r="128" spans="1:233" ht="15.75" thickBot="1">
      <c r="A128" t="s">
        <v>140</v>
      </c>
      <c r="B128">
        <v>0</v>
      </c>
      <c r="D128" s="35" t="s">
        <v>10</v>
      </c>
      <c r="E128" s="25" t="e">
        <v>#VALUE!</v>
      </c>
      <c r="F128" s="25" t="e">
        <v>#VALUE!</v>
      </c>
      <c r="G128" s="25" t="e">
        <v>#VALUE!</v>
      </c>
      <c r="H128" s="25" t="e">
        <v>#VALUE!</v>
      </c>
      <c r="I128" s="25" t="e">
        <v>#VALUE!</v>
      </c>
      <c r="J128" s="25" t="e">
        <v>#VALUE!</v>
      </c>
      <c r="K128" s="25" t="e">
        <v>#VALUE!</v>
      </c>
      <c r="L128" s="25" t="e">
        <v>#VALUE!</v>
      </c>
      <c r="M128" s="25" t="e">
        <v>#VALUE!</v>
      </c>
      <c r="N128" s="25" t="e">
        <v>#VALUE!</v>
      </c>
      <c r="O128" s="25" t="e">
        <v>#VALUE!</v>
      </c>
      <c r="P128" s="25" t="e">
        <v>#VALUE!</v>
      </c>
      <c r="Q128" s="25" t="e">
        <v>#VALUE!</v>
      </c>
      <c r="R128" s="25" t="e">
        <v>#VALUE!</v>
      </c>
      <c r="S128" s="25" t="e">
        <v>#VALUE!</v>
      </c>
      <c r="T128" s="25" t="e">
        <v>#VALUE!</v>
      </c>
      <c r="U128" s="25" t="e">
        <v>#VALUE!</v>
      </c>
      <c r="V128" s="25" t="e">
        <v>#VALUE!</v>
      </c>
      <c r="W128" s="25" t="e">
        <v>#VALUE!</v>
      </c>
      <c r="X128" s="25" t="e">
        <v>#VALUE!</v>
      </c>
      <c r="Y128" s="25" t="e">
        <v>#VALUE!</v>
      </c>
      <c r="Z128" s="25" t="e">
        <v>#VALUE!</v>
      </c>
      <c r="AA128" s="25" t="e">
        <v>#VALUE!</v>
      </c>
      <c r="AB128" s="25" t="e">
        <v>#VALUE!</v>
      </c>
      <c r="AC128" s="25" t="e">
        <v>#VALUE!</v>
      </c>
      <c r="AD128" s="25" t="e">
        <v>#VALUE!</v>
      </c>
      <c r="AE128" s="25" t="e">
        <v>#VALUE!</v>
      </c>
      <c r="AF128" s="25" t="e">
        <v>#VALUE!</v>
      </c>
      <c r="AG128" s="25" t="e">
        <v>#VALUE!</v>
      </c>
      <c r="AH128" s="25" t="e">
        <v>#VALUE!</v>
      </c>
      <c r="AI128" s="25" t="e">
        <v>#VALUE!</v>
      </c>
      <c r="AJ128" s="25" t="e">
        <v>#VALUE!</v>
      </c>
      <c r="AK128" s="25" t="e">
        <v>#VALUE!</v>
      </c>
      <c r="AL128" s="25" t="e">
        <v>#VALUE!</v>
      </c>
      <c r="AM128" s="25" t="e">
        <v>#VALUE!</v>
      </c>
      <c r="AN128" s="25" t="e">
        <v>#NAME?</v>
      </c>
      <c r="AP128" s="35" t="s">
        <v>10</v>
      </c>
      <c r="AQ128" s="25">
        <v>0</v>
      </c>
      <c r="AR128" s="25">
        <v>0</v>
      </c>
      <c r="AS128" s="25">
        <v>0</v>
      </c>
      <c r="AT128" s="25">
        <v>0</v>
      </c>
      <c r="AU128" s="25">
        <v>0</v>
      </c>
      <c r="AW128" t="e">
        <v>#NAME?</v>
      </c>
      <c r="AX128" s="47" t="s">
        <v>87</v>
      </c>
      <c r="AY128" s="48" t="e">
        <v>#NAME?</v>
      </c>
      <c r="AZ128" s="48" t="e">
        <v>#NAME?</v>
      </c>
      <c r="BA128" s="48" t="e">
        <v>#NAME?</v>
      </c>
      <c r="BB128" s="48" t="e">
        <v>#NAME?</v>
      </c>
      <c r="BC128" s="48" t="e">
        <v>#NAME?</v>
      </c>
      <c r="BD128" s="48" t="e">
        <v>#NAME?</v>
      </c>
      <c r="BE128" s="48" t="e">
        <v>#NAME?</v>
      </c>
      <c r="BF128" s="48" t="e">
        <v>#NAME?</v>
      </c>
      <c r="BG128" s="48" t="e">
        <v>#NAME?</v>
      </c>
      <c r="BH128" s="48" t="e">
        <v>#NAME?</v>
      </c>
      <c r="BI128" s="48" t="e">
        <v>#NAME?</v>
      </c>
      <c r="BJ128" s="48" t="e">
        <v>#NAME?</v>
      </c>
      <c r="BK128" s="48" t="e">
        <v>#NAME?</v>
      </c>
      <c r="BL128" s="48" t="e">
        <v>#NAME?</v>
      </c>
      <c r="BM128" s="48" t="e">
        <v>#NAME?</v>
      </c>
      <c r="BN128" s="48" t="e">
        <v>#NAME?</v>
      </c>
      <c r="BO128" s="48" t="e">
        <v>#NAME?</v>
      </c>
      <c r="BP128" s="48" t="e">
        <v>#NAME?</v>
      </c>
      <c r="BQ128" s="48" t="e">
        <v>#NAME?</v>
      </c>
      <c r="BR128" s="48" t="e">
        <v>#NAME?</v>
      </c>
      <c r="BS128" s="48" t="e">
        <v>#NAME?</v>
      </c>
      <c r="BT128" s="48" t="e">
        <v>#NAME?</v>
      </c>
      <c r="BU128" s="48" t="e">
        <v>#NAME?</v>
      </c>
      <c r="BV128" s="48" t="e">
        <v>#NAME?</v>
      </c>
      <c r="BW128" s="48" t="e">
        <v>#NAME?</v>
      </c>
      <c r="BX128" s="48" t="e">
        <v>#NAME?</v>
      </c>
      <c r="BY128" s="48" t="e">
        <v>#NAME?</v>
      </c>
      <c r="BZ128" s="48" t="e">
        <v>#NAME?</v>
      </c>
      <c r="CA128" s="48" t="e">
        <v>#NAME?</v>
      </c>
      <c r="CB128" s="48" t="e">
        <v>#NAME?</v>
      </c>
      <c r="CC128" s="48" t="e">
        <v>#NAME?</v>
      </c>
      <c r="CD128" s="48" t="e">
        <v>#NAME?</v>
      </c>
      <c r="CE128" s="48" t="e">
        <v>#NAME?</v>
      </c>
      <c r="CF128" s="48" t="e">
        <v>#NAME?</v>
      </c>
      <c r="CG128" s="48" t="e">
        <v>#NAME?</v>
      </c>
      <c r="CH128" s="48" t="e">
        <v>#NAME?</v>
      </c>
      <c r="CK128" s="47" t="s">
        <v>87</v>
      </c>
      <c r="CL128" s="48" t="e">
        <v>#NAME?</v>
      </c>
      <c r="CM128" s="48" t="e">
        <v>#NAME?</v>
      </c>
      <c r="CN128" s="48" t="e">
        <v>#NAME?</v>
      </c>
      <c r="CO128" s="48" t="e">
        <v>#NAME?</v>
      </c>
      <c r="CP128" s="48" t="e">
        <v>#NAME?</v>
      </c>
      <c r="CR128">
        <v>0</v>
      </c>
      <c r="CS128" s="42" t="s">
        <v>88</v>
      </c>
      <c r="CT128" s="25" t="e">
        <v>#NAME?</v>
      </c>
      <c r="CU128" s="25" t="e">
        <v>#NAME?</v>
      </c>
      <c r="CV128" s="25" t="e">
        <v>#NAME?</v>
      </c>
      <c r="CW128" s="25" t="e">
        <v>#NAME?</v>
      </c>
      <c r="CX128" s="25" t="e">
        <v>#NAME?</v>
      </c>
      <c r="CY128" s="25" t="e">
        <v>#NAME?</v>
      </c>
      <c r="CZ128" s="25" t="e">
        <v>#NAME?</v>
      </c>
      <c r="DA128" s="25" t="e">
        <v>#NAME?</v>
      </c>
      <c r="DB128" s="25" t="e">
        <v>#NAME?</v>
      </c>
      <c r="DC128" s="25" t="e">
        <v>#NAME?</v>
      </c>
      <c r="DD128" s="25" t="e">
        <v>#NAME?</v>
      </c>
      <c r="DE128" s="25" t="e">
        <v>#NAME?</v>
      </c>
      <c r="DF128" s="25" t="e">
        <v>#NAME?</v>
      </c>
      <c r="DG128" s="25" t="e">
        <v>#NAME?</v>
      </c>
      <c r="DH128" s="25" t="e">
        <v>#NAME?</v>
      </c>
      <c r="DI128" s="25" t="e">
        <v>#NAME?</v>
      </c>
      <c r="DJ128" s="25" t="e">
        <v>#NAME?</v>
      </c>
      <c r="DK128" s="25" t="e">
        <v>#NAME?</v>
      </c>
      <c r="DL128" s="25" t="e">
        <v>#NAME?</v>
      </c>
      <c r="DM128" s="25" t="e">
        <v>#NAME?</v>
      </c>
      <c r="DN128" s="25" t="e">
        <v>#NAME?</v>
      </c>
      <c r="DO128" s="25" t="e">
        <v>#NAME?</v>
      </c>
      <c r="DP128" s="25" t="e">
        <v>#NAME?</v>
      </c>
      <c r="DQ128" s="25" t="e">
        <v>#NAME?</v>
      </c>
      <c r="DR128" s="25" t="e">
        <v>#NAME?</v>
      </c>
      <c r="DS128" s="25" t="e">
        <v>#NAME?</v>
      </c>
      <c r="DT128" s="25" t="e">
        <v>#NAME?</v>
      </c>
      <c r="DU128" s="25" t="e">
        <v>#NAME?</v>
      </c>
      <c r="DV128" s="25" t="e">
        <v>#NAME?</v>
      </c>
      <c r="DW128" s="25" t="e">
        <v>#NAME?</v>
      </c>
      <c r="DX128" s="25" t="e">
        <v>#NAME?</v>
      </c>
      <c r="DY128" s="25" t="e">
        <v>#NAME?</v>
      </c>
      <c r="DZ128" s="25" t="e">
        <v>#NAME?</v>
      </c>
      <c r="EA128" s="25" t="e">
        <v>#NAME?</v>
      </c>
      <c r="EB128" s="25" t="e">
        <v>#NAME?</v>
      </c>
      <c r="EC128" s="25" t="e">
        <v>#NAME?</v>
      </c>
      <c r="EE128" s="42" t="s">
        <v>88</v>
      </c>
      <c r="EF128" s="25">
        <v>0</v>
      </c>
      <c r="EG128" s="25">
        <v>0</v>
      </c>
      <c r="EH128" s="25">
        <v>0</v>
      </c>
      <c r="EI128" s="25">
        <v>0</v>
      </c>
      <c r="EJ128" s="25">
        <v>0</v>
      </c>
      <c r="EM128" s="37">
        <v>0</v>
      </c>
      <c r="EN128" s="42" t="s">
        <v>89</v>
      </c>
      <c r="EO128" s="25" t="e">
        <v>#NAME?</v>
      </c>
      <c r="EP128" s="25" t="e">
        <v>#NAME?</v>
      </c>
      <c r="EQ128" s="25" t="e">
        <v>#NAME?</v>
      </c>
      <c r="ER128" s="25" t="e">
        <v>#NAME?</v>
      </c>
      <c r="ES128" s="25" t="e">
        <v>#NAME?</v>
      </c>
      <c r="ET128" s="25" t="e">
        <v>#NAME?</v>
      </c>
      <c r="EU128" s="25" t="e">
        <v>#NAME?</v>
      </c>
      <c r="EV128" s="25" t="e">
        <v>#NAME?</v>
      </c>
      <c r="EW128" s="25" t="e">
        <v>#NAME?</v>
      </c>
      <c r="EX128" s="25" t="e">
        <v>#NAME?</v>
      </c>
      <c r="EY128" s="25" t="e">
        <v>#NAME?</v>
      </c>
      <c r="EZ128" s="25" t="e">
        <v>#NAME?</v>
      </c>
      <c r="FA128" s="25" t="e">
        <v>#NAME?</v>
      </c>
      <c r="FB128" s="25" t="e">
        <v>#NAME?</v>
      </c>
      <c r="FC128" s="25" t="e">
        <v>#NAME?</v>
      </c>
      <c r="FD128" s="25" t="e">
        <v>#NAME?</v>
      </c>
      <c r="FE128" s="25" t="e">
        <v>#NAME?</v>
      </c>
      <c r="FF128" s="25" t="e">
        <v>#NAME?</v>
      </c>
      <c r="FG128" s="25" t="e">
        <v>#NAME?</v>
      </c>
      <c r="FH128" s="25" t="e">
        <v>#NAME?</v>
      </c>
      <c r="FI128" s="25" t="e">
        <v>#NAME?</v>
      </c>
      <c r="FJ128" s="25" t="e">
        <v>#NAME?</v>
      </c>
      <c r="FK128" s="25" t="e">
        <v>#NAME?</v>
      </c>
      <c r="FL128" s="25" t="e">
        <v>#NAME?</v>
      </c>
      <c r="FM128" s="25" t="e">
        <v>#NAME?</v>
      </c>
      <c r="FN128" s="25" t="e">
        <v>#NAME?</v>
      </c>
      <c r="FO128" s="25" t="e">
        <v>#NAME?</v>
      </c>
      <c r="FP128" s="25" t="e">
        <v>#NAME?</v>
      </c>
      <c r="FQ128" s="25" t="e">
        <v>#NAME?</v>
      </c>
      <c r="FR128" s="25" t="e">
        <v>#NAME?</v>
      </c>
      <c r="FS128" s="25" t="e">
        <v>#NAME?</v>
      </c>
      <c r="FT128" s="25" t="e">
        <v>#NAME?</v>
      </c>
      <c r="FU128" s="25" t="e">
        <v>#NAME?</v>
      </c>
      <c r="FV128" s="25" t="e">
        <v>#NAME?</v>
      </c>
      <c r="FW128" s="25" t="e">
        <v>#NAME?</v>
      </c>
      <c r="FX128" s="25" t="e">
        <v>#NAME?</v>
      </c>
      <c r="FZ128" s="42" t="s">
        <v>89</v>
      </c>
      <c r="GA128" s="25">
        <v>0</v>
      </c>
      <c r="GB128" s="25">
        <v>0</v>
      </c>
      <c r="GC128" s="25">
        <v>0</v>
      </c>
      <c r="GD128" s="25">
        <v>0</v>
      </c>
      <c r="GE128" s="25">
        <v>0</v>
      </c>
      <c r="GG128" s="49" t="s">
        <v>90</v>
      </c>
      <c r="GH128" s="25" t="e">
        <v>#NAME?</v>
      </c>
      <c r="GI128" s="25" t="e">
        <v>#NAME?</v>
      </c>
      <c r="GJ128" s="25" t="e">
        <v>#NAME?</v>
      </c>
      <c r="GK128" s="25" t="e">
        <v>#NAME?</v>
      </c>
      <c r="GL128" s="25" t="e">
        <v>#NAME?</v>
      </c>
      <c r="GM128" s="25" t="e">
        <v>#NAME?</v>
      </c>
      <c r="GN128" s="25" t="e">
        <v>#NAME?</v>
      </c>
      <c r="GO128" s="25" t="e">
        <v>#NAME?</v>
      </c>
      <c r="GP128" s="25" t="e">
        <v>#NAME?</v>
      </c>
      <c r="GQ128" s="25" t="e">
        <v>#NAME?</v>
      </c>
      <c r="GR128" s="25" t="e">
        <v>#NAME?</v>
      </c>
      <c r="GS128" s="25" t="e">
        <v>#NAME?</v>
      </c>
      <c r="GT128" s="25" t="e">
        <v>#NAME?</v>
      </c>
      <c r="GU128" s="25" t="e">
        <v>#NAME?</v>
      </c>
      <c r="GV128" s="25" t="e">
        <v>#NAME?</v>
      </c>
      <c r="GW128" s="25" t="e">
        <v>#NAME?</v>
      </c>
      <c r="GX128" s="25" t="e">
        <v>#NAME?</v>
      </c>
      <c r="GY128" s="25" t="e">
        <v>#NAME?</v>
      </c>
      <c r="GZ128" s="25" t="e">
        <v>#NAME?</v>
      </c>
      <c r="HA128" s="25" t="e">
        <v>#NAME?</v>
      </c>
      <c r="HB128" s="25" t="e">
        <v>#NAME?</v>
      </c>
      <c r="HC128" s="25" t="e">
        <v>#NAME?</v>
      </c>
      <c r="HD128" s="25" t="e">
        <v>#NAME?</v>
      </c>
      <c r="HE128" s="25" t="e">
        <v>#NAME?</v>
      </c>
      <c r="HF128" s="25" t="e">
        <v>#NAME?</v>
      </c>
      <c r="HG128" s="25" t="e">
        <v>#NAME?</v>
      </c>
      <c r="HH128" s="25" t="e">
        <v>#NAME?</v>
      </c>
      <c r="HI128" s="25" t="e">
        <v>#NAME?</v>
      </c>
      <c r="HJ128" s="25" t="e">
        <v>#NAME?</v>
      </c>
      <c r="HK128" s="25" t="e">
        <v>#NAME?</v>
      </c>
      <c r="HL128" s="25" t="e">
        <v>#NAME?</v>
      </c>
      <c r="HM128" s="25" t="e">
        <v>#NAME?</v>
      </c>
      <c r="HN128" s="25" t="e">
        <v>#NAME?</v>
      </c>
      <c r="HO128" s="25" t="e">
        <v>#NAME?</v>
      </c>
      <c r="HP128" s="25" t="e">
        <v>#NAME?</v>
      </c>
      <c r="HQ128" s="25" t="e">
        <v>#NAME?</v>
      </c>
      <c r="HT128" s="49" t="s">
        <v>90</v>
      </c>
      <c r="HU128" s="25">
        <v>0</v>
      </c>
      <c r="HV128" s="25">
        <v>0</v>
      </c>
      <c r="HW128" s="25">
        <v>0</v>
      </c>
      <c r="HX128" s="25">
        <v>0</v>
      </c>
      <c r="HY128" s="25">
        <v>0</v>
      </c>
    </row>
    <row r="129" spans="1:187" ht="15.75" thickBot="1">
      <c r="A129" t="s">
        <v>140</v>
      </c>
      <c r="B129">
        <v>0</v>
      </c>
      <c r="D129" s="35" t="s">
        <v>91</v>
      </c>
      <c r="E129" s="25" t="e">
        <v>#VALUE!</v>
      </c>
      <c r="F129" s="25" t="e">
        <v>#VALUE!</v>
      </c>
      <c r="G129" s="25" t="e">
        <v>#VALUE!</v>
      </c>
      <c r="H129" s="25" t="e">
        <v>#VALUE!</v>
      </c>
      <c r="I129" s="25" t="e">
        <v>#VALUE!</v>
      </c>
      <c r="J129" s="25" t="e">
        <v>#VALUE!</v>
      </c>
      <c r="K129" s="25" t="e">
        <v>#VALUE!</v>
      </c>
      <c r="L129" s="25" t="e">
        <v>#VALUE!</v>
      </c>
      <c r="M129" s="25" t="e">
        <v>#VALUE!</v>
      </c>
      <c r="N129" s="25" t="e">
        <v>#VALUE!</v>
      </c>
      <c r="O129" s="25" t="e">
        <v>#VALUE!</v>
      </c>
      <c r="P129" s="25" t="e">
        <v>#VALUE!</v>
      </c>
      <c r="Q129" s="25" t="e">
        <v>#VALUE!</v>
      </c>
      <c r="R129" s="25" t="e">
        <v>#VALUE!</v>
      </c>
      <c r="S129" s="25" t="e">
        <v>#VALUE!</v>
      </c>
      <c r="T129" s="25" t="e">
        <v>#VALUE!</v>
      </c>
      <c r="U129" s="25" t="e">
        <v>#VALUE!</v>
      </c>
      <c r="V129" s="25" t="e">
        <v>#VALUE!</v>
      </c>
      <c r="W129" s="25" t="e">
        <v>#VALUE!</v>
      </c>
      <c r="X129" s="25" t="e">
        <v>#VALUE!</v>
      </c>
      <c r="Y129" s="25" t="e">
        <v>#VALUE!</v>
      </c>
      <c r="Z129" s="25" t="e">
        <v>#VALUE!</v>
      </c>
      <c r="AA129" s="25" t="e">
        <v>#VALUE!</v>
      </c>
      <c r="AB129" s="25" t="e">
        <v>#VALUE!</v>
      </c>
      <c r="AC129" s="25" t="e">
        <v>#VALUE!</v>
      </c>
      <c r="AD129" s="25" t="e">
        <v>#VALUE!</v>
      </c>
      <c r="AE129" s="25" t="e">
        <v>#VALUE!</v>
      </c>
      <c r="AF129" s="25" t="e">
        <v>#VALUE!</v>
      </c>
      <c r="AG129" s="25" t="e">
        <v>#VALUE!</v>
      </c>
      <c r="AH129" s="25" t="e">
        <v>#VALUE!</v>
      </c>
      <c r="AI129" s="25" t="e">
        <v>#VALUE!</v>
      </c>
      <c r="AJ129" s="25" t="e">
        <v>#VALUE!</v>
      </c>
      <c r="AK129" s="25" t="e">
        <v>#VALUE!</v>
      </c>
      <c r="AL129" s="25" t="e">
        <v>#VALUE!</v>
      </c>
      <c r="AM129" s="25" t="e">
        <v>#VALUE!</v>
      </c>
      <c r="AN129" s="25" t="e">
        <v>#NAME?</v>
      </c>
      <c r="AP129" s="35" t="s">
        <v>91</v>
      </c>
      <c r="AQ129" s="25">
        <v>0</v>
      </c>
      <c r="AR129" s="25">
        <v>0</v>
      </c>
      <c r="AS129" s="25">
        <v>0</v>
      </c>
      <c r="AT129" s="25">
        <v>0</v>
      </c>
      <c r="AU129" s="25">
        <v>0</v>
      </c>
      <c r="AX129" s="50"/>
      <c r="AY129" s="51"/>
      <c r="AZ129" s="51"/>
      <c r="BA129" s="51"/>
      <c r="BB129" s="51"/>
      <c r="BC129" s="51"/>
      <c r="BD129" s="51"/>
      <c r="BE129" s="51"/>
      <c r="BF129" s="51"/>
      <c r="BG129" s="51"/>
      <c r="BH129" s="51"/>
      <c r="BI129" s="51"/>
      <c r="BJ129" s="51"/>
      <c r="BK129" s="51"/>
      <c r="BL129" s="51"/>
      <c r="BM129" s="51"/>
      <c r="BN129" s="51"/>
      <c r="BO129" s="51"/>
      <c r="BP129" s="51"/>
      <c r="BQ129" s="51"/>
      <c r="BR129" s="51"/>
      <c r="BS129" s="51"/>
      <c r="BT129" s="51"/>
      <c r="BU129" s="51"/>
      <c r="BV129" s="51"/>
      <c r="BW129" s="51"/>
      <c r="BX129" s="51"/>
      <c r="BY129" s="51"/>
      <c r="BZ129" s="51"/>
      <c r="CA129" s="51"/>
      <c r="CB129" s="51"/>
      <c r="CC129" s="51"/>
      <c r="CD129" s="51"/>
      <c r="CE129" s="51"/>
      <c r="CF129" s="51"/>
      <c r="CG129" s="51"/>
      <c r="CH129" s="51"/>
      <c r="CK129" s="50"/>
      <c r="CL129" s="51"/>
      <c r="CM129" s="51"/>
      <c r="CN129" s="51"/>
      <c r="CO129" s="51"/>
      <c r="CP129" s="51"/>
      <c r="CR129">
        <v>0</v>
      </c>
      <c r="CS129" s="42" t="s">
        <v>92</v>
      </c>
      <c r="CT129" s="25" t="e">
        <v>#NAME?</v>
      </c>
      <c r="CU129" s="25" t="e">
        <v>#NAME?</v>
      </c>
      <c r="CV129" s="25" t="e">
        <v>#NAME?</v>
      </c>
      <c r="CW129" s="25" t="e">
        <v>#NAME?</v>
      </c>
      <c r="CX129" s="25" t="e">
        <v>#NAME?</v>
      </c>
      <c r="CY129" s="25" t="e">
        <v>#NAME?</v>
      </c>
      <c r="CZ129" s="25" t="e">
        <v>#NAME?</v>
      </c>
      <c r="DA129" s="25" t="e">
        <v>#NAME?</v>
      </c>
      <c r="DB129" s="25" t="e">
        <v>#NAME?</v>
      </c>
      <c r="DC129" s="25" t="e">
        <v>#NAME?</v>
      </c>
      <c r="DD129" s="25" t="e">
        <v>#NAME?</v>
      </c>
      <c r="DE129" s="25" t="e">
        <v>#NAME?</v>
      </c>
      <c r="DF129" s="25" t="e">
        <v>#NAME?</v>
      </c>
      <c r="DG129" s="25" t="e">
        <v>#NAME?</v>
      </c>
      <c r="DH129" s="25" t="e">
        <v>#NAME?</v>
      </c>
      <c r="DI129" s="25" t="e">
        <v>#NAME?</v>
      </c>
      <c r="DJ129" s="25" t="e">
        <v>#NAME?</v>
      </c>
      <c r="DK129" s="25" t="e">
        <v>#NAME?</v>
      </c>
      <c r="DL129" s="25" t="e">
        <v>#NAME?</v>
      </c>
      <c r="DM129" s="25" t="e">
        <v>#NAME?</v>
      </c>
      <c r="DN129" s="25" t="e">
        <v>#NAME?</v>
      </c>
      <c r="DO129" s="25" t="e">
        <v>#NAME?</v>
      </c>
      <c r="DP129" s="25" t="e">
        <v>#NAME?</v>
      </c>
      <c r="DQ129" s="25" t="e">
        <v>#NAME?</v>
      </c>
      <c r="DR129" s="25" t="e">
        <v>#NAME?</v>
      </c>
      <c r="DS129" s="25" t="e">
        <v>#NAME?</v>
      </c>
      <c r="DT129" s="25" t="e">
        <v>#NAME?</v>
      </c>
      <c r="DU129" s="25" t="e">
        <v>#NAME?</v>
      </c>
      <c r="DV129" s="25" t="e">
        <v>#NAME?</v>
      </c>
      <c r="DW129" s="25" t="e">
        <v>#NAME?</v>
      </c>
      <c r="DX129" s="25" t="e">
        <v>#NAME?</v>
      </c>
      <c r="DY129" s="25" t="e">
        <v>#NAME?</v>
      </c>
      <c r="DZ129" s="25" t="e">
        <v>#NAME?</v>
      </c>
      <c r="EA129" s="25" t="e">
        <v>#NAME?</v>
      </c>
      <c r="EB129" s="25" t="e">
        <v>#NAME?</v>
      </c>
      <c r="EC129" s="25" t="e">
        <v>#NAME?</v>
      </c>
      <c r="EE129" s="42" t="s">
        <v>92</v>
      </c>
      <c r="EF129" s="25">
        <v>0</v>
      </c>
      <c r="EG129" s="25">
        <v>0</v>
      </c>
      <c r="EH129" s="25">
        <v>0</v>
      </c>
      <c r="EI129" s="25">
        <v>0</v>
      </c>
      <c r="EJ129" s="25">
        <v>0</v>
      </c>
      <c r="EM129" s="37">
        <v>0</v>
      </c>
      <c r="EN129" s="52" t="s">
        <v>93</v>
      </c>
      <c r="EO129" s="25" t="e">
        <v>#NAME?</v>
      </c>
      <c r="EP129" s="25" t="e">
        <v>#NAME?</v>
      </c>
      <c r="EQ129" s="25" t="e">
        <v>#NAME?</v>
      </c>
      <c r="ER129" s="25" t="e">
        <v>#NAME?</v>
      </c>
      <c r="ES129" s="25" t="e">
        <v>#NAME?</v>
      </c>
      <c r="ET129" s="25" t="e">
        <v>#NAME?</v>
      </c>
      <c r="EU129" s="25" t="e">
        <v>#NAME?</v>
      </c>
      <c r="EV129" s="25" t="e">
        <v>#NAME?</v>
      </c>
      <c r="EW129" s="25" t="e">
        <v>#NAME?</v>
      </c>
      <c r="EX129" s="25" t="e">
        <v>#NAME?</v>
      </c>
      <c r="EY129" s="25" t="e">
        <v>#NAME?</v>
      </c>
      <c r="EZ129" s="25" t="e">
        <v>#NAME?</v>
      </c>
      <c r="FA129" s="25" t="e">
        <v>#NAME?</v>
      </c>
      <c r="FB129" s="25" t="e">
        <v>#NAME?</v>
      </c>
      <c r="FC129" s="25" t="e">
        <v>#NAME?</v>
      </c>
      <c r="FD129" s="25" t="e">
        <v>#NAME?</v>
      </c>
      <c r="FE129" s="25" t="e">
        <v>#NAME?</v>
      </c>
      <c r="FF129" s="25" t="e">
        <v>#NAME?</v>
      </c>
      <c r="FG129" s="25" t="e">
        <v>#NAME?</v>
      </c>
      <c r="FH129" s="25" t="e">
        <v>#NAME?</v>
      </c>
      <c r="FI129" s="25" t="e">
        <v>#NAME?</v>
      </c>
      <c r="FJ129" s="25" t="e">
        <v>#NAME?</v>
      </c>
      <c r="FK129" s="25" t="e">
        <v>#NAME?</v>
      </c>
      <c r="FL129" s="25" t="e">
        <v>#NAME?</v>
      </c>
      <c r="FM129" s="25" t="e">
        <v>#NAME?</v>
      </c>
      <c r="FN129" s="25" t="e">
        <v>#NAME?</v>
      </c>
      <c r="FO129" s="25" t="e">
        <v>#NAME?</v>
      </c>
      <c r="FP129" s="25" t="e">
        <v>#NAME?</v>
      </c>
      <c r="FQ129" s="25" t="e">
        <v>#NAME?</v>
      </c>
      <c r="FR129" s="25" t="e">
        <v>#NAME?</v>
      </c>
      <c r="FS129" s="25" t="e">
        <v>#NAME?</v>
      </c>
      <c r="FT129" s="25" t="e">
        <v>#NAME?</v>
      </c>
      <c r="FU129" s="25" t="e">
        <v>#NAME?</v>
      </c>
      <c r="FV129" s="25" t="e">
        <v>#NAME?</v>
      </c>
      <c r="FW129" s="25" t="e">
        <v>#NAME?</v>
      </c>
      <c r="FX129" s="25" t="e">
        <v>#NAME?</v>
      </c>
      <c r="FZ129" s="52" t="s">
        <v>93</v>
      </c>
      <c r="GA129" s="25">
        <v>0</v>
      </c>
      <c r="GB129" s="25">
        <v>0</v>
      </c>
      <c r="GC129" s="25">
        <v>0</v>
      </c>
      <c r="GD129" s="25">
        <v>0</v>
      </c>
      <c r="GE129" s="25">
        <v>0</v>
      </c>
    </row>
    <row r="130" spans="1:187">
      <c r="A130" t="s">
        <v>140</v>
      </c>
      <c r="B130">
        <v>0</v>
      </c>
      <c r="D130" s="35" t="s">
        <v>94</v>
      </c>
      <c r="E130" s="25" t="e">
        <v>#VALUE!</v>
      </c>
      <c r="F130" s="25" t="e">
        <v>#VALUE!</v>
      </c>
      <c r="G130" s="25" t="e">
        <v>#VALUE!</v>
      </c>
      <c r="H130" s="25" t="e">
        <v>#VALUE!</v>
      </c>
      <c r="I130" s="25" t="e">
        <v>#VALUE!</v>
      </c>
      <c r="J130" s="25" t="e">
        <v>#VALUE!</v>
      </c>
      <c r="K130" s="25" t="e">
        <v>#VALUE!</v>
      </c>
      <c r="L130" s="25" t="e">
        <v>#VALUE!</v>
      </c>
      <c r="M130" s="25" t="e">
        <v>#VALUE!</v>
      </c>
      <c r="N130" s="25" t="e">
        <v>#VALUE!</v>
      </c>
      <c r="O130" s="25" t="e">
        <v>#VALUE!</v>
      </c>
      <c r="P130" s="25" t="e">
        <v>#VALUE!</v>
      </c>
      <c r="Q130" s="25" t="e">
        <v>#VALUE!</v>
      </c>
      <c r="R130" s="25" t="e">
        <v>#VALUE!</v>
      </c>
      <c r="S130" s="25" t="e">
        <v>#VALUE!</v>
      </c>
      <c r="T130" s="25" t="e">
        <v>#VALUE!</v>
      </c>
      <c r="U130" s="25" t="e">
        <v>#VALUE!</v>
      </c>
      <c r="V130" s="25" t="e">
        <v>#VALUE!</v>
      </c>
      <c r="W130" s="25" t="e">
        <v>#VALUE!</v>
      </c>
      <c r="X130" s="25" t="e">
        <v>#VALUE!</v>
      </c>
      <c r="Y130" s="25" t="e">
        <v>#VALUE!</v>
      </c>
      <c r="Z130" s="25" t="e">
        <v>#VALUE!</v>
      </c>
      <c r="AA130" s="25" t="e">
        <v>#VALUE!</v>
      </c>
      <c r="AB130" s="25" t="e">
        <v>#VALUE!</v>
      </c>
      <c r="AC130" s="25" t="e">
        <v>#VALUE!</v>
      </c>
      <c r="AD130" s="25" t="e">
        <v>#VALUE!</v>
      </c>
      <c r="AE130" s="25" t="e">
        <v>#VALUE!</v>
      </c>
      <c r="AF130" s="25" t="e">
        <v>#VALUE!</v>
      </c>
      <c r="AG130" s="25" t="e">
        <v>#VALUE!</v>
      </c>
      <c r="AH130" s="25" t="e">
        <v>#VALUE!</v>
      </c>
      <c r="AI130" s="25" t="e">
        <v>#VALUE!</v>
      </c>
      <c r="AJ130" s="25" t="e">
        <v>#VALUE!</v>
      </c>
      <c r="AK130" s="25" t="e">
        <v>#VALUE!</v>
      </c>
      <c r="AL130" s="25" t="e">
        <v>#VALUE!</v>
      </c>
      <c r="AM130" s="25" t="e">
        <v>#VALUE!</v>
      </c>
      <c r="AN130" s="25" t="e">
        <v>#NAME?</v>
      </c>
      <c r="AP130" s="35" t="s">
        <v>94</v>
      </c>
      <c r="AQ130" s="25">
        <v>0</v>
      </c>
      <c r="AR130" s="25">
        <v>0</v>
      </c>
      <c r="AS130" s="25">
        <v>0</v>
      </c>
      <c r="AT130" s="25">
        <v>0</v>
      </c>
      <c r="AU130" s="25">
        <v>0</v>
      </c>
      <c r="AW130" s="78">
        <v>0</v>
      </c>
      <c r="AX130" s="53" t="s">
        <v>95</v>
      </c>
      <c r="AY130" s="25" t="e">
        <v>#NAME?</v>
      </c>
      <c r="AZ130" s="25" t="e">
        <v>#NAME?</v>
      </c>
      <c r="BA130" s="25" t="e">
        <v>#NAME?</v>
      </c>
      <c r="BB130" s="25" t="e">
        <v>#NAME?</v>
      </c>
      <c r="BC130" s="25" t="e">
        <v>#NAME?</v>
      </c>
      <c r="BD130" s="25" t="e">
        <v>#NAME?</v>
      </c>
      <c r="BE130" s="25" t="e">
        <v>#NAME?</v>
      </c>
      <c r="BF130" s="25" t="e">
        <v>#NAME?</v>
      </c>
      <c r="BG130" s="25" t="e">
        <v>#NAME?</v>
      </c>
      <c r="BH130" s="25" t="e">
        <v>#NAME?</v>
      </c>
      <c r="BI130" s="25" t="e">
        <v>#NAME?</v>
      </c>
      <c r="BJ130" s="25" t="e">
        <v>#NAME?</v>
      </c>
      <c r="BK130" s="25" t="e">
        <v>#NAME?</v>
      </c>
      <c r="BL130" s="25" t="e">
        <v>#NAME?</v>
      </c>
      <c r="BM130" s="25" t="e">
        <v>#NAME?</v>
      </c>
      <c r="BN130" s="25" t="e">
        <v>#NAME?</v>
      </c>
      <c r="BO130" s="25" t="e">
        <v>#NAME?</v>
      </c>
      <c r="BP130" s="25" t="e">
        <v>#NAME?</v>
      </c>
      <c r="BQ130" s="25" t="e">
        <v>#NAME?</v>
      </c>
      <c r="BR130" s="25" t="e">
        <v>#NAME?</v>
      </c>
      <c r="BS130" s="25" t="e">
        <v>#NAME?</v>
      </c>
      <c r="BT130" s="25" t="e">
        <v>#NAME?</v>
      </c>
      <c r="BU130" s="25" t="e">
        <v>#NAME?</v>
      </c>
      <c r="BV130" s="25" t="e">
        <v>#NAME?</v>
      </c>
      <c r="BW130" s="25" t="e">
        <v>#NAME?</v>
      </c>
      <c r="BX130" s="25" t="e">
        <v>#NAME?</v>
      </c>
      <c r="BY130" s="25" t="e">
        <v>#NAME?</v>
      </c>
      <c r="BZ130" s="25" t="e">
        <v>#NAME?</v>
      </c>
      <c r="CA130" s="25" t="e">
        <v>#NAME?</v>
      </c>
      <c r="CB130" s="25" t="e">
        <v>#NAME?</v>
      </c>
      <c r="CC130" s="25" t="e">
        <v>#NAME?</v>
      </c>
      <c r="CD130" s="25" t="e">
        <v>#NAME?</v>
      </c>
      <c r="CE130" s="25" t="e">
        <v>#NAME?</v>
      </c>
      <c r="CF130" s="25" t="e">
        <v>#NAME?</v>
      </c>
      <c r="CG130" s="25" t="e">
        <v>#NAME?</v>
      </c>
      <c r="CH130" s="25" t="e">
        <v>#NAME?</v>
      </c>
      <c r="CK130" s="53" t="s">
        <v>95</v>
      </c>
      <c r="CL130" s="25">
        <v>0</v>
      </c>
      <c r="CM130" s="25">
        <v>0</v>
      </c>
      <c r="CN130" s="25">
        <v>0</v>
      </c>
      <c r="CO130" s="25">
        <v>0</v>
      </c>
      <c r="CP130" s="25">
        <v>0</v>
      </c>
      <c r="CR130">
        <v>0</v>
      </c>
      <c r="CS130" s="42" t="s">
        <v>96</v>
      </c>
      <c r="CT130" s="25" t="e">
        <v>#NAME?</v>
      </c>
      <c r="CU130" s="25" t="e">
        <v>#NAME?</v>
      </c>
      <c r="CV130" s="25" t="e">
        <v>#NAME?</v>
      </c>
      <c r="CW130" s="25" t="e">
        <v>#NAME?</v>
      </c>
      <c r="CX130" s="25" t="e">
        <v>#NAME?</v>
      </c>
      <c r="CY130" s="25" t="e">
        <v>#NAME?</v>
      </c>
      <c r="CZ130" s="25" t="e">
        <v>#NAME?</v>
      </c>
      <c r="DA130" s="25" t="e">
        <v>#NAME?</v>
      </c>
      <c r="DB130" s="25" t="e">
        <v>#NAME?</v>
      </c>
      <c r="DC130" s="25" t="e">
        <v>#NAME?</v>
      </c>
      <c r="DD130" s="25" t="e">
        <v>#NAME?</v>
      </c>
      <c r="DE130" s="25" t="e">
        <v>#NAME?</v>
      </c>
      <c r="DF130" s="25" t="e">
        <v>#NAME?</v>
      </c>
      <c r="DG130" s="25" t="e">
        <v>#NAME?</v>
      </c>
      <c r="DH130" s="25" t="e">
        <v>#NAME?</v>
      </c>
      <c r="DI130" s="25" t="e">
        <v>#NAME?</v>
      </c>
      <c r="DJ130" s="25" t="e">
        <v>#NAME?</v>
      </c>
      <c r="DK130" s="25" t="e">
        <v>#NAME?</v>
      </c>
      <c r="DL130" s="25" t="e">
        <v>#NAME?</v>
      </c>
      <c r="DM130" s="25" t="e">
        <v>#NAME?</v>
      </c>
      <c r="DN130" s="25" t="e">
        <v>#NAME?</v>
      </c>
      <c r="DO130" s="25" t="e">
        <v>#NAME?</v>
      </c>
      <c r="DP130" s="25" t="e">
        <v>#NAME?</v>
      </c>
      <c r="DQ130" s="25" t="e">
        <v>#NAME?</v>
      </c>
      <c r="DR130" s="25" t="e">
        <v>#NAME?</v>
      </c>
      <c r="DS130" s="25" t="e">
        <v>#NAME?</v>
      </c>
      <c r="DT130" s="25" t="e">
        <v>#NAME?</v>
      </c>
      <c r="DU130" s="25" t="e">
        <v>#NAME?</v>
      </c>
      <c r="DV130" s="25" t="e">
        <v>#NAME?</v>
      </c>
      <c r="DW130" s="25" t="e">
        <v>#NAME?</v>
      </c>
      <c r="DX130" s="25" t="e">
        <v>#NAME?</v>
      </c>
      <c r="DY130" s="25" t="e">
        <v>#NAME?</v>
      </c>
      <c r="DZ130" s="25" t="e">
        <v>#NAME?</v>
      </c>
      <c r="EA130" s="25" t="e">
        <v>#NAME?</v>
      </c>
      <c r="EB130" s="25" t="e">
        <v>#NAME?</v>
      </c>
      <c r="EC130" s="25" t="e">
        <v>#NAME?</v>
      </c>
      <c r="EE130" s="42" t="s">
        <v>96</v>
      </c>
      <c r="EF130" s="25">
        <v>0</v>
      </c>
      <c r="EG130" s="25">
        <v>0</v>
      </c>
      <c r="EH130" s="25">
        <v>0</v>
      </c>
      <c r="EI130" s="25">
        <v>0</v>
      </c>
      <c r="EJ130" s="25">
        <v>0</v>
      </c>
      <c r="EM130" s="37"/>
    </row>
    <row r="131" spans="1:187">
      <c r="A131" t="s">
        <v>140</v>
      </c>
      <c r="B131">
        <v>0</v>
      </c>
      <c r="D131" s="54" t="s">
        <v>97</v>
      </c>
      <c r="E131" s="55" t="e">
        <v>#VALUE!</v>
      </c>
      <c r="F131" s="55" t="e">
        <v>#VALUE!</v>
      </c>
      <c r="G131" s="55" t="e">
        <v>#VALUE!</v>
      </c>
      <c r="H131" s="55" t="e">
        <v>#VALUE!</v>
      </c>
      <c r="I131" s="55" t="e">
        <v>#VALUE!</v>
      </c>
      <c r="J131" s="55" t="e">
        <v>#VALUE!</v>
      </c>
      <c r="K131" s="55" t="e">
        <v>#VALUE!</v>
      </c>
      <c r="L131" s="55" t="e">
        <v>#VALUE!</v>
      </c>
      <c r="M131" s="55" t="e">
        <v>#VALUE!</v>
      </c>
      <c r="N131" s="55" t="e">
        <v>#VALUE!</v>
      </c>
      <c r="O131" s="55" t="e">
        <v>#VALUE!</v>
      </c>
      <c r="P131" s="55" t="e">
        <v>#VALUE!</v>
      </c>
      <c r="Q131" s="55" t="e">
        <v>#VALUE!</v>
      </c>
      <c r="R131" s="55" t="e">
        <v>#VALUE!</v>
      </c>
      <c r="S131" s="55" t="e">
        <v>#VALUE!</v>
      </c>
      <c r="T131" s="55" t="e">
        <v>#VALUE!</v>
      </c>
      <c r="U131" s="55" t="e">
        <v>#VALUE!</v>
      </c>
      <c r="V131" s="55" t="e">
        <v>#VALUE!</v>
      </c>
      <c r="W131" s="55" t="e">
        <v>#VALUE!</v>
      </c>
      <c r="X131" s="55" t="e">
        <v>#VALUE!</v>
      </c>
      <c r="Y131" s="55" t="e">
        <v>#VALUE!</v>
      </c>
      <c r="Z131" s="55" t="e">
        <v>#VALUE!</v>
      </c>
      <c r="AA131" s="55" t="e">
        <v>#VALUE!</v>
      </c>
      <c r="AB131" s="55" t="e">
        <v>#VALUE!</v>
      </c>
      <c r="AC131" s="55" t="e">
        <v>#VALUE!</v>
      </c>
      <c r="AD131" s="55" t="e">
        <v>#VALUE!</v>
      </c>
      <c r="AE131" s="55" t="e">
        <v>#VALUE!</v>
      </c>
      <c r="AF131" s="55" t="e">
        <v>#VALUE!</v>
      </c>
      <c r="AG131" s="55" t="e">
        <v>#VALUE!</v>
      </c>
      <c r="AH131" s="55" t="e">
        <v>#VALUE!</v>
      </c>
      <c r="AI131" s="55" t="e">
        <v>#VALUE!</v>
      </c>
      <c r="AJ131" s="55" t="e">
        <v>#VALUE!</v>
      </c>
      <c r="AK131" s="55" t="e">
        <v>#VALUE!</v>
      </c>
      <c r="AL131" s="55" t="e">
        <v>#VALUE!</v>
      </c>
      <c r="AM131" s="55" t="e">
        <v>#VALUE!</v>
      </c>
      <c r="AN131" s="55" t="e">
        <v>#NAME?</v>
      </c>
      <c r="AP131" s="54" t="s">
        <v>97</v>
      </c>
      <c r="AQ131" s="55">
        <v>0</v>
      </c>
      <c r="AR131" s="55">
        <v>0</v>
      </c>
      <c r="AS131" s="55">
        <v>0</v>
      </c>
      <c r="AT131" s="55">
        <v>0</v>
      </c>
      <c r="AU131" s="55">
        <v>0</v>
      </c>
      <c r="AW131">
        <v>0</v>
      </c>
      <c r="AX131" s="53" t="s">
        <v>98</v>
      </c>
      <c r="AY131" s="25" t="e">
        <v>#NAME?</v>
      </c>
      <c r="AZ131" s="25" t="e">
        <v>#NAME?</v>
      </c>
      <c r="BA131" s="25" t="e">
        <v>#NAME?</v>
      </c>
      <c r="BB131" s="25" t="e">
        <v>#NAME?</v>
      </c>
      <c r="BC131" s="25" t="e">
        <v>#NAME?</v>
      </c>
      <c r="BD131" s="25" t="e">
        <v>#NAME?</v>
      </c>
      <c r="BE131" s="25" t="e">
        <v>#NAME?</v>
      </c>
      <c r="BF131" s="25" t="e">
        <v>#NAME?</v>
      </c>
      <c r="BG131" s="25" t="e">
        <v>#NAME?</v>
      </c>
      <c r="BH131" s="25" t="e">
        <v>#NAME?</v>
      </c>
      <c r="BI131" s="25" t="e">
        <v>#NAME?</v>
      </c>
      <c r="BJ131" s="25" t="e">
        <v>#NAME?</v>
      </c>
      <c r="BK131" s="25" t="e">
        <v>#NAME?</v>
      </c>
      <c r="BL131" s="25" t="e">
        <v>#NAME?</v>
      </c>
      <c r="BM131" s="25" t="e">
        <v>#NAME?</v>
      </c>
      <c r="BN131" s="25" t="e">
        <v>#NAME?</v>
      </c>
      <c r="BO131" s="25" t="e">
        <v>#NAME?</v>
      </c>
      <c r="BP131" s="25" t="e">
        <v>#NAME?</v>
      </c>
      <c r="BQ131" s="25" t="e">
        <v>#NAME?</v>
      </c>
      <c r="BR131" s="25" t="e">
        <v>#NAME?</v>
      </c>
      <c r="BS131" s="25" t="e">
        <v>#NAME?</v>
      </c>
      <c r="BT131" s="25" t="e">
        <v>#NAME?</v>
      </c>
      <c r="BU131" s="25" t="e">
        <v>#NAME?</v>
      </c>
      <c r="BV131" s="25" t="e">
        <v>#NAME?</v>
      </c>
      <c r="BW131" s="25" t="e">
        <v>#NAME?</v>
      </c>
      <c r="BX131" s="25" t="e">
        <v>#NAME?</v>
      </c>
      <c r="BY131" s="25" t="e">
        <v>#NAME?</v>
      </c>
      <c r="BZ131" s="25" t="e">
        <v>#NAME?</v>
      </c>
      <c r="CA131" s="25" t="e">
        <v>#NAME?</v>
      </c>
      <c r="CB131" s="25" t="e">
        <v>#NAME?</v>
      </c>
      <c r="CC131" s="25" t="e">
        <v>#NAME?</v>
      </c>
      <c r="CD131" s="25" t="e">
        <v>#NAME?</v>
      </c>
      <c r="CE131" s="25" t="e">
        <v>#NAME?</v>
      </c>
      <c r="CF131" s="25" t="e">
        <v>#NAME?</v>
      </c>
      <c r="CG131" s="25" t="e">
        <v>#NAME?</v>
      </c>
      <c r="CH131" s="25" t="e">
        <v>#NAME?</v>
      </c>
      <c r="CK131" s="53" t="s">
        <v>98</v>
      </c>
      <c r="CL131" s="25">
        <v>0</v>
      </c>
      <c r="CM131" s="25">
        <v>0</v>
      </c>
      <c r="CN131" s="25">
        <v>0</v>
      </c>
      <c r="CO131" s="25">
        <v>0</v>
      </c>
      <c r="CP131" s="25">
        <v>0</v>
      </c>
      <c r="CR131">
        <v>0</v>
      </c>
      <c r="CS131" s="42" t="s">
        <v>30</v>
      </c>
      <c r="CT131" s="25" t="e">
        <v>#NAME?</v>
      </c>
      <c r="CU131" s="25" t="e">
        <v>#NAME?</v>
      </c>
      <c r="CV131" s="25" t="e">
        <v>#NAME?</v>
      </c>
      <c r="CW131" s="25" t="e">
        <v>#NAME?</v>
      </c>
      <c r="CX131" s="25" t="e">
        <v>#NAME?</v>
      </c>
      <c r="CY131" s="25" t="e">
        <v>#NAME?</v>
      </c>
      <c r="CZ131" s="25" t="e">
        <v>#NAME?</v>
      </c>
      <c r="DA131" s="25" t="e">
        <v>#NAME?</v>
      </c>
      <c r="DB131" s="25" t="e">
        <v>#NAME?</v>
      </c>
      <c r="DC131" s="25" t="e">
        <v>#NAME?</v>
      </c>
      <c r="DD131" s="25" t="e">
        <v>#NAME?</v>
      </c>
      <c r="DE131" s="25" t="e">
        <v>#NAME?</v>
      </c>
      <c r="DF131" s="25" t="e">
        <v>#NAME?</v>
      </c>
      <c r="DG131" s="25" t="e">
        <v>#NAME?</v>
      </c>
      <c r="DH131" s="25" t="e">
        <v>#NAME?</v>
      </c>
      <c r="DI131" s="25" t="e">
        <v>#NAME?</v>
      </c>
      <c r="DJ131" s="25" t="e">
        <v>#NAME?</v>
      </c>
      <c r="DK131" s="25" t="e">
        <v>#NAME?</v>
      </c>
      <c r="DL131" s="25" t="e">
        <v>#NAME?</v>
      </c>
      <c r="DM131" s="25" t="e">
        <v>#NAME?</v>
      </c>
      <c r="DN131" s="25" t="e">
        <v>#NAME?</v>
      </c>
      <c r="DO131" s="25" t="e">
        <v>#NAME?</v>
      </c>
      <c r="DP131" s="25" t="e">
        <v>#NAME?</v>
      </c>
      <c r="DQ131" s="25" t="e">
        <v>#NAME?</v>
      </c>
      <c r="DR131" s="25" t="e">
        <v>#NAME?</v>
      </c>
      <c r="DS131" s="25" t="e">
        <v>#NAME?</v>
      </c>
      <c r="DT131" s="25" t="e">
        <v>#NAME?</v>
      </c>
      <c r="DU131" s="25" t="e">
        <v>#NAME?</v>
      </c>
      <c r="DV131" s="25" t="e">
        <v>#NAME?</v>
      </c>
      <c r="DW131" s="25" t="e">
        <v>#NAME?</v>
      </c>
      <c r="DX131" s="25" t="e">
        <v>#NAME?</v>
      </c>
      <c r="DY131" s="25" t="e">
        <v>#NAME?</v>
      </c>
      <c r="DZ131" s="25" t="e">
        <v>#NAME?</v>
      </c>
      <c r="EA131" s="25" t="e">
        <v>#NAME?</v>
      </c>
      <c r="EB131" s="25" t="e">
        <v>#NAME?</v>
      </c>
      <c r="EC131" s="25" t="e">
        <v>#NAME?</v>
      </c>
      <c r="EE131" s="42" t="s">
        <v>30</v>
      </c>
      <c r="EF131" s="25">
        <v>0</v>
      </c>
      <c r="EG131" s="25">
        <v>0</v>
      </c>
      <c r="EH131" s="25">
        <v>0</v>
      </c>
      <c r="EI131" s="25">
        <v>0</v>
      </c>
      <c r="EJ131" s="25">
        <v>0</v>
      </c>
      <c r="EM131" s="37"/>
    </row>
    <row r="132" spans="1:187">
      <c r="A132" t="s">
        <v>140</v>
      </c>
      <c r="B132">
        <v>0</v>
      </c>
      <c r="D132" s="56"/>
      <c r="E132" s="57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P132" s="56"/>
      <c r="AQ132" s="57"/>
      <c r="AR132" s="57"/>
      <c r="AS132" s="57"/>
      <c r="AT132" s="57"/>
      <c r="AU132" s="57"/>
      <c r="AW132" s="78">
        <v>0</v>
      </c>
      <c r="AX132" s="45" t="s">
        <v>99</v>
      </c>
      <c r="AY132" s="46" t="e">
        <v>#NAME?</v>
      </c>
      <c r="AZ132" s="46" t="e">
        <v>#NAME?</v>
      </c>
      <c r="BA132" s="46" t="e">
        <v>#NAME?</v>
      </c>
      <c r="BB132" s="46" t="e">
        <v>#NAME?</v>
      </c>
      <c r="BC132" s="46" t="e">
        <v>#NAME?</v>
      </c>
      <c r="BD132" s="46" t="e">
        <v>#NAME?</v>
      </c>
      <c r="BE132" s="46" t="e">
        <v>#NAME?</v>
      </c>
      <c r="BF132" s="46" t="e">
        <v>#NAME?</v>
      </c>
      <c r="BG132" s="46" t="e">
        <v>#NAME?</v>
      </c>
      <c r="BH132" s="46" t="e">
        <v>#NAME?</v>
      </c>
      <c r="BI132" s="46" t="e">
        <v>#NAME?</v>
      </c>
      <c r="BJ132" s="46" t="e">
        <v>#NAME?</v>
      </c>
      <c r="BK132" s="46" t="e">
        <v>#NAME?</v>
      </c>
      <c r="BL132" s="46" t="e">
        <v>#NAME?</v>
      </c>
      <c r="BM132" s="46" t="e">
        <v>#NAME?</v>
      </c>
      <c r="BN132" s="46" t="e">
        <v>#NAME?</v>
      </c>
      <c r="BO132" s="46" t="e">
        <v>#NAME?</v>
      </c>
      <c r="BP132" s="46" t="e">
        <v>#NAME?</v>
      </c>
      <c r="BQ132" s="46" t="e">
        <v>#NAME?</v>
      </c>
      <c r="BR132" s="46" t="e">
        <v>#NAME?</v>
      </c>
      <c r="BS132" s="46" t="e">
        <v>#NAME?</v>
      </c>
      <c r="BT132" s="46" t="e">
        <v>#NAME?</v>
      </c>
      <c r="BU132" s="46" t="e">
        <v>#NAME?</v>
      </c>
      <c r="BV132" s="46" t="e">
        <v>#NAME?</v>
      </c>
      <c r="BW132" s="46" t="e">
        <v>#NAME?</v>
      </c>
      <c r="BX132" s="46" t="e">
        <v>#NAME?</v>
      </c>
      <c r="BY132" s="46" t="e">
        <v>#NAME?</v>
      </c>
      <c r="BZ132" s="46" t="e">
        <v>#NAME?</v>
      </c>
      <c r="CA132" s="46" t="e">
        <v>#NAME?</v>
      </c>
      <c r="CB132" s="46" t="e">
        <v>#NAME?</v>
      </c>
      <c r="CC132" s="46" t="e">
        <v>#NAME?</v>
      </c>
      <c r="CD132" s="46" t="e">
        <v>#NAME?</v>
      </c>
      <c r="CE132" s="46" t="e">
        <v>#NAME?</v>
      </c>
      <c r="CF132" s="46" t="e">
        <v>#NAME?</v>
      </c>
      <c r="CG132" s="46" t="e">
        <v>#NAME?</v>
      </c>
      <c r="CH132" s="46" t="e">
        <v>#NAME?</v>
      </c>
      <c r="CK132" s="45" t="s">
        <v>99</v>
      </c>
      <c r="CL132" s="46">
        <v>0</v>
      </c>
      <c r="CM132" s="46">
        <v>0</v>
      </c>
      <c r="CN132" s="46">
        <v>0</v>
      </c>
      <c r="CO132" s="46">
        <v>0</v>
      </c>
      <c r="CP132" s="46">
        <v>0</v>
      </c>
      <c r="CQ132" t="s">
        <v>247</v>
      </c>
      <c r="CR132">
        <v>0</v>
      </c>
      <c r="CS132" s="42" t="s">
        <v>47</v>
      </c>
      <c r="CT132" s="25" t="e">
        <v>#NAME?</v>
      </c>
      <c r="CU132" s="25" t="e">
        <v>#NAME?</v>
      </c>
      <c r="CV132" s="25" t="e">
        <v>#NAME?</v>
      </c>
      <c r="CW132" s="25" t="e">
        <v>#NAME?</v>
      </c>
      <c r="CX132" s="25" t="e">
        <v>#NAME?</v>
      </c>
      <c r="CY132" s="25" t="e">
        <v>#NAME?</v>
      </c>
      <c r="CZ132" s="25" t="e">
        <v>#NAME?</v>
      </c>
      <c r="DA132" s="25" t="e">
        <v>#NAME?</v>
      </c>
      <c r="DB132" s="25" t="e">
        <v>#NAME?</v>
      </c>
      <c r="DC132" s="25" t="e">
        <v>#NAME?</v>
      </c>
      <c r="DD132" s="25" t="e">
        <v>#NAME?</v>
      </c>
      <c r="DE132" s="25" t="e">
        <v>#NAME?</v>
      </c>
      <c r="DF132" s="25" t="e">
        <v>#NAME?</v>
      </c>
      <c r="DG132" s="25" t="e">
        <v>#NAME?</v>
      </c>
      <c r="DH132" s="25" t="e">
        <v>#NAME?</v>
      </c>
      <c r="DI132" s="25" t="e">
        <v>#NAME?</v>
      </c>
      <c r="DJ132" s="25" t="e">
        <v>#NAME?</v>
      </c>
      <c r="DK132" s="25" t="e">
        <v>#NAME?</v>
      </c>
      <c r="DL132" s="25" t="e">
        <v>#NAME?</v>
      </c>
      <c r="DM132" s="25" t="e">
        <v>#NAME?</v>
      </c>
      <c r="DN132" s="25" t="e">
        <v>#NAME?</v>
      </c>
      <c r="DO132" s="25" t="e">
        <v>#NAME?</v>
      </c>
      <c r="DP132" s="25" t="e">
        <v>#NAME?</v>
      </c>
      <c r="DQ132" s="25" t="e">
        <v>#NAME?</v>
      </c>
      <c r="DR132" s="25" t="e">
        <v>#NAME?</v>
      </c>
      <c r="DS132" s="25" t="e">
        <v>#NAME?</v>
      </c>
      <c r="DT132" s="25" t="e">
        <v>#NAME?</v>
      </c>
      <c r="DU132" s="25" t="e">
        <v>#NAME?</v>
      </c>
      <c r="DV132" s="25" t="e">
        <v>#NAME?</v>
      </c>
      <c r="DW132" s="25" t="e">
        <v>#NAME?</v>
      </c>
      <c r="DX132" s="25" t="e">
        <v>#NAME?</v>
      </c>
      <c r="DY132" s="25" t="e">
        <v>#NAME?</v>
      </c>
      <c r="DZ132" s="25" t="e">
        <v>#NAME?</v>
      </c>
      <c r="EA132" s="25" t="e">
        <v>#NAME?</v>
      </c>
      <c r="EB132" s="25" t="e">
        <v>#NAME?</v>
      </c>
      <c r="EC132" s="25" t="e">
        <v>#NAME?</v>
      </c>
      <c r="EE132" s="42" t="s">
        <v>47</v>
      </c>
      <c r="EF132" s="25">
        <v>0</v>
      </c>
      <c r="EG132" s="25">
        <v>0</v>
      </c>
      <c r="EH132" s="25">
        <v>0</v>
      </c>
      <c r="EI132" s="25">
        <v>0</v>
      </c>
      <c r="EJ132" s="25">
        <v>0</v>
      </c>
      <c r="EM132" s="37"/>
    </row>
    <row r="133" spans="1:187">
      <c r="A133" t="s">
        <v>140</v>
      </c>
      <c r="B133">
        <v>0</v>
      </c>
      <c r="D133" s="58" t="s">
        <v>100</v>
      </c>
      <c r="E133" s="57"/>
      <c r="F133" s="57"/>
      <c r="G133" s="57"/>
      <c r="H133" s="57"/>
      <c r="I133" s="57"/>
      <c r="J133" s="57"/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P133" s="58" t="s">
        <v>100</v>
      </c>
      <c r="AQ133" s="57"/>
      <c r="AR133" s="57"/>
      <c r="AS133" s="57"/>
      <c r="AT133" s="57"/>
      <c r="AU133" s="57"/>
      <c r="AW133" t="e">
        <v>#NAME?</v>
      </c>
      <c r="AX133" s="47" t="s">
        <v>101</v>
      </c>
      <c r="AY133" s="48" t="e">
        <v>#NAME?</v>
      </c>
      <c r="AZ133" s="48" t="e">
        <v>#NAME?</v>
      </c>
      <c r="BA133" s="48" t="e">
        <v>#NAME?</v>
      </c>
      <c r="BB133" s="48" t="e">
        <v>#NAME?</v>
      </c>
      <c r="BC133" s="48" t="e">
        <v>#NAME?</v>
      </c>
      <c r="BD133" s="48" t="e">
        <v>#NAME?</v>
      </c>
      <c r="BE133" s="48" t="e">
        <v>#NAME?</v>
      </c>
      <c r="BF133" s="48" t="e">
        <v>#NAME?</v>
      </c>
      <c r="BG133" s="48" t="e">
        <v>#NAME?</v>
      </c>
      <c r="BH133" s="48" t="e">
        <v>#NAME?</v>
      </c>
      <c r="BI133" s="48" t="e">
        <v>#NAME?</v>
      </c>
      <c r="BJ133" s="48" t="e">
        <v>#NAME?</v>
      </c>
      <c r="BK133" s="48" t="e">
        <v>#NAME?</v>
      </c>
      <c r="BL133" s="48" t="e">
        <v>#NAME?</v>
      </c>
      <c r="BM133" s="48" t="e">
        <v>#NAME?</v>
      </c>
      <c r="BN133" s="48" t="e">
        <v>#NAME?</v>
      </c>
      <c r="BO133" s="48" t="e">
        <v>#NAME?</v>
      </c>
      <c r="BP133" s="48" t="e">
        <v>#NAME?</v>
      </c>
      <c r="BQ133" s="48" t="e">
        <v>#NAME?</v>
      </c>
      <c r="BR133" s="48" t="e">
        <v>#NAME?</v>
      </c>
      <c r="BS133" s="48" t="e">
        <v>#NAME?</v>
      </c>
      <c r="BT133" s="48" t="e">
        <v>#NAME?</v>
      </c>
      <c r="BU133" s="48" t="e">
        <v>#NAME?</v>
      </c>
      <c r="BV133" s="48" t="e">
        <v>#NAME?</v>
      </c>
      <c r="BW133" s="48" t="e">
        <v>#NAME?</v>
      </c>
      <c r="BX133" s="48" t="e">
        <v>#NAME?</v>
      </c>
      <c r="BY133" s="48" t="e">
        <v>#NAME?</v>
      </c>
      <c r="BZ133" s="48" t="e">
        <v>#NAME?</v>
      </c>
      <c r="CA133" s="48" t="e">
        <v>#NAME?</v>
      </c>
      <c r="CB133" s="48" t="e">
        <v>#NAME?</v>
      </c>
      <c r="CC133" s="48" t="e">
        <v>#NAME?</v>
      </c>
      <c r="CD133" s="48" t="e">
        <v>#NAME?</v>
      </c>
      <c r="CE133" s="48" t="e">
        <v>#NAME?</v>
      </c>
      <c r="CF133" s="48" t="e">
        <v>#NAME?</v>
      </c>
      <c r="CG133" s="48" t="e">
        <v>#NAME?</v>
      </c>
      <c r="CH133" s="48" t="e">
        <v>#NAME?</v>
      </c>
      <c r="CK133" s="47" t="s">
        <v>101</v>
      </c>
      <c r="CL133" s="48" t="e">
        <v>#NAME?</v>
      </c>
      <c r="CM133" s="48" t="e">
        <v>#NAME?</v>
      </c>
      <c r="CN133" s="48" t="e">
        <v>#NAME?</v>
      </c>
      <c r="CO133" s="48" t="e">
        <v>#NAME?</v>
      </c>
      <c r="CP133" s="48" t="e">
        <v>#NAME?</v>
      </c>
      <c r="CQ133" t="s">
        <v>247</v>
      </c>
      <c r="CR133">
        <v>0</v>
      </c>
      <c r="CS133" s="42" t="s">
        <v>102</v>
      </c>
      <c r="CT133" s="25" t="e">
        <v>#NAME?</v>
      </c>
      <c r="CU133" s="25" t="e">
        <v>#NAME?</v>
      </c>
      <c r="CV133" s="25" t="e">
        <v>#NAME?</v>
      </c>
      <c r="CW133" s="25" t="e">
        <v>#NAME?</v>
      </c>
      <c r="CX133" s="25" t="e">
        <v>#NAME?</v>
      </c>
      <c r="CY133" s="25" t="e">
        <v>#NAME?</v>
      </c>
      <c r="CZ133" s="25" t="e">
        <v>#NAME?</v>
      </c>
      <c r="DA133" s="25" t="e">
        <v>#NAME?</v>
      </c>
      <c r="DB133" s="25" t="e">
        <v>#NAME?</v>
      </c>
      <c r="DC133" s="25" t="e">
        <v>#NAME?</v>
      </c>
      <c r="DD133" s="25" t="e">
        <v>#NAME?</v>
      </c>
      <c r="DE133" s="25" t="e">
        <v>#NAME?</v>
      </c>
      <c r="DF133" s="25" t="e">
        <v>#NAME?</v>
      </c>
      <c r="DG133" s="25" t="e">
        <v>#NAME?</v>
      </c>
      <c r="DH133" s="25" t="e">
        <v>#NAME?</v>
      </c>
      <c r="DI133" s="25" t="e">
        <v>#NAME?</v>
      </c>
      <c r="DJ133" s="25" t="e">
        <v>#NAME?</v>
      </c>
      <c r="DK133" s="25" t="e">
        <v>#NAME?</v>
      </c>
      <c r="DL133" s="25" t="e">
        <v>#NAME?</v>
      </c>
      <c r="DM133" s="25" t="e">
        <v>#NAME?</v>
      </c>
      <c r="DN133" s="25" t="e">
        <v>#NAME?</v>
      </c>
      <c r="DO133" s="25" t="e">
        <v>#NAME?</v>
      </c>
      <c r="DP133" s="25" t="e">
        <v>#NAME?</v>
      </c>
      <c r="DQ133" s="25" t="e">
        <v>#NAME?</v>
      </c>
      <c r="DR133" s="25" t="e">
        <v>#NAME?</v>
      </c>
      <c r="DS133" s="25" t="e">
        <v>#NAME?</v>
      </c>
      <c r="DT133" s="25" t="e">
        <v>#NAME?</v>
      </c>
      <c r="DU133" s="25" t="e">
        <v>#NAME?</v>
      </c>
      <c r="DV133" s="25" t="e">
        <v>#NAME?</v>
      </c>
      <c r="DW133" s="25" t="e">
        <v>#NAME?</v>
      </c>
      <c r="DX133" s="25" t="e">
        <v>#NAME?</v>
      </c>
      <c r="DY133" s="25" t="e">
        <v>#NAME?</v>
      </c>
      <c r="DZ133" s="25" t="e">
        <v>#NAME?</v>
      </c>
      <c r="EA133" s="25" t="e">
        <v>#NAME?</v>
      </c>
      <c r="EB133" s="25" t="e">
        <v>#NAME?</v>
      </c>
      <c r="EC133" s="25" t="e">
        <v>#NAME?</v>
      </c>
      <c r="EE133" s="42" t="s">
        <v>102</v>
      </c>
      <c r="EF133" s="25">
        <v>0</v>
      </c>
      <c r="EG133" s="25">
        <v>0</v>
      </c>
      <c r="EH133" s="25">
        <v>0</v>
      </c>
      <c r="EI133" s="25">
        <v>0</v>
      </c>
      <c r="EJ133" s="25">
        <v>0</v>
      </c>
      <c r="EM133" s="37"/>
    </row>
    <row r="134" spans="1:187">
      <c r="A134" t="s">
        <v>140</v>
      </c>
      <c r="B134">
        <v>0</v>
      </c>
      <c r="D134" s="35" t="s">
        <v>103</v>
      </c>
      <c r="E134" s="25" t="e">
        <v>#VALUE!</v>
      </c>
      <c r="F134" s="25" t="e">
        <v>#VALUE!</v>
      </c>
      <c r="G134" s="25" t="e">
        <v>#VALUE!</v>
      </c>
      <c r="H134" s="25" t="e">
        <v>#VALUE!</v>
      </c>
      <c r="I134" s="25" t="e">
        <v>#VALUE!</v>
      </c>
      <c r="J134" s="25" t="e">
        <v>#VALUE!</v>
      </c>
      <c r="K134" s="25" t="e">
        <v>#VALUE!</v>
      </c>
      <c r="L134" s="25" t="e">
        <v>#VALUE!</v>
      </c>
      <c r="M134" s="25" t="e">
        <v>#VALUE!</v>
      </c>
      <c r="N134" s="25" t="e">
        <v>#VALUE!</v>
      </c>
      <c r="O134" s="25" t="e">
        <v>#VALUE!</v>
      </c>
      <c r="P134" s="25" t="e">
        <v>#VALUE!</v>
      </c>
      <c r="Q134" s="25" t="e">
        <v>#VALUE!</v>
      </c>
      <c r="R134" s="25" t="e">
        <v>#VALUE!</v>
      </c>
      <c r="S134" s="25" t="e">
        <v>#VALUE!</v>
      </c>
      <c r="T134" s="25" t="e">
        <v>#VALUE!</v>
      </c>
      <c r="U134" s="25" t="e">
        <v>#VALUE!</v>
      </c>
      <c r="V134" s="25" t="e">
        <v>#VALUE!</v>
      </c>
      <c r="W134" s="25" t="e">
        <v>#VALUE!</v>
      </c>
      <c r="X134" s="25" t="e">
        <v>#VALUE!</v>
      </c>
      <c r="Y134" s="25" t="e">
        <v>#VALUE!</v>
      </c>
      <c r="Z134" s="25" t="e">
        <v>#VALUE!</v>
      </c>
      <c r="AA134" s="25" t="e">
        <v>#VALUE!</v>
      </c>
      <c r="AB134" s="25" t="e">
        <v>#VALUE!</v>
      </c>
      <c r="AC134" s="25" t="e">
        <v>#VALUE!</v>
      </c>
      <c r="AD134" s="25" t="e">
        <v>#VALUE!</v>
      </c>
      <c r="AE134" s="25" t="e">
        <v>#VALUE!</v>
      </c>
      <c r="AF134" s="25" t="e">
        <v>#VALUE!</v>
      </c>
      <c r="AG134" s="25" t="e">
        <v>#VALUE!</v>
      </c>
      <c r="AH134" s="25" t="e">
        <v>#VALUE!</v>
      </c>
      <c r="AI134" s="25" t="e">
        <v>#VALUE!</v>
      </c>
      <c r="AJ134" s="25" t="e">
        <v>#VALUE!</v>
      </c>
      <c r="AK134" s="25" t="e">
        <v>#VALUE!</v>
      </c>
      <c r="AL134" s="25" t="e">
        <v>#VALUE!</v>
      </c>
      <c r="AM134" s="25" t="e">
        <v>#VALUE!</v>
      </c>
      <c r="AN134" s="25" t="e">
        <v>#NAME?</v>
      </c>
      <c r="AP134" s="35" t="s">
        <v>103</v>
      </c>
      <c r="AQ134" s="25">
        <v>0</v>
      </c>
      <c r="AR134" s="25">
        <v>0</v>
      </c>
      <c r="AS134" s="25">
        <v>0</v>
      </c>
      <c r="AT134" s="25">
        <v>0</v>
      </c>
      <c r="AU134" s="25">
        <v>0</v>
      </c>
      <c r="AX134" s="59"/>
      <c r="AY134" s="51"/>
      <c r="AZ134" s="51"/>
      <c r="BA134" s="51"/>
      <c r="BB134" s="51"/>
      <c r="BC134" s="51"/>
      <c r="BD134" s="51"/>
      <c r="BE134" s="51"/>
      <c r="BF134" s="51"/>
      <c r="BG134" s="51"/>
      <c r="BH134" s="51"/>
      <c r="BI134" s="51"/>
      <c r="BJ134" s="51"/>
      <c r="BK134" s="51"/>
      <c r="BL134" s="51"/>
      <c r="BM134" s="51"/>
      <c r="BN134" s="51"/>
      <c r="BO134" s="51"/>
      <c r="BP134" s="51"/>
      <c r="BQ134" s="51"/>
      <c r="BR134" s="51"/>
      <c r="BS134" s="51"/>
      <c r="BT134" s="51"/>
      <c r="BU134" s="51"/>
      <c r="BV134" s="51"/>
      <c r="BW134" s="51"/>
      <c r="BX134" s="51"/>
      <c r="BY134" s="51"/>
      <c r="BZ134" s="51"/>
      <c r="CA134" s="51"/>
      <c r="CB134" s="51"/>
      <c r="CC134" s="51"/>
      <c r="CD134" s="51"/>
      <c r="CE134" s="51"/>
      <c r="CF134" s="51"/>
      <c r="CG134" s="51"/>
      <c r="CH134" s="51"/>
      <c r="CK134" s="59"/>
      <c r="CL134" s="51"/>
      <c r="CM134" s="51"/>
      <c r="CN134" s="51"/>
      <c r="CO134" s="51"/>
      <c r="CP134" s="51"/>
      <c r="CS134" s="60" t="s">
        <v>104</v>
      </c>
      <c r="CT134" s="51" t="e">
        <v>#NAME?</v>
      </c>
      <c r="CU134" s="51" t="e">
        <v>#NAME?</v>
      </c>
      <c r="CV134" s="51" t="e">
        <v>#NAME?</v>
      </c>
      <c r="CW134" s="51" t="e">
        <v>#NAME?</v>
      </c>
      <c r="CX134" s="51" t="e">
        <v>#NAME?</v>
      </c>
      <c r="CY134" s="51" t="e">
        <v>#NAME?</v>
      </c>
      <c r="CZ134" s="51" t="e">
        <v>#NAME?</v>
      </c>
      <c r="DA134" s="51" t="e">
        <v>#NAME?</v>
      </c>
      <c r="DB134" s="51" t="e">
        <v>#NAME?</v>
      </c>
      <c r="DC134" s="51" t="e">
        <v>#NAME?</v>
      </c>
      <c r="DD134" s="51" t="e">
        <v>#NAME?</v>
      </c>
      <c r="DE134" s="51" t="e">
        <v>#NAME?</v>
      </c>
      <c r="DF134" s="51" t="e">
        <v>#NAME?</v>
      </c>
      <c r="DG134" s="51" t="e">
        <v>#NAME?</v>
      </c>
      <c r="DH134" s="51" t="e">
        <v>#NAME?</v>
      </c>
      <c r="DI134" s="51" t="e">
        <v>#NAME?</v>
      </c>
      <c r="DJ134" s="51" t="e">
        <v>#NAME?</v>
      </c>
      <c r="DK134" s="51" t="e">
        <v>#NAME?</v>
      </c>
      <c r="DL134" s="51" t="e">
        <v>#NAME?</v>
      </c>
      <c r="DM134" s="51" t="e">
        <v>#NAME?</v>
      </c>
      <c r="DN134" s="51" t="e">
        <v>#NAME?</v>
      </c>
      <c r="DO134" s="51" t="e">
        <v>#NAME?</v>
      </c>
      <c r="DP134" s="51" t="e">
        <v>#NAME?</v>
      </c>
      <c r="DQ134" s="51" t="e">
        <v>#NAME?</v>
      </c>
      <c r="DR134" s="51" t="e">
        <v>#NAME?</v>
      </c>
      <c r="DS134" s="51" t="e">
        <v>#NAME?</v>
      </c>
      <c r="DT134" s="51" t="e">
        <v>#NAME?</v>
      </c>
      <c r="DU134" s="51" t="e">
        <v>#NAME?</v>
      </c>
      <c r="DV134" s="51" t="e">
        <v>#NAME?</v>
      </c>
      <c r="DW134" s="51" t="e">
        <v>#NAME?</v>
      </c>
      <c r="DX134" s="51" t="e">
        <v>#NAME?</v>
      </c>
      <c r="DY134" s="51" t="e">
        <v>#NAME?</v>
      </c>
      <c r="DZ134" s="51" t="e">
        <v>#NAME?</v>
      </c>
      <c r="EA134" s="51" t="e">
        <v>#NAME?</v>
      </c>
      <c r="EB134" s="51" t="e">
        <v>#NAME?</v>
      </c>
      <c r="EC134" s="51" t="e">
        <v>#NAME?</v>
      </c>
      <c r="EE134" s="60" t="s">
        <v>104</v>
      </c>
      <c r="EF134" s="51">
        <v>0</v>
      </c>
      <c r="EG134" s="51">
        <v>0</v>
      </c>
      <c r="EH134" s="51">
        <v>0</v>
      </c>
      <c r="EI134" s="51">
        <v>0</v>
      </c>
      <c r="EJ134" s="51">
        <v>0</v>
      </c>
      <c r="EM134" s="37"/>
    </row>
    <row r="135" spans="1:187" ht="15.75" thickBot="1">
      <c r="A135" t="s">
        <v>140</v>
      </c>
      <c r="B135">
        <v>0</v>
      </c>
      <c r="D135" s="56" t="s">
        <v>105</v>
      </c>
      <c r="E135" s="25" t="e">
        <v>#VALUE!</v>
      </c>
      <c r="F135" s="25" t="e">
        <v>#VALUE!</v>
      </c>
      <c r="G135" s="25" t="e">
        <v>#VALUE!</v>
      </c>
      <c r="H135" s="25" t="e">
        <v>#VALUE!</v>
      </c>
      <c r="I135" s="25" t="e">
        <v>#VALUE!</v>
      </c>
      <c r="J135" s="25" t="e">
        <v>#VALUE!</v>
      </c>
      <c r="K135" s="25" t="e">
        <v>#VALUE!</v>
      </c>
      <c r="L135" s="25" t="e">
        <v>#VALUE!</v>
      </c>
      <c r="M135" s="25" t="e">
        <v>#VALUE!</v>
      </c>
      <c r="N135" s="25" t="e">
        <v>#VALUE!</v>
      </c>
      <c r="O135" s="25" t="e">
        <v>#VALUE!</v>
      </c>
      <c r="P135" s="25" t="e">
        <v>#VALUE!</v>
      </c>
      <c r="Q135" s="25" t="e">
        <v>#VALUE!</v>
      </c>
      <c r="R135" s="25" t="e">
        <v>#VALUE!</v>
      </c>
      <c r="S135" s="25" t="e">
        <v>#VALUE!</v>
      </c>
      <c r="T135" s="25" t="e">
        <v>#VALUE!</v>
      </c>
      <c r="U135" s="25" t="e">
        <v>#VALUE!</v>
      </c>
      <c r="V135" s="25" t="e">
        <v>#VALUE!</v>
      </c>
      <c r="W135" s="25" t="e">
        <v>#VALUE!</v>
      </c>
      <c r="X135" s="25" t="e">
        <v>#VALUE!</v>
      </c>
      <c r="Y135" s="25" t="e">
        <v>#VALUE!</v>
      </c>
      <c r="Z135" s="25" t="e">
        <v>#VALUE!</v>
      </c>
      <c r="AA135" s="25" t="e">
        <v>#VALUE!</v>
      </c>
      <c r="AB135" s="25" t="e">
        <v>#VALUE!</v>
      </c>
      <c r="AC135" s="25" t="e">
        <v>#VALUE!</v>
      </c>
      <c r="AD135" s="25" t="e">
        <v>#VALUE!</v>
      </c>
      <c r="AE135" s="25" t="e">
        <v>#VALUE!</v>
      </c>
      <c r="AF135" s="25" t="e">
        <v>#VALUE!</v>
      </c>
      <c r="AG135" s="25" t="e">
        <v>#VALUE!</v>
      </c>
      <c r="AH135" s="25" t="e">
        <v>#VALUE!</v>
      </c>
      <c r="AI135" s="25" t="e">
        <v>#VALUE!</v>
      </c>
      <c r="AJ135" s="25" t="e">
        <v>#VALUE!</v>
      </c>
      <c r="AK135" s="25" t="e">
        <v>#VALUE!</v>
      </c>
      <c r="AL135" s="25" t="e">
        <v>#VALUE!</v>
      </c>
      <c r="AM135" s="25" t="e">
        <v>#VALUE!</v>
      </c>
      <c r="AN135" s="25" t="e">
        <v>#NAME?</v>
      </c>
      <c r="AP135" s="56" t="s">
        <v>105</v>
      </c>
      <c r="AQ135" s="25">
        <v>0</v>
      </c>
      <c r="AR135" s="25">
        <v>0</v>
      </c>
      <c r="AS135" s="25">
        <v>0</v>
      </c>
      <c r="AT135" s="25">
        <v>0</v>
      </c>
      <c r="AU135" s="25">
        <v>0</v>
      </c>
      <c r="AW135">
        <v>0</v>
      </c>
      <c r="AX135" s="61" t="s">
        <v>106</v>
      </c>
      <c r="AY135" s="25" t="e">
        <v>#NAME?</v>
      </c>
      <c r="AZ135" s="25" t="e">
        <v>#NAME?</v>
      </c>
      <c r="BA135" s="25" t="e">
        <v>#NAME?</v>
      </c>
      <c r="BB135" s="25" t="e">
        <v>#NAME?</v>
      </c>
      <c r="BC135" s="25" t="e">
        <v>#NAME?</v>
      </c>
      <c r="BD135" s="25" t="e">
        <v>#NAME?</v>
      </c>
      <c r="BE135" s="25" t="e">
        <v>#NAME?</v>
      </c>
      <c r="BF135" s="25" t="e">
        <v>#NAME?</v>
      </c>
      <c r="BG135" s="25" t="e">
        <v>#NAME?</v>
      </c>
      <c r="BH135" s="25" t="e">
        <v>#NAME?</v>
      </c>
      <c r="BI135" s="25" t="e">
        <v>#NAME?</v>
      </c>
      <c r="BJ135" s="25" t="e">
        <v>#NAME?</v>
      </c>
      <c r="BK135" s="25" t="e">
        <v>#NAME?</v>
      </c>
      <c r="BL135" s="25" t="e">
        <v>#NAME?</v>
      </c>
      <c r="BM135" s="25" t="e">
        <v>#NAME?</v>
      </c>
      <c r="BN135" s="25" t="e">
        <v>#NAME?</v>
      </c>
      <c r="BO135" s="25" t="e">
        <v>#NAME?</v>
      </c>
      <c r="BP135" s="25" t="e">
        <v>#NAME?</v>
      </c>
      <c r="BQ135" s="25" t="e">
        <v>#NAME?</v>
      </c>
      <c r="BR135" s="25" t="e">
        <v>#NAME?</v>
      </c>
      <c r="BS135" s="25" t="e">
        <v>#NAME?</v>
      </c>
      <c r="BT135" s="25" t="e">
        <v>#NAME?</v>
      </c>
      <c r="BU135" s="25" t="e">
        <v>#NAME?</v>
      </c>
      <c r="BV135" s="25" t="e">
        <v>#NAME?</v>
      </c>
      <c r="BW135" s="25" t="e">
        <v>#NAME?</v>
      </c>
      <c r="BX135" s="25" t="e">
        <v>#NAME?</v>
      </c>
      <c r="BY135" s="25" t="e">
        <v>#NAME?</v>
      </c>
      <c r="BZ135" s="25" t="e">
        <v>#NAME?</v>
      </c>
      <c r="CA135" s="25" t="e">
        <v>#NAME?</v>
      </c>
      <c r="CB135" s="25" t="e">
        <v>#NAME?</v>
      </c>
      <c r="CC135" s="25" t="e">
        <v>#NAME?</v>
      </c>
      <c r="CD135" s="25" t="e">
        <v>#NAME?</v>
      </c>
      <c r="CE135" s="25" t="e">
        <v>#NAME?</v>
      </c>
      <c r="CF135" s="25" t="e">
        <v>#NAME?</v>
      </c>
      <c r="CG135" s="25" t="e">
        <v>#NAME?</v>
      </c>
      <c r="CH135" s="25" t="e">
        <v>#NAME?</v>
      </c>
      <c r="CK135" s="61" t="s">
        <v>106</v>
      </c>
      <c r="CL135" s="25">
        <v>0</v>
      </c>
      <c r="CM135" s="25">
        <v>0</v>
      </c>
      <c r="CN135" s="25">
        <v>0</v>
      </c>
      <c r="CO135" s="25">
        <v>0</v>
      </c>
      <c r="CP135" s="25">
        <v>0</v>
      </c>
      <c r="CS135" s="62" t="s">
        <v>107</v>
      </c>
      <c r="CT135" s="63"/>
      <c r="CU135" s="63"/>
      <c r="CV135" s="63"/>
      <c r="CW135" s="63"/>
      <c r="CX135" s="63"/>
      <c r="CY135" s="63"/>
      <c r="CZ135" s="63"/>
      <c r="DA135" s="63"/>
      <c r="DB135" s="63"/>
      <c r="DC135" s="63"/>
      <c r="DD135" s="63"/>
      <c r="DE135" s="63"/>
      <c r="DF135" s="63"/>
      <c r="DG135" s="63"/>
      <c r="DH135" s="63"/>
      <c r="DI135" s="63"/>
      <c r="DJ135" s="63"/>
      <c r="DK135" s="63"/>
      <c r="DL135" s="63"/>
      <c r="DM135" s="63"/>
      <c r="DN135" s="63"/>
      <c r="DO135" s="63"/>
      <c r="DP135" s="63"/>
      <c r="DQ135" s="63"/>
      <c r="DR135" s="63"/>
      <c r="DS135" s="63"/>
      <c r="DT135" s="63"/>
      <c r="DU135" s="63"/>
      <c r="DV135" s="63"/>
      <c r="DW135" s="63"/>
      <c r="DX135" s="63"/>
      <c r="DY135" s="63"/>
      <c r="DZ135" s="63"/>
      <c r="EA135" s="63"/>
      <c r="EB135" s="63"/>
      <c r="EC135" s="63"/>
      <c r="EE135" s="62" t="s">
        <v>107</v>
      </c>
      <c r="EF135" s="63">
        <v>0</v>
      </c>
      <c r="EG135" s="63">
        <v>0</v>
      </c>
      <c r="EH135" s="63">
        <v>0</v>
      </c>
      <c r="EI135" s="63">
        <v>0</v>
      </c>
      <c r="EJ135" s="63">
        <v>0</v>
      </c>
    </row>
    <row r="136" spans="1:187">
      <c r="A136" t="s">
        <v>140</v>
      </c>
      <c r="B136">
        <v>0</v>
      </c>
      <c r="D136" s="40" t="s">
        <v>108</v>
      </c>
      <c r="E136" s="25" t="e">
        <v>#VALUE!</v>
      </c>
      <c r="F136" s="25" t="e">
        <v>#VALUE!</v>
      </c>
      <c r="G136" s="25" t="e">
        <v>#VALUE!</v>
      </c>
      <c r="H136" s="25" t="e">
        <v>#VALUE!</v>
      </c>
      <c r="I136" s="25" t="e">
        <v>#VALUE!</v>
      </c>
      <c r="J136" s="25" t="e">
        <v>#VALUE!</v>
      </c>
      <c r="K136" s="25" t="e">
        <v>#VALUE!</v>
      </c>
      <c r="L136" s="25" t="e">
        <v>#VALUE!</v>
      </c>
      <c r="M136" s="25" t="e">
        <v>#VALUE!</v>
      </c>
      <c r="N136" s="25" t="e">
        <v>#VALUE!</v>
      </c>
      <c r="O136" s="25" t="e">
        <v>#VALUE!</v>
      </c>
      <c r="P136" s="25" t="e">
        <v>#VALUE!</v>
      </c>
      <c r="Q136" s="25" t="e">
        <v>#VALUE!</v>
      </c>
      <c r="R136" s="25" t="e">
        <v>#VALUE!</v>
      </c>
      <c r="S136" s="25" t="e">
        <v>#VALUE!</v>
      </c>
      <c r="T136" s="25" t="e">
        <v>#VALUE!</v>
      </c>
      <c r="U136" s="25" t="e">
        <v>#VALUE!</v>
      </c>
      <c r="V136" s="25" t="e">
        <v>#VALUE!</v>
      </c>
      <c r="W136" s="25" t="e">
        <v>#VALUE!</v>
      </c>
      <c r="X136" s="25" t="e">
        <v>#VALUE!</v>
      </c>
      <c r="Y136" s="25" t="e">
        <v>#VALUE!</v>
      </c>
      <c r="Z136" s="25" t="e">
        <v>#VALUE!</v>
      </c>
      <c r="AA136" s="25" t="e">
        <v>#VALUE!</v>
      </c>
      <c r="AB136" s="25" t="e">
        <v>#VALUE!</v>
      </c>
      <c r="AC136" s="25" t="e">
        <v>#VALUE!</v>
      </c>
      <c r="AD136" s="25" t="e">
        <v>#VALUE!</v>
      </c>
      <c r="AE136" s="25" t="e">
        <v>#VALUE!</v>
      </c>
      <c r="AF136" s="25" t="e">
        <v>#VALUE!</v>
      </c>
      <c r="AG136" s="25" t="e">
        <v>#VALUE!</v>
      </c>
      <c r="AH136" s="25" t="e">
        <v>#VALUE!</v>
      </c>
      <c r="AI136" s="25" t="e">
        <v>#VALUE!</v>
      </c>
      <c r="AJ136" s="25" t="e">
        <v>#VALUE!</v>
      </c>
      <c r="AK136" s="25" t="e">
        <v>#VALUE!</v>
      </c>
      <c r="AL136" s="25" t="e">
        <v>#VALUE!</v>
      </c>
      <c r="AM136" s="25" t="e">
        <v>#VALUE!</v>
      </c>
      <c r="AN136" s="25" t="e">
        <v>#NAME?</v>
      </c>
      <c r="AP136" s="40" t="s">
        <v>108</v>
      </c>
      <c r="AQ136" s="25">
        <v>0</v>
      </c>
      <c r="AR136" s="25">
        <v>0</v>
      </c>
      <c r="AS136" s="25">
        <v>0</v>
      </c>
      <c r="AT136" s="25">
        <v>0</v>
      </c>
      <c r="AU136" s="25">
        <v>0</v>
      </c>
      <c r="AW136">
        <v>0</v>
      </c>
      <c r="AX136" s="61" t="s">
        <v>109</v>
      </c>
      <c r="AY136" s="25" t="e">
        <v>#NAME?</v>
      </c>
      <c r="AZ136" s="25" t="e">
        <v>#NAME?</v>
      </c>
      <c r="BA136" s="25" t="e">
        <v>#NAME?</v>
      </c>
      <c r="BB136" s="25" t="e">
        <v>#NAME?</v>
      </c>
      <c r="BC136" s="25" t="e">
        <v>#NAME?</v>
      </c>
      <c r="BD136" s="25" t="e">
        <v>#NAME?</v>
      </c>
      <c r="BE136" s="25" t="e">
        <v>#NAME?</v>
      </c>
      <c r="BF136" s="25" t="e">
        <v>#NAME?</v>
      </c>
      <c r="BG136" s="25" t="e">
        <v>#NAME?</v>
      </c>
      <c r="BH136" s="25" t="e">
        <v>#NAME?</v>
      </c>
      <c r="BI136" s="25" t="e">
        <v>#NAME?</v>
      </c>
      <c r="BJ136" s="25" t="e">
        <v>#NAME?</v>
      </c>
      <c r="BK136" s="25" t="e">
        <v>#NAME?</v>
      </c>
      <c r="BL136" s="25" t="e">
        <v>#NAME?</v>
      </c>
      <c r="BM136" s="25" t="e">
        <v>#NAME?</v>
      </c>
      <c r="BN136" s="25" t="e">
        <v>#NAME?</v>
      </c>
      <c r="BO136" s="25" t="e">
        <v>#NAME?</v>
      </c>
      <c r="BP136" s="25" t="e">
        <v>#NAME?</v>
      </c>
      <c r="BQ136" s="25" t="e">
        <v>#NAME?</v>
      </c>
      <c r="BR136" s="25" t="e">
        <v>#NAME?</v>
      </c>
      <c r="BS136" s="25" t="e">
        <v>#NAME?</v>
      </c>
      <c r="BT136" s="25" t="e">
        <v>#NAME?</v>
      </c>
      <c r="BU136" s="25" t="e">
        <v>#NAME?</v>
      </c>
      <c r="BV136" s="25" t="e">
        <v>#NAME?</v>
      </c>
      <c r="BW136" s="25" t="e">
        <v>#NAME?</v>
      </c>
      <c r="BX136" s="25" t="e">
        <v>#NAME?</v>
      </c>
      <c r="BY136" s="25" t="e">
        <v>#NAME?</v>
      </c>
      <c r="BZ136" s="25" t="e">
        <v>#NAME?</v>
      </c>
      <c r="CA136" s="25" t="e">
        <v>#NAME?</v>
      </c>
      <c r="CB136" s="25" t="e">
        <v>#NAME?</v>
      </c>
      <c r="CC136" s="25" t="e">
        <v>#NAME?</v>
      </c>
      <c r="CD136" s="25" t="e">
        <v>#NAME?</v>
      </c>
      <c r="CE136" s="25" t="e">
        <v>#NAME?</v>
      </c>
      <c r="CF136" s="25" t="e">
        <v>#NAME?</v>
      </c>
      <c r="CG136" s="25" t="e">
        <v>#NAME?</v>
      </c>
      <c r="CH136" s="25" t="e">
        <v>#NAME?</v>
      </c>
      <c r="CK136" s="61" t="s">
        <v>109</v>
      </c>
      <c r="CL136" s="25">
        <v>0</v>
      </c>
      <c r="CM136" s="25">
        <v>0</v>
      </c>
      <c r="CN136" s="25">
        <v>0</v>
      </c>
      <c r="CO136" s="25">
        <v>0</v>
      </c>
      <c r="CP136" s="25">
        <v>0</v>
      </c>
      <c r="CT136" t="e">
        <v>#NAME?</v>
      </c>
      <c r="CU136" t="e">
        <v>#NAME?</v>
      </c>
      <c r="CV136" t="e">
        <v>#NAME?</v>
      </c>
      <c r="CW136" t="e">
        <v>#NAME?</v>
      </c>
      <c r="CX136" t="e">
        <v>#NAME?</v>
      </c>
      <c r="CY136" t="e">
        <v>#NAME?</v>
      </c>
      <c r="CZ136" t="e">
        <v>#NAME?</v>
      </c>
      <c r="DA136" t="e">
        <v>#NAME?</v>
      </c>
      <c r="DB136" t="e">
        <v>#NAME?</v>
      </c>
      <c r="DC136" t="e">
        <v>#NAME?</v>
      </c>
      <c r="DD136" t="e">
        <v>#NAME?</v>
      </c>
      <c r="DE136" t="e">
        <v>#NAME?</v>
      </c>
      <c r="DF136" t="e">
        <v>#NAME?</v>
      </c>
      <c r="DG136" t="e">
        <v>#NAME?</v>
      </c>
      <c r="DH136" t="e">
        <v>#NAME?</v>
      </c>
      <c r="DI136" t="e">
        <v>#NAME?</v>
      </c>
      <c r="DJ136" t="e">
        <v>#NAME?</v>
      </c>
      <c r="DK136" t="e">
        <v>#NAME?</v>
      </c>
      <c r="DL136" t="e">
        <v>#NAME?</v>
      </c>
      <c r="DM136" t="e">
        <v>#NAME?</v>
      </c>
      <c r="DN136" t="e">
        <v>#NAME?</v>
      </c>
      <c r="DO136" t="e">
        <v>#NAME?</v>
      </c>
      <c r="DP136" t="e">
        <v>#NAME?</v>
      </c>
      <c r="DQ136" t="e">
        <v>#NAME?</v>
      </c>
      <c r="DR136" t="e">
        <v>#NAME?</v>
      </c>
      <c r="DS136" t="e">
        <v>#NAME?</v>
      </c>
      <c r="DT136" t="e">
        <v>#NAME?</v>
      </c>
      <c r="DU136" t="e">
        <v>#NAME?</v>
      </c>
      <c r="DV136" t="e">
        <v>#NAME?</v>
      </c>
      <c r="DW136" t="e">
        <v>#NAME?</v>
      </c>
      <c r="DX136" t="e">
        <v>#NAME?</v>
      </c>
      <c r="DY136" t="e">
        <v>#NAME?</v>
      </c>
      <c r="DZ136" t="e">
        <v>#NAME?</v>
      </c>
      <c r="EA136" t="e">
        <v>#NAME?</v>
      </c>
      <c r="EB136" t="e">
        <v>#NAME?</v>
      </c>
      <c r="EC136" t="e">
        <v>#NAME?</v>
      </c>
    </row>
    <row r="137" spans="1:187">
      <c r="A137" t="s">
        <v>140</v>
      </c>
      <c r="B137">
        <v>0</v>
      </c>
      <c r="D137" s="40" t="s">
        <v>110</v>
      </c>
      <c r="E137" s="25" t="e">
        <v>#VALUE!</v>
      </c>
      <c r="F137" s="25" t="e">
        <v>#VALUE!</v>
      </c>
      <c r="G137" s="25" t="e">
        <v>#VALUE!</v>
      </c>
      <c r="H137" s="25" t="e">
        <v>#VALUE!</v>
      </c>
      <c r="I137" s="25" t="e">
        <v>#VALUE!</v>
      </c>
      <c r="J137" s="25" t="e">
        <v>#VALUE!</v>
      </c>
      <c r="K137" s="25" t="e">
        <v>#VALUE!</v>
      </c>
      <c r="L137" s="25" t="e">
        <v>#VALUE!</v>
      </c>
      <c r="M137" s="25" t="e">
        <v>#VALUE!</v>
      </c>
      <c r="N137" s="25" t="e">
        <v>#VALUE!</v>
      </c>
      <c r="O137" s="25" t="e">
        <v>#VALUE!</v>
      </c>
      <c r="P137" s="25" t="e">
        <v>#VALUE!</v>
      </c>
      <c r="Q137" s="25" t="e">
        <v>#VALUE!</v>
      </c>
      <c r="R137" s="25" t="e">
        <v>#VALUE!</v>
      </c>
      <c r="S137" s="25" t="e">
        <v>#VALUE!</v>
      </c>
      <c r="T137" s="25" t="e">
        <v>#VALUE!</v>
      </c>
      <c r="U137" s="25" t="e">
        <v>#VALUE!</v>
      </c>
      <c r="V137" s="25" t="e">
        <v>#VALUE!</v>
      </c>
      <c r="W137" s="25" t="e">
        <v>#VALUE!</v>
      </c>
      <c r="X137" s="25" t="e">
        <v>#VALUE!</v>
      </c>
      <c r="Y137" s="25" t="e">
        <v>#VALUE!</v>
      </c>
      <c r="Z137" s="25" t="e">
        <v>#VALUE!</v>
      </c>
      <c r="AA137" s="25" t="e">
        <v>#VALUE!</v>
      </c>
      <c r="AB137" s="25" t="e">
        <v>#VALUE!</v>
      </c>
      <c r="AC137" s="25" t="e">
        <v>#VALUE!</v>
      </c>
      <c r="AD137" s="25" t="e">
        <v>#VALUE!</v>
      </c>
      <c r="AE137" s="25" t="e">
        <v>#VALUE!</v>
      </c>
      <c r="AF137" s="25" t="e">
        <v>#VALUE!</v>
      </c>
      <c r="AG137" s="25" t="e">
        <v>#VALUE!</v>
      </c>
      <c r="AH137" s="25" t="e">
        <v>#VALUE!</v>
      </c>
      <c r="AI137" s="25" t="e">
        <v>#VALUE!</v>
      </c>
      <c r="AJ137" s="25" t="e">
        <v>#VALUE!</v>
      </c>
      <c r="AK137" s="25" t="e">
        <v>#VALUE!</v>
      </c>
      <c r="AL137" s="25" t="e">
        <v>#VALUE!</v>
      </c>
      <c r="AM137" s="25" t="e">
        <v>#VALUE!</v>
      </c>
      <c r="AN137" s="25" t="e">
        <v>#NAME?</v>
      </c>
      <c r="AP137" s="40" t="s">
        <v>110</v>
      </c>
      <c r="AQ137" s="25">
        <v>0</v>
      </c>
      <c r="AR137" s="25">
        <v>0</v>
      </c>
      <c r="AS137" s="25">
        <v>0</v>
      </c>
      <c r="AT137" s="25">
        <v>0</v>
      </c>
      <c r="AU137" s="25">
        <v>0</v>
      </c>
      <c r="AW137">
        <v>0</v>
      </c>
      <c r="AX137" s="64" t="s">
        <v>111</v>
      </c>
      <c r="AY137" s="25" t="e">
        <v>#NAME?</v>
      </c>
      <c r="AZ137" s="25" t="e">
        <v>#NAME?</v>
      </c>
      <c r="BA137" s="25" t="e">
        <v>#NAME?</v>
      </c>
      <c r="BB137" s="25" t="e">
        <v>#NAME?</v>
      </c>
      <c r="BC137" s="25" t="e">
        <v>#NAME?</v>
      </c>
      <c r="BD137" s="25" t="e">
        <v>#NAME?</v>
      </c>
      <c r="BE137" s="25" t="e">
        <v>#NAME?</v>
      </c>
      <c r="BF137" s="25" t="e">
        <v>#NAME?</v>
      </c>
      <c r="BG137" s="25" t="e">
        <v>#NAME?</v>
      </c>
      <c r="BH137" s="25" t="e">
        <v>#NAME?</v>
      </c>
      <c r="BI137" s="25" t="e">
        <v>#NAME?</v>
      </c>
      <c r="BJ137" s="25" t="e">
        <v>#NAME?</v>
      </c>
      <c r="BK137" s="25" t="e">
        <v>#NAME?</v>
      </c>
      <c r="BL137" s="25" t="e">
        <v>#NAME?</v>
      </c>
      <c r="BM137" s="25" t="e">
        <v>#NAME?</v>
      </c>
      <c r="BN137" s="25" t="e">
        <v>#NAME?</v>
      </c>
      <c r="BO137" s="25" t="e">
        <v>#NAME?</v>
      </c>
      <c r="BP137" s="25" t="e">
        <v>#NAME?</v>
      </c>
      <c r="BQ137" s="25" t="e">
        <v>#NAME?</v>
      </c>
      <c r="BR137" s="25" t="e">
        <v>#NAME?</v>
      </c>
      <c r="BS137" s="25" t="e">
        <v>#NAME?</v>
      </c>
      <c r="BT137" s="25" t="e">
        <v>#NAME?</v>
      </c>
      <c r="BU137" s="25" t="e">
        <v>#NAME?</v>
      </c>
      <c r="BV137" s="25" t="e">
        <v>#NAME?</v>
      </c>
      <c r="BW137" s="25" t="e">
        <v>#NAME?</v>
      </c>
      <c r="BX137" s="25" t="e">
        <v>#NAME?</v>
      </c>
      <c r="BY137" s="25" t="e">
        <v>#NAME?</v>
      </c>
      <c r="BZ137" s="25" t="e">
        <v>#NAME?</v>
      </c>
      <c r="CA137" s="25" t="e">
        <v>#NAME?</v>
      </c>
      <c r="CB137" s="25" t="e">
        <v>#NAME?</v>
      </c>
      <c r="CC137" s="25" t="e">
        <v>#NAME?</v>
      </c>
      <c r="CD137" s="25" t="e">
        <v>#NAME?</v>
      </c>
      <c r="CE137" s="25" t="e">
        <v>#NAME?</v>
      </c>
      <c r="CF137" s="25" t="e">
        <v>#NAME?</v>
      </c>
      <c r="CG137" s="25" t="e">
        <v>#NAME?</v>
      </c>
      <c r="CH137" s="25" t="e">
        <v>#NAME?</v>
      </c>
      <c r="CK137" s="64" t="s">
        <v>111</v>
      </c>
      <c r="CL137" s="51">
        <v>0</v>
      </c>
      <c r="CM137" s="51">
        <v>0</v>
      </c>
      <c r="CN137" s="51">
        <v>0</v>
      </c>
      <c r="CO137" s="51">
        <v>0</v>
      </c>
      <c r="CP137" s="51">
        <v>0</v>
      </c>
      <c r="CT137" t="e">
        <v>#NAME?</v>
      </c>
      <c r="CU137" t="e">
        <v>#NAME?</v>
      </c>
      <c r="CV137" t="e">
        <v>#NAME?</v>
      </c>
      <c r="CW137" t="e">
        <v>#NAME?</v>
      </c>
      <c r="CX137" t="e">
        <v>#NAME?</v>
      </c>
      <c r="CY137" t="e">
        <v>#NAME?</v>
      </c>
      <c r="CZ137" t="e">
        <v>#NAME?</v>
      </c>
      <c r="DA137" t="e">
        <v>#NAME?</v>
      </c>
      <c r="DB137" t="e">
        <v>#NAME?</v>
      </c>
      <c r="DC137" t="e">
        <v>#NAME?</v>
      </c>
      <c r="DD137" t="e">
        <v>#NAME?</v>
      </c>
      <c r="DE137" t="e">
        <v>#NAME?</v>
      </c>
      <c r="DF137" t="e">
        <v>#NAME?</v>
      </c>
      <c r="DG137" t="e">
        <v>#NAME?</v>
      </c>
      <c r="DH137" t="e">
        <v>#NAME?</v>
      </c>
      <c r="DI137" t="e">
        <v>#NAME?</v>
      </c>
      <c r="DJ137" t="e">
        <v>#NAME?</v>
      </c>
      <c r="DK137" t="e">
        <v>#NAME?</v>
      </c>
      <c r="DL137" t="e">
        <v>#NAME?</v>
      </c>
      <c r="DM137" t="e">
        <v>#NAME?</v>
      </c>
      <c r="DN137" t="e">
        <v>#NAME?</v>
      </c>
      <c r="DO137" t="e">
        <v>#NAME?</v>
      </c>
      <c r="DP137" t="e">
        <v>#NAME?</v>
      </c>
      <c r="DQ137" t="e">
        <v>#NAME?</v>
      </c>
      <c r="DR137" t="e">
        <v>#NAME?</v>
      </c>
      <c r="DS137" t="e">
        <v>#NAME?</v>
      </c>
      <c r="DT137" t="e">
        <v>#NAME?</v>
      </c>
      <c r="DU137" t="e">
        <v>#NAME?</v>
      </c>
      <c r="DV137" t="e">
        <v>#NAME?</v>
      </c>
      <c r="DW137" t="e">
        <v>#NAME?</v>
      </c>
      <c r="DX137" t="e">
        <v>#NAME?</v>
      </c>
      <c r="DY137" t="e">
        <v>#NAME?</v>
      </c>
      <c r="DZ137" t="e">
        <v>#NAME?</v>
      </c>
      <c r="EA137" t="e">
        <v>#NAME?</v>
      </c>
      <c r="EB137" t="e">
        <v>#NAME?</v>
      </c>
      <c r="EC137" t="e">
        <v>#NAME?</v>
      </c>
    </row>
    <row r="138" spans="1:187" ht="15.75" thickBot="1">
      <c r="A138" t="s">
        <v>140</v>
      </c>
      <c r="B138">
        <v>0</v>
      </c>
      <c r="D138" s="65" t="s">
        <v>112</v>
      </c>
      <c r="E138" s="25" t="e">
        <v>#VALUE!</v>
      </c>
      <c r="F138" s="25" t="e">
        <v>#VALUE!</v>
      </c>
      <c r="G138" s="25" t="e">
        <v>#VALUE!</v>
      </c>
      <c r="H138" s="25" t="e">
        <v>#VALUE!</v>
      </c>
      <c r="I138" s="25" t="e">
        <v>#VALUE!</v>
      </c>
      <c r="J138" s="25" t="e">
        <v>#VALUE!</v>
      </c>
      <c r="K138" s="25" t="e">
        <v>#VALUE!</v>
      </c>
      <c r="L138" s="25" t="e">
        <v>#VALUE!</v>
      </c>
      <c r="M138" s="25" t="e">
        <v>#VALUE!</v>
      </c>
      <c r="N138" s="25" t="e">
        <v>#VALUE!</v>
      </c>
      <c r="O138" s="25" t="e">
        <v>#VALUE!</v>
      </c>
      <c r="P138" s="25" t="e">
        <v>#VALUE!</v>
      </c>
      <c r="Q138" s="25" t="e">
        <v>#VALUE!</v>
      </c>
      <c r="R138" s="25" t="e">
        <v>#VALUE!</v>
      </c>
      <c r="S138" s="25" t="e">
        <v>#VALUE!</v>
      </c>
      <c r="T138" s="25" t="e">
        <v>#VALUE!</v>
      </c>
      <c r="U138" s="25" t="e">
        <v>#VALUE!</v>
      </c>
      <c r="V138" s="25" t="e">
        <v>#VALUE!</v>
      </c>
      <c r="W138" s="25" t="e">
        <v>#VALUE!</v>
      </c>
      <c r="X138" s="25" t="e">
        <v>#VALUE!</v>
      </c>
      <c r="Y138" s="25" t="e">
        <v>#VALUE!</v>
      </c>
      <c r="Z138" s="25" t="e">
        <v>#VALUE!</v>
      </c>
      <c r="AA138" s="25" t="e">
        <v>#VALUE!</v>
      </c>
      <c r="AB138" s="25" t="e">
        <v>#VALUE!</v>
      </c>
      <c r="AC138" s="25" t="e">
        <v>#VALUE!</v>
      </c>
      <c r="AD138" s="25" t="e">
        <v>#VALUE!</v>
      </c>
      <c r="AE138" s="25" t="e">
        <v>#VALUE!</v>
      </c>
      <c r="AF138" s="25" t="e">
        <v>#VALUE!</v>
      </c>
      <c r="AG138" s="25" t="e">
        <v>#VALUE!</v>
      </c>
      <c r="AH138" s="25" t="e">
        <v>#VALUE!</v>
      </c>
      <c r="AI138" s="25" t="e">
        <v>#VALUE!</v>
      </c>
      <c r="AJ138" s="25" t="e">
        <v>#VALUE!</v>
      </c>
      <c r="AK138" s="25" t="e">
        <v>#VALUE!</v>
      </c>
      <c r="AL138" s="25" t="e">
        <v>#VALUE!</v>
      </c>
      <c r="AM138" s="25" t="e">
        <v>#VALUE!</v>
      </c>
      <c r="AN138" s="25" t="e">
        <v>#NAME?</v>
      </c>
      <c r="AP138" s="65" t="s">
        <v>112</v>
      </c>
      <c r="AQ138" s="25">
        <v>0</v>
      </c>
      <c r="AR138" s="25">
        <v>0</v>
      </c>
      <c r="AS138" s="25">
        <v>0</v>
      </c>
      <c r="AT138" s="25">
        <v>0</v>
      </c>
      <c r="AU138" s="25">
        <v>0</v>
      </c>
      <c r="AW138" s="78">
        <v>0</v>
      </c>
      <c r="AX138" s="45" t="s">
        <v>113</v>
      </c>
      <c r="AY138" s="46" t="e">
        <v>#NAME?</v>
      </c>
      <c r="AZ138" s="46" t="e">
        <v>#NAME?</v>
      </c>
      <c r="BA138" s="46" t="e">
        <v>#NAME?</v>
      </c>
      <c r="BB138" s="46" t="e">
        <v>#NAME?</v>
      </c>
      <c r="BC138" s="46" t="e">
        <v>#NAME?</v>
      </c>
      <c r="BD138" s="46" t="e">
        <v>#NAME?</v>
      </c>
      <c r="BE138" s="46" t="e">
        <v>#NAME?</v>
      </c>
      <c r="BF138" s="46" t="e">
        <v>#NAME?</v>
      </c>
      <c r="BG138" s="46" t="e">
        <v>#NAME?</v>
      </c>
      <c r="BH138" s="46" t="e">
        <v>#NAME?</v>
      </c>
      <c r="BI138" s="46" t="e">
        <v>#NAME?</v>
      </c>
      <c r="BJ138" s="46" t="e">
        <v>#NAME?</v>
      </c>
      <c r="BK138" s="46" t="e">
        <v>#NAME?</v>
      </c>
      <c r="BL138" s="46" t="e">
        <v>#NAME?</v>
      </c>
      <c r="BM138" s="46" t="e">
        <v>#NAME?</v>
      </c>
      <c r="BN138" s="46" t="e">
        <v>#NAME?</v>
      </c>
      <c r="BO138" s="46" t="e">
        <v>#NAME?</v>
      </c>
      <c r="BP138" s="46" t="e">
        <v>#NAME?</v>
      </c>
      <c r="BQ138" s="46" t="e">
        <v>#NAME?</v>
      </c>
      <c r="BR138" s="46" t="e">
        <v>#NAME?</v>
      </c>
      <c r="BS138" s="46" t="e">
        <v>#NAME?</v>
      </c>
      <c r="BT138" s="46" t="e">
        <v>#NAME?</v>
      </c>
      <c r="BU138" s="46" t="e">
        <v>#NAME?</v>
      </c>
      <c r="BV138" s="46" t="e">
        <v>#NAME?</v>
      </c>
      <c r="BW138" s="46" t="e">
        <v>#NAME?</v>
      </c>
      <c r="BX138" s="46" t="e">
        <v>#NAME?</v>
      </c>
      <c r="BY138" s="46" t="e">
        <v>#NAME?</v>
      </c>
      <c r="BZ138" s="46" t="e">
        <v>#NAME?</v>
      </c>
      <c r="CA138" s="46" t="e">
        <v>#NAME?</v>
      </c>
      <c r="CB138" s="46" t="e">
        <v>#NAME?</v>
      </c>
      <c r="CC138" s="46" t="e">
        <v>#NAME?</v>
      </c>
      <c r="CD138" s="46" t="e">
        <v>#NAME?</v>
      </c>
      <c r="CE138" s="46" t="e">
        <v>#NAME?</v>
      </c>
      <c r="CF138" s="46" t="e">
        <v>#NAME?</v>
      </c>
      <c r="CG138" s="46" t="e">
        <v>#NAME?</v>
      </c>
      <c r="CH138" s="46" t="e">
        <v>#NAME?</v>
      </c>
      <c r="CK138" s="45" t="s">
        <v>113</v>
      </c>
      <c r="CL138" s="46">
        <v>0</v>
      </c>
      <c r="CM138" s="46">
        <v>0</v>
      </c>
      <c r="CN138" s="46">
        <v>0</v>
      </c>
      <c r="CO138" s="46">
        <v>0</v>
      </c>
      <c r="CP138" s="46">
        <v>0</v>
      </c>
    </row>
    <row r="139" spans="1:187">
      <c r="A139" t="s">
        <v>140</v>
      </c>
      <c r="B139">
        <v>0</v>
      </c>
      <c r="D139" s="66" t="s">
        <v>114</v>
      </c>
      <c r="E139" s="25" t="e">
        <v>#VALUE!</v>
      </c>
      <c r="F139" s="25" t="e">
        <v>#VALUE!</v>
      </c>
      <c r="G139" s="25" t="e">
        <v>#VALUE!</v>
      </c>
      <c r="H139" s="25" t="e">
        <v>#VALUE!</v>
      </c>
      <c r="I139" s="25" t="e">
        <v>#VALUE!</v>
      </c>
      <c r="J139" s="25" t="e">
        <v>#VALUE!</v>
      </c>
      <c r="K139" s="25" t="e">
        <v>#VALUE!</v>
      </c>
      <c r="L139" s="25" t="e">
        <v>#VALUE!</v>
      </c>
      <c r="M139" s="25" t="e">
        <v>#VALUE!</v>
      </c>
      <c r="N139" s="25" t="e">
        <v>#VALUE!</v>
      </c>
      <c r="O139" s="25" t="e">
        <v>#VALUE!</v>
      </c>
      <c r="P139" s="25" t="e">
        <v>#VALUE!</v>
      </c>
      <c r="Q139" s="25" t="e">
        <v>#VALUE!</v>
      </c>
      <c r="R139" s="25" t="e">
        <v>#VALUE!</v>
      </c>
      <c r="S139" s="25" t="e">
        <v>#VALUE!</v>
      </c>
      <c r="T139" s="25" t="e">
        <v>#VALUE!</v>
      </c>
      <c r="U139" s="25" t="e">
        <v>#VALUE!</v>
      </c>
      <c r="V139" s="25" t="e">
        <v>#VALUE!</v>
      </c>
      <c r="W139" s="25" t="e">
        <v>#VALUE!</v>
      </c>
      <c r="X139" s="25" t="e">
        <v>#VALUE!</v>
      </c>
      <c r="Y139" s="25" t="e">
        <v>#VALUE!</v>
      </c>
      <c r="Z139" s="25" t="e">
        <v>#VALUE!</v>
      </c>
      <c r="AA139" s="25" t="e">
        <v>#VALUE!</v>
      </c>
      <c r="AB139" s="25" t="e">
        <v>#VALUE!</v>
      </c>
      <c r="AC139" s="25" t="e">
        <v>#VALUE!</v>
      </c>
      <c r="AD139" s="25" t="e">
        <v>#VALUE!</v>
      </c>
      <c r="AE139" s="25" t="e">
        <v>#VALUE!</v>
      </c>
      <c r="AF139" s="25" t="e">
        <v>#VALUE!</v>
      </c>
      <c r="AG139" s="25" t="e">
        <v>#VALUE!</v>
      </c>
      <c r="AH139" s="25" t="e">
        <v>#VALUE!</v>
      </c>
      <c r="AI139" s="25" t="e">
        <v>#VALUE!</v>
      </c>
      <c r="AJ139" s="25" t="e">
        <v>#VALUE!</v>
      </c>
      <c r="AK139" s="25" t="e">
        <v>#VALUE!</v>
      </c>
      <c r="AL139" s="25" t="e">
        <v>#VALUE!</v>
      </c>
      <c r="AM139" s="25" t="e">
        <v>#VALUE!</v>
      </c>
      <c r="AN139" s="25" t="e">
        <v>#NAME?</v>
      </c>
      <c r="AP139" s="66" t="s">
        <v>114</v>
      </c>
      <c r="AQ139" s="25">
        <v>0</v>
      </c>
      <c r="AR139" s="25">
        <v>0</v>
      </c>
      <c r="AS139" s="25">
        <v>0</v>
      </c>
      <c r="AT139" s="25">
        <v>0</v>
      </c>
      <c r="AU139" s="25">
        <v>0</v>
      </c>
      <c r="AW139" t="e">
        <v>#NAME?</v>
      </c>
      <c r="AX139" s="67" t="s">
        <v>115</v>
      </c>
      <c r="AY139" s="48" t="e">
        <v>#NAME?</v>
      </c>
      <c r="AZ139" s="48" t="e">
        <v>#NAME?</v>
      </c>
      <c r="BA139" s="48" t="e">
        <v>#NAME?</v>
      </c>
      <c r="BB139" s="48" t="e">
        <v>#NAME?</v>
      </c>
      <c r="BC139" s="48" t="e">
        <v>#NAME?</v>
      </c>
      <c r="BD139" s="48" t="e">
        <v>#NAME?</v>
      </c>
      <c r="BE139" s="48" t="e">
        <v>#NAME?</v>
      </c>
      <c r="BF139" s="48" t="e">
        <v>#NAME?</v>
      </c>
      <c r="BG139" s="48" t="e">
        <v>#NAME?</v>
      </c>
      <c r="BH139" s="48" t="e">
        <v>#NAME?</v>
      </c>
      <c r="BI139" s="48" t="e">
        <v>#NAME?</v>
      </c>
      <c r="BJ139" s="48" t="e">
        <v>#NAME?</v>
      </c>
      <c r="BK139" s="48" t="e">
        <v>#NAME?</v>
      </c>
      <c r="BL139" s="48" t="e">
        <v>#NAME?</v>
      </c>
      <c r="BM139" s="48" t="e">
        <v>#NAME?</v>
      </c>
      <c r="BN139" s="48" t="e">
        <v>#NAME?</v>
      </c>
      <c r="BO139" s="48" t="e">
        <v>#NAME?</v>
      </c>
      <c r="BP139" s="48" t="e">
        <v>#NAME?</v>
      </c>
      <c r="BQ139" s="48" t="e">
        <v>#NAME?</v>
      </c>
      <c r="BR139" s="48" t="e">
        <v>#NAME?</v>
      </c>
      <c r="BS139" s="48" t="e">
        <v>#NAME?</v>
      </c>
      <c r="BT139" s="48" t="e">
        <v>#NAME?</v>
      </c>
      <c r="BU139" s="48" t="e">
        <v>#NAME?</v>
      </c>
      <c r="BV139" s="48" t="e">
        <v>#NAME?</v>
      </c>
      <c r="BW139" s="48" t="e">
        <v>#NAME?</v>
      </c>
      <c r="BX139" s="48" t="e">
        <v>#NAME?</v>
      </c>
      <c r="BY139" s="48" t="e">
        <v>#NAME?</v>
      </c>
      <c r="BZ139" s="48" t="e">
        <v>#NAME?</v>
      </c>
      <c r="CA139" s="48" t="e">
        <v>#NAME?</v>
      </c>
      <c r="CB139" s="48" t="e">
        <v>#NAME?</v>
      </c>
      <c r="CC139" s="48" t="e">
        <v>#NAME?</v>
      </c>
      <c r="CD139" s="48" t="e">
        <v>#NAME?</v>
      </c>
      <c r="CE139" s="48" t="e">
        <v>#NAME?</v>
      </c>
      <c r="CF139" s="48" t="e">
        <v>#NAME?</v>
      </c>
      <c r="CG139" s="48" t="e">
        <v>#NAME?</v>
      </c>
      <c r="CH139" s="48" t="e">
        <v>#NAME?</v>
      </c>
      <c r="CK139" s="67" t="s">
        <v>115</v>
      </c>
      <c r="CL139" s="48" t="e">
        <v>#NAME?</v>
      </c>
      <c r="CM139" s="48" t="e">
        <v>#NAME?</v>
      </c>
      <c r="CN139" s="48" t="e">
        <v>#NAME?</v>
      </c>
      <c r="CO139" s="48" t="e">
        <v>#NAME?</v>
      </c>
      <c r="CP139" s="48" t="e">
        <v>#NAME?</v>
      </c>
      <c r="CS139" s="20" t="s">
        <v>543</v>
      </c>
      <c r="CT139" s="19">
        <v>0</v>
      </c>
      <c r="CU139" s="19">
        <v>0</v>
      </c>
      <c r="CV139" s="19">
        <v>0</v>
      </c>
      <c r="CW139" s="19">
        <v>0</v>
      </c>
      <c r="CX139" s="19">
        <v>0</v>
      </c>
      <c r="CY139" s="19">
        <v>0</v>
      </c>
      <c r="CZ139" s="19">
        <v>0</v>
      </c>
      <c r="DA139" s="19">
        <v>0</v>
      </c>
      <c r="DB139" s="19">
        <v>0</v>
      </c>
      <c r="DC139" s="19">
        <v>0</v>
      </c>
      <c r="DD139" s="19">
        <v>0</v>
      </c>
      <c r="DE139" s="19">
        <v>0</v>
      </c>
      <c r="DF139" s="19">
        <v>0</v>
      </c>
      <c r="DG139" s="19">
        <v>0</v>
      </c>
      <c r="DH139" s="19">
        <v>0</v>
      </c>
      <c r="DI139" s="19">
        <v>0</v>
      </c>
      <c r="DJ139" s="19">
        <v>0</v>
      </c>
      <c r="DK139" s="19">
        <v>0</v>
      </c>
      <c r="DL139" s="19">
        <v>0</v>
      </c>
      <c r="DM139" s="19">
        <v>0</v>
      </c>
      <c r="DN139" s="19">
        <v>0</v>
      </c>
      <c r="DO139" s="19">
        <v>0</v>
      </c>
      <c r="DP139" s="19">
        <v>0</v>
      </c>
      <c r="DQ139" s="19">
        <v>0</v>
      </c>
      <c r="DR139" s="19">
        <v>0</v>
      </c>
      <c r="DS139" s="19">
        <v>0</v>
      </c>
      <c r="DT139" s="19">
        <v>0</v>
      </c>
      <c r="DU139" s="19">
        <v>0</v>
      </c>
      <c r="DV139" s="19">
        <v>0</v>
      </c>
      <c r="DW139" s="19">
        <v>0</v>
      </c>
      <c r="DX139" s="19">
        <v>0</v>
      </c>
      <c r="DY139" s="19">
        <v>0</v>
      </c>
      <c r="DZ139" s="19">
        <v>0</v>
      </c>
      <c r="EA139" s="19">
        <v>0</v>
      </c>
      <c r="EB139" s="19">
        <v>0</v>
      </c>
      <c r="EC139" s="19">
        <v>4</v>
      </c>
      <c r="EE139" s="20"/>
      <c r="EF139" s="19"/>
      <c r="EG139" s="19"/>
      <c r="EH139" s="19"/>
      <c r="EI139" s="19"/>
      <c r="EJ139" s="19"/>
    </row>
    <row r="140" spans="1:187">
      <c r="A140" t="s">
        <v>140</v>
      </c>
      <c r="B140">
        <v>0</v>
      </c>
      <c r="D140" s="65" t="s">
        <v>116</v>
      </c>
      <c r="E140" s="25" t="e">
        <v>#VALUE!</v>
      </c>
      <c r="F140" s="25" t="e">
        <v>#VALUE!</v>
      </c>
      <c r="G140" s="25" t="e">
        <v>#VALUE!</v>
      </c>
      <c r="H140" s="25" t="e">
        <v>#VALUE!</v>
      </c>
      <c r="I140" s="25" t="e">
        <v>#VALUE!</v>
      </c>
      <c r="J140" s="25" t="e">
        <v>#VALUE!</v>
      </c>
      <c r="K140" s="25" t="e">
        <v>#VALUE!</v>
      </c>
      <c r="L140" s="25" t="e">
        <v>#VALUE!</v>
      </c>
      <c r="M140" s="25" t="e">
        <v>#VALUE!</v>
      </c>
      <c r="N140" s="25" t="e">
        <v>#VALUE!</v>
      </c>
      <c r="O140" s="25" t="e">
        <v>#VALUE!</v>
      </c>
      <c r="P140" s="25" t="e">
        <v>#VALUE!</v>
      </c>
      <c r="Q140" s="25" t="e">
        <v>#VALUE!</v>
      </c>
      <c r="R140" s="25" t="e">
        <v>#VALUE!</v>
      </c>
      <c r="S140" s="25" t="e">
        <v>#VALUE!</v>
      </c>
      <c r="T140" s="25" t="e">
        <v>#VALUE!</v>
      </c>
      <c r="U140" s="25" t="e">
        <v>#VALUE!</v>
      </c>
      <c r="V140" s="25" t="e">
        <v>#VALUE!</v>
      </c>
      <c r="W140" s="25" t="e">
        <v>#VALUE!</v>
      </c>
      <c r="X140" s="25" t="e">
        <v>#VALUE!</v>
      </c>
      <c r="Y140" s="25" t="e">
        <v>#VALUE!</v>
      </c>
      <c r="Z140" s="25" t="e">
        <v>#VALUE!</v>
      </c>
      <c r="AA140" s="25" t="e">
        <v>#VALUE!</v>
      </c>
      <c r="AB140" s="25" t="e">
        <v>#VALUE!</v>
      </c>
      <c r="AC140" s="25" t="e">
        <v>#VALUE!</v>
      </c>
      <c r="AD140" s="25" t="e">
        <v>#VALUE!</v>
      </c>
      <c r="AE140" s="25" t="e">
        <v>#VALUE!</v>
      </c>
      <c r="AF140" s="25" t="e">
        <v>#VALUE!</v>
      </c>
      <c r="AG140" s="25" t="e">
        <v>#VALUE!</v>
      </c>
      <c r="AH140" s="25" t="e">
        <v>#VALUE!</v>
      </c>
      <c r="AI140" s="25" t="e">
        <v>#VALUE!</v>
      </c>
      <c r="AJ140" s="25" t="e">
        <v>#VALUE!</v>
      </c>
      <c r="AK140" s="25" t="e">
        <v>#VALUE!</v>
      </c>
      <c r="AL140" s="25" t="e">
        <v>#VALUE!</v>
      </c>
      <c r="AM140" s="25" t="e">
        <v>#VALUE!</v>
      </c>
      <c r="AN140" s="25" t="e">
        <v>#NAME?</v>
      </c>
      <c r="AP140" s="65" t="s">
        <v>116</v>
      </c>
      <c r="AQ140" s="25">
        <v>0</v>
      </c>
      <c r="AR140" s="25">
        <v>0</v>
      </c>
      <c r="AS140" s="25">
        <v>0</v>
      </c>
      <c r="AT140" s="25">
        <v>0</v>
      </c>
      <c r="AU140" s="25">
        <v>0</v>
      </c>
      <c r="AX140" s="47"/>
      <c r="AY140" s="51"/>
      <c r="AZ140" s="51"/>
      <c r="BA140" s="51"/>
      <c r="BB140" s="51"/>
      <c r="BC140" s="51"/>
      <c r="BD140" s="51"/>
      <c r="BE140" s="51"/>
      <c r="BF140" s="51"/>
      <c r="BG140" s="51"/>
      <c r="BH140" s="51"/>
      <c r="BI140" s="51"/>
      <c r="BJ140" s="51"/>
      <c r="BK140" s="51"/>
      <c r="BL140" s="51"/>
      <c r="BM140" s="51"/>
      <c r="BN140" s="51"/>
      <c r="BO140" s="51"/>
      <c r="BP140" s="51"/>
      <c r="BQ140" s="51"/>
      <c r="BR140" s="51"/>
      <c r="BS140" s="51"/>
      <c r="BT140" s="51"/>
      <c r="BU140" s="51"/>
      <c r="BV140" s="51"/>
      <c r="BW140" s="51"/>
      <c r="BX140" s="51"/>
      <c r="BY140" s="51"/>
      <c r="BZ140" s="51"/>
      <c r="CA140" s="51"/>
      <c r="CB140" s="51"/>
      <c r="CC140" s="51"/>
      <c r="CD140" s="51"/>
      <c r="CE140" s="51"/>
      <c r="CF140" s="51"/>
      <c r="CG140" s="51"/>
      <c r="CH140" s="51"/>
      <c r="CK140" s="47"/>
      <c r="CL140" s="51"/>
      <c r="CM140" s="51"/>
      <c r="CN140" s="51"/>
      <c r="CO140" s="51"/>
      <c r="CP140" s="51"/>
      <c r="CS140" s="42" t="s">
        <v>47</v>
      </c>
      <c r="CT140" s="25" t="e">
        <v>#NAME?</v>
      </c>
      <c r="CU140" s="25" t="e">
        <v>#NAME?</v>
      </c>
      <c r="CV140" s="25" t="e">
        <v>#NAME?</v>
      </c>
      <c r="CW140" s="25" t="e">
        <v>#NAME?</v>
      </c>
      <c r="CX140" s="25" t="e">
        <v>#NAME?</v>
      </c>
      <c r="CY140" s="25" t="e">
        <v>#NAME?</v>
      </c>
      <c r="CZ140" s="25" t="e">
        <v>#NAME?</v>
      </c>
      <c r="DA140" s="25" t="e">
        <v>#NAME?</v>
      </c>
      <c r="DB140" s="25" t="e">
        <v>#NAME?</v>
      </c>
      <c r="DC140" s="25" t="e">
        <v>#NAME?</v>
      </c>
      <c r="DD140" s="25" t="e">
        <v>#NAME?</v>
      </c>
      <c r="DE140" s="25" t="e">
        <v>#NAME?</v>
      </c>
      <c r="DF140" s="25" t="e">
        <v>#NAME?</v>
      </c>
      <c r="DG140" s="25" t="e">
        <v>#NAME?</v>
      </c>
      <c r="DH140" s="25" t="e">
        <v>#NAME?</v>
      </c>
      <c r="DI140" s="25" t="e">
        <v>#NAME?</v>
      </c>
      <c r="DJ140" s="25" t="e">
        <v>#NAME?</v>
      </c>
      <c r="DK140" s="25" t="e">
        <v>#NAME?</v>
      </c>
      <c r="DL140" s="25" t="e">
        <v>#NAME?</v>
      </c>
      <c r="DM140" s="25" t="e">
        <v>#NAME?</v>
      </c>
      <c r="DN140" s="25" t="e">
        <v>#NAME?</v>
      </c>
      <c r="DO140" s="25" t="e">
        <v>#NAME?</v>
      </c>
      <c r="DP140" s="25" t="e">
        <v>#NAME?</v>
      </c>
      <c r="DQ140" s="25" t="e">
        <v>#NAME?</v>
      </c>
      <c r="DR140" s="25" t="e">
        <v>#NAME?</v>
      </c>
      <c r="DS140" s="25" t="e">
        <v>#NAME?</v>
      </c>
      <c r="DT140" s="25" t="e">
        <v>#NAME?</v>
      </c>
      <c r="DU140" s="25" t="e">
        <v>#NAME?</v>
      </c>
      <c r="DV140" s="25" t="e">
        <v>#NAME?</v>
      </c>
      <c r="DW140" s="25" t="e">
        <v>#NAME?</v>
      </c>
      <c r="DX140" s="25" t="e">
        <v>#NAME?</v>
      </c>
      <c r="DY140" s="25" t="e">
        <v>#NAME?</v>
      </c>
      <c r="DZ140" s="25" t="e">
        <v>#NAME?</v>
      </c>
      <c r="EA140" s="25" t="e">
        <v>#NAME?</v>
      </c>
      <c r="EB140" s="25" t="e">
        <v>#NAME?</v>
      </c>
      <c r="EC140" s="25" t="e">
        <v>#NAME?</v>
      </c>
      <c r="EE140" s="42" t="s">
        <v>47</v>
      </c>
      <c r="EF140" s="25">
        <v>0</v>
      </c>
      <c r="EG140" s="25">
        <v>0</v>
      </c>
      <c r="EH140" s="25">
        <v>0</v>
      </c>
      <c r="EI140" s="25">
        <v>0</v>
      </c>
      <c r="EJ140" s="25">
        <v>0</v>
      </c>
    </row>
    <row r="141" spans="1:187">
      <c r="A141" t="s">
        <v>140</v>
      </c>
      <c r="B141">
        <v>0</v>
      </c>
      <c r="D141" s="35" t="s">
        <v>117</v>
      </c>
      <c r="E141" s="25" t="e">
        <v>#VALUE!</v>
      </c>
      <c r="F141" s="25" t="e">
        <v>#VALUE!</v>
      </c>
      <c r="G141" s="25" t="e">
        <v>#VALUE!</v>
      </c>
      <c r="H141" s="25" t="e">
        <v>#VALUE!</v>
      </c>
      <c r="I141" s="25" t="e">
        <v>#VALUE!</v>
      </c>
      <c r="J141" s="25" t="e">
        <v>#VALUE!</v>
      </c>
      <c r="K141" s="25" t="e">
        <v>#VALUE!</v>
      </c>
      <c r="L141" s="25" t="e">
        <v>#VALUE!</v>
      </c>
      <c r="M141" s="25" t="e">
        <v>#VALUE!</v>
      </c>
      <c r="N141" s="25" t="e">
        <v>#VALUE!</v>
      </c>
      <c r="O141" s="25" t="e">
        <v>#VALUE!</v>
      </c>
      <c r="P141" s="25" t="e">
        <v>#VALUE!</v>
      </c>
      <c r="Q141" s="25" t="e">
        <v>#VALUE!</v>
      </c>
      <c r="R141" s="25" t="e">
        <v>#VALUE!</v>
      </c>
      <c r="S141" s="25" t="e">
        <v>#VALUE!</v>
      </c>
      <c r="T141" s="25" t="e">
        <v>#VALUE!</v>
      </c>
      <c r="U141" s="25" t="e">
        <v>#VALUE!</v>
      </c>
      <c r="V141" s="25" t="e">
        <v>#VALUE!</v>
      </c>
      <c r="W141" s="25" t="e">
        <v>#VALUE!</v>
      </c>
      <c r="X141" s="25" t="e">
        <v>#VALUE!</v>
      </c>
      <c r="Y141" s="25" t="e">
        <v>#VALUE!</v>
      </c>
      <c r="Z141" s="25" t="e">
        <v>#VALUE!</v>
      </c>
      <c r="AA141" s="25" t="e">
        <v>#VALUE!</v>
      </c>
      <c r="AB141" s="25" t="e">
        <v>#VALUE!</v>
      </c>
      <c r="AC141" s="25" t="e">
        <v>#VALUE!</v>
      </c>
      <c r="AD141" s="25" t="e">
        <v>#VALUE!</v>
      </c>
      <c r="AE141" s="25" t="e">
        <v>#VALUE!</v>
      </c>
      <c r="AF141" s="25" t="e">
        <v>#VALUE!</v>
      </c>
      <c r="AG141" s="25" t="e">
        <v>#VALUE!</v>
      </c>
      <c r="AH141" s="25" t="e">
        <v>#VALUE!</v>
      </c>
      <c r="AI141" s="25" t="e">
        <v>#VALUE!</v>
      </c>
      <c r="AJ141" s="25" t="e">
        <v>#VALUE!</v>
      </c>
      <c r="AK141" s="25" t="e">
        <v>#VALUE!</v>
      </c>
      <c r="AL141" s="25" t="e">
        <v>#VALUE!</v>
      </c>
      <c r="AM141" s="25" t="e">
        <v>#VALUE!</v>
      </c>
      <c r="AN141" s="25" t="e">
        <v>#NAME?</v>
      </c>
      <c r="AP141" s="35" t="s">
        <v>117</v>
      </c>
      <c r="AQ141" s="25">
        <v>0</v>
      </c>
      <c r="AR141" s="25">
        <v>0</v>
      </c>
      <c r="AS141" s="25">
        <v>0</v>
      </c>
      <c r="AT141" s="25">
        <v>0</v>
      </c>
      <c r="AU141" s="25">
        <v>0</v>
      </c>
      <c r="AW141">
        <v>0</v>
      </c>
      <c r="AX141" s="61" t="s">
        <v>118</v>
      </c>
      <c r="AY141" s="25" t="e">
        <v>#NAME?</v>
      </c>
      <c r="AZ141" s="25" t="e">
        <v>#NAME?</v>
      </c>
      <c r="BA141" s="25" t="e">
        <v>#NAME?</v>
      </c>
      <c r="BB141" s="25" t="e">
        <v>#NAME?</v>
      </c>
      <c r="BC141" s="25" t="e">
        <v>#NAME?</v>
      </c>
      <c r="BD141" s="25" t="e">
        <v>#NAME?</v>
      </c>
      <c r="BE141" s="25" t="e">
        <v>#NAME?</v>
      </c>
      <c r="BF141" s="25" t="e">
        <v>#NAME?</v>
      </c>
      <c r="BG141" s="25" t="e">
        <v>#NAME?</v>
      </c>
      <c r="BH141" s="25" t="e">
        <v>#NAME?</v>
      </c>
      <c r="BI141" s="25" t="e">
        <v>#NAME?</v>
      </c>
      <c r="BJ141" s="25" t="e">
        <v>#NAME?</v>
      </c>
      <c r="BK141" s="25" t="e">
        <v>#NAME?</v>
      </c>
      <c r="BL141" s="25" t="e">
        <v>#NAME?</v>
      </c>
      <c r="BM141" s="25" t="e">
        <v>#NAME?</v>
      </c>
      <c r="BN141" s="25" t="e">
        <v>#NAME?</v>
      </c>
      <c r="BO141" s="25" t="e">
        <v>#NAME?</v>
      </c>
      <c r="BP141" s="25" t="e">
        <v>#NAME?</v>
      </c>
      <c r="BQ141" s="25" t="e">
        <v>#NAME?</v>
      </c>
      <c r="BR141" s="25" t="e">
        <v>#NAME?</v>
      </c>
      <c r="BS141" s="25" t="e">
        <v>#NAME?</v>
      </c>
      <c r="BT141" s="25" t="e">
        <v>#NAME?</v>
      </c>
      <c r="BU141" s="25" t="e">
        <v>#NAME?</v>
      </c>
      <c r="BV141" s="25" t="e">
        <v>#NAME?</v>
      </c>
      <c r="BW141" s="25" t="e">
        <v>#NAME?</v>
      </c>
      <c r="BX141" s="25" t="e">
        <v>#NAME?</v>
      </c>
      <c r="BY141" s="25" t="e">
        <v>#NAME?</v>
      </c>
      <c r="BZ141" s="25" t="e">
        <v>#NAME?</v>
      </c>
      <c r="CA141" s="25" t="e">
        <v>#NAME?</v>
      </c>
      <c r="CB141" s="25" t="e">
        <v>#NAME?</v>
      </c>
      <c r="CC141" s="25" t="e">
        <v>#NAME?</v>
      </c>
      <c r="CD141" s="25" t="e">
        <v>#NAME?</v>
      </c>
      <c r="CE141" s="25" t="e">
        <v>#NAME?</v>
      </c>
      <c r="CF141" s="25" t="e">
        <v>#NAME?</v>
      </c>
      <c r="CG141" s="25" t="e">
        <v>#NAME?</v>
      </c>
      <c r="CH141" s="25" t="e">
        <v>#NAME?</v>
      </c>
      <c r="CK141" s="61" t="s">
        <v>118</v>
      </c>
      <c r="CL141" s="25">
        <v>0</v>
      </c>
      <c r="CM141" s="25">
        <v>0</v>
      </c>
      <c r="CN141" s="25">
        <v>0</v>
      </c>
      <c r="CO141" s="25">
        <v>0</v>
      </c>
      <c r="CP141" s="25">
        <v>0</v>
      </c>
      <c r="CS141" s="42" t="s">
        <v>102</v>
      </c>
      <c r="CT141" s="25" t="e">
        <v>#NAME?</v>
      </c>
      <c r="CU141" s="25" t="e">
        <v>#NAME?</v>
      </c>
      <c r="CV141" s="25" t="e">
        <v>#NAME?</v>
      </c>
      <c r="CW141" s="25" t="e">
        <v>#NAME?</v>
      </c>
      <c r="CX141" s="25" t="e">
        <v>#NAME?</v>
      </c>
      <c r="CY141" s="25" t="e">
        <v>#NAME?</v>
      </c>
      <c r="CZ141" s="25" t="e">
        <v>#NAME?</v>
      </c>
      <c r="DA141" s="25" t="e">
        <v>#NAME?</v>
      </c>
      <c r="DB141" s="25" t="e">
        <v>#NAME?</v>
      </c>
      <c r="DC141" s="25" t="e">
        <v>#NAME?</v>
      </c>
      <c r="DD141" s="25" t="e">
        <v>#NAME?</v>
      </c>
      <c r="DE141" s="25" t="e">
        <v>#NAME?</v>
      </c>
      <c r="DF141" s="25" t="e">
        <v>#NAME?</v>
      </c>
      <c r="DG141" s="25" t="e">
        <v>#NAME?</v>
      </c>
      <c r="DH141" s="25" t="e">
        <v>#NAME?</v>
      </c>
      <c r="DI141" s="25" t="e">
        <v>#NAME?</v>
      </c>
      <c r="DJ141" s="25" t="e">
        <v>#NAME?</v>
      </c>
      <c r="DK141" s="25" t="e">
        <v>#NAME?</v>
      </c>
      <c r="DL141" s="25" t="e">
        <v>#NAME?</v>
      </c>
      <c r="DM141" s="25" t="e">
        <v>#NAME?</v>
      </c>
      <c r="DN141" s="25" t="e">
        <v>#NAME?</v>
      </c>
      <c r="DO141" s="25" t="e">
        <v>#NAME?</v>
      </c>
      <c r="DP141" s="25" t="e">
        <v>#NAME?</v>
      </c>
      <c r="DQ141" s="25" t="e">
        <v>#NAME?</v>
      </c>
      <c r="DR141" s="25" t="e">
        <v>#NAME?</v>
      </c>
      <c r="DS141" s="25" t="e">
        <v>#NAME?</v>
      </c>
      <c r="DT141" s="25" t="e">
        <v>#NAME?</v>
      </c>
      <c r="DU141" s="25" t="e">
        <v>#NAME?</v>
      </c>
      <c r="DV141" s="25" t="e">
        <v>#NAME?</v>
      </c>
      <c r="DW141" s="25" t="e">
        <v>#NAME?</v>
      </c>
      <c r="DX141" s="25" t="e">
        <v>#NAME?</v>
      </c>
      <c r="DY141" s="25" t="e">
        <v>#NAME?</v>
      </c>
      <c r="DZ141" s="25" t="e">
        <v>#NAME?</v>
      </c>
      <c r="EA141" s="25" t="e">
        <v>#NAME?</v>
      </c>
      <c r="EB141" s="25" t="e">
        <v>#NAME?</v>
      </c>
      <c r="EC141" s="25" t="e">
        <v>#NAME?</v>
      </c>
      <c r="EE141" s="42" t="s">
        <v>102</v>
      </c>
      <c r="EF141" s="25">
        <v>0</v>
      </c>
      <c r="EG141" s="25">
        <v>0</v>
      </c>
      <c r="EH141" s="25">
        <v>0</v>
      </c>
      <c r="EI141" s="25">
        <v>0</v>
      </c>
      <c r="EJ141" s="25">
        <v>0</v>
      </c>
    </row>
    <row r="142" spans="1:187">
      <c r="A142" t="s">
        <v>140</v>
      </c>
      <c r="B142">
        <v>0</v>
      </c>
      <c r="D142" s="68" t="s">
        <v>119</v>
      </c>
      <c r="E142" s="69" t="e">
        <v>#VALUE!</v>
      </c>
      <c r="F142" s="69" t="e">
        <v>#VALUE!</v>
      </c>
      <c r="G142" s="69" t="e">
        <v>#VALUE!</v>
      </c>
      <c r="H142" s="69" t="e">
        <v>#VALUE!</v>
      </c>
      <c r="I142" s="69" t="e">
        <v>#VALUE!</v>
      </c>
      <c r="J142" s="69" t="e">
        <v>#VALUE!</v>
      </c>
      <c r="K142" s="69" t="e">
        <v>#VALUE!</v>
      </c>
      <c r="L142" s="69" t="e">
        <v>#VALUE!</v>
      </c>
      <c r="M142" s="69" t="e">
        <v>#VALUE!</v>
      </c>
      <c r="N142" s="69" t="e">
        <v>#VALUE!</v>
      </c>
      <c r="O142" s="69" t="e">
        <v>#VALUE!</v>
      </c>
      <c r="P142" s="69" t="e">
        <v>#VALUE!</v>
      </c>
      <c r="Q142" s="69" t="e">
        <v>#VALUE!</v>
      </c>
      <c r="R142" s="69" t="e">
        <v>#VALUE!</v>
      </c>
      <c r="S142" s="69" t="e">
        <v>#VALUE!</v>
      </c>
      <c r="T142" s="69" t="e">
        <v>#VALUE!</v>
      </c>
      <c r="U142" s="69" t="e">
        <v>#VALUE!</v>
      </c>
      <c r="V142" s="69" t="e">
        <v>#VALUE!</v>
      </c>
      <c r="W142" s="69" t="e">
        <v>#VALUE!</v>
      </c>
      <c r="X142" s="69" t="e">
        <v>#VALUE!</v>
      </c>
      <c r="Y142" s="69" t="e">
        <v>#VALUE!</v>
      </c>
      <c r="Z142" s="69" t="e">
        <v>#VALUE!</v>
      </c>
      <c r="AA142" s="69" t="e">
        <v>#VALUE!</v>
      </c>
      <c r="AB142" s="69" t="e">
        <v>#VALUE!</v>
      </c>
      <c r="AC142" s="69" t="e">
        <v>#VALUE!</v>
      </c>
      <c r="AD142" s="69" t="e">
        <v>#VALUE!</v>
      </c>
      <c r="AE142" s="69" t="e">
        <v>#VALUE!</v>
      </c>
      <c r="AF142" s="69" t="e">
        <v>#VALUE!</v>
      </c>
      <c r="AG142" s="69" t="e">
        <v>#VALUE!</v>
      </c>
      <c r="AH142" s="69" t="e">
        <v>#VALUE!</v>
      </c>
      <c r="AI142" s="69" t="e">
        <v>#VALUE!</v>
      </c>
      <c r="AJ142" s="69" t="e">
        <v>#VALUE!</v>
      </c>
      <c r="AK142" s="69" t="e">
        <v>#VALUE!</v>
      </c>
      <c r="AL142" s="69" t="e">
        <v>#VALUE!</v>
      </c>
      <c r="AM142" s="69" t="e">
        <v>#VALUE!</v>
      </c>
      <c r="AN142" s="69" t="e">
        <v>#NAME?</v>
      </c>
      <c r="AP142" s="68" t="s">
        <v>119</v>
      </c>
      <c r="AQ142" s="69">
        <v>0</v>
      </c>
      <c r="AR142" s="69">
        <v>0</v>
      </c>
      <c r="AS142" s="69">
        <v>0</v>
      </c>
      <c r="AT142" s="69">
        <v>0</v>
      </c>
      <c r="AU142" s="69">
        <v>0</v>
      </c>
      <c r="AW142" s="78">
        <v>0</v>
      </c>
      <c r="AX142" s="45" t="s">
        <v>120</v>
      </c>
      <c r="AY142" s="46" t="e">
        <v>#NAME?</v>
      </c>
      <c r="AZ142" s="46" t="e">
        <v>#NAME?</v>
      </c>
      <c r="BA142" s="46" t="e">
        <v>#NAME?</v>
      </c>
      <c r="BB142" s="46" t="e">
        <v>#NAME?</v>
      </c>
      <c r="BC142" s="46" t="e">
        <v>#NAME?</v>
      </c>
      <c r="BD142" s="46" t="e">
        <v>#NAME?</v>
      </c>
      <c r="BE142" s="46" t="e">
        <v>#NAME?</v>
      </c>
      <c r="BF142" s="46" t="e">
        <v>#NAME?</v>
      </c>
      <c r="BG142" s="46" t="e">
        <v>#NAME?</v>
      </c>
      <c r="BH142" s="46" t="e">
        <v>#NAME?</v>
      </c>
      <c r="BI142" s="46" t="e">
        <v>#NAME?</v>
      </c>
      <c r="BJ142" s="46" t="e">
        <v>#NAME?</v>
      </c>
      <c r="BK142" s="46" t="e">
        <v>#NAME?</v>
      </c>
      <c r="BL142" s="46" t="e">
        <v>#NAME?</v>
      </c>
      <c r="BM142" s="46" t="e">
        <v>#NAME?</v>
      </c>
      <c r="BN142" s="46" t="e">
        <v>#NAME?</v>
      </c>
      <c r="BO142" s="46" t="e">
        <v>#NAME?</v>
      </c>
      <c r="BP142" s="46" t="e">
        <v>#NAME?</v>
      </c>
      <c r="BQ142" s="46" t="e">
        <v>#NAME?</v>
      </c>
      <c r="BR142" s="46" t="e">
        <v>#NAME?</v>
      </c>
      <c r="BS142" s="46" t="e">
        <v>#NAME?</v>
      </c>
      <c r="BT142" s="46" t="e">
        <v>#NAME?</v>
      </c>
      <c r="BU142" s="46" t="e">
        <v>#NAME?</v>
      </c>
      <c r="BV142" s="46" t="e">
        <v>#NAME?</v>
      </c>
      <c r="BW142" s="46" t="e">
        <v>#NAME?</v>
      </c>
      <c r="BX142" s="46" t="e">
        <v>#NAME?</v>
      </c>
      <c r="BY142" s="46" t="e">
        <v>#NAME?</v>
      </c>
      <c r="BZ142" s="46" t="e">
        <v>#NAME?</v>
      </c>
      <c r="CA142" s="46" t="e">
        <v>#NAME?</v>
      </c>
      <c r="CB142" s="46" t="e">
        <v>#NAME?</v>
      </c>
      <c r="CC142" s="46" t="e">
        <v>#NAME?</v>
      </c>
      <c r="CD142" s="46" t="e">
        <v>#NAME?</v>
      </c>
      <c r="CE142" s="46" t="e">
        <v>#NAME?</v>
      </c>
      <c r="CF142" s="46" t="e">
        <v>#NAME?</v>
      </c>
      <c r="CG142" s="46" t="e">
        <v>#NAME?</v>
      </c>
      <c r="CH142" s="46" t="e">
        <v>#NAME?</v>
      </c>
      <c r="CK142" s="45" t="s">
        <v>120</v>
      </c>
      <c r="CL142" s="46">
        <v>0</v>
      </c>
      <c r="CM142" s="46">
        <v>0</v>
      </c>
      <c r="CN142" s="46">
        <v>0</v>
      </c>
      <c r="CO142" s="46">
        <v>0</v>
      </c>
      <c r="CP142" s="46">
        <v>0</v>
      </c>
      <c r="CS142" s="60" t="s">
        <v>104</v>
      </c>
      <c r="CT142" s="51" t="e">
        <v>#NAME?</v>
      </c>
      <c r="CU142" s="51" t="e">
        <v>#NAME?</v>
      </c>
      <c r="CV142" s="51" t="e">
        <v>#NAME?</v>
      </c>
      <c r="CW142" s="51" t="e">
        <v>#NAME?</v>
      </c>
      <c r="CX142" s="51" t="e">
        <v>#NAME?</v>
      </c>
      <c r="CY142" s="51" t="e">
        <v>#NAME?</v>
      </c>
      <c r="CZ142" s="51" t="e">
        <v>#NAME?</v>
      </c>
      <c r="DA142" s="51" t="e">
        <v>#NAME?</v>
      </c>
      <c r="DB142" s="51" t="e">
        <v>#NAME?</v>
      </c>
      <c r="DC142" s="51" t="e">
        <v>#NAME?</v>
      </c>
      <c r="DD142" s="51" t="e">
        <v>#NAME?</v>
      </c>
      <c r="DE142" s="51" t="e">
        <v>#NAME?</v>
      </c>
      <c r="DF142" s="51" t="e">
        <v>#NAME?</v>
      </c>
      <c r="DG142" s="51" t="e">
        <v>#NAME?</v>
      </c>
      <c r="DH142" s="51" t="e">
        <v>#NAME?</v>
      </c>
      <c r="DI142" s="51" t="e">
        <v>#NAME?</v>
      </c>
      <c r="DJ142" s="51" t="e">
        <v>#NAME?</v>
      </c>
      <c r="DK142" s="51" t="e">
        <v>#NAME?</v>
      </c>
      <c r="DL142" s="51" t="e">
        <v>#NAME?</v>
      </c>
      <c r="DM142" s="51" t="e">
        <v>#NAME?</v>
      </c>
      <c r="DN142" s="51" t="e">
        <v>#NAME?</v>
      </c>
      <c r="DO142" s="51" t="e">
        <v>#NAME?</v>
      </c>
      <c r="DP142" s="51" t="e">
        <v>#NAME?</v>
      </c>
      <c r="DQ142" s="51" t="e">
        <v>#NAME?</v>
      </c>
      <c r="DR142" s="51" t="e">
        <v>#NAME?</v>
      </c>
      <c r="DS142" s="51" t="e">
        <v>#NAME?</v>
      </c>
      <c r="DT142" s="51" t="e">
        <v>#NAME?</v>
      </c>
      <c r="DU142" s="51" t="e">
        <v>#NAME?</v>
      </c>
      <c r="DV142" s="51" t="e">
        <v>#NAME?</v>
      </c>
      <c r="DW142" s="51" t="e">
        <v>#NAME?</v>
      </c>
      <c r="DX142" s="51" t="e">
        <v>#NAME?</v>
      </c>
      <c r="DY142" s="51" t="e">
        <v>#NAME?</v>
      </c>
      <c r="DZ142" s="51" t="e">
        <v>#NAME?</v>
      </c>
      <c r="EA142" s="51" t="e">
        <v>#NAME?</v>
      </c>
      <c r="EB142" s="51" t="e">
        <v>#NAME?</v>
      </c>
      <c r="EC142" s="51" t="e">
        <v>#NAME?</v>
      </c>
      <c r="EE142" s="60" t="s">
        <v>104</v>
      </c>
      <c r="EF142" s="51">
        <v>0</v>
      </c>
      <c r="EG142" s="51">
        <v>0</v>
      </c>
      <c r="EH142" s="51">
        <v>0</v>
      </c>
      <c r="EI142" s="51">
        <v>0</v>
      </c>
      <c r="EJ142" s="51">
        <v>0</v>
      </c>
    </row>
    <row r="143" spans="1:187" ht="15.75" thickBot="1">
      <c r="A143" t="s">
        <v>140</v>
      </c>
      <c r="B143">
        <v>0</v>
      </c>
      <c r="D143" s="70"/>
      <c r="E143" s="71"/>
      <c r="F143" s="71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  <c r="AA143" s="71"/>
      <c r="AB143" s="71"/>
      <c r="AC143" s="71"/>
      <c r="AD143" s="71"/>
      <c r="AE143" s="71"/>
      <c r="AF143" s="71"/>
      <c r="AG143" s="71"/>
      <c r="AH143" s="71"/>
      <c r="AI143" s="71"/>
      <c r="AJ143" s="71"/>
      <c r="AK143" s="71"/>
      <c r="AL143" s="71"/>
      <c r="AM143" s="71"/>
      <c r="AN143" s="71"/>
      <c r="AP143" s="70"/>
      <c r="AQ143" s="71"/>
      <c r="AR143" s="71"/>
      <c r="AS143" s="71"/>
      <c r="AT143" s="71"/>
      <c r="AU143" s="71"/>
      <c r="AX143" s="47"/>
      <c r="AY143" s="51"/>
      <c r="AZ143" s="51"/>
      <c r="BA143" s="51"/>
      <c r="BB143" s="51"/>
      <c r="BC143" s="51"/>
      <c r="BD143" s="51"/>
      <c r="BE143" s="51"/>
      <c r="BF143" s="51"/>
      <c r="BG143" s="51"/>
      <c r="BH143" s="51"/>
      <c r="BI143" s="51"/>
      <c r="BJ143" s="51"/>
      <c r="BK143" s="51"/>
      <c r="BL143" s="51"/>
      <c r="BM143" s="51"/>
      <c r="BN143" s="51"/>
      <c r="BO143" s="51"/>
      <c r="BP143" s="51"/>
      <c r="BQ143" s="51"/>
      <c r="BR143" s="51"/>
      <c r="BS143" s="51"/>
      <c r="BT143" s="51"/>
      <c r="BU143" s="51"/>
      <c r="BV143" s="51"/>
      <c r="BW143" s="51"/>
      <c r="BX143" s="51"/>
      <c r="BY143" s="51"/>
      <c r="BZ143" s="51"/>
      <c r="CA143" s="51"/>
      <c r="CB143" s="51"/>
      <c r="CC143" s="51"/>
      <c r="CD143" s="51"/>
      <c r="CE143" s="51"/>
      <c r="CF143" s="51"/>
      <c r="CG143" s="51"/>
      <c r="CH143" s="51"/>
      <c r="CK143" s="47"/>
      <c r="CL143" s="51"/>
      <c r="CM143" s="51"/>
      <c r="CN143" s="51"/>
      <c r="CO143" s="51"/>
      <c r="CP143" s="51"/>
      <c r="CS143" s="62"/>
      <c r="CT143" s="63"/>
      <c r="CU143" s="63"/>
      <c r="CV143" s="63"/>
      <c r="CW143" s="63"/>
      <c r="CX143" s="63"/>
      <c r="CY143" s="63"/>
      <c r="CZ143" s="63"/>
      <c r="DA143" s="63"/>
      <c r="DB143" s="63"/>
      <c r="DC143" s="63"/>
      <c r="DD143" s="63"/>
      <c r="DE143" s="63"/>
      <c r="DF143" s="63"/>
      <c r="DG143" s="63"/>
      <c r="DH143" s="63"/>
      <c r="DI143" s="63"/>
      <c r="DJ143" s="63"/>
      <c r="DK143" s="63"/>
      <c r="DL143" s="63"/>
      <c r="DM143" s="63"/>
      <c r="DN143" s="63"/>
      <c r="DO143" s="63"/>
      <c r="DP143" s="63"/>
      <c r="DQ143" s="63"/>
      <c r="DR143" s="63"/>
      <c r="DS143" s="63"/>
      <c r="DT143" s="63"/>
      <c r="DU143" s="63"/>
      <c r="DV143" s="63"/>
      <c r="DW143" s="63"/>
      <c r="DX143" s="63"/>
      <c r="DY143" s="63"/>
      <c r="DZ143" s="63"/>
      <c r="EA143" s="63"/>
      <c r="EB143" s="63"/>
      <c r="EC143" s="63"/>
      <c r="EE143" s="62"/>
      <c r="EF143" s="63"/>
      <c r="EG143" s="63"/>
      <c r="EH143" s="63"/>
      <c r="EI143" s="63"/>
      <c r="EJ143" s="63"/>
    </row>
    <row r="144" spans="1:187" ht="15.75" thickBot="1">
      <c r="A144" t="s">
        <v>140</v>
      </c>
      <c r="B144">
        <v>0</v>
      </c>
      <c r="D144" s="58" t="s">
        <v>121</v>
      </c>
      <c r="E144" s="71"/>
      <c r="F144" s="71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  <c r="AA144" s="71"/>
      <c r="AB144" s="71"/>
      <c r="AC144" s="71"/>
      <c r="AD144" s="71"/>
      <c r="AE144" s="71"/>
      <c r="AF144" s="71"/>
      <c r="AG144" s="71"/>
      <c r="AH144" s="71"/>
      <c r="AI144" s="71"/>
      <c r="AJ144" s="71"/>
      <c r="AK144" s="71"/>
      <c r="AL144" s="71"/>
      <c r="AM144" s="71"/>
      <c r="AN144" s="71"/>
      <c r="AP144" s="58" t="s">
        <v>121</v>
      </c>
      <c r="AQ144" s="71"/>
      <c r="AR144" s="71"/>
      <c r="AS144" s="71"/>
      <c r="AT144" s="71"/>
      <c r="AU144" s="71"/>
      <c r="AW144">
        <v>0</v>
      </c>
      <c r="AX144" s="61" t="s">
        <v>122</v>
      </c>
      <c r="AY144" s="25" t="e">
        <v>#NAME?</v>
      </c>
      <c r="AZ144" s="25" t="e">
        <v>#NAME?</v>
      </c>
      <c r="BA144" s="25" t="e">
        <v>#NAME?</v>
      </c>
      <c r="BB144" s="25" t="e">
        <v>#NAME?</v>
      </c>
      <c r="BC144" s="25" t="e">
        <v>#NAME?</v>
      </c>
      <c r="BD144" s="25" t="e">
        <v>#NAME?</v>
      </c>
      <c r="BE144" s="25" t="e">
        <v>#NAME?</v>
      </c>
      <c r="BF144" s="25" t="e">
        <v>#NAME?</v>
      </c>
      <c r="BG144" s="25" t="e">
        <v>#NAME?</v>
      </c>
      <c r="BH144" s="25" t="e">
        <v>#NAME?</v>
      </c>
      <c r="BI144" s="25" t="e">
        <v>#NAME?</v>
      </c>
      <c r="BJ144" s="25" t="e">
        <v>#NAME?</v>
      </c>
      <c r="BK144" s="25" t="e">
        <v>#NAME?</v>
      </c>
      <c r="BL144" s="25" t="e">
        <v>#NAME?</v>
      </c>
      <c r="BM144" s="25" t="e">
        <v>#NAME?</v>
      </c>
      <c r="BN144" s="25" t="e">
        <v>#NAME?</v>
      </c>
      <c r="BO144" s="25" t="e">
        <v>#NAME?</v>
      </c>
      <c r="BP144" s="25" t="e">
        <v>#NAME?</v>
      </c>
      <c r="BQ144" s="25" t="e">
        <v>#NAME?</v>
      </c>
      <c r="BR144" s="25" t="e">
        <v>#NAME?</v>
      </c>
      <c r="BS144" s="25" t="e">
        <v>#NAME?</v>
      </c>
      <c r="BT144" s="25" t="e">
        <v>#NAME?</v>
      </c>
      <c r="BU144" s="25" t="e">
        <v>#NAME?</v>
      </c>
      <c r="BV144" s="25" t="e">
        <v>#NAME?</v>
      </c>
      <c r="BW144" s="25" t="e">
        <v>#NAME?</v>
      </c>
      <c r="BX144" s="25" t="e">
        <v>#NAME?</v>
      </c>
      <c r="BY144" s="25" t="e">
        <v>#NAME?</v>
      </c>
      <c r="BZ144" s="25" t="e">
        <v>#NAME?</v>
      </c>
      <c r="CA144" s="25" t="e">
        <v>#NAME?</v>
      </c>
      <c r="CB144" s="25" t="e">
        <v>#NAME?</v>
      </c>
      <c r="CC144" s="25" t="e">
        <v>#NAME?</v>
      </c>
      <c r="CD144" s="25" t="e">
        <v>#NAME?</v>
      </c>
      <c r="CE144" s="25" t="e">
        <v>#NAME?</v>
      </c>
      <c r="CF144" s="25" t="e">
        <v>#NAME?</v>
      </c>
      <c r="CG144" s="25" t="e">
        <v>#NAME?</v>
      </c>
      <c r="CH144" s="25" t="e">
        <v>#NAME?</v>
      </c>
      <c r="CK144" s="61" t="s">
        <v>122</v>
      </c>
      <c r="CL144" s="25">
        <v>0</v>
      </c>
      <c r="CM144" s="25">
        <v>0</v>
      </c>
      <c r="CN144" s="25">
        <v>0</v>
      </c>
      <c r="CO144" s="25">
        <v>0</v>
      </c>
      <c r="CP144" s="25">
        <v>0</v>
      </c>
    </row>
    <row r="145" spans="1:133">
      <c r="A145" t="s">
        <v>140</v>
      </c>
      <c r="B145">
        <v>0</v>
      </c>
      <c r="D145" s="35" t="s">
        <v>123</v>
      </c>
      <c r="E145" s="25" t="e">
        <v>#VALUE!</v>
      </c>
      <c r="F145" s="25" t="e">
        <v>#VALUE!</v>
      </c>
      <c r="G145" s="25" t="e">
        <v>#VALUE!</v>
      </c>
      <c r="H145" s="25" t="e">
        <v>#VALUE!</v>
      </c>
      <c r="I145" s="25" t="e">
        <v>#VALUE!</v>
      </c>
      <c r="J145" s="25" t="e">
        <v>#VALUE!</v>
      </c>
      <c r="K145" s="25" t="e">
        <v>#VALUE!</v>
      </c>
      <c r="L145" s="25" t="e">
        <v>#VALUE!</v>
      </c>
      <c r="M145" s="25" t="e">
        <v>#VALUE!</v>
      </c>
      <c r="N145" s="25" t="e">
        <v>#VALUE!</v>
      </c>
      <c r="O145" s="25" t="e">
        <v>#VALUE!</v>
      </c>
      <c r="P145" s="25" t="e">
        <v>#VALUE!</v>
      </c>
      <c r="Q145" s="25" t="e">
        <v>#VALUE!</v>
      </c>
      <c r="R145" s="25" t="e">
        <v>#VALUE!</v>
      </c>
      <c r="S145" s="25" t="e">
        <v>#VALUE!</v>
      </c>
      <c r="T145" s="25" t="e">
        <v>#VALUE!</v>
      </c>
      <c r="U145" s="25" t="e">
        <v>#VALUE!</v>
      </c>
      <c r="V145" s="25" t="e">
        <v>#VALUE!</v>
      </c>
      <c r="W145" s="25" t="e">
        <v>#VALUE!</v>
      </c>
      <c r="X145" s="25" t="e">
        <v>#VALUE!</v>
      </c>
      <c r="Y145" s="25" t="e">
        <v>#VALUE!</v>
      </c>
      <c r="Z145" s="25" t="e">
        <v>#VALUE!</v>
      </c>
      <c r="AA145" s="25" t="e">
        <v>#VALUE!</v>
      </c>
      <c r="AB145" s="25" t="e">
        <v>#VALUE!</v>
      </c>
      <c r="AC145" s="25" t="e">
        <v>#VALUE!</v>
      </c>
      <c r="AD145" s="25" t="e">
        <v>#VALUE!</v>
      </c>
      <c r="AE145" s="25" t="e">
        <v>#VALUE!</v>
      </c>
      <c r="AF145" s="25" t="e">
        <v>#VALUE!</v>
      </c>
      <c r="AG145" s="25" t="e">
        <v>#VALUE!</v>
      </c>
      <c r="AH145" s="25" t="e">
        <v>#VALUE!</v>
      </c>
      <c r="AI145" s="25" t="e">
        <v>#VALUE!</v>
      </c>
      <c r="AJ145" s="25" t="e">
        <v>#VALUE!</v>
      </c>
      <c r="AK145" s="25" t="e">
        <v>#VALUE!</v>
      </c>
      <c r="AL145" s="25" t="e">
        <v>#VALUE!</v>
      </c>
      <c r="AM145" s="25" t="e">
        <v>#VALUE!</v>
      </c>
      <c r="AN145" s="25" t="e">
        <v>#NAME?</v>
      </c>
      <c r="AP145" s="35" t="s">
        <v>123</v>
      </c>
      <c r="AQ145" s="25">
        <v>0</v>
      </c>
      <c r="AR145" s="25">
        <v>0</v>
      </c>
      <c r="AS145" s="25">
        <v>0</v>
      </c>
      <c r="AT145" s="25">
        <v>0</v>
      </c>
      <c r="AU145" s="25">
        <v>0</v>
      </c>
      <c r="AW145" s="78">
        <v>0</v>
      </c>
      <c r="AX145" s="45" t="s">
        <v>124</v>
      </c>
      <c r="AY145" s="46" t="e">
        <v>#NAME?</v>
      </c>
      <c r="AZ145" s="46" t="e">
        <v>#NAME?</v>
      </c>
      <c r="BA145" s="46" t="e">
        <v>#NAME?</v>
      </c>
      <c r="BB145" s="46" t="e">
        <v>#NAME?</v>
      </c>
      <c r="BC145" s="46" t="e">
        <v>#NAME?</v>
      </c>
      <c r="BD145" s="46" t="e">
        <v>#NAME?</v>
      </c>
      <c r="BE145" s="46" t="e">
        <v>#NAME?</v>
      </c>
      <c r="BF145" s="46" t="e">
        <v>#NAME?</v>
      </c>
      <c r="BG145" s="46" t="e">
        <v>#NAME?</v>
      </c>
      <c r="BH145" s="46" t="e">
        <v>#NAME?</v>
      </c>
      <c r="BI145" s="46" t="e">
        <v>#NAME?</v>
      </c>
      <c r="BJ145" s="46" t="e">
        <v>#NAME?</v>
      </c>
      <c r="BK145" s="46" t="e">
        <v>#NAME?</v>
      </c>
      <c r="BL145" s="46" t="e">
        <v>#NAME?</v>
      </c>
      <c r="BM145" s="46" t="e">
        <v>#NAME?</v>
      </c>
      <c r="BN145" s="46" t="e">
        <v>#NAME?</v>
      </c>
      <c r="BO145" s="46" t="e">
        <v>#NAME?</v>
      </c>
      <c r="BP145" s="46" t="e">
        <v>#NAME?</v>
      </c>
      <c r="BQ145" s="46" t="e">
        <v>#NAME?</v>
      </c>
      <c r="BR145" s="46" t="e">
        <v>#NAME?</v>
      </c>
      <c r="BS145" s="46" t="e">
        <v>#NAME?</v>
      </c>
      <c r="BT145" s="46" t="e">
        <v>#NAME?</v>
      </c>
      <c r="BU145" s="46" t="e">
        <v>#NAME?</v>
      </c>
      <c r="BV145" s="46" t="e">
        <v>#NAME?</v>
      </c>
      <c r="BW145" s="46" t="e">
        <v>#NAME?</v>
      </c>
      <c r="BX145" s="46" t="e">
        <v>#NAME?</v>
      </c>
      <c r="BY145" s="46" t="e">
        <v>#NAME?</v>
      </c>
      <c r="BZ145" s="46" t="e">
        <v>#NAME?</v>
      </c>
      <c r="CA145" s="46" t="e">
        <v>#NAME?</v>
      </c>
      <c r="CB145" s="46" t="e">
        <v>#NAME?</v>
      </c>
      <c r="CC145" s="46" t="e">
        <v>#NAME?</v>
      </c>
      <c r="CD145" s="46" t="e">
        <v>#NAME?</v>
      </c>
      <c r="CE145" s="46" t="e">
        <v>#NAME?</v>
      </c>
      <c r="CF145" s="46" t="e">
        <v>#NAME?</v>
      </c>
      <c r="CG145" s="46" t="e">
        <v>#NAME?</v>
      </c>
      <c r="CH145" s="46" t="e">
        <v>#NAME?</v>
      </c>
      <c r="CK145" s="45" t="s">
        <v>124</v>
      </c>
      <c r="CL145" s="46">
        <v>0</v>
      </c>
      <c r="CM145" s="46">
        <v>0</v>
      </c>
      <c r="CN145" s="46">
        <v>0</v>
      </c>
      <c r="CO145" s="46">
        <v>0</v>
      </c>
      <c r="CP145" s="46">
        <v>0</v>
      </c>
      <c r="CS145" s="20" t="s">
        <v>63</v>
      </c>
      <c r="CT145" s="19">
        <v>0</v>
      </c>
      <c r="CU145" s="19">
        <v>0</v>
      </c>
      <c r="CV145" s="19">
        <v>0</v>
      </c>
      <c r="CW145" s="19">
        <v>0</v>
      </c>
      <c r="CX145" s="19">
        <v>0</v>
      </c>
      <c r="CY145" s="19">
        <v>0</v>
      </c>
      <c r="CZ145" s="19">
        <v>0</v>
      </c>
      <c r="DA145" s="19">
        <v>0</v>
      </c>
      <c r="DB145" s="19">
        <v>0</v>
      </c>
      <c r="DC145" s="19">
        <v>0</v>
      </c>
      <c r="DD145" s="19">
        <v>0</v>
      </c>
      <c r="DE145" s="19">
        <v>0</v>
      </c>
      <c r="DF145" s="19">
        <v>0</v>
      </c>
      <c r="DG145" s="19">
        <v>0</v>
      </c>
      <c r="DH145" s="19">
        <v>0</v>
      </c>
      <c r="DI145" s="19">
        <v>0</v>
      </c>
      <c r="DJ145" s="19">
        <v>0</v>
      </c>
      <c r="DK145" s="19">
        <v>0</v>
      </c>
      <c r="DL145" s="19">
        <v>0</v>
      </c>
      <c r="DM145" s="19">
        <v>0</v>
      </c>
      <c r="DN145" s="19">
        <v>0</v>
      </c>
      <c r="DO145" s="19">
        <v>0</v>
      </c>
      <c r="DP145" s="19">
        <v>0</v>
      </c>
      <c r="DQ145" s="19">
        <v>0</v>
      </c>
      <c r="DR145" s="19">
        <v>0</v>
      </c>
      <c r="DS145" s="19">
        <v>0</v>
      </c>
      <c r="DT145" s="19">
        <v>0</v>
      </c>
      <c r="DU145" s="19">
        <v>0</v>
      </c>
      <c r="DV145" s="19">
        <v>0</v>
      </c>
      <c r="DW145" s="19">
        <v>0</v>
      </c>
      <c r="DX145" s="19">
        <v>0</v>
      </c>
      <c r="DY145" s="19">
        <v>0</v>
      </c>
      <c r="DZ145" s="19">
        <v>0</v>
      </c>
      <c r="EA145" s="19">
        <v>0</v>
      </c>
      <c r="EB145" s="19">
        <v>0</v>
      </c>
      <c r="EC145" s="19">
        <v>4</v>
      </c>
    </row>
    <row r="146" spans="1:133">
      <c r="A146" t="s">
        <v>140</v>
      </c>
      <c r="B146">
        <v>0</v>
      </c>
      <c r="D146" s="35" t="s">
        <v>125</v>
      </c>
      <c r="E146" s="25" t="e">
        <v>#VALUE!</v>
      </c>
      <c r="F146" s="25" t="e">
        <v>#VALUE!</v>
      </c>
      <c r="G146" s="25" t="e">
        <v>#VALUE!</v>
      </c>
      <c r="H146" s="25" t="e">
        <v>#VALUE!</v>
      </c>
      <c r="I146" s="25" t="e">
        <v>#VALUE!</v>
      </c>
      <c r="J146" s="25" t="e">
        <v>#VALUE!</v>
      </c>
      <c r="K146" s="25" t="e">
        <v>#VALUE!</v>
      </c>
      <c r="L146" s="25" t="e">
        <v>#VALUE!</v>
      </c>
      <c r="M146" s="25" t="e">
        <v>#VALUE!</v>
      </c>
      <c r="N146" s="25" t="e">
        <v>#VALUE!</v>
      </c>
      <c r="O146" s="25" t="e">
        <v>#VALUE!</v>
      </c>
      <c r="P146" s="25" t="e">
        <v>#VALUE!</v>
      </c>
      <c r="Q146" s="25" t="e">
        <v>#VALUE!</v>
      </c>
      <c r="R146" s="25" t="e">
        <v>#VALUE!</v>
      </c>
      <c r="S146" s="25" t="e">
        <v>#VALUE!</v>
      </c>
      <c r="T146" s="25" t="e">
        <v>#VALUE!</v>
      </c>
      <c r="U146" s="25" t="e">
        <v>#VALUE!</v>
      </c>
      <c r="V146" s="25" t="e">
        <v>#VALUE!</v>
      </c>
      <c r="W146" s="25" t="e">
        <v>#VALUE!</v>
      </c>
      <c r="X146" s="25" t="e">
        <v>#VALUE!</v>
      </c>
      <c r="Y146" s="25" t="e">
        <v>#VALUE!</v>
      </c>
      <c r="Z146" s="25" t="e">
        <v>#VALUE!</v>
      </c>
      <c r="AA146" s="25" t="e">
        <v>#VALUE!</v>
      </c>
      <c r="AB146" s="25" t="e">
        <v>#VALUE!</v>
      </c>
      <c r="AC146" s="25" t="e">
        <v>#VALUE!</v>
      </c>
      <c r="AD146" s="25" t="e">
        <v>#VALUE!</v>
      </c>
      <c r="AE146" s="25" t="e">
        <v>#VALUE!</v>
      </c>
      <c r="AF146" s="25" t="e">
        <v>#VALUE!</v>
      </c>
      <c r="AG146" s="25" t="e">
        <v>#VALUE!</v>
      </c>
      <c r="AH146" s="25" t="e">
        <v>#VALUE!</v>
      </c>
      <c r="AI146" s="25" t="e">
        <v>#VALUE!</v>
      </c>
      <c r="AJ146" s="25" t="e">
        <v>#VALUE!</v>
      </c>
      <c r="AK146" s="25" t="e">
        <v>#VALUE!</v>
      </c>
      <c r="AL146" s="25" t="e">
        <v>#VALUE!</v>
      </c>
      <c r="AM146" s="25" t="e">
        <v>#VALUE!</v>
      </c>
      <c r="AN146" s="25" t="e">
        <v>#NAME?</v>
      </c>
      <c r="AP146" s="35" t="s">
        <v>125</v>
      </c>
      <c r="AQ146" s="25">
        <v>0</v>
      </c>
      <c r="AR146" s="25">
        <v>0</v>
      </c>
      <c r="AS146" s="25">
        <v>0</v>
      </c>
      <c r="AT146" s="25">
        <v>0</v>
      </c>
      <c r="AU146" s="25">
        <v>0</v>
      </c>
      <c r="AW146" t="e">
        <v>#NAME?</v>
      </c>
      <c r="AX146" s="67" t="s">
        <v>4</v>
      </c>
      <c r="AY146" s="48" t="e">
        <v>#NAME?</v>
      </c>
      <c r="AZ146" s="48" t="e">
        <v>#NAME?</v>
      </c>
      <c r="BA146" s="48" t="e">
        <v>#NAME?</v>
      </c>
      <c r="BB146" s="48" t="e">
        <v>#NAME?</v>
      </c>
      <c r="BC146" s="48" t="e">
        <v>#NAME?</v>
      </c>
      <c r="BD146" s="48" t="e">
        <v>#NAME?</v>
      </c>
      <c r="BE146" s="48" t="e">
        <v>#NAME?</v>
      </c>
      <c r="BF146" s="48" t="e">
        <v>#NAME?</v>
      </c>
      <c r="BG146" s="48" t="e">
        <v>#NAME?</v>
      </c>
      <c r="BH146" s="48" t="e">
        <v>#NAME?</v>
      </c>
      <c r="BI146" s="48" t="e">
        <v>#NAME?</v>
      </c>
      <c r="BJ146" s="48" t="e">
        <v>#NAME?</v>
      </c>
      <c r="BK146" s="48" t="e">
        <v>#NAME?</v>
      </c>
      <c r="BL146" s="48" t="e">
        <v>#NAME?</v>
      </c>
      <c r="BM146" s="48" t="e">
        <v>#NAME?</v>
      </c>
      <c r="BN146" s="48" t="e">
        <v>#NAME?</v>
      </c>
      <c r="BO146" s="48" t="e">
        <v>#NAME?</v>
      </c>
      <c r="BP146" s="48" t="e">
        <v>#NAME?</v>
      </c>
      <c r="BQ146" s="48" t="e">
        <v>#NAME?</v>
      </c>
      <c r="BR146" s="48" t="e">
        <v>#NAME?</v>
      </c>
      <c r="BS146" s="48" t="e">
        <v>#NAME?</v>
      </c>
      <c r="BT146" s="48" t="e">
        <v>#NAME?</v>
      </c>
      <c r="BU146" s="48" t="e">
        <v>#NAME?</v>
      </c>
      <c r="BV146" s="48" t="e">
        <v>#NAME?</v>
      </c>
      <c r="BW146" s="48" t="e">
        <v>#NAME?</v>
      </c>
      <c r="BX146" s="48" t="e">
        <v>#NAME?</v>
      </c>
      <c r="BY146" s="48" t="e">
        <v>#NAME?</v>
      </c>
      <c r="BZ146" s="48" t="e">
        <v>#NAME?</v>
      </c>
      <c r="CA146" s="48" t="e">
        <v>#NAME?</v>
      </c>
      <c r="CB146" s="48" t="e">
        <v>#NAME?</v>
      </c>
      <c r="CC146" s="48" t="e">
        <v>#NAME?</v>
      </c>
      <c r="CD146" s="48" t="e">
        <v>#NAME?</v>
      </c>
      <c r="CE146" s="48" t="e">
        <v>#NAME?</v>
      </c>
      <c r="CF146" s="48" t="e">
        <v>#NAME?</v>
      </c>
      <c r="CG146" s="48" t="e">
        <v>#NAME?</v>
      </c>
      <c r="CH146" s="48" t="e">
        <v>#NAME?</v>
      </c>
      <c r="CK146" s="67" t="s">
        <v>4</v>
      </c>
      <c r="CL146" s="72" t="e">
        <v>#NAME?</v>
      </c>
      <c r="CM146" s="72" t="e">
        <v>#NAME?</v>
      </c>
      <c r="CN146" s="72" t="e">
        <v>#NAME?</v>
      </c>
      <c r="CO146" s="72" t="e">
        <v>#NAME?</v>
      </c>
      <c r="CP146" s="72" t="e">
        <v>#NAME?</v>
      </c>
      <c r="CS146" s="42" t="s">
        <v>47</v>
      </c>
      <c r="CT146" s="25" t="e">
        <v>#NAME?</v>
      </c>
      <c r="CU146" s="25" t="e">
        <v>#NAME?</v>
      </c>
      <c r="CV146" s="25" t="e">
        <v>#NAME?</v>
      </c>
      <c r="CW146" s="25" t="e">
        <v>#NAME?</v>
      </c>
      <c r="CX146" s="25" t="e">
        <v>#NAME?</v>
      </c>
      <c r="CY146" s="25" t="e">
        <v>#NAME?</v>
      </c>
      <c r="CZ146" s="25" t="e">
        <v>#NAME?</v>
      </c>
      <c r="DA146" s="25" t="e">
        <v>#NAME?</v>
      </c>
      <c r="DB146" s="25" t="e">
        <v>#NAME?</v>
      </c>
      <c r="DC146" s="25" t="e">
        <v>#NAME?</v>
      </c>
      <c r="DD146" s="25" t="e">
        <v>#NAME?</v>
      </c>
      <c r="DE146" s="25" t="e">
        <v>#NAME?</v>
      </c>
      <c r="DF146" s="25" t="e">
        <v>#NAME?</v>
      </c>
      <c r="DG146" s="25" t="e">
        <v>#NAME?</v>
      </c>
      <c r="DH146" s="25" t="e">
        <v>#NAME?</v>
      </c>
      <c r="DI146" s="25" t="e">
        <v>#NAME?</v>
      </c>
      <c r="DJ146" s="25" t="e">
        <v>#NAME?</v>
      </c>
      <c r="DK146" s="25" t="e">
        <v>#NAME?</v>
      </c>
      <c r="DL146" s="25" t="e">
        <v>#NAME?</v>
      </c>
      <c r="DM146" s="25" t="e">
        <v>#NAME?</v>
      </c>
      <c r="DN146" s="25" t="e">
        <v>#NAME?</v>
      </c>
      <c r="DO146" s="25" t="e">
        <v>#NAME?</v>
      </c>
      <c r="DP146" s="25" t="e">
        <v>#NAME?</v>
      </c>
      <c r="DQ146" s="25" t="e">
        <v>#NAME?</v>
      </c>
      <c r="DR146" s="25" t="e">
        <v>#NAME?</v>
      </c>
      <c r="DS146" s="25" t="e">
        <v>#NAME?</v>
      </c>
      <c r="DT146" s="25" t="e">
        <v>#NAME?</v>
      </c>
      <c r="DU146" s="25" t="e">
        <v>#NAME?</v>
      </c>
      <c r="DV146" s="25" t="e">
        <v>#NAME?</v>
      </c>
      <c r="DW146" s="25" t="e">
        <v>#NAME?</v>
      </c>
      <c r="DX146" s="25" t="e">
        <v>#NAME?</v>
      </c>
      <c r="DY146" s="25" t="e">
        <v>#NAME?</v>
      </c>
      <c r="DZ146" s="25" t="e">
        <v>#NAME?</v>
      </c>
      <c r="EA146" s="25" t="e">
        <v>#NAME?</v>
      </c>
      <c r="EB146" s="25" t="e">
        <v>#NAME?</v>
      </c>
      <c r="EC146" s="25" t="e">
        <v>#NAME?</v>
      </c>
    </row>
    <row r="147" spans="1:133">
      <c r="A147" t="s">
        <v>140</v>
      </c>
      <c r="B147">
        <v>0</v>
      </c>
      <c r="D147" s="68" t="s">
        <v>126</v>
      </c>
      <c r="E147" s="69" t="e">
        <v>#VALUE!</v>
      </c>
      <c r="F147" s="69" t="e">
        <v>#VALUE!</v>
      </c>
      <c r="G147" s="69" t="e">
        <v>#VALUE!</v>
      </c>
      <c r="H147" s="69" t="e">
        <v>#VALUE!</v>
      </c>
      <c r="I147" s="69" t="e">
        <v>#VALUE!</v>
      </c>
      <c r="J147" s="69" t="e">
        <v>#VALUE!</v>
      </c>
      <c r="K147" s="69" t="e">
        <v>#VALUE!</v>
      </c>
      <c r="L147" s="69" t="e">
        <v>#VALUE!</v>
      </c>
      <c r="M147" s="69" t="e">
        <v>#VALUE!</v>
      </c>
      <c r="N147" s="69" t="e">
        <v>#VALUE!</v>
      </c>
      <c r="O147" s="69" t="e">
        <v>#VALUE!</v>
      </c>
      <c r="P147" s="69" t="e">
        <v>#VALUE!</v>
      </c>
      <c r="Q147" s="69" t="e">
        <v>#VALUE!</v>
      </c>
      <c r="R147" s="69" t="e">
        <v>#VALUE!</v>
      </c>
      <c r="S147" s="69" t="e">
        <v>#VALUE!</v>
      </c>
      <c r="T147" s="69" t="e">
        <v>#VALUE!</v>
      </c>
      <c r="U147" s="69" t="e">
        <v>#VALUE!</v>
      </c>
      <c r="V147" s="69" t="e">
        <v>#VALUE!</v>
      </c>
      <c r="W147" s="69" t="e">
        <v>#VALUE!</v>
      </c>
      <c r="X147" s="69" t="e">
        <v>#VALUE!</v>
      </c>
      <c r="Y147" s="69" t="e">
        <v>#VALUE!</v>
      </c>
      <c r="Z147" s="69" t="e">
        <v>#VALUE!</v>
      </c>
      <c r="AA147" s="69" t="e">
        <v>#VALUE!</v>
      </c>
      <c r="AB147" s="69" t="e">
        <v>#VALUE!</v>
      </c>
      <c r="AC147" s="69" t="e">
        <v>#VALUE!</v>
      </c>
      <c r="AD147" s="69" t="e">
        <v>#VALUE!</v>
      </c>
      <c r="AE147" s="69" t="e">
        <v>#VALUE!</v>
      </c>
      <c r="AF147" s="69" t="e">
        <v>#VALUE!</v>
      </c>
      <c r="AG147" s="69" t="e">
        <v>#VALUE!</v>
      </c>
      <c r="AH147" s="69" t="e">
        <v>#VALUE!</v>
      </c>
      <c r="AI147" s="69" t="e">
        <v>#VALUE!</v>
      </c>
      <c r="AJ147" s="69" t="e">
        <v>#VALUE!</v>
      </c>
      <c r="AK147" s="69" t="e">
        <v>#VALUE!</v>
      </c>
      <c r="AL147" s="69" t="e">
        <v>#VALUE!</v>
      </c>
      <c r="AM147" s="69" t="e">
        <v>#VALUE!</v>
      </c>
      <c r="AN147" s="69" t="e">
        <v>#NAME?</v>
      </c>
      <c r="AO147" s="73"/>
      <c r="AP147" s="68" t="s">
        <v>126</v>
      </c>
      <c r="AQ147" s="69">
        <v>0</v>
      </c>
      <c r="AR147" s="69">
        <v>0</v>
      </c>
      <c r="AS147" s="69">
        <v>0</v>
      </c>
      <c r="AT147" s="69">
        <v>0</v>
      </c>
      <c r="AU147" s="69">
        <v>0</v>
      </c>
      <c r="AV147" s="73"/>
      <c r="AW147" s="73"/>
      <c r="AX147" s="67"/>
      <c r="AY147" s="74"/>
      <c r="AZ147" s="74"/>
      <c r="BA147" s="74"/>
      <c r="BB147" s="74"/>
      <c r="BC147" s="74"/>
      <c r="BD147" s="74"/>
      <c r="BE147" s="74"/>
      <c r="BF147" s="74"/>
      <c r="BG147" s="74"/>
      <c r="BH147" s="74"/>
      <c r="BI147" s="74"/>
      <c r="BJ147" s="74"/>
      <c r="BK147" s="74"/>
      <c r="BL147" s="74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74"/>
      <c r="CH147" s="74"/>
      <c r="CK147" s="67"/>
      <c r="CL147" s="74"/>
      <c r="CM147" s="74"/>
      <c r="CN147" s="74"/>
      <c r="CO147" s="74"/>
      <c r="CP147" s="74"/>
      <c r="CS147" s="42" t="s">
        <v>102</v>
      </c>
      <c r="CT147" s="25" t="e">
        <v>#NAME?</v>
      </c>
      <c r="CU147" s="25" t="e">
        <v>#NAME?</v>
      </c>
      <c r="CV147" s="25" t="e">
        <v>#NAME?</v>
      </c>
      <c r="CW147" s="25" t="e">
        <v>#NAME?</v>
      </c>
      <c r="CX147" s="25" t="e">
        <v>#NAME?</v>
      </c>
      <c r="CY147" s="25" t="e">
        <v>#NAME?</v>
      </c>
      <c r="CZ147" s="25" t="e">
        <v>#NAME?</v>
      </c>
      <c r="DA147" s="25" t="e">
        <v>#NAME?</v>
      </c>
      <c r="DB147" s="25" t="e">
        <v>#NAME?</v>
      </c>
      <c r="DC147" s="25" t="e">
        <v>#NAME?</v>
      </c>
      <c r="DD147" s="25" t="e">
        <v>#NAME?</v>
      </c>
      <c r="DE147" s="25" t="e">
        <v>#NAME?</v>
      </c>
      <c r="DF147" s="25" t="e">
        <v>#NAME?</v>
      </c>
      <c r="DG147" s="25" t="e">
        <v>#NAME?</v>
      </c>
      <c r="DH147" s="25" t="e">
        <v>#NAME?</v>
      </c>
      <c r="DI147" s="25" t="e">
        <v>#NAME?</v>
      </c>
      <c r="DJ147" s="25" t="e">
        <v>#NAME?</v>
      </c>
      <c r="DK147" s="25" t="e">
        <v>#NAME?</v>
      </c>
      <c r="DL147" s="25" t="e">
        <v>#NAME?</v>
      </c>
      <c r="DM147" s="25" t="e">
        <v>#NAME?</v>
      </c>
      <c r="DN147" s="25" t="e">
        <v>#NAME?</v>
      </c>
      <c r="DO147" s="25" t="e">
        <v>#NAME?</v>
      </c>
      <c r="DP147" s="25" t="e">
        <v>#NAME?</v>
      </c>
      <c r="DQ147" s="25" t="e">
        <v>#NAME?</v>
      </c>
      <c r="DR147" s="25" t="e">
        <v>#NAME?</v>
      </c>
      <c r="DS147" s="25" t="e">
        <v>#NAME?</v>
      </c>
      <c r="DT147" s="25" t="e">
        <v>#NAME?</v>
      </c>
      <c r="DU147" s="25" t="e">
        <v>#NAME?</v>
      </c>
      <c r="DV147" s="25" t="e">
        <v>#NAME?</v>
      </c>
      <c r="DW147" s="25" t="e">
        <v>#NAME?</v>
      </c>
      <c r="DX147" s="25" t="e">
        <v>#NAME?</v>
      </c>
      <c r="DY147" s="25" t="e">
        <v>#NAME?</v>
      </c>
      <c r="DZ147" s="25" t="e">
        <v>#NAME?</v>
      </c>
      <c r="EA147" s="25" t="e">
        <v>#NAME?</v>
      </c>
      <c r="EB147" s="25" t="e">
        <v>#NAME?</v>
      </c>
      <c r="EC147" s="25" t="e">
        <v>#NAME?</v>
      </c>
    </row>
    <row r="148" spans="1:133" ht="15.75" thickBot="1">
      <c r="A148" t="s">
        <v>140</v>
      </c>
      <c r="B148">
        <v>0</v>
      </c>
      <c r="D148" s="75" t="s">
        <v>127</v>
      </c>
      <c r="E148" s="76" t="e">
        <v>#VALUE!</v>
      </c>
      <c r="F148" s="76" t="e">
        <v>#VALUE!</v>
      </c>
      <c r="G148" s="76" t="e">
        <v>#VALUE!</v>
      </c>
      <c r="H148" s="76" t="e">
        <v>#VALUE!</v>
      </c>
      <c r="I148" s="76" t="e">
        <v>#VALUE!</v>
      </c>
      <c r="J148" s="76" t="e">
        <v>#VALUE!</v>
      </c>
      <c r="K148" s="76" t="e">
        <v>#VALUE!</v>
      </c>
      <c r="L148" s="76" t="e">
        <v>#VALUE!</v>
      </c>
      <c r="M148" s="76" t="e">
        <v>#VALUE!</v>
      </c>
      <c r="N148" s="76" t="e">
        <v>#VALUE!</v>
      </c>
      <c r="O148" s="76" t="e">
        <v>#VALUE!</v>
      </c>
      <c r="P148" s="76" t="e">
        <v>#VALUE!</v>
      </c>
      <c r="Q148" s="76" t="e">
        <v>#VALUE!</v>
      </c>
      <c r="R148" s="76" t="e">
        <v>#VALUE!</v>
      </c>
      <c r="S148" s="76" t="e">
        <v>#VALUE!</v>
      </c>
      <c r="T148" s="76" t="e">
        <v>#VALUE!</v>
      </c>
      <c r="U148" s="76" t="e">
        <v>#VALUE!</v>
      </c>
      <c r="V148" s="76" t="e">
        <v>#VALUE!</v>
      </c>
      <c r="W148" s="76" t="e">
        <v>#VALUE!</v>
      </c>
      <c r="X148" s="76" t="e">
        <v>#VALUE!</v>
      </c>
      <c r="Y148" s="76" t="e">
        <v>#VALUE!</v>
      </c>
      <c r="Z148" s="76" t="e">
        <v>#VALUE!</v>
      </c>
      <c r="AA148" s="76" t="e">
        <v>#VALUE!</v>
      </c>
      <c r="AB148" s="76" t="e">
        <v>#VALUE!</v>
      </c>
      <c r="AC148" s="76" t="e">
        <v>#VALUE!</v>
      </c>
      <c r="AD148" s="76" t="e">
        <v>#VALUE!</v>
      </c>
      <c r="AE148" s="76" t="e">
        <v>#VALUE!</v>
      </c>
      <c r="AF148" s="76" t="e">
        <v>#VALUE!</v>
      </c>
      <c r="AG148" s="76" t="e">
        <v>#VALUE!</v>
      </c>
      <c r="AH148" s="76" t="e">
        <v>#VALUE!</v>
      </c>
      <c r="AI148" s="76" t="e">
        <v>#VALUE!</v>
      </c>
      <c r="AJ148" s="76" t="e">
        <v>#VALUE!</v>
      </c>
      <c r="AK148" s="76" t="e">
        <v>#VALUE!</v>
      </c>
      <c r="AL148" s="76" t="e">
        <v>#VALUE!</v>
      </c>
      <c r="AM148" s="76" t="e">
        <v>#VALUE!</v>
      </c>
      <c r="AN148" s="76" t="e">
        <v>#NAME?</v>
      </c>
      <c r="AO148" s="77"/>
      <c r="AP148" s="75" t="s">
        <v>127</v>
      </c>
      <c r="AQ148" s="76">
        <v>0</v>
      </c>
      <c r="AR148" s="76">
        <v>0</v>
      </c>
      <c r="AS148" s="76">
        <v>0</v>
      </c>
      <c r="AT148" s="76">
        <v>0</v>
      </c>
      <c r="AU148" s="76">
        <v>0</v>
      </c>
      <c r="AV148" s="77"/>
      <c r="AW148" s="77">
        <v>0</v>
      </c>
      <c r="AX148" s="61" t="s">
        <v>128</v>
      </c>
      <c r="AY148" s="25" t="e">
        <v>#NAME?</v>
      </c>
      <c r="AZ148" s="25" t="e">
        <v>#NAME?</v>
      </c>
      <c r="BA148" s="25" t="e">
        <v>#NAME?</v>
      </c>
      <c r="BB148" s="25" t="e">
        <v>#NAME?</v>
      </c>
      <c r="BC148" s="25" t="e">
        <v>#NAME?</v>
      </c>
      <c r="BD148" s="25" t="e">
        <v>#NAME?</v>
      </c>
      <c r="BE148" s="25" t="e">
        <v>#NAME?</v>
      </c>
      <c r="BF148" s="25" t="e">
        <v>#NAME?</v>
      </c>
      <c r="BG148" s="25" t="e">
        <v>#NAME?</v>
      </c>
      <c r="BH148" s="25" t="e">
        <v>#NAME?</v>
      </c>
      <c r="BI148" s="25" t="e">
        <v>#NAME?</v>
      </c>
      <c r="BJ148" s="25" t="e">
        <v>#NAME?</v>
      </c>
      <c r="BK148" s="25" t="e">
        <v>#NAME?</v>
      </c>
      <c r="BL148" s="25" t="e">
        <v>#NAME?</v>
      </c>
      <c r="BM148" s="25" t="e">
        <v>#NAME?</v>
      </c>
      <c r="BN148" s="25" t="e">
        <v>#NAME?</v>
      </c>
      <c r="BO148" s="25" t="e">
        <v>#NAME?</v>
      </c>
      <c r="BP148" s="25" t="e">
        <v>#NAME?</v>
      </c>
      <c r="BQ148" s="25" t="e">
        <v>#NAME?</v>
      </c>
      <c r="BR148" s="25" t="e">
        <v>#NAME?</v>
      </c>
      <c r="BS148" s="25" t="e">
        <v>#NAME?</v>
      </c>
      <c r="BT148" s="25" t="e">
        <v>#NAME?</v>
      </c>
      <c r="BU148" s="25" t="e">
        <v>#NAME?</v>
      </c>
      <c r="BV148" s="25" t="e">
        <v>#NAME?</v>
      </c>
      <c r="BW148" s="25" t="e">
        <v>#NAME?</v>
      </c>
      <c r="BX148" s="25" t="e">
        <v>#NAME?</v>
      </c>
      <c r="BY148" s="25" t="e">
        <v>#NAME?</v>
      </c>
      <c r="BZ148" s="25" t="e">
        <v>#NAME?</v>
      </c>
      <c r="CA148" s="25" t="e">
        <v>#NAME?</v>
      </c>
      <c r="CB148" s="25" t="e">
        <v>#NAME?</v>
      </c>
      <c r="CC148" s="25" t="e">
        <v>#NAME?</v>
      </c>
      <c r="CD148" s="25" t="e">
        <v>#NAME?</v>
      </c>
      <c r="CE148" s="25" t="e">
        <v>#NAME?</v>
      </c>
      <c r="CF148" s="25" t="e">
        <v>#NAME?</v>
      </c>
      <c r="CG148" s="25" t="e">
        <v>#NAME?</v>
      </c>
      <c r="CH148" s="25" t="e">
        <v>#NAME?</v>
      </c>
      <c r="CK148" s="61" t="s">
        <v>128</v>
      </c>
      <c r="CL148" s="25">
        <v>0</v>
      </c>
      <c r="CM148" s="25">
        <v>0</v>
      </c>
      <c r="CN148" s="25">
        <v>0</v>
      </c>
      <c r="CO148" s="25">
        <v>0</v>
      </c>
      <c r="CP148" s="25">
        <v>0</v>
      </c>
      <c r="CS148" s="60" t="s">
        <v>104</v>
      </c>
      <c r="CT148" s="51" t="e">
        <v>#NAME?</v>
      </c>
      <c r="CU148" s="51" t="e">
        <v>#NAME?</v>
      </c>
      <c r="CV148" s="51" t="e">
        <v>#NAME?</v>
      </c>
      <c r="CW148" s="51" t="e">
        <v>#NAME?</v>
      </c>
      <c r="CX148" s="51" t="e">
        <v>#NAME?</v>
      </c>
      <c r="CY148" s="51" t="e">
        <v>#NAME?</v>
      </c>
      <c r="CZ148" s="51" t="e">
        <v>#NAME?</v>
      </c>
      <c r="DA148" s="51" t="e">
        <v>#NAME?</v>
      </c>
      <c r="DB148" s="51" t="e">
        <v>#NAME?</v>
      </c>
      <c r="DC148" s="51" t="e">
        <v>#NAME?</v>
      </c>
      <c r="DD148" s="51" t="e">
        <v>#NAME?</v>
      </c>
      <c r="DE148" s="51" t="e">
        <v>#NAME?</v>
      </c>
      <c r="DF148" s="51" t="e">
        <v>#NAME?</v>
      </c>
      <c r="DG148" s="51" t="e">
        <v>#NAME?</v>
      </c>
      <c r="DH148" s="51" t="e">
        <v>#NAME?</v>
      </c>
      <c r="DI148" s="51" t="e">
        <v>#NAME?</v>
      </c>
      <c r="DJ148" s="51" t="e">
        <v>#NAME?</v>
      </c>
      <c r="DK148" s="51" t="e">
        <v>#NAME?</v>
      </c>
      <c r="DL148" s="51" t="e">
        <v>#NAME?</v>
      </c>
      <c r="DM148" s="51" t="e">
        <v>#NAME?</v>
      </c>
      <c r="DN148" s="51" t="e">
        <v>#NAME?</v>
      </c>
      <c r="DO148" s="51" t="e">
        <v>#NAME?</v>
      </c>
      <c r="DP148" s="51" t="e">
        <v>#NAME?</v>
      </c>
      <c r="DQ148" s="51" t="e">
        <v>#NAME?</v>
      </c>
      <c r="DR148" s="51" t="e">
        <v>#NAME?</v>
      </c>
      <c r="DS148" s="51" t="e">
        <v>#NAME?</v>
      </c>
      <c r="DT148" s="51" t="e">
        <v>#NAME?</v>
      </c>
      <c r="DU148" s="51" t="e">
        <v>#NAME?</v>
      </c>
      <c r="DV148" s="51" t="e">
        <v>#NAME?</v>
      </c>
      <c r="DW148" s="51" t="e">
        <v>#NAME?</v>
      </c>
      <c r="DX148" s="51" t="e">
        <v>#NAME?</v>
      </c>
      <c r="DY148" s="51" t="e">
        <v>#NAME?</v>
      </c>
      <c r="DZ148" s="51" t="e">
        <v>#NAME?</v>
      </c>
      <c r="EA148" s="51" t="e">
        <v>#NAME?</v>
      </c>
      <c r="EB148" s="51" t="e">
        <v>#NAME?</v>
      </c>
      <c r="EC148" s="51" t="e">
        <v>#NAME?</v>
      </c>
    </row>
    <row r="149" spans="1:133" ht="15.75" thickBot="1">
      <c r="A149" t="s">
        <v>140</v>
      </c>
      <c r="B149">
        <v>0</v>
      </c>
      <c r="AW149" s="259">
        <v>0</v>
      </c>
      <c r="AX149" s="45" t="s">
        <v>129</v>
      </c>
      <c r="AY149" s="46" t="e">
        <v>#NAME?</v>
      </c>
      <c r="AZ149" s="46" t="e">
        <v>#NAME?</v>
      </c>
      <c r="BA149" s="46" t="e">
        <v>#NAME?</v>
      </c>
      <c r="BB149" s="46" t="e">
        <v>#NAME?</v>
      </c>
      <c r="BC149" s="46" t="e">
        <v>#NAME?</v>
      </c>
      <c r="BD149" s="46" t="e">
        <v>#NAME?</v>
      </c>
      <c r="BE149" s="46" t="e">
        <v>#NAME?</v>
      </c>
      <c r="BF149" s="46" t="e">
        <v>#NAME?</v>
      </c>
      <c r="BG149" s="46" t="e">
        <v>#NAME?</v>
      </c>
      <c r="BH149" s="46" t="e">
        <v>#NAME?</v>
      </c>
      <c r="BI149" s="46" t="e">
        <v>#NAME?</v>
      </c>
      <c r="BJ149" s="46" t="e">
        <v>#NAME?</v>
      </c>
      <c r="BK149" s="46" t="e">
        <v>#NAME?</v>
      </c>
      <c r="BL149" s="46" t="e">
        <v>#NAME?</v>
      </c>
      <c r="BM149" s="46" t="e">
        <v>#NAME?</v>
      </c>
      <c r="BN149" s="46" t="e">
        <v>#NAME?</v>
      </c>
      <c r="BO149" s="46" t="e">
        <v>#NAME?</v>
      </c>
      <c r="BP149" s="46" t="e">
        <v>#NAME?</v>
      </c>
      <c r="BQ149" s="46" t="e">
        <v>#NAME?</v>
      </c>
      <c r="BR149" s="46" t="e">
        <v>#NAME?</v>
      </c>
      <c r="BS149" s="46" t="e">
        <v>#NAME?</v>
      </c>
      <c r="BT149" s="46" t="e">
        <v>#NAME?</v>
      </c>
      <c r="BU149" s="46" t="e">
        <v>#NAME?</v>
      </c>
      <c r="BV149" s="46" t="e">
        <v>#NAME?</v>
      </c>
      <c r="BW149" s="46" t="e">
        <v>#NAME?</v>
      </c>
      <c r="BX149" s="46" t="e">
        <v>#NAME?</v>
      </c>
      <c r="BY149" s="46" t="e">
        <v>#NAME?</v>
      </c>
      <c r="BZ149" s="46" t="e">
        <v>#NAME?</v>
      </c>
      <c r="CA149" s="46" t="e">
        <v>#NAME?</v>
      </c>
      <c r="CB149" s="46" t="e">
        <v>#NAME?</v>
      </c>
      <c r="CC149" s="46" t="e">
        <v>#NAME?</v>
      </c>
      <c r="CD149" s="46" t="e">
        <v>#NAME?</v>
      </c>
      <c r="CE149" s="46" t="e">
        <v>#NAME?</v>
      </c>
      <c r="CF149" s="46" t="e">
        <v>#NAME?</v>
      </c>
      <c r="CG149" s="46" t="e">
        <v>#NAME?</v>
      </c>
      <c r="CH149" s="46" t="e">
        <v>#NAME?</v>
      </c>
      <c r="CK149" s="45" t="s">
        <v>129</v>
      </c>
      <c r="CL149" s="46">
        <v>0</v>
      </c>
      <c r="CM149" s="46">
        <v>0</v>
      </c>
      <c r="CN149" s="46">
        <v>0</v>
      </c>
      <c r="CO149" s="46">
        <v>0</v>
      </c>
      <c r="CP149" s="46">
        <v>0</v>
      </c>
      <c r="CS149" s="62"/>
      <c r="CT149" s="63"/>
      <c r="CU149" s="63"/>
      <c r="CV149" s="63"/>
      <c r="CW149" s="63"/>
      <c r="CX149" s="63"/>
      <c r="CY149" s="63"/>
      <c r="CZ149" s="63"/>
      <c r="DA149" s="63"/>
      <c r="DB149" s="63"/>
      <c r="DC149" s="63"/>
      <c r="DD149" s="63"/>
      <c r="DE149" s="63"/>
      <c r="DF149" s="63"/>
      <c r="DG149" s="63"/>
      <c r="DH149" s="63"/>
      <c r="DI149" s="63"/>
      <c r="DJ149" s="63"/>
      <c r="DK149" s="63"/>
      <c r="DL149" s="63"/>
      <c r="DM149" s="63"/>
      <c r="DN149" s="63"/>
      <c r="DO149" s="63"/>
      <c r="DP149" s="63"/>
      <c r="DQ149" s="63"/>
      <c r="DR149" s="63"/>
      <c r="DS149" s="63"/>
      <c r="DT149" s="63"/>
      <c r="DU149" s="63"/>
      <c r="DV149" s="63"/>
      <c r="DW149" s="63"/>
      <c r="DX149" s="63"/>
      <c r="DY149" s="63"/>
      <c r="DZ149" s="63"/>
      <c r="EA149" s="63"/>
      <c r="EB149" s="63"/>
      <c r="EC149" s="63"/>
    </row>
    <row r="150" spans="1:133" ht="15.75" thickBot="1">
      <c r="A150" t="s">
        <v>140</v>
      </c>
      <c r="B150">
        <v>0</v>
      </c>
      <c r="AW150" t="e">
        <v>#NAME?</v>
      </c>
      <c r="AX150" s="79"/>
      <c r="AY150" s="48" t="e">
        <v>#NAME?</v>
      </c>
      <c r="AZ150" s="48" t="e">
        <v>#NAME?</v>
      </c>
      <c r="BA150" s="48" t="e">
        <v>#NAME?</v>
      </c>
      <c r="BB150" s="48" t="e">
        <v>#NAME?</v>
      </c>
      <c r="BC150" s="48" t="e">
        <v>#NAME?</v>
      </c>
      <c r="BD150" s="48" t="e">
        <v>#NAME?</v>
      </c>
      <c r="BE150" s="48" t="e">
        <v>#NAME?</v>
      </c>
      <c r="BF150" s="48" t="e">
        <v>#NAME?</v>
      </c>
      <c r="BG150" s="48" t="e">
        <v>#NAME?</v>
      </c>
      <c r="BH150" s="48" t="e">
        <v>#NAME?</v>
      </c>
      <c r="BI150" s="48" t="e">
        <v>#NAME?</v>
      </c>
      <c r="BJ150" s="48" t="e">
        <v>#NAME?</v>
      </c>
      <c r="BK150" s="48" t="e">
        <v>#NAME?</v>
      </c>
      <c r="BL150" s="48" t="e">
        <v>#NAME?</v>
      </c>
      <c r="BM150" s="48" t="e">
        <v>#NAME?</v>
      </c>
      <c r="BN150" s="48" t="e">
        <v>#NAME?</v>
      </c>
      <c r="BO150" s="48" t="e">
        <v>#NAME?</v>
      </c>
      <c r="BP150" s="48" t="e">
        <v>#NAME?</v>
      </c>
      <c r="BQ150" s="48" t="e">
        <v>#NAME?</v>
      </c>
      <c r="BR150" s="48" t="e">
        <v>#NAME?</v>
      </c>
      <c r="BS150" s="48" t="e">
        <v>#NAME?</v>
      </c>
      <c r="BT150" s="48" t="e">
        <v>#NAME?</v>
      </c>
      <c r="BU150" s="48" t="e">
        <v>#NAME?</v>
      </c>
      <c r="BV150" s="48" t="e">
        <v>#NAME?</v>
      </c>
      <c r="BW150" s="48" t="e">
        <v>#NAME?</v>
      </c>
      <c r="BX150" s="48" t="e">
        <v>#NAME?</v>
      </c>
      <c r="BY150" s="48" t="e">
        <v>#NAME?</v>
      </c>
      <c r="BZ150" s="48" t="e">
        <v>#NAME?</v>
      </c>
      <c r="CA150" s="48" t="e">
        <v>#NAME?</v>
      </c>
      <c r="CB150" s="48" t="e">
        <v>#NAME?</v>
      </c>
      <c r="CC150" s="48" t="e">
        <v>#NAME?</v>
      </c>
      <c r="CD150" s="48" t="e">
        <v>#NAME?</v>
      </c>
      <c r="CE150" s="48" t="e">
        <v>#NAME?</v>
      </c>
      <c r="CF150" s="48" t="e">
        <v>#NAME?</v>
      </c>
      <c r="CG150" s="48" t="e">
        <v>#NAME?</v>
      </c>
      <c r="CH150" s="48" t="e">
        <v>#NAME?</v>
      </c>
      <c r="CK150" s="79"/>
      <c r="CL150" s="80" t="e">
        <v>#NAME?</v>
      </c>
      <c r="CM150" s="80" t="e">
        <v>#NAME?</v>
      </c>
      <c r="CN150" s="80" t="e">
        <v>#NAME?</v>
      </c>
      <c r="CO150" s="80" t="e">
        <v>#NAME?</v>
      </c>
      <c r="CP150" s="80" t="e">
        <v>#NAME?</v>
      </c>
    </row>
    <row r="151" spans="1:133" ht="15.75" thickBot="1">
      <c r="A151" t="s">
        <v>140</v>
      </c>
      <c r="B151">
        <v>0</v>
      </c>
      <c r="D151" s="18"/>
      <c r="E151" s="19" t="e">
        <v>#VALUE!</v>
      </c>
      <c r="F151" s="19" t="e">
        <v>#VALUE!</v>
      </c>
      <c r="G151" s="19" t="e">
        <v>#VALUE!</v>
      </c>
      <c r="H151" s="19" t="e">
        <v>#VALUE!</v>
      </c>
      <c r="I151" s="19" t="e">
        <v>#VALUE!</v>
      </c>
      <c r="J151" s="19" t="e">
        <v>#VALUE!</v>
      </c>
      <c r="K151" s="19" t="e">
        <v>#VALUE!</v>
      </c>
      <c r="L151" s="19" t="e">
        <v>#VALUE!</v>
      </c>
      <c r="M151" s="19" t="e">
        <v>#VALUE!</v>
      </c>
      <c r="N151" s="19" t="e">
        <v>#VALUE!</v>
      </c>
      <c r="O151" s="19" t="e">
        <v>#VALUE!</v>
      </c>
      <c r="P151" s="19" t="e">
        <v>#VALUE!</v>
      </c>
      <c r="Q151" s="19" t="e">
        <v>#VALUE!</v>
      </c>
      <c r="R151" s="19" t="e">
        <v>#VALUE!</v>
      </c>
      <c r="S151" s="19" t="e">
        <v>#VALUE!</v>
      </c>
      <c r="T151" s="19" t="e">
        <v>#VALUE!</v>
      </c>
      <c r="U151" s="19" t="e">
        <v>#VALUE!</v>
      </c>
      <c r="V151" s="19" t="e">
        <v>#VALUE!</v>
      </c>
      <c r="W151" s="19" t="e">
        <v>#VALUE!</v>
      </c>
      <c r="X151" s="19" t="e">
        <v>#VALUE!</v>
      </c>
      <c r="Y151" s="19" t="e">
        <v>#VALUE!</v>
      </c>
      <c r="Z151" s="19" t="e">
        <v>#VALUE!</v>
      </c>
      <c r="AA151" s="19" t="e">
        <v>#VALUE!</v>
      </c>
      <c r="AB151" s="19" t="e">
        <v>#VALUE!</v>
      </c>
      <c r="AC151" s="19" t="e">
        <v>#VALUE!</v>
      </c>
      <c r="AD151" s="19" t="e">
        <v>#VALUE!</v>
      </c>
      <c r="AE151" s="19" t="e">
        <v>#VALUE!</v>
      </c>
      <c r="AF151" s="19" t="e">
        <v>#VALUE!</v>
      </c>
      <c r="AG151" s="19" t="e">
        <v>#VALUE!</v>
      </c>
      <c r="AH151" s="19" t="e">
        <v>#VALUE!</v>
      </c>
      <c r="AI151" s="19" t="e">
        <v>#VALUE!</v>
      </c>
      <c r="AJ151" s="19" t="e">
        <v>#VALUE!</v>
      </c>
      <c r="AK151" s="19" t="e">
        <v>#VALUE!</v>
      </c>
      <c r="AL151" s="19" t="e">
        <v>#VALUE!</v>
      </c>
      <c r="AM151" s="19" t="e">
        <v>#VALUE!</v>
      </c>
      <c r="AN151" s="19" t="e">
        <v>#NUM!</v>
      </c>
    </row>
    <row r="152" spans="1:133" ht="15.75" thickBot="1">
      <c r="A152" t="s">
        <v>140</v>
      </c>
      <c r="B152">
        <v>0</v>
      </c>
      <c r="D152" s="22" t="s">
        <v>64</v>
      </c>
      <c r="E152" s="23"/>
      <c r="F152" s="23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  <c r="AG152" s="23"/>
      <c r="AH152" s="23"/>
      <c r="AI152" s="23"/>
      <c r="AJ152" s="23"/>
      <c r="AK152" s="23"/>
      <c r="AL152" s="23"/>
      <c r="AM152" s="23"/>
      <c r="AN152" s="23"/>
      <c r="CS152" s="20"/>
      <c r="CT152" s="19">
        <v>0</v>
      </c>
      <c r="CU152" s="19">
        <v>0</v>
      </c>
      <c r="CV152" s="19">
        <v>0</v>
      </c>
      <c r="CW152" s="19">
        <v>0</v>
      </c>
      <c r="CX152" s="19">
        <v>0</v>
      </c>
      <c r="CY152" s="19">
        <v>0</v>
      </c>
      <c r="CZ152" s="19">
        <v>0</v>
      </c>
      <c r="DA152" s="19">
        <v>0</v>
      </c>
      <c r="DB152" s="19">
        <v>0</v>
      </c>
      <c r="DC152" s="19">
        <v>0</v>
      </c>
      <c r="DD152" s="19">
        <v>0</v>
      </c>
      <c r="DE152" s="19">
        <v>0</v>
      </c>
    </row>
    <row r="153" spans="1:133" ht="15.75" thickBot="1">
      <c r="A153" t="s">
        <v>140</v>
      </c>
      <c r="B153">
        <v>0</v>
      </c>
      <c r="D153" s="35" t="s">
        <v>66</v>
      </c>
      <c r="E153" s="25" t="e">
        <v>#VALUE!</v>
      </c>
      <c r="F153" s="25" t="e">
        <v>#VALUE!</v>
      </c>
      <c r="G153" s="25" t="e">
        <v>#VALUE!</v>
      </c>
      <c r="H153" s="25" t="e">
        <v>#VALUE!</v>
      </c>
      <c r="I153" s="25" t="e">
        <v>#VALUE!</v>
      </c>
      <c r="J153" s="25" t="e">
        <v>#VALUE!</v>
      </c>
      <c r="K153" s="25" t="e">
        <v>#VALUE!</v>
      </c>
      <c r="L153" s="25" t="e">
        <v>#VALUE!</v>
      </c>
      <c r="M153" s="25" t="e">
        <v>#VALUE!</v>
      </c>
      <c r="N153" s="25" t="e">
        <v>#VALUE!</v>
      </c>
      <c r="O153" s="25" t="e">
        <v>#VALUE!</v>
      </c>
      <c r="P153" s="25" t="e">
        <v>#VALUE!</v>
      </c>
      <c r="Q153" s="25" t="e">
        <v>#VALUE!</v>
      </c>
      <c r="R153" s="25" t="e">
        <v>#VALUE!</v>
      </c>
      <c r="S153" s="25" t="e">
        <v>#VALUE!</v>
      </c>
      <c r="T153" s="25" t="e">
        <v>#VALUE!</v>
      </c>
      <c r="U153" s="25" t="e">
        <v>#VALUE!</v>
      </c>
      <c r="V153" s="25" t="e">
        <v>#VALUE!</v>
      </c>
      <c r="W153" s="25" t="e">
        <v>#VALUE!</v>
      </c>
      <c r="X153" s="25" t="e">
        <v>#VALUE!</v>
      </c>
      <c r="Y153" s="25" t="e">
        <v>#VALUE!</v>
      </c>
      <c r="Z153" s="25" t="e">
        <v>#VALUE!</v>
      </c>
      <c r="AA153" s="25" t="e">
        <v>#VALUE!</v>
      </c>
      <c r="AB153" s="25" t="e">
        <v>#VALUE!</v>
      </c>
      <c r="AC153" s="25" t="e">
        <v>#VALUE!</v>
      </c>
      <c r="AD153" s="25" t="e">
        <v>#VALUE!</v>
      </c>
      <c r="AE153" s="25" t="e">
        <v>#VALUE!</v>
      </c>
      <c r="AF153" s="25" t="e">
        <v>#VALUE!</v>
      </c>
      <c r="AG153" s="25" t="e">
        <v>#VALUE!</v>
      </c>
      <c r="AH153" s="25" t="e">
        <v>#VALUE!</v>
      </c>
      <c r="AI153" s="25" t="e">
        <v>#VALUE!</v>
      </c>
      <c r="AJ153" s="25" t="e">
        <v>#VALUE!</v>
      </c>
      <c r="AK153" s="25" t="e">
        <v>#VALUE!</v>
      </c>
      <c r="AL153" s="25" t="e">
        <v>#VALUE!</v>
      </c>
      <c r="AM153" s="25" t="e">
        <v>#VALUE!</v>
      </c>
      <c r="AN153" s="25" t="e">
        <v>#NUM!</v>
      </c>
      <c r="AX153" s="20" t="s">
        <v>247</v>
      </c>
      <c r="AY153" s="19">
        <v>0</v>
      </c>
      <c r="AZ153" s="19">
        <v>0</v>
      </c>
      <c r="BA153" s="19">
        <v>0</v>
      </c>
      <c r="BB153" s="19">
        <v>0</v>
      </c>
      <c r="BC153" s="19">
        <v>0</v>
      </c>
      <c r="BD153" s="19">
        <v>0</v>
      </c>
      <c r="BE153" s="19">
        <v>0</v>
      </c>
      <c r="BF153" s="19">
        <v>0</v>
      </c>
      <c r="BG153" s="19">
        <v>0</v>
      </c>
      <c r="BH153" s="19">
        <v>0</v>
      </c>
      <c r="BI153" s="19">
        <v>0</v>
      </c>
      <c r="BJ153" s="19">
        <v>0</v>
      </c>
      <c r="BK153" s="19">
        <v>0</v>
      </c>
      <c r="BL153" s="19">
        <v>0</v>
      </c>
      <c r="BM153" s="19">
        <v>0</v>
      </c>
      <c r="BN153" s="19">
        <v>0</v>
      </c>
      <c r="BO153" s="19">
        <v>0</v>
      </c>
      <c r="BP153" s="19">
        <v>0</v>
      </c>
      <c r="BQ153" s="19">
        <v>0</v>
      </c>
      <c r="BR153" s="19">
        <v>0</v>
      </c>
      <c r="BS153" s="19">
        <v>0</v>
      </c>
      <c r="BT153" s="19">
        <v>0</v>
      </c>
      <c r="BU153" s="19">
        <v>0</v>
      </c>
      <c r="BV153" s="19">
        <v>0</v>
      </c>
      <c r="BW153" s="19">
        <v>0</v>
      </c>
      <c r="BX153" s="19">
        <v>0</v>
      </c>
      <c r="BY153" s="19">
        <v>0</v>
      </c>
      <c r="BZ153" s="19">
        <v>0</v>
      </c>
      <c r="CA153" s="19">
        <v>0</v>
      </c>
      <c r="CB153" s="19">
        <v>0</v>
      </c>
      <c r="CC153" s="19">
        <v>0</v>
      </c>
      <c r="CD153" s="19">
        <v>0</v>
      </c>
      <c r="CE153" s="19">
        <v>0</v>
      </c>
      <c r="CF153" s="19">
        <v>0</v>
      </c>
      <c r="CG153" s="19">
        <v>0</v>
      </c>
      <c r="CH153" s="19">
        <v>4</v>
      </c>
      <c r="CS153" s="26"/>
      <c r="CT153" s="27"/>
      <c r="CU153" s="28"/>
      <c r="CV153" s="28"/>
      <c r="CW153" s="28"/>
      <c r="CX153" s="28"/>
      <c r="CY153" s="28"/>
      <c r="CZ153" s="28"/>
      <c r="DA153" s="28"/>
      <c r="DB153" s="28"/>
      <c r="DC153" s="28"/>
      <c r="DD153" s="28"/>
      <c r="DE153" s="28"/>
    </row>
    <row r="154" spans="1:133">
      <c r="A154" t="s">
        <v>140</v>
      </c>
      <c r="B154">
        <v>0</v>
      </c>
      <c r="D154" s="40" t="s">
        <v>71</v>
      </c>
      <c r="E154" s="25" t="e">
        <v>#VALUE!</v>
      </c>
      <c r="F154" s="25" t="e">
        <v>#VALUE!</v>
      </c>
      <c r="G154" s="25" t="e">
        <v>#VALUE!</v>
      </c>
      <c r="H154" s="25" t="e">
        <v>#VALUE!</v>
      </c>
      <c r="I154" s="25" t="e">
        <v>#VALUE!</v>
      </c>
      <c r="J154" s="25" t="e">
        <v>#VALUE!</v>
      </c>
      <c r="K154" s="25" t="e">
        <v>#VALUE!</v>
      </c>
      <c r="L154" s="25" t="e">
        <v>#VALUE!</v>
      </c>
      <c r="M154" s="25" t="e">
        <v>#VALUE!</v>
      </c>
      <c r="N154" s="25" t="e">
        <v>#VALUE!</v>
      </c>
      <c r="O154" s="25" t="e">
        <v>#VALUE!</v>
      </c>
      <c r="P154" s="25" t="e">
        <v>#VALUE!</v>
      </c>
      <c r="Q154" s="25" t="e">
        <v>#VALUE!</v>
      </c>
      <c r="R154" s="25" t="e">
        <v>#VALUE!</v>
      </c>
      <c r="S154" s="25" t="e">
        <v>#VALUE!</v>
      </c>
      <c r="T154" s="25" t="e">
        <v>#VALUE!</v>
      </c>
      <c r="U154" s="25" t="e">
        <v>#VALUE!</v>
      </c>
      <c r="V154" s="25" t="e">
        <v>#VALUE!</v>
      </c>
      <c r="W154" s="25" t="e">
        <v>#VALUE!</v>
      </c>
      <c r="X154" s="25" t="e">
        <v>#VALUE!</v>
      </c>
      <c r="Y154" s="25" t="e">
        <v>#VALUE!</v>
      </c>
      <c r="Z154" s="25" t="e">
        <v>#VALUE!</v>
      </c>
      <c r="AA154" s="25" t="e">
        <v>#VALUE!</v>
      </c>
      <c r="AB154" s="25" t="e">
        <v>#VALUE!</v>
      </c>
      <c r="AC154" s="25" t="e">
        <v>#VALUE!</v>
      </c>
      <c r="AD154" s="25" t="e">
        <v>#VALUE!</v>
      </c>
      <c r="AE154" s="25" t="e">
        <v>#VALUE!</v>
      </c>
      <c r="AF154" s="25" t="e">
        <v>#VALUE!</v>
      </c>
      <c r="AG154" s="25" t="e">
        <v>#VALUE!</v>
      </c>
      <c r="AH154" s="25" t="e">
        <v>#VALUE!</v>
      </c>
      <c r="AI154" s="25" t="e">
        <v>#VALUE!</v>
      </c>
      <c r="AJ154" s="25" t="e">
        <v>#VALUE!</v>
      </c>
      <c r="AK154" s="25" t="e">
        <v>#VALUE!</v>
      </c>
      <c r="AL154" s="25" t="e">
        <v>#VALUE!</v>
      </c>
      <c r="AM154" s="25" t="e">
        <v>#VALUE!</v>
      </c>
      <c r="AN154" s="25" t="e">
        <v>#NUM!</v>
      </c>
      <c r="AX154" s="24" t="s">
        <v>65</v>
      </c>
      <c r="AY154" s="1094" t="e">
        <v>#NAME?</v>
      </c>
      <c r="AZ154" s="1094" t="e">
        <v>#NAME?</v>
      </c>
      <c r="BA154" s="1094" t="e">
        <v>#NAME?</v>
      </c>
      <c r="BB154" s="1094" t="e">
        <v>#NAME?</v>
      </c>
      <c r="BC154" s="1094" t="e">
        <v>#NAME?</v>
      </c>
      <c r="BD154" s="1094" t="e">
        <v>#NAME?</v>
      </c>
      <c r="BE154" s="1094" t="e">
        <v>#NAME?</v>
      </c>
      <c r="BF154" s="1094" t="e">
        <v>#NAME?</v>
      </c>
      <c r="BG154" s="1094" t="e">
        <v>#NAME?</v>
      </c>
      <c r="BH154" s="1094" t="e">
        <v>#NAME?</v>
      </c>
      <c r="BI154" s="1094" t="e">
        <v>#NAME?</v>
      </c>
      <c r="BJ154" s="1094" t="e">
        <v>#NAME?</v>
      </c>
      <c r="BK154" s="1094" t="e">
        <v>#NAME?</v>
      </c>
      <c r="BL154" s="1094" t="e">
        <v>#NAME?</v>
      </c>
      <c r="BM154" s="1094" t="e">
        <v>#NAME?</v>
      </c>
      <c r="BN154" s="1094" t="e">
        <v>#NAME?</v>
      </c>
      <c r="BO154" s="1094" t="e">
        <v>#NAME?</v>
      </c>
      <c r="BP154" s="1094" t="e">
        <v>#NAME?</v>
      </c>
      <c r="BQ154" s="1094" t="e">
        <v>#NAME?</v>
      </c>
      <c r="BR154" s="1094" t="e">
        <v>#NAME?</v>
      </c>
      <c r="BS154" s="1094" t="e">
        <v>#NAME?</v>
      </c>
      <c r="BT154" s="1094" t="e">
        <v>#NAME?</v>
      </c>
      <c r="BU154" s="1094" t="e">
        <v>#NAME?</v>
      </c>
      <c r="BV154" s="1094" t="e">
        <v>#NAME?</v>
      </c>
      <c r="BW154" s="1094" t="e">
        <v>#NAME?</v>
      </c>
      <c r="BX154" s="1094" t="e">
        <v>#NAME?</v>
      </c>
      <c r="BY154" s="1094" t="e">
        <v>#NAME?</v>
      </c>
      <c r="BZ154" s="1094" t="e">
        <v>#NAME?</v>
      </c>
      <c r="CA154" s="1094" t="e">
        <v>#NAME?</v>
      </c>
      <c r="CB154" s="1094" t="e">
        <v>#NAME?</v>
      </c>
      <c r="CC154" s="1094" t="e">
        <v>#NAME?</v>
      </c>
      <c r="CD154" s="1094" t="e">
        <v>#NAME?</v>
      </c>
      <c r="CE154" s="1094" t="e">
        <v>#NAME?</v>
      </c>
      <c r="CF154" s="1094" t="e">
        <v>#NAME?</v>
      </c>
      <c r="CG154" s="1094" t="e">
        <v>#NAME?</v>
      </c>
      <c r="CH154" s="1094" t="e">
        <v>#NAME?</v>
      </c>
      <c r="CS154" s="36" t="s">
        <v>68</v>
      </c>
      <c r="CT154" s="25">
        <v>0</v>
      </c>
      <c r="CU154" s="25">
        <v>0</v>
      </c>
      <c r="CV154" s="25">
        <v>0</v>
      </c>
      <c r="CW154" s="25">
        <v>0</v>
      </c>
      <c r="CX154" s="25">
        <v>0</v>
      </c>
      <c r="CY154" s="25">
        <v>0</v>
      </c>
      <c r="CZ154" s="25">
        <v>0</v>
      </c>
      <c r="DA154" s="25">
        <v>0</v>
      </c>
      <c r="DB154" s="25">
        <v>0</v>
      </c>
      <c r="DC154" s="25">
        <v>0</v>
      </c>
      <c r="DD154" s="25">
        <v>0</v>
      </c>
      <c r="DE154" s="25">
        <v>0</v>
      </c>
    </row>
    <row r="155" spans="1:133">
      <c r="A155" t="s">
        <v>140</v>
      </c>
      <c r="B155">
        <v>0</v>
      </c>
      <c r="D155" s="40" t="s">
        <v>76</v>
      </c>
      <c r="E155" s="25" t="e">
        <v>#VALUE!</v>
      </c>
      <c r="F155" s="25" t="e">
        <v>#VALUE!</v>
      </c>
      <c r="G155" s="25" t="e">
        <v>#VALUE!</v>
      </c>
      <c r="H155" s="25" t="e">
        <v>#VALUE!</v>
      </c>
      <c r="I155" s="25" t="e">
        <v>#VALUE!</v>
      </c>
      <c r="J155" s="25" t="e">
        <v>#VALUE!</v>
      </c>
      <c r="K155" s="25" t="e">
        <v>#VALUE!</v>
      </c>
      <c r="L155" s="25" t="e">
        <v>#VALUE!</v>
      </c>
      <c r="M155" s="25" t="e">
        <v>#VALUE!</v>
      </c>
      <c r="N155" s="25" t="e">
        <v>#VALUE!</v>
      </c>
      <c r="O155" s="25" t="e">
        <v>#VALUE!</v>
      </c>
      <c r="P155" s="25" t="e">
        <v>#VALUE!</v>
      </c>
      <c r="Q155" s="25" t="e">
        <v>#VALUE!</v>
      </c>
      <c r="R155" s="25" t="e">
        <v>#VALUE!</v>
      </c>
      <c r="S155" s="25" t="e">
        <v>#VALUE!</v>
      </c>
      <c r="T155" s="25" t="e">
        <v>#VALUE!</v>
      </c>
      <c r="U155" s="25" t="e">
        <v>#VALUE!</v>
      </c>
      <c r="V155" s="25" t="e">
        <v>#VALUE!</v>
      </c>
      <c r="W155" s="25" t="e">
        <v>#VALUE!</v>
      </c>
      <c r="X155" s="25" t="e">
        <v>#VALUE!</v>
      </c>
      <c r="Y155" s="25" t="e">
        <v>#VALUE!</v>
      </c>
      <c r="Z155" s="25" t="e">
        <v>#VALUE!</v>
      </c>
      <c r="AA155" s="25" t="e">
        <v>#VALUE!</v>
      </c>
      <c r="AB155" s="25" t="e">
        <v>#VALUE!</v>
      </c>
      <c r="AC155" s="25" t="e">
        <v>#VALUE!</v>
      </c>
      <c r="AD155" s="25" t="e">
        <v>#VALUE!</v>
      </c>
      <c r="AE155" s="25" t="e">
        <v>#VALUE!</v>
      </c>
      <c r="AF155" s="25" t="e">
        <v>#VALUE!</v>
      </c>
      <c r="AG155" s="25" t="e">
        <v>#VALUE!</v>
      </c>
      <c r="AH155" s="25" t="e">
        <v>#VALUE!</v>
      </c>
      <c r="AI155" s="25" t="e">
        <v>#VALUE!</v>
      </c>
      <c r="AJ155" s="25" t="e">
        <v>#VALUE!</v>
      </c>
      <c r="AK155" s="25" t="e">
        <v>#VALUE!</v>
      </c>
      <c r="AL155" s="25" t="e">
        <v>#VALUE!</v>
      </c>
      <c r="AM155" s="25" t="e">
        <v>#VALUE!</v>
      </c>
      <c r="AN155" s="25" t="e">
        <v>#NUM!</v>
      </c>
      <c r="AX155" s="36" t="s">
        <v>67</v>
      </c>
      <c r="AY155" s="1094" t="e">
        <v>#NAME?</v>
      </c>
      <c r="AZ155" s="1094" t="e">
        <v>#NAME?</v>
      </c>
      <c r="BA155" s="1094" t="e">
        <v>#NAME?</v>
      </c>
      <c r="BB155" s="1094" t="e">
        <v>#NAME?</v>
      </c>
      <c r="BC155" s="1094" t="e">
        <v>#NAME?</v>
      </c>
      <c r="BD155" s="1094" t="e">
        <v>#NAME?</v>
      </c>
      <c r="BE155" s="1094" t="e">
        <v>#NAME?</v>
      </c>
      <c r="BF155" s="1094" t="e">
        <v>#NAME?</v>
      </c>
      <c r="BG155" s="1094" t="e">
        <v>#NAME?</v>
      </c>
      <c r="BH155" s="1094" t="e">
        <v>#NAME?</v>
      </c>
      <c r="BI155" s="1094" t="e">
        <v>#NAME?</v>
      </c>
      <c r="BJ155" s="1094" t="e">
        <v>#NAME?</v>
      </c>
      <c r="BK155" s="1094" t="e">
        <v>#NAME?</v>
      </c>
      <c r="BL155" s="1094" t="e">
        <v>#NAME?</v>
      </c>
      <c r="BM155" s="1094" t="e">
        <v>#NAME?</v>
      </c>
      <c r="BN155" s="1094" t="e">
        <v>#NAME?</v>
      </c>
      <c r="BO155" s="1094" t="e">
        <v>#NAME?</v>
      </c>
      <c r="BP155" s="1094" t="e">
        <v>#NAME?</v>
      </c>
      <c r="BQ155" s="1094" t="e">
        <v>#NAME?</v>
      </c>
      <c r="BR155" s="1094" t="e">
        <v>#NAME?</v>
      </c>
      <c r="BS155" s="1094" t="e">
        <v>#NAME?</v>
      </c>
      <c r="BT155" s="1094" t="e">
        <v>#NAME?</v>
      </c>
      <c r="BU155" s="1094" t="e">
        <v>#NAME?</v>
      </c>
      <c r="BV155" s="1094" t="e">
        <v>#NAME?</v>
      </c>
      <c r="BW155" s="1094" t="e">
        <v>#NAME?</v>
      </c>
      <c r="BX155" s="1094" t="e">
        <v>#NAME?</v>
      </c>
      <c r="BY155" s="1094" t="e">
        <v>#NAME?</v>
      </c>
      <c r="BZ155" s="1094" t="e">
        <v>#NAME?</v>
      </c>
      <c r="CA155" s="1094" t="e">
        <v>#NAME?</v>
      </c>
      <c r="CB155" s="1094" t="e">
        <v>#NAME?</v>
      </c>
      <c r="CC155" s="1094" t="e">
        <v>#NAME?</v>
      </c>
      <c r="CD155" s="1094" t="e">
        <v>#NAME?</v>
      </c>
      <c r="CE155" s="1094" t="e">
        <v>#NAME?</v>
      </c>
      <c r="CF155" s="1094" t="e">
        <v>#NAME?</v>
      </c>
      <c r="CG155" s="1094" t="e">
        <v>#NAME?</v>
      </c>
      <c r="CH155" s="1094" t="e">
        <v>#NAME?</v>
      </c>
      <c r="CS155" s="36" t="s">
        <v>73</v>
      </c>
      <c r="CT155" s="25">
        <v>0</v>
      </c>
      <c r="CU155" s="25">
        <v>0</v>
      </c>
      <c r="CV155" s="25">
        <v>0</v>
      </c>
      <c r="CW155" s="25">
        <v>0</v>
      </c>
      <c r="CX155" s="25">
        <v>0</v>
      </c>
      <c r="CY155" s="25">
        <v>0</v>
      </c>
      <c r="CZ155" s="25">
        <v>0</v>
      </c>
      <c r="DA155" s="25">
        <v>0</v>
      </c>
      <c r="DB155" s="25">
        <v>0</v>
      </c>
      <c r="DC155" s="25">
        <v>0</v>
      </c>
      <c r="DD155" s="25">
        <v>0</v>
      </c>
      <c r="DE155" s="25">
        <v>0</v>
      </c>
    </row>
    <row r="156" spans="1:133">
      <c r="A156" t="s">
        <v>140</v>
      </c>
      <c r="B156">
        <v>0</v>
      </c>
      <c r="D156" s="40" t="s">
        <v>81</v>
      </c>
      <c r="E156" s="25" t="e">
        <v>#VALUE!</v>
      </c>
      <c r="F156" s="25" t="e">
        <v>#VALUE!</v>
      </c>
      <c r="G156" s="25" t="e">
        <v>#VALUE!</v>
      </c>
      <c r="H156" s="25" t="e">
        <v>#VALUE!</v>
      </c>
      <c r="I156" s="25" t="e">
        <v>#VALUE!</v>
      </c>
      <c r="J156" s="25" t="e">
        <v>#VALUE!</v>
      </c>
      <c r="K156" s="25" t="e">
        <v>#VALUE!</v>
      </c>
      <c r="L156" s="25" t="e">
        <v>#VALUE!</v>
      </c>
      <c r="M156" s="25" t="e">
        <v>#VALUE!</v>
      </c>
      <c r="N156" s="25" t="e">
        <v>#VALUE!</v>
      </c>
      <c r="O156" s="25" t="e">
        <v>#VALUE!</v>
      </c>
      <c r="P156" s="25" t="e">
        <v>#VALUE!</v>
      </c>
      <c r="Q156" s="25" t="e">
        <v>#VALUE!</v>
      </c>
      <c r="R156" s="25" t="e">
        <v>#VALUE!</v>
      </c>
      <c r="S156" s="25" t="e">
        <v>#VALUE!</v>
      </c>
      <c r="T156" s="25" t="e">
        <v>#VALUE!</v>
      </c>
      <c r="U156" s="25" t="e">
        <v>#VALUE!</v>
      </c>
      <c r="V156" s="25" t="e">
        <v>#VALUE!</v>
      </c>
      <c r="W156" s="25" t="e">
        <v>#VALUE!</v>
      </c>
      <c r="X156" s="25" t="e">
        <v>#VALUE!</v>
      </c>
      <c r="Y156" s="25" t="e">
        <v>#VALUE!</v>
      </c>
      <c r="Z156" s="25" t="e">
        <v>#VALUE!</v>
      </c>
      <c r="AA156" s="25" t="e">
        <v>#VALUE!</v>
      </c>
      <c r="AB156" s="25" t="e">
        <v>#VALUE!</v>
      </c>
      <c r="AC156" s="25" t="e">
        <v>#VALUE!</v>
      </c>
      <c r="AD156" s="25" t="e">
        <v>#VALUE!</v>
      </c>
      <c r="AE156" s="25" t="e">
        <v>#VALUE!</v>
      </c>
      <c r="AF156" s="25" t="e">
        <v>#VALUE!</v>
      </c>
      <c r="AG156" s="25" t="e">
        <v>#VALUE!</v>
      </c>
      <c r="AH156" s="25" t="e">
        <v>#VALUE!</v>
      </c>
      <c r="AI156" s="25" t="e">
        <v>#VALUE!</v>
      </c>
      <c r="AJ156" s="25" t="e">
        <v>#VALUE!</v>
      </c>
      <c r="AK156" s="25" t="e">
        <v>#VALUE!</v>
      </c>
      <c r="AL156" s="25" t="e">
        <v>#VALUE!</v>
      </c>
      <c r="AM156" s="25" t="e">
        <v>#VALUE!</v>
      </c>
      <c r="AN156" s="25" t="e">
        <v>#NUM!</v>
      </c>
      <c r="AX156" s="36" t="s">
        <v>72</v>
      </c>
      <c r="AY156" s="1094" t="e">
        <v>#NAME?</v>
      </c>
      <c r="AZ156" s="1094" t="e">
        <v>#NAME?</v>
      </c>
      <c r="BA156" s="1094" t="e">
        <v>#NAME?</v>
      </c>
      <c r="BB156" s="1094" t="e">
        <v>#NAME?</v>
      </c>
      <c r="BC156" s="1094" t="e">
        <v>#NAME?</v>
      </c>
      <c r="BD156" s="1094" t="e">
        <v>#NAME?</v>
      </c>
      <c r="BE156" s="1094" t="e">
        <v>#NAME?</v>
      </c>
      <c r="BF156" s="1094" t="e">
        <v>#NAME?</v>
      </c>
      <c r="BG156" s="1094" t="e">
        <v>#NAME?</v>
      </c>
      <c r="BH156" s="1094" t="e">
        <v>#NAME?</v>
      </c>
      <c r="BI156" s="1094" t="e">
        <v>#NAME?</v>
      </c>
      <c r="BJ156" s="1094" t="e">
        <v>#NAME?</v>
      </c>
      <c r="BK156" s="1094" t="e">
        <v>#NAME?</v>
      </c>
      <c r="BL156" s="1094" t="e">
        <v>#NAME?</v>
      </c>
      <c r="BM156" s="1094" t="e">
        <v>#NAME?</v>
      </c>
      <c r="BN156" s="1094" t="e">
        <v>#NAME?</v>
      </c>
      <c r="BO156" s="1094" t="e">
        <v>#NAME?</v>
      </c>
      <c r="BP156" s="1094" t="e">
        <v>#NAME?</v>
      </c>
      <c r="BQ156" s="1094" t="e">
        <v>#NAME?</v>
      </c>
      <c r="BR156" s="1094" t="e">
        <v>#NAME?</v>
      </c>
      <c r="BS156" s="1094" t="e">
        <v>#NAME?</v>
      </c>
      <c r="BT156" s="1094" t="e">
        <v>#NAME?</v>
      </c>
      <c r="BU156" s="1094" t="e">
        <v>#NAME?</v>
      </c>
      <c r="BV156" s="1094" t="e">
        <v>#NAME?</v>
      </c>
      <c r="BW156" s="1094" t="e">
        <v>#NAME?</v>
      </c>
      <c r="BX156" s="1094" t="e">
        <v>#NAME?</v>
      </c>
      <c r="BY156" s="1094" t="e">
        <v>#NAME?</v>
      </c>
      <c r="BZ156" s="1094" t="e">
        <v>#NAME?</v>
      </c>
      <c r="CA156" s="1094" t="e">
        <v>#NAME?</v>
      </c>
      <c r="CB156" s="1094" t="e">
        <v>#NAME?</v>
      </c>
      <c r="CC156" s="1094" t="e">
        <v>#NAME?</v>
      </c>
      <c r="CD156" s="1094" t="e">
        <v>#NAME?</v>
      </c>
      <c r="CE156" s="1094" t="e">
        <v>#NAME?</v>
      </c>
      <c r="CF156" s="1094" t="e">
        <v>#NAME?</v>
      </c>
      <c r="CG156" s="1094" t="e">
        <v>#NAME?</v>
      </c>
      <c r="CH156" s="1094" t="e">
        <v>#NAME?</v>
      </c>
      <c r="CS156" s="43" t="s">
        <v>78</v>
      </c>
      <c r="CT156" s="51">
        <v>0</v>
      </c>
      <c r="CU156" s="51">
        <v>0</v>
      </c>
      <c r="CV156" s="51">
        <v>0</v>
      </c>
      <c r="CW156" s="51">
        <v>0</v>
      </c>
      <c r="CX156" s="51">
        <v>0</v>
      </c>
      <c r="CY156" s="51">
        <v>0</v>
      </c>
      <c r="CZ156" s="51">
        <v>0</v>
      </c>
      <c r="DA156" s="51">
        <v>0</v>
      </c>
      <c r="DB156" s="51">
        <v>0</v>
      </c>
      <c r="DC156" s="51">
        <v>0</v>
      </c>
      <c r="DD156" s="51">
        <v>0</v>
      </c>
      <c r="DE156" s="51">
        <v>0</v>
      </c>
    </row>
    <row r="157" spans="1:133">
      <c r="A157" t="s">
        <v>140</v>
      </c>
      <c r="B157">
        <v>0</v>
      </c>
      <c r="D157" s="35" t="s">
        <v>10</v>
      </c>
      <c r="E157" s="25" t="e">
        <v>#VALUE!</v>
      </c>
      <c r="F157" s="25" t="e">
        <v>#VALUE!</v>
      </c>
      <c r="G157" s="25" t="e">
        <v>#VALUE!</v>
      </c>
      <c r="H157" s="25" t="e">
        <v>#VALUE!</v>
      </c>
      <c r="I157" s="25" t="e">
        <v>#VALUE!</v>
      </c>
      <c r="J157" s="25" t="e">
        <v>#VALUE!</v>
      </c>
      <c r="K157" s="25" t="e">
        <v>#VALUE!</v>
      </c>
      <c r="L157" s="25" t="e">
        <v>#VALUE!</v>
      </c>
      <c r="M157" s="25" t="e">
        <v>#VALUE!</v>
      </c>
      <c r="N157" s="25" t="e">
        <v>#VALUE!</v>
      </c>
      <c r="O157" s="25" t="e">
        <v>#VALUE!</v>
      </c>
      <c r="P157" s="25" t="e">
        <v>#VALUE!</v>
      </c>
      <c r="Q157" s="25" t="e">
        <v>#VALUE!</v>
      </c>
      <c r="R157" s="25" t="e">
        <v>#VALUE!</v>
      </c>
      <c r="S157" s="25" t="e">
        <v>#VALUE!</v>
      </c>
      <c r="T157" s="25" t="e">
        <v>#VALUE!</v>
      </c>
      <c r="U157" s="25" t="e">
        <v>#VALUE!</v>
      </c>
      <c r="V157" s="25" t="e">
        <v>#VALUE!</v>
      </c>
      <c r="W157" s="25" t="e">
        <v>#VALUE!</v>
      </c>
      <c r="X157" s="25" t="e">
        <v>#VALUE!</v>
      </c>
      <c r="Y157" s="25" t="e">
        <v>#VALUE!</v>
      </c>
      <c r="Z157" s="25" t="e">
        <v>#VALUE!</v>
      </c>
      <c r="AA157" s="25" t="e">
        <v>#VALUE!</v>
      </c>
      <c r="AB157" s="25" t="e">
        <v>#VALUE!</v>
      </c>
      <c r="AC157" s="25" t="e">
        <v>#VALUE!</v>
      </c>
      <c r="AD157" s="25" t="e">
        <v>#VALUE!</v>
      </c>
      <c r="AE157" s="25" t="e">
        <v>#VALUE!</v>
      </c>
      <c r="AF157" s="25" t="e">
        <v>#VALUE!</v>
      </c>
      <c r="AG157" s="25" t="e">
        <v>#VALUE!</v>
      </c>
      <c r="AH157" s="25" t="e">
        <v>#VALUE!</v>
      </c>
      <c r="AI157" s="25" t="e">
        <v>#VALUE!</v>
      </c>
      <c r="AJ157" s="25" t="e">
        <v>#VALUE!</v>
      </c>
      <c r="AK157" s="25" t="e">
        <v>#VALUE!</v>
      </c>
      <c r="AL157" s="25" t="e">
        <v>#VALUE!</v>
      </c>
      <c r="AM157" s="25" t="e">
        <v>#VALUE!</v>
      </c>
      <c r="AN157" s="25" t="e">
        <v>#NUM!</v>
      </c>
      <c r="AX157" s="42" t="s">
        <v>77</v>
      </c>
      <c r="AY157" s="1094" t="e">
        <v>#NAME?</v>
      </c>
      <c r="AZ157" s="1094" t="e">
        <v>#NAME?</v>
      </c>
      <c r="BA157" s="1094" t="e">
        <v>#NAME?</v>
      </c>
      <c r="BB157" s="1094" t="e">
        <v>#NAME?</v>
      </c>
      <c r="BC157" s="1094" t="e">
        <v>#NAME?</v>
      </c>
      <c r="BD157" s="1094" t="e">
        <v>#NAME?</v>
      </c>
      <c r="BE157" s="1094" t="e">
        <v>#NAME?</v>
      </c>
      <c r="BF157" s="1094" t="e">
        <v>#NAME?</v>
      </c>
      <c r="BG157" s="1094" t="e">
        <v>#NAME?</v>
      </c>
      <c r="BH157" s="1094" t="e">
        <v>#NAME?</v>
      </c>
      <c r="BI157" s="1094" t="e">
        <v>#NAME?</v>
      </c>
      <c r="BJ157" s="1094" t="e">
        <v>#NAME?</v>
      </c>
      <c r="BK157" s="1094" t="e">
        <v>#NAME?</v>
      </c>
      <c r="BL157" s="1094" t="e">
        <v>#NAME?</v>
      </c>
      <c r="BM157" s="1094" t="e">
        <v>#NAME?</v>
      </c>
      <c r="BN157" s="1094" t="e">
        <v>#NAME?</v>
      </c>
      <c r="BO157" s="1094" t="e">
        <v>#NAME?</v>
      </c>
      <c r="BP157" s="1094" t="e">
        <v>#NAME?</v>
      </c>
      <c r="BQ157" s="1094" t="e">
        <v>#NAME?</v>
      </c>
      <c r="BR157" s="1094" t="e">
        <v>#NAME?</v>
      </c>
      <c r="BS157" s="1094" t="e">
        <v>#NAME?</v>
      </c>
      <c r="BT157" s="1094" t="e">
        <v>#NAME?</v>
      </c>
      <c r="BU157" s="1094" t="e">
        <v>#NAME?</v>
      </c>
      <c r="BV157" s="1094" t="e">
        <v>#NAME?</v>
      </c>
      <c r="BW157" s="1094" t="e">
        <v>#NAME?</v>
      </c>
      <c r="BX157" s="1094" t="e">
        <v>#NAME?</v>
      </c>
      <c r="BY157" s="1094" t="e">
        <v>#NAME?</v>
      </c>
      <c r="BZ157" s="1094" t="e">
        <v>#NAME?</v>
      </c>
      <c r="CA157" s="1094" t="e">
        <v>#NAME?</v>
      </c>
      <c r="CB157" s="1094" t="e">
        <v>#NAME?</v>
      </c>
      <c r="CC157" s="1094" t="e">
        <v>#NAME?</v>
      </c>
      <c r="CD157" s="1094" t="e">
        <v>#NAME?</v>
      </c>
      <c r="CE157" s="1094" t="e">
        <v>#NAME?</v>
      </c>
      <c r="CF157" s="1094" t="e">
        <v>#NAME?</v>
      </c>
      <c r="CG157" s="1094" t="e">
        <v>#NAME?</v>
      </c>
      <c r="CH157" s="1094" t="e">
        <v>#NAME?</v>
      </c>
      <c r="CS157" s="42" t="s">
        <v>83</v>
      </c>
      <c r="CT157" s="25">
        <v>0</v>
      </c>
      <c r="CU157" s="25">
        <v>0</v>
      </c>
      <c r="CV157" s="25">
        <v>0</v>
      </c>
      <c r="CW157" s="25">
        <v>0</v>
      </c>
      <c r="CX157" s="25">
        <v>0</v>
      </c>
      <c r="CY157" s="25">
        <v>0</v>
      </c>
      <c r="CZ157" s="25">
        <v>0</v>
      </c>
      <c r="DA157" s="25">
        <v>0</v>
      </c>
      <c r="DB157" s="25">
        <v>0</v>
      </c>
      <c r="DC157" s="25">
        <v>0</v>
      </c>
      <c r="DD157" s="25">
        <v>0</v>
      </c>
      <c r="DE157" s="25">
        <v>0</v>
      </c>
    </row>
    <row r="158" spans="1:133">
      <c r="A158" t="s">
        <v>140</v>
      </c>
      <c r="B158">
        <v>0</v>
      </c>
      <c r="D158" s="35" t="s">
        <v>91</v>
      </c>
      <c r="E158" s="25" t="e">
        <v>#VALUE!</v>
      </c>
      <c r="F158" s="25" t="e">
        <v>#VALUE!</v>
      </c>
      <c r="G158" s="25" t="e">
        <v>#VALUE!</v>
      </c>
      <c r="H158" s="25" t="e">
        <v>#VALUE!</v>
      </c>
      <c r="I158" s="25" t="e">
        <v>#VALUE!</v>
      </c>
      <c r="J158" s="25" t="e">
        <v>#VALUE!</v>
      </c>
      <c r="K158" s="25" t="e">
        <v>#VALUE!</v>
      </c>
      <c r="L158" s="25" t="e">
        <v>#VALUE!</v>
      </c>
      <c r="M158" s="25" t="e">
        <v>#VALUE!</v>
      </c>
      <c r="N158" s="25" t="e">
        <v>#VALUE!</v>
      </c>
      <c r="O158" s="25" t="e">
        <v>#VALUE!</v>
      </c>
      <c r="P158" s="25" t="e">
        <v>#VALUE!</v>
      </c>
      <c r="Q158" s="25" t="e">
        <v>#VALUE!</v>
      </c>
      <c r="R158" s="25" t="e">
        <v>#VALUE!</v>
      </c>
      <c r="S158" s="25" t="e">
        <v>#VALUE!</v>
      </c>
      <c r="T158" s="25" t="e">
        <v>#VALUE!</v>
      </c>
      <c r="U158" s="25" t="e">
        <v>#VALUE!</v>
      </c>
      <c r="V158" s="25" t="e">
        <v>#VALUE!</v>
      </c>
      <c r="W158" s="25" t="e">
        <v>#VALUE!</v>
      </c>
      <c r="X158" s="25" t="e">
        <v>#VALUE!</v>
      </c>
      <c r="Y158" s="25" t="e">
        <v>#VALUE!</v>
      </c>
      <c r="Z158" s="25" t="e">
        <v>#VALUE!</v>
      </c>
      <c r="AA158" s="25" t="e">
        <v>#VALUE!</v>
      </c>
      <c r="AB158" s="25" t="e">
        <v>#VALUE!</v>
      </c>
      <c r="AC158" s="25" t="e">
        <v>#VALUE!</v>
      </c>
      <c r="AD158" s="25" t="e">
        <v>#VALUE!</v>
      </c>
      <c r="AE158" s="25" t="e">
        <v>#VALUE!</v>
      </c>
      <c r="AF158" s="25" t="e">
        <v>#VALUE!</v>
      </c>
      <c r="AG158" s="25" t="e">
        <v>#VALUE!</v>
      </c>
      <c r="AH158" s="25" t="e">
        <v>#VALUE!</v>
      </c>
      <c r="AI158" s="25" t="e">
        <v>#VALUE!</v>
      </c>
      <c r="AJ158" s="25" t="e">
        <v>#VALUE!</v>
      </c>
      <c r="AK158" s="25" t="e">
        <v>#VALUE!</v>
      </c>
      <c r="AL158" s="25" t="e">
        <v>#VALUE!</v>
      </c>
      <c r="AM158" s="25" t="e">
        <v>#VALUE!</v>
      </c>
      <c r="AN158" s="25" t="e">
        <v>#NUM!</v>
      </c>
      <c r="AX158" s="45" t="s">
        <v>82</v>
      </c>
      <c r="AY158" s="46" t="e">
        <v>#NAME?</v>
      </c>
      <c r="AZ158" s="46" t="e">
        <v>#NAME?</v>
      </c>
      <c r="BA158" s="46" t="e">
        <v>#NAME?</v>
      </c>
      <c r="BB158" s="46" t="e">
        <v>#NAME?</v>
      </c>
      <c r="BC158" s="46" t="e">
        <v>#NAME?</v>
      </c>
      <c r="BD158" s="46" t="e">
        <v>#NAME?</v>
      </c>
      <c r="BE158" s="46" t="e">
        <v>#NAME?</v>
      </c>
      <c r="BF158" s="46" t="e">
        <v>#NAME?</v>
      </c>
      <c r="BG158" s="46" t="e">
        <v>#NAME?</v>
      </c>
      <c r="BH158" s="46" t="e">
        <v>#NAME?</v>
      </c>
      <c r="BI158" s="46" t="e">
        <v>#NAME?</v>
      </c>
      <c r="BJ158" s="46" t="e">
        <v>#NAME?</v>
      </c>
      <c r="BK158" s="46" t="e">
        <v>#NAME?</v>
      </c>
      <c r="BL158" s="46" t="e">
        <v>#NAME?</v>
      </c>
      <c r="BM158" s="46" t="e">
        <v>#NAME?</v>
      </c>
      <c r="BN158" s="46" t="e">
        <v>#NAME?</v>
      </c>
      <c r="BO158" s="46" t="e">
        <v>#NAME?</v>
      </c>
      <c r="BP158" s="46" t="e">
        <v>#NAME?</v>
      </c>
      <c r="BQ158" s="46" t="e">
        <v>#NAME?</v>
      </c>
      <c r="BR158" s="46" t="e">
        <v>#NAME?</v>
      </c>
      <c r="BS158" s="46" t="e">
        <v>#NAME?</v>
      </c>
      <c r="BT158" s="46" t="e">
        <v>#NAME?</v>
      </c>
      <c r="BU158" s="46" t="e">
        <v>#NAME?</v>
      </c>
      <c r="BV158" s="46" t="e">
        <v>#NAME?</v>
      </c>
      <c r="BW158" s="46" t="e">
        <v>#NAME?</v>
      </c>
      <c r="BX158" s="46" t="e">
        <v>#NAME?</v>
      </c>
      <c r="BY158" s="46" t="e">
        <v>#NAME?</v>
      </c>
      <c r="BZ158" s="46" t="e">
        <v>#NAME?</v>
      </c>
      <c r="CA158" s="46" t="e">
        <v>#NAME?</v>
      </c>
      <c r="CB158" s="46" t="e">
        <v>#NAME?</v>
      </c>
      <c r="CC158" s="46" t="e">
        <v>#NAME?</v>
      </c>
      <c r="CD158" s="46" t="e">
        <v>#NAME?</v>
      </c>
      <c r="CE158" s="46" t="e">
        <v>#NAME?</v>
      </c>
      <c r="CF158" s="46" t="e">
        <v>#NAME?</v>
      </c>
      <c r="CG158" s="46" t="e">
        <v>#NAME?</v>
      </c>
      <c r="CH158" s="46" t="e">
        <v>#NAME?</v>
      </c>
      <c r="CS158" s="42" t="s">
        <v>88</v>
      </c>
      <c r="CT158" s="25">
        <v>0</v>
      </c>
      <c r="CU158" s="25">
        <v>0</v>
      </c>
      <c r="CV158" s="25">
        <v>0</v>
      </c>
      <c r="CW158" s="25">
        <v>0</v>
      </c>
      <c r="CX158" s="25">
        <v>0</v>
      </c>
      <c r="CY158" s="25">
        <v>0</v>
      </c>
      <c r="CZ158" s="25">
        <v>0</v>
      </c>
      <c r="DA158" s="25">
        <v>0</v>
      </c>
      <c r="DB158" s="25">
        <v>0</v>
      </c>
      <c r="DC158" s="25">
        <v>0</v>
      </c>
      <c r="DD158" s="25">
        <v>0</v>
      </c>
      <c r="DE158" s="25">
        <v>0</v>
      </c>
    </row>
    <row r="159" spans="1:133">
      <c r="A159" t="s">
        <v>140</v>
      </c>
      <c r="B159">
        <v>0</v>
      </c>
      <c r="D159" s="35" t="s">
        <v>94</v>
      </c>
      <c r="E159" s="25" t="e">
        <v>#VALUE!</v>
      </c>
      <c r="F159" s="25" t="e">
        <v>#VALUE!</v>
      </c>
      <c r="G159" s="25" t="e">
        <v>#VALUE!</v>
      </c>
      <c r="H159" s="25" t="e">
        <v>#VALUE!</v>
      </c>
      <c r="I159" s="25" t="e">
        <v>#VALUE!</v>
      </c>
      <c r="J159" s="25" t="e">
        <v>#VALUE!</v>
      </c>
      <c r="K159" s="25" t="e">
        <v>#VALUE!</v>
      </c>
      <c r="L159" s="25" t="e">
        <v>#VALUE!</v>
      </c>
      <c r="M159" s="25" t="e">
        <v>#VALUE!</v>
      </c>
      <c r="N159" s="25" t="e">
        <v>#VALUE!</v>
      </c>
      <c r="O159" s="25" t="e">
        <v>#VALUE!</v>
      </c>
      <c r="P159" s="25" t="e">
        <v>#VALUE!</v>
      </c>
      <c r="Q159" s="25" t="e">
        <v>#VALUE!</v>
      </c>
      <c r="R159" s="25" t="e">
        <v>#VALUE!</v>
      </c>
      <c r="S159" s="25" t="e">
        <v>#VALUE!</v>
      </c>
      <c r="T159" s="25" t="e">
        <v>#VALUE!</v>
      </c>
      <c r="U159" s="25" t="e">
        <v>#VALUE!</v>
      </c>
      <c r="V159" s="25" t="e">
        <v>#VALUE!</v>
      </c>
      <c r="W159" s="25" t="e">
        <v>#VALUE!</v>
      </c>
      <c r="X159" s="25" t="e">
        <v>#VALUE!</v>
      </c>
      <c r="Y159" s="25" t="e">
        <v>#VALUE!</v>
      </c>
      <c r="Z159" s="25" t="e">
        <v>#VALUE!</v>
      </c>
      <c r="AA159" s="25" t="e">
        <v>#VALUE!</v>
      </c>
      <c r="AB159" s="25" t="e">
        <v>#VALUE!</v>
      </c>
      <c r="AC159" s="25" t="e">
        <v>#VALUE!</v>
      </c>
      <c r="AD159" s="25" t="e">
        <v>#VALUE!</v>
      </c>
      <c r="AE159" s="25" t="e">
        <v>#VALUE!</v>
      </c>
      <c r="AF159" s="25" t="e">
        <v>#VALUE!</v>
      </c>
      <c r="AG159" s="25" t="e">
        <v>#VALUE!</v>
      </c>
      <c r="AH159" s="25" t="e">
        <v>#VALUE!</v>
      </c>
      <c r="AI159" s="25" t="e">
        <v>#VALUE!</v>
      </c>
      <c r="AJ159" s="25" t="e">
        <v>#VALUE!</v>
      </c>
      <c r="AK159" s="25" t="e">
        <v>#VALUE!</v>
      </c>
      <c r="AL159" s="25" t="e">
        <v>#VALUE!</v>
      </c>
      <c r="AM159" s="25" t="e">
        <v>#VALUE!</v>
      </c>
      <c r="AN159" s="25" t="e">
        <v>#NUM!</v>
      </c>
      <c r="AX159" s="47" t="s">
        <v>87</v>
      </c>
      <c r="AY159" s="48" t="e">
        <v>#NAME?</v>
      </c>
      <c r="AZ159" s="48" t="e">
        <v>#NAME?</v>
      </c>
      <c r="BA159" s="48" t="e">
        <v>#NAME?</v>
      </c>
      <c r="BB159" s="48" t="e">
        <v>#NAME?</v>
      </c>
      <c r="BC159" s="48" t="e">
        <v>#NAME?</v>
      </c>
      <c r="BD159" s="48" t="e">
        <v>#NAME?</v>
      </c>
      <c r="BE159" s="48" t="e">
        <v>#NAME?</v>
      </c>
      <c r="BF159" s="48" t="e">
        <v>#NAME?</v>
      </c>
      <c r="BG159" s="48" t="e">
        <v>#NAME?</v>
      </c>
      <c r="BH159" s="48" t="e">
        <v>#NAME?</v>
      </c>
      <c r="BI159" s="48" t="e">
        <v>#NAME?</v>
      </c>
      <c r="BJ159" s="48" t="e">
        <v>#NAME?</v>
      </c>
      <c r="BK159" s="48" t="e">
        <v>#NAME?</v>
      </c>
      <c r="BL159" s="48" t="e">
        <v>#NAME?</v>
      </c>
      <c r="BM159" s="48" t="e">
        <v>#NAME?</v>
      </c>
      <c r="BN159" s="48" t="e">
        <v>#NAME?</v>
      </c>
      <c r="BO159" s="48" t="e">
        <v>#NAME?</v>
      </c>
      <c r="BP159" s="48" t="e">
        <v>#NAME?</v>
      </c>
      <c r="BQ159" s="48" t="e">
        <v>#NAME?</v>
      </c>
      <c r="BR159" s="48" t="e">
        <v>#NAME?</v>
      </c>
      <c r="BS159" s="48" t="e">
        <v>#NAME?</v>
      </c>
      <c r="BT159" s="48" t="e">
        <v>#NAME?</v>
      </c>
      <c r="BU159" s="48" t="e">
        <v>#NAME?</v>
      </c>
      <c r="BV159" s="48" t="e">
        <v>#NAME?</v>
      </c>
      <c r="BW159" s="48" t="e">
        <v>#NAME?</v>
      </c>
      <c r="BX159" s="48" t="e">
        <v>#NAME?</v>
      </c>
      <c r="BY159" s="48" t="e">
        <v>#NAME?</v>
      </c>
      <c r="BZ159" s="48" t="e">
        <v>#NAME?</v>
      </c>
      <c r="CA159" s="48" t="e">
        <v>#NAME?</v>
      </c>
      <c r="CB159" s="48" t="e">
        <v>#NAME?</v>
      </c>
      <c r="CC159" s="48" t="e">
        <v>#NAME?</v>
      </c>
      <c r="CD159" s="48" t="e">
        <v>#NAME?</v>
      </c>
      <c r="CE159" s="48" t="e">
        <v>#NAME?</v>
      </c>
      <c r="CF159" s="48" t="e">
        <v>#NAME?</v>
      </c>
      <c r="CG159" s="48" t="e">
        <v>#NAME?</v>
      </c>
      <c r="CH159" s="48" t="e">
        <v>#NAME?</v>
      </c>
      <c r="CS159" s="42" t="s">
        <v>92</v>
      </c>
      <c r="CT159" s="25">
        <v>0</v>
      </c>
      <c r="CU159" s="25">
        <v>0</v>
      </c>
      <c r="CV159" s="25">
        <v>0</v>
      </c>
      <c r="CW159" s="25">
        <v>0</v>
      </c>
      <c r="CX159" s="25">
        <v>0</v>
      </c>
      <c r="CY159" s="25">
        <v>0</v>
      </c>
      <c r="CZ159" s="25">
        <v>0</v>
      </c>
      <c r="DA159" s="25">
        <v>0</v>
      </c>
      <c r="DB159" s="25">
        <v>0</v>
      </c>
      <c r="DC159" s="25">
        <v>0</v>
      </c>
      <c r="DD159" s="25">
        <v>0</v>
      </c>
      <c r="DE159" s="25">
        <v>0</v>
      </c>
    </row>
    <row r="160" spans="1:133">
      <c r="A160" t="s">
        <v>140</v>
      </c>
      <c r="B160">
        <v>0</v>
      </c>
      <c r="D160" s="54" t="s">
        <v>97</v>
      </c>
      <c r="E160" s="55" t="e">
        <v>#VALUE!</v>
      </c>
      <c r="F160" s="55" t="e">
        <v>#VALUE!</v>
      </c>
      <c r="G160" s="55" t="e">
        <v>#VALUE!</v>
      </c>
      <c r="H160" s="55" t="e">
        <v>#VALUE!</v>
      </c>
      <c r="I160" s="55" t="e">
        <v>#VALUE!</v>
      </c>
      <c r="J160" s="55" t="e">
        <v>#VALUE!</v>
      </c>
      <c r="K160" s="55" t="e">
        <v>#VALUE!</v>
      </c>
      <c r="L160" s="55" t="e">
        <v>#VALUE!</v>
      </c>
      <c r="M160" s="55" t="e">
        <v>#VALUE!</v>
      </c>
      <c r="N160" s="55" t="e">
        <v>#VALUE!</v>
      </c>
      <c r="O160" s="55" t="e">
        <v>#VALUE!</v>
      </c>
      <c r="P160" s="55" t="e">
        <v>#VALUE!</v>
      </c>
      <c r="Q160" s="55" t="e">
        <v>#VALUE!</v>
      </c>
      <c r="R160" s="55" t="e">
        <v>#VALUE!</v>
      </c>
      <c r="S160" s="55" t="e">
        <v>#VALUE!</v>
      </c>
      <c r="T160" s="55" t="e">
        <v>#VALUE!</v>
      </c>
      <c r="U160" s="55" t="e">
        <v>#VALUE!</v>
      </c>
      <c r="V160" s="55" t="e">
        <v>#VALUE!</v>
      </c>
      <c r="W160" s="55" t="e">
        <v>#VALUE!</v>
      </c>
      <c r="X160" s="55" t="e">
        <v>#VALUE!</v>
      </c>
      <c r="Y160" s="55" t="e">
        <v>#VALUE!</v>
      </c>
      <c r="Z160" s="55" t="e">
        <v>#VALUE!</v>
      </c>
      <c r="AA160" s="55" t="e">
        <v>#VALUE!</v>
      </c>
      <c r="AB160" s="55" t="e">
        <v>#VALUE!</v>
      </c>
      <c r="AC160" s="55" t="e">
        <v>#VALUE!</v>
      </c>
      <c r="AD160" s="55" t="e">
        <v>#VALUE!</v>
      </c>
      <c r="AE160" s="55" t="e">
        <v>#VALUE!</v>
      </c>
      <c r="AF160" s="55" t="e">
        <v>#VALUE!</v>
      </c>
      <c r="AG160" s="55" t="e">
        <v>#VALUE!</v>
      </c>
      <c r="AH160" s="55" t="e">
        <v>#VALUE!</v>
      </c>
      <c r="AI160" s="55" t="e">
        <v>#VALUE!</v>
      </c>
      <c r="AJ160" s="55" t="e">
        <v>#VALUE!</v>
      </c>
      <c r="AK160" s="55" t="e">
        <v>#VALUE!</v>
      </c>
      <c r="AL160" s="55" t="e">
        <v>#VALUE!</v>
      </c>
      <c r="AM160" s="55" t="e">
        <v>#VALUE!</v>
      </c>
      <c r="AN160" s="55" t="e">
        <v>#NUM!</v>
      </c>
      <c r="AX160" s="50"/>
      <c r="AY160" s="51"/>
      <c r="AZ160" s="51"/>
      <c r="BA160" s="51"/>
      <c r="BB160" s="51"/>
      <c r="BC160" s="51"/>
      <c r="BD160" s="51"/>
      <c r="BE160" s="51"/>
      <c r="BF160" s="51"/>
      <c r="BG160" s="51"/>
      <c r="BH160" s="51"/>
      <c r="BI160" s="51"/>
      <c r="BJ160" s="51"/>
      <c r="BK160" s="51"/>
      <c r="BL160" s="51"/>
      <c r="BM160" s="51"/>
      <c r="BN160" s="51"/>
      <c r="BO160" s="51"/>
      <c r="BP160" s="51"/>
      <c r="BQ160" s="51"/>
      <c r="BR160" s="51"/>
      <c r="BS160" s="51"/>
      <c r="BT160" s="51"/>
      <c r="BU160" s="51"/>
      <c r="BV160" s="51"/>
      <c r="BW160" s="51"/>
      <c r="BX160" s="51"/>
      <c r="BY160" s="51"/>
      <c r="BZ160" s="51"/>
      <c r="CA160" s="51"/>
      <c r="CB160" s="51"/>
      <c r="CC160" s="51"/>
      <c r="CD160" s="51"/>
      <c r="CE160" s="51"/>
      <c r="CF160" s="51"/>
      <c r="CG160" s="51"/>
      <c r="CH160" s="51"/>
      <c r="CS160" s="42" t="s">
        <v>96</v>
      </c>
      <c r="CT160" s="25">
        <v>0</v>
      </c>
      <c r="CU160" s="25">
        <v>0</v>
      </c>
      <c r="CV160" s="25">
        <v>0</v>
      </c>
      <c r="CW160" s="25">
        <v>0</v>
      </c>
      <c r="CX160" s="25">
        <v>0</v>
      </c>
      <c r="CY160" s="25">
        <v>0</v>
      </c>
      <c r="CZ160" s="25">
        <v>0</v>
      </c>
      <c r="DA160" s="25">
        <v>0</v>
      </c>
      <c r="DB160" s="25">
        <v>0</v>
      </c>
      <c r="DC160" s="25">
        <v>0</v>
      </c>
      <c r="DD160" s="25">
        <v>0</v>
      </c>
      <c r="DE160" s="25">
        <v>0</v>
      </c>
    </row>
    <row r="161" spans="1:109">
      <c r="A161" t="s">
        <v>140</v>
      </c>
      <c r="B161">
        <v>0</v>
      </c>
      <c r="D161" s="56"/>
      <c r="E161" s="57"/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X161" s="53" t="s">
        <v>95</v>
      </c>
      <c r="AY161" s="1094" t="e">
        <v>#NAME?</v>
      </c>
      <c r="AZ161" s="1094" t="e">
        <v>#NAME?</v>
      </c>
      <c r="BA161" s="1094" t="e">
        <v>#NAME?</v>
      </c>
      <c r="BB161" s="1094" t="e">
        <v>#NAME?</v>
      </c>
      <c r="BC161" s="1094" t="e">
        <v>#NAME?</v>
      </c>
      <c r="BD161" s="1094" t="e">
        <v>#NAME?</v>
      </c>
      <c r="BE161" s="1094" t="e">
        <v>#NAME?</v>
      </c>
      <c r="BF161" s="1094" t="e">
        <v>#NAME?</v>
      </c>
      <c r="BG161" s="1094" t="e">
        <v>#NAME?</v>
      </c>
      <c r="BH161" s="1094" t="e">
        <v>#NAME?</v>
      </c>
      <c r="BI161" s="1094" t="e">
        <v>#NAME?</v>
      </c>
      <c r="BJ161" s="1094" t="e">
        <v>#NAME?</v>
      </c>
      <c r="BK161" s="1094" t="e">
        <v>#NAME?</v>
      </c>
      <c r="BL161" s="1094" t="e">
        <v>#NAME?</v>
      </c>
      <c r="BM161" s="1094" t="e">
        <v>#NAME?</v>
      </c>
      <c r="BN161" s="1094" t="e">
        <v>#NAME?</v>
      </c>
      <c r="BO161" s="1094" t="e">
        <v>#NAME?</v>
      </c>
      <c r="BP161" s="1094" t="e">
        <v>#NAME?</v>
      </c>
      <c r="BQ161" s="1094" t="e">
        <v>#NAME?</v>
      </c>
      <c r="BR161" s="1094" t="e">
        <v>#NAME?</v>
      </c>
      <c r="BS161" s="1094" t="e">
        <v>#NAME?</v>
      </c>
      <c r="BT161" s="1094" t="e">
        <v>#NAME?</v>
      </c>
      <c r="BU161" s="1094" t="e">
        <v>#NAME?</v>
      </c>
      <c r="BV161" s="1094" t="e">
        <v>#NAME?</v>
      </c>
      <c r="BW161" s="1094" t="e">
        <v>#NAME?</v>
      </c>
      <c r="BX161" s="1094" t="e">
        <v>#NAME?</v>
      </c>
      <c r="BY161" s="1094" t="e">
        <v>#NAME?</v>
      </c>
      <c r="BZ161" s="1094" t="e">
        <v>#NAME?</v>
      </c>
      <c r="CA161" s="1094" t="e">
        <v>#NAME?</v>
      </c>
      <c r="CB161" s="1094" t="e">
        <v>#NAME?</v>
      </c>
      <c r="CC161" s="1094" t="e">
        <v>#NAME?</v>
      </c>
      <c r="CD161" s="1094" t="e">
        <v>#NAME?</v>
      </c>
      <c r="CE161" s="1094" t="e">
        <v>#NAME?</v>
      </c>
      <c r="CF161" s="1094" t="e">
        <v>#NAME?</v>
      </c>
      <c r="CG161" s="1094" t="e">
        <v>#NAME?</v>
      </c>
      <c r="CH161" s="1094" t="e">
        <v>#NAME?</v>
      </c>
      <c r="CS161" s="42" t="s">
        <v>30</v>
      </c>
      <c r="CT161" s="25">
        <v>0</v>
      </c>
      <c r="CU161" s="25">
        <v>0</v>
      </c>
      <c r="CV161" s="25">
        <v>0</v>
      </c>
      <c r="CW161" s="25">
        <v>0</v>
      </c>
      <c r="CX161" s="25">
        <v>0</v>
      </c>
      <c r="CY161" s="25">
        <v>0</v>
      </c>
      <c r="CZ161" s="25">
        <v>0</v>
      </c>
      <c r="DA161" s="25">
        <v>0</v>
      </c>
      <c r="DB161" s="25">
        <v>0</v>
      </c>
      <c r="DC161" s="25">
        <v>0</v>
      </c>
      <c r="DD161" s="25">
        <v>0</v>
      </c>
      <c r="DE161" s="25">
        <v>0</v>
      </c>
    </row>
    <row r="162" spans="1:109">
      <c r="A162" t="s">
        <v>140</v>
      </c>
      <c r="B162">
        <v>0</v>
      </c>
      <c r="D162" s="58" t="s">
        <v>100</v>
      </c>
      <c r="E162" s="57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X162" s="53" t="s">
        <v>98</v>
      </c>
      <c r="AY162" s="1094" t="e">
        <v>#NAME?</v>
      </c>
      <c r="AZ162" s="1094" t="e">
        <v>#NAME?</v>
      </c>
      <c r="BA162" s="1094" t="e">
        <v>#NAME?</v>
      </c>
      <c r="BB162" s="1094" t="e">
        <v>#NAME?</v>
      </c>
      <c r="BC162" s="1094" t="e">
        <v>#NAME?</v>
      </c>
      <c r="BD162" s="1094" t="e">
        <v>#NAME?</v>
      </c>
      <c r="BE162" s="1094" t="e">
        <v>#NAME?</v>
      </c>
      <c r="BF162" s="1094" t="e">
        <v>#NAME?</v>
      </c>
      <c r="BG162" s="1094" t="e">
        <v>#NAME?</v>
      </c>
      <c r="BH162" s="1094" t="e">
        <v>#NAME?</v>
      </c>
      <c r="BI162" s="1094" t="e">
        <v>#NAME?</v>
      </c>
      <c r="BJ162" s="1094" t="e">
        <v>#NAME?</v>
      </c>
      <c r="BK162" s="1094" t="e">
        <v>#NAME?</v>
      </c>
      <c r="BL162" s="1094" t="e">
        <v>#NAME?</v>
      </c>
      <c r="BM162" s="1094" t="e">
        <v>#NAME?</v>
      </c>
      <c r="BN162" s="1094" t="e">
        <v>#NAME?</v>
      </c>
      <c r="BO162" s="1094" t="e">
        <v>#NAME?</v>
      </c>
      <c r="BP162" s="1094" t="e">
        <v>#NAME?</v>
      </c>
      <c r="BQ162" s="1094" t="e">
        <v>#NAME?</v>
      </c>
      <c r="BR162" s="1094" t="e">
        <v>#NAME?</v>
      </c>
      <c r="BS162" s="1094" t="e">
        <v>#NAME?</v>
      </c>
      <c r="BT162" s="1094" t="e">
        <v>#NAME?</v>
      </c>
      <c r="BU162" s="1094" t="e">
        <v>#NAME?</v>
      </c>
      <c r="BV162" s="1094" t="e">
        <v>#NAME?</v>
      </c>
      <c r="BW162" s="1094" t="e">
        <v>#NAME?</v>
      </c>
      <c r="BX162" s="1094" t="e">
        <v>#NAME?</v>
      </c>
      <c r="BY162" s="1094" t="e">
        <v>#NAME?</v>
      </c>
      <c r="BZ162" s="1094" t="e">
        <v>#NAME?</v>
      </c>
      <c r="CA162" s="1094" t="e">
        <v>#NAME?</v>
      </c>
      <c r="CB162" s="1094" t="e">
        <v>#NAME?</v>
      </c>
      <c r="CC162" s="1094" t="e">
        <v>#NAME?</v>
      </c>
      <c r="CD162" s="1094" t="e">
        <v>#NAME?</v>
      </c>
      <c r="CE162" s="1094" t="e">
        <v>#NAME?</v>
      </c>
      <c r="CF162" s="1094" t="e">
        <v>#NAME?</v>
      </c>
      <c r="CG162" s="1094" t="e">
        <v>#NAME?</v>
      </c>
      <c r="CH162" s="1094" t="e">
        <v>#NAME?</v>
      </c>
      <c r="CS162" s="42" t="s">
        <v>47</v>
      </c>
      <c r="CT162" s="25">
        <v>0</v>
      </c>
      <c r="CU162" s="25">
        <v>0</v>
      </c>
      <c r="CV162" s="25">
        <v>0</v>
      </c>
      <c r="CW162" s="25">
        <v>0</v>
      </c>
      <c r="CX162" s="25">
        <v>0</v>
      </c>
      <c r="CY162" s="25">
        <v>0</v>
      </c>
      <c r="CZ162" s="25">
        <v>0</v>
      </c>
      <c r="DA162" s="25">
        <v>0</v>
      </c>
      <c r="DB162" s="25">
        <v>0</v>
      </c>
      <c r="DC162" s="25">
        <v>0</v>
      </c>
      <c r="DD162" s="25">
        <v>0</v>
      </c>
      <c r="DE162" s="25">
        <v>0</v>
      </c>
    </row>
    <row r="163" spans="1:109">
      <c r="A163" t="s">
        <v>140</v>
      </c>
      <c r="B163">
        <v>0</v>
      </c>
      <c r="D163" s="35" t="s">
        <v>103</v>
      </c>
      <c r="E163" s="25" t="e">
        <v>#VALUE!</v>
      </c>
      <c r="F163" s="25" t="e">
        <v>#VALUE!</v>
      </c>
      <c r="G163" s="25" t="e">
        <v>#VALUE!</v>
      </c>
      <c r="H163" s="25" t="e">
        <v>#VALUE!</v>
      </c>
      <c r="I163" s="25" t="e">
        <v>#VALUE!</v>
      </c>
      <c r="J163" s="25" t="e">
        <v>#VALUE!</v>
      </c>
      <c r="K163" s="25" t="e">
        <v>#VALUE!</v>
      </c>
      <c r="L163" s="25" t="e">
        <v>#VALUE!</v>
      </c>
      <c r="M163" s="25" t="e">
        <v>#VALUE!</v>
      </c>
      <c r="N163" s="25" t="e">
        <v>#VALUE!</v>
      </c>
      <c r="O163" s="25" t="e">
        <v>#VALUE!</v>
      </c>
      <c r="P163" s="25" t="e">
        <v>#VALUE!</v>
      </c>
      <c r="Q163" s="25" t="e">
        <v>#VALUE!</v>
      </c>
      <c r="R163" s="25" t="e">
        <v>#VALUE!</v>
      </c>
      <c r="S163" s="25" t="e">
        <v>#VALUE!</v>
      </c>
      <c r="T163" s="25" t="e">
        <v>#VALUE!</v>
      </c>
      <c r="U163" s="25" t="e">
        <v>#VALUE!</v>
      </c>
      <c r="V163" s="25" t="e">
        <v>#VALUE!</v>
      </c>
      <c r="W163" s="25" t="e">
        <v>#VALUE!</v>
      </c>
      <c r="X163" s="25" t="e">
        <v>#VALUE!</v>
      </c>
      <c r="Y163" s="25" t="e">
        <v>#VALUE!</v>
      </c>
      <c r="Z163" s="25" t="e">
        <v>#VALUE!</v>
      </c>
      <c r="AA163" s="25" t="e">
        <v>#VALUE!</v>
      </c>
      <c r="AB163" s="25" t="e">
        <v>#VALUE!</v>
      </c>
      <c r="AC163" s="25" t="e">
        <v>#VALUE!</v>
      </c>
      <c r="AD163" s="25" t="e">
        <v>#VALUE!</v>
      </c>
      <c r="AE163" s="25" t="e">
        <v>#VALUE!</v>
      </c>
      <c r="AF163" s="25" t="e">
        <v>#VALUE!</v>
      </c>
      <c r="AG163" s="25" t="e">
        <v>#VALUE!</v>
      </c>
      <c r="AH163" s="25" t="e">
        <v>#VALUE!</v>
      </c>
      <c r="AI163" s="25" t="e">
        <v>#VALUE!</v>
      </c>
      <c r="AJ163" s="25" t="e">
        <v>#VALUE!</v>
      </c>
      <c r="AK163" s="25" t="e">
        <v>#VALUE!</v>
      </c>
      <c r="AL163" s="25" t="e">
        <v>#VALUE!</v>
      </c>
      <c r="AM163" s="25" t="e">
        <v>#VALUE!</v>
      </c>
      <c r="AN163" s="25" t="e">
        <v>#NUM!</v>
      </c>
      <c r="AX163" s="45" t="s">
        <v>99</v>
      </c>
      <c r="AY163" s="46" t="e">
        <v>#NAME?</v>
      </c>
      <c r="AZ163" s="46" t="e">
        <v>#NAME?</v>
      </c>
      <c r="BA163" s="46" t="e">
        <v>#NAME?</v>
      </c>
      <c r="BB163" s="46" t="e">
        <v>#NAME?</v>
      </c>
      <c r="BC163" s="46" t="e">
        <v>#NAME?</v>
      </c>
      <c r="BD163" s="46" t="e">
        <v>#NAME?</v>
      </c>
      <c r="BE163" s="46" t="e">
        <v>#NAME?</v>
      </c>
      <c r="BF163" s="46" t="e">
        <v>#NAME?</v>
      </c>
      <c r="BG163" s="46" t="e">
        <v>#NAME?</v>
      </c>
      <c r="BH163" s="46" t="e">
        <v>#NAME?</v>
      </c>
      <c r="BI163" s="46" t="e">
        <v>#NAME?</v>
      </c>
      <c r="BJ163" s="46" t="e">
        <v>#NAME?</v>
      </c>
      <c r="BK163" s="46" t="e">
        <v>#NAME?</v>
      </c>
      <c r="BL163" s="46" t="e">
        <v>#NAME?</v>
      </c>
      <c r="BM163" s="46" t="e">
        <v>#NAME?</v>
      </c>
      <c r="BN163" s="46" t="e">
        <v>#NAME?</v>
      </c>
      <c r="BO163" s="46" t="e">
        <v>#NAME?</v>
      </c>
      <c r="BP163" s="46" t="e">
        <v>#NAME?</v>
      </c>
      <c r="BQ163" s="46" t="e">
        <v>#NAME?</v>
      </c>
      <c r="BR163" s="46" t="e">
        <v>#NAME?</v>
      </c>
      <c r="BS163" s="46" t="e">
        <v>#NAME?</v>
      </c>
      <c r="BT163" s="46" t="e">
        <v>#NAME?</v>
      </c>
      <c r="BU163" s="46" t="e">
        <v>#NAME?</v>
      </c>
      <c r="BV163" s="46" t="e">
        <v>#NAME?</v>
      </c>
      <c r="BW163" s="46" t="e">
        <v>#NAME?</v>
      </c>
      <c r="BX163" s="46" t="e">
        <v>#NAME?</v>
      </c>
      <c r="BY163" s="46" t="e">
        <v>#NAME?</v>
      </c>
      <c r="BZ163" s="46" t="e">
        <v>#NAME?</v>
      </c>
      <c r="CA163" s="46" t="e">
        <v>#NAME?</v>
      </c>
      <c r="CB163" s="46" t="e">
        <v>#NAME?</v>
      </c>
      <c r="CC163" s="46" t="e">
        <v>#NAME?</v>
      </c>
      <c r="CD163" s="46" t="e">
        <v>#NAME?</v>
      </c>
      <c r="CE163" s="46" t="e">
        <v>#NAME?</v>
      </c>
      <c r="CF163" s="46" t="e">
        <v>#NAME?</v>
      </c>
      <c r="CG163" s="46" t="e">
        <v>#NAME?</v>
      </c>
      <c r="CH163" s="46" t="e">
        <v>#NAME?</v>
      </c>
      <c r="CS163" s="42" t="s">
        <v>102</v>
      </c>
      <c r="CT163" s="25">
        <v>0</v>
      </c>
      <c r="CU163" s="25">
        <v>0</v>
      </c>
      <c r="CV163" s="25">
        <v>0</v>
      </c>
      <c r="CW163" s="25">
        <v>0</v>
      </c>
      <c r="CX163" s="25">
        <v>0</v>
      </c>
      <c r="CY163" s="25">
        <v>0</v>
      </c>
      <c r="CZ163" s="25">
        <v>0</v>
      </c>
      <c r="DA163" s="25">
        <v>0</v>
      </c>
      <c r="DB163" s="25">
        <v>0</v>
      </c>
      <c r="DC163" s="25">
        <v>0</v>
      </c>
      <c r="DD163" s="25">
        <v>0</v>
      </c>
      <c r="DE163" s="25">
        <v>0</v>
      </c>
    </row>
    <row r="164" spans="1:109">
      <c r="A164" t="s">
        <v>140</v>
      </c>
      <c r="B164">
        <v>0</v>
      </c>
      <c r="D164" s="56" t="s">
        <v>105</v>
      </c>
      <c r="E164" s="25" t="e">
        <v>#VALUE!</v>
      </c>
      <c r="F164" s="25" t="e">
        <v>#VALUE!</v>
      </c>
      <c r="G164" s="25" t="e">
        <v>#VALUE!</v>
      </c>
      <c r="H164" s="25" t="e">
        <v>#VALUE!</v>
      </c>
      <c r="I164" s="25" t="e">
        <v>#VALUE!</v>
      </c>
      <c r="J164" s="25" t="e">
        <v>#VALUE!</v>
      </c>
      <c r="K164" s="25" t="e">
        <v>#VALUE!</v>
      </c>
      <c r="L164" s="25" t="e">
        <v>#VALUE!</v>
      </c>
      <c r="M164" s="25" t="e">
        <v>#VALUE!</v>
      </c>
      <c r="N164" s="25" t="e">
        <v>#VALUE!</v>
      </c>
      <c r="O164" s="25" t="e">
        <v>#VALUE!</v>
      </c>
      <c r="P164" s="25" t="e">
        <v>#VALUE!</v>
      </c>
      <c r="Q164" s="25" t="e">
        <v>#VALUE!</v>
      </c>
      <c r="R164" s="25" t="e">
        <v>#VALUE!</v>
      </c>
      <c r="S164" s="25" t="e">
        <v>#VALUE!</v>
      </c>
      <c r="T164" s="25" t="e">
        <v>#VALUE!</v>
      </c>
      <c r="U164" s="25" t="e">
        <v>#VALUE!</v>
      </c>
      <c r="V164" s="25" t="e">
        <v>#VALUE!</v>
      </c>
      <c r="W164" s="25" t="e">
        <v>#VALUE!</v>
      </c>
      <c r="X164" s="25" t="e">
        <v>#VALUE!</v>
      </c>
      <c r="Y164" s="25" t="e">
        <v>#VALUE!</v>
      </c>
      <c r="Z164" s="25" t="e">
        <v>#VALUE!</v>
      </c>
      <c r="AA164" s="25" t="e">
        <v>#VALUE!</v>
      </c>
      <c r="AB164" s="25" t="e">
        <v>#VALUE!</v>
      </c>
      <c r="AC164" s="25" t="e">
        <v>#VALUE!</v>
      </c>
      <c r="AD164" s="25" t="e">
        <v>#VALUE!</v>
      </c>
      <c r="AE164" s="25" t="e">
        <v>#VALUE!</v>
      </c>
      <c r="AF164" s="25" t="e">
        <v>#VALUE!</v>
      </c>
      <c r="AG164" s="25" t="e">
        <v>#VALUE!</v>
      </c>
      <c r="AH164" s="25" t="e">
        <v>#VALUE!</v>
      </c>
      <c r="AI164" s="25" t="e">
        <v>#VALUE!</v>
      </c>
      <c r="AJ164" s="25" t="e">
        <v>#VALUE!</v>
      </c>
      <c r="AK164" s="25" t="e">
        <v>#VALUE!</v>
      </c>
      <c r="AL164" s="25" t="e">
        <v>#VALUE!</v>
      </c>
      <c r="AM164" s="25" t="e">
        <v>#VALUE!</v>
      </c>
      <c r="AN164" s="25" t="e">
        <v>#NUM!</v>
      </c>
      <c r="AX164" s="47" t="s">
        <v>101</v>
      </c>
      <c r="AY164" s="48" t="e">
        <v>#NAME?</v>
      </c>
      <c r="AZ164" s="48" t="e">
        <v>#NAME?</v>
      </c>
      <c r="BA164" s="48" t="e">
        <v>#NAME?</v>
      </c>
      <c r="BB164" s="48" t="e">
        <v>#NAME?</v>
      </c>
      <c r="BC164" s="48" t="e">
        <v>#NAME?</v>
      </c>
      <c r="BD164" s="48" t="e">
        <v>#NAME?</v>
      </c>
      <c r="BE164" s="48" t="e">
        <v>#NAME?</v>
      </c>
      <c r="BF164" s="48" t="e">
        <v>#NAME?</v>
      </c>
      <c r="BG164" s="48" t="e">
        <v>#NAME?</v>
      </c>
      <c r="BH164" s="48" t="e">
        <v>#NAME?</v>
      </c>
      <c r="BI164" s="48" t="e">
        <v>#NAME?</v>
      </c>
      <c r="BJ164" s="48" t="e">
        <v>#NAME?</v>
      </c>
      <c r="BK164" s="48" t="e">
        <v>#NAME?</v>
      </c>
      <c r="BL164" s="48" t="e">
        <v>#NAME?</v>
      </c>
      <c r="BM164" s="48" t="e">
        <v>#NAME?</v>
      </c>
      <c r="BN164" s="48" t="e">
        <v>#NAME?</v>
      </c>
      <c r="BO164" s="48" t="e">
        <v>#NAME?</v>
      </c>
      <c r="BP164" s="48" t="e">
        <v>#NAME?</v>
      </c>
      <c r="BQ164" s="48" t="e">
        <v>#NAME?</v>
      </c>
      <c r="BR164" s="48" t="e">
        <v>#NAME?</v>
      </c>
      <c r="BS164" s="48" t="e">
        <v>#NAME?</v>
      </c>
      <c r="BT164" s="48" t="e">
        <v>#NAME?</v>
      </c>
      <c r="BU164" s="48" t="e">
        <v>#NAME?</v>
      </c>
      <c r="BV164" s="48" t="e">
        <v>#NAME?</v>
      </c>
      <c r="BW164" s="48" t="e">
        <v>#NAME?</v>
      </c>
      <c r="BX164" s="48" t="e">
        <v>#NAME?</v>
      </c>
      <c r="BY164" s="48" t="e">
        <v>#NAME?</v>
      </c>
      <c r="BZ164" s="48" t="e">
        <v>#NAME?</v>
      </c>
      <c r="CA164" s="48" t="e">
        <v>#NAME?</v>
      </c>
      <c r="CB164" s="48" t="e">
        <v>#NAME?</v>
      </c>
      <c r="CC164" s="48" t="e">
        <v>#NAME?</v>
      </c>
      <c r="CD164" s="48" t="e">
        <v>#NAME?</v>
      </c>
      <c r="CE164" s="48" t="e">
        <v>#NAME?</v>
      </c>
      <c r="CF164" s="48" t="e">
        <v>#NAME?</v>
      </c>
      <c r="CG164" s="48" t="e">
        <v>#NAME?</v>
      </c>
      <c r="CH164" s="48" t="e">
        <v>#NAME?</v>
      </c>
      <c r="CS164" s="60" t="s">
        <v>104</v>
      </c>
      <c r="CT164" s="51">
        <v>0</v>
      </c>
      <c r="CU164" s="51">
        <v>0</v>
      </c>
      <c r="CV164" s="51">
        <v>0</v>
      </c>
      <c r="CW164" s="51">
        <v>0</v>
      </c>
      <c r="CX164" s="51">
        <v>0</v>
      </c>
      <c r="CY164" s="51">
        <v>0</v>
      </c>
      <c r="CZ164" s="51">
        <v>0</v>
      </c>
      <c r="DA164" s="51">
        <v>0</v>
      </c>
      <c r="DB164" s="51">
        <v>0</v>
      </c>
      <c r="DC164" s="51">
        <v>0</v>
      </c>
      <c r="DD164" s="51">
        <v>0</v>
      </c>
      <c r="DE164" s="51">
        <v>0</v>
      </c>
    </row>
    <row r="165" spans="1:109" ht="15.75" thickBot="1">
      <c r="A165" t="s">
        <v>140</v>
      </c>
      <c r="B165">
        <v>0</v>
      </c>
      <c r="D165" s="40" t="s">
        <v>108</v>
      </c>
      <c r="E165" s="25" t="e">
        <v>#VALUE!</v>
      </c>
      <c r="F165" s="25" t="e">
        <v>#VALUE!</v>
      </c>
      <c r="G165" s="25" t="e">
        <v>#VALUE!</v>
      </c>
      <c r="H165" s="25" t="e">
        <v>#VALUE!</v>
      </c>
      <c r="I165" s="25" t="e">
        <v>#VALUE!</v>
      </c>
      <c r="J165" s="25" t="e">
        <v>#VALUE!</v>
      </c>
      <c r="K165" s="25" t="e">
        <v>#VALUE!</v>
      </c>
      <c r="L165" s="25" t="e">
        <v>#VALUE!</v>
      </c>
      <c r="M165" s="25" t="e">
        <v>#VALUE!</v>
      </c>
      <c r="N165" s="25" t="e">
        <v>#VALUE!</v>
      </c>
      <c r="O165" s="25" t="e">
        <v>#VALUE!</v>
      </c>
      <c r="P165" s="25" t="e">
        <v>#VALUE!</v>
      </c>
      <c r="Q165" s="25" t="e">
        <v>#VALUE!</v>
      </c>
      <c r="R165" s="25" t="e">
        <v>#VALUE!</v>
      </c>
      <c r="S165" s="25" t="e">
        <v>#VALUE!</v>
      </c>
      <c r="T165" s="25" t="e">
        <v>#VALUE!</v>
      </c>
      <c r="U165" s="25" t="e">
        <v>#VALUE!</v>
      </c>
      <c r="V165" s="25" t="e">
        <v>#VALUE!</v>
      </c>
      <c r="W165" s="25" t="e">
        <v>#VALUE!</v>
      </c>
      <c r="X165" s="25" t="e">
        <v>#VALUE!</v>
      </c>
      <c r="Y165" s="25" t="e">
        <v>#VALUE!</v>
      </c>
      <c r="Z165" s="25" t="e">
        <v>#VALUE!</v>
      </c>
      <c r="AA165" s="25" t="e">
        <v>#VALUE!</v>
      </c>
      <c r="AB165" s="25" t="e">
        <v>#VALUE!</v>
      </c>
      <c r="AC165" s="25" t="e">
        <v>#VALUE!</v>
      </c>
      <c r="AD165" s="25" t="e">
        <v>#VALUE!</v>
      </c>
      <c r="AE165" s="25" t="e">
        <v>#VALUE!</v>
      </c>
      <c r="AF165" s="25" t="e">
        <v>#VALUE!</v>
      </c>
      <c r="AG165" s="25" t="e">
        <v>#VALUE!</v>
      </c>
      <c r="AH165" s="25" t="e">
        <v>#VALUE!</v>
      </c>
      <c r="AI165" s="25" t="e">
        <v>#VALUE!</v>
      </c>
      <c r="AJ165" s="25" t="e">
        <v>#VALUE!</v>
      </c>
      <c r="AK165" s="25" t="e">
        <v>#VALUE!</v>
      </c>
      <c r="AL165" s="25" t="e">
        <v>#VALUE!</v>
      </c>
      <c r="AM165" s="25" t="e">
        <v>#VALUE!</v>
      </c>
      <c r="AN165" s="25" t="e">
        <v>#NUM!</v>
      </c>
      <c r="AX165" s="59"/>
      <c r="AY165" s="51"/>
      <c r="AZ165" s="51"/>
      <c r="BA165" s="51"/>
      <c r="BB165" s="51"/>
      <c r="BC165" s="51"/>
      <c r="BD165" s="51"/>
      <c r="BE165" s="51"/>
      <c r="BF165" s="51"/>
      <c r="BG165" s="51"/>
      <c r="BH165" s="51"/>
      <c r="BI165" s="51"/>
      <c r="BJ165" s="51"/>
      <c r="BK165" s="51"/>
      <c r="BL165" s="51"/>
      <c r="BM165" s="51"/>
      <c r="BN165" s="51"/>
      <c r="BO165" s="51"/>
      <c r="BP165" s="51"/>
      <c r="BQ165" s="51"/>
      <c r="BR165" s="51"/>
      <c r="BS165" s="51"/>
      <c r="BT165" s="51"/>
      <c r="BU165" s="51"/>
      <c r="BV165" s="51"/>
      <c r="BW165" s="51"/>
      <c r="BX165" s="51"/>
      <c r="BY165" s="51"/>
      <c r="BZ165" s="51"/>
      <c r="CA165" s="51"/>
      <c r="CB165" s="51"/>
      <c r="CC165" s="51"/>
      <c r="CD165" s="51"/>
      <c r="CE165" s="51"/>
      <c r="CF165" s="51"/>
      <c r="CG165" s="51"/>
      <c r="CH165" s="51"/>
      <c r="CS165" s="62"/>
      <c r="CT165" s="63">
        <v>0</v>
      </c>
      <c r="CU165" s="63">
        <v>0</v>
      </c>
      <c r="CV165" s="63">
        <v>0</v>
      </c>
      <c r="CW165" s="63">
        <v>0</v>
      </c>
      <c r="CX165" s="63">
        <v>0</v>
      </c>
      <c r="CY165" s="63">
        <v>0</v>
      </c>
      <c r="CZ165" s="63">
        <v>0</v>
      </c>
      <c r="DA165" s="63">
        <v>0</v>
      </c>
      <c r="DB165" s="63">
        <v>0</v>
      </c>
      <c r="DC165" s="63">
        <v>0</v>
      </c>
      <c r="DD165" s="63">
        <v>0</v>
      </c>
      <c r="DE165" s="63">
        <v>0</v>
      </c>
    </row>
    <row r="166" spans="1:109">
      <c r="A166" t="s">
        <v>140</v>
      </c>
      <c r="B166">
        <v>0</v>
      </c>
      <c r="D166" s="40" t="s">
        <v>110</v>
      </c>
      <c r="E166" s="25" t="e">
        <v>#VALUE!</v>
      </c>
      <c r="F166" s="25" t="e">
        <v>#VALUE!</v>
      </c>
      <c r="G166" s="25" t="e">
        <v>#VALUE!</v>
      </c>
      <c r="H166" s="25" t="e">
        <v>#VALUE!</v>
      </c>
      <c r="I166" s="25" t="e">
        <v>#VALUE!</v>
      </c>
      <c r="J166" s="25" t="e">
        <v>#VALUE!</v>
      </c>
      <c r="K166" s="25" t="e">
        <v>#VALUE!</v>
      </c>
      <c r="L166" s="25" t="e">
        <v>#VALUE!</v>
      </c>
      <c r="M166" s="25" t="e">
        <v>#VALUE!</v>
      </c>
      <c r="N166" s="25" t="e">
        <v>#VALUE!</v>
      </c>
      <c r="O166" s="25" t="e">
        <v>#VALUE!</v>
      </c>
      <c r="P166" s="25" t="e">
        <v>#VALUE!</v>
      </c>
      <c r="Q166" s="25" t="e">
        <v>#VALUE!</v>
      </c>
      <c r="R166" s="25" t="e">
        <v>#VALUE!</v>
      </c>
      <c r="S166" s="25" t="e">
        <v>#VALUE!</v>
      </c>
      <c r="T166" s="25" t="e">
        <v>#VALUE!</v>
      </c>
      <c r="U166" s="25" t="e">
        <v>#VALUE!</v>
      </c>
      <c r="V166" s="25" t="e">
        <v>#VALUE!</v>
      </c>
      <c r="W166" s="25" t="e">
        <v>#VALUE!</v>
      </c>
      <c r="X166" s="25" t="e">
        <v>#VALUE!</v>
      </c>
      <c r="Y166" s="25" t="e">
        <v>#VALUE!</v>
      </c>
      <c r="Z166" s="25" t="e">
        <v>#VALUE!</v>
      </c>
      <c r="AA166" s="25" t="e">
        <v>#VALUE!</v>
      </c>
      <c r="AB166" s="25" t="e">
        <v>#VALUE!</v>
      </c>
      <c r="AC166" s="25" t="e">
        <v>#VALUE!</v>
      </c>
      <c r="AD166" s="25" t="e">
        <v>#VALUE!</v>
      </c>
      <c r="AE166" s="25" t="e">
        <v>#VALUE!</v>
      </c>
      <c r="AF166" s="25" t="e">
        <v>#VALUE!</v>
      </c>
      <c r="AG166" s="25" t="e">
        <v>#VALUE!</v>
      </c>
      <c r="AH166" s="25" t="e">
        <v>#VALUE!</v>
      </c>
      <c r="AI166" s="25" t="e">
        <v>#VALUE!</v>
      </c>
      <c r="AJ166" s="25" t="e">
        <v>#VALUE!</v>
      </c>
      <c r="AK166" s="25" t="e">
        <v>#VALUE!</v>
      </c>
      <c r="AL166" s="25" t="e">
        <v>#VALUE!</v>
      </c>
      <c r="AM166" s="25" t="e">
        <v>#VALUE!</v>
      </c>
      <c r="AN166" s="25" t="e">
        <v>#NUM!</v>
      </c>
      <c r="AX166" s="61" t="s">
        <v>106</v>
      </c>
      <c r="AY166" s="1094" t="e">
        <v>#NAME?</v>
      </c>
      <c r="AZ166" s="1094" t="e">
        <v>#NAME?</v>
      </c>
      <c r="BA166" s="1094" t="e">
        <v>#NAME?</v>
      </c>
      <c r="BB166" s="1094" t="e">
        <v>#NAME?</v>
      </c>
      <c r="BC166" s="1094" t="e">
        <v>#NAME?</v>
      </c>
      <c r="BD166" s="1094" t="e">
        <v>#NAME?</v>
      </c>
      <c r="BE166" s="1094" t="e">
        <v>#NAME?</v>
      </c>
      <c r="BF166" s="1094" t="e">
        <v>#NAME?</v>
      </c>
      <c r="BG166" s="1094" t="e">
        <v>#NAME?</v>
      </c>
      <c r="BH166" s="1094" t="e">
        <v>#NAME?</v>
      </c>
      <c r="BI166" s="1094" t="e">
        <v>#NAME?</v>
      </c>
      <c r="BJ166" s="1094" t="e">
        <v>#NAME?</v>
      </c>
      <c r="BK166" s="1094" t="e">
        <v>#NAME?</v>
      </c>
      <c r="BL166" s="1094" t="e">
        <v>#NAME?</v>
      </c>
      <c r="BM166" s="1094" t="e">
        <v>#NAME?</v>
      </c>
      <c r="BN166" s="1094" t="e">
        <v>#NAME?</v>
      </c>
      <c r="BO166" s="1094" t="e">
        <v>#NAME?</v>
      </c>
      <c r="BP166" s="1094" t="e">
        <v>#NAME?</v>
      </c>
      <c r="BQ166" s="1094" t="e">
        <v>#NAME?</v>
      </c>
      <c r="BR166" s="1094" t="e">
        <v>#NAME?</v>
      </c>
      <c r="BS166" s="1094" t="e">
        <v>#NAME?</v>
      </c>
      <c r="BT166" s="1094" t="e">
        <v>#NAME?</v>
      </c>
      <c r="BU166" s="1094" t="e">
        <v>#NAME?</v>
      </c>
      <c r="BV166" s="1094" t="e">
        <v>#NAME?</v>
      </c>
      <c r="BW166" s="1094" t="e">
        <v>#NAME?</v>
      </c>
      <c r="BX166" s="1094" t="e">
        <v>#NAME?</v>
      </c>
      <c r="BY166" s="1094" t="e">
        <v>#NAME?</v>
      </c>
      <c r="BZ166" s="1094" t="e">
        <v>#NAME?</v>
      </c>
      <c r="CA166" s="1094" t="e">
        <v>#NAME?</v>
      </c>
      <c r="CB166" s="1094" t="e">
        <v>#NAME?</v>
      </c>
      <c r="CC166" s="1094" t="e">
        <v>#NAME?</v>
      </c>
      <c r="CD166" s="1094" t="e">
        <v>#NAME?</v>
      </c>
      <c r="CE166" s="1094" t="e">
        <v>#NAME?</v>
      </c>
      <c r="CF166" s="1094" t="e">
        <v>#NAME?</v>
      </c>
      <c r="CG166" s="1094" t="e">
        <v>#NAME?</v>
      </c>
      <c r="CH166" s="1094" t="e">
        <v>#NAME?</v>
      </c>
    </row>
    <row r="167" spans="1:109">
      <c r="A167" t="s">
        <v>140</v>
      </c>
      <c r="B167">
        <v>0</v>
      </c>
      <c r="D167" s="65" t="s">
        <v>112</v>
      </c>
      <c r="E167" s="25" t="e">
        <v>#VALUE!</v>
      </c>
      <c r="F167" s="25" t="e">
        <v>#VALUE!</v>
      </c>
      <c r="G167" s="25" t="e">
        <v>#VALUE!</v>
      </c>
      <c r="H167" s="25" t="e">
        <v>#VALUE!</v>
      </c>
      <c r="I167" s="25" t="e">
        <v>#VALUE!</v>
      </c>
      <c r="J167" s="25" t="e">
        <v>#VALUE!</v>
      </c>
      <c r="K167" s="25" t="e">
        <v>#VALUE!</v>
      </c>
      <c r="L167" s="25" t="e">
        <v>#VALUE!</v>
      </c>
      <c r="M167" s="25" t="e">
        <v>#VALUE!</v>
      </c>
      <c r="N167" s="25" t="e">
        <v>#VALUE!</v>
      </c>
      <c r="O167" s="25" t="e">
        <v>#VALUE!</v>
      </c>
      <c r="P167" s="25" t="e">
        <v>#VALUE!</v>
      </c>
      <c r="Q167" s="25" t="e">
        <v>#VALUE!</v>
      </c>
      <c r="R167" s="25" t="e">
        <v>#VALUE!</v>
      </c>
      <c r="S167" s="25" t="e">
        <v>#VALUE!</v>
      </c>
      <c r="T167" s="25" t="e">
        <v>#VALUE!</v>
      </c>
      <c r="U167" s="25" t="e">
        <v>#VALUE!</v>
      </c>
      <c r="V167" s="25" t="e">
        <v>#VALUE!</v>
      </c>
      <c r="W167" s="25" t="e">
        <v>#VALUE!</v>
      </c>
      <c r="X167" s="25" t="e">
        <v>#VALUE!</v>
      </c>
      <c r="Y167" s="25" t="e">
        <v>#VALUE!</v>
      </c>
      <c r="Z167" s="25" t="e">
        <v>#VALUE!</v>
      </c>
      <c r="AA167" s="25" t="e">
        <v>#VALUE!</v>
      </c>
      <c r="AB167" s="25" t="e">
        <v>#VALUE!</v>
      </c>
      <c r="AC167" s="25" t="e">
        <v>#VALUE!</v>
      </c>
      <c r="AD167" s="25" t="e">
        <v>#VALUE!</v>
      </c>
      <c r="AE167" s="25" t="e">
        <v>#VALUE!</v>
      </c>
      <c r="AF167" s="25" t="e">
        <v>#VALUE!</v>
      </c>
      <c r="AG167" s="25" t="e">
        <v>#VALUE!</v>
      </c>
      <c r="AH167" s="25" t="e">
        <v>#VALUE!</v>
      </c>
      <c r="AI167" s="25" t="e">
        <v>#VALUE!</v>
      </c>
      <c r="AJ167" s="25" t="e">
        <v>#VALUE!</v>
      </c>
      <c r="AK167" s="25" t="e">
        <v>#VALUE!</v>
      </c>
      <c r="AL167" s="25" t="e">
        <v>#VALUE!</v>
      </c>
      <c r="AM167" s="25" t="e">
        <v>#VALUE!</v>
      </c>
      <c r="AN167" s="25" t="e">
        <v>#NUM!</v>
      </c>
      <c r="AX167" s="61" t="s">
        <v>109</v>
      </c>
      <c r="AY167" s="1094" t="e">
        <v>#NAME?</v>
      </c>
      <c r="AZ167" s="1094" t="e">
        <v>#NAME?</v>
      </c>
      <c r="BA167" s="1094" t="e">
        <v>#NAME?</v>
      </c>
      <c r="BB167" s="1094" t="e">
        <v>#NAME?</v>
      </c>
      <c r="BC167" s="1094" t="e">
        <v>#NAME?</v>
      </c>
      <c r="BD167" s="1094" t="e">
        <v>#NAME?</v>
      </c>
      <c r="BE167" s="1094" t="e">
        <v>#NAME?</v>
      </c>
      <c r="BF167" s="1094" t="e">
        <v>#NAME?</v>
      </c>
      <c r="BG167" s="1094" t="e">
        <v>#NAME?</v>
      </c>
      <c r="BH167" s="1094" t="e">
        <v>#NAME?</v>
      </c>
      <c r="BI167" s="1094" t="e">
        <v>#NAME?</v>
      </c>
      <c r="BJ167" s="1094" t="e">
        <v>#NAME?</v>
      </c>
      <c r="BK167" s="1094" t="e">
        <v>#NAME?</v>
      </c>
      <c r="BL167" s="1094" t="e">
        <v>#NAME?</v>
      </c>
      <c r="BM167" s="1094" t="e">
        <v>#NAME?</v>
      </c>
      <c r="BN167" s="1094" t="e">
        <v>#NAME?</v>
      </c>
      <c r="BO167" s="1094" t="e">
        <v>#NAME?</v>
      </c>
      <c r="BP167" s="1094" t="e">
        <v>#NAME?</v>
      </c>
      <c r="BQ167" s="1094" t="e">
        <v>#NAME?</v>
      </c>
      <c r="BR167" s="1094" t="e">
        <v>#NAME?</v>
      </c>
      <c r="BS167" s="1094" t="e">
        <v>#NAME?</v>
      </c>
      <c r="BT167" s="1094" t="e">
        <v>#NAME?</v>
      </c>
      <c r="BU167" s="1094" t="e">
        <v>#NAME?</v>
      </c>
      <c r="BV167" s="1094" t="e">
        <v>#NAME?</v>
      </c>
      <c r="BW167" s="1094" t="e">
        <v>#NAME?</v>
      </c>
      <c r="BX167" s="1094" t="e">
        <v>#NAME?</v>
      </c>
      <c r="BY167" s="1094" t="e">
        <v>#NAME?</v>
      </c>
      <c r="BZ167" s="1094" t="e">
        <v>#NAME?</v>
      </c>
      <c r="CA167" s="1094" t="e">
        <v>#NAME?</v>
      </c>
      <c r="CB167" s="1094" t="e">
        <v>#NAME?</v>
      </c>
      <c r="CC167" s="1094" t="e">
        <v>#NAME?</v>
      </c>
      <c r="CD167" s="1094" t="e">
        <v>#NAME?</v>
      </c>
      <c r="CE167" s="1094" t="e">
        <v>#NAME?</v>
      </c>
      <c r="CF167" s="1094" t="e">
        <v>#NAME?</v>
      </c>
      <c r="CG167" s="1094" t="e">
        <v>#NAME?</v>
      </c>
      <c r="CH167" s="1094" t="e">
        <v>#NAME?</v>
      </c>
    </row>
    <row r="168" spans="1:109">
      <c r="A168" t="s">
        <v>140</v>
      </c>
      <c r="B168">
        <v>0</v>
      </c>
      <c r="D168" s="66" t="s">
        <v>114</v>
      </c>
      <c r="E168" s="25" t="e">
        <v>#VALUE!</v>
      </c>
      <c r="F168" s="25" t="e">
        <v>#VALUE!</v>
      </c>
      <c r="G168" s="25" t="e">
        <v>#VALUE!</v>
      </c>
      <c r="H168" s="25" t="e">
        <v>#VALUE!</v>
      </c>
      <c r="I168" s="25" t="e">
        <v>#VALUE!</v>
      </c>
      <c r="J168" s="25" t="e">
        <v>#VALUE!</v>
      </c>
      <c r="K168" s="25" t="e">
        <v>#VALUE!</v>
      </c>
      <c r="L168" s="25" t="e">
        <v>#VALUE!</v>
      </c>
      <c r="M168" s="25" t="e">
        <v>#VALUE!</v>
      </c>
      <c r="N168" s="25" t="e">
        <v>#VALUE!</v>
      </c>
      <c r="O168" s="25" t="e">
        <v>#VALUE!</v>
      </c>
      <c r="P168" s="25" t="e">
        <v>#VALUE!</v>
      </c>
      <c r="Q168" s="25" t="e">
        <v>#VALUE!</v>
      </c>
      <c r="R168" s="25" t="e">
        <v>#VALUE!</v>
      </c>
      <c r="S168" s="25" t="e">
        <v>#VALUE!</v>
      </c>
      <c r="T168" s="25" t="e">
        <v>#VALUE!</v>
      </c>
      <c r="U168" s="25" t="e">
        <v>#VALUE!</v>
      </c>
      <c r="V168" s="25" t="e">
        <v>#VALUE!</v>
      </c>
      <c r="W168" s="25" t="e">
        <v>#VALUE!</v>
      </c>
      <c r="X168" s="25" t="e">
        <v>#VALUE!</v>
      </c>
      <c r="Y168" s="25" t="e">
        <v>#VALUE!</v>
      </c>
      <c r="Z168" s="25" t="e">
        <v>#VALUE!</v>
      </c>
      <c r="AA168" s="25" t="e">
        <v>#VALUE!</v>
      </c>
      <c r="AB168" s="25" t="e">
        <v>#VALUE!</v>
      </c>
      <c r="AC168" s="25" t="e">
        <v>#VALUE!</v>
      </c>
      <c r="AD168" s="25" t="e">
        <v>#VALUE!</v>
      </c>
      <c r="AE168" s="25" t="e">
        <v>#VALUE!</v>
      </c>
      <c r="AF168" s="25" t="e">
        <v>#VALUE!</v>
      </c>
      <c r="AG168" s="25" t="e">
        <v>#VALUE!</v>
      </c>
      <c r="AH168" s="25" t="e">
        <v>#VALUE!</v>
      </c>
      <c r="AI168" s="25" t="e">
        <v>#VALUE!</v>
      </c>
      <c r="AJ168" s="25" t="e">
        <v>#VALUE!</v>
      </c>
      <c r="AK168" s="25" t="e">
        <v>#VALUE!</v>
      </c>
      <c r="AL168" s="25" t="e">
        <v>#VALUE!</v>
      </c>
      <c r="AM168" s="25" t="e">
        <v>#VALUE!</v>
      </c>
      <c r="AN168" s="25" t="e">
        <v>#NUM!</v>
      </c>
      <c r="AX168" s="64" t="s">
        <v>111</v>
      </c>
      <c r="AY168" s="25" t="e">
        <v>#NAME?</v>
      </c>
      <c r="AZ168" s="25" t="e">
        <v>#NAME?</v>
      </c>
      <c r="BA168" s="25" t="e">
        <v>#NAME?</v>
      </c>
      <c r="BB168" s="25" t="e">
        <v>#NAME?</v>
      </c>
      <c r="BC168" s="25" t="e">
        <v>#NAME?</v>
      </c>
      <c r="BD168" s="25" t="e">
        <v>#NAME?</v>
      </c>
      <c r="BE168" s="25" t="e">
        <v>#NAME?</v>
      </c>
      <c r="BF168" s="25" t="e">
        <v>#NAME?</v>
      </c>
      <c r="BG168" s="25" t="e">
        <v>#NAME?</v>
      </c>
      <c r="BH168" s="25" t="e">
        <v>#NAME?</v>
      </c>
      <c r="BI168" s="25" t="e">
        <v>#NAME?</v>
      </c>
      <c r="BJ168" s="25" t="e">
        <v>#NAME?</v>
      </c>
      <c r="BK168" s="25" t="e">
        <v>#NAME?</v>
      </c>
      <c r="BL168" s="25" t="e">
        <v>#NAME?</v>
      </c>
      <c r="BM168" s="25" t="e">
        <v>#NAME?</v>
      </c>
      <c r="BN168" s="25" t="e">
        <v>#NAME?</v>
      </c>
      <c r="BO168" s="25" t="e">
        <v>#NAME?</v>
      </c>
      <c r="BP168" s="25" t="e">
        <v>#NAME?</v>
      </c>
      <c r="BQ168" s="25" t="e">
        <v>#NAME?</v>
      </c>
      <c r="BR168" s="25" t="e">
        <v>#NAME?</v>
      </c>
      <c r="BS168" s="25" t="e">
        <v>#NAME?</v>
      </c>
      <c r="BT168" s="25" t="e">
        <v>#NAME?</v>
      </c>
      <c r="BU168" s="25" t="e">
        <v>#NAME?</v>
      </c>
      <c r="BV168" s="25" t="e">
        <v>#NAME?</v>
      </c>
      <c r="BW168" s="25" t="e">
        <v>#NAME?</v>
      </c>
      <c r="BX168" s="25" t="e">
        <v>#NAME?</v>
      </c>
      <c r="BY168" s="25" t="e">
        <v>#NAME?</v>
      </c>
      <c r="BZ168" s="25" t="e">
        <v>#NAME?</v>
      </c>
      <c r="CA168" s="25" t="e">
        <v>#NAME?</v>
      </c>
      <c r="CB168" s="25" t="e">
        <v>#NAME?</v>
      </c>
      <c r="CC168" s="25" t="e">
        <v>#NAME?</v>
      </c>
      <c r="CD168" s="25" t="e">
        <v>#NAME?</v>
      </c>
      <c r="CE168" s="25" t="e">
        <v>#NAME?</v>
      </c>
      <c r="CF168" s="25" t="e">
        <v>#NAME?</v>
      </c>
      <c r="CG168" s="25" t="e">
        <v>#NAME?</v>
      </c>
      <c r="CH168" s="25" t="e">
        <v>#NAME?</v>
      </c>
    </row>
    <row r="169" spans="1:109">
      <c r="A169" t="s">
        <v>140</v>
      </c>
      <c r="B169">
        <v>0</v>
      </c>
      <c r="D169" s="65" t="s">
        <v>116</v>
      </c>
      <c r="E169" s="25" t="e">
        <v>#VALUE!</v>
      </c>
      <c r="F169" s="25" t="e">
        <v>#VALUE!</v>
      </c>
      <c r="G169" s="25" t="e">
        <v>#VALUE!</v>
      </c>
      <c r="H169" s="25" t="e">
        <v>#VALUE!</v>
      </c>
      <c r="I169" s="25" t="e">
        <v>#VALUE!</v>
      </c>
      <c r="J169" s="25" t="e">
        <v>#VALUE!</v>
      </c>
      <c r="K169" s="25" t="e">
        <v>#VALUE!</v>
      </c>
      <c r="L169" s="25" t="e">
        <v>#VALUE!</v>
      </c>
      <c r="M169" s="25" t="e">
        <v>#VALUE!</v>
      </c>
      <c r="N169" s="25" t="e">
        <v>#VALUE!</v>
      </c>
      <c r="O169" s="25" t="e">
        <v>#VALUE!</v>
      </c>
      <c r="P169" s="25" t="e">
        <v>#VALUE!</v>
      </c>
      <c r="Q169" s="25" t="e">
        <v>#VALUE!</v>
      </c>
      <c r="R169" s="25" t="e">
        <v>#VALUE!</v>
      </c>
      <c r="S169" s="25" t="e">
        <v>#VALUE!</v>
      </c>
      <c r="T169" s="25" t="e">
        <v>#VALUE!</v>
      </c>
      <c r="U169" s="25" t="e">
        <v>#VALUE!</v>
      </c>
      <c r="V169" s="25" t="e">
        <v>#VALUE!</v>
      </c>
      <c r="W169" s="25" t="e">
        <v>#VALUE!</v>
      </c>
      <c r="X169" s="25" t="e">
        <v>#VALUE!</v>
      </c>
      <c r="Y169" s="25" t="e">
        <v>#VALUE!</v>
      </c>
      <c r="Z169" s="25" t="e">
        <v>#VALUE!</v>
      </c>
      <c r="AA169" s="25" t="e">
        <v>#VALUE!</v>
      </c>
      <c r="AB169" s="25" t="e">
        <v>#VALUE!</v>
      </c>
      <c r="AC169" s="25" t="e">
        <v>#VALUE!</v>
      </c>
      <c r="AD169" s="25" t="e">
        <v>#VALUE!</v>
      </c>
      <c r="AE169" s="25" t="e">
        <v>#VALUE!</v>
      </c>
      <c r="AF169" s="25" t="e">
        <v>#VALUE!</v>
      </c>
      <c r="AG169" s="25" t="e">
        <v>#VALUE!</v>
      </c>
      <c r="AH169" s="25" t="e">
        <v>#VALUE!</v>
      </c>
      <c r="AI169" s="25" t="e">
        <v>#VALUE!</v>
      </c>
      <c r="AJ169" s="25" t="e">
        <v>#VALUE!</v>
      </c>
      <c r="AK169" s="25" t="e">
        <v>#VALUE!</v>
      </c>
      <c r="AL169" s="25" t="e">
        <v>#VALUE!</v>
      </c>
      <c r="AM169" s="25" t="e">
        <v>#VALUE!</v>
      </c>
      <c r="AN169" s="25" t="e">
        <v>#NUM!</v>
      </c>
      <c r="AX169" s="45" t="s">
        <v>113</v>
      </c>
      <c r="AY169" s="46" t="e">
        <v>#NAME?</v>
      </c>
      <c r="AZ169" s="46" t="e">
        <v>#NAME?</v>
      </c>
      <c r="BA169" s="46" t="e">
        <v>#NAME?</v>
      </c>
      <c r="BB169" s="46" t="e">
        <v>#NAME?</v>
      </c>
      <c r="BC169" s="46" t="e">
        <v>#NAME?</v>
      </c>
      <c r="BD169" s="46" t="e">
        <v>#NAME?</v>
      </c>
      <c r="BE169" s="46" t="e">
        <v>#NAME?</v>
      </c>
      <c r="BF169" s="46" t="e">
        <v>#NAME?</v>
      </c>
      <c r="BG169" s="46" t="e">
        <v>#NAME?</v>
      </c>
      <c r="BH169" s="46" t="e">
        <v>#NAME?</v>
      </c>
      <c r="BI169" s="46" t="e">
        <v>#NAME?</v>
      </c>
      <c r="BJ169" s="46" t="e">
        <v>#NAME?</v>
      </c>
      <c r="BK169" s="46" t="e">
        <v>#NAME?</v>
      </c>
      <c r="BL169" s="46" t="e">
        <v>#NAME?</v>
      </c>
      <c r="BM169" s="46" t="e">
        <v>#NAME?</v>
      </c>
      <c r="BN169" s="46" t="e">
        <v>#NAME?</v>
      </c>
      <c r="BO169" s="46" t="e">
        <v>#NAME?</v>
      </c>
      <c r="BP169" s="46" t="e">
        <v>#NAME?</v>
      </c>
      <c r="BQ169" s="46" t="e">
        <v>#NAME?</v>
      </c>
      <c r="BR169" s="46" t="e">
        <v>#NAME?</v>
      </c>
      <c r="BS169" s="46" t="e">
        <v>#NAME?</v>
      </c>
      <c r="BT169" s="46" t="e">
        <v>#NAME?</v>
      </c>
      <c r="BU169" s="46" t="e">
        <v>#NAME?</v>
      </c>
      <c r="BV169" s="46" t="e">
        <v>#NAME?</v>
      </c>
      <c r="BW169" s="46" t="e">
        <v>#NAME?</v>
      </c>
      <c r="BX169" s="46" t="e">
        <v>#NAME?</v>
      </c>
      <c r="BY169" s="46" t="e">
        <v>#NAME?</v>
      </c>
      <c r="BZ169" s="46" t="e">
        <v>#NAME?</v>
      </c>
      <c r="CA169" s="46" t="e">
        <v>#NAME?</v>
      </c>
      <c r="CB169" s="46" t="e">
        <v>#NAME?</v>
      </c>
      <c r="CC169" s="46" t="e">
        <v>#NAME?</v>
      </c>
      <c r="CD169" s="46" t="e">
        <v>#NAME?</v>
      </c>
      <c r="CE169" s="46" t="e">
        <v>#NAME?</v>
      </c>
      <c r="CF169" s="46" t="e">
        <v>#NAME?</v>
      </c>
      <c r="CG169" s="46" t="e">
        <v>#NAME?</v>
      </c>
      <c r="CH169" s="46" t="e">
        <v>#NAME?</v>
      </c>
    </row>
    <row r="170" spans="1:109">
      <c r="A170" t="s">
        <v>140</v>
      </c>
      <c r="B170">
        <v>0</v>
      </c>
      <c r="D170" s="35" t="s">
        <v>117</v>
      </c>
      <c r="E170" s="25" t="e">
        <v>#VALUE!</v>
      </c>
      <c r="F170" s="25" t="e">
        <v>#VALUE!</v>
      </c>
      <c r="G170" s="25" t="e">
        <v>#VALUE!</v>
      </c>
      <c r="H170" s="25" t="e">
        <v>#VALUE!</v>
      </c>
      <c r="I170" s="25" t="e">
        <v>#VALUE!</v>
      </c>
      <c r="J170" s="25" t="e">
        <v>#VALUE!</v>
      </c>
      <c r="K170" s="25" t="e">
        <v>#VALUE!</v>
      </c>
      <c r="L170" s="25" t="e">
        <v>#VALUE!</v>
      </c>
      <c r="M170" s="25" t="e">
        <v>#VALUE!</v>
      </c>
      <c r="N170" s="25" t="e">
        <v>#VALUE!</v>
      </c>
      <c r="O170" s="25" t="e">
        <v>#VALUE!</v>
      </c>
      <c r="P170" s="25" t="e">
        <v>#VALUE!</v>
      </c>
      <c r="Q170" s="25" t="e">
        <v>#VALUE!</v>
      </c>
      <c r="R170" s="25" t="e">
        <v>#VALUE!</v>
      </c>
      <c r="S170" s="25" t="e">
        <v>#VALUE!</v>
      </c>
      <c r="T170" s="25" t="e">
        <v>#VALUE!</v>
      </c>
      <c r="U170" s="25" t="e">
        <v>#VALUE!</v>
      </c>
      <c r="V170" s="25" t="e">
        <v>#VALUE!</v>
      </c>
      <c r="W170" s="25" t="e">
        <v>#VALUE!</v>
      </c>
      <c r="X170" s="25" t="e">
        <v>#VALUE!</v>
      </c>
      <c r="Y170" s="25" t="e">
        <v>#VALUE!</v>
      </c>
      <c r="Z170" s="25" t="e">
        <v>#VALUE!</v>
      </c>
      <c r="AA170" s="25" t="e">
        <v>#VALUE!</v>
      </c>
      <c r="AB170" s="25" t="e">
        <v>#VALUE!</v>
      </c>
      <c r="AC170" s="25" t="e">
        <v>#VALUE!</v>
      </c>
      <c r="AD170" s="25" t="e">
        <v>#VALUE!</v>
      </c>
      <c r="AE170" s="25" t="e">
        <v>#VALUE!</v>
      </c>
      <c r="AF170" s="25" t="e">
        <v>#VALUE!</v>
      </c>
      <c r="AG170" s="25" t="e">
        <v>#VALUE!</v>
      </c>
      <c r="AH170" s="25" t="e">
        <v>#VALUE!</v>
      </c>
      <c r="AI170" s="25" t="e">
        <v>#VALUE!</v>
      </c>
      <c r="AJ170" s="25" t="e">
        <v>#VALUE!</v>
      </c>
      <c r="AK170" s="25" t="e">
        <v>#VALUE!</v>
      </c>
      <c r="AL170" s="25" t="e">
        <v>#VALUE!</v>
      </c>
      <c r="AM170" s="25" t="e">
        <v>#VALUE!</v>
      </c>
      <c r="AN170" s="25" t="e">
        <v>#NUM!</v>
      </c>
      <c r="AX170" s="67" t="s">
        <v>115</v>
      </c>
      <c r="AY170" s="48" t="e">
        <v>#NAME?</v>
      </c>
      <c r="AZ170" s="48" t="e">
        <v>#NAME?</v>
      </c>
      <c r="BA170" s="48" t="e">
        <v>#NAME?</v>
      </c>
      <c r="BB170" s="48" t="e">
        <v>#NAME?</v>
      </c>
      <c r="BC170" s="48" t="e">
        <v>#NAME?</v>
      </c>
      <c r="BD170" s="48" t="e">
        <v>#NAME?</v>
      </c>
      <c r="BE170" s="48" t="e">
        <v>#NAME?</v>
      </c>
      <c r="BF170" s="48" t="e">
        <v>#NAME?</v>
      </c>
      <c r="BG170" s="48" t="e">
        <v>#NAME?</v>
      </c>
      <c r="BH170" s="48" t="e">
        <v>#NAME?</v>
      </c>
      <c r="BI170" s="48" t="e">
        <v>#NAME?</v>
      </c>
      <c r="BJ170" s="48" t="e">
        <v>#NAME?</v>
      </c>
      <c r="BK170" s="48" t="e">
        <v>#NAME?</v>
      </c>
      <c r="BL170" s="48" t="e">
        <v>#NAME?</v>
      </c>
      <c r="BM170" s="48" t="e">
        <v>#NAME?</v>
      </c>
      <c r="BN170" s="48" t="e">
        <v>#NAME?</v>
      </c>
      <c r="BO170" s="48" t="e">
        <v>#NAME?</v>
      </c>
      <c r="BP170" s="48" t="e">
        <v>#NAME?</v>
      </c>
      <c r="BQ170" s="48" t="e">
        <v>#NAME?</v>
      </c>
      <c r="BR170" s="48" t="e">
        <v>#NAME?</v>
      </c>
      <c r="BS170" s="48" t="e">
        <v>#NAME?</v>
      </c>
      <c r="BT170" s="48" t="e">
        <v>#NAME?</v>
      </c>
      <c r="BU170" s="48" t="e">
        <v>#NAME?</v>
      </c>
      <c r="BV170" s="48" t="e">
        <v>#NAME?</v>
      </c>
      <c r="BW170" s="48" t="e">
        <v>#NAME?</v>
      </c>
      <c r="BX170" s="48" t="e">
        <v>#NAME?</v>
      </c>
      <c r="BY170" s="48" t="e">
        <v>#NAME?</v>
      </c>
      <c r="BZ170" s="48" t="e">
        <v>#NAME?</v>
      </c>
      <c r="CA170" s="48" t="e">
        <v>#NAME?</v>
      </c>
      <c r="CB170" s="48" t="e">
        <v>#NAME?</v>
      </c>
      <c r="CC170" s="48" t="e">
        <v>#NAME?</v>
      </c>
      <c r="CD170" s="48" t="e">
        <v>#NAME?</v>
      </c>
      <c r="CE170" s="48" t="e">
        <v>#NAME?</v>
      </c>
      <c r="CF170" s="48" t="e">
        <v>#NAME?</v>
      </c>
      <c r="CG170" s="48" t="e">
        <v>#NAME?</v>
      </c>
      <c r="CH170" s="48" t="e">
        <v>#NAME?</v>
      </c>
    </row>
    <row r="171" spans="1:109">
      <c r="A171" t="s">
        <v>140</v>
      </c>
      <c r="B171">
        <v>0</v>
      </c>
      <c r="D171" s="68" t="s">
        <v>119</v>
      </c>
      <c r="E171" s="69" t="e">
        <v>#VALUE!</v>
      </c>
      <c r="F171" s="69" t="e">
        <v>#VALUE!</v>
      </c>
      <c r="G171" s="69" t="e">
        <v>#VALUE!</v>
      </c>
      <c r="H171" s="69" t="e">
        <v>#VALUE!</v>
      </c>
      <c r="I171" s="69" t="e">
        <v>#VALUE!</v>
      </c>
      <c r="J171" s="69" t="e">
        <v>#VALUE!</v>
      </c>
      <c r="K171" s="69" t="e">
        <v>#VALUE!</v>
      </c>
      <c r="L171" s="69" t="e">
        <v>#VALUE!</v>
      </c>
      <c r="M171" s="69" t="e">
        <v>#VALUE!</v>
      </c>
      <c r="N171" s="69" t="e">
        <v>#VALUE!</v>
      </c>
      <c r="O171" s="69" t="e">
        <v>#VALUE!</v>
      </c>
      <c r="P171" s="69" t="e">
        <v>#VALUE!</v>
      </c>
      <c r="Q171" s="69" t="e">
        <v>#VALUE!</v>
      </c>
      <c r="R171" s="69" t="e">
        <v>#VALUE!</v>
      </c>
      <c r="S171" s="69" t="e">
        <v>#VALUE!</v>
      </c>
      <c r="T171" s="69" t="e">
        <v>#VALUE!</v>
      </c>
      <c r="U171" s="69" t="e">
        <v>#VALUE!</v>
      </c>
      <c r="V171" s="69" t="e">
        <v>#VALUE!</v>
      </c>
      <c r="W171" s="69" t="e">
        <v>#VALUE!</v>
      </c>
      <c r="X171" s="69" t="e">
        <v>#VALUE!</v>
      </c>
      <c r="Y171" s="69" t="e">
        <v>#VALUE!</v>
      </c>
      <c r="Z171" s="69" t="e">
        <v>#VALUE!</v>
      </c>
      <c r="AA171" s="69" t="e">
        <v>#VALUE!</v>
      </c>
      <c r="AB171" s="69" t="e">
        <v>#VALUE!</v>
      </c>
      <c r="AC171" s="69" t="e">
        <v>#VALUE!</v>
      </c>
      <c r="AD171" s="69" t="e">
        <v>#VALUE!</v>
      </c>
      <c r="AE171" s="69" t="e">
        <v>#VALUE!</v>
      </c>
      <c r="AF171" s="69" t="e">
        <v>#VALUE!</v>
      </c>
      <c r="AG171" s="69" t="e">
        <v>#VALUE!</v>
      </c>
      <c r="AH171" s="69" t="e">
        <v>#VALUE!</v>
      </c>
      <c r="AI171" s="69" t="e">
        <v>#VALUE!</v>
      </c>
      <c r="AJ171" s="69" t="e">
        <v>#VALUE!</v>
      </c>
      <c r="AK171" s="69" t="e">
        <v>#VALUE!</v>
      </c>
      <c r="AL171" s="69" t="e">
        <v>#VALUE!</v>
      </c>
      <c r="AM171" s="69" t="e">
        <v>#VALUE!</v>
      </c>
      <c r="AN171" s="69" t="e">
        <v>#NUM!</v>
      </c>
      <c r="AX171" s="47"/>
      <c r="AY171" s="51"/>
      <c r="AZ171" s="51"/>
      <c r="BA171" s="51"/>
      <c r="BB171" s="51"/>
      <c r="BC171" s="51"/>
      <c r="BD171" s="51"/>
      <c r="BE171" s="51"/>
      <c r="BF171" s="51"/>
      <c r="BG171" s="51"/>
      <c r="BH171" s="51"/>
      <c r="BI171" s="51"/>
      <c r="BJ171" s="51"/>
      <c r="BK171" s="51"/>
      <c r="BL171" s="51"/>
      <c r="BM171" s="51"/>
      <c r="BN171" s="51"/>
      <c r="BO171" s="51"/>
      <c r="BP171" s="51"/>
      <c r="BQ171" s="51"/>
      <c r="BR171" s="51"/>
      <c r="BS171" s="51"/>
      <c r="BT171" s="51"/>
      <c r="BU171" s="51"/>
      <c r="BV171" s="51"/>
      <c r="BW171" s="51"/>
      <c r="BX171" s="51"/>
      <c r="BY171" s="51"/>
      <c r="BZ171" s="51"/>
      <c r="CA171" s="51"/>
      <c r="CB171" s="51"/>
      <c r="CC171" s="51"/>
      <c r="CD171" s="51"/>
      <c r="CE171" s="51"/>
      <c r="CF171" s="51"/>
      <c r="CG171" s="51"/>
      <c r="CH171" s="51"/>
    </row>
    <row r="172" spans="1:109">
      <c r="A172" t="s">
        <v>140</v>
      </c>
      <c r="B172">
        <v>0</v>
      </c>
      <c r="D172" s="70"/>
      <c r="E172" s="71"/>
      <c r="F172" s="71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  <c r="AA172" s="71"/>
      <c r="AB172" s="71"/>
      <c r="AC172" s="71"/>
      <c r="AD172" s="71"/>
      <c r="AE172" s="71"/>
      <c r="AF172" s="71"/>
      <c r="AG172" s="71"/>
      <c r="AH172" s="71"/>
      <c r="AI172" s="71"/>
      <c r="AJ172" s="71"/>
      <c r="AK172" s="71"/>
      <c r="AL172" s="71"/>
      <c r="AM172" s="71"/>
      <c r="AN172" s="71"/>
      <c r="AX172" s="61" t="s">
        <v>118</v>
      </c>
      <c r="AY172" s="1094" t="e">
        <v>#NAME?</v>
      </c>
      <c r="AZ172" s="1094" t="e">
        <v>#NAME?</v>
      </c>
      <c r="BA172" s="1094" t="e">
        <v>#NAME?</v>
      </c>
      <c r="BB172" s="1094" t="e">
        <v>#NAME?</v>
      </c>
      <c r="BC172" s="1094" t="e">
        <v>#NAME?</v>
      </c>
      <c r="BD172" s="1094" t="e">
        <v>#NAME?</v>
      </c>
      <c r="BE172" s="1094" t="e">
        <v>#NAME?</v>
      </c>
      <c r="BF172" s="1094" t="e">
        <v>#NAME?</v>
      </c>
      <c r="BG172" s="1094" t="e">
        <v>#NAME?</v>
      </c>
      <c r="BH172" s="1094" t="e">
        <v>#NAME?</v>
      </c>
      <c r="BI172" s="1094" t="e">
        <v>#NAME?</v>
      </c>
      <c r="BJ172" s="1094" t="e">
        <v>#NAME?</v>
      </c>
      <c r="BK172" s="1094" t="e">
        <v>#NAME?</v>
      </c>
      <c r="BL172" s="1094" t="e">
        <v>#NAME?</v>
      </c>
      <c r="BM172" s="1094" t="e">
        <v>#NAME?</v>
      </c>
      <c r="BN172" s="1094" t="e">
        <v>#NAME?</v>
      </c>
      <c r="BO172" s="1094" t="e">
        <v>#NAME?</v>
      </c>
      <c r="BP172" s="1094" t="e">
        <v>#NAME?</v>
      </c>
      <c r="BQ172" s="1094" t="e">
        <v>#NAME?</v>
      </c>
      <c r="BR172" s="1094" t="e">
        <v>#NAME?</v>
      </c>
      <c r="BS172" s="1094" t="e">
        <v>#NAME?</v>
      </c>
      <c r="BT172" s="1094" t="e">
        <v>#NAME?</v>
      </c>
      <c r="BU172" s="1094" t="e">
        <v>#NAME?</v>
      </c>
      <c r="BV172" s="1094" t="e">
        <v>#NAME?</v>
      </c>
      <c r="BW172" s="1094" t="e">
        <v>#NAME?</v>
      </c>
      <c r="BX172" s="1094" t="e">
        <v>#NAME?</v>
      </c>
      <c r="BY172" s="1094" t="e">
        <v>#NAME?</v>
      </c>
      <c r="BZ172" s="1094" t="e">
        <v>#NAME?</v>
      </c>
      <c r="CA172" s="1094" t="e">
        <v>#NAME?</v>
      </c>
      <c r="CB172" s="1094" t="e">
        <v>#NAME?</v>
      </c>
      <c r="CC172" s="1094" t="e">
        <v>#NAME?</v>
      </c>
      <c r="CD172" s="1094" t="e">
        <v>#NAME?</v>
      </c>
      <c r="CE172" s="1094" t="e">
        <v>#NAME?</v>
      </c>
      <c r="CF172" s="1094" t="e">
        <v>#NAME?</v>
      </c>
      <c r="CG172" s="1094" t="e">
        <v>#NAME?</v>
      </c>
      <c r="CH172" s="1094" t="e">
        <v>#NAME?</v>
      </c>
    </row>
    <row r="173" spans="1:109">
      <c r="A173" t="s">
        <v>140</v>
      </c>
      <c r="B173">
        <v>0</v>
      </c>
      <c r="D173" s="58" t="s">
        <v>121</v>
      </c>
      <c r="E173" s="71"/>
      <c r="F173" s="71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  <c r="AA173" s="71"/>
      <c r="AB173" s="71"/>
      <c r="AC173" s="71"/>
      <c r="AD173" s="71"/>
      <c r="AE173" s="71"/>
      <c r="AF173" s="71"/>
      <c r="AG173" s="71"/>
      <c r="AH173" s="71"/>
      <c r="AI173" s="71"/>
      <c r="AJ173" s="71"/>
      <c r="AK173" s="71"/>
      <c r="AL173" s="71"/>
      <c r="AM173" s="71"/>
      <c r="AN173" s="71"/>
      <c r="AX173" s="45" t="s">
        <v>120</v>
      </c>
      <c r="AY173" s="46" t="e">
        <v>#NAME?</v>
      </c>
      <c r="AZ173" s="46" t="e">
        <v>#NAME?</v>
      </c>
      <c r="BA173" s="46" t="e">
        <v>#NAME?</v>
      </c>
      <c r="BB173" s="46" t="e">
        <v>#NAME?</v>
      </c>
      <c r="BC173" s="46" t="e">
        <v>#NAME?</v>
      </c>
      <c r="BD173" s="46" t="e">
        <v>#NAME?</v>
      </c>
      <c r="BE173" s="46" t="e">
        <v>#NAME?</v>
      </c>
      <c r="BF173" s="46" t="e">
        <v>#NAME?</v>
      </c>
      <c r="BG173" s="46" t="e">
        <v>#NAME?</v>
      </c>
      <c r="BH173" s="46" t="e">
        <v>#NAME?</v>
      </c>
      <c r="BI173" s="46" t="e">
        <v>#NAME?</v>
      </c>
      <c r="BJ173" s="46" t="e">
        <v>#NAME?</v>
      </c>
      <c r="BK173" s="46" t="e">
        <v>#NAME?</v>
      </c>
      <c r="BL173" s="46" t="e">
        <v>#NAME?</v>
      </c>
      <c r="BM173" s="46" t="e">
        <v>#NAME?</v>
      </c>
      <c r="BN173" s="46" t="e">
        <v>#NAME?</v>
      </c>
      <c r="BO173" s="46" t="e">
        <v>#NAME?</v>
      </c>
      <c r="BP173" s="46" t="e">
        <v>#NAME?</v>
      </c>
      <c r="BQ173" s="46" t="e">
        <v>#NAME?</v>
      </c>
      <c r="BR173" s="46" t="e">
        <v>#NAME?</v>
      </c>
      <c r="BS173" s="46" t="e">
        <v>#NAME?</v>
      </c>
      <c r="BT173" s="46" t="e">
        <v>#NAME?</v>
      </c>
      <c r="BU173" s="46" t="e">
        <v>#NAME?</v>
      </c>
      <c r="BV173" s="46" t="e">
        <v>#NAME?</v>
      </c>
      <c r="BW173" s="46" t="e">
        <v>#NAME?</v>
      </c>
      <c r="BX173" s="46" t="e">
        <v>#NAME?</v>
      </c>
      <c r="BY173" s="46" t="e">
        <v>#NAME?</v>
      </c>
      <c r="BZ173" s="46" t="e">
        <v>#NAME?</v>
      </c>
      <c r="CA173" s="46" t="e">
        <v>#NAME?</v>
      </c>
      <c r="CB173" s="46" t="e">
        <v>#NAME?</v>
      </c>
      <c r="CC173" s="46" t="e">
        <v>#NAME?</v>
      </c>
      <c r="CD173" s="46" t="e">
        <v>#NAME?</v>
      </c>
      <c r="CE173" s="46" t="e">
        <v>#NAME?</v>
      </c>
      <c r="CF173" s="46" t="e">
        <v>#NAME?</v>
      </c>
      <c r="CG173" s="46" t="e">
        <v>#NAME?</v>
      </c>
      <c r="CH173" s="46" t="e">
        <v>#NAME?</v>
      </c>
    </row>
    <row r="174" spans="1:109">
      <c r="A174" t="s">
        <v>140</v>
      </c>
      <c r="B174">
        <v>0</v>
      </c>
      <c r="D174" s="35" t="s">
        <v>123</v>
      </c>
      <c r="E174" s="25" t="e">
        <v>#VALUE!</v>
      </c>
      <c r="F174" s="25" t="e">
        <v>#VALUE!</v>
      </c>
      <c r="G174" s="25" t="e">
        <v>#VALUE!</v>
      </c>
      <c r="H174" s="25" t="e">
        <v>#VALUE!</v>
      </c>
      <c r="I174" s="25" t="e">
        <v>#VALUE!</v>
      </c>
      <c r="J174" s="25" t="e">
        <v>#VALUE!</v>
      </c>
      <c r="K174" s="25" t="e">
        <v>#VALUE!</v>
      </c>
      <c r="L174" s="25" t="e">
        <v>#VALUE!</v>
      </c>
      <c r="M174" s="25" t="e">
        <v>#VALUE!</v>
      </c>
      <c r="N174" s="25" t="e">
        <v>#VALUE!</v>
      </c>
      <c r="O174" s="25" t="e">
        <v>#VALUE!</v>
      </c>
      <c r="P174" s="25" t="e">
        <v>#VALUE!</v>
      </c>
      <c r="Q174" s="25" t="e">
        <v>#VALUE!</v>
      </c>
      <c r="R174" s="25" t="e">
        <v>#VALUE!</v>
      </c>
      <c r="S174" s="25" t="e">
        <v>#VALUE!</v>
      </c>
      <c r="T174" s="25" t="e">
        <v>#VALUE!</v>
      </c>
      <c r="U174" s="25" t="e">
        <v>#VALUE!</v>
      </c>
      <c r="V174" s="25" t="e">
        <v>#VALUE!</v>
      </c>
      <c r="W174" s="25" t="e">
        <v>#VALUE!</v>
      </c>
      <c r="X174" s="25" t="e">
        <v>#VALUE!</v>
      </c>
      <c r="Y174" s="25" t="e">
        <v>#VALUE!</v>
      </c>
      <c r="Z174" s="25" t="e">
        <v>#VALUE!</v>
      </c>
      <c r="AA174" s="25" t="e">
        <v>#VALUE!</v>
      </c>
      <c r="AB174" s="25" t="e">
        <v>#VALUE!</v>
      </c>
      <c r="AC174" s="25" t="e">
        <v>#VALUE!</v>
      </c>
      <c r="AD174" s="25" t="e">
        <v>#VALUE!</v>
      </c>
      <c r="AE174" s="25" t="e">
        <v>#VALUE!</v>
      </c>
      <c r="AF174" s="25" t="e">
        <v>#VALUE!</v>
      </c>
      <c r="AG174" s="25" t="e">
        <v>#VALUE!</v>
      </c>
      <c r="AH174" s="25" t="e">
        <v>#VALUE!</v>
      </c>
      <c r="AI174" s="25" t="e">
        <v>#VALUE!</v>
      </c>
      <c r="AJ174" s="25" t="e">
        <v>#VALUE!</v>
      </c>
      <c r="AK174" s="25" t="e">
        <v>#VALUE!</v>
      </c>
      <c r="AL174" s="25" t="e">
        <v>#VALUE!</v>
      </c>
      <c r="AM174" s="25" t="e">
        <v>#VALUE!</v>
      </c>
      <c r="AN174" s="25" t="e">
        <v>#NUM!</v>
      </c>
      <c r="AX174" s="47"/>
      <c r="AY174" s="51"/>
      <c r="AZ174" s="51"/>
      <c r="BA174" s="51"/>
      <c r="BB174" s="51"/>
      <c r="BC174" s="51"/>
      <c r="BD174" s="51"/>
      <c r="BE174" s="51"/>
      <c r="BF174" s="51"/>
      <c r="BG174" s="51"/>
      <c r="BH174" s="51"/>
      <c r="BI174" s="51"/>
      <c r="BJ174" s="51"/>
      <c r="BK174" s="51"/>
      <c r="BL174" s="51"/>
      <c r="BM174" s="51"/>
      <c r="BN174" s="51"/>
      <c r="BO174" s="51"/>
      <c r="BP174" s="51"/>
      <c r="BQ174" s="51"/>
      <c r="BR174" s="51"/>
      <c r="BS174" s="51"/>
      <c r="BT174" s="51"/>
      <c r="BU174" s="51"/>
      <c r="BV174" s="51"/>
      <c r="BW174" s="51"/>
      <c r="BX174" s="51"/>
      <c r="BY174" s="51"/>
      <c r="BZ174" s="51"/>
      <c r="CA174" s="51"/>
      <c r="CB174" s="51"/>
      <c r="CC174" s="51"/>
      <c r="CD174" s="51"/>
      <c r="CE174" s="51"/>
      <c r="CF174" s="51"/>
      <c r="CG174" s="51"/>
      <c r="CH174" s="51"/>
    </row>
    <row r="175" spans="1:109">
      <c r="A175" t="s">
        <v>140</v>
      </c>
      <c r="B175">
        <v>0</v>
      </c>
      <c r="D175" s="35" t="s">
        <v>125</v>
      </c>
      <c r="E175" s="25" t="e">
        <v>#VALUE!</v>
      </c>
      <c r="F175" s="25" t="e">
        <v>#VALUE!</v>
      </c>
      <c r="G175" s="25" t="e">
        <v>#VALUE!</v>
      </c>
      <c r="H175" s="25" t="e">
        <v>#VALUE!</v>
      </c>
      <c r="I175" s="25" t="e">
        <v>#VALUE!</v>
      </c>
      <c r="J175" s="25" t="e">
        <v>#VALUE!</v>
      </c>
      <c r="K175" s="25" t="e">
        <v>#VALUE!</v>
      </c>
      <c r="L175" s="25" t="e">
        <v>#VALUE!</v>
      </c>
      <c r="M175" s="25" t="e">
        <v>#VALUE!</v>
      </c>
      <c r="N175" s="25" t="e">
        <v>#VALUE!</v>
      </c>
      <c r="O175" s="25" t="e">
        <v>#VALUE!</v>
      </c>
      <c r="P175" s="25" t="e">
        <v>#VALUE!</v>
      </c>
      <c r="Q175" s="25" t="e">
        <v>#VALUE!</v>
      </c>
      <c r="R175" s="25" t="e">
        <v>#VALUE!</v>
      </c>
      <c r="S175" s="25" t="e">
        <v>#VALUE!</v>
      </c>
      <c r="T175" s="25" t="e">
        <v>#VALUE!</v>
      </c>
      <c r="U175" s="25" t="e">
        <v>#VALUE!</v>
      </c>
      <c r="V175" s="25" t="e">
        <v>#VALUE!</v>
      </c>
      <c r="W175" s="25" t="e">
        <v>#VALUE!</v>
      </c>
      <c r="X175" s="25" t="e">
        <v>#VALUE!</v>
      </c>
      <c r="Y175" s="25" t="e">
        <v>#VALUE!</v>
      </c>
      <c r="Z175" s="25" t="e">
        <v>#VALUE!</v>
      </c>
      <c r="AA175" s="25" t="e">
        <v>#VALUE!</v>
      </c>
      <c r="AB175" s="25" t="e">
        <v>#VALUE!</v>
      </c>
      <c r="AC175" s="25" t="e">
        <v>#VALUE!</v>
      </c>
      <c r="AD175" s="25" t="e">
        <v>#VALUE!</v>
      </c>
      <c r="AE175" s="25" t="e">
        <v>#VALUE!</v>
      </c>
      <c r="AF175" s="25" t="e">
        <v>#VALUE!</v>
      </c>
      <c r="AG175" s="25" t="e">
        <v>#VALUE!</v>
      </c>
      <c r="AH175" s="25" t="e">
        <v>#VALUE!</v>
      </c>
      <c r="AI175" s="25" t="e">
        <v>#VALUE!</v>
      </c>
      <c r="AJ175" s="25" t="e">
        <v>#VALUE!</v>
      </c>
      <c r="AK175" s="25" t="e">
        <v>#VALUE!</v>
      </c>
      <c r="AL175" s="25" t="e">
        <v>#VALUE!</v>
      </c>
      <c r="AM175" s="25" t="e">
        <v>#VALUE!</v>
      </c>
      <c r="AN175" s="25" t="e">
        <v>#NUM!</v>
      </c>
      <c r="AX175" s="61" t="s">
        <v>122</v>
      </c>
      <c r="AY175" s="1094" t="e">
        <v>#NAME?</v>
      </c>
      <c r="AZ175" s="1094" t="e">
        <v>#NAME?</v>
      </c>
      <c r="BA175" s="1094" t="e">
        <v>#NAME?</v>
      </c>
      <c r="BB175" s="1094" t="e">
        <v>#NAME?</v>
      </c>
      <c r="BC175" s="1094" t="e">
        <v>#NAME?</v>
      </c>
      <c r="BD175" s="1094" t="e">
        <v>#NAME?</v>
      </c>
      <c r="BE175" s="1094" t="e">
        <v>#NAME?</v>
      </c>
      <c r="BF175" s="1094" t="e">
        <v>#NAME?</v>
      </c>
      <c r="BG175" s="1094" t="e">
        <v>#NAME?</v>
      </c>
      <c r="BH175" s="1094" t="e">
        <v>#NAME?</v>
      </c>
      <c r="BI175" s="1094" t="e">
        <v>#NAME?</v>
      </c>
      <c r="BJ175" s="1094" t="e">
        <v>#NAME?</v>
      </c>
      <c r="BK175" s="1094" t="e">
        <v>#NAME?</v>
      </c>
      <c r="BL175" s="1094" t="e">
        <v>#NAME?</v>
      </c>
      <c r="BM175" s="1094" t="e">
        <v>#NAME?</v>
      </c>
      <c r="BN175" s="1094" t="e">
        <v>#NAME?</v>
      </c>
      <c r="BO175" s="1094" t="e">
        <v>#NAME?</v>
      </c>
      <c r="BP175" s="1094" t="e">
        <v>#NAME?</v>
      </c>
      <c r="BQ175" s="1094" t="e">
        <v>#NAME?</v>
      </c>
      <c r="BR175" s="1094" t="e">
        <v>#NAME?</v>
      </c>
      <c r="BS175" s="1094" t="e">
        <v>#NAME?</v>
      </c>
      <c r="BT175" s="1094" t="e">
        <v>#NAME?</v>
      </c>
      <c r="BU175" s="1094" t="e">
        <v>#NAME?</v>
      </c>
      <c r="BV175" s="1094" t="e">
        <v>#NAME?</v>
      </c>
      <c r="BW175" s="1094" t="e">
        <v>#NAME?</v>
      </c>
      <c r="BX175" s="1094" t="e">
        <v>#NAME?</v>
      </c>
      <c r="BY175" s="1094" t="e">
        <v>#NAME?</v>
      </c>
      <c r="BZ175" s="1094" t="e">
        <v>#NAME?</v>
      </c>
      <c r="CA175" s="1094" t="e">
        <v>#NAME?</v>
      </c>
      <c r="CB175" s="1094" t="e">
        <v>#NAME?</v>
      </c>
      <c r="CC175" s="1094" t="e">
        <v>#NAME?</v>
      </c>
      <c r="CD175" s="1094" t="e">
        <v>#NAME?</v>
      </c>
      <c r="CE175" s="1094" t="e">
        <v>#NAME?</v>
      </c>
      <c r="CF175" s="1094" t="e">
        <v>#NAME?</v>
      </c>
      <c r="CG175" s="1094" t="e">
        <v>#NAME?</v>
      </c>
      <c r="CH175" s="1094" t="e">
        <v>#NAME?</v>
      </c>
    </row>
    <row r="176" spans="1:109">
      <c r="A176" t="s">
        <v>140</v>
      </c>
      <c r="B176">
        <v>0</v>
      </c>
      <c r="D176" s="68" t="s">
        <v>126</v>
      </c>
      <c r="E176" s="69" t="e">
        <v>#VALUE!</v>
      </c>
      <c r="F176" s="69" t="e">
        <v>#VALUE!</v>
      </c>
      <c r="G176" s="69" t="e">
        <v>#VALUE!</v>
      </c>
      <c r="H176" s="69" t="e">
        <v>#VALUE!</v>
      </c>
      <c r="I176" s="69" t="e">
        <v>#VALUE!</v>
      </c>
      <c r="J176" s="69" t="e">
        <v>#VALUE!</v>
      </c>
      <c r="K176" s="69" t="e">
        <v>#VALUE!</v>
      </c>
      <c r="L176" s="69" t="e">
        <v>#VALUE!</v>
      </c>
      <c r="M176" s="69" t="e">
        <v>#VALUE!</v>
      </c>
      <c r="N176" s="69" t="e">
        <v>#VALUE!</v>
      </c>
      <c r="O176" s="69" t="e">
        <v>#VALUE!</v>
      </c>
      <c r="P176" s="69" t="e">
        <v>#VALUE!</v>
      </c>
      <c r="Q176" s="69" t="e">
        <v>#VALUE!</v>
      </c>
      <c r="R176" s="69" t="e">
        <v>#VALUE!</v>
      </c>
      <c r="S176" s="69" t="e">
        <v>#VALUE!</v>
      </c>
      <c r="T176" s="69" t="e">
        <v>#VALUE!</v>
      </c>
      <c r="U176" s="69" t="e">
        <v>#VALUE!</v>
      </c>
      <c r="V176" s="69" t="e">
        <v>#VALUE!</v>
      </c>
      <c r="W176" s="69" t="e">
        <v>#VALUE!</v>
      </c>
      <c r="X176" s="69" t="e">
        <v>#VALUE!</v>
      </c>
      <c r="Y176" s="69" t="e">
        <v>#VALUE!</v>
      </c>
      <c r="Z176" s="69" t="e">
        <v>#VALUE!</v>
      </c>
      <c r="AA176" s="69" t="e">
        <v>#VALUE!</v>
      </c>
      <c r="AB176" s="69" t="e">
        <v>#VALUE!</v>
      </c>
      <c r="AC176" s="69" t="e">
        <v>#VALUE!</v>
      </c>
      <c r="AD176" s="69" t="e">
        <v>#VALUE!</v>
      </c>
      <c r="AE176" s="69" t="e">
        <v>#VALUE!</v>
      </c>
      <c r="AF176" s="69" t="e">
        <v>#VALUE!</v>
      </c>
      <c r="AG176" s="69" t="e">
        <v>#VALUE!</v>
      </c>
      <c r="AH176" s="69" t="e">
        <v>#VALUE!</v>
      </c>
      <c r="AI176" s="69" t="e">
        <v>#VALUE!</v>
      </c>
      <c r="AJ176" s="69" t="e">
        <v>#VALUE!</v>
      </c>
      <c r="AK176" s="69" t="e">
        <v>#VALUE!</v>
      </c>
      <c r="AL176" s="69" t="e">
        <v>#VALUE!</v>
      </c>
      <c r="AM176" s="69" t="e">
        <v>#VALUE!</v>
      </c>
      <c r="AN176" s="69" t="e">
        <v>#NUM!</v>
      </c>
      <c r="AX176" s="45" t="s">
        <v>124</v>
      </c>
      <c r="AY176" s="46" t="e">
        <v>#NAME?</v>
      </c>
      <c r="AZ176" s="46" t="e">
        <v>#NAME?</v>
      </c>
      <c r="BA176" s="46" t="e">
        <v>#NAME?</v>
      </c>
      <c r="BB176" s="46" t="e">
        <v>#NAME?</v>
      </c>
      <c r="BC176" s="46" t="e">
        <v>#NAME?</v>
      </c>
      <c r="BD176" s="46" t="e">
        <v>#NAME?</v>
      </c>
      <c r="BE176" s="46" t="e">
        <v>#NAME?</v>
      </c>
      <c r="BF176" s="46" t="e">
        <v>#NAME?</v>
      </c>
      <c r="BG176" s="46" t="e">
        <v>#NAME?</v>
      </c>
      <c r="BH176" s="46" t="e">
        <v>#NAME?</v>
      </c>
      <c r="BI176" s="46" t="e">
        <v>#NAME?</v>
      </c>
      <c r="BJ176" s="46" t="e">
        <v>#NAME?</v>
      </c>
      <c r="BK176" s="46" t="e">
        <v>#NAME?</v>
      </c>
      <c r="BL176" s="46" t="e">
        <v>#NAME?</v>
      </c>
      <c r="BM176" s="46" t="e">
        <v>#NAME?</v>
      </c>
      <c r="BN176" s="46" t="e">
        <v>#NAME?</v>
      </c>
      <c r="BO176" s="46" t="e">
        <v>#NAME?</v>
      </c>
      <c r="BP176" s="46" t="e">
        <v>#NAME?</v>
      </c>
      <c r="BQ176" s="46" t="e">
        <v>#NAME?</v>
      </c>
      <c r="BR176" s="46" t="e">
        <v>#NAME?</v>
      </c>
      <c r="BS176" s="46" t="e">
        <v>#NAME?</v>
      </c>
      <c r="BT176" s="46" t="e">
        <v>#NAME?</v>
      </c>
      <c r="BU176" s="46" t="e">
        <v>#NAME?</v>
      </c>
      <c r="BV176" s="46" t="e">
        <v>#NAME?</v>
      </c>
      <c r="BW176" s="46" t="e">
        <v>#NAME?</v>
      </c>
      <c r="BX176" s="46" t="e">
        <v>#NAME?</v>
      </c>
      <c r="BY176" s="46" t="e">
        <v>#NAME?</v>
      </c>
      <c r="BZ176" s="46" t="e">
        <v>#NAME?</v>
      </c>
      <c r="CA176" s="46" t="e">
        <v>#NAME?</v>
      </c>
      <c r="CB176" s="46" t="e">
        <v>#NAME?</v>
      </c>
      <c r="CC176" s="46" t="e">
        <v>#NAME?</v>
      </c>
      <c r="CD176" s="46" t="e">
        <v>#NAME?</v>
      </c>
      <c r="CE176" s="46" t="e">
        <v>#NAME?</v>
      </c>
      <c r="CF176" s="46" t="e">
        <v>#NAME?</v>
      </c>
      <c r="CG176" s="46" t="e">
        <v>#NAME?</v>
      </c>
      <c r="CH176" s="46" t="e">
        <v>#NAME?</v>
      </c>
    </row>
    <row r="177" spans="1:86" ht="15.75" thickBot="1">
      <c r="A177" t="s">
        <v>140</v>
      </c>
      <c r="B177">
        <v>0</v>
      </c>
      <c r="D177" s="75" t="s">
        <v>127</v>
      </c>
      <c r="E177" s="76" t="e">
        <v>#VALUE!</v>
      </c>
      <c r="F177" s="76" t="e">
        <v>#VALUE!</v>
      </c>
      <c r="G177" s="76" t="e">
        <v>#VALUE!</v>
      </c>
      <c r="H177" s="76" t="e">
        <v>#VALUE!</v>
      </c>
      <c r="I177" s="76" t="e">
        <v>#VALUE!</v>
      </c>
      <c r="J177" s="76" t="e">
        <v>#VALUE!</v>
      </c>
      <c r="K177" s="76" t="e">
        <v>#VALUE!</v>
      </c>
      <c r="L177" s="76" t="e">
        <v>#VALUE!</v>
      </c>
      <c r="M177" s="76" t="e">
        <v>#VALUE!</v>
      </c>
      <c r="N177" s="76" t="e">
        <v>#VALUE!</v>
      </c>
      <c r="O177" s="76" t="e">
        <v>#VALUE!</v>
      </c>
      <c r="P177" s="76" t="e">
        <v>#VALUE!</v>
      </c>
      <c r="Q177" s="76" t="e">
        <v>#VALUE!</v>
      </c>
      <c r="R177" s="76" t="e">
        <v>#VALUE!</v>
      </c>
      <c r="S177" s="76" t="e">
        <v>#VALUE!</v>
      </c>
      <c r="T177" s="76" t="e">
        <v>#VALUE!</v>
      </c>
      <c r="U177" s="76" t="e">
        <v>#VALUE!</v>
      </c>
      <c r="V177" s="76" t="e">
        <v>#VALUE!</v>
      </c>
      <c r="W177" s="76" t="e">
        <v>#VALUE!</v>
      </c>
      <c r="X177" s="76" t="e">
        <v>#VALUE!</v>
      </c>
      <c r="Y177" s="76" t="e">
        <v>#VALUE!</v>
      </c>
      <c r="Z177" s="76" t="e">
        <v>#VALUE!</v>
      </c>
      <c r="AA177" s="76" t="e">
        <v>#VALUE!</v>
      </c>
      <c r="AB177" s="76" t="e">
        <v>#VALUE!</v>
      </c>
      <c r="AC177" s="76" t="e">
        <v>#VALUE!</v>
      </c>
      <c r="AD177" s="76" t="e">
        <v>#VALUE!</v>
      </c>
      <c r="AE177" s="76" t="e">
        <v>#VALUE!</v>
      </c>
      <c r="AF177" s="76" t="e">
        <v>#VALUE!</v>
      </c>
      <c r="AG177" s="76" t="e">
        <v>#VALUE!</v>
      </c>
      <c r="AH177" s="76" t="e">
        <v>#VALUE!</v>
      </c>
      <c r="AI177" s="76" t="e">
        <v>#VALUE!</v>
      </c>
      <c r="AJ177" s="76" t="e">
        <v>#VALUE!</v>
      </c>
      <c r="AK177" s="76" t="e">
        <v>#VALUE!</v>
      </c>
      <c r="AL177" s="76" t="e">
        <v>#VALUE!</v>
      </c>
      <c r="AM177" s="76" t="e">
        <v>#VALUE!</v>
      </c>
      <c r="AN177" s="76" t="e">
        <v>#NUM!</v>
      </c>
      <c r="AX177" s="67" t="s">
        <v>4</v>
      </c>
      <c r="AY177" s="48" t="e">
        <v>#NAME?</v>
      </c>
      <c r="AZ177" s="48" t="e">
        <v>#NAME?</v>
      </c>
      <c r="BA177" s="48" t="e">
        <v>#NAME?</v>
      </c>
      <c r="BB177" s="48" t="e">
        <v>#NAME?</v>
      </c>
      <c r="BC177" s="48" t="e">
        <v>#NAME?</v>
      </c>
      <c r="BD177" s="48" t="e">
        <v>#NAME?</v>
      </c>
      <c r="BE177" s="48" t="e">
        <v>#NAME?</v>
      </c>
      <c r="BF177" s="48" t="e">
        <v>#NAME?</v>
      </c>
      <c r="BG177" s="48" t="e">
        <v>#NAME?</v>
      </c>
      <c r="BH177" s="48" t="e">
        <v>#NAME?</v>
      </c>
      <c r="BI177" s="48" t="e">
        <v>#NAME?</v>
      </c>
      <c r="BJ177" s="48" t="e">
        <v>#NAME?</v>
      </c>
      <c r="BK177" s="48" t="e">
        <v>#NAME?</v>
      </c>
      <c r="BL177" s="48" t="e">
        <v>#NAME?</v>
      </c>
      <c r="BM177" s="48" t="e">
        <v>#NAME?</v>
      </c>
      <c r="BN177" s="48" t="e">
        <v>#NAME?</v>
      </c>
      <c r="BO177" s="48" t="e">
        <v>#NAME?</v>
      </c>
      <c r="BP177" s="48" t="e">
        <v>#NAME?</v>
      </c>
      <c r="BQ177" s="48" t="e">
        <v>#NAME?</v>
      </c>
      <c r="BR177" s="48" t="e">
        <v>#NAME?</v>
      </c>
      <c r="BS177" s="48" t="e">
        <v>#NAME?</v>
      </c>
      <c r="BT177" s="48" t="e">
        <v>#NAME?</v>
      </c>
      <c r="BU177" s="48" t="e">
        <v>#NAME?</v>
      </c>
      <c r="BV177" s="48" t="e">
        <v>#NAME?</v>
      </c>
      <c r="BW177" s="48" t="e">
        <v>#NAME?</v>
      </c>
      <c r="BX177" s="48" t="e">
        <v>#NAME?</v>
      </c>
      <c r="BY177" s="48" t="e">
        <v>#NAME?</v>
      </c>
      <c r="BZ177" s="48" t="e">
        <v>#NAME?</v>
      </c>
      <c r="CA177" s="48" t="e">
        <v>#NAME?</v>
      </c>
      <c r="CB177" s="48" t="e">
        <v>#NAME?</v>
      </c>
      <c r="CC177" s="48" t="e">
        <v>#NAME?</v>
      </c>
      <c r="CD177" s="48" t="e">
        <v>#NAME?</v>
      </c>
      <c r="CE177" s="48" t="e">
        <v>#NAME?</v>
      </c>
      <c r="CF177" s="48" t="e">
        <v>#NAME?</v>
      </c>
      <c r="CG177" s="48" t="e">
        <v>#NAME?</v>
      </c>
      <c r="CH177" s="48" t="e">
        <v>#NAME?</v>
      </c>
    </row>
    <row r="178" spans="1:86">
      <c r="A178" t="s">
        <v>140</v>
      </c>
      <c r="B178">
        <v>0</v>
      </c>
      <c r="AX178" s="67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74"/>
      <c r="CH178" s="74"/>
    </row>
    <row r="179" spans="1:86" ht="15.75" thickBot="1">
      <c r="A179" t="s">
        <v>140</v>
      </c>
      <c r="B179">
        <v>0</v>
      </c>
      <c r="D179" t="s">
        <v>392</v>
      </c>
      <c r="E179" t="e">
        <v>#NAME?</v>
      </c>
      <c r="F179" t="e">
        <v>#NAME?</v>
      </c>
      <c r="G179" t="e">
        <v>#NAME?</v>
      </c>
      <c r="I179" t="e">
        <v>#NAME?</v>
      </c>
      <c r="L179" t="e">
        <v>#NAME?</v>
      </c>
      <c r="M179" t="e">
        <v>#NAME?</v>
      </c>
      <c r="N179" t="e">
        <v>#NAME?</v>
      </c>
      <c r="AC179" s="448"/>
      <c r="AD179" s="448"/>
      <c r="AE179" s="448"/>
      <c r="AF179" s="448"/>
      <c r="AX179" s="61" t="s">
        <v>128</v>
      </c>
      <c r="AY179" s="1094" t="e">
        <v>#NAME?</v>
      </c>
      <c r="AZ179" s="1094" t="e">
        <v>#NAME?</v>
      </c>
      <c r="BA179" s="1094" t="e">
        <v>#NAME?</v>
      </c>
      <c r="BB179" s="1094" t="e">
        <v>#NAME?</v>
      </c>
      <c r="BC179" s="1094" t="e">
        <v>#NAME?</v>
      </c>
      <c r="BD179" s="1094" t="e">
        <v>#NAME?</v>
      </c>
      <c r="BE179" s="1094" t="e">
        <v>#NAME?</v>
      </c>
      <c r="BF179" s="1094" t="e">
        <v>#NAME?</v>
      </c>
      <c r="BG179" s="1094" t="e">
        <v>#NAME?</v>
      </c>
      <c r="BH179" s="1094" t="e">
        <v>#NAME?</v>
      </c>
      <c r="BI179" s="1094" t="e">
        <v>#NAME?</v>
      </c>
      <c r="BJ179" s="1094" t="e">
        <v>#NAME?</v>
      </c>
      <c r="BK179" s="1094" t="e">
        <v>#NAME?</v>
      </c>
      <c r="BL179" s="1094" t="e">
        <v>#NAME?</v>
      </c>
      <c r="BM179" s="1094" t="e">
        <v>#NAME?</v>
      </c>
      <c r="BN179" s="1094" t="e">
        <v>#NAME?</v>
      </c>
      <c r="BO179" s="1094" t="e">
        <v>#NAME?</v>
      </c>
      <c r="BP179" s="1094" t="e">
        <v>#NAME?</v>
      </c>
      <c r="BQ179" s="1094" t="e">
        <v>#NAME?</v>
      </c>
      <c r="BR179" s="1094" t="e">
        <v>#NAME?</v>
      </c>
      <c r="BS179" s="1094" t="e">
        <v>#NAME?</v>
      </c>
      <c r="BT179" s="1094" t="e">
        <v>#NAME?</v>
      </c>
      <c r="BU179" s="1094" t="e">
        <v>#NAME?</v>
      </c>
      <c r="BV179" s="1094" t="e">
        <v>#NAME?</v>
      </c>
      <c r="BW179" s="1094" t="e">
        <v>#NAME?</v>
      </c>
      <c r="BX179" s="1094" t="e">
        <v>#NAME?</v>
      </c>
      <c r="BY179" s="1094" t="e">
        <v>#NAME?</v>
      </c>
      <c r="BZ179" s="1094" t="e">
        <v>#NAME?</v>
      </c>
      <c r="CA179" s="1094" t="e">
        <v>#NAME?</v>
      </c>
      <c r="CB179" s="1094" t="e">
        <v>#NAME?</v>
      </c>
      <c r="CC179" s="1094" t="e">
        <v>#NAME?</v>
      </c>
      <c r="CD179" s="1094" t="e">
        <v>#NAME?</v>
      </c>
      <c r="CE179" s="1094" t="e">
        <v>#NAME?</v>
      </c>
      <c r="CF179" s="1094" t="e">
        <v>#NAME?</v>
      </c>
      <c r="CG179" s="1094" t="e">
        <v>#NAME?</v>
      </c>
      <c r="CH179" s="1094" t="e">
        <v>#NAME?</v>
      </c>
    </row>
    <row r="180" spans="1:86" ht="15.75" thickBot="1">
      <c r="A180" t="s">
        <v>140</v>
      </c>
      <c r="B180">
        <v>0</v>
      </c>
      <c r="D180" s="18"/>
      <c r="E180" s="19" t="e">
        <v>#NAME?</v>
      </c>
      <c r="F180" s="19" t="e">
        <v>#NAME?</v>
      </c>
      <c r="G180" s="19" t="e">
        <v>#NAME?</v>
      </c>
      <c r="I180" s="19" t="e">
        <v>#NAME?</v>
      </c>
      <c r="L180" s="19" t="e">
        <v>#NAME?</v>
      </c>
      <c r="M180" s="19" t="e">
        <v>#NAME?</v>
      </c>
      <c r="N180" s="19" t="e">
        <v>#NAME?</v>
      </c>
      <c r="P180" s="19" t="e">
        <v>#NAME?</v>
      </c>
      <c r="R180" s="20"/>
      <c r="S180" s="19" t="e">
        <v>#NAME?</v>
      </c>
      <c r="T180" s="19" t="e">
        <v>#NAME?</v>
      </c>
      <c r="U180" s="19" t="e">
        <v>#NAME?</v>
      </c>
      <c r="W180" s="19" t="e">
        <v>#NAME?</v>
      </c>
      <c r="Y180" s="20"/>
      <c r="Z180" s="19" t="e">
        <v>#NAME?</v>
      </c>
      <c r="AA180" s="19" t="e">
        <v>#NAME?</v>
      </c>
      <c r="AB180" s="19" t="e">
        <v>#NAME?</v>
      </c>
      <c r="AD180" s="19" t="e">
        <v>#NAME?</v>
      </c>
      <c r="AG180" s="19"/>
      <c r="AH180" s="19" t="e">
        <v>#NAME?</v>
      </c>
      <c r="AI180" s="19" t="e">
        <v>#NAME?</v>
      </c>
      <c r="AJ180" s="19" t="e">
        <v>#NAME?</v>
      </c>
      <c r="AL180" s="19" t="e">
        <v>#NAME?</v>
      </c>
      <c r="AM180" s="6"/>
      <c r="AX180" s="45" t="s">
        <v>129</v>
      </c>
      <c r="AY180" s="46" t="e">
        <v>#NAME?</v>
      </c>
      <c r="AZ180" s="46" t="e">
        <v>#NAME?</v>
      </c>
      <c r="BA180" s="46" t="e">
        <v>#NAME?</v>
      </c>
      <c r="BB180" s="46" t="e">
        <v>#NAME?</v>
      </c>
      <c r="BC180" s="46" t="e">
        <v>#NAME?</v>
      </c>
      <c r="BD180" s="46" t="e">
        <v>#NAME?</v>
      </c>
      <c r="BE180" s="46" t="e">
        <v>#NAME?</v>
      </c>
      <c r="BF180" s="46" t="e">
        <v>#NAME?</v>
      </c>
      <c r="BG180" s="46" t="e">
        <v>#NAME?</v>
      </c>
      <c r="BH180" s="46" t="e">
        <v>#NAME?</v>
      </c>
      <c r="BI180" s="46" t="e">
        <v>#NAME?</v>
      </c>
      <c r="BJ180" s="46" t="e">
        <v>#NAME?</v>
      </c>
      <c r="BK180" s="46" t="e">
        <v>#NAME?</v>
      </c>
      <c r="BL180" s="46" t="e">
        <v>#NAME?</v>
      </c>
      <c r="BM180" s="46" t="e">
        <v>#NAME?</v>
      </c>
      <c r="BN180" s="46" t="e">
        <v>#NAME?</v>
      </c>
      <c r="BO180" s="46" t="e">
        <v>#NAME?</v>
      </c>
      <c r="BP180" s="46" t="e">
        <v>#NAME?</v>
      </c>
      <c r="BQ180" s="46" t="e">
        <v>#NAME?</v>
      </c>
      <c r="BR180" s="46" t="e">
        <v>#NAME?</v>
      </c>
      <c r="BS180" s="46" t="e">
        <v>#NAME?</v>
      </c>
      <c r="BT180" s="46" t="e">
        <v>#NAME?</v>
      </c>
      <c r="BU180" s="46" t="e">
        <v>#NAME?</v>
      </c>
      <c r="BV180" s="46" t="e">
        <v>#NAME?</v>
      </c>
      <c r="BW180" s="46" t="e">
        <v>#NAME?</v>
      </c>
      <c r="BX180" s="46" t="e">
        <v>#NAME?</v>
      </c>
      <c r="BY180" s="46" t="e">
        <v>#NAME?</v>
      </c>
      <c r="BZ180" s="46" t="e">
        <v>#NAME?</v>
      </c>
      <c r="CA180" s="46" t="e">
        <v>#NAME?</v>
      </c>
      <c r="CB180" s="46" t="e">
        <v>#NAME?</v>
      </c>
      <c r="CC180" s="46" t="e">
        <v>#NAME?</v>
      </c>
      <c r="CD180" s="46" t="e">
        <v>#NAME?</v>
      </c>
      <c r="CE180" s="46" t="e">
        <v>#NAME?</v>
      </c>
      <c r="CF180" s="46" t="e">
        <v>#NAME?</v>
      </c>
      <c r="CG180" s="46" t="e">
        <v>#NAME?</v>
      </c>
      <c r="CH180" s="46" t="e">
        <v>#NAME?</v>
      </c>
    </row>
    <row r="181" spans="1:86" ht="15.75" thickBot="1">
      <c r="A181" t="s">
        <v>140</v>
      </c>
      <c r="B181">
        <v>0</v>
      </c>
      <c r="D181" s="22" t="s">
        <v>64</v>
      </c>
      <c r="E181" s="23"/>
      <c r="F181" s="23"/>
      <c r="G181" s="23"/>
      <c r="I181" s="23"/>
      <c r="K181" s="24" t="s">
        <v>65</v>
      </c>
      <c r="L181" s="25" t="e">
        <v>#NAME?</v>
      </c>
      <c r="M181" s="25" t="e">
        <v>#NAME?</v>
      </c>
      <c r="N181" s="25" t="e">
        <v>#NAME?</v>
      </c>
      <c r="P181" s="25" t="e">
        <v>#NAME?</v>
      </c>
      <c r="R181" s="26"/>
      <c r="S181" s="28"/>
      <c r="T181" s="28"/>
      <c r="U181" s="28"/>
      <c r="W181" s="28"/>
      <c r="Y181" s="30"/>
      <c r="Z181" s="33"/>
      <c r="AA181" s="33"/>
      <c r="AB181" s="33"/>
      <c r="AD181" s="33"/>
      <c r="AH181" s="34"/>
      <c r="AI181" s="34"/>
      <c r="AJ181" s="34"/>
      <c r="AL181" s="34"/>
      <c r="AX181" s="79"/>
      <c r="AY181" s="48" t="e">
        <v>#NAME?</v>
      </c>
      <c r="AZ181" s="48" t="e">
        <v>#NAME?</v>
      </c>
      <c r="BA181" s="48" t="e">
        <v>#NAME?</v>
      </c>
      <c r="BB181" s="48" t="e">
        <v>#NAME?</v>
      </c>
      <c r="BC181" s="48" t="e">
        <v>#NAME?</v>
      </c>
      <c r="BD181" s="48" t="e">
        <v>#NAME?</v>
      </c>
      <c r="BE181" s="48" t="e">
        <v>#NAME?</v>
      </c>
      <c r="BF181" s="48" t="e">
        <v>#NAME?</v>
      </c>
      <c r="BG181" s="48" t="e">
        <v>#NAME?</v>
      </c>
      <c r="BH181" s="48" t="e">
        <v>#NAME?</v>
      </c>
      <c r="BI181" s="48" t="e">
        <v>#NAME?</v>
      </c>
      <c r="BJ181" s="48" t="e">
        <v>#NAME?</v>
      </c>
      <c r="BK181" s="48" t="e">
        <v>#NAME?</v>
      </c>
      <c r="BL181" s="48" t="e">
        <v>#NAME?</v>
      </c>
      <c r="BM181" s="48" t="e">
        <v>#NAME?</v>
      </c>
      <c r="BN181" s="48" t="e">
        <v>#NAME?</v>
      </c>
      <c r="BO181" s="48" t="e">
        <v>#NAME?</v>
      </c>
      <c r="BP181" s="48" t="e">
        <v>#NAME?</v>
      </c>
      <c r="BQ181" s="48" t="e">
        <v>#NAME?</v>
      </c>
      <c r="BR181" s="48" t="e">
        <v>#NAME?</v>
      </c>
      <c r="BS181" s="48" t="e">
        <v>#NAME?</v>
      </c>
      <c r="BT181" s="48" t="e">
        <v>#NAME?</v>
      </c>
      <c r="BU181" s="48" t="e">
        <v>#NAME?</v>
      </c>
      <c r="BV181" s="48" t="e">
        <v>#NAME?</v>
      </c>
      <c r="BW181" s="48" t="e">
        <v>#NAME?</v>
      </c>
      <c r="BX181" s="48" t="e">
        <v>#NAME?</v>
      </c>
      <c r="BY181" s="48" t="e">
        <v>#NAME?</v>
      </c>
      <c r="BZ181" s="48" t="e">
        <v>#NAME?</v>
      </c>
      <c r="CA181" s="48" t="e">
        <v>#NAME?</v>
      </c>
      <c r="CB181" s="48" t="e">
        <v>#NAME?</v>
      </c>
      <c r="CC181" s="48" t="e">
        <v>#NAME?</v>
      </c>
      <c r="CD181" s="48" t="e">
        <v>#NAME?</v>
      </c>
      <c r="CE181" s="48" t="e">
        <v>#NAME?</v>
      </c>
      <c r="CF181" s="48" t="e">
        <v>#NAME?</v>
      </c>
      <c r="CG181" s="48" t="e">
        <v>#NAME?</v>
      </c>
      <c r="CH181" s="48" t="e">
        <v>#NAME?</v>
      </c>
    </row>
    <row r="182" spans="1:86">
      <c r="A182" t="s">
        <v>140</v>
      </c>
      <c r="B182">
        <v>0</v>
      </c>
      <c r="D182" s="35" t="s">
        <v>66</v>
      </c>
      <c r="E182" s="25" t="e">
        <v>#NAME?</v>
      </c>
      <c r="F182" s="25" t="e">
        <v>#NAME?</v>
      </c>
      <c r="G182" s="25" t="e">
        <v>#NAME?</v>
      </c>
      <c r="I182" s="25" t="e">
        <v>#NAME?</v>
      </c>
      <c r="K182" s="36" t="s">
        <v>67</v>
      </c>
      <c r="L182" s="25" t="e">
        <v>#NAME?</v>
      </c>
      <c r="M182" s="25" t="e">
        <v>#NAME?</v>
      </c>
      <c r="N182" s="25" t="e">
        <v>#NAME?</v>
      </c>
      <c r="P182" s="25" t="e">
        <v>#NAME?</v>
      </c>
      <c r="R182" s="36" t="s">
        <v>68</v>
      </c>
      <c r="S182" s="25" t="e">
        <v>#NAME?</v>
      </c>
      <c r="T182" s="25" t="e">
        <v>#NAME?</v>
      </c>
      <c r="U182" s="25" t="e">
        <v>#NAME?</v>
      </c>
      <c r="W182" s="25" t="e">
        <v>#NAME?</v>
      </c>
      <c r="Y182" s="38" t="s">
        <v>69</v>
      </c>
      <c r="Z182" s="25" t="e">
        <v>#NAME?</v>
      </c>
      <c r="AA182" s="25" t="e">
        <v>#NAME?</v>
      </c>
      <c r="AB182" s="25" t="e">
        <v>#NAME?</v>
      </c>
      <c r="AD182" s="25" t="e">
        <v>#NAME?</v>
      </c>
      <c r="AG182" s="39" t="s">
        <v>70</v>
      </c>
      <c r="AH182" s="25" t="e">
        <v>#NAME?</v>
      </c>
      <c r="AI182" s="25" t="e">
        <v>#NAME?</v>
      </c>
      <c r="AJ182" s="25" t="e">
        <v>#NAME?</v>
      </c>
      <c r="AL182" s="25" t="e">
        <v>#NAME?</v>
      </c>
      <c r="AX182" s="81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</row>
    <row r="183" spans="1:86" ht="15.75" thickBot="1">
      <c r="A183" t="s">
        <v>140</v>
      </c>
      <c r="B183">
        <v>0</v>
      </c>
      <c r="D183" s="40" t="s">
        <v>71</v>
      </c>
      <c r="E183" s="25" t="e">
        <v>#NAME?</v>
      </c>
      <c r="F183" s="25" t="e">
        <v>#NAME?</v>
      </c>
      <c r="G183" s="25" t="e">
        <v>#NAME?</v>
      </c>
      <c r="I183" s="25" t="e">
        <v>#NAME?</v>
      </c>
      <c r="K183" s="36" t="s">
        <v>72</v>
      </c>
      <c r="L183" s="25" t="e">
        <v>#NAME?</v>
      </c>
      <c r="M183" s="25" t="e">
        <v>#NAME?</v>
      </c>
      <c r="N183" s="25" t="e">
        <v>#NAME?</v>
      </c>
      <c r="P183" s="25" t="e">
        <v>#NAME?</v>
      </c>
      <c r="R183" s="36" t="s">
        <v>73</v>
      </c>
      <c r="S183" s="25" t="e">
        <v>#NAME?</v>
      </c>
      <c r="T183" s="25" t="e">
        <v>#NAME?</v>
      </c>
      <c r="U183" s="25" t="e">
        <v>#NAME?</v>
      </c>
      <c r="W183" s="25" t="e">
        <v>#NAME?</v>
      </c>
      <c r="Y183" s="36" t="s">
        <v>74</v>
      </c>
      <c r="Z183" s="25" t="e">
        <v>#NAME?</v>
      </c>
      <c r="AA183" s="25" t="e">
        <v>#NAME?</v>
      </c>
      <c r="AB183" s="25" t="e">
        <v>#NAME?</v>
      </c>
      <c r="AD183" s="25" t="e">
        <v>#NAME?</v>
      </c>
      <c r="AG183" s="41" t="s">
        <v>75</v>
      </c>
      <c r="AH183" s="25" t="e">
        <v>#NAME?</v>
      </c>
      <c r="AI183" s="25" t="e">
        <v>#NAME?</v>
      </c>
      <c r="AJ183" s="25" t="e">
        <v>#NAME?</v>
      </c>
      <c r="AL183" s="25" t="e">
        <v>#NAME?</v>
      </c>
      <c r="AY183" t="e">
        <v>#NUM!</v>
      </c>
      <c r="AZ183" t="e">
        <v>#NUM!</v>
      </c>
      <c r="BA183" t="e">
        <v>#NUM!</v>
      </c>
      <c r="BB183" t="e">
        <v>#NUM!</v>
      </c>
      <c r="BC183" t="e">
        <v>#NUM!</v>
      </c>
      <c r="BD183" t="e">
        <v>#NUM!</v>
      </c>
      <c r="BE183" t="e">
        <v>#NUM!</v>
      </c>
      <c r="BF183" t="e">
        <v>#NUM!</v>
      </c>
      <c r="BG183" t="e">
        <v>#NUM!</v>
      </c>
      <c r="BH183" t="e">
        <v>#NUM!</v>
      </c>
      <c r="BI183" t="e">
        <v>#NUM!</v>
      </c>
      <c r="BJ183" t="e">
        <v>#NUM!</v>
      </c>
      <c r="BK183" t="e">
        <v>#NUM!</v>
      </c>
      <c r="BL183" t="e">
        <v>#NUM!</v>
      </c>
      <c r="BM183" t="e">
        <v>#NUM!</v>
      </c>
      <c r="BN183" t="e">
        <v>#NUM!</v>
      </c>
      <c r="BO183" t="e">
        <v>#NUM!</v>
      </c>
      <c r="BP183" t="e">
        <v>#NUM!</v>
      </c>
      <c r="BQ183" t="e">
        <v>#NUM!</v>
      </c>
      <c r="BR183" t="e">
        <v>#NUM!</v>
      </c>
      <c r="BS183" t="e">
        <v>#NUM!</v>
      </c>
      <c r="BT183" t="e">
        <v>#NUM!</v>
      </c>
      <c r="BU183" t="e">
        <v>#NUM!</v>
      </c>
      <c r="BV183" t="e">
        <v>#NUM!</v>
      </c>
      <c r="BW183" t="e">
        <v>#NUM!</v>
      </c>
      <c r="BX183" t="e">
        <v>#NUM!</v>
      </c>
      <c r="BY183" t="e">
        <v>#NUM!</v>
      </c>
      <c r="BZ183" t="e">
        <v>#NUM!</v>
      </c>
      <c r="CA183" t="e">
        <v>#NUM!</v>
      </c>
      <c r="CB183" t="e">
        <v>#NUM!</v>
      </c>
      <c r="CC183" t="e">
        <v>#NUM!</v>
      </c>
      <c r="CD183" t="e">
        <v>#NUM!</v>
      </c>
      <c r="CE183" t="e">
        <v>#NUM!</v>
      </c>
      <c r="CF183" t="e">
        <v>#NUM!</v>
      </c>
      <c r="CG183" t="e">
        <v>#NUM!</v>
      </c>
      <c r="CH183" t="e">
        <v>#NUM!</v>
      </c>
    </row>
    <row r="184" spans="1:86" ht="15.75" thickBot="1">
      <c r="A184" t="s">
        <v>140</v>
      </c>
      <c r="B184">
        <v>0</v>
      </c>
      <c r="D184" s="40" t="s">
        <v>76</v>
      </c>
      <c r="E184" s="25" t="e">
        <v>#NAME?</v>
      </c>
      <c r="F184" s="25" t="e">
        <v>#NAME?</v>
      </c>
      <c r="G184" s="25" t="e">
        <v>#NAME?</v>
      </c>
      <c r="I184" s="25" t="e">
        <v>#NAME?</v>
      </c>
      <c r="K184" s="42" t="s">
        <v>77</v>
      </c>
      <c r="L184" s="25" t="e">
        <v>#NAME?</v>
      </c>
      <c r="M184" s="25" t="e">
        <v>#NAME?</v>
      </c>
      <c r="N184" s="25" t="e">
        <v>#NAME?</v>
      </c>
      <c r="P184" s="25" t="e">
        <v>#NAME?</v>
      </c>
      <c r="R184" s="43" t="s">
        <v>78</v>
      </c>
      <c r="S184" s="51" t="e">
        <v>#NAME?</v>
      </c>
      <c r="T184" s="51" t="e">
        <v>#NAME?</v>
      </c>
      <c r="U184" s="51" t="e">
        <v>#NAME?</v>
      </c>
      <c r="W184" s="51" t="e">
        <v>#NAME?</v>
      </c>
      <c r="Y184" s="36" t="s">
        <v>79</v>
      </c>
      <c r="Z184" s="25" t="e">
        <v>#NAME?</v>
      </c>
      <c r="AA184" s="25" t="e">
        <v>#NAME?</v>
      </c>
      <c r="AB184" s="25" t="e">
        <v>#NAME?</v>
      </c>
      <c r="AD184" s="25" t="e">
        <v>#NAME?</v>
      </c>
      <c r="AG184" s="44" t="s">
        <v>80</v>
      </c>
      <c r="AH184" s="25" t="e">
        <v>#NAME?</v>
      </c>
      <c r="AI184" s="25" t="e">
        <v>#NAME?</v>
      </c>
      <c r="AJ184" s="25" t="e">
        <v>#NAME?</v>
      </c>
      <c r="AL184" s="25" t="e">
        <v>#NAME?</v>
      </c>
      <c r="AY184" s="19" t="e">
        <v>#NUM!</v>
      </c>
      <c r="AZ184" s="19" t="e">
        <v>#NUM!</v>
      </c>
      <c r="BA184" s="19" t="e">
        <v>#NUM!</v>
      </c>
      <c r="BB184" s="19" t="e">
        <v>#NUM!</v>
      </c>
      <c r="BC184" s="19" t="e">
        <v>#NUM!</v>
      </c>
      <c r="BD184" s="19" t="e">
        <v>#NUM!</v>
      </c>
      <c r="BE184" s="19" t="e">
        <v>#NUM!</v>
      </c>
      <c r="BF184" s="19" t="e">
        <v>#NUM!</v>
      </c>
      <c r="BG184" s="19" t="e">
        <v>#NUM!</v>
      </c>
      <c r="BH184" s="19" t="e">
        <v>#NUM!</v>
      </c>
      <c r="BI184" s="19" t="e">
        <v>#NUM!</v>
      </c>
      <c r="BJ184" s="19" t="e">
        <v>#NUM!</v>
      </c>
      <c r="BK184" s="19" t="e">
        <v>#NUM!</v>
      </c>
      <c r="BL184" s="19" t="e">
        <v>#NUM!</v>
      </c>
      <c r="BM184" s="19" t="e">
        <v>#NUM!</v>
      </c>
      <c r="BN184" s="19" t="e">
        <v>#NUM!</v>
      </c>
      <c r="BO184" s="19" t="e">
        <v>#NUM!</v>
      </c>
      <c r="BP184" s="19" t="e">
        <v>#NUM!</v>
      </c>
      <c r="BQ184" s="19" t="e">
        <v>#NUM!</v>
      </c>
      <c r="BR184" s="19" t="e">
        <v>#NUM!</v>
      </c>
      <c r="BS184" s="19" t="e">
        <v>#NUM!</v>
      </c>
      <c r="BT184" s="19" t="e">
        <v>#NUM!</v>
      </c>
      <c r="BU184" s="19" t="e">
        <v>#NUM!</v>
      </c>
      <c r="BV184" s="19" t="e">
        <v>#NUM!</v>
      </c>
      <c r="BW184" s="19" t="e">
        <v>#NUM!</v>
      </c>
      <c r="BX184" s="19" t="e">
        <v>#NUM!</v>
      </c>
      <c r="BY184" s="19" t="e">
        <v>#NUM!</v>
      </c>
      <c r="BZ184" s="19" t="e">
        <v>#NUM!</v>
      </c>
      <c r="CA184" s="19" t="e">
        <v>#NUM!</v>
      </c>
      <c r="CB184" s="19" t="e">
        <v>#NUM!</v>
      </c>
      <c r="CC184" s="19" t="e">
        <v>#NUM!</v>
      </c>
      <c r="CD184" s="19" t="e">
        <v>#NUM!</v>
      </c>
      <c r="CE184" s="19" t="e">
        <v>#NUM!</v>
      </c>
      <c r="CF184" s="19" t="e">
        <v>#NUM!</v>
      </c>
      <c r="CG184" s="19" t="e">
        <v>#NUM!</v>
      </c>
      <c r="CH184" s="19" t="e">
        <v>#NUM!</v>
      </c>
    </row>
    <row r="185" spans="1:86" ht="15.75" thickBot="1">
      <c r="A185" t="s">
        <v>140</v>
      </c>
      <c r="B185">
        <v>0</v>
      </c>
      <c r="D185" s="40" t="s">
        <v>81</v>
      </c>
      <c r="E185" s="25" t="e">
        <v>#NAME?</v>
      </c>
      <c r="F185" s="25" t="e">
        <v>#NAME?</v>
      </c>
      <c r="G185" s="25" t="e">
        <v>#NAME?</v>
      </c>
      <c r="I185" s="25" t="e">
        <v>#NAME?</v>
      </c>
      <c r="K185" s="45" t="s">
        <v>82</v>
      </c>
      <c r="L185" s="46" t="e">
        <v>#NAME?</v>
      </c>
      <c r="M185" s="46" t="e">
        <v>#NAME?</v>
      </c>
      <c r="N185" s="46" t="e">
        <v>#NAME?</v>
      </c>
      <c r="P185" s="46" t="e">
        <v>#NAME?</v>
      </c>
      <c r="R185" s="42" t="s">
        <v>83</v>
      </c>
      <c r="S185" s="25" t="e">
        <v>#NAME?</v>
      </c>
      <c r="T185" s="25" t="e">
        <v>#NAME?</v>
      </c>
      <c r="U185" s="25" t="e">
        <v>#NAME?</v>
      </c>
      <c r="W185" s="25" t="e">
        <v>#NAME?</v>
      </c>
      <c r="Y185" s="42" t="s">
        <v>84</v>
      </c>
      <c r="Z185" s="25" t="e">
        <v>#NAME?</v>
      </c>
      <c r="AA185" s="25" t="e">
        <v>#NAME?</v>
      </c>
      <c r="AB185" s="25" t="e">
        <v>#NAME?</v>
      </c>
      <c r="AD185" s="25" t="e">
        <v>#NAME?</v>
      </c>
      <c r="AG185" s="41" t="s">
        <v>85</v>
      </c>
      <c r="AH185" s="25" t="e">
        <v>#NAME?</v>
      </c>
      <c r="AI185" s="25" t="e">
        <v>#NAME?</v>
      </c>
      <c r="AJ185" s="25" t="e">
        <v>#NAME?</v>
      </c>
      <c r="AL185" s="25" t="e">
        <v>#NAME?</v>
      </c>
      <c r="AX185" s="20" t="s">
        <v>441</v>
      </c>
      <c r="AY185" s="19">
        <v>0</v>
      </c>
      <c r="AZ185" s="19">
        <v>0</v>
      </c>
      <c r="BA185" s="19">
        <v>0</v>
      </c>
      <c r="BB185" s="19">
        <v>0</v>
      </c>
      <c r="BC185" s="19">
        <v>0</v>
      </c>
      <c r="BD185" s="19">
        <v>0</v>
      </c>
      <c r="BE185" s="19">
        <v>0</v>
      </c>
      <c r="BF185" s="19">
        <v>0</v>
      </c>
      <c r="BG185" s="19">
        <v>0</v>
      </c>
      <c r="BH185" s="19">
        <v>0</v>
      </c>
      <c r="BI185" s="19">
        <v>0</v>
      </c>
      <c r="BJ185" s="19">
        <v>0</v>
      </c>
      <c r="BK185" s="19">
        <v>0</v>
      </c>
      <c r="BL185" s="19">
        <v>0</v>
      </c>
      <c r="BM185" s="19">
        <v>0</v>
      </c>
      <c r="BN185" s="19">
        <v>0</v>
      </c>
      <c r="BO185" s="19">
        <v>0</v>
      </c>
      <c r="BP185" s="19">
        <v>0</v>
      </c>
      <c r="BQ185" s="19">
        <v>0</v>
      </c>
      <c r="BR185" s="19">
        <v>0</v>
      </c>
      <c r="BS185" s="19">
        <v>0</v>
      </c>
      <c r="BT185" s="19">
        <v>0</v>
      </c>
      <c r="BU185" s="19">
        <v>0</v>
      </c>
      <c r="BV185" s="19">
        <v>0</v>
      </c>
      <c r="BW185" s="19">
        <v>0</v>
      </c>
      <c r="BX185" s="19">
        <v>0</v>
      </c>
      <c r="BY185" s="19">
        <v>0</v>
      </c>
      <c r="BZ185" s="19">
        <v>0</v>
      </c>
      <c r="CA185" s="19">
        <v>0</v>
      </c>
      <c r="CB185" s="19">
        <v>0</v>
      </c>
      <c r="CC185" s="19">
        <v>0</v>
      </c>
      <c r="CD185" s="19">
        <v>0</v>
      </c>
      <c r="CE185" s="19">
        <v>0</v>
      </c>
      <c r="CF185" s="19">
        <v>0</v>
      </c>
      <c r="CG185" s="19">
        <v>0</v>
      </c>
      <c r="CH185" s="19">
        <v>4</v>
      </c>
    </row>
    <row r="186" spans="1:86" ht="15.75" thickBot="1">
      <c r="A186" t="s">
        <v>140</v>
      </c>
      <c r="B186">
        <v>0</v>
      </c>
      <c r="D186" s="35" t="s">
        <v>10</v>
      </c>
      <c r="E186" s="25" t="e">
        <v>#NAME?</v>
      </c>
      <c r="F186" s="25" t="e">
        <v>#NAME?</v>
      </c>
      <c r="G186" s="25" t="e">
        <v>#NAME?</v>
      </c>
      <c r="I186" s="25" t="e">
        <v>#NAME?</v>
      </c>
      <c r="K186" s="47" t="s">
        <v>87</v>
      </c>
      <c r="L186" s="48" t="e">
        <v>#NAME?</v>
      </c>
      <c r="M186" s="48" t="e">
        <v>#NAME?</v>
      </c>
      <c r="N186" s="48" t="e">
        <v>#NAME?</v>
      </c>
      <c r="P186" s="48" t="e">
        <v>#NAME?</v>
      </c>
      <c r="R186" s="42" t="s">
        <v>88</v>
      </c>
      <c r="S186" s="25" t="e">
        <v>#NAME?</v>
      </c>
      <c r="T186" s="25" t="e">
        <v>#NAME?</v>
      </c>
      <c r="U186" s="25" t="e">
        <v>#NAME?</v>
      </c>
      <c r="W186" s="25" t="e">
        <v>#NAME?</v>
      </c>
      <c r="Y186" s="42" t="s">
        <v>89</v>
      </c>
      <c r="Z186" s="25" t="e">
        <v>#NAME?</v>
      </c>
      <c r="AA186" s="25" t="e">
        <v>#NAME?</v>
      </c>
      <c r="AB186" s="25" t="e">
        <v>#NAME?</v>
      </c>
      <c r="AD186" s="25" t="e">
        <v>#NAME?</v>
      </c>
      <c r="AG186" s="49" t="s">
        <v>90</v>
      </c>
      <c r="AH186" s="25" t="e">
        <v>#NAME?</v>
      </c>
      <c r="AI186" s="25" t="e">
        <v>#NAME?</v>
      </c>
      <c r="AJ186" s="25" t="e">
        <v>#NAME?</v>
      </c>
      <c r="AL186" s="25" t="e">
        <v>#NAME?</v>
      </c>
      <c r="AX186" s="24" t="s">
        <v>65</v>
      </c>
      <c r="AY186" s="25" t="e">
        <v>#NAME?</v>
      </c>
      <c r="AZ186" s="25" t="e">
        <v>#NAME?</v>
      </c>
      <c r="BA186" s="25" t="e">
        <v>#NAME?</v>
      </c>
      <c r="BB186" s="25" t="e">
        <v>#NAME?</v>
      </c>
      <c r="BC186" s="25" t="e">
        <v>#NAME?</v>
      </c>
      <c r="BD186" s="25" t="e">
        <v>#NAME?</v>
      </c>
      <c r="BE186" s="25" t="e">
        <v>#NAME?</v>
      </c>
      <c r="BF186" s="25" t="e">
        <v>#NAME?</v>
      </c>
      <c r="BG186" s="25" t="e">
        <v>#NAME?</v>
      </c>
      <c r="BH186" s="25" t="e">
        <v>#NAME?</v>
      </c>
      <c r="BI186" s="25" t="e">
        <v>#NAME?</v>
      </c>
      <c r="BJ186" s="25" t="e">
        <v>#NAME?</v>
      </c>
      <c r="BK186" s="25" t="e">
        <v>#NAME?</v>
      </c>
      <c r="BL186" s="25" t="e">
        <v>#NAME?</v>
      </c>
      <c r="BM186" s="25" t="e">
        <v>#NAME?</v>
      </c>
      <c r="BN186" s="25" t="e">
        <v>#NAME?</v>
      </c>
      <c r="BO186" s="25" t="e">
        <v>#NAME?</v>
      </c>
      <c r="BP186" s="25" t="e">
        <v>#NAME?</v>
      </c>
      <c r="BQ186" s="25" t="e">
        <v>#NAME?</v>
      </c>
      <c r="BR186" s="25" t="e">
        <v>#NAME?</v>
      </c>
      <c r="BS186" s="25" t="e">
        <v>#NAME?</v>
      </c>
      <c r="BT186" s="25" t="e">
        <v>#NAME?</v>
      </c>
      <c r="BU186" s="25" t="e">
        <v>#NAME?</v>
      </c>
      <c r="BV186" s="25" t="e">
        <v>#NAME?</v>
      </c>
      <c r="BW186" s="25" t="e">
        <v>#NAME?</v>
      </c>
      <c r="BX186" s="25" t="e">
        <v>#NAME?</v>
      </c>
      <c r="BY186" s="25" t="e">
        <v>#NAME?</v>
      </c>
      <c r="BZ186" s="25" t="e">
        <v>#NAME?</v>
      </c>
      <c r="CA186" s="25" t="e">
        <v>#NAME?</v>
      </c>
      <c r="CB186" s="25" t="e">
        <v>#NAME?</v>
      </c>
      <c r="CC186" s="25" t="e">
        <v>#NAME?</v>
      </c>
      <c r="CD186" s="25" t="e">
        <v>#NAME?</v>
      </c>
      <c r="CE186" s="25" t="e">
        <v>#NAME?</v>
      </c>
      <c r="CF186" s="25" t="e">
        <v>#NAME?</v>
      </c>
      <c r="CG186" s="25" t="e">
        <v>#NAME?</v>
      </c>
      <c r="CH186" s="25" t="e">
        <v>#NAME?</v>
      </c>
    </row>
    <row r="187" spans="1:86" ht="15.75" thickBot="1">
      <c r="A187" t="s">
        <v>140</v>
      </c>
      <c r="B187">
        <v>0</v>
      </c>
      <c r="D187" s="35" t="s">
        <v>91</v>
      </c>
      <c r="E187" s="25" t="e">
        <v>#NAME?</v>
      </c>
      <c r="F187" s="25" t="e">
        <v>#NAME?</v>
      </c>
      <c r="G187" s="25" t="e">
        <v>#NAME?</v>
      </c>
      <c r="I187" s="25" t="e">
        <v>#NAME?</v>
      </c>
      <c r="K187" s="50"/>
      <c r="L187" s="51" t="e">
        <v>#NAME?</v>
      </c>
      <c r="M187" s="51" t="e">
        <v>#NAME?</v>
      </c>
      <c r="N187" s="51" t="e">
        <v>#NAME?</v>
      </c>
      <c r="P187" s="51" t="e">
        <v>#NAME?</v>
      </c>
      <c r="R187" s="42" t="s">
        <v>92</v>
      </c>
      <c r="S187" s="25" t="e">
        <v>#NAME?</v>
      </c>
      <c r="T187" s="25" t="e">
        <v>#NAME?</v>
      </c>
      <c r="U187" s="25" t="e">
        <v>#NAME?</v>
      </c>
      <c r="W187" s="25" t="e">
        <v>#NAME?</v>
      </c>
      <c r="Y187" s="52" t="s">
        <v>93</v>
      </c>
      <c r="Z187" s="25" t="e">
        <v>#NAME?</v>
      </c>
      <c r="AA187" s="25" t="e">
        <v>#NAME?</v>
      </c>
      <c r="AB187" s="25" t="e">
        <v>#NAME?</v>
      </c>
      <c r="AD187" s="25" t="e">
        <v>#NAME?</v>
      </c>
      <c r="AX187" s="36" t="s">
        <v>67</v>
      </c>
      <c r="AY187" s="25" t="e">
        <v>#NAME?</v>
      </c>
      <c r="AZ187" s="25" t="e">
        <v>#NAME?</v>
      </c>
      <c r="BA187" s="25" t="e">
        <v>#NAME?</v>
      </c>
      <c r="BB187" s="25" t="e">
        <v>#NAME?</v>
      </c>
      <c r="BC187" s="25" t="e">
        <v>#NAME?</v>
      </c>
      <c r="BD187" s="25" t="e">
        <v>#NAME?</v>
      </c>
      <c r="BE187" s="25" t="e">
        <v>#NAME?</v>
      </c>
      <c r="BF187" s="25" t="e">
        <v>#NAME?</v>
      </c>
      <c r="BG187" s="25" t="e">
        <v>#NAME?</v>
      </c>
      <c r="BH187" s="25" t="e">
        <v>#NAME?</v>
      </c>
      <c r="BI187" s="25" t="e">
        <v>#NAME?</v>
      </c>
      <c r="BJ187" s="25" t="e">
        <v>#NAME?</v>
      </c>
      <c r="BK187" s="25" t="e">
        <v>#NAME?</v>
      </c>
      <c r="BL187" s="25" t="e">
        <v>#NAME?</v>
      </c>
      <c r="BM187" s="25" t="e">
        <v>#NAME?</v>
      </c>
      <c r="BN187" s="25" t="e">
        <v>#NAME?</v>
      </c>
      <c r="BO187" s="25" t="e">
        <v>#NAME?</v>
      </c>
      <c r="BP187" s="25" t="e">
        <v>#NAME?</v>
      </c>
      <c r="BQ187" s="25" t="e">
        <v>#NAME?</v>
      </c>
      <c r="BR187" s="25" t="e">
        <v>#NAME?</v>
      </c>
      <c r="BS187" s="25" t="e">
        <v>#NAME?</v>
      </c>
      <c r="BT187" s="25" t="e">
        <v>#NAME?</v>
      </c>
      <c r="BU187" s="25" t="e">
        <v>#NAME?</v>
      </c>
      <c r="BV187" s="25" t="e">
        <v>#NAME?</v>
      </c>
      <c r="BW187" s="25" t="e">
        <v>#NAME?</v>
      </c>
      <c r="BX187" s="25" t="e">
        <v>#NAME?</v>
      </c>
      <c r="BY187" s="25" t="e">
        <v>#NAME?</v>
      </c>
      <c r="BZ187" s="25" t="e">
        <v>#NAME?</v>
      </c>
      <c r="CA187" s="25" t="e">
        <v>#NAME?</v>
      </c>
      <c r="CB187" s="25" t="e">
        <v>#NAME?</v>
      </c>
      <c r="CC187" s="25" t="e">
        <v>#NAME?</v>
      </c>
      <c r="CD187" s="25" t="e">
        <v>#NAME?</v>
      </c>
      <c r="CE187" s="25" t="e">
        <v>#NAME?</v>
      </c>
      <c r="CF187" s="25" t="e">
        <v>#NAME?</v>
      </c>
      <c r="CG187" s="25" t="e">
        <v>#NAME?</v>
      </c>
      <c r="CH187" s="25" t="e">
        <v>#NAME?</v>
      </c>
    </row>
    <row r="188" spans="1:86">
      <c r="A188" t="s">
        <v>140</v>
      </c>
      <c r="B188">
        <v>0</v>
      </c>
      <c r="D188" s="35" t="s">
        <v>94</v>
      </c>
      <c r="E188" s="25" t="e">
        <v>#NAME?</v>
      </c>
      <c r="F188" s="25" t="e">
        <v>#NAME?</v>
      </c>
      <c r="G188" s="25" t="e">
        <v>#NAME?</v>
      </c>
      <c r="I188" s="25" t="e">
        <v>#NAME?</v>
      </c>
      <c r="K188" s="53" t="s">
        <v>95</v>
      </c>
      <c r="L188" s="25" t="e">
        <v>#NAME?</v>
      </c>
      <c r="M188" s="25" t="e">
        <v>#NAME?</v>
      </c>
      <c r="N188" s="25" t="e">
        <v>#NAME?</v>
      </c>
      <c r="P188" s="25" t="e">
        <v>#NAME?</v>
      </c>
      <c r="R188" s="42" t="s">
        <v>96</v>
      </c>
      <c r="S188" s="25" t="e">
        <v>#NAME?</v>
      </c>
      <c r="T188" s="25" t="e">
        <v>#NAME?</v>
      </c>
      <c r="U188" s="25" t="e">
        <v>#NAME?</v>
      </c>
      <c r="W188" s="25" t="e">
        <v>#NAME?</v>
      </c>
      <c r="AX188" s="36" t="s">
        <v>72</v>
      </c>
      <c r="AY188" s="25" t="e">
        <v>#NAME?</v>
      </c>
      <c r="AZ188" s="25" t="e">
        <v>#NAME?</v>
      </c>
      <c r="BA188" s="25" t="e">
        <v>#NAME?</v>
      </c>
      <c r="BB188" s="25" t="e">
        <v>#NAME?</v>
      </c>
      <c r="BC188" s="25" t="e">
        <v>#NAME?</v>
      </c>
      <c r="BD188" s="25" t="e">
        <v>#NAME?</v>
      </c>
      <c r="BE188" s="25" t="e">
        <v>#NAME?</v>
      </c>
      <c r="BF188" s="25" t="e">
        <v>#NAME?</v>
      </c>
      <c r="BG188" s="25" t="e">
        <v>#NAME?</v>
      </c>
      <c r="BH188" s="25" t="e">
        <v>#NAME?</v>
      </c>
      <c r="BI188" s="25" t="e">
        <v>#NAME?</v>
      </c>
      <c r="BJ188" s="25" t="e">
        <v>#NAME?</v>
      </c>
      <c r="BK188" s="25" t="e">
        <v>#NAME?</v>
      </c>
      <c r="BL188" s="25" t="e">
        <v>#NAME?</v>
      </c>
      <c r="BM188" s="25" t="e">
        <v>#NAME?</v>
      </c>
      <c r="BN188" s="25" t="e">
        <v>#NAME?</v>
      </c>
      <c r="BO188" s="25" t="e">
        <v>#NAME?</v>
      </c>
      <c r="BP188" s="25" t="e">
        <v>#NAME?</v>
      </c>
      <c r="BQ188" s="25" t="e">
        <v>#NAME?</v>
      </c>
      <c r="BR188" s="25" t="e">
        <v>#NAME?</v>
      </c>
      <c r="BS188" s="25" t="e">
        <v>#NAME?</v>
      </c>
      <c r="BT188" s="25" t="e">
        <v>#NAME?</v>
      </c>
      <c r="BU188" s="25" t="e">
        <v>#NAME?</v>
      </c>
      <c r="BV188" s="25" t="e">
        <v>#NAME?</v>
      </c>
      <c r="BW188" s="25" t="e">
        <v>#NAME?</v>
      </c>
      <c r="BX188" s="25" t="e">
        <v>#NAME?</v>
      </c>
      <c r="BY188" s="25" t="e">
        <v>#NAME?</v>
      </c>
      <c r="BZ188" s="25" t="e">
        <v>#NAME?</v>
      </c>
      <c r="CA188" s="25" t="e">
        <v>#NAME?</v>
      </c>
      <c r="CB188" s="25" t="e">
        <v>#NAME?</v>
      </c>
      <c r="CC188" s="25" t="e">
        <v>#NAME?</v>
      </c>
      <c r="CD188" s="25" t="e">
        <v>#NAME?</v>
      </c>
      <c r="CE188" s="25" t="e">
        <v>#NAME?</v>
      </c>
      <c r="CF188" s="25" t="e">
        <v>#NAME?</v>
      </c>
      <c r="CG188" s="25" t="e">
        <v>#NAME?</v>
      </c>
      <c r="CH188" s="25" t="e">
        <v>#NAME?</v>
      </c>
    </row>
    <row r="189" spans="1:86">
      <c r="A189" t="s">
        <v>140</v>
      </c>
      <c r="B189">
        <v>0</v>
      </c>
      <c r="D189" s="54" t="s">
        <v>97</v>
      </c>
      <c r="E189" s="55" t="e">
        <v>#NAME?</v>
      </c>
      <c r="F189" s="55" t="e">
        <v>#NAME?</v>
      </c>
      <c r="G189" s="55" t="e">
        <v>#NAME?</v>
      </c>
      <c r="I189" s="55" t="e">
        <v>#NAME?</v>
      </c>
      <c r="K189" s="53" t="s">
        <v>98</v>
      </c>
      <c r="L189" s="25" t="e">
        <v>#NAME?</v>
      </c>
      <c r="M189" s="25" t="e">
        <v>#NAME?</v>
      </c>
      <c r="N189" s="25" t="e">
        <v>#NAME?</v>
      </c>
      <c r="P189" s="25" t="e">
        <v>#NAME?</v>
      </c>
      <c r="R189" s="42" t="s">
        <v>30</v>
      </c>
      <c r="S189" s="25" t="e">
        <v>#NAME?</v>
      </c>
      <c r="T189" s="25" t="e">
        <v>#NAME?</v>
      </c>
      <c r="U189" s="25" t="e">
        <v>#NAME?</v>
      </c>
      <c r="W189" s="25" t="e">
        <v>#NAME?</v>
      </c>
      <c r="AX189" s="42" t="s">
        <v>77</v>
      </c>
      <c r="AY189" s="25" t="e">
        <v>#NAME?</v>
      </c>
      <c r="AZ189" s="25" t="e">
        <v>#NAME?</v>
      </c>
      <c r="BA189" s="25" t="e">
        <v>#NAME?</v>
      </c>
      <c r="BB189" s="25" t="e">
        <v>#NAME?</v>
      </c>
      <c r="BC189" s="25" t="e">
        <v>#NAME?</v>
      </c>
      <c r="BD189" s="25" t="e">
        <v>#NAME?</v>
      </c>
      <c r="BE189" s="25" t="e">
        <v>#NAME?</v>
      </c>
      <c r="BF189" s="25" t="e">
        <v>#NAME?</v>
      </c>
      <c r="BG189" s="25" t="e">
        <v>#NAME?</v>
      </c>
      <c r="BH189" s="25" t="e">
        <v>#NAME?</v>
      </c>
      <c r="BI189" s="25" t="e">
        <v>#NAME?</v>
      </c>
      <c r="BJ189" s="25" t="e">
        <v>#NAME?</v>
      </c>
      <c r="BK189" s="25" t="e">
        <v>#NAME?</v>
      </c>
      <c r="BL189" s="25" t="e">
        <v>#NAME?</v>
      </c>
      <c r="BM189" s="25" t="e">
        <v>#NAME?</v>
      </c>
      <c r="BN189" s="25" t="e">
        <v>#NAME?</v>
      </c>
      <c r="BO189" s="25" t="e">
        <v>#NAME?</v>
      </c>
      <c r="BP189" s="25" t="e">
        <v>#NAME?</v>
      </c>
      <c r="BQ189" s="25" t="e">
        <v>#NAME?</v>
      </c>
      <c r="BR189" s="25" t="e">
        <v>#NAME?</v>
      </c>
      <c r="BS189" s="25" t="e">
        <v>#NAME?</v>
      </c>
      <c r="BT189" s="25" t="e">
        <v>#NAME?</v>
      </c>
      <c r="BU189" s="25" t="e">
        <v>#NAME?</v>
      </c>
      <c r="BV189" s="25" t="e">
        <v>#NAME?</v>
      </c>
      <c r="BW189" s="25" t="e">
        <v>#NAME?</v>
      </c>
      <c r="BX189" s="25" t="e">
        <v>#NAME?</v>
      </c>
      <c r="BY189" s="25" t="e">
        <v>#NAME?</v>
      </c>
      <c r="BZ189" s="25" t="e">
        <v>#NAME?</v>
      </c>
      <c r="CA189" s="25" t="e">
        <v>#NAME?</v>
      </c>
      <c r="CB189" s="25" t="e">
        <v>#NAME?</v>
      </c>
      <c r="CC189" s="25" t="e">
        <v>#NAME?</v>
      </c>
      <c r="CD189" s="25" t="e">
        <v>#NAME?</v>
      </c>
      <c r="CE189" s="25" t="e">
        <v>#NAME?</v>
      </c>
      <c r="CF189" s="25" t="e">
        <v>#NAME?</v>
      </c>
      <c r="CG189" s="25" t="e">
        <v>#NAME?</v>
      </c>
      <c r="CH189" s="25" t="e">
        <v>#NAME?</v>
      </c>
    </row>
    <row r="190" spans="1:86">
      <c r="A190" t="s">
        <v>140</v>
      </c>
      <c r="B190">
        <v>0</v>
      </c>
      <c r="D190" s="56"/>
      <c r="E190" s="57"/>
      <c r="F190" s="57"/>
      <c r="G190" s="57"/>
      <c r="I190" s="57" t="e">
        <v>#NAME?</v>
      </c>
      <c r="K190" s="45" t="s">
        <v>99</v>
      </c>
      <c r="L190" s="46" t="e">
        <v>#NAME?</v>
      </c>
      <c r="M190" s="46" t="e">
        <v>#NAME?</v>
      </c>
      <c r="N190" s="46" t="e">
        <v>#NAME?</v>
      </c>
      <c r="P190" s="46" t="e">
        <v>#NAME?</v>
      </c>
      <c r="R190" s="42" t="s">
        <v>47</v>
      </c>
      <c r="S190" s="25" t="e">
        <v>#NAME?</v>
      </c>
      <c r="T190" s="25" t="e">
        <v>#NAME?</v>
      </c>
      <c r="U190" s="25" t="e">
        <v>#NAME?</v>
      </c>
      <c r="W190" s="25" t="e">
        <v>#NAME?</v>
      </c>
      <c r="AX190" s="45" t="s">
        <v>82</v>
      </c>
      <c r="AY190" s="46" t="e">
        <v>#NAME?</v>
      </c>
      <c r="AZ190" s="46" t="e">
        <v>#NAME?</v>
      </c>
      <c r="BA190" s="46" t="e">
        <v>#NAME?</v>
      </c>
      <c r="BB190" s="46" t="e">
        <v>#NAME?</v>
      </c>
      <c r="BC190" s="46" t="e">
        <v>#NAME?</v>
      </c>
      <c r="BD190" s="46" t="e">
        <v>#NAME?</v>
      </c>
      <c r="BE190" s="46" t="e">
        <v>#NAME?</v>
      </c>
      <c r="BF190" s="46" t="e">
        <v>#NAME?</v>
      </c>
      <c r="BG190" s="46" t="e">
        <v>#NAME?</v>
      </c>
      <c r="BH190" s="46" t="e">
        <v>#NAME?</v>
      </c>
      <c r="BI190" s="46" t="e">
        <v>#NAME?</v>
      </c>
      <c r="BJ190" s="46" t="e">
        <v>#NAME?</v>
      </c>
      <c r="BK190" s="46" t="e">
        <v>#NAME?</v>
      </c>
      <c r="BL190" s="46" t="e">
        <v>#NAME?</v>
      </c>
      <c r="BM190" s="46" t="e">
        <v>#NAME?</v>
      </c>
      <c r="BN190" s="46" t="e">
        <v>#NAME?</v>
      </c>
      <c r="BO190" s="46" t="e">
        <v>#NAME?</v>
      </c>
      <c r="BP190" s="46" t="e">
        <v>#NAME?</v>
      </c>
      <c r="BQ190" s="46" t="e">
        <v>#NAME?</v>
      </c>
      <c r="BR190" s="46" t="e">
        <v>#NAME?</v>
      </c>
      <c r="BS190" s="46" t="e">
        <v>#NAME?</v>
      </c>
      <c r="BT190" s="46" t="e">
        <v>#NAME?</v>
      </c>
      <c r="BU190" s="46" t="e">
        <v>#NAME?</v>
      </c>
      <c r="BV190" s="46" t="e">
        <v>#NAME?</v>
      </c>
      <c r="BW190" s="46" t="e">
        <v>#NAME?</v>
      </c>
      <c r="BX190" s="46" t="e">
        <v>#NAME?</v>
      </c>
      <c r="BY190" s="46" t="e">
        <v>#NAME?</v>
      </c>
      <c r="BZ190" s="46" t="e">
        <v>#NAME?</v>
      </c>
      <c r="CA190" s="46" t="e">
        <v>#NAME?</v>
      </c>
      <c r="CB190" s="46" t="e">
        <v>#NAME?</v>
      </c>
      <c r="CC190" s="46" t="e">
        <v>#NAME?</v>
      </c>
      <c r="CD190" s="46" t="e">
        <v>#NAME?</v>
      </c>
      <c r="CE190" s="46" t="e">
        <v>#NAME?</v>
      </c>
      <c r="CF190" s="46" t="e">
        <v>#NAME?</v>
      </c>
      <c r="CG190" s="46" t="e">
        <v>#NAME?</v>
      </c>
      <c r="CH190" s="46" t="e">
        <v>#NAME?</v>
      </c>
    </row>
    <row r="191" spans="1:86">
      <c r="A191" t="s">
        <v>140</v>
      </c>
      <c r="B191">
        <v>0</v>
      </c>
      <c r="D191" s="58" t="s">
        <v>100</v>
      </c>
      <c r="E191" s="57"/>
      <c r="F191" s="57"/>
      <c r="G191" s="57"/>
      <c r="I191" s="57" t="e">
        <v>#NAME?</v>
      </c>
      <c r="K191" s="47" t="s">
        <v>101</v>
      </c>
      <c r="L191" s="48" t="e">
        <v>#NAME?</v>
      </c>
      <c r="M191" s="48" t="e">
        <v>#NAME?</v>
      </c>
      <c r="N191" s="48" t="e">
        <v>#NAME?</v>
      </c>
      <c r="P191" s="48" t="e">
        <v>#NAME?</v>
      </c>
      <c r="R191" s="42" t="s">
        <v>102</v>
      </c>
      <c r="S191" s="25" t="e">
        <v>#NAME?</v>
      </c>
      <c r="T191" s="25" t="e">
        <v>#NAME?</v>
      </c>
      <c r="U191" s="25" t="e">
        <v>#NAME?</v>
      </c>
      <c r="W191" s="25" t="e">
        <v>#NAME?</v>
      </c>
      <c r="AX191" s="47" t="s">
        <v>87</v>
      </c>
      <c r="AY191" s="48" t="e">
        <v>#NAME?</v>
      </c>
      <c r="AZ191" s="48" t="e">
        <v>#NAME?</v>
      </c>
      <c r="BA191" s="48" t="e">
        <v>#NAME?</v>
      </c>
      <c r="BB191" s="48" t="e">
        <v>#NAME?</v>
      </c>
      <c r="BC191" s="48" t="e">
        <v>#NAME?</v>
      </c>
      <c r="BD191" s="48" t="e">
        <v>#NAME?</v>
      </c>
      <c r="BE191" s="48" t="e">
        <v>#NAME?</v>
      </c>
      <c r="BF191" s="48" t="e">
        <v>#NAME?</v>
      </c>
      <c r="BG191" s="48" t="e">
        <v>#NAME?</v>
      </c>
      <c r="BH191" s="48" t="e">
        <v>#NAME?</v>
      </c>
      <c r="BI191" s="48" t="e">
        <v>#NAME?</v>
      </c>
      <c r="BJ191" s="48" t="e">
        <v>#NAME?</v>
      </c>
      <c r="BK191" s="48" t="e">
        <v>#NAME?</v>
      </c>
      <c r="BL191" s="48" t="e">
        <v>#NAME?</v>
      </c>
      <c r="BM191" s="48" t="e">
        <v>#NAME?</v>
      </c>
      <c r="BN191" s="48" t="e">
        <v>#NAME?</v>
      </c>
      <c r="BO191" s="48" t="e">
        <v>#NAME?</v>
      </c>
      <c r="BP191" s="48" t="e">
        <v>#NAME?</v>
      </c>
      <c r="BQ191" s="48" t="e">
        <v>#NAME?</v>
      </c>
      <c r="BR191" s="48" t="e">
        <v>#NAME?</v>
      </c>
      <c r="BS191" s="48" t="e">
        <v>#NAME?</v>
      </c>
      <c r="BT191" s="48" t="e">
        <v>#NAME?</v>
      </c>
      <c r="BU191" s="48" t="e">
        <v>#NAME?</v>
      </c>
      <c r="BV191" s="48" t="e">
        <v>#NAME?</v>
      </c>
      <c r="BW191" s="48" t="e">
        <v>#NAME?</v>
      </c>
      <c r="BX191" s="48" t="e">
        <v>#NAME?</v>
      </c>
      <c r="BY191" s="48" t="e">
        <v>#NAME?</v>
      </c>
      <c r="BZ191" s="48" t="e">
        <v>#NAME?</v>
      </c>
      <c r="CA191" s="48" t="e">
        <v>#NAME?</v>
      </c>
      <c r="CB191" s="48" t="e">
        <v>#NAME?</v>
      </c>
      <c r="CC191" s="48" t="e">
        <v>#NAME?</v>
      </c>
      <c r="CD191" s="48" t="e">
        <v>#NAME?</v>
      </c>
      <c r="CE191" s="48" t="e">
        <v>#NAME?</v>
      </c>
      <c r="CF191" s="48" t="e">
        <v>#NAME?</v>
      </c>
      <c r="CG191" s="48" t="e">
        <v>#NAME?</v>
      </c>
      <c r="CH191" s="48" t="e">
        <v>#NAME?</v>
      </c>
    </row>
    <row r="192" spans="1:86">
      <c r="A192" t="s">
        <v>140</v>
      </c>
      <c r="B192">
        <v>0</v>
      </c>
      <c r="D192" s="35" t="s">
        <v>103</v>
      </c>
      <c r="E192" s="25" t="e">
        <v>#NAME?</v>
      </c>
      <c r="F192" s="25" t="e">
        <v>#NAME?</v>
      </c>
      <c r="G192" s="25" t="e">
        <v>#NAME?</v>
      </c>
      <c r="I192" s="25" t="e">
        <v>#NAME?</v>
      </c>
      <c r="K192" s="59"/>
      <c r="L192" s="51" t="e">
        <v>#NAME?</v>
      </c>
      <c r="M192" s="51" t="e">
        <v>#NAME?</v>
      </c>
      <c r="N192" s="51" t="e">
        <v>#NAME?</v>
      </c>
      <c r="P192" s="51" t="e">
        <v>#NAME?</v>
      </c>
      <c r="R192" s="60" t="s">
        <v>104</v>
      </c>
      <c r="S192" s="51" t="e">
        <v>#NAME?</v>
      </c>
      <c r="T192" s="51" t="e">
        <v>#NAME?</v>
      </c>
      <c r="U192" s="51" t="e">
        <v>#NAME?</v>
      </c>
      <c r="V192" s="51"/>
      <c r="W192" s="51" t="e">
        <v>#NAME?</v>
      </c>
      <c r="AX192" s="50"/>
      <c r="AY192" s="51"/>
      <c r="AZ192" s="51"/>
      <c r="BA192" s="51"/>
      <c r="BB192" s="51"/>
      <c r="BC192" s="51"/>
      <c r="BD192" s="51"/>
      <c r="BE192" s="51"/>
      <c r="BF192" s="51"/>
      <c r="BG192" s="51"/>
      <c r="BH192" s="51"/>
      <c r="BI192" s="51"/>
      <c r="BJ192" s="51"/>
      <c r="BK192" s="51"/>
      <c r="BL192" s="51"/>
      <c r="BM192" s="51"/>
      <c r="BN192" s="51"/>
      <c r="BO192" s="51"/>
      <c r="BP192" s="51"/>
      <c r="BQ192" s="51"/>
      <c r="BR192" s="51"/>
      <c r="BS192" s="51"/>
      <c r="BT192" s="51"/>
      <c r="BU192" s="51"/>
      <c r="BV192" s="51"/>
      <c r="BW192" s="51"/>
      <c r="BX192" s="51"/>
      <c r="BY192" s="51"/>
      <c r="BZ192" s="51"/>
      <c r="CA192" s="51"/>
      <c r="CB192" s="51"/>
      <c r="CC192" s="51"/>
      <c r="CD192" s="51"/>
      <c r="CE192" s="51"/>
      <c r="CF192" s="51"/>
      <c r="CG192" s="51"/>
      <c r="CH192" s="51"/>
    </row>
    <row r="193" spans="1:86" ht="15.75" thickBot="1">
      <c r="A193" t="s">
        <v>140</v>
      </c>
      <c r="B193">
        <v>0</v>
      </c>
      <c r="D193" s="56" t="s">
        <v>105</v>
      </c>
      <c r="E193" s="25" t="e">
        <v>#NAME?</v>
      </c>
      <c r="F193" s="25" t="e">
        <v>#NAME?</v>
      </c>
      <c r="G193" s="25" t="e">
        <v>#NAME?</v>
      </c>
      <c r="I193" s="25" t="e">
        <v>#NAME?</v>
      </c>
      <c r="K193" s="61" t="s">
        <v>106</v>
      </c>
      <c r="L193" s="25" t="e">
        <v>#NAME?</v>
      </c>
      <c r="M193" s="25" t="e">
        <v>#NAME?</v>
      </c>
      <c r="N193" s="25" t="e">
        <v>#NAME?</v>
      </c>
      <c r="P193" s="25" t="e">
        <v>#NAME?</v>
      </c>
      <c r="R193" s="62" t="s">
        <v>107</v>
      </c>
      <c r="S193" s="63" t="e">
        <v>#NAME?</v>
      </c>
      <c r="T193" s="63" t="e">
        <v>#NAME?</v>
      </c>
      <c r="U193" s="63" t="e">
        <v>#NAME?</v>
      </c>
      <c r="W193" s="63" t="e">
        <v>#NAME?</v>
      </c>
      <c r="AX193" s="53" t="s">
        <v>95</v>
      </c>
      <c r="AY193" s="25" t="e">
        <v>#NAME?</v>
      </c>
      <c r="AZ193" s="25" t="e">
        <v>#NAME?</v>
      </c>
      <c r="BA193" s="25" t="e">
        <v>#NAME?</v>
      </c>
      <c r="BB193" s="25" t="e">
        <v>#NAME?</v>
      </c>
      <c r="BC193" s="25" t="e">
        <v>#NAME?</v>
      </c>
      <c r="BD193" s="25" t="e">
        <v>#NAME?</v>
      </c>
      <c r="BE193" s="25" t="e">
        <v>#NAME?</v>
      </c>
      <c r="BF193" s="25" t="e">
        <v>#NAME?</v>
      </c>
      <c r="BG193" s="25" t="e">
        <v>#NAME?</v>
      </c>
      <c r="BH193" s="25" t="e">
        <v>#NAME?</v>
      </c>
      <c r="BI193" s="25" t="e">
        <v>#NAME?</v>
      </c>
      <c r="BJ193" s="25" t="e">
        <v>#NAME?</v>
      </c>
      <c r="BK193" s="25" t="e">
        <v>#NAME?</v>
      </c>
      <c r="BL193" s="25" t="e">
        <v>#NAME?</v>
      </c>
      <c r="BM193" s="25" t="e">
        <v>#NAME?</v>
      </c>
      <c r="BN193" s="25" t="e">
        <v>#NAME?</v>
      </c>
      <c r="BO193" s="25" t="e">
        <v>#NAME?</v>
      </c>
      <c r="BP193" s="25" t="e">
        <v>#NAME?</v>
      </c>
      <c r="BQ193" s="25" t="e">
        <v>#NAME?</v>
      </c>
      <c r="BR193" s="25" t="e">
        <v>#NAME?</v>
      </c>
      <c r="BS193" s="25" t="e">
        <v>#NAME?</v>
      </c>
      <c r="BT193" s="25" t="e">
        <v>#NAME?</v>
      </c>
      <c r="BU193" s="25" t="e">
        <v>#NAME?</v>
      </c>
      <c r="BV193" s="25" t="e">
        <v>#NAME?</v>
      </c>
      <c r="BW193" s="25" t="e">
        <v>#NAME?</v>
      </c>
      <c r="BX193" s="25" t="e">
        <v>#NAME?</v>
      </c>
      <c r="BY193" s="25" t="e">
        <v>#NAME?</v>
      </c>
      <c r="BZ193" s="25" t="e">
        <v>#NAME?</v>
      </c>
      <c r="CA193" s="25" t="e">
        <v>#NAME?</v>
      </c>
      <c r="CB193" s="25" t="e">
        <v>#NAME?</v>
      </c>
      <c r="CC193" s="25" t="e">
        <v>#NAME?</v>
      </c>
      <c r="CD193" s="25" t="e">
        <v>#NAME?</v>
      </c>
      <c r="CE193" s="25" t="e">
        <v>#NAME?</v>
      </c>
      <c r="CF193" s="25" t="e">
        <v>#NAME?</v>
      </c>
      <c r="CG193" s="25" t="e">
        <v>#NAME?</v>
      </c>
      <c r="CH193" s="25" t="e">
        <v>#NAME?</v>
      </c>
    </row>
    <row r="194" spans="1:86">
      <c r="A194" t="s">
        <v>140</v>
      </c>
      <c r="B194">
        <v>0</v>
      </c>
      <c r="D194" s="40" t="s">
        <v>108</v>
      </c>
      <c r="E194" s="25" t="e">
        <v>#NAME?</v>
      </c>
      <c r="F194" s="25" t="e">
        <v>#NAME?</v>
      </c>
      <c r="G194" s="25" t="e">
        <v>#NAME?</v>
      </c>
      <c r="I194" s="25" t="e">
        <v>#NAME?</v>
      </c>
      <c r="K194" s="61" t="s">
        <v>109</v>
      </c>
      <c r="L194" s="25" t="e">
        <v>#NAME?</v>
      </c>
      <c r="M194" s="25" t="e">
        <v>#NAME?</v>
      </c>
      <c r="N194" s="25" t="e">
        <v>#NAME?</v>
      </c>
      <c r="P194" s="25" t="e">
        <v>#NAME?</v>
      </c>
      <c r="AX194" s="53" t="s">
        <v>98</v>
      </c>
      <c r="AY194" s="25" t="e">
        <v>#NAME?</v>
      </c>
      <c r="AZ194" s="25" t="e">
        <v>#NAME?</v>
      </c>
      <c r="BA194" s="25" t="e">
        <v>#NAME?</v>
      </c>
      <c r="BB194" s="25" t="e">
        <v>#NAME?</v>
      </c>
      <c r="BC194" s="25" t="e">
        <v>#NAME?</v>
      </c>
      <c r="BD194" s="25" t="e">
        <v>#NAME?</v>
      </c>
      <c r="BE194" s="25" t="e">
        <v>#NAME?</v>
      </c>
      <c r="BF194" s="25" t="e">
        <v>#NAME?</v>
      </c>
      <c r="BG194" s="25" t="e">
        <v>#NAME?</v>
      </c>
      <c r="BH194" s="25" t="e">
        <v>#NAME?</v>
      </c>
      <c r="BI194" s="25" t="e">
        <v>#NAME?</v>
      </c>
      <c r="BJ194" s="25" t="e">
        <v>#NAME?</v>
      </c>
      <c r="BK194" s="25" t="e">
        <v>#NAME?</v>
      </c>
      <c r="BL194" s="25" t="e">
        <v>#NAME?</v>
      </c>
      <c r="BM194" s="25" t="e">
        <v>#NAME?</v>
      </c>
      <c r="BN194" s="25" t="e">
        <v>#NAME?</v>
      </c>
      <c r="BO194" s="25" t="e">
        <v>#NAME?</v>
      </c>
      <c r="BP194" s="25" t="e">
        <v>#NAME?</v>
      </c>
      <c r="BQ194" s="25" t="e">
        <v>#NAME?</v>
      </c>
      <c r="BR194" s="25" t="e">
        <v>#NAME?</v>
      </c>
      <c r="BS194" s="25" t="e">
        <v>#NAME?</v>
      </c>
      <c r="BT194" s="25" t="e">
        <v>#NAME?</v>
      </c>
      <c r="BU194" s="25" t="e">
        <v>#NAME?</v>
      </c>
      <c r="BV194" s="25" t="e">
        <v>#NAME?</v>
      </c>
      <c r="BW194" s="25" t="e">
        <v>#NAME?</v>
      </c>
      <c r="BX194" s="25" t="e">
        <v>#NAME?</v>
      </c>
      <c r="BY194" s="25" t="e">
        <v>#NAME?</v>
      </c>
      <c r="BZ194" s="25" t="e">
        <v>#NAME?</v>
      </c>
      <c r="CA194" s="25" t="e">
        <v>#NAME?</v>
      </c>
      <c r="CB194" s="25" t="e">
        <v>#NAME?</v>
      </c>
      <c r="CC194" s="25" t="e">
        <v>#NAME?</v>
      </c>
      <c r="CD194" s="25" t="e">
        <v>#NAME?</v>
      </c>
      <c r="CE194" s="25" t="e">
        <v>#NAME?</v>
      </c>
      <c r="CF194" s="25" t="e">
        <v>#NAME?</v>
      </c>
      <c r="CG194" s="25" t="e">
        <v>#NAME?</v>
      </c>
      <c r="CH194" s="25" t="e">
        <v>#NAME?</v>
      </c>
    </row>
    <row r="195" spans="1:86">
      <c r="A195" t="s">
        <v>140</v>
      </c>
      <c r="B195">
        <v>0</v>
      </c>
      <c r="D195" s="40" t="s">
        <v>110</v>
      </c>
      <c r="E195" s="25" t="e">
        <v>#NAME?</v>
      </c>
      <c r="F195" s="25" t="e">
        <v>#NAME?</v>
      </c>
      <c r="G195" s="25" t="e">
        <v>#NAME?</v>
      </c>
      <c r="I195" s="25" t="e">
        <v>#NAME?</v>
      </c>
      <c r="K195" s="64" t="s">
        <v>111</v>
      </c>
      <c r="L195" s="25" t="e">
        <v>#NAME?</v>
      </c>
      <c r="M195" s="25" t="e">
        <v>#NAME?</v>
      </c>
      <c r="N195" s="25" t="e">
        <v>#NAME?</v>
      </c>
      <c r="P195" s="25" t="e">
        <v>#NAME?</v>
      </c>
      <c r="AX195" s="45" t="s">
        <v>99</v>
      </c>
      <c r="AY195" s="46" t="e">
        <v>#NAME?</v>
      </c>
      <c r="AZ195" s="46" t="e">
        <v>#NAME?</v>
      </c>
      <c r="BA195" s="46" t="e">
        <v>#NAME?</v>
      </c>
      <c r="BB195" s="46" t="e">
        <v>#NAME?</v>
      </c>
      <c r="BC195" s="46" t="e">
        <v>#NAME?</v>
      </c>
      <c r="BD195" s="46" t="e">
        <v>#NAME?</v>
      </c>
      <c r="BE195" s="46" t="e">
        <v>#NAME?</v>
      </c>
      <c r="BF195" s="46" t="e">
        <v>#NAME?</v>
      </c>
      <c r="BG195" s="46" t="e">
        <v>#NAME?</v>
      </c>
      <c r="BH195" s="46" t="e">
        <v>#NAME?</v>
      </c>
      <c r="BI195" s="46" t="e">
        <v>#NAME?</v>
      </c>
      <c r="BJ195" s="46" t="e">
        <v>#NAME?</v>
      </c>
      <c r="BK195" s="46" t="e">
        <v>#NAME?</v>
      </c>
      <c r="BL195" s="46" t="e">
        <v>#NAME?</v>
      </c>
      <c r="BM195" s="46" t="e">
        <v>#NAME?</v>
      </c>
      <c r="BN195" s="46" t="e">
        <v>#NAME?</v>
      </c>
      <c r="BO195" s="46" t="e">
        <v>#NAME?</v>
      </c>
      <c r="BP195" s="46" t="e">
        <v>#NAME?</v>
      </c>
      <c r="BQ195" s="46" t="e">
        <v>#NAME?</v>
      </c>
      <c r="BR195" s="46" t="e">
        <v>#NAME?</v>
      </c>
      <c r="BS195" s="46" t="e">
        <v>#NAME?</v>
      </c>
      <c r="BT195" s="46" t="e">
        <v>#NAME?</v>
      </c>
      <c r="BU195" s="46" t="e">
        <v>#NAME?</v>
      </c>
      <c r="BV195" s="46" t="e">
        <v>#NAME?</v>
      </c>
      <c r="BW195" s="46" t="e">
        <v>#NAME?</v>
      </c>
      <c r="BX195" s="46" t="e">
        <v>#NAME?</v>
      </c>
      <c r="BY195" s="46" t="e">
        <v>#NAME?</v>
      </c>
      <c r="BZ195" s="46" t="e">
        <v>#NAME?</v>
      </c>
      <c r="CA195" s="46" t="e">
        <v>#NAME?</v>
      </c>
      <c r="CB195" s="46" t="e">
        <v>#NAME?</v>
      </c>
      <c r="CC195" s="46" t="e">
        <v>#NAME?</v>
      </c>
      <c r="CD195" s="46" t="e">
        <v>#NAME?</v>
      </c>
      <c r="CE195" s="46" t="e">
        <v>#NAME?</v>
      </c>
      <c r="CF195" s="46" t="e">
        <v>#NAME?</v>
      </c>
      <c r="CG195" s="46" t="e">
        <v>#NAME?</v>
      </c>
      <c r="CH195" s="46" t="e">
        <v>#NAME?</v>
      </c>
    </row>
    <row r="196" spans="1:86">
      <c r="A196" t="s">
        <v>140</v>
      </c>
      <c r="B196">
        <v>0</v>
      </c>
      <c r="D196" s="65" t="s">
        <v>112</v>
      </c>
      <c r="E196" s="25" t="e">
        <v>#NAME?</v>
      </c>
      <c r="F196" s="25" t="e">
        <v>#NAME?</v>
      </c>
      <c r="G196" s="25" t="e">
        <v>#NAME?</v>
      </c>
      <c r="I196" s="25" t="e">
        <v>#NAME?</v>
      </c>
      <c r="K196" s="45" t="s">
        <v>113</v>
      </c>
      <c r="L196" s="46" t="e">
        <v>#NAME?</v>
      </c>
      <c r="M196" s="46" t="e">
        <v>#NAME?</v>
      </c>
      <c r="N196" s="46" t="e">
        <v>#NAME?</v>
      </c>
      <c r="P196" s="46" t="e">
        <v>#NAME?</v>
      </c>
      <c r="AX196" s="47" t="s">
        <v>101</v>
      </c>
      <c r="AY196" s="48" t="e">
        <v>#NAME?</v>
      </c>
      <c r="AZ196" s="48" t="e">
        <v>#NAME?</v>
      </c>
      <c r="BA196" s="48" t="e">
        <v>#NAME?</v>
      </c>
      <c r="BB196" s="48" t="e">
        <v>#NAME?</v>
      </c>
      <c r="BC196" s="48" t="e">
        <v>#NAME?</v>
      </c>
      <c r="BD196" s="48" t="e">
        <v>#NAME?</v>
      </c>
      <c r="BE196" s="48" t="e">
        <v>#NAME?</v>
      </c>
      <c r="BF196" s="48" t="e">
        <v>#NAME?</v>
      </c>
      <c r="BG196" s="48" t="e">
        <v>#NAME?</v>
      </c>
      <c r="BH196" s="48" t="e">
        <v>#NAME?</v>
      </c>
      <c r="BI196" s="48" t="e">
        <v>#NAME?</v>
      </c>
      <c r="BJ196" s="48" t="e">
        <v>#NAME?</v>
      </c>
      <c r="BK196" s="48" t="e">
        <v>#NAME?</v>
      </c>
      <c r="BL196" s="48" t="e">
        <v>#NAME?</v>
      </c>
      <c r="BM196" s="48" t="e">
        <v>#NAME?</v>
      </c>
      <c r="BN196" s="48" t="e">
        <v>#NAME?</v>
      </c>
      <c r="BO196" s="48" t="e">
        <v>#NAME?</v>
      </c>
      <c r="BP196" s="48" t="e">
        <v>#NAME?</v>
      </c>
      <c r="BQ196" s="48" t="e">
        <v>#NAME?</v>
      </c>
      <c r="BR196" s="48" t="e">
        <v>#NAME?</v>
      </c>
      <c r="BS196" s="48" t="e">
        <v>#NAME?</v>
      </c>
      <c r="BT196" s="48" t="e">
        <v>#NAME?</v>
      </c>
      <c r="BU196" s="48" t="e">
        <v>#NAME?</v>
      </c>
      <c r="BV196" s="48" t="e">
        <v>#NAME?</v>
      </c>
      <c r="BW196" s="48" t="e">
        <v>#NAME?</v>
      </c>
      <c r="BX196" s="48" t="e">
        <v>#NAME?</v>
      </c>
      <c r="BY196" s="48" t="e">
        <v>#NAME?</v>
      </c>
      <c r="BZ196" s="48" t="e">
        <v>#NAME?</v>
      </c>
      <c r="CA196" s="48" t="e">
        <v>#NAME?</v>
      </c>
      <c r="CB196" s="48" t="e">
        <v>#NAME?</v>
      </c>
      <c r="CC196" s="48" t="e">
        <v>#NAME?</v>
      </c>
      <c r="CD196" s="48" t="e">
        <v>#NAME?</v>
      </c>
      <c r="CE196" s="48" t="e">
        <v>#NAME?</v>
      </c>
      <c r="CF196" s="48" t="e">
        <v>#NAME?</v>
      </c>
      <c r="CG196" s="48" t="e">
        <v>#NAME?</v>
      </c>
      <c r="CH196" s="48" t="e">
        <v>#NAME?</v>
      </c>
    </row>
    <row r="197" spans="1:86">
      <c r="A197" t="s">
        <v>140</v>
      </c>
      <c r="B197">
        <v>0</v>
      </c>
      <c r="D197" s="66" t="s">
        <v>114</v>
      </c>
      <c r="E197" s="25" t="e">
        <v>#NAME?</v>
      </c>
      <c r="F197" s="25" t="e">
        <v>#NAME?</v>
      </c>
      <c r="G197" s="25" t="e">
        <v>#NAME?</v>
      </c>
      <c r="I197" s="25" t="e">
        <v>#NAME?</v>
      </c>
      <c r="K197" s="67" t="s">
        <v>115</v>
      </c>
      <c r="L197" s="48" t="e">
        <v>#NAME?</v>
      </c>
      <c r="M197" s="48" t="e">
        <v>#NAME?</v>
      </c>
      <c r="N197" s="48" t="e">
        <v>#NAME?</v>
      </c>
      <c r="P197" s="48" t="e">
        <v>#NAME?</v>
      </c>
      <c r="AX197" s="59"/>
      <c r="AY197" s="51"/>
      <c r="AZ197" s="51"/>
      <c r="BA197" s="51"/>
      <c r="BB197" s="51"/>
      <c r="BC197" s="51"/>
      <c r="BD197" s="51"/>
      <c r="BE197" s="51"/>
      <c r="BF197" s="51"/>
      <c r="BG197" s="51"/>
      <c r="BH197" s="51"/>
      <c r="BI197" s="51"/>
      <c r="BJ197" s="51"/>
      <c r="BK197" s="51"/>
      <c r="BL197" s="51"/>
      <c r="BM197" s="51"/>
      <c r="BN197" s="51"/>
      <c r="BO197" s="51"/>
      <c r="BP197" s="51"/>
      <c r="BQ197" s="51"/>
      <c r="BR197" s="51"/>
      <c r="BS197" s="51"/>
      <c r="BT197" s="51"/>
      <c r="BU197" s="51"/>
      <c r="BV197" s="51"/>
      <c r="BW197" s="51"/>
      <c r="BX197" s="51"/>
      <c r="BY197" s="51"/>
      <c r="BZ197" s="51"/>
      <c r="CA197" s="51"/>
      <c r="CB197" s="51"/>
      <c r="CC197" s="51"/>
      <c r="CD197" s="51"/>
      <c r="CE197" s="51"/>
      <c r="CF197" s="51"/>
      <c r="CG197" s="51"/>
      <c r="CH197" s="51"/>
    </row>
    <row r="198" spans="1:86">
      <c r="A198" t="s">
        <v>140</v>
      </c>
      <c r="B198">
        <v>0</v>
      </c>
      <c r="D198" s="65" t="s">
        <v>116</v>
      </c>
      <c r="E198" s="25" t="e">
        <v>#NAME?</v>
      </c>
      <c r="F198" s="25" t="e">
        <v>#NAME?</v>
      </c>
      <c r="G198" s="25" t="e">
        <v>#NAME?</v>
      </c>
      <c r="I198" s="25" t="e">
        <v>#NAME?</v>
      </c>
      <c r="K198" s="47"/>
      <c r="L198" s="51" t="e">
        <v>#NAME?</v>
      </c>
      <c r="M198" s="51" t="e">
        <v>#NAME?</v>
      </c>
      <c r="N198" s="51" t="e">
        <v>#NAME?</v>
      </c>
      <c r="P198" s="51" t="e">
        <v>#NAME?</v>
      </c>
      <c r="AX198" s="61" t="s">
        <v>106</v>
      </c>
      <c r="AY198" s="25" t="e">
        <v>#NAME?</v>
      </c>
      <c r="AZ198" s="25" t="e">
        <v>#NAME?</v>
      </c>
      <c r="BA198" s="25" t="e">
        <v>#NAME?</v>
      </c>
      <c r="BB198" s="25" t="e">
        <v>#NAME?</v>
      </c>
      <c r="BC198" s="25" t="e">
        <v>#NAME?</v>
      </c>
      <c r="BD198" s="25" t="e">
        <v>#NAME?</v>
      </c>
      <c r="BE198" s="25" t="e">
        <v>#NAME?</v>
      </c>
      <c r="BF198" s="25" t="e">
        <v>#NAME?</v>
      </c>
      <c r="BG198" s="25" t="e">
        <v>#NAME?</v>
      </c>
      <c r="BH198" s="25" t="e">
        <v>#NAME?</v>
      </c>
      <c r="BI198" s="25" t="e">
        <v>#NAME?</v>
      </c>
      <c r="BJ198" s="25" t="e">
        <v>#NAME?</v>
      </c>
      <c r="BK198" s="25" t="e">
        <v>#NAME?</v>
      </c>
      <c r="BL198" s="25" t="e">
        <v>#NAME?</v>
      </c>
      <c r="BM198" s="25" t="e">
        <v>#NAME?</v>
      </c>
      <c r="BN198" s="25" t="e">
        <v>#NAME?</v>
      </c>
      <c r="BO198" s="25" t="e">
        <v>#NAME?</v>
      </c>
      <c r="BP198" s="25" t="e">
        <v>#NAME?</v>
      </c>
      <c r="BQ198" s="25" t="e">
        <v>#NAME?</v>
      </c>
      <c r="BR198" s="25" t="e">
        <v>#NAME?</v>
      </c>
      <c r="BS198" s="25" t="e">
        <v>#NAME?</v>
      </c>
      <c r="BT198" s="25" t="e">
        <v>#NAME?</v>
      </c>
      <c r="BU198" s="25" t="e">
        <v>#NAME?</v>
      </c>
      <c r="BV198" s="25" t="e">
        <v>#NAME?</v>
      </c>
      <c r="BW198" s="25" t="e">
        <v>#NAME?</v>
      </c>
      <c r="BX198" s="25" t="e">
        <v>#NAME?</v>
      </c>
      <c r="BY198" s="25" t="e">
        <v>#NAME?</v>
      </c>
      <c r="BZ198" s="25" t="e">
        <v>#NAME?</v>
      </c>
      <c r="CA198" s="25" t="e">
        <v>#NAME?</v>
      </c>
      <c r="CB198" s="25" t="e">
        <v>#NAME?</v>
      </c>
      <c r="CC198" s="25" t="e">
        <v>#NAME?</v>
      </c>
      <c r="CD198" s="25" t="e">
        <v>#NAME?</v>
      </c>
      <c r="CE198" s="25" t="e">
        <v>#NAME?</v>
      </c>
      <c r="CF198" s="25" t="e">
        <v>#NAME?</v>
      </c>
      <c r="CG198" s="25" t="e">
        <v>#NAME?</v>
      </c>
      <c r="CH198" s="25" t="e">
        <v>#NAME?</v>
      </c>
    </row>
    <row r="199" spans="1:86">
      <c r="A199" t="s">
        <v>140</v>
      </c>
      <c r="B199">
        <v>0</v>
      </c>
      <c r="D199" s="35" t="s">
        <v>117</v>
      </c>
      <c r="E199" s="25" t="e">
        <v>#NAME?</v>
      </c>
      <c r="F199" s="25" t="e">
        <v>#NAME?</v>
      </c>
      <c r="G199" s="25" t="e">
        <v>#NAME?</v>
      </c>
      <c r="I199" s="25" t="e">
        <v>#NAME?</v>
      </c>
      <c r="K199" s="61" t="s">
        <v>118</v>
      </c>
      <c r="L199" s="25" t="e">
        <v>#NAME?</v>
      </c>
      <c r="M199" s="25" t="e">
        <v>#NAME?</v>
      </c>
      <c r="N199" s="25" t="e">
        <v>#NAME?</v>
      </c>
      <c r="P199" s="25" t="e">
        <v>#NAME?</v>
      </c>
      <c r="AX199" s="61" t="s">
        <v>109</v>
      </c>
      <c r="AY199" s="25" t="e">
        <v>#NAME?</v>
      </c>
      <c r="AZ199" s="25" t="e">
        <v>#NAME?</v>
      </c>
      <c r="BA199" s="25" t="e">
        <v>#NAME?</v>
      </c>
      <c r="BB199" s="25" t="e">
        <v>#NAME?</v>
      </c>
      <c r="BC199" s="25" t="e">
        <v>#NAME?</v>
      </c>
      <c r="BD199" s="25" t="e">
        <v>#NAME?</v>
      </c>
      <c r="BE199" s="25" t="e">
        <v>#NAME?</v>
      </c>
      <c r="BF199" s="25" t="e">
        <v>#NAME?</v>
      </c>
      <c r="BG199" s="25" t="e">
        <v>#NAME?</v>
      </c>
      <c r="BH199" s="25" t="e">
        <v>#NAME?</v>
      </c>
      <c r="BI199" s="25" t="e">
        <v>#NAME?</v>
      </c>
      <c r="BJ199" s="25" t="e">
        <v>#NAME?</v>
      </c>
      <c r="BK199" s="25" t="e">
        <v>#NAME?</v>
      </c>
      <c r="BL199" s="25" t="e">
        <v>#NAME?</v>
      </c>
      <c r="BM199" s="25" t="e">
        <v>#NAME?</v>
      </c>
      <c r="BN199" s="25" t="e">
        <v>#NAME?</v>
      </c>
      <c r="BO199" s="25" t="e">
        <v>#NAME?</v>
      </c>
      <c r="BP199" s="25" t="e">
        <v>#NAME?</v>
      </c>
      <c r="BQ199" s="25" t="e">
        <v>#NAME?</v>
      </c>
      <c r="BR199" s="25" t="e">
        <v>#NAME?</v>
      </c>
      <c r="BS199" s="25" t="e">
        <v>#NAME?</v>
      </c>
      <c r="BT199" s="25" t="e">
        <v>#NAME?</v>
      </c>
      <c r="BU199" s="25" t="e">
        <v>#NAME?</v>
      </c>
      <c r="BV199" s="25" t="e">
        <v>#NAME?</v>
      </c>
      <c r="BW199" s="25" t="e">
        <v>#NAME?</v>
      </c>
      <c r="BX199" s="25" t="e">
        <v>#NAME?</v>
      </c>
      <c r="BY199" s="25" t="e">
        <v>#NAME?</v>
      </c>
      <c r="BZ199" s="25" t="e">
        <v>#NAME?</v>
      </c>
      <c r="CA199" s="25" t="e">
        <v>#NAME?</v>
      </c>
      <c r="CB199" s="25" t="e">
        <v>#NAME?</v>
      </c>
      <c r="CC199" s="25" t="e">
        <v>#NAME?</v>
      </c>
      <c r="CD199" s="25" t="e">
        <v>#NAME?</v>
      </c>
      <c r="CE199" s="25" t="e">
        <v>#NAME?</v>
      </c>
      <c r="CF199" s="25" t="e">
        <v>#NAME?</v>
      </c>
      <c r="CG199" s="25" t="e">
        <v>#NAME?</v>
      </c>
      <c r="CH199" s="25" t="e">
        <v>#NAME?</v>
      </c>
    </row>
    <row r="200" spans="1:86">
      <c r="A200" t="s">
        <v>140</v>
      </c>
      <c r="B200">
        <v>0</v>
      </c>
      <c r="D200" s="68" t="s">
        <v>119</v>
      </c>
      <c r="E200" s="69" t="e">
        <v>#NAME?</v>
      </c>
      <c r="F200" s="69" t="e">
        <v>#NAME?</v>
      </c>
      <c r="G200" s="69" t="e">
        <v>#NAME?</v>
      </c>
      <c r="I200" s="69" t="e">
        <v>#NAME?</v>
      </c>
      <c r="K200" s="45" t="s">
        <v>120</v>
      </c>
      <c r="L200" s="46" t="e">
        <v>#NAME?</v>
      </c>
      <c r="M200" s="46" t="e">
        <v>#NAME?</v>
      </c>
      <c r="N200" s="46" t="e">
        <v>#NAME?</v>
      </c>
      <c r="P200" s="46" t="e">
        <v>#NAME?</v>
      </c>
      <c r="AX200" s="64" t="s">
        <v>111</v>
      </c>
      <c r="AY200" s="25" t="e">
        <v>#NAME?</v>
      </c>
      <c r="AZ200" s="25" t="e">
        <v>#NAME?</v>
      </c>
      <c r="BA200" s="25" t="e">
        <v>#NAME?</v>
      </c>
      <c r="BB200" s="25" t="e">
        <v>#NAME?</v>
      </c>
      <c r="BC200" s="25" t="e">
        <v>#NAME?</v>
      </c>
      <c r="BD200" s="25" t="e">
        <v>#NAME?</v>
      </c>
      <c r="BE200" s="25" t="e">
        <v>#NAME?</v>
      </c>
      <c r="BF200" s="25" t="e">
        <v>#NAME?</v>
      </c>
      <c r="BG200" s="25" t="e">
        <v>#NAME?</v>
      </c>
      <c r="BH200" s="25" t="e">
        <v>#NAME?</v>
      </c>
      <c r="BI200" s="25" t="e">
        <v>#NAME?</v>
      </c>
      <c r="BJ200" s="25" t="e">
        <v>#NAME?</v>
      </c>
      <c r="BK200" s="25" t="e">
        <v>#NAME?</v>
      </c>
      <c r="BL200" s="25" t="e">
        <v>#NAME?</v>
      </c>
      <c r="BM200" s="25" t="e">
        <v>#NAME?</v>
      </c>
      <c r="BN200" s="25" t="e">
        <v>#NAME?</v>
      </c>
      <c r="BO200" s="25" t="e">
        <v>#NAME?</v>
      </c>
      <c r="BP200" s="25" t="e">
        <v>#NAME?</v>
      </c>
      <c r="BQ200" s="25" t="e">
        <v>#NAME?</v>
      </c>
      <c r="BR200" s="25" t="e">
        <v>#NAME?</v>
      </c>
      <c r="BS200" s="25" t="e">
        <v>#NAME?</v>
      </c>
      <c r="BT200" s="25" t="e">
        <v>#NAME?</v>
      </c>
      <c r="BU200" s="25" t="e">
        <v>#NAME?</v>
      </c>
      <c r="BV200" s="25" t="e">
        <v>#NAME?</v>
      </c>
      <c r="BW200" s="25" t="e">
        <v>#NAME?</v>
      </c>
      <c r="BX200" s="25" t="e">
        <v>#NAME?</v>
      </c>
      <c r="BY200" s="25" t="e">
        <v>#NAME?</v>
      </c>
      <c r="BZ200" s="25" t="e">
        <v>#NAME?</v>
      </c>
      <c r="CA200" s="25" t="e">
        <v>#NAME?</v>
      </c>
      <c r="CB200" s="25" t="e">
        <v>#NAME?</v>
      </c>
      <c r="CC200" s="25" t="e">
        <v>#NAME?</v>
      </c>
      <c r="CD200" s="25" t="e">
        <v>#NAME?</v>
      </c>
      <c r="CE200" s="25" t="e">
        <v>#NAME?</v>
      </c>
      <c r="CF200" s="25" t="e">
        <v>#NAME?</v>
      </c>
      <c r="CG200" s="25" t="e">
        <v>#NAME?</v>
      </c>
      <c r="CH200" s="25" t="e">
        <v>#NAME?</v>
      </c>
    </row>
    <row r="201" spans="1:86">
      <c r="A201" t="s">
        <v>140</v>
      </c>
      <c r="B201">
        <v>0</v>
      </c>
      <c r="D201" s="70"/>
      <c r="E201" s="71" t="e">
        <v>#NAME?</v>
      </c>
      <c r="F201" s="71" t="e">
        <v>#NAME?</v>
      </c>
      <c r="G201" s="71" t="e">
        <v>#NAME?</v>
      </c>
      <c r="I201" s="71" t="e">
        <v>#NAME?</v>
      </c>
      <c r="K201" s="47"/>
      <c r="L201" s="51" t="e">
        <v>#NAME?</v>
      </c>
      <c r="M201" s="51" t="e">
        <v>#NAME?</v>
      </c>
      <c r="N201" s="51" t="e">
        <v>#NAME?</v>
      </c>
      <c r="P201" s="51" t="e">
        <v>#NAME?</v>
      </c>
      <c r="AX201" s="45" t="s">
        <v>113</v>
      </c>
      <c r="AY201" s="46" t="e">
        <v>#NAME?</v>
      </c>
      <c r="AZ201" s="46" t="e">
        <v>#NAME?</v>
      </c>
      <c r="BA201" s="46" t="e">
        <v>#NAME?</v>
      </c>
      <c r="BB201" s="46" t="e">
        <v>#NAME?</v>
      </c>
      <c r="BC201" s="46" t="e">
        <v>#NAME?</v>
      </c>
      <c r="BD201" s="46" t="e">
        <v>#NAME?</v>
      </c>
      <c r="BE201" s="46" t="e">
        <v>#NAME?</v>
      </c>
      <c r="BF201" s="46" t="e">
        <v>#NAME?</v>
      </c>
      <c r="BG201" s="46" t="e">
        <v>#NAME?</v>
      </c>
      <c r="BH201" s="46" t="e">
        <v>#NAME?</v>
      </c>
      <c r="BI201" s="46" t="e">
        <v>#NAME?</v>
      </c>
      <c r="BJ201" s="46" t="e">
        <v>#NAME?</v>
      </c>
      <c r="BK201" s="46" t="e">
        <v>#NAME?</v>
      </c>
      <c r="BL201" s="46" t="e">
        <v>#NAME?</v>
      </c>
      <c r="BM201" s="46" t="e">
        <v>#NAME?</v>
      </c>
      <c r="BN201" s="46" t="e">
        <v>#NAME?</v>
      </c>
      <c r="BO201" s="46" t="e">
        <v>#NAME?</v>
      </c>
      <c r="BP201" s="46" t="e">
        <v>#NAME?</v>
      </c>
      <c r="BQ201" s="46" t="e">
        <v>#NAME?</v>
      </c>
      <c r="BR201" s="46" t="e">
        <v>#NAME?</v>
      </c>
      <c r="BS201" s="46" t="e">
        <v>#NAME?</v>
      </c>
      <c r="BT201" s="46" t="e">
        <v>#NAME?</v>
      </c>
      <c r="BU201" s="46" t="e">
        <v>#NAME?</v>
      </c>
      <c r="BV201" s="46" t="e">
        <v>#NAME?</v>
      </c>
      <c r="BW201" s="46" t="e">
        <v>#NAME?</v>
      </c>
      <c r="BX201" s="46" t="e">
        <v>#NAME?</v>
      </c>
      <c r="BY201" s="46" t="e">
        <v>#NAME?</v>
      </c>
      <c r="BZ201" s="46" t="e">
        <v>#NAME?</v>
      </c>
      <c r="CA201" s="46" t="e">
        <v>#NAME?</v>
      </c>
      <c r="CB201" s="46" t="e">
        <v>#NAME?</v>
      </c>
      <c r="CC201" s="46" t="e">
        <v>#NAME?</v>
      </c>
      <c r="CD201" s="46" t="e">
        <v>#NAME?</v>
      </c>
      <c r="CE201" s="46" t="e">
        <v>#NAME?</v>
      </c>
      <c r="CF201" s="46" t="e">
        <v>#NAME?</v>
      </c>
      <c r="CG201" s="46" t="e">
        <v>#NAME?</v>
      </c>
      <c r="CH201" s="46" t="e">
        <v>#NAME?</v>
      </c>
    </row>
    <row r="202" spans="1:86">
      <c r="A202" t="s">
        <v>140</v>
      </c>
      <c r="B202">
        <v>0</v>
      </c>
      <c r="D202" s="58" t="s">
        <v>121</v>
      </c>
      <c r="E202" s="71" t="e">
        <v>#NAME?</v>
      </c>
      <c r="F202" s="71" t="e">
        <v>#NAME?</v>
      </c>
      <c r="G202" s="71" t="e">
        <v>#NAME?</v>
      </c>
      <c r="I202" s="71" t="e">
        <v>#NAME?</v>
      </c>
      <c r="K202" s="61" t="s">
        <v>122</v>
      </c>
      <c r="L202" s="25" t="e">
        <v>#NAME?</v>
      </c>
      <c r="M202" s="25" t="e">
        <v>#NAME?</v>
      </c>
      <c r="N202" s="25" t="e">
        <v>#NAME?</v>
      </c>
      <c r="P202" s="25" t="e">
        <v>#NAME?</v>
      </c>
      <c r="AX202" s="67" t="s">
        <v>115</v>
      </c>
      <c r="AY202" s="48" t="e">
        <v>#NAME?</v>
      </c>
      <c r="AZ202" s="48" t="e">
        <v>#NAME?</v>
      </c>
      <c r="BA202" s="48" t="e">
        <v>#NAME?</v>
      </c>
      <c r="BB202" s="48" t="e">
        <v>#NAME?</v>
      </c>
      <c r="BC202" s="48" t="e">
        <v>#NAME?</v>
      </c>
      <c r="BD202" s="48" t="e">
        <v>#NAME?</v>
      </c>
      <c r="BE202" s="48" t="e">
        <v>#NAME?</v>
      </c>
      <c r="BF202" s="48" t="e">
        <v>#NAME?</v>
      </c>
      <c r="BG202" s="48" t="e">
        <v>#NAME?</v>
      </c>
      <c r="BH202" s="48" t="e">
        <v>#NAME?</v>
      </c>
      <c r="BI202" s="48" t="e">
        <v>#NAME?</v>
      </c>
      <c r="BJ202" s="48" t="e">
        <v>#NAME?</v>
      </c>
      <c r="BK202" s="48" t="e">
        <v>#NAME?</v>
      </c>
      <c r="BL202" s="48" t="e">
        <v>#NAME?</v>
      </c>
      <c r="BM202" s="48" t="e">
        <v>#NAME?</v>
      </c>
      <c r="BN202" s="48" t="e">
        <v>#NAME?</v>
      </c>
      <c r="BO202" s="48" t="e">
        <v>#NAME?</v>
      </c>
      <c r="BP202" s="48" t="e">
        <v>#NAME?</v>
      </c>
      <c r="BQ202" s="48" t="e">
        <v>#NAME?</v>
      </c>
      <c r="BR202" s="48" t="e">
        <v>#NAME?</v>
      </c>
      <c r="BS202" s="48" t="e">
        <v>#NAME?</v>
      </c>
      <c r="BT202" s="48" t="e">
        <v>#NAME?</v>
      </c>
      <c r="BU202" s="48" t="e">
        <v>#NAME?</v>
      </c>
      <c r="BV202" s="48" t="e">
        <v>#NAME?</v>
      </c>
      <c r="BW202" s="48" t="e">
        <v>#NAME?</v>
      </c>
      <c r="BX202" s="48" t="e">
        <v>#NAME?</v>
      </c>
      <c r="BY202" s="48" t="e">
        <v>#NAME?</v>
      </c>
      <c r="BZ202" s="48" t="e">
        <v>#NAME?</v>
      </c>
      <c r="CA202" s="48" t="e">
        <v>#NAME?</v>
      </c>
      <c r="CB202" s="48" t="e">
        <v>#NAME?</v>
      </c>
      <c r="CC202" s="48" t="e">
        <v>#NAME?</v>
      </c>
      <c r="CD202" s="48" t="e">
        <v>#NAME?</v>
      </c>
      <c r="CE202" s="48" t="e">
        <v>#NAME?</v>
      </c>
      <c r="CF202" s="48" t="e">
        <v>#NAME?</v>
      </c>
      <c r="CG202" s="48" t="e">
        <v>#NAME?</v>
      </c>
      <c r="CH202" s="48" t="e">
        <v>#NAME?</v>
      </c>
    </row>
    <row r="203" spans="1:86">
      <c r="A203" t="s">
        <v>140</v>
      </c>
      <c r="B203">
        <v>0</v>
      </c>
      <c r="D203" s="35" t="s">
        <v>123</v>
      </c>
      <c r="E203" s="25" t="e">
        <v>#NAME?</v>
      </c>
      <c r="F203" s="25" t="e">
        <v>#NAME?</v>
      </c>
      <c r="G203" s="25" t="e">
        <v>#NAME?</v>
      </c>
      <c r="I203" s="25" t="e">
        <v>#NAME?</v>
      </c>
      <c r="K203" s="45" t="s">
        <v>124</v>
      </c>
      <c r="L203" s="46" t="e">
        <v>#NAME?</v>
      </c>
      <c r="M203" s="46" t="e">
        <v>#NAME?</v>
      </c>
      <c r="N203" s="46" t="e">
        <v>#NAME?</v>
      </c>
      <c r="P203" s="46" t="e">
        <v>#NAME?</v>
      </c>
      <c r="AX203" s="47"/>
      <c r="AY203" s="51"/>
      <c r="AZ203" s="51"/>
      <c r="BA203" s="51"/>
      <c r="BB203" s="51"/>
      <c r="BC203" s="51"/>
      <c r="BD203" s="51"/>
      <c r="BE203" s="51"/>
      <c r="BF203" s="51"/>
      <c r="BG203" s="51"/>
      <c r="BH203" s="51"/>
      <c r="BI203" s="51"/>
      <c r="BJ203" s="51"/>
      <c r="BK203" s="51"/>
      <c r="BL203" s="51"/>
      <c r="BM203" s="51"/>
      <c r="BN203" s="51"/>
      <c r="BO203" s="51"/>
      <c r="BP203" s="51"/>
      <c r="BQ203" s="51"/>
      <c r="BR203" s="51"/>
      <c r="BS203" s="51"/>
      <c r="BT203" s="51"/>
      <c r="BU203" s="51"/>
      <c r="BV203" s="51"/>
      <c r="BW203" s="51"/>
      <c r="BX203" s="51"/>
      <c r="BY203" s="51"/>
      <c r="BZ203" s="51"/>
      <c r="CA203" s="51"/>
      <c r="CB203" s="51"/>
      <c r="CC203" s="51"/>
      <c r="CD203" s="51"/>
      <c r="CE203" s="51"/>
      <c r="CF203" s="51"/>
      <c r="CG203" s="51"/>
      <c r="CH203" s="51"/>
    </row>
    <row r="204" spans="1:86">
      <c r="A204" t="s">
        <v>140</v>
      </c>
      <c r="B204">
        <v>0</v>
      </c>
      <c r="D204" s="35" t="s">
        <v>125</v>
      </c>
      <c r="E204" s="25" t="e">
        <v>#NAME?</v>
      </c>
      <c r="F204" s="25" t="e">
        <v>#NAME?</v>
      </c>
      <c r="G204" s="25" t="e">
        <v>#NAME?</v>
      </c>
      <c r="I204" s="25" t="e">
        <v>#NAME?</v>
      </c>
      <c r="K204" s="67" t="s">
        <v>4</v>
      </c>
      <c r="L204" s="48" t="e">
        <v>#NAME?</v>
      </c>
      <c r="M204" s="48" t="e">
        <v>#NAME?</v>
      </c>
      <c r="N204" s="48" t="e">
        <v>#NAME?</v>
      </c>
      <c r="P204" s="48" t="e">
        <v>#NAME?</v>
      </c>
      <c r="AX204" s="61" t="s">
        <v>118</v>
      </c>
      <c r="AY204" s="25" t="e">
        <v>#NAME?</v>
      </c>
      <c r="AZ204" s="25" t="e">
        <v>#NAME?</v>
      </c>
      <c r="BA204" s="25" t="e">
        <v>#NAME?</v>
      </c>
      <c r="BB204" s="25" t="e">
        <v>#NAME?</v>
      </c>
      <c r="BC204" s="25" t="e">
        <v>#NAME?</v>
      </c>
      <c r="BD204" s="25" t="e">
        <v>#NAME?</v>
      </c>
      <c r="BE204" s="25" t="e">
        <v>#NAME?</v>
      </c>
      <c r="BF204" s="25" t="e">
        <v>#NAME?</v>
      </c>
      <c r="BG204" s="25" t="e">
        <v>#NAME?</v>
      </c>
      <c r="BH204" s="25" t="e">
        <v>#NAME?</v>
      </c>
      <c r="BI204" s="25" t="e">
        <v>#NAME?</v>
      </c>
      <c r="BJ204" s="25" t="e">
        <v>#NAME?</v>
      </c>
      <c r="BK204" s="25" t="e">
        <v>#NAME?</v>
      </c>
      <c r="BL204" s="25" t="e">
        <v>#NAME?</v>
      </c>
      <c r="BM204" s="25" t="e">
        <v>#NAME?</v>
      </c>
      <c r="BN204" s="25" t="e">
        <v>#NAME?</v>
      </c>
      <c r="BO204" s="25" t="e">
        <v>#NAME?</v>
      </c>
      <c r="BP204" s="25" t="e">
        <v>#NAME?</v>
      </c>
      <c r="BQ204" s="25" t="e">
        <v>#NAME?</v>
      </c>
      <c r="BR204" s="25" t="e">
        <v>#NAME?</v>
      </c>
      <c r="BS204" s="25" t="e">
        <v>#NAME?</v>
      </c>
      <c r="BT204" s="25" t="e">
        <v>#NAME?</v>
      </c>
      <c r="BU204" s="25" t="e">
        <v>#NAME?</v>
      </c>
      <c r="BV204" s="25" t="e">
        <v>#NAME?</v>
      </c>
      <c r="BW204" s="25" t="e">
        <v>#NAME?</v>
      </c>
      <c r="BX204" s="25" t="e">
        <v>#NAME?</v>
      </c>
      <c r="BY204" s="25" t="e">
        <v>#NAME?</v>
      </c>
      <c r="BZ204" s="25" t="e">
        <v>#NAME?</v>
      </c>
      <c r="CA204" s="25" t="e">
        <v>#NAME?</v>
      </c>
      <c r="CB204" s="25" t="e">
        <v>#NAME?</v>
      </c>
      <c r="CC204" s="25" t="e">
        <v>#NAME?</v>
      </c>
      <c r="CD204" s="25" t="e">
        <v>#NAME?</v>
      </c>
      <c r="CE204" s="25" t="e">
        <v>#NAME?</v>
      </c>
      <c r="CF204" s="25" t="e">
        <v>#NAME?</v>
      </c>
      <c r="CG204" s="25" t="e">
        <v>#NAME?</v>
      </c>
      <c r="CH204" s="25" t="e">
        <v>#NAME?</v>
      </c>
    </row>
    <row r="205" spans="1:86">
      <c r="A205" t="s">
        <v>140</v>
      </c>
      <c r="B205">
        <v>0</v>
      </c>
      <c r="D205" s="68" t="s">
        <v>126</v>
      </c>
      <c r="E205" s="69" t="e">
        <v>#NAME?</v>
      </c>
      <c r="F205" s="69" t="e">
        <v>#NAME?</v>
      </c>
      <c r="G205" s="69" t="e">
        <v>#NAME?</v>
      </c>
      <c r="I205" s="69" t="e">
        <v>#NAME?</v>
      </c>
      <c r="K205" s="67"/>
      <c r="L205" s="74" t="e">
        <v>#NAME?</v>
      </c>
      <c r="M205" s="74" t="e">
        <v>#NAME?</v>
      </c>
      <c r="N205" s="74" t="e">
        <v>#NAME?</v>
      </c>
      <c r="P205" s="74" t="e">
        <v>#NAME?</v>
      </c>
      <c r="AX205" s="45" t="s">
        <v>120</v>
      </c>
      <c r="AY205" s="46" t="e">
        <v>#NAME?</v>
      </c>
      <c r="AZ205" s="46" t="e">
        <v>#NAME?</v>
      </c>
      <c r="BA205" s="46" t="e">
        <v>#NAME?</v>
      </c>
      <c r="BB205" s="46" t="e">
        <v>#NAME?</v>
      </c>
      <c r="BC205" s="46" t="e">
        <v>#NAME?</v>
      </c>
      <c r="BD205" s="46" t="e">
        <v>#NAME?</v>
      </c>
      <c r="BE205" s="46" t="e">
        <v>#NAME?</v>
      </c>
      <c r="BF205" s="46" t="e">
        <v>#NAME?</v>
      </c>
      <c r="BG205" s="46" t="e">
        <v>#NAME?</v>
      </c>
      <c r="BH205" s="46" t="e">
        <v>#NAME?</v>
      </c>
      <c r="BI205" s="46" t="e">
        <v>#NAME?</v>
      </c>
      <c r="BJ205" s="46" t="e">
        <v>#NAME?</v>
      </c>
      <c r="BK205" s="46" t="e">
        <v>#NAME?</v>
      </c>
      <c r="BL205" s="46" t="e">
        <v>#NAME?</v>
      </c>
      <c r="BM205" s="46" t="e">
        <v>#NAME?</v>
      </c>
      <c r="BN205" s="46" t="e">
        <v>#NAME?</v>
      </c>
      <c r="BO205" s="46" t="e">
        <v>#NAME?</v>
      </c>
      <c r="BP205" s="46" t="e">
        <v>#NAME?</v>
      </c>
      <c r="BQ205" s="46" t="e">
        <v>#NAME?</v>
      </c>
      <c r="BR205" s="46" t="e">
        <v>#NAME?</v>
      </c>
      <c r="BS205" s="46" t="e">
        <v>#NAME?</v>
      </c>
      <c r="BT205" s="46" t="e">
        <v>#NAME?</v>
      </c>
      <c r="BU205" s="46" t="e">
        <v>#NAME?</v>
      </c>
      <c r="BV205" s="46" t="e">
        <v>#NAME?</v>
      </c>
      <c r="BW205" s="46" t="e">
        <v>#NAME?</v>
      </c>
      <c r="BX205" s="46" t="e">
        <v>#NAME?</v>
      </c>
      <c r="BY205" s="46" t="e">
        <v>#NAME?</v>
      </c>
      <c r="BZ205" s="46" t="e">
        <v>#NAME?</v>
      </c>
      <c r="CA205" s="46" t="e">
        <v>#NAME?</v>
      </c>
      <c r="CB205" s="46" t="e">
        <v>#NAME?</v>
      </c>
      <c r="CC205" s="46" t="e">
        <v>#NAME?</v>
      </c>
      <c r="CD205" s="46" t="e">
        <v>#NAME?</v>
      </c>
      <c r="CE205" s="46" t="e">
        <v>#NAME?</v>
      </c>
      <c r="CF205" s="46" t="e">
        <v>#NAME?</v>
      </c>
      <c r="CG205" s="46" t="e">
        <v>#NAME?</v>
      </c>
      <c r="CH205" s="46" t="e">
        <v>#NAME?</v>
      </c>
    </row>
    <row r="206" spans="1:86" ht="15.75" thickBot="1">
      <c r="A206" t="s">
        <v>140</v>
      </c>
      <c r="B206">
        <v>0</v>
      </c>
      <c r="D206" s="75" t="s">
        <v>127</v>
      </c>
      <c r="E206" s="76" t="e">
        <v>#NAME?</v>
      </c>
      <c r="F206" s="76" t="e">
        <v>#NAME?</v>
      </c>
      <c r="G206" s="76" t="e">
        <v>#NAME?</v>
      </c>
      <c r="I206" s="76" t="e">
        <v>#NAME?</v>
      </c>
      <c r="K206" s="61" t="s">
        <v>128</v>
      </c>
      <c r="L206" s="25" t="e">
        <v>#NAME?</v>
      </c>
      <c r="M206" s="25" t="e">
        <v>#NAME?</v>
      </c>
      <c r="N206" s="25" t="e">
        <v>#NAME?</v>
      </c>
      <c r="P206" s="25" t="e">
        <v>#NAME?</v>
      </c>
      <c r="AX206" s="47"/>
      <c r="AY206" s="51"/>
      <c r="AZ206" s="51"/>
      <c r="BA206" s="51"/>
      <c r="BB206" s="51"/>
      <c r="BC206" s="51"/>
      <c r="BD206" s="51"/>
      <c r="BE206" s="51"/>
      <c r="BF206" s="51"/>
      <c r="BG206" s="51"/>
      <c r="BH206" s="51"/>
      <c r="BI206" s="51"/>
      <c r="BJ206" s="51"/>
      <c r="BK206" s="51"/>
      <c r="BL206" s="51"/>
      <c r="BM206" s="51"/>
      <c r="BN206" s="51"/>
      <c r="BO206" s="51"/>
      <c r="BP206" s="51"/>
      <c r="BQ206" s="51"/>
      <c r="BR206" s="51"/>
      <c r="BS206" s="51"/>
      <c r="BT206" s="51"/>
      <c r="BU206" s="51"/>
      <c r="BV206" s="51"/>
      <c r="BW206" s="51"/>
      <c r="BX206" s="51"/>
      <c r="BY206" s="51"/>
      <c r="BZ206" s="51"/>
      <c r="CA206" s="51"/>
      <c r="CB206" s="51"/>
      <c r="CC206" s="51"/>
      <c r="CD206" s="51"/>
      <c r="CE206" s="51"/>
      <c r="CF206" s="51"/>
      <c r="CG206" s="51"/>
      <c r="CH206" s="51"/>
    </row>
    <row r="207" spans="1:86">
      <c r="A207" t="s">
        <v>140</v>
      </c>
      <c r="B207">
        <v>0</v>
      </c>
      <c r="K207" s="45" t="s">
        <v>129</v>
      </c>
      <c r="L207" s="46" t="e">
        <v>#NAME?</v>
      </c>
      <c r="M207" s="46" t="e">
        <v>#NAME?</v>
      </c>
      <c r="N207" s="46" t="e">
        <v>#NAME?</v>
      </c>
      <c r="P207" s="46" t="e">
        <v>#NAME?</v>
      </c>
      <c r="AX207" s="61" t="s">
        <v>122</v>
      </c>
      <c r="AY207" s="25" t="e">
        <v>#NAME?</v>
      </c>
      <c r="AZ207" s="25" t="e">
        <v>#NAME?</v>
      </c>
      <c r="BA207" s="25" t="e">
        <v>#NAME?</v>
      </c>
      <c r="BB207" s="25" t="e">
        <v>#NAME?</v>
      </c>
      <c r="BC207" s="25" t="e">
        <v>#NAME?</v>
      </c>
      <c r="BD207" s="25" t="e">
        <v>#NAME?</v>
      </c>
      <c r="BE207" s="25" t="e">
        <v>#NAME?</v>
      </c>
      <c r="BF207" s="25" t="e">
        <v>#NAME?</v>
      </c>
      <c r="BG207" s="25" t="e">
        <v>#NAME?</v>
      </c>
      <c r="BH207" s="25" t="e">
        <v>#NAME?</v>
      </c>
      <c r="BI207" s="25" t="e">
        <v>#NAME?</v>
      </c>
      <c r="BJ207" s="25" t="e">
        <v>#NAME?</v>
      </c>
      <c r="BK207" s="25" t="e">
        <v>#NAME?</v>
      </c>
      <c r="BL207" s="25" t="e">
        <v>#NAME?</v>
      </c>
      <c r="BM207" s="25" t="e">
        <v>#NAME?</v>
      </c>
      <c r="BN207" s="25" t="e">
        <v>#NAME?</v>
      </c>
      <c r="BO207" s="25" t="e">
        <v>#NAME?</v>
      </c>
      <c r="BP207" s="25" t="e">
        <v>#NAME?</v>
      </c>
      <c r="BQ207" s="25" t="e">
        <v>#NAME?</v>
      </c>
      <c r="BR207" s="25" t="e">
        <v>#NAME?</v>
      </c>
      <c r="BS207" s="25" t="e">
        <v>#NAME?</v>
      </c>
      <c r="BT207" s="25" t="e">
        <v>#NAME?</v>
      </c>
      <c r="BU207" s="25" t="e">
        <v>#NAME?</v>
      </c>
      <c r="BV207" s="25" t="e">
        <v>#NAME?</v>
      </c>
      <c r="BW207" s="25" t="e">
        <v>#NAME?</v>
      </c>
      <c r="BX207" s="25" t="e">
        <v>#NAME?</v>
      </c>
      <c r="BY207" s="25" t="e">
        <v>#NAME?</v>
      </c>
      <c r="BZ207" s="25" t="e">
        <v>#NAME?</v>
      </c>
      <c r="CA207" s="25" t="e">
        <v>#NAME?</v>
      </c>
      <c r="CB207" s="25" t="e">
        <v>#NAME?</v>
      </c>
      <c r="CC207" s="25" t="e">
        <v>#NAME?</v>
      </c>
      <c r="CD207" s="25" t="e">
        <v>#NAME?</v>
      </c>
      <c r="CE207" s="25" t="e">
        <v>#NAME?</v>
      </c>
      <c r="CF207" s="25" t="e">
        <v>#NAME?</v>
      </c>
      <c r="CG207" s="25" t="e">
        <v>#NAME?</v>
      </c>
      <c r="CH207" s="25" t="e">
        <v>#NAME?</v>
      </c>
    </row>
    <row r="208" spans="1:86" ht="15.75" thickBot="1">
      <c r="A208" t="s">
        <v>140</v>
      </c>
      <c r="B208">
        <v>0</v>
      </c>
      <c r="K208" s="79"/>
      <c r="L208" s="48" t="e">
        <v>#NAME?</v>
      </c>
      <c r="M208" s="48" t="e">
        <v>#NAME?</v>
      </c>
      <c r="N208" s="48" t="e">
        <v>#NAME?</v>
      </c>
      <c r="P208" s="48" t="e">
        <v>#NAME?</v>
      </c>
      <c r="AX208" s="45" t="s">
        <v>124</v>
      </c>
      <c r="AY208" s="46" t="e">
        <v>#NAME?</v>
      </c>
      <c r="AZ208" s="46" t="e">
        <v>#NAME?</v>
      </c>
      <c r="BA208" s="46" t="e">
        <v>#NAME?</v>
      </c>
      <c r="BB208" s="46" t="e">
        <v>#NAME?</v>
      </c>
      <c r="BC208" s="46" t="e">
        <v>#NAME?</v>
      </c>
      <c r="BD208" s="46" t="e">
        <v>#NAME?</v>
      </c>
      <c r="BE208" s="46" t="e">
        <v>#NAME?</v>
      </c>
      <c r="BF208" s="46" t="e">
        <v>#NAME?</v>
      </c>
      <c r="BG208" s="46" t="e">
        <v>#NAME?</v>
      </c>
      <c r="BH208" s="46" t="e">
        <v>#NAME?</v>
      </c>
      <c r="BI208" s="46" t="e">
        <v>#NAME?</v>
      </c>
      <c r="BJ208" s="46" t="e">
        <v>#NAME?</v>
      </c>
      <c r="BK208" s="46" t="e">
        <v>#NAME?</v>
      </c>
      <c r="BL208" s="46" t="e">
        <v>#NAME?</v>
      </c>
      <c r="BM208" s="46" t="e">
        <v>#NAME?</v>
      </c>
      <c r="BN208" s="46" t="e">
        <v>#NAME?</v>
      </c>
      <c r="BO208" s="46" t="e">
        <v>#NAME?</v>
      </c>
      <c r="BP208" s="46" t="e">
        <v>#NAME?</v>
      </c>
      <c r="BQ208" s="46" t="e">
        <v>#NAME?</v>
      </c>
      <c r="BR208" s="46" t="e">
        <v>#NAME?</v>
      </c>
      <c r="BS208" s="46" t="e">
        <v>#NAME?</v>
      </c>
      <c r="BT208" s="46" t="e">
        <v>#NAME?</v>
      </c>
      <c r="BU208" s="46" t="e">
        <v>#NAME?</v>
      </c>
      <c r="BV208" s="46" t="e">
        <v>#NAME?</v>
      </c>
      <c r="BW208" s="46" t="e">
        <v>#NAME?</v>
      </c>
      <c r="BX208" s="46" t="e">
        <v>#NAME?</v>
      </c>
      <c r="BY208" s="46" t="e">
        <v>#NAME?</v>
      </c>
      <c r="BZ208" s="46" t="e">
        <v>#NAME?</v>
      </c>
      <c r="CA208" s="46" t="e">
        <v>#NAME?</v>
      </c>
      <c r="CB208" s="46" t="e">
        <v>#NAME?</v>
      </c>
      <c r="CC208" s="46" t="e">
        <v>#NAME?</v>
      </c>
      <c r="CD208" s="46" t="e">
        <v>#NAME?</v>
      </c>
      <c r="CE208" s="46" t="e">
        <v>#NAME?</v>
      </c>
      <c r="CF208" s="46" t="e">
        <v>#NAME?</v>
      </c>
      <c r="CG208" s="46" t="e">
        <v>#NAME?</v>
      </c>
      <c r="CH208" s="46" t="e">
        <v>#NAME?</v>
      </c>
    </row>
    <row r="209" spans="1:86">
      <c r="A209" t="s">
        <v>140</v>
      </c>
      <c r="B209">
        <v>0</v>
      </c>
      <c r="AX209" s="67" t="s">
        <v>4</v>
      </c>
      <c r="AY209" s="48" t="e">
        <v>#NAME?</v>
      </c>
      <c r="AZ209" s="48" t="e">
        <v>#NAME?</v>
      </c>
      <c r="BA209" s="48" t="e">
        <v>#NAME?</v>
      </c>
      <c r="BB209" s="48" t="e">
        <v>#NAME?</v>
      </c>
      <c r="BC209" s="48" t="e">
        <v>#NAME?</v>
      </c>
      <c r="BD209" s="48" t="e">
        <v>#NAME?</v>
      </c>
      <c r="BE209" s="48" t="e">
        <v>#NAME?</v>
      </c>
      <c r="BF209" s="48" t="e">
        <v>#NAME?</v>
      </c>
      <c r="BG209" s="48" t="e">
        <v>#NAME?</v>
      </c>
      <c r="BH209" s="48" t="e">
        <v>#NAME?</v>
      </c>
      <c r="BI209" s="48" t="e">
        <v>#NAME?</v>
      </c>
      <c r="BJ209" s="48" t="e">
        <v>#NAME?</v>
      </c>
      <c r="BK209" s="48" t="e">
        <v>#NAME?</v>
      </c>
      <c r="BL209" s="48" t="e">
        <v>#NAME?</v>
      </c>
      <c r="BM209" s="48" t="e">
        <v>#NAME?</v>
      </c>
      <c r="BN209" s="48" t="e">
        <v>#NAME?</v>
      </c>
      <c r="BO209" s="48" t="e">
        <v>#NAME?</v>
      </c>
      <c r="BP209" s="48" t="e">
        <v>#NAME?</v>
      </c>
      <c r="BQ209" s="48" t="e">
        <v>#NAME?</v>
      </c>
      <c r="BR209" s="48" t="e">
        <v>#NAME?</v>
      </c>
      <c r="BS209" s="48" t="e">
        <v>#NAME?</v>
      </c>
      <c r="BT209" s="48" t="e">
        <v>#NAME?</v>
      </c>
      <c r="BU209" s="48" t="e">
        <v>#NAME?</v>
      </c>
      <c r="BV209" s="48" t="e">
        <v>#NAME?</v>
      </c>
      <c r="BW209" s="48" t="e">
        <v>#NAME?</v>
      </c>
      <c r="BX209" s="48" t="e">
        <v>#NAME?</v>
      </c>
      <c r="BY209" s="48" t="e">
        <v>#NAME?</v>
      </c>
      <c r="BZ209" s="48" t="e">
        <v>#NAME?</v>
      </c>
      <c r="CA209" s="48" t="e">
        <v>#NAME?</v>
      </c>
      <c r="CB209" s="48" t="e">
        <v>#NAME?</v>
      </c>
      <c r="CC209" s="48" t="e">
        <v>#NAME?</v>
      </c>
      <c r="CD209" s="48" t="e">
        <v>#NAME?</v>
      </c>
      <c r="CE209" s="48" t="e">
        <v>#NAME?</v>
      </c>
      <c r="CF209" s="48" t="e">
        <v>#NAME?</v>
      </c>
      <c r="CG209" s="48" t="e">
        <v>#NAME?</v>
      </c>
      <c r="CH209" s="48" t="e">
        <v>#NAME?</v>
      </c>
    </row>
    <row r="210" spans="1:86">
      <c r="A210" t="s">
        <v>140</v>
      </c>
      <c r="B210">
        <v>0</v>
      </c>
      <c r="AX210" s="67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</row>
    <row r="211" spans="1:86">
      <c r="A211" t="s">
        <v>140</v>
      </c>
      <c r="B211">
        <v>0</v>
      </c>
      <c r="AX211" s="61" t="s">
        <v>128</v>
      </c>
      <c r="AY211" s="25" t="e">
        <v>#NAME?</v>
      </c>
      <c r="AZ211" s="25" t="e">
        <v>#NAME?</v>
      </c>
      <c r="BA211" s="25" t="e">
        <v>#NAME?</v>
      </c>
      <c r="BB211" s="25" t="e">
        <v>#NAME?</v>
      </c>
      <c r="BC211" s="25" t="e">
        <v>#NAME?</v>
      </c>
      <c r="BD211" s="25" t="e">
        <v>#NAME?</v>
      </c>
      <c r="BE211" s="25" t="e">
        <v>#NAME?</v>
      </c>
      <c r="BF211" s="25" t="e">
        <v>#NAME?</v>
      </c>
      <c r="BG211" s="25" t="e">
        <v>#NAME?</v>
      </c>
      <c r="BH211" s="25" t="e">
        <v>#NAME?</v>
      </c>
      <c r="BI211" s="25" t="e">
        <v>#NAME?</v>
      </c>
      <c r="BJ211" s="25" t="e">
        <v>#NAME?</v>
      </c>
      <c r="BK211" s="25" t="e">
        <v>#NAME?</v>
      </c>
      <c r="BL211" s="25" t="e">
        <v>#NAME?</v>
      </c>
      <c r="BM211" s="25" t="e">
        <v>#NAME?</v>
      </c>
      <c r="BN211" s="25" t="e">
        <v>#NAME?</v>
      </c>
      <c r="BO211" s="25" t="e">
        <v>#NAME?</v>
      </c>
      <c r="BP211" s="25" t="e">
        <v>#NAME?</v>
      </c>
      <c r="BQ211" s="25" t="e">
        <v>#NAME?</v>
      </c>
      <c r="BR211" s="25" t="e">
        <v>#NAME?</v>
      </c>
      <c r="BS211" s="25" t="e">
        <v>#NAME?</v>
      </c>
      <c r="BT211" s="25" t="e">
        <v>#NAME?</v>
      </c>
      <c r="BU211" s="25" t="e">
        <v>#NAME?</v>
      </c>
      <c r="BV211" s="25" t="e">
        <v>#NAME?</v>
      </c>
      <c r="BW211" s="25" t="e">
        <v>#NAME?</v>
      </c>
      <c r="BX211" s="25" t="e">
        <v>#NAME?</v>
      </c>
      <c r="BY211" s="25" t="e">
        <v>#NAME?</v>
      </c>
      <c r="BZ211" s="25" t="e">
        <v>#NAME?</v>
      </c>
      <c r="CA211" s="25" t="e">
        <v>#NAME?</v>
      </c>
      <c r="CB211" s="25" t="e">
        <v>#NAME?</v>
      </c>
      <c r="CC211" s="25" t="e">
        <v>#NAME?</v>
      </c>
      <c r="CD211" s="25" t="e">
        <v>#NAME?</v>
      </c>
      <c r="CE211" s="25" t="e">
        <v>#NAME?</v>
      </c>
      <c r="CF211" s="25" t="e">
        <v>#NAME?</v>
      </c>
      <c r="CG211" s="25" t="e">
        <v>#NAME?</v>
      </c>
      <c r="CH211" s="25" t="e">
        <v>#NAME?</v>
      </c>
    </row>
    <row r="212" spans="1:86">
      <c r="A212" t="s">
        <v>140</v>
      </c>
      <c r="B212">
        <v>0</v>
      </c>
      <c r="AX212" s="45" t="s">
        <v>129</v>
      </c>
      <c r="AY212" s="46" t="e">
        <v>#NAME?</v>
      </c>
      <c r="AZ212" s="46" t="e">
        <v>#NAME?</v>
      </c>
      <c r="BA212" s="46" t="e">
        <v>#NAME?</v>
      </c>
      <c r="BB212" s="46" t="e">
        <v>#NAME?</v>
      </c>
      <c r="BC212" s="46" t="e">
        <v>#NAME?</v>
      </c>
      <c r="BD212" s="46" t="e">
        <v>#NAME?</v>
      </c>
      <c r="BE212" s="46" t="e">
        <v>#NAME?</v>
      </c>
      <c r="BF212" s="46" t="e">
        <v>#NAME?</v>
      </c>
      <c r="BG212" s="46" t="e">
        <v>#NAME?</v>
      </c>
      <c r="BH212" s="46" t="e">
        <v>#NAME?</v>
      </c>
      <c r="BI212" s="46" t="e">
        <v>#NAME?</v>
      </c>
      <c r="BJ212" s="46" t="e">
        <v>#NAME?</v>
      </c>
      <c r="BK212" s="46" t="e">
        <v>#NAME?</v>
      </c>
      <c r="BL212" s="46" t="e">
        <v>#NAME?</v>
      </c>
      <c r="BM212" s="46" t="e">
        <v>#NAME?</v>
      </c>
      <c r="BN212" s="46" t="e">
        <v>#NAME?</v>
      </c>
      <c r="BO212" s="46" t="e">
        <v>#NAME?</v>
      </c>
      <c r="BP212" s="46" t="e">
        <v>#NAME?</v>
      </c>
      <c r="BQ212" s="46" t="e">
        <v>#NAME?</v>
      </c>
      <c r="BR212" s="46" t="e">
        <v>#NAME?</v>
      </c>
      <c r="BS212" s="46" t="e">
        <v>#NAME?</v>
      </c>
      <c r="BT212" s="46" t="e">
        <v>#NAME?</v>
      </c>
      <c r="BU212" s="46" t="e">
        <v>#NAME?</v>
      </c>
      <c r="BV212" s="46" t="e">
        <v>#NAME?</v>
      </c>
      <c r="BW212" s="46" t="e">
        <v>#NAME?</v>
      </c>
      <c r="BX212" s="46" t="e">
        <v>#NAME?</v>
      </c>
      <c r="BY212" s="46" t="e">
        <v>#NAME?</v>
      </c>
      <c r="BZ212" s="46" t="e">
        <v>#NAME?</v>
      </c>
      <c r="CA212" s="46" t="e">
        <v>#NAME?</v>
      </c>
      <c r="CB212" s="46" t="e">
        <v>#NAME?</v>
      </c>
      <c r="CC212" s="46" t="e">
        <v>#NAME?</v>
      </c>
      <c r="CD212" s="46" t="e">
        <v>#NAME?</v>
      </c>
      <c r="CE212" s="46" t="e">
        <v>#NAME?</v>
      </c>
      <c r="CF212" s="46" t="e">
        <v>#NAME?</v>
      </c>
      <c r="CG212" s="46" t="e">
        <v>#NAME?</v>
      </c>
      <c r="CH212" s="46" t="e">
        <v>#NAME?</v>
      </c>
    </row>
    <row r="213" spans="1:86" ht="15.75" thickBot="1">
      <c r="A213" t="s">
        <v>140</v>
      </c>
      <c r="B213">
        <v>0</v>
      </c>
      <c r="AX213" s="79"/>
      <c r="AY213" s="48" t="e">
        <v>#NAME?</v>
      </c>
      <c r="AZ213" s="48" t="e">
        <v>#NAME?</v>
      </c>
      <c r="BA213" s="48" t="e">
        <v>#NAME?</v>
      </c>
      <c r="BB213" s="48" t="e">
        <v>#NAME?</v>
      </c>
      <c r="BC213" s="48" t="e">
        <v>#NAME?</v>
      </c>
      <c r="BD213" s="48" t="e">
        <v>#NAME?</v>
      </c>
      <c r="BE213" s="48" t="e">
        <v>#NAME?</v>
      </c>
      <c r="BF213" s="48" t="e">
        <v>#NAME?</v>
      </c>
      <c r="BG213" s="48" t="e">
        <v>#NAME?</v>
      </c>
      <c r="BH213" s="48" t="e">
        <v>#NAME?</v>
      </c>
      <c r="BI213" s="48" t="e">
        <v>#NAME?</v>
      </c>
      <c r="BJ213" s="48" t="e">
        <v>#NAME?</v>
      </c>
      <c r="BK213" s="48" t="e">
        <v>#NAME?</v>
      </c>
      <c r="BL213" s="48" t="e">
        <v>#NAME?</v>
      </c>
      <c r="BM213" s="48" t="e">
        <v>#NAME?</v>
      </c>
      <c r="BN213" s="48" t="e">
        <v>#NAME?</v>
      </c>
      <c r="BO213" s="48" t="e">
        <v>#NAME?</v>
      </c>
      <c r="BP213" s="48" t="e">
        <v>#NAME?</v>
      </c>
      <c r="BQ213" s="48" t="e">
        <v>#NAME?</v>
      </c>
      <c r="BR213" s="48" t="e">
        <v>#NAME?</v>
      </c>
      <c r="BS213" s="48" t="e">
        <v>#NAME?</v>
      </c>
      <c r="BT213" s="48" t="e">
        <v>#NAME?</v>
      </c>
      <c r="BU213" s="48" t="e">
        <v>#NAME?</v>
      </c>
      <c r="BV213" s="48" t="e">
        <v>#NAME?</v>
      </c>
      <c r="BW213" s="48" t="e">
        <v>#NAME?</v>
      </c>
      <c r="BX213" s="48" t="e">
        <v>#NAME?</v>
      </c>
      <c r="BY213" s="48" t="e">
        <v>#NAME?</v>
      </c>
      <c r="BZ213" s="48" t="e">
        <v>#NAME?</v>
      </c>
      <c r="CA213" s="48" t="e">
        <v>#NAME?</v>
      </c>
      <c r="CB213" s="48" t="e">
        <v>#NAME?</v>
      </c>
      <c r="CC213" s="48" t="e">
        <v>#NAME?</v>
      </c>
      <c r="CD213" s="48" t="e">
        <v>#NAME?</v>
      </c>
      <c r="CE213" s="48" t="e">
        <v>#NAME?</v>
      </c>
      <c r="CF213" s="48" t="e">
        <v>#NAME?</v>
      </c>
      <c r="CG213" s="48" t="e">
        <v>#NAME?</v>
      </c>
      <c r="CH213" s="48" t="e">
        <v>#NAME?</v>
      </c>
    </row>
    <row r="214" spans="1:86">
      <c r="A214" t="s">
        <v>140</v>
      </c>
      <c r="B214">
        <v>0</v>
      </c>
    </row>
    <row r="215" spans="1:86" ht="15.75" thickBot="1">
      <c r="A215" t="s">
        <v>140</v>
      </c>
      <c r="B215">
        <v>0</v>
      </c>
      <c r="AY215" t="e">
        <v>#NUM!</v>
      </c>
      <c r="AZ215" t="e">
        <v>#NUM!</v>
      </c>
      <c r="BA215" t="e">
        <v>#NUM!</v>
      </c>
      <c r="BB215" t="e">
        <v>#NUM!</v>
      </c>
      <c r="BC215" t="e">
        <v>#NUM!</v>
      </c>
      <c r="BD215" t="e">
        <v>#NUM!</v>
      </c>
      <c r="BE215" t="e">
        <v>#NUM!</v>
      </c>
      <c r="BF215" t="e">
        <v>#NUM!</v>
      </c>
      <c r="BG215" t="e">
        <v>#NUM!</v>
      </c>
      <c r="BH215" t="e">
        <v>#NUM!</v>
      </c>
      <c r="BI215" t="e">
        <v>#NUM!</v>
      </c>
      <c r="BJ215" t="e">
        <v>#NUM!</v>
      </c>
      <c r="BK215" t="e">
        <v>#NUM!</v>
      </c>
      <c r="BL215" t="e">
        <v>#NUM!</v>
      </c>
      <c r="BM215" t="e">
        <v>#NUM!</v>
      </c>
      <c r="BN215" t="e">
        <v>#NUM!</v>
      </c>
      <c r="BO215" t="e">
        <v>#NUM!</v>
      </c>
      <c r="BP215" t="e">
        <v>#NUM!</v>
      </c>
      <c r="BQ215" t="e">
        <v>#NUM!</v>
      </c>
      <c r="BR215" t="e">
        <v>#NUM!</v>
      </c>
      <c r="BS215" t="e">
        <v>#NUM!</v>
      </c>
      <c r="BT215" t="e">
        <v>#NUM!</v>
      </c>
      <c r="BU215" t="e">
        <v>#NUM!</v>
      </c>
      <c r="BV215" t="e">
        <v>#NUM!</v>
      </c>
      <c r="BW215" t="e">
        <v>#NUM!</v>
      </c>
      <c r="BX215" t="e">
        <v>#NUM!</v>
      </c>
      <c r="BY215" t="e">
        <v>#NUM!</v>
      </c>
      <c r="BZ215" t="e">
        <v>#NUM!</v>
      </c>
      <c r="CA215" t="e">
        <v>#NUM!</v>
      </c>
      <c r="CB215" t="e">
        <v>#NUM!</v>
      </c>
      <c r="CC215" t="e">
        <v>#NUM!</v>
      </c>
      <c r="CD215" t="e">
        <v>#NUM!</v>
      </c>
      <c r="CE215" t="e">
        <v>#NUM!</v>
      </c>
      <c r="CF215" t="e">
        <v>#NUM!</v>
      </c>
      <c r="CG215" t="e">
        <v>#NUM!</v>
      </c>
      <c r="CH215" t="e">
        <v>#NUM!</v>
      </c>
    </row>
    <row r="216" spans="1:86" ht="15.75" thickBot="1">
      <c r="A216" t="s">
        <v>140</v>
      </c>
      <c r="B216">
        <v>0</v>
      </c>
      <c r="AY216" s="19" t="e">
        <v>#NUM!</v>
      </c>
      <c r="AZ216" s="19" t="e">
        <v>#NUM!</v>
      </c>
      <c r="BA216" s="19" t="e">
        <v>#NUM!</v>
      </c>
      <c r="BB216" s="19" t="e">
        <v>#NUM!</v>
      </c>
      <c r="BC216" s="19" t="e">
        <v>#NUM!</v>
      </c>
      <c r="BD216" s="19" t="e">
        <v>#NUM!</v>
      </c>
      <c r="BE216" s="19" t="e">
        <v>#NUM!</v>
      </c>
      <c r="BF216" s="19" t="e">
        <v>#NUM!</v>
      </c>
      <c r="BG216" s="19" t="e">
        <v>#NUM!</v>
      </c>
      <c r="BH216" s="19" t="e">
        <v>#NUM!</v>
      </c>
      <c r="BI216" s="19" t="e">
        <v>#NUM!</v>
      </c>
      <c r="BJ216" s="19" t="e">
        <v>#NUM!</v>
      </c>
      <c r="BK216" s="19" t="e">
        <v>#NUM!</v>
      </c>
      <c r="BL216" s="19" t="e">
        <v>#NUM!</v>
      </c>
      <c r="BM216" s="19" t="e">
        <v>#NUM!</v>
      </c>
      <c r="BN216" s="19" t="e">
        <v>#NUM!</v>
      </c>
      <c r="BO216" s="19" t="e">
        <v>#NUM!</v>
      </c>
      <c r="BP216" s="19" t="e">
        <v>#NUM!</v>
      </c>
      <c r="BQ216" s="19" t="e">
        <v>#NUM!</v>
      </c>
      <c r="BR216" s="19" t="e">
        <v>#NUM!</v>
      </c>
      <c r="BS216" s="19" t="e">
        <v>#NUM!</v>
      </c>
      <c r="BT216" s="19" t="e">
        <v>#NUM!</v>
      </c>
      <c r="BU216" s="19" t="e">
        <v>#NUM!</v>
      </c>
      <c r="BV216" s="19" t="e">
        <v>#NUM!</v>
      </c>
      <c r="BW216" s="19" t="e">
        <v>#NUM!</v>
      </c>
      <c r="BX216" s="19" t="e">
        <v>#NUM!</v>
      </c>
      <c r="BY216" s="19" t="e">
        <v>#NUM!</v>
      </c>
      <c r="BZ216" s="19" t="e">
        <v>#NUM!</v>
      </c>
      <c r="CA216" s="19" t="e">
        <v>#NUM!</v>
      </c>
      <c r="CB216" s="19" t="e">
        <v>#NUM!</v>
      </c>
      <c r="CC216" s="19" t="e">
        <v>#NUM!</v>
      </c>
      <c r="CD216" s="19" t="e">
        <v>#NUM!</v>
      </c>
      <c r="CE216" s="19" t="e">
        <v>#NUM!</v>
      </c>
      <c r="CF216" s="19" t="e">
        <v>#NUM!</v>
      </c>
      <c r="CG216" s="19" t="e">
        <v>#NUM!</v>
      </c>
      <c r="CH216" s="19" t="e">
        <v>#NUM!</v>
      </c>
    </row>
    <row r="217" spans="1:86" ht="15.75" thickBot="1">
      <c r="A217" t="s">
        <v>140</v>
      </c>
      <c r="B217">
        <v>0</v>
      </c>
      <c r="AX217" s="20" t="s">
        <v>440</v>
      </c>
      <c r="AY217" s="19">
        <v>0</v>
      </c>
      <c r="AZ217" s="19">
        <v>0</v>
      </c>
      <c r="BA217" s="19">
        <v>0</v>
      </c>
      <c r="BB217" s="19">
        <v>0</v>
      </c>
      <c r="BC217" s="19">
        <v>0</v>
      </c>
      <c r="BD217" s="19">
        <v>0</v>
      </c>
      <c r="BE217" s="19">
        <v>0</v>
      </c>
      <c r="BF217" s="19">
        <v>0</v>
      </c>
      <c r="BG217" s="19">
        <v>0</v>
      </c>
      <c r="BH217" s="19">
        <v>0</v>
      </c>
      <c r="BI217" s="19">
        <v>0</v>
      </c>
      <c r="BJ217" s="19">
        <v>0</v>
      </c>
      <c r="BK217" s="19">
        <v>0</v>
      </c>
      <c r="BL217" s="19">
        <v>0</v>
      </c>
      <c r="BM217" s="19">
        <v>0</v>
      </c>
      <c r="BN217" s="19">
        <v>0</v>
      </c>
      <c r="BO217" s="19">
        <v>0</v>
      </c>
      <c r="BP217" s="19">
        <v>0</v>
      </c>
      <c r="BQ217" s="19">
        <v>0</v>
      </c>
      <c r="BR217" s="19">
        <v>0</v>
      </c>
      <c r="BS217" s="19">
        <v>0</v>
      </c>
      <c r="BT217" s="19">
        <v>0</v>
      </c>
      <c r="BU217" s="19">
        <v>0</v>
      </c>
      <c r="BV217" s="19">
        <v>0</v>
      </c>
      <c r="BW217" s="19">
        <v>0</v>
      </c>
      <c r="BX217" s="19">
        <v>0</v>
      </c>
      <c r="BY217" s="19">
        <v>0</v>
      </c>
      <c r="BZ217" s="19">
        <v>0</v>
      </c>
      <c r="CA217" s="19">
        <v>0</v>
      </c>
      <c r="CB217" s="19">
        <v>0</v>
      </c>
      <c r="CC217" s="19">
        <v>0</v>
      </c>
      <c r="CD217" s="19">
        <v>0</v>
      </c>
      <c r="CE217" s="19">
        <v>0</v>
      </c>
      <c r="CF217" s="19">
        <v>0</v>
      </c>
      <c r="CG217" s="19">
        <v>0</v>
      </c>
      <c r="CH217" s="19">
        <v>4</v>
      </c>
    </row>
    <row r="218" spans="1:86">
      <c r="A218" t="s">
        <v>140</v>
      </c>
      <c r="B218">
        <v>0</v>
      </c>
      <c r="AX218" s="24" t="s">
        <v>65</v>
      </c>
      <c r="AY218" s="25"/>
      <c r="AZ218" s="25"/>
      <c r="BA218" s="25" t="e">
        <v>#NAME?</v>
      </c>
      <c r="BB218" s="25" t="e">
        <v>#NAME?</v>
      </c>
      <c r="BC218" s="25" t="e">
        <v>#NAME?</v>
      </c>
      <c r="BD218" s="25" t="e">
        <v>#NAME?</v>
      </c>
      <c r="BE218" s="25" t="e">
        <v>#NAME?</v>
      </c>
      <c r="BF218" s="25" t="e">
        <v>#NAME?</v>
      </c>
      <c r="BG218" s="25" t="e">
        <v>#NAME?</v>
      </c>
      <c r="BH218" s="25" t="e">
        <v>#NAME?</v>
      </c>
      <c r="BI218" s="25" t="e">
        <v>#NAME?</v>
      </c>
      <c r="BJ218" s="25" t="e">
        <v>#NAME?</v>
      </c>
      <c r="BK218" s="25" t="e">
        <v>#NAME?</v>
      </c>
      <c r="BL218" s="25" t="e">
        <v>#NAME?</v>
      </c>
      <c r="BM218" s="25" t="e">
        <v>#NAME?</v>
      </c>
      <c r="BN218" s="25" t="e">
        <v>#NAME?</v>
      </c>
      <c r="BO218" s="25" t="e">
        <v>#NAME?</v>
      </c>
      <c r="BP218" s="25" t="e">
        <v>#NAME?</v>
      </c>
      <c r="BQ218" s="25" t="e">
        <v>#NAME?</v>
      </c>
      <c r="BR218" s="25" t="e">
        <v>#NAME?</v>
      </c>
      <c r="BS218" s="25" t="e">
        <v>#NAME?</v>
      </c>
      <c r="BT218" s="25" t="e">
        <v>#NAME?</v>
      </c>
      <c r="BU218" s="25" t="e">
        <v>#NAME?</v>
      </c>
      <c r="BV218" s="25" t="e">
        <v>#NAME?</v>
      </c>
      <c r="BW218" s="25" t="e">
        <v>#NAME?</v>
      </c>
      <c r="BX218" s="25" t="e">
        <v>#NAME?</v>
      </c>
      <c r="BY218" s="25" t="e">
        <v>#NAME?</v>
      </c>
      <c r="BZ218" s="25" t="e">
        <v>#NAME?</v>
      </c>
      <c r="CA218" s="25" t="e">
        <v>#NAME?</v>
      </c>
      <c r="CB218" s="25" t="e">
        <v>#NAME?</v>
      </c>
      <c r="CC218" s="25" t="e">
        <v>#NAME?</v>
      </c>
      <c r="CD218" s="25" t="e">
        <v>#NAME?</v>
      </c>
      <c r="CE218" s="25" t="e">
        <v>#NAME?</v>
      </c>
      <c r="CF218" s="25" t="e">
        <v>#NAME?</v>
      </c>
      <c r="CG218" s="25" t="e">
        <v>#NAME?</v>
      </c>
      <c r="CH218" s="25" t="e">
        <v>#NAME?</v>
      </c>
    </row>
    <row r="219" spans="1:86">
      <c r="A219" t="s">
        <v>140</v>
      </c>
      <c r="B219">
        <v>0</v>
      </c>
      <c r="AX219" s="36" t="s">
        <v>67</v>
      </c>
      <c r="AY219" s="25"/>
      <c r="AZ219" s="25"/>
      <c r="BA219" s="25" t="e">
        <v>#NAME?</v>
      </c>
      <c r="BB219" s="25" t="e">
        <v>#NAME?</v>
      </c>
      <c r="BC219" s="25" t="e">
        <v>#NAME?</v>
      </c>
      <c r="BD219" s="25" t="e">
        <v>#NAME?</v>
      </c>
      <c r="BE219" s="25" t="e">
        <v>#NAME?</v>
      </c>
      <c r="BF219" s="25" t="e">
        <v>#NAME?</v>
      </c>
      <c r="BG219" s="25" t="e">
        <v>#NAME?</v>
      </c>
      <c r="BH219" s="25" t="e">
        <v>#NAME?</v>
      </c>
      <c r="BI219" s="25" t="e">
        <v>#NAME?</v>
      </c>
      <c r="BJ219" s="25" t="e">
        <v>#NAME?</v>
      </c>
      <c r="BK219" s="25" t="e">
        <v>#NAME?</v>
      </c>
      <c r="BL219" s="25" t="e">
        <v>#NAME?</v>
      </c>
      <c r="BM219" s="25" t="e">
        <v>#NAME?</v>
      </c>
      <c r="BN219" s="25" t="e">
        <v>#NAME?</v>
      </c>
      <c r="BO219" s="25" t="e">
        <v>#NAME?</v>
      </c>
      <c r="BP219" s="25" t="e">
        <v>#NAME?</v>
      </c>
      <c r="BQ219" s="25" t="e">
        <v>#NAME?</v>
      </c>
      <c r="BR219" s="25" t="e">
        <v>#NAME?</v>
      </c>
      <c r="BS219" s="25" t="e">
        <v>#NAME?</v>
      </c>
      <c r="BT219" s="25" t="e">
        <v>#NAME?</v>
      </c>
      <c r="BU219" s="25" t="e">
        <v>#NAME?</v>
      </c>
      <c r="BV219" s="25" t="e">
        <v>#NAME?</v>
      </c>
      <c r="BW219" s="25" t="e">
        <v>#NAME?</v>
      </c>
      <c r="BX219" s="25" t="e">
        <v>#NAME?</v>
      </c>
      <c r="BY219" s="25" t="e">
        <v>#NAME?</v>
      </c>
      <c r="BZ219" s="25" t="e">
        <v>#NAME?</v>
      </c>
      <c r="CA219" s="25" t="e">
        <v>#NAME?</v>
      </c>
      <c r="CB219" s="25" t="e">
        <v>#NAME?</v>
      </c>
      <c r="CC219" s="25" t="e">
        <v>#NAME?</v>
      </c>
      <c r="CD219" s="25" t="e">
        <v>#NAME?</v>
      </c>
      <c r="CE219" s="25" t="e">
        <v>#NAME?</v>
      </c>
      <c r="CF219" s="25" t="e">
        <v>#NAME?</v>
      </c>
      <c r="CG219" s="25" t="e">
        <v>#NAME?</v>
      </c>
      <c r="CH219" s="25" t="e">
        <v>#NAME?</v>
      </c>
    </row>
    <row r="220" spans="1:86">
      <c r="A220" t="s">
        <v>140</v>
      </c>
      <c r="B220">
        <v>0</v>
      </c>
      <c r="AX220" s="36" t="s">
        <v>72</v>
      </c>
      <c r="AY220" s="25"/>
      <c r="AZ220" s="25"/>
      <c r="BA220" s="25" t="e">
        <v>#NAME?</v>
      </c>
      <c r="BB220" s="25" t="e">
        <v>#NAME?</v>
      </c>
      <c r="BC220" s="25" t="e">
        <v>#NAME?</v>
      </c>
      <c r="BD220" s="25" t="e">
        <v>#NAME?</v>
      </c>
      <c r="BE220" s="25" t="e">
        <v>#NAME?</v>
      </c>
      <c r="BF220" s="25" t="e">
        <v>#NAME?</v>
      </c>
      <c r="BG220" s="25" t="e">
        <v>#NAME?</v>
      </c>
      <c r="BH220" s="25" t="e">
        <v>#NAME?</v>
      </c>
      <c r="BI220" s="25" t="e">
        <v>#NAME?</v>
      </c>
      <c r="BJ220" s="25" t="e">
        <v>#NAME?</v>
      </c>
      <c r="BK220" s="25" t="e">
        <v>#NAME?</v>
      </c>
      <c r="BL220" s="25" t="e">
        <v>#NAME?</v>
      </c>
      <c r="BM220" s="25" t="e">
        <v>#NAME?</v>
      </c>
      <c r="BN220" s="25" t="e">
        <v>#NAME?</v>
      </c>
      <c r="BO220" s="25" t="e">
        <v>#NAME?</v>
      </c>
      <c r="BP220" s="25" t="e">
        <v>#NAME?</v>
      </c>
      <c r="BQ220" s="25" t="e">
        <v>#NAME?</v>
      </c>
      <c r="BR220" s="25" t="e">
        <v>#NAME?</v>
      </c>
      <c r="BS220" s="25" t="e">
        <v>#NAME?</v>
      </c>
      <c r="BT220" s="25" t="e">
        <v>#NAME?</v>
      </c>
      <c r="BU220" s="25" t="e">
        <v>#NAME?</v>
      </c>
      <c r="BV220" s="25" t="e">
        <v>#NAME?</v>
      </c>
      <c r="BW220" s="25" t="e">
        <v>#NAME?</v>
      </c>
      <c r="BX220" s="25" t="e">
        <v>#NAME?</v>
      </c>
      <c r="BY220" s="25" t="e">
        <v>#NAME?</v>
      </c>
      <c r="BZ220" s="25" t="e">
        <v>#NAME?</v>
      </c>
      <c r="CA220" s="25" t="e">
        <v>#NAME?</v>
      </c>
      <c r="CB220" s="25" t="e">
        <v>#NAME?</v>
      </c>
      <c r="CC220" s="25" t="e">
        <v>#NAME?</v>
      </c>
      <c r="CD220" s="25" t="e">
        <v>#NAME?</v>
      </c>
      <c r="CE220" s="25" t="e">
        <v>#NAME?</v>
      </c>
      <c r="CF220" s="25" t="e">
        <v>#NAME?</v>
      </c>
      <c r="CG220" s="25" t="e">
        <v>#NAME?</v>
      </c>
      <c r="CH220" s="25" t="e">
        <v>#NAME?</v>
      </c>
    </row>
    <row r="221" spans="1:86">
      <c r="A221" t="s">
        <v>140</v>
      </c>
      <c r="B221">
        <v>0</v>
      </c>
      <c r="AX221" s="42" t="s">
        <v>77</v>
      </c>
      <c r="AY221" s="25"/>
      <c r="AZ221" s="25"/>
      <c r="BA221" s="25" t="e">
        <v>#NAME?</v>
      </c>
      <c r="BB221" s="25" t="e">
        <v>#NAME?</v>
      </c>
      <c r="BC221" s="25" t="e">
        <v>#NAME?</v>
      </c>
      <c r="BD221" s="25" t="e">
        <v>#NAME?</v>
      </c>
      <c r="BE221" s="25" t="e">
        <v>#NAME?</v>
      </c>
      <c r="BF221" s="25" t="e">
        <v>#NAME?</v>
      </c>
      <c r="BG221" s="25" t="e">
        <v>#NAME?</v>
      </c>
      <c r="BH221" s="25" t="e">
        <v>#NAME?</v>
      </c>
      <c r="BI221" s="25" t="e">
        <v>#NAME?</v>
      </c>
      <c r="BJ221" s="25" t="e">
        <v>#NAME?</v>
      </c>
      <c r="BK221" s="25" t="e">
        <v>#NAME?</v>
      </c>
      <c r="BL221" s="25" t="e">
        <v>#NAME?</v>
      </c>
      <c r="BM221" s="25" t="e">
        <v>#NAME?</v>
      </c>
      <c r="BN221" s="25" t="e">
        <v>#NAME?</v>
      </c>
      <c r="BO221" s="25" t="e">
        <v>#NAME?</v>
      </c>
      <c r="BP221" s="25" t="e">
        <v>#NAME?</v>
      </c>
      <c r="BQ221" s="25" t="e">
        <v>#NAME?</v>
      </c>
      <c r="BR221" s="25" t="e">
        <v>#NAME?</v>
      </c>
      <c r="BS221" s="25" t="e">
        <v>#NAME?</v>
      </c>
      <c r="BT221" s="25" t="e">
        <v>#NAME?</v>
      </c>
      <c r="BU221" s="25" t="e">
        <v>#NAME?</v>
      </c>
      <c r="BV221" s="25" t="e">
        <v>#NAME?</v>
      </c>
      <c r="BW221" s="25" t="e">
        <v>#NAME?</v>
      </c>
      <c r="BX221" s="25" t="e">
        <v>#NAME?</v>
      </c>
      <c r="BY221" s="25" t="e">
        <v>#NAME?</v>
      </c>
      <c r="BZ221" s="25" t="e">
        <v>#NAME?</v>
      </c>
      <c r="CA221" s="25" t="e">
        <v>#NAME?</v>
      </c>
      <c r="CB221" s="25" t="e">
        <v>#NAME?</v>
      </c>
      <c r="CC221" s="25" t="e">
        <v>#NAME?</v>
      </c>
      <c r="CD221" s="25" t="e">
        <v>#NAME?</v>
      </c>
      <c r="CE221" s="25" t="e">
        <v>#NAME?</v>
      </c>
      <c r="CF221" s="25" t="e">
        <v>#NAME?</v>
      </c>
      <c r="CG221" s="25" t="e">
        <v>#NAME?</v>
      </c>
      <c r="CH221" s="25" t="e">
        <v>#NAME?</v>
      </c>
    </row>
    <row r="222" spans="1:86">
      <c r="A222" t="s">
        <v>140</v>
      </c>
      <c r="B222">
        <v>0</v>
      </c>
      <c r="AX222" s="45" t="s">
        <v>82</v>
      </c>
      <c r="AY222" s="46">
        <v>0</v>
      </c>
      <c r="AZ222" s="46">
        <v>0</v>
      </c>
      <c r="BA222" s="46" t="e">
        <v>#NAME?</v>
      </c>
      <c r="BB222" s="46" t="e">
        <v>#NAME?</v>
      </c>
      <c r="BC222" s="46" t="e">
        <v>#NAME?</v>
      </c>
      <c r="BD222" s="46" t="e">
        <v>#NAME?</v>
      </c>
      <c r="BE222" s="46" t="e">
        <v>#NAME?</v>
      </c>
      <c r="BF222" s="46" t="e">
        <v>#NAME?</v>
      </c>
      <c r="BG222" s="46" t="e">
        <v>#NAME?</v>
      </c>
      <c r="BH222" s="46" t="e">
        <v>#NAME?</v>
      </c>
      <c r="BI222" s="46" t="e">
        <v>#NAME?</v>
      </c>
      <c r="BJ222" s="46" t="e">
        <v>#NAME?</v>
      </c>
      <c r="BK222" s="46" t="e">
        <v>#NAME?</v>
      </c>
      <c r="BL222" s="46" t="e">
        <v>#NAME?</v>
      </c>
      <c r="BM222" s="46" t="e">
        <v>#NAME?</v>
      </c>
      <c r="BN222" s="46" t="e">
        <v>#NAME?</v>
      </c>
      <c r="BO222" s="46" t="e">
        <v>#NAME?</v>
      </c>
      <c r="BP222" s="46" t="e">
        <v>#NAME?</v>
      </c>
      <c r="BQ222" s="46" t="e">
        <v>#NAME?</v>
      </c>
      <c r="BR222" s="46" t="e">
        <v>#NAME?</v>
      </c>
      <c r="BS222" s="46" t="e">
        <v>#NAME?</v>
      </c>
      <c r="BT222" s="46" t="e">
        <v>#NAME?</v>
      </c>
      <c r="BU222" s="46" t="e">
        <v>#NAME?</v>
      </c>
      <c r="BV222" s="46" t="e">
        <v>#NAME?</v>
      </c>
      <c r="BW222" s="46" t="e">
        <v>#NAME?</v>
      </c>
      <c r="BX222" s="46" t="e">
        <v>#NAME?</v>
      </c>
      <c r="BY222" s="46" t="e">
        <v>#NAME?</v>
      </c>
      <c r="BZ222" s="46" t="e">
        <v>#NAME?</v>
      </c>
      <c r="CA222" s="46" t="e">
        <v>#NAME?</v>
      </c>
      <c r="CB222" s="46" t="e">
        <v>#NAME?</v>
      </c>
      <c r="CC222" s="46" t="e">
        <v>#NAME?</v>
      </c>
      <c r="CD222" s="46" t="e">
        <v>#NAME?</v>
      </c>
      <c r="CE222" s="46" t="e">
        <v>#NAME?</v>
      </c>
      <c r="CF222" s="46" t="e">
        <v>#NAME?</v>
      </c>
      <c r="CG222" s="46" t="e">
        <v>#NAME?</v>
      </c>
      <c r="CH222" s="46" t="e">
        <v>#NAME?</v>
      </c>
    </row>
    <row r="223" spans="1:86">
      <c r="A223" t="s">
        <v>140</v>
      </c>
      <c r="B223">
        <v>0</v>
      </c>
      <c r="AX223" s="47" t="s">
        <v>87</v>
      </c>
      <c r="AY223" s="48" t="e">
        <v>#NAME?</v>
      </c>
      <c r="AZ223" s="48" t="e">
        <v>#NAME?</v>
      </c>
      <c r="BA223" s="48" t="e">
        <v>#NAME?</v>
      </c>
      <c r="BB223" s="48" t="e">
        <v>#NAME?</v>
      </c>
      <c r="BC223" s="48" t="e">
        <v>#NAME?</v>
      </c>
      <c r="BD223" s="48" t="e">
        <v>#NAME?</v>
      </c>
      <c r="BE223" s="48" t="e">
        <v>#NAME?</v>
      </c>
      <c r="BF223" s="48" t="e">
        <v>#NAME?</v>
      </c>
      <c r="BG223" s="48" t="e">
        <v>#NAME?</v>
      </c>
      <c r="BH223" s="48" t="e">
        <v>#NAME?</v>
      </c>
      <c r="BI223" s="48" t="e">
        <v>#NAME?</v>
      </c>
      <c r="BJ223" s="48" t="e">
        <v>#NAME?</v>
      </c>
      <c r="BK223" s="48" t="e">
        <v>#NAME?</v>
      </c>
      <c r="BL223" s="48" t="e">
        <v>#NAME?</v>
      </c>
      <c r="BM223" s="48" t="e">
        <v>#NAME?</v>
      </c>
      <c r="BN223" s="48" t="e">
        <v>#NAME?</v>
      </c>
      <c r="BO223" s="48" t="e">
        <v>#NAME?</v>
      </c>
      <c r="BP223" s="48" t="e">
        <v>#NAME?</v>
      </c>
      <c r="BQ223" s="48" t="e">
        <v>#NAME?</v>
      </c>
      <c r="BR223" s="48" t="e">
        <v>#NAME?</v>
      </c>
      <c r="BS223" s="48" t="e">
        <v>#NAME?</v>
      </c>
      <c r="BT223" s="48" t="e">
        <v>#NAME?</v>
      </c>
      <c r="BU223" s="48" t="e">
        <v>#NAME?</v>
      </c>
      <c r="BV223" s="48" t="e">
        <v>#NAME?</v>
      </c>
      <c r="BW223" s="48" t="e">
        <v>#NAME?</v>
      </c>
      <c r="BX223" s="48" t="e">
        <v>#NAME?</v>
      </c>
      <c r="BY223" s="48" t="e">
        <v>#NAME?</v>
      </c>
      <c r="BZ223" s="48" t="e">
        <v>#NAME?</v>
      </c>
      <c r="CA223" s="48" t="e">
        <v>#NAME?</v>
      </c>
      <c r="CB223" s="48" t="e">
        <v>#NAME?</v>
      </c>
      <c r="CC223" s="48" t="e">
        <v>#NAME?</v>
      </c>
      <c r="CD223" s="48" t="e">
        <v>#NAME?</v>
      </c>
      <c r="CE223" s="48" t="e">
        <v>#NAME?</v>
      </c>
      <c r="CF223" s="48" t="e">
        <v>#NAME?</v>
      </c>
      <c r="CG223" s="48" t="e">
        <v>#NAME?</v>
      </c>
      <c r="CH223" s="48" t="e">
        <v>#NAME?</v>
      </c>
    </row>
    <row r="224" spans="1:86">
      <c r="A224" t="s">
        <v>140</v>
      </c>
      <c r="B224">
        <v>0</v>
      </c>
      <c r="AX224" s="50"/>
      <c r="AY224" s="51"/>
      <c r="AZ224" s="51"/>
      <c r="BA224" s="51"/>
      <c r="BB224" s="51"/>
      <c r="BC224" s="51"/>
      <c r="BD224" s="51"/>
      <c r="BE224" s="51"/>
      <c r="BF224" s="51"/>
      <c r="BG224" s="51"/>
      <c r="BH224" s="51"/>
      <c r="BI224" s="51"/>
      <c r="BJ224" s="51"/>
      <c r="BK224" s="51"/>
      <c r="BL224" s="51"/>
      <c r="BM224" s="51"/>
      <c r="BN224" s="51"/>
      <c r="BO224" s="51"/>
      <c r="BP224" s="51"/>
      <c r="BQ224" s="51"/>
      <c r="BR224" s="51"/>
      <c r="BS224" s="51"/>
      <c r="BT224" s="51"/>
      <c r="BU224" s="51"/>
      <c r="BV224" s="51"/>
      <c r="BW224" s="51"/>
      <c r="BX224" s="51"/>
      <c r="BY224" s="51"/>
      <c r="BZ224" s="51"/>
      <c r="CA224" s="51"/>
      <c r="CB224" s="51"/>
      <c r="CC224" s="51"/>
      <c r="CD224" s="51"/>
      <c r="CE224" s="51"/>
      <c r="CF224" s="51"/>
      <c r="CG224" s="51"/>
      <c r="CH224" s="51"/>
    </row>
    <row r="225" spans="1:86">
      <c r="A225" t="s">
        <v>140</v>
      </c>
      <c r="B225">
        <v>0</v>
      </c>
      <c r="AX225" s="53" t="s">
        <v>95</v>
      </c>
      <c r="AY225" s="25"/>
      <c r="AZ225" s="25"/>
      <c r="BA225" s="25" t="e">
        <v>#NAME?</v>
      </c>
      <c r="BB225" s="25" t="e">
        <v>#NAME?</v>
      </c>
      <c r="BC225" s="25" t="e">
        <v>#NAME?</v>
      </c>
      <c r="BD225" s="25" t="e">
        <v>#NAME?</v>
      </c>
      <c r="BE225" s="25" t="e">
        <v>#NAME?</v>
      </c>
      <c r="BF225" s="25" t="e">
        <v>#NAME?</v>
      </c>
      <c r="BG225" s="25" t="e">
        <v>#NAME?</v>
      </c>
      <c r="BH225" s="25" t="e">
        <v>#NAME?</v>
      </c>
      <c r="BI225" s="25" t="e">
        <v>#NAME?</v>
      </c>
      <c r="BJ225" s="25" t="e">
        <v>#NAME?</v>
      </c>
      <c r="BK225" s="25" t="e">
        <v>#NAME?</v>
      </c>
      <c r="BL225" s="25" t="e">
        <v>#NAME?</v>
      </c>
      <c r="BM225" s="25" t="e">
        <v>#NAME?</v>
      </c>
      <c r="BN225" s="25" t="e">
        <v>#NAME?</v>
      </c>
      <c r="BO225" s="25" t="e">
        <v>#NAME?</v>
      </c>
      <c r="BP225" s="25" t="e">
        <v>#NAME?</v>
      </c>
      <c r="BQ225" s="25" t="e">
        <v>#NAME?</v>
      </c>
      <c r="BR225" s="25" t="e">
        <v>#NAME?</v>
      </c>
      <c r="BS225" s="25" t="e">
        <v>#NAME?</v>
      </c>
      <c r="BT225" s="25" t="e">
        <v>#NAME?</v>
      </c>
      <c r="BU225" s="25" t="e">
        <v>#NAME?</v>
      </c>
      <c r="BV225" s="25" t="e">
        <v>#NAME?</v>
      </c>
      <c r="BW225" s="25" t="e">
        <v>#NAME?</v>
      </c>
      <c r="BX225" s="25" t="e">
        <v>#NAME?</v>
      </c>
      <c r="BY225" s="25" t="e">
        <v>#NAME?</v>
      </c>
      <c r="BZ225" s="25" t="e">
        <v>#NAME?</v>
      </c>
      <c r="CA225" s="25" t="e">
        <v>#NAME?</v>
      </c>
      <c r="CB225" s="25" t="e">
        <v>#NAME?</v>
      </c>
      <c r="CC225" s="25" t="e">
        <v>#NAME?</v>
      </c>
      <c r="CD225" s="25" t="e">
        <v>#NAME?</v>
      </c>
      <c r="CE225" s="25" t="e">
        <v>#NAME?</v>
      </c>
      <c r="CF225" s="25" t="e">
        <v>#NAME?</v>
      </c>
      <c r="CG225" s="25" t="e">
        <v>#NAME?</v>
      </c>
      <c r="CH225" s="25" t="e">
        <v>#NAME?</v>
      </c>
    </row>
    <row r="226" spans="1:86">
      <c r="A226" t="s">
        <v>140</v>
      </c>
      <c r="B226">
        <v>0</v>
      </c>
      <c r="AX226" s="53" t="s">
        <v>98</v>
      </c>
      <c r="AY226" s="25"/>
      <c r="AZ226" s="25"/>
      <c r="BA226" s="25" t="e">
        <v>#NAME?</v>
      </c>
      <c r="BB226" s="25" t="e">
        <v>#NAME?</v>
      </c>
      <c r="BC226" s="25" t="e">
        <v>#NAME?</v>
      </c>
      <c r="BD226" s="25" t="e">
        <v>#NAME?</v>
      </c>
      <c r="BE226" s="25" t="e">
        <v>#NAME?</v>
      </c>
      <c r="BF226" s="25" t="e">
        <v>#NAME?</v>
      </c>
      <c r="BG226" s="25" t="e">
        <v>#NAME?</v>
      </c>
      <c r="BH226" s="25" t="e">
        <v>#NAME?</v>
      </c>
      <c r="BI226" s="25" t="e">
        <v>#NAME?</v>
      </c>
      <c r="BJ226" s="25" t="e">
        <v>#NAME?</v>
      </c>
      <c r="BK226" s="25" t="e">
        <v>#NAME?</v>
      </c>
      <c r="BL226" s="25" t="e">
        <v>#NAME?</v>
      </c>
      <c r="BM226" s="25" t="e">
        <v>#NAME?</v>
      </c>
      <c r="BN226" s="25" t="e">
        <v>#NAME?</v>
      </c>
      <c r="BO226" s="25" t="e">
        <v>#NAME?</v>
      </c>
      <c r="BP226" s="25" t="e">
        <v>#NAME?</v>
      </c>
      <c r="BQ226" s="25" t="e">
        <v>#NAME?</v>
      </c>
      <c r="BR226" s="25" t="e">
        <v>#NAME?</v>
      </c>
      <c r="BS226" s="25" t="e">
        <v>#NAME?</v>
      </c>
      <c r="BT226" s="25" t="e">
        <v>#NAME?</v>
      </c>
      <c r="BU226" s="25" t="e">
        <v>#NAME?</v>
      </c>
      <c r="BV226" s="25" t="e">
        <v>#NAME?</v>
      </c>
      <c r="BW226" s="25" t="e">
        <v>#NAME?</v>
      </c>
      <c r="BX226" s="25" t="e">
        <v>#NAME?</v>
      </c>
      <c r="BY226" s="25" t="e">
        <v>#NAME?</v>
      </c>
      <c r="BZ226" s="25" t="e">
        <v>#NAME?</v>
      </c>
      <c r="CA226" s="25" t="e">
        <v>#NAME?</v>
      </c>
      <c r="CB226" s="25" t="e">
        <v>#NAME?</v>
      </c>
      <c r="CC226" s="25" t="e">
        <v>#NAME?</v>
      </c>
      <c r="CD226" s="25" t="e">
        <v>#NAME?</v>
      </c>
      <c r="CE226" s="25" t="e">
        <v>#NAME?</v>
      </c>
      <c r="CF226" s="25" t="e">
        <v>#NAME?</v>
      </c>
      <c r="CG226" s="25" t="e">
        <v>#NAME?</v>
      </c>
      <c r="CH226" s="25" t="e">
        <v>#NAME?</v>
      </c>
    </row>
    <row r="227" spans="1:86">
      <c r="A227" t="s">
        <v>140</v>
      </c>
      <c r="B227">
        <v>0</v>
      </c>
      <c r="AX227" s="45" t="s">
        <v>99</v>
      </c>
      <c r="AY227" s="46">
        <v>0</v>
      </c>
      <c r="AZ227" s="46">
        <v>0</v>
      </c>
      <c r="BA227" s="46" t="e">
        <v>#NAME?</v>
      </c>
      <c r="BB227" s="46" t="e">
        <v>#NAME?</v>
      </c>
      <c r="BC227" s="46" t="e">
        <v>#NAME?</v>
      </c>
      <c r="BD227" s="46" t="e">
        <v>#NAME?</v>
      </c>
      <c r="BE227" s="46" t="e">
        <v>#NAME?</v>
      </c>
      <c r="BF227" s="46" t="e">
        <v>#NAME?</v>
      </c>
      <c r="BG227" s="46" t="e">
        <v>#NAME?</v>
      </c>
      <c r="BH227" s="46" t="e">
        <v>#NAME?</v>
      </c>
      <c r="BI227" s="46" t="e">
        <v>#NAME?</v>
      </c>
      <c r="BJ227" s="46" t="e">
        <v>#NAME?</v>
      </c>
      <c r="BK227" s="46" t="e">
        <v>#NAME?</v>
      </c>
      <c r="BL227" s="46" t="e">
        <v>#NAME?</v>
      </c>
      <c r="BM227" s="46" t="e">
        <v>#NAME?</v>
      </c>
      <c r="BN227" s="46" t="e">
        <v>#NAME?</v>
      </c>
      <c r="BO227" s="46" t="e">
        <v>#NAME?</v>
      </c>
      <c r="BP227" s="46" t="e">
        <v>#NAME?</v>
      </c>
      <c r="BQ227" s="46" t="e">
        <v>#NAME?</v>
      </c>
      <c r="BR227" s="46" t="e">
        <v>#NAME?</v>
      </c>
      <c r="BS227" s="46" t="e">
        <v>#NAME?</v>
      </c>
      <c r="BT227" s="46" t="e">
        <v>#NAME?</v>
      </c>
      <c r="BU227" s="46" t="e">
        <v>#NAME?</v>
      </c>
      <c r="BV227" s="46" t="e">
        <v>#NAME?</v>
      </c>
      <c r="BW227" s="46" t="e">
        <v>#NAME?</v>
      </c>
      <c r="BX227" s="46" t="e">
        <v>#NAME?</v>
      </c>
      <c r="BY227" s="46" t="e">
        <v>#NAME?</v>
      </c>
      <c r="BZ227" s="46" t="e">
        <v>#NAME?</v>
      </c>
      <c r="CA227" s="46" t="e">
        <v>#NAME?</v>
      </c>
      <c r="CB227" s="46" t="e">
        <v>#NAME?</v>
      </c>
      <c r="CC227" s="46" t="e">
        <v>#NAME?</v>
      </c>
      <c r="CD227" s="46" t="e">
        <v>#NAME?</v>
      </c>
      <c r="CE227" s="46" t="e">
        <v>#NAME?</v>
      </c>
      <c r="CF227" s="46" t="e">
        <v>#NAME?</v>
      </c>
      <c r="CG227" s="46" t="e">
        <v>#NAME?</v>
      </c>
      <c r="CH227" s="46" t="e">
        <v>#NAME?</v>
      </c>
    </row>
    <row r="228" spans="1:86">
      <c r="A228" t="s">
        <v>140</v>
      </c>
      <c r="B228">
        <v>0</v>
      </c>
      <c r="AX228" s="47" t="s">
        <v>101</v>
      </c>
      <c r="AY228" s="48" t="e">
        <v>#NAME?</v>
      </c>
      <c r="AZ228" s="48" t="e">
        <v>#NAME?</v>
      </c>
      <c r="BA228" s="48" t="e">
        <v>#NAME?</v>
      </c>
      <c r="BB228" s="48" t="e">
        <v>#NAME?</v>
      </c>
      <c r="BC228" s="48" t="e">
        <v>#NAME?</v>
      </c>
      <c r="BD228" s="48" t="e">
        <v>#NAME?</v>
      </c>
      <c r="BE228" s="48" t="e">
        <v>#NAME?</v>
      </c>
      <c r="BF228" s="48" t="e">
        <v>#NAME?</v>
      </c>
      <c r="BG228" s="48" t="e">
        <v>#NAME?</v>
      </c>
      <c r="BH228" s="48" t="e">
        <v>#NAME?</v>
      </c>
      <c r="BI228" s="48" t="e">
        <v>#NAME?</v>
      </c>
      <c r="BJ228" s="48" t="e">
        <v>#NAME?</v>
      </c>
      <c r="BK228" s="48" t="e">
        <v>#NAME?</v>
      </c>
      <c r="BL228" s="48" t="e">
        <v>#NAME?</v>
      </c>
      <c r="BM228" s="48" t="e">
        <v>#NAME?</v>
      </c>
      <c r="BN228" s="48" t="e">
        <v>#NAME?</v>
      </c>
      <c r="BO228" s="48" t="e">
        <v>#NAME?</v>
      </c>
      <c r="BP228" s="48" t="e">
        <v>#NAME?</v>
      </c>
      <c r="BQ228" s="48" t="e">
        <v>#NAME?</v>
      </c>
      <c r="BR228" s="48" t="e">
        <v>#NAME?</v>
      </c>
      <c r="BS228" s="48" t="e">
        <v>#NAME?</v>
      </c>
      <c r="BT228" s="48" t="e">
        <v>#NAME?</v>
      </c>
      <c r="BU228" s="48" t="e">
        <v>#NAME?</v>
      </c>
      <c r="BV228" s="48" t="e">
        <v>#NAME?</v>
      </c>
      <c r="BW228" s="48" t="e">
        <v>#NAME?</v>
      </c>
      <c r="BX228" s="48" t="e">
        <v>#NAME?</v>
      </c>
      <c r="BY228" s="48" t="e">
        <v>#NAME?</v>
      </c>
      <c r="BZ228" s="48" t="e">
        <v>#NAME?</v>
      </c>
      <c r="CA228" s="48" t="e">
        <v>#NAME?</v>
      </c>
      <c r="CB228" s="48" t="e">
        <v>#NAME?</v>
      </c>
      <c r="CC228" s="48" t="e">
        <v>#NAME?</v>
      </c>
      <c r="CD228" s="48" t="e">
        <v>#NAME?</v>
      </c>
      <c r="CE228" s="48" t="e">
        <v>#NAME?</v>
      </c>
      <c r="CF228" s="48" t="e">
        <v>#NAME?</v>
      </c>
      <c r="CG228" s="48" t="e">
        <v>#NAME?</v>
      </c>
      <c r="CH228" s="48" t="e">
        <v>#NAME?</v>
      </c>
    </row>
    <row r="229" spans="1:86">
      <c r="A229" t="s">
        <v>140</v>
      </c>
      <c r="B229">
        <v>0</v>
      </c>
      <c r="AX229" s="59"/>
      <c r="AY229" s="51"/>
      <c r="AZ229" s="51"/>
      <c r="BA229" s="51"/>
      <c r="BB229" s="51"/>
      <c r="BC229" s="51"/>
      <c r="BD229" s="51"/>
      <c r="BE229" s="51"/>
      <c r="BF229" s="51"/>
      <c r="BG229" s="51"/>
      <c r="BH229" s="51"/>
      <c r="BI229" s="51"/>
      <c r="BJ229" s="51"/>
      <c r="BK229" s="51"/>
      <c r="BL229" s="51"/>
      <c r="BM229" s="51"/>
      <c r="BN229" s="51"/>
      <c r="BO229" s="51"/>
      <c r="BP229" s="51"/>
      <c r="BQ229" s="51"/>
      <c r="BR229" s="51"/>
      <c r="BS229" s="51"/>
      <c r="BT229" s="51"/>
      <c r="BU229" s="51"/>
      <c r="BV229" s="51"/>
      <c r="BW229" s="51"/>
      <c r="BX229" s="51"/>
      <c r="BY229" s="51"/>
      <c r="BZ229" s="51"/>
      <c r="CA229" s="51"/>
      <c r="CB229" s="51"/>
      <c r="CC229" s="51"/>
      <c r="CD229" s="51"/>
      <c r="CE229" s="51"/>
      <c r="CF229" s="51"/>
      <c r="CG229" s="51"/>
      <c r="CH229" s="51"/>
    </row>
    <row r="230" spans="1:86">
      <c r="A230" t="s">
        <v>140</v>
      </c>
      <c r="B230">
        <v>0</v>
      </c>
      <c r="AX230" s="61" t="s">
        <v>106</v>
      </c>
      <c r="AY230" s="25"/>
      <c r="AZ230" s="25"/>
      <c r="BA230" s="25" t="e">
        <v>#NAME?</v>
      </c>
      <c r="BB230" s="25" t="e">
        <v>#NAME?</v>
      </c>
      <c r="BC230" s="25" t="e">
        <v>#NAME?</v>
      </c>
      <c r="BD230" s="25" t="e">
        <v>#NAME?</v>
      </c>
      <c r="BE230" s="25" t="e">
        <v>#NAME?</v>
      </c>
      <c r="BF230" s="25" t="e">
        <v>#NAME?</v>
      </c>
      <c r="BG230" s="25" t="e">
        <v>#NAME?</v>
      </c>
      <c r="BH230" s="25" t="e">
        <v>#NAME?</v>
      </c>
      <c r="BI230" s="25" t="e">
        <v>#NAME?</v>
      </c>
      <c r="BJ230" s="25" t="e">
        <v>#NAME?</v>
      </c>
      <c r="BK230" s="25" t="e">
        <v>#NAME?</v>
      </c>
      <c r="BL230" s="25" t="e">
        <v>#NAME?</v>
      </c>
      <c r="BM230" s="25" t="e">
        <v>#NAME?</v>
      </c>
      <c r="BN230" s="25" t="e">
        <v>#NAME?</v>
      </c>
      <c r="BO230" s="25" t="e">
        <v>#NAME?</v>
      </c>
      <c r="BP230" s="25" t="e">
        <v>#NAME?</v>
      </c>
      <c r="BQ230" s="25" t="e">
        <v>#NAME?</v>
      </c>
      <c r="BR230" s="25" t="e">
        <v>#NAME?</v>
      </c>
      <c r="BS230" s="25" t="e">
        <v>#NAME?</v>
      </c>
      <c r="BT230" s="25" t="e">
        <v>#NAME?</v>
      </c>
      <c r="BU230" s="25" t="e">
        <v>#NAME?</v>
      </c>
      <c r="BV230" s="25" t="e">
        <v>#NAME?</v>
      </c>
      <c r="BW230" s="25" t="e">
        <v>#NAME?</v>
      </c>
      <c r="BX230" s="25" t="e">
        <v>#NAME?</v>
      </c>
      <c r="BY230" s="25" t="e">
        <v>#NAME?</v>
      </c>
      <c r="BZ230" s="25" t="e">
        <v>#NAME?</v>
      </c>
      <c r="CA230" s="25" t="e">
        <v>#NAME?</v>
      </c>
      <c r="CB230" s="25" t="e">
        <v>#NAME?</v>
      </c>
      <c r="CC230" s="25" t="e">
        <v>#NAME?</v>
      </c>
      <c r="CD230" s="25" t="e">
        <v>#NAME?</v>
      </c>
      <c r="CE230" s="25" t="e">
        <v>#NAME?</v>
      </c>
      <c r="CF230" s="25" t="e">
        <v>#NAME?</v>
      </c>
      <c r="CG230" s="25" t="e">
        <v>#NAME?</v>
      </c>
      <c r="CH230" s="25" t="e">
        <v>#NAME?</v>
      </c>
    </row>
    <row r="231" spans="1:86">
      <c r="A231" t="s">
        <v>140</v>
      </c>
      <c r="B231">
        <v>0</v>
      </c>
      <c r="AX231" s="61" t="s">
        <v>109</v>
      </c>
      <c r="AY231" s="25"/>
      <c r="AZ231" s="25"/>
      <c r="BA231" s="25" t="e">
        <v>#NAME?</v>
      </c>
      <c r="BB231" s="25" t="e">
        <v>#NAME?</v>
      </c>
      <c r="BC231" s="25" t="e">
        <v>#NAME?</v>
      </c>
      <c r="BD231" s="25" t="e">
        <v>#NAME?</v>
      </c>
      <c r="BE231" s="25" t="e">
        <v>#NAME?</v>
      </c>
      <c r="BF231" s="25" t="e">
        <v>#NAME?</v>
      </c>
      <c r="BG231" s="25" t="e">
        <v>#NAME?</v>
      </c>
      <c r="BH231" s="25" t="e">
        <v>#NAME?</v>
      </c>
      <c r="BI231" s="25" t="e">
        <v>#NAME?</v>
      </c>
      <c r="BJ231" s="25" t="e">
        <v>#NAME?</v>
      </c>
      <c r="BK231" s="25" t="e">
        <v>#NAME?</v>
      </c>
      <c r="BL231" s="25" t="e">
        <v>#NAME?</v>
      </c>
      <c r="BM231" s="25" t="e">
        <v>#NAME?</v>
      </c>
      <c r="BN231" s="25" t="e">
        <v>#NAME?</v>
      </c>
      <c r="BO231" s="25" t="e">
        <v>#NAME?</v>
      </c>
      <c r="BP231" s="25" t="e">
        <v>#NAME?</v>
      </c>
      <c r="BQ231" s="25" t="e">
        <v>#NAME?</v>
      </c>
      <c r="BR231" s="25" t="e">
        <v>#NAME?</v>
      </c>
      <c r="BS231" s="25" t="e">
        <v>#NAME?</v>
      </c>
      <c r="BT231" s="25" t="e">
        <v>#NAME?</v>
      </c>
      <c r="BU231" s="25" t="e">
        <v>#NAME?</v>
      </c>
      <c r="BV231" s="25" t="e">
        <v>#NAME?</v>
      </c>
      <c r="BW231" s="25" t="e">
        <v>#NAME?</v>
      </c>
      <c r="BX231" s="25" t="e">
        <v>#NAME?</v>
      </c>
      <c r="BY231" s="25" t="e">
        <v>#NAME?</v>
      </c>
      <c r="BZ231" s="25" t="e">
        <v>#NAME?</v>
      </c>
      <c r="CA231" s="25" t="e">
        <v>#NAME?</v>
      </c>
      <c r="CB231" s="25" t="e">
        <v>#NAME?</v>
      </c>
      <c r="CC231" s="25" t="e">
        <v>#NAME?</v>
      </c>
      <c r="CD231" s="25" t="e">
        <v>#NAME?</v>
      </c>
      <c r="CE231" s="25" t="e">
        <v>#NAME?</v>
      </c>
      <c r="CF231" s="25" t="e">
        <v>#NAME?</v>
      </c>
      <c r="CG231" s="25" t="e">
        <v>#NAME?</v>
      </c>
      <c r="CH231" s="25" t="e">
        <v>#NAME?</v>
      </c>
    </row>
    <row r="232" spans="1:86">
      <c r="A232" t="s">
        <v>140</v>
      </c>
      <c r="B232">
        <v>0</v>
      </c>
      <c r="AX232" s="64" t="s">
        <v>111</v>
      </c>
      <c r="AY232" s="25"/>
      <c r="AZ232" s="25"/>
      <c r="BA232" s="25" t="e">
        <v>#NAME?</v>
      </c>
      <c r="BB232" s="25" t="e">
        <v>#NAME?</v>
      </c>
      <c r="BC232" s="25" t="e">
        <v>#NAME?</v>
      </c>
      <c r="BD232" s="25" t="e">
        <v>#NAME?</v>
      </c>
      <c r="BE232" s="25" t="e">
        <v>#NAME?</v>
      </c>
      <c r="BF232" s="25" t="e">
        <v>#NAME?</v>
      </c>
      <c r="BG232" s="25" t="e">
        <v>#NAME?</v>
      </c>
      <c r="BH232" s="25" t="e">
        <v>#NAME?</v>
      </c>
      <c r="BI232" s="25" t="e">
        <v>#NAME?</v>
      </c>
      <c r="BJ232" s="25" t="e">
        <v>#NAME?</v>
      </c>
      <c r="BK232" s="25" t="e">
        <v>#NAME?</v>
      </c>
      <c r="BL232" s="25" t="e">
        <v>#NAME?</v>
      </c>
      <c r="BM232" s="25" t="e">
        <v>#NAME?</v>
      </c>
      <c r="BN232" s="25" t="e">
        <v>#NAME?</v>
      </c>
      <c r="BO232" s="25" t="e">
        <v>#NAME?</v>
      </c>
      <c r="BP232" s="25" t="e">
        <v>#NAME?</v>
      </c>
      <c r="BQ232" s="25" t="e">
        <v>#NAME?</v>
      </c>
      <c r="BR232" s="25" t="e">
        <v>#NAME?</v>
      </c>
      <c r="BS232" s="25" t="e">
        <v>#NAME?</v>
      </c>
      <c r="BT232" s="25" t="e">
        <v>#NAME?</v>
      </c>
      <c r="BU232" s="25" t="e">
        <v>#NAME?</v>
      </c>
      <c r="BV232" s="25" t="e">
        <v>#NAME?</v>
      </c>
      <c r="BW232" s="25" t="e">
        <v>#NAME?</v>
      </c>
      <c r="BX232" s="25" t="e">
        <v>#NAME?</v>
      </c>
      <c r="BY232" s="25" t="e">
        <v>#NAME?</v>
      </c>
      <c r="BZ232" s="25" t="e">
        <v>#NAME?</v>
      </c>
      <c r="CA232" s="25" t="e">
        <v>#NAME?</v>
      </c>
      <c r="CB232" s="25" t="e">
        <v>#NAME?</v>
      </c>
      <c r="CC232" s="25" t="e">
        <v>#NAME?</v>
      </c>
      <c r="CD232" s="25" t="e">
        <v>#NAME?</v>
      </c>
      <c r="CE232" s="25" t="e">
        <v>#NAME?</v>
      </c>
      <c r="CF232" s="25" t="e">
        <v>#NAME?</v>
      </c>
      <c r="CG232" s="25" t="e">
        <v>#NAME?</v>
      </c>
      <c r="CH232" s="25" t="e">
        <v>#NAME?</v>
      </c>
    </row>
    <row r="233" spans="1:86">
      <c r="A233" t="s">
        <v>140</v>
      </c>
      <c r="B233">
        <v>0</v>
      </c>
      <c r="AX233" s="45" t="s">
        <v>113</v>
      </c>
      <c r="AY233" s="46">
        <v>0</v>
      </c>
      <c r="AZ233" s="46">
        <v>0</v>
      </c>
      <c r="BA233" s="46" t="e">
        <v>#NAME?</v>
      </c>
      <c r="BB233" s="46" t="e">
        <v>#NAME?</v>
      </c>
      <c r="BC233" s="46" t="e">
        <v>#NAME?</v>
      </c>
      <c r="BD233" s="46" t="e">
        <v>#NAME?</v>
      </c>
      <c r="BE233" s="46" t="e">
        <v>#NAME?</v>
      </c>
      <c r="BF233" s="46" t="e">
        <v>#NAME?</v>
      </c>
      <c r="BG233" s="46" t="e">
        <v>#NAME?</v>
      </c>
      <c r="BH233" s="46" t="e">
        <v>#NAME?</v>
      </c>
      <c r="BI233" s="46" t="e">
        <v>#NAME?</v>
      </c>
      <c r="BJ233" s="46" t="e">
        <v>#NAME?</v>
      </c>
      <c r="BK233" s="46" t="e">
        <v>#NAME?</v>
      </c>
      <c r="BL233" s="46" t="e">
        <v>#NAME?</v>
      </c>
      <c r="BM233" s="46" t="e">
        <v>#NAME?</v>
      </c>
      <c r="BN233" s="46" t="e">
        <v>#NAME?</v>
      </c>
      <c r="BO233" s="46" t="e">
        <v>#NAME?</v>
      </c>
      <c r="BP233" s="46" t="e">
        <v>#NAME?</v>
      </c>
      <c r="BQ233" s="46" t="e">
        <v>#NAME?</v>
      </c>
      <c r="BR233" s="46" t="e">
        <v>#NAME?</v>
      </c>
      <c r="BS233" s="46" t="e">
        <v>#NAME?</v>
      </c>
      <c r="BT233" s="46" t="e">
        <v>#NAME?</v>
      </c>
      <c r="BU233" s="46" t="e">
        <v>#NAME?</v>
      </c>
      <c r="BV233" s="46" t="e">
        <v>#NAME?</v>
      </c>
      <c r="BW233" s="46" t="e">
        <v>#NAME?</v>
      </c>
      <c r="BX233" s="46" t="e">
        <v>#NAME?</v>
      </c>
      <c r="BY233" s="46" t="e">
        <v>#NAME?</v>
      </c>
      <c r="BZ233" s="46" t="e">
        <v>#NAME?</v>
      </c>
      <c r="CA233" s="46" t="e">
        <v>#NAME?</v>
      </c>
      <c r="CB233" s="46" t="e">
        <v>#NAME?</v>
      </c>
      <c r="CC233" s="46" t="e">
        <v>#NAME?</v>
      </c>
      <c r="CD233" s="46" t="e">
        <v>#NAME?</v>
      </c>
      <c r="CE233" s="46" t="e">
        <v>#NAME?</v>
      </c>
      <c r="CF233" s="46" t="e">
        <v>#NAME?</v>
      </c>
      <c r="CG233" s="46" t="e">
        <v>#NAME?</v>
      </c>
      <c r="CH233" s="46" t="e">
        <v>#NAME?</v>
      </c>
    </row>
    <row r="234" spans="1:86">
      <c r="A234" t="s">
        <v>140</v>
      </c>
      <c r="B234">
        <v>0</v>
      </c>
      <c r="AX234" s="67" t="s">
        <v>115</v>
      </c>
      <c r="AY234" s="48" t="e">
        <v>#NAME?</v>
      </c>
      <c r="AZ234" s="48" t="e">
        <v>#NAME?</v>
      </c>
      <c r="BA234" s="48" t="e">
        <v>#NAME?</v>
      </c>
      <c r="BB234" s="48" t="e">
        <v>#NAME?</v>
      </c>
      <c r="BC234" s="48" t="e">
        <v>#NAME?</v>
      </c>
      <c r="BD234" s="48" t="e">
        <v>#NAME?</v>
      </c>
      <c r="BE234" s="48" t="e">
        <v>#NAME?</v>
      </c>
      <c r="BF234" s="48" t="e">
        <v>#NAME?</v>
      </c>
      <c r="BG234" s="48" t="e">
        <v>#NAME?</v>
      </c>
      <c r="BH234" s="48" t="e">
        <v>#NAME?</v>
      </c>
      <c r="BI234" s="48" t="e">
        <v>#NAME?</v>
      </c>
      <c r="BJ234" s="48" t="e">
        <v>#NAME?</v>
      </c>
      <c r="BK234" s="48" t="e">
        <v>#NAME?</v>
      </c>
      <c r="BL234" s="48" t="e">
        <v>#NAME?</v>
      </c>
      <c r="BM234" s="48" t="e">
        <v>#NAME?</v>
      </c>
      <c r="BN234" s="48" t="e">
        <v>#NAME?</v>
      </c>
      <c r="BO234" s="48" t="e">
        <v>#NAME?</v>
      </c>
      <c r="BP234" s="48" t="e">
        <v>#NAME?</v>
      </c>
      <c r="BQ234" s="48" t="e">
        <v>#NAME?</v>
      </c>
      <c r="BR234" s="48" t="e">
        <v>#NAME?</v>
      </c>
      <c r="BS234" s="48" t="e">
        <v>#NAME?</v>
      </c>
      <c r="BT234" s="48" t="e">
        <v>#NAME?</v>
      </c>
      <c r="BU234" s="48" t="e">
        <v>#NAME?</v>
      </c>
      <c r="BV234" s="48" t="e">
        <v>#NAME?</v>
      </c>
      <c r="BW234" s="48" t="e">
        <v>#NAME?</v>
      </c>
      <c r="BX234" s="48" t="e">
        <v>#NAME?</v>
      </c>
      <c r="BY234" s="48" t="e">
        <v>#NAME?</v>
      </c>
      <c r="BZ234" s="48" t="e">
        <v>#NAME?</v>
      </c>
      <c r="CA234" s="48" t="e">
        <v>#NAME?</v>
      </c>
      <c r="CB234" s="48" t="e">
        <v>#NAME?</v>
      </c>
      <c r="CC234" s="48" t="e">
        <v>#NAME?</v>
      </c>
      <c r="CD234" s="48" t="e">
        <v>#NAME?</v>
      </c>
      <c r="CE234" s="48" t="e">
        <v>#NAME?</v>
      </c>
      <c r="CF234" s="48" t="e">
        <v>#NAME?</v>
      </c>
      <c r="CG234" s="48" t="e">
        <v>#NAME?</v>
      </c>
      <c r="CH234" s="48" t="e">
        <v>#NAME?</v>
      </c>
    </row>
    <row r="235" spans="1:86">
      <c r="A235" t="s">
        <v>140</v>
      </c>
      <c r="B235">
        <v>0</v>
      </c>
      <c r="AX235" s="47"/>
      <c r="AY235" s="51"/>
      <c r="AZ235" s="51"/>
      <c r="BA235" s="51"/>
      <c r="BB235" s="51"/>
      <c r="BC235" s="51"/>
      <c r="BD235" s="51"/>
      <c r="BE235" s="51"/>
      <c r="BF235" s="51"/>
      <c r="BG235" s="51"/>
      <c r="BH235" s="51"/>
      <c r="BI235" s="51"/>
      <c r="BJ235" s="51"/>
      <c r="BK235" s="51"/>
      <c r="BL235" s="51"/>
      <c r="BM235" s="51"/>
      <c r="BN235" s="51"/>
      <c r="BO235" s="51"/>
      <c r="BP235" s="51"/>
      <c r="BQ235" s="51"/>
      <c r="BR235" s="51"/>
      <c r="BS235" s="51"/>
      <c r="BT235" s="51"/>
      <c r="BU235" s="51"/>
      <c r="BV235" s="51"/>
      <c r="BW235" s="51"/>
      <c r="BX235" s="51"/>
      <c r="BY235" s="51"/>
      <c r="BZ235" s="51"/>
      <c r="CA235" s="51"/>
      <c r="CB235" s="51"/>
      <c r="CC235" s="51"/>
      <c r="CD235" s="51"/>
      <c r="CE235" s="51"/>
      <c r="CF235" s="51"/>
      <c r="CG235" s="51"/>
      <c r="CH235" s="51"/>
    </row>
    <row r="236" spans="1:86">
      <c r="A236" t="s">
        <v>140</v>
      </c>
      <c r="B236">
        <v>0</v>
      </c>
      <c r="AX236" s="61" t="s">
        <v>118</v>
      </c>
      <c r="AY236" s="25"/>
      <c r="AZ236" s="25"/>
      <c r="BA236" s="25" t="e">
        <v>#NAME?</v>
      </c>
      <c r="BB236" s="25" t="e">
        <v>#NAME?</v>
      </c>
      <c r="BC236" s="25" t="e">
        <v>#NAME?</v>
      </c>
      <c r="BD236" s="25" t="e">
        <v>#NAME?</v>
      </c>
      <c r="BE236" s="25" t="e">
        <v>#NAME?</v>
      </c>
      <c r="BF236" s="25" t="e">
        <v>#NAME?</v>
      </c>
      <c r="BG236" s="25" t="e">
        <v>#NAME?</v>
      </c>
      <c r="BH236" s="25" t="e">
        <v>#NAME?</v>
      </c>
      <c r="BI236" s="25" t="e">
        <v>#NAME?</v>
      </c>
      <c r="BJ236" s="25" t="e">
        <v>#NAME?</v>
      </c>
      <c r="BK236" s="25" t="e">
        <v>#NAME?</v>
      </c>
      <c r="BL236" s="25" t="e">
        <v>#NAME?</v>
      </c>
      <c r="BM236" s="25" t="e">
        <v>#NAME?</v>
      </c>
      <c r="BN236" s="25" t="e">
        <v>#NAME?</v>
      </c>
      <c r="BO236" s="25" t="e">
        <v>#NAME?</v>
      </c>
      <c r="BP236" s="25" t="e">
        <v>#NAME?</v>
      </c>
      <c r="BQ236" s="25" t="e">
        <v>#NAME?</v>
      </c>
      <c r="BR236" s="25" t="e">
        <v>#NAME?</v>
      </c>
      <c r="BS236" s="25" t="e">
        <v>#NAME?</v>
      </c>
      <c r="BT236" s="25" t="e">
        <v>#NAME?</v>
      </c>
      <c r="BU236" s="25" t="e">
        <v>#NAME?</v>
      </c>
      <c r="BV236" s="25" t="e">
        <v>#NAME?</v>
      </c>
      <c r="BW236" s="25" t="e">
        <v>#NAME?</v>
      </c>
      <c r="BX236" s="25" t="e">
        <v>#NAME?</v>
      </c>
      <c r="BY236" s="25" t="e">
        <v>#NAME?</v>
      </c>
      <c r="BZ236" s="25" t="e">
        <v>#NAME?</v>
      </c>
      <c r="CA236" s="25" t="e">
        <v>#NAME?</v>
      </c>
      <c r="CB236" s="25" t="e">
        <v>#NAME?</v>
      </c>
      <c r="CC236" s="25" t="e">
        <v>#NAME?</v>
      </c>
      <c r="CD236" s="25" t="e">
        <v>#NAME?</v>
      </c>
      <c r="CE236" s="25" t="e">
        <v>#NAME?</v>
      </c>
      <c r="CF236" s="25" t="e">
        <v>#NAME?</v>
      </c>
      <c r="CG236" s="25" t="e">
        <v>#NAME?</v>
      </c>
      <c r="CH236" s="25" t="e">
        <v>#NAME?</v>
      </c>
    </row>
    <row r="237" spans="1:86">
      <c r="A237" t="s">
        <v>140</v>
      </c>
      <c r="B237">
        <v>0</v>
      </c>
      <c r="AX237" s="45" t="s">
        <v>120</v>
      </c>
      <c r="AY237" s="46">
        <v>0</v>
      </c>
      <c r="AZ237" s="46">
        <v>0</v>
      </c>
      <c r="BA237" s="46" t="e">
        <v>#NAME?</v>
      </c>
      <c r="BB237" s="46" t="e">
        <v>#NAME?</v>
      </c>
      <c r="BC237" s="46" t="e">
        <v>#NAME?</v>
      </c>
      <c r="BD237" s="46" t="e">
        <v>#NAME?</v>
      </c>
      <c r="BE237" s="46" t="e">
        <v>#NAME?</v>
      </c>
      <c r="BF237" s="46" t="e">
        <v>#NAME?</v>
      </c>
      <c r="BG237" s="46" t="e">
        <v>#NAME?</v>
      </c>
      <c r="BH237" s="46" t="e">
        <v>#NAME?</v>
      </c>
      <c r="BI237" s="46" t="e">
        <v>#NAME?</v>
      </c>
      <c r="BJ237" s="46" t="e">
        <v>#NAME?</v>
      </c>
      <c r="BK237" s="46" t="e">
        <v>#NAME?</v>
      </c>
      <c r="BL237" s="46" t="e">
        <v>#NAME?</v>
      </c>
      <c r="BM237" s="46" t="e">
        <v>#NAME?</v>
      </c>
      <c r="BN237" s="46" t="e">
        <v>#NAME?</v>
      </c>
      <c r="BO237" s="46" t="e">
        <v>#NAME?</v>
      </c>
      <c r="BP237" s="46" t="e">
        <v>#NAME?</v>
      </c>
      <c r="BQ237" s="46" t="e">
        <v>#NAME?</v>
      </c>
      <c r="BR237" s="46" t="e">
        <v>#NAME?</v>
      </c>
      <c r="BS237" s="46" t="e">
        <v>#NAME?</v>
      </c>
      <c r="BT237" s="46" t="e">
        <v>#NAME?</v>
      </c>
      <c r="BU237" s="46" t="e">
        <v>#NAME?</v>
      </c>
      <c r="BV237" s="46" t="e">
        <v>#NAME?</v>
      </c>
      <c r="BW237" s="46" t="e">
        <v>#NAME?</v>
      </c>
      <c r="BX237" s="46" t="e">
        <v>#NAME?</v>
      </c>
      <c r="BY237" s="46" t="e">
        <v>#NAME?</v>
      </c>
      <c r="BZ237" s="46" t="e">
        <v>#NAME?</v>
      </c>
      <c r="CA237" s="46" t="e">
        <v>#NAME?</v>
      </c>
      <c r="CB237" s="46" t="e">
        <v>#NAME?</v>
      </c>
      <c r="CC237" s="46" t="e">
        <v>#NAME?</v>
      </c>
      <c r="CD237" s="46" t="e">
        <v>#NAME?</v>
      </c>
      <c r="CE237" s="46" t="e">
        <v>#NAME?</v>
      </c>
      <c r="CF237" s="46" t="e">
        <v>#NAME?</v>
      </c>
      <c r="CG237" s="46" t="e">
        <v>#NAME?</v>
      </c>
      <c r="CH237" s="46" t="e">
        <v>#NAME?</v>
      </c>
    </row>
    <row r="238" spans="1:86">
      <c r="A238" t="s">
        <v>140</v>
      </c>
      <c r="B238">
        <v>0</v>
      </c>
      <c r="AX238" s="47"/>
      <c r="AY238" s="51"/>
      <c r="AZ238" s="51"/>
      <c r="BA238" s="51"/>
      <c r="BB238" s="51"/>
      <c r="BC238" s="51"/>
      <c r="BD238" s="51"/>
      <c r="BE238" s="51"/>
      <c r="BF238" s="51"/>
      <c r="BG238" s="51"/>
      <c r="BH238" s="51"/>
      <c r="BI238" s="51"/>
      <c r="BJ238" s="51"/>
      <c r="BK238" s="51"/>
      <c r="BL238" s="51"/>
      <c r="BM238" s="51"/>
      <c r="BN238" s="51"/>
      <c r="BO238" s="51"/>
      <c r="BP238" s="51"/>
      <c r="BQ238" s="51"/>
      <c r="BR238" s="51"/>
      <c r="BS238" s="51"/>
      <c r="BT238" s="51"/>
      <c r="BU238" s="51"/>
      <c r="BV238" s="51"/>
      <c r="BW238" s="51"/>
      <c r="BX238" s="51"/>
      <c r="BY238" s="51"/>
      <c r="BZ238" s="51"/>
      <c r="CA238" s="51"/>
      <c r="CB238" s="51"/>
      <c r="CC238" s="51"/>
      <c r="CD238" s="51"/>
      <c r="CE238" s="51"/>
      <c r="CF238" s="51"/>
      <c r="CG238" s="51"/>
      <c r="CH238" s="51"/>
    </row>
    <row r="239" spans="1:86">
      <c r="A239" t="s">
        <v>140</v>
      </c>
      <c r="B239">
        <v>0</v>
      </c>
      <c r="AX239" s="61" t="s">
        <v>122</v>
      </c>
      <c r="AY239" s="25"/>
      <c r="AZ239" s="25"/>
      <c r="BA239" s="25" t="e">
        <v>#NAME?</v>
      </c>
      <c r="BB239" s="25" t="e">
        <v>#NAME?</v>
      </c>
      <c r="BC239" s="25" t="e">
        <v>#NAME?</v>
      </c>
      <c r="BD239" s="25" t="e">
        <v>#NAME?</v>
      </c>
      <c r="BE239" s="25" t="e">
        <v>#NAME?</v>
      </c>
      <c r="BF239" s="25" t="e">
        <v>#NAME?</v>
      </c>
      <c r="BG239" s="25" t="e">
        <v>#NAME?</v>
      </c>
      <c r="BH239" s="25" t="e">
        <v>#NAME?</v>
      </c>
      <c r="BI239" s="25" t="e">
        <v>#NAME?</v>
      </c>
      <c r="BJ239" s="25" t="e">
        <v>#NAME?</v>
      </c>
      <c r="BK239" s="25" t="e">
        <v>#NAME?</v>
      </c>
      <c r="BL239" s="25" t="e">
        <v>#NAME?</v>
      </c>
      <c r="BM239" s="25" t="e">
        <v>#NAME?</v>
      </c>
      <c r="BN239" s="25" t="e">
        <v>#NAME?</v>
      </c>
      <c r="BO239" s="25" t="e">
        <v>#NAME?</v>
      </c>
      <c r="BP239" s="25" t="e">
        <v>#NAME?</v>
      </c>
      <c r="BQ239" s="25" t="e">
        <v>#NAME?</v>
      </c>
      <c r="BR239" s="25" t="e">
        <v>#NAME?</v>
      </c>
      <c r="BS239" s="25" t="e">
        <v>#NAME?</v>
      </c>
      <c r="BT239" s="25" t="e">
        <v>#NAME?</v>
      </c>
      <c r="BU239" s="25" t="e">
        <v>#NAME?</v>
      </c>
      <c r="BV239" s="25" t="e">
        <v>#NAME?</v>
      </c>
      <c r="BW239" s="25" t="e">
        <v>#NAME?</v>
      </c>
      <c r="BX239" s="25" t="e">
        <v>#NAME?</v>
      </c>
      <c r="BY239" s="25" t="e">
        <v>#NAME?</v>
      </c>
      <c r="BZ239" s="25" t="e">
        <v>#NAME?</v>
      </c>
      <c r="CA239" s="25" t="e">
        <v>#NAME?</v>
      </c>
      <c r="CB239" s="25" t="e">
        <v>#NAME?</v>
      </c>
      <c r="CC239" s="25" t="e">
        <v>#NAME?</v>
      </c>
      <c r="CD239" s="25" t="e">
        <v>#NAME?</v>
      </c>
      <c r="CE239" s="25" t="e">
        <v>#NAME?</v>
      </c>
      <c r="CF239" s="25" t="e">
        <v>#NAME?</v>
      </c>
      <c r="CG239" s="25" t="e">
        <v>#NAME?</v>
      </c>
      <c r="CH239" s="25" t="e">
        <v>#NAME?</v>
      </c>
    </row>
    <row r="240" spans="1:86">
      <c r="A240" t="s">
        <v>140</v>
      </c>
      <c r="B240">
        <v>0</v>
      </c>
      <c r="AX240" s="45" t="s">
        <v>124</v>
      </c>
      <c r="AY240" s="46">
        <v>0</v>
      </c>
      <c r="AZ240" s="46">
        <v>0</v>
      </c>
      <c r="BA240" s="46" t="e">
        <v>#NAME?</v>
      </c>
      <c r="BB240" s="46" t="e">
        <v>#NAME?</v>
      </c>
      <c r="BC240" s="46" t="e">
        <v>#NAME?</v>
      </c>
      <c r="BD240" s="46" t="e">
        <v>#NAME?</v>
      </c>
      <c r="BE240" s="46" t="e">
        <v>#NAME?</v>
      </c>
      <c r="BF240" s="46" t="e">
        <v>#NAME?</v>
      </c>
      <c r="BG240" s="46" t="e">
        <v>#NAME?</v>
      </c>
      <c r="BH240" s="46" t="e">
        <v>#NAME?</v>
      </c>
      <c r="BI240" s="46" t="e">
        <v>#NAME?</v>
      </c>
      <c r="BJ240" s="46" t="e">
        <v>#NAME?</v>
      </c>
      <c r="BK240" s="46" t="e">
        <v>#NAME?</v>
      </c>
      <c r="BL240" s="46" t="e">
        <v>#NAME?</v>
      </c>
      <c r="BM240" s="46" t="e">
        <v>#NAME?</v>
      </c>
      <c r="BN240" s="46" t="e">
        <v>#NAME?</v>
      </c>
      <c r="BO240" s="46" t="e">
        <v>#NAME?</v>
      </c>
      <c r="BP240" s="46" t="e">
        <v>#NAME?</v>
      </c>
      <c r="BQ240" s="46" t="e">
        <v>#NAME?</v>
      </c>
      <c r="BR240" s="46" t="e">
        <v>#NAME?</v>
      </c>
      <c r="BS240" s="46" t="e">
        <v>#NAME?</v>
      </c>
      <c r="BT240" s="46" t="e">
        <v>#NAME?</v>
      </c>
      <c r="BU240" s="46" t="e">
        <v>#NAME?</v>
      </c>
      <c r="BV240" s="46" t="e">
        <v>#NAME?</v>
      </c>
      <c r="BW240" s="46" t="e">
        <v>#NAME?</v>
      </c>
      <c r="BX240" s="46" t="e">
        <v>#NAME?</v>
      </c>
      <c r="BY240" s="46" t="e">
        <v>#NAME?</v>
      </c>
      <c r="BZ240" s="46" t="e">
        <v>#NAME?</v>
      </c>
      <c r="CA240" s="46" t="e">
        <v>#NAME?</v>
      </c>
      <c r="CB240" s="46" t="e">
        <v>#NAME?</v>
      </c>
      <c r="CC240" s="46" t="e">
        <v>#NAME?</v>
      </c>
      <c r="CD240" s="46" t="e">
        <v>#NAME?</v>
      </c>
      <c r="CE240" s="46" t="e">
        <v>#NAME?</v>
      </c>
      <c r="CF240" s="46" t="e">
        <v>#NAME?</v>
      </c>
      <c r="CG240" s="46" t="e">
        <v>#NAME?</v>
      </c>
      <c r="CH240" s="46" t="e">
        <v>#NAME?</v>
      </c>
    </row>
    <row r="241" spans="1:86">
      <c r="A241" t="s">
        <v>140</v>
      </c>
      <c r="B241">
        <v>0</v>
      </c>
      <c r="AX241" s="67" t="s">
        <v>4</v>
      </c>
      <c r="AY241" s="48" t="e">
        <v>#NAME?</v>
      </c>
      <c r="AZ241" s="48" t="e">
        <v>#NAME?</v>
      </c>
      <c r="BA241" s="48" t="e">
        <v>#NAME?</v>
      </c>
      <c r="BB241" s="48" t="e">
        <v>#NAME?</v>
      </c>
      <c r="BC241" s="48" t="e">
        <v>#NAME?</v>
      </c>
      <c r="BD241" s="48" t="e">
        <v>#NAME?</v>
      </c>
      <c r="BE241" s="48" t="e">
        <v>#NAME?</v>
      </c>
      <c r="BF241" s="48" t="e">
        <v>#NAME?</v>
      </c>
      <c r="BG241" s="48" t="e">
        <v>#NAME?</v>
      </c>
      <c r="BH241" s="48" t="e">
        <v>#NAME?</v>
      </c>
      <c r="BI241" s="48" t="e">
        <v>#NAME?</v>
      </c>
      <c r="BJ241" s="48" t="e">
        <v>#NAME?</v>
      </c>
      <c r="BK241" s="48" t="e">
        <v>#NAME?</v>
      </c>
      <c r="BL241" s="48" t="e">
        <v>#NAME?</v>
      </c>
      <c r="BM241" s="48" t="e">
        <v>#NAME?</v>
      </c>
      <c r="BN241" s="48" t="e">
        <v>#NAME?</v>
      </c>
      <c r="BO241" s="48" t="e">
        <v>#NAME?</v>
      </c>
      <c r="BP241" s="48" t="e">
        <v>#NAME?</v>
      </c>
      <c r="BQ241" s="48" t="e">
        <v>#NAME?</v>
      </c>
      <c r="BR241" s="48" t="e">
        <v>#NAME?</v>
      </c>
      <c r="BS241" s="48" t="e">
        <v>#NAME?</v>
      </c>
      <c r="BT241" s="48" t="e">
        <v>#NAME?</v>
      </c>
      <c r="BU241" s="48" t="e">
        <v>#NAME?</v>
      </c>
      <c r="BV241" s="48" t="e">
        <v>#NAME?</v>
      </c>
      <c r="BW241" s="48" t="e">
        <v>#NAME?</v>
      </c>
      <c r="BX241" s="48" t="e">
        <v>#NAME?</v>
      </c>
      <c r="BY241" s="48" t="e">
        <v>#NAME?</v>
      </c>
      <c r="BZ241" s="48" t="e">
        <v>#NAME?</v>
      </c>
      <c r="CA241" s="48" t="e">
        <v>#NAME?</v>
      </c>
      <c r="CB241" s="48" t="e">
        <v>#NAME?</v>
      </c>
      <c r="CC241" s="48" t="e">
        <v>#NAME?</v>
      </c>
      <c r="CD241" s="48" t="e">
        <v>#NAME?</v>
      </c>
      <c r="CE241" s="48" t="e">
        <v>#NAME?</v>
      </c>
      <c r="CF241" s="48" t="e">
        <v>#NAME?</v>
      </c>
      <c r="CG241" s="48" t="e">
        <v>#NAME?</v>
      </c>
      <c r="CH241" s="48" t="e">
        <v>#NAME?</v>
      </c>
    </row>
    <row r="242" spans="1:86">
      <c r="A242" t="s">
        <v>140</v>
      </c>
      <c r="B242">
        <v>0</v>
      </c>
      <c r="AX242" s="67"/>
      <c r="AY242" s="74"/>
      <c r="AZ242" s="74"/>
      <c r="BA242" s="74"/>
      <c r="BB242" s="74"/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</row>
    <row r="243" spans="1:86">
      <c r="A243" t="s">
        <v>140</v>
      </c>
      <c r="B243">
        <v>0</v>
      </c>
      <c r="AX243" s="61" t="s">
        <v>128</v>
      </c>
      <c r="AY243" s="25"/>
      <c r="AZ243" s="25"/>
      <c r="BA243" s="25" t="e">
        <v>#NAME?</v>
      </c>
      <c r="BB243" s="25" t="e">
        <v>#NAME?</v>
      </c>
      <c r="BC243" s="25" t="e">
        <v>#NAME?</v>
      </c>
      <c r="BD243" s="25" t="e">
        <v>#NAME?</v>
      </c>
      <c r="BE243" s="25" t="e">
        <v>#NAME?</v>
      </c>
      <c r="BF243" s="25" t="e">
        <v>#NAME?</v>
      </c>
      <c r="BG243" s="25" t="e">
        <v>#NAME?</v>
      </c>
      <c r="BH243" s="25" t="e">
        <v>#NAME?</v>
      </c>
      <c r="BI243" s="25" t="e">
        <v>#NAME?</v>
      </c>
      <c r="BJ243" s="25" t="e">
        <v>#NAME?</v>
      </c>
      <c r="BK243" s="25" t="e">
        <v>#NAME?</v>
      </c>
      <c r="BL243" s="25" t="e">
        <v>#NAME?</v>
      </c>
      <c r="BM243" s="25" t="e">
        <v>#NAME?</v>
      </c>
      <c r="BN243" s="25" t="e">
        <v>#NAME?</v>
      </c>
      <c r="BO243" s="25" t="e">
        <v>#NAME?</v>
      </c>
      <c r="BP243" s="25" t="e">
        <v>#NAME?</v>
      </c>
      <c r="BQ243" s="25" t="e">
        <v>#NAME?</v>
      </c>
      <c r="BR243" s="25" t="e">
        <v>#NAME?</v>
      </c>
      <c r="BS243" s="25" t="e">
        <v>#NAME?</v>
      </c>
      <c r="BT243" s="25" t="e">
        <v>#NAME?</v>
      </c>
      <c r="BU243" s="25" t="e">
        <v>#NAME?</v>
      </c>
      <c r="BV243" s="25" t="e">
        <v>#NAME?</v>
      </c>
      <c r="BW243" s="25" t="e">
        <v>#NAME?</v>
      </c>
      <c r="BX243" s="25" t="e">
        <v>#NAME?</v>
      </c>
      <c r="BY243" s="25" t="e">
        <v>#NAME?</v>
      </c>
      <c r="BZ243" s="25" t="e">
        <v>#NAME?</v>
      </c>
      <c r="CA243" s="25" t="e">
        <v>#NAME?</v>
      </c>
      <c r="CB243" s="25" t="e">
        <v>#NAME?</v>
      </c>
      <c r="CC243" s="25" t="e">
        <v>#NAME?</v>
      </c>
      <c r="CD243" s="25" t="e">
        <v>#NAME?</v>
      </c>
      <c r="CE243" s="25" t="e">
        <v>#NAME?</v>
      </c>
      <c r="CF243" s="25" t="e">
        <v>#NAME?</v>
      </c>
      <c r="CG243" s="25" t="e">
        <v>#NAME?</v>
      </c>
      <c r="CH243" s="25" t="e">
        <v>#NAME?</v>
      </c>
    </row>
    <row r="244" spans="1:86">
      <c r="A244" t="s">
        <v>140</v>
      </c>
      <c r="B244">
        <v>0</v>
      </c>
      <c r="AX244" s="45" t="s">
        <v>129</v>
      </c>
      <c r="AY244" s="46">
        <v>0</v>
      </c>
      <c r="AZ244" s="46">
        <v>0</v>
      </c>
      <c r="BA244" s="46" t="e">
        <v>#NAME?</v>
      </c>
      <c r="BB244" s="46" t="e">
        <v>#NAME?</v>
      </c>
      <c r="BC244" s="46" t="e">
        <v>#NAME?</v>
      </c>
      <c r="BD244" s="46" t="e">
        <v>#NAME?</v>
      </c>
      <c r="BE244" s="46" t="e">
        <v>#NAME?</v>
      </c>
      <c r="BF244" s="46" t="e">
        <v>#NAME?</v>
      </c>
      <c r="BG244" s="46" t="e">
        <v>#NAME?</v>
      </c>
      <c r="BH244" s="46" t="e">
        <v>#NAME?</v>
      </c>
      <c r="BI244" s="46" t="e">
        <v>#NAME?</v>
      </c>
      <c r="BJ244" s="46" t="e">
        <v>#NAME?</v>
      </c>
      <c r="BK244" s="46" t="e">
        <v>#NAME?</v>
      </c>
      <c r="BL244" s="46" t="e">
        <v>#NAME?</v>
      </c>
      <c r="BM244" s="46" t="e">
        <v>#NAME?</v>
      </c>
      <c r="BN244" s="46" t="e">
        <v>#NAME?</v>
      </c>
      <c r="BO244" s="46" t="e">
        <v>#NAME?</v>
      </c>
      <c r="BP244" s="46" t="e">
        <v>#NAME?</v>
      </c>
      <c r="BQ244" s="46" t="e">
        <v>#NAME?</v>
      </c>
      <c r="BR244" s="46" t="e">
        <v>#NAME?</v>
      </c>
      <c r="BS244" s="46" t="e">
        <v>#NAME?</v>
      </c>
      <c r="BT244" s="46" t="e">
        <v>#NAME?</v>
      </c>
      <c r="BU244" s="46" t="e">
        <v>#NAME?</v>
      </c>
      <c r="BV244" s="46" t="e">
        <v>#NAME?</v>
      </c>
      <c r="BW244" s="46" t="e">
        <v>#NAME?</v>
      </c>
      <c r="BX244" s="46" t="e">
        <v>#NAME?</v>
      </c>
      <c r="BY244" s="46" t="e">
        <v>#NAME?</v>
      </c>
      <c r="BZ244" s="46" t="e">
        <v>#NAME?</v>
      </c>
      <c r="CA244" s="46" t="e">
        <v>#NAME?</v>
      </c>
      <c r="CB244" s="46" t="e">
        <v>#NAME?</v>
      </c>
      <c r="CC244" s="46" t="e">
        <v>#NAME?</v>
      </c>
      <c r="CD244" s="46" t="e">
        <v>#NAME?</v>
      </c>
      <c r="CE244" s="46" t="e">
        <v>#NAME?</v>
      </c>
      <c r="CF244" s="46" t="e">
        <v>#NAME?</v>
      </c>
      <c r="CG244" s="46" t="e">
        <v>#NAME?</v>
      </c>
      <c r="CH244" s="46" t="e">
        <v>#NAME?</v>
      </c>
    </row>
    <row r="245" spans="1:86" ht="15.75" thickBot="1">
      <c r="A245" t="s">
        <v>140</v>
      </c>
      <c r="B245">
        <v>0</v>
      </c>
      <c r="AX245" s="79"/>
      <c r="AY245" s="48" t="e">
        <v>#NAME?</v>
      </c>
      <c r="AZ245" s="48" t="e">
        <v>#NAME?</v>
      </c>
      <c r="BA245" s="48" t="e">
        <v>#NAME?</v>
      </c>
      <c r="BB245" s="48" t="e">
        <v>#NAME?</v>
      </c>
      <c r="BC245" s="48" t="e">
        <v>#NAME?</v>
      </c>
      <c r="BD245" s="48" t="e">
        <v>#NAME?</v>
      </c>
      <c r="BE245" s="48" t="e">
        <v>#NAME?</v>
      </c>
      <c r="BF245" s="48" t="e">
        <v>#NAME?</v>
      </c>
      <c r="BG245" s="48" t="e">
        <v>#NAME?</v>
      </c>
      <c r="BH245" s="48" t="e">
        <v>#NAME?</v>
      </c>
      <c r="BI245" s="48" t="e">
        <v>#NAME?</v>
      </c>
      <c r="BJ245" s="48" t="e">
        <v>#NAME?</v>
      </c>
      <c r="BK245" s="48" t="e">
        <v>#NAME?</v>
      </c>
      <c r="BL245" s="48" t="e">
        <v>#NAME?</v>
      </c>
      <c r="BM245" s="48" t="e">
        <v>#NAME?</v>
      </c>
      <c r="BN245" s="48" t="e">
        <v>#NAME?</v>
      </c>
      <c r="BO245" s="48" t="e">
        <v>#NAME?</v>
      </c>
      <c r="BP245" s="48" t="e">
        <v>#NAME?</v>
      </c>
      <c r="BQ245" s="48" t="e">
        <v>#NAME?</v>
      </c>
      <c r="BR245" s="48" t="e">
        <v>#NAME?</v>
      </c>
      <c r="BS245" s="48" t="e">
        <v>#NAME?</v>
      </c>
      <c r="BT245" s="48" t="e">
        <v>#NAME?</v>
      </c>
      <c r="BU245" s="48" t="e">
        <v>#NAME?</v>
      </c>
      <c r="BV245" s="48" t="e">
        <v>#NAME?</v>
      </c>
      <c r="BW245" s="48" t="e">
        <v>#NAME?</v>
      </c>
      <c r="BX245" s="48" t="e">
        <v>#NAME?</v>
      </c>
      <c r="BY245" s="48" t="e">
        <v>#NAME?</v>
      </c>
      <c r="BZ245" s="48" t="e">
        <v>#NAME?</v>
      </c>
      <c r="CA245" s="48" t="e">
        <v>#NAME?</v>
      </c>
      <c r="CB245" s="48" t="e">
        <v>#NAME?</v>
      </c>
      <c r="CC245" s="48" t="e">
        <v>#NAME?</v>
      </c>
      <c r="CD245" s="48" t="e">
        <v>#NAME?</v>
      </c>
      <c r="CE245" s="48" t="e">
        <v>#NAME?</v>
      </c>
      <c r="CF245" s="48" t="e">
        <v>#NAME?</v>
      </c>
      <c r="CG245" s="48" t="e">
        <v>#NAME?</v>
      </c>
      <c r="CH245" s="48" t="e">
        <v>#NAME?</v>
      </c>
    </row>
    <row r="246" spans="1:86">
      <c r="A246" t="s">
        <v>140</v>
      </c>
      <c r="B246">
        <v>0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t="e">
        <v>#N/A</v>
      </c>
      <c r="BH246" t="e">
        <v>#N/A</v>
      </c>
      <c r="BI246" t="e">
        <v>#N/A</v>
      </c>
      <c r="BJ246" t="e">
        <v>#N/A</v>
      </c>
      <c r="BK246" t="e">
        <v>#N/A</v>
      </c>
      <c r="BL246" t="e">
        <v>#N/A</v>
      </c>
      <c r="BM246" t="e">
        <v>#N/A</v>
      </c>
      <c r="BN246" t="e">
        <v>#N/A</v>
      </c>
      <c r="BO246" t="e">
        <v>#N/A</v>
      </c>
      <c r="BP246" t="e">
        <v>#N/A</v>
      </c>
      <c r="BQ246" t="e">
        <v>#N/A</v>
      </c>
      <c r="BR246" t="e">
        <v>#N/A</v>
      </c>
      <c r="BS246" t="e">
        <v>#N/A</v>
      </c>
      <c r="BT246" t="e">
        <v>#N/A</v>
      </c>
      <c r="BU246" t="e">
        <v>#N/A</v>
      </c>
      <c r="BV246" t="e">
        <v>#N/A</v>
      </c>
      <c r="BW246" t="e">
        <v>#N/A</v>
      </c>
      <c r="BX246" t="e">
        <v>#N/A</v>
      </c>
      <c r="BY246" t="e">
        <v>#N/A</v>
      </c>
      <c r="BZ246" t="e">
        <v>#N/A</v>
      </c>
      <c r="CA246" t="e">
        <v>#N/A</v>
      </c>
      <c r="CB246" t="e">
        <v>#N/A</v>
      </c>
      <c r="CC246" t="e">
        <v>#N/A</v>
      </c>
      <c r="CD246" t="e">
        <v>#N/A</v>
      </c>
      <c r="CE246" t="e">
        <v>#N/A</v>
      </c>
      <c r="CF246" t="e">
        <v>#N/A</v>
      </c>
      <c r="CG246" t="e">
        <v>#N/A</v>
      </c>
      <c r="CH246">
        <v>1</v>
      </c>
    </row>
    <row r="247" spans="1:86">
      <c r="A247" t="s">
        <v>140</v>
      </c>
      <c r="B247">
        <v>0</v>
      </c>
    </row>
    <row r="248" spans="1:86">
      <c r="A248" t="s">
        <v>140</v>
      </c>
      <c r="B248">
        <v>0</v>
      </c>
    </row>
    <row r="249" spans="1:86">
      <c r="A249" t="s">
        <v>140</v>
      </c>
      <c r="B249">
        <v>0</v>
      </c>
    </row>
    <row r="250" spans="1:86">
      <c r="A250" t="s">
        <v>140</v>
      </c>
      <c r="B250">
        <v>0</v>
      </c>
    </row>
    <row r="251" spans="1:86">
      <c r="A251" t="s">
        <v>140</v>
      </c>
      <c r="B251">
        <v>0</v>
      </c>
    </row>
    <row r="252" spans="1:86">
      <c r="A252" t="s">
        <v>140</v>
      </c>
      <c r="B252">
        <v>0</v>
      </c>
      <c r="BC252" s="34"/>
    </row>
    <row r="253" spans="1:86">
      <c r="A253" t="s">
        <v>140</v>
      </c>
      <c r="B253">
        <v>0</v>
      </c>
    </row>
    <row r="254" spans="1:86">
      <c r="A254" t="s">
        <v>140</v>
      </c>
      <c r="B254">
        <v>0</v>
      </c>
    </row>
    <row r="255" spans="1:86">
      <c r="A255" t="s">
        <v>140</v>
      </c>
      <c r="B255">
        <v>0</v>
      </c>
    </row>
    <row r="256" spans="1:86">
      <c r="A256" t="s">
        <v>140</v>
      </c>
      <c r="B256">
        <v>0</v>
      </c>
    </row>
    <row r="257" spans="1:2">
      <c r="A257" t="s">
        <v>140</v>
      </c>
      <c r="B257">
        <v>0</v>
      </c>
    </row>
    <row r="258" spans="1:2">
      <c r="A258" t="s">
        <v>140</v>
      </c>
      <c r="B258">
        <v>0</v>
      </c>
    </row>
    <row r="259" spans="1:2">
      <c r="A259" t="s">
        <v>140</v>
      </c>
      <c r="B259">
        <v>0</v>
      </c>
    </row>
    <row r="260" spans="1:2">
      <c r="A260" t="s">
        <v>140</v>
      </c>
      <c r="B260">
        <v>0</v>
      </c>
    </row>
    <row r="261" spans="1:2">
      <c r="A261" t="s">
        <v>140</v>
      </c>
      <c r="B261">
        <v>0</v>
      </c>
    </row>
    <row r="262" spans="1:2">
      <c r="A262" t="s">
        <v>140</v>
      </c>
      <c r="B262">
        <v>0</v>
      </c>
    </row>
    <row r="263" spans="1:2">
      <c r="A263" t="s">
        <v>140</v>
      </c>
      <c r="B263">
        <v>0</v>
      </c>
    </row>
    <row r="264" spans="1:2">
      <c r="A264" t="s">
        <v>140</v>
      </c>
      <c r="B264">
        <v>0</v>
      </c>
    </row>
    <row r="265" spans="1:2">
      <c r="A265" t="s">
        <v>140</v>
      </c>
      <c r="B265">
        <v>0</v>
      </c>
    </row>
    <row r="266" spans="1:2">
      <c r="A266" t="s">
        <v>140</v>
      </c>
      <c r="B266">
        <v>0</v>
      </c>
    </row>
    <row r="267" spans="1:2">
      <c r="A267" t="s">
        <v>140</v>
      </c>
      <c r="B267">
        <v>0</v>
      </c>
    </row>
    <row r="268" spans="1:2">
      <c r="A268" t="s">
        <v>140</v>
      </c>
      <c r="B268">
        <v>0</v>
      </c>
    </row>
    <row r="269" spans="1:2">
      <c r="A269" t="s">
        <v>140</v>
      </c>
      <c r="B269">
        <v>0</v>
      </c>
    </row>
    <row r="270" spans="1:2">
      <c r="A270" t="s">
        <v>140</v>
      </c>
      <c r="B270">
        <v>0</v>
      </c>
    </row>
    <row r="271" spans="1:2">
      <c r="A271" t="s">
        <v>140</v>
      </c>
      <c r="B271">
        <v>0</v>
      </c>
    </row>
    <row r="272" spans="1:2">
      <c r="A272" t="s">
        <v>140</v>
      </c>
      <c r="B272">
        <v>0</v>
      </c>
    </row>
    <row r="273" spans="1:2">
      <c r="A273" t="s">
        <v>140</v>
      </c>
      <c r="B273">
        <v>0</v>
      </c>
    </row>
    <row r="274" spans="1:2">
      <c r="A274" t="s">
        <v>140</v>
      </c>
      <c r="B274">
        <v>0</v>
      </c>
    </row>
    <row r="275" spans="1:2">
      <c r="A275" t="s">
        <v>140</v>
      </c>
      <c r="B275">
        <v>0</v>
      </c>
    </row>
    <row r="276" spans="1:2">
      <c r="A276" t="s">
        <v>140</v>
      </c>
      <c r="B276">
        <v>0</v>
      </c>
    </row>
    <row r="277" spans="1:2">
      <c r="A277" t="s">
        <v>140</v>
      </c>
      <c r="B277">
        <v>0</v>
      </c>
    </row>
    <row r="278" spans="1:2">
      <c r="A278" t="s">
        <v>140</v>
      </c>
      <c r="B278">
        <v>0</v>
      </c>
    </row>
    <row r="279" spans="1:2">
      <c r="A279" t="s">
        <v>140</v>
      </c>
      <c r="B279">
        <v>0</v>
      </c>
    </row>
    <row r="280" spans="1:2">
      <c r="A280" t="s">
        <v>140</v>
      </c>
      <c r="B280">
        <v>0</v>
      </c>
    </row>
    <row r="281" spans="1:2">
      <c r="A281" t="s">
        <v>140</v>
      </c>
      <c r="B281">
        <v>0</v>
      </c>
    </row>
    <row r="282" spans="1:2">
      <c r="A282" t="s">
        <v>140</v>
      </c>
      <c r="B282">
        <v>0</v>
      </c>
    </row>
    <row r="283" spans="1:2">
      <c r="A283" t="s">
        <v>140</v>
      </c>
      <c r="B283">
        <v>0</v>
      </c>
    </row>
    <row r="284" spans="1:2">
      <c r="A284" t="s">
        <v>140</v>
      </c>
      <c r="B284">
        <v>0</v>
      </c>
    </row>
    <row r="285" spans="1:2">
      <c r="A285" t="s">
        <v>140</v>
      </c>
      <c r="B285">
        <v>0</v>
      </c>
    </row>
    <row r="286" spans="1:2">
      <c r="A286" t="s">
        <v>140</v>
      </c>
      <c r="B286">
        <v>0</v>
      </c>
    </row>
    <row r="287" spans="1:2">
      <c r="A287" t="s">
        <v>140</v>
      </c>
      <c r="B287">
        <v>0</v>
      </c>
    </row>
    <row r="288" spans="1:2">
      <c r="A288" t="s">
        <v>140</v>
      </c>
      <c r="B288">
        <v>0</v>
      </c>
    </row>
    <row r="289" spans="1:2">
      <c r="A289" t="s">
        <v>140</v>
      </c>
      <c r="B289">
        <v>0</v>
      </c>
    </row>
    <row r="290" spans="1:2">
      <c r="A290" t="s">
        <v>140</v>
      </c>
      <c r="B290">
        <v>0</v>
      </c>
    </row>
    <row r="291" spans="1:2">
      <c r="A291" t="s">
        <v>140</v>
      </c>
      <c r="B291">
        <v>0</v>
      </c>
    </row>
    <row r="292" spans="1:2">
      <c r="A292" t="s">
        <v>140</v>
      </c>
      <c r="B292">
        <v>0</v>
      </c>
    </row>
    <row r="293" spans="1:2">
      <c r="A293" t="s">
        <v>140</v>
      </c>
      <c r="B293">
        <v>0</v>
      </c>
    </row>
    <row r="294" spans="1:2">
      <c r="A294" t="s">
        <v>140</v>
      </c>
      <c r="B294">
        <v>0</v>
      </c>
    </row>
    <row r="295" spans="1:2">
      <c r="A295" t="s">
        <v>140</v>
      </c>
      <c r="B295">
        <v>0</v>
      </c>
    </row>
    <row r="296" spans="1:2">
      <c r="A296" t="s">
        <v>140</v>
      </c>
      <c r="B296">
        <v>0</v>
      </c>
    </row>
    <row r="297" spans="1:2">
      <c r="A297" t="s">
        <v>140</v>
      </c>
      <c r="B297">
        <v>0</v>
      </c>
    </row>
    <row r="298" spans="1:2">
      <c r="A298" t="s">
        <v>140</v>
      </c>
      <c r="B298">
        <v>0</v>
      </c>
    </row>
    <row r="299" spans="1:2">
      <c r="A299" t="s">
        <v>140</v>
      </c>
      <c r="B299">
        <v>0</v>
      </c>
    </row>
    <row r="300" spans="1:2">
      <c r="A300" t="s">
        <v>140</v>
      </c>
      <c r="B300">
        <v>0</v>
      </c>
    </row>
  </sheetData>
  <conditionalFormatting sqref="CT68:EC68 EF68:EJ68">
    <cfRule type="expression" dxfId="249" priority="2" stopIfTrue="1">
      <formula>CT68="Check LLR"</formula>
    </cfRule>
  </conditionalFormatting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>
    <row r="1" spans="1:1" ht="409.5">
      <c r="A1" s="889" t="s">
        <v>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1"/>
  </sheetPr>
  <dimension ref="A1:Y101"/>
  <sheetViews>
    <sheetView showGridLines="0" tabSelected="1" zoomScale="85" zoomScaleNormal="85" workbookViewId="0"/>
  </sheetViews>
  <sheetFormatPr defaultRowHeight="15"/>
  <cols>
    <col min="1" max="1" width="4" customWidth="1"/>
    <col min="2" max="2" width="31.7109375" customWidth="1"/>
    <col min="3" max="3" width="16.7109375" customWidth="1"/>
    <col min="4" max="4" width="26.5703125" customWidth="1"/>
    <col min="5" max="5" width="20.7109375" customWidth="1"/>
    <col min="6" max="6" width="16.5703125" customWidth="1"/>
    <col min="7" max="7" width="13.140625" style="700" customWidth="1"/>
    <col min="8" max="8" width="24" customWidth="1"/>
    <col min="9" max="9" width="19.42578125" bestFit="1" customWidth="1"/>
    <col min="10" max="10" width="12.140625" bestFit="1" customWidth="1"/>
    <col min="11" max="11" width="13.42578125" customWidth="1"/>
    <col min="12" max="12" width="17.85546875" style="700" hidden="1" customWidth="1"/>
    <col min="13" max="13" width="11" style="700" hidden="1" customWidth="1"/>
    <col min="14" max="14" width="5.85546875" style="700" hidden="1" customWidth="1"/>
    <col min="15" max="15" width="25.42578125" style="700" hidden="1" customWidth="1"/>
    <col min="16" max="16" width="15.85546875" hidden="1" customWidth="1"/>
    <col min="17" max="17" width="11.7109375" customWidth="1"/>
    <col min="18" max="18" width="31.7109375" bestFit="1" customWidth="1"/>
    <col min="19" max="19" width="25.42578125" bestFit="1" customWidth="1"/>
    <col min="20" max="20" width="15.85546875" bestFit="1" customWidth="1"/>
    <col min="21" max="21" width="13.42578125" bestFit="1" customWidth="1"/>
    <col min="22" max="22" width="31.7109375" bestFit="1" customWidth="1"/>
    <col min="23" max="24" width="12" bestFit="1" customWidth="1"/>
    <col min="25" max="25" width="13.42578125" bestFit="1" customWidth="1"/>
  </cols>
  <sheetData>
    <row r="1" spans="2:11" ht="9.75" customHeight="1">
      <c r="B1" s="245" t="e">
        <f ca="1">B2&amp;" Loans"</f>
        <v>#NAME?</v>
      </c>
    </row>
    <row r="2" spans="2:11" ht="22.5">
      <c r="B2" s="701" t="e">
        <f ca="1">Config!B10</f>
        <v>#NAME?</v>
      </c>
      <c r="F2" s="703"/>
    </row>
    <row r="3" spans="2:11" ht="19.5">
      <c r="B3" s="704">
        <f>IF(ISBLANK(DB_LOAD!AO2),"",DB_LOAD!AO2)</f>
        <v>0.85</v>
      </c>
      <c r="E3" s="702" t="s">
        <v>480</v>
      </c>
      <c r="F3" s="1106" t="str">
        <f>IFERROR(VALUE(VLOOKUP(E3, DB_LOAD!$BH$2:$BJ$20,3,FALSE)),IFERROR(VLOOKUP(E3, DB_LOAD!$BH$2:$BJ$20,3,FALSE),""))</f>
        <v/>
      </c>
    </row>
    <row r="4" spans="2:11" ht="19.5">
      <c r="B4" s="705" t="e">
        <f ca="1">Config!$B$18&amp;" - "&amp;Config!$B$13&amp;IF(Config!$B$16=0,"","; "&amp;Config!$B$16)</f>
        <v>#NAME?</v>
      </c>
      <c r="E4" s="702" t="s">
        <v>499</v>
      </c>
      <c r="F4" s="1106" t="str">
        <f>IFERROR(IF(ISBLANK(DB_LOAD!BE2),"",VALUE(DB_LOAD!BE2)),"")</f>
        <v/>
      </c>
      <c r="G4"/>
    </row>
    <row r="5" spans="2:11">
      <c r="B5" s="706" t="s">
        <v>501</v>
      </c>
      <c r="C5" s="707"/>
      <c r="E5" s="702" t="s">
        <v>500</v>
      </c>
      <c r="F5" s="1107"/>
      <c r="G5"/>
    </row>
    <row r="6" spans="2:11">
      <c r="B6" s="708" t="s">
        <v>502</v>
      </c>
      <c r="C6" s="4"/>
      <c r="E6" s="702" t="s">
        <v>656</v>
      </c>
      <c r="F6" s="683" t="str">
        <f>IFERROR(VLOOKUP(E6, DB_LOAD!$BH$2:$BJ$20,3,FALSE),"")</f>
        <v/>
      </c>
      <c r="K6" s="37"/>
    </row>
    <row r="7" spans="2:11">
      <c r="K7" s="37"/>
    </row>
    <row r="8" spans="2:11">
      <c r="B8" s="746" t="e">
        <f ca="1">"DWM Investments in "&amp;B2&amp;" as of "&amp;TEXT(TODAY(),"mmmm  yyyy")</f>
        <v>#NAME?</v>
      </c>
      <c r="C8" s="709"/>
      <c r="D8" s="709"/>
      <c r="E8" s="709"/>
      <c r="F8" s="709"/>
      <c r="G8"/>
      <c r="K8" s="745"/>
    </row>
    <row r="9" spans="2:11">
      <c r="B9" s="710" t="s">
        <v>309</v>
      </c>
      <c r="C9" s="710" t="s">
        <v>285</v>
      </c>
      <c r="D9" s="711" t="s">
        <v>620</v>
      </c>
      <c r="E9" s="710" t="s">
        <v>311</v>
      </c>
      <c r="F9" s="710" t="s">
        <v>312</v>
      </c>
      <c r="G9"/>
      <c r="H9" s="712" t="s">
        <v>448</v>
      </c>
      <c r="I9" s="713" t="s">
        <v>449</v>
      </c>
      <c r="J9" s="714" t="s">
        <v>450</v>
      </c>
      <c r="K9" s="745"/>
    </row>
    <row r="10" spans="2:11">
      <c r="B10" s="715">
        <f>IF(ISBLANK(DB_LOAD!N2),"",DB_LOAD!N2)</f>
        <v>2</v>
      </c>
      <c r="C10" s="716" t="str">
        <f>IF(ISBLANK(DB_LOAD!P2),"",DB_LOAD!R2)</f>
        <v>USD</v>
      </c>
      <c r="D10" s="717">
        <f>IF(ISBLANK(DB_LOAD!R2),"",DB_LOAD!Q2)</f>
        <v>2500000</v>
      </c>
      <c r="E10" s="1132">
        <f>IF(DB_LOAD!V2=3,"-",IF(ISBLANK(DB_LOAD!S2),"",DB_LOAD!U2))</f>
        <v>0</v>
      </c>
      <c r="F10" s="718">
        <f>IF(DB_LOAD!V2=3,"Equity",IF(ISBLANK(DB_LOAD!T2),"",DB_LOAD!T2))</f>
        <v>2500000</v>
      </c>
      <c r="G10" s="245">
        <f>IF(H10="",0,1)</f>
        <v>0</v>
      </c>
      <c r="H10" s="719" t="str">
        <f>'Risk Assessment'!N9</f>
        <v/>
      </c>
      <c r="I10" s="720" t="e">
        <f>TEXT('Risk Assessment'!AB9,IF($AZ8="Debt to Equity","0.0x",IF(OR($AZ8="Net Income",$AZ8="Total Equity"),"0.00 MM","0.0%")))</f>
        <v>#N/A</v>
      </c>
      <c r="J10" s="721" t="e">
        <f>TEXT(IF(OR('Risk Assessment'!Z9="",ISERROR('Risk Assessment'!Z9)),"",'Risk Assessment'!Z9),IF($AZ8="Debt to Equity","0.0x",IF(OR($AZ8="Net Income",$AZ8="Total Equity"),"0.00 MM","0.0%")))</f>
        <v>#N/A</v>
      </c>
      <c r="K10" s="745"/>
    </row>
    <row r="11" spans="2:11">
      <c r="B11" s="715">
        <f>IF(ISBLANK(DB_LOAD!N3),"",DB_LOAD!N3)</f>
        <v>2</v>
      </c>
      <c r="C11" s="716" t="str">
        <f>IF(ISBLANK(DB_LOAD!P3),"",DB_LOAD!R3)</f>
        <v>AZN</v>
      </c>
      <c r="D11" s="717">
        <f>IF(ISBLANK(DB_LOAD!R3),"",DB_LOAD!Q3)</f>
        <v>1998009.950249</v>
      </c>
      <c r="E11" s="1132">
        <f>IF(DB_LOAD!V3=3,"-",IF(ISBLANK(DB_LOAD!S3),"",DB_LOAD!U3))</f>
        <v>0</v>
      </c>
      <c r="F11" s="718">
        <f>IF(DB_LOAD!V3=3,"Equity",IF(ISBLANK(DB_LOAD!T3),"",DB_LOAD!T3))</f>
        <v>1530269.111693</v>
      </c>
      <c r="G11" s="245">
        <f t="shared" ref="G11:G16" si="0">IF(H11="",0,1)</f>
        <v>0</v>
      </c>
      <c r="H11" s="719" t="str">
        <f>'Risk Assessment'!N10</f>
        <v/>
      </c>
      <c r="I11" s="720" t="e">
        <f>TEXT('Risk Assessment'!AB10,IF($AZ9="Debt to Equity","0.0x",IF(OR($AZ9="Net Income",$AZ9="Total Equity"),"0.00 MM","0.0%")))</f>
        <v>#N/A</v>
      </c>
      <c r="J11" s="721" t="e">
        <f>TEXT(IF(OR('Risk Assessment'!Z10="",ISERROR('Risk Assessment'!Z10)),"",'Risk Assessment'!Z10),IF($AZ9="Debt to Equity","0.0x",IF(OR($AZ9="Net Income",$AZ9="Total Equity"),"0.00 MM","0.0%")))</f>
        <v>#N/A</v>
      </c>
      <c r="K11" s="245">
        <f>IF(AND(G10=1,G11=0),1,0)</f>
        <v>0</v>
      </c>
    </row>
    <row r="12" spans="2:11">
      <c r="B12" s="715">
        <f>IF(ISBLANK(DB_LOAD!N4),"",DB_LOAD!N4)</f>
        <v>2</v>
      </c>
      <c r="C12" s="716" t="str">
        <f>IF(ISBLANK(DB_LOAD!P4),"",DB_LOAD!R4)</f>
        <v>AZN</v>
      </c>
      <c r="D12" s="717">
        <f>IF(ISBLANK(DB_LOAD!R4),"",DB_LOAD!Q4)</f>
        <v>2006507.1770329999</v>
      </c>
      <c r="E12" s="1132">
        <f>IF(DB_LOAD!V4=3,"-",IF(ISBLANK(DB_LOAD!S4),"",DB_LOAD!U4))</f>
        <v>0</v>
      </c>
      <c r="F12" s="718">
        <f>IF(DB_LOAD!V4=3,"Equity",IF(ISBLANK(DB_LOAD!T4),"",DB_LOAD!T4))</f>
        <v>1498070.9692780001</v>
      </c>
      <c r="G12" s="245">
        <f t="shared" si="0"/>
        <v>0</v>
      </c>
      <c r="H12" s="719" t="str">
        <f>'Risk Assessment'!N11</f>
        <v/>
      </c>
      <c r="I12" s="720" t="e">
        <f>TEXT('Risk Assessment'!AB11,IF($AZ10="Debt to Equity","0.0x",IF(OR($AZ10="Net Income",$AZ10="Total Equity"),"0.00 MM","0.0%")))</f>
        <v>#N/A</v>
      </c>
      <c r="J12" s="721" t="e">
        <f>TEXT(IF(OR('Risk Assessment'!Z11="",ISERROR('Risk Assessment'!Z11)),"",'Risk Assessment'!Z11),IF($AZ10="Debt to Equity","0.0x",IF(OR($AZ10="Net Income",$AZ10="Total Equity"),"0.00 MM","0.0%")))</f>
        <v>#N/A</v>
      </c>
      <c r="K12" s="245">
        <f t="shared" ref="K12:K16" si="1">IF(AND(G11=1,G12=0),1,0)</f>
        <v>0</v>
      </c>
    </row>
    <row r="13" spans="2:11">
      <c r="B13" s="715">
        <f>IF(ISBLANK(DB_LOAD!N5),"",DB_LOAD!N5)</f>
        <v>2</v>
      </c>
      <c r="C13" s="716" t="str">
        <f>IF(ISBLANK(DB_LOAD!P5),"",DB_LOAD!R5)</f>
        <v>USD</v>
      </c>
      <c r="D13" s="717">
        <f>IF(ISBLANK(DB_LOAD!R5),"",DB_LOAD!Q5)</f>
        <v>0</v>
      </c>
      <c r="E13" s="1132">
        <f>IF(DB_LOAD!V5=3,"-",IF(ISBLANK(DB_LOAD!S5),"",DB_LOAD!U5))</f>
        <v>0</v>
      </c>
      <c r="F13" s="718">
        <f>IF(DB_LOAD!V5=3,"Equity",IF(ISBLANK(DB_LOAD!T5),"",DB_LOAD!T5))</f>
        <v>5500000</v>
      </c>
      <c r="G13" s="245">
        <f t="shared" si="0"/>
        <v>0</v>
      </c>
      <c r="H13" s="719" t="str">
        <f>'Risk Assessment'!N12</f>
        <v/>
      </c>
      <c r="I13" s="720" t="e">
        <f>TEXT('Risk Assessment'!AB12,IF($AZ11="Debt to Equity","0.0x",IF(OR($AZ11="Net Income",$AZ11="Total Equity"),"0.00 MM","0.0%")))</f>
        <v>#N/A</v>
      </c>
      <c r="J13" s="721" t="e">
        <f>TEXT(IF(OR('Risk Assessment'!Z12="",ISERROR('Risk Assessment'!Z12)),"",'Risk Assessment'!Z12),IF($AZ11="Debt to Equity","0.0x",IF(OR($AZ11="Net Income",$AZ11="Total Equity"),"0.00 MM","0.0%")))</f>
        <v>#N/A</v>
      </c>
      <c r="K13" s="245">
        <f t="shared" si="1"/>
        <v>0</v>
      </c>
    </row>
    <row r="14" spans="2:11">
      <c r="B14" s="715">
        <f>IF(ISBLANK(DB_LOAD!N6),"",DB_LOAD!N6)</f>
        <v>15</v>
      </c>
      <c r="C14" s="716" t="str">
        <f>IF(ISBLANK(DB_LOAD!P6),"",DB_LOAD!R6)</f>
        <v>AZN</v>
      </c>
      <c r="D14" s="717">
        <f>IF(ISBLANK(DB_LOAD!R6),"",DB_LOAD!Q6)</f>
        <v>1638364.141573</v>
      </c>
      <c r="E14" s="1132">
        <f>IF(DB_LOAD!V6=3,"-",IF(ISBLANK(DB_LOAD!S6),"",DB_LOAD!U6))</f>
        <v>0</v>
      </c>
      <c r="F14" s="718">
        <f>IF(DB_LOAD!V6=3,"Equity",IF(ISBLANK(DB_LOAD!T6),"",DB_LOAD!T6))</f>
        <v>1225005.001191</v>
      </c>
      <c r="G14" s="245">
        <f t="shared" si="0"/>
        <v>0</v>
      </c>
      <c r="H14" s="719" t="str">
        <f>'Risk Assessment'!N13</f>
        <v/>
      </c>
      <c r="I14" s="720" t="e">
        <f>TEXT('Risk Assessment'!AB13,IF($AZ12="Debt to Equity","0.0x",IF(OR($AZ12="Net Income",$AZ12="Total Equity"),"0.00 MM","0.0%")))</f>
        <v>#N/A</v>
      </c>
      <c r="J14" s="721" t="e">
        <f>TEXT(IF(OR('Risk Assessment'!Z13="",ISERROR('Risk Assessment'!Z13)),"",'Risk Assessment'!Z13),IF($AZ12="Debt to Equity","0.0x",IF(OR($AZ12="Net Income",$AZ12="Total Equity"),"0.00 MM","0.0%")))</f>
        <v>#N/A</v>
      </c>
      <c r="K14" s="245">
        <f t="shared" si="1"/>
        <v>0</v>
      </c>
    </row>
    <row r="15" spans="2:11">
      <c r="B15" s="715">
        <f>IF(ISBLANK(DB_LOAD!N7),"",DB_LOAD!N7)</f>
        <v>15</v>
      </c>
      <c r="C15" s="716" t="str">
        <f>IF(ISBLANK(DB_LOAD!P7),"",DB_LOAD!R7)</f>
        <v>AZN</v>
      </c>
      <c r="D15" s="717">
        <f>IF(ISBLANK(DB_LOAD!R7),"",DB_LOAD!Q7)</f>
        <v>1400982.3308029999</v>
      </c>
      <c r="E15" s="1132">
        <f>IF(DB_LOAD!V7=3,"-",IF(ISBLANK(DB_LOAD!S7),"",DB_LOAD!U7))</f>
        <v>0</v>
      </c>
      <c r="F15" s="718">
        <f>IF(DB_LOAD!V7=3,"Equity",IF(ISBLANK(DB_LOAD!T7),"",DB_LOAD!T7))</f>
        <v>1046115.7418430001</v>
      </c>
      <c r="G15" s="245">
        <f t="shared" si="0"/>
        <v>0</v>
      </c>
      <c r="H15" s="719" t="str">
        <f>'Risk Assessment'!N14</f>
        <v/>
      </c>
      <c r="I15" s="720" t="e">
        <f>TEXT('Risk Assessment'!AB14,IF($AZ13="Debt to Equity","0.0x",IF(OR($AZ13="Net Income",$AZ13="Total Equity"),"0.00 MM","0.0%")))</f>
        <v>#N/A</v>
      </c>
      <c r="J15" s="721" t="e">
        <f>TEXT(IF(OR('Risk Assessment'!Z14="",ISERROR('Risk Assessment'!Z14)),"",'Risk Assessment'!Z14),IF($AZ13="Debt to Equity","0.0x",IF(OR($AZ13="Net Income",$AZ13="Total Equity"),"0.00 MM","0.0%")))</f>
        <v>#N/A</v>
      </c>
      <c r="K15" s="245">
        <f t="shared" si="1"/>
        <v>0</v>
      </c>
    </row>
    <row r="16" spans="2:11">
      <c r="B16" s="715">
        <f>IF(ISBLANK(DB_LOAD!N8),"",DB_LOAD!N8)</f>
        <v>15</v>
      </c>
      <c r="C16" s="716" t="str">
        <f>IF(ISBLANK(DB_LOAD!P8),"",DB_LOAD!R8)</f>
        <v>AZN</v>
      </c>
      <c r="D16" s="717">
        <f>IF(ISBLANK(DB_LOAD!R8),"",DB_LOAD!Q8)</f>
        <v>1000701.754386</v>
      </c>
      <c r="E16" s="1132">
        <f>IF(DB_LOAD!V8=3,"-",IF(ISBLANK(DB_LOAD!S8),"",DB_LOAD!U8))</f>
        <v>0</v>
      </c>
      <c r="F16" s="718">
        <f>IF(DB_LOAD!V8=3,"Equity",IF(ISBLANK(DB_LOAD!T8),"",DB_LOAD!T8))</f>
        <v>747130.26911200001</v>
      </c>
      <c r="G16" s="245">
        <f t="shared" si="0"/>
        <v>0</v>
      </c>
      <c r="H16" s="719" t="str">
        <f>'Risk Assessment'!N15</f>
        <v/>
      </c>
      <c r="I16" s="720" t="e">
        <f>TEXT('Risk Assessment'!AB15,IF($AZ14="Debt to Equity","0.0x",IF(OR($AZ14="Net Income",$AZ14="Total Equity"),"0.00 MM","0.0%")))</f>
        <v>#N/A</v>
      </c>
      <c r="J16" s="721" t="e">
        <f>TEXT(IF(OR('Risk Assessment'!Z15="",ISERROR('Risk Assessment'!Z15)),"",'Risk Assessment'!Z15),IF($AZ14="Debt to Equity","0.0x",IF(OR($AZ14="Net Income",$AZ14="Total Equity"),"0.00 MM","0.0%")))</f>
        <v>#N/A</v>
      </c>
      <c r="K16" s="245">
        <f t="shared" si="1"/>
        <v>0</v>
      </c>
    </row>
    <row r="17" spans="2:11">
      <c r="B17" s="715">
        <f>IF(ISBLANK(DB_LOAD!N9),"",DB_LOAD!N9)</f>
        <v>33</v>
      </c>
      <c r="C17" s="716" t="str">
        <f>IF(ISBLANK(DB_LOAD!P9),"",DB_LOAD!R9)</f>
        <v>AZN</v>
      </c>
      <c r="D17" s="717">
        <f>IF(ISBLANK(DB_LOAD!R9),"",DB_LOAD!Q9)</f>
        <v>2001403.508772</v>
      </c>
      <c r="E17" s="1132">
        <f>IF(DB_LOAD!V9=3,"-",IF(ISBLANK(DB_LOAD!S9),"",DB_LOAD!U9))</f>
        <v>0</v>
      </c>
      <c r="F17" s="718">
        <f>IF(DB_LOAD!V9=3,"Equity",IF(ISBLANK(DB_LOAD!T9),"",DB_LOAD!T9))</f>
        <v>1494260.538223</v>
      </c>
      <c r="G17"/>
      <c r="K17" s="745"/>
    </row>
    <row r="18" spans="2:11">
      <c r="B18" s="710" t="s">
        <v>328</v>
      </c>
      <c r="C18" s="710"/>
      <c r="D18" s="722">
        <f>SUM(D10:D17)</f>
        <v>12545968.862816</v>
      </c>
      <c r="E18" s="710"/>
      <c r="F18" s="710"/>
      <c r="G18"/>
      <c r="K18" s="37"/>
    </row>
    <row r="19" spans="2:11">
      <c r="B19" s="747" t="e">
        <f ca="1">B2&amp;" "&amp;TEXT(D18/H41,"0.0%")</f>
        <v>#NAME?</v>
      </c>
      <c r="G19"/>
      <c r="K19" s="37"/>
    </row>
    <row r="20" spans="2:11" ht="18.75">
      <c r="B20" s="723" t="e">
        <f ca="1">"Total DWM Exposure as % of "&amp;'Balance Sheet'!C2&amp;"'s Total Assets"</f>
        <v>#NAME?</v>
      </c>
      <c r="C20" s="724"/>
      <c r="D20" s="724"/>
      <c r="E20" s="724"/>
      <c r="F20" s="725" t="e">
        <f ca="1">($D$18)/IF('Balance Sheet'!E5="USD",'Balance Sheet'!AQ18,'Balance Sheet'!AQ18/DB_LOAD!K2)</f>
        <v>#NAME?</v>
      </c>
      <c r="G20"/>
      <c r="K20" s="37"/>
    </row>
    <row r="22" spans="2:11">
      <c r="C22" s="489" t="str">
        <f ca="1">'Refi-Annual Review'!AM6</f>
        <v>No Financials</v>
      </c>
      <c r="D22" s="489" t="str">
        <f ca="1">'Refi-Annual Review'!AN6</f>
        <v>No Financials</v>
      </c>
      <c r="E22" s="489" t="str">
        <f>'Refi-Annual Review'!AO6</f>
        <v>Unaudited</v>
      </c>
    </row>
    <row r="23" spans="2:11">
      <c r="B23" s="490" t="s">
        <v>9</v>
      </c>
      <c r="C23" s="491">
        <f ca="1">'Refi-Annual Review'!AM7</f>
        <v>-1</v>
      </c>
      <c r="D23" s="491">
        <f ca="1">'Refi-Annual Review'!AN7</f>
        <v>0</v>
      </c>
      <c r="E23" s="491" t="str">
        <f>'Refi-Annual Review'!AO7</f>
        <v>YTD Jan-00</v>
      </c>
    </row>
    <row r="24" spans="2:11">
      <c r="B24" s="493" t="str">
        <f>'Refi-Annual Review'!AJ8</f>
        <v>Total Assets (USD)</v>
      </c>
      <c r="C24" s="494" t="e">
        <f ca="1">'Refi-Annual Review'!AM8</f>
        <v>#N/A</v>
      </c>
      <c r="D24" s="494" t="e">
        <f ca="1">'Refi-Annual Review'!AN8</f>
        <v>#N/A</v>
      </c>
      <c r="E24" s="494" t="e">
        <f ca="1">'Refi-Annual Review'!AO8</f>
        <v>#NAME?</v>
      </c>
    </row>
    <row r="25" spans="2:11">
      <c r="B25" s="493" t="str">
        <f>'Refi-Annual Review'!AJ9</f>
        <v>Gross Loan Portfolio (USD)</v>
      </c>
      <c r="C25" s="494" t="e">
        <f ca="1">'Refi-Annual Review'!AM9</f>
        <v>#N/A</v>
      </c>
      <c r="D25" s="494" t="e">
        <f ca="1">'Refi-Annual Review'!AN9</f>
        <v>#N/A</v>
      </c>
      <c r="E25" s="494" t="e">
        <f ca="1">'Refi-Annual Review'!AO9</f>
        <v>#NAME?</v>
      </c>
    </row>
    <row r="26" spans="2:11">
      <c r="B26" s="493" t="str">
        <f>LEFT('Refi-Annual Review'!AJ19,LEN('Refi-Annual Review'!AJ19)-5)</f>
        <v xml:space="preserve">GLP (YoY Growth) </v>
      </c>
      <c r="C26" s="496" t="e">
        <f ca="1">'Refi-Annual Review'!AM19</f>
        <v>#N/A</v>
      </c>
      <c r="D26" s="496" t="e">
        <f ca="1">'Refi-Annual Review'!AN19</f>
        <v>#N/A</v>
      </c>
      <c r="E26" s="496" t="e">
        <f ca="1">'Refi-Annual Review'!AO19</f>
        <v>#NAME?</v>
      </c>
    </row>
    <row r="27" spans="2:11">
      <c r="B27" s="493" t="str">
        <f>'Refi-Annual Review'!AJ10</f>
        <v>Active Borrowers</v>
      </c>
      <c r="C27" s="494" t="e">
        <f ca="1">'Refi-Annual Review'!AM10</f>
        <v>#N/A</v>
      </c>
      <c r="D27" s="494" t="e">
        <f ca="1">'Refi-Annual Review'!AN10</f>
        <v>#N/A</v>
      </c>
      <c r="E27" s="494" t="e">
        <f>'Refi-Annual Review'!AO10</f>
        <v>#NAME?</v>
      </c>
    </row>
    <row r="28" spans="2:11">
      <c r="B28" s="493" t="str">
        <f>'Refi-Annual Review'!AJ13</f>
        <v>Solvency Ratio (E/TA)</v>
      </c>
      <c r="C28" s="496" t="e">
        <f ca="1">'Refi-Annual Review'!AM13</f>
        <v>#N/A</v>
      </c>
      <c r="D28" s="496" t="e">
        <f ca="1">'Refi-Annual Review'!AN13</f>
        <v>#N/A</v>
      </c>
      <c r="E28" s="496" t="e">
        <f ca="1">'Refi-Annual Review'!AO13</f>
        <v>#NAME?</v>
      </c>
    </row>
    <row r="29" spans="2:11">
      <c r="B29" s="493" t="str">
        <f>'Refi-Annual Review'!AJ12</f>
        <v>PAR &gt;30 (R+R)</v>
      </c>
      <c r="C29" s="496" t="e">
        <f ca="1">'Refi-Annual Review'!AM12</f>
        <v>#N/A</v>
      </c>
      <c r="D29" s="496" t="e">
        <f ca="1">'Refi-Annual Review'!AN12</f>
        <v>#N/A</v>
      </c>
      <c r="E29" s="496" t="e">
        <f ca="1">'Refi-Annual Review'!AO12</f>
        <v>#NAME?</v>
      </c>
    </row>
    <row r="30" spans="2:11">
      <c r="B30" s="493" t="str">
        <f>'Refi-Annual Review'!AJ54</f>
        <v>Write-Off Ratio</v>
      </c>
      <c r="C30" s="496" t="e">
        <f ca="1">'Refi-Annual Review'!AM54</f>
        <v>#N/A</v>
      </c>
      <c r="D30" s="496" t="e">
        <f ca="1">'Refi-Annual Review'!AN54</f>
        <v>#N/A</v>
      </c>
      <c r="E30" s="496" t="e">
        <f ca="1">'Refi-Annual Review'!AO54</f>
        <v>#NAME?</v>
      </c>
    </row>
    <row r="31" spans="2:11">
      <c r="B31" s="493" t="str">
        <f>'Refi-Annual Review'!AJ15</f>
        <v>Opp. Self-Sufficiency</v>
      </c>
      <c r="C31" s="496" t="e">
        <f ca="1">'Refi-Annual Review'!AM15</f>
        <v>#N/A</v>
      </c>
      <c r="D31" s="496" t="e">
        <f ca="1">'Refi-Annual Review'!AN15</f>
        <v>#N/A</v>
      </c>
      <c r="E31" s="496" t="e">
        <f ca="1">'Refi-Annual Review'!AO15</f>
        <v>#NAME?</v>
      </c>
    </row>
    <row r="32" spans="2:11">
      <c r="B32" s="493" t="str">
        <f>'Refi-Annual Review'!AJ16</f>
        <v>ROA</v>
      </c>
      <c r="C32" s="496" t="e">
        <f ca="1">'Refi-Annual Review'!AM16</f>
        <v>#N/A</v>
      </c>
      <c r="D32" s="496" t="e">
        <f ca="1">'Refi-Annual Review'!AN16</f>
        <v>#N/A</v>
      </c>
      <c r="E32" s="496" t="e">
        <f ca="1">'Refi-Annual Review'!AO16</f>
        <v>#NAME?</v>
      </c>
    </row>
    <row r="33" spans="1:25">
      <c r="B33" s="493" t="str">
        <f>'Refi-Annual Review'!AJ17</f>
        <v>ROE</v>
      </c>
      <c r="C33" s="496" t="e">
        <f ca="1">'Refi-Annual Review'!AM17</f>
        <v>#N/A</v>
      </c>
      <c r="D33" s="496" t="e">
        <f ca="1">'Refi-Annual Review'!AN17</f>
        <v>#N/A</v>
      </c>
      <c r="E33" s="496" t="e">
        <f ca="1">'Refi-Annual Review'!AO17</f>
        <v>#NAME?</v>
      </c>
      <c r="L33" s="741" t="s">
        <v>510</v>
      </c>
      <c r="M33" s="741" t="s">
        <v>511</v>
      </c>
      <c r="N33" s="741"/>
      <c r="O33" s="742"/>
    </row>
    <row r="34" spans="1:25">
      <c r="B34" s="493" t="str">
        <f>'Refi-Annual Review'!AJ21</f>
        <v>Average Loan Size (USD)</v>
      </c>
      <c r="C34" s="494" t="e">
        <f ca="1">'Refi-Annual Review'!AM21</f>
        <v>#N/A</v>
      </c>
      <c r="D34" s="494" t="e">
        <f ca="1">'Refi-Annual Review'!AN21</f>
        <v>#N/A</v>
      </c>
      <c r="E34" s="494" t="e">
        <f ca="1">'Refi-Annual Review'!AO21</f>
        <v>#NAME?</v>
      </c>
      <c r="L34" s="742" t="e">
        <f ca="1">"Other "&amp;Config!$B$13&amp;" Investments"</f>
        <v>#NAME?</v>
      </c>
      <c r="M34" s="743" t="e">
        <f>VLOOKUP($A$51,$B$46:$J1001,9,FALSE)-D18</f>
        <v>#N/A</v>
      </c>
      <c r="N34" s="744" t="e">
        <f>M34/SUM($M$34:$M$41)</f>
        <v>#N/A</v>
      </c>
      <c r="O34" s="742"/>
    </row>
    <row r="35" spans="1:25">
      <c r="B35" s="856"/>
      <c r="L35" s="744" t="str">
        <f>IFERROR(B10&amp;" -  "&amp;TEXT(N35,P35),"")</f>
        <v>2 -  23.7%</v>
      </c>
      <c r="M35" s="743">
        <f t="shared" ref="M35:M41" si="2">D10</f>
        <v>2500000</v>
      </c>
      <c r="N35" s="744">
        <f t="shared" ref="N35:N41" si="3">M35/SUM($M$35:$M$41)</f>
        <v>0.23708895682847775</v>
      </c>
      <c r="O35" s="742" t="str">
        <f>IF(L35="",1,"")</f>
        <v/>
      </c>
      <c r="P35" s="736" t="s">
        <v>494</v>
      </c>
    </row>
    <row r="36" spans="1:25">
      <c r="L36" s="744" t="str">
        <f t="shared" ref="L36:L41" si="4">IFERROR(B11&amp;" "&amp;TEXT(N36,P36),"")</f>
        <v>2 18.9%</v>
      </c>
      <c r="M36" s="743">
        <f t="shared" si="2"/>
        <v>1998009.950249</v>
      </c>
      <c r="N36" s="744">
        <f t="shared" si="3"/>
        <v>0.18948243793498165</v>
      </c>
      <c r="O36" s="742" t="str">
        <f t="shared" ref="O36:O41" si="5">IF(L36="",1,"")</f>
        <v/>
      </c>
      <c r="P36" s="736" t="s">
        <v>494</v>
      </c>
    </row>
    <row r="37" spans="1:25" ht="13.5" customHeight="1">
      <c r="B37" s="726" t="e">
        <f ca="1">Config!$B$13&amp;" Country Ratings"</f>
        <v>#NAME?</v>
      </c>
      <c r="L37" s="744" t="str">
        <f t="shared" si="4"/>
        <v>2 19.0%</v>
      </c>
      <c r="M37" s="743">
        <f t="shared" si="2"/>
        <v>2006507.1770329999</v>
      </c>
      <c r="N37" s="744">
        <f t="shared" si="3"/>
        <v>0.19028827738864307</v>
      </c>
      <c r="O37" s="742" t="str">
        <f t="shared" si="5"/>
        <v/>
      </c>
      <c r="P37" s="736" t="s">
        <v>494</v>
      </c>
    </row>
    <row r="38" spans="1:25" s="258" customFormat="1">
      <c r="B38" s="727"/>
      <c r="C38" s="728" t="s">
        <v>503</v>
      </c>
      <c r="D38" s="728" t="s">
        <v>504</v>
      </c>
      <c r="E38" s="728" t="s">
        <v>505</v>
      </c>
      <c r="F38"/>
      <c r="G38"/>
      <c r="H38"/>
      <c r="I38"/>
      <c r="J38"/>
      <c r="K38"/>
      <c r="L38" s="744" t="str">
        <f t="shared" si="4"/>
        <v>2 0.0%</v>
      </c>
      <c r="M38" s="743">
        <f t="shared" si="2"/>
        <v>0</v>
      </c>
      <c r="N38" s="744">
        <f t="shared" si="3"/>
        <v>0</v>
      </c>
      <c r="O38" s="742" t="str">
        <f t="shared" si="5"/>
        <v/>
      </c>
      <c r="P38" s="736" t="s">
        <v>494</v>
      </c>
    </row>
    <row r="39" spans="1:25" s="258" customFormat="1">
      <c r="B39" s="258" t="s">
        <v>506</v>
      </c>
      <c r="E39" s="729"/>
      <c r="F39"/>
      <c r="H39"/>
      <c r="I39"/>
      <c r="J39"/>
      <c r="K39"/>
      <c r="L39" s="744" t="str">
        <f t="shared" si="4"/>
        <v>15 15.5%</v>
      </c>
      <c r="M39" s="743">
        <f t="shared" si="2"/>
        <v>1638364.141573</v>
      </c>
      <c r="N39" s="744">
        <f t="shared" si="3"/>
        <v>0.1553752180922908</v>
      </c>
      <c r="O39" s="742" t="str">
        <f t="shared" si="5"/>
        <v/>
      </c>
      <c r="P39" s="736" t="s">
        <v>494</v>
      </c>
    </row>
    <row r="40" spans="1:25" s="258" customFormat="1">
      <c r="B40" s="258" t="s">
        <v>507</v>
      </c>
      <c r="E40" s="729"/>
      <c r="F40"/>
      <c r="H40"/>
      <c r="I40"/>
      <c r="J40"/>
      <c r="K40"/>
      <c r="L40" s="744" t="str">
        <f t="shared" si="4"/>
        <v>15 13.3%</v>
      </c>
      <c r="M40" s="743">
        <f t="shared" si="2"/>
        <v>1400982.3308029999</v>
      </c>
      <c r="N40" s="744">
        <f t="shared" si="3"/>
        <v>0.13286297573808503</v>
      </c>
      <c r="O40" s="742" t="str">
        <f t="shared" si="5"/>
        <v/>
      </c>
      <c r="P40" s="736" t="s">
        <v>494</v>
      </c>
    </row>
    <row r="41" spans="1:25" s="258" customFormat="1">
      <c r="B41" s="258" t="s">
        <v>508</v>
      </c>
      <c r="E41" s="729"/>
      <c r="F41"/>
      <c r="G41"/>
      <c r="H41"/>
      <c r="I41"/>
      <c r="J41"/>
      <c r="K41"/>
      <c r="L41" s="744" t="str">
        <f t="shared" si="4"/>
        <v>15 9.5%</v>
      </c>
      <c r="M41" s="743">
        <f t="shared" si="2"/>
        <v>1000701.754386</v>
      </c>
      <c r="N41" s="744">
        <f t="shared" si="3"/>
        <v>9.4902134017521719E-2</v>
      </c>
      <c r="O41" s="742" t="str">
        <f t="shared" si="5"/>
        <v/>
      </c>
      <c r="P41" s="736" t="s">
        <v>494</v>
      </c>
    </row>
    <row r="42" spans="1:25" s="258" customFormat="1">
      <c r="F42"/>
      <c r="G42"/>
      <c r="H42"/>
      <c r="I42"/>
      <c r="J42"/>
      <c r="L42" s="740"/>
      <c r="M42" s="740"/>
      <c r="N42" s="740"/>
      <c r="O42" s="740"/>
    </row>
    <row r="43" spans="1:25" s="258" customFormat="1" ht="13.5" customHeight="1">
      <c r="B43" s="748" t="s">
        <v>647</v>
      </c>
      <c r="C43" s="245">
        <v>1</v>
      </c>
      <c r="D43" s="245">
        <f>C43+COUNTIF(DB_LOAD!$AC$2:$AC$300,C44)</f>
        <v>2</v>
      </c>
      <c r="E43" s="245">
        <f>D43+COUNTIF(DB_LOAD!$AC$2:$AC$300,D44)</f>
        <v>3</v>
      </c>
      <c r="F43" s="245">
        <f>E43+COUNTIF(DB_LOAD!$AC$2:$AC$300,E44)</f>
        <v>4</v>
      </c>
      <c r="G43" s="245">
        <f>F43+COUNTIF(DB_LOAD!$AC$2:$AC$300,F44)</f>
        <v>5</v>
      </c>
      <c r="H43" s="245">
        <f>G43+COUNTIF(DB_LOAD!$AC$2:$AC$300,G44)</f>
        <v>6</v>
      </c>
      <c r="I43" s="245">
        <f>H43+COUNTIF(DB_LOAD!$AC$2:$AC$300,H44)</f>
        <v>8</v>
      </c>
      <c r="J43" s="245">
        <f>I43+COUNTIF(DB_LOAD!$AC$2:$AC$300,I44)</f>
        <v>12</v>
      </c>
      <c r="K43" s="245">
        <f>J43+COUNTIF(DB_LOAD!$AC$2:$AC$300,J44)</f>
        <v>13</v>
      </c>
      <c r="L43" s="740"/>
      <c r="M43" s="740"/>
      <c r="N43" s="740"/>
      <c r="O43" s="740"/>
      <c r="Q43" s="730">
        <f>K43+COUNTIF(DB_LOAD!$AC$2:$AC$300,K44)</f>
        <v>18</v>
      </c>
      <c r="R43" s="245">
        <f>Q43+COUNTIF(DB_LOAD!$AC$2:$AC$300,Q44)</f>
        <v>19</v>
      </c>
      <c r="S43" s="245">
        <f>R43+COUNTIF(DB_LOAD!$AC$2:$AC$300,R44)</f>
        <v>22</v>
      </c>
      <c r="T43" s="245">
        <f>S43+COUNTIF(DB_LOAD!$AC$2:$AC$300,S44)</f>
        <v>23</v>
      </c>
      <c r="U43" s="245">
        <f>T43+COUNTIF(DB_LOAD!$AC$2:$AC$300,T44)</f>
        <v>25</v>
      </c>
      <c r="V43" s="245">
        <f>U43+COUNTIF(DB_LOAD!$AC$2:$AC$300,U44)</f>
        <v>26</v>
      </c>
      <c r="W43" s="245">
        <f>V43+COUNTIF(DB_LOAD!$AC$2:$AC$300,V44)</f>
        <v>27</v>
      </c>
      <c r="X43" s="245">
        <f>W43+COUNTIF(DB_LOAD!$AC$2:$AC$300,W44)</f>
        <v>29</v>
      </c>
      <c r="Y43" s="245">
        <f>X43+COUNTIF(DB_LOAD!$AC$2:$AC$300,X44)</f>
        <v>30</v>
      </c>
    </row>
    <row r="44" spans="1:25" s="258" customFormat="1">
      <c r="B44" s="1097" t="s">
        <v>309</v>
      </c>
      <c r="C44" s="1098">
        <f>MIN(DB_LOAD!$AC$2:$AC$300)</f>
        <v>0.78310000000000002</v>
      </c>
      <c r="D44" s="1098">
        <f>IFERROR(SMALL(DB_LOAD!$AC$2:$AC$300,D43),"")</f>
        <v>0.78320000000000001</v>
      </c>
      <c r="E44" s="1098">
        <f>IFERROR(SMALL(DB_LOAD!$AC$2:$AC$300,E43),"")</f>
        <v>0.78325</v>
      </c>
      <c r="F44" s="1098">
        <f>IFERROR(SMALL(DB_LOAD!$AC$2:$AC$300,F43),"")</f>
        <v>0.7833</v>
      </c>
      <c r="G44" s="1098">
        <f>IFERROR(SMALL(DB_LOAD!$AC$2:$AC$300,G43),"")</f>
        <v>0.78334999999999999</v>
      </c>
      <c r="H44" s="1098">
        <f>IFERROR(SMALL(DB_LOAD!$AC$2:$AC$300,H43),"")</f>
        <v>0.78364999999999996</v>
      </c>
      <c r="I44" s="1098">
        <f>IFERROR(SMALL(DB_LOAD!$AC$2:$AC$300,I43),"")</f>
        <v>0.78374999999999995</v>
      </c>
      <c r="J44" s="1098">
        <f>IFERROR(SMALL(DB_LOAD!$AC$2:$AC$300,J43),"")</f>
        <v>0.78380000000000005</v>
      </c>
      <c r="K44" s="1098">
        <f>IFERROR(SMALL(DB_LOAD!$AC$2:$AC$300,K43),"")</f>
        <v>0.78385000000000005</v>
      </c>
      <c r="L44" s="740"/>
      <c r="M44" s="740"/>
      <c r="N44" s="740"/>
      <c r="O44" s="740"/>
      <c r="Q44" s="1098">
        <f>IFERROR(SMALL(DB_LOAD!$AC$2:$AC$300,Q43),"")</f>
        <v>0.78390000000000004</v>
      </c>
      <c r="R44" s="1098">
        <f>IFERROR(SMALL(DB_LOAD!$AC$2:$AC$300,R43),"")</f>
        <v>0.78395000000000004</v>
      </c>
      <c r="S44" s="1098">
        <f>IFERROR(SMALL(DB_LOAD!$AC$2:$AC$300,S43),"")</f>
        <v>0.78400000000000003</v>
      </c>
      <c r="T44" s="1098">
        <f>IFERROR(SMALL(DB_LOAD!$AC$2:$AC$300,T43),"")</f>
        <v>0.78405000000000002</v>
      </c>
      <c r="U44" s="1098">
        <f>IFERROR(SMALL(DB_LOAD!$AC$2:$AC$300,U43),"")</f>
        <v>0.78415000000000001</v>
      </c>
      <c r="V44" s="1098">
        <f>IFERROR(SMALL(DB_LOAD!$AC$2:$AC$300,V43),"")</f>
        <v>0.78425</v>
      </c>
      <c r="W44" s="1098">
        <f>IFERROR(SMALL(DB_LOAD!$AC$2:$AC$300,W43),"")</f>
        <v>0.78434999999999999</v>
      </c>
      <c r="X44" s="1098">
        <f>IFERROR(SMALL(DB_LOAD!$AC$2:$AC$300,X43),"")</f>
        <v>0.78439999999999999</v>
      </c>
      <c r="Y44" s="1098">
        <f>IFERROR(SMALL(DB_LOAD!$AC$2:$AC$300,Y43),"")</f>
        <v>0.78449999999999998</v>
      </c>
    </row>
    <row r="45" spans="1:25">
      <c r="A45" s="258"/>
      <c r="B45" s="715" t="s">
        <v>455</v>
      </c>
      <c r="C45" s="1102">
        <f>IFERROR(SUMIFS(DB_LOAD!$AA$2:$AA$300,DB_LOAD!$X$2:$X$300,TEXT(C$44,"yyyy-mm-dd")&amp;"-"&amp;$B45),"")</f>
        <v>0</v>
      </c>
      <c r="D45" s="1102">
        <f>IFERROR(SUMIFS(DB_LOAD!$AA$2:$AA$300,DB_LOAD!$X$2:$X$300,TEXT(D$44,"yyyy-mm-dd")&amp;"-"&amp;$B45),"")</f>
        <v>0</v>
      </c>
      <c r="E45" s="1102">
        <f>IFERROR(SUMIFS(DB_LOAD!$AA$2:$AA$300,DB_LOAD!$X$2:$X$300,TEXT(E$44,"yyyy-mm-dd")&amp;"-"&amp;$B45),"")</f>
        <v>0</v>
      </c>
      <c r="F45" s="1102">
        <f>IFERROR(SUMIFS(DB_LOAD!$AA$2:$AA$300,DB_LOAD!$X$2:$X$300,TEXT(F$44,"yyyy-mm-dd")&amp;"-"&amp;$B45),"")</f>
        <v>0</v>
      </c>
      <c r="G45" s="1102">
        <f>IFERROR(SUMIFS(DB_LOAD!$AA$2:$AA$300,DB_LOAD!$X$2:$X$300,TEXT(G$44,"yyyy-mm-dd")&amp;"-"&amp;$B45),"")</f>
        <v>0</v>
      </c>
      <c r="H45" s="1102">
        <f>IFERROR(SUMIFS(DB_LOAD!$AA$2:$AA$300,DB_LOAD!$X$2:$X$300,TEXT(H$44,"yyyy-mm-dd")&amp;"-"&amp;$B45),"")</f>
        <v>0</v>
      </c>
      <c r="I45" s="1102">
        <f>IFERROR(SUMIFS(DB_LOAD!$AA$2:$AA$300,DB_LOAD!$X$2:$X$300,TEXT(I$44,"yyyy-mm-dd")&amp;"-"&amp;$B45),"")</f>
        <v>0</v>
      </c>
      <c r="J45" s="1102">
        <f>IFERROR(SUMIFS(DB_LOAD!$AA$2:$AA$300,DB_LOAD!$X$2:$X$300,TEXT(J$44,"yyyy-mm-dd")&amp;"-"&amp;$B45),"")</f>
        <v>0</v>
      </c>
      <c r="K45" s="1102">
        <f>IFERROR(SUMIFS(DB_LOAD!$AA$2:$AA$300,DB_LOAD!$X$2:$X$300,TEXT(K$44,"yyyy-mm-dd")&amp;"-"&amp;$B45),"")</f>
        <v>0</v>
      </c>
      <c r="Q45" s="1102">
        <f>IFERROR(SUMIFS(DB_LOAD!$AA$2:$AA$300,DB_LOAD!$X$2:$X$300,TEXT(Q$44,"yyyy-mm-dd")&amp;"-"&amp;$B45),"")</f>
        <v>0</v>
      </c>
      <c r="R45" s="1102">
        <f>IFERROR(SUMIFS(DB_LOAD!$AA$2:$AA$300,DB_LOAD!$X$2:$X$300,TEXT(R$44,"yyyy-mm-dd")&amp;"-"&amp;$B45),"")</f>
        <v>0</v>
      </c>
      <c r="S45" s="1102">
        <f>IFERROR(SUMIFS(DB_LOAD!$AA$2:$AA$300,DB_LOAD!$X$2:$X$300,TEXT(S$44,"yyyy-mm-dd")&amp;"-"&amp;$B45),"")</f>
        <v>0</v>
      </c>
      <c r="T45" s="1102">
        <f>IFERROR(SUMIFS(DB_LOAD!$AA$2:$AA$300,DB_LOAD!$X$2:$X$300,TEXT(T$44,"yyyy-mm-dd")&amp;"-"&amp;$B45),"")</f>
        <v>0</v>
      </c>
      <c r="U45" s="1102">
        <f>IFERROR(SUMIFS(DB_LOAD!$AA$2:$AA$300,DB_LOAD!$X$2:$X$300,TEXT(U$44,"yyyy-mm-dd")&amp;"-"&amp;$B45),"")</f>
        <v>0</v>
      </c>
      <c r="V45" s="1102">
        <f>IFERROR(SUMIFS(DB_LOAD!$AA$2:$AA$300,DB_LOAD!$X$2:$X$300,TEXT(V$44,"yyyy-mm-dd")&amp;"-"&amp;$B45),"")</f>
        <v>0</v>
      </c>
      <c r="W45" s="1102">
        <f>IFERROR(SUMIFS(DB_LOAD!$AA$2:$AA$300,DB_LOAD!$X$2:$X$300,TEXT(W$44,"yyyy-mm-dd")&amp;"-"&amp;$B45),"")</f>
        <v>0</v>
      </c>
      <c r="X45" s="1102">
        <f>IFERROR(SUMIFS(DB_LOAD!$AA$2:$AA$300,DB_LOAD!$X$2:$X$300,TEXT(X$44,"yyyy-mm-dd")&amp;"-"&amp;$B45),"")</f>
        <v>0</v>
      </c>
      <c r="Y45" s="1102">
        <f>IFERROR(SUMIFS(DB_LOAD!$AA$2:$AA$300,DB_LOAD!$X$2:$X$300,TEXT(Y$44,"yyyy-mm-dd")&amp;"-"&amp;$B45),"")</f>
        <v>0</v>
      </c>
    </row>
    <row r="46" spans="1:25">
      <c r="A46" s="258"/>
      <c r="B46" s="715" t="s">
        <v>460</v>
      </c>
      <c r="C46" s="1102">
        <f>IFERROR(SUMIFS(DB_LOAD!$AA$2:$AA$300,DB_LOAD!$X$2:$X$300,TEXT(C$44,"yyyy-mm-dd")&amp;"-"&amp;$B46),"")</f>
        <v>0</v>
      </c>
      <c r="D46" s="1102">
        <f>IFERROR(SUMIFS(DB_LOAD!$AA$2:$AA$300,DB_LOAD!$X$2:$X$300,TEXT(D$44,"yyyy-mm-dd")&amp;"-"&amp;$B46),"")</f>
        <v>0</v>
      </c>
      <c r="E46" s="1102">
        <f>IFERROR(SUMIFS(DB_LOAD!$AA$2:$AA$300,DB_LOAD!$X$2:$X$300,TEXT(E$44,"yyyy-mm-dd")&amp;"-"&amp;$B46),"")</f>
        <v>0</v>
      </c>
      <c r="F46" s="1102">
        <f>IFERROR(SUMIFS(DB_LOAD!$AA$2:$AA$300,DB_LOAD!$X$2:$X$300,TEXT(F$44,"yyyy-mm-dd")&amp;"-"&amp;$B46),"")</f>
        <v>0</v>
      </c>
      <c r="G46" s="1102">
        <f>IFERROR(SUMIFS(DB_LOAD!$AA$2:$AA$300,DB_LOAD!$X$2:$X$300,TEXT(G$44,"yyyy-mm-dd")&amp;"-"&amp;$B46),"")</f>
        <v>0</v>
      </c>
      <c r="H46" s="1102">
        <f>IFERROR(SUMIFS(DB_LOAD!$AA$2:$AA$300,DB_LOAD!$X$2:$X$300,TEXT(H$44,"yyyy-mm-dd")&amp;"-"&amp;$B46),"")</f>
        <v>0</v>
      </c>
      <c r="I46" s="1102">
        <f>IFERROR(SUMIFS(DB_LOAD!$AA$2:$AA$300,DB_LOAD!$X$2:$X$300,TEXT(I$44,"yyyy-mm-dd")&amp;"-"&amp;$B46),"")</f>
        <v>0</v>
      </c>
      <c r="J46" s="1102">
        <f>IFERROR(SUMIFS(DB_LOAD!$AA$2:$AA$300,DB_LOAD!$X$2:$X$300,TEXT(J$44,"yyyy-mm-dd")&amp;"-"&amp;$B46),"")</f>
        <v>0</v>
      </c>
      <c r="K46" s="1102">
        <f>IFERROR(SUMIFS(DB_LOAD!$AA$2:$AA$300,DB_LOAD!$X$2:$X$300,TEXT(K$44,"yyyy-mm-dd")&amp;"-"&amp;$B46),"")</f>
        <v>0</v>
      </c>
      <c r="Q46" s="1102">
        <f>IFERROR(SUMIFS(DB_LOAD!$AA$2:$AA$300,DB_LOAD!$X$2:$X$300,TEXT(Q$44,"yyyy-mm-dd")&amp;"-"&amp;$B46),"")</f>
        <v>0</v>
      </c>
      <c r="R46" s="1102">
        <f>IFERROR(SUMIFS(DB_LOAD!$AA$2:$AA$300,DB_LOAD!$X$2:$X$300,TEXT(R$44,"yyyy-mm-dd")&amp;"-"&amp;$B46),"")</f>
        <v>0</v>
      </c>
      <c r="S46" s="1102">
        <f>IFERROR(SUMIFS(DB_LOAD!$AA$2:$AA$300,DB_LOAD!$X$2:$X$300,TEXT(S$44,"yyyy-mm-dd")&amp;"-"&amp;$B46),"")</f>
        <v>0</v>
      </c>
      <c r="T46" s="1102">
        <f>IFERROR(SUMIFS(DB_LOAD!$AA$2:$AA$300,DB_LOAD!$X$2:$X$300,TEXT(T$44,"yyyy-mm-dd")&amp;"-"&amp;$B46),"")</f>
        <v>0</v>
      </c>
      <c r="U46" s="1102">
        <f>IFERROR(SUMIFS(DB_LOAD!$AA$2:$AA$300,DB_LOAD!$X$2:$X$300,TEXT(U$44,"yyyy-mm-dd")&amp;"-"&amp;$B46),"")</f>
        <v>0</v>
      </c>
      <c r="V46" s="1102">
        <f>IFERROR(SUMIFS(DB_LOAD!$AA$2:$AA$300,DB_LOAD!$X$2:$X$300,TEXT(V$44,"yyyy-mm-dd")&amp;"-"&amp;$B46),"")</f>
        <v>0</v>
      </c>
      <c r="W46" s="1102">
        <f>IFERROR(SUMIFS(DB_LOAD!$AA$2:$AA$300,DB_LOAD!$X$2:$X$300,TEXT(W$44,"yyyy-mm-dd")&amp;"-"&amp;$B46),"")</f>
        <v>0</v>
      </c>
      <c r="X46" s="1102">
        <f>IFERROR(SUMIFS(DB_LOAD!$AA$2:$AA$300,DB_LOAD!$X$2:$X$300,TEXT(X$44,"yyyy-mm-dd")&amp;"-"&amp;$B46),"")</f>
        <v>0</v>
      </c>
      <c r="Y46" s="1102">
        <f>IFERROR(SUMIFS(DB_LOAD!$AA$2:$AA$300,DB_LOAD!$X$2:$X$300,TEXT(Y$44,"yyyy-mm-dd")&amp;"-"&amp;$B46),"")</f>
        <v>0</v>
      </c>
    </row>
    <row r="47" spans="1:25">
      <c r="A47" s="258"/>
      <c r="B47" s="715" t="s">
        <v>663</v>
      </c>
      <c r="C47" s="1102">
        <f>IFERROR(SUMIFS(DB_LOAD!$AA$2:$AA$300,DB_LOAD!$X$2:$X$300,TEXT(C$44,"yyyy-mm-dd")&amp;"-"&amp;$B47),"")</f>
        <v>0</v>
      </c>
      <c r="D47" s="1102">
        <f>IFERROR(SUMIFS(DB_LOAD!$AA$2:$AA$300,DB_LOAD!$X$2:$X$300,TEXT(D$44,"yyyy-mm-dd")&amp;"-"&amp;$B47),"")</f>
        <v>0</v>
      </c>
      <c r="E47" s="1102">
        <f>IFERROR(SUMIFS(DB_LOAD!$AA$2:$AA$300,DB_LOAD!$X$2:$X$300,TEXT(E$44,"yyyy-mm-dd")&amp;"-"&amp;$B47),"")</f>
        <v>0</v>
      </c>
      <c r="F47" s="1102">
        <f>IFERROR(SUMIFS(DB_LOAD!$AA$2:$AA$300,DB_LOAD!$X$2:$X$300,TEXT(F$44,"yyyy-mm-dd")&amp;"-"&amp;$B47),"")</f>
        <v>0</v>
      </c>
      <c r="G47" s="1102">
        <f>IFERROR(SUMIFS(DB_LOAD!$AA$2:$AA$300,DB_LOAD!$X$2:$X$300,TEXT(G$44,"yyyy-mm-dd")&amp;"-"&amp;$B47),"")</f>
        <v>0</v>
      </c>
      <c r="H47" s="1102">
        <f>IFERROR(SUMIFS(DB_LOAD!$AA$2:$AA$300,DB_LOAD!$X$2:$X$300,TEXT(H$44,"yyyy-mm-dd")&amp;"-"&amp;$B47),"")</f>
        <v>0</v>
      </c>
      <c r="I47" s="1102">
        <f>IFERROR(SUMIFS(DB_LOAD!$AA$2:$AA$300,DB_LOAD!$X$2:$X$300,TEXT(I$44,"yyyy-mm-dd")&amp;"-"&amp;$B47),"")</f>
        <v>0</v>
      </c>
      <c r="J47" s="1102">
        <f>IFERROR(SUMIFS(DB_LOAD!$AA$2:$AA$300,DB_LOAD!$X$2:$X$300,TEXT(J$44,"yyyy-mm-dd")&amp;"-"&amp;$B47),"")</f>
        <v>0</v>
      </c>
      <c r="K47" s="1102">
        <f>IFERROR(SUMIFS(DB_LOAD!$AA$2:$AA$300,DB_LOAD!$X$2:$X$300,TEXT(K$44,"yyyy-mm-dd")&amp;"-"&amp;$B47),"")</f>
        <v>0</v>
      </c>
      <c r="Q47" s="1102">
        <f>IFERROR(SUMIFS(DB_LOAD!$AA$2:$AA$300,DB_LOAD!$X$2:$X$300,TEXT(Q$44,"yyyy-mm-dd")&amp;"-"&amp;$B47),"")</f>
        <v>0</v>
      </c>
      <c r="R47" s="1102">
        <f>IFERROR(SUMIFS(DB_LOAD!$AA$2:$AA$300,DB_LOAD!$X$2:$X$300,TEXT(R$44,"yyyy-mm-dd")&amp;"-"&amp;$B47),"")</f>
        <v>0</v>
      </c>
      <c r="S47" s="1102">
        <f>IFERROR(SUMIFS(DB_LOAD!$AA$2:$AA$300,DB_LOAD!$X$2:$X$300,TEXT(S$44,"yyyy-mm-dd")&amp;"-"&amp;$B47),"")</f>
        <v>0</v>
      </c>
      <c r="T47" s="1102">
        <f>IFERROR(SUMIFS(DB_LOAD!$AA$2:$AA$300,DB_LOAD!$X$2:$X$300,TEXT(T$44,"yyyy-mm-dd")&amp;"-"&amp;$B47),"")</f>
        <v>0</v>
      </c>
      <c r="U47" s="1102">
        <f>IFERROR(SUMIFS(DB_LOAD!$AA$2:$AA$300,DB_LOAD!$X$2:$X$300,TEXT(U$44,"yyyy-mm-dd")&amp;"-"&amp;$B47),"")</f>
        <v>0</v>
      </c>
      <c r="V47" s="1102">
        <f>IFERROR(SUMIFS(DB_LOAD!$AA$2:$AA$300,DB_LOAD!$X$2:$X$300,TEXT(V$44,"yyyy-mm-dd")&amp;"-"&amp;$B47),"")</f>
        <v>0</v>
      </c>
      <c r="W47" s="1102">
        <f>IFERROR(SUMIFS(DB_LOAD!$AA$2:$AA$300,DB_LOAD!$X$2:$X$300,TEXT(W$44,"yyyy-mm-dd")&amp;"-"&amp;$B47),"")</f>
        <v>0</v>
      </c>
      <c r="X47" s="1102">
        <f>IFERROR(SUMIFS(DB_LOAD!$AA$2:$AA$300,DB_LOAD!$X$2:$X$300,TEXT(X$44,"yyyy-mm-dd")&amp;"-"&amp;$B47),"")</f>
        <v>0</v>
      </c>
      <c r="Y47" s="1102">
        <f>IFERROR(SUMIFS(DB_LOAD!$AA$2:$AA$300,DB_LOAD!$X$2:$X$300,TEXT(Y$44,"yyyy-mm-dd")&amp;"-"&amp;$B47),"")</f>
        <v>0</v>
      </c>
    </row>
    <row r="48" spans="1:25">
      <c r="A48" s="258"/>
      <c r="B48" s="715" t="s">
        <v>664</v>
      </c>
      <c r="C48" s="1102">
        <f>IFERROR(SUMIFS(DB_LOAD!$AA$2:$AA$300,DB_LOAD!$X$2:$X$300,TEXT(C$44,"yyyy-mm-dd")&amp;"-"&amp;$B48),"")</f>
        <v>0</v>
      </c>
      <c r="D48" s="1102">
        <f>IFERROR(SUMIFS(DB_LOAD!$AA$2:$AA$300,DB_LOAD!$X$2:$X$300,TEXT(D$44,"yyyy-mm-dd")&amp;"-"&amp;$B48),"")</f>
        <v>0</v>
      </c>
      <c r="E48" s="1102">
        <f>IFERROR(SUMIFS(DB_LOAD!$AA$2:$AA$300,DB_LOAD!$X$2:$X$300,TEXT(E$44,"yyyy-mm-dd")&amp;"-"&amp;$B48),"")</f>
        <v>0</v>
      </c>
      <c r="F48" s="1102">
        <f>IFERROR(SUMIFS(DB_LOAD!$AA$2:$AA$300,DB_LOAD!$X$2:$X$300,TEXT(F$44,"yyyy-mm-dd")&amp;"-"&amp;$B48),"")</f>
        <v>0</v>
      </c>
      <c r="G48" s="1102">
        <f>IFERROR(SUMIFS(DB_LOAD!$AA$2:$AA$300,DB_LOAD!$X$2:$X$300,TEXT(G$44,"yyyy-mm-dd")&amp;"-"&amp;$B48),"")</f>
        <v>0</v>
      </c>
      <c r="H48" s="1102">
        <f>IFERROR(SUMIFS(DB_LOAD!$AA$2:$AA$300,DB_LOAD!$X$2:$X$300,TEXT(H$44,"yyyy-mm-dd")&amp;"-"&amp;$B48),"")</f>
        <v>0</v>
      </c>
      <c r="I48" s="1102">
        <f>IFERROR(SUMIFS(DB_LOAD!$AA$2:$AA$300,DB_LOAD!$X$2:$X$300,TEXT(I$44,"yyyy-mm-dd")&amp;"-"&amp;$B48),"")</f>
        <v>0</v>
      </c>
      <c r="J48" s="1102">
        <f>IFERROR(SUMIFS(DB_LOAD!$AA$2:$AA$300,DB_LOAD!$X$2:$X$300,TEXT(J$44,"yyyy-mm-dd")&amp;"-"&amp;$B48),"")</f>
        <v>0</v>
      </c>
      <c r="K48" s="1102">
        <f>IFERROR(SUMIFS(DB_LOAD!$AA$2:$AA$300,DB_LOAD!$X$2:$X$300,TEXT(K$44,"yyyy-mm-dd")&amp;"-"&amp;$B48),"")</f>
        <v>0</v>
      </c>
      <c r="Q48" s="1102">
        <f>IFERROR(SUMIFS(DB_LOAD!$AA$2:$AA$300,DB_LOAD!$X$2:$X$300,TEXT(Q$44,"yyyy-mm-dd")&amp;"-"&amp;$B48),"")</f>
        <v>0</v>
      </c>
      <c r="R48" s="1102">
        <f>IFERROR(SUMIFS(DB_LOAD!$AA$2:$AA$300,DB_LOAD!$X$2:$X$300,TEXT(R$44,"yyyy-mm-dd")&amp;"-"&amp;$B48),"")</f>
        <v>0</v>
      </c>
      <c r="S48" s="1102">
        <f>IFERROR(SUMIFS(DB_LOAD!$AA$2:$AA$300,DB_LOAD!$X$2:$X$300,TEXT(S$44,"yyyy-mm-dd")&amp;"-"&amp;$B48),"")</f>
        <v>0</v>
      </c>
      <c r="T48" s="1102">
        <f>IFERROR(SUMIFS(DB_LOAD!$AA$2:$AA$300,DB_LOAD!$X$2:$X$300,TEXT(T$44,"yyyy-mm-dd")&amp;"-"&amp;$B48),"")</f>
        <v>0</v>
      </c>
      <c r="U48" s="1102">
        <f>IFERROR(SUMIFS(DB_LOAD!$AA$2:$AA$300,DB_LOAD!$X$2:$X$300,TEXT(U$44,"yyyy-mm-dd")&amp;"-"&amp;$B48),"")</f>
        <v>0</v>
      </c>
      <c r="V48" s="1102">
        <f>IFERROR(SUMIFS(DB_LOAD!$AA$2:$AA$300,DB_LOAD!$X$2:$X$300,TEXT(V$44,"yyyy-mm-dd")&amp;"-"&amp;$B48),"")</f>
        <v>0</v>
      </c>
      <c r="W48" s="1102">
        <f>IFERROR(SUMIFS(DB_LOAD!$AA$2:$AA$300,DB_LOAD!$X$2:$X$300,TEXT(W$44,"yyyy-mm-dd")&amp;"-"&amp;$B48),"")</f>
        <v>0</v>
      </c>
      <c r="X48" s="1102">
        <f>IFERROR(SUMIFS(DB_LOAD!$AA$2:$AA$300,DB_LOAD!$X$2:$X$300,TEXT(X$44,"yyyy-mm-dd")&amp;"-"&amp;$B48),"")</f>
        <v>0</v>
      </c>
      <c r="Y48" s="1102">
        <f>IFERROR(SUMIFS(DB_LOAD!$AA$2:$AA$300,DB_LOAD!$X$2:$X$300,TEXT(Y$44,"yyyy-mm-dd")&amp;"-"&amp;$B48),"")</f>
        <v>0</v>
      </c>
    </row>
    <row r="49" spans="1:25">
      <c r="A49" s="258"/>
      <c r="B49" s="1099" t="s">
        <v>328</v>
      </c>
      <c r="C49" s="1100">
        <f>SUM(C45:C48)</f>
        <v>0</v>
      </c>
      <c r="D49" s="1100">
        <f t="shared" ref="D49:H49" si="6">SUM(D45:D48)</f>
        <v>0</v>
      </c>
      <c r="E49" s="1100">
        <f t="shared" si="6"/>
        <v>0</v>
      </c>
      <c r="F49" s="1100">
        <f t="shared" si="6"/>
        <v>0</v>
      </c>
      <c r="G49" s="1100">
        <f t="shared" si="6"/>
        <v>0</v>
      </c>
      <c r="H49" s="1100">
        <f t="shared" si="6"/>
        <v>0</v>
      </c>
      <c r="I49" s="1100">
        <f>SUM(I45:I48)</f>
        <v>0</v>
      </c>
      <c r="J49" s="1100">
        <f t="shared" ref="J49:K49" si="7">SUM(J45:J48)</f>
        <v>0</v>
      </c>
      <c r="K49" s="1103">
        <f t="shared" si="7"/>
        <v>0</v>
      </c>
      <c r="Q49" s="1103">
        <f t="shared" ref="Q49:Y49" si="8">SUM(Q45:Q48)</f>
        <v>0</v>
      </c>
      <c r="R49" s="1103">
        <f t="shared" si="8"/>
        <v>0</v>
      </c>
      <c r="S49" s="1103">
        <f t="shared" si="8"/>
        <v>0</v>
      </c>
      <c r="T49" s="1103">
        <f t="shared" si="8"/>
        <v>0</v>
      </c>
      <c r="U49" s="1103">
        <f t="shared" si="8"/>
        <v>0</v>
      </c>
      <c r="V49" s="1103">
        <f t="shared" si="8"/>
        <v>0</v>
      </c>
      <c r="W49" s="1103">
        <f t="shared" si="8"/>
        <v>0</v>
      </c>
      <c r="X49" s="1103">
        <f t="shared" si="8"/>
        <v>0</v>
      </c>
      <c r="Y49" s="1103">
        <f t="shared" si="8"/>
        <v>0</v>
      </c>
    </row>
    <row r="50" spans="1:25">
      <c r="A50" s="258"/>
      <c r="B50" s="749"/>
      <c r="C50" s="750"/>
      <c r="D50" s="750"/>
      <c r="E50" s="750"/>
      <c r="F50" s="750"/>
      <c r="G50" s="750"/>
      <c r="H50" s="750"/>
      <c r="I50" s="750"/>
      <c r="J50" s="750"/>
      <c r="K50" s="258"/>
      <c r="L50" s="740"/>
      <c r="M50" s="740"/>
      <c r="N50" s="740"/>
      <c r="O50" s="740"/>
      <c r="P50" s="258"/>
      <c r="Q50" s="258"/>
      <c r="R50" s="258"/>
      <c r="S50" s="258"/>
      <c r="T50" s="258"/>
      <c r="U50" s="258"/>
      <c r="V50" s="258"/>
      <c r="W50" s="258"/>
      <c r="X50" s="258"/>
      <c r="Y50" s="258"/>
    </row>
    <row r="51" spans="1:25">
      <c r="A51" s="730" t="s">
        <v>509</v>
      </c>
      <c r="B51" s="749"/>
      <c r="C51" s="750"/>
      <c r="D51" s="750"/>
      <c r="E51" s="750"/>
      <c r="F51" s="750"/>
      <c r="G51" s="750"/>
      <c r="H51" s="750"/>
      <c r="I51" s="750"/>
      <c r="J51" s="750"/>
    </row>
    <row r="52" spans="1:25">
      <c r="A52" s="245" t="e">
        <f t="shared" ref="A52:A101" ca="1" si="9">IF(B52=$B$2,1,0)</f>
        <v>#NAME?</v>
      </c>
      <c r="B52" s="749"/>
      <c r="C52" s="750"/>
      <c r="D52" s="750"/>
      <c r="E52" s="750"/>
      <c r="F52" s="750"/>
      <c r="G52" s="750"/>
      <c r="H52" s="750"/>
      <c r="I52" s="750"/>
      <c r="J52" s="750"/>
    </row>
    <row r="53" spans="1:25">
      <c r="A53" s="245" t="e">
        <f t="shared" ca="1" si="9"/>
        <v>#NAME?</v>
      </c>
      <c r="B53" s="751"/>
      <c r="C53" s="752"/>
      <c r="D53" s="752"/>
      <c r="E53" s="752"/>
      <c r="F53" s="752"/>
      <c r="G53" s="752"/>
      <c r="H53" s="752"/>
      <c r="I53" s="752"/>
      <c r="J53" s="752"/>
    </row>
    <row r="54" spans="1:25">
      <c r="A54" s="245" t="e">
        <f t="shared" ca="1" si="9"/>
        <v>#NAME?</v>
      </c>
    </row>
    <row r="55" spans="1:25">
      <c r="A55" s="245" t="e">
        <f t="shared" ca="1" si="9"/>
        <v>#NAME?</v>
      </c>
    </row>
    <row r="56" spans="1:25">
      <c r="A56" s="245" t="e">
        <f t="shared" ca="1" si="9"/>
        <v>#NAME?</v>
      </c>
    </row>
    <row r="57" spans="1:25">
      <c r="A57" s="245" t="e">
        <f t="shared" ca="1" si="9"/>
        <v>#NAME?</v>
      </c>
    </row>
    <row r="58" spans="1:25">
      <c r="A58" s="245" t="e">
        <f t="shared" ca="1" si="9"/>
        <v>#NAME?</v>
      </c>
    </row>
    <row r="59" spans="1:25">
      <c r="A59" s="245" t="e">
        <f t="shared" ca="1" si="9"/>
        <v>#NAME?</v>
      </c>
    </row>
    <row r="60" spans="1:25">
      <c r="A60" s="245" t="e">
        <f t="shared" ca="1" si="9"/>
        <v>#NAME?</v>
      </c>
    </row>
    <row r="61" spans="1:25">
      <c r="A61" s="245" t="e">
        <f t="shared" ca="1" si="9"/>
        <v>#NAME?</v>
      </c>
    </row>
    <row r="62" spans="1:25">
      <c r="A62" s="245" t="e">
        <f t="shared" ca="1" si="9"/>
        <v>#NAME?</v>
      </c>
    </row>
    <row r="63" spans="1:25">
      <c r="A63" s="245" t="e">
        <f t="shared" ca="1" si="9"/>
        <v>#NAME?</v>
      </c>
    </row>
    <row r="64" spans="1:25">
      <c r="A64" s="245" t="e">
        <f t="shared" ca="1" si="9"/>
        <v>#NAME?</v>
      </c>
    </row>
    <row r="65" spans="1:1">
      <c r="A65" s="245" t="e">
        <f t="shared" ca="1" si="9"/>
        <v>#NAME?</v>
      </c>
    </row>
    <row r="66" spans="1:1">
      <c r="A66" s="245" t="e">
        <f t="shared" ca="1" si="9"/>
        <v>#NAME?</v>
      </c>
    </row>
    <row r="67" spans="1:1">
      <c r="A67" s="245" t="e">
        <f t="shared" ca="1" si="9"/>
        <v>#NAME?</v>
      </c>
    </row>
    <row r="68" spans="1:1">
      <c r="A68" s="245" t="e">
        <f t="shared" ca="1" si="9"/>
        <v>#NAME?</v>
      </c>
    </row>
    <row r="69" spans="1:1">
      <c r="A69" s="245" t="e">
        <f t="shared" ca="1" si="9"/>
        <v>#NAME?</v>
      </c>
    </row>
    <row r="70" spans="1:1">
      <c r="A70" s="245" t="e">
        <f t="shared" ca="1" si="9"/>
        <v>#NAME?</v>
      </c>
    </row>
    <row r="71" spans="1:1">
      <c r="A71" s="245" t="e">
        <f t="shared" ca="1" si="9"/>
        <v>#NAME?</v>
      </c>
    </row>
    <row r="72" spans="1:1">
      <c r="A72" s="245" t="e">
        <f t="shared" ca="1" si="9"/>
        <v>#NAME?</v>
      </c>
    </row>
    <row r="73" spans="1:1">
      <c r="A73" s="245" t="e">
        <f t="shared" ca="1" si="9"/>
        <v>#NAME?</v>
      </c>
    </row>
    <row r="74" spans="1:1">
      <c r="A74" s="245" t="e">
        <f t="shared" ca="1" si="9"/>
        <v>#NAME?</v>
      </c>
    </row>
    <row r="75" spans="1:1">
      <c r="A75" s="245" t="e">
        <f t="shared" ca="1" si="9"/>
        <v>#NAME?</v>
      </c>
    </row>
    <row r="76" spans="1:1">
      <c r="A76" s="245" t="e">
        <f t="shared" ca="1" si="9"/>
        <v>#NAME?</v>
      </c>
    </row>
    <row r="77" spans="1:1">
      <c r="A77" s="245" t="e">
        <f t="shared" ca="1" si="9"/>
        <v>#NAME?</v>
      </c>
    </row>
    <row r="78" spans="1:1">
      <c r="A78" s="245" t="e">
        <f t="shared" ca="1" si="9"/>
        <v>#NAME?</v>
      </c>
    </row>
    <row r="79" spans="1:1">
      <c r="A79" s="245" t="e">
        <f t="shared" ca="1" si="9"/>
        <v>#NAME?</v>
      </c>
    </row>
    <row r="80" spans="1:1">
      <c r="A80" s="245" t="e">
        <f t="shared" ca="1" si="9"/>
        <v>#NAME?</v>
      </c>
    </row>
    <row r="81" spans="1:1">
      <c r="A81" s="245" t="e">
        <f t="shared" ca="1" si="9"/>
        <v>#NAME?</v>
      </c>
    </row>
    <row r="82" spans="1:1">
      <c r="A82" s="245" t="e">
        <f t="shared" ca="1" si="9"/>
        <v>#NAME?</v>
      </c>
    </row>
    <row r="83" spans="1:1">
      <c r="A83" s="245" t="e">
        <f t="shared" ca="1" si="9"/>
        <v>#NAME?</v>
      </c>
    </row>
    <row r="84" spans="1:1">
      <c r="A84" s="245" t="e">
        <f t="shared" ca="1" si="9"/>
        <v>#NAME?</v>
      </c>
    </row>
    <row r="85" spans="1:1">
      <c r="A85" s="245" t="e">
        <f t="shared" ca="1" si="9"/>
        <v>#NAME?</v>
      </c>
    </row>
    <row r="86" spans="1:1">
      <c r="A86" s="245" t="e">
        <f t="shared" ca="1" si="9"/>
        <v>#NAME?</v>
      </c>
    </row>
    <row r="87" spans="1:1">
      <c r="A87" s="245" t="e">
        <f t="shared" ca="1" si="9"/>
        <v>#NAME?</v>
      </c>
    </row>
    <row r="88" spans="1:1">
      <c r="A88" s="245" t="e">
        <f t="shared" ca="1" si="9"/>
        <v>#NAME?</v>
      </c>
    </row>
    <row r="89" spans="1:1">
      <c r="A89" s="245" t="e">
        <f t="shared" ca="1" si="9"/>
        <v>#NAME?</v>
      </c>
    </row>
    <row r="90" spans="1:1">
      <c r="A90" s="245" t="e">
        <f t="shared" ca="1" si="9"/>
        <v>#NAME?</v>
      </c>
    </row>
    <row r="91" spans="1:1">
      <c r="A91" s="245" t="e">
        <f t="shared" ca="1" si="9"/>
        <v>#NAME?</v>
      </c>
    </row>
    <row r="92" spans="1:1">
      <c r="A92" s="245" t="e">
        <f t="shared" ca="1" si="9"/>
        <v>#NAME?</v>
      </c>
    </row>
    <row r="93" spans="1:1">
      <c r="A93" s="245" t="e">
        <f t="shared" ca="1" si="9"/>
        <v>#NAME?</v>
      </c>
    </row>
    <row r="94" spans="1:1">
      <c r="A94" s="245" t="e">
        <f t="shared" ca="1" si="9"/>
        <v>#NAME?</v>
      </c>
    </row>
    <row r="95" spans="1:1">
      <c r="A95" s="245" t="e">
        <f t="shared" ca="1" si="9"/>
        <v>#NAME?</v>
      </c>
    </row>
    <row r="96" spans="1:1">
      <c r="A96" s="245" t="e">
        <f t="shared" ca="1" si="9"/>
        <v>#NAME?</v>
      </c>
    </row>
    <row r="97" spans="1:1">
      <c r="A97" s="245" t="e">
        <f t="shared" ca="1" si="9"/>
        <v>#NAME?</v>
      </c>
    </row>
    <row r="98" spans="1:1">
      <c r="A98" s="245" t="e">
        <f t="shared" ca="1" si="9"/>
        <v>#NAME?</v>
      </c>
    </row>
    <row r="99" spans="1:1">
      <c r="A99" s="245" t="e">
        <f t="shared" ca="1" si="9"/>
        <v>#NAME?</v>
      </c>
    </row>
    <row r="100" spans="1:1">
      <c r="A100" s="245" t="e">
        <f t="shared" ca="1" si="9"/>
        <v>#NAME?</v>
      </c>
    </row>
    <row r="101" spans="1:1">
      <c r="A101" s="245" t="e">
        <f t="shared" ca="1" si="9"/>
        <v>#NAME?</v>
      </c>
    </row>
  </sheetData>
  <conditionalFormatting sqref="H10:J16">
    <cfRule type="expression" dxfId="248" priority="30">
      <formula>$G10=0</formula>
    </cfRule>
  </conditionalFormatting>
  <conditionalFormatting sqref="B46:J46">
    <cfRule type="expression" dxfId="247" priority="28">
      <formula>$G45=1</formula>
    </cfRule>
  </conditionalFormatting>
  <conditionalFormatting sqref="H11:J16 H10">
    <cfRule type="expression" dxfId="246" priority="29">
      <formula>$K10=1</formula>
    </cfRule>
  </conditionalFormatting>
  <conditionalFormatting sqref="B43 B45:J49 C45:K48">
    <cfRule type="expression" dxfId="245" priority="27">
      <formula>$A43=1</formula>
    </cfRule>
  </conditionalFormatting>
  <conditionalFormatting sqref="B44:K44">
    <cfRule type="expression" dxfId="244" priority="32">
      <formula>$A51=1</formula>
    </cfRule>
  </conditionalFormatting>
  <conditionalFormatting sqref="B44:B49">
    <cfRule type="expression" dxfId="243" priority="25">
      <formula>$A44=1</formula>
    </cfRule>
  </conditionalFormatting>
  <conditionalFormatting sqref="C49:J49">
    <cfRule type="expression" dxfId="242" priority="24">
      <formula>$A49=1</formula>
    </cfRule>
  </conditionalFormatting>
  <conditionalFormatting sqref="K46">
    <cfRule type="expression" dxfId="241" priority="23">
      <formula>$G45=1</formula>
    </cfRule>
  </conditionalFormatting>
  <conditionalFormatting sqref="K45:K49">
    <cfRule type="expression" dxfId="240" priority="22">
      <formula>$A45=1</formula>
    </cfRule>
  </conditionalFormatting>
  <conditionalFormatting sqref="K44">
    <cfRule type="expression" dxfId="239" priority="21">
      <formula>$A51=1</formula>
    </cfRule>
  </conditionalFormatting>
  <conditionalFormatting sqref="K49">
    <cfRule type="expression" dxfId="238" priority="20">
      <formula>$A49=1</formula>
    </cfRule>
  </conditionalFormatting>
  <conditionalFormatting sqref="Q46">
    <cfRule type="expression" dxfId="237" priority="19">
      <formula>$G45=1</formula>
    </cfRule>
  </conditionalFormatting>
  <conditionalFormatting sqref="Q45:Q49">
    <cfRule type="expression" dxfId="236" priority="18">
      <formula>$A45=1</formula>
    </cfRule>
  </conditionalFormatting>
  <conditionalFormatting sqref="Q44">
    <cfRule type="expression" dxfId="235" priority="17">
      <formula>$A51=1</formula>
    </cfRule>
  </conditionalFormatting>
  <conditionalFormatting sqref="Q49">
    <cfRule type="expression" dxfId="234" priority="16">
      <formula>$A49=1</formula>
    </cfRule>
  </conditionalFormatting>
  <conditionalFormatting sqref="Q46">
    <cfRule type="expression" dxfId="233" priority="15">
      <formula>$G45=1</formula>
    </cfRule>
  </conditionalFormatting>
  <conditionalFormatting sqref="Q45:Q49">
    <cfRule type="expression" dxfId="232" priority="14">
      <formula>$A45=1</formula>
    </cfRule>
  </conditionalFormatting>
  <conditionalFormatting sqref="Q44">
    <cfRule type="expression" dxfId="231" priority="13">
      <formula>$A51=1</formula>
    </cfRule>
  </conditionalFormatting>
  <conditionalFormatting sqref="Q49">
    <cfRule type="expression" dxfId="230" priority="12">
      <formula>$A49=1</formula>
    </cfRule>
  </conditionalFormatting>
  <conditionalFormatting sqref="R46:Y46">
    <cfRule type="expression" dxfId="229" priority="11">
      <formula>$G45=1</formula>
    </cfRule>
  </conditionalFormatting>
  <conditionalFormatting sqref="R45:Y49">
    <cfRule type="expression" dxfId="228" priority="10">
      <formula>$A45=1</formula>
    </cfRule>
  </conditionalFormatting>
  <conditionalFormatting sqref="R44:Y44">
    <cfRule type="expression" dxfId="227" priority="9">
      <formula>$A51=1</formula>
    </cfRule>
  </conditionalFormatting>
  <conditionalFormatting sqref="R49:Y49">
    <cfRule type="expression" dxfId="226" priority="8">
      <formula>$A49=1</formula>
    </cfRule>
  </conditionalFormatting>
  <conditionalFormatting sqref="Q44">
    <cfRule type="expression" dxfId="225" priority="7">
      <formula>$A51=1</formula>
    </cfRule>
  </conditionalFormatting>
  <conditionalFormatting sqref="Q44">
    <cfRule type="expression" dxfId="224" priority="6">
      <formula>$A51=1</formula>
    </cfRule>
  </conditionalFormatting>
  <conditionalFormatting sqref="Q45:Y48">
    <cfRule type="expression" dxfId="223" priority="5">
      <formula>$A45=1</formula>
    </cfRule>
  </conditionalFormatting>
  <conditionalFormatting sqref="Q46:Y46">
    <cfRule type="expression" dxfId="222" priority="4">
      <formula>$G45=1</formula>
    </cfRule>
  </conditionalFormatting>
  <conditionalFormatting sqref="Q45:Y48">
    <cfRule type="expression" dxfId="221" priority="3">
      <formula>$A45=1</formula>
    </cfRule>
  </conditionalFormatting>
  <conditionalFormatting sqref="K44:Y49">
    <cfRule type="expression" dxfId="220" priority="1">
      <formula>OR(ISBLANK(K$44),K$44="",K$44=0)</formula>
    </cfRule>
  </conditionalFormatting>
  <pageMargins left="0.7" right="0.7" top="0.75" bottom="0.75" header="0.3" footer="0.3"/>
  <ignoredErrors>
    <ignoredError sqref="J10:J16 I10:I16" evalError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8" tint="-0.499984740745262"/>
  </sheetPr>
  <dimension ref="A2:AN114"/>
  <sheetViews>
    <sheetView showGridLines="0" zoomScale="85" zoomScaleNormal="85" workbookViewId="0">
      <pane xSplit="4" ySplit="8" topLeftCell="E9" activePane="bottomRight" state="frozen"/>
      <selection pane="topRight" activeCell="E1" sqref="E1"/>
      <selection pane="bottomLeft" activeCell="A9" sqref="A9"/>
      <selection pane="bottomRight"/>
    </sheetView>
  </sheetViews>
  <sheetFormatPr defaultRowHeight="16.5" outlineLevelCol="1"/>
  <cols>
    <col min="1" max="2" width="1.28515625" style="150" customWidth="1"/>
    <col min="3" max="3" width="50.42578125" style="150" customWidth="1"/>
    <col min="4" max="4" width="13.7109375" style="953" hidden="1" customWidth="1"/>
    <col min="5" max="5" width="13.85546875" style="954" customWidth="1"/>
    <col min="6" max="6" width="13.7109375" style="954" customWidth="1"/>
    <col min="7" max="7" width="13.28515625" style="954" customWidth="1"/>
    <col min="8" max="8" width="13.140625" style="954" customWidth="1" outlineLevel="1"/>
    <col min="9" max="19" width="13.7109375" style="954" customWidth="1" outlineLevel="1"/>
    <col min="20" max="20" width="13.42578125" style="954" customWidth="1"/>
    <col min="21" max="21" width="13.7109375" style="150" hidden="1" customWidth="1"/>
    <col min="22" max="22" width="2.42578125" style="170" customWidth="1"/>
    <col min="23" max="23" width="9.85546875" style="954" bestFit="1" customWidth="1"/>
    <col min="24" max="24" width="9.7109375" style="954" bestFit="1" customWidth="1"/>
    <col min="25" max="25" width="10" style="954" customWidth="1"/>
    <col min="26" max="29" width="14.5703125" style="150" bestFit="1" customWidth="1"/>
    <col min="30" max="30" width="5.140625" style="150" bestFit="1" customWidth="1"/>
    <col min="31" max="31" width="14.5703125" style="150" bestFit="1" customWidth="1"/>
    <col min="32" max="16384" width="9.140625" style="150"/>
  </cols>
  <sheetData>
    <row r="2" spans="2:40" ht="18.75">
      <c r="C2" s="151" t="e">
        <f ca="1">UPPER('Balance Sheet'!C2&amp;" Ratio &amp; Trend Analysis")</f>
        <v>#NAME?</v>
      </c>
      <c r="D2" s="955"/>
      <c r="E2" s="973"/>
      <c r="F2" s="973"/>
      <c r="G2" s="973"/>
    </row>
    <row r="3" spans="2:40" ht="19.5">
      <c r="C3" s="956" t="e">
        <f ca="1">Config!$B$18&amp;" - "&amp;Config!$B$13&amp;IF(Config!$B$16=0,"","; "&amp;Config!$B$16)&amp;"; "&amp;IF(ISBLANK(DB_LOAD!AO2),"",DB_LOAD!AO2)</f>
        <v>#NAME?</v>
      </c>
      <c r="D3" s="955"/>
      <c r="E3" s="973"/>
      <c r="F3" s="973"/>
      <c r="G3" s="973"/>
    </row>
    <row r="4" spans="2:40" ht="21.75" customHeight="1">
      <c r="C4" s="152">
        <f>T13</f>
        <v>4</v>
      </c>
      <c r="D4" s="957"/>
      <c r="E4" s="974"/>
      <c r="F4" s="974"/>
      <c r="G4" s="974"/>
    </row>
    <row r="5" spans="2:40" ht="12" customHeight="1">
      <c r="C5" s="897" t="str">
        <f>"Figures (#s) in "&amp;'Balance Sheet'!E5</f>
        <v>Figures (#s) in USD</v>
      </c>
      <c r="D5" s="958"/>
      <c r="E5" s="975"/>
      <c r="F5" s="975"/>
      <c r="G5" s="975"/>
      <c r="AC5" s="154"/>
      <c r="AD5" s="154"/>
      <c r="AE5" s="154"/>
      <c r="AF5" s="154"/>
      <c r="AG5" s="154"/>
      <c r="AH5" s="154"/>
      <c r="AI5" s="154"/>
      <c r="AJ5" s="154"/>
      <c r="AK5" s="154"/>
      <c r="AL5" s="154"/>
      <c r="AM5" s="154"/>
    </row>
    <row r="6" spans="2:40" ht="21.75" hidden="1" customHeight="1">
      <c r="C6" s="516"/>
      <c r="D6" s="959"/>
      <c r="E6" s="976"/>
      <c r="F6" s="976"/>
      <c r="G6" s="976"/>
      <c r="H6" s="977" t="e">
        <f ca="1">'Balance Sheet'!AE8</f>
        <v>#N/A</v>
      </c>
      <c r="I6" s="977" t="e">
        <f ca="1">'Balance Sheet'!AF8</f>
        <v>#N/A</v>
      </c>
      <c r="J6" s="977" t="e">
        <f ca="1">'Balance Sheet'!AG8</f>
        <v>#N/A</v>
      </c>
      <c r="K6" s="977" t="e">
        <f ca="1">'Balance Sheet'!AH8</f>
        <v>#N/A</v>
      </c>
      <c r="L6" s="977" t="e">
        <f ca="1">'Balance Sheet'!AI8</f>
        <v>#N/A</v>
      </c>
      <c r="M6" s="977" t="e">
        <f ca="1">'Balance Sheet'!AJ8</f>
        <v>#N/A</v>
      </c>
      <c r="N6" s="977" t="e">
        <f ca="1">'Balance Sheet'!AK8</f>
        <v>#N/A</v>
      </c>
      <c r="O6" s="977" t="e">
        <f ca="1">'Balance Sheet'!AL8</f>
        <v>#N/A</v>
      </c>
      <c r="P6" s="977" t="e">
        <f ca="1">'Balance Sheet'!AM8</f>
        <v>#N/A</v>
      </c>
      <c r="Q6" s="977" t="e">
        <f ca="1">'Balance Sheet'!AN8</f>
        <v>#N/A</v>
      </c>
      <c r="R6" s="977" t="e">
        <f ca="1">'Balance Sheet'!AO8</f>
        <v>#N/A</v>
      </c>
      <c r="S6" s="977" t="e">
        <f ca="1">'Balance Sheet'!AP8</f>
        <v>#N/A</v>
      </c>
      <c r="T6" s="977" t="e">
        <f ca="1">'Balance Sheet'!AQ8</f>
        <v>#N/A</v>
      </c>
      <c r="U6" s="169"/>
      <c r="V6" s="960"/>
      <c r="AC6" s="154"/>
      <c r="AD6" s="154"/>
      <c r="AE6" s="154"/>
      <c r="AF6" s="154"/>
      <c r="AG6" s="154"/>
      <c r="AH6" s="154"/>
      <c r="AI6" s="154"/>
      <c r="AJ6" s="154"/>
      <c r="AK6" s="154"/>
      <c r="AL6" s="154"/>
    </row>
    <row r="7" spans="2:40">
      <c r="C7" s="516"/>
      <c r="D7" s="1009">
        <f ca="1">D13</f>
        <v>-3</v>
      </c>
      <c r="E7" s="1010"/>
      <c r="F7" s="1010"/>
      <c r="G7" s="1010"/>
      <c r="H7" s="1011"/>
      <c r="I7" s="1011"/>
      <c r="J7" s="1011"/>
      <c r="K7" s="1011"/>
      <c r="L7" s="1011"/>
      <c r="M7" s="1011"/>
      <c r="N7" s="1011"/>
      <c r="O7" s="1011"/>
      <c r="P7" s="1011"/>
      <c r="Q7" s="1011"/>
      <c r="R7" s="1011"/>
      <c r="S7" s="1011"/>
      <c r="T7" s="1011"/>
      <c r="U7" s="1011" t="e">
        <f t="shared" ref="U7" ca="1" si="0">U13</f>
        <v>#N/A</v>
      </c>
      <c r="V7" s="1011"/>
      <c r="W7" s="1011"/>
      <c r="X7" s="1011"/>
      <c r="Y7" s="1011"/>
      <c r="AC7" s="154"/>
      <c r="AD7" s="154"/>
      <c r="AE7" s="154"/>
      <c r="AF7" s="154"/>
      <c r="AG7" s="154"/>
      <c r="AH7" s="154"/>
      <c r="AI7" s="154"/>
      <c r="AJ7" s="154"/>
      <c r="AK7" s="154"/>
      <c r="AL7" s="154"/>
    </row>
    <row r="8" spans="2:40">
      <c r="C8" s="1071" t="e">
        <f ca="1">IF('Balance Sheet'!E5&lt;&gt;"USD","",Config!$B$13&amp;"/USD Exchange Rate")</f>
        <v>#NAME?</v>
      </c>
      <c r="D8" s="1009"/>
      <c r="E8" s="1072" t="e">
        <f ca="1">IF('Balance Sheet'!$E$5&lt;&gt;"USD","",'Refi-Annual Review'!L5)</f>
        <v>#N/A</v>
      </c>
      <c r="F8" s="1072" t="e">
        <f ca="1">IF('Balance Sheet'!$E$5&lt;&gt;"USD","",'Refi-Annual Review'!M5)</f>
        <v>#N/A</v>
      </c>
      <c r="G8" s="1072" t="e">
        <f ca="1">IF('Balance Sheet'!$E$5&lt;&gt;"USD","",'Refi-Annual Review'!N5)</f>
        <v>#N/A</v>
      </c>
      <c r="H8" s="1072" t="e">
        <f ca="1">IF('Balance Sheet'!$E$5&lt;&gt;"USD","",'Balance Sheet'!AE8)</f>
        <v>#N/A</v>
      </c>
      <c r="I8" s="1072" t="e">
        <f ca="1">IF('Balance Sheet'!$E$5&lt;&gt;"USD","",'Balance Sheet'!AF8)</f>
        <v>#N/A</v>
      </c>
      <c r="J8" s="1072" t="e">
        <f ca="1">IF('Balance Sheet'!$E$5&lt;&gt;"USD","",'Balance Sheet'!AG8)</f>
        <v>#N/A</v>
      </c>
      <c r="K8" s="1072" t="e">
        <f ca="1">IF('Balance Sheet'!$E$5&lt;&gt;"USD","",'Balance Sheet'!AH8)</f>
        <v>#N/A</v>
      </c>
      <c r="L8" s="1072" t="e">
        <f ca="1">IF('Balance Sheet'!$E$5&lt;&gt;"USD","",'Balance Sheet'!AI8)</f>
        <v>#N/A</v>
      </c>
      <c r="M8" s="1072" t="e">
        <f ca="1">IF('Balance Sheet'!$E$5&lt;&gt;"USD","",'Balance Sheet'!AJ8)</f>
        <v>#N/A</v>
      </c>
      <c r="N8" s="1072" t="e">
        <f ca="1">IF('Balance Sheet'!$E$5&lt;&gt;"USD","",'Balance Sheet'!AK8)</f>
        <v>#N/A</v>
      </c>
      <c r="O8" s="1072" t="e">
        <f ca="1">IF('Balance Sheet'!$E$5&lt;&gt;"USD","",'Balance Sheet'!AL8)</f>
        <v>#N/A</v>
      </c>
      <c r="P8" s="1072" t="e">
        <f ca="1">IF('Balance Sheet'!$E$5&lt;&gt;"USD","",'Balance Sheet'!AM8)</f>
        <v>#N/A</v>
      </c>
      <c r="Q8" s="1072" t="e">
        <f ca="1">IF('Balance Sheet'!$E$5&lt;&gt;"USD","",'Balance Sheet'!AN8)</f>
        <v>#N/A</v>
      </c>
      <c r="R8" s="1072" t="e">
        <f ca="1">IF('Balance Sheet'!$E$5&lt;&gt;"USD","",'Balance Sheet'!AO8)</f>
        <v>#N/A</v>
      </c>
      <c r="S8" s="1072" t="e">
        <f ca="1">IF('Balance Sheet'!$E$5&lt;&gt;"USD","",'Balance Sheet'!AP8)</f>
        <v>#N/A</v>
      </c>
      <c r="T8" s="1072" t="e">
        <f ca="1">IF('Balance Sheet'!$E$5&lt;&gt;"USD","",'Balance Sheet'!AQ8)</f>
        <v>#N/A</v>
      </c>
      <c r="U8" s="1011"/>
      <c r="V8" s="1011"/>
      <c r="W8" s="1011"/>
      <c r="X8" s="1011"/>
      <c r="Y8" s="1011"/>
      <c r="AC8" s="154"/>
      <c r="AD8" s="154"/>
      <c r="AE8" s="154"/>
      <c r="AF8" s="154"/>
      <c r="AG8" s="154"/>
      <c r="AH8" s="154"/>
      <c r="AI8" s="154"/>
      <c r="AJ8" s="154"/>
      <c r="AK8" s="154"/>
      <c r="AL8" s="154"/>
    </row>
    <row r="9" spans="2:40" s="2" customFormat="1" ht="15">
      <c r="B9" s="155" t="s">
        <v>248</v>
      </c>
      <c r="C9" s="515"/>
      <c r="D9" s="961"/>
      <c r="E9" s="963"/>
      <c r="F9" s="963"/>
      <c r="G9" s="963"/>
      <c r="H9" s="978" t="e">
        <f ca="1">IF('Balance Sheet'!$E$5="USD",AVERAGE((OFFSET(DB_LOAD!$K:$K,MATCH(H13,DB_LOAD!$H:$H,0)-1,0,12,1))),1)</f>
        <v>#N/A</v>
      </c>
      <c r="I9" s="978" t="e">
        <f ca="1">IF('Balance Sheet'!$E$5="USD",AVERAGE((OFFSET(DB_LOAD!$K:$K,MATCH(I13,DB_LOAD!$H:$H,0)-1,0,12,1))),1)</f>
        <v>#N/A</v>
      </c>
      <c r="J9" s="978" t="e">
        <f ca="1">IF('Balance Sheet'!$E$5="USD",AVERAGE((OFFSET(DB_LOAD!$K:$K,MATCH(J13,DB_LOAD!$H:$H,0)-1,0,12,1))),1)</f>
        <v>#N/A</v>
      </c>
      <c r="K9" s="978" t="e">
        <f ca="1">IF('Balance Sheet'!$E$5="USD",AVERAGE((OFFSET(DB_LOAD!$K:$K,MATCH(K13,DB_LOAD!$H:$H,0)-1,0,12,1))),1)</f>
        <v>#N/A</v>
      </c>
      <c r="L9" s="978" t="e">
        <f ca="1">IF('Balance Sheet'!$E$5="USD",AVERAGE((OFFSET(DB_LOAD!$K:$K,MATCH(L13,DB_LOAD!$H:$H,0)-1,0,12,1))),1)</f>
        <v>#N/A</v>
      </c>
      <c r="M9" s="978" t="e">
        <f ca="1">IF('Balance Sheet'!$E$5="USD",AVERAGE((OFFSET(DB_LOAD!$K:$K,MATCH(M13,DB_LOAD!$H:$H,0)-1,0,12,1))),1)</f>
        <v>#N/A</v>
      </c>
      <c r="N9" s="978" t="e">
        <f ca="1">IF('Balance Sheet'!$E$5="USD",AVERAGE((OFFSET(DB_LOAD!$K:$K,MATCH(N13,DB_LOAD!$H:$H,0)-1,0,12,1))),1)</f>
        <v>#N/A</v>
      </c>
      <c r="O9" s="978" t="e">
        <f ca="1">IF('Balance Sheet'!$E$5="USD",AVERAGE((OFFSET(DB_LOAD!$K:$K,MATCH(O13,DB_LOAD!$H:$H,0)-1,0,12,1))),1)</f>
        <v>#N/A</v>
      </c>
      <c r="P9" s="978" t="e">
        <f ca="1">IF('Balance Sheet'!$E$5="USD",AVERAGE((OFFSET(DB_LOAD!$K:$K,MATCH(P13,DB_LOAD!$H:$H,0)-1,0,12,1))),1)</f>
        <v>#N/A</v>
      </c>
      <c r="Q9" s="978" t="e">
        <f ca="1">IF('Balance Sheet'!$E$5="USD",AVERAGE((OFFSET(DB_LOAD!$K:$K,MATCH(Q13,DB_LOAD!$H:$H,0)-1,0,12,1))),1)</f>
        <v>#N/A</v>
      </c>
      <c r="R9" s="978" t="e">
        <f ca="1">IF('Balance Sheet'!$E$5="USD",AVERAGE((OFFSET(DB_LOAD!$K:$K,MATCH(R13,DB_LOAD!$H:$H,0)-1,0,12,1))),1)</f>
        <v>#N/A</v>
      </c>
      <c r="S9" s="978" t="e">
        <f ca="1">IF('Balance Sheet'!$E$5="USD",AVERAGE((OFFSET(DB_LOAD!$K:$K,MATCH(S13,DB_LOAD!$H:$H,0)-1,0,12,1))),1)</f>
        <v>#N/A</v>
      </c>
      <c r="T9" s="978" t="e">
        <f ca="1">IF('Balance Sheet'!$E$5="USD",AVERAGE((OFFSET(DB_LOAD!$K:$K,MATCH(T13,DB_LOAD!$H:$H,0)-1,0,12,1))),1)</f>
        <v>#N/A</v>
      </c>
      <c r="U9" s="159">
        <v>1000000</v>
      </c>
      <c r="V9" s="962"/>
      <c r="W9" s="963"/>
      <c r="X9" s="963"/>
      <c r="Y9" s="964"/>
      <c r="AC9" s="156"/>
      <c r="AD9" s="156"/>
      <c r="AE9" s="156"/>
      <c r="AF9" s="156"/>
      <c r="AG9" s="156"/>
      <c r="AH9" s="156"/>
      <c r="AI9" s="156"/>
      <c r="AJ9" s="156"/>
      <c r="AK9" s="156"/>
      <c r="AL9" s="156"/>
    </row>
    <row r="10" spans="2:40" s="2" customFormat="1" ht="0.75" customHeight="1">
      <c r="C10" s="515"/>
      <c r="D10" s="965" t="str">
        <f ca="1">'Refi-Annual Review'!AK6</f>
        <v>No Financials</v>
      </c>
      <c r="E10" s="971" t="str">
        <f ca="1">'Refi-Annual Review'!AL6</f>
        <v>No Financials</v>
      </c>
      <c r="F10" s="971" t="str">
        <f ca="1">'Refi-Annual Review'!AM6</f>
        <v>No Financials</v>
      </c>
      <c r="G10" s="971" t="str">
        <f ca="1">'Refi-Annual Review'!AN6</f>
        <v>No Financials</v>
      </c>
      <c r="H10" s="979" t="e">
        <f t="shared" ref="H10:T10" si="1">EOMONTH(H13,-12)</f>
        <v>#VALUE!</v>
      </c>
      <c r="I10" s="979" t="e">
        <f t="shared" si="1"/>
        <v>#VALUE!</v>
      </c>
      <c r="J10" s="979" t="e">
        <f t="shared" si="1"/>
        <v>#VALUE!</v>
      </c>
      <c r="K10" s="979" t="e">
        <f t="shared" si="1"/>
        <v>#VALUE!</v>
      </c>
      <c r="L10" s="979" t="e">
        <f t="shared" si="1"/>
        <v>#VALUE!</v>
      </c>
      <c r="M10" s="979" t="e">
        <f t="shared" si="1"/>
        <v>#VALUE!</v>
      </c>
      <c r="N10" s="979" t="e">
        <f t="shared" si="1"/>
        <v>#VALUE!</v>
      </c>
      <c r="O10" s="979" t="e">
        <f t="shared" si="1"/>
        <v>#VALUE!</v>
      </c>
      <c r="P10" s="979" t="e">
        <f t="shared" si="1"/>
        <v>#VALUE!</v>
      </c>
      <c r="Q10" s="979" t="e">
        <f t="shared" si="1"/>
        <v>#VALUE!</v>
      </c>
      <c r="R10" s="979" t="e">
        <f t="shared" si="1"/>
        <v>#VALUE!</v>
      </c>
      <c r="S10" s="979" t="e">
        <f t="shared" si="1"/>
        <v>#VALUE!</v>
      </c>
      <c r="T10" s="979" t="e">
        <f t="shared" si="1"/>
        <v>#NUM!</v>
      </c>
      <c r="U10" s="622"/>
      <c r="V10" s="966"/>
      <c r="W10" s="195"/>
      <c r="X10" s="195"/>
      <c r="Y10" s="195"/>
      <c r="AC10" s="156"/>
      <c r="AD10" s="156"/>
      <c r="AE10" s="157"/>
      <c r="AF10" s="158"/>
      <c r="AG10" s="158"/>
      <c r="AH10" s="158"/>
      <c r="AI10" s="158"/>
      <c r="AJ10" s="158"/>
      <c r="AK10" s="158"/>
      <c r="AL10" s="158"/>
      <c r="AN10" s="158"/>
    </row>
    <row r="11" spans="2:40" s="2" customFormat="1" ht="0.75" customHeight="1">
      <c r="C11" s="515"/>
      <c r="D11" s="965"/>
      <c r="E11" s="971"/>
      <c r="F11" s="971"/>
      <c r="G11" s="971"/>
      <c r="H11" s="979" t="e">
        <f ca="1">IF(MOD(MONTH(H$63)-MONTH($U$7),12)=0,12,MOD(MONTH(H$63)-MONTH($U$7),12))</f>
        <v>#VALUE!</v>
      </c>
      <c r="I11" s="979" t="e">
        <f t="shared" ref="I11:T11" ca="1" si="2">IF(MOD(MONTH(I$63)-MONTH($U$7),12)=0,12,MOD(MONTH(I$63)-MONTH($U$7),12))</f>
        <v>#VALUE!</v>
      </c>
      <c r="J11" s="979" t="e">
        <f t="shared" ca="1" si="2"/>
        <v>#VALUE!</v>
      </c>
      <c r="K11" s="979" t="e">
        <f t="shared" ca="1" si="2"/>
        <v>#VALUE!</v>
      </c>
      <c r="L11" s="979" t="e">
        <f t="shared" ca="1" si="2"/>
        <v>#VALUE!</v>
      </c>
      <c r="M11" s="979" t="e">
        <f t="shared" ca="1" si="2"/>
        <v>#VALUE!</v>
      </c>
      <c r="N11" s="979" t="e">
        <f t="shared" ca="1" si="2"/>
        <v>#VALUE!</v>
      </c>
      <c r="O11" s="979" t="e">
        <f t="shared" ca="1" si="2"/>
        <v>#VALUE!</v>
      </c>
      <c r="P11" s="979" t="e">
        <f t="shared" ca="1" si="2"/>
        <v>#VALUE!</v>
      </c>
      <c r="Q11" s="979" t="e">
        <f t="shared" ca="1" si="2"/>
        <v>#VALUE!</v>
      </c>
      <c r="R11" s="979" t="e">
        <f t="shared" ca="1" si="2"/>
        <v>#VALUE!</v>
      </c>
      <c r="S11" s="979" t="e">
        <f t="shared" ca="1" si="2"/>
        <v>#VALUE!</v>
      </c>
      <c r="T11" s="979" t="e">
        <f t="shared" ca="1" si="2"/>
        <v>#N/A</v>
      </c>
      <c r="U11" s="622"/>
      <c r="V11" s="966"/>
      <c r="W11" s="195"/>
      <c r="X11" s="195"/>
      <c r="Y11" s="195"/>
      <c r="AC11" s="156"/>
      <c r="AD11" s="156"/>
      <c r="AE11" s="157"/>
      <c r="AF11" s="158"/>
      <c r="AG11" s="158"/>
      <c r="AH11" s="158"/>
      <c r="AI11" s="158"/>
      <c r="AJ11" s="158"/>
      <c r="AK11" s="158"/>
      <c r="AL11" s="158"/>
      <c r="AN11" s="158"/>
    </row>
    <row r="12" spans="2:40" s="2" customFormat="1" ht="1.5" customHeight="1">
      <c r="C12" s="515"/>
      <c r="D12" s="965"/>
      <c r="E12" s="971"/>
      <c r="F12" s="971"/>
      <c r="G12" s="971"/>
      <c r="H12" s="979"/>
      <c r="I12" s="979" t="e">
        <f ca="1">IF(MONTH(I13)=IF(MONTH(AGGREGATED_DATA!$AL$3)-1=0,12,MONTH(AGGREGATED_DATA!$AL$3)-1),1,"")</f>
        <v>#VALUE!</v>
      </c>
      <c r="J12" s="979" t="e">
        <f ca="1">IF(MONTH(J13)=IF(MONTH(AGGREGATED_DATA!$AL$3)-1=0,12,MONTH(AGGREGATED_DATA!$AL$3)-1),1,"")</f>
        <v>#VALUE!</v>
      </c>
      <c r="K12" s="979" t="e">
        <f ca="1">IF(MONTH(K13)=IF(MONTH(AGGREGATED_DATA!$AL$3)-1=0,12,MONTH(AGGREGATED_DATA!$AL$3)-1),1,"")</f>
        <v>#VALUE!</v>
      </c>
      <c r="L12" s="979" t="e">
        <f ca="1">IF(MONTH(L13)=IF(MONTH(AGGREGATED_DATA!$AL$3)-1=0,12,MONTH(AGGREGATED_DATA!$AL$3)-1),1,"")</f>
        <v>#VALUE!</v>
      </c>
      <c r="M12" s="979" t="e">
        <f ca="1">IF(MONTH(M13)=IF(MONTH(AGGREGATED_DATA!$AL$3)-1=0,12,MONTH(AGGREGATED_DATA!$AL$3)-1),1,"")</f>
        <v>#VALUE!</v>
      </c>
      <c r="N12" s="979" t="e">
        <f ca="1">IF(MONTH(N13)=IF(MONTH(AGGREGATED_DATA!$AL$3)-1=0,12,MONTH(AGGREGATED_DATA!$AL$3)-1),1,"")</f>
        <v>#VALUE!</v>
      </c>
      <c r="O12" s="979" t="e">
        <f ca="1">IF(MONTH(O13)=IF(MONTH(AGGREGATED_DATA!$AL$3)-1=0,12,MONTH(AGGREGATED_DATA!$AL$3)-1),1,"")</f>
        <v>#VALUE!</v>
      </c>
      <c r="P12" s="979" t="e">
        <f ca="1">IF(MONTH(P13)=IF(MONTH(AGGREGATED_DATA!$AL$3)-1=0,12,MONTH(AGGREGATED_DATA!$AL$3)-1),1,"")</f>
        <v>#VALUE!</v>
      </c>
      <c r="Q12" s="979" t="e">
        <f ca="1">IF(MONTH(Q13)=IF(MONTH(AGGREGATED_DATA!$AL$3)-1=0,12,MONTH(AGGREGATED_DATA!$AL$3)-1),1,"")</f>
        <v>#VALUE!</v>
      </c>
      <c r="R12" s="979" t="e">
        <f ca="1">IF(MONTH(R13)=IF(MONTH(AGGREGATED_DATA!$AL$3)-1=0,12,MONTH(AGGREGATED_DATA!$AL$3)-1),1,"")</f>
        <v>#VALUE!</v>
      </c>
      <c r="S12" s="979" t="e">
        <f ca="1">IF(MONTH(S13)=IF(MONTH(AGGREGATED_DATA!$AL$3)-1=0,12,MONTH(AGGREGATED_DATA!$AL$3)-1),1,"")</f>
        <v>#VALUE!</v>
      </c>
      <c r="T12" s="979" t="e">
        <f ca="1">IF(MONTH(T13)=IF(MONTH(AGGREGATED_DATA!$AL$3)-1=0,12,MONTH(AGGREGATED_DATA!$AL$3)-1),1,"")</f>
        <v>#NAME?</v>
      </c>
      <c r="U12" s="622"/>
      <c r="V12" s="966"/>
      <c r="W12" s="963"/>
      <c r="X12" s="963"/>
      <c r="Y12" s="964"/>
      <c r="AC12" s="156"/>
      <c r="AD12" s="156"/>
      <c r="AE12" s="157"/>
      <c r="AF12" s="158"/>
      <c r="AG12" s="158"/>
      <c r="AH12" s="158"/>
      <c r="AI12" s="158"/>
      <c r="AJ12" s="158"/>
      <c r="AK12" s="158"/>
      <c r="AL12" s="158"/>
      <c r="AN12" s="158"/>
    </row>
    <row r="13" spans="2:40" s="2" customFormat="1" ht="15">
      <c r="C13" s="1012"/>
      <c r="D13" s="967">
        <f ca="1">'Refi-Annual Review'!AK7</f>
        <v>-3</v>
      </c>
      <c r="E13" s="972">
        <f ca="1">'Refi-Annual Review'!AL7</f>
        <v>-2</v>
      </c>
      <c r="F13" s="972">
        <f ca="1">'Refi-Annual Review'!AM7</f>
        <v>-1</v>
      </c>
      <c r="G13" s="1013">
        <f ca="1">'Refi-Annual Review'!AN7</f>
        <v>0</v>
      </c>
      <c r="H13" s="898" t="str">
        <f>DATA_FORMATTING!AB7</f>
        <v/>
      </c>
      <c r="I13" s="898" t="str">
        <f>DATA_FORMATTING!AC7</f>
        <v/>
      </c>
      <c r="J13" s="898" t="str">
        <f>DATA_FORMATTING!AD7</f>
        <v/>
      </c>
      <c r="K13" s="898" t="str">
        <f>DATA_FORMATTING!AE7</f>
        <v/>
      </c>
      <c r="L13" s="898" t="str">
        <f>DATA_FORMATTING!AF7</f>
        <v/>
      </c>
      <c r="M13" s="898" t="str">
        <f>DATA_FORMATTING!AG7</f>
        <v/>
      </c>
      <c r="N13" s="898" t="str">
        <f>DATA_FORMATTING!AH7</f>
        <v/>
      </c>
      <c r="O13" s="898" t="str">
        <f>DATA_FORMATTING!AI7</f>
        <v/>
      </c>
      <c r="P13" s="898" t="str">
        <f>DATA_FORMATTING!AJ7</f>
        <v/>
      </c>
      <c r="Q13" s="898" t="str">
        <f>DATA_FORMATTING!AK7</f>
        <v/>
      </c>
      <c r="R13" s="898" t="str">
        <f>DATA_FORMATTING!AL7</f>
        <v/>
      </c>
      <c r="S13" s="898" t="str">
        <f>DATA_FORMATTING!AM7</f>
        <v/>
      </c>
      <c r="T13" s="898">
        <f>DATA_FORMATTING!AN7</f>
        <v>4</v>
      </c>
      <c r="U13" s="898" t="e">
        <f t="shared" ref="U13:U20" ca="1" si="3">HLOOKUP(1,$I$12:$T$114,ROW(A13)-ROW($A$12)+1,FALSE)</f>
        <v>#N/A</v>
      </c>
      <c r="V13" s="969"/>
      <c r="W13" s="970" t="s">
        <v>607</v>
      </c>
      <c r="X13" s="970" t="s">
        <v>608</v>
      </c>
      <c r="Y13" s="970" t="s">
        <v>609</v>
      </c>
      <c r="AC13" s="156"/>
      <c r="AD13" s="156"/>
      <c r="AE13" s="157"/>
      <c r="AF13" s="158"/>
      <c r="AG13" s="158"/>
      <c r="AH13" s="158"/>
      <c r="AI13" s="158"/>
      <c r="AJ13" s="158"/>
      <c r="AK13" s="158"/>
      <c r="AL13" s="158"/>
      <c r="AM13" s="159"/>
      <c r="AN13" s="158"/>
    </row>
    <row r="14" spans="2:40" s="2" customFormat="1" ht="15">
      <c r="B14" s="159"/>
      <c r="C14" s="1014" t="s">
        <v>582</v>
      </c>
      <c r="D14" s="899" t="str">
        <f ca="1">IFERROR('Refi-Annual Review'!AK52+'Refi-Annual Review'!AK53,"")</f>
        <v/>
      </c>
      <c r="E14" s="980" t="str">
        <f ca="1">IFERROR('Refi-Annual Review'!AL52+'Refi-Annual Review'!AL53,"")</f>
        <v/>
      </c>
      <c r="F14" s="980" t="str">
        <f ca="1">IFERROR('Refi-Annual Review'!AM52+'Refi-Annual Review'!AM53,"")</f>
        <v/>
      </c>
      <c r="G14" s="1015" t="str">
        <f ca="1">IFERROR('Refi-Annual Review'!AN52+'Refi-Annual Review'!AN53,"")</f>
        <v/>
      </c>
      <c r="H14" s="980" t="e">
        <f t="shared" ref="H14:T14" ca="1" si="4">+H15+H16</f>
        <v>#NAME?</v>
      </c>
      <c r="I14" s="980" t="e">
        <f t="shared" ca="1" si="4"/>
        <v>#NAME?</v>
      </c>
      <c r="J14" s="980" t="e">
        <f t="shared" ca="1" si="4"/>
        <v>#NAME?</v>
      </c>
      <c r="K14" s="980" t="e">
        <f t="shared" ca="1" si="4"/>
        <v>#NAME?</v>
      </c>
      <c r="L14" s="980" t="e">
        <f t="shared" ca="1" si="4"/>
        <v>#NAME?</v>
      </c>
      <c r="M14" s="980" t="e">
        <f t="shared" ca="1" si="4"/>
        <v>#NAME?</v>
      </c>
      <c r="N14" s="980" t="e">
        <f t="shared" ca="1" si="4"/>
        <v>#NAME?</v>
      </c>
      <c r="O14" s="980" t="e">
        <f t="shared" ca="1" si="4"/>
        <v>#NAME?</v>
      </c>
      <c r="P14" s="980" t="e">
        <f t="shared" ca="1" si="4"/>
        <v>#NAME?</v>
      </c>
      <c r="Q14" s="980" t="e">
        <f t="shared" ca="1" si="4"/>
        <v>#NAME?</v>
      </c>
      <c r="R14" s="980" t="e">
        <f t="shared" ca="1" si="4"/>
        <v>#NAME?</v>
      </c>
      <c r="S14" s="980" t="e">
        <f t="shared" ca="1" si="4"/>
        <v>#NAME?</v>
      </c>
      <c r="T14" s="980" t="e">
        <f t="shared" ca="1" si="4"/>
        <v>#NAME?</v>
      </c>
      <c r="U14" s="899" t="e">
        <f t="shared" ca="1" si="3"/>
        <v>#N/A</v>
      </c>
      <c r="W14" s="968">
        <f t="shared" ref="W14:W20" ca="1" si="5">IFERROR(+T14/S14-1,0)</f>
        <v>0</v>
      </c>
      <c r="X14" s="968">
        <f ca="1">IFERROR(+T14/U14-1,0)</f>
        <v>0</v>
      </c>
      <c r="Y14" s="968">
        <f t="shared" ref="Y14:Y20" ca="1" si="6">IFERROR(+T14/H14-1,0)</f>
        <v>0</v>
      </c>
      <c r="AC14" s="156"/>
      <c r="AD14" s="156"/>
      <c r="AE14" s="157"/>
      <c r="AF14" s="158"/>
      <c r="AG14" s="158"/>
      <c r="AH14" s="158"/>
      <c r="AI14" s="158"/>
      <c r="AJ14" s="158"/>
      <c r="AK14" s="158"/>
      <c r="AL14" s="158"/>
      <c r="AM14" s="159"/>
      <c r="AN14" s="158"/>
    </row>
    <row r="15" spans="2:40" s="2" customFormat="1" ht="15">
      <c r="B15" s="159"/>
      <c r="C15" s="1016" t="s">
        <v>583</v>
      </c>
      <c r="D15" s="900" t="str">
        <f ca="1">IFERROR('Refi-Annual Review'!AK52,"")</f>
        <v/>
      </c>
      <c r="E15" s="981" t="str">
        <f ca="1">IFERROR('Refi-Annual Review'!AL52,"")</f>
        <v/>
      </c>
      <c r="F15" s="981" t="str">
        <f ca="1">IFERROR('Refi-Annual Review'!AM52,"")</f>
        <v/>
      </c>
      <c r="G15" s="1017" t="str">
        <f ca="1">IFERROR('Refi-Annual Review'!AN52,"")</f>
        <v/>
      </c>
      <c r="H15" s="981" t="e">
        <f ca="1">'Portfolio Quality'!AM24</f>
        <v>#NAME?</v>
      </c>
      <c r="I15" s="981" t="e">
        <f ca="1">'Portfolio Quality'!AN24</f>
        <v>#NAME?</v>
      </c>
      <c r="J15" s="981" t="e">
        <f ca="1">'Portfolio Quality'!AO24</f>
        <v>#NAME?</v>
      </c>
      <c r="K15" s="981" t="e">
        <f ca="1">'Portfolio Quality'!AP24</f>
        <v>#NAME?</v>
      </c>
      <c r="L15" s="981" t="e">
        <f ca="1">'Portfolio Quality'!AQ24</f>
        <v>#NAME?</v>
      </c>
      <c r="M15" s="981" t="e">
        <f ca="1">'Portfolio Quality'!AR24</f>
        <v>#NAME?</v>
      </c>
      <c r="N15" s="981" t="e">
        <f ca="1">'Portfolio Quality'!AS24</f>
        <v>#NAME?</v>
      </c>
      <c r="O15" s="981" t="e">
        <f ca="1">'Portfolio Quality'!AT24</f>
        <v>#NAME?</v>
      </c>
      <c r="P15" s="981" t="e">
        <f ca="1">'Portfolio Quality'!AU24</f>
        <v>#NAME?</v>
      </c>
      <c r="Q15" s="981" t="e">
        <f ca="1">'Portfolio Quality'!AV24</f>
        <v>#NAME?</v>
      </c>
      <c r="R15" s="981" t="e">
        <f ca="1">'Portfolio Quality'!AW24</f>
        <v>#NAME?</v>
      </c>
      <c r="S15" s="981" t="e">
        <f ca="1">'Portfolio Quality'!AX24</f>
        <v>#NAME?</v>
      </c>
      <c r="T15" s="981" t="e">
        <f ca="1">'Portfolio Quality'!AY24</f>
        <v>#NAME?</v>
      </c>
      <c r="U15" s="900" t="e">
        <f t="shared" ca="1" si="3"/>
        <v>#N/A</v>
      </c>
      <c r="W15" s="968">
        <f t="shared" ca="1" si="5"/>
        <v>0</v>
      </c>
      <c r="X15" s="968">
        <f t="shared" ref="X15:X20" ca="1" si="7">IFERROR(+T15/U15-1,0)</f>
        <v>0</v>
      </c>
      <c r="Y15" s="968">
        <f t="shared" ca="1" si="6"/>
        <v>0</v>
      </c>
      <c r="AC15" s="156"/>
      <c r="AD15" s="156"/>
      <c r="AE15" s="157"/>
      <c r="AF15" s="158"/>
      <c r="AG15" s="158"/>
      <c r="AH15" s="158"/>
      <c r="AI15" s="158"/>
      <c r="AJ15" s="158"/>
      <c r="AK15" s="158"/>
      <c r="AL15" s="158"/>
      <c r="AM15" s="159"/>
      <c r="AN15" s="158"/>
    </row>
    <row r="16" spans="2:40" s="2" customFormat="1" ht="15">
      <c r="B16" s="159"/>
      <c r="C16" s="1016" t="s">
        <v>584</v>
      </c>
      <c r="D16" s="900" t="str">
        <f ca="1">IFERROR(+'Refi-Annual Review'!AK53,"")</f>
        <v/>
      </c>
      <c r="E16" s="981" t="str">
        <f ca="1">IFERROR(+'Refi-Annual Review'!AL53,"")</f>
        <v/>
      </c>
      <c r="F16" s="981" t="str">
        <f ca="1">IFERROR(+'Refi-Annual Review'!AM53,"")</f>
        <v/>
      </c>
      <c r="G16" s="1017" t="str">
        <f ca="1">IFERROR(+'Refi-Annual Review'!AN53,"")</f>
        <v/>
      </c>
      <c r="H16" s="981" t="e">
        <f ca="1">'Portfolio Quality'!AM29</f>
        <v>#NAME?</v>
      </c>
      <c r="I16" s="981" t="e">
        <f ca="1">'Portfolio Quality'!AN29</f>
        <v>#NAME?</v>
      </c>
      <c r="J16" s="981" t="e">
        <f ca="1">'Portfolio Quality'!AO29</f>
        <v>#NAME?</v>
      </c>
      <c r="K16" s="981" t="e">
        <f ca="1">'Portfolio Quality'!AP29</f>
        <v>#NAME?</v>
      </c>
      <c r="L16" s="981" t="e">
        <f ca="1">'Portfolio Quality'!AQ29</f>
        <v>#NAME?</v>
      </c>
      <c r="M16" s="981" t="e">
        <f ca="1">'Portfolio Quality'!AR29</f>
        <v>#NAME?</v>
      </c>
      <c r="N16" s="981" t="e">
        <f ca="1">'Portfolio Quality'!AS29</f>
        <v>#NAME?</v>
      </c>
      <c r="O16" s="981" t="e">
        <f ca="1">'Portfolio Quality'!AT29</f>
        <v>#NAME?</v>
      </c>
      <c r="P16" s="981" t="e">
        <f ca="1">'Portfolio Quality'!AU29</f>
        <v>#NAME?</v>
      </c>
      <c r="Q16" s="981" t="e">
        <f ca="1">'Portfolio Quality'!AV29</f>
        <v>#NAME?</v>
      </c>
      <c r="R16" s="981" t="e">
        <f ca="1">'Portfolio Quality'!AW29</f>
        <v>#NAME?</v>
      </c>
      <c r="S16" s="981" t="e">
        <f ca="1">'Portfolio Quality'!AX29</f>
        <v>#NAME?</v>
      </c>
      <c r="T16" s="981" t="e">
        <f ca="1">'Portfolio Quality'!AY29</f>
        <v>#NAME?</v>
      </c>
      <c r="U16" s="900" t="e">
        <f t="shared" ca="1" si="3"/>
        <v>#N/A</v>
      </c>
      <c r="W16" s="968">
        <f t="shared" ca="1" si="5"/>
        <v>0</v>
      </c>
      <c r="X16" s="968">
        <f t="shared" ca="1" si="7"/>
        <v>0</v>
      </c>
      <c r="Y16" s="968">
        <f t="shared" ca="1" si="6"/>
        <v>0</v>
      </c>
      <c r="AC16" s="156"/>
      <c r="AD16" s="156"/>
      <c r="AE16" s="157"/>
      <c r="AF16" s="158"/>
      <c r="AG16" s="158"/>
      <c r="AH16" s="158"/>
      <c r="AI16" s="158"/>
      <c r="AJ16" s="158"/>
      <c r="AK16" s="158"/>
      <c r="AL16" s="158"/>
      <c r="AM16" s="159"/>
      <c r="AN16" s="158"/>
    </row>
    <row r="17" spans="2:40" s="2" customFormat="1" ht="15">
      <c r="B17" s="159"/>
      <c r="C17" s="1014" t="s">
        <v>585</v>
      </c>
      <c r="D17" s="901"/>
      <c r="E17" s="980" t="str">
        <f ca="1">IFERROR('Refi-Annual Review'!AL54,"")</f>
        <v/>
      </c>
      <c r="F17" s="980" t="str">
        <f ca="1">IFERROR('Refi-Annual Review'!AM54,"")</f>
        <v/>
      </c>
      <c r="G17" s="1015" t="str">
        <f ca="1">IFERROR('Refi-Annual Review'!AN54,"")</f>
        <v/>
      </c>
      <c r="H17" s="980" t="e">
        <f ca="1">'Portfolio Quality'!AM31</f>
        <v>#NAME?</v>
      </c>
      <c r="I17" s="980" t="e">
        <f ca="1">'Portfolio Quality'!AN31</f>
        <v>#NAME?</v>
      </c>
      <c r="J17" s="980" t="e">
        <f ca="1">'Portfolio Quality'!AO31</f>
        <v>#NAME?</v>
      </c>
      <c r="K17" s="980" t="e">
        <f ca="1">'Portfolio Quality'!AP31</f>
        <v>#NAME?</v>
      </c>
      <c r="L17" s="980" t="e">
        <f ca="1">'Portfolio Quality'!AQ31</f>
        <v>#NAME?</v>
      </c>
      <c r="M17" s="980" t="e">
        <f ca="1">'Portfolio Quality'!AR31</f>
        <v>#NAME?</v>
      </c>
      <c r="N17" s="980" t="e">
        <f ca="1">'Portfolio Quality'!AS31</f>
        <v>#NAME?</v>
      </c>
      <c r="O17" s="980" t="e">
        <f ca="1">'Portfolio Quality'!AT31</f>
        <v>#NAME?</v>
      </c>
      <c r="P17" s="980" t="e">
        <f ca="1">'Portfolio Quality'!AU31</f>
        <v>#NAME?</v>
      </c>
      <c r="Q17" s="980" t="e">
        <f ca="1">'Portfolio Quality'!AV31</f>
        <v>#NAME?</v>
      </c>
      <c r="R17" s="980" t="e">
        <f ca="1">'Portfolio Quality'!AW31</f>
        <v>#NAME?</v>
      </c>
      <c r="S17" s="980" t="e">
        <f ca="1">'Portfolio Quality'!AX31</f>
        <v>#NAME?</v>
      </c>
      <c r="T17" s="980" t="e">
        <f ca="1">'Portfolio Quality'!AY31</f>
        <v>#NAME?</v>
      </c>
      <c r="U17" s="901" t="e">
        <f t="shared" ca="1" si="3"/>
        <v>#N/A</v>
      </c>
      <c r="W17" s="968">
        <f t="shared" ca="1" si="5"/>
        <v>0</v>
      </c>
      <c r="X17" s="968">
        <f t="shared" ca="1" si="7"/>
        <v>0</v>
      </c>
      <c r="Y17" s="968">
        <f t="shared" ca="1" si="6"/>
        <v>0</v>
      </c>
      <c r="AC17" s="156"/>
      <c r="AD17" s="156"/>
      <c r="AE17" s="157"/>
      <c r="AF17" s="158"/>
      <c r="AG17" s="158"/>
      <c r="AH17" s="158"/>
      <c r="AI17" s="158"/>
      <c r="AJ17" s="158"/>
      <c r="AK17" s="158"/>
      <c r="AL17" s="158"/>
      <c r="AM17" s="159"/>
      <c r="AN17" s="158"/>
    </row>
    <row r="18" spans="2:40" s="2" customFormat="1" ht="14.25" customHeight="1">
      <c r="B18" s="159"/>
      <c r="C18" s="1016" t="s">
        <v>253</v>
      </c>
      <c r="D18" s="902"/>
      <c r="E18" s="981" t="str">
        <f ca="1">IFERROR(('Refi-Annual Review'!AL164)/'Refi-Annual Review'!AL180,"")</f>
        <v/>
      </c>
      <c r="F18" s="981" t="str">
        <f ca="1">IFERROR(('Refi-Annual Review'!AM164)/'Refi-Annual Review'!AM180,"")</f>
        <v/>
      </c>
      <c r="G18" s="981" t="str">
        <f ca="1">IFERROR(('Refi-Annual Review'!AN164)/'Refi-Annual Review'!AN180,"")</f>
        <v/>
      </c>
      <c r="H18" s="981" t="e">
        <f ca="1">'Portfolio Quality'!AM33</f>
        <v>#NAME?</v>
      </c>
      <c r="I18" s="981" t="e">
        <f ca="1">'Portfolio Quality'!AN33</f>
        <v>#NAME?</v>
      </c>
      <c r="J18" s="981" t="e">
        <f ca="1">'Portfolio Quality'!AO33</f>
        <v>#NAME?</v>
      </c>
      <c r="K18" s="981" t="e">
        <f ca="1">'Portfolio Quality'!AP33</f>
        <v>#NAME?</v>
      </c>
      <c r="L18" s="981" t="e">
        <f ca="1">'Portfolio Quality'!AQ33</f>
        <v>#NAME?</v>
      </c>
      <c r="M18" s="981" t="e">
        <f ca="1">'Portfolio Quality'!AR33</f>
        <v>#NAME?</v>
      </c>
      <c r="N18" s="981" t="e">
        <f ca="1">'Portfolio Quality'!AS33</f>
        <v>#NAME?</v>
      </c>
      <c r="O18" s="981" t="e">
        <f ca="1">'Portfolio Quality'!AT33</f>
        <v>#NAME?</v>
      </c>
      <c r="P18" s="981" t="e">
        <f ca="1">'Portfolio Quality'!AU33</f>
        <v>#NAME?</v>
      </c>
      <c r="Q18" s="981" t="e">
        <f ca="1">'Portfolio Quality'!AV33</f>
        <v>#NAME?</v>
      </c>
      <c r="R18" s="981" t="e">
        <f ca="1">'Portfolio Quality'!AW33</f>
        <v>#NAME?</v>
      </c>
      <c r="S18" s="981" t="e">
        <f ca="1">'Portfolio Quality'!AX33</f>
        <v>#NAME?</v>
      </c>
      <c r="T18" s="981" t="e">
        <f ca="1">'Portfolio Quality'!AY33</f>
        <v>#NAME?</v>
      </c>
      <c r="U18" s="902" t="e">
        <f t="shared" ca="1" si="3"/>
        <v>#N/A</v>
      </c>
      <c r="W18" s="968">
        <f t="shared" ca="1" si="5"/>
        <v>0</v>
      </c>
      <c r="X18" s="968">
        <f t="shared" ca="1" si="7"/>
        <v>0</v>
      </c>
      <c r="Y18" s="968">
        <f t="shared" ca="1" si="6"/>
        <v>0</v>
      </c>
      <c r="AC18" s="156"/>
      <c r="AD18" s="156"/>
      <c r="AE18" s="157"/>
      <c r="AF18" s="158"/>
      <c r="AG18" s="158"/>
      <c r="AH18" s="158"/>
      <c r="AI18" s="158"/>
      <c r="AJ18" s="158"/>
      <c r="AK18" s="158"/>
      <c r="AL18" s="158"/>
      <c r="AM18" s="159"/>
      <c r="AN18" s="158"/>
    </row>
    <row r="19" spans="2:40" s="2" customFormat="1" ht="15">
      <c r="B19" s="159"/>
      <c r="C19" s="1014" t="s">
        <v>254</v>
      </c>
      <c r="D19" s="903" t="str">
        <f ca="1">IFERROR('Refi-Annual Review'!AK59,"")</f>
        <v/>
      </c>
      <c r="E19" s="982" t="str">
        <f ca="1">IFERROR('Refi-Annual Review'!AL59,"")</f>
        <v/>
      </c>
      <c r="F19" s="982" t="str">
        <f ca="1">IFERROR('Refi-Annual Review'!AM59,"")</f>
        <v/>
      </c>
      <c r="G19" s="1015" t="str">
        <f ca="1">IFERROR('Refi-Annual Review'!AN59,"")</f>
        <v/>
      </c>
      <c r="H19" s="982" t="e">
        <f ca="1">-'Balance Sheet'!AE16/SUM('Portfolio Quality'!AM10+'Portfolio Quality'!AM15)</f>
        <v>#VALUE!</v>
      </c>
      <c r="I19" s="982" t="e">
        <f ca="1">-'Balance Sheet'!AF16/SUM('Portfolio Quality'!AN10+'Portfolio Quality'!AN15)</f>
        <v>#VALUE!</v>
      </c>
      <c r="J19" s="982" t="e">
        <f ca="1">-'Balance Sheet'!AG16/SUM('Portfolio Quality'!AO10+'Portfolio Quality'!AO15)</f>
        <v>#VALUE!</v>
      </c>
      <c r="K19" s="982" t="e">
        <f ca="1">-'Balance Sheet'!AH16/SUM('Portfolio Quality'!AP10+'Portfolio Quality'!AP15)</f>
        <v>#VALUE!</v>
      </c>
      <c r="L19" s="982" t="e">
        <f ca="1">-'Balance Sheet'!AI16/SUM('Portfolio Quality'!AQ10+'Portfolio Quality'!AQ15)</f>
        <v>#VALUE!</v>
      </c>
      <c r="M19" s="982" t="e">
        <f ca="1">-'Balance Sheet'!AJ16/SUM('Portfolio Quality'!AR10+'Portfolio Quality'!AR15)</f>
        <v>#VALUE!</v>
      </c>
      <c r="N19" s="982" t="e">
        <f ca="1">-'Balance Sheet'!AK16/SUM('Portfolio Quality'!AS10+'Portfolio Quality'!AS15)</f>
        <v>#VALUE!</v>
      </c>
      <c r="O19" s="982" t="e">
        <f ca="1">-'Balance Sheet'!AL16/SUM('Portfolio Quality'!AT10+'Portfolio Quality'!AT15)</f>
        <v>#VALUE!</v>
      </c>
      <c r="P19" s="982" t="e">
        <f ca="1">-'Balance Sheet'!AM16/SUM('Portfolio Quality'!AU10+'Portfolio Quality'!AU15)</f>
        <v>#VALUE!</v>
      </c>
      <c r="Q19" s="982" t="e">
        <f ca="1">-'Balance Sheet'!AN16/SUM('Portfolio Quality'!AV10+'Portfolio Quality'!AV15)</f>
        <v>#VALUE!</v>
      </c>
      <c r="R19" s="982" t="e">
        <f ca="1">-'Balance Sheet'!AO16/SUM('Portfolio Quality'!AW10+'Portfolio Quality'!AW15)</f>
        <v>#VALUE!</v>
      </c>
      <c r="S19" s="982" t="e">
        <f ca="1">-'Balance Sheet'!AP16/SUM('Portfolio Quality'!AX10+'Portfolio Quality'!AX15)</f>
        <v>#VALUE!</v>
      </c>
      <c r="T19" s="982" t="e">
        <f ca="1">-'Balance Sheet'!AQ16/SUM('Portfolio Quality'!AY10+'Portfolio Quality'!AY15)</f>
        <v>#NAME?</v>
      </c>
      <c r="U19" s="903" t="e">
        <f t="shared" ca="1" si="3"/>
        <v>#N/A</v>
      </c>
      <c r="W19" s="968">
        <f t="shared" ca="1" si="5"/>
        <v>0</v>
      </c>
      <c r="X19" s="968">
        <f t="shared" ca="1" si="7"/>
        <v>0</v>
      </c>
      <c r="Y19" s="968">
        <f t="shared" ca="1" si="6"/>
        <v>0</v>
      </c>
      <c r="AC19" s="156"/>
      <c r="AD19" s="156"/>
      <c r="AE19" s="156"/>
      <c r="AF19" s="156"/>
      <c r="AG19" s="156"/>
      <c r="AH19" s="156"/>
      <c r="AI19" s="156"/>
      <c r="AJ19" s="156"/>
      <c r="AK19" s="156"/>
      <c r="AL19" s="156"/>
      <c r="AM19" s="159"/>
    </row>
    <row r="20" spans="2:40" s="2" customFormat="1" ht="15">
      <c r="B20" s="159"/>
      <c r="C20" s="1018" t="s">
        <v>255</v>
      </c>
      <c r="D20" s="904" t="str">
        <f ca="1">IFERROR('Refi-Annual Review'!AK58,"")</f>
        <v/>
      </c>
      <c r="E20" s="984" t="str">
        <f ca="1">IFERROR('Refi-Annual Review'!AL58,"")</f>
        <v/>
      </c>
      <c r="F20" s="984" t="str">
        <f ca="1">IFERROR('Refi-Annual Review'!AM58,"")</f>
        <v/>
      </c>
      <c r="G20" s="1019" t="str">
        <f ca="1">IFERROR('Refi-Annual Review'!AN58,"")</f>
        <v/>
      </c>
      <c r="H20" s="984" t="e">
        <f ca="1">ABS('Balance Sheet'!AE16/'Balance Sheet'!AE15)</f>
        <v>#VALUE!</v>
      </c>
      <c r="I20" s="984" t="e">
        <f ca="1">ABS('Balance Sheet'!AF16/'Balance Sheet'!AF15)</f>
        <v>#VALUE!</v>
      </c>
      <c r="J20" s="984" t="e">
        <f ca="1">ABS('Balance Sheet'!AG16/'Balance Sheet'!AG15)</f>
        <v>#VALUE!</v>
      </c>
      <c r="K20" s="984" t="e">
        <f ca="1">ABS('Balance Sheet'!AH16/'Balance Sheet'!AH15)</f>
        <v>#VALUE!</v>
      </c>
      <c r="L20" s="984" t="e">
        <f ca="1">ABS('Balance Sheet'!AI16/'Balance Sheet'!AI15)</f>
        <v>#VALUE!</v>
      </c>
      <c r="M20" s="984" t="e">
        <f ca="1">ABS('Balance Sheet'!AJ16/'Balance Sheet'!AJ15)</f>
        <v>#VALUE!</v>
      </c>
      <c r="N20" s="984" t="e">
        <f ca="1">ABS('Balance Sheet'!AK16/'Balance Sheet'!AK15)</f>
        <v>#VALUE!</v>
      </c>
      <c r="O20" s="984" t="e">
        <f ca="1">ABS('Balance Sheet'!AL16/'Balance Sheet'!AL15)</f>
        <v>#VALUE!</v>
      </c>
      <c r="P20" s="984" t="e">
        <f ca="1">ABS('Balance Sheet'!AM16/'Balance Sheet'!AM15)</f>
        <v>#VALUE!</v>
      </c>
      <c r="Q20" s="984" t="e">
        <f ca="1">ABS('Balance Sheet'!AN16/'Balance Sheet'!AN15)</f>
        <v>#VALUE!</v>
      </c>
      <c r="R20" s="984" t="e">
        <f ca="1">ABS('Balance Sheet'!AO16/'Balance Sheet'!AO15)</f>
        <v>#VALUE!</v>
      </c>
      <c r="S20" s="984" t="e">
        <f ca="1">ABS('Balance Sheet'!AP16/'Balance Sheet'!AP15)</f>
        <v>#VALUE!</v>
      </c>
      <c r="T20" s="984" t="e">
        <f ca="1">ABS('Balance Sheet'!AQ16/'Balance Sheet'!AQ15)</f>
        <v>#NAME?</v>
      </c>
      <c r="U20" s="904" t="e">
        <f t="shared" ca="1" si="3"/>
        <v>#N/A</v>
      </c>
      <c r="W20" s="968">
        <f t="shared" ca="1" si="5"/>
        <v>0</v>
      </c>
      <c r="X20" s="968">
        <f t="shared" ca="1" si="7"/>
        <v>0</v>
      </c>
      <c r="Y20" s="968">
        <f t="shared" ca="1" si="6"/>
        <v>0</v>
      </c>
      <c r="AC20" s="156"/>
      <c r="AD20" s="156"/>
      <c r="AE20" s="156"/>
      <c r="AF20" s="156"/>
      <c r="AG20" s="156"/>
      <c r="AH20" s="156"/>
      <c r="AI20" s="156"/>
      <c r="AJ20" s="156"/>
      <c r="AK20" s="156"/>
      <c r="AL20" s="156"/>
      <c r="AM20" s="159"/>
    </row>
    <row r="21" spans="2:40" s="2" customFormat="1" ht="3" customHeight="1">
      <c r="B21" s="159"/>
      <c r="C21" s="1018"/>
      <c r="D21" s="904"/>
      <c r="E21" s="983"/>
      <c r="F21" s="983"/>
      <c r="G21" s="1020"/>
      <c r="H21" s="983"/>
      <c r="I21" s="983"/>
      <c r="J21" s="983"/>
      <c r="K21" s="983"/>
      <c r="L21" s="983"/>
      <c r="M21" s="983"/>
      <c r="N21" s="983"/>
      <c r="O21" s="983"/>
      <c r="P21" s="983"/>
      <c r="Q21" s="983"/>
      <c r="R21" s="983"/>
      <c r="S21" s="983"/>
      <c r="T21" s="983"/>
      <c r="U21" s="904"/>
      <c r="W21" s="968"/>
      <c r="X21" s="968"/>
      <c r="Y21" s="968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9"/>
    </row>
    <row r="22" spans="2:40" s="2" customFormat="1" ht="15">
      <c r="B22" s="159"/>
      <c r="C22" s="1021" t="s">
        <v>586</v>
      </c>
      <c r="D22" s="905"/>
      <c r="E22" s="985"/>
      <c r="F22" s="985"/>
      <c r="G22" s="1022"/>
      <c r="H22" s="985"/>
      <c r="I22" s="985"/>
      <c r="J22" s="985"/>
      <c r="K22" s="985"/>
      <c r="L22" s="985"/>
      <c r="M22" s="985"/>
      <c r="N22" s="985"/>
      <c r="O22" s="985"/>
      <c r="P22" s="985"/>
      <c r="Q22" s="985"/>
      <c r="R22" s="985"/>
      <c r="S22" s="985"/>
      <c r="T22" s="985"/>
      <c r="U22" s="905"/>
      <c r="W22" s="968"/>
      <c r="X22" s="968"/>
      <c r="Y22" s="968"/>
      <c r="AC22" s="156"/>
      <c r="AD22" s="156"/>
      <c r="AE22" s="156"/>
      <c r="AF22" s="156"/>
      <c r="AG22" s="156"/>
      <c r="AH22" s="156"/>
      <c r="AI22" s="156"/>
      <c r="AJ22" s="156"/>
      <c r="AK22" s="156"/>
      <c r="AL22" s="156"/>
      <c r="AM22" s="159"/>
    </row>
    <row r="23" spans="2:40" s="2" customFormat="1" ht="15">
      <c r="B23" s="159"/>
      <c r="C23" s="1018" t="s">
        <v>546</v>
      </c>
      <c r="D23" s="161" t="str">
        <f ca="1">IFERROR('Refi-Annual Review'!AK95/$U$9,"")</f>
        <v/>
      </c>
      <c r="E23" s="986" t="str">
        <f ca="1">IFERROR('Refi-Annual Review'!AL95/$U$9,"")</f>
        <v/>
      </c>
      <c r="F23" s="986" t="str">
        <f ca="1">IFERROR('Refi-Annual Review'!AM95/$U$9,"")</f>
        <v/>
      </c>
      <c r="G23" s="1023" t="str">
        <f ca="1">IFERROR('Refi-Annual Review'!AN95/$U$9,"")</f>
        <v/>
      </c>
      <c r="H23" s="986" t="e">
        <f ca="1">'Balance Sheet'!AE15/$U$9</f>
        <v>#VALUE!</v>
      </c>
      <c r="I23" s="986" t="e">
        <f ca="1">'Balance Sheet'!AF15/$U$9</f>
        <v>#VALUE!</v>
      </c>
      <c r="J23" s="986" t="e">
        <f ca="1">'Balance Sheet'!AG15/$U$9</f>
        <v>#VALUE!</v>
      </c>
      <c r="K23" s="986" t="e">
        <f ca="1">'Balance Sheet'!AH15/$U$9</f>
        <v>#VALUE!</v>
      </c>
      <c r="L23" s="986" t="e">
        <f ca="1">'Balance Sheet'!AI15/$U$9</f>
        <v>#VALUE!</v>
      </c>
      <c r="M23" s="986" t="e">
        <f ca="1">'Balance Sheet'!AJ15/$U$9</f>
        <v>#VALUE!</v>
      </c>
      <c r="N23" s="986" t="e">
        <f ca="1">'Balance Sheet'!AK15/$U$9</f>
        <v>#VALUE!</v>
      </c>
      <c r="O23" s="986" t="e">
        <f ca="1">'Balance Sheet'!AL15/$U$9</f>
        <v>#VALUE!</v>
      </c>
      <c r="P23" s="986" t="e">
        <f ca="1">'Balance Sheet'!AM15/$U$9</f>
        <v>#VALUE!</v>
      </c>
      <c r="Q23" s="986" t="e">
        <f ca="1">'Balance Sheet'!AN15/$U$9</f>
        <v>#VALUE!</v>
      </c>
      <c r="R23" s="986" t="e">
        <f ca="1">'Balance Sheet'!AO15/$U$9</f>
        <v>#VALUE!</v>
      </c>
      <c r="S23" s="986" t="e">
        <f ca="1">'Balance Sheet'!AP15/$U$9</f>
        <v>#VALUE!</v>
      </c>
      <c r="T23" s="986" t="e">
        <f ca="1">'Balance Sheet'!AQ15/$U$9</f>
        <v>#NAME?</v>
      </c>
      <c r="U23" s="161" t="e">
        <f t="shared" ref="U23:U28" ca="1" si="8">HLOOKUP(1,$I$12:$T$114,ROW(A23)-ROW($A$12)+1,FALSE)</f>
        <v>#N/A</v>
      </c>
      <c r="V23" s="1078"/>
      <c r="W23" s="968">
        <f t="shared" ref="W23:W28" ca="1" si="9">IFERROR(+T23/S23-1,0)</f>
        <v>0</v>
      </c>
      <c r="X23" s="968">
        <f t="shared" ref="X23:X28" ca="1" si="10">IFERROR(+T23/U23-1,0)</f>
        <v>0</v>
      </c>
      <c r="Y23" s="968">
        <f t="shared" ref="Y23:Y28" ca="1" si="11">IFERROR(+T23/H23-1,0)</f>
        <v>0</v>
      </c>
      <c r="AC23" s="156"/>
      <c r="AD23" s="156"/>
      <c r="AE23" s="156"/>
      <c r="AF23" s="156"/>
      <c r="AG23" s="156"/>
      <c r="AH23" s="156"/>
      <c r="AI23" s="156"/>
      <c r="AJ23" s="156"/>
      <c r="AK23" s="156"/>
      <c r="AL23" s="156"/>
      <c r="AM23" s="159"/>
    </row>
    <row r="24" spans="2:40" s="2" customFormat="1" ht="15">
      <c r="B24" s="159"/>
      <c r="C24" s="1024" t="s">
        <v>442</v>
      </c>
      <c r="D24" s="906" t="str">
        <f t="shared" ref="D24:F24" ca="1" si="12">IFERROR(+D23/C23-1,"")</f>
        <v/>
      </c>
      <c r="E24" s="987" t="str">
        <f t="shared" ca="1" si="12"/>
        <v/>
      </c>
      <c r="F24" s="988" t="str">
        <f t="shared" ca="1" si="12"/>
        <v/>
      </c>
      <c r="G24" s="1025" t="str">
        <f ca="1">IFERROR(+G23/F23-1,"")</f>
        <v/>
      </c>
      <c r="H24" s="988" t="e">
        <f ca="1">('Balance Sheet'!AE15-'Balance Sheet'!S15)/ABS('Balance Sheet'!S15)</f>
        <v>#VALUE!</v>
      </c>
      <c r="I24" s="988" t="e">
        <f ca="1">('Balance Sheet'!AF15-'Balance Sheet'!T15)/ABS('Balance Sheet'!T15)</f>
        <v>#VALUE!</v>
      </c>
      <c r="J24" s="988" t="e">
        <f ca="1">('Balance Sheet'!AG15-'Balance Sheet'!U15)/ABS('Balance Sheet'!U15)</f>
        <v>#VALUE!</v>
      </c>
      <c r="K24" s="988" t="e">
        <f ca="1">('Balance Sheet'!AH15-'Balance Sheet'!V15)/ABS('Balance Sheet'!V15)</f>
        <v>#VALUE!</v>
      </c>
      <c r="L24" s="988" t="e">
        <f ca="1">('Balance Sheet'!AI15-'Balance Sheet'!W15)/ABS('Balance Sheet'!W15)</f>
        <v>#VALUE!</v>
      </c>
      <c r="M24" s="988" t="e">
        <f ca="1">('Balance Sheet'!AJ15-'Balance Sheet'!X15)/ABS('Balance Sheet'!X15)</f>
        <v>#VALUE!</v>
      </c>
      <c r="N24" s="988" t="e">
        <f ca="1">('Balance Sheet'!AK15-'Balance Sheet'!Y15)/ABS('Balance Sheet'!Y15)</f>
        <v>#VALUE!</v>
      </c>
      <c r="O24" s="988" t="e">
        <f ca="1">('Balance Sheet'!AL15-'Balance Sheet'!Z15)/ABS('Balance Sheet'!Z15)</f>
        <v>#VALUE!</v>
      </c>
      <c r="P24" s="988" t="e">
        <f ca="1">('Balance Sheet'!AM15-'Balance Sheet'!AA15)/ABS('Balance Sheet'!AA15)</f>
        <v>#VALUE!</v>
      </c>
      <c r="Q24" s="988" t="e">
        <f ca="1">('Balance Sheet'!AN15-'Balance Sheet'!AB15)/ABS('Balance Sheet'!AB15)</f>
        <v>#VALUE!</v>
      </c>
      <c r="R24" s="988" t="e">
        <f ca="1">('Balance Sheet'!AO15-'Balance Sheet'!AC15)/ABS('Balance Sheet'!AC15)</f>
        <v>#VALUE!</v>
      </c>
      <c r="S24" s="988" t="e">
        <f ca="1">('Balance Sheet'!AP15-'Balance Sheet'!AD15)/ABS('Balance Sheet'!AD15)</f>
        <v>#VALUE!</v>
      </c>
      <c r="T24" s="988" t="e">
        <f ca="1">('Balance Sheet'!AQ15-'Balance Sheet'!AE15)/ABS('Balance Sheet'!AE15)</f>
        <v>#NAME?</v>
      </c>
      <c r="U24" s="161" t="e">
        <f t="shared" ca="1" si="8"/>
        <v>#N/A</v>
      </c>
      <c r="W24" s="968">
        <f t="shared" ca="1" si="9"/>
        <v>0</v>
      </c>
      <c r="X24" s="968">
        <f t="shared" ca="1" si="10"/>
        <v>0</v>
      </c>
      <c r="Y24" s="968">
        <f t="shared" ca="1" si="11"/>
        <v>0</v>
      </c>
      <c r="AC24" s="156"/>
      <c r="AD24" s="156"/>
      <c r="AE24" s="156"/>
      <c r="AF24" s="156"/>
      <c r="AG24" s="156"/>
      <c r="AH24" s="156"/>
      <c r="AI24" s="156"/>
      <c r="AJ24" s="156"/>
      <c r="AK24" s="156"/>
      <c r="AL24" s="156"/>
      <c r="AM24" s="159"/>
    </row>
    <row r="25" spans="2:40" s="2" customFormat="1" ht="13.5" customHeight="1">
      <c r="B25" s="159"/>
      <c r="C25" s="1026" t="s">
        <v>250</v>
      </c>
      <c r="D25" s="161" t="str">
        <f ca="1">IFERROR('Refi-Annual Review'!AK156/$U$9,"")</f>
        <v/>
      </c>
      <c r="E25" s="986" t="str">
        <f ca="1">IFERROR('Refi-Annual Review'!AL156/$U$9,"")</f>
        <v/>
      </c>
      <c r="F25" s="986" t="str">
        <f ca="1">IFERROR('Refi-Annual Review'!AM156/$U$9,"")</f>
        <v/>
      </c>
      <c r="G25" s="1023" t="str">
        <f ca="1">IFERROR('Refi-Annual Review'!AN156/$U$9,"")</f>
        <v/>
      </c>
      <c r="H25" s="986" t="e">
        <f ca="1">'Portfolio Quality'!AM10/$U$9</f>
        <v>#NAME?</v>
      </c>
      <c r="I25" s="986" t="e">
        <f ca="1">'Portfolio Quality'!AN10/$U$9</f>
        <v>#NAME?</v>
      </c>
      <c r="J25" s="986" t="e">
        <f ca="1">'Portfolio Quality'!AO10/$U$9</f>
        <v>#NAME?</v>
      </c>
      <c r="K25" s="986" t="e">
        <f ca="1">'Portfolio Quality'!AP10/$U$9</f>
        <v>#NAME?</v>
      </c>
      <c r="L25" s="986" t="e">
        <f ca="1">'Portfolio Quality'!AQ10/$U$9</f>
        <v>#NAME?</v>
      </c>
      <c r="M25" s="986" t="e">
        <f ca="1">'Portfolio Quality'!AR10/$U$9</f>
        <v>#NAME?</v>
      </c>
      <c r="N25" s="986" t="e">
        <f ca="1">'Portfolio Quality'!AS10/$U$9</f>
        <v>#NAME?</v>
      </c>
      <c r="O25" s="986" t="e">
        <f ca="1">'Portfolio Quality'!AT10/$U$9</f>
        <v>#NAME?</v>
      </c>
      <c r="P25" s="986" t="e">
        <f ca="1">'Portfolio Quality'!AU10/$U$9</f>
        <v>#NAME?</v>
      </c>
      <c r="Q25" s="986" t="e">
        <f ca="1">'Portfolio Quality'!AV10/$U$9</f>
        <v>#NAME?</v>
      </c>
      <c r="R25" s="986" t="e">
        <f ca="1">'Portfolio Quality'!AW10/$U$9</f>
        <v>#NAME?</v>
      </c>
      <c r="S25" s="986" t="e">
        <f ca="1">'Portfolio Quality'!AX10/$U$9</f>
        <v>#NAME?</v>
      </c>
      <c r="T25" s="986" t="e">
        <f ca="1">'Portfolio Quality'!AY10/$U$9</f>
        <v>#NAME?</v>
      </c>
      <c r="U25" s="161" t="e">
        <f t="shared" ca="1" si="8"/>
        <v>#N/A</v>
      </c>
      <c r="V25" s="1078"/>
      <c r="W25" s="968">
        <f t="shared" ca="1" si="9"/>
        <v>0</v>
      </c>
      <c r="X25" s="968">
        <f t="shared" ca="1" si="10"/>
        <v>0</v>
      </c>
      <c r="Y25" s="968">
        <f t="shared" ca="1" si="11"/>
        <v>0</v>
      </c>
      <c r="AC25" s="156"/>
      <c r="AD25" s="156"/>
      <c r="AE25" s="156"/>
      <c r="AF25" s="156"/>
      <c r="AG25" s="156"/>
      <c r="AH25" s="156"/>
      <c r="AI25" s="156"/>
      <c r="AJ25" s="156"/>
      <c r="AK25" s="156"/>
      <c r="AL25" s="156"/>
      <c r="AM25" s="159"/>
    </row>
    <row r="26" spans="2:40" s="2" customFormat="1" ht="15">
      <c r="B26" s="159"/>
      <c r="C26" s="1026" t="s">
        <v>251</v>
      </c>
      <c r="D26" s="161" t="str">
        <f ca="1">IFERROR('Refi-Annual Review'!AK160/$U$9,"")</f>
        <v/>
      </c>
      <c r="E26" s="986" t="str">
        <f ca="1">IFERROR('Refi-Annual Review'!AL161/$U$9,"")</f>
        <v/>
      </c>
      <c r="F26" s="986" t="str">
        <f ca="1">IFERROR('Refi-Annual Review'!AM161/$U$9,"")</f>
        <v/>
      </c>
      <c r="G26" s="1023" t="str">
        <f ca="1">IFERROR('Refi-Annual Review'!AN161/$U$9,"")</f>
        <v/>
      </c>
      <c r="H26" s="986" t="e">
        <f ca="1">'Portfolio Quality'!AM15/$U$9</f>
        <v>#NAME?</v>
      </c>
      <c r="I26" s="986" t="e">
        <f ca="1">'Portfolio Quality'!AN15/$U$9</f>
        <v>#NAME?</v>
      </c>
      <c r="J26" s="986" t="e">
        <f ca="1">'Portfolio Quality'!AO15/$U$9</f>
        <v>#NAME?</v>
      </c>
      <c r="K26" s="986" t="e">
        <f ca="1">'Portfolio Quality'!AP15/$U$9</f>
        <v>#NAME?</v>
      </c>
      <c r="L26" s="986" t="e">
        <f ca="1">'Portfolio Quality'!AQ15/$U$9</f>
        <v>#NAME?</v>
      </c>
      <c r="M26" s="986" t="e">
        <f ca="1">'Portfolio Quality'!AR15/$U$9</f>
        <v>#NAME?</v>
      </c>
      <c r="N26" s="986" t="e">
        <f ca="1">'Portfolio Quality'!AS15/$U$9</f>
        <v>#NAME?</v>
      </c>
      <c r="O26" s="986" t="e">
        <f ca="1">'Portfolio Quality'!AT15/$U$9</f>
        <v>#NAME?</v>
      </c>
      <c r="P26" s="986" t="e">
        <f ca="1">'Portfolio Quality'!AU15/$U$9</f>
        <v>#NAME?</v>
      </c>
      <c r="Q26" s="986" t="e">
        <f ca="1">'Portfolio Quality'!AV15/$U$9</f>
        <v>#NAME?</v>
      </c>
      <c r="R26" s="986" t="e">
        <f ca="1">'Portfolio Quality'!AW15/$U$9</f>
        <v>#NAME?</v>
      </c>
      <c r="S26" s="986" t="e">
        <f ca="1">'Portfolio Quality'!AX15/$U$9</f>
        <v>#NAME?</v>
      </c>
      <c r="T26" s="986" t="e">
        <f ca="1">'Portfolio Quality'!AY15/$U$9</f>
        <v>#NAME?</v>
      </c>
      <c r="U26" s="161" t="e">
        <f t="shared" ca="1" si="8"/>
        <v>#N/A</v>
      </c>
      <c r="V26" s="1078"/>
      <c r="W26" s="968">
        <f t="shared" ca="1" si="9"/>
        <v>0</v>
      </c>
      <c r="X26" s="968">
        <f t="shared" ca="1" si="10"/>
        <v>0</v>
      </c>
      <c r="Y26" s="968">
        <f t="shared" ca="1" si="11"/>
        <v>0</v>
      </c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</row>
    <row r="27" spans="2:40" s="2" customFormat="1" ht="15">
      <c r="B27" s="159"/>
      <c r="C27" s="1026" t="s">
        <v>612</v>
      </c>
      <c r="D27" s="161"/>
      <c r="E27" s="986" t="str">
        <f ca="1">IF(E26="","","N/A")</f>
        <v/>
      </c>
      <c r="F27" s="986" t="str">
        <f t="shared" ref="F27:G27" ca="1" si="13">IF(F26="","","N/A")</f>
        <v/>
      </c>
      <c r="G27" s="1023" t="str">
        <f t="shared" ca="1" si="13"/>
        <v/>
      </c>
      <c r="H27" s="986" t="e">
        <f ca="1">'Portfolio Quality'!AM16/$U$9</f>
        <v>#NAME?</v>
      </c>
      <c r="I27" s="986" t="e">
        <f ca="1">'Portfolio Quality'!AN16/$U$9</f>
        <v>#NAME?</v>
      </c>
      <c r="J27" s="986" t="e">
        <f ca="1">'Portfolio Quality'!AO16/$U$9</f>
        <v>#NAME?</v>
      </c>
      <c r="K27" s="986" t="e">
        <f ca="1">'Portfolio Quality'!AP16/$U$9</f>
        <v>#NAME?</v>
      </c>
      <c r="L27" s="986" t="e">
        <f ca="1">'Portfolio Quality'!AQ16/$U$9</f>
        <v>#NAME?</v>
      </c>
      <c r="M27" s="986" t="e">
        <f ca="1">'Portfolio Quality'!AR16/$U$9</f>
        <v>#NAME?</v>
      </c>
      <c r="N27" s="986" t="e">
        <f ca="1">'Portfolio Quality'!AS16/$U$9</f>
        <v>#NAME?</v>
      </c>
      <c r="O27" s="986" t="e">
        <f ca="1">'Portfolio Quality'!AT16/$U$9</f>
        <v>#NAME?</v>
      </c>
      <c r="P27" s="986" t="e">
        <f ca="1">'Portfolio Quality'!AU16/$U$9</f>
        <v>#NAME?</v>
      </c>
      <c r="Q27" s="986" t="e">
        <f ca="1">'Portfolio Quality'!AV16/$U$9</f>
        <v>#NAME?</v>
      </c>
      <c r="R27" s="986" t="e">
        <f ca="1">'Portfolio Quality'!AW16/$U$9</f>
        <v>#NAME?</v>
      </c>
      <c r="S27" s="986" t="e">
        <f ca="1">'Portfolio Quality'!AX16/$U$9</f>
        <v>#NAME?</v>
      </c>
      <c r="T27" s="986" t="e">
        <f ca="1">'Portfolio Quality'!AY16/$U$9</f>
        <v>#NAME?</v>
      </c>
      <c r="U27" s="161" t="e">
        <f t="shared" ca="1" si="8"/>
        <v>#N/A</v>
      </c>
      <c r="V27" s="986"/>
      <c r="W27" s="968">
        <f t="shared" ca="1" si="9"/>
        <v>0</v>
      </c>
      <c r="X27" s="968">
        <f t="shared" ca="1" si="10"/>
        <v>0</v>
      </c>
      <c r="Y27" s="968">
        <f t="shared" ca="1" si="11"/>
        <v>0</v>
      </c>
      <c r="AC27" s="156"/>
      <c r="AD27" s="156"/>
      <c r="AE27" s="156"/>
      <c r="AF27" s="156"/>
      <c r="AG27" s="156"/>
      <c r="AH27" s="156"/>
      <c r="AI27" s="156"/>
      <c r="AJ27" s="156"/>
      <c r="AK27" s="156"/>
      <c r="AL27" s="156"/>
    </row>
    <row r="28" spans="2:40" s="2" customFormat="1" ht="15">
      <c r="B28" s="159"/>
      <c r="C28" s="1027" t="s">
        <v>611</v>
      </c>
      <c r="D28" s="907" t="str">
        <f ca="1">IFERROR('Refi-Annual Review'!AK162/$U$9,"")</f>
        <v/>
      </c>
      <c r="E28" s="989" t="str">
        <f ca="1">IFERROR('Refi-Annual Review'!AL162/$U$9,"")</f>
        <v/>
      </c>
      <c r="F28" s="989" t="str">
        <f ca="1">IFERROR('Refi-Annual Review'!AM162/$U$9,"")</f>
        <v/>
      </c>
      <c r="G28" s="1028" t="str">
        <f ca="1">IFERROR('Refi-Annual Review'!AN162/$U$9,"")</f>
        <v/>
      </c>
      <c r="H28" s="989" t="e">
        <f ca="1">AGGREGATED_DATA!Z23/AGGREGATED_DATA!Z9/$U$9</f>
        <v>#NAME?</v>
      </c>
      <c r="I28" s="989" t="e">
        <f ca="1">AGGREGATED_DATA!AA23/AGGREGATED_DATA!AA9/$U$9</f>
        <v>#NAME?</v>
      </c>
      <c r="J28" s="989" t="e">
        <f ca="1">AGGREGATED_DATA!AB23/AGGREGATED_DATA!AB9/$U$9</f>
        <v>#NAME?</v>
      </c>
      <c r="K28" s="989" t="e">
        <f ca="1">AGGREGATED_DATA!AC23/AGGREGATED_DATA!AC9/$U$9</f>
        <v>#NAME?</v>
      </c>
      <c r="L28" s="989" t="e">
        <f ca="1">AGGREGATED_DATA!AD23/AGGREGATED_DATA!AD9/$U$9</f>
        <v>#NAME?</v>
      </c>
      <c r="M28" s="989" t="e">
        <f ca="1">AGGREGATED_DATA!AE23/AGGREGATED_DATA!AE9/$U$9</f>
        <v>#NAME?</v>
      </c>
      <c r="N28" s="989" t="e">
        <f ca="1">AGGREGATED_DATA!AF23/AGGREGATED_DATA!AF9/$U$9</f>
        <v>#NAME?</v>
      </c>
      <c r="O28" s="989" t="e">
        <f ca="1">AGGREGATED_DATA!AG23/AGGREGATED_DATA!AG9/$U$9</f>
        <v>#NAME?</v>
      </c>
      <c r="P28" s="989" t="e">
        <f ca="1">AGGREGATED_DATA!AH23/AGGREGATED_DATA!AH9/$U$9</f>
        <v>#NAME?</v>
      </c>
      <c r="Q28" s="989" t="e">
        <f ca="1">AGGREGATED_DATA!AI23/AGGREGATED_DATA!AI9/$U$9</f>
        <v>#NAME?</v>
      </c>
      <c r="R28" s="989" t="e">
        <f ca="1">AGGREGATED_DATA!AJ23/AGGREGATED_DATA!AJ9/$U$9</f>
        <v>#NAME?</v>
      </c>
      <c r="S28" s="989" t="e">
        <f ca="1">AGGREGATED_DATA!AK23/AGGREGATED_DATA!AK9/$U$9</f>
        <v>#NAME?</v>
      </c>
      <c r="T28" s="989" t="e">
        <f ca="1">AGGREGATED_DATA!AL23/AGGREGATED_DATA!AL9/$U$9</f>
        <v>#NAME?</v>
      </c>
      <c r="U28" s="907" t="e">
        <f t="shared" ca="1" si="8"/>
        <v>#N/A</v>
      </c>
      <c r="V28" s="1078"/>
      <c r="W28" s="968">
        <f t="shared" ca="1" si="9"/>
        <v>0</v>
      </c>
      <c r="X28" s="968">
        <f t="shared" ca="1" si="10"/>
        <v>0</v>
      </c>
      <c r="Y28" s="968">
        <f t="shared" ca="1" si="11"/>
        <v>0</v>
      </c>
      <c r="AC28" s="156"/>
      <c r="AD28" s="156"/>
      <c r="AE28" s="156"/>
      <c r="AF28" s="156"/>
      <c r="AG28" s="156"/>
      <c r="AH28" s="156"/>
      <c r="AI28" s="156"/>
      <c r="AJ28" s="156"/>
      <c r="AK28" s="156"/>
      <c r="AL28" s="156"/>
    </row>
    <row r="29" spans="2:40" s="2" customFormat="1" ht="4.5" customHeight="1">
      <c r="C29" s="1018"/>
      <c r="E29" s="964"/>
      <c r="F29" s="964"/>
      <c r="G29" s="1029"/>
      <c r="H29" s="964"/>
      <c r="I29" s="964"/>
      <c r="J29" s="964"/>
      <c r="K29" s="964"/>
      <c r="L29" s="964"/>
      <c r="M29" s="964"/>
      <c r="N29" s="964"/>
      <c r="O29" s="964"/>
      <c r="P29" s="964"/>
      <c r="Q29" s="964"/>
      <c r="R29" s="964"/>
      <c r="S29" s="964"/>
      <c r="T29" s="964"/>
      <c r="W29" s="968"/>
      <c r="X29" s="968"/>
      <c r="Y29" s="968"/>
    </row>
    <row r="30" spans="2:40" s="2" customFormat="1" ht="15">
      <c r="B30" s="1" t="s">
        <v>257</v>
      </c>
      <c r="C30" s="1018"/>
      <c r="E30" s="964"/>
      <c r="F30" s="964"/>
      <c r="G30" s="1029"/>
      <c r="H30" s="964"/>
      <c r="I30" s="964"/>
      <c r="J30" s="964"/>
      <c r="K30" s="964"/>
      <c r="L30" s="964"/>
      <c r="M30" s="964"/>
      <c r="N30" s="964"/>
      <c r="O30" s="964"/>
      <c r="P30" s="964"/>
      <c r="Q30" s="964"/>
      <c r="R30" s="964"/>
      <c r="S30" s="964"/>
      <c r="T30" s="990"/>
      <c r="U30" s="160"/>
      <c r="W30" s="1077"/>
      <c r="X30" s="1077"/>
      <c r="Y30" s="1077"/>
    </row>
    <row r="31" spans="2:40" s="2" customFormat="1" ht="3" customHeight="1">
      <c r="C31" s="1018"/>
      <c r="E31" s="964"/>
      <c r="F31" s="964"/>
      <c r="G31" s="1029"/>
      <c r="H31" s="964"/>
      <c r="I31" s="964"/>
      <c r="J31" s="964"/>
      <c r="K31" s="964"/>
      <c r="L31" s="964"/>
      <c r="M31" s="964"/>
      <c r="N31" s="964"/>
      <c r="O31" s="964"/>
      <c r="P31" s="964"/>
      <c r="Q31" s="964"/>
      <c r="R31" s="964"/>
      <c r="S31" s="964"/>
      <c r="T31" s="964"/>
      <c r="W31" s="968"/>
      <c r="X31" s="968"/>
      <c r="Y31" s="968"/>
    </row>
    <row r="32" spans="2:40" s="2" customFormat="1" ht="15">
      <c r="C32" s="1030"/>
      <c r="D32" s="967">
        <f t="shared" ref="D32:F32" ca="1" si="14">D13</f>
        <v>-3</v>
      </c>
      <c r="E32" s="972">
        <f t="shared" ca="1" si="14"/>
        <v>-2</v>
      </c>
      <c r="F32" s="972">
        <f t="shared" ca="1" si="14"/>
        <v>-1</v>
      </c>
      <c r="G32" s="1013">
        <f ca="1">G13</f>
        <v>0</v>
      </c>
      <c r="H32" s="898" t="str">
        <f t="shared" ref="H32:T32" si="15">H13</f>
        <v/>
      </c>
      <c r="I32" s="898" t="str">
        <f t="shared" si="15"/>
        <v/>
      </c>
      <c r="J32" s="898" t="str">
        <f t="shared" si="15"/>
        <v/>
      </c>
      <c r="K32" s="898" t="str">
        <f t="shared" si="15"/>
        <v/>
      </c>
      <c r="L32" s="898" t="str">
        <f t="shared" si="15"/>
        <v/>
      </c>
      <c r="M32" s="898" t="str">
        <f t="shared" si="15"/>
        <v/>
      </c>
      <c r="N32" s="898" t="str">
        <f t="shared" si="15"/>
        <v/>
      </c>
      <c r="O32" s="898" t="str">
        <f t="shared" si="15"/>
        <v/>
      </c>
      <c r="P32" s="898" t="str">
        <f t="shared" si="15"/>
        <v/>
      </c>
      <c r="Q32" s="898" t="str">
        <f t="shared" si="15"/>
        <v/>
      </c>
      <c r="R32" s="898" t="str">
        <f t="shared" si="15"/>
        <v/>
      </c>
      <c r="S32" s="898" t="str">
        <f t="shared" si="15"/>
        <v/>
      </c>
      <c r="T32" s="898">
        <f t="shared" si="15"/>
        <v>4</v>
      </c>
      <c r="U32" s="898" t="e">
        <f t="shared" ref="U32:U38" ca="1" si="16">HLOOKUP(1,$I$12:$T$114,ROW(A32)-ROW($A$12)+1,FALSE)</f>
        <v>#N/A</v>
      </c>
      <c r="W32" s="970" t="s">
        <v>607</v>
      </c>
      <c r="X32" s="970" t="s">
        <v>608</v>
      </c>
      <c r="Y32" s="970" t="s">
        <v>609</v>
      </c>
      <c r="AM32" s="159"/>
    </row>
    <row r="33" spans="2:25" s="2" customFormat="1" ht="15">
      <c r="B33" s="159"/>
      <c r="C33" s="1018" t="s">
        <v>263</v>
      </c>
      <c r="D33" s="162" t="str">
        <f ca="1">IFERROR('Refi-Annual Review'!AK69,"")</f>
        <v/>
      </c>
      <c r="E33" s="984" t="str">
        <f ca="1">IFERROR('Refi-Annual Review'!AL69,"")</f>
        <v/>
      </c>
      <c r="F33" s="984" t="str">
        <f ca="1">IFERROR('Refi-Annual Review'!AM69,"")</f>
        <v/>
      </c>
      <c r="G33" s="1019" t="str">
        <f ca="1">IFERROR('Refi-Annual Review'!AN69,"")</f>
        <v/>
      </c>
      <c r="H33" s="984" t="e">
        <f ca="1">'Balance Sheet'!AE11/'Balance Sheet'!AE18</f>
        <v>#VALUE!</v>
      </c>
      <c r="I33" s="984" t="e">
        <f ca="1">'Balance Sheet'!AF11/'Balance Sheet'!AF18</f>
        <v>#VALUE!</v>
      </c>
      <c r="J33" s="984" t="e">
        <f ca="1">'Balance Sheet'!AG11/'Balance Sheet'!AG18</f>
        <v>#VALUE!</v>
      </c>
      <c r="K33" s="984" t="e">
        <f ca="1">'Balance Sheet'!AH11/'Balance Sheet'!AH18</f>
        <v>#VALUE!</v>
      </c>
      <c r="L33" s="984" t="e">
        <f ca="1">'Balance Sheet'!AI11/'Balance Sheet'!AI18</f>
        <v>#VALUE!</v>
      </c>
      <c r="M33" s="984" t="e">
        <f ca="1">'Balance Sheet'!AJ11/'Balance Sheet'!AJ18</f>
        <v>#VALUE!</v>
      </c>
      <c r="N33" s="984" t="e">
        <f ca="1">'Balance Sheet'!AK11/'Balance Sheet'!AK18</f>
        <v>#VALUE!</v>
      </c>
      <c r="O33" s="984" t="e">
        <f ca="1">'Balance Sheet'!AL11/'Balance Sheet'!AL18</f>
        <v>#VALUE!</v>
      </c>
      <c r="P33" s="984" t="e">
        <f ca="1">'Balance Sheet'!AM11/'Balance Sheet'!AM18</f>
        <v>#VALUE!</v>
      </c>
      <c r="Q33" s="984" t="e">
        <f ca="1">'Balance Sheet'!AN11/'Balance Sheet'!AN18</f>
        <v>#VALUE!</v>
      </c>
      <c r="R33" s="984" t="e">
        <f ca="1">'Balance Sheet'!AO11/'Balance Sheet'!AO18</f>
        <v>#VALUE!</v>
      </c>
      <c r="S33" s="984" t="e">
        <f ca="1">'Balance Sheet'!AP11/'Balance Sheet'!AP18</f>
        <v>#VALUE!</v>
      </c>
      <c r="T33" s="984" t="e">
        <f ca="1">'Balance Sheet'!AQ11/'Balance Sheet'!AQ18</f>
        <v>#NAME?</v>
      </c>
      <c r="U33" s="162" t="e">
        <f t="shared" ca="1" si="16"/>
        <v>#N/A</v>
      </c>
      <c r="W33" s="968">
        <f t="shared" ref="W33:W38" ca="1" si="17">IFERROR(+T33/S33-1,0)</f>
        <v>0</v>
      </c>
      <c r="X33" s="968">
        <f t="shared" ref="X33:X38" ca="1" si="18">IFERROR(+T33/U33-1,0)</f>
        <v>0</v>
      </c>
      <c r="Y33" s="968">
        <f t="shared" ref="Y33:Y38" ca="1" si="19">IFERROR(+T33/H33-1,0)</f>
        <v>0</v>
      </c>
    </row>
    <row r="34" spans="2:25" s="2" customFormat="1" ht="15">
      <c r="B34" s="159"/>
      <c r="C34" s="1018" t="s">
        <v>264</v>
      </c>
      <c r="D34" s="908"/>
      <c r="E34" s="991"/>
      <c r="F34" s="991"/>
      <c r="G34" s="1031"/>
      <c r="H34" s="991" t="str">
        <f t="shared" ref="H34:T34" ca="1" si="20">IFERROR(+H43/H45,"")</f>
        <v/>
      </c>
      <c r="I34" s="991" t="str">
        <f t="shared" ca="1" si="20"/>
        <v/>
      </c>
      <c r="J34" s="991" t="str">
        <f t="shared" ca="1" si="20"/>
        <v/>
      </c>
      <c r="K34" s="991" t="str">
        <f t="shared" ca="1" si="20"/>
        <v/>
      </c>
      <c r="L34" s="991" t="str">
        <f t="shared" ca="1" si="20"/>
        <v/>
      </c>
      <c r="M34" s="991" t="str">
        <f t="shared" ca="1" si="20"/>
        <v/>
      </c>
      <c r="N34" s="991" t="str">
        <f t="shared" ca="1" si="20"/>
        <v/>
      </c>
      <c r="O34" s="991" t="str">
        <f t="shared" ca="1" si="20"/>
        <v/>
      </c>
      <c r="P34" s="991" t="str">
        <f t="shared" ca="1" si="20"/>
        <v/>
      </c>
      <c r="Q34" s="991" t="str">
        <f t="shared" ca="1" si="20"/>
        <v/>
      </c>
      <c r="R34" s="991" t="str">
        <f t="shared" ca="1" si="20"/>
        <v/>
      </c>
      <c r="S34" s="991" t="str">
        <f t="shared" ca="1" si="20"/>
        <v/>
      </c>
      <c r="T34" s="991" t="str">
        <f t="shared" ca="1" si="20"/>
        <v/>
      </c>
      <c r="U34" s="908" t="e">
        <f t="shared" ca="1" si="16"/>
        <v>#N/A</v>
      </c>
      <c r="W34" s="968">
        <f t="shared" ca="1" si="17"/>
        <v>0</v>
      </c>
      <c r="X34" s="968">
        <f t="shared" ca="1" si="18"/>
        <v>0</v>
      </c>
      <c r="Y34" s="968">
        <f t="shared" ca="1" si="19"/>
        <v>0</v>
      </c>
    </row>
    <row r="35" spans="2:25" s="2" customFormat="1" ht="12" customHeight="1">
      <c r="C35" s="1014" t="s">
        <v>261</v>
      </c>
      <c r="D35" s="901" t="str">
        <f ca="1">IFERROR('Refi-Annual Review'!AK13,"")</f>
        <v/>
      </c>
      <c r="E35" s="980" t="str">
        <f ca="1">IFERROR('Refi-Annual Review'!AL13,"")</f>
        <v/>
      </c>
      <c r="F35" s="980" t="str">
        <f ca="1">IFERROR('Refi-Annual Review'!AM13,"")</f>
        <v/>
      </c>
      <c r="G35" s="1015" t="str">
        <f ca="1">IFERROR('Refi-Annual Review'!AN13,"")</f>
        <v/>
      </c>
      <c r="H35" s="980" t="e">
        <f ca="1">'Balance Sheet'!AE34/'Balance Sheet'!AE18</f>
        <v>#VALUE!</v>
      </c>
      <c r="I35" s="980" t="e">
        <f ca="1">'Balance Sheet'!AF34/'Balance Sheet'!AF18</f>
        <v>#VALUE!</v>
      </c>
      <c r="J35" s="980" t="e">
        <f ca="1">'Balance Sheet'!AG34/'Balance Sheet'!AG18</f>
        <v>#VALUE!</v>
      </c>
      <c r="K35" s="980" t="e">
        <f ca="1">'Balance Sheet'!AH34/'Balance Sheet'!AH18</f>
        <v>#VALUE!</v>
      </c>
      <c r="L35" s="980" t="e">
        <f ca="1">'Balance Sheet'!AI34/'Balance Sheet'!AI18</f>
        <v>#VALUE!</v>
      </c>
      <c r="M35" s="980" t="e">
        <f ca="1">'Balance Sheet'!AJ34/'Balance Sheet'!AJ18</f>
        <v>#VALUE!</v>
      </c>
      <c r="N35" s="980" t="e">
        <f ca="1">'Balance Sheet'!AK34/'Balance Sheet'!AK18</f>
        <v>#VALUE!</v>
      </c>
      <c r="O35" s="980" t="e">
        <f ca="1">'Balance Sheet'!AL34/'Balance Sheet'!AL18</f>
        <v>#VALUE!</v>
      </c>
      <c r="P35" s="980" t="e">
        <f ca="1">'Balance Sheet'!AM34/'Balance Sheet'!AM18</f>
        <v>#VALUE!</v>
      </c>
      <c r="Q35" s="980" t="e">
        <f ca="1">'Balance Sheet'!AN34/'Balance Sheet'!AN18</f>
        <v>#VALUE!</v>
      </c>
      <c r="R35" s="980" t="e">
        <f ca="1">'Balance Sheet'!AO34/'Balance Sheet'!AO18</f>
        <v>#VALUE!</v>
      </c>
      <c r="S35" s="980" t="e">
        <f ca="1">'Balance Sheet'!AP34/'Balance Sheet'!AP18</f>
        <v>#VALUE!</v>
      </c>
      <c r="T35" s="980" t="e">
        <f ca="1">'Balance Sheet'!AQ34/'Balance Sheet'!AQ18</f>
        <v>#NAME?</v>
      </c>
      <c r="U35" s="901" t="e">
        <f t="shared" ca="1" si="16"/>
        <v>#N/A</v>
      </c>
      <c r="W35" s="968">
        <f t="shared" ca="1" si="17"/>
        <v>0</v>
      </c>
      <c r="X35" s="968">
        <f t="shared" ca="1" si="18"/>
        <v>0</v>
      </c>
      <c r="Y35" s="968">
        <f t="shared" ca="1" si="19"/>
        <v>0</v>
      </c>
    </row>
    <row r="36" spans="2:25" s="2" customFormat="1" ht="15">
      <c r="C36" s="1016" t="s">
        <v>262</v>
      </c>
      <c r="D36" s="902" t="str">
        <f t="shared" ref="D36:F36" ca="1" si="21">IFERROR(D49/D42,"")</f>
        <v/>
      </c>
      <c r="E36" s="981" t="str">
        <f t="shared" ca="1" si="21"/>
        <v/>
      </c>
      <c r="F36" s="981" t="str">
        <f t="shared" ca="1" si="21"/>
        <v/>
      </c>
      <c r="G36" s="1017" t="str">
        <f ca="1">IFERROR(G49/G42,"")</f>
        <v/>
      </c>
      <c r="H36" s="981" t="e">
        <f t="shared" ref="H36:T36" ca="1" si="22">+H49/H42</f>
        <v>#VALUE!</v>
      </c>
      <c r="I36" s="981" t="e">
        <f t="shared" ca="1" si="22"/>
        <v>#VALUE!</v>
      </c>
      <c r="J36" s="981" t="e">
        <f t="shared" ca="1" si="22"/>
        <v>#VALUE!</v>
      </c>
      <c r="K36" s="981" t="e">
        <f t="shared" ca="1" si="22"/>
        <v>#VALUE!</v>
      </c>
      <c r="L36" s="981" t="e">
        <f t="shared" ca="1" si="22"/>
        <v>#VALUE!</v>
      </c>
      <c r="M36" s="981" t="e">
        <f t="shared" ca="1" si="22"/>
        <v>#VALUE!</v>
      </c>
      <c r="N36" s="981" t="e">
        <f t="shared" ca="1" si="22"/>
        <v>#VALUE!</v>
      </c>
      <c r="O36" s="981" t="e">
        <f t="shared" ca="1" si="22"/>
        <v>#VALUE!</v>
      </c>
      <c r="P36" s="981" t="e">
        <f t="shared" ca="1" si="22"/>
        <v>#VALUE!</v>
      </c>
      <c r="Q36" s="981" t="e">
        <f t="shared" ca="1" si="22"/>
        <v>#VALUE!</v>
      </c>
      <c r="R36" s="981" t="e">
        <f t="shared" ca="1" si="22"/>
        <v>#VALUE!</v>
      </c>
      <c r="S36" s="981" t="e">
        <f t="shared" ca="1" si="22"/>
        <v>#VALUE!</v>
      </c>
      <c r="T36" s="981" t="e">
        <f t="shared" ca="1" si="22"/>
        <v>#NAME?</v>
      </c>
      <c r="U36" s="902" t="e">
        <f t="shared" ca="1" si="16"/>
        <v>#N/A</v>
      </c>
      <c r="W36" s="968">
        <f t="shared" ca="1" si="17"/>
        <v>0</v>
      </c>
      <c r="X36" s="968">
        <f t="shared" ca="1" si="18"/>
        <v>0</v>
      </c>
      <c r="Y36" s="968">
        <f t="shared" ca="1" si="19"/>
        <v>0</v>
      </c>
    </row>
    <row r="37" spans="2:25" s="2" customFormat="1" ht="15">
      <c r="C37" s="1014" t="s">
        <v>42</v>
      </c>
      <c r="D37" s="909" t="str">
        <f ca="1">IFERROR('Refi-Annual Review'!AK112/'Refi-Annual Review'!AK113,"")</f>
        <v/>
      </c>
      <c r="E37" s="992" t="e">
        <f ca="1">SUM('Refi-Annual Review'!AL104:AL105)/'Refi-Annual Review'!AL113</f>
        <v>#N/A</v>
      </c>
      <c r="F37" s="992" t="e">
        <f ca="1">SUM('Refi-Annual Review'!AM104:AM105)/'Refi-Annual Review'!AM113</f>
        <v>#N/A</v>
      </c>
      <c r="G37" s="992" t="e">
        <f ca="1">SUM('Refi-Annual Review'!AN104:AN105)/'Refi-Annual Review'!AN113</f>
        <v>#N/A</v>
      </c>
      <c r="H37" s="992" t="e">
        <f ca="1">SUM('Balance Sheet'!AE21:AE22)/'Balance Sheet'!AE34</f>
        <v>#VALUE!</v>
      </c>
      <c r="I37" s="992" t="e">
        <f ca="1">SUM('Balance Sheet'!AF21:AF22)/'Balance Sheet'!AF34</f>
        <v>#VALUE!</v>
      </c>
      <c r="J37" s="992" t="e">
        <f ca="1">SUM('Balance Sheet'!AG21:AG22)/'Balance Sheet'!AG34</f>
        <v>#VALUE!</v>
      </c>
      <c r="K37" s="992" t="e">
        <f ca="1">SUM('Balance Sheet'!AH21:AH22)/'Balance Sheet'!AH34</f>
        <v>#VALUE!</v>
      </c>
      <c r="L37" s="992" t="e">
        <f ca="1">SUM('Balance Sheet'!AI21:AI22)/'Balance Sheet'!AI34</f>
        <v>#VALUE!</v>
      </c>
      <c r="M37" s="992" t="e">
        <f ca="1">SUM('Balance Sheet'!AJ21:AJ22)/'Balance Sheet'!AJ34</f>
        <v>#VALUE!</v>
      </c>
      <c r="N37" s="992" t="e">
        <f ca="1">SUM('Balance Sheet'!AK21:AK22)/'Balance Sheet'!AK34</f>
        <v>#VALUE!</v>
      </c>
      <c r="O37" s="992" t="e">
        <f ca="1">SUM('Balance Sheet'!AL21:AL22)/'Balance Sheet'!AL34</f>
        <v>#VALUE!</v>
      </c>
      <c r="P37" s="992" t="e">
        <f ca="1">SUM('Balance Sheet'!AM21:AM22)/'Balance Sheet'!AM34</f>
        <v>#VALUE!</v>
      </c>
      <c r="Q37" s="992" t="e">
        <f ca="1">SUM('Balance Sheet'!AN21:AN22)/'Balance Sheet'!AN34</f>
        <v>#VALUE!</v>
      </c>
      <c r="R37" s="992" t="e">
        <f ca="1">SUM('Balance Sheet'!AO21:AO22)/'Balance Sheet'!AO34</f>
        <v>#VALUE!</v>
      </c>
      <c r="S37" s="992" t="e">
        <f ca="1">SUM('Balance Sheet'!AP21:AP22)/'Balance Sheet'!AP34</f>
        <v>#VALUE!</v>
      </c>
      <c r="T37" s="992" t="e">
        <f ca="1">SUM('Balance Sheet'!AQ21:AQ22)/'Balance Sheet'!AQ34</f>
        <v>#NAME?</v>
      </c>
      <c r="U37" s="909" t="e">
        <f t="shared" ca="1" si="16"/>
        <v>#N/A</v>
      </c>
      <c r="W37" s="968">
        <f t="shared" ca="1" si="17"/>
        <v>0</v>
      </c>
      <c r="X37" s="968">
        <f t="shared" ca="1" si="18"/>
        <v>0</v>
      </c>
      <c r="Y37" s="968">
        <f t="shared" ca="1" si="19"/>
        <v>0</v>
      </c>
    </row>
    <row r="38" spans="2:25" s="2" customFormat="1" ht="15">
      <c r="C38" s="1016" t="s">
        <v>260</v>
      </c>
      <c r="D38" s="910" t="str">
        <f t="shared" ref="D38" ca="1" si="23">IFERROR(D44/D49,"")</f>
        <v/>
      </c>
      <c r="E38" s="993" t="str">
        <f ca="1">IFERROR((SUM('Refi-Annual Review'!AL104:AL105)/$U$9)/E49,"")</f>
        <v/>
      </c>
      <c r="F38" s="993" t="str">
        <f ca="1">IFERROR((SUM('Refi-Annual Review'!AM104:AM105)/$U$9)/F49,"")</f>
        <v/>
      </c>
      <c r="G38" s="993" t="str">
        <f ca="1">IFERROR((SUM('Refi-Annual Review'!AN104:AN105)/$U$9)/G49,"")</f>
        <v/>
      </c>
      <c r="H38" s="993" t="e">
        <f ca="1">(SUM('Balance Sheet'!AE21:AE22)/$U$9)/H49</f>
        <v>#VALUE!</v>
      </c>
      <c r="I38" s="993" t="e">
        <f ca="1">(SUM('Balance Sheet'!AF21:AF22)/$U$9)/I49</f>
        <v>#VALUE!</v>
      </c>
      <c r="J38" s="993" t="e">
        <f ca="1">(SUM('Balance Sheet'!AG21:AG22)/$U$9)/J49</f>
        <v>#VALUE!</v>
      </c>
      <c r="K38" s="993" t="e">
        <f ca="1">(SUM('Balance Sheet'!AH21:AH22)/$U$9)/K49</f>
        <v>#VALUE!</v>
      </c>
      <c r="L38" s="993" t="e">
        <f ca="1">(SUM('Balance Sheet'!AI21:AI22)/$U$9)/L49</f>
        <v>#VALUE!</v>
      </c>
      <c r="M38" s="993" t="e">
        <f ca="1">(SUM('Balance Sheet'!AJ21:AJ22)/$U$9)/M49</f>
        <v>#VALUE!</v>
      </c>
      <c r="N38" s="993" t="e">
        <f ca="1">(SUM('Balance Sheet'!AK21:AK22)/$U$9)/N49</f>
        <v>#VALUE!</v>
      </c>
      <c r="O38" s="993" t="e">
        <f ca="1">(SUM('Balance Sheet'!AL21:AL22)/$U$9)/O49</f>
        <v>#VALUE!</v>
      </c>
      <c r="P38" s="993" t="e">
        <f ca="1">(SUM('Balance Sheet'!AM21:AM22)/$U$9)/P49</f>
        <v>#VALUE!</v>
      </c>
      <c r="Q38" s="993" t="e">
        <f ca="1">(SUM('Balance Sheet'!AN21:AN22)/$U$9)/Q49</f>
        <v>#VALUE!</v>
      </c>
      <c r="R38" s="993" t="e">
        <f ca="1">(SUM('Balance Sheet'!AO21:AO22)/$U$9)/R49</f>
        <v>#VALUE!</v>
      </c>
      <c r="S38" s="993" t="e">
        <f ca="1">(SUM('Balance Sheet'!AP21:AP22)/$U$9)/S49</f>
        <v>#VALUE!</v>
      </c>
      <c r="T38" s="993" t="e">
        <f ca="1">(SUM('Balance Sheet'!AQ21:AQ22)/$U$9)/T49</f>
        <v>#NAME?</v>
      </c>
      <c r="U38" s="910" t="e">
        <f t="shared" ca="1" si="16"/>
        <v>#N/A</v>
      </c>
      <c r="W38" s="968">
        <f t="shared" ca="1" si="17"/>
        <v>0</v>
      </c>
      <c r="X38" s="968">
        <f t="shared" ca="1" si="18"/>
        <v>0</v>
      </c>
      <c r="Y38" s="968">
        <f t="shared" ca="1" si="19"/>
        <v>0</v>
      </c>
    </row>
    <row r="39" spans="2:25" s="2" customFormat="1" ht="3" customHeight="1">
      <c r="C39" s="1018"/>
      <c r="E39" s="964"/>
      <c r="F39" s="964"/>
      <c r="G39" s="1029"/>
      <c r="H39" s="964"/>
      <c r="I39" s="964"/>
      <c r="J39" s="964"/>
      <c r="K39" s="964"/>
      <c r="L39" s="964"/>
      <c r="M39" s="964"/>
      <c r="N39" s="964"/>
      <c r="O39" s="964"/>
      <c r="P39" s="964"/>
      <c r="Q39" s="964"/>
      <c r="R39" s="964"/>
      <c r="S39" s="964"/>
      <c r="T39" s="964"/>
      <c r="W39" s="968"/>
      <c r="X39" s="968"/>
      <c r="Y39" s="968"/>
    </row>
    <row r="40" spans="2:25" s="2" customFormat="1" ht="15">
      <c r="C40" s="1021" t="s">
        <v>586</v>
      </c>
      <c r="D40" s="905"/>
      <c r="E40" s="985"/>
      <c r="F40" s="985"/>
      <c r="G40" s="1022"/>
      <c r="H40" s="985"/>
      <c r="I40" s="985"/>
      <c r="J40" s="985"/>
      <c r="K40" s="985"/>
      <c r="L40" s="985"/>
      <c r="M40" s="985"/>
      <c r="N40" s="985"/>
      <c r="O40" s="985"/>
      <c r="P40" s="985"/>
      <c r="Q40" s="985"/>
      <c r="R40" s="985"/>
      <c r="S40" s="985"/>
      <c r="T40" s="985"/>
      <c r="U40" s="905"/>
      <c r="W40" s="968"/>
      <c r="X40" s="968"/>
      <c r="Y40" s="968"/>
    </row>
    <row r="41" spans="2:25" s="2" customFormat="1" ht="15">
      <c r="C41" s="1032" t="s">
        <v>606</v>
      </c>
      <c r="D41" s="161" t="str">
        <f ca="1">IFERROR('Refi-Annual Review'!AK90/$U$9,"")</f>
        <v/>
      </c>
      <c r="E41" s="986" t="str">
        <f ca="1">IFERROR('Refi-Annual Review'!AL90/$U$9,"")</f>
        <v/>
      </c>
      <c r="F41" s="986" t="str">
        <f ca="1">IFERROR('Refi-Annual Review'!AM90/$U$9,"")</f>
        <v/>
      </c>
      <c r="G41" s="1023" t="str">
        <f ca="1">IFERROR('Refi-Annual Review'!AN90/$U$9,"")</f>
        <v/>
      </c>
      <c r="H41" s="986" t="e">
        <f ca="1">'Balance Sheet'!AE11/$U$9</f>
        <v>#VALUE!</v>
      </c>
      <c r="I41" s="986" t="e">
        <f ca="1">'Balance Sheet'!AF11/$U$9</f>
        <v>#VALUE!</v>
      </c>
      <c r="J41" s="986" t="e">
        <f ca="1">'Balance Sheet'!AG11/$U$9</f>
        <v>#VALUE!</v>
      </c>
      <c r="K41" s="986" t="e">
        <f ca="1">'Balance Sheet'!AH11/$U$9</f>
        <v>#VALUE!</v>
      </c>
      <c r="L41" s="986" t="e">
        <f ca="1">'Balance Sheet'!AI11/$U$9</f>
        <v>#VALUE!</v>
      </c>
      <c r="M41" s="986" t="e">
        <f ca="1">'Balance Sheet'!AJ11/$U$9</f>
        <v>#VALUE!</v>
      </c>
      <c r="N41" s="986" t="e">
        <f ca="1">'Balance Sheet'!AK11/$U$9</f>
        <v>#VALUE!</v>
      </c>
      <c r="O41" s="986" t="e">
        <f ca="1">'Balance Sheet'!AL11/$U$9</f>
        <v>#VALUE!</v>
      </c>
      <c r="P41" s="986" t="e">
        <f ca="1">'Balance Sheet'!AM11/$U$9</f>
        <v>#VALUE!</v>
      </c>
      <c r="Q41" s="986" t="e">
        <f ca="1">'Balance Sheet'!AN11/$U$9</f>
        <v>#VALUE!</v>
      </c>
      <c r="R41" s="986" t="e">
        <f ca="1">'Balance Sheet'!AO11/$U$9</f>
        <v>#VALUE!</v>
      </c>
      <c r="S41" s="986" t="e">
        <f ca="1">'Balance Sheet'!AP11/$U$9</f>
        <v>#VALUE!</v>
      </c>
      <c r="T41" s="986" t="e">
        <f ca="1">'Balance Sheet'!AQ11/$U$9</f>
        <v>#NAME?</v>
      </c>
      <c r="U41" s="161" t="e">
        <f t="shared" ref="U41:U49" ca="1" si="24">HLOOKUP(1,$I$12:$T$114,ROW(A41)-ROW($A$12)+1,FALSE)</f>
        <v>#N/A</v>
      </c>
      <c r="V41" s="1078"/>
      <c r="W41" s="968">
        <f t="shared" ref="W41:W49" ca="1" si="25">IFERROR(+T41/S41-1,0)</f>
        <v>0</v>
      </c>
      <c r="X41" s="968">
        <f t="shared" ref="X41:X49" ca="1" si="26">IFERROR(+T41/U41-1,0)</f>
        <v>0</v>
      </c>
      <c r="Y41" s="968">
        <f t="shared" ref="Y41:Y49" ca="1" si="27">IFERROR(+T41/H41-1,0)</f>
        <v>0</v>
      </c>
    </row>
    <row r="42" spans="2:25" s="2" customFormat="1" ht="15">
      <c r="C42" s="1018" t="s">
        <v>370</v>
      </c>
      <c r="D42" s="161" t="str">
        <f ca="1">IFERROR('Refi-Annual Review'!AK101/$U$9,"")</f>
        <v/>
      </c>
      <c r="E42" s="986" t="str">
        <f ca="1">IFERROR('Refi-Annual Review'!AL101/$U$9,"")</f>
        <v/>
      </c>
      <c r="F42" s="986" t="str">
        <f ca="1">IFERROR('Refi-Annual Review'!AM101/$U$9,"")</f>
        <v/>
      </c>
      <c r="G42" s="1023" t="str">
        <f ca="1">IFERROR('Refi-Annual Review'!AN101/$U$9,"")</f>
        <v/>
      </c>
      <c r="H42" s="986" t="e">
        <f ca="1">'Balance Sheet'!AE18/$U$9</f>
        <v>#VALUE!</v>
      </c>
      <c r="I42" s="986" t="e">
        <f ca="1">'Balance Sheet'!AF18/$U$9</f>
        <v>#VALUE!</v>
      </c>
      <c r="J42" s="986" t="e">
        <f ca="1">'Balance Sheet'!AG18/$U$9</f>
        <v>#VALUE!</v>
      </c>
      <c r="K42" s="986" t="e">
        <f ca="1">'Balance Sheet'!AH18/$U$9</f>
        <v>#VALUE!</v>
      </c>
      <c r="L42" s="986" t="e">
        <f ca="1">'Balance Sheet'!AI18/$U$9</f>
        <v>#VALUE!</v>
      </c>
      <c r="M42" s="986" t="e">
        <f ca="1">'Balance Sheet'!AJ18/$U$9</f>
        <v>#VALUE!</v>
      </c>
      <c r="N42" s="986" t="e">
        <f ca="1">'Balance Sheet'!AK18/$U$9</f>
        <v>#VALUE!</v>
      </c>
      <c r="O42" s="986" t="e">
        <f ca="1">'Balance Sheet'!AL18/$U$9</f>
        <v>#VALUE!</v>
      </c>
      <c r="P42" s="986" t="e">
        <f ca="1">'Balance Sheet'!AM18/$U$9</f>
        <v>#VALUE!</v>
      </c>
      <c r="Q42" s="986" t="e">
        <f ca="1">'Balance Sheet'!AN18/$U$9</f>
        <v>#VALUE!</v>
      </c>
      <c r="R42" s="986" t="e">
        <f ca="1">'Balance Sheet'!AO18/$U$9</f>
        <v>#VALUE!</v>
      </c>
      <c r="S42" s="986" t="e">
        <f ca="1">'Balance Sheet'!AP18/$U$9</f>
        <v>#VALUE!</v>
      </c>
      <c r="T42" s="986" t="e">
        <f ca="1">'Balance Sheet'!AQ18/$U$9</f>
        <v>#NAME?</v>
      </c>
      <c r="U42" s="1079" t="e">
        <f t="shared" ca="1" si="24"/>
        <v>#N/A</v>
      </c>
      <c r="V42" s="1078"/>
      <c r="W42" s="968">
        <f t="shared" ca="1" si="25"/>
        <v>0</v>
      </c>
      <c r="X42" s="968">
        <f t="shared" ca="1" si="26"/>
        <v>0</v>
      </c>
      <c r="Y42" s="968">
        <f t="shared" ca="1" si="27"/>
        <v>0</v>
      </c>
    </row>
    <row r="43" spans="2:25" s="2" customFormat="1" ht="15" hidden="1">
      <c r="C43" s="1016" t="s">
        <v>137</v>
      </c>
      <c r="D43" s="161"/>
      <c r="E43" s="1080"/>
      <c r="F43" s="1080"/>
      <c r="G43" s="1081"/>
      <c r="H43" s="1080" t="str">
        <f ca="1">IFERROR(IF(SUM(DATA_FORMATTING!AB76)=0,"",DATA_FORMATTING!AB57)/'Balance Sheet'!AE8/$U$9,"")</f>
        <v/>
      </c>
      <c r="I43" s="1080" t="str">
        <f ca="1">IFERROR(IF(SUM(DATA_FORMATTING!AC76)=0,"",DATA_FORMATTING!AC57)/'Balance Sheet'!AF8/$U$9,"")</f>
        <v/>
      </c>
      <c r="J43" s="1080" t="str">
        <f ca="1">IFERROR(IF(SUM(DATA_FORMATTING!AD76)=0,"",DATA_FORMATTING!AD57)/'Balance Sheet'!AG8/$U$9,"")</f>
        <v/>
      </c>
      <c r="K43" s="1080" t="str">
        <f ca="1">IFERROR(IF(SUM(DATA_FORMATTING!AE76)=0,"",DATA_FORMATTING!AE57)/'Balance Sheet'!AH8/$U$9,"")</f>
        <v/>
      </c>
      <c r="L43" s="1080" t="str">
        <f ca="1">IFERROR(IF(SUM(DATA_FORMATTING!AF76)=0,"",DATA_FORMATTING!AF57)/'Balance Sheet'!AI8/$U$9,"")</f>
        <v/>
      </c>
      <c r="M43" s="1080" t="str">
        <f ca="1">IFERROR(IF(SUM(DATA_FORMATTING!AG76)=0,"",DATA_FORMATTING!AG57)/'Balance Sheet'!AJ8/$U$9,"")</f>
        <v/>
      </c>
      <c r="N43" s="1080" t="str">
        <f ca="1">IFERROR(IF(SUM(DATA_FORMATTING!AH76)=0,"",DATA_FORMATTING!AH57)/'Balance Sheet'!AK8/$U$9,"")</f>
        <v/>
      </c>
      <c r="O43" s="1080" t="str">
        <f ca="1">IFERROR(IF(SUM(DATA_FORMATTING!AI76)=0,"",DATA_FORMATTING!AI57)/'Balance Sheet'!AL8/$U$9,"")</f>
        <v/>
      </c>
      <c r="P43" s="1080" t="str">
        <f ca="1">IFERROR(IF(SUM(DATA_FORMATTING!AJ76)=0,"",DATA_FORMATTING!AJ57)/'Balance Sheet'!AM8/$U$9,"")</f>
        <v/>
      </c>
      <c r="Q43" s="1080" t="str">
        <f ca="1">IFERROR(IF(SUM(DATA_FORMATTING!AK76)=0,"",DATA_FORMATTING!AK57)/'Balance Sheet'!AN8/$U$9,"")</f>
        <v/>
      </c>
      <c r="R43" s="1080" t="str">
        <f ca="1">IFERROR(IF(SUM(DATA_FORMATTING!AL76)=0,"",DATA_FORMATTING!AL57)/'Balance Sheet'!AO8/$U$9,"")</f>
        <v/>
      </c>
      <c r="S43" s="1080" t="str">
        <f ca="1">IFERROR(IF(SUM(DATA_FORMATTING!AM76)=0,"",DATA_FORMATTING!AM57)/'Balance Sheet'!AP8/$U$9,"")</f>
        <v/>
      </c>
      <c r="T43" s="1080" t="str">
        <f ca="1">IFERROR(IF(SUM(DATA_FORMATTING!AN76)=0,"",DATA_FORMATTING!AN57)/'Balance Sheet'!AQ8/$U$9,"")</f>
        <v/>
      </c>
      <c r="U43" s="161" t="e">
        <f t="shared" ca="1" si="24"/>
        <v>#N/A</v>
      </c>
      <c r="V43" s="1078"/>
      <c r="W43" s="968">
        <f t="shared" ca="1" si="25"/>
        <v>0</v>
      </c>
      <c r="X43" s="968">
        <f t="shared" ca="1" si="26"/>
        <v>0</v>
      </c>
      <c r="Y43" s="968">
        <f t="shared" ca="1" si="27"/>
        <v>0</v>
      </c>
    </row>
    <row r="44" spans="2:25" s="2" customFormat="1" ht="15">
      <c r="C44" s="1018" t="s">
        <v>558</v>
      </c>
      <c r="D44" s="161" t="str">
        <f ca="1">IFERROR('Refi-Annual Review'!AK112/$U$9,"")</f>
        <v/>
      </c>
      <c r="E44" s="986" t="str">
        <f ca="1">IFERROR('Refi-Annual Review'!AL112/$U$9,"")</f>
        <v/>
      </c>
      <c r="F44" s="986" t="str">
        <f ca="1">IFERROR('Refi-Annual Review'!AM112/$U$9,"")</f>
        <v/>
      </c>
      <c r="G44" s="1023" t="str">
        <f ca="1">IFERROR('Refi-Annual Review'!AN112/$U$9,"")</f>
        <v/>
      </c>
      <c r="H44" s="986" t="e">
        <f ca="1">'Balance Sheet'!AE29/$U$9</f>
        <v>#VALUE!</v>
      </c>
      <c r="I44" s="986" t="e">
        <f ca="1">'Balance Sheet'!AF29/$U$9</f>
        <v>#VALUE!</v>
      </c>
      <c r="J44" s="986" t="e">
        <f ca="1">'Balance Sheet'!AG29/$U$9</f>
        <v>#VALUE!</v>
      </c>
      <c r="K44" s="986" t="e">
        <f ca="1">'Balance Sheet'!AH29/$U$9</f>
        <v>#VALUE!</v>
      </c>
      <c r="L44" s="986" t="e">
        <f ca="1">'Balance Sheet'!AI29/$U$9</f>
        <v>#VALUE!</v>
      </c>
      <c r="M44" s="986" t="e">
        <f ca="1">'Balance Sheet'!AJ29/$U$9</f>
        <v>#VALUE!</v>
      </c>
      <c r="N44" s="986" t="e">
        <f ca="1">'Balance Sheet'!AK29/$U$9</f>
        <v>#VALUE!</v>
      </c>
      <c r="O44" s="986" t="e">
        <f ca="1">'Balance Sheet'!AL29/$U$9</f>
        <v>#VALUE!</v>
      </c>
      <c r="P44" s="986" t="e">
        <f ca="1">'Balance Sheet'!AM29/$U$9</f>
        <v>#VALUE!</v>
      </c>
      <c r="Q44" s="986" t="e">
        <f ca="1">'Balance Sheet'!AN29/$U$9</f>
        <v>#VALUE!</v>
      </c>
      <c r="R44" s="986" t="e">
        <f ca="1">'Balance Sheet'!AO29/$U$9</f>
        <v>#VALUE!</v>
      </c>
      <c r="S44" s="986" t="e">
        <f ca="1">'Balance Sheet'!AP29/$U$9</f>
        <v>#VALUE!</v>
      </c>
      <c r="T44" s="986" t="e">
        <f ca="1">'Balance Sheet'!AQ29/$U$9</f>
        <v>#NAME?</v>
      </c>
      <c r="U44" s="1079" t="e">
        <f t="shared" ca="1" si="24"/>
        <v>#N/A</v>
      </c>
      <c r="V44" s="1078"/>
      <c r="W44" s="968">
        <f t="shared" ca="1" si="25"/>
        <v>0</v>
      </c>
      <c r="X44" s="968">
        <f t="shared" ca="1" si="26"/>
        <v>0</v>
      </c>
      <c r="Y44" s="968">
        <f t="shared" ca="1" si="27"/>
        <v>0</v>
      </c>
    </row>
    <row r="45" spans="2:25" s="2" customFormat="1" ht="15" hidden="1">
      <c r="C45" s="1016" t="s">
        <v>587</v>
      </c>
      <c r="D45" s="161"/>
      <c r="E45" s="1080"/>
      <c r="F45" s="1080"/>
      <c r="G45" s="1081"/>
      <c r="H45" s="1080" t="str">
        <f ca="1">IFERROR(IF(SUM(DATA_FORMATTING!AB76)=0,"",DATA_FORMATTING!AB90)/'Balance Sheet'!AE8/$U$9,"")</f>
        <v/>
      </c>
      <c r="I45" s="1080" t="str">
        <f ca="1">IFERROR(IF(SUM(DATA_FORMATTING!AC76)=0,"",DATA_FORMATTING!AC90)/'Balance Sheet'!AF8/$U$9,"")</f>
        <v/>
      </c>
      <c r="J45" s="1080" t="str">
        <f ca="1">IFERROR(IF(SUM(DATA_FORMATTING!AD76)=0,"",DATA_FORMATTING!AD90)/'Balance Sheet'!AG8/$U$9,"")</f>
        <v/>
      </c>
      <c r="K45" s="1080" t="str">
        <f ca="1">IFERROR(IF(SUM(DATA_FORMATTING!AE76)=0,"",DATA_FORMATTING!AE90)/'Balance Sheet'!AH8/$U$9,"")</f>
        <v/>
      </c>
      <c r="L45" s="1080" t="str">
        <f ca="1">IFERROR(IF(SUM(DATA_FORMATTING!AF76)=0,"",DATA_FORMATTING!AF90)/'Balance Sheet'!AI8/$U$9,"")</f>
        <v/>
      </c>
      <c r="M45" s="1080" t="str">
        <f ca="1">IFERROR(IF(SUM(DATA_FORMATTING!AG76)=0,"",DATA_FORMATTING!AG90)/'Balance Sheet'!AJ8/$U$9,"")</f>
        <v/>
      </c>
      <c r="N45" s="1080" t="str">
        <f ca="1">IFERROR(IF(SUM(DATA_FORMATTING!AH76)=0,"",DATA_FORMATTING!AH90)/'Balance Sheet'!AK8/$U$9,"")</f>
        <v/>
      </c>
      <c r="O45" s="1080" t="str">
        <f ca="1">IFERROR(IF(SUM(DATA_FORMATTING!AI76)=0,"",DATA_FORMATTING!AI90)/'Balance Sheet'!AL8/$U$9,"")</f>
        <v/>
      </c>
      <c r="P45" s="1080" t="str">
        <f ca="1">IFERROR(IF(SUM(DATA_FORMATTING!AJ76)=0,"",DATA_FORMATTING!AJ90)/'Balance Sheet'!AM8/$U$9,"")</f>
        <v/>
      </c>
      <c r="Q45" s="1080" t="str">
        <f ca="1">IFERROR(IF(SUM(DATA_FORMATTING!AK76)=0,"",DATA_FORMATTING!AK90)/'Balance Sheet'!AN8/$U$9,"")</f>
        <v/>
      </c>
      <c r="R45" s="1080" t="str">
        <f ca="1">IFERROR(IF(SUM(DATA_FORMATTING!AL76)=0,"",DATA_FORMATTING!AL90)/'Balance Sheet'!AO8/$U$9,"")</f>
        <v/>
      </c>
      <c r="S45" s="1080" t="str">
        <f ca="1">IFERROR(IF(SUM(DATA_FORMATTING!AM76)=0,"",DATA_FORMATTING!AM90)/'Balance Sheet'!AP8/$U$9,"")</f>
        <v/>
      </c>
      <c r="T45" s="1080" t="str">
        <f ca="1">IFERROR(IF(SUM(DATA_FORMATTING!AN76)=0,"",DATA_FORMATTING!AN90)/'Balance Sheet'!AQ8/$U$9,"")</f>
        <v/>
      </c>
      <c r="U45" s="161" t="e">
        <f t="shared" ca="1" si="24"/>
        <v>#N/A</v>
      </c>
      <c r="V45" s="1078"/>
      <c r="W45" s="968">
        <f t="shared" ca="1" si="25"/>
        <v>0</v>
      </c>
      <c r="X45" s="968">
        <f t="shared" ca="1" si="26"/>
        <v>0</v>
      </c>
      <c r="Y45" s="968">
        <f t="shared" ca="1" si="27"/>
        <v>0</v>
      </c>
    </row>
    <row r="46" spans="2:25" s="2" customFormat="1" ht="15">
      <c r="C46" s="1018" t="s">
        <v>105</v>
      </c>
      <c r="D46" s="161" t="str">
        <f ca="1">IFERROR('Refi-Annual Review'!AK105/$U$9,"")</f>
        <v/>
      </c>
      <c r="E46" s="986" t="str">
        <f ca="1">IFERROR('Refi-Annual Review'!AL105/$U$9,"")</f>
        <v/>
      </c>
      <c r="F46" s="986" t="str">
        <f ca="1">IFERROR('Refi-Annual Review'!AM105/$U$9,"")</f>
        <v/>
      </c>
      <c r="G46" s="1023" t="str">
        <f ca="1">IFERROR('Refi-Annual Review'!AN105/$U$9,"")</f>
        <v/>
      </c>
      <c r="H46" s="986" t="e">
        <f ca="1">'Balance Sheet'!AE22/$U$9</f>
        <v>#VALUE!</v>
      </c>
      <c r="I46" s="986" t="e">
        <f ca="1">'Balance Sheet'!AF22/$U$9</f>
        <v>#VALUE!</v>
      </c>
      <c r="J46" s="986" t="e">
        <f ca="1">'Balance Sheet'!AG22/$U$9</f>
        <v>#VALUE!</v>
      </c>
      <c r="K46" s="986" t="e">
        <f ca="1">'Balance Sheet'!AH22/$U$9</f>
        <v>#VALUE!</v>
      </c>
      <c r="L46" s="986" t="e">
        <f ca="1">'Balance Sheet'!AI22/$U$9</f>
        <v>#VALUE!</v>
      </c>
      <c r="M46" s="986" t="e">
        <f ca="1">'Balance Sheet'!AJ22/$U$9</f>
        <v>#VALUE!</v>
      </c>
      <c r="N46" s="986" t="e">
        <f ca="1">'Balance Sheet'!AK22/$U$9</f>
        <v>#VALUE!</v>
      </c>
      <c r="O46" s="986" t="e">
        <f ca="1">'Balance Sheet'!AL22/$U$9</f>
        <v>#VALUE!</v>
      </c>
      <c r="P46" s="986" t="e">
        <f ca="1">'Balance Sheet'!AM22/$U$9</f>
        <v>#VALUE!</v>
      </c>
      <c r="Q46" s="986" t="e">
        <f ca="1">'Balance Sheet'!AN22/$U$9</f>
        <v>#VALUE!</v>
      </c>
      <c r="R46" s="986" t="e">
        <f ca="1">'Balance Sheet'!AO22/$U$9</f>
        <v>#VALUE!</v>
      </c>
      <c r="S46" s="986" t="e">
        <f ca="1">'Balance Sheet'!AP22/$U$9</f>
        <v>#VALUE!</v>
      </c>
      <c r="T46" s="986" t="e">
        <f ca="1">'Balance Sheet'!AQ22/$U$9</f>
        <v>#NAME?</v>
      </c>
      <c r="U46" s="161" t="e">
        <f t="shared" ca="1" si="24"/>
        <v>#N/A</v>
      </c>
      <c r="V46" s="1078"/>
      <c r="W46" s="968">
        <f t="shared" ca="1" si="25"/>
        <v>0</v>
      </c>
      <c r="X46" s="968">
        <f t="shared" ca="1" si="26"/>
        <v>0</v>
      </c>
      <c r="Y46" s="968">
        <f t="shared" ca="1" si="27"/>
        <v>0</v>
      </c>
    </row>
    <row r="47" spans="2:25" s="2" customFormat="1" ht="15">
      <c r="C47" s="1018" t="s">
        <v>126</v>
      </c>
      <c r="D47" s="161" t="str">
        <f ca="1">IFERROR('Refi-Annual Review'!AK113/$U$9,"")</f>
        <v/>
      </c>
      <c r="E47" s="986" t="str">
        <f ca="1">IFERROR('Refi-Annual Review'!AL113/$U$9,"")</f>
        <v/>
      </c>
      <c r="F47" s="986" t="str">
        <f ca="1">IFERROR('Refi-Annual Review'!AM113/$U$9,"")</f>
        <v/>
      </c>
      <c r="G47" s="1023" t="str">
        <f ca="1">IFERROR('Refi-Annual Review'!AN113/$U$9,"")</f>
        <v/>
      </c>
      <c r="H47" s="986" t="e">
        <f ca="1">'Balance Sheet'!AE34/$U$9</f>
        <v>#VALUE!</v>
      </c>
      <c r="I47" s="986" t="e">
        <f ca="1">'Balance Sheet'!AF34/$U$9</f>
        <v>#VALUE!</v>
      </c>
      <c r="J47" s="986" t="e">
        <f ca="1">'Balance Sheet'!AG34/$U$9</f>
        <v>#VALUE!</v>
      </c>
      <c r="K47" s="986" t="e">
        <f ca="1">'Balance Sheet'!AH34/$U$9</f>
        <v>#VALUE!</v>
      </c>
      <c r="L47" s="986" t="e">
        <f ca="1">'Balance Sheet'!AI34/$U$9</f>
        <v>#VALUE!</v>
      </c>
      <c r="M47" s="986" t="e">
        <f ca="1">'Balance Sheet'!AJ34/$U$9</f>
        <v>#VALUE!</v>
      </c>
      <c r="N47" s="986" t="e">
        <f ca="1">'Balance Sheet'!AK34/$U$9</f>
        <v>#VALUE!</v>
      </c>
      <c r="O47" s="986" t="e">
        <f ca="1">'Balance Sheet'!AL34/$U$9</f>
        <v>#VALUE!</v>
      </c>
      <c r="P47" s="986" t="e">
        <f ca="1">'Balance Sheet'!AM34/$U$9</f>
        <v>#VALUE!</v>
      </c>
      <c r="Q47" s="986" t="e">
        <f ca="1">'Balance Sheet'!AN34/$U$9</f>
        <v>#VALUE!</v>
      </c>
      <c r="R47" s="986" t="e">
        <f ca="1">'Balance Sheet'!AO34/$U$9</f>
        <v>#VALUE!</v>
      </c>
      <c r="S47" s="986" t="e">
        <f ca="1">'Balance Sheet'!AP34/$U$9</f>
        <v>#VALUE!</v>
      </c>
      <c r="T47" s="986" t="e">
        <f ca="1">'Balance Sheet'!AQ34/$U$9</f>
        <v>#NAME?</v>
      </c>
      <c r="U47" s="1079" t="e">
        <f t="shared" ca="1" si="24"/>
        <v>#N/A</v>
      </c>
      <c r="V47" s="1078"/>
      <c r="W47" s="968">
        <f t="shared" ca="1" si="25"/>
        <v>0</v>
      </c>
      <c r="X47" s="968">
        <f t="shared" ca="1" si="26"/>
        <v>0</v>
      </c>
      <c r="Y47" s="968">
        <f t="shared" ca="1" si="27"/>
        <v>0</v>
      </c>
    </row>
    <row r="48" spans="2:25" s="2" customFormat="1" ht="15">
      <c r="C48" s="1016" t="s">
        <v>259</v>
      </c>
      <c r="D48" s="911" t="str">
        <f ca="1">IFERROR(-('Refi-Annual Review'!AK156+'Refi-Annual Review'!AK161+'Refi-Annual Review'!AK97)/$U$9,"")</f>
        <v/>
      </c>
      <c r="E48" s="1080" t="str">
        <f ca="1">IFERROR(-('Refi-Annual Review'!AL156+'Refi-Annual Review'!AL161+'Refi-Annual Review'!AL97)/$U$9,"")</f>
        <v/>
      </c>
      <c r="F48" s="1080" t="str">
        <f ca="1">IFERROR(-('Refi-Annual Review'!AM156+'Refi-Annual Review'!AM161+'Refi-Annual Review'!AM97)/$U$9,"")</f>
        <v/>
      </c>
      <c r="G48" s="1081" t="str">
        <f ca="1">IFERROR(-('Refi-Annual Review'!AN156+'Refi-Annual Review'!AN161+'Refi-Annual Review'!AN97)/$U$9,"")</f>
        <v/>
      </c>
      <c r="H48" s="1080" t="e">
        <f ca="1">-('Portfolio Quality'!AM10+'Portfolio Quality'!AM15+'Balance Sheet'!AE16)/$U$9</f>
        <v>#NAME?</v>
      </c>
      <c r="I48" s="1080" t="e">
        <f ca="1">-('Portfolio Quality'!AN10+'Portfolio Quality'!AN15+'Balance Sheet'!AF16)/$U$9</f>
        <v>#NAME?</v>
      </c>
      <c r="J48" s="1080" t="e">
        <f ca="1">-('Portfolio Quality'!AO10+'Portfolio Quality'!AO15+'Balance Sheet'!AG16)/$U$9</f>
        <v>#NAME?</v>
      </c>
      <c r="K48" s="1080" t="e">
        <f ca="1">-('Portfolio Quality'!AP10+'Portfolio Quality'!AP15+'Balance Sheet'!AH16)/$U$9</f>
        <v>#NAME?</v>
      </c>
      <c r="L48" s="1080" t="e">
        <f ca="1">-('Portfolio Quality'!AQ10+'Portfolio Quality'!AQ15+'Balance Sheet'!AI16)/$U$9</f>
        <v>#NAME?</v>
      </c>
      <c r="M48" s="1080" t="e">
        <f ca="1">-('Portfolio Quality'!AR10+'Portfolio Quality'!AR15+'Balance Sheet'!AJ16)/$U$9</f>
        <v>#NAME?</v>
      </c>
      <c r="N48" s="1080" t="e">
        <f ca="1">-('Portfolio Quality'!AS10+'Portfolio Quality'!AS15+'Balance Sheet'!AK16)/$U$9</f>
        <v>#NAME?</v>
      </c>
      <c r="O48" s="1080" t="e">
        <f ca="1">-('Portfolio Quality'!AT10+'Portfolio Quality'!AT15+'Balance Sheet'!AL16)/$U$9</f>
        <v>#NAME?</v>
      </c>
      <c r="P48" s="1080" t="e">
        <f ca="1">-('Portfolio Quality'!AU10+'Portfolio Quality'!AU15+'Balance Sheet'!AM16)/$U$9</f>
        <v>#NAME?</v>
      </c>
      <c r="Q48" s="1080" t="e">
        <f ca="1">-('Portfolio Quality'!AV10+'Portfolio Quality'!AV15+'Balance Sheet'!AN16)/$U$9</f>
        <v>#NAME?</v>
      </c>
      <c r="R48" s="1080" t="e">
        <f ca="1">-('Portfolio Quality'!AW10+'Portfolio Quality'!AW15+'Balance Sheet'!AO16)/$U$9</f>
        <v>#NAME?</v>
      </c>
      <c r="S48" s="1080" t="e">
        <f ca="1">-('Portfolio Quality'!AX10+'Portfolio Quality'!AX15+'Balance Sheet'!AP16)/$U$9</f>
        <v>#NAME?</v>
      </c>
      <c r="T48" s="1080" t="e">
        <f ca="1">-('Portfolio Quality'!AY10+'Portfolio Quality'!AY15+'Balance Sheet'!AQ16)/$U$9</f>
        <v>#NAME?</v>
      </c>
      <c r="U48" s="911" t="e">
        <f t="shared" ca="1" si="24"/>
        <v>#N/A</v>
      </c>
      <c r="V48" s="1078"/>
      <c r="W48" s="968">
        <f t="shared" ca="1" si="25"/>
        <v>0</v>
      </c>
      <c r="X48" s="968">
        <f t="shared" ca="1" si="26"/>
        <v>0</v>
      </c>
      <c r="Y48" s="968">
        <f t="shared" ca="1" si="27"/>
        <v>0</v>
      </c>
    </row>
    <row r="49" spans="2:25" s="2" customFormat="1" ht="15">
      <c r="C49" s="1070" t="s">
        <v>588</v>
      </c>
      <c r="D49" s="912" t="str">
        <f t="shared" ref="D49:F49" ca="1" si="28">IFERROR(D47+D48,"")</f>
        <v/>
      </c>
      <c r="E49" s="1082" t="str">
        <f t="shared" ca="1" si="28"/>
        <v/>
      </c>
      <c r="F49" s="1082" t="str">
        <f t="shared" ca="1" si="28"/>
        <v/>
      </c>
      <c r="G49" s="1083" t="str">
        <f ca="1">IFERROR(G47+G48,"")</f>
        <v/>
      </c>
      <c r="H49" s="1082" t="e">
        <f ca="1">+H47+H48</f>
        <v>#VALUE!</v>
      </c>
      <c r="I49" s="1082" t="e">
        <f ca="1">+I47+I48</f>
        <v>#VALUE!</v>
      </c>
      <c r="J49" s="1082" t="e">
        <f t="shared" ref="J49:T49" ca="1" si="29">+J47+J48</f>
        <v>#VALUE!</v>
      </c>
      <c r="K49" s="1082" t="e">
        <f t="shared" ca="1" si="29"/>
        <v>#VALUE!</v>
      </c>
      <c r="L49" s="1082" t="e">
        <f t="shared" ca="1" si="29"/>
        <v>#VALUE!</v>
      </c>
      <c r="M49" s="1082" t="e">
        <f t="shared" ca="1" si="29"/>
        <v>#VALUE!</v>
      </c>
      <c r="N49" s="1082" t="e">
        <f t="shared" ca="1" si="29"/>
        <v>#VALUE!</v>
      </c>
      <c r="O49" s="1082" t="e">
        <f t="shared" ca="1" si="29"/>
        <v>#VALUE!</v>
      </c>
      <c r="P49" s="1082" t="e">
        <f t="shared" ca="1" si="29"/>
        <v>#VALUE!</v>
      </c>
      <c r="Q49" s="1082" t="e">
        <f t="shared" ca="1" si="29"/>
        <v>#VALUE!</v>
      </c>
      <c r="R49" s="1082" t="e">
        <f t="shared" ca="1" si="29"/>
        <v>#VALUE!</v>
      </c>
      <c r="S49" s="1082" t="e">
        <f t="shared" ca="1" si="29"/>
        <v>#VALUE!</v>
      </c>
      <c r="T49" s="1082" t="e">
        <f t="shared" ca="1" si="29"/>
        <v>#NAME?</v>
      </c>
      <c r="U49" s="912" t="e">
        <f t="shared" ca="1" si="24"/>
        <v>#N/A</v>
      </c>
      <c r="V49" s="1078"/>
      <c r="W49" s="968">
        <f t="shared" ca="1" si="25"/>
        <v>0</v>
      </c>
      <c r="X49" s="968">
        <f t="shared" ca="1" si="26"/>
        <v>0</v>
      </c>
      <c r="Y49" s="968">
        <f t="shared" ca="1" si="27"/>
        <v>0</v>
      </c>
    </row>
    <row r="50" spans="2:25" s="2" customFormat="1" ht="6" customHeight="1">
      <c r="C50" s="1018"/>
      <c r="E50" s="964"/>
      <c r="F50" s="964"/>
      <c r="G50" s="1029"/>
      <c r="H50" s="964"/>
      <c r="I50" s="964"/>
      <c r="J50" s="964"/>
      <c r="K50" s="964"/>
      <c r="L50" s="964"/>
      <c r="M50" s="964"/>
      <c r="N50" s="964"/>
      <c r="O50" s="964"/>
      <c r="P50" s="964"/>
      <c r="Q50" s="964"/>
      <c r="R50" s="964"/>
      <c r="S50" s="964"/>
      <c r="T50" s="964"/>
      <c r="W50" s="968"/>
      <c r="X50" s="968"/>
      <c r="Y50" s="968"/>
    </row>
    <row r="51" spans="2:25" s="2" customFormat="1" ht="15">
      <c r="B51" s="1" t="s">
        <v>266</v>
      </c>
      <c r="C51" s="1033"/>
      <c r="D51" s="163"/>
      <c r="E51" s="994"/>
      <c r="F51" s="994"/>
      <c r="G51" s="1034"/>
      <c r="H51" s="994"/>
      <c r="I51" s="994"/>
      <c r="J51" s="994"/>
      <c r="K51" s="994"/>
      <c r="L51" s="994"/>
      <c r="M51" s="994"/>
      <c r="N51" s="994"/>
      <c r="O51" s="994"/>
      <c r="P51" s="994"/>
      <c r="Q51" s="994"/>
      <c r="R51" s="994"/>
      <c r="S51" s="994"/>
      <c r="T51" s="994"/>
      <c r="U51" s="163"/>
      <c r="W51" s="1077"/>
      <c r="X51" s="1077"/>
      <c r="Y51" s="1077"/>
    </row>
    <row r="52" spans="2:25" s="2" customFormat="1" ht="3.75" customHeight="1">
      <c r="B52" s="1"/>
      <c r="C52" s="1033"/>
      <c r="D52" s="163"/>
      <c r="E52" s="994"/>
      <c r="F52" s="994"/>
      <c r="G52" s="1034"/>
      <c r="H52" s="994"/>
      <c r="I52" s="994"/>
      <c r="J52" s="994"/>
      <c r="K52" s="994"/>
      <c r="L52" s="994"/>
      <c r="M52" s="994"/>
      <c r="N52" s="994"/>
      <c r="O52" s="994"/>
      <c r="P52" s="994"/>
      <c r="Q52" s="994"/>
      <c r="R52" s="994"/>
      <c r="S52" s="994"/>
      <c r="T52" s="994"/>
      <c r="U52" s="163"/>
      <c r="W52" s="968"/>
      <c r="X52" s="968"/>
      <c r="Y52" s="968"/>
    </row>
    <row r="53" spans="2:25" s="2" customFormat="1" ht="15">
      <c r="C53" s="1030"/>
      <c r="D53" s="967">
        <f t="shared" ref="D53:F53" ca="1" si="30">D32</f>
        <v>-3</v>
      </c>
      <c r="E53" s="972">
        <f t="shared" ca="1" si="30"/>
        <v>-2</v>
      </c>
      <c r="F53" s="972">
        <f t="shared" ca="1" si="30"/>
        <v>-1</v>
      </c>
      <c r="G53" s="1013">
        <f ca="1">G32</f>
        <v>0</v>
      </c>
      <c r="H53" s="898" t="str">
        <f t="shared" ref="H53:T53" si="31">H92</f>
        <v/>
      </c>
      <c r="I53" s="898" t="str">
        <f t="shared" si="31"/>
        <v/>
      </c>
      <c r="J53" s="898" t="str">
        <f t="shared" si="31"/>
        <v/>
      </c>
      <c r="K53" s="898" t="str">
        <f t="shared" si="31"/>
        <v/>
      </c>
      <c r="L53" s="898" t="str">
        <f t="shared" si="31"/>
        <v/>
      </c>
      <c r="M53" s="898" t="str">
        <f t="shared" si="31"/>
        <v/>
      </c>
      <c r="N53" s="898" t="str">
        <f t="shared" si="31"/>
        <v/>
      </c>
      <c r="O53" s="898" t="str">
        <f t="shared" si="31"/>
        <v/>
      </c>
      <c r="P53" s="898" t="str">
        <f t="shared" si="31"/>
        <v/>
      </c>
      <c r="Q53" s="898" t="str">
        <f t="shared" si="31"/>
        <v/>
      </c>
      <c r="R53" s="898" t="str">
        <f t="shared" si="31"/>
        <v/>
      </c>
      <c r="S53" s="898" t="str">
        <f t="shared" si="31"/>
        <v/>
      </c>
      <c r="T53" s="898">
        <f t="shared" si="31"/>
        <v>4</v>
      </c>
      <c r="U53" s="898" t="e">
        <f ca="1">HLOOKUP(1,$I$12:$T$114,ROW(A53)-ROW($A$12)+1,FALSE)</f>
        <v>#N/A</v>
      </c>
      <c r="W53" s="970" t="s">
        <v>607</v>
      </c>
      <c r="X53" s="970" t="s">
        <v>608</v>
      </c>
      <c r="Y53" s="970" t="s">
        <v>609</v>
      </c>
    </row>
    <row r="54" spans="2:25" s="2" customFormat="1" ht="15">
      <c r="C54" s="1014" t="s">
        <v>589</v>
      </c>
      <c r="D54" s="924" t="str">
        <f t="shared" ref="D54:F54" ca="1" si="32">IFERROR((D57-D58)/D47,"")</f>
        <v/>
      </c>
      <c r="E54" s="995" t="str">
        <f t="shared" ca="1" si="32"/>
        <v/>
      </c>
      <c r="F54" s="995" t="str">
        <f t="shared" ca="1" si="32"/>
        <v/>
      </c>
      <c r="G54" s="1035" t="str">
        <f ca="1">IFERROR((G57-G58)/G47,"")</f>
        <v/>
      </c>
      <c r="H54" s="995" t="e">
        <f t="shared" ref="H54:S54" ca="1" si="33">+((H57+H59)-(H58+H60))/H47</f>
        <v>#NAME?</v>
      </c>
      <c r="I54" s="995" t="e">
        <f t="shared" ca="1" si="33"/>
        <v>#NAME?</v>
      </c>
      <c r="J54" s="995" t="e">
        <f t="shared" ca="1" si="33"/>
        <v>#NAME?</v>
      </c>
      <c r="K54" s="995" t="e">
        <f t="shared" ca="1" si="33"/>
        <v>#NAME?</v>
      </c>
      <c r="L54" s="995" t="e">
        <f t="shared" ca="1" si="33"/>
        <v>#NAME?</v>
      </c>
      <c r="M54" s="995" t="e">
        <f t="shared" ca="1" si="33"/>
        <v>#NAME?</v>
      </c>
      <c r="N54" s="995" t="e">
        <f t="shared" ca="1" si="33"/>
        <v>#NAME?</v>
      </c>
      <c r="O54" s="995" t="e">
        <f t="shared" ca="1" si="33"/>
        <v>#NAME?</v>
      </c>
      <c r="P54" s="995" t="e">
        <f t="shared" ca="1" si="33"/>
        <v>#NAME?</v>
      </c>
      <c r="Q54" s="995" t="e">
        <f t="shared" ca="1" si="33"/>
        <v>#NAME?</v>
      </c>
      <c r="R54" s="995" t="e">
        <f t="shared" ca="1" si="33"/>
        <v>#NAME?</v>
      </c>
      <c r="S54" s="995" t="e">
        <f t="shared" ca="1" si="33"/>
        <v>#NAME?</v>
      </c>
      <c r="T54" s="995" t="e">
        <f ca="1">+((T57+T59)-(T58+T60))/T47</f>
        <v>#NAME?</v>
      </c>
      <c r="U54" s="924" t="e">
        <f ca="1">HLOOKUP(1,$I$12:$T$114,ROW(A54)-ROW($A$12)+1,FALSE)</f>
        <v>#N/A</v>
      </c>
      <c r="W54" s="968">
        <f ca="1">IFERROR(+T54/S54-1,0)</f>
        <v>0</v>
      </c>
      <c r="X54" s="968">
        <f ca="1">IFERROR(+T54/U54-1,0)</f>
        <v>0</v>
      </c>
      <c r="Y54" s="968">
        <f ca="1">IFERROR(+T54/H54-1,0)</f>
        <v>0</v>
      </c>
    </row>
    <row r="55" spans="2:25" s="2" customFormat="1" ht="6" customHeight="1">
      <c r="C55" s="1033"/>
      <c r="D55" s="164"/>
      <c r="E55" s="996"/>
      <c r="F55" s="996"/>
      <c r="G55" s="1036"/>
      <c r="H55" s="996"/>
      <c r="I55" s="996"/>
      <c r="J55" s="996"/>
      <c r="K55" s="996"/>
      <c r="L55" s="996"/>
      <c r="M55" s="996"/>
      <c r="N55" s="996"/>
      <c r="O55" s="996"/>
      <c r="P55" s="996"/>
      <c r="Q55" s="996"/>
      <c r="R55" s="996"/>
      <c r="S55" s="996"/>
      <c r="T55" s="996"/>
      <c r="U55" s="164"/>
      <c r="W55" s="968"/>
      <c r="X55" s="968"/>
      <c r="Y55" s="968"/>
    </row>
    <row r="56" spans="2:25" s="2" customFormat="1" ht="16.5" customHeight="1">
      <c r="C56" s="1021" t="s">
        <v>586</v>
      </c>
      <c r="D56" s="905"/>
      <c r="E56" s="985"/>
      <c r="F56" s="985"/>
      <c r="G56" s="1022"/>
      <c r="H56" s="985"/>
      <c r="I56" s="985"/>
      <c r="J56" s="985"/>
      <c r="K56" s="985"/>
      <c r="L56" s="985"/>
      <c r="M56" s="985"/>
      <c r="N56" s="985"/>
      <c r="O56" s="985"/>
      <c r="P56" s="985"/>
      <c r="Q56" s="985"/>
      <c r="R56" s="985"/>
      <c r="S56" s="985"/>
      <c r="T56" s="985"/>
      <c r="U56" s="905"/>
      <c r="W56" s="968"/>
      <c r="X56" s="968"/>
      <c r="Y56" s="968"/>
    </row>
    <row r="57" spans="2:25" s="2" customFormat="1" ht="15">
      <c r="C57" s="1037" t="s">
        <v>590</v>
      </c>
      <c r="D57" s="161" t="str">
        <f ca="1">IFERROR('Refi-Annual Review'!AK173/$U$9,"")</f>
        <v/>
      </c>
      <c r="E57" s="986" t="str">
        <f ca="1">IFERROR('Refi-Annual Review'!AL173/$U$9,"")</f>
        <v/>
      </c>
      <c r="F57" s="986" t="str">
        <f ca="1">IFERROR('Refi-Annual Review'!AM173/$U$9,"")</f>
        <v/>
      </c>
      <c r="G57" s="1023" t="str">
        <f ca="1">IFERROR('Refi-Annual Review'!AN173/$U$9,"")</f>
        <v/>
      </c>
      <c r="H57" s="986" t="e">
        <f ca="1">'Balance Sheet'!AE41/$U$9</f>
        <v>#NAME?</v>
      </c>
      <c r="I57" s="986" t="e">
        <f ca="1">'Balance Sheet'!AF41/$U$9</f>
        <v>#NAME?</v>
      </c>
      <c r="J57" s="986" t="e">
        <f ca="1">'Balance Sheet'!AG41/$U$9</f>
        <v>#NAME?</v>
      </c>
      <c r="K57" s="986" t="e">
        <f ca="1">'Balance Sheet'!AH41/$U$9</f>
        <v>#NAME?</v>
      </c>
      <c r="L57" s="986" t="e">
        <f ca="1">'Balance Sheet'!AI41/$U$9</f>
        <v>#NAME?</v>
      </c>
      <c r="M57" s="986" t="e">
        <f ca="1">'Balance Sheet'!AJ41/$U$9</f>
        <v>#NAME?</v>
      </c>
      <c r="N57" s="986" t="e">
        <f ca="1">'Balance Sheet'!AK41/$U$9</f>
        <v>#NAME?</v>
      </c>
      <c r="O57" s="986" t="e">
        <f ca="1">'Balance Sheet'!AL41/$U$9</f>
        <v>#NAME?</v>
      </c>
      <c r="P57" s="986" t="e">
        <f ca="1">'Balance Sheet'!AM41/$U$9</f>
        <v>#NAME?</v>
      </c>
      <c r="Q57" s="986" t="e">
        <f ca="1">'Balance Sheet'!AN41/$U$9</f>
        <v>#NAME?</v>
      </c>
      <c r="R57" s="986" t="e">
        <f ca="1">'Balance Sheet'!AO41/$U$9</f>
        <v>#NAME?</v>
      </c>
      <c r="S57" s="986" t="e">
        <f ca="1">'Balance Sheet'!AP41/$U$9</f>
        <v>#NAME?</v>
      </c>
      <c r="T57" s="986" t="e">
        <f ca="1">'Balance Sheet'!AQ41/$U$9</f>
        <v>#NAME?</v>
      </c>
      <c r="U57" s="161" t="e">
        <f ca="1">HLOOKUP(1,$I$12:$T$114,ROW(A57)-ROW($A$12)+1,FALSE)</f>
        <v>#N/A</v>
      </c>
      <c r="W57" s="968">
        <f ca="1">IFERROR(+T57/S57-1,0)</f>
        <v>0</v>
      </c>
      <c r="X57" s="968">
        <f ca="1">IFERROR(+T57/U57-1,0)</f>
        <v>0</v>
      </c>
      <c r="Y57" s="968">
        <f ca="1">IFERROR(+T57/H57-1,0)</f>
        <v>0</v>
      </c>
    </row>
    <row r="58" spans="2:25" s="2" customFormat="1" ht="15.75" customHeight="1">
      <c r="C58" s="1037" t="s">
        <v>591</v>
      </c>
      <c r="D58" s="161" t="str">
        <f ca="1">IFERROR('Refi-Annual Review'!AK175/$U$9,"")</f>
        <v/>
      </c>
      <c r="E58" s="986" t="str">
        <f ca="1">IFERROR('Refi-Annual Review'!AL175/$U$9,"")</f>
        <v/>
      </c>
      <c r="F58" s="986" t="str">
        <f ca="1">IFERROR('Refi-Annual Review'!AM175/$U$9,"")</f>
        <v/>
      </c>
      <c r="G58" s="1023" t="str">
        <f ca="1">IFERROR('Refi-Annual Review'!AN175/$U$9,"")</f>
        <v/>
      </c>
      <c r="H58" s="986" t="e">
        <f ca="1">'Balance Sheet'!AE43/$U$9</f>
        <v>#NAME?</v>
      </c>
      <c r="I58" s="986" t="e">
        <f ca="1">'Balance Sheet'!AF43/$U$9</f>
        <v>#NAME?</v>
      </c>
      <c r="J58" s="986" t="e">
        <f ca="1">'Balance Sheet'!AG43/$U$9</f>
        <v>#NAME?</v>
      </c>
      <c r="K58" s="986" t="e">
        <f ca="1">'Balance Sheet'!AH43/$U$9</f>
        <v>#NAME?</v>
      </c>
      <c r="L58" s="986" t="e">
        <f ca="1">'Balance Sheet'!AI43/$U$9</f>
        <v>#NAME?</v>
      </c>
      <c r="M58" s="986" t="e">
        <f ca="1">'Balance Sheet'!AJ43/$U$9</f>
        <v>#NAME?</v>
      </c>
      <c r="N58" s="986" t="e">
        <f ca="1">'Balance Sheet'!AK43/$U$9</f>
        <v>#NAME?</v>
      </c>
      <c r="O58" s="986" t="e">
        <f ca="1">'Balance Sheet'!AL43/$U$9</f>
        <v>#NAME?</v>
      </c>
      <c r="P58" s="986" t="e">
        <f ca="1">'Balance Sheet'!AM43/$U$9</f>
        <v>#NAME?</v>
      </c>
      <c r="Q58" s="986" t="e">
        <f ca="1">'Balance Sheet'!AN43/$U$9</f>
        <v>#NAME?</v>
      </c>
      <c r="R58" s="986" t="e">
        <f ca="1">'Balance Sheet'!AO43/$U$9</f>
        <v>#NAME?</v>
      </c>
      <c r="S58" s="986" t="e">
        <f ca="1">'Balance Sheet'!AP43/$U$9</f>
        <v>#NAME?</v>
      </c>
      <c r="T58" s="986" t="e">
        <f ca="1">'Balance Sheet'!AQ43/$U$9</f>
        <v>#NAME?</v>
      </c>
      <c r="U58" s="161" t="e">
        <f ca="1">HLOOKUP(1,$I$12:$T$114,ROW(A58)-ROW($A$12)+1,FALSE)</f>
        <v>#N/A</v>
      </c>
      <c r="W58" s="968">
        <f ca="1">IFERROR(+T58/S58-1,0)</f>
        <v>0</v>
      </c>
      <c r="X58" s="968">
        <f ca="1">IFERROR(+T58/U58-1,0)</f>
        <v>0</v>
      </c>
      <c r="Y58" s="968">
        <f ca="1">IFERROR(+T58/H58-1,0)</f>
        <v>0</v>
      </c>
    </row>
    <row r="59" spans="2:25" s="2" customFormat="1" ht="15.75" customHeight="1">
      <c r="C59" s="1037" t="s">
        <v>645</v>
      </c>
      <c r="D59" s="161"/>
      <c r="E59" s="986"/>
      <c r="F59" s="986"/>
      <c r="G59" s="1023"/>
      <c r="H59" s="986" t="e">
        <f ca="1">'Balance Sheet'!AE50/$U$9</f>
        <v>#NAME?</v>
      </c>
      <c r="I59" s="986" t="e">
        <f ca="1">'Balance Sheet'!AF50/$U$9</f>
        <v>#NAME?</v>
      </c>
      <c r="J59" s="986" t="e">
        <f ca="1">'Balance Sheet'!AG50/$U$9</f>
        <v>#NAME?</v>
      </c>
      <c r="K59" s="986" t="e">
        <f ca="1">'Balance Sheet'!AH50/$U$9</f>
        <v>#NAME?</v>
      </c>
      <c r="L59" s="986" t="e">
        <f ca="1">'Balance Sheet'!AI50/$U$9</f>
        <v>#NAME?</v>
      </c>
      <c r="M59" s="986" t="e">
        <f ca="1">'Balance Sheet'!AJ50/$U$9</f>
        <v>#NAME?</v>
      </c>
      <c r="N59" s="986" t="e">
        <f ca="1">'Balance Sheet'!AK50/$U$9</f>
        <v>#NAME?</v>
      </c>
      <c r="O59" s="986" t="e">
        <f ca="1">'Balance Sheet'!AL50/$U$9</f>
        <v>#NAME?</v>
      </c>
      <c r="P59" s="986" t="e">
        <f ca="1">'Balance Sheet'!AM50/$U$9</f>
        <v>#NAME?</v>
      </c>
      <c r="Q59" s="986" t="e">
        <f ca="1">'Balance Sheet'!AN50/$U$9</f>
        <v>#NAME?</v>
      </c>
      <c r="R59" s="986" t="e">
        <f ca="1">'Balance Sheet'!AO50/$U$9</f>
        <v>#NAME?</v>
      </c>
      <c r="S59" s="986" t="e">
        <f ca="1">'Balance Sheet'!AP50/$U$9</f>
        <v>#NAME?</v>
      </c>
      <c r="T59" s="986" t="e">
        <f ca="1">'Balance Sheet'!AQ50/$U$9</f>
        <v>#NAME?</v>
      </c>
      <c r="U59" s="161"/>
      <c r="W59" s="968"/>
      <c r="X59" s="968"/>
      <c r="Y59" s="968"/>
    </row>
    <row r="60" spans="2:25" s="2" customFormat="1" ht="15.75" customHeight="1">
      <c r="C60" s="1037" t="s">
        <v>646</v>
      </c>
      <c r="D60" s="161"/>
      <c r="E60" s="986"/>
      <c r="F60" s="986"/>
      <c r="G60" s="1023"/>
      <c r="H60" s="986" t="e">
        <f ca="1">'Balance Sheet'!AE56/$U$9</f>
        <v>#NAME?</v>
      </c>
      <c r="I60" s="986" t="e">
        <f ca="1">'Balance Sheet'!AF56/$U$9</f>
        <v>#NAME?</v>
      </c>
      <c r="J60" s="986" t="e">
        <f ca="1">'Balance Sheet'!AG56/$U$9</f>
        <v>#NAME?</v>
      </c>
      <c r="K60" s="986" t="e">
        <f ca="1">'Balance Sheet'!AH56/$U$9</f>
        <v>#NAME?</v>
      </c>
      <c r="L60" s="986" t="e">
        <f ca="1">'Balance Sheet'!AI56/$U$9</f>
        <v>#NAME?</v>
      </c>
      <c r="M60" s="986" t="e">
        <f ca="1">'Balance Sheet'!AJ56/$U$9</f>
        <v>#NAME?</v>
      </c>
      <c r="N60" s="986" t="e">
        <f ca="1">'Balance Sheet'!AK56/$U$9</f>
        <v>#NAME?</v>
      </c>
      <c r="O60" s="986" t="e">
        <f ca="1">'Balance Sheet'!AL56/$U$9</f>
        <v>#NAME?</v>
      </c>
      <c r="P60" s="986" t="e">
        <f ca="1">'Balance Sheet'!AM56/$U$9</f>
        <v>#NAME?</v>
      </c>
      <c r="Q60" s="986" t="e">
        <f ca="1">'Balance Sheet'!AN56/$U$9</f>
        <v>#NAME?</v>
      </c>
      <c r="R60" s="986" t="e">
        <f ca="1">'Balance Sheet'!AO56/$U$9</f>
        <v>#NAME?</v>
      </c>
      <c r="S60" s="986" t="e">
        <f ca="1">'Balance Sheet'!AP56/$U$9</f>
        <v>#NAME?</v>
      </c>
      <c r="T60" s="986" t="e">
        <f ca="1">'Balance Sheet'!AQ56/$U$9</f>
        <v>#NAME?</v>
      </c>
      <c r="U60" s="161"/>
      <c r="W60" s="968"/>
      <c r="X60" s="968"/>
      <c r="Y60" s="968"/>
    </row>
    <row r="61" spans="2:25" s="2" customFormat="1" ht="15">
      <c r="B61" s="1" t="str">
        <f>"Profitability"</f>
        <v>Profitability</v>
      </c>
      <c r="C61" s="1018"/>
      <c r="D61" s="165"/>
      <c r="E61" s="997"/>
      <c r="F61" s="997"/>
      <c r="G61" s="1038"/>
      <c r="H61" s="997" t="str">
        <f>'Income Statement'!D3</f>
        <v>Result Period</v>
      </c>
      <c r="I61" s="997" t="str">
        <f>'Income Statement'!E3</f>
        <v>YTD</v>
      </c>
      <c r="J61" s="964"/>
      <c r="K61" s="964"/>
      <c r="L61" s="964"/>
      <c r="M61" s="964"/>
      <c r="N61" s="964"/>
      <c r="O61" s="964"/>
      <c r="P61" s="964"/>
      <c r="Q61" s="964"/>
      <c r="R61" s="964"/>
      <c r="S61" s="964"/>
      <c r="T61" s="964"/>
      <c r="W61" s="1077"/>
      <c r="X61" s="1077"/>
      <c r="Y61" s="1077"/>
    </row>
    <row r="62" spans="2:25" s="2" customFormat="1" ht="1.5" customHeight="1">
      <c r="C62" s="1018"/>
      <c r="E62" s="964"/>
      <c r="F62" s="964"/>
      <c r="G62" s="1029"/>
      <c r="H62" s="964"/>
      <c r="I62" s="964"/>
      <c r="J62" s="964"/>
      <c r="K62" s="964"/>
      <c r="L62" s="964"/>
      <c r="M62" s="964"/>
      <c r="N62" s="964"/>
      <c r="O62" s="964"/>
      <c r="P62" s="964"/>
      <c r="Q62" s="964"/>
      <c r="R62" s="964"/>
      <c r="S62" s="964"/>
      <c r="T62" s="964"/>
      <c r="W62" s="968"/>
      <c r="X62" s="968"/>
      <c r="Y62" s="968"/>
    </row>
    <row r="63" spans="2:25" s="2" customFormat="1" ht="15">
      <c r="C63" s="1030"/>
      <c r="D63" s="967">
        <f t="shared" ref="D63:F63" ca="1" si="34">D53</f>
        <v>-3</v>
      </c>
      <c r="E63" s="972">
        <f t="shared" ca="1" si="34"/>
        <v>-2</v>
      </c>
      <c r="F63" s="972">
        <f t="shared" ca="1" si="34"/>
        <v>-1</v>
      </c>
      <c r="G63" s="1013">
        <f ca="1">G53</f>
        <v>0</v>
      </c>
      <c r="H63" s="898" t="str">
        <f t="shared" ref="H63:T63" si="35">H13</f>
        <v/>
      </c>
      <c r="I63" s="898" t="str">
        <f t="shared" si="35"/>
        <v/>
      </c>
      <c r="J63" s="898" t="str">
        <f t="shared" si="35"/>
        <v/>
      </c>
      <c r="K63" s="898" t="str">
        <f t="shared" si="35"/>
        <v/>
      </c>
      <c r="L63" s="898" t="str">
        <f t="shared" si="35"/>
        <v/>
      </c>
      <c r="M63" s="898" t="str">
        <f t="shared" si="35"/>
        <v/>
      </c>
      <c r="N63" s="898" t="str">
        <f t="shared" si="35"/>
        <v/>
      </c>
      <c r="O63" s="898" t="str">
        <f t="shared" si="35"/>
        <v/>
      </c>
      <c r="P63" s="898" t="str">
        <f t="shared" si="35"/>
        <v/>
      </c>
      <c r="Q63" s="898" t="str">
        <f t="shared" si="35"/>
        <v/>
      </c>
      <c r="R63" s="898" t="str">
        <f t="shared" si="35"/>
        <v/>
      </c>
      <c r="S63" s="898" t="str">
        <f t="shared" si="35"/>
        <v/>
      </c>
      <c r="T63" s="898">
        <f t="shared" si="35"/>
        <v>4</v>
      </c>
      <c r="U63" s="898" t="e">
        <f ca="1">HLOOKUP(1,$I$12:$T$114,ROW(A63)-ROW($A$12)+1,FALSE)</f>
        <v>#N/A</v>
      </c>
      <c r="W63" s="970" t="s">
        <v>607</v>
      </c>
      <c r="X63" s="970" t="s">
        <v>608</v>
      </c>
      <c r="Y63" s="970" t="s">
        <v>609</v>
      </c>
    </row>
    <row r="64" spans="2:25" s="2" customFormat="1" ht="15">
      <c r="C64" s="1039" t="s">
        <v>441</v>
      </c>
      <c r="G64" s="1018"/>
      <c r="W64" s="1040"/>
      <c r="X64" s="1040"/>
      <c r="Y64" s="1040"/>
    </row>
    <row r="65" spans="3:25" s="2" customFormat="1" ht="15">
      <c r="C65" s="1041" t="s">
        <v>613</v>
      </c>
      <c r="D65" s="913" t="str">
        <f ca="1">IFERROR('Refi-Annual Review'!AK120/'Refi-Annual Review'!AK180,"")</f>
        <v/>
      </c>
      <c r="E65" s="998" t="str">
        <f ca="1">IFERROR('Refi-Annual Review'!AL120/'Refi-Annual Review'!AL180,"")</f>
        <v/>
      </c>
      <c r="F65" s="998" t="str">
        <f ca="1">IFERROR('Refi-Annual Review'!AM120/'Refi-Annual Review'!AM180,"")</f>
        <v/>
      </c>
      <c r="G65" s="1042" t="str">
        <f ca="1">IFERROR('Refi-Annual Review'!AN120/'Refi-Annual Review'!AN180,"")</f>
        <v/>
      </c>
      <c r="H65" s="998" t="e">
        <f ca="1">H80/(AGGREGATED_DATA!Z31/AGGREGATED_DATA!Z9/$U$9)</f>
        <v>#NAME?</v>
      </c>
      <c r="I65" s="998" t="e">
        <f ca="1">I80/(AGGREGATED_DATA!AA31/AGGREGATED_DATA!AA9/$U$9)</f>
        <v>#NAME?</v>
      </c>
      <c r="J65" s="998" t="e">
        <f ca="1">J80/(AGGREGATED_DATA!AB31/AGGREGATED_DATA!AB9/$U$9)</f>
        <v>#NAME?</v>
      </c>
      <c r="K65" s="998" t="e">
        <f ca="1">K80/(AGGREGATED_DATA!AC31/AGGREGATED_DATA!AC9/$U$9)</f>
        <v>#NAME?</v>
      </c>
      <c r="L65" s="998" t="e">
        <f ca="1">L80/(AGGREGATED_DATA!AD31/AGGREGATED_DATA!AD9/$U$9)</f>
        <v>#NAME?</v>
      </c>
      <c r="M65" s="998" t="e">
        <f ca="1">M80/(AGGREGATED_DATA!AE31/AGGREGATED_DATA!AE9/$U$9)</f>
        <v>#NAME?</v>
      </c>
      <c r="N65" s="998" t="e">
        <f ca="1">N80/(AGGREGATED_DATA!AF31/AGGREGATED_DATA!AF9/$U$9)</f>
        <v>#NAME?</v>
      </c>
      <c r="O65" s="998" t="e">
        <f ca="1">O80/(AGGREGATED_DATA!AG31/AGGREGATED_DATA!AG9/$U$9)</f>
        <v>#NAME?</v>
      </c>
      <c r="P65" s="998" t="e">
        <f ca="1">P80/(AGGREGATED_DATA!AH31/AGGREGATED_DATA!AH9/$U$9)</f>
        <v>#NAME?</v>
      </c>
      <c r="Q65" s="998" t="e">
        <f ca="1">Q80/(AGGREGATED_DATA!AI31/AGGREGATED_DATA!AI9/$U$9)</f>
        <v>#NAME?</v>
      </c>
      <c r="R65" s="998" t="e">
        <f ca="1">R80/(AGGREGATED_DATA!AJ31/AGGREGATED_DATA!AJ9/$U$9)</f>
        <v>#NAME?</v>
      </c>
      <c r="S65" s="998" t="e">
        <f ca="1">S80/(AGGREGATED_DATA!AK31/AGGREGATED_DATA!AK9/$U$9)</f>
        <v>#NAME?</v>
      </c>
      <c r="T65" s="998" t="e">
        <f ca="1">T80/(AGGREGATED_DATA!AL31/AGGREGATED_DATA!AL9/$U$9)</f>
        <v>#NAME?</v>
      </c>
      <c r="U65" s="1043" t="e">
        <f ca="1">HLOOKUP(1,$I$12:$T$114,ROW(A65)-ROW($A$12)+1,FALSE)</f>
        <v>#N/A</v>
      </c>
      <c r="V65" s="919"/>
      <c r="W65" s="968">
        <f t="shared" ref="W65:W69" ca="1" si="36">IFERROR(+T65/S65-1,0)</f>
        <v>0</v>
      </c>
      <c r="X65" s="968">
        <f t="shared" ref="X65:X69" ca="1" si="37">IFERROR(+T65/U65-1,0)</f>
        <v>0</v>
      </c>
      <c r="Y65" s="968">
        <f t="shared" ref="Y65:Y69" ca="1" si="38">IFERROR(+T65/H65-1,0)</f>
        <v>0</v>
      </c>
    </row>
    <row r="66" spans="3:25" s="2" customFormat="1" ht="15">
      <c r="C66" s="1044" t="s">
        <v>265</v>
      </c>
      <c r="D66" s="1045" t="str">
        <f ca="1">IFERROR(-'Refi-Annual Review'!AK121/'Refi-Annual Review'!AK183,"")</f>
        <v/>
      </c>
      <c r="E66" s="1046" t="str">
        <f ca="1">IFERROR(-'Refi-Annual Review'!AL121/('Refi-Annual Review'!AL183+'Refi-Annual Review'!AL188),"")</f>
        <v/>
      </c>
      <c r="F66" s="1046" t="str">
        <f ca="1">IFERROR(-'Refi-Annual Review'!AM121/('Refi-Annual Review'!AM183+'Refi-Annual Review'!AM188),"")</f>
        <v/>
      </c>
      <c r="G66" s="1047" t="str">
        <f ca="1">IFERROR(-'Refi-Annual Review'!AN121/('Refi-Annual Review'!AN183+'Refi-Annual Review'!AN188),"")</f>
        <v/>
      </c>
      <c r="H66" s="1046" t="e">
        <f ca="1">-H81/((AGGREGATED_DATA!Z34+AGGREGATED_DATA!Z51)/AGGREGATED_DATA!Z9/$U$9)</f>
        <v>#NAME?</v>
      </c>
      <c r="I66" s="1046" t="e">
        <f ca="1">-I81/((AGGREGATED_DATA!AA34+AGGREGATED_DATA!AA51)/AGGREGATED_DATA!AA9/$U$9)</f>
        <v>#NAME?</v>
      </c>
      <c r="J66" s="1046" t="e">
        <f ca="1">-J81/((AGGREGATED_DATA!AB34+AGGREGATED_DATA!AB51)/AGGREGATED_DATA!AB9/$U$9)</f>
        <v>#NAME?</v>
      </c>
      <c r="K66" s="1046" t="e">
        <f ca="1">-K81/((AGGREGATED_DATA!AC34+AGGREGATED_DATA!AC51)/AGGREGATED_DATA!AC9/$U$9)</f>
        <v>#NAME?</v>
      </c>
      <c r="L66" s="1046" t="e">
        <f ca="1">-L81/((AGGREGATED_DATA!AD34+AGGREGATED_DATA!AD51)/AGGREGATED_DATA!AD9/$U$9)</f>
        <v>#NAME?</v>
      </c>
      <c r="M66" s="1046" t="e">
        <f ca="1">-M81/((AGGREGATED_DATA!AE34+AGGREGATED_DATA!AE51)/AGGREGATED_DATA!AE9/$U$9)</f>
        <v>#NAME?</v>
      </c>
      <c r="N66" s="1046" t="e">
        <f ca="1">-N81/((AGGREGATED_DATA!AF34+AGGREGATED_DATA!AF51)/AGGREGATED_DATA!AF9/$U$9)</f>
        <v>#NAME?</v>
      </c>
      <c r="O66" s="1046" t="e">
        <f ca="1">-O81/((AGGREGATED_DATA!AG34+AGGREGATED_DATA!AG51)/AGGREGATED_DATA!AG9/$U$9)</f>
        <v>#NAME?</v>
      </c>
      <c r="P66" s="1046" t="e">
        <f ca="1">-P81/((AGGREGATED_DATA!AH34+AGGREGATED_DATA!AH51)/AGGREGATED_DATA!AH9/$U$9)</f>
        <v>#NAME?</v>
      </c>
      <c r="Q66" s="1046" t="e">
        <f ca="1">-Q81/((AGGREGATED_DATA!AI34+AGGREGATED_DATA!AI51)/AGGREGATED_DATA!AI9/$U$9)</f>
        <v>#NAME?</v>
      </c>
      <c r="R66" s="1046" t="e">
        <f ca="1">-R81/((AGGREGATED_DATA!AJ34+AGGREGATED_DATA!AJ51)/AGGREGATED_DATA!AJ9/$U$9)</f>
        <v>#NAME?</v>
      </c>
      <c r="S66" s="1046" t="e">
        <f ca="1">-S81/((AGGREGATED_DATA!AK34+AGGREGATED_DATA!AK51)/AGGREGATED_DATA!AK9/$U$9)</f>
        <v>#NAME?</v>
      </c>
      <c r="T66" s="1046" t="e">
        <f ca="1">-T81/((AGGREGATED_DATA!AL34+AGGREGATED_DATA!AL51)/AGGREGATED_DATA!AL9/$U$9)</f>
        <v>#NAME?</v>
      </c>
      <c r="U66" s="1043" t="e">
        <f ca="1">HLOOKUP(1,$I$12:$T$114,ROW(A66)-ROW($A$12)+1,FALSE)</f>
        <v>#N/A</v>
      </c>
      <c r="V66" s="919"/>
      <c r="W66" s="968">
        <f t="shared" ca="1" si="36"/>
        <v>0</v>
      </c>
      <c r="X66" s="968">
        <f t="shared" ca="1" si="37"/>
        <v>0</v>
      </c>
      <c r="Y66" s="968">
        <f t="shared" ca="1" si="38"/>
        <v>0</v>
      </c>
    </row>
    <row r="67" spans="3:25" s="2" customFormat="1" ht="15">
      <c r="C67" s="1048" t="s">
        <v>614</v>
      </c>
      <c r="D67" s="1049" t="str">
        <f ca="1">IFERROR(D85/D108,"")</f>
        <v/>
      </c>
      <c r="E67" s="1050" t="str">
        <f ca="1">IFERROR(E85/E108,"")</f>
        <v/>
      </c>
      <c r="F67" s="1050" t="str">
        <f ca="1">IFERROR(F85/F108,"")</f>
        <v/>
      </c>
      <c r="G67" s="1051" t="str">
        <f ca="1">IFERROR(G85/G108,"")</f>
        <v/>
      </c>
      <c r="H67" s="1050" t="e">
        <f ca="1">'Income Statement'!AE16/('Income Statement'!AE16+'Income Statement'!AE11+'Income Statement'!AE9)</f>
        <v>#NAME?</v>
      </c>
      <c r="I67" s="1050" t="e">
        <f ca="1">'Income Statement'!AF16/('Income Statement'!AF16+'Income Statement'!AF11+'Income Statement'!AF9)</f>
        <v>#NAME?</v>
      </c>
      <c r="J67" s="1050" t="e">
        <f ca="1">'Income Statement'!AG16/('Income Statement'!AG16+'Income Statement'!AG11+'Income Statement'!AG9)</f>
        <v>#NAME?</v>
      </c>
      <c r="K67" s="1050" t="e">
        <f ca="1">'Income Statement'!AH16/('Income Statement'!AH16+'Income Statement'!AH11+'Income Statement'!AH9)</f>
        <v>#NAME?</v>
      </c>
      <c r="L67" s="1050" t="e">
        <f ca="1">'Income Statement'!AI16/('Income Statement'!AI16+'Income Statement'!AI11+'Income Statement'!AI9)</f>
        <v>#NAME?</v>
      </c>
      <c r="M67" s="1050" t="e">
        <f ca="1">'Income Statement'!AJ16/('Income Statement'!AJ16+'Income Statement'!AJ11+'Income Statement'!AJ9)</f>
        <v>#NAME?</v>
      </c>
      <c r="N67" s="1050" t="e">
        <f ca="1">'Income Statement'!AK16/('Income Statement'!AK16+'Income Statement'!AK11+'Income Statement'!AK9)</f>
        <v>#NAME?</v>
      </c>
      <c r="O67" s="1050" t="e">
        <f ca="1">'Income Statement'!AL16/('Income Statement'!AL16+'Income Statement'!AL11+'Income Statement'!AL9)</f>
        <v>#NAME?</v>
      </c>
      <c r="P67" s="1050" t="e">
        <f ca="1">'Income Statement'!AM16/('Income Statement'!AM16+'Income Statement'!AM11+'Income Statement'!AM9)</f>
        <v>#NAME?</v>
      </c>
      <c r="Q67" s="1050" t="e">
        <f ca="1">'Income Statement'!AN16/('Income Statement'!AN16+'Income Statement'!AN11+'Income Statement'!AN9)</f>
        <v>#NAME?</v>
      </c>
      <c r="R67" s="1050" t="e">
        <f ca="1">'Income Statement'!AO16/('Income Statement'!AO16+'Income Statement'!AO11+'Income Statement'!AO9)</f>
        <v>#NAME?</v>
      </c>
      <c r="S67" s="1050" t="e">
        <f ca="1">'Income Statement'!AP16/('Income Statement'!AP16+'Income Statement'!AP11+'Income Statement'!AP9)</f>
        <v>#NAME?</v>
      </c>
      <c r="T67" s="1050" t="e">
        <f ca="1">'Income Statement'!AQ16/('Income Statement'!AQ16+'Income Statement'!AQ11+'Income Statement'!AQ9)</f>
        <v>#NAME?</v>
      </c>
      <c r="U67" s="1049" t="e">
        <f ca="1">HLOOKUP(1,$I$12:$T$114,ROW(A67)-ROW($A$12)+1,FALSE)</f>
        <v>#N/A</v>
      </c>
      <c r="V67" s="919"/>
      <c r="W67" s="968">
        <f t="shared" ca="1" si="36"/>
        <v>0</v>
      </c>
      <c r="X67" s="968">
        <f t="shared" ca="1" si="37"/>
        <v>0</v>
      </c>
      <c r="Y67" s="968">
        <f t="shared" ca="1" si="38"/>
        <v>0</v>
      </c>
    </row>
    <row r="68" spans="3:25" s="2" customFormat="1" ht="15">
      <c r="C68" s="1052" t="s">
        <v>16</v>
      </c>
      <c r="D68" s="920" t="str">
        <f ca="1">IFERROR('Refi-Annual Review'!AK136/'Refi-Annual Review'!AK181,"")</f>
        <v/>
      </c>
      <c r="E68" s="1005" t="str">
        <f ca="1">IFERROR('Refi-Annual Review'!AL142/'Refi-Annual Review'!AL181,"")</f>
        <v/>
      </c>
      <c r="F68" s="1005" t="str">
        <f ca="1">IFERROR('Refi-Annual Review'!AM142/'Refi-Annual Review'!AM181,"")</f>
        <v/>
      </c>
      <c r="G68" s="1051" t="str">
        <f ca="1">IFERROR('Refi-Annual Review'!AN142/'Refi-Annual Review'!AN181,"")</f>
        <v/>
      </c>
      <c r="H68" s="1005" t="e">
        <f>AGGREGATED_DATA!Z49/AGGREGATED_DATA!Z32</f>
        <v>#NAME?</v>
      </c>
      <c r="I68" s="1005" t="e">
        <f>AGGREGATED_DATA!AA49/AGGREGATED_DATA!AA32</f>
        <v>#NAME?</v>
      </c>
      <c r="J68" s="1005" t="e">
        <f>AGGREGATED_DATA!AB49/AGGREGATED_DATA!AB32</f>
        <v>#NAME?</v>
      </c>
      <c r="K68" s="1005" t="e">
        <f>AGGREGATED_DATA!AC49/AGGREGATED_DATA!AC32</f>
        <v>#NAME?</v>
      </c>
      <c r="L68" s="1005" t="e">
        <f>AGGREGATED_DATA!AD49/AGGREGATED_DATA!AD32</f>
        <v>#NAME?</v>
      </c>
      <c r="M68" s="1005" t="e">
        <f>AGGREGATED_DATA!AE49/AGGREGATED_DATA!AE32</f>
        <v>#NAME?</v>
      </c>
      <c r="N68" s="1005" t="e">
        <f>AGGREGATED_DATA!AF49/AGGREGATED_DATA!AF32</f>
        <v>#NAME?</v>
      </c>
      <c r="O68" s="1005" t="e">
        <f>AGGREGATED_DATA!AG49/AGGREGATED_DATA!AG32</f>
        <v>#NAME?</v>
      </c>
      <c r="P68" s="1005" t="e">
        <f>AGGREGATED_DATA!AH49/AGGREGATED_DATA!AH32</f>
        <v>#NAME?</v>
      </c>
      <c r="Q68" s="1005" t="e">
        <f>AGGREGATED_DATA!AI49/AGGREGATED_DATA!AI32</f>
        <v>#NAME?</v>
      </c>
      <c r="R68" s="1005" t="e">
        <f>AGGREGATED_DATA!AJ49/AGGREGATED_DATA!AJ32</f>
        <v>#NAME?</v>
      </c>
      <c r="S68" s="1005" t="e">
        <f>AGGREGATED_DATA!AK49/AGGREGATED_DATA!AK32</f>
        <v>#NAME?</v>
      </c>
      <c r="T68" s="1005" t="e">
        <f>AGGREGATED_DATA!AL49/AGGREGATED_DATA!AL32</f>
        <v>#NAME?</v>
      </c>
      <c r="U68" s="920" t="e">
        <f ca="1">HLOOKUP(1,$I$12:$T$114,ROW(A68)-ROW($A$12)+1,FALSE)</f>
        <v>#N/A</v>
      </c>
      <c r="V68" s="919"/>
      <c r="W68" s="1053">
        <f t="shared" si="36"/>
        <v>0</v>
      </c>
      <c r="X68" s="1053">
        <f t="shared" ca="1" si="37"/>
        <v>0</v>
      </c>
      <c r="Y68" s="1053">
        <f t="shared" si="38"/>
        <v>0</v>
      </c>
    </row>
    <row r="69" spans="3:25" s="2" customFormat="1" ht="15">
      <c r="C69" s="1052" t="s">
        <v>17</v>
      </c>
      <c r="D69" s="920" t="str">
        <f ca="1">IFERROR('Refi-Annual Review'!AK145/'Refi-Annual Review'!AK182,"")</f>
        <v/>
      </c>
      <c r="E69" s="1005" t="str">
        <f ca="1">IFERROR('Refi-Annual Review'!AL142/'Refi-Annual Review'!AL182,"")</f>
        <v/>
      </c>
      <c r="F69" s="1005" t="str">
        <f ca="1">IFERROR('Refi-Annual Review'!AM142/'Refi-Annual Review'!AM182,"")</f>
        <v/>
      </c>
      <c r="G69" s="1051" t="str">
        <f ca="1">IFERROR('Refi-Annual Review'!AN142/'Refi-Annual Review'!AN182,"")</f>
        <v/>
      </c>
      <c r="H69" s="1005" t="e">
        <f>AGGREGATED_DATA!Z49/AGGREGATED_DATA!Z33</f>
        <v>#NAME?</v>
      </c>
      <c r="I69" s="1005" t="e">
        <f>AGGREGATED_DATA!AA49/AGGREGATED_DATA!AA33</f>
        <v>#NAME?</v>
      </c>
      <c r="J69" s="1005" t="e">
        <f>AGGREGATED_DATA!AB49/AGGREGATED_DATA!AB33</f>
        <v>#NAME?</v>
      </c>
      <c r="K69" s="1005" t="e">
        <f>AGGREGATED_DATA!AC49/AGGREGATED_DATA!AC33</f>
        <v>#NAME?</v>
      </c>
      <c r="L69" s="1005" t="e">
        <f>AGGREGATED_DATA!AD49/AGGREGATED_DATA!AD33</f>
        <v>#NAME?</v>
      </c>
      <c r="M69" s="1005" t="e">
        <f>AGGREGATED_DATA!AE49/AGGREGATED_DATA!AE33</f>
        <v>#NAME?</v>
      </c>
      <c r="N69" s="1005" t="e">
        <f>AGGREGATED_DATA!AF49/AGGREGATED_DATA!AF33</f>
        <v>#NAME?</v>
      </c>
      <c r="O69" s="1005" t="e">
        <f>AGGREGATED_DATA!AG49/AGGREGATED_DATA!AG33</f>
        <v>#NAME?</v>
      </c>
      <c r="P69" s="1005" t="e">
        <f>AGGREGATED_DATA!AH49/AGGREGATED_DATA!AH33</f>
        <v>#NAME?</v>
      </c>
      <c r="Q69" s="1005" t="e">
        <f>AGGREGATED_DATA!AI49/AGGREGATED_DATA!AI33</f>
        <v>#NAME?</v>
      </c>
      <c r="R69" s="1005" t="e">
        <f>AGGREGATED_DATA!AJ49/AGGREGATED_DATA!AJ33</f>
        <v>#NAME?</v>
      </c>
      <c r="S69" s="1005" t="e">
        <f>AGGREGATED_DATA!AK49/AGGREGATED_DATA!AK33</f>
        <v>#NAME?</v>
      </c>
      <c r="T69" s="1005" t="e">
        <f>AGGREGATED_DATA!AL49/AGGREGATED_DATA!AL33</f>
        <v>#NAME?</v>
      </c>
      <c r="U69" s="920" t="e">
        <f ca="1">HLOOKUP(1,$I$12:$T$114,ROW(A69)-ROW($A$12)+1,FALSE)</f>
        <v>#N/A</v>
      </c>
      <c r="V69" s="919"/>
      <c r="W69" s="1053">
        <f t="shared" si="36"/>
        <v>0</v>
      </c>
      <c r="X69" s="1053">
        <f t="shared" ca="1" si="37"/>
        <v>0</v>
      </c>
      <c r="Y69" s="1053">
        <f t="shared" si="38"/>
        <v>0</v>
      </c>
    </row>
    <row r="70" spans="3:25" s="2" customFormat="1" ht="15">
      <c r="C70" s="1039" t="s">
        <v>63</v>
      </c>
      <c r="G70" s="1018"/>
      <c r="W70" s="1040"/>
      <c r="X70" s="1040"/>
      <c r="Y70" s="1040"/>
    </row>
    <row r="71" spans="3:25" s="2" customFormat="1" ht="15">
      <c r="C71" s="1052" t="s">
        <v>256</v>
      </c>
      <c r="D71" s="920" t="str">
        <f ca="1">IFERROR(-D80/(SUM(D81:D83,D85)),"")</f>
        <v/>
      </c>
      <c r="E71" s="1005" t="str">
        <f ca="1">IFERROR(-SUM(E80,E84)/(SUM(E81:E83,E85)),"")</f>
        <v/>
      </c>
      <c r="F71" s="1005" t="str">
        <f ca="1">IFERROR(-SUM(F80,F84)/(SUM(F81:F83,F85)),"")</f>
        <v/>
      </c>
      <c r="G71" s="1051" t="str">
        <f ca="1">IFERROR(-SUM(G80,G84)/(SUM(G81:G83,G85)),"")</f>
        <v/>
      </c>
      <c r="H71" s="1005" t="e">
        <f>-SUM(DATA_FORMATTING!BV123,DATA_FORMATTING!BV130)/SUM(DATA_FORMATTING!BV124:'DATA_FORMATTING'!BV126,DATA_FORMATTING!BV131)</f>
        <v>#NAME?</v>
      </c>
      <c r="I71" s="1005" t="e">
        <f>-SUM(DATA_FORMATTING!BW123,DATA_FORMATTING!BW130)/SUM(DATA_FORMATTING!BW124:'DATA_FORMATTING'!BW126,DATA_FORMATTING!BW131)</f>
        <v>#NAME?</v>
      </c>
      <c r="J71" s="1005" t="e">
        <f>-SUM(DATA_FORMATTING!BX123,DATA_FORMATTING!BX130)/SUM(DATA_FORMATTING!BX124:'DATA_FORMATTING'!BX126,DATA_FORMATTING!BX131)</f>
        <v>#NAME?</v>
      </c>
      <c r="K71" s="1005" t="e">
        <f>-SUM(DATA_FORMATTING!BY123,DATA_FORMATTING!BY130)/SUM(DATA_FORMATTING!BY124:'DATA_FORMATTING'!BY126,DATA_FORMATTING!BY131)</f>
        <v>#NAME?</v>
      </c>
      <c r="L71" s="1005" t="e">
        <f>-SUM(DATA_FORMATTING!BZ123,DATA_FORMATTING!BZ130)/SUM(DATA_FORMATTING!BZ124:'DATA_FORMATTING'!BZ126,DATA_FORMATTING!BZ131)</f>
        <v>#NAME?</v>
      </c>
      <c r="M71" s="1005" t="e">
        <f>-SUM(DATA_FORMATTING!CA123,DATA_FORMATTING!CA130)/SUM(DATA_FORMATTING!CA124:'DATA_FORMATTING'!CA126,DATA_FORMATTING!CA131)</f>
        <v>#NAME?</v>
      </c>
      <c r="N71" s="1005" t="e">
        <f>-SUM(DATA_FORMATTING!CB123,DATA_FORMATTING!CB130)/SUM(DATA_FORMATTING!CB124:'DATA_FORMATTING'!CB126,DATA_FORMATTING!CB131)</f>
        <v>#NAME?</v>
      </c>
      <c r="O71" s="1005" t="e">
        <f>-SUM(DATA_FORMATTING!CC123,DATA_FORMATTING!CC130)/SUM(DATA_FORMATTING!CC124:'DATA_FORMATTING'!CC126,DATA_FORMATTING!CC131)</f>
        <v>#NAME?</v>
      </c>
      <c r="P71" s="1005" t="e">
        <f>-SUM(DATA_FORMATTING!CD123,DATA_FORMATTING!CD130)/SUM(DATA_FORMATTING!CD124:'DATA_FORMATTING'!CD126,DATA_FORMATTING!CD131)</f>
        <v>#NAME?</v>
      </c>
      <c r="Q71" s="1005" t="e">
        <f>-SUM(DATA_FORMATTING!CE123,DATA_FORMATTING!CE130)/SUM(DATA_FORMATTING!CE124:'DATA_FORMATTING'!CE126,DATA_FORMATTING!CE131)</f>
        <v>#NAME?</v>
      </c>
      <c r="R71" s="1005" t="e">
        <f>-SUM(DATA_FORMATTING!CF123,DATA_FORMATTING!CF130)/SUM(DATA_FORMATTING!CF124:'DATA_FORMATTING'!CF126,DATA_FORMATTING!CF131)</f>
        <v>#NAME?</v>
      </c>
      <c r="S71" s="1005" t="e">
        <f>-SUM(DATA_FORMATTING!CG123,DATA_FORMATTING!CG130)/SUM(DATA_FORMATTING!CG124:'DATA_FORMATTING'!CG126,DATA_FORMATTING!CG131)</f>
        <v>#NAME?</v>
      </c>
      <c r="T71" s="1005" t="e">
        <f>-SUM(DATA_FORMATTING!CH123,DATA_FORMATTING!CH130)/SUM(DATA_FORMATTING!CH124:'DATA_FORMATTING'!CH126,DATA_FORMATTING!CH131)</f>
        <v>#NAME?</v>
      </c>
      <c r="U71" s="920" t="e">
        <f ca="1">HLOOKUP(1,$I$12:$T$114,ROW(A71)-ROW($A$12)+1,FALSE)</f>
        <v>#N/A</v>
      </c>
      <c r="V71" s="919"/>
      <c r="W71" s="968">
        <f t="shared" ref="W71:W76" si="39">IFERROR(+T71/S71-1,0)</f>
        <v>0</v>
      </c>
      <c r="X71" s="968">
        <f t="shared" ref="X71:X76" ca="1" si="40">IFERROR(+T71/U71-1,0)</f>
        <v>0</v>
      </c>
      <c r="Y71" s="968">
        <f t="shared" ref="Y71:Y76" si="41">IFERROR(+T71/H71-1,0)</f>
        <v>0</v>
      </c>
    </row>
    <row r="72" spans="3:25" s="2" customFormat="1" ht="15">
      <c r="C72" s="1044" t="s">
        <v>652</v>
      </c>
      <c r="E72" s="1005" t="str">
        <f ca="1">IFERROR(-'Refi-Annual Review'!AL121/('Refi-Annual Review'!AL183+'Refi-Annual Review'!AL188),"")</f>
        <v/>
      </c>
      <c r="F72" s="1005" t="str">
        <f ca="1">IFERROR(-'Refi-Annual Review'!AM121/('Refi-Annual Review'!AM183+'Refi-Annual Review'!AM188),"")</f>
        <v/>
      </c>
      <c r="G72" s="1051" t="str">
        <f ca="1">IFERROR(-'Refi-Annual Review'!AN121/('Refi-Annual Review'!AN183+'Refi-Annual Review'!AN188),"")</f>
        <v/>
      </c>
      <c r="H72" s="1005" t="e">
        <f ca="1">(-DATA_FORMATTING!BV124*(12/H$11))/(AGGREGATED_DATA!Z34+AGGREGATED_DATA!Z51)</f>
        <v>#NAME?</v>
      </c>
      <c r="I72" s="1005" t="e">
        <f ca="1">(-DATA_FORMATTING!BW124*(12/I$11))/(AGGREGATED_DATA!AA34+AGGREGATED_DATA!AA51)</f>
        <v>#NAME?</v>
      </c>
      <c r="J72" s="1005" t="e">
        <f ca="1">(-DATA_FORMATTING!BX124*(12/J$11))/(AGGREGATED_DATA!AB34+AGGREGATED_DATA!AB51)</f>
        <v>#NAME?</v>
      </c>
      <c r="K72" s="1005" t="e">
        <f ca="1">(-DATA_FORMATTING!BY124*(12/K$11))/(AGGREGATED_DATA!AC34+AGGREGATED_DATA!AC51)</f>
        <v>#NAME?</v>
      </c>
      <c r="L72" s="1005" t="e">
        <f ca="1">(-DATA_FORMATTING!BZ124*(12/L$11))/(AGGREGATED_DATA!AD34+AGGREGATED_DATA!AD51)</f>
        <v>#NAME?</v>
      </c>
      <c r="M72" s="1005" t="e">
        <f ca="1">(-DATA_FORMATTING!CA124*(12/M$11))/(AGGREGATED_DATA!AE34+AGGREGATED_DATA!AE51)</f>
        <v>#NAME?</v>
      </c>
      <c r="N72" s="1005" t="e">
        <f ca="1">(-DATA_FORMATTING!CB124*(12/N$11))/(AGGREGATED_DATA!AF34+AGGREGATED_DATA!AF51)</f>
        <v>#NAME?</v>
      </c>
      <c r="O72" s="1005" t="e">
        <f ca="1">(-DATA_FORMATTING!CC124*(12/O$11))/(AGGREGATED_DATA!AG34+AGGREGATED_DATA!AG51)</f>
        <v>#NAME?</v>
      </c>
      <c r="P72" s="1005" t="e">
        <f ca="1">(-DATA_FORMATTING!CD124*(12/P$11))/(AGGREGATED_DATA!AH34+AGGREGATED_DATA!AH51)</f>
        <v>#NAME?</v>
      </c>
      <c r="Q72" s="1005" t="e">
        <f ca="1">(-DATA_FORMATTING!CE124*(12/Q$11))/(AGGREGATED_DATA!AI34+AGGREGATED_DATA!AI51)</f>
        <v>#NAME?</v>
      </c>
      <c r="R72" s="1005" t="e">
        <f ca="1">(-DATA_FORMATTING!CF124*(12/R$11))/(AGGREGATED_DATA!AJ34+AGGREGATED_DATA!AJ51)</f>
        <v>#NAME?</v>
      </c>
      <c r="S72" s="1005" t="e">
        <f ca="1">(-DATA_FORMATTING!CG124*(12/S$11))/(AGGREGATED_DATA!AK34+AGGREGATED_DATA!AK51)</f>
        <v>#NAME?</v>
      </c>
      <c r="T72" s="1005" t="e">
        <f ca="1">(-DATA_FORMATTING!CH124*(12/T$11))/(AGGREGATED_DATA!AL34+AGGREGATED_DATA!AL51)</f>
        <v>#NAME?</v>
      </c>
      <c r="W72" s="1040"/>
      <c r="X72" s="1040"/>
      <c r="Y72" s="1040"/>
    </row>
    <row r="73" spans="3:25" s="2" customFormat="1" ht="15">
      <c r="C73" s="1054" t="s">
        <v>3</v>
      </c>
      <c r="D73" s="901" t="str">
        <f ca="1">IFERROR('Refi-Annual Review'!AK130,"")</f>
        <v/>
      </c>
      <c r="E73" s="980" t="str">
        <f ca="1">IFERROR('Refi-Annual Review'!AL130,"")</f>
        <v/>
      </c>
      <c r="F73" s="980" t="str">
        <f ca="1">IFERROR('Refi-Annual Review'!AM130,"")</f>
        <v/>
      </c>
      <c r="G73" s="1015" t="str">
        <f ca="1">IFERROR('Refi-Annual Review'!AN130,"")</f>
        <v/>
      </c>
      <c r="H73" s="980" t="e">
        <f>DATA_FORMATTING!BV132/DATA_FORMATTING!BV123</f>
        <v>#NAME?</v>
      </c>
      <c r="I73" s="980" t="e">
        <f>DATA_FORMATTING!BW132/DATA_FORMATTING!BW123</f>
        <v>#NAME?</v>
      </c>
      <c r="J73" s="980" t="e">
        <f>DATA_FORMATTING!BX132/DATA_FORMATTING!BX123</f>
        <v>#NAME?</v>
      </c>
      <c r="K73" s="980" t="e">
        <f>DATA_FORMATTING!BY132/DATA_FORMATTING!BY123</f>
        <v>#NAME?</v>
      </c>
      <c r="L73" s="980" t="e">
        <f>DATA_FORMATTING!BZ132/DATA_FORMATTING!BZ123</f>
        <v>#NAME?</v>
      </c>
      <c r="M73" s="980" t="e">
        <f>DATA_FORMATTING!CA132/DATA_FORMATTING!CA123</f>
        <v>#NAME?</v>
      </c>
      <c r="N73" s="980" t="e">
        <f>DATA_FORMATTING!CB132/DATA_FORMATTING!CB123</f>
        <v>#NAME?</v>
      </c>
      <c r="O73" s="980" t="e">
        <f>DATA_FORMATTING!CC132/DATA_FORMATTING!CC123</f>
        <v>#NAME?</v>
      </c>
      <c r="P73" s="980" t="e">
        <f>DATA_FORMATTING!CD132/DATA_FORMATTING!CD123</f>
        <v>#NAME?</v>
      </c>
      <c r="Q73" s="980" t="e">
        <f>DATA_FORMATTING!CE132/DATA_FORMATTING!CE123</f>
        <v>#NAME?</v>
      </c>
      <c r="R73" s="980" t="e">
        <f>DATA_FORMATTING!CF132/DATA_FORMATTING!CF123</f>
        <v>#NAME?</v>
      </c>
      <c r="S73" s="980" t="e">
        <f>DATA_FORMATTING!CG132/DATA_FORMATTING!CG123</f>
        <v>#NAME?</v>
      </c>
      <c r="T73" s="980" t="e">
        <f>DATA_FORMATTING!CH132/DATA_FORMATTING!CH123</f>
        <v>#NAME?</v>
      </c>
      <c r="U73" s="920" t="e">
        <f ca="1">HLOOKUP(1,$I$12:$T$114,ROW(A73)-ROW($A$12)+1,FALSE)</f>
        <v>#N/A</v>
      </c>
      <c r="V73" s="919"/>
      <c r="W73" s="968">
        <f t="shared" si="39"/>
        <v>0</v>
      </c>
      <c r="X73" s="968">
        <f t="shared" ca="1" si="40"/>
        <v>0</v>
      </c>
      <c r="Y73" s="968">
        <f t="shared" si="41"/>
        <v>0</v>
      </c>
    </row>
    <row r="74" spans="3:25" s="2" customFormat="1" ht="15">
      <c r="C74" s="1054" t="s">
        <v>4</v>
      </c>
      <c r="D74" s="901" t="str">
        <f ca="1">IFERROR(D87/D80,"")</f>
        <v/>
      </c>
      <c r="E74" s="980" t="str">
        <f ca="1">IFERROR(E87/E80,"")</f>
        <v/>
      </c>
      <c r="F74" s="980" t="str">
        <f ca="1">IFERROR(F87/F80,"")</f>
        <v/>
      </c>
      <c r="G74" s="1015" t="str">
        <f ca="1">IFERROR(G87/G80,"")</f>
        <v/>
      </c>
      <c r="H74" s="980" t="e">
        <f>DATA_FORMATTING!BV145/DATA_FORMATTING!BV123</f>
        <v>#NAME?</v>
      </c>
      <c r="I74" s="980" t="e">
        <f>DATA_FORMATTING!BW145/DATA_FORMATTING!BW123</f>
        <v>#NAME?</v>
      </c>
      <c r="J74" s="980" t="e">
        <f>DATA_FORMATTING!BX145/DATA_FORMATTING!BX123</f>
        <v>#NAME?</v>
      </c>
      <c r="K74" s="980" t="e">
        <f>DATA_FORMATTING!BY145/DATA_FORMATTING!BY123</f>
        <v>#NAME?</v>
      </c>
      <c r="L74" s="980" t="e">
        <f>DATA_FORMATTING!BZ145/DATA_FORMATTING!BZ123</f>
        <v>#NAME?</v>
      </c>
      <c r="M74" s="980" t="e">
        <f>DATA_FORMATTING!CA145/DATA_FORMATTING!CA123</f>
        <v>#NAME?</v>
      </c>
      <c r="N74" s="980" t="e">
        <f>DATA_FORMATTING!CB145/DATA_FORMATTING!CB123</f>
        <v>#NAME?</v>
      </c>
      <c r="O74" s="980" t="e">
        <f>DATA_FORMATTING!CC145/DATA_FORMATTING!CC123</f>
        <v>#NAME?</v>
      </c>
      <c r="P74" s="980" t="e">
        <f>DATA_FORMATTING!CD145/DATA_FORMATTING!CD123</f>
        <v>#NAME?</v>
      </c>
      <c r="Q74" s="980" t="e">
        <f>DATA_FORMATTING!CE145/DATA_FORMATTING!CE123</f>
        <v>#NAME?</v>
      </c>
      <c r="R74" s="980" t="e">
        <f>DATA_FORMATTING!CF145/DATA_FORMATTING!CF123</f>
        <v>#NAME?</v>
      </c>
      <c r="S74" s="980" t="e">
        <f>DATA_FORMATTING!CG145/DATA_FORMATTING!CG123</f>
        <v>#NAME?</v>
      </c>
      <c r="T74" s="980" t="e">
        <f>DATA_FORMATTING!CH145/DATA_FORMATTING!CH123</f>
        <v>#NAME?</v>
      </c>
      <c r="U74" s="1055" t="e">
        <f ca="1">HLOOKUP(1,$I$12:$T$114,ROW(A74)-ROW($A$12)+1,FALSE)</f>
        <v>#N/A</v>
      </c>
      <c r="V74" s="919"/>
      <c r="W74" s="968">
        <f t="shared" si="39"/>
        <v>0</v>
      </c>
      <c r="X74" s="968">
        <f t="shared" ca="1" si="40"/>
        <v>0</v>
      </c>
      <c r="Y74" s="968">
        <f t="shared" si="41"/>
        <v>0</v>
      </c>
    </row>
    <row r="75" spans="3:25" s="2" customFormat="1" ht="15">
      <c r="C75" s="1052" t="s">
        <v>615</v>
      </c>
      <c r="D75" s="920" t="str">
        <f ca="1">IFERROR('Refi-Annual Review'!AK136/'Refi-Annual Review'!AK181,"")</f>
        <v/>
      </c>
      <c r="E75" s="1005" t="str">
        <f ca="1">IFERROR('Refi-Annual Review'!AL142/'Refi-Annual Review'!AL181,"")</f>
        <v/>
      </c>
      <c r="F75" s="1005" t="str">
        <f ca="1">IFERROR('Refi-Annual Review'!AM142/'Refi-Annual Review'!AM181,"")</f>
        <v/>
      </c>
      <c r="G75" s="1051" t="str">
        <f ca="1">IFERROR('Refi-Annual Review'!AN142/'Refi-Annual Review'!AN181,"")</f>
        <v/>
      </c>
      <c r="H75" s="1005" t="e">
        <f ca="1">AGGREGATED_DATA!Z50*(12/H$11)/AGGREGATED_DATA!Z36</f>
        <v>#VALUE!</v>
      </c>
      <c r="I75" s="1005" t="e">
        <f ca="1">AGGREGATED_DATA!AA50*(12/I$11)/AGGREGATED_DATA!AA36</f>
        <v>#VALUE!</v>
      </c>
      <c r="J75" s="1005" t="e">
        <f ca="1">AGGREGATED_DATA!AB50*(12/J$11)/AGGREGATED_DATA!AB36</f>
        <v>#VALUE!</v>
      </c>
      <c r="K75" s="1005" t="e">
        <f ca="1">AGGREGATED_DATA!AC50*(12/K$11)/AGGREGATED_DATA!AC36</f>
        <v>#VALUE!</v>
      </c>
      <c r="L75" s="1005" t="e">
        <f ca="1">AGGREGATED_DATA!AD50*(12/L$11)/AGGREGATED_DATA!AD36</f>
        <v>#VALUE!</v>
      </c>
      <c r="M75" s="1005" t="e">
        <f ca="1">AGGREGATED_DATA!AE50*(12/M$11)/AGGREGATED_DATA!AE36</f>
        <v>#VALUE!</v>
      </c>
      <c r="N75" s="1005" t="e">
        <f ca="1">AGGREGATED_DATA!AF50*(12/N$11)/AGGREGATED_DATA!AF36</f>
        <v>#VALUE!</v>
      </c>
      <c r="O75" s="1005" t="e">
        <f ca="1">AGGREGATED_DATA!AG50*(12/O$11)/AGGREGATED_DATA!AG36</f>
        <v>#VALUE!</v>
      </c>
      <c r="P75" s="1005" t="e">
        <f ca="1">AGGREGATED_DATA!AH50*(12/P$11)/AGGREGATED_DATA!AH36</f>
        <v>#VALUE!</v>
      </c>
      <c r="Q75" s="1005" t="e">
        <f ca="1">AGGREGATED_DATA!AI50*(12/Q$11)/AGGREGATED_DATA!AI36</f>
        <v>#VALUE!</v>
      </c>
      <c r="R75" s="1005" t="e">
        <f ca="1">AGGREGATED_DATA!AJ50*(12/R$11)/AGGREGATED_DATA!AJ36</f>
        <v>#VALUE!</v>
      </c>
      <c r="S75" s="1005" t="e">
        <f ca="1">AGGREGATED_DATA!AK50*(12/S$11)/AGGREGATED_DATA!AK36</f>
        <v>#VALUE!</v>
      </c>
      <c r="T75" s="1005" t="e">
        <f ca="1">AGGREGATED_DATA!AL50*(12/T$11)/AGGREGATED_DATA!AL36</f>
        <v>#VALUE!</v>
      </c>
      <c r="U75" s="1055" t="e">
        <f>AGGREGATED_DATA!AM16/AGGREGATED_DATA!AM36</f>
        <v>#DIV/0!</v>
      </c>
      <c r="V75" s="919"/>
      <c r="W75" s="968">
        <f t="shared" ca="1" si="39"/>
        <v>0</v>
      </c>
      <c r="X75" s="968">
        <f t="shared" ca="1" si="40"/>
        <v>0</v>
      </c>
      <c r="Y75" s="968">
        <f t="shared" ca="1" si="41"/>
        <v>0</v>
      </c>
    </row>
    <row r="76" spans="3:25" s="2" customFormat="1" ht="15">
      <c r="C76" s="1052" t="s">
        <v>616</v>
      </c>
      <c r="D76" s="920" t="str">
        <f ca="1">IFERROR('Refi-Annual Review'!AK145/'Refi-Annual Review'!AK182,"")</f>
        <v/>
      </c>
      <c r="E76" s="1005" t="str">
        <f ca="1">IFERROR('Refi-Annual Review'!AL142/'Refi-Annual Review'!AL182,"")</f>
        <v/>
      </c>
      <c r="F76" s="1005" t="str">
        <f ca="1">IFERROR('Refi-Annual Review'!AM142/'Refi-Annual Review'!AM182,"")</f>
        <v/>
      </c>
      <c r="G76" s="1051" t="str">
        <f ca="1">IFERROR('Refi-Annual Review'!AN142/'Refi-Annual Review'!AN182,"")</f>
        <v/>
      </c>
      <c r="H76" s="1005" t="e">
        <f ca="1">AGGREGATED_DATA!Z50*(12/H$11)/AGGREGATED_DATA!Z38</f>
        <v>#VALUE!</v>
      </c>
      <c r="I76" s="1005" t="e">
        <f ca="1">AGGREGATED_DATA!AA50*(12/I$11)/AGGREGATED_DATA!AA38</f>
        <v>#VALUE!</v>
      </c>
      <c r="J76" s="1005" t="e">
        <f ca="1">AGGREGATED_DATA!AB50*(12/J$11)/AGGREGATED_DATA!AB38</f>
        <v>#VALUE!</v>
      </c>
      <c r="K76" s="1005" t="e">
        <f ca="1">AGGREGATED_DATA!AC50*(12/K$11)/AGGREGATED_DATA!AC38</f>
        <v>#VALUE!</v>
      </c>
      <c r="L76" s="1005" t="e">
        <f ca="1">AGGREGATED_DATA!AD50*(12/L$11)/AGGREGATED_DATA!AD38</f>
        <v>#VALUE!</v>
      </c>
      <c r="M76" s="1005" t="e">
        <f ca="1">AGGREGATED_DATA!AE50*(12/M$11)/AGGREGATED_DATA!AE38</f>
        <v>#VALUE!</v>
      </c>
      <c r="N76" s="1005" t="e">
        <f ca="1">AGGREGATED_DATA!AF50*(12/N$11)/AGGREGATED_DATA!AF38</f>
        <v>#VALUE!</v>
      </c>
      <c r="O76" s="1005" t="e">
        <f ca="1">AGGREGATED_DATA!AG50*(12/O$11)/AGGREGATED_DATA!AG38</f>
        <v>#VALUE!</v>
      </c>
      <c r="P76" s="1005" t="e">
        <f ca="1">AGGREGATED_DATA!AH50*(12/P$11)/AGGREGATED_DATA!AH38</f>
        <v>#VALUE!</v>
      </c>
      <c r="Q76" s="1005" t="e">
        <f ca="1">AGGREGATED_DATA!AI50*(12/Q$11)/AGGREGATED_DATA!AI38</f>
        <v>#VALUE!</v>
      </c>
      <c r="R76" s="1005" t="e">
        <f ca="1">AGGREGATED_DATA!AJ50*(12/R$11)/AGGREGATED_DATA!AJ38</f>
        <v>#VALUE!</v>
      </c>
      <c r="S76" s="1005" t="e">
        <f ca="1">AGGREGATED_DATA!AK50*(12/S$11)/AGGREGATED_DATA!AK38</f>
        <v>#VALUE!</v>
      </c>
      <c r="T76" s="1005" t="e">
        <f ca="1">AGGREGATED_DATA!AL50*(12/T$11)/AGGREGATED_DATA!AL38</f>
        <v>#VALUE!</v>
      </c>
      <c r="U76" s="1055" t="e">
        <f>AGGREGATED_DATA!AM16/AGGREGATED_DATA!AM33</f>
        <v>#DIV/0!</v>
      </c>
      <c r="V76" s="919"/>
      <c r="W76" s="968">
        <f t="shared" ca="1" si="39"/>
        <v>0</v>
      </c>
      <c r="X76" s="968">
        <f t="shared" ca="1" si="40"/>
        <v>0</v>
      </c>
      <c r="Y76" s="968">
        <f t="shared" ca="1" si="41"/>
        <v>0</v>
      </c>
    </row>
    <row r="77" spans="3:25" s="2" customFormat="1" ht="3" customHeight="1">
      <c r="C77" s="1052"/>
      <c r="D77" s="920"/>
      <c r="E77" s="1005"/>
      <c r="F77" s="1005"/>
      <c r="G77" s="1051"/>
      <c r="H77" s="1005"/>
      <c r="I77" s="1005"/>
      <c r="J77" s="1005"/>
      <c r="K77" s="1005"/>
      <c r="L77" s="1005"/>
      <c r="M77" s="1005"/>
      <c r="N77" s="1005"/>
      <c r="O77" s="1005"/>
      <c r="P77" s="1005"/>
      <c r="Q77" s="1005"/>
      <c r="R77" s="1005"/>
      <c r="S77" s="1005"/>
      <c r="T77" s="1005"/>
      <c r="U77" s="1055"/>
      <c r="V77" s="919"/>
      <c r="W77" s="968"/>
      <c r="X77" s="968"/>
      <c r="Y77" s="968"/>
    </row>
    <row r="78" spans="3:25" s="2" customFormat="1" ht="15">
      <c r="C78" s="1021" t="s">
        <v>586</v>
      </c>
      <c r="D78" s="905"/>
      <c r="E78" s="985"/>
      <c r="F78" s="985"/>
      <c r="G78" s="1022"/>
      <c r="H78" s="985"/>
      <c r="I78" s="985"/>
      <c r="J78" s="985"/>
      <c r="K78" s="985"/>
      <c r="L78" s="985"/>
      <c r="M78" s="985"/>
      <c r="N78" s="985"/>
      <c r="O78" s="985"/>
      <c r="P78" s="985"/>
      <c r="Q78" s="985"/>
      <c r="R78" s="985"/>
      <c r="S78" s="985"/>
      <c r="T78" s="985"/>
      <c r="U78" s="905"/>
      <c r="W78" s="968"/>
      <c r="X78" s="968"/>
      <c r="Y78" s="968"/>
    </row>
    <row r="79" spans="3:25" s="2" customFormat="1" ht="15" hidden="1">
      <c r="C79" s="1056" t="s">
        <v>441</v>
      </c>
      <c r="D79" s="195"/>
      <c r="E79" s="1057"/>
      <c r="F79" s="1057"/>
      <c r="G79" s="1029"/>
      <c r="H79" s="1057"/>
      <c r="I79" s="1057"/>
      <c r="J79" s="1057"/>
      <c r="K79" s="1057"/>
      <c r="L79" s="1057"/>
      <c r="M79" s="1057"/>
      <c r="N79" s="1057"/>
      <c r="O79" s="1057"/>
      <c r="P79" s="1057"/>
      <c r="Q79" s="1057"/>
      <c r="R79" s="1057"/>
      <c r="S79" s="1057"/>
      <c r="T79" s="1057"/>
      <c r="U79" s="195"/>
      <c r="W79" s="968"/>
      <c r="X79" s="968"/>
      <c r="Y79" s="968"/>
    </row>
    <row r="80" spans="3:25" s="2" customFormat="1" ht="15" hidden="1">
      <c r="C80" s="1018" t="s">
        <v>376</v>
      </c>
      <c r="D80" s="161" t="str">
        <f ca="1">IFERROR('Refi-Annual Review'!AK120/$U$9,"")</f>
        <v/>
      </c>
      <c r="E80" s="986" t="str">
        <f ca="1">IFERROR('Refi-Annual Review'!AL120/$U$9,"")</f>
        <v/>
      </c>
      <c r="F80" s="986" t="str">
        <f ca="1">IFERROR('Refi-Annual Review'!AM120/$U$9,"")</f>
        <v/>
      </c>
      <c r="G80" s="1023" t="str">
        <f ca="1">IFERROR('Refi-Annual Review'!AN120/$U$9,"")</f>
        <v/>
      </c>
      <c r="H80" s="986" t="e">
        <f ca="1">AGGREGATED_DATA!Z40/AGGREGATED_DATA!Z9/$U$9</f>
        <v>#NAME?</v>
      </c>
      <c r="I80" s="986" t="e">
        <f ca="1">AGGREGATED_DATA!AA40/AGGREGATED_DATA!AA9/$U$9</f>
        <v>#NAME?</v>
      </c>
      <c r="J80" s="986" t="e">
        <f ca="1">AGGREGATED_DATA!AB40/AGGREGATED_DATA!AB9/$U$9</f>
        <v>#NAME?</v>
      </c>
      <c r="K80" s="986" t="e">
        <f ca="1">AGGREGATED_DATA!AC40/AGGREGATED_DATA!AC9/$U$9</f>
        <v>#NAME?</v>
      </c>
      <c r="L80" s="986" t="e">
        <f ca="1">AGGREGATED_DATA!AD40/AGGREGATED_DATA!AD9/$U$9</f>
        <v>#NAME?</v>
      </c>
      <c r="M80" s="986" t="e">
        <f ca="1">AGGREGATED_DATA!AE40/AGGREGATED_DATA!AE9/$U$9</f>
        <v>#NAME?</v>
      </c>
      <c r="N80" s="986" t="e">
        <f ca="1">AGGREGATED_DATA!AF40/AGGREGATED_DATA!AF9/$U$9</f>
        <v>#NAME?</v>
      </c>
      <c r="O80" s="986" t="e">
        <f ca="1">AGGREGATED_DATA!AG40/AGGREGATED_DATA!AG9/$U$9</f>
        <v>#NAME?</v>
      </c>
      <c r="P80" s="986" t="e">
        <f ca="1">AGGREGATED_DATA!AH40/AGGREGATED_DATA!AH9/$U$9</f>
        <v>#NAME?</v>
      </c>
      <c r="Q80" s="986" t="e">
        <f ca="1">AGGREGATED_DATA!AI40/AGGREGATED_DATA!AI9/$U$9</f>
        <v>#NAME?</v>
      </c>
      <c r="R80" s="986" t="e">
        <f ca="1">AGGREGATED_DATA!AJ40/AGGREGATED_DATA!AJ9/$U$9</f>
        <v>#NAME?</v>
      </c>
      <c r="S80" s="986" t="e">
        <f ca="1">AGGREGATED_DATA!AK40/AGGREGATED_DATA!AK9/$U$9</f>
        <v>#NAME?</v>
      </c>
      <c r="T80" s="986" t="e">
        <f ca="1">AGGREGATED_DATA!AL40/AGGREGATED_DATA!AL9/$U$9</f>
        <v>#NAME?</v>
      </c>
      <c r="U80" s="161" t="e">
        <f ca="1">HLOOKUP(1,$I$12:$T$114,ROW(A80)-ROW($A$12)+1,FALSE)</f>
        <v>#N/A</v>
      </c>
      <c r="W80" s="968">
        <f t="shared" ref="W80:W88" ca="1" si="42">IFERROR(+T80/S80-1,0)</f>
        <v>0</v>
      </c>
      <c r="X80" s="968">
        <f t="shared" ref="X80:X88" ca="1" si="43">IFERROR(+T80/U80-1,0)</f>
        <v>0</v>
      </c>
      <c r="Y80" s="968">
        <f t="shared" ref="Y80:Y88" ca="1" si="44">IFERROR(+T80/H80-1,0)</f>
        <v>0</v>
      </c>
    </row>
    <row r="81" spans="1:25" s="2" customFormat="1" ht="15" hidden="1">
      <c r="C81" s="1018" t="s">
        <v>67</v>
      </c>
      <c r="D81" s="161" t="str">
        <f ca="1">IFERROR('Refi-Annual Review'!AK121/$U$9,"")</f>
        <v/>
      </c>
      <c r="E81" s="986" t="str">
        <f ca="1">IFERROR('Refi-Annual Review'!AL121/$U$9,"")</f>
        <v/>
      </c>
      <c r="F81" s="986" t="str">
        <f ca="1">IFERROR('Refi-Annual Review'!AM121/$U$9,"")</f>
        <v/>
      </c>
      <c r="G81" s="1023" t="str">
        <f ca="1">IFERROR('Refi-Annual Review'!AN121/$U$9,"")</f>
        <v/>
      </c>
      <c r="H81" s="986" t="e">
        <f ca="1">AGGREGATED_DATA!Z41/AGGREGATED_DATA!Z9/$U$9</f>
        <v>#NAME?</v>
      </c>
      <c r="I81" s="986" t="e">
        <f ca="1">AGGREGATED_DATA!AA41/AGGREGATED_DATA!AA9/$U$9</f>
        <v>#NAME?</v>
      </c>
      <c r="J81" s="986" t="e">
        <f ca="1">AGGREGATED_DATA!AB41/AGGREGATED_DATA!AB9/$U$9</f>
        <v>#NAME?</v>
      </c>
      <c r="K81" s="986" t="e">
        <f ca="1">AGGREGATED_DATA!AC41/AGGREGATED_DATA!AC9/$U$9</f>
        <v>#NAME?</v>
      </c>
      <c r="L81" s="986" t="e">
        <f ca="1">AGGREGATED_DATA!AD41/AGGREGATED_DATA!AD9/$U$9</f>
        <v>#NAME?</v>
      </c>
      <c r="M81" s="986" t="e">
        <f ca="1">AGGREGATED_DATA!AE41/AGGREGATED_DATA!AE9/$U$9</f>
        <v>#NAME?</v>
      </c>
      <c r="N81" s="986" t="e">
        <f ca="1">AGGREGATED_DATA!AF41/AGGREGATED_DATA!AF9/$U$9</f>
        <v>#NAME?</v>
      </c>
      <c r="O81" s="986" t="e">
        <f ca="1">AGGREGATED_DATA!AG41/AGGREGATED_DATA!AG9/$U$9</f>
        <v>#NAME?</v>
      </c>
      <c r="P81" s="986" t="e">
        <f ca="1">AGGREGATED_DATA!AH41/AGGREGATED_DATA!AH9/$U$9</f>
        <v>#NAME?</v>
      </c>
      <c r="Q81" s="986" t="e">
        <f ca="1">AGGREGATED_DATA!AI41/AGGREGATED_DATA!AI9/$U$9</f>
        <v>#NAME?</v>
      </c>
      <c r="R81" s="986" t="e">
        <f ca="1">AGGREGATED_DATA!AJ41/AGGREGATED_DATA!AJ9/$U$9</f>
        <v>#NAME?</v>
      </c>
      <c r="S81" s="986" t="e">
        <f ca="1">AGGREGATED_DATA!AK41/AGGREGATED_DATA!AK9/$U$9</f>
        <v>#NAME?</v>
      </c>
      <c r="T81" s="986" t="e">
        <f ca="1">AGGREGATED_DATA!AL41/AGGREGATED_DATA!AL9/$U$9</f>
        <v>#NAME?</v>
      </c>
      <c r="U81" s="161" t="e">
        <f ca="1">HLOOKUP(1,$I$12:$T$114,ROW(A81)-ROW($A$12)+1,FALSE)</f>
        <v>#N/A</v>
      </c>
      <c r="W81" s="968">
        <f t="shared" ca="1" si="42"/>
        <v>0</v>
      </c>
      <c r="X81" s="968">
        <f t="shared" ca="1" si="43"/>
        <v>0</v>
      </c>
      <c r="Y81" s="968">
        <f t="shared" ca="1" si="44"/>
        <v>0</v>
      </c>
    </row>
    <row r="82" spans="1:25" s="2" customFormat="1" ht="15" hidden="1">
      <c r="C82" s="1018" t="s">
        <v>72</v>
      </c>
      <c r="D82" s="161"/>
      <c r="E82" s="986" t="str">
        <f ca="1">IFERROR('Refi-Annual Review'!AL122/$U$9,"")</f>
        <v/>
      </c>
      <c r="F82" s="986" t="str">
        <f ca="1">IFERROR('Refi-Annual Review'!AM122/$U$9,"")</f>
        <v/>
      </c>
      <c r="G82" s="1023" t="str">
        <f ca="1">IFERROR('Refi-Annual Review'!AN122/$U$9,"")</f>
        <v/>
      </c>
      <c r="H82" s="986" t="e">
        <f ca="1">AGGREGATED_DATA!Z42/AGGREGATED_DATA!Z9/$U$9</f>
        <v>#NAME?</v>
      </c>
      <c r="I82" s="986" t="e">
        <f ca="1">AGGREGATED_DATA!AA42/AGGREGATED_DATA!AA9/$U$9</f>
        <v>#NAME?</v>
      </c>
      <c r="J82" s="986" t="e">
        <f ca="1">AGGREGATED_DATA!AB42/AGGREGATED_DATA!AB9/$U$9</f>
        <v>#NAME?</v>
      </c>
      <c r="K82" s="986" t="e">
        <f ca="1">AGGREGATED_DATA!AC42/AGGREGATED_DATA!AC9/$U$9</f>
        <v>#NAME?</v>
      </c>
      <c r="L82" s="986" t="e">
        <f ca="1">AGGREGATED_DATA!AD42/AGGREGATED_DATA!AD9/$U$9</f>
        <v>#NAME?</v>
      </c>
      <c r="M82" s="986" t="e">
        <f ca="1">AGGREGATED_DATA!AE42/AGGREGATED_DATA!AE9/$U$9</f>
        <v>#NAME?</v>
      </c>
      <c r="N82" s="986" t="e">
        <f ca="1">AGGREGATED_DATA!AF42/AGGREGATED_DATA!AF9/$U$9</f>
        <v>#NAME?</v>
      </c>
      <c r="O82" s="986" t="e">
        <f ca="1">AGGREGATED_DATA!AG42/AGGREGATED_DATA!AG9/$U$9</f>
        <v>#NAME?</v>
      </c>
      <c r="P82" s="986" t="e">
        <f ca="1">AGGREGATED_DATA!AH42/AGGREGATED_DATA!AH9/$U$9</f>
        <v>#NAME?</v>
      </c>
      <c r="Q82" s="986" t="e">
        <f ca="1">AGGREGATED_DATA!AI42/AGGREGATED_DATA!AI9/$U$9</f>
        <v>#NAME?</v>
      </c>
      <c r="R82" s="986" t="e">
        <f ca="1">AGGREGATED_DATA!AJ42/AGGREGATED_DATA!AJ9/$U$9</f>
        <v>#NAME?</v>
      </c>
      <c r="S82" s="986" t="e">
        <f ca="1">AGGREGATED_DATA!AK42/AGGREGATED_DATA!AK9/$U$9</f>
        <v>#NAME?</v>
      </c>
      <c r="T82" s="986" t="e">
        <f ca="1">AGGREGATED_DATA!AL42/AGGREGATED_DATA!AL9/$U$9</f>
        <v>#NAME?</v>
      </c>
      <c r="U82" s="161"/>
      <c r="W82" s="968">
        <f t="shared" ref="W82" ca="1" si="45">IFERROR(+T82/S82-1,0)</f>
        <v>0</v>
      </c>
      <c r="X82" s="968">
        <f t="shared" ref="X82" ca="1" si="46">IFERROR(+T82/U82-1,0)</f>
        <v>0</v>
      </c>
      <c r="Y82" s="968">
        <f t="shared" ref="Y82" ca="1" si="47">IFERROR(+T82/H82-1,0)</f>
        <v>0</v>
      </c>
    </row>
    <row r="83" spans="1:25" s="2" customFormat="1" ht="15" hidden="1">
      <c r="C83" s="1018" t="s">
        <v>617</v>
      </c>
      <c r="D83" s="161" t="str">
        <f ca="1">IFERROR('Refi-Annual Review'!AK123/$U$9,"")</f>
        <v/>
      </c>
      <c r="E83" s="986" t="str">
        <f ca="1">IFERROR('Refi-Annual Review'!AL123/$U$9,"")</f>
        <v/>
      </c>
      <c r="F83" s="986" t="str">
        <f ca="1">IFERROR('Refi-Annual Review'!AM123/$U$9,"")</f>
        <v/>
      </c>
      <c r="G83" s="1023" t="str">
        <f ca="1">IFERROR('Refi-Annual Review'!AN123/$U$9,"")</f>
        <v/>
      </c>
      <c r="H83" s="986" t="e">
        <f ca="1">AGGREGATED_DATA!Z42/AGGREGATED_DATA!Z9/$U$9</f>
        <v>#NAME?</v>
      </c>
      <c r="I83" s="986" t="e">
        <f ca="1">AGGREGATED_DATA!AA42/AGGREGATED_DATA!AA9/$U$9</f>
        <v>#NAME?</v>
      </c>
      <c r="J83" s="986" t="e">
        <f ca="1">AGGREGATED_DATA!AB42/AGGREGATED_DATA!AB9/$U$9</f>
        <v>#NAME?</v>
      </c>
      <c r="K83" s="986" t="e">
        <f ca="1">AGGREGATED_DATA!AC42/AGGREGATED_DATA!AC9/$U$9</f>
        <v>#NAME?</v>
      </c>
      <c r="L83" s="986" t="e">
        <f ca="1">AGGREGATED_DATA!AD42/AGGREGATED_DATA!AD9/$U$9</f>
        <v>#NAME?</v>
      </c>
      <c r="M83" s="986" t="e">
        <f ca="1">AGGREGATED_DATA!AE42/AGGREGATED_DATA!AE9/$U$9</f>
        <v>#NAME?</v>
      </c>
      <c r="N83" s="986" t="e">
        <f ca="1">AGGREGATED_DATA!AF42/AGGREGATED_DATA!AF9/$U$9</f>
        <v>#NAME?</v>
      </c>
      <c r="O83" s="986" t="e">
        <f ca="1">AGGREGATED_DATA!AG42/AGGREGATED_DATA!AG9/$U$9</f>
        <v>#NAME?</v>
      </c>
      <c r="P83" s="986" t="e">
        <f ca="1">AGGREGATED_DATA!AH42/AGGREGATED_DATA!AH9/$U$9</f>
        <v>#NAME?</v>
      </c>
      <c r="Q83" s="986" t="e">
        <f ca="1">AGGREGATED_DATA!AI42/AGGREGATED_DATA!AI9/$U$9</f>
        <v>#NAME?</v>
      </c>
      <c r="R83" s="986" t="e">
        <f ca="1">AGGREGATED_DATA!AJ42/AGGREGATED_DATA!AJ9/$U$9</f>
        <v>#NAME?</v>
      </c>
      <c r="S83" s="986" t="e">
        <f ca="1">AGGREGATED_DATA!AK42/AGGREGATED_DATA!AK9/$U$9</f>
        <v>#NAME?</v>
      </c>
      <c r="T83" s="986" t="e">
        <f ca="1">AGGREGATED_DATA!AL42/AGGREGATED_DATA!AL9/$U$9</f>
        <v>#NAME?</v>
      </c>
      <c r="U83" s="161" t="e">
        <f t="shared" ref="U83:U88" ca="1" si="48">HLOOKUP(1,$I$12:$T$114,ROW(A83)-ROW($A$12)+1,FALSE)</f>
        <v>#N/A</v>
      </c>
      <c r="W83" s="968">
        <f t="shared" ca="1" si="42"/>
        <v>0</v>
      </c>
      <c r="X83" s="968">
        <f t="shared" ca="1" si="43"/>
        <v>0</v>
      </c>
      <c r="Y83" s="968">
        <f t="shared" ca="1" si="44"/>
        <v>0</v>
      </c>
    </row>
    <row r="84" spans="1:25" s="2" customFormat="1" ht="15" hidden="1">
      <c r="C84" s="1018" t="s">
        <v>618</v>
      </c>
      <c r="D84" s="161" t="str">
        <f ca="1">IFERROR('Refi-Annual Review'!AK127/$U$9,"")</f>
        <v/>
      </c>
      <c r="E84" s="986" t="str">
        <f ca="1">IFERROR('Refi-Annual Review'!AL127/$U$9,"")</f>
        <v/>
      </c>
      <c r="F84" s="986" t="str">
        <f ca="1">IFERROR('Refi-Annual Review'!AM127/$U$9,"")</f>
        <v/>
      </c>
      <c r="G84" s="1023" t="str">
        <f ca="1">IFERROR('Refi-Annual Review'!AN127/$U$9,"")</f>
        <v/>
      </c>
      <c r="H84" s="986" t="e">
        <f ca="1">AGGREGATED_DATA!Z44/AGGREGATED_DATA!Z9/$U$9</f>
        <v>#NAME?</v>
      </c>
      <c r="I84" s="986" t="e">
        <f ca="1">AGGREGATED_DATA!AA44/AGGREGATED_DATA!AA9/$U$9</f>
        <v>#NAME?</v>
      </c>
      <c r="J84" s="986" t="e">
        <f ca="1">AGGREGATED_DATA!AB44/AGGREGATED_DATA!AB9/$U$9</f>
        <v>#NAME?</v>
      </c>
      <c r="K84" s="986" t="e">
        <f ca="1">AGGREGATED_DATA!AC44/AGGREGATED_DATA!AC9/$U$9</f>
        <v>#NAME?</v>
      </c>
      <c r="L84" s="986" t="e">
        <f ca="1">AGGREGATED_DATA!AD44/AGGREGATED_DATA!AD9/$U$9</f>
        <v>#NAME?</v>
      </c>
      <c r="M84" s="986" t="e">
        <f ca="1">AGGREGATED_DATA!AE44/AGGREGATED_DATA!AE9/$U$9</f>
        <v>#NAME?</v>
      </c>
      <c r="N84" s="986" t="e">
        <f ca="1">AGGREGATED_DATA!AF44/AGGREGATED_DATA!AF9/$U$9</f>
        <v>#NAME?</v>
      </c>
      <c r="O84" s="986" t="e">
        <f ca="1">AGGREGATED_DATA!AG44/AGGREGATED_DATA!AG9/$U$9</f>
        <v>#NAME?</v>
      </c>
      <c r="P84" s="986" t="e">
        <f ca="1">AGGREGATED_DATA!AH44/AGGREGATED_DATA!AH9/$U$9</f>
        <v>#NAME?</v>
      </c>
      <c r="Q84" s="986" t="e">
        <f ca="1">AGGREGATED_DATA!AI44/AGGREGATED_DATA!AI9/$U$9</f>
        <v>#NAME?</v>
      </c>
      <c r="R84" s="986" t="e">
        <f ca="1">AGGREGATED_DATA!AJ44/AGGREGATED_DATA!AJ9/$U$9</f>
        <v>#NAME?</v>
      </c>
      <c r="S84" s="986" t="e">
        <f ca="1">AGGREGATED_DATA!AK44/AGGREGATED_DATA!AK9/$U$9</f>
        <v>#NAME?</v>
      </c>
      <c r="T84" s="986" t="e">
        <f ca="1">AGGREGATED_DATA!AL44/AGGREGATED_DATA!AL9/$U$9</f>
        <v>#NAME?</v>
      </c>
      <c r="U84" s="161" t="e">
        <f t="shared" ca="1" si="48"/>
        <v>#N/A</v>
      </c>
      <c r="W84" s="968">
        <f t="shared" ca="1" si="42"/>
        <v>0</v>
      </c>
      <c r="X84" s="968">
        <f t="shared" ca="1" si="43"/>
        <v>0</v>
      </c>
      <c r="Y84" s="968">
        <f t="shared" ca="1" si="44"/>
        <v>0</v>
      </c>
    </row>
    <row r="85" spans="1:25" s="2" customFormat="1" ht="15" hidden="1">
      <c r="C85" s="1018" t="s">
        <v>379</v>
      </c>
      <c r="D85" s="161" t="str">
        <f ca="1">IFERROR('Refi-Annual Review'!AK128/$U$9,"")</f>
        <v/>
      </c>
      <c r="E85" s="986" t="str">
        <f ca="1">IFERROR('Refi-Annual Review'!AL128/$U$9,"")</f>
        <v/>
      </c>
      <c r="F85" s="986" t="str">
        <f ca="1">IFERROR('Refi-Annual Review'!AM128/$U$9,"")</f>
        <v/>
      </c>
      <c r="G85" s="1023" t="str">
        <f ca="1">IFERROR('Refi-Annual Review'!AN128/$U$9,"")</f>
        <v/>
      </c>
      <c r="H85" s="986" t="e">
        <f ca="1">AGGREGATED_DATA!Z43/AGGREGATED_DATA!Z9/$U$9</f>
        <v>#NAME?</v>
      </c>
      <c r="I85" s="986" t="e">
        <f ca="1">AGGREGATED_DATA!AA43/AGGREGATED_DATA!AA9/$U$9</f>
        <v>#NAME?</v>
      </c>
      <c r="J85" s="986" t="e">
        <f ca="1">AGGREGATED_DATA!AB43/AGGREGATED_DATA!AB9/$U$9</f>
        <v>#NAME?</v>
      </c>
      <c r="K85" s="986" t="e">
        <f ca="1">AGGREGATED_DATA!AC43/AGGREGATED_DATA!AC9/$U$9</f>
        <v>#NAME?</v>
      </c>
      <c r="L85" s="986" t="e">
        <f ca="1">AGGREGATED_DATA!AD43/AGGREGATED_DATA!AD9/$U$9</f>
        <v>#NAME?</v>
      </c>
      <c r="M85" s="986" t="e">
        <f ca="1">AGGREGATED_DATA!AE43/AGGREGATED_DATA!AE9/$U$9</f>
        <v>#NAME?</v>
      </c>
      <c r="N85" s="986" t="e">
        <f ca="1">AGGREGATED_DATA!AF43/AGGREGATED_DATA!AF9/$U$9</f>
        <v>#NAME?</v>
      </c>
      <c r="O85" s="986" t="e">
        <f ca="1">AGGREGATED_DATA!AG43/AGGREGATED_DATA!AG9/$U$9</f>
        <v>#NAME?</v>
      </c>
      <c r="P85" s="986" t="e">
        <f ca="1">AGGREGATED_DATA!AH43/AGGREGATED_DATA!AH9/$U$9</f>
        <v>#NAME?</v>
      </c>
      <c r="Q85" s="986" t="e">
        <f ca="1">AGGREGATED_DATA!AI43/AGGREGATED_DATA!AI9/$U$9</f>
        <v>#NAME?</v>
      </c>
      <c r="R85" s="986" t="e">
        <f ca="1">AGGREGATED_DATA!AJ43/AGGREGATED_DATA!AJ9/$U$9</f>
        <v>#NAME?</v>
      </c>
      <c r="S85" s="986" t="e">
        <f ca="1">AGGREGATED_DATA!AK43/AGGREGATED_DATA!AK9/$U$9</f>
        <v>#NAME?</v>
      </c>
      <c r="T85" s="986" t="e">
        <f ca="1">AGGREGATED_DATA!AL43/AGGREGATED_DATA!AL9/$U$9</f>
        <v>#NAME?</v>
      </c>
      <c r="U85" s="161" t="e">
        <f t="shared" ca="1" si="48"/>
        <v>#N/A</v>
      </c>
      <c r="W85" s="968">
        <f t="shared" ca="1" si="42"/>
        <v>0</v>
      </c>
      <c r="X85" s="968">
        <f t="shared" ca="1" si="43"/>
        <v>0</v>
      </c>
      <c r="Y85" s="968">
        <f t="shared" ca="1" si="44"/>
        <v>0</v>
      </c>
    </row>
    <row r="86" spans="1:25" s="2" customFormat="1" ht="15">
      <c r="C86" s="1018" t="s">
        <v>325</v>
      </c>
      <c r="D86" s="161" t="str">
        <f ca="1">IFERROR('Refi-Annual Review'!AK184/$U$9,"")</f>
        <v/>
      </c>
      <c r="E86" s="986" t="str">
        <f ca="1">IFERROR('Refi-Annual Review'!AL184/$U$9,"")</f>
        <v/>
      </c>
      <c r="F86" s="986" t="str">
        <f ca="1">IFERROR('Refi-Annual Review'!AM184/$U$9,"")</f>
        <v/>
      </c>
      <c r="G86" s="1023" t="str">
        <f ca="1">IFERROR('Refi-Annual Review'!AN184/$U$9,"")</f>
        <v/>
      </c>
      <c r="H86" s="986" t="e">
        <f ca="1">DATA_FORMATTING!BV176/'Balance Sheet'!AE8/$U$9</f>
        <v>#NAME?</v>
      </c>
      <c r="I86" s="986" t="e">
        <f ca="1">DATA_FORMATTING!BW176/'Balance Sheet'!AF8/$U$9</f>
        <v>#NAME?</v>
      </c>
      <c r="J86" s="986" t="e">
        <f ca="1">DATA_FORMATTING!BX176/'Balance Sheet'!AG8/$U$9</f>
        <v>#NAME?</v>
      </c>
      <c r="K86" s="986" t="e">
        <f ca="1">DATA_FORMATTING!BY176/'Balance Sheet'!AH8/$U$9</f>
        <v>#NAME?</v>
      </c>
      <c r="L86" s="986" t="e">
        <f ca="1">DATA_FORMATTING!BZ176/'Balance Sheet'!AI8/$U$9</f>
        <v>#NAME?</v>
      </c>
      <c r="M86" s="986" t="e">
        <f ca="1">DATA_FORMATTING!CA176/'Balance Sheet'!AJ8/$U$9</f>
        <v>#NAME?</v>
      </c>
      <c r="N86" s="986" t="e">
        <f ca="1">DATA_FORMATTING!CB176/'Balance Sheet'!AK8/$U$9</f>
        <v>#NAME?</v>
      </c>
      <c r="O86" s="986" t="e">
        <f ca="1">DATA_FORMATTING!CC176/'Balance Sheet'!AL8/$U$9</f>
        <v>#NAME?</v>
      </c>
      <c r="P86" s="986" t="e">
        <f ca="1">DATA_FORMATTING!CD176/'Balance Sheet'!AM8/$U$9</f>
        <v>#NAME?</v>
      </c>
      <c r="Q86" s="986" t="e">
        <f ca="1">DATA_FORMATTING!CE176/'Balance Sheet'!AN8/$U$9</f>
        <v>#NAME?</v>
      </c>
      <c r="R86" s="986" t="e">
        <f ca="1">DATA_FORMATTING!CF176/'Balance Sheet'!AO8/$U$9</f>
        <v>#NAME?</v>
      </c>
      <c r="S86" s="986" t="e">
        <f ca="1">DATA_FORMATTING!CG176/'Balance Sheet'!AP8/$U$9</f>
        <v>#NAME?</v>
      </c>
      <c r="T86" s="986" t="e">
        <f ca="1">DATA_FORMATTING!CH176/'Balance Sheet'!AQ8/$U$9</f>
        <v>#NAME?</v>
      </c>
      <c r="U86" s="161" t="e">
        <f t="shared" ca="1" si="48"/>
        <v>#N/A</v>
      </c>
      <c r="W86" s="968">
        <f t="shared" ca="1" si="42"/>
        <v>0</v>
      </c>
      <c r="X86" s="968">
        <f t="shared" ca="1" si="43"/>
        <v>0</v>
      </c>
      <c r="Y86" s="968">
        <f t="shared" ca="1" si="44"/>
        <v>0</v>
      </c>
    </row>
    <row r="87" spans="1:25" s="2" customFormat="1" ht="15">
      <c r="A87" s="159" t="s">
        <v>441</v>
      </c>
      <c r="C87" s="1018" t="s">
        <v>593</v>
      </c>
      <c r="D87" s="161" t="str">
        <f ca="1">IFERROR('Refi-Annual Review'!AK145/$U$9,"")</f>
        <v/>
      </c>
      <c r="E87" s="986" t="str">
        <f ca="1">IFERROR('Refi-Annual Review'!AL145/$U$9,"")</f>
        <v/>
      </c>
      <c r="F87" s="986" t="str">
        <f ca="1">IFERROR('Refi-Annual Review'!AM145/$U$9,"")</f>
        <v/>
      </c>
      <c r="G87" s="1023" t="str">
        <f ca="1">IFERROR('Refi-Annual Review'!AN145/$U$9,"")</f>
        <v/>
      </c>
      <c r="H87" s="986" t="e">
        <f ca="1">DATA_FORMATTING!BV145/'Balance Sheet'!AE8/$U$9</f>
        <v>#NAME?</v>
      </c>
      <c r="I87" s="986" t="e">
        <f ca="1">DATA_FORMATTING!BW145/'Balance Sheet'!AF8/$U$9</f>
        <v>#NAME?</v>
      </c>
      <c r="J87" s="986" t="e">
        <f ca="1">DATA_FORMATTING!BX145/'Balance Sheet'!AG8/$U$9</f>
        <v>#NAME?</v>
      </c>
      <c r="K87" s="986" t="e">
        <f ca="1">DATA_FORMATTING!BY145/'Balance Sheet'!AH8/$U$9</f>
        <v>#NAME?</v>
      </c>
      <c r="L87" s="986" t="e">
        <f ca="1">DATA_FORMATTING!BZ145/'Balance Sheet'!AI8/$U$9</f>
        <v>#NAME?</v>
      </c>
      <c r="M87" s="986" t="e">
        <f ca="1">DATA_FORMATTING!CA145/'Balance Sheet'!AJ8/$U$9</f>
        <v>#NAME?</v>
      </c>
      <c r="N87" s="986" t="e">
        <f ca="1">DATA_FORMATTING!CB145/'Balance Sheet'!AK8/$U$9</f>
        <v>#NAME?</v>
      </c>
      <c r="O87" s="986" t="e">
        <f ca="1">DATA_FORMATTING!CC145/'Balance Sheet'!AL8/$U$9</f>
        <v>#NAME?</v>
      </c>
      <c r="P87" s="986" t="e">
        <f ca="1">DATA_FORMATTING!CD145/'Balance Sheet'!AM8/$U$9</f>
        <v>#NAME?</v>
      </c>
      <c r="Q87" s="986" t="e">
        <f ca="1">DATA_FORMATTING!CE145/'Balance Sheet'!AN8/$U$9</f>
        <v>#NAME?</v>
      </c>
      <c r="R87" s="986" t="e">
        <f ca="1">DATA_FORMATTING!CF145/'Balance Sheet'!AO8/$U$9</f>
        <v>#NAME?</v>
      </c>
      <c r="S87" s="986" t="e">
        <f ca="1">DATA_FORMATTING!CG145/'Balance Sheet'!AP8/$U$9</f>
        <v>#NAME?</v>
      </c>
      <c r="T87" s="986" t="e">
        <f ca="1">DATA_FORMATTING!CH145/'Balance Sheet'!AQ8/$U$9</f>
        <v>#NAME?</v>
      </c>
      <c r="U87" s="161" t="e">
        <f t="shared" ca="1" si="48"/>
        <v>#N/A</v>
      </c>
      <c r="W87" s="968">
        <f t="shared" ca="1" si="42"/>
        <v>0</v>
      </c>
      <c r="X87" s="968">
        <f t="shared" ca="1" si="43"/>
        <v>0</v>
      </c>
      <c r="Y87" s="968">
        <f t="shared" ca="1" si="44"/>
        <v>0</v>
      </c>
    </row>
    <row r="88" spans="1:25" s="2" customFormat="1" ht="15">
      <c r="A88" s="159"/>
      <c r="C88" s="1058" t="s">
        <v>443</v>
      </c>
      <c r="D88" s="907" t="str">
        <f ca="1">IFERROR('Refi-Annual Review'!AK145/$U$9,"")</f>
        <v/>
      </c>
      <c r="E88" s="989" t="str">
        <f ca="1">IFERROR('Refi-Annual Review'!AL145/$U$9,"")</f>
        <v/>
      </c>
      <c r="F88" s="989" t="str">
        <f ca="1">IFERROR('Refi-Annual Review'!AM145/$U$9,"")</f>
        <v/>
      </c>
      <c r="G88" s="1028" t="str">
        <f ca="1">IFERROR('Refi-Annual Review'!AN145/$U$9,"")</f>
        <v/>
      </c>
      <c r="H88" s="989" t="e">
        <f ca="1">AGGREGATED_DATA!Z35/AGGREGATED_DATA!Z9/$U$9</f>
        <v>#NAME?</v>
      </c>
      <c r="I88" s="989" t="e">
        <f ca="1">AGGREGATED_DATA!AA35/AGGREGATED_DATA!AA9/$U$9</f>
        <v>#NAME?</v>
      </c>
      <c r="J88" s="989" t="e">
        <f ca="1">AGGREGATED_DATA!AB35/AGGREGATED_DATA!AB9/$U$9</f>
        <v>#NAME?</v>
      </c>
      <c r="K88" s="989" t="e">
        <f ca="1">AGGREGATED_DATA!AC35/AGGREGATED_DATA!AC9/$U$9</f>
        <v>#NAME?</v>
      </c>
      <c r="L88" s="989" t="e">
        <f ca="1">AGGREGATED_DATA!AD35/AGGREGATED_DATA!AD9/$U$9</f>
        <v>#NAME?</v>
      </c>
      <c r="M88" s="989" t="e">
        <f ca="1">AGGREGATED_DATA!AE35/AGGREGATED_DATA!AE9/$U$9</f>
        <v>#NAME?</v>
      </c>
      <c r="N88" s="989" t="e">
        <f ca="1">AGGREGATED_DATA!AF35/AGGREGATED_DATA!AF9/$U$9</f>
        <v>#NAME?</v>
      </c>
      <c r="O88" s="989" t="e">
        <f ca="1">AGGREGATED_DATA!AG35/AGGREGATED_DATA!AG9/$U$9</f>
        <v>#NAME?</v>
      </c>
      <c r="P88" s="989" t="e">
        <f ca="1">AGGREGATED_DATA!AH35/AGGREGATED_DATA!AH9/$U$9</f>
        <v>#NAME?</v>
      </c>
      <c r="Q88" s="989" t="e">
        <f ca="1">AGGREGATED_DATA!AI35/AGGREGATED_DATA!AI9/$U$9</f>
        <v>#NAME?</v>
      </c>
      <c r="R88" s="989" t="e">
        <f ca="1">AGGREGATED_DATA!AJ35/AGGREGATED_DATA!AJ9/$U$9</f>
        <v>#NAME?</v>
      </c>
      <c r="S88" s="989" t="e">
        <f ca="1">AGGREGATED_DATA!AK35/AGGREGATED_DATA!AK9/$U$9</f>
        <v>#NAME?</v>
      </c>
      <c r="T88" s="989" t="e">
        <f ca="1">AGGREGATED_DATA!AL35/AGGREGATED_DATA!AL9/$U$9</f>
        <v>#NAME?</v>
      </c>
      <c r="U88" s="907" t="e">
        <f t="shared" ca="1" si="48"/>
        <v>#N/A</v>
      </c>
      <c r="W88" s="968">
        <f t="shared" ca="1" si="42"/>
        <v>0</v>
      </c>
      <c r="X88" s="968">
        <f t="shared" ca="1" si="43"/>
        <v>0</v>
      </c>
      <c r="Y88" s="968">
        <f t="shared" ca="1" si="44"/>
        <v>0</v>
      </c>
    </row>
    <row r="89" spans="1:25" s="2" customFormat="1" ht="3.75" customHeight="1">
      <c r="A89" s="159"/>
      <c r="C89" s="1018"/>
      <c r="E89" s="964"/>
      <c r="F89" s="964"/>
      <c r="G89" s="1029"/>
      <c r="H89" s="964"/>
      <c r="I89" s="964"/>
      <c r="J89" s="964"/>
      <c r="K89" s="964"/>
      <c r="L89" s="964"/>
      <c r="M89" s="964"/>
      <c r="N89" s="964"/>
      <c r="O89" s="964"/>
      <c r="P89" s="964"/>
      <c r="Q89" s="964"/>
      <c r="R89" s="964"/>
      <c r="S89" s="964"/>
      <c r="T89" s="964"/>
      <c r="W89" s="968"/>
      <c r="X89" s="968"/>
      <c r="Y89" s="968"/>
    </row>
    <row r="90" spans="1:25" s="2" customFormat="1" ht="15">
      <c r="A90" s="159" t="s">
        <v>63</v>
      </c>
      <c r="B90" s="1" t="s">
        <v>594</v>
      </c>
      <c r="C90" s="1018"/>
      <c r="E90" s="964"/>
      <c r="F90" s="964"/>
      <c r="G90" s="1029"/>
      <c r="H90" s="964"/>
      <c r="I90" s="964"/>
      <c r="J90" s="964"/>
      <c r="K90" s="964"/>
      <c r="L90" s="964"/>
      <c r="M90" s="964"/>
      <c r="N90" s="964"/>
      <c r="O90" s="964"/>
      <c r="P90" s="964"/>
      <c r="Q90" s="964"/>
      <c r="R90" s="964"/>
      <c r="S90" s="964"/>
      <c r="T90" s="964"/>
      <c r="W90" s="1077"/>
      <c r="X90" s="1077"/>
      <c r="Y90" s="1077"/>
    </row>
    <row r="91" spans="1:25" s="2" customFormat="1" ht="3" customHeight="1">
      <c r="A91" s="159" t="s">
        <v>247</v>
      </c>
      <c r="B91" s="1"/>
      <c r="C91" s="1018"/>
      <c r="E91" s="964"/>
      <c r="F91" s="964"/>
      <c r="G91" s="1029"/>
      <c r="H91" s="964"/>
      <c r="I91" s="964"/>
      <c r="J91" s="964"/>
      <c r="K91" s="964"/>
      <c r="L91" s="964"/>
      <c r="M91" s="964"/>
      <c r="N91" s="964"/>
      <c r="O91" s="964"/>
      <c r="P91" s="964"/>
      <c r="Q91" s="964"/>
      <c r="R91" s="964"/>
      <c r="S91" s="964"/>
      <c r="T91" s="964"/>
      <c r="W91" s="968"/>
      <c r="X91" s="968"/>
      <c r="Y91" s="968"/>
    </row>
    <row r="92" spans="1:25" s="2" customFormat="1" ht="15">
      <c r="A92" s="159"/>
      <c r="C92" s="1030"/>
      <c r="D92" s="967">
        <f t="shared" ref="D92:F92" ca="1" si="49">D63</f>
        <v>-3</v>
      </c>
      <c r="E92" s="972">
        <f t="shared" ca="1" si="49"/>
        <v>-2</v>
      </c>
      <c r="F92" s="972">
        <f t="shared" ca="1" si="49"/>
        <v>-1</v>
      </c>
      <c r="G92" s="1013">
        <f ca="1">G63</f>
        <v>0</v>
      </c>
      <c r="H92" s="898" t="str">
        <f t="shared" ref="H92:T92" si="50">H13</f>
        <v/>
      </c>
      <c r="I92" s="898" t="str">
        <f t="shared" si="50"/>
        <v/>
      </c>
      <c r="J92" s="898" t="str">
        <f t="shared" si="50"/>
        <v/>
      </c>
      <c r="K92" s="898" t="str">
        <f t="shared" si="50"/>
        <v/>
      </c>
      <c r="L92" s="898" t="str">
        <f t="shared" si="50"/>
        <v/>
      </c>
      <c r="M92" s="898" t="str">
        <f t="shared" si="50"/>
        <v/>
      </c>
      <c r="N92" s="898" t="str">
        <f t="shared" si="50"/>
        <v/>
      </c>
      <c r="O92" s="898" t="str">
        <f t="shared" si="50"/>
        <v/>
      </c>
      <c r="P92" s="898" t="str">
        <f t="shared" si="50"/>
        <v/>
      </c>
      <c r="Q92" s="898" t="str">
        <f t="shared" si="50"/>
        <v/>
      </c>
      <c r="R92" s="898" t="str">
        <f t="shared" si="50"/>
        <v/>
      </c>
      <c r="S92" s="898" t="str">
        <f t="shared" si="50"/>
        <v/>
      </c>
      <c r="T92" s="898">
        <f t="shared" si="50"/>
        <v>4</v>
      </c>
      <c r="U92" s="898" t="e">
        <f t="shared" ref="U92:U99" ca="1" si="51">HLOOKUP(1,$I$12:$T$114,ROW(A92)-ROW($A$12)+1,FALSE)</f>
        <v>#N/A</v>
      </c>
      <c r="W92" s="970" t="s">
        <v>607</v>
      </c>
      <c r="X92" s="970" t="s">
        <v>608</v>
      </c>
      <c r="Y92" s="970" t="s">
        <v>609</v>
      </c>
    </row>
    <row r="93" spans="1:25" s="2" customFormat="1" ht="15">
      <c r="A93" s="159"/>
      <c r="C93" s="1014" t="s">
        <v>595</v>
      </c>
      <c r="D93" s="915" t="str">
        <f ca="1">IFERROR(D112/D111,"")</f>
        <v/>
      </c>
      <c r="E93" s="999" t="str">
        <f ca="1">IFERROR(E112/E111,"")</f>
        <v/>
      </c>
      <c r="F93" s="1000" t="str">
        <f ca="1">IFERROR(F112/F111,"")</f>
        <v/>
      </c>
      <c r="G93" s="1059" t="str">
        <f ca="1">IFERROR(G112/G111,"")</f>
        <v/>
      </c>
      <c r="H93" s="1000" t="e">
        <f t="shared" ref="H93:T93" si="52">H112/H111</f>
        <v>#NAME?</v>
      </c>
      <c r="I93" s="1000" t="e">
        <f t="shared" si="52"/>
        <v>#NAME?</v>
      </c>
      <c r="J93" s="1000" t="e">
        <f t="shared" si="52"/>
        <v>#NAME?</v>
      </c>
      <c r="K93" s="1000" t="e">
        <f t="shared" si="52"/>
        <v>#NAME?</v>
      </c>
      <c r="L93" s="1000" t="e">
        <f t="shared" si="52"/>
        <v>#NAME?</v>
      </c>
      <c r="M93" s="1000" t="e">
        <f t="shared" si="52"/>
        <v>#NAME?</v>
      </c>
      <c r="N93" s="1000" t="e">
        <f t="shared" si="52"/>
        <v>#NAME?</v>
      </c>
      <c r="O93" s="1000" t="e">
        <f t="shared" si="52"/>
        <v>#NAME?</v>
      </c>
      <c r="P93" s="1000" t="e">
        <f t="shared" si="52"/>
        <v>#NAME?</v>
      </c>
      <c r="Q93" s="1000" t="e">
        <f t="shared" si="52"/>
        <v>#NAME?</v>
      </c>
      <c r="R93" s="1000" t="e">
        <f t="shared" si="52"/>
        <v>#NAME?</v>
      </c>
      <c r="S93" s="1000" t="e">
        <f t="shared" si="52"/>
        <v>#NAME?</v>
      </c>
      <c r="T93" s="1000" t="e">
        <f t="shared" si="52"/>
        <v>#NAME?</v>
      </c>
      <c r="U93" s="915" t="e">
        <f t="shared" ca="1" si="51"/>
        <v>#N/A</v>
      </c>
      <c r="W93" s="968">
        <f t="shared" ref="W93:W99" si="53">IFERROR(+T93/S93-1,0)</f>
        <v>0</v>
      </c>
      <c r="X93" s="968">
        <f t="shared" ref="X93:X99" ca="1" si="54">IFERROR(+T93/U93-1,0)</f>
        <v>0</v>
      </c>
      <c r="Y93" s="968">
        <f t="shared" ref="Y93:Y99" si="55">IFERROR(+T93/H93-1,0)</f>
        <v>0</v>
      </c>
    </row>
    <row r="94" spans="1:25" s="2" customFormat="1" ht="15">
      <c r="C94" s="1060" t="s">
        <v>359</v>
      </c>
      <c r="D94" s="166" t="str">
        <f ca="1">IFERROR(D112/D110,"")</f>
        <v/>
      </c>
      <c r="E94" s="1001" t="str">
        <f ca="1">IFERROR(E112/E110,"")</f>
        <v/>
      </c>
      <c r="F94" s="1001" t="str">
        <f ca="1">IFERROR(F112/F110,"")</f>
        <v/>
      </c>
      <c r="G94" s="1061" t="str">
        <f ca="1">IFERROR(G112/G110,"")</f>
        <v/>
      </c>
      <c r="H94" s="1001" t="e">
        <f t="shared" ref="H94:T94" si="56">H112/H110</f>
        <v>#NAME?</v>
      </c>
      <c r="I94" s="1001" t="e">
        <f t="shared" si="56"/>
        <v>#NAME?</v>
      </c>
      <c r="J94" s="1001" t="e">
        <f t="shared" si="56"/>
        <v>#NAME?</v>
      </c>
      <c r="K94" s="1001" t="e">
        <f t="shared" si="56"/>
        <v>#NAME?</v>
      </c>
      <c r="L94" s="1001" t="e">
        <f t="shared" si="56"/>
        <v>#NAME?</v>
      </c>
      <c r="M94" s="1001" t="e">
        <f t="shared" si="56"/>
        <v>#NAME?</v>
      </c>
      <c r="N94" s="1001" t="e">
        <f t="shared" si="56"/>
        <v>#NAME?</v>
      </c>
      <c r="O94" s="1001" t="e">
        <f t="shared" si="56"/>
        <v>#NAME?</v>
      </c>
      <c r="P94" s="1001" t="e">
        <f t="shared" si="56"/>
        <v>#NAME?</v>
      </c>
      <c r="Q94" s="1001" t="e">
        <f t="shared" si="56"/>
        <v>#NAME?</v>
      </c>
      <c r="R94" s="1001" t="e">
        <f t="shared" si="56"/>
        <v>#NAME?</v>
      </c>
      <c r="S94" s="1001" t="e">
        <f t="shared" si="56"/>
        <v>#NAME?</v>
      </c>
      <c r="T94" s="1001" t="e">
        <f t="shared" si="56"/>
        <v>#NAME?</v>
      </c>
      <c r="U94" s="166" t="e">
        <f t="shared" ca="1" si="51"/>
        <v>#N/A</v>
      </c>
      <c r="W94" s="968">
        <f t="shared" si="53"/>
        <v>0</v>
      </c>
      <c r="X94" s="968">
        <f t="shared" ca="1" si="54"/>
        <v>0</v>
      </c>
      <c r="Y94" s="968">
        <f t="shared" si="55"/>
        <v>0</v>
      </c>
    </row>
    <row r="95" spans="1:25" s="2" customFormat="1" ht="15">
      <c r="C95" s="1062" t="s">
        <v>272</v>
      </c>
      <c r="D95" s="916" t="str">
        <f ca="1">IFERROR(D110/D111,"")</f>
        <v/>
      </c>
      <c r="E95" s="1002" t="str">
        <f ca="1">IFERROR(E110/E111,"")</f>
        <v/>
      </c>
      <c r="F95" s="1002" t="str">
        <f ca="1">IFERROR(F110/F111,"")</f>
        <v/>
      </c>
      <c r="G95" s="1063" t="str">
        <f ca="1">IFERROR(G110/G111,"")</f>
        <v/>
      </c>
      <c r="H95" s="1002" t="e">
        <f t="shared" ref="H95:T95" si="57">H110/H111</f>
        <v>#NAME?</v>
      </c>
      <c r="I95" s="1002" t="e">
        <f t="shared" si="57"/>
        <v>#NAME?</v>
      </c>
      <c r="J95" s="1002" t="e">
        <f t="shared" si="57"/>
        <v>#NAME?</v>
      </c>
      <c r="K95" s="1002" t="e">
        <f t="shared" si="57"/>
        <v>#NAME?</v>
      </c>
      <c r="L95" s="1002" t="e">
        <f t="shared" si="57"/>
        <v>#NAME?</v>
      </c>
      <c r="M95" s="1002" t="e">
        <f t="shared" si="57"/>
        <v>#NAME?</v>
      </c>
      <c r="N95" s="1002" t="e">
        <f t="shared" si="57"/>
        <v>#NAME?</v>
      </c>
      <c r="O95" s="1002" t="e">
        <f t="shared" si="57"/>
        <v>#NAME?</v>
      </c>
      <c r="P95" s="1002" t="e">
        <f t="shared" si="57"/>
        <v>#NAME?</v>
      </c>
      <c r="Q95" s="1002" t="e">
        <f t="shared" si="57"/>
        <v>#NAME?</v>
      </c>
      <c r="R95" s="1002" t="e">
        <f t="shared" si="57"/>
        <v>#NAME?</v>
      </c>
      <c r="S95" s="1002" t="e">
        <f t="shared" si="57"/>
        <v>#NAME?</v>
      </c>
      <c r="T95" s="1002" t="e">
        <f t="shared" si="57"/>
        <v>#NAME?</v>
      </c>
      <c r="U95" s="916" t="e">
        <f t="shared" ca="1" si="51"/>
        <v>#N/A</v>
      </c>
      <c r="W95" s="968">
        <f t="shared" si="53"/>
        <v>0</v>
      </c>
      <c r="X95" s="968">
        <f t="shared" ca="1" si="54"/>
        <v>0</v>
      </c>
      <c r="Y95" s="968">
        <f t="shared" si="55"/>
        <v>0</v>
      </c>
    </row>
    <row r="96" spans="1:25" s="2" customFormat="1" ht="15">
      <c r="C96" s="1062" t="s">
        <v>610</v>
      </c>
      <c r="D96" s="917" t="str">
        <f ca="1">IFERROR((1-D97)*D93,"")</f>
        <v/>
      </c>
      <c r="E96" s="1064" t="str">
        <f ca="1">IFERROR((1-E97)*E93,"")</f>
        <v/>
      </c>
      <c r="F96" s="1065" t="str">
        <f ca="1">IFERROR((1-F97)*F93,"")</f>
        <v/>
      </c>
      <c r="G96" s="1066" t="str">
        <f ca="1">IFERROR((1-G97)*G93,"")</f>
        <v/>
      </c>
      <c r="H96" s="1065" t="e">
        <f t="shared" ref="H96:T96" ca="1" si="58">(1-H97)*H93</f>
        <v>#NAME?</v>
      </c>
      <c r="I96" s="1065" t="e">
        <f t="shared" ca="1" si="58"/>
        <v>#NAME?</v>
      </c>
      <c r="J96" s="1065" t="e">
        <f t="shared" ca="1" si="58"/>
        <v>#NAME?</v>
      </c>
      <c r="K96" s="1065" t="e">
        <f t="shared" ca="1" si="58"/>
        <v>#NAME?</v>
      </c>
      <c r="L96" s="1065" t="e">
        <f t="shared" ca="1" si="58"/>
        <v>#NAME?</v>
      </c>
      <c r="M96" s="1065" t="e">
        <f t="shared" ca="1" si="58"/>
        <v>#NAME?</v>
      </c>
      <c r="N96" s="1065" t="e">
        <f t="shared" ca="1" si="58"/>
        <v>#NAME?</v>
      </c>
      <c r="O96" s="1065" t="e">
        <f t="shared" ca="1" si="58"/>
        <v>#NAME?</v>
      </c>
      <c r="P96" s="1065" t="e">
        <f t="shared" ca="1" si="58"/>
        <v>#NAME?</v>
      </c>
      <c r="Q96" s="1065" t="e">
        <f t="shared" ca="1" si="58"/>
        <v>#NAME?</v>
      </c>
      <c r="R96" s="1065" t="e">
        <f t="shared" ca="1" si="58"/>
        <v>#NAME?</v>
      </c>
      <c r="S96" s="1065" t="e">
        <f t="shared" ca="1" si="58"/>
        <v>#NAME?</v>
      </c>
      <c r="T96" s="1065" t="e">
        <f t="shared" ca="1" si="58"/>
        <v>#NAME?</v>
      </c>
      <c r="U96" s="917" t="e">
        <f t="shared" ca="1" si="51"/>
        <v>#N/A</v>
      </c>
      <c r="W96" s="968">
        <f t="shared" ca="1" si="53"/>
        <v>0</v>
      </c>
      <c r="X96" s="968">
        <f t="shared" ca="1" si="54"/>
        <v>0</v>
      </c>
      <c r="Y96" s="968">
        <f t="shared" ca="1" si="55"/>
        <v>0</v>
      </c>
    </row>
    <row r="97" spans="2:25" s="2" customFormat="1" ht="15">
      <c r="C97" s="1014" t="s">
        <v>592</v>
      </c>
      <c r="D97" s="914" t="str">
        <f ca="1">IFERROR(-D85/SUM(D80:D81,D84),"")</f>
        <v/>
      </c>
      <c r="E97" s="982" t="str">
        <f ca="1">IFERROR(-E85/SUM(E80:E81,E84),"")</f>
        <v/>
      </c>
      <c r="F97" s="982" t="str">
        <f ca="1">IFERROR(-F85/SUM(F80:F81,F84),"")</f>
        <v/>
      </c>
      <c r="G97" s="1015" t="str">
        <f ca="1">IFERROR(-G85/SUM(G80:G81,G84),"")</f>
        <v/>
      </c>
      <c r="H97" s="982" t="e">
        <f t="shared" ref="H97:T97" ca="1" si="59">-H85/SUM(H80:H81,H84)</f>
        <v>#NAME?</v>
      </c>
      <c r="I97" s="982" t="e">
        <f t="shared" ca="1" si="59"/>
        <v>#NAME?</v>
      </c>
      <c r="J97" s="982" t="e">
        <f t="shared" ca="1" si="59"/>
        <v>#NAME?</v>
      </c>
      <c r="K97" s="982" t="e">
        <f t="shared" ca="1" si="59"/>
        <v>#NAME?</v>
      </c>
      <c r="L97" s="982" t="e">
        <f t="shared" ca="1" si="59"/>
        <v>#NAME?</v>
      </c>
      <c r="M97" s="982" t="e">
        <f t="shared" ca="1" si="59"/>
        <v>#NAME?</v>
      </c>
      <c r="N97" s="982" t="e">
        <f t="shared" ca="1" si="59"/>
        <v>#NAME?</v>
      </c>
      <c r="O97" s="982" t="e">
        <f t="shared" ca="1" si="59"/>
        <v>#NAME?</v>
      </c>
      <c r="P97" s="982" t="e">
        <f t="shared" ca="1" si="59"/>
        <v>#NAME?</v>
      </c>
      <c r="Q97" s="982" t="e">
        <f t="shared" ca="1" si="59"/>
        <v>#NAME?</v>
      </c>
      <c r="R97" s="982" t="e">
        <f t="shared" ca="1" si="59"/>
        <v>#NAME?</v>
      </c>
      <c r="S97" s="982" t="e">
        <f t="shared" ca="1" si="59"/>
        <v>#NAME?</v>
      </c>
      <c r="T97" s="982" t="e">
        <f t="shared" ca="1" si="59"/>
        <v>#NAME?</v>
      </c>
      <c r="U97" s="1073" t="e">
        <f t="shared" ca="1" si="51"/>
        <v>#N/A</v>
      </c>
      <c r="V97" s="1074"/>
      <c r="W97" s="968">
        <f t="shared" ca="1" si="53"/>
        <v>0</v>
      </c>
      <c r="X97" s="968">
        <f t="shared" ca="1" si="54"/>
        <v>0</v>
      </c>
      <c r="Y97" s="968">
        <f t="shared" ca="1" si="55"/>
        <v>0</v>
      </c>
    </row>
    <row r="98" spans="2:25" s="2" customFormat="1" ht="15">
      <c r="C98" s="1052" t="s">
        <v>279</v>
      </c>
      <c r="D98" s="167" t="str">
        <f t="shared" ref="D98:F98" ca="1" si="60">IFERROR(-D108*$U$9/D112,"")</f>
        <v/>
      </c>
      <c r="E98" s="1003" t="str">
        <f t="shared" ca="1" si="60"/>
        <v/>
      </c>
      <c r="F98" s="1003" t="str">
        <f t="shared" ca="1" si="60"/>
        <v/>
      </c>
      <c r="G98" s="1061" t="str">
        <f ca="1">IFERROR(-G108*$U$9/G112,"")</f>
        <v/>
      </c>
      <c r="H98" s="1003" t="e">
        <f t="shared" ref="H98:T98" ca="1" si="61">-H108*$U$9/H112</f>
        <v>#NAME?</v>
      </c>
      <c r="I98" s="1003" t="e">
        <f t="shared" ca="1" si="61"/>
        <v>#NAME?</v>
      </c>
      <c r="J98" s="1003" t="e">
        <f t="shared" ca="1" si="61"/>
        <v>#NAME?</v>
      </c>
      <c r="K98" s="1003" t="e">
        <f t="shared" ca="1" si="61"/>
        <v>#NAME?</v>
      </c>
      <c r="L98" s="1003" t="e">
        <f t="shared" ca="1" si="61"/>
        <v>#NAME?</v>
      </c>
      <c r="M98" s="1003" t="e">
        <f t="shared" ca="1" si="61"/>
        <v>#NAME?</v>
      </c>
      <c r="N98" s="1003" t="e">
        <f t="shared" ca="1" si="61"/>
        <v>#NAME?</v>
      </c>
      <c r="O98" s="1003" t="e">
        <f t="shared" ca="1" si="61"/>
        <v>#NAME?</v>
      </c>
      <c r="P98" s="1003" t="e">
        <f t="shared" ca="1" si="61"/>
        <v>#NAME?</v>
      </c>
      <c r="Q98" s="1003" t="e">
        <f t="shared" ca="1" si="61"/>
        <v>#NAME?</v>
      </c>
      <c r="R98" s="1003" t="e">
        <f t="shared" ca="1" si="61"/>
        <v>#NAME?</v>
      </c>
      <c r="S98" s="1003" t="e">
        <f t="shared" ca="1" si="61"/>
        <v>#NAME?</v>
      </c>
      <c r="T98" s="1003" t="e">
        <f t="shared" ca="1" si="61"/>
        <v>#NAME?</v>
      </c>
      <c r="U98" s="167" t="e">
        <f t="shared" ca="1" si="51"/>
        <v>#N/A</v>
      </c>
      <c r="W98" s="968">
        <f t="shared" ca="1" si="53"/>
        <v>0</v>
      </c>
      <c r="X98" s="968">
        <f t="shared" ca="1" si="54"/>
        <v>0</v>
      </c>
      <c r="Y98" s="968">
        <f t="shared" ca="1" si="55"/>
        <v>0</v>
      </c>
    </row>
    <row r="99" spans="2:25" s="2" customFormat="1" ht="15">
      <c r="C99" s="1014" t="s">
        <v>280</v>
      </c>
      <c r="D99" s="918" t="str">
        <f ca="1">IFERROR((D23*$U$9)/D113,"")</f>
        <v/>
      </c>
      <c r="E99" s="1004" t="str">
        <f ca="1">IFERROR((E23*$U$9)/E113,"")</f>
        <v/>
      </c>
      <c r="F99" s="1004" t="str">
        <f ca="1">IFERROR((F23*$U$9)/F113,"")</f>
        <v/>
      </c>
      <c r="G99" s="1059" t="str">
        <f ca="1">IFERROR((G23*$U$9)/G113,"")</f>
        <v/>
      </c>
      <c r="H99" s="1004" t="e">
        <f t="shared" ref="H99:T99" ca="1" si="62">(H23*$U$9)/H113</f>
        <v>#VALUE!</v>
      </c>
      <c r="I99" s="1004" t="e">
        <f t="shared" ca="1" si="62"/>
        <v>#VALUE!</v>
      </c>
      <c r="J99" s="1004" t="e">
        <f t="shared" ca="1" si="62"/>
        <v>#VALUE!</v>
      </c>
      <c r="K99" s="1004" t="e">
        <f t="shared" ca="1" si="62"/>
        <v>#VALUE!</v>
      </c>
      <c r="L99" s="1004" t="e">
        <f t="shared" ca="1" si="62"/>
        <v>#VALUE!</v>
      </c>
      <c r="M99" s="1004" t="e">
        <f t="shared" ca="1" si="62"/>
        <v>#VALUE!</v>
      </c>
      <c r="N99" s="1004" t="e">
        <f t="shared" ca="1" si="62"/>
        <v>#VALUE!</v>
      </c>
      <c r="O99" s="1004" t="e">
        <f t="shared" ca="1" si="62"/>
        <v>#VALUE!</v>
      </c>
      <c r="P99" s="1004" t="e">
        <f t="shared" ca="1" si="62"/>
        <v>#VALUE!</v>
      </c>
      <c r="Q99" s="1004" t="e">
        <f t="shared" ca="1" si="62"/>
        <v>#VALUE!</v>
      </c>
      <c r="R99" s="1004" t="e">
        <f t="shared" ca="1" si="62"/>
        <v>#VALUE!</v>
      </c>
      <c r="S99" s="1004" t="e">
        <f t="shared" ca="1" si="62"/>
        <v>#VALUE!</v>
      </c>
      <c r="T99" s="1004" t="e">
        <f t="shared" ca="1" si="62"/>
        <v>#NAME?</v>
      </c>
      <c r="U99" s="918" t="e">
        <f t="shared" ca="1" si="51"/>
        <v>#N/A</v>
      </c>
      <c r="W99" s="968">
        <f t="shared" ca="1" si="53"/>
        <v>0</v>
      </c>
      <c r="X99" s="968">
        <f t="shared" ca="1" si="54"/>
        <v>0</v>
      </c>
      <c r="Y99" s="968">
        <f t="shared" ca="1" si="55"/>
        <v>0</v>
      </c>
    </row>
    <row r="100" spans="2:25" s="2" customFormat="1" ht="15">
      <c r="C100" s="1067" t="s">
        <v>596</v>
      </c>
      <c r="E100" s="964"/>
      <c r="F100" s="964"/>
      <c r="G100" s="1029"/>
      <c r="H100" s="964"/>
      <c r="I100" s="964"/>
      <c r="J100" s="964"/>
      <c r="K100" s="964"/>
      <c r="L100" s="964"/>
      <c r="M100" s="964"/>
      <c r="N100" s="964"/>
      <c r="O100" s="964"/>
      <c r="P100" s="964"/>
      <c r="Q100" s="964"/>
      <c r="R100" s="964"/>
      <c r="S100" s="964"/>
      <c r="T100" s="964"/>
      <c r="W100" s="968"/>
      <c r="X100" s="968"/>
      <c r="Y100" s="968"/>
    </row>
    <row r="101" spans="2:25" s="2" customFormat="1" ht="15">
      <c r="C101" s="1048" t="s">
        <v>597</v>
      </c>
      <c r="D101" s="920" t="str">
        <f ca="1">IFERROR('Refi-Annual Review'!AK120/'Refi-Annual Review'!AK180,"")</f>
        <v/>
      </c>
      <c r="E101" s="1005" t="str">
        <f ca="1">IFERROR('Refi-Annual Review'!AL120/'Refi-Annual Review'!AL180,"")</f>
        <v/>
      </c>
      <c r="F101" s="1005" t="str">
        <f ca="1">IFERROR('Refi-Annual Review'!AM120/'Refi-Annual Review'!AM180,"")</f>
        <v/>
      </c>
      <c r="G101" s="1051" t="str">
        <f ca="1">IFERROR('Refi-Annual Review'!AN120/'Refi-Annual Review'!AN180,"")</f>
        <v/>
      </c>
      <c r="H101" s="1005" t="e">
        <f ca="1">DATA_FORMATTING!BV123*(12/H$11)/AGGREGATED_DATA!Z31</f>
        <v>#NAME?</v>
      </c>
      <c r="I101" s="1005" t="e">
        <f ca="1">DATA_FORMATTING!BW123*(12/I$11)/AGGREGATED_DATA!AA31</f>
        <v>#NAME?</v>
      </c>
      <c r="J101" s="1005" t="e">
        <f ca="1">DATA_FORMATTING!BX123*(12/J$11)/AGGREGATED_DATA!AB31</f>
        <v>#NAME?</v>
      </c>
      <c r="K101" s="1005" t="e">
        <f ca="1">DATA_FORMATTING!BY123*(12/K$11)/AGGREGATED_DATA!AC31</f>
        <v>#NAME?</v>
      </c>
      <c r="L101" s="1005" t="e">
        <f ca="1">DATA_FORMATTING!BZ123*(12/L$11)/AGGREGATED_DATA!AD31</f>
        <v>#NAME?</v>
      </c>
      <c r="M101" s="1005" t="e">
        <f ca="1">DATA_FORMATTING!CA123*(12/M$11)/AGGREGATED_DATA!AE31</f>
        <v>#NAME?</v>
      </c>
      <c r="N101" s="1005" t="e">
        <f ca="1">DATA_FORMATTING!CB123*(12/N$11)/AGGREGATED_DATA!AF31</f>
        <v>#NAME?</v>
      </c>
      <c r="O101" s="1005" t="e">
        <f ca="1">DATA_FORMATTING!CC123*(12/O$11)/AGGREGATED_DATA!AG31</f>
        <v>#NAME?</v>
      </c>
      <c r="P101" s="1005" t="e">
        <f ca="1">DATA_FORMATTING!CD123*(12/P$11)/AGGREGATED_DATA!AH31</f>
        <v>#NAME?</v>
      </c>
      <c r="Q101" s="1005" t="e">
        <f ca="1">DATA_FORMATTING!CE123*(12/Q$11)/AGGREGATED_DATA!AI31</f>
        <v>#NAME?</v>
      </c>
      <c r="R101" s="1005" t="e">
        <f ca="1">DATA_FORMATTING!CF123*(12/R$11)/AGGREGATED_DATA!AJ31</f>
        <v>#NAME?</v>
      </c>
      <c r="S101" s="1005" t="e">
        <f ca="1">DATA_FORMATTING!CG123*(12/S$11)/AGGREGATED_DATA!AK31</f>
        <v>#NAME?</v>
      </c>
      <c r="T101" s="1005" t="e">
        <f ca="1">DATA_FORMATTING!CH123*(12/T$11)/AGGREGATED_DATA!AL31</f>
        <v>#NAME?</v>
      </c>
      <c r="U101" s="920" t="e">
        <f ca="1">HLOOKUP(1,$I$12:$T$114,ROW(A101)-ROW($A$12)+1,FALSE)</f>
        <v>#N/A</v>
      </c>
      <c r="W101" s="968">
        <f t="shared" ref="W101:W104" ca="1" si="63">IFERROR(+T101/S101-1,0)</f>
        <v>0</v>
      </c>
      <c r="X101" s="968">
        <f t="shared" ref="X101:X104" ca="1" si="64">IFERROR(+T101/U101-1,0)</f>
        <v>0</v>
      </c>
      <c r="Y101" s="968">
        <f t="shared" ref="Y101:Y104" ca="1" si="65">IFERROR(+T101/H101-1,0)</f>
        <v>0</v>
      </c>
    </row>
    <row r="102" spans="2:25" s="2" customFormat="1" ht="15">
      <c r="C102" s="1052" t="s">
        <v>598</v>
      </c>
      <c r="D102" s="920" t="str">
        <f ca="1">IFERROR(-'Refi-Annual Review'!AK121/'Refi-Annual Review'!AK180,"")</f>
        <v/>
      </c>
      <c r="E102" s="1005" t="str">
        <f ca="1">IFERROR(-'Refi-Annual Review'!AL121/'Refi-Annual Review'!AL180,"")</f>
        <v/>
      </c>
      <c r="F102" s="1005" t="str">
        <f ca="1">IFERROR(-'Refi-Annual Review'!AM121/'Refi-Annual Review'!AM180,"")</f>
        <v/>
      </c>
      <c r="G102" s="1051" t="str">
        <f ca="1">IFERROR(-'Refi-Annual Review'!AN121/'Refi-Annual Review'!AN180,"")</f>
        <v/>
      </c>
      <c r="H102" s="1005" t="e">
        <f ca="1">-DATA_FORMATTING!BV124*(12/H$11)/AGGREGATED_DATA!Z31</f>
        <v>#NAME?</v>
      </c>
      <c r="I102" s="1005" t="e">
        <f ca="1">-DATA_FORMATTING!BW124*(12/I$11)/AGGREGATED_DATA!AA31</f>
        <v>#NAME?</v>
      </c>
      <c r="J102" s="1005" t="e">
        <f ca="1">-DATA_FORMATTING!BX124*(12/J$11)/AGGREGATED_DATA!AB31</f>
        <v>#NAME?</v>
      </c>
      <c r="K102" s="1005" t="e">
        <f ca="1">-DATA_FORMATTING!BY124*(12/K$11)/AGGREGATED_DATA!AC31</f>
        <v>#NAME?</v>
      </c>
      <c r="L102" s="1005" t="e">
        <f ca="1">-DATA_FORMATTING!BZ124*(12/L$11)/AGGREGATED_DATA!AD31</f>
        <v>#NAME?</v>
      </c>
      <c r="M102" s="1005" t="e">
        <f ca="1">-DATA_FORMATTING!CA124*(12/M$11)/AGGREGATED_DATA!AE31</f>
        <v>#NAME?</v>
      </c>
      <c r="N102" s="1005" t="e">
        <f ca="1">-DATA_FORMATTING!CB124*(12/N$11)/AGGREGATED_DATA!AF31</f>
        <v>#NAME?</v>
      </c>
      <c r="O102" s="1005" t="e">
        <f ca="1">-DATA_FORMATTING!CC124*(12/O$11)/AGGREGATED_DATA!AG31</f>
        <v>#NAME?</v>
      </c>
      <c r="P102" s="1005" t="e">
        <f ca="1">-DATA_FORMATTING!CD124*(12/P$11)/AGGREGATED_DATA!AH31</f>
        <v>#NAME?</v>
      </c>
      <c r="Q102" s="1005" t="e">
        <f ca="1">-DATA_FORMATTING!CE124*(12/Q$11)/AGGREGATED_DATA!AI31</f>
        <v>#NAME?</v>
      </c>
      <c r="R102" s="1005" t="e">
        <f ca="1">-DATA_FORMATTING!CF124*(12/R$11)/AGGREGATED_DATA!AJ31</f>
        <v>#NAME?</v>
      </c>
      <c r="S102" s="1005" t="e">
        <f ca="1">-DATA_FORMATTING!CG124*(12/S$11)/AGGREGATED_DATA!AK31</f>
        <v>#NAME?</v>
      </c>
      <c r="T102" s="1005" t="e">
        <f ca="1">-DATA_FORMATTING!CH124*(12/T$11)/AGGREGATED_DATA!AL31</f>
        <v>#NAME?</v>
      </c>
      <c r="U102" s="920" t="e">
        <f ca="1">HLOOKUP(1,$I$12:$T$114,ROW(A102)-ROW($A$12)+1,FALSE)</f>
        <v>#N/A</v>
      </c>
      <c r="W102" s="968">
        <f t="shared" ca="1" si="63"/>
        <v>0</v>
      </c>
      <c r="X102" s="968">
        <f t="shared" ca="1" si="64"/>
        <v>0</v>
      </c>
      <c r="Y102" s="968">
        <f t="shared" ca="1" si="65"/>
        <v>0</v>
      </c>
    </row>
    <row r="103" spans="2:25" s="2" customFormat="1" ht="15">
      <c r="C103" s="1052" t="s">
        <v>599</v>
      </c>
      <c r="D103" s="920" t="str">
        <f ca="1">IFERROR(-'Refi-Annual Review'!AK123/'Refi-Annual Review'!AK180,"")</f>
        <v/>
      </c>
      <c r="E103" s="1005" t="str">
        <f ca="1">IFERROR(-'Refi-Annual Review'!AL123/'Refi-Annual Review'!AL180,"")</f>
        <v/>
      </c>
      <c r="F103" s="1005" t="str">
        <f ca="1">IFERROR(-'Refi-Annual Review'!AM123/'Refi-Annual Review'!AM180,"")</f>
        <v/>
      </c>
      <c r="G103" s="1051" t="str">
        <f ca="1">IFERROR(-'Refi-Annual Review'!AN123/'Refi-Annual Review'!AN180,"")</f>
        <v/>
      </c>
      <c r="H103" s="1005" t="e">
        <f ca="1">-DATA_FORMATTING!BV126*(12/H$11)/AGGREGATED_DATA!Z31</f>
        <v>#NAME?</v>
      </c>
      <c r="I103" s="1005" t="e">
        <f ca="1">-DATA_FORMATTING!BW126*(12/I$11)/AGGREGATED_DATA!AA31</f>
        <v>#NAME?</v>
      </c>
      <c r="J103" s="1005" t="e">
        <f ca="1">-DATA_FORMATTING!BX126*(12/J$11)/AGGREGATED_DATA!AB31</f>
        <v>#NAME?</v>
      </c>
      <c r="K103" s="1005" t="e">
        <f ca="1">-DATA_FORMATTING!BY126*(12/K$11)/AGGREGATED_DATA!AC31</f>
        <v>#NAME?</v>
      </c>
      <c r="L103" s="1005" t="e">
        <f ca="1">-DATA_FORMATTING!BZ126*(12/L$11)/AGGREGATED_DATA!AD31</f>
        <v>#NAME?</v>
      </c>
      <c r="M103" s="1005" t="e">
        <f ca="1">-DATA_FORMATTING!CA126*(12/M$11)/AGGREGATED_DATA!AE31</f>
        <v>#NAME?</v>
      </c>
      <c r="N103" s="1005" t="e">
        <f ca="1">-DATA_FORMATTING!CB126*(12/N$11)/AGGREGATED_DATA!AF31</f>
        <v>#NAME?</v>
      </c>
      <c r="O103" s="1005" t="e">
        <f ca="1">-DATA_FORMATTING!CC126*(12/O$11)/AGGREGATED_DATA!AG31</f>
        <v>#NAME?</v>
      </c>
      <c r="P103" s="1005" t="e">
        <f ca="1">-DATA_FORMATTING!CD126*(12/P$11)/AGGREGATED_DATA!AH31</f>
        <v>#NAME?</v>
      </c>
      <c r="Q103" s="1005" t="e">
        <f ca="1">-DATA_FORMATTING!CE126*(12/Q$11)/AGGREGATED_DATA!AI31</f>
        <v>#NAME?</v>
      </c>
      <c r="R103" s="1005" t="e">
        <f ca="1">-DATA_FORMATTING!CF126*(12/R$11)/AGGREGATED_DATA!AJ31</f>
        <v>#NAME?</v>
      </c>
      <c r="S103" s="1005" t="e">
        <f ca="1">-DATA_FORMATTING!CG126*(12/S$11)/AGGREGATED_DATA!AK31</f>
        <v>#NAME?</v>
      </c>
      <c r="T103" s="1005" t="e">
        <f ca="1">-DATA_FORMATTING!CH126*(12/T$11)/AGGREGATED_DATA!AL31</f>
        <v>#NAME?</v>
      </c>
      <c r="U103" s="920" t="e">
        <f ca="1">HLOOKUP(1,$I$12:$T$114,ROW(A103)-ROW($A$12)+1,FALSE)</f>
        <v>#N/A</v>
      </c>
      <c r="W103" s="968">
        <f t="shared" ca="1" si="63"/>
        <v>0</v>
      </c>
      <c r="X103" s="968">
        <f t="shared" ca="1" si="64"/>
        <v>0</v>
      </c>
      <c r="Y103" s="968">
        <f t="shared" ca="1" si="65"/>
        <v>0</v>
      </c>
    </row>
    <row r="104" spans="2:25" s="2" customFormat="1" ht="15">
      <c r="C104" s="1052" t="s">
        <v>600</v>
      </c>
      <c r="D104" s="920" t="str">
        <f ca="1">IFERROR(-'Refi-Annual Review'!AK128/'Refi-Annual Review'!AK180,"")</f>
        <v/>
      </c>
      <c r="E104" s="1005" t="str">
        <f ca="1">IFERROR(-'Refi-Annual Review'!AL128/'Refi-Annual Review'!AL180,"")</f>
        <v/>
      </c>
      <c r="F104" s="1005" t="str">
        <f ca="1">IFERROR(-'Refi-Annual Review'!AM128/'Refi-Annual Review'!AM180,"")</f>
        <v/>
      </c>
      <c r="G104" s="1051" t="str">
        <f ca="1">IFERROR(-'Refi-Annual Review'!AN128/'Refi-Annual Review'!AN180,"")</f>
        <v/>
      </c>
      <c r="H104" s="1005" t="e">
        <f ca="1">-DATA_FORMATTING!BV131*(12/H$11)/AGGREGATED_DATA!Z31</f>
        <v>#NAME?</v>
      </c>
      <c r="I104" s="1005" t="e">
        <f ca="1">-DATA_FORMATTING!BW131*(12/I$11)/AGGREGATED_DATA!AA31</f>
        <v>#NAME?</v>
      </c>
      <c r="J104" s="1005" t="e">
        <f ca="1">-DATA_FORMATTING!BX131*(12/J$11)/AGGREGATED_DATA!AB31</f>
        <v>#NAME?</v>
      </c>
      <c r="K104" s="1005" t="e">
        <f ca="1">-DATA_FORMATTING!BY131*(12/K$11)/AGGREGATED_DATA!AC31</f>
        <v>#NAME?</v>
      </c>
      <c r="L104" s="1005" t="e">
        <f ca="1">-DATA_FORMATTING!BZ131*(12/L$11)/AGGREGATED_DATA!AD31</f>
        <v>#NAME?</v>
      </c>
      <c r="M104" s="1005" t="e">
        <f ca="1">-DATA_FORMATTING!CA131*(12/M$11)/AGGREGATED_DATA!AE31</f>
        <v>#NAME?</v>
      </c>
      <c r="N104" s="1005" t="e">
        <f ca="1">-DATA_FORMATTING!CB131*(12/N$11)/AGGREGATED_DATA!AF31</f>
        <v>#NAME?</v>
      </c>
      <c r="O104" s="1005" t="e">
        <f ca="1">-DATA_FORMATTING!CC131*(12/O$11)/AGGREGATED_DATA!AG31</f>
        <v>#NAME?</v>
      </c>
      <c r="P104" s="1005" t="e">
        <f ca="1">-DATA_FORMATTING!CD131*(12/P$11)/AGGREGATED_DATA!AH31</f>
        <v>#NAME?</v>
      </c>
      <c r="Q104" s="1005" t="e">
        <f ca="1">-DATA_FORMATTING!CE131*(12/Q$11)/AGGREGATED_DATA!AI31</f>
        <v>#NAME?</v>
      </c>
      <c r="R104" s="1005" t="e">
        <f ca="1">-DATA_FORMATTING!CF131*(12/R$11)/AGGREGATED_DATA!AJ31</f>
        <v>#NAME?</v>
      </c>
      <c r="S104" s="1005" t="e">
        <f ca="1">-DATA_FORMATTING!CG131*(12/S$11)/AGGREGATED_DATA!AK31</f>
        <v>#NAME?</v>
      </c>
      <c r="T104" s="1005" t="e">
        <f ca="1">-DATA_FORMATTING!CH131*(12/T$11)/AGGREGATED_DATA!AL31</f>
        <v>#NAME?</v>
      </c>
      <c r="U104" s="920" t="e">
        <f ca="1">HLOOKUP(1,$I$12:$T$114,ROW(A104)-ROW($A$12)+1,FALSE)</f>
        <v>#N/A</v>
      </c>
      <c r="W104" s="968">
        <f t="shared" ca="1" si="63"/>
        <v>0</v>
      </c>
      <c r="X104" s="968">
        <f t="shared" ca="1" si="64"/>
        <v>0</v>
      </c>
      <c r="Y104" s="968">
        <f t="shared" ca="1" si="65"/>
        <v>0</v>
      </c>
    </row>
    <row r="105" spans="2:25" s="2" customFormat="1" ht="3" customHeight="1">
      <c r="C105" s="1052"/>
      <c r="D105" s="920"/>
      <c r="E105" s="1005"/>
      <c r="F105" s="1005"/>
      <c r="G105" s="1051"/>
      <c r="H105" s="1005"/>
      <c r="I105" s="1005"/>
      <c r="J105" s="1005"/>
      <c r="K105" s="1005"/>
      <c r="L105" s="1005"/>
      <c r="M105" s="1005"/>
      <c r="N105" s="1005"/>
      <c r="O105" s="1005"/>
      <c r="P105" s="1005"/>
      <c r="Q105" s="1005"/>
      <c r="R105" s="1005"/>
      <c r="S105" s="1005"/>
      <c r="T105" s="1005"/>
      <c r="U105" s="920"/>
      <c r="W105" s="968"/>
      <c r="X105" s="968"/>
      <c r="Y105" s="968"/>
    </row>
    <row r="106" spans="2:25" s="2" customFormat="1" ht="15">
      <c r="C106" s="1021" t="s">
        <v>586</v>
      </c>
      <c r="D106" s="905"/>
      <c r="E106" s="985"/>
      <c r="F106" s="985"/>
      <c r="G106" s="1022"/>
      <c r="H106" s="985"/>
      <c r="I106" s="985"/>
      <c r="J106" s="985"/>
      <c r="K106" s="985"/>
      <c r="L106" s="985"/>
      <c r="M106" s="985"/>
      <c r="N106" s="985"/>
      <c r="O106" s="985"/>
      <c r="P106" s="985"/>
      <c r="Q106" s="985"/>
      <c r="R106" s="985"/>
      <c r="S106" s="985"/>
      <c r="T106" s="985"/>
      <c r="U106" s="905"/>
      <c r="W106" s="968"/>
      <c r="X106" s="968"/>
      <c r="Y106" s="968"/>
    </row>
    <row r="107" spans="2:25" s="2" customFormat="1" ht="15" hidden="1">
      <c r="C107" s="1032" t="s">
        <v>601</v>
      </c>
      <c r="D107" s="161" t="str">
        <f ca="1">IFERROR(+D80+IF(D84&gt;0,D84,0),"")</f>
        <v/>
      </c>
      <c r="E107" s="986" t="str">
        <f ca="1">IFERROR(+E80+IF(E84&gt;0,E84,0),"")</f>
        <v/>
      </c>
      <c r="F107" s="986" t="str">
        <f ca="1">IFERROR(+F80+IF(F84&gt;0,F84,0),"")</f>
        <v/>
      </c>
      <c r="G107" s="1023" t="str">
        <f ca="1">IFERROR(+G80+IF(G84&gt;0,G84,0),"")</f>
        <v/>
      </c>
      <c r="H107" s="986" t="e">
        <f t="shared" ref="H107:T107" ca="1" si="66">+H80+IF(H84&gt;0,H84,0)</f>
        <v>#NAME?</v>
      </c>
      <c r="I107" s="986" t="e">
        <f t="shared" ca="1" si="66"/>
        <v>#NAME?</v>
      </c>
      <c r="J107" s="986" t="e">
        <f t="shared" ca="1" si="66"/>
        <v>#NAME?</v>
      </c>
      <c r="K107" s="986" t="e">
        <f t="shared" ca="1" si="66"/>
        <v>#NAME?</v>
      </c>
      <c r="L107" s="986" t="e">
        <f t="shared" ca="1" si="66"/>
        <v>#NAME?</v>
      </c>
      <c r="M107" s="986" t="e">
        <f t="shared" ca="1" si="66"/>
        <v>#NAME?</v>
      </c>
      <c r="N107" s="986" t="e">
        <f t="shared" ca="1" si="66"/>
        <v>#NAME?</v>
      </c>
      <c r="O107" s="986" t="e">
        <f t="shared" ca="1" si="66"/>
        <v>#NAME?</v>
      </c>
      <c r="P107" s="986" t="e">
        <f t="shared" ca="1" si="66"/>
        <v>#NAME?</v>
      </c>
      <c r="Q107" s="986" t="e">
        <f t="shared" ca="1" si="66"/>
        <v>#NAME?</v>
      </c>
      <c r="R107" s="986" t="e">
        <f t="shared" ca="1" si="66"/>
        <v>#NAME?</v>
      </c>
      <c r="S107" s="986" t="e">
        <f t="shared" ca="1" si="66"/>
        <v>#NAME?</v>
      </c>
      <c r="T107" s="986" t="e">
        <f t="shared" ca="1" si="66"/>
        <v>#NAME?</v>
      </c>
      <c r="U107" s="161" t="e">
        <f ca="1">HLOOKUP(1,$I$12:$T$114,ROW(A106)-ROW($A$12)+1,FALSE)</f>
        <v>#N/A</v>
      </c>
      <c r="W107" s="968">
        <f ca="1">IFERROR(+T107/S107-1,0)</f>
        <v>0</v>
      </c>
      <c r="X107" s="968">
        <f ca="1">IFERROR(+T107/U107-1,0)</f>
        <v>0</v>
      </c>
      <c r="Y107" s="968">
        <f ca="1">IFERROR(+T107/H107-1,0)</f>
        <v>0</v>
      </c>
    </row>
    <row r="108" spans="2:25" s="2" customFormat="1" ht="15" hidden="1">
      <c r="C108" s="1032" t="s">
        <v>602</v>
      </c>
      <c r="D108" s="161" t="str">
        <f ca="1">IFERROR((D85+IF(D84&lt;=0,D84,0)+D83+D81),"")</f>
        <v/>
      </c>
      <c r="E108" s="986" t="str">
        <f ca="1">IFERROR((E85+IF(E84&lt;=0,E84,0)+E83+E81),"")</f>
        <v/>
      </c>
      <c r="F108" s="986" t="str">
        <f ca="1">IFERROR((F85+IF(F84&lt;=0,F84,0)+F83+F81),"")</f>
        <v/>
      </c>
      <c r="G108" s="1023" t="str">
        <f ca="1">IFERROR((G85+IF(G84&lt;=0,G84,0)+G83+G81),"")</f>
        <v/>
      </c>
      <c r="H108" s="986" t="e">
        <f t="shared" ref="H108:T108" ca="1" si="67">(H85+IF(H84&lt;=0,H84,0)+H83+H81)</f>
        <v>#NAME?</v>
      </c>
      <c r="I108" s="986" t="e">
        <f t="shared" ca="1" si="67"/>
        <v>#NAME?</v>
      </c>
      <c r="J108" s="986" t="e">
        <f t="shared" ca="1" si="67"/>
        <v>#NAME?</v>
      </c>
      <c r="K108" s="986" t="e">
        <f t="shared" ca="1" si="67"/>
        <v>#NAME?</v>
      </c>
      <c r="L108" s="986" t="e">
        <f t="shared" ca="1" si="67"/>
        <v>#NAME?</v>
      </c>
      <c r="M108" s="986" t="e">
        <f t="shared" ca="1" si="67"/>
        <v>#NAME?</v>
      </c>
      <c r="N108" s="986" t="e">
        <f t="shared" ca="1" si="67"/>
        <v>#NAME?</v>
      </c>
      <c r="O108" s="986" t="e">
        <f t="shared" ca="1" si="67"/>
        <v>#NAME?</v>
      </c>
      <c r="P108" s="986" t="e">
        <f t="shared" ca="1" si="67"/>
        <v>#NAME?</v>
      </c>
      <c r="Q108" s="986" t="e">
        <f t="shared" ca="1" si="67"/>
        <v>#NAME?</v>
      </c>
      <c r="R108" s="986" t="e">
        <f t="shared" ca="1" si="67"/>
        <v>#NAME?</v>
      </c>
      <c r="S108" s="986" t="e">
        <f t="shared" ca="1" si="67"/>
        <v>#NAME?</v>
      </c>
      <c r="T108" s="986" t="e">
        <f t="shared" ca="1" si="67"/>
        <v>#NAME?</v>
      </c>
      <c r="U108" s="161" t="e">
        <f ca="1">HLOOKUP(1,$I$12:$T$114,ROW(A107)-ROW($A$12)+1,FALSE)</f>
        <v>#N/A</v>
      </c>
      <c r="W108" s="968">
        <f ca="1">IFERROR(+T108/S108-1,0)</f>
        <v>0</v>
      </c>
      <c r="X108" s="968">
        <f ca="1">IFERROR(+T108/U108-1,0)</f>
        <v>0</v>
      </c>
      <c r="Y108" s="968">
        <f ca="1">IFERROR(+T108/H108-1,0)</f>
        <v>0</v>
      </c>
    </row>
    <row r="109" spans="2:25" s="2" customFormat="1">
      <c r="B109" s="150"/>
      <c r="C109" s="1018" t="s">
        <v>603</v>
      </c>
      <c r="D109" s="921" t="str">
        <f ca="1">IFERROR('Refi-Annual Review'!AK168,"")</f>
        <v/>
      </c>
      <c r="E109" s="1065" t="str">
        <f ca="1">IFERROR('Refi-Annual Review'!AL168,"")</f>
        <v/>
      </c>
      <c r="F109" s="1065" t="str">
        <f ca="1">IFERROR('Refi-Annual Review'!AM168,"")</f>
        <v/>
      </c>
      <c r="G109" s="1066" t="str">
        <f ca="1">IFERROR('Refi-Annual Review'!AN168,"")</f>
        <v/>
      </c>
      <c r="H109" s="1065" t="e">
        <f>'Organizational Data'!AA10</f>
        <v>#NAME?</v>
      </c>
      <c r="I109" s="1065" t="e">
        <f>'Organizational Data'!AB10</f>
        <v>#NAME?</v>
      </c>
      <c r="J109" s="1065" t="e">
        <f>'Organizational Data'!AC10</f>
        <v>#NAME?</v>
      </c>
      <c r="K109" s="1065" t="e">
        <f>'Organizational Data'!AD10</f>
        <v>#NAME?</v>
      </c>
      <c r="L109" s="1065" t="e">
        <f>'Organizational Data'!AE10</f>
        <v>#NAME?</v>
      </c>
      <c r="M109" s="1065" t="e">
        <f>'Organizational Data'!AF10</f>
        <v>#NAME?</v>
      </c>
      <c r="N109" s="1065" t="e">
        <f>'Organizational Data'!AG10</f>
        <v>#NAME?</v>
      </c>
      <c r="O109" s="1065" t="e">
        <f>'Organizational Data'!AH10</f>
        <v>#NAME?</v>
      </c>
      <c r="P109" s="1065" t="e">
        <f>'Organizational Data'!AI10</f>
        <v>#NAME?</v>
      </c>
      <c r="Q109" s="1065" t="e">
        <f>'Organizational Data'!AJ10</f>
        <v>#NAME?</v>
      </c>
      <c r="R109" s="1065" t="e">
        <f>'Organizational Data'!AK10</f>
        <v>#NAME?</v>
      </c>
      <c r="S109" s="1065" t="e">
        <f>'Organizational Data'!AL10</f>
        <v>#NAME?</v>
      </c>
      <c r="T109" s="1065" t="e">
        <f>'Organizational Data'!AM10</f>
        <v>#NAME?</v>
      </c>
      <c r="U109" s="921" t="e">
        <f t="shared" ref="U109:U114" ca="1" si="68">HLOOKUP(1,$I$12:$T$114,ROW(A109)-ROW($A$12)+1,FALSE)</f>
        <v>#N/A</v>
      </c>
      <c r="W109" s="968">
        <f t="shared" ref="W109:W114" si="69">IFERROR(+T109/S109-1,0)</f>
        <v>0</v>
      </c>
      <c r="X109" s="968">
        <f t="shared" ref="X109:X114" ca="1" si="70">IFERROR(+T109/U109-1,0)</f>
        <v>0</v>
      </c>
      <c r="Y109" s="968">
        <f t="shared" ref="Y109:Y114" si="71">IFERROR(+T109/H109-1,0)</f>
        <v>0</v>
      </c>
    </row>
    <row r="110" spans="2:25" s="2" customFormat="1">
      <c r="B110" s="150"/>
      <c r="C110" s="1018" t="s">
        <v>269</v>
      </c>
      <c r="D110" s="922" t="str">
        <f ca="1">IFERROR('Refi-Annual Review'!AK167,"")</f>
        <v/>
      </c>
      <c r="E110" s="1007" t="str">
        <f ca="1">IFERROR('Refi-Annual Review'!AL167,"")</f>
        <v/>
      </c>
      <c r="F110" s="1007" t="str">
        <f ca="1">IFERROR('Refi-Annual Review'!AM167,"")</f>
        <v/>
      </c>
      <c r="G110" s="1068" t="str">
        <f ca="1">IFERROR('Refi-Annual Review'!AN167,"")</f>
        <v/>
      </c>
      <c r="H110" s="1007" t="e">
        <f>'Organizational Data'!AA9</f>
        <v>#NAME?</v>
      </c>
      <c r="I110" s="1007" t="e">
        <f>'Organizational Data'!AB9</f>
        <v>#NAME?</v>
      </c>
      <c r="J110" s="1007" t="e">
        <f>'Organizational Data'!AC9</f>
        <v>#NAME?</v>
      </c>
      <c r="K110" s="1007" t="e">
        <f>'Organizational Data'!AD9</f>
        <v>#NAME?</v>
      </c>
      <c r="L110" s="1007" t="e">
        <f>'Organizational Data'!AE9</f>
        <v>#NAME?</v>
      </c>
      <c r="M110" s="1007" t="e">
        <f>'Organizational Data'!AF9</f>
        <v>#NAME?</v>
      </c>
      <c r="N110" s="1007" t="e">
        <f>'Organizational Data'!AG9</f>
        <v>#NAME?</v>
      </c>
      <c r="O110" s="1007" t="e">
        <f>'Organizational Data'!AH9</f>
        <v>#NAME?</v>
      </c>
      <c r="P110" s="1007" t="e">
        <f>'Organizational Data'!AI9</f>
        <v>#NAME?</v>
      </c>
      <c r="Q110" s="1007" t="e">
        <f>'Organizational Data'!AJ9</f>
        <v>#NAME?</v>
      </c>
      <c r="R110" s="1007" t="e">
        <f>'Organizational Data'!AK9</f>
        <v>#NAME?</v>
      </c>
      <c r="S110" s="1007" t="e">
        <f>'Organizational Data'!AL9</f>
        <v>#NAME?</v>
      </c>
      <c r="T110" s="1007" t="e">
        <f>'Organizational Data'!AM9</f>
        <v>#NAME?</v>
      </c>
      <c r="U110" s="922" t="e">
        <f t="shared" ca="1" si="68"/>
        <v>#N/A</v>
      </c>
      <c r="W110" s="968">
        <f t="shared" si="69"/>
        <v>0</v>
      </c>
      <c r="X110" s="968">
        <f t="shared" ca="1" si="70"/>
        <v>0</v>
      </c>
      <c r="Y110" s="968">
        <f t="shared" si="71"/>
        <v>0</v>
      </c>
    </row>
    <row r="111" spans="2:25" s="2" customFormat="1">
      <c r="B111" s="150"/>
      <c r="C111" s="1018" t="s">
        <v>271</v>
      </c>
      <c r="D111" s="922" t="str">
        <f ca="1">IFERROR('Refi-Annual Review'!AK166,"")</f>
        <v/>
      </c>
      <c r="E111" s="1007" t="str">
        <f ca="1">IFERROR('Refi-Annual Review'!AL166,"")</f>
        <v/>
      </c>
      <c r="F111" s="1007" t="str">
        <f ca="1">IFERROR('Refi-Annual Review'!AM166,"")</f>
        <v/>
      </c>
      <c r="G111" s="1068" t="str">
        <f ca="1">IFERROR('Refi-Annual Review'!AN166,"")</f>
        <v/>
      </c>
      <c r="H111" s="1007" t="e">
        <f>'Organizational Data'!AA8</f>
        <v>#NAME?</v>
      </c>
      <c r="I111" s="1007" t="e">
        <f>'Organizational Data'!AB8</f>
        <v>#NAME?</v>
      </c>
      <c r="J111" s="1007" t="e">
        <f>'Organizational Data'!AC8</f>
        <v>#NAME?</v>
      </c>
      <c r="K111" s="1007" t="e">
        <f>'Organizational Data'!AD8</f>
        <v>#NAME?</v>
      </c>
      <c r="L111" s="1007" t="e">
        <f>'Organizational Data'!AE8</f>
        <v>#NAME?</v>
      </c>
      <c r="M111" s="1007" t="e">
        <f>'Organizational Data'!AF8</f>
        <v>#NAME?</v>
      </c>
      <c r="N111" s="1007" t="e">
        <f>'Organizational Data'!AG8</f>
        <v>#NAME?</v>
      </c>
      <c r="O111" s="1007" t="e">
        <f>'Organizational Data'!AH8</f>
        <v>#NAME?</v>
      </c>
      <c r="P111" s="1007" t="e">
        <f>'Organizational Data'!AI8</f>
        <v>#NAME?</v>
      </c>
      <c r="Q111" s="1007" t="e">
        <f>'Organizational Data'!AJ8</f>
        <v>#NAME?</v>
      </c>
      <c r="R111" s="1007" t="e">
        <f>'Organizational Data'!AK8</f>
        <v>#NAME?</v>
      </c>
      <c r="S111" s="1007" t="e">
        <f>'Organizational Data'!AL8</f>
        <v>#NAME?</v>
      </c>
      <c r="T111" s="1007" t="e">
        <f>'Organizational Data'!AM8</f>
        <v>#NAME?</v>
      </c>
      <c r="U111" s="922" t="e">
        <f t="shared" ca="1" si="68"/>
        <v>#N/A</v>
      </c>
      <c r="W111" s="968">
        <f t="shared" si="69"/>
        <v>0</v>
      </c>
      <c r="X111" s="968">
        <f t="shared" ca="1" si="70"/>
        <v>0</v>
      </c>
      <c r="Y111" s="968">
        <f t="shared" si="71"/>
        <v>0</v>
      </c>
    </row>
    <row r="112" spans="2:25">
      <c r="C112" s="1018" t="s">
        <v>270</v>
      </c>
      <c r="D112" s="922" t="str">
        <f ca="1">IFERROR('Refi-Annual Review'!AK170,"")</f>
        <v/>
      </c>
      <c r="E112" s="1007" t="str">
        <f ca="1">IFERROR('Refi-Annual Review'!AL170,"")</f>
        <v/>
      </c>
      <c r="F112" s="1007" t="str">
        <f ca="1">IFERROR('Refi-Annual Review'!AM170,"")</f>
        <v/>
      </c>
      <c r="G112" s="1068" t="str">
        <f ca="1">IFERROR('Refi-Annual Review'!AN170,"")</f>
        <v/>
      </c>
      <c r="H112" s="1007" t="e">
        <f>'Organizational Data'!AA12</f>
        <v>#NAME?</v>
      </c>
      <c r="I112" s="1007" t="e">
        <f>'Organizational Data'!AB12</f>
        <v>#NAME?</v>
      </c>
      <c r="J112" s="1007" t="e">
        <f>'Organizational Data'!AC12</f>
        <v>#NAME?</v>
      </c>
      <c r="K112" s="1007" t="e">
        <f>'Organizational Data'!AD12</f>
        <v>#NAME?</v>
      </c>
      <c r="L112" s="1007" t="e">
        <f>'Organizational Data'!AE12</f>
        <v>#NAME?</v>
      </c>
      <c r="M112" s="1007" t="e">
        <f>'Organizational Data'!AF12</f>
        <v>#NAME?</v>
      </c>
      <c r="N112" s="1007" t="e">
        <f>'Organizational Data'!AG12</f>
        <v>#NAME?</v>
      </c>
      <c r="O112" s="1007" t="e">
        <f>'Organizational Data'!AH12</f>
        <v>#NAME?</v>
      </c>
      <c r="P112" s="1007" t="e">
        <f>'Organizational Data'!AI12</f>
        <v>#NAME?</v>
      </c>
      <c r="Q112" s="1007" t="e">
        <f>'Organizational Data'!AJ12</f>
        <v>#NAME?</v>
      </c>
      <c r="R112" s="1007" t="e">
        <f>'Organizational Data'!AK12</f>
        <v>#NAME?</v>
      </c>
      <c r="S112" s="1007" t="e">
        <f>'Organizational Data'!AL12</f>
        <v>#NAME?</v>
      </c>
      <c r="T112" s="1007" t="e">
        <f>'Organizational Data'!AM12</f>
        <v>#NAME?</v>
      </c>
      <c r="U112" s="922" t="e">
        <f t="shared" ca="1" si="68"/>
        <v>#N/A</v>
      </c>
      <c r="V112" s="2"/>
      <c r="W112" s="968">
        <f t="shared" si="69"/>
        <v>0</v>
      </c>
      <c r="X112" s="968">
        <f t="shared" ca="1" si="70"/>
        <v>0</v>
      </c>
      <c r="Y112" s="968">
        <f t="shared" si="71"/>
        <v>0</v>
      </c>
    </row>
    <row r="113" spans="3:25">
      <c r="C113" s="1018" t="s">
        <v>604</v>
      </c>
      <c r="D113" s="922" t="str">
        <f ca="1">IFERROR('Refi-Annual Review'!AK169,"")</f>
        <v/>
      </c>
      <c r="E113" s="1007" t="str">
        <f ca="1">IFERROR('Refi-Annual Review'!AL169,"")</f>
        <v/>
      </c>
      <c r="F113" s="1007" t="str">
        <f ca="1">IFERROR('Refi-Annual Review'!AM169,"")</f>
        <v/>
      </c>
      <c r="G113" s="1068" t="str">
        <f ca="1">IFERROR('Refi-Annual Review'!AN169,"")</f>
        <v/>
      </c>
      <c r="H113" s="1007" t="e">
        <f>'Organizational Data'!AA11</f>
        <v>#NAME?</v>
      </c>
      <c r="I113" s="1007" t="e">
        <f>'Organizational Data'!AB11</f>
        <v>#NAME?</v>
      </c>
      <c r="J113" s="1007" t="e">
        <f>'Organizational Data'!AC11</f>
        <v>#NAME?</v>
      </c>
      <c r="K113" s="1007" t="e">
        <f>'Organizational Data'!AD11</f>
        <v>#NAME?</v>
      </c>
      <c r="L113" s="1007" t="e">
        <f>'Organizational Data'!AE11</f>
        <v>#NAME?</v>
      </c>
      <c r="M113" s="1007" t="e">
        <f>'Organizational Data'!AF11</f>
        <v>#NAME?</v>
      </c>
      <c r="N113" s="1007" t="e">
        <f>'Organizational Data'!AG11</f>
        <v>#NAME?</v>
      </c>
      <c r="O113" s="1007" t="e">
        <f>'Organizational Data'!AH11</f>
        <v>#NAME?</v>
      </c>
      <c r="P113" s="1007" t="e">
        <f>'Organizational Data'!AI11</f>
        <v>#NAME?</v>
      </c>
      <c r="Q113" s="1007" t="e">
        <f>'Organizational Data'!AJ11</f>
        <v>#NAME?</v>
      </c>
      <c r="R113" s="1007" t="e">
        <f>'Organizational Data'!AK11</f>
        <v>#NAME?</v>
      </c>
      <c r="S113" s="1007" t="e">
        <f>'Organizational Data'!AL11</f>
        <v>#NAME?</v>
      </c>
      <c r="T113" s="1007" t="e">
        <f>'Organizational Data'!AM11</f>
        <v>#NAME?</v>
      </c>
      <c r="U113" s="922" t="e">
        <f t="shared" ca="1" si="68"/>
        <v>#N/A</v>
      </c>
      <c r="V113" s="150"/>
      <c r="W113" s="968">
        <f t="shared" si="69"/>
        <v>0</v>
      </c>
      <c r="X113" s="968">
        <f t="shared" ca="1" si="70"/>
        <v>0</v>
      </c>
      <c r="Y113" s="968">
        <f t="shared" si="71"/>
        <v>0</v>
      </c>
    </row>
    <row r="114" spans="3:25">
      <c r="C114" s="1058" t="s">
        <v>605</v>
      </c>
      <c r="D114" s="923" t="str">
        <f ca="1">IFERROR('Refi-Annual Review'!AK171,"")</f>
        <v/>
      </c>
      <c r="E114" s="1008" t="str">
        <f ca="1">IFERROR('Refi-Annual Review'!AL171,"")</f>
        <v/>
      </c>
      <c r="F114" s="1008" t="str">
        <f ca="1">IFERROR('Refi-Annual Review'!AM171,"")</f>
        <v/>
      </c>
      <c r="G114" s="1069" t="str">
        <f ca="1">IFERROR('Refi-Annual Review'!AN171,"")</f>
        <v/>
      </c>
      <c r="H114" s="1008" t="e">
        <f>'Organizational Data'!AA13</f>
        <v>#NAME?</v>
      </c>
      <c r="I114" s="1008" t="e">
        <f>'Organizational Data'!AB13</f>
        <v>#NAME?</v>
      </c>
      <c r="J114" s="1008" t="e">
        <f>'Organizational Data'!AC13</f>
        <v>#NAME?</v>
      </c>
      <c r="K114" s="1008" t="e">
        <f>'Organizational Data'!AD13</f>
        <v>#NAME?</v>
      </c>
      <c r="L114" s="1008" t="e">
        <f>'Organizational Data'!AE13</f>
        <v>#NAME?</v>
      </c>
      <c r="M114" s="1008" t="e">
        <f>'Organizational Data'!AF13</f>
        <v>#NAME?</v>
      </c>
      <c r="N114" s="1008" t="e">
        <f>'Organizational Data'!AG13</f>
        <v>#NAME?</v>
      </c>
      <c r="O114" s="1008" t="e">
        <f>'Organizational Data'!AH13</f>
        <v>#NAME?</v>
      </c>
      <c r="P114" s="1008" t="e">
        <f>'Organizational Data'!AI13</f>
        <v>#NAME?</v>
      </c>
      <c r="Q114" s="1008" t="e">
        <f>'Organizational Data'!AJ13</f>
        <v>#NAME?</v>
      </c>
      <c r="R114" s="1008" t="e">
        <f>'Organizational Data'!AK13</f>
        <v>#NAME?</v>
      </c>
      <c r="S114" s="1008" t="e">
        <f>'Organizational Data'!AL13</f>
        <v>#NAME?</v>
      </c>
      <c r="T114" s="1008" t="e">
        <f>'Organizational Data'!AM13</f>
        <v>#NAME?</v>
      </c>
      <c r="U114" s="923" t="e">
        <f t="shared" ca="1" si="68"/>
        <v>#N/A</v>
      </c>
      <c r="V114" s="150"/>
      <c r="W114" s="968">
        <f t="shared" si="69"/>
        <v>0</v>
      </c>
      <c r="X114" s="968">
        <f t="shared" ca="1" si="70"/>
        <v>0</v>
      </c>
      <c r="Y114" s="968">
        <f t="shared" si="71"/>
        <v>0</v>
      </c>
    </row>
  </sheetData>
  <conditionalFormatting sqref="W93:Y114 W54:Y62 W14:Y31 W33:Y52 W64:Y91">
    <cfRule type="expression" dxfId="219" priority="7">
      <formula>W14&lt;0</formula>
    </cfRule>
    <cfRule type="expression" dxfId="218" priority="8">
      <formula>W14=0</formula>
    </cfRule>
    <cfRule type="expression" dxfId="217" priority="9">
      <formula>W14&gt;0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79998168889431442"/>
  </sheetPr>
  <dimension ref="A1:AR65"/>
  <sheetViews>
    <sheetView showGridLines="0" zoomScale="85" zoomScaleNormal="85" workbookViewId="0">
      <pane xSplit="7" ySplit="9" topLeftCell="M10" activePane="bottomRight" state="frozen"/>
      <selection pane="topRight" activeCell="H1" sqref="H1"/>
      <selection pane="bottomLeft" activeCell="A10" sqref="A10"/>
      <selection pane="bottomRight" activeCell="E9" sqref="E9"/>
    </sheetView>
  </sheetViews>
  <sheetFormatPr defaultRowHeight="16.5" outlineLevelCol="1"/>
  <cols>
    <col min="1" max="1" width="1" style="169" customWidth="1"/>
    <col min="2" max="2" width="2" style="169" customWidth="1"/>
    <col min="3" max="3" width="45.85546875" style="150" customWidth="1"/>
    <col min="4" max="4" width="19.28515625" style="150" customWidth="1"/>
    <col min="5" max="7" width="17.140625" style="150" customWidth="1"/>
    <col min="8" max="11" width="17.140625" style="150" customWidth="1" outlineLevel="1"/>
    <col min="12" max="12" width="17.140625" style="170" customWidth="1" outlineLevel="1"/>
    <col min="13" max="16" width="17.140625" style="150" customWidth="1" outlineLevel="1"/>
    <col min="17" max="17" width="17.140625" style="170" customWidth="1" outlineLevel="1"/>
    <col min="18" max="40" width="17.140625" style="150" customWidth="1" outlineLevel="1"/>
    <col min="41" max="43" width="17.140625" style="150" customWidth="1"/>
    <col min="44" max="44" width="12.7109375" style="150" bestFit="1" customWidth="1"/>
    <col min="45" max="16384" width="9.140625" style="150"/>
  </cols>
  <sheetData>
    <row r="1" spans="1:44" ht="8.25" customHeight="1">
      <c r="A1" s="168"/>
      <c r="B1" s="168"/>
      <c r="D1" s="169" t="s">
        <v>292</v>
      </c>
      <c r="H1" s="509"/>
      <c r="I1" s="509"/>
      <c r="J1" s="509"/>
      <c r="K1" s="509"/>
      <c r="L1" s="581"/>
      <c r="M1" s="509"/>
      <c r="N1" s="509"/>
      <c r="O1" s="509"/>
      <c r="P1" s="509"/>
      <c r="Q1" s="581"/>
      <c r="R1" s="509"/>
      <c r="S1" s="509"/>
      <c r="T1" s="509"/>
      <c r="U1" s="509"/>
      <c r="V1" s="509"/>
      <c r="W1" s="509"/>
      <c r="X1" s="509"/>
      <c r="Y1" s="509"/>
      <c r="Z1" s="509"/>
      <c r="AA1" s="509"/>
      <c r="AB1" s="509"/>
      <c r="AC1" s="509"/>
      <c r="AD1" s="509"/>
      <c r="AE1" s="509"/>
      <c r="AF1" s="509"/>
      <c r="AG1" s="509"/>
      <c r="AH1" s="509"/>
      <c r="AI1" s="509"/>
      <c r="AJ1" s="509"/>
      <c r="AK1" s="509"/>
      <c r="AL1" s="509"/>
      <c r="AM1" s="509"/>
      <c r="AN1" s="509"/>
      <c r="AO1" s="509"/>
      <c r="AP1" s="509"/>
      <c r="AQ1" s="509"/>
    </row>
    <row r="2" spans="1:44" ht="18.75" hidden="1" customHeight="1">
      <c r="A2" s="168"/>
      <c r="B2" s="168"/>
      <c r="C2" s="171" t="e">
        <f ca="1">Config!B10</f>
        <v>#NAME?</v>
      </c>
      <c r="H2" s="509"/>
      <c r="I2" s="509"/>
      <c r="J2" s="509"/>
      <c r="K2" s="509"/>
      <c r="L2" s="581"/>
      <c r="M2" s="509"/>
      <c r="N2" s="509"/>
      <c r="O2" s="509"/>
      <c r="P2" s="509"/>
      <c r="Q2" s="581"/>
      <c r="R2" s="509"/>
      <c r="S2" s="509"/>
      <c r="T2" s="509"/>
      <c r="U2" s="509"/>
      <c r="V2" s="509"/>
      <c r="W2" s="509"/>
      <c r="X2" s="509"/>
      <c r="Y2" s="509"/>
      <c r="Z2" s="509"/>
      <c r="AA2" s="509"/>
      <c r="AB2" s="509"/>
      <c r="AC2" s="509"/>
      <c r="AD2" s="509"/>
      <c r="AE2" s="509"/>
      <c r="AF2" s="509"/>
      <c r="AG2" s="509"/>
      <c r="AH2" s="509"/>
      <c r="AI2" s="509"/>
      <c r="AJ2" s="509"/>
      <c r="AK2" s="509"/>
      <c r="AL2" s="509"/>
      <c r="AM2" s="509"/>
      <c r="AN2" s="509"/>
      <c r="AO2" s="509"/>
      <c r="AP2" s="509"/>
      <c r="AQ2" s="509"/>
    </row>
    <row r="3" spans="1:44" ht="18.75" customHeight="1">
      <c r="A3" s="168"/>
      <c r="B3" s="168"/>
      <c r="C3" s="171" t="e">
        <f ca="1">UPPER(C2&amp;" Balance Sheet")</f>
        <v>#NAME?</v>
      </c>
      <c r="H3" s="509"/>
      <c r="I3" s="509"/>
      <c r="J3" s="509"/>
      <c r="K3" s="509"/>
      <c r="L3" s="581"/>
      <c r="M3" s="509"/>
      <c r="N3" s="509"/>
      <c r="O3" s="509"/>
      <c r="P3" s="509"/>
      <c r="Q3" s="581"/>
      <c r="R3" s="509"/>
      <c r="S3" s="509"/>
      <c r="T3" s="509"/>
      <c r="U3" s="509"/>
      <c r="V3" s="509"/>
      <c r="W3" s="509"/>
      <c r="X3" s="509"/>
      <c r="Y3" s="509"/>
      <c r="Z3" s="509"/>
      <c r="AA3" s="509"/>
      <c r="AB3" s="509"/>
      <c r="AC3" s="509"/>
      <c r="AD3" s="509"/>
      <c r="AE3" s="509"/>
      <c r="AF3" s="509"/>
      <c r="AG3" s="509"/>
      <c r="AH3" s="509"/>
      <c r="AI3" s="509"/>
      <c r="AJ3" s="509"/>
      <c r="AK3" s="509"/>
      <c r="AL3" s="509"/>
      <c r="AM3" s="509"/>
      <c r="AN3" s="509"/>
      <c r="AO3" s="509"/>
      <c r="AP3" s="509"/>
      <c r="AQ3" s="509"/>
    </row>
    <row r="4" spans="1:44" ht="19.5" thickBot="1">
      <c r="A4" s="169" t="s">
        <v>294</v>
      </c>
      <c r="C4" s="152">
        <f>AQ9</f>
        <v>4</v>
      </c>
      <c r="G4" s="171"/>
      <c r="H4" s="509" t="s">
        <v>249</v>
      </c>
      <c r="I4" s="509"/>
      <c r="J4" s="509"/>
      <c r="K4" s="509"/>
      <c r="L4" s="581"/>
      <c r="M4" s="509"/>
      <c r="N4" s="509"/>
      <c r="O4" s="509"/>
      <c r="P4" s="509"/>
      <c r="Q4" s="581"/>
      <c r="R4" s="509"/>
      <c r="S4" s="509"/>
      <c r="T4" s="509"/>
      <c r="U4" s="509"/>
      <c r="V4" s="509"/>
      <c r="W4" s="509"/>
      <c r="X4" s="509"/>
      <c r="Y4" s="509"/>
      <c r="Z4" s="509"/>
      <c r="AA4" s="509"/>
      <c r="AB4" s="509"/>
      <c r="AC4" s="509"/>
      <c r="AD4" s="509"/>
      <c r="AE4" s="509"/>
      <c r="AF4" s="509"/>
      <c r="AG4" s="509"/>
      <c r="AH4" s="509"/>
      <c r="AI4" s="509"/>
      <c r="AJ4" s="509"/>
      <c r="AK4" s="509"/>
      <c r="AL4" s="509"/>
      <c r="AM4" s="509"/>
      <c r="AN4" s="509"/>
      <c r="AO4" s="509"/>
      <c r="AP4" s="509"/>
      <c r="AQ4" s="509"/>
    </row>
    <row r="5" spans="1:44" ht="18.75" thickBot="1">
      <c r="A5" s="169" t="s">
        <v>63</v>
      </c>
      <c r="C5" s="153" t="str">
        <f>"In "&amp;'Balance Sheet'!E5</f>
        <v>In USD</v>
      </c>
      <c r="D5" s="625" t="s">
        <v>295</v>
      </c>
      <c r="E5" s="580" t="s">
        <v>297</v>
      </c>
      <c r="F5" s="517" t="str">
        <f>'Balance Sheet'!E5</f>
        <v>USD</v>
      </c>
      <c r="G5" s="152"/>
      <c r="H5" s="169" t="e">
        <f>DATA_FORMATTING!E3</f>
        <v>#VALUE!</v>
      </c>
      <c r="I5" s="169" t="e">
        <f>DATA_FORMATTING!F3</f>
        <v>#VALUE!</v>
      </c>
      <c r="J5" s="169" t="e">
        <f>DATA_FORMATTING!G3</f>
        <v>#VALUE!</v>
      </c>
      <c r="K5" s="169" t="e">
        <f>DATA_FORMATTING!H3</f>
        <v>#VALUE!</v>
      </c>
      <c r="L5" s="169" t="e">
        <f>DATA_FORMATTING!I3</f>
        <v>#VALUE!</v>
      </c>
      <c r="M5" s="169" t="e">
        <f>DATA_FORMATTING!J3</f>
        <v>#VALUE!</v>
      </c>
      <c r="N5" s="169" t="e">
        <f>DATA_FORMATTING!K3</f>
        <v>#VALUE!</v>
      </c>
      <c r="O5" s="169" t="e">
        <f>DATA_FORMATTING!L3</f>
        <v>#VALUE!</v>
      </c>
      <c r="P5" s="169" t="e">
        <f>DATA_FORMATTING!M3</f>
        <v>#VALUE!</v>
      </c>
      <c r="Q5" s="169" t="e">
        <f>DATA_FORMATTING!N3</f>
        <v>#VALUE!</v>
      </c>
      <c r="R5" s="169" t="e">
        <f>DATA_FORMATTING!O3</f>
        <v>#VALUE!</v>
      </c>
      <c r="S5" s="169" t="e">
        <f>DATA_FORMATTING!P3</f>
        <v>#VALUE!</v>
      </c>
      <c r="T5" s="169" t="e">
        <f>DATA_FORMATTING!Q3</f>
        <v>#VALUE!</v>
      </c>
      <c r="U5" s="169" t="e">
        <f>DATA_FORMATTING!R3</f>
        <v>#VALUE!</v>
      </c>
      <c r="V5" s="169" t="e">
        <f>DATA_FORMATTING!S3</f>
        <v>#VALUE!</v>
      </c>
      <c r="W5" s="169" t="e">
        <f>DATA_FORMATTING!T3</f>
        <v>#VALUE!</v>
      </c>
      <c r="X5" s="169" t="e">
        <f>DATA_FORMATTING!U3</f>
        <v>#VALUE!</v>
      </c>
      <c r="Y5" s="169" t="e">
        <f>DATA_FORMATTING!V3</f>
        <v>#VALUE!</v>
      </c>
      <c r="Z5" s="169" t="e">
        <f>DATA_FORMATTING!W3</f>
        <v>#VALUE!</v>
      </c>
      <c r="AA5" s="169" t="e">
        <f>DATA_FORMATTING!X3</f>
        <v>#VALUE!</v>
      </c>
      <c r="AB5" s="169" t="e">
        <f>DATA_FORMATTING!Y3</f>
        <v>#VALUE!</v>
      </c>
      <c r="AC5" s="169" t="e">
        <f>DATA_FORMATTING!Z3</f>
        <v>#VALUE!</v>
      </c>
      <c r="AD5" s="169" t="e">
        <f>DATA_FORMATTING!AA3</f>
        <v>#VALUE!</v>
      </c>
      <c r="AE5" s="169" t="e">
        <f>DATA_FORMATTING!AB3</f>
        <v>#VALUE!</v>
      </c>
      <c r="AF5" s="169" t="e">
        <f>DATA_FORMATTING!AC3</f>
        <v>#VALUE!</v>
      </c>
      <c r="AG5" s="169" t="e">
        <f>DATA_FORMATTING!AD3</f>
        <v>#VALUE!</v>
      </c>
      <c r="AH5" s="169" t="e">
        <f>DATA_FORMATTING!AE3</f>
        <v>#VALUE!</v>
      </c>
      <c r="AI5" s="169" t="e">
        <f>DATA_FORMATTING!AF3</f>
        <v>#VALUE!</v>
      </c>
      <c r="AJ5" s="169" t="e">
        <f>DATA_FORMATTING!AG3</f>
        <v>#VALUE!</v>
      </c>
      <c r="AK5" s="169" t="e">
        <f>DATA_FORMATTING!AH3</f>
        <v>#VALUE!</v>
      </c>
      <c r="AL5" s="169" t="e">
        <f>DATA_FORMATTING!AI3</f>
        <v>#VALUE!</v>
      </c>
      <c r="AM5" s="169" t="e">
        <f>DATA_FORMATTING!AJ3</f>
        <v>#VALUE!</v>
      </c>
      <c r="AN5" s="169" t="e">
        <f>DATA_FORMATTING!AK3</f>
        <v>#VALUE!</v>
      </c>
      <c r="AO5" s="169" t="e">
        <f>DATA_FORMATTING!AL3</f>
        <v>#VALUE!</v>
      </c>
      <c r="AP5" s="169" t="e">
        <f>DATA_FORMATTING!AM3</f>
        <v>#VALUE!</v>
      </c>
      <c r="AQ5" s="169" t="e">
        <f>DATA_FORMATTING!AN3</f>
        <v>#VALUE!</v>
      </c>
    </row>
    <row r="6" spans="1:44" ht="9.75" customHeight="1">
      <c r="A6" s="169" t="s">
        <v>296</v>
      </c>
      <c r="C6" s="169"/>
      <c r="H6" s="893" t="e">
        <f t="shared" ref="H6:AP6" ca="1" si="0">IF(SUM(H11:H17)&lt;=0,0,1)</f>
        <v>#VALUE!</v>
      </c>
      <c r="I6" s="893" t="e">
        <f t="shared" ca="1" si="0"/>
        <v>#VALUE!</v>
      </c>
      <c r="J6" s="893" t="e">
        <f t="shared" ca="1" si="0"/>
        <v>#VALUE!</v>
      </c>
      <c r="K6" s="893" t="e">
        <f t="shared" ca="1" si="0"/>
        <v>#VALUE!</v>
      </c>
      <c r="L6" s="893" t="e">
        <f t="shared" ca="1" si="0"/>
        <v>#VALUE!</v>
      </c>
      <c r="M6" s="893" t="e">
        <f t="shared" ca="1" si="0"/>
        <v>#VALUE!</v>
      </c>
      <c r="N6" s="893" t="e">
        <f t="shared" ca="1" si="0"/>
        <v>#VALUE!</v>
      </c>
      <c r="O6" s="893" t="e">
        <f t="shared" ca="1" si="0"/>
        <v>#VALUE!</v>
      </c>
      <c r="P6" s="893" t="e">
        <f t="shared" ca="1" si="0"/>
        <v>#VALUE!</v>
      </c>
      <c r="Q6" s="893" t="e">
        <f t="shared" ca="1" si="0"/>
        <v>#VALUE!</v>
      </c>
      <c r="R6" s="893" t="e">
        <f t="shared" ca="1" si="0"/>
        <v>#VALUE!</v>
      </c>
      <c r="S6" s="893" t="e">
        <f t="shared" ca="1" si="0"/>
        <v>#VALUE!</v>
      </c>
      <c r="T6" s="893" t="e">
        <f t="shared" ca="1" si="0"/>
        <v>#VALUE!</v>
      </c>
      <c r="U6" s="893" t="e">
        <f t="shared" ca="1" si="0"/>
        <v>#VALUE!</v>
      </c>
      <c r="V6" s="893" t="e">
        <f t="shared" ca="1" si="0"/>
        <v>#VALUE!</v>
      </c>
      <c r="W6" s="893" t="e">
        <f t="shared" ca="1" si="0"/>
        <v>#VALUE!</v>
      </c>
      <c r="X6" s="893" t="e">
        <f t="shared" ca="1" si="0"/>
        <v>#VALUE!</v>
      </c>
      <c r="Y6" s="893" t="e">
        <f t="shared" ca="1" si="0"/>
        <v>#VALUE!</v>
      </c>
      <c r="Z6" s="893" t="e">
        <f t="shared" ca="1" si="0"/>
        <v>#VALUE!</v>
      </c>
      <c r="AA6" s="893" t="e">
        <f t="shared" ca="1" si="0"/>
        <v>#VALUE!</v>
      </c>
      <c r="AB6" s="893" t="e">
        <f t="shared" ca="1" si="0"/>
        <v>#VALUE!</v>
      </c>
      <c r="AC6" s="893" t="e">
        <f t="shared" ca="1" si="0"/>
        <v>#VALUE!</v>
      </c>
      <c r="AD6" s="893" t="e">
        <f t="shared" ca="1" si="0"/>
        <v>#VALUE!</v>
      </c>
      <c r="AE6" s="893" t="e">
        <f t="shared" ca="1" si="0"/>
        <v>#VALUE!</v>
      </c>
      <c r="AF6" s="893" t="e">
        <f t="shared" ca="1" si="0"/>
        <v>#VALUE!</v>
      </c>
      <c r="AG6" s="893" t="e">
        <f t="shared" ca="1" si="0"/>
        <v>#VALUE!</v>
      </c>
      <c r="AH6" s="893" t="e">
        <f t="shared" ca="1" si="0"/>
        <v>#VALUE!</v>
      </c>
      <c r="AI6" s="893" t="e">
        <f t="shared" ca="1" si="0"/>
        <v>#VALUE!</v>
      </c>
      <c r="AJ6" s="893" t="e">
        <f t="shared" ca="1" si="0"/>
        <v>#VALUE!</v>
      </c>
      <c r="AK6" s="893" t="e">
        <f t="shared" ca="1" si="0"/>
        <v>#VALUE!</v>
      </c>
      <c r="AL6" s="893" t="e">
        <f t="shared" ca="1" si="0"/>
        <v>#VALUE!</v>
      </c>
      <c r="AM6" s="893" t="e">
        <f t="shared" ca="1" si="0"/>
        <v>#VALUE!</v>
      </c>
      <c r="AN6" s="893" t="e">
        <f t="shared" ca="1" si="0"/>
        <v>#VALUE!</v>
      </c>
      <c r="AO6" s="893" t="e">
        <f t="shared" ca="1" si="0"/>
        <v>#VALUE!</v>
      </c>
      <c r="AP6" s="893" t="e">
        <f t="shared" ca="1" si="0"/>
        <v>#VALUE!</v>
      </c>
      <c r="AQ6" s="893" t="e">
        <f ca="1">IF(SUM(AQ11:AQ17)&lt;=0,0,1)</f>
        <v>#NAME?</v>
      </c>
      <c r="AR6" s="169"/>
    </row>
    <row r="7" spans="1:44" s="2" customFormat="1">
      <c r="A7" s="169"/>
      <c r="B7" s="169"/>
      <c r="C7" s="159" t="s">
        <v>297</v>
      </c>
      <c r="D7" s="153"/>
      <c r="E7" s="3"/>
      <c r="F7" s="153"/>
      <c r="G7" s="561" t="s">
        <v>445</v>
      </c>
      <c r="H7" s="585" t="e">
        <f ca="1">IF($E$5="USD",AVERAGE((OFFSET(DB_LOAD!$K:$K,MATCH('Balance Sheet'!H9,DB_LOAD!$H:$H,0)-1,0,12,1))),1)</f>
        <v>#N/A</v>
      </c>
      <c r="I7" s="585" t="e">
        <f ca="1">IF($E$5="USD",AVERAGE((OFFSET(DB_LOAD!$K:$K,MATCH('Balance Sheet'!I9,DB_LOAD!$H:$H,0)-1,0,12,1))),1)</f>
        <v>#N/A</v>
      </c>
      <c r="J7" s="585" t="e">
        <f ca="1">IF($E$5="USD",AVERAGE((OFFSET(DB_LOAD!$K:$K,MATCH('Balance Sheet'!J9,DB_LOAD!$H:$H,0)-1,0,12,1))),1)</f>
        <v>#N/A</v>
      </c>
      <c r="K7" s="585" t="e">
        <f ca="1">IF($E$5="USD",AVERAGE((OFFSET(DB_LOAD!$K:$K,MATCH('Balance Sheet'!K9,DB_LOAD!$H:$H,0)-1,0,12,1))),1)</f>
        <v>#N/A</v>
      </c>
      <c r="L7" s="585" t="e">
        <f ca="1">IF($E$5="USD",AVERAGE((OFFSET(DB_LOAD!$K:$K,MATCH('Balance Sheet'!L9,DB_LOAD!$H:$H,0)-1,0,12,1))),1)</f>
        <v>#N/A</v>
      </c>
      <c r="M7" s="585" t="e">
        <f ca="1">IF($E$5="USD",AVERAGE((OFFSET(DB_LOAD!$K:$K,MATCH('Balance Sheet'!M9,DB_LOAD!$H:$H,0)-1,0,12,1))),1)</f>
        <v>#N/A</v>
      </c>
      <c r="N7" s="585" t="e">
        <f ca="1">IF($E$5="USD",AVERAGE((OFFSET(DB_LOAD!$K:$K,MATCH('Balance Sheet'!N9,DB_LOAD!$H:$H,0)-1,0,12,1))),1)</f>
        <v>#N/A</v>
      </c>
      <c r="O7" s="585" t="e">
        <f ca="1">IF($E$5="USD",AVERAGE((OFFSET(DB_LOAD!$K:$K,MATCH('Balance Sheet'!O9,DB_LOAD!$H:$H,0)-1,0,12,1))),1)</f>
        <v>#N/A</v>
      </c>
      <c r="P7" s="585" t="e">
        <f ca="1">IF($E$5="USD",AVERAGE((OFFSET(DB_LOAD!$K:$K,MATCH('Balance Sheet'!P9,DB_LOAD!$H:$H,0)-1,0,12,1))),1)</f>
        <v>#N/A</v>
      </c>
      <c r="Q7" s="585" t="e">
        <f ca="1">IF($E$5="USD",AVERAGE((OFFSET(DB_LOAD!$K:$K,MATCH('Balance Sheet'!Q9,DB_LOAD!$H:$H,0)-1,0,12,1))),1)</f>
        <v>#N/A</v>
      </c>
      <c r="R7" s="585" t="e">
        <f ca="1">IF($E$5="USD",AVERAGE((OFFSET(DB_LOAD!$K:$K,MATCH('Balance Sheet'!R9,DB_LOAD!$H:$H,0)-1,0,12,1))),1)</f>
        <v>#N/A</v>
      </c>
      <c r="S7" s="585" t="e">
        <f ca="1">IF($E$5="USD",AVERAGE((OFFSET(DB_LOAD!$K:$K,MATCH('Balance Sheet'!S9,DB_LOAD!$H:$H,0)-1,0,12,1))),1)</f>
        <v>#N/A</v>
      </c>
      <c r="T7" s="585" t="e">
        <f ca="1">IF($E$5="USD",AVERAGE((OFFSET(DB_LOAD!$K:$K,MATCH('Balance Sheet'!T9,DB_LOAD!$H:$H,0)-1,0,12,1))),1)</f>
        <v>#N/A</v>
      </c>
      <c r="U7" s="585" t="e">
        <f ca="1">IF($E$5="USD",AVERAGE((OFFSET(DB_LOAD!$K:$K,MATCH('Balance Sheet'!U9,DB_LOAD!$H:$H,0)-1,0,12,1))),1)</f>
        <v>#N/A</v>
      </c>
      <c r="V7" s="585" t="e">
        <f ca="1">IF($E$5="USD",AVERAGE((OFFSET(DB_LOAD!$K:$K,MATCH('Balance Sheet'!V9,DB_LOAD!$H:$H,0)-1,0,12,1))),1)</f>
        <v>#N/A</v>
      </c>
      <c r="W7" s="585" t="e">
        <f ca="1">IF($E$5="USD",AVERAGE((OFFSET(DB_LOAD!$K:$K,MATCH('Balance Sheet'!W9,DB_LOAD!$H:$H,0)-1,0,12,1))),1)</f>
        <v>#N/A</v>
      </c>
      <c r="X7" s="585" t="e">
        <f ca="1">IF($E$5="USD",AVERAGE((OFFSET(DB_LOAD!$K:$K,MATCH('Balance Sheet'!X9,DB_LOAD!$H:$H,0)-1,0,12,1))),1)</f>
        <v>#N/A</v>
      </c>
      <c r="Y7" s="585" t="e">
        <f ca="1">IF($E$5="USD",AVERAGE((OFFSET(DB_LOAD!$K:$K,MATCH('Balance Sheet'!Y9,DB_LOAD!$H:$H,0)-1,0,12,1))),1)</f>
        <v>#N/A</v>
      </c>
      <c r="Z7" s="585" t="e">
        <f ca="1">IF($E$5="USD",AVERAGE((OFFSET(DB_LOAD!$K:$K,MATCH('Balance Sheet'!Z9,DB_LOAD!$H:$H,0)-1,0,12,1))),1)</f>
        <v>#N/A</v>
      </c>
      <c r="AA7" s="585" t="e">
        <f ca="1">IF($E$5="USD",AVERAGE((OFFSET(DB_LOAD!$K:$K,MATCH('Balance Sheet'!AA9,DB_LOAD!$H:$H,0)-1,0,12,1))),1)</f>
        <v>#N/A</v>
      </c>
      <c r="AB7" s="585" t="e">
        <f ca="1">IF($E$5="USD",AVERAGE((OFFSET(DB_LOAD!$K:$K,MATCH('Balance Sheet'!AB9,DB_LOAD!$H:$H,0)-1,0,12,1))),1)</f>
        <v>#N/A</v>
      </c>
      <c r="AC7" s="585" t="e">
        <f ca="1">IF($E$5="USD",AVERAGE((OFFSET(DB_LOAD!$K:$K,MATCH('Balance Sheet'!AC9,DB_LOAD!$H:$H,0)-1,0,12,1))),1)</f>
        <v>#N/A</v>
      </c>
      <c r="AD7" s="585" t="e">
        <f ca="1">IF($E$5="USD",AVERAGE((OFFSET(DB_LOAD!$K:$K,MATCH('Balance Sheet'!AD9,DB_LOAD!$H:$H,0)-1,0,12,1))),1)</f>
        <v>#N/A</v>
      </c>
      <c r="AE7" s="585" t="e">
        <f ca="1">IF($E$5="USD",AVERAGE((OFFSET(DB_LOAD!$K:$K,MATCH('Balance Sheet'!AE9,DB_LOAD!$H:$H,0)-1,0,12,1))),1)</f>
        <v>#N/A</v>
      </c>
      <c r="AF7" s="585" t="e">
        <f ca="1">IF($E$5="USD",AVERAGE((OFFSET(DB_LOAD!$K:$K,MATCH('Balance Sheet'!AF9,DB_LOAD!$H:$H,0)-1,0,12,1))),1)</f>
        <v>#N/A</v>
      </c>
      <c r="AG7" s="585" t="e">
        <f ca="1">IF($E$5="USD",AVERAGE((OFFSET(DB_LOAD!$K:$K,MATCH('Balance Sheet'!AG9,DB_LOAD!$H:$H,0)-1,0,12,1))),1)</f>
        <v>#N/A</v>
      </c>
      <c r="AH7" s="585" t="e">
        <f ca="1">IF($E$5="USD",AVERAGE((OFFSET(DB_LOAD!$K:$K,MATCH('Balance Sheet'!AH9,DB_LOAD!$H:$H,0)-1,0,12,1))),1)</f>
        <v>#N/A</v>
      </c>
      <c r="AI7" s="585" t="e">
        <f ca="1">IF($E$5="USD",AVERAGE((OFFSET(DB_LOAD!$K:$K,MATCH('Balance Sheet'!AI9,DB_LOAD!$H:$H,0)-1,0,12,1))),1)</f>
        <v>#N/A</v>
      </c>
      <c r="AJ7" s="585" t="e">
        <f ca="1">IF($E$5="USD",AVERAGE((OFFSET(DB_LOAD!$K:$K,MATCH('Balance Sheet'!AJ9,DB_LOAD!$H:$H,0)-1,0,12,1))),1)</f>
        <v>#N/A</v>
      </c>
      <c r="AK7" s="585" t="e">
        <f ca="1">IF($E$5="USD",AVERAGE((OFFSET(DB_LOAD!$K:$K,MATCH('Balance Sheet'!AK9,DB_LOAD!$H:$H,0)-1,0,12,1))),1)</f>
        <v>#N/A</v>
      </c>
      <c r="AL7" s="585" t="e">
        <f ca="1">IF($E$5="USD",AVERAGE((OFFSET(DB_LOAD!$K:$K,MATCH('Balance Sheet'!AL9,DB_LOAD!$H:$H,0)-1,0,12,1))),1)</f>
        <v>#N/A</v>
      </c>
      <c r="AM7" s="585" t="e">
        <f ca="1">IF($E$5="USD",AVERAGE((OFFSET(DB_LOAD!$K:$K,MATCH('Balance Sheet'!AM9,DB_LOAD!$H:$H,0)-1,0,12,1))),1)</f>
        <v>#N/A</v>
      </c>
      <c r="AN7" s="585" t="e">
        <f ca="1">IF($E$5="USD",AVERAGE((OFFSET(DB_LOAD!$K:$K,MATCH('Balance Sheet'!AN9,DB_LOAD!$H:$H,0)-1,0,12,1))),1)</f>
        <v>#N/A</v>
      </c>
      <c r="AO7" s="585" t="e">
        <f ca="1">IF($E$5="USD",AVERAGE((OFFSET(DB_LOAD!$K:$K,MATCH('Balance Sheet'!AO9,DB_LOAD!$H:$H,0)-1,0,12,1))),1)</f>
        <v>#N/A</v>
      </c>
      <c r="AP7" s="585" t="e">
        <f ca="1">IF($E$5="USD",AVERAGE((OFFSET(DB_LOAD!$K:$K,MATCH('Balance Sheet'!AP9,DB_LOAD!$H:$H,0)-1,0,12,1))),1)</f>
        <v>#N/A</v>
      </c>
      <c r="AQ7" s="585" t="e">
        <f ca="1">IF($E$5="USD",AVERAGE((OFFSET(DB_LOAD!$K:$K,MATCH('Balance Sheet'!AQ9,DB_LOAD!$H:$H,0)-1,0,12,1))),1)</f>
        <v>#N/A</v>
      </c>
      <c r="AR7" s="159"/>
    </row>
    <row r="8" spans="1:44" s="2" customFormat="1" ht="17.25" thickBot="1">
      <c r="A8" s="169"/>
      <c r="B8" s="169"/>
      <c r="C8" s="159"/>
      <c r="D8" s="623" t="s">
        <v>438</v>
      </c>
      <c r="E8" s="624" t="s">
        <v>439</v>
      </c>
      <c r="F8" s="153"/>
      <c r="G8" s="584" t="s">
        <v>444</v>
      </c>
      <c r="H8" s="585" t="e">
        <f ca="1">IF($E$5="USD",(OFFSET(DB_LOAD!$K:$K,MATCH('Balance Sheet'!H9,DB_LOAD!$H:$H,0)-1,0,1,1)),1)</f>
        <v>#N/A</v>
      </c>
      <c r="I8" s="585" t="e">
        <f ca="1">IF($E$5="USD",(OFFSET(DB_LOAD!$K:$K,MATCH('Balance Sheet'!I9,DB_LOAD!$H:$H,0)-1,0,1,1)),1)</f>
        <v>#N/A</v>
      </c>
      <c r="J8" s="585" t="e">
        <f ca="1">IF($E$5="USD",(OFFSET(DB_LOAD!$K:$K,MATCH('Balance Sheet'!J9,DB_LOAD!$H:$H,0)-1,0,1,1)),1)</f>
        <v>#N/A</v>
      </c>
      <c r="K8" s="585" t="e">
        <f ca="1">IF($E$5="USD",(OFFSET(DB_LOAD!$K:$K,MATCH('Balance Sheet'!K9,DB_LOAD!$H:$H,0)-1,0,1,1)),1)</f>
        <v>#N/A</v>
      </c>
      <c r="L8" s="585" t="e">
        <f ca="1">IF($E$5="USD",(OFFSET(DB_LOAD!$K:$K,MATCH('Balance Sheet'!L9,DB_LOAD!$H:$H,0)-1,0,1,1)),1)</f>
        <v>#N/A</v>
      </c>
      <c r="M8" s="585" t="e">
        <f ca="1">IF($E$5="USD",(OFFSET(DB_LOAD!$K:$K,MATCH('Balance Sheet'!M9,DB_LOAD!$H:$H,0)-1,0,1,1)),1)</f>
        <v>#N/A</v>
      </c>
      <c r="N8" s="585" t="e">
        <f ca="1">IF($E$5="USD",(OFFSET(DB_LOAD!$K:$K,MATCH('Balance Sheet'!N9,DB_LOAD!$H:$H,0)-1,0,1,1)),1)</f>
        <v>#N/A</v>
      </c>
      <c r="O8" s="585" t="e">
        <f ca="1">IF($E$5="USD",(OFFSET(DB_LOAD!$K:$K,MATCH('Balance Sheet'!O9,DB_LOAD!$H:$H,0)-1,0,1,1)),1)</f>
        <v>#N/A</v>
      </c>
      <c r="P8" s="585" t="e">
        <f ca="1">IF($E$5="USD",(OFFSET(DB_LOAD!$K:$K,MATCH('Balance Sheet'!P9,DB_LOAD!$H:$H,0)-1,0,1,1)),1)</f>
        <v>#N/A</v>
      </c>
      <c r="Q8" s="585" t="e">
        <f ca="1">IF($E$5="USD",(OFFSET(DB_LOAD!$K:$K,MATCH('Balance Sheet'!Q9,DB_LOAD!$H:$H,0)-1,0,1,1)),1)</f>
        <v>#N/A</v>
      </c>
      <c r="R8" s="585" t="e">
        <f ca="1">IF($E$5="USD",(OFFSET(DB_LOAD!$K:$K,MATCH('Balance Sheet'!R9,DB_LOAD!$H:$H,0)-1,0,1,1)),1)</f>
        <v>#N/A</v>
      </c>
      <c r="S8" s="585" t="e">
        <f ca="1">IF($E$5="USD",(OFFSET(DB_LOAD!$K:$K,MATCH('Balance Sheet'!S9,DB_LOAD!$H:$H,0)-1,0,1,1)),1)</f>
        <v>#N/A</v>
      </c>
      <c r="T8" s="585" t="e">
        <f ca="1">IF($E$5="USD",(OFFSET(DB_LOAD!$K:$K,MATCH('Balance Sheet'!T9,DB_LOAD!$H:$H,0)-1,0,1,1)),1)</f>
        <v>#N/A</v>
      </c>
      <c r="U8" s="585" t="e">
        <f ca="1">IF($E$5="USD",(OFFSET(DB_LOAD!$K:$K,MATCH('Balance Sheet'!U9,DB_LOAD!$H:$H,0)-1,0,1,1)),1)</f>
        <v>#N/A</v>
      </c>
      <c r="V8" s="585" t="e">
        <f ca="1">IF($E$5="USD",(OFFSET(DB_LOAD!$K:$K,MATCH('Balance Sheet'!V9,DB_LOAD!$H:$H,0)-1,0,1,1)),1)</f>
        <v>#N/A</v>
      </c>
      <c r="W8" s="585" t="e">
        <f ca="1">IF($E$5="USD",(OFFSET(DB_LOAD!$K:$K,MATCH('Balance Sheet'!W9,DB_LOAD!$H:$H,0)-1,0,1,1)),1)</f>
        <v>#N/A</v>
      </c>
      <c r="X8" s="585" t="e">
        <f ca="1">IF($E$5="USD",(OFFSET(DB_LOAD!$K:$K,MATCH('Balance Sheet'!X9,DB_LOAD!$H:$H,0)-1,0,1,1)),1)</f>
        <v>#N/A</v>
      </c>
      <c r="Y8" s="585" t="e">
        <f ca="1">IF($E$5="USD",(OFFSET(DB_LOAD!$K:$K,MATCH('Balance Sheet'!Y9,DB_LOAD!$H:$H,0)-1,0,1,1)),1)</f>
        <v>#N/A</v>
      </c>
      <c r="Z8" s="585" t="e">
        <f ca="1">IF($E$5="USD",(OFFSET(DB_LOAD!$K:$K,MATCH('Balance Sheet'!Z9,DB_LOAD!$H:$H,0)-1,0,1,1)),1)</f>
        <v>#N/A</v>
      </c>
      <c r="AA8" s="585" t="e">
        <f ca="1">IF($E$5="USD",(OFFSET(DB_LOAD!$K:$K,MATCH('Balance Sheet'!AA9,DB_LOAD!$H:$H,0)-1,0,1,1)),1)</f>
        <v>#N/A</v>
      </c>
      <c r="AB8" s="585" t="e">
        <f ca="1">IF($E$5="USD",(OFFSET(DB_LOAD!$K:$K,MATCH('Balance Sheet'!AB9,DB_LOAD!$H:$H,0)-1,0,1,1)),1)</f>
        <v>#N/A</v>
      </c>
      <c r="AC8" s="585" t="e">
        <f ca="1">IF($E$5="USD",(OFFSET(DB_LOAD!$K:$K,MATCH('Balance Sheet'!AC9,DB_LOAD!$H:$H,0)-1,0,1,1)),1)</f>
        <v>#N/A</v>
      </c>
      <c r="AD8" s="585" t="e">
        <f ca="1">IF($E$5="USD",(OFFSET(DB_LOAD!$K:$K,MATCH('Balance Sheet'!AD9,DB_LOAD!$H:$H,0)-1,0,1,1)),1)</f>
        <v>#N/A</v>
      </c>
      <c r="AE8" s="585" t="e">
        <f ca="1">IF($E$5="USD",(OFFSET(DB_LOAD!$K:$K,MATCH('Balance Sheet'!AE9,DB_LOAD!$H:$H,0)-1,0,1,1)),1)</f>
        <v>#N/A</v>
      </c>
      <c r="AF8" s="585" t="e">
        <f ca="1">IF($E$5="USD",(OFFSET(DB_LOAD!$K:$K,MATCH('Balance Sheet'!AF9,DB_LOAD!$H:$H,0)-1,0,1,1)),1)</f>
        <v>#N/A</v>
      </c>
      <c r="AG8" s="585" t="e">
        <f ca="1">IF($E$5="USD",(OFFSET(DB_LOAD!$K:$K,MATCH('Balance Sheet'!AG9,DB_LOAD!$H:$H,0)-1,0,1,1)),1)</f>
        <v>#N/A</v>
      </c>
      <c r="AH8" s="585" t="e">
        <f ca="1">IF($E$5="USD",(OFFSET(DB_LOAD!$K:$K,MATCH('Balance Sheet'!AH9,DB_LOAD!$H:$H,0)-1,0,1,1)),1)</f>
        <v>#N/A</v>
      </c>
      <c r="AI8" s="585" t="e">
        <f ca="1">IF($E$5="USD",(OFFSET(DB_LOAD!$K:$K,MATCH('Balance Sheet'!AI9,DB_LOAD!$H:$H,0)-1,0,1,1)),1)</f>
        <v>#N/A</v>
      </c>
      <c r="AJ8" s="585" t="e">
        <f ca="1">IF($E$5="USD",(OFFSET(DB_LOAD!$K:$K,MATCH('Balance Sheet'!AJ9,DB_LOAD!$H:$H,0)-1,0,1,1)),1)</f>
        <v>#N/A</v>
      </c>
      <c r="AK8" s="585" t="e">
        <f ca="1">IF($E$5="USD",(OFFSET(DB_LOAD!$K:$K,MATCH('Balance Sheet'!AK9,DB_LOAD!$H:$H,0)-1,0,1,1)),1)</f>
        <v>#N/A</v>
      </c>
      <c r="AL8" s="585" t="e">
        <f ca="1">IF($E$5="USD",(OFFSET(DB_LOAD!$K:$K,MATCH('Balance Sheet'!AL9,DB_LOAD!$H:$H,0)-1,0,1,1)),1)</f>
        <v>#N/A</v>
      </c>
      <c r="AM8" s="585" t="e">
        <f ca="1">IF($E$5="USD",(OFFSET(DB_LOAD!$K:$K,MATCH('Balance Sheet'!AM9,DB_LOAD!$H:$H,0)-1,0,1,1)),1)</f>
        <v>#N/A</v>
      </c>
      <c r="AN8" s="585" t="e">
        <f ca="1">IF($E$5="USD",(OFFSET(DB_LOAD!$K:$K,MATCH('Balance Sheet'!AN9,DB_LOAD!$H:$H,0)-1,0,1,1)),1)</f>
        <v>#N/A</v>
      </c>
      <c r="AO8" s="585" t="e">
        <f ca="1">IF($E$5="USD",(OFFSET(DB_LOAD!$K:$K,MATCH('Balance Sheet'!AO9,DB_LOAD!$H:$H,0)-1,0,1,1)),1)</f>
        <v>#N/A</v>
      </c>
      <c r="AP8" s="585" t="e">
        <f ca="1">IF($E$5="USD",(OFFSET(DB_LOAD!$K:$K,MATCH('Balance Sheet'!AP9,DB_LOAD!$H:$H,0)-1,0,1,1)),1)</f>
        <v>#N/A</v>
      </c>
      <c r="AQ8" s="585" t="e">
        <f ca="1">IF($E$5="USD",(OFFSET(DB_LOAD!$K:$K,MATCH('Balance Sheet'!AQ9,DB_LOAD!$H:$H,0)-1,0,1,1)),1)</f>
        <v>#N/A</v>
      </c>
      <c r="AR8" s="159"/>
    </row>
    <row r="9" spans="1:44" s="2" customFormat="1" ht="17.25" thickBot="1">
      <c r="A9" s="169"/>
      <c r="B9" s="169"/>
      <c r="C9" s="172"/>
      <c r="D9" s="173">
        <v>4</v>
      </c>
      <c r="E9" s="173">
        <v>-2146826252</v>
      </c>
      <c r="F9" s="173" t="s">
        <v>298</v>
      </c>
      <c r="G9" s="232" t="s">
        <v>299</v>
      </c>
      <c r="H9" s="174" t="str">
        <f>DATA_FORMATTING!E7</f>
        <v/>
      </c>
      <c r="I9" s="174" t="str">
        <f>DATA_FORMATTING!F7</f>
        <v/>
      </c>
      <c r="J9" s="174" t="str">
        <f>DATA_FORMATTING!G7</f>
        <v/>
      </c>
      <c r="K9" s="174" t="str">
        <f>DATA_FORMATTING!H7</f>
        <v/>
      </c>
      <c r="L9" s="174" t="str">
        <f>DATA_FORMATTING!I7</f>
        <v/>
      </c>
      <c r="M9" s="174" t="str">
        <f>DATA_FORMATTING!J7</f>
        <v/>
      </c>
      <c r="N9" s="174" t="str">
        <f>DATA_FORMATTING!K7</f>
        <v/>
      </c>
      <c r="O9" s="174" t="str">
        <f>DATA_FORMATTING!L7</f>
        <v/>
      </c>
      <c r="P9" s="174" t="str">
        <f>DATA_FORMATTING!M7</f>
        <v/>
      </c>
      <c r="Q9" s="174" t="str">
        <f>DATA_FORMATTING!N7</f>
        <v/>
      </c>
      <c r="R9" s="174" t="str">
        <f>DATA_FORMATTING!O7</f>
        <v/>
      </c>
      <c r="S9" s="174" t="str">
        <f>DATA_FORMATTING!P7</f>
        <v/>
      </c>
      <c r="T9" s="174" t="str">
        <f>DATA_FORMATTING!Q7</f>
        <v/>
      </c>
      <c r="U9" s="174" t="str">
        <f>DATA_FORMATTING!R7</f>
        <v/>
      </c>
      <c r="V9" s="174" t="str">
        <f>DATA_FORMATTING!S7</f>
        <v/>
      </c>
      <c r="W9" s="174" t="str">
        <f>DATA_FORMATTING!T7</f>
        <v/>
      </c>
      <c r="X9" s="174" t="str">
        <f>DATA_FORMATTING!U7</f>
        <v/>
      </c>
      <c r="Y9" s="174" t="str">
        <f>DATA_FORMATTING!V7</f>
        <v/>
      </c>
      <c r="Z9" s="174" t="str">
        <f>DATA_FORMATTING!W7</f>
        <v/>
      </c>
      <c r="AA9" s="174" t="str">
        <f>DATA_FORMATTING!X7</f>
        <v/>
      </c>
      <c r="AB9" s="174" t="str">
        <f>DATA_FORMATTING!Y7</f>
        <v/>
      </c>
      <c r="AC9" s="174" t="str">
        <f>DATA_FORMATTING!Z7</f>
        <v/>
      </c>
      <c r="AD9" s="174" t="str">
        <f>DATA_FORMATTING!AA7</f>
        <v/>
      </c>
      <c r="AE9" s="174" t="str">
        <f>DATA_FORMATTING!AB7</f>
        <v/>
      </c>
      <c r="AF9" s="174" t="str">
        <f>DATA_FORMATTING!AC7</f>
        <v/>
      </c>
      <c r="AG9" s="174" t="str">
        <f>DATA_FORMATTING!AD7</f>
        <v/>
      </c>
      <c r="AH9" s="174" t="str">
        <f>DATA_FORMATTING!AE7</f>
        <v/>
      </c>
      <c r="AI9" s="174" t="str">
        <f>DATA_FORMATTING!AF7</f>
        <v/>
      </c>
      <c r="AJ9" s="174" t="str">
        <f>DATA_FORMATTING!AG7</f>
        <v/>
      </c>
      <c r="AK9" s="174" t="str">
        <f>DATA_FORMATTING!AH7</f>
        <v/>
      </c>
      <c r="AL9" s="174" t="str">
        <f>DATA_FORMATTING!AI7</f>
        <v/>
      </c>
      <c r="AM9" s="174" t="str">
        <f>DATA_FORMATTING!AJ7</f>
        <v/>
      </c>
      <c r="AN9" s="174" t="str">
        <f>DATA_FORMATTING!AK7</f>
        <v/>
      </c>
      <c r="AO9" s="174" t="str">
        <f>DATA_FORMATTING!AL7</f>
        <v/>
      </c>
      <c r="AP9" s="174" t="str">
        <f>DATA_FORMATTING!AM7</f>
        <v/>
      </c>
      <c r="AQ9" s="176">
        <f>DATA_FORMATTING!AN7</f>
        <v>4</v>
      </c>
      <c r="AR9" s="159"/>
    </row>
    <row r="10" spans="1:44" s="2" customFormat="1">
      <c r="A10" s="169" t="s">
        <v>297</v>
      </c>
      <c r="B10" s="169"/>
      <c r="C10" s="177" t="s">
        <v>64</v>
      </c>
      <c r="D10" s="178"/>
      <c r="E10" s="178"/>
      <c r="F10" s="178"/>
      <c r="G10" s="178"/>
      <c r="H10" s="179" t="e">
        <f t="shared" ref="H10:AQ10" si="1">IF(H5=YEAR(H9),"Audited","")</f>
        <v>#VALUE!</v>
      </c>
      <c r="I10" s="179" t="e">
        <f t="shared" si="1"/>
        <v>#VALUE!</v>
      </c>
      <c r="J10" s="579" t="e">
        <f t="shared" si="1"/>
        <v>#VALUE!</v>
      </c>
      <c r="K10" s="179" t="e">
        <f t="shared" si="1"/>
        <v>#VALUE!</v>
      </c>
      <c r="L10" s="180" t="e">
        <f t="shared" si="1"/>
        <v>#VALUE!</v>
      </c>
      <c r="M10" s="179" t="e">
        <f t="shared" si="1"/>
        <v>#VALUE!</v>
      </c>
      <c r="N10" s="179" t="e">
        <f t="shared" si="1"/>
        <v>#VALUE!</v>
      </c>
      <c r="O10" s="179" t="e">
        <f t="shared" si="1"/>
        <v>#VALUE!</v>
      </c>
      <c r="P10" s="179" t="e">
        <f t="shared" si="1"/>
        <v>#VALUE!</v>
      </c>
      <c r="Q10" s="180" t="e">
        <f t="shared" si="1"/>
        <v>#VALUE!</v>
      </c>
      <c r="R10" s="179" t="e">
        <f t="shared" si="1"/>
        <v>#VALUE!</v>
      </c>
      <c r="S10" s="179" t="e">
        <f t="shared" si="1"/>
        <v>#VALUE!</v>
      </c>
      <c r="T10" s="179" t="e">
        <f t="shared" si="1"/>
        <v>#VALUE!</v>
      </c>
      <c r="U10" s="179" t="e">
        <f t="shared" si="1"/>
        <v>#VALUE!</v>
      </c>
      <c r="V10" s="179" t="e">
        <f t="shared" si="1"/>
        <v>#VALUE!</v>
      </c>
      <c r="W10" s="179" t="e">
        <f t="shared" si="1"/>
        <v>#VALUE!</v>
      </c>
      <c r="X10" s="179" t="e">
        <f t="shared" si="1"/>
        <v>#VALUE!</v>
      </c>
      <c r="Y10" s="179" t="e">
        <f t="shared" si="1"/>
        <v>#VALUE!</v>
      </c>
      <c r="Z10" s="179" t="e">
        <f t="shared" si="1"/>
        <v>#VALUE!</v>
      </c>
      <c r="AA10" s="179" t="e">
        <f t="shared" si="1"/>
        <v>#VALUE!</v>
      </c>
      <c r="AB10" s="179" t="e">
        <f t="shared" si="1"/>
        <v>#VALUE!</v>
      </c>
      <c r="AC10" s="179" t="e">
        <f t="shared" si="1"/>
        <v>#VALUE!</v>
      </c>
      <c r="AD10" s="179" t="e">
        <f t="shared" si="1"/>
        <v>#VALUE!</v>
      </c>
      <c r="AE10" s="179" t="e">
        <f t="shared" si="1"/>
        <v>#VALUE!</v>
      </c>
      <c r="AF10" s="179" t="e">
        <f t="shared" si="1"/>
        <v>#VALUE!</v>
      </c>
      <c r="AG10" s="179" t="e">
        <f t="shared" si="1"/>
        <v>#VALUE!</v>
      </c>
      <c r="AH10" s="179" t="e">
        <f t="shared" si="1"/>
        <v>#VALUE!</v>
      </c>
      <c r="AI10" s="179" t="e">
        <f t="shared" si="1"/>
        <v>#VALUE!</v>
      </c>
      <c r="AJ10" s="179" t="e">
        <f t="shared" si="1"/>
        <v>#VALUE!</v>
      </c>
      <c r="AK10" s="179" t="e">
        <f t="shared" si="1"/>
        <v>#VALUE!</v>
      </c>
      <c r="AL10" s="179" t="e">
        <f t="shared" si="1"/>
        <v>#VALUE!</v>
      </c>
      <c r="AM10" s="179" t="e">
        <f t="shared" si="1"/>
        <v>#VALUE!</v>
      </c>
      <c r="AN10" s="179" t="e">
        <f t="shared" si="1"/>
        <v>#VALUE!</v>
      </c>
      <c r="AO10" s="179" t="e">
        <f t="shared" si="1"/>
        <v>#VALUE!</v>
      </c>
      <c r="AP10" s="179" t="e">
        <f t="shared" si="1"/>
        <v>#VALUE!</v>
      </c>
      <c r="AQ10" s="181" t="e">
        <f t="shared" si="1"/>
        <v>#VALUE!</v>
      </c>
      <c r="AR10" s="159"/>
    </row>
    <row r="11" spans="1:44" s="2" customFormat="1">
      <c r="A11" s="169" t="e">
        <f ca="1">Config!B12</f>
        <v>#NAME?</v>
      </c>
      <c r="B11" s="169"/>
      <c r="C11" s="182" t="s">
        <v>66</v>
      </c>
      <c r="D11" s="183" t="e">
        <f t="shared" ref="D11:E18" ca="1" si="2">HLOOKUP(D$9,BS,(ROW($C11)-ROW($C$9)+1),FALSE)</f>
        <v>#NAME?</v>
      </c>
      <c r="E11" s="183" t="e">
        <f t="shared" si="2"/>
        <v>#N/A</v>
      </c>
      <c r="F11" s="183" t="e">
        <f t="shared" ref="F11:F18" ca="1" si="3">+E11-D11</f>
        <v>#N/A</v>
      </c>
      <c r="G11" s="184">
        <f ca="1">IFERROR(E11/D11-1,0)</f>
        <v>0</v>
      </c>
      <c r="H11" s="185" t="e">
        <f ca="1">IF(SUM(H12:H14)=0,DATA_FORMATTING!E124/H$8,SUM(H12:H14))</f>
        <v>#VALUE!</v>
      </c>
      <c r="I11" s="185" t="e">
        <f ca="1">IF(SUM(I12:I14)=0,DATA_FORMATTING!F124/I$8,SUM(I12:I14))</f>
        <v>#VALUE!</v>
      </c>
      <c r="J11" s="185" t="e">
        <f ca="1">IF(SUM(J12:J14)=0,DATA_FORMATTING!G124/J$8,SUM(J12:J14))</f>
        <v>#VALUE!</v>
      </c>
      <c r="K11" s="185" t="e">
        <f ca="1">IF(SUM(K12:K14)=0,DATA_FORMATTING!H124/K$8,SUM(K12:K14))</f>
        <v>#VALUE!</v>
      </c>
      <c r="L11" s="185" t="e">
        <f ca="1">IF(SUM(L12:L14)=0,DATA_FORMATTING!I124/L$8,SUM(L12:L14))</f>
        <v>#VALUE!</v>
      </c>
      <c r="M11" s="185" t="e">
        <f ca="1">IF(SUM(M12:M14)=0,DATA_FORMATTING!J124/M$8,SUM(M12:M14))</f>
        <v>#VALUE!</v>
      </c>
      <c r="N11" s="185" t="e">
        <f ca="1">IF(SUM(N12:N14)=0,DATA_FORMATTING!K124/N$8,SUM(N12:N14))</f>
        <v>#VALUE!</v>
      </c>
      <c r="O11" s="185" t="e">
        <f ca="1">IF(SUM(O12:O14)=0,DATA_FORMATTING!L124/O$8,SUM(O12:O14))</f>
        <v>#VALUE!</v>
      </c>
      <c r="P11" s="185" t="e">
        <f ca="1">IF(SUM(P12:P14)=0,DATA_FORMATTING!M124/P$8,SUM(P12:P14))</f>
        <v>#VALUE!</v>
      </c>
      <c r="Q11" s="185" t="e">
        <f ca="1">IF(SUM(Q12:Q14)=0,DATA_FORMATTING!N124/Q$8,SUM(Q12:Q14))</f>
        <v>#VALUE!</v>
      </c>
      <c r="R11" s="185" t="e">
        <f ca="1">IF(SUM(R12:R14)=0,DATA_FORMATTING!O124/R$8,SUM(R12:R14))</f>
        <v>#VALUE!</v>
      </c>
      <c r="S11" s="185" t="e">
        <f ca="1">IF(SUM(S12:S14)=0,DATA_FORMATTING!P124/S$8,SUM(S12:S14))</f>
        <v>#VALUE!</v>
      </c>
      <c r="T11" s="185" t="e">
        <f ca="1">IF(SUM(T12:T14)=0,DATA_FORMATTING!Q124/T$8,SUM(T12:T14))</f>
        <v>#VALUE!</v>
      </c>
      <c r="U11" s="185" t="e">
        <f ca="1">IF(SUM(U12:U14)=0,DATA_FORMATTING!R124/U$8,SUM(U12:U14))</f>
        <v>#VALUE!</v>
      </c>
      <c r="V11" s="185" t="e">
        <f ca="1">IF(SUM(V12:V14)=0,DATA_FORMATTING!S124/V$8,SUM(V12:V14))</f>
        <v>#VALUE!</v>
      </c>
      <c r="W11" s="185" t="e">
        <f ca="1">IF(SUM(W12:W14)=0,DATA_FORMATTING!T124/W$8,SUM(W12:W14))</f>
        <v>#VALUE!</v>
      </c>
      <c r="X11" s="185" t="e">
        <f ca="1">IF(SUM(X12:X14)=0,DATA_FORMATTING!U124/X$8,SUM(X12:X14))</f>
        <v>#VALUE!</v>
      </c>
      <c r="Y11" s="185" t="e">
        <f ca="1">IF(SUM(Y12:Y14)=0,DATA_FORMATTING!V124/Y$8,SUM(Y12:Y14))</f>
        <v>#VALUE!</v>
      </c>
      <c r="Z11" s="185" t="e">
        <f ca="1">IF(SUM(Z12:Z14)=0,DATA_FORMATTING!W124/Z$8,SUM(Z12:Z14))</f>
        <v>#VALUE!</v>
      </c>
      <c r="AA11" s="185" t="e">
        <f ca="1">IF(SUM(AA12:AA14)=0,DATA_FORMATTING!X124/AA$8,SUM(AA12:AA14))</f>
        <v>#VALUE!</v>
      </c>
      <c r="AB11" s="185" t="e">
        <f ca="1">IF(SUM(AB12:AB14)=0,DATA_FORMATTING!Y124/AB$8,SUM(AB12:AB14))</f>
        <v>#VALUE!</v>
      </c>
      <c r="AC11" s="185" t="e">
        <f ca="1">IF(SUM(AC12:AC14)=0,DATA_FORMATTING!Z124/AC$8,SUM(AC12:AC14))</f>
        <v>#VALUE!</v>
      </c>
      <c r="AD11" s="185" t="e">
        <f ca="1">IF(SUM(AD12:AD14)=0,DATA_FORMATTING!AA124/AD$8,SUM(AD12:AD14))</f>
        <v>#VALUE!</v>
      </c>
      <c r="AE11" s="185" t="e">
        <f ca="1">IF(SUM(AE12:AE14)=0,DATA_FORMATTING!AB124/AE$8,SUM(AE12:AE14))</f>
        <v>#VALUE!</v>
      </c>
      <c r="AF11" s="185" t="e">
        <f ca="1">IF(SUM(AF12:AF14)=0,DATA_FORMATTING!AC124/AF$8,SUM(AF12:AF14))</f>
        <v>#VALUE!</v>
      </c>
      <c r="AG11" s="185" t="e">
        <f ca="1">IF(SUM(AG12:AG14)=0,DATA_FORMATTING!AD124/AG$8,SUM(AG12:AG14))</f>
        <v>#VALUE!</v>
      </c>
      <c r="AH11" s="185" t="e">
        <f ca="1">IF(SUM(AH12:AH14)=0,DATA_FORMATTING!AE124/AH$8,SUM(AH12:AH14))</f>
        <v>#VALUE!</v>
      </c>
      <c r="AI11" s="185" t="e">
        <f ca="1">IF(SUM(AI12:AI14)=0,DATA_FORMATTING!AF124/AI$8,SUM(AI12:AI14))</f>
        <v>#VALUE!</v>
      </c>
      <c r="AJ11" s="185" t="e">
        <f ca="1">IF(SUM(AJ12:AJ14)=0,DATA_FORMATTING!AG124/AJ$8,SUM(AJ12:AJ14))</f>
        <v>#VALUE!</v>
      </c>
      <c r="AK11" s="185" t="e">
        <f ca="1">IF(SUM(AK12:AK14)=0,DATA_FORMATTING!AH124/AK$8,SUM(AK12:AK14))</f>
        <v>#VALUE!</v>
      </c>
      <c r="AL11" s="185" t="e">
        <f ca="1">IF(SUM(AL12:AL14)=0,DATA_FORMATTING!AI124/AL$8,SUM(AL12:AL14))</f>
        <v>#VALUE!</v>
      </c>
      <c r="AM11" s="185" t="e">
        <f ca="1">IF(SUM(AM12:AM14)=0,DATA_FORMATTING!AJ124/AM$8,SUM(AM12:AM14))</f>
        <v>#VALUE!</v>
      </c>
      <c r="AN11" s="185" t="e">
        <f ca="1">IF(SUM(AN12:AN14)=0,DATA_FORMATTING!AK124/AN$8,SUM(AN12:AN14))</f>
        <v>#VALUE!</v>
      </c>
      <c r="AO11" s="185" t="e">
        <f ca="1">IF(SUM(AO12:AO14)=0,DATA_FORMATTING!AL124/AO$8,SUM(AO12:AO14))</f>
        <v>#VALUE!</v>
      </c>
      <c r="AP11" s="185" t="e">
        <f ca="1">IF(SUM(AP12:AP14)=0,DATA_FORMATTING!AM124/AP$8,SUM(AP12:AP14))</f>
        <v>#VALUE!</v>
      </c>
      <c r="AQ11" s="185" t="e">
        <f ca="1">IF(SUM(AQ12:AQ14)=0,DATA_FORMATTING!AN124/AQ$8,SUM(AQ12:AQ14))</f>
        <v>#NAME?</v>
      </c>
      <c r="AR11" s="187"/>
    </row>
    <row r="12" spans="1:44" s="2" customFormat="1">
      <c r="A12" s="169"/>
      <c r="B12" s="169"/>
      <c r="C12" s="188" t="s">
        <v>71</v>
      </c>
      <c r="D12" s="183" t="e">
        <f t="shared" ca="1" si="2"/>
        <v>#NAME?</v>
      </c>
      <c r="E12" s="183" t="e">
        <f t="shared" si="2"/>
        <v>#N/A</v>
      </c>
      <c r="F12" s="183" t="e">
        <f t="shared" ca="1" si="3"/>
        <v>#N/A</v>
      </c>
      <c r="G12" s="184">
        <f t="shared" ref="G12:G18" ca="1" si="4">IFERROR(E12/D12-1,0)</f>
        <v>0</v>
      </c>
      <c r="H12" s="185" t="e">
        <f ca="1">DATA_FORMATTING!E125/H$8</f>
        <v>#VALUE!</v>
      </c>
      <c r="I12" s="185" t="e">
        <f ca="1">DATA_FORMATTING!F125/I$8</f>
        <v>#VALUE!</v>
      </c>
      <c r="J12" s="185" t="e">
        <f ca="1">DATA_FORMATTING!G125/J$8</f>
        <v>#VALUE!</v>
      </c>
      <c r="K12" s="185" t="e">
        <f ca="1">DATA_FORMATTING!H125/K$8</f>
        <v>#VALUE!</v>
      </c>
      <c r="L12" s="185" t="e">
        <f ca="1">DATA_FORMATTING!I125/L$8</f>
        <v>#VALUE!</v>
      </c>
      <c r="M12" s="185" t="e">
        <f ca="1">DATA_FORMATTING!J125/M$8</f>
        <v>#VALUE!</v>
      </c>
      <c r="N12" s="185" t="e">
        <f ca="1">DATA_FORMATTING!K125/N$8</f>
        <v>#VALUE!</v>
      </c>
      <c r="O12" s="185" t="e">
        <f ca="1">DATA_FORMATTING!L125/O$8</f>
        <v>#VALUE!</v>
      </c>
      <c r="P12" s="185" t="e">
        <f ca="1">DATA_FORMATTING!M125/P$8</f>
        <v>#VALUE!</v>
      </c>
      <c r="Q12" s="185" t="e">
        <f ca="1">DATA_FORMATTING!N125/Q$8</f>
        <v>#VALUE!</v>
      </c>
      <c r="R12" s="185" t="e">
        <f ca="1">DATA_FORMATTING!O125/R$8</f>
        <v>#VALUE!</v>
      </c>
      <c r="S12" s="185" t="e">
        <f ca="1">DATA_FORMATTING!P125/S$8</f>
        <v>#VALUE!</v>
      </c>
      <c r="T12" s="185" t="e">
        <f ca="1">DATA_FORMATTING!Q125/T$8</f>
        <v>#VALUE!</v>
      </c>
      <c r="U12" s="185" t="e">
        <f ca="1">DATA_FORMATTING!R125/U$8</f>
        <v>#VALUE!</v>
      </c>
      <c r="V12" s="185" t="e">
        <f ca="1">DATA_FORMATTING!S125/V$8</f>
        <v>#VALUE!</v>
      </c>
      <c r="W12" s="185" t="e">
        <f ca="1">DATA_FORMATTING!T125/W$8</f>
        <v>#VALUE!</v>
      </c>
      <c r="X12" s="185" t="e">
        <f ca="1">DATA_FORMATTING!U125/X$8</f>
        <v>#VALUE!</v>
      </c>
      <c r="Y12" s="185" t="e">
        <f ca="1">DATA_FORMATTING!V125/Y$8</f>
        <v>#VALUE!</v>
      </c>
      <c r="Z12" s="185" t="e">
        <f ca="1">DATA_FORMATTING!W125/Z$8</f>
        <v>#VALUE!</v>
      </c>
      <c r="AA12" s="185" t="e">
        <f ca="1">DATA_FORMATTING!X125/AA$8</f>
        <v>#VALUE!</v>
      </c>
      <c r="AB12" s="185" t="e">
        <f ca="1">DATA_FORMATTING!Y125/AB$8</f>
        <v>#VALUE!</v>
      </c>
      <c r="AC12" s="185" t="e">
        <f ca="1">DATA_FORMATTING!Z125/AC$8</f>
        <v>#VALUE!</v>
      </c>
      <c r="AD12" s="185" t="e">
        <f ca="1">DATA_FORMATTING!AA125/AD$8</f>
        <v>#VALUE!</v>
      </c>
      <c r="AE12" s="185" t="e">
        <f ca="1">DATA_FORMATTING!AB125/AE$8</f>
        <v>#VALUE!</v>
      </c>
      <c r="AF12" s="185" t="e">
        <f ca="1">DATA_FORMATTING!AC125/AF$8</f>
        <v>#VALUE!</v>
      </c>
      <c r="AG12" s="185" t="e">
        <f ca="1">DATA_FORMATTING!AD125/AG$8</f>
        <v>#VALUE!</v>
      </c>
      <c r="AH12" s="185" t="e">
        <f ca="1">DATA_FORMATTING!AE125/AH$8</f>
        <v>#VALUE!</v>
      </c>
      <c r="AI12" s="185" t="e">
        <f ca="1">DATA_FORMATTING!AF125/AI$8</f>
        <v>#VALUE!</v>
      </c>
      <c r="AJ12" s="185" t="e">
        <f ca="1">DATA_FORMATTING!AG125/AJ$8</f>
        <v>#VALUE!</v>
      </c>
      <c r="AK12" s="185" t="e">
        <f ca="1">DATA_FORMATTING!AH125/AK$8</f>
        <v>#VALUE!</v>
      </c>
      <c r="AL12" s="185" t="e">
        <f ca="1">DATA_FORMATTING!AI125/AL$8</f>
        <v>#VALUE!</v>
      </c>
      <c r="AM12" s="185" t="e">
        <f ca="1">DATA_FORMATTING!AJ125/AM$8</f>
        <v>#VALUE!</v>
      </c>
      <c r="AN12" s="185" t="e">
        <f ca="1">DATA_FORMATTING!AK125/AN$8</f>
        <v>#VALUE!</v>
      </c>
      <c r="AO12" s="185" t="e">
        <f ca="1">DATA_FORMATTING!AL125/AO$8</f>
        <v>#VALUE!</v>
      </c>
      <c r="AP12" s="185" t="e">
        <f ca="1">DATA_FORMATTING!AM125/AP$8</f>
        <v>#VALUE!</v>
      </c>
      <c r="AQ12" s="186" t="e">
        <f ca="1">DATA_FORMATTING!AN125/AQ$8</f>
        <v>#NAME?</v>
      </c>
      <c r="AR12" s="187"/>
    </row>
    <row r="13" spans="1:44" s="2" customFormat="1">
      <c r="A13" s="169"/>
      <c r="B13" s="169"/>
      <c r="C13" s="188" t="s">
        <v>76</v>
      </c>
      <c r="D13" s="183" t="e">
        <f t="shared" ca="1" si="2"/>
        <v>#NAME?</v>
      </c>
      <c r="E13" s="183" t="e">
        <f t="shared" si="2"/>
        <v>#N/A</v>
      </c>
      <c r="F13" s="183" t="e">
        <f t="shared" ca="1" si="3"/>
        <v>#N/A</v>
      </c>
      <c r="G13" s="184">
        <f t="shared" ca="1" si="4"/>
        <v>0</v>
      </c>
      <c r="H13" s="185" t="e">
        <f ca="1">DATA_FORMATTING!E126/H$8</f>
        <v>#VALUE!</v>
      </c>
      <c r="I13" s="185" t="e">
        <f ca="1">DATA_FORMATTING!F126/I$8</f>
        <v>#VALUE!</v>
      </c>
      <c r="J13" s="185" t="e">
        <f ca="1">DATA_FORMATTING!G126/J$8</f>
        <v>#VALUE!</v>
      </c>
      <c r="K13" s="185" t="e">
        <f ca="1">DATA_FORMATTING!H126/K$8</f>
        <v>#VALUE!</v>
      </c>
      <c r="L13" s="185" t="e">
        <f ca="1">DATA_FORMATTING!I126/L$8</f>
        <v>#VALUE!</v>
      </c>
      <c r="M13" s="185" t="e">
        <f ca="1">DATA_FORMATTING!J126/M$8</f>
        <v>#VALUE!</v>
      </c>
      <c r="N13" s="185" t="e">
        <f ca="1">DATA_FORMATTING!K126/N$8</f>
        <v>#VALUE!</v>
      </c>
      <c r="O13" s="185" t="e">
        <f ca="1">DATA_FORMATTING!L126/O$8</f>
        <v>#VALUE!</v>
      </c>
      <c r="P13" s="185" t="e">
        <f ca="1">DATA_FORMATTING!M126/P$8</f>
        <v>#VALUE!</v>
      </c>
      <c r="Q13" s="185" t="e">
        <f ca="1">DATA_FORMATTING!N126/Q$8</f>
        <v>#VALUE!</v>
      </c>
      <c r="R13" s="185" t="e">
        <f ca="1">DATA_FORMATTING!O126/R$8</f>
        <v>#VALUE!</v>
      </c>
      <c r="S13" s="185" t="e">
        <f ca="1">DATA_FORMATTING!P126/S$8</f>
        <v>#VALUE!</v>
      </c>
      <c r="T13" s="185" t="e">
        <f ca="1">DATA_FORMATTING!Q126/T$8</f>
        <v>#VALUE!</v>
      </c>
      <c r="U13" s="185" t="e">
        <f ca="1">DATA_FORMATTING!R126/U$8</f>
        <v>#VALUE!</v>
      </c>
      <c r="V13" s="185" t="e">
        <f ca="1">DATA_FORMATTING!S126/V$8</f>
        <v>#VALUE!</v>
      </c>
      <c r="W13" s="185" t="e">
        <f ca="1">DATA_FORMATTING!T126/W$8</f>
        <v>#VALUE!</v>
      </c>
      <c r="X13" s="185" t="e">
        <f ca="1">DATA_FORMATTING!U126/X$8</f>
        <v>#VALUE!</v>
      </c>
      <c r="Y13" s="185" t="e">
        <f ca="1">DATA_FORMATTING!V126/Y$8</f>
        <v>#VALUE!</v>
      </c>
      <c r="Z13" s="185" t="e">
        <f ca="1">DATA_FORMATTING!W126/Z$8</f>
        <v>#VALUE!</v>
      </c>
      <c r="AA13" s="185" t="e">
        <f ca="1">DATA_FORMATTING!X126/AA$8</f>
        <v>#VALUE!</v>
      </c>
      <c r="AB13" s="185" t="e">
        <f ca="1">DATA_FORMATTING!Y126/AB$8</f>
        <v>#VALUE!</v>
      </c>
      <c r="AC13" s="185" t="e">
        <f ca="1">DATA_FORMATTING!Z126/AC$8</f>
        <v>#VALUE!</v>
      </c>
      <c r="AD13" s="185" t="e">
        <f ca="1">DATA_FORMATTING!AA126/AD$8</f>
        <v>#VALUE!</v>
      </c>
      <c r="AE13" s="185" t="e">
        <f ca="1">DATA_FORMATTING!AB126/AE$8</f>
        <v>#VALUE!</v>
      </c>
      <c r="AF13" s="185" t="e">
        <f ca="1">DATA_FORMATTING!AC126/AF$8</f>
        <v>#VALUE!</v>
      </c>
      <c r="AG13" s="185" t="e">
        <f ca="1">DATA_FORMATTING!AD126/AG$8</f>
        <v>#VALUE!</v>
      </c>
      <c r="AH13" s="185" t="e">
        <f ca="1">DATA_FORMATTING!AE126/AH$8</f>
        <v>#VALUE!</v>
      </c>
      <c r="AI13" s="185" t="e">
        <f ca="1">DATA_FORMATTING!AF126/AI$8</f>
        <v>#VALUE!</v>
      </c>
      <c r="AJ13" s="185" t="e">
        <f ca="1">DATA_FORMATTING!AG126/AJ$8</f>
        <v>#VALUE!</v>
      </c>
      <c r="AK13" s="185" t="e">
        <f ca="1">DATA_FORMATTING!AH126/AK$8</f>
        <v>#VALUE!</v>
      </c>
      <c r="AL13" s="185" t="e">
        <f ca="1">DATA_FORMATTING!AI126/AL$8</f>
        <v>#VALUE!</v>
      </c>
      <c r="AM13" s="185" t="e">
        <f ca="1">DATA_FORMATTING!AJ126/AM$8</f>
        <v>#VALUE!</v>
      </c>
      <c r="AN13" s="185" t="e">
        <f ca="1">DATA_FORMATTING!AK126/AN$8</f>
        <v>#VALUE!</v>
      </c>
      <c r="AO13" s="185" t="e">
        <f ca="1">DATA_FORMATTING!AL126/AO$8</f>
        <v>#VALUE!</v>
      </c>
      <c r="AP13" s="185" t="e">
        <f ca="1">DATA_FORMATTING!AM126/AP$8</f>
        <v>#VALUE!</v>
      </c>
      <c r="AQ13" s="186" t="e">
        <f ca="1">DATA_FORMATTING!AN126/AQ$8</f>
        <v>#NAME?</v>
      </c>
      <c r="AR13" s="187"/>
    </row>
    <row r="14" spans="1:44" s="2" customFormat="1">
      <c r="A14" s="169"/>
      <c r="B14" s="169"/>
      <c r="C14" s="188" t="s">
        <v>81</v>
      </c>
      <c r="D14" s="183" t="e">
        <f t="shared" ca="1" si="2"/>
        <v>#NAME?</v>
      </c>
      <c r="E14" s="183" t="e">
        <f t="shared" si="2"/>
        <v>#N/A</v>
      </c>
      <c r="F14" s="183" t="e">
        <f t="shared" ca="1" si="3"/>
        <v>#N/A</v>
      </c>
      <c r="G14" s="184">
        <f t="shared" ca="1" si="4"/>
        <v>0</v>
      </c>
      <c r="H14" s="185" t="e">
        <f ca="1">DATA_FORMATTING!E127/H$8</f>
        <v>#VALUE!</v>
      </c>
      <c r="I14" s="185" t="e">
        <f ca="1">DATA_FORMATTING!F127/I$8</f>
        <v>#VALUE!</v>
      </c>
      <c r="J14" s="185" t="e">
        <f ca="1">DATA_FORMATTING!G127/J$8</f>
        <v>#VALUE!</v>
      </c>
      <c r="K14" s="185" t="e">
        <f ca="1">DATA_FORMATTING!H127/K$8</f>
        <v>#VALUE!</v>
      </c>
      <c r="L14" s="185" t="e">
        <f ca="1">DATA_FORMATTING!I127/L$8</f>
        <v>#VALUE!</v>
      </c>
      <c r="M14" s="185" t="e">
        <f ca="1">DATA_FORMATTING!J127/M$8</f>
        <v>#VALUE!</v>
      </c>
      <c r="N14" s="185" t="e">
        <f ca="1">DATA_FORMATTING!K127/N$8</f>
        <v>#VALUE!</v>
      </c>
      <c r="O14" s="185" t="e">
        <f ca="1">DATA_FORMATTING!L127/O$8</f>
        <v>#VALUE!</v>
      </c>
      <c r="P14" s="185" t="e">
        <f ca="1">DATA_FORMATTING!M127/P$8</f>
        <v>#VALUE!</v>
      </c>
      <c r="Q14" s="185" t="e">
        <f ca="1">DATA_FORMATTING!N127/Q$8</f>
        <v>#VALUE!</v>
      </c>
      <c r="R14" s="185" t="e">
        <f ca="1">DATA_FORMATTING!O127/R$8</f>
        <v>#VALUE!</v>
      </c>
      <c r="S14" s="185" t="e">
        <f ca="1">DATA_FORMATTING!P127/S$8</f>
        <v>#VALUE!</v>
      </c>
      <c r="T14" s="185" t="e">
        <f ca="1">DATA_FORMATTING!Q127/T$8</f>
        <v>#VALUE!</v>
      </c>
      <c r="U14" s="185" t="e">
        <f ca="1">DATA_FORMATTING!R127/U$8</f>
        <v>#VALUE!</v>
      </c>
      <c r="V14" s="185" t="e">
        <f ca="1">DATA_FORMATTING!S127/V$8</f>
        <v>#VALUE!</v>
      </c>
      <c r="W14" s="185" t="e">
        <f ca="1">DATA_FORMATTING!T127/W$8</f>
        <v>#VALUE!</v>
      </c>
      <c r="X14" s="185" t="e">
        <f ca="1">DATA_FORMATTING!U127/X$8</f>
        <v>#VALUE!</v>
      </c>
      <c r="Y14" s="185" t="e">
        <f ca="1">DATA_FORMATTING!V127/Y$8</f>
        <v>#VALUE!</v>
      </c>
      <c r="Z14" s="185" t="e">
        <f ca="1">DATA_FORMATTING!W127/Z$8</f>
        <v>#VALUE!</v>
      </c>
      <c r="AA14" s="185" t="e">
        <f ca="1">DATA_FORMATTING!X127/AA$8</f>
        <v>#VALUE!</v>
      </c>
      <c r="AB14" s="185" t="e">
        <f ca="1">DATA_FORMATTING!Y127/AB$8</f>
        <v>#VALUE!</v>
      </c>
      <c r="AC14" s="185" t="e">
        <f ca="1">DATA_FORMATTING!Z127/AC$8</f>
        <v>#VALUE!</v>
      </c>
      <c r="AD14" s="185" t="e">
        <f ca="1">DATA_FORMATTING!AA127/AD$8</f>
        <v>#VALUE!</v>
      </c>
      <c r="AE14" s="185" t="e">
        <f ca="1">DATA_FORMATTING!AB127/AE$8</f>
        <v>#VALUE!</v>
      </c>
      <c r="AF14" s="185" t="e">
        <f ca="1">DATA_FORMATTING!AC127/AF$8</f>
        <v>#VALUE!</v>
      </c>
      <c r="AG14" s="185" t="e">
        <f ca="1">DATA_FORMATTING!AD127/AG$8</f>
        <v>#VALUE!</v>
      </c>
      <c r="AH14" s="185" t="e">
        <f ca="1">DATA_FORMATTING!AE127/AH$8</f>
        <v>#VALUE!</v>
      </c>
      <c r="AI14" s="185" t="e">
        <f ca="1">DATA_FORMATTING!AF127/AI$8</f>
        <v>#VALUE!</v>
      </c>
      <c r="AJ14" s="185" t="e">
        <f ca="1">DATA_FORMATTING!AG127/AJ$8</f>
        <v>#VALUE!</v>
      </c>
      <c r="AK14" s="185" t="e">
        <f ca="1">DATA_FORMATTING!AH127/AK$8</f>
        <v>#VALUE!</v>
      </c>
      <c r="AL14" s="185" t="e">
        <f ca="1">DATA_FORMATTING!AI127/AL$8</f>
        <v>#VALUE!</v>
      </c>
      <c r="AM14" s="185" t="e">
        <f ca="1">DATA_FORMATTING!AJ127/AM$8</f>
        <v>#VALUE!</v>
      </c>
      <c r="AN14" s="185" t="e">
        <f ca="1">DATA_FORMATTING!AK127/AN$8</f>
        <v>#VALUE!</v>
      </c>
      <c r="AO14" s="185" t="e">
        <f ca="1">DATA_FORMATTING!AL127/AO$8</f>
        <v>#VALUE!</v>
      </c>
      <c r="AP14" s="185" t="e">
        <f ca="1">DATA_FORMATTING!AM127/AP$8</f>
        <v>#VALUE!</v>
      </c>
      <c r="AQ14" s="186" t="e">
        <f ca="1">DATA_FORMATTING!AN127/AQ$8</f>
        <v>#NAME?</v>
      </c>
      <c r="AR14" s="187"/>
    </row>
    <row r="15" spans="1:44" s="2" customFormat="1">
      <c r="A15" s="169"/>
      <c r="B15" s="169"/>
      <c r="C15" s="182" t="s">
        <v>10</v>
      </c>
      <c r="D15" s="183" t="e">
        <f t="shared" ca="1" si="2"/>
        <v>#NAME?</v>
      </c>
      <c r="E15" s="183" t="e">
        <f t="shared" si="2"/>
        <v>#N/A</v>
      </c>
      <c r="F15" s="183" t="e">
        <f t="shared" ca="1" si="3"/>
        <v>#N/A</v>
      </c>
      <c r="G15" s="184">
        <f t="shared" ca="1" si="4"/>
        <v>0</v>
      </c>
      <c r="H15" s="185" t="e">
        <f ca="1">DATA_FORMATTING!E128/H$8</f>
        <v>#VALUE!</v>
      </c>
      <c r="I15" s="185" t="e">
        <f ca="1">DATA_FORMATTING!F128/I$8</f>
        <v>#VALUE!</v>
      </c>
      <c r="J15" s="185" t="e">
        <f ca="1">DATA_FORMATTING!G128/J$8</f>
        <v>#VALUE!</v>
      </c>
      <c r="K15" s="185" t="e">
        <f ca="1">DATA_FORMATTING!H128/K$8</f>
        <v>#VALUE!</v>
      </c>
      <c r="L15" s="185" t="e">
        <f ca="1">DATA_FORMATTING!I128/L$8</f>
        <v>#VALUE!</v>
      </c>
      <c r="M15" s="185" t="e">
        <f ca="1">DATA_FORMATTING!J128/M$8</f>
        <v>#VALUE!</v>
      </c>
      <c r="N15" s="185" t="e">
        <f ca="1">DATA_FORMATTING!K128/N$8</f>
        <v>#VALUE!</v>
      </c>
      <c r="O15" s="185" t="e">
        <f ca="1">DATA_FORMATTING!L128/O$8</f>
        <v>#VALUE!</v>
      </c>
      <c r="P15" s="185" t="e">
        <f ca="1">DATA_FORMATTING!M128/P$8</f>
        <v>#VALUE!</v>
      </c>
      <c r="Q15" s="185" t="e">
        <f ca="1">DATA_FORMATTING!N128/Q$8</f>
        <v>#VALUE!</v>
      </c>
      <c r="R15" s="185" t="e">
        <f ca="1">DATA_FORMATTING!O128/R$8</f>
        <v>#VALUE!</v>
      </c>
      <c r="S15" s="185" t="e">
        <f ca="1">DATA_FORMATTING!P128/S$8</f>
        <v>#VALUE!</v>
      </c>
      <c r="T15" s="185" t="e">
        <f ca="1">DATA_FORMATTING!Q128/T$8</f>
        <v>#VALUE!</v>
      </c>
      <c r="U15" s="185" t="e">
        <f ca="1">DATA_FORMATTING!R128/U$8</f>
        <v>#VALUE!</v>
      </c>
      <c r="V15" s="185" t="e">
        <f ca="1">DATA_FORMATTING!S128/V$8</f>
        <v>#VALUE!</v>
      </c>
      <c r="W15" s="185" t="e">
        <f ca="1">DATA_FORMATTING!T128/W$8</f>
        <v>#VALUE!</v>
      </c>
      <c r="X15" s="185" t="e">
        <f ca="1">DATA_FORMATTING!U128/X$8</f>
        <v>#VALUE!</v>
      </c>
      <c r="Y15" s="185" t="e">
        <f ca="1">DATA_FORMATTING!V128/Y$8</f>
        <v>#VALUE!</v>
      </c>
      <c r="Z15" s="185" t="e">
        <f ca="1">DATA_FORMATTING!W128/Z$8</f>
        <v>#VALUE!</v>
      </c>
      <c r="AA15" s="185" t="e">
        <f ca="1">DATA_FORMATTING!X128/AA$8</f>
        <v>#VALUE!</v>
      </c>
      <c r="AB15" s="185" t="e">
        <f ca="1">DATA_FORMATTING!Y128/AB$8</f>
        <v>#VALUE!</v>
      </c>
      <c r="AC15" s="185" t="e">
        <f ca="1">DATA_FORMATTING!Z128/AC$8</f>
        <v>#VALUE!</v>
      </c>
      <c r="AD15" s="185" t="e">
        <f ca="1">DATA_FORMATTING!AA128/AD$8</f>
        <v>#VALUE!</v>
      </c>
      <c r="AE15" s="185" t="e">
        <f ca="1">DATA_FORMATTING!AB128/AE$8</f>
        <v>#VALUE!</v>
      </c>
      <c r="AF15" s="185" t="e">
        <f ca="1">DATA_FORMATTING!AC128/AF$8</f>
        <v>#VALUE!</v>
      </c>
      <c r="AG15" s="185" t="e">
        <f ca="1">DATA_FORMATTING!AD128/AG$8</f>
        <v>#VALUE!</v>
      </c>
      <c r="AH15" s="185" t="e">
        <f ca="1">DATA_FORMATTING!AE128/AH$8</f>
        <v>#VALUE!</v>
      </c>
      <c r="AI15" s="185" t="e">
        <f ca="1">DATA_FORMATTING!AF128/AI$8</f>
        <v>#VALUE!</v>
      </c>
      <c r="AJ15" s="185" t="e">
        <f ca="1">DATA_FORMATTING!AG128/AJ$8</f>
        <v>#VALUE!</v>
      </c>
      <c r="AK15" s="185" t="e">
        <f ca="1">DATA_FORMATTING!AH128/AK$8</f>
        <v>#VALUE!</v>
      </c>
      <c r="AL15" s="185" t="e">
        <f ca="1">DATA_FORMATTING!AI128/AL$8</f>
        <v>#VALUE!</v>
      </c>
      <c r="AM15" s="185" t="e">
        <f ca="1">DATA_FORMATTING!AJ128/AM$8</f>
        <v>#VALUE!</v>
      </c>
      <c r="AN15" s="185" t="e">
        <f ca="1">DATA_FORMATTING!AK128/AN$8</f>
        <v>#VALUE!</v>
      </c>
      <c r="AO15" s="185" t="e">
        <f ca="1">DATA_FORMATTING!AL128/AO$8</f>
        <v>#VALUE!</v>
      </c>
      <c r="AP15" s="185" t="e">
        <f ca="1">DATA_FORMATTING!AM128/AP$8</f>
        <v>#VALUE!</v>
      </c>
      <c r="AQ15" s="186" t="e">
        <f ca="1">DATA_FORMATTING!AN128/AQ$8</f>
        <v>#NAME?</v>
      </c>
      <c r="AR15" s="187"/>
    </row>
    <row r="16" spans="1:44" s="2" customFormat="1">
      <c r="A16" s="169"/>
      <c r="B16" s="169"/>
      <c r="C16" s="182" t="s">
        <v>91</v>
      </c>
      <c r="D16" s="183" t="e">
        <f t="shared" ca="1" si="2"/>
        <v>#NAME?</v>
      </c>
      <c r="E16" s="183" t="e">
        <f t="shared" si="2"/>
        <v>#N/A</v>
      </c>
      <c r="F16" s="183" t="e">
        <f t="shared" ca="1" si="3"/>
        <v>#N/A</v>
      </c>
      <c r="G16" s="184">
        <f t="shared" ca="1" si="4"/>
        <v>0</v>
      </c>
      <c r="H16" s="185" t="e">
        <f ca="1">DATA_FORMATTING!E129/H$8</f>
        <v>#VALUE!</v>
      </c>
      <c r="I16" s="185" t="e">
        <f ca="1">DATA_FORMATTING!F129/I$8</f>
        <v>#VALUE!</v>
      </c>
      <c r="J16" s="185" t="e">
        <f ca="1">DATA_FORMATTING!G129/J$8</f>
        <v>#VALUE!</v>
      </c>
      <c r="K16" s="185" t="e">
        <f ca="1">DATA_FORMATTING!H129/K$8</f>
        <v>#VALUE!</v>
      </c>
      <c r="L16" s="185" t="e">
        <f ca="1">DATA_FORMATTING!I129/L$8</f>
        <v>#VALUE!</v>
      </c>
      <c r="M16" s="185" t="e">
        <f ca="1">DATA_FORMATTING!J129/M$8</f>
        <v>#VALUE!</v>
      </c>
      <c r="N16" s="185" t="e">
        <f ca="1">DATA_FORMATTING!K129/N$8</f>
        <v>#VALUE!</v>
      </c>
      <c r="O16" s="185" t="e">
        <f ca="1">DATA_FORMATTING!L129/O$8</f>
        <v>#VALUE!</v>
      </c>
      <c r="P16" s="185" t="e">
        <f ca="1">DATA_FORMATTING!M129/P$8</f>
        <v>#VALUE!</v>
      </c>
      <c r="Q16" s="185" t="e">
        <f ca="1">DATA_FORMATTING!N129/Q$8</f>
        <v>#VALUE!</v>
      </c>
      <c r="R16" s="185" t="e">
        <f ca="1">DATA_FORMATTING!O129/R$8</f>
        <v>#VALUE!</v>
      </c>
      <c r="S16" s="185" t="e">
        <f ca="1">DATA_FORMATTING!P129/S$8</f>
        <v>#VALUE!</v>
      </c>
      <c r="T16" s="185" t="e">
        <f ca="1">DATA_FORMATTING!Q129/T$8</f>
        <v>#VALUE!</v>
      </c>
      <c r="U16" s="185" t="e">
        <f ca="1">DATA_FORMATTING!R129/U$8</f>
        <v>#VALUE!</v>
      </c>
      <c r="V16" s="185" t="e">
        <f ca="1">DATA_FORMATTING!S129/V$8</f>
        <v>#VALUE!</v>
      </c>
      <c r="W16" s="185" t="e">
        <f ca="1">DATA_FORMATTING!T129/W$8</f>
        <v>#VALUE!</v>
      </c>
      <c r="X16" s="185" t="e">
        <f ca="1">DATA_FORMATTING!U129/X$8</f>
        <v>#VALUE!</v>
      </c>
      <c r="Y16" s="185" t="e">
        <f ca="1">DATA_FORMATTING!V129/Y$8</f>
        <v>#VALUE!</v>
      </c>
      <c r="Z16" s="185" t="e">
        <f ca="1">DATA_FORMATTING!W129/Z$8</f>
        <v>#VALUE!</v>
      </c>
      <c r="AA16" s="185" t="e">
        <f ca="1">DATA_FORMATTING!X129/AA$8</f>
        <v>#VALUE!</v>
      </c>
      <c r="AB16" s="185" t="e">
        <f ca="1">DATA_FORMATTING!Y129/AB$8</f>
        <v>#VALUE!</v>
      </c>
      <c r="AC16" s="185" t="e">
        <f ca="1">DATA_FORMATTING!Z129/AC$8</f>
        <v>#VALUE!</v>
      </c>
      <c r="AD16" s="185" t="e">
        <f ca="1">DATA_FORMATTING!AA129/AD$8</f>
        <v>#VALUE!</v>
      </c>
      <c r="AE16" s="185" t="e">
        <f ca="1">DATA_FORMATTING!AB129/AE$8</f>
        <v>#VALUE!</v>
      </c>
      <c r="AF16" s="185" t="e">
        <f ca="1">DATA_FORMATTING!AC129/AF$8</f>
        <v>#VALUE!</v>
      </c>
      <c r="AG16" s="185" t="e">
        <f ca="1">DATA_FORMATTING!AD129/AG$8</f>
        <v>#VALUE!</v>
      </c>
      <c r="AH16" s="185" t="e">
        <f ca="1">DATA_FORMATTING!AE129/AH$8</f>
        <v>#VALUE!</v>
      </c>
      <c r="AI16" s="185" t="e">
        <f ca="1">DATA_FORMATTING!AF129/AI$8</f>
        <v>#VALUE!</v>
      </c>
      <c r="AJ16" s="185" t="e">
        <f ca="1">DATA_FORMATTING!AG129/AJ$8</f>
        <v>#VALUE!</v>
      </c>
      <c r="AK16" s="185" t="e">
        <f ca="1">DATA_FORMATTING!AH129/AK$8</f>
        <v>#VALUE!</v>
      </c>
      <c r="AL16" s="185" t="e">
        <f ca="1">DATA_FORMATTING!AI129/AL$8</f>
        <v>#VALUE!</v>
      </c>
      <c r="AM16" s="185" t="e">
        <f ca="1">DATA_FORMATTING!AJ129/AM$8</f>
        <v>#VALUE!</v>
      </c>
      <c r="AN16" s="185" t="e">
        <f ca="1">DATA_FORMATTING!AK129/AN$8</f>
        <v>#VALUE!</v>
      </c>
      <c r="AO16" s="185" t="e">
        <f ca="1">DATA_FORMATTING!AL129/AO$8</f>
        <v>#VALUE!</v>
      </c>
      <c r="AP16" s="185" t="e">
        <f ca="1">DATA_FORMATTING!AM129/AP$8</f>
        <v>#VALUE!</v>
      </c>
      <c r="AQ16" s="186" t="e">
        <f ca="1">DATA_FORMATTING!AN129/AQ$8</f>
        <v>#NAME?</v>
      </c>
      <c r="AR16" s="187"/>
    </row>
    <row r="17" spans="1:44" s="2" customFormat="1">
      <c r="A17" s="169"/>
      <c r="B17" s="169"/>
      <c r="C17" s="182" t="s">
        <v>94</v>
      </c>
      <c r="D17" s="183" t="e">
        <f t="shared" ca="1" si="2"/>
        <v>#NAME?</v>
      </c>
      <c r="E17" s="183" t="e">
        <f t="shared" si="2"/>
        <v>#N/A</v>
      </c>
      <c r="F17" s="183" t="e">
        <f t="shared" ca="1" si="3"/>
        <v>#N/A</v>
      </c>
      <c r="G17" s="184">
        <f t="shared" ca="1" si="4"/>
        <v>0</v>
      </c>
      <c r="H17" s="185" t="e">
        <f ca="1">DATA_FORMATTING!E130/H$8</f>
        <v>#VALUE!</v>
      </c>
      <c r="I17" s="185" t="e">
        <f ca="1">DATA_FORMATTING!F130/I$8</f>
        <v>#VALUE!</v>
      </c>
      <c r="J17" s="185" t="e">
        <f ca="1">DATA_FORMATTING!G130/J$8</f>
        <v>#VALUE!</v>
      </c>
      <c r="K17" s="185" t="e">
        <f ca="1">DATA_FORMATTING!H130/K$8</f>
        <v>#VALUE!</v>
      </c>
      <c r="L17" s="185" t="e">
        <f ca="1">DATA_FORMATTING!I130/L$8</f>
        <v>#VALUE!</v>
      </c>
      <c r="M17" s="185" t="e">
        <f ca="1">DATA_FORMATTING!J130/M$8</f>
        <v>#VALUE!</v>
      </c>
      <c r="N17" s="185" t="e">
        <f ca="1">DATA_FORMATTING!K130/N$8</f>
        <v>#VALUE!</v>
      </c>
      <c r="O17" s="185" t="e">
        <f ca="1">DATA_FORMATTING!L130/O$8</f>
        <v>#VALUE!</v>
      </c>
      <c r="P17" s="185" t="e">
        <f ca="1">DATA_FORMATTING!M130/P$8</f>
        <v>#VALUE!</v>
      </c>
      <c r="Q17" s="185" t="e">
        <f ca="1">DATA_FORMATTING!N130/Q$8</f>
        <v>#VALUE!</v>
      </c>
      <c r="R17" s="185" t="e">
        <f ca="1">DATA_FORMATTING!O130/R$8</f>
        <v>#VALUE!</v>
      </c>
      <c r="S17" s="185" t="e">
        <f ca="1">DATA_FORMATTING!P130/S$8</f>
        <v>#VALUE!</v>
      </c>
      <c r="T17" s="185" t="e">
        <f ca="1">DATA_FORMATTING!Q130/T$8</f>
        <v>#VALUE!</v>
      </c>
      <c r="U17" s="185" t="e">
        <f ca="1">DATA_FORMATTING!R130/U$8</f>
        <v>#VALUE!</v>
      </c>
      <c r="V17" s="185" t="e">
        <f ca="1">DATA_FORMATTING!S130/V$8</f>
        <v>#VALUE!</v>
      </c>
      <c r="W17" s="185" t="e">
        <f ca="1">DATA_FORMATTING!T130/W$8</f>
        <v>#VALUE!</v>
      </c>
      <c r="X17" s="185" t="e">
        <f ca="1">DATA_FORMATTING!U130/X$8</f>
        <v>#VALUE!</v>
      </c>
      <c r="Y17" s="185" t="e">
        <f ca="1">DATA_FORMATTING!V130/Y$8</f>
        <v>#VALUE!</v>
      </c>
      <c r="Z17" s="185" t="e">
        <f ca="1">DATA_FORMATTING!W130/Z$8</f>
        <v>#VALUE!</v>
      </c>
      <c r="AA17" s="185" t="e">
        <f ca="1">DATA_FORMATTING!X130/AA$8</f>
        <v>#VALUE!</v>
      </c>
      <c r="AB17" s="185" t="e">
        <f ca="1">DATA_FORMATTING!Y130/AB$8</f>
        <v>#VALUE!</v>
      </c>
      <c r="AC17" s="185" t="e">
        <f ca="1">DATA_FORMATTING!Z130/AC$8</f>
        <v>#VALUE!</v>
      </c>
      <c r="AD17" s="185" t="e">
        <f ca="1">DATA_FORMATTING!AA130/AD$8</f>
        <v>#VALUE!</v>
      </c>
      <c r="AE17" s="185" t="e">
        <f ca="1">DATA_FORMATTING!AB130/AE$8</f>
        <v>#VALUE!</v>
      </c>
      <c r="AF17" s="185" t="e">
        <f ca="1">DATA_FORMATTING!AC130/AF$8</f>
        <v>#VALUE!</v>
      </c>
      <c r="AG17" s="185" t="e">
        <f ca="1">DATA_FORMATTING!AD130/AG$8</f>
        <v>#VALUE!</v>
      </c>
      <c r="AH17" s="185" t="e">
        <f ca="1">DATA_FORMATTING!AE130/AH$8</f>
        <v>#VALUE!</v>
      </c>
      <c r="AI17" s="185" t="e">
        <f ca="1">DATA_FORMATTING!AF130/AI$8</f>
        <v>#VALUE!</v>
      </c>
      <c r="AJ17" s="185" t="e">
        <f ca="1">DATA_FORMATTING!AG130/AJ$8</f>
        <v>#VALUE!</v>
      </c>
      <c r="AK17" s="185" t="e">
        <f ca="1">DATA_FORMATTING!AH130/AK$8</f>
        <v>#VALUE!</v>
      </c>
      <c r="AL17" s="185" t="e">
        <f ca="1">DATA_FORMATTING!AI130/AL$8</f>
        <v>#VALUE!</v>
      </c>
      <c r="AM17" s="185" t="e">
        <f ca="1">DATA_FORMATTING!AJ130/AM$8</f>
        <v>#VALUE!</v>
      </c>
      <c r="AN17" s="185" t="e">
        <f ca="1">DATA_FORMATTING!AK130/AN$8</f>
        <v>#VALUE!</v>
      </c>
      <c r="AO17" s="185" t="e">
        <f ca="1">DATA_FORMATTING!AL130/AO$8</f>
        <v>#VALUE!</v>
      </c>
      <c r="AP17" s="185" t="e">
        <f ca="1">DATA_FORMATTING!AM130/AP$8</f>
        <v>#VALUE!</v>
      </c>
      <c r="AQ17" s="186" t="e">
        <f ca="1">DATA_FORMATTING!AN130/AQ$8</f>
        <v>#NAME?</v>
      </c>
      <c r="AR17" s="187"/>
    </row>
    <row r="18" spans="1:44" s="2" customFormat="1">
      <c r="A18" s="169"/>
      <c r="B18" s="169"/>
      <c r="C18" s="189" t="s">
        <v>97</v>
      </c>
      <c r="D18" s="190" t="e">
        <f t="shared" ca="1" si="2"/>
        <v>#NAME?</v>
      </c>
      <c r="E18" s="190" t="e">
        <f t="shared" si="2"/>
        <v>#N/A</v>
      </c>
      <c r="F18" s="190" t="e">
        <f t="shared" ca="1" si="3"/>
        <v>#N/A</v>
      </c>
      <c r="G18" s="191">
        <f t="shared" ca="1" si="4"/>
        <v>0</v>
      </c>
      <c r="H18" s="192" t="e">
        <f t="shared" ref="H18:AQ18" ca="1" si="5">SUM(H11,H15:H17)</f>
        <v>#VALUE!</v>
      </c>
      <c r="I18" s="193" t="e">
        <f t="shared" ca="1" si="5"/>
        <v>#VALUE!</v>
      </c>
      <c r="J18" s="193" t="e">
        <f t="shared" ca="1" si="5"/>
        <v>#VALUE!</v>
      </c>
      <c r="K18" s="193" t="e">
        <f t="shared" ca="1" si="5"/>
        <v>#VALUE!</v>
      </c>
      <c r="L18" s="193" t="e">
        <f t="shared" ca="1" si="5"/>
        <v>#VALUE!</v>
      </c>
      <c r="M18" s="193" t="e">
        <f t="shared" ca="1" si="5"/>
        <v>#VALUE!</v>
      </c>
      <c r="N18" s="193" t="e">
        <f t="shared" ca="1" si="5"/>
        <v>#VALUE!</v>
      </c>
      <c r="O18" s="193" t="e">
        <f t="shared" ca="1" si="5"/>
        <v>#VALUE!</v>
      </c>
      <c r="P18" s="193" t="e">
        <f t="shared" ca="1" si="5"/>
        <v>#VALUE!</v>
      </c>
      <c r="Q18" s="193" t="e">
        <f t="shared" ca="1" si="5"/>
        <v>#VALUE!</v>
      </c>
      <c r="R18" s="193" t="e">
        <f t="shared" ca="1" si="5"/>
        <v>#VALUE!</v>
      </c>
      <c r="S18" s="193" t="e">
        <f t="shared" ca="1" si="5"/>
        <v>#VALUE!</v>
      </c>
      <c r="T18" s="193" t="e">
        <f t="shared" ca="1" si="5"/>
        <v>#VALUE!</v>
      </c>
      <c r="U18" s="193" t="e">
        <f t="shared" ca="1" si="5"/>
        <v>#VALUE!</v>
      </c>
      <c r="V18" s="193" t="e">
        <f t="shared" ca="1" si="5"/>
        <v>#VALUE!</v>
      </c>
      <c r="W18" s="193" t="e">
        <f t="shared" ca="1" si="5"/>
        <v>#VALUE!</v>
      </c>
      <c r="X18" s="193" t="e">
        <f t="shared" ca="1" si="5"/>
        <v>#VALUE!</v>
      </c>
      <c r="Y18" s="193" t="e">
        <f t="shared" ca="1" si="5"/>
        <v>#VALUE!</v>
      </c>
      <c r="Z18" s="193" t="e">
        <f t="shared" ca="1" si="5"/>
        <v>#VALUE!</v>
      </c>
      <c r="AA18" s="193" t="e">
        <f t="shared" ca="1" si="5"/>
        <v>#VALUE!</v>
      </c>
      <c r="AB18" s="193" t="e">
        <f t="shared" ca="1" si="5"/>
        <v>#VALUE!</v>
      </c>
      <c r="AC18" s="193" t="e">
        <f t="shared" ca="1" si="5"/>
        <v>#VALUE!</v>
      </c>
      <c r="AD18" s="193" t="e">
        <f t="shared" ca="1" si="5"/>
        <v>#VALUE!</v>
      </c>
      <c r="AE18" s="193" t="e">
        <f t="shared" ca="1" si="5"/>
        <v>#VALUE!</v>
      </c>
      <c r="AF18" s="193" t="e">
        <f t="shared" ca="1" si="5"/>
        <v>#VALUE!</v>
      </c>
      <c r="AG18" s="193" t="e">
        <f t="shared" ca="1" si="5"/>
        <v>#VALUE!</v>
      </c>
      <c r="AH18" s="193" t="e">
        <f t="shared" ca="1" si="5"/>
        <v>#VALUE!</v>
      </c>
      <c r="AI18" s="193" t="e">
        <f t="shared" ca="1" si="5"/>
        <v>#VALUE!</v>
      </c>
      <c r="AJ18" s="193" t="e">
        <f t="shared" ca="1" si="5"/>
        <v>#VALUE!</v>
      </c>
      <c r="AK18" s="193" t="e">
        <f t="shared" ca="1" si="5"/>
        <v>#VALUE!</v>
      </c>
      <c r="AL18" s="193" t="e">
        <f t="shared" ca="1" si="5"/>
        <v>#VALUE!</v>
      </c>
      <c r="AM18" s="193" t="e">
        <f t="shared" ca="1" si="5"/>
        <v>#VALUE!</v>
      </c>
      <c r="AN18" s="193" t="e">
        <f t="shared" ca="1" si="5"/>
        <v>#VALUE!</v>
      </c>
      <c r="AO18" s="193" t="e">
        <f t="shared" ca="1" si="5"/>
        <v>#VALUE!</v>
      </c>
      <c r="AP18" s="193" t="e">
        <f t="shared" ca="1" si="5"/>
        <v>#VALUE!</v>
      </c>
      <c r="AQ18" s="194" t="e">
        <f t="shared" ca="1" si="5"/>
        <v>#NAME?</v>
      </c>
      <c r="AR18" s="195"/>
    </row>
    <row r="19" spans="1:44" s="2" customFormat="1">
      <c r="A19" s="169"/>
      <c r="B19" s="169"/>
      <c r="C19" s="196"/>
      <c r="D19" s="197"/>
      <c r="E19" s="197"/>
      <c r="F19" s="197"/>
      <c r="G19" s="198"/>
      <c r="H19" s="199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0"/>
      <c r="AI19" s="200"/>
      <c r="AJ19" s="200"/>
      <c r="AK19" s="200"/>
      <c r="AL19" s="200"/>
      <c r="AM19" s="200"/>
      <c r="AN19" s="200"/>
      <c r="AO19" s="200"/>
      <c r="AP19" s="200"/>
      <c r="AQ19" s="201"/>
      <c r="AR19" s="195"/>
    </row>
    <row r="20" spans="1:44" s="2" customFormat="1">
      <c r="A20" s="169"/>
      <c r="B20" s="169"/>
      <c r="C20" s="202" t="s">
        <v>100</v>
      </c>
      <c r="D20" s="203"/>
      <c r="E20" s="203"/>
      <c r="F20" s="203"/>
      <c r="G20" s="198"/>
      <c r="H20" s="199"/>
      <c r="I20" s="200"/>
      <c r="J20" s="200"/>
      <c r="K20" s="200"/>
      <c r="L20" s="200"/>
      <c r="M20" s="200"/>
      <c r="N20" s="200"/>
      <c r="O20" s="200"/>
      <c r="P20" s="200"/>
      <c r="Q20" s="200"/>
      <c r="R20" s="200"/>
      <c r="S20" s="200"/>
      <c r="T20" s="200"/>
      <c r="U20" s="200"/>
      <c r="V20" s="200"/>
      <c r="W20" s="200"/>
      <c r="X20" s="200"/>
      <c r="Y20" s="200"/>
      <c r="Z20" s="200"/>
      <c r="AA20" s="200"/>
      <c r="AB20" s="200"/>
      <c r="AC20" s="200"/>
      <c r="AD20" s="200"/>
      <c r="AE20" s="200"/>
      <c r="AF20" s="200"/>
      <c r="AG20" s="200"/>
      <c r="AH20" s="200"/>
      <c r="AI20" s="200"/>
      <c r="AJ20" s="200"/>
      <c r="AK20" s="200"/>
      <c r="AL20" s="200"/>
      <c r="AM20" s="200"/>
      <c r="AN20" s="200"/>
      <c r="AO20" s="200"/>
      <c r="AP20" s="200"/>
      <c r="AQ20" s="201"/>
    </row>
    <row r="21" spans="1:44" s="2" customFormat="1">
      <c r="A21" s="169"/>
      <c r="B21" s="169"/>
      <c r="C21" s="182" t="s">
        <v>103</v>
      </c>
      <c r="D21" s="183" t="e">
        <f t="shared" ref="D21:E29" ca="1" si="6">HLOOKUP(D$9,BS,(ROW($C21)-ROW($C$9)+1),FALSE)</f>
        <v>#NAME?</v>
      </c>
      <c r="E21" s="183" t="e">
        <f t="shared" si="6"/>
        <v>#N/A</v>
      </c>
      <c r="F21" s="183" t="e">
        <f t="shared" ref="F21:F29" ca="1" si="7">+E21-D21</f>
        <v>#N/A</v>
      </c>
      <c r="G21" s="184">
        <f t="shared" ref="G21:G29" ca="1" si="8">IFERROR(E21/D21-1,0)</f>
        <v>0</v>
      </c>
      <c r="H21" s="185" t="e">
        <f ca="1">DATA_FORMATTING!E134/H$8</f>
        <v>#VALUE!</v>
      </c>
      <c r="I21" s="185" t="e">
        <f ca="1">DATA_FORMATTING!F134/I$8</f>
        <v>#VALUE!</v>
      </c>
      <c r="J21" s="185" t="e">
        <f ca="1">DATA_FORMATTING!G134/J$8</f>
        <v>#VALUE!</v>
      </c>
      <c r="K21" s="185" t="e">
        <f ca="1">DATA_FORMATTING!H134/K$8</f>
        <v>#VALUE!</v>
      </c>
      <c r="L21" s="185" t="e">
        <f ca="1">DATA_FORMATTING!I134/L$8</f>
        <v>#VALUE!</v>
      </c>
      <c r="M21" s="185" t="e">
        <f ca="1">DATA_FORMATTING!J134/M$8</f>
        <v>#VALUE!</v>
      </c>
      <c r="N21" s="185" t="e">
        <f ca="1">DATA_FORMATTING!K134/N$8</f>
        <v>#VALUE!</v>
      </c>
      <c r="O21" s="185" t="e">
        <f ca="1">DATA_FORMATTING!L134/O$8</f>
        <v>#VALUE!</v>
      </c>
      <c r="P21" s="185" t="e">
        <f ca="1">DATA_FORMATTING!M134/P$8</f>
        <v>#VALUE!</v>
      </c>
      <c r="Q21" s="185" t="e">
        <f ca="1">DATA_FORMATTING!N134/Q$8</f>
        <v>#VALUE!</v>
      </c>
      <c r="R21" s="185" t="e">
        <f ca="1">DATA_FORMATTING!O134/R$8</f>
        <v>#VALUE!</v>
      </c>
      <c r="S21" s="185" t="e">
        <f ca="1">DATA_FORMATTING!P134/S$8</f>
        <v>#VALUE!</v>
      </c>
      <c r="T21" s="185" t="e">
        <f ca="1">DATA_FORMATTING!Q134/T$8</f>
        <v>#VALUE!</v>
      </c>
      <c r="U21" s="185" t="e">
        <f ca="1">DATA_FORMATTING!R134/U$8</f>
        <v>#VALUE!</v>
      </c>
      <c r="V21" s="185" t="e">
        <f ca="1">DATA_FORMATTING!S134/V$8</f>
        <v>#VALUE!</v>
      </c>
      <c r="W21" s="185" t="e">
        <f ca="1">DATA_FORMATTING!T134/W$8</f>
        <v>#VALUE!</v>
      </c>
      <c r="X21" s="185" t="e">
        <f ca="1">DATA_FORMATTING!U134/X$8</f>
        <v>#VALUE!</v>
      </c>
      <c r="Y21" s="185" t="e">
        <f ca="1">DATA_FORMATTING!V134/Y$8</f>
        <v>#VALUE!</v>
      </c>
      <c r="Z21" s="185" t="e">
        <f ca="1">DATA_FORMATTING!W134/Z$8</f>
        <v>#VALUE!</v>
      </c>
      <c r="AA21" s="185" t="e">
        <f ca="1">DATA_FORMATTING!X134/AA$8</f>
        <v>#VALUE!</v>
      </c>
      <c r="AB21" s="185" t="e">
        <f ca="1">DATA_FORMATTING!Y134/AB$8</f>
        <v>#VALUE!</v>
      </c>
      <c r="AC21" s="185" t="e">
        <f ca="1">DATA_FORMATTING!Z134/AC$8</f>
        <v>#VALUE!</v>
      </c>
      <c r="AD21" s="185" t="e">
        <f ca="1">DATA_FORMATTING!AA134/AD$8</f>
        <v>#VALUE!</v>
      </c>
      <c r="AE21" s="185" t="e">
        <f ca="1">DATA_FORMATTING!AB134/AE$8</f>
        <v>#VALUE!</v>
      </c>
      <c r="AF21" s="185" t="e">
        <f ca="1">DATA_FORMATTING!AC134/AF$8</f>
        <v>#VALUE!</v>
      </c>
      <c r="AG21" s="185" t="e">
        <f ca="1">DATA_FORMATTING!AD134/AG$8</f>
        <v>#VALUE!</v>
      </c>
      <c r="AH21" s="185" t="e">
        <f ca="1">DATA_FORMATTING!AE134/AH$8</f>
        <v>#VALUE!</v>
      </c>
      <c r="AI21" s="185" t="e">
        <f ca="1">DATA_FORMATTING!AF134/AI$8</f>
        <v>#VALUE!</v>
      </c>
      <c r="AJ21" s="185" t="e">
        <f ca="1">DATA_FORMATTING!AG134/AJ$8</f>
        <v>#VALUE!</v>
      </c>
      <c r="AK21" s="185" t="e">
        <f ca="1">DATA_FORMATTING!AH134/AK$8</f>
        <v>#VALUE!</v>
      </c>
      <c r="AL21" s="185" t="e">
        <f ca="1">DATA_FORMATTING!AI134/AL$8</f>
        <v>#VALUE!</v>
      </c>
      <c r="AM21" s="185" t="e">
        <f ca="1">DATA_FORMATTING!AJ134/AM$8</f>
        <v>#VALUE!</v>
      </c>
      <c r="AN21" s="185" t="e">
        <f ca="1">DATA_FORMATTING!AK134/AN$8</f>
        <v>#VALUE!</v>
      </c>
      <c r="AO21" s="185" t="e">
        <f ca="1">DATA_FORMATTING!AL134/AO$8</f>
        <v>#VALUE!</v>
      </c>
      <c r="AP21" s="185" t="e">
        <f ca="1">DATA_FORMATTING!AM134/AP$8</f>
        <v>#VALUE!</v>
      </c>
      <c r="AQ21" s="186" t="e">
        <f ca="1">DATA_FORMATTING!AN134/AQ$8</f>
        <v>#NAME?</v>
      </c>
    </row>
    <row r="22" spans="1:44" s="2" customFormat="1">
      <c r="A22" s="169"/>
      <c r="B22" s="169"/>
      <c r="C22" s="204" t="s">
        <v>105</v>
      </c>
      <c r="D22" s="205" t="e">
        <f t="shared" ca="1" si="6"/>
        <v>#NAME?</v>
      </c>
      <c r="E22" s="205" t="e">
        <f t="shared" si="6"/>
        <v>#N/A</v>
      </c>
      <c r="F22" s="205" t="e">
        <f t="shared" ca="1" si="7"/>
        <v>#N/A</v>
      </c>
      <c r="G22" s="198">
        <f t="shared" ca="1" si="8"/>
        <v>0</v>
      </c>
      <c r="H22" s="185" t="e">
        <f ca="1">DATA_FORMATTING!E135/H$8</f>
        <v>#VALUE!</v>
      </c>
      <c r="I22" s="185" t="e">
        <f ca="1">DATA_FORMATTING!F135/I$8</f>
        <v>#VALUE!</v>
      </c>
      <c r="J22" s="185" t="e">
        <f ca="1">DATA_FORMATTING!G135/J$8</f>
        <v>#VALUE!</v>
      </c>
      <c r="K22" s="185" t="e">
        <f ca="1">DATA_FORMATTING!H135/K$8</f>
        <v>#VALUE!</v>
      </c>
      <c r="L22" s="185" t="e">
        <f ca="1">DATA_FORMATTING!I135/L$8</f>
        <v>#VALUE!</v>
      </c>
      <c r="M22" s="185" t="e">
        <f ca="1">DATA_FORMATTING!J135/M$8</f>
        <v>#VALUE!</v>
      </c>
      <c r="N22" s="185" t="e">
        <f ca="1">DATA_FORMATTING!K135/N$8</f>
        <v>#VALUE!</v>
      </c>
      <c r="O22" s="185" t="e">
        <f ca="1">DATA_FORMATTING!L135/O$8</f>
        <v>#VALUE!</v>
      </c>
      <c r="P22" s="185" t="e">
        <f ca="1">DATA_FORMATTING!M135/P$8</f>
        <v>#VALUE!</v>
      </c>
      <c r="Q22" s="185" t="e">
        <f ca="1">DATA_FORMATTING!N135/Q$8</f>
        <v>#VALUE!</v>
      </c>
      <c r="R22" s="185" t="e">
        <f ca="1">DATA_FORMATTING!O135/R$8</f>
        <v>#VALUE!</v>
      </c>
      <c r="S22" s="185" t="e">
        <f ca="1">DATA_FORMATTING!P135/S$8</f>
        <v>#VALUE!</v>
      </c>
      <c r="T22" s="185" t="e">
        <f ca="1">DATA_FORMATTING!Q135/T$8</f>
        <v>#VALUE!</v>
      </c>
      <c r="U22" s="185" t="e">
        <f ca="1">DATA_FORMATTING!R135/U$8</f>
        <v>#VALUE!</v>
      </c>
      <c r="V22" s="185" t="e">
        <f ca="1">DATA_FORMATTING!S135/V$8</f>
        <v>#VALUE!</v>
      </c>
      <c r="W22" s="185" t="e">
        <f ca="1">DATA_FORMATTING!T135/W$8</f>
        <v>#VALUE!</v>
      </c>
      <c r="X22" s="185" t="e">
        <f ca="1">DATA_FORMATTING!U135/X$8</f>
        <v>#VALUE!</v>
      </c>
      <c r="Y22" s="185" t="e">
        <f ca="1">DATA_FORMATTING!V135/Y$8</f>
        <v>#VALUE!</v>
      </c>
      <c r="Z22" s="185" t="e">
        <f ca="1">DATA_FORMATTING!W135/Z$8</f>
        <v>#VALUE!</v>
      </c>
      <c r="AA22" s="185" t="e">
        <f ca="1">DATA_FORMATTING!X135/AA$8</f>
        <v>#VALUE!</v>
      </c>
      <c r="AB22" s="185" t="e">
        <f ca="1">DATA_FORMATTING!Y135/AB$8</f>
        <v>#VALUE!</v>
      </c>
      <c r="AC22" s="185" t="e">
        <f ca="1">DATA_FORMATTING!Z135/AC$8</f>
        <v>#VALUE!</v>
      </c>
      <c r="AD22" s="185" t="e">
        <f ca="1">DATA_FORMATTING!AA135/AD$8</f>
        <v>#VALUE!</v>
      </c>
      <c r="AE22" s="185" t="e">
        <f ca="1">DATA_FORMATTING!AB135/AE$8</f>
        <v>#VALUE!</v>
      </c>
      <c r="AF22" s="185" t="e">
        <f ca="1">DATA_FORMATTING!AC135/AF$8</f>
        <v>#VALUE!</v>
      </c>
      <c r="AG22" s="185" t="e">
        <f ca="1">DATA_FORMATTING!AD135/AG$8</f>
        <v>#VALUE!</v>
      </c>
      <c r="AH22" s="185" t="e">
        <f ca="1">DATA_FORMATTING!AE135/AH$8</f>
        <v>#VALUE!</v>
      </c>
      <c r="AI22" s="185" t="e">
        <f ca="1">DATA_FORMATTING!AF135/AI$8</f>
        <v>#VALUE!</v>
      </c>
      <c r="AJ22" s="185" t="e">
        <f ca="1">DATA_FORMATTING!AG135/AJ$8</f>
        <v>#VALUE!</v>
      </c>
      <c r="AK22" s="185" t="e">
        <f ca="1">DATA_FORMATTING!AH135/AK$8</f>
        <v>#VALUE!</v>
      </c>
      <c r="AL22" s="185" t="e">
        <f ca="1">DATA_FORMATTING!AI135/AL$8</f>
        <v>#VALUE!</v>
      </c>
      <c r="AM22" s="185" t="e">
        <f ca="1">DATA_FORMATTING!AJ135/AM$8</f>
        <v>#VALUE!</v>
      </c>
      <c r="AN22" s="185" t="e">
        <f ca="1">DATA_FORMATTING!AK135/AN$8</f>
        <v>#VALUE!</v>
      </c>
      <c r="AO22" s="185" t="e">
        <f ca="1">DATA_FORMATTING!AL135/AO$8</f>
        <v>#VALUE!</v>
      </c>
      <c r="AP22" s="185" t="e">
        <f ca="1">DATA_FORMATTING!AM135/AP$8</f>
        <v>#VALUE!</v>
      </c>
      <c r="AQ22" s="186" t="e">
        <f ca="1">DATA_FORMATTING!AN135/AQ$8</f>
        <v>#NAME?</v>
      </c>
    </row>
    <row r="23" spans="1:44" s="2" customFormat="1">
      <c r="A23" s="169"/>
      <c r="B23" s="169"/>
      <c r="C23" s="188" t="s">
        <v>108</v>
      </c>
      <c r="D23" s="183" t="e">
        <f t="shared" ca="1" si="6"/>
        <v>#NAME?</v>
      </c>
      <c r="E23" s="183" t="e">
        <f t="shared" si="6"/>
        <v>#N/A</v>
      </c>
      <c r="F23" s="183" t="e">
        <f t="shared" ca="1" si="7"/>
        <v>#N/A</v>
      </c>
      <c r="G23" s="184">
        <f t="shared" ca="1" si="8"/>
        <v>0</v>
      </c>
      <c r="H23" s="185" t="e">
        <f ca="1">DATA_FORMATTING!E136/H$8</f>
        <v>#VALUE!</v>
      </c>
      <c r="I23" s="185" t="e">
        <f ca="1">DATA_FORMATTING!F136/I$8</f>
        <v>#VALUE!</v>
      </c>
      <c r="J23" s="185" t="e">
        <f ca="1">DATA_FORMATTING!G136/J$8</f>
        <v>#VALUE!</v>
      </c>
      <c r="K23" s="185" t="e">
        <f ca="1">DATA_FORMATTING!H136/K$8</f>
        <v>#VALUE!</v>
      </c>
      <c r="L23" s="185" t="e">
        <f ca="1">DATA_FORMATTING!I136/L$8</f>
        <v>#VALUE!</v>
      </c>
      <c r="M23" s="185" t="e">
        <f ca="1">DATA_FORMATTING!J136/M$8</f>
        <v>#VALUE!</v>
      </c>
      <c r="N23" s="185" t="e">
        <f ca="1">DATA_FORMATTING!K136/N$8</f>
        <v>#VALUE!</v>
      </c>
      <c r="O23" s="185" t="e">
        <f ca="1">DATA_FORMATTING!L136/O$8</f>
        <v>#VALUE!</v>
      </c>
      <c r="P23" s="185" t="e">
        <f ca="1">DATA_FORMATTING!M136/P$8</f>
        <v>#VALUE!</v>
      </c>
      <c r="Q23" s="185" t="e">
        <f ca="1">DATA_FORMATTING!N136/Q$8</f>
        <v>#VALUE!</v>
      </c>
      <c r="R23" s="185" t="e">
        <f ca="1">DATA_FORMATTING!O136/R$8</f>
        <v>#VALUE!</v>
      </c>
      <c r="S23" s="185" t="e">
        <f ca="1">DATA_FORMATTING!P136/S$8</f>
        <v>#VALUE!</v>
      </c>
      <c r="T23" s="185" t="e">
        <f ca="1">DATA_FORMATTING!Q136/T$8</f>
        <v>#VALUE!</v>
      </c>
      <c r="U23" s="185" t="e">
        <f ca="1">DATA_FORMATTING!R136/U$8</f>
        <v>#VALUE!</v>
      </c>
      <c r="V23" s="185" t="e">
        <f ca="1">DATA_FORMATTING!S136/V$8</f>
        <v>#VALUE!</v>
      </c>
      <c r="W23" s="185" t="e">
        <f ca="1">DATA_FORMATTING!T136/W$8</f>
        <v>#VALUE!</v>
      </c>
      <c r="X23" s="185" t="e">
        <f ca="1">DATA_FORMATTING!U136/X$8</f>
        <v>#VALUE!</v>
      </c>
      <c r="Y23" s="185" t="e">
        <f ca="1">DATA_FORMATTING!V136/Y$8</f>
        <v>#VALUE!</v>
      </c>
      <c r="Z23" s="185" t="e">
        <f ca="1">DATA_FORMATTING!W136/Z$8</f>
        <v>#VALUE!</v>
      </c>
      <c r="AA23" s="185" t="e">
        <f ca="1">DATA_FORMATTING!X136/AA$8</f>
        <v>#VALUE!</v>
      </c>
      <c r="AB23" s="185" t="e">
        <f ca="1">DATA_FORMATTING!Y136/AB$8</f>
        <v>#VALUE!</v>
      </c>
      <c r="AC23" s="185" t="e">
        <f ca="1">DATA_FORMATTING!Z136/AC$8</f>
        <v>#VALUE!</v>
      </c>
      <c r="AD23" s="185" t="e">
        <f ca="1">DATA_FORMATTING!AA136/AD$8</f>
        <v>#VALUE!</v>
      </c>
      <c r="AE23" s="185" t="e">
        <f ca="1">DATA_FORMATTING!AB136/AE$8</f>
        <v>#VALUE!</v>
      </c>
      <c r="AF23" s="185" t="e">
        <f ca="1">DATA_FORMATTING!AC136/AF$8</f>
        <v>#VALUE!</v>
      </c>
      <c r="AG23" s="185" t="e">
        <f ca="1">DATA_FORMATTING!AD136/AG$8</f>
        <v>#VALUE!</v>
      </c>
      <c r="AH23" s="185" t="e">
        <f ca="1">DATA_FORMATTING!AE136/AH$8</f>
        <v>#VALUE!</v>
      </c>
      <c r="AI23" s="185" t="e">
        <f ca="1">DATA_FORMATTING!AF136/AI$8</f>
        <v>#VALUE!</v>
      </c>
      <c r="AJ23" s="185" t="e">
        <f ca="1">DATA_FORMATTING!AG136/AJ$8</f>
        <v>#VALUE!</v>
      </c>
      <c r="AK23" s="185" t="e">
        <f ca="1">DATA_FORMATTING!AH136/AK$8</f>
        <v>#VALUE!</v>
      </c>
      <c r="AL23" s="185" t="e">
        <f ca="1">DATA_FORMATTING!AI136/AL$8</f>
        <v>#VALUE!</v>
      </c>
      <c r="AM23" s="185" t="e">
        <f ca="1">DATA_FORMATTING!AJ136/AM$8</f>
        <v>#VALUE!</v>
      </c>
      <c r="AN23" s="185" t="e">
        <f ca="1">DATA_FORMATTING!AK136/AN$8</f>
        <v>#VALUE!</v>
      </c>
      <c r="AO23" s="185" t="e">
        <f ca="1">DATA_FORMATTING!AL136/AO$8</f>
        <v>#VALUE!</v>
      </c>
      <c r="AP23" s="185" t="e">
        <f ca="1">DATA_FORMATTING!AM136/AP$8</f>
        <v>#VALUE!</v>
      </c>
      <c r="AQ23" s="186" t="e">
        <f ca="1">DATA_FORMATTING!AN136/AQ$8</f>
        <v>#NAME?</v>
      </c>
    </row>
    <row r="24" spans="1:44" s="2" customFormat="1">
      <c r="A24" s="169"/>
      <c r="B24" s="169"/>
      <c r="C24" s="188" t="s">
        <v>110</v>
      </c>
      <c r="D24" s="183" t="e">
        <f t="shared" ca="1" si="6"/>
        <v>#NAME?</v>
      </c>
      <c r="E24" s="183" t="e">
        <f t="shared" si="6"/>
        <v>#N/A</v>
      </c>
      <c r="F24" s="183" t="e">
        <f t="shared" ca="1" si="7"/>
        <v>#N/A</v>
      </c>
      <c r="G24" s="184">
        <f t="shared" ca="1" si="8"/>
        <v>0</v>
      </c>
      <c r="H24" s="185" t="e">
        <f ca="1">DATA_FORMATTING!E137/H$8</f>
        <v>#VALUE!</v>
      </c>
      <c r="I24" s="185" t="e">
        <f ca="1">DATA_FORMATTING!F137/I$8</f>
        <v>#VALUE!</v>
      </c>
      <c r="J24" s="185" t="e">
        <f ca="1">DATA_FORMATTING!G137/J$8</f>
        <v>#VALUE!</v>
      </c>
      <c r="K24" s="185" t="e">
        <f ca="1">DATA_FORMATTING!H137/K$8</f>
        <v>#VALUE!</v>
      </c>
      <c r="L24" s="185" t="e">
        <f ca="1">DATA_FORMATTING!I137/L$8</f>
        <v>#VALUE!</v>
      </c>
      <c r="M24" s="185" t="e">
        <f ca="1">DATA_FORMATTING!J137/M$8</f>
        <v>#VALUE!</v>
      </c>
      <c r="N24" s="185" t="e">
        <f ca="1">DATA_FORMATTING!K137/N$8</f>
        <v>#VALUE!</v>
      </c>
      <c r="O24" s="185" t="e">
        <f ca="1">DATA_FORMATTING!L137/O$8</f>
        <v>#VALUE!</v>
      </c>
      <c r="P24" s="185" t="e">
        <f ca="1">DATA_FORMATTING!M137/P$8</f>
        <v>#VALUE!</v>
      </c>
      <c r="Q24" s="185" t="e">
        <f ca="1">DATA_FORMATTING!N137/Q$8</f>
        <v>#VALUE!</v>
      </c>
      <c r="R24" s="185" t="e">
        <f ca="1">DATA_FORMATTING!O137/R$8</f>
        <v>#VALUE!</v>
      </c>
      <c r="S24" s="185" t="e">
        <f ca="1">DATA_FORMATTING!P137/S$8</f>
        <v>#VALUE!</v>
      </c>
      <c r="T24" s="185" t="e">
        <f ca="1">DATA_FORMATTING!Q137/T$8</f>
        <v>#VALUE!</v>
      </c>
      <c r="U24" s="185" t="e">
        <f ca="1">DATA_FORMATTING!R137/U$8</f>
        <v>#VALUE!</v>
      </c>
      <c r="V24" s="185" t="e">
        <f ca="1">DATA_FORMATTING!S137/V$8</f>
        <v>#VALUE!</v>
      </c>
      <c r="W24" s="185" t="e">
        <f ca="1">DATA_FORMATTING!T137/W$8</f>
        <v>#VALUE!</v>
      </c>
      <c r="X24" s="185" t="e">
        <f ca="1">DATA_FORMATTING!U137/X$8</f>
        <v>#VALUE!</v>
      </c>
      <c r="Y24" s="185" t="e">
        <f ca="1">DATA_FORMATTING!V137/Y$8</f>
        <v>#VALUE!</v>
      </c>
      <c r="Z24" s="185" t="e">
        <f ca="1">DATA_FORMATTING!W137/Z$8</f>
        <v>#VALUE!</v>
      </c>
      <c r="AA24" s="185" t="e">
        <f ca="1">DATA_FORMATTING!X137/AA$8</f>
        <v>#VALUE!</v>
      </c>
      <c r="AB24" s="185" t="e">
        <f ca="1">DATA_FORMATTING!Y137/AB$8</f>
        <v>#VALUE!</v>
      </c>
      <c r="AC24" s="185" t="e">
        <f ca="1">DATA_FORMATTING!Z137/AC$8</f>
        <v>#VALUE!</v>
      </c>
      <c r="AD24" s="185" t="e">
        <f ca="1">DATA_FORMATTING!AA137/AD$8</f>
        <v>#VALUE!</v>
      </c>
      <c r="AE24" s="185" t="e">
        <f ca="1">DATA_FORMATTING!AB137/AE$8</f>
        <v>#VALUE!</v>
      </c>
      <c r="AF24" s="185" t="e">
        <f ca="1">DATA_FORMATTING!AC137/AF$8</f>
        <v>#VALUE!</v>
      </c>
      <c r="AG24" s="185" t="e">
        <f ca="1">DATA_FORMATTING!AD137/AG$8</f>
        <v>#VALUE!</v>
      </c>
      <c r="AH24" s="185" t="e">
        <f ca="1">DATA_FORMATTING!AE137/AH$8</f>
        <v>#VALUE!</v>
      </c>
      <c r="AI24" s="185" t="e">
        <f ca="1">DATA_FORMATTING!AF137/AI$8</f>
        <v>#VALUE!</v>
      </c>
      <c r="AJ24" s="185" t="e">
        <f ca="1">DATA_FORMATTING!AG137/AJ$8</f>
        <v>#VALUE!</v>
      </c>
      <c r="AK24" s="185" t="e">
        <f ca="1">DATA_FORMATTING!AH137/AK$8</f>
        <v>#VALUE!</v>
      </c>
      <c r="AL24" s="185" t="e">
        <f ca="1">DATA_FORMATTING!AI137/AL$8</f>
        <v>#VALUE!</v>
      </c>
      <c r="AM24" s="185" t="e">
        <f ca="1">DATA_FORMATTING!AJ137/AM$8</f>
        <v>#VALUE!</v>
      </c>
      <c r="AN24" s="185" t="e">
        <f ca="1">DATA_FORMATTING!AK137/AN$8</f>
        <v>#VALUE!</v>
      </c>
      <c r="AO24" s="185" t="e">
        <f ca="1">DATA_FORMATTING!AL137/AO$8</f>
        <v>#VALUE!</v>
      </c>
      <c r="AP24" s="185" t="e">
        <f ca="1">DATA_FORMATTING!AM137/AP$8</f>
        <v>#VALUE!</v>
      </c>
      <c r="AQ24" s="186" t="e">
        <f ca="1">DATA_FORMATTING!AN137/AQ$8</f>
        <v>#NAME?</v>
      </c>
    </row>
    <row r="25" spans="1:44" s="2" customFormat="1">
      <c r="A25" s="169"/>
      <c r="B25" s="169"/>
      <c r="C25" s="206" t="s">
        <v>112</v>
      </c>
      <c r="D25" s="183" t="e">
        <f t="shared" ca="1" si="6"/>
        <v>#NAME?</v>
      </c>
      <c r="E25" s="183" t="e">
        <f t="shared" si="6"/>
        <v>#N/A</v>
      </c>
      <c r="F25" s="183" t="e">
        <f t="shared" ca="1" si="7"/>
        <v>#N/A</v>
      </c>
      <c r="G25" s="184">
        <f t="shared" ca="1" si="8"/>
        <v>0</v>
      </c>
      <c r="H25" s="185" t="e">
        <f ca="1">DATA_FORMATTING!E138/H$8</f>
        <v>#VALUE!</v>
      </c>
      <c r="I25" s="185" t="e">
        <f ca="1">DATA_FORMATTING!F138/I$8</f>
        <v>#VALUE!</v>
      </c>
      <c r="J25" s="185" t="e">
        <f ca="1">DATA_FORMATTING!G138/J$8</f>
        <v>#VALUE!</v>
      </c>
      <c r="K25" s="185" t="e">
        <f ca="1">DATA_FORMATTING!H138/K$8</f>
        <v>#VALUE!</v>
      </c>
      <c r="L25" s="185" t="e">
        <f ca="1">DATA_FORMATTING!I138/L$8</f>
        <v>#VALUE!</v>
      </c>
      <c r="M25" s="185" t="e">
        <f ca="1">DATA_FORMATTING!J138/M$8</f>
        <v>#VALUE!</v>
      </c>
      <c r="N25" s="185" t="e">
        <f ca="1">DATA_FORMATTING!K138/N$8</f>
        <v>#VALUE!</v>
      </c>
      <c r="O25" s="185" t="e">
        <f ca="1">DATA_FORMATTING!L138/O$8</f>
        <v>#VALUE!</v>
      </c>
      <c r="P25" s="185" t="e">
        <f ca="1">DATA_FORMATTING!M138/P$8</f>
        <v>#VALUE!</v>
      </c>
      <c r="Q25" s="185" t="e">
        <f ca="1">DATA_FORMATTING!N138/Q$8</f>
        <v>#VALUE!</v>
      </c>
      <c r="R25" s="185" t="e">
        <f ca="1">DATA_FORMATTING!O138/R$8</f>
        <v>#VALUE!</v>
      </c>
      <c r="S25" s="185" t="e">
        <f ca="1">DATA_FORMATTING!P138/S$8</f>
        <v>#VALUE!</v>
      </c>
      <c r="T25" s="185" t="e">
        <f ca="1">DATA_FORMATTING!Q138/T$8</f>
        <v>#VALUE!</v>
      </c>
      <c r="U25" s="185" t="e">
        <f ca="1">DATA_FORMATTING!R138/U$8</f>
        <v>#VALUE!</v>
      </c>
      <c r="V25" s="185" t="e">
        <f ca="1">DATA_FORMATTING!S138/V$8</f>
        <v>#VALUE!</v>
      </c>
      <c r="W25" s="185" t="e">
        <f ca="1">DATA_FORMATTING!T138/W$8</f>
        <v>#VALUE!</v>
      </c>
      <c r="X25" s="185" t="e">
        <f ca="1">DATA_FORMATTING!U138/X$8</f>
        <v>#VALUE!</v>
      </c>
      <c r="Y25" s="185" t="e">
        <f ca="1">DATA_FORMATTING!V138/Y$8</f>
        <v>#VALUE!</v>
      </c>
      <c r="Z25" s="185" t="e">
        <f ca="1">DATA_FORMATTING!W138/Z$8</f>
        <v>#VALUE!</v>
      </c>
      <c r="AA25" s="185" t="e">
        <f ca="1">DATA_FORMATTING!X138/AA$8</f>
        <v>#VALUE!</v>
      </c>
      <c r="AB25" s="185" t="e">
        <f ca="1">DATA_FORMATTING!Y138/AB$8</f>
        <v>#VALUE!</v>
      </c>
      <c r="AC25" s="185" t="e">
        <f ca="1">DATA_FORMATTING!Z138/AC$8</f>
        <v>#VALUE!</v>
      </c>
      <c r="AD25" s="185" t="e">
        <f ca="1">DATA_FORMATTING!AA138/AD$8</f>
        <v>#VALUE!</v>
      </c>
      <c r="AE25" s="185" t="e">
        <f ca="1">DATA_FORMATTING!AB138/AE$8</f>
        <v>#VALUE!</v>
      </c>
      <c r="AF25" s="185" t="e">
        <f ca="1">DATA_FORMATTING!AC138/AF$8</f>
        <v>#VALUE!</v>
      </c>
      <c r="AG25" s="185" t="e">
        <f ca="1">DATA_FORMATTING!AD138/AG$8</f>
        <v>#VALUE!</v>
      </c>
      <c r="AH25" s="185" t="e">
        <f ca="1">DATA_FORMATTING!AE138/AH$8</f>
        <v>#VALUE!</v>
      </c>
      <c r="AI25" s="185" t="e">
        <f ca="1">DATA_FORMATTING!AF138/AI$8</f>
        <v>#VALUE!</v>
      </c>
      <c r="AJ25" s="185" t="e">
        <f ca="1">DATA_FORMATTING!AG138/AJ$8</f>
        <v>#VALUE!</v>
      </c>
      <c r="AK25" s="185" t="e">
        <f ca="1">DATA_FORMATTING!AH138/AK$8</f>
        <v>#VALUE!</v>
      </c>
      <c r="AL25" s="185" t="e">
        <f ca="1">DATA_FORMATTING!AI138/AL$8</f>
        <v>#VALUE!</v>
      </c>
      <c r="AM25" s="185" t="e">
        <f ca="1">DATA_FORMATTING!AJ138/AM$8</f>
        <v>#VALUE!</v>
      </c>
      <c r="AN25" s="185" t="e">
        <f ca="1">DATA_FORMATTING!AK138/AN$8</f>
        <v>#VALUE!</v>
      </c>
      <c r="AO25" s="185" t="e">
        <f ca="1">DATA_FORMATTING!AL138/AO$8</f>
        <v>#VALUE!</v>
      </c>
      <c r="AP25" s="185" t="e">
        <f ca="1">DATA_FORMATTING!AM138/AP$8</f>
        <v>#VALUE!</v>
      </c>
      <c r="AQ25" s="186" t="e">
        <f ca="1">DATA_FORMATTING!AN138/AQ$8</f>
        <v>#NAME?</v>
      </c>
    </row>
    <row r="26" spans="1:44" s="2" customFormat="1">
      <c r="A26" s="169"/>
      <c r="B26" s="169"/>
      <c r="C26" s="207" t="s">
        <v>114</v>
      </c>
      <c r="D26" s="183" t="e">
        <f t="shared" ca="1" si="6"/>
        <v>#NAME?</v>
      </c>
      <c r="E26" s="183" t="e">
        <f t="shared" si="6"/>
        <v>#N/A</v>
      </c>
      <c r="F26" s="183" t="e">
        <f t="shared" ca="1" si="7"/>
        <v>#N/A</v>
      </c>
      <c r="G26" s="184">
        <f t="shared" ca="1" si="8"/>
        <v>0</v>
      </c>
      <c r="H26" s="185" t="e">
        <f ca="1">DATA_FORMATTING!E139/H$8</f>
        <v>#VALUE!</v>
      </c>
      <c r="I26" s="185" t="e">
        <f ca="1">DATA_FORMATTING!F139/I$8</f>
        <v>#VALUE!</v>
      </c>
      <c r="J26" s="185" t="e">
        <f ca="1">DATA_FORMATTING!G139/J$8</f>
        <v>#VALUE!</v>
      </c>
      <c r="K26" s="185" t="e">
        <f ca="1">DATA_FORMATTING!H139/K$8</f>
        <v>#VALUE!</v>
      </c>
      <c r="L26" s="185" t="e">
        <f ca="1">DATA_FORMATTING!I139/L$8</f>
        <v>#VALUE!</v>
      </c>
      <c r="M26" s="185" t="e">
        <f ca="1">DATA_FORMATTING!J139/M$8</f>
        <v>#VALUE!</v>
      </c>
      <c r="N26" s="185" t="e">
        <f ca="1">DATA_FORMATTING!K139/N$8</f>
        <v>#VALUE!</v>
      </c>
      <c r="O26" s="185" t="e">
        <f ca="1">DATA_FORMATTING!L139/O$8</f>
        <v>#VALUE!</v>
      </c>
      <c r="P26" s="185" t="e">
        <f ca="1">DATA_FORMATTING!M139/P$8</f>
        <v>#VALUE!</v>
      </c>
      <c r="Q26" s="185" t="e">
        <f ca="1">DATA_FORMATTING!N139/Q$8</f>
        <v>#VALUE!</v>
      </c>
      <c r="R26" s="185" t="e">
        <f ca="1">DATA_FORMATTING!O139/R$8</f>
        <v>#VALUE!</v>
      </c>
      <c r="S26" s="185" t="e">
        <f ca="1">DATA_FORMATTING!P139/S$8</f>
        <v>#VALUE!</v>
      </c>
      <c r="T26" s="185" t="e">
        <f ca="1">DATA_FORMATTING!Q139/T$8</f>
        <v>#VALUE!</v>
      </c>
      <c r="U26" s="185" t="e">
        <f ca="1">DATA_FORMATTING!R139/U$8</f>
        <v>#VALUE!</v>
      </c>
      <c r="V26" s="185" t="e">
        <f ca="1">DATA_FORMATTING!S139/V$8</f>
        <v>#VALUE!</v>
      </c>
      <c r="W26" s="185" t="e">
        <f ca="1">DATA_FORMATTING!T139/W$8</f>
        <v>#VALUE!</v>
      </c>
      <c r="X26" s="185" t="e">
        <f ca="1">DATA_FORMATTING!U139/X$8</f>
        <v>#VALUE!</v>
      </c>
      <c r="Y26" s="185" t="e">
        <f ca="1">DATA_FORMATTING!V139/Y$8</f>
        <v>#VALUE!</v>
      </c>
      <c r="Z26" s="185" t="e">
        <f ca="1">DATA_FORMATTING!W139/Z$8</f>
        <v>#VALUE!</v>
      </c>
      <c r="AA26" s="185" t="e">
        <f ca="1">DATA_FORMATTING!X139/AA$8</f>
        <v>#VALUE!</v>
      </c>
      <c r="AB26" s="185" t="e">
        <f ca="1">DATA_FORMATTING!Y139/AB$8</f>
        <v>#VALUE!</v>
      </c>
      <c r="AC26" s="185" t="e">
        <f ca="1">DATA_FORMATTING!Z139/AC$8</f>
        <v>#VALUE!</v>
      </c>
      <c r="AD26" s="185" t="e">
        <f ca="1">DATA_FORMATTING!AA139/AD$8</f>
        <v>#VALUE!</v>
      </c>
      <c r="AE26" s="185" t="e">
        <f ca="1">DATA_FORMATTING!AB139/AE$8</f>
        <v>#VALUE!</v>
      </c>
      <c r="AF26" s="185" t="e">
        <f ca="1">DATA_FORMATTING!AC139/AF$8</f>
        <v>#VALUE!</v>
      </c>
      <c r="AG26" s="185" t="e">
        <f ca="1">DATA_FORMATTING!AD139/AG$8</f>
        <v>#VALUE!</v>
      </c>
      <c r="AH26" s="185" t="e">
        <f ca="1">DATA_FORMATTING!AE139/AH$8</f>
        <v>#VALUE!</v>
      </c>
      <c r="AI26" s="185" t="e">
        <f ca="1">DATA_FORMATTING!AF139/AI$8</f>
        <v>#VALUE!</v>
      </c>
      <c r="AJ26" s="185" t="e">
        <f ca="1">DATA_FORMATTING!AG139/AJ$8</f>
        <v>#VALUE!</v>
      </c>
      <c r="AK26" s="185" t="e">
        <f ca="1">DATA_FORMATTING!AH139/AK$8</f>
        <v>#VALUE!</v>
      </c>
      <c r="AL26" s="185" t="e">
        <f ca="1">DATA_FORMATTING!AI139/AL$8</f>
        <v>#VALUE!</v>
      </c>
      <c r="AM26" s="185" t="e">
        <f ca="1">DATA_FORMATTING!AJ139/AM$8</f>
        <v>#VALUE!</v>
      </c>
      <c r="AN26" s="185" t="e">
        <f ca="1">DATA_FORMATTING!AK139/AN$8</f>
        <v>#VALUE!</v>
      </c>
      <c r="AO26" s="185" t="e">
        <f ca="1">DATA_FORMATTING!AL139/AO$8</f>
        <v>#VALUE!</v>
      </c>
      <c r="AP26" s="185" t="e">
        <f ca="1">DATA_FORMATTING!AM139/AP$8</f>
        <v>#VALUE!</v>
      </c>
      <c r="AQ26" s="186" t="e">
        <f ca="1">DATA_FORMATTING!AN139/AQ$8</f>
        <v>#NAME?</v>
      </c>
    </row>
    <row r="27" spans="1:44" s="2" customFormat="1">
      <c r="A27" s="169"/>
      <c r="B27" s="169"/>
      <c r="C27" s="206" t="s">
        <v>116</v>
      </c>
      <c r="D27" s="183" t="e">
        <f t="shared" ca="1" si="6"/>
        <v>#NAME?</v>
      </c>
      <c r="E27" s="183" t="e">
        <f t="shared" si="6"/>
        <v>#N/A</v>
      </c>
      <c r="F27" s="183" t="e">
        <f t="shared" ca="1" si="7"/>
        <v>#N/A</v>
      </c>
      <c r="G27" s="184">
        <f t="shared" ca="1" si="8"/>
        <v>0</v>
      </c>
      <c r="H27" s="185" t="e">
        <f ca="1">DATA_FORMATTING!E140/H$8</f>
        <v>#VALUE!</v>
      </c>
      <c r="I27" s="185" t="e">
        <f ca="1">DATA_FORMATTING!F140/I$8</f>
        <v>#VALUE!</v>
      </c>
      <c r="J27" s="185" t="e">
        <f ca="1">DATA_FORMATTING!G140/J$8</f>
        <v>#VALUE!</v>
      </c>
      <c r="K27" s="185" t="e">
        <f ca="1">DATA_FORMATTING!H140/K$8</f>
        <v>#VALUE!</v>
      </c>
      <c r="L27" s="185" t="e">
        <f ca="1">DATA_FORMATTING!I140/L$8</f>
        <v>#VALUE!</v>
      </c>
      <c r="M27" s="185" t="e">
        <f ca="1">DATA_FORMATTING!J140/M$8</f>
        <v>#VALUE!</v>
      </c>
      <c r="N27" s="185" t="e">
        <f ca="1">DATA_FORMATTING!K140/N$8</f>
        <v>#VALUE!</v>
      </c>
      <c r="O27" s="185" t="e">
        <f ca="1">DATA_FORMATTING!L140/O$8</f>
        <v>#VALUE!</v>
      </c>
      <c r="P27" s="185" t="e">
        <f ca="1">DATA_FORMATTING!M140/P$8</f>
        <v>#VALUE!</v>
      </c>
      <c r="Q27" s="185" t="e">
        <f ca="1">DATA_FORMATTING!N140/Q$8</f>
        <v>#VALUE!</v>
      </c>
      <c r="R27" s="185" t="e">
        <f ca="1">DATA_FORMATTING!O140/R$8</f>
        <v>#VALUE!</v>
      </c>
      <c r="S27" s="185" t="e">
        <f ca="1">DATA_FORMATTING!P140/S$8</f>
        <v>#VALUE!</v>
      </c>
      <c r="T27" s="185" t="e">
        <f ca="1">DATA_FORMATTING!Q140/T$8</f>
        <v>#VALUE!</v>
      </c>
      <c r="U27" s="185" t="e">
        <f ca="1">DATA_FORMATTING!R140/U$8</f>
        <v>#VALUE!</v>
      </c>
      <c r="V27" s="185" t="e">
        <f ca="1">DATA_FORMATTING!S140/V$8</f>
        <v>#VALUE!</v>
      </c>
      <c r="W27" s="185" t="e">
        <f ca="1">DATA_FORMATTING!T140/W$8</f>
        <v>#VALUE!</v>
      </c>
      <c r="X27" s="185" t="e">
        <f ca="1">DATA_FORMATTING!U140/X$8</f>
        <v>#VALUE!</v>
      </c>
      <c r="Y27" s="185" t="e">
        <f ca="1">DATA_FORMATTING!V140/Y$8</f>
        <v>#VALUE!</v>
      </c>
      <c r="Z27" s="185" t="e">
        <f ca="1">DATA_FORMATTING!W140/Z$8</f>
        <v>#VALUE!</v>
      </c>
      <c r="AA27" s="185" t="e">
        <f ca="1">DATA_FORMATTING!X140/AA$8</f>
        <v>#VALUE!</v>
      </c>
      <c r="AB27" s="185" t="e">
        <f ca="1">DATA_FORMATTING!Y140/AB$8</f>
        <v>#VALUE!</v>
      </c>
      <c r="AC27" s="185" t="e">
        <f ca="1">DATA_FORMATTING!Z140/AC$8</f>
        <v>#VALUE!</v>
      </c>
      <c r="AD27" s="185" t="e">
        <f ca="1">DATA_FORMATTING!AA140/AD$8</f>
        <v>#VALUE!</v>
      </c>
      <c r="AE27" s="185" t="e">
        <f ca="1">DATA_FORMATTING!AB140/AE$8</f>
        <v>#VALUE!</v>
      </c>
      <c r="AF27" s="185" t="e">
        <f ca="1">DATA_FORMATTING!AC140/AF$8</f>
        <v>#VALUE!</v>
      </c>
      <c r="AG27" s="185" t="e">
        <f ca="1">DATA_FORMATTING!AD140/AG$8</f>
        <v>#VALUE!</v>
      </c>
      <c r="AH27" s="185" t="e">
        <f ca="1">DATA_FORMATTING!AE140/AH$8</f>
        <v>#VALUE!</v>
      </c>
      <c r="AI27" s="185" t="e">
        <f ca="1">DATA_FORMATTING!AF140/AI$8</f>
        <v>#VALUE!</v>
      </c>
      <c r="AJ27" s="185" t="e">
        <f ca="1">DATA_FORMATTING!AG140/AJ$8</f>
        <v>#VALUE!</v>
      </c>
      <c r="AK27" s="185" t="e">
        <f ca="1">DATA_FORMATTING!AH140/AK$8</f>
        <v>#VALUE!</v>
      </c>
      <c r="AL27" s="185" t="e">
        <f ca="1">DATA_FORMATTING!AI140/AL$8</f>
        <v>#VALUE!</v>
      </c>
      <c r="AM27" s="185" t="e">
        <f ca="1">DATA_FORMATTING!AJ140/AM$8</f>
        <v>#VALUE!</v>
      </c>
      <c r="AN27" s="185" t="e">
        <f ca="1">DATA_FORMATTING!AK140/AN$8</f>
        <v>#VALUE!</v>
      </c>
      <c r="AO27" s="185" t="e">
        <f ca="1">DATA_FORMATTING!AL140/AO$8</f>
        <v>#VALUE!</v>
      </c>
      <c r="AP27" s="185" t="e">
        <f ca="1">DATA_FORMATTING!AM140/AP$8</f>
        <v>#VALUE!</v>
      </c>
      <c r="AQ27" s="186" t="e">
        <f ca="1">DATA_FORMATTING!AN140/AQ$8</f>
        <v>#NAME?</v>
      </c>
    </row>
    <row r="28" spans="1:44" s="2" customFormat="1">
      <c r="A28" s="169"/>
      <c r="B28" s="169"/>
      <c r="C28" s="182" t="s">
        <v>117</v>
      </c>
      <c r="D28" s="183" t="e">
        <f t="shared" ca="1" si="6"/>
        <v>#NAME?</v>
      </c>
      <c r="E28" s="183" t="e">
        <f t="shared" si="6"/>
        <v>#N/A</v>
      </c>
      <c r="F28" s="183" t="e">
        <f t="shared" ca="1" si="7"/>
        <v>#N/A</v>
      </c>
      <c r="G28" s="184">
        <f t="shared" ca="1" si="8"/>
        <v>0</v>
      </c>
      <c r="H28" s="185" t="e">
        <f ca="1">DATA_FORMATTING!E141/H$8</f>
        <v>#VALUE!</v>
      </c>
      <c r="I28" s="185" t="e">
        <f ca="1">DATA_FORMATTING!F141/I$8</f>
        <v>#VALUE!</v>
      </c>
      <c r="J28" s="185" t="e">
        <f ca="1">DATA_FORMATTING!G141/J$8</f>
        <v>#VALUE!</v>
      </c>
      <c r="K28" s="185" t="e">
        <f ca="1">DATA_FORMATTING!H141/K$8</f>
        <v>#VALUE!</v>
      </c>
      <c r="L28" s="185" t="e">
        <f ca="1">DATA_FORMATTING!I141/L$8</f>
        <v>#VALUE!</v>
      </c>
      <c r="M28" s="185" t="e">
        <f ca="1">DATA_FORMATTING!J141/M$8</f>
        <v>#VALUE!</v>
      </c>
      <c r="N28" s="185" t="e">
        <f ca="1">DATA_FORMATTING!K141/N$8</f>
        <v>#VALUE!</v>
      </c>
      <c r="O28" s="185" t="e">
        <f ca="1">DATA_FORMATTING!L141/O$8</f>
        <v>#VALUE!</v>
      </c>
      <c r="P28" s="185" t="e">
        <f ca="1">DATA_FORMATTING!M141/P$8</f>
        <v>#VALUE!</v>
      </c>
      <c r="Q28" s="185" t="e">
        <f ca="1">DATA_FORMATTING!N141/Q$8</f>
        <v>#VALUE!</v>
      </c>
      <c r="R28" s="185" t="e">
        <f ca="1">DATA_FORMATTING!O141/R$8</f>
        <v>#VALUE!</v>
      </c>
      <c r="S28" s="185" t="e">
        <f ca="1">DATA_FORMATTING!P141/S$8</f>
        <v>#VALUE!</v>
      </c>
      <c r="T28" s="185" t="e">
        <f ca="1">DATA_FORMATTING!Q141/T$8</f>
        <v>#VALUE!</v>
      </c>
      <c r="U28" s="185" t="e">
        <f ca="1">DATA_FORMATTING!R141/U$8</f>
        <v>#VALUE!</v>
      </c>
      <c r="V28" s="185" t="e">
        <f ca="1">DATA_FORMATTING!S141/V$8</f>
        <v>#VALUE!</v>
      </c>
      <c r="W28" s="185" t="e">
        <f ca="1">DATA_FORMATTING!T141/W$8</f>
        <v>#VALUE!</v>
      </c>
      <c r="X28" s="185" t="e">
        <f ca="1">DATA_FORMATTING!U141/X$8</f>
        <v>#VALUE!</v>
      </c>
      <c r="Y28" s="185" t="e">
        <f ca="1">DATA_FORMATTING!V141/Y$8</f>
        <v>#VALUE!</v>
      </c>
      <c r="Z28" s="185" t="e">
        <f ca="1">DATA_FORMATTING!W141/Z$8</f>
        <v>#VALUE!</v>
      </c>
      <c r="AA28" s="185" t="e">
        <f ca="1">DATA_FORMATTING!X141/AA$8</f>
        <v>#VALUE!</v>
      </c>
      <c r="AB28" s="185" t="e">
        <f ca="1">DATA_FORMATTING!Y141/AB$8</f>
        <v>#VALUE!</v>
      </c>
      <c r="AC28" s="185" t="e">
        <f ca="1">DATA_FORMATTING!Z141/AC$8</f>
        <v>#VALUE!</v>
      </c>
      <c r="AD28" s="185" t="e">
        <f ca="1">DATA_FORMATTING!AA141/AD$8</f>
        <v>#VALUE!</v>
      </c>
      <c r="AE28" s="185" t="e">
        <f ca="1">DATA_FORMATTING!AB141/AE$8</f>
        <v>#VALUE!</v>
      </c>
      <c r="AF28" s="185" t="e">
        <f ca="1">DATA_FORMATTING!AC141/AF$8</f>
        <v>#VALUE!</v>
      </c>
      <c r="AG28" s="185" t="e">
        <f ca="1">DATA_FORMATTING!AD141/AG$8</f>
        <v>#VALUE!</v>
      </c>
      <c r="AH28" s="185" t="e">
        <f ca="1">DATA_FORMATTING!AE141/AH$8</f>
        <v>#VALUE!</v>
      </c>
      <c r="AI28" s="185" t="e">
        <f ca="1">DATA_FORMATTING!AF141/AI$8</f>
        <v>#VALUE!</v>
      </c>
      <c r="AJ28" s="185" t="e">
        <f ca="1">DATA_FORMATTING!AG141/AJ$8</f>
        <v>#VALUE!</v>
      </c>
      <c r="AK28" s="185" t="e">
        <f ca="1">DATA_FORMATTING!AH141/AK$8</f>
        <v>#VALUE!</v>
      </c>
      <c r="AL28" s="185" t="e">
        <f ca="1">DATA_FORMATTING!AI141/AL$8</f>
        <v>#VALUE!</v>
      </c>
      <c r="AM28" s="185" t="e">
        <f ca="1">DATA_FORMATTING!AJ141/AM$8</f>
        <v>#VALUE!</v>
      </c>
      <c r="AN28" s="185" t="e">
        <f ca="1">DATA_FORMATTING!AK141/AN$8</f>
        <v>#VALUE!</v>
      </c>
      <c r="AO28" s="185" t="e">
        <f ca="1">DATA_FORMATTING!AL141/AO$8</f>
        <v>#VALUE!</v>
      </c>
      <c r="AP28" s="185" t="e">
        <f ca="1">DATA_FORMATTING!AM141/AP$8</f>
        <v>#VALUE!</v>
      </c>
      <c r="AQ28" s="186" t="e">
        <f ca="1">DATA_FORMATTING!AN141/AQ$8</f>
        <v>#NAME?</v>
      </c>
    </row>
    <row r="29" spans="1:44" s="2" customFormat="1">
      <c r="A29" s="169"/>
      <c r="B29" s="169"/>
      <c r="C29" s="208" t="s">
        <v>119</v>
      </c>
      <c r="D29" s="209" t="e">
        <f t="shared" ca="1" si="6"/>
        <v>#NAME?</v>
      </c>
      <c r="E29" s="209" t="e">
        <f t="shared" si="6"/>
        <v>#N/A</v>
      </c>
      <c r="F29" s="209" t="e">
        <f t="shared" ca="1" si="7"/>
        <v>#N/A</v>
      </c>
      <c r="G29" s="210">
        <f t="shared" ca="1" si="8"/>
        <v>0</v>
      </c>
      <c r="H29" s="211" t="e">
        <f t="shared" ref="H29:AQ29" ca="1" si="9">SUM(H21,H22,H28)</f>
        <v>#VALUE!</v>
      </c>
      <c r="I29" s="212" t="e">
        <f t="shared" ca="1" si="9"/>
        <v>#VALUE!</v>
      </c>
      <c r="J29" s="212" t="e">
        <f t="shared" ca="1" si="9"/>
        <v>#VALUE!</v>
      </c>
      <c r="K29" s="212" t="e">
        <f t="shared" ca="1" si="9"/>
        <v>#VALUE!</v>
      </c>
      <c r="L29" s="212" t="e">
        <f t="shared" ca="1" si="9"/>
        <v>#VALUE!</v>
      </c>
      <c r="M29" s="212" t="e">
        <f t="shared" ca="1" si="9"/>
        <v>#VALUE!</v>
      </c>
      <c r="N29" s="212" t="e">
        <f t="shared" ca="1" si="9"/>
        <v>#VALUE!</v>
      </c>
      <c r="O29" s="212" t="e">
        <f t="shared" ca="1" si="9"/>
        <v>#VALUE!</v>
      </c>
      <c r="P29" s="212" t="e">
        <f t="shared" ca="1" si="9"/>
        <v>#VALUE!</v>
      </c>
      <c r="Q29" s="212" t="e">
        <f t="shared" ca="1" si="9"/>
        <v>#VALUE!</v>
      </c>
      <c r="R29" s="212" t="e">
        <f t="shared" ca="1" si="9"/>
        <v>#VALUE!</v>
      </c>
      <c r="S29" s="212" t="e">
        <f t="shared" ca="1" si="9"/>
        <v>#VALUE!</v>
      </c>
      <c r="T29" s="212" t="e">
        <f t="shared" ca="1" si="9"/>
        <v>#VALUE!</v>
      </c>
      <c r="U29" s="212" t="e">
        <f t="shared" ca="1" si="9"/>
        <v>#VALUE!</v>
      </c>
      <c r="V29" s="212" t="e">
        <f t="shared" ca="1" si="9"/>
        <v>#VALUE!</v>
      </c>
      <c r="W29" s="212" t="e">
        <f t="shared" ca="1" si="9"/>
        <v>#VALUE!</v>
      </c>
      <c r="X29" s="212" t="e">
        <f t="shared" ca="1" si="9"/>
        <v>#VALUE!</v>
      </c>
      <c r="Y29" s="212" t="e">
        <f t="shared" ca="1" si="9"/>
        <v>#VALUE!</v>
      </c>
      <c r="Z29" s="212" t="e">
        <f t="shared" ca="1" si="9"/>
        <v>#VALUE!</v>
      </c>
      <c r="AA29" s="212" t="e">
        <f t="shared" ca="1" si="9"/>
        <v>#VALUE!</v>
      </c>
      <c r="AB29" s="212" t="e">
        <f t="shared" ca="1" si="9"/>
        <v>#VALUE!</v>
      </c>
      <c r="AC29" s="212" t="e">
        <f t="shared" ca="1" si="9"/>
        <v>#VALUE!</v>
      </c>
      <c r="AD29" s="212" t="e">
        <f t="shared" ca="1" si="9"/>
        <v>#VALUE!</v>
      </c>
      <c r="AE29" s="212" t="e">
        <f t="shared" ca="1" si="9"/>
        <v>#VALUE!</v>
      </c>
      <c r="AF29" s="212" t="e">
        <f t="shared" ca="1" si="9"/>
        <v>#VALUE!</v>
      </c>
      <c r="AG29" s="212" t="e">
        <f t="shared" ca="1" si="9"/>
        <v>#VALUE!</v>
      </c>
      <c r="AH29" s="212" t="e">
        <f t="shared" ca="1" si="9"/>
        <v>#VALUE!</v>
      </c>
      <c r="AI29" s="212" t="e">
        <f t="shared" ca="1" si="9"/>
        <v>#VALUE!</v>
      </c>
      <c r="AJ29" s="212" t="e">
        <f t="shared" ca="1" si="9"/>
        <v>#VALUE!</v>
      </c>
      <c r="AK29" s="212" t="e">
        <f t="shared" ca="1" si="9"/>
        <v>#VALUE!</v>
      </c>
      <c r="AL29" s="212" t="e">
        <f t="shared" ca="1" si="9"/>
        <v>#VALUE!</v>
      </c>
      <c r="AM29" s="212" t="e">
        <f t="shared" ca="1" si="9"/>
        <v>#VALUE!</v>
      </c>
      <c r="AN29" s="212" t="e">
        <f t="shared" ca="1" si="9"/>
        <v>#VALUE!</v>
      </c>
      <c r="AO29" s="212" t="e">
        <f t="shared" ca="1" si="9"/>
        <v>#VALUE!</v>
      </c>
      <c r="AP29" s="212" t="e">
        <f t="shared" ca="1" si="9"/>
        <v>#VALUE!</v>
      </c>
      <c r="AQ29" s="213" t="e">
        <f t="shared" ca="1" si="9"/>
        <v>#NAME?</v>
      </c>
    </row>
    <row r="30" spans="1:44" s="2" customFormat="1">
      <c r="A30" s="169"/>
      <c r="B30" s="169"/>
      <c r="C30" s="214"/>
      <c r="D30" s="215"/>
      <c r="E30" s="215"/>
      <c r="F30" s="215"/>
      <c r="G30" s="198"/>
      <c r="H30" s="185"/>
      <c r="I30" s="216"/>
      <c r="J30" s="216"/>
      <c r="K30" s="216"/>
      <c r="L30" s="216"/>
      <c r="M30" s="216"/>
      <c r="N30" s="216"/>
      <c r="O30" s="216"/>
      <c r="P30" s="216"/>
      <c r="Q30" s="216"/>
      <c r="R30" s="216"/>
      <c r="S30" s="216"/>
      <c r="T30" s="216"/>
      <c r="U30" s="216"/>
      <c r="V30" s="216"/>
      <c r="W30" s="216"/>
      <c r="X30" s="216"/>
      <c r="Y30" s="216"/>
      <c r="Z30" s="216"/>
      <c r="AA30" s="216"/>
      <c r="AB30" s="216"/>
      <c r="AC30" s="216"/>
      <c r="AD30" s="216"/>
      <c r="AE30" s="216"/>
      <c r="AF30" s="216"/>
      <c r="AG30" s="216"/>
      <c r="AH30" s="216"/>
      <c r="AI30" s="216"/>
      <c r="AJ30" s="216"/>
      <c r="AK30" s="216"/>
      <c r="AL30" s="216"/>
      <c r="AM30" s="216"/>
      <c r="AN30" s="216"/>
      <c r="AO30" s="216"/>
      <c r="AP30" s="216"/>
      <c r="AQ30" s="217"/>
    </row>
    <row r="31" spans="1:44" s="2" customFormat="1">
      <c r="A31" s="169"/>
      <c r="B31" s="169"/>
      <c r="C31" s="202" t="s">
        <v>121</v>
      </c>
      <c r="D31" s="203"/>
      <c r="E31" s="203"/>
      <c r="F31" s="203"/>
      <c r="G31" s="198"/>
      <c r="H31" s="185"/>
      <c r="I31" s="216"/>
      <c r="J31" s="216"/>
      <c r="K31" s="216"/>
      <c r="L31" s="216"/>
      <c r="M31" s="216"/>
      <c r="N31" s="216"/>
      <c r="O31" s="216"/>
      <c r="P31" s="216"/>
      <c r="Q31" s="216"/>
      <c r="R31" s="216"/>
      <c r="S31" s="216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216"/>
      <c r="AF31" s="216"/>
      <c r="AG31" s="216"/>
      <c r="AH31" s="216"/>
      <c r="AI31" s="216"/>
      <c r="AJ31" s="216"/>
      <c r="AK31" s="216"/>
      <c r="AL31" s="216"/>
      <c r="AM31" s="216"/>
      <c r="AN31" s="216"/>
      <c r="AO31" s="216"/>
      <c r="AP31" s="216"/>
      <c r="AQ31" s="217"/>
    </row>
    <row r="32" spans="1:44" s="2" customFormat="1">
      <c r="A32" s="169"/>
      <c r="B32" s="169"/>
      <c r="C32" s="182" t="s">
        <v>123</v>
      </c>
      <c r="D32" s="183" t="e">
        <f t="shared" ref="D32:E35" ca="1" si="10">HLOOKUP(D$9,BS,(ROW($C32)-ROW($C$9)+1),FALSE)</f>
        <v>#NAME?</v>
      </c>
      <c r="E32" s="183" t="e">
        <f t="shared" si="10"/>
        <v>#N/A</v>
      </c>
      <c r="F32" s="183" t="e">
        <f ca="1">+E32-D32</f>
        <v>#N/A</v>
      </c>
      <c r="G32" s="184">
        <f t="shared" ref="G32:G35" ca="1" si="11">IFERROR(E32/D32-1,0)</f>
        <v>0</v>
      </c>
      <c r="H32" s="185" t="e">
        <f ca="1">DATA_FORMATTING!E145/H$8</f>
        <v>#VALUE!</v>
      </c>
      <c r="I32" s="185" t="e">
        <f ca="1">DATA_FORMATTING!F145/I$8</f>
        <v>#VALUE!</v>
      </c>
      <c r="J32" s="185" t="e">
        <f ca="1">DATA_FORMATTING!G145/J$8</f>
        <v>#VALUE!</v>
      </c>
      <c r="K32" s="185" t="e">
        <f ca="1">DATA_FORMATTING!H145/K$8</f>
        <v>#VALUE!</v>
      </c>
      <c r="L32" s="185" t="e">
        <f ca="1">DATA_FORMATTING!I145/L$8</f>
        <v>#VALUE!</v>
      </c>
      <c r="M32" s="185" t="e">
        <f ca="1">DATA_FORMATTING!J145/M$8</f>
        <v>#VALUE!</v>
      </c>
      <c r="N32" s="185" t="e">
        <f ca="1">DATA_FORMATTING!K145/N$8</f>
        <v>#VALUE!</v>
      </c>
      <c r="O32" s="185" t="e">
        <f ca="1">DATA_FORMATTING!L145/O$8</f>
        <v>#VALUE!</v>
      </c>
      <c r="P32" s="185" t="e">
        <f ca="1">DATA_FORMATTING!M145/P$8</f>
        <v>#VALUE!</v>
      </c>
      <c r="Q32" s="185" t="e">
        <f ca="1">DATA_FORMATTING!N145/Q$8</f>
        <v>#VALUE!</v>
      </c>
      <c r="R32" s="185" t="e">
        <f ca="1">DATA_FORMATTING!O145/R$8</f>
        <v>#VALUE!</v>
      </c>
      <c r="S32" s="185" t="e">
        <f ca="1">DATA_FORMATTING!P145/S$8</f>
        <v>#VALUE!</v>
      </c>
      <c r="T32" s="185" t="e">
        <f ca="1">DATA_FORMATTING!Q145/T$8</f>
        <v>#VALUE!</v>
      </c>
      <c r="U32" s="185" t="e">
        <f ca="1">DATA_FORMATTING!R145/U$8</f>
        <v>#VALUE!</v>
      </c>
      <c r="V32" s="185" t="e">
        <f ca="1">DATA_FORMATTING!S145/V$8</f>
        <v>#VALUE!</v>
      </c>
      <c r="W32" s="185" t="e">
        <f ca="1">DATA_FORMATTING!T145/W$8</f>
        <v>#VALUE!</v>
      </c>
      <c r="X32" s="185" t="e">
        <f ca="1">DATA_FORMATTING!U145/X$8</f>
        <v>#VALUE!</v>
      </c>
      <c r="Y32" s="185" t="e">
        <f ca="1">DATA_FORMATTING!V145/Y$8</f>
        <v>#VALUE!</v>
      </c>
      <c r="Z32" s="185" t="e">
        <f ca="1">DATA_FORMATTING!W145/Z$8</f>
        <v>#VALUE!</v>
      </c>
      <c r="AA32" s="185" t="e">
        <f ca="1">DATA_FORMATTING!X145/AA$8</f>
        <v>#VALUE!</v>
      </c>
      <c r="AB32" s="185" t="e">
        <f ca="1">DATA_FORMATTING!Y145/AB$8</f>
        <v>#VALUE!</v>
      </c>
      <c r="AC32" s="185" t="e">
        <f ca="1">DATA_FORMATTING!Z145/AC$8</f>
        <v>#VALUE!</v>
      </c>
      <c r="AD32" s="185" t="e">
        <f ca="1">DATA_FORMATTING!AA145/AD$8</f>
        <v>#VALUE!</v>
      </c>
      <c r="AE32" s="185" t="e">
        <f ca="1">DATA_FORMATTING!AB145/AE$8</f>
        <v>#VALUE!</v>
      </c>
      <c r="AF32" s="185" t="e">
        <f ca="1">DATA_FORMATTING!AC145/AF$8</f>
        <v>#VALUE!</v>
      </c>
      <c r="AG32" s="185" t="e">
        <f ca="1">DATA_FORMATTING!AD145/AG$8</f>
        <v>#VALUE!</v>
      </c>
      <c r="AH32" s="185" t="e">
        <f ca="1">DATA_FORMATTING!AE145/AH$8</f>
        <v>#VALUE!</v>
      </c>
      <c r="AI32" s="185" t="e">
        <f ca="1">DATA_FORMATTING!AF145/AI$8</f>
        <v>#VALUE!</v>
      </c>
      <c r="AJ32" s="185" t="e">
        <f ca="1">DATA_FORMATTING!AG145/AJ$8</f>
        <v>#VALUE!</v>
      </c>
      <c r="AK32" s="185" t="e">
        <f ca="1">DATA_FORMATTING!AH145/AK$8</f>
        <v>#VALUE!</v>
      </c>
      <c r="AL32" s="185" t="e">
        <f ca="1">DATA_FORMATTING!AI145/AL$8</f>
        <v>#VALUE!</v>
      </c>
      <c r="AM32" s="185" t="e">
        <f ca="1">DATA_FORMATTING!AJ145/AM$8</f>
        <v>#VALUE!</v>
      </c>
      <c r="AN32" s="185" t="e">
        <f ca="1">DATA_FORMATTING!AK145/AN$8</f>
        <v>#VALUE!</v>
      </c>
      <c r="AO32" s="185" t="e">
        <f ca="1">DATA_FORMATTING!AL145/AO$8</f>
        <v>#VALUE!</v>
      </c>
      <c r="AP32" s="185" t="e">
        <f ca="1">DATA_FORMATTING!AM145/AP$8</f>
        <v>#VALUE!</v>
      </c>
      <c r="AQ32" s="186" t="e">
        <f ca="1">DATA_FORMATTING!AN145/AQ$8</f>
        <v>#NAME?</v>
      </c>
    </row>
    <row r="33" spans="1:43" s="2" customFormat="1">
      <c r="A33" s="169"/>
      <c r="B33" s="169"/>
      <c r="C33" s="182" t="s">
        <v>125</v>
      </c>
      <c r="D33" s="183" t="e">
        <f t="shared" ca="1" si="10"/>
        <v>#NAME?</v>
      </c>
      <c r="E33" s="183" t="e">
        <f t="shared" si="10"/>
        <v>#N/A</v>
      </c>
      <c r="F33" s="183" t="e">
        <f ca="1">+E33-D33</f>
        <v>#N/A</v>
      </c>
      <c r="G33" s="184">
        <f t="shared" ca="1" si="11"/>
        <v>0</v>
      </c>
      <c r="H33" s="185" t="e">
        <f ca="1">DATA_FORMATTING!E146/H$8</f>
        <v>#VALUE!</v>
      </c>
      <c r="I33" s="185" t="e">
        <f ca="1">DATA_FORMATTING!F146/I$8</f>
        <v>#VALUE!</v>
      </c>
      <c r="J33" s="185" t="e">
        <f ca="1">DATA_FORMATTING!G146/J$8</f>
        <v>#VALUE!</v>
      </c>
      <c r="K33" s="185" t="e">
        <f ca="1">DATA_FORMATTING!H146/K$8</f>
        <v>#VALUE!</v>
      </c>
      <c r="L33" s="185" t="e">
        <f ca="1">DATA_FORMATTING!I146/L$8</f>
        <v>#VALUE!</v>
      </c>
      <c r="M33" s="185" t="e">
        <f ca="1">DATA_FORMATTING!J146/M$8</f>
        <v>#VALUE!</v>
      </c>
      <c r="N33" s="185" t="e">
        <f ca="1">DATA_FORMATTING!K146/N$8</f>
        <v>#VALUE!</v>
      </c>
      <c r="O33" s="185" t="e">
        <f ca="1">DATA_FORMATTING!L146/O$8</f>
        <v>#VALUE!</v>
      </c>
      <c r="P33" s="185" t="e">
        <f ca="1">DATA_FORMATTING!M146/P$8</f>
        <v>#VALUE!</v>
      </c>
      <c r="Q33" s="185" t="e">
        <f ca="1">DATA_FORMATTING!N146/Q$8</f>
        <v>#VALUE!</v>
      </c>
      <c r="R33" s="185" t="e">
        <f ca="1">DATA_FORMATTING!O146/R$8</f>
        <v>#VALUE!</v>
      </c>
      <c r="S33" s="185" t="e">
        <f ca="1">DATA_FORMATTING!P146/S$8</f>
        <v>#VALUE!</v>
      </c>
      <c r="T33" s="185" t="e">
        <f ca="1">DATA_FORMATTING!Q146/T$8</f>
        <v>#VALUE!</v>
      </c>
      <c r="U33" s="185" t="e">
        <f ca="1">DATA_FORMATTING!R146/U$8</f>
        <v>#VALUE!</v>
      </c>
      <c r="V33" s="185" t="e">
        <f ca="1">DATA_FORMATTING!S146/V$8</f>
        <v>#VALUE!</v>
      </c>
      <c r="W33" s="185" t="e">
        <f ca="1">DATA_FORMATTING!T146/W$8</f>
        <v>#VALUE!</v>
      </c>
      <c r="X33" s="185" t="e">
        <f ca="1">DATA_FORMATTING!U146/X$8</f>
        <v>#VALUE!</v>
      </c>
      <c r="Y33" s="185" t="e">
        <f ca="1">DATA_FORMATTING!V146/Y$8</f>
        <v>#VALUE!</v>
      </c>
      <c r="Z33" s="185" t="e">
        <f ca="1">DATA_FORMATTING!W146/Z$8</f>
        <v>#VALUE!</v>
      </c>
      <c r="AA33" s="185" t="e">
        <f ca="1">DATA_FORMATTING!X146/AA$8</f>
        <v>#VALUE!</v>
      </c>
      <c r="AB33" s="185" t="e">
        <f ca="1">DATA_FORMATTING!Y146/AB$8</f>
        <v>#VALUE!</v>
      </c>
      <c r="AC33" s="185" t="e">
        <f ca="1">DATA_FORMATTING!Z146/AC$8</f>
        <v>#VALUE!</v>
      </c>
      <c r="AD33" s="185" t="e">
        <f ca="1">DATA_FORMATTING!AA146/AD$8</f>
        <v>#VALUE!</v>
      </c>
      <c r="AE33" s="185" t="e">
        <f ca="1">DATA_FORMATTING!AB146/AE$8</f>
        <v>#VALUE!</v>
      </c>
      <c r="AF33" s="185" t="e">
        <f ca="1">DATA_FORMATTING!AC146/AF$8</f>
        <v>#VALUE!</v>
      </c>
      <c r="AG33" s="185" t="e">
        <f ca="1">DATA_FORMATTING!AD146/AG$8</f>
        <v>#VALUE!</v>
      </c>
      <c r="AH33" s="185" t="e">
        <f ca="1">DATA_FORMATTING!AE146/AH$8</f>
        <v>#VALUE!</v>
      </c>
      <c r="AI33" s="185" t="e">
        <f ca="1">DATA_FORMATTING!AF146/AI$8</f>
        <v>#VALUE!</v>
      </c>
      <c r="AJ33" s="185" t="e">
        <f ca="1">DATA_FORMATTING!AG146/AJ$8</f>
        <v>#VALUE!</v>
      </c>
      <c r="AK33" s="185" t="e">
        <f ca="1">DATA_FORMATTING!AH146/AK$8</f>
        <v>#VALUE!</v>
      </c>
      <c r="AL33" s="185" t="e">
        <f ca="1">DATA_FORMATTING!AI146/AL$8</f>
        <v>#VALUE!</v>
      </c>
      <c r="AM33" s="185" t="e">
        <f ca="1">DATA_FORMATTING!AJ146/AM$8</f>
        <v>#VALUE!</v>
      </c>
      <c r="AN33" s="185" t="e">
        <f ca="1">DATA_FORMATTING!AK146/AN$8</f>
        <v>#VALUE!</v>
      </c>
      <c r="AO33" s="185" t="e">
        <f ca="1">DATA_FORMATTING!AL146/AO$8</f>
        <v>#VALUE!</v>
      </c>
      <c r="AP33" s="185" t="e">
        <f ca="1">DATA_FORMATTING!AM146/AP$8</f>
        <v>#VALUE!</v>
      </c>
      <c r="AQ33" s="186" t="e">
        <f ca="1">DATA_FORMATTING!AN146/AQ$8</f>
        <v>#NAME?</v>
      </c>
    </row>
    <row r="34" spans="1:43" s="2" customFormat="1">
      <c r="A34" s="169"/>
      <c r="B34" s="169"/>
      <c r="C34" s="218" t="s">
        <v>126</v>
      </c>
      <c r="D34" s="209" t="e">
        <f t="shared" ca="1" si="10"/>
        <v>#NAME?</v>
      </c>
      <c r="E34" s="209" t="e">
        <f t="shared" si="10"/>
        <v>#N/A</v>
      </c>
      <c r="F34" s="219" t="e">
        <f ca="1">+E34-D34</f>
        <v>#N/A</v>
      </c>
      <c r="G34" s="220">
        <f t="shared" ca="1" si="11"/>
        <v>0</v>
      </c>
      <c r="H34" s="221" t="e">
        <f t="shared" ref="H34:AQ34" ca="1" si="12">SUM(H32:H33)</f>
        <v>#VALUE!</v>
      </c>
      <c r="I34" s="222" t="e">
        <f t="shared" ca="1" si="12"/>
        <v>#VALUE!</v>
      </c>
      <c r="J34" s="222" t="e">
        <f t="shared" ca="1" si="12"/>
        <v>#VALUE!</v>
      </c>
      <c r="K34" s="222" t="e">
        <f t="shared" ca="1" si="12"/>
        <v>#VALUE!</v>
      </c>
      <c r="L34" s="222" t="e">
        <f t="shared" ca="1" si="12"/>
        <v>#VALUE!</v>
      </c>
      <c r="M34" s="222" t="e">
        <f t="shared" ca="1" si="12"/>
        <v>#VALUE!</v>
      </c>
      <c r="N34" s="222" t="e">
        <f t="shared" ca="1" si="12"/>
        <v>#VALUE!</v>
      </c>
      <c r="O34" s="222" t="e">
        <f t="shared" ca="1" si="12"/>
        <v>#VALUE!</v>
      </c>
      <c r="P34" s="222" t="e">
        <f t="shared" ca="1" si="12"/>
        <v>#VALUE!</v>
      </c>
      <c r="Q34" s="222" t="e">
        <f t="shared" ca="1" si="12"/>
        <v>#VALUE!</v>
      </c>
      <c r="R34" s="222" t="e">
        <f t="shared" ca="1" si="12"/>
        <v>#VALUE!</v>
      </c>
      <c r="S34" s="222" t="e">
        <f t="shared" ca="1" si="12"/>
        <v>#VALUE!</v>
      </c>
      <c r="T34" s="222" t="e">
        <f t="shared" ca="1" si="12"/>
        <v>#VALUE!</v>
      </c>
      <c r="U34" s="222" t="e">
        <f t="shared" ca="1" si="12"/>
        <v>#VALUE!</v>
      </c>
      <c r="V34" s="222" t="e">
        <f t="shared" ca="1" si="12"/>
        <v>#VALUE!</v>
      </c>
      <c r="W34" s="222" t="e">
        <f t="shared" ca="1" si="12"/>
        <v>#VALUE!</v>
      </c>
      <c r="X34" s="222" t="e">
        <f t="shared" ca="1" si="12"/>
        <v>#VALUE!</v>
      </c>
      <c r="Y34" s="222" t="e">
        <f t="shared" ca="1" si="12"/>
        <v>#VALUE!</v>
      </c>
      <c r="Z34" s="222" t="e">
        <f t="shared" ca="1" si="12"/>
        <v>#VALUE!</v>
      </c>
      <c r="AA34" s="222" t="e">
        <f t="shared" ca="1" si="12"/>
        <v>#VALUE!</v>
      </c>
      <c r="AB34" s="222" t="e">
        <f t="shared" ca="1" si="12"/>
        <v>#VALUE!</v>
      </c>
      <c r="AC34" s="222" t="e">
        <f t="shared" ca="1" si="12"/>
        <v>#VALUE!</v>
      </c>
      <c r="AD34" s="222" t="e">
        <f t="shared" ca="1" si="12"/>
        <v>#VALUE!</v>
      </c>
      <c r="AE34" s="222" t="e">
        <f t="shared" ca="1" si="12"/>
        <v>#VALUE!</v>
      </c>
      <c r="AF34" s="222" t="e">
        <f t="shared" ca="1" si="12"/>
        <v>#VALUE!</v>
      </c>
      <c r="AG34" s="222" t="e">
        <f t="shared" ca="1" si="12"/>
        <v>#VALUE!</v>
      </c>
      <c r="AH34" s="222" t="e">
        <f t="shared" ca="1" si="12"/>
        <v>#VALUE!</v>
      </c>
      <c r="AI34" s="222" t="e">
        <f t="shared" ca="1" si="12"/>
        <v>#VALUE!</v>
      </c>
      <c r="AJ34" s="222" t="e">
        <f t="shared" ca="1" si="12"/>
        <v>#VALUE!</v>
      </c>
      <c r="AK34" s="222" t="e">
        <f t="shared" ca="1" si="12"/>
        <v>#VALUE!</v>
      </c>
      <c r="AL34" s="222" t="e">
        <f t="shared" ca="1" si="12"/>
        <v>#VALUE!</v>
      </c>
      <c r="AM34" s="222" t="e">
        <f t="shared" ca="1" si="12"/>
        <v>#VALUE!</v>
      </c>
      <c r="AN34" s="222" t="e">
        <f t="shared" ca="1" si="12"/>
        <v>#VALUE!</v>
      </c>
      <c r="AO34" s="222" t="e">
        <f t="shared" ca="1" si="12"/>
        <v>#VALUE!</v>
      </c>
      <c r="AP34" s="222" t="e">
        <f t="shared" ca="1" si="12"/>
        <v>#VALUE!</v>
      </c>
      <c r="AQ34" s="223" t="e">
        <f t="shared" ca="1" si="12"/>
        <v>#NAME?</v>
      </c>
    </row>
    <row r="35" spans="1:43" s="2" customFormat="1" ht="17.25" thickBot="1">
      <c r="A35" s="169"/>
      <c r="B35" s="169"/>
      <c r="C35" s="224" t="s">
        <v>127</v>
      </c>
      <c r="D35" s="225" t="e">
        <f t="shared" ca="1" si="10"/>
        <v>#NAME?</v>
      </c>
      <c r="E35" s="225" t="e">
        <f t="shared" si="10"/>
        <v>#N/A</v>
      </c>
      <c r="F35" s="225" t="e">
        <f ca="1">+E35-D35</f>
        <v>#N/A</v>
      </c>
      <c r="G35" s="226">
        <f t="shared" ca="1" si="11"/>
        <v>0</v>
      </c>
      <c r="H35" s="227" t="e">
        <f t="shared" ref="H35:AQ35" ca="1" si="13">SUM(H34,H29)</f>
        <v>#VALUE!</v>
      </c>
      <c r="I35" s="228" t="e">
        <f t="shared" ca="1" si="13"/>
        <v>#VALUE!</v>
      </c>
      <c r="J35" s="228" t="e">
        <f t="shared" ca="1" si="13"/>
        <v>#VALUE!</v>
      </c>
      <c r="K35" s="228" t="e">
        <f t="shared" ca="1" si="13"/>
        <v>#VALUE!</v>
      </c>
      <c r="L35" s="228" t="e">
        <f t="shared" ca="1" si="13"/>
        <v>#VALUE!</v>
      </c>
      <c r="M35" s="228" t="e">
        <f t="shared" ca="1" si="13"/>
        <v>#VALUE!</v>
      </c>
      <c r="N35" s="228" t="e">
        <f t="shared" ca="1" si="13"/>
        <v>#VALUE!</v>
      </c>
      <c r="O35" s="228" t="e">
        <f t="shared" ca="1" si="13"/>
        <v>#VALUE!</v>
      </c>
      <c r="P35" s="228" t="e">
        <f t="shared" ca="1" si="13"/>
        <v>#VALUE!</v>
      </c>
      <c r="Q35" s="228" t="e">
        <f t="shared" ca="1" si="13"/>
        <v>#VALUE!</v>
      </c>
      <c r="R35" s="228" t="e">
        <f t="shared" ca="1" si="13"/>
        <v>#VALUE!</v>
      </c>
      <c r="S35" s="228" t="e">
        <f t="shared" ca="1" si="13"/>
        <v>#VALUE!</v>
      </c>
      <c r="T35" s="228" t="e">
        <f t="shared" ca="1" si="13"/>
        <v>#VALUE!</v>
      </c>
      <c r="U35" s="228" t="e">
        <f t="shared" ca="1" si="13"/>
        <v>#VALUE!</v>
      </c>
      <c r="V35" s="228" t="e">
        <f t="shared" ca="1" si="13"/>
        <v>#VALUE!</v>
      </c>
      <c r="W35" s="228" t="e">
        <f t="shared" ca="1" si="13"/>
        <v>#VALUE!</v>
      </c>
      <c r="X35" s="228" t="e">
        <f t="shared" ca="1" si="13"/>
        <v>#VALUE!</v>
      </c>
      <c r="Y35" s="228" t="e">
        <f t="shared" ca="1" si="13"/>
        <v>#VALUE!</v>
      </c>
      <c r="Z35" s="228" t="e">
        <f t="shared" ca="1" si="13"/>
        <v>#VALUE!</v>
      </c>
      <c r="AA35" s="228" t="e">
        <f t="shared" ca="1" si="13"/>
        <v>#VALUE!</v>
      </c>
      <c r="AB35" s="228" t="e">
        <f t="shared" ca="1" si="13"/>
        <v>#VALUE!</v>
      </c>
      <c r="AC35" s="228" t="e">
        <f t="shared" ca="1" si="13"/>
        <v>#VALUE!</v>
      </c>
      <c r="AD35" s="228" t="e">
        <f t="shared" ca="1" si="13"/>
        <v>#VALUE!</v>
      </c>
      <c r="AE35" s="228" t="e">
        <f t="shared" ca="1" si="13"/>
        <v>#VALUE!</v>
      </c>
      <c r="AF35" s="229" t="e">
        <f t="shared" ca="1" si="13"/>
        <v>#VALUE!</v>
      </c>
      <c r="AG35" s="229" t="e">
        <f t="shared" ca="1" si="13"/>
        <v>#VALUE!</v>
      </c>
      <c r="AH35" s="229" t="e">
        <f t="shared" ca="1" si="13"/>
        <v>#VALUE!</v>
      </c>
      <c r="AI35" s="229" t="e">
        <f t="shared" ca="1" si="13"/>
        <v>#VALUE!</v>
      </c>
      <c r="AJ35" s="229" t="e">
        <f t="shared" ca="1" si="13"/>
        <v>#VALUE!</v>
      </c>
      <c r="AK35" s="229" t="e">
        <f t="shared" ca="1" si="13"/>
        <v>#VALUE!</v>
      </c>
      <c r="AL35" s="229" t="e">
        <f t="shared" ca="1" si="13"/>
        <v>#VALUE!</v>
      </c>
      <c r="AM35" s="229" t="e">
        <f t="shared" ca="1" si="13"/>
        <v>#VALUE!</v>
      </c>
      <c r="AN35" s="229" t="e">
        <f t="shared" ca="1" si="13"/>
        <v>#VALUE!</v>
      </c>
      <c r="AO35" s="229" t="e">
        <f t="shared" ca="1" si="13"/>
        <v>#VALUE!</v>
      </c>
      <c r="AP35" s="229" t="e">
        <f t="shared" ca="1" si="13"/>
        <v>#VALUE!</v>
      </c>
      <c r="AQ35" s="230" t="e">
        <f t="shared" ca="1" si="13"/>
        <v>#NAME?</v>
      </c>
    </row>
    <row r="36" spans="1:43">
      <c r="C36" s="231"/>
      <c r="D36" s="231"/>
      <c r="E36" s="231"/>
      <c r="F36" s="231"/>
      <c r="G36" s="231"/>
      <c r="H36" s="830" t="e">
        <f ca="1">IF(OR(H18-H35&gt;1,H18-H35&lt;-1),"B/S Error","")</f>
        <v>#VALUE!</v>
      </c>
      <c r="I36" s="830" t="e">
        <f t="shared" ref="I36:AQ36" ca="1" si="14">IF(OR(I18-I35&gt;1,I18-I35&lt;-1),"B/S Error","")</f>
        <v>#VALUE!</v>
      </c>
      <c r="J36" s="830" t="e">
        <f t="shared" ca="1" si="14"/>
        <v>#VALUE!</v>
      </c>
      <c r="K36" s="830" t="e">
        <f t="shared" ca="1" si="14"/>
        <v>#VALUE!</v>
      </c>
      <c r="L36" s="830" t="e">
        <f t="shared" ca="1" si="14"/>
        <v>#VALUE!</v>
      </c>
      <c r="M36" s="830" t="e">
        <f t="shared" ca="1" si="14"/>
        <v>#VALUE!</v>
      </c>
      <c r="N36" s="830" t="e">
        <f t="shared" ca="1" si="14"/>
        <v>#VALUE!</v>
      </c>
      <c r="O36" s="830" t="e">
        <f t="shared" ca="1" si="14"/>
        <v>#VALUE!</v>
      </c>
      <c r="P36" s="830" t="e">
        <f t="shared" ca="1" si="14"/>
        <v>#VALUE!</v>
      </c>
      <c r="Q36" s="830" t="e">
        <f t="shared" ca="1" si="14"/>
        <v>#VALUE!</v>
      </c>
      <c r="R36" s="830" t="e">
        <f t="shared" ca="1" si="14"/>
        <v>#VALUE!</v>
      </c>
      <c r="S36" s="830" t="e">
        <f t="shared" ca="1" si="14"/>
        <v>#VALUE!</v>
      </c>
      <c r="T36" s="830" t="e">
        <f t="shared" ca="1" si="14"/>
        <v>#VALUE!</v>
      </c>
      <c r="U36" s="830" t="e">
        <f t="shared" ca="1" si="14"/>
        <v>#VALUE!</v>
      </c>
      <c r="V36" s="830" t="e">
        <f t="shared" ca="1" si="14"/>
        <v>#VALUE!</v>
      </c>
      <c r="W36" s="830" t="e">
        <f t="shared" ca="1" si="14"/>
        <v>#VALUE!</v>
      </c>
      <c r="X36" s="830" t="e">
        <f t="shared" ca="1" si="14"/>
        <v>#VALUE!</v>
      </c>
      <c r="Y36" s="830" t="e">
        <f t="shared" ca="1" si="14"/>
        <v>#VALUE!</v>
      </c>
      <c r="Z36" s="830" t="e">
        <f t="shared" ca="1" si="14"/>
        <v>#VALUE!</v>
      </c>
      <c r="AA36" s="830" t="e">
        <f t="shared" ca="1" si="14"/>
        <v>#VALUE!</v>
      </c>
      <c r="AB36" s="830" t="e">
        <f t="shared" ca="1" si="14"/>
        <v>#VALUE!</v>
      </c>
      <c r="AC36" s="830" t="e">
        <f t="shared" ca="1" si="14"/>
        <v>#VALUE!</v>
      </c>
      <c r="AD36" s="830" t="e">
        <f t="shared" ca="1" si="14"/>
        <v>#VALUE!</v>
      </c>
      <c r="AE36" s="830" t="e">
        <f t="shared" ca="1" si="14"/>
        <v>#VALUE!</v>
      </c>
      <c r="AF36" s="830" t="e">
        <f t="shared" ca="1" si="14"/>
        <v>#VALUE!</v>
      </c>
      <c r="AG36" s="830" t="e">
        <f t="shared" ca="1" si="14"/>
        <v>#VALUE!</v>
      </c>
      <c r="AH36" s="830" t="e">
        <f t="shared" ca="1" si="14"/>
        <v>#VALUE!</v>
      </c>
      <c r="AI36" s="830" t="e">
        <f t="shared" ca="1" si="14"/>
        <v>#VALUE!</v>
      </c>
      <c r="AJ36" s="830" t="e">
        <f t="shared" ca="1" si="14"/>
        <v>#VALUE!</v>
      </c>
      <c r="AK36" s="830" t="e">
        <f t="shared" ca="1" si="14"/>
        <v>#VALUE!</v>
      </c>
      <c r="AL36" s="830" t="e">
        <f t="shared" ca="1" si="14"/>
        <v>#VALUE!</v>
      </c>
      <c r="AM36" s="830" t="e">
        <f t="shared" ca="1" si="14"/>
        <v>#VALUE!</v>
      </c>
      <c r="AN36" s="830" t="e">
        <f t="shared" ca="1" si="14"/>
        <v>#VALUE!</v>
      </c>
      <c r="AO36" s="830" t="e">
        <f t="shared" ca="1" si="14"/>
        <v>#VALUE!</v>
      </c>
      <c r="AP36" s="830" t="e">
        <f t="shared" ca="1" si="14"/>
        <v>#VALUE!</v>
      </c>
      <c r="AQ36" s="830" t="e">
        <f t="shared" ca="1" si="14"/>
        <v>#NAME?</v>
      </c>
    </row>
    <row r="37" spans="1:43" ht="23.25" customHeight="1">
      <c r="C37" s="171" t="e">
        <f ca="1">UPPER(C2&amp;" Unhedged FX")</f>
        <v>#NAME?</v>
      </c>
      <c r="D37" s="231"/>
      <c r="E37" s="231"/>
      <c r="F37" s="231"/>
      <c r="G37" s="231"/>
    </row>
    <row r="38" spans="1:43" ht="17.25" thickBot="1">
      <c r="C38" s="231"/>
      <c r="D38" s="231"/>
      <c r="E38" s="231"/>
      <c r="F38" s="231"/>
      <c r="G38" s="231"/>
    </row>
    <row r="39" spans="1:43" ht="17.25" thickBot="1">
      <c r="C39" s="172" t="s">
        <v>517</v>
      </c>
      <c r="D39" s="173">
        <f>D9</f>
        <v>4</v>
      </c>
      <c r="E39" s="174">
        <f>E9</f>
        <v>-2146826252</v>
      </c>
      <c r="F39" s="174" t="s">
        <v>298</v>
      </c>
      <c r="G39" s="175" t="s">
        <v>299</v>
      </c>
      <c r="H39" s="232" t="str">
        <f t="shared" ref="H39:AQ39" si="15">H9</f>
        <v/>
      </c>
      <c r="I39" s="174" t="str">
        <f t="shared" si="15"/>
        <v/>
      </c>
      <c r="J39" s="174" t="str">
        <f t="shared" si="15"/>
        <v/>
      </c>
      <c r="K39" s="174" t="str">
        <f t="shared" si="15"/>
        <v/>
      </c>
      <c r="L39" s="174" t="str">
        <f t="shared" si="15"/>
        <v/>
      </c>
      <c r="M39" s="174" t="str">
        <f t="shared" si="15"/>
        <v/>
      </c>
      <c r="N39" s="174" t="str">
        <f t="shared" si="15"/>
        <v/>
      </c>
      <c r="O39" s="174" t="str">
        <f t="shared" si="15"/>
        <v/>
      </c>
      <c r="P39" s="174" t="str">
        <f t="shared" si="15"/>
        <v/>
      </c>
      <c r="Q39" s="174" t="str">
        <f t="shared" si="15"/>
        <v/>
      </c>
      <c r="R39" s="174" t="str">
        <f t="shared" si="15"/>
        <v/>
      </c>
      <c r="S39" s="174" t="str">
        <f t="shared" si="15"/>
        <v/>
      </c>
      <c r="T39" s="174" t="str">
        <f t="shared" si="15"/>
        <v/>
      </c>
      <c r="U39" s="174" t="str">
        <f t="shared" si="15"/>
        <v/>
      </c>
      <c r="V39" s="174" t="str">
        <f t="shared" si="15"/>
        <v/>
      </c>
      <c r="W39" s="174" t="str">
        <f t="shared" si="15"/>
        <v/>
      </c>
      <c r="X39" s="174" t="str">
        <f t="shared" si="15"/>
        <v/>
      </c>
      <c r="Y39" s="174" t="str">
        <f t="shared" si="15"/>
        <v/>
      </c>
      <c r="Z39" s="174" t="str">
        <f t="shared" si="15"/>
        <v/>
      </c>
      <c r="AA39" s="174" t="str">
        <f t="shared" si="15"/>
        <v/>
      </c>
      <c r="AB39" s="174" t="str">
        <f t="shared" si="15"/>
        <v/>
      </c>
      <c r="AC39" s="174" t="str">
        <f t="shared" si="15"/>
        <v/>
      </c>
      <c r="AD39" s="174" t="str">
        <f t="shared" si="15"/>
        <v/>
      </c>
      <c r="AE39" s="174" t="str">
        <f t="shared" si="15"/>
        <v/>
      </c>
      <c r="AF39" s="174" t="str">
        <f t="shared" si="15"/>
        <v/>
      </c>
      <c r="AG39" s="174" t="str">
        <f t="shared" si="15"/>
        <v/>
      </c>
      <c r="AH39" s="174" t="str">
        <f t="shared" si="15"/>
        <v/>
      </c>
      <c r="AI39" s="174" t="str">
        <f t="shared" si="15"/>
        <v/>
      </c>
      <c r="AJ39" s="174" t="str">
        <f t="shared" si="15"/>
        <v/>
      </c>
      <c r="AK39" s="174" t="str">
        <f t="shared" si="15"/>
        <v/>
      </c>
      <c r="AL39" s="174" t="str">
        <f t="shared" si="15"/>
        <v/>
      </c>
      <c r="AM39" s="174" t="str">
        <f t="shared" si="15"/>
        <v/>
      </c>
      <c r="AN39" s="174" t="str">
        <f t="shared" si="15"/>
        <v/>
      </c>
      <c r="AO39" s="174" t="str">
        <f t="shared" si="15"/>
        <v/>
      </c>
      <c r="AP39" s="174" t="str">
        <f t="shared" si="15"/>
        <v/>
      </c>
      <c r="AQ39" s="176">
        <f t="shared" si="15"/>
        <v>4</v>
      </c>
    </row>
    <row r="40" spans="1:43">
      <c r="C40" s="233"/>
      <c r="D40" s="234"/>
      <c r="E40" s="178"/>
      <c r="F40" s="178"/>
      <c r="G40" s="178"/>
      <c r="H40" s="179" t="e">
        <f>IF(H10=YEAR(H39),"Audited","")</f>
        <v>#VALUE!</v>
      </c>
      <c r="I40" s="235" t="e">
        <f t="shared" ref="I40:AQ40" si="16">IF(I10=YEAR(I39),"Audited","")</f>
        <v>#VALUE!</v>
      </c>
      <c r="J40" s="179" t="e">
        <f t="shared" si="16"/>
        <v>#VALUE!</v>
      </c>
      <c r="K40" s="179" t="e">
        <f t="shared" si="16"/>
        <v>#VALUE!</v>
      </c>
      <c r="L40" s="179" t="e">
        <f t="shared" si="16"/>
        <v>#VALUE!</v>
      </c>
      <c r="M40" s="179" t="e">
        <f t="shared" si="16"/>
        <v>#VALUE!</v>
      </c>
      <c r="N40" s="179" t="e">
        <f t="shared" si="16"/>
        <v>#VALUE!</v>
      </c>
      <c r="O40" s="179" t="e">
        <f t="shared" si="16"/>
        <v>#VALUE!</v>
      </c>
      <c r="P40" s="179" t="e">
        <f t="shared" si="16"/>
        <v>#VALUE!</v>
      </c>
      <c r="Q40" s="179" t="e">
        <f t="shared" si="16"/>
        <v>#VALUE!</v>
      </c>
      <c r="R40" s="179" t="e">
        <f t="shared" si="16"/>
        <v>#VALUE!</v>
      </c>
      <c r="S40" s="179" t="e">
        <f t="shared" si="16"/>
        <v>#VALUE!</v>
      </c>
      <c r="T40" s="179" t="e">
        <f t="shared" si="16"/>
        <v>#VALUE!</v>
      </c>
      <c r="U40" s="179" t="e">
        <f t="shared" si="16"/>
        <v>#VALUE!</v>
      </c>
      <c r="V40" s="179" t="e">
        <f t="shared" si="16"/>
        <v>#VALUE!</v>
      </c>
      <c r="W40" s="179" t="e">
        <f t="shared" si="16"/>
        <v>#VALUE!</v>
      </c>
      <c r="X40" s="179" t="e">
        <f t="shared" si="16"/>
        <v>#VALUE!</v>
      </c>
      <c r="Y40" s="179" t="e">
        <f t="shared" si="16"/>
        <v>#VALUE!</v>
      </c>
      <c r="Z40" s="179" t="e">
        <f t="shared" si="16"/>
        <v>#VALUE!</v>
      </c>
      <c r="AA40" s="179" t="e">
        <f t="shared" si="16"/>
        <v>#VALUE!</v>
      </c>
      <c r="AB40" s="179" t="e">
        <f t="shared" si="16"/>
        <v>#VALUE!</v>
      </c>
      <c r="AC40" s="179" t="e">
        <f t="shared" si="16"/>
        <v>#VALUE!</v>
      </c>
      <c r="AD40" s="179" t="e">
        <f t="shared" si="16"/>
        <v>#VALUE!</v>
      </c>
      <c r="AE40" s="179" t="e">
        <f t="shared" si="16"/>
        <v>#VALUE!</v>
      </c>
      <c r="AF40" s="179" t="e">
        <f t="shared" si="16"/>
        <v>#VALUE!</v>
      </c>
      <c r="AG40" s="179" t="e">
        <f t="shared" si="16"/>
        <v>#VALUE!</v>
      </c>
      <c r="AH40" s="179" t="e">
        <f t="shared" si="16"/>
        <v>#VALUE!</v>
      </c>
      <c r="AI40" s="179" t="e">
        <f t="shared" si="16"/>
        <v>#VALUE!</v>
      </c>
      <c r="AJ40" s="179" t="e">
        <f t="shared" si="16"/>
        <v>#VALUE!</v>
      </c>
      <c r="AK40" s="179" t="e">
        <f t="shared" si="16"/>
        <v>#VALUE!</v>
      </c>
      <c r="AL40" s="179" t="e">
        <f t="shared" si="16"/>
        <v>#VALUE!</v>
      </c>
      <c r="AM40" s="179" t="e">
        <f t="shared" si="16"/>
        <v>#VALUE!</v>
      </c>
      <c r="AN40" s="179" t="e">
        <f t="shared" si="16"/>
        <v>#VALUE!</v>
      </c>
      <c r="AO40" s="179" t="e">
        <f t="shared" si="16"/>
        <v>#VALUE!</v>
      </c>
      <c r="AP40" s="179" t="e">
        <f t="shared" si="16"/>
        <v>#VALUE!</v>
      </c>
      <c r="AQ40" s="181" t="e">
        <f t="shared" si="16"/>
        <v>#VALUE!</v>
      </c>
    </row>
    <row r="41" spans="1:43">
      <c r="C41" s="857" t="s">
        <v>70</v>
      </c>
      <c r="D41" s="858" t="e">
        <f t="shared" ref="D41:E45" ca="1" si="17">HLOOKUP(D$39,FX_1,(ROW($C41)-ROW($C$39)+1),FALSE)</f>
        <v>#NAME?</v>
      </c>
      <c r="E41" s="859" t="e">
        <f t="shared" si="17"/>
        <v>#N/A</v>
      </c>
      <c r="F41" s="859" t="e">
        <f ca="1">+E41-D41</f>
        <v>#N/A</v>
      </c>
      <c r="G41" s="198">
        <f t="shared" ref="G41:G45" ca="1" si="18">IFERROR(E41/D41-1,0)</f>
        <v>0</v>
      </c>
      <c r="H41" s="216" t="e">
        <f ca="1">DATA_FORMATTING!GH124/H$8</f>
        <v>#NAME?</v>
      </c>
      <c r="I41" s="216" t="e">
        <f ca="1">DATA_FORMATTING!GI124/I$8</f>
        <v>#NAME?</v>
      </c>
      <c r="J41" s="216" t="e">
        <f ca="1">DATA_FORMATTING!GJ124/J$8</f>
        <v>#NAME?</v>
      </c>
      <c r="K41" s="216" t="e">
        <f ca="1">DATA_FORMATTING!GK124/K$8</f>
        <v>#NAME?</v>
      </c>
      <c r="L41" s="216" t="e">
        <f ca="1">DATA_FORMATTING!GL124/L$8</f>
        <v>#NAME?</v>
      </c>
      <c r="M41" s="216" t="e">
        <f ca="1">DATA_FORMATTING!GM124/M$8</f>
        <v>#NAME?</v>
      </c>
      <c r="N41" s="216" t="e">
        <f ca="1">DATA_FORMATTING!GN124/N$8</f>
        <v>#NAME?</v>
      </c>
      <c r="O41" s="216" t="e">
        <f ca="1">DATA_FORMATTING!GO124/O$8</f>
        <v>#NAME?</v>
      </c>
      <c r="P41" s="216" t="e">
        <f ca="1">DATA_FORMATTING!GP124/P$8</f>
        <v>#NAME?</v>
      </c>
      <c r="Q41" s="216" t="e">
        <f ca="1">DATA_FORMATTING!GQ124/Q$8</f>
        <v>#NAME?</v>
      </c>
      <c r="R41" s="216" t="e">
        <f ca="1">DATA_FORMATTING!GR124/R$8</f>
        <v>#NAME?</v>
      </c>
      <c r="S41" s="216" t="e">
        <f ca="1">DATA_FORMATTING!GS124/S$8</f>
        <v>#NAME?</v>
      </c>
      <c r="T41" s="216" t="e">
        <f ca="1">DATA_FORMATTING!GT124/T$8</f>
        <v>#NAME?</v>
      </c>
      <c r="U41" s="216" t="e">
        <f ca="1">DATA_FORMATTING!GU124/U$8</f>
        <v>#NAME?</v>
      </c>
      <c r="V41" s="216" t="e">
        <f ca="1">DATA_FORMATTING!GV124/V$8</f>
        <v>#NAME?</v>
      </c>
      <c r="W41" s="216" t="e">
        <f ca="1">DATA_FORMATTING!GW124/W$8</f>
        <v>#NAME?</v>
      </c>
      <c r="X41" s="216" t="e">
        <f ca="1">DATA_FORMATTING!GX124/X$8</f>
        <v>#NAME?</v>
      </c>
      <c r="Y41" s="216" t="e">
        <f ca="1">DATA_FORMATTING!GY124/Y$8</f>
        <v>#NAME?</v>
      </c>
      <c r="Z41" s="216" t="e">
        <f ca="1">DATA_FORMATTING!GZ124/Z$8</f>
        <v>#NAME?</v>
      </c>
      <c r="AA41" s="216" t="e">
        <f ca="1">DATA_FORMATTING!HA124/AA$8</f>
        <v>#NAME?</v>
      </c>
      <c r="AB41" s="216" t="e">
        <f ca="1">DATA_FORMATTING!HB124/AB$8</f>
        <v>#NAME?</v>
      </c>
      <c r="AC41" s="216" t="e">
        <f ca="1">DATA_FORMATTING!HC124/AC$8</f>
        <v>#NAME?</v>
      </c>
      <c r="AD41" s="216" t="e">
        <f ca="1">DATA_FORMATTING!HD124/AD$8</f>
        <v>#NAME?</v>
      </c>
      <c r="AE41" s="216" t="e">
        <f ca="1">DATA_FORMATTING!HE124/AE$8</f>
        <v>#NAME?</v>
      </c>
      <c r="AF41" s="216" t="e">
        <f ca="1">DATA_FORMATTING!HF124/AF$8</f>
        <v>#NAME?</v>
      </c>
      <c r="AG41" s="216" t="e">
        <f ca="1">DATA_FORMATTING!HG124/AG$8</f>
        <v>#NAME?</v>
      </c>
      <c r="AH41" s="216" t="e">
        <f ca="1">DATA_FORMATTING!HH124/AH$8</f>
        <v>#NAME?</v>
      </c>
      <c r="AI41" s="216" t="e">
        <f ca="1">DATA_FORMATTING!HI124/AI$8</f>
        <v>#NAME?</v>
      </c>
      <c r="AJ41" s="216" t="e">
        <f ca="1">DATA_FORMATTING!HJ124/AJ$8</f>
        <v>#NAME?</v>
      </c>
      <c r="AK41" s="216" t="e">
        <f ca="1">DATA_FORMATTING!HK124/AK$8</f>
        <v>#NAME?</v>
      </c>
      <c r="AL41" s="216" t="e">
        <f ca="1">DATA_FORMATTING!HL124/AL$8</f>
        <v>#NAME?</v>
      </c>
      <c r="AM41" s="216" t="e">
        <f ca="1">DATA_FORMATTING!HM124/AM$8</f>
        <v>#NAME?</v>
      </c>
      <c r="AN41" s="216" t="e">
        <f ca="1">DATA_FORMATTING!HN124/AN$8</f>
        <v>#NAME?</v>
      </c>
      <c r="AO41" s="216" t="e">
        <f ca="1">DATA_FORMATTING!HO124/AO$8</f>
        <v>#NAME?</v>
      </c>
      <c r="AP41" s="216" t="e">
        <f ca="1">DATA_FORMATTING!HP124/AP$8</f>
        <v>#NAME?</v>
      </c>
      <c r="AQ41" s="217" t="e">
        <f ca="1">DATA_FORMATTING!HQ124/AQ$8</f>
        <v>#NAME?</v>
      </c>
    </row>
    <row r="42" spans="1:43">
      <c r="C42" s="237" t="s">
        <v>75</v>
      </c>
      <c r="D42" s="236" t="e">
        <f t="shared" ca="1" si="17"/>
        <v>#NAME?</v>
      </c>
      <c r="E42" s="183" t="e">
        <f t="shared" si="17"/>
        <v>#N/A</v>
      </c>
      <c r="F42" s="183" t="e">
        <f ca="1">+E42-D42</f>
        <v>#N/A</v>
      </c>
      <c r="G42" s="184">
        <f t="shared" ca="1" si="18"/>
        <v>0</v>
      </c>
      <c r="H42" s="216" t="e">
        <f ca="1">DATA_FORMATTING!GH125/H$8</f>
        <v>#NAME?</v>
      </c>
      <c r="I42" s="185" t="e">
        <f ca="1">DATA_FORMATTING!GI125/I$8</f>
        <v>#NAME?</v>
      </c>
      <c r="J42" s="185" t="e">
        <f ca="1">DATA_FORMATTING!GJ125/J$8</f>
        <v>#NAME?</v>
      </c>
      <c r="K42" s="185" t="e">
        <f ca="1">DATA_FORMATTING!GK125/K$8</f>
        <v>#NAME?</v>
      </c>
      <c r="L42" s="185" t="e">
        <f ca="1">DATA_FORMATTING!GL125/L$8</f>
        <v>#NAME?</v>
      </c>
      <c r="M42" s="185" t="e">
        <f ca="1">DATA_FORMATTING!GM125/M$8</f>
        <v>#NAME?</v>
      </c>
      <c r="N42" s="185" t="e">
        <f ca="1">DATA_FORMATTING!GN125/N$8</f>
        <v>#NAME?</v>
      </c>
      <c r="O42" s="185" t="e">
        <f ca="1">DATA_FORMATTING!GO125/O$8</f>
        <v>#NAME?</v>
      </c>
      <c r="P42" s="185" t="e">
        <f ca="1">DATA_FORMATTING!GP125/P$8</f>
        <v>#NAME?</v>
      </c>
      <c r="Q42" s="185" t="e">
        <f ca="1">DATA_FORMATTING!GQ125/Q$8</f>
        <v>#NAME?</v>
      </c>
      <c r="R42" s="185" t="e">
        <f ca="1">DATA_FORMATTING!GR125/R$8</f>
        <v>#NAME?</v>
      </c>
      <c r="S42" s="185" t="e">
        <f ca="1">DATA_FORMATTING!GS125/S$8</f>
        <v>#NAME?</v>
      </c>
      <c r="T42" s="185" t="e">
        <f ca="1">DATA_FORMATTING!GT125/T$8</f>
        <v>#NAME?</v>
      </c>
      <c r="U42" s="185" t="e">
        <f ca="1">DATA_FORMATTING!GU125/U$8</f>
        <v>#NAME?</v>
      </c>
      <c r="V42" s="185" t="e">
        <f ca="1">DATA_FORMATTING!GV125/V$8</f>
        <v>#NAME?</v>
      </c>
      <c r="W42" s="185" t="e">
        <f ca="1">DATA_FORMATTING!GW125/W$8</f>
        <v>#NAME?</v>
      </c>
      <c r="X42" s="185" t="e">
        <f ca="1">DATA_FORMATTING!GX125/X$8</f>
        <v>#NAME?</v>
      </c>
      <c r="Y42" s="185" t="e">
        <f ca="1">DATA_FORMATTING!GY125/Y$8</f>
        <v>#NAME?</v>
      </c>
      <c r="Z42" s="185" t="e">
        <f ca="1">DATA_FORMATTING!GZ125/Z$8</f>
        <v>#NAME?</v>
      </c>
      <c r="AA42" s="185" t="e">
        <f ca="1">DATA_FORMATTING!HA125/AA$8</f>
        <v>#NAME?</v>
      </c>
      <c r="AB42" s="185" t="e">
        <f ca="1">DATA_FORMATTING!HB125/AB$8</f>
        <v>#NAME?</v>
      </c>
      <c r="AC42" s="185" t="e">
        <f ca="1">DATA_FORMATTING!HC125/AC$8</f>
        <v>#NAME?</v>
      </c>
      <c r="AD42" s="185" t="e">
        <f ca="1">DATA_FORMATTING!HD125/AD$8</f>
        <v>#NAME?</v>
      </c>
      <c r="AE42" s="185" t="e">
        <f ca="1">DATA_FORMATTING!HE125/AE$8</f>
        <v>#NAME?</v>
      </c>
      <c r="AF42" s="185" t="e">
        <f ca="1">DATA_FORMATTING!HF125/AF$8</f>
        <v>#NAME?</v>
      </c>
      <c r="AG42" s="185" t="e">
        <f ca="1">DATA_FORMATTING!HG125/AG$8</f>
        <v>#NAME?</v>
      </c>
      <c r="AH42" s="185" t="e">
        <f ca="1">DATA_FORMATTING!HH125/AH$8</f>
        <v>#NAME?</v>
      </c>
      <c r="AI42" s="185" t="e">
        <f ca="1">DATA_FORMATTING!HI125/AI$8</f>
        <v>#NAME?</v>
      </c>
      <c r="AJ42" s="185" t="e">
        <f ca="1">DATA_FORMATTING!HJ125/AJ$8</f>
        <v>#NAME?</v>
      </c>
      <c r="AK42" s="185" t="e">
        <f ca="1">DATA_FORMATTING!HK125/AK$8</f>
        <v>#NAME?</v>
      </c>
      <c r="AL42" s="185" t="e">
        <f ca="1">DATA_FORMATTING!HL125/AL$8</f>
        <v>#NAME?</v>
      </c>
      <c r="AM42" s="185" t="e">
        <f ca="1">DATA_FORMATTING!HM125/AM$8</f>
        <v>#NAME?</v>
      </c>
      <c r="AN42" s="185" t="e">
        <f ca="1">DATA_FORMATTING!HN125/AN$8</f>
        <v>#NAME?</v>
      </c>
      <c r="AO42" s="185" t="e">
        <f ca="1">DATA_FORMATTING!HO125/AO$8</f>
        <v>#NAME?</v>
      </c>
      <c r="AP42" s="185" t="e">
        <f ca="1">DATA_FORMATTING!HP125/AP$8</f>
        <v>#NAME?</v>
      </c>
      <c r="AQ42" s="186" t="e">
        <f ca="1">DATA_FORMATTING!HQ125/AQ$8</f>
        <v>#NAME?</v>
      </c>
    </row>
    <row r="43" spans="1:43">
      <c r="C43" s="857" t="s">
        <v>80</v>
      </c>
      <c r="D43" s="858" t="e">
        <f t="shared" ca="1" si="17"/>
        <v>#NAME?</v>
      </c>
      <c r="E43" s="859" t="e">
        <f t="shared" si="17"/>
        <v>#N/A</v>
      </c>
      <c r="F43" s="859" t="e">
        <f ca="1">+E43-D43</f>
        <v>#N/A</v>
      </c>
      <c r="G43" s="198">
        <f t="shared" ca="1" si="18"/>
        <v>0</v>
      </c>
      <c r="H43" s="216" t="e">
        <f ca="1">DATA_FORMATTING!GH126/H$8</f>
        <v>#NAME?</v>
      </c>
      <c r="I43" s="185" t="e">
        <f ca="1">DATA_FORMATTING!GI126/I$8</f>
        <v>#NAME?</v>
      </c>
      <c r="J43" s="185" t="e">
        <f ca="1">DATA_FORMATTING!GJ126/J$8</f>
        <v>#NAME?</v>
      </c>
      <c r="K43" s="185" t="e">
        <f ca="1">DATA_FORMATTING!GK126/K$8</f>
        <v>#NAME?</v>
      </c>
      <c r="L43" s="185" t="e">
        <f ca="1">DATA_FORMATTING!GL126/L$8</f>
        <v>#NAME?</v>
      </c>
      <c r="M43" s="185" t="e">
        <f ca="1">DATA_FORMATTING!GM126/M$8</f>
        <v>#NAME?</v>
      </c>
      <c r="N43" s="185" t="e">
        <f ca="1">DATA_FORMATTING!GN126/N$8</f>
        <v>#NAME?</v>
      </c>
      <c r="O43" s="185" t="e">
        <f ca="1">DATA_FORMATTING!GO126/O$8</f>
        <v>#NAME?</v>
      </c>
      <c r="P43" s="185" t="e">
        <f ca="1">DATA_FORMATTING!GP126/P$8</f>
        <v>#NAME?</v>
      </c>
      <c r="Q43" s="185" t="e">
        <f ca="1">DATA_FORMATTING!GQ126/Q$8</f>
        <v>#NAME?</v>
      </c>
      <c r="R43" s="185" t="e">
        <f ca="1">DATA_FORMATTING!GR126/R$8</f>
        <v>#NAME?</v>
      </c>
      <c r="S43" s="185" t="e">
        <f ca="1">DATA_FORMATTING!GS126/S$8</f>
        <v>#NAME?</v>
      </c>
      <c r="T43" s="185" t="e">
        <f ca="1">DATA_FORMATTING!GT126/T$8</f>
        <v>#NAME?</v>
      </c>
      <c r="U43" s="185" t="e">
        <f ca="1">DATA_FORMATTING!GU126/U$8</f>
        <v>#NAME?</v>
      </c>
      <c r="V43" s="185" t="e">
        <f ca="1">DATA_FORMATTING!GV126/V$8</f>
        <v>#NAME?</v>
      </c>
      <c r="W43" s="185" t="e">
        <f ca="1">DATA_FORMATTING!GW126/W$8</f>
        <v>#NAME?</v>
      </c>
      <c r="X43" s="185" t="e">
        <f ca="1">DATA_FORMATTING!GX126/X$8</f>
        <v>#NAME?</v>
      </c>
      <c r="Y43" s="185" t="e">
        <f ca="1">DATA_FORMATTING!GY126/Y$8</f>
        <v>#NAME?</v>
      </c>
      <c r="Z43" s="185" t="e">
        <f ca="1">DATA_FORMATTING!GZ126/Z$8</f>
        <v>#NAME?</v>
      </c>
      <c r="AA43" s="185" t="e">
        <f ca="1">DATA_FORMATTING!HA126/AA$8</f>
        <v>#NAME?</v>
      </c>
      <c r="AB43" s="185" t="e">
        <f ca="1">DATA_FORMATTING!HB126/AB$8</f>
        <v>#NAME?</v>
      </c>
      <c r="AC43" s="185" t="e">
        <f ca="1">DATA_FORMATTING!HC126/AC$8</f>
        <v>#NAME?</v>
      </c>
      <c r="AD43" s="185" t="e">
        <f ca="1">DATA_FORMATTING!HD126/AD$8</f>
        <v>#NAME?</v>
      </c>
      <c r="AE43" s="185" t="e">
        <f ca="1">DATA_FORMATTING!HE126/AE$8</f>
        <v>#NAME?</v>
      </c>
      <c r="AF43" s="185" t="e">
        <f ca="1">DATA_FORMATTING!HF126/AF$8</f>
        <v>#NAME?</v>
      </c>
      <c r="AG43" s="185" t="e">
        <f ca="1">DATA_FORMATTING!HG126/AG$8</f>
        <v>#NAME?</v>
      </c>
      <c r="AH43" s="185" t="e">
        <f ca="1">DATA_FORMATTING!HH126/AH$8</f>
        <v>#NAME?</v>
      </c>
      <c r="AI43" s="185" t="e">
        <f ca="1">DATA_FORMATTING!HI126/AI$8</f>
        <v>#NAME?</v>
      </c>
      <c r="AJ43" s="185" t="e">
        <f ca="1">DATA_FORMATTING!HJ126/AJ$8</f>
        <v>#NAME?</v>
      </c>
      <c r="AK43" s="185" t="e">
        <f ca="1">DATA_FORMATTING!HK126/AK$8</f>
        <v>#NAME?</v>
      </c>
      <c r="AL43" s="185" t="e">
        <f ca="1">DATA_FORMATTING!HL126/AL$8</f>
        <v>#NAME?</v>
      </c>
      <c r="AM43" s="185" t="e">
        <f ca="1">DATA_FORMATTING!HM126/AM$8</f>
        <v>#NAME?</v>
      </c>
      <c r="AN43" s="185" t="e">
        <f ca="1">DATA_FORMATTING!HN126/AN$8</f>
        <v>#NAME?</v>
      </c>
      <c r="AO43" s="185" t="e">
        <f ca="1">DATA_FORMATTING!HO126/AO$8</f>
        <v>#NAME?</v>
      </c>
      <c r="AP43" s="185" t="e">
        <f ca="1">DATA_FORMATTING!HP126/AP$8</f>
        <v>#NAME?</v>
      </c>
      <c r="AQ43" s="186" t="e">
        <f ca="1">DATA_FORMATTING!HQ126/AQ$8</f>
        <v>#NAME?</v>
      </c>
    </row>
    <row r="44" spans="1:43">
      <c r="C44" s="237" t="s">
        <v>85</v>
      </c>
      <c r="D44" s="236" t="e">
        <f t="shared" ca="1" si="17"/>
        <v>#NAME?</v>
      </c>
      <c r="E44" s="183" t="e">
        <f t="shared" si="17"/>
        <v>#N/A</v>
      </c>
      <c r="F44" s="183" t="e">
        <f ca="1">+E44-D44</f>
        <v>#N/A</v>
      </c>
      <c r="G44" s="184">
        <f t="shared" ca="1" si="18"/>
        <v>0</v>
      </c>
      <c r="H44" s="216" t="e">
        <f ca="1">DATA_FORMATTING!GH127/H$8</f>
        <v>#NAME?</v>
      </c>
      <c r="I44" s="185" t="e">
        <f ca="1">DATA_FORMATTING!GI127/I$8</f>
        <v>#NAME?</v>
      </c>
      <c r="J44" s="185" t="e">
        <f ca="1">DATA_FORMATTING!GJ127/J$8</f>
        <v>#NAME?</v>
      </c>
      <c r="K44" s="185" t="e">
        <f ca="1">DATA_FORMATTING!GK127/K$8</f>
        <v>#NAME?</v>
      </c>
      <c r="L44" s="185" t="e">
        <f ca="1">DATA_FORMATTING!GL127/L$8</f>
        <v>#NAME?</v>
      </c>
      <c r="M44" s="185" t="e">
        <f ca="1">DATA_FORMATTING!GM127/M$8</f>
        <v>#NAME?</v>
      </c>
      <c r="N44" s="185" t="e">
        <f ca="1">DATA_FORMATTING!GN127/N$8</f>
        <v>#NAME?</v>
      </c>
      <c r="O44" s="185" t="e">
        <f ca="1">DATA_FORMATTING!GO127/O$8</f>
        <v>#NAME?</v>
      </c>
      <c r="P44" s="185" t="e">
        <f ca="1">DATA_FORMATTING!GP127/P$8</f>
        <v>#NAME?</v>
      </c>
      <c r="Q44" s="185" t="e">
        <f ca="1">DATA_FORMATTING!GQ127/Q$8</f>
        <v>#NAME?</v>
      </c>
      <c r="R44" s="185" t="e">
        <f ca="1">DATA_FORMATTING!GR127/R$8</f>
        <v>#NAME?</v>
      </c>
      <c r="S44" s="185" t="e">
        <f ca="1">DATA_FORMATTING!GS127/S$8</f>
        <v>#NAME?</v>
      </c>
      <c r="T44" s="185" t="e">
        <f ca="1">DATA_FORMATTING!GT127/T$8</f>
        <v>#NAME?</v>
      </c>
      <c r="U44" s="185" t="e">
        <f ca="1">DATA_FORMATTING!GU127/U$8</f>
        <v>#NAME?</v>
      </c>
      <c r="V44" s="185" t="e">
        <f ca="1">DATA_FORMATTING!GV127/V$8</f>
        <v>#NAME?</v>
      </c>
      <c r="W44" s="185" t="e">
        <f ca="1">DATA_FORMATTING!GW127/W$8</f>
        <v>#NAME?</v>
      </c>
      <c r="X44" s="185" t="e">
        <f ca="1">DATA_FORMATTING!GX127/X$8</f>
        <v>#NAME?</v>
      </c>
      <c r="Y44" s="185" t="e">
        <f ca="1">DATA_FORMATTING!GY127/Y$8</f>
        <v>#NAME?</v>
      </c>
      <c r="Z44" s="185" t="e">
        <f ca="1">DATA_FORMATTING!GZ127/Z$8</f>
        <v>#NAME?</v>
      </c>
      <c r="AA44" s="185" t="e">
        <f ca="1">DATA_FORMATTING!HA127/AA$8</f>
        <v>#NAME?</v>
      </c>
      <c r="AB44" s="185" t="e">
        <f ca="1">DATA_FORMATTING!HB127/AB$8</f>
        <v>#NAME?</v>
      </c>
      <c r="AC44" s="185" t="e">
        <f ca="1">DATA_FORMATTING!HC127/AC$8</f>
        <v>#NAME?</v>
      </c>
      <c r="AD44" s="185" t="e">
        <f ca="1">DATA_FORMATTING!HD127/AD$8</f>
        <v>#NAME?</v>
      </c>
      <c r="AE44" s="185" t="e">
        <f ca="1">DATA_FORMATTING!HE127/AE$8</f>
        <v>#NAME?</v>
      </c>
      <c r="AF44" s="185" t="e">
        <f ca="1">DATA_FORMATTING!HF127/AF$8</f>
        <v>#NAME?</v>
      </c>
      <c r="AG44" s="185" t="e">
        <f ca="1">DATA_FORMATTING!HG127/AG$8</f>
        <v>#NAME?</v>
      </c>
      <c r="AH44" s="185" t="e">
        <f ca="1">DATA_FORMATTING!HH127/AH$8</f>
        <v>#NAME?</v>
      </c>
      <c r="AI44" s="185" t="e">
        <f ca="1">DATA_FORMATTING!HI127/AI$8</f>
        <v>#NAME?</v>
      </c>
      <c r="AJ44" s="185" t="e">
        <f ca="1">DATA_FORMATTING!HJ127/AJ$8</f>
        <v>#NAME?</v>
      </c>
      <c r="AK44" s="185" t="e">
        <f ca="1">DATA_FORMATTING!HK127/AK$8</f>
        <v>#NAME?</v>
      </c>
      <c r="AL44" s="185" t="e">
        <f ca="1">DATA_FORMATTING!HL127/AL$8</f>
        <v>#NAME?</v>
      </c>
      <c r="AM44" s="185" t="e">
        <f ca="1">DATA_FORMATTING!HM127/AM$8</f>
        <v>#NAME?</v>
      </c>
      <c r="AN44" s="185" t="e">
        <f ca="1">DATA_FORMATTING!HN127/AN$8</f>
        <v>#NAME?</v>
      </c>
      <c r="AO44" s="185" t="e">
        <f ca="1">DATA_FORMATTING!HO127/AO$8</f>
        <v>#NAME?</v>
      </c>
      <c r="AP44" s="185" t="e">
        <f ca="1">DATA_FORMATTING!HP127/AP$8</f>
        <v>#NAME?</v>
      </c>
      <c r="AQ44" s="186" t="e">
        <f ca="1">DATA_FORMATTING!HQ127/AQ$8</f>
        <v>#NAME?</v>
      </c>
    </row>
    <row r="45" spans="1:43" ht="17.25" thickBot="1">
      <c r="C45" s="238" t="s">
        <v>90</v>
      </c>
      <c r="D45" s="239" t="e">
        <f t="shared" ca="1" si="17"/>
        <v>#NAME?</v>
      </c>
      <c r="E45" s="240" t="e">
        <f t="shared" si="17"/>
        <v>#N/A</v>
      </c>
      <c r="F45" s="240" t="e">
        <f ca="1">+E45-D45</f>
        <v>#N/A</v>
      </c>
      <c r="G45" s="241">
        <f t="shared" ca="1" si="18"/>
        <v>0</v>
      </c>
      <c r="H45" s="242" t="e">
        <f ca="1">DATA_FORMATTING!GH128/H$8</f>
        <v>#NAME?</v>
      </c>
      <c r="I45" s="243" t="e">
        <f ca="1">DATA_FORMATTING!GI128/I$8</f>
        <v>#NAME?</v>
      </c>
      <c r="J45" s="243" t="e">
        <f ca="1">DATA_FORMATTING!GJ128/J$8</f>
        <v>#NAME?</v>
      </c>
      <c r="K45" s="243" t="e">
        <f ca="1">DATA_FORMATTING!GK128/K$8</f>
        <v>#NAME?</v>
      </c>
      <c r="L45" s="243" t="e">
        <f ca="1">DATA_FORMATTING!GL128/L$8</f>
        <v>#NAME?</v>
      </c>
      <c r="M45" s="243" t="e">
        <f ca="1">DATA_FORMATTING!GM128/M$8</f>
        <v>#NAME?</v>
      </c>
      <c r="N45" s="243" t="e">
        <f ca="1">DATA_FORMATTING!GN128/N$8</f>
        <v>#NAME?</v>
      </c>
      <c r="O45" s="243" t="e">
        <f ca="1">DATA_FORMATTING!GO128/O$8</f>
        <v>#NAME?</v>
      </c>
      <c r="P45" s="243" t="e">
        <f ca="1">DATA_FORMATTING!GP128/P$8</f>
        <v>#NAME?</v>
      </c>
      <c r="Q45" s="243" t="e">
        <f ca="1">DATA_FORMATTING!GQ128/Q$8</f>
        <v>#NAME?</v>
      </c>
      <c r="R45" s="243" t="e">
        <f ca="1">DATA_FORMATTING!GR128/R$8</f>
        <v>#NAME?</v>
      </c>
      <c r="S45" s="243" t="e">
        <f ca="1">DATA_FORMATTING!GS128/S$8</f>
        <v>#NAME?</v>
      </c>
      <c r="T45" s="243" t="e">
        <f ca="1">DATA_FORMATTING!GT128/T$8</f>
        <v>#NAME?</v>
      </c>
      <c r="U45" s="243" t="e">
        <f ca="1">DATA_FORMATTING!GU128/U$8</f>
        <v>#NAME?</v>
      </c>
      <c r="V45" s="243" t="e">
        <f ca="1">DATA_FORMATTING!GV128/V$8</f>
        <v>#NAME?</v>
      </c>
      <c r="W45" s="243" t="e">
        <f ca="1">DATA_FORMATTING!GW128/W$8</f>
        <v>#NAME?</v>
      </c>
      <c r="X45" s="243" t="e">
        <f ca="1">DATA_FORMATTING!GX128/X$8</f>
        <v>#NAME?</v>
      </c>
      <c r="Y45" s="243" t="e">
        <f ca="1">DATA_FORMATTING!GY128/Y$8</f>
        <v>#NAME?</v>
      </c>
      <c r="Z45" s="243" t="e">
        <f ca="1">DATA_FORMATTING!GZ128/Z$8</f>
        <v>#NAME?</v>
      </c>
      <c r="AA45" s="243" t="e">
        <f ca="1">DATA_FORMATTING!HA128/AA$8</f>
        <v>#NAME?</v>
      </c>
      <c r="AB45" s="243" t="e">
        <f ca="1">DATA_FORMATTING!HB128/AB$8</f>
        <v>#NAME?</v>
      </c>
      <c r="AC45" s="243" t="e">
        <f ca="1">DATA_FORMATTING!HC128/AC$8</f>
        <v>#NAME?</v>
      </c>
      <c r="AD45" s="243" t="e">
        <f ca="1">DATA_FORMATTING!HD128/AD$8</f>
        <v>#NAME?</v>
      </c>
      <c r="AE45" s="243" t="e">
        <f ca="1">DATA_FORMATTING!HE128/AE$8</f>
        <v>#NAME?</v>
      </c>
      <c r="AF45" s="243" t="e">
        <f ca="1">DATA_FORMATTING!HF128/AF$8</f>
        <v>#NAME?</v>
      </c>
      <c r="AG45" s="243" t="e">
        <f ca="1">DATA_FORMATTING!HG128/AG$8</f>
        <v>#NAME?</v>
      </c>
      <c r="AH45" s="243" t="e">
        <f ca="1">DATA_FORMATTING!HH128/AH$8</f>
        <v>#NAME?</v>
      </c>
      <c r="AI45" s="243" t="e">
        <f ca="1">DATA_FORMATTING!HI128/AI$8</f>
        <v>#NAME?</v>
      </c>
      <c r="AJ45" s="243" t="e">
        <f ca="1">DATA_FORMATTING!HJ128/AJ$8</f>
        <v>#NAME?</v>
      </c>
      <c r="AK45" s="243" t="e">
        <f ca="1">DATA_FORMATTING!HK128/AK$8</f>
        <v>#NAME?</v>
      </c>
      <c r="AL45" s="243" t="e">
        <f ca="1">DATA_FORMATTING!HL128/AL$8</f>
        <v>#NAME?</v>
      </c>
      <c r="AM45" s="243" t="e">
        <f ca="1">DATA_FORMATTING!HM128/AM$8</f>
        <v>#NAME?</v>
      </c>
      <c r="AN45" s="243" t="e">
        <f ca="1">DATA_FORMATTING!HN128/AN$8</f>
        <v>#NAME?</v>
      </c>
      <c r="AO45" s="243" t="e">
        <f ca="1">DATA_FORMATTING!HO128/AO$8</f>
        <v>#NAME?</v>
      </c>
      <c r="AP45" s="243" t="e">
        <f ca="1">DATA_FORMATTING!HP128/AP$8</f>
        <v>#NAME?</v>
      </c>
      <c r="AQ45" s="244" t="e">
        <f ca="1">DATA_FORMATTING!HQ128/AQ$8</f>
        <v>#NAME?</v>
      </c>
    </row>
    <row r="47" spans="1:43" ht="17.25" thickBot="1"/>
    <row r="48" spans="1:43">
      <c r="C48" s="863" t="s">
        <v>526</v>
      </c>
      <c r="D48" s="864">
        <f>D9</f>
        <v>4</v>
      </c>
      <c r="E48" s="864">
        <f>E9</f>
        <v>-2146826252</v>
      </c>
      <c r="F48" s="864" t="s">
        <v>298</v>
      </c>
      <c r="G48" s="864" t="s">
        <v>299</v>
      </c>
      <c r="H48" s="864" t="str">
        <f>H9</f>
        <v/>
      </c>
      <c r="I48" s="864" t="str">
        <f t="shared" ref="I48:AQ48" si="19">I9</f>
        <v/>
      </c>
      <c r="J48" s="864" t="str">
        <f t="shared" si="19"/>
        <v/>
      </c>
      <c r="K48" s="864" t="str">
        <f t="shared" si="19"/>
        <v/>
      </c>
      <c r="L48" s="864" t="str">
        <f t="shared" si="19"/>
        <v/>
      </c>
      <c r="M48" s="864" t="str">
        <f t="shared" si="19"/>
        <v/>
      </c>
      <c r="N48" s="864" t="str">
        <f t="shared" si="19"/>
        <v/>
      </c>
      <c r="O48" s="864" t="str">
        <f t="shared" si="19"/>
        <v/>
      </c>
      <c r="P48" s="864" t="str">
        <f t="shared" si="19"/>
        <v/>
      </c>
      <c r="Q48" s="864" t="str">
        <f t="shared" si="19"/>
        <v/>
      </c>
      <c r="R48" s="864" t="str">
        <f t="shared" si="19"/>
        <v/>
      </c>
      <c r="S48" s="864" t="str">
        <f t="shared" si="19"/>
        <v/>
      </c>
      <c r="T48" s="864" t="str">
        <f t="shared" si="19"/>
        <v/>
      </c>
      <c r="U48" s="864" t="str">
        <f t="shared" si="19"/>
        <v/>
      </c>
      <c r="V48" s="864" t="str">
        <f t="shared" si="19"/>
        <v/>
      </c>
      <c r="W48" s="864" t="str">
        <f t="shared" si="19"/>
        <v/>
      </c>
      <c r="X48" s="864" t="str">
        <f t="shared" si="19"/>
        <v/>
      </c>
      <c r="Y48" s="864" t="str">
        <f t="shared" si="19"/>
        <v/>
      </c>
      <c r="Z48" s="864" t="str">
        <f t="shared" si="19"/>
        <v/>
      </c>
      <c r="AA48" s="864" t="str">
        <f t="shared" si="19"/>
        <v/>
      </c>
      <c r="AB48" s="864" t="str">
        <f t="shared" si="19"/>
        <v/>
      </c>
      <c r="AC48" s="864" t="str">
        <f t="shared" si="19"/>
        <v/>
      </c>
      <c r="AD48" s="864" t="str">
        <f t="shared" si="19"/>
        <v/>
      </c>
      <c r="AE48" s="864" t="str">
        <f t="shared" si="19"/>
        <v/>
      </c>
      <c r="AF48" s="864" t="str">
        <f t="shared" si="19"/>
        <v/>
      </c>
      <c r="AG48" s="864" t="str">
        <f t="shared" si="19"/>
        <v/>
      </c>
      <c r="AH48" s="864" t="str">
        <f t="shared" si="19"/>
        <v/>
      </c>
      <c r="AI48" s="864" t="str">
        <f t="shared" si="19"/>
        <v/>
      </c>
      <c r="AJ48" s="864" t="str">
        <f t="shared" si="19"/>
        <v/>
      </c>
      <c r="AK48" s="864" t="str">
        <f t="shared" si="19"/>
        <v/>
      </c>
      <c r="AL48" s="864" t="str">
        <f t="shared" si="19"/>
        <v/>
      </c>
      <c r="AM48" s="864" t="str">
        <f t="shared" si="19"/>
        <v/>
      </c>
      <c r="AN48" s="864" t="str">
        <f t="shared" si="19"/>
        <v/>
      </c>
      <c r="AO48" s="864" t="str">
        <f t="shared" si="19"/>
        <v/>
      </c>
      <c r="AP48" s="864" t="str">
        <f t="shared" si="19"/>
        <v/>
      </c>
      <c r="AQ48" s="865">
        <f t="shared" si="19"/>
        <v>4</v>
      </c>
    </row>
    <row r="49" spans="3:43">
      <c r="C49" s="273"/>
      <c r="D49" s="860"/>
      <c r="E49" s="860"/>
      <c r="F49" s="860"/>
      <c r="G49" s="860"/>
      <c r="H49" s="861" t="e">
        <f>H40</f>
        <v>#VALUE!</v>
      </c>
      <c r="I49" s="861" t="e">
        <f t="shared" ref="I49:AQ49" si="20">I40</f>
        <v>#VALUE!</v>
      </c>
      <c r="J49" s="861" t="e">
        <f t="shared" si="20"/>
        <v>#VALUE!</v>
      </c>
      <c r="K49" s="861" t="e">
        <f t="shared" si="20"/>
        <v>#VALUE!</v>
      </c>
      <c r="L49" s="861" t="e">
        <f t="shared" si="20"/>
        <v>#VALUE!</v>
      </c>
      <c r="M49" s="861" t="e">
        <f t="shared" si="20"/>
        <v>#VALUE!</v>
      </c>
      <c r="N49" s="861" t="e">
        <f t="shared" si="20"/>
        <v>#VALUE!</v>
      </c>
      <c r="O49" s="861" t="e">
        <f t="shared" si="20"/>
        <v>#VALUE!</v>
      </c>
      <c r="P49" s="861" t="e">
        <f t="shared" si="20"/>
        <v>#VALUE!</v>
      </c>
      <c r="Q49" s="861" t="e">
        <f t="shared" si="20"/>
        <v>#VALUE!</v>
      </c>
      <c r="R49" s="861" t="e">
        <f t="shared" si="20"/>
        <v>#VALUE!</v>
      </c>
      <c r="S49" s="861" t="e">
        <f t="shared" si="20"/>
        <v>#VALUE!</v>
      </c>
      <c r="T49" s="861" t="e">
        <f t="shared" si="20"/>
        <v>#VALUE!</v>
      </c>
      <c r="U49" s="861" t="e">
        <f t="shared" si="20"/>
        <v>#VALUE!</v>
      </c>
      <c r="V49" s="861" t="e">
        <f t="shared" si="20"/>
        <v>#VALUE!</v>
      </c>
      <c r="W49" s="861" t="e">
        <f t="shared" si="20"/>
        <v>#VALUE!</v>
      </c>
      <c r="X49" s="861" t="e">
        <f t="shared" si="20"/>
        <v>#VALUE!</v>
      </c>
      <c r="Y49" s="861" t="e">
        <f t="shared" si="20"/>
        <v>#VALUE!</v>
      </c>
      <c r="Z49" s="861" t="e">
        <f t="shared" si="20"/>
        <v>#VALUE!</v>
      </c>
      <c r="AA49" s="861" t="e">
        <f t="shared" si="20"/>
        <v>#VALUE!</v>
      </c>
      <c r="AB49" s="861" t="e">
        <f t="shared" si="20"/>
        <v>#VALUE!</v>
      </c>
      <c r="AC49" s="861" t="e">
        <f t="shared" si="20"/>
        <v>#VALUE!</v>
      </c>
      <c r="AD49" s="861" t="e">
        <f t="shared" si="20"/>
        <v>#VALUE!</v>
      </c>
      <c r="AE49" s="861" t="e">
        <f t="shared" si="20"/>
        <v>#VALUE!</v>
      </c>
      <c r="AF49" s="861" t="e">
        <f t="shared" si="20"/>
        <v>#VALUE!</v>
      </c>
      <c r="AG49" s="861" t="e">
        <f t="shared" si="20"/>
        <v>#VALUE!</v>
      </c>
      <c r="AH49" s="861" t="e">
        <f t="shared" si="20"/>
        <v>#VALUE!</v>
      </c>
      <c r="AI49" s="861" t="e">
        <f t="shared" si="20"/>
        <v>#VALUE!</v>
      </c>
      <c r="AJ49" s="861" t="e">
        <f t="shared" si="20"/>
        <v>#VALUE!</v>
      </c>
      <c r="AK49" s="861" t="e">
        <f t="shared" si="20"/>
        <v>#VALUE!</v>
      </c>
      <c r="AL49" s="861" t="e">
        <f t="shared" si="20"/>
        <v>#VALUE!</v>
      </c>
      <c r="AM49" s="861" t="e">
        <f t="shared" si="20"/>
        <v>#VALUE!</v>
      </c>
      <c r="AN49" s="861" t="e">
        <f t="shared" si="20"/>
        <v>#VALUE!</v>
      </c>
      <c r="AO49" s="861" t="e">
        <f t="shared" si="20"/>
        <v>#VALUE!</v>
      </c>
      <c r="AP49" s="861" t="e">
        <f t="shared" si="20"/>
        <v>#VALUE!</v>
      </c>
      <c r="AQ49" s="866" t="e">
        <f t="shared" si="20"/>
        <v>#VALUE!</v>
      </c>
    </row>
    <row r="50" spans="3:43">
      <c r="C50" s="867" t="s">
        <v>70</v>
      </c>
      <c r="D50" s="858">
        <f>SUM(D51:D54)</f>
        <v>0</v>
      </c>
      <c r="E50" s="858">
        <f t="shared" ref="E50:AQ50" si="21">SUM(E51:E54)</f>
        <v>0</v>
      </c>
      <c r="F50" s="858">
        <f t="shared" si="21"/>
        <v>0</v>
      </c>
      <c r="G50" s="858">
        <f t="shared" si="21"/>
        <v>0</v>
      </c>
      <c r="H50" s="858" t="e">
        <f t="shared" ca="1" si="21"/>
        <v>#NAME?</v>
      </c>
      <c r="I50" s="858" t="e">
        <f t="shared" ca="1" si="21"/>
        <v>#NAME?</v>
      </c>
      <c r="J50" s="858" t="e">
        <f t="shared" ca="1" si="21"/>
        <v>#NAME?</v>
      </c>
      <c r="K50" s="858" t="e">
        <f t="shared" ca="1" si="21"/>
        <v>#NAME?</v>
      </c>
      <c r="L50" s="858" t="e">
        <f t="shared" ca="1" si="21"/>
        <v>#NAME?</v>
      </c>
      <c r="M50" s="858" t="e">
        <f t="shared" ca="1" si="21"/>
        <v>#NAME?</v>
      </c>
      <c r="N50" s="858" t="e">
        <f t="shared" ca="1" si="21"/>
        <v>#NAME?</v>
      </c>
      <c r="O50" s="858" t="e">
        <f t="shared" ca="1" si="21"/>
        <v>#NAME?</v>
      </c>
      <c r="P50" s="858" t="e">
        <f t="shared" ca="1" si="21"/>
        <v>#NAME?</v>
      </c>
      <c r="Q50" s="858" t="e">
        <f t="shared" ca="1" si="21"/>
        <v>#NAME?</v>
      </c>
      <c r="R50" s="858" t="e">
        <f t="shared" ca="1" si="21"/>
        <v>#NAME?</v>
      </c>
      <c r="S50" s="858" t="e">
        <f t="shared" ca="1" si="21"/>
        <v>#NAME?</v>
      </c>
      <c r="T50" s="858" t="e">
        <f t="shared" ca="1" si="21"/>
        <v>#NAME?</v>
      </c>
      <c r="U50" s="858" t="e">
        <f t="shared" ca="1" si="21"/>
        <v>#NAME?</v>
      </c>
      <c r="V50" s="858" t="e">
        <f t="shared" ca="1" si="21"/>
        <v>#NAME?</v>
      </c>
      <c r="W50" s="858" t="e">
        <f t="shared" ca="1" si="21"/>
        <v>#NAME?</v>
      </c>
      <c r="X50" s="858" t="e">
        <f t="shared" ca="1" si="21"/>
        <v>#NAME?</v>
      </c>
      <c r="Y50" s="858" t="e">
        <f t="shared" ca="1" si="21"/>
        <v>#NAME?</v>
      </c>
      <c r="Z50" s="858" t="e">
        <f t="shared" ca="1" si="21"/>
        <v>#NAME?</v>
      </c>
      <c r="AA50" s="858" t="e">
        <f t="shared" ca="1" si="21"/>
        <v>#NAME?</v>
      </c>
      <c r="AB50" s="858" t="e">
        <f t="shared" ca="1" si="21"/>
        <v>#NAME?</v>
      </c>
      <c r="AC50" s="858" t="e">
        <f t="shared" ca="1" si="21"/>
        <v>#NAME?</v>
      </c>
      <c r="AD50" s="858" t="e">
        <f t="shared" ca="1" si="21"/>
        <v>#NAME?</v>
      </c>
      <c r="AE50" s="858" t="e">
        <f t="shared" ca="1" si="21"/>
        <v>#NAME?</v>
      </c>
      <c r="AF50" s="858" t="e">
        <f t="shared" ca="1" si="21"/>
        <v>#NAME?</v>
      </c>
      <c r="AG50" s="858" t="e">
        <f t="shared" ca="1" si="21"/>
        <v>#NAME?</v>
      </c>
      <c r="AH50" s="858" t="e">
        <f t="shared" ca="1" si="21"/>
        <v>#NAME?</v>
      </c>
      <c r="AI50" s="858" t="e">
        <f t="shared" ca="1" si="21"/>
        <v>#NAME?</v>
      </c>
      <c r="AJ50" s="858" t="e">
        <f t="shared" ca="1" si="21"/>
        <v>#NAME?</v>
      </c>
      <c r="AK50" s="858" t="e">
        <f t="shared" ca="1" si="21"/>
        <v>#NAME?</v>
      </c>
      <c r="AL50" s="858" t="e">
        <f t="shared" ca="1" si="21"/>
        <v>#NAME?</v>
      </c>
      <c r="AM50" s="858" t="e">
        <f t="shared" ca="1" si="21"/>
        <v>#NAME?</v>
      </c>
      <c r="AN50" s="858" t="e">
        <f t="shared" ca="1" si="21"/>
        <v>#NAME?</v>
      </c>
      <c r="AO50" s="858" t="e">
        <f t="shared" ca="1" si="21"/>
        <v>#NAME?</v>
      </c>
      <c r="AP50" s="858" t="e">
        <f t="shared" ca="1" si="21"/>
        <v>#NAME?</v>
      </c>
      <c r="AQ50" s="858" t="e">
        <f t="shared" ca="1" si="21"/>
        <v>#NAME?</v>
      </c>
    </row>
    <row r="51" spans="3:43">
      <c r="C51" s="868" t="s">
        <v>525</v>
      </c>
      <c r="D51" s="236"/>
      <c r="E51" s="236"/>
      <c r="F51" s="236"/>
      <c r="G51" s="862"/>
      <c r="H51" s="216" t="e">
        <f ca="1">DATA_FORMATTING!GH57/H$8</f>
        <v>#NAME?</v>
      </c>
      <c r="I51" s="216" t="e">
        <f ca="1">DATA_FORMATTING!GI57/I$8</f>
        <v>#NAME?</v>
      </c>
      <c r="J51" s="216" t="e">
        <f ca="1">DATA_FORMATTING!GJ57/J$8</f>
        <v>#NAME?</v>
      </c>
      <c r="K51" s="216" t="e">
        <f ca="1">DATA_FORMATTING!GK57/K$8</f>
        <v>#NAME?</v>
      </c>
      <c r="L51" s="216" t="e">
        <f ca="1">DATA_FORMATTING!GL57/L$8</f>
        <v>#NAME?</v>
      </c>
      <c r="M51" s="216" t="e">
        <f ca="1">DATA_FORMATTING!GM57/M$8</f>
        <v>#NAME?</v>
      </c>
      <c r="N51" s="216" t="e">
        <f ca="1">DATA_FORMATTING!GN57/N$8</f>
        <v>#NAME?</v>
      </c>
      <c r="O51" s="216" t="e">
        <f ca="1">DATA_FORMATTING!GO57/O$8</f>
        <v>#NAME?</v>
      </c>
      <c r="P51" s="216" t="e">
        <f ca="1">DATA_FORMATTING!GP57/P$8</f>
        <v>#NAME?</v>
      </c>
      <c r="Q51" s="216" t="e">
        <f ca="1">DATA_FORMATTING!GQ57/Q$8</f>
        <v>#NAME?</v>
      </c>
      <c r="R51" s="216" t="e">
        <f ca="1">DATA_FORMATTING!GR57/R$8</f>
        <v>#NAME?</v>
      </c>
      <c r="S51" s="216" t="e">
        <f ca="1">DATA_FORMATTING!GS57/S$8</f>
        <v>#NAME?</v>
      </c>
      <c r="T51" s="216" t="e">
        <f ca="1">DATA_FORMATTING!GT57/T$8</f>
        <v>#NAME?</v>
      </c>
      <c r="U51" s="216" t="e">
        <f ca="1">DATA_FORMATTING!GU57/U$8</f>
        <v>#NAME?</v>
      </c>
      <c r="V51" s="216" t="e">
        <f ca="1">DATA_FORMATTING!GV57/V$8</f>
        <v>#NAME?</v>
      </c>
      <c r="W51" s="216" t="e">
        <f ca="1">DATA_FORMATTING!GW57/W$8</f>
        <v>#NAME?</v>
      </c>
      <c r="X51" s="216" t="e">
        <f ca="1">DATA_FORMATTING!GX57/X$8</f>
        <v>#NAME?</v>
      </c>
      <c r="Y51" s="216" t="e">
        <f ca="1">DATA_FORMATTING!GY57/Y$8</f>
        <v>#NAME?</v>
      </c>
      <c r="Z51" s="216" t="e">
        <f ca="1">DATA_FORMATTING!GZ57/Z$8</f>
        <v>#NAME?</v>
      </c>
      <c r="AA51" s="216" t="e">
        <f ca="1">DATA_FORMATTING!HA57/AA$8</f>
        <v>#NAME?</v>
      </c>
      <c r="AB51" s="216" t="e">
        <f ca="1">DATA_FORMATTING!HB57/AB$8</f>
        <v>#NAME?</v>
      </c>
      <c r="AC51" s="216" t="e">
        <f ca="1">DATA_FORMATTING!HC57/AC$8</f>
        <v>#NAME?</v>
      </c>
      <c r="AD51" s="216" t="e">
        <f ca="1">DATA_FORMATTING!HD57/AD$8</f>
        <v>#NAME?</v>
      </c>
      <c r="AE51" s="216" t="e">
        <f ca="1">DATA_FORMATTING!HE57/AE$8</f>
        <v>#NAME?</v>
      </c>
      <c r="AF51" s="216" t="e">
        <f ca="1">DATA_FORMATTING!HF57/AF$8</f>
        <v>#NAME?</v>
      </c>
      <c r="AG51" s="216" t="e">
        <f ca="1">DATA_FORMATTING!HG57/AG$8</f>
        <v>#NAME?</v>
      </c>
      <c r="AH51" s="216" t="e">
        <f ca="1">DATA_FORMATTING!HH57/AH$8</f>
        <v>#NAME?</v>
      </c>
      <c r="AI51" s="216" t="e">
        <f ca="1">DATA_FORMATTING!HI57/AI$8</f>
        <v>#NAME?</v>
      </c>
      <c r="AJ51" s="216" t="e">
        <f ca="1">DATA_FORMATTING!HJ57/AJ$8</f>
        <v>#NAME?</v>
      </c>
      <c r="AK51" s="216" t="e">
        <f ca="1">DATA_FORMATTING!HK57/AK$8</f>
        <v>#NAME?</v>
      </c>
      <c r="AL51" s="216" t="e">
        <f ca="1">DATA_FORMATTING!HL57/AL$8</f>
        <v>#NAME?</v>
      </c>
      <c r="AM51" s="216" t="e">
        <f ca="1">DATA_FORMATTING!HM57/AM$8</f>
        <v>#NAME?</v>
      </c>
      <c r="AN51" s="216" t="e">
        <f ca="1">DATA_FORMATTING!HN57/AN$8</f>
        <v>#NAME?</v>
      </c>
      <c r="AO51" s="216" t="e">
        <f ca="1">DATA_FORMATTING!HO57/AO$8</f>
        <v>#NAME?</v>
      </c>
      <c r="AP51" s="216" t="e">
        <f ca="1">DATA_FORMATTING!HP57/AP$8</f>
        <v>#NAME?</v>
      </c>
      <c r="AQ51" s="217" t="e">
        <f ca="1">DATA_FORMATTING!HQ57/AQ$8</f>
        <v>#NAME?</v>
      </c>
    </row>
    <row r="52" spans="3:43">
      <c r="C52" s="868" t="s">
        <v>522</v>
      </c>
      <c r="D52" s="236"/>
      <c r="E52" s="236"/>
      <c r="F52" s="236"/>
      <c r="G52" s="862"/>
      <c r="H52" s="216" t="e">
        <f ca="1">DATA_FORMATTING!GH58/H$8</f>
        <v>#NAME?</v>
      </c>
      <c r="I52" s="216" t="e">
        <f ca="1">DATA_FORMATTING!GI58/I$8</f>
        <v>#NAME?</v>
      </c>
      <c r="J52" s="216" t="e">
        <f ca="1">DATA_FORMATTING!GJ58/J$8</f>
        <v>#NAME?</v>
      </c>
      <c r="K52" s="216" t="e">
        <f ca="1">DATA_FORMATTING!GK58/K$8</f>
        <v>#NAME?</v>
      </c>
      <c r="L52" s="216" t="e">
        <f ca="1">DATA_FORMATTING!GL58/L$8</f>
        <v>#NAME?</v>
      </c>
      <c r="M52" s="216" t="e">
        <f ca="1">DATA_FORMATTING!GM58/M$8</f>
        <v>#NAME?</v>
      </c>
      <c r="N52" s="216" t="e">
        <f ca="1">DATA_FORMATTING!GN58/N$8</f>
        <v>#NAME?</v>
      </c>
      <c r="O52" s="216" t="e">
        <f ca="1">DATA_FORMATTING!GO58/O$8</f>
        <v>#NAME?</v>
      </c>
      <c r="P52" s="216" t="e">
        <f ca="1">DATA_FORMATTING!GP58/P$8</f>
        <v>#NAME?</v>
      </c>
      <c r="Q52" s="216" t="e">
        <f ca="1">DATA_FORMATTING!GQ58/Q$8</f>
        <v>#NAME?</v>
      </c>
      <c r="R52" s="216" t="e">
        <f ca="1">DATA_FORMATTING!GR58/R$8</f>
        <v>#NAME?</v>
      </c>
      <c r="S52" s="216" t="e">
        <f ca="1">DATA_FORMATTING!GS58/S$8</f>
        <v>#NAME?</v>
      </c>
      <c r="T52" s="216" t="e">
        <f ca="1">DATA_FORMATTING!GT58/T$8</f>
        <v>#NAME?</v>
      </c>
      <c r="U52" s="216" t="e">
        <f ca="1">DATA_FORMATTING!GU58/U$8</f>
        <v>#NAME?</v>
      </c>
      <c r="V52" s="216" t="e">
        <f ca="1">DATA_FORMATTING!GV58/V$8</f>
        <v>#NAME?</v>
      </c>
      <c r="W52" s="216" t="e">
        <f ca="1">DATA_FORMATTING!GW58/W$8</f>
        <v>#NAME?</v>
      </c>
      <c r="X52" s="216" t="e">
        <f ca="1">DATA_FORMATTING!GX58/X$8</f>
        <v>#NAME?</v>
      </c>
      <c r="Y52" s="216" t="e">
        <f ca="1">DATA_FORMATTING!GY58/Y$8</f>
        <v>#NAME?</v>
      </c>
      <c r="Z52" s="216" t="e">
        <f ca="1">DATA_FORMATTING!GZ58/Z$8</f>
        <v>#NAME?</v>
      </c>
      <c r="AA52" s="216" t="e">
        <f ca="1">DATA_FORMATTING!HA58/AA$8</f>
        <v>#NAME?</v>
      </c>
      <c r="AB52" s="216" t="e">
        <f ca="1">DATA_FORMATTING!HB58/AB$8</f>
        <v>#NAME?</v>
      </c>
      <c r="AC52" s="216" t="e">
        <f ca="1">DATA_FORMATTING!HC58/AC$8</f>
        <v>#NAME?</v>
      </c>
      <c r="AD52" s="216" t="e">
        <f ca="1">DATA_FORMATTING!HD58/AD$8</f>
        <v>#NAME?</v>
      </c>
      <c r="AE52" s="216" t="e">
        <f ca="1">DATA_FORMATTING!HE58/AE$8</f>
        <v>#NAME?</v>
      </c>
      <c r="AF52" s="216" t="e">
        <f ca="1">DATA_FORMATTING!HF58/AF$8</f>
        <v>#NAME?</v>
      </c>
      <c r="AG52" s="216" t="e">
        <f ca="1">DATA_FORMATTING!HG58/AG$8</f>
        <v>#NAME?</v>
      </c>
      <c r="AH52" s="216" t="e">
        <f ca="1">DATA_FORMATTING!HH58/AH$8</f>
        <v>#NAME?</v>
      </c>
      <c r="AI52" s="216" t="e">
        <f ca="1">DATA_FORMATTING!HI58/AI$8</f>
        <v>#NAME?</v>
      </c>
      <c r="AJ52" s="216" t="e">
        <f ca="1">DATA_FORMATTING!HJ58/AJ$8</f>
        <v>#NAME?</v>
      </c>
      <c r="AK52" s="216" t="e">
        <f ca="1">DATA_FORMATTING!HK58/AK$8</f>
        <v>#NAME?</v>
      </c>
      <c r="AL52" s="216" t="e">
        <f ca="1">DATA_FORMATTING!HL58/AL$8</f>
        <v>#NAME?</v>
      </c>
      <c r="AM52" s="216" t="e">
        <f ca="1">DATA_FORMATTING!HM58/AM$8</f>
        <v>#NAME?</v>
      </c>
      <c r="AN52" s="216" t="e">
        <f ca="1">DATA_FORMATTING!HN58/AN$8</f>
        <v>#NAME?</v>
      </c>
      <c r="AO52" s="216" t="e">
        <f ca="1">DATA_FORMATTING!HO58/AO$8</f>
        <v>#NAME?</v>
      </c>
      <c r="AP52" s="216" t="e">
        <f ca="1">DATA_FORMATTING!HP58/AP$8</f>
        <v>#NAME?</v>
      </c>
      <c r="AQ52" s="217" t="e">
        <f ca="1">DATA_FORMATTING!HQ58/AQ$8</f>
        <v>#NAME?</v>
      </c>
    </row>
    <row r="53" spans="3:43">
      <c r="C53" s="868" t="s">
        <v>523</v>
      </c>
      <c r="D53" s="236"/>
      <c r="E53" s="236"/>
      <c r="F53" s="236"/>
      <c r="G53" s="862"/>
      <c r="H53" s="216" t="e">
        <f ca="1">DATA_FORMATTING!GH59/H$8</f>
        <v>#NAME?</v>
      </c>
      <c r="I53" s="216" t="e">
        <f ca="1">DATA_FORMATTING!GI59/I$8</f>
        <v>#NAME?</v>
      </c>
      <c r="J53" s="216" t="e">
        <f ca="1">DATA_FORMATTING!GJ59/J$8</f>
        <v>#NAME?</v>
      </c>
      <c r="K53" s="216" t="e">
        <f ca="1">DATA_FORMATTING!GK59/K$8</f>
        <v>#NAME?</v>
      </c>
      <c r="L53" s="216" t="e">
        <f ca="1">DATA_FORMATTING!GL59/L$8</f>
        <v>#NAME?</v>
      </c>
      <c r="M53" s="216" t="e">
        <f ca="1">DATA_FORMATTING!GM59/M$8</f>
        <v>#NAME?</v>
      </c>
      <c r="N53" s="216" t="e">
        <f ca="1">DATA_FORMATTING!GN59/N$8</f>
        <v>#NAME?</v>
      </c>
      <c r="O53" s="216" t="e">
        <f ca="1">DATA_FORMATTING!GO59/O$8</f>
        <v>#NAME?</v>
      </c>
      <c r="P53" s="216" t="e">
        <f ca="1">DATA_FORMATTING!GP59/P$8</f>
        <v>#NAME?</v>
      </c>
      <c r="Q53" s="216" t="e">
        <f ca="1">DATA_FORMATTING!GQ59/Q$8</f>
        <v>#NAME?</v>
      </c>
      <c r="R53" s="216" t="e">
        <f ca="1">DATA_FORMATTING!GR59/R$8</f>
        <v>#NAME?</v>
      </c>
      <c r="S53" s="216" t="e">
        <f ca="1">DATA_FORMATTING!GS59/S$8</f>
        <v>#NAME?</v>
      </c>
      <c r="T53" s="216" t="e">
        <f ca="1">DATA_FORMATTING!GT59/T$8</f>
        <v>#NAME?</v>
      </c>
      <c r="U53" s="216" t="e">
        <f ca="1">DATA_FORMATTING!GU59/U$8</f>
        <v>#NAME?</v>
      </c>
      <c r="V53" s="216" t="e">
        <f ca="1">DATA_FORMATTING!GV59/V$8</f>
        <v>#NAME?</v>
      </c>
      <c r="W53" s="216" t="e">
        <f ca="1">DATA_FORMATTING!GW59/W$8</f>
        <v>#NAME?</v>
      </c>
      <c r="X53" s="216" t="e">
        <f ca="1">DATA_FORMATTING!GX59/X$8</f>
        <v>#NAME?</v>
      </c>
      <c r="Y53" s="216" t="e">
        <f ca="1">DATA_FORMATTING!GY59/Y$8</f>
        <v>#NAME?</v>
      </c>
      <c r="Z53" s="216" t="e">
        <f ca="1">DATA_FORMATTING!GZ59/Z$8</f>
        <v>#NAME?</v>
      </c>
      <c r="AA53" s="216" t="e">
        <f ca="1">DATA_FORMATTING!HA59/AA$8</f>
        <v>#NAME?</v>
      </c>
      <c r="AB53" s="216" t="e">
        <f ca="1">DATA_FORMATTING!HB59/AB$8</f>
        <v>#NAME?</v>
      </c>
      <c r="AC53" s="216" t="e">
        <f ca="1">DATA_FORMATTING!HC59/AC$8</f>
        <v>#NAME?</v>
      </c>
      <c r="AD53" s="216" t="e">
        <f ca="1">DATA_FORMATTING!HD59/AD$8</f>
        <v>#NAME?</v>
      </c>
      <c r="AE53" s="216" t="e">
        <f ca="1">DATA_FORMATTING!HE59/AE$8</f>
        <v>#NAME?</v>
      </c>
      <c r="AF53" s="216" t="e">
        <f ca="1">DATA_FORMATTING!HF59/AF$8</f>
        <v>#NAME?</v>
      </c>
      <c r="AG53" s="216" t="e">
        <f ca="1">DATA_FORMATTING!HG59/AG$8</f>
        <v>#NAME?</v>
      </c>
      <c r="AH53" s="216" t="e">
        <f ca="1">DATA_FORMATTING!HH59/AH$8</f>
        <v>#NAME?</v>
      </c>
      <c r="AI53" s="216" t="e">
        <f ca="1">DATA_FORMATTING!HI59/AI$8</f>
        <v>#NAME?</v>
      </c>
      <c r="AJ53" s="216" t="e">
        <f ca="1">DATA_FORMATTING!HJ59/AJ$8</f>
        <v>#NAME?</v>
      </c>
      <c r="AK53" s="216" t="e">
        <f ca="1">DATA_FORMATTING!HK59/AK$8</f>
        <v>#NAME?</v>
      </c>
      <c r="AL53" s="216" t="e">
        <f ca="1">DATA_FORMATTING!HL59/AL$8</f>
        <v>#NAME?</v>
      </c>
      <c r="AM53" s="216" t="e">
        <f ca="1">DATA_FORMATTING!HM59/AM$8</f>
        <v>#NAME?</v>
      </c>
      <c r="AN53" s="216" t="e">
        <f ca="1">DATA_FORMATTING!HN59/AN$8</f>
        <v>#NAME?</v>
      </c>
      <c r="AO53" s="216" t="e">
        <f ca="1">DATA_FORMATTING!HO59/AO$8</f>
        <v>#NAME?</v>
      </c>
      <c r="AP53" s="216" t="e">
        <f ca="1">DATA_FORMATTING!HP59/AP$8</f>
        <v>#NAME?</v>
      </c>
      <c r="AQ53" s="217" t="e">
        <f ca="1">DATA_FORMATTING!HQ59/AQ$8</f>
        <v>#NAME?</v>
      </c>
    </row>
    <row r="54" spans="3:43">
      <c r="C54" s="869" t="s">
        <v>524</v>
      </c>
      <c r="D54" s="236"/>
      <c r="E54" s="236"/>
      <c r="F54" s="236"/>
      <c r="G54" s="862"/>
      <c r="H54" s="216" t="e">
        <f ca="1">DATA_FORMATTING!GH60/H$8</f>
        <v>#NAME?</v>
      </c>
      <c r="I54" s="216" t="e">
        <f ca="1">DATA_FORMATTING!GI60/I$8</f>
        <v>#NAME?</v>
      </c>
      <c r="J54" s="216" t="e">
        <f ca="1">DATA_FORMATTING!GJ60/J$8</f>
        <v>#NAME?</v>
      </c>
      <c r="K54" s="216" t="e">
        <f ca="1">DATA_FORMATTING!GK60/K$8</f>
        <v>#NAME?</v>
      </c>
      <c r="L54" s="216" t="e">
        <f ca="1">DATA_FORMATTING!GL60/L$8</f>
        <v>#NAME?</v>
      </c>
      <c r="M54" s="216" t="e">
        <f ca="1">DATA_FORMATTING!GM60/M$8</f>
        <v>#NAME?</v>
      </c>
      <c r="N54" s="216" t="e">
        <f ca="1">DATA_FORMATTING!GN60/N$8</f>
        <v>#NAME?</v>
      </c>
      <c r="O54" s="216" t="e">
        <f ca="1">DATA_FORMATTING!GO60/O$8</f>
        <v>#NAME?</v>
      </c>
      <c r="P54" s="216" t="e">
        <f ca="1">DATA_FORMATTING!GP60/P$8</f>
        <v>#NAME?</v>
      </c>
      <c r="Q54" s="216" t="e">
        <f ca="1">DATA_FORMATTING!GQ60/Q$8</f>
        <v>#NAME?</v>
      </c>
      <c r="R54" s="216" t="e">
        <f ca="1">DATA_FORMATTING!GR60/R$8</f>
        <v>#NAME?</v>
      </c>
      <c r="S54" s="216" t="e">
        <f ca="1">DATA_FORMATTING!GS60/S$8</f>
        <v>#NAME?</v>
      </c>
      <c r="T54" s="216" t="e">
        <f ca="1">DATA_FORMATTING!GT60/T$8</f>
        <v>#NAME?</v>
      </c>
      <c r="U54" s="216" t="e">
        <f ca="1">DATA_FORMATTING!GU60/U$8</f>
        <v>#NAME?</v>
      </c>
      <c r="V54" s="216" t="e">
        <f ca="1">DATA_FORMATTING!GV60/V$8</f>
        <v>#NAME?</v>
      </c>
      <c r="W54" s="216" t="e">
        <f ca="1">DATA_FORMATTING!GW60/W$8</f>
        <v>#NAME?</v>
      </c>
      <c r="X54" s="216" t="e">
        <f ca="1">DATA_FORMATTING!GX60/X$8</f>
        <v>#NAME?</v>
      </c>
      <c r="Y54" s="216" t="e">
        <f ca="1">DATA_FORMATTING!GY60/Y$8</f>
        <v>#NAME?</v>
      </c>
      <c r="Z54" s="216" t="e">
        <f ca="1">DATA_FORMATTING!GZ60/Z$8</f>
        <v>#NAME?</v>
      </c>
      <c r="AA54" s="216" t="e">
        <f ca="1">DATA_FORMATTING!HA60/AA$8</f>
        <v>#NAME?</v>
      </c>
      <c r="AB54" s="216" t="e">
        <f ca="1">DATA_FORMATTING!HB60/AB$8</f>
        <v>#NAME?</v>
      </c>
      <c r="AC54" s="216" t="e">
        <f ca="1">DATA_FORMATTING!HC60/AC$8</f>
        <v>#NAME?</v>
      </c>
      <c r="AD54" s="216" t="e">
        <f ca="1">DATA_FORMATTING!HD60/AD$8</f>
        <v>#NAME?</v>
      </c>
      <c r="AE54" s="216" t="e">
        <f ca="1">DATA_FORMATTING!HE60/AE$8</f>
        <v>#NAME?</v>
      </c>
      <c r="AF54" s="216" t="e">
        <f ca="1">DATA_FORMATTING!HF60/AF$8</f>
        <v>#NAME?</v>
      </c>
      <c r="AG54" s="216" t="e">
        <f ca="1">DATA_FORMATTING!HG60/AG$8</f>
        <v>#NAME?</v>
      </c>
      <c r="AH54" s="216" t="e">
        <f ca="1">DATA_FORMATTING!HH60/AH$8</f>
        <v>#NAME?</v>
      </c>
      <c r="AI54" s="216" t="e">
        <f ca="1">DATA_FORMATTING!HI60/AI$8</f>
        <v>#NAME?</v>
      </c>
      <c r="AJ54" s="216" t="e">
        <f ca="1">DATA_FORMATTING!HJ60/AJ$8</f>
        <v>#NAME?</v>
      </c>
      <c r="AK54" s="216" t="e">
        <f ca="1">DATA_FORMATTING!HK60/AK$8</f>
        <v>#NAME?</v>
      </c>
      <c r="AL54" s="216" t="e">
        <f ca="1">DATA_FORMATTING!HL60/AL$8</f>
        <v>#NAME?</v>
      </c>
      <c r="AM54" s="216" t="e">
        <f ca="1">DATA_FORMATTING!HM60/AM$8</f>
        <v>#NAME?</v>
      </c>
      <c r="AN54" s="216" t="e">
        <f ca="1">DATA_FORMATTING!HN60/AN$8</f>
        <v>#NAME?</v>
      </c>
      <c r="AO54" s="216" t="e">
        <f ca="1">DATA_FORMATTING!HO60/AO$8</f>
        <v>#NAME?</v>
      </c>
      <c r="AP54" s="216" t="e">
        <f ca="1">DATA_FORMATTING!HP60/AP$8</f>
        <v>#NAME?</v>
      </c>
      <c r="AQ54" s="217" t="e">
        <f ca="1">DATA_FORMATTING!HQ60/AQ$8</f>
        <v>#NAME?</v>
      </c>
    </row>
    <row r="55" spans="3:43">
      <c r="C55" s="873"/>
      <c r="D55" s="874"/>
      <c r="E55" s="874"/>
      <c r="F55" s="874"/>
      <c r="G55" s="874"/>
      <c r="H55" s="875"/>
      <c r="I55" s="875"/>
      <c r="J55" s="875"/>
      <c r="K55" s="875"/>
      <c r="L55" s="875"/>
      <c r="M55" s="875"/>
      <c r="N55" s="875"/>
      <c r="O55" s="875"/>
      <c r="P55" s="875"/>
      <c r="Q55" s="875"/>
      <c r="R55" s="875"/>
      <c r="S55" s="875"/>
      <c r="T55" s="875"/>
      <c r="U55" s="875"/>
      <c r="V55" s="875"/>
      <c r="W55" s="875"/>
      <c r="X55" s="875"/>
      <c r="Y55" s="875"/>
      <c r="Z55" s="875"/>
      <c r="AA55" s="875"/>
      <c r="AB55" s="875"/>
      <c r="AC55" s="875"/>
      <c r="AD55" s="875"/>
      <c r="AE55" s="875"/>
      <c r="AF55" s="875"/>
      <c r="AG55" s="875"/>
      <c r="AH55" s="875"/>
      <c r="AI55" s="875"/>
      <c r="AJ55" s="875"/>
      <c r="AK55" s="875"/>
      <c r="AL55" s="875"/>
      <c r="AM55" s="875"/>
      <c r="AN55" s="875"/>
      <c r="AO55" s="875"/>
      <c r="AP55" s="875"/>
      <c r="AQ55" s="876"/>
    </row>
    <row r="56" spans="3:43">
      <c r="C56" s="867" t="s">
        <v>80</v>
      </c>
      <c r="D56" s="877">
        <f>SUM(D57:D60)</f>
        <v>0</v>
      </c>
      <c r="E56" s="877">
        <f t="shared" ref="E56:AQ56" si="22">SUM(E57:E60)</f>
        <v>0</v>
      </c>
      <c r="F56" s="877">
        <f t="shared" si="22"/>
        <v>0</v>
      </c>
      <c r="G56" s="877">
        <f t="shared" si="22"/>
        <v>0</v>
      </c>
      <c r="H56" s="877" t="e">
        <f t="shared" ca="1" si="22"/>
        <v>#NAME?</v>
      </c>
      <c r="I56" s="877" t="e">
        <f t="shared" ca="1" si="22"/>
        <v>#NAME?</v>
      </c>
      <c r="J56" s="877" t="e">
        <f t="shared" ca="1" si="22"/>
        <v>#NAME?</v>
      </c>
      <c r="K56" s="877" t="e">
        <f t="shared" ca="1" si="22"/>
        <v>#NAME?</v>
      </c>
      <c r="L56" s="877" t="e">
        <f t="shared" ca="1" si="22"/>
        <v>#NAME?</v>
      </c>
      <c r="M56" s="877" t="e">
        <f t="shared" ca="1" si="22"/>
        <v>#NAME?</v>
      </c>
      <c r="N56" s="877" t="e">
        <f t="shared" ca="1" si="22"/>
        <v>#NAME?</v>
      </c>
      <c r="O56" s="877" t="e">
        <f t="shared" ca="1" si="22"/>
        <v>#NAME?</v>
      </c>
      <c r="P56" s="877" t="e">
        <f t="shared" ca="1" si="22"/>
        <v>#NAME?</v>
      </c>
      <c r="Q56" s="877" t="e">
        <f t="shared" ca="1" si="22"/>
        <v>#NAME?</v>
      </c>
      <c r="R56" s="877" t="e">
        <f t="shared" ca="1" si="22"/>
        <v>#NAME?</v>
      </c>
      <c r="S56" s="877" t="e">
        <f t="shared" ca="1" si="22"/>
        <v>#NAME?</v>
      </c>
      <c r="T56" s="877" t="e">
        <f t="shared" ca="1" si="22"/>
        <v>#NAME?</v>
      </c>
      <c r="U56" s="877" t="e">
        <f t="shared" ca="1" si="22"/>
        <v>#NAME?</v>
      </c>
      <c r="V56" s="877" t="e">
        <f t="shared" ca="1" si="22"/>
        <v>#NAME?</v>
      </c>
      <c r="W56" s="877" t="e">
        <f t="shared" ca="1" si="22"/>
        <v>#NAME?</v>
      </c>
      <c r="X56" s="877" t="e">
        <f t="shared" ca="1" si="22"/>
        <v>#NAME?</v>
      </c>
      <c r="Y56" s="877" t="e">
        <f t="shared" ca="1" si="22"/>
        <v>#NAME?</v>
      </c>
      <c r="Z56" s="877" t="e">
        <f t="shared" ca="1" si="22"/>
        <v>#NAME?</v>
      </c>
      <c r="AA56" s="877" t="e">
        <f t="shared" ca="1" si="22"/>
        <v>#NAME?</v>
      </c>
      <c r="AB56" s="877" t="e">
        <f t="shared" ca="1" si="22"/>
        <v>#NAME?</v>
      </c>
      <c r="AC56" s="877" t="e">
        <f t="shared" ca="1" si="22"/>
        <v>#NAME?</v>
      </c>
      <c r="AD56" s="877" t="e">
        <f t="shared" ca="1" si="22"/>
        <v>#NAME?</v>
      </c>
      <c r="AE56" s="877" t="e">
        <f t="shared" ca="1" si="22"/>
        <v>#NAME?</v>
      </c>
      <c r="AF56" s="877" t="e">
        <f t="shared" ca="1" si="22"/>
        <v>#NAME?</v>
      </c>
      <c r="AG56" s="877" t="e">
        <f t="shared" ca="1" si="22"/>
        <v>#NAME?</v>
      </c>
      <c r="AH56" s="877" t="e">
        <f t="shared" ca="1" si="22"/>
        <v>#NAME?</v>
      </c>
      <c r="AI56" s="877" t="e">
        <f t="shared" ca="1" si="22"/>
        <v>#NAME?</v>
      </c>
      <c r="AJ56" s="877" t="e">
        <f t="shared" ca="1" si="22"/>
        <v>#NAME?</v>
      </c>
      <c r="AK56" s="877" t="e">
        <f t="shared" ca="1" si="22"/>
        <v>#NAME?</v>
      </c>
      <c r="AL56" s="877" t="e">
        <f t="shared" ca="1" si="22"/>
        <v>#NAME?</v>
      </c>
      <c r="AM56" s="877" t="e">
        <f t="shared" ca="1" si="22"/>
        <v>#NAME?</v>
      </c>
      <c r="AN56" s="877" t="e">
        <f t="shared" ca="1" si="22"/>
        <v>#NAME?</v>
      </c>
      <c r="AO56" s="877" t="e">
        <f t="shared" ca="1" si="22"/>
        <v>#NAME?</v>
      </c>
      <c r="AP56" s="877" t="e">
        <f t="shared" ca="1" si="22"/>
        <v>#NAME?</v>
      </c>
      <c r="AQ56" s="877" t="e">
        <f t="shared" ca="1" si="22"/>
        <v>#NAME?</v>
      </c>
    </row>
    <row r="57" spans="3:43">
      <c r="C57" s="868" t="s">
        <v>521</v>
      </c>
      <c r="D57" s="236"/>
      <c r="E57" s="236"/>
      <c r="F57" s="236"/>
      <c r="G57" s="862"/>
      <c r="H57" s="216" t="e">
        <f ca="1">DATA_FORMATTING!GH63/H$8</f>
        <v>#NAME?</v>
      </c>
      <c r="I57" s="216" t="e">
        <f ca="1">DATA_FORMATTING!GI63/I$8</f>
        <v>#NAME?</v>
      </c>
      <c r="J57" s="216" t="e">
        <f ca="1">DATA_FORMATTING!GJ63/J$8</f>
        <v>#NAME?</v>
      </c>
      <c r="K57" s="216" t="e">
        <f ca="1">DATA_FORMATTING!GK63/K$8</f>
        <v>#NAME?</v>
      </c>
      <c r="L57" s="216" t="e">
        <f ca="1">DATA_FORMATTING!GL63/L$8</f>
        <v>#NAME?</v>
      </c>
      <c r="M57" s="216" t="e">
        <f ca="1">DATA_FORMATTING!GM63/M$8</f>
        <v>#NAME?</v>
      </c>
      <c r="N57" s="216" t="e">
        <f ca="1">DATA_FORMATTING!GN63/N$8</f>
        <v>#NAME?</v>
      </c>
      <c r="O57" s="216" t="e">
        <f ca="1">DATA_FORMATTING!GO63/O$8</f>
        <v>#NAME?</v>
      </c>
      <c r="P57" s="216" t="e">
        <f ca="1">DATA_FORMATTING!GP63/P$8</f>
        <v>#NAME?</v>
      </c>
      <c r="Q57" s="216" t="e">
        <f ca="1">DATA_FORMATTING!GQ63/Q$8</f>
        <v>#NAME?</v>
      </c>
      <c r="R57" s="216" t="e">
        <f ca="1">DATA_FORMATTING!GR63/R$8</f>
        <v>#NAME?</v>
      </c>
      <c r="S57" s="216" t="e">
        <f ca="1">DATA_FORMATTING!GS63/S$8</f>
        <v>#NAME?</v>
      </c>
      <c r="T57" s="216" t="e">
        <f ca="1">DATA_FORMATTING!GT63/T$8</f>
        <v>#NAME?</v>
      </c>
      <c r="U57" s="216" t="e">
        <f ca="1">DATA_FORMATTING!GU63/U$8</f>
        <v>#NAME?</v>
      </c>
      <c r="V57" s="216" t="e">
        <f ca="1">DATA_FORMATTING!GV63/V$8</f>
        <v>#NAME?</v>
      </c>
      <c r="W57" s="216" t="e">
        <f ca="1">DATA_FORMATTING!GW63/W$8</f>
        <v>#NAME?</v>
      </c>
      <c r="X57" s="216" t="e">
        <f ca="1">DATA_FORMATTING!GX63/X$8</f>
        <v>#NAME?</v>
      </c>
      <c r="Y57" s="216" t="e">
        <f ca="1">DATA_FORMATTING!GY63/Y$8</f>
        <v>#NAME?</v>
      </c>
      <c r="Z57" s="216" t="e">
        <f ca="1">DATA_FORMATTING!GZ63/Z$8</f>
        <v>#NAME?</v>
      </c>
      <c r="AA57" s="216" t="e">
        <f ca="1">DATA_FORMATTING!HA63/AA$8</f>
        <v>#NAME?</v>
      </c>
      <c r="AB57" s="216" t="e">
        <f ca="1">DATA_FORMATTING!HB63/AB$8</f>
        <v>#NAME?</v>
      </c>
      <c r="AC57" s="216" t="e">
        <f ca="1">DATA_FORMATTING!HC63/AC$8</f>
        <v>#NAME?</v>
      </c>
      <c r="AD57" s="216" t="e">
        <f ca="1">DATA_FORMATTING!HD63/AD$8</f>
        <v>#NAME?</v>
      </c>
      <c r="AE57" s="216" t="e">
        <f ca="1">DATA_FORMATTING!HE63/AE$8</f>
        <v>#NAME?</v>
      </c>
      <c r="AF57" s="216" t="e">
        <f ca="1">DATA_FORMATTING!HF63/AF$8</f>
        <v>#NAME?</v>
      </c>
      <c r="AG57" s="216" t="e">
        <f ca="1">DATA_FORMATTING!HG63/AG$8</f>
        <v>#NAME?</v>
      </c>
      <c r="AH57" s="216" t="e">
        <f ca="1">DATA_FORMATTING!HH63/AH$8</f>
        <v>#NAME?</v>
      </c>
      <c r="AI57" s="216" t="e">
        <f ca="1">DATA_FORMATTING!HI63/AI$8</f>
        <v>#NAME?</v>
      </c>
      <c r="AJ57" s="216" t="e">
        <f ca="1">DATA_FORMATTING!HJ63/AJ$8</f>
        <v>#NAME?</v>
      </c>
      <c r="AK57" s="216" t="e">
        <f ca="1">DATA_FORMATTING!HK63/AK$8</f>
        <v>#NAME?</v>
      </c>
      <c r="AL57" s="216" t="e">
        <f ca="1">DATA_FORMATTING!HL63/AL$8</f>
        <v>#NAME?</v>
      </c>
      <c r="AM57" s="216" t="e">
        <f ca="1">DATA_FORMATTING!HM63/AM$8</f>
        <v>#NAME?</v>
      </c>
      <c r="AN57" s="216" t="e">
        <f ca="1">DATA_FORMATTING!HN63/AN$8</f>
        <v>#NAME?</v>
      </c>
      <c r="AO57" s="216" t="e">
        <f ca="1">DATA_FORMATTING!HO63/AO$8</f>
        <v>#NAME?</v>
      </c>
      <c r="AP57" s="216" t="e">
        <f ca="1">DATA_FORMATTING!HP63/AP$8</f>
        <v>#NAME?</v>
      </c>
      <c r="AQ57" s="217" t="e">
        <f ca="1">DATA_FORMATTING!HQ63/AQ$8</f>
        <v>#NAME?</v>
      </c>
    </row>
    <row r="58" spans="3:43">
      <c r="C58" s="868" t="s">
        <v>522</v>
      </c>
      <c r="D58" s="236"/>
      <c r="E58" s="236"/>
      <c r="F58" s="236"/>
      <c r="G58" s="862"/>
      <c r="H58" s="216" t="e">
        <f ca="1">DATA_FORMATTING!GH64/H$8</f>
        <v>#NAME?</v>
      </c>
      <c r="I58" s="216" t="e">
        <f ca="1">DATA_FORMATTING!GI64/I$8</f>
        <v>#NAME?</v>
      </c>
      <c r="J58" s="216" t="e">
        <f ca="1">DATA_FORMATTING!GJ64/J$8</f>
        <v>#NAME?</v>
      </c>
      <c r="K58" s="216" t="e">
        <f ca="1">DATA_FORMATTING!GK64/K$8</f>
        <v>#NAME?</v>
      </c>
      <c r="L58" s="216" t="e">
        <f ca="1">DATA_FORMATTING!GL64/L$8</f>
        <v>#NAME?</v>
      </c>
      <c r="M58" s="216" t="e">
        <f ca="1">DATA_FORMATTING!GM64/M$8</f>
        <v>#NAME?</v>
      </c>
      <c r="N58" s="216" t="e">
        <f ca="1">DATA_FORMATTING!GN64/N$8</f>
        <v>#NAME?</v>
      </c>
      <c r="O58" s="216" t="e">
        <f ca="1">DATA_FORMATTING!GO64/O$8</f>
        <v>#NAME?</v>
      </c>
      <c r="P58" s="216" t="e">
        <f ca="1">DATA_FORMATTING!GP64/P$8</f>
        <v>#NAME?</v>
      </c>
      <c r="Q58" s="216" t="e">
        <f ca="1">DATA_FORMATTING!GQ64/Q$8</f>
        <v>#NAME?</v>
      </c>
      <c r="R58" s="216" t="e">
        <f ca="1">DATA_FORMATTING!GR64/R$8</f>
        <v>#NAME?</v>
      </c>
      <c r="S58" s="216" t="e">
        <f ca="1">DATA_FORMATTING!GS64/S$8</f>
        <v>#NAME?</v>
      </c>
      <c r="T58" s="216" t="e">
        <f ca="1">DATA_FORMATTING!GT64/T$8</f>
        <v>#NAME?</v>
      </c>
      <c r="U58" s="216" t="e">
        <f ca="1">DATA_FORMATTING!GU64/U$8</f>
        <v>#NAME?</v>
      </c>
      <c r="V58" s="216" t="e">
        <f ca="1">DATA_FORMATTING!GV64/V$8</f>
        <v>#NAME?</v>
      </c>
      <c r="W58" s="216" t="e">
        <f ca="1">DATA_FORMATTING!GW64/W$8</f>
        <v>#NAME?</v>
      </c>
      <c r="X58" s="216" t="e">
        <f ca="1">DATA_FORMATTING!GX64/X$8</f>
        <v>#NAME?</v>
      </c>
      <c r="Y58" s="216" t="e">
        <f ca="1">DATA_FORMATTING!GY64/Y$8</f>
        <v>#NAME?</v>
      </c>
      <c r="Z58" s="216" t="e">
        <f ca="1">DATA_FORMATTING!GZ64/Z$8</f>
        <v>#NAME?</v>
      </c>
      <c r="AA58" s="216" t="e">
        <f ca="1">DATA_FORMATTING!HA64/AA$8</f>
        <v>#NAME?</v>
      </c>
      <c r="AB58" s="216" t="e">
        <f ca="1">DATA_FORMATTING!HB64/AB$8</f>
        <v>#NAME?</v>
      </c>
      <c r="AC58" s="216" t="e">
        <f ca="1">DATA_FORMATTING!HC64/AC$8</f>
        <v>#NAME?</v>
      </c>
      <c r="AD58" s="216" t="e">
        <f ca="1">DATA_FORMATTING!HD64/AD$8</f>
        <v>#NAME?</v>
      </c>
      <c r="AE58" s="216" t="e">
        <f ca="1">DATA_FORMATTING!HE64/AE$8</f>
        <v>#NAME?</v>
      </c>
      <c r="AF58" s="216" t="e">
        <f ca="1">DATA_FORMATTING!HF64/AF$8</f>
        <v>#NAME?</v>
      </c>
      <c r="AG58" s="216" t="e">
        <f ca="1">DATA_FORMATTING!HG64/AG$8</f>
        <v>#NAME?</v>
      </c>
      <c r="AH58" s="216" t="e">
        <f ca="1">DATA_FORMATTING!HH64/AH$8</f>
        <v>#NAME?</v>
      </c>
      <c r="AI58" s="216" t="e">
        <f ca="1">DATA_FORMATTING!HI64/AI$8</f>
        <v>#NAME?</v>
      </c>
      <c r="AJ58" s="216" t="e">
        <f ca="1">DATA_FORMATTING!HJ64/AJ$8</f>
        <v>#NAME?</v>
      </c>
      <c r="AK58" s="216" t="e">
        <f ca="1">DATA_FORMATTING!HK64/AK$8</f>
        <v>#NAME?</v>
      </c>
      <c r="AL58" s="216" t="e">
        <f ca="1">DATA_FORMATTING!HL64/AL$8</f>
        <v>#NAME?</v>
      </c>
      <c r="AM58" s="216" t="e">
        <f ca="1">DATA_FORMATTING!HM64/AM$8</f>
        <v>#NAME?</v>
      </c>
      <c r="AN58" s="216" t="e">
        <f ca="1">DATA_FORMATTING!HN64/AN$8</f>
        <v>#NAME?</v>
      </c>
      <c r="AO58" s="216" t="e">
        <f ca="1">DATA_FORMATTING!HO64/AO$8</f>
        <v>#NAME?</v>
      </c>
      <c r="AP58" s="216" t="e">
        <f ca="1">DATA_FORMATTING!HP64/AP$8</f>
        <v>#NAME?</v>
      </c>
      <c r="AQ58" s="217" t="e">
        <f ca="1">DATA_FORMATTING!HQ64/AQ$8</f>
        <v>#NAME?</v>
      </c>
    </row>
    <row r="59" spans="3:43">
      <c r="C59" s="868" t="s">
        <v>523</v>
      </c>
      <c r="D59" s="236"/>
      <c r="E59" s="236"/>
      <c r="F59" s="236"/>
      <c r="G59" s="862"/>
      <c r="H59" s="216" t="e">
        <f ca="1">DATA_FORMATTING!GH65/H$8</f>
        <v>#NAME?</v>
      </c>
      <c r="I59" s="216" t="e">
        <f ca="1">DATA_FORMATTING!GI65/I$8</f>
        <v>#NAME?</v>
      </c>
      <c r="J59" s="216" t="e">
        <f ca="1">DATA_FORMATTING!GJ65/J$8</f>
        <v>#NAME?</v>
      </c>
      <c r="K59" s="216" t="e">
        <f ca="1">DATA_FORMATTING!GK65/K$8</f>
        <v>#NAME?</v>
      </c>
      <c r="L59" s="216" t="e">
        <f ca="1">DATA_FORMATTING!GL65/L$8</f>
        <v>#NAME?</v>
      </c>
      <c r="M59" s="216" t="e">
        <f ca="1">DATA_FORMATTING!GM65/M$8</f>
        <v>#NAME?</v>
      </c>
      <c r="N59" s="216" t="e">
        <f ca="1">DATA_FORMATTING!GN65/N$8</f>
        <v>#NAME?</v>
      </c>
      <c r="O59" s="216" t="e">
        <f ca="1">DATA_FORMATTING!GO65/O$8</f>
        <v>#NAME?</v>
      </c>
      <c r="P59" s="216" t="e">
        <f ca="1">DATA_FORMATTING!GP65/P$8</f>
        <v>#NAME?</v>
      </c>
      <c r="Q59" s="216" t="e">
        <f ca="1">DATA_FORMATTING!GQ65/Q$8</f>
        <v>#NAME?</v>
      </c>
      <c r="R59" s="216" t="e">
        <f ca="1">DATA_FORMATTING!GR65/R$8</f>
        <v>#NAME?</v>
      </c>
      <c r="S59" s="216" t="e">
        <f ca="1">DATA_FORMATTING!GS65/S$8</f>
        <v>#NAME?</v>
      </c>
      <c r="T59" s="216" t="e">
        <f ca="1">DATA_FORMATTING!GT65/T$8</f>
        <v>#NAME?</v>
      </c>
      <c r="U59" s="216" t="e">
        <f ca="1">DATA_FORMATTING!GU65/U$8</f>
        <v>#NAME?</v>
      </c>
      <c r="V59" s="216" t="e">
        <f ca="1">DATA_FORMATTING!GV65/V$8</f>
        <v>#NAME?</v>
      </c>
      <c r="W59" s="216" t="e">
        <f ca="1">DATA_FORMATTING!GW65/W$8</f>
        <v>#NAME?</v>
      </c>
      <c r="X59" s="216" t="e">
        <f ca="1">DATA_FORMATTING!GX65/X$8</f>
        <v>#NAME?</v>
      </c>
      <c r="Y59" s="216" t="e">
        <f ca="1">DATA_FORMATTING!GY65/Y$8</f>
        <v>#NAME?</v>
      </c>
      <c r="Z59" s="216" t="e">
        <f ca="1">DATA_FORMATTING!GZ65/Z$8</f>
        <v>#NAME?</v>
      </c>
      <c r="AA59" s="216" t="e">
        <f ca="1">DATA_FORMATTING!HA65/AA$8</f>
        <v>#NAME?</v>
      </c>
      <c r="AB59" s="216" t="e">
        <f ca="1">DATA_FORMATTING!HB65/AB$8</f>
        <v>#NAME?</v>
      </c>
      <c r="AC59" s="216" t="e">
        <f ca="1">DATA_FORMATTING!HC65/AC$8</f>
        <v>#NAME?</v>
      </c>
      <c r="AD59" s="216" t="e">
        <f ca="1">DATA_FORMATTING!HD65/AD$8</f>
        <v>#NAME?</v>
      </c>
      <c r="AE59" s="216" t="e">
        <f ca="1">DATA_FORMATTING!HE65/AE$8</f>
        <v>#NAME?</v>
      </c>
      <c r="AF59" s="216" t="e">
        <f ca="1">DATA_FORMATTING!HF65/AF$8</f>
        <v>#NAME?</v>
      </c>
      <c r="AG59" s="216" t="e">
        <f ca="1">DATA_FORMATTING!HG65/AG$8</f>
        <v>#NAME?</v>
      </c>
      <c r="AH59" s="216" t="e">
        <f ca="1">DATA_FORMATTING!HH65/AH$8</f>
        <v>#NAME?</v>
      </c>
      <c r="AI59" s="216" t="e">
        <f ca="1">DATA_FORMATTING!HI65/AI$8</f>
        <v>#NAME?</v>
      </c>
      <c r="AJ59" s="216" t="e">
        <f ca="1">DATA_FORMATTING!HJ65/AJ$8</f>
        <v>#NAME?</v>
      </c>
      <c r="AK59" s="216" t="e">
        <f ca="1">DATA_FORMATTING!HK65/AK$8</f>
        <v>#NAME?</v>
      </c>
      <c r="AL59" s="216" t="e">
        <f ca="1">DATA_FORMATTING!HL65/AL$8</f>
        <v>#NAME?</v>
      </c>
      <c r="AM59" s="216" t="e">
        <f ca="1">DATA_FORMATTING!HM65/AM$8</f>
        <v>#NAME?</v>
      </c>
      <c r="AN59" s="216" t="e">
        <f ca="1">DATA_FORMATTING!HN65/AN$8</f>
        <v>#NAME?</v>
      </c>
      <c r="AO59" s="216" t="e">
        <f ca="1">DATA_FORMATTING!HO65/AO$8</f>
        <v>#NAME?</v>
      </c>
      <c r="AP59" s="216" t="e">
        <f ca="1">DATA_FORMATTING!HP65/AP$8</f>
        <v>#NAME?</v>
      </c>
      <c r="AQ59" s="217" t="e">
        <f ca="1">DATA_FORMATTING!HQ65/AQ$8</f>
        <v>#NAME?</v>
      </c>
    </row>
    <row r="60" spans="3:43" ht="17.25" thickBot="1">
      <c r="C60" s="870" t="s">
        <v>524</v>
      </c>
      <c r="D60" s="239"/>
      <c r="E60" s="239"/>
      <c r="F60" s="239"/>
      <c r="G60" s="871"/>
      <c r="H60" s="242" t="e">
        <f ca="1">DATA_FORMATTING!GH66/H$8</f>
        <v>#NAME?</v>
      </c>
      <c r="I60" s="242" t="e">
        <f ca="1">DATA_FORMATTING!GI66/I$8</f>
        <v>#NAME?</v>
      </c>
      <c r="J60" s="242" t="e">
        <f ca="1">DATA_FORMATTING!GJ66/J$8</f>
        <v>#NAME?</v>
      </c>
      <c r="K60" s="242" t="e">
        <f ca="1">DATA_FORMATTING!GK66/K$8</f>
        <v>#NAME?</v>
      </c>
      <c r="L60" s="242" t="e">
        <f ca="1">DATA_FORMATTING!GL66/L$8</f>
        <v>#NAME?</v>
      </c>
      <c r="M60" s="242" t="e">
        <f ca="1">DATA_FORMATTING!GM66/M$8</f>
        <v>#NAME?</v>
      </c>
      <c r="N60" s="242" t="e">
        <f ca="1">DATA_FORMATTING!GN66/N$8</f>
        <v>#NAME?</v>
      </c>
      <c r="O60" s="242" t="e">
        <f ca="1">DATA_FORMATTING!GO66/O$8</f>
        <v>#NAME?</v>
      </c>
      <c r="P60" s="242" t="e">
        <f ca="1">DATA_FORMATTING!GP66/P$8</f>
        <v>#NAME?</v>
      </c>
      <c r="Q60" s="242" t="e">
        <f ca="1">DATA_FORMATTING!GQ66/Q$8</f>
        <v>#NAME?</v>
      </c>
      <c r="R60" s="242" t="e">
        <f ca="1">DATA_FORMATTING!GR66/R$8</f>
        <v>#NAME?</v>
      </c>
      <c r="S60" s="242" t="e">
        <f ca="1">DATA_FORMATTING!GS66/S$8</f>
        <v>#NAME?</v>
      </c>
      <c r="T60" s="242" t="e">
        <f ca="1">DATA_FORMATTING!GT66/T$8</f>
        <v>#NAME?</v>
      </c>
      <c r="U60" s="242" t="e">
        <f ca="1">DATA_FORMATTING!GU66/U$8</f>
        <v>#NAME?</v>
      </c>
      <c r="V60" s="242" t="e">
        <f ca="1">DATA_FORMATTING!GV66/V$8</f>
        <v>#NAME?</v>
      </c>
      <c r="W60" s="242" t="e">
        <f ca="1">DATA_FORMATTING!GW66/W$8</f>
        <v>#NAME?</v>
      </c>
      <c r="X60" s="242" t="e">
        <f ca="1">DATA_FORMATTING!GX66/X$8</f>
        <v>#NAME?</v>
      </c>
      <c r="Y60" s="242" t="e">
        <f ca="1">DATA_FORMATTING!GY66/Y$8</f>
        <v>#NAME?</v>
      </c>
      <c r="Z60" s="242" t="e">
        <f ca="1">DATA_FORMATTING!GZ66/Z$8</f>
        <v>#NAME?</v>
      </c>
      <c r="AA60" s="242" t="e">
        <f ca="1">DATA_FORMATTING!HA66/AA$8</f>
        <v>#NAME?</v>
      </c>
      <c r="AB60" s="242" t="e">
        <f ca="1">DATA_FORMATTING!HB66/AB$8</f>
        <v>#NAME?</v>
      </c>
      <c r="AC60" s="242" t="e">
        <f ca="1">DATA_FORMATTING!HC66/AC$8</f>
        <v>#NAME?</v>
      </c>
      <c r="AD60" s="242" t="e">
        <f ca="1">DATA_FORMATTING!HD66/AD$8</f>
        <v>#NAME?</v>
      </c>
      <c r="AE60" s="242" t="e">
        <f ca="1">DATA_FORMATTING!HE66/AE$8</f>
        <v>#NAME?</v>
      </c>
      <c r="AF60" s="242" t="e">
        <f ca="1">DATA_FORMATTING!HF66/AF$8</f>
        <v>#NAME?</v>
      </c>
      <c r="AG60" s="242" t="e">
        <f ca="1">DATA_FORMATTING!HG66/AG$8</f>
        <v>#NAME?</v>
      </c>
      <c r="AH60" s="242" t="e">
        <f ca="1">DATA_FORMATTING!HH66/AH$8</f>
        <v>#NAME?</v>
      </c>
      <c r="AI60" s="242" t="e">
        <f ca="1">DATA_FORMATTING!HI66/AI$8</f>
        <v>#NAME?</v>
      </c>
      <c r="AJ60" s="242" t="e">
        <f ca="1">DATA_FORMATTING!HJ66/AJ$8</f>
        <v>#NAME?</v>
      </c>
      <c r="AK60" s="242" t="e">
        <f ca="1">DATA_FORMATTING!HK66/AK$8</f>
        <v>#NAME?</v>
      </c>
      <c r="AL60" s="242" t="e">
        <f ca="1">DATA_FORMATTING!HL66/AL$8</f>
        <v>#NAME?</v>
      </c>
      <c r="AM60" s="242" t="e">
        <f ca="1">DATA_FORMATTING!HM66/AM$8</f>
        <v>#NAME?</v>
      </c>
      <c r="AN60" s="242" t="e">
        <f ca="1">DATA_FORMATTING!HN66/AN$8</f>
        <v>#NAME?</v>
      </c>
      <c r="AO60" s="242" t="e">
        <f ca="1">DATA_FORMATTING!HO66/AO$8</f>
        <v>#NAME?</v>
      </c>
      <c r="AP60" s="242" t="e">
        <f ca="1">DATA_FORMATTING!HP66/AP$8</f>
        <v>#NAME?</v>
      </c>
      <c r="AQ60" s="872" t="e">
        <f ca="1">DATA_FORMATTING!HQ66/AQ$8</f>
        <v>#NAME?</v>
      </c>
    </row>
    <row r="61" spans="3:43">
      <c r="L61" s="150"/>
      <c r="Q61" s="150"/>
    </row>
    <row r="62" spans="3:43" ht="17.25" thickBot="1">
      <c r="L62" s="150"/>
      <c r="Q62" s="150"/>
    </row>
    <row r="63" spans="3:43">
      <c r="C63" s="863" t="s">
        <v>544</v>
      </c>
      <c r="D63" s="864">
        <f>D9</f>
        <v>4</v>
      </c>
      <c r="E63" s="864">
        <f>E9</f>
        <v>-2146826252</v>
      </c>
      <c r="F63" s="864" t="s">
        <v>298</v>
      </c>
      <c r="G63" s="864" t="s">
        <v>299</v>
      </c>
      <c r="H63" s="864" t="str">
        <f>H9</f>
        <v/>
      </c>
      <c r="I63" s="864" t="str">
        <f t="shared" ref="I63:AQ63" si="23">I9</f>
        <v/>
      </c>
      <c r="J63" s="864" t="str">
        <f t="shared" si="23"/>
        <v/>
      </c>
      <c r="K63" s="864" t="str">
        <f t="shared" si="23"/>
        <v/>
      </c>
      <c r="L63" s="864" t="str">
        <f t="shared" si="23"/>
        <v/>
      </c>
      <c r="M63" s="864" t="str">
        <f t="shared" si="23"/>
        <v/>
      </c>
      <c r="N63" s="864" t="str">
        <f t="shared" si="23"/>
        <v/>
      </c>
      <c r="O63" s="864" t="str">
        <f t="shared" si="23"/>
        <v/>
      </c>
      <c r="P63" s="864" t="str">
        <f t="shared" si="23"/>
        <v/>
      </c>
      <c r="Q63" s="864" t="str">
        <f t="shared" si="23"/>
        <v/>
      </c>
      <c r="R63" s="864" t="str">
        <f t="shared" si="23"/>
        <v/>
      </c>
      <c r="S63" s="864" t="str">
        <f t="shared" si="23"/>
        <v/>
      </c>
      <c r="T63" s="864" t="str">
        <f t="shared" si="23"/>
        <v/>
      </c>
      <c r="U63" s="864" t="str">
        <f t="shared" si="23"/>
        <v/>
      </c>
      <c r="V63" s="864" t="str">
        <f t="shared" si="23"/>
        <v/>
      </c>
      <c r="W63" s="864" t="str">
        <f t="shared" si="23"/>
        <v/>
      </c>
      <c r="X63" s="864" t="str">
        <f t="shared" si="23"/>
        <v/>
      </c>
      <c r="Y63" s="864" t="str">
        <f t="shared" si="23"/>
        <v/>
      </c>
      <c r="Z63" s="864" t="str">
        <f t="shared" si="23"/>
        <v/>
      </c>
      <c r="AA63" s="864" t="str">
        <f t="shared" si="23"/>
        <v/>
      </c>
      <c r="AB63" s="864" t="str">
        <f t="shared" si="23"/>
        <v/>
      </c>
      <c r="AC63" s="864" t="str">
        <f t="shared" si="23"/>
        <v/>
      </c>
      <c r="AD63" s="864" t="str">
        <f t="shared" si="23"/>
        <v/>
      </c>
      <c r="AE63" s="864" t="str">
        <f t="shared" si="23"/>
        <v/>
      </c>
      <c r="AF63" s="864" t="str">
        <f t="shared" si="23"/>
        <v/>
      </c>
      <c r="AG63" s="864" t="str">
        <f t="shared" si="23"/>
        <v/>
      </c>
      <c r="AH63" s="864" t="str">
        <f t="shared" si="23"/>
        <v/>
      </c>
      <c r="AI63" s="864" t="str">
        <f t="shared" si="23"/>
        <v/>
      </c>
      <c r="AJ63" s="864" t="str">
        <f t="shared" si="23"/>
        <v/>
      </c>
      <c r="AK63" s="864" t="str">
        <f t="shared" si="23"/>
        <v/>
      </c>
      <c r="AL63" s="864" t="str">
        <f t="shared" si="23"/>
        <v/>
      </c>
      <c r="AM63" s="864" t="str">
        <f t="shared" si="23"/>
        <v/>
      </c>
      <c r="AN63" s="864" t="str">
        <f t="shared" si="23"/>
        <v/>
      </c>
      <c r="AO63" s="864" t="str">
        <f t="shared" si="23"/>
        <v/>
      </c>
      <c r="AP63" s="864" t="str">
        <f t="shared" si="23"/>
        <v/>
      </c>
      <c r="AQ63" s="865">
        <f t="shared" si="23"/>
        <v>4</v>
      </c>
    </row>
    <row r="64" spans="3:43">
      <c r="C64" s="867" t="s">
        <v>70</v>
      </c>
      <c r="D64" s="236"/>
      <c r="E64" s="236"/>
      <c r="F64" s="236"/>
      <c r="G64" s="862"/>
      <c r="H64" s="216">
        <f>H55</f>
        <v>0</v>
      </c>
      <c r="I64" s="216">
        <f t="shared" ref="I64:AQ64" si="24">I55</f>
        <v>0</v>
      </c>
      <c r="J64" s="216">
        <f t="shared" si="24"/>
        <v>0</v>
      </c>
      <c r="K64" s="216">
        <f t="shared" si="24"/>
        <v>0</v>
      </c>
      <c r="L64" s="216">
        <f t="shared" si="24"/>
        <v>0</v>
      </c>
      <c r="M64" s="216">
        <f t="shared" si="24"/>
        <v>0</v>
      </c>
      <c r="N64" s="216">
        <f t="shared" si="24"/>
        <v>0</v>
      </c>
      <c r="O64" s="216">
        <f t="shared" si="24"/>
        <v>0</v>
      </c>
      <c r="P64" s="216">
        <f t="shared" si="24"/>
        <v>0</v>
      </c>
      <c r="Q64" s="216">
        <f t="shared" si="24"/>
        <v>0</v>
      </c>
      <c r="R64" s="216">
        <f t="shared" si="24"/>
        <v>0</v>
      </c>
      <c r="S64" s="216">
        <f t="shared" si="24"/>
        <v>0</v>
      </c>
      <c r="T64" s="216">
        <f t="shared" si="24"/>
        <v>0</v>
      </c>
      <c r="U64" s="216">
        <f t="shared" si="24"/>
        <v>0</v>
      </c>
      <c r="V64" s="216">
        <f t="shared" si="24"/>
        <v>0</v>
      </c>
      <c r="W64" s="216">
        <f t="shared" si="24"/>
        <v>0</v>
      </c>
      <c r="X64" s="216">
        <f t="shared" si="24"/>
        <v>0</v>
      </c>
      <c r="Y64" s="216">
        <f t="shared" si="24"/>
        <v>0</v>
      </c>
      <c r="Z64" s="216">
        <f t="shared" si="24"/>
        <v>0</v>
      </c>
      <c r="AA64" s="216">
        <f t="shared" si="24"/>
        <v>0</v>
      </c>
      <c r="AB64" s="216">
        <f t="shared" si="24"/>
        <v>0</v>
      </c>
      <c r="AC64" s="216">
        <f t="shared" si="24"/>
        <v>0</v>
      </c>
      <c r="AD64" s="216">
        <f t="shared" si="24"/>
        <v>0</v>
      </c>
      <c r="AE64" s="216">
        <f t="shared" si="24"/>
        <v>0</v>
      </c>
      <c r="AF64" s="216">
        <f t="shared" si="24"/>
        <v>0</v>
      </c>
      <c r="AG64" s="216">
        <f t="shared" si="24"/>
        <v>0</v>
      </c>
      <c r="AH64" s="216">
        <f t="shared" si="24"/>
        <v>0</v>
      </c>
      <c r="AI64" s="216">
        <f t="shared" si="24"/>
        <v>0</v>
      </c>
      <c r="AJ64" s="216">
        <f t="shared" si="24"/>
        <v>0</v>
      </c>
      <c r="AK64" s="216">
        <f t="shared" si="24"/>
        <v>0</v>
      </c>
      <c r="AL64" s="216">
        <f t="shared" si="24"/>
        <v>0</v>
      </c>
      <c r="AM64" s="216">
        <f t="shared" si="24"/>
        <v>0</v>
      </c>
      <c r="AN64" s="216">
        <f t="shared" si="24"/>
        <v>0</v>
      </c>
      <c r="AO64" s="216">
        <f t="shared" si="24"/>
        <v>0</v>
      </c>
      <c r="AP64" s="216">
        <f t="shared" si="24"/>
        <v>0</v>
      </c>
      <c r="AQ64" s="217">
        <f t="shared" si="24"/>
        <v>0</v>
      </c>
    </row>
    <row r="65" spans="3:43" ht="17.25" thickBot="1">
      <c r="C65" s="878" t="s">
        <v>80</v>
      </c>
      <c r="D65" s="239"/>
      <c r="E65" s="239"/>
      <c r="F65" s="239"/>
      <c r="G65" s="871"/>
      <c r="H65" s="242"/>
      <c r="I65" s="242"/>
      <c r="J65" s="242"/>
      <c r="K65" s="242"/>
      <c r="L65" s="242"/>
      <c r="M65" s="242"/>
      <c r="N65" s="242"/>
      <c r="O65" s="242"/>
      <c r="P65" s="242"/>
      <c r="Q65" s="242"/>
      <c r="R65" s="242"/>
      <c r="S65" s="242"/>
      <c r="T65" s="242"/>
      <c r="U65" s="242"/>
      <c r="V65" s="242"/>
      <c r="W65" s="242"/>
      <c r="X65" s="242"/>
      <c r="Y65" s="242"/>
      <c r="Z65" s="242"/>
      <c r="AA65" s="242"/>
      <c r="AB65" s="242"/>
      <c r="AC65" s="242"/>
      <c r="AD65" s="242"/>
      <c r="AE65" s="242"/>
      <c r="AF65" s="242"/>
      <c r="AG65" s="242"/>
      <c r="AH65" s="242"/>
      <c r="AI65" s="242"/>
      <c r="AJ65" s="242"/>
      <c r="AK65" s="242"/>
      <c r="AL65" s="242"/>
      <c r="AM65" s="242"/>
      <c r="AN65" s="242"/>
      <c r="AO65" s="242"/>
      <c r="AP65" s="242"/>
      <c r="AQ65" s="872"/>
    </row>
  </sheetData>
  <conditionalFormatting sqref="H39:AQ39">
    <cfRule type="expression" dxfId="216" priority="4">
      <formula>H37="Audited"</formula>
    </cfRule>
  </conditionalFormatting>
  <conditionalFormatting sqref="H9:AQ9">
    <cfRule type="expression" dxfId="215" priority="6">
      <formula>H5="Audited"</formula>
    </cfRule>
  </conditionalFormatting>
  <conditionalFormatting sqref="H36:AQ36">
    <cfRule type="expression" dxfId="214" priority="3">
      <formula>H36="B/S Error"</formula>
    </cfRule>
  </conditionalFormatting>
  <conditionalFormatting sqref="H48:AQ48">
    <cfRule type="expression" dxfId="213" priority="2">
      <formula>#REF!="Audited"</formula>
    </cfRule>
  </conditionalFormatting>
  <conditionalFormatting sqref="H63:AQ63">
    <cfRule type="expression" dxfId="212" priority="1">
      <formula>#REF!="Audited"</formula>
    </cfRule>
  </conditionalFormatting>
  <dataValidations count="4">
    <dataValidation type="list" allowBlank="1" showInputMessage="1" showErrorMessage="1" sqref="E5">
      <formula1>$A$10:$A$11</formula1>
    </dataValidation>
    <dataValidation type="list" allowBlank="1" showInputMessage="1" showErrorMessage="1" sqref="D9">
      <formula1>BS_PERIODS</formula1>
    </dataValidation>
    <dataValidation type="list" operator="greaterThan" allowBlank="1" showInputMessage="1" showErrorMessage="1" sqref="E9">
      <formula1>(OFFSET(BS_PERIODS,0,MATCH(BS_PERIOD_START,BS_PERIODS,0),1,COUNTA(BS_PERIODS)-MATCH(BS_PERIOD_START,BS_PERIODS,0)))</formula1>
    </dataValidation>
    <dataValidation operator="greaterThan" allowBlank="1" showInputMessage="1" showErrorMessage="1" sqref="E7:E8"/>
  </dataValidation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79998168889431442"/>
  </sheetPr>
  <dimension ref="A1:AR36"/>
  <sheetViews>
    <sheetView showGridLines="0" zoomScale="85" zoomScaleNormal="85" workbookViewId="0">
      <pane xSplit="7" ySplit="6" topLeftCell="AQ7" activePane="bottomRight" state="frozen"/>
      <selection pane="topRight" activeCell="H1" sqref="H1"/>
      <selection pane="bottomLeft" activeCell="A7" sqref="A7"/>
      <selection pane="bottomRight" activeCell="E6" sqref="E6"/>
    </sheetView>
  </sheetViews>
  <sheetFormatPr defaultRowHeight="15" outlineLevelCol="1"/>
  <cols>
    <col min="1" max="1" width="1" style="245" customWidth="1"/>
    <col min="2" max="2" width="4.42578125" style="245" customWidth="1"/>
    <col min="3" max="3" width="47.42578125" style="586" bestFit="1" customWidth="1"/>
    <col min="4" max="4" width="19.28515625" style="586" bestFit="1" customWidth="1"/>
    <col min="5" max="7" width="17.140625" style="586" customWidth="1"/>
    <col min="8" max="8" width="19.28515625" hidden="1" customWidth="1" outlineLevel="1"/>
    <col min="9" max="40" width="17.140625" hidden="1" customWidth="1" outlineLevel="1"/>
    <col min="41" max="41" width="17.140625" customWidth="1" collapsed="1"/>
    <col min="42" max="43" width="17.140625" customWidth="1"/>
  </cols>
  <sheetData>
    <row r="1" spans="1:44" ht="22.5">
      <c r="C1" s="246"/>
      <c r="D1" s="246"/>
      <c r="E1" s="246"/>
      <c r="F1" s="246"/>
      <c r="G1" s="246"/>
    </row>
    <row r="2" spans="1:44" ht="19.5" thickBot="1">
      <c r="A2" s="245" t="s">
        <v>247</v>
      </c>
      <c r="C2" s="247" t="e">
        <f ca="1">UPPER('Balance Sheet'!C2&amp;" Income Statement")</f>
        <v>#NAME?</v>
      </c>
      <c r="D2" s="247"/>
      <c r="E2" s="247"/>
      <c r="F2" s="247"/>
      <c r="G2" s="247"/>
      <c r="H2" s="509" t="e">
        <f>DATA_FORMATTING!AY3</f>
        <v>#NAME?</v>
      </c>
      <c r="I2" s="509" t="e">
        <f>DATA_FORMATTING!AZ3</f>
        <v>#NAME?</v>
      </c>
      <c r="J2" s="509" t="e">
        <f>DATA_FORMATTING!BA3</f>
        <v>#NAME?</v>
      </c>
      <c r="K2" s="509" t="e">
        <f>DATA_FORMATTING!BB3</f>
        <v>#NAME?</v>
      </c>
      <c r="L2" s="509" t="e">
        <f>DATA_FORMATTING!BC3</f>
        <v>#NAME?</v>
      </c>
      <c r="M2" s="509" t="e">
        <f>DATA_FORMATTING!BD3</f>
        <v>#NAME?</v>
      </c>
      <c r="N2" s="509" t="e">
        <f>DATA_FORMATTING!BE3</f>
        <v>#NAME?</v>
      </c>
      <c r="O2" s="509" t="e">
        <f>DATA_FORMATTING!BF3</f>
        <v>#NAME?</v>
      </c>
      <c r="P2" s="509" t="e">
        <f>DATA_FORMATTING!BG3</f>
        <v>#NAME?</v>
      </c>
      <c r="Q2" s="509" t="e">
        <f>DATA_FORMATTING!BH3</f>
        <v>#NAME?</v>
      </c>
      <c r="R2" s="509" t="e">
        <f>DATA_FORMATTING!BI3</f>
        <v>#NAME?</v>
      </c>
      <c r="S2" s="509" t="e">
        <f>DATA_FORMATTING!BJ3</f>
        <v>#NAME?</v>
      </c>
      <c r="T2" s="509" t="e">
        <f>DATA_FORMATTING!BK3</f>
        <v>#NAME?</v>
      </c>
      <c r="U2" s="509" t="e">
        <f>DATA_FORMATTING!BL3</f>
        <v>#NAME?</v>
      </c>
      <c r="V2" s="509" t="e">
        <f>DATA_FORMATTING!BM3</f>
        <v>#NAME?</v>
      </c>
      <c r="W2" s="509" t="e">
        <f>DATA_FORMATTING!BN3</f>
        <v>#NAME?</v>
      </c>
      <c r="X2" s="509" t="e">
        <f>DATA_FORMATTING!BO3</f>
        <v>#NAME?</v>
      </c>
      <c r="Y2" s="509" t="e">
        <f>DATA_FORMATTING!BP3</f>
        <v>#NAME?</v>
      </c>
      <c r="Z2" s="509" t="e">
        <f>DATA_FORMATTING!BQ3</f>
        <v>#NAME?</v>
      </c>
      <c r="AA2" s="509" t="e">
        <f>DATA_FORMATTING!BR3</f>
        <v>#NAME?</v>
      </c>
      <c r="AB2" s="509" t="e">
        <f>DATA_FORMATTING!BS3</f>
        <v>#NAME?</v>
      </c>
      <c r="AC2" s="509" t="e">
        <f>DATA_FORMATTING!BT3</f>
        <v>#NAME?</v>
      </c>
      <c r="AD2" s="509" t="e">
        <f>DATA_FORMATTING!BU3</f>
        <v>#NAME?</v>
      </c>
      <c r="AE2" s="509" t="e">
        <f>DATA_FORMATTING!BV3</f>
        <v>#NAME?</v>
      </c>
      <c r="AF2" s="509" t="e">
        <f>DATA_FORMATTING!BW3</f>
        <v>#NAME?</v>
      </c>
      <c r="AG2" s="509" t="e">
        <f>DATA_FORMATTING!BX3</f>
        <v>#NAME?</v>
      </c>
      <c r="AH2" s="509" t="e">
        <f>DATA_FORMATTING!BY3</f>
        <v>#NAME?</v>
      </c>
      <c r="AI2" s="509" t="e">
        <f>DATA_FORMATTING!BZ3</f>
        <v>#NAME?</v>
      </c>
      <c r="AJ2" s="509" t="e">
        <f>DATA_FORMATTING!CA3</f>
        <v>#NAME?</v>
      </c>
      <c r="AK2" s="509" t="e">
        <f>DATA_FORMATTING!CB3</f>
        <v>#NAME?</v>
      </c>
      <c r="AL2" s="509" t="e">
        <f>DATA_FORMATTING!CC3</f>
        <v>#NAME?</v>
      </c>
      <c r="AM2" s="509" t="e">
        <f>DATA_FORMATTING!CD3</f>
        <v>#NAME?</v>
      </c>
      <c r="AN2" s="509" t="e">
        <f>DATA_FORMATTING!CE3</f>
        <v>#NAME?</v>
      </c>
      <c r="AO2" s="509" t="e">
        <f>DATA_FORMATTING!CF3</f>
        <v>#NAME?</v>
      </c>
      <c r="AP2" s="509" t="e">
        <f>DATA_FORMATTING!CG3</f>
        <v>#NAME?</v>
      </c>
      <c r="AQ2" s="509" t="e">
        <f>DATA_FORMATTING!CH3</f>
        <v>#NAME?</v>
      </c>
    </row>
    <row r="3" spans="1:44" ht="18.75" thickBot="1">
      <c r="A3" s="245" t="s">
        <v>440</v>
      </c>
      <c r="C3" s="152">
        <f>AQ6</f>
        <v>4</v>
      </c>
      <c r="D3" s="625" t="s">
        <v>454</v>
      </c>
      <c r="E3" s="587" t="s">
        <v>63</v>
      </c>
      <c r="G3" s="561" t="s">
        <v>447</v>
      </c>
      <c r="H3" s="619" t="e">
        <f ca="1">IF('Balance Sheet'!$E$5="USD",AVERAGE((OFFSET(DB_LOAD!$K:$K,MATCH('Balance Sheet'!H9,DB_LOAD!$H:$H,0)-1,0,3,1))),1)</f>
        <v>#N/A</v>
      </c>
      <c r="I3" s="619" t="e">
        <f ca="1">IF('Balance Sheet'!$E$5="USD",AVERAGE((OFFSET(DB_LOAD!$K:$K,MATCH('Balance Sheet'!I9,DB_LOAD!$H:$H,0)-1,0,3,1))),1)</f>
        <v>#N/A</v>
      </c>
      <c r="J3" s="619" t="e">
        <f ca="1">IF('Balance Sheet'!$E$5="USD",AVERAGE((OFFSET(DB_LOAD!$K:$K,MATCH('Balance Sheet'!J9,DB_LOAD!$H:$H,0)-1,0,3,1))),1)</f>
        <v>#N/A</v>
      </c>
      <c r="K3" s="619" t="e">
        <f ca="1">IF('Balance Sheet'!$E$5="USD",AVERAGE((OFFSET(DB_LOAD!$K:$K,MATCH('Balance Sheet'!K9,DB_LOAD!$H:$H,0)-1,0,3,1))),1)</f>
        <v>#N/A</v>
      </c>
      <c r="L3" s="619" t="e">
        <f ca="1">IF('Balance Sheet'!$E$5="USD",AVERAGE((OFFSET(DB_LOAD!$K:$K,MATCH('Balance Sheet'!L9,DB_LOAD!$H:$H,0)-1,0,3,1))),1)</f>
        <v>#N/A</v>
      </c>
      <c r="M3" s="619" t="e">
        <f ca="1">IF('Balance Sheet'!$E$5="USD",AVERAGE((OFFSET(DB_LOAD!$K:$K,MATCH('Balance Sheet'!M9,DB_LOAD!$H:$H,0)-1,0,3,1))),1)</f>
        <v>#N/A</v>
      </c>
      <c r="N3" s="619" t="e">
        <f ca="1">IF('Balance Sheet'!$E$5="USD",AVERAGE((OFFSET(DB_LOAD!$K:$K,MATCH('Balance Sheet'!N9,DB_LOAD!$H:$H,0)-1,0,3,1))),1)</f>
        <v>#N/A</v>
      </c>
      <c r="O3" s="619" t="e">
        <f ca="1">IF('Balance Sheet'!$E$5="USD",AVERAGE((OFFSET(DB_LOAD!$K:$K,MATCH('Balance Sheet'!O9,DB_LOAD!$H:$H,0)-1,0,3,1))),1)</f>
        <v>#N/A</v>
      </c>
      <c r="P3" s="619" t="e">
        <f ca="1">IF('Balance Sheet'!$E$5="USD",AVERAGE((OFFSET(DB_LOAD!$K:$K,MATCH('Balance Sheet'!P9,DB_LOAD!$H:$H,0)-1,0,3,1))),1)</f>
        <v>#N/A</v>
      </c>
      <c r="Q3" s="619" t="e">
        <f ca="1">IF('Balance Sheet'!$E$5="USD",AVERAGE((OFFSET(DB_LOAD!$K:$K,MATCH('Balance Sheet'!Q9,DB_LOAD!$H:$H,0)-1,0,3,1))),1)</f>
        <v>#N/A</v>
      </c>
      <c r="R3" s="619" t="e">
        <f ca="1">IF('Balance Sheet'!$E$5="USD",AVERAGE((OFFSET(DB_LOAD!$K:$K,MATCH('Balance Sheet'!R9,DB_LOAD!$H:$H,0)-1,0,3,1))),1)</f>
        <v>#N/A</v>
      </c>
      <c r="S3" s="619" t="e">
        <f ca="1">IF('Balance Sheet'!$E$5="USD",AVERAGE((OFFSET(DB_LOAD!$K:$K,MATCH('Balance Sheet'!S9,DB_LOAD!$H:$H,0)-1,0,3,1))),1)</f>
        <v>#N/A</v>
      </c>
      <c r="T3" s="619" t="e">
        <f ca="1">IF('Balance Sheet'!$E$5="USD",AVERAGE((OFFSET(DB_LOAD!$K:$K,MATCH('Balance Sheet'!T9,DB_LOAD!$H:$H,0)-1,0,3,1))),1)</f>
        <v>#N/A</v>
      </c>
      <c r="U3" s="619" t="e">
        <f ca="1">IF('Balance Sheet'!$E$5="USD",AVERAGE((OFFSET(DB_LOAD!$K:$K,MATCH('Balance Sheet'!U9,DB_LOAD!$H:$H,0)-1,0,3,1))),1)</f>
        <v>#N/A</v>
      </c>
      <c r="V3" s="619" t="e">
        <f ca="1">IF('Balance Sheet'!$E$5="USD",AVERAGE((OFFSET(DB_LOAD!$K:$K,MATCH('Balance Sheet'!V9,DB_LOAD!$H:$H,0)-1,0,3,1))),1)</f>
        <v>#N/A</v>
      </c>
      <c r="W3" s="619" t="e">
        <f ca="1">IF('Balance Sheet'!$E$5="USD",AVERAGE((OFFSET(DB_LOAD!$K:$K,MATCH('Balance Sheet'!W9,DB_LOAD!$H:$H,0)-1,0,3,1))),1)</f>
        <v>#N/A</v>
      </c>
      <c r="X3" s="619" t="e">
        <f ca="1">IF('Balance Sheet'!$E$5="USD",AVERAGE((OFFSET(DB_LOAD!$K:$K,MATCH('Balance Sheet'!X9,DB_LOAD!$H:$H,0)-1,0,3,1))),1)</f>
        <v>#N/A</v>
      </c>
      <c r="Y3" s="619" t="e">
        <f ca="1">IF('Balance Sheet'!$E$5="USD",AVERAGE((OFFSET(DB_LOAD!$K:$K,MATCH('Balance Sheet'!Y9,DB_LOAD!$H:$H,0)-1,0,3,1))),1)</f>
        <v>#N/A</v>
      </c>
      <c r="Z3" s="619" t="e">
        <f ca="1">IF('Balance Sheet'!$E$5="USD",AVERAGE((OFFSET(DB_LOAD!$K:$K,MATCH('Balance Sheet'!Z9,DB_LOAD!$H:$H,0)-1,0,3,1))),1)</f>
        <v>#N/A</v>
      </c>
      <c r="AA3" s="619" t="e">
        <f ca="1">IF('Balance Sheet'!$E$5="USD",AVERAGE((OFFSET(DB_LOAD!$K:$K,MATCH('Balance Sheet'!AA9,DB_LOAD!$H:$H,0)-1,0,3,1))),1)</f>
        <v>#N/A</v>
      </c>
      <c r="AB3" s="619" t="e">
        <f ca="1">IF('Balance Sheet'!$E$5="USD",AVERAGE((OFFSET(DB_LOAD!$K:$K,MATCH('Balance Sheet'!AB9,DB_LOAD!$H:$H,0)-1,0,3,1))),1)</f>
        <v>#N/A</v>
      </c>
      <c r="AC3" s="619" t="e">
        <f ca="1">IF('Balance Sheet'!$E$5="USD",AVERAGE((OFFSET(DB_LOAD!$K:$K,MATCH('Balance Sheet'!AC9,DB_LOAD!$H:$H,0)-1,0,3,1))),1)</f>
        <v>#N/A</v>
      </c>
      <c r="AD3" s="619" t="e">
        <f ca="1">IF('Balance Sheet'!$E$5="USD",AVERAGE((OFFSET(DB_LOAD!$K:$K,MATCH('Balance Sheet'!AD9,DB_LOAD!$H:$H,0)-1,0,3,1))),1)</f>
        <v>#N/A</v>
      </c>
      <c r="AE3" s="619" t="e">
        <f ca="1">IF('Balance Sheet'!$E$5="USD",AVERAGE((OFFSET(DB_LOAD!$K:$K,MATCH('Balance Sheet'!AE9,DB_LOAD!$H:$H,0)-1,0,3,1))),1)</f>
        <v>#N/A</v>
      </c>
      <c r="AF3" s="619" t="e">
        <f ca="1">IF('Balance Sheet'!$E$5="USD",AVERAGE((OFFSET(DB_LOAD!$K:$K,MATCH('Balance Sheet'!AF9,DB_LOAD!$H:$H,0)-1,0,3,1))),1)</f>
        <v>#N/A</v>
      </c>
      <c r="AG3" s="619" t="e">
        <f ca="1">IF('Balance Sheet'!$E$5="USD",AVERAGE((OFFSET(DB_LOAD!$K:$K,MATCH('Balance Sheet'!AG9,DB_LOAD!$H:$H,0)-1,0,3,1))),1)</f>
        <v>#N/A</v>
      </c>
      <c r="AH3" s="619" t="e">
        <f ca="1">IF('Balance Sheet'!$E$5="USD",AVERAGE((OFFSET(DB_LOAD!$K:$K,MATCH('Balance Sheet'!AH9,DB_LOAD!$H:$H,0)-1,0,3,1))),1)</f>
        <v>#N/A</v>
      </c>
      <c r="AI3" s="619" t="e">
        <f ca="1">IF('Balance Sheet'!$E$5="USD",AVERAGE((OFFSET(DB_LOAD!$K:$K,MATCH('Balance Sheet'!AI9,DB_LOAD!$H:$H,0)-1,0,3,1))),1)</f>
        <v>#N/A</v>
      </c>
      <c r="AJ3" s="619" t="e">
        <f ca="1">IF('Balance Sheet'!$E$5="USD",AVERAGE((OFFSET(DB_LOAD!$K:$K,MATCH('Balance Sheet'!AJ9,DB_LOAD!$H:$H,0)-1,0,3,1))),1)</f>
        <v>#N/A</v>
      </c>
      <c r="AK3" s="619" t="e">
        <f ca="1">IF('Balance Sheet'!$E$5="USD",AVERAGE((OFFSET(DB_LOAD!$K:$K,MATCH('Balance Sheet'!AK9,DB_LOAD!$H:$H,0)-1,0,3,1))),1)</f>
        <v>#N/A</v>
      </c>
      <c r="AL3" s="619" t="e">
        <f ca="1">IF('Balance Sheet'!$E$5="USD",AVERAGE((OFFSET(DB_LOAD!$K:$K,MATCH('Balance Sheet'!AL9,DB_LOAD!$H:$H,0)-1,0,3,1))),1)</f>
        <v>#N/A</v>
      </c>
      <c r="AM3" s="619" t="e">
        <f ca="1">IF('Balance Sheet'!$E$5="USD",AVERAGE((OFFSET(DB_LOAD!$K:$K,MATCH('Balance Sheet'!AM9,DB_LOAD!$H:$H,0)-1,0,3,1))),1)</f>
        <v>#N/A</v>
      </c>
      <c r="AN3" s="619" t="e">
        <f ca="1">IF('Balance Sheet'!$E$5="USD",AVERAGE((OFFSET(DB_LOAD!$K:$K,MATCH('Balance Sheet'!AN9,DB_LOAD!$H:$H,0)-1,0,3,1))),1)</f>
        <v>#N/A</v>
      </c>
      <c r="AO3" s="619" t="e">
        <f ca="1">IF('Balance Sheet'!$E$5="USD",AVERAGE((OFFSET(DB_LOAD!$K:$K,MATCH('Balance Sheet'!AO9,DB_LOAD!$H:$H,0)-1,0,3,1))),1)</f>
        <v>#N/A</v>
      </c>
      <c r="AP3" s="619" t="e">
        <f ca="1">IF('Balance Sheet'!$E$5="USD",AVERAGE((OFFSET(DB_LOAD!$K:$K,MATCH('Balance Sheet'!AP9,DB_LOAD!$H:$H,0)-1,0,3,1))),1)</f>
        <v>#N/A</v>
      </c>
      <c r="AQ3" s="619" t="e">
        <f ca="1">IF('Balance Sheet'!$E$5="USD",AVERAGE((OFFSET(DB_LOAD!$K:$K,MATCH('Balance Sheet'!AQ9,DB_LOAD!$H:$H,0)-1,0,3,1))),1)</f>
        <v>#N/A</v>
      </c>
    </row>
    <row r="4" spans="1:44" ht="15.75">
      <c r="A4" s="245" t="s">
        <v>63</v>
      </c>
      <c r="C4" s="153" t="str">
        <f>"In "&amp;'Balance Sheet'!E5</f>
        <v>In USD</v>
      </c>
      <c r="G4" s="561" t="s">
        <v>445</v>
      </c>
      <c r="H4" s="619" t="e">
        <f ca="1">IF('Balance Sheet'!$E$5="USD",AVERAGE((OFFSET(DB_LOAD!$K:$K,MATCH('Balance Sheet'!H9,DB_LOAD!$H:$H,0)-1,0,12,1))),1)</f>
        <v>#N/A</v>
      </c>
      <c r="I4" s="619" t="e">
        <f ca="1">IF('Balance Sheet'!$E$5="USD",AVERAGE((OFFSET(DB_LOAD!$K:$K,MATCH('Balance Sheet'!I9,DB_LOAD!$H:$H,0)-1,0,12,1))),1)</f>
        <v>#N/A</v>
      </c>
      <c r="J4" s="619" t="e">
        <f ca="1">IF('Balance Sheet'!$E$5="USD",AVERAGE((OFFSET(DB_LOAD!$K:$K,MATCH('Balance Sheet'!J9,DB_LOAD!$H:$H,0)-1,0,12,1))),1)</f>
        <v>#N/A</v>
      </c>
      <c r="K4" s="619" t="e">
        <f ca="1">IF('Balance Sheet'!$E$5="USD",AVERAGE((OFFSET(DB_LOAD!$K:$K,MATCH('Balance Sheet'!K9,DB_LOAD!$H:$H,0)-1,0,12,1))),1)</f>
        <v>#N/A</v>
      </c>
      <c r="L4" s="619" t="e">
        <f ca="1">IF('Balance Sheet'!$E$5="USD",AVERAGE((OFFSET(DB_LOAD!$K:$K,MATCH('Balance Sheet'!L9,DB_LOAD!$H:$H,0)-1,0,12,1))),1)</f>
        <v>#N/A</v>
      </c>
      <c r="M4" s="619" t="e">
        <f ca="1">IF('Balance Sheet'!$E$5="USD",AVERAGE((OFFSET(DB_LOAD!$K:$K,MATCH('Balance Sheet'!M9,DB_LOAD!$H:$H,0)-1,0,12,1))),1)</f>
        <v>#N/A</v>
      </c>
      <c r="N4" s="619" t="e">
        <f ca="1">IF('Balance Sheet'!$E$5="USD",AVERAGE((OFFSET(DB_LOAD!$K:$K,MATCH('Balance Sheet'!N9,DB_LOAD!$H:$H,0)-1,0,12,1))),1)</f>
        <v>#N/A</v>
      </c>
      <c r="O4" s="619" t="e">
        <f ca="1">IF('Balance Sheet'!$E$5="USD",AVERAGE((OFFSET(DB_LOAD!$K:$K,MATCH('Balance Sheet'!O9,DB_LOAD!$H:$H,0)-1,0,12,1))),1)</f>
        <v>#N/A</v>
      </c>
      <c r="P4" s="619" t="e">
        <f ca="1">IF('Balance Sheet'!$E$5="USD",AVERAGE((OFFSET(DB_LOAD!$K:$K,MATCH('Balance Sheet'!P9,DB_LOAD!$H:$H,0)-1,0,12,1))),1)</f>
        <v>#N/A</v>
      </c>
      <c r="Q4" s="619" t="e">
        <f ca="1">IF('Balance Sheet'!$E$5="USD",AVERAGE((OFFSET(DB_LOAD!$K:$K,MATCH('Balance Sheet'!Q9,DB_LOAD!$H:$H,0)-1,0,12,1))),1)</f>
        <v>#N/A</v>
      </c>
      <c r="R4" s="619" t="e">
        <f ca="1">IF('Balance Sheet'!$E$5="USD",AVERAGE((OFFSET(DB_LOAD!$K:$K,MATCH('Balance Sheet'!R9,DB_LOAD!$H:$H,0)-1,0,12,1))),1)</f>
        <v>#N/A</v>
      </c>
      <c r="S4" s="619" t="e">
        <f ca="1">IF('Balance Sheet'!$E$5="USD",AVERAGE((OFFSET(DB_LOAD!$K:$K,MATCH('Balance Sheet'!S9,DB_LOAD!$H:$H,0)-1,0,12,1))),1)</f>
        <v>#N/A</v>
      </c>
      <c r="T4" s="619" t="e">
        <f ca="1">IF('Balance Sheet'!$E$5="USD",AVERAGE((OFFSET(DB_LOAD!$K:$K,MATCH('Balance Sheet'!T9,DB_LOAD!$H:$H,0)-1,0,12,1))),1)</f>
        <v>#N/A</v>
      </c>
      <c r="U4" s="619" t="e">
        <f ca="1">IF('Balance Sheet'!$E$5="USD",AVERAGE((OFFSET(DB_LOAD!$K:$K,MATCH('Balance Sheet'!U9,DB_LOAD!$H:$H,0)-1,0,12,1))),1)</f>
        <v>#N/A</v>
      </c>
      <c r="V4" s="619" t="e">
        <f ca="1">IF('Balance Sheet'!$E$5="USD",AVERAGE((OFFSET(DB_LOAD!$K:$K,MATCH('Balance Sheet'!V9,DB_LOAD!$H:$H,0)-1,0,12,1))),1)</f>
        <v>#N/A</v>
      </c>
      <c r="W4" s="619" t="e">
        <f ca="1">IF('Balance Sheet'!$E$5="USD",AVERAGE((OFFSET(DB_LOAD!$K:$K,MATCH('Balance Sheet'!W9,DB_LOAD!$H:$H,0)-1,0,12,1))),1)</f>
        <v>#N/A</v>
      </c>
      <c r="X4" s="619" t="e">
        <f ca="1">IF('Balance Sheet'!$E$5="USD",AVERAGE((OFFSET(DB_LOAD!$K:$K,MATCH('Balance Sheet'!X9,DB_LOAD!$H:$H,0)-1,0,12,1))),1)</f>
        <v>#N/A</v>
      </c>
      <c r="Y4" s="619" t="e">
        <f ca="1">IF('Balance Sheet'!$E$5="USD",AVERAGE((OFFSET(DB_LOAD!$K:$K,MATCH('Balance Sheet'!Y9,DB_LOAD!$H:$H,0)-1,0,12,1))),1)</f>
        <v>#N/A</v>
      </c>
      <c r="Z4" s="619" t="e">
        <f ca="1">IF('Balance Sheet'!$E$5="USD",AVERAGE((OFFSET(DB_LOAD!$K:$K,MATCH('Balance Sheet'!Z9,DB_LOAD!$H:$H,0)-1,0,12,1))),1)</f>
        <v>#N/A</v>
      </c>
      <c r="AA4" s="619" t="e">
        <f ca="1">IF('Balance Sheet'!$E$5="USD",AVERAGE((OFFSET(DB_LOAD!$K:$K,MATCH('Balance Sheet'!AA9,DB_LOAD!$H:$H,0)-1,0,12,1))),1)</f>
        <v>#N/A</v>
      </c>
      <c r="AB4" s="619" t="e">
        <f ca="1">IF('Balance Sheet'!$E$5="USD",AVERAGE((OFFSET(DB_LOAD!$K:$K,MATCH('Balance Sheet'!AB9,DB_LOAD!$H:$H,0)-1,0,12,1))),1)</f>
        <v>#N/A</v>
      </c>
      <c r="AC4" s="619" t="e">
        <f ca="1">IF('Balance Sheet'!$E$5="USD",AVERAGE((OFFSET(DB_LOAD!$K:$K,MATCH('Balance Sheet'!AC9,DB_LOAD!$H:$H,0)-1,0,12,1))),1)</f>
        <v>#N/A</v>
      </c>
      <c r="AD4" s="619" t="e">
        <f ca="1">IF('Balance Sheet'!$E$5="USD",AVERAGE((OFFSET(DB_LOAD!$K:$K,MATCH('Balance Sheet'!AD9,DB_LOAD!$H:$H,0)-1,0,12,1))),1)</f>
        <v>#N/A</v>
      </c>
      <c r="AE4" s="619" t="e">
        <f ca="1">IF('Balance Sheet'!$E$5="USD",AVERAGE((OFFSET(DB_LOAD!$K:$K,MATCH('Balance Sheet'!AE9,DB_LOAD!$H:$H,0)-1,0,12,1))),1)</f>
        <v>#N/A</v>
      </c>
      <c r="AF4" s="619" t="e">
        <f ca="1">IF('Balance Sheet'!$E$5="USD",AVERAGE((OFFSET(DB_LOAD!$K:$K,MATCH('Balance Sheet'!AF9,DB_LOAD!$H:$H,0)-1,0,12,1))),1)</f>
        <v>#N/A</v>
      </c>
      <c r="AG4" s="619" t="e">
        <f ca="1">IF('Balance Sheet'!$E$5="USD",AVERAGE((OFFSET(DB_LOAD!$K:$K,MATCH('Balance Sheet'!AG9,DB_LOAD!$H:$H,0)-1,0,12,1))),1)</f>
        <v>#N/A</v>
      </c>
      <c r="AH4" s="619" t="e">
        <f ca="1">IF('Balance Sheet'!$E$5="USD",AVERAGE((OFFSET(DB_LOAD!$K:$K,MATCH('Balance Sheet'!AH9,DB_LOAD!$H:$H,0)-1,0,12,1))),1)</f>
        <v>#N/A</v>
      </c>
      <c r="AI4" s="619" t="e">
        <f ca="1">IF('Balance Sheet'!$E$5="USD",AVERAGE((OFFSET(DB_LOAD!$K:$K,MATCH('Balance Sheet'!AI9,DB_LOAD!$H:$H,0)-1,0,12,1))),1)</f>
        <v>#N/A</v>
      </c>
      <c r="AJ4" s="619" t="e">
        <f ca="1">IF('Balance Sheet'!$E$5="USD",AVERAGE((OFFSET(DB_LOAD!$K:$K,MATCH('Balance Sheet'!AJ9,DB_LOAD!$H:$H,0)-1,0,12,1))),1)</f>
        <v>#N/A</v>
      </c>
      <c r="AK4" s="619" t="e">
        <f ca="1">IF('Balance Sheet'!$E$5="USD",AVERAGE((OFFSET(DB_LOAD!$K:$K,MATCH('Balance Sheet'!AK9,DB_LOAD!$H:$H,0)-1,0,12,1))),1)</f>
        <v>#N/A</v>
      </c>
      <c r="AL4" s="619" t="e">
        <f ca="1">IF('Balance Sheet'!$E$5="USD",AVERAGE((OFFSET(DB_LOAD!$K:$K,MATCH('Balance Sheet'!AL9,DB_LOAD!$H:$H,0)-1,0,12,1))),1)</f>
        <v>#N/A</v>
      </c>
      <c r="AM4" s="619" t="e">
        <f ca="1">IF('Balance Sheet'!$E$5="USD",AVERAGE((OFFSET(DB_LOAD!$K:$K,MATCH('Balance Sheet'!AM9,DB_LOAD!$H:$H,0)-1,0,12,1))),1)</f>
        <v>#N/A</v>
      </c>
      <c r="AN4" s="619" t="e">
        <f ca="1">IF('Balance Sheet'!$E$5="USD",AVERAGE((OFFSET(DB_LOAD!$K:$K,MATCH('Balance Sheet'!AN9,DB_LOAD!$H:$H,0)-1,0,12,1))),1)</f>
        <v>#N/A</v>
      </c>
      <c r="AO4" s="619" t="e">
        <f ca="1">IF('Balance Sheet'!$E$5="USD",AVERAGE((OFFSET(DB_LOAD!$K:$K,MATCH('Balance Sheet'!AO9,DB_LOAD!$H:$H,0)-1,0,12,1))),1)</f>
        <v>#N/A</v>
      </c>
      <c r="AP4" s="619" t="e">
        <f ca="1">IF('Balance Sheet'!$E$5="USD",AVERAGE((OFFSET(DB_LOAD!$K:$K,MATCH('Balance Sheet'!AP9,DB_LOAD!$H:$H,0)-1,0,12,1))),1)</f>
        <v>#N/A</v>
      </c>
      <c r="AQ4" s="619" t="e">
        <f ca="1">IF('Balance Sheet'!$E$5="USD",AVERAGE((OFFSET(DB_LOAD!$K:$K,MATCH('Balance Sheet'!AQ9,DB_LOAD!$H:$H,0)-1,0,12,1))),1)</f>
        <v>#N/A</v>
      </c>
    </row>
    <row r="5" spans="1:44" ht="16.5" thickBot="1">
      <c r="A5" s="245" t="s">
        <v>441</v>
      </c>
      <c r="B5" s="245" t="s">
        <v>446</v>
      </c>
      <c r="C5" s="5"/>
      <c r="D5" s="620" t="s">
        <v>438</v>
      </c>
      <c r="E5" s="620" t="s">
        <v>439</v>
      </c>
      <c r="F5" s="5"/>
      <c r="G5" s="584" t="s">
        <v>444</v>
      </c>
      <c r="H5" s="619" t="e">
        <f ca="1">IF('Balance Sheet'!$E$5="USD",(OFFSET(DB_LOAD!$K:$K,MATCH('Balance Sheet'!H9,DB_LOAD!$H:$H,0)-1,0,1,1)),1)</f>
        <v>#N/A</v>
      </c>
      <c r="I5" s="619" t="e">
        <f ca="1">IF('Balance Sheet'!$E$5="USD",(OFFSET(DB_LOAD!$K:$K,MATCH('Balance Sheet'!I9,DB_LOAD!$H:$H,0)-1,0,1,1)),1)</f>
        <v>#N/A</v>
      </c>
      <c r="J5" s="619" t="e">
        <f ca="1">IF('Balance Sheet'!$E$5="USD",(OFFSET(DB_LOAD!$K:$K,MATCH('Balance Sheet'!J9,DB_LOAD!$H:$H,0)-1,0,1,1)),1)</f>
        <v>#N/A</v>
      </c>
      <c r="K5" s="619" t="e">
        <f ca="1">IF('Balance Sheet'!$E$5="USD",(OFFSET(DB_LOAD!$K:$K,MATCH('Balance Sheet'!K9,DB_LOAD!$H:$H,0)-1,0,1,1)),1)</f>
        <v>#N/A</v>
      </c>
      <c r="L5" s="619" t="e">
        <f ca="1">IF('Balance Sheet'!$E$5="USD",(OFFSET(DB_LOAD!$K:$K,MATCH('Balance Sheet'!L9,DB_LOAD!$H:$H,0)-1,0,1,1)),1)</f>
        <v>#N/A</v>
      </c>
      <c r="M5" s="619" t="e">
        <f ca="1">IF('Balance Sheet'!$E$5="USD",(OFFSET(DB_LOAD!$K:$K,MATCH('Balance Sheet'!M9,DB_LOAD!$H:$H,0)-1,0,1,1)),1)</f>
        <v>#N/A</v>
      </c>
      <c r="N5" s="619" t="e">
        <f ca="1">IF('Balance Sheet'!$E$5="USD",(OFFSET(DB_LOAD!$K:$K,MATCH('Balance Sheet'!N9,DB_LOAD!$H:$H,0)-1,0,1,1)),1)</f>
        <v>#N/A</v>
      </c>
      <c r="O5" s="619" t="e">
        <f ca="1">IF('Balance Sheet'!$E$5="USD",(OFFSET(DB_LOAD!$K:$K,MATCH('Balance Sheet'!O9,DB_LOAD!$H:$H,0)-1,0,1,1)),1)</f>
        <v>#N/A</v>
      </c>
      <c r="P5" s="619" t="e">
        <f ca="1">IF('Balance Sheet'!$E$5="USD",(OFFSET(DB_LOAD!$K:$K,MATCH('Balance Sheet'!P9,DB_LOAD!$H:$H,0)-1,0,1,1)),1)</f>
        <v>#N/A</v>
      </c>
      <c r="Q5" s="619" t="e">
        <f ca="1">IF('Balance Sheet'!$E$5="USD",(OFFSET(DB_LOAD!$K:$K,MATCH('Balance Sheet'!Q9,DB_LOAD!$H:$H,0)-1,0,1,1)),1)</f>
        <v>#N/A</v>
      </c>
      <c r="R5" s="619" t="e">
        <f ca="1">IF('Balance Sheet'!$E$5="USD",(OFFSET(DB_LOAD!$K:$K,MATCH('Balance Sheet'!R9,DB_LOAD!$H:$H,0)-1,0,1,1)),1)</f>
        <v>#N/A</v>
      </c>
      <c r="S5" s="619" t="e">
        <f ca="1">IF('Balance Sheet'!$E$5="USD",(OFFSET(DB_LOAD!$K:$K,MATCH('Balance Sheet'!S9,DB_LOAD!$H:$H,0)-1,0,1,1)),1)</f>
        <v>#N/A</v>
      </c>
      <c r="T5" s="619" t="e">
        <f ca="1">IF('Balance Sheet'!$E$5="USD",(OFFSET(DB_LOAD!$K:$K,MATCH('Balance Sheet'!T9,DB_LOAD!$H:$H,0)-1,0,1,1)),1)</f>
        <v>#N/A</v>
      </c>
      <c r="U5" s="619" t="e">
        <f ca="1">IF('Balance Sheet'!$E$5="USD",(OFFSET(DB_LOAD!$K:$K,MATCH('Balance Sheet'!U9,DB_LOAD!$H:$H,0)-1,0,1,1)),1)</f>
        <v>#N/A</v>
      </c>
      <c r="V5" s="619" t="e">
        <f ca="1">IF('Balance Sheet'!$E$5="USD",(OFFSET(DB_LOAD!$K:$K,MATCH('Balance Sheet'!V9,DB_LOAD!$H:$H,0)-1,0,1,1)),1)</f>
        <v>#N/A</v>
      </c>
      <c r="W5" s="619" t="e">
        <f ca="1">IF('Balance Sheet'!$E$5="USD",(OFFSET(DB_LOAD!$K:$K,MATCH('Balance Sheet'!W9,DB_LOAD!$H:$H,0)-1,0,1,1)),1)</f>
        <v>#N/A</v>
      </c>
      <c r="X5" s="619" t="e">
        <f ca="1">IF('Balance Sheet'!$E$5="USD",(OFFSET(DB_LOAD!$K:$K,MATCH('Balance Sheet'!X9,DB_LOAD!$H:$H,0)-1,0,1,1)),1)</f>
        <v>#N/A</v>
      </c>
      <c r="Y5" s="619" t="e">
        <f ca="1">IF('Balance Sheet'!$E$5="USD",(OFFSET(DB_LOAD!$K:$K,MATCH('Balance Sheet'!Y9,DB_LOAD!$H:$H,0)-1,0,1,1)),1)</f>
        <v>#N/A</v>
      </c>
      <c r="Z5" s="619" t="e">
        <f ca="1">IF('Balance Sheet'!$E$5="USD",(OFFSET(DB_LOAD!$K:$K,MATCH('Balance Sheet'!Z9,DB_LOAD!$H:$H,0)-1,0,1,1)),1)</f>
        <v>#N/A</v>
      </c>
      <c r="AA5" s="619" t="e">
        <f ca="1">IF('Balance Sheet'!$E$5="USD",(OFFSET(DB_LOAD!$K:$K,MATCH('Balance Sheet'!AA9,DB_LOAD!$H:$H,0)-1,0,1,1)),1)</f>
        <v>#N/A</v>
      </c>
      <c r="AB5" s="619" t="e">
        <f ca="1">IF('Balance Sheet'!$E$5="USD",(OFFSET(DB_LOAD!$K:$K,MATCH('Balance Sheet'!AB9,DB_LOAD!$H:$H,0)-1,0,1,1)),1)</f>
        <v>#N/A</v>
      </c>
      <c r="AC5" s="619" t="e">
        <f ca="1">IF('Balance Sheet'!$E$5="USD",(OFFSET(DB_LOAD!$K:$K,MATCH('Balance Sheet'!AC9,DB_LOAD!$H:$H,0)-1,0,1,1)),1)</f>
        <v>#N/A</v>
      </c>
      <c r="AD5" s="619" t="e">
        <f ca="1">IF('Balance Sheet'!$E$5="USD",(OFFSET(DB_LOAD!$K:$K,MATCH('Balance Sheet'!AD9,DB_LOAD!$H:$H,0)-1,0,1,1)),1)</f>
        <v>#N/A</v>
      </c>
      <c r="AE5" s="619" t="e">
        <f ca="1">IF('Balance Sheet'!$E$5="USD",(OFFSET(DB_LOAD!$K:$K,MATCH('Balance Sheet'!AE9,DB_LOAD!$H:$H,0)-1,0,1,1)),1)</f>
        <v>#N/A</v>
      </c>
      <c r="AF5" s="619" t="e">
        <f ca="1">IF('Balance Sheet'!$E$5="USD",(OFFSET(DB_LOAD!$K:$K,MATCH('Balance Sheet'!AF9,DB_LOAD!$H:$H,0)-1,0,1,1)),1)</f>
        <v>#N/A</v>
      </c>
      <c r="AG5" s="619" t="e">
        <f ca="1">IF('Balance Sheet'!$E$5="USD",(OFFSET(DB_LOAD!$K:$K,MATCH('Balance Sheet'!AG9,DB_LOAD!$H:$H,0)-1,0,1,1)),1)</f>
        <v>#N/A</v>
      </c>
      <c r="AH5" s="619" t="e">
        <f ca="1">IF('Balance Sheet'!$E$5="USD",(OFFSET(DB_LOAD!$K:$K,MATCH('Balance Sheet'!AH9,DB_LOAD!$H:$H,0)-1,0,1,1)),1)</f>
        <v>#N/A</v>
      </c>
      <c r="AI5" s="619" t="e">
        <f ca="1">IF('Balance Sheet'!$E$5="USD",(OFFSET(DB_LOAD!$K:$K,MATCH('Balance Sheet'!AI9,DB_LOAD!$H:$H,0)-1,0,1,1)),1)</f>
        <v>#N/A</v>
      </c>
      <c r="AJ5" s="619" t="e">
        <f ca="1">IF('Balance Sheet'!$E$5="USD",(OFFSET(DB_LOAD!$K:$K,MATCH('Balance Sheet'!AJ9,DB_LOAD!$H:$H,0)-1,0,1,1)),1)</f>
        <v>#N/A</v>
      </c>
      <c r="AK5" s="619" t="e">
        <f ca="1">IF('Balance Sheet'!$E$5="USD",(OFFSET(DB_LOAD!$K:$K,MATCH('Balance Sheet'!AK9,DB_LOAD!$H:$H,0)-1,0,1,1)),1)</f>
        <v>#N/A</v>
      </c>
      <c r="AL5" s="619" t="e">
        <f ca="1">IF('Balance Sheet'!$E$5="USD",(OFFSET(DB_LOAD!$K:$K,MATCH('Balance Sheet'!AL9,DB_LOAD!$H:$H,0)-1,0,1,1)),1)</f>
        <v>#N/A</v>
      </c>
      <c r="AM5" s="619" t="e">
        <f ca="1">IF('Balance Sheet'!$E$5="USD",(OFFSET(DB_LOAD!$K:$K,MATCH('Balance Sheet'!AM9,DB_LOAD!$H:$H,0)-1,0,1,1)),1)</f>
        <v>#N/A</v>
      </c>
      <c r="AN5" s="619" t="e">
        <f ca="1">IF('Balance Sheet'!$E$5="USD",(OFFSET(DB_LOAD!$K:$K,MATCH('Balance Sheet'!AN9,DB_LOAD!$H:$H,0)-1,0,1,1)),1)</f>
        <v>#N/A</v>
      </c>
      <c r="AO5" s="619" t="e">
        <f ca="1">IF('Balance Sheet'!$E$5="USD",(OFFSET(DB_LOAD!$K:$K,MATCH('Balance Sheet'!AO9,DB_LOAD!$H:$H,0)-1,0,1,1)),1)</f>
        <v>#N/A</v>
      </c>
      <c r="AP5" s="619" t="e">
        <f ca="1">IF('Balance Sheet'!$E$5="USD",(OFFSET(DB_LOAD!$K:$K,MATCH('Balance Sheet'!AP9,DB_LOAD!$H:$H,0)-1,0,1,1)),1)</f>
        <v>#N/A</v>
      </c>
      <c r="AQ5" s="619" t="e">
        <f ca="1">IF('Balance Sheet'!$E$5="USD",(OFFSET(DB_LOAD!$K:$K,MATCH('Balance Sheet'!AQ9,DB_LOAD!$H:$H,0)-1,0,1,1)),1)</f>
        <v>#N/A</v>
      </c>
    </row>
    <row r="6" spans="1:44" ht="16.5" thickBot="1">
      <c r="C6" s="588"/>
      <c r="D6" s="589">
        <v>4</v>
      </c>
      <c r="E6" s="589">
        <v>-2146826252</v>
      </c>
      <c r="F6" s="173" t="s">
        <v>298</v>
      </c>
      <c r="G6" s="232" t="s">
        <v>299</v>
      </c>
      <c r="H6" s="249" t="str">
        <f>DATA_FORMATTING!E7</f>
        <v/>
      </c>
      <c r="I6" s="249" t="str">
        <f>DATA_FORMATTING!F7</f>
        <v/>
      </c>
      <c r="J6" s="249" t="str">
        <f>DATA_FORMATTING!G7</f>
        <v/>
      </c>
      <c r="K6" s="249" t="str">
        <f>DATA_FORMATTING!H7</f>
        <v/>
      </c>
      <c r="L6" s="249" t="str">
        <f>DATA_FORMATTING!I7</f>
        <v/>
      </c>
      <c r="M6" s="249" t="str">
        <f>DATA_FORMATTING!J7</f>
        <v/>
      </c>
      <c r="N6" s="249" t="str">
        <f>DATA_FORMATTING!K7</f>
        <v/>
      </c>
      <c r="O6" s="249" t="str">
        <f>DATA_FORMATTING!L7</f>
        <v/>
      </c>
      <c r="P6" s="249" t="str">
        <f>DATA_FORMATTING!M7</f>
        <v/>
      </c>
      <c r="Q6" s="249" t="str">
        <f>DATA_FORMATTING!N7</f>
        <v/>
      </c>
      <c r="R6" s="249" t="str">
        <f>DATA_FORMATTING!O7</f>
        <v/>
      </c>
      <c r="S6" s="249" t="str">
        <f>DATA_FORMATTING!P7</f>
        <v/>
      </c>
      <c r="T6" s="249" t="str">
        <f>DATA_FORMATTING!Q7</f>
        <v/>
      </c>
      <c r="U6" s="249" t="str">
        <f>DATA_FORMATTING!R7</f>
        <v/>
      </c>
      <c r="V6" s="249" t="str">
        <f>DATA_FORMATTING!S7</f>
        <v/>
      </c>
      <c r="W6" s="249" t="str">
        <f>DATA_FORMATTING!T7</f>
        <v/>
      </c>
      <c r="X6" s="249" t="str">
        <f>DATA_FORMATTING!U7</f>
        <v/>
      </c>
      <c r="Y6" s="249" t="str">
        <f>DATA_FORMATTING!V7</f>
        <v/>
      </c>
      <c r="Z6" s="249" t="str">
        <f>DATA_FORMATTING!W7</f>
        <v/>
      </c>
      <c r="AA6" s="249" t="str">
        <f>DATA_FORMATTING!X7</f>
        <v/>
      </c>
      <c r="AB6" s="249" t="str">
        <f>DATA_FORMATTING!Y7</f>
        <v/>
      </c>
      <c r="AC6" s="249" t="str">
        <f>DATA_FORMATTING!Z7</f>
        <v/>
      </c>
      <c r="AD6" s="249" t="str">
        <f>DATA_FORMATTING!AA7</f>
        <v/>
      </c>
      <c r="AE6" s="249" t="str">
        <f>DATA_FORMATTING!AB7</f>
        <v/>
      </c>
      <c r="AF6" s="249" t="str">
        <f>DATA_FORMATTING!AC7</f>
        <v/>
      </c>
      <c r="AG6" s="249" t="str">
        <f>DATA_FORMATTING!AD7</f>
        <v/>
      </c>
      <c r="AH6" s="249" t="str">
        <f>DATA_FORMATTING!AE7</f>
        <v/>
      </c>
      <c r="AI6" s="249" t="str">
        <f>DATA_FORMATTING!AF7</f>
        <v/>
      </c>
      <c r="AJ6" s="249" t="str">
        <f>DATA_FORMATTING!AG7</f>
        <v/>
      </c>
      <c r="AK6" s="249" t="str">
        <f>DATA_FORMATTING!AH7</f>
        <v/>
      </c>
      <c r="AL6" s="249" t="str">
        <f>DATA_FORMATTING!AI7</f>
        <v/>
      </c>
      <c r="AM6" s="249" t="str">
        <f>DATA_FORMATTING!AJ7</f>
        <v/>
      </c>
      <c r="AN6" s="249" t="str">
        <f>DATA_FORMATTING!AK7</f>
        <v/>
      </c>
      <c r="AO6" s="249" t="str">
        <f>DATA_FORMATTING!AL7</f>
        <v/>
      </c>
      <c r="AP6" s="249" t="str">
        <f>DATA_FORMATTING!AM7</f>
        <v/>
      </c>
      <c r="AQ6" s="250">
        <f>DATA_FORMATTING!AN7</f>
        <v>4</v>
      </c>
    </row>
    <row r="7" spans="1:44">
      <c r="C7" s="590"/>
      <c r="D7" s="591"/>
      <c r="E7" s="591"/>
      <c r="F7" s="591"/>
      <c r="G7" s="591"/>
      <c r="H7" s="251" t="e">
        <f t="shared" ref="H7:AQ7" si="0">IF(H2=YEAR(H6),"Audited","")</f>
        <v>#NAME?</v>
      </c>
      <c r="I7" s="252" t="e">
        <f t="shared" si="0"/>
        <v>#NAME?</v>
      </c>
      <c r="J7" s="252" t="e">
        <f t="shared" si="0"/>
        <v>#NAME?</v>
      </c>
      <c r="K7" s="252" t="e">
        <f t="shared" si="0"/>
        <v>#NAME?</v>
      </c>
      <c r="L7" s="253" t="e">
        <f t="shared" si="0"/>
        <v>#NAME?</v>
      </c>
      <c r="M7" s="252" t="e">
        <f t="shared" si="0"/>
        <v>#NAME?</v>
      </c>
      <c r="N7" s="252" t="e">
        <f t="shared" si="0"/>
        <v>#NAME?</v>
      </c>
      <c r="O7" s="252" t="e">
        <f t="shared" si="0"/>
        <v>#NAME?</v>
      </c>
      <c r="P7" s="252" t="e">
        <f t="shared" si="0"/>
        <v>#NAME?</v>
      </c>
      <c r="Q7" s="253" t="e">
        <f t="shared" si="0"/>
        <v>#NAME?</v>
      </c>
      <c r="R7" s="252" t="e">
        <f t="shared" si="0"/>
        <v>#NAME?</v>
      </c>
      <c r="S7" s="252" t="e">
        <f t="shared" si="0"/>
        <v>#NAME?</v>
      </c>
      <c r="T7" s="252" t="e">
        <f t="shared" si="0"/>
        <v>#NAME?</v>
      </c>
      <c r="U7" s="252" t="e">
        <f t="shared" si="0"/>
        <v>#NAME?</v>
      </c>
      <c r="V7" s="252" t="e">
        <f t="shared" si="0"/>
        <v>#NAME?</v>
      </c>
      <c r="W7" s="252" t="e">
        <f t="shared" si="0"/>
        <v>#NAME?</v>
      </c>
      <c r="X7" s="252" t="e">
        <f t="shared" si="0"/>
        <v>#NAME?</v>
      </c>
      <c r="Y7" s="252" t="e">
        <f t="shared" si="0"/>
        <v>#NAME?</v>
      </c>
      <c r="Z7" s="252" t="e">
        <f t="shared" si="0"/>
        <v>#NAME?</v>
      </c>
      <c r="AA7" s="252" t="e">
        <f t="shared" si="0"/>
        <v>#NAME?</v>
      </c>
      <c r="AB7" s="252" t="e">
        <f t="shared" si="0"/>
        <v>#NAME?</v>
      </c>
      <c r="AC7" s="252" t="e">
        <f t="shared" si="0"/>
        <v>#NAME?</v>
      </c>
      <c r="AD7" s="252" t="e">
        <f t="shared" si="0"/>
        <v>#NAME?</v>
      </c>
      <c r="AE7" s="252" t="e">
        <f t="shared" si="0"/>
        <v>#NAME?</v>
      </c>
      <c r="AF7" s="252" t="e">
        <f t="shared" si="0"/>
        <v>#NAME?</v>
      </c>
      <c r="AG7" s="252" t="e">
        <f t="shared" si="0"/>
        <v>#NAME?</v>
      </c>
      <c r="AH7" s="252" t="e">
        <f t="shared" si="0"/>
        <v>#NAME?</v>
      </c>
      <c r="AI7" s="252" t="e">
        <f t="shared" si="0"/>
        <v>#NAME?</v>
      </c>
      <c r="AJ7" s="252" t="e">
        <f t="shared" si="0"/>
        <v>#NAME?</v>
      </c>
      <c r="AK7" s="252" t="e">
        <f t="shared" si="0"/>
        <v>#NAME?</v>
      </c>
      <c r="AL7" s="252" t="e">
        <f t="shared" si="0"/>
        <v>#NAME?</v>
      </c>
      <c r="AM7" s="252" t="e">
        <f t="shared" si="0"/>
        <v>#NAME?</v>
      </c>
      <c r="AN7" s="252" t="e">
        <f t="shared" si="0"/>
        <v>#NAME?</v>
      </c>
      <c r="AO7" s="252" t="e">
        <f t="shared" si="0"/>
        <v>#NAME?</v>
      </c>
      <c r="AP7" s="252" t="e">
        <f t="shared" si="0"/>
        <v>#NAME?</v>
      </c>
      <c r="AQ7" s="254" t="e">
        <f t="shared" si="0"/>
        <v>#NAME?</v>
      </c>
    </row>
    <row r="8" spans="1:44" ht="15.75">
      <c r="B8" s="245" t="str">
        <f>DATA_FORMATTING!AX11</f>
        <v>Loan Loss Provision Expense</v>
      </c>
      <c r="C8" s="592" t="s">
        <v>300</v>
      </c>
      <c r="D8" s="236" t="e">
        <f t="shared" ref="D8:E12" ca="1" si="1">HLOOKUP(D$6,IS,(ROW($C8)-ROW($C$6)+1),FALSE)</f>
        <v>#NAME?</v>
      </c>
      <c r="E8" s="183" t="e">
        <f t="shared" si="1"/>
        <v>#N/A</v>
      </c>
      <c r="F8" s="183" t="e">
        <f ca="1">+E8-D8</f>
        <v>#N/A</v>
      </c>
      <c r="G8" s="184">
        <f ca="1">IFERROR(E8/D8-1,0)</f>
        <v>0</v>
      </c>
      <c r="H8" s="255" t="e">
        <f ca="1">IF($E$3="YTD",DATA_FORMATTING!AY123/H$5,IF($E$3="MONTHLY",DATA_FORMATTING!AY154/'Balance Sheet'!H$8,IF($E$3="QUARTERLY",DATA_FORMATTING!AY218/H$3,DATA_FORMATTING!AY186/'Income Statement'!H$4)))</f>
        <v>#NAME?</v>
      </c>
      <c r="I8" s="255" t="e">
        <f ca="1">IF($E$3="YTD",DATA_FORMATTING!AZ123/I$5,IF($E$3="MONTHLY",DATA_FORMATTING!AZ154/'Balance Sheet'!I$8,IF($E$3="QUARTERLY",DATA_FORMATTING!AZ218/I$3,DATA_FORMATTING!AZ186/'Income Statement'!I$4)))</f>
        <v>#NAME?</v>
      </c>
      <c r="J8" s="255" t="e">
        <f ca="1">IF($E$3="YTD",DATA_FORMATTING!BA123/J$5,IF($E$3="MONTHLY",DATA_FORMATTING!BA154/'Balance Sheet'!J$8,IF($E$3="QUARTERLY",DATA_FORMATTING!BA218/J$3,DATA_FORMATTING!BA186/'Income Statement'!J$4)))</f>
        <v>#NAME?</v>
      </c>
      <c r="K8" s="255" t="e">
        <f ca="1">IF($E$3="YTD",DATA_FORMATTING!BB123/K$5,IF($E$3="MONTHLY",DATA_FORMATTING!BB154/'Balance Sheet'!K$8,IF($E$3="QUARTERLY",DATA_FORMATTING!BB218/K$3,DATA_FORMATTING!BB186/'Income Statement'!K$4)))</f>
        <v>#NAME?</v>
      </c>
      <c r="L8" s="255" t="e">
        <f ca="1">IF($E$3="YTD",DATA_FORMATTING!BC123/L$5,IF($E$3="MONTHLY",DATA_FORMATTING!BC154/'Balance Sheet'!L$8,IF($E$3="QUARTERLY",DATA_FORMATTING!BC218/L$3,DATA_FORMATTING!BC186/'Income Statement'!L$4)))</f>
        <v>#NAME?</v>
      </c>
      <c r="M8" s="255" t="e">
        <f ca="1">IF($E$3="YTD",DATA_FORMATTING!BD123/M$5,IF($E$3="MONTHLY",DATA_FORMATTING!BD154/'Balance Sheet'!M$8,IF($E$3="QUARTERLY",DATA_FORMATTING!BD218/M$3,DATA_FORMATTING!BD186/'Income Statement'!M$4)))</f>
        <v>#NAME?</v>
      </c>
      <c r="N8" s="255" t="e">
        <f ca="1">IF($E$3="YTD",DATA_FORMATTING!BE123/N$5,IF($E$3="MONTHLY",DATA_FORMATTING!BE154/'Balance Sheet'!N$8,IF($E$3="QUARTERLY",DATA_FORMATTING!BE218/N$3,DATA_FORMATTING!BE186/'Income Statement'!N$4)))</f>
        <v>#NAME?</v>
      </c>
      <c r="O8" s="255" t="e">
        <f ca="1">IF($E$3="YTD",DATA_FORMATTING!BF123/O$5,IF($E$3="MONTHLY",DATA_FORMATTING!BF154/'Balance Sheet'!O$8,IF($E$3="QUARTERLY",DATA_FORMATTING!BF218/O$3,DATA_FORMATTING!BF186/'Income Statement'!O$4)))</f>
        <v>#NAME?</v>
      </c>
      <c r="P8" s="255" t="e">
        <f ca="1">IF($E$3="YTD",DATA_FORMATTING!BG123/P$5,IF($E$3="MONTHLY",DATA_FORMATTING!BG154/'Balance Sheet'!P$8,IF($E$3="QUARTERLY",DATA_FORMATTING!BG218/P$3,DATA_FORMATTING!BG186/'Income Statement'!P$4)))</f>
        <v>#NAME?</v>
      </c>
      <c r="Q8" s="255" t="e">
        <f ca="1">IF($E$3="YTD",DATA_FORMATTING!BH123/Q$5,IF($E$3="MONTHLY",DATA_FORMATTING!BH154/'Balance Sheet'!Q$8,IF($E$3="QUARTERLY",DATA_FORMATTING!BH218/Q$3,DATA_FORMATTING!BH186/'Income Statement'!Q$4)))</f>
        <v>#NAME?</v>
      </c>
      <c r="R8" s="255" t="e">
        <f ca="1">IF($E$3="YTD",DATA_FORMATTING!BI123/R$5,IF($E$3="MONTHLY",DATA_FORMATTING!BI154/'Balance Sheet'!R$8,IF($E$3="QUARTERLY",DATA_FORMATTING!BI218/R$3,DATA_FORMATTING!BI186/'Income Statement'!R$4)))</f>
        <v>#NAME?</v>
      </c>
      <c r="S8" s="255" t="e">
        <f ca="1">IF($E$3="YTD",DATA_FORMATTING!BJ123/S$5,IF($E$3="MONTHLY",DATA_FORMATTING!BJ154/'Balance Sheet'!S$8,IF($E$3="QUARTERLY",DATA_FORMATTING!BJ218/S$3,DATA_FORMATTING!BJ186/'Income Statement'!S$4)))</f>
        <v>#NAME?</v>
      </c>
      <c r="T8" s="255" t="e">
        <f ca="1">IF($E$3="YTD",DATA_FORMATTING!BK123/T$5,IF($E$3="MONTHLY",DATA_FORMATTING!BK154/'Balance Sheet'!T$8,IF($E$3="QUARTERLY",DATA_FORMATTING!BK218/T$3,DATA_FORMATTING!BK186/'Income Statement'!T$4)))</f>
        <v>#NAME?</v>
      </c>
      <c r="U8" s="255" t="e">
        <f ca="1">IF($E$3="YTD",DATA_FORMATTING!BL123/U$5,IF($E$3="MONTHLY",DATA_FORMATTING!BL154/'Balance Sheet'!U$8,IF($E$3="QUARTERLY",DATA_FORMATTING!BL218/U$3,DATA_FORMATTING!BL186/'Income Statement'!U$4)))</f>
        <v>#NAME?</v>
      </c>
      <c r="V8" s="255" t="e">
        <f ca="1">IF($E$3="YTD",DATA_FORMATTING!BM123/V$5,IF($E$3="MONTHLY",DATA_FORMATTING!BM154/'Balance Sheet'!V$8,IF($E$3="QUARTERLY",DATA_FORMATTING!BM218/V$3,DATA_FORMATTING!BM186/'Income Statement'!V$4)))</f>
        <v>#NAME?</v>
      </c>
      <c r="W8" s="255" t="e">
        <f ca="1">IF($E$3="YTD",DATA_FORMATTING!BN123/W$5,IF($E$3="MONTHLY",DATA_FORMATTING!BN154/'Balance Sheet'!W$8,IF($E$3="QUARTERLY",DATA_FORMATTING!BN218/W$3,DATA_FORMATTING!BN186/'Income Statement'!W$4)))</f>
        <v>#NAME?</v>
      </c>
      <c r="X8" s="255" t="e">
        <f ca="1">IF($E$3="YTD",DATA_FORMATTING!BO123/X$5,IF($E$3="MONTHLY",DATA_FORMATTING!BO154/'Balance Sheet'!X$8,IF($E$3="QUARTERLY",DATA_FORMATTING!BO218/X$3,DATA_FORMATTING!BO186/'Income Statement'!X$4)))</f>
        <v>#NAME?</v>
      </c>
      <c r="Y8" s="255" t="e">
        <f ca="1">IF($E$3="YTD",DATA_FORMATTING!BP123/Y$5,IF($E$3="MONTHLY",DATA_FORMATTING!BP154/'Balance Sheet'!Y$8,IF($E$3="QUARTERLY",DATA_FORMATTING!BP218/Y$3,DATA_FORMATTING!BP186/'Income Statement'!Y$4)))</f>
        <v>#NAME?</v>
      </c>
      <c r="Z8" s="255" t="e">
        <f ca="1">IF($E$3="YTD",DATA_FORMATTING!BQ123/Z$5,IF($E$3="MONTHLY",DATA_FORMATTING!BQ154/'Balance Sheet'!Z$8,IF($E$3="QUARTERLY",DATA_FORMATTING!BQ218/Z$3,DATA_FORMATTING!BQ186/'Income Statement'!Z$4)))</f>
        <v>#NAME?</v>
      </c>
      <c r="AA8" s="255" t="e">
        <f ca="1">IF($E$3="YTD",DATA_FORMATTING!BR123/AA$5,IF($E$3="MONTHLY",DATA_FORMATTING!BR154/'Balance Sheet'!AA$8,IF($E$3="QUARTERLY",DATA_FORMATTING!BR218/AA$3,DATA_FORMATTING!BR186/'Income Statement'!AA$4)))</f>
        <v>#NAME?</v>
      </c>
      <c r="AB8" s="255" t="e">
        <f ca="1">IF($E$3="YTD",DATA_FORMATTING!BS123/AB$5,IF($E$3="MONTHLY",DATA_FORMATTING!BS154/'Balance Sheet'!AB$8,IF($E$3="QUARTERLY",DATA_FORMATTING!BS218/AB$3,DATA_FORMATTING!BS186/'Income Statement'!AB$4)))</f>
        <v>#NAME?</v>
      </c>
      <c r="AC8" s="255" t="e">
        <f ca="1">IF($E$3="YTD",DATA_FORMATTING!BT123/AC$5,IF($E$3="MONTHLY",DATA_FORMATTING!BT154/'Balance Sheet'!AC$8,IF($E$3="QUARTERLY",DATA_FORMATTING!BT218/AC$3,DATA_FORMATTING!BT186/'Income Statement'!AC$4)))</f>
        <v>#NAME?</v>
      </c>
      <c r="AD8" s="255" t="e">
        <f ca="1">IF($E$3="YTD",DATA_FORMATTING!BU123/AD$5,IF($E$3="MONTHLY",DATA_FORMATTING!BU154/'Balance Sheet'!AD$8,IF($E$3="QUARTERLY",DATA_FORMATTING!BU218/AD$3,DATA_FORMATTING!BU186/'Income Statement'!AD$4)))</f>
        <v>#NAME?</v>
      </c>
      <c r="AE8" s="255" t="e">
        <f ca="1">IF($E$3="YTD",DATA_FORMATTING!BV123/AE$5,IF($E$3="MONTHLY",DATA_FORMATTING!BV154/'Balance Sheet'!AE$8,IF($E$3="QUARTERLY",DATA_FORMATTING!BV218/AE$3,DATA_FORMATTING!BV186/'Income Statement'!AE$4)))</f>
        <v>#NAME?</v>
      </c>
      <c r="AF8" s="255" t="e">
        <f ca="1">IF($E$3="YTD",DATA_FORMATTING!BW123/AF$5,IF($E$3="MONTHLY",DATA_FORMATTING!BW154/'Balance Sheet'!AF$8,IF($E$3="QUARTERLY",DATA_FORMATTING!BW218/AF$3,DATA_FORMATTING!BW186/'Income Statement'!AF$4)))</f>
        <v>#NAME?</v>
      </c>
      <c r="AG8" s="255" t="e">
        <f ca="1">IF($E$3="YTD",DATA_FORMATTING!BX123/AG$5,IF($E$3="MONTHLY",DATA_FORMATTING!BX154/'Balance Sheet'!AG$8,IF($E$3="QUARTERLY",DATA_FORMATTING!BX218/AG$3,DATA_FORMATTING!BX186/'Income Statement'!AG$4)))</f>
        <v>#NAME?</v>
      </c>
      <c r="AH8" s="255" t="e">
        <f ca="1">IF($E$3="YTD",DATA_FORMATTING!BY123/AH$5,IF($E$3="MONTHLY",DATA_FORMATTING!BY154/'Balance Sheet'!AH$8,IF($E$3="QUARTERLY",DATA_FORMATTING!BY218/AH$3,DATA_FORMATTING!BY186/'Income Statement'!AH$4)))</f>
        <v>#NAME?</v>
      </c>
      <c r="AI8" s="255" t="e">
        <f ca="1">IF($E$3="YTD",DATA_FORMATTING!BZ123/AI$5,IF($E$3="MONTHLY",DATA_FORMATTING!BZ154/'Balance Sheet'!AI$8,IF($E$3="QUARTERLY",DATA_FORMATTING!BZ218/AI$3,DATA_FORMATTING!BZ186/'Income Statement'!AI$4)))</f>
        <v>#NAME?</v>
      </c>
      <c r="AJ8" s="255" t="e">
        <f ca="1">IF($E$3="YTD",DATA_FORMATTING!CA123/AJ$5,IF($E$3="MONTHLY",DATA_FORMATTING!CA154/'Balance Sheet'!AJ$8,IF($E$3="QUARTERLY",DATA_FORMATTING!CA218/AJ$3,DATA_FORMATTING!CA186/'Income Statement'!AJ$4)))</f>
        <v>#NAME?</v>
      </c>
      <c r="AK8" s="255" t="e">
        <f ca="1">IF($E$3="YTD",DATA_FORMATTING!CB123/AK$5,IF($E$3="MONTHLY",DATA_FORMATTING!CB154/'Balance Sheet'!AK$8,IF($E$3="QUARTERLY",DATA_FORMATTING!CB218/AK$3,DATA_FORMATTING!CB186/'Income Statement'!AK$4)))</f>
        <v>#NAME?</v>
      </c>
      <c r="AL8" s="255" t="e">
        <f ca="1">IF($E$3="YTD",DATA_FORMATTING!CC123/AL$5,IF($E$3="MONTHLY",DATA_FORMATTING!CC154/'Balance Sheet'!AL$8,IF($E$3="QUARTERLY",DATA_FORMATTING!CC218/AL$3,DATA_FORMATTING!CC186/'Income Statement'!AL$4)))</f>
        <v>#NAME?</v>
      </c>
      <c r="AM8" s="255" t="e">
        <f ca="1">IF($E$3="YTD",DATA_FORMATTING!CD123/AM$5,IF($E$3="MONTHLY",DATA_FORMATTING!CD154/'Balance Sheet'!AM$8,IF($E$3="QUARTERLY",DATA_FORMATTING!CD218/AM$3,DATA_FORMATTING!CD186/'Income Statement'!AM$4)))</f>
        <v>#NAME?</v>
      </c>
      <c r="AN8" s="255" t="e">
        <f ca="1">IF($E$3="YTD",DATA_FORMATTING!CE123/AN$5,IF($E$3="MONTHLY",DATA_FORMATTING!CE154/'Balance Sheet'!AN$8,IF($E$3="QUARTERLY",DATA_FORMATTING!CE218/AN$3,DATA_FORMATTING!CE186/'Income Statement'!AN$4)))</f>
        <v>#NAME?</v>
      </c>
      <c r="AO8" s="255" t="e">
        <f ca="1">IF($E$3="YTD",DATA_FORMATTING!CF123/AO$5,IF($E$3="MONTHLY",DATA_FORMATTING!CF154/'Balance Sheet'!AO$8,IF($E$3="QUARTERLY",DATA_FORMATTING!CF218/AO$3,DATA_FORMATTING!CF186/'Income Statement'!AO$4)))</f>
        <v>#NAME?</v>
      </c>
      <c r="AP8" s="255" t="e">
        <f ca="1">IF($E$3="YTD",DATA_FORMATTING!CG123/AP$5,IF($E$3="MONTHLY",DATA_FORMATTING!CG154/'Balance Sheet'!AP$8,IF($E$3="QUARTERLY",DATA_FORMATTING!CG218/AP$3,DATA_FORMATTING!CG186/'Income Statement'!AP$4)))</f>
        <v>#NAME?</v>
      </c>
      <c r="AQ8" s="256" t="e">
        <f ca="1">IF($E$3="YTD",DATA_FORMATTING!CH123/AQ$5,IF($E$3="MONTHLY",DATA_FORMATTING!CH154/'Balance Sheet'!AQ$8,IF($E$3="QUARTERLY",DATA_FORMATTING!CH218/AQ$3,DATA_FORMATTING!CH186/'Income Statement'!AQ$4)))</f>
        <v>#NAME?</v>
      </c>
    </row>
    <row r="9" spans="1:44" ht="15.75">
      <c r="B9" s="245" t="str">
        <f>DATA_FORMATTING!AX12</f>
        <v>Net Financial Income</v>
      </c>
      <c r="C9" s="593" t="s">
        <v>67</v>
      </c>
      <c r="D9" s="236" t="e">
        <f t="shared" ca="1" si="1"/>
        <v>#NAME?</v>
      </c>
      <c r="E9" s="183" t="e">
        <f t="shared" si="1"/>
        <v>#N/A</v>
      </c>
      <c r="F9" s="183" t="e">
        <f ca="1">+E9-D9</f>
        <v>#N/A</v>
      </c>
      <c r="G9" s="184">
        <f t="shared" ref="G9:G34" ca="1" si="2">IFERROR(E9/D9-1,0)</f>
        <v>0</v>
      </c>
      <c r="H9" s="51" t="e">
        <f ca="1">IF($E$3="YTD",DATA_FORMATTING!AY124/H$5,IF($E$3="MONTHLY",DATA_FORMATTING!AY155/'Balance Sheet'!H$8,IF($E$3="QUARTERLY",DATA_FORMATTING!AY219/H$3,DATA_FORMATTING!AY187/'Income Statement'!H$4)))</f>
        <v>#NAME?</v>
      </c>
      <c r="I9" s="51" t="e">
        <f ca="1">IF($E$3="YTD",DATA_FORMATTING!AZ124/I$5,IF($E$3="MONTHLY",DATA_FORMATTING!AZ155/'Balance Sheet'!I$8,IF($E$3="QUARTERLY",DATA_FORMATTING!AZ219/I$3,DATA_FORMATTING!AZ187/'Income Statement'!I$4)))</f>
        <v>#NAME?</v>
      </c>
      <c r="J9" s="51" t="e">
        <f ca="1">IF($E$3="YTD",DATA_FORMATTING!BA124/J$5,IF($E$3="MONTHLY",DATA_FORMATTING!BA155/'Balance Sheet'!J$8,IF($E$3="QUARTERLY",DATA_FORMATTING!BA219/J$3,DATA_FORMATTING!BA187/'Income Statement'!J$4)))</f>
        <v>#NAME?</v>
      </c>
      <c r="K9" s="51" t="e">
        <f ca="1">IF($E$3="YTD",DATA_FORMATTING!BB124/K$5,IF($E$3="MONTHLY",DATA_FORMATTING!BB155/'Balance Sheet'!K$8,IF($E$3="QUARTERLY",DATA_FORMATTING!BB219/K$3,DATA_FORMATTING!BB187/'Income Statement'!K$4)))</f>
        <v>#NAME?</v>
      </c>
      <c r="L9" s="51" t="e">
        <f ca="1">IF($E$3="YTD",DATA_FORMATTING!BC124/L$5,IF($E$3="MONTHLY",DATA_FORMATTING!BC155/'Balance Sheet'!L$8,IF($E$3="QUARTERLY",DATA_FORMATTING!BC219/L$3,DATA_FORMATTING!BC187/'Income Statement'!L$4)))</f>
        <v>#NAME?</v>
      </c>
      <c r="M9" s="51" t="e">
        <f ca="1">IF($E$3="YTD",DATA_FORMATTING!BD124/M$5,IF($E$3="MONTHLY",DATA_FORMATTING!BD155/'Balance Sheet'!M$8,IF($E$3="QUARTERLY",DATA_FORMATTING!BD219/M$3,DATA_FORMATTING!BD187/'Income Statement'!M$4)))</f>
        <v>#NAME?</v>
      </c>
      <c r="N9" s="51" t="e">
        <f ca="1">IF($E$3="YTD",DATA_FORMATTING!BE124/N$5,IF($E$3="MONTHLY",DATA_FORMATTING!BE155/'Balance Sheet'!N$8,IF($E$3="QUARTERLY",DATA_FORMATTING!BE219/N$3,DATA_FORMATTING!BE187/'Income Statement'!N$4)))</f>
        <v>#NAME?</v>
      </c>
      <c r="O9" s="51" t="e">
        <f ca="1">IF($E$3="YTD",DATA_FORMATTING!BF124/O$5,IF($E$3="MONTHLY",DATA_FORMATTING!BF155/'Balance Sheet'!O$8,IF($E$3="QUARTERLY",DATA_FORMATTING!BF219/O$3,DATA_FORMATTING!BF187/'Income Statement'!O$4)))</f>
        <v>#NAME?</v>
      </c>
      <c r="P9" s="51" t="e">
        <f ca="1">IF($E$3="YTD",DATA_FORMATTING!BG124/P$5,IF($E$3="MONTHLY",DATA_FORMATTING!BG155/'Balance Sheet'!P$8,IF($E$3="QUARTERLY",DATA_FORMATTING!BG219/P$3,DATA_FORMATTING!BG187/'Income Statement'!P$4)))</f>
        <v>#NAME?</v>
      </c>
      <c r="Q9" s="51" t="e">
        <f ca="1">IF($E$3="YTD",DATA_FORMATTING!BH124/Q$5,IF($E$3="MONTHLY",DATA_FORMATTING!BH155/'Balance Sheet'!Q$8,IF($E$3="QUARTERLY",DATA_FORMATTING!BH219/Q$3,DATA_FORMATTING!BH187/'Income Statement'!Q$4)))</f>
        <v>#NAME?</v>
      </c>
      <c r="R9" s="51" t="e">
        <f ca="1">IF($E$3="YTD",DATA_FORMATTING!BI124/R$5,IF($E$3="MONTHLY",DATA_FORMATTING!BI155/'Balance Sheet'!R$8,IF($E$3="QUARTERLY",DATA_FORMATTING!BI219/R$3,DATA_FORMATTING!BI187/'Income Statement'!R$4)))</f>
        <v>#NAME?</v>
      </c>
      <c r="S9" s="51" t="e">
        <f ca="1">IF($E$3="YTD",DATA_FORMATTING!BJ124/S$5,IF($E$3="MONTHLY",DATA_FORMATTING!BJ155/'Balance Sheet'!S$8,IF($E$3="QUARTERLY",DATA_FORMATTING!BJ219/S$3,DATA_FORMATTING!BJ187/'Income Statement'!S$4)))</f>
        <v>#NAME?</v>
      </c>
      <c r="T9" s="51" t="e">
        <f ca="1">IF($E$3="YTD",DATA_FORMATTING!BK124/T$5,IF($E$3="MONTHLY",DATA_FORMATTING!BK155/'Balance Sheet'!T$8,IF($E$3="QUARTERLY",DATA_FORMATTING!BK219/T$3,DATA_FORMATTING!BK187/'Income Statement'!T$4)))</f>
        <v>#NAME?</v>
      </c>
      <c r="U9" s="51" t="e">
        <f ca="1">IF($E$3="YTD",DATA_FORMATTING!BL124/U$5,IF($E$3="MONTHLY",DATA_FORMATTING!BL155/'Balance Sheet'!U$8,IF($E$3="QUARTERLY",DATA_FORMATTING!BL219/U$3,DATA_FORMATTING!BL187/'Income Statement'!U$4)))</f>
        <v>#NAME?</v>
      </c>
      <c r="V9" s="51" t="e">
        <f ca="1">IF($E$3="YTD",DATA_FORMATTING!BM124/V$5,IF($E$3="MONTHLY",DATA_FORMATTING!BM155/'Balance Sheet'!V$8,IF($E$3="QUARTERLY",DATA_FORMATTING!BM219/V$3,DATA_FORMATTING!BM187/'Income Statement'!V$4)))</f>
        <v>#NAME?</v>
      </c>
      <c r="W9" s="51" t="e">
        <f ca="1">IF($E$3="YTD",DATA_FORMATTING!BN124/W$5,IF($E$3="MONTHLY",DATA_FORMATTING!BN155/'Balance Sheet'!W$8,IF($E$3="QUARTERLY",DATA_FORMATTING!BN219/W$3,DATA_FORMATTING!BN187/'Income Statement'!W$4)))</f>
        <v>#NAME?</v>
      </c>
      <c r="X9" s="51" t="e">
        <f ca="1">IF($E$3="YTD",DATA_FORMATTING!BO124/X$5,IF($E$3="MONTHLY",DATA_FORMATTING!BO155/'Balance Sheet'!X$8,IF($E$3="QUARTERLY",DATA_FORMATTING!BO219/X$3,DATA_FORMATTING!BO187/'Income Statement'!X$4)))</f>
        <v>#NAME?</v>
      </c>
      <c r="Y9" s="51" t="e">
        <f ca="1">IF($E$3="YTD",DATA_FORMATTING!BP124/Y$5,IF($E$3="MONTHLY",DATA_FORMATTING!BP155/'Balance Sheet'!Y$8,IF($E$3="QUARTERLY",DATA_FORMATTING!BP219/Y$3,DATA_FORMATTING!BP187/'Income Statement'!Y$4)))</f>
        <v>#NAME?</v>
      </c>
      <c r="Z9" s="51" t="e">
        <f ca="1">IF($E$3="YTD",DATA_FORMATTING!BQ124/Z$5,IF($E$3="MONTHLY",DATA_FORMATTING!BQ155/'Balance Sheet'!Z$8,IF($E$3="QUARTERLY",DATA_FORMATTING!BQ219/Z$3,DATA_FORMATTING!BQ187/'Income Statement'!Z$4)))</f>
        <v>#NAME?</v>
      </c>
      <c r="AA9" s="51" t="e">
        <f ca="1">IF($E$3="YTD",DATA_FORMATTING!BR124/AA$5,IF($E$3="MONTHLY",DATA_FORMATTING!BR155/'Balance Sheet'!AA$8,IF($E$3="QUARTERLY",DATA_FORMATTING!BR219/AA$3,DATA_FORMATTING!BR187/'Income Statement'!AA$4)))</f>
        <v>#NAME?</v>
      </c>
      <c r="AB9" s="51" t="e">
        <f ca="1">IF($E$3="YTD",DATA_FORMATTING!BS124/AB$5,IF($E$3="MONTHLY",DATA_FORMATTING!BS155/'Balance Sheet'!AB$8,IF($E$3="QUARTERLY",DATA_FORMATTING!BS219/AB$3,DATA_FORMATTING!BS187/'Income Statement'!AB$4)))</f>
        <v>#NAME?</v>
      </c>
      <c r="AC9" s="51" t="e">
        <f ca="1">IF($E$3="YTD",DATA_FORMATTING!BT124/AC$5,IF($E$3="MONTHLY",DATA_FORMATTING!BT155/'Balance Sheet'!AC$8,IF($E$3="QUARTERLY",DATA_FORMATTING!BT219/AC$3,DATA_FORMATTING!BT187/'Income Statement'!AC$4)))</f>
        <v>#NAME?</v>
      </c>
      <c r="AD9" s="51" t="e">
        <f ca="1">IF($E$3="YTD",DATA_FORMATTING!BU124/AD$5,IF($E$3="MONTHLY",DATA_FORMATTING!BU155/'Balance Sheet'!AD$8,IF($E$3="QUARTERLY",DATA_FORMATTING!BU219/AD$3,DATA_FORMATTING!BU187/'Income Statement'!AD$4)))</f>
        <v>#NAME?</v>
      </c>
      <c r="AE9" s="51" t="e">
        <f ca="1">IF($E$3="YTD",DATA_FORMATTING!BV124/AE$5,IF($E$3="MONTHLY",DATA_FORMATTING!BV155/'Balance Sheet'!AE$8,IF($E$3="QUARTERLY",DATA_FORMATTING!BV219/AE$3,DATA_FORMATTING!BV187/'Income Statement'!AE$4)))</f>
        <v>#NAME?</v>
      </c>
      <c r="AF9" s="51" t="e">
        <f ca="1">IF($E$3="YTD",DATA_FORMATTING!BW124/AF$5,IF($E$3="MONTHLY",DATA_FORMATTING!BW155/'Balance Sheet'!AF$8,IF($E$3="QUARTERLY",DATA_FORMATTING!BW219/AF$3,DATA_FORMATTING!BW187/'Income Statement'!AF$4)))</f>
        <v>#NAME?</v>
      </c>
      <c r="AG9" s="51" t="e">
        <f ca="1">IF($E$3="YTD",DATA_FORMATTING!BX124/AG$5,IF($E$3="MONTHLY",DATA_FORMATTING!BX155/'Balance Sheet'!AG$8,IF($E$3="QUARTERLY",DATA_FORMATTING!BX219/AG$3,DATA_FORMATTING!BX187/'Income Statement'!AG$4)))</f>
        <v>#NAME?</v>
      </c>
      <c r="AH9" s="51" t="e">
        <f ca="1">IF($E$3="YTD",DATA_FORMATTING!BY124/AH$5,IF($E$3="MONTHLY",DATA_FORMATTING!BY155/'Balance Sheet'!AH$8,IF($E$3="QUARTERLY",DATA_FORMATTING!BY219/AH$3,DATA_FORMATTING!BY187/'Income Statement'!AH$4)))</f>
        <v>#NAME?</v>
      </c>
      <c r="AI9" s="51" t="e">
        <f ca="1">IF($E$3="YTD",DATA_FORMATTING!BZ124/AI$5,IF($E$3="MONTHLY",DATA_FORMATTING!BZ155/'Balance Sheet'!AI$8,IF($E$3="QUARTERLY",DATA_FORMATTING!BZ219/AI$3,DATA_FORMATTING!BZ187/'Income Statement'!AI$4)))</f>
        <v>#NAME?</v>
      </c>
      <c r="AJ9" s="51" t="e">
        <f ca="1">IF($E$3="YTD",DATA_FORMATTING!CA124/AJ$5,IF($E$3="MONTHLY",DATA_FORMATTING!CA155/'Balance Sheet'!AJ$8,IF($E$3="QUARTERLY",DATA_FORMATTING!CA219/AJ$3,DATA_FORMATTING!CA187/'Income Statement'!AJ$4)))</f>
        <v>#NAME?</v>
      </c>
      <c r="AK9" s="51" t="e">
        <f ca="1">IF($E$3="YTD",DATA_FORMATTING!CB124/AK$5,IF($E$3="MONTHLY",DATA_FORMATTING!CB155/'Balance Sheet'!AK$8,IF($E$3="QUARTERLY",DATA_FORMATTING!CB219/AK$3,DATA_FORMATTING!CB187/'Income Statement'!AK$4)))</f>
        <v>#NAME?</v>
      </c>
      <c r="AL9" s="51" t="e">
        <f ca="1">IF($E$3="YTD",DATA_FORMATTING!CC124/AL$5,IF($E$3="MONTHLY",DATA_FORMATTING!CC155/'Balance Sheet'!AL$8,IF($E$3="QUARTERLY",DATA_FORMATTING!CC219/AL$3,DATA_FORMATTING!CC187/'Income Statement'!AL$4)))</f>
        <v>#NAME?</v>
      </c>
      <c r="AM9" s="51" t="e">
        <f ca="1">IF($E$3="YTD",DATA_FORMATTING!CD124/AM$5,IF($E$3="MONTHLY",DATA_FORMATTING!CD155/'Balance Sheet'!AM$8,IF($E$3="QUARTERLY",DATA_FORMATTING!CD219/AM$3,DATA_FORMATTING!CD187/'Income Statement'!AM$4)))</f>
        <v>#NAME?</v>
      </c>
      <c r="AN9" s="51" t="e">
        <f ca="1">IF($E$3="YTD",DATA_FORMATTING!CE124/AN$5,IF($E$3="MONTHLY",DATA_FORMATTING!CE155/'Balance Sheet'!AN$8,IF($E$3="QUARTERLY",DATA_FORMATTING!CE219/AN$3,DATA_FORMATTING!CE187/'Income Statement'!AN$4)))</f>
        <v>#NAME?</v>
      </c>
      <c r="AO9" s="51" t="e">
        <f ca="1">IF($E$3="YTD",DATA_FORMATTING!CF124/AO$5,IF($E$3="MONTHLY",DATA_FORMATTING!CF155/'Balance Sheet'!AO$8,IF($E$3="QUARTERLY",DATA_FORMATTING!CF219/AO$3,DATA_FORMATTING!CF187/'Income Statement'!AO$4)))</f>
        <v>#NAME?</v>
      </c>
      <c r="AP9" s="51" t="e">
        <f ca="1">IF($E$3="YTD",DATA_FORMATTING!CG124/AP$5,IF($E$3="MONTHLY",DATA_FORMATTING!CG155/'Balance Sheet'!AP$8,IF($E$3="QUARTERLY",DATA_FORMATTING!CG219/AP$3,DATA_FORMATTING!CG187/'Income Statement'!AP$4)))</f>
        <v>#NAME?</v>
      </c>
      <c r="AQ9" s="257" t="e">
        <f ca="1">IF($E$3="YTD",DATA_FORMATTING!CH124/AQ$5,IF($E$3="MONTHLY",DATA_FORMATTING!CH155/'Balance Sheet'!AQ$8,IF($E$3="QUARTERLY",DATA_FORMATTING!CH219/AQ$3,DATA_FORMATTING!CH187/'Income Statement'!AQ$4)))</f>
        <v>#NAME?</v>
      </c>
    </row>
    <row r="10" spans="1:44" ht="15.75">
      <c r="B10" s="245" t="str">
        <f>DATA_FORMATTING!AX13</f>
        <v>Net Financial Margin (%)</v>
      </c>
      <c r="C10" s="593" t="s">
        <v>72</v>
      </c>
      <c r="D10" s="236" t="e">
        <f t="shared" ca="1" si="1"/>
        <v>#NAME?</v>
      </c>
      <c r="E10" s="183" t="e">
        <f t="shared" si="1"/>
        <v>#N/A</v>
      </c>
      <c r="F10" s="183" t="e">
        <f ca="1">+E10-D10</f>
        <v>#N/A</v>
      </c>
      <c r="G10" s="184">
        <f t="shared" ca="1" si="2"/>
        <v>0</v>
      </c>
      <c r="H10" s="51" t="e">
        <f ca="1">IF($E$3="YTD",DATA_FORMATTING!AY125/H$5,IF($E$3="MONTHLY",DATA_FORMATTING!AY156/'Balance Sheet'!H$8,IF($E$3="QUARTERLY",DATA_FORMATTING!AY220/H$3,DATA_FORMATTING!AY188/'Income Statement'!H$4)))</f>
        <v>#NAME?</v>
      </c>
      <c r="I10" s="51" t="e">
        <f ca="1">IF($E$3="YTD",DATA_FORMATTING!AZ125/I$5,IF($E$3="MONTHLY",DATA_FORMATTING!AZ156/'Balance Sheet'!I$8,IF($E$3="QUARTERLY",DATA_FORMATTING!AZ220/I$3,DATA_FORMATTING!AZ188/'Income Statement'!I$4)))</f>
        <v>#NAME?</v>
      </c>
      <c r="J10" s="51" t="e">
        <f ca="1">IF($E$3="YTD",DATA_FORMATTING!BA125/J$5,IF($E$3="MONTHLY",DATA_FORMATTING!BA156/'Balance Sheet'!J$8,IF($E$3="QUARTERLY",DATA_FORMATTING!BA220/J$3,DATA_FORMATTING!BA188/'Income Statement'!J$4)))</f>
        <v>#NAME?</v>
      </c>
      <c r="K10" s="51" t="e">
        <f ca="1">IF($E$3="YTD",DATA_FORMATTING!BB125/K$5,IF($E$3="MONTHLY",DATA_FORMATTING!BB156/'Balance Sheet'!K$8,IF($E$3="QUARTERLY",DATA_FORMATTING!BB220/K$3,DATA_FORMATTING!BB188/'Income Statement'!K$4)))</f>
        <v>#NAME?</v>
      </c>
      <c r="L10" s="51" t="e">
        <f ca="1">IF($E$3="YTD",DATA_FORMATTING!BC125/L$5,IF($E$3="MONTHLY",DATA_FORMATTING!BC156/'Balance Sheet'!L$8,IF($E$3="QUARTERLY",DATA_FORMATTING!BC220/L$3,DATA_FORMATTING!BC188/'Income Statement'!L$4)))</f>
        <v>#NAME?</v>
      </c>
      <c r="M10" s="51" t="e">
        <f ca="1">IF($E$3="YTD",DATA_FORMATTING!BD125/M$5,IF($E$3="MONTHLY",DATA_FORMATTING!BD156/'Balance Sheet'!M$8,IF($E$3="QUARTERLY",DATA_FORMATTING!BD220/M$3,DATA_FORMATTING!BD188/'Income Statement'!M$4)))</f>
        <v>#NAME?</v>
      </c>
      <c r="N10" s="51" t="e">
        <f ca="1">IF($E$3="YTD",DATA_FORMATTING!BE125/N$5,IF($E$3="MONTHLY",DATA_FORMATTING!BE156/'Balance Sheet'!N$8,IF($E$3="QUARTERLY",DATA_FORMATTING!BE220/N$3,DATA_FORMATTING!BE188/'Income Statement'!N$4)))</f>
        <v>#NAME?</v>
      </c>
      <c r="O10" s="51" t="e">
        <f ca="1">IF($E$3="YTD",DATA_FORMATTING!BF125/O$5,IF($E$3="MONTHLY",DATA_FORMATTING!BF156/'Balance Sheet'!O$8,IF($E$3="QUARTERLY",DATA_FORMATTING!BF220/O$3,DATA_FORMATTING!BF188/'Income Statement'!O$4)))</f>
        <v>#NAME?</v>
      </c>
      <c r="P10" s="51" t="e">
        <f ca="1">IF($E$3="YTD",DATA_FORMATTING!BG125/P$5,IF($E$3="MONTHLY",DATA_FORMATTING!BG156/'Balance Sheet'!P$8,IF($E$3="QUARTERLY",DATA_FORMATTING!BG220/P$3,DATA_FORMATTING!BG188/'Income Statement'!P$4)))</f>
        <v>#NAME?</v>
      </c>
      <c r="Q10" s="51" t="e">
        <f ca="1">IF($E$3="YTD",DATA_FORMATTING!BH125/Q$5,IF($E$3="MONTHLY",DATA_FORMATTING!BH156/'Balance Sheet'!Q$8,IF($E$3="QUARTERLY",DATA_FORMATTING!BH220/Q$3,DATA_FORMATTING!BH188/'Income Statement'!Q$4)))</f>
        <v>#NAME?</v>
      </c>
      <c r="R10" s="51" t="e">
        <f ca="1">IF($E$3="YTD",DATA_FORMATTING!BI125/R$5,IF($E$3="MONTHLY",DATA_FORMATTING!BI156/'Balance Sheet'!R$8,IF($E$3="QUARTERLY",DATA_FORMATTING!BI220/R$3,DATA_FORMATTING!BI188/'Income Statement'!R$4)))</f>
        <v>#NAME?</v>
      </c>
      <c r="S10" s="51" t="e">
        <f ca="1">IF($E$3="YTD",DATA_FORMATTING!BJ125/S$5,IF($E$3="MONTHLY",DATA_FORMATTING!BJ156/'Balance Sheet'!S$8,IF($E$3="QUARTERLY",DATA_FORMATTING!BJ220/S$3,DATA_FORMATTING!BJ188/'Income Statement'!S$4)))</f>
        <v>#NAME?</v>
      </c>
      <c r="T10" s="51" t="e">
        <f ca="1">IF($E$3="YTD",DATA_FORMATTING!BK125/T$5,IF($E$3="MONTHLY",DATA_FORMATTING!BK156/'Balance Sheet'!T$8,IF($E$3="QUARTERLY",DATA_FORMATTING!BK220/T$3,DATA_FORMATTING!BK188/'Income Statement'!T$4)))</f>
        <v>#NAME?</v>
      </c>
      <c r="U10" s="51" t="e">
        <f ca="1">IF($E$3="YTD",DATA_FORMATTING!BL125/U$5,IF($E$3="MONTHLY",DATA_FORMATTING!BL156/'Balance Sheet'!U$8,IF($E$3="QUARTERLY",DATA_FORMATTING!BL220/U$3,DATA_FORMATTING!BL188/'Income Statement'!U$4)))</f>
        <v>#NAME?</v>
      </c>
      <c r="V10" s="51" t="e">
        <f ca="1">IF($E$3="YTD",DATA_FORMATTING!BM125/V$5,IF($E$3="MONTHLY",DATA_FORMATTING!BM156/'Balance Sheet'!V$8,IF($E$3="QUARTERLY",DATA_FORMATTING!BM220/V$3,DATA_FORMATTING!BM188/'Income Statement'!V$4)))</f>
        <v>#NAME?</v>
      </c>
      <c r="W10" s="51" t="e">
        <f ca="1">IF($E$3="YTD",DATA_FORMATTING!BN125/W$5,IF($E$3="MONTHLY",DATA_FORMATTING!BN156/'Balance Sheet'!W$8,IF($E$3="QUARTERLY",DATA_FORMATTING!BN220/W$3,DATA_FORMATTING!BN188/'Income Statement'!W$4)))</f>
        <v>#NAME?</v>
      </c>
      <c r="X10" s="51" t="e">
        <f ca="1">IF($E$3="YTD",DATA_FORMATTING!BO125/X$5,IF($E$3="MONTHLY",DATA_FORMATTING!BO156/'Balance Sheet'!X$8,IF($E$3="QUARTERLY",DATA_FORMATTING!BO220/X$3,DATA_FORMATTING!BO188/'Income Statement'!X$4)))</f>
        <v>#NAME?</v>
      </c>
      <c r="Y10" s="51" t="e">
        <f ca="1">IF($E$3="YTD",DATA_FORMATTING!BP125/Y$5,IF($E$3="MONTHLY",DATA_FORMATTING!BP156/'Balance Sheet'!Y$8,IF($E$3="QUARTERLY",DATA_FORMATTING!BP220/Y$3,DATA_FORMATTING!BP188/'Income Statement'!Y$4)))</f>
        <v>#NAME?</v>
      </c>
      <c r="Z10" s="51" t="e">
        <f ca="1">IF($E$3="YTD",DATA_FORMATTING!BQ125/Z$5,IF($E$3="MONTHLY",DATA_FORMATTING!BQ156/'Balance Sheet'!Z$8,IF($E$3="QUARTERLY",DATA_FORMATTING!BQ220/Z$3,DATA_FORMATTING!BQ188/'Income Statement'!Z$4)))</f>
        <v>#NAME?</v>
      </c>
      <c r="AA10" s="51" t="e">
        <f ca="1">IF($E$3="YTD",DATA_FORMATTING!BR125/AA$5,IF($E$3="MONTHLY",DATA_FORMATTING!BR156/'Balance Sheet'!AA$8,IF($E$3="QUARTERLY",DATA_FORMATTING!BR220/AA$3,DATA_FORMATTING!BR188/'Income Statement'!AA$4)))</f>
        <v>#NAME?</v>
      </c>
      <c r="AB10" s="51" t="e">
        <f ca="1">IF($E$3="YTD",DATA_FORMATTING!BS125/AB$5,IF($E$3="MONTHLY",DATA_FORMATTING!BS156/'Balance Sheet'!AB$8,IF($E$3="QUARTERLY",DATA_FORMATTING!BS220/AB$3,DATA_FORMATTING!BS188/'Income Statement'!AB$4)))</f>
        <v>#NAME?</v>
      </c>
      <c r="AC10" s="51" t="e">
        <f ca="1">IF($E$3="YTD",DATA_FORMATTING!BT125/AC$5,IF($E$3="MONTHLY",DATA_FORMATTING!BT156/'Balance Sheet'!AC$8,IF($E$3="QUARTERLY",DATA_FORMATTING!BT220/AC$3,DATA_FORMATTING!BT188/'Income Statement'!AC$4)))</f>
        <v>#NAME?</v>
      </c>
      <c r="AD10" s="51" t="e">
        <f ca="1">IF($E$3="YTD",DATA_FORMATTING!BU125/AD$5,IF($E$3="MONTHLY",DATA_FORMATTING!BU156/'Balance Sheet'!AD$8,IF($E$3="QUARTERLY",DATA_FORMATTING!BU220/AD$3,DATA_FORMATTING!BU188/'Income Statement'!AD$4)))</f>
        <v>#NAME?</v>
      </c>
      <c r="AE10" s="51" t="e">
        <f ca="1">IF($E$3="YTD",DATA_FORMATTING!BV125/AE$5,IF($E$3="MONTHLY",DATA_FORMATTING!BV156/'Balance Sheet'!AE$8,IF($E$3="QUARTERLY",DATA_FORMATTING!BV220/AE$3,DATA_FORMATTING!BV188/'Income Statement'!AE$4)))</f>
        <v>#NAME?</v>
      </c>
      <c r="AF10" s="51" t="e">
        <f ca="1">IF($E$3="YTD",DATA_FORMATTING!BW125/AF$5,IF($E$3="MONTHLY",DATA_FORMATTING!BW156/'Balance Sheet'!AF$8,IF($E$3="QUARTERLY",DATA_FORMATTING!BW220/AF$3,DATA_FORMATTING!BW188/'Income Statement'!AF$4)))</f>
        <v>#NAME?</v>
      </c>
      <c r="AG10" s="51" t="e">
        <f ca="1">IF($E$3="YTD",DATA_FORMATTING!BX125/AG$5,IF($E$3="MONTHLY",DATA_FORMATTING!BX156/'Balance Sheet'!AG$8,IF($E$3="QUARTERLY",DATA_FORMATTING!BX220/AG$3,DATA_FORMATTING!BX188/'Income Statement'!AG$4)))</f>
        <v>#NAME?</v>
      </c>
      <c r="AH10" s="51" t="e">
        <f ca="1">IF($E$3="YTD",DATA_FORMATTING!BY125/AH$5,IF($E$3="MONTHLY",DATA_FORMATTING!BY156/'Balance Sheet'!AH$8,IF($E$3="QUARTERLY",DATA_FORMATTING!BY220/AH$3,DATA_FORMATTING!BY188/'Income Statement'!AH$4)))</f>
        <v>#NAME?</v>
      </c>
      <c r="AI10" s="51" t="e">
        <f ca="1">IF($E$3="YTD",DATA_FORMATTING!BZ125/AI$5,IF($E$3="MONTHLY",DATA_FORMATTING!BZ156/'Balance Sheet'!AI$8,IF($E$3="QUARTERLY",DATA_FORMATTING!BZ220/AI$3,DATA_FORMATTING!BZ188/'Income Statement'!AI$4)))</f>
        <v>#NAME?</v>
      </c>
      <c r="AJ10" s="51" t="e">
        <f ca="1">IF($E$3="YTD",DATA_FORMATTING!CA125/AJ$5,IF($E$3="MONTHLY",DATA_FORMATTING!CA156/'Balance Sheet'!AJ$8,IF($E$3="QUARTERLY",DATA_FORMATTING!CA220/AJ$3,DATA_FORMATTING!CA188/'Income Statement'!AJ$4)))</f>
        <v>#NAME?</v>
      </c>
      <c r="AK10" s="51" t="e">
        <f ca="1">IF($E$3="YTD",DATA_FORMATTING!CB125/AK$5,IF($E$3="MONTHLY",DATA_FORMATTING!CB156/'Balance Sheet'!AK$8,IF($E$3="QUARTERLY",DATA_FORMATTING!CB220/AK$3,DATA_FORMATTING!CB188/'Income Statement'!AK$4)))</f>
        <v>#NAME?</v>
      </c>
      <c r="AL10" s="51" t="e">
        <f ca="1">IF($E$3="YTD",DATA_FORMATTING!CC125/AL$5,IF($E$3="MONTHLY",DATA_FORMATTING!CC156/'Balance Sheet'!AL$8,IF($E$3="QUARTERLY",DATA_FORMATTING!CC220/AL$3,DATA_FORMATTING!CC188/'Income Statement'!AL$4)))</f>
        <v>#NAME?</v>
      </c>
      <c r="AM10" s="51" t="e">
        <f ca="1">IF($E$3="YTD",DATA_FORMATTING!CD125/AM$5,IF($E$3="MONTHLY",DATA_FORMATTING!CD156/'Balance Sheet'!AM$8,IF($E$3="QUARTERLY",DATA_FORMATTING!CD220/AM$3,DATA_FORMATTING!CD188/'Income Statement'!AM$4)))</f>
        <v>#NAME?</v>
      </c>
      <c r="AN10" s="51" t="e">
        <f ca="1">IF($E$3="YTD",DATA_FORMATTING!CE125/AN$5,IF($E$3="MONTHLY",DATA_FORMATTING!CE156/'Balance Sheet'!AN$8,IF($E$3="QUARTERLY",DATA_FORMATTING!CE220/AN$3,DATA_FORMATTING!CE188/'Income Statement'!AN$4)))</f>
        <v>#NAME?</v>
      </c>
      <c r="AO10" s="51" t="e">
        <f ca="1">IF($E$3="YTD",DATA_FORMATTING!CF125/AO$5,IF($E$3="MONTHLY",DATA_FORMATTING!CF156/'Balance Sheet'!AO$8,IF($E$3="QUARTERLY",DATA_FORMATTING!CF220/AO$3,DATA_FORMATTING!CF188/'Income Statement'!AO$4)))</f>
        <v>#NAME?</v>
      </c>
      <c r="AP10" s="51" t="e">
        <f ca="1">IF($E$3="YTD",DATA_FORMATTING!CG125/AP$5,IF($E$3="MONTHLY",DATA_FORMATTING!CG156/'Balance Sheet'!AP$8,IF($E$3="QUARTERLY",DATA_FORMATTING!CG220/AP$3,DATA_FORMATTING!CG188/'Income Statement'!AP$4)))</f>
        <v>#NAME?</v>
      </c>
      <c r="AQ10" s="257" t="e">
        <f ca="1">IF($E$3="YTD",DATA_FORMATTING!CH125/AQ$5,IF($E$3="MONTHLY",DATA_FORMATTING!CH156/'Balance Sheet'!AQ$8,IF($E$3="QUARTERLY",DATA_FORMATTING!CH220/AQ$3,DATA_FORMATTING!CH188/'Income Statement'!AQ$4)))</f>
        <v>#NAME?</v>
      </c>
    </row>
    <row r="11" spans="1:44" ht="15.75">
      <c r="B11" s="245">
        <f>DATA_FORMATTING!AX14</f>
        <v>0</v>
      </c>
      <c r="C11" s="594" t="s">
        <v>77</v>
      </c>
      <c r="D11" s="236" t="e">
        <f t="shared" ca="1" si="1"/>
        <v>#NAME?</v>
      </c>
      <c r="E11" s="183" t="e">
        <f t="shared" si="1"/>
        <v>#N/A</v>
      </c>
      <c r="F11" s="183" t="e">
        <f ca="1">+E11-D11</f>
        <v>#N/A</v>
      </c>
      <c r="G11" s="184">
        <f t="shared" ca="1" si="2"/>
        <v>0</v>
      </c>
      <c r="H11" s="51" t="e">
        <f ca="1">IF($E$3="YTD",DATA_FORMATTING!AY126/H$5,IF($E$3="MONTHLY",DATA_FORMATTING!AY157/'Balance Sheet'!H$8,IF($E$3="QUARTERLY",DATA_FORMATTING!AY221/H$3,DATA_FORMATTING!AY189/'Income Statement'!H$4)))</f>
        <v>#NAME?</v>
      </c>
      <c r="I11" s="51" t="e">
        <f ca="1">IF($E$3="YTD",DATA_FORMATTING!AZ126/I$5,IF($E$3="MONTHLY",DATA_FORMATTING!AZ157/'Balance Sheet'!I$8,IF($E$3="QUARTERLY",DATA_FORMATTING!AZ221/I$3,DATA_FORMATTING!AZ189/'Income Statement'!I$4)))</f>
        <v>#NAME?</v>
      </c>
      <c r="J11" s="51" t="e">
        <f ca="1">IF($E$3="YTD",DATA_FORMATTING!BA126/J$5,IF($E$3="MONTHLY",DATA_FORMATTING!BA157/'Balance Sheet'!J$8,IF($E$3="QUARTERLY",DATA_FORMATTING!BA221/J$3,DATA_FORMATTING!BA189/'Income Statement'!J$4)))</f>
        <v>#NAME?</v>
      </c>
      <c r="K11" s="51" t="e">
        <f ca="1">IF($E$3="YTD",DATA_FORMATTING!BB126/K$5,IF($E$3="MONTHLY",DATA_FORMATTING!BB157/'Balance Sheet'!K$8,IF($E$3="QUARTERLY",DATA_FORMATTING!BB221/K$3,DATA_FORMATTING!BB189/'Income Statement'!K$4)))</f>
        <v>#NAME?</v>
      </c>
      <c r="L11" s="51" t="e">
        <f ca="1">IF($E$3="YTD",DATA_FORMATTING!BC126/L$5,IF($E$3="MONTHLY",DATA_FORMATTING!BC157/'Balance Sheet'!L$8,IF($E$3="QUARTERLY",DATA_FORMATTING!BC221/L$3,DATA_FORMATTING!BC189/'Income Statement'!L$4)))</f>
        <v>#NAME?</v>
      </c>
      <c r="M11" s="51" t="e">
        <f ca="1">IF($E$3="YTD",DATA_FORMATTING!BD126/M$5,IF($E$3="MONTHLY",DATA_FORMATTING!BD157/'Balance Sheet'!M$8,IF($E$3="QUARTERLY",DATA_FORMATTING!BD221/M$3,DATA_FORMATTING!BD189/'Income Statement'!M$4)))</f>
        <v>#NAME?</v>
      </c>
      <c r="N11" s="51" t="e">
        <f ca="1">IF($E$3="YTD",DATA_FORMATTING!BE126/N$5,IF($E$3="MONTHLY",DATA_FORMATTING!BE157/'Balance Sheet'!N$8,IF($E$3="QUARTERLY",DATA_FORMATTING!BE221/N$3,DATA_FORMATTING!BE189/'Income Statement'!N$4)))</f>
        <v>#NAME?</v>
      </c>
      <c r="O11" s="51" t="e">
        <f ca="1">IF($E$3="YTD",DATA_FORMATTING!BF126/O$5,IF($E$3="MONTHLY",DATA_FORMATTING!BF157/'Balance Sheet'!O$8,IF($E$3="QUARTERLY",DATA_FORMATTING!BF221/O$3,DATA_FORMATTING!BF189/'Income Statement'!O$4)))</f>
        <v>#NAME?</v>
      </c>
      <c r="P11" s="51" t="e">
        <f ca="1">IF($E$3="YTD",DATA_FORMATTING!BG126/P$5,IF($E$3="MONTHLY",DATA_FORMATTING!BG157/'Balance Sheet'!P$8,IF($E$3="QUARTERLY",DATA_FORMATTING!BG221/P$3,DATA_FORMATTING!BG189/'Income Statement'!P$4)))</f>
        <v>#NAME?</v>
      </c>
      <c r="Q11" s="51" t="e">
        <f ca="1">IF($E$3="YTD",DATA_FORMATTING!BH126/Q$5,IF($E$3="MONTHLY",DATA_FORMATTING!BH157/'Balance Sheet'!Q$8,IF($E$3="QUARTERLY",DATA_FORMATTING!BH221/Q$3,DATA_FORMATTING!BH189/'Income Statement'!Q$4)))</f>
        <v>#NAME?</v>
      </c>
      <c r="R11" s="51" t="e">
        <f ca="1">IF($E$3="YTD",DATA_FORMATTING!BI126/R$5,IF($E$3="MONTHLY",DATA_FORMATTING!BI157/'Balance Sheet'!R$8,IF($E$3="QUARTERLY",DATA_FORMATTING!BI221/R$3,DATA_FORMATTING!BI189/'Income Statement'!R$4)))</f>
        <v>#NAME?</v>
      </c>
      <c r="S11" s="51" t="e">
        <f ca="1">IF($E$3="YTD",DATA_FORMATTING!BJ126/S$5,IF($E$3="MONTHLY",DATA_FORMATTING!BJ157/'Balance Sheet'!S$8,IF($E$3="QUARTERLY",DATA_FORMATTING!BJ221/S$3,DATA_FORMATTING!BJ189/'Income Statement'!S$4)))</f>
        <v>#NAME?</v>
      </c>
      <c r="T11" s="51" t="e">
        <f ca="1">IF($E$3="YTD",DATA_FORMATTING!BK126/T$5,IF($E$3="MONTHLY",DATA_FORMATTING!BK157/'Balance Sheet'!T$8,IF($E$3="QUARTERLY",DATA_FORMATTING!BK221/T$3,DATA_FORMATTING!BK189/'Income Statement'!T$4)))</f>
        <v>#NAME?</v>
      </c>
      <c r="U11" s="51" t="e">
        <f ca="1">IF($E$3="YTD",DATA_FORMATTING!BL126/U$5,IF($E$3="MONTHLY",DATA_FORMATTING!BL157/'Balance Sheet'!U$8,IF($E$3="QUARTERLY",DATA_FORMATTING!BL221/U$3,DATA_FORMATTING!BL189/'Income Statement'!U$4)))</f>
        <v>#NAME?</v>
      </c>
      <c r="V11" s="51" t="e">
        <f ca="1">IF($E$3="YTD",DATA_FORMATTING!BM126/V$5,IF($E$3="MONTHLY",DATA_FORMATTING!BM157/'Balance Sheet'!V$8,IF($E$3="QUARTERLY",DATA_FORMATTING!BM221/V$3,DATA_FORMATTING!BM189/'Income Statement'!V$4)))</f>
        <v>#NAME?</v>
      </c>
      <c r="W11" s="51" t="e">
        <f ca="1">IF($E$3="YTD",DATA_FORMATTING!BN126/W$5,IF($E$3="MONTHLY",DATA_FORMATTING!BN157/'Balance Sheet'!W$8,IF($E$3="QUARTERLY",DATA_FORMATTING!BN221/W$3,DATA_FORMATTING!BN189/'Income Statement'!W$4)))</f>
        <v>#NAME?</v>
      </c>
      <c r="X11" s="51" t="e">
        <f ca="1">IF($E$3="YTD",DATA_FORMATTING!BO126/X$5,IF($E$3="MONTHLY",DATA_FORMATTING!BO157/'Balance Sheet'!X$8,IF($E$3="QUARTERLY",DATA_FORMATTING!BO221/X$3,DATA_FORMATTING!BO189/'Income Statement'!X$4)))</f>
        <v>#NAME?</v>
      </c>
      <c r="Y11" s="51" t="e">
        <f ca="1">IF($E$3="YTD",DATA_FORMATTING!BP126/Y$5,IF($E$3="MONTHLY",DATA_FORMATTING!BP157/'Balance Sheet'!Y$8,IF($E$3="QUARTERLY",DATA_FORMATTING!BP221/Y$3,DATA_FORMATTING!BP189/'Income Statement'!Y$4)))</f>
        <v>#NAME?</v>
      </c>
      <c r="Z11" s="51" t="e">
        <f ca="1">IF($E$3="YTD",DATA_FORMATTING!BQ126/Z$5,IF($E$3="MONTHLY",DATA_FORMATTING!BQ157/'Balance Sheet'!Z$8,IF($E$3="QUARTERLY",DATA_FORMATTING!BQ221/Z$3,DATA_FORMATTING!BQ189/'Income Statement'!Z$4)))</f>
        <v>#NAME?</v>
      </c>
      <c r="AA11" s="51" t="e">
        <f ca="1">IF($E$3="YTD",DATA_FORMATTING!BR126/AA$5,IF($E$3="MONTHLY",DATA_FORMATTING!BR157/'Balance Sheet'!AA$8,IF($E$3="QUARTERLY",DATA_FORMATTING!BR221/AA$3,DATA_FORMATTING!BR189/'Income Statement'!AA$4)))</f>
        <v>#NAME?</v>
      </c>
      <c r="AB11" s="51" t="e">
        <f ca="1">IF($E$3="YTD",DATA_FORMATTING!BS126/AB$5,IF($E$3="MONTHLY",DATA_FORMATTING!BS157/'Balance Sheet'!AB$8,IF($E$3="QUARTERLY",DATA_FORMATTING!BS221/AB$3,DATA_FORMATTING!BS189/'Income Statement'!AB$4)))</f>
        <v>#NAME?</v>
      </c>
      <c r="AC11" s="51" t="e">
        <f ca="1">IF($E$3="YTD",DATA_FORMATTING!BT126/AC$5,IF($E$3="MONTHLY",DATA_FORMATTING!BT157/'Balance Sheet'!AC$8,IF($E$3="QUARTERLY",DATA_FORMATTING!BT221/AC$3,DATA_FORMATTING!BT189/'Income Statement'!AC$4)))</f>
        <v>#NAME?</v>
      </c>
      <c r="AD11" s="51" t="e">
        <f ca="1">IF($E$3="YTD",DATA_FORMATTING!BU126/AD$5,IF($E$3="MONTHLY",DATA_FORMATTING!BU157/'Balance Sheet'!AD$8,IF($E$3="QUARTERLY",DATA_FORMATTING!BU221/AD$3,DATA_FORMATTING!BU189/'Income Statement'!AD$4)))</f>
        <v>#NAME?</v>
      </c>
      <c r="AE11" s="51" t="e">
        <f ca="1">IF($E$3="YTD",DATA_FORMATTING!BV126/AE$5,IF($E$3="MONTHLY",DATA_FORMATTING!BV157/'Balance Sheet'!AE$8,IF($E$3="QUARTERLY",DATA_FORMATTING!BV221/AE$3,DATA_FORMATTING!BV189/'Income Statement'!AE$4)))</f>
        <v>#NAME?</v>
      </c>
      <c r="AF11" s="51" t="e">
        <f ca="1">IF($E$3="YTD",DATA_FORMATTING!BW126/AF$5,IF($E$3="MONTHLY",DATA_FORMATTING!BW157/'Balance Sheet'!AF$8,IF($E$3="QUARTERLY",DATA_FORMATTING!BW221/AF$3,DATA_FORMATTING!BW189/'Income Statement'!AF$4)))</f>
        <v>#NAME?</v>
      </c>
      <c r="AG11" s="51" t="e">
        <f ca="1">IF($E$3="YTD",DATA_FORMATTING!BX126/AG$5,IF($E$3="MONTHLY",DATA_FORMATTING!BX157/'Balance Sheet'!AG$8,IF($E$3="QUARTERLY",DATA_FORMATTING!BX221/AG$3,DATA_FORMATTING!BX189/'Income Statement'!AG$4)))</f>
        <v>#NAME?</v>
      </c>
      <c r="AH11" s="51" t="e">
        <f ca="1">IF($E$3="YTD",DATA_FORMATTING!BY126/AH$5,IF($E$3="MONTHLY",DATA_FORMATTING!BY157/'Balance Sheet'!AH$8,IF($E$3="QUARTERLY",DATA_FORMATTING!BY221/AH$3,DATA_FORMATTING!BY189/'Income Statement'!AH$4)))</f>
        <v>#NAME?</v>
      </c>
      <c r="AI11" s="51" t="e">
        <f ca="1">IF($E$3="YTD",DATA_FORMATTING!BZ126/AI$5,IF($E$3="MONTHLY",DATA_FORMATTING!BZ157/'Balance Sheet'!AI$8,IF($E$3="QUARTERLY",DATA_FORMATTING!BZ221/AI$3,DATA_FORMATTING!BZ189/'Income Statement'!AI$4)))</f>
        <v>#NAME?</v>
      </c>
      <c r="AJ11" s="51" t="e">
        <f ca="1">IF($E$3="YTD",DATA_FORMATTING!CA126/AJ$5,IF($E$3="MONTHLY",DATA_FORMATTING!CA157/'Balance Sheet'!AJ$8,IF($E$3="QUARTERLY",DATA_FORMATTING!CA221/AJ$3,DATA_FORMATTING!CA189/'Income Statement'!AJ$4)))</f>
        <v>#NAME?</v>
      </c>
      <c r="AK11" s="51" t="e">
        <f ca="1">IF($E$3="YTD",DATA_FORMATTING!CB126/AK$5,IF($E$3="MONTHLY",DATA_FORMATTING!CB157/'Balance Sheet'!AK$8,IF($E$3="QUARTERLY",DATA_FORMATTING!CB221/AK$3,DATA_FORMATTING!CB189/'Income Statement'!AK$4)))</f>
        <v>#NAME?</v>
      </c>
      <c r="AL11" s="51" t="e">
        <f ca="1">IF($E$3="YTD",DATA_FORMATTING!CC126/AL$5,IF($E$3="MONTHLY",DATA_FORMATTING!CC157/'Balance Sheet'!AL$8,IF($E$3="QUARTERLY",DATA_FORMATTING!CC221/AL$3,DATA_FORMATTING!CC189/'Income Statement'!AL$4)))</f>
        <v>#NAME?</v>
      </c>
      <c r="AM11" s="51" t="e">
        <f ca="1">IF($E$3="YTD",DATA_FORMATTING!CD126/AM$5,IF($E$3="MONTHLY",DATA_FORMATTING!CD157/'Balance Sheet'!AM$8,IF($E$3="QUARTERLY",DATA_FORMATTING!CD221/AM$3,DATA_FORMATTING!CD189/'Income Statement'!AM$4)))</f>
        <v>#NAME?</v>
      </c>
      <c r="AN11" s="51" t="e">
        <f ca="1">IF($E$3="YTD",DATA_FORMATTING!CE126/AN$5,IF($E$3="MONTHLY",DATA_FORMATTING!CE157/'Balance Sheet'!AN$8,IF($E$3="QUARTERLY",DATA_FORMATTING!CE221/AN$3,DATA_FORMATTING!CE189/'Income Statement'!AN$4)))</f>
        <v>#NAME?</v>
      </c>
      <c r="AO11" s="51" t="e">
        <f ca="1">IF($E$3="YTD",DATA_FORMATTING!CF126/AO$5,IF($E$3="MONTHLY",DATA_FORMATTING!CF157/'Balance Sheet'!AO$8,IF($E$3="QUARTERLY",DATA_FORMATTING!CF221/AO$3,DATA_FORMATTING!CF189/'Income Statement'!AO$4)))</f>
        <v>#NAME?</v>
      </c>
      <c r="AP11" s="51" t="e">
        <f ca="1">IF($E$3="YTD",DATA_FORMATTING!CG126/AP$5,IF($E$3="MONTHLY",DATA_FORMATTING!CG157/'Balance Sheet'!AP$8,IF($E$3="QUARTERLY",DATA_FORMATTING!CG221/AP$3,DATA_FORMATTING!CG189/'Income Statement'!AP$4)))</f>
        <v>#NAME?</v>
      </c>
      <c r="AQ11" s="257" t="e">
        <f ca="1">IF($E$3="YTD",DATA_FORMATTING!CH126/AQ$5,IF($E$3="MONTHLY",DATA_FORMATTING!CH157/'Balance Sheet'!AQ$8,IF($E$3="QUARTERLY",DATA_FORMATTING!CH221/AQ$3,DATA_FORMATTING!CH189/'Income Statement'!AQ$4)))</f>
        <v>#NAME?</v>
      </c>
    </row>
    <row r="12" spans="1:44" ht="15.75">
      <c r="C12" s="595" t="s">
        <v>82</v>
      </c>
      <c r="D12" s="212" t="e">
        <f t="shared" ca="1" si="1"/>
        <v>#NAME?</v>
      </c>
      <c r="E12" s="211" t="e">
        <f t="shared" si="1"/>
        <v>#N/A</v>
      </c>
      <c r="F12" s="211" t="e">
        <f ca="1">+E12-D12</f>
        <v>#N/A</v>
      </c>
      <c r="G12" s="210">
        <f t="shared" ca="1" si="2"/>
        <v>0</v>
      </c>
      <c r="H12" s="46" t="e">
        <f t="shared" ref="H12:AQ12" ca="1" si="3">SUM(H8:H11)</f>
        <v>#NAME?</v>
      </c>
      <c r="I12" s="46" t="e">
        <f t="shared" ca="1" si="3"/>
        <v>#NAME?</v>
      </c>
      <c r="J12" s="46" t="e">
        <f t="shared" ca="1" si="3"/>
        <v>#NAME?</v>
      </c>
      <c r="K12" s="46" t="e">
        <f t="shared" ca="1" si="3"/>
        <v>#NAME?</v>
      </c>
      <c r="L12" s="46" t="e">
        <f t="shared" ca="1" si="3"/>
        <v>#NAME?</v>
      </c>
      <c r="M12" s="46" t="e">
        <f t="shared" ca="1" si="3"/>
        <v>#NAME?</v>
      </c>
      <c r="N12" s="46" t="e">
        <f t="shared" ca="1" si="3"/>
        <v>#NAME?</v>
      </c>
      <c r="O12" s="46" t="e">
        <f t="shared" ca="1" si="3"/>
        <v>#NAME?</v>
      </c>
      <c r="P12" s="46" t="e">
        <f t="shared" ca="1" si="3"/>
        <v>#NAME?</v>
      </c>
      <c r="Q12" s="46" t="e">
        <f t="shared" ca="1" si="3"/>
        <v>#NAME?</v>
      </c>
      <c r="R12" s="46" t="e">
        <f t="shared" ca="1" si="3"/>
        <v>#NAME?</v>
      </c>
      <c r="S12" s="46" t="e">
        <f t="shared" ca="1" si="3"/>
        <v>#NAME?</v>
      </c>
      <c r="T12" s="46" t="e">
        <f t="shared" ca="1" si="3"/>
        <v>#NAME?</v>
      </c>
      <c r="U12" s="46" t="e">
        <f t="shared" ca="1" si="3"/>
        <v>#NAME?</v>
      </c>
      <c r="V12" s="46" t="e">
        <f t="shared" ca="1" si="3"/>
        <v>#NAME?</v>
      </c>
      <c r="W12" s="46" t="e">
        <f t="shared" ca="1" si="3"/>
        <v>#NAME?</v>
      </c>
      <c r="X12" s="46" t="e">
        <f t="shared" ca="1" si="3"/>
        <v>#NAME?</v>
      </c>
      <c r="Y12" s="46" t="e">
        <f t="shared" ca="1" si="3"/>
        <v>#NAME?</v>
      </c>
      <c r="Z12" s="46" t="e">
        <f t="shared" ca="1" si="3"/>
        <v>#NAME?</v>
      </c>
      <c r="AA12" s="46" t="e">
        <f t="shared" ca="1" si="3"/>
        <v>#NAME?</v>
      </c>
      <c r="AB12" s="46" t="e">
        <f t="shared" ca="1" si="3"/>
        <v>#NAME?</v>
      </c>
      <c r="AC12" s="46" t="e">
        <f t="shared" ca="1" si="3"/>
        <v>#NAME?</v>
      </c>
      <c r="AD12" s="46" t="e">
        <f t="shared" ca="1" si="3"/>
        <v>#NAME?</v>
      </c>
      <c r="AE12" s="46" t="e">
        <f t="shared" ca="1" si="3"/>
        <v>#NAME?</v>
      </c>
      <c r="AF12" s="46" t="e">
        <f t="shared" ca="1" si="3"/>
        <v>#NAME?</v>
      </c>
      <c r="AG12" s="46" t="e">
        <f t="shared" ca="1" si="3"/>
        <v>#NAME?</v>
      </c>
      <c r="AH12" s="46" t="e">
        <f t="shared" ca="1" si="3"/>
        <v>#NAME?</v>
      </c>
      <c r="AI12" s="46" t="e">
        <f t="shared" ca="1" si="3"/>
        <v>#NAME?</v>
      </c>
      <c r="AJ12" s="46" t="e">
        <f t="shared" ca="1" si="3"/>
        <v>#NAME?</v>
      </c>
      <c r="AK12" s="46" t="e">
        <f t="shared" ca="1" si="3"/>
        <v>#NAME?</v>
      </c>
      <c r="AL12" s="46" t="e">
        <f t="shared" ca="1" si="3"/>
        <v>#NAME?</v>
      </c>
      <c r="AM12" s="46" t="e">
        <f t="shared" ca="1" si="3"/>
        <v>#NAME?</v>
      </c>
      <c r="AN12" s="46" t="e">
        <f t="shared" ca="1" si="3"/>
        <v>#NAME?</v>
      </c>
      <c r="AO12" s="46" t="e">
        <f t="shared" ca="1" si="3"/>
        <v>#NAME?</v>
      </c>
      <c r="AP12" s="46" t="e">
        <f t="shared" ca="1" si="3"/>
        <v>#NAME?</v>
      </c>
      <c r="AQ12" s="596" t="e">
        <f t="shared" ca="1" si="3"/>
        <v>#NAME?</v>
      </c>
    </row>
    <row r="13" spans="1:44">
      <c r="C13" s="597" t="s">
        <v>87</v>
      </c>
      <c r="D13" s="598" t="str">
        <f ca="1">IFERROR(D$12/D8,"-")</f>
        <v>-</v>
      </c>
      <c r="E13" s="48" t="str">
        <f>IFERROR(E$12/E8,"-")</f>
        <v>-</v>
      </c>
      <c r="F13" s="599"/>
      <c r="G13" s="600"/>
      <c r="H13" s="48" t="str">
        <f t="shared" ref="H13:AQ13" ca="1" si="4">IFERROR(H$12/H8,"-")</f>
        <v>-</v>
      </c>
      <c r="I13" s="48" t="str">
        <f t="shared" ca="1" si="4"/>
        <v>-</v>
      </c>
      <c r="J13" s="48" t="str">
        <f t="shared" ca="1" si="4"/>
        <v>-</v>
      </c>
      <c r="K13" s="48" t="str">
        <f t="shared" ca="1" si="4"/>
        <v>-</v>
      </c>
      <c r="L13" s="48" t="str">
        <f t="shared" ca="1" si="4"/>
        <v>-</v>
      </c>
      <c r="M13" s="48" t="str">
        <f t="shared" ca="1" si="4"/>
        <v>-</v>
      </c>
      <c r="N13" s="48" t="str">
        <f t="shared" ca="1" si="4"/>
        <v>-</v>
      </c>
      <c r="O13" s="48" t="str">
        <f t="shared" ca="1" si="4"/>
        <v>-</v>
      </c>
      <c r="P13" s="48" t="str">
        <f t="shared" ca="1" si="4"/>
        <v>-</v>
      </c>
      <c r="Q13" s="48" t="str">
        <f t="shared" ca="1" si="4"/>
        <v>-</v>
      </c>
      <c r="R13" s="48" t="str">
        <f t="shared" ca="1" si="4"/>
        <v>-</v>
      </c>
      <c r="S13" s="48" t="str">
        <f t="shared" ca="1" si="4"/>
        <v>-</v>
      </c>
      <c r="T13" s="48" t="str">
        <f t="shared" ca="1" si="4"/>
        <v>-</v>
      </c>
      <c r="U13" s="48" t="str">
        <f t="shared" ca="1" si="4"/>
        <v>-</v>
      </c>
      <c r="V13" s="48" t="str">
        <f t="shared" ca="1" si="4"/>
        <v>-</v>
      </c>
      <c r="W13" s="48" t="str">
        <f t="shared" ca="1" si="4"/>
        <v>-</v>
      </c>
      <c r="X13" s="48" t="str">
        <f t="shared" ca="1" si="4"/>
        <v>-</v>
      </c>
      <c r="Y13" s="48" t="str">
        <f t="shared" ca="1" si="4"/>
        <v>-</v>
      </c>
      <c r="Z13" s="48" t="str">
        <f t="shared" ca="1" si="4"/>
        <v>-</v>
      </c>
      <c r="AA13" s="48" t="str">
        <f t="shared" ca="1" si="4"/>
        <v>-</v>
      </c>
      <c r="AB13" s="48" t="str">
        <f t="shared" ca="1" si="4"/>
        <v>-</v>
      </c>
      <c r="AC13" s="48" t="str">
        <f t="shared" ca="1" si="4"/>
        <v>-</v>
      </c>
      <c r="AD13" s="48" t="str">
        <f t="shared" ca="1" si="4"/>
        <v>-</v>
      </c>
      <c r="AE13" s="48" t="str">
        <f t="shared" ca="1" si="4"/>
        <v>-</v>
      </c>
      <c r="AF13" s="48" t="str">
        <f t="shared" ca="1" si="4"/>
        <v>-</v>
      </c>
      <c r="AG13" s="48" t="str">
        <f t="shared" ca="1" si="4"/>
        <v>-</v>
      </c>
      <c r="AH13" s="48" t="str">
        <f t="shared" ca="1" si="4"/>
        <v>-</v>
      </c>
      <c r="AI13" s="48" t="str">
        <f t="shared" ca="1" si="4"/>
        <v>-</v>
      </c>
      <c r="AJ13" s="48" t="str">
        <f t="shared" ca="1" si="4"/>
        <v>-</v>
      </c>
      <c r="AK13" s="48" t="str">
        <f t="shared" ca="1" si="4"/>
        <v>-</v>
      </c>
      <c r="AL13" s="48" t="str">
        <f t="shared" ca="1" si="4"/>
        <v>-</v>
      </c>
      <c r="AM13" s="48" t="str">
        <f t="shared" ca="1" si="4"/>
        <v>-</v>
      </c>
      <c r="AN13" s="48" t="str">
        <f t="shared" ca="1" si="4"/>
        <v>-</v>
      </c>
      <c r="AO13" s="48" t="str">
        <f t="shared" ca="1" si="4"/>
        <v>-</v>
      </c>
      <c r="AP13" s="48" t="str">
        <f t="shared" ca="1" si="4"/>
        <v>-</v>
      </c>
      <c r="AQ13" s="601" t="str">
        <f t="shared" ca="1" si="4"/>
        <v>-</v>
      </c>
    </row>
    <row r="14" spans="1:44">
      <c r="C14" s="602"/>
      <c r="D14" s="603"/>
      <c r="E14" s="603"/>
      <c r="F14" s="603"/>
      <c r="G14" s="604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257"/>
    </row>
    <row r="15" spans="1:44" ht="15.75">
      <c r="B15" s="245" t="str">
        <f>DATA_FORMATTING!AX15</f>
        <v>Other Financial Service Income (Expense)</v>
      </c>
      <c r="C15" s="605" t="s">
        <v>95</v>
      </c>
      <c r="D15" s="236" t="e">
        <f t="shared" ref="D15:E17" ca="1" si="5">HLOOKUP(D$6,IS,(ROW($C15)-ROW($C$6)+1),FALSE)</f>
        <v>#NAME?</v>
      </c>
      <c r="E15" s="183" t="e">
        <f t="shared" si="5"/>
        <v>#N/A</v>
      </c>
      <c r="F15" s="183" t="e">
        <f ca="1">+E15-D15</f>
        <v>#N/A</v>
      </c>
      <c r="G15" s="184">
        <f t="shared" ca="1" si="2"/>
        <v>0</v>
      </c>
      <c r="H15" s="51" t="e">
        <f ca="1">IF($E$3="YTD",DATA_FORMATTING!AY130/H$5,IF($E$3="MONTHLY",DATA_FORMATTING!AY161/'Balance Sheet'!H$8,IF($E$3="QUARTERLY",DATA_FORMATTING!AY225/H$3,DATA_FORMATTING!AY193/'Income Statement'!H$4)))</f>
        <v>#NAME?</v>
      </c>
      <c r="I15" s="51" t="e">
        <f ca="1">IF($E$3="YTD",DATA_FORMATTING!AZ130/I$5,IF($E$3="MONTHLY",DATA_FORMATTING!AZ161/'Balance Sheet'!I$8,IF($E$3="QUARTERLY",DATA_FORMATTING!AZ225/I$3,DATA_FORMATTING!AZ193/'Income Statement'!I$4)))</f>
        <v>#NAME?</v>
      </c>
      <c r="J15" s="51" t="e">
        <f ca="1">IF($E$3="YTD",DATA_FORMATTING!BA130/J$5,IF($E$3="MONTHLY",DATA_FORMATTING!BA161/'Balance Sheet'!J$8,IF($E$3="QUARTERLY",DATA_FORMATTING!BA225/J$3,DATA_FORMATTING!BA193/'Income Statement'!J$4)))</f>
        <v>#NAME?</v>
      </c>
      <c r="K15" s="51" t="e">
        <f ca="1">IF($E$3="YTD",DATA_FORMATTING!BB130/K$5,IF($E$3="MONTHLY",DATA_FORMATTING!BB161/'Balance Sheet'!K$8,IF($E$3="QUARTERLY",DATA_FORMATTING!BB225/K$3,DATA_FORMATTING!BB193/'Income Statement'!K$4)))</f>
        <v>#NAME?</v>
      </c>
      <c r="L15" s="51" t="e">
        <f ca="1">IF($E$3="YTD",DATA_FORMATTING!BC130/L$5,IF($E$3="MONTHLY",DATA_FORMATTING!BC161/'Balance Sheet'!L$8,IF($E$3="QUARTERLY",DATA_FORMATTING!BC225/L$3,DATA_FORMATTING!BC193/'Income Statement'!L$4)))</f>
        <v>#NAME?</v>
      </c>
      <c r="M15" s="51" t="e">
        <f ca="1">IF($E$3="YTD",DATA_FORMATTING!BD130/M$5,IF($E$3="MONTHLY",DATA_FORMATTING!BD161/'Balance Sheet'!M$8,IF($E$3="QUARTERLY",DATA_FORMATTING!BD225/M$3,DATA_FORMATTING!BD193/'Income Statement'!M$4)))</f>
        <v>#NAME?</v>
      </c>
      <c r="N15" s="51" t="e">
        <f ca="1">IF($E$3="YTD",DATA_FORMATTING!BE130/N$5,IF($E$3="MONTHLY",DATA_FORMATTING!BE161/'Balance Sheet'!N$8,IF($E$3="QUARTERLY",DATA_FORMATTING!BE225/N$3,DATA_FORMATTING!BE193/'Income Statement'!N$4)))</f>
        <v>#NAME?</v>
      </c>
      <c r="O15" s="51" t="e">
        <f ca="1">IF($E$3="YTD",DATA_FORMATTING!BF130/O$5,IF($E$3="MONTHLY",DATA_FORMATTING!BF161/'Balance Sheet'!O$8,IF($E$3="QUARTERLY",DATA_FORMATTING!BF225/O$3,DATA_FORMATTING!BF193/'Income Statement'!O$4)))</f>
        <v>#NAME?</v>
      </c>
      <c r="P15" s="51" t="e">
        <f ca="1">IF($E$3="YTD",DATA_FORMATTING!BG130/P$5,IF($E$3="MONTHLY",DATA_FORMATTING!BG161/'Balance Sheet'!P$8,IF($E$3="QUARTERLY",DATA_FORMATTING!BG225/P$3,DATA_FORMATTING!BG193/'Income Statement'!P$4)))</f>
        <v>#NAME?</v>
      </c>
      <c r="Q15" s="51" t="e">
        <f ca="1">IF($E$3="YTD",DATA_FORMATTING!BH130/Q$5,IF($E$3="MONTHLY",DATA_FORMATTING!BH161/'Balance Sheet'!Q$8,IF($E$3="QUARTERLY",DATA_FORMATTING!BH225/Q$3,DATA_FORMATTING!BH193/'Income Statement'!Q$4)))</f>
        <v>#NAME?</v>
      </c>
      <c r="R15" s="51" t="e">
        <f ca="1">IF($E$3="YTD",DATA_FORMATTING!BI130/R$5,IF($E$3="MONTHLY",DATA_FORMATTING!BI161/'Balance Sheet'!R$8,IF($E$3="QUARTERLY",DATA_FORMATTING!BI225/R$3,DATA_FORMATTING!BI193/'Income Statement'!R$4)))</f>
        <v>#NAME?</v>
      </c>
      <c r="S15" s="51" t="e">
        <f ca="1">IF($E$3="YTD",DATA_FORMATTING!BJ130/S$5,IF($E$3="MONTHLY",DATA_FORMATTING!BJ161/'Balance Sheet'!S$8,IF($E$3="QUARTERLY",DATA_FORMATTING!BJ225/S$3,DATA_FORMATTING!BJ193/'Income Statement'!S$4)))</f>
        <v>#NAME?</v>
      </c>
      <c r="T15" s="51" t="e">
        <f ca="1">IF($E$3="YTD",DATA_FORMATTING!BK130/T$5,IF($E$3="MONTHLY",DATA_FORMATTING!BK161/'Balance Sheet'!T$8,IF($E$3="QUARTERLY",DATA_FORMATTING!BK225/T$3,DATA_FORMATTING!BK193/'Income Statement'!T$4)))</f>
        <v>#NAME?</v>
      </c>
      <c r="U15" s="51" t="e">
        <f ca="1">IF($E$3="YTD",DATA_FORMATTING!BL130/U$5,IF($E$3="MONTHLY",DATA_FORMATTING!BL161/'Balance Sheet'!U$8,IF($E$3="QUARTERLY",DATA_FORMATTING!BL225/U$3,DATA_FORMATTING!BL193/'Income Statement'!U$4)))</f>
        <v>#NAME?</v>
      </c>
      <c r="V15" s="51" t="e">
        <f ca="1">IF($E$3="YTD",DATA_FORMATTING!BM130/V$5,IF($E$3="MONTHLY",DATA_FORMATTING!BM161/'Balance Sheet'!V$8,IF($E$3="QUARTERLY",DATA_FORMATTING!BM225/V$3,DATA_FORMATTING!BM193/'Income Statement'!V$4)))</f>
        <v>#NAME?</v>
      </c>
      <c r="W15" s="51" t="e">
        <f ca="1">IF($E$3="YTD",DATA_FORMATTING!BN130/W$5,IF($E$3="MONTHLY",DATA_FORMATTING!BN161/'Balance Sheet'!W$8,IF($E$3="QUARTERLY",DATA_FORMATTING!BN225/W$3,DATA_FORMATTING!BN193/'Income Statement'!W$4)))</f>
        <v>#NAME?</v>
      </c>
      <c r="X15" s="51" t="e">
        <f ca="1">IF($E$3="YTD",DATA_FORMATTING!BO130/X$5,IF($E$3="MONTHLY",DATA_FORMATTING!BO161/'Balance Sheet'!X$8,IF($E$3="QUARTERLY",DATA_FORMATTING!BO225/X$3,DATA_FORMATTING!BO193/'Income Statement'!X$4)))</f>
        <v>#NAME?</v>
      </c>
      <c r="Y15" s="51" t="e">
        <f ca="1">IF($E$3="YTD",DATA_FORMATTING!BP130/Y$5,IF($E$3="MONTHLY",DATA_FORMATTING!BP161/'Balance Sheet'!Y$8,IF($E$3="QUARTERLY",DATA_FORMATTING!BP225/Y$3,DATA_FORMATTING!BP193/'Income Statement'!Y$4)))</f>
        <v>#NAME?</v>
      </c>
      <c r="Z15" s="51" t="e">
        <f ca="1">IF($E$3="YTD",DATA_FORMATTING!BQ130/Z$5,IF($E$3="MONTHLY",DATA_FORMATTING!BQ161/'Balance Sheet'!Z$8,IF($E$3="QUARTERLY",DATA_FORMATTING!BQ225/Z$3,DATA_FORMATTING!BQ193/'Income Statement'!Z$4)))</f>
        <v>#NAME?</v>
      </c>
      <c r="AA15" s="51" t="e">
        <f ca="1">IF($E$3="YTD",DATA_FORMATTING!BR130/AA$5,IF($E$3="MONTHLY",DATA_FORMATTING!BR161/'Balance Sheet'!AA$8,IF($E$3="QUARTERLY",DATA_FORMATTING!BR225/AA$3,DATA_FORMATTING!BR193/'Income Statement'!AA$4)))</f>
        <v>#NAME?</v>
      </c>
      <c r="AB15" s="51" t="e">
        <f ca="1">IF($E$3="YTD",DATA_FORMATTING!BS130/AB$5,IF($E$3="MONTHLY",DATA_FORMATTING!BS161/'Balance Sheet'!AB$8,IF($E$3="QUARTERLY",DATA_FORMATTING!BS225/AB$3,DATA_FORMATTING!BS193/'Income Statement'!AB$4)))</f>
        <v>#NAME?</v>
      </c>
      <c r="AC15" s="51" t="e">
        <f ca="1">IF($E$3="YTD",DATA_FORMATTING!BT130/AC$5,IF($E$3="MONTHLY",DATA_FORMATTING!BT161/'Balance Sheet'!AC$8,IF($E$3="QUARTERLY",DATA_FORMATTING!BT225/AC$3,DATA_FORMATTING!BT193/'Income Statement'!AC$4)))</f>
        <v>#NAME?</v>
      </c>
      <c r="AD15" s="51" t="e">
        <f ca="1">IF($E$3="YTD",DATA_FORMATTING!BU130/AD$5,IF($E$3="MONTHLY",DATA_FORMATTING!BU161/'Balance Sheet'!AD$8,IF($E$3="QUARTERLY",DATA_FORMATTING!BU225/AD$3,DATA_FORMATTING!BU193/'Income Statement'!AD$4)))</f>
        <v>#NAME?</v>
      </c>
      <c r="AE15" s="51" t="e">
        <f ca="1">IF($E$3="YTD",DATA_FORMATTING!BV130/AE$5,IF($E$3="MONTHLY",DATA_FORMATTING!BV161/'Balance Sheet'!AE$8,IF($E$3="QUARTERLY",DATA_FORMATTING!BV225/AE$3,DATA_FORMATTING!BV193/'Income Statement'!AE$4)))</f>
        <v>#NAME?</v>
      </c>
      <c r="AF15" s="51" t="e">
        <f ca="1">IF($E$3="YTD",DATA_FORMATTING!BW130/AF$5,IF($E$3="MONTHLY",DATA_FORMATTING!BW161/'Balance Sheet'!AF$8,IF($E$3="QUARTERLY",DATA_FORMATTING!BW225/AF$3,DATA_FORMATTING!BW193/'Income Statement'!AF$4)))</f>
        <v>#NAME?</v>
      </c>
      <c r="AG15" s="51" t="e">
        <f ca="1">IF($E$3="YTD",DATA_FORMATTING!BX130/AG$5,IF($E$3="MONTHLY",DATA_FORMATTING!BX161/'Balance Sheet'!AG$8,IF($E$3="QUARTERLY",DATA_FORMATTING!BX225/AG$3,DATA_FORMATTING!BX193/'Income Statement'!AG$4)))</f>
        <v>#NAME?</v>
      </c>
      <c r="AH15" s="51" t="e">
        <f ca="1">IF($E$3="YTD",DATA_FORMATTING!BY130/AH$5,IF($E$3="MONTHLY",DATA_FORMATTING!BY161/'Balance Sheet'!AH$8,IF($E$3="QUARTERLY",DATA_FORMATTING!BY225/AH$3,DATA_FORMATTING!BY193/'Income Statement'!AH$4)))</f>
        <v>#NAME?</v>
      </c>
      <c r="AI15" s="51" t="e">
        <f ca="1">IF($E$3="YTD",DATA_FORMATTING!BZ130/AI$5,IF($E$3="MONTHLY",DATA_FORMATTING!BZ161/'Balance Sheet'!AI$8,IF($E$3="QUARTERLY",DATA_FORMATTING!BZ225/AI$3,DATA_FORMATTING!BZ193/'Income Statement'!AI$4)))</f>
        <v>#NAME?</v>
      </c>
      <c r="AJ15" s="51" t="e">
        <f ca="1">IF($E$3="YTD",DATA_FORMATTING!CA130/AJ$5,IF($E$3="MONTHLY",DATA_FORMATTING!CA161/'Balance Sheet'!AJ$8,IF($E$3="QUARTERLY",DATA_FORMATTING!CA225/AJ$3,DATA_FORMATTING!CA193/'Income Statement'!AJ$4)))</f>
        <v>#NAME?</v>
      </c>
      <c r="AK15" s="51" t="e">
        <f ca="1">IF($E$3="YTD",DATA_FORMATTING!CB130/AK$5,IF($E$3="MONTHLY",DATA_FORMATTING!CB161/'Balance Sheet'!AK$8,IF($E$3="QUARTERLY",DATA_FORMATTING!CB225/AK$3,DATA_FORMATTING!CB193/'Income Statement'!AK$4)))</f>
        <v>#NAME?</v>
      </c>
      <c r="AL15" s="51" t="e">
        <f ca="1">IF($E$3="YTD",DATA_FORMATTING!CC130/AL$5,IF($E$3="MONTHLY",DATA_FORMATTING!CC161/'Balance Sheet'!AL$8,IF($E$3="QUARTERLY",DATA_FORMATTING!CC225/AL$3,DATA_FORMATTING!CC193/'Income Statement'!AL$4)))</f>
        <v>#NAME?</v>
      </c>
      <c r="AM15" s="51" t="e">
        <f ca="1">IF($E$3="YTD",DATA_FORMATTING!CD130/AM$5,IF($E$3="MONTHLY",DATA_FORMATTING!CD161/'Balance Sheet'!AM$8,IF($E$3="QUARTERLY",DATA_FORMATTING!CD225/AM$3,DATA_FORMATTING!CD193/'Income Statement'!AM$4)))</f>
        <v>#NAME?</v>
      </c>
      <c r="AN15" s="51" t="e">
        <f ca="1">IF($E$3="YTD",DATA_FORMATTING!CE130/AN$5,IF($E$3="MONTHLY",DATA_FORMATTING!CE161/'Balance Sheet'!AN$8,IF($E$3="QUARTERLY",DATA_FORMATTING!CE225/AN$3,DATA_FORMATTING!CE193/'Income Statement'!AN$4)))</f>
        <v>#NAME?</v>
      </c>
      <c r="AO15" s="51" t="e">
        <f ca="1">IF($E$3="YTD",DATA_FORMATTING!CF130/AO$5,IF($E$3="MONTHLY",DATA_FORMATTING!CF161/'Balance Sheet'!AO$8,IF($E$3="QUARTERLY",DATA_FORMATTING!CF225/AO$3,DATA_FORMATTING!CF193/'Income Statement'!AO$4)))</f>
        <v>#NAME?</v>
      </c>
      <c r="AP15" s="51" t="e">
        <f ca="1">IF($E$3="YTD",DATA_FORMATTING!CG130/AP$5,IF($E$3="MONTHLY",DATA_FORMATTING!CG161/'Balance Sheet'!AP$8,IF($E$3="QUARTERLY",DATA_FORMATTING!CG225/AP$3,DATA_FORMATTING!CG193/'Income Statement'!AP$4)))</f>
        <v>#NAME?</v>
      </c>
      <c r="AQ15" s="257" t="e">
        <f ca="1">IF($E$3="YTD",DATA_FORMATTING!CH130/AQ$5,IF($E$3="MONTHLY",DATA_FORMATTING!CH161/'Balance Sheet'!AQ$8,IF($E$3="QUARTERLY",DATA_FORMATTING!CH225/AQ$3,DATA_FORMATTING!CH193/'Income Statement'!AQ$4)))</f>
        <v>#NAME?</v>
      </c>
    </row>
    <row r="16" spans="1:44" ht="15.75">
      <c r="B16" s="245" t="str">
        <f>DATA_FORMATTING!AX16</f>
        <v>Operating Expense</v>
      </c>
      <c r="C16" s="605" t="s">
        <v>98</v>
      </c>
      <c r="D16" s="236" t="e">
        <f t="shared" ca="1" si="5"/>
        <v>#NAME?</v>
      </c>
      <c r="E16" s="183" t="e">
        <f t="shared" si="5"/>
        <v>#N/A</v>
      </c>
      <c r="F16" s="183" t="e">
        <f ca="1">+E16-D16</f>
        <v>#N/A</v>
      </c>
      <c r="G16" s="184">
        <f t="shared" ca="1" si="2"/>
        <v>0</v>
      </c>
      <c r="H16" s="51" t="e">
        <f ca="1">IF($E$3="YTD",DATA_FORMATTING!AY131/H$5,IF($E$3="MONTHLY",DATA_FORMATTING!AY162/'Balance Sheet'!H$8,IF($E$3="QUARTERLY",DATA_FORMATTING!AY226/H$3,DATA_FORMATTING!AY194/'Income Statement'!H$4)))</f>
        <v>#NAME?</v>
      </c>
      <c r="I16" s="51" t="e">
        <f ca="1">IF($E$3="YTD",DATA_FORMATTING!AZ131/I$5,IF($E$3="MONTHLY",DATA_FORMATTING!AZ162/'Balance Sheet'!I$8,IF($E$3="QUARTERLY",DATA_FORMATTING!AZ226/I$3,DATA_FORMATTING!AZ194/'Income Statement'!I$4)))</f>
        <v>#NAME?</v>
      </c>
      <c r="J16" s="51" t="e">
        <f ca="1">IF($E$3="YTD",DATA_FORMATTING!BA131/J$5,IF($E$3="MONTHLY",DATA_FORMATTING!BA162/'Balance Sheet'!J$8,IF($E$3="QUARTERLY",DATA_FORMATTING!BA226/J$3,DATA_FORMATTING!BA194/'Income Statement'!J$4)))</f>
        <v>#NAME?</v>
      </c>
      <c r="K16" s="51" t="e">
        <f ca="1">IF($E$3="YTD",DATA_FORMATTING!BB131/K$5,IF($E$3="MONTHLY",DATA_FORMATTING!BB162/'Balance Sheet'!K$8,IF($E$3="QUARTERLY",DATA_FORMATTING!BB226/K$3,DATA_FORMATTING!BB194/'Income Statement'!K$4)))</f>
        <v>#NAME?</v>
      </c>
      <c r="L16" s="51" t="e">
        <f ca="1">IF($E$3="YTD",DATA_FORMATTING!BC131/L$5,IF($E$3="MONTHLY",DATA_FORMATTING!BC162/'Balance Sheet'!L$8,IF($E$3="QUARTERLY",DATA_FORMATTING!BC226/L$3,DATA_FORMATTING!BC194/'Income Statement'!L$4)))</f>
        <v>#NAME?</v>
      </c>
      <c r="M16" s="51" t="e">
        <f ca="1">IF($E$3="YTD",DATA_FORMATTING!BD131/M$5,IF($E$3="MONTHLY",DATA_FORMATTING!BD162/'Balance Sheet'!M$8,IF($E$3="QUARTERLY",DATA_FORMATTING!BD226/M$3,DATA_FORMATTING!BD194/'Income Statement'!M$4)))</f>
        <v>#NAME?</v>
      </c>
      <c r="N16" s="51" t="e">
        <f ca="1">IF($E$3="YTD",DATA_FORMATTING!BE131/N$5,IF($E$3="MONTHLY",DATA_FORMATTING!BE162/'Balance Sheet'!N$8,IF($E$3="QUARTERLY",DATA_FORMATTING!BE226/N$3,DATA_FORMATTING!BE194/'Income Statement'!N$4)))</f>
        <v>#NAME?</v>
      </c>
      <c r="O16" s="51" t="e">
        <f ca="1">IF($E$3="YTD",DATA_FORMATTING!BF131/O$5,IF($E$3="MONTHLY",DATA_FORMATTING!BF162/'Balance Sheet'!O$8,IF($E$3="QUARTERLY",DATA_FORMATTING!BF226/O$3,DATA_FORMATTING!BF194/'Income Statement'!O$4)))</f>
        <v>#NAME?</v>
      </c>
      <c r="P16" s="51" t="e">
        <f ca="1">IF($E$3="YTD",DATA_FORMATTING!BG131/P$5,IF($E$3="MONTHLY",DATA_FORMATTING!BG162/'Balance Sheet'!P$8,IF($E$3="QUARTERLY",DATA_FORMATTING!BG226/P$3,DATA_FORMATTING!BG194/'Income Statement'!P$4)))</f>
        <v>#NAME?</v>
      </c>
      <c r="Q16" s="51" t="e">
        <f ca="1">IF($E$3="YTD",DATA_FORMATTING!BH131/Q$5,IF($E$3="MONTHLY",DATA_FORMATTING!BH162/'Balance Sheet'!Q$8,IF($E$3="QUARTERLY",DATA_FORMATTING!BH226/Q$3,DATA_FORMATTING!BH194/'Income Statement'!Q$4)))</f>
        <v>#NAME?</v>
      </c>
      <c r="R16" s="51" t="e">
        <f ca="1">IF($E$3="YTD",DATA_FORMATTING!BI131/R$5,IF($E$3="MONTHLY",DATA_FORMATTING!BI162/'Balance Sheet'!R$8,IF($E$3="QUARTERLY",DATA_FORMATTING!BI226/R$3,DATA_FORMATTING!BI194/'Income Statement'!R$4)))</f>
        <v>#NAME?</v>
      </c>
      <c r="S16" s="51" t="e">
        <f ca="1">IF($E$3="YTD",DATA_FORMATTING!BJ131/S$5,IF($E$3="MONTHLY",DATA_FORMATTING!BJ162/'Balance Sheet'!S$8,IF($E$3="QUARTERLY",DATA_FORMATTING!BJ226/S$3,DATA_FORMATTING!BJ194/'Income Statement'!S$4)))</f>
        <v>#NAME?</v>
      </c>
      <c r="T16" s="51" t="e">
        <f ca="1">IF($E$3="YTD",DATA_FORMATTING!BK131/T$5,IF($E$3="MONTHLY",DATA_FORMATTING!BK162/'Balance Sheet'!T$8,IF($E$3="QUARTERLY",DATA_FORMATTING!BK226/T$3,DATA_FORMATTING!BK194/'Income Statement'!T$4)))</f>
        <v>#NAME?</v>
      </c>
      <c r="U16" s="51" t="e">
        <f ca="1">IF($E$3="YTD",DATA_FORMATTING!BL131/U$5,IF($E$3="MONTHLY",DATA_FORMATTING!BL162/'Balance Sheet'!U$8,IF($E$3="QUARTERLY",DATA_FORMATTING!BL226/U$3,DATA_FORMATTING!BL194/'Income Statement'!U$4)))</f>
        <v>#NAME?</v>
      </c>
      <c r="V16" s="51" t="e">
        <f ca="1">IF($E$3="YTD",DATA_FORMATTING!BM131/V$5,IF($E$3="MONTHLY",DATA_FORMATTING!BM162/'Balance Sheet'!V$8,IF($E$3="QUARTERLY",DATA_FORMATTING!BM226/V$3,DATA_FORMATTING!BM194/'Income Statement'!V$4)))</f>
        <v>#NAME?</v>
      </c>
      <c r="W16" s="51" t="e">
        <f ca="1">IF($E$3="YTD",DATA_FORMATTING!BN131/W$5,IF($E$3="MONTHLY",DATA_FORMATTING!BN162/'Balance Sheet'!W$8,IF($E$3="QUARTERLY",DATA_FORMATTING!BN226/W$3,DATA_FORMATTING!BN194/'Income Statement'!W$4)))</f>
        <v>#NAME?</v>
      </c>
      <c r="X16" s="51" t="e">
        <f ca="1">IF($E$3="YTD",DATA_FORMATTING!BO131/X$5,IF($E$3="MONTHLY",DATA_FORMATTING!BO162/'Balance Sheet'!X$8,IF($E$3="QUARTERLY",DATA_FORMATTING!BO226/X$3,DATA_FORMATTING!BO194/'Income Statement'!X$4)))</f>
        <v>#NAME?</v>
      </c>
      <c r="Y16" s="51" t="e">
        <f ca="1">IF($E$3="YTD",DATA_FORMATTING!BP131/Y$5,IF($E$3="MONTHLY",DATA_FORMATTING!BP162/'Balance Sheet'!Y$8,IF($E$3="QUARTERLY",DATA_FORMATTING!BP226/Y$3,DATA_FORMATTING!BP194/'Income Statement'!Y$4)))</f>
        <v>#NAME?</v>
      </c>
      <c r="Z16" s="51" t="e">
        <f ca="1">IF($E$3="YTD",DATA_FORMATTING!BQ131/Z$5,IF($E$3="MONTHLY",DATA_FORMATTING!BQ162/'Balance Sheet'!Z$8,IF($E$3="QUARTERLY",DATA_FORMATTING!BQ226/Z$3,DATA_FORMATTING!BQ194/'Income Statement'!Z$4)))</f>
        <v>#NAME?</v>
      </c>
      <c r="AA16" s="51" t="e">
        <f ca="1">IF($E$3="YTD",DATA_FORMATTING!BR131/AA$5,IF($E$3="MONTHLY",DATA_FORMATTING!BR162/'Balance Sheet'!AA$8,IF($E$3="QUARTERLY",DATA_FORMATTING!BR226/AA$3,DATA_FORMATTING!BR194/'Income Statement'!AA$4)))</f>
        <v>#NAME?</v>
      </c>
      <c r="AB16" s="51" t="e">
        <f ca="1">IF($E$3="YTD",DATA_FORMATTING!BS131/AB$5,IF($E$3="MONTHLY",DATA_FORMATTING!BS162/'Balance Sheet'!AB$8,IF($E$3="QUARTERLY",DATA_FORMATTING!BS226/AB$3,DATA_FORMATTING!BS194/'Income Statement'!AB$4)))</f>
        <v>#NAME?</v>
      </c>
      <c r="AC16" s="51" t="e">
        <f ca="1">IF($E$3="YTD",DATA_FORMATTING!BT131/AC$5,IF($E$3="MONTHLY",DATA_FORMATTING!BT162/'Balance Sheet'!AC$8,IF($E$3="QUARTERLY",DATA_FORMATTING!BT226/AC$3,DATA_FORMATTING!BT194/'Income Statement'!AC$4)))</f>
        <v>#NAME?</v>
      </c>
      <c r="AD16" s="51" t="e">
        <f ca="1">IF($E$3="YTD",DATA_FORMATTING!BU131/AD$5,IF($E$3="MONTHLY",DATA_FORMATTING!BU162/'Balance Sheet'!AD$8,IF($E$3="QUARTERLY",DATA_FORMATTING!BU226/AD$3,DATA_FORMATTING!BU194/'Income Statement'!AD$4)))</f>
        <v>#NAME?</v>
      </c>
      <c r="AE16" s="51" t="e">
        <f ca="1">IF($E$3="YTD",DATA_FORMATTING!BV131/AE$5,IF($E$3="MONTHLY",DATA_FORMATTING!BV162/'Balance Sheet'!AE$8,IF($E$3="QUARTERLY",DATA_FORMATTING!BV226/AE$3,DATA_FORMATTING!BV194/'Income Statement'!AE$4)))</f>
        <v>#NAME?</v>
      </c>
      <c r="AF16" s="51" t="e">
        <f ca="1">IF($E$3="YTD",DATA_FORMATTING!BW131/AF$5,IF($E$3="MONTHLY",DATA_FORMATTING!BW162/'Balance Sheet'!AF$8,IF($E$3="QUARTERLY",DATA_FORMATTING!BW226/AF$3,DATA_FORMATTING!BW194/'Income Statement'!AF$4)))</f>
        <v>#NAME?</v>
      </c>
      <c r="AG16" s="51" t="e">
        <f ca="1">IF($E$3="YTD",DATA_FORMATTING!BX131/AG$5,IF($E$3="MONTHLY",DATA_FORMATTING!BX162/'Balance Sheet'!AG$8,IF($E$3="QUARTERLY",DATA_FORMATTING!BX226/AG$3,DATA_FORMATTING!BX194/'Income Statement'!AG$4)))</f>
        <v>#NAME?</v>
      </c>
      <c r="AH16" s="51" t="e">
        <f ca="1">IF($E$3="YTD",DATA_FORMATTING!BY131/AH$5,IF($E$3="MONTHLY",DATA_FORMATTING!BY162/'Balance Sheet'!AH$8,IF($E$3="QUARTERLY",DATA_FORMATTING!BY226/AH$3,DATA_FORMATTING!BY194/'Income Statement'!AH$4)))</f>
        <v>#NAME?</v>
      </c>
      <c r="AI16" s="51" t="e">
        <f ca="1">IF($E$3="YTD",DATA_FORMATTING!BZ131/AI$5,IF($E$3="MONTHLY",DATA_FORMATTING!BZ162/'Balance Sheet'!AI$8,IF($E$3="QUARTERLY",DATA_FORMATTING!BZ226/AI$3,DATA_FORMATTING!BZ194/'Income Statement'!AI$4)))</f>
        <v>#NAME?</v>
      </c>
      <c r="AJ16" s="51" t="e">
        <f ca="1">IF($E$3="YTD",DATA_FORMATTING!CA131/AJ$5,IF($E$3="MONTHLY",DATA_FORMATTING!CA162/'Balance Sheet'!AJ$8,IF($E$3="QUARTERLY",DATA_FORMATTING!CA226/AJ$3,DATA_FORMATTING!CA194/'Income Statement'!AJ$4)))</f>
        <v>#NAME?</v>
      </c>
      <c r="AK16" s="51" t="e">
        <f ca="1">IF($E$3="YTD",DATA_FORMATTING!CB131/AK$5,IF($E$3="MONTHLY",DATA_FORMATTING!CB162/'Balance Sheet'!AK$8,IF($E$3="QUARTERLY",DATA_FORMATTING!CB226/AK$3,DATA_FORMATTING!CB194/'Income Statement'!AK$4)))</f>
        <v>#NAME?</v>
      </c>
      <c r="AL16" s="51" t="e">
        <f ca="1">IF($E$3="YTD",DATA_FORMATTING!CC131/AL$5,IF($E$3="MONTHLY",DATA_FORMATTING!CC162/'Balance Sheet'!AL$8,IF($E$3="QUARTERLY",DATA_FORMATTING!CC226/AL$3,DATA_FORMATTING!CC194/'Income Statement'!AL$4)))</f>
        <v>#NAME?</v>
      </c>
      <c r="AM16" s="51" t="e">
        <f ca="1">IF($E$3="YTD",DATA_FORMATTING!CD131/AM$5,IF($E$3="MONTHLY",DATA_FORMATTING!CD162/'Balance Sheet'!AM$8,IF($E$3="QUARTERLY",DATA_FORMATTING!CD226/AM$3,DATA_FORMATTING!CD194/'Income Statement'!AM$4)))</f>
        <v>#NAME?</v>
      </c>
      <c r="AN16" s="51" t="e">
        <f ca="1">IF($E$3="YTD",DATA_FORMATTING!CE131/AN$5,IF($E$3="MONTHLY",DATA_FORMATTING!CE162/'Balance Sheet'!AN$8,IF($E$3="QUARTERLY",DATA_FORMATTING!CE226/AN$3,DATA_FORMATTING!CE194/'Income Statement'!AN$4)))</f>
        <v>#NAME?</v>
      </c>
      <c r="AO16" s="51" t="e">
        <f ca="1">IF($E$3="YTD",DATA_FORMATTING!CF131/AO$5,IF($E$3="MONTHLY",DATA_FORMATTING!CF162/'Balance Sheet'!AO$8,IF($E$3="QUARTERLY",DATA_FORMATTING!CF226/AO$3,DATA_FORMATTING!CF194/'Income Statement'!AO$4)))</f>
        <v>#NAME?</v>
      </c>
      <c r="AP16" s="51" t="e">
        <f ca="1">IF($E$3="YTD",DATA_FORMATTING!CG131/AP$5,IF($E$3="MONTHLY",DATA_FORMATTING!CG162/'Balance Sheet'!AP$8,IF($E$3="QUARTERLY",DATA_FORMATTING!CG226/AP$3,DATA_FORMATTING!CG194/'Income Statement'!AP$4)))</f>
        <v>#NAME?</v>
      </c>
      <c r="AQ16" s="257" t="e">
        <f ca="1">IF($E$3="YTD",DATA_FORMATTING!CH131/AQ$5,IF($E$3="MONTHLY",DATA_FORMATTING!CH162/'Balance Sheet'!AQ$8,IF($E$3="QUARTERLY",DATA_FORMATTING!CH226/AQ$3,DATA_FORMATTING!CH194/'Income Statement'!AQ$4)))</f>
        <v>#NAME?</v>
      </c>
      <c r="AR16" s="258"/>
    </row>
    <row r="17" spans="2:44" ht="15.75">
      <c r="C17" s="595" t="s">
        <v>99</v>
      </c>
      <c r="D17" s="212" t="e">
        <f t="shared" ca="1" si="5"/>
        <v>#NAME?</v>
      </c>
      <c r="E17" s="211" t="e">
        <f t="shared" si="5"/>
        <v>#N/A</v>
      </c>
      <c r="F17" s="211" t="e">
        <f ca="1">+E17-D17</f>
        <v>#N/A</v>
      </c>
      <c r="G17" s="210">
        <f t="shared" ca="1" si="2"/>
        <v>0</v>
      </c>
      <c r="H17" s="46" t="e">
        <f t="shared" ref="H17:AQ17" ca="1" si="6">SUM(H12,H15:H16)</f>
        <v>#NAME?</v>
      </c>
      <c r="I17" s="46" t="e">
        <f t="shared" ca="1" si="6"/>
        <v>#NAME?</v>
      </c>
      <c r="J17" s="46" t="e">
        <f t="shared" ca="1" si="6"/>
        <v>#NAME?</v>
      </c>
      <c r="K17" s="46" t="e">
        <f t="shared" ca="1" si="6"/>
        <v>#NAME?</v>
      </c>
      <c r="L17" s="46" t="e">
        <f t="shared" ca="1" si="6"/>
        <v>#NAME?</v>
      </c>
      <c r="M17" s="46" t="e">
        <f t="shared" ca="1" si="6"/>
        <v>#NAME?</v>
      </c>
      <c r="N17" s="46" t="e">
        <f t="shared" ca="1" si="6"/>
        <v>#NAME?</v>
      </c>
      <c r="O17" s="46" t="e">
        <f t="shared" ca="1" si="6"/>
        <v>#NAME?</v>
      </c>
      <c r="P17" s="46" t="e">
        <f t="shared" ca="1" si="6"/>
        <v>#NAME?</v>
      </c>
      <c r="Q17" s="46" t="e">
        <f t="shared" ca="1" si="6"/>
        <v>#NAME?</v>
      </c>
      <c r="R17" s="46" t="e">
        <f t="shared" ca="1" si="6"/>
        <v>#NAME?</v>
      </c>
      <c r="S17" s="46" t="e">
        <f t="shared" ca="1" si="6"/>
        <v>#NAME?</v>
      </c>
      <c r="T17" s="46" t="e">
        <f t="shared" ca="1" si="6"/>
        <v>#NAME?</v>
      </c>
      <c r="U17" s="46" t="e">
        <f t="shared" ca="1" si="6"/>
        <v>#NAME?</v>
      </c>
      <c r="V17" s="46" t="e">
        <f t="shared" ca="1" si="6"/>
        <v>#NAME?</v>
      </c>
      <c r="W17" s="46" t="e">
        <f t="shared" ca="1" si="6"/>
        <v>#NAME?</v>
      </c>
      <c r="X17" s="46" t="e">
        <f t="shared" ca="1" si="6"/>
        <v>#NAME?</v>
      </c>
      <c r="Y17" s="46" t="e">
        <f t="shared" ca="1" si="6"/>
        <v>#NAME?</v>
      </c>
      <c r="Z17" s="46" t="e">
        <f t="shared" ca="1" si="6"/>
        <v>#NAME?</v>
      </c>
      <c r="AA17" s="46" t="e">
        <f t="shared" ca="1" si="6"/>
        <v>#NAME?</v>
      </c>
      <c r="AB17" s="46" t="e">
        <f t="shared" ca="1" si="6"/>
        <v>#NAME?</v>
      </c>
      <c r="AC17" s="46" t="e">
        <f t="shared" ca="1" si="6"/>
        <v>#NAME?</v>
      </c>
      <c r="AD17" s="46" t="e">
        <f t="shared" ca="1" si="6"/>
        <v>#NAME?</v>
      </c>
      <c r="AE17" s="46" t="e">
        <f t="shared" ca="1" si="6"/>
        <v>#NAME?</v>
      </c>
      <c r="AF17" s="46" t="e">
        <f t="shared" ca="1" si="6"/>
        <v>#NAME?</v>
      </c>
      <c r="AG17" s="46" t="e">
        <f t="shared" ca="1" si="6"/>
        <v>#NAME?</v>
      </c>
      <c r="AH17" s="46" t="e">
        <f t="shared" ca="1" si="6"/>
        <v>#NAME?</v>
      </c>
      <c r="AI17" s="46" t="e">
        <f t="shared" ca="1" si="6"/>
        <v>#NAME?</v>
      </c>
      <c r="AJ17" s="46" t="e">
        <f t="shared" ca="1" si="6"/>
        <v>#NAME?</v>
      </c>
      <c r="AK17" s="46" t="e">
        <f t="shared" ca="1" si="6"/>
        <v>#NAME?</v>
      </c>
      <c r="AL17" s="46" t="e">
        <f t="shared" ca="1" si="6"/>
        <v>#NAME?</v>
      </c>
      <c r="AM17" s="46" t="e">
        <f t="shared" ca="1" si="6"/>
        <v>#NAME?</v>
      </c>
      <c r="AN17" s="46" t="e">
        <f t="shared" ca="1" si="6"/>
        <v>#NAME?</v>
      </c>
      <c r="AO17" s="46" t="e">
        <f t="shared" ca="1" si="6"/>
        <v>#NAME?</v>
      </c>
      <c r="AP17" s="46" t="e">
        <f t="shared" ca="1" si="6"/>
        <v>#NAME?</v>
      </c>
      <c r="AQ17" s="596" t="e">
        <f t="shared" ca="1" si="6"/>
        <v>#NAME?</v>
      </c>
      <c r="AR17" s="258"/>
    </row>
    <row r="18" spans="2:44">
      <c r="C18" s="597" t="s">
        <v>101</v>
      </c>
      <c r="D18" s="598" t="str">
        <f ca="1">IFERROR(D$17/D8,"-")</f>
        <v>-</v>
      </c>
      <c r="E18" s="48" t="str">
        <f>IFERROR(E$17/E8,"-")</f>
        <v>-</v>
      </c>
      <c r="F18" s="599"/>
      <c r="G18" s="600"/>
      <c r="H18" s="48" t="str">
        <f t="shared" ref="H18:AQ18" ca="1" si="7">IFERROR(H17/H$8,"-")</f>
        <v>-</v>
      </c>
      <c r="I18" s="48" t="str">
        <f t="shared" ca="1" si="7"/>
        <v>-</v>
      </c>
      <c r="J18" s="48" t="str">
        <f t="shared" ca="1" si="7"/>
        <v>-</v>
      </c>
      <c r="K18" s="48" t="str">
        <f t="shared" ca="1" si="7"/>
        <v>-</v>
      </c>
      <c r="L18" s="48" t="str">
        <f t="shared" ca="1" si="7"/>
        <v>-</v>
      </c>
      <c r="M18" s="48" t="str">
        <f t="shared" ca="1" si="7"/>
        <v>-</v>
      </c>
      <c r="N18" s="48" t="str">
        <f t="shared" ca="1" si="7"/>
        <v>-</v>
      </c>
      <c r="O18" s="48" t="str">
        <f t="shared" ca="1" si="7"/>
        <v>-</v>
      </c>
      <c r="P18" s="48" t="str">
        <f t="shared" ca="1" si="7"/>
        <v>-</v>
      </c>
      <c r="Q18" s="48" t="str">
        <f t="shared" ca="1" si="7"/>
        <v>-</v>
      </c>
      <c r="R18" s="48" t="str">
        <f t="shared" ca="1" si="7"/>
        <v>-</v>
      </c>
      <c r="S18" s="48" t="str">
        <f t="shared" ca="1" si="7"/>
        <v>-</v>
      </c>
      <c r="T18" s="48" t="str">
        <f t="shared" ca="1" si="7"/>
        <v>-</v>
      </c>
      <c r="U18" s="48" t="str">
        <f t="shared" ca="1" si="7"/>
        <v>-</v>
      </c>
      <c r="V18" s="48" t="str">
        <f t="shared" ca="1" si="7"/>
        <v>-</v>
      </c>
      <c r="W18" s="48" t="str">
        <f t="shared" ca="1" si="7"/>
        <v>-</v>
      </c>
      <c r="X18" s="48" t="str">
        <f t="shared" ca="1" si="7"/>
        <v>-</v>
      </c>
      <c r="Y18" s="48" t="str">
        <f t="shared" ca="1" si="7"/>
        <v>-</v>
      </c>
      <c r="Z18" s="48" t="str">
        <f t="shared" ca="1" si="7"/>
        <v>-</v>
      </c>
      <c r="AA18" s="48" t="str">
        <f t="shared" ca="1" si="7"/>
        <v>-</v>
      </c>
      <c r="AB18" s="48" t="str">
        <f t="shared" ca="1" si="7"/>
        <v>-</v>
      </c>
      <c r="AC18" s="48" t="str">
        <f t="shared" ca="1" si="7"/>
        <v>-</v>
      </c>
      <c r="AD18" s="48" t="str">
        <f t="shared" ca="1" si="7"/>
        <v>-</v>
      </c>
      <c r="AE18" s="48" t="str">
        <f t="shared" ca="1" si="7"/>
        <v>-</v>
      </c>
      <c r="AF18" s="48" t="str">
        <f t="shared" ca="1" si="7"/>
        <v>-</v>
      </c>
      <c r="AG18" s="48" t="str">
        <f t="shared" ca="1" si="7"/>
        <v>-</v>
      </c>
      <c r="AH18" s="48" t="str">
        <f t="shared" ca="1" si="7"/>
        <v>-</v>
      </c>
      <c r="AI18" s="48" t="str">
        <f t="shared" ca="1" si="7"/>
        <v>-</v>
      </c>
      <c r="AJ18" s="48" t="str">
        <f t="shared" ca="1" si="7"/>
        <v>-</v>
      </c>
      <c r="AK18" s="48" t="str">
        <f t="shared" ca="1" si="7"/>
        <v>-</v>
      </c>
      <c r="AL18" s="48" t="str">
        <f t="shared" ca="1" si="7"/>
        <v>-</v>
      </c>
      <c r="AM18" s="48" t="str">
        <f t="shared" ca="1" si="7"/>
        <v>-</v>
      </c>
      <c r="AN18" s="48" t="str">
        <f t="shared" ca="1" si="7"/>
        <v>-</v>
      </c>
      <c r="AO18" s="48" t="str">
        <f t="shared" ca="1" si="7"/>
        <v>-</v>
      </c>
      <c r="AP18" s="48" t="str">
        <f t="shared" ca="1" si="7"/>
        <v>-</v>
      </c>
      <c r="AQ18" s="601" t="str">
        <f t="shared" ca="1" si="7"/>
        <v>-</v>
      </c>
    </row>
    <row r="19" spans="2:44">
      <c r="C19" s="606"/>
      <c r="D19" s="607"/>
      <c r="E19" s="607"/>
      <c r="F19" s="607"/>
      <c r="G19" s="608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257"/>
    </row>
    <row r="20" spans="2:44" ht="15.75">
      <c r="B20" s="245">
        <f>DATA_FORMATTING!C16</f>
        <v>0</v>
      </c>
      <c r="C20" s="609" t="s">
        <v>106</v>
      </c>
      <c r="D20" s="236" t="e">
        <f t="shared" ref="D20:E23" ca="1" si="8">HLOOKUP(D$6,IS,(ROW($C20)-ROW($C$6)+1),FALSE)</f>
        <v>#NAME?</v>
      </c>
      <c r="E20" s="183" t="e">
        <f t="shared" si="8"/>
        <v>#N/A</v>
      </c>
      <c r="F20" s="183" t="e">
        <f ca="1">+E20-D20</f>
        <v>#N/A</v>
      </c>
      <c r="G20" s="184">
        <f t="shared" ca="1" si="2"/>
        <v>0</v>
      </c>
      <c r="H20" s="51" t="e">
        <f ca="1">IF($E$3="YTD",DATA_FORMATTING!AY135/H$5,IF($E$3="MONTHLY",DATA_FORMATTING!AY166/'Balance Sheet'!H$8,IF($E$3="QUARTERLY",DATA_FORMATTING!AY230/H$3,DATA_FORMATTING!AY198/'Income Statement'!H$4)))</f>
        <v>#NAME?</v>
      </c>
      <c r="I20" s="51" t="e">
        <f ca="1">IF($E$3="YTD",DATA_FORMATTING!AZ135/I$5,IF($E$3="MONTHLY",DATA_FORMATTING!AZ166/'Balance Sheet'!I$8,IF($E$3="QUARTERLY",DATA_FORMATTING!AZ230/I$3,DATA_FORMATTING!AZ198/'Income Statement'!I$4)))</f>
        <v>#NAME?</v>
      </c>
      <c r="J20" s="51" t="e">
        <f ca="1">IF($E$3="YTD",DATA_FORMATTING!BA135/J$5,IF($E$3="MONTHLY",DATA_FORMATTING!BA166/'Balance Sheet'!J$8,IF($E$3="QUARTERLY",DATA_FORMATTING!BA230/J$3,DATA_FORMATTING!BA198/'Income Statement'!J$4)))</f>
        <v>#NAME?</v>
      </c>
      <c r="K20" s="51" t="e">
        <f ca="1">IF($E$3="YTD",DATA_FORMATTING!BB135/K$5,IF($E$3="MONTHLY",DATA_FORMATTING!BB166/'Balance Sheet'!K$8,IF($E$3="QUARTERLY",DATA_FORMATTING!BB230/K$3,DATA_FORMATTING!BB198/'Income Statement'!K$4)))</f>
        <v>#NAME?</v>
      </c>
      <c r="L20" s="51" t="e">
        <f ca="1">IF($E$3="YTD",DATA_FORMATTING!BC135/L$5,IF($E$3="MONTHLY",DATA_FORMATTING!BC166/'Balance Sheet'!L$8,IF($E$3="QUARTERLY",DATA_FORMATTING!BC230/L$3,DATA_FORMATTING!BC198/'Income Statement'!L$4)))</f>
        <v>#NAME?</v>
      </c>
      <c r="M20" s="51" t="e">
        <f ca="1">IF($E$3="YTD",DATA_FORMATTING!BD135/M$5,IF($E$3="MONTHLY",DATA_FORMATTING!BD166/'Balance Sheet'!M$8,IF($E$3="QUARTERLY",DATA_FORMATTING!BD230/M$3,DATA_FORMATTING!BD198/'Income Statement'!M$4)))</f>
        <v>#NAME?</v>
      </c>
      <c r="N20" s="51" t="e">
        <f ca="1">IF($E$3="YTD",DATA_FORMATTING!BE135/N$5,IF($E$3="MONTHLY",DATA_FORMATTING!BE166/'Balance Sheet'!N$8,IF($E$3="QUARTERLY",DATA_FORMATTING!BE230/N$3,DATA_FORMATTING!BE198/'Income Statement'!N$4)))</f>
        <v>#NAME?</v>
      </c>
      <c r="O20" s="51" t="e">
        <f ca="1">IF($E$3="YTD",DATA_FORMATTING!BF135/O$5,IF($E$3="MONTHLY",DATA_FORMATTING!BF166/'Balance Sheet'!O$8,IF($E$3="QUARTERLY",DATA_FORMATTING!BF230/O$3,DATA_FORMATTING!BF198/'Income Statement'!O$4)))</f>
        <v>#NAME?</v>
      </c>
      <c r="P20" s="51" t="e">
        <f ca="1">IF($E$3="YTD",DATA_FORMATTING!BG135/P$5,IF($E$3="MONTHLY",DATA_FORMATTING!BG166/'Balance Sheet'!P$8,IF($E$3="QUARTERLY",DATA_FORMATTING!BG230/P$3,DATA_FORMATTING!BG198/'Income Statement'!P$4)))</f>
        <v>#NAME?</v>
      </c>
      <c r="Q20" s="51" t="e">
        <f ca="1">IF($E$3="YTD",DATA_FORMATTING!BH135/Q$5,IF($E$3="MONTHLY",DATA_FORMATTING!BH166/'Balance Sheet'!Q$8,IF($E$3="QUARTERLY",DATA_FORMATTING!BH230/Q$3,DATA_FORMATTING!BH198/'Income Statement'!Q$4)))</f>
        <v>#NAME?</v>
      </c>
      <c r="R20" s="51" t="e">
        <f ca="1">IF($E$3="YTD",DATA_FORMATTING!BI135/R$5,IF($E$3="MONTHLY",DATA_FORMATTING!BI166/'Balance Sheet'!R$8,IF($E$3="QUARTERLY",DATA_FORMATTING!BI230/R$3,DATA_FORMATTING!BI198/'Income Statement'!R$4)))</f>
        <v>#NAME?</v>
      </c>
      <c r="S20" s="51" t="e">
        <f ca="1">IF($E$3="YTD",DATA_FORMATTING!BJ135/S$5,IF($E$3="MONTHLY",DATA_FORMATTING!BJ166/'Balance Sheet'!S$8,IF($E$3="QUARTERLY",DATA_FORMATTING!BJ230/S$3,DATA_FORMATTING!BJ198/'Income Statement'!S$4)))</f>
        <v>#NAME?</v>
      </c>
      <c r="T20" s="51" t="e">
        <f ca="1">IF($E$3="YTD",DATA_FORMATTING!BK135/T$5,IF($E$3="MONTHLY",DATA_FORMATTING!BK166/'Balance Sheet'!T$8,IF($E$3="QUARTERLY",DATA_FORMATTING!BK230/T$3,DATA_FORMATTING!BK198/'Income Statement'!T$4)))</f>
        <v>#NAME?</v>
      </c>
      <c r="U20" s="51" t="e">
        <f ca="1">IF($E$3="YTD",DATA_FORMATTING!BL135/U$5,IF($E$3="MONTHLY",DATA_FORMATTING!BL166/'Balance Sheet'!U$8,IF($E$3="QUARTERLY",DATA_FORMATTING!BL230/U$3,DATA_FORMATTING!BL198/'Income Statement'!U$4)))</f>
        <v>#NAME?</v>
      </c>
      <c r="V20" s="51" t="e">
        <f ca="1">IF($E$3="YTD",DATA_FORMATTING!BM135/V$5,IF($E$3="MONTHLY",DATA_FORMATTING!BM166/'Balance Sheet'!V$8,IF($E$3="QUARTERLY",DATA_FORMATTING!BM230/V$3,DATA_FORMATTING!BM198/'Income Statement'!V$4)))</f>
        <v>#NAME?</v>
      </c>
      <c r="W20" s="51" t="e">
        <f ca="1">IF($E$3="YTD",DATA_FORMATTING!BN135/W$5,IF($E$3="MONTHLY",DATA_FORMATTING!BN166/'Balance Sheet'!W$8,IF($E$3="QUARTERLY",DATA_FORMATTING!BN230/W$3,DATA_FORMATTING!BN198/'Income Statement'!W$4)))</f>
        <v>#NAME?</v>
      </c>
      <c r="X20" s="51" t="e">
        <f ca="1">IF($E$3="YTD",DATA_FORMATTING!BO135/X$5,IF($E$3="MONTHLY",DATA_FORMATTING!BO166/'Balance Sheet'!X$8,IF($E$3="QUARTERLY",DATA_FORMATTING!BO230/X$3,DATA_FORMATTING!BO198/'Income Statement'!X$4)))</f>
        <v>#NAME?</v>
      </c>
      <c r="Y20" s="51" t="e">
        <f ca="1">IF($E$3="YTD",DATA_FORMATTING!BP135/Y$5,IF($E$3="MONTHLY",DATA_FORMATTING!BP166/'Balance Sheet'!Y$8,IF($E$3="QUARTERLY",DATA_FORMATTING!BP230/Y$3,DATA_FORMATTING!BP198/'Income Statement'!Y$4)))</f>
        <v>#NAME?</v>
      </c>
      <c r="Z20" s="51" t="e">
        <f ca="1">IF($E$3="YTD",DATA_FORMATTING!BQ135/Z$5,IF($E$3="MONTHLY",DATA_FORMATTING!BQ166/'Balance Sheet'!Z$8,IF($E$3="QUARTERLY",DATA_FORMATTING!BQ230/Z$3,DATA_FORMATTING!BQ198/'Income Statement'!Z$4)))</f>
        <v>#NAME?</v>
      </c>
      <c r="AA20" s="51" t="e">
        <f ca="1">IF($E$3="YTD",DATA_FORMATTING!BR135/AA$5,IF($E$3="MONTHLY",DATA_FORMATTING!BR166/'Balance Sheet'!AA$8,IF($E$3="QUARTERLY",DATA_FORMATTING!BR230/AA$3,DATA_FORMATTING!BR198/'Income Statement'!AA$4)))</f>
        <v>#NAME?</v>
      </c>
      <c r="AB20" s="51" t="e">
        <f ca="1">IF($E$3="YTD",DATA_FORMATTING!BS135/AB$5,IF($E$3="MONTHLY",DATA_FORMATTING!BS166/'Balance Sheet'!AB$8,IF($E$3="QUARTERLY",DATA_FORMATTING!BS230/AB$3,DATA_FORMATTING!BS198/'Income Statement'!AB$4)))</f>
        <v>#NAME?</v>
      </c>
      <c r="AC20" s="51" t="e">
        <f ca="1">IF($E$3="YTD",DATA_FORMATTING!BT135/AC$5,IF($E$3="MONTHLY",DATA_FORMATTING!BT166/'Balance Sheet'!AC$8,IF($E$3="QUARTERLY",DATA_FORMATTING!BT230/AC$3,DATA_FORMATTING!BT198/'Income Statement'!AC$4)))</f>
        <v>#NAME?</v>
      </c>
      <c r="AD20" s="51" t="e">
        <f ca="1">IF($E$3="YTD",DATA_FORMATTING!BU135/AD$5,IF($E$3="MONTHLY",DATA_FORMATTING!BU166/'Balance Sheet'!AD$8,IF($E$3="QUARTERLY",DATA_FORMATTING!BU230/AD$3,DATA_FORMATTING!BU198/'Income Statement'!AD$4)))</f>
        <v>#NAME?</v>
      </c>
      <c r="AE20" s="51" t="e">
        <f ca="1">IF($E$3="YTD",DATA_FORMATTING!BV135/AE$5,IF($E$3="MONTHLY",DATA_FORMATTING!BV166/'Balance Sheet'!AE$8,IF($E$3="QUARTERLY",DATA_FORMATTING!BV230/AE$3,DATA_FORMATTING!BV198/'Income Statement'!AE$4)))</f>
        <v>#NAME?</v>
      </c>
      <c r="AF20" s="51" t="e">
        <f ca="1">IF($E$3="YTD",DATA_FORMATTING!BW135/AF$5,IF($E$3="MONTHLY",DATA_FORMATTING!BW166/'Balance Sheet'!AF$8,IF($E$3="QUARTERLY",DATA_FORMATTING!BW230/AF$3,DATA_FORMATTING!BW198/'Income Statement'!AF$4)))</f>
        <v>#NAME?</v>
      </c>
      <c r="AG20" s="51" t="e">
        <f ca="1">IF($E$3="YTD",DATA_FORMATTING!BX135/AG$5,IF($E$3="MONTHLY",DATA_FORMATTING!BX166/'Balance Sheet'!AG$8,IF($E$3="QUARTERLY",DATA_FORMATTING!BX230/AG$3,DATA_FORMATTING!BX198/'Income Statement'!AG$4)))</f>
        <v>#NAME?</v>
      </c>
      <c r="AH20" s="51" t="e">
        <f ca="1">IF($E$3="YTD",DATA_FORMATTING!BY135/AH$5,IF($E$3="MONTHLY",DATA_FORMATTING!BY166/'Balance Sheet'!AH$8,IF($E$3="QUARTERLY",DATA_FORMATTING!BY230/AH$3,DATA_FORMATTING!BY198/'Income Statement'!AH$4)))</f>
        <v>#NAME?</v>
      </c>
      <c r="AI20" s="51" t="e">
        <f ca="1">IF($E$3="YTD",DATA_FORMATTING!BZ135/AI$5,IF($E$3="MONTHLY",DATA_FORMATTING!BZ166/'Balance Sheet'!AI$8,IF($E$3="QUARTERLY",DATA_FORMATTING!BZ230/AI$3,DATA_FORMATTING!BZ198/'Income Statement'!AI$4)))</f>
        <v>#NAME?</v>
      </c>
      <c r="AJ20" s="51" t="e">
        <f ca="1">IF($E$3="YTD",DATA_FORMATTING!CA135/AJ$5,IF($E$3="MONTHLY",DATA_FORMATTING!CA166/'Balance Sheet'!AJ$8,IF($E$3="QUARTERLY",DATA_FORMATTING!CA230/AJ$3,DATA_FORMATTING!CA198/'Income Statement'!AJ$4)))</f>
        <v>#NAME?</v>
      </c>
      <c r="AK20" s="51" t="e">
        <f ca="1">IF($E$3="YTD",DATA_FORMATTING!CB135/AK$5,IF($E$3="MONTHLY",DATA_FORMATTING!CB166/'Balance Sheet'!AK$8,IF($E$3="QUARTERLY",DATA_FORMATTING!CB230/AK$3,DATA_FORMATTING!CB198/'Income Statement'!AK$4)))</f>
        <v>#NAME?</v>
      </c>
      <c r="AL20" s="51" t="e">
        <f ca="1">IF($E$3="YTD",DATA_FORMATTING!CC135/AL$5,IF($E$3="MONTHLY",DATA_FORMATTING!CC166/'Balance Sheet'!AL$8,IF($E$3="QUARTERLY",DATA_FORMATTING!CC230/AL$3,DATA_FORMATTING!CC198/'Income Statement'!AL$4)))</f>
        <v>#NAME?</v>
      </c>
      <c r="AM20" s="51" t="e">
        <f ca="1">IF($E$3="YTD",DATA_FORMATTING!CD135/AM$5,IF($E$3="MONTHLY",DATA_FORMATTING!CD166/'Balance Sheet'!AM$8,IF($E$3="QUARTERLY",DATA_FORMATTING!CD230/AM$3,DATA_FORMATTING!CD198/'Income Statement'!AM$4)))</f>
        <v>#NAME?</v>
      </c>
      <c r="AN20" s="51" t="e">
        <f ca="1">IF($E$3="YTD",DATA_FORMATTING!CE135/AN$5,IF($E$3="MONTHLY",DATA_FORMATTING!CE166/'Balance Sheet'!AN$8,IF($E$3="QUARTERLY",DATA_FORMATTING!CE230/AN$3,DATA_FORMATTING!CE198/'Income Statement'!AN$4)))</f>
        <v>#NAME?</v>
      </c>
      <c r="AO20" s="51" t="e">
        <f ca="1">IF($E$3="YTD",DATA_FORMATTING!CF135/AO$5,IF($E$3="MONTHLY",DATA_FORMATTING!CF166/'Balance Sheet'!AO$8,IF($E$3="QUARTERLY",DATA_FORMATTING!CF230/AO$3,DATA_FORMATTING!CF198/'Income Statement'!AO$4)))</f>
        <v>#NAME?</v>
      </c>
      <c r="AP20" s="51" t="e">
        <f ca="1">IF($E$3="YTD",DATA_FORMATTING!CG135/AP$5,IF($E$3="MONTHLY",DATA_FORMATTING!CG166/'Balance Sheet'!AP$8,IF($E$3="QUARTERLY",DATA_FORMATTING!CG230/AP$3,DATA_FORMATTING!CG198/'Income Statement'!AP$4)))</f>
        <v>#NAME?</v>
      </c>
      <c r="AQ20" s="257" t="e">
        <f ca="1">IF($E$3="YTD",DATA_FORMATTING!CH135/AQ$5,IF($E$3="MONTHLY",DATA_FORMATTING!CH166/'Balance Sheet'!AQ$8,IF($E$3="QUARTERLY",DATA_FORMATTING!CH230/AQ$3,DATA_FORMATTING!CH198/'Income Statement'!AQ$4)))</f>
        <v>#NAME?</v>
      </c>
    </row>
    <row r="21" spans="2:44" ht="15.75">
      <c r="B21" s="245">
        <f>DATA_FORMATTING!C17</f>
        <v>0</v>
      </c>
      <c r="C21" s="609" t="s">
        <v>109</v>
      </c>
      <c r="D21" s="236" t="e">
        <f t="shared" ca="1" si="8"/>
        <v>#NAME?</v>
      </c>
      <c r="E21" s="183" t="e">
        <f t="shared" si="8"/>
        <v>#N/A</v>
      </c>
      <c r="F21" s="183" t="e">
        <f ca="1">+E21-D21</f>
        <v>#N/A</v>
      </c>
      <c r="G21" s="184">
        <f t="shared" ca="1" si="2"/>
        <v>0</v>
      </c>
      <c r="H21" s="51" t="e">
        <f ca="1">IF($E$3="YTD",DATA_FORMATTING!AY136/H$5,IF($E$3="MONTHLY",DATA_FORMATTING!AY167/'Balance Sheet'!H$8,IF($E$3="QUARTERLY",DATA_FORMATTING!AY231/H$3,DATA_FORMATTING!AY199/'Income Statement'!H$4)))</f>
        <v>#NAME?</v>
      </c>
      <c r="I21" s="51" t="e">
        <f ca="1">IF($E$3="YTD",DATA_FORMATTING!AZ136/I$5,IF($E$3="MONTHLY",DATA_FORMATTING!AZ167/'Balance Sheet'!I$8,IF($E$3="QUARTERLY",DATA_FORMATTING!AZ231/I$3,DATA_FORMATTING!AZ199/'Income Statement'!I$4)))</f>
        <v>#NAME?</v>
      </c>
      <c r="J21" s="51" t="e">
        <f ca="1">IF($E$3="YTD",DATA_FORMATTING!BA136/J$5,IF($E$3="MONTHLY",DATA_FORMATTING!BA167/'Balance Sheet'!J$8,IF($E$3="QUARTERLY",DATA_FORMATTING!BA231/J$3,DATA_FORMATTING!BA199/'Income Statement'!J$4)))</f>
        <v>#NAME?</v>
      </c>
      <c r="K21" s="51" t="e">
        <f ca="1">IF($E$3="YTD",DATA_FORMATTING!BB136/K$5,IF($E$3="MONTHLY",DATA_FORMATTING!BB167/'Balance Sheet'!K$8,IF($E$3="QUARTERLY",DATA_FORMATTING!BB231/K$3,DATA_FORMATTING!BB199/'Income Statement'!K$4)))</f>
        <v>#NAME?</v>
      </c>
      <c r="L21" s="51" t="e">
        <f ca="1">IF($E$3="YTD",DATA_FORMATTING!BC136/L$5,IF($E$3="MONTHLY",DATA_FORMATTING!BC167/'Balance Sheet'!L$8,IF($E$3="QUARTERLY",DATA_FORMATTING!BC231/L$3,DATA_FORMATTING!BC199/'Income Statement'!L$4)))</f>
        <v>#NAME?</v>
      </c>
      <c r="M21" s="51" t="e">
        <f ca="1">IF($E$3="YTD",DATA_FORMATTING!BD136/M$5,IF($E$3="MONTHLY",DATA_FORMATTING!BD167/'Balance Sheet'!M$8,IF($E$3="QUARTERLY",DATA_FORMATTING!BD231/M$3,DATA_FORMATTING!BD199/'Income Statement'!M$4)))</f>
        <v>#NAME?</v>
      </c>
      <c r="N21" s="51" t="e">
        <f ca="1">IF($E$3="YTD",DATA_FORMATTING!BE136/N$5,IF($E$3="MONTHLY",DATA_FORMATTING!BE167/'Balance Sheet'!N$8,IF($E$3="QUARTERLY",DATA_FORMATTING!BE231/N$3,DATA_FORMATTING!BE199/'Income Statement'!N$4)))</f>
        <v>#NAME?</v>
      </c>
      <c r="O21" s="51" t="e">
        <f ca="1">IF($E$3="YTD",DATA_FORMATTING!BF136/O$5,IF($E$3="MONTHLY",DATA_FORMATTING!BF167/'Balance Sheet'!O$8,IF($E$3="QUARTERLY",DATA_FORMATTING!BF231/O$3,DATA_FORMATTING!BF199/'Income Statement'!O$4)))</f>
        <v>#NAME?</v>
      </c>
      <c r="P21" s="51" t="e">
        <f ca="1">IF($E$3="YTD",DATA_FORMATTING!BG136/P$5,IF($E$3="MONTHLY",DATA_FORMATTING!BG167/'Balance Sheet'!P$8,IF($E$3="QUARTERLY",DATA_FORMATTING!BG231/P$3,DATA_FORMATTING!BG199/'Income Statement'!P$4)))</f>
        <v>#NAME?</v>
      </c>
      <c r="Q21" s="51" t="e">
        <f ca="1">IF($E$3="YTD",DATA_FORMATTING!BH136/Q$5,IF($E$3="MONTHLY",DATA_FORMATTING!BH167/'Balance Sheet'!Q$8,IF($E$3="QUARTERLY",DATA_FORMATTING!BH231/Q$3,DATA_FORMATTING!BH199/'Income Statement'!Q$4)))</f>
        <v>#NAME?</v>
      </c>
      <c r="R21" s="51" t="e">
        <f ca="1">IF($E$3="YTD",DATA_FORMATTING!BI136/R$5,IF($E$3="MONTHLY",DATA_FORMATTING!BI167/'Balance Sheet'!R$8,IF($E$3="QUARTERLY",DATA_FORMATTING!BI231/R$3,DATA_FORMATTING!BI199/'Income Statement'!R$4)))</f>
        <v>#NAME?</v>
      </c>
      <c r="S21" s="51" t="e">
        <f ca="1">IF($E$3="YTD",DATA_FORMATTING!BJ136/S$5,IF($E$3="MONTHLY",DATA_FORMATTING!BJ167/'Balance Sheet'!S$8,IF($E$3="QUARTERLY",DATA_FORMATTING!BJ231/S$3,DATA_FORMATTING!BJ199/'Income Statement'!S$4)))</f>
        <v>#NAME?</v>
      </c>
      <c r="T21" s="51" t="e">
        <f ca="1">IF($E$3="YTD",DATA_FORMATTING!BK136/T$5,IF($E$3="MONTHLY",DATA_FORMATTING!BK167/'Balance Sheet'!T$8,IF($E$3="QUARTERLY",DATA_FORMATTING!BK231/T$3,DATA_FORMATTING!BK199/'Income Statement'!T$4)))</f>
        <v>#NAME?</v>
      </c>
      <c r="U21" s="51" t="e">
        <f ca="1">IF($E$3="YTD",DATA_FORMATTING!BL136/U$5,IF($E$3="MONTHLY",DATA_FORMATTING!BL167/'Balance Sheet'!U$8,IF($E$3="QUARTERLY",DATA_FORMATTING!BL231/U$3,DATA_FORMATTING!BL199/'Income Statement'!U$4)))</f>
        <v>#NAME?</v>
      </c>
      <c r="V21" s="51" t="e">
        <f ca="1">IF($E$3="YTD",DATA_FORMATTING!BM136/V$5,IF($E$3="MONTHLY",DATA_FORMATTING!BM167/'Balance Sheet'!V$8,IF($E$3="QUARTERLY",DATA_FORMATTING!BM231/V$3,DATA_FORMATTING!BM199/'Income Statement'!V$4)))</f>
        <v>#NAME?</v>
      </c>
      <c r="W21" s="51" t="e">
        <f ca="1">IF($E$3="YTD",DATA_FORMATTING!BN136/W$5,IF($E$3="MONTHLY",DATA_FORMATTING!BN167/'Balance Sheet'!W$8,IF($E$3="QUARTERLY",DATA_FORMATTING!BN231/W$3,DATA_FORMATTING!BN199/'Income Statement'!W$4)))</f>
        <v>#NAME?</v>
      </c>
      <c r="X21" s="51" t="e">
        <f ca="1">IF($E$3="YTD",DATA_FORMATTING!BO136/X$5,IF($E$3="MONTHLY",DATA_FORMATTING!BO167/'Balance Sheet'!X$8,IF($E$3="QUARTERLY",DATA_FORMATTING!BO231/X$3,DATA_FORMATTING!BO199/'Income Statement'!X$4)))</f>
        <v>#NAME?</v>
      </c>
      <c r="Y21" s="51" t="e">
        <f ca="1">IF($E$3="YTD",DATA_FORMATTING!BP136/Y$5,IF($E$3="MONTHLY",DATA_FORMATTING!BP167/'Balance Sheet'!Y$8,IF($E$3="QUARTERLY",DATA_FORMATTING!BP231/Y$3,DATA_FORMATTING!BP199/'Income Statement'!Y$4)))</f>
        <v>#NAME?</v>
      </c>
      <c r="Z21" s="51" t="e">
        <f ca="1">IF($E$3="YTD",DATA_FORMATTING!BQ136/Z$5,IF($E$3="MONTHLY",DATA_FORMATTING!BQ167/'Balance Sheet'!Z$8,IF($E$3="QUARTERLY",DATA_FORMATTING!BQ231/Z$3,DATA_FORMATTING!BQ199/'Income Statement'!Z$4)))</f>
        <v>#NAME?</v>
      </c>
      <c r="AA21" s="51" t="e">
        <f ca="1">IF($E$3="YTD",DATA_FORMATTING!BR136/AA$5,IF($E$3="MONTHLY",DATA_FORMATTING!BR167/'Balance Sheet'!AA$8,IF($E$3="QUARTERLY",DATA_FORMATTING!BR231/AA$3,DATA_FORMATTING!BR199/'Income Statement'!AA$4)))</f>
        <v>#NAME?</v>
      </c>
      <c r="AB21" s="51" t="e">
        <f ca="1">IF($E$3="YTD",DATA_FORMATTING!BS136/AB$5,IF($E$3="MONTHLY",DATA_FORMATTING!BS167/'Balance Sheet'!AB$8,IF($E$3="QUARTERLY",DATA_FORMATTING!BS231/AB$3,DATA_FORMATTING!BS199/'Income Statement'!AB$4)))</f>
        <v>#NAME?</v>
      </c>
      <c r="AC21" s="51" t="e">
        <f ca="1">IF($E$3="YTD",DATA_FORMATTING!BT136/AC$5,IF($E$3="MONTHLY",DATA_FORMATTING!BT167/'Balance Sheet'!AC$8,IF($E$3="QUARTERLY",DATA_FORMATTING!BT231/AC$3,DATA_FORMATTING!BT199/'Income Statement'!AC$4)))</f>
        <v>#NAME?</v>
      </c>
      <c r="AD21" s="51" t="e">
        <f ca="1">IF($E$3="YTD",DATA_FORMATTING!BU136/AD$5,IF($E$3="MONTHLY",DATA_FORMATTING!BU167/'Balance Sheet'!AD$8,IF($E$3="QUARTERLY",DATA_FORMATTING!BU231/AD$3,DATA_FORMATTING!BU199/'Income Statement'!AD$4)))</f>
        <v>#NAME?</v>
      </c>
      <c r="AE21" s="51" t="e">
        <f ca="1">IF($E$3="YTD",DATA_FORMATTING!BV136/AE$5,IF($E$3="MONTHLY",DATA_FORMATTING!BV167/'Balance Sheet'!AE$8,IF($E$3="QUARTERLY",DATA_FORMATTING!BV231/AE$3,DATA_FORMATTING!BV199/'Income Statement'!AE$4)))</f>
        <v>#NAME?</v>
      </c>
      <c r="AF21" s="51" t="e">
        <f ca="1">IF($E$3="YTD",DATA_FORMATTING!BW136/AF$5,IF($E$3="MONTHLY",DATA_FORMATTING!BW167/'Balance Sheet'!AF$8,IF($E$3="QUARTERLY",DATA_FORMATTING!BW231/AF$3,DATA_FORMATTING!BW199/'Income Statement'!AF$4)))</f>
        <v>#NAME?</v>
      </c>
      <c r="AG21" s="51" t="e">
        <f ca="1">IF($E$3="YTD",DATA_FORMATTING!BX136/AG$5,IF($E$3="MONTHLY",DATA_FORMATTING!BX167/'Balance Sheet'!AG$8,IF($E$3="QUARTERLY",DATA_FORMATTING!BX231/AG$3,DATA_FORMATTING!BX199/'Income Statement'!AG$4)))</f>
        <v>#NAME?</v>
      </c>
      <c r="AH21" s="51" t="e">
        <f ca="1">IF($E$3="YTD",DATA_FORMATTING!BY136/AH$5,IF($E$3="MONTHLY",DATA_FORMATTING!BY167/'Balance Sheet'!AH$8,IF($E$3="QUARTERLY",DATA_FORMATTING!BY231/AH$3,DATA_FORMATTING!BY199/'Income Statement'!AH$4)))</f>
        <v>#NAME?</v>
      </c>
      <c r="AI21" s="51" t="e">
        <f ca="1">IF($E$3="YTD",DATA_FORMATTING!BZ136/AI$5,IF($E$3="MONTHLY",DATA_FORMATTING!BZ167/'Balance Sheet'!AI$8,IF($E$3="QUARTERLY",DATA_FORMATTING!BZ231/AI$3,DATA_FORMATTING!BZ199/'Income Statement'!AI$4)))</f>
        <v>#NAME?</v>
      </c>
      <c r="AJ21" s="51" t="e">
        <f ca="1">IF($E$3="YTD",DATA_FORMATTING!CA136/AJ$5,IF($E$3="MONTHLY",DATA_FORMATTING!CA167/'Balance Sheet'!AJ$8,IF($E$3="QUARTERLY",DATA_FORMATTING!CA231/AJ$3,DATA_FORMATTING!CA199/'Income Statement'!AJ$4)))</f>
        <v>#NAME?</v>
      </c>
      <c r="AK21" s="51" t="e">
        <f ca="1">IF($E$3="YTD",DATA_FORMATTING!CB136/AK$5,IF($E$3="MONTHLY",DATA_FORMATTING!CB167/'Balance Sheet'!AK$8,IF($E$3="QUARTERLY",DATA_FORMATTING!CB231/AK$3,DATA_FORMATTING!CB199/'Income Statement'!AK$4)))</f>
        <v>#NAME?</v>
      </c>
      <c r="AL21" s="51" t="e">
        <f ca="1">IF($E$3="YTD",DATA_FORMATTING!CC136/AL$5,IF($E$3="MONTHLY",DATA_FORMATTING!CC167/'Balance Sheet'!AL$8,IF($E$3="QUARTERLY",DATA_FORMATTING!CC231/AL$3,DATA_FORMATTING!CC199/'Income Statement'!AL$4)))</f>
        <v>#NAME?</v>
      </c>
      <c r="AM21" s="51" t="e">
        <f ca="1">IF($E$3="YTD",DATA_FORMATTING!CD136/AM$5,IF($E$3="MONTHLY",DATA_FORMATTING!CD167/'Balance Sheet'!AM$8,IF($E$3="QUARTERLY",DATA_FORMATTING!CD231/AM$3,DATA_FORMATTING!CD199/'Income Statement'!AM$4)))</f>
        <v>#NAME?</v>
      </c>
      <c r="AN21" s="51" t="e">
        <f ca="1">IF($E$3="YTD",DATA_FORMATTING!CE136/AN$5,IF($E$3="MONTHLY",DATA_FORMATTING!CE167/'Balance Sheet'!AN$8,IF($E$3="QUARTERLY",DATA_FORMATTING!CE231/AN$3,DATA_FORMATTING!CE199/'Income Statement'!AN$4)))</f>
        <v>#NAME?</v>
      </c>
      <c r="AO21" s="51" t="e">
        <f ca="1">IF($E$3="YTD",DATA_FORMATTING!CF136/AO$5,IF($E$3="MONTHLY",DATA_FORMATTING!CF167/'Balance Sheet'!AO$8,IF($E$3="QUARTERLY",DATA_FORMATTING!CF231/AO$3,DATA_FORMATTING!CF199/'Income Statement'!AO$4)))</f>
        <v>#NAME?</v>
      </c>
      <c r="AP21" s="51" t="e">
        <f ca="1">IF($E$3="YTD",DATA_FORMATTING!CG136/AP$5,IF($E$3="MONTHLY",DATA_FORMATTING!CG167/'Balance Sheet'!AP$8,IF($E$3="QUARTERLY",DATA_FORMATTING!CG231/AP$3,DATA_FORMATTING!CG199/'Income Statement'!AP$4)))</f>
        <v>#NAME?</v>
      </c>
      <c r="AQ21" s="257" t="e">
        <f ca="1">IF($E$3="YTD",DATA_FORMATTING!CH136/AQ$5,IF($E$3="MONTHLY",DATA_FORMATTING!CH167/'Balance Sheet'!AQ$8,IF($E$3="QUARTERLY",DATA_FORMATTING!CH231/AQ$3,DATA_FORMATTING!CH199/'Income Statement'!AQ$4)))</f>
        <v>#NAME?</v>
      </c>
    </row>
    <row r="22" spans="2:44" ht="15.75">
      <c r="C22" s="610" t="s">
        <v>111</v>
      </c>
      <c r="D22" s="236" t="e">
        <f t="shared" ca="1" si="8"/>
        <v>#NAME?</v>
      </c>
      <c r="E22" s="183" t="e">
        <f t="shared" si="8"/>
        <v>#N/A</v>
      </c>
      <c r="F22" s="183" t="e">
        <f ca="1">+E22-D22</f>
        <v>#N/A</v>
      </c>
      <c r="G22" s="184">
        <f t="shared" ca="1" si="2"/>
        <v>0</v>
      </c>
      <c r="H22" s="51" t="e">
        <f t="shared" ref="H22:AQ22" ca="1" si="9">SUM(H20:H21)</f>
        <v>#NAME?</v>
      </c>
      <c r="I22" s="51" t="e">
        <f t="shared" ca="1" si="9"/>
        <v>#NAME?</v>
      </c>
      <c r="J22" s="51" t="e">
        <f t="shared" ca="1" si="9"/>
        <v>#NAME?</v>
      </c>
      <c r="K22" s="51" t="e">
        <f t="shared" ca="1" si="9"/>
        <v>#NAME?</v>
      </c>
      <c r="L22" s="51" t="e">
        <f t="shared" ca="1" si="9"/>
        <v>#NAME?</v>
      </c>
      <c r="M22" s="51" t="e">
        <f t="shared" ca="1" si="9"/>
        <v>#NAME?</v>
      </c>
      <c r="N22" s="51" t="e">
        <f t="shared" ca="1" si="9"/>
        <v>#NAME?</v>
      </c>
      <c r="O22" s="51" t="e">
        <f t="shared" ca="1" si="9"/>
        <v>#NAME?</v>
      </c>
      <c r="P22" s="51" t="e">
        <f t="shared" ca="1" si="9"/>
        <v>#NAME?</v>
      </c>
      <c r="Q22" s="51" t="e">
        <f t="shared" ca="1" si="9"/>
        <v>#NAME?</v>
      </c>
      <c r="R22" s="51" t="e">
        <f t="shared" ca="1" si="9"/>
        <v>#NAME?</v>
      </c>
      <c r="S22" s="51" t="e">
        <f t="shared" ca="1" si="9"/>
        <v>#NAME?</v>
      </c>
      <c r="T22" s="51" t="e">
        <f t="shared" ca="1" si="9"/>
        <v>#NAME?</v>
      </c>
      <c r="U22" s="51" t="e">
        <f t="shared" ca="1" si="9"/>
        <v>#NAME?</v>
      </c>
      <c r="V22" s="51" t="e">
        <f t="shared" ca="1" si="9"/>
        <v>#NAME?</v>
      </c>
      <c r="W22" s="51" t="e">
        <f t="shared" ca="1" si="9"/>
        <v>#NAME?</v>
      </c>
      <c r="X22" s="51" t="e">
        <f t="shared" ca="1" si="9"/>
        <v>#NAME?</v>
      </c>
      <c r="Y22" s="51" t="e">
        <f t="shared" ca="1" si="9"/>
        <v>#NAME?</v>
      </c>
      <c r="Z22" s="51" t="e">
        <f t="shared" ca="1" si="9"/>
        <v>#NAME?</v>
      </c>
      <c r="AA22" s="51" t="e">
        <f t="shared" ca="1" si="9"/>
        <v>#NAME?</v>
      </c>
      <c r="AB22" s="51" t="e">
        <f t="shared" ca="1" si="9"/>
        <v>#NAME?</v>
      </c>
      <c r="AC22" s="51" t="e">
        <f t="shared" ca="1" si="9"/>
        <v>#NAME?</v>
      </c>
      <c r="AD22" s="51" t="e">
        <f t="shared" ca="1" si="9"/>
        <v>#NAME?</v>
      </c>
      <c r="AE22" s="51" t="e">
        <f t="shared" ca="1" si="9"/>
        <v>#NAME?</v>
      </c>
      <c r="AF22" s="51" t="e">
        <f t="shared" ca="1" si="9"/>
        <v>#NAME?</v>
      </c>
      <c r="AG22" s="51" t="e">
        <f t="shared" ca="1" si="9"/>
        <v>#NAME?</v>
      </c>
      <c r="AH22" s="51" t="e">
        <f t="shared" ca="1" si="9"/>
        <v>#NAME?</v>
      </c>
      <c r="AI22" s="51" t="e">
        <f t="shared" ca="1" si="9"/>
        <v>#NAME?</v>
      </c>
      <c r="AJ22" s="51" t="e">
        <f t="shared" ca="1" si="9"/>
        <v>#NAME?</v>
      </c>
      <c r="AK22" s="51" t="e">
        <f t="shared" ca="1" si="9"/>
        <v>#NAME?</v>
      </c>
      <c r="AL22" s="51" t="e">
        <f t="shared" ca="1" si="9"/>
        <v>#NAME?</v>
      </c>
      <c r="AM22" s="51" t="e">
        <f t="shared" ca="1" si="9"/>
        <v>#NAME?</v>
      </c>
      <c r="AN22" s="51" t="e">
        <f t="shared" ca="1" si="9"/>
        <v>#NAME?</v>
      </c>
      <c r="AO22" s="51" t="e">
        <f t="shared" ca="1" si="9"/>
        <v>#NAME?</v>
      </c>
      <c r="AP22" s="51" t="e">
        <f t="shared" ca="1" si="9"/>
        <v>#NAME?</v>
      </c>
      <c r="AQ22" s="257" t="e">
        <f t="shared" ca="1" si="9"/>
        <v>#NAME?</v>
      </c>
    </row>
    <row r="23" spans="2:44" ht="15.75">
      <c r="C23" s="595" t="s">
        <v>113</v>
      </c>
      <c r="D23" s="212" t="e">
        <f t="shared" ca="1" si="8"/>
        <v>#NAME?</v>
      </c>
      <c r="E23" s="211" t="e">
        <f t="shared" si="8"/>
        <v>#N/A</v>
      </c>
      <c r="F23" s="211" t="e">
        <f ca="1">+E23-D23</f>
        <v>#N/A</v>
      </c>
      <c r="G23" s="210">
        <f t="shared" ca="1" si="2"/>
        <v>0</v>
      </c>
      <c r="H23" s="46" t="e">
        <f t="shared" ref="H23:AQ23" ca="1" si="10">SUM(H22,H17)</f>
        <v>#NAME?</v>
      </c>
      <c r="I23" s="46" t="e">
        <f t="shared" ca="1" si="10"/>
        <v>#NAME?</v>
      </c>
      <c r="J23" s="46" t="e">
        <f t="shared" ca="1" si="10"/>
        <v>#NAME?</v>
      </c>
      <c r="K23" s="46" t="e">
        <f t="shared" ca="1" si="10"/>
        <v>#NAME?</v>
      </c>
      <c r="L23" s="46" t="e">
        <f t="shared" ca="1" si="10"/>
        <v>#NAME?</v>
      </c>
      <c r="M23" s="46" t="e">
        <f t="shared" ca="1" si="10"/>
        <v>#NAME?</v>
      </c>
      <c r="N23" s="46" t="e">
        <f t="shared" ca="1" si="10"/>
        <v>#NAME?</v>
      </c>
      <c r="O23" s="46" t="e">
        <f t="shared" ca="1" si="10"/>
        <v>#NAME?</v>
      </c>
      <c r="P23" s="46" t="e">
        <f t="shared" ca="1" si="10"/>
        <v>#NAME?</v>
      </c>
      <c r="Q23" s="46" t="e">
        <f t="shared" ca="1" si="10"/>
        <v>#NAME?</v>
      </c>
      <c r="R23" s="46" t="e">
        <f t="shared" ca="1" si="10"/>
        <v>#NAME?</v>
      </c>
      <c r="S23" s="46" t="e">
        <f t="shared" ca="1" si="10"/>
        <v>#NAME?</v>
      </c>
      <c r="T23" s="46" t="e">
        <f t="shared" ca="1" si="10"/>
        <v>#NAME?</v>
      </c>
      <c r="U23" s="46" t="e">
        <f t="shared" ca="1" si="10"/>
        <v>#NAME?</v>
      </c>
      <c r="V23" s="46" t="e">
        <f t="shared" ca="1" si="10"/>
        <v>#NAME?</v>
      </c>
      <c r="W23" s="46" t="e">
        <f t="shared" ca="1" si="10"/>
        <v>#NAME?</v>
      </c>
      <c r="X23" s="46" t="e">
        <f t="shared" ca="1" si="10"/>
        <v>#NAME?</v>
      </c>
      <c r="Y23" s="46" t="e">
        <f t="shared" ca="1" si="10"/>
        <v>#NAME?</v>
      </c>
      <c r="Z23" s="46" t="e">
        <f t="shared" ca="1" si="10"/>
        <v>#NAME?</v>
      </c>
      <c r="AA23" s="46" t="e">
        <f t="shared" ca="1" si="10"/>
        <v>#NAME?</v>
      </c>
      <c r="AB23" s="46" t="e">
        <f t="shared" ca="1" si="10"/>
        <v>#NAME?</v>
      </c>
      <c r="AC23" s="46" t="e">
        <f t="shared" ca="1" si="10"/>
        <v>#NAME?</v>
      </c>
      <c r="AD23" s="46" t="e">
        <f t="shared" ca="1" si="10"/>
        <v>#NAME?</v>
      </c>
      <c r="AE23" s="46" t="e">
        <f t="shared" ca="1" si="10"/>
        <v>#NAME?</v>
      </c>
      <c r="AF23" s="46" t="e">
        <f t="shared" ca="1" si="10"/>
        <v>#NAME?</v>
      </c>
      <c r="AG23" s="46" t="e">
        <f t="shared" ca="1" si="10"/>
        <v>#NAME?</v>
      </c>
      <c r="AH23" s="46" t="e">
        <f t="shared" ca="1" si="10"/>
        <v>#NAME?</v>
      </c>
      <c r="AI23" s="46" t="e">
        <f t="shared" ca="1" si="10"/>
        <v>#NAME?</v>
      </c>
      <c r="AJ23" s="46" t="e">
        <f t="shared" ca="1" si="10"/>
        <v>#NAME?</v>
      </c>
      <c r="AK23" s="46" t="e">
        <f t="shared" ca="1" si="10"/>
        <v>#NAME?</v>
      </c>
      <c r="AL23" s="46" t="e">
        <f t="shared" ca="1" si="10"/>
        <v>#NAME?</v>
      </c>
      <c r="AM23" s="46" t="e">
        <f t="shared" ca="1" si="10"/>
        <v>#NAME?</v>
      </c>
      <c r="AN23" s="46" t="e">
        <f t="shared" ca="1" si="10"/>
        <v>#NAME?</v>
      </c>
      <c r="AO23" s="46" t="e">
        <f t="shared" ca="1" si="10"/>
        <v>#NAME?</v>
      </c>
      <c r="AP23" s="46" t="e">
        <f t="shared" ca="1" si="10"/>
        <v>#NAME?</v>
      </c>
      <c r="AQ23" s="596" t="e">
        <f t="shared" ca="1" si="10"/>
        <v>#NAME?</v>
      </c>
    </row>
    <row r="24" spans="2:44">
      <c r="C24" s="611" t="s">
        <v>115</v>
      </c>
      <c r="D24" s="598" t="str">
        <f ca="1">IFERROR(D$23/D8,"-")</f>
        <v>-</v>
      </c>
      <c r="E24" s="48" t="str">
        <f>IFERROR(E$23/E8,"-")</f>
        <v>-</v>
      </c>
      <c r="F24" s="612"/>
      <c r="G24" s="613"/>
      <c r="H24" s="48" t="str">
        <f t="shared" ref="H24:AQ24" ca="1" si="11">IFERROR(H23/H$8,"-")</f>
        <v>-</v>
      </c>
      <c r="I24" s="48" t="str">
        <f t="shared" ca="1" si="11"/>
        <v>-</v>
      </c>
      <c r="J24" s="48" t="str">
        <f t="shared" ca="1" si="11"/>
        <v>-</v>
      </c>
      <c r="K24" s="48" t="str">
        <f t="shared" ca="1" si="11"/>
        <v>-</v>
      </c>
      <c r="L24" s="48" t="str">
        <f t="shared" ca="1" si="11"/>
        <v>-</v>
      </c>
      <c r="M24" s="48" t="str">
        <f t="shared" ca="1" si="11"/>
        <v>-</v>
      </c>
      <c r="N24" s="48" t="str">
        <f t="shared" ca="1" si="11"/>
        <v>-</v>
      </c>
      <c r="O24" s="48" t="str">
        <f t="shared" ca="1" si="11"/>
        <v>-</v>
      </c>
      <c r="P24" s="48" t="str">
        <f t="shared" ca="1" si="11"/>
        <v>-</v>
      </c>
      <c r="Q24" s="48" t="str">
        <f t="shared" ca="1" si="11"/>
        <v>-</v>
      </c>
      <c r="R24" s="48" t="str">
        <f t="shared" ca="1" si="11"/>
        <v>-</v>
      </c>
      <c r="S24" s="48" t="str">
        <f t="shared" ca="1" si="11"/>
        <v>-</v>
      </c>
      <c r="T24" s="48" t="str">
        <f t="shared" ca="1" si="11"/>
        <v>-</v>
      </c>
      <c r="U24" s="48" t="str">
        <f t="shared" ca="1" si="11"/>
        <v>-</v>
      </c>
      <c r="V24" s="48" t="str">
        <f t="shared" ca="1" si="11"/>
        <v>-</v>
      </c>
      <c r="W24" s="48" t="str">
        <f t="shared" ca="1" si="11"/>
        <v>-</v>
      </c>
      <c r="X24" s="48" t="str">
        <f t="shared" ca="1" si="11"/>
        <v>-</v>
      </c>
      <c r="Y24" s="48" t="str">
        <f t="shared" ca="1" si="11"/>
        <v>-</v>
      </c>
      <c r="Z24" s="48" t="str">
        <f t="shared" ca="1" si="11"/>
        <v>-</v>
      </c>
      <c r="AA24" s="48" t="str">
        <f t="shared" ca="1" si="11"/>
        <v>-</v>
      </c>
      <c r="AB24" s="48" t="str">
        <f t="shared" ca="1" si="11"/>
        <v>-</v>
      </c>
      <c r="AC24" s="48" t="str">
        <f t="shared" ca="1" si="11"/>
        <v>-</v>
      </c>
      <c r="AD24" s="48" t="str">
        <f t="shared" ca="1" si="11"/>
        <v>-</v>
      </c>
      <c r="AE24" s="48" t="str">
        <f t="shared" ca="1" si="11"/>
        <v>-</v>
      </c>
      <c r="AF24" s="48" t="str">
        <f t="shared" ca="1" si="11"/>
        <v>-</v>
      </c>
      <c r="AG24" s="48" t="str">
        <f t="shared" ca="1" si="11"/>
        <v>-</v>
      </c>
      <c r="AH24" s="48" t="str">
        <f t="shared" ca="1" si="11"/>
        <v>-</v>
      </c>
      <c r="AI24" s="48" t="str">
        <f t="shared" ca="1" si="11"/>
        <v>-</v>
      </c>
      <c r="AJ24" s="48" t="str">
        <f t="shared" ca="1" si="11"/>
        <v>-</v>
      </c>
      <c r="AK24" s="48" t="str">
        <f t="shared" ca="1" si="11"/>
        <v>-</v>
      </c>
      <c r="AL24" s="48" t="str">
        <f t="shared" ca="1" si="11"/>
        <v>-</v>
      </c>
      <c r="AM24" s="48" t="str">
        <f t="shared" ca="1" si="11"/>
        <v>-</v>
      </c>
      <c r="AN24" s="48" t="str">
        <f t="shared" ca="1" si="11"/>
        <v>-</v>
      </c>
      <c r="AO24" s="48" t="str">
        <f t="shared" ca="1" si="11"/>
        <v>-</v>
      </c>
      <c r="AP24" s="48" t="str">
        <f t="shared" ca="1" si="11"/>
        <v>-</v>
      </c>
      <c r="AQ24" s="601" t="str">
        <f t="shared" ca="1" si="11"/>
        <v>-</v>
      </c>
    </row>
    <row r="25" spans="2:44">
      <c r="C25" s="597"/>
      <c r="D25" s="599"/>
      <c r="E25" s="599"/>
      <c r="F25" s="599"/>
      <c r="G25" s="600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257"/>
    </row>
    <row r="26" spans="2:44" ht="15.75">
      <c r="B26" s="245">
        <f>DATA_FORMATTING!C18</f>
        <v>0</v>
      </c>
      <c r="C26" s="609" t="s">
        <v>118</v>
      </c>
      <c r="D26" s="236" t="e">
        <f ca="1">HLOOKUP(D$6,IS,(ROW($C26)-ROW($C$6)+1),FALSE)</f>
        <v>#NAME?</v>
      </c>
      <c r="E26" s="183" t="e">
        <f>HLOOKUP(E$6,IS,(ROW($C26)-ROW($C$6)+1),FALSE)</f>
        <v>#N/A</v>
      </c>
      <c r="F26" s="183" t="e">
        <f ca="1">+E26-D26</f>
        <v>#N/A</v>
      </c>
      <c r="G26" s="184">
        <f t="shared" ca="1" si="2"/>
        <v>0</v>
      </c>
      <c r="H26" s="51" t="e">
        <f ca="1">IF($E$3="YTD",DATA_FORMATTING!AY141/H$5,IF($E$3="MONTHLY",DATA_FORMATTING!AY172/'Balance Sheet'!H$8,IF($E$3="QUARTERLY",DATA_FORMATTING!AY236/H$3,DATA_FORMATTING!AY204/'Income Statement'!H$4)))</f>
        <v>#NAME?</v>
      </c>
      <c r="I26" s="51" t="e">
        <f ca="1">IF($E$3="YTD",DATA_FORMATTING!AZ141/I$5,IF($E$3="MONTHLY",DATA_FORMATTING!AZ172/'Balance Sheet'!I$8,IF($E$3="QUARTERLY",DATA_FORMATTING!AZ236/I$3,DATA_FORMATTING!AZ204/'Income Statement'!I$4)))</f>
        <v>#NAME?</v>
      </c>
      <c r="J26" s="51" t="e">
        <f ca="1">IF($E$3="YTD",DATA_FORMATTING!BA141/J$5,IF($E$3="MONTHLY",DATA_FORMATTING!BA172/'Balance Sheet'!J$8,IF($E$3="QUARTERLY",DATA_FORMATTING!BA236/J$3,DATA_FORMATTING!BA204/'Income Statement'!J$4)))</f>
        <v>#NAME?</v>
      </c>
      <c r="K26" s="51" t="e">
        <f ca="1">IF($E$3="YTD",DATA_FORMATTING!BB141/K$5,IF($E$3="MONTHLY",DATA_FORMATTING!BB172/'Balance Sheet'!K$8,IF($E$3="QUARTERLY",DATA_FORMATTING!BB236/K$3,DATA_FORMATTING!BB204/'Income Statement'!K$4)))</f>
        <v>#NAME?</v>
      </c>
      <c r="L26" s="51" t="e">
        <f ca="1">IF($E$3="YTD",DATA_FORMATTING!BC141/L$5,IF($E$3="MONTHLY",DATA_FORMATTING!BC172/'Balance Sheet'!L$8,IF($E$3="QUARTERLY",DATA_FORMATTING!BC236/L$3,DATA_FORMATTING!BC204/'Income Statement'!L$4)))</f>
        <v>#NAME?</v>
      </c>
      <c r="M26" s="51" t="e">
        <f ca="1">IF($E$3="YTD",DATA_FORMATTING!BD141/M$5,IF($E$3="MONTHLY",DATA_FORMATTING!BD172/'Balance Sheet'!M$8,IF($E$3="QUARTERLY",DATA_FORMATTING!BD236/M$3,DATA_FORMATTING!BD204/'Income Statement'!M$4)))</f>
        <v>#NAME?</v>
      </c>
      <c r="N26" s="51" t="e">
        <f ca="1">IF($E$3="YTD",DATA_FORMATTING!BE141/N$5,IF($E$3="MONTHLY",DATA_FORMATTING!BE172/'Balance Sheet'!N$8,IF($E$3="QUARTERLY",DATA_FORMATTING!BE236/N$3,DATA_FORMATTING!BE204/'Income Statement'!N$4)))</f>
        <v>#NAME?</v>
      </c>
      <c r="O26" s="51" t="e">
        <f ca="1">IF($E$3="YTD",DATA_FORMATTING!BF141/O$5,IF($E$3="MONTHLY",DATA_FORMATTING!BF172/'Balance Sheet'!O$8,IF($E$3="QUARTERLY",DATA_FORMATTING!BF236/O$3,DATA_FORMATTING!BF204/'Income Statement'!O$4)))</f>
        <v>#NAME?</v>
      </c>
      <c r="P26" s="51" t="e">
        <f ca="1">IF($E$3="YTD",DATA_FORMATTING!BG141/P$5,IF($E$3="MONTHLY",DATA_FORMATTING!BG172/'Balance Sheet'!P$8,IF($E$3="QUARTERLY",DATA_FORMATTING!BG236/P$3,DATA_FORMATTING!BG204/'Income Statement'!P$4)))</f>
        <v>#NAME?</v>
      </c>
      <c r="Q26" s="51" t="e">
        <f ca="1">IF($E$3="YTD",DATA_FORMATTING!BH141/Q$5,IF($E$3="MONTHLY",DATA_FORMATTING!BH172/'Balance Sheet'!Q$8,IF($E$3="QUARTERLY",DATA_FORMATTING!BH236/Q$3,DATA_FORMATTING!BH204/'Income Statement'!Q$4)))</f>
        <v>#NAME?</v>
      </c>
      <c r="R26" s="51" t="e">
        <f ca="1">IF($E$3="YTD",DATA_FORMATTING!BI141/R$5,IF($E$3="MONTHLY",DATA_FORMATTING!BI172/'Balance Sheet'!R$8,IF($E$3="QUARTERLY",DATA_FORMATTING!BI236/R$3,DATA_FORMATTING!BI204/'Income Statement'!R$4)))</f>
        <v>#NAME?</v>
      </c>
      <c r="S26" s="51" t="e">
        <f ca="1">IF($E$3="YTD",DATA_FORMATTING!BJ141/S$5,IF($E$3="MONTHLY",DATA_FORMATTING!BJ172/'Balance Sheet'!S$8,IF($E$3="QUARTERLY",DATA_FORMATTING!BJ236/S$3,DATA_FORMATTING!BJ204/'Income Statement'!S$4)))</f>
        <v>#NAME?</v>
      </c>
      <c r="T26" s="51" t="e">
        <f ca="1">IF($E$3="YTD",DATA_FORMATTING!BK141/T$5,IF($E$3="MONTHLY",DATA_FORMATTING!BK172/'Balance Sheet'!T$8,IF($E$3="QUARTERLY",DATA_FORMATTING!BK236/T$3,DATA_FORMATTING!BK204/'Income Statement'!T$4)))</f>
        <v>#NAME?</v>
      </c>
      <c r="U26" s="51" t="e">
        <f ca="1">IF($E$3="YTD",DATA_FORMATTING!BL141/U$5,IF($E$3="MONTHLY",DATA_FORMATTING!BL172/'Balance Sheet'!U$8,IF($E$3="QUARTERLY",DATA_FORMATTING!BL236/U$3,DATA_FORMATTING!BL204/'Income Statement'!U$4)))</f>
        <v>#NAME?</v>
      </c>
      <c r="V26" s="51" t="e">
        <f ca="1">IF($E$3="YTD",DATA_FORMATTING!BM141/V$5,IF($E$3="MONTHLY",DATA_FORMATTING!BM172/'Balance Sheet'!V$8,IF($E$3="QUARTERLY",DATA_FORMATTING!BM236/V$3,DATA_FORMATTING!BM204/'Income Statement'!V$4)))</f>
        <v>#NAME?</v>
      </c>
      <c r="W26" s="51" t="e">
        <f ca="1">IF($E$3="YTD",DATA_FORMATTING!BN141/W$5,IF($E$3="MONTHLY",DATA_FORMATTING!BN172/'Balance Sheet'!W$8,IF($E$3="QUARTERLY",DATA_FORMATTING!BN236/W$3,DATA_FORMATTING!BN204/'Income Statement'!W$4)))</f>
        <v>#NAME?</v>
      </c>
      <c r="X26" s="51" t="e">
        <f ca="1">IF($E$3="YTD",DATA_FORMATTING!BO141/X$5,IF($E$3="MONTHLY",DATA_FORMATTING!BO172/'Balance Sheet'!X$8,IF($E$3="QUARTERLY",DATA_FORMATTING!BO236/X$3,DATA_FORMATTING!BO204/'Income Statement'!X$4)))</f>
        <v>#NAME?</v>
      </c>
      <c r="Y26" s="51" t="e">
        <f ca="1">IF($E$3="YTD",DATA_FORMATTING!BP141/Y$5,IF($E$3="MONTHLY",DATA_FORMATTING!BP172/'Balance Sheet'!Y$8,IF($E$3="QUARTERLY",DATA_FORMATTING!BP236/Y$3,DATA_FORMATTING!BP204/'Income Statement'!Y$4)))</f>
        <v>#NAME?</v>
      </c>
      <c r="Z26" s="51" t="e">
        <f ca="1">IF($E$3="YTD",DATA_FORMATTING!BQ141/Z$5,IF($E$3="MONTHLY",DATA_FORMATTING!BQ172/'Balance Sheet'!Z$8,IF($E$3="QUARTERLY",DATA_FORMATTING!BQ236/Z$3,DATA_FORMATTING!BQ204/'Income Statement'!Z$4)))</f>
        <v>#NAME?</v>
      </c>
      <c r="AA26" s="51" t="e">
        <f ca="1">IF($E$3="YTD",DATA_FORMATTING!BR141/AA$5,IF($E$3="MONTHLY",DATA_FORMATTING!BR172/'Balance Sheet'!AA$8,IF($E$3="QUARTERLY",DATA_FORMATTING!BR236/AA$3,DATA_FORMATTING!BR204/'Income Statement'!AA$4)))</f>
        <v>#NAME?</v>
      </c>
      <c r="AB26" s="51" t="e">
        <f ca="1">IF($E$3="YTD",DATA_FORMATTING!BS141/AB$5,IF($E$3="MONTHLY",DATA_FORMATTING!BS172/'Balance Sheet'!AB$8,IF($E$3="QUARTERLY",DATA_FORMATTING!BS236/AB$3,DATA_FORMATTING!BS204/'Income Statement'!AB$4)))</f>
        <v>#NAME?</v>
      </c>
      <c r="AC26" s="51" t="e">
        <f ca="1">IF($E$3="YTD",DATA_FORMATTING!BT141/AC$5,IF($E$3="MONTHLY",DATA_FORMATTING!BT172/'Balance Sheet'!AC$8,IF($E$3="QUARTERLY",DATA_FORMATTING!BT236/AC$3,DATA_FORMATTING!BT204/'Income Statement'!AC$4)))</f>
        <v>#NAME?</v>
      </c>
      <c r="AD26" s="51" t="e">
        <f ca="1">IF($E$3="YTD",DATA_FORMATTING!BU141/AD$5,IF($E$3="MONTHLY",DATA_FORMATTING!BU172/'Balance Sheet'!AD$8,IF($E$3="QUARTERLY",DATA_FORMATTING!BU236/AD$3,DATA_FORMATTING!BU204/'Income Statement'!AD$4)))</f>
        <v>#NAME?</v>
      </c>
      <c r="AE26" s="51" t="e">
        <f ca="1">IF($E$3="YTD",DATA_FORMATTING!BV141/AE$5,IF($E$3="MONTHLY",DATA_FORMATTING!BV172/'Balance Sheet'!AE$8,IF($E$3="QUARTERLY",DATA_FORMATTING!BV236/AE$3,DATA_FORMATTING!BV204/'Income Statement'!AE$4)))</f>
        <v>#NAME?</v>
      </c>
      <c r="AF26" s="51" t="e">
        <f ca="1">IF($E$3="YTD",DATA_FORMATTING!BW141/AF$5,IF($E$3="MONTHLY",DATA_FORMATTING!BW172/'Balance Sheet'!AF$8,IF($E$3="QUARTERLY",DATA_FORMATTING!BW236/AF$3,DATA_FORMATTING!BW204/'Income Statement'!AF$4)))</f>
        <v>#NAME?</v>
      </c>
      <c r="AG26" s="51" t="e">
        <f ca="1">IF($E$3="YTD",DATA_FORMATTING!BX141/AG$5,IF($E$3="MONTHLY",DATA_FORMATTING!BX172/'Balance Sheet'!AG$8,IF($E$3="QUARTERLY",DATA_FORMATTING!BX236/AG$3,DATA_FORMATTING!BX204/'Income Statement'!AG$4)))</f>
        <v>#NAME?</v>
      </c>
      <c r="AH26" s="51" t="e">
        <f ca="1">IF($E$3="YTD",DATA_FORMATTING!BY141/AH$5,IF($E$3="MONTHLY",DATA_FORMATTING!BY172/'Balance Sheet'!AH$8,IF($E$3="QUARTERLY",DATA_FORMATTING!BY236/AH$3,DATA_FORMATTING!BY204/'Income Statement'!AH$4)))</f>
        <v>#NAME?</v>
      </c>
      <c r="AI26" s="51" t="e">
        <f ca="1">IF($E$3="YTD",DATA_FORMATTING!BZ141/AI$5,IF($E$3="MONTHLY",DATA_FORMATTING!BZ172/'Balance Sheet'!AI$8,IF($E$3="QUARTERLY",DATA_FORMATTING!BZ236/AI$3,DATA_FORMATTING!BZ204/'Income Statement'!AI$4)))</f>
        <v>#NAME?</v>
      </c>
      <c r="AJ26" s="51" t="e">
        <f ca="1">IF($E$3="YTD",DATA_FORMATTING!CA141/AJ$5,IF($E$3="MONTHLY",DATA_FORMATTING!CA172/'Balance Sheet'!AJ$8,IF($E$3="QUARTERLY",DATA_FORMATTING!CA236/AJ$3,DATA_FORMATTING!CA204/'Income Statement'!AJ$4)))</f>
        <v>#NAME?</v>
      </c>
      <c r="AK26" s="51" t="e">
        <f ca="1">IF($E$3="YTD",DATA_FORMATTING!CB141/AK$5,IF($E$3="MONTHLY",DATA_FORMATTING!CB172/'Balance Sheet'!AK$8,IF($E$3="QUARTERLY",DATA_FORMATTING!CB236/AK$3,DATA_FORMATTING!CB204/'Income Statement'!AK$4)))</f>
        <v>#NAME?</v>
      </c>
      <c r="AL26" s="51" t="e">
        <f ca="1">IF($E$3="YTD",DATA_FORMATTING!CC141/AL$5,IF($E$3="MONTHLY",DATA_FORMATTING!CC172/'Balance Sheet'!AL$8,IF($E$3="QUARTERLY",DATA_FORMATTING!CC236/AL$3,DATA_FORMATTING!CC204/'Income Statement'!AL$4)))</f>
        <v>#NAME?</v>
      </c>
      <c r="AM26" s="51" t="e">
        <f ca="1">IF($E$3="YTD",DATA_FORMATTING!CD141/AM$5,IF($E$3="MONTHLY",DATA_FORMATTING!CD172/'Balance Sheet'!AM$8,IF($E$3="QUARTERLY",DATA_FORMATTING!CD236/AM$3,DATA_FORMATTING!CD204/'Income Statement'!AM$4)))</f>
        <v>#NAME?</v>
      </c>
      <c r="AN26" s="51" t="e">
        <f ca="1">IF($E$3="YTD",DATA_FORMATTING!CE141/AN$5,IF($E$3="MONTHLY",DATA_FORMATTING!CE172/'Balance Sheet'!AN$8,IF($E$3="QUARTERLY",DATA_FORMATTING!CE236/AN$3,DATA_FORMATTING!CE204/'Income Statement'!AN$4)))</f>
        <v>#NAME?</v>
      </c>
      <c r="AO26" s="51" t="e">
        <f ca="1">IF($E$3="YTD",DATA_FORMATTING!CF141/AO$5,IF($E$3="MONTHLY",DATA_FORMATTING!CF172/'Balance Sheet'!AO$8,IF($E$3="QUARTERLY",DATA_FORMATTING!CF236/AO$3,DATA_FORMATTING!CF204/'Income Statement'!AO$4)))</f>
        <v>#NAME?</v>
      </c>
      <c r="AP26" s="51" t="e">
        <f ca="1">IF($E$3="YTD",DATA_FORMATTING!CG141/AP$5,IF($E$3="MONTHLY",DATA_FORMATTING!CG172/'Balance Sheet'!AP$8,IF($E$3="QUARTERLY",DATA_FORMATTING!CG236/AP$3,DATA_FORMATTING!CG204/'Income Statement'!AP$4)))</f>
        <v>#NAME?</v>
      </c>
      <c r="AQ26" s="257" t="e">
        <f ca="1">IF($E$3="YTD",DATA_FORMATTING!CH141/AQ$5,IF($E$3="MONTHLY",DATA_FORMATTING!CH172/'Balance Sheet'!AQ$8,IF($E$3="QUARTERLY",DATA_FORMATTING!CH236/AQ$3,DATA_FORMATTING!CH204/'Income Statement'!AQ$4)))</f>
        <v>#NAME?</v>
      </c>
    </row>
    <row r="27" spans="2:44" ht="15.75">
      <c r="C27" s="595" t="s">
        <v>120</v>
      </c>
      <c r="D27" s="212" t="e">
        <f ca="1">HLOOKUP(D$6,IS,(ROW($C27)-ROW($C$6)+1),FALSE)</f>
        <v>#NAME?</v>
      </c>
      <c r="E27" s="211" t="e">
        <f>HLOOKUP(E$6,IS,(ROW($C27)-ROW($C$6)+1),FALSE)</f>
        <v>#N/A</v>
      </c>
      <c r="F27" s="211" t="e">
        <f ca="1">+E27-D27</f>
        <v>#N/A</v>
      </c>
      <c r="G27" s="210">
        <f t="shared" ca="1" si="2"/>
        <v>0</v>
      </c>
      <c r="H27" s="46" t="e">
        <f t="shared" ref="H27:AQ27" ca="1" si="12">SUM(H23,H26)</f>
        <v>#NAME?</v>
      </c>
      <c r="I27" s="46" t="e">
        <f t="shared" ca="1" si="12"/>
        <v>#NAME?</v>
      </c>
      <c r="J27" s="46" t="e">
        <f t="shared" ca="1" si="12"/>
        <v>#NAME?</v>
      </c>
      <c r="K27" s="46" t="e">
        <f t="shared" ca="1" si="12"/>
        <v>#NAME?</v>
      </c>
      <c r="L27" s="46" t="e">
        <f t="shared" ca="1" si="12"/>
        <v>#NAME?</v>
      </c>
      <c r="M27" s="46" t="e">
        <f t="shared" ca="1" si="12"/>
        <v>#NAME?</v>
      </c>
      <c r="N27" s="46" t="e">
        <f t="shared" ca="1" si="12"/>
        <v>#NAME?</v>
      </c>
      <c r="O27" s="46" t="e">
        <f t="shared" ca="1" si="12"/>
        <v>#NAME?</v>
      </c>
      <c r="P27" s="46" t="e">
        <f t="shared" ca="1" si="12"/>
        <v>#NAME?</v>
      </c>
      <c r="Q27" s="46" t="e">
        <f t="shared" ca="1" si="12"/>
        <v>#NAME?</v>
      </c>
      <c r="R27" s="46" t="e">
        <f t="shared" ca="1" si="12"/>
        <v>#NAME?</v>
      </c>
      <c r="S27" s="46" t="e">
        <f t="shared" ca="1" si="12"/>
        <v>#NAME?</v>
      </c>
      <c r="T27" s="46" t="e">
        <f t="shared" ca="1" si="12"/>
        <v>#NAME?</v>
      </c>
      <c r="U27" s="46" t="e">
        <f t="shared" ca="1" si="12"/>
        <v>#NAME?</v>
      </c>
      <c r="V27" s="46" t="e">
        <f t="shared" ca="1" si="12"/>
        <v>#NAME?</v>
      </c>
      <c r="W27" s="46" t="e">
        <f t="shared" ca="1" si="12"/>
        <v>#NAME?</v>
      </c>
      <c r="X27" s="46" t="e">
        <f t="shared" ca="1" si="12"/>
        <v>#NAME?</v>
      </c>
      <c r="Y27" s="46" t="e">
        <f t="shared" ca="1" si="12"/>
        <v>#NAME?</v>
      </c>
      <c r="Z27" s="46" t="e">
        <f t="shared" ca="1" si="12"/>
        <v>#NAME?</v>
      </c>
      <c r="AA27" s="46" t="e">
        <f t="shared" ca="1" si="12"/>
        <v>#NAME?</v>
      </c>
      <c r="AB27" s="46" t="e">
        <f t="shared" ca="1" si="12"/>
        <v>#NAME?</v>
      </c>
      <c r="AC27" s="46" t="e">
        <f t="shared" ca="1" si="12"/>
        <v>#NAME?</v>
      </c>
      <c r="AD27" s="46" t="e">
        <f t="shared" ca="1" si="12"/>
        <v>#NAME?</v>
      </c>
      <c r="AE27" s="46" t="e">
        <f t="shared" ca="1" si="12"/>
        <v>#NAME?</v>
      </c>
      <c r="AF27" s="46" t="e">
        <f t="shared" ca="1" si="12"/>
        <v>#NAME?</v>
      </c>
      <c r="AG27" s="46" t="e">
        <f t="shared" ca="1" si="12"/>
        <v>#NAME?</v>
      </c>
      <c r="AH27" s="46" t="e">
        <f t="shared" ca="1" si="12"/>
        <v>#NAME?</v>
      </c>
      <c r="AI27" s="46" t="e">
        <f t="shared" ca="1" si="12"/>
        <v>#NAME?</v>
      </c>
      <c r="AJ27" s="46" t="e">
        <f t="shared" ca="1" si="12"/>
        <v>#NAME?</v>
      </c>
      <c r="AK27" s="46" t="e">
        <f t="shared" ca="1" si="12"/>
        <v>#NAME?</v>
      </c>
      <c r="AL27" s="46" t="e">
        <f t="shared" ca="1" si="12"/>
        <v>#NAME?</v>
      </c>
      <c r="AM27" s="46" t="e">
        <f t="shared" ca="1" si="12"/>
        <v>#NAME?</v>
      </c>
      <c r="AN27" s="46" t="e">
        <f t="shared" ca="1" si="12"/>
        <v>#NAME?</v>
      </c>
      <c r="AO27" s="46" t="e">
        <f t="shared" ca="1" si="12"/>
        <v>#NAME?</v>
      </c>
      <c r="AP27" s="46" t="e">
        <f t="shared" ca="1" si="12"/>
        <v>#NAME?</v>
      </c>
      <c r="AQ27" s="596" t="e">
        <f t="shared" ca="1" si="12"/>
        <v>#NAME?</v>
      </c>
    </row>
    <row r="28" spans="2:44">
      <c r="C28" s="597"/>
      <c r="D28" s="599"/>
      <c r="E28" s="599"/>
      <c r="F28" s="599"/>
      <c r="G28" s="600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257"/>
    </row>
    <row r="29" spans="2:44" ht="15.75">
      <c r="B29" s="245">
        <f>DATA_FORMATTING!C19</f>
        <v>0</v>
      </c>
      <c r="C29" s="609" t="s">
        <v>122</v>
      </c>
      <c r="D29" s="236" t="e">
        <f ca="1">HLOOKUP(D$6,IS,(ROW($C29)-ROW($C$6)+1),FALSE)</f>
        <v>#NAME?</v>
      </c>
      <c r="E29" s="183" t="e">
        <f>HLOOKUP(E$6,IS,(ROW($C29)-ROW($C$6)+1),FALSE)</f>
        <v>#N/A</v>
      </c>
      <c r="F29" s="183" t="e">
        <f ca="1">+E29-D29</f>
        <v>#N/A</v>
      </c>
      <c r="G29" s="184">
        <f t="shared" ca="1" si="2"/>
        <v>0</v>
      </c>
      <c r="H29" s="51" t="e">
        <f ca="1">IF($E$3="YTD",DATA_FORMATTING!AY144/H$5,IF($E$3="MONTHLY",DATA_FORMATTING!AY175/'Balance Sheet'!H$8,IF($E$3="QUARTERLY",DATA_FORMATTING!AY239/H$3,DATA_FORMATTING!AY207/'Income Statement'!H$4)))</f>
        <v>#NAME?</v>
      </c>
      <c r="I29" s="51" t="e">
        <f ca="1">IF($E$3="YTD",DATA_FORMATTING!AZ144/I$5,IF($E$3="MONTHLY",DATA_FORMATTING!AZ175/'Balance Sheet'!I$8,IF($E$3="QUARTERLY",DATA_FORMATTING!AZ239/I$3,DATA_FORMATTING!AZ207/'Income Statement'!I$4)))</f>
        <v>#NAME?</v>
      </c>
      <c r="J29" s="51" t="e">
        <f ca="1">IF($E$3="YTD",DATA_FORMATTING!BA144/J$5,IF($E$3="MONTHLY",DATA_FORMATTING!BA175/'Balance Sheet'!J$8,IF($E$3="QUARTERLY",DATA_FORMATTING!BA239/J$3,DATA_FORMATTING!BA207/'Income Statement'!J$4)))</f>
        <v>#NAME?</v>
      </c>
      <c r="K29" s="51" t="e">
        <f ca="1">IF($E$3="YTD",DATA_FORMATTING!BB144/K$5,IF($E$3="MONTHLY",DATA_FORMATTING!BB175/'Balance Sheet'!K$8,IF($E$3="QUARTERLY",DATA_FORMATTING!BB239/K$3,DATA_FORMATTING!BB207/'Income Statement'!K$4)))</f>
        <v>#NAME?</v>
      </c>
      <c r="L29" s="51" t="e">
        <f ca="1">IF($E$3="YTD",DATA_FORMATTING!BC144/L$5,IF($E$3="MONTHLY",DATA_FORMATTING!BC175/'Balance Sheet'!L$8,IF($E$3="QUARTERLY",DATA_FORMATTING!BC239/L$3,DATA_FORMATTING!BC207/'Income Statement'!L$4)))</f>
        <v>#NAME?</v>
      </c>
      <c r="M29" s="51" t="e">
        <f ca="1">IF($E$3="YTD",DATA_FORMATTING!BD144/M$5,IF($E$3="MONTHLY",DATA_FORMATTING!BD175/'Balance Sheet'!M$8,IF($E$3="QUARTERLY",DATA_FORMATTING!BD239/M$3,DATA_FORMATTING!BD207/'Income Statement'!M$4)))</f>
        <v>#NAME?</v>
      </c>
      <c r="N29" s="51" t="e">
        <f ca="1">IF($E$3="YTD",DATA_FORMATTING!BE144/N$5,IF($E$3="MONTHLY",DATA_FORMATTING!BE175/'Balance Sheet'!N$8,IF($E$3="QUARTERLY",DATA_FORMATTING!BE239/N$3,DATA_FORMATTING!BE207/'Income Statement'!N$4)))</f>
        <v>#NAME?</v>
      </c>
      <c r="O29" s="51" t="e">
        <f ca="1">IF($E$3="YTD",DATA_FORMATTING!BF144/O$5,IF($E$3="MONTHLY",DATA_FORMATTING!BF175/'Balance Sheet'!O$8,IF($E$3="QUARTERLY",DATA_FORMATTING!BF239/O$3,DATA_FORMATTING!BF207/'Income Statement'!O$4)))</f>
        <v>#NAME?</v>
      </c>
      <c r="P29" s="51" t="e">
        <f ca="1">IF($E$3="YTD",DATA_FORMATTING!BG144/P$5,IF($E$3="MONTHLY",DATA_FORMATTING!BG175/'Balance Sheet'!P$8,IF($E$3="QUARTERLY",DATA_FORMATTING!BG239/P$3,DATA_FORMATTING!BG207/'Income Statement'!P$4)))</f>
        <v>#NAME?</v>
      </c>
      <c r="Q29" s="51" t="e">
        <f ca="1">IF($E$3="YTD",DATA_FORMATTING!BH144/Q$5,IF($E$3="MONTHLY",DATA_FORMATTING!BH175/'Balance Sheet'!Q$8,IF($E$3="QUARTERLY",DATA_FORMATTING!BH239/Q$3,DATA_FORMATTING!BH207/'Income Statement'!Q$4)))</f>
        <v>#NAME?</v>
      </c>
      <c r="R29" s="51" t="e">
        <f ca="1">IF($E$3="YTD",DATA_FORMATTING!BI144/R$5,IF($E$3="MONTHLY",DATA_FORMATTING!BI175/'Balance Sheet'!R$8,IF($E$3="QUARTERLY",DATA_FORMATTING!BI239/R$3,DATA_FORMATTING!BI207/'Income Statement'!R$4)))</f>
        <v>#NAME?</v>
      </c>
      <c r="S29" s="51" t="e">
        <f ca="1">IF($E$3="YTD",DATA_FORMATTING!BJ144/S$5,IF($E$3="MONTHLY",DATA_FORMATTING!BJ175/'Balance Sheet'!S$8,IF($E$3="QUARTERLY",DATA_FORMATTING!BJ239/S$3,DATA_FORMATTING!BJ207/'Income Statement'!S$4)))</f>
        <v>#NAME?</v>
      </c>
      <c r="T29" s="51" t="e">
        <f ca="1">IF($E$3="YTD",DATA_FORMATTING!BK144/T$5,IF($E$3="MONTHLY",DATA_FORMATTING!BK175/'Balance Sheet'!T$8,IF($E$3="QUARTERLY",DATA_FORMATTING!BK239/T$3,DATA_FORMATTING!BK207/'Income Statement'!T$4)))</f>
        <v>#NAME?</v>
      </c>
      <c r="U29" s="51" t="e">
        <f ca="1">IF($E$3="YTD",DATA_FORMATTING!BL144/U$5,IF($E$3="MONTHLY",DATA_FORMATTING!BL175/'Balance Sheet'!U$8,IF($E$3="QUARTERLY",DATA_FORMATTING!BL239/U$3,DATA_FORMATTING!BL207/'Income Statement'!U$4)))</f>
        <v>#NAME?</v>
      </c>
      <c r="V29" s="51" t="e">
        <f ca="1">IF($E$3="YTD",DATA_FORMATTING!BM144/V$5,IF($E$3="MONTHLY",DATA_FORMATTING!BM175/'Balance Sheet'!V$8,IF($E$3="QUARTERLY",DATA_FORMATTING!BM239/V$3,DATA_FORMATTING!BM207/'Income Statement'!V$4)))</f>
        <v>#NAME?</v>
      </c>
      <c r="W29" s="51" t="e">
        <f ca="1">IF($E$3="YTD",DATA_FORMATTING!BN144/W$5,IF($E$3="MONTHLY",DATA_FORMATTING!BN175/'Balance Sheet'!W$8,IF($E$3="QUARTERLY",DATA_FORMATTING!BN239/W$3,DATA_FORMATTING!BN207/'Income Statement'!W$4)))</f>
        <v>#NAME?</v>
      </c>
      <c r="X29" s="51" t="e">
        <f ca="1">IF($E$3="YTD",DATA_FORMATTING!BO144/X$5,IF($E$3="MONTHLY",DATA_FORMATTING!BO175/'Balance Sheet'!X$8,IF($E$3="QUARTERLY",DATA_FORMATTING!BO239/X$3,DATA_FORMATTING!BO207/'Income Statement'!X$4)))</f>
        <v>#NAME?</v>
      </c>
      <c r="Y29" s="51" t="e">
        <f ca="1">IF($E$3="YTD",DATA_FORMATTING!BP144/Y$5,IF($E$3="MONTHLY",DATA_FORMATTING!BP175/'Balance Sheet'!Y$8,IF($E$3="QUARTERLY",DATA_FORMATTING!BP239/Y$3,DATA_FORMATTING!BP207/'Income Statement'!Y$4)))</f>
        <v>#NAME?</v>
      </c>
      <c r="Z29" s="51" t="e">
        <f ca="1">IF($E$3="YTD",DATA_FORMATTING!BQ144/Z$5,IF($E$3="MONTHLY",DATA_FORMATTING!BQ175/'Balance Sheet'!Z$8,IF($E$3="QUARTERLY",DATA_FORMATTING!BQ239/Z$3,DATA_FORMATTING!BQ207/'Income Statement'!Z$4)))</f>
        <v>#NAME?</v>
      </c>
      <c r="AA29" s="51" t="e">
        <f ca="1">IF($E$3="YTD",DATA_FORMATTING!BR144/AA$5,IF($E$3="MONTHLY",DATA_FORMATTING!BR175/'Balance Sheet'!AA$8,IF($E$3="QUARTERLY",DATA_FORMATTING!BR239/AA$3,DATA_FORMATTING!BR207/'Income Statement'!AA$4)))</f>
        <v>#NAME?</v>
      </c>
      <c r="AB29" s="51" t="e">
        <f ca="1">IF($E$3="YTD",DATA_FORMATTING!BS144/AB$5,IF($E$3="MONTHLY",DATA_FORMATTING!BS175/'Balance Sheet'!AB$8,IF($E$3="QUARTERLY",DATA_FORMATTING!BS239/AB$3,DATA_FORMATTING!BS207/'Income Statement'!AB$4)))</f>
        <v>#NAME?</v>
      </c>
      <c r="AC29" s="51" t="e">
        <f ca="1">IF($E$3="YTD",DATA_FORMATTING!BT144/AC$5,IF($E$3="MONTHLY",DATA_FORMATTING!BT175/'Balance Sheet'!AC$8,IF($E$3="QUARTERLY",DATA_FORMATTING!BT239/AC$3,DATA_FORMATTING!BT207/'Income Statement'!AC$4)))</f>
        <v>#NAME?</v>
      </c>
      <c r="AD29" s="51" t="e">
        <f ca="1">IF($E$3="YTD",DATA_FORMATTING!BU144/AD$5,IF($E$3="MONTHLY",DATA_FORMATTING!BU175/'Balance Sheet'!AD$8,IF($E$3="QUARTERLY",DATA_FORMATTING!BU239/AD$3,DATA_FORMATTING!BU207/'Income Statement'!AD$4)))</f>
        <v>#NAME?</v>
      </c>
      <c r="AE29" s="51" t="e">
        <f ca="1">IF($E$3="YTD",DATA_FORMATTING!BV144/AE$5,IF($E$3="MONTHLY",DATA_FORMATTING!BV175/'Balance Sheet'!AE$8,IF($E$3="QUARTERLY",DATA_FORMATTING!BV239/AE$3,DATA_FORMATTING!BV207/'Income Statement'!AE$4)))</f>
        <v>#NAME?</v>
      </c>
      <c r="AF29" s="51" t="e">
        <f ca="1">IF($E$3="YTD",DATA_FORMATTING!BW144/AF$5,IF($E$3="MONTHLY",DATA_FORMATTING!BW175/'Balance Sheet'!AF$8,IF($E$3="QUARTERLY",DATA_FORMATTING!BW239/AF$3,DATA_FORMATTING!BW207/'Income Statement'!AF$4)))</f>
        <v>#NAME?</v>
      </c>
      <c r="AG29" s="51" t="e">
        <f ca="1">IF($E$3="YTD",DATA_FORMATTING!BX144/AG$5,IF($E$3="MONTHLY",DATA_FORMATTING!BX175/'Balance Sheet'!AG$8,IF($E$3="QUARTERLY",DATA_FORMATTING!BX239/AG$3,DATA_FORMATTING!BX207/'Income Statement'!AG$4)))</f>
        <v>#NAME?</v>
      </c>
      <c r="AH29" s="51" t="e">
        <f ca="1">IF($E$3="YTD",DATA_FORMATTING!BY144/AH$5,IF($E$3="MONTHLY",DATA_FORMATTING!BY175/'Balance Sheet'!AH$8,IF($E$3="QUARTERLY",DATA_FORMATTING!BY239/AH$3,DATA_FORMATTING!BY207/'Income Statement'!AH$4)))</f>
        <v>#NAME?</v>
      </c>
      <c r="AI29" s="51" t="e">
        <f ca="1">IF($E$3="YTD",DATA_FORMATTING!BZ144/AI$5,IF($E$3="MONTHLY",DATA_FORMATTING!BZ175/'Balance Sheet'!AI$8,IF($E$3="QUARTERLY",DATA_FORMATTING!BZ239/AI$3,DATA_FORMATTING!BZ207/'Income Statement'!AI$4)))</f>
        <v>#NAME?</v>
      </c>
      <c r="AJ29" s="51" t="e">
        <f ca="1">IF($E$3="YTD",DATA_FORMATTING!CA144/AJ$5,IF($E$3="MONTHLY",DATA_FORMATTING!CA175/'Balance Sheet'!AJ$8,IF($E$3="QUARTERLY",DATA_FORMATTING!CA239/AJ$3,DATA_FORMATTING!CA207/'Income Statement'!AJ$4)))</f>
        <v>#NAME?</v>
      </c>
      <c r="AK29" s="51" t="e">
        <f ca="1">IF($E$3="YTD",DATA_FORMATTING!CB144/AK$5,IF($E$3="MONTHLY",DATA_FORMATTING!CB175/'Balance Sheet'!AK$8,IF($E$3="QUARTERLY",DATA_FORMATTING!CB239/AK$3,DATA_FORMATTING!CB207/'Income Statement'!AK$4)))</f>
        <v>#NAME?</v>
      </c>
      <c r="AL29" s="51" t="e">
        <f ca="1">IF($E$3="YTD",DATA_FORMATTING!CC144/AL$5,IF($E$3="MONTHLY",DATA_FORMATTING!CC175/'Balance Sheet'!AL$8,IF($E$3="QUARTERLY",DATA_FORMATTING!CC239/AL$3,DATA_FORMATTING!CC207/'Income Statement'!AL$4)))</f>
        <v>#NAME?</v>
      </c>
      <c r="AM29" s="51" t="e">
        <f ca="1">IF($E$3="YTD",DATA_FORMATTING!CD144/AM$5,IF($E$3="MONTHLY",DATA_FORMATTING!CD175/'Balance Sheet'!AM$8,IF($E$3="QUARTERLY",DATA_FORMATTING!CD239/AM$3,DATA_FORMATTING!CD207/'Income Statement'!AM$4)))</f>
        <v>#NAME?</v>
      </c>
      <c r="AN29" s="51" t="e">
        <f ca="1">IF($E$3="YTD",DATA_FORMATTING!CE144/AN$5,IF($E$3="MONTHLY",DATA_FORMATTING!CE175/'Balance Sheet'!AN$8,IF($E$3="QUARTERLY",DATA_FORMATTING!CE239/AN$3,DATA_FORMATTING!CE207/'Income Statement'!AN$4)))</f>
        <v>#NAME?</v>
      </c>
      <c r="AO29" s="51" t="e">
        <f ca="1">IF($E$3="YTD",DATA_FORMATTING!CF144/AO$5,IF($E$3="MONTHLY",DATA_FORMATTING!CF175/'Balance Sheet'!AO$8,IF($E$3="QUARTERLY",DATA_FORMATTING!CF239/AO$3,DATA_FORMATTING!CF207/'Income Statement'!AO$4)))</f>
        <v>#NAME?</v>
      </c>
      <c r="AP29" s="51" t="e">
        <f ca="1">IF($E$3="YTD",DATA_FORMATTING!CG144/AP$5,IF($E$3="MONTHLY",DATA_FORMATTING!CG175/'Balance Sheet'!AP$8,IF($E$3="QUARTERLY",DATA_FORMATTING!CG239/AP$3,DATA_FORMATTING!CG207/'Income Statement'!AP$4)))</f>
        <v>#NAME?</v>
      </c>
      <c r="AQ29" s="257" t="e">
        <f ca="1">IF($E$3="YTD",DATA_FORMATTING!CH144/AQ$5,IF($E$3="MONTHLY",DATA_FORMATTING!CH175/'Balance Sheet'!AQ$8,IF($E$3="QUARTERLY",DATA_FORMATTING!CH239/AQ$3,DATA_FORMATTING!CH207/'Income Statement'!AQ$4)))</f>
        <v>#NAME?</v>
      </c>
    </row>
    <row r="30" spans="2:44" ht="15.75">
      <c r="C30" s="595" t="s">
        <v>124</v>
      </c>
      <c r="D30" s="212" t="e">
        <f ca="1">HLOOKUP(D$6,IS,(ROW($C30)-ROW($C$6)+1),FALSE)</f>
        <v>#NAME?</v>
      </c>
      <c r="E30" s="211" t="e">
        <f>HLOOKUP(E$6,IS,(ROW($C30)-ROW($C$6)+1),FALSE)</f>
        <v>#N/A</v>
      </c>
      <c r="F30" s="211" t="e">
        <f ca="1">+E30-D30</f>
        <v>#N/A</v>
      </c>
      <c r="G30" s="210">
        <f t="shared" ca="1" si="2"/>
        <v>0</v>
      </c>
      <c r="H30" s="46" t="e">
        <f t="shared" ref="H30:AQ30" ca="1" si="13">SUM(H27,H29)</f>
        <v>#NAME?</v>
      </c>
      <c r="I30" s="46" t="e">
        <f t="shared" ca="1" si="13"/>
        <v>#NAME?</v>
      </c>
      <c r="J30" s="46" t="e">
        <f t="shared" ca="1" si="13"/>
        <v>#NAME?</v>
      </c>
      <c r="K30" s="46" t="e">
        <f t="shared" ca="1" si="13"/>
        <v>#NAME?</v>
      </c>
      <c r="L30" s="46" t="e">
        <f t="shared" ca="1" si="13"/>
        <v>#NAME?</v>
      </c>
      <c r="M30" s="46" t="e">
        <f t="shared" ca="1" si="13"/>
        <v>#NAME?</v>
      </c>
      <c r="N30" s="46" t="e">
        <f t="shared" ca="1" si="13"/>
        <v>#NAME?</v>
      </c>
      <c r="O30" s="46" t="e">
        <f t="shared" ca="1" si="13"/>
        <v>#NAME?</v>
      </c>
      <c r="P30" s="46" t="e">
        <f t="shared" ca="1" si="13"/>
        <v>#NAME?</v>
      </c>
      <c r="Q30" s="46" t="e">
        <f t="shared" ca="1" si="13"/>
        <v>#NAME?</v>
      </c>
      <c r="R30" s="46" t="e">
        <f t="shared" ca="1" si="13"/>
        <v>#NAME?</v>
      </c>
      <c r="S30" s="46" t="e">
        <f t="shared" ca="1" si="13"/>
        <v>#NAME?</v>
      </c>
      <c r="T30" s="46" t="e">
        <f t="shared" ca="1" si="13"/>
        <v>#NAME?</v>
      </c>
      <c r="U30" s="46" t="e">
        <f t="shared" ca="1" si="13"/>
        <v>#NAME?</v>
      </c>
      <c r="V30" s="46" t="e">
        <f t="shared" ca="1" si="13"/>
        <v>#NAME?</v>
      </c>
      <c r="W30" s="46" t="e">
        <f t="shared" ca="1" si="13"/>
        <v>#NAME?</v>
      </c>
      <c r="X30" s="46" t="e">
        <f t="shared" ca="1" si="13"/>
        <v>#NAME?</v>
      </c>
      <c r="Y30" s="46" t="e">
        <f t="shared" ca="1" si="13"/>
        <v>#NAME?</v>
      </c>
      <c r="Z30" s="46" t="e">
        <f t="shared" ca="1" si="13"/>
        <v>#NAME?</v>
      </c>
      <c r="AA30" s="46" t="e">
        <f t="shared" ca="1" si="13"/>
        <v>#NAME?</v>
      </c>
      <c r="AB30" s="46" t="e">
        <f t="shared" ca="1" si="13"/>
        <v>#NAME?</v>
      </c>
      <c r="AC30" s="46" t="e">
        <f t="shared" ca="1" si="13"/>
        <v>#NAME?</v>
      </c>
      <c r="AD30" s="46" t="e">
        <f t="shared" ca="1" si="13"/>
        <v>#NAME?</v>
      </c>
      <c r="AE30" s="46" t="e">
        <f t="shared" ca="1" si="13"/>
        <v>#NAME?</v>
      </c>
      <c r="AF30" s="46" t="e">
        <f t="shared" ca="1" si="13"/>
        <v>#NAME?</v>
      </c>
      <c r="AG30" s="46" t="e">
        <f t="shared" ca="1" si="13"/>
        <v>#NAME?</v>
      </c>
      <c r="AH30" s="46" t="e">
        <f t="shared" ca="1" si="13"/>
        <v>#NAME?</v>
      </c>
      <c r="AI30" s="46" t="e">
        <f t="shared" ca="1" si="13"/>
        <v>#NAME?</v>
      </c>
      <c r="AJ30" s="46" t="e">
        <f t="shared" ca="1" si="13"/>
        <v>#NAME?</v>
      </c>
      <c r="AK30" s="46" t="e">
        <f t="shared" ca="1" si="13"/>
        <v>#NAME?</v>
      </c>
      <c r="AL30" s="46" t="e">
        <f t="shared" ca="1" si="13"/>
        <v>#NAME?</v>
      </c>
      <c r="AM30" s="46" t="e">
        <f t="shared" ca="1" si="13"/>
        <v>#NAME?</v>
      </c>
      <c r="AN30" s="46" t="e">
        <f t="shared" ca="1" si="13"/>
        <v>#NAME?</v>
      </c>
      <c r="AO30" s="46" t="e">
        <f t="shared" ca="1" si="13"/>
        <v>#NAME?</v>
      </c>
      <c r="AP30" s="46" t="e">
        <f t="shared" ca="1" si="13"/>
        <v>#NAME?</v>
      </c>
      <c r="AQ30" s="596" t="e">
        <f t="shared" ca="1" si="13"/>
        <v>#NAME?</v>
      </c>
    </row>
    <row r="31" spans="2:44">
      <c r="C31" s="611" t="s">
        <v>4</v>
      </c>
      <c r="D31" s="598" t="str">
        <f ca="1">IFERROR(D$30/D8,"-")</f>
        <v>-</v>
      </c>
      <c r="E31" s="48" t="str">
        <f>IFERROR(E$30/E8,"-")</f>
        <v>-</v>
      </c>
      <c r="F31" s="612"/>
      <c r="G31" s="613"/>
      <c r="H31" s="74" t="str">
        <f t="shared" ref="H31:AQ31" ca="1" si="14">IFERROR(H30/H$8,"-")</f>
        <v>-</v>
      </c>
      <c r="I31" s="74" t="str">
        <f t="shared" ca="1" si="14"/>
        <v>-</v>
      </c>
      <c r="J31" s="74" t="str">
        <f t="shared" ca="1" si="14"/>
        <v>-</v>
      </c>
      <c r="K31" s="74" t="str">
        <f t="shared" ca="1" si="14"/>
        <v>-</v>
      </c>
      <c r="L31" s="74" t="str">
        <f t="shared" ca="1" si="14"/>
        <v>-</v>
      </c>
      <c r="M31" s="74" t="str">
        <f t="shared" ca="1" si="14"/>
        <v>-</v>
      </c>
      <c r="N31" s="74" t="str">
        <f t="shared" ca="1" si="14"/>
        <v>-</v>
      </c>
      <c r="O31" s="74" t="str">
        <f t="shared" ca="1" si="14"/>
        <v>-</v>
      </c>
      <c r="P31" s="74" t="str">
        <f t="shared" ca="1" si="14"/>
        <v>-</v>
      </c>
      <c r="Q31" s="74" t="str">
        <f t="shared" ca="1" si="14"/>
        <v>-</v>
      </c>
      <c r="R31" s="74" t="str">
        <f t="shared" ca="1" si="14"/>
        <v>-</v>
      </c>
      <c r="S31" s="74" t="str">
        <f t="shared" ca="1" si="14"/>
        <v>-</v>
      </c>
      <c r="T31" s="74" t="str">
        <f t="shared" ca="1" si="14"/>
        <v>-</v>
      </c>
      <c r="U31" s="74" t="str">
        <f t="shared" ca="1" si="14"/>
        <v>-</v>
      </c>
      <c r="V31" s="74" t="str">
        <f t="shared" ca="1" si="14"/>
        <v>-</v>
      </c>
      <c r="W31" s="74" t="str">
        <f t="shared" ca="1" si="14"/>
        <v>-</v>
      </c>
      <c r="X31" s="74" t="str">
        <f t="shared" ca="1" si="14"/>
        <v>-</v>
      </c>
      <c r="Y31" s="74" t="str">
        <f t="shared" ca="1" si="14"/>
        <v>-</v>
      </c>
      <c r="Z31" s="74" t="str">
        <f t="shared" ca="1" si="14"/>
        <v>-</v>
      </c>
      <c r="AA31" s="74" t="str">
        <f t="shared" ca="1" si="14"/>
        <v>-</v>
      </c>
      <c r="AB31" s="74" t="str">
        <f t="shared" ca="1" si="14"/>
        <v>-</v>
      </c>
      <c r="AC31" s="74" t="str">
        <f t="shared" ca="1" si="14"/>
        <v>-</v>
      </c>
      <c r="AD31" s="74" t="str">
        <f t="shared" ca="1" si="14"/>
        <v>-</v>
      </c>
      <c r="AE31" s="74" t="str">
        <f t="shared" ca="1" si="14"/>
        <v>-</v>
      </c>
      <c r="AF31" s="74" t="str">
        <f t="shared" ca="1" si="14"/>
        <v>-</v>
      </c>
      <c r="AG31" s="74" t="str">
        <f t="shared" ca="1" si="14"/>
        <v>-</v>
      </c>
      <c r="AH31" s="74" t="str">
        <f t="shared" ca="1" si="14"/>
        <v>-</v>
      </c>
      <c r="AI31" s="74" t="str">
        <f t="shared" ca="1" si="14"/>
        <v>-</v>
      </c>
      <c r="AJ31" s="74" t="str">
        <f t="shared" ca="1" si="14"/>
        <v>-</v>
      </c>
      <c r="AK31" s="74" t="str">
        <f t="shared" ca="1" si="14"/>
        <v>-</v>
      </c>
      <c r="AL31" s="74" t="str">
        <f t="shared" ca="1" si="14"/>
        <v>-</v>
      </c>
      <c r="AM31" s="74" t="str">
        <f t="shared" ca="1" si="14"/>
        <v>-</v>
      </c>
      <c r="AN31" s="74" t="str">
        <f t="shared" ca="1" si="14"/>
        <v>-</v>
      </c>
      <c r="AO31" s="74" t="str">
        <f t="shared" ca="1" si="14"/>
        <v>-</v>
      </c>
      <c r="AP31" s="74" t="str">
        <f t="shared" ca="1" si="14"/>
        <v>-</v>
      </c>
      <c r="AQ31" s="614" t="str">
        <f t="shared" ca="1" si="14"/>
        <v>-</v>
      </c>
    </row>
    <row r="32" spans="2:44">
      <c r="C32" s="611"/>
      <c r="D32" s="612"/>
      <c r="E32" s="612"/>
      <c r="F32" s="612"/>
      <c r="G32" s="613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614"/>
    </row>
    <row r="33" spans="2:43" ht="15.75">
      <c r="B33" s="245">
        <f>DATA_FORMATTING!C20</f>
        <v>0</v>
      </c>
      <c r="C33" s="609" t="s">
        <v>128</v>
      </c>
      <c r="D33" s="236" t="e">
        <f ca="1">HLOOKUP(D$6,IS,(ROW($C33)-ROW($C$6)+1),FALSE)</f>
        <v>#NAME?</v>
      </c>
      <c r="E33" s="183" t="e">
        <f>HLOOKUP(E$6,IS,(ROW($C33)-ROW($C$6)+1),FALSE)</f>
        <v>#N/A</v>
      </c>
      <c r="F33" s="183" t="e">
        <f ca="1">+E33-D33</f>
        <v>#N/A</v>
      </c>
      <c r="G33" s="184">
        <f t="shared" ca="1" si="2"/>
        <v>0</v>
      </c>
      <c r="H33" s="51" t="e">
        <f ca="1">IF($E$3="YTD",DATA_FORMATTING!AY148/H$5,IF($E$3="MONTHLY",DATA_FORMATTING!AY179/'Balance Sheet'!H$8,IF($E$3="QUARTERLY",DATA_FORMATTING!AY243/H$3,DATA_FORMATTING!AY211/'Income Statement'!H$4)))</f>
        <v>#NAME?</v>
      </c>
      <c r="I33" s="51" t="e">
        <f ca="1">IF($E$3="YTD",DATA_FORMATTING!AZ148/I$5,IF($E$3="MONTHLY",DATA_FORMATTING!AZ179/'Balance Sheet'!I$8,IF($E$3="QUARTERLY",DATA_FORMATTING!AZ243/I$3,DATA_FORMATTING!AZ211/'Income Statement'!I$4)))</f>
        <v>#NAME?</v>
      </c>
      <c r="J33" s="51" t="e">
        <f ca="1">IF($E$3="YTD",DATA_FORMATTING!BA148/J$5,IF($E$3="MONTHLY",DATA_FORMATTING!BA179/'Balance Sheet'!J$8,IF($E$3="QUARTERLY",DATA_FORMATTING!BA243/J$3,DATA_FORMATTING!BA211/'Income Statement'!J$4)))</f>
        <v>#NAME?</v>
      </c>
      <c r="K33" s="51" t="e">
        <f ca="1">IF($E$3="YTD",DATA_FORMATTING!BB148/K$5,IF($E$3="MONTHLY",DATA_FORMATTING!BB179/'Balance Sheet'!K$8,IF($E$3="QUARTERLY",DATA_FORMATTING!BB243/K$3,DATA_FORMATTING!BB211/'Income Statement'!K$4)))</f>
        <v>#NAME?</v>
      </c>
      <c r="L33" s="51" t="e">
        <f ca="1">IF($E$3="YTD",DATA_FORMATTING!BC148/L$5,IF($E$3="MONTHLY",DATA_FORMATTING!BC179/'Balance Sheet'!L$8,IF($E$3="QUARTERLY",DATA_FORMATTING!BC243/L$3,DATA_FORMATTING!BC211/'Income Statement'!L$4)))</f>
        <v>#NAME?</v>
      </c>
      <c r="M33" s="51" t="e">
        <f ca="1">IF($E$3="YTD",DATA_FORMATTING!BD148/M$5,IF($E$3="MONTHLY",DATA_FORMATTING!BD179/'Balance Sheet'!M$8,IF($E$3="QUARTERLY",DATA_FORMATTING!BD243/M$3,DATA_FORMATTING!BD211/'Income Statement'!M$4)))</f>
        <v>#NAME?</v>
      </c>
      <c r="N33" s="51" t="e">
        <f ca="1">IF($E$3="YTD",DATA_FORMATTING!BE148/N$5,IF($E$3="MONTHLY",DATA_FORMATTING!BE179/'Balance Sheet'!N$8,IF($E$3="QUARTERLY",DATA_FORMATTING!BE243/N$3,DATA_FORMATTING!BE211/'Income Statement'!N$4)))</f>
        <v>#NAME?</v>
      </c>
      <c r="O33" s="51" t="e">
        <f ca="1">IF($E$3="YTD",DATA_FORMATTING!BF148/O$5,IF($E$3="MONTHLY",DATA_FORMATTING!BF179/'Balance Sheet'!O$8,IF($E$3="QUARTERLY",DATA_FORMATTING!BF243/O$3,DATA_FORMATTING!BF211/'Income Statement'!O$4)))</f>
        <v>#NAME?</v>
      </c>
      <c r="P33" s="51" t="e">
        <f ca="1">IF($E$3="YTD",DATA_FORMATTING!BG148/P$5,IF($E$3="MONTHLY",DATA_FORMATTING!BG179/'Balance Sheet'!P$8,IF($E$3="QUARTERLY",DATA_FORMATTING!BG243/P$3,DATA_FORMATTING!BG211/'Income Statement'!P$4)))</f>
        <v>#NAME?</v>
      </c>
      <c r="Q33" s="51" t="e">
        <f ca="1">IF($E$3="YTD",DATA_FORMATTING!BH148/Q$5,IF($E$3="MONTHLY",DATA_FORMATTING!BH179/'Balance Sheet'!Q$8,IF($E$3="QUARTERLY",DATA_FORMATTING!BH243/Q$3,DATA_FORMATTING!BH211/'Income Statement'!Q$4)))</f>
        <v>#NAME?</v>
      </c>
      <c r="R33" s="51" t="e">
        <f ca="1">IF($E$3="YTD",DATA_FORMATTING!BI148/R$5,IF($E$3="MONTHLY",DATA_FORMATTING!BI179/'Balance Sheet'!R$8,IF($E$3="QUARTERLY",DATA_FORMATTING!BI243/R$3,DATA_FORMATTING!BI211/'Income Statement'!R$4)))</f>
        <v>#NAME?</v>
      </c>
      <c r="S33" s="51" t="e">
        <f ca="1">IF($E$3="YTD",DATA_FORMATTING!BJ148/S$5,IF($E$3="MONTHLY",DATA_FORMATTING!BJ179/'Balance Sheet'!S$8,IF($E$3="QUARTERLY",DATA_FORMATTING!BJ243/S$3,DATA_FORMATTING!BJ211/'Income Statement'!S$4)))</f>
        <v>#NAME?</v>
      </c>
      <c r="T33" s="51" t="e">
        <f ca="1">IF($E$3="YTD",DATA_FORMATTING!BK148/T$5,IF($E$3="MONTHLY",DATA_FORMATTING!BK179/'Balance Sheet'!T$8,IF($E$3="QUARTERLY",DATA_FORMATTING!BK243/T$3,DATA_FORMATTING!BK211/'Income Statement'!T$4)))</f>
        <v>#NAME?</v>
      </c>
      <c r="U33" s="51" t="e">
        <f ca="1">IF($E$3="YTD",DATA_FORMATTING!BL148/U$5,IF($E$3="MONTHLY",DATA_FORMATTING!BL179/'Balance Sheet'!U$8,IF($E$3="QUARTERLY",DATA_FORMATTING!BL243/U$3,DATA_FORMATTING!BL211/'Income Statement'!U$4)))</f>
        <v>#NAME?</v>
      </c>
      <c r="V33" s="51" t="e">
        <f ca="1">IF($E$3="YTD",DATA_FORMATTING!BM148/V$5,IF($E$3="MONTHLY",DATA_FORMATTING!BM179/'Balance Sheet'!V$8,IF($E$3="QUARTERLY",DATA_FORMATTING!BM243/V$3,DATA_FORMATTING!BM211/'Income Statement'!V$4)))</f>
        <v>#NAME?</v>
      </c>
      <c r="W33" s="51" t="e">
        <f ca="1">IF($E$3="YTD",DATA_FORMATTING!BN148/W$5,IF($E$3="MONTHLY",DATA_FORMATTING!BN179/'Balance Sheet'!W$8,IF($E$3="QUARTERLY",DATA_FORMATTING!BN243/W$3,DATA_FORMATTING!BN211/'Income Statement'!W$4)))</f>
        <v>#NAME?</v>
      </c>
      <c r="X33" s="51" t="e">
        <f ca="1">IF($E$3="YTD",DATA_FORMATTING!BO148/X$5,IF($E$3="MONTHLY",DATA_FORMATTING!BO179/'Balance Sheet'!X$8,IF($E$3="QUARTERLY",DATA_FORMATTING!BO243/X$3,DATA_FORMATTING!BO211/'Income Statement'!X$4)))</f>
        <v>#NAME?</v>
      </c>
      <c r="Y33" s="51" t="e">
        <f ca="1">IF($E$3="YTD",DATA_FORMATTING!BP148/Y$5,IF($E$3="MONTHLY",DATA_FORMATTING!BP179/'Balance Sheet'!Y$8,IF($E$3="QUARTERLY",DATA_FORMATTING!BP243/Y$3,DATA_FORMATTING!BP211/'Income Statement'!Y$4)))</f>
        <v>#NAME?</v>
      </c>
      <c r="Z33" s="51" t="e">
        <f ca="1">IF($E$3="YTD",DATA_FORMATTING!BQ148/Z$5,IF($E$3="MONTHLY",DATA_FORMATTING!BQ179/'Balance Sheet'!Z$8,IF($E$3="QUARTERLY",DATA_FORMATTING!BQ243/Z$3,DATA_FORMATTING!BQ211/'Income Statement'!Z$4)))</f>
        <v>#NAME?</v>
      </c>
      <c r="AA33" s="51" t="e">
        <f ca="1">IF($E$3="YTD",DATA_FORMATTING!BR148/AA$5,IF($E$3="MONTHLY",DATA_FORMATTING!BR179/'Balance Sheet'!AA$8,IF($E$3="QUARTERLY",DATA_FORMATTING!BR243/AA$3,DATA_FORMATTING!BR211/'Income Statement'!AA$4)))</f>
        <v>#NAME?</v>
      </c>
      <c r="AB33" s="51" t="e">
        <f ca="1">IF($E$3="YTD",DATA_FORMATTING!BS148/AB$5,IF($E$3="MONTHLY",DATA_FORMATTING!BS179/'Balance Sheet'!AB$8,IF($E$3="QUARTERLY",DATA_FORMATTING!BS243/AB$3,DATA_FORMATTING!BS211/'Income Statement'!AB$4)))</f>
        <v>#NAME?</v>
      </c>
      <c r="AC33" s="51" t="e">
        <f ca="1">IF($E$3="YTD",DATA_FORMATTING!BT148/AC$5,IF($E$3="MONTHLY",DATA_FORMATTING!BT179/'Balance Sheet'!AC$8,IF($E$3="QUARTERLY",DATA_FORMATTING!BT243/AC$3,DATA_FORMATTING!BT211/'Income Statement'!AC$4)))</f>
        <v>#NAME?</v>
      </c>
      <c r="AD33" s="51" t="e">
        <f ca="1">IF($E$3="YTD",DATA_FORMATTING!BU148/AD$5,IF($E$3="MONTHLY",DATA_FORMATTING!BU179/'Balance Sheet'!AD$8,IF($E$3="QUARTERLY",DATA_FORMATTING!BU243/AD$3,DATA_FORMATTING!BU211/'Income Statement'!AD$4)))</f>
        <v>#NAME?</v>
      </c>
      <c r="AE33" s="51" t="e">
        <f ca="1">IF($E$3="YTD",DATA_FORMATTING!BV148/AE$5,IF($E$3="MONTHLY",DATA_FORMATTING!BV179/'Balance Sheet'!AE$8,IF($E$3="QUARTERLY",DATA_FORMATTING!BV243/AE$3,DATA_FORMATTING!BV211/'Income Statement'!AE$4)))</f>
        <v>#NAME?</v>
      </c>
      <c r="AF33" s="51" t="e">
        <f ca="1">IF($E$3="YTD",DATA_FORMATTING!BW148/AF$5,IF($E$3="MONTHLY",DATA_FORMATTING!BW179/'Balance Sheet'!AF$8,IF($E$3="QUARTERLY",DATA_FORMATTING!BW243/AF$3,DATA_FORMATTING!BW211/'Income Statement'!AF$4)))</f>
        <v>#NAME?</v>
      </c>
      <c r="AG33" s="51" t="e">
        <f ca="1">IF($E$3="YTD",DATA_FORMATTING!BX148/AG$5,IF($E$3="MONTHLY",DATA_FORMATTING!BX179/'Balance Sheet'!AG$8,IF($E$3="QUARTERLY",DATA_FORMATTING!BX243/AG$3,DATA_FORMATTING!BX211/'Income Statement'!AG$4)))</f>
        <v>#NAME?</v>
      </c>
      <c r="AH33" s="51" t="e">
        <f ca="1">IF($E$3="YTD",DATA_FORMATTING!BY148/AH$5,IF($E$3="MONTHLY",DATA_FORMATTING!BY179/'Balance Sheet'!AH$8,IF($E$3="QUARTERLY",DATA_FORMATTING!BY243/AH$3,DATA_FORMATTING!BY211/'Income Statement'!AH$4)))</f>
        <v>#NAME?</v>
      </c>
      <c r="AI33" s="51" t="e">
        <f ca="1">IF($E$3="YTD",DATA_FORMATTING!BZ148/AI$5,IF($E$3="MONTHLY",DATA_FORMATTING!BZ179/'Balance Sheet'!AI$8,IF($E$3="QUARTERLY",DATA_FORMATTING!BZ243/AI$3,DATA_FORMATTING!BZ211/'Income Statement'!AI$4)))</f>
        <v>#NAME?</v>
      </c>
      <c r="AJ33" s="51" t="e">
        <f ca="1">IF($E$3="YTD",DATA_FORMATTING!CA148/AJ$5,IF($E$3="MONTHLY",DATA_FORMATTING!CA179/'Balance Sheet'!AJ$8,IF($E$3="QUARTERLY",DATA_FORMATTING!CA243/AJ$3,DATA_FORMATTING!CA211/'Income Statement'!AJ$4)))</f>
        <v>#NAME?</v>
      </c>
      <c r="AK33" s="51" t="e">
        <f ca="1">IF($E$3="YTD",DATA_FORMATTING!CB148/AK$5,IF($E$3="MONTHLY",DATA_FORMATTING!CB179/'Balance Sheet'!AK$8,IF($E$3="QUARTERLY",DATA_FORMATTING!CB243/AK$3,DATA_FORMATTING!CB211/'Income Statement'!AK$4)))</f>
        <v>#NAME?</v>
      </c>
      <c r="AL33" s="51" t="e">
        <f ca="1">IF($E$3="YTD",DATA_FORMATTING!CC148/AL$5,IF($E$3="MONTHLY",DATA_FORMATTING!CC179/'Balance Sheet'!AL$8,IF($E$3="QUARTERLY",DATA_FORMATTING!CC243/AL$3,DATA_FORMATTING!CC211/'Income Statement'!AL$4)))</f>
        <v>#NAME?</v>
      </c>
      <c r="AM33" s="51" t="e">
        <f ca="1">IF($E$3="YTD",DATA_FORMATTING!CD148/AM$5,IF($E$3="MONTHLY",DATA_FORMATTING!CD179/'Balance Sheet'!AM$8,IF($E$3="QUARTERLY",DATA_FORMATTING!CD243/AM$3,DATA_FORMATTING!CD211/'Income Statement'!AM$4)))</f>
        <v>#NAME?</v>
      </c>
      <c r="AN33" s="51" t="e">
        <f ca="1">IF($E$3="YTD",DATA_FORMATTING!CE148/AN$5,IF($E$3="MONTHLY",DATA_FORMATTING!CE179/'Balance Sheet'!AN$8,IF($E$3="QUARTERLY",DATA_FORMATTING!CE243/AN$3,DATA_FORMATTING!CE211/'Income Statement'!AN$4)))</f>
        <v>#NAME?</v>
      </c>
      <c r="AO33" s="51" t="e">
        <f ca="1">IF($E$3="YTD",DATA_FORMATTING!CF148/AO$5,IF($E$3="MONTHLY",DATA_FORMATTING!CF179/'Balance Sheet'!AO$8,IF($E$3="QUARTERLY",DATA_FORMATTING!CF243/AO$3,DATA_FORMATTING!CF211/'Income Statement'!AO$4)))</f>
        <v>#NAME?</v>
      </c>
      <c r="AP33" s="51" t="e">
        <f ca="1">IF($E$3="YTD",DATA_FORMATTING!CG148/AP$5,IF($E$3="MONTHLY",DATA_FORMATTING!CG179/'Balance Sheet'!AP$8,IF($E$3="QUARTERLY",DATA_FORMATTING!CG243/AP$3,DATA_FORMATTING!CG211/'Income Statement'!AP$4)))</f>
        <v>#NAME?</v>
      </c>
      <c r="AQ33" s="257" t="e">
        <f ca="1">IF($E$3="YTD",DATA_FORMATTING!CH148/AQ$5,IF($E$3="MONTHLY",DATA_FORMATTING!CH179/'Balance Sheet'!AQ$8,IF($E$3="QUARTERLY",DATA_FORMATTING!CH243/AQ$3,DATA_FORMATTING!CH211/'Income Statement'!AQ$4)))</f>
        <v>#NAME?</v>
      </c>
    </row>
    <row r="34" spans="2:43" ht="15.75">
      <c r="C34" s="595" t="s">
        <v>129</v>
      </c>
      <c r="D34" s="212" t="e">
        <f ca="1">HLOOKUP(D$6,IS,(ROW($C34)-ROW($C$6)+1),FALSE)</f>
        <v>#NAME?</v>
      </c>
      <c r="E34" s="211" t="e">
        <f>HLOOKUP(E$6,IS,(ROW($C34)-ROW($C$6)+1),FALSE)</f>
        <v>#N/A</v>
      </c>
      <c r="F34" s="211" t="e">
        <f ca="1">+E34-D34</f>
        <v>#N/A</v>
      </c>
      <c r="G34" s="210">
        <f t="shared" ca="1" si="2"/>
        <v>0</v>
      </c>
      <c r="H34" s="46" t="e">
        <f t="shared" ref="H34:AQ34" ca="1" si="15">SUM(H33,H30)</f>
        <v>#NAME?</v>
      </c>
      <c r="I34" s="46" t="e">
        <f t="shared" ca="1" si="15"/>
        <v>#NAME?</v>
      </c>
      <c r="J34" s="46" t="e">
        <f t="shared" ca="1" si="15"/>
        <v>#NAME?</v>
      </c>
      <c r="K34" s="46" t="e">
        <f t="shared" ca="1" si="15"/>
        <v>#NAME?</v>
      </c>
      <c r="L34" s="46" t="e">
        <f t="shared" ca="1" si="15"/>
        <v>#NAME?</v>
      </c>
      <c r="M34" s="46" t="e">
        <f t="shared" ca="1" si="15"/>
        <v>#NAME?</v>
      </c>
      <c r="N34" s="46" t="e">
        <f t="shared" ca="1" si="15"/>
        <v>#NAME?</v>
      </c>
      <c r="O34" s="46" t="e">
        <f t="shared" ca="1" si="15"/>
        <v>#NAME?</v>
      </c>
      <c r="P34" s="46" t="e">
        <f t="shared" ca="1" si="15"/>
        <v>#NAME?</v>
      </c>
      <c r="Q34" s="46" t="e">
        <f t="shared" ca="1" si="15"/>
        <v>#NAME?</v>
      </c>
      <c r="R34" s="46" t="e">
        <f t="shared" ca="1" si="15"/>
        <v>#NAME?</v>
      </c>
      <c r="S34" s="46" t="e">
        <f t="shared" ca="1" si="15"/>
        <v>#NAME?</v>
      </c>
      <c r="T34" s="46" t="e">
        <f t="shared" ca="1" si="15"/>
        <v>#NAME?</v>
      </c>
      <c r="U34" s="46" t="e">
        <f t="shared" ca="1" si="15"/>
        <v>#NAME?</v>
      </c>
      <c r="V34" s="46" t="e">
        <f t="shared" ca="1" si="15"/>
        <v>#NAME?</v>
      </c>
      <c r="W34" s="46" t="e">
        <f t="shared" ca="1" si="15"/>
        <v>#NAME?</v>
      </c>
      <c r="X34" s="46" t="e">
        <f t="shared" ca="1" si="15"/>
        <v>#NAME?</v>
      </c>
      <c r="Y34" s="46" t="e">
        <f t="shared" ca="1" si="15"/>
        <v>#NAME?</v>
      </c>
      <c r="Z34" s="46" t="e">
        <f t="shared" ca="1" si="15"/>
        <v>#NAME?</v>
      </c>
      <c r="AA34" s="46" t="e">
        <f t="shared" ca="1" si="15"/>
        <v>#NAME?</v>
      </c>
      <c r="AB34" s="46" t="e">
        <f t="shared" ca="1" si="15"/>
        <v>#NAME?</v>
      </c>
      <c r="AC34" s="46" t="e">
        <f t="shared" ca="1" si="15"/>
        <v>#NAME?</v>
      </c>
      <c r="AD34" s="46" t="e">
        <f t="shared" ca="1" si="15"/>
        <v>#NAME?</v>
      </c>
      <c r="AE34" s="46" t="e">
        <f t="shared" ca="1" si="15"/>
        <v>#NAME?</v>
      </c>
      <c r="AF34" s="46" t="e">
        <f t="shared" ca="1" si="15"/>
        <v>#NAME?</v>
      </c>
      <c r="AG34" s="46" t="e">
        <f t="shared" ca="1" si="15"/>
        <v>#NAME?</v>
      </c>
      <c r="AH34" s="46" t="e">
        <f t="shared" ca="1" si="15"/>
        <v>#NAME?</v>
      </c>
      <c r="AI34" s="46" t="e">
        <f t="shared" ca="1" si="15"/>
        <v>#NAME?</v>
      </c>
      <c r="AJ34" s="46" t="e">
        <f t="shared" ca="1" si="15"/>
        <v>#NAME?</v>
      </c>
      <c r="AK34" s="46" t="e">
        <f t="shared" ca="1" si="15"/>
        <v>#NAME?</v>
      </c>
      <c r="AL34" s="46" t="e">
        <f t="shared" ca="1" si="15"/>
        <v>#NAME?</v>
      </c>
      <c r="AM34" s="46" t="e">
        <f t="shared" ca="1" si="15"/>
        <v>#NAME?</v>
      </c>
      <c r="AN34" s="46" t="e">
        <f t="shared" ca="1" si="15"/>
        <v>#NAME?</v>
      </c>
      <c r="AO34" s="46" t="e">
        <f t="shared" ca="1" si="15"/>
        <v>#NAME?</v>
      </c>
      <c r="AP34" s="46" t="e">
        <f t="shared" ca="1" si="15"/>
        <v>#NAME?</v>
      </c>
      <c r="AQ34" s="596" t="e">
        <f t="shared" ca="1" si="15"/>
        <v>#NAME?</v>
      </c>
    </row>
    <row r="35" spans="2:43" ht="15.75" thickBot="1">
      <c r="C35" s="615"/>
      <c r="D35" s="616"/>
      <c r="E35" s="616"/>
      <c r="F35" s="616"/>
      <c r="G35" s="616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P35" s="80"/>
      <c r="AQ35" s="617"/>
    </row>
    <row r="36" spans="2:43">
      <c r="H36" s="618"/>
    </row>
  </sheetData>
  <conditionalFormatting sqref="J6:AQ6">
    <cfRule type="expression" dxfId="211" priority="3">
      <formula>J2="Audited"</formula>
    </cfRule>
  </conditionalFormatting>
  <conditionalFormatting sqref="H6:I6">
    <cfRule type="expression" dxfId="210" priority="4">
      <formula>D3="Audited"</formula>
    </cfRule>
  </conditionalFormatting>
  <dataValidations count="4">
    <dataValidation type="list" showInputMessage="1" showErrorMessage="1" sqref="E3">
      <formula1>$A$2:$A$5</formula1>
    </dataValidation>
    <dataValidation type="list" showInputMessage="1" showErrorMessage="1" sqref="E6">
      <formula1>(OFFSET(IS_PERIODS,0,MATCH(IS_PERIOD_START,IS_PERIODS,0),1,COUNTA(IS_PERIODS)-MATCH(IS_PERIOD_START,IS_PERIODS,0)))</formula1>
    </dataValidation>
    <dataValidation type="list" showInputMessage="1" showErrorMessage="1" sqref="D6">
      <formula1>IS_PERIODS</formula1>
    </dataValidation>
    <dataValidation showInputMessage="1" showErrorMessage="1" sqref="D7:G7 C6:C7"/>
  </dataValidation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79998168889431442"/>
  </sheetPr>
  <dimension ref="A1:AY33"/>
  <sheetViews>
    <sheetView showGridLines="0" zoomScale="85" zoomScaleNormal="85" workbookViewId="0">
      <pane xSplit="15" ySplit="6" topLeftCell="P7" activePane="bottomRight" state="frozen"/>
      <selection pane="topRight" activeCell="P1" sqref="P1"/>
      <selection pane="bottomLeft" activeCell="A7" sqref="A7"/>
      <selection pane="bottomRight"/>
    </sheetView>
  </sheetViews>
  <sheetFormatPr defaultRowHeight="15" outlineLevelCol="1"/>
  <cols>
    <col min="1" max="1" width="1" style="245" customWidth="1"/>
    <col min="2" max="2" width="1.28515625" style="245" customWidth="1"/>
    <col min="3" max="3" width="46.85546875" bestFit="1" customWidth="1"/>
    <col min="4" max="15" width="10.7109375" hidden="1" customWidth="1"/>
    <col min="16" max="39" width="17.140625" hidden="1" customWidth="1" outlineLevel="1"/>
    <col min="40" max="40" width="17.140625" customWidth="1" collapsed="1"/>
    <col min="41" max="51" width="17.140625" customWidth="1"/>
  </cols>
  <sheetData>
    <row r="1" spans="1:51" ht="22.5"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</row>
    <row r="2" spans="1:51" ht="18.75">
      <c r="C2" s="247" t="e">
        <f ca="1">UPPER('Balance Sheet'!C2&amp;" Portfolio Quality")</f>
        <v>#NAME?</v>
      </c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</row>
    <row r="3" spans="1:51" ht="18">
      <c r="C3" s="152">
        <f>AY6</f>
        <v>4</v>
      </c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245" t="e">
        <f>DATA_FORMATTING!E3</f>
        <v>#VALUE!</v>
      </c>
      <c r="Q3" s="245" t="e">
        <f>DATA_FORMATTING!F3</f>
        <v>#VALUE!</v>
      </c>
      <c r="R3" s="245" t="e">
        <f>DATA_FORMATTING!G3</f>
        <v>#VALUE!</v>
      </c>
      <c r="S3" s="245" t="e">
        <f>DATA_FORMATTING!H3</f>
        <v>#VALUE!</v>
      </c>
      <c r="T3" s="245" t="e">
        <f>DATA_FORMATTING!I3</f>
        <v>#VALUE!</v>
      </c>
      <c r="U3" s="245" t="e">
        <f>DATA_FORMATTING!J3</f>
        <v>#VALUE!</v>
      </c>
      <c r="V3" s="245" t="e">
        <f>DATA_FORMATTING!K3</f>
        <v>#VALUE!</v>
      </c>
      <c r="W3" s="245" t="e">
        <f>DATA_FORMATTING!L3</f>
        <v>#VALUE!</v>
      </c>
      <c r="X3" s="245" t="e">
        <f>DATA_FORMATTING!M3</f>
        <v>#VALUE!</v>
      </c>
      <c r="Y3" s="245" t="e">
        <f>DATA_FORMATTING!N3</f>
        <v>#VALUE!</v>
      </c>
      <c r="Z3" s="245" t="e">
        <f>DATA_FORMATTING!O3</f>
        <v>#VALUE!</v>
      </c>
      <c r="AA3" s="245" t="e">
        <f>DATA_FORMATTING!P3</f>
        <v>#VALUE!</v>
      </c>
      <c r="AB3" s="245" t="e">
        <f>DATA_FORMATTING!Q3</f>
        <v>#VALUE!</v>
      </c>
      <c r="AC3" s="245" t="e">
        <f>DATA_FORMATTING!R3</f>
        <v>#VALUE!</v>
      </c>
      <c r="AD3" s="245" t="e">
        <f>DATA_FORMATTING!S3</f>
        <v>#VALUE!</v>
      </c>
      <c r="AE3" s="245" t="e">
        <f>DATA_FORMATTING!T3</f>
        <v>#VALUE!</v>
      </c>
      <c r="AF3" s="245" t="e">
        <f>DATA_FORMATTING!U3</f>
        <v>#VALUE!</v>
      </c>
      <c r="AG3" s="245" t="e">
        <f>DATA_FORMATTING!V3</f>
        <v>#VALUE!</v>
      </c>
      <c r="AH3" s="245" t="e">
        <f>DATA_FORMATTING!W3</f>
        <v>#VALUE!</v>
      </c>
      <c r="AI3" s="245" t="e">
        <f>DATA_FORMATTING!X3</f>
        <v>#VALUE!</v>
      </c>
      <c r="AJ3" s="245" t="e">
        <f>DATA_FORMATTING!Y3</f>
        <v>#VALUE!</v>
      </c>
      <c r="AK3" s="245" t="e">
        <f>DATA_FORMATTING!Z3</f>
        <v>#VALUE!</v>
      </c>
      <c r="AL3" s="245" t="e">
        <f>DATA_FORMATTING!AA3</f>
        <v>#VALUE!</v>
      </c>
      <c r="AM3" s="245" t="e">
        <f>DATA_FORMATTING!AB3</f>
        <v>#VALUE!</v>
      </c>
      <c r="AN3" s="260" t="e">
        <f>DATA_FORMATTING!AC3</f>
        <v>#VALUE!</v>
      </c>
      <c r="AO3" s="260" t="e">
        <f>DATA_FORMATTING!AD3</f>
        <v>#VALUE!</v>
      </c>
      <c r="AP3" s="260" t="e">
        <f>DATA_FORMATTING!AE3</f>
        <v>#VALUE!</v>
      </c>
      <c r="AQ3" s="260" t="e">
        <f>DATA_FORMATTING!AF3</f>
        <v>#VALUE!</v>
      </c>
      <c r="AR3" s="260" t="e">
        <f>DATA_FORMATTING!AG3</f>
        <v>#VALUE!</v>
      </c>
      <c r="AS3" s="260" t="e">
        <f>DATA_FORMATTING!AH3</f>
        <v>#VALUE!</v>
      </c>
      <c r="AT3" s="260" t="e">
        <f>DATA_FORMATTING!AI3</f>
        <v>#VALUE!</v>
      </c>
      <c r="AU3" s="260" t="e">
        <f>DATA_FORMATTING!AJ3</f>
        <v>#VALUE!</v>
      </c>
      <c r="AV3" s="260" t="e">
        <f>DATA_FORMATTING!AK3</f>
        <v>#VALUE!</v>
      </c>
      <c r="AW3" s="260" t="e">
        <f>DATA_FORMATTING!AL3</f>
        <v>#VALUE!</v>
      </c>
      <c r="AX3" s="260" t="e">
        <f>DATA_FORMATTING!AM3</f>
        <v>#VALUE!</v>
      </c>
      <c r="AY3" s="260" t="e">
        <f>DATA_FORMATTING!AN3</f>
        <v>#VALUE!</v>
      </c>
    </row>
    <row r="4" spans="1:51" ht="15.75">
      <c r="C4" s="153" t="str">
        <f>"In "&amp;'Balance Sheet'!E5</f>
        <v>In USD</v>
      </c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621" t="e">
        <f ca="1">IF('Balance Sheet'!$E$5="USD",AVERAGE((OFFSET(DB_LOAD!$K:$K,MATCH(P6,DB_LOAD!$H:$H,0)-1,0,12,1))),1)</f>
        <v>#N/A</v>
      </c>
      <c r="Q4" s="621" t="e">
        <f ca="1">IF('Balance Sheet'!$E$5="USD",AVERAGE((OFFSET(DB_LOAD!$K:$K,MATCH(Q6,DB_LOAD!$H:$H,0)-1,0,12,1))),1)</f>
        <v>#N/A</v>
      </c>
      <c r="R4" s="621" t="e">
        <f ca="1">IF('Balance Sheet'!$E$5="USD",AVERAGE((OFFSET(DB_LOAD!$K:$K,MATCH(R6,DB_LOAD!$H:$H,0)-1,0,12,1))),1)</f>
        <v>#N/A</v>
      </c>
      <c r="S4" s="621" t="e">
        <f ca="1">IF('Balance Sheet'!$E$5="USD",AVERAGE((OFFSET(DB_LOAD!$K:$K,MATCH(S6,DB_LOAD!$H:$H,0)-1,0,12,1))),1)</f>
        <v>#N/A</v>
      </c>
      <c r="T4" s="621" t="e">
        <f ca="1">IF('Balance Sheet'!$E$5="USD",AVERAGE((OFFSET(DB_LOAD!$K:$K,MATCH(T6,DB_LOAD!$H:$H,0)-1,0,12,1))),1)</f>
        <v>#N/A</v>
      </c>
      <c r="U4" s="621" t="e">
        <f ca="1">IF('Balance Sheet'!$E$5="USD",AVERAGE((OFFSET(DB_LOAD!$K:$K,MATCH(U6,DB_LOAD!$H:$H,0)-1,0,12,1))),1)</f>
        <v>#N/A</v>
      </c>
      <c r="V4" s="621" t="e">
        <f ca="1">IF('Balance Sheet'!$E$5="USD",AVERAGE((OFFSET(DB_LOAD!$K:$K,MATCH(V6,DB_LOAD!$H:$H,0)-1,0,12,1))),1)</f>
        <v>#N/A</v>
      </c>
      <c r="W4" s="621" t="e">
        <f ca="1">IF('Balance Sheet'!$E$5="USD",AVERAGE((OFFSET(DB_LOAD!$K:$K,MATCH(W6,DB_LOAD!$H:$H,0)-1,0,12,1))),1)</f>
        <v>#N/A</v>
      </c>
      <c r="X4" s="621" t="e">
        <f ca="1">IF('Balance Sheet'!$E$5="USD",AVERAGE((OFFSET(DB_LOAD!$K:$K,MATCH(X6,DB_LOAD!$H:$H,0)-1,0,12,1))),1)</f>
        <v>#N/A</v>
      </c>
      <c r="Y4" s="621" t="e">
        <f ca="1">IF('Balance Sheet'!$E$5="USD",AVERAGE((OFFSET(DB_LOAD!$K:$K,MATCH(Y6,DB_LOAD!$H:$H,0)-1,0,12,1))),1)</f>
        <v>#N/A</v>
      </c>
      <c r="Z4" s="621" t="e">
        <f ca="1">IF('Balance Sheet'!$E$5="USD",AVERAGE((OFFSET(DB_LOAD!$K:$K,MATCH(Z6,DB_LOAD!$H:$H,0)-1,0,12,1))),1)</f>
        <v>#N/A</v>
      </c>
      <c r="AA4" s="621" t="e">
        <f ca="1">IF('Balance Sheet'!$E$5="USD",AVERAGE((OFFSET(DB_LOAD!$K:$K,MATCH(AA6,DB_LOAD!$H:$H,0)-1,0,12,1))),1)</f>
        <v>#N/A</v>
      </c>
      <c r="AB4" s="621" t="e">
        <f ca="1">IF('Balance Sheet'!$E$5="USD",AVERAGE((OFFSET(DB_LOAD!$K:$K,MATCH(AB6,DB_LOAD!$H:$H,0)-1,0,12,1))),1)</f>
        <v>#N/A</v>
      </c>
      <c r="AC4" s="621" t="e">
        <f ca="1">IF('Balance Sheet'!$E$5="USD",AVERAGE((OFFSET(DB_LOAD!$K:$K,MATCH(AC6,DB_LOAD!$H:$H,0)-1,0,12,1))),1)</f>
        <v>#N/A</v>
      </c>
      <c r="AD4" s="621" t="e">
        <f ca="1">IF('Balance Sheet'!$E$5="USD",AVERAGE((OFFSET(DB_LOAD!$K:$K,MATCH(AD6,DB_LOAD!$H:$H,0)-1,0,12,1))),1)</f>
        <v>#N/A</v>
      </c>
      <c r="AE4" s="621" t="e">
        <f ca="1">IF('Balance Sheet'!$E$5="USD",AVERAGE((OFFSET(DB_LOAD!$K:$K,MATCH(AE6,DB_LOAD!$H:$H,0)-1,0,12,1))),1)</f>
        <v>#N/A</v>
      </c>
      <c r="AF4" s="621" t="e">
        <f ca="1">IF('Balance Sheet'!$E$5="USD",AVERAGE((OFFSET(DB_LOAD!$K:$K,MATCH(AF6,DB_LOAD!$H:$H,0)-1,0,12,1))),1)</f>
        <v>#N/A</v>
      </c>
      <c r="AG4" s="621" t="e">
        <f ca="1">IF('Balance Sheet'!$E$5="USD",AVERAGE((OFFSET(DB_LOAD!$K:$K,MATCH(AG6,DB_LOAD!$H:$H,0)-1,0,12,1))),1)</f>
        <v>#N/A</v>
      </c>
      <c r="AH4" s="621" t="e">
        <f ca="1">IF('Balance Sheet'!$E$5="USD",AVERAGE((OFFSET(DB_LOAD!$K:$K,MATCH(AH6,DB_LOAD!$H:$H,0)-1,0,12,1))),1)</f>
        <v>#N/A</v>
      </c>
      <c r="AI4" s="621" t="e">
        <f ca="1">IF('Balance Sheet'!$E$5="USD",AVERAGE((OFFSET(DB_LOAD!$K:$K,MATCH(AI6,DB_LOAD!$H:$H,0)-1,0,12,1))),1)</f>
        <v>#N/A</v>
      </c>
      <c r="AJ4" s="621" t="e">
        <f ca="1">IF('Balance Sheet'!$E$5="USD",AVERAGE((OFFSET(DB_LOAD!$K:$K,MATCH(AJ6,DB_LOAD!$H:$H,0)-1,0,12,1))),1)</f>
        <v>#N/A</v>
      </c>
      <c r="AK4" s="621" t="e">
        <f ca="1">IF('Balance Sheet'!$E$5="USD",AVERAGE((OFFSET(DB_LOAD!$K:$K,MATCH(AK6,DB_LOAD!$H:$H,0)-1,0,12,1))),1)</f>
        <v>#N/A</v>
      </c>
      <c r="AL4" s="621" t="e">
        <f ca="1">IF('Balance Sheet'!$E$5="USD",AVERAGE((OFFSET(DB_LOAD!$K:$K,MATCH(AL6,DB_LOAD!$H:$H,0)-1,0,12,1))),1)</f>
        <v>#N/A</v>
      </c>
      <c r="AM4" s="621" t="e">
        <f ca="1">IF('Balance Sheet'!$E$5="USD",AVERAGE((OFFSET(DB_LOAD!$K:$K,MATCH(AM6,DB_LOAD!$H:$H,0)-1,0,12,1))),1)</f>
        <v>#N/A</v>
      </c>
      <c r="AN4" s="621" t="e">
        <f ca="1">IF('Balance Sheet'!$E$5="USD",AVERAGE((OFFSET(DB_LOAD!$K:$K,MATCH(AN6,DB_LOAD!$H:$H,0)-1,0,12,1))),1)</f>
        <v>#N/A</v>
      </c>
      <c r="AO4" s="621" t="e">
        <f ca="1">IF('Balance Sheet'!$E$5="USD",AVERAGE((OFFSET(DB_LOAD!$K:$K,MATCH(AO6,DB_LOAD!$H:$H,0)-1,0,12,1))),1)</f>
        <v>#N/A</v>
      </c>
      <c r="AP4" s="621" t="e">
        <f ca="1">IF('Balance Sheet'!$E$5="USD",AVERAGE((OFFSET(DB_LOAD!$K:$K,MATCH(AP6,DB_LOAD!$H:$H,0)-1,0,12,1))),1)</f>
        <v>#N/A</v>
      </c>
      <c r="AQ4" s="621" t="e">
        <f ca="1">IF('Balance Sheet'!$E$5="USD",AVERAGE((OFFSET(DB_LOAD!$K:$K,MATCH(AQ6,DB_LOAD!$H:$H,0)-1,0,12,1))),1)</f>
        <v>#N/A</v>
      </c>
      <c r="AR4" s="621" t="e">
        <f ca="1">IF('Balance Sheet'!$E$5="USD",AVERAGE((OFFSET(DB_LOAD!$K:$K,MATCH(AR6,DB_LOAD!$H:$H,0)-1,0,12,1))),1)</f>
        <v>#N/A</v>
      </c>
      <c r="AS4" s="621" t="e">
        <f ca="1">IF('Balance Sheet'!$E$5="USD",AVERAGE((OFFSET(DB_LOAD!$K:$K,MATCH(AS6,DB_LOAD!$H:$H,0)-1,0,12,1))),1)</f>
        <v>#N/A</v>
      </c>
      <c r="AT4" s="621" t="e">
        <f ca="1">IF('Balance Sheet'!$E$5="USD",AVERAGE((OFFSET(DB_LOAD!$K:$K,MATCH(AT6,DB_LOAD!$H:$H,0)-1,0,12,1))),1)</f>
        <v>#N/A</v>
      </c>
      <c r="AU4" s="621" t="e">
        <f ca="1">IF('Balance Sheet'!$E$5="USD",AVERAGE((OFFSET(DB_LOAD!$K:$K,MATCH(AU6,DB_LOAD!$H:$H,0)-1,0,12,1))),1)</f>
        <v>#N/A</v>
      </c>
      <c r="AV4" s="621" t="e">
        <f ca="1">IF('Balance Sheet'!$E$5="USD",AVERAGE((OFFSET(DB_LOAD!$K:$K,MATCH(AV6,DB_LOAD!$H:$H,0)-1,0,12,1))),1)</f>
        <v>#N/A</v>
      </c>
      <c r="AW4" s="621" t="e">
        <f ca="1">IF('Balance Sheet'!$E$5="USD",AVERAGE((OFFSET(DB_LOAD!$K:$K,MATCH(AW6,DB_LOAD!$H:$H,0)-1,0,12,1))),1)</f>
        <v>#N/A</v>
      </c>
      <c r="AX4" s="621" t="e">
        <f ca="1">IF('Balance Sheet'!$E$5="USD",AVERAGE((OFFSET(DB_LOAD!$K:$K,MATCH(AX6,DB_LOAD!$H:$H,0)-1,0,12,1))),1)</f>
        <v>#N/A</v>
      </c>
      <c r="AY4" s="621" t="e">
        <f ca="1">IF('Balance Sheet'!$E$5="USD",AVERAGE((OFFSET(DB_LOAD!$K:$K,MATCH(AY6,DB_LOAD!$H:$H,0)-1,0,12,1))),1)</f>
        <v>#N/A</v>
      </c>
    </row>
    <row r="5" spans="1:51" ht="15.75" thickBot="1">
      <c r="A5" s="245" t="s">
        <v>301</v>
      </c>
      <c r="B5" s="260" t="s">
        <v>302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621" t="e">
        <f ca="1">IF('Balance Sheet'!$E$5="USD",(OFFSET(DB_LOAD!$K:$K,MATCH(P6,DB_LOAD!$H:$H,0)-1,0,1,1)),1)</f>
        <v>#N/A</v>
      </c>
      <c r="Q5" s="621" t="e">
        <f ca="1">IF('Balance Sheet'!$E$5="USD",(OFFSET(DB_LOAD!$K:$K,MATCH(Q6,DB_LOAD!$H:$H,0)-1,0,1,1)),1)</f>
        <v>#N/A</v>
      </c>
      <c r="R5" s="621" t="e">
        <f ca="1">IF('Balance Sheet'!$E$5="USD",(OFFSET(DB_LOAD!$K:$K,MATCH(R6,DB_LOAD!$H:$H,0)-1,0,1,1)),1)</f>
        <v>#N/A</v>
      </c>
      <c r="S5" s="621" t="e">
        <f ca="1">IF('Balance Sheet'!$E$5="USD",(OFFSET(DB_LOAD!$K:$K,MATCH(S6,DB_LOAD!$H:$H,0)-1,0,1,1)),1)</f>
        <v>#N/A</v>
      </c>
      <c r="T5" s="621" t="e">
        <f ca="1">IF('Balance Sheet'!$E$5="USD",(OFFSET(DB_LOAD!$K:$K,MATCH(T6,DB_LOAD!$H:$H,0)-1,0,1,1)),1)</f>
        <v>#N/A</v>
      </c>
      <c r="U5" s="621" t="e">
        <f ca="1">IF('Balance Sheet'!$E$5="USD",(OFFSET(DB_LOAD!$K:$K,MATCH(U6,DB_LOAD!$H:$H,0)-1,0,1,1)),1)</f>
        <v>#N/A</v>
      </c>
      <c r="V5" s="621" t="e">
        <f ca="1">IF('Balance Sheet'!$E$5="USD",(OFFSET(DB_LOAD!$K:$K,MATCH(V6,DB_LOAD!$H:$H,0)-1,0,1,1)),1)</f>
        <v>#N/A</v>
      </c>
      <c r="W5" s="621" t="e">
        <f ca="1">IF('Balance Sheet'!$E$5="USD",(OFFSET(DB_LOAD!$K:$K,MATCH(W6,DB_LOAD!$H:$H,0)-1,0,1,1)),1)</f>
        <v>#N/A</v>
      </c>
      <c r="X5" s="621" t="e">
        <f ca="1">IF('Balance Sheet'!$E$5="USD",(OFFSET(DB_LOAD!$K:$K,MATCH(X6,DB_LOAD!$H:$H,0)-1,0,1,1)),1)</f>
        <v>#N/A</v>
      </c>
      <c r="Y5" s="621" t="e">
        <f ca="1">IF('Balance Sheet'!$E$5="USD",(OFFSET(DB_LOAD!$K:$K,MATCH(Y6,DB_LOAD!$H:$H,0)-1,0,1,1)),1)</f>
        <v>#N/A</v>
      </c>
      <c r="Z5" s="621" t="e">
        <f ca="1">IF('Balance Sheet'!$E$5="USD",(OFFSET(DB_LOAD!$K:$K,MATCH(Z6,DB_LOAD!$H:$H,0)-1,0,1,1)),1)</f>
        <v>#N/A</v>
      </c>
      <c r="AA5" s="621" t="e">
        <f ca="1">IF('Balance Sheet'!$E$5="USD",(OFFSET(DB_LOAD!$K:$K,MATCH(AA6,DB_LOAD!$H:$H,0)-1,0,1,1)),1)</f>
        <v>#N/A</v>
      </c>
      <c r="AB5" s="621" t="e">
        <f ca="1">IF('Balance Sheet'!$E$5="USD",(OFFSET(DB_LOAD!$K:$K,MATCH(AB6,DB_LOAD!$H:$H,0)-1,0,1,1)),1)</f>
        <v>#N/A</v>
      </c>
      <c r="AC5" s="621" t="e">
        <f ca="1">IF('Balance Sheet'!$E$5="USD",(OFFSET(DB_LOAD!$K:$K,MATCH(AC6,DB_LOAD!$H:$H,0)-1,0,1,1)),1)</f>
        <v>#N/A</v>
      </c>
      <c r="AD5" s="621" t="e">
        <f ca="1">IF('Balance Sheet'!$E$5="USD",(OFFSET(DB_LOAD!$K:$K,MATCH(AD6,DB_LOAD!$H:$H,0)-1,0,1,1)),1)</f>
        <v>#N/A</v>
      </c>
      <c r="AE5" s="621" t="e">
        <f ca="1">IF('Balance Sheet'!$E$5="USD",(OFFSET(DB_LOAD!$K:$K,MATCH(AE6,DB_LOAD!$H:$H,0)-1,0,1,1)),1)</f>
        <v>#N/A</v>
      </c>
      <c r="AF5" s="621" t="e">
        <f ca="1">IF('Balance Sheet'!$E$5="USD",(OFFSET(DB_LOAD!$K:$K,MATCH(AF6,DB_LOAD!$H:$H,0)-1,0,1,1)),1)</f>
        <v>#N/A</v>
      </c>
      <c r="AG5" s="621" t="e">
        <f ca="1">IF('Balance Sheet'!$E$5="USD",(OFFSET(DB_LOAD!$K:$K,MATCH(AG6,DB_LOAD!$H:$H,0)-1,0,1,1)),1)</f>
        <v>#N/A</v>
      </c>
      <c r="AH5" s="621" t="e">
        <f ca="1">IF('Balance Sheet'!$E$5="USD",(OFFSET(DB_LOAD!$K:$K,MATCH(AH6,DB_LOAD!$H:$H,0)-1,0,1,1)),1)</f>
        <v>#N/A</v>
      </c>
      <c r="AI5" s="621" t="e">
        <f ca="1">IF('Balance Sheet'!$E$5="USD",(OFFSET(DB_LOAD!$K:$K,MATCH(AI6,DB_LOAD!$H:$H,0)-1,0,1,1)),1)</f>
        <v>#N/A</v>
      </c>
      <c r="AJ5" s="621" t="e">
        <f ca="1">IF('Balance Sheet'!$E$5="USD",(OFFSET(DB_LOAD!$K:$K,MATCH(AJ6,DB_LOAD!$H:$H,0)-1,0,1,1)),1)</f>
        <v>#N/A</v>
      </c>
      <c r="AK5" s="621" t="e">
        <f ca="1">IF('Balance Sheet'!$E$5="USD",(OFFSET(DB_LOAD!$K:$K,MATCH(AK6,DB_LOAD!$H:$H,0)-1,0,1,1)),1)</f>
        <v>#N/A</v>
      </c>
      <c r="AL5" s="621" t="e">
        <f ca="1">IF('Balance Sheet'!$E$5="USD",(OFFSET(DB_LOAD!$K:$K,MATCH(AL6,DB_LOAD!$H:$H,0)-1,0,1,1)),1)</f>
        <v>#N/A</v>
      </c>
      <c r="AM5" s="621" t="e">
        <f ca="1">IF('Balance Sheet'!$E$5="USD",(OFFSET(DB_LOAD!$K:$K,MATCH(AM6,DB_LOAD!$H:$H,0)-1,0,1,1)),1)</f>
        <v>#N/A</v>
      </c>
      <c r="AN5" s="621" t="e">
        <f ca="1">IF('Balance Sheet'!$E$5="USD",(OFFSET(DB_LOAD!$K:$K,MATCH(AN6,DB_LOAD!$H:$H,0)-1,0,1,1)),1)</f>
        <v>#N/A</v>
      </c>
      <c r="AO5" s="621" t="e">
        <f ca="1">IF('Balance Sheet'!$E$5="USD",(OFFSET(DB_LOAD!$K:$K,MATCH(AO6,DB_LOAD!$H:$H,0)-1,0,1,1)),1)</f>
        <v>#N/A</v>
      </c>
      <c r="AP5" s="621" t="e">
        <f ca="1">IF('Balance Sheet'!$E$5="USD",(OFFSET(DB_LOAD!$K:$K,MATCH(AP6,DB_LOAD!$H:$H,0)-1,0,1,1)),1)</f>
        <v>#N/A</v>
      </c>
      <c r="AQ5" s="621" t="e">
        <f ca="1">IF('Balance Sheet'!$E$5="USD",(OFFSET(DB_LOAD!$K:$K,MATCH(AQ6,DB_LOAD!$H:$H,0)-1,0,1,1)),1)</f>
        <v>#N/A</v>
      </c>
      <c r="AR5" s="621" t="e">
        <f ca="1">IF('Balance Sheet'!$E$5="USD",(OFFSET(DB_LOAD!$K:$K,MATCH(AR6,DB_LOAD!$H:$H,0)-1,0,1,1)),1)</f>
        <v>#N/A</v>
      </c>
      <c r="AS5" s="621" t="e">
        <f ca="1">IF('Balance Sheet'!$E$5="USD",(OFFSET(DB_LOAD!$K:$K,MATCH(AS6,DB_LOAD!$H:$H,0)-1,0,1,1)),1)</f>
        <v>#N/A</v>
      </c>
      <c r="AT5" s="621" t="e">
        <f ca="1">IF('Balance Sheet'!$E$5="USD",(OFFSET(DB_LOAD!$K:$K,MATCH(AT6,DB_LOAD!$H:$H,0)-1,0,1,1)),1)</f>
        <v>#N/A</v>
      </c>
      <c r="AU5" s="621" t="e">
        <f ca="1">IF('Balance Sheet'!$E$5="USD",(OFFSET(DB_LOAD!$K:$K,MATCH(AU6,DB_LOAD!$H:$H,0)-1,0,1,1)),1)</f>
        <v>#N/A</v>
      </c>
      <c r="AV5" s="621" t="e">
        <f ca="1">IF('Balance Sheet'!$E$5="USD",(OFFSET(DB_LOAD!$K:$K,MATCH(AV6,DB_LOAD!$H:$H,0)-1,0,1,1)),1)</f>
        <v>#N/A</v>
      </c>
      <c r="AW5" s="621" t="e">
        <f ca="1">IF('Balance Sheet'!$E$5="USD",(OFFSET(DB_LOAD!$K:$K,MATCH(AW6,DB_LOAD!$H:$H,0)-1,0,1,1)),1)</f>
        <v>#N/A</v>
      </c>
      <c r="AX5" s="621" t="e">
        <f ca="1">IF('Balance Sheet'!$E$5="USD",(OFFSET(DB_LOAD!$K:$K,MATCH(AX6,DB_LOAD!$H:$H,0)-1,0,1,1)),1)</f>
        <v>#N/A</v>
      </c>
      <c r="AY5" s="621" t="e">
        <f ca="1">IF('Balance Sheet'!$E$5="USD",(OFFSET(DB_LOAD!$K:$K,MATCH(AY6,DB_LOAD!$H:$H,0)-1,0,1,1)),1)</f>
        <v>#N/A</v>
      </c>
    </row>
    <row r="6" spans="1:51" ht="15.75" thickBot="1">
      <c r="A6" s="245">
        <v>1</v>
      </c>
      <c r="C6" s="261"/>
      <c r="D6" s="249"/>
      <c r="E6" s="249"/>
      <c r="F6" s="249"/>
      <c r="G6" s="249"/>
      <c r="H6" s="249"/>
      <c r="I6" s="249"/>
      <c r="J6" s="249"/>
      <c r="K6" s="249"/>
      <c r="L6" s="249"/>
      <c r="M6" s="249"/>
      <c r="N6" s="249"/>
      <c r="O6" s="249"/>
      <c r="P6" s="249" t="str">
        <f>DATA_FORMATTING!E7</f>
        <v/>
      </c>
      <c r="Q6" s="249" t="str">
        <f>DATA_FORMATTING!F7</f>
        <v/>
      </c>
      <c r="R6" s="249" t="str">
        <f>DATA_FORMATTING!G7</f>
        <v/>
      </c>
      <c r="S6" s="249" t="str">
        <f>DATA_FORMATTING!H7</f>
        <v/>
      </c>
      <c r="T6" s="249" t="str">
        <f>DATA_FORMATTING!I7</f>
        <v/>
      </c>
      <c r="U6" s="249" t="str">
        <f>DATA_FORMATTING!J7</f>
        <v/>
      </c>
      <c r="V6" s="249" t="str">
        <f>DATA_FORMATTING!K7</f>
        <v/>
      </c>
      <c r="W6" s="249" t="str">
        <f>DATA_FORMATTING!L7</f>
        <v/>
      </c>
      <c r="X6" s="249" t="str">
        <f>DATA_FORMATTING!M7</f>
        <v/>
      </c>
      <c r="Y6" s="249" t="str">
        <f>DATA_FORMATTING!N7</f>
        <v/>
      </c>
      <c r="Z6" s="249" t="str">
        <f>DATA_FORMATTING!O7</f>
        <v/>
      </c>
      <c r="AA6" s="249" t="str">
        <f>DATA_FORMATTING!P7</f>
        <v/>
      </c>
      <c r="AB6" s="249" t="str">
        <f>DATA_FORMATTING!Q7</f>
        <v/>
      </c>
      <c r="AC6" s="249" t="str">
        <f>DATA_FORMATTING!R7</f>
        <v/>
      </c>
      <c r="AD6" s="249" t="str">
        <f>DATA_FORMATTING!S7</f>
        <v/>
      </c>
      <c r="AE6" s="249" t="str">
        <f>DATA_FORMATTING!T7</f>
        <v/>
      </c>
      <c r="AF6" s="249" t="str">
        <f>DATA_FORMATTING!U7</f>
        <v/>
      </c>
      <c r="AG6" s="249" t="str">
        <f>DATA_FORMATTING!V7</f>
        <v/>
      </c>
      <c r="AH6" s="249" t="str">
        <f>DATA_FORMATTING!W7</f>
        <v/>
      </c>
      <c r="AI6" s="249" t="str">
        <f>DATA_FORMATTING!X7</f>
        <v/>
      </c>
      <c r="AJ6" s="249" t="str">
        <f>DATA_FORMATTING!Y7</f>
        <v/>
      </c>
      <c r="AK6" s="249" t="str">
        <f>DATA_FORMATTING!Z7</f>
        <v/>
      </c>
      <c r="AL6" s="249" t="str">
        <f>DATA_FORMATTING!AA7</f>
        <v/>
      </c>
      <c r="AM6" s="249" t="str">
        <f>DATA_FORMATTING!AB7</f>
        <v/>
      </c>
      <c r="AN6" s="249" t="str">
        <f>DATA_FORMATTING!AC7</f>
        <v/>
      </c>
      <c r="AO6" s="249" t="str">
        <f>DATA_FORMATTING!AD7</f>
        <v/>
      </c>
      <c r="AP6" s="249" t="str">
        <f>DATA_FORMATTING!AE7</f>
        <v/>
      </c>
      <c r="AQ6" s="249" t="str">
        <f>DATA_FORMATTING!AF7</f>
        <v/>
      </c>
      <c r="AR6" s="249" t="str">
        <f>DATA_FORMATTING!AG7</f>
        <v/>
      </c>
      <c r="AS6" s="249" t="str">
        <f>DATA_FORMATTING!AH7</f>
        <v/>
      </c>
      <c r="AT6" s="249" t="str">
        <f>DATA_FORMATTING!AI7</f>
        <v/>
      </c>
      <c r="AU6" s="249" t="str">
        <f>DATA_FORMATTING!AJ7</f>
        <v/>
      </c>
      <c r="AV6" s="249" t="str">
        <f>DATA_FORMATTING!AK7</f>
        <v/>
      </c>
      <c r="AW6" s="249" t="str">
        <f>DATA_FORMATTING!AL7</f>
        <v/>
      </c>
      <c r="AX6" s="249" t="str">
        <f>DATA_FORMATTING!AM7</f>
        <v/>
      </c>
      <c r="AY6" s="250">
        <f>DATA_FORMATTING!AN7</f>
        <v>4</v>
      </c>
    </row>
    <row r="7" spans="1:51">
      <c r="A7" s="245">
        <v>2</v>
      </c>
      <c r="C7" s="262"/>
      <c r="D7" s="848"/>
      <c r="E7" s="848"/>
      <c r="F7" s="848"/>
      <c r="G7" s="848"/>
      <c r="H7" s="848"/>
      <c r="I7" s="848"/>
      <c r="J7" s="848"/>
      <c r="K7" s="848"/>
      <c r="L7" s="848"/>
      <c r="M7" s="848"/>
      <c r="N7" s="848"/>
      <c r="O7" s="848"/>
      <c r="P7" s="251" t="e">
        <f t="shared" ref="P7:AY7" si="0">IF(P3=YEAR(P6),"Audited","")</f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3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3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2" t="e">
        <f t="shared" si="0"/>
        <v>#VALUE!</v>
      </c>
      <c r="AN7" s="252" t="e">
        <f t="shared" si="0"/>
        <v>#VALUE!</v>
      </c>
      <c r="AO7" s="252" t="e">
        <f t="shared" si="0"/>
        <v>#VALUE!</v>
      </c>
      <c r="AP7" s="252" t="e">
        <f t="shared" si="0"/>
        <v>#VALUE!</v>
      </c>
      <c r="AQ7" s="252" t="e">
        <f t="shared" si="0"/>
        <v>#VALUE!</v>
      </c>
      <c r="AR7" s="252" t="e">
        <f t="shared" si="0"/>
        <v>#VALUE!</v>
      </c>
      <c r="AS7" s="252" t="e">
        <f t="shared" si="0"/>
        <v>#VALUE!</v>
      </c>
      <c r="AT7" s="252" t="e">
        <f t="shared" si="0"/>
        <v>#VALUE!</v>
      </c>
      <c r="AU7" s="252" t="e">
        <f t="shared" si="0"/>
        <v>#VALUE!</v>
      </c>
      <c r="AV7" s="252" t="e">
        <f t="shared" si="0"/>
        <v>#VALUE!</v>
      </c>
      <c r="AW7" s="252" t="e">
        <f t="shared" si="0"/>
        <v>#VALUE!</v>
      </c>
      <c r="AX7" s="252" t="e">
        <f t="shared" si="0"/>
        <v>#VALUE!</v>
      </c>
      <c r="AY7" s="254" t="e">
        <f t="shared" si="0"/>
        <v>#VALUE!</v>
      </c>
    </row>
    <row r="8" spans="1:51">
      <c r="A8" s="245">
        <v>3</v>
      </c>
      <c r="B8" s="260" t="str">
        <f>DATA_FORMATTING!CS11</f>
        <v>PAR (&gt;30 days)</v>
      </c>
      <c r="C8" s="263" t="s">
        <v>68</v>
      </c>
      <c r="D8" s="849"/>
      <c r="E8" s="849"/>
      <c r="F8" s="849"/>
      <c r="G8" s="849"/>
      <c r="H8" s="849"/>
      <c r="I8" s="849"/>
      <c r="J8" s="849"/>
      <c r="K8" s="849"/>
      <c r="L8" s="849"/>
      <c r="M8" s="849"/>
      <c r="N8" s="849"/>
      <c r="O8" s="849"/>
      <c r="P8" s="51" t="e">
        <f ca="1">DATA_FORMATTING!CT124/P$5</f>
        <v>#NAME?</v>
      </c>
      <c r="Q8" s="51" t="e">
        <f ca="1">DATA_FORMATTING!CU124/Q$5</f>
        <v>#NAME?</v>
      </c>
      <c r="R8" s="51" t="e">
        <f ca="1">DATA_FORMATTING!CV124/R$5</f>
        <v>#NAME?</v>
      </c>
      <c r="S8" s="51" t="e">
        <f ca="1">DATA_FORMATTING!CW124/S$5</f>
        <v>#NAME?</v>
      </c>
      <c r="T8" s="51" t="e">
        <f ca="1">DATA_FORMATTING!CX124/T$5</f>
        <v>#NAME?</v>
      </c>
      <c r="U8" s="51" t="e">
        <f ca="1">DATA_FORMATTING!CY124/U$5</f>
        <v>#NAME?</v>
      </c>
      <c r="V8" s="51" t="e">
        <f ca="1">DATA_FORMATTING!CZ124/V$5</f>
        <v>#NAME?</v>
      </c>
      <c r="W8" s="51" t="e">
        <f ca="1">DATA_FORMATTING!DA124/W$5</f>
        <v>#NAME?</v>
      </c>
      <c r="X8" s="51" t="e">
        <f ca="1">DATA_FORMATTING!DB124/X$5</f>
        <v>#NAME?</v>
      </c>
      <c r="Y8" s="51" t="e">
        <f ca="1">DATA_FORMATTING!DC124/Y$5</f>
        <v>#NAME?</v>
      </c>
      <c r="Z8" s="51" t="e">
        <f ca="1">DATA_FORMATTING!DD124/Z$5</f>
        <v>#NAME?</v>
      </c>
      <c r="AA8" s="51" t="e">
        <f ca="1">DATA_FORMATTING!DE124/AA$5</f>
        <v>#NAME?</v>
      </c>
      <c r="AB8" s="51" t="e">
        <f ca="1">DATA_FORMATTING!DF124/AB$5</f>
        <v>#NAME?</v>
      </c>
      <c r="AC8" s="51" t="e">
        <f ca="1">DATA_FORMATTING!DG124/AC$5</f>
        <v>#NAME?</v>
      </c>
      <c r="AD8" s="51" t="e">
        <f ca="1">DATA_FORMATTING!DH124/AD$5</f>
        <v>#NAME?</v>
      </c>
      <c r="AE8" s="51" t="e">
        <f ca="1">DATA_FORMATTING!DI124/AE$5</f>
        <v>#NAME?</v>
      </c>
      <c r="AF8" s="51" t="e">
        <f ca="1">DATA_FORMATTING!DJ124/AF$5</f>
        <v>#NAME?</v>
      </c>
      <c r="AG8" s="51" t="e">
        <f ca="1">DATA_FORMATTING!DK124/AG$5</f>
        <v>#NAME?</v>
      </c>
      <c r="AH8" s="51" t="e">
        <f ca="1">DATA_FORMATTING!DL124/AH$5</f>
        <v>#NAME?</v>
      </c>
      <c r="AI8" s="51" t="e">
        <f ca="1">DATA_FORMATTING!DM124/AI$5</f>
        <v>#NAME?</v>
      </c>
      <c r="AJ8" s="51" t="e">
        <f ca="1">DATA_FORMATTING!DN124/AJ$5</f>
        <v>#NAME?</v>
      </c>
      <c r="AK8" s="51" t="e">
        <f ca="1">DATA_FORMATTING!DO124/AK$5</f>
        <v>#NAME?</v>
      </c>
      <c r="AL8" s="51" t="e">
        <f ca="1">DATA_FORMATTING!DP124/AL$5</f>
        <v>#NAME?</v>
      </c>
      <c r="AM8" s="51" t="e">
        <f ca="1">DATA_FORMATTING!DQ124/AM$5</f>
        <v>#NAME?</v>
      </c>
      <c r="AN8" s="51" t="e">
        <f ca="1">DATA_FORMATTING!DR124/AN$5</f>
        <v>#NAME?</v>
      </c>
      <c r="AO8" s="51" t="e">
        <f ca="1">DATA_FORMATTING!DS124/AO$5</f>
        <v>#NAME?</v>
      </c>
      <c r="AP8" s="51" t="e">
        <f ca="1">DATA_FORMATTING!DT124/AP$5</f>
        <v>#NAME?</v>
      </c>
      <c r="AQ8" s="51" t="e">
        <f ca="1">DATA_FORMATTING!DU124/AQ$5</f>
        <v>#NAME?</v>
      </c>
      <c r="AR8" s="51" t="e">
        <f ca="1">DATA_FORMATTING!DV124/AR$5</f>
        <v>#NAME?</v>
      </c>
      <c r="AS8" s="51" t="e">
        <f ca="1">DATA_FORMATTING!DW124/AS$5</f>
        <v>#NAME?</v>
      </c>
      <c r="AT8" s="51" t="e">
        <f ca="1">DATA_FORMATTING!DX124/AT$5</f>
        <v>#NAME?</v>
      </c>
      <c r="AU8" s="51" t="e">
        <f ca="1">DATA_FORMATTING!DY124/AU$5</f>
        <v>#NAME?</v>
      </c>
      <c r="AV8" s="51" t="e">
        <f ca="1">DATA_FORMATTING!DZ124/AV$5</f>
        <v>#NAME?</v>
      </c>
      <c r="AW8" s="51" t="e">
        <f ca="1">DATA_FORMATTING!EA124/AW$5</f>
        <v>#NAME?</v>
      </c>
      <c r="AX8" s="51" t="e">
        <f ca="1">DATA_FORMATTING!EB124/AX$5</f>
        <v>#NAME?</v>
      </c>
      <c r="AY8" s="257" t="e">
        <f ca="1">DATA_FORMATTING!EC124/AY$5</f>
        <v>#NAME?</v>
      </c>
    </row>
    <row r="9" spans="1:51">
      <c r="A9" s="245">
        <v>4</v>
      </c>
      <c r="B9" s="260" t="str">
        <f>DATA_FORMATTING!CS12</f>
        <v>PAR (31-60 days)</v>
      </c>
      <c r="C9" s="263" t="s">
        <v>73</v>
      </c>
      <c r="D9" s="849"/>
      <c r="E9" s="849"/>
      <c r="F9" s="849"/>
      <c r="G9" s="849"/>
      <c r="H9" s="849"/>
      <c r="I9" s="849"/>
      <c r="J9" s="849"/>
      <c r="K9" s="849"/>
      <c r="L9" s="849"/>
      <c r="M9" s="849"/>
      <c r="N9" s="849"/>
      <c r="O9" s="849"/>
      <c r="P9" s="51" t="e">
        <f ca="1">DATA_FORMATTING!CT125/P$5</f>
        <v>#NAME?</v>
      </c>
      <c r="Q9" s="51" t="e">
        <f ca="1">DATA_FORMATTING!CU125/Q$5</f>
        <v>#NAME?</v>
      </c>
      <c r="R9" s="51" t="e">
        <f ca="1">DATA_FORMATTING!CV125/R$5</f>
        <v>#NAME?</v>
      </c>
      <c r="S9" s="51" t="e">
        <f ca="1">DATA_FORMATTING!CW125/S$5</f>
        <v>#NAME?</v>
      </c>
      <c r="T9" s="51" t="e">
        <f ca="1">DATA_FORMATTING!CX125/T$5</f>
        <v>#NAME?</v>
      </c>
      <c r="U9" s="51" t="e">
        <f ca="1">DATA_FORMATTING!CY125/U$5</f>
        <v>#NAME?</v>
      </c>
      <c r="V9" s="51" t="e">
        <f ca="1">DATA_FORMATTING!CZ125/V$5</f>
        <v>#NAME?</v>
      </c>
      <c r="W9" s="51" t="e">
        <f ca="1">DATA_FORMATTING!DA125/W$5</f>
        <v>#NAME?</v>
      </c>
      <c r="X9" s="51" t="e">
        <f ca="1">DATA_FORMATTING!DB125/X$5</f>
        <v>#NAME?</v>
      </c>
      <c r="Y9" s="51" t="e">
        <f ca="1">DATA_FORMATTING!DC125/Y$5</f>
        <v>#NAME?</v>
      </c>
      <c r="Z9" s="51" t="e">
        <f ca="1">DATA_FORMATTING!DD125/Z$5</f>
        <v>#NAME?</v>
      </c>
      <c r="AA9" s="51" t="e">
        <f ca="1">DATA_FORMATTING!DE125/AA$5</f>
        <v>#NAME?</v>
      </c>
      <c r="AB9" s="51" t="e">
        <f ca="1">DATA_FORMATTING!DF125/AB$5</f>
        <v>#NAME?</v>
      </c>
      <c r="AC9" s="51" t="e">
        <f ca="1">DATA_FORMATTING!DG125/AC$5</f>
        <v>#NAME?</v>
      </c>
      <c r="AD9" s="51" t="e">
        <f ca="1">DATA_FORMATTING!DH125/AD$5</f>
        <v>#NAME?</v>
      </c>
      <c r="AE9" s="51" t="e">
        <f ca="1">DATA_FORMATTING!DI125/AE$5</f>
        <v>#NAME?</v>
      </c>
      <c r="AF9" s="51" t="e">
        <f ca="1">DATA_FORMATTING!DJ125/AF$5</f>
        <v>#NAME?</v>
      </c>
      <c r="AG9" s="51" t="e">
        <f ca="1">DATA_FORMATTING!DK125/AG$5</f>
        <v>#NAME?</v>
      </c>
      <c r="AH9" s="51" t="e">
        <f ca="1">DATA_FORMATTING!DL125/AH$5</f>
        <v>#NAME?</v>
      </c>
      <c r="AI9" s="51" t="e">
        <f ca="1">DATA_FORMATTING!DM125/AI$5</f>
        <v>#NAME?</v>
      </c>
      <c r="AJ9" s="51" t="e">
        <f ca="1">DATA_FORMATTING!DN125/AJ$5</f>
        <v>#NAME?</v>
      </c>
      <c r="AK9" s="51" t="e">
        <f ca="1">DATA_FORMATTING!DO125/AK$5</f>
        <v>#NAME?</v>
      </c>
      <c r="AL9" s="51" t="e">
        <f ca="1">DATA_FORMATTING!DP125/AL$5</f>
        <v>#NAME?</v>
      </c>
      <c r="AM9" s="51" t="e">
        <f ca="1">DATA_FORMATTING!DQ125/AM$5</f>
        <v>#NAME?</v>
      </c>
      <c r="AN9" s="51" t="e">
        <f ca="1">DATA_FORMATTING!DR125/AN$5</f>
        <v>#NAME?</v>
      </c>
      <c r="AO9" s="51" t="e">
        <f ca="1">DATA_FORMATTING!DS125/AO$5</f>
        <v>#NAME?</v>
      </c>
      <c r="AP9" s="51" t="e">
        <f ca="1">DATA_FORMATTING!DT125/AP$5</f>
        <v>#NAME?</v>
      </c>
      <c r="AQ9" s="51" t="e">
        <f ca="1">DATA_FORMATTING!DU125/AQ$5</f>
        <v>#NAME?</v>
      </c>
      <c r="AR9" s="51" t="e">
        <f ca="1">DATA_FORMATTING!DV125/AR$5</f>
        <v>#NAME?</v>
      </c>
      <c r="AS9" s="51" t="e">
        <f ca="1">DATA_FORMATTING!DW125/AS$5</f>
        <v>#NAME?</v>
      </c>
      <c r="AT9" s="51" t="e">
        <f ca="1">DATA_FORMATTING!DX125/AT$5</f>
        <v>#NAME?</v>
      </c>
      <c r="AU9" s="51" t="e">
        <f ca="1">DATA_FORMATTING!DY125/AU$5</f>
        <v>#NAME?</v>
      </c>
      <c r="AV9" s="51" t="e">
        <f ca="1">DATA_FORMATTING!DZ125/AV$5</f>
        <v>#NAME?</v>
      </c>
      <c r="AW9" s="51" t="e">
        <f ca="1">DATA_FORMATTING!EA125/AW$5</f>
        <v>#NAME?</v>
      </c>
      <c r="AX9" s="51" t="e">
        <f ca="1">DATA_FORMATTING!EB125/AX$5</f>
        <v>#NAME?</v>
      </c>
      <c r="AY9" s="257" t="e">
        <f ca="1">DATA_FORMATTING!EC125/AY$5</f>
        <v>#NAME?</v>
      </c>
    </row>
    <row r="10" spans="1:51">
      <c r="A10" s="245">
        <v>5</v>
      </c>
      <c r="B10" s="264" t="e">
        <f ca="1">AY10</f>
        <v>#NAME?</v>
      </c>
      <c r="C10" s="925" t="s">
        <v>78</v>
      </c>
      <c r="D10" s="926"/>
      <c r="E10" s="926"/>
      <c r="F10" s="926"/>
      <c r="G10" s="926"/>
      <c r="H10" s="926"/>
      <c r="I10" s="926"/>
      <c r="J10" s="926"/>
      <c r="K10" s="926"/>
      <c r="L10" s="926"/>
      <c r="M10" s="926"/>
      <c r="N10" s="926"/>
      <c r="O10" s="926"/>
      <c r="P10" s="927" t="e">
        <f ca="1">DATA_FORMATTING!CT126/P$5</f>
        <v>#NAME?</v>
      </c>
      <c r="Q10" s="927" t="e">
        <f ca="1">DATA_FORMATTING!CU126/Q$5</f>
        <v>#NAME?</v>
      </c>
      <c r="R10" s="927" t="e">
        <f ca="1">DATA_FORMATTING!CV126/R$5</f>
        <v>#NAME?</v>
      </c>
      <c r="S10" s="927" t="e">
        <f ca="1">DATA_FORMATTING!CW126/S$5</f>
        <v>#NAME?</v>
      </c>
      <c r="T10" s="927" t="e">
        <f ca="1">DATA_FORMATTING!CX126/T$5</f>
        <v>#NAME?</v>
      </c>
      <c r="U10" s="927" t="e">
        <f ca="1">DATA_FORMATTING!CY126/U$5</f>
        <v>#NAME?</v>
      </c>
      <c r="V10" s="927" t="e">
        <f ca="1">DATA_FORMATTING!CZ126/V$5</f>
        <v>#NAME?</v>
      </c>
      <c r="W10" s="927" t="e">
        <f ca="1">DATA_FORMATTING!DA126/W$5</f>
        <v>#NAME?</v>
      </c>
      <c r="X10" s="927" t="e">
        <f ca="1">DATA_FORMATTING!DB126/X$5</f>
        <v>#NAME?</v>
      </c>
      <c r="Y10" s="927" t="e">
        <f ca="1">DATA_FORMATTING!DC126/Y$5</f>
        <v>#NAME?</v>
      </c>
      <c r="Z10" s="927" t="e">
        <f ca="1">DATA_FORMATTING!DD126/Z$5</f>
        <v>#NAME?</v>
      </c>
      <c r="AA10" s="927" t="e">
        <f ca="1">DATA_FORMATTING!DE126/AA$5</f>
        <v>#NAME?</v>
      </c>
      <c r="AB10" s="927" t="e">
        <f ca="1">DATA_FORMATTING!DF126/AB$5</f>
        <v>#NAME?</v>
      </c>
      <c r="AC10" s="927" t="e">
        <f ca="1">DATA_FORMATTING!DG126/AC$5</f>
        <v>#NAME?</v>
      </c>
      <c r="AD10" s="927" t="e">
        <f ca="1">DATA_FORMATTING!DH126/AD$5</f>
        <v>#NAME?</v>
      </c>
      <c r="AE10" s="927" t="e">
        <f ca="1">DATA_FORMATTING!DI126/AE$5</f>
        <v>#NAME?</v>
      </c>
      <c r="AF10" s="927" t="e">
        <f ca="1">DATA_FORMATTING!DJ126/AF$5</f>
        <v>#NAME?</v>
      </c>
      <c r="AG10" s="927" t="e">
        <f ca="1">DATA_FORMATTING!DK126/AG$5</f>
        <v>#NAME?</v>
      </c>
      <c r="AH10" s="927" t="e">
        <f ca="1">DATA_FORMATTING!DL126/AH$5</f>
        <v>#NAME?</v>
      </c>
      <c r="AI10" s="927" t="e">
        <f ca="1">DATA_FORMATTING!DM126/AI$5</f>
        <v>#NAME?</v>
      </c>
      <c r="AJ10" s="927" t="e">
        <f ca="1">DATA_FORMATTING!DN126/AJ$5</f>
        <v>#NAME?</v>
      </c>
      <c r="AK10" s="927" t="e">
        <f ca="1">DATA_FORMATTING!DO126/AK$5</f>
        <v>#NAME?</v>
      </c>
      <c r="AL10" s="927" t="e">
        <f ca="1">DATA_FORMATTING!DP126/AL$5</f>
        <v>#NAME?</v>
      </c>
      <c r="AM10" s="927" t="e">
        <f ca="1">DATA_FORMATTING!DQ126/AM$5</f>
        <v>#NAME?</v>
      </c>
      <c r="AN10" s="927" t="e">
        <f ca="1">DATA_FORMATTING!DR126/AN$5</f>
        <v>#NAME?</v>
      </c>
      <c r="AO10" s="927" t="e">
        <f ca="1">DATA_FORMATTING!DS126/AO$5</f>
        <v>#NAME?</v>
      </c>
      <c r="AP10" s="927" t="e">
        <f ca="1">DATA_FORMATTING!DT126/AP$5</f>
        <v>#NAME?</v>
      </c>
      <c r="AQ10" s="927" t="e">
        <f ca="1">DATA_FORMATTING!DU126/AQ$5</f>
        <v>#NAME?</v>
      </c>
      <c r="AR10" s="927" t="e">
        <f ca="1">DATA_FORMATTING!DV126/AR$5</f>
        <v>#NAME?</v>
      </c>
      <c r="AS10" s="927" t="e">
        <f ca="1">DATA_FORMATTING!DW126/AS$5</f>
        <v>#NAME?</v>
      </c>
      <c r="AT10" s="927" t="e">
        <f ca="1">DATA_FORMATTING!DX126/AT$5</f>
        <v>#NAME?</v>
      </c>
      <c r="AU10" s="927" t="e">
        <f ca="1">DATA_FORMATTING!DY126/AU$5</f>
        <v>#NAME?</v>
      </c>
      <c r="AV10" s="927" t="e">
        <f ca="1">DATA_FORMATTING!DZ126/AV$5</f>
        <v>#NAME?</v>
      </c>
      <c r="AW10" s="927" t="e">
        <f ca="1">DATA_FORMATTING!EA126/AW$5</f>
        <v>#NAME?</v>
      </c>
      <c r="AX10" s="927" t="e">
        <f ca="1">DATA_FORMATTING!EB126/AX$5</f>
        <v>#NAME?</v>
      </c>
      <c r="AY10" s="928" t="e">
        <f ca="1">DATA_FORMATTING!EC126/AY$5</f>
        <v>#NAME?</v>
      </c>
    </row>
    <row r="11" spans="1:51">
      <c r="A11" s="245">
        <v>6</v>
      </c>
      <c r="B11" s="260" t="str">
        <f>DATA_FORMATTING!CS14</f>
        <v>PAR (91-180 days)</v>
      </c>
      <c r="C11" s="265" t="s">
        <v>83</v>
      </c>
      <c r="D11" s="850"/>
      <c r="E11" s="850"/>
      <c r="F11" s="850"/>
      <c r="G11" s="850"/>
      <c r="H11" s="850"/>
      <c r="I11" s="850"/>
      <c r="J11" s="850"/>
      <c r="K11" s="850"/>
      <c r="L11" s="850"/>
      <c r="M11" s="850"/>
      <c r="N11" s="850"/>
      <c r="O11" s="850"/>
      <c r="P11" s="51" t="e">
        <f ca="1">DATA_FORMATTING!CT127/P$5</f>
        <v>#NAME?</v>
      </c>
      <c r="Q11" s="51" t="e">
        <f ca="1">DATA_FORMATTING!CU127/Q$5</f>
        <v>#NAME?</v>
      </c>
      <c r="R11" s="51" t="e">
        <f ca="1">DATA_FORMATTING!CV127/R$5</f>
        <v>#NAME?</v>
      </c>
      <c r="S11" s="51" t="e">
        <f ca="1">DATA_FORMATTING!CW127/S$5</f>
        <v>#NAME?</v>
      </c>
      <c r="T11" s="51" t="e">
        <f ca="1">DATA_FORMATTING!CX127/T$5</f>
        <v>#NAME?</v>
      </c>
      <c r="U11" s="51" t="e">
        <f ca="1">DATA_FORMATTING!CY127/U$5</f>
        <v>#NAME?</v>
      </c>
      <c r="V11" s="51" t="e">
        <f ca="1">DATA_FORMATTING!CZ127/V$5</f>
        <v>#NAME?</v>
      </c>
      <c r="W11" s="51" t="e">
        <f ca="1">DATA_FORMATTING!DA127/W$5</f>
        <v>#NAME?</v>
      </c>
      <c r="X11" s="51" t="e">
        <f ca="1">DATA_FORMATTING!DB127/X$5</f>
        <v>#NAME?</v>
      </c>
      <c r="Y11" s="51" t="e">
        <f ca="1">DATA_FORMATTING!DC127/Y$5</f>
        <v>#NAME?</v>
      </c>
      <c r="Z11" s="51" t="e">
        <f ca="1">DATA_FORMATTING!DD127/Z$5</f>
        <v>#NAME?</v>
      </c>
      <c r="AA11" s="51" t="e">
        <f ca="1">DATA_FORMATTING!DE127/AA$5</f>
        <v>#NAME?</v>
      </c>
      <c r="AB11" s="51" t="e">
        <f ca="1">DATA_FORMATTING!DF127/AB$5</f>
        <v>#NAME?</v>
      </c>
      <c r="AC11" s="51" t="e">
        <f ca="1">DATA_FORMATTING!DG127/AC$5</f>
        <v>#NAME?</v>
      </c>
      <c r="AD11" s="51" t="e">
        <f ca="1">DATA_FORMATTING!DH127/AD$5</f>
        <v>#NAME?</v>
      </c>
      <c r="AE11" s="51" t="e">
        <f ca="1">DATA_FORMATTING!DI127/AE$5</f>
        <v>#NAME?</v>
      </c>
      <c r="AF11" s="51" t="e">
        <f ca="1">DATA_FORMATTING!DJ127/AF$5</f>
        <v>#NAME?</v>
      </c>
      <c r="AG11" s="51" t="e">
        <f ca="1">DATA_FORMATTING!DK127/AG$5</f>
        <v>#NAME?</v>
      </c>
      <c r="AH11" s="51" t="e">
        <f ca="1">DATA_FORMATTING!DL127/AH$5</f>
        <v>#NAME?</v>
      </c>
      <c r="AI11" s="51" t="e">
        <f ca="1">DATA_FORMATTING!DM127/AI$5</f>
        <v>#NAME?</v>
      </c>
      <c r="AJ11" s="51" t="e">
        <f ca="1">DATA_FORMATTING!DN127/AJ$5</f>
        <v>#NAME?</v>
      </c>
      <c r="AK11" s="51" t="e">
        <f ca="1">DATA_FORMATTING!DO127/AK$5</f>
        <v>#NAME?</v>
      </c>
      <c r="AL11" s="51" t="e">
        <f ca="1">DATA_FORMATTING!DP127/AL$5</f>
        <v>#NAME?</v>
      </c>
      <c r="AM11" s="51" t="e">
        <f ca="1">DATA_FORMATTING!DQ127/AM$5</f>
        <v>#NAME?</v>
      </c>
      <c r="AN11" s="51" t="e">
        <f ca="1">DATA_FORMATTING!DR127/AN$5</f>
        <v>#NAME?</v>
      </c>
      <c r="AO11" s="51" t="e">
        <f ca="1">DATA_FORMATTING!DS127/AO$5</f>
        <v>#NAME?</v>
      </c>
      <c r="AP11" s="51" t="e">
        <f ca="1">DATA_FORMATTING!DT127/AP$5</f>
        <v>#NAME?</v>
      </c>
      <c r="AQ11" s="51" t="e">
        <f ca="1">DATA_FORMATTING!DU127/AQ$5</f>
        <v>#NAME?</v>
      </c>
      <c r="AR11" s="51" t="e">
        <f ca="1">DATA_FORMATTING!DV127/AR$5</f>
        <v>#NAME?</v>
      </c>
      <c r="AS11" s="51" t="e">
        <f ca="1">DATA_FORMATTING!DW127/AS$5</f>
        <v>#NAME?</v>
      </c>
      <c r="AT11" s="51" t="e">
        <f ca="1">DATA_FORMATTING!DX127/AT$5</f>
        <v>#NAME?</v>
      </c>
      <c r="AU11" s="51" t="e">
        <f ca="1">DATA_FORMATTING!DY127/AU$5</f>
        <v>#NAME?</v>
      </c>
      <c r="AV11" s="51" t="e">
        <f ca="1">DATA_FORMATTING!DZ127/AV$5</f>
        <v>#NAME?</v>
      </c>
      <c r="AW11" s="51" t="e">
        <f ca="1">DATA_FORMATTING!EA127/AW$5</f>
        <v>#NAME?</v>
      </c>
      <c r="AX11" s="51" t="e">
        <f ca="1">DATA_FORMATTING!EB127/AX$5</f>
        <v>#NAME?</v>
      </c>
      <c r="AY11" s="257" t="e">
        <f ca="1">DATA_FORMATTING!EC127/AY$5</f>
        <v>#NAME?</v>
      </c>
    </row>
    <row r="12" spans="1:51">
      <c r="A12" s="245">
        <v>7</v>
      </c>
      <c r="B12" s="260" t="str">
        <f>DATA_FORMATTING!CS15</f>
        <v>PAR (&gt;180 days)</v>
      </c>
      <c r="C12" s="265" t="s">
        <v>88</v>
      </c>
      <c r="D12" s="850"/>
      <c r="E12" s="850"/>
      <c r="F12" s="850"/>
      <c r="G12" s="850"/>
      <c r="H12" s="850"/>
      <c r="I12" s="850"/>
      <c r="J12" s="850"/>
      <c r="K12" s="850"/>
      <c r="L12" s="850"/>
      <c r="M12" s="850"/>
      <c r="N12" s="850"/>
      <c r="O12" s="850"/>
      <c r="P12" s="51" t="e">
        <f ca="1">DATA_FORMATTING!CT128/P$5</f>
        <v>#NAME?</v>
      </c>
      <c r="Q12" s="51" t="e">
        <f ca="1">DATA_FORMATTING!CU128/Q$5</f>
        <v>#NAME?</v>
      </c>
      <c r="R12" s="51" t="e">
        <f ca="1">DATA_FORMATTING!CV128/R$5</f>
        <v>#NAME?</v>
      </c>
      <c r="S12" s="51" t="e">
        <f ca="1">DATA_FORMATTING!CW128/S$5</f>
        <v>#NAME?</v>
      </c>
      <c r="T12" s="51" t="e">
        <f ca="1">DATA_FORMATTING!CX128/T$5</f>
        <v>#NAME?</v>
      </c>
      <c r="U12" s="51" t="e">
        <f ca="1">DATA_FORMATTING!CY128/U$5</f>
        <v>#NAME?</v>
      </c>
      <c r="V12" s="51" t="e">
        <f ca="1">DATA_FORMATTING!CZ128/V$5</f>
        <v>#NAME?</v>
      </c>
      <c r="W12" s="51" t="e">
        <f ca="1">DATA_FORMATTING!DA128/W$5</f>
        <v>#NAME?</v>
      </c>
      <c r="X12" s="51" t="e">
        <f ca="1">DATA_FORMATTING!DB128/X$5</f>
        <v>#NAME?</v>
      </c>
      <c r="Y12" s="51" t="e">
        <f ca="1">DATA_FORMATTING!DC128/Y$5</f>
        <v>#NAME?</v>
      </c>
      <c r="Z12" s="51" t="e">
        <f ca="1">DATA_FORMATTING!DD128/Z$5</f>
        <v>#NAME?</v>
      </c>
      <c r="AA12" s="51" t="e">
        <f ca="1">DATA_FORMATTING!DE128/AA$5</f>
        <v>#NAME?</v>
      </c>
      <c r="AB12" s="51" t="e">
        <f ca="1">DATA_FORMATTING!DF128/AB$5</f>
        <v>#NAME?</v>
      </c>
      <c r="AC12" s="51" t="e">
        <f ca="1">DATA_FORMATTING!DG128/AC$5</f>
        <v>#NAME?</v>
      </c>
      <c r="AD12" s="51" t="e">
        <f ca="1">DATA_FORMATTING!DH128/AD$5</f>
        <v>#NAME?</v>
      </c>
      <c r="AE12" s="51" t="e">
        <f ca="1">DATA_FORMATTING!DI128/AE$5</f>
        <v>#NAME?</v>
      </c>
      <c r="AF12" s="51" t="e">
        <f ca="1">DATA_FORMATTING!DJ128/AF$5</f>
        <v>#NAME?</v>
      </c>
      <c r="AG12" s="51" t="e">
        <f ca="1">DATA_FORMATTING!DK128/AG$5</f>
        <v>#NAME?</v>
      </c>
      <c r="AH12" s="51" t="e">
        <f ca="1">DATA_FORMATTING!DL128/AH$5</f>
        <v>#NAME?</v>
      </c>
      <c r="AI12" s="51" t="e">
        <f ca="1">DATA_FORMATTING!DM128/AI$5</f>
        <v>#NAME?</v>
      </c>
      <c r="AJ12" s="51" t="e">
        <f ca="1">DATA_FORMATTING!DN128/AJ$5</f>
        <v>#NAME?</v>
      </c>
      <c r="AK12" s="51" t="e">
        <f ca="1">DATA_FORMATTING!DO128/AK$5</f>
        <v>#NAME?</v>
      </c>
      <c r="AL12" s="51" t="e">
        <f ca="1">DATA_FORMATTING!DP128/AL$5</f>
        <v>#NAME?</v>
      </c>
      <c r="AM12" s="51" t="e">
        <f ca="1">DATA_FORMATTING!DQ128/AM$5</f>
        <v>#NAME?</v>
      </c>
      <c r="AN12" s="51" t="e">
        <f ca="1">DATA_FORMATTING!DR128/AN$5</f>
        <v>#NAME?</v>
      </c>
      <c r="AO12" s="51" t="e">
        <f ca="1">DATA_FORMATTING!DS128/AO$5</f>
        <v>#NAME?</v>
      </c>
      <c r="AP12" s="51" t="e">
        <f ca="1">DATA_FORMATTING!DT128/AP$5</f>
        <v>#NAME?</v>
      </c>
      <c r="AQ12" s="51" t="e">
        <f ca="1">DATA_FORMATTING!DU128/AQ$5</f>
        <v>#NAME?</v>
      </c>
      <c r="AR12" s="51" t="e">
        <f ca="1">DATA_FORMATTING!DV128/AR$5</f>
        <v>#NAME?</v>
      </c>
      <c r="AS12" s="51" t="e">
        <f ca="1">DATA_FORMATTING!DW128/AS$5</f>
        <v>#NAME?</v>
      </c>
      <c r="AT12" s="51" t="e">
        <f ca="1">DATA_FORMATTING!DX128/AT$5</f>
        <v>#NAME?</v>
      </c>
      <c r="AU12" s="51" t="e">
        <f ca="1">DATA_FORMATTING!DY128/AU$5</f>
        <v>#NAME?</v>
      </c>
      <c r="AV12" s="51" t="e">
        <f ca="1">DATA_FORMATTING!DZ128/AV$5</f>
        <v>#NAME?</v>
      </c>
      <c r="AW12" s="51" t="e">
        <f ca="1">DATA_FORMATTING!EA128/AW$5</f>
        <v>#NAME?</v>
      </c>
      <c r="AX12" s="51" t="e">
        <f ca="1">DATA_FORMATTING!EB128/AX$5</f>
        <v>#NAME?</v>
      </c>
      <c r="AY12" s="257" t="e">
        <f ca="1">DATA_FORMATTING!EC128/AY$5</f>
        <v>#NAME?</v>
      </c>
    </row>
    <row r="13" spans="1:51">
      <c r="A13" s="245">
        <v>8</v>
      </c>
      <c r="B13" s="260" t="str">
        <f>DATA_FORMATTING!CS16</f>
        <v>Restructured and/or Refinanced</v>
      </c>
      <c r="C13" s="265" t="s">
        <v>92</v>
      </c>
      <c r="D13" s="850"/>
      <c r="E13" s="850"/>
      <c r="F13" s="850"/>
      <c r="G13" s="850"/>
      <c r="H13" s="850"/>
      <c r="I13" s="850"/>
      <c r="J13" s="850"/>
      <c r="K13" s="850"/>
      <c r="L13" s="850"/>
      <c r="M13" s="850"/>
      <c r="N13" s="850"/>
      <c r="O13" s="850"/>
      <c r="P13" s="51" t="e">
        <f ca="1">DATA_FORMATTING!CT129/P$5</f>
        <v>#NAME?</v>
      </c>
      <c r="Q13" s="51" t="e">
        <f ca="1">DATA_FORMATTING!CU129/Q$5</f>
        <v>#NAME?</v>
      </c>
      <c r="R13" s="51" t="e">
        <f ca="1">DATA_FORMATTING!CV129/R$5</f>
        <v>#NAME?</v>
      </c>
      <c r="S13" s="51" t="e">
        <f ca="1">DATA_FORMATTING!CW129/S$5</f>
        <v>#NAME?</v>
      </c>
      <c r="T13" s="51" t="e">
        <f ca="1">DATA_FORMATTING!CX129/T$5</f>
        <v>#NAME?</v>
      </c>
      <c r="U13" s="51" t="e">
        <f ca="1">DATA_FORMATTING!CY129/U$5</f>
        <v>#NAME?</v>
      </c>
      <c r="V13" s="51" t="e">
        <f ca="1">DATA_FORMATTING!CZ129/V$5</f>
        <v>#NAME?</v>
      </c>
      <c r="W13" s="51" t="e">
        <f ca="1">DATA_FORMATTING!DA129/W$5</f>
        <v>#NAME?</v>
      </c>
      <c r="X13" s="51" t="e">
        <f ca="1">DATA_FORMATTING!DB129/X$5</f>
        <v>#NAME?</v>
      </c>
      <c r="Y13" s="51" t="e">
        <f ca="1">DATA_FORMATTING!DC129/Y$5</f>
        <v>#NAME?</v>
      </c>
      <c r="Z13" s="51" t="e">
        <f ca="1">DATA_FORMATTING!DD129/Z$5</f>
        <v>#NAME?</v>
      </c>
      <c r="AA13" s="51" t="e">
        <f ca="1">DATA_FORMATTING!DE129/AA$5</f>
        <v>#NAME?</v>
      </c>
      <c r="AB13" s="51" t="e">
        <f ca="1">DATA_FORMATTING!DF129/AB$5</f>
        <v>#NAME?</v>
      </c>
      <c r="AC13" s="51" t="e">
        <f ca="1">DATA_FORMATTING!DG129/AC$5</f>
        <v>#NAME?</v>
      </c>
      <c r="AD13" s="51" t="e">
        <f ca="1">DATA_FORMATTING!DH129/AD$5</f>
        <v>#NAME?</v>
      </c>
      <c r="AE13" s="51" t="e">
        <f ca="1">DATA_FORMATTING!DI129/AE$5</f>
        <v>#NAME?</v>
      </c>
      <c r="AF13" s="51" t="e">
        <f ca="1">DATA_FORMATTING!DJ129/AF$5</f>
        <v>#NAME?</v>
      </c>
      <c r="AG13" s="51" t="e">
        <f ca="1">DATA_FORMATTING!DK129/AG$5</f>
        <v>#NAME?</v>
      </c>
      <c r="AH13" s="51" t="e">
        <f ca="1">DATA_FORMATTING!DL129/AH$5</f>
        <v>#NAME?</v>
      </c>
      <c r="AI13" s="51" t="e">
        <f ca="1">DATA_FORMATTING!DM129/AI$5</f>
        <v>#NAME?</v>
      </c>
      <c r="AJ13" s="51" t="e">
        <f ca="1">DATA_FORMATTING!DN129/AJ$5</f>
        <v>#NAME?</v>
      </c>
      <c r="AK13" s="51" t="e">
        <f ca="1">DATA_FORMATTING!DO129/AK$5</f>
        <v>#NAME?</v>
      </c>
      <c r="AL13" s="51" t="e">
        <f ca="1">DATA_FORMATTING!DP129/AL$5</f>
        <v>#NAME?</v>
      </c>
      <c r="AM13" s="51" t="e">
        <f ca="1">DATA_FORMATTING!DQ129/AM$5</f>
        <v>#NAME?</v>
      </c>
      <c r="AN13" s="51" t="e">
        <f ca="1">DATA_FORMATTING!DR129/AN$5</f>
        <v>#NAME?</v>
      </c>
      <c r="AO13" s="51" t="e">
        <f ca="1">DATA_FORMATTING!DS129/AO$5</f>
        <v>#NAME?</v>
      </c>
      <c r="AP13" s="51" t="e">
        <f ca="1">DATA_FORMATTING!DT129/AP$5</f>
        <v>#NAME?</v>
      </c>
      <c r="AQ13" s="51" t="e">
        <f ca="1">DATA_FORMATTING!DU129/AQ$5</f>
        <v>#NAME?</v>
      </c>
      <c r="AR13" s="51" t="e">
        <f ca="1">DATA_FORMATTING!DV129/AR$5</f>
        <v>#NAME?</v>
      </c>
      <c r="AS13" s="51" t="e">
        <f ca="1">DATA_FORMATTING!DW129/AS$5</f>
        <v>#NAME?</v>
      </c>
      <c r="AT13" s="51" t="e">
        <f ca="1">DATA_FORMATTING!DX129/AT$5</f>
        <v>#NAME?</v>
      </c>
      <c r="AU13" s="51" t="e">
        <f ca="1">DATA_FORMATTING!DY129/AU$5</f>
        <v>#NAME?</v>
      </c>
      <c r="AV13" s="51" t="e">
        <f ca="1">DATA_FORMATTING!DZ129/AV$5</f>
        <v>#NAME?</v>
      </c>
      <c r="AW13" s="51" t="e">
        <f ca="1">DATA_FORMATTING!EA129/AW$5</f>
        <v>#NAME?</v>
      </c>
      <c r="AX13" s="51" t="e">
        <f ca="1">DATA_FORMATTING!EB129/AX$5</f>
        <v>#NAME?</v>
      </c>
      <c r="AY13" s="257" t="e">
        <f ca="1">DATA_FORMATTING!EC129/AY$5</f>
        <v>#NAME?</v>
      </c>
    </row>
    <row r="14" spans="1:51">
      <c r="A14" s="245">
        <v>9</v>
      </c>
      <c r="B14" s="260" t="str">
        <f>DATA_FORMATTING!CS17</f>
        <v>Write-Offs</v>
      </c>
      <c r="C14" s="265" t="s">
        <v>96</v>
      </c>
      <c r="D14" s="850"/>
      <c r="E14" s="850"/>
      <c r="F14" s="850"/>
      <c r="G14" s="850"/>
      <c r="H14" s="850"/>
      <c r="I14" s="850"/>
      <c r="J14" s="850"/>
      <c r="K14" s="850"/>
      <c r="L14" s="850"/>
      <c r="M14" s="850"/>
      <c r="N14" s="850"/>
      <c r="O14" s="850"/>
      <c r="P14" s="51" t="e">
        <f ca="1">DATA_FORMATTING!CT130/P$5</f>
        <v>#NAME?</v>
      </c>
      <c r="Q14" s="51" t="e">
        <f ca="1">DATA_FORMATTING!CU130/Q$5</f>
        <v>#NAME?</v>
      </c>
      <c r="R14" s="51" t="e">
        <f ca="1">DATA_FORMATTING!CV130/R$5</f>
        <v>#NAME?</v>
      </c>
      <c r="S14" s="51" t="e">
        <f ca="1">DATA_FORMATTING!CW130/S$5</f>
        <v>#NAME?</v>
      </c>
      <c r="T14" s="51" t="e">
        <f ca="1">DATA_FORMATTING!CX130/T$5</f>
        <v>#NAME?</v>
      </c>
      <c r="U14" s="51" t="e">
        <f ca="1">DATA_FORMATTING!CY130/U$5</f>
        <v>#NAME?</v>
      </c>
      <c r="V14" s="51" t="e">
        <f ca="1">DATA_FORMATTING!CZ130/V$5</f>
        <v>#NAME?</v>
      </c>
      <c r="W14" s="51" t="e">
        <f ca="1">DATA_FORMATTING!DA130/W$5</f>
        <v>#NAME?</v>
      </c>
      <c r="X14" s="51" t="e">
        <f ca="1">DATA_FORMATTING!DB130/X$5</f>
        <v>#NAME?</v>
      </c>
      <c r="Y14" s="51" t="e">
        <f ca="1">DATA_FORMATTING!DC130/Y$5</f>
        <v>#NAME?</v>
      </c>
      <c r="Z14" s="51" t="e">
        <f ca="1">DATA_FORMATTING!DD130/Z$5</f>
        <v>#NAME?</v>
      </c>
      <c r="AA14" s="51" t="e">
        <f ca="1">DATA_FORMATTING!DE130/AA$5</f>
        <v>#NAME?</v>
      </c>
      <c r="AB14" s="51" t="e">
        <f ca="1">DATA_FORMATTING!DF130/AB$5</f>
        <v>#NAME?</v>
      </c>
      <c r="AC14" s="51" t="e">
        <f ca="1">DATA_FORMATTING!DG130/AC$5</f>
        <v>#NAME?</v>
      </c>
      <c r="AD14" s="51" t="e">
        <f ca="1">DATA_FORMATTING!DH130/AD$5</f>
        <v>#NAME?</v>
      </c>
      <c r="AE14" s="51" t="e">
        <f ca="1">DATA_FORMATTING!DI130/AE$5</f>
        <v>#NAME?</v>
      </c>
      <c r="AF14" s="51" t="e">
        <f ca="1">DATA_FORMATTING!DJ130/AF$5</f>
        <v>#NAME?</v>
      </c>
      <c r="AG14" s="51" t="e">
        <f ca="1">DATA_FORMATTING!DK130/AG$5</f>
        <v>#NAME?</v>
      </c>
      <c r="AH14" s="51" t="e">
        <f ca="1">DATA_FORMATTING!DL130/AH$5</f>
        <v>#NAME?</v>
      </c>
      <c r="AI14" s="51" t="e">
        <f ca="1">DATA_FORMATTING!DM130/AI$5</f>
        <v>#NAME?</v>
      </c>
      <c r="AJ14" s="51" t="e">
        <f ca="1">DATA_FORMATTING!DN130/AJ$5</f>
        <v>#NAME?</v>
      </c>
      <c r="AK14" s="51" t="e">
        <f ca="1">DATA_FORMATTING!DO130/AK$5</f>
        <v>#NAME?</v>
      </c>
      <c r="AL14" s="51" t="e">
        <f ca="1">DATA_FORMATTING!DP130/AL$5</f>
        <v>#NAME?</v>
      </c>
      <c r="AM14" s="51" t="e">
        <f ca="1">DATA_FORMATTING!DQ130/AM$5</f>
        <v>#NAME?</v>
      </c>
      <c r="AN14" s="51" t="e">
        <f ca="1">DATA_FORMATTING!DR130/AN$5</f>
        <v>#NAME?</v>
      </c>
      <c r="AO14" s="51" t="e">
        <f ca="1">DATA_FORMATTING!DS130/AO$5</f>
        <v>#NAME?</v>
      </c>
      <c r="AP14" s="51" t="e">
        <f ca="1">DATA_FORMATTING!DT130/AP$5</f>
        <v>#NAME?</v>
      </c>
      <c r="AQ14" s="51" t="e">
        <f ca="1">DATA_FORMATTING!DU130/AQ$5</f>
        <v>#NAME?</v>
      </c>
      <c r="AR14" s="51" t="e">
        <f ca="1">DATA_FORMATTING!DV130/AR$5</f>
        <v>#NAME?</v>
      </c>
      <c r="AS14" s="51" t="e">
        <f ca="1">DATA_FORMATTING!DW130/AS$5</f>
        <v>#NAME?</v>
      </c>
      <c r="AT14" s="51" t="e">
        <f ca="1">DATA_FORMATTING!DX130/AT$5</f>
        <v>#NAME?</v>
      </c>
      <c r="AU14" s="51" t="e">
        <f ca="1">DATA_FORMATTING!DY130/AU$5</f>
        <v>#NAME?</v>
      </c>
      <c r="AV14" s="51" t="e">
        <f ca="1">DATA_FORMATTING!DZ130/AV$5</f>
        <v>#NAME?</v>
      </c>
      <c r="AW14" s="51" t="e">
        <f ca="1">DATA_FORMATTING!EA130/AW$5</f>
        <v>#NAME?</v>
      </c>
      <c r="AX14" s="51" t="e">
        <f ca="1">DATA_FORMATTING!EB130/AX$5</f>
        <v>#NAME?</v>
      </c>
      <c r="AY14" s="257" t="e">
        <f ca="1">DATA_FORMATTING!EC130/AY$5</f>
        <v>#NAME?</v>
      </c>
    </row>
    <row r="15" spans="1:51">
      <c r="A15" s="245">
        <v>10</v>
      </c>
      <c r="B15" s="260" t="str">
        <f>DATA_FORMATTING!CS18</f>
        <v>Recovered loans</v>
      </c>
      <c r="C15" s="925" t="s">
        <v>30</v>
      </c>
      <c r="D15" s="926"/>
      <c r="E15" s="926"/>
      <c r="F15" s="926"/>
      <c r="G15" s="926"/>
      <c r="H15" s="926"/>
      <c r="I15" s="926"/>
      <c r="J15" s="926"/>
      <c r="K15" s="926"/>
      <c r="L15" s="926"/>
      <c r="M15" s="926"/>
      <c r="N15" s="926"/>
      <c r="O15" s="926"/>
      <c r="P15" s="927" t="e">
        <f ca="1">DATA_FORMATTING!CT131/P$5</f>
        <v>#NAME?</v>
      </c>
      <c r="Q15" s="927" t="e">
        <f ca="1">DATA_FORMATTING!CU131/Q$5</f>
        <v>#NAME?</v>
      </c>
      <c r="R15" s="927" t="e">
        <f ca="1">DATA_FORMATTING!CV131/R$5</f>
        <v>#NAME?</v>
      </c>
      <c r="S15" s="927" t="e">
        <f ca="1">DATA_FORMATTING!CW131/S$5</f>
        <v>#NAME?</v>
      </c>
      <c r="T15" s="927" t="e">
        <f ca="1">DATA_FORMATTING!CX131/T$5</f>
        <v>#NAME?</v>
      </c>
      <c r="U15" s="927" t="e">
        <f ca="1">DATA_FORMATTING!CY131/U$5</f>
        <v>#NAME?</v>
      </c>
      <c r="V15" s="927" t="e">
        <f ca="1">DATA_FORMATTING!CZ131/V$5</f>
        <v>#NAME?</v>
      </c>
      <c r="W15" s="927" t="e">
        <f ca="1">DATA_FORMATTING!DA131/W$5</f>
        <v>#NAME?</v>
      </c>
      <c r="X15" s="927" t="e">
        <f ca="1">DATA_FORMATTING!DB131/X$5</f>
        <v>#NAME?</v>
      </c>
      <c r="Y15" s="927" t="e">
        <f ca="1">DATA_FORMATTING!DC131/Y$5</f>
        <v>#NAME?</v>
      </c>
      <c r="Z15" s="927" t="e">
        <f ca="1">DATA_FORMATTING!DD131/Z$5</f>
        <v>#NAME?</v>
      </c>
      <c r="AA15" s="927" t="e">
        <f ca="1">DATA_FORMATTING!DE131/AA$5</f>
        <v>#NAME?</v>
      </c>
      <c r="AB15" s="927" t="e">
        <f ca="1">DATA_FORMATTING!DF131/AB$5</f>
        <v>#NAME?</v>
      </c>
      <c r="AC15" s="927" t="e">
        <f ca="1">DATA_FORMATTING!DG131/AC$5</f>
        <v>#NAME?</v>
      </c>
      <c r="AD15" s="927" t="e">
        <f ca="1">DATA_FORMATTING!DH131/AD$5</f>
        <v>#NAME?</v>
      </c>
      <c r="AE15" s="927" t="e">
        <f ca="1">DATA_FORMATTING!DI131/AE$5</f>
        <v>#NAME?</v>
      </c>
      <c r="AF15" s="927" t="e">
        <f ca="1">DATA_FORMATTING!DJ131/AF$5</f>
        <v>#NAME?</v>
      </c>
      <c r="AG15" s="927" t="e">
        <f ca="1">DATA_FORMATTING!DK131/AG$5</f>
        <v>#NAME?</v>
      </c>
      <c r="AH15" s="927" t="e">
        <f ca="1">DATA_FORMATTING!DL131/AH$5</f>
        <v>#NAME?</v>
      </c>
      <c r="AI15" s="927" t="e">
        <f ca="1">DATA_FORMATTING!DM131/AI$5</f>
        <v>#NAME?</v>
      </c>
      <c r="AJ15" s="927" t="e">
        <f ca="1">DATA_FORMATTING!DN131/AJ$5</f>
        <v>#NAME?</v>
      </c>
      <c r="AK15" s="927" t="e">
        <f ca="1">DATA_FORMATTING!DO131/AK$5</f>
        <v>#NAME?</v>
      </c>
      <c r="AL15" s="927" t="e">
        <f ca="1">DATA_FORMATTING!DP131/AL$5</f>
        <v>#NAME?</v>
      </c>
      <c r="AM15" s="927" t="e">
        <f ca="1">DATA_FORMATTING!DQ131/AM$5</f>
        <v>#NAME?</v>
      </c>
      <c r="AN15" s="927" t="e">
        <f ca="1">DATA_FORMATTING!DR131/AN$5</f>
        <v>#NAME?</v>
      </c>
      <c r="AO15" s="927" t="e">
        <f ca="1">DATA_FORMATTING!DS131/AO$5</f>
        <v>#NAME?</v>
      </c>
      <c r="AP15" s="927" t="e">
        <f ca="1">DATA_FORMATTING!DT131/AP$5</f>
        <v>#NAME?</v>
      </c>
      <c r="AQ15" s="927" t="e">
        <f ca="1">DATA_FORMATTING!DU131/AQ$5</f>
        <v>#NAME?</v>
      </c>
      <c r="AR15" s="927" t="e">
        <f ca="1">DATA_FORMATTING!DV131/AR$5</f>
        <v>#NAME?</v>
      </c>
      <c r="AS15" s="927" t="e">
        <f ca="1">DATA_FORMATTING!DW131/AS$5</f>
        <v>#NAME?</v>
      </c>
      <c r="AT15" s="927" t="e">
        <f ca="1">DATA_FORMATTING!DX131/AT$5</f>
        <v>#NAME?</v>
      </c>
      <c r="AU15" s="927" t="e">
        <f ca="1">DATA_FORMATTING!DY131/AU$5</f>
        <v>#NAME?</v>
      </c>
      <c r="AV15" s="927" t="e">
        <f ca="1">DATA_FORMATTING!DZ131/AV$5</f>
        <v>#NAME?</v>
      </c>
      <c r="AW15" s="927" t="e">
        <f ca="1">DATA_FORMATTING!EA131/AW$5</f>
        <v>#NAME?</v>
      </c>
      <c r="AX15" s="927" t="e">
        <f ca="1">DATA_FORMATTING!EB131/AX$5</f>
        <v>#NAME?</v>
      </c>
      <c r="AY15" s="928" t="e">
        <f ca="1">DATA_FORMATTING!EC131/AY$5</f>
        <v>#NAME?</v>
      </c>
    </row>
    <row r="16" spans="1:51">
      <c r="A16" s="245">
        <v>11</v>
      </c>
      <c r="B16" s="260" t="str">
        <f>DATA_FORMATTING!CS19</f>
        <v>Net Write-Offs</v>
      </c>
      <c r="C16" s="925" t="s">
        <v>47</v>
      </c>
      <c r="D16" s="926"/>
      <c r="E16" s="926"/>
      <c r="F16" s="926"/>
      <c r="G16" s="926"/>
      <c r="H16" s="926"/>
      <c r="I16" s="926"/>
      <c r="J16" s="926"/>
      <c r="K16" s="926"/>
      <c r="L16" s="926"/>
      <c r="M16" s="926"/>
      <c r="N16" s="926"/>
      <c r="O16" s="926"/>
      <c r="P16" s="927" t="e">
        <f ca="1">DATA_FORMATTING!CT132/P$5</f>
        <v>#NAME?</v>
      </c>
      <c r="Q16" s="927" t="e">
        <f ca="1">DATA_FORMATTING!CU132/Q$5</f>
        <v>#NAME?</v>
      </c>
      <c r="R16" s="927" t="e">
        <f ca="1">DATA_FORMATTING!CV132/R$5</f>
        <v>#NAME?</v>
      </c>
      <c r="S16" s="927" t="e">
        <f ca="1">DATA_FORMATTING!CW132/S$5</f>
        <v>#NAME?</v>
      </c>
      <c r="T16" s="927" t="e">
        <f ca="1">DATA_FORMATTING!CX132/T$5</f>
        <v>#NAME?</v>
      </c>
      <c r="U16" s="927" t="e">
        <f ca="1">DATA_FORMATTING!CY132/U$5</f>
        <v>#NAME?</v>
      </c>
      <c r="V16" s="927" t="e">
        <f ca="1">DATA_FORMATTING!CZ132/V$5</f>
        <v>#NAME?</v>
      </c>
      <c r="W16" s="927" t="e">
        <f ca="1">DATA_FORMATTING!DA132/W$5</f>
        <v>#NAME?</v>
      </c>
      <c r="X16" s="927" t="e">
        <f ca="1">DATA_FORMATTING!DB132/X$5</f>
        <v>#NAME?</v>
      </c>
      <c r="Y16" s="927" t="e">
        <f ca="1">DATA_FORMATTING!DC132/Y$5</f>
        <v>#NAME?</v>
      </c>
      <c r="Z16" s="927" t="e">
        <f ca="1">DATA_FORMATTING!DD132/Z$5</f>
        <v>#NAME?</v>
      </c>
      <c r="AA16" s="927" t="e">
        <f ca="1">DATA_FORMATTING!DE132/AA$5</f>
        <v>#NAME?</v>
      </c>
      <c r="AB16" s="927" t="e">
        <f ca="1">DATA_FORMATTING!DF132/AB$5</f>
        <v>#NAME?</v>
      </c>
      <c r="AC16" s="927" t="e">
        <f ca="1">DATA_FORMATTING!DG132/AC$5</f>
        <v>#NAME?</v>
      </c>
      <c r="AD16" s="927" t="e">
        <f ca="1">DATA_FORMATTING!DH132/AD$5</f>
        <v>#NAME?</v>
      </c>
      <c r="AE16" s="927" t="e">
        <f ca="1">DATA_FORMATTING!DI132/AE$5</f>
        <v>#NAME?</v>
      </c>
      <c r="AF16" s="927" t="e">
        <f ca="1">DATA_FORMATTING!DJ132/AF$5</f>
        <v>#NAME?</v>
      </c>
      <c r="AG16" s="927" t="e">
        <f ca="1">DATA_FORMATTING!DK132/AG$5</f>
        <v>#NAME?</v>
      </c>
      <c r="AH16" s="927" t="e">
        <f ca="1">DATA_FORMATTING!DL132/AH$5</f>
        <v>#NAME?</v>
      </c>
      <c r="AI16" s="927" t="e">
        <f ca="1">DATA_FORMATTING!DM132/AI$5</f>
        <v>#NAME?</v>
      </c>
      <c r="AJ16" s="927" t="e">
        <f ca="1">DATA_FORMATTING!DN132/AJ$5</f>
        <v>#NAME?</v>
      </c>
      <c r="AK16" s="927" t="e">
        <f ca="1">DATA_FORMATTING!DO132/AK$5</f>
        <v>#NAME?</v>
      </c>
      <c r="AL16" s="927" t="e">
        <f ca="1">DATA_FORMATTING!DP132/AL$5</f>
        <v>#NAME?</v>
      </c>
      <c r="AM16" s="927" t="e">
        <f ca="1">DATA_FORMATTING!DQ132/AM$5</f>
        <v>#NAME?</v>
      </c>
      <c r="AN16" s="927" t="e">
        <f ca="1">DATA_FORMATTING!DR132/AN$5</f>
        <v>#NAME?</v>
      </c>
      <c r="AO16" s="927" t="e">
        <f ca="1">DATA_FORMATTING!DS132/AO$5</f>
        <v>#NAME?</v>
      </c>
      <c r="AP16" s="927" t="e">
        <f ca="1">DATA_FORMATTING!DT132/AP$5</f>
        <v>#NAME?</v>
      </c>
      <c r="AQ16" s="927" t="e">
        <f ca="1">DATA_FORMATTING!DU132/AQ$5</f>
        <v>#NAME?</v>
      </c>
      <c r="AR16" s="927" t="e">
        <f ca="1">DATA_FORMATTING!DV132/AR$5</f>
        <v>#NAME?</v>
      </c>
      <c r="AS16" s="927" t="e">
        <f ca="1">DATA_FORMATTING!DW132/AS$5</f>
        <v>#NAME?</v>
      </c>
      <c r="AT16" s="927" t="e">
        <f ca="1">DATA_FORMATTING!DX132/AT$5</f>
        <v>#NAME?</v>
      </c>
      <c r="AU16" s="927" t="e">
        <f ca="1">DATA_FORMATTING!DY132/AU$5</f>
        <v>#NAME?</v>
      </c>
      <c r="AV16" s="927" t="e">
        <f ca="1">DATA_FORMATTING!DZ132/AV$5</f>
        <v>#NAME?</v>
      </c>
      <c r="AW16" s="927" t="e">
        <f ca="1">DATA_FORMATTING!EA132/AW$5</f>
        <v>#NAME?</v>
      </c>
      <c r="AX16" s="927" t="e">
        <f ca="1">DATA_FORMATTING!EB132/AX$5</f>
        <v>#NAME?</v>
      </c>
      <c r="AY16" s="928" t="e">
        <f ca="1">DATA_FORMATTING!EC132/AY$5</f>
        <v>#NAME?</v>
      </c>
    </row>
    <row r="17" spans="1:51">
      <c r="A17" s="245">
        <v>12</v>
      </c>
      <c r="B17" s="260" t="str">
        <f>DATA_FORMATTING!CS20</f>
        <v>Total Outstanding Portfolio</v>
      </c>
      <c r="C17" s="265" t="s">
        <v>102</v>
      </c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51" t="e">
        <f ca="1">DATA_FORMATTING!CT133/P$5</f>
        <v>#NAME?</v>
      </c>
      <c r="Q17" s="51" t="e">
        <f ca="1">DATA_FORMATTING!CU133/Q$5</f>
        <v>#NAME?</v>
      </c>
      <c r="R17" s="51" t="e">
        <f ca="1">DATA_FORMATTING!CV133/R$5</f>
        <v>#NAME?</v>
      </c>
      <c r="S17" s="51" t="e">
        <f ca="1">DATA_FORMATTING!CW133/S$5</f>
        <v>#NAME?</v>
      </c>
      <c r="T17" s="51" t="e">
        <f ca="1">DATA_FORMATTING!CX133/T$5</f>
        <v>#NAME?</v>
      </c>
      <c r="U17" s="51" t="e">
        <f ca="1">DATA_FORMATTING!CY133/U$5</f>
        <v>#NAME?</v>
      </c>
      <c r="V17" s="51" t="e">
        <f ca="1">DATA_FORMATTING!CZ133/V$5</f>
        <v>#NAME?</v>
      </c>
      <c r="W17" s="51" t="e">
        <f ca="1">DATA_FORMATTING!DA133/W$5</f>
        <v>#NAME?</v>
      </c>
      <c r="X17" s="51" t="e">
        <f ca="1">DATA_FORMATTING!DB133/X$5</f>
        <v>#NAME?</v>
      </c>
      <c r="Y17" s="51" t="e">
        <f ca="1">DATA_FORMATTING!DC133/Y$5</f>
        <v>#NAME?</v>
      </c>
      <c r="Z17" s="51" t="e">
        <f ca="1">DATA_FORMATTING!DD133/Z$5</f>
        <v>#NAME?</v>
      </c>
      <c r="AA17" s="51" t="e">
        <f ca="1">DATA_FORMATTING!DE133/AA$5</f>
        <v>#NAME?</v>
      </c>
      <c r="AB17" s="51" t="e">
        <f ca="1">DATA_FORMATTING!DF133/AB$5</f>
        <v>#NAME?</v>
      </c>
      <c r="AC17" s="51" t="e">
        <f ca="1">DATA_FORMATTING!DG133/AC$5</f>
        <v>#NAME?</v>
      </c>
      <c r="AD17" s="51" t="e">
        <f ca="1">DATA_FORMATTING!DH133/AD$5</f>
        <v>#NAME?</v>
      </c>
      <c r="AE17" s="51" t="e">
        <f ca="1">DATA_FORMATTING!DI133/AE$5</f>
        <v>#NAME?</v>
      </c>
      <c r="AF17" s="51" t="e">
        <f ca="1">DATA_FORMATTING!DJ133/AF$5</f>
        <v>#NAME?</v>
      </c>
      <c r="AG17" s="51" t="e">
        <f ca="1">DATA_FORMATTING!DK133/AG$5</f>
        <v>#NAME?</v>
      </c>
      <c r="AH17" s="51" t="e">
        <f ca="1">DATA_FORMATTING!DL133/AH$5</f>
        <v>#NAME?</v>
      </c>
      <c r="AI17" s="51" t="e">
        <f ca="1">DATA_FORMATTING!DM133/AI$5</f>
        <v>#NAME?</v>
      </c>
      <c r="AJ17" s="51" t="e">
        <f ca="1">DATA_FORMATTING!DN133/AJ$5</f>
        <v>#NAME?</v>
      </c>
      <c r="AK17" s="51" t="e">
        <f ca="1">DATA_FORMATTING!DO133/AK$5</f>
        <v>#NAME?</v>
      </c>
      <c r="AL17" s="51" t="e">
        <f ca="1">DATA_FORMATTING!DP133/AL$5</f>
        <v>#NAME?</v>
      </c>
      <c r="AM17" s="51" t="e">
        <f ca="1">DATA_FORMATTING!DQ133/AM$5</f>
        <v>#NAME?</v>
      </c>
      <c r="AN17" s="51" t="e">
        <f ca="1">DATA_FORMATTING!DR133/AN$5</f>
        <v>#NAME?</v>
      </c>
      <c r="AO17" s="51" t="e">
        <f ca="1">DATA_FORMATTING!DS133/AO$5</f>
        <v>#NAME?</v>
      </c>
      <c r="AP17" s="51" t="e">
        <f ca="1">DATA_FORMATTING!DT133/AP$5</f>
        <v>#NAME?</v>
      </c>
      <c r="AQ17" s="51" t="e">
        <f ca="1">DATA_FORMATTING!DU133/AQ$5</f>
        <v>#NAME?</v>
      </c>
      <c r="AR17" s="51" t="e">
        <f ca="1">DATA_FORMATTING!DV133/AR$5</f>
        <v>#NAME?</v>
      </c>
      <c r="AS17" s="51" t="e">
        <f ca="1">DATA_FORMATTING!DW133/AS$5</f>
        <v>#NAME?</v>
      </c>
      <c r="AT17" s="51" t="e">
        <f ca="1">DATA_FORMATTING!DX133/AT$5</f>
        <v>#NAME?</v>
      </c>
      <c r="AU17" s="51" t="e">
        <f ca="1">DATA_FORMATTING!DY133/AU$5</f>
        <v>#NAME?</v>
      </c>
      <c r="AV17" s="51" t="e">
        <f ca="1">DATA_FORMATTING!DZ133/AV$5</f>
        <v>#NAME?</v>
      </c>
      <c r="AW17" s="51" t="e">
        <f ca="1">DATA_FORMATTING!EA133/AW$5</f>
        <v>#NAME?</v>
      </c>
      <c r="AX17" s="51" t="e">
        <f ca="1">DATA_FORMATTING!EB133/AX$5</f>
        <v>#NAME?</v>
      </c>
      <c r="AY17" s="257" t="e">
        <f ca="1">DATA_FORMATTING!EC133/AY$5</f>
        <v>#NAME?</v>
      </c>
    </row>
    <row r="18" spans="1:51">
      <c r="A18" s="245">
        <v>13</v>
      </c>
      <c r="C18" s="266" t="s">
        <v>104</v>
      </c>
      <c r="D18" s="851"/>
      <c r="E18" s="851"/>
      <c r="F18" s="851"/>
      <c r="G18" s="851"/>
      <c r="H18" s="851"/>
      <c r="I18" s="851"/>
      <c r="J18" s="851"/>
      <c r="K18" s="851"/>
      <c r="L18" s="851"/>
      <c r="M18" s="851"/>
      <c r="N18" s="851"/>
      <c r="O18" s="851"/>
      <c r="P18" s="51" t="e">
        <f ca="1">P16-P17</f>
        <v>#NAME?</v>
      </c>
      <c r="Q18" s="51" t="e">
        <f t="shared" ref="Q18:AY18" ca="1" si="1">Q16-Q17</f>
        <v>#NAME?</v>
      </c>
      <c r="R18" s="51" t="e">
        <f t="shared" ca="1" si="1"/>
        <v>#NAME?</v>
      </c>
      <c r="S18" s="51" t="e">
        <f t="shared" ca="1" si="1"/>
        <v>#NAME?</v>
      </c>
      <c r="T18" s="51" t="e">
        <f t="shared" ca="1" si="1"/>
        <v>#NAME?</v>
      </c>
      <c r="U18" s="51" t="e">
        <f t="shared" ca="1" si="1"/>
        <v>#NAME?</v>
      </c>
      <c r="V18" s="51" t="e">
        <f t="shared" ca="1" si="1"/>
        <v>#NAME?</v>
      </c>
      <c r="W18" s="51" t="e">
        <f t="shared" ca="1" si="1"/>
        <v>#NAME?</v>
      </c>
      <c r="X18" s="51" t="e">
        <f t="shared" ca="1" si="1"/>
        <v>#NAME?</v>
      </c>
      <c r="Y18" s="51" t="e">
        <f t="shared" ca="1" si="1"/>
        <v>#NAME?</v>
      </c>
      <c r="Z18" s="51" t="e">
        <f t="shared" ca="1" si="1"/>
        <v>#NAME?</v>
      </c>
      <c r="AA18" s="51" t="e">
        <f t="shared" ca="1" si="1"/>
        <v>#NAME?</v>
      </c>
      <c r="AB18" s="51" t="e">
        <f t="shared" ca="1" si="1"/>
        <v>#NAME?</v>
      </c>
      <c r="AC18" s="51" t="e">
        <f t="shared" ca="1" si="1"/>
        <v>#NAME?</v>
      </c>
      <c r="AD18" s="51" t="e">
        <f t="shared" ca="1" si="1"/>
        <v>#NAME?</v>
      </c>
      <c r="AE18" s="51" t="e">
        <f t="shared" ca="1" si="1"/>
        <v>#NAME?</v>
      </c>
      <c r="AF18" s="51" t="e">
        <f t="shared" ca="1" si="1"/>
        <v>#NAME?</v>
      </c>
      <c r="AG18" s="51" t="e">
        <f t="shared" ca="1" si="1"/>
        <v>#NAME?</v>
      </c>
      <c r="AH18" s="51" t="e">
        <f t="shared" ca="1" si="1"/>
        <v>#NAME?</v>
      </c>
      <c r="AI18" s="51" t="e">
        <f t="shared" ca="1" si="1"/>
        <v>#NAME?</v>
      </c>
      <c r="AJ18" s="51" t="e">
        <f t="shared" ca="1" si="1"/>
        <v>#NAME?</v>
      </c>
      <c r="AK18" s="51" t="e">
        <f t="shared" ca="1" si="1"/>
        <v>#NAME?</v>
      </c>
      <c r="AL18" s="51" t="e">
        <f t="shared" ca="1" si="1"/>
        <v>#NAME?</v>
      </c>
      <c r="AM18" s="51" t="e">
        <f t="shared" ca="1" si="1"/>
        <v>#NAME?</v>
      </c>
      <c r="AN18" s="51" t="e">
        <f t="shared" ca="1" si="1"/>
        <v>#NAME?</v>
      </c>
      <c r="AO18" s="51" t="e">
        <f t="shared" ca="1" si="1"/>
        <v>#NAME?</v>
      </c>
      <c r="AP18" s="51" t="e">
        <f t="shared" ca="1" si="1"/>
        <v>#NAME?</v>
      </c>
      <c r="AQ18" s="51" t="e">
        <f t="shared" ca="1" si="1"/>
        <v>#NAME?</v>
      </c>
      <c r="AR18" s="51" t="e">
        <f t="shared" ca="1" si="1"/>
        <v>#NAME?</v>
      </c>
      <c r="AS18" s="51" t="e">
        <f t="shared" ca="1" si="1"/>
        <v>#NAME?</v>
      </c>
      <c r="AT18" s="51" t="e">
        <f t="shared" ca="1" si="1"/>
        <v>#NAME?</v>
      </c>
      <c r="AU18" s="51" t="e">
        <f t="shared" ca="1" si="1"/>
        <v>#NAME?</v>
      </c>
      <c r="AV18" s="51" t="e">
        <f t="shared" ca="1" si="1"/>
        <v>#NAME?</v>
      </c>
      <c r="AW18" s="51" t="e">
        <f t="shared" ca="1" si="1"/>
        <v>#NAME?</v>
      </c>
      <c r="AX18" s="51" t="e">
        <f t="shared" ca="1" si="1"/>
        <v>#NAME?</v>
      </c>
      <c r="AY18" s="257" t="e">
        <f t="shared" ca="1" si="1"/>
        <v>#NAME?</v>
      </c>
    </row>
    <row r="19" spans="1:51" ht="15.75" thickBot="1">
      <c r="A19" s="245">
        <v>14</v>
      </c>
      <c r="C19" s="267" t="s">
        <v>107</v>
      </c>
      <c r="D19" s="852"/>
      <c r="E19" s="852"/>
      <c r="F19" s="852"/>
      <c r="G19" s="852"/>
      <c r="H19" s="852"/>
      <c r="I19" s="852"/>
      <c r="J19" s="852"/>
      <c r="K19" s="852"/>
      <c r="L19" s="852"/>
      <c r="M19" s="852"/>
      <c r="N19" s="852"/>
      <c r="O19" s="852"/>
      <c r="P19" s="63" t="e">
        <f t="shared" ref="P19:AM19" ca="1" si="2">SUM(P8:P10,P17)</f>
        <v>#NAME?</v>
      </c>
      <c r="Q19" s="63" t="e">
        <f t="shared" ca="1" si="2"/>
        <v>#NAME?</v>
      </c>
      <c r="R19" s="63" t="e">
        <f t="shared" ca="1" si="2"/>
        <v>#NAME?</v>
      </c>
      <c r="S19" s="63" t="e">
        <f t="shared" ca="1" si="2"/>
        <v>#NAME?</v>
      </c>
      <c r="T19" s="63" t="e">
        <f t="shared" ca="1" si="2"/>
        <v>#NAME?</v>
      </c>
      <c r="U19" s="63" t="e">
        <f t="shared" ca="1" si="2"/>
        <v>#NAME?</v>
      </c>
      <c r="V19" s="63" t="e">
        <f t="shared" ca="1" si="2"/>
        <v>#NAME?</v>
      </c>
      <c r="W19" s="63" t="e">
        <f t="shared" ca="1" si="2"/>
        <v>#NAME?</v>
      </c>
      <c r="X19" s="63" t="e">
        <f t="shared" ca="1" si="2"/>
        <v>#NAME?</v>
      </c>
      <c r="Y19" s="63" t="e">
        <f t="shared" ca="1" si="2"/>
        <v>#NAME?</v>
      </c>
      <c r="Z19" s="63" t="e">
        <f t="shared" ca="1" si="2"/>
        <v>#NAME?</v>
      </c>
      <c r="AA19" s="63" t="e">
        <f t="shared" ca="1" si="2"/>
        <v>#NAME?</v>
      </c>
      <c r="AB19" s="63" t="e">
        <f t="shared" ca="1" si="2"/>
        <v>#NAME?</v>
      </c>
      <c r="AC19" s="63" t="e">
        <f t="shared" ca="1" si="2"/>
        <v>#NAME?</v>
      </c>
      <c r="AD19" s="63" t="e">
        <f t="shared" ca="1" si="2"/>
        <v>#NAME?</v>
      </c>
      <c r="AE19" s="63" t="e">
        <f t="shared" ca="1" si="2"/>
        <v>#NAME?</v>
      </c>
      <c r="AF19" s="63" t="e">
        <f t="shared" ca="1" si="2"/>
        <v>#NAME?</v>
      </c>
      <c r="AG19" s="63" t="e">
        <f t="shared" ca="1" si="2"/>
        <v>#NAME?</v>
      </c>
      <c r="AH19" s="63" t="e">
        <f t="shared" ca="1" si="2"/>
        <v>#NAME?</v>
      </c>
      <c r="AI19" s="63" t="e">
        <f t="shared" ca="1" si="2"/>
        <v>#NAME?</v>
      </c>
      <c r="AJ19" s="63" t="e">
        <f t="shared" ca="1" si="2"/>
        <v>#NAME?</v>
      </c>
      <c r="AK19" s="63" t="e">
        <f t="shared" ca="1" si="2"/>
        <v>#NAME?</v>
      </c>
      <c r="AL19" s="63" t="e">
        <f t="shared" ca="1" si="2"/>
        <v>#NAME?</v>
      </c>
      <c r="AM19" s="63" t="e">
        <f t="shared" ca="1" si="2"/>
        <v>#NAME?</v>
      </c>
      <c r="AN19" s="63" t="e">
        <f ca="1">SUM(AN8:AN10,AN15)</f>
        <v>#NAME?</v>
      </c>
      <c r="AO19" s="63" t="e">
        <f t="shared" ref="AO19:AY19" ca="1" si="3">SUM(AO8:AO10,AO15)</f>
        <v>#NAME?</v>
      </c>
      <c r="AP19" s="63" t="e">
        <f t="shared" ca="1" si="3"/>
        <v>#NAME?</v>
      </c>
      <c r="AQ19" s="63" t="e">
        <f t="shared" ca="1" si="3"/>
        <v>#NAME?</v>
      </c>
      <c r="AR19" s="63" t="e">
        <f t="shared" ca="1" si="3"/>
        <v>#NAME?</v>
      </c>
      <c r="AS19" s="63" t="e">
        <f t="shared" ca="1" si="3"/>
        <v>#NAME?</v>
      </c>
      <c r="AT19" s="63" t="e">
        <f t="shared" ca="1" si="3"/>
        <v>#NAME?</v>
      </c>
      <c r="AU19" s="63" t="e">
        <f t="shared" ca="1" si="3"/>
        <v>#NAME?</v>
      </c>
      <c r="AV19" s="63" t="e">
        <f t="shared" ca="1" si="3"/>
        <v>#NAME?</v>
      </c>
      <c r="AW19" s="63" t="e">
        <f t="shared" ca="1" si="3"/>
        <v>#NAME?</v>
      </c>
      <c r="AX19" s="63" t="e">
        <f t="shared" ca="1" si="3"/>
        <v>#NAME?</v>
      </c>
      <c r="AY19" s="63" t="e">
        <f t="shared" ca="1" si="3"/>
        <v>#NAME?</v>
      </c>
    </row>
    <row r="21" spans="1:51" ht="15.75" thickBot="1"/>
    <row r="22" spans="1:51" ht="15.75" thickBot="1">
      <c r="C22" s="268" t="s">
        <v>282</v>
      </c>
      <c r="D22" s="269"/>
      <c r="E22" s="269"/>
      <c r="F22" s="269"/>
      <c r="G22" s="269"/>
      <c r="H22" s="269"/>
      <c r="I22" s="269"/>
      <c r="J22" s="269"/>
      <c r="K22" s="269"/>
      <c r="L22" s="269"/>
      <c r="M22" s="269"/>
      <c r="N22" s="269"/>
      <c r="O22" s="269"/>
      <c r="P22" s="269" t="str">
        <f t="shared" ref="P22:AY22" si="4">P6</f>
        <v/>
      </c>
      <c r="Q22" s="269" t="str">
        <f t="shared" si="4"/>
        <v/>
      </c>
      <c r="R22" s="269" t="str">
        <f t="shared" si="4"/>
        <v/>
      </c>
      <c r="S22" s="269" t="str">
        <f t="shared" si="4"/>
        <v/>
      </c>
      <c r="T22" s="269" t="str">
        <f t="shared" si="4"/>
        <v/>
      </c>
      <c r="U22" s="269" t="str">
        <f t="shared" si="4"/>
        <v/>
      </c>
      <c r="V22" s="269" t="str">
        <f t="shared" si="4"/>
        <v/>
      </c>
      <c r="W22" s="269" t="str">
        <f t="shared" si="4"/>
        <v/>
      </c>
      <c r="X22" s="269" t="str">
        <f t="shared" si="4"/>
        <v/>
      </c>
      <c r="Y22" s="269" t="str">
        <f t="shared" si="4"/>
        <v/>
      </c>
      <c r="Z22" s="269" t="str">
        <f t="shared" si="4"/>
        <v/>
      </c>
      <c r="AA22" s="269" t="str">
        <f t="shared" si="4"/>
        <v/>
      </c>
      <c r="AB22" s="269" t="str">
        <f t="shared" si="4"/>
        <v/>
      </c>
      <c r="AC22" s="269" t="str">
        <f t="shared" si="4"/>
        <v/>
      </c>
      <c r="AD22" s="269" t="str">
        <f t="shared" si="4"/>
        <v/>
      </c>
      <c r="AE22" s="269" t="str">
        <f t="shared" si="4"/>
        <v/>
      </c>
      <c r="AF22" s="269" t="str">
        <f t="shared" si="4"/>
        <v/>
      </c>
      <c r="AG22" s="269" t="str">
        <f t="shared" si="4"/>
        <v/>
      </c>
      <c r="AH22" s="269" t="str">
        <f t="shared" si="4"/>
        <v/>
      </c>
      <c r="AI22" s="269" t="str">
        <f t="shared" si="4"/>
        <v/>
      </c>
      <c r="AJ22" s="269" t="str">
        <f t="shared" si="4"/>
        <v/>
      </c>
      <c r="AK22" s="269" t="str">
        <f t="shared" si="4"/>
        <v/>
      </c>
      <c r="AL22" s="269" t="str">
        <f t="shared" si="4"/>
        <v/>
      </c>
      <c r="AM22" s="269" t="str">
        <f t="shared" si="4"/>
        <v/>
      </c>
      <c r="AN22" s="269" t="str">
        <f t="shared" si="4"/>
        <v/>
      </c>
      <c r="AO22" s="269" t="str">
        <f t="shared" si="4"/>
        <v/>
      </c>
      <c r="AP22" s="269" t="str">
        <f t="shared" si="4"/>
        <v/>
      </c>
      <c r="AQ22" s="269" t="str">
        <f t="shared" si="4"/>
        <v/>
      </c>
      <c r="AR22" s="269" t="str">
        <f t="shared" si="4"/>
        <v/>
      </c>
      <c r="AS22" s="269" t="str">
        <f t="shared" si="4"/>
        <v/>
      </c>
      <c r="AT22" s="269" t="str">
        <f t="shared" si="4"/>
        <v/>
      </c>
      <c r="AU22" s="269" t="str">
        <f t="shared" si="4"/>
        <v/>
      </c>
      <c r="AV22" s="269" t="str">
        <f t="shared" si="4"/>
        <v/>
      </c>
      <c r="AW22" s="269" t="str">
        <f t="shared" si="4"/>
        <v/>
      </c>
      <c r="AX22" s="269" t="str">
        <f t="shared" si="4"/>
        <v/>
      </c>
      <c r="AY22" s="270">
        <f t="shared" si="4"/>
        <v>4</v>
      </c>
    </row>
    <row r="23" spans="1:51">
      <c r="C23" s="271" t="s">
        <v>73</v>
      </c>
      <c r="D23" s="853"/>
      <c r="E23" s="853"/>
      <c r="F23" s="853"/>
      <c r="G23" s="853"/>
      <c r="H23" s="853"/>
      <c r="I23" s="853"/>
      <c r="J23" s="853"/>
      <c r="K23" s="853"/>
      <c r="L23" s="853"/>
      <c r="M23" s="853"/>
      <c r="N23" s="853"/>
      <c r="O23" s="853"/>
      <c r="P23" s="272" t="e">
        <f ca="1">P9/'Balance Sheet'!H$15</f>
        <v>#NAME?</v>
      </c>
      <c r="Q23" s="272" t="e">
        <f ca="1">Q9/'Balance Sheet'!I$15</f>
        <v>#NAME?</v>
      </c>
      <c r="R23" s="272" t="e">
        <f ca="1">R9/'Balance Sheet'!J$15</f>
        <v>#NAME?</v>
      </c>
      <c r="S23" s="272" t="e">
        <f ca="1">S9/'Balance Sheet'!K$15</f>
        <v>#NAME?</v>
      </c>
      <c r="T23" s="272" t="e">
        <f ca="1">T9/'Balance Sheet'!L$15</f>
        <v>#NAME?</v>
      </c>
      <c r="U23" s="272" t="e">
        <f ca="1">U9/'Balance Sheet'!M$15</f>
        <v>#NAME?</v>
      </c>
      <c r="V23" s="272" t="e">
        <f ca="1">V9/'Balance Sheet'!N$15</f>
        <v>#NAME?</v>
      </c>
      <c r="W23" s="272" t="e">
        <f ca="1">W9/'Balance Sheet'!O$15</f>
        <v>#NAME?</v>
      </c>
      <c r="X23" s="272" t="e">
        <f ca="1">X9/'Balance Sheet'!P$15</f>
        <v>#NAME?</v>
      </c>
      <c r="Y23" s="272" t="e">
        <f ca="1">Y9/'Balance Sheet'!Q$15</f>
        <v>#NAME?</v>
      </c>
      <c r="Z23" s="272" t="e">
        <f ca="1">Z9/'Balance Sheet'!R$15</f>
        <v>#NAME?</v>
      </c>
      <c r="AA23" s="272" t="e">
        <f ca="1">AA9/'Balance Sheet'!S$15</f>
        <v>#NAME?</v>
      </c>
      <c r="AB23" s="272" t="e">
        <f ca="1">AB9/'Balance Sheet'!T$15</f>
        <v>#NAME?</v>
      </c>
      <c r="AC23" s="272" t="e">
        <f ca="1">AC9/'Balance Sheet'!U$15</f>
        <v>#NAME?</v>
      </c>
      <c r="AD23" s="272" t="e">
        <f ca="1">AD9/'Balance Sheet'!V$15</f>
        <v>#NAME?</v>
      </c>
      <c r="AE23" s="272" t="e">
        <f ca="1">AE9/'Balance Sheet'!W$15</f>
        <v>#NAME?</v>
      </c>
      <c r="AF23" s="272" t="e">
        <f ca="1">AF9/'Balance Sheet'!X$15</f>
        <v>#NAME?</v>
      </c>
      <c r="AG23" s="272" t="e">
        <f ca="1">AG9/'Balance Sheet'!Y$15</f>
        <v>#NAME?</v>
      </c>
      <c r="AH23" s="272" t="e">
        <f ca="1">AH9/'Balance Sheet'!Z$15</f>
        <v>#NAME?</v>
      </c>
      <c r="AI23" s="272" t="e">
        <f ca="1">AI9/'Balance Sheet'!AA$15</f>
        <v>#NAME?</v>
      </c>
      <c r="AJ23" s="272" t="e">
        <f ca="1">AJ9/'Balance Sheet'!AB$15</f>
        <v>#NAME?</v>
      </c>
      <c r="AK23" s="272" t="e">
        <f ca="1">AK9/'Balance Sheet'!AC$15</f>
        <v>#NAME?</v>
      </c>
      <c r="AL23" s="272" t="e">
        <f ca="1">AL9/'Balance Sheet'!AD$15</f>
        <v>#NAME?</v>
      </c>
      <c r="AM23" s="272" t="e">
        <f ca="1">AM9/'Balance Sheet'!AE$15</f>
        <v>#NAME?</v>
      </c>
      <c r="AN23" s="272" t="e">
        <f ca="1">AN9/'Balance Sheet'!AF$15</f>
        <v>#NAME?</v>
      </c>
      <c r="AO23" s="272" t="e">
        <f ca="1">AO9/'Balance Sheet'!AG$15</f>
        <v>#NAME?</v>
      </c>
      <c r="AP23" s="272" t="e">
        <f ca="1">AP9/'Balance Sheet'!AH$15</f>
        <v>#NAME?</v>
      </c>
      <c r="AQ23" s="272" t="e">
        <f ca="1">AQ9/'Balance Sheet'!AI$15</f>
        <v>#NAME?</v>
      </c>
      <c r="AR23" s="272" t="e">
        <f ca="1">AR9/'Balance Sheet'!AJ$15</f>
        <v>#NAME?</v>
      </c>
      <c r="AS23" s="272" t="e">
        <f ca="1">AS9/'Balance Sheet'!AK$15</f>
        <v>#NAME?</v>
      </c>
      <c r="AT23" s="272" t="e">
        <f ca="1">AT9/'Balance Sheet'!AL$15</f>
        <v>#NAME?</v>
      </c>
      <c r="AU23" s="272" t="e">
        <f ca="1">AU9/'Balance Sheet'!AM$15</f>
        <v>#NAME?</v>
      </c>
      <c r="AV23" s="272" t="e">
        <f ca="1">AV9/'Balance Sheet'!AN$15</f>
        <v>#NAME?</v>
      </c>
      <c r="AW23" s="272" t="e">
        <f ca="1">AW9/'Balance Sheet'!AO$15</f>
        <v>#NAME?</v>
      </c>
      <c r="AX23" s="272" t="e">
        <f ca="1">AX9/'Balance Sheet'!AP$15</f>
        <v>#NAME?</v>
      </c>
      <c r="AY23" s="583" t="e">
        <f ca="1">AY9/'Balance Sheet'!AQ$15</f>
        <v>#NAME?</v>
      </c>
    </row>
    <row r="24" spans="1:51">
      <c r="C24" s="273" t="s">
        <v>78</v>
      </c>
      <c r="D24" s="854"/>
      <c r="E24" s="854"/>
      <c r="F24" s="854"/>
      <c r="G24" s="854"/>
      <c r="H24" s="854"/>
      <c r="I24" s="854"/>
      <c r="J24" s="854"/>
      <c r="K24" s="854"/>
      <c r="L24" s="854"/>
      <c r="M24" s="854"/>
      <c r="N24" s="854"/>
      <c r="O24" s="854"/>
      <c r="P24" s="274" t="e">
        <f ca="1">P10/'Balance Sheet'!H$15</f>
        <v>#NAME?</v>
      </c>
      <c r="Q24" s="274" t="e">
        <f ca="1">Q10/'Balance Sheet'!I$15</f>
        <v>#NAME?</v>
      </c>
      <c r="R24" s="274" t="e">
        <f ca="1">R10/'Balance Sheet'!J$15</f>
        <v>#NAME?</v>
      </c>
      <c r="S24" s="274" t="e">
        <f ca="1">S10/'Balance Sheet'!K$15</f>
        <v>#NAME?</v>
      </c>
      <c r="T24" s="274" t="e">
        <f ca="1">T10/'Balance Sheet'!L$15</f>
        <v>#NAME?</v>
      </c>
      <c r="U24" s="274" t="e">
        <f ca="1">U10/'Balance Sheet'!M$15</f>
        <v>#NAME?</v>
      </c>
      <c r="V24" s="274" t="e">
        <f ca="1">V10/'Balance Sheet'!N$15</f>
        <v>#NAME?</v>
      </c>
      <c r="W24" s="274" t="e">
        <f ca="1">W10/'Balance Sheet'!O$15</f>
        <v>#NAME?</v>
      </c>
      <c r="X24" s="274" t="e">
        <f ca="1">X10/'Balance Sheet'!P$15</f>
        <v>#NAME?</v>
      </c>
      <c r="Y24" s="274" t="e">
        <f ca="1">Y10/'Balance Sheet'!Q$15</f>
        <v>#NAME?</v>
      </c>
      <c r="Z24" s="274" t="e">
        <f ca="1">Z10/'Balance Sheet'!R$15</f>
        <v>#NAME?</v>
      </c>
      <c r="AA24" s="274" t="e">
        <f ca="1">AA10/'Balance Sheet'!S$15</f>
        <v>#NAME?</v>
      </c>
      <c r="AB24" s="274" t="e">
        <f ca="1">AB10/'Balance Sheet'!T$15</f>
        <v>#NAME?</v>
      </c>
      <c r="AC24" s="274" t="e">
        <f ca="1">AC10/'Balance Sheet'!U$15</f>
        <v>#NAME?</v>
      </c>
      <c r="AD24" s="274" t="e">
        <f ca="1">AD10/'Balance Sheet'!V$15</f>
        <v>#NAME?</v>
      </c>
      <c r="AE24" s="274" t="e">
        <f ca="1">AE10/'Balance Sheet'!W$15</f>
        <v>#NAME?</v>
      </c>
      <c r="AF24" s="274" t="e">
        <f ca="1">AF10/'Balance Sheet'!X$15</f>
        <v>#NAME?</v>
      </c>
      <c r="AG24" s="274" t="e">
        <f ca="1">AG10/'Balance Sheet'!Y$15</f>
        <v>#NAME?</v>
      </c>
      <c r="AH24" s="274" t="e">
        <f ca="1">AH10/'Balance Sheet'!Z$15</f>
        <v>#NAME?</v>
      </c>
      <c r="AI24" s="274" t="e">
        <f ca="1">AI10/'Balance Sheet'!AA$15</f>
        <v>#NAME?</v>
      </c>
      <c r="AJ24" s="274" t="e">
        <f ca="1">AJ10/'Balance Sheet'!AB$15</f>
        <v>#NAME?</v>
      </c>
      <c r="AK24" s="274" t="e">
        <f ca="1">AK10/'Balance Sheet'!AC$15</f>
        <v>#NAME?</v>
      </c>
      <c r="AL24" s="274" t="e">
        <f ca="1">AL10/'Balance Sheet'!AD$15</f>
        <v>#NAME?</v>
      </c>
      <c r="AM24" s="274" t="e">
        <f ca="1">AM10/'Balance Sheet'!AE$15</f>
        <v>#NAME?</v>
      </c>
      <c r="AN24" s="274" t="e">
        <f ca="1">AN10/'Balance Sheet'!AF$15</f>
        <v>#NAME?</v>
      </c>
      <c r="AO24" s="274" t="e">
        <f ca="1">AO10/'Balance Sheet'!AG$15</f>
        <v>#NAME?</v>
      </c>
      <c r="AP24" s="274" t="e">
        <f ca="1">AP10/'Balance Sheet'!AH$15</f>
        <v>#NAME?</v>
      </c>
      <c r="AQ24" s="274" t="e">
        <f ca="1">AQ10/'Balance Sheet'!AI$15</f>
        <v>#NAME?</v>
      </c>
      <c r="AR24" s="274" t="e">
        <f ca="1">AR10/'Balance Sheet'!AJ$15</f>
        <v>#NAME?</v>
      </c>
      <c r="AS24" s="274" t="e">
        <f ca="1">AS10/'Balance Sheet'!AK$15</f>
        <v>#NAME?</v>
      </c>
      <c r="AT24" s="274" t="e">
        <f ca="1">AT10/'Balance Sheet'!AL$15</f>
        <v>#NAME?</v>
      </c>
      <c r="AU24" s="274" t="e">
        <f ca="1">AU10/'Balance Sheet'!AM$15</f>
        <v>#NAME?</v>
      </c>
      <c r="AV24" s="274" t="e">
        <f ca="1">AV10/'Balance Sheet'!AN$15</f>
        <v>#NAME?</v>
      </c>
      <c r="AW24" s="274" t="e">
        <f ca="1">AW10/'Balance Sheet'!AO$15</f>
        <v>#NAME?</v>
      </c>
      <c r="AX24" s="274" t="e">
        <f ca="1">AX10/'Balance Sheet'!AP$15</f>
        <v>#NAME?</v>
      </c>
      <c r="AY24" s="275" t="e">
        <f ca="1">AY10/'Balance Sheet'!AQ$15</f>
        <v>#NAME?</v>
      </c>
    </row>
    <row r="25" spans="1:51">
      <c r="C25" s="273" t="s">
        <v>147</v>
      </c>
      <c r="D25" s="854"/>
      <c r="E25" s="854"/>
      <c r="F25" s="854"/>
      <c r="G25" s="854"/>
      <c r="H25" s="854"/>
      <c r="I25" s="854"/>
      <c r="J25" s="854"/>
      <c r="K25" s="854"/>
      <c r="L25" s="854"/>
      <c r="M25" s="854"/>
      <c r="N25" s="854"/>
      <c r="O25" s="854"/>
      <c r="P25" s="274" t="e">
        <f ca="1">P11/'Balance Sheet'!H$15</f>
        <v>#NAME?</v>
      </c>
      <c r="Q25" s="274" t="e">
        <f ca="1">Q11/'Balance Sheet'!I$15</f>
        <v>#NAME?</v>
      </c>
      <c r="R25" s="274" t="e">
        <f ca="1">R11/'Balance Sheet'!J$15</f>
        <v>#NAME?</v>
      </c>
      <c r="S25" s="274" t="e">
        <f ca="1">S11/'Balance Sheet'!K$15</f>
        <v>#NAME?</v>
      </c>
      <c r="T25" s="274" t="e">
        <f ca="1">T11/'Balance Sheet'!L$15</f>
        <v>#NAME?</v>
      </c>
      <c r="U25" s="274" t="e">
        <f ca="1">U11/'Balance Sheet'!M$15</f>
        <v>#NAME?</v>
      </c>
      <c r="V25" s="274" t="e">
        <f ca="1">V11/'Balance Sheet'!N$15</f>
        <v>#NAME?</v>
      </c>
      <c r="W25" s="274" t="e">
        <f ca="1">W11/'Balance Sheet'!O$15</f>
        <v>#NAME?</v>
      </c>
      <c r="X25" s="274" t="e">
        <f ca="1">X11/'Balance Sheet'!P$15</f>
        <v>#NAME?</v>
      </c>
      <c r="Y25" s="274" t="e">
        <f ca="1">Y11/'Balance Sheet'!Q$15</f>
        <v>#NAME?</v>
      </c>
      <c r="Z25" s="274" t="e">
        <f ca="1">Z11/'Balance Sheet'!R$15</f>
        <v>#NAME?</v>
      </c>
      <c r="AA25" s="274" t="e">
        <f ca="1">AA11/'Balance Sheet'!S$15</f>
        <v>#NAME?</v>
      </c>
      <c r="AB25" s="274" t="e">
        <f ca="1">AB11/'Balance Sheet'!T$15</f>
        <v>#NAME?</v>
      </c>
      <c r="AC25" s="274" t="e">
        <f ca="1">AC11/'Balance Sheet'!U$15</f>
        <v>#NAME?</v>
      </c>
      <c r="AD25" s="274" t="e">
        <f ca="1">AD11/'Balance Sheet'!V$15</f>
        <v>#NAME?</v>
      </c>
      <c r="AE25" s="274" t="e">
        <f ca="1">AE11/'Balance Sheet'!W$15</f>
        <v>#NAME?</v>
      </c>
      <c r="AF25" s="274" t="e">
        <f ca="1">AF11/'Balance Sheet'!X$15</f>
        <v>#NAME?</v>
      </c>
      <c r="AG25" s="274" t="e">
        <f ca="1">AG11/'Balance Sheet'!Y$15</f>
        <v>#NAME?</v>
      </c>
      <c r="AH25" s="274" t="e">
        <f ca="1">AH11/'Balance Sheet'!Z$15</f>
        <v>#NAME?</v>
      </c>
      <c r="AI25" s="274" t="e">
        <f ca="1">AI11/'Balance Sheet'!AA$15</f>
        <v>#NAME?</v>
      </c>
      <c r="AJ25" s="274" t="e">
        <f ca="1">AJ11/'Balance Sheet'!AB$15</f>
        <v>#NAME?</v>
      </c>
      <c r="AK25" s="274" t="e">
        <f ca="1">AK11/'Balance Sheet'!AC$15</f>
        <v>#NAME?</v>
      </c>
      <c r="AL25" s="274" t="e">
        <f ca="1">AL11/'Balance Sheet'!AD$15</f>
        <v>#NAME?</v>
      </c>
      <c r="AM25" s="274" t="e">
        <f ca="1">AM11/'Balance Sheet'!AE$15</f>
        <v>#NAME?</v>
      </c>
      <c r="AN25" s="274" t="e">
        <f ca="1">AN11/'Balance Sheet'!AF$15</f>
        <v>#NAME?</v>
      </c>
      <c r="AO25" s="274" t="e">
        <f ca="1">AO11/'Balance Sheet'!AG$15</f>
        <v>#NAME?</v>
      </c>
      <c r="AP25" s="274" t="e">
        <f ca="1">AP11/'Balance Sheet'!AH$15</f>
        <v>#NAME?</v>
      </c>
      <c r="AQ25" s="274" t="e">
        <f ca="1">AQ11/'Balance Sheet'!AI$15</f>
        <v>#NAME?</v>
      </c>
      <c r="AR25" s="274" t="e">
        <f ca="1">AR11/'Balance Sheet'!AJ$15</f>
        <v>#NAME?</v>
      </c>
      <c r="AS25" s="274" t="e">
        <f ca="1">AS11/'Balance Sheet'!AK$15</f>
        <v>#NAME?</v>
      </c>
      <c r="AT25" s="274" t="e">
        <f ca="1">AT11/'Balance Sheet'!AL$15</f>
        <v>#NAME?</v>
      </c>
      <c r="AU25" s="274" t="e">
        <f ca="1">AU11/'Balance Sheet'!AM$15</f>
        <v>#NAME?</v>
      </c>
      <c r="AV25" s="274" t="e">
        <f ca="1">AV11/'Balance Sheet'!AN$15</f>
        <v>#NAME?</v>
      </c>
      <c r="AW25" s="274" t="e">
        <f ca="1">AW11/'Balance Sheet'!AO$15</f>
        <v>#NAME?</v>
      </c>
      <c r="AX25" s="274" t="e">
        <f ca="1">AX11/'Balance Sheet'!AP$15</f>
        <v>#NAME?</v>
      </c>
      <c r="AY25" s="275" t="e">
        <f ca="1">AY11/'Balance Sheet'!AQ$15</f>
        <v>#NAME?</v>
      </c>
    </row>
    <row r="26" spans="1:51">
      <c r="C26" s="266" t="s">
        <v>151</v>
      </c>
      <c r="D26" s="851"/>
      <c r="E26" s="851"/>
      <c r="F26" s="851"/>
      <c r="G26" s="851"/>
      <c r="H26" s="851"/>
      <c r="I26" s="851"/>
      <c r="J26" s="851"/>
      <c r="K26" s="851"/>
      <c r="L26" s="851"/>
      <c r="M26" s="851"/>
      <c r="N26" s="851"/>
      <c r="O26" s="851"/>
      <c r="P26" s="274" t="e">
        <f ca="1">P12/'Balance Sheet'!H$15</f>
        <v>#NAME?</v>
      </c>
      <c r="Q26" s="274" t="e">
        <f ca="1">Q12/'Balance Sheet'!I$15</f>
        <v>#NAME?</v>
      </c>
      <c r="R26" s="274" t="e">
        <f ca="1">R12/'Balance Sheet'!J$15</f>
        <v>#NAME?</v>
      </c>
      <c r="S26" s="274" t="e">
        <f ca="1">S12/'Balance Sheet'!K$15</f>
        <v>#NAME?</v>
      </c>
      <c r="T26" s="274" t="e">
        <f ca="1">T12/'Balance Sheet'!L$15</f>
        <v>#NAME?</v>
      </c>
      <c r="U26" s="274" t="e">
        <f ca="1">U12/'Balance Sheet'!M$15</f>
        <v>#NAME?</v>
      </c>
      <c r="V26" s="274" t="e">
        <f ca="1">V12/'Balance Sheet'!N$15</f>
        <v>#NAME?</v>
      </c>
      <c r="W26" s="274" t="e">
        <f ca="1">W12/'Balance Sheet'!O$15</f>
        <v>#NAME?</v>
      </c>
      <c r="X26" s="274" t="e">
        <f ca="1">X12/'Balance Sheet'!P$15</f>
        <v>#NAME?</v>
      </c>
      <c r="Y26" s="274" t="e">
        <f ca="1">Y12/'Balance Sheet'!Q$15</f>
        <v>#NAME?</v>
      </c>
      <c r="Z26" s="274" t="e">
        <f ca="1">Z12/'Balance Sheet'!R$15</f>
        <v>#NAME?</v>
      </c>
      <c r="AA26" s="274" t="e">
        <f ca="1">AA12/'Balance Sheet'!S$15</f>
        <v>#NAME?</v>
      </c>
      <c r="AB26" s="274" t="e">
        <f ca="1">AB12/'Balance Sheet'!T$15</f>
        <v>#NAME?</v>
      </c>
      <c r="AC26" s="274" t="e">
        <f ca="1">AC12/'Balance Sheet'!U$15</f>
        <v>#NAME?</v>
      </c>
      <c r="AD26" s="274" t="e">
        <f ca="1">AD12/'Balance Sheet'!V$15</f>
        <v>#NAME?</v>
      </c>
      <c r="AE26" s="274" t="e">
        <f ca="1">AE12/'Balance Sheet'!W$15</f>
        <v>#NAME?</v>
      </c>
      <c r="AF26" s="274" t="e">
        <f ca="1">AF12/'Balance Sheet'!X$15</f>
        <v>#NAME?</v>
      </c>
      <c r="AG26" s="274" t="e">
        <f ca="1">AG12/'Balance Sheet'!Y$15</f>
        <v>#NAME?</v>
      </c>
      <c r="AH26" s="274" t="e">
        <f ca="1">AH12/'Balance Sheet'!Z$15</f>
        <v>#NAME?</v>
      </c>
      <c r="AI26" s="274" t="e">
        <f ca="1">AI12/'Balance Sheet'!AA$15</f>
        <v>#NAME?</v>
      </c>
      <c r="AJ26" s="274" t="e">
        <f ca="1">AJ12/'Balance Sheet'!AB$15</f>
        <v>#NAME?</v>
      </c>
      <c r="AK26" s="274" t="e">
        <f ca="1">AK12/'Balance Sheet'!AC$15</f>
        <v>#NAME?</v>
      </c>
      <c r="AL26" s="274" t="e">
        <f ca="1">AL12/'Balance Sheet'!AD$15</f>
        <v>#NAME?</v>
      </c>
      <c r="AM26" s="274" t="e">
        <f ca="1">AM12/'Balance Sheet'!AE$15</f>
        <v>#NAME?</v>
      </c>
      <c r="AN26" s="274" t="e">
        <f ca="1">AN12/'Balance Sheet'!AF$15</f>
        <v>#NAME?</v>
      </c>
      <c r="AO26" s="274" t="e">
        <f ca="1">AO12/'Balance Sheet'!AG$15</f>
        <v>#NAME?</v>
      </c>
      <c r="AP26" s="274" t="e">
        <f ca="1">AP12/'Balance Sheet'!AH$15</f>
        <v>#NAME?</v>
      </c>
      <c r="AQ26" s="274" t="e">
        <f ca="1">AQ12/'Balance Sheet'!AI$15</f>
        <v>#NAME?</v>
      </c>
      <c r="AR26" s="274" t="e">
        <f ca="1">AR12/'Balance Sheet'!AJ$15</f>
        <v>#NAME?</v>
      </c>
      <c r="AS26" s="274" t="e">
        <f ca="1">AS12/'Balance Sheet'!AK$15</f>
        <v>#NAME?</v>
      </c>
      <c r="AT26" s="274" t="e">
        <f ca="1">AT12/'Balance Sheet'!AL$15</f>
        <v>#NAME?</v>
      </c>
      <c r="AU26" s="274" t="e">
        <f ca="1">AU12/'Balance Sheet'!AM$15</f>
        <v>#NAME?</v>
      </c>
      <c r="AV26" s="274" t="e">
        <f ca="1">AV12/'Balance Sheet'!AN$15</f>
        <v>#NAME?</v>
      </c>
      <c r="AW26" s="274" t="e">
        <f ca="1">AW12/'Balance Sheet'!AO$15</f>
        <v>#NAME?</v>
      </c>
      <c r="AX26" s="274" t="e">
        <f ca="1">AX12/'Balance Sheet'!AP$15</f>
        <v>#NAME?</v>
      </c>
      <c r="AY26" s="275" t="e">
        <f ca="1">AY12/'Balance Sheet'!AQ$15</f>
        <v>#NAME?</v>
      </c>
    </row>
    <row r="27" spans="1:51">
      <c r="C27" s="266" t="s">
        <v>281</v>
      </c>
      <c r="D27" s="851"/>
      <c r="E27" s="851"/>
      <c r="F27" s="851"/>
      <c r="G27" s="851"/>
      <c r="H27" s="851"/>
      <c r="I27" s="851"/>
      <c r="J27" s="851"/>
      <c r="K27" s="851"/>
      <c r="L27" s="851"/>
      <c r="M27" s="851"/>
      <c r="N27" s="851"/>
      <c r="O27" s="851"/>
      <c r="P27" s="274" t="e">
        <f ca="1">P13/'Balance Sheet'!H$15</f>
        <v>#NAME?</v>
      </c>
      <c r="Q27" s="274" t="e">
        <f ca="1">Q13/'Balance Sheet'!I$15</f>
        <v>#NAME?</v>
      </c>
      <c r="R27" s="274" t="e">
        <f ca="1">R13/'Balance Sheet'!J$15</f>
        <v>#NAME?</v>
      </c>
      <c r="S27" s="274" t="e">
        <f ca="1">S13/'Balance Sheet'!K$15</f>
        <v>#NAME?</v>
      </c>
      <c r="T27" s="274" t="e">
        <f ca="1">T13/'Balance Sheet'!L$15</f>
        <v>#NAME?</v>
      </c>
      <c r="U27" s="274" t="e">
        <f ca="1">U13/'Balance Sheet'!M$15</f>
        <v>#NAME?</v>
      </c>
      <c r="V27" s="274" t="e">
        <f ca="1">V13/'Balance Sheet'!N$15</f>
        <v>#NAME?</v>
      </c>
      <c r="W27" s="274" t="e">
        <f ca="1">W13/'Balance Sheet'!O$15</f>
        <v>#NAME?</v>
      </c>
      <c r="X27" s="274" t="e">
        <f ca="1">X13/'Balance Sheet'!P$15</f>
        <v>#NAME?</v>
      </c>
      <c r="Y27" s="274" t="e">
        <f ca="1">Y13/'Balance Sheet'!Q$15</f>
        <v>#NAME?</v>
      </c>
      <c r="Z27" s="274" t="e">
        <f ca="1">Z13/'Balance Sheet'!R$15</f>
        <v>#NAME?</v>
      </c>
      <c r="AA27" s="274" t="e">
        <f ca="1">AA13/'Balance Sheet'!S$15</f>
        <v>#NAME?</v>
      </c>
      <c r="AB27" s="274" t="e">
        <f ca="1">AB13/'Balance Sheet'!T$15</f>
        <v>#NAME?</v>
      </c>
      <c r="AC27" s="274" t="e">
        <f ca="1">AC13/'Balance Sheet'!U$15</f>
        <v>#NAME?</v>
      </c>
      <c r="AD27" s="274" t="e">
        <f ca="1">AD13/'Balance Sheet'!V$15</f>
        <v>#NAME?</v>
      </c>
      <c r="AE27" s="274" t="e">
        <f ca="1">AE13/'Balance Sheet'!W$15</f>
        <v>#NAME?</v>
      </c>
      <c r="AF27" s="274" t="e">
        <f ca="1">AF13/'Balance Sheet'!X$15</f>
        <v>#NAME?</v>
      </c>
      <c r="AG27" s="274" t="e">
        <f ca="1">AG13/'Balance Sheet'!Y$15</f>
        <v>#NAME?</v>
      </c>
      <c r="AH27" s="274" t="e">
        <f ca="1">AH13/'Balance Sheet'!Z$15</f>
        <v>#NAME?</v>
      </c>
      <c r="AI27" s="274" t="e">
        <f ca="1">AI13/'Balance Sheet'!AA$15</f>
        <v>#NAME?</v>
      </c>
      <c r="AJ27" s="274" t="e">
        <f ca="1">AJ13/'Balance Sheet'!AB$15</f>
        <v>#NAME?</v>
      </c>
      <c r="AK27" s="274" t="e">
        <f ca="1">AK13/'Balance Sheet'!AC$15</f>
        <v>#NAME?</v>
      </c>
      <c r="AL27" s="274" t="e">
        <f ca="1">AL13/'Balance Sheet'!AD$15</f>
        <v>#NAME?</v>
      </c>
      <c r="AM27" s="274" t="e">
        <f ca="1">AM13/'Balance Sheet'!AE$15</f>
        <v>#NAME?</v>
      </c>
      <c r="AN27" s="274" t="e">
        <f ca="1">AN13/'Balance Sheet'!AF$15</f>
        <v>#NAME?</v>
      </c>
      <c r="AO27" s="274" t="e">
        <f ca="1">AO13/'Balance Sheet'!AG$15</f>
        <v>#NAME?</v>
      </c>
      <c r="AP27" s="274" t="e">
        <f ca="1">AP13/'Balance Sheet'!AH$15</f>
        <v>#NAME?</v>
      </c>
      <c r="AQ27" s="274" t="e">
        <f ca="1">AQ13/'Balance Sheet'!AI$15</f>
        <v>#NAME?</v>
      </c>
      <c r="AR27" s="274" t="e">
        <f ca="1">AR13/'Balance Sheet'!AJ$15</f>
        <v>#NAME?</v>
      </c>
      <c r="AS27" s="274" t="e">
        <f ca="1">AS13/'Balance Sheet'!AK$15</f>
        <v>#NAME?</v>
      </c>
      <c r="AT27" s="274" t="e">
        <f ca="1">AT13/'Balance Sheet'!AL$15</f>
        <v>#NAME?</v>
      </c>
      <c r="AU27" s="274" t="e">
        <f ca="1">AU13/'Balance Sheet'!AM$15</f>
        <v>#NAME?</v>
      </c>
      <c r="AV27" s="274" t="e">
        <f ca="1">AV13/'Balance Sheet'!AN$15</f>
        <v>#NAME?</v>
      </c>
      <c r="AW27" s="274" t="e">
        <f ca="1">AW13/'Balance Sheet'!AO$15</f>
        <v>#NAME?</v>
      </c>
      <c r="AX27" s="274" t="e">
        <f ca="1">AX13/'Balance Sheet'!AP$15</f>
        <v>#NAME?</v>
      </c>
      <c r="AY27" s="275" t="e">
        <f ca="1">AY13/'Balance Sheet'!AQ$15</f>
        <v>#NAME?</v>
      </c>
    </row>
    <row r="28" spans="1:51">
      <c r="C28" s="266" t="s">
        <v>96</v>
      </c>
      <c r="D28" s="851"/>
      <c r="E28" s="851"/>
      <c r="F28" s="851"/>
      <c r="G28" s="851"/>
      <c r="H28" s="851"/>
      <c r="I28" s="851"/>
      <c r="J28" s="851"/>
      <c r="K28" s="851"/>
      <c r="L28" s="851"/>
      <c r="M28" s="851"/>
      <c r="N28" s="851"/>
      <c r="O28" s="851"/>
      <c r="P28" s="274" t="e">
        <f ca="1">P14/'Balance Sheet'!H$15</f>
        <v>#NAME?</v>
      </c>
      <c r="Q28" s="274" t="e">
        <f ca="1">Q14/'Balance Sheet'!I$15</f>
        <v>#NAME?</v>
      </c>
      <c r="R28" s="274" t="e">
        <f ca="1">R14/'Balance Sheet'!J$15</f>
        <v>#NAME?</v>
      </c>
      <c r="S28" s="274" t="e">
        <f ca="1">S14/'Balance Sheet'!K$15</f>
        <v>#NAME?</v>
      </c>
      <c r="T28" s="274" t="e">
        <f ca="1">T14/'Balance Sheet'!L$15</f>
        <v>#NAME?</v>
      </c>
      <c r="U28" s="274" t="e">
        <f ca="1">U14/'Balance Sheet'!M$15</f>
        <v>#NAME?</v>
      </c>
      <c r="V28" s="274" t="e">
        <f ca="1">V14/'Balance Sheet'!N$15</f>
        <v>#NAME?</v>
      </c>
      <c r="W28" s="274" t="e">
        <f ca="1">W14/'Balance Sheet'!O$15</f>
        <v>#NAME?</v>
      </c>
      <c r="X28" s="274" t="e">
        <f ca="1">X14/'Balance Sheet'!P$15</f>
        <v>#NAME?</v>
      </c>
      <c r="Y28" s="274" t="e">
        <f ca="1">Y14/'Balance Sheet'!Q$15</f>
        <v>#NAME?</v>
      </c>
      <c r="Z28" s="274" t="e">
        <f ca="1">Z14/'Balance Sheet'!R$15</f>
        <v>#NAME?</v>
      </c>
      <c r="AA28" s="274" t="e">
        <f ca="1">AA14/'Balance Sheet'!S$15</f>
        <v>#NAME?</v>
      </c>
      <c r="AB28" s="274" t="e">
        <f ca="1">AB14/'Balance Sheet'!T$15</f>
        <v>#NAME?</v>
      </c>
      <c r="AC28" s="274" t="e">
        <f ca="1">AC14/'Balance Sheet'!U$15</f>
        <v>#NAME?</v>
      </c>
      <c r="AD28" s="274" t="e">
        <f ca="1">AD14/'Balance Sheet'!V$15</f>
        <v>#NAME?</v>
      </c>
      <c r="AE28" s="274" t="e">
        <f ca="1">AE14/'Balance Sheet'!W$15</f>
        <v>#NAME?</v>
      </c>
      <c r="AF28" s="274" t="e">
        <f ca="1">AF14/'Balance Sheet'!X$15</f>
        <v>#NAME?</v>
      </c>
      <c r="AG28" s="274" t="e">
        <f ca="1">AG14/'Balance Sheet'!Y$15</f>
        <v>#NAME?</v>
      </c>
      <c r="AH28" s="274" t="e">
        <f ca="1">AH14/'Balance Sheet'!Z$15</f>
        <v>#NAME?</v>
      </c>
      <c r="AI28" s="274" t="e">
        <f ca="1">AI14/'Balance Sheet'!AA$15</f>
        <v>#NAME?</v>
      </c>
      <c r="AJ28" s="274" t="e">
        <f ca="1">AJ14/'Balance Sheet'!AB$15</f>
        <v>#NAME?</v>
      </c>
      <c r="AK28" s="274" t="e">
        <f ca="1">AK14/'Balance Sheet'!AC$15</f>
        <v>#NAME?</v>
      </c>
      <c r="AL28" s="274" t="e">
        <f ca="1">AL14/'Balance Sheet'!AD$15</f>
        <v>#NAME?</v>
      </c>
      <c r="AM28" s="274" t="e">
        <f ca="1">AM14/'Balance Sheet'!AE$15</f>
        <v>#NAME?</v>
      </c>
      <c r="AN28" s="274" t="e">
        <f ca="1">AN14/'Balance Sheet'!AF$15</f>
        <v>#NAME?</v>
      </c>
      <c r="AO28" s="274" t="e">
        <f ca="1">AO14/'Balance Sheet'!AG$15</f>
        <v>#NAME?</v>
      </c>
      <c r="AP28" s="274" t="e">
        <f ca="1">AP14/'Balance Sheet'!AH$15</f>
        <v>#NAME?</v>
      </c>
      <c r="AQ28" s="274" t="e">
        <f ca="1">AQ14/'Balance Sheet'!AI$15</f>
        <v>#NAME?</v>
      </c>
      <c r="AR28" s="274" t="e">
        <f ca="1">AR14/'Balance Sheet'!AJ$15</f>
        <v>#NAME?</v>
      </c>
      <c r="AS28" s="274" t="e">
        <f ca="1">AS14/'Balance Sheet'!AK$15</f>
        <v>#NAME?</v>
      </c>
      <c r="AT28" s="274" t="e">
        <f ca="1">AT14/'Balance Sheet'!AL$15</f>
        <v>#NAME?</v>
      </c>
      <c r="AU28" s="274" t="e">
        <f ca="1">AU14/'Balance Sheet'!AM$15</f>
        <v>#NAME?</v>
      </c>
      <c r="AV28" s="274" t="e">
        <f ca="1">AV14/'Balance Sheet'!AN$15</f>
        <v>#NAME?</v>
      </c>
      <c r="AW28" s="274" t="e">
        <f ca="1">AW14/'Balance Sheet'!AO$15</f>
        <v>#NAME?</v>
      </c>
      <c r="AX28" s="274" t="e">
        <f ca="1">AX14/'Balance Sheet'!AP$15</f>
        <v>#NAME?</v>
      </c>
      <c r="AY28" s="275" t="e">
        <f ca="1">AY14/'Balance Sheet'!AQ$15</f>
        <v>#NAME?</v>
      </c>
    </row>
    <row r="29" spans="1:51">
      <c r="C29" s="266" t="s">
        <v>30</v>
      </c>
      <c r="D29" s="851"/>
      <c r="E29" s="851"/>
      <c r="F29" s="851"/>
      <c r="G29" s="851"/>
      <c r="H29" s="851"/>
      <c r="I29" s="851"/>
      <c r="J29" s="851"/>
      <c r="K29" s="851"/>
      <c r="L29" s="851"/>
      <c r="M29" s="851"/>
      <c r="N29" s="851"/>
      <c r="O29" s="851"/>
      <c r="P29" s="274" t="e">
        <f ca="1">P15/'Balance Sheet'!H$15</f>
        <v>#NAME?</v>
      </c>
      <c r="Q29" s="274" t="e">
        <f ca="1">Q15/'Balance Sheet'!I$15</f>
        <v>#NAME?</v>
      </c>
      <c r="R29" s="274" t="e">
        <f ca="1">R15/'Balance Sheet'!J$15</f>
        <v>#NAME?</v>
      </c>
      <c r="S29" s="274" t="e">
        <f ca="1">S15/'Balance Sheet'!K$15</f>
        <v>#NAME?</v>
      </c>
      <c r="T29" s="274" t="e">
        <f ca="1">T15/'Balance Sheet'!L$15</f>
        <v>#NAME?</v>
      </c>
      <c r="U29" s="274" t="e">
        <f ca="1">U15/'Balance Sheet'!M$15</f>
        <v>#NAME?</v>
      </c>
      <c r="V29" s="274" t="e">
        <f ca="1">V15/'Balance Sheet'!N$15</f>
        <v>#NAME?</v>
      </c>
      <c r="W29" s="274" t="e">
        <f ca="1">W15/'Balance Sheet'!O$15</f>
        <v>#NAME?</v>
      </c>
      <c r="X29" s="274" t="e">
        <f ca="1">X15/'Balance Sheet'!P$15</f>
        <v>#NAME?</v>
      </c>
      <c r="Y29" s="274" t="e">
        <f ca="1">Y15/'Balance Sheet'!Q$15</f>
        <v>#NAME?</v>
      </c>
      <c r="Z29" s="274" t="e">
        <f ca="1">Z15/'Balance Sheet'!R$15</f>
        <v>#NAME?</v>
      </c>
      <c r="AA29" s="274" t="e">
        <f ca="1">AA15/'Balance Sheet'!S$15</f>
        <v>#NAME?</v>
      </c>
      <c r="AB29" s="274" t="e">
        <f ca="1">AB15/'Balance Sheet'!T$15</f>
        <v>#NAME?</v>
      </c>
      <c r="AC29" s="274" t="e">
        <f ca="1">AC15/'Balance Sheet'!U$15</f>
        <v>#NAME?</v>
      </c>
      <c r="AD29" s="274" t="e">
        <f ca="1">AD15/'Balance Sheet'!V$15</f>
        <v>#NAME?</v>
      </c>
      <c r="AE29" s="274" t="e">
        <f ca="1">AE15/'Balance Sheet'!W$15</f>
        <v>#NAME?</v>
      </c>
      <c r="AF29" s="274" t="e">
        <f ca="1">AF15/'Balance Sheet'!X$15</f>
        <v>#NAME?</v>
      </c>
      <c r="AG29" s="274" t="e">
        <f ca="1">AG15/'Balance Sheet'!Y$15</f>
        <v>#NAME?</v>
      </c>
      <c r="AH29" s="274" t="e">
        <f ca="1">AH15/'Balance Sheet'!Z$15</f>
        <v>#NAME?</v>
      </c>
      <c r="AI29" s="274" t="e">
        <f ca="1">AI15/'Balance Sheet'!AA$15</f>
        <v>#NAME?</v>
      </c>
      <c r="AJ29" s="274" t="e">
        <f ca="1">AJ15/'Balance Sheet'!AB$15</f>
        <v>#NAME?</v>
      </c>
      <c r="AK29" s="274" t="e">
        <f ca="1">AK15/'Balance Sheet'!AC$15</f>
        <v>#NAME?</v>
      </c>
      <c r="AL29" s="274" t="e">
        <f ca="1">AL15/'Balance Sheet'!AD$15</f>
        <v>#NAME?</v>
      </c>
      <c r="AM29" s="274" t="e">
        <f ca="1">AM15/'Balance Sheet'!AE$15</f>
        <v>#NAME?</v>
      </c>
      <c r="AN29" s="274" t="e">
        <f ca="1">AN15/'Balance Sheet'!AF$15</f>
        <v>#NAME?</v>
      </c>
      <c r="AO29" s="274" t="e">
        <f ca="1">AO15/'Balance Sheet'!AG$15</f>
        <v>#NAME?</v>
      </c>
      <c r="AP29" s="274" t="e">
        <f ca="1">AP15/'Balance Sheet'!AH$15</f>
        <v>#NAME?</v>
      </c>
      <c r="AQ29" s="274" t="e">
        <f ca="1">AQ15/'Balance Sheet'!AI$15</f>
        <v>#NAME?</v>
      </c>
      <c r="AR29" s="274" t="e">
        <f ca="1">AR15/'Balance Sheet'!AJ$15</f>
        <v>#NAME?</v>
      </c>
      <c r="AS29" s="274" t="e">
        <f ca="1">AS15/'Balance Sheet'!AK$15</f>
        <v>#NAME?</v>
      </c>
      <c r="AT29" s="274" t="e">
        <f ca="1">AT15/'Balance Sheet'!AL$15</f>
        <v>#NAME?</v>
      </c>
      <c r="AU29" s="274" t="e">
        <f ca="1">AU15/'Balance Sheet'!AM$15</f>
        <v>#NAME?</v>
      </c>
      <c r="AV29" s="274" t="e">
        <f ca="1">AV15/'Balance Sheet'!AN$15</f>
        <v>#NAME?</v>
      </c>
      <c r="AW29" s="274" t="e">
        <f ca="1">AW15/'Balance Sheet'!AO$15</f>
        <v>#NAME?</v>
      </c>
      <c r="AX29" s="274" t="e">
        <f ca="1">AX15/'Balance Sheet'!AP$15</f>
        <v>#NAME?</v>
      </c>
      <c r="AY29" s="275" t="e">
        <f ca="1">AY15/'Balance Sheet'!AQ$15</f>
        <v>#NAME?</v>
      </c>
    </row>
    <row r="30" spans="1:51">
      <c r="C30" s="925" t="s">
        <v>303</v>
      </c>
      <c r="D30" s="926"/>
      <c r="E30" s="926"/>
      <c r="F30" s="926"/>
      <c r="G30" s="926"/>
      <c r="H30" s="926"/>
      <c r="I30" s="926"/>
      <c r="J30" s="926"/>
      <c r="K30" s="926"/>
      <c r="L30" s="926"/>
      <c r="M30" s="926"/>
      <c r="N30" s="926"/>
      <c r="O30" s="926"/>
      <c r="P30" s="929" t="e">
        <f ca="1">+P24+P29</f>
        <v>#NAME?</v>
      </c>
      <c r="Q30" s="929" t="e">
        <f t="shared" ref="Q30:AY30" ca="1" si="5">+Q24+Q29</f>
        <v>#NAME?</v>
      </c>
      <c r="R30" s="929" t="e">
        <f t="shared" ca="1" si="5"/>
        <v>#NAME?</v>
      </c>
      <c r="S30" s="929" t="e">
        <f t="shared" ca="1" si="5"/>
        <v>#NAME?</v>
      </c>
      <c r="T30" s="929" t="e">
        <f t="shared" ca="1" si="5"/>
        <v>#NAME?</v>
      </c>
      <c r="U30" s="929" t="e">
        <f t="shared" ca="1" si="5"/>
        <v>#NAME?</v>
      </c>
      <c r="V30" s="929" t="e">
        <f t="shared" ca="1" si="5"/>
        <v>#NAME?</v>
      </c>
      <c r="W30" s="929" t="e">
        <f t="shared" ca="1" si="5"/>
        <v>#NAME?</v>
      </c>
      <c r="X30" s="929" t="e">
        <f t="shared" ca="1" si="5"/>
        <v>#NAME?</v>
      </c>
      <c r="Y30" s="929" t="e">
        <f t="shared" ca="1" si="5"/>
        <v>#NAME?</v>
      </c>
      <c r="Z30" s="929" t="e">
        <f t="shared" ca="1" si="5"/>
        <v>#NAME?</v>
      </c>
      <c r="AA30" s="929" t="e">
        <f t="shared" ca="1" si="5"/>
        <v>#NAME?</v>
      </c>
      <c r="AB30" s="929" t="e">
        <f t="shared" ca="1" si="5"/>
        <v>#NAME?</v>
      </c>
      <c r="AC30" s="929" t="e">
        <f t="shared" ca="1" si="5"/>
        <v>#NAME?</v>
      </c>
      <c r="AD30" s="929" t="e">
        <f t="shared" ca="1" si="5"/>
        <v>#NAME?</v>
      </c>
      <c r="AE30" s="929" t="e">
        <f t="shared" ca="1" si="5"/>
        <v>#NAME?</v>
      </c>
      <c r="AF30" s="929" t="e">
        <f t="shared" ca="1" si="5"/>
        <v>#NAME?</v>
      </c>
      <c r="AG30" s="929" t="e">
        <f t="shared" ca="1" si="5"/>
        <v>#NAME?</v>
      </c>
      <c r="AH30" s="929" t="e">
        <f t="shared" ca="1" si="5"/>
        <v>#NAME?</v>
      </c>
      <c r="AI30" s="929" t="e">
        <f t="shared" ca="1" si="5"/>
        <v>#NAME?</v>
      </c>
      <c r="AJ30" s="929" t="e">
        <f t="shared" ca="1" si="5"/>
        <v>#NAME?</v>
      </c>
      <c r="AK30" s="929" t="e">
        <f t="shared" ca="1" si="5"/>
        <v>#NAME?</v>
      </c>
      <c r="AL30" s="929" t="e">
        <f t="shared" ca="1" si="5"/>
        <v>#NAME?</v>
      </c>
      <c r="AM30" s="929" t="e">
        <f t="shared" ca="1" si="5"/>
        <v>#NAME?</v>
      </c>
      <c r="AN30" s="929" t="e">
        <f t="shared" ca="1" si="5"/>
        <v>#NAME?</v>
      </c>
      <c r="AO30" s="929" t="e">
        <f t="shared" ca="1" si="5"/>
        <v>#NAME?</v>
      </c>
      <c r="AP30" s="929" t="e">
        <f t="shared" ca="1" si="5"/>
        <v>#NAME?</v>
      </c>
      <c r="AQ30" s="929" t="e">
        <f t="shared" ca="1" si="5"/>
        <v>#NAME?</v>
      </c>
      <c r="AR30" s="929" t="e">
        <f t="shared" ca="1" si="5"/>
        <v>#NAME?</v>
      </c>
      <c r="AS30" s="929" t="e">
        <f t="shared" ca="1" si="5"/>
        <v>#NAME?</v>
      </c>
      <c r="AT30" s="929" t="e">
        <f t="shared" ca="1" si="5"/>
        <v>#NAME?</v>
      </c>
      <c r="AU30" s="929" t="e">
        <f t="shared" ca="1" si="5"/>
        <v>#NAME?</v>
      </c>
      <c r="AV30" s="929" t="e">
        <f t="shared" ca="1" si="5"/>
        <v>#NAME?</v>
      </c>
      <c r="AW30" s="929" t="e">
        <f t="shared" ca="1" si="5"/>
        <v>#NAME?</v>
      </c>
      <c r="AX30" s="929" t="e">
        <f t="shared" ca="1" si="5"/>
        <v>#NAME?</v>
      </c>
      <c r="AY30" s="930" t="e">
        <f t="shared" ca="1" si="5"/>
        <v>#NAME?</v>
      </c>
    </row>
    <row r="31" spans="1:51">
      <c r="C31" s="925" t="s">
        <v>47</v>
      </c>
      <c r="D31" s="926"/>
      <c r="E31" s="926"/>
      <c r="F31" s="926"/>
      <c r="G31" s="926"/>
      <c r="H31" s="926"/>
      <c r="I31" s="926"/>
      <c r="J31" s="926"/>
      <c r="K31" s="926"/>
      <c r="L31" s="926"/>
      <c r="M31" s="926"/>
      <c r="N31" s="926"/>
      <c r="O31" s="926"/>
      <c r="P31" s="929"/>
      <c r="Q31" s="929"/>
      <c r="R31" s="929"/>
      <c r="S31" s="929"/>
      <c r="T31" s="929"/>
      <c r="U31" s="929" t="e">
        <f ca="1">SUM(J16:U16)/AVERAGEIF('Balance Sheet'!A6:M6,1,'Balance Sheet'!A15:M15)</f>
        <v>#NAME?</v>
      </c>
      <c r="V31" s="929" t="e">
        <f ca="1">SUM(K16:V16)/AVERAGEIF('Balance Sheet'!B6:N6,1,'Balance Sheet'!B15:N15)</f>
        <v>#NAME?</v>
      </c>
      <c r="W31" s="929" t="e">
        <f ca="1">SUM(L16:W16)/AVERAGEIF('Balance Sheet'!C6:O6,1,'Balance Sheet'!C15:O15)</f>
        <v>#NAME?</v>
      </c>
      <c r="X31" s="929" t="e">
        <f ca="1">SUM(M16:X16)/AVERAGEIF('Balance Sheet'!D6:P6,1,'Balance Sheet'!D15:P15)</f>
        <v>#NAME?</v>
      </c>
      <c r="Y31" s="929" t="e">
        <f ca="1">SUM(N16:Y16)/AVERAGEIF('Balance Sheet'!E6:Q6,1,'Balance Sheet'!E15:Q15)</f>
        <v>#NAME?</v>
      </c>
      <c r="Z31" s="929" t="e">
        <f ca="1">SUM(O16:Z16)/AVERAGEIF('Balance Sheet'!F6:R6,1,'Balance Sheet'!F15:R15)</f>
        <v>#NAME?</v>
      </c>
      <c r="AA31" s="929" t="e">
        <f ca="1">SUM(P16:AA16)/AVERAGEIF('Balance Sheet'!G6:S6,1,'Balance Sheet'!G15:S15)</f>
        <v>#NAME?</v>
      </c>
      <c r="AB31" s="929" t="e">
        <f ca="1">SUM(Q16:AB16)/AVERAGEIF('Balance Sheet'!H6:T6,1,'Balance Sheet'!H15:T15)</f>
        <v>#NAME?</v>
      </c>
      <c r="AC31" s="929" t="e">
        <f ca="1">SUM(R16:AC16)/AVERAGEIF('Balance Sheet'!I6:U6,1,'Balance Sheet'!I15:U15)</f>
        <v>#NAME?</v>
      </c>
      <c r="AD31" s="929" t="e">
        <f ca="1">SUM(S16:AD16)/AVERAGEIF('Balance Sheet'!J6:V6,1,'Balance Sheet'!J15:V15)</f>
        <v>#NAME?</v>
      </c>
      <c r="AE31" s="929" t="e">
        <f ca="1">SUM(T16:AE16)/AVERAGEIF('Balance Sheet'!K6:W6,1,'Balance Sheet'!K15:W15)</f>
        <v>#NAME?</v>
      </c>
      <c r="AF31" s="929" t="e">
        <f ca="1">SUM(U16:AF16)/AVERAGEIF('Balance Sheet'!L6:X6,1,'Balance Sheet'!L15:X15)</f>
        <v>#NAME?</v>
      </c>
      <c r="AG31" s="929" t="e">
        <f ca="1">SUM(V16:AG16)/AVERAGEIF('Balance Sheet'!M6:Y6,1,'Balance Sheet'!M15:Y15)</f>
        <v>#NAME?</v>
      </c>
      <c r="AH31" s="929" t="e">
        <f ca="1">SUM(W16:AH16)/AVERAGEIF('Balance Sheet'!N6:Z6,1,'Balance Sheet'!N15:Z15)</f>
        <v>#NAME?</v>
      </c>
      <c r="AI31" s="929" t="e">
        <f ca="1">SUM(X16:AI16)/AVERAGEIF('Balance Sheet'!O6:AA6,1,'Balance Sheet'!O15:AA15)</f>
        <v>#NAME?</v>
      </c>
      <c r="AJ31" s="929" t="e">
        <f ca="1">SUM(Y16:AJ16)/AVERAGEIF('Balance Sheet'!P6:AB6,1,'Balance Sheet'!P15:AB15)</f>
        <v>#NAME?</v>
      </c>
      <c r="AK31" s="929" t="e">
        <f ca="1">SUM(Z16:AK16)/AVERAGEIF('Balance Sheet'!Q6:AC6,1,'Balance Sheet'!Q15:AC15)</f>
        <v>#NAME?</v>
      </c>
      <c r="AL31" s="929" t="e">
        <f ca="1">SUM(AA16:AL16)/AVERAGEIF('Balance Sheet'!R6:AD6,1,'Balance Sheet'!R15:AD15)</f>
        <v>#NAME?</v>
      </c>
      <c r="AM31" s="929" t="e">
        <f ca="1">SUM(AB16:AM16)/AVERAGEIF('Balance Sheet'!S6:AE6,1,'Balance Sheet'!S15:AE15)</f>
        <v>#NAME?</v>
      </c>
      <c r="AN31" s="929" t="e">
        <f ca="1">SUM(AC16:AN16)/AVERAGEIF('Balance Sheet'!T6:AF6,1,'Balance Sheet'!T15:AF15)</f>
        <v>#NAME?</v>
      </c>
      <c r="AO31" s="929" t="e">
        <f ca="1">SUM(AD16:AO16)/AVERAGEIF('Balance Sheet'!U6:AG6,1,'Balance Sheet'!U15:AG15)</f>
        <v>#NAME?</v>
      </c>
      <c r="AP31" s="929" t="e">
        <f ca="1">SUM(AE16:AP16)/AVERAGEIF('Balance Sheet'!V6:AH6,1,'Balance Sheet'!V15:AH15)</f>
        <v>#NAME?</v>
      </c>
      <c r="AQ31" s="929" t="e">
        <f ca="1">SUM(AF16:AQ16)/AVERAGEIF('Balance Sheet'!W6:AI6,1,'Balance Sheet'!W15:AI15)</f>
        <v>#NAME?</v>
      </c>
      <c r="AR31" s="929" t="e">
        <f ca="1">SUM(AG16:AR16)/AVERAGEIF('Balance Sheet'!X6:AJ6,1,'Balance Sheet'!X15:AJ15)</f>
        <v>#NAME?</v>
      </c>
      <c r="AS31" s="929" t="e">
        <f ca="1">SUM(AH16:AS16)/AVERAGEIF('Balance Sheet'!Y6:AK6,1,'Balance Sheet'!Y15:AK15)</f>
        <v>#NAME?</v>
      </c>
      <c r="AT31" s="929" t="e">
        <f ca="1">SUM(AI16:AT16)/AVERAGEIF('Balance Sheet'!Z6:AL6,1,'Balance Sheet'!Z15:AL15)</f>
        <v>#NAME?</v>
      </c>
      <c r="AU31" s="929" t="e">
        <f ca="1">SUM(AJ16:AU16)/AVERAGEIF('Balance Sheet'!AA6:AM6,1,'Balance Sheet'!AA15:AM15)</f>
        <v>#NAME?</v>
      </c>
      <c r="AV31" s="929" t="e">
        <f ca="1">SUM(AK16:AV16)/AVERAGEIF('Balance Sheet'!AB6:AN6,1,'Balance Sheet'!AB15:AN15)</f>
        <v>#NAME?</v>
      </c>
      <c r="AW31" s="929" t="e">
        <f ca="1">SUM(AL16:AW16)/AVERAGEIF('Balance Sheet'!AC6:AO6,1,'Balance Sheet'!AC15:AO15)</f>
        <v>#NAME?</v>
      </c>
      <c r="AX31" s="929" t="e">
        <f ca="1">SUM(AM16:AX16)/AVERAGEIF('Balance Sheet'!AD6:AP6,1,'Balance Sheet'!AD15:AP15)</f>
        <v>#NAME?</v>
      </c>
      <c r="AY31" s="930" t="e">
        <f ca="1">SUM(AN16:AY16)/AVERAGEIF('Balance Sheet'!AE6:AQ6,1,'Balance Sheet'!AE15:AQ15)</f>
        <v>#NAME?</v>
      </c>
    </row>
    <row r="32" spans="1:51">
      <c r="C32" s="266" t="s">
        <v>102</v>
      </c>
      <c r="D32" s="851"/>
      <c r="E32" s="851"/>
      <c r="F32" s="851"/>
      <c r="G32" s="851"/>
      <c r="H32" s="851"/>
      <c r="I32" s="851"/>
      <c r="J32" s="851"/>
      <c r="K32" s="851"/>
      <c r="L32" s="851"/>
      <c r="M32" s="851"/>
      <c r="N32" s="851"/>
      <c r="O32" s="851"/>
      <c r="P32" s="274"/>
      <c r="Q32" s="274"/>
      <c r="R32" s="274"/>
      <c r="S32" s="274"/>
      <c r="T32" s="274"/>
      <c r="U32" s="274" t="e">
        <f ca="1">SUM(J17:U17)/AVERAGEIF('Balance Sheet'!A6:M6,1,'Balance Sheet'!A15:M15)</f>
        <v>#NAME?</v>
      </c>
      <c r="V32" s="274" t="e">
        <f ca="1">SUM(K17:V17)/AVERAGEIF('Balance Sheet'!B6:N6,1,'Balance Sheet'!B15:N15)</f>
        <v>#NAME?</v>
      </c>
      <c r="W32" s="274" t="e">
        <f ca="1">SUM(L17:W17)/AVERAGEIF('Balance Sheet'!C6:O6,1,'Balance Sheet'!C15:O15)</f>
        <v>#NAME?</v>
      </c>
      <c r="X32" s="274" t="e">
        <f ca="1">SUM(M17:X17)/AVERAGEIF('Balance Sheet'!D6:P6,1,'Balance Sheet'!D15:P15)</f>
        <v>#NAME?</v>
      </c>
      <c r="Y32" s="274" t="e">
        <f ca="1">SUM(N17:Y17)/AVERAGEIF('Balance Sheet'!E6:Q6,1,'Balance Sheet'!E15:Q15)</f>
        <v>#NAME?</v>
      </c>
      <c r="Z32" s="274" t="e">
        <f ca="1">SUM(O17:Z17)/AVERAGEIF('Balance Sheet'!F6:R6,1,'Balance Sheet'!F15:R15)</f>
        <v>#NAME?</v>
      </c>
      <c r="AA32" s="274" t="e">
        <f ca="1">SUM(P17:AA17)/AVERAGEIF('Balance Sheet'!G6:S6,1,'Balance Sheet'!G15:S15)</f>
        <v>#NAME?</v>
      </c>
      <c r="AB32" s="274" t="e">
        <f ca="1">SUM(Q17:AB17)/AVERAGEIF('Balance Sheet'!H6:T6,1,'Balance Sheet'!H15:T15)</f>
        <v>#NAME?</v>
      </c>
      <c r="AC32" s="274" t="e">
        <f ca="1">SUM(R17:AC17)/AVERAGEIF('Balance Sheet'!I6:U6,1,'Balance Sheet'!I15:U15)</f>
        <v>#NAME?</v>
      </c>
      <c r="AD32" s="274" t="e">
        <f ca="1">SUM(S17:AD17)/AVERAGEIF('Balance Sheet'!J6:V6,1,'Balance Sheet'!J15:V15)</f>
        <v>#NAME?</v>
      </c>
      <c r="AE32" s="274" t="e">
        <f ca="1">SUM(T17:AE17)/AVERAGEIF('Balance Sheet'!K6:W6,1,'Balance Sheet'!K15:W15)</f>
        <v>#NAME?</v>
      </c>
      <c r="AF32" s="274" t="e">
        <f ca="1">SUM(U17:AF17)/AVERAGEIF('Balance Sheet'!L6:X6,1,'Balance Sheet'!L15:X15)</f>
        <v>#NAME?</v>
      </c>
      <c r="AG32" s="274" t="e">
        <f ca="1">SUM(V17:AG17)/AVERAGEIF('Balance Sheet'!M6:Y6,1,'Balance Sheet'!M15:Y15)</f>
        <v>#NAME?</v>
      </c>
      <c r="AH32" s="274" t="e">
        <f ca="1">SUM(W17:AH17)/AVERAGEIF('Balance Sheet'!N6:Z6,1,'Balance Sheet'!N15:Z15)</f>
        <v>#NAME?</v>
      </c>
      <c r="AI32" s="274" t="e">
        <f ca="1">SUM(X17:AI17)/AVERAGEIF('Balance Sheet'!O6:AA6,1,'Balance Sheet'!O15:AA15)</f>
        <v>#NAME?</v>
      </c>
      <c r="AJ32" s="274" t="e">
        <f ca="1">SUM(Y17:AJ17)/AVERAGEIF('Balance Sheet'!P6:AB6,1,'Balance Sheet'!P15:AB15)</f>
        <v>#NAME?</v>
      </c>
      <c r="AK32" s="274" t="e">
        <f ca="1">SUM(Z17:AK17)/AVERAGEIF('Balance Sheet'!Q6:AC6,1,'Balance Sheet'!Q15:AC15)</f>
        <v>#NAME?</v>
      </c>
      <c r="AL32" s="274" t="e">
        <f ca="1">SUM(AA17:AL17)/AVERAGEIF('Balance Sheet'!R6:AD6,1,'Balance Sheet'!R15:AD15)</f>
        <v>#NAME?</v>
      </c>
      <c r="AM32" s="274" t="e">
        <f ca="1">SUM(AB17:AM17)/AVERAGEIF('Balance Sheet'!S6:AE6,1,'Balance Sheet'!S15:AE15)</f>
        <v>#NAME?</v>
      </c>
      <c r="AN32" s="274" t="e">
        <f ca="1">SUM(AC17:AN17)/AVERAGEIF('Balance Sheet'!T6:AF6,1,'Balance Sheet'!T15:AF15)</f>
        <v>#NAME?</v>
      </c>
      <c r="AO32" s="274" t="e">
        <f ca="1">SUM(AD17:AO17)/AVERAGEIF('Balance Sheet'!U6:AG6,1,'Balance Sheet'!U15:AG15)</f>
        <v>#NAME?</v>
      </c>
      <c r="AP32" s="274" t="e">
        <f ca="1">SUM(AE17:AP17)/AVERAGEIF('Balance Sheet'!V6:AH6,1,'Balance Sheet'!V15:AH15)</f>
        <v>#NAME?</v>
      </c>
      <c r="AQ32" s="274" t="e">
        <f ca="1">SUM(AF17:AQ17)/AVERAGEIF('Balance Sheet'!W6:AI6,1,'Balance Sheet'!W15:AI15)</f>
        <v>#NAME?</v>
      </c>
      <c r="AR32" s="274" t="e">
        <f ca="1">SUM(AG17:AR17)/AVERAGEIF('Balance Sheet'!X6:AJ6,1,'Balance Sheet'!X15:AJ15)</f>
        <v>#NAME?</v>
      </c>
      <c r="AS32" s="274" t="e">
        <f ca="1">SUM(AH17:AS17)/AVERAGEIF('Balance Sheet'!Y6:AK6,1,'Balance Sheet'!Y15:AK15)</f>
        <v>#NAME?</v>
      </c>
      <c r="AT32" s="274" t="e">
        <f ca="1">SUM(AI17:AT17)/AVERAGEIF('Balance Sheet'!Z6:AL6,1,'Balance Sheet'!Z15:AL15)</f>
        <v>#NAME?</v>
      </c>
      <c r="AU32" s="274" t="e">
        <f ca="1">SUM(AJ17:AU17)/AVERAGEIF('Balance Sheet'!AA6:AM6,1,'Balance Sheet'!AA15:AM15)</f>
        <v>#NAME?</v>
      </c>
      <c r="AV32" s="274" t="e">
        <f ca="1">SUM(AK17:AV17)/AVERAGEIF('Balance Sheet'!AB6:AN6,1,'Balance Sheet'!AB15:AN15)</f>
        <v>#NAME?</v>
      </c>
      <c r="AW32" s="274" t="e">
        <f ca="1">SUM(AL17:AW17)/AVERAGEIF('Balance Sheet'!AC6:AO6,1,'Balance Sheet'!AC15:AO15)</f>
        <v>#NAME?</v>
      </c>
      <c r="AX32" s="274" t="e">
        <f ca="1">SUM(AM17:AX17)/AVERAGEIF('Balance Sheet'!AD6:AP6,1,'Balance Sheet'!AD15:AP15)</f>
        <v>#NAME?</v>
      </c>
      <c r="AY32" s="275" t="e">
        <f ca="1">SUM(AN17:AY17)/AVERAGEIF('Balance Sheet'!AE6:AQ6,1,'Balance Sheet'!AE15:AQ15)</f>
        <v>#NAME?</v>
      </c>
    </row>
    <row r="33" spans="3:51" ht="15.75" thickBot="1">
      <c r="C33" s="276" t="s">
        <v>104</v>
      </c>
      <c r="D33" s="855"/>
      <c r="E33" s="855"/>
      <c r="F33" s="855"/>
      <c r="G33" s="855"/>
      <c r="H33" s="855"/>
      <c r="I33" s="855"/>
      <c r="J33" s="855"/>
      <c r="K33" s="855"/>
      <c r="L33" s="855"/>
      <c r="M33" s="855"/>
      <c r="N33" s="855"/>
      <c r="O33" s="855"/>
      <c r="P33" s="277">
        <f t="shared" ref="P33:AX33" si="6">+P31-P32</f>
        <v>0</v>
      </c>
      <c r="Q33" s="277">
        <f t="shared" si="6"/>
        <v>0</v>
      </c>
      <c r="R33" s="277">
        <f t="shared" si="6"/>
        <v>0</v>
      </c>
      <c r="S33" s="277">
        <f t="shared" si="6"/>
        <v>0</v>
      </c>
      <c r="T33" s="277">
        <f t="shared" si="6"/>
        <v>0</v>
      </c>
      <c r="U33" s="277" t="e">
        <f t="shared" ca="1" si="6"/>
        <v>#NAME?</v>
      </c>
      <c r="V33" s="277" t="e">
        <f t="shared" ca="1" si="6"/>
        <v>#NAME?</v>
      </c>
      <c r="W33" s="277" t="e">
        <f t="shared" ca="1" si="6"/>
        <v>#NAME?</v>
      </c>
      <c r="X33" s="277" t="e">
        <f t="shared" ca="1" si="6"/>
        <v>#NAME?</v>
      </c>
      <c r="Y33" s="277" t="e">
        <f t="shared" ca="1" si="6"/>
        <v>#NAME?</v>
      </c>
      <c r="Z33" s="277" t="e">
        <f t="shared" ca="1" si="6"/>
        <v>#NAME?</v>
      </c>
      <c r="AA33" s="277" t="e">
        <f t="shared" ca="1" si="6"/>
        <v>#NAME?</v>
      </c>
      <c r="AB33" s="277" t="e">
        <f t="shared" ca="1" si="6"/>
        <v>#NAME?</v>
      </c>
      <c r="AC33" s="277" t="e">
        <f t="shared" ca="1" si="6"/>
        <v>#NAME?</v>
      </c>
      <c r="AD33" s="277" t="e">
        <f t="shared" ca="1" si="6"/>
        <v>#NAME?</v>
      </c>
      <c r="AE33" s="277" t="e">
        <f t="shared" ca="1" si="6"/>
        <v>#NAME?</v>
      </c>
      <c r="AF33" s="277" t="e">
        <f t="shared" ca="1" si="6"/>
        <v>#NAME?</v>
      </c>
      <c r="AG33" s="277" t="e">
        <f t="shared" ca="1" si="6"/>
        <v>#NAME?</v>
      </c>
      <c r="AH33" s="277" t="e">
        <f t="shared" ca="1" si="6"/>
        <v>#NAME?</v>
      </c>
      <c r="AI33" s="277" t="e">
        <f t="shared" ca="1" si="6"/>
        <v>#NAME?</v>
      </c>
      <c r="AJ33" s="277" t="e">
        <f t="shared" ca="1" si="6"/>
        <v>#NAME?</v>
      </c>
      <c r="AK33" s="277" t="e">
        <f t="shared" ca="1" si="6"/>
        <v>#NAME?</v>
      </c>
      <c r="AL33" s="277" t="e">
        <f t="shared" ca="1" si="6"/>
        <v>#NAME?</v>
      </c>
      <c r="AM33" s="277" t="e">
        <f t="shared" ca="1" si="6"/>
        <v>#NAME?</v>
      </c>
      <c r="AN33" s="277" t="e">
        <f t="shared" ca="1" si="6"/>
        <v>#NAME?</v>
      </c>
      <c r="AO33" s="277" t="e">
        <f t="shared" ca="1" si="6"/>
        <v>#NAME?</v>
      </c>
      <c r="AP33" s="277" t="e">
        <f t="shared" ca="1" si="6"/>
        <v>#NAME?</v>
      </c>
      <c r="AQ33" s="277" t="e">
        <f t="shared" ca="1" si="6"/>
        <v>#NAME?</v>
      </c>
      <c r="AR33" s="277" t="e">
        <f t="shared" ca="1" si="6"/>
        <v>#NAME?</v>
      </c>
      <c r="AS33" s="277" t="e">
        <f t="shared" ca="1" si="6"/>
        <v>#NAME?</v>
      </c>
      <c r="AT33" s="277" t="e">
        <f t="shared" ca="1" si="6"/>
        <v>#NAME?</v>
      </c>
      <c r="AU33" s="277" t="e">
        <f t="shared" ca="1" si="6"/>
        <v>#NAME?</v>
      </c>
      <c r="AV33" s="277" t="e">
        <f t="shared" ca="1" si="6"/>
        <v>#NAME?</v>
      </c>
      <c r="AW33" s="277" t="e">
        <f t="shared" ca="1" si="6"/>
        <v>#NAME?</v>
      </c>
      <c r="AX33" s="277" t="e">
        <f t="shared" ca="1" si="6"/>
        <v>#NAME?</v>
      </c>
      <c r="AY33" s="277" t="e">
        <f ca="1">+AY31-AY32</f>
        <v>#NAME?</v>
      </c>
    </row>
  </sheetData>
  <conditionalFormatting sqref="P6:AY6">
    <cfRule type="expression" dxfId="209" priority="2">
      <formula>P3="Audited"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79998168889431442"/>
  </sheetPr>
  <dimension ref="A1:AM13"/>
  <sheetViews>
    <sheetView showGridLines="0" zoomScale="85" zoomScaleNormal="85" workbookViewId="0">
      <pane xSplit="3" ySplit="6" topLeftCell="D7" activePane="bottomRight" state="frozen"/>
      <selection pane="topRight" activeCell="D1" sqref="D1"/>
      <selection pane="bottomLeft" activeCell="A7" sqref="A7"/>
      <selection pane="bottomRight"/>
    </sheetView>
  </sheetViews>
  <sheetFormatPr defaultRowHeight="15" outlineLevelCol="1"/>
  <cols>
    <col min="1" max="1" width="2.85546875" style="245" customWidth="1"/>
    <col min="2" max="2" width="2.42578125" style="245" customWidth="1"/>
    <col min="3" max="3" width="50.7109375" bestFit="1" customWidth="1"/>
    <col min="4" max="27" width="14.28515625" hidden="1" customWidth="1" outlineLevel="1"/>
    <col min="28" max="28" width="14.28515625" customWidth="1" collapsed="1"/>
    <col min="29" max="39" width="14.28515625" customWidth="1"/>
  </cols>
  <sheetData>
    <row r="1" spans="1:39" ht="22.5">
      <c r="C1" s="246"/>
    </row>
    <row r="2" spans="1:39" ht="18.75">
      <c r="C2" s="247" t="e">
        <f ca="1">UPPER('Balance Sheet'!C2&amp;" Organizational Data")</f>
        <v>#NAME?</v>
      </c>
      <c r="AD2" s="278"/>
      <c r="AE2" s="278"/>
      <c r="AF2" s="278"/>
      <c r="AG2" s="278"/>
      <c r="AH2" s="278"/>
      <c r="AI2" s="278"/>
    </row>
    <row r="3" spans="1:39" ht="18">
      <c r="C3" s="152">
        <f>AM6</f>
        <v>4</v>
      </c>
      <c r="AD3" s="279"/>
      <c r="AE3" s="279"/>
      <c r="AF3" s="279"/>
      <c r="AG3" s="279"/>
      <c r="AH3" s="279"/>
      <c r="AI3" s="279"/>
    </row>
    <row r="4" spans="1:39" ht="15.75">
      <c r="C4" s="153"/>
      <c r="D4" s="245" t="e">
        <f>DATA_FORMATTING!E3</f>
        <v>#VALUE!</v>
      </c>
      <c r="E4" s="245" t="e">
        <f>DATA_FORMATTING!F3</f>
        <v>#VALUE!</v>
      </c>
      <c r="F4" s="245" t="e">
        <f>DATA_FORMATTING!G3</f>
        <v>#VALUE!</v>
      </c>
      <c r="G4" s="245" t="e">
        <f>DATA_FORMATTING!H3</f>
        <v>#VALUE!</v>
      </c>
      <c r="H4" s="245" t="e">
        <f>DATA_FORMATTING!I3</f>
        <v>#VALUE!</v>
      </c>
      <c r="I4" s="245" t="e">
        <f>DATA_FORMATTING!J3</f>
        <v>#VALUE!</v>
      </c>
      <c r="J4" s="245" t="e">
        <f>DATA_FORMATTING!K3</f>
        <v>#VALUE!</v>
      </c>
      <c r="K4" s="245" t="e">
        <f>DATA_FORMATTING!L3</f>
        <v>#VALUE!</v>
      </c>
      <c r="L4" s="245" t="e">
        <f>DATA_FORMATTING!M3</f>
        <v>#VALUE!</v>
      </c>
      <c r="M4" s="245" t="e">
        <f>DATA_FORMATTING!N3</f>
        <v>#VALUE!</v>
      </c>
      <c r="N4" s="245" t="e">
        <f>DATA_FORMATTING!O3</f>
        <v>#VALUE!</v>
      </c>
      <c r="O4" s="245" t="e">
        <f>DATA_FORMATTING!P3</f>
        <v>#VALUE!</v>
      </c>
      <c r="P4" s="245" t="e">
        <f>DATA_FORMATTING!Q3</f>
        <v>#VALUE!</v>
      </c>
      <c r="Q4" s="245" t="e">
        <f>DATA_FORMATTING!R3</f>
        <v>#VALUE!</v>
      </c>
      <c r="R4" s="245" t="e">
        <f>DATA_FORMATTING!S3</f>
        <v>#VALUE!</v>
      </c>
      <c r="S4" s="245" t="e">
        <f>DATA_FORMATTING!T3</f>
        <v>#VALUE!</v>
      </c>
      <c r="T4" s="245" t="e">
        <f>DATA_FORMATTING!U3</f>
        <v>#VALUE!</v>
      </c>
      <c r="U4" s="245" t="e">
        <f>DATA_FORMATTING!V3</f>
        <v>#VALUE!</v>
      </c>
      <c r="V4" s="245" t="e">
        <f>DATA_FORMATTING!W3</f>
        <v>#VALUE!</v>
      </c>
      <c r="W4" s="245" t="e">
        <f>DATA_FORMATTING!X3</f>
        <v>#VALUE!</v>
      </c>
      <c r="X4" s="245" t="e">
        <f>DATA_FORMATTING!Y3</f>
        <v>#VALUE!</v>
      </c>
      <c r="Y4" s="245" t="e">
        <f>DATA_FORMATTING!Z3</f>
        <v>#VALUE!</v>
      </c>
      <c r="Z4" s="245" t="e">
        <f>DATA_FORMATTING!AA3</f>
        <v>#VALUE!</v>
      </c>
      <c r="AA4" s="245" t="e">
        <f>DATA_FORMATTING!AB3</f>
        <v>#VALUE!</v>
      </c>
      <c r="AB4" s="245" t="e">
        <f>DATA_FORMATTING!AC3</f>
        <v>#VALUE!</v>
      </c>
      <c r="AC4" s="245" t="e">
        <f>DATA_FORMATTING!AD3</f>
        <v>#VALUE!</v>
      </c>
      <c r="AD4" s="245" t="e">
        <f>DATA_FORMATTING!AE3</f>
        <v>#VALUE!</v>
      </c>
      <c r="AE4" s="245" t="e">
        <f>DATA_FORMATTING!AF3</f>
        <v>#VALUE!</v>
      </c>
      <c r="AF4" s="245" t="e">
        <f>DATA_FORMATTING!AG3</f>
        <v>#VALUE!</v>
      </c>
      <c r="AG4" s="245" t="e">
        <f>DATA_FORMATTING!AH3</f>
        <v>#VALUE!</v>
      </c>
      <c r="AH4" s="245" t="e">
        <f>DATA_FORMATTING!AI3</f>
        <v>#VALUE!</v>
      </c>
      <c r="AI4" s="245" t="e">
        <f>DATA_FORMATTING!AJ3</f>
        <v>#VALUE!</v>
      </c>
      <c r="AJ4" s="245" t="e">
        <f>DATA_FORMATTING!AK3</f>
        <v>#VALUE!</v>
      </c>
      <c r="AK4" s="245" t="e">
        <f>DATA_FORMATTING!AL3</f>
        <v>#VALUE!</v>
      </c>
      <c r="AL4" s="245" t="e">
        <f>DATA_FORMATTING!AM3</f>
        <v>#VALUE!</v>
      </c>
      <c r="AM4" s="245" t="e">
        <f>DATA_FORMATTING!AN3</f>
        <v>#VALUE!</v>
      </c>
    </row>
    <row r="5" spans="1:39" ht="19.5" thickBot="1">
      <c r="A5" s="245" t="s">
        <v>304</v>
      </c>
      <c r="B5" s="260" t="s">
        <v>302</v>
      </c>
      <c r="C5" s="280"/>
      <c r="D5" s="248"/>
      <c r="E5" s="248"/>
      <c r="F5" s="248"/>
      <c r="G5" s="248"/>
      <c r="H5" s="248"/>
      <c r="I5" s="248"/>
      <c r="J5" s="248"/>
      <c r="K5" s="248"/>
      <c r="L5" s="248"/>
      <c r="M5" s="248"/>
      <c r="N5" s="248"/>
      <c r="O5" s="248"/>
      <c r="P5" s="248"/>
      <c r="Q5" s="248"/>
      <c r="R5" s="248"/>
      <c r="S5" s="248"/>
      <c r="T5" s="248"/>
      <c r="U5" s="248"/>
      <c r="V5" s="248"/>
      <c r="W5" s="248"/>
      <c r="X5" s="248"/>
      <c r="Y5" s="248"/>
      <c r="Z5" s="248"/>
      <c r="AA5" s="248"/>
      <c r="AB5" s="248"/>
      <c r="AC5" s="248"/>
      <c r="AD5" s="248"/>
      <c r="AE5" s="248"/>
      <c r="AF5" s="248"/>
      <c r="AG5" s="248"/>
      <c r="AH5" s="248"/>
      <c r="AI5" s="248"/>
      <c r="AJ5" s="248"/>
      <c r="AK5" s="248"/>
      <c r="AL5" s="248"/>
      <c r="AM5" s="248"/>
    </row>
    <row r="6" spans="1:39" ht="15.75" thickBot="1">
      <c r="A6" s="245">
        <v>1</v>
      </c>
      <c r="C6" s="261"/>
      <c r="D6" s="249" t="str">
        <f>DATA_FORMATTING!E7</f>
        <v/>
      </c>
      <c r="E6" s="249" t="str">
        <f>DATA_FORMATTING!F7</f>
        <v/>
      </c>
      <c r="F6" s="249" t="str">
        <f>DATA_FORMATTING!G7</f>
        <v/>
      </c>
      <c r="G6" s="249" t="str">
        <f>DATA_FORMATTING!H7</f>
        <v/>
      </c>
      <c r="H6" s="249" t="str">
        <f>DATA_FORMATTING!I7</f>
        <v/>
      </c>
      <c r="I6" s="249" t="str">
        <f>DATA_FORMATTING!J7</f>
        <v/>
      </c>
      <c r="J6" s="249" t="str">
        <f>DATA_FORMATTING!K7</f>
        <v/>
      </c>
      <c r="K6" s="249" t="str">
        <f>DATA_FORMATTING!L7</f>
        <v/>
      </c>
      <c r="L6" s="249" t="str">
        <f>DATA_FORMATTING!M7</f>
        <v/>
      </c>
      <c r="M6" s="249" t="str">
        <f>DATA_FORMATTING!N7</f>
        <v/>
      </c>
      <c r="N6" s="249" t="str">
        <f>DATA_FORMATTING!O7</f>
        <v/>
      </c>
      <c r="O6" s="249" t="str">
        <f>DATA_FORMATTING!P7</f>
        <v/>
      </c>
      <c r="P6" s="249" t="str">
        <f>DATA_FORMATTING!Q7</f>
        <v/>
      </c>
      <c r="Q6" s="249" t="str">
        <f>DATA_FORMATTING!R7</f>
        <v/>
      </c>
      <c r="R6" s="249" t="str">
        <f>DATA_FORMATTING!S7</f>
        <v/>
      </c>
      <c r="S6" s="249" t="str">
        <f>DATA_FORMATTING!T7</f>
        <v/>
      </c>
      <c r="T6" s="249" t="str">
        <f>DATA_FORMATTING!U7</f>
        <v/>
      </c>
      <c r="U6" s="249" t="str">
        <f>DATA_FORMATTING!V7</f>
        <v/>
      </c>
      <c r="V6" s="249" t="str">
        <f>DATA_FORMATTING!W7</f>
        <v/>
      </c>
      <c r="W6" s="249" t="str">
        <f>DATA_FORMATTING!X7</f>
        <v/>
      </c>
      <c r="X6" s="249" t="str">
        <f>DATA_FORMATTING!Y7</f>
        <v/>
      </c>
      <c r="Y6" s="249" t="str">
        <f>DATA_FORMATTING!Z7</f>
        <v/>
      </c>
      <c r="Z6" s="249" t="str">
        <f>DATA_FORMATTING!AA7</f>
        <v/>
      </c>
      <c r="AA6" s="249" t="str">
        <f>DATA_FORMATTING!AB7</f>
        <v/>
      </c>
      <c r="AB6" s="249" t="str">
        <f>DATA_FORMATTING!AC7</f>
        <v/>
      </c>
      <c r="AC6" s="249" t="str">
        <f>DATA_FORMATTING!AD7</f>
        <v/>
      </c>
      <c r="AD6" s="249" t="str">
        <f>DATA_FORMATTING!AE7</f>
        <v/>
      </c>
      <c r="AE6" s="249" t="str">
        <f>DATA_FORMATTING!AF7</f>
        <v/>
      </c>
      <c r="AF6" s="249" t="str">
        <f>DATA_FORMATTING!AG7</f>
        <v/>
      </c>
      <c r="AG6" s="249" t="str">
        <f>DATA_FORMATTING!AH7</f>
        <v/>
      </c>
      <c r="AH6" s="249" t="str">
        <f>DATA_FORMATTING!AI7</f>
        <v/>
      </c>
      <c r="AI6" s="249" t="str">
        <f>DATA_FORMATTING!AJ7</f>
        <v/>
      </c>
      <c r="AJ6" s="249" t="str">
        <f>DATA_FORMATTING!AK7</f>
        <v/>
      </c>
      <c r="AK6" s="249" t="str">
        <f>DATA_FORMATTING!AL7</f>
        <v/>
      </c>
      <c r="AL6" s="249" t="str">
        <f>DATA_FORMATTING!AM7</f>
        <v/>
      </c>
      <c r="AM6" s="250">
        <f>DATA_FORMATTING!AN7</f>
        <v>4</v>
      </c>
    </row>
    <row r="7" spans="1:39">
      <c r="A7" s="245">
        <v>2</v>
      </c>
      <c r="C7" s="281"/>
      <c r="D7" s="251" t="e">
        <f t="shared" ref="D7:AM7" si="0">IF(D4=YEAR(D6),"Audited","")</f>
        <v>#VALUE!</v>
      </c>
      <c r="E7" s="252" t="e">
        <f t="shared" si="0"/>
        <v>#VALUE!</v>
      </c>
      <c r="F7" s="252" t="e">
        <f t="shared" si="0"/>
        <v>#VALUE!</v>
      </c>
      <c r="G7" s="252" t="e">
        <f t="shared" si="0"/>
        <v>#VALUE!</v>
      </c>
      <c r="H7" s="253" t="e">
        <f t="shared" si="0"/>
        <v>#VALUE!</v>
      </c>
      <c r="I7" s="252" t="e">
        <f t="shared" si="0"/>
        <v>#VALUE!</v>
      </c>
      <c r="J7" s="252" t="e">
        <f t="shared" si="0"/>
        <v>#VALUE!</v>
      </c>
      <c r="K7" s="252" t="e">
        <f t="shared" si="0"/>
        <v>#VALUE!</v>
      </c>
      <c r="L7" s="252" t="e">
        <f t="shared" si="0"/>
        <v>#VALUE!</v>
      </c>
      <c r="M7" s="253" t="e">
        <f t="shared" si="0"/>
        <v>#VALUE!</v>
      </c>
      <c r="N7" s="252" t="e">
        <f t="shared" si="0"/>
        <v>#VALUE!</v>
      </c>
      <c r="O7" s="252" t="e">
        <f t="shared" si="0"/>
        <v>#VALUE!</v>
      </c>
      <c r="P7" s="252" t="e">
        <f t="shared" si="0"/>
        <v>#VALUE!</v>
      </c>
      <c r="Q7" s="252" t="e">
        <f t="shared" si="0"/>
        <v>#VALUE!</v>
      </c>
      <c r="R7" s="252" t="e">
        <f t="shared" si="0"/>
        <v>#VALUE!</v>
      </c>
      <c r="S7" s="252" t="e">
        <f t="shared" si="0"/>
        <v>#VALUE!</v>
      </c>
      <c r="T7" s="252" t="e">
        <f t="shared" si="0"/>
        <v>#VALUE!</v>
      </c>
      <c r="U7" s="252" t="e">
        <f t="shared" si="0"/>
        <v>#VALUE!</v>
      </c>
      <c r="V7" s="252" t="e">
        <f t="shared" si="0"/>
        <v>#VALUE!</v>
      </c>
      <c r="W7" s="252" t="e">
        <f t="shared" si="0"/>
        <v>#VALUE!</v>
      </c>
      <c r="X7" s="252" t="e">
        <f t="shared" si="0"/>
        <v>#VALUE!</v>
      </c>
      <c r="Y7" s="252" t="e">
        <f t="shared" si="0"/>
        <v>#VALUE!</v>
      </c>
      <c r="Z7" s="252" t="e">
        <f t="shared" si="0"/>
        <v>#VALUE!</v>
      </c>
      <c r="AA7" s="252" t="e">
        <f t="shared" si="0"/>
        <v>#VALUE!</v>
      </c>
      <c r="AB7" s="252" t="e">
        <f t="shared" si="0"/>
        <v>#VALUE!</v>
      </c>
      <c r="AC7" s="252" t="e">
        <f t="shared" si="0"/>
        <v>#VALUE!</v>
      </c>
      <c r="AD7" s="252" t="e">
        <f t="shared" si="0"/>
        <v>#VALUE!</v>
      </c>
      <c r="AE7" s="252" t="e">
        <f t="shared" si="0"/>
        <v>#VALUE!</v>
      </c>
      <c r="AF7" s="252" t="e">
        <f t="shared" si="0"/>
        <v>#VALUE!</v>
      </c>
      <c r="AG7" s="252" t="e">
        <f t="shared" si="0"/>
        <v>#VALUE!</v>
      </c>
      <c r="AH7" s="252" t="e">
        <f t="shared" si="0"/>
        <v>#VALUE!</v>
      </c>
      <c r="AI7" s="252" t="e">
        <f t="shared" si="0"/>
        <v>#VALUE!</v>
      </c>
      <c r="AJ7" s="252" t="e">
        <f t="shared" si="0"/>
        <v>#VALUE!</v>
      </c>
      <c r="AK7" s="252" t="e">
        <f t="shared" si="0"/>
        <v>#VALUE!</v>
      </c>
      <c r="AL7" s="252" t="e">
        <f t="shared" si="0"/>
        <v>#VALUE!</v>
      </c>
      <c r="AM7" s="254" t="e">
        <f t="shared" si="0"/>
        <v>#VALUE!</v>
      </c>
    </row>
    <row r="8" spans="1:39">
      <c r="A8" s="245">
        <v>3</v>
      </c>
      <c r="B8" s="260" t="e">
        <f>DATA_FORMATTING!EO11</f>
        <v>#NAME?</v>
      </c>
      <c r="C8" s="282" t="s">
        <v>69</v>
      </c>
      <c r="D8" s="255" t="e">
        <f>DATA_FORMATTING!EO124</f>
        <v>#NAME?</v>
      </c>
      <c r="E8" s="255" t="e">
        <f>DATA_FORMATTING!EP124</f>
        <v>#NAME?</v>
      </c>
      <c r="F8" s="255" t="e">
        <f>DATA_FORMATTING!EQ124</f>
        <v>#NAME?</v>
      </c>
      <c r="G8" s="255" t="e">
        <f>DATA_FORMATTING!ER124</f>
        <v>#NAME?</v>
      </c>
      <c r="H8" s="255" t="e">
        <f>DATA_FORMATTING!ES124</f>
        <v>#NAME?</v>
      </c>
      <c r="I8" s="255" t="e">
        <f>DATA_FORMATTING!ET124</f>
        <v>#NAME?</v>
      </c>
      <c r="J8" s="255" t="e">
        <f>DATA_FORMATTING!EU124</f>
        <v>#NAME?</v>
      </c>
      <c r="K8" s="255" t="e">
        <f>DATA_FORMATTING!EV124</f>
        <v>#NAME?</v>
      </c>
      <c r="L8" s="255" t="e">
        <f>DATA_FORMATTING!EW124</f>
        <v>#NAME?</v>
      </c>
      <c r="M8" s="255" t="e">
        <f>DATA_FORMATTING!EX124</f>
        <v>#NAME?</v>
      </c>
      <c r="N8" s="255" t="e">
        <f>DATA_FORMATTING!EY124</f>
        <v>#NAME?</v>
      </c>
      <c r="O8" s="255" t="e">
        <f>DATA_FORMATTING!EZ124</f>
        <v>#NAME?</v>
      </c>
      <c r="P8" s="255" t="e">
        <f>DATA_FORMATTING!FA124</f>
        <v>#NAME?</v>
      </c>
      <c r="Q8" s="255" t="e">
        <f>DATA_FORMATTING!FB124</f>
        <v>#NAME?</v>
      </c>
      <c r="R8" s="255" t="e">
        <f>DATA_FORMATTING!FC124</f>
        <v>#NAME?</v>
      </c>
      <c r="S8" s="255" t="e">
        <f>DATA_FORMATTING!FD124</f>
        <v>#NAME?</v>
      </c>
      <c r="T8" s="255" t="e">
        <f>DATA_FORMATTING!FE124</f>
        <v>#NAME?</v>
      </c>
      <c r="U8" s="255" t="e">
        <f>DATA_FORMATTING!FF124</f>
        <v>#NAME?</v>
      </c>
      <c r="V8" s="255" t="e">
        <f>DATA_FORMATTING!FG124</f>
        <v>#NAME?</v>
      </c>
      <c r="W8" s="255" t="e">
        <f>DATA_FORMATTING!FH124</f>
        <v>#NAME?</v>
      </c>
      <c r="X8" s="255" t="e">
        <f>DATA_FORMATTING!FI124</f>
        <v>#NAME?</v>
      </c>
      <c r="Y8" s="255" t="e">
        <f>DATA_FORMATTING!FJ124</f>
        <v>#NAME?</v>
      </c>
      <c r="Z8" s="255" t="e">
        <f>DATA_FORMATTING!FK124</f>
        <v>#NAME?</v>
      </c>
      <c r="AA8" s="255" t="e">
        <f>DATA_FORMATTING!FL124</f>
        <v>#NAME?</v>
      </c>
      <c r="AB8" s="255" t="e">
        <f>DATA_FORMATTING!FM124</f>
        <v>#NAME?</v>
      </c>
      <c r="AC8" s="255" t="e">
        <f>DATA_FORMATTING!FN124</f>
        <v>#NAME?</v>
      </c>
      <c r="AD8" s="255" t="e">
        <f>DATA_FORMATTING!FO124</f>
        <v>#NAME?</v>
      </c>
      <c r="AE8" s="255" t="e">
        <f>DATA_FORMATTING!FP124</f>
        <v>#NAME?</v>
      </c>
      <c r="AF8" s="255" t="e">
        <f>DATA_FORMATTING!FQ124</f>
        <v>#NAME?</v>
      </c>
      <c r="AG8" s="255" t="e">
        <f>DATA_FORMATTING!FR124</f>
        <v>#NAME?</v>
      </c>
      <c r="AH8" s="255" t="e">
        <f>DATA_FORMATTING!FS124</f>
        <v>#NAME?</v>
      </c>
      <c r="AI8" s="255" t="e">
        <f>DATA_FORMATTING!FT124</f>
        <v>#NAME?</v>
      </c>
      <c r="AJ8" s="255" t="e">
        <f>DATA_FORMATTING!FU124</f>
        <v>#NAME?</v>
      </c>
      <c r="AK8" s="255" t="e">
        <f>DATA_FORMATTING!FV124</f>
        <v>#NAME?</v>
      </c>
      <c r="AL8" s="255" t="e">
        <f>DATA_FORMATTING!FW124</f>
        <v>#NAME?</v>
      </c>
      <c r="AM8" s="256" t="e">
        <f>DATA_FORMATTING!FX124</f>
        <v>#NAME?</v>
      </c>
    </row>
    <row r="9" spans="1:39">
      <c r="A9" s="245">
        <v>4</v>
      </c>
      <c r="B9" s="260" t="e">
        <f>DATA_FORMATTING!EO12</f>
        <v>#NAME?</v>
      </c>
      <c r="C9" s="263" t="s">
        <v>74</v>
      </c>
      <c r="D9" s="51" t="e">
        <f>DATA_FORMATTING!EO125</f>
        <v>#NAME?</v>
      </c>
      <c r="E9" s="51" t="e">
        <f>DATA_FORMATTING!EP125</f>
        <v>#NAME?</v>
      </c>
      <c r="F9" s="51" t="e">
        <f>DATA_FORMATTING!EQ125</f>
        <v>#NAME?</v>
      </c>
      <c r="G9" s="51" t="e">
        <f>DATA_FORMATTING!ER125</f>
        <v>#NAME?</v>
      </c>
      <c r="H9" s="51" t="e">
        <f>DATA_FORMATTING!ES125</f>
        <v>#NAME?</v>
      </c>
      <c r="I9" s="51" t="e">
        <f>DATA_FORMATTING!ET125</f>
        <v>#NAME?</v>
      </c>
      <c r="J9" s="51" t="e">
        <f>DATA_FORMATTING!EU125</f>
        <v>#NAME?</v>
      </c>
      <c r="K9" s="51" t="e">
        <f>DATA_FORMATTING!EV125</f>
        <v>#NAME?</v>
      </c>
      <c r="L9" s="51" t="e">
        <f>DATA_FORMATTING!EW125</f>
        <v>#NAME?</v>
      </c>
      <c r="M9" s="51" t="e">
        <f>DATA_FORMATTING!EX125</f>
        <v>#NAME?</v>
      </c>
      <c r="N9" s="51" t="e">
        <f>DATA_FORMATTING!EY125</f>
        <v>#NAME?</v>
      </c>
      <c r="O9" s="51" t="e">
        <f>DATA_FORMATTING!EZ125</f>
        <v>#NAME?</v>
      </c>
      <c r="P9" s="51" t="e">
        <f>DATA_FORMATTING!FA125</f>
        <v>#NAME?</v>
      </c>
      <c r="Q9" s="51" t="e">
        <f>DATA_FORMATTING!FB125</f>
        <v>#NAME?</v>
      </c>
      <c r="R9" s="51" t="e">
        <f>DATA_FORMATTING!FC125</f>
        <v>#NAME?</v>
      </c>
      <c r="S9" s="51" t="e">
        <f>DATA_FORMATTING!FD125</f>
        <v>#NAME?</v>
      </c>
      <c r="T9" s="51" t="e">
        <f>DATA_FORMATTING!FE125</f>
        <v>#NAME?</v>
      </c>
      <c r="U9" s="51" t="e">
        <f>DATA_FORMATTING!FF125</f>
        <v>#NAME?</v>
      </c>
      <c r="V9" s="51" t="e">
        <f>DATA_FORMATTING!FG125</f>
        <v>#NAME?</v>
      </c>
      <c r="W9" s="51" t="e">
        <f>DATA_FORMATTING!FH125</f>
        <v>#NAME?</v>
      </c>
      <c r="X9" s="51" t="e">
        <f>DATA_FORMATTING!FI125</f>
        <v>#NAME?</v>
      </c>
      <c r="Y9" s="51" t="e">
        <f>DATA_FORMATTING!FJ125</f>
        <v>#NAME?</v>
      </c>
      <c r="Z9" s="51" t="e">
        <f>DATA_FORMATTING!FK125</f>
        <v>#NAME?</v>
      </c>
      <c r="AA9" s="51" t="e">
        <f>DATA_FORMATTING!FL125</f>
        <v>#NAME?</v>
      </c>
      <c r="AB9" s="51" t="e">
        <f>DATA_FORMATTING!FM125</f>
        <v>#NAME?</v>
      </c>
      <c r="AC9" s="51" t="e">
        <f>DATA_FORMATTING!FN125</f>
        <v>#NAME?</v>
      </c>
      <c r="AD9" s="51" t="e">
        <f>DATA_FORMATTING!FO125</f>
        <v>#NAME?</v>
      </c>
      <c r="AE9" s="51" t="e">
        <f>DATA_FORMATTING!FP125</f>
        <v>#NAME?</v>
      </c>
      <c r="AF9" s="51" t="e">
        <f>DATA_FORMATTING!FQ125</f>
        <v>#NAME?</v>
      </c>
      <c r="AG9" s="51" t="e">
        <f>DATA_FORMATTING!FR125</f>
        <v>#NAME?</v>
      </c>
      <c r="AH9" s="51" t="e">
        <f>DATA_FORMATTING!FS125</f>
        <v>#NAME?</v>
      </c>
      <c r="AI9" s="51" t="e">
        <f>DATA_FORMATTING!FT125</f>
        <v>#NAME?</v>
      </c>
      <c r="AJ9" s="51" t="e">
        <f>DATA_FORMATTING!FU125</f>
        <v>#NAME?</v>
      </c>
      <c r="AK9" s="51" t="e">
        <f>DATA_FORMATTING!FV125</f>
        <v>#NAME?</v>
      </c>
      <c r="AL9" s="51" t="e">
        <f>DATA_FORMATTING!FW125</f>
        <v>#NAME?</v>
      </c>
      <c r="AM9" s="257" t="e">
        <f>DATA_FORMATTING!FX125</f>
        <v>#NAME?</v>
      </c>
    </row>
    <row r="10" spans="1:39">
      <c r="A10" s="245">
        <v>5</v>
      </c>
      <c r="B10" s="260" t="e">
        <f>DATA_FORMATTING!EO13</f>
        <v>#NAME?</v>
      </c>
      <c r="C10" s="263" t="s">
        <v>79</v>
      </c>
      <c r="D10" s="51" t="e">
        <f>DATA_FORMATTING!EO126</f>
        <v>#NAME?</v>
      </c>
      <c r="E10" s="51" t="e">
        <f>DATA_FORMATTING!EP126</f>
        <v>#NAME?</v>
      </c>
      <c r="F10" s="51" t="e">
        <f>DATA_FORMATTING!EQ126</f>
        <v>#NAME?</v>
      </c>
      <c r="G10" s="51" t="e">
        <f>DATA_FORMATTING!ER126</f>
        <v>#NAME?</v>
      </c>
      <c r="H10" s="51" t="e">
        <f>DATA_FORMATTING!ES126</f>
        <v>#NAME?</v>
      </c>
      <c r="I10" s="51" t="e">
        <f>DATA_FORMATTING!ET126</f>
        <v>#NAME?</v>
      </c>
      <c r="J10" s="51" t="e">
        <f>DATA_FORMATTING!EU126</f>
        <v>#NAME?</v>
      </c>
      <c r="K10" s="51" t="e">
        <f>DATA_FORMATTING!EV126</f>
        <v>#NAME?</v>
      </c>
      <c r="L10" s="51" t="e">
        <f>DATA_FORMATTING!EW126</f>
        <v>#NAME?</v>
      </c>
      <c r="M10" s="51" t="e">
        <f>DATA_FORMATTING!EX126</f>
        <v>#NAME?</v>
      </c>
      <c r="N10" s="51" t="e">
        <f>DATA_FORMATTING!EY126</f>
        <v>#NAME?</v>
      </c>
      <c r="O10" s="51" t="e">
        <f>DATA_FORMATTING!EZ126</f>
        <v>#NAME?</v>
      </c>
      <c r="P10" s="51" t="e">
        <f>DATA_FORMATTING!FA126</f>
        <v>#NAME?</v>
      </c>
      <c r="Q10" s="51" t="e">
        <f>DATA_FORMATTING!FB126</f>
        <v>#NAME?</v>
      </c>
      <c r="R10" s="51" t="e">
        <f>DATA_FORMATTING!FC126</f>
        <v>#NAME?</v>
      </c>
      <c r="S10" s="51" t="e">
        <f>DATA_FORMATTING!FD126</f>
        <v>#NAME?</v>
      </c>
      <c r="T10" s="51" t="e">
        <f>DATA_FORMATTING!FE126</f>
        <v>#NAME?</v>
      </c>
      <c r="U10" s="51" t="e">
        <f>DATA_FORMATTING!FF126</f>
        <v>#NAME?</v>
      </c>
      <c r="V10" s="51" t="e">
        <f>DATA_FORMATTING!FG126</f>
        <v>#NAME?</v>
      </c>
      <c r="W10" s="51" t="e">
        <f>DATA_FORMATTING!FH126</f>
        <v>#NAME?</v>
      </c>
      <c r="X10" s="51" t="e">
        <f>DATA_FORMATTING!FI126</f>
        <v>#NAME?</v>
      </c>
      <c r="Y10" s="51" t="e">
        <f>DATA_FORMATTING!FJ126</f>
        <v>#NAME?</v>
      </c>
      <c r="Z10" s="51" t="e">
        <f>DATA_FORMATTING!FK126</f>
        <v>#NAME?</v>
      </c>
      <c r="AA10" s="51" t="e">
        <f>DATA_FORMATTING!FL126</f>
        <v>#NAME?</v>
      </c>
      <c r="AB10" s="51" t="e">
        <f>DATA_FORMATTING!FM126</f>
        <v>#NAME?</v>
      </c>
      <c r="AC10" s="51" t="e">
        <f>DATA_FORMATTING!FN126</f>
        <v>#NAME?</v>
      </c>
      <c r="AD10" s="51" t="e">
        <f>DATA_FORMATTING!FO126</f>
        <v>#NAME?</v>
      </c>
      <c r="AE10" s="51" t="e">
        <f>DATA_FORMATTING!FP126</f>
        <v>#NAME?</v>
      </c>
      <c r="AF10" s="51" t="e">
        <f>DATA_FORMATTING!FQ126</f>
        <v>#NAME?</v>
      </c>
      <c r="AG10" s="51" t="e">
        <f>DATA_FORMATTING!FR126</f>
        <v>#NAME?</v>
      </c>
      <c r="AH10" s="51" t="e">
        <f>DATA_FORMATTING!FS126</f>
        <v>#NAME?</v>
      </c>
      <c r="AI10" s="51" t="e">
        <f>DATA_FORMATTING!FT126</f>
        <v>#NAME?</v>
      </c>
      <c r="AJ10" s="51" t="e">
        <f>DATA_FORMATTING!FU126</f>
        <v>#NAME?</v>
      </c>
      <c r="AK10" s="51" t="e">
        <f>DATA_FORMATTING!FV126</f>
        <v>#NAME?</v>
      </c>
      <c r="AL10" s="51" t="e">
        <f>DATA_FORMATTING!FW126</f>
        <v>#NAME?</v>
      </c>
      <c r="AM10" s="257" t="e">
        <f>DATA_FORMATTING!FX126</f>
        <v>#NAME?</v>
      </c>
    </row>
    <row r="11" spans="1:39">
      <c r="A11" s="245">
        <v>6</v>
      </c>
      <c r="B11" s="260" t="e">
        <f>DATA_FORMATTING!EO14</f>
        <v>#NAME?</v>
      </c>
      <c r="C11" s="265" t="s">
        <v>84</v>
      </c>
      <c r="D11" s="51" t="e">
        <f>DATA_FORMATTING!EO127</f>
        <v>#NAME?</v>
      </c>
      <c r="E11" s="51" t="e">
        <f>DATA_FORMATTING!EP127</f>
        <v>#NAME?</v>
      </c>
      <c r="F11" s="51" t="e">
        <f>DATA_FORMATTING!EQ127</f>
        <v>#NAME?</v>
      </c>
      <c r="G11" s="51" t="e">
        <f>DATA_FORMATTING!ER127</f>
        <v>#NAME?</v>
      </c>
      <c r="H11" s="51" t="e">
        <f>DATA_FORMATTING!ES127</f>
        <v>#NAME?</v>
      </c>
      <c r="I11" s="51" t="e">
        <f>DATA_FORMATTING!ET127</f>
        <v>#NAME?</v>
      </c>
      <c r="J11" s="51" t="e">
        <f>DATA_FORMATTING!EU127</f>
        <v>#NAME?</v>
      </c>
      <c r="K11" s="51" t="e">
        <f>DATA_FORMATTING!EV127</f>
        <v>#NAME?</v>
      </c>
      <c r="L11" s="51" t="e">
        <f>DATA_FORMATTING!EW127</f>
        <v>#NAME?</v>
      </c>
      <c r="M11" s="51" t="e">
        <f>DATA_FORMATTING!EX127</f>
        <v>#NAME?</v>
      </c>
      <c r="N11" s="51" t="e">
        <f>DATA_FORMATTING!EY127</f>
        <v>#NAME?</v>
      </c>
      <c r="O11" s="51" t="e">
        <f>DATA_FORMATTING!EZ127</f>
        <v>#NAME?</v>
      </c>
      <c r="P11" s="51" t="e">
        <f>DATA_FORMATTING!FA127</f>
        <v>#NAME?</v>
      </c>
      <c r="Q11" s="51" t="e">
        <f>DATA_FORMATTING!FB127</f>
        <v>#NAME?</v>
      </c>
      <c r="R11" s="51" t="e">
        <f>DATA_FORMATTING!FC127</f>
        <v>#NAME?</v>
      </c>
      <c r="S11" s="51" t="e">
        <f>DATA_FORMATTING!FD127</f>
        <v>#NAME?</v>
      </c>
      <c r="T11" s="51" t="e">
        <f>DATA_FORMATTING!FE127</f>
        <v>#NAME?</v>
      </c>
      <c r="U11" s="51" t="e">
        <f>DATA_FORMATTING!FF127</f>
        <v>#NAME?</v>
      </c>
      <c r="V11" s="51" t="e">
        <f>DATA_FORMATTING!FG127</f>
        <v>#NAME?</v>
      </c>
      <c r="W11" s="51" t="e">
        <f>DATA_FORMATTING!FH127</f>
        <v>#NAME?</v>
      </c>
      <c r="X11" s="51" t="e">
        <f>DATA_FORMATTING!FI127</f>
        <v>#NAME?</v>
      </c>
      <c r="Y11" s="51" t="e">
        <f>DATA_FORMATTING!FJ127</f>
        <v>#NAME?</v>
      </c>
      <c r="Z11" s="51" t="e">
        <f>DATA_FORMATTING!FK127</f>
        <v>#NAME?</v>
      </c>
      <c r="AA11" s="51" t="e">
        <f>DATA_FORMATTING!FL127</f>
        <v>#NAME?</v>
      </c>
      <c r="AB11" s="51" t="e">
        <f>DATA_FORMATTING!FM127</f>
        <v>#NAME?</v>
      </c>
      <c r="AC11" s="51" t="e">
        <f>DATA_FORMATTING!FN127</f>
        <v>#NAME?</v>
      </c>
      <c r="AD11" s="51" t="e">
        <f>DATA_FORMATTING!FO127</f>
        <v>#NAME?</v>
      </c>
      <c r="AE11" s="51" t="e">
        <f>DATA_FORMATTING!FP127</f>
        <v>#NAME?</v>
      </c>
      <c r="AF11" s="51" t="e">
        <f>DATA_FORMATTING!FQ127</f>
        <v>#NAME?</v>
      </c>
      <c r="AG11" s="51" t="e">
        <f>DATA_FORMATTING!FR127</f>
        <v>#NAME?</v>
      </c>
      <c r="AH11" s="51" t="e">
        <f>DATA_FORMATTING!FS127</f>
        <v>#NAME?</v>
      </c>
      <c r="AI11" s="51" t="e">
        <f>DATA_FORMATTING!FT127</f>
        <v>#NAME?</v>
      </c>
      <c r="AJ11" s="51" t="e">
        <f>DATA_FORMATTING!FU127</f>
        <v>#NAME?</v>
      </c>
      <c r="AK11" s="51" t="e">
        <f>DATA_FORMATTING!FV127</f>
        <v>#NAME?</v>
      </c>
      <c r="AL11" s="51" t="e">
        <f>DATA_FORMATTING!FW127</f>
        <v>#NAME?</v>
      </c>
      <c r="AM11" s="257" t="e">
        <f>DATA_FORMATTING!FX127</f>
        <v>#NAME?</v>
      </c>
    </row>
    <row r="12" spans="1:39">
      <c r="A12" s="245">
        <v>7</v>
      </c>
      <c r="B12" s="260">
        <f>DATA_FORMATTING!EO15</f>
        <v>0</v>
      </c>
      <c r="C12" s="265" t="s">
        <v>89</v>
      </c>
      <c r="D12" s="51" t="e">
        <f>DATA_FORMATTING!EO128</f>
        <v>#NAME?</v>
      </c>
      <c r="E12" s="51" t="e">
        <f>DATA_FORMATTING!EP128</f>
        <v>#NAME?</v>
      </c>
      <c r="F12" s="51" t="e">
        <f>DATA_FORMATTING!EQ128</f>
        <v>#NAME?</v>
      </c>
      <c r="G12" s="51" t="e">
        <f>DATA_FORMATTING!ER128</f>
        <v>#NAME?</v>
      </c>
      <c r="H12" s="51" t="e">
        <f>DATA_FORMATTING!ES128</f>
        <v>#NAME?</v>
      </c>
      <c r="I12" s="51" t="e">
        <f>DATA_FORMATTING!ET128</f>
        <v>#NAME?</v>
      </c>
      <c r="J12" s="51" t="e">
        <f>DATA_FORMATTING!EU128</f>
        <v>#NAME?</v>
      </c>
      <c r="K12" s="51" t="e">
        <f>DATA_FORMATTING!EV128</f>
        <v>#NAME?</v>
      </c>
      <c r="L12" s="51" t="e">
        <f>DATA_FORMATTING!EW128</f>
        <v>#NAME?</v>
      </c>
      <c r="M12" s="51" t="e">
        <f>DATA_FORMATTING!EX128</f>
        <v>#NAME?</v>
      </c>
      <c r="N12" s="51" t="e">
        <f>DATA_FORMATTING!EY128</f>
        <v>#NAME?</v>
      </c>
      <c r="O12" s="51" t="e">
        <f>DATA_FORMATTING!EZ128</f>
        <v>#NAME?</v>
      </c>
      <c r="P12" s="51" t="e">
        <f>DATA_FORMATTING!FA128</f>
        <v>#NAME?</v>
      </c>
      <c r="Q12" s="51" t="e">
        <f>DATA_FORMATTING!FB128</f>
        <v>#NAME?</v>
      </c>
      <c r="R12" s="51" t="e">
        <f>DATA_FORMATTING!FC128</f>
        <v>#NAME?</v>
      </c>
      <c r="S12" s="51" t="e">
        <f>DATA_FORMATTING!FD128</f>
        <v>#NAME?</v>
      </c>
      <c r="T12" s="51" t="e">
        <f>DATA_FORMATTING!FE128</f>
        <v>#NAME?</v>
      </c>
      <c r="U12" s="51" t="e">
        <f>DATA_FORMATTING!FF128</f>
        <v>#NAME?</v>
      </c>
      <c r="V12" s="51" t="e">
        <f>DATA_FORMATTING!FG128</f>
        <v>#NAME?</v>
      </c>
      <c r="W12" s="51" t="e">
        <f>DATA_FORMATTING!FH128</f>
        <v>#NAME?</v>
      </c>
      <c r="X12" s="51" t="e">
        <f>DATA_FORMATTING!FI128</f>
        <v>#NAME?</v>
      </c>
      <c r="Y12" s="51" t="e">
        <f>DATA_FORMATTING!FJ128</f>
        <v>#NAME?</v>
      </c>
      <c r="Z12" s="51" t="e">
        <f>DATA_FORMATTING!FK128</f>
        <v>#NAME?</v>
      </c>
      <c r="AA12" s="51" t="e">
        <f>DATA_FORMATTING!FL128</f>
        <v>#NAME?</v>
      </c>
      <c r="AB12" s="51" t="e">
        <f>DATA_FORMATTING!FM128</f>
        <v>#NAME?</v>
      </c>
      <c r="AC12" s="51" t="e">
        <f>DATA_FORMATTING!FN128</f>
        <v>#NAME?</v>
      </c>
      <c r="AD12" s="51" t="e">
        <f>DATA_FORMATTING!FO128</f>
        <v>#NAME?</v>
      </c>
      <c r="AE12" s="51" t="e">
        <f>DATA_FORMATTING!FP128</f>
        <v>#NAME?</v>
      </c>
      <c r="AF12" s="51" t="e">
        <f>DATA_FORMATTING!FQ128</f>
        <v>#NAME?</v>
      </c>
      <c r="AG12" s="51" t="e">
        <f>DATA_FORMATTING!FR128</f>
        <v>#NAME?</v>
      </c>
      <c r="AH12" s="51" t="e">
        <f>DATA_FORMATTING!FS128</f>
        <v>#NAME?</v>
      </c>
      <c r="AI12" s="51" t="e">
        <f>DATA_FORMATTING!FT128</f>
        <v>#NAME?</v>
      </c>
      <c r="AJ12" s="51" t="e">
        <f>DATA_FORMATTING!FU128</f>
        <v>#NAME?</v>
      </c>
      <c r="AK12" s="51" t="e">
        <f>DATA_FORMATTING!FV128</f>
        <v>#NAME?</v>
      </c>
      <c r="AL12" s="51" t="e">
        <f>DATA_FORMATTING!FW128</f>
        <v>#NAME?</v>
      </c>
      <c r="AM12" s="257" t="e">
        <f>DATA_FORMATTING!FX128</f>
        <v>#NAME?</v>
      </c>
    </row>
    <row r="13" spans="1:39" ht="15.75" thickBot="1">
      <c r="A13" s="245">
        <v>8</v>
      </c>
      <c r="B13" s="260">
        <f>DATA_FORMATTING!EO16</f>
        <v>0</v>
      </c>
      <c r="C13" s="283" t="s">
        <v>93</v>
      </c>
      <c r="D13" s="284" t="e">
        <f>DATA_FORMATTING!EO129</f>
        <v>#NAME?</v>
      </c>
      <c r="E13" s="284" t="e">
        <f>DATA_FORMATTING!EP129</f>
        <v>#NAME?</v>
      </c>
      <c r="F13" s="284" t="e">
        <f>DATA_FORMATTING!EQ129</f>
        <v>#NAME?</v>
      </c>
      <c r="G13" s="284" t="e">
        <f>DATA_FORMATTING!ER129</f>
        <v>#NAME?</v>
      </c>
      <c r="H13" s="284" t="e">
        <f>DATA_FORMATTING!ES129</f>
        <v>#NAME?</v>
      </c>
      <c r="I13" s="284" t="e">
        <f>DATA_FORMATTING!ET129</f>
        <v>#NAME?</v>
      </c>
      <c r="J13" s="284" t="e">
        <f>DATA_FORMATTING!EU129</f>
        <v>#NAME?</v>
      </c>
      <c r="K13" s="284" t="e">
        <f>DATA_FORMATTING!EV129</f>
        <v>#NAME?</v>
      </c>
      <c r="L13" s="284" t="e">
        <f>DATA_FORMATTING!EW129</f>
        <v>#NAME?</v>
      </c>
      <c r="M13" s="284" t="e">
        <f>DATA_FORMATTING!EX129</f>
        <v>#NAME?</v>
      </c>
      <c r="N13" s="284" t="e">
        <f>DATA_FORMATTING!EY129</f>
        <v>#NAME?</v>
      </c>
      <c r="O13" s="284" t="e">
        <f>DATA_FORMATTING!EZ129</f>
        <v>#NAME?</v>
      </c>
      <c r="P13" s="284" t="e">
        <f>DATA_FORMATTING!FA129</f>
        <v>#NAME?</v>
      </c>
      <c r="Q13" s="284" t="e">
        <f>DATA_FORMATTING!FB129</f>
        <v>#NAME?</v>
      </c>
      <c r="R13" s="284" t="e">
        <f>DATA_FORMATTING!FC129</f>
        <v>#NAME?</v>
      </c>
      <c r="S13" s="284" t="e">
        <f>DATA_FORMATTING!FD129</f>
        <v>#NAME?</v>
      </c>
      <c r="T13" s="284" t="e">
        <f>DATA_FORMATTING!FE129</f>
        <v>#NAME?</v>
      </c>
      <c r="U13" s="284" t="e">
        <f>DATA_FORMATTING!FF129</f>
        <v>#NAME?</v>
      </c>
      <c r="V13" s="284" t="e">
        <f>DATA_FORMATTING!FG129</f>
        <v>#NAME?</v>
      </c>
      <c r="W13" s="284" t="e">
        <f>DATA_FORMATTING!FH129</f>
        <v>#NAME?</v>
      </c>
      <c r="X13" s="284" t="e">
        <f>DATA_FORMATTING!FI129</f>
        <v>#NAME?</v>
      </c>
      <c r="Y13" s="284" t="e">
        <f>DATA_FORMATTING!FJ129</f>
        <v>#NAME?</v>
      </c>
      <c r="Z13" s="284" t="e">
        <f>DATA_FORMATTING!FK129</f>
        <v>#NAME?</v>
      </c>
      <c r="AA13" s="284" t="e">
        <f>DATA_FORMATTING!FL129</f>
        <v>#NAME?</v>
      </c>
      <c r="AB13" s="284" t="e">
        <f>DATA_FORMATTING!FM129</f>
        <v>#NAME?</v>
      </c>
      <c r="AC13" s="284" t="e">
        <f>DATA_FORMATTING!FN129</f>
        <v>#NAME?</v>
      </c>
      <c r="AD13" s="284" t="e">
        <f>DATA_FORMATTING!FO129</f>
        <v>#NAME?</v>
      </c>
      <c r="AE13" s="284" t="e">
        <f>DATA_FORMATTING!FP129</f>
        <v>#NAME?</v>
      </c>
      <c r="AF13" s="284" t="e">
        <f>DATA_FORMATTING!FQ129</f>
        <v>#NAME?</v>
      </c>
      <c r="AG13" s="284" t="e">
        <f>DATA_FORMATTING!FR129</f>
        <v>#NAME?</v>
      </c>
      <c r="AH13" s="284" t="e">
        <f>DATA_FORMATTING!FS129</f>
        <v>#NAME?</v>
      </c>
      <c r="AI13" s="284" t="e">
        <f>DATA_FORMATTING!FT129</f>
        <v>#NAME?</v>
      </c>
      <c r="AJ13" s="284" t="e">
        <f>DATA_FORMATTING!FU129</f>
        <v>#NAME?</v>
      </c>
      <c r="AK13" s="284" t="e">
        <f>DATA_FORMATTING!FV129</f>
        <v>#NAME?</v>
      </c>
      <c r="AL13" s="284" t="e">
        <f>DATA_FORMATTING!FW129</f>
        <v>#NAME?</v>
      </c>
      <c r="AM13" s="285" t="e">
        <f>DATA_FORMATTING!FX129</f>
        <v>#NAME?</v>
      </c>
    </row>
  </sheetData>
  <conditionalFormatting sqref="D6:AM6">
    <cfRule type="expression" dxfId="208" priority="1">
      <formula>D4="Audited"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theme="3" tint="-0.499984740745262"/>
  </sheetPr>
  <dimension ref="A1:BU114"/>
  <sheetViews>
    <sheetView topLeftCell="B1" zoomScale="85" zoomScaleNormal="85" workbookViewId="0">
      <selection activeCell="B1" sqref="B1"/>
    </sheetView>
  </sheetViews>
  <sheetFormatPr defaultRowHeight="12.75" outlineLevelCol="1"/>
  <cols>
    <col min="1" max="1" width="13.140625" style="288" hidden="1" customWidth="1"/>
    <col min="2" max="2" width="1.42578125" style="288" customWidth="1"/>
    <col min="3" max="3" width="2.140625" style="290" bestFit="1" customWidth="1"/>
    <col min="4" max="4" width="26.140625" style="287" customWidth="1"/>
    <col min="5" max="5" width="18.5703125" style="287" hidden="1" customWidth="1"/>
    <col min="6" max="6" width="13.5703125" style="287" customWidth="1"/>
    <col min="7" max="7" width="21.42578125" style="287" bestFit="1" customWidth="1"/>
    <col min="8" max="8" width="20.140625" style="287" customWidth="1"/>
    <col min="9" max="9" width="10.5703125" style="287" customWidth="1"/>
    <col min="10" max="10" width="1.140625" style="287" customWidth="1"/>
    <col min="11" max="11" width="2.5703125" style="288" customWidth="1"/>
    <col min="12" max="13" width="3.42578125" style="288" customWidth="1"/>
    <col min="14" max="14" width="28" style="287" customWidth="1"/>
    <col min="15" max="23" width="13.42578125" style="287" customWidth="1" outlineLevel="1"/>
    <col min="24" max="24" width="11.28515625" style="287" bestFit="1" customWidth="1"/>
    <col min="25" max="25" width="14" style="287" customWidth="1"/>
    <col min="26" max="26" width="16" style="287" customWidth="1"/>
    <col min="27" max="27" width="4.7109375" style="289" customWidth="1"/>
    <col min="28" max="28" width="19.28515625" style="287" customWidth="1"/>
    <col min="29" max="29" width="5.85546875" style="287" hidden="1" customWidth="1"/>
    <col min="30" max="30" width="13.85546875" style="287" hidden="1" customWidth="1"/>
    <col min="31" max="31" width="7.42578125" style="287" hidden="1" customWidth="1"/>
    <col min="32" max="32" width="7.5703125" style="287" bestFit="1" customWidth="1"/>
    <col min="33" max="33" width="5.140625" style="287" customWidth="1"/>
    <col min="34" max="34" width="5.85546875" style="287" bestFit="1" customWidth="1"/>
    <col min="35" max="35" width="0.85546875" style="287" customWidth="1"/>
    <col min="36" max="36" width="9.28515625" style="287" bestFit="1" customWidth="1"/>
    <col min="37" max="37" width="4" style="287" customWidth="1"/>
    <col min="38" max="38" width="22.7109375" style="287" customWidth="1"/>
    <col min="39" max="39" width="20.42578125" style="287" customWidth="1"/>
    <col min="40" max="40" width="10.140625" style="287" customWidth="1"/>
    <col min="41" max="41" width="18.7109375" style="287" customWidth="1"/>
    <col min="42" max="42" width="12.28515625" style="290" customWidth="1"/>
    <col min="43" max="43" width="24.5703125" style="290" customWidth="1" outlineLevel="1"/>
    <col min="44" max="44" width="16.28515625" style="290" customWidth="1" outlineLevel="1"/>
    <col min="45" max="54" width="13.42578125" style="290" customWidth="1" outlineLevel="1"/>
    <col min="55" max="55" width="11.7109375" style="290" customWidth="1" outlineLevel="1"/>
    <col min="56" max="56" width="14.42578125" style="290" customWidth="1" outlineLevel="1"/>
    <col min="57" max="57" width="9.140625" style="290" customWidth="1" outlineLevel="1"/>
    <col min="58" max="58" width="18.42578125" style="287" customWidth="1" outlineLevel="1"/>
    <col min="59" max="61" width="12.28515625" style="287" customWidth="1" outlineLevel="1"/>
    <col min="62" max="62" width="12.7109375" style="287" customWidth="1" outlineLevel="1"/>
    <col min="63" max="65" width="12.28515625" style="287" customWidth="1" outlineLevel="1"/>
    <col min="66" max="71" width="12.28515625" style="287" customWidth="1"/>
    <col min="72" max="73" width="9.140625" style="287" customWidth="1"/>
    <col min="74" max="16384" width="9.140625" style="287"/>
  </cols>
  <sheetData>
    <row r="1" spans="1:73" ht="8.25" customHeight="1" thickBot="1">
      <c r="A1" s="578">
        <f>MAX(DB_LOAD!F:F)</f>
        <v>4</v>
      </c>
      <c r="B1" s="578"/>
      <c r="C1" s="286"/>
      <c r="Z1" s="288"/>
    </row>
    <row r="2" spans="1:73" ht="28.5" customHeight="1" thickBot="1">
      <c r="A2" s="578"/>
      <c r="B2" s="578"/>
      <c r="C2" s="286"/>
      <c r="D2" s="291" t="e">
        <f ca="1">A3</f>
        <v>#NAME?</v>
      </c>
      <c r="G2" s="292">
        <f>A1</f>
        <v>4</v>
      </c>
      <c r="H2" s="293"/>
      <c r="Z2" s="334"/>
      <c r="AA2" s="294"/>
      <c r="AB2" s="295"/>
      <c r="AC2" s="295"/>
      <c r="AD2" s="295"/>
      <c r="AE2" s="295"/>
      <c r="AF2" s="295"/>
      <c r="AG2" s="295"/>
      <c r="AH2" s="296"/>
      <c r="AI2" s="296"/>
      <c r="AJ2" s="296"/>
      <c r="AP2" s="297"/>
      <c r="AT2" s="297"/>
      <c r="AU2" s="298"/>
      <c r="AV2" s="298"/>
      <c r="AW2" s="298"/>
      <c r="AX2" s="298"/>
      <c r="AY2" s="298"/>
      <c r="AZ2" s="298"/>
      <c r="BA2" s="298"/>
      <c r="BB2" s="298"/>
      <c r="BC2" s="298"/>
      <c r="BD2" s="298"/>
      <c r="BE2" s="298"/>
      <c r="BF2" s="298"/>
      <c r="BG2" s="298"/>
      <c r="BH2" s="298"/>
      <c r="BI2" s="298"/>
      <c r="BJ2" s="297"/>
      <c r="BK2" s="297"/>
      <c r="BL2" s="297"/>
      <c r="BM2" s="297"/>
      <c r="BO2" s="297" t="s">
        <v>426</v>
      </c>
      <c r="BP2" s="297"/>
      <c r="BQ2" s="297"/>
      <c r="BR2" s="297"/>
      <c r="BS2" s="297"/>
      <c r="BT2" s="297"/>
      <c r="BU2" s="297"/>
    </row>
    <row r="3" spans="1:73" ht="21.75" customHeight="1" thickBot="1">
      <c r="A3" s="578" t="e">
        <f ca="1">'Balance Sheet'!C2</f>
        <v>#NAME?</v>
      </c>
      <c r="B3" s="578"/>
      <c r="C3" s="286"/>
      <c r="D3" s="299">
        <f>A9</f>
        <v>0.85</v>
      </c>
      <c r="E3" s="300"/>
      <c r="N3" s="301" t="e">
        <f ca="1">D2&amp;" "&amp;TEXT(G2,"mmmm")&amp;" Risk Assesment ("&amp;'Balance Sheet'!E5&amp;")"</f>
        <v>#NAME?</v>
      </c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2"/>
      <c r="AA3" s="303"/>
      <c r="AB3" s="304"/>
      <c r="AC3" s="304"/>
      <c r="AD3" s="304"/>
      <c r="AE3" s="304"/>
      <c r="AF3" s="305"/>
      <c r="AU3" s="287"/>
      <c r="AV3" s="306">
        <f t="shared" ref="AV3:BG3" si="0">O8</f>
        <v>0</v>
      </c>
      <c r="AW3" s="306">
        <f t="shared" si="0"/>
        <v>0</v>
      </c>
      <c r="AX3" s="306">
        <f t="shared" si="0"/>
        <v>0</v>
      </c>
      <c r="AY3" s="306">
        <f t="shared" si="0"/>
        <v>0</v>
      </c>
      <c r="AZ3" s="306">
        <f t="shared" si="0"/>
        <v>0</v>
      </c>
      <c r="BA3" s="306">
        <f t="shared" si="0"/>
        <v>0</v>
      </c>
      <c r="BB3" s="306">
        <f t="shared" si="0"/>
        <v>0</v>
      </c>
      <c r="BC3" s="306">
        <f t="shared" si="0"/>
        <v>0</v>
      </c>
      <c r="BD3" s="306">
        <f t="shared" si="0"/>
        <v>0</v>
      </c>
      <c r="BE3" s="306">
        <f t="shared" si="0"/>
        <v>0</v>
      </c>
      <c r="BF3" s="306">
        <f t="shared" si="0"/>
        <v>0</v>
      </c>
      <c r="BG3" s="306">
        <f t="shared" si="0"/>
        <v>4</v>
      </c>
      <c r="BH3" s="290"/>
      <c r="BI3" s="298"/>
      <c r="BJ3" s="298"/>
      <c r="BK3" s="297"/>
      <c r="BL3" s="297"/>
      <c r="BM3" s="297"/>
      <c r="BN3" s="297"/>
      <c r="BO3" s="298" t="s">
        <v>330</v>
      </c>
      <c r="BP3" s="298" t="s">
        <v>331</v>
      </c>
      <c r="BQ3" s="297"/>
      <c r="BR3" s="297" t="s">
        <v>332</v>
      </c>
      <c r="BS3" s="297"/>
      <c r="BT3" s="297"/>
      <c r="BU3" s="297"/>
    </row>
    <row r="4" spans="1:73" ht="21.75" customHeight="1" thickBot="1">
      <c r="A4" s="578"/>
      <c r="B4" s="578"/>
      <c r="C4" s="286"/>
      <c r="D4" s="307" t="e">
        <f ca="1">A7&amp;" - "&amp;A8&amp;IF(A6=0,"","; "&amp;A6)</f>
        <v>#NAME?</v>
      </c>
      <c r="E4" s="308"/>
      <c r="F4" s="309"/>
      <c r="G4" s="310"/>
      <c r="Z4" s="334"/>
      <c r="AA4" s="311"/>
      <c r="AU4" s="287"/>
      <c r="AV4" s="306"/>
      <c r="AW4" s="306"/>
      <c r="AX4" s="306"/>
      <c r="AY4" s="306"/>
      <c r="AZ4" s="306"/>
      <c r="BA4" s="306"/>
      <c r="BB4" s="306"/>
      <c r="BC4" s="306"/>
      <c r="BD4" s="306"/>
      <c r="BE4" s="306"/>
      <c r="BF4" s="306"/>
      <c r="BG4" s="306"/>
      <c r="BH4" s="290"/>
      <c r="BI4" s="298"/>
      <c r="BJ4" s="298"/>
      <c r="BK4" s="297"/>
      <c r="BL4" s="297"/>
      <c r="BM4" s="297"/>
      <c r="BN4" s="297"/>
      <c r="BO4" s="297">
        <v>1</v>
      </c>
      <c r="BP4" s="297" t="s">
        <v>315</v>
      </c>
      <c r="BQ4" s="297"/>
      <c r="BR4" s="297" t="s">
        <v>333</v>
      </c>
      <c r="BS4" s="297"/>
      <c r="BT4" s="297"/>
      <c r="BU4" s="297"/>
    </row>
    <row r="5" spans="1:73" ht="9.75" customHeight="1">
      <c r="A5" s="578"/>
      <c r="B5" s="578"/>
      <c r="C5" s="286"/>
      <c r="N5" s="290">
        <v>1000000</v>
      </c>
      <c r="Z5" s="334"/>
      <c r="AA5" s="311"/>
      <c r="AU5" s="287"/>
      <c r="AV5" s="306"/>
      <c r="AW5" s="306"/>
      <c r="AX5" s="306"/>
      <c r="AY5" s="306"/>
      <c r="AZ5" s="306"/>
      <c r="BA5" s="306"/>
      <c r="BB5" s="306"/>
      <c r="BC5" s="306"/>
      <c r="BD5" s="306"/>
      <c r="BE5" s="306"/>
      <c r="BF5" s="306"/>
      <c r="BG5" s="306"/>
      <c r="BH5" s="290"/>
      <c r="BI5" s="298"/>
      <c r="BJ5" s="298"/>
      <c r="BK5" s="297"/>
      <c r="BL5" s="297"/>
      <c r="BM5" s="297"/>
      <c r="BN5" s="297"/>
      <c r="BO5" s="297">
        <v>2</v>
      </c>
      <c r="BP5" s="297" t="s">
        <v>334</v>
      </c>
      <c r="BQ5" s="297"/>
      <c r="BR5" s="297" t="s">
        <v>335</v>
      </c>
      <c r="BS5" s="297"/>
      <c r="BT5" s="297"/>
      <c r="BU5" s="297"/>
    </row>
    <row r="6" spans="1:73" ht="13.5" thickBot="1">
      <c r="A6" s="578" t="e">
        <f ca="1">Config!$B$16</f>
        <v>#NAME?</v>
      </c>
      <c r="B6" s="578"/>
      <c r="C6" s="286"/>
      <c r="N6" s="288"/>
      <c r="O6" s="290">
        <f t="shared" ref="O6:Z6" si="1">MONTH(O8)</f>
        <v>1</v>
      </c>
      <c r="P6" s="290">
        <f t="shared" si="1"/>
        <v>1</v>
      </c>
      <c r="Q6" s="290">
        <f t="shared" si="1"/>
        <v>1</v>
      </c>
      <c r="R6" s="290">
        <f t="shared" si="1"/>
        <v>1</v>
      </c>
      <c r="S6" s="290">
        <f t="shared" si="1"/>
        <v>1</v>
      </c>
      <c r="T6" s="290">
        <f t="shared" si="1"/>
        <v>1</v>
      </c>
      <c r="U6" s="290">
        <f t="shared" si="1"/>
        <v>1</v>
      </c>
      <c r="V6" s="290">
        <f t="shared" si="1"/>
        <v>1</v>
      </c>
      <c r="W6" s="290">
        <f t="shared" si="1"/>
        <v>1</v>
      </c>
      <c r="X6" s="290">
        <f t="shared" si="1"/>
        <v>1</v>
      </c>
      <c r="Y6" s="290">
        <f t="shared" si="1"/>
        <v>1</v>
      </c>
      <c r="Z6" s="290">
        <f t="shared" si="1"/>
        <v>1</v>
      </c>
      <c r="AU6" s="287" t="s">
        <v>47</v>
      </c>
      <c r="AV6" s="312" t="e">
        <f ca="1">O28</f>
        <v>#NAME?</v>
      </c>
      <c r="AW6" s="312" t="e">
        <f t="shared" ref="AW6:BG6" ca="1" si="2">P28</f>
        <v>#NAME?</v>
      </c>
      <c r="AX6" s="312" t="e">
        <f t="shared" ca="1" si="2"/>
        <v>#NAME?</v>
      </c>
      <c r="AY6" s="312" t="e">
        <f t="shared" ca="1" si="2"/>
        <v>#NAME?</v>
      </c>
      <c r="AZ6" s="312" t="e">
        <f t="shared" ca="1" si="2"/>
        <v>#NAME?</v>
      </c>
      <c r="BA6" s="312" t="e">
        <f t="shared" ca="1" si="2"/>
        <v>#NAME?</v>
      </c>
      <c r="BB6" s="312" t="e">
        <f t="shared" ca="1" si="2"/>
        <v>#NAME?</v>
      </c>
      <c r="BC6" s="312" t="e">
        <f t="shared" ca="1" si="2"/>
        <v>#NAME?</v>
      </c>
      <c r="BD6" s="312" t="e">
        <f t="shared" ca="1" si="2"/>
        <v>#NAME?</v>
      </c>
      <c r="BE6" s="312" t="e">
        <f t="shared" ca="1" si="2"/>
        <v>#NAME?</v>
      </c>
      <c r="BF6" s="312" t="e">
        <f t="shared" ca="1" si="2"/>
        <v>#NAME?</v>
      </c>
      <c r="BG6" s="312" t="e">
        <f t="shared" ca="1" si="2"/>
        <v>#NAME?</v>
      </c>
      <c r="BH6" s="298"/>
      <c r="BI6" s="298"/>
      <c r="BJ6" s="298"/>
      <c r="BK6" s="297"/>
      <c r="BL6" s="297"/>
      <c r="BM6" s="297"/>
      <c r="BN6" s="297"/>
      <c r="BO6" s="297">
        <v>3</v>
      </c>
      <c r="BP6" s="297" t="s">
        <v>42</v>
      </c>
      <c r="BQ6" s="297"/>
      <c r="BR6" s="297" t="s">
        <v>293</v>
      </c>
      <c r="BS6" s="297"/>
      <c r="BT6" s="297"/>
      <c r="BU6" s="297"/>
    </row>
    <row r="7" spans="1:73" ht="16.5" thickBot="1">
      <c r="A7" s="578" t="e">
        <f ca="1">Config!$B$18</f>
        <v>#NAME?</v>
      </c>
      <c r="B7" s="578"/>
      <c r="C7" s="286"/>
      <c r="N7" s="313" t="e">
        <f ca="1">A3&amp;" Loan Agreement Covenants"</f>
        <v>#NAME?</v>
      </c>
      <c r="O7" s="314"/>
      <c r="P7" s="314"/>
      <c r="Q7" s="314"/>
      <c r="R7" s="314"/>
      <c r="S7" s="314"/>
      <c r="T7" s="314"/>
      <c r="U7" s="314"/>
      <c r="V7" s="314"/>
      <c r="W7" s="314"/>
      <c r="X7" s="314"/>
      <c r="Y7" s="315"/>
      <c r="Z7" s="316"/>
      <c r="AA7" s="294"/>
      <c r="AB7" s="634" t="s">
        <v>427</v>
      </c>
      <c r="AC7" s="635"/>
      <c r="AD7" s="635"/>
      <c r="AE7" s="635"/>
      <c r="AF7" s="640" t="s">
        <v>451</v>
      </c>
      <c r="AM7" s="318"/>
      <c r="AN7" s="318"/>
      <c r="AU7" s="319" t="s">
        <v>305</v>
      </c>
      <c r="AV7" s="320" t="e">
        <f ca="1">O26+O27</f>
        <v>#NAME?</v>
      </c>
      <c r="AW7" s="320" t="e">
        <f t="shared" ref="AW7:BG7" ca="1" si="3">P26+P27</f>
        <v>#NAME?</v>
      </c>
      <c r="AX7" s="320" t="e">
        <f t="shared" ca="1" si="3"/>
        <v>#NAME?</v>
      </c>
      <c r="AY7" s="320" t="e">
        <f t="shared" ca="1" si="3"/>
        <v>#NAME?</v>
      </c>
      <c r="AZ7" s="320" t="e">
        <f t="shared" ca="1" si="3"/>
        <v>#NAME?</v>
      </c>
      <c r="BA7" s="320" t="e">
        <f t="shared" ca="1" si="3"/>
        <v>#NAME?</v>
      </c>
      <c r="BB7" s="320" t="e">
        <f t="shared" ca="1" si="3"/>
        <v>#NAME?</v>
      </c>
      <c r="BC7" s="320" t="e">
        <f t="shared" ca="1" si="3"/>
        <v>#NAME?</v>
      </c>
      <c r="BD7" s="320" t="e">
        <f t="shared" ca="1" si="3"/>
        <v>#NAME?</v>
      </c>
      <c r="BE7" s="320" t="e">
        <f t="shared" ca="1" si="3"/>
        <v>#NAME?</v>
      </c>
      <c r="BF7" s="320" t="e">
        <f t="shared" ca="1" si="3"/>
        <v>#NAME?</v>
      </c>
      <c r="BG7" s="320" t="e">
        <f t="shared" ca="1" si="3"/>
        <v>#NAME?</v>
      </c>
      <c r="BH7" s="298" t="s">
        <v>306</v>
      </c>
      <c r="BI7" s="297" t="s">
        <v>307</v>
      </c>
      <c r="BJ7" s="297" t="s">
        <v>308</v>
      </c>
      <c r="BK7" s="297"/>
      <c r="BL7" s="297"/>
      <c r="BM7" s="297"/>
      <c r="BN7" s="297"/>
      <c r="BO7" s="297"/>
      <c r="BP7" s="297"/>
      <c r="BQ7" s="297"/>
      <c r="BR7" s="297"/>
      <c r="BS7" s="297"/>
    </row>
    <row r="8" spans="1:73" ht="13.5" thickBot="1">
      <c r="A8" s="578" t="e">
        <f ca="1">Config!B13</f>
        <v>#NAME?</v>
      </c>
      <c r="B8" s="578"/>
      <c r="C8" s="321"/>
      <c r="D8" s="322" t="s">
        <v>309</v>
      </c>
      <c r="E8" s="323"/>
      <c r="F8" s="323" t="s">
        <v>285</v>
      </c>
      <c r="G8" s="323" t="s">
        <v>620</v>
      </c>
      <c r="H8" s="323" t="s">
        <v>311</v>
      </c>
      <c r="I8" s="324" t="s">
        <v>312</v>
      </c>
      <c r="J8" s="288"/>
      <c r="K8" s="290"/>
      <c r="L8" s="290"/>
      <c r="M8" s="290"/>
      <c r="N8" s="325"/>
      <c r="O8" s="326">
        <f t="shared" ref="O8:Y8" si="4">DATE(YEAR(P8),IF(MONTH(P8)-1=0,1,MONTH(P8)),1)-1</f>
        <v>0</v>
      </c>
      <c r="P8" s="326">
        <f t="shared" si="4"/>
        <v>0</v>
      </c>
      <c r="Q8" s="326">
        <f t="shared" si="4"/>
        <v>0</v>
      </c>
      <c r="R8" s="326">
        <f t="shared" si="4"/>
        <v>0</v>
      </c>
      <c r="S8" s="326">
        <f t="shared" si="4"/>
        <v>0</v>
      </c>
      <c r="T8" s="326">
        <f t="shared" si="4"/>
        <v>0</v>
      </c>
      <c r="U8" s="326">
        <f t="shared" si="4"/>
        <v>0</v>
      </c>
      <c r="V8" s="326">
        <f t="shared" si="4"/>
        <v>0</v>
      </c>
      <c r="W8" s="326">
        <f t="shared" si="4"/>
        <v>0</v>
      </c>
      <c r="X8" s="326">
        <f t="shared" si="4"/>
        <v>0</v>
      </c>
      <c r="Y8" s="326">
        <f t="shared" si="4"/>
        <v>0</v>
      </c>
      <c r="Z8" s="327">
        <f>G2</f>
        <v>4</v>
      </c>
      <c r="AA8" s="328"/>
      <c r="AB8" s="636" t="s">
        <v>428</v>
      </c>
      <c r="AC8" s="326" t="s">
        <v>313</v>
      </c>
      <c r="AD8" s="326" t="s">
        <v>314</v>
      </c>
      <c r="AE8" s="326"/>
      <c r="AF8" s="327" t="s">
        <v>63</v>
      </c>
      <c r="AL8" s="318"/>
      <c r="AM8" s="297"/>
      <c r="AN8" s="297"/>
      <c r="AU8" s="319" t="s">
        <v>288</v>
      </c>
      <c r="AV8" s="320" t="str">
        <f ca="1">O44</f>
        <v/>
      </c>
      <c r="AW8" s="320" t="str">
        <f t="shared" ref="AW8:BG8" ca="1" si="5">P44</f>
        <v/>
      </c>
      <c r="AX8" s="320" t="str">
        <f t="shared" ca="1" si="5"/>
        <v/>
      </c>
      <c r="AY8" s="320" t="str">
        <f t="shared" ca="1" si="5"/>
        <v/>
      </c>
      <c r="AZ8" s="320" t="str">
        <f t="shared" ca="1" si="5"/>
        <v/>
      </c>
      <c r="BA8" s="320" t="str">
        <f t="shared" ca="1" si="5"/>
        <v/>
      </c>
      <c r="BB8" s="320" t="str">
        <f t="shared" ca="1" si="5"/>
        <v/>
      </c>
      <c r="BC8" s="320" t="str">
        <f t="shared" ca="1" si="5"/>
        <v/>
      </c>
      <c r="BD8" s="320" t="str">
        <f t="shared" ca="1" si="5"/>
        <v/>
      </c>
      <c r="BE8" s="320" t="str">
        <f t="shared" ca="1" si="5"/>
        <v/>
      </c>
      <c r="BF8" s="320" t="str">
        <f t="shared" ca="1" si="5"/>
        <v/>
      </c>
      <c r="BG8" s="320" t="str">
        <f t="shared" ca="1" si="5"/>
        <v/>
      </c>
      <c r="BH8" s="297">
        <v>1</v>
      </c>
      <c r="BI8" s="297" t="s">
        <v>287</v>
      </c>
      <c r="BJ8" s="297" t="s">
        <v>287</v>
      </c>
      <c r="BK8" s="297"/>
      <c r="BL8" s="297"/>
      <c r="BM8" s="297"/>
      <c r="BN8" s="297"/>
      <c r="BO8" s="297">
        <v>4</v>
      </c>
      <c r="BP8" s="297" t="s">
        <v>288</v>
      </c>
      <c r="BQ8" s="297"/>
      <c r="BR8" s="297" t="s">
        <v>338</v>
      </c>
    </row>
    <row r="9" spans="1:73">
      <c r="A9" s="578">
        <f>DB_LOAD!AO2</f>
        <v>0.85</v>
      </c>
      <c r="B9" s="578"/>
      <c r="C9" s="321" t="str">
        <f>DB_LOAD!V2</f>
        <v>PAR&gt;30 (R+R)</v>
      </c>
      <c r="D9" s="329">
        <f>IF(ISBLANK(DB_LOAD!N2),"",DB_LOAD!N2)</f>
        <v>2</v>
      </c>
      <c r="E9" s="330"/>
      <c r="F9" s="330" t="str">
        <f>IF(ISBLANK(DB_LOAD!P2),"",DB_LOAD!R2)</f>
        <v>USD</v>
      </c>
      <c r="G9" s="331">
        <f>IF(ISBLANK(DB_LOAD!R2),"",DB_LOAD!Q2)</f>
        <v>2500000</v>
      </c>
      <c r="H9" s="1095">
        <f>IF(C9=3,"-",IF(ISBLANK(DB_LOAD!S2),"",DB_LOAD!U2))</f>
        <v>0</v>
      </c>
      <c r="I9" s="332">
        <f>IF(C9=3,"Equity ",IF(ISBLANK(DB_LOAD!T2),"",DB_LOAD!T2))</f>
        <v>2500000</v>
      </c>
      <c r="J9" s="695">
        <f>IFERROR(VALUE(MID($AV$24,1,1)),0)</f>
        <v>0</v>
      </c>
      <c r="K9" s="290">
        <f t="shared" ref="K9:K14" si="6">IF(AND(L8=1,L9=0),1,0)</f>
        <v>0</v>
      </c>
      <c r="L9" s="290">
        <f t="shared" ref="L9:L14" si="7">IF(N9="",0,1)</f>
        <v>0</v>
      </c>
      <c r="M9" s="290" t="e">
        <f>VLOOKUP(N9,$AT$25:$BM$40,20,FALSE)</f>
        <v>#N/A</v>
      </c>
      <c r="N9" s="333" t="str">
        <f>IFERROR(VLOOKUP(VALUE(MID($AU$24,1,VALUE(MID($AV$24,1,1)))),$AR$25:$BM$40,3,FALSE),"")</f>
        <v/>
      </c>
      <c r="O9" s="685" t="e">
        <f>TEXT(IFERROR(VLOOKUP(VALUE(MID($AU$24,1,VALUE(MID($AV$24,1,1)))),$AR$25:$BM$40,O$16,FALSE),""),$M$9)</f>
        <v>#N/A</v>
      </c>
      <c r="P9" s="685" t="e">
        <f t="shared" ref="P9:Z9" si="8">TEXT(IFERROR(VLOOKUP(VALUE(MID($AU$24,1,VALUE(MID($AV$24,1,1)))),$AR$25:$BM$40,P$16,FALSE),""),$M$9)</f>
        <v>#N/A</v>
      </c>
      <c r="Q9" s="685" t="e">
        <f t="shared" si="8"/>
        <v>#N/A</v>
      </c>
      <c r="R9" s="685" t="e">
        <f t="shared" si="8"/>
        <v>#N/A</v>
      </c>
      <c r="S9" s="685" t="e">
        <f t="shared" si="8"/>
        <v>#N/A</v>
      </c>
      <c r="T9" s="685" t="e">
        <f t="shared" si="8"/>
        <v>#N/A</v>
      </c>
      <c r="U9" s="685" t="e">
        <f t="shared" si="8"/>
        <v>#N/A</v>
      </c>
      <c r="V9" s="685" t="e">
        <f t="shared" si="8"/>
        <v>#N/A</v>
      </c>
      <c r="W9" s="685" t="e">
        <f t="shared" si="8"/>
        <v>#N/A</v>
      </c>
      <c r="X9" s="685" t="e">
        <f t="shared" si="8"/>
        <v>#N/A</v>
      </c>
      <c r="Y9" s="685" t="e">
        <f t="shared" si="8"/>
        <v>#N/A</v>
      </c>
      <c r="Z9" s="685" t="e">
        <f t="shared" si="8"/>
        <v>#N/A</v>
      </c>
      <c r="AA9" s="686"/>
      <c r="AB9" s="687" t="e">
        <f t="shared" ref="AB9:AB15" si="9">TEXT(IFERROR(VLOOKUP(N9,$AT$25:$AV$40,3,FALSE),""),M9)</f>
        <v>#N/A</v>
      </c>
      <c r="AC9" s="688" t="e">
        <f t="shared" ref="AC9:AC15" si="10">VALUE(LEFT(AD9,(LEN(AD9)-IF(OR(N9="Net Income",N9="Total Equity"),3,1))))/IF(OR(N9="Debt to Equity",N9="Net Income",N9="Total Equity"),1,100)</f>
        <v>#N/A</v>
      </c>
      <c r="AD9" s="689" t="e">
        <f>(HLOOKUP(1,$O$6:$Z$19,4,FALSE))</f>
        <v>#N/A</v>
      </c>
      <c r="AE9" s="688" t="e">
        <f t="shared" ref="AE9:AE14" si="11">VALUE(LEFT(Z9,(LEN(Z9)-IF(OR(N9="Net Income",N9="Total Equity"),3,1))))/IF(OR(N9="Debt to Equity",N9="Net Income",N9="Total Equity"),1,100)</f>
        <v>#N/A</v>
      </c>
      <c r="AF9" s="690" t="e">
        <f t="shared" ref="AF9:AF15" si="12">TEXT(AC9-AE9,$M9)</f>
        <v>#N/A</v>
      </c>
      <c r="AG9" s="290" t="e">
        <f>VLOOKUP(AH9,$AR$25:$BM$40,19,FALSE)</f>
        <v>#VALUE!</v>
      </c>
      <c r="AH9" s="290" t="e">
        <f>VALUE(MID($AU$24,1,VALUE(MID($AV$24,1,1))))</f>
        <v>#VALUE!</v>
      </c>
      <c r="AI9" s="287" t="e">
        <f>VLOOKUP(AG9,$AR$25:$BM$40,18,FALSE)</f>
        <v>#VALUE!</v>
      </c>
      <c r="AL9" s="318"/>
      <c r="AM9" s="297"/>
      <c r="AN9" s="297"/>
      <c r="AU9" s="319" t="s">
        <v>316</v>
      </c>
      <c r="AV9" s="320" t="e">
        <f ca="1">ABS(O90)</f>
        <v>#NAME?</v>
      </c>
      <c r="AW9" s="320" t="e">
        <f t="shared" ref="AW9:BG9" ca="1" si="13">ABS(P90)</f>
        <v>#NAME?</v>
      </c>
      <c r="AX9" s="320" t="e">
        <f t="shared" ca="1" si="13"/>
        <v>#NAME?</v>
      </c>
      <c r="AY9" s="320" t="e">
        <f t="shared" ca="1" si="13"/>
        <v>#NAME?</v>
      </c>
      <c r="AZ9" s="320" t="e">
        <f t="shared" ca="1" si="13"/>
        <v>#NAME?</v>
      </c>
      <c r="BA9" s="320" t="e">
        <f t="shared" ca="1" si="13"/>
        <v>#NAME?</v>
      </c>
      <c r="BB9" s="320" t="e">
        <f t="shared" ca="1" si="13"/>
        <v>#NAME?</v>
      </c>
      <c r="BC9" s="320" t="e">
        <f t="shared" ca="1" si="13"/>
        <v>#NAME?</v>
      </c>
      <c r="BD9" s="320" t="e">
        <f t="shared" ca="1" si="13"/>
        <v>#NAME?</v>
      </c>
      <c r="BE9" s="320" t="e">
        <f t="shared" ca="1" si="13"/>
        <v>#NAME?</v>
      </c>
      <c r="BF9" s="320" t="e">
        <f t="shared" ca="1" si="13"/>
        <v>#NAME?</v>
      </c>
      <c r="BG9" s="320" t="e">
        <f t="shared" ca="1" si="13"/>
        <v>#NAME?</v>
      </c>
      <c r="BH9" s="297">
        <v>2</v>
      </c>
      <c r="BI9" s="297" t="s">
        <v>317</v>
      </c>
      <c r="BJ9" s="297" t="s">
        <v>317</v>
      </c>
      <c r="BK9" s="297"/>
      <c r="BL9" s="297"/>
      <c r="BM9" s="297"/>
      <c r="BN9" s="297"/>
      <c r="BO9" s="297">
        <v>5</v>
      </c>
      <c r="BP9" s="297" t="s">
        <v>286</v>
      </c>
      <c r="BQ9" s="297"/>
      <c r="BR9" s="297" t="s">
        <v>339</v>
      </c>
    </row>
    <row r="10" spans="1:73">
      <c r="A10" s="578"/>
      <c r="B10" s="578"/>
      <c r="C10" s="321" t="str">
        <f>DB_LOAD!V3</f>
        <v>Write off</v>
      </c>
      <c r="D10" s="329">
        <f>IF(ISBLANK(DB_LOAD!N3),"",DB_LOAD!N3)</f>
        <v>2</v>
      </c>
      <c r="E10" s="330"/>
      <c r="F10" s="330" t="str">
        <f>IF(ISBLANK(DB_LOAD!P3),"",DB_LOAD!R3)</f>
        <v>AZN</v>
      </c>
      <c r="G10" s="331">
        <f>IF(ISBLANK(DB_LOAD!R3),"",DB_LOAD!Q3)</f>
        <v>1998009.950249</v>
      </c>
      <c r="H10" s="1095">
        <f>IF(C10=3,"-",IF(ISBLANK(DB_LOAD!S3),"",DB_LOAD!U3))</f>
        <v>0</v>
      </c>
      <c r="I10" s="332">
        <f>IF(C10=3,"Equity ",IF(ISBLANK(DB_LOAD!T3),"",DB_LOAD!T3))</f>
        <v>1530269.111693</v>
      </c>
      <c r="J10" s="695">
        <f>IFERROR(VALUE(MID($AV$24,2,1)),0)</f>
        <v>0</v>
      </c>
      <c r="K10" s="290">
        <f t="shared" si="6"/>
        <v>0</v>
      </c>
      <c r="L10" s="290">
        <f t="shared" si="7"/>
        <v>0</v>
      </c>
      <c r="M10" s="290" t="e">
        <f t="shared" ref="M10:M15" si="14">VLOOKUP(N10,$AT$25:$BM$40,20,FALSE)</f>
        <v>#N/A</v>
      </c>
      <c r="N10" s="333" t="str">
        <f>IFERROR(VLOOKUP(VALUE(MID($AU$24,1+SUM($J$9:J9),VALUE(MID($AV$24,2,1)))),$AR$25:$BM$40,3,FALSE),"")</f>
        <v/>
      </c>
      <c r="O10" s="689" t="e">
        <f>TEXT(IFERROR(VLOOKUP(VALUE(MID($AU$24,1+SUM($J$9:$J9),VALUE(MID($AV$24,2,1)))),$AR$25:$BM$40,O$16,FALSE),""),$M10)</f>
        <v>#N/A</v>
      </c>
      <c r="P10" s="689" t="e">
        <f>TEXT(IFERROR(VLOOKUP(VALUE(MID($AU$24,1+SUM($J$9:$J9),VALUE(MID($AV$24,2,1)))),$AR$25:$BM$40,P$16,FALSE),""),$M10)</f>
        <v>#N/A</v>
      </c>
      <c r="Q10" s="689" t="e">
        <f>TEXT(IFERROR(VLOOKUP(VALUE(MID($AU$24,1+SUM($J$9:$J9),VALUE(MID($AV$24,2,1)))),$AR$25:$BM$40,Q$16,FALSE),""),$M10)</f>
        <v>#N/A</v>
      </c>
      <c r="R10" s="689" t="e">
        <f>TEXT(IFERROR(VLOOKUP(VALUE(MID($AU$24,1+SUM($J$9:$J9),VALUE(MID($AV$24,2,1)))),$AR$25:$BM$40,R$16,FALSE),""),$M10)</f>
        <v>#N/A</v>
      </c>
      <c r="S10" s="689" t="e">
        <f>TEXT(IFERROR(VLOOKUP(VALUE(MID($AU$24,1+SUM($J$9:$J9),VALUE(MID($AV$24,2,1)))),$AR$25:$BM$40,S$16,FALSE),""),$M10)</f>
        <v>#N/A</v>
      </c>
      <c r="T10" s="689" t="e">
        <f>TEXT(IFERROR(VLOOKUP(VALUE(MID($AU$24,1+SUM($J$9:$J9),VALUE(MID($AV$24,2,1)))),$AR$25:$BM$40,T$16,FALSE),""),$M10)</f>
        <v>#N/A</v>
      </c>
      <c r="U10" s="689" t="e">
        <f>TEXT(IFERROR(VLOOKUP(VALUE(MID($AU$24,1+SUM($J$9:$J9),VALUE(MID($AV$24,2,1)))),$AR$25:$BM$40,U$16,FALSE),""),$M10)</f>
        <v>#N/A</v>
      </c>
      <c r="V10" s="689" t="e">
        <f>TEXT(IFERROR(VLOOKUP(VALUE(MID($AU$24,1+SUM($J$9:$J9),VALUE(MID($AV$24,2,1)))),$AR$25:$BM$40,V$16,FALSE),""),$M10)</f>
        <v>#N/A</v>
      </c>
      <c r="W10" s="689" t="e">
        <f>TEXT(IFERROR(VLOOKUP(VALUE(MID($AU$24,1+SUM($J$9:$J9),VALUE(MID($AV$24,2,1)))),$AR$25:$BM$40,W$16,FALSE),""),$M10)</f>
        <v>#N/A</v>
      </c>
      <c r="X10" s="689" t="e">
        <f>TEXT(IFERROR(VLOOKUP(VALUE(MID($AU$24,1+SUM($J$9:$J9),VALUE(MID($AV$24,2,1)))),$AR$25:$BM$40,X$16,FALSE),""),$M10)</f>
        <v>#N/A</v>
      </c>
      <c r="Y10" s="689" t="e">
        <f>TEXT(IFERROR(VLOOKUP(VALUE(MID($AU$24,1+SUM($J$9:$J9),VALUE(MID($AV$24,2,1)))),$AR$25:$BM$40,Y$16,FALSE),""),$M10)</f>
        <v>#N/A</v>
      </c>
      <c r="Z10" s="689" t="e">
        <f>TEXT(IFERROR(VLOOKUP(VALUE(MID($AU$24,1+SUM($J$9:$J9),VALUE(MID($AV$24,2,1)))),$AR$25:$BM$40,Z$16,FALSE),""),$M10)</f>
        <v>#N/A</v>
      </c>
      <c r="AA10" s="686"/>
      <c r="AB10" s="687" t="e">
        <f t="shared" si="9"/>
        <v>#N/A</v>
      </c>
      <c r="AC10" s="688" t="e">
        <f t="shared" si="10"/>
        <v>#N/A</v>
      </c>
      <c r="AD10" s="689" t="e">
        <f>(HLOOKUP(1,$O$6:$Z$19,5,FALSE))</f>
        <v>#N/A</v>
      </c>
      <c r="AE10" s="688" t="e">
        <f t="shared" si="11"/>
        <v>#N/A</v>
      </c>
      <c r="AF10" s="690" t="e">
        <f t="shared" si="12"/>
        <v>#N/A</v>
      </c>
      <c r="AG10" s="290" t="e">
        <f t="shared" ref="AG10:AG15" si="15">VLOOKUP(AH10,$AR$25:$BM$40,19,FALSE)</f>
        <v>#VALUE!</v>
      </c>
      <c r="AH10" s="290" t="e">
        <f>VALUE(MID($AU$24,1+SUM($J$9:$J9),VALUE(MID($AV$24,2,1))))</f>
        <v>#VALUE!</v>
      </c>
      <c r="AI10" s="287" t="e">
        <f t="shared" ref="AI10:AI15" si="16">VLOOKUP(AG10,$AR$25:$BM$40,18,FALSE)</f>
        <v>#VALUE!</v>
      </c>
      <c r="AL10" s="318"/>
      <c r="AM10" s="297"/>
      <c r="AN10" s="297"/>
      <c r="AU10" s="319" t="s">
        <v>319</v>
      </c>
      <c r="AV10" s="320" t="e">
        <f ca="1">ABS(O91)</f>
        <v>#NAME?</v>
      </c>
      <c r="AW10" s="320" t="e">
        <f t="shared" ref="AW10:BG10" ca="1" si="17">ABS(P91)</f>
        <v>#NAME?</v>
      </c>
      <c r="AX10" s="320" t="e">
        <f t="shared" ca="1" si="17"/>
        <v>#NAME?</v>
      </c>
      <c r="AY10" s="320" t="e">
        <f t="shared" ca="1" si="17"/>
        <v>#NAME?</v>
      </c>
      <c r="AZ10" s="320" t="e">
        <f t="shared" ca="1" si="17"/>
        <v>#NAME?</v>
      </c>
      <c r="BA10" s="320" t="e">
        <f t="shared" ca="1" si="17"/>
        <v>#NAME?</v>
      </c>
      <c r="BB10" s="320" t="e">
        <f t="shared" ca="1" si="17"/>
        <v>#NAME?</v>
      </c>
      <c r="BC10" s="320" t="e">
        <f t="shared" ca="1" si="17"/>
        <v>#NAME?</v>
      </c>
      <c r="BD10" s="320" t="e">
        <f t="shared" ca="1" si="17"/>
        <v>#NAME?</v>
      </c>
      <c r="BE10" s="320" t="e">
        <f t="shared" ca="1" si="17"/>
        <v>#NAME?</v>
      </c>
      <c r="BF10" s="320" t="e">
        <f t="shared" ca="1" si="17"/>
        <v>#NAME?</v>
      </c>
      <c r="BG10" s="320" t="e">
        <f t="shared" ca="1" si="17"/>
        <v>#NAME?</v>
      </c>
      <c r="BH10" s="297">
        <v>3</v>
      </c>
      <c r="BI10" s="297" t="s">
        <v>320</v>
      </c>
      <c r="BJ10" s="297" t="s">
        <v>321</v>
      </c>
      <c r="BK10" s="297"/>
      <c r="BL10" s="297"/>
      <c r="BM10" s="297"/>
      <c r="BN10" s="297"/>
      <c r="BO10" s="297">
        <v>6</v>
      </c>
      <c r="BP10" s="297" t="s">
        <v>290</v>
      </c>
      <c r="BQ10" s="297" t="s">
        <v>340</v>
      </c>
      <c r="BR10" s="297" t="s">
        <v>284</v>
      </c>
    </row>
    <row r="11" spans="1:73">
      <c r="C11" s="321" t="str">
        <f>DB_LOAD!V4</f>
        <v>Solvency</v>
      </c>
      <c r="D11" s="329">
        <f>IF(ISBLANK(DB_LOAD!N4),"",DB_LOAD!N4)</f>
        <v>2</v>
      </c>
      <c r="E11" s="330"/>
      <c r="F11" s="330" t="str">
        <f>IF(ISBLANK(DB_LOAD!P4),"",DB_LOAD!R4)</f>
        <v>AZN</v>
      </c>
      <c r="G11" s="331">
        <f>IF(ISBLANK(DB_LOAD!R4),"",DB_LOAD!Q4)</f>
        <v>2006507.1770329999</v>
      </c>
      <c r="H11" s="1095">
        <f>IF(C11=3,"-",IF(ISBLANK(DB_LOAD!S4),"",DB_LOAD!U4))</f>
        <v>0</v>
      </c>
      <c r="I11" s="332">
        <f>IF(C11=3,"Equity ",IF(ISBLANK(DB_LOAD!T4),"",DB_LOAD!T4))</f>
        <v>1498070.9692780001</v>
      </c>
      <c r="J11" s="695">
        <f>IFERROR(VALUE(MID($AV$24,3,1)),)</f>
        <v>0</v>
      </c>
      <c r="K11" s="290">
        <f t="shared" si="6"/>
        <v>0</v>
      </c>
      <c r="L11" s="290">
        <f t="shared" si="7"/>
        <v>0</v>
      </c>
      <c r="M11" s="290" t="e">
        <f t="shared" si="14"/>
        <v>#N/A</v>
      </c>
      <c r="N11" s="333" t="str">
        <f>IFERROR(VLOOKUP(VALUE(MID($AU$24,1+SUM($J$9:J10),VALUE(MID($AV$24,3,1)))),$AR$25:$BM$40,3,FALSE),"")</f>
        <v/>
      </c>
      <c r="O11" s="689" t="e">
        <f>TEXT(IFERROR(VLOOKUP(VALUE(MID($AU$24,1+SUM($J$9:$J10),VALUE(MID($AV$24,3,1)))),$AR$25:$BM$40,O$16,FALSE),""),$M11)</f>
        <v>#N/A</v>
      </c>
      <c r="P11" s="689" t="e">
        <f>TEXT(IFERROR(VLOOKUP(VALUE(MID($AU$24,1+SUM($J$9:$J10),VALUE(MID($AV$24,3,1)))),$AR$25:$BM$40,P$16,FALSE),""),$M11)</f>
        <v>#N/A</v>
      </c>
      <c r="Q11" s="689" t="e">
        <f>TEXT(IFERROR(VLOOKUP(VALUE(MID($AU$24,1+SUM($J$9:$J10),VALUE(MID($AV$24,3,1)))),$AR$25:$BM$40,Q$16,FALSE),""),$M11)</f>
        <v>#N/A</v>
      </c>
      <c r="R11" s="689" t="e">
        <f>TEXT(IFERROR(VLOOKUP(VALUE(MID($AU$24,1+SUM($J$9:$J10),VALUE(MID($AV$24,3,1)))),$AR$25:$BM$40,R$16,FALSE),""),$M11)</f>
        <v>#N/A</v>
      </c>
      <c r="S11" s="689" t="e">
        <f>TEXT(IFERROR(VLOOKUP(VALUE(MID($AU$24,1+SUM($J$9:$J10),VALUE(MID($AV$24,3,1)))),$AR$25:$BM$40,S$16,FALSE),""),$M11)</f>
        <v>#N/A</v>
      </c>
      <c r="T11" s="689" t="e">
        <f>TEXT(IFERROR(VLOOKUP(VALUE(MID($AU$24,1+SUM($J$9:$J10),VALUE(MID($AV$24,3,1)))),$AR$25:$BM$40,T$16,FALSE),""),$M11)</f>
        <v>#N/A</v>
      </c>
      <c r="U11" s="689" t="e">
        <f>TEXT(IFERROR(VLOOKUP(VALUE(MID($AU$24,1+SUM($J$9:$J10),VALUE(MID($AV$24,3,1)))),$AR$25:$BM$40,U$16,FALSE),""),$M11)</f>
        <v>#N/A</v>
      </c>
      <c r="V11" s="689" t="e">
        <f>TEXT(IFERROR(VLOOKUP(VALUE(MID($AU$24,1+SUM($J$9:$J10),VALUE(MID($AV$24,3,1)))),$AR$25:$BM$40,V$16,FALSE),""),$M11)</f>
        <v>#N/A</v>
      </c>
      <c r="W11" s="689" t="e">
        <f>TEXT(IFERROR(VLOOKUP(VALUE(MID($AU$24,1+SUM($J$9:$J10),VALUE(MID($AV$24,3,1)))),$AR$25:$BM$40,W$16,FALSE),""),$M11)</f>
        <v>#N/A</v>
      </c>
      <c r="X11" s="689" t="e">
        <f>TEXT(IFERROR(VLOOKUP(VALUE(MID($AU$24,1+SUM($J$9:$J10),VALUE(MID($AV$24,3,1)))),$AR$25:$BM$40,X$16,FALSE),""),$M11)</f>
        <v>#N/A</v>
      </c>
      <c r="Y11" s="689" t="e">
        <f>TEXT(IFERROR(VLOOKUP(VALUE(MID($AU$24,1+SUM($J$9:$J10),VALUE(MID($AV$24,3,1)))),$AR$25:$BM$40,Y$16,FALSE),""),$M11)</f>
        <v>#N/A</v>
      </c>
      <c r="Z11" s="689" t="e">
        <f>TEXT(IFERROR(VLOOKUP(VALUE(MID($AU$24,1+SUM($J$9:$J10),VALUE(MID($AV$24,3,1)))),$AR$25:$BM$40,Z$16,FALSE),""),$M11)</f>
        <v>#N/A</v>
      </c>
      <c r="AA11" s="686"/>
      <c r="AB11" s="687" t="e">
        <f t="shared" si="9"/>
        <v>#N/A</v>
      </c>
      <c r="AC11" s="688" t="e">
        <f t="shared" si="10"/>
        <v>#N/A</v>
      </c>
      <c r="AD11" s="689" t="e">
        <f>(HLOOKUP(1,$O$6:$Z$19,6,FALSE))</f>
        <v>#N/A</v>
      </c>
      <c r="AE11" s="688" t="e">
        <f t="shared" si="11"/>
        <v>#N/A</v>
      </c>
      <c r="AF11" s="690" t="e">
        <f t="shared" si="12"/>
        <v>#N/A</v>
      </c>
      <c r="AG11" s="290" t="e">
        <f t="shared" si="15"/>
        <v>#VALUE!</v>
      </c>
      <c r="AH11" s="290" t="e">
        <f>VALUE(MID($AU$24,1+SUM($J$9:$J10),VALUE(MID($AV$24,3,1))))</f>
        <v>#VALUE!</v>
      </c>
      <c r="AI11" s="287" t="e">
        <f t="shared" si="16"/>
        <v>#VALUE!</v>
      </c>
      <c r="AL11" s="318"/>
      <c r="AM11" s="297"/>
      <c r="AN11" s="297"/>
      <c r="AU11" s="319" t="s">
        <v>322</v>
      </c>
      <c r="AV11" s="320" t="e">
        <f ca="1">ABS(O92)</f>
        <v>#NAME?</v>
      </c>
      <c r="AW11" s="320" t="e">
        <f t="shared" ref="AW11:BG11" ca="1" si="18">ABS(P92)</f>
        <v>#NAME?</v>
      </c>
      <c r="AX11" s="320" t="e">
        <f t="shared" ca="1" si="18"/>
        <v>#NAME?</v>
      </c>
      <c r="AY11" s="320" t="e">
        <f t="shared" ca="1" si="18"/>
        <v>#NAME?</v>
      </c>
      <c r="AZ11" s="320" t="e">
        <f t="shared" ca="1" si="18"/>
        <v>#NAME?</v>
      </c>
      <c r="BA11" s="320" t="e">
        <f t="shared" ca="1" si="18"/>
        <v>#NAME?</v>
      </c>
      <c r="BB11" s="320" t="e">
        <f t="shared" ca="1" si="18"/>
        <v>#NAME?</v>
      </c>
      <c r="BC11" s="320" t="e">
        <f t="shared" ca="1" si="18"/>
        <v>#NAME?</v>
      </c>
      <c r="BD11" s="320" t="e">
        <f t="shared" ca="1" si="18"/>
        <v>#NAME?</v>
      </c>
      <c r="BE11" s="320" t="e">
        <f t="shared" ca="1" si="18"/>
        <v>#NAME?</v>
      </c>
      <c r="BF11" s="320" t="e">
        <f t="shared" ca="1" si="18"/>
        <v>#NAME?</v>
      </c>
      <c r="BG11" s="320" t="e">
        <f t="shared" ca="1" si="18"/>
        <v>#NAME?</v>
      </c>
      <c r="BH11" s="297">
        <v>4</v>
      </c>
      <c r="BI11" s="297" t="s">
        <v>323</v>
      </c>
      <c r="BJ11" s="297" t="s">
        <v>324</v>
      </c>
      <c r="BK11" s="297"/>
      <c r="BL11" s="297"/>
      <c r="BM11" s="297"/>
      <c r="BN11" s="297"/>
      <c r="BO11" s="297">
        <v>7</v>
      </c>
      <c r="BP11" s="297" t="s">
        <v>289</v>
      </c>
      <c r="BQ11" s="297" t="s">
        <v>341</v>
      </c>
      <c r="BR11" s="297" t="s">
        <v>342</v>
      </c>
    </row>
    <row r="12" spans="1:73">
      <c r="C12" s="321" t="str">
        <f>DB_LOAD!V5</f>
        <v>Unhedged FX</v>
      </c>
      <c r="D12" s="329">
        <f>IF(ISBLANK(DB_LOAD!N5),"",DB_LOAD!N5)</f>
        <v>2</v>
      </c>
      <c r="E12" s="330"/>
      <c r="F12" s="330" t="str">
        <f>IF(ISBLANK(DB_LOAD!P5),"",DB_LOAD!R5)</f>
        <v>USD</v>
      </c>
      <c r="G12" s="331">
        <f>IF(ISBLANK(DB_LOAD!R5),"",DB_LOAD!Q5)</f>
        <v>0</v>
      </c>
      <c r="H12" s="1095">
        <f>IF(C12=3,"-",IF(ISBLANK(DB_LOAD!S5),"",DB_LOAD!U5))</f>
        <v>0</v>
      </c>
      <c r="I12" s="332">
        <f>IF(C12=3,"Equity ",IF(ISBLANK(DB_LOAD!T5),"",DB_LOAD!T5))</f>
        <v>5500000</v>
      </c>
      <c r="J12" s="695">
        <f>IFERROR(VALUE(MID($AV$24,4,1)),0)</f>
        <v>0</v>
      </c>
      <c r="K12" s="290">
        <f t="shared" si="6"/>
        <v>0</v>
      </c>
      <c r="L12" s="290">
        <f t="shared" si="7"/>
        <v>0</v>
      </c>
      <c r="M12" s="290" t="e">
        <f t="shared" si="14"/>
        <v>#N/A</v>
      </c>
      <c r="N12" s="333" t="str">
        <f>IFERROR(VLOOKUP(VALUE(MID($AU$24,1+SUM($J$9:J11),VALUE(MID($AV$24,4,1)))),$AR$25:$BM$40,3,FALSE),"")</f>
        <v/>
      </c>
      <c r="O12" s="689" t="e">
        <f>TEXT(IFERROR(VLOOKUP(VALUE(MID($AU$24,1+SUM($J$9:$J11),VALUE(MID($AV$24,4,1)))),$AR$25:$BM$40,O$16,FALSE),""),$M12)</f>
        <v>#N/A</v>
      </c>
      <c r="P12" s="689" t="e">
        <f>TEXT(IFERROR(VLOOKUP(VALUE(MID($AU$24,1+SUM($J$9:$J11),VALUE(MID($AV$24,4,1)))),$AR$25:$BM$40,P$16,FALSE),""),$M12)</f>
        <v>#N/A</v>
      </c>
      <c r="Q12" s="689" t="e">
        <f>TEXT(IFERROR(VLOOKUP(VALUE(MID($AU$24,1+SUM($J$9:$J11),VALUE(MID($AV$24,4,1)))),$AR$25:$BM$40,Q$16,FALSE),""),$M12)</f>
        <v>#N/A</v>
      </c>
      <c r="R12" s="689" t="e">
        <f>TEXT(IFERROR(VLOOKUP(VALUE(MID($AU$24,1+SUM($J$9:$J11),VALUE(MID($AV$24,4,1)))),$AR$25:$BM$40,R$16,FALSE),""),$M12)</f>
        <v>#N/A</v>
      </c>
      <c r="S12" s="689" t="e">
        <f>TEXT(IFERROR(VLOOKUP(VALUE(MID($AU$24,1+SUM($J$9:$J11),VALUE(MID($AV$24,4,1)))),$AR$25:$BM$40,S$16,FALSE),""),$M12)</f>
        <v>#N/A</v>
      </c>
      <c r="T12" s="689" t="e">
        <f>TEXT(IFERROR(VLOOKUP(VALUE(MID($AU$24,1+SUM($J$9:$J11),VALUE(MID($AV$24,4,1)))),$AR$25:$BM$40,T$16,FALSE),""),$M12)</f>
        <v>#N/A</v>
      </c>
      <c r="U12" s="689" t="e">
        <f>TEXT(IFERROR(VLOOKUP(VALUE(MID($AU$24,1+SUM($J$9:$J11),VALUE(MID($AV$24,4,1)))),$AR$25:$BM$40,U$16,FALSE),""),$M12)</f>
        <v>#N/A</v>
      </c>
      <c r="V12" s="689" t="e">
        <f>TEXT(IFERROR(VLOOKUP(VALUE(MID($AU$24,1+SUM($J$9:$J11),VALUE(MID($AV$24,4,1)))),$AR$25:$BM$40,V$16,FALSE),""),$M12)</f>
        <v>#N/A</v>
      </c>
      <c r="W12" s="689" t="e">
        <f>TEXT(IFERROR(VLOOKUP(VALUE(MID($AU$24,1+SUM($J$9:$J11),VALUE(MID($AV$24,4,1)))),$AR$25:$BM$40,W$16,FALSE),""),$M12)</f>
        <v>#N/A</v>
      </c>
      <c r="X12" s="689" t="e">
        <f>TEXT(IFERROR(VLOOKUP(VALUE(MID($AU$24,1+SUM($J$9:$J11),VALUE(MID($AV$24,4,1)))),$AR$25:$BM$40,X$16,FALSE),""),$M12)</f>
        <v>#N/A</v>
      </c>
      <c r="Y12" s="689" t="e">
        <f>TEXT(IFERROR(VLOOKUP(VALUE(MID($AU$24,1+SUM($J$9:$J11),VALUE(MID($AV$24,4,1)))),$AR$25:$BM$40,Y$16,FALSE),""),$M12)</f>
        <v>#N/A</v>
      </c>
      <c r="Z12" s="689" t="e">
        <f>TEXT(IFERROR(VLOOKUP(VALUE(MID($AU$24,1+SUM($J$9:$J11),VALUE(MID($AV$24,4,1)))),$AR$25:$BM$40,Z$16,FALSE),""),$M12)</f>
        <v>#N/A</v>
      </c>
      <c r="AA12" s="691"/>
      <c r="AB12" s="687" t="e">
        <f t="shared" si="9"/>
        <v>#N/A</v>
      </c>
      <c r="AC12" s="688" t="e">
        <f t="shared" si="10"/>
        <v>#N/A</v>
      </c>
      <c r="AD12" s="689" t="e">
        <f>(HLOOKUP(1,$O$6:$Z$19,7,FALSE))</f>
        <v>#N/A</v>
      </c>
      <c r="AE12" s="688" t="e">
        <f t="shared" si="11"/>
        <v>#N/A</v>
      </c>
      <c r="AF12" s="690" t="e">
        <f t="shared" si="12"/>
        <v>#N/A</v>
      </c>
      <c r="AG12" s="290" t="e">
        <f t="shared" si="15"/>
        <v>#VALUE!</v>
      </c>
      <c r="AH12" s="290" t="e">
        <f>VALUE(MID($AU$24,1+SUM($J$9:$J11),VALUE(MID($AV$24,4,1))))</f>
        <v>#VALUE!</v>
      </c>
      <c r="AI12" s="287" t="e">
        <f t="shared" si="16"/>
        <v>#VALUE!</v>
      </c>
      <c r="AL12" s="318"/>
      <c r="AM12" s="297"/>
      <c r="AN12" s="297"/>
      <c r="AU12" s="319" t="s">
        <v>325</v>
      </c>
      <c r="AV12" s="335" t="e">
        <f>DATA_FORMATTING!BW176</f>
        <v>#NAME?</v>
      </c>
      <c r="AW12" s="335" t="e">
        <f>DATA_FORMATTING!BX176</f>
        <v>#NAME?</v>
      </c>
      <c r="AX12" s="335" t="e">
        <f>DATA_FORMATTING!BY176</f>
        <v>#NAME?</v>
      </c>
      <c r="AY12" s="335" t="e">
        <f>DATA_FORMATTING!BZ176</f>
        <v>#NAME?</v>
      </c>
      <c r="AZ12" s="335" t="e">
        <f>DATA_FORMATTING!CA176</f>
        <v>#NAME?</v>
      </c>
      <c r="BA12" s="335" t="e">
        <f>DATA_FORMATTING!CB176</f>
        <v>#NAME?</v>
      </c>
      <c r="BB12" s="335" t="e">
        <f>DATA_FORMATTING!CC176</f>
        <v>#NAME?</v>
      </c>
      <c r="BC12" s="335" t="e">
        <f>DATA_FORMATTING!CD176</f>
        <v>#NAME?</v>
      </c>
      <c r="BD12" s="335" t="e">
        <f>DATA_FORMATTING!CE176</f>
        <v>#NAME?</v>
      </c>
      <c r="BE12" s="335" t="e">
        <f>DATA_FORMATTING!CF176</f>
        <v>#NAME?</v>
      </c>
      <c r="BF12" s="335" t="e">
        <f>DATA_FORMATTING!CG176</f>
        <v>#NAME?</v>
      </c>
      <c r="BG12" s="335" t="e">
        <f>DATA_FORMATTING!CH176</f>
        <v>#NAME?</v>
      </c>
      <c r="BH12" s="297">
        <v>5</v>
      </c>
      <c r="BI12" s="297" t="s">
        <v>326</v>
      </c>
      <c r="BJ12" s="297" t="s">
        <v>326</v>
      </c>
      <c r="BK12" s="297"/>
      <c r="BL12" s="297"/>
      <c r="BM12" s="297"/>
      <c r="BN12" s="297"/>
      <c r="BO12" s="297">
        <v>8</v>
      </c>
      <c r="BP12" s="297" t="s">
        <v>343</v>
      </c>
      <c r="BQ12" s="297" t="s">
        <v>344</v>
      </c>
      <c r="BR12" s="297" t="s">
        <v>345</v>
      </c>
    </row>
    <row r="13" spans="1:73">
      <c r="C13" s="321">
        <f>DB_LOAD!V6</f>
        <v>0</v>
      </c>
      <c r="D13" s="329">
        <f>IF(ISBLANK(DB_LOAD!N6),"",DB_LOAD!N6)</f>
        <v>15</v>
      </c>
      <c r="E13" s="330"/>
      <c r="F13" s="330" t="str">
        <f>IF(ISBLANK(DB_LOAD!P6),"",DB_LOAD!R6)</f>
        <v>AZN</v>
      </c>
      <c r="G13" s="331">
        <f>IF(ISBLANK(DB_LOAD!R6),"",DB_LOAD!Q6)</f>
        <v>1638364.141573</v>
      </c>
      <c r="H13" s="1095">
        <f>IF(C13=3,"-",IF(ISBLANK(DB_LOAD!S6),"",DB_LOAD!U6))</f>
        <v>0</v>
      </c>
      <c r="I13" s="332">
        <f>IF(C13=3,"Equity ",IF(ISBLANK(DB_LOAD!T6),"",DB_LOAD!T6))</f>
        <v>1225005.001191</v>
      </c>
      <c r="J13" s="695">
        <f>IFERROR(VALUE(MID($AV$24,5,1)),0)</f>
        <v>0</v>
      </c>
      <c r="K13" s="290">
        <f t="shared" si="6"/>
        <v>0</v>
      </c>
      <c r="L13" s="290">
        <f t="shared" si="7"/>
        <v>0</v>
      </c>
      <c r="M13" s="290" t="e">
        <f t="shared" si="14"/>
        <v>#N/A</v>
      </c>
      <c r="N13" s="333" t="str">
        <f>IFERROR(VLOOKUP(VALUE(MID($AU$24,1+SUM($J$9:J12),VALUE(MID($AV$24,5,1)))),$AR$25:$BM$40,3,FALSE),"")</f>
        <v/>
      </c>
      <c r="O13" s="689" t="e">
        <f>TEXT(IFERROR(VLOOKUP(VALUE(MID($AU$24,1+SUM($J$9:$J12),VALUE(MID($AV$24,5,1)))),$AR$25:$BM$40,O$16,FALSE),""),$M13)</f>
        <v>#N/A</v>
      </c>
      <c r="P13" s="689" t="e">
        <f>TEXT(IFERROR(VLOOKUP(VALUE(MID($AU$24,1+SUM($J$9:$J12),VALUE(MID($AV$24,5,1)))),$AR$25:$BM$40,P$16,FALSE),""),$M13)</f>
        <v>#N/A</v>
      </c>
      <c r="Q13" s="689" t="e">
        <f>TEXT(IFERROR(VLOOKUP(VALUE(MID($AU$24,1+SUM($J$9:$J12),VALUE(MID($AV$24,5,1)))),$AR$25:$BM$40,Q$16,FALSE),""),$M13)</f>
        <v>#N/A</v>
      </c>
      <c r="R13" s="689" t="e">
        <f>TEXT(IFERROR(VLOOKUP(VALUE(MID($AU$24,1+SUM($J$9:$J12),VALUE(MID($AV$24,5,1)))),$AR$25:$BM$40,R$16,FALSE),""),$M13)</f>
        <v>#N/A</v>
      </c>
      <c r="S13" s="689" t="e">
        <f>TEXT(IFERROR(VLOOKUP(VALUE(MID($AU$24,1+SUM($J$9:$J12),VALUE(MID($AV$24,5,1)))),$AR$25:$BM$40,S$16,FALSE),""),$M13)</f>
        <v>#N/A</v>
      </c>
      <c r="T13" s="689" t="e">
        <f>TEXT(IFERROR(VLOOKUP(VALUE(MID($AU$24,1+SUM($J$9:$J12),VALUE(MID($AV$24,5,1)))),$AR$25:$BM$40,T$16,FALSE),""),$M13)</f>
        <v>#N/A</v>
      </c>
      <c r="U13" s="689" t="e">
        <f>TEXT(IFERROR(VLOOKUP(VALUE(MID($AU$24,1+SUM($J$9:$J12),VALUE(MID($AV$24,5,1)))),$AR$25:$BM$40,U$16,FALSE),""),$M13)</f>
        <v>#N/A</v>
      </c>
      <c r="V13" s="689" t="e">
        <f>TEXT(IFERROR(VLOOKUP(VALUE(MID($AU$24,1+SUM($J$9:$J12),VALUE(MID($AV$24,5,1)))),$AR$25:$BM$40,V$16,FALSE),""),$M13)</f>
        <v>#N/A</v>
      </c>
      <c r="W13" s="689" t="e">
        <f>TEXT(IFERROR(VLOOKUP(VALUE(MID($AU$24,1+SUM($J$9:$J12),VALUE(MID($AV$24,5,1)))),$AR$25:$BM$40,W$16,FALSE),""),$M13)</f>
        <v>#N/A</v>
      </c>
      <c r="X13" s="689" t="e">
        <f>TEXT(IFERROR(VLOOKUP(VALUE(MID($AU$24,1+SUM($J$9:$J12),VALUE(MID($AV$24,5,1)))),$AR$25:$BM$40,X$16,FALSE),""),$M13)</f>
        <v>#N/A</v>
      </c>
      <c r="Y13" s="689" t="e">
        <f>TEXT(IFERROR(VLOOKUP(VALUE(MID($AU$24,1+SUM($J$9:$J12),VALUE(MID($AV$24,5,1)))),$AR$25:$BM$40,Y$16,FALSE),""),$M13)</f>
        <v>#N/A</v>
      </c>
      <c r="Z13" s="689" t="e">
        <f>TEXT(IFERROR(VLOOKUP(VALUE(MID($AU$24,1+SUM($J$9:$J12),VALUE(MID($AV$24,5,1)))),$AR$25:$BM$40,Z$16,FALSE),""),$M13)</f>
        <v>#N/A</v>
      </c>
      <c r="AA13" s="691"/>
      <c r="AB13" s="687" t="e">
        <f t="shared" si="9"/>
        <v>#N/A</v>
      </c>
      <c r="AC13" s="688" t="e">
        <f t="shared" si="10"/>
        <v>#N/A</v>
      </c>
      <c r="AD13" s="689" t="e">
        <f>(HLOOKUP(1,$O$6:$Z$19,8,FALSE))</f>
        <v>#N/A</v>
      </c>
      <c r="AE13" s="688" t="e">
        <f t="shared" si="11"/>
        <v>#N/A</v>
      </c>
      <c r="AF13" s="690" t="e">
        <f t="shared" si="12"/>
        <v>#N/A</v>
      </c>
      <c r="AG13" s="290" t="e">
        <f t="shared" si="15"/>
        <v>#VALUE!</v>
      </c>
      <c r="AH13" s="290" t="e">
        <f>VALUE(MID($AU$24,1+SUM($J$9:$J12),VALUE(MID($AV$24,5,1))))</f>
        <v>#VALUE!</v>
      </c>
      <c r="AI13" s="287" t="e">
        <f t="shared" si="16"/>
        <v>#VALUE!</v>
      </c>
      <c r="AJ13" s="336"/>
      <c r="AL13" s="298"/>
      <c r="AM13" s="297"/>
      <c r="AN13" s="297"/>
      <c r="AU13" s="319" t="s">
        <v>2</v>
      </c>
      <c r="AV13" s="320" t="e">
        <f t="shared" ref="AV13:BG13" ca="1" si="19">O89</f>
        <v>#NAME?</v>
      </c>
      <c r="AW13" s="320" t="e">
        <f t="shared" ca="1" si="19"/>
        <v>#NAME?</v>
      </c>
      <c r="AX13" s="320" t="e">
        <f t="shared" ca="1" si="19"/>
        <v>#NAME?</v>
      </c>
      <c r="AY13" s="320" t="e">
        <f t="shared" ca="1" si="19"/>
        <v>#NAME?</v>
      </c>
      <c r="AZ13" s="320" t="e">
        <f t="shared" ca="1" si="19"/>
        <v>#NAME?</v>
      </c>
      <c r="BA13" s="320" t="e">
        <f t="shared" ca="1" si="19"/>
        <v>#NAME?</v>
      </c>
      <c r="BB13" s="320" t="e">
        <f t="shared" ca="1" si="19"/>
        <v>#NAME?</v>
      </c>
      <c r="BC13" s="320" t="e">
        <f t="shared" ca="1" si="19"/>
        <v>#NAME?</v>
      </c>
      <c r="BD13" s="320" t="e">
        <f t="shared" ca="1" si="19"/>
        <v>#NAME?</v>
      </c>
      <c r="BE13" s="320" t="e">
        <f t="shared" ca="1" si="19"/>
        <v>#NAME?</v>
      </c>
      <c r="BF13" s="320" t="e">
        <f t="shared" ca="1" si="19"/>
        <v>#NAME?</v>
      </c>
      <c r="BG13" s="320" t="e">
        <f t="shared" ca="1" si="19"/>
        <v>#NAME?</v>
      </c>
      <c r="BH13" s="297">
        <v>6</v>
      </c>
      <c r="BI13" s="297" t="s">
        <v>327</v>
      </c>
      <c r="BJ13" s="297" t="s">
        <v>327</v>
      </c>
      <c r="BK13" s="297"/>
      <c r="BL13" s="297"/>
      <c r="BM13" s="297"/>
      <c r="BN13" s="297"/>
      <c r="BO13" s="297">
        <v>9</v>
      </c>
      <c r="BP13" s="365" t="s">
        <v>346</v>
      </c>
      <c r="BQ13" s="287" t="s">
        <v>347</v>
      </c>
      <c r="BR13" s="287" t="s">
        <v>335</v>
      </c>
    </row>
    <row r="14" spans="1:73">
      <c r="C14" s="321">
        <f>DB_LOAD!V7</f>
        <v>0</v>
      </c>
      <c r="D14" s="329">
        <f>IF(ISBLANK(DB_LOAD!N7),"",DB_LOAD!N7)</f>
        <v>15</v>
      </c>
      <c r="E14" s="330"/>
      <c r="F14" s="330" t="str">
        <f>IF(ISBLANK(DB_LOAD!P7),"",DB_LOAD!R7)</f>
        <v>AZN</v>
      </c>
      <c r="G14" s="331">
        <f>IF(ISBLANK(DB_LOAD!R7),"",DB_LOAD!Q7)</f>
        <v>1400982.3308029999</v>
      </c>
      <c r="H14" s="1095">
        <f>IF(C14=3,"-",IF(ISBLANK(DB_LOAD!S7),"",DB_LOAD!U7))</f>
        <v>0</v>
      </c>
      <c r="I14" s="332">
        <f>IF(C14=3,"Equity ",IF(ISBLANK(DB_LOAD!T7),"",DB_LOAD!T7))</f>
        <v>1046115.7418430001</v>
      </c>
      <c r="J14" s="695">
        <f>IFERROR(VALUE(MID($AV$24,6,1)),0)</f>
        <v>0</v>
      </c>
      <c r="K14" s="290">
        <f t="shared" si="6"/>
        <v>0</v>
      </c>
      <c r="L14" s="290">
        <f t="shared" si="7"/>
        <v>0</v>
      </c>
      <c r="M14" s="290" t="e">
        <f t="shared" si="14"/>
        <v>#N/A</v>
      </c>
      <c r="N14" s="333" t="str">
        <f>IFERROR(VLOOKUP(VALUE(MID($AU$24,1+SUM($J$9:J13),VALUE(MID($AV$24,6,1)))),$AR$25:$BM$40,3,FALSE),"")</f>
        <v/>
      </c>
      <c r="O14" s="689" t="e">
        <f>TEXT(IFERROR(VLOOKUP(VALUE(MID($AU$24,1+SUM($J$9:$J13),VALUE(MID($AV$24,6,1)))),$AR$25:$BM$40,O$16,FALSE),""),$M14)</f>
        <v>#N/A</v>
      </c>
      <c r="P14" s="689" t="e">
        <f>TEXT(IFERROR(VLOOKUP(VALUE(MID($AU$24,1+SUM($J$9:$J13),VALUE(MID($AV$24,6,1)))),$AR$25:$BM$40,P$16,FALSE),""),$M14)</f>
        <v>#N/A</v>
      </c>
      <c r="Q14" s="689" t="e">
        <f>TEXT(IFERROR(VLOOKUP(VALUE(MID($AU$24,1+SUM($J$9:$J13),VALUE(MID($AV$24,6,1)))),$AR$25:$BM$40,Q$16,FALSE),""),$M14)</f>
        <v>#N/A</v>
      </c>
      <c r="R14" s="689" t="e">
        <f>TEXT(IFERROR(VLOOKUP(VALUE(MID($AU$24,1+SUM($J$9:$J13),VALUE(MID($AV$24,6,1)))),$AR$25:$BM$40,R$16,FALSE),""),$M14)</f>
        <v>#N/A</v>
      </c>
      <c r="S14" s="689" t="e">
        <f>TEXT(IFERROR(VLOOKUP(VALUE(MID($AU$24,1+SUM($J$9:$J13),VALUE(MID($AV$24,6,1)))),$AR$25:$BM$40,S$16,FALSE),""),$M14)</f>
        <v>#N/A</v>
      </c>
      <c r="T14" s="689" t="e">
        <f>TEXT(IFERROR(VLOOKUP(VALUE(MID($AU$24,1+SUM($J$9:$J13),VALUE(MID($AV$24,6,1)))),$AR$25:$BM$40,T$16,FALSE),""),$M14)</f>
        <v>#N/A</v>
      </c>
      <c r="U14" s="689" t="e">
        <f>TEXT(IFERROR(VLOOKUP(VALUE(MID($AU$24,1+SUM($J$9:$J13),VALUE(MID($AV$24,6,1)))),$AR$25:$BM$40,U$16,FALSE),""),$M14)</f>
        <v>#N/A</v>
      </c>
      <c r="V14" s="689" t="e">
        <f>TEXT(IFERROR(VLOOKUP(VALUE(MID($AU$24,1+SUM($J$9:$J13),VALUE(MID($AV$24,6,1)))),$AR$25:$BM$40,V$16,FALSE),""),$M14)</f>
        <v>#N/A</v>
      </c>
      <c r="W14" s="689" t="e">
        <f>TEXT(IFERROR(VLOOKUP(VALUE(MID($AU$24,1+SUM($J$9:$J13),VALUE(MID($AV$24,6,1)))),$AR$25:$BM$40,W$16,FALSE),""),$M14)</f>
        <v>#N/A</v>
      </c>
      <c r="X14" s="689" t="e">
        <f>TEXT(IFERROR(VLOOKUP(VALUE(MID($AU$24,1+SUM($J$9:$J13),VALUE(MID($AV$24,6,1)))),$AR$25:$BM$40,X$16,FALSE),""),$M14)</f>
        <v>#N/A</v>
      </c>
      <c r="Y14" s="689" t="e">
        <f>TEXT(IFERROR(VLOOKUP(VALUE(MID($AU$24,1+SUM($J$9:$J13),VALUE(MID($AV$24,6,1)))),$AR$25:$BM$40,Y$16,FALSE),""),$M14)</f>
        <v>#N/A</v>
      </c>
      <c r="Z14" s="689" t="e">
        <f>TEXT(IFERROR(VLOOKUP(VALUE(MID($AU$24,1+SUM($J$9:$J13),VALUE(MID($AV$24,6,1)))),$AR$25:$BM$40,Z$16,FALSE),""),$M14)</f>
        <v>#N/A</v>
      </c>
      <c r="AA14" s="692"/>
      <c r="AB14" s="687" t="e">
        <f t="shared" si="9"/>
        <v>#N/A</v>
      </c>
      <c r="AC14" s="688" t="e">
        <f t="shared" si="10"/>
        <v>#N/A</v>
      </c>
      <c r="AD14" s="689" t="e">
        <f>(HLOOKUP(1,$O$6:$Z$19,9,FALSE))</f>
        <v>#N/A</v>
      </c>
      <c r="AE14" s="688" t="e">
        <f t="shared" si="11"/>
        <v>#N/A</v>
      </c>
      <c r="AF14" s="690" t="e">
        <f t="shared" si="12"/>
        <v>#N/A</v>
      </c>
      <c r="AG14" s="290" t="e">
        <f t="shared" si="15"/>
        <v>#VALUE!</v>
      </c>
      <c r="AH14" s="290" t="e">
        <f>VALUE(MID($AU$24,1+SUM($J$9:$J13),VALUE(MID($AV$24,6,1))))</f>
        <v>#VALUE!</v>
      </c>
      <c r="AI14" s="287" t="e">
        <f t="shared" si="16"/>
        <v>#VALUE!</v>
      </c>
      <c r="AJ14" s="336"/>
      <c r="AK14" s="336"/>
      <c r="AL14" s="336"/>
      <c r="AM14" s="336"/>
      <c r="AN14" s="336"/>
      <c r="AU14" s="319" t="s">
        <v>443</v>
      </c>
      <c r="AV14" s="335" t="e">
        <f>DATA_FORMATTING!BW208</f>
        <v>#NAME?</v>
      </c>
      <c r="AW14" s="335" t="e">
        <f>DATA_FORMATTING!BX208</f>
        <v>#NAME?</v>
      </c>
      <c r="AX14" s="335" t="e">
        <f>DATA_FORMATTING!BY208</f>
        <v>#NAME?</v>
      </c>
      <c r="AY14" s="335" t="e">
        <f>DATA_FORMATTING!BZ208</f>
        <v>#NAME?</v>
      </c>
      <c r="AZ14" s="335" t="e">
        <f>DATA_FORMATTING!CA208</f>
        <v>#NAME?</v>
      </c>
      <c r="BA14" s="335" t="e">
        <f>DATA_FORMATTING!CB208</f>
        <v>#NAME?</v>
      </c>
      <c r="BB14" s="335" t="e">
        <f>DATA_FORMATTING!CC208</f>
        <v>#NAME?</v>
      </c>
      <c r="BC14" s="335" t="e">
        <f>DATA_FORMATTING!CD208</f>
        <v>#NAME?</v>
      </c>
      <c r="BD14" s="335" t="e">
        <f>DATA_FORMATTING!CE208</f>
        <v>#NAME?</v>
      </c>
      <c r="BE14" s="335" t="e">
        <f>DATA_FORMATTING!CF208</f>
        <v>#NAME?</v>
      </c>
      <c r="BF14" s="335" t="e">
        <f>DATA_FORMATTING!CG208</f>
        <v>#NAME?</v>
      </c>
      <c r="BG14" s="335" t="e">
        <f>DATA_FORMATTING!CH208</f>
        <v>#NAME?</v>
      </c>
      <c r="BH14" s="298">
        <v>7</v>
      </c>
      <c r="BI14" s="298"/>
      <c r="BJ14" s="297"/>
      <c r="BK14" s="297"/>
      <c r="BL14" s="297"/>
      <c r="BM14" s="297"/>
      <c r="BN14" s="297"/>
      <c r="BO14" s="297">
        <v>10</v>
      </c>
      <c r="BP14" s="297" t="s">
        <v>268</v>
      </c>
      <c r="BQ14" s="287" t="s">
        <v>348</v>
      </c>
      <c r="BS14" s="297"/>
      <c r="BT14" s="297"/>
    </row>
    <row r="15" spans="1:73" ht="13.5" thickBot="1">
      <c r="C15" s="321">
        <f>DB_LOAD!V8</f>
        <v>0</v>
      </c>
      <c r="D15" s="329">
        <f>IF(ISBLANK(DB_LOAD!N8),"",DB_LOAD!N8)</f>
        <v>15</v>
      </c>
      <c r="E15" s="330"/>
      <c r="F15" s="330" t="str">
        <f>IF(ISBLANK(DB_LOAD!P8),"",DB_LOAD!R8)</f>
        <v>AZN</v>
      </c>
      <c r="G15" s="331">
        <f>IF(ISBLANK(DB_LOAD!R8),"",DB_LOAD!Q8)</f>
        <v>1000701.754386</v>
      </c>
      <c r="H15" s="1095">
        <f>IF(C15=3,"-",IF(ISBLANK(DB_LOAD!S8),"",DB_LOAD!U8))</f>
        <v>0</v>
      </c>
      <c r="I15" s="332">
        <f>IF(C15=3,"Equity ",IF(ISBLANK(DB_LOAD!T8),"",DB_LOAD!T8))</f>
        <v>747130.26911200001</v>
      </c>
      <c r="J15" s="695">
        <f>IFERROR(VALUE(MID($AV$24,7,1)),0)</f>
        <v>0</v>
      </c>
      <c r="K15" s="290"/>
      <c r="L15" s="290"/>
      <c r="M15" s="290" t="e">
        <f t="shared" si="14"/>
        <v>#N/A</v>
      </c>
      <c r="N15" s="333" t="str">
        <f>IFERROR(VLOOKUP(VALUE(MID($AU$24,1+SUM($J$9:J14),VALUE(MID($AV$24,7,1)))),$AR$25:$BM$40,3,FALSE),"")</f>
        <v/>
      </c>
      <c r="O15" s="689" t="e">
        <f>TEXT(IFERROR(VLOOKUP(VALUE(MID($AU$24,1+SUM($J$9:$J14),VALUE(MID($AV$24,7,1)))),$AR$25:$BM$40,O$16,FALSE),""),$M15)</f>
        <v>#N/A</v>
      </c>
      <c r="P15" s="689" t="e">
        <f>TEXT(IFERROR(VLOOKUP(VALUE(MID($AU$24,1+SUM($J$9:$J14),VALUE(MID($AV$24,7,1)))),$AR$25:$BM$40,P$16,FALSE),""),$M15)</f>
        <v>#N/A</v>
      </c>
      <c r="Q15" s="689" t="e">
        <f>TEXT(IFERROR(VLOOKUP(VALUE(MID($AU$24,1+SUM($J$9:$J14),VALUE(MID($AV$24,7,1)))),$AR$25:$BM$40,Q$16,FALSE),""),$M15)</f>
        <v>#N/A</v>
      </c>
      <c r="R15" s="689" t="e">
        <f>TEXT(IFERROR(VLOOKUP(VALUE(MID($AU$24,1+SUM($J$9:$J14),VALUE(MID($AV$24,7,1)))),$AR$25:$BM$40,R$16,FALSE),""),$M15)</f>
        <v>#N/A</v>
      </c>
      <c r="S15" s="689" t="e">
        <f>TEXT(IFERROR(VLOOKUP(VALUE(MID($AU$24,1+SUM($J$9:$J14),VALUE(MID($AV$24,7,1)))),$AR$25:$BM$40,S$16,FALSE),""),$M15)</f>
        <v>#N/A</v>
      </c>
      <c r="T15" s="689" t="e">
        <f>TEXT(IFERROR(VLOOKUP(VALUE(MID($AU$24,1+SUM($J$9:$J14),VALUE(MID($AV$24,7,1)))),$AR$25:$BM$40,T$16,FALSE),""),$M15)</f>
        <v>#N/A</v>
      </c>
      <c r="U15" s="689" t="e">
        <f>TEXT(IFERROR(VLOOKUP(VALUE(MID($AU$24,1+SUM($J$9:$J14),VALUE(MID($AV$24,7,1)))),$AR$25:$BM$40,U$16,FALSE),""),$M15)</f>
        <v>#N/A</v>
      </c>
      <c r="V15" s="689" t="e">
        <f>TEXT(IFERROR(VLOOKUP(VALUE(MID($AU$24,1+SUM($J$9:$J14),VALUE(MID($AV$24,7,1)))),$AR$25:$BM$40,V$16,FALSE),""),$M15)</f>
        <v>#N/A</v>
      </c>
      <c r="W15" s="689" t="e">
        <f>TEXT(IFERROR(VLOOKUP(VALUE(MID($AU$24,1+SUM($J$9:$J14),VALUE(MID($AV$24,7,1)))),$AR$25:$BM$40,W$16,FALSE),""),$M15)</f>
        <v>#N/A</v>
      </c>
      <c r="X15" s="689" t="e">
        <f>TEXT(IFERROR(VLOOKUP(VALUE(MID($AU$24,1+SUM($J$9:$J14),VALUE(MID($AV$24,7,1)))),$AR$25:$BM$40,X$16,FALSE),""),$M15)</f>
        <v>#N/A</v>
      </c>
      <c r="Y15" s="689" t="e">
        <f>TEXT(IFERROR(VLOOKUP(VALUE(MID($AU$24,1+SUM($J$9:$J14),VALUE(MID($AV$24,7,1)))),$AR$25:$BM$40,Y$16,FALSE),""),$M15)</f>
        <v>#N/A</v>
      </c>
      <c r="Z15" s="689" t="e">
        <f>TEXT(IFERROR(VLOOKUP(VALUE(MID($AU$24,1+SUM($J$9:$J14),VALUE(MID($AV$24,7,1)))),$AR$25:$BM$40,Z$16,FALSE),""),$M15)</f>
        <v>#N/A</v>
      </c>
      <c r="AA15" s="692"/>
      <c r="AB15" s="687" t="e">
        <f t="shared" si="9"/>
        <v>#N/A</v>
      </c>
      <c r="AC15" s="688" t="e">
        <f t="shared" si="10"/>
        <v>#N/A</v>
      </c>
      <c r="AD15" s="693" t="e">
        <f>(HLOOKUP(1,$O$6:$Z$19,10,FALSE))</f>
        <v>#N/A</v>
      </c>
      <c r="AE15" s="693"/>
      <c r="AF15" s="690" t="e">
        <f t="shared" si="12"/>
        <v>#N/A</v>
      </c>
      <c r="AG15" s="290" t="e">
        <f t="shared" si="15"/>
        <v>#VALUE!</v>
      </c>
      <c r="AH15" s="290" t="e">
        <f>VALUE(MID($AU$24,1+SUM($J$9:$J14),VALUE(MID($AV$24,7,1))))</f>
        <v>#VALUE!</v>
      </c>
      <c r="AI15" s="287" t="e">
        <f t="shared" si="16"/>
        <v>#VALUE!</v>
      </c>
      <c r="AJ15" s="336"/>
      <c r="AK15" s="336"/>
      <c r="AL15" s="336"/>
      <c r="AM15" s="336"/>
      <c r="AN15" s="336"/>
      <c r="AU15" s="319"/>
      <c r="AV15" s="335"/>
      <c r="AW15" s="335"/>
      <c r="AX15" s="335"/>
      <c r="AY15" s="335"/>
      <c r="AZ15" s="335"/>
      <c r="BA15" s="335"/>
      <c r="BB15" s="335"/>
      <c r="BC15" s="335"/>
      <c r="BD15" s="335"/>
      <c r="BE15" s="335"/>
      <c r="BF15" s="335"/>
      <c r="BG15" s="335"/>
      <c r="BH15" s="298"/>
      <c r="BI15" s="298"/>
      <c r="BJ15" s="297"/>
      <c r="BK15" s="297"/>
      <c r="BL15" s="297"/>
      <c r="BM15" s="297"/>
      <c r="BN15" s="297"/>
      <c r="BO15" s="297"/>
      <c r="BP15" s="297"/>
      <c r="BS15" s="297"/>
      <c r="BT15" s="297"/>
    </row>
    <row r="16" spans="1:73">
      <c r="C16" s="321">
        <f>DB_LOAD!V9</f>
        <v>0</v>
      </c>
      <c r="D16" s="329">
        <f>IF(ISBLANK(DB_LOAD!N9),"",DB_LOAD!N9)</f>
        <v>33</v>
      </c>
      <c r="E16" s="330"/>
      <c r="F16" s="330" t="str">
        <f>IF(ISBLANK(DB_LOAD!P9),"",DB_LOAD!R9)</f>
        <v>AZN</v>
      </c>
      <c r="G16" s="331">
        <f>IF(ISBLANK(DB_LOAD!R9),"",DB_LOAD!Q9)</f>
        <v>2001403.508772</v>
      </c>
      <c r="H16" s="1095">
        <f>IF(C16=3,"-",IF(ISBLANK(DB_LOAD!S9),"",DB_LOAD!U9))</f>
        <v>0</v>
      </c>
      <c r="I16" s="332">
        <f>IF(C16=3,"Equity ",IF(ISBLANK(DB_LOAD!T9),"",DB_LOAD!T9))</f>
        <v>1494260.538223</v>
      </c>
      <c r="J16" s="694"/>
      <c r="K16" s="290"/>
      <c r="L16" s="290"/>
      <c r="M16" s="290"/>
      <c r="O16" s="290">
        <v>6</v>
      </c>
      <c r="P16" s="290">
        <f t="shared" ref="P16:Z16" si="20">O16+1</f>
        <v>7</v>
      </c>
      <c r="Q16" s="290">
        <f t="shared" si="20"/>
        <v>8</v>
      </c>
      <c r="R16" s="290">
        <f t="shared" si="20"/>
        <v>9</v>
      </c>
      <c r="S16" s="290">
        <f t="shared" si="20"/>
        <v>10</v>
      </c>
      <c r="T16" s="290">
        <f t="shared" si="20"/>
        <v>11</v>
      </c>
      <c r="U16" s="290">
        <f t="shared" si="20"/>
        <v>12</v>
      </c>
      <c r="V16" s="290">
        <f t="shared" si="20"/>
        <v>13</v>
      </c>
      <c r="W16" s="290">
        <f t="shared" si="20"/>
        <v>14</v>
      </c>
      <c r="X16" s="290">
        <f t="shared" si="20"/>
        <v>15</v>
      </c>
      <c r="Y16" s="290">
        <f t="shared" si="20"/>
        <v>16</v>
      </c>
      <c r="Z16" s="290">
        <f t="shared" si="20"/>
        <v>17</v>
      </c>
      <c r="AA16" s="337"/>
      <c r="AG16" s="290"/>
      <c r="AH16" s="290"/>
      <c r="AJ16" s="336"/>
      <c r="AK16" s="336"/>
      <c r="AL16" s="336"/>
      <c r="AM16" s="336"/>
      <c r="AN16" s="336"/>
      <c r="AU16" s="319"/>
      <c r="AV16" s="335"/>
      <c r="AW16" s="335"/>
      <c r="AX16" s="335"/>
      <c r="AY16" s="335"/>
      <c r="AZ16" s="335"/>
      <c r="BA16" s="335"/>
      <c r="BB16" s="335"/>
      <c r="BC16" s="335"/>
      <c r="BD16" s="335"/>
      <c r="BE16" s="335"/>
      <c r="BF16" s="335"/>
      <c r="BG16" s="335"/>
      <c r="BH16" s="298"/>
      <c r="BI16" s="298"/>
      <c r="BJ16" s="297"/>
      <c r="BK16" s="297"/>
      <c r="BL16" s="297"/>
      <c r="BM16" s="297"/>
      <c r="BN16" s="297"/>
      <c r="BO16" s="297"/>
      <c r="BP16" s="297"/>
      <c r="BS16" s="297"/>
      <c r="BT16" s="297"/>
    </row>
    <row r="17" spans="4:73" ht="13.5" thickBot="1">
      <c r="D17" s="338" t="s">
        <v>328</v>
      </c>
      <c r="E17" s="339"/>
      <c r="F17" s="340" t="s">
        <v>329</v>
      </c>
      <c r="G17" s="341">
        <f>SUM(G9:G16)</f>
        <v>12545968.862816</v>
      </c>
      <c r="H17" s="1096" t="s">
        <v>329</v>
      </c>
      <c r="I17" s="342" t="s">
        <v>329</v>
      </c>
      <c r="J17" s="290"/>
      <c r="K17" s="290">
        <f>IF(AND(L14=1,L17=0),1,0)</f>
        <v>0</v>
      </c>
      <c r="L17" s="290">
        <f>IF(N16="",0,1)</f>
        <v>0</v>
      </c>
      <c r="M17" s="290" t="e">
        <f>VLOOKUP(N17,$AT$25:$BM$40,20,FALSE)</f>
        <v>#N/A</v>
      </c>
      <c r="AG17" s="290" t="str">
        <f>IFERROR(VLOOKUP(VALUE(MID($AT$24,7,1)),$AR$25:$BJ$38,18,FALSE),"")</f>
        <v/>
      </c>
      <c r="AH17" s="290" t="str">
        <f>IFERROR(VLOOKUP(VALUE(MID($AT$24,7,1)),$AR$25:$BJ$38,19,FALSE),"")</f>
        <v/>
      </c>
      <c r="AJ17" s="336"/>
      <c r="AK17" s="336"/>
      <c r="AL17" s="336"/>
      <c r="AM17" s="336"/>
      <c r="AN17" s="336"/>
      <c r="AO17" s="297"/>
      <c r="AP17" s="297"/>
      <c r="AS17" s="298"/>
      <c r="AU17" s="298"/>
      <c r="AV17" s="298"/>
      <c r="AW17" s="298"/>
      <c r="AX17" s="298"/>
      <c r="AY17" s="298"/>
      <c r="AZ17" s="298"/>
      <c r="BA17" s="298"/>
      <c r="BB17" s="298"/>
      <c r="BC17" s="298"/>
      <c r="BD17" s="298"/>
      <c r="BE17" s="298"/>
      <c r="BF17" s="298"/>
      <c r="BG17" s="298"/>
      <c r="BH17" s="297"/>
      <c r="BI17" s="297"/>
      <c r="BJ17" s="297"/>
      <c r="BK17" s="297"/>
      <c r="BL17" s="297"/>
      <c r="BO17" s="297">
        <v>11</v>
      </c>
      <c r="BP17" s="297" t="s">
        <v>4</v>
      </c>
      <c r="BQ17" s="287" t="s">
        <v>349</v>
      </c>
      <c r="BR17" s="297"/>
      <c r="BS17" s="297"/>
      <c r="BT17" s="297"/>
    </row>
    <row r="18" spans="4:73" ht="13.5" customHeight="1">
      <c r="D18" s="343"/>
      <c r="E18" s="344"/>
      <c r="F18" s="345"/>
      <c r="G18" s="346"/>
      <c r="H18" s="347"/>
      <c r="I18" s="348"/>
      <c r="J18" s="290"/>
      <c r="K18" s="290"/>
      <c r="L18" s="290"/>
      <c r="M18" s="290"/>
      <c r="AJ18" s="336"/>
      <c r="AK18" s="336"/>
      <c r="AL18" s="336"/>
      <c r="AM18" s="336"/>
      <c r="AN18" s="336"/>
      <c r="AO18" s="297"/>
      <c r="AP18" s="297"/>
      <c r="AQ18" s="298"/>
      <c r="AS18" s="298"/>
      <c r="AU18" s="298"/>
      <c r="AV18" s="298"/>
      <c r="AW18" s="298"/>
      <c r="AX18" s="298"/>
      <c r="AY18" s="298"/>
      <c r="AZ18" s="298"/>
      <c r="BA18" s="298"/>
      <c r="BB18" s="298"/>
      <c r="BC18" s="298"/>
      <c r="BD18" s="298"/>
      <c r="BE18" s="298"/>
      <c r="BF18" s="290"/>
      <c r="BG18" s="290"/>
      <c r="BJ18" s="297"/>
      <c r="BK18" s="297"/>
      <c r="BL18" s="297"/>
      <c r="BO18" s="297"/>
      <c r="BP18" s="297" t="s">
        <v>126</v>
      </c>
      <c r="BQ18" s="287" t="s">
        <v>350</v>
      </c>
      <c r="BR18" s="297"/>
      <c r="BS18" s="297"/>
      <c r="BT18" s="297"/>
    </row>
    <row r="19" spans="4:73" ht="14.25" customHeight="1" thickBot="1">
      <c r="K19" s="290"/>
      <c r="L19" s="290"/>
      <c r="M19" s="290"/>
      <c r="AK19" s="336"/>
      <c r="AL19" s="336"/>
      <c r="AM19" s="336"/>
      <c r="AN19" s="336"/>
      <c r="AO19" s="336"/>
      <c r="AP19" s="297"/>
      <c r="AQ19" s="297"/>
      <c r="AS19" s="297"/>
      <c r="AU19" s="297"/>
      <c r="AV19" s="297"/>
      <c r="AW19" s="297"/>
      <c r="AX19" s="297"/>
      <c r="AY19" s="297"/>
      <c r="AZ19" s="297"/>
      <c r="BA19" s="297"/>
      <c r="BB19" s="297"/>
      <c r="BC19" s="297"/>
      <c r="BD19" s="297"/>
      <c r="BE19" s="297"/>
      <c r="BF19" s="290"/>
      <c r="BG19" s="290"/>
      <c r="BJ19" s="297"/>
      <c r="BK19" s="297"/>
      <c r="BL19" s="297"/>
      <c r="BO19" s="297"/>
      <c r="BP19" s="297" t="s">
        <v>351</v>
      </c>
      <c r="BQ19" s="287" t="s">
        <v>352</v>
      </c>
      <c r="BR19" s="297"/>
      <c r="BS19" s="297"/>
      <c r="BT19" s="297"/>
      <c r="BU19" s="297"/>
    </row>
    <row r="20" spans="4:73" ht="19.5" thickBot="1">
      <c r="D20" s="349" t="e">
        <f ca="1">"DWM Loan(s) as % of "&amp;A3&amp;"'s Total Assets"</f>
        <v>#NAME?</v>
      </c>
      <c r="E20" s="350"/>
      <c r="F20" s="350"/>
      <c r="G20" s="350"/>
      <c r="H20" s="350"/>
      <c r="I20" s="351" t="e">
        <f ca="1">($G$17/1000000)/$Z$53</f>
        <v>#NAME?</v>
      </c>
      <c r="K20" s="290"/>
      <c r="L20" s="290"/>
      <c r="M20" s="290"/>
      <c r="AK20" s="336"/>
      <c r="AL20" s="336"/>
      <c r="AM20" s="336"/>
      <c r="AN20" s="336"/>
      <c r="AO20" s="336"/>
      <c r="AP20" s="297"/>
      <c r="AQ20" s="352"/>
      <c r="AS20" s="297"/>
      <c r="AU20" s="297"/>
      <c r="AV20" s="297"/>
      <c r="AW20" s="297"/>
      <c r="AX20" s="297"/>
      <c r="AY20" s="297"/>
      <c r="AZ20" s="297"/>
      <c r="BA20" s="297"/>
      <c r="BB20" s="297"/>
      <c r="BC20" s="297"/>
      <c r="BD20" s="297"/>
      <c r="BE20" s="297"/>
      <c r="BF20" s="290"/>
      <c r="BG20" s="290"/>
      <c r="BJ20" s="297"/>
      <c r="BK20" s="297"/>
      <c r="BL20" s="297"/>
      <c r="BO20" s="297"/>
      <c r="BP20" s="297" t="s">
        <v>353</v>
      </c>
      <c r="BQ20" s="372" t="s">
        <v>341</v>
      </c>
      <c r="BR20" s="297"/>
      <c r="BS20" s="297"/>
      <c r="BT20" s="297"/>
      <c r="BU20" s="297"/>
    </row>
    <row r="21" spans="4:73" ht="17.25" customHeight="1">
      <c r="D21" s="293"/>
      <c r="K21" s="290"/>
      <c r="L21" s="290"/>
      <c r="M21" s="290"/>
      <c r="O21" s="353"/>
      <c r="AK21" s="336"/>
      <c r="AL21" s="336"/>
      <c r="AM21" s="336"/>
      <c r="AN21" s="336"/>
      <c r="AO21" s="336"/>
      <c r="AP21" s="297"/>
      <c r="AQ21" s="352"/>
      <c r="AS21" s="297"/>
      <c r="AT21" s="297"/>
      <c r="AU21" s="297"/>
      <c r="AV21" s="297"/>
      <c r="AW21" s="297"/>
      <c r="AX21" s="297"/>
      <c r="AY21" s="297"/>
      <c r="AZ21" s="297"/>
      <c r="BA21" s="297"/>
      <c r="BB21" s="297"/>
      <c r="BC21" s="297"/>
      <c r="BD21" s="297"/>
      <c r="BF21" s="290"/>
      <c r="BI21" s="297"/>
      <c r="BJ21" s="297"/>
      <c r="BK21" s="297"/>
      <c r="BL21" s="297"/>
      <c r="BM21" s="297"/>
      <c r="BN21" s="297"/>
      <c r="BO21" s="297"/>
      <c r="BP21" s="297"/>
      <c r="BQ21" s="297"/>
      <c r="BR21" s="297"/>
      <c r="BS21" s="297"/>
      <c r="BT21" s="297"/>
      <c r="BU21" s="297"/>
    </row>
    <row r="22" spans="4:73" ht="4.5" customHeight="1">
      <c r="D22" s="293"/>
      <c r="K22" s="290"/>
      <c r="L22" s="290"/>
      <c r="M22" s="290"/>
      <c r="O22" s="353"/>
      <c r="AK22" s="336"/>
      <c r="AL22" s="336"/>
      <c r="AM22" s="336"/>
      <c r="AN22" s="336"/>
      <c r="AO22" s="336"/>
      <c r="AP22" s="297"/>
      <c r="AQ22" s="352"/>
      <c r="AS22" s="297"/>
      <c r="AT22" s="297"/>
      <c r="AU22" s="297"/>
      <c r="AV22" s="297"/>
      <c r="AW22" s="297"/>
      <c r="AX22" s="297"/>
      <c r="AY22" s="297"/>
      <c r="AZ22" s="297"/>
      <c r="BA22" s="297"/>
      <c r="BB22" s="297"/>
      <c r="BC22" s="297"/>
      <c r="BD22" s="297"/>
      <c r="BF22" s="290"/>
      <c r="BI22" s="297"/>
      <c r="BJ22" s="297"/>
      <c r="BK22" s="297"/>
      <c r="BL22" s="297"/>
      <c r="BM22" s="297"/>
      <c r="BN22" s="297"/>
      <c r="BO22" s="297"/>
      <c r="BP22" s="297"/>
      <c r="BQ22" s="297"/>
      <c r="BR22" s="297"/>
      <c r="BS22" s="297"/>
      <c r="BT22" s="297"/>
      <c r="BU22" s="297"/>
    </row>
    <row r="23" spans="4:73" ht="20.25" customHeight="1">
      <c r="K23" s="290"/>
      <c r="L23" s="354" t="s">
        <v>248</v>
      </c>
      <c r="M23" s="354"/>
      <c r="N23" s="290"/>
      <c r="O23" s="290"/>
      <c r="P23" s="290"/>
      <c r="Q23" s="290"/>
      <c r="R23" s="290"/>
      <c r="S23" s="290"/>
      <c r="T23" s="290"/>
      <c r="U23" s="290"/>
      <c r="X23" s="293" t="s">
        <v>336</v>
      </c>
      <c r="Y23" s="355"/>
      <c r="Z23" s="290"/>
      <c r="AB23" s="356" t="s">
        <v>337</v>
      </c>
      <c r="AC23" s="357"/>
      <c r="AD23" s="357"/>
      <c r="AE23" s="357"/>
      <c r="AF23" s="357"/>
      <c r="AG23" s="357"/>
      <c r="AH23" s="358"/>
      <c r="AI23" s="357"/>
      <c r="AJ23" s="357"/>
      <c r="AK23" s="357"/>
      <c r="AL23" s="357"/>
      <c r="AM23" s="357"/>
      <c r="AN23" s="357"/>
      <c r="AO23" s="336"/>
      <c r="AP23" s="297"/>
      <c r="AQ23" s="352"/>
      <c r="AS23" s="297"/>
      <c r="AT23" s="297"/>
      <c r="AU23" s="297"/>
      <c r="AV23" s="297"/>
      <c r="AW23" s="297"/>
      <c r="AX23" s="297"/>
      <c r="AY23" s="297"/>
      <c r="AZ23" s="297"/>
      <c r="BA23" s="297"/>
      <c r="BB23" s="297"/>
      <c r="BC23" s="297"/>
      <c r="BD23" s="297"/>
      <c r="BF23" s="290"/>
      <c r="BI23" s="297"/>
      <c r="BJ23" s="297"/>
      <c r="BK23" s="297"/>
      <c r="BL23" s="297"/>
      <c r="BM23" s="297"/>
      <c r="BN23" s="297"/>
      <c r="BO23" s="297"/>
      <c r="BP23" s="297"/>
      <c r="BQ23" s="297"/>
      <c r="BR23" s="297"/>
      <c r="BS23" s="297"/>
      <c r="BT23" s="297"/>
      <c r="BU23" s="297"/>
    </row>
    <row r="24" spans="4:73" ht="9" customHeight="1" thickBot="1">
      <c r="K24" s="290"/>
      <c r="N24" s="288"/>
      <c r="O24" s="359">
        <f t="shared" ref="O24:Z24" si="21">DATE(YEAR(O25)-1,MONTH(O25),DAY(O25))</f>
        <v>693597</v>
      </c>
      <c r="P24" s="359">
        <f t="shared" si="21"/>
        <v>693597</v>
      </c>
      <c r="Q24" s="359">
        <f t="shared" si="21"/>
        <v>693597</v>
      </c>
      <c r="R24" s="359">
        <f t="shared" si="21"/>
        <v>693597</v>
      </c>
      <c r="S24" s="359">
        <f t="shared" si="21"/>
        <v>693597</v>
      </c>
      <c r="T24" s="359">
        <f t="shared" si="21"/>
        <v>693597</v>
      </c>
      <c r="U24" s="359">
        <f t="shared" si="21"/>
        <v>693597</v>
      </c>
      <c r="V24" s="359">
        <f t="shared" si="21"/>
        <v>693597</v>
      </c>
      <c r="W24" s="359">
        <f t="shared" si="21"/>
        <v>693597</v>
      </c>
      <c r="X24" s="359">
        <f t="shared" si="21"/>
        <v>693597</v>
      </c>
      <c r="Y24" s="359">
        <f t="shared" si="21"/>
        <v>693597</v>
      </c>
      <c r="Z24" s="359">
        <f t="shared" si="21"/>
        <v>693601</v>
      </c>
      <c r="AA24" s="360"/>
      <c r="AB24" s="361"/>
      <c r="AC24" s="361"/>
      <c r="AD24" s="361"/>
      <c r="AE24" s="361"/>
      <c r="AF24" s="361"/>
      <c r="AG24" s="361"/>
      <c r="AH24" s="361"/>
      <c r="AI24" s="361"/>
      <c r="AJ24" s="361"/>
      <c r="AK24" s="361"/>
      <c r="AL24" s="361"/>
      <c r="AM24" s="361"/>
      <c r="AN24" s="361"/>
      <c r="AO24" s="336"/>
      <c r="AP24" s="297"/>
      <c r="AQ24" s="352"/>
      <c r="AR24" s="297"/>
      <c r="AS24" s="297"/>
      <c r="AT24" s="297"/>
      <c r="AU24" s="297" t="str">
        <f>AR25&amp;AR26&amp;AR27&amp;AR28&amp;AR29&amp;AR30&amp;AR31&amp;AR32&amp;AR33&amp;AR34&amp;AR35&amp;AR36&amp;AR37&amp;AR38&amp;AR39&amp;AR40</f>
        <v/>
      </c>
      <c r="AV24" s="297" t="str">
        <f>AS25&amp;AS26&amp;AS27&amp;AS28&amp;AS29&amp;AS30&amp;AS31&amp;AS32&amp;AS33&amp;AS34&amp;AS35&amp;AS36&amp;AS37&amp;AS38&amp;AS39&amp;AS40</f>
        <v/>
      </c>
      <c r="AW24" s="297"/>
      <c r="AX24" s="297"/>
      <c r="AY24" s="297"/>
      <c r="AZ24" s="297"/>
      <c r="BA24" s="297"/>
      <c r="BB24" s="297"/>
      <c r="BC24" s="297"/>
      <c r="BD24" s="297"/>
      <c r="BF24" s="290"/>
      <c r="BI24" s="297"/>
      <c r="BJ24" s="297"/>
      <c r="BK24" s="297"/>
      <c r="BL24" s="297"/>
      <c r="BM24" s="297"/>
      <c r="BN24" s="297"/>
      <c r="BO24" s="297"/>
      <c r="BP24" s="297"/>
      <c r="BQ24" s="297"/>
      <c r="BR24" s="297"/>
      <c r="BS24" s="297"/>
      <c r="BT24" s="297"/>
      <c r="BU24" s="297"/>
    </row>
    <row r="25" spans="4:73" ht="19.5" customHeight="1">
      <c r="K25" s="290"/>
      <c r="L25" s="290"/>
      <c r="M25" s="290"/>
      <c r="N25" s="934"/>
      <c r="O25" s="377">
        <f t="shared" ref="O25:Z25" si="22">O8</f>
        <v>0</v>
      </c>
      <c r="P25" s="377">
        <f t="shared" si="22"/>
        <v>0</v>
      </c>
      <c r="Q25" s="377">
        <f t="shared" si="22"/>
        <v>0</v>
      </c>
      <c r="R25" s="377">
        <f t="shared" si="22"/>
        <v>0</v>
      </c>
      <c r="S25" s="377">
        <f t="shared" si="22"/>
        <v>0</v>
      </c>
      <c r="T25" s="377">
        <f t="shared" si="22"/>
        <v>0</v>
      </c>
      <c r="U25" s="377">
        <f t="shared" si="22"/>
        <v>0</v>
      </c>
      <c r="V25" s="377">
        <f t="shared" si="22"/>
        <v>0</v>
      </c>
      <c r="W25" s="377">
        <f t="shared" si="22"/>
        <v>0</v>
      </c>
      <c r="X25" s="377">
        <f t="shared" si="22"/>
        <v>0</v>
      </c>
      <c r="Y25" s="377">
        <f t="shared" si="22"/>
        <v>0</v>
      </c>
      <c r="Z25" s="378">
        <f t="shared" si="22"/>
        <v>4</v>
      </c>
      <c r="AA25" s="328"/>
      <c r="AB25" s="361"/>
      <c r="AC25" s="361"/>
      <c r="AD25" s="361"/>
      <c r="AE25" s="361"/>
      <c r="AF25" s="361"/>
      <c r="AG25" s="361"/>
      <c r="AH25" s="361"/>
      <c r="AI25" s="361"/>
      <c r="AJ25" s="361"/>
      <c r="AK25" s="361"/>
      <c r="AL25" s="361"/>
      <c r="AM25" s="361"/>
      <c r="AN25" s="361"/>
      <c r="AO25" s="361"/>
      <c r="AP25" s="297"/>
      <c r="AR25" s="297" t="str">
        <f>IF(OR(AU25="",AU25=AU32),"",ROW(AT25)-ROW($AT$25)+1)</f>
        <v/>
      </c>
      <c r="AS25" s="297" t="str">
        <f>IF(LEN(AR25)&gt;0,LEN(AR25),"")</f>
        <v/>
      </c>
      <c r="AT25" s="362" t="s">
        <v>315</v>
      </c>
      <c r="AU25" s="297" t="str">
        <f>IFERROR(FIND(AT25,DB_LOAD!$AE$2&amp;DB_LOAD!$AE$3&amp;DB_LOAD!$AE$4&amp;DB_LOAD!$AE$5&amp;DB_LOAD!$AE$6&amp;DB_LOAD!$AE$7&amp;DB_LOAD!$AE$8),"")</f>
        <v/>
      </c>
      <c r="AV25" s="297" t="e">
        <f>VLOOKUP(AT25,DB_LOAD!$AE$2:$AF$22,2,FALSE)</f>
        <v>#N/A</v>
      </c>
      <c r="AW25" s="637" t="e">
        <f t="shared" ref="AW25:BH25" ca="1" si="23">O26+O27</f>
        <v>#NAME?</v>
      </c>
      <c r="AX25" s="637" t="e">
        <f t="shared" ca="1" si="23"/>
        <v>#NAME?</v>
      </c>
      <c r="AY25" s="637" t="e">
        <f t="shared" ca="1" si="23"/>
        <v>#NAME?</v>
      </c>
      <c r="AZ25" s="637" t="e">
        <f t="shared" ca="1" si="23"/>
        <v>#NAME?</v>
      </c>
      <c r="BA25" s="637" t="e">
        <f t="shared" ca="1" si="23"/>
        <v>#NAME?</v>
      </c>
      <c r="BB25" s="637" t="e">
        <f t="shared" ca="1" si="23"/>
        <v>#NAME?</v>
      </c>
      <c r="BC25" s="637" t="e">
        <f t="shared" ca="1" si="23"/>
        <v>#NAME?</v>
      </c>
      <c r="BD25" s="637" t="e">
        <f t="shared" ca="1" si="23"/>
        <v>#NAME?</v>
      </c>
      <c r="BE25" s="637" t="e">
        <f t="shared" ca="1" si="23"/>
        <v>#NAME?</v>
      </c>
      <c r="BF25" s="637" t="e">
        <f t="shared" ca="1" si="23"/>
        <v>#NAME?</v>
      </c>
      <c r="BG25" s="637" t="e">
        <f t="shared" ca="1" si="23"/>
        <v>#NAME?</v>
      </c>
      <c r="BH25" s="637" t="e">
        <f t="shared" ca="1" si="23"/>
        <v>#NAME?</v>
      </c>
      <c r="BI25" s="638" t="e">
        <f ca="1">BH25-AV25</f>
        <v>#NAME?</v>
      </c>
      <c r="BJ25" s="297">
        <f ca="1">IF(ISERROR(BI25),0,IF(BI25&gt;0,1,0))</f>
        <v>0</v>
      </c>
      <c r="BK25" s="297">
        <v>1</v>
      </c>
      <c r="BL25" s="297"/>
      <c r="BM25" s="696" t="s">
        <v>494</v>
      </c>
      <c r="BN25" s="297"/>
      <c r="BO25" s="297"/>
      <c r="BP25" s="297"/>
      <c r="BQ25" s="297"/>
      <c r="BR25" s="297"/>
      <c r="BS25" s="297"/>
      <c r="BT25" s="297"/>
      <c r="BU25" s="297"/>
    </row>
    <row r="26" spans="4:73" ht="12.75" customHeight="1">
      <c r="L26" s="290">
        <v>4</v>
      </c>
      <c r="M26" s="290"/>
      <c r="N26" s="935" t="s">
        <v>250</v>
      </c>
      <c r="O26" s="931" t="e">
        <f ca="1">'Ratios &amp; Trend Analysis'!I15</f>
        <v>#NAME?</v>
      </c>
      <c r="P26" s="931" t="e">
        <f ca="1">'Ratios &amp; Trend Analysis'!J15</f>
        <v>#NAME?</v>
      </c>
      <c r="Q26" s="931" t="e">
        <f ca="1">'Ratios &amp; Trend Analysis'!K15</f>
        <v>#NAME?</v>
      </c>
      <c r="R26" s="931" t="e">
        <f ca="1">'Ratios &amp; Trend Analysis'!L15</f>
        <v>#NAME?</v>
      </c>
      <c r="S26" s="931" t="e">
        <f ca="1">'Ratios &amp; Trend Analysis'!M15</f>
        <v>#NAME?</v>
      </c>
      <c r="T26" s="931" t="e">
        <f ca="1">'Ratios &amp; Trend Analysis'!N15</f>
        <v>#NAME?</v>
      </c>
      <c r="U26" s="931" t="e">
        <f ca="1">'Ratios &amp; Trend Analysis'!O15</f>
        <v>#NAME?</v>
      </c>
      <c r="V26" s="931" t="e">
        <f ca="1">'Ratios &amp; Trend Analysis'!P15</f>
        <v>#NAME?</v>
      </c>
      <c r="W26" s="931" t="e">
        <f ca="1">'Ratios &amp; Trend Analysis'!Q15</f>
        <v>#NAME?</v>
      </c>
      <c r="X26" s="931" t="e">
        <f ca="1">'Ratios &amp; Trend Analysis'!R15</f>
        <v>#NAME?</v>
      </c>
      <c r="Y26" s="931" t="e">
        <f ca="1">'Ratios &amp; Trend Analysis'!S15</f>
        <v>#NAME?</v>
      </c>
      <c r="Z26" s="363" t="e">
        <f ca="1">'Ratios &amp; Trend Analysis'!T15</f>
        <v>#NAME?</v>
      </c>
      <c r="AA26" s="364"/>
      <c r="AB26" s="361"/>
      <c r="AC26" s="361"/>
      <c r="AD26" s="361"/>
      <c r="AE26" s="361"/>
      <c r="AF26" s="361"/>
      <c r="AG26" s="361"/>
      <c r="AH26" s="361"/>
      <c r="AI26" s="361"/>
      <c r="AJ26" s="361"/>
      <c r="AK26" s="361"/>
      <c r="AL26" s="361"/>
      <c r="AM26" s="361"/>
      <c r="AN26" s="361"/>
      <c r="AO26" s="361"/>
      <c r="AP26" s="297"/>
      <c r="AR26" s="297" t="str">
        <f t="shared" ref="AR26:AR38" si="24">IF(AU26="","",ROW(AT26)-ROW($AT$25)+1)</f>
        <v/>
      </c>
      <c r="AS26" s="297" t="str">
        <f t="shared" ref="AS26:AS38" si="25">IF(LEN(AR26)&gt;0,LEN(AR26),"")</f>
        <v/>
      </c>
      <c r="AT26" s="362" t="s">
        <v>334</v>
      </c>
      <c r="AU26" s="297" t="str">
        <f>IFERROR(FIND(AT26,DB_LOAD!$AE$2&amp;DB_LOAD!$AE$3&amp;DB_LOAD!$AE$4&amp;DB_LOAD!$AE$5&amp;DB_LOAD!$AE$6&amp;DB_LOAD!$AE$7&amp;DB_LOAD!$AE$8),"")</f>
        <v/>
      </c>
      <c r="AV26" s="297" t="e">
        <f>VLOOKUP(AT26,DB_LOAD!$AE$2:$AF$22,2,FALSE)</f>
        <v>#N/A</v>
      </c>
      <c r="AW26" s="637" t="e">
        <f t="shared" ref="AW26:BH26" ca="1" si="26">O28</f>
        <v>#NAME?</v>
      </c>
      <c r="AX26" s="637" t="e">
        <f t="shared" ca="1" si="26"/>
        <v>#NAME?</v>
      </c>
      <c r="AY26" s="637" t="e">
        <f t="shared" ca="1" si="26"/>
        <v>#NAME?</v>
      </c>
      <c r="AZ26" s="637" t="e">
        <f t="shared" ca="1" si="26"/>
        <v>#NAME?</v>
      </c>
      <c r="BA26" s="637" t="e">
        <f t="shared" ca="1" si="26"/>
        <v>#NAME?</v>
      </c>
      <c r="BB26" s="637" t="e">
        <f t="shared" ca="1" si="26"/>
        <v>#NAME?</v>
      </c>
      <c r="BC26" s="637" t="e">
        <f t="shared" ca="1" si="26"/>
        <v>#NAME?</v>
      </c>
      <c r="BD26" s="637" t="e">
        <f t="shared" ca="1" si="26"/>
        <v>#NAME?</v>
      </c>
      <c r="BE26" s="637" t="e">
        <f t="shared" ca="1" si="26"/>
        <v>#NAME?</v>
      </c>
      <c r="BF26" s="637" t="e">
        <f t="shared" ca="1" si="26"/>
        <v>#NAME?</v>
      </c>
      <c r="BG26" s="637" t="e">
        <f t="shared" ca="1" si="26"/>
        <v>#NAME?</v>
      </c>
      <c r="BH26" s="637" t="e">
        <f t="shared" ca="1" si="26"/>
        <v>#NAME?</v>
      </c>
      <c r="BI26" s="638" t="e">
        <f ca="1">BH26-AV26</f>
        <v>#NAME?</v>
      </c>
      <c r="BJ26" s="297">
        <f ca="1">IF(ISERROR(BI26),0,IF(BI26&gt;0,1,0))</f>
        <v>0</v>
      </c>
      <c r="BK26" s="297">
        <v>1</v>
      </c>
      <c r="BL26" s="297"/>
      <c r="BM26" s="696" t="s">
        <v>494</v>
      </c>
      <c r="BN26" s="297"/>
      <c r="BO26" s="297"/>
      <c r="BP26" s="297"/>
      <c r="BQ26" s="297"/>
      <c r="BR26" s="297"/>
      <c r="BS26" s="297"/>
      <c r="BT26" s="297"/>
      <c r="BU26" s="297"/>
    </row>
    <row r="27" spans="4:73" ht="12.75" customHeight="1">
      <c r="K27" s="354"/>
      <c r="L27" s="290">
        <v>9</v>
      </c>
      <c r="M27" s="290"/>
      <c r="N27" s="935" t="s">
        <v>251</v>
      </c>
      <c r="O27" s="931" t="e">
        <f ca="1">'Ratios &amp; Trend Analysis'!I16</f>
        <v>#NAME?</v>
      </c>
      <c r="P27" s="931" t="e">
        <f ca="1">'Ratios &amp; Trend Analysis'!J16</f>
        <v>#NAME?</v>
      </c>
      <c r="Q27" s="931" t="e">
        <f ca="1">'Ratios &amp; Trend Analysis'!K16</f>
        <v>#NAME?</v>
      </c>
      <c r="R27" s="931" t="e">
        <f ca="1">'Ratios &amp; Trend Analysis'!L16</f>
        <v>#NAME?</v>
      </c>
      <c r="S27" s="931" t="e">
        <f ca="1">'Ratios &amp; Trend Analysis'!M16</f>
        <v>#NAME?</v>
      </c>
      <c r="T27" s="931" t="e">
        <f ca="1">'Ratios &amp; Trend Analysis'!N16</f>
        <v>#NAME?</v>
      </c>
      <c r="U27" s="931" t="e">
        <f ca="1">'Ratios &amp; Trend Analysis'!O16</f>
        <v>#NAME?</v>
      </c>
      <c r="V27" s="931" t="e">
        <f ca="1">'Ratios &amp; Trend Analysis'!P16</f>
        <v>#NAME?</v>
      </c>
      <c r="W27" s="931" t="e">
        <f ca="1">'Ratios &amp; Trend Analysis'!Q16</f>
        <v>#NAME?</v>
      </c>
      <c r="X27" s="931" t="e">
        <f ca="1">'Ratios &amp; Trend Analysis'!R16</f>
        <v>#NAME?</v>
      </c>
      <c r="Y27" s="931" t="e">
        <f ca="1">'Ratios &amp; Trend Analysis'!S16</f>
        <v>#NAME?</v>
      </c>
      <c r="Z27" s="363" t="e">
        <f ca="1">'Ratios &amp; Trend Analysis'!T16</f>
        <v>#NAME?</v>
      </c>
      <c r="AA27" s="364"/>
      <c r="AB27" s="361"/>
      <c r="AC27" s="361"/>
      <c r="AD27" s="361"/>
      <c r="AE27" s="361"/>
      <c r="AF27" s="361"/>
      <c r="AG27" s="361"/>
      <c r="AH27" s="361"/>
      <c r="AI27" s="361"/>
      <c r="AJ27" s="361"/>
      <c r="AK27" s="361"/>
      <c r="AL27" s="361"/>
      <c r="AM27" s="361"/>
      <c r="AN27" s="361"/>
      <c r="AO27" s="361"/>
      <c r="AP27" s="297"/>
      <c r="AR27" s="297" t="str">
        <f t="shared" si="24"/>
        <v/>
      </c>
      <c r="AS27" s="297" t="str">
        <f t="shared" si="25"/>
        <v/>
      </c>
      <c r="AT27" s="362" t="s">
        <v>42</v>
      </c>
      <c r="AU27" s="297" t="str">
        <f>IFERROR(FIND(AT27,DB_LOAD!$AE$2&amp;DB_LOAD!$AE$3&amp;DB_LOAD!$AE$4&amp;DB_LOAD!$AE$5&amp;DB_LOAD!$AE$6&amp;DB_LOAD!$AE$7&amp;DB_LOAD!$AE$8),"")</f>
        <v/>
      </c>
      <c r="AV27" s="297" t="e">
        <f>VLOOKUP(AT27,DB_LOAD!$AE$2:$AF$22,2,FALSE)</f>
        <v>#N/A</v>
      </c>
      <c r="AW27" s="637" t="e">
        <f t="shared" ref="AW27:BH27" ca="1" si="27">O42</f>
        <v>#VALUE!</v>
      </c>
      <c r="AX27" s="637" t="e">
        <f t="shared" ca="1" si="27"/>
        <v>#VALUE!</v>
      </c>
      <c r="AY27" s="637" t="e">
        <f t="shared" ca="1" si="27"/>
        <v>#VALUE!</v>
      </c>
      <c r="AZ27" s="637" t="e">
        <f t="shared" ca="1" si="27"/>
        <v>#VALUE!</v>
      </c>
      <c r="BA27" s="637" t="e">
        <f t="shared" ca="1" si="27"/>
        <v>#VALUE!</v>
      </c>
      <c r="BB27" s="637" t="e">
        <f t="shared" ca="1" si="27"/>
        <v>#VALUE!</v>
      </c>
      <c r="BC27" s="637" t="e">
        <f t="shared" ca="1" si="27"/>
        <v>#VALUE!</v>
      </c>
      <c r="BD27" s="637" t="e">
        <f t="shared" ca="1" si="27"/>
        <v>#VALUE!</v>
      </c>
      <c r="BE27" s="637" t="e">
        <f t="shared" ca="1" si="27"/>
        <v>#VALUE!</v>
      </c>
      <c r="BF27" s="637" t="e">
        <f t="shared" ca="1" si="27"/>
        <v>#VALUE!</v>
      </c>
      <c r="BG27" s="637" t="e">
        <f t="shared" ca="1" si="27"/>
        <v>#VALUE!</v>
      </c>
      <c r="BH27" s="637" t="e">
        <f t="shared" ca="1" si="27"/>
        <v>#NAME?</v>
      </c>
      <c r="BI27" s="638" t="e">
        <f ca="1">BH27-AV27</f>
        <v>#NAME?</v>
      </c>
      <c r="BJ27" s="297">
        <f ca="1">IF(ISERROR(BI27),0,IF(BI27&gt;0,1,0))</f>
        <v>0</v>
      </c>
      <c r="BK27" s="297">
        <v>1</v>
      </c>
      <c r="BL27" s="297"/>
      <c r="BM27" s="696" t="s">
        <v>495</v>
      </c>
      <c r="BN27" s="297"/>
      <c r="BO27" s="297"/>
      <c r="BP27" s="297"/>
      <c r="BQ27" s="297"/>
      <c r="BR27" s="297"/>
      <c r="BS27" s="297"/>
      <c r="BT27" s="297"/>
      <c r="BU27" s="297"/>
    </row>
    <row r="28" spans="4:73" ht="15" customHeight="1">
      <c r="L28" s="290">
        <v>11</v>
      </c>
      <c r="M28" s="290"/>
      <c r="N28" s="935" t="s">
        <v>252</v>
      </c>
      <c r="O28" s="931" t="e">
        <f ca="1">'Ratios &amp; Trend Analysis'!I17</f>
        <v>#NAME?</v>
      </c>
      <c r="P28" s="931" t="e">
        <f ca="1">'Ratios &amp; Trend Analysis'!J17</f>
        <v>#NAME?</v>
      </c>
      <c r="Q28" s="931" t="e">
        <f ca="1">'Ratios &amp; Trend Analysis'!K17</f>
        <v>#NAME?</v>
      </c>
      <c r="R28" s="931" t="e">
        <f ca="1">'Ratios &amp; Trend Analysis'!L17</f>
        <v>#NAME?</v>
      </c>
      <c r="S28" s="931" t="e">
        <f ca="1">'Ratios &amp; Trend Analysis'!M17</f>
        <v>#NAME?</v>
      </c>
      <c r="T28" s="931" t="e">
        <f ca="1">'Ratios &amp; Trend Analysis'!N17</f>
        <v>#NAME?</v>
      </c>
      <c r="U28" s="931" t="e">
        <f ca="1">'Ratios &amp; Trend Analysis'!O17</f>
        <v>#NAME?</v>
      </c>
      <c r="V28" s="931" t="e">
        <f ca="1">'Ratios &amp; Trend Analysis'!P17</f>
        <v>#NAME?</v>
      </c>
      <c r="W28" s="931" t="e">
        <f ca="1">'Ratios &amp; Trend Analysis'!Q17</f>
        <v>#NAME?</v>
      </c>
      <c r="X28" s="931" t="e">
        <f ca="1">'Ratios &amp; Trend Analysis'!R17</f>
        <v>#NAME?</v>
      </c>
      <c r="Y28" s="931" t="e">
        <f ca="1">'Ratios &amp; Trend Analysis'!S17</f>
        <v>#NAME?</v>
      </c>
      <c r="Z28" s="363" t="e">
        <f ca="1">'Ratios &amp; Trend Analysis'!T17</f>
        <v>#NAME?</v>
      </c>
      <c r="AA28" s="364"/>
      <c r="AB28" s="361"/>
      <c r="AC28" s="361"/>
      <c r="AD28" s="361"/>
      <c r="AE28" s="361"/>
      <c r="AF28" s="361"/>
      <c r="AG28" s="361"/>
      <c r="AH28" s="361"/>
      <c r="AI28" s="361"/>
      <c r="AJ28" s="361"/>
      <c r="AK28" s="361"/>
      <c r="AL28" s="361"/>
      <c r="AM28" s="361"/>
      <c r="AN28" s="361"/>
      <c r="AO28" s="361"/>
      <c r="AP28" s="287"/>
      <c r="AR28" s="297" t="str">
        <f t="shared" si="24"/>
        <v/>
      </c>
      <c r="AS28" s="297" t="str">
        <f t="shared" si="25"/>
        <v/>
      </c>
      <c r="AT28" s="362" t="s">
        <v>288</v>
      </c>
      <c r="AU28" s="297" t="str">
        <f>IFERROR(FIND(AT28,DB_LOAD!$AE$2&amp;DB_LOAD!$AE$3&amp;DB_LOAD!$AE$4&amp;DB_LOAD!$AE$5&amp;DB_LOAD!$AE$6&amp;DB_LOAD!$AE$7&amp;DB_LOAD!$AE$8),"")</f>
        <v/>
      </c>
      <c r="AV28" s="297" t="e">
        <f>VLOOKUP(AT28,DB_LOAD!$AE$2:$AF$22,2,FALSE)</f>
        <v>#N/A</v>
      </c>
      <c r="AW28" s="637" t="str">
        <f t="shared" ref="AW28:BH28" ca="1" si="28">O44</f>
        <v/>
      </c>
      <c r="AX28" s="637" t="str">
        <f t="shared" ca="1" si="28"/>
        <v/>
      </c>
      <c r="AY28" s="637" t="str">
        <f t="shared" ca="1" si="28"/>
        <v/>
      </c>
      <c r="AZ28" s="637" t="str">
        <f t="shared" ca="1" si="28"/>
        <v/>
      </c>
      <c r="BA28" s="637" t="str">
        <f t="shared" ca="1" si="28"/>
        <v/>
      </c>
      <c r="BB28" s="637" t="str">
        <f t="shared" ca="1" si="28"/>
        <v/>
      </c>
      <c r="BC28" s="637" t="str">
        <f t="shared" ca="1" si="28"/>
        <v/>
      </c>
      <c r="BD28" s="637" t="str">
        <f t="shared" ca="1" si="28"/>
        <v/>
      </c>
      <c r="BE28" s="637" t="str">
        <f t="shared" ca="1" si="28"/>
        <v/>
      </c>
      <c r="BF28" s="637" t="str">
        <f t="shared" ca="1" si="28"/>
        <v/>
      </c>
      <c r="BG28" s="637" t="str">
        <f t="shared" ca="1" si="28"/>
        <v/>
      </c>
      <c r="BH28" s="637" t="str">
        <f t="shared" ca="1" si="28"/>
        <v/>
      </c>
      <c r="BI28" s="638" t="e">
        <f ca="1">BH28-AV28</f>
        <v>#VALUE!</v>
      </c>
      <c r="BJ28" s="297">
        <f ca="1">IF(ISERROR(BI28),0,IF(BI28&lt;0,1,0))</f>
        <v>0</v>
      </c>
      <c r="BK28" s="297">
        <v>0</v>
      </c>
      <c r="BL28" s="297"/>
      <c r="BM28" s="696" t="s">
        <v>494</v>
      </c>
    </row>
    <row r="29" spans="4:73" ht="15" customHeight="1">
      <c r="K29" s="290"/>
      <c r="L29" s="290">
        <v>13</v>
      </c>
      <c r="M29" s="290"/>
      <c r="N29" s="935" t="s">
        <v>253</v>
      </c>
      <c r="O29" s="931" t="e">
        <f ca="1">'Ratios &amp; Trend Analysis'!I18</f>
        <v>#NAME?</v>
      </c>
      <c r="P29" s="931" t="e">
        <f ca="1">'Ratios &amp; Trend Analysis'!J18</f>
        <v>#NAME?</v>
      </c>
      <c r="Q29" s="931" t="e">
        <f ca="1">'Ratios &amp; Trend Analysis'!K18</f>
        <v>#NAME?</v>
      </c>
      <c r="R29" s="931" t="e">
        <f ca="1">'Ratios &amp; Trend Analysis'!L18</f>
        <v>#NAME?</v>
      </c>
      <c r="S29" s="931" t="e">
        <f ca="1">'Ratios &amp; Trend Analysis'!M18</f>
        <v>#NAME?</v>
      </c>
      <c r="T29" s="931" t="e">
        <f ca="1">'Ratios &amp; Trend Analysis'!N18</f>
        <v>#NAME?</v>
      </c>
      <c r="U29" s="931" t="e">
        <f ca="1">'Ratios &amp; Trend Analysis'!O18</f>
        <v>#NAME?</v>
      </c>
      <c r="V29" s="931" t="e">
        <f ca="1">'Ratios &amp; Trend Analysis'!P18</f>
        <v>#NAME?</v>
      </c>
      <c r="W29" s="931" t="e">
        <f ca="1">'Ratios &amp; Trend Analysis'!Q18</f>
        <v>#NAME?</v>
      </c>
      <c r="X29" s="931" t="e">
        <f ca="1">'Ratios &amp; Trend Analysis'!R18</f>
        <v>#NAME?</v>
      </c>
      <c r="Y29" s="931" t="e">
        <f ca="1">'Ratios &amp; Trend Analysis'!S18</f>
        <v>#NAME?</v>
      </c>
      <c r="Z29" s="363" t="e">
        <f ca="1">'Ratios &amp; Trend Analysis'!T18</f>
        <v>#NAME?</v>
      </c>
      <c r="AA29" s="364"/>
      <c r="AB29" s="361"/>
      <c r="AC29" s="361"/>
      <c r="AD29" s="361"/>
      <c r="AE29" s="361"/>
      <c r="AF29" s="361"/>
      <c r="AG29" s="361"/>
      <c r="AH29" s="361"/>
      <c r="AI29" s="361"/>
      <c r="AJ29" s="361"/>
      <c r="AK29" s="361"/>
      <c r="AL29" s="361"/>
      <c r="AM29" s="361"/>
      <c r="AN29" s="361"/>
      <c r="AO29" s="361"/>
      <c r="AP29" s="287"/>
      <c r="AR29" s="297" t="str">
        <f t="shared" si="24"/>
        <v/>
      </c>
      <c r="AS29" s="297" t="str">
        <f t="shared" si="25"/>
        <v/>
      </c>
      <c r="AT29" s="362" t="s">
        <v>286</v>
      </c>
      <c r="AU29" s="297" t="str">
        <f>IFERROR(FIND(AT29,DB_LOAD!$AE$2&amp;DB_LOAD!$AE$3&amp;DB_LOAD!$AE$4&amp;DB_LOAD!$AE$5&amp;DB_LOAD!$AE$6&amp;DB_LOAD!$AE$7&amp;DB_LOAD!$AE$8),"")</f>
        <v/>
      </c>
      <c r="AV29" s="297" t="e">
        <f>VLOOKUP(AT29,DB_LOAD!$AE$2:$AF$22,2,FALSE)</f>
        <v>#N/A</v>
      </c>
      <c r="AW29" s="637" t="e">
        <f t="shared" ref="AW29:BH29" ca="1" si="29">O61</f>
        <v>#NAME?</v>
      </c>
      <c r="AX29" s="637" t="e">
        <f t="shared" ca="1" si="29"/>
        <v>#NAME?</v>
      </c>
      <c r="AY29" s="637" t="e">
        <f t="shared" ca="1" si="29"/>
        <v>#NAME?</v>
      </c>
      <c r="AZ29" s="637" t="e">
        <f t="shared" ca="1" si="29"/>
        <v>#NAME?</v>
      </c>
      <c r="BA29" s="637" t="e">
        <f t="shared" ca="1" si="29"/>
        <v>#NAME?</v>
      </c>
      <c r="BB29" s="637" t="e">
        <f t="shared" ca="1" si="29"/>
        <v>#NAME?</v>
      </c>
      <c r="BC29" s="637" t="e">
        <f t="shared" ca="1" si="29"/>
        <v>#NAME?</v>
      </c>
      <c r="BD29" s="637" t="e">
        <f t="shared" ca="1" si="29"/>
        <v>#NAME?</v>
      </c>
      <c r="BE29" s="637" t="e">
        <f t="shared" ca="1" si="29"/>
        <v>#NAME?</v>
      </c>
      <c r="BF29" s="637" t="e">
        <f t="shared" ca="1" si="29"/>
        <v>#NAME?</v>
      </c>
      <c r="BG29" s="637" t="e">
        <f t="shared" ca="1" si="29"/>
        <v>#NAME?</v>
      </c>
      <c r="BH29" s="637" t="e">
        <f t="shared" ca="1" si="29"/>
        <v>#NAME?</v>
      </c>
      <c r="BI29" s="638" t="e">
        <f ca="1">-BH29-AV29</f>
        <v>#NAME?</v>
      </c>
      <c r="BJ29" s="297">
        <f ca="1">IF(ISERROR(BI29),0,IF(BI29&gt;0,1,0))</f>
        <v>0</v>
      </c>
      <c r="BK29" s="297">
        <v>1</v>
      </c>
      <c r="BL29" s="297"/>
      <c r="BM29" s="696" t="s">
        <v>494</v>
      </c>
    </row>
    <row r="30" spans="4:73" ht="15" customHeight="1">
      <c r="K30" s="290"/>
      <c r="L30" s="290"/>
      <c r="M30" s="290"/>
      <c r="N30" s="935" t="s">
        <v>10</v>
      </c>
      <c r="O30" s="932" t="e">
        <f ca="1">'Balance Sheet'!AF15/$N$5</f>
        <v>#VALUE!</v>
      </c>
      <c r="P30" s="932" t="e">
        <f ca="1">'Balance Sheet'!AG15/$N$5</f>
        <v>#VALUE!</v>
      </c>
      <c r="Q30" s="932" t="e">
        <f ca="1">'Balance Sheet'!AH15/$N$5</f>
        <v>#VALUE!</v>
      </c>
      <c r="R30" s="932" t="e">
        <f ca="1">'Balance Sheet'!AI15/$N$5</f>
        <v>#VALUE!</v>
      </c>
      <c r="S30" s="932" t="e">
        <f ca="1">'Balance Sheet'!AJ15/$N$5</f>
        <v>#VALUE!</v>
      </c>
      <c r="T30" s="932" t="e">
        <f ca="1">'Balance Sheet'!AK15/$N$5</f>
        <v>#VALUE!</v>
      </c>
      <c r="U30" s="932" t="e">
        <f ca="1">'Balance Sheet'!AL15/$N$5</f>
        <v>#VALUE!</v>
      </c>
      <c r="V30" s="932" t="e">
        <f ca="1">'Balance Sheet'!AM15/$N$5</f>
        <v>#VALUE!</v>
      </c>
      <c r="W30" s="932" t="e">
        <f ca="1">'Balance Sheet'!AN15/$N$5</f>
        <v>#VALUE!</v>
      </c>
      <c r="X30" s="932" t="e">
        <f ca="1">'Balance Sheet'!AO15/$N$5</f>
        <v>#VALUE!</v>
      </c>
      <c r="Y30" s="932" t="e">
        <f ca="1">'Balance Sheet'!AP15/$N$5</f>
        <v>#VALUE!</v>
      </c>
      <c r="Z30" s="366" t="e">
        <f ca="1">'Balance Sheet'!AQ15/$N$5</f>
        <v>#NAME?</v>
      </c>
      <c r="AA30" s="364"/>
      <c r="AB30" s="361"/>
      <c r="AC30" s="361"/>
      <c r="AD30" s="361"/>
      <c r="AE30" s="361"/>
      <c r="AF30" s="361"/>
      <c r="AG30" s="361"/>
      <c r="AH30" s="361"/>
      <c r="AI30" s="361"/>
      <c r="AJ30" s="361"/>
      <c r="AK30" s="361"/>
      <c r="AL30" s="361"/>
      <c r="AM30" s="361"/>
      <c r="AN30" s="361"/>
      <c r="AO30" s="361"/>
      <c r="AP30" s="287"/>
      <c r="AR30" s="297" t="str">
        <f t="shared" si="24"/>
        <v/>
      </c>
      <c r="AS30" s="297" t="str">
        <f t="shared" si="25"/>
        <v/>
      </c>
      <c r="AT30" s="639" t="s">
        <v>289</v>
      </c>
      <c r="AU30" s="297" t="str">
        <f>IFERROR(FIND(AT30,DB_LOAD!$AE$2&amp;DB_LOAD!$AE$3&amp;DB_LOAD!$AE$4&amp;DB_LOAD!$AE$5&amp;DB_LOAD!$AE$6&amp;DB_LOAD!$AE$7&amp;DB_LOAD!$AE$8),"")</f>
        <v/>
      </c>
      <c r="AV30" s="297" t="e">
        <f>VLOOKUP(AT30,DB_LOAD!$AE$2:$AF$22,2,FALSE)</f>
        <v>#N/A</v>
      </c>
      <c r="AW30" s="637" t="e">
        <f t="shared" ref="AW30:BH30" ca="1" si="30">O33</f>
        <v>#VALUE!</v>
      </c>
      <c r="AX30" s="637" t="e">
        <f t="shared" ca="1" si="30"/>
        <v>#VALUE!</v>
      </c>
      <c r="AY30" s="637" t="e">
        <f t="shared" ca="1" si="30"/>
        <v>#VALUE!</v>
      </c>
      <c r="AZ30" s="637" t="e">
        <f t="shared" ca="1" si="30"/>
        <v>#VALUE!</v>
      </c>
      <c r="BA30" s="637" t="e">
        <f t="shared" ca="1" si="30"/>
        <v>#VALUE!</v>
      </c>
      <c r="BB30" s="637" t="e">
        <f t="shared" ca="1" si="30"/>
        <v>#VALUE!</v>
      </c>
      <c r="BC30" s="637" t="e">
        <f t="shared" ca="1" si="30"/>
        <v>#VALUE!</v>
      </c>
      <c r="BD30" s="637" t="e">
        <f t="shared" ca="1" si="30"/>
        <v>#VALUE!</v>
      </c>
      <c r="BE30" s="637" t="e">
        <f t="shared" ca="1" si="30"/>
        <v>#VALUE!</v>
      </c>
      <c r="BF30" s="637" t="e">
        <f t="shared" ca="1" si="30"/>
        <v>#VALUE!</v>
      </c>
      <c r="BG30" s="637" t="e">
        <f t="shared" ca="1" si="30"/>
        <v>#VALUE!</v>
      </c>
      <c r="BH30" s="637" t="e">
        <f t="shared" ca="1" si="30"/>
        <v>#NAME?</v>
      </c>
      <c r="BI30" s="638" t="e">
        <f t="shared" ref="BI30:BI38" ca="1" si="31">BH30-AV30</f>
        <v>#NAME?</v>
      </c>
      <c r="BJ30" s="297">
        <f ca="1">IF(ISERROR(BI30),0,IF(BI30&lt;0,1,0))</f>
        <v>0</v>
      </c>
      <c r="BK30" s="297">
        <v>0</v>
      </c>
      <c r="BL30" s="297"/>
      <c r="BM30" s="696" t="s">
        <v>494</v>
      </c>
    </row>
    <row r="31" spans="4:73" ht="15" customHeight="1">
      <c r="D31" s="367"/>
      <c r="E31" s="367"/>
      <c r="K31" s="290"/>
      <c r="L31" s="290"/>
      <c r="M31" s="290"/>
      <c r="N31" s="935" t="s">
        <v>442</v>
      </c>
      <c r="O31" s="933" t="e">
        <f ca="1">'Ratios &amp; Trend Analysis'!I24</f>
        <v>#VALUE!</v>
      </c>
      <c r="P31" s="933" t="e">
        <f ca="1">'Ratios &amp; Trend Analysis'!J24</f>
        <v>#VALUE!</v>
      </c>
      <c r="Q31" s="933" t="e">
        <f ca="1">'Ratios &amp; Trend Analysis'!K24</f>
        <v>#VALUE!</v>
      </c>
      <c r="R31" s="933" t="e">
        <f ca="1">'Ratios &amp; Trend Analysis'!L24</f>
        <v>#VALUE!</v>
      </c>
      <c r="S31" s="933" t="e">
        <f ca="1">'Ratios &amp; Trend Analysis'!M24</f>
        <v>#VALUE!</v>
      </c>
      <c r="T31" s="933" t="e">
        <f ca="1">'Ratios &amp; Trend Analysis'!N24</f>
        <v>#VALUE!</v>
      </c>
      <c r="U31" s="933" t="e">
        <f ca="1">'Ratios &amp; Trend Analysis'!O24</f>
        <v>#VALUE!</v>
      </c>
      <c r="V31" s="933" t="e">
        <f ca="1">'Ratios &amp; Trend Analysis'!P24</f>
        <v>#VALUE!</v>
      </c>
      <c r="W31" s="933" t="e">
        <f ca="1">'Ratios &amp; Trend Analysis'!Q24</f>
        <v>#VALUE!</v>
      </c>
      <c r="X31" s="933" t="e">
        <f ca="1">'Ratios &amp; Trend Analysis'!R24</f>
        <v>#VALUE!</v>
      </c>
      <c r="Y31" s="933" t="e">
        <f ca="1">'Ratios &amp; Trend Analysis'!S24</f>
        <v>#VALUE!</v>
      </c>
      <c r="Z31" s="368" t="e">
        <f ca="1">'Ratios &amp; Trend Analysis'!T24</f>
        <v>#NAME?</v>
      </c>
      <c r="AA31" s="369"/>
      <c r="AB31" s="361"/>
      <c r="AC31" s="361"/>
      <c r="AD31" s="361"/>
      <c r="AE31" s="361"/>
      <c r="AF31" s="361"/>
      <c r="AG31" s="361"/>
      <c r="AH31" s="361"/>
      <c r="AI31" s="361"/>
      <c r="AJ31" s="361"/>
      <c r="AK31" s="361"/>
      <c r="AL31" s="361"/>
      <c r="AM31" s="361"/>
      <c r="AN31" s="361"/>
      <c r="AO31" s="361"/>
      <c r="AP31" s="287"/>
      <c r="AR31" s="297" t="str">
        <f t="shared" si="24"/>
        <v/>
      </c>
      <c r="AS31" s="297" t="str">
        <f t="shared" si="25"/>
        <v/>
      </c>
      <c r="AT31" s="362" t="s">
        <v>343</v>
      </c>
      <c r="AU31" s="297" t="str">
        <f>IFERROR(FIND(AT31,DB_LOAD!$AE$2&amp;DB_LOAD!$AE$3&amp;DB_LOAD!$AE$4&amp;DB_LOAD!$AE$5&amp;DB_LOAD!$AE$6&amp;DB_LOAD!$AE$7&amp;DB_LOAD!$AE$8),"")</f>
        <v/>
      </c>
      <c r="AV31" s="297" t="e">
        <f>VLOOKUP(AT31,DB_LOAD!$AE$2:$AF$22,2,FALSE)</f>
        <v>#N/A</v>
      </c>
      <c r="AW31" s="697" t="e">
        <f t="shared" ref="AW31:BH31" ca="1" si="32">$G$17/O53</f>
        <v>#VALUE!</v>
      </c>
      <c r="AX31" s="697" t="e">
        <f t="shared" ca="1" si="32"/>
        <v>#VALUE!</v>
      </c>
      <c r="AY31" s="697" t="e">
        <f t="shared" ca="1" si="32"/>
        <v>#VALUE!</v>
      </c>
      <c r="AZ31" s="697" t="e">
        <f t="shared" ca="1" si="32"/>
        <v>#VALUE!</v>
      </c>
      <c r="BA31" s="697" t="e">
        <f t="shared" ca="1" si="32"/>
        <v>#VALUE!</v>
      </c>
      <c r="BB31" s="697" t="e">
        <f t="shared" ca="1" si="32"/>
        <v>#VALUE!</v>
      </c>
      <c r="BC31" s="697" t="e">
        <f t="shared" ca="1" si="32"/>
        <v>#VALUE!</v>
      </c>
      <c r="BD31" s="697" t="e">
        <f t="shared" ca="1" si="32"/>
        <v>#VALUE!</v>
      </c>
      <c r="BE31" s="697" t="e">
        <f t="shared" ca="1" si="32"/>
        <v>#VALUE!</v>
      </c>
      <c r="BF31" s="697" t="e">
        <f t="shared" ca="1" si="32"/>
        <v>#VALUE!</v>
      </c>
      <c r="BG31" s="697" t="e">
        <f t="shared" ca="1" si="32"/>
        <v>#VALUE!</v>
      </c>
      <c r="BH31" s="697" t="e">
        <f t="shared" ca="1" si="32"/>
        <v>#NAME?</v>
      </c>
      <c r="BI31" s="698" t="e">
        <f t="shared" ca="1" si="31"/>
        <v>#NAME?</v>
      </c>
      <c r="BJ31" s="297">
        <f ca="1">IF(ISERROR(BI31),0,IF(BI31&gt;0,1,0))</f>
        <v>0</v>
      </c>
      <c r="BK31" s="297">
        <v>1</v>
      </c>
      <c r="BL31" s="297"/>
      <c r="BM31" s="696" t="s">
        <v>494</v>
      </c>
    </row>
    <row r="32" spans="4:73" ht="15" customHeight="1">
      <c r="D32" s="367"/>
      <c r="E32" s="367"/>
      <c r="K32" s="290"/>
      <c r="L32" s="290"/>
      <c r="M32" s="290"/>
      <c r="N32" s="935" t="s">
        <v>255</v>
      </c>
      <c r="O32" s="933" t="e">
        <f ca="1">'Ratios &amp; Trend Analysis'!I20</f>
        <v>#VALUE!</v>
      </c>
      <c r="P32" s="933" t="e">
        <f ca="1">'Ratios &amp; Trend Analysis'!J20</f>
        <v>#VALUE!</v>
      </c>
      <c r="Q32" s="933" t="e">
        <f ca="1">'Ratios &amp; Trend Analysis'!K20</f>
        <v>#VALUE!</v>
      </c>
      <c r="R32" s="933" t="e">
        <f ca="1">'Ratios &amp; Trend Analysis'!L20</f>
        <v>#VALUE!</v>
      </c>
      <c r="S32" s="933" t="e">
        <f ca="1">'Ratios &amp; Trend Analysis'!M20</f>
        <v>#VALUE!</v>
      </c>
      <c r="T32" s="933" t="e">
        <f ca="1">'Ratios &amp; Trend Analysis'!N20</f>
        <v>#VALUE!</v>
      </c>
      <c r="U32" s="933" t="e">
        <f ca="1">'Ratios &amp; Trend Analysis'!O20</f>
        <v>#VALUE!</v>
      </c>
      <c r="V32" s="933" t="e">
        <f ca="1">'Ratios &amp; Trend Analysis'!P20</f>
        <v>#VALUE!</v>
      </c>
      <c r="W32" s="933" t="e">
        <f ca="1">'Ratios &amp; Trend Analysis'!Q20</f>
        <v>#VALUE!</v>
      </c>
      <c r="X32" s="933" t="e">
        <f ca="1">'Ratios &amp; Trend Analysis'!R20</f>
        <v>#VALUE!</v>
      </c>
      <c r="Y32" s="933" t="e">
        <f ca="1">'Ratios &amp; Trend Analysis'!S20</f>
        <v>#VALUE!</v>
      </c>
      <c r="Z32" s="368" t="e">
        <f ca="1">'Ratios &amp; Trend Analysis'!T20</f>
        <v>#NAME?</v>
      </c>
      <c r="AA32" s="369"/>
      <c r="AB32" s="361"/>
      <c r="AC32" s="361"/>
      <c r="AD32" s="361"/>
      <c r="AE32" s="361"/>
      <c r="AF32" s="361"/>
      <c r="AG32" s="361"/>
      <c r="AH32" s="361"/>
      <c r="AI32" s="361"/>
      <c r="AJ32" s="361"/>
      <c r="AK32" s="361"/>
      <c r="AL32" s="361"/>
      <c r="AM32" s="361"/>
      <c r="AN32" s="361"/>
      <c r="AO32" s="361"/>
      <c r="AP32" s="287"/>
      <c r="AR32" s="297" t="str">
        <f t="shared" si="24"/>
        <v/>
      </c>
      <c r="AS32" s="297" t="str">
        <f t="shared" si="25"/>
        <v/>
      </c>
      <c r="AT32" s="297" t="s">
        <v>290</v>
      </c>
      <c r="AU32" s="297" t="str">
        <f>IFERROR(FIND(AT32,DB_LOAD!$AE$2&amp;DB_LOAD!$AE$3&amp;DB_LOAD!$AE$4&amp;DB_LOAD!$AE$5&amp;DB_LOAD!$AE$6&amp;DB_LOAD!$AE$7&amp;DB_LOAD!$AE$8),"")</f>
        <v/>
      </c>
      <c r="AV32" s="297" t="e">
        <f>VLOOKUP(AT32,DB_LOAD!$AE$2:$AF$22,2,FALSE)</f>
        <v>#N/A</v>
      </c>
      <c r="AW32" s="637" t="e">
        <f t="shared" ref="AW32:BH32" ca="1" si="33">O26+O27+O28</f>
        <v>#NAME?</v>
      </c>
      <c r="AX32" s="637" t="e">
        <f t="shared" ca="1" si="33"/>
        <v>#NAME?</v>
      </c>
      <c r="AY32" s="637" t="e">
        <f t="shared" ca="1" si="33"/>
        <v>#NAME?</v>
      </c>
      <c r="AZ32" s="637" t="e">
        <f t="shared" ca="1" si="33"/>
        <v>#NAME?</v>
      </c>
      <c r="BA32" s="637" t="e">
        <f t="shared" ca="1" si="33"/>
        <v>#NAME?</v>
      </c>
      <c r="BB32" s="637" t="e">
        <f t="shared" ca="1" si="33"/>
        <v>#NAME?</v>
      </c>
      <c r="BC32" s="637" t="e">
        <f t="shared" ca="1" si="33"/>
        <v>#NAME?</v>
      </c>
      <c r="BD32" s="637" t="e">
        <f t="shared" ca="1" si="33"/>
        <v>#NAME?</v>
      </c>
      <c r="BE32" s="637" t="e">
        <f t="shared" ca="1" si="33"/>
        <v>#NAME?</v>
      </c>
      <c r="BF32" s="637" t="e">
        <f t="shared" ca="1" si="33"/>
        <v>#NAME?</v>
      </c>
      <c r="BG32" s="637" t="e">
        <f t="shared" ca="1" si="33"/>
        <v>#NAME?</v>
      </c>
      <c r="BH32" s="637" t="e">
        <f t="shared" ca="1" si="33"/>
        <v>#NAME?</v>
      </c>
      <c r="BI32" s="638" t="e">
        <f t="shared" ca="1" si="31"/>
        <v>#NAME?</v>
      </c>
      <c r="BJ32" s="297">
        <f ca="1">IF(ISERROR(BI32),0,IF(BI32&gt;0,1,0))</f>
        <v>0</v>
      </c>
      <c r="BK32" s="297">
        <v>1</v>
      </c>
      <c r="BL32" s="297"/>
      <c r="BM32" s="696" t="s">
        <v>494</v>
      </c>
    </row>
    <row r="33" spans="11:65" ht="15.75" customHeight="1" thickBot="1">
      <c r="K33" s="290"/>
      <c r="N33" s="370" t="s">
        <v>254</v>
      </c>
      <c r="O33" s="936" t="e">
        <f ca="1">'Ratios &amp; Trend Analysis'!I19</f>
        <v>#VALUE!</v>
      </c>
      <c r="P33" s="936" t="e">
        <f ca="1">'Ratios &amp; Trend Analysis'!J19</f>
        <v>#VALUE!</v>
      </c>
      <c r="Q33" s="936" t="e">
        <f ca="1">'Ratios &amp; Trend Analysis'!K19</f>
        <v>#VALUE!</v>
      </c>
      <c r="R33" s="936" t="e">
        <f ca="1">'Ratios &amp; Trend Analysis'!L19</f>
        <v>#VALUE!</v>
      </c>
      <c r="S33" s="936" t="e">
        <f ca="1">'Ratios &amp; Trend Analysis'!M19</f>
        <v>#VALUE!</v>
      </c>
      <c r="T33" s="936" t="e">
        <f ca="1">'Ratios &amp; Trend Analysis'!N19</f>
        <v>#VALUE!</v>
      </c>
      <c r="U33" s="936" t="e">
        <f ca="1">'Ratios &amp; Trend Analysis'!O19</f>
        <v>#VALUE!</v>
      </c>
      <c r="V33" s="936" t="e">
        <f ca="1">'Ratios &amp; Trend Analysis'!P19</f>
        <v>#VALUE!</v>
      </c>
      <c r="W33" s="936" t="e">
        <f ca="1">'Ratios &amp; Trend Analysis'!Q19</f>
        <v>#VALUE!</v>
      </c>
      <c r="X33" s="936" t="e">
        <f ca="1">'Ratios &amp; Trend Analysis'!R19</f>
        <v>#VALUE!</v>
      </c>
      <c r="Y33" s="936" t="e">
        <f ca="1">'Ratios &amp; Trend Analysis'!S19</f>
        <v>#VALUE!</v>
      </c>
      <c r="Z33" s="371" t="e">
        <f ca="1">'Ratios &amp; Trend Analysis'!T19</f>
        <v>#NAME?</v>
      </c>
      <c r="AA33" s="369"/>
      <c r="AB33" s="361"/>
      <c r="AC33" s="361"/>
      <c r="AD33" s="361"/>
      <c r="AE33" s="361"/>
      <c r="AF33" s="361"/>
      <c r="AG33" s="361"/>
      <c r="AH33" s="361"/>
      <c r="AI33" s="361"/>
      <c r="AJ33" s="361"/>
      <c r="AK33" s="361"/>
      <c r="AL33" s="361"/>
      <c r="AM33" s="361"/>
      <c r="AN33" s="361"/>
      <c r="AO33" s="361"/>
      <c r="AP33" s="287"/>
      <c r="AR33" s="297" t="str">
        <f t="shared" si="24"/>
        <v/>
      </c>
      <c r="AS33" s="297" t="str">
        <f t="shared" si="25"/>
        <v/>
      </c>
      <c r="AT33" s="362" t="s">
        <v>346</v>
      </c>
      <c r="AU33" s="297" t="str">
        <f>IFERROR(FIND(AT33,DB_LOAD!$AE$2&amp;DB_LOAD!$AE$3&amp;DB_LOAD!$AE$4&amp;DB_LOAD!$AE$5&amp;DB_LOAD!$AE$6&amp;DB_LOAD!$AE$7&amp;DB_LOAD!$AE$8),"")</f>
        <v/>
      </c>
      <c r="AV33" s="297" t="e">
        <f>VLOOKUP(AT33,DB_LOAD!$AE$2:$AF$22,2,FALSE)</f>
        <v>#N/A</v>
      </c>
      <c r="AW33" s="637" t="e">
        <f ca="1">SUM('Portfolio Quality'!AN26:AN29)</f>
        <v>#NAME?</v>
      </c>
      <c r="AX33" s="637" t="e">
        <f ca="1">SUM('Portfolio Quality'!AO26:AO29)</f>
        <v>#NAME?</v>
      </c>
      <c r="AY33" s="637" t="e">
        <f ca="1">SUM('Portfolio Quality'!AP26:AP29)</f>
        <v>#NAME?</v>
      </c>
      <c r="AZ33" s="637" t="e">
        <f ca="1">SUM('Portfolio Quality'!AQ26:AQ29)</f>
        <v>#NAME?</v>
      </c>
      <c r="BA33" s="637" t="e">
        <f ca="1">SUM('Portfolio Quality'!AR26:AR29)</f>
        <v>#NAME?</v>
      </c>
      <c r="BB33" s="637" t="e">
        <f ca="1">SUM('Portfolio Quality'!AS26:AS29)</f>
        <v>#NAME?</v>
      </c>
      <c r="BC33" s="637" t="e">
        <f ca="1">SUM('Portfolio Quality'!AT26:AT29)</f>
        <v>#NAME?</v>
      </c>
      <c r="BD33" s="637" t="e">
        <f ca="1">SUM('Portfolio Quality'!AU26:AU29)</f>
        <v>#NAME?</v>
      </c>
      <c r="BE33" s="637" t="e">
        <f ca="1">SUM('Portfolio Quality'!AV26:AV29)</f>
        <v>#NAME?</v>
      </c>
      <c r="BF33" s="637" t="e">
        <f ca="1">SUM('Portfolio Quality'!AW26:AW29)</f>
        <v>#NAME?</v>
      </c>
      <c r="BG33" s="637" t="e">
        <f ca="1">SUM('Portfolio Quality'!AX26:AX29)</f>
        <v>#NAME?</v>
      </c>
      <c r="BH33" s="637" t="e">
        <f ca="1">SUM('Portfolio Quality'!AY26:AY29)</f>
        <v>#NAME?</v>
      </c>
      <c r="BI33" s="638" t="e">
        <f t="shared" ca="1" si="31"/>
        <v>#NAME?</v>
      </c>
      <c r="BJ33" s="297">
        <f ca="1">IF(ISERROR(BI33),0,IF(BI33&gt;0,1,0))</f>
        <v>0</v>
      </c>
      <c r="BK33" s="297">
        <v>1</v>
      </c>
      <c r="BL33" s="297"/>
      <c r="BM33" s="696" t="s">
        <v>494</v>
      </c>
    </row>
    <row r="34" spans="11:65" ht="15" customHeight="1">
      <c r="K34" s="290"/>
      <c r="N34" s="373"/>
      <c r="O34" s="374"/>
      <c r="P34" s="374"/>
      <c r="Q34" s="374"/>
      <c r="R34" s="374"/>
      <c r="S34" s="374"/>
      <c r="T34" s="374"/>
      <c r="U34" s="374"/>
      <c r="V34" s="374"/>
      <c r="W34" s="374"/>
      <c r="X34" s="374"/>
      <c r="Y34" s="374"/>
      <c r="Z34" s="374"/>
      <c r="AA34" s="369"/>
      <c r="AB34" s="361"/>
      <c r="AC34" s="361"/>
      <c r="AD34" s="361"/>
      <c r="AE34" s="361"/>
      <c r="AF34" s="361"/>
      <c r="AG34" s="361"/>
      <c r="AH34" s="361"/>
      <c r="AI34" s="361"/>
      <c r="AJ34" s="361"/>
      <c r="AK34" s="361"/>
      <c r="AL34" s="361"/>
      <c r="AM34" s="361"/>
      <c r="AN34" s="361"/>
      <c r="AO34" s="361"/>
      <c r="AP34" s="287"/>
      <c r="AR34" s="297" t="str">
        <f t="shared" si="24"/>
        <v/>
      </c>
      <c r="AS34" s="297" t="str">
        <f t="shared" si="25"/>
        <v/>
      </c>
      <c r="AT34" s="639" t="s">
        <v>268</v>
      </c>
      <c r="AU34" s="297" t="str">
        <f>IFERROR(FIND(AT34,DB_LOAD!$AE$2&amp;DB_LOAD!$AE$3&amp;DB_LOAD!$AE$4&amp;DB_LOAD!$AE$5&amp;DB_LOAD!$AE$6&amp;DB_LOAD!$AE$7&amp;DB_LOAD!$AE$8),"")</f>
        <v/>
      </c>
      <c r="AV34" s="297" t="e">
        <f>VLOOKUP(AT34,DB_LOAD!$AE$2:$AF$22,2,FALSE)</f>
        <v>#N/A</v>
      </c>
      <c r="AW34" s="637" t="e">
        <f t="shared" ref="AW34:BH35" ca="1" si="34">O70</f>
        <v>#NAME?</v>
      </c>
      <c r="AX34" s="637" t="e">
        <f t="shared" ca="1" si="34"/>
        <v>#NAME?</v>
      </c>
      <c r="AY34" s="637" t="e">
        <f t="shared" ca="1" si="34"/>
        <v>#NAME?</v>
      </c>
      <c r="AZ34" s="637" t="e">
        <f t="shared" ca="1" si="34"/>
        <v>#NAME?</v>
      </c>
      <c r="BA34" s="637" t="e">
        <f t="shared" ca="1" si="34"/>
        <v>#NAME?</v>
      </c>
      <c r="BB34" s="637" t="e">
        <f t="shared" ca="1" si="34"/>
        <v>#NAME?</v>
      </c>
      <c r="BC34" s="637" t="e">
        <f t="shared" ca="1" si="34"/>
        <v>#NAME?</v>
      </c>
      <c r="BD34" s="637" t="e">
        <f t="shared" ca="1" si="34"/>
        <v>#NAME?</v>
      </c>
      <c r="BE34" s="637" t="e">
        <f t="shared" ca="1" si="34"/>
        <v>#NAME?</v>
      </c>
      <c r="BF34" s="637" t="e">
        <f t="shared" ca="1" si="34"/>
        <v>#NAME?</v>
      </c>
      <c r="BG34" s="637" t="e">
        <f t="shared" ca="1" si="34"/>
        <v>#NAME?</v>
      </c>
      <c r="BH34" s="637" t="e">
        <f t="shared" ca="1" si="34"/>
        <v>#NAME?</v>
      </c>
      <c r="BI34" s="638" t="e">
        <f t="shared" ca="1" si="31"/>
        <v>#NAME?</v>
      </c>
      <c r="BJ34" s="297">
        <f ca="1">IF(ISERROR(BI34),0,IF(BI34&lt;0,1,0))</f>
        <v>0</v>
      </c>
      <c r="BK34" s="297">
        <v>0</v>
      </c>
      <c r="BL34" s="297"/>
      <c r="BM34" s="699" t="s">
        <v>496</v>
      </c>
    </row>
    <row r="35" spans="11:65" ht="15" customHeight="1">
      <c r="K35" s="290"/>
      <c r="O35" s="287" t="s">
        <v>452</v>
      </c>
      <c r="AB35" s="361"/>
      <c r="AC35" s="361"/>
      <c r="AD35" s="361"/>
      <c r="AE35" s="361"/>
      <c r="AF35" s="361"/>
      <c r="AG35" s="361"/>
      <c r="AH35" s="361"/>
      <c r="AI35" s="361"/>
      <c r="AJ35" s="361"/>
      <c r="AK35" s="361"/>
      <c r="AL35" s="361"/>
      <c r="AM35" s="361"/>
      <c r="AN35" s="361"/>
      <c r="AO35" s="361"/>
      <c r="AP35" s="287"/>
      <c r="AR35" s="297" t="str">
        <f t="shared" si="24"/>
        <v/>
      </c>
      <c r="AS35" s="297" t="str">
        <f t="shared" si="25"/>
        <v/>
      </c>
      <c r="AT35" s="639" t="s">
        <v>4</v>
      </c>
      <c r="AU35" s="297" t="str">
        <f>IFERROR(FIND(AT35,DB_LOAD!$AE$2&amp;DB_LOAD!$AE$3&amp;DB_LOAD!$AE$4&amp;DB_LOAD!$AE$5&amp;DB_LOAD!$AE$6&amp;DB_LOAD!$AE$7&amp;DB_LOAD!$AE$8),"")</f>
        <v/>
      </c>
      <c r="AV35" s="297" t="e">
        <f>VLOOKUP(AT35,DB_LOAD!$AE$2:$AF$22,2,FALSE)</f>
        <v>#N/A</v>
      </c>
      <c r="AW35" s="637" t="e">
        <f t="shared" si="34"/>
        <v>#NAME?</v>
      </c>
      <c r="AX35" s="637" t="e">
        <f t="shared" si="34"/>
        <v>#NAME?</v>
      </c>
      <c r="AY35" s="637" t="e">
        <f t="shared" si="34"/>
        <v>#NAME?</v>
      </c>
      <c r="AZ35" s="637" t="e">
        <f t="shared" si="34"/>
        <v>#NAME?</v>
      </c>
      <c r="BA35" s="637" t="e">
        <f t="shared" si="34"/>
        <v>#NAME?</v>
      </c>
      <c r="BB35" s="637" t="e">
        <f t="shared" si="34"/>
        <v>#NAME?</v>
      </c>
      <c r="BC35" s="637" t="e">
        <f t="shared" si="34"/>
        <v>#NAME?</v>
      </c>
      <c r="BD35" s="637" t="e">
        <f t="shared" si="34"/>
        <v>#NAME?</v>
      </c>
      <c r="BE35" s="637" t="e">
        <f t="shared" si="34"/>
        <v>#NAME?</v>
      </c>
      <c r="BF35" s="637" t="e">
        <f t="shared" si="34"/>
        <v>#NAME?</v>
      </c>
      <c r="BG35" s="637" t="e">
        <f t="shared" si="34"/>
        <v>#NAME?</v>
      </c>
      <c r="BH35" s="637" t="e">
        <f t="shared" si="34"/>
        <v>#NAME?</v>
      </c>
      <c r="BI35" s="638" t="e">
        <f t="shared" si="31"/>
        <v>#NAME?</v>
      </c>
      <c r="BJ35" s="297">
        <f>IF(ISERROR(BI35),0,IF(BI35&lt;0,1,0))</f>
        <v>0</v>
      </c>
      <c r="BK35" s="297">
        <v>0</v>
      </c>
      <c r="BL35" s="297"/>
      <c r="BM35" s="696" t="s">
        <v>494</v>
      </c>
    </row>
    <row r="36" spans="11:65" ht="15.75">
      <c r="K36" s="290"/>
      <c r="L36" s="354" t="s">
        <v>354</v>
      </c>
      <c r="M36" s="354"/>
      <c r="O36" s="287" t="s">
        <v>268</v>
      </c>
      <c r="X36" s="293" t="s">
        <v>336</v>
      </c>
      <c r="Y36" s="355"/>
      <c r="AA36" s="375"/>
      <c r="AB36" s="361"/>
      <c r="AC36" s="361"/>
      <c r="AD36" s="361"/>
      <c r="AE36" s="361"/>
      <c r="AF36" s="361"/>
      <c r="AG36" s="361"/>
      <c r="AH36" s="361"/>
      <c r="AI36" s="361"/>
      <c r="AJ36" s="361"/>
      <c r="AK36" s="361"/>
      <c r="AL36" s="361"/>
      <c r="AM36" s="361"/>
      <c r="AN36" s="361"/>
      <c r="AO36" s="361"/>
      <c r="AP36" s="287"/>
      <c r="AR36" s="297" t="str">
        <f t="shared" si="24"/>
        <v/>
      </c>
      <c r="AS36" s="297" t="str">
        <f t="shared" si="25"/>
        <v/>
      </c>
      <c r="AT36" s="639" t="s">
        <v>126</v>
      </c>
      <c r="AU36" s="297" t="str">
        <f>IFERROR(FIND(AT36,DB_LOAD!$AE$2&amp;DB_LOAD!$AE$3&amp;DB_LOAD!$AE$4&amp;DB_LOAD!$AE$5&amp;DB_LOAD!$AE$6&amp;DB_LOAD!$AE$7&amp;DB_LOAD!$AE$8),"")</f>
        <v/>
      </c>
      <c r="AV36" s="352" t="e">
        <f>VLOOKUP(AT36,DB_LOAD!$AE$2:$AF$22,2,FALSE)/1000000</f>
        <v>#N/A</v>
      </c>
      <c r="AW36" s="1104" t="e">
        <f ca="1">'Risk Assessment'!O39</f>
        <v>#VALUE!</v>
      </c>
      <c r="AX36" s="1104" t="e">
        <f ca="1">'Risk Assessment'!P39</f>
        <v>#VALUE!</v>
      </c>
      <c r="AY36" s="1104" t="e">
        <f ca="1">'Risk Assessment'!Q39</f>
        <v>#VALUE!</v>
      </c>
      <c r="AZ36" s="1104" t="e">
        <f ca="1">'Risk Assessment'!R39</f>
        <v>#VALUE!</v>
      </c>
      <c r="BA36" s="1104" t="e">
        <f ca="1">'Risk Assessment'!S39</f>
        <v>#VALUE!</v>
      </c>
      <c r="BB36" s="1104" t="e">
        <f ca="1">'Risk Assessment'!T39</f>
        <v>#VALUE!</v>
      </c>
      <c r="BC36" s="1104" t="e">
        <f ca="1">'Risk Assessment'!U39</f>
        <v>#VALUE!</v>
      </c>
      <c r="BD36" s="1104" t="e">
        <f ca="1">'Risk Assessment'!V39</f>
        <v>#VALUE!</v>
      </c>
      <c r="BE36" s="1104" t="e">
        <f ca="1">'Risk Assessment'!W39</f>
        <v>#VALUE!</v>
      </c>
      <c r="BF36" s="1104" t="e">
        <f ca="1">'Risk Assessment'!X39</f>
        <v>#VALUE!</v>
      </c>
      <c r="BG36" s="1104" t="e">
        <f ca="1">'Risk Assessment'!Y39</f>
        <v>#VALUE!</v>
      </c>
      <c r="BH36" s="1104" t="e">
        <f ca="1">'Risk Assessment'!Z39</f>
        <v>#NAME?</v>
      </c>
      <c r="BI36" s="1105" t="e">
        <f t="shared" ca="1" si="31"/>
        <v>#NAME?</v>
      </c>
      <c r="BJ36" s="297">
        <f ca="1">IF(ISERROR(BI36),0,IF(BI36&lt;0,1,0))</f>
        <v>0</v>
      </c>
      <c r="BK36" s="297">
        <v>0</v>
      </c>
      <c r="BL36" s="297"/>
      <c r="BM36" s="699" t="s">
        <v>496</v>
      </c>
    </row>
    <row r="37" spans="11:65" ht="15.75" customHeight="1" thickBot="1">
      <c r="K37" s="290"/>
      <c r="O37" s="287" t="s">
        <v>453</v>
      </c>
      <c r="AB37" s="361"/>
      <c r="AC37" s="361"/>
      <c r="AD37" s="361"/>
      <c r="AE37" s="361"/>
      <c r="AF37" s="361"/>
      <c r="AG37" s="361"/>
      <c r="AH37" s="361"/>
      <c r="AI37" s="361"/>
      <c r="AJ37" s="361"/>
      <c r="AK37" s="361"/>
      <c r="AL37" s="361"/>
      <c r="AM37" s="361"/>
      <c r="AN37" s="361"/>
      <c r="AO37" s="361"/>
      <c r="AP37" s="287"/>
      <c r="AR37" s="297" t="str">
        <f t="shared" si="24"/>
        <v/>
      </c>
      <c r="AS37" s="297" t="str">
        <f t="shared" si="25"/>
        <v/>
      </c>
      <c r="AT37" s="362" t="s">
        <v>351</v>
      </c>
      <c r="AU37" s="297" t="str">
        <f>IFERROR(FIND(AT37,DB_LOAD!$AE$2&amp;DB_LOAD!$AE$3&amp;DB_LOAD!$AE$4&amp;DB_LOAD!$AE$5&amp;DB_LOAD!$AE$6&amp;DB_LOAD!$AE$7&amp;DB_LOAD!$AE$8),"")</f>
        <v/>
      </c>
      <c r="AV37" s="297" t="e">
        <f>VLOOKUP(AT37,DB_LOAD!$AE$2:$AF$22,2,FALSE)</f>
        <v>#N/A</v>
      </c>
      <c r="AW37" s="637"/>
      <c r="AX37" s="637"/>
      <c r="AY37" s="637"/>
      <c r="AZ37" s="637"/>
      <c r="BA37" s="637"/>
      <c r="BB37" s="637"/>
      <c r="BC37" s="637"/>
      <c r="BD37" s="637"/>
      <c r="BE37" s="637"/>
      <c r="BF37" s="637"/>
      <c r="BG37" s="637"/>
      <c r="BH37" s="637"/>
      <c r="BI37" s="638" t="e">
        <f t="shared" si="31"/>
        <v>#N/A</v>
      </c>
      <c r="BJ37" s="297">
        <f>IF(ISERROR(BI37),0,IF(BI37&gt;0,1,0))</f>
        <v>0</v>
      </c>
      <c r="BK37" s="297">
        <v>1</v>
      </c>
      <c r="BL37" s="297"/>
      <c r="BM37" s="696" t="s">
        <v>494</v>
      </c>
    </row>
    <row r="38" spans="11:65" ht="15" customHeight="1">
      <c r="N38" s="376"/>
      <c r="O38" s="377">
        <f t="shared" ref="O38:Z38" si="35">O8</f>
        <v>0</v>
      </c>
      <c r="P38" s="377">
        <f t="shared" si="35"/>
        <v>0</v>
      </c>
      <c r="Q38" s="377">
        <f t="shared" si="35"/>
        <v>0</v>
      </c>
      <c r="R38" s="377">
        <f t="shared" si="35"/>
        <v>0</v>
      </c>
      <c r="S38" s="377">
        <f t="shared" si="35"/>
        <v>0</v>
      </c>
      <c r="T38" s="377">
        <f t="shared" si="35"/>
        <v>0</v>
      </c>
      <c r="U38" s="377">
        <f t="shared" si="35"/>
        <v>0</v>
      </c>
      <c r="V38" s="377">
        <f t="shared" si="35"/>
        <v>0</v>
      </c>
      <c r="W38" s="377">
        <f t="shared" si="35"/>
        <v>0</v>
      </c>
      <c r="X38" s="377">
        <f t="shared" si="35"/>
        <v>0</v>
      </c>
      <c r="Y38" s="377">
        <f t="shared" si="35"/>
        <v>0</v>
      </c>
      <c r="Z38" s="378">
        <f t="shared" si="35"/>
        <v>4</v>
      </c>
      <c r="AA38" s="328"/>
      <c r="AB38" s="361"/>
      <c r="AC38" s="361"/>
      <c r="AD38" s="361"/>
      <c r="AE38" s="361"/>
      <c r="AF38" s="361"/>
      <c r="AG38" s="361"/>
      <c r="AH38" s="361"/>
      <c r="AI38" s="361"/>
      <c r="AJ38" s="361"/>
      <c r="AK38" s="361"/>
      <c r="AL38" s="361"/>
      <c r="AM38" s="361"/>
      <c r="AN38" s="361"/>
      <c r="AO38" s="361"/>
      <c r="AP38" s="287"/>
      <c r="AR38" s="297" t="str">
        <f t="shared" si="24"/>
        <v/>
      </c>
      <c r="AS38" s="297" t="str">
        <f t="shared" si="25"/>
        <v/>
      </c>
      <c r="AT38" s="639" t="s">
        <v>353</v>
      </c>
      <c r="AU38" s="297" t="str">
        <f>IFERROR(FIND(AT38,DB_LOAD!$AE$2&amp;DB_LOAD!$AE$3&amp;DB_LOAD!$AE$4&amp;DB_LOAD!$AE$5&amp;DB_LOAD!$AE$6&amp;DB_LOAD!$AE$7&amp;DB_LOAD!$AE$8),"")</f>
        <v/>
      </c>
      <c r="AV38" s="297" t="e">
        <f>VLOOKUP(AT38,DB_LOAD!$AE$2:$AF$22,2,FALSE)</f>
        <v>#N/A</v>
      </c>
      <c r="AW38" s="637" t="e">
        <f ca="1">ABS('Balance Sheet'!AF16/('Portfolio Quality'!AN10+'Portfolio Quality'!AN15))</f>
        <v>#VALUE!</v>
      </c>
      <c r="AX38" s="637" t="e">
        <f ca="1">ABS('Balance Sheet'!AG16/('Portfolio Quality'!AO10+'Portfolio Quality'!AO15))</f>
        <v>#VALUE!</v>
      </c>
      <c r="AY38" s="637" t="e">
        <f ca="1">ABS('Balance Sheet'!AH16/('Portfolio Quality'!AP10+'Portfolio Quality'!AP15))</f>
        <v>#VALUE!</v>
      </c>
      <c r="AZ38" s="637" t="e">
        <f ca="1">ABS('Balance Sheet'!AI16/('Portfolio Quality'!AQ10+'Portfolio Quality'!AQ15))</f>
        <v>#VALUE!</v>
      </c>
      <c r="BA38" s="637" t="e">
        <f ca="1">ABS('Balance Sheet'!AJ16/('Portfolio Quality'!AR10+'Portfolio Quality'!AR15))</f>
        <v>#VALUE!</v>
      </c>
      <c r="BB38" s="637" t="e">
        <f ca="1">ABS('Balance Sheet'!AK16/('Portfolio Quality'!AS10+'Portfolio Quality'!AS15))</f>
        <v>#VALUE!</v>
      </c>
      <c r="BC38" s="637" t="e">
        <f ca="1">ABS('Balance Sheet'!AL16/('Portfolio Quality'!AT10+'Portfolio Quality'!AT15))</f>
        <v>#VALUE!</v>
      </c>
      <c r="BD38" s="637" t="e">
        <f ca="1">ABS('Balance Sheet'!AM16/('Portfolio Quality'!AU10+'Portfolio Quality'!AU15))</f>
        <v>#VALUE!</v>
      </c>
      <c r="BE38" s="637" t="e">
        <f ca="1">ABS('Balance Sheet'!AN16/('Portfolio Quality'!AV10+'Portfolio Quality'!AV15))</f>
        <v>#VALUE!</v>
      </c>
      <c r="BF38" s="637" t="e">
        <f ca="1">ABS('Balance Sheet'!AO16/('Portfolio Quality'!AW10+'Portfolio Quality'!AW15))</f>
        <v>#VALUE!</v>
      </c>
      <c r="BG38" s="637" t="e">
        <f ca="1">ABS('Balance Sheet'!AP16/('Portfolio Quality'!AX10+'Portfolio Quality'!AX15))</f>
        <v>#VALUE!</v>
      </c>
      <c r="BH38" s="637" t="e">
        <f ca="1">ABS('Balance Sheet'!AQ16/('Portfolio Quality'!AY10+'Portfolio Quality'!AY15))</f>
        <v>#NAME?</v>
      </c>
      <c r="BI38" s="638" t="e">
        <f t="shared" ca="1" si="31"/>
        <v>#NAME?</v>
      </c>
      <c r="BJ38" s="297">
        <f ca="1">IF(ISERROR(BI38),0,IF(BI38&lt;0,1,0))</f>
        <v>0</v>
      </c>
      <c r="BK38" s="297">
        <v>0</v>
      </c>
      <c r="BL38" s="297"/>
      <c r="BM38" s="696" t="s">
        <v>494</v>
      </c>
    </row>
    <row r="39" spans="11:65" ht="13.5" customHeight="1">
      <c r="L39" s="290">
        <v>29</v>
      </c>
      <c r="M39" s="290"/>
      <c r="N39" s="935" t="s">
        <v>126</v>
      </c>
      <c r="O39" s="932" t="e">
        <f ca="1">'Balance Sheet'!AF34/$N$5</f>
        <v>#VALUE!</v>
      </c>
      <c r="P39" s="932" t="e">
        <f ca="1">'Balance Sheet'!AG34/$N$5</f>
        <v>#VALUE!</v>
      </c>
      <c r="Q39" s="932" t="e">
        <f ca="1">'Balance Sheet'!AH34/$N$5</f>
        <v>#VALUE!</v>
      </c>
      <c r="R39" s="932" t="e">
        <f ca="1">'Balance Sheet'!AI34/$N$5</f>
        <v>#VALUE!</v>
      </c>
      <c r="S39" s="932" t="e">
        <f ca="1">'Balance Sheet'!AJ34/$N$5</f>
        <v>#VALUE!</v>
      </c>
      <c r="T39" s="932" t="e">
        <f ca="1">'Balance Sheet'!AK34/$N$5</f>
        <v>#VALUE!</v>
      </c>
      <c r="U39" s="932" t="e">
        <f ca="1">'Balance Sheet'!AL34/$N$5</f>
        <v>#VALUE!</v>
      </c>
      <c r="V39" s="932" t="e">
        <f ca="1">'Balance Sheet'!AM34/$N$5</f>
        <v>#VALUE!</v>
      </c>
      <c r="W39" s="932" t="e">
        <f ca="1">'Balance Sheet'!AN34/$N$5</f>
        <v>#VALUE!</v>
      </c>
      <c r="X39" s="932" t="e">
        <f ca="1">'Balance Sheet'!AO34/$N$5</f>
        <v>#VALUE!</v>
      </c>
      <c r="Y39" s="932" t="e">
        <f ca="1">'Balance Sheet'!AP34/$N$5</f>
        <v>#VALUE!</v>
      </c>
      <c r="Z39" s="366" t="e">
        <f ca="1">'Balance Sheet'!AQ34/$N$5</f>
        <v>#NAME?</v>
      </c>
      <c r="AA39" s="379"/>
      <c r="AB39" s="361"/>
      <c r="AC39" s="361"/>
      <c r="AD39" s="361"/>
      <c r="AE39" s="361"/>
      <c r="AF39" s="361"/>
      <c r="AG39" s="361"/>
      <c r="AH39" s="361"/>
      <c r="AI39" s="361"/>
      <c r="AJ39" s="361"/>
      <c r="AK39" s="361"/>
      <c r="AL39" s="361"/>
      <c r="AM39" s="361"/>
      <c r="AN39" s="361"/>
      <c r="AO39" s="361"/>
      <c r="AP39" s="287"/>
      <c r="AQ39" s="362"/>
      <c r="AR39" s="297" t="str">
        <f t="shared" ref="AR39:AR40" si="36">IF(AU39="","",ROW(AT39)-ROW($AT$25)+1)</f>
        <v/>
      </c>
      <c r="AS39" s="297" t="str">
        <f t="shared" ref="AS39:AS40" si="37">IF(LEN(AR39)&gt;0,LEN(AR39),"")</f>
        <v/>
      </c>
      <c r="AT39" s="287" t="s">
        <v>653</v>
      </c>
      <c r="AU39" s="297" t="str">
        <f>IFERROR(FIND(AT39,DB_LOAD!$AE$2&amp;DB_LOAD!$AE$3&amp;DB_LOAD!$AE$4&amp;DB_LOAD!$AE$5&amp;DB_LOAD!$AE$6&amp;DB_LOAD!$AE$7&amp;DB_LOAD!$AE$8),"")</f>
        <v/>
      </c>
      <c r="AV39" s="297" t="e">
        <f>VLOOKUP(AT39,DB_LOAD!$AE$2:$AF$22,2,FALSE)</f>
        <v>#N/A</v>
      </c>
      <c r="AW39" s="637" t="e">
        <f ca="1">SUM('Portfolio Quality'!AN27:AN29)</f>
        <v>#NAME?</v>
      </c>
      <c r="AX39" s="637" t="e">
        <f ca="1">SUM('Portfolio Quality'!AO27:AO29)</f>
        <v>#NAME?</v>
      </c>
      <c r="AY39" s="637" t="e">
        <f ca="1">SUM('Portfolio Quality'!AP27:AP29)</f>
        <v>#NAME?</v>
      </c>
      <c r="AZ39" s="637" t="e">
        <f ca="1">SUM('Portfolio Quality'!AQ27:AQ29)</f>
        <v>#NAME?</v>
      </c>
      <c r="BA39" s="637" t="e">
        <f ca="1">SUM('Portfolio Quality'!AR27:AR29)</f>
        <v>#NAME?</v>
      </c>
      <c r="BB39" s="637" t="e">
        <f ca="1">SUM('Portfolio Quality'!AS27:AS29)</f>
        <v>#NAME?</v>
      </c>
      <c r="BC39" s="637" t="e">
        <f ca="1">SUM('Portfolio Quality'!AT27:AT29)</f>
        <v>#NAME?</v>
      </c>
      <c r="BD39" s="637" t="e">
        <f ca="1">SUM('Portfolio Quality'!AU27:AU29)</f>
        <v>#NAME?</v>
      </c>
      <c r="BE39" s="637" t="e">
        <f ca="1">SUM('Portfolio Quality'!AV27:AV29)</f>
        <v>#NAME?</v>
      </c>
      <c r="BF39" s="637" t="e">
        <f ca="1">SUM('Portfolio Quality'!AW27:AW29)</f>
        <v>#NAME?</v>
      </c>
      <c r="BG39" s="637" t="e">
        <f ca="1">SUM('Portfolio Quality'!AX27:AX29)</f>
        <v>#NAME?</v>
      </c>
      <c r="BH39" s="637" t="e">
        <f ca="1">SUM('Portfolio Quality'!AY27:AY29)</f>
        <v>#NAME?</v>
      </c>
      <c r="BI39" s="638" t="e">
        <f t="shared" ref="BI39" ca="1" si="38">BH39-AV39</f>
        <v>#NAME?</v>
      </c>
      <c r="BJ39" s="297">
        <f ca="1">IF(ISERROR(BI39),0,IF(BI39&gt;0,1,0))</f>
        <v>0</v>
      </c>
      <c r="BK39" s="297">
        <v>0</v>
      </c>
      <c r="BL39" s="297"/>
      <c r="BM39" s="696" t="s">
        <v>494</v>
      </c>
    </row>
    <row r="40" spans="11:65" ht="15.75">
      <c r="K40" s="354"/>
      <c r="N40" s="935" t="s">
        <v>258</v>
      </c>
      <c r="O40" s="932" t="e">
        <f ca="1">MIN(O39,O39-('Balance Sheet'!AF16+'Portfolio Quality'!AN10+'Portfolio Quality'!AN15)/$N$5)</f>
        <v>#VALUE!</v>
      </c>
      <c r="P40" s="932" t="e">
        <f ca="1">MIN(P39,P39-('Balance Sheet'!AG16+'Portfolio Quality'!AO10+'Portfolio Quality'!AO15)/$N$5)</f>
        <v>#VALUE!</v>
      </c>
      <c r="Q40" s="932" t="e">
        <f ca="1">MIN(Q39,Q39-('Balance Sheet'!AH16+'Portfolio Quality'!AP10+'Portfolio Quality'!AP15)/$N$5)</f>
        <v>#VALUE!</v>
      </c>
      <c r="R40" s="932" t="e">
        <f ca="1">MIN(R39,R39-('Balance Sheet'!AI16+'Portfolio Quality'!AQ10+'Portfolio Quality'!AQ15)/$N$5)</f>
        <v>#VALUE!</v>
      </c>
      <c r="S40" s="932" t="e">
        <f ca="1">MIN(S39,S39-('Balance Sheet'!AJ16+'Portfolio Quality'!AR10+'Portfolio Quality'!AR15)/$N$5)</f>
        <v>#VALUE!</v>
      </c>
      <c r="T40" s="932" t="e">
        <f ca="1">MIN(T39,T39-('Balance Sheet'!AK16+'Portfolio Quality'!AS10+'Portfolio Quality'!AS15)/$N$5)</f>
        <v>#VALUE!</v>
      </c>
      <c r="U40" s="932" t="e">
        <f ca="1">MIN(U39,U39-('Balance Sheet'!AL16+'Portfolio Quality'!AT10+'Portfolio Quality'!AT15)/$N$5)</f>
        <v>#VALUE!</v>
      </c>
      <c r="V40" s="932" t="e">
        <f ca="1">MIN(V39,V39-('Balance Sheet'!AM16+'Portfolio Quality'!AU10+'Portfolio Quality'!AU15)/$N$5)</f>
        <v>#VALUE!</v>
      </c>
      <c r="W40" s="932" t="e">
        <f ca="1">MIN(W39,W39-('Balance Sheet'!AN16+'Portfolio Quality'!AV10+'Portfolio Quality'!AV15)/$N$5)</f>
        <v>#VALUE!</v>
      </c>
      <c r="X40" s="932" t="e">
        <f ca="1">MIN(X39,X39-('Balance Sheet'!AO16+'Portfolio Quality'!AW10+'Portfolio Quality'!AW15)/$N$5)</f>
        <v>#VALUE!</v>
      </c>
      <c r="Y40" s="932" t="e">
        <f ca="1">MIN(Y39,Y39-('Balance Sheet'!AP16+'Portfolio Quality'!AX10+'Portfolio Quality'!AX15)/$N$5)</f>
        <v>#VALUE!</v>
      </c>
      <c r="Z40" s="932" t="e">
        <f ca="1">MIN(Z39,Z39-('Balance Sheet'!AQ16+'Portfolio Quality'!AY10+'Portfolio Quality'!AY15)/$N$5)</f>
        <v>#NAME?</v>
      </c>
      <c r="AA40" s="379"/>
      <c r="AB40" s="361"/>
      <c r="AC40" s="361"/>
      <c r="AD40" s="361"/>
      <c r="AE40" s="361"/>
      <c r="AF40" s="361"/>
      <c r="AG40" s="361"/>
      <c r="AH40" s="361"/>
      <c r="AI40" s="361"/>
      <c r="AJ40" s="361"/>
      <c r="AK40" s="361"/>
      <c r="AL40" s="361"/>
      <c r="AM40" s="361"/>
      <c r="AN40" s="361"/>
      <c r="AO40" s="361"/>
      <c r="AP40" s="287"/>
      <c r="AQ40" s="362"/>
      <c r="AR40" s="297" t="str">
        <f t="shared" si="36"/>
        <v/>
      </c>
      <c r="AS40" s="297" t="str">
        <f t="shared" si="37"/>
        <v/>
      </c>
      <c r="AT40" s="287" t="s">
        <v>654</v>
      </c>
      <c r="AU40" s="297" t="str">
        <f>IFERROR(FIND(AT40,DB_LOAD!$AE$2&amp;DB_LOAD!$AE$3&amp;DB_LOAD!$AE$4&amp;DB_LOAD!$AE$5&amp;DB_LOAD!$AE$6&amp;DB_LOAD!$AE$7&amp;DB_LOAD!$AE$8),"")</f>
        <v/>
      </c>
      <c r="AV40" s="297" t="e">
        <f>VLOOKUP(AT40,DB_LOAD!$AE$2:$AF$22,2,FALSE)</f>
        <v>#N/A</v>
      </c>
      <c r="AW40" s="637" t="e">
        <f ca="1">('Ratios &amp; Trend Analysis'!I25+'Ratios &amp; Trend Analysis'!I26+'Balance Sheet'!AF16/'Ratios &amp; Trend Analysis'!$U$9)/'Risk Assessment'!O39</f>
        <v>#NAME?</v>
      </c>
      <c r="AX40" s="637" t="e">
        <f ca="1">('Ratios &amp; Trend Analysis'!J25+'Ratios &amp; Trend Analysis'!J26+'Balance Sheet'!AG16/'Ratios &amp; Trend Analysis'!$U$9)/'Risk Assessment'!P39</f>
        <v>#NAME?</v>
      </c>
      <c r="AY40" s="637" t="e">
        <f ca="1">('Ratios &amp; Trend Analysis'!K25+'Ratios &amp; Trend Analysis'!K26+'Balance Sheet'!AH16/'Ratios &amp; Trend Analysis'!$U$9)/'Risk Assessment'!Q39</f>
        <v>#NAME?</v>
      </c>
      <c r="AZ40" s="637" t="e">
        <f ca="1">('Ratios &amp; Trend Analysis'!L25+'Ratios &amp; Trend Analysis'!L26+'Balance Sheet'!AI16/'Ratios &amp; Trend Analysis'!$U$9)/'Risk Assessment'!R39</f>
        <v>#NAME?</v>
      </c>
      <c r="BA40" s="637" t="e">
        <f ca="1">('Ratios &amp; Trend Analysis'!M25+'Ratios &amp; Trend Analysis'!M26+'Balance Sheet'!AJ16/'Ratios &amp; Trend Analysis'!$U$9)/'Risk Assessment'!S39</f>
        <v>#NAME?</v>
      </c>
      <c r="BB40" s="637" t="e">
        <f ca="1">('Ratios &amp; Trend Analysis'!N25+'Ratios &amp; Trend Analysis'!N26+'Balance Sheet'!AK16/'Ratios &amp; Trend Analysis'!$U$9)/'Risk Assessment'!T39</f>
        <v>#NAME?</v>
      </c>
      <c r="BC40" s="637" t="e">
        <f ca="1">('Ratios &amp; Trend Analysis'!O25+'Ratios &amp; Trend Analysis'!O26+'Balance Sheet'!AL16/'Ratios &amp; Trend Analysis'!$U$9)/'Risk Assessment'!U39</f>
        <v>#NAME?</v>
      </c>
      <c r="BD40" s="637" t="e">
        <f ca="1">('Ratios &amp; Trend Analysis'!P25+'Ratios &amp; Trend Analysis'!P26+'Balance Sheet'!AM16/'Ratios &amp; Trend Analysis'!$U$9)/'Risk Assessment'!V39</f>
        <v>#NAME?</v>
      </c>
      <c r="BE40" s="637" t="e">
        <f ca="1">('Ratios &amp; Trend Analysis'!Q25+'Ratios &amp; Trend Analysis'!Q26+'Balance Sheet'!AN16/'Ratios &amp; Trend Analysis'!$U$9)/'Risk Assessment'!W39</f>
        <v>#NAME?</v>
      </c>
      <c r="BF40" s="637" t="e">
        <f ca="1">('Ratios &amp; Trend Analysis'!R25+'Ratios &amp; Trend Analysis'!R26+'Balance Sheet'!AO16/'Ratios &amp; Trend Analysis'!$U$9)/'Risk Assessment'!X39</f>
        <v>#NAME?</v>
      </c>
      <c r="BG40" s="637" t="e">
        <f ca="1">('Ratios &amp; Trend Analysis'!S25+'Ratios &amp; Trend Analysis'!S26+'Balance Sheet'!AP16/'Ratios &amp; Trend Analysis'!$U$9)/'Risk Assessment'!Y39</f>
        <v>#NAME?</v>
      </c>
      <c r="BH40" s="637" t="e">
        <f ca="1">('Ratios &amp; Trend Analysis'!T25+'Ratios &amp; Trend Analysis'!T26+'Balance Sheet'!AQ16/'Ratios &amp; Trend Analysis'!$U$9)/'Risk Assessment'!Z39</f>
        <v>#NAME?</v>
      </c>
      <c r="BI40" s="637" t="e">
        <f ca="1">('Ratios &amp; Trend Analysis'!U25+'Ratios &amp; Trend Analysis'!U26+'Balance Sheet'!AR16/'Ratios &amp; Trend Analysis'!$U$9)/'Risk Assessment'!AA39</f>
        <v>#N/A</v>
      </c>
      <c r="BJ40" s="297">
        <f t="shared" ref="BJ40" ca="1" si="39">IF(ISERROR(BI40),0,IF(BI40&lt;0,1,0))</f>
        <v>0</v>
      </c>
      <c r="BK40" s="297">
        <v>0</v>
      </c>
      <c r="BL40" s="297"/>
      <c r="BM40" s="696" t="s">
        <v>494</v>
      </c>
    </row>
    <row r="41" spans="11:65" ht="15" customHeight="1">
      <c r="N41" s="935" t="s">
        <v>259</v>
      </c>
      <c r="O41" s="931" t="str">
        <f t="shared" ref="O41:Z41" ca="1" si="40">IFERROR((O40/O39)-1,"")</f>
        <v/>
      </c>
      <c r="P41" s="931" t="str">
        <f t="shared" ca="1" si="40"/>
        <v/>
      </c>
      <c r="Q41" s="931" t="str">
        <f t="shared" ca="1" si="40"/>
        <v/>
      </c>
      <c r="R41" s="931" t="str">
        <f t="shared" ca="1" si="40"/>
        <v/>
      </c>
      <c r="S41" s="931" t="str">
        <f t="shared" ca="1" si="40"/>
        <v/>
      </c>
      <c r="T41" s="931" t="str">
        <f t="shared" ca="1" si="40"/>
        <v/>
      </c>
      <c r="U41" s="931" t="str">
        <f t="shared" ca="1" si="40"/>
        <v/>
      </c>
      <c r="V41" s="931" t="str">
        <f t="shared" ca="1" si="40"/>
        <v/>
      </c>
      <c r="W41" s="931" t="str">
        <f t="shared" ca="1" si="40"/>
        <v/>
      </c>
      <c r="X41" s="931" t="str">
        <f t="shared" ca="1" si="40"/>
        <v/>
      </c>
      <c r="Y41" s="931" t="str">
        <f t="shared" ca="1" si="40"/>
        <v/>
      </c>
      <c r="Z41" s="363" t="str">
        <f t="shared" ca="1" si="40"/>
        <v/>
      </c>
      <c r="AA41" s="364"/>
      <c r="AB41" s="361"/>
      <c r="AC41" s="361"/>
      <c r="AD41" s="361"/>
      <c r="AE41" s="361"/>
      <c r="AF41" s="361"/>
      <c r="AG41" s="361"/>
      <c r="AH41" s="361"/>
      <c r="AI41" s="361"/>
      <c r="AJ41" s="361"/>
      <c r="AK41" s="361"/>
      <c r="AL41" s="361"/>
      <c r="AM41" s="361"/>
      <c r="AN41" s="361"/>
      <c r="AO41" s="361"/>
      <c r="AP41" s="287"/>
      <c r="AQ41" s="362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287"/>
      <c r="BD41" s="287"/>
      <c r="BE41" s="287"/>
    </row>
    <row r="42" spans="11:65" ht="15" customHeight="1">
      <c r="N42" s="935" t="s">
        <v>42</v>
      </c>
      <c r="O42" s="937" t="e">
        <f ca="1">(SUM('Balance Sheet'!AF21:AF22)/$N$5)/O39</f>
        <v>#VALUE!</v>
      </c>
      <c r="P42" s="937" t="e">
        <f ca="1">(SUM('Balance Sheet'!AG21:AG22)/$N$5)/P39</f>
        <v>#VALUE!</v>
      </c>
      <c r="Q42" s="937" t="e">
        <f ca="1">(SUM('Balance Sheet'!AH21:AH22)/$N$5)/Q39</f>
        <v>#VALUE!</v>
      </c>
      <c r="R42" s="937" t="e">
        <f ca="1">(SUM('Balance Sheet'!AI21:AI22)/$N$5)/R39</f>
        <v>#VALUE!</v>
      </c>
      <c r="S42" s="937" t="e">
        <f ca="1">(SUM('Balance Sheet'!AJ21:AJ22)/$N$5)/S39</f>
        <v>#VALUE!</v>
      </c>
      <c r="T42" s="937" t="e">
        <f ca="1">(SUM('Balance Sheet'!AK21:AK22)/$N$5)/T39</f>
        <v>#VALUE!</v>
      </c>
      <c r="U42" s="937" t="e">
        <f ca="1">(SUM('Balance Sheet'!AL21:AL22)/$N$5)/U39</f>
        <v>#VALUE!</v>
      </c>
      <c r="V42" s="937" t="e">
        <f ca="1">(SUM('Balance Sheet'!AM21:AM22)/$N$5)/V39</f>
        <v>#VALUE!</v>
      </c>
      <c r="W42" s="937" t="e">
        <f ca="1">(SUM('Balance Sheet'!AN21:AN22)/$N$5)/W39</f>
        <v>#VALUE!</v>
      </c>
      <c r="X42" s="937" t="e">
        <f ca="1">(SUM('Balance Sheet'!AO21:AO22)/$N$5)/X39</f>
        <v>#VALUE!</v>
      </c>
      <c r="Y42" s="937" t="e">
        <f ca="1">(SUM('Balance Sheet'!AP21:AP22)/$N$5)/Y39</f>
        <v>#VALUE!</v>
      </c>
      <c r="Z42" s="937" t="e">
        <f ca="1">(SUM('Balance Sheet'!AQ21:AQ22)/$N$5)/Z39</f>
        <v>#NAME?</v>
      </c>
      <c r="AA42" s="380"/>
      <c r="AB42" s="361"/>
      <c r="AC42" s="361"/>
      <c r="AD42" s="361"/>
      <c r="AE42" s="361"/>
      <c r="AF42" s="361"/>
      <c r="AG42" s="361"/>
      <c r="AH42" s="361"/>
      <c r="AI42" s="361"/>
      <c r="AJ42" s="361"/>
      <c r="AK42" s="361"/>
      <c r="AL42" s="361"/>
      <c r="AM42" s="361"/>
      <c r="AN42" s="361"/>
      <c r="AO42" s="361"/>
      <c r="AP42" s="287"/>
      <c r="AQ42" s="362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287"/>
      <c r="BD42" s="287"/>
      <c r="BE42" s="287"/>
    </row>
    <row r="43" spans="11:65" ht="15" customHeight="1">
      <c r="N43" s="935" t="s">
        <v>260</v>
      </c>
      <c r="O43" s="938" t="e">
        <f ca="1">(SUM('Balance Sheet'!AF21:AF22)/$N$5)/O40</f>
        <v>#VALUE!</v>
      </c>
      <c r="P43" s="938" t="e">
        <f ca="1">(SUM('Balance Sheet'!AG21:AG22)/$N$5)/P40</f>
        <v>#VALUE!</v>
      </c>
      <c r="Q43" s="938" t="e">
        <f ca="1">(SUM('Balance Sheet'!AH21:AH22)/$N$5)/Q40</f>
        <v>#VALUE!</v>
      </c>
      <c r="R43" s="938" t="e">
        <f ca="1">(SUM('Balance Sheet'!AI21:AI22)/$N$5)/R40</f>
        <v>#VALUE!</v>
      </c>
      <c r="S43" s="938" t="e">
        <f ca="1">(SUM('Balance Sheet'!AJ21:AJ22)/$N$5)/S40</f>
        <v>#VALUE!</v>
      </c>
      <c r="T43" s="938" t="e">
        <f ca="1">(SUM('Balance Sheet'!AK21:AK22)/$N$5)/T40</f>
        <v>#VALUE!</v>
      </c>
      <c r="U43" s="938" t="e">
        <f ca="1">(SUM('Balance Sheet'!AL21:AL22)/$N$5)/U40</f>
        <v>#VALUE!</v>
      </c>
      <c r="V43" s="938" t="e">
        <f ca="1">(SUM('Balance Sheet'!AM21:AM22)/$N$5)/V40</f>
        <v>#VALUE!</v>
      </c>
      <c r="W43" s="938" t="e">
        <f ca="1">(SUM('Balance Sheet'!AN21:AN22)/$N$5)/W40</f>
        <v>#VALUE!</v>
      </c>
      <c r="X43" s="938" t="e">
        <f ca="1">(SUM('Balance Sheet'!AO21:AO22)/$N$5)/X40</f>
        <v>#VALUE!</v>
      </c>
      <c r="Y43" s="938" t="e">
        <f ca="1">(SUM('Balance Sheet'!AP21:AP22)/$N$5)/Y40</f>
        <v>#VALUE!</v>
      </c>
      <c r="Z43" s="938" t="e">
        <f ca="1">(SUM('Balance Sheet'!AQ21:AQ22)/$N$5)/Z40</f>
        <v>#NAME?</v>
      </c>
      <c r="AA43" s="381"/>
      <c r="AB43" s="361"/>
      <c r="AC43" s="361"/>
      <c r="AD43" s="361"/>
      <c r="AE43" s="361"/>
      <c r="AF43" s="361"/>
      <c r="AG43" s="361"/>
      <c r="AH43" s="361"/>
      <c r="AI43" s="361"/>
      <c r="AJ43" s="361"/>
      <c r="AK43" s="361"/>
      <c r="AL43" s="361"/>
      <c r="AM43" s="361"/>
      <c r="AN43" s="361"/>
      <c r="AO43" s="361"/>
      <c r="AP43" s="287"/>
      <c r="AQ43" s="362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287"/>
      <c r="BD43" s="287"/>
      <c r="BE43" s="287"/>
    </row>
    <row r="44" spans="11:65" ht="15" customHeight="1">
      <c r="N44" s="935" t="s">
        <v>261</v>
      </c>
      <c r="O44" s="931" t="str">
        <f t="shared" ref="O44:Z44" ca="1" si="41">IFERROR(O39/O53,"")</f>
        <v/>
      </c>
      <c r="P44" s="931" t="str">
        <f t="shared" ca="1" si="41"/>
        <v/>
      </c>
      <c r="Q44" s="931" t="str">
        <f t="shared" ca="1" si="41"/>
        <v/>
      </c>
      <c r="R44" s="931" t="str">
        <f t="shared" ca="1" si="41"/>
        <v/>
      </c>
      <c r="S44" s="931" t="str">
        <f t="shared" ca="1" si="41"/>
        <v/>
      </c>
      <c r="T44" s="931" t="str">
        <f t="shared" ca="1" si="41"/>
        <v/>
      </c>
      <c r="U44" s="931" t="str">
        <f t="shared" ca="1" si="41"/>
        <v/>
      </c>
      <c r="V44" s="931" t="str">
        <f t="shared" ca="1" si="41"/>
        <v/>
      </c>
      <c r="W44" s="931" t="str">
        <f t="shared" ca="1" si="41"/>
        <v/>
      </c>
      <c r="X44" s="931" t="str">
        <f t="shared" ca="1" si="41"/>
        <v/>
      </c>
      <c r="Y44" s="931" t="str">
        <f t="shared" ca="1" si="41"/>
        <v/>
      </c>
      <c r="Z44" s="363" t="str">
        <f t="shared" ca="1" si="41"/>
        <v/>
      </c>
      <c r="AA44" s="364"/>
      <c r="AB44" s="361"/>
      <c r="AC44" s="361"/>
      <c r="AD44" s="361"/>
      <c r="AE44" s="361"/>
      <c r="AF44" s="361"/>
      <c r="AG44" s="361"/>
      <c r="AH44" s="361"/>
      <c r="AI44" s="361"/>
      <c r="AJ44" s="361"/>
      <c r="AK44" s="361"/>
      <c r="AL44" s="361"/>
      <c r="AM44" s="361"/>
      <c r="AN44" s="361"/>
      <c r="AO44" s="361"/>
      <c r="AP44" s="287"/>
      <c r="AQ44" s="362"/>
      <c r="AR44" s="287"/>
      <c r="AS44" s="287"/>
      <c r="AT44" s="287"/>
      <c r="AU44" s="287"/>
      <c r="AV44" s="287"/>
      <c r="AW44" s="287"/>
      <c r="AX44" s="287"/>
      <c r="AY44" s="287"/>
      <c r="AZ44" s="287"/>
      <c r="BA44" s="287"/>
      <c r="BB44" s="287"/>
      <c r="BC44" s="287"/>
      <c r="BD44" s="287"/>
      <c r="BE44" s="287"/>
    </row>
    <row r="45" spans="11:65" ht="15" customHeight="1">
      <c r="N45" s="935" t="s">
        <v>262</v>
      </c>
      <c r="O45" s="931" t="str">
        <f t="shared" ref="O45:Z45" ca="1" si="42">IFERROR(O40/O53,"")</f>
        <v/>
      </c>
      <c r="P45" s="931" t="str">
        <f t="shared" ca="1" si="42"/>
        <v/>
      </c>
      <c r="Q45" s="931" t="str">
        <f t="shared" ca="1" si="42"/>
        <v/>
      </c>
      <c r="R45" s="931" t="str">
        <f t="shared" ca="1" si="42"/>
        <v/>
      </c>
      <c r="S45" s="931" t="str">
        <f t="shared" ca="1" si="42"/>
        <v/>
      </c>
      <c r="T45" s="931" t="str">
        <f t="shared" ca="1" si="42"/>
        <v/>
      </c>
      <c r="U45" s="931" t="str">
        <f t="shared" ca="1" si="42"/>
        <v/>
      </c>
      <c r="V45" s="931" t="str">
        <f t="shared" ca="1" si="42"/>
        <v/>
      </c>
      <c r="W45" s="931" t="str">
        <f t="shared" ca="1" si="42"/>
        <v/>
      </c>
      <c r="X45" s="931" t="str">
        <f t="shared" ca="1" si="42"/>
        <v/>
      </c>
      <c r="Y45" s="931" t="str">
        <f t="shared" ca="1" si="42"/>
        <v/>
      </c>
      <c r="Z45" s="363" t="str">
        <f t="shared" ca="1" si="42"/>
        <v/>
      </c>
      <c r="AA45" s="364"/>
      <c r="AB45" s="361"/>
      <c r="AC45" s="361"/>
      <c r="AD45" s="361"/>
      <c r="AE45" s="361"/>
      <c r="AF45" s="361"/>
      <c r="AG45" s="361"/>
      <c r="AH45" s="361"/>
      <c r="AI45" s="361"/>
      <c r="AJ45" s="361"/>
      <c r="AK45" s="361"/>
      <c r="AL45" s="361"/>
      <c r="AM45" s="361"/>
      <c r="AN45" s="361"/>
      <c r="AO45" s="361"/>
      <c r="AP45" s="287"/>
      <c r="AQ45" s="362"/>
      <c r="AR45" s="287"/>
      <c r="AS45" s="287"/>
      <c r="AT45" s="287"/>
      <c r="AU45" s="287"/>
      <c r="AV45" s="287"/>
      <c r="AW45" s="287"/>
      <c r="AX45" s="287"/>
      <c r="AY45" s="287"/>
      <c r="AZ45" s="287"/>
      <c r="BA45" s="287"/>
      <c r="BB45" s="287"/>
      <c r="BC45" s="287"/>
      <c r="BD45" s="287"/>
      <c r="BE45" s="287"/>
    </row>
    <row r="46" spans="11:65" ht="15.75" customHeight="1" thickBot="1">
      <c r="N46" s="370" t="s">
        <v>265</v>
      </c>
      <c r="O46" s="939" t="e">
        <f ca="1">'Ratios &amp; Trend Analysis'!I72</f>
        <v>#NAME?</v>
      </c>
      <c r="P46" s="939" t="e">
        <f ca="1">'Ratios &amp; Trend Analysis'!J72</f>
        <v>#NAME?</v>
      </c>
      <c r="Q46" s="939" t="e">
        <f ca="1">'Ratios &amp; Trend Analysis'!K72</f>
        <v>#NAME?</v>
      </c>
      <c r="R46" s="939" t="e">
        <f ca="1">'Ratios &amp; Trend Analysis'!L72</f>
        <v>#NAME?</v>
      </c>
      <c r="S46" s="939" t="e">
        <f ca="1">'Ratios &amp; Trend Analysis'!M72</f>
        <v>#NAME?</v>
      </c>
      <c r="T46" s="939" t="e">
        <f ca="1">'Ratios &amp; Trend Analysis'!N72</f>
        <v>#NAME?</v>
      </c>
      <c r="U46" s="939" t="e">
        <f ca="1">'Ratios &amp; Trend Analysis'!O72</f>
        <v>#NAME?</v>
      </c>
      <c r="V46" s="939" t="e">
        <f ca="1">'Ratios &amp; Trend Analysis'!P72</f>
        <v>#NAME?</v>
      </c>
      <c r="W46" s="939" t="e">
        <f ca="1">'Ratios &amp; Trend Analysis'!Q72</f>
        <v>#NAME?</v>
      </c>
      <c r="X46" s="939" t="e">
        <f ca="1">'Ratios &amp; Trend Analysis'!R72</f>
        <v>#NAME?</v>
      </c>
      <c r="Y46" s="939" t="e">
        <f ca="1">'Ratios &amp; Trend Analysis'!S72</f>
        <v>#NAME?</v>
      </c>
      <c r="Z46" s="939" t="e">
        <f ca="1">'Ratios &amp; Trend Analysis'!T72</f>
        <v>#NAME?</v>
      </c>
      <c r="AA46" s="364"/>
      <c r="AB46" s="361"/>
      <c r="AC46" s="361"/>
      <c r="AD46" s="361"/>
      <c r="AE46" s="361"/>
      <c r="AF46" s="361"/>
      <c r="AG46" s="361"/>
      <c r="AH46" s="361"/>
      <c r="AI46" s="361"/>
      <c r="AJ46" s="361"/>
      <c r="AK46" s="361"/>
      <c r="AL46" s="361"/>
      <c r="AM46" s="361"/>
      <c r="AN46" s="361"/>
      <c r="AO46" s="361"/>
      <c r="AP46" s="287"/>
      <c r="AQ46" s="362"/>
      <c r="AR46" s="383" t="s">
        <v>355</v>
      </c>
      <c r="AS46" s="384"/>
      <c r="AT46" s="287"/>
      <c r="AU46" s="287"/>
      <c r="AV46" s="287"/>
      <c r="AW46" s="287"/>
      <c r="AX46" s="287"/>
      <c r="AY46" s="287"/>
      <c r="AZ46" s="287"/>
      <c r="BA46" s="287"/>
      <c r="BB46" s="287"/>
      <c r="BC46" s="287"/>
      <c r="BD46" s="287"/>
      <c r="BE46" s="287"/>
    </row>
    <row r="47" spans="11:65" ht="15" customHeight="1">
      <c r="N47" s="385"/>
      <c r="O47" s="364"/>
      <c r="P47" s="364"/>
      <c r="Q47" s="364"/>
      <c r="R47" s="364"/>
      <c r="S47" s="364"/>
      <c r="T47" s="364"/>
      <c r="U47" s="364"/>
      <c r="V47" s="364"/>
      <c r="W47" s="364"/>
      <c r="X47" s="364"/>
      <c r="Y47" s="364"/>
      <c r="Z47" s="364"/>
      <c r="AA47" s="364"/>
      <c r="AB47" s="361"/>
      <c r="AC47" s="361"/>
      <c r="AD47" s="361"/>
      <c r="AE47" s="361"/>
      <c r="AF47" s="361"/>
      <c r="AG47" s="361"/>
      <c r="AH47" s="361"/>
      <c r="AI47" s="361"/>
      <c r="AJ47" s="361"/>
      <c r="AK47" s="361"/>
      <c r="AL47" s="361"/>
      <c r="AM47" s="361"/>
      <c r="AN47" s="361"/>
      <c r="AO47" s="361"/>
      <c r="AP47" s="287"/>
      <c r="AQ47" s="362"/>
      <c r="AR47" s="383"/>
      <c r="AS47" s="384"/>
      <c r="AT47" s="287"/>
      <c r="AU47" s="287"/>
      <c r="AV47" s="287"/>
      <c r="AW47" s="287"/>
      <c r="AX47" s="287"/>
      <c r="AY47" s="287"/>
      <c r="AZ47" s="287"/>
      <c r="BA47" s="287"/>
      <c r="BB47" s="287"/>
      <c r="BC47" s="287"/>
      <c r="BD47" s="287"/>
      <c r="BE47" s="287"/>
    </row>
    <row r="48" spans="11:65" ht="15" customHeight="1">
      <c r="N48" s="385"/>
      <c r="O48" s="364"/>
      <c r="P48" s="364"/>
      <c r="Q48" s="364"/>
      <c r="R48" s="364"/>
      <c r="S48" s="364"/>
      <c r="T48" s="364"/>
      <c r="U48" s="364"/>
      <c r="V48" s="364"/>
      <c r="W48" s="364"/>
      <c r="X48" s="364"/>
      <c r="Y48" s="364"/>
      <c r="Z48" s="386">
        <v>1000000</v>
      </c>
      <c r="AA48" s="364"/>
      <c r="AB48" s="361"/>
      <c r="AC48" s="361"/>
      <c r="AD48" s="361"/>
      <c r="AE48" s="361"/>
      <c r="AF48" s="361"/>
      <c r="AG48" s="361"/>
      <c r="AH48" s="361"/>
      <c r="AI48" s="361"/>
      <c r="AJ48" s="361"/>
      <c r="AK48" s="361"/>
      <c r="AL48" s="361"/>
      <c r="AM48" s="361"/>
      <c r="AN48" s="361"/>
      <c r="AO48" s="361"/>
      <c r="AP48" s="287"/>
      <c r="AQ48" s="362"/>
      <c r="AR48" s="383"/>
      <c r="AS48" s="387"/>
      <c r="AT48" s="287"/>
      <c r="AU48" s="287"/>
      <c r="AV48" s="287"/>
      <c r="AW48" s="287"/>
      <c r="AX48" s="287"/>
      <c r="AY48" s="287"/>
      <c r="AZ48" s="287"/>
      <c r="BA48" s="287"/>
      <c r="BB48" s="287"/>
      <c r="BC48" s="287"/>
      <c r="BD48" s="287"/>
      <c r="BE48" s="287"/>
    </row>
    <row r="49" spans="6:57" ht="16.5" thickBot="1">
      <c r="K49" s="290"/>
      <c r="L49" s="354" t="s">
        <v>356</v>
      </c>
      <c r="M49" s="354"/>
      <c r="N49" s="289"/>
      <c r="O49" s="289"/>
      <c r="P49" s="289"/>
      <c r="Q49" s="289"/>
      <c r="R49" s="289"/>
      <c r="S49" s="289"/>
      <c r="T49" s="289"/>
      <c r="U49" s="289"/>
      <c r="X49" s="293" t="s">
        <v>336</v>
      </c>
      <c r="Y49" s="355"/>
      <c r="Z49" s="289"/>
      <c r="AA49" s="375"/>
      <c r="AB49" s="361"/>
      <c r="AC49" s="361"/>
      <c r="AD49" s="361"/>
      <c r="AE49" s="361"/>
      <c r="AF49" s="361"/>
      <c r="AG49" s="361"/>
      <c r="AH49" s="361"/>
      <c r="AI49" s="361"/>
      <c r="AJ49" s="361"/>
      <c r="AK49" s="361"/>
      <c r="AL49" s="361"/>
      <c r="AM49" s="361"/>
      <c r="AN49" s="361"/>
      <c r="AO49" s="361"/>
      <c r="AP49" s="287"/>
      <c r="AQ49" s="362"/>
      <c r="AR49" s="388"/>
      <c r="AS49" s="389"/>
      <c r="AT49" s="287"/>
      <c r="AU49" s="287"/>
      <c r="AV49" s="390"/>
      <c r="AW49" s="287"/>
      <c r="AX49" s="287"/>
      <c r="AY49" s="287"/>
      <c r="AZ49" s="287"/>
      <c r="BA49" s="287"/>
      <c r="BB49" s="287"/>
      <c r="BC49" s="287"/>
      <c r="BD49" s="287"/>
      <c r="BE49" s="287"/>
    </row>
    <row r="50" spans="6:57" ht="16.5" thickBot="1">
      <c r="K50" s="290"/>
      <c r="L50" s="354"/>
      <c r="M50" s="354"/>
      <c r="N50" s="289"/>
      <c r="O50" s="289"/>
      <c r="P50" s="289"/>
      <c r="Q50" s="289"/>
      <c r="R50" s="289"/>
      <c r="S50" s="289"/>
      <c r="T50" s="289"/>
      <c r="U50" s="289"/>
      <c r="V50" s="385"/>
      <c r="W50" s="289"/>
      <c r="X50" s="289"/>
      <c r="Y50" s="289"/>
      <c r="Z50" s="289"/>
      <c r="AA50" s="375"/>
      <c r="AB50" s="361"/>
      <c r="AC50" s="361"/>
      <c r="AD50" s="361"/>
      <c r="AE50" s="361"/>
      <c r="AF50" s="361"/>
      <c r="AG50" s="361"/>
      <c r="AH50" s="361"/>
      <c r="AI50" s="361"/>
      <c r="AJ50" s="361"/>
      <c r="AK50" s="361"/>
      <c r="AL50" s="361"/>
      <c r="AM50" s="361"/>
      <c r="AN50" s="361"/>
      <c r="AO50" s="361"/>
      <c r="AP50" s="287"/>
      <c r="AQ50" s="362"/>
      <c r="AR50" s="287"/>
      <c r="AS50" s="287"/>
      <c r="AT50" s="287"/>
      <c r="AU50" s="287"/>
      <c r="AV50" s="287"/>
      <c r="AW50" s="287"/>
      <c r="AX50" s="287"/>
      <c r="AY50" s="287"/>
      <c r="AZ50" s="287"/>
      <c r="BA50" s="287"/>
      <c r="BB50" s="287"/>
      <c r="BC50" s="287"/>
      <c r="BD50" s="287"/>
      <c r="BE50" s="287"/>
    </row>
    <row r="51" spans="6:57" ht="15" customHeight="1">
      <c r="N51" s="376"/>
      <c r="O51" s="377">
        <f t="shared" ref="O51:Z51" si="43">O8</f>
        <v>0</v>
      </c>
      <c r="P51" s="377">
        <f t="shared" si="43"/>
        <v>0</v>
      </c>
      <c r="Q51" s="377">
        <f t="shared" si="43"/>
        <v>0</v>
      </c>
      <c r="R51" s="377">
        <f t="shared" si="43"/>
        <v>0</v>
      </c>
      <c r="S51" s="377">
        <f t="shared" si="43"/>
        <v>0</v>
      </c>
      <c r="T51" s="377">
        <f t="shared" si="43"/>
        <v>0</v>
      </c>
      <c r="U51" s="377">
        <f t="shared" si="43"/>
        <v>0</v>
      </c>
      <c r="V51" s="377">
        <f t="shared" si="43"/>
        <v>0</v>
      </c>
      <c r="W51" s="377">
        <f t="shared" si="43"/>
        <v>0</v>
      </c>
      <c r="X51" s="377">
        <f t="shared" si="43"/>
        <v>0</v>
      </c>
      <c r="Y51" s="377">
        <f t="shared" si="43"/>
        <v>0</v>
      </c>
      <c r="Z51" s="378">
        <f t="shared" si="43"/>
        <v>4</v>
      </c>
      <c r="AA51" s="364"/>
      <c r="AB51" s="361"/>
      <c r="AC51" s="361"/>
      <c r="AD51" s="361"/>
      <c r="AE51" s="361"/>
      <c r="AF51" s="361"/>
      <c r="AG51" s="361"/>
      <c r="AH51" s="361"/>
      <c r="AI51" s="361"/>
      <c r="AJ51" s="361"/>
      <c r="AK51" s="361"/>
      <c r="AL51" s="361"/>
      <c r="AM51" s="361"/>
      <c r="AN51" s="361"/>
      <c r="AO51" s="361"/>
      <c r="AP51" s="287"/>
      <c r="AQ51" s="362"/>
      <c r="AR51" s="287"/>
      <c r="AS51" s="287"/>
      <c r="AT51" s="287"/>
      <c r="AU51" s="287"/>
      <c r="AV51" s="287"/>
      <c r="AW51" s="287"/>
      <c r="AX51" s="287"/>
      <c r="AY51" s="287"/>
      <c r="AZ51" s="287"/>
      <c r="BA51" s="287"/>
      <c r="BB51" s="287"/>
      <c r="BC51" s="287"/>
      <c r="BD51" s="287"/>
      <c r="BE51" s="287"/>
    </row>
    <row r="52" spans="6:57" ht="15" customHeight="1">
      <c r="N52" s="935" t="s">
        <v>291</v>
      </c>
      <c r="O52" s="932" t="e">
        <f ca="1">'Balance Sheet'!AF11/'Risk Assessment'!$N$5</f>
        <v>#VALUE!</v>
      </c>
      <c r="P52" s="932" t="e">
        <f ca="1">'Balance Sheet'!AG11/'Risk Assessment'!$N$5</f>
        <v>#VALUE!</v>
      </c>
      <c r="Q52" s="932" t="e">
        <f ca="1">'Balance Sheet'!AH11/'Risk Assessment'!$N$5</f>
        <v>#VALUE!</v>
      </c>
      <c r="R52" s="932" t="e">
        <f ca="1">'Balance Sheet'!AI11/'Risk Assessment'!$N$5</f>
        <v>#VALUE!</v>
      </c>
      <c r="S52" s="932" t="e">
        <f ca="1">'Balance Sheet'!AJ11/'Risk Assessment'!$N$5</f>
        <v>#VALUE!</v>
      </c>
      <c r="T52" s="932" t="e">
        <f ca="1">'Balance Sheet'!AK11/'Risk Assessment'!$N$5</f>
        <v>#VALUE!</v>
      </c>
      <c r="U52" s="932" t="e">
        <f ca="1">'Balance Sheet'!AL11/'Risk Assessment'!$N$5</f>
        <v>#VALUE!</v>
      </c>
      <c r="V52" s="932" t="e">
        <f ca="1">'Balance Sheet'!AM11/'Risk Assessment'!$N$5</f>
        <v>#VALUE!</v>
      </c>
      <c r="W52" s="932" t="e">
        <f ca="1">'Balance Sheet'!AN11/'Risk Assessment'!$N$5</f>
        <v>#VALUE!</v>
      </c>
      <c r="X52" s="932" t="e">
        <f ca="1">'Balance Sheet'!AO11/'Risk Assessment'!$N$5</f>
        <v>#VALUE!</v>
      </c>
      <c r="Y52" s="932" t="e">
        <f ca="1">'Balance Sheet'!AP11/'Risk Assessment'!$N$5</f>
        <v>#VALUE!</v>
      </c>
      <c r="Z52" s="366" t="e">
        <f ca="1">'Balance Sheet'!AQ11/'Risk Assessment'!$N$5</f>
        <v>#NAME?</v>
      </c>
      <c r="AA52" s="364"/>
      <c r="AB52" s="361"/>
      <c r="AC52" s="361"/>
      <c r="AD52" s="361"/>
      <c r="AE52" s="361"/>
      <c r="AF52" s="361"/>
      <c r="AG52" s="361"/>
      <c r="AH52" s="361"/>
      <c r="AI52" s="361"/>
      <c r="AJ52" s="361"/>
      <c r="AK52" s="361"/>
      <c r="AL52" s="361"/>
      <c r="AM52" s="361"/>
      <c r="AN52" s="361"/>
      <c r="AO52" s="361"/>
      <c r="AP52" s="287"/>
      <c r="AQ52" s="362"/>
      <c r="AR52" s="287"/>
      <c r="AS52" s="287"/>
      <c r="AT52" s="287"/>
      <c r="AU52" s="287"/>
      <c r="AV52" s="287"/>
      <c r="AW52" s="287"/>
      <c r="AX52" s="287"/>
      <c r="AY52" s="287"/>
      <c r="AZ52" s="287"/>
      <c r="BA52" s="287"/>
      <c r="BB52" s="287"/>
      <c r="BC52" s="287"/>
      <c r="BD52" s="287"/>
      <c r="BE52" s="287"/>
    </row>
    <row r="53" spans="6:57" ht="15" customHeight="1">
      <c r="N53" s="935" t="s">
        <v>70</v>
      </c>
      <c r="O53" s="932" t="e">
        <f ca="1">'Balance Sheet'!AF18/$N$5</f>
        <v>#VALUE!</v>
      </c>
      <c r="P53" s="932" t="e">
        <f ca="1">'Balance Sheet'!AG18/$N$5</f>
        <v>#VALUE!</v>
      </c>
      <c r="Q53" s="932" t="e">
        <f ca="1">'Balance Sheet'!AH18/$N$5</f>
        <v>#VALUE!</v>
      </c>
      <c r="R53" s="932" t="e">
        <f ca="1">'Balance Sheet'!AI18/$N$5</f>
        <v>#VALUE!</v>
      </c>
      <c r="S53" s="932" t="e">
        <f ca="1">'Balance Sheet'!AJ18/$N$5</f>
        <v>#VALUE!</v>
      </c>
      <c r="T53" s="932" t="e">
        <f ca="1">'Balance Sheet'!AK18/$N$5</f>
        <v>#VALUE!</v>
      </c>
      <c r="U53" s="932" t="e">
        <f ca="1">'Balance Sheet'!AL18/$N$5</f>
        <v>#VALUE!</v>
      </c>
      <c r="V53" s="932" t="e">
        <f ca="1">'Balance Sheet'!AM18/$N$5</f>
        <v>#VALUE!</v>
      </c>
      <c r="W53" s="932" t="e">
        <f ca="1">'Balance Sheet'!AN18/$N$5</f>
        <v>#VALUE!</v>
      </c>
      <c r="X53" s="932" t="e">
        <f ca="1">'Balance Sheet'!AO18/$N$5</f>
        <v>#VALUE!</v>
      </c>
      <c r="Y53" s="932" t="e">
        <f ca="1">'Balance Sheet'!AP18/$N$5</f>
        <v>#VALUE!</v>
      </c>
      <c r="Z53" s="366" t="e">
        <f ca="1">'Balance Sheet'!AQ18/$N$5</f>
        <v>#NAME?</v>
      </c>
      <c r="AA53" s="364"/>
      <c r="AB53" s="361"/>
      <c r="AC53" s="361"/>
      <c r="AD53" s="361"/>
      <c r="AE53" s="361"/>
      <c r="AF53" s="361"/>
      <c r="AG53" s="361"/>
      <c r="AH53" s="361"/>
      <c r="AI53" s="361"/>
      <c r="AJ53" s="361"/>
      <c r="AK53" s="361"/>
      <c r="AL53" s="361"/>
      <c r="AM53" s="361"/>
      <c r="AN53" s="361"/>
      <c r="AO53" s="361"/>
      <c r="AP53" s="287"/>
      <c r="AQ53" s="362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287"/>
      <c r="BD53" s="287"/>
      <c r="BE53" s="287"/>
    </row>
    <row r="54" spans="6:57" ht="15" customHeight="1">
      <c r="N54" s="935" t="s">
        <v>263</v>
      </c>
      <c r="O54" s="931" t="e">
        <f t="shared" ref="O54:Z54" ca="1" si="44">O52/O53</f>
        <v>#VALUE!</v>
      </c>
      <c r="P54" s="931" t="e">
        <f t="shared" ca="1" si="44"/>
        <v>#VALUE!</v>
      </c>
      <c r="Q54" s="931" t="e">
        <f t="shared" ca="1" si="44"/>
        <v>#VALUE!</v>
      </c>
      <c r="R54" s="931" t="e">
        <f t="shared" ca="1" si="44"/>
        <v>#VALUE!</v>
      </c>
      <c r="S54" s="931" t="e">
        <f t="shared" ca="1" si="44"/>
        <v>#VALUE!</v>
      </c>
      <c r="T54" s="931" t="e">
        <f t="shared" ca="1" si="44"/>
        <v>#VALUE!</v>
      </c>
      <c r="U54" s="931" t="e">
        <f t="shared" ca="1" si="44"/>
        <v>#VALUE!</v>
      </c>
      <c r="V54" s="931" t="e">
        <f t="shared" ca="1" si="44"/>
        <v>#VALUE!</v>
      </c>
      <c r="W54" s="931" t="e">
        <f t="shared" ca="1" si="44"/>
        <v>#VALUE!</v>
      </c>
      <c r="X54" s="931" t="e">
        <f t="shared" ca="1" si="44"/>
        <v>#VALUE!</v>
      </c>
      <c r="Y54" s="931" t="e">
        <f t="shared" ca="1" si="44"/>
        <v>#VALUE!</v>
      </c>
      <c r="Z54" s="363" t="e">
        <f t="shared" ca="1" si="44"/>
        <v>#NAME?</v>
      </c>
      <c r="AA54" s="364"/>
      <c r="AB54" s="361"/>
      <c r="AC54" s="361"/>
      <c r="AD54" s="361"/>
      <c r="AE54" s="361"/>
      <c r="AF54" s="361"/>
      <c r="AG54" s="361"/>
      <c r="AH54" s="361"/>
      <c r="AI54" s="361"/>
      <c r="AJ54" s="361"/>
      <c r="AK54" s="361"/>
      <c r="AL54" s="361"/>
      <c r="AM54" s="361"/>
      <c r="AN54" s="361"/>
      <c r="AO54" s="361"/>
      <c r="AP54" s="287"/>
      <c r="AQ54" s="362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287"/>
      <c r="BD54" s="287"/>
      <c r="BE54" s="287"/>
    </row>
    <row r="55" spans="6:57" ht="15" customHeight="1">
      <c r="N55" s="935" t="s">
        <v>264</v>
      </c>
      <c r="O55" s="940" t="str">
        <f ca="1">'Ratios &amp; Trend Analysis'!I34</f>
        <v/>
      </c>
      <c r="P55" s="940" t="str">
        <f ca="1">'Ratios &amp; Trend Analysis'!J34</f>
        <v/>
      </c>
      <c r="Q55" s="940" t="str">
        <f ca="1">'Ratios &amp; Trend Analysis'!K34</f>
        <v/>
      </c>
      <c r="R55" s="940" t="str">
        <f ca="1">'Ratios &amp; Trend Analysis'!L34</f>
        <v/>
      </c>
      <c r="S55" s="940" t="str">
        <f ca="1">'Ratios &amp; Trend Analysis'!M34</f>
        <v/>
      </c>
      <c r="T55" s="940" t="str">
        <f ca="1">'Ratios &amp; Trend Analysis'!N34</f>
        <v/>
      </c>
      <c r="U55" s="940" t="str">
        <f ca="1">'Ratios &amp; Trend Analysis'!O34</f>
        <v/>
      </c>
      <c r="V55" s="940" t="str">
        <f ca="1">'Ratios &amp; Trend Analysis'!P34</f>
        <v/>
      </c>
      <c r="W55" s="940" t="str">
        <f ca="1">'Ratios &amp; Trend Analysis'!Q34</f>
        <v/>
      </c>
      <c r="X55" s="940" t="str">
        <f ca="1">'Ratios &amp; Trend Analysis'!R34</f>
        <v/>
      </c>
      <c r="Y55" s="940" t="str">
        <f ca="1">'Ratios &amp; Trend Analysis'!S34</f>
        <v/>
      </c>
      <c r="Z55" s="391" t="str">
        <f ca="1">'Ratios &amp; Trend Analysis'!T34</f>
        <v/>
      </c>
      <c r="AA55" s="392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361"/>
      <c r="AN55" s="361"/>
      <c r="AO55" s="361"/>
      <c r="AP55" s="287"/>
      <c r="AQ55" s="362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287"/>
      <c r="BD55" s="287"/>
      <c r="BE55" s="287"/>
    </row>
    <row r="56" spans="6:57" ht="15.75" customHeight="1" thickBot="1">
      <c r="N56" s="370" t="s">
        <v>357</v>
      </c>
      <c r="O56" s="941" t="str">
        <f ca="1">'Ratios &amp; Trend Analysis'!I43</f>
        <v/>
      </c>
      <c r="P56" s="941" t="str">
        <f ca="1">'Ratios &amp; Trend Analysis'!J43</f>
        <v/>
      </c>
      <c r="Q56" s="941" t="str">
        <f ca="1">'Ratios &amp; Trend Analysis'!K43</f>
        <v/>
      </c>
      <c r="R56" s="941" t="str">
        <f ca="1">'Ratios &amp; Trend Analysis'!L43</f>
        <v/>
      </c>
      <c r="S56" s="941" t="str">
        <f ca="1">'Ratios &amp; Trend Analysis'!M43</f>
        <v/>
      </c>
      <c r="T56" s="941" t="str">
        <f ca="1">'Ratios &amp; Trend Analysis'!N43</f>
        <v/>
      </c>
      <c r="U56" s="941" t="str">
        <f ca="1">'Ratios &amp; Trend Analysis'!O43</f>
        <v/>
      </c>
      <c r="V56" s="941" t="str">
        <f ca="1">'Ratios &amp; Trend Analysis'!P43</f>
        <v/>
      </c>
      <c r="W56" s="941" t="str">
        <f ca="1">'Ratios &amp; Trend Analysis'!Q43</f>
        <v/>
      </c>
      <c r="X56" s="941" t="str">
        <f ca="1">'Ratios &amp; Trend Analysis'!R43</f>
        <v/>
      </c>
      <c r="Y56" s="941" t="str">
        <f ca="1">'Ratios &amp; Trend Analysis'!S43</f>
        <v/>
      </c>
      <c r="Z56" s="393" t="str">
        <f ca="1">'Ratios &amp; Trend Analysis'!T43</f>
        <v/>
      </c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361"/>
      <c r="AN56" s="361"/>
      <c r="AO56" s="361"/>
      <c r="AQ56" s="362"/>
    </row>
    <row r="57" spans="6:57" ht="15" customHeight="1">
      <c r="N57" s="385"/>
      <c r="O57" s="364"/>
      <c r="P57" s="364"/>
      <c r="Q57" s="364"/>
      <c r="R57" s="364"/>
      <c r="S57" s="364"/>
      <c r="T57" s="364"/>
      <c r="U57" s="364"/>
      <c r="V57" s="364"/>
      <c r="W57" s="364"/>
      <c r="X57" s="364"/>
      <c r="Y57" s="364"/>
      <c r="Z57" s="364"/>
      <c r="AA57" s="392"/>
      <c r="AB57" s="361"/>
      <c r="AC57" s="361"/>
      <c r="AD57" s="361"/>
      <c r="AE57" s="361"/>
      <c r="AF57" s="361"/>
      <c r="AG57" s="361"/>
      <c r="AH57" s="361"/>
      <c r="AI57" s="361"/>
      <c r="AJ57" s="361"/>
      <c r="AK57" s="361"/>
      <c r="AL57" s="361"/>
      <c r="AM57" s="361"/>
      <c r="AN57" s="361"/>
      <c r="AO57" s="361"/>
      <c r="AP57" s="287"/>
      <c r="AQ57" s="287"/>
      <c r="AR57" s="287"/>
      <c r="AS57" s="287"/>
      <c r="AT57" s="287"/>
      <c r="AU57" s="287"/>
      <c r="AV57" s="287"/>
      <c r="AW57" s="287"/>
      <c r="AX57" s="287"/>
      <c r="AY57" s="287"/>
      <c r="AZ57" s="287"/>
      <c r="BA57" s="287"/>
      <c r="BB57" s="287"/>
      <c r="BC57" s="287"/>
      <c r="BD57" s="287"/>
      <c r="BE57" s="287"/>
    </row>
    <row r="58" spans="6:57" ht="15.75">
      <c r="L58" s="354" t="s">
        <v>266</v>
      </c>
      <c r="M58" s="354"/>
      <c r="N58" s="385"/>
      <c r="O58" s="364"/>
      <c r="P58" s="364"/>
      <c r="Q58" s="364"/>
      <c r="R58" s="364"/>
      <c r="S58" s="364"/>
      <c r="T58" s="364"/>
      <c r="U58" s="364"/>
      <c r="X58" s="293" t="s">
        <v>336</v>
      </c>
      <c r="Y58" s="355"/>
      <c r="Z58" s="364"/>
      <c r="AA58" s="392"/>
      <c r="AB58" s="361"/>
      <c r="AC58" s="361"/>
      <c r="AD58" s="361"/>
      <c r="AE58" s="361"/>
      <c r="AF58" s="361"/>
      <c r="AG58" s="361"/>
      <c r="AH58" s="361"/>
      <c r="AI58" s="361"/>
      <c r="AJ58" s="361"/>
      <c r="AK58" s="361"/>
      <c r="AL58" s="361"/>
      <c r="AM58" s="361"/>
      <c r="AN58" s="361"/>
      <c r="AO58" s="361"/>
      <c r="AP58" s="287"/>
      <c r="AQ58" s="287"/>
      <c r="AR58" s="287"/>
      <c r="AS58" s="287"/>
      <c r="AT58" s="287"/>
      <c r="AU58" s="287"/>
      <c r="AV58" s="287"/>
      <c r="AW58" s="287"/>
      <c r="AX58" s="287"/>
      <c r="AY58" s="287"/>
      <c r="AZ58" s="287"/>
      <c r="BA58" s="287"/>
      <c r="BB58" s="287"/>
      <c r="BC58" s="287"/>
      <c r="BD58" s="287"/>
      <c r="BE58" s="287"/>
    </row>
    <row r="59" spans="6:57" ht="15.75" customHeight="1" thickBot="1">
      <c r="F59" s="290"/>
      <c r="G59" s="290"/>
      <c r="H59" s="290"/>
      <c r="N59" s="289"/>
      <c r="O59" s="289"/>
      <c r="P59" s="289"/>
      <c r="Q59" s="289"/>
      <c r="R59" s="289"/>
      <c r="S59" s="289"/>
      <c r="T59" s="289"/>
      <c r="U59" s="289"/>
      <c r="V59" s="385"/>
      <c r="W59" s="289"/>
      <c r="X59" s="289"/>
      <c r="Y59" s="289"/>
      <c r="Z59" s="289"/>
      <c r="AA59" s="394"/>
      <c r="AB59" s="361"/>
      <c r="AC59" s="361"/>
      <c r="AD59" s="361"/>
      <c r="AE59" s="361"/>
      <c r="AF59" s="361"/>
      <c r="AG59" s="361"/>
      <c r="AH59" s="361"/>
      <c r="AI59" s="361"/>
      <c r="AJ59" s="361"/>
      <c r="AK59" s="361"/>
      <c r="AL59" s="361"/>
      <c r="AM59" s="361"/>
      <c r="AN59" s="361"/>
      <c r="AO59" s="361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287"/>
      <c r="BD59" s="287"/>
      <c r="BE59" s="287"/>
    </row>
    <row r="60" spans="6:57" ht="15" customHeight="1">
      <c r="F60" s="290"/>
      <c r="G60" s="290"/>
      <c r="H60" s="290"/>
      <c r="N60" s="376"/>
      <c r="O60" s="377">
        <f t="shared" ref="O60:Z60" si="45">O8</f>
        <v>0</v>
      </c>
      <c r="P60" s="377">
        <f t="shared" si="45"/>
        <v>0</v>
      </c>
      <c r="Q60" s="377">
        <f t="shared" si="45"/>
        <v>0</v>
      </c>
      <c r="R60" s="377">
        <f t="shared" si="45"/>
        <v>0</v>
      </c>
      <c r="S60" s="377">
        <f t="shared" si="45"/>
        <v>0</v>
      </c>
      <c r="T60" s="377">
        <f t="shared" si="45"/>
        <v>0</v>
      </c>
      <c r="U60" s="377">
        <f t="shared" si="45"/>
        <v>0</v>
      </c>
      <c r="V60" s="377">
        <f t="shared" si="45"/>
        <v>0</v>
      </c>
      <c r="W60" s="377">
        <f t="shared" si="45"/>
        <v>0</v>
      </c>
      <c r="X60" s="377">
        <f t="shared" si="45"/>
        <v>0</v>
      </c>
      <c r="Y60" s="377">
        <f t="shared" si="45"/>
        <v>0</v>
      </c>
      <c r="Z60" s="378">
        <f t="shared" si="45"/>
        <v>4</v>
      </c>
      <c r="AB60" s="361"/>
      <c r="AC60" s="361"/>
      <c r="AD60" s="361"/>
      <c r="AE60" s="361"/>
      <c r="AF60" s="361"/>
      <c r="AG60" s="361"/>
      <c r="AH60" s="361"/>
      <c r="AI60" s="361"/>
      <c r="AJ60" s="361"/>
      <c r="AK60" s="361"/>
      <c r="AL60" s="361"/>
      <c r="AM60" s="361"/>
      <c r="AN60" s="361"/>
      <c r="AO60" s="361"/>
      <c r="AP60" s="287"/>
      <c r="AQ60" s="293"/>
      <c r="AR60" s="293"/>
      <c r="AS60" s="293"/>
      <c r="AU60" s="287"/>
      <c r="AV60" s="287"/>
      <c r="AW60" s="287"/>
      <c r="AX60" s="287"/>
      <c r="AY60" s="287"/>
      <c r="AZ60" s="287"/>
      <c r="BA60" s="287"/>
      <c r="BB60" s="287"/>
      <c r="BC60" s="287"/>
      <c r="BD60" s="287"/>
      <c r="BE60" s="287"/>
    </row>
    <row r="61" spans="6:57" ht="15.75" customHeight="1" thickBot="1">
      <c r="F61" s="290"/>
      <c r="G61" s="290"/>
      <c r="H61" s="290"/>
      <c r="N61" s="370" t="s">
        <v>589</v>
      </c>
      <c r="O61" s="942" t="e">
        <f ca="1">'Ratios &amp; Trend Analysis'!I54</f>
        <v>#NAME?</v>
      </c>
      <c r="P61" s="942" t="e">
        <f ca="1">'Ratios &amp; Trend Analysis'!J54</f>
        <v>#NAME?</v>
      </c>
      <c r="Q61" s="942" t="e">
        <f ca="1">'Ratios &amp; Trend Analysis'!K54</f>
        <v>#NAME?</v>
      </c>
      <c r="R61" s="942" t="e">
        <f ca="1">'Ratios &amp; Trend Analysis'!L54</f>
        <v>#NAME?</v>
      </c>
      <c r="S61" s="942" t="e">
        <f ca="1">'Ratios &amp; Trend Analysis'!M54</f>
        <v>#NAME?</v>
      </c>
      <c r="T61" s="942" t="e">
        <f ca="1">'Ratios &amp; Trend Analysis'!N54</f>
        <v>#NAME?</v>
      </c>
      <c r="U61" s="942" t="e">
        <f ca="1">'Ratios &amp; Trend Analysis'!O54</f>
        <v>#NAME?</v>
      </c>
      <c r="V61" s="942" t="e">
        <f ca="1">'Ratios &amp; Trend Analysis'!P54</f>
        <v>#NAME?</v>
      </c>
      <c r="W61" s="942" t="e">
        <f ca="1">'Ratios &amp; Trend Analysis'!Q54</f>
        <v>#NAME?</v>
      </c>
      <c r="X61" s="942" t="e">
        <f ca="1">'Ratios &amp; Trend Analysis'!R54</f>
        <v>#NAME?</v>
      </c>
      <c r="Y61" s="942" t="e">
        <f ca="1">'Ratios &amp; Trend Analysis'!S54</f>
        <v>#NAME?</v>
      </c>
      <c r="Z61" s="396" t="e">
        <f ca="1">'Ratios &amp; Trend Analysis'!T54</f>
        <v>#NAME?</v>
      </c>
      <c r="AB61" s="361"/>
      <c r="AC61" s="361"/>
      <c r="AD61" s="361"/>
      <c r="AE61" s="361"/>
      <c r="AF61" s="361"/>
      <c r="AG61" s="361"/>
      <c r="AH61" s="361"/>
      <c r="AI61" s="361"/>
      <c r="AJ61" s="361"/>
      <c r="AK61" s="361"/>
      <c r="AL61" s="361"/>
      <c r="AM61" s="361"/>
      <c r="AN61" s="361"/>
      <c r="AO61" s="361"/>
      <c r="AP61" s="287"/>
      <c r="AQ61" s="287"/>
      <c r="AR61" s="287"/>
      <c r="AS61" s="287"/>
      <c r="AU61" s="287"/>
      <c r="AV61" s="287"/>
      <c r="AW61" s="287"/>
      <c r="AX61" s="287"/>
      <c r="AY61" s="287"/>
      <c r="AZ61" s="287"/>
      <c r="BA61" s="287"/>
      <c r="BB61" s="287"/>
      <c r="BC61" s="287"/>
      <c r="BD61" s="287"/>
      <c r="BE61" s="287"/>
    </row>
    <row r="62" spans="6:57" ht="15" customHeight="1">
      <c r="F62" s="290"/>
      <c r="G62" s="290"/>
      <c r="H62" s="290"/>
      <c r="AB62" s="361"/>
      <c r="AC62" s="361"/>
      <c r="AD62" s="361"/>
      <c r="AE62" s="361"/>
      <c r="AF62" s="361"/>
      <c r="AG62" s="361"/>
      <c r="AH62" s="361"/>
      <c r="AI62" s="361"/>
      <c r="AJ62" s="361"/>
      <c r="AK62" s="361"/>
      <c r="AL62" s="361"/>
      <c r="AM62" s="361"/>
      <c r="AN62" s="361"/>
      <c r="AO62" s="361"/>
      <c r="AP62" s="287"/>
      <c r="AQ62" s="287"/>
      <c r="AR62" s="287"/>
      <c r="AS62" s="287"/>
      <c r="AU62" s="287"/>
      <c r="AV62" s="287"/>
      <c r="AW62" s="287"/>
      <c r="AX62" s="287"/>
      <c r="AY62" s="287"/>
      <c r="AZ62" s="287"/>
      <c r="BA62" s="287"/>
      <c r="BB62" s="287"/>
      <c r="BC62" s="287"/>
      <c r="BD62" s="287"/>
      <c r="BE62" s="287"/>
    </row>
    <row r="63" spans="6:57" ht="15" customHeight="1">
      <c r="F63" s="290"/>
      <c r="G63" s="290"/>
      <c r="H63" s="290"/>
      <c r="AB63" s="361"/>
      <c r="AC63" s="361"/>
      <c r="AD63" s="361"/>
      <c r="AE63" s="361"/>
      <c r="AF63" s="361"/>
      <c r="AG63" s="361"/>
      <c r="AH63" s="361"/>
      <c r="AI63" s="361"/>
      <c r="AJ63" s="361"/>
      <c r="AK63" s="361"/>
      <c r="AL63" s="823" t="s">
        <v>429</v>
      </c>
      <c r="AM63" s="823" t="s">
        <v>430</v>
      </c>
      <c r="AN63" s="823" t="s">
        <v>431</v>
      </c>
      <c r="AO63" s="361"/>
      <c r="AP63" s="287"/>
      <c r="AQ63" s="287"/>
      <c r="AR63" s="287"/>
      <c r="AS63" s="287"/>
      <c r="AU63" s="287"/>
      <c r="AV63" s="287"/>
      <c r="AW63" s="287"/>
      <c r="AX63" s="287"/>
      <c r="AY63" s="287"/>
      <c r="AZ63" s="287"/>
      <c r="BA63" s="287"/>
      <c r="BB63" s="287"/>
      <c r="BC63" s="287"/>
      <c r="BD63" s="287"/>
      <c r="BE63" s="287"/>
    </row>
    <row r="64" spans="6:57" ht="15.75">
      <c r="F64" s="290"/>
      <c r="G64" s="290"/>
      <c r="H64" s="290"/>
      <c r="I64" s="290"/>
      <c r="L64" s="354" t="s">
        <v>619</v>
      </c>
      <c r="M64" s="354"/>
      <c r="X64" s="293" t="s">
        <v>336</v>
      </c>
      <c r="Y64" s="355"/>
      <c r="Z64" s="311"/>
      <c r="AA64" s="288"/>
      <c r="AB64" s="361"/>
      <c r="AC64" s="361"/>
      <c r="AD64" s="361"/>
      <c r="AE64" s="361"/>
      <c r="AF64" s="361"/>
      <c r="AG64" s="361"/>
      <c r="AH64" s="361"/>
      <c r="AI64" s="361"/>
      <c r="AJ64" s="361"/>
      <c r="AK64" s="293"/>
      <c r="AL64" s="290" t="s">
        <v>287</v>
      </c>
      <c r="AM64" s="290" t="s">
        <v>432</v>
      </c>
      <c r="AN64" s="290">
        <v>1</v>
      </c>
      <c r="AO64" s="361"/>
      <c r="AP64" s="287"/>
      <c r="AQ64" s="287"/>
      <c r="AR64" s="287"/>
      <c r="AS64" s="287"/>
      <c r="AU64" s="287"/>
      <c r="AV64" s="287"/>
      <c r="AW64" s="287"/>
      <c r="AX64" s="287"/>
      <c r="AY64" s="287"/>
      <c r="AZ64" s="287"/>
      <c r="BA64" s="287"/>
      <c r="BB64" s="287"/>
      <c r="BC64" s="287"/>
      <c r="BD64" s="287"/>
      <c r="BE64" s="287"/>
    </row>
    <row r="65" spans="6:57" ht="15.75" customHeight="1" thickBot="1">
      <c r="F65" s="290"/>
      <c r="G65" s="290"/>
      <c r="H65" s="290"/>
      <c r="I65" s="290"/>
      <c r="AB65" s="361"/>
      <c r="AC65" s="361"/>
      <c r="AD65" s="361"/>
      <c r="AE65" s="361"/>
      <c r="AF65" s="361"/>
      <c r="AG65" s="361"/>
      <c r="AH65" s="361"/>
      <c r="AI65" s="361"/>
      <c r="AJ65" s="361"/>
      <c r="AL65" s="290" t="s">
        <v>318</v>
      </c>
      <c r="AM65" s="290" t="s">
        <v>433</v>
      </c>
      <c r="AN65" s="290">
        <v>2</v>
      </c>
      <c r="AO65" s="361"/>
      <c r="AP65" s="287"/>
      <c r="AQ65" s="287"/>
      <c r="AR65" s="287"/>
      <c r="AS65" s="287"/>
      <c r="AU65" s="287"/>
      <c r="AV65" s="287"/>
      <c r="AW65" s="287"/>
      <c r="AX65" s="287"/>
      <c r="AY65" s="287"/>
      <c r="AZ65" s="287"/>
      <c r="BA65" s="287"/>
      <c r="BB65" s="287"/>
      <c r="BC65" s="287"/>
      <c r="BD65" s="287"/>
      <c r="BE65" s="287"/>
    </row>
    <row r="66" spans="6:57" ht="15.75" customHeight="1">
      <c r="F66" s="290"/>
      <c r="G66" s="290"/>
      <c r="H66" s="290"/>
      <c r="I66" s="290"/>
      <c r="N66" s="376"/>
      <c r="O66" s="377">
        <f t="shared" ref="O66:Z66" si="46">O8</f>
        <v>0</v>
      </c>
      <c r="P66" s="377">
        <f t="shared" si="46"/>
        <v>0</v>
      </c>
      <c r="Q66" s="377">
        <f t="shared" si="46"/>
        <v>0</v>
      </c>
      <c r="R66" s="377">
        <f t="shared" si="46"/>
        <v>0</v>
      </c>
      <c r="S66" s="377">
        <f t="shared" si="46"/>
        <v>0</v>
      </c>
      <c r="T66" s="377">
        <f t="shared" si="46"/>
        <v>0</v>
      </c>
      <c r="U66" s="377">
        <f t="shared" si="46"/>
        <v>0</v>
      </c>
      <c r="V66" s="377">
        <f t="shared" si="46"/>
        <v>0</v>
      </c>
      <c r="W66" s="377">
        <f t="shared" si="46"/>
        <v>0</v>
      </c>
      <c r="X66" s="377">
        <f t="shared" si="46"/>
        <v>0</v>
      </c>
      <c r="Y66" s="377">
        <f t="shared" si="46"/>
        <v>0</v>
      </c>
      <c r="Z66" s="378">
        <f t="shared" si="46"/>
        <v>4</v>
      </c>
      <c r="AA66" s="328"/>
      <c r="AB66" s="361"/>
      <c r="AC66" s="361"/>
      <c r="AD66" s="361"/>
      <c r="AE66" s="361"/>
      <c r="AF66" s="361"/>
      <c r="AG66" s="361"/>
      <c r="AH66" s="361"/>
      <c r="AI66" s="361"/>
      <c r="AJ66" s="361"/>
      <c r="AL66" s="290" t="s">
        <v>321</v>
      </c>
      <c r="AM66" s="290" t="s">
        <v>434</v>
      </c>
      <c r="AN66" s="290">
        <v>3</v>
      </c>
      <c r="AO66" s="361"/>
      <c r="AP66" s="287"/>
      <c r="AQ66" s="287"/>
      <c r="AR66" s="287"/>
      <c r="AS66" s="287"/>
      <c r="AU66" s="287"/>
      <c r="AV66" s="287"/>
      <c r="AW66" s="287"/>
      <c r="AX66" s="287"/>
      <c r="AY66" s="287"/>
      <c r="AZ66" s="287"/>
      <c r="BA66" s="287"/>
      <c r="BB66" s="287"/>
      <c r="BC66" s="287"/>
      <c r="BD66" s="287"/>
      <c r="BE66" s="287"/>
    </row>
    <row r="67" spans="6:57" ht="15" customHeight="1">
      <c r="F67" s="290" t="s">
        <v>63</v>
      </c>
      <c r="G67" s="290"/>
      <c r="H67" s="290"/>
      <c r="I67" s="290"/>
      <c r="N67" s="943" t="s">
        <v>256</v>
      </c>
      <c r="O67" s="931" t="e">
        <f>'Ratios &amp; Trend Analysis'!I71</f>
        <v>#NAME?</v>
      </c>
      <c r="P67" s="931" t="e">
        <f>'Ratios &amp; Trend Analysis'!J71</f>
        <v>#NAME?</v>
      </c>
      <c r="Q67" s="931" t="e">
        <f>'Ratios &amp; Trend Analysis'!K71</f>
        <v>#NAME?</v>
      </c>
      <c r="R67" s="931" t="e">
        <f>'Ratios &amp; Trend Analysis'!L71</f>
        <v>#NAME?</v>
      </c>
      <c r="S67" s="931" t="e">
        <f>'Ratios &amp; Trend Analysis'!M71</f>
        <v>#NAME?</v>
      </c>
      <c r="T67" s="931" t="e">
        <f>'Ratios &amp; Trend Analysis'!N71</f>
        <v>#NAME?</v>
      </c>
      <c r="U67" s="931" t="e">
        <f>'Ratios &amp; Trend Analysis'!O71</f>
        <v>#NAME?</v>
      </c>
      <c r="V67" s="931" t="e">
        <f>'Ratios &amp; Trend Analysis'!P71</f>
        <v>#NAME?</v>
      </c>
      <c r="W67" s="931" t="e">
        <f>'Ratios &amp; Trend Analysis'!Q71</f>
        <v>#NAME?</v>
      </c>
      <c r="X67" s="931" t="e">
        <f>'Ratios &amp; Trend Analysis'!R71</f>
        <v>#NAME?</v>
      </c>
      <c r="Y67" s="931" t="e">
        <f>'Ratios &amp; Trend Analysis'!S71</f>
        <v>#NAME?</v>
      </c>
      <c r="Z67" s="363" t="e">
        <f>'Ratios &amp; Trend Analysis'!T71</f>
        <v>#NAME?</v>
      </c>
      <c r="AA67" s="364"/>
      <c r="AB67" s="361"/>
      <c r="AC67" s="361"/>
      <c r="AD67" s="361"/>
      <c r="AE67" s="361"/>
      <c r="AF67" s="361"/>
      <c r="AG67" s="361"/>
      <c r="AH67" s="361"/>
      <c r="AI67" s="361"/>
      <c r="AJ67" s="361"/>
      <c r="AL67" s="290" t="s">
        <v>324</v>
      </c>
      <c r="AM67" s="290" t="s">
        <v>435</v>
      </c>
      <c r="AN67" s="290">
        <v>4</v>
      </c>
      <c r="AO67" s="361"/>
      <c r="AP67" s="287"/>
      <c r="AQ67" s="287"/>
      <c r="AR67" s="287"/>
      <c r="AS67" s="287"/>
      <c r="AT67" s="287"/>
      <c r="AU67" s="287"/>
      <c r="AV67" s="287"/>
      <c r="AW67" s="287"/>
      <c r="AX67" s="287"/>
      <c r="AY67" s="287"/>
      <c r="AZ67" s="287"/>
      <c r="BA67" s="287"/>
      <c r="BB67" s="287"/>
      <c r="BC67" s="287"/>
      <c r="BD67" s="287"/>
      <c r="BE67" s="287"/>
    </row>
    <row r="68" spans="6:57" ht="15.75">
      <c r="F68" s="290" t="s">
        <v>441</v>
      </c>
      <c r="G68" s="290"/>
      <c r="H68" s="290"/>
      <c r="I68" s="290"/>
      <c r="K68" s="354"/>
      <c r="N68" s="943" t="s">
        <v>3</v>
      </c>
      <c r="O68" s="931" t="e">
        <f>'Ratios &amp; Trend Analysis'!I73</f>
        <v>#NAME?</v>
      </c>
      <c r="P68" s="931" t="e">
        <f>'Ratios &amp; Trend Analysis'!J73</f>
        <v>#NAME?</v>
      </c>
      <c r="Q68" s="931" t="e">
        <f>'Ratios &amp; Trend Analysis'!K73</f>
        <v>#NAME?</v>
      </c>
      <c r="R68" s="931" t="e">
        <f>'Ratios &amp; Trend Analysis'!L73</f>
        <v>#NAME?</v>
      </c>
      <c r="S68" s="931" t="e">
        <f>'Ratios &amp; Trend Analysis'!M73</f>
        <v>#NAME?</v>
      </c>
      <c r="T68" s="931" t="e">
        <f>'Ratios &amp; Trend Analysis'!N73</f>
        <v>#NAME?</v>
      </c>
      <c r="U68" s="931" t="e">
        <f>'Ratios &amp; Trend Analysis'!O73</f>
        <v>#NAME?</v>
      </c>
      <c r="V68" s="931" t="e">
        <f>'Ratios &amp; Trend Analysis'!P73</f>
        <v>#NAME?</v>
      </c>
      <c r="W68" s="931" t="e">
        <f>'Ratios &amp; Trend Analysis'!Q73</f>
        <v>#NAME?</v>
      </c>
      <c r="X68" s="931" t="e">
        <f>'Ratios &amp; Trend Analysis'!R73</f>
        <v>#NAME?</v>
      </c>
      <c r="Y68" s="931" t="e">
        <f>'Ratios &amp; Trend Analysis'!S73</f>
        <v>#NAME?</v>
      </c>
      <c r="Z68" s="363" t="e">
        <f>'Ratios &amp; Trend Analysis'!T73</f>
        <v>#NAME?</v>
      </c>
      <c r="AA68" s="364"/>
      <c r="AB68" s="361"/>
      <c r="AC68" s="361"/>
      <c r="AD68" s="361"/>
      <c r="AE68" s="361"/>
      <c r="AF68" s="361"/>
      <c r="AG68" s="361"/>
      <c r="AH68" s="361"/>
      <c r="AI68" s="361"/>
      <c r="AJ68" s="361"/>
      <c r="AL68" s="290" t="s">
        <v>326</v>
      </c>
      <c r="AM68" s="290" t="s">
        <v>436</v>
      </c>
      <c r="AN68" s="290">
        <v>5</v>
      </c>
      <c r="AO68" s="361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287"/>
      <c r="BA68" s="287"/>
      <c r="BB68" s="287"/>
      <c r="BC68" s="287"/>
      <c r="BD68" s="287"/>
      <c r="BE68" s="287"/>
    </row>
    <row r="69" spans="6:57" ht="15" customHeight="1">
      <c r="F69" s="290" t="s">
        <v>247</v>
      </c>
      <c r="G69" s="290"/>
      <c r="H69" s="290"/>
      <c r="I69" s="290"/>
      <c r="N69" s="935" t="s">
        <v>267</v>
      </c>
      <c r="O69" s="931" t="e">
        <f ca="1">'Ratios &amp; Trend Analysis'!I67</f>
        <v>#NAME?</v>
      </c>
      <c r="P69" s="931" t="e">
        <f ca="1">'Ratios &amp; Trend Analysis'!J67</f>
        <v>#NAME?</v>
      </c>
      <c r="Q69" s="931" t="e">
        <f ca="1">'Ratios &amp; Trend Analysis'!K67</f>
        <v>#NAME?</v>
      </c>
      <c r="R69" s="931" t="e">
        <f ca="1">'Ratios &amp; Trend Analysis'!L67</f>
        <v>#NAME?</v>
      </c>
      <c r="S69" s="931" t="e">
        <f ca="1">'Ratios &amp; Trend Analysis'!M67</f>
        <v>#NAME?</v>
      </c>
      <c r="T69" s="931" t="e">
        <f ca="1">'Ratios &amp; Trend Analysis'!N67</f>
        <v>#NAME?</v>
      </c>
      <c r="U69" s="931" t="e">
        <f ca="1">'Ratios &amp; Trend Analysis'!O67</f>
        <v>#NAME?</v>
      </c>
      <c r="V69" s="931" t="e">
        <f ca="1">'Ratios &amp; Trend Analysis'!P67</f>
        <v>#NAME?</v>
      </c>
      <c r="W69" s="931" t="e">
        <f ca="1">'Ratios &amp; Trend Analysis'!Q67</f>
        <v>#NAME?</v>
      </c>
      <c r="X69" s="931" t="e">
        <f ca="1">'Ratios &amp; Trend Analysis'!R67</f>
        <v>#NAME?</v>
      </c>
      <c r="Y69" s="931" t="e">
        <f ca="1">'Ratios &amp; Trend Analysis'!S67</f>
        <v>#NAME?</v>
      </c>
      <c r="Z69" s="363" t="e">
        <f ca="1">'Ratios &amp; Trend Analysis'!T67</f>
        <v>#NAME?</v>
      </c>
      <c r="AA69" s="369"/>
      <c r="AB69" s="361"/>
      <c r="AC69" s="361"/>
      <c r="AD69" s="361"/>
      <c r="AE69" s="361"/>
      <c r="AF69" s="361"/>
      <c r="AG69" s="361"/>
      <c r="AH69" s="361"/>
      <c r="AI69" s="361"/>
      <c r="AJ69" s="361"/>
      <c r="AL69" s="290" t="s">
        <v>327</v>
      </c>
      <c r="AM69" s="290" t="s">
        <v>437</v>
      </c>
      <c r="AN69" s="290">
        <v>6</v>
      </c>
      <c r="AO69" s="361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287"/>
      <c r="BD69" s="287"/>
      <c r="BE69" s="287"/>
    </row>
    <row r="70" spans="6:57" ht="15" customHeight="1">
      <c r="F70" s="290"/>
      <c r="G70" s="290"/>
      <c r="H70" s="290"/>
      <c r="I70" s="290"/>
      <c r="N70" s="935" t="s">
        <v>375</v>
      </c>
      <c r="O70" s="932" t="e">
        <f ca="1">'Ratios &amp; Trend Analysis'!I87</f>
        <v>#NAME?</v>
      </c>
      <c r="P70" s="932" t="e">
        <f ca="1">'Ratios &amp; Trend Analysis'!J87</f>
        <v>#NAME?</v>
      </c>
      <c r="Q70" s="932" t="e">
        <f ca="1">'Ratios &amp; Trend Analysis'!K87</f>
        <v>#NAME?</v>
      </c>
      <c r="R70" s="932" t="e">
        <f ca="1">'Ratios &amp; Trend Analysis'!L87</f>
        <v>#NAME?</v>
      </c>
      <c r="S70" s="932" t="e">
        <f ca="1">'Ratios &amp; Trend Analysis'!M87</f>
        <v>#NAME?</v>
      </c>
      <c r="T70" s="932" t="e">
        <f ca="1">'Ratios &amp; Trend Analysis'!N87</f>
        <v>#NAME?</v>
      </c>
      <c r="U70" s="932" t="e">
        <f ca="1">'Ratios &amp; Trend Analysis'!O87</f>
        <v>#NAME?</v>
      </c>
      <c r="V70" s="932" t="e">
        <f ca="1">'Ratios &amp; Trend Analysis'!P87</f>
        <v>#NAME?</v>
      </c>
      <c r="W70" s="932" t="e">
        <f ca="1">'Ratios &amp; Trend Analysis'!Q87</f>
        <v>#NAME?</v>
      </c>
      <c r="X70" s="932" t="e">
        <f ca="1">'Ratios &amp; Trend Analysis'!R87</f>
        <v>#NAME?</v>
      </c>
      <c r="Y70" s="932" t="e">
        <f ca="1">'Ratios &amp; Trend Analysis'!S87</f>
        <v>#NAME?</v>
      </c>
      <c r="Z70" s="366" t="e">
        <f ca="1">'Ratios &amp; Trend Analysis'!T87</f>
        <v>#NAME?</v>
      </c>
      <c r="AA70" s="369"/>
      <c r="AB70" s="361"/>
      <c r="AC70" s="361"/>
      <c r="AD70" s="361"/>
      <c r="AE70" s="361"/>
      <c r="AF70" s="361"/>
      <c r="AG70" s="361"/>
      <c r="AH70" s="361"/>
      <c r="AI70" s="361"/>
      <c r="AJ70" s="361"/>
      <c r="AN70" s="361"/>
      <c r="AO70" s="361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287"/>
      <c r="BD70" s="287"/>
      <c r="BE70" s="287"/>
    </row>
    <row r="71" spans="6:57" ht="15" customHeight="1">
      <c r="F71" s="290"/>
      <c r="G71" s="290"/>
      <c r="H71" s="290"/>
      <c r="I71" s="290"/>
      <c r="N71" s="943" t="s">
        <v>4</v>
      </c>
      <c r="O71" s="931" t="e">
        <f>'Ratios &amp; Trend Analysis'!I74</f>
        <v>#NAME?</v>
      </c>
      <c r="P71" s="931" t="e">
        <f>'Ratios &amp; Trend Analysis'!J74</f>
        <v>#NAME?</v>
      </c>
      <c r="Q71" s="931" t="e">
        <f>'Ratios &amp; Trend Analysis'!K74</f>
        <v>#NAME?</v>
      </c>
      <c r="R71" s="931" t="e">
        <f>'Ratios &amp; Trend Analysis'!L74</f>
        <v>#NAME?</v>
      </c>
      <c r="S71" s="931" t="e">
        <f>'Ratios &amp; Trend Analysis'!M74</f>
        <v>#NAME?</v>
      </c>
      <c r="T71" s="931" t="e">
        <f>'Ratios &amp; Trend Analysis'!N74</f>
        <v>#NAME?</v>
      </c>
      <c r="U71" s="931" t="e">
        <f>'Ratios &amp; Trend Analysis'!O74</f>
        <v>#NAME?</v>
      </c>
      <c r="V71" s="931" t="e">
        <f>'Ratios &amp; Trend Analysis'!P74</f>
        <v>#NAME?</v>
      </c>
      <c r="W71" s="931" t="e">
        <f>'Ratios &amp; Trend Analysis'!Q74</f>
        <v>#NAME?</v>
      </c>
      <c r="X71" s="931" t="e">
        <f>'Ratios &amp; Trend Analysis'!R74</f>
        <v>#NAME?</v>
      </c>
      <c r="Y71" s="931" t="e">
        <f>'Ratios &amp; Trend Analysis'!S74</f>
        <v>#NAME?</v>
      </c>
      <c r="Z71" s="363" t="e">
        <f>'Ratios &amp; Trend Analysis'!T74</f>
        <v>#NAME?</v>
      </c>
      <c r="AA71" s="364"/>
      <c r="AB71" s="361"/>
      <c r="AC71" s="361"/>
      <c r="AD71" s="361"/>
      <c r="AE71" s="361"/>
      <c r="AF71" s="361"/>
      <c r="AG71" s="361"/>
      <c r="AH71" s="361"/>
      <c r="AI71" s="361"/>
      <c r="AJ71" s="361"/>
      <c r="AK71" s="361"/>
      <c r="AL71" s="361"/>
      <c r="AM71" s="361"/>
      <c r="AN71" s="361"/>
      <c r="AO71" s="361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287"/>
      <c r="BD71" s="287"/>
      <c r="BE71" s="287"/>
    </row>
    <row r="72" spans="6:57" ht="15" customHeight="1">
      <c r="F72" s="290"/>
      <c r="G72" s="290"/>
      <c r="H72" s="290"/>
      <c r="I72" s="290"/>
      <c r="N72" s="943" t="s">
        <v>0</v>
      </c>
      <c r="O72" s="931" t="e">
        <f ca="1">'Ratios &amp; Trend Analysis'!I75</f>
        <v>#VALUE!</v>
      </c>
      <c r="P72" s="931" t="e">
        <f ca="1">'Ratios &amp; Trend Analysis'!J75</f>
        <v>#VALUE!</v>
      </c>
      <c r="Q72" s="931" t="e">
        <f ca="1">'Ratios &amp; Trend Analysis'!K75</f>
        <v>#VALUE!</v>
      </c>
      <c r="R72" s="931" t="e">
        <f ca="1">'Ratios &amp; Trend Analysis'!L75</f>
        <v>#VALUE!</v>
      </c>
      <c r="S72" s="931" t="e">
        <f ca="1">'Ratios &amp; Trend Analysis'!M75</f>
        <v>#VALUE!</v>
      </c>
      <c r="T72" s="931" t="e">
        <f ca="1">'Ratios &amp; Trend Analysis'!N75</f>
        <v>#VALUE!</v>
      </c>
      <c r="U72" s="931" t="e">
        <f ca="1">'Ratios &amp; Trend Analysis'!O75</f>
        <v>#VALUE!</v>
      </c>
      <c r="V72" s="931" t="e">
        <f ca="1">'Ratios &amp; Trend Analysis'!P75</f>
        <v>#VALUE!</v>
      </c>
      <c r="W72" s="931" t="e">
        <f ca="1">'Ratios &amp; Trend Analysis'!Q75</f>
        <v>#VALUE!</v>
      </c>
      <c r="X72" s="931" t="e">
        <f ca="1">'Ratios &amp; Trend Analysis'!R75</f>
        <v>#VALUE!</v>
      </c>
      <c r="Y72" s="931" t="e">
        <f ca="1">'Ratios &amp; Trend Analysis'!S75</f>
        <v>#VALUE!</v>
      </c>
      <c r="Z72" s="363" t="e">
        <f ca="1">'Ratios &amp; Trend Analysis'!T75</f>
        <v>#VALUE!</v>
      </c>
      <c r="AA72" s="364"/>
      <c r="AB72" s="361"/>
      <c r="AC72" s="361"/>
      <c r="AD72" s="361"/>
      <c r="AE72" s="361"/>
      <c r="AF72" s="361"/>
      <c r="AG72" s="361"/>
      <c r="AH72" s="361"/>
      <c r="AI72" s="361"/>
      <c r="AJ72" s="361"/>
      <c r="AK72" s="361"/>
      <c r="AL72" s="361"/>
      <c r="AM72" s="361"/>
      <c r="AN72" s="361"/>
      <c r="AO72" s="361"/>
      <c r="AP72" s="287"/>
      <c r="AQ72" s="287"/>
      <c r="AR72" s="287"/>
      <c r="AS72" s="287"/>
      <c r="AT72" s="287"/>
      <c r="AU72" s="287"/>
      <c r="AV72" s="287"/>
      <c r="AW72" s="287"/>
      <c r="AX72" s="287"/>
      <c r="AY72" s="287"/>
      <c r="AZ72" s="287"/>
      <c r="BA72" s="287"/>
      <c r="BB72" s="287"/>
      <c r="BC72" s="287"/>
      <c r="BD72" s="287"/>
      <c r="BE72" s="287"/>
    </row>
    <row r="73" spans="6:57" ht="15.75" customHeight="1" thickBot="1">
      <c r="F73" s="290"/>
      <c r="G73" s="290"/>
      <c r="H73" s="290"/>
      <c r="I73" s="290"/>
      <c r="N73" s="397" t="s">
        <v>1</v>
      </c>
      <c r="O73" s="939" t="e">
        <f ca="1">'Ratios &amp; Trend Analysis'!I76</f>
        <v>#VALUE!</v>
      </c>
      <c r="P73" s="939" t="e">
        <f ca="1">'Ratios &amp; Trend Analysis'!J76</f>
        <v>#VALUE!</v>
      </c>
      <c r="Q73" s="939" t="e">
        <f ca="1">'Ratios &amp; Trend Analysis'!K76</f>
        <v>#VALUE!</v>
      </c>
      <c r="R73" s="939" t="e">
        <f ca="1">'Ratios &amp; Trend Analysis'!L76</f>
        <v>#VALUE!</v>
      </c>
      <c r="S73" s="939" t="e">
        <f ca="1">'Ratios &amp; Trend Analysis'!M76</f>
        <v>#VALUE!</v>
      </c>
      <c r="T73" s="939" t="e">
        <f ca="1">'Ratios &amp; Trend Analysis'!N76</f>
        <v>#VALUE!</v>
      </c>
      <c r="U73" s="939" t="e">
        <f ca="1">'Ratios &amp; Trend Analysis'!O76</f>
        <v>#VALUE!</v>
      </c>
      <c r="V73" s="939" t="e">
        <f ca="1">'Ratios &amp; Trend Analysis'!P76</f>
        <v>#VALUE!</v>
      </c>
      <c r="W73" s="939" t="e">
        <f ca="1">'Ratios &amp; Trend Analysis'!Q76</f>
        <v>#VALUE!</v>
      </c>
      <c r="X73" s="939" t="e">
        <f ca="1">'Ratios &amp; Trend Analysis'!R76</f>
        <v>#VALUE!</v>
      </c>
      <c r="Y73" s="939" t="e">
        <f ca="1">'Ratios &amp; Trend Analysis'!S76</f>
        <v>#VALUE!</v>
      </c>
      <c r="Z73" s="382" t="e">
        <f ca="1">'Ratios &amp; Trend Analysis'!T76</f>
        <v>#VALUE!</v>
      </c>
      <c r="AA73" s="364"/>
      <c r="AB73" s="361"/>
      <c r="AC73" s="361"/>
      <c r="AD73" s="361"/>
      <c r="AE73" s="361"/>
      <c r="AF73" s="361"/>
      <c r="AG73" s="361"/>
      <c r="AH73" s="361"/>
      <c r="AI73" s="361"/>
      <c r="AJ73" s="361"/>
      <c r="AK73" s="361"/>
      <c r="AL73" s="361"/>
      <c r="AM73" s="361"/>
      <c r="AN73" s="361"/>
      <c r="AO73" s="361"/>
      <c r="AP73" s="287"/>
      <c r="AQ73" s="287"/>
      <c r="AR73" s="287"/>
      <c r="AS73" s="287"/>
      <c r="AT73" s="287"/>
      <c r="AU73" s="287"/>
      <c r="AV73" s="287"/>
      <c r="AW73" s="287"/>
      <c r="AX73" s="287"/>
      <c r="AY73" s="287"/>
      <c r="AZ73" s="287"/>
      <c r="BA73" s="287"/>
      <c r="BB73" s="287"/>
      <c r="BC73" s="287"/>
      <c r="BD73" s="287"/>
      <c r="BE73" s="287"/>
    </row>
    <row r="74" spans="6:57" ht="15" customHeight="1">
      <c r="I74" s="290"/>
      <c r="Z74" s="398"/>
      <c r="AA74" s="399"/>
      <c r="AB74" s="361"/>
      <c r="AC74" s="361"/>
      <c r="AD74" s="361"/>
      <c r="AE74" s="361"/>
      <c r="AF74" s="361"/>
      <c r="AG74" s="361"/>
      <c r="AH74" s="361"/>
      <c r="AI74" s="361"/>
      <c r="AJ74" s="361"/>
      <c r="AK74" s="361"/>
      <c r="AL74" s="361"/>
      <c r="AM74" s="361"/>
      <c r="AN74" s="361"/>
      <c r="AO74" s="361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287"/>
      <c r="BD74" s="287"/>
      <c r="BE74" s="287"/>
    </row>
    <row r="75" spans="6:57" ht="15" customHeight="1">
      <c r="N75" s="400"/>
      <c r="O75" s="401"/>
      <c r="P75" s="401"/>
      <c r="Q75" s="401"/>
      <c r="R75" s="401"/>
      <c r="S75" s="401"/>
      <c r="T75" s="401"/>
      <c r="U75" s="401"/>
      <c r="V75" s="401"/>
      <c r="W75" s="401"/>
      <c r="X75" s="401"/>
      <c r="Y75" s="401"/>
      <c r="Z75" s="401"/>
      <c r="AA75" s="364"/>
      <c r="AB75" s="361"/>
      <c r="AC75" s="361"/>
      <c r="AD75" s="361"/>
      <c r="AE75" s="361"/>
      <c r="AF75" s="361"/>
      <c r="AG75" s="361"/>
      <c r="AH75" s="361"/>
      <c r="AI75" s="361"/>
      <c r="AJ75" s="361"/>
      <c r="AK75" s="361"/>
      <c r="AL75" s="361"/>
      <c r="AM75" s="361"/>
      <c r="AN75" s="361"/>
      <c r="AO75" s="361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287"/>
      <c r="BD75" s="287"/>
      <c r="BE75" s="287"/>
    </row>
    <row r="76" spans="6:57" ht="15.75">
      <c r="L76" s="354" t="s">
        <v>358</v>
      </c>
      <c r="M76" s="354"/>
      <c r="N76" s="293"/>
      <c r="AB76" s="361"/>
      <c r="AC76" s="361"/>
      <c r="AD76" s="361"/>
      <c r="AE76" s="361"/>
      <c r="AF76" s="361"/>
      <c r="AG76" s="361"/>
      <c r="AH76" s="361"/>
      <c r="AI76" s="361"/>
      <c r="AJ76" s="361"/>
      <c r="AK76" s="361"/>
      <c r="AL76" s="361"/>
      <c r="AM76" s="361"/>
      <c r="AN76" s="361"/>
      <c r="AO76" s="361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287"/>
      <c r="BD76" s="287"/>
      <c r="BE76" s="287"/>
    </row>
    <row r="77" spans="6:57" ht="12.75" customHeight="1" thickBot="1">
      <c r="L77" s="402"/>
      <c r="M77" s="402"/>
      <c r="AB77" s="361"/>
      <c r="AC77" s="361"/>
      <c r="AD77" s="361"/>
      <c r="AE77" s="361"/>
      <c r="AF77" s="361"/>
      <c r="AG77" s="361"/>
      <c r="AH77" s="361"/>
      <c r="AI77" s="361"/>
      <c r="AJ77" s="361"/>
      <c r="AK77" s="361"/>
      <c r="AL77" s="361"/>
      <c r="AM77" s="361"/>
      <c r="AN77" s="361"/>
      <c r="AO77" s="361"/>
      <c r="AP77" s="287"/>
      <c r="AQ77" s="287"/>
      <c r="AR77" s="287"/>
      <c r="AS77" s="287"/>
      <c r="AT77" s="287"/>
      <c r="AU77" s="287"/>
      <c r="AV77" s="287"/>
      <c r="AW77" s="287"/>
      <c r="AX77" s="287"/>
      <c r="AY77" s="287"/>
      <c r="AZ77" s="287"/>
      <c r="BA77" s="287"/>
      <c r="BB77" s="287"/>
      <c r="BC77" s="287"/>
      <c r="BD77" s="287"/>
      <c r="BE77" s="287"/>
    </row>
    <row r="78" spans="6:57" ht="15.75" customHeight="1">
      <c r="N78" s="376"/>
      <c r="O78" s="377">
        <f t="shared" ref="O78:Z78" si="47">O8</f>
        <v>0</v>
      </c>
      <c r="P78" s="377">
        <f t="shared" si="47"/>
        <v>0</v>
      </c>
      <c r="Q78" s="377">
        <f t="shared" si="47"/>
        <v>0</v>
      </c>
      <c r="R78" s="377">
        <f t="shared" si="47"/>
        <v>0</v>
      </c>
      <c r="S78" s="377">
        <f t="shared" si="47"/>
        <v>0</v>
      </c>
      <c r="T78" s="377">
        <f t="shared" si="47"/>
        <v>0</v>
      </c>
      <c r="U78" s="377">
        <f t="shared" si="47"/>
        <v>0</v>
      </c>
      <c r="V78" s="377">
        <f t="shared" si="47"/>
        <v>0</v>
      </c>
      <c r="W78" s="377">
        <f t="shared" si="47"/>
        <v>0</v>
      </c>
      <c r="X78" s="377">
        <f t="shared" si="47"/>
        <v>0</v>
      </c>
      <c r="Y78" s="377">
        <f t="shared" si="47"/>
        <v>0</v>
      </c>
      <c r="Z78" s="378">
        <f t="shared" si="47"/>
        <v>4</v>
      </c>
      <c r="AA78" s="328"/>
      <c r="AB78" s="361"/>
      <c r="AC78" s="361"/>
      <c r="AD78" s="361"/>
      <c r="AE78" s="361"/>
      <c r="AF78" s="361"/>
      <c r="AG78" s="361"/>
      <c r="AH78" s="361"/>
      <c r="AI78" s="361"/>
      <c r="AJ78" s="361"/>
      <c r="AK78" s="361"/>
      <c r="AL78" s="361"/>
      <c r="AM78" s="361"/>
      <c r="AN78" s="361"/>
      <c r="AO78" s="361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287"/>
      <c r="BD78" s="287"/>
      <c r="BE78" s="287"/>
    </row>
    <row r="79" spans="6:57" ht="12" hidden="1" customHeight="1">
      <c r="N79" s="950" t="s">
        <v>269</v>
      </c>
      <c r="O79" s="944" t="e">
        <f>'Ratios &amp; Trend Analysis'!#REF!</f>
        <v>#REF!</v>
      </c>
      <c r="P79" s="944" t="e">
        <f>'Ratios &amp; Trend Analysis'!#REF!</f>
        <v>#REF!</v>
      </c>
      <c r="Q79" s="944" t="e">
        <f>'Ratios &amp; Trend Analysis'!#REF!</f>
        <v>#REF!</v>
      </c>
      <c r="R79" s="944" t="e">
        <f>'Ratios &amp; Trend Analysis'!#REF!</f>
        <v>#REF!</v>
      </c>
      <c r="S79" s="944" t="e">
        <f>'Ratios &amp; Trend Analysis'!#REF!</f>
        <v>#REF!</v>
      </c>
      <c r="T79" s="944" t="e">
        <f>'Ratios &amp; Trend Analysis'!#REF!</f>
        <v>#REF!</v>
      </c>
      <c r="U79" s="944" t="e">
        <f>'Ratios &amp; Trend Analysis'!#REF!</f>
        <v>#REF!</v>
      </c>
      <c r="V79" s="944" t="e">
        <f>'Ratios &amp; Trend Analysis'!#REF!</f>
        <v>#REF!</v>
      </c>
      <c r="W79" s="944" t="e">
        <f>'Ratios &amp; Trend Analysis'!#REF!</f>
        <v>#REF!</v>
      </c>
      <c r="X79" s="944" t="e">
        <f>'Ratios &amp; Trend Analysis'!#REF!</f>
        <v>#REF!</v>
      </c>
      <c r="Y79" s="944" t="e">
        <f>'Ratios &amp; Trend Analysis'!#REF!</f>
        <v>#REF!</v>
      </c>
      <c r="Z79" s="403" t="e">
        <f>'Ratios &amp; Trend Analysis'!#REF!</f>
        <v>#REF!</v>
      </c>
      <c r="AA79" s="404"/>
      <c r="AB79" s="361"/>
      <c r="AC79" s="361"/>
      <c r="AD79" s="361"/>
      <c r="AE79" s="361"/>
      <c r="AF79" s="361"/>
      <c r="AG79" s="361"/>
      <c r="AH79" s="361"/>
      <c r="AI79" s="361"/>
      <c r="AJ79" s="361"/>
      <c r="AK79" s="361"/>
      <c r="AL79" s="361"/>
      <c r="AM79" s="361"/>
      <c r="AN79" s="361"/>
      <c r="AO79" s="361"/>
      <c r="AP79" s="287"/>
      <c r="AQ79" s="287"/>
      <c r="AR79" s="287"/>
      <c r="AS79" s="287"/>
      <c r="AT79" s="287"/>
      <c r="AU79" s="287"/>
      <c r="AV79" s="287"/>
      <c r="AW79" s="287"/>
      <c r="AX79" s="287"/>
      <c r="AY79" s="287"/>
      <c r="AZ79" s="287"/>
      <c r="BA79" s="287"/>
      <c r="BB79" s="287"/>
      <c r="BC79" s="287"/>
      <c r="BD79" s="287"/>
      <c r="BE79" s="287"/>
    </row>
    <row r="80" spans="6:57" ht="16.5" hidden="1" customHeight="1" thickBot="1">
      <c r="K80" s="354"/>
      <c r="N80" s="950" t="s">
        <v>270</v>
      </c>
      <c r="O80" s="944" t="e">
        <f>'Ratios &amp; Trend Analysis'!#REF!</f>
        <v>#REF!</v>
      </c>
      <c r="P80" s="944" t="e">
        <f>'Ratios &amp; Trend Analysis'!#REF!</f>
        <v>#REF!</v>
      </c>
      <c r="Q80" s="944" t="e">
        <f>'Ratios &amp; Trend Analysis'!#REF!</f>
        <v>#REF!</v>
      </c>
      <c r="R80" s="944" t="e">
        <f>'Ratios &amp; Trend Analysis'!#REF!</f>
        <v>#REF!</v>
      </c>
      <c r="S80" s="944" t="e">
        <f>'Ratios &amp; Trend Analysis'!#REF!</f>
        <v>#REF!</v>
      </c>
      <c r="T80" s="944" t="e">
        <f>'Ratios &amp; Trend Analysis'!#REF!</f>
        <v>#REF!</v>
      </c>
      <c r="U80" s="944" t="e">
        <f>'Ratios &amp; Trend Analysis'!#REF!</f>
        <v>#REF!</v>
      </c>
      <c r="V80" s="944" t="e">
        <f>'Ratios &amp; Trend Analysis'!#REF!</f>
        <v>#REF!</v>
      </c>
      <c r="W80" s="944" t="e">
        <f>'Ratios &amp; Trend Analysis'!#REF!</f>
        <v>#REF!</v>
      </c>
      <c r="X80" s="944" t="e">
        <f>'Ratios &amp; Trend Analysis'!#REF!</f>
        <v>#REF!</v>
      </c>
      <c r="Y80" s="944" t="e">
        <f>'Ratios &amp; Trend Analysis'!#REF!</f>
        <v>#REF!</v>
      </c>
      <c r="Z80" s="403" t="e">
        <f>'Ratios &amp; Trend Analysis'!#REF!</f>
        <v>#REF!</v>
      </c>
      <c r="AA80" s="404"/>
      <c r="AB80" s="361"/>
      <c r="AC80" s="361"/>
      <c r="AD80" s="361"/>
      <c r="AE80" s="361"/>
      <c r="AF80" s="361"/>
      <c r="AG80" s="361"/>
      <c r="AH80" s="361"/>
      <c r="AI80" s="361"/>
      <c r="AJ80" s="361"/>
      <c r="AK80" s="361"/>
      <c r="AL80" s="361"/>
      <c r="AM80" s="361"/>
      <c r="AN80" s="361"/>
      <c r="AO80" s="361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</row>
    <row r="81" spans="11:57" ht="15" customHeight="1">
      <c r="K81" s="402"/>
      <c r="N81" s="935" t="s">
        <v>359</v>
      </c>
      <c r="O81" s="945" t="e">
        <f>'Ratios &amp; Trend Analysis'!I94</f>
        <v>#NAME?</v>
      </c>
      <c r="P81" s="945" t="e">
        <f>'Ratios &amp; Trend Analysis'!J94</f>
        <v>#NAME?</v>
      </c>
      <c r="Q81" s="945" t="e">
        <f>'Ratios &amp; Trend Analysis'!K94</f>
        <v>#NAME?</v>
      </c>
      <c r="R81" s="945" t="e">
        <f>'Ratios &amp; Trend Analysis'!L94</f>
        <v>#NAME?</v>
      </c>
      <c r="S81" s="945" t="e">
        <f>'Ratios &amp; Trend Analysis'!M94</f>
        <v>#NAME?</v>
      </c>
      <c r="T81" s="945" t="e">
        <f>'Ratios &amp; Trend Analysis'!N94</f>
        <v>#NAME?</v>
      </c>
      <c r="U81" s="945" t="e">
        <f>'Ratios &amp; Trend Analysis'!O94</f>
        <v>#NAME?</v>
      </c>
      <c r="V81" s="945" t="e">
        <f>'Ratios &amp; Trend Analysis'!P94</f>
        <v>#NAME?</v>
      </c>
      <c r="W81" s="945" t="e">
        <f>'Ratios &amp; Trend Analysis'!Q94</f>
        <v>#NAME?</v>
      </c>
      <c r="X81" s="945" t="e">
        <f>'Ratios &amp; Trend Analysis'!R94</f>
        <v>#NAME?</v>
      </c>
      <c r="Y81" s="945" t="e">
        <f>'Ratios &amp; Trend Analysis'!S94</f>
        <v>#NAME?</v>
      </c>
      <c r="Z81" s="951" t="e">
        <f>'Ratios &amp; Trend Analysis'!T94</f>
        <v>#NAME?</v>
      </c>
      <c r="AA81" s="405"/>
      <c r="AB81" s="361"/>
      <c r="AC81" s="361"/>
      <c r="AD81" s="361"/>
      <c r="AE81" s="361"/>
      <c r="AF81" s="361"/>
      <c r="AG81" s="361"/>
      <c r="AH81" s="361"/>
      <c r="AI81" s="361"/>
      <c r="AJ81" s="361"/>
      <c r="AK81" s="361"/>
      <c r="AL81" s="361"/>
      <c r="AM81" s="361"/>
      <c r="AN81" s="361"/>
      <c r="AO81" s="361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</row>
    <row r="82" spans="11:57" ht="15.75" hidden="1" customHeight="1">
      <c r="N82" s="935" t="s">
        <v>271</v>
      </c>
      <c r="O82" s="946" t="e">
        <f>'Ratios &amp; Trend Analysis'!#REF!</f>
        <v>#REF!</v>
      </c>
      <c r="P82" s="946" t="e">
        <f>'Ratios &amp; Trend Analysis'!#REF!</f>
        <v>#REF!</v>
      </c>
      <c r="Q82" s="946" t="e">
        <f>'Ratios &amp; Trend Analysis'!#REF!</f>
        <v>#REF!</v>
      </c>
      <c r="R82" s="946" t="e">
        <f>'Ratios &amp; Trend Analysis'!#REF!</f>
        <v>#REF!</v>
      </c>
      <c r="S82" s="946" t="e">
        <f>'Ratios &amp; Trend Analysis'!#REF!</f>
        <v>#REF!</v>
      </c>
      <c r="T82" s="946" t="e">
        <f>'Ratios &amp; Trend Analysis'!#REF!</f>
        <v>#REF!</v>
      </c>
      <c r="U82" s="946" t="e">
        <f>'Ratios &amp; Trend Analysis'!#REF!</f>
        <v>#REF!</v>
      </c>
      <c r="V82" s="946" t="e">
        <f>'Ratios &amp; Trend Analysis'!#REF!</f>
        <v>#REF!</v>
      </c>
      <c r="W82" s="946" t="e">
        <f>'Ratios &amp; Trend Analysis'!#REF!</f>
        <v>#REF!</v>
      </c>
      <c r="X82" s="946" t="e">
        <f>'Ratios &amp; Trend Analysis'!#REF!</f>
        <v>#REF!</v>
      </c>
      <c r="Y82" s="946" t="e">
        <f>'Ratios &amp; Trend Analysis'!#REF!</f>
        <v>#REF!</v>
      </c>
      <c r="Z82" s="406" t="e">
        <f>'Ratios &amp; Trend Analysis'!#REF!</f>
        <v>#REF!</v>
      </c>
      <c r="AA82" s="404"/>
      <c r="AB82" s="361"/>
      <c r="AC82" s="361"/>
      <c r="AD82" s="361"/>
      <c r="AE82" s="361"/>
      <c r="AF82" s="361"/>
      <c r="AG82" s="361"/>
      <c r="AH82" s="361"/>
      <c r="AI82" s="361"/>
      <c r="AJ82" s="361"/>
      <c r="AK82" s="361"/>
      <c r="AL82" s="361"/>
      <c r="AM82" s="361"/>
      <c r="AN82" s="361"/>
      <c r="AO82" s="361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</row>
    <row r="83" spans="11:57" ht="15" hidden="1" customHeight="1">
      <c r="N83" s="935" t="s">
        <v>272</v>
      </c>
      <c r="O83" s="947">
        <f>'Ratios &amp; Trend Analysis'!I56</f>
        <v>0</v>
      </c>
      <c r="P83" s="947">
        <f>'Ratios &amp; Trend Analysis'!J56</f>
        <v>0</v>
      </c>
      <c r="Q83" s="947">
        <f>'Ratios &amp; Trend Analysis'!K56</f>
        <v>0</v>
      </c>
      <c r="R83" s="947">
        <f>'Ratios &amp; Trend Analysis'!L56</f>
        <v>0</v>
      </c>
      <c r="S83" s="947">
        <f>'Ratios &amp; Trend Analysis'!M56</f>
        <v>0</v>
      </c>
      <c r="T83" s="947">
        <f>'Ratios &amp; Trend Analysis'!N56</f>
        <v>0</v>
      </c>
      <c r="U83" s="947">
        <f>'Ratios &amp; Trend Analysis'!O56</f>
        <v>0</v>
      </c>
      <c r="V83" s="947">
        <f>'Ratios &amp; Trend Analysis'!P56</f>
        <v>0</v>
      </c>
      <c r="W83" s="947">
        <f>'Ratios &amp; Trend Analysis'!Q56</f>
        <v>0</v>
      </c>
      <c r="X83" s="947">
        <f>'Ratios &amp; Trend Analysis'!R56</f>
        <v>0</v>
      </c>
      <c r="Y83" s="947">
        <f>'Ratios &amp; Trend Analysis'!S56</f>
        <v>0</v>
      </c>
      <c r="Z83" s="407">
        <f>'Ratios &amp; Trend Analysis'!T56</f>
        <v>0</v>
      </c>
      <c r="AA83" s="408"/>
      <c r="AB83" s="361"/>
      <c r="AC83" s="361"/>
      <c r="AD83" s="361"/>
      <c r="AE83" s="361"/>
      <c r="AF83" s="361"/>
      <c r="AG83" s="361"/>
      <c r="AH83" s="361"/>
      <c r="AI83" s="361"/>
      <c r="AJ83" s="361"/>
      <c r="AK83" s="361"/>
      <c r="AL83" s="361"/>
      <c r="AM83" s="361"/>
      <c r="AN83" s="361"/>
      <c r="AO83" s="361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</row>
    <row r="84" spans="11:57" ht="15" customHeight="1">
      <c r="N84" s="935" t="s">
        <v>360</v>
      </c>
      <c r="O84" s="948" t="e">
        <f ca="1">'Ratios &amp; Trend Analysis'!I96</f>
        <v>#NAME?</v>
      </c>
      <c r="P84" s="948" t="e">
        <f ca="1">'Ratios &amp; Trend Analysis'!J96</f>
        <v>#NAME?</v>
      </c>
      <c r="Q84" s="948" t="e">
        <f ca="1">'Ratios &amp; Trend Analysis'!K96</f>
        <v>#NAME?</v>
      </c>
      <c r="R84" s="948" t="e">
        <f ca="1">'Ratios &amp; Trend Analysis'!L96</f>
        <v>#NAME?</v>
      </c>
      <c r="S84" s="948" t="e">
        <f ca="1">'Ratios &amp; Trend Analysis'!M96</f>
        <v>#NAME?</v>
      </c>
      <c r="T84" s="948" t="e">
        <f ca="1">'Ratios &amp; Trend Analysis'!N96</f>
        <v>#NAME?</v>
      </c>
      <c r="U84" s="948" t="e">
        <f ca="1">'Ratios &amp; Trend Analysis'!O96</f>
        <v>#NAME?</v>
      </c>
      <c r="V84" s="948" t="e">
        <f ca="1">'Ratios &amp; Trend Analysis'!P96</f>
        <v>#NAME?</v>
      </c>
      <c r="W84" s="948" t="e">
        <f ca="1">'Ratios &amp; Trend Analysis'!Q96</f>
        <v>#NAME?</v>
      </c>
      <c r="X84" s="948" t="e">
        <f ca="1">'Ratios &amp; Trend Analysis'!R96</f>
        <v>#NAME?</v>
      </c>
      <c r="Y84" s="948" t="e">
        <f ca="1">'Ratios &amp; Trend Analysis'!S96</f>
        <v>#NAME?</v>
      </c>
      <c r="Z84" s="409" t="e">
        <f ca="1">'Ratios &amp; Trend Analysis'!T96</f>
        <v>#NAME?</v>
      </c>
      <c r="AA84" s="410"/>
      <c r="AB84" s="361"/>
      <c r="AC84" s="361"/>
      <c r="AD84" s="361"/>
      <c r="AE84" s="361"/>
      <c r="AF84" s="361"/>
      <c r="AG84" s="361"/>
      <c r="AH84" s="361"/>
      <c r="AI84" s="361"/>
      <c r="AJ84" s="361"/>
      <c r="AK84" s="361"/>
      <c r="AL84" s="361"/>
      <c r="AM84" s="361"/>
      <c r="AN84" s="361"/>
      <c r="AO84" s="361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</row>
    <row r="85" spans="11:57" ht="15" hidden="1" customHeight="1">
      <c r="N85" s="935" t="s">
        <v>273</v>
      </c>
      <c r="O85" s="932" t="e">
        <f ca="1">'Ratios &amp; Trend Analysis'!I58</f>
        <v>#NAME?</v>
      </c>
      <c r="P85" s="932" t="e">
        <f ca="1">'Ratios &amp; Trend Analysis'!J58</f>
        <v>#NAME?</v>
      </c>
      <c r="Q85" s="932" t="e">
        <f ca="1">'Ratios &amp; Trend Analysis'!K58</f>
        <v>#NAME?</v>
      </c>
      <c r="R85" s="932" t="e">
        <f ca="1">'Ratios &amp; Trend Analysis'!L58</f>
        <v>#NAME?</v>
      </c>
      <c r="S85" s="932" t="e">
        <f ca="1">'Ratios &amp; Trend Analysis'!M58</f>
        <v>#NAME?</v>
      </c>
      <c r="T85" s="932" t="e">
        <f ca="1">'Ratios &amp; Trend Analysis'!N58</f>
        <v>#NAME?</v>
      </c>
      <c r="U85" s="932" t="e">
        <f ca="1">'Ratios &amp; Trend Analysis'!O58</f>
        <v>#NAME?</v>
      </c>
      <c r="V85" s="932" t="e">
        <f ca="1">'Ratios &amp; Trend Analysis'!P58</f>
        <v>#NAME?</v>
      </c>
      <c r="W85" s="932" t="e">
        <f ca="1">'Ratios &amp; Trend Analysis'!Q58</f>
        <v>#NAME?</v>
      </c>
      <c r="X85" s="932" t="e">
        <f ca="1">'Ratios &amp; Trend Analysis'!R58</f>
        <v>#NAME?</v>
      </c>
      <c r="Y85" s="932" t="e">
        <f ca="1">'Ratios &amp; Trend Analysis'!S58</f>
        <v>#NAME?</v>
      </c>
      <c r="Z85" s="366" t="e">
        <f ca="1">'Ratios &amp; Trend Analysis'!T58</f>
        <v>#NAME?</v>
      </c>
      <c r="AA85" s="379"/>
      <c r="AB85" s="361"/>
      <c r="AC85" s="361"/>
      <c r="AD85" s="361"/>
      <c r="AE85" s="361"/>
      <c r="AF85" s="361"/>
      <c r="AG85" s="361"/>
      <c r="AH85" s="361"/>
      <c r="AI85" s="361"/>
      <c r="AJ85" s="361"/>
      <c r="AK85" s="361"/>
      <c r="AL85" s="361"/>
      <c r="AM85" s="361"/>
      <c r="AN85" s="361"/>
      <c r="AO85" s="361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</row>
    <row r="86" spans="11:57" ht="15" hidden="1" customHeight="1">
      <c r="N86" s="935" t="s">
        <v>65</v>
      </c>
      <c r="O86" s="932" t="e">
        <f ca="1">'Ratios &amp; Trend Analysis'!I59</f>
        <v>#NAME?</v>
      </c>
      <c r="P86" s="932" t="e">
        <f ca="1">'Ratios &amp; Trend Analysis'!J59</f>
        <v>#NAME?</v>
      </c>
      <c r="Q86" s="932" t="e">
        <f ca="1">'Ratios &amp; Trend Analysis'!K59</f>
        <v>#NAME?</v>
      </c>
      <c r="R86" s="932" t="e">
        <f ca="1">'Ratios &amp; Trend Analysis'!L59</f>
        <v>#NAME?</v>
      </c>
      <c r="S86" s="932" t="e">
        <f ca="1">'Ratios &amp; Trend Analysis'!M59</f>
        <v>#NAME?</v>
      </c>
      <c r="T86" s="932" t="e">
        <f ca="1">'Ratios &amp; Trend Analysis'!N59</f>
        <v>#NAME?</v>
      </c>
      <c r="U86" s="932" t="e">
        <f ca="1">'Ratios &amp; Trend Analysis'!O59</f>
        <v>#NAME?</v>
      </c>
      <c r="V86" s="932" t="e">
        <f ca="1">'Ratios &amp; Trend Analysis'!P59</f>
        <v>#NAME?</v>
      </c>
      <c r="W86" s="932" t="e">
        <f ca="1">'Ratios &amp; Trend Analysis'!Q59</f>
        <v>#NAME?</v>
      </c>
      <c r="X86" s="932" t="e">
        <f ca="1">'Ratios &amp; Trend Analysis'!R59</f>
        <v>#NAME?</v>
      </c>
      <c r="Y86" s="932" t="e">
        <f ca="1">'Ratios &amp; Trend Analysis'!S59</f>
        <v>#NAME?</v>
      </c>
      <c r="Z86" s="366" t="e">
        <f ca="1">'Ratios &amp; Trend Analysis'!T59</f>
        <v>#NAME?</v>
      </c>
      <c r="AA86" s="379"/>
      <c r="AB86" s="361"/>
      <c r="AC86" s="361"/>
      <c r="AD86" s="361"/>
      <c r="AE86" s="361"/>
      <c r="AF86" s="361"/>
      <c r="AG86" s="361"/>
      <c r="AH86" s="361"/>
      <c r="AI86" s="361"/>
      <c r="AJ86" s="361"/>
      <c r="AK86" s="361"/>
      <c r="AL86" s="361"/>
      <c r="AM86" s="361"/>
      <c r="AN86" s="361"/>
      <c r="AO86" s="361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</row>
    <row r="87" spans="11:57" ht="15" customHeight="1">
      <c r="N87" s="935" t="s">
        <v>274</v>
      </c>
      <c r="O87" s="933" t="e">
        <f ca="1">'Ratios &amp; Trend Analysis'!I97</f>
        <v>#NAME?</v>
      </c>
      <c r="P87" s="933" t="e">
        <f ca="1">'Ratios &amp; Trend Analysis'!J97</f>
        <v>#NAME?</v>
      </c>
      <c r="Q87" s="933" t="e">
        <f ca="1">'Ratios &amp; Trend Analysis'!K97</f>
        <v>#NAME?</v>
      </c>
      <c r="R87" s="933" t="e">
        <f ca="1">'Ratios &amp; Trend Analysis'!L97</f>
        <v>#NAME?</v>
      </c>
      <c r="S87" s="933" t="e">
        <f ca="1">'Ratios &amp; Trend Analysis'!M97</f>
        <v>#NAME?</v>
      </c>
      <c r="T87" s="933" t="e">
        <f ca="1">'Ratios &amp; Trend Analysis'!N97</f>
        <v>#NAME?</v>
      </c>
      <c r="U87" s="933" t="e">
        <f ca="1">'Ratios &amp; Trend Analysis'!O97</f>
        <v>#NAME?</v>
      </c>
      <c r="V87" s="933" t="e">
        <f ca="1">'Ratios &amp; Trend Analysis'!P97</f>
        <v>#NAME?</v>
      </c>
      <c r="W87" s="933" t="e">
        <f ca="1">'Ratios &amp; Trend Analysis'!Q97</f>
        <v>#NAME?</v>
      </c>
      <c r="X87" s="933" t="e">
        <f ca="1">'Ratios &amp; Trend Analysis'!R97</f>
        <v>#NAME?</v>
      </c>
      <c r="Y87" s="933" t="e">
        <f ca="1">'Ratios &amp; Trend Analysis'!S97</f>
        <v>#NAME?</v>
      </c>
      <c r="Z87" s="368" t="e">
        <f ca="1">'Ratios &amp; Trend Analysis'!T97</f>
        <v>#NAME?</v>
      </c>
      <c r="AA87" s="369"/>
      <c r="AB87" s="361"/>
      <c r="AC87" s="361"/>
      <c r="AD87" s="361"/>
      <c r="AE87" s="361"/>
      <c r="AF87" s="361"/>
      <c r="AG87" s="361"/>
      <c r="AH87" s="361"/>
      <c r="AI87" s="361"/>
      <c r="AJ87" s="361"/>
      <c r="AK87" s="361"/>
      <c r="AL87" s="361"/>
      <c r="AM87" s="361"/>
      <c r="AN87" s="361"/>
      <c r="AO87" s="361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</row>
    <row r="88" spans="11:57" ht="15" customHeight="1">
      <c r="N88" s="935" t="s">
        <v>275</v>
      </c>
      <c r="O88" s="946">
        <f>'Ratios &amp; Trend Analysis'!I89</f>
        <v>0</v>
      </c>
      <c r="P88" s="946">
        <f>'Ratios &amp; Trend Analysis'!J89</f>
        <v>0</v>
      </c>
      <c r="Q88" s="946">
        <f>'Ratios &amp; Trend Analysis'!K89</f>
        <v>0</v>
      </c>
      <c r="R88" s="946">
        <f>'Ratios &amp; Trend Analysis'!L89</f>
        <v>0</v>
      </c>
      <c r="S88" s="946">
        <f>'Ratios &amp; Trend Analysis'!M89</f>
        <v>0</v>
      </c>
      <c r="T88" s="946">
        <f>'Ratios &amp; Trend Analysis'!N89</f>
        <v>0</v>
      </c>
      <c r="U88" s="946">
        <f>'Ratios &amp; Trend Analysis'!O89</f>
        <v>0</v>
      </c>
      <c r="V88" s="946">
        <f>'Ratios &amp; Trend Analysis'!P89</f>
        <v>0</v>
      </c>
      <c r="W88" s="946">
        <f>'Ratios &amp; Trend Analysis'!Q89</f>
        <v>0</v>
      </c>
      <c r="X88" s="946">
        <f>'Ratios &amp; Trend Analysis'!R89</f>
        <v>0</v>
      </c>
      <c r="Y88" s="946">
        <f>'Ratios &amp; Trend Analysis'!S89</f>
        <v>0</v>
      </c>
      <c r="Z88" s="406">
        <f>'Ratios &amp; Trend Analysis'!T89</f>
        <v>0</v>
      </c>
      <c r="AA88" s="404"/>
      <c r="AB88" s="361"/>
      <c r="AC88" s="361"/>
      <c r="AD88" s="361"/>
      <c r="AE88" s="361"/>
      <c r="AF88" s="361"/>
      <c r="AG88" s="361"/>
      <c r="AH88" s="361"/>
      <c r="AI88" s="361"/>
      <c r="AJ88" s="361"/>
      <c r="AK88" s="361"/>
      <c r="AL88" s="361"/>
      <c r="AM88" s="361"/>
      <c r="AN88" s="361"/>
      <c r="AO88" s="361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</row>
    <row r="89" spans="11:57" ht="15" customHeight="1">
      <c r="N89" s="943" t="s">
        <v>2</v>
      </c>
      <c r="O89" s="931" t="e">
        <f ca="1">'Ratios &amp; Trend Analysis'!I101</f>
        <v>#NAME?</v>
      </c>
      <c r="P89" s="931" t="e">
        <f ca="1">'Ratios &amp; Trend Analysis'!J101</f>
        <v>#NAME?</v>
      </c>
      <c r="Q89" s="931" t="e">
        <f ca="1">'Ratios &amp; Trend Analysis'!K101</f>
        <v>#NAME?</v>
      </c>
      <c r="R89" s="931" t="e">
        <f ca="1">'Ratios &amp; Trend Analysis'!L101</f>
        <v>#NAME?</v>
      </c>
      <c r="S89" s="931" t="e">
        <f ca="1">'Ratios &amp; Trend Analysis'!M101</f>
        <v>#NAME?</v>
      </c>
      <c r="T89" s="931" t="e">
        <f ca="1">'Ratios &amp; Trend Analysis'!N101</f>
        <v>#NAME?</v>
      </c>
      <c r="U89" s="931" t="e">
        <f ca="1">'Ratios &amp; Trend Analysis'!O101</f>
        <v>#NAME?</v>
      </c>
      <c r="V89" s="931" t="e">
        <f ca="1">'Ratios &amp; Trend Analysis'!P101</f>
        <v>#NAME?</v>
      </c>
      <c r="W89" s="931" t="e">
        <f ca="1">'Ratios &amp; Trend Analysis'!Q101</f>
        <v>#NAME?</v>
      </c>
      <c r="X89" s="931" t="e">
        <f ca="1">'Ratios &amp; Trend Analysis'!R101</f>
        <v>#NAME?</v>
      </c>
      <c r="Y89" s="931" t="e">
        <f ca="1">'Ratios &amp; Trend Analysis'!S101</f>
        <v>#NAME?</v>
      </c>
      <c r="Z89" s="363" t="e">
        <f ca="1">'Ratios &amp; Trend Analysis'!T101</f>
        <v>#NAME?</v>
      </c>
      <c r="AA89" s="369"/>
      <c r="AB89" s="361"/>
      <c r="AC89" s="361"/>
      <c r="AD89" s="361"/>
      <c r="AE89" s="361"/>
      <c r="AF89" s="361"/>
      <c r="AG89" s="361"/>
      <c r="AH89" s="361"/>
      <c r="AI89" s="361"/>
      <c r="AJ89" s="361"/>
      <c r="AK89" s="361"/>
      <c r="AL89" s="361"/>
      <c r="AM89" s="361"/>
      <c r="AN89" s="361"/>
      <c r="AO89" s="361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</row>
    <row r="90" spans="11:57" ht="15" customHeight="1">
      <c r="L90" s="287"/>
      <c r="M90" s="287"/>
      <c r="N90" s="943" t="s">
        <v>276</v>
      </c>
      <c r="O90" s="931" t="e">
        <f ca="1">'Ratios &amp; Trend Analysis'!I104</f>
        <v>#NAME?</v>
      </c>
      <c r="P90" s="931" t="e">
        <f ca="1">'Ratios &amp; Trend Analysis'!J104</f>
        <v>#NAME?</v>
      </c>
      <c r="Q90" s="931" t="e">
        <f ca="1">'Ratios &amp; Trend Analysis'!K104</f>
        <v>#NAME?</v>
      </c>
      <c r="R90" s="931" t="e">
        <f ca="1">'Ratios &amp; Trend Analysis'!L104</f>
        <v>#NAME?</v>
      </c>
      <c r="S90" s="931" t="e">
        <f ca="1">'Ratios &amp; Trend Analysis'!M104</f>
        <v>#NAME?</v>
      </c>
      <c r="T90" s="931" t="e">
        <f ca="1">'Ratios &amp; Trend Analysis'!N104</f>
        <v>#NAME?</v>
      </c>
      <c r="U90" s="931" t="e">
        <f ca="1">'Ratios &amp; Trend Analysis'!O104</f>
        <v>#NAME?</v>
      </c>
      <c r="V90" s="931" t="e">
        <f ca="1">'Ratios &amp; Trend Analysis'!P104</f>
        <v>#NAME?</v>
      </c>
      <c r="W90" s="931" t="e">
        <f ca="1">'Ratios &amp; Trend Analysis'!Q104</f>
        <v>#NAME?</v>
      </c>
      <c r="X90" s="931" t="e">
        <f ca="1">'Ratios &amp; Trend Analysis'!R104</f>
        <v>#NAME?</v>
      </c>
      <c r="Y90" s="931" t="e">
        <f ca="1">'Ratios &amp; Trend Analysis'!S104</f>
        <v>#NAME?</v>
      </c>
      <c r="Z90" s="363" t="e">
        <f ca="1">'Ratios &amp; Trend Analysis'!T104</f>
        <v>#NAME?</v>
      </c>
      <c r="AA90" s="369"/>
      <c r="AB90" s="361"/>
      <c r="AC90" s="361"/>
      <c r="AD90" s="361"/>
      <c r="AE90" s="361"/>
      <c r="AF90" s="361"/>
      <c r="AG90" s="361"/>
      <c r="AH90" s="361"/>
      <c r="AI90" s="361"/>
      <c r="AJ90" s="361"/>
      <c r="AK90" s="361"/>
      <c r="AL90" s="361"/>
      <c r="AM90" s="361"/>
      <c r="AN90" s="361"/>
      <c r="AO90" s="361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</row>
    <row r="91" spans="11:57" ht="15" customHeight="1">
      <c r="L91" s="287"/>
      <c r="M91" s="287"/>
      <c r="N91" s="943" t="s">
        <v>277</v>
      </c>
      <c r="O91" s="931" t="e">
        <f ca="1">'Ratios &amp; Trend Analysis'!I102</f>
        <v>#NAME?</v>
      </c>
      <c r="P91" s="931" t="e">
        <f ca="1">'Ratios &amp; Trend Analysis'!J102</f>
        <v>#NAME?</v>
      </c>
      <c r="Q91" s="931" t="e">
        <f ca="1">'Ratios &amp; Trend Analysis'!K102</f>
        <v>#NAME?</v>
      </c>
      <c r="R91" s="931" t="e">
        <f ca="1">'Ratios &amp; Trend Analysis'!L102</f>
        <v>#NAME?</v>
      </c>
      <c r="S91" s="931" t="e">
        <f ca="1">'Ratios &amp; Trend Analysis'!M102</f>
        <v>#NAME?</v>
      </c>
      <c r="T91" s="931" t="e">
        <f ca="1">'Ratios &amp; Trend Analysis'!N102</f>
        <v>#NAME?</v>
      </c>
      <c r="U91" s="931" t="e">
        <f ca="1">'Ratios &amp; Trend Analysis'!O102</f>
        <v>#NAME?</v>
      </c>
      <c r="V91" s="931" t="e">
        <f ca="1">'Ratios &amp; Trend Analysis'!P102</f>
        <v>#NAME?</v>
      </c>
      <c r="W91" s="931" t="e">
        <f ca="1">'Ratios &amp; Trend Analysis'!Q102</f>
        <v>#NAME?</v>
      </c>
      <c r="X91" s="931" t="e">
        <f ca="1">'Ratios &amp; Trend Analysis'!R102</f>
        <v>#NAME?</v>
      </c>
      <c r="Y91" s="931" t="e">
        <f ca="1">'Ratios &amp; Trend Analysis'!S102</f>
        <v>#NAME?</v>
      </c>
      <c r="Z91" s="363" t="e">
        <f ca="1">'Ratios &amp; Trend Analysis'!T102</f>
        <v>#NAME?</v>
      </c>
      <c r="AA91" s="369"/>
      <c r="AB91" s="361"/>
      <c r="AC91" s="361"/>
      <c r="AD91" s="361"/>
      <c r="AE91" s="361"/>
      <c r="AF91" s="361"/>
      <c r="AG91" s="361"/>
      <c r="AH91" s="361"/>
      <c r="AI91" s="361"/>
      <c r="AJ91" s="361"/>
      <c r="AK91" s="361"/>
      <c r="AL91" s="361"/>
      <c r="AM91" s="361"/>
      <c r="AN91" s="361"/>
      <c r="AO91" s="361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</row>
    <row r="92" spans="11:57" ht="15" customHeight="1">
      <c r="L92" s="287"/>
      <c r="M92" s="287"/>
      <c r="N92" s="943" t="s">
        <v>278</v>
      </c>
      <c r="O92" s="931" t="e">
        <f ca="1">'Ratios &amp; Trend Analysis'!I103</f>
        <v>#NAME?</v>
      </c>
      <c r="P92" s="931" t="e">
        <f ca="1">'Ratios &amp; Trend Analysis'!J103</f>
        <v>#NAME?</v>
      </c>
      <c r="Q92" s="931" t="e">
        <f ca="1">'Ratios &amp; Trend Analysis'!K103</f>
        <v>#NAME?</v>
      </c>
      <c r="R92" s="931" t="e">
        <f ca="1">'Ratios &amp; Trend Analysis'!L103</f>
        <v>#NAME?</v>
      </c>
      <c r="S92" s="931" t="e">
        <f ca="1">'Ratios &amp; Trend Analysis'!M103</f>
        <v>#NAME?</v>
      </c>
      <c r="T92" s="931" t="e">
        <f ca="1">'Ratios &amp; Trend Analysis'!N103</f>
        <v>#NAME?</v>
      </c>
      <c r="U92" s="931" t="e">
        <f ca="1">'Ratios &amp; Trend Analysis'!O103</f>
        <v>#NAME?</v>
      </c>
      <c r="V92" s="931" t="e">
        <f ca="1">'Ratios &amp; Trend Analysis'!P103</f>
        <v>#NAME?</v>
      </c>
      <c r="W92" s="931" t="e">
        <f ca="1">'Ratios &amp; Trend Analysis'!Q103</f>
        <v>#NAME?</v>
      </c>
      <c r="X92" s="931" t="e">
        <f ca="1">'Ratios &amp; Trend Analysis'!R103</f>
        <v>#NAME?</v>
      </c>
      <c r="Y92" s="931" t="e">
        <f ca="1">'Ratios &amp; Trend Analysis'!S103</f>
        <v>#NAME?</v>
      </c>
      <c r="Z92" s="363" t="e">
        <f ca="1">'Ratios &amp; Trend Analysis'!T103</f>
        <v>#NAME?</v>
      </c>
      <c r="AA92" s="369"/>
      <c r="AB92" s="361"/>
      <c r="AC92" s="361"/>
      <c r="AD92" s="361"/>
      <c r="AE92" s="361"/>
      <c r="AF92" s="361"/>
      <c r="AG92" s="361"/>
      <c r="AH92" s="361"/>
      <c r="AI92" s="361"/>
      <c r="AJ92" s="361"/>
      <c r="AK92" s="361"/>
      <c r="AL92" s="361"/>
      <c r="AM92" s="361"/>
      <c r="AN92" s="361"/>
      <c r="AO92" s="361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</row>
    <row r="93" spans="11:57" ht="15" customHeight="1">
      <c r="L93" s="287"/>
      <c r="M93" s="287"/>
      <c r="N93" s="943" t="s">
        <v>361</v>
      </c>
      <c r="O93" s="949" t="e">
        <f ca="1">'Ratios &amp; Trend Analysis'!I98</f>
        <v>#NAME?</v>
      </c>
      <c r="P93" s="949" t="e">
        <f ca="1">'Ratios &amp; Trend Analysis'!J98</f>
        <v>#NAME?</v>
      </c>
      <c r="Q93" s="949" t="e">
        <f ca="1">'Ratios &amp; Trend Analysis'!K98</f>
        <v>#NAME?</v>
      </c>
      <c r="R93" s="949" t="e">
        <f ca="1">'Ratios &amp; Trend Analysis'!L98</f>
        <v>#NAME?</v>
      </c>
      <c r="S93" s="949" t="e">
        <f ca="1">'Ratios &amp; Trend Analysis'!M98</f>
        <v>#NAME?</v>
      </c>
      <c r="T93" s="949" t="e">
        <f ca="1">'Ratios &amp; Trend Analysis'!N98</f>
        <v>#NAME?</v>
      </c>
      <c r="U93" s="949" t="e">
        <f ca="1">'Ratios &amp; Trend Analysis'!O98</f>
        <v>#NAME?</v>
      </c>
      <c r="V93" s="949" t="e">
        <f ca="1">'Ratios &amp; Trend Analysis'!P98</f>
        <v>#NAME?</v>
      </c>
      <c r="W93" s="949" t="e">
        <f ca="1">'Ratios &amp; Trend Analysis'!Q98</f>
        <v>#NAME?</v>
      </c>
      <c r="X93" s="949" t="e">
        <f ca="1">'Ratios &amp; Trend Analysis'!R98</f>
        <v>#NAME?</v>
      </c>
      <c r="Y93" s="949" t="e">
        <f ca="1">'Ratios &amp; Trend Analysis'!S98</f>
        <v>#NAME?</v>
      </c>
      <c r="Z93" s="411" t="e">
        <f ca="1">'Ratios &amp; Trend Analysis'!T98</f>
        <v>#NAME?</v>
      </c>
      <c r="AA93" s="369"/>
      <c r="AB93" s="361"/>
      <c r="AC93" s="361"/>
      <c r="AD93" s="361"/>
      <c r="AE93" s="361"/>
      <c r="AF93" s="361"/>
      <c r="AG93" s="361"/>
      <c r="AH93" s="361"/>
      <c r="AI93" s="361"/>
      <c r="AJ93" s="361"/>
      <c r="AK93" s="361"/>
      <c r="AL93" s="361"/>
      <c r="AM93" s="361"/>
      <c r="AN93" s="361"/>
      <c r="AO93" s="361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</row>
    <row r="94" spans="11:57" ht="15.75" customHeight="1" thickBot="1">
      <c r="L94" s="287"/>
      <c r="M94" s="287"/>
      <c r="N94" s="370" t="s">
        <v>280</v>
      </c>
      <c r="O94" s="952" t="e">
        <f ca="1">'Ratios &amp; Trend Analysis'!I99</f>
        <v>#VALUE!</v>
      </c>
      <c r="P94" s="952" t="e">
        <f ca="1">'Ratios &amp; Trend Analysis'!J99</f>
        <v>#VALUE!</v>
      </c>
      <c r="Q94" s="952" t="e">
        <f ca="1">'Ratios &amp; Trend Analysis'!K99</f>
        <v>#VALUE!</v>
      </c>
      <c r="R94" s="952" t="e">
        <f ca="1">'Ratios &amp; Trend Analysis'!L99</f>
        <v>#VALUE!</v>
      </c>
      <c r="S94" s="952" t="e">
        <f ca="1">'Ratios &amp; Trend Analysis'!M99</f>
        <v>#VALUE!</v>
      </c>
      <c r="T94" s="952" t="e">
        <f ca="1">'Ratios &amp; Trend Analysis'!N99</f>
        <v>#VALUE!</v>
      </c>
      <c r="U94" s="952" t="e">
        <f ca="1">'Ratios &amp; Trend Analysis'!O99</f>
        <v>#VALUE!</v>
      </c>
      <c r="V94" s="952" t="e">
        <f ca="1">'Ratios &amp; Trend Analysis'!P99</f>
        <v>#VALUE!</v>
      </c>
      <c r="W94" s="952" t="e">
        <f ca="1">'Ratios &amp; Trend Analysis'!Q99</f>
        <v>#VALUE!</v>
      </c>
      <c r="X94" s="952" t="e">
        <f ca="1">'Ratios &amp; Trend Analysis'!R99</f>
        <v>#VALUE!</v>
      </c>
      <c r="Y94" s="952" t="e">
        <f ca="1">'Ratios &amp; Trend Analysis'!S99</f>
        <v>#VALUE!</v>
      </c>
      <c r="Z94" s="412" t="e">
        <f ca="1">'Ratios &amp; Trend Analysis'!T99</f>
        <v>#NAME?</v>
      </c>
      <c r="AA94" s="379"/>
      <c r="AB94" s="361"/>
      <c r="AC94" s="361"/>
      <c r="AD94" s="361"/>
      <c r="AE94" s="361"/>
      <c r="AF94" s="361"/>
      <c r="AG94" s="361"/>
      <c r="AH94" s="361"/>
      <c r="AI94" s="361"/>
      <c r="AJ94" s="361"/>
      <c r="AK94" s="361"/>
      <c r="AL94" s="361"/>
      <c r="AM94" s="361"/>
      <c r="AN94" s="361"/>
      <c r="AO94" s="361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</row>
    <row r="95" spans="11:57" ht="15" customHeight="1">
      <c r="K95" s="287"/>
      <c r="L95" s="287"/>
      <c r="M95" s="287"/>
      <c r="AB95" s="361"/>
      <c r="AC95" s="361"/>
      <c r="AD95" s="361"/>
      <c r="AE95" s="361"/>
      <c r="AF95" s="361"/>
      <c r="AG95" s="361"/>
      <c r="AH95" s="361"/>
      <c r="AI95" s="361"/>
      <c r="AJ95" s="361"/>
      <c r="AK95" s="361"/>
      <c r="AL95" s="361"/>
      <c r="AM95" s="361"/>
      <c r="AN95" s="361"/>
      <c r="AO95" s="361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</row>
    <row r="96" spans="11:57" ht="15.75">
      <c r="K96" s="287"/>
      <c r="L96" s="354" t="s">
        <v>362</v>
      </c>
      <c r="M96" s="354"/>
      <c r="N96" s="385"/>
      <c r="O96" s="364"/>
      <c r="P96" s="364"/>
      <c r="Q96" s="364"/>
      <c r="R96" s="364"/>
      <c r="S96" s="364"/>
      <c r="T96" s="364"/>
      <c r="U96" s="364"/>
      <c r="X96" s="293" t="s">
        <v>336</v>
      </c>
      <c r="Y96" s="355"/>
      <c r="Z96" s="364"/>
      <c r="AB96" s="361"/>
      <c r="AC96" s="361"/>
      <c r="AD96" s="361"/>
      <c r="AE96" s="361"/>
      <c r="AF96" s="361"/>
      <c r="AG96" s="361"/>
      <c r="AH96" s="361"/>
      <c r="AI96" s="361"/>
      <c r="AJ96" s="361"/>
      <c r="AK96" s="361"/>
      <c r="AL96" s="361"/>
      <c r="AM96" s="361"/>
      <c r="AN96" s="361"/>
      <c r="AO96" s="361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</row>
    <row r="97" spans="11:57" ht="15.75" customHeight="1" thickBot="1">
      <c r="K97" s="287"/>
      <c r="N97" s="289"/>
      <c r="O97" s="289"/>
      <c r="P97" s="289"/>
      <c r="Q97" s="289"/>
      <c r="R97" s="289"/>
      <c r="S97" s="289"/>
      <c r="T97" s="289"/>
      <c r="U97" s="289"/>
      <c r="V97" s="385"/>
      <c r="W97" s="289"/>
      <c r="X97" s="289"/>
      <c r="Y97" s="289"/>
      <c r="Z97" s="289"/>
      <c r="AB97" s="361"/>
      <c r="AC97" s="361"/>
      <c r="AD97" s="361"/>
      <c r="AE97" s="361"/>
      <c r="AF97" s="361"/>
      <c r="AG97" s="361"/>
      <c r="AH97" s="361"/>
      <c r="AI97" s="361"/>
      <c r="AJ97" s="361"/>
      <c r="AK97" s="361"/>
      <c r="AL97" s="361"/>
      <c r="AM97" s="361"/>
      <c r="AN97" s="361"/>
      <c r="AO97" s="361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</row>
    <row r="98" spans="11:57" ht="15" customHeight="1">
      <c r="K98" s="287"/>
      <c r="N98" s="376"/>
      <c r="O98" s="377">
        <f t="shared" ref="O98:Z98" si="48">O8</f>
        <v>0</v>
      </c>
      <c r="P98" s="377">
        <f t="shared" si="48"/>
        <v>0</v>
      </c>
      <c r="Q98" s="377">
        <f t="shared" si="48"/>
        <v>0</v>
      </c>
      <c r="R98" s="377">
        <f t="shared" si="48"/>
        <v>0</v>
      </c>
      <c r="S98" s="377">
        <f t="shared" si="48"/>
        <v>0</v>
      </c>
      <c r="T98" s="377">
        <f t="shared" si="48"/>
        <v>0</v>
      </c>
      <c r="U98" s="377">
        <f t="shared" si="48"/>
        <v>0</v>
      </c>
      <c r="V98" s="377">
        <f t="shared" si="48"/>
        <v>0</v>
      </c>
      <c r="W98" s="377">
        <f t="shared" si="48"/>
        <v>0</v>
      </c>
      <c r="X98" s="377">
        <f t="shared" si="48"/>
        <v>0</v>
      </c>
      <c r="Y98" s="377">
        <f t="shared" si="48"/>
        <v>0</v>
      </c>
      <c r="Z98" s="378">
        <f t="shared" si="48"/>
        <v>4</v>
      </c>
      <c r="AB98" s="361"/>
      <c r="AC98" s="361"/>
      <c r="AD98" s="361"/>
      <c r="AE98" s="361"/>
      <c r="AF98" s="361"/>
      <c r="AG98" s="361"/>
      <c r="AH98" s="361"/>
      <c r="AI98" s="361"/>
      <c r="AJ98" s="361"/>
      <c r="AK98" s="361"/>
      <c r="AL98" s="361"/>
      <c r="AM98" s="361"/>
      <c r="AN98" s="361"/>
      <c r="AO98" s="361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287"/>
      <c r="BD98" s="287"/>
      <c r="BE98" s="287"/>
    </row>
    <row r="99" spans="11:57" ht="15.75" customHeight="1" thickBot="1">
      <c r="N99" s="370" t="s">
        <v>363</v>
      </c>
      <c r="O99" s="395"/>
      <c r="P99" s="395"/>
      <c r="Q99" s="395"/>
      <c r="R99" s="395"/>
      <c r="S99" s="395"/>
      <c r="T99" s="395"/>
      <c r="U99" s="395"/>
      <c r="V99" s="395"/>
      <c r="W99" s="395"/>
      <c r="X99" s="395"/>
      <c r="Y99" s="395"/>
      <c r="Z99" s="396"/>
      <c r="AB99" s="361"/>
      <c r="AC99" s="361"/>
      <c r="AD99" s="361"/>
      <c r="AE99" s="361"/>
      <c r="AF99" s="361"/>
      <c r="AG99" s="361"/>
      <c r="AH99" s="361"/>
      <c r="AI99" s="361"/>
      <c r="AJ99" s="361"/>
      <c r="AK99" s="361"/>
      <c r="AL99" s="361"/>
      <c r="AM99" s="361"/>
      <c r="AN99" s="361"/>
      <c r="AO99" s="361"/>
    </row>
    <row r="100" spans="11:57">
      <c r="AB100" s="361"/>
      <c r="AC100" s="361"/>
      <c r="AD100" s="361"/>
      <c r="AE100" s="361"/>
      <c r="AF100" s="361"/>
      <c r="AG100" s="361"/>
      <c r="AH100" s="361"/>
      <c r="AI100" s="361"/>
      <c r="AJ100" s="361"/>
      <c r="AK100" s="361"/>
      <c r="AL100" s="361"/>
      <c r="AM100" s="361"/>
      <c r="AN100" s="361"/>
      <c r="AO100" s="361"/>
    </row>
    <row r="101" spans="11:57">
      <c r="AB101" s="361"/>
      <c r="AC101" s="361"/>
      <c r="AD101" s="361"/>
      <c r="AE101" s="361"/>
      <c r="AF101" s="361"/>
      <c r="AG101" s="361"/>
      <c r="AH101" s="361"/>
      <c r="AI101" s="361"/>
      <c r="AJ101" s="361"/>
      <c r="AK101" s="361"/>
      <c r="AL101" s="361"/>
      <c r="AM101" s="361"/>
      <c r="AN101" s="361"/>
      <c r="AO101" s="361"/>
    </row>
    <row r="102" spans="11:57">
      <c r="O102" s="353"/>
      <c r="P102" s="353"/>
      <c r="Q102" s="353"/>
      <c r="R102" s="353"/>
      <c r="S102" s="353"/>
      <c r="T102" s="353"/>
      <c r="U102" s="353"/>
      <c r="V102" s="353"/>
      <c r="W102" s="353"/>
      <c r="X102" s="353"/>
      <c r="Y102" s="353"/>
      <c r="Z102" s="353"/>
      <c r="AB102" s="361"/>
      <c r="AC102" s="361"/>
      <c r="AD102" s="361"/>
      <c r="AE102" s="361"/>
      <c r="AF102" s="361"/>
      <c r="AG102" s="361"/>
      <c r="AH102" s="361"/>
      <c r="AI102" s="361"/>
      <c r="AJ102" s="361"/>
      <c r="AK102" s="361"/>
      <c r="AL102" s="361"/>
      <c r="AM102" s="361"/>
      <c r="AN102" s="361"/>
      <c r="AO102" s="361"/>
    </row>
    <row r="103" spans="11:57">
      <c r="O103" s="353"/>
      <c r="P103" s="353"/>
      <c r="Q103" s="353"/>
      <c r="R103" s="353"/>
      <c r="S103" s="353"/>
      <c r="T103" s="353"/>
      <c r="U103" s="353"/>
      <c r="V103" s="353"/>
      <c r="W103" s="353"/>
      <c r="X103" s="353"/>
      <c r="Y103" s="353"/>
      <c r="Z103" s="353"/>
      <c r="AB103" s="361"/>
      <c r="AC103" s="361"/>
      <c r="AD103" s="361"/>
      <c r="AE103" s="361"/>
      <c r="AF103" s="361"/>
      <c r="AG103" s="361"/>
      <c r="AH103" s="361"/>
      <c r="AI103" s="361"/>
      <c r="AJ103" s="361"/>
      <c r="AK103" s="361"/>
      <c r="AL103" s="361"/>
      <c r="AM103" s="361"/>
      <c r="AN103" s="361"/>
      <c r="AO103" s="361"/>
    </row>
    <row r="104" spans="11:57">
      <c r="K104" s="287"/>
      <c r="L104" s="287"/>
      <c r="M104" s="287"/>
      <c r="O104" s="372"/>
      <c r="P104" s="372"/>
      <c r="Q104" s="372"/>
      <c r="R104" s="372"/>
      <c r="S104" s="372"/>
      <c r="T104" s="372"/>
      <c r="U104" s="372"/>
      <c r="V104" s="372"/>
      <c r="W104" s="372"/>
      <c r="X104" s="372"/>
      <c r="Y104" s="372"/>
      <c r="Z104" s="372"/>
      <c r="AB104" s="361"/>
      <c r="AC104" s="361"/>
      <c r="AD104" s="361"/>
      <c r="AE104" s="361"/>
      <c r="AF104" s="361"/>
      <c r="AG104" s="361"/>
      <c r="AH104" s="361"/>
      <c r="AI104" s="361"/>
      <c r="AJ104" s="361"/>
      <c r="AK104" s="361"/>
      <c r="AL104" s="361"/>
      <c r="AM104" s="361"/>
      <c r="AN104" s="361"/>
      <c r="AO104" s="361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287"/>
      <c r="BD104" s="287"/>
      <c r="BE104" s="287"/>
    </row>
    <row r="105" spans="11:57">
      <c r="AB105" s="361"/>
      <c r="AC105" s="361"/>
      <c r="AD105" s="361"/>
      <c r="AE105" s="361"/>
      <c r="AF105" s="361"/>
      <c r="AG105" s="361"/>
      <c r="AH105" s="361"/>
      <c r="AI105" s="361"/>
      <c r="AJ105" s="361"/>
      <c r="AK105" s="361"/>
      <c r="AL105" s="361"/>
      <c r="AM105" s="361"/>
      <c r="AN105" s="361"/>
      <c r="AO105" s="361"/>
    </row>
    <row r="106" spans="11:57"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B106" s="361"/>
      <c r="AC106" s="361"/>
      <c r="AD106" s="361"/>
      <c r="AE106" s="361"/>
      <c r="AF106" s="361"/>
      <c r="AG106" s="361"/>
      <c r="AH106" s="361"/>
      <c r="AI106" s="361"/>
      <c r="AJ106" s="361"/>
      <c r="AK106" s="361"/>
      <c r="AL106" s="361"/>
      <c r="AM106" s="361"/>
      <c r="AN106" s="361"/>
      <c r="AO106" s="361"/>
    </row>
    <row r="107" spans="11:57">
      <c r="AB107" s="361"/>
      <c r="AC107" s="361"/>
      <c r="AD107" s="361"/>
      <c r="AE107" s="361"/>
      <c r="AF107" s="361"/>
      <c r="AG107" s="361"/>
      <c r="AH107" s="361"/>
      <c r="AI107" s="361"/>
      <c r="AJ107" s="361"/>
      <c r="AK107" s="361"/>
      <c r="AL107" s="361"/>
      <c r="AM107" s="361"/>
      <c r="AN107" s="361"/>
      <c r="AO107" s="361"/>
    </row>
    <row r="108" spans="11:57"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B108" s="361"/>
      <c r="AC108" s="361"/>
      <c r="AD108" s="361"/>
      <c r="AE108" s="361"/>
      <c r="AF108" s="361"/>
      <c r="AG108" s="361"/>
      <c r="AH108" s="361"/>
      <c r="AI108" s="361"/>
      <c r="AJ108" s="361"/>
      <c r="AK108" s="361"/>
      <c r="AL108" s="361"/>
      <c r="AM108" s="361"/>
      <c r="AN108" s="361"/>
      <c r="AO108" s="361"/>
    </row>
    <row r="109" spans="11:57">
      <c r="AB109" s="361"/>
      <c r="AC109" s="361"/>
      <c r="AD109" s="361"/>
      <c r="AE109" s="361"/>
      <c r="AF109" s="361"/>
      <c r="AG109" s="361"/>
      <c r="AH109" s="361"/>
      <c r="AI109" s="361"/>
      <c r="AJ109" s="361"/>
      <c r="AK109" s="361"/>
      <c r="AL109" s="361"/>
      <c r="AM109" s="361"/>
      <c r="AN109" s="361"/>
      <c r="AO109" s="361"/>
    </row>
    <row r="114" spans="11:57">
      <c r="K114" s="287"/>
      <c r="L114" s="287"/>
      <c r="M114" s="287"/>
      <c r="AB114" s="293"/>
      <c r="AP114" s="287"/>
      <c r="AQ114" s="287"/>
      <c r="AR114" s="287"/>
      <c r="AS114" s="287"/>
      <c r="AT114" s="287"/>
      <c r="AU114" s="287"/>
      <c r="AV114" s="287"/>
      <c r="AW114" s="287"/>
      <c r="AX114" s="287"/>
      <c r="AY114" s="287"/>
      <c r="AZ114" s="287"/>
      <c r="BA114" s="287"/>
      <c r="BB114" s="287"/>
      <c r="BC114" s="287"/>
      <c r="BD114" s="287"/>
      <c r="BE114" s="287"/>
    </row>
  </sheetData>
  <conditionalFormatting sqref="N9:Z13 AB9:AB14 AB9:AF13 AF12:AF15 O9:Z15">
    <cfRule type="expression" dxfId="207" priority="203">
      <formula>$AG9=1</formula>
    </cfRule>
  </conditionalFormatting>
  <conditionalFormatting sqref="AB16">
    <cfRule type="expression" dxfId="206" priority="198" stopIfTrue="1">
      <formula>$AB20=""</formula>
    </cfRule>
    <cfRule type="expression" dxfId="205" priority="199">
      <formula>$AC20&gt;0</formula>
    </cfRule>
  </conditionalFormatting>
  <conditionalFormatting sqref="AB14:AF16 N14:N16 N14:Z15">
    <cfRule type="expression" dxfId="204" priority="196">
      <formula>AND($AC14&lt;0,$N14="Risk Coverage")</formula>
    </cfRule>
    <cfRule type="expression" dxfId="203" priority="19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202" priority="189">
      <formula>$L9=0</formula>
    </cfRule>
  </conditionalFormatting>
  <conditionalFormatting sqref="AF9:AF15 AF19">
    <cfRule type="expression" dxfId="201" priority="208">
      <formula>AND($AH9=0,$AF9&gt;0)</formula>
    </cfRule>
    <cfRule type="expression" dxfId="200" priority="209">
      <formula>AND($AH9=0,$AF9&lt;0)</formula>
    </cfRule>
    <cfRule type="expression" dxfId="199" priority="210">
      <formula>AND($AH9=1,$AF9&lt;0)</formula>
    </cfRule>
    <cfRule type="expression" dxfId="198" priority="211">
      <formula>AND($AH9=1,$AF9&gt;0)</formula>
    </cfRule>
  </conditionalFormatting>
  <conditionalFormatting sqref="N9:Z13">
    <cfRule type="expression" dxfId="197" priority="188">
      <formula>$AG9=1</formula>
    </cfRule>
  </conditionalFormatting>
  <conditionalFormatting sqref="AB15">
    <cfRule type="expression" dxfId="196" priority="186" stopIfTrue="1">
      <formula>$AB20=""</formula>
    </cfRule>
    <cfRule type="expression" dxfId="195" priority="187">
      <formula>$AC20&gt;0</formula>
    </cfRule>
  </conditionalFormatting>
  <conditionalFormatting sqref="AB14:AF15">
    <cfRule type="expression" dxfId="194" priority="184">
      <formula>AND($AC14&lt;0,$N14="Risk Coverage")</formula>
    </cfRule>
    <cfRule type="expression" dxfId="193" priority="18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92" priority="183">
      <formula>$L9=0</formula>
    </cfRule>
  </conditionalFormatting>
  <conditionalFormatting sqref="AF9:AF15">
    <cfRule type="expression" dxfId="191" priority="179">
      <formula>AND($AH9=0,$AF9&gt;0)</formula>
    </cfRule>
    <cfRule type="expression" dxfId="190" priority="180">
      <formula>AND($AH9=0,$AF9&lt;0)</formula>
    </cfRule>
    <cfRule type="expression" dxfId="189" priority="181">
      <formula>AND($AH9=1,$AF9&lt;0)</formula>
    </cfRule>
    <cfRule type="expression" dxfId="188" priority="182">
      <formula>AND($AH9=1,$AF9&gt;0)</formula>
    </cfRule>
  </conditionalFormatting>
  <conditionalFormatting sqref="AA15">
    <cfRule type="expression" dxfId="187" priority="178">
      <formula>#REF!=0</formula>
    </cfRule>
  </conditionalFormatting>
  <conditionalFormatting sqref="AF15">
    <cfRule type="expression" dxfId="186" priority="177">
      <formula>$AG17=1</formula>
    </cfRule>
  </conditionalFormatting>
  <conditionalFormatting sqref="AB15:AF15">
    <cfRule type="expression" dxfId="185" priority="176">
      <formula>$L15=0</formula>
    </cfRule>
  </conditionalFormatting>
  <conditionalFormatting sqref="AF15">
    <cfRule type="expression" dxfId="184" priority="172">
      <formula>AND($AH17=0,$AF15&gt;0)</formula>
    </cfRule>
    <cfRule type="expression" dxfId="183" priority="173">
      <formula>AND($AH17=0,$AF15&lt;0)</formula>
    </cfRule>
    <cfRule type="expression" dxfId="182" priority="174">
      <formula>AND($AH17=1,$AF15&lt;0)</formula>
    </cfRule>
    <cfRule type="expression" dxfId="181" priority="175">
      <formula>AND($AH17=1,$AF15&gt;0)</formula>
    </cfRule>
  </conditionalFormatting>
  <conditionalFormatting sqref="O9:AF15">
    <cfRule type="expression" dxfId="180" priority="171">
      <formula>$N9="Debt to Equity"</formula>
    </cfRule>
  </conditionalFormatting>
  <conditionalFormatting sqref="AF16">
    <cfRule type="expression" dxfId="179" priority="212">
      <formula>$AG17=1</formula>
    </cfRule>
  </conditionalFormatting>
  <conditionalFormatting sqref="N16 AA16:AF16">
    <cfRule type="expression" dxfId="178" priority="217">
      <formula>$L17=0</formula>
    </cfRule>
  </conditionalFormatting>
  <conditionalFormatting sqref="AF16:AF17">
    <cfRule type="expression" dxfId="177" priority="222">
      <formula>AND($AH17=0,$AF16&gt;0)</formula>
    </cfRule>
    <cfRule type="expression" dxfId="176" priority="223">
      <formula>AND($AH17=0,$AF16&lt;0)</formula>
    </cfRule>
    <cfRule type="expression" dxfId="175" priority="224">
      <formula>AND($AH17=1,$AF16&lt;0)</formula>
    </cfRule>
    <cfRule type="expression" dxfId="174" priority="225">
      <formula>AND($AH17=1,$AF16&gt;0)</formula>
    </cfRule>
  </conditionalFormatting>
  <conditionalFormatting sqref="N9:Z13">
    <cfRule type="expression" dxfId="173" priority="170">
      <formula>$AG9=1</formula>
    </cfRule>
  </conditionalFormatting>
  <conditionalFormatting sqref="AB15">
    <cfRule type="expression" dxfId="172" priority="168" stopIfTrue="1">
      <formula>$AB20=""</formula>
    </cfRule>
    <cfRule type="expression" dxfId="171" priority="169">
      <formula>$AC20&gt;0</formula>
    </cfRule>
  </conditionalFormatting>
  <conditionalFormatting sqref="AB14:AF15">
    <cfRule type="expression" dxfId="170" priority="166">
      <formula>AND($AC14&lt;0,$N14="Risk Coverage")</formula>
    </cfRule>
    <cfRule type="expression" dxfId="169" priority="16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68" priority="165">
      <formula>$L9=0</formula>
    </cfRule>
  </conditionalFormatting>
  <conditionalFormatting sqref="AF9:AF15">
    <cfRule type="expression" dxfId="167" priority="161">
      <formula>AND($AH9=0,$AF9&gt;0)</formula>
    </cfRule>
    <cfRule type="expression" dxfId="166" priority="162">
      <formula>AND($AH9=0,$AF9&lt;0)</formula>
    </cfRule>
    <cfRule type="expression" dxfId="165" priority="163">
      <formula>AND($AH9=1,$AF9&lt;0)</formula>
    </cfRule>
    <cfRule type="expression" dxfId="164" priority="164">
      <formula>AND($AH9=1,$AF9&gt;0)</formula>
    </cfRule>
  </conditionalFormatting>
  <conditionalFormatting sqref="AA15">
    <cfRule type="expression" dxfId="163" priority="160">
      <formula>#REF!=0</formula>
    </cfRule>
  </conditionalFormatting>
  <conditionalFormatting sqref="AF15">
    <cfRule type="expression" dxfId="162" priority="159">
      <formula>$AG17=1</formula>
    </cfRule>
  </conditionalFormatting>
  <conditionalFormatting sqref="AB15:AF15">
    <cfRule type="expression" dxfId="161" priority="158">
      <formula>$L15=0</formula>
    </cfRule>
  </conditionalFormatting>
  <conditionalFormatting sqref="AF15">
    <cfRule type="expression" dxfId="160" priority="154">
      <formula>AND($AH17=0,$AF15&gt;0)</formula>
    </cfRule>
    <cfRule type="expression" dxfId="159" priority="155">
      <formula>AND($AH17=0,$AF15&lt;0)</formula>
    </cfRule>
    <cfRule type="expression" dxfId="158" priority="156">
      <formula>AND($AH17=1,$AF15&lt;0)</formula>
    </cfRule>
    <cfRule type="expression" dxfId="157" priority="157">
      <formula>AND($AH17=1,$AF15&gt;0)</formula>
    </cfRule>
  </conditionalFormatting>
  <conditionalFormatting sqref="O9:AF16">
    <cfRule type="expression" dxfId="156" priority="153">
      <formula>$N9="Debt to Equity"</formula>
    </cfRule>
  </conditionalFormatting>
  <conditionalFormatting sqref="AB9:AB14 AC9:AF13 AF14:AF15 AC14:AC15 AE14 O14:Z15 N9:Z13">
    <cfRule type="expression" dxfId="155" priority="152">
      <formula>$AG9=1</formula>
    </cfRule>
  </conditionalFormatting>
  <conditionalFormatting sqref="AB16">
    <cfRule type="expression" dxfId="154" priority="150" stopIfTrue="1">
      <formula>$AB20=""</formula>
    </cfRule>
    <cfRule type="expression" dxfId="153" priority="151">
      <formula>$AC20&gt;0</formula>
    </cfRule>
  </conditionalFormatting>
  <conditionalFormatting sqref="AB14:AF16 N14:N16 O14:Z15">
    <cfRule type="expression" dxfId="152" priority="148">
      <formula>AND($AC14&lt;0,$N14="Risk Coverage")</formula>
    </cfRule>
    <cfRule type="expression" dxfId="151" priority="14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0" priority="147">
      <formula>$L9=0</formula>
    </cfRule>
  </conditionalFormatting>
  <conditionalFormatting sqref="AF9:AF15">
    <cfRule type="expression" dxfId="149" priority="143">
      <formula>AND($AH9=0,$AF9&gt;0)</formula>
    </cfRule>
    <cfRule type="expression" dxfId="148" priority="144">
      <formula>AND($AH9=0,$AF9&lt;0)</formula>
    </cfRule>
    <cfRule type="expression" dxfId="147" priority="145">
      <formula>AND($AH9=1,$AF9&lt;0)</formula>
    </cfRule>
    <cfRule type="expression" dxfId="146" priority="146">
      <formula>AND($AH9=1,$AF9&gt;0)</formula>
    </cfRule>
  </conditionalFormatting>
  <conditionalFormatting sqref="N9:Z13">
    <cfRule type="expression" dxfId="145" priority="142">
      <formula>$AG9=1</formula>
    </cfRule>
  </conditionalFormatting>
  <conditionalFormatting sqref="AB15">
    <cfRule type="expression" dxfId="144" priority="140" stopIfTrue="1">
      <formula>$AB20=""</formula>
    </cfRule>
    <cfRule type="expression" dxfId="143" priority="141">
      <formula>$AC20&gt;0</formula>
    </cfRule>
  </conditionalFormatting>
  <conditionalFormatting sqref="AB14:AF15">
    <cfRule type="expression" dxfId="142" priority="138">
      <formula>AND($AC14&lt;0,$N14="Risk Coverage")</formula>
    </cfRule>
    <cfRule type="expression" dxfId="141" priority="13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40" priority="137">
      <formula>$L9=0</formula>
    </cfRule>
  </conditionalFormatting>
  <conditionalFormatting sqref="AF9:AF15">
    <cfRule type="expression" dxfId="139" priority="133">
      <formula>AND($AH9=0,$AF9&gt;0)</formula>
    </cfRule>
    <cfRule type="expression" dxfId="138" priority="134">
      <formula>AND($AH9=0,$AF9&lt;0)</formula>
    </cfRule>
    <cfRule type="expression" dxfId="137" priority="135">
      <formula>AND($AH9=1,$AF9&lt;0)</formula>
    </cfRule>
    <cfRule type="expression" dxfId="136" priority="136">
      <formula>AND($AH9=1,$AF9&gt;0)</formula>
    </cfRule>
  </conditionalFormatting>
  <conditionalFormatting sqref="AA15">
    <cfRule type="expression" dxfId="135" priority="132">
      <formula>#REF!=0</formula>
    </cfRule>
  </conditionalFormatting>
  <conditionalFormatting sqref="AF15">
    <cfRule type="expression" dxfId="134" priority="131">
      <formula>$AG17=1</formula>
    </cfRule>
  </conditionalFormatting>
  <conditionalFormatting sqref="AB15:AF15">
    <cfRule type="expression" dxfId="133" priority="130">
      <formula>$L15=0</formula>
    </cfRule>
  </conditionalFormatting>
  <conditionalFormatting sqref="AF15">
    <cfRule type="expression" dxfId="132" priority="126">
      <formula>AND($AH17=0,$AF15&gt;0)</formula>
    </cfRule>
    <cfRule type="expression" dxfId="131" priority="127">
      <formula>AND($AH17=0,$AF15&lt;0)</formula>
    </cfRule>
    <cfRule type="expression" dxfId="130" priority="128">
      <formula>AND($AH17=1,$AF15&lt;0)</formula>
    </cfRule>
    <cfRule type="expression" dxfId="129" priority="129">
      <formula>AND($AH17=1,$AF15&gt;0)</formula>
    </cfRule>
  </conditionalFormatting>
  <conditionalFormatting sqref="AF16">
    <cfRule type="expression" dxfId="128" priority="125">
      <formula>$AG17=1</formula>
    </cfRule>
  </conditionalFormatting>
  <conditionalFormatting sqref="N16 AA16:AF16">
    <cfRule type="expression" dxfId="127" priority="124">
      <formula>$L17=0</formula>
    </cfRule>
  </conditionalFormatting>
  <conditionalFormatting sqref="AF16:AF17">
    <cfRule type="expression" dxfId="126" priority="120">
      <formula>AND($AH17=0,$AF16&gt;0)</formula>
    </cfRule>
    <cfRule type="expression" dxfId="125" priority="121">
      <formula>AND($AH17=0,$AF16&lt;0)</formula>
    </cfRule>
    <cfRule type="expression" dxfId="124" priority="122">
      <formula>AND($AH17=1,$AF16&lt;0)</formula>
    </cfRule>
    <cfRule type="expression" dxfId="123" priority="123">
      <formula>AND($AH17=1,$AF16&gt;0)</formula>
    </cfRule>
  </conditionalFormatting>
  <conditionalFormatting sqref="N9:Z13">
    <cfRule type="expression" dxfId="122" priority="119">
      <formula>$AG9=1</formula>
    </cfRule>
  </conditionalFormatting>
  <conditionalFormatting sqref="AB15">
    <cfRule type="expression" dxfId="121" priority="117" stopIfTrue="1">
      <formula>$AB20=""</formula>
    </cfRule>
    <cfRule type="expression" dxfId="120" priority="118">
      <formula>$AC20&gt;0</formula>
    </cfRule>
  </conditionalFormatting>
  <conditionalFormatting sqref="AB14:AF15">
    <cfRule type="expression" dxfId="119" priority="115">
      <formula>AND($AC14&lt;0,$N14="Risk Coverage")</formula>
    </cfRule>
    <cfRule type="expression" dxfId="118" priority="116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17" priority="114">
      <formula>$L9=0</formula>
    </cfRule>
  </conditionalFormatting>
  <conditionalFormatting sqref="AF9:AF15">
    <cfRule type="expression" dxfId="116" priority="110">
      <formula>AND($AH9=0,$AF9&gt;0)</formula>
    </cfRule>
    <cfRule type="expression" dxfId="115" priority="111">
      <formula>AND($AH9=0,$AF9&lt;0)</formula>
    </cfRule>
    <cfRule type="expression" dxfId="114" priority="112">
      <formula>AND($AH9=1,$AF9&lt;0)</formula>
    </cfRule>
    <cfRule type="expression" dxfId="113" priority="113">
      <formula>AND($AH9=1,$AF9&gt;0)</formula>
    </cfRule>
  </conditionalFormatting>
  <conditionalFormatting sqref="AA15">
    <cfRule type="expression" dxfId="112" priority="109">
      <formula>#REF!=0</formula>
    </cfRule>
  </conditionalFormatting>
  <conditionalFormatting sqref="AF15">
    <cfRule type="expression" dxfId="111" priority="108">
      <formula>$AG17=1</formula>
    </cfRule>
  </conditionalFormatting>
  <conditionalFormatting sqref="AB15:AF15">
    <cfRule type="expression" dxfId="110" priority="107">
      <formula>$L15=0</formula>
    </cfRule>
  </conditionalFormatting>
  <conditionalFormatting sqref="AF15">
    <cfRule type="expression" dxfId="109" priority="103">
      <formula>AND($AH17=0,$AF15&gt;0)</formula>
    </cfRule>
    <cfRule type="expression" dxfId="108" priority="104">
      <formula>AND($AH17=0,$AF15&lt;0)</formula>
    </cfRule>
    <cfRule type="expression" dxfId="107" priority="105">
      <formula>AND($AH17=1,$AF15&lt;0)</formula>
    </cfRule>
    <cfRule type="expression" dxfId="106" priority="106">
      <formula>AND($AH17=1,$AF15&gt;0)</formula>
    </cfRule>
  </conditionalFormatting>
  <conditionalFormatting sqref="AC9:AF13 AF14:AF15 AB9:AB15 N9:Z15">
    <cfRule type="expression" dxfId="105" priority="102">
      <formula>$AG9=1</formula>
    </cfRule>
  </conditionalFormatting>
  <conditionalFormatting sqref="AB16">
    <cfRule type="expression" dxfId="104" priority="100" stopIfTrue="1">
      <formula>$AB20=""</formula>
    </cfRule>
    <cfRule type="expression" dxfId="103" priority="101">
      <formula>$AC20&gt;0</formula>
    </cfRule>
  </conditionalFormatting>
  <conditionalFormatting sqref="AB14:AF16 N14:N16 O14:Z15">
    <cfRule type="expression" dxfId="102" priority="98">
      <formula>AND($AC14&lt;0,$N14="Risk Coverage")</formula>
    </cfRule>
    <cfRule type="expression" dxfId="101" priority="9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00" priority="97">
      <formula>$L9=0</formula>
    </cfRule>
  </conditionalFormatting>
  <conditionalFormatting sqref="AF9:AF15">
    <cfRule type="expression" dxfId="99" priority="93">
      <formula>AND($AH9=0,$AF9&gt;0)</formula>
    </cfRule>
    <cfRule type="expression" dxfId="98" priority="94">
      <formula>AND($AH9=0,$AF9&lt;0)</formula>
    </cfRule>
    <cfRule type="expression" dxfId="97" priority="95">
      <formula>AND($AH9=1,$AF9&lt;0)</formula>
    </cfRule>
    <cfRule type="expression" dxfId="96" priority="96">
      <formula>AND($AH9=1,$AF9&gt;0)</formula>
    </cfRule>
  </conditionalFormatting>
  <conditionalFormatting sqref="N9:Z15">
    <cfRule type="expression" dxfId="95" priority="92">
      <formula>$AG9=1</formula>
    </cfRule>
  </conditionalFormatting>
  <conditionalFormatting sqref="AB15">
    <cfRule type="expression" dxfId="94" priority="90" stopIfTrue="1">
      <formula>$AB20=""</formula>
    </cfRule>
    <cfRule type="expression" dxfId="93" priority="91">
      <formula>$AC20&gt;0</formula>
    </cfRule>
  </conditionalFormatting>
  <conditionalFormatting sqref="AB14:AF15">
    <cfRule type="expression" dxfId="92" priority="88">
      <formula>AND($AC14&lt;0,$N14="Risk Coverage")</formula>
    </cfRule>
    <cfRule type="expression" dxfId="91" priority="89">
      <formula>AND($AC14&gt;0,(OR($N14="PAR&gt;30 (R+R) and Write-Offs",$N14="Loan Size to Total Assets",$N14="Total Equity",$N14="Net Income")))</formula>
    </cfRule>
  </conditionalFormatting>
  <conditionalFormatting sqref="N9:AF15">
    <cfRule type="expression" dxfId="90" priority="87">
      <formula>$L9=0</formula>
    </cfRule>
  </conditionalFormatting>
  <conditionalFormatting sqref="AF9:AF15">
    <cfRule type="expression" dxfId="89" priority="83">
      <formula>AND($AH9=0,$AF9&gt;0)</formula>
    </cfRule>
    <cfRule type="expression" dxfId="88" priority="84">
      <formula>AND($AH9=0,$AF9&lt;0)</formula>
    </cfRule>
    <cfRule type="expression" dxfId="87" priority="85">
      <formula>AND($AH9=1,$AF9&lt;0)</formula>
    </cfRule>
    <cfRule type="expression" dxfId="86" priority="86">
      <formula>AND($AH9=1,$AF9&gt;0)</formula>
    </cfRule>
  </conditionalFormatting>
  <conditionalFormatting sqref="AA15">
    <cfRule type="expression" dxfId="85" priority="82">
      <formula>#REF!=0</formula>
    </cfRule>
  </conditionalFormatting>
  <conditionalFormatting sqref="AF15">
    <cfRule type="expression" dxfId="84" priority="81">
      <formula>$AG17=1</formula>
    </cfRule>
  </conditionalFormatting>
  <conditionalFormatting sqref="AB15:AF15">
    <cfRule type="expression" dxfId="83" priority="80">
      <formula>$L15=0</formula>
    </cfRule>
  </conditionalFormatting>
  <conditionalFormatting sqref="AF15">
    <cfRule type="expression" dxfId="82" priority="76">
      <formula>AND($AH17=0,$AF15&gt;0)</formula>
    </cfRule>
    <cfRule type="expression" dxfId="81" priority="77">
      <formula>AND($AH17=0,$AF15&lt;0)</formula>
    </cfRule>
    <cfRule type="expression" dxfId="80" priority="78">
      <formula>AND($AH17=1,$AF15&lt;0)</formula>
    </cfRule>
    <cfRule type="expression" dxfId="79" priority="79">
      <formula>AND($AH17=1,$AF15&gt;0)</formula>
    </cfRule>
  </conditionalFormatting>
  <conditionalFormatting sqref="O9:AF15">
    <cfRule type="expression" dxfId="78" priority="75">
      <formula>$N9="Debt to Equity"</formula>
    </cfRule>
  </conditionalFormatting>
  <conditionalFormatting sqref="AF16">
    <cfRule type="expression" dxfId="77" priority="74">
      <formula>$AG17=1</formula>
    </cfRule>
  </conditionalFormatting>
  <conditionalFormatting sqref="N16 AA16:AF16">
    <cfRule type="expression" dxfId="76" priority="73">
      <formula>$L17=0</formula>
    </cfRule>
  </conditionalFormatting>
  <conditionalFormatting sqref="AF16">
    <cfRule type="expression" dxfId="75" priority="69">
      <formula>AND($AH17=0,$AF16&gt;0)</formula>
    </cfRule>
    <cfRule type="expression" dxfId="74" priority="70">
      <formula>AND($AH17=0,$AF16&lt;0)</formula>
    </cfRule>
    <cfRule type="expression" dxfId="73" priority="71">
      <formula>AND($AH17=1,$AF16&lt;0)</formula>
    </cfRule>
    <cfRule type="expression" dxfId="72" priority="72">
      <formula>AND($AH17=1,$AF16&gt;0)</formula>
    </cfRule>
  </conditionalFormatting>
  <conditionalFormatting sqref="N9:Z15">
    <cfRule type="expression" dxfId="71" priority="68">
      <formula>$AG9=1</formula>
    </cfRule>
  </conditionalFormatting>
  <conditionalFormatting sqref="AB15">
    <cfRule type="expression" dxfId="70" priority="66" stopIfTrue="1">
      <formula>$AB20=""</formula>
    </cfRule>
    <cfRule type="expression" dxfId="69" priority="67">
      <formula>$AC20&gt;0</formula>
    </cfRule>
  </conditionalFormatting>
  <conditionalFormatting sqref="AB14:AF15">
    <cfRule type="expression" dxfId="68" priority="64">
      <formula>AND($AC14&lt;0,$N14="Risk Coverage")</formula>
    </cfRule>
    <cfRule type="expression" dxfId="67" priority="65">
      <formula>AND($AC14&gt;0,(OR($N14="PAR&gt;30 (R+R) and Write-Offs",$N14="Loan Size to Total Assets",$N14="Total Equity",$N14="Net Income")))</formula>
    </cfRule>
  </conditionalFormatting>
  <conditionalFormatting sqref="N9:AF15">
    <cfRule type="expression" dxfId="66" priority="63">
      <formula>$L9=0</formula>
    </cfRule>
  </conditionalFormatting>
  <conditionalFormatting sqref="AF9:AF15">
    <cfRule type="expression" dxfId="65" priority="59">
      <formula>AND($AH9=0,$AF9&gt;0)</formula>
    </cfRule>
    <cfRule type="expression" dxfId="64" priority="60">
      <formula>AND($AH9=0,$AF9&lt;0)</formula>
    </cfRule>
    <cfRule type="expression" dxfId="63" priority="61">
      <formula>AND($AH9=1,$AF9&lt;0)</formula>
    </cfRule>
    <cfRule type="expression" dxfId="62" priority="62">
      <formula>AND($AH9=1,$AF9&gt;0)</formula>
    </cfRule>
  </conditionalFormatting>
  <conditionalFormatting sqref="AA15">
    <cfRule type="expression" dxfId="61" priority="58">
      <formula>#REF!=0</formula>
    </cfRule>
  </conditionalFormatting>
  <conditionalFormatting sqref="AF15">
    <cfRule type="expression" dxfId="60" priority="57">
      <formula>$AG17=1</formula>
    </cfRule>
  </conditionalFormatting>
  <conditionalFormatting sqref="AB15:AF15">
    <cfRule type="expression" dxfId="59" priority="56">
      <formula>$L15=0</formula>
    </cfRule>
  </conditionalFormatting>
  <conditionalFormatting sqref="AF15">
    <cfRule type="expression" dxfId="58" priority="52">
      <formula>AND($AH17=0,$AF15&gt;0)</formula>
    </cfRule>
    <cfRule type="expression" dxfId="57" priority="53">
      <formula>AND($AH17=0,$AF15&lt;0)</formula>
    </cfRule>
    <cfRule type="expression" dxfId="56" priority="54">
      <formula>AND($AH17=1,$AF15&lt;0)</formula>
    </cfRule>
    <cfRule type="expression" dxfId="55" priority="55">
      <formula>AND($AH17=1,$AF15&gt;0)</formula>
    </cfRule>
  </conditionalFormatting>
  <conditionalFormatting sqref="O9:AF16">
    <cfRule type="expression" dxfId="54" priority="51">
      <formula>$N9="Debt to Equity"</formula>
    </cfRule>
  </conditionalFormatting>
  <conditionalFormatting sqref="AC9:AF13 AF14:AF15 AC14:AC15 AE14 AB9:AB15 N9:Z15">
    <cfRule type="expression" dxfId="53" priority="50">
      <formula>$AG9=1</formula>
    </cfRule>
  </conditionalFormatting>
  <conditionalFormatting sqref="AB16">
    <cfRule type="expression" dxfId="52" priority="48" stopIfTrue="1">
      <formula>$AB20=""</formula>
    </cfRule>
    <cfRule type="expression" dxfId="51" priority="49">
      <formula>$AC20&gt;0</formula>
    </cfRule>
  </conditionalFormatting>
  <conditionalFormatting sqref="AB14:AF16 N14:N16 O14:Z15">
    <cfRule type="expression" dxfId="50" priority="46">
      <formula>AND($AC14&lt;0,$N14="Risk Coverage")</formula>
    </cfRule>
    <cfRule type="expression" dxfId="49" priority="4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48" priority="45">
      <formula>$L9=0</formula>
    </cfRule>
  </conditionalFormatting>
  <conditionalFormatting sqref="AF9:AF15">
    <cfRule type="expression" dxfId="47" priority="41">
      <formula>AND($AH9=0,$AF9&gt;0)</formula>
    </cfRule>
    <cfRule type="expression" dxfId="46" priority="42">
      <formula>AND($AH9=0,$AF9&lt;0)</formula>
    </cfRule>
    <cfRule type="expression" dxfId="45" priority="43">
      <formula>AND($AH9=1,$AF9&lt;0)</formula>
    </cfRule>
    <cfRule type="expression" dxfId="44" priority="44">
      <formula>AND($AH9=1,$AF9&gt;0)</formula>
    </cfRule>
  </conditionalFormatting>
  <conditionalFormatting sqref="N9:Z15">
    <cfRule type="expression" dxfId="43" priority="40">
      <formula>$AG9=1</formula>
    </cfRule>
  </conditionalFormatting>
  <conditionalFormatting sqref="AB15">
    <cfRule type="expression" dxfId="42" priority="38" stopIfTrue="1">
      <formula>$AB20=""</formula>
    </cfRule>
    <cfRule type="expression" dxfId="41" priority="39">
      <formula>$AC20&gt;0</formula>
    </cfRule>
  </conditionalFormatting>
  <conditionalFormatting sqref="AB14:AF15">
    <cfRule type="expression" dxfId="40" priority="36">
      <formula>AND($AC14&lt;0,$N14="Risk Coverage")</formula>
    </cfRule>
    <cfRule type="expression" dxfId="39" priority="37">
      <formula>AND($AC14&gt;0,(OR($N14="PAR&gt;30 (R+R) and Write-Offs",$N14="Loan Size to Total Assets",$N14="Total Equity",$N14="Net Income")))</formula>
    </cfRule>
  </conditionalFormatting>
  <conditionalFormatting sqref="N9:AF15">
    <cfRule type="expression" dxfId="38" priority="35">
      <formula>$L9=0</formula>
    </cfRule>
  </conditionalFormatting>
  <conditionalFormatting sqref="AF9:AF15">
    <cfRule type="expression" dxfId="37" priority="31">
      <formula>AND($AH9=0,$AF9&gt;0)</formula>
    </cfRule>
    <cfRule type="expression" dxfId="36" priority="32">
      <formula>AND($AH9=0,$AF9&lt;0)</formula>
    </cfRule>
    <cfRule type="expression" dxfId="35" priority="33">
      <formula>AND($AH9=1,$AF9&lt;0)</formula>
    </cfRule>
    <cfRule type="expression" dxfId="34" priority="34">
      <formula>AND($AH9=1,$AF9&gt;0)</formula>
    </cfRule>
  </conditionalFormatting>
  <conditionalFormatting sqref="AA15">
    <cfRule type="expression" dxfId="33" priority="30">
      <formula>#REF!=0</formula>
    </cfRule>
  </conditionalFormatting>
  <conditionalFormatting sqref="AF15">
    <cfRule type="expression" dxfId="32" priority="29">
      <formula>$AG17=1</formula>
    </cfRule>
  </conditionalFormatting>
  <conditionalFormatting sqref="AB15:AF15">
    <cfRule type="expression" dxfId="31" priority="28">
      <formula>$L15=0</formula>
    </cfRule>
  </conditionalFormatting>
  <conditionalFormatting sqref="AF15">
    <cfRule type="expression" dxfId="30" priority="24">
      <formula>AND($AH17=0,$AF15&gt;0)</formula>
    </cfRule>
    <cfRule type="expression" dxfId="29" priority="25">
      <formula>AND($AH17=0,$AF15&lt;0)</formula>
    </cfRule>
    <cfRule type="expression" dxfId="28" priority="26">
      <formula>AND($AH17=1,$AF15&lt;0)</formula>
    </cfRule>
    <cfRule type="expression" dxfId="27" priority="27">
      <formula>AND($AH17=1,$AF15&gt;0)</formula>
    </cfRule>
  </conditionalFormatting>
  <conditionalFormatting sqref="AF16">
    <cfRule type="expression" dxfId="26" priority="23">
      <formula>$AG17=1</formula>
    </cfRule>
  </conditionalFormatting>
  <conditionalFormatting sqref="N16 AA16:AF16">
    <cfRule type="expression" dxfId="25" priority="22">
      <formula>$L17=0</formula>
    </cfRule>
  </conditionalFormatting>
  <conditionalFormatting sqref="AF16">
    <cfRule type="expression" dxfId="24" priority="18">
      <formula>AND($AH17=0,$AF16&gt;0)</formula>
    </cfRule>
    <cfRule type="expression" dxfId="23" priority="19">
      <formula>AND($AH17=0,$AF16&lt;0)</formula>
    </cfRule>
    <cfRule type="expression" dxfId="22" priority="20">
      <formula>AND($AH17=1,$AF16&lt;0)</formula>
    </cfRule>
    <cfRule type="expression" dxfId="21" priority="21">
      <formula>AND($AH17=1,$AF16&gt;0)</formula>
    </cfRule>
  </conditionalFormatting>
  <conditionalFormatting sqref="N9:Z15">
    <cfRule type="expression" dxfId="20" priority="17">
      <formula>$AG9=1</formula>
    </cfRule>
  </conditionalFormatting>
  <conditionalFormatting sqref="AB15">
    <cfRule type="expression" dxfId="19" priority="15" stopIfTrue="1">
      <formula>$AB20=""</formula>
    </cfRule>
    <cfRule type="expression" dxfId="18" priority="16">
      <formula>$AC20&gt;0</formula>
    </cfRule>
  </conditionalFormatting>
  <conditionalFormatting sqref="AB14:AF15">
    <cfRule type="expression" dxfId="17" priority="13">
      <formula>AND($AC14&lt;0,$N14="Risk Coverage")</formula>
    </cfRule>
    <cfRule type="expression" dxfId="16" priority="14">
      <formula>AND($AC14&gt;0,(OR($N14="PAR&gt;30 (R+R) and Write-Offs",$N14="Loan Size to Total Assets",$N14="Total Equity",$N14="Net Income")))</formula>
    </cfRule>
  </conditionalFormatting>
  <conditionalFormatting sqref="N9:AF15">
    <cfRule type="expression" dxfId="15" priority="12">
      <formula>$L9=0</formula>
    </cfRule>
  </conditionalFormatting>
  <conditionalFormatting sqref="AF9:AF15">
    <cfRule type="expression" dxfId="14" priority="8">
      <formula>AND($AH9=0,$AF9&gt;0)</formula>
    </cfRule>
    <cfRule type="expression" dxfId="13" priority="9">
      <formula>AND($AH9=0,$AF9&lt;0)</formula>
    </cfRule>
    <cfRule type="expression" dxfId="12" priority="10">
      <formula>AND($AH9=1,$AF9&lt;0)</formula>
    </cfRule>
    <cfRule type="expression" dxfId="11" priority="11">
      <formula>AND($AH9=1,$AF9&gt;0)</formula>
    </cfRule>
  </conditionalFormatting>
  <conditionalFormatting sqref="AA15">
    <cfRule type="expression" dxfId="10" priority="7">
      <formula>#REF!=0</formula>
    </cfRule>
  </conditionalFormatting>
  <conditionalFormatting sqref="AF15">
    <cfRule type="expression" dxfId="9" priority="6">
      <formula>$AG17=1</formula>
    </cfRule>
  </conditionalFormatting>
  <conditionalFormatting sqref="AB15:AF15">
    <cfRule type="expression" dxfId="8" priority="5">
      <formula>$L15=0</formula>
    </cfRule>
  </conditionalFormatting>
  <conditionalFormatting sqref="AF15">
    <cfRule type="expression" dxfId="7" priority="1">
      <formula>AND($AH17=0,$AF15&gt;0)</formula>
    </cfRule>
    <cfRule type="expression" dxfId="6" priority="2">
      <formula>AND($AH17=0,$AF15&lt;0)</formula>
    </cfRule>
    <cfRule type="expression" dxfId="5" priority="3">
      <formula>AND($AH17=1,$AF15&lt;0)</formula>
    </cfRule>
    <cfRule type="expression" dxfId="4" priority="4">
      <formula>AND($AH17=1,$AF15&gt;0)</formula>
    </cfRule>
  </conditionalFormatting>
  <pageMargins left="0.7" right="0.7" top="0.75" bottom="0.75" header="0.3" footer="0.3"/>
  <pageSetup orientation="portrait" r:id="rId1"/>
  <drawing r:id="rId2"/>
  <legacyDrawing r:id="rId3"/>
  <controls>
    <mc:AlternateContent xmlns:mc="http://schemas.openxmlformats.org/markup-compatibility/2006">
      <mc:Choice Requires="x14">
        <control shapeId="6148" r:id="rId4" name="riskRatingDrop">
          <controlPr defaultSize="0" autoLine="0" listFillRange="AL64:AL69" r:id="rId5">
            <anchor moveWithCells="1">
              <from>
                <xdr:col>27</xdr:col>
                <xdr:colOff>0</xdr:colOff>
                <xdr:row>58</xdr:row>
                <xdr:rowOff>85725</xdr:rowOff>
              </from>
              <to>
                <xdr:col>33</xdr:col>
                <xdr:colOff>295275</xdr:colOff>
                <xdr:row>60</xdr:row>
                <xdr:rowOff>85725</xdr:rowOff>
              </to>
            </anchor>
          </controlPr>
        </control>
      </mc:Choice>
      <mc:Fallback>
        <control shapeId="6148" r:id="rId4" name="riskRatingDrop"/>
      </mc:Fallback>
    </mc:AlternateContent>
    <mc:AlternateContent xmlns:mc="http://schemas.openxmlformats.org/markup-compatibility/2006">
      <mc:Choice Requires="x14">
        <control shapeId="6145" r:id="rId6" name="commentary_input">
          <controlPr defaultSize="0" autoLine="0" r:id="rId7">
            <anchor moveWithCells="1">
              <from>
                <xdr:col>27</xdr:col>
                <xdr:colOff>0</xdr:colOff>
                <xdr:row>23</xdr:row>
                <xdr:rowOff>104775</xdr:rowOff>
              </from>
              <to>
                <xdr:col>39</xdr:col>
                <xdr:colOff>609600</xdr:colOff>
                <xdr:row>55</xdr:row>
                <xdr:rowOff>142875</xdr:rowOff>
              </to>
            </anchor>
          </controlPr>
        </control>
      </mc:Choice>
      <mc:Fallback>
        <control shapeId="6145" r:id="rId6" name="commentary_input"/>
      </mc:Fallback>
    </mc:AlternateContent>
    <mc:AlternateContent xmlns:mc="http://schemas.openxmlformats.org/markup-compatibility/2006">
      <mc:Choice Requires="x14">
        <control shapeId="6146" r:id="rId8" name="CommentarySaveButton">
          <controlPr defaultSize="0" print="0" autoFill="0" autoPict="0">
            <anchor moveWithCells="1" sizeWithCells="1">
              <from>
                <xdr:col>40</xdr:col>
                <xdr:colOff>247650</xdr:colOff>
                <xdr:row>23</xdr:row>
                <xdr:rowOff>85725</xdr:rowOff>
              </from>
              <to>
                <xdr:col>42</xdr:col>
                <xdr:colOff>0</xdr:colOff>
                <xdr:row>25</xdr:row>
                <xdr:rowOff>104775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7" r:id="rId9" name="CommentaryHideButton">
          <controlPr defaultSize="0" print="0" autoFill="0" autoPict="0">
            <anchor moveWithCells="1" sizeWithCells="1">
              <from>
                <xdr:col>40</xdr:col>
                <xdr:colOff>247650</xdr:colOff>
                <xdr:row>27</xdr:row>
                <xdr:rowOff>9525</xdr:rowOff>
              </from>
              <to>
                <xdr:col>42</xdr:col>
                <xdr:colOff>0</xdr:colOff>
                <xdr:row>29</xdr:row>
                <xdr:rowOff>9525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49" r:id="rId10" name="riskRatingSaveButton">
          <controlPr defaultSize="0" print="0" autoFill="0" autoPict="0">
            <anchor moveWithCells="1" sizeWithCells="1">
              <from>
                <xdr:col>35</xdr:col>
                <xdr:colOff>180975</xdr:colOff>
                <xdr:row>58</xdr:row>
                <xdr:rowOff>85725</xdr:rowOff>
              </from>
              <to>
                <xdr:col>37</xdr:col>
                <xdr:colOff>1114425</xdr:colOff>
                <xdr:row>60</xdr:row>
                <xdr:rowOff>47625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6150" r:id="rId11" name="CommentaryHideButton2">
          <controlPr defaultSize="0" print="0" autoFill="0" autoPict="0">
            <anchor moveWithCells="1" sizeWithCells="1">
              <from>
                <xdr:col>37</xdr:col>
                <xdr:colOff>1285875</xdr:colOff>
                <xdr:row>58</xdr:row>
                <xdr:rowOff>76200</xdr:rowOff>
              </from>
              <to>
                <xdr:col>39</xdr:col>
                <xdr:colOff>228600</xdr:colOff>
                <xdr:row>60</xdr:row>
                <xdr:rowOff>38100</xdr:rowOff>
              </to>
            </anchor>
          </controlPr>
        </control>
      </mc:Choice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ED300"/>
  <sheetViews>
    <sheetView showGridLines="0" zoomScale="50" zoomScaleNormal="50" workbookViewId="0">
      <pane xSplit="4" topLeftCell="E1" activePane="topRight" state="frozen"/>
      <selection pane="topRight"/>
    </sheetView>
  </sheetViews>
  <sheetFormatPr defaultRowHeight="12.75" outlineLevelCol="1"/>
  <cols>
    <col min="1" max="1" width="19.5703125" style="485" bestFit="1" customWidth="1"/>
    <col min="2" max="2" width="6.140625" style="485" customWidth="1"/>
    <col min="3" max="3" width="6.42578125" style="485" customWidth="1" outlineLevel="1"/>
    <col min="4" max="4" width="52.140625" style="485" customWidth="1" outlineLevel="1"/>
    <col min="5" max="5" width="7.28515625" style="566" customWidth="1" outlineLevel="1"/>
    <col min="6" max="6" width="11.85546875" style="486" customWidth="1" outlineLevel="1"/>
    <col min="7" max="8" width="12.28515625" style="486" customWidth="1" outlineLevel="1"/>
    <col min="9" max="9" width="12.5703125" style="486" customWidth="1" outlineLevel="1"/>
    <col min="10" max="10" width="9" style="486" customWidth="1" outlineLevel="1"/>
    <col min="11" max="11" width="8.140625" style="508" customWidth="1" outlineLevel="1"/>
    <col min="12" max="14" width="13.7109375" style="486" customWidth="1" outlineLevel="1"/>
    <col min="15" max="15" width="9.85546875" style="486" customWidth="1" outlineLevel="1"/>
    <col min="16" max="16" width="11.85546875" style="518" customWidth="1" outlineLevel="1"/>
    <col min="17" max="17" width="11.42578125" style="486" customWidth="1" outlineLevel="1"/>
    <col min="18" max="18" width="11.5703125" style="486" customWidth="1" outlineLevel="1"/>
    <col min="19" max="19" width="10.85546875" style="485" customWidth="1" outlineLevel="1"/>
    <col min="20" max="20" width="13.140625" style="485" customWidth="1"/>
    <col min="21" max="21" width="9.42578125" style="486" customWidth="1"/>
    <col min="22" max="22" width="16.42578125" style="485" customWidth="1"/>
    <col min="23" max="23" width="6.85546875" style="485" customWidth="1"/>
    <col min="24" max="24" width="7.85546875" style="485" customWidth="1"/>
    <col min="25" max="29" width="9.7109375" style="485" customWidth="1"/>
    <col min="30" max="30" width="11" style="485" customWidth="1"/>
    <col min="31" max="31" width="10.42578125" style="485" customWidth="1"/>
    <col min="32" max="32" width="9.140625" style="485"/>
    <col min="33" max="33" width="40.42578125" style="485" customWidth="1"/>
    <col min="34" max="34" width="8" style="485" customWidth="1"/>
    <col min="35" max="35" width="9.7109375" style="485" bestFit="1" customWidth="1"/>
    <col min="36" max="36" width="52.140625" style="485" customWidth="1"/>
    <col min="37" max="41" width="13.42578125" style="485" customWidth="1"/>
    <col min="42" max="42" width="11.28515625" style="486" customWidth="1"/>
    <col min="43" max="43" width="9.140625" style="485"/>
    <col min="44" max="44" width="27.140625" style="485" bestFit="1" customWidth="1"/>
    <col min="45" max="45" width="9.140625" style="485"/>
    <col min="46" max="50" width="24.85546875" style="485" customWidth="1"/>
    <col min="51" max="51" width="9.140625" style="485"/>
    <col min="52" max="52" width="26.5703125" style="485" customWidth="1"/>
    <col min="53" max="53" width="19.42578125" style="485" bestFit="1" customWidth="1"/>
    <col min="54" max="54" width="15.140625" style="485" customWidth="1"/>
    <col min="55" max="55" width="9.140625" style="485"/>
    <col min="56" max="56" width="18.42578125" style="485" customWidth="1"/>
    <col min="57" max="57" width="11.5703125" style="485" bestFit="1" customWidth="1"/>
    <col min="58" max="58" width="22.7109375" style="485" bestFit="1" customWidth="1"/>
    <col min="59" max="63" width="10.85546875" style="485" customWidth="1"/>
    <col min="64" max="64" width="10.85546875" style="485" hidden="1" customWidth="1"/>
    <col min="65" max="66" width="10.85546875" style="485" customWidth="1"/>
    <col min="67" max="67" width="14.5703125" style="485" bestFit="1" customWidth="1"/>
    <col min="68" max="68" width="9.140625" style="485"/>
    <col min="69" max="69" width="10.5703125" style="485" bestFit="1" customWidth="1"/>
    <col min="70" max="70" width="7.5703125" style="485" customWidth="1"/>
    <col min="71" max="71" width="17.28515625" style="485" bestFit="1" customWidth="1"/>
    <col min="72" max="72" width="9.28515625" style="485" customWidth="1"/>
    <col min="73" max="76" width="9.140625" style="485"/>
    <col min="77" max="77" width="18.7109375" style="485" bestFit="1" customWidth="1"/>
    <col min="78" max="79" width="9.140625" style="485"/>
    <col min="80" max="80" width="10.28515625" style="485" bestFit="1" customWidth="1"/>
    <col min="81" max="81" width="29.5703125" style="485" bestFit="1" customWidth="1"/>
    <col min="82" max="82" width="17.140625" style="485" bestFit="1" customWidth="1"/>
    <col min="83" max="86" width="9.140625" style="485"/>
    <col min="87" max="87" width="19.7109375" style="485" bestFit="1" customWidth="1"/>
    <col min="88" max="89" width="9.7109375" style="485" bestFit="1" customWidth="1"/>
    <col min="90" max="95" width="9.140625" style="485"/>
    <col min="96" max="96" width="18.85546875" style="485" bestFit="1" customWidth="1"/>
    <col min="97" max="97" width="11.28515625" style="485" bestFit="1" customWidth="1"/>
    <col min="98" max="98" width="6.7109375" style="485" customWidth="1"/>
    <col min="99" max="99" width="13.85546875" style="485" bestFit="1" customWidth="1"/>
    <col min="100" max="100" width="7.140625" style="485" customWidth="1"/>
    <col min="101" max="101" width="8.140625" style="485" customWidth="1"/>
    <col min="102" max="102" width="14" style="485" bestFit="1" customWidth="1"/>
    <col min="103" max="103" width="14" style="485" customWidth="1"/>
    <col min="104" max="104" width="12.7109375" style="485" bestFit="1" customWidth="1"/>
    <col min="105" max="105" width="18.85546875" style="485" bestFit="1" customWidth="1"/>
    <col min="106" max="106" width="9.7109375" style="485" customWidth="1"/>
    <col min="107" max="107" width="6.5703125" style="485" customWidth="1"/>
    <col min="108" max="108" width="8.42578125" style="485" customWidth="1"/>
    <col min="109" max="109" width="7.7109375" style="485" customWidth="1"/>
    <col min="110" max="110" width="5" style="485" customWidth="1"/>
    <col min="111" max="112" width="6.140625" style="485" customWidth="1"/>
    <col min="113" max="114" width="9.7109375" style="485" customWidth="1"/>
    <col min="115" max="115" width="8.140625" style="485" customWidth="1"/>
    <col min="116" max="116" width="7.140625" style="485" customWidth="1"/>
    <col min="117" max="117" width="8.42578125" style="485" customWidth="1"/>
    <col min="118" max="118" width="7.7109375" style="485" customWidth="1"/>
    <col min="119" max="119" width="5" style="485" customWidth="1"/>
    <col min="120" max="121" width="6.140625" style="485" customWidth="1"/>
    <col min="122" max="123" width="6.85546875" style="485" customWidth="1"/>
    <col min="124" max="124" width="6.42578125" style="485" customWidth="1"/>
    <col min="125" max="125" width="6.5703125" style="485" customWidth="1"/>
    <col min="126" max="126" width="8.42578125" style="485" customWidth="1"/>
    <col min="127" max="127" width="7.7109375" style="485" customWidth="1"/>
    <col min="128" max="128" width="5" style="485" customWidth="1"/>
    <col min="129" max="130" width="6.140625" style="485" customWidth="1"/>
    <col min="131" max="16384" width="9.140625" style="485"/>
  </cols>
  <sheetData>
    <row r="1" spans="1:134">
      <c r="A1" s="484" t="e">
        <f ca="1">IF(ISBLANK(Config!B10),"",Config!B10)</f>
        <v>#NAME?</v>
      </c>
      <c r="C1" s="485">
        <v>1</v>
      </c>
      <c r="G1" s="486" t="str">
        <f ca="1">G2&amp;G6</f>
        <v>Audited</v>
      </c>
      <c r="H1" s="486" t="str">
        <f t="shared" ref="H1:O1" ca="1" si="0">H2&amp;H6</f>
        <v>Audited</v>
      </c>
      <c r="I1" s="486" t="str">
        <f t="shared" ca="1" si="0"/>
        <v>Audited</v>
      </c>
      <c r="J1" s="486" t="str">
        <f t="shared" ca="1" si="0"/>
        <v>Audited</v>
      </c>
      <c r="L1" s="486" t="str">
        <f t="shared" ca="1" si="0"/>
        <v>Unaudited</v>
      </c>
      <c r="M1" s="486" t="str">
        <f t="shared" ca="1" si="0"/>
        <v>Unaudited</v>
      </c>
      <c r="N1" s="486" t="str">
        <f t="shared" ca="1" si="0"/>
        <v>Unaudited</v>
      </c>
      <c r="O1" s="486" t="str">
        <f t="shared" ca="1" si="0"/>
        <v>Unaudited</v>
      </c>
      <c r="Q1" s="486" t="e">
        <f ca="1">IF(MOD(MONTH(AGGREGATED_DATA!AL1)-MONTH(AGGREGATED_DATA!AL3)+1,12)=0,12,MOD(MONTH(AGGREGATED_DATA!AL1)-MONTH(AGGREGATED_DATA!AL3)+1,12))</f>
        <v>#NAME?</v>
      </c>
      <c r="AF1" s="485" t="s">
        <v>480</v>
      </c>
      <c r="AG1" s="485" t="s">
        <v>535</v>
      </c>
      <c r="AK1" s="1006" t="e">
        <f t="shared" ref="AK1:AM1" ca="1" si="1">DATE(AK7,12,31)</f>
        <v>#NUM!</v>
      </c>
      <c r="AL1" s="1006" t="e">
        <f t="shared" ca="1" si="1"/>
        <v>#NUM!</v>
      </c>
      <c r="AM1" s="1006" t="e">
        <f t="shared" ca="1" si="1"/>
        <v>#NUM!</v>
      </c>
      <c r="AN1" s="1006">
        <f ca="1">DATE(AN7,12,31)</f>
        <v>366</v>
      </c>
      <c r="CI1" s="493" t="s">
        <v>473</v>
      </c>
      <c r="CJ1" s="485" t="e">
        <f ca="1">A3</f>
        <v>#NAME?</v>
      </c>
      <c r="CK1" s="485" t="s">
        <v>644</v>
      </c>
      <c r="CR1" s="493" t="s">
        <v>474</v>
      </c>
      <c r="CS1" s="485" t="e">
        <f ca="1">IF(CJ1="USD","","USD")</f>
        <v>#NAME?</v>
      </c>
      <c r="CT1" s="485" t="s">
        <v>644</v>
      </c>
      <c r="DA1" s="493" t="s">
        <v>474</v>
      </c>
      <c r="DB1" s="681" t="s">
        <v>539</v>
      </c>
      <c r="DC1" s="485" t="s">
        <v>644</v>
      </c>
      <c r="DJ1" s="493" t="s">
        <v>121</v>
      </c>
      <c r="DK1" s="485" t="e">
        <f ca="1">A3</f>
        <v>#NAME?</v>
      </c>
      <c r="DL1" s="485" t="s">
        <v>453</v>
      </c>
      <c r="DS1" s="493" t="s">
        <v>121</v>
      </c>
      <c r="DT1" s="485" t="s">
        <v>297</v>
      </c>
      <c r="DU1" s="485" t="s">
        <v>453</v>
      </c>
    </row>
    <row r="2" spans="1:134" ht="15">
      <c r="A2" s="519" t="e">
        <f ca="1">IF(ISBLANK(Config!B11),"",Config!B11)</f>
        <v>#NAME?</v>
      </c>
      <c r="B2" s="520"/>
      <c r="C2" s="520"/>
      <c r="D2" s="520"/>
      <c r="F2" s="521"/>
      <c r="G2" s="521" t="str">
        <f ca="1">IFERROR(IF(SUM(G8:G9)=0,"",G7),"")</f>
        <v/>
      </c>
      <c r="H2" s="521" t="str">
        <f t="shared" ref="H2:O2" ca="1" si="2">IFERROR(IF(SUM(H8:H9)=0,"",H7),"")</f>
        <v/>
      </c>
      <c r="I2" s="521" t="str">
        <f t="shared" ca="1" si="2"/>
        <v/>
      </c>
      <c r="J2" s="521" t="str">
        <f t="shared" ca="1" si="2"/>
        <v/>
      </c>
      <c r="K2" s="522"/>
      <c r="L2" s="521" t="str">
        <f t="shared" ca="1" si="2"/>
        <v/>
      </c>
      <c r="M2" s="521" t="str">
        <f t="shared" ca="1" si="2"/>
        <v/>
      </c>
      <c r="N2" s="521" t="str">
        <f t="shared" ca="1" si="2"/>
        <v/>
      </c>
      <c r="O2" s="521" t="str">
        <f t="shared" ca="1" si="2"/>
        <v/>
      </c>
      <c r="P2" s="524"/>
      <c r="Q2" s="521"/>
      <c r="R2" s="521"/>
      <c r="S2" s="487"/>
      <c r="T2" s="487"/>
      <c r="U2" s="521" t="s">
        <v>8</v>
      </c>
      <c r="AF2" s="493" t="s">
        <v>481</v>
      </c>
      <c r="AG2" s="485" t="s">
        <v>490</v>
      </c>
      <c r="AJ2" s="520"/>
      <c r="AS2" s="563" t="s">
        <v>423</v>
      </c>
      <c r="AT2" s="485" t="b">
        <f>NOT(J7=O7)</f>
        <v>0</v>
      </c>
      <c r="BQ2"/>
      <c r="BR2"/>
      <c r="BS2"/>
      <c r="BT2"/>
      <c r="BU2"/>
      <c r="BV2"/>
      <c r="BW2"/>
      <c r="BX2"/>
      <c r="BY2"/>
      <c r="BZ2"/>
      <c r="CA2"/>
      <c r="CB2" s="489" t="s">
        <v>466</v>
      </c>
      <c r="CC2" s="489" t="s">
        <v>467</v>
      </c>
      <c r="CD2" s="489" t="s">
        <v>468</v>
      </c>
      <c r="CE2" s="489"/>
      <c r="CF2" s="657" t="s">
        <v>469</v>
      </c>
      <c r="CI2" s="649" t="s">
        <v>456</v>
      </c>
      <c r="CJ2" s="649" t="s">
        <v>457</v>
      </c>
      <c r="CK2" s="649" t="s">
        <v>455</v>
      </c>
      <c r="CL2" s="649" t="s">
        <v>478</v>
      </c>
      <c r="CM2" s="649" t="s">
        <v>460</v>
      </c>
      <c r="CN2" s="649" t="s">
        <v>461</v>
      </c>
      <c r="CO2" s="649" t="s">
        <v>462</v>
      </c>
      <c r="CP2" s="649" t="s">
        <v>475</v>
      </c>
      <c r="CR2" s="649" t="s">
        <v>456</v>
      </c>
      <c r="CS2" s="649" t="s">
        <v>457</v>
      </c>
      <c r="CT2" s="649" t="s">
        <v>455</v>
      </c>
      <c r="CU2" s="649" t="s">
        <v>478</v>
      </c>
      <c r="CV2" s="649" t="s">
        <v>460</v>
      </c>
      <c r="CW2" s="649" t="s">
        <v>461</v>
      </c>
      <c r="CX2" s="649" t="s">
        <v>462</v>
      </c>
      <c r="CY2" s="649" t="s">
        <v>475</v>
      </c>
      <c r="DA2" s="649" t="s">
        <v>456</v>
      </c>
      <c r="DB2" s="649" t="s">
        <v>457</v>
      </c>
      <c r="DC2" s="649" t="s">
        <v>455</v>
      </c>
      <c r="DD2" s="649" t="s">
        <v>478</v>
      </c>
      <c r="DE2" s="649" t="s">
        <v>460</v>
      </c>
      <c r="DF2" s="649" t="s">
        <v>461</v>
      </c>
      <c r="DG2" s="649" t="s">
        <v>462</v>
      </c>
      <c r="DH2" s="649" t="s">
        <v>475</v>
      </c>
      <c r="DJ2" s="649" t="s">
        <v>456</v>
      </c>
      <c r="DK2" s="649" t="s">
        <v>457</v>
      </c>
      <c r="DL2" s="649" t="s">
        <v>455</v>
      </c>
      <c r="DM2" s="649" t="s">
        <v>478</v>
      </c>
      <c r="DN2" s="649" t="s">
        <v>460</v>
      </c>
      <c r="DO2" s="649" t="s">
        <v>461</v>
      </c>
      <c r="DP2" s="649" t="s">
        <v>462</v>
      </c>
      <c r="DQ2" s="649" t="s">
        <v>475</v>
      </c>
      <c r="DS2" s="649" t="s">
        <v>456</v>
      </c>
      <c r="DT2" s="649" t="s">
        <v>457</v>
      </c>
      <c r="DU2" s="649" t="s">
        <v>455</v>
      </c>
      <c r="DV2" s="649" t="s">
        <v>478</v>
      </c>
      <c r="DW2" s="649" t="s">
        <v>460</v>
      </c>
      <c r="DX2" s="649" t="s">
        <v>461</v>
      </c>
      <c r="DY2" s="649" t="s">
        <v>462</v>
      </c>
      <c r="DZ2" s="649" t="s">
        <v>475</v>
      </c>
      <c r="EC2" s="485" t="s">
        <v>315</v>
      </c>
      <c r="ED2" s="824" t="e">
        <f ca="1">AO12</f>
        <v>#NAME?</v>
      </c>
    </row>
    <row r="3" spans="1:134" ht="15">
      <c r="A3" s="519" t="e">
        <f ca="1">IF(ISBLANK(Config!$B$12),"",Config!$B$12)</f>
        <v>#NAME?</v>
      </c>
      <c r="B3" s="520"/>
      <c r="C3" s="520"/>
      <c r="D3" s="520"/>
      <c r="F3" s="521" t="e">
        <f ca="1">IF(SUM(F90:F93,F97)=0,"NO AUDIT","")</f>
        <v>#N/A</v>
      </c>
      <c r="G3" s="521" t="e">
        <f ca="1">IF(SUM(G90:G93,G97)=0,"NO AUDIT","")</f>
        <v>#N/A</v>
      </c>
      <c r="H3" s="521" t="e">
        <f ca="1">IF(SUM(H90:H93,H97)=0,"NO AUDIT","")</f>
        <v>#N/A</v>
      </c>
      <c r="I3" s="521" t="e">
        <f ca="1">IF(SUM(I90:I93,I97)=0,"NO AUDIT","")</f>
        <v>#N/A</v>
      </c>
      <c r="J3" s="521" t="e">
        <f ca="1">IF(SUM(J90:J93,J97)=0,"NO AUDIT","")</f>
        <v>#N/A</v>
      </c>
      <c r="K3" s="522"/>
      <c r="L3" s="521"/>
      <c r="M3" s="521"/>
      <c r="N3" s="521"/>
      <c r="O3" s="521"/>
      <c r="P3" s="525"/>
      <c r="Q3" s="521" t="e">
        <f ca="1">IF('Balance Sheet'!E5="USD",AGGREGATED_DATA!AL8,1)</f>
        <v>#N/A</v>
      </c>
      <c r="R3" s="525"/>
      <c r="S3" s="523"/>
      <c r="T3" s="523"/>
      <c r="U3" s="521"/>
      <c r="AF3" s="485" t="s">
        <v>482</v>
      </c>
      <c r="AG3" s="485" t="s">
        <v>488</v>
      </c>
      <c r="AJ3" s="520"/>
      <c r="AQ3" s="485" t="b">
        <f ca="1">IF(ISERROR(SUM(H8:H11)),TRUE,IF(SUM(H8:H11)=0,TRUE,FALSE))</f>
        <v>1</v>
      </c>
      <c r="AR3" s="485" t="b">
        <f ca="1">IF(ISERROR(SUM(I8:I11)),TRUE,IF(SUM(I8:I11)=0,TRUE,FALSE))</f>
        <v>1</v>
      </c>
      <c r="AS3" s="564" t="s">
        <v>424</v>
      </c>
      <c r="AT3" s="485" t="b">
        <f ca="1">IF(ISERROR(SUM(J8:J11)),TRUE,IF(SUM(J8:J11)=0,TRUE,FALSE))</f>
        <v>1</v>
      </c>
      <c r="BP3" s="485" t="e">
        <f ca="1">IF(OR(DB_LOAD!AW2="USD",DB_LOAD!AW2='Refi-Annual Review'!$A$3,ISBLANK(DB_LOAD!AW2)),0,1)</f>
        <v>#NAME?</v>
      </c>
      <c r="BQ3">
        <f>(IF(ISBLANK(DB_LOAD!AR2),"",DB_LOAD!AR2))</f>
        <v>2500000</v>
      </c>
      <c r="BR3">
        <f t="shared" ref="BR3:BR29" si="3">IF(LEN(BQ3)&gt;0,LEN(BQ3),"")</f>
        <v>7</v>
      </c>
      <c r="BS3">
        <f>BQ3</f>
        <v>2500000</v>
      </c>
      <c r="BT3"/>
      <c r="BU3">
        <f t="shared" ref="BU3:BU29" si="4">IF(LEN(BS3)&gt;0,LEN(BS3),"")</f>
        <v>7</v>
      </c>
      <c r="BV3"/>
      <c r="BW3">
        <f t="shared" ref="BW3:BW29" si="5">IF(LEN(BU3)&gt;0,LEN(BU3),"")</f>
        <v>1</v>
      </c>
      <c r="BX3"/>
      <c r="BY3" s="536" t="s">
        <v>465</v>
      </c>
      <c r="BZ3" s="682">
        <f>COUNTA(BU3:BU31)-COUNTBLANK(BU3:BU31)</f>
        <v>4</v>
      </c>
      <c r="CA3"/>
      <c r="CB3" s="683">
        <v>1</v>
      </c>
      <c r="CC3" s="683">
        <f>IF(CB3="","",VALUE(MID($BZ$6,CB3,1)))</f>
        <v>1</v>
      </c>
      <c r="CD3" s="683">
        <f>IF(CC3="","",VALUE(MID($BZ$5,1,CC3)))</f>
        <v>7</v>
      </c>
      <c r="CE3">
        <v>1</v>
      </c>
      <c r="CF3" t="str">
        <f>IF(CD3="","",MID($BZ$4,1,CD3))</f>
        <v>5500000</v>
      </c>
      <c r="CI3" s="494" t="e">
        <f ca="1">SUMIFS(DB_LOAD!$AU:$AU,DB_LOAD!$AW:$AW,'Refi-Annual Review'!$CJ$1,DB_LOAD!$AR:$AR,'Refi-Annual Review'!$CF3,DB_LOAD!$AP:$AP,'Refi-Annual Review'!$CK$1,DB_LOAD!$AQ:$AQ,'Refi-Annual Review'!CI$2)/DB_LOAD!$K$2</f>
        <v>#DIV/0!</v>
      </c>
      <c r="CJ3" s="494" t="e">
        <f ca="1">SUMIFS(DB_LOAD!$AU:$AU,DB_LOAD!$AW:$AW,'Refi-Annual Review'!$CJ$1,DB_LOAD!$AR:$AR,'Refi-Annual Review'!$CF3,DB_LOAD!$AP:$AP,'Refi-Annual Review'!$CK$1,DB_LOAD!$AQ:$AQ,'Refi-Annual Review'!CJ$2)/DB_LOAD!$K$2</f>
        <v>#DIV/0!</v>
      </c>
      <c r="CK3" s="494" t="e">
        <f ca="1">SUMIFS(DB_LOAD!$AU:$AU,DB_LOAD!$AW:$AW,'Refi-Annual Review'!$CJ$1,DB_LOAD!$AR:$AR,'Refi-Annual Review'!$CF3,DB_LOAD!$AP:$AP,'Refi-Annual Review'!$CK$1,DB_LOAD!$AQ:$AQ,'Refi-Annual Review'!CK$2)/DB_LOAD!$K$2</f>
        <v>#DIV/0!</v>
      </c>
      <c r="CL3" s="494" t="e">
        <f ca="1">SUMIFS(DB_LOAD!$AU:$AU,DB_LOAD!$AW:$AW,'Refi-Annual Review'!$CJ$1,DB_LOAD!$AR:$AR,'Refi-Annual Review'!$CF3,DB_LOAD!$AP:$AP,'Refi-Annual Review'!$CK$1,DB_LOAD!$AQ:$AQ,'Refi-Annual Review'!CL$2)/DB_LOAD!$K$2</f>
        <v>#DIV/0!</v>
      </c>
      <c r="CM3" s="494" t="e">
        <f ca="1">SUMIFS(DB_LOAD!$AU:$AU,DB_LOAD!$AW:$AW,'Refi-Annual Review'!$CJ$1,DB_LOAD!$AR:$AR,'Refi-Annual Review'!$CF3,DB_LOAD!$AP:$AP,'Refi-Annual Review'!$CK$1,DB_LOAD!$AQ:$AQ,'Refi-Annual Review'!CM$2)/DB_LOAD!$K$2</f>
        <v>#DIV/0!</v>
      </c>
      <c r="CN3" s="494" t="e">
        <f ca="1">SUMIFS(DB_LOAD!$AU:$AU,DB_LOAD!$AW:$AW,'Refi-Annual Review'!$CJ$1,DB_LOAD!$AR:$AR,'Refi-Annual Review'!$CF3,DB_LOAD!$AP:$AP,'Refi-Annual Review'!$CK$1,DB_LOAD!$AQ:$AQ,'Refi-Annual Review'!CN$2)/DB_LOAD!$K$2</f>
        <v>#DIV/0!</v>
      </c>
      <c r="CO3" s="494" t="e">
        <f ca="1">SUMIFS(DB_LOAD!$AU:$AU,DB_LOAD!$AW:$AW,'Refi-Annual Review'!$CJ$1,DB_LOAD!$AR:$AR,'Refi-Annual Review'!$CF3,DB_LOAD!$AP:$AP,'Refi-Annual Review'!$CK$1,DB_LOAD!$AQ:$AQ,'Refi-Annual Review'!CO$2)/DB_LOAD!$K$2</f>
        <v>#DIV/0!</v>
      </c>
      <c r="CP3" s="494" t="e">
        <f ca="1">IF(SUM(CI3:CO3)=0,"",$CE3)</f>
        <v>#DIV/0!</v>
      </c>
      <c r="CR3" s="494">
        <f ca="1">SUMIFS(DB_LOAD!$AV:$AV,DB_LOAD!$AW:$AW,'Refi-Annual Review'!$CS$1,DB_LOAD!$AR:$AR,'Refi-Annual Review'!$CF3,DB_LOAD!$AP:$AP,'Refi-Annual Review'!$CT$1,DB_LOAD!$AQ:$AQ,'Refi-Annual Review'!CR$2)</f>
        <v>0</v>
      </c>
      <c r="CS3" s="494">
        <f ca="1">SUMIFS(DB_LOAD!$AV:$AV,DB_LOAD!$AW:$AW,'Refi-Annual Review'!$CS$1,DB_LOAD!$AR:$AR,'Refi-Annual Review'!$CF3,DB_LOAD!$AP:$AP,'Refi-Annual Review'!$CT$1,DB_LOAD!$AQ:$AQ,'Refi-Annual Review'!CS$2)</f>
        <v>0</v>
      </c>
      <c r="CT3" s="494">
        <f ca="1">SUMIFS(DB_LOAD!$AV:$AV,DB_LOAD!$AW:$AW,'Refi-Annual Review'!$CS$1,DB_LOAD!$AR:$AR,'Refi-Annual Review'!$CF3,DB_LOAD!$AP:$AP,'Refi-Annual Review'!$CT$1,DB_LOAD!$AQ:$AQ,'Refi-Annual Review'!CT$2)</f>
        <v>0</v>
      </c>
      <c r="CU3" s="494">
        <f ca="1">SUMIFS(DB_LOAD!$AV:$AV,DB_LOAD!$AW:$AW,'Refi-Annual Review'!$CS$1,DB_LOAD!$AR:$AR,'Refi-Annual Review'!$CF3,DB_LOAD!$AP:$AP,'Refi-Annual Review'!$CT$1,DB_LOAD!$AQ:$AQ,'Refi-Annual Review'!CU$2)</f>
        <v>0</v>
      </c>
      <c r="CV3" s="494">
        <f ca="1">SUMIFS(DB_LOAD!$AV:$AV,DB_LOAD!$AW:$AW,'Refi-Annual Review'!$CS$1,DB_LOAD!$AR:$AR,'Refi-Annual Review'!$CF3,DB_LOAD!$AP:$AP,'Refi-Annual Review'!$CT$1,DB_LOAD!$AQ:$AQ,'Refi-Annual Review'!CV$2)</f>
        <v>0</v>
      </c>
      <c r="CW3" s="494">
        <f ca="1">SUMIFS(DB_LOAD!$AV:$AV,DB_LOAD!$AW:$AW,'Refi-Annual Review'!$CS$1,DB_LOAD!$AR:$AR,'Refi-Annual Review'!$CF3,DB_LOAD!$AP:$AP,'Refi-Annual Review'!$CT$1,DB_LOAD!$AQ:$AQ,'Refi-Annual Review'!CW$2)</f>
        <v>0</v>
      </c>
      <c r="CX3" s="494">
        <f ca="1">SUMIFS(DB_LOAD!$AV:$AV,DB_LOAD!$AW:$AW,'Refi-Annual Review'!$CS$1,DB_LOAD!$AR:$AR,'Refi-Annual Review'!$CF3,DB_LOAD!$AP:$AP,'Refi-Annual Review'!$CT$1,DB_LOAD!$AQ:$AQ,'Refi-Annual Review'!CX$2)</f>
        <v>0</v>
      </c>
      <c r="CY3" s="494" t="str">
        <f ca="1">IF(SUM(CR3:CX3)=0,"",$CE3)</f>
        <v/>
      </c>
      <c r="DA3" s="494" t="e">
        <f ca="1">SUMIFS(DB_LOAD!$AU:$AU,DB_LOAD!$AW:$AW,'Refi-Annual Review'!$DB$1,DB_LOAD!$AR:$AR,'Refi-Annual Review'!$CF3,DB_LOAD!$AP:$AP,'Refi-Annual Review'!$DC$1,DB_LOAD!$AQ:$AQ,'Refi-Annual Review'!DA$2)/IF($A$23="No Data Found",1,$A$23)</f>
        <v>#NAME?</v>
      </c>
      <c r="DB3" s="494" t="e">
        <f ca="1">SUMIFS(DB_LOAD!$AU:$AU,DB_LOAD!$AW:$AW,'Refi-Annual Review'!$DB$1,DB_LOAD!$AR:$AR,'Refi-Annual Review'!$CF3,DB_LOAD!$AP:$AP,'Refi-Annual Review'!$DC$1,DB_LOAD!$AQ:$AQ,'Refi-Annual Review'!DB$2)/IF($A$23="No Data Found",1,$A$23)</f>
        <v>#NAME?</v>
      </c>
      <c r="DC3" s="494" t="e">
        <f ca="1">SUMIFS(DB_LOAD!$AU:$AU,DB_LOAD!$AW:$AW,'Refi-Annual Review'!$DB$1,DB_LOAD!$AR:$AR,'Refi-Annual Review'!$CF3,DB_LOAD!$AP:$AP,'Refi-Annual Review'!$DC$1,DB_LOAD!$AQ:$AQ,'Refi-Annual Review'!DC$2)/IF($A$23="No Data Found",1,$A$23)</f>
        <v>#NAME?</v>
      </c>
      <c r="DD3" s="494" t="e">
        <f ca="1">SUMIFS(DB_LOAD!$AU:$AU,DB_LOAD!$AW:$AW,'Refi-Annual Review'!$DB$1,DB_LOAD!$AR:$AR,'Refi-Annual Review'!$CF3,DB_LOAD!$AP:$AP,'Refi-Annual Review'!$DC$1,DB_LOAD!$AQ:$AQ,'Refi-Annual Review'!DD$2)/IF($A$23="No Data Found",1,$A$23)</f>
        <v>#NAME?</v>
      </c>
      <c r="DE3" s="494" t="e">
        <f ca="1">SUMIFS(DB_LOAD!$AU:$AU,DB_LOAD!$AW:$AW,'Refi-Annual Review'!$DB$1,DB_LOAD!$AR:$AR,'Refi-Annual Review'!$CF3,DB_LOAD!$AP:$AP,'Refi-Annual Review'!$DC$1,DB_LOAD!$AQ:$AQ,'Refi-Annual Review'!DE$2)/IF($A$23="No Data Found",1,$A$23)</f>
        <v>#NAME?</v>
      </c>
      <c r="DF3" s="494" t="e">
        <f ca="1">SUMIFS(DB_LOAD!$AU:$AU,DB_LOAD!$AW:$AW,'Refi-Annual Review'!$DB$1,DB_LOAD!$AR:$AR,'Refi-Annual Review'!$CF3,DB_LOAD!$AP:$AP,'Refi-Annual Review'!$DC$1,DB_LOAD!$AQ:$AQ,'Refi-Annual Review'!DF$2)/IF($A$23="No Data Found",1,$A$23)</f>
        <v>#NAME?</v>
      </c>
      <c r="DG3" s="494" t="e">
        <f ca="1">SUMIFS(DB_LOAD!$AU:$AU,DB_LOAD!$AW:$AW,'Refi-Annual Review'!$DB$1,DB_LOAD!$AR:$AR,'Refi-Annual Review'!$CF3,DB_LOAD!$AP:$AP,'Refi-Annual Review'!$DC$1,DB_LOAD!$AQ:$AQ,'Refi-Annual Review'!DG$2)/IF($A$23="No Data Found",1,$A$23)</f>
        <v>#NAME?</v>
      </c>
      <c r="DH3" s="494" t="e">
        <f ca="1">IF(SUM(DA3:DG3)=0,"",$CE3)</f>
        <v>#NAME?</v>
      </c>
      <c r="DJ3" s="494">
        <f ca="1">SUMIFS(DB_LOAD!$AV:$AV,DB_LOAD!$AW:$AW,'Refi-Annual Review'!$DK$1,DB_LOAD!$AR:$AR,'Refi-Annual Review'!$CF3,DB_LOAD!$AP:$AP,'Refi-Annual Review'!$DL$1,DB_LOAD!$AQ:$AQ,'Refi-Annual Review'!DJ$2)</f>
        <v>0</v>
      </c>
      <c r="DK3" s="494">
        <f ca="1">SUMIFS(DB_LOAD!$AV:$AV,DB_LOAD!$AW:$AW,'Refi-Annual Review'!$DK$1,DB_LOAD!$AR:$AR,'Refi-Annual Review'!$CF3,DB_LOAD!$AP:$AP,'Refi-Annual Review'!$DL$1,DB_LOAD!$AQ:$AQ,'Refi-Annual Review'!DK$2)</f>
        <v>0</v>
      </c>
      <c r="DL3" s="494">
        <f ca="1">SUMIFS(DB_LOAD!$AV:$AV,DB_LOAD!$AW:$AW,'Refi-Annual Review'!$DK$1,DB_LOAD!$AR:$AR,'Refi-Annual Review'!$CF3,DB_LOAD!$AP:$AP,'Refi-Annual Review'!$DL$1,DB_LOAD!$AQ:$AQ,'Refi-Annual Review'!DL$2)</f>
        <v>0</v>
      </c>
      <c r="DM3" s="494">
        <f ca="1">SUMIFS(DB_LOAD!$AV:$AV,DB_LOAD!$AW:$AW,'Refi-Annual Review'!$DK$1,DB_LOAD!$AR:$AR,'Refi-Annual Review'!$CF3,DB_LOAD!$AP:$AP,'Refi-Annual Review'!$DL$1,DB_LOAD!$AQ:$AQ,'Refi-Annual Review'!DM$2)</f>
        <v>0</v>
      </c>
      <c r="DN3" s="494">
        <f ca="1">SUMIFS(DB_LOAD!$AV:$AV,DB_LOAD!$AW:$AW,'Refi-Annual Review'!$DK$1,DB_LOAD!$AR:$AR,'Refi-Annual Review'!$CF3,DB_LOAD!$AP:$AP,'Refi-Annual Review'!$DL$1,DB_LOAD!$AQ:$AQ,'Refi-Annual Review'!DN$2)</f>
        <v>0</v>
      </c>
      <c r="DO3" s="494">
        <f ca="1">SUMIFS(DB_LOAD!$AV:$AV,DB_LOAD!$AW:$AW,'Refi-Annual Review'!$DK$1,DB_LOAD!$AR:$AR,'Refi-Annual Review'!$CF3,DB_LOAD!$AP:$AP,'Refi-Annual Review'!$DL$1,DB_LOAD!$AQ:$AQ,'Refi-Annual Review'!DO$2)</f>
        <v>0</v>
      </c>
      <c r="DP3" s="494">
        <f ca="1">SUMIFS(DB_LOAD!$AV:$AV,DB_LOAD!$AW:$AW,'Refi-Annual Review'!$DK$1,DB_LOAD!$AR:$AR,'Refi-Annual Review'!$CF3,DB_LOAD!$AP:$AP,'Refi-Annual Review'!$DL$1,DB_LOAD!$AQ:$AQ,'Refi-Annual Review'!DP$2)</f>
        <v>0</v>
      </c>
      <c r="DQ3" s="494" t="str">
        <f ca="1">IF(SUM(DJ3:DP3)=0,"",$CE3)</f>
        <v/>
      </c>
      <c r="DS3" s="494">
        <f>SUMIFS(DB_LOAD!$AV:$AV,DB_LOAD!$AW:$AW,'Refi-Annual Review'!$DT$1,DB_LOAD!$AR:$AR,'Refi-Annual Review'!$CF3,DB_LOAD!$AP:$AP,'Refi-Annual Review'!$DU$1,DB_LOAD!$AQ:$AQ,'Refi-Annual Review'!DS$2)</f>
        <v>0</v>
      </c>
      <c r="DT3" s="494">
        <f>SUMIFS(DB_LOAD!$AV:$AV,DB_LOAD!$AW:$AW,'Refi-Annual Review'!$DT$1,DB_LOAD!$AR:$AR,'Refi-Annual Review'!$CF3,DB_LOAD!$AP:$AP,'Refi-Annual Review'!$DU$1,DB_LOAD!$AQ:$AQ,'Refi-Annual Review'!DT$2)</f>
        <v>0</v>
      </c>
      <c r="DU3" s="494">
        <f>SUMIFS(DB_LOAD!$AV:$AV,DB_LOAD!$AW:$AW,'Refi-Annual Review'!$DT$1,DB_LOAD!$AR:$AR,'Refi-Annual Review'!$CF3,DB_LOAD!$AP:$AP,'Refi-Annual Review'!$DU$1,DB_LOAD!$AQ:$AQ,'Refi-Annual Review'!DU$2)</f>
        <v>0</v>
      </c>
      <c r="DV3" s="494">
        <f>SUMIFS(DB_LOAD!$AV:$AV,DB_LOAD!$AW:$AW,'Refi-Annual Review'!$DT$1,DB_LOAD!$AR:$AR,'Refi-Annual Review'!$CF3,DB_LOAD!$AP:$AP,'Refi-Annual Review'!$DU$1,DB_LOAD!$AQ:$AQ,'Refi-Annual Review'!DV$2)</f>
        <v>0</v>
      </c>
      <c r="DW3" s="494">
        <f>SUMIFS(DB_LOAD!$AV:$AV,DB_LOAD!$AW:$AW,'Refi-Annual Review'!$DT$1,DB_LOAD!$AR:$AR,'Refi-Annual Review'!$CF3,DB_LOAD!$AP:$AP,'Refi-Annual Review'!$DU$1,DB_LOAD!$AQ:$AQ,'Refi-Annual Review'!DW$2)</f>
        <v>0</v>
      </c>
      <c r="DX3" s="494">
        <f>SUMIFS(DB_LOAD!$AV:$AV,DB_LOAD!$AW:$AW,'Refi-Annual Review'!$DT$1,DB_LOAD!$AR:$AR,'Refi-Annual Review'!$CF3,DB_LOAD!$AP:$AP,'Refi-Annual Review'!$DU$1,DB_LOAD!$AQ:$AQ,'Refi-Annual Review'!DX$2)</f>
        <v>0</v>
      </c>
      <c r="DY3" s="494">
        <f>SUMIFS(DB_LOAD!$AV:$AV,DB_LOAD!$AW:$AW,'Refi-Annual Review'!$DT$1,DB_LOAD!$AR:$AR,'Refi-Annual Review'!$CF3,DB_LOAD!$AP:$AP,'Refi-Annual Review'!$DU$1,DB_LOAD!$AQ:$AQ,'Refi-Annual Review'!DY$2)</f>
        <v>0</v>
      </c>
      <c r="DZ3" s="494" t="str">
        <f>IF(SUM(DS3:DY3)=0,"",$CE3)</f>
        <v/>
      </c>
      <c r="EC3" s="485" t="s">
        <v>334</v>
      </c>
      <c r="ED3" s="824" t="e">
        <f ca="1">AO56</f>
        <v>#NAME?</v>
      </c>
    </row>
    <row r="4" spans="1:134" ht="15">
      <c r="A4" s="519"/>
      <c r="B4" s="520"/>
      <c r="C4" s="520"/>
      <c r="D4" s="520"/>
      <c r="F4" s="521" t="e">
        <f ca="1">IF('Balance Sheet'!$E$5="USD",AVERAGE((OFFSET(DB_LOAD!$K:$K,MATCH(DATE(F7,12,31),DB_LOAD!$H:$H,0)-1,0,12,1))),1)</f>
        <v>#N/A</v>
      </c>
      <c r="G4" s="521" t="e">
        <f ca="1">IF('Balance Sheet'!$E$5="USD",AVERAGE((OFFSET(DB_LOAD!$K:$K,MATCH(DATE(G7,12,31),DB_LOAD!$H:$H,0)-1,0,12,1))),1)</f>
        <v>#N/A</v>
      </c>
      <c r="H4" s="521" t="e">
        <f ca="1">IF('Balance Sheet'!$E$5="USD",AVERAGE((OFFSET(DB_LOAD!$K:$K,MATCH(DATE(H7,12,31),DB_LOAD!$H:$H,0)-1,0,12,1))),1)</f>
        <v>#N/A</v>
      </c>
      <c r="I4" s="521" t="e">
        <f ca="1">IF('Balance Sheet'!$E$5="USD",AVERAGE((OFFSET(DB_LOAD!$K:$K,MATCH(DATE(I7,12,31),DB_LOAD!$H:$H,0)-1,0,12,1))),1)</f>
        <v>#N/A</v>
      </c>
      <c r="J4" s="521" t="e">
        <f ca="1">IF('Balance Sheet'!$E$5="USD",AVERAGE((OFFSET(DB_LOAD!$K:$K,MATCH(DATE(J7,12,31),DB_LOAD!$H:$H,0)-1,0,12,1))),1)</f>
        <v>#N/A</v>
      </c>
      <c r="K4" s="522"/>
      <c r="L4" s="521" t="e">
        <f ca="1">IF('Balance Sheet'!$E$5="USD",AVERAGE((OFFSET(DB_LOAD!$K:$K,MATCH(DATE(L7,12,31),DB_LOAD!$H:$H,0)-1,0,12,1))),1)</f>
        <v>#N/A</v>
      </c>
      <c r="M4" s="521" t="e">
        <f ca="1">IF('Balance Sheet'!$E$5="USD",AVERAGE((OFFSET(DB_LOAD!$K:$K,MATCH(DATE(M7,12,31),DB_LOAD!$H:$H,0)-1,0,12,1))),1)</f>
        <v>#N/A</v>
      </c>
      <c r="N4" s="521" t="e">
        <f ca="1">IF('Balance Sheet'!$E$5="USD",AVERAGE((OFFSET(DB_LOAD!$K:$K,MATCH(DATE(N7,12,31),DB_LOAD!$H:$H,0)-1,0,12,1))),1)</f>
        <v>#N/A</v>
      </c>
      <c r="O4" s="521" t="e">
        <f ca="1">IF('Balance Sheet'!$E$5="USD",AVERAGE((OFFSET(DB_LOAD!$K:$K,MATCH(DATE(O7,12,31),DB_LOAD!$H:$H,0)-1,0,12,1))),1)</f>
        <v>#N/A</v>
      </c>
      <c r="P4" s="525"/>
      <c r="Q4" s="521" t="e">
        <f ca="1">IF('Balance Sheet'!$E$5="USD",AVERAGE((OFFSET(DB_LOAD!$K:$K,MATCH(MAX(DB_LOAD!F:F),DB_LOAD!$H:$H,0)-1,0,12,1))),1)</f>
        <v>#N/A</v>
      </c>
      <c r="R4" s="521" t="e">
        <f ca="1">Q4</f>
        <v>#N/A</v>
      </c>
      <c r="S4" s="526"/>
      <c r="T4" s="520"/>
      <c r="U4" s="521"/>
      <c r="AF4" s="485" t="s">
        <v>483</v>
      </c>
      <c r="AG4" s="485" t="s">
        <v>489</v>
      </c>
      <c r="AJ4" s="520"/>
      <c r="AK4" s="485" t="str">
        <f ca="1">AK7&amp;AK6</f>
        <v>-3No Financials</v>
      </c>
      <c r="AL4" s="485" t="str">
        <f ca="1">AL7&amp;AL6</f>
        <v>-2No Financials</v>
      </c>
      <c r="AM4" s="485" t="str">
        <f t="shared" ref="AM4:AN4" ca="1" si="6">AM7&amp;AM6</f>
        <v>-1No Financials</v>
      </c>
      <c r="AN4" s="485" t="str">
        <f t="shared" ca="1" si="6"/>
        <v>0No Financials</v>
      </c>
      <c r="AS4" s="564" t="s">
        <v>425</v>
      </c>
      <c r="AT4" s="485" t="b">
        <f ca="1">IF(ISERROR(SUM(O9:O12)),TRUE,IF(SUM(O9:O12)=0,TRUE,FALSE))</f>
        <v>1</v>
      </c>
      <c r="BP4" s="485" t="e">
        <f ca="1">IF(OR(DB_LOAD!AW3="USD",DB_LOAD!AW3='Refi-Annual Review'!$A$3,ISBLANK(DB_LOAD!AW3)),0,1)</f>
        <v>#NAME?</v>
      </c>
      <c r="BQ4">
        <f>(IF(ISBLANK(DB_LOAD!AR3),"",DB_LOAD!AR3))</f>
        <v>5500000</v>
      </c>
      <c r="BR4">
        <f t="shared" si="3"/>
        <v>7</v>
      </c>
      <c r="BS4">
        <f t="shared" ref="BS4:BS29" si="7">IF(AND(BQ4=BQ3,BR4=BR3,BQ4&lt;&gt;""),"",IF(BQ4="","",BQ4))</f>
        <v>5500000</v>
      </c>
      <c r="BT4" t="str">
        <f>BS4&amp;BS3</f>
        <v>55000002500000</v>
      </c>
      <c r="BU4">
        <f t="shared" si="4"/>
        <v>7</v>
      </c>
      <c r="BV4" t="str">
        <f>BU4&amp;BU3</f>
        <v>77</v>
      </c>
      <c r="BW4">
        <f t="shared" si="5"/>
        <v>1</v>
      </c>
      <c r="BX4" t="str">
        <f>BW4&amp;BW3</f>
        <v>11</v>
      </c>
      <c r="BY4" s="536" t="s">
        <v>470</v>
      </c>
      <c r="BZ4" s="682" t="str">
        <f>BT300</f>
        <v>5500000250000016064001572600</v>
      </c>
      <c r="CA4"/>
      <c r="CB4" s="683">
        <f>IF(CB3&lt;$BZ$3,CB3+1,"")</f>
        <v>2</v>
      </c>
      <c r="CC4" s="683">
        <f>IF(CB4="","",VALUE(MID($BZ$6,CB4,1)))</f>
        <v>1</v>
      </c>
      <c r="CD4" s="683">
        <f>IF(CC4="","",VALUE(MID($BZ$5,1+SUM($CC$3:CC3),CC4)))</f>
        <v>7</v>
      </c>
      <c r="CE4">
        <f>CE3+1</f>
        <v>2</v>
      </c>
      <c r="CF4" t="str">
        <f>IF(CD4="","",MID($BZ$4,1+SUM($CD$3:CD3),CD4))</f>
        <v>2500000</v>
      </c>
      <c r="CI4" s="494" t="e">
        <f ca="1">SUMIFS(DB_LOAD!$AU:$AU,DB_LOAD!$AW:$AW,'Refi-Annual Review'!$CJ$1,DB_LOAD!$AR:$AR,'Refi-Annual Review'!$CF4,DB_LOAD!$AP:$AP,'Refi-Annual Review'!$CK$1,DB_LOAD!$AQ:$AQ,'Refi-Annual Review'!CI$2)/DB_LOAD!$K$2</f>
        <v>#DIV/0!</v>
      </c>
      <c r="CJ4" s="494" t="e">
        <f ca="1">SUMIFS(DB_LOAD!$AU:$AU,DB_LOAD!$AW:$AW,'Refi-Annual Review'!$CJ$1,DB_LOAD!$AR:$AR,'Refi-Annual Review'!$CF4,DB_LOAD!$AP:$AP,'Refi-Annual Review'!$CK$1,DB_LOAD!$AQ:$AQ,'Refi-Annual Review'!CJ$2)/DB_LOAD!$K$2</f>
        <v>#DIV/0!</v>
      </c>
      <c r="CK4" s="494" t="e">
        <f ca="1">SUMIFS(DB_LOAD!$AU:$AU,DB_LOAD!$AW:$AW,'Refi-Annual Review'!$CJ$1,DB_LOAD!$AR:$AR,'Refi-Annual Review'!$CF4,DB_LOAD!$AP:$AP,'Refi-Annual Review'!$CK$1,DB_LOAD!$AQ:$AQ,'Refi-Annual Review'!CK$2)/DB_LOAD!$K$2</f>
        <v>#DIV/0!</v>
      </c>
      <c r="CL4" s="494" t="e">
        <f ca="1">SUMIFS(DB_LOAD!$AU:$AU,DB_LOAD!$AW:$AW,'Refi-Annual Review'!$CJ$1,DB_LOAD!$AR:$AR,'Refi-Annual Review'!$CF4,DB_LOAD!$AP:$AP,'Refi-Annual Review'!$CK$1,DB_LOAD!$AQ:$AQ,'Refi-Annual Review'!CL$2)/DB_LOAD!$K$2</f>
        <v>#DIV/0!</v>
      </c>
      <c r="CM4" s="494" t="e">
        <f ca="1">SUMIFS(DB_LOAD!$AU:$AU,DB_LOAD!$AW:$AW,'Refi-Annual Review'!$CJ$1,DB_LOAD!$AR:$AR,'Refi-Annual Review'!$CF4,DB_LOAD!$AP:$AP,'Refi-Annual Review'!$CK$1,DB_LOAD!$AQ:$AQ,'Refi-Annual Review'!CM$2)/DB_LOAD!$K$2</f>
        <v>#DIV/0!</v>
      </c>
      <c r="CN4" s="494" t="e">
        <f ca="1">SUMIFS(DB_LOAD!$AU:$AU,DB_LOAD!$AW:$AW,'Refi-Annual Review'!$CJ$1,DB_LOAD!$AR:$AR,'Refi-Annual Review'!$CF4,DB_LOAD!$AP:$AP,'Refi-Annual Review'!$CK$1,DB_LOAD!$AQ:$AQ,'Refi-Annual Review'!CN$2)/DB_LOAD!$K$2</f>
        <v>#DIV/0!</v>
      </c>
      <c r="CO4" s="494" t="e">
        <f ca="1">SUMIFS(DB_LOAD!$AU:$AU,DB_LOAD!$AW:$AW,'Refi-Annual Review'!$CJ$1,DB_LOAD!$AR:$AR,'Refi-Annual Review'!$CF4,DB_LOAD!$AP:$AP,'Refi-Annual Review'!$CK$1,DB_LOAD!$AQ:$AQ,'Refi-Annual Review'!CO$2)/DB_LOAD!$K$2</f>
        <v>#DIV/0!</v>
      </c>
      <c r="CP4" s="494" t="e">
        <f t="shared" ref="CP4:CP25" ca="1" si="8">IF(SUM(CI4:CO4)=0,"",$CE4)</f>
        <v>#DIV/0!</v>
      </c>
      <c r="CR4" s="494">
        <f ca="1">SUMIFS(DB_LOAD!$AV:$AV,DB_LOAD!$AW:$AW,'Refi-Annual Review'!$CS$1,DB_LOAD!$AR:$AR,'Refi-Annual Review'!$CF4,DB_LOAD!$AP:$AP,'Refi-Annual Review'!$CT$1,DB_LOAD!$AQ:$AQ,'Refi-Annual Review'!CR$2)</f>
        <v>0</v>
      </c>
      <c r="CS4" s="494">
        <f ca="1">SUMIFS(DB_LOAD!$AV:$AV,DB_LOAD!$AW:$AW,'Refi-Annual Review'!$CS$1,DB_LOAD!$AR:$AR,'Refi-Annual Review'!$CF4,DB_LOAD!$AP:$AP,'Refi-Annual Review'!$CT$1,DB_LOAD!$AQ:$AQ,'Refi-Annual Review'!CS$2)</f>
        <v>0</v>
      </c>
      <c r="CT4" s="494">
        <f ca="1">SUMIFS(DB_LOAD!$AV:$AV,DB_LOAD!$AW:$AW,'Refi-Annual Review'!$CS$1,DB_LOAD!$AR:$AR,'Refi-Annual Review'!$CF4,DB_LOAD!$AP:$AP,'Refi-Annual Review'!$CT$1,DB_LOAD!$AQ:$AQ,'Refi-Annual Review'!CT$2)</f>
        <v>0</v>
      </c>
      <c r="CU4" s="494">
        <f ca="1">SUMIFS(DB_LOAD!$AV:$AV,DB_LOAD!$AW:$AW,'Refi-Annual Review'!$CS$1,DB_LOAD!$AR:$AR,'Refi-Annual Review'!$CF4,DB_LOAD!$AP:$AP,'Refi-Annual Review'!$CT$1,DB_LOAD!$AQ:$AQ,'Refi-Annual Review'!CU$2)</f>
        <v>0</v>
      </c>
      <c r="CV4" s="494">
        <f ca="1">SUMIFS(DB_LOAD!$AV:$AV,DB_LOAD!$AW:$AW,'Refi-Annual Review'!$CS$1,DB_LOAD!$AR:$AR,'Refi-Annual Review'!$CF4,DB_LOAD!$AP:$AP,'Refi-Annual Review'!$CT$1,DB_LOAD!$AQ:$AQ,'Refi-Annual Review'!CV$2)</f>
        <v>0</v>
      </c>
      <c r="CW4" s="494">
        <f ca="1">SUMIFS(DB_LOAD!$AV:$AV,DB_LOAD!$AW:$AW,'Refi-Annual Review'!$CS$1,DB_LOAD!$AR:$AR,'Refi-Annual Review'!$CF4,DB_LOAD!$AP:$AP,'Refi-Annual Review'!$CT$1,DB_LOAD!$AQ:$AQ,'Refi-Annual Review'!CW$2)</f>
        <v>0</v>
      </c>
      <c r="CX4" s="494">
        <f ca="1">SUMIFS(DB_LOAD!$AV:$AV,DB_LOAD!$AW:$AW,'Refi-Annual Review'!$CS$1,DB_LOAD!$AR:$AR,'Refi-Annual Review'!$CF4,DB_LOAD!$AP:$AP,'Refi-Annual Review'!$CT$1,DB_LOAD!$AQ:$AQ,'Refi-Annual Review'!CX$2)</f>
        <v>0</v>
      </c>
      <c r="CY4" s="494" t="str">
        <f t="shared" ref="CY4:CY25" ca="1" si="9">IF(SUM(CR4:CX4)=0,"",$CE4)</f>
        <v/>
      </c>
      <c r="CZ4" s="4"/>
      <c r="DA4" s="494" t="e">
        <f ca="1">SUMIFS(DB_LOAD!$AU:$AU,DB_LOAD!$AW:$AW,'Refi-Annual Review'!$DB$1,DB_LOAD!$AR:$AR,'Refi-Annual Review'!$CF4,DB_LOAD!$AP:$AP,'Refi-Annual Review'!$DC$1,DB_LOAD!$AQ:$AQ,'Refi-Annual Review'!DA$2)/IF($A$23="No Data Found",1,$A$23)</f>
        <v>#NAME?</v>
      </c>
      <c r="DB4" s="494" t="e">
        <f ca="1">SUMIFS(DB_LOAD!$AU:$AU,DB_LOAD!$AW:$AW,'Refi-Annual Review'!$DB$1,DB_LOAD!$AR:$AR,'Refi-Annual Review'!$CF4,DB_LOAD!$AP:$AP,'Refi-Annual Review'!$DC$1,DB_LOAD!$AQ:$AQ,'Refi-Annual Review'!DB$2)/IF($A$23="No Data Found",1,$A$23)</f>
        <v>#NAME?</v>
      </c>
      <c r="DC4" s="494" t="e">
        <f ca="1">SUMIFS(DB_LOAD!$AU:$AU,DB_LOAD!$AW:$AW,'Refi-Annual Review'!$DB$1,DB_LOAD!$AR:$AR,'Refi-Annual Review'!$CF4,DB_LOAD!$AP:$AP,'Refi-Annual Review'!$DC$1,DB_LOAD!$AQ:$AQ,'Refi-Annual Review'!DC$2)/IF($A$23="No Data Found",1,$A$23)</f>
        <v>#NAME?</v>
      </c>
      <c r="DD4" s="494" t="e">
        <f ca="1">SUMIFS(DB_LOAD!$AU:$AU,DB_LOAD!$AW:$AW,'Refi-Annual Review'!$DB$1,DB_LOAD!$AR:$AR,'Refi-Annual Review'!$CF4,DB_LOAD!$AP:$AP,'Refi-Annual Review'!$DC$1,DB_LOAD!$AQ:$AQ,'Refi-Annual Review'!DD$2)/IF($A$23="No Data Found",1,$A$23)</f>
        <v>#NAME?</v>
      </c>
      <c r="DE4" s="494" t="e">
        <f ca="1">SUMIFS(DB_LOAD!$AU:$AU,DB_LOAD!$AW:$AW,'Refi-Annual Review'!$DB$1,DB_LOAD!$AR:$AR,'Refi-Annual Review'!$CF4,DB_LOAD!$AP:$AP,'Refi-Annual Review'!$DC$1,DB_LOAD!$AQ:$AQ,'Refi-Annual Review'!DE$2)/IF($A$23="No Data Found",1,$A$23)</f>
        <v>#NAME?</v>
      </c>
      <c r="DF4" s="494" t="e">
        <f ca="1">SUMIFS(DB_LOAD!$AU:$AU,DB_LOAD!$AW:$AW,'Refi-Annual Review'!$DB$1,DB_LOAD!$AR:$AR,'Refi-Annual Review'!$CF4,DB_LOAD!$AP:$AP,'Refi-Annual Review'!$DC$1,DB_LOAD!$AQ:$AQ,'Refi-Annual Review'!DF$2)/IF($A$23="No Data Found",1,$A$23)</f>
        <v>#NAME?</v>
      </c>
      <c r="DG4" s="494" t="e">
        <f ca="1">SUMIFS(DB_LOAD!$AU:$AU,DB_LOAD!$AW:$AW,'Refi-Annual Review'!$DB$1,DB_LOAD!$AR:$AR,'Refi-Annual Review'!$CF4,DB_LOAD!$AP:$AP,'Refi-Annual Review'!$DC$1,DB_LOAD!$AQ:$AQ,'Refi-Annual Review'!DG$2)/IF($A$23="No Data Found",1,$A$23)</f>
        <v>#NAME?</v>
      </c>
      <c r="DH4" s="494" t="e">
        <f t="shared" ref="DH4:DH25" ca="1" si="10">IF(SUM(DA4:DG4)=0,"",$CE4)</f>
        <v>#NAME?</v>
      </c>
      <c r="DJ4" s="494">
        <f ca="1">SUMIFS(DB_LOAD!$AV:$AV,DB_LOAD!$AW:$AW,'Refi-Annual Review'!$DK$1,DB_LOAD!$AR:$AR,'Refi-Annual Review'!$CF4,DB_LOAD!$AP:$AP,'Refi-Annual Review'!$DL$1,DB_LOAD!$AQ:$AQ,'Refi-Annual Review'!DJ$2)</f>
        <v>0</v>
      </c>
      <c r="DK4" s="494">
        <f ca="1">SUMIFS(DB_LOAD!$AV:$AV,DB_LOAD!$AW:$AW,'Refi-Annual Review'!$DK$1,DB_LOAD!$AR:$AR,'Refi-Annual Review'!$CF4,DB_LOAD!$AP:$AP,'Refi-Annual Review'!$DL$1,DB_LOAD!$AQ:$AQ,'Refi-Annual Review'!DK$2)</f>
        <v>0</v>
      </c>
      <c r="DL4" s="494">
        <f ca="1">SUMIFS(DB_LOAD!$AV:$AV,DB_LOAD!$AW:$AW,'Refi-Annual Review'!$DK$1,DB_LOAD!$AR:$AR,'Refi-Annual Review'!$CF4,DB_LOAD!$AP:$AP,'Refi-Annual Review'!$DL$1,DB_LOAD!$AQ:$AQ,'Refi-Annual Review'!DL$2)</f>
        <v>0</v>
      </c>
      <c r="DM4" s="494">
        <f ca="1">SUMIFS(DB_LOAD!$AV:$AV,DB_LOAD!$AW:$AW,'Refi-Annual Review'!$DK$1,DB_LOAD!$AR:$AR,'Refi-Annual Review'!$CF4,DB_LOAD!$AP:$AP,'Refi-Annual Review'!$DL$1,DB_LOAD!$AQ:$AQ,'Refi-Annual Review'!DM$2)</f>
        <v>0</v>
      </c>
      <c r="DN4" s="494">
        <f ca="1">SUMIFS(DB_LOAD!$AV:$AV,DB_LOAD!$AW:$AW,'Refi-Annual Review'!$DK$1,DB_LOAD!$AR:$AR,'Refi-Annual Review'!$CF4,DB_LOAD!$AP:$AP,'Refi-Annual Review'!$DL$1,DB_LOAD!$AQ:$AQ,'Refi-Annual Review'!DN$2)</f>
        <v>0</v>
      </c>
      <c r="DO4" s="494">
        <f ca="1">SUMIFS(DB_LOAD!$AV:$AV,DB_LOAD!$AW:$AW,'Refi-Annual Review'!$DK$1,DB_LOAD!$AR:$AR,'Refi-Annual Review'!$CF4,DB_LOAD!$AP:$AP,'Refi-Annual Review'!$DL$1,DB_LOAD!$AQ:$AQ,'Refi-Annual Review'!DO$2)</f>
        <v>0</v>
      </c>
      <c r="DP4" s="494">
        <f ca="1">SUMIFS(DB_LOAD!$AV:$AV,DB_LOAD!$AW:$AW,'Refi-Annual Review'!$DK$1,DB_LOAD!$AR:$AR,'Refi-Annual Review'!$CF4,DB_LOAD!$AP:$AP,'Refi-Annual Review'!$DL$1,DB_LOAD!$AQ:$AQ,'Refi-Annual Review'!DP$2)</f>
        <v>0</v>
      </c>
      <c r="DQ4" s="494" t="str">
        <f t="shared" ref="DQ4:DQ25" ca="1" si="11">IF(SUM(DJ4:DP4)=0,"",$CE4)</f>
        <v/>
      </c>
      <c r="DS4" s="494">
        <f>SUMIFS(DB_LOAD!$AV:$AV,DB_LOAD!$AW:$AW,'Refi-Annual Review'!$DT$1,DB_LOAD!$AR:$AR,'Refi-Annual Review'!$CF4,DB_LOAD!$AP:$AP,'Refi-Annual Review'!$DU$1,DB_LOAD!$AQ:$AQ,'Refi-Annual Review'!DS$2)</f>
        <v>0</v>
      </c>
      <c r="DT4" s="494">
        <f>SUMIFS(DB_LOAD!$AV:$AV,DB_LOAD!$AW:$AW,'Refi-Annual Review'!$DT$1,DB_LOAD!$AR:$AR,'Refi-Annual Review'!$CF4,DB_LOAD!$AP:$AP,'Refi-Annual Review'!$DU$1,DB_LOAD!$AQ:$AQ,'Refi-Annual Review'!DT$2)</f>
        <v>0</v>
      </c>
      <c r="DU4" s="494">
        <f>SUMIFS(DB_LOAD!$AV:$AV,DB_LOAD!$AW:$AW,'Refi-Annual Review'!$DT$1,DB_LOAD!$AR:$AR,'Refi-Annual Review'!$CF4,DB_LOAD!$AP:$AP,'Refi-Annual Review'!$DU$1,DB_LOAD!$AQ:$AQ,'Refi-Annual Review'!DU$2)</f>
        <v>0</v>
      </c>
      <c r="DV4" s="494">
        <f>SUMIFS(DB_LOAD!$AV:$AV,DB_LOAD!$AW:$AW,'Refi-Annual Review'!$DT$1,DB_LOAD!$AR:$AR,'Refi-Annual Review'!$CF4,DB_LOAD!$AP:$AP,'Refi-Annual Review'!$DU$1,DB_LOAD!$AQ:$AQ,'Refi-Annual Review'!DV$2)</f>
        <v>0</v>
      </c>
      <c r="DW4" s="494">
        <f>SUMIFS(DB_LOAD!$AV:$AV,DB_LOAD!$AW:$AW,'Refi-Annual Review'!$DT$1,DB_LOAD!$AR:$AR,'Refi-Annual Review'!$CF4,DB_LOAD!$AP:$AP,'Refi-Annual Review'!$DU$1,DB_LOAD!$AQ:$AQ,'Refi-Annual Review'!DW$2)</f>
        <v>0</v>
      </c>
      <c r="DX4" s="494">
        <f>SUMIFS(DB_LOAD!$AV:$AV,DB_LOAD!$AW:$AW,'Refi-Annual Review'!$DT$1,DB_LOAD!$AR:$AR,'Refi-Annual Review'!$CF4,DB_LOAD!$AP:$AP,'Refi-Annual Review'!$DU$1,DB_LOAD!$AQ:$AQ,'Refi-Annual Review'!DX$2)</f>
        <v>0</v>
      </c>
      <c r="DY4" s="494">
        <f>SUMIFS(DB_LOAD!$AV:$AV,DB_LOAD!$AW:$AW,'Refi-Annual Review'!$DT$1,DB_LOAD!$AR:$AR,'Refi-Annual Review'!$CF4,DB_LOAD!$AP:$AP,'Refi-Annual Review'!$DU$1,DB_LOAD!$AQ:$AQ,'Refi-Annual Review'!DY$2)</f>
        <v>0</v>
      </c>
      <c r="DZ4" s="494" t="str">
        <f t="shared" ref="DZ4:DZ25" si="12">IF(SUM(DS4:DY4)=0,"",$CE4)</f>
        <v/>
      </c>
      <c r="EC4" s="485" t="s">
        <v>42</v>
      </c>
      <c r="ED4" s="825" t="e">
        <f ca="1">AO71</f>
        <v>#NAME?</v>
      </c>
    </row>
    <row r="5" spans="1:134" ht="15">
      <c r="A5" s="519" t="e">
        <f ca="1">IF(ISBLANK(Config!B19),"",Config!B19)</f>
        <v>#NAME?</v>
      </c>
      <c r="B5" s="520"/>
      <c r="C5" s="520"/>
      <c r="D5" s="527" t="s">
        <v>7</v>
      </c>
      <c r="E5" s="567"/>
      <c r="F5" s="521" t="e">
        <f ca="1">IF('Balance Sheet'!$E$5="USD",(OFFSET(DB_LOAD!$K:$K,MATCH(DATE(F7,12,31),DB_LOAD!$H:$H,0)-1,0,1,1)),1)</f>
        <v>#N/A</v>
      </c>
      <c r="G5" s="521" t="e">
        <f ca="1">IF('Balance Sheet'!$E$5="USD",(OFFSET(DB_LOAD!$K:$K,MATCH(DATE(G7,12,31),DB_LOAD!$H:$H,0)-1,0,1,1)),1)</f>
        <v>#N/A</v>
      </c>
      <c r="H5" s="521" t="e">
        <f ca="1">IF('Balance Sheet'!$E$5="USD",(OFFSET(DB_LOAD!$K:$K,MATCH(DATE(H7,12,31),DB_LOAD!$H:$H,0)-1,0,1,1)),1)</f>
        <v>#N/A</v>
      </c>
      <c r="I5" s="521" t="e">
        <f ca="1">IF('Balance Sheet'!$E$5="USD",(OFFSET(DB_LOAD!$K:$K,MATCH(DATE(I7,12,31),DB_LOAD!$H:$H,0)-1,0,1,1)),1)</f>
        <v>#N/A</v>
      </c>
      <c r="J5" s="521" t="e">
        <f ca="1">IF('Balance Sheet'!$E$5="USD",(OFFSET(DB_LOAD!$K:$K,MATCH(DATE(J7,12,31),DB_LOAD!$H:$H,0)-1,0,1,1)),1)</f>
        <v>#N/A</v>
      </c>
      <c r="K5" s="522"/>
      <c r="L5" s="521" t="e">
        <f ca="1">IF('Balance Sheet'!$E$5="USD",(OFFSET(DB_LOAD!$K:$K,MATCH(DATE(L7,12,31),DB_LOAD!$H:$H,0)-1,0,1,1)),1)</f>
        <v>#N/A</v>
      </c>
      <c r="M5" s="521" t="e">
        <f ca="1">IF('Balance Sheet'!$E$5="USD",(OFFSET(DB_LOAD!$K:$K,MATCH(DATE(M7,12,31),DB_LOAD!$H:$H,0)-1,0,1,1)),1)</f>
        <v>#N/A</v>
      </c>
      <c r="N5" s="521" t="e">
        <f ca="1">IF('Balance Sheet'!$E$5="USD",(OFFSET(DB_LOAD!$K:$K,MATCH(DATE(N7,12,31),DB_LOAD!$H:$H,0)-1,0,1,1)),1)</f>
        <v>#N/A</v>
      </c>
      <c r="O5" s="521" t="e">
        <f ca="1">IF('Balance Sheet'!$E$5="USD",(OFFSET(DB_LOAD!$K:$K,MATCH(DATE(O7,12,31),DB_LOAD!$H:$H,0)-1,0,1,1)),1)</f>
        <v>#N/A</v>
      </c>
      <c r="P5" s="525"/>
      <c r="Q5" s="521" t="e">
        <f ca="1">IF('Balance Sheet'!$E$5="USD",(OFFSET(DB_LOAD!$K:$K,MATCH(MAX(DB_LOAD!F:F),DB_LOAD!$H:$H,0)-1,0,1,1)),1)</f>
        <v>#N/A</v>
      </c>
      <c r="R5" s="521" t="e">
        <f ca="1">Q5</f>
        <v>#N/A</v>
      </c>
      <c r="S5" s="520"/>
      <c r="T5" s="520"/>
      <c r="U5" s="521"/>
      <c r="AF5" s="485" t="s">
        <v>295</v>
      </c>
      <c r="AG5" s="485" t="s">
        <v>491</v>
      </c>
      <c r="AJ5" s="527" t="s">
        <v>54</v>
      </c>
      <c r="AQ5" s="485">
        <f ca="1">AL23</f>
        <v>-2</v>
      </c>
      <c r="AR5" s="485">
        <f ca="1">AM23</f>
        <v>-1</v>
      </c>
      <c r="AS5" s="485">
        <f ca="1">AN23</f>
        <v>0</v>
      </c>
      <c r="AT5" s="485" t="str">
        <f>AP23</f>
        <v>LTM Jan-00</v>
      </c>
      <c r="BP5" s="485" t="e">
        <f ca="1">IF(OR(DB_LOAD!AW4="USD",DB_LOAD!AW4='Refi-Annual Review'!$A$3,ISBLANK(DB_LOAD!AW4)),0,1)</f>
        <v>#NAME?</v>
      </c>
      <c r="BQ5">
        <f>(IF(ISBLANK(DB_LOAD!AR4),"",DB_LOAD!AR4))</f>
        <v>1606400</v>
      </c>
      <c r="BR5">
        <f t="shared" si="3"/>
        <v>7</v>
      </c>
      <c r="BS5">
        <f t="shared" si="7"/>
        <v>1606400</v>
      </c>
      <c r="BT5" t="str">
        <f t="shared" ref="BT5:BT29" si="13">BT4&amp;BS5</f>
        <v>550000025000001606400</v>
      </c>
      <c r="BU5">
        <f t="shared" si="4"/>
        <v>7</v>
      </c>
      <c r="BV5" t="str">
        <f t="shared" ref="BV5:BV29" si="14">BV4&amp;BU5</f>
        <v>777</v>
      </c>
      <c r="BW5">
        <f t="shared" si="5"/>
        <v>1</v>
      </c>
      <c r="BX5" t="str">
        <f t="shared" ref="BX5:BX29" si="15">BX4&amp;BW5</f>
        <v>111</v>
      </c>
      <c r="BY5" s="536" t="s">
        <v>471</v>
      </c>
      <c r="BZ5" s="682" t="str">
        <f>BV300</f>
        <v>7777</v>
      </c>
      <c r="CA5"/>
      <c r="CB5" s="683">
        <f t="shared" ref="CB5:CB29" si="16">IF(CB4&lt;$BZ$3,CB4+1,"")</f>
        <v>3</v>
      </c>
      <c r="CC5" s="683">
        <f t="shared" ref="CC5:CC29" si="17">IF(CB5="","",VALUE(MID($BZ$6,CB5,1)))</f>
        <v>1</v>
      </c>
      <c r="CD5" s="683">
        <f>IF(CC5="","",VALUE(MID($BZ$5,1+SUM($CC$3:CC4),CC5)))</f>
        <v>7</v>
      </c>
      <c r="CE5">
        <f t="shared" ref="CE5:CE29" si="18">CE4+1</f>
        <v>3</v>
      </c>
      <c r="CF5" t="str">
        <f>IF(CD5="","",MID($BZ$4,1+SUM($CD$3:CD4),CD5))</f>
        <v>1606400</v>
      </c>
      <c r="CI5" s="494" t="e">
        <f ca="1">SUMIFS(DB_LOAD!$AU:$AU,DB_LOAD!$AW:$AW,'Refi-Annual Review'!$CJ$1,DB_LOAD!$AR:$AR,'Refi-Annual Review'!$CF5,DB_LOAD!$AP:$AP,'Refi-Annual Review'!$CK$1,DB_LOAD!$AQ:$AQ,'Refi-Annual Review'!CI$2)/DB_LOAD!$K$2</f>
        <v>#DIV/0!</v>
      </c>
      <c r="CJ5" s="494" t="e">
        <f ca="1">SUMIFS(DB_LOAD!$AU:$AU,DB_LOAD!$AW:$AW,'Refi-Annual Review'!$CJ$1,DB_LOAD!$AR:$AR,'Refi-Annual Review'!$CF5,DB_LOAD!$AP:$AP,'Refi-Annual Review'!$CK$1,DB_LOAD!$AQ:$AQ,'Refi-Annual Review'!CJ$2)/DB_LOAD!$K$2</f>
        <v>#DIV/0!</v>
      </c>
      <c r="CK5" s="494" t="e">
        <f ca="1">SUMIFS(DB_LOAD!$AU:$AU,DB_LOAD!$AW:$AW,'Refi-Annual Review'!$CJ$1,DB_LOAD!$AR:$AR,'Refi-Annual Review'!$CF5,DB_LOAD!$AP:$AP,'Refi-Annual Review'!$CK$1,DB_LOAD!$AQ:$AQ,'Refi-Annual Review'!CK$2)/DB_LOAD!$K$2</f>
        <v>#DIV/0!</v>
      </c>
      <c r="CL5" s="494" t="e">
        <f ca="1">SUMIFS(DB_LOAD!$AU:$AU,DB_LOAD!$AW:$AW,'Refi-Annual Review'!$CJ$1,DB_LOAD!$AR:$AR,'Refi-Annual Review'!$CF5,DB_LOAD!$AP:$AP,'Refi-Annual Review'!$CK$1,DB_LOAD!$AQ:$AQ,'Refi-Annual Review'!CL$2)/DB_LOAD!$K$2</f>
        <v>#DIV/0!</v>
      </c>
      <c r="CM5" s="494" t="e">
        <f ca="1">SUMIFS(DB_LOAD!$AU:$AU,DB_LOAD!$AW:$AW,'Refi-Annual Review'!$CJ$1,DB_LOAD!$AR:$AR,'Refi-Annual Review'!$CF5,DB_LOAD!$AP:$AP,'Refi-Annual Review'!$CK$1,DB_LOAD!$AQ:$AQ,'Refi-Annual Review'!CM$2)/DB_LOAD!$K$2</f>
        <v>#DIV/0!</v>
      </c>
      <c r="CN5" s="494" t="e">
        <f ca="1">SUMIFS(DB_LOAD!$AU:$AU,DB_LOAD!$AW:$AW,'Refi-Annual Review'!$CJ$1,DB_LOAD!$AR:$AR,'Refi-Annual Review'!$CF5,DB_LOAD!$AP:$AP,'Refi-Annual Review'!$CK$1,DB_LOAD!$AQ:$AQ,'Refi-Annual Review'!CN$2)/DB_LOAD!$K$2</f>
        <v>#DIV/0!</v>
      </c>
      <c r="CO5" s="494" t="e">
        <f ca="1">SUMIFS(DB_LOAD!$AU:$AU,DB_LOAD!$AW:$AW,'Refi-Annual Review'!$CJ$1,DB_LOAD!$AR:$AR,'Refi-Annual Review'!$CF5,DB_LOAD!$AP:$AP,'Refi-Annual Review'!$CK$1,DB_LOAD!$AQ:$AQ,'Refi-Annual Review'!CO$2)/DB_LOAD!$K$2</f>
        <v>#DIV/0!</v>
      </c>
      <c r="CP5" s="494" t="e">
        <f t="shared" ca="1" si="8"/>
        <v>#DIV/0!</v>
      </c>
      <c r="CR5" s="494">
        <f ca="1">SUMIFS(DB_LOAD!$AV:$AV,DB_LOAD!$AW:$AW,'Refi-Annual Review'!$CS$1,DB_LOAD!$AR:$AR,'Refi-Annual Review'!$CF5,DB_LOAD!$AP:$AP,'Refi-Annual Review'!$CT$1,DB_LOAD!$AQ:$AQ,'Refi-Annual Review'!CR$2)</f>
        <v>0</v>
      </c>
      <c r="CS5" s="494">
        <f ca="1">SUMIFS(DB_LOAD!$AV:$AV,DB_LOAD!$AW:$AW,'Refi-Annual Review'!$CS$1,DB_LOAD!$AR:$AR,'Refi-Annual Review'!$CF5,DB_LOAD!$AP:$AP,'Refi-Annual Review'!$CT$1,DB_LOAD!$AQ:$AQ,'Refi-Annual Review'!CS$2)</f>
        <v>0</v>
      </c>
      <c r="CT5" s="494">
        <f ca="1">SUMIFS(DB_LOAD!$AV:$AV,DB_LOAD!$AW:$AW,'Refi-Annual Review'!$CS$1,DB_LOAD!$AR:$AR,'Refi-Annual Review'!$CF5,DB_LOAD!$AP:$AP,'Refi-Annual Review'!$CT$1,DB_LOAD!$AQ:$AQ,'Refi-Annual Review'!CT$2)</f>
        <v>0</v>
      </c>
      <c r="CU5" s="494">
        <f ca="1">SUMIFS(DB_LOAD!$AV:$AV,DB_LOAD!$AW:$AW,'Refi-Annual Review'!$CS$1,DB_LOAD!$AR:$AR,'Refi-Annual Review'!$CF5,DB_LOAD!$AP:$AP,'Refi-Annual Review'!$CT$1,DB_LOAD!$AQ:$AQ,'Refi-Annual Review'!CU$2)</f>
        <v>0</v>
      </c>
      <c r="CV5" s="494">
        <f ca="1">SUMIFS(DB_LOAD!$AV:$AV,DB_LOAD!$AW:$AW,'Refi-Annual Review'!$CS$1,DB_LOAD!$AR:$AR,'Refi-Annual Review'!$CF5,DB_LOAD!$AP:$AP,'Refi-Annual Review'!$CT$1,DB_LOAD!$AQ:$AQ,'Refi-Annual Review'!CV$2)</f>
        <v>0</v>
      </c>
      <c r="CW5" s="494">
        <f ca="1">SUMIFS(DB_LOAD!$AV:$AV,DB_LOAD!$AW:$AW,'Refi-Annual Review'!$CS$1,DB_LOAD!$AR:$AR,'Refi-Annual Review'!$CF5,DB_LOAD!$AP:$AP,'Refi-Annual Review'!$CT$1,DB_LOAD!$AQ:$AQ,'Refi-Annual Review'!CW$2)</f>
        <v>0</v>
      </c>
      <c r="CX5" s="494">
        <f ca="1">SUMIFS(DB_LOAD!$AV:$AV,DB_LOAD!$AW:$AW,'Refi-Annual Review'!$CS$1,DB_LOAD!$AR:$AR,'Refi-Annual Review'!$CF5,DB_LOAD!$AP:$AP,'Refi-Annual Review'!$CT$1,DB_LOAD!$AQ:$AQ,'Refi-Annual Review'!CX$2)</f>
        <v>0</v>
      </c>
      <c r="CY5" s="494" t="str">
        <f t="shared" ca="1" si="9"/>
        <v/>
      </c>
      <c r="CZ5"/>
      <c r="DA5" s="494" t="e">
        <f ca="1">SUMIFS(DB_LOAD!$AU:$AU,DB_LOAD!$AW:$AW,'Refi-Annual Review'!$DB$1,DB_LOAD!$AR:$AR,'Refi-Annual Review'!$CF5,DB_LOAD!$AP:$AP,'Refi-Annual Review'!$DC$1,DB_LOAD!$AQ:$AQ,'Refi-Annual Review'!DA$2)/IF($A$23="No Data Found",1,$A$23)</f>
        <v>#NAME?</v>
      </c>
      <c r="DB5" s="494" t="e">
        <f ca="1">SUMIFS(DB_LOAD!$AU:$AU,DB_LOAD!$AW:$AW,'Refi-Annual Review'!$DB$1,DB_LOAD!$AR:$AR,'Refi-Annual Review'!$CF5,DB_LOAD!$AP:$AP,'Refi-Annual Review'!$DC$1,DB_LOAD!$AQ:$AQ,'Refi-Annual Review'!DB$2)/IF($A$23="No Data Found",1,$A$23)</f>
        <v>#NAME?</v>
      </c>
      <c r="DC5" s="494" t="e">
        <f ca="1">SUMIFS(DB_LOAD!$AU:$AU,DB_LOAD!$AW:$AW,'Refi-Annual Review'!$DB$1,DB_LOAD!$AR:$AR,'Refi-Annual Review'!$CF5,DB_LOAD!$AP:$AP,'Refi-Annual Review'!$DC$1,DB_LOAD!$AQ:$AQ,'Refi-Annual Review'!DC$2)/IF($A$23="No Data Found",1,$A$23)</f>
        <v>#NAME?</v>
      </c>
      <c r="DD5" s="494" t="e">
        <f ca="1">SUMIFS(DB_LOAD!$AU:$AU,DB_LOAD!$AW:$AW,'Refi-Annual Review'!$DB$1,DB_LOAD!$AR:$AR,'Refi-Annual Review'!$CF5,DB_LOAD!$AP:$AP,'Refi-Annual Review'!$DC$1,DB_LOAD!$AQ:$AQ,'Refi-Annual Review'!DD$2)/IF($A$23="No Data Found",1,$A$23)</f>
        <v>#NAME?</v>
      </c>
      <c r="DE5" s="494" t="e">
        <f ca="1">SUMIFS(DB_LOAD!$AU:$AU,DB_LOAD!$AW:$AW,'Refi-Annual Review'!$DB$1,DB_LOAD!$AR:$AR,'Refi-Annual Review'!$CF5,DB_LOAD!$AP:$AP,'Refi-Annual Review'!$DC$1,DB_LOAD!$AQ:$AQ,'Refi-Annual Review'!DE$2)/IF($A$23="No Data Found",1,$A$23)</f>
        <v>#NAME?</v>
      </c>
      <c r="DF5" s="494" t="e">
        <f ca="1">SUMIFS(DB_LOAD!$AU:$AU,DB_LOAD!$AW:$AW,'Refi-Annual Review'!$DB$1,DB_LOAD!$AR:$AR,'Refi-Annual Review'!$CF5,DB_LOAD!$AP:$AP,'Refi-Annual Review'!$DC$1,DB_LOAD!$AQ:$AQ,'Refi-Annual Review'!DF$2)/IF($A$23="No Data Found",1,$A$23)</f>
        <v>#NAME?</v>
      </c>
      <c r="DG5" s="494" t="e">
        <f ca="1">SUMIFS(DB_LOAD!$AU:$AU,DB_LOAD!$AW:$AW,'Refi-Annual Review'!$DB$1,DB_LOAD!$AR:$AR,'Refi-Annual Review'!$CF5,DB_LOAD!$AP:$AP,'Refi-Annual Review'!$DC$1,DB_LOAD!$AQ:$AQ,'Refi-Annual Review'!DG$2)/IF($A$23="No Data Found",1,$A$23)</f>
        <v>#NAME?</v>
      </c>
      <c r="DH5" s="494" t="e">
        <f t="shared" ca="1" si="10"/>
        <v>#NAME?</v>
      </c>
      <c r="DJ5" s="494">
        <f ca="1">SUMIFS(DB_LOAD!$AV:$AV,DB_LOAD!$AW:$AW,'Refi-Annual Review'!$DK$1,DB_LOAD!$AR:$AR,'Refi-Annual Review'!$CF5,DB_LOAD!$AP:$AP,'Refi-Annual Review'!$DL$1,DB_LOAD!$AQ:$AQ,'Refi-Annual Review'!DJ$2)</f>
        <v>0</v>
      </c>
      <c r="DK5" s="494">
        <f ca="1">SUMIFS(DB_LOAD!$AV:$AV,DB_LOAD!$AW:$AW,'Refi-Annual Review'!$DK$1,DB_LOAD!$AR:$AR,'Refi-Annual Review'!$CF5,DB_LOAD!$AP:$AP,'Refi-Annual Review'!$DL$1,DB_LOAD!$AQ:$AQ,'Refi-Annual Review'!DK$2)</f>
        <v>0</v>
      </c>
      <c r="DL5" s="494">
        <f ca="1">SUMIFS(DB_LOAD!$AV:$AV,DB_LOAD!$AW:$AW,'Refi-Annual Review'!$DK$1,DB_LOAD!$AR:$AR,'Refi-Annual Review'!$CF5,DB_LOAD!$AP:$AP,'Refi-Annual Review'!$DL$1,DB_LOAD!$AQ:$AQ,'Refi-Annual Review'!DL$2)</f>
        <v>0</v>
      </c>
      <c r="DM5" s="494">
        <f ca="1">SUMIFS(DB_LOAD!$AV:$AV,DB_LOAD!$AW:$AW,'Refi-Annual Review'!$DK$1,DB_LOAD!$AR:$AR,'Refi-Annual Review'!$CF5,DB_LOAD!$AP:$AP,'Refi-Annual Review'!$DL$1,DB_LOAD!$AQ:$AQ,'Refi-Annual Review'!DM$2)</f>
        <v>0</v>
      </c>
      <c r="DN5" s="494">
        <f ca="1">SUMIFS(DB_LOAD!$AV:$AV,DB_LOAD!$AW:$AW,'Refi-Annual Review'!$DK$1,DB_LOAD!$AR:$AR,'Refi-Annual Review'!$CF5,DB_LOAD!$AP:$AP,'Refi-Annual Review'!$DL$1,DB_LOAD!$AQ:$AQ,'Refi-Annual Review'!DN$2)</f>
        <v>0</v>
      </c>
      <c r="DO5" s="494">
        <f ca="1">SUMIFS(DB_LOAD!$AV:$AV,DB_LOAD!$AW:$AW,'Refi-Annual Review'!$DK$1,DB_LOAD!$AR:$AR,'Refi-Annual Review'!$CF5,DB_LOAD!$AP:$AP,'Refi-Annual Review'!$DL$1,DB_LOAD!$AQ:$AQ,'Refi-Annual Review'!DO$2)</f>
        <v>0</v>
      </c>
      <c r="DP5" s="494">
        <f ca="1">SUMIFS(DB_LOAD!$AV:$AV,DB_LOAD!$AW:$AW,'Refi-Annual Review'!$DK$1,DB_LOAD!$AR:$AR,'Refi-Annual Review'!$CF5,DB_LOAD!$AP:$AP,'Refi-Annual Review'!$DL$1,DB_LOAD!$AQ:$AQ,'Refi-Annual Review'!DP$2)</f>
        <v>0</v>
      </c>
      <c r="DQ5" s="494" t="str">
        <f t="shared" ca="1" si="11"/>
        <v/>
      </c>
      <c r="DS5" s="494">
        <f>SUMIFS(DB_LOAD!$AV:$AV,DB_LOAD!$AW:$AW,'Refi-Annual Review'!$DT$1,DB_LOAD!$AR:$AR,'Refi-Annual Review'!$CF5,DB_LOAD!$AP:$AP,'Refi-Annual Review'!$DU$1,DB_LOAD!$AQ:$AQ,'Refi-Annual Review'!DS$2)</f>
        <v>0</v>
      </c>
      <c r="DT5" s="494">
        <f>SUMIFS(DB_LOAD!$AV:$AV,DB_LOAD!$AW:$AW,'Refi-Annual Review'!$DT$1,DB_LOAD!$AR:$AR,'Refi-Annual Review'!$CF5,DB_LOAD!$AP:$AP,'Refi-Annual Review'!$DU$1,DB_LOAD!$AQ:$AQ,'Refi-Annual Review'!DT$2)</f>
        <v>0</v>
      </c>
      <c r="DU5" s="494">
        <f>SUMIFS(DB_LOAD!$AV:$AV,DB_LOAD!$AW:$AW,'Refi-Annual Review'!$DT$1,DB_LOAD!$AR:$AR,'Refi-Annual Review'!$CF5,DB_LOAD!$AP:$AP,'Refi-Annual Review'!$DU$1,DB_LOAD!$AQ:$AQ,'Refi-Annual Review'!DU$2)</f>
        <v>0</v>
      </c>
      <c r="DV5" s="494">
        <f>SUMIFS(DB_LOAD!$AV:$AV,DB_LOAD!$AW:$AW,'Refi-Annual Review'!$DT$1,DB_LOAD!$AR:$AR,'Refi-Annual Review'!$CF5,DB_LOAD!$AP:$AP,'Refi-Annual Review'!$DU$1,DB_LOAD!$AQ:$AQ,'Refi-Annual Review'!DV$2)</f>
        <v>0</v>
      </c>
      <c r="DW5" s="494">
        <f>SUMIFS(DB_LOAD!$AV:$AV,DB_LOAD!$AW:$AW,'Refi-Annual Review'!$DT$1,DB_LOAD!$AR:$AR,'Refi-Annual Review'!$CF5,DB_LOAD!$AP:$AP,'Refi-Annual Review'!$DU$1,DB_LOAD!$AQ:$AQ,'Refi-Annual Review'!DW$2)</f>
        <v>0</v>
      </c>
      <c r="DX5" s="494">
        <f>SUMIFS(DB_LOAD!$AV:$AV,DB_LOAD!$AW:$AW,'Refi-Annual Review'!$DT$1,DB_LOAD!$AR:$AR,'Refi-Annual Review'!$CF5,DB_LOAD!$AP:$AP,'Refi-Annual Review'!$DU$1,DB_LOAD!$AQ:$AQ,'Refi-Annual Review'!DX$2)</f>
        <v>0</v>
      </c>
      <c r="DY5" s="494">
        <f>SUMIFS(DB_LOAD!$AV:$AV,DB_LOAD!$AW:$AW,'Refi-Annual Review'!$DT$1,DB_LOAD!$AR:$AR,'Refi-Annual Review'!$CF5,DB_LOAD!$AP:$AP,'Refi-Annual Review'!$DU$1,DB_LOAD!$AQ:$AQ,'Refi-Annual Review'!DY$2)</f>
        <v>0</v>
      </c>
      <c r="DZ5" s="494" t="str">
        <f t="shared" si="12"/>
        <v/>
      </c>
      <c r="EC5" s="485" t="s">
        <v>288</v>
      </c>
      <c r="ED5" s="824" t="e">
        <f ca="1">AO65</f>
        <v>#NAME?</v>
      </c>
    </row>
    <row r="6" spans="1:134" ht="15">
      <c r="A6" s="519" t="e">
        <f ca="1">IF(ISBLANK(Config!$B$13),"",Config!$B$13)</f>
        <v>#NAME?</v>
      </c>
      <c r="B6" s="520"/>
      <c r="C6" s="520"/>
      <c r="D6" s="520"/>
      <c r="F6" s="528" t="s">
        <v>54</v>
      </c>
      <c r="G6" s="528" t="s">
        <v>54</v>
      </c>
      <c r="H6" s="528" t="s">
        <v>54</v>
      </c>
      <c r="I6" s="528" t="s">
        <v>54</v>
      </c>
      <c r="J6" s="528" t="s">
        <v>54</v>
      </c>
      <c r="K6" s="529"/>
      <c r="L6" s="528" t="s">
        <v>53</v>
      </c>
      <c r="M6" s="528" t="s">
        <v>53</v>
      </c>
      <c r="N6" s="528" t="s">
        <v>53</v>
      </c>
      <c r="O6" s="528" t="s">
        <v>53</v>
      </c>
      <c r="P6" s="530"/>
      <c r="Q6" s="528" t="s">
        <v>53</v>
      </c>
      <c r="R6" s="528" t="s">
        <v>53</v>
      </c>
      <c r="S6" s="520"/>
      <c r="T6" s="520"/>
      <c r="U6" s="521"/>
      <c r="Y6" s="485" t="s">
        <v>532</v>
      </c>
      <c r="Z6" s="485" t="s">
        <v>533</v>
      </c>
      <c r="AF6" s="485" t="s">
        <v>311</v>
      </c>
      <c r="AG6" s="485" t="s">
        <v>492</v>
      </c>
      <c r="AJ6" s="520"/>
      <c r="AK6" s="528" t="str">
        <f ca="1">AA10</f>
        <v>No Financials</v>
      </c>
      <c r="AL6" s="528" t="str">
        <f ca="1">AA9</f>
        <v>No Financials</v>
      </c>
      <c r="AM6" s="493" t="str">
        <f ca="1">AA8</f>
        <v>No Financials</v>
      </c>
      <c r="AN6" s="493" t="str">
        <f ca="1">AA7</f>
        <v>No Financials</v>
      </c>
      <c r="AO6" s="493" t="str">
        <f t="shared" ref="AO6:AP17" si="19">Q6</f>
        <v>Unaudited</v>
      </c>
      <c r="AP6" s="486" t="str">
        <f t="shared" si="19"/>
        <v>Unaudited</v>
      </c>
      <c r="BP6" s="485" t="e">
        <f ca="1">IF(OR(DB_LOAD!AW5="USD",DB_LOAD!AW5='Refi-Annual Review'!$A$3,ISBLANK(DB_LOAD!AW5)),0,1)</f>
        <v>#NAME?</v>
      </c>
      <c r="BQ6">
        <f>(IF(ISBLANK(DB_LOAD!AR5),"",DB_LOAD!AR5))</f>
        <v>1572600</v>
      </c>
      <c r="BR6">
        <f t="shared" si="3"/>
        <v>7</v>
      </c>
      <c r="BS6">
        <f t="shared" si="7"/>
        <v>1572600</v>
      </c>
      <c r="BT6" t="str">
        <f t="shared" si="13"/>
        <v>5500000250000016064001572600</v>
      </c>
      <c r="BU6">
        <f t="shared" si="4"/>
        <v>7</v>
      </c>
      <c r="BV6" t="str">
        <f t="shared" si="14"/>
        <v>7777</v>
      </c>
      <c r="BW6">
        <f t="shared" si="5"/>
        <v>1</v>
      </c>
      <c r="BX6" t="str">
        <f t="shared" si="15"/>
        <v>1111</v>
      </c>
      <c r="BY6" s="536" t="s">
        <v>472</v>
      </c>
      <c r="BZ6" s="682" t="str">
        <f>BX300</f>
        <v>1111</v>
      </c>
      <c r="CA6"/>
      <c r="CB6" s="683">
        <f t="shared" si="16"/>
        <v>4</v>
      </c>
      <c r="CC6" s="683">
        <f t="shared" si="17"/>
        <v>1</v>
      </c>
      <c r="CD6" s="683">
        <f>IF(CC6="","",VALUE(MID($BZ$5,1+SUM($CC$3:CC5),CC6)))</f>
        <v>7</v>
      </c>
      <c r="CE6">
        <f t="shared" si="18"/>
        <v>4</v>
      </c>
      <c r="CF6" t="str">
        <f>IF(CD6="","",MID($BZ$4,1+SUM($CD$3:CD5),CD6))</f>
        <v>1572600</v>
      </c>
      <c r="CI6" s="494" t="e">
        <f ca="1">SUMIFS(DB_LOAD!$AU:$AU,DB_LOAD!$AW:$AW,'Refi-Annual Review'!$CJ$1,DB_LOAD!$AR:$AR,'Refi-Annual Review'!$CF6,DB_LOAD!$AP:$AP,'Refi-Annual Review'!$CK$1,DB_LOAD!$AQ:$AQ,'Refi-Annual Review'!CI$2)/DB_LOAD!$K$2</f>
        <v>#DIV/0!</v>
      </c>
      <c r="CJ6" s="494" t="e">
        <f ca="1">SUMIFS(DB_LOAD!$AU:$AU,DB_LOAD!$AW:$AW,'Refi-Annual Review'!$CJ$1,DB_LOAD!$AR:$AR,'Refi-Annual Review'!$CF6,DB_LOAD!$AP:$AP,'Refi-Annual Review'!$CK$1,DB_LOAD!$AQ:$AQ,'Refi-Annual Review'!CJ$2)/DB_LOAD!$K$2</f>
        <v>#DIV/0!</v>
      </c>
      <c r="CK6" s="494" t="e">
        <f ca="1">SUMIFS(DB_LOAD!$AU:$AU,DB_LOAD!$AW:$AW,'Refi-Annual Review'!$CJ$1,DB_LOAD!$AR:$AR,'Refi-Annual Review'!$CF6,DB_LOAD!$AP:$AP,'Refi-Annual Review'!$CK$1,DB_LOAD!$AQ:$AQ,'Refi-Annual Review'!CK$2)/DB_LOAD!$K$2</f>
        <v>#DIV/0!</v>
      </c>
      <c r="CL6" s="494" t="e">
        <f ca="1">SUMIFS(DB_LOAD!$AU:$AU,DB_LOAD!$AW:$AW,'Refi-Annual Review'!$CJ$1,DB_LOAD!$AR:$AR,'Refi-Annual Review'!$CF6,DB_LOAD!$AP:$AP,'Refi-Annual Review'!$CK$1,DB_LOAD!$AQ:$AQ,'Refi-Annual Review'!CL$2)/DB_LOAD!$K$2</f>
        <v>#DIV/0!</v>
      </c>
      <c r="CM6" s="494" t="e">
        <f ca="1">SUMIFS(DB_LOAD!$AU:$AU,DB_LOAD!$AW:$AW,'Refi-Annual Review'!$CJ$1,DB_LOAD!$AR:$AR,'Refi-Annual Review'!$CF6,DB_LOAD!$AP:$AP,'Refi-Annual Review'!$CK$1,DB_LOAD!$AQ:$AQ,'Refi-Annual Review'!CM$2)/DB_LOAD!$K$2</f>
        <v>#DIV/0!</v>
      </c>
      <c r="CN6" s="494" t="e">
        <f ca="1">SUMIFS(DB_LOAD!$AU:$AU,DB_LOAD!$AW:$AW,'Refi-Annual Review'!$CJ$1,DB_LOAD!$AR:$AR,'Refi-Annual Review'!$CF6,DB_LOAD!$AP:$AP,'Refi-Annual Review'!$CK$1,DB_LOAD!$AQ:$AQ,'Refi-Annual Review'!CN$2)/DB_LOAD!$K$2</f>
        <v>#DIV/0!</v>
      </c>
      <c r="CO6" s="494" t="e">
        <f ca="1">SUMIFS(DB_LOAD!$AU:$AU,DB_LOAD!$AW:$AW,'Refi-Annual Review'!$CJ$1,DB_LOAD!$AR:$AR,'Refi-Annual Review'!$CF6,DB_LOAD!$AP:$AP,'Refi-Annual Review'!$CK$1,DB_LOAD!$AQ:$AQ,'Refi-Annual Review'!CO$2)/DB_LOAD!$K$2</f>
        <v>#DIV/0!</v>
      </c>
      <c r="CP6" s="494" t="e">
        <f t="shared" ca="1" si="8"/>
        <v>#DIV/0!</v>
      </c>
      <c r="CR6" s="494">
        <f ca="1">SUMIFS(DB_LOAD!$AV:$AV,DB_LOAD!$AW:$AW,'Refi-Annual Review'!$CS$1,DB_LOAD!$AR:$AR,'Refi-Annual Review'!$CF6,DB_LOAD!$AP:$AP,'Refi-Annual Review'!$CT$1,DB_LOAD!$AQ:$AQ,'Refi-Annual Review'!CR$2)</f>
        <v>0</v>
      </c>
      <c r="CS6" s="494">
        <f ca="1">SUMIFS(DB_LOAD!$AV:$AV,DB_LOAD!$AW:$AW,'Refi-Annual Review'!$CS$1,DB_LOAD!$AR:$AR,'Refi-Annual Review'!$CF6,DB_LOAD!$AP:$AP,'Refi-Annual Review'!$CT$1,DB_LOAD!$AQ:$AQ,'Refi-Annual Review'!CS$2)</f>
        <v>0</v>
      </c>
      <c r="CT6" s="494">
        <f ca="1">SUMIFS(DB_LOAD!$AV:$AV,DB_LOAD!$AW:$AW,'Refi-Annual Review'!$CS$1,DB_LOAD!$AR:$AR,'Refi-Annual Review'!$CF6,DB_LOAD!$AP:$AP,'Refi-Annual Review'!$CT$1,DB_LOAD!$AQ:$AQ,'Refi-Annual Review'!CT$2)</f>
        <v>0</v>
      </c>
      <c r="CU6" s="494">
        <f ca="1">SUMIFS(DB_LOAD!$AV:$AV,DB_LOAD!$AW:$AW,'Refi-Annual Review'!$CS$1,DB_LOAD!$AR:$AR,'Refi-Annual Review'!$CF6,DB_LOAD!$AP:$AP,'Refi-Annual Review'!$CT$1,DB_LOAD!$AQ:$AQ,'Refi-Annual Review'!CU$2)</f>
        <v>0</v>
      </c>
      <c r="CV6" s="494">
        <f ca="1">SUMIFS(DB_LOAD!$AV:$AV,DB_LOAD!$AW:$AW,'Refi-Annual Review'!$CS$1,DB_LOAD!$AR:$AR,'Refi-Annual Review'!$CF6,DB_LOAD!$AP:$AP,'Refi-Annual Review'!$CT$1,DB_LOAD!$AQ:$AQ,'Refi-Annual Review'!CV$2)</f>
        <v>0</v>
      </c>
      <c r="CW6" s="494">
        <f ca="1">SUMIFS(DB_LOAD!$AV:$AV,DB_LOAD!$AW:$AW,'Refi-Annual Review'!$CS$1,DB_LOAD!$AR:$AR,'Refi-Annual Review'!$CF6,DB_LOAD!$AP:$AP,'Refi-Annual Review'!$CT$1,DB_LOAD!$AQ:$AQ,'Refi-Annual Review'!CW$2)</f>
        <v>0</v>
      </c>
      <c r="CX6" s="494">
        <f ca="1">SUMIFS(DB_LOAD!$AV:$AV,DB_LOAD!$AW:$AW,'Refi-Annual Review'!$CS$1,DB_LOAD!$AR:$AR,'Refi-Annual Review'!$CF6,DB_LOAD!$AP:$AP,'Refi-Annual Review'!$CT$1,DB_LOAD!$AQ:$AQ,'Refi-Annual Review'!CX$2)</f>
        <v>0</v>
      </c>
      <c r="CY6" s="494" t="str">
        <f t="shared" ca="1" si="9"/>
        <v/>
      </c>
      <c r="DA6" s="494" t="e">
        <f ca="1">SUMIFS(DB_LOAD!$AU:$AU,DB_LOAD!$AW:$AW,'Refi-Annual Review'!$DB$1,DB_LOAD!$AR:$AR,'Refi-Annual Review'!$CF6,DB_LOAD!$AP:$AP,'Refi-Annual Review'!$DC$1,DB_LOAD!$AQ:$AQ,'Refi-Annual Review'!DA$2)/IF($A$23="No Data Found",1,$A$23)</f>
        <v>#NAME?</v>
      </c>
      <c r="DB6" s="494" t="e">
        <f ca="1">SUMIFS(DB_LOAD!$AU:$AU,DB_LOAD!$AW:$AW,'Refi-Annual Review'!$DB$1,DB_LOAD!$AR:$AR,'Refi-Annual Review'!$CF6,DB_LOAD!$AP:$AP,'Refi-Annual Review'!$DC$1,DB_LOAD!$AQ:$AQ,'Refi-Annual Review'!DB$2)/IF($A$23="No Data Found",1,$A$23)</f>
        <v>#NAME?</v>
      </c>
      <c r="DC6" s="494" t="e">
        <f ca="1">SUMIFS(DB_LOAD!$AU:$AU,DB_LOAD!$AW:$AW,'Refi-Annual Review'!$DB$1,DB_LOAD!$AR:$AR,'Refi-Annual Review'!$CF6,DB_LOAD!$AP:$AP,'Refi-Annual Review'!$DC$1,DB_LOAD!$AQ:$AQ,'Refi-Annual Review'!DC$2)/IF($A$23="No Data Found",1,$A$23)</f>
        <v>#NAME?</v>
      </c>
      <c r="DD6" s="494" t="e">
        <f ca="1">SUMIFS(DB_LOAD!$AU:$AU,DB_LOAD!$AW:$AW,'Refi-Annual Review'!$DB$1,DB_LOAD!$AR:$AR,'Refi-Annual Review'!$CF6,DB_LOAD!$AP:$AP,'Refi-Annual Review'!$DC$1,DB_LOAD!$AQ:$AQ,'Refi-Annual Review'!DD$2)/IF($A$23="No Data Found",1,$A$23)</f>
        <v>#NAME?</v>
      </c>
      <c r="DE6" s="494" t="e">
        <f ca="1">SUMIFS(DB_LOAD!$AU:$AU,DB_LOAD!$AW:$AW,'Refi-Annual Review'!$DB$1,DB_LOAD!$AR:$AR,'Refi-Annual Review'!$CF6,DB_LOAD!$AP:$AP,'Refi-Annual Review'!$DC$1,DB_LOAD!$AQ:$AQ,'Refi-Annual Review'!DE$2)/IF($A$23="No Data Found",1,$A$23)</f>
        <v>#NAME?</v>
      </c>
      <c r="DF6" s="494" t="e">
        <f ca="1">SUMIFS(DB_LOAD!$AU:$AU,DB_LOAD!$AW:$AW,'Refi-Annual Review'!$DB$1,DB_LOAD!$AR:$AR,'Refi-Annual Review'!$CF6,DB_LOAD!$AP:$AP,'Refi-Annual Review'!$DC$1,DB_LOAD!$AQ:$AQ,'Refi-Annual Review'!DF$2)/IF($A$23="No Data Found",1,$A$23)</f>
        <v>#NAME?</v>
      </c>
      <c r="DG6" s="494" t="e">
        <f ca="1">SUMIFS(DB_LOAD!$AU:$AU,DB_LOAD!$AW:$AW,'Refi-Annual Review'!$DB$1,DB_LOAD!$AR:$AR,'Refi-Annual Review'!$CF6,DB_LOAD!$AP:$AP,'Refi-Annual Review'!$DC$1,DB_LOAD!$AQ:$AQ,'Refi-Annual Review'!DG$2)/IF($A$23="No Data Found",1,$A$23)</f>
        <v>#NAME?</v>
      </c>
      <c r="DH6" s="494" t="e">
        <f t="shared" ca="1" si="10"/>
        <v>#NAME?</v>
      </c>
      <c r="DJ6" s="494">
        <f ca="1">SUMIFS(DB_LOAD!$AV:$AV,DB_LOAD!$AW:$AW,'Refi-Annual Review'!$DK$1,DB_LOAD!$AR:$AR,'Refi-Annual Review'!$CF6,DB_LOAD!$AP:$AP,'Refi-Annual Review'!$DL$1,DB_LOAD!$AQ:$AQ,'Refi-Annual Review'!DJ$2)</f>
        <v>0</v>
      </c>
      <c r="DK6" s="494">
        <f ca="1">SUMIFS(DB_LOAD!$AV:$AV,DB_LOAD!$AW:$AW,'Refi-Annual Review'!$DK$1,DB_LOAD!$AR:$AR,'Refi-Annual Review'!$CF6,DB_LOAD!$AP:$AP,'Refi-Annual Review'!$DL$1,DB_LOAD!$AQ:$AQ,'Refi-Annual Review'!DK$2)</f>
        <v>0</v>
      </c>
      <c r="DL6" s="494">
        <f ca="1">SUMIFS(DB_LOAD!$AV:$AV,DB_LOAD!$AW:$AW,'Refi-Annual Review'!$DK$1,DB_LOAD!$AR:$AR,'Refi-Annual Review'!$CF6,DB_LOAD!$AP:$AP,'Refi-Annual Review'!$DL$1,DB_LOAD!$AQ:$AQ,'Refi-Annual Review'!DL$2)</f>
        <v>0</v>
      </c>
      <c r="DM6" s="494">
        <f ca="1">SUMIFS(DB_LOAD!$AV:$AV,DB_LOAD!$AW:$AW,'Refi-Annual Review'!$DK$1,DB_LOAD!$AR:$AR,'Refi-Annual Review'!$CF6,DB_LOAD!$AP:$AP,'Refi-Annual Review'!$DL$1,DB_LOAD!$AQ:$AQ,'Refi-Annual Review'!DM$2)</f>
        <v>0</v>
      </c>
      <c r="DN6" s="494">
        <f ca="1">SUMIFS(DB_LOAD!$AV:$AV,DB_LOAD!$AW:$AW,'Refi-Annual Review'!$DK$1,DB_LOAD!$AR:$AR,'Refi-Annual Review'!$CF6,DB_LOAD!$AP:$AP,'Refi-Annual Review'!$DL$1,DB_LOAD!$AQ:$AQ,'Refi-Annual Review'!DN$2)</f>
        <v>0</v>
      </c>
      <c r="DO6" s="494">
        <f ca="1">SUMIFS(DB_LOAD!$AV:$AV,DB_LOAD!$AW:$AW,'Refi-Annual Review'!$DK$1,DB_LOAD!$AR:$AR,'Refi-Annual Review'!$CF6,DB_LOAD!$AP:$AP,'Refi-Annual Review'!$DL$1,DB_LOAD!$AQ:$AQ,'Refi-Annual Review'!DO$2)</f>
        <v>0</v>
      </c>
      <c r="DP6" s="494">
        <f ca="1">SUMIFS(DB_LOAD!$AV:$AV,DB_LOAD!$AW:$AW,'Refi-Annual Review'!$DK$1,DB_LOAD!$AR:$AR,'Refi-Annual Review'!$CF6,DB_LOAD!$AP:$AP,'Refi-Annual Review'!$DL$1,DB_LOAD!$AQ:$AQ,'Refi-Annual Review'!DP$2)</f>
        <v>0</v>
      </c>
      <c r="DQ6" s="494" t="str">
        <f t="shared" ca="1" si="11"/>
        <v/>
      </c>
      <c r="DS6" s="494">
        <f>SUMIFS(DB_LOAD!$AV:$AV,DB_LOAD!$AW:$AW,'Refi-Annual Review'!$DT$1,DB_LOAD!$AR:$AR,'Refi-Annual Review'!$CF6,DB_LOAD!$AP:$AP,'Refi-Annual Review'!$DU$1,DB_LOAD!$AQ:$AQ,'Refi-Annual Review'!DS$2)</f>
        <v>0</v>
      </c>
      <c r="DT6" s="494">
        <f>SUMIFS(DB_LOAD!$AV:$AV,DB_LOAD!$AW:$AW,'Refi-Annual Review'!$DT$1,DB_LOAD!$AR:$AR,'Refi-Annual Review'!$CF6,DB_LOAD!$AP:$AP,'Refi-Annual Review'!$DU$1,DB_LOAD!$AQ:$AQ,'Refi-Annual Review'!DT$2)</f>
        <v>0</v>
      </c>
      <c r="DU6" s="494">
        <f>SUMIFS(DB_LOAD!$AV:$AV,DB_LOAD!$AW:$AW,'Refi-Annual Review'!$DT$1,DB_LOAD!$AR:$AR,'Refi-Annual Review'!$CF6,DB_LOAD!$AP:$AP,'Refi-Annual Review'!$DU$1,DB_LOAD!$AQ:$AQ,'Refi-Annual Review'!DU$2)</f>
        <v>0</v>
      </c>
      <c r="DV6" s="494">
        <f>SUMIFS(DB_LOAD!$AV:$AV,DB_LOAD!$AW:$AW,'Refi-Annual Review'!$DT$1,DB_LOAD!$AR:$AR,'Refi-Annual Review'!$CF6,DB_LOAD!$AP:$AP,'Refi-Annual Review'!$DU$1,DB_LOAD!$AQ:$AQ,'Refi-Annual Review'!DV$2)</f>
        <v>0</v>
      </c>
      <c r="DW6" s="494">
        <f>SUMIFS(DB_LOAD!$AV:$AV,DB_LOAD!$AW:$AW,'Refi-Annual Review'!$DT$1,DB_LOAD!$AR:$AR,'Refi-Annual Review'!$CF6,DB_LOAD!$AP:$AP,'Refi-Annual Review'!$DU$1,DB_LOAD!$AQ:$AQ,'Refi-Annual Review'!DW$2)</f>
        <v>0</v>
      </c>
      <c r="DX6" s="494">
        <f>SUMIFS(DB_LOAD!$AV:$AV,DB_LOAD!$AW:$AW,'Refi-Annual Review'!$DT$1,DB_LOAD!$AR:$AR,'Refi-Annual Review'!$CF6,DB_LOAD!$AP:$AP,'Refi-Annual Review'!$DU$1,DB_LOAD!$AQ:$AQ,'Refi-Annual Review'!DX$2)</f>
        <v>0</v>
      </c>
      <c r="DY6" s="494">
        <f>SUMIFS(DB_LOAD!$AV:$AV,DB_LOAD!$AW:$AW,'Refi-Annual Review'!$DT$1,DB_LOAD!$AR:$AR,'Refi-Annual Review'!$CF6,DB_LOAD!$AP:$AP,'Refi-Annual Review'!$DU$1,DB_LOAD!$AQ:$AQ,'Refi-Annual Review'!DY$2)</f>
        <v>0</v>
      </c>
      <c r="DZ6" s="494" t="str">
        <f t="shared" si="12"/>
        <v/>
      </c>
      <c r="EC6" s="485" t="s">
        <v>286</v>
      </c>
      <c r="ED6" s="824" t="e">
        <f ca="1">AO72</f>
        <v>#NAME?</v>
      </c>
    </row>
    <row r="7" spans="1:134" ht="15">
      <c r="A7" s="484" t="e">
        <f ca="1">IF(ISBLANK(Config!B15),"",Config!B15)</f>
        <v>#NAME?</v>
      </c>
      <c r="C7" s="485">
        <f>ROW(C7)+C1</f>
        <v>8</v>
      </c>
      <c r="D7" s="490" t="s">
        <v>9</v>
      </c>
      <c r="E7" s="568"/>
      <c r="F7" s="491">
        <f>G7-1</f>
        <v>2010</v>
      </c>
      <c r="G7" s="491">
        <f>H7-1</f>
        <v>2011</v>
      </c>
      <c r="H7" s="491">
        <f>I7-1</f>
        <v>2012</v>
      </c>
      <c r="I7" s="491">
        <f>J7-1</f>
        <v>2013</v>
      </c>
      <c r="J7" s="491">
        <v>2014</v>
      </c>
      <c r="K7" s="531"/>
      <c r="L7" s="491">
        <f>M7-1</f>
        <v>2011</v>
      </c>
      <c r="M7" s="491">
        <f>N7-1</f>
        <v>2012</v>
      </c>
      <c r="N7" s="491">
        <f>O7-1</f>
        <v>2013</v>
      </c>
      <c r="O7" s="491">
        <v>2014</v>
      </c>
      <c r="P7" s="532"/>
      <c r="Q7" s="533" t="str">
        <f>"YTD "&amp;TEXT(MAX(DB_LOAD!F:F),"mmm-yy")</f>
        <v>YTD Jan-00</v>
      </c>
      <c r="R7" s="491" t="str">
        <f>"LTM "&amp;TEXT(MAX(DB_LOAD!F:F),"mmm-yy")</f>
        <v>LTM Jan-00</v>
      </c>
      <c r="U7" s="492" t="e">
        <f>EOMONTH('Ratios &amp; Trend Analysis'!$C$4,-12)</f>
        <v>#NUM!</v>
      </c>
      <c r="W7" s="485" t="s">
        <v>534</v>
      </c>
      <c r="X7" s="485">
        <f ca="1">MAX(F2:O2)</f>
        <v>0</v>
      </c>
      <c r="Y7" s="485">
        <f ca="1">IFERROR(IF(SEARCH(X7,$J$2&amp;$I$2&amp;$H$2&amp;$G$2)&gt;0,1,0),0)</f>
        <v>0</v>
      </c>
      <c r="Z7" s="485">
        <f ca="1">IFERROR(IF(SEARCH(X7,$O$2&amp;$N$2&amp;$M$2&amp;$L$2)&gt;0,1,0),0)</f>
        <v>0</v>
      </c>
      <c r="AA7" s="485" t="str">
        <f ca="1">IF(Y7=1,"Audited",IF(Z7=1,"Unaudited","No Financials"))</f>
        <v>No Financials</v>
      </c>
      <c r="AF7" s="485" t="s">
        <v>484</v>
      </c>
      <c r="AG7" s="485" t="s">
        <v>493</v>
      </c>
      <c r="AJ7" s="490" t="s">
        <v>9</v>
      </c>
      <c r="AK7" s="491">
        <f ca="1">AL7-1</f>
        <v>-3</v>
      </c>
      <c r="AL7" s="491">
        <f ca="1">AM7-1</f>
        <v>-2</v>
      </c>
      <c r="AM7" s="491">
        <f ca="1">AN7-1</f>
        <v>-1</v>
      </c>
      <c r="AN7" s="491">
        <f ca="1">X7</f>
        <v>0</v>
      </c>
      <c r="AO7" s="491" t="str">
        <f t="shared" si="19"/>
        <v>YTD Jan-00</v>
      </c>
      <c r="AP7" s="486" t="str">
        <f t="shared" si="19"/>
        <v>LTM Jan-00</v>
      </c>
      <c r="AT7" s="317" t="s">
        <v>309</v>
      </c>
      <c r="AU7" s="317" t="s">
        <v>285</v>
      </c>
      <c r="AV7" s="317" t="s">
        <v>310</v>
      </c>
      <c r="AW7" s="317" t="s">
        <v>311</v>
      </c>
      <c r="AX7" s="317" t="s">
        <v>312</v>
      </c>
      <c r="AZ7" s="632" t="s">
        <v>448</v>
      </c>
      <c r="BA7" s="317" t="s">
        <v>449</v>
      </c>
      <c r="BB7" s="633" t="s">
        <v>450</v>
      </c>
      <c r="BE7" s="485" t="s">
        <v>536</v>
      </c>
      <c r="BF7" s="645" t="e">
        <f ca="1">A6&amp;" Exposure (in USD)"</f>
        <v>#NAME?</v>
      </c>
      <c r="BG7" s="646"/>
      <c r="BH7" s="646"/>
      <c r="BI7" s="646"/>
      <c r="BJ7" s="646"/>
      <c r="BK7" s="646"/>
      <c r="BL7" s="646"/>
      <c r="BM7" s="646"/>
      <c r="BN7" s="647"/>
      <c r="BP7" s="485" t="e">
        <f ca="1">IF(OR(DB_LOAD!AW6="USD",DB_LOAD!AW6='Refi-Annual Review'!$A$3,ISBLANK(DB_LOAD!AW6)),0,1)</f>
        <v>#NAME?</v>
      </c>
      <c r="BQ7" t="str">
        <f>(IF(ISBLANK(DB_LOAD!AR6),"",DB_LOAD!AR6))</f>
        <v/>
      </c>
      <c r="BR7" t="str">
        <f t="shared" si="3"/>
        <v/>
      </c>
      <c r="BS7" t="str">
        <f t="shared" si="7"/>
        <v/>
      </c>
      <c r="BT7" t="str">
        <f t="shared" si="13"/>
        <v>5500000250000016064001572600</v>
      </c>
      <c r="BU7" t="str">
        <f t="shared" si="4"/>
        <v/>
      </c>
      <c r="BV7" t="str">
        <f t="shared" si="14"/>
        <v>7777</v>
      </c>
      <c r="BW7" t="str">
        <f t="shared" si="5"/>
        <v/>
      </c>
      <c r="BX7" t="str">
        <f t="shared" si="15"/>
        <v>1111</v>
      </c>
      <c r="BY7" s="536" t="s">
        <v>476</v>
      </c>
      <c r="BZ7" s="682" t="e">
        <f ca="1">IF(SUM(BP3:BP300)&gt;0,"Yes","No")</f>
        <v>#NAME?</v>
      </c>
      <c r="CA7"/>
      <c r="CB7" s="683" t="str">
        <f t="shared" si="16"/>
        <v/>
      </c>
      <c r="CC7" s="683" t="str">
        <f t="shared" si="17"/>
        <v/>
      </c>
      <c r="CD7" s="683" t="str">
        <f>IF(CC7="","",VALUE(MID($BZ$5,1+SUM($CC$3:CC6),CC7)))</f>
        <v/>
      </c>
      <c r="CE7">
        <f t="shared" si="18"/>
        <v>5</v>
      </c>
      <c r="CF7" t="str">
        <f>IF(CD7="","",MID($BZ$4,1+SUM($CD$3:CD6),CD7))</f>
        <v/>
      </c>
      <c r="CI7" s="494" t="e">
        <f ca="1">SUMIFS(DB_LOAD!$AU:$AU,DB_LOAD!$AW:$AW,'Refi-Annual Review'!$CJ$1,DB_LOAD!$AR:$AR,'Refi-Annual Review'!$CF7,DB_LOAD!$AP:$AP,'Refi-Annual Review'!$CK$1,DB_LOAD!$AQ:$AQ,'Refi-Annual Review'!CI$2)/DB_LOAD!$K$2</f>
        <v>#DIV/0!</v>
      </c>
      <c r="CJ7" s="494" t="e">
        <f ca="1">SUMIFS(DB_LOAD!$AU:$AU,DB_LOAD!$AW:$AW,'Refi-Annual Review'!$CJ$1,DB_LOAD!$AR:$AR,'Refi-Annual Review'!$CF7,DB_LOAD!$AP:$AP,'Refi-Annual Review'!$CK$1,DB_LOAD!$AQ:$AQ,'Refi-Annual Review'!CJ$2)/DB_LOAD!$K$2</f>
        <v>#DIV/0!</v>
      </c>
      <c r="CK7" s="494" t="e">
        <f ca="1">SUMIFS(DB_LOAD!$AU:$AU,DB_LOAD!$AW:$AW,'Refi-Annual Review'!$CJ$1,DB_LOAD!$AR:$AR,'Refi-Annual Review'!$CF7,DB_LOAD!$AP:$AP,'Refi-Annual Review'!$CK$1,DB_LOAD!$AQ:$AQ,'Refi-Annual Review'!CK$2)/DB_LOAD!$K$2</f>
        <v>#DIV/0!</v>
      </c>
      <c r="CL7" s="494" t="e">
        <f ca="1">SUMIFS(DB_LOAD!$AU:$AU,DB_LOAD!$AW:$AW,'Refi-Annual Review'!$CJ$1,DB_LOAD!$AR:$AR,'Refi-Annual Review'!$CF7,DB_LOAD!$AP:$AP,'Refi-Annual Review'!$CK$1,DB_LOAD!$AQ:$AQ,'Refi-Annual Review'!CL$2)/DB_LOAD!$K$2</f>
        <v>#DIV/0!</v>
      </c>
      <c r="CM7" s="494" t="e">
        <f ca="1">SUMIFS(DB_LOAD!$AU:$AU,DB_LOAD!$AW:$AW,'Refi-Annual Review'!$CJ$1,DB_LOAD!$AR:$AR,'Refi-Annual Review'!$CF7,DB_LOAD!$AP:$AP,'Refi-Annual Review'!$CK$1,DB_LOAD!$AQ:$AQ,'Refi-Annual Review'!CM$2)/DB_LOAD!$K$2</f>
        <v>#DIV/0!</v>
      </c>
      <c r="CN7" s="494" t="e">
        <f ca="1">SUMIFS(DB_LOAD!$AU:$AU,DB_LOAD!$AW:$AW,'Refi-Annual Review'!$CJ$1,DB_LOAD!$AR:$AR,'Refi-Annual Review'!$CF7,DB_LOAD!$AP:$AP,'Refi-Annual Review'!$CK$1,DB_LOAD!$AQ:$AQ,'Refi-Annual Review'!CN$2)/DB_LOAD!$K$2</f>
        <v>#DIV/0!</v>
      </c>
      <c r="CO7" s="494" t="e">
        <f ca="1">SUMIFS(DB_LOAD!$AU:$AU,DB_LOAD!$AW:$AW,'Refi-Annual Review'!$CJ$1,DB_LOAD!$AR:$AR,'Refi-Annual Review'!$CF7,DB_LOAD!$AP:$AP,'Refi-Annual Review'!$CK$1,DB_LOAD!$AQ:$AQ,'Refi-Annual Review'!CO$2)/DB_LOAD!$K$2</f>
        <v>#DIV/0!</v>
      </c>
      <c r="CP7" s="494" t="e">
        <f t="shared" ca="1" si="8"/>
        <v>#DIV/0!</v>
      </c>
      <c r="CR7" s="494">
        <f ca="1">SUMIFS(DB_LOAD!$AV:$AV,DB_LOAD!$AW:$AW,'Refi-Annual Review'!$CS$1,DB_LOAD!$AR:$AR,'Refi-Annual Review'!$CF7,DB_LOAD!$AP:$AP,'Refi-Annual Review'!$CT$1,DB_LOAD!$AQ:$AQ,'Refi-Annual Review'!CR$2)</f>
        <v>0</v>
      </c>
      <c r="CS7" s="494">
        <f ca="1">SUMIFS(DB_LOAD!$AV:$AV,DB_LOAD!$AW:$AW,'Refi-Annual Review'!$CS$1,DB_LOAD!$AR:$AR,'Refi-Annual Review'!$CF7,DB_LOAD!$AP:$AP,'Refi-Annual Review'!$CT$1,DB_LOAD!$AQ:$AQ,'Refi-Annual Review'!CS$2)</f>
        <v>0</v>
      </c>
      <c r="CT7" s="494">
        <f ca="1">SUMIFS(DB_LOAD!$AV:$AV,DB_LOAD!$AW:$AW,'Refi-Annual Review'!$CS$1,DB_LOAD!$AR:$AR,'Refi-Annual Review'!$CF7,DB_LOAD!$AP:$AP,'Refi-Annual Review'!$CT$1,DB_LOAD!$AQ:$AQ,'Refi-Annual Review'!CT$2)</f>
        <v>0</v>
      </c>
      <c r="CU7" s="494">
        <f ca="1">SUMIFS(DB_LOAD!$AV:$AV,DB_LOAD!$AW:$AW,'Refi-Annual Review'!$CS$1,DB_LOAD!$AR:$AR,'Refi-Annual Review'!$CF7,DB_LOAD!$AP:$AP,'Refi-Annual Review'!$CT$1,DB_LOAD!$AQ:$AQ,'Refi-Annual Review'!CU$2)</f>
        <v>0</v>
      </c>
      <c r="CV7" s="494">
        <f ca="1">SUMIFS(DB_LOAD!$AV:$AV,DB_LOAD!$AW:$AW,'Refi-Annual Review'!$CS$1,DB_LOAD!$AR:$AR,'Refi-Annual Review'!$CF7,DB_LOAD!$AP:$AP,'Refi-Annual Review'!$CT$1,DB_LOAD!$AQ:$AQ,'Refi-Annual Review'!CV$2)</f>
        <v>0</v>
      </c>
      <c r="CW7" s="494">
        <f ca="1">SUMIFS(DB_LOAD!$AV:$AV,DB_LOAD!$AW:$AW,'Refi-Annual Review'!$CS$1,DB_LOAD!$AR:$AR,'Refi-Annual Review'!$CF7,DB_LOAD!$AP:$AP,'Refi-Annual Review'!$CT$1,DB_LOAD!$AQ:$AQ,'Refi-Annual Review'!CW$2)</f>
        <v>0</v>
      </c>
      <c r="CX7" s="494">
        <f ca="1">SUMIFS(DB_LOAD!$AV:$AV,DB_LOAD!$AW:$AW,'Refi-Annual Review'!$CS$1,DB_LOAD!$AR:$AR,'Refi-Annual Review'!$CF7,DB_LOAD!$AP:$AP,'Refi-Annual Review'!$CT$1,DB_LOAD!$AQ:$AQ,'Refi-Annual Review'!CX$2)</f>
        <v>0</v>
      </c>
      <c r="CY7" s="494" t="str">
        <f t="shared" ca="1" si="9"/>
        <v/>
      </c>
      <c r="DA7" s="494" t="e">
        <f ca="1">SUMIFS(DB_LOAD!$AU:$AU,DB_LOAD!$AW:$AW,'Refi-Annual Review'!$DB$1,DB_LOAD!$AR:$AR,'Refi-Annual Review'!$CF7,DB_LOAD!$AP:$AP,'Refi-Annual Review'!$DC$1,DB_LOAD!$AQ:$AQ,'Refi-Annual Review'!DA$2)/IF($A$23="No Data Found",1,$A$23)</f>
        <v>#NAME?</v>
      </c>
      <c r="DB7" s="494" t="e">
        <f ca="1">SUMIFS(DB_LOAD!$AU:$AU,DB_LOAD!$AW:$AW,'Refi-Annual Review'!$DB$1,DB_LOAD!$AR:$AR,'Refi-Annual Review'!$CF7,DB_LOAD!$AP:$AP,'Refi-Annual Review'!$DC$1,DB_LOAD!$AQ:$AQ,'Refi-Annual Review'!DB$2)/IF($A$23="No Data Found",1,$A$23)</f>
        <v>#NAME?</v>
      </c>
      <c r="DC7" s="494" t="e">
        <f ca="1">SUMIFS(DB_LOAD!$AU:$AU,DB_LOAD!$AW:$AW,'Refi-Annual Review'!$DB$1,DB_LOAD!$AR:$AR,'Refi-Annual Review'!$CF7,DB_LOAD!$AP:$AP,'Refi-Annual Review'!$DC$1,DB_LOAD!$AQ:$AQ,'Refi-Annual Review'!DC$2)/IF($A$23="No Data Found",1,$A$23)</f>
        <v>#NAME?</v>
      </c>
      <c r="DD7" s="494" t="e">
        <f ca="1">SUMIFS(DB_LOAD!$AU:$AU,DB_LOAD!$AW:$AW,'Refi-Annual Review'!$DB$1,DB_LOAD!$AR:$AR,'Refi-Annual Review'!$CF7,DB_LOAD!$AP:$AP,'Refi-Annual Review'!$DC$1,DB_LOAD!$AQ:$AQ,'Refi-Annual Review'!DD$2)/IF($A$23="No Data Found",1,$A$23)</f>
        <v>#NAME?</v>
      </c>
      <c r="DE7" s="494" t="e">
        <f ca="1">SUMIFS(DB_LOAD!$AU:$AU,DB_LOAD!$AW:$AW,'Refi-Annual Review'!$DB$1,DB_LOAD!$AR:$AR,'Refi-Annual Review'!$CF7,DB_LOAD!$AP:$AP,'Refi-Annual Review'!$DC$1,DB_LOAD!$AQ:$AQ,'Refi-Annual Review'!DE$2)/IF($A$23="No Data Found",1,$A$23)</f>
        <v>#NAME?</v>
      </c>
      <c r="DF7" s="494" t="e">
        <f ca="1">SUMIFS(DB_LOAD!$AU:$AU,DB_LOAD!$AW:$AW,'Refi-Annual Review'!$DB$1,DB_LOAD!$AR:$AR,'Refi-Annual Review'!$CF7,DB_LOAD!$AP:$AP,'Refi-Annual Review'!$DC$1,DB_LOAD!$AQ:$AQ,'Refi-Annual Review'!DF$2)/IF($A$23="No Data Found",1,$A$23)</f>
        <v>#NAME?</v>
      </c>
      <c r="DG7" s="494" t="e">
        <f ca="1">SUMIFS(DB_LOAD!$AU:$AU,DB_LOAD!$AW:$AW,'Refi-Annual Review'!$DB$1,DB_LOAD!$AR:$AR,'Refi-Annual Review'!$CF7,DB_LOAD!$AP:$AP,'Refi-Annual Review'!$DC$1,DB_LOAD!$AQ:$AQ,'Refi-Annual Review'!DG$2)/IF($A$23="No Data Found",1,$A$23)</f>
        <v>#NAME?</v>
      </c>
      <c r="DH7" s="494" t="e">
        <f t="shared" ca="1" si="10"/>
        <v>#NAME?</v>
      </c>
      <c r="DJ7" s="494">
        <f ca="1">SUMIFS(DB_LOAD!$AV:$AV,DB_LOAD!$AW:$AW,'Refi-Annual Review'!$DK$1,DB_LOAD!$AR:$AR,'Refi-Annual Review'!$CF7,DB_LOAD!$AP:$AP,'Refi-Annual Review'!$DL$1,DB_LOAD!$AQ:$AQ,'Refi-Annual Review'!DJ$2)</f>
        <v>0</v>
      </c>
      <c r="DK7" s="494">
        <f ca="1">SUMIFS(DB_LOAD!$AV:$AV,DB_LOAD!$AW:$AW,'Refi-Annual Review'!$DK$1,DB_LOAD!$AR:$AR,'Refi-Annual Review'!$CF7,DB_LOAD!$AP:$AP,'Refi-Annual Review'!$DL$1,DB_LOAD!$AQ:$AQ,'Refi-Annual Review'!DK$2)</f>
        <v>0</v>
      </c>
      <c r="DL7" s="494">
        <f ca="1">SUMIFS(DB_LOAD!$AV:$AV,DB_LOAD!$AW:$AW,'Refi-Annual Review'!$DK$1,DB_LOAD!$AR:$AR,'Refi-Annual Review'!$CF7,DB_LOAD!$AP:$AP,'Refi-Annual Review'!$DL$1,DB_LOAD!$AQ:$AQ,'Refi-Annual Review'!DL$2)</f>
        <v>0</v>
      </c>
      <c r="DM7" s="494">
        <f ca="1">SUMIFS(DB_LOAD!$AV:$AV,DB_LOAD!$AW:$AW,'Refi-Annual Review'!$DK$1,DB_LOAD!$AR:$AR,'Refi-Annual Review'!$CF7,DB_LOAD!$AP:$AP,'Refi-Annual Review'!$DL$1,DB_LOAD!$AQ:$AQ,'Refi-Annual Review'!DM$2)</f>
        <v>0</v>
      </c>
      <c r="DN7" s="494">
        <f ca="1">SUMIFS(DB_LOAD!$AV:$AV,DB_LOAD!$AW:$AW,'Refi-Annual Review'!$DK$1,DB_LOAD!$AR:$AR,'Refi-Annual Review'!$CF7,DB_LOAD!$AP:$AP,'Refi-Annual Review'!$DL$1,DB_LOAD!$AQ:$AQ,'Refi-Annual Review'!DN$2)</f>
        <v>0</v>
      </c>
      <c r="DO7" s="494">
        <f ca="1">SUMIFS(DB_LOAD!$AV:$AV,DB_LOAD!$AW:$AW,'Refi-Annual Review'!$DK$1,DB_LOAD!$AR:$AR,'Refi-Annual Review'!$CF7,DB_LOAD!$AP:$AP,'Refi-Annual Review'!$DL$1,DB_LOAD!$AQ:$AQ,'Refi-Annual Review'!DO$2)</f>
        <v>0</v>
      </c>
      <c r="DP7" s="494">
        <f ca="1">SUMIFS(DB_LOAD!$AV:$AV,DB_LOAD!$AW:$AW,'Refi-Annual Review'!$DK$1,DB_LOAD!$AR:$AR,'Refi-Annual Review'!$CF7,DB_LOAD!$AP:$AP,'Refi-Annual Review'!$DL$1,DB_LOAD!$AQ:$AQ,'Refi-Annual Review'!DP$2)</f>
        <v>0</v>
      </c>
      <c r="DQ7" s="494" t="str">
        <f t="shared" ca="1" si="11"/>
        <v/>
      </c>
      <c r="DS7" s="494">
        <f>SUMIFS(DB_LOAD!$AV:$AV,DB_LOAD!$AW:$AW,'Refi-Annual Review'!$DT$1,DB_LOAD!$AR:$AR,'Refi-Annual Review'!$CF7,DB_LOAD!$AP:$AP,'Refi-Annual Review'!$DU$1,DB_LOAD!$AQ:$AQ,'Refi-Annual Review'!DS$2)</f>
        <v>0</v>
      </c>
      <c r="DT7" s="494">
        <f>SUMIFS(DB_LOAD!$AV:$AV,DB_LOAD!$AW:$AW,'Refi-Annual Review'!$DT$1,DB_LOAD!$AR:$AR,'Refi-Annual Review'!$CF7,DB_LOAD!$AP:$AP,'Refi-Annual Review'!$DU$1,DB_LOAD!$AQ:$AQ,'Refi-Annual Review'!DT$2)</f>
        <v>0</v>
      </c>
      <c r="DU7" s="494">
        <f>SUMIFS(DB_LOAD!$AV:$AV,DB_LOAD!$AW:$AW,'Refi-Annual Review'!$DT$1,DB_LOAD!$AR:$AR,'Refi-Annual Review'!$CF7,DB_LOAD!$AP:$AP,'Refi-Annual Review'!$DU$1,DB_LOAD!$AQ:$AQ,'Refi-Annual Review'!DU$2)</f>
        <v>0</v>
      </c>
      <c r="DV7" s="494">
        <f>SUMIFS(DB_LOAD!$AV:$AV,DB_LOAD!$AW:$AW,'Refi-Annual Review'!$DT$1,DB_LOAD!$AR:$AR,'Refi-Annual Review'!$CF7,DB_LOAD!$AP:$AP,'Refi-Annual Review'!$DU$1,DB_LOAD!$AQ:$AQ,'Refi-Annual Review'!DV$2)</f>
        <v>0</v>
      </c>
      <c r="DW7" s="494">
        <f>SUMIFS(DB_LOAD!$AV:$AV,DB_LOAD!$AW:$AW,'Refi-Annual Review'!$DT$1,DB_LOAD!$AR:$AR,'Refi-Annual Review'!$CF7,DB_LOAD!$AP:$AP,'Refi-Annual Review'!$DU$1,DB_LOAD!$AQ:$AQ,'Refi-Annual Review'!DW$2)</f>
        <v>0</v>
      </c>
      <c r="DX7" s="494">
        <f>SUMIFS(DB_LOAD!$AV:$AV,DB_LOAD!$AW:$AW,'Refi-Annual Review'!$DT$1,DB_LOAD!$AR:$AR,'Refi-Annual Review'!$CF7,DB_LOAD!$AP:$AP,'Refi-Annual Review'!$DU$1,DB_LOAD!$AQ:$AQ,'Refi-Annual Review'!DX$2)</f>
        <v>0</v>
      </c>
      <c r="DY7" s="494">
        <f>SUMIFS(DB_LOAD!$AV:$AV,DB_LOAD!$AW:$AW,'Refi-Annual Review'!$DT$1,DB_LOAD!$AR:$AR,'Refi-Annual Review'!$CF7,DB_LOAD!$AP:$AP,'Refi-Annual Review'!$DU$1,DB_LOAD!$AQ:$AQ,'Refi-Annual Review'!DY$2)</f>
        <v>0</v>
      </c>
      <c r="DZ7" s="494" t="str">
        <f t="shared" si="12"/>
        <v/>
      </c>
      <c r="EC7" s="485" t="s">
        <v>289</v>
      </c>
      <c r="ED7" s="824" t="e">
        <f ca="1">AO59</f>
        <v>#NAME?</v>
      </c>
    </row>
    <row r="8" spans="1:134" ht="15">
      <c r="A8" s="484" t="e">
        <f ca="1">IF(ISBLANK(Config!B14),"",Config!B14)</f>
        <v>#NAME?</v>
      </c>
      <c r="C8" s="485">
        <f>C7+1</f>
        <v>9</v>
      </c>
      <c r="D8" s="493" t="str">
        <f>"Total Assets ("&amp;'Balance Sheet'!$E$5&amp;")"</f>
        <v>Total Assets (USD)</v>
      </c>
      <c r="E8" s="568"/>
      <c r="F8" s="494" t="e">
        <f ca="1">IF(F$3="NO AUDIT","",F101)</f>
        <v>#N/A</v>
      </c>
      <c r="G8" s="494" t="e">
        <f ca="1">IF(G$3="NO AUDIT","",G101)</f>
        <v>#N/A</v>
      </c>
      <c r="H8" s="494" t="e">
        <f ca="1">IF(H$3="NO AUDIT","",H101)</f>
        <v>#N/A</v>
      </c>
      <c r="I8" s="494" t="e">
        <f ca="1">IF(I$3="NO AUDIT","",I101)</f>
        <v>#N/A</v>
      </c>
      <c r="J8" s="494" t="e">
        <f ca="1">IF(J$3="NO AUDIT","",J101)</f>
        <v>#N/A</v>
      </c>
      <c r="K8" s="494"/>
      <c r="L8" s="494" t="e">
        <f ca="1">L101</f>
        <v>#NAME?</v>
      </c>
      <c r="M8" s="494" t="e">
        <f ca="1">M101</f>
        <v>#NAME?</v>
      </c>
      <c r="N8" s="494" t="e">
        <f ca="1">N101</f>
        <v>#NAME?</v>
      </c>
      <c r="O8" s="494" t="e">
        <f ca="1">O101</f>
        <v>#NAME?</v>
      </c>
      <c r="P8" s="494"/>
      <c r="Q8" s="494" t="e">
        <f ca="1">Q101</f>
        <v>#NAME?</v>
      </c>
      <c r="R8" s="494" t="e">
        <f ca="1">R101</f>
        <v>#NAME?</v>
      </c>
      <c r="S8" s="494"/>
      <c r="U8" s="494" t="e">
        <f ca="1">U101</f>
        <v>#NUM!</v>
      </c>
      <c r="X8" s="485">
        <f ca="1">X7-1</f>
        <v>-1</v>
      </c>
      <c r="Y8" s="485">
        <f t="shared" ref="Y8:Y10" ca="1" si="20">IFERROR(IF(SEARCH(X8,$J$2&amp;$I$2&amp;$H$2&amp;$G$2)&gt;0,1,0),0)</f>
        <v>0</v>
      </c>
      <c r="Z8" s="485">
        <f t="shared" ref="Z8:Z10" ca="1" si="21">IFERROR(IF(SEARCH(X8,$O$2&amp;$N$2&amp;$M$2&amp;$L$2)&gt;0,1,0),0)</f>
        <v>0</v>
      </c>
      <c r="AA8" s="485" t="str">
        <f t="shared" ref="AA8:AA10" ca="1" si="22">IF(Y8=1,"Audited",IF(Z8=1,"Unaudited","No Financials"))</f>
        <v>No Financials</v>
      </c>
      <c r="AF8" s="485" t="s">
        <v>485</v>
      </c>
      <c r="AJ8" s="493" t="str">
        <f>"Total Assets ("&amp;'Balance Sheet'!$E$5&amp;")"</f>
        <v>Total Assets (USD)</v>
      </c>
      <c r="AK8" s="494" t="e">
        <f ca="1">HLOOKUP(AK$4,$G$1:$O$213,$C8-1,FALSE)</f>
        <v>#N/A</v>
      </c>
      <c r="AL8" s="494" t="e">
        <f ca="1">HLOOKUP(AL$4,$G$1:$O$213,$C8-1,FALSE)</f>
        <v>#N/A</v>
      </c>
      <c r="AM8" s="494" t="e">
        <f t="shared" ref="AM8:AN17" ca="1" si="23">HLOOKUP(AM$4,$G$1:$O$213,$C8-1,FALSE)</f>
        <v>#N/A</v>
      </c>
      <c r="AN8" s="494" t="e">
        <f t="shared" ca="1" si="23"/>
        <v>#N/A</v>
      </c>
      <c r="AO8" s="494" t="e">
        <f t="shared" ca="1" si="19"/>
        <v>#NAME?</v>
      </c>
      <c r="AP8" s="494" t="e">
        <f t="shared" ca="1" si="19"/>
        <v>#NAME?</v>
      </c>
      <c r="AS8" s="485" t="str">
        <f>DB_LOAD!V2</f>
        <v>PAR&gt;30 (R+R)</v>
      </c>
      <c r="AT8" s="626">
        <f>IF(ISBLANK(DB_LOAD!N2),"",DB_LOAD!N2)</f>
        <v>2</v>
      </c>
      <c r="AU8" s="627" t="str">
        <f>IF(ISBLANK(DB_LOAD!P2),"",DB_LOAD!R2)</f>
        <v>USD</v>
      </c>
      <c r="AV8" s="628" t="str">
        <f>IF(ISBLANK(DB_LOAD!R2),"",IF('Balance Sheet'!$E$5="USD",DB_LOAD!O2,DB_LOAD!O2/DB_LOAD!$K$2))</f>
        <v>Azerbaijan</v>
      </c>
      <c r="AW8" s="629">
        <f>IF(C9=3,"-",IF(ISBLANK(DB_LOAD!S2),"",DB_LOAD!U2))</f>
        <v>0</v>
      </c>
      <c r="AX8" s="630">
        <f>IF(C9=3,"Equity ",IF(ISBLANK(DB_LOAD!T2),"",DB_LOAD!T2))</f>
        <v>2500000</v>
      </c>
      <c r="AY8" s="642">
        <f t="shared" ref="AY8:AY14" si="24">IF(AZ8="",1,0)</f>
        <v>1</v>
      </c>
      <c r="AZ8" s="631" t="str">
        <f>+'Risk Assessment'!N9</f>
        <v/>
      </c>
      <c r="BA8" s="643" t="e">
        <f>+'Risk Assessment'!AB9</f>
        <v>#N/A</v>
      </c>
      <c r="BB8" s="644" t="e">
        <f>+'Risk Assessment'!Z9</f>
        <v>#N/A</v>
      </c>
      <c r="BE8" s="485" t="s">
        <v>497</v>
      </c>
      <c r="BF8" s="648" t="s">
        <v>458</v>
      </c>
      <c r="BG8" s="649" t="s">
        <v>456</v>
      </c>
      <c r="BH8" s="649" t="s">
        <v>457</v>
      </c>
      <c r="BI8" s="649" t="s">
        <v>455</v>
      </c>
      <c r="BJ8" s="649" t="s">
        <v>459</v>
      </c>
      <c r="BK8" s="649" t="s">
        <v>460</v>
      </c>
      <c r="BL8" s="649" t="s">
        <v>461</v>
      </c>
      <c r="BM8" s="649" t="s">
        <v>462</v>
      </c>
      <c r="BN8" s="650" t="s">
        <v>328</v>
      </c>
      <c r="BO8" s="485" t="s">
        <v>498</v>
      </c>
      <c r="BP8" s="485" t="e">
        <f ca="1">IF(OR(DB_LOAD!AW7="USD",DB_LOAD!AW7='Refi-Annual Review'!$A$3,ISBLANK(DB_LOAD!AW7)),0,1)</f>
        <v>#NAME?</v>
      </c>
      <c r="BQ8" t="str">
        <f>(IF(ISBLANK(DB_LOAD!AR7),"",DB_LOAD!AR7))</f>
        <v/>
      </c>
      <c r="BR8" t="str">
        <f t="shared" si="3"/>
        <v/>
      </c>
      <c r="BS8" t="str">
        <f t="shared" si="7"/>
        <v/>
      </c>
      <c r="BT8" t="str">
        <f t="shared" si="13"/>
        <v>5500000250000016064001572600</v>
      </c>
      <c r="BU8" t="str">
        <f t="shared" si="4"/>
        <v/>
      </c>
      <c r="BV8" t="str">
        <f t="shared" si="14"/>
        <v>7777</v>
      </c>
      <c r="BW8" t="str">
        <f t="shared" si="5"/>
        <v/>
      </c>
      <c r="BX8" t="str">
        <f t="shared" si="15"/>
        <v>1111</v>
      </c>
      <c r="BY8"/>
      <c r="BZ8"/>
      <c r="CA8"/>
      <c r="CB8" s="683" t="str">
        <f t="shared" si="16"/>
        <v/>
      </c>
      <c r="CC8" s="683" t="str">
        <f t="shared" si="17"/>
        <v/>
      </c>
      <c r="CD8" s="683" t="str">
        <f>IF(CC8="","",VALUE(MID($BZ$5,1+SUM($CC$3:CC7),CC8)))</f>
        <v/>
      </c>
      <c r="CE8">
        <f t="shared" si="18"/>
        <v>6</v>
      </c>
      <c r="CF8" t="str">
        <f>IF(CD8="","",MID($BZ$4,1+SUM($CD$3:CD7),CD8))</f>
        <v/>
      </c>
      <c r="CI8" s="494" t="e">
        <f ca="1">SUMIFS(DB_LOAD!$AU:$AU,DB_LOAD!$AW:$AW,'Refi-Annual Review'!$CJ$1,DB_LOAD!$AR:$AR,'Refi-Annual Review'!$CF8,DB_LOAD!$AP:$AP,'Refi-Annual Review'!$CK$1,DB_LOAD!$AQ:$AQ,'Refi-Annual Review'!CI$2)/DB_LOAD!$K$2</f>
        <v>#DIV/0!</v>
      </c>
      <c r="CJ8" s="494" t="e">
        <f ca="1">SUMIFS(DB_LOAD!$AU:$AU,DB_LOAD!$AW:$AW,'Refi-Annual Review'!$CJ$1,DB_LOAD!$AR:$AR,'Refi-Annual Review'!$CF8,DB_LOAD!$AP:$AP,'Refi-Annual Review'!$CK$1,DB_LOAD!$AQ:$AQ,'Refi-Annual Review'!CJ$2)/DB_LOAD!$K$2</f>
        <v>#DIV/0!</v>
      </c>
      <c r="CK8" s="494" t="e">
        <f ca="1">SUMIFS(DB_LOAD!$AU:$AU,DB_LOAD!$AW:$AW,'Refi-Annual Review'!$CJ$1,DB_LOAD!$AR:$AR,'Refi-Annual Review'!$CF8,DB_LOAD!$AP:$AP,'Refi-Annual Review'!$CK$1,DB_LOAD!$AQ:$AQ,'Refi-Annual Review'!CK$2)/DB_LOAD!$K$2</f>
        <v>#DIV/0!</v>
      </c>
      <c r="CL8" s="494" t="e">
        <f ca="1">SUMIFS(DB_LOAD!$AU:$AU,DB_LOAD!$AW:$AW,'Refi-Annual Review'!$CJ$1,DB_LOAD!$AR:$AR,'Refi-Annual Review'!$CF8,DB_LOAD!$AP:$AP,'Refi-Annual Review'!$CK$1,DB_LOAD!$AQ:$AQ,'Refi-Annual Review'!CL$2)/DB_LOAD!$K$2</f>
        <v>#DIV/0!</v>
      </c>
      <c r="CM8" s="494" t="e">
        <f ca="1">SUMIFS(DB_LOAD!$AU:$AU,DB_LOAD!$AW:$AW,'Refi-Annual Review'!$CJ$1,DB_LOAD!$AR:$AR,'Refi-Annual Review'!$CF8,DB_LOAD!$AP:$AP,'Refi-Annual Review'!$CK$1,DB_LOAD!$AQ:$AQ,'Refi-Annual Review'!CM$2)/DB_LOAD!$K$2</f>
        <v>#DIV/0!</v>
      </c>
      <c r="CN8" s="494" t="e">
        <f ca="1">SUMIFS(DB_LOAD!$AU:$AU,DB_LOAD!$AW:$AW,'Refi-Annual Review'!$CJ$1,DB_LOAD!$AR:$AR,'Refi-Annual Review'!$CF8,DB_LOAD!$AP:$AP,'Refi-Annual Review'!$CK$1,DB_LOAD!$AQ:$AQ,'Refi-Annual Review'!CN$2)/DB_LOAD!$K$2</f>
        <v>#DIV/0!</v>
      </c>
      <c r="CO8" s="494" t="e">
        <f ca="1">SUMIFS(DB_LOAD!$AU:$AU,DB_LOAD!$AW:$AW,'Refi-Annual Review'!$CJ$1,DB_LOAD!$AR:$AR,'Refi-Annual Review'!$CF8,DB_LOAD!$AP:$AP,'Refi-Annual Review'!$CK$1,DB_LOAD!$AQ:$AQ,'Refi-Annual Review'!CO$2)/DB_LOAD!$K$2</f>
        <v>#DIV/0!</v>
      </c>
      <c r="CP8" s="494" t="e">
        <f t="shared" ca="1" si="8"/>
        <v>#DIV/0!</v>
      </c>
      <c r="CR8" s="494">
        <f ca="1">SUMIFS(DB_LOAD!$AV:$AV,DB_LOAD!$AW:$AW,'Refi-Annual Review'!$CS$1,DB_LOAD!$AR:$AR,'Refi-Annual Review'!$CF8,DB_LOAD!$AP:$AP,'Refi-Annual Review'!$CT$1,DB_LOAD!$AQ:$AQ,'Refi-Annual Review'!CR$2)</f>
        <v>0</v>
      </c>
      <c r="CS8" s="494">
        <f ca="1">SUMIFS(DB_LOAD!$AV:$AV,DB_LOAD!$AW:$AW,'Refi-Annual Review'!$CS$1,DB_LOAD!$AR:$AR,'Refi-Annual Review'!$CF8,DB_LOAD!$AP:$AP,'Refi-Annual Review'!$CT$1,DB_LOAD!$AQ:$AQ,'Refi-Annual Review'!CS$2)</f>
        <v>0</v>
      </c>
      <c r="CT8" s="494">
        <f ca="1">SUMIFS(DB_LOAD!$AV:$AV,DB_LOAD!$AW:$AW,'Refi-Annual Review'!$CS$1,DB_LOAD!$AR:$AR,'Refi-Annual Review'!$CF8,DB_LOAD!$AP:$AP,'Refi-Annual Review'!$CT$1,DB_LOAD!$AQ:$AQ,'Refi-Annual Review'!CT$2)</f>
        <v>0</v>
      </c>
      <c r="CU8" s="494">
        <f ca="1">SUMIFS(DB_LOAD!$AV:$AV,DB_LOAD!$AW:$AW,'Refi-Annual Review'!$CS$1,DB_LOAD!$AR:$AR,'Refi-Annual Review'!$CF8,DB_LOAD!$AP:$AP,'Refi-Annual Review'!$CT$1,DB_LOAD!$AQ:$AQ,'Refi-Annual Review'!CU$2)</f>
        <v>0</v>
      </c>
      <c r="CV8" s="494">
        <f ca="1">SUMIFS(DB_LOAD!$AV:$AV,DB_LOAD!$AW:$AW,'Refi-Annual Review'!$CS$1,DB_LOAD!$AR:$AR,'Refi-Annual Review'!$CF8,DB_LOAD!$AP:$AP,'Refi-Annual Review'!$CT$1,DB_LOAD!$AQ:$AQ,'Refi-Annual Review'!CV$2)</f>
        <v>0</v>
      </c>
      <c r="CW8" s="494">
        <f ca="1">SUMIFS(DB_LOAD!$AV:$AV,DB_LOAD!$AW:$AW,'Refi-Annual Review'!$CS$1,DB_LOAD!$AR:$AR,'Refi-Annual Review'!$CF8,DB_LOAD!$AP:$AP,'Refi-Annual Review'!$CT$1,DB_LOAD!$AQ:$AQ,'Refi-Annual Review'!CW$2)</f>
        <v>0</v>
      </c>
      <c r="CX8" s="494">
        <f ca="1">SUMIFS(DB_LOAD!$AV:$AV,DB_LOAD!$AW:$AW,'Refi-Annual Review'!$CS$1,DB_LOAD!$AR:$AR,'Refi-Annual Review'!$CF8,DB_LOAD!$AP:$AP,'Refi-Annual Review'!$CT$1,DB_LOAD!$AQ:$AQ,'Refi-Annual Review'!CX$2)</f>
        <v>0</v>
      </c>
      <c r="CY8" s="494" t="str">
        <f t="shared" ca="1" si="9"/>
        <v/>
      </c>
      <c r="DA8" s="494" t="e">
        <f ca="1">SUMIFS(DB_LOAD!$AU:$AU,DB_LOAD!$AW:$AW,'Refi-Annual Review'!$DB$1,DB_LOAD!$AR:$AR,'Refi-Annual Review'!$CF8,DB_LOAD!$AP:$AP,'Refi-Annual Review'!$DC$1,DB_LOAD!$AQ:$AQ,'Refi-Annual Review'!DA$2)/IF($A$23="No Data Found",1,$A$23)</f>
        <v>#NAME?</v>
      </c>
      <c r="DB8" s="494" t="e">
        <f ca="1">SUMIFS(DB_LOAD!$AU:$AU,DB_LOAD!$AW:$AW,'Refi-Annual Review'!$DB$1,DB_LOAD!$AR:$AR,'Refi-Annual Review'!$CF8,DB_LOAD!$AP:$AP,'Refi-Annual Review'!$DC$1,DB_LOAD!$AQ:$AQ,'Refi-Annual Review'!DB$2)/IF($A$23="No Data Found",1,$A$23)</f>
        <v>#NAME?</v>
      </c>
      <c r="DC8" s="494" t="e">
        <f ca="1">SUMIFS(DB_LOAD!$AU:$AU,DB_LOAD!$AW:$AW,'Refi-Annual Review'!$DB$1,DB_LOAD!$AR:$AR,'Refi-Annual Review'!$CF8,DB_LOAD!$AP:$AP,'Refi-Annual Review'!$DC$1,DB_LOAD!$AQ:$AQ,'Refi-Annual Review'!DC$2)/IF($A$23="No Data Found",1,$A$23)</f>
        <v>#NAME?</v>
      </c>
      <c r="DD8" s="494" t="e">
        <f ca="1">SUMIFS(DB_LOAD!$AU:$AU,DB_LOAD!$AW:$AW,'Refi-Annual Review'!$DB$1,DB_LOAD!$AR:$AR,'Refi-Annual Review'!$CF8,DB_LOAD!$AP:$AP,'Refi-Annual Review'!$DC$1,DB_LOAD!$AQ:$AQ,'Refi-Annual Review'!DD$2)/IF($A$23="No Data Found",1,$A$23)</f>
        <v>#NAME?</v>
      </c>
      <c r="DE8" s="494" t="e">
        <f ca="1">SUMIFS(DB_LOAD!$AU:$AU,DB_LOAD!$AW:$AW,'Refi-Annual Review'!$DB$1,DB_LOAD!$AR:$AR,'Refi-Annual Review'!$CF8,DB_LOAD!$AP:$AP,'Refi-Annual Review'!$DC$1,DB_LOAD!$AQ:$AQ,'Refi-Annual Review'!DE$2)/IF($A$23="No Data Found",1,$A$23)</f>
        <v>#NAME?</v>
      </c>
      <c r="DF8" s="494" t="e">
        <f ca="1">SUMIFS(DB_LOAD!$AU:$AU,DB_LOAD!$AW:$AW,'Refi-Annual Review'!$DB$1,DB_LOAD!$AR:$AR,'Refi-Annual Review'!$CF8,DB_LOAD!$AP:$AP,'Refi-Annual Review'!$DC$1,DB_LOAD!$AQ:$AQ,'Refi-Annual Review'!DF$2)/IF($A$23="No Data Found",1,$A$23)</f>
        <v>#NAME?</v>
      </c>
      <c r="DG8" s="494" t="e">
        <f ca="1">SUMIFS(DB_LOAD!$AU:$AU,DB_LOAD!$AW:$AW,'Refi-Annual Review'!$DB$1,DB_LOAD!$AR:$AR,'Refi-Annual Review'!$CF8,DB_LOAD!$AP:$AP,'Refi-Annual Review'!$DC$1,DB_LOAD!$AQ:$AQ,'Refi-Annual Review'!DG$2)/IF($A$23="No Data Found",1,$A$23)</f>
        <v>#NAME?</v>
      </c>
      <c r="DH8" s="494" t="e">
        <f t="shared" ca="1" si="10"/>
        <v>#NAME?</v>
      </c>
      <c r="DJ8" s="494">
        <f ca="1">SUMIFS(DB_LOAD!$AV:$AV,DB_LOAD!$AW:$AW,'Refi-Annual Review'!$DK$1,DB_LOAD!$AR:$AR,'Refi-Annual Review'!$CF8,DB_LOAD!$AP:$AP,'Refi-Annual Review'!$DL$1,DB_LOAD!$AQ:$AQ,'Refi-Annual Review'!DJ$2)</f>
        <v>0</v>
      </c>
      <c r="DK8" s="494">
        <f ca="1">SUMIFS(DB_LOAD!$AV:$AV,DB_LOAD!$AW:$AW,'Refi-Annual Review'!$DK$1,DB_LOAD!$AR:$AR,'Refi-Annual Review'!$CF8,DB_LOAD!$AP:$AP,'Refi-Annual Review'!$DL$1,DB_LOAD!$AQ:$AQ,'Refi-Annual Review'!DK$2)</f>
        <v>0</v>
      </c>
      <c r="DL8" s="494">
        <f ca="1">SUMIFS(DB_LOAD!$AV:$AV,DB_LOAD!$AW:$AW,'Refi-Annual Review'!$DK$1,DB_LOAD!$AR:$AR,'Refi-Annual Review'!$CF8,DB_LOAD!$AP:$AP,'Refi-Annual Review'!$DL$1,DB_LOAD!$AQ:$AQ,'Refi-Annual Review'!DL$2)</f>
        <v>0</v>
      </c>
      <c r="DM8" s="494">
        <f ca="1">SUMIFS(DB_LOAD!$AV:$AV,DB_LOAD!$AW:$AW,'Refi-Annual Review'!$DK$1,DB_LOAD!$AR:$AR,'Refi-Annual Review'!$CF8,DB_LOAD!$AP:$AP,'Refi-Annual Review'!$DL$1,DB_LOAD!$AQ:$AQ,'Refi-Annual Review'!DM$2)</f>
        <v>0</v>
      </c>
      <c r="DN8" s="494">
        <f ca="1">SUMIFS(DB_LOAD!$AV:$AV,DB_LOAD!$AW:$AW,'Refi-Annual Review'!$DK$1,DB_LOAD!$AR:$AR,'Refi-Annual Review'!$CF8,DB_LOAD!$AP:$AP,'Refi-Annual Review'!$DL$1,DB_LOAD!$AQ:$AQ,'Refi-Annual Review'!DN$2)</f>
        <v>0</v>
      </c>
      <c r="DO8" s="494">
        <f ca="1">SUMIFS(DB_LOAD!$AV:$AV,DB_LOAD!$AW:$AW,'Refi-Annual Review'!$DK$1,DB_LOAD!$AR:$AR,'Refi-Annual Review'!$CF8,DB_LOAD!$AP:$AP,'Refi-Annual Review'!$DL$1,DB_LOAD!$AQ:$AQ,'Refi-Annual Review'!DO$2)</f>
        <v>0</v>
      </c>
      <c r="DP8" s="494">
        <f ca="1">SUMIFS(DB_LOAD!$AV:$AV,DB_LOAD!$AW:$AW,'Refi-Annual Review'!$DK$1,DB_LOAD!$AR:$AR,'Refi-Annual Review'!$CF8,DB_LOAD!$AP:$AP,'Refi-Annual Review'!$DL$1,DB_LOAD!$AQ:$AQ,'Refi-Annual Review'!DP$2)</f>
        <v>0</v>
      </c>
      <c r="DQ8" s="494" t="str">
        <f t="shared" ca="1" si="11"/>
        <v/>
      </c>
      <c r="DS8" s="494">
        <f>SUMIFS(DB_LOAD!$AV:$AV,DB_LOAD!$AW:$AW,'Refi-Annual Review'!$DT$1,DB_LOAD!$AR:$AR,'Refi-Annual Review'!$CF8,DB_LOAD!$AP:$AP,'Refi-Annual Review'!$DU$1,DB_LOAD!$AQ:$AQ,'Refi-Annual Review'!DS$2)</f>
        <v>0</v>
      </c>
      <c r="DT8" s="494">
        <f>SUMIFS(DB_LOAD!$AV:$AV,DB_LOAD!$AW:$AW,'Refi-Annual Review'!$DT$1,DB_LOAD!$AR:$AR,'Refi-Annual Review'!$CF8,DB_LOAD!$AP:$AP,'Refi-Annual Review'!$DU$1,DB_LOAD!$AQ:$AQ,'Refi-Annual Review'!DT$2)</f>
        <v>0</v>
      </c>
      <c r="DU8" s="494">
        <f>SUMIFS(DB_LOAD!$AV:$AV,DB_LOAD!$AW:$AW,'Refi-Annual Review'!$DT$1,DB_LOAD!$AR:$AR,'Refi-Annual Review'!$CF8,DB_LOAD!$AP:$AP,'Refi-Annual Review'!$DU$1,DB_LOAD!$AQ:$AQ,'Refi-Annual Review'!DU$2)</f>
        <v>0</v>
      </c>
      <c r="DV8" s="494">
        <f>SUMIFS(DB_LOAD!$AV:$AV,DB_LOAD!$AW:$AW,'Refi-Annual Review'!$DT$1,DB_LOAD!$AR:$AR,'Refi-Annual Review'!$CF8,DB_LOAD!$AP:$AP,'Refi-Annual Review'!$DU$1,DB_LOAD!$AQ:$AQ,'Refi-Annual Review'!DV$2)</f>
        <v>0</v>
      </c>
      <c r="DW8" s="494">
        <f>SUMIFS(DB_LOAD!$AV:$AV,DB_LOAD!$AW:$AW,'Refi-Annual Review'!$DT$1,DB_LOAD!$AR:$AR,'Refi-Annual Review'!$CF8,DB_LOAD!$AP:$AP,'Refi-Annual Review'!$DU$1,DB_LOAD!$AQ:$AQ,'Refi-Annual Review'!DW$2)</f>
        <v>0</v>
      </c>
      <c r="DX8" s="494">
        <f>SUMIFS(DB_LOAD!$AV:$AV,DB_LOAD!$AW:$AW,'Refi-Annual Review'!$DT$1,DB_LOAD!$AR:$AR,'Refi-Annual Review'!$CF8,DB_LOAD!$AP:$AP,'Refi-Annual Review'!$DU$1,DB_LOAD!$AQ:$AQ,'Refi-Annual Review'!DX$2)</f>
        <v>0</v>
      </c>
      <c r="DY8" s="494">
        <f>SUMIFS(DB_LOAD!$AV:$AV,DB_LOAD!$AW:$AW,'Refi-Annual Review'!$DT$1,DB_LOAD!$AR:$AR,'Refi-Annual Review'!$CF8,DB_LOAD!$AP:$AP,'Refi-Annual Review'!$DU$1,DB_LOAD!$AQ:$AQ,'Refi-Annual Review'!DY$2)</f>
        <v>0</v>
      </c>
      <c r="DZ8" s="494" t="str">
        <f t="shared" si="12"/>
        <v/>
      </c>
      <c r="EC8" s="485" t="s">
        <v>343</v>
      </c>
    </row>
    <row r="9" spans="1:134" ht="15">
      <c r="A9" s="484" t="e">
        <f ca="1">IF(ISBLANK(Config!$B$16),"None",Config!$B$16)</f>
        <v>#NAME?</v>
      </c>
      <c r="C9" s="485">
        <f t="shared" ref="C9:C72" si="25">C8+1</f>
        <v>10</v>
      </c>
      <c r="D9" s="493" t="str">
        <f>"Gross Loan Portfolio ("&amp;'Balance Sheet'!$E$5&amp;")"</f>
        <v>Gross Loan Portfolio (USD)</v>
      </c>
      <c r="E9" s="568"/>
      <c r="F9" s="494" t="e">
        <f ca="1">IF(F$3="NO AUDIT","",F95)</f>
        <v>#N/A</v>
      </c>
      <c r="G9" s="494" t="e">
        <f ca="1">IF(G$3="NO AUDIT","",G95)</f>
        <v>#N/A</v>
      </c>
      <c r="H9" s="494" t="e">
        <f ca="1">IF(H$3="NO AUDIT","",H95)</f>
        <v>#N/A</v>
      </c>
      <c r="I9" s="494" t="e">
        <f ca="1">IF(I$3="NO AUDIT","",I95)</f>
        <v>#N/A</v>
      </c>
      <c r="J9" s="494" t="e">
        <f ca="1">IF(J$3="NO AUDIT","",J95)</f>
        <v>#N/A</v>
      </c>
      <c r="K9" s="494"/>
      <c r="L9" s="494" t="e">
        <f ca="1">L95</f>
        <v>#NAME?</v>
      </c>
      <c r="M9" s="494" t="e">
        <f ca="1">M95</f>
        <v>#NAME?</v>
      </c>
      <c r="N9" s="494" t="e">
        <f ca="1">N95</f>
        <v>#NAME?</v>
      </c>
      <c r="O9" s="494" t="e">
        <f ca="1">O95</f>
        <v>#NAME?</v>
      </c>
      <c r="P9" s="494"/>
      <c r="Q9" s="494" t="e">
        <f ca="1">Q95</f>
        <v>#NAME?</v>
      </c>
      <c r="R9" s="494" t="e">
        <f ca="1">R95</f>
        <v>#NAME?</v>
      </c>
      <c r="S9" s="494"/>
      <c r="T9" s="494"/>
      <c r="U9" s="494" t="e">
        <f ca="1">U95</f>
        <v>#NUM!</v>
      </c>
      <c r="X9" s="485">
        <f t="shared" ref="X9:X10" ca="1" si="26">X8-1</f>
        <v>-2</v>
      </c>
      <c r="Y9" s="485">
        <f t="shared" ca="1" si="20"/>
        <v>0</v>
      </c>
      <c r="Z9" s="485">
        <f t="shared" ca="1" si="21"/>
        <v>0</v>
      </c>
      <c r="AA9" s="485" t="str">
        <f t="shared" ca="1" si="22"/>
        <v>No Financials</v>
      </c>
      <c r="AF9" s="485" t="s">
        <v>486</v>
      </c>
      <c r="AJ9" s="493" t="str">
        <f>"Gross Loan Portfolio ("&amp;'Balance Sheet'!$E$5&amp;")"</f>
        <v>Gross Loan Portfolio (USD)</v>
      </c>
      <c r="AK9" s="494" t="e">
        <f t="shared" ref="AK9:AL17" ca="1" si="27">HLOOKUP(AK$4,$G$1:$O$213,$C9-1,FALSE)</f>
        <v>#N/A</v>
      </c>
      <c r="AL9" s="494" t="e">
        <f t="shared" ca="1" si="27"/>
        <v>#N/A</v>
      </c>
      <c r="AM9" s="494" t="e">
        <f t="shared" ca="1" si="23"/>
        <v>#N/A</v>
      </c>
      <c r="AN9" s="494" t="e">
        <f t="shared" ca="1" si="23"/>
        <v>#N/A</v>
      </c>
      <c r="AO9" s="494" t="e">
        <f t="shared" ca="1" si="19"/>
        <v>#NAME?</v>
      </c>
      <c r="AP9" s="494" t="e">
        <f t="shared" ca="1" si="19"/>
        <v>#NAME?</v>
      </c>
      <c r="AS9" s="485" t="str">
        <f>DB_LOAD!V3</f>
        <v>Write off</v>
      </c>
      <c r="AT9" s="626">
        <f>IF(ISBLANK(DB_LOAD!N3),"",DB_LOAD!N3)</f>
        <v>2</v>
      </c>
      <c r="AU9" s="627" t="str">
        <f>IF(ISBLANK(DB_LOAD!P3),"",DB_LOAD!R3)</f>
        <v>AZN</v>
      </c>
      <c r="AV9" s="628" t="str">
        <f>IF(ISBLANK(DB_LOAD!R3),"",IF('Balance Sheet'!$E$5="USD",DB_LOAD!O3,DB_LOAD!O3/DB_LOAD!$K$2))</f>
        <v>Azerbaijan</v>
      </c>
      <c r="AW9" s="629">
        <f>IF(C10=3,"-",IF(ISBLANK(DB_LOAD!S3),"",DB_LOAD!U3))</f>
        <v>0</v>
      </c>
      <c r="AX9" s="630">
        <f>IF(C10=3,"Equity ",IF(ISBLANK(DB_LOAD!T3),"",DB_LOAD!T3))</f>
        <v>1530269.111693</v>
      </c>
      <c r="AY9" s="642">
        <f t="shared" si="24"/>
        <v>1</v>
      </c>
      <c r="AZ9" s="631" t="str">
        <f>+'Risk Assessment'!N10</f>
        <v/>
      </c>
      <c r="BA9" s="643" t="e">
        <f>+'Risk Assessment'!AB10</f>
        <v>#N/A</v>
      </c>
      <c r="BB9" s="644" t="e">
        <f>+'Risk Assessment'!Z10</f>
        <v>#N/A</v>
      </c>
      <c r="BC9" s="642">
        <f t="shared" ref="BC9:BC14" si="28">IF(AND(AY8=0,AY9=1),1,0)</f>
        <v>0</v>
      </c>
      <c r="BD9" s="485" t="s">
        <v>140</v>
      </c>
      <c r="BE9" s="485" t="e">
        <f ca="1">IF(OR(BN9=0,BN9=""),1,"")</f>
        <v>#NAME?</v>
      </c>
      <c r="BF9" s="651" t="str">
        <f t="shared" ref="BF9:BF29" si="29">CF3</f>
        <v>5500000</v>
      </c>
      <c r="BG9" s="669" t="e">
        <f t="shared" ref="BG9:BM24" ca="1" si="30">IF(CR3+DA3=0,"",CR3+DA3)</f>
        <v>#NAME?</v>
      </c>
      <c r="BH9" s="669" t="e">
        <f t="shared" ca="1" si="30"/>
        <v>#NAME?</v>
      </c>
      <c r="BI9" s="669" t="e">
        <f t="shared" ca="1" si="30"/>
        <v>#NAME?</v>
      </c>
      <c r="BJ9" s="669" t="e">
        <f t="shared" ca="1" si="30"/>
        <v>#NAME?</v>
      </c>
      <c r="BK9" s="669" t="e">
        <f t="shared" ca="1" si="30"/>
        <v>#NAME?</v>
      </c>
      <c r="BL9" s="669" t="e">
        <f t="shared" ca="1" si="30"/>
        <v>#NAME?</v>
      </c>
      <c r="BM9" s="669" t="e">
        <f t="shared" ca="1" si="30"/>
        <v>#NAME?</v>
      </c>
      <c r="BN9" s="670" t="e">
        <f ca="1">IF(SUM(BG9:BM9)=0,"",SUM(BG9:BM9))</f>
        <v>#NAME?</v>
      </c>
      <c r="BP9" s="485" t="e">
        <f ca="1">IF(OR(DB_LOAD!AW8="USD",DB_LOAD!AW8='Refi-Annual Review'!$A$3,ISBLANK(DB_LOAD!AW8)),0,1)</f>
        <v>#NAME?</v>
      </c>
      <c r="BQ9" t="str">
        <f>(IF(ISBLANK(DB_LOAD!AR8),"",DB_LOAD!AR8))</f>
        <v/>
      </c>
      <c r="BR9" t="str">
        <f t="shared" si="3"/>
        <v/>
      </c>
      <c r="BS9" t="str">
        <f t="shared" si="7"/>
        <v/>
      </c>
      <c r="BT9" t="str">
        <f t="shared" si="13"/>
        <v>5500000250000016064001572600</v>
      </c>
      <c r="BU9" t="str">
        <f t="shared" si="4"/>
        <v/>
      </c>
      <c r="BV9" t="str">
        <f t="shared" si="14"/>
        <v>7777</v>
      </c>
      <c r="BW9" t="str">
        <f t="shared" si="5"/>
        <v/>
      </c>
      <c r="BX9" t="str">
        <f t="shared" si="15"/>
        <v>1111</v>
      </c>
      <c r="BY9"/>
      <c r="BZ9"/>
      <c r="CA9"/>
      <c r="CB9" s="683" t="str">
        <f t="shared" si="16"/>
        <v/>
      </c>
      <c r="CC9" s="683" t="str">
        <f t="shared" si="17"/>
        <v/>
      </c>
      <c r="CD9" s="683" t="str">
        <f>IF(CC9="","",VALUE(MID($BZ$5,1+SUM($CC$3:CC8),CC9)))</f>
        <v/>
      </c>
      <c r="CE9">
        <f t="shared" si="18"/>
        <v>7</v>
      </c>
      <c r="CF9" t="str">
        <f>IF(CD9="","",MID($BZ$4,1+SUM($CD$3:CD8),CD9))</f>
        <v/>
      </c>
      <c r="CI9" s="494" t="e">
        <f ca="1">SUMIFS(DB_LOAD!$AU:$AU,DB_LOAD!$AW:$AW,'Refi-Annual Review'!$CJ$1,DB_LOAD!$AR:$AR,'Refi-Annual Review'!$CF9,DB_LOAD!$AP:$AP,'Refi-Annual Review'!$CK$1,DB_LOAD!$AQ:$AQ,'Refi-Annual Review'!CI$2)/DB_LOAD!$K$2</f>
        <v>#DIV/0!</v>
      </c>
      <c r="CJ9" s="494" t="e">
        <f ca="1">SUMIFS(DB_LOAD!$AU:$AU,DB_LOAD!$AW:$AW,'Refi-Annual Review'!$CJ$1,DB_LOAD!$AR:$AR,'Refi-Annual Review'!$CF9,DB_LOAD!$AP:$AP,'Refi-Annual Review'!$CK$1,DB_LOAD!$AQ:$AQ,'Refi-Annual Review'!CJ$2)/DB_LOAD!$K$2</f>
        <v>#DIV/0!</v>
      </c>
      <c r="CK9" s="494" t="e">
        <f ca="1">SUMIFS(DB_LOAD!$AU:$AU,DB_LOAD!$AW:$AW,'Refi-Annual Review'!$CJ$1,DB_LOAD!$AR:$AR,'Refi-Annual Review'!$CF9,DB_LOAD!$AP:$AP,'Refi-Annual Review'!$CK$1,DB_LOAD!$AQ:$AQ,'Refi-Annual Review'!CK$2)/DB_LOAD!$K$2</f>
        <v>#DIV/0!</v>
      </c>
      <c r="CL9" s="494" t="e">
        <f ca="1">SUMIFS(DB_LOAD!$AU:$AU,DB_LOAD!$AW:$AW,'Refi-Annual Review'!$CJ$1,DB_LOAD!$AR:$AR,'Refi-Annual Review'!$CF9,DB_LOAD!$AP:$AP,'Refi-Annual Review'!$CK$1,DB_LOAD!$AQ:$AQ,'Refi-Annual Review'!CL$2)/DB_LOAD!$K$2</f>
        <v>#DIV/0!</v>
      </c>
      <c r="CM9" s="494" t="e">
        <f ca="1">SUMIFS(DB_LOAD!$AU:$AU,DB_LOAD!$AW:$AW,'Refi-Annual Review'!$CJ$1,DB_LOAD!$AR:$AR,'Refi-Annual Review'!$CF9,DB_LOAD!$AP:$AP,'Refi-Annual Review'!$CK$1,DB_LOAD!$AQ:$AQ,'Refi-Annual Review'!CM$2)/DB_LOAD!$K$2</f>
        <v>#DIV/0!</v>
      </c>
      <c r="CN9" s="494" t="e">
        <f ca="1">SUMIFS(DB_LOAD!$AU:$AU,DB_LOAD!$AW:$AW,'Refi-Annual Review'!$CJ$1,DB_LOAD!$AR:$AR,'Refi-Annual Review'!$CF9,DB_LOAD!$AP:$AP,'Refi-Annual Review'!$CK$1,DB_LOAD!$AQ:$AQ,'Refi-Annual Review'!CN$2)/DB_LOAD!$K$2</f>
        <v>#DIV/0!</v>
      </c>
      <c r="CO9" s="494" t="e">
        <f ca="1">SUMIFS(DB_LOAD!$AU:$AU,DB_LOAD!$AW:$AW,'Refi-Annual Review'!$CJ$1,DB_LOAD!$AR:$AR,'Refi-Annual Review'!$CF9,DB_LOAD!$AP:$AP,'Refi-Annual Review'!$CK$1,DB_LOAD!$AQ:$AQ,'Refi-Annual Review'!CO$2)/DB_LOAD!$K$2</f>
        <v>#DIV/0!</v>
      </c>
      <c r="CP9" s="494" t="e">
        <f t="shared" ca="1" si="8"/>
        <v>#DIV/0!</v>
      </c>
      <c r="CR9" s="494">
        <f ca="1">SUMIFS(DB_LOAD!$AV:$AV,DB_LOAD!$AW:$AW,'Refi-Annual Review'!$CS$1,DB_LOAD!$AR:$AR,'Refi-Annual Review'!$CF9,DB_LOAD!$AP:$AP,'Refi-Annual Review'!$CT$1,DB_LOAD!$AQ:$AQ,'Refi-Annual Review'!CR$2)</f>
        <v>0</v>
      </c>
      <c r="CS9" s="494">
        <f ca="1">SUMIFS(DB_LOAD!$AV:$AV,DB_LOAD!$AW:$AW,'Refi-Annual Review'!$CS$1,DB_LOAD!$AR:$AR,'Refi-Annual Review'!$CF9,DB_LOAD!$AP:$AP,'Refi-Annual Review'!$CT$1,DB_LOAD!$AQ:$AQ,'Refi-Annual Review'!CS$2)</f>
        <v>0</v>
      </c>
      <c r="CT9" s="494">
        <f ca="1">SUMIFS(DB_LOAD!$AV:$AV,DB_LOAD!$AW:$AW,'Refi-Annual Review'!$CS$1,DB_LOAD!$AR:$AR,'Refi-Annual Review'!$CF9,DB_LOAD!$AP:$AP,'Refi-Annual Review'!$CT$1,DB_LOAD!$AQ:$AQ,'Refi-Annual Review'!CT$2)</f>
        <v>0</v>
      </c>
      <c r="CU9" s="494">
        <f ca="1">SUMIFS(DB_LOAD!$AV:$AV,DB_LOAD!$AW:$AW,'Refi-Annual Review'!$CS$1,DB_LOAD!$AR:$AR,'Refi-Annual Review'!$CF9,DB_LOAD!$AP:$AP,'Refi-Annual Review'!$CT$1,DB_LOAD!$AQ:$AQ,'Refi-Annual Review'!CU$2)</f>
        <v>0</v>
      </c>
      <c r="CV9" s="494">
        <f ca="1">SUMIFS(DB_LOAD!$AV:$AV,DB_LOAD!$AW:$AW,'Refi-Annual Review'!$CS$1,DB_LOAD!$AR:$AR,'Refi-Annual Review'!$CF9,DB_LOAD!$AP:$AP,'Refi-Annual Review'!$CT$1,DB_LOAD!$AQ:$AQ,'Refi-Annual Review'!CV$2)</f>
        <v>0</v>
      </c>
      <c r="CW9" s="494">
        <f ca="1">SUMIFS(DB_LOAD!$AV:$AV,DB_LOAD!$AW:$AW,'Refi-Annual Review'!$CS$1,DB_LOAD!$AR:$AR,'Refi-Annual Review'!$CF9,DB_LOAD!$AP:$AP,'Refi-Annual Review'!$CT$1,DB_LOAD!$AQ:$AQ,'Refi-Annual Review'!CW$2)</f>
        <v>0</v>
      </c>
      <c r="CX9" s="494">
        <f ca="1">SUMIFS(DB_LOAD!$AV:$AV,DB_LOAD!$AW:$AW,'Refi-Annual Review'!$CS$1,DB_LOAD!$AR:$AR,'Refi-Annual Review'!$CF9,DB_LOAD!$AP:$AP,'Refi-Annual Review'!$CT$1,DB_LOAD!$AQ:$AQ,'Refi-Annual Review'!CX$2)</f>
        <v>0</v>
      </c>
      <c r="CY9" s="494" t="str">
        <f t="shared" ca="1" si="9"/>
        <v/>
      </c>
      <c r="DA9" s="494" t="e">
        <f ca="1">SUMIFS(DB_LOAD!$AU:$AU,DB_LOAD!$AW:$AW,'Refi-Annual Review'!$DB$1,DB_LOAD!$AR:$AR,'Refi-Annual Review'!$CF9,DB_LOAD!$AP:$AP,'Refi-Annual Review'!$DC$1,DB_LOAD!$AQ:$AQ,'Refi-Annual Review'!DA$2)/IF($A$23="No Data Found",1,$A$23)</f>
        <v>#NAME?</v>
      </c>
      <c r="DB9" s="494" t="e">
        <f ca="1">SUMIFS(DB_LOAD!$AU:$AU,DB_LOAD!$AW:$AW,'Refi-Annual Review'!$DB$1,DB_LOAD!$AR:$AR,'Refi-Annual Review'!$CF9,DB_LOAD!$AP:$AP,'Refi-Annual Review'!$DC$1,DB_LOAD!$AQ:$AQ,'Refi-Annual Review'!DB$2)/IF($A$23="No Data Found",1,$A$23)</f>
        <v>#NAME?</v>
      </c>
      <c r="DC9" s="494" t="e">
        <f ca="1">SUMIFS(DB_LOAD!$AU:$AU,DB_LOAD!$AW:$AW,'Refi-Annual Review'!$DB$1,DB_LOAD!$AR:$AR,'Refi-Annual Review'!$CF9,DB_LOAD!$AP:$AP,'Refi-Annual Review'!$DC$1,DB_LOAD!$AQ:$AQ,'Refi-Annual Review'!DC$2)/IF($A$23="No Data Found",1,$A$23)</f>
        <v>#NAME?</v>
      </c>
      <c r="DD9" s="494" t="e">
        <f ca="1">SUMIFS(DB_LOAD!$AU:$AU,DB_LOAD!$AW:$AW,'Refi-Annual Review'!$DB$1,DB_LOAD!$AR:$AR,'Refi-Annual Review'!$CF9,DB_LOAD!$AP:$AP,'Refi-Annual Review'!$DC$1,DB_LOAD!$AQ:$AQ,'Refi-Annual Review'!DD$2)/IF($A$23="No Data Found",1,$A$23)</f>
        <v>#NAME?</v>
      </c>
      <c r="DE9" s="494" t="e">
        <f ca="1">SUMIFS(DB_LOAD!$AU:$AU,DB_LOAD!$AW:$AW,'Refi-Annual Review'!$DB$1,DB_LOAD!$AR:$AR,'Refi-Annual Review'!$CF9,DB_LOAD!$AP:$AP,'Refi-Annual Review'!$DC$1,DB_LOAD!$AQ:$AQ,'Refi-Annual Review'!DE$2)/IF($A$23="No Data Found",1,$A$23)</f>
        <v>#NAME?</v>
      </c>
      <c r="DF9" s="494" t="e">
        <f ca="1">SUMIFS(DB_LOAD!$AU:$AU,DB_LOAD!$AW:$AW,'Refi-Annual Review'!$DB$1,DB_LOAD!$AR:$AR,'Refi-Annual Review'!$CF9,DB_LOAD!$AP:$AP,'Refi-Annual Review'!$DC$1,DB_LOAD!$AQ:$AQ,'Refi-Annual Review'!DF$2)/IF($A$23="No Data Found",1,$A$23)</f>
        <v>#NAME?</v>
      </c>
      <c r="DG9" s="494" t="e">
        <f ca="1">SUMIFS(DB_LOAD!$AU:$AU,DB_LOAD!$AW:$AW,'Refi-Annual Review'!$DB$1,DB_LOAD!$AR:$AR,'Refi-Annual Review'!$CF9,DB_LOAD!$AP:$AP,'Refi-Annual Review'!$DC$1,DB_LOAD!$AQ:$AQ,'Refi-Annual Review'!DG$2)/IF($A$23="No Data Found",1,$A$23)</f>
        <v>#NAME?</v>
      </c>
      <c r="DH9" s="494" t="e">
        <f t="shared" ca="1" si="10"/>
        <v>#NAME?</v>
      </c>
      <c r="DJ9" s="494">
        <f ca="1">SUMIFS(DB_LOAD!$AV:$AV,DB_LOAD!$AW:$AW,'Refi-Annual Review'!$DK$1,DB_LOAD!$AR:$AR,'Refi-Annual Review'!$CF9,DB_LOAD!$AP:$AP,'Refi-Annual Review'!$DL$1,DB_LOAD!$AQ:$AQ,'Refi-Annual Review'!DJ$2)</f>
        <v>0</v>
      </c>
      <c r="DK9" s="494">
        <f ca="1">SUMIFS(DB_LOAD!$AV:$AV,DB_LOAD!$AW:$AW,'Refi-Annual Review'!$DK$1,DB_LOAD!$AR:$AR,'Refi-Annual Review'!$CF9,DB_LOAD!$AP:$AP,'Refi-Annual Review'!$DL$1,DB_LOAD!$AQ:$AQ,'Refi-Annual Review'!DK$2)</f>
        <v>0</v>
      </c>
      <c r="DL9" s="494">
        <f ca="1">SUMIFS(DB_LOAD!$AV:$AV,DB_LOAD!$AW:$AW,'Refi-Annual Review'!$DK$1,DB_LOAD!$AR:$AR,'Refi-Annual Review'!$CF9,DB_LOAD!$AP:$AP,'Refi-Annual Review'!$DL$1,DB_LOAD!$AQ:$AQ,'Refi-Annual Review'!DL$2)</f>
        <v>0</v>
      </c>
      <c r="DM9" s="494">
        <f ca="1">SUMIFS(DB_LOAD!$AV:$AV,DB_LOAD!$AW:$AW,'Refi-Annual Review'!$DK$1,DB_LOAD!$AR:$AR,'Refi-Annual Review'!$CF9,DB_LOAD!$AP:$AP,'Refi-Annual Review'!$DL$1,DB_LOAD!$AQ:$AQ,'Refi-Annual Review'!DM$2)</f>
        <v>0</v>
      </c>
      <c r="DN9" s="494">
        <f ca="1">SUMIFS(DB_LOAD!$AV:$AV,DB_LOAD!$AW:$AW,'Refi-Annual Review'!$DK$1,DB_LOAD!$AR:$AR,'Refi-Annual Review'!$CF9,DB_LOAD!$AP:$AP,'Refi-Annual Review'!$DL$1,DB_LOAD!$AQ:$AQ,'Refi-Annual Review'!DN$2)</f>
        <v>0</v>
      </c>
      <c r="DO9" s="494">
        <f ca="1">SUMIFS(DB_LOAD!$AV:$AV,DB_LOAD!$AW:$AW,'Refi-Annual Review'!$DK$1,DB_LOAD!$AR:$AR,'Refi-Annual Review'!$CF9,DB_LOAD!$AP:$AP,'Refi-Annual Review'!$DL$1,DB_LOAD!$AQ:$AQ,'Refi-Annual Review'!DO$2)</f>
        <v>0</v>
      </c>
      <c r="DP9" s="494">
        <f ca="1">SUMIFS(DB_LOAD!$AV:$AV,DB_LOAD!$AW:$AW,'Refi-Annual Review'!$DK$1,DB_LOAD!$AR:$AR,'Refi-Annual Review'!$CF9,DB_LOAD!$AP:$AP,'Refi-Annual Review'!$DL$1,DB_LOAD!$AQ:$AQ,'Refi-Annual Review'!DP$2)</f>
        <v>0</v>
      </c>
      <c r="DQ9" s="494" t="str">
        <f t="shared" ca="1" si="11"/>
        <v/>
      </c>
      <c r="DS9" s="494">
        <f>SUMIFS(DB_LOAD!$AV:$AV,DB_LOAD!$AW:$AW,'Refi-Annual Review'!$DT$1,DB_LOAD!$AR:$AR,'Refi-Annual Review'!$CF9,DB_LOAD!$AP:$AP,'Refi-Annual Review'!$DU$1,DB_LOAD!$AQ:$AQ,'Refi-Annual Review'!DS$2)</f>
        <v>0</v>
      </c>
      <c r="DT9" s="494">
        <f>SUMIFS(DB_LOAD!$AV:$AV,DB_LOAD!$AW:$AW,'Refi-Annual Review'!$DT$1,DB_LOAD!$AR:$AR,'Refi-Annual Review'!$CF9,DB_LOAD!$AP:$AP,'Refi-Annual Review'!$DU$1,DB_LOAD!$AQ:$AQ,'Refi-Annual Review'!DT$2)</f>
        <v>0</v>
      </c>
      <c r="DU9" s="494">
        <f>SUMIFS(DB_LOAD!$AV:$AV,DB_LOAD!$AW:$AW,'Refi-Annual Review'!$DT$1,DB_LOAD!$AR:$AR,'Refi-Annual Review'!$CF9,DB_LOAD!$AP:$AP,'Refi-Annual Review'!$DU$1,DB_LOAD!$AQ:$AQ,'Refi-Annual Review'!DU$2)</f>
        <v>0</v>
      </c>
      <c r="DV9" s="494">
        <f>SUMIFS(DB_LOAD!$AV:$AV,DB_LOAD!$AW:$AW,'Refi-Annual Review'!$DT$1,DB_LOAD!$AR:$AR,'Refi-Annual Review'!$CF9,DB_LOAD!$AP:$AP,'Refi-Annual Review'!$DU$1,DB_LOAD!$AQ:$AQ,'Refi-Annual Review'!DV$2)</f>
        <v>0</v>
      </c>
      <c r="DW9" s="494">
        <f>SUMIFS(DB_LOAD!$AV:$AV,DB_LOAD!$AW:$AW,'Refi-Annual Review'!$DT$1,DB_LOAD!$AR:$AR,'Refi-Annual Review'!$CF9,DB_LOAD!$AP:$AP,'Refi-Annual Review'!$DU$1,DB_LOAD!$AQ:$AQ,'Refi-Annual Review'!DW$2)</f>
        <v>0</v>
      </c>
      <c r="DX9" s="494">
        <f>SUMIFS(DB_LOAD!$AV:$AV,DB_LOAD!$AW:$AW,'Refi-Annual Review'!$DT$1,DB_LOAD!$AR:$AR,'Refi-Annual Review'!$CF9,DB_LOAD!$AP:$AP,'Refi-Annual Review'!$DU$1,DB_LOAD!$AQ:$AQ,'Refi-Annual Review'!DX$2)</f>
        <v>0</v>
      </c>
      <c r="DY9" s="494">
        <f>SUMIFS(DB_LOAD!$AV:$AV,DB_LOAD!$AW:$AW,'Refi-Annual Review'!$DT$1,DB_LOAD!$AR:$AR,'Refi-Annual Review'!$CF9,DB_LOAD!$AP:$AP,'Refi-Annual Review'!$DU$1,DB_LOAD!$AQ:$AQ,'Refi-Annual Review'!DY$2)</f>
        <v>0</v>
      </c>
      <c r="DZ9" s="494" t="str">
        <f t="shared" si="12"/>
        <v/>
      </c>
      <c r="EC9" s="485" t="s">
        <v>290</v>
      </c>
      <c r="ED9" s="824" t="e">
        <f ca="1">ED2+ED3</f>
        <v>#NAME?</v>
      </c>
    </row>
    <row r="10" spans="1:134" ht="15">
      <c r="A10" s="495" t="e">
        <f ca="1">IF(ISBLANK(Config!B17),"",YEAR(Config!B17))</f>
        <v>#NAME?</v>
      </c>
      <c r="C10" s="485">
        <f t="shared" si="25"/>
        <v>11</v>
      </c>
      <c r="D10" s="493" t="s">
        <v>11</v>
      </c>
      <c r="E10" s="568"/>
      <c r="F10" s="494" t="e">
        <f ca="1">IF(F$3="NO AUDIT","",F170)</f>
        <v>#N/A</v>
      </c>
      <c r="G10" s="494" t="e">
        <f ca="1">IF(G$3="NO AUDIT","",G170)</f>
        <v>#N/A</v>
      </c>
      <c r="H10" s="494" t="e">
        <f ca="1">IF(H$3="NO AUDIT","",H170)</f>
        <v>#N/A</v>
      </c>
      <c r="I10" s="494" t="e">
        <f ca="1">IF(I$3="NO AUDIT","",I170)</f>
        <v>#N/A</v>
      </c>
      <c r="J10" s="494" t="e">
        <f ca="1">IF(J$3="NO AUDIT","",J170)</f>
        <v>#N/A</v>
      </c>
      <c r="K10" s="494"/>
      <c r="L10" s="494" t="e">
        <f>L170</f>
        <v>#NAME?</v>
      </c>
      <c r="M10" s="494" t="e">
        <f>M170</f>
        <v>#NAME?</v>
      </c>
      <c r="N10" s="494" t="e">
        <f>N170</f>
        <v>#NAME?</v>
      </c>
      <c r="O10" s="494" t="e">
        <f>O170</f>
        <v>#NAME?</v>
      </c>
      <c r="P10" s="494"/>
      <c r="Q10" s="494" t="e">
        <f>Q170</f>
        <v>#NAME?</v>
      </c>
      <c r="R10" s="494" t="e">
        <f>R170</f>
        <v>#NAME?</v>
      </c>
      <c r="S10" s="494"/>
      <c r="T10" s="494"/>
      <c r="U10" s="494" t="e">
        <f>U170</f>
        <v>#NAME?</v>
      </c>
      <c r="X10" s="485">
        <f t="shared" ca="1" si="26"/>
        <v>-3</v>
      </c>
      <c r="Y10" s="485">
        <f t="shared" ca="1" si="20"/>
        <v>0</v>
      </c>
      <c r="Z10" s="485">
        <f t="shared" ca="1" si="21"/>
        <v>0</v>
      </c>
      <c r="AA10" s="485" t="str">
        <f t="shared" ca="1" si="22"/>
        <v>No Financials</v>
      </c>
      <c r="AF10" s="485" t="s">
        <v>487</v>
      </c>
      <c r="AJ10" s="493" t="s">
        <v>11</v>
      </c>
      <c r="AK10" s="494" t="e">
        <f t="shared" ca="1" si="27"/>
        <v>#N/A</v>
      </c>
      <c r="AL10" s="494" t="e">
        <f t="shared" ca="1" si="27"/>
        <v>#N/A</v>
      </c>
      <c r="AM10" s="494" t="e">
        <f t="shared" ca="1" si="23"/>
        <v>#N/A</v>
      </c>
      <c r="AN10" s="494" t="e">
        <f t="shared" ca="1" si="23"/>
        <v>#N/A</v>
      </c>
      <c r="AO10" s="494" t="e">
        <f t="shared" si="19"/>
        <v>#NAME?</v>
      </c>
      <c r="AP10" s="494" t="e">
        <f t="shared" si="19"/>
        <v>#NAME?</v>
      </c>
      <c r="AS10" s="485" t="str">
        <f>DB_LOAD!V4</f>
        <v>Solvency</v>
      </c>
      <c r="AT10" s="626">
        <f>IF(ISBLANK(DB_LOAD!N4),"",DB_LOAD!N4)</f>
        <v>2</v>
      </c>
      <c r="AU10" s="627" t="str">
        <f>IF(ISBLANK(DB_LOAD!P4),"",DB_LOAD!R4)</f>
        <v>AZN</v>
      </c>
      <c r="AV10" s="628" t="str">
        <f>IF(ISBLANK(DB_LOAD!R4),"",IF('Balance Sheet'!$E$5="USD",DB_LOAD!O4,DB_LOAD!O4/DB_LOAD!$K$2))</f>
        <v>Azerbaijan</v>
      </c>
      <c r="AW10" s="629">
        <f>IF(C11=3,"-",IF(ISBLANK(DB_LOAD!S4),"",DB_LOAD!U4))</f>
        <v>0</v>
      </c>
      <c r="AX10" s="630">
        <f>IF(C11=3,"Equity ",IF(ISBLANK(DB_LOAD!T4),"",DB_LOAD!T4))</f>
        <v>1498070.9692780001</v>
      </c>
      <c r="AY10" s="642">
        <f t="shared" si="24"/>
        <v>1</v>
      </c>
      <c r="AZ10" s="631" t="str">
        <f>+'Risk Assessment'!N11</f>
        <v/>
      </c>
      <c r="BA10" s="643" t="e">
        <f>+'Risk Assessment'!AB11</f>
        <v>#N/A</v>
      </c>
      <c r="BB10" s="644" t="e">
        <f>+'Risk Assessment'!Z11</f>
        <v>#N/A</v>
      </c>
      <c r="BC10" s="642">
        <f t="shared" si="28"/>
        <v>0</v>
      </c>
      <c r="BD10" s="485" t="s">
        <v>140</v>
      </c>
      <c r="BE10" s="485" t="e">
        <f t="shared" ref="BE10:BE29" ca="1" si="31">IF(OR(BN10=0,BN10=""),1,"")</f>
        <v>#NAME?</v>
      </c>
      <c r="BF10" s="651" t="str">
        <f t="shared" si="29"/>
        <v>2500000</v>
      </c>
      <c r="BG10" s="669" t="e">
        <f t="shared" ca="1" si="30"/>
        <v>#NAME?</v>
      </c>
      <c r="BH10" s="669" t="e">
        <f t="shared" ca="1" si="30"/>
        <v>#NAME?</v>
      </c>
      <c r="BI10" s="669" t="e">
        <f t="shared" ca="1" si="30"/>
        <v>#NAME?</v>
      </c>
      <c r="BJ10" s="669" t="e">
        <f t="shared" ca="1" si="30"/>
        <v>#NAME?</v>
      </c>
      <c r="BK10" s="669" t="e">
        <f t="shared" ca="1" si="30"/>
        <v>#NAME?</v>
      </c>
      <c r="BL10" s="669" t="e">
        <f t="shared" ca="1" si="30"/>
        <v>#NAME?</v>
      </c>
      <c r="BM10" s="669" t="e">
        <f t="shared" ca="1" si="30"/>
        <v>#NAME?</v>
      </c>
      <c r="BN10" s="670" t="e">
        <f t="shared" ref="BN10:BN29" ca="1" si="32">IF(SUM(BG10:BM10)=0,"",SUM(BG10:BM10))</f>
        <v>#NAME?</v>
      </c>
      <c r="BP10" s="485" t="e">
        <f ca="1">IF(OR(DB_LOAD!AW9="USD",DB_LOAD!AW9='Refi-Annual Review'!$A$3,ISBLANK(DB_LOAD!AW9)),0,1)</f>
        <v>#NAME?</v>
      </c>
      <c r="BQ10" t="str">
        <f>(IF(ISBLANK(DB_LOAD!AR9),"",DB_LOAD!AR9))</f>
        <v/>
      </c>
      <c r="BR10" t="str">
        <f t="shared" si="3"/>
        <v/>
      </c>
      <c r="BS10" t="str">
        <f t="shared" si="7"/>
        <v/>
      </c>
      <c r="BT10" t="str">
        <f t="shared" si="13"/>
        <v>5500000250000016064001572600</v>
      </c>
      <c r="BU10" t="str">
        <f t="shared" si="4"/>
        <v/>
      </c>
      <c r="BV10" t="str">
        <f t="shared" si="14"/>
        <v>7777</v>
      </c>
      <c r="BW10" t="str">
        <f t="shared" si="5"/>
        <v/>
      </c>
      <c r="BX10" t="str">
        <f t="shared" si="15"/>
        <v>1111</v>
      </c>
      <c r="BY10"/>
      <c r="BZ10"/>
      <c r="CA10"/>
      <c r="CB10" s="683" t="str">
        <f t="shared" si="16"/>
        <v/>
      </c>
      <c r="CC10" s="683" t="str">
        <f t="shared" si="17"/>
        <v/>
      </c>
      <c r="CD10" s="683" t="str">
        <f>IF(CC10="","",VALUE(MID($BZ$5,1+SUM($CC$3:CC9),CC10)))</f>
        <v/>
      </c>
      <c r="CE10">
        <f t="shared" si="18"/>
        <v>8</v>
      </c>
      <c r="CF10" t="str">
        <f>IF(CD10="","",MID($BZ$4,1+SUM($CD$3:CD9),CD10))</f>
        <v/>
      </c>
      <c r="CI10" s="494" t="e">
        <f ca="1">SUMIFS(DB_LOAD!$AU:$AU,DB_LOAD!$AW:$AW,'Refi-Annual Review'!$CJ$1,DB_LOAD!$AR:$AR,'Refi-Annual Review'!$CF10,DB_LOAD!$AP:$AP,'Refi-Annual Review'!$CK$1,DB_LOAD!$AQ:$AQ,'Refi-Annual Review'!CI$2)/DB_LOAD!$K$2</f>
        <v>#DIV/0!</v>
      </c>
      <c r="CJ10" s="494" t="e">
        <f ca="1">SUMIFS(DB_LOAD!$AU:$AU,DB_LOAD!$AW:$AW,'Refi-Annual Review'!$CJ$1,DB_LOAD!$AR:$AR,'Refi-Annual Review'!$CF10,DB_LOAD!$AP:$AP,'Refi-Annual Review'!$CK$1,DB_LOAD!$AQ:$AQ,'Refi-Annual Review'!CJ$2)/DB_LOAD!$K$2</f>
        <v>#DIV/0!</v>
      </c>
      <c r="CK10" s="494" t="e">
        <f ca="1">SUMIFS(DB_LOAD!$AU:$AU,DB_LOAD!$AW:$AW,'Refi-Annual Review'!$CJ$1,DB_LOAD!$AR:$AR,'Refi-Annual Review'!$CF10,DB_LOAD!$AP:$AP,'Refi-Annual Review'!$CK$1,DB_LOAD!$AQ:$AQ,'Refi-Annual Review'!CK$2)/DB_LOAD!$K$2</f>
        <v>#DIV/0!</v>
      </c>
      <c r="CL10" s="494" t="e">
        <f ca="1">SUMIFS(DB_LOAD!$AU:$AU,DB_LOAD!$AW:$AW,'Refi-Annual Review'!$CJ$1,DB_LOAD!$AR:$AR,'Refi-Annual Review'!$CF10,DB_LOAD!$AP:$AP,'Refi-Annual Review'!$CK$1,DB_LOAD!$AQ:$AQ,'Refi-Annual Review'!CL$2)/DB_LOAD!$K$2</f>
        <v>#DIV/0!</v>
      </c>
      <c r="CM10" s="494" t="e">
        <f ca="1">SUMIFS(DB_LOAD!$AU:$AU,DB_LOAD!$AW:$AW,'Refi-Annual Review'!$CJ$1,DB_LOAD!$AR:$AR,'Refi-Annual Review'!$CF10,DB_LOAD!$AP:$AP,'Refi-Annual Review'!$CK$1,DB_LOAD!$AQ:$AQ,'Refi-Annual Review'!CM$2)/DB_LOAD!$K$2</f>
        <v>#DIV/0!</v>
      </c>
      <c r="CN10" s="494" t="e">
        <f ca="1">SUMIFS(DB_LOAD!$AU:$AU,DB_LOAD!$AW:$AW,'Refi-Annual Review'!$CJ$1,DB_LOAD!$AR:$AR,'Refi-Annual Review'!$CF10,DB_LOAD!$AP:$AP,'Refi-Annual Review'!$CK$1,DB_LOAD!$AQ:$AQ,'Refi-Annual Review'!CN$2)/DB_LOAD!$K$2</f>
        <v>#DIV/0!</v>
      </c>
      <c r="CO10" s="494" t="e">
        <f ca="1">SUMIFS(DB_LOAD!$AU:$AU,DB_LOAD!$AW:$AW,'Refi-Annual Review'!$CJ$1,DB_LOAD!$AR:$AR,'Refi-Annual Review'!$CF10,DB_LOAD!$AP:$AP,'Refi-Annual Review'!$CK$1,DB_LOAD!$AQ:$AQ,'Refi-Annual Review'!CO$2)/DB_LOAD!$K$2</f>
        <v>#DIV/0!</v>
      </c>
      <c r="CP10" s="494" t="e">
        <f t="shared" ca="1" si="8"/>
        <v>#DIV/0!</v>
      </c>
      <c r="CR10" s="494">
        <f ca="1">SUMIFS(DB_LOAD!$AV:$AV,DB_LOAD!$AW:$AW,'Refi-Annual Review'!$CS$1,DB_LOAD!$AR:$AR,'Refi-Annual Review'!$CF10,DB_LOAD!$AP:$AP,'Refi-Annual Review'!$CT$1,DB_LOAD!$AQ:$AQ,'Refi-Annual Review'!CR$2)</f>
        <v>0</v>
      </c>
      <c r="CS10" s="494">
        <f ca="1">SUMIFS(DB_LOAD!$AV:$AV,DB_LOAD!$AW:$AW,'Refi-Annual Review'!$CS$1,DB_LOAD!$AR:$AR,'Refi-Annual Review'!$CF10,DB_LOAD!$AP:$AP,'Refi-Annual Review'!$CT$1,DB_LOAD!$AQ:$AQ,'Refi-Annual Review'!CS$2)</f>
        <v>0</v>
      </c>
      <c r="CT10" s="494">
        <f ca="1">SUMIFS(DB_LOAD!$AV:$AV,DB_LOAD!$AW:$AW,'Refi-Annual Review'!$CS$1,DB_LOAD!$AR:$AR,'Refi-Annual Review'!$CF10,DB_LOAD!$AP:$AP,'Refi-Annual Review'!$CT$1,DB_LOAD!$AQ:$AQ,'Refi-Annual Review'!CT$2)</f>
        <v>0</v>
      </c>
      <c r="CU10" s="494">
        <f ca="1">SUMIFS(DB_LOAD!$AV:$AV,DB_LOAD!$AW:$AW,'Refi-Annual Review'!$CS$1,DB_LOAD!$AR:$AR,'Refi-Annual Review'!$CF10,DB_LOAD!$AP:$AP,'Refi-Annual Review'!$CT$1,DB_LOAD!$AQ:$AQ,'Refi-Annual Review'!CU$2)</f>
        <v>0</v>
      </c>
      <c r="CV10" s="494">
        <f ca="1">SUMIFS(DB_LOAD!$AV:$AV,DB_LOAD!$AW:$AW,'Refi-Annual Review'!$CS$1,DB_LOAD!$AR:$AR,'Refi-Annual Review'!$CF10,DB_LOAD!$AP:$AP,'Refi-Annual Review'!$CT$1,DB_LOAD!$AQ:$AQ,'Refi-Annual Review'!CV$2)</f>
        <v>0</v>
      </c>
      <c r="CW10" s="494">
        <f ca="1">SUMIFS(DB_LOAD!$AV:$AV,DB_LOAD!$AW:$AW,'Refi-Annual Review'!$CS$1,DB_LOAD!$AR:$AR,'Refi-Annual Review'!$CF10,DB_LOAD!$AP:$AP,'Refi-Annual Review'!$CT$1,DB_LOAD!$AQ:$AQ,'Refi-Annual Review'!CW$2)</f>
        <v>0</v>
      </c>
      <c r="CX10" s="494">
        <f ca="1">SUMIFS(DB_LOAD!$AV:$AV,DB_LOAD!$AW:$AW,'Refi-Annual Review'!$CS$1,DB_LOAD!$AR:$AR,'Refi-Annual Review'!$CF10,DB_LOAD!$AP:$AP,'Refi-Annual Review'!$CT$1,DB_LOAD!$AQ:$AQ,'Refi-Annual Review'!CX$2)</f>
        <v>0</v>
      </c>
      <c r="CY10" s="494" t="str">
        <f t="shared" ca="1" si="9"/>
        <v/>
      </c>
      <c r="DA10" s="494" t="e">
        <f ca="1">SUMIFS(DB_LOAD!$AU:$AU,DB_LOAD!$AW:$AW,'Refi-Annual Review'!$DB$1,DB_LOAD!$AR:$AR,'Refi-Annual Review'!$CF10,DB_LOAD!$AP:$AP,'Refi-Annual Review'!$DC$1,DB_LOAD!$AQ:$AQ,'Refi-Annual Review'!DA$2)/IF($A$23="No Data Found",1,$A$23)</f>
        <v>#NAME?</v>
      </c>
      <c r="DB10" s="494" t="e">
        <f ca="1">SUMIFS(DB_LOAD!$AU:$AU,DB_LOAD!$AW:$AW,'Refi-Annual Review'!$DB$1,DB_LOAD!$AR:$AR,'Refi-Annual Review'!$CF10,DB_LOAD!$AP:$AP,'Refi-Annual Review'!$DC$1,DB_LOAD!$AQ:$AQ,'Refi-Annual Review'!DB$2)/IF($A$23="No Data Found",1,$A$23)</f>
        <v>#NAME?</v>
      </c>
      <c r="DC10" s="494" t="e">
        <f ca="1">SUMIFS(DB_LOAD!$AU:$AU,DB_LOAD!$AW:$AW,'Refi-Annual Review'!$DB$1,DB_LOAD!$AR:$AR,'Refi-Annual Review'!$CF10,DB_LOAD!$AP:$AP,'Refi-Annual Review'!$DC$1,DB_LOAD!$AQ:$AQ,'Refi-Annual Review'!DC$2)/IF($A$23="No Data Found",1,$A$23)</f>
        <v>#NAME?</v>
      </c>
      <c r="DD10" s="494" t="e">
        <f ca="1">SUMIFS(DB_LOAD!$AU:$AU,DB_LOAD!$AW:$AW,'Refi-Annual Review'!$DB$1,DB_LOAD!$AR:$AR,'Refi-Annual Review'!$CF10,DB_LOAD!$AP:$AP,'Refi-Annual Review'!$DC$1,DB_LOAD!$AQ:$AQ,'Refi-Annual Review'!DD$2)/IF($A$23="No Data Found",1,$A$23)</f>
        <v>#NAME?</v>
      </c>
      <c r="DE10" s="494" t="e">
        <f ca="1">SUMIFS(DB_LOAD!$AU:$AU,DB_LOAD!$AW:$AW,'Refi-Annual Review'!$DB$1,DB_LOAD!$AR:$AR,'Refi-Annual Review'!$CF10,DB_LOAD!$AP:$AP,'Refi-Annual Review'!$DC$1,DB_LOAD!$AQ:$AQ,'Refi-Annual Review'!DE$2)/IF($A$23="No Data Found",1,$A$23)</f>
        <v>#NAME?</v>
      </c>
      <c r="DF10" s="494" t="e">
        <f ca="1">SUMIFS(DB_LOAD!$AU:$AU,DB_LOAD!$AW:$AW,'Refi-Annual Review'!$DB$1,DB_LOAD!$AR:$AR,'Refi-Annual Review'!$CF10,DB_LOAD!$AP:$AP,'Refi-Annual Review'!$DC$1,DB_LOAD!$AQ:$AQ,'Refi-Annual Review'!DF$2)/IF($A$23="No Data Found",1,$A$23)</f>
        <v>#NAME?</v>
      </c>
      <c r="DG10" s="494" t="e">
        <f ca="1">SUMIFS(DB_LOAD!$AU:$AU,DB_LOAD!$AW:$AW,'Refi-Annual Review'!$DB$1,DB_LOAD!$AR:$AR,'Refi-Annual Review'!$CF10,DB_LOAD!$AP:$AP,'Refi-Annual Review'!$DC$1,DB_LOAD!$AQ:$AQ,'Refi-Annual Review'!DG$2)/IF($A$23="No Data Found",1,$A$23)</f>
        <v>#NAME?</v>
      </c>
      <c r="DH10" s="494" t="e">
        <f t="shared" ca="1" si="10"/>
        <v>#NAME?</v>
      </c>
      <c r="DJ10" s="494">
        <f ca="1">SUMIFS(DB_LOAD!$AV:$AV,DB_LOAD!$AW:$AW,'Refi-Annual Review'!$DK$1,DB_LOAD!$AR:$AR,'Refi-Annual Review'!$CF10,DB_LOAD!$AP:$AP,'Refi-Annual Review'!$DL$1,DB_LOAD!$AQ:$AQ,'Refi-Annual Review'!DJ$2)</f>
        <v>0</v>
      </c>
      <c r="DK10" s="494">
        <f ca="1">SUMIFS(DB_LOAD!$AV:$AV,DB_LOAD!$AW:$AW,'Refi-Annual Review'!$DK$1,DB_LOAD!$AR:$AR,'Refi-Annual Review'!$CF10,DB_LOAD!$AP:$AP,'Refi-Annual Review'!$DL$1,DB_LOAD!$AQ:$AQ,'Refi-Annual Review'!DK$2)</f>
        <v>0</v>
      </c>
      <c r="DL10" s="494">
        <f ca="1">SUMIFS(DB_LOAD!$AV:$AV,DB_LOAD!$AW:$AW,'Refi-Annual Review'!$DK$1,DB_LOAD!$AR:$AR,'Refi-Annual Review'!$CF10,DB_LOAD!$AP:$AP,'Refi-Annual Review'!$DL$1,DB_LOAD!$AQ:$AQ,'Refi-Annual Review'!DL$2)</f>
        <v>0</v>
      </c>
      <c r="DM10" s="494">
        <f ca="1">SUMIFS(DB_LOAD!$AV:$AV,DB_LOAD!$AW:$AW,'Refi-Annual Review'!$DK$1,DB_LOAD!$AR:$AR,'Refi-Annual Review'!$CF10,DB_LOAD!$AP:$AP,'Refi-Annual Review'!$DL$1,DB_LOAD!$AQ:$AQ,'Refi-Annual Review'!DM$2)</f>
        <v>0</v>
      </c>
      <c r="DN10" s="494">
        <f ca="1">SUMIFS(DB_LOAD!$AV:$AV,DB_LOAD!$AW:$AW,'Refi-Annual Review'!$DK$1,DB_LOAD!$AR:$AR,'Refi-Annual Review'!$CF10,DB_LOAD!$AP:$AP,'Refi-Annual Review'!$DL$1,DB_LOAD!$AQ:$AQ,'Refi-Annual Review'!DN$2)</f>
        <v>0</v>
      </c>
      <c r="DO10" s="494">
        <f ca="1">SUMIFS(DB_LOAD!$AV:$AV,DB_LOAD!$AW:$AW,'Refi-Annual Review'!$DK$1,DB_LOAD!$AR:$AR,'Refi-Annual Review'!$CF10,DB_LOAD!$AP:$AP,'Refi-Annual Review'!$DL$1,DB_LOAD!$AQ:$AQ,'Refi-Annual Review'!DO$2)</f>
        <v>0</v>
      </c>
      <c r="DP10" s="494">
        <f ca="1">SUMIFS(DB_LOAD!$AV:$AV,DB_LOAD!$AW:$AW,'Refi-Annual Review'!$DK$1,DB_LOAD!$AR:$AR,'Refi-Annual Review'!$CF10,DB_LOAD!$AP:$AP,'Refi-Annual Review'!$DL$1,DB_LOAD!$AQ:$AQ,'Refi-Annual Review'!DP$2)</f>
        <v>0</v>
      </c>
      <c r="DQ10" s="494" t="str">
        <f t="shared" ca="1" si="11"/>
        <v/>
      </c>
      <c r="DS10" s="494">
        <f>SUMIFS(DB_LOAD!$AV:$AV,DB_LOAD!$AW:$AW,'Refi-Annual Review'!$DT$1,DB_LOAD!$AR:$AR,'Refi-Annual Review'!$CF10,DB_LOAD!$AP:$AP,'Refi-Annual Review'!$DU$1,DB_LOAD!$AQ:$AQ,'Refi-Annual Review'!DS$2)</f>
        <v>0</v>
      </c>
      <c r="DT10" s="494">
        <f>SUMIFS(DB_LOAD!$AV:$AV,DB_LOAD!$AW:$AW,'Refi-Annual Review'!$DT$1,DB_LOAD!$AR:$AR,'Refi-Annual Review'!$CF10,DB_LOAD!$AP:$AP,'Refi-Annual Review'!$DU$1,DB_LOAD!$AQ:$AQ,'Refi-Annual Review'!DT$2)</f>
        <v>0</v>
      </c>
      <c r="DU10" s="494">
        <f>SUMIFS(DB_LOAD!$AV:$AV,DB_LOAD!$AW:$AW,'Refi-Annual Review'!$DT$1,DB_LOAD!$AR:$AR,'Refi-Annual Review'!$CF10,DB_LOAD!$AP:$AP,'Refi-Annual Review'!$DU$1,DB_LOAD!$AQ:$AQ,'Refi-Annual Review'!DU$2)</f>
        <v>0</v>
      </c>
      <c r="DV10" s="494">
        <f>SUMIFS(DB_LOAD!$AV:$AV,DB_LOAD!$AW:$AW,'Refi-Annual Review'!$DT$1,DB_LOAD!$AR:$AR,'Refi-Annual Review'!$CF10,DB_LOAD!$AP:$AP,'Refi-Annual Review'!$DU$1,DB_LOAD!$AQ:$AQ,'Refi-Annual Review'!DV$2)</f>
        <v>0</v>
      </c>
      <c r="DW10" s="494">
        <f>SUMIFS(DB_LOAD!$AV:$AV,DB_LOAD!$AW:$AW,'Refi-Annual Review'!$DT$1,DB_LOAD!$AR:$AR,'Refi-Annual Review'!$CF10,DB_LOAD!$AP:$AP,'Refi-Annual Review'!$DU$1,DB_LOAD!$AQ:$AQ,'Refi-Annual Review'!DW$2)</f>
        <v>0</v>
      </c>
      <c r="DX10" s="494">
        <f>SUMIFS(DB_LOAD!$AV:$AV,DB_LOAD!$AW:$AW,'Refi-Annual Review'!$DT$1,DB_LOAD!$AR:$AR,'Refi-Annual Review'!$CF10,DB_LOAD!$AP:$AP,'Refi-Annual Review'!$DU$1,DB_LOAD!$AQ:$AQ,'Refi-Annual Review'!DX$2)</f>
        <v>0</v>
      </c>
      <c r="DY10" s="494">
        <f>SUMIFS(DB_LOAD!$AV:$AV,DB_LOAD!$AW:$AW,'Refi-Annual Review'!$DT$1,DB_LOAD!$AR:$AR,'Refi-Annual Review'!$CF10,DB_LOAD!$AP:$AP,'Refi-Annual Review'!$DU$1,DB_LOAD!$AQ:$AQ,'Refi-Annual Review'!DY$2)</f>
        <v>0</v>
      </c>
      <c r="DZ10" s="494" t="str">
        <f t="shared" si="12"/>
        <v/>
      </c>
      <c r="EC10" s="485" t="s">
        <v>346</v>
      </c>
    </row>
    <row r="11" spans="1:134" ht="15">
      <c r="A11" s="484" t="e">
        <f ca="1">IF(ISBLANK(Config!$B$18),"",Config!$B$18)</f>
        <v>#NAME?</v>
      </c>
      <c r="C11" s="485">
        <f t="shared" si="25"/>
        <v>12</v>
      </c>
      <c r="D11" s="493" t="s">
        <v>12</v>
      </c>
      <c r="E11" s="568"/>
      <c r="F11" s="494" t="e">
        <f ca="1">IF(F$3="NO AUDIT","",F166)</f>
        <v>#N/A</v>
      </c>
      <c r="G11" s="494" t="e">
        <f ca="1">IF(G$3="NO AUDIT","",G166)</f>
        <v>#N/A</v>
      </c>
      <c r="H11" s="494" t="e">
        <f ca="1">IF(H$3="NO AUDIT","",H166)</f>
        <v>#N/A</v>
      </c>
      <c r="I11" s="494" t="e">
        <f ca="1">IF(I$3="NO AUDIT","",I166)</f>
        <v>#N/A</v>
      </c>
      <c r="J11" s="494" t="e">
        <f ca="1">IF(J$3="NO AUDIT","",J166)</f>
        <v>#N/A</v>
      </c>
      <c r="K11" s="494"/>
      <c r="L11" s="494" t="e">
        <f>L166</f>
        <v>#NAME?</v>
      </c>
      <c r="M11" s="494" t="e">
        <f>M166</f>
        <v>#NAME?</v>
      </c>
      <c r="N11" s="494" t="e">
        <f>N166</f>
        <v>#NAME?</v>
      </c>
      <c r="O11" s="494" t="e">
        <f>O166</f>
        <v>#NAME?</v>
      </c>
      <c r="P11" s="494"/>
      <c r="Q11" s="494" t="e">
        <f>Q166</f>
        <v>#NAME?</v>
      </c>
      <c r="R11" s="494" t="e">
        <f>R166</f>
        <v>#NAME?</v>
      </c>
      <c r="S11" s="494"/>
      <c r="T11" s="494"/>
      <c r="U11" s="494" t="e">
        <f>U166</f>
        <v>#NAME?</v>
      </c>
      <c r="AJ11" s="493" t="s">
        <v>12</v>
      </c>
      <c r="AK11" s="494" t="e">
        <f t="shared" ca="1" si="27"/>
        <v>#N/A</v>
      </c>
      <c r="AL11" s="494" t="e">
        <f t="shared" ca="1" si="27"/>
        <v>#N/A</v>
      </c>
      <c r="AM11" s="494" t="e">
        <f t="shared" ca="1" si="23"/>
        <v>#N/A</v>
      </c>
      <c r="AN11" s="494" t="e">
        <f t="shared" ca="1" si="23"/>
        <v>#N/A</v>
      </c>
      <c r="AO11" s="494" t="e">
        <f t="shared" si="19"/>
        <v>#NAME?</v>
      </c>
      <c r="AP11" s="494" t="e">
        <f t="shared" si="19"/>
        <v>#NAME?</v>
      </c>
      <c r="AS11" s="485" t="str">
        <f>DB_LOAD!V5</f>
        <v>Unhedged FX</v>
      </c>
      <c r="AT11" s="626">
        <f>IF(ISBLANK(DB_LOAD!N5),"",DB_LOAD!N5)</f>
        <v>2</v>
      </c>
      <c r="AU11" s="627" t="str">
        <f>IF(ISBLANK(DB_LOAD!P5),"",DB_LOAD!R5)</f>
        <v>USD</v>
      </c>
      <c r="AV11" s="628" t="str">
        <f>IF(ISBLANK(DB_LOAD!R5),"",IF('Balance Sheet'!$E$5="USD",DB_LOAD!O5,DB_LOAD!O5/DB_LOAD!$K$2))</f>
        <v>Azerbaijan</v>
      </c>
      <c r="AW11" s="629">
        <f>IF(C12=3,"-",IF(ISBLANK(DB_LOAD!S5),"",DB_LOAD!U5))</f>
        <v>0</v>
      </c>
      <c r="AX11" s="630">
        <f>IF(C12=3,"Equity ",IF(ISBLANK(DB_LOAD!T5),"",DB_LOAD!T5))</f>
        <v>5500000</v>
      </c>
      <c r="AY11" s="642">
        <f t="shared" si="24"/>
        <v>1</v>
      </c>
      <c r="AZ11" s="631" t="str">
        <f>+'Risk Assessment'!N12</f>
        <v/>
      </c>
      <c r="BA11" s="643" t="e">
        <f>+'Risk Assessment'!AB12</f>
        <v>#N/A</v>
      </c>
      <c r="BB11" s="644" t="e">
        <f>+'Risk Assessment'!Z12</f>
        <v>#N/A</v>
      </c>
      <c r="BC11" s="642">
        <f t="shared" si="28"/>
        <v>0</v>
      </c>
      <c r="BD11" s="485" t="s">
        <v>140</v>
      </c>
      <c r="BE11" s="485" t="e">
        <f t="shared" ca="1" si="31"/>
        <v>#NAME?</v>
      </c>
      <c r="BF11" s="651" t="str">
        <f t="shared" si="29"/>
        <v>1606400</v>
      </c>
      <c r="BG11" s="669" t="e">
        <f t="shared" ca="1" si="30"/>
        <v>#NAME?</v>
      </c>
      <c r="BH11" s="669" t="e">
        <f t="shared" ca="1" si="30"/>
        <v>#NAME?</v>
      </c>
      <c r="BI11" s="669" t="e">
        <f t="shared" ca="1" si="30"/>
        <v>#NAME?</v>
      </c>
      <c r="BJ11" s="669" t="e">
        <f t="shared" ca="1" si="30"/>
        <v>#NAME?</v>
      </c>
      <c r="BK11" s="669" t="e">
        <f t="shared" ca="1" si="30"/>
        <v>#NAME?</v>
      </c>
      <c r="BL11" s="669" t="e">
        <f t="shared" ca="1" si="30"/>
        <v>#NAME?</v>
      </c>
      <c r="BM11" s="669" t="e">
        <f t="shared" ca="1" si="30"/>
        <v>#NAME?</v>
      </c>
      <c r="BN11" s="670" t="e">
        <f t="shared" ca="1" si="32"/>
        <v>#NAME?</v>
      </c>
      <c r="BP11" s="485" t="e">
        <f ca="1">IF(OR(DB_LOAD!AW10="USD",DB_LOAD!AW10='Refi-Annual Review'!$A$3,ISBLANK(DB_LOAD!AW10)),0,1)</f>
        <v>#NAME?</v>
      </c>
      <c r="BQ11" t="str">
        <f>(IF(ISBLANK(DB_LOAD!AR10),"",DB_LOAD!AR10))</f>
        <v/>
      </c>
      <c r="BR11" t="str">
        <f t="shared" si="3"/>
        <v/>
      </c>
      <c r="BS11" t="str">
        <f t="shared" si="7"/>
        <v/>
      </c>
      <c r="BT11" t="str">
        <f t="shared" si="13"/>
        <v>5500000250000016064001572600</v>
      </c>
      <c r="BU11" t="str">
        <f t="shared" si="4"/>
        <v/>
      </c>
      <c r="BV11" t="str">
        <f t="shared" si="14"/>
        <v>7777</v>
      </c>
      <c r="BW11" t="str">
        <f t="shared" si="5"/>
        <v/>
      </c>
      <c r="BX11" t="str">
        <f t="shared" si="15"/>
        <v>1111</v>
      </c>
      <c r="BY11"/>
      <c r="BZ11"/>
      <c r="CA11"/>
      <c r="CB11" s="683" t="str">
        <f t="shared" si="16"/>
        <v/>
      </c>
      <c r="CC11" s="683" t="str">
        <f t="shared" si="17"/>
        <v/>
      </c>
      <c r="CD11" s="683" t="str">
        <f>IF(CC11="","",VALUE(MID($BZ$5,1+SUM($CC$3:CC10),CC11)))</f>
        <v/>
      </c>
      <c r="CE11">
        <f t="shared" si="18"/>
        <v>9</v>
      </c>
      <c r="CF11" t="str">
        <f>IF(CD11="","",MID($BZ$4,1+SUM($CD$3:CD10),CD11))</f>
        <v/>
      </c>
      <c r="CI11" s="494" t="e">
        <f ca="1">SUMIFS(DB_LOAD!$AU:$AU,DB_LOAD!$AW:$AW,'Refi-Annual Review'!$CJ$1,DB_LOAD!$AR:$AR,'Refi-Annual Review'!$CF11,DB_LOAD!$AP:$AP,'Refi-Annual Review'!$CK$1,DB_LOAD!$AQ:$AQ,'Refi-Annual Review'!CI$2)/DB_LOAD!$K$2</f>
        <v>#DIV/0!</v>
      </c>
      <c r="CJ11" s="494" t="e">
        <f ca="1">SUMIFS(DB_LOAD!$AU:$AU,DB_LOAD!$AW:$AW,'Refi-Annual Review'!$CJ$1,DB_LOAD!$AR:$AR,'Refi-Annual Review'!$CF11,DB_LOAD!$AP:$AP,'Refi-Annual Review'!$CK$1,DB_LOAD!$AQ:$AQ,'Refi-Annual Review'!CJ$2)/DB_LOAD!$K$2</f>
        <v>#DIV/0!</v>
      </c>
      <c r="CK11" s="494" t="e">
        <f ca="1">SUMIFS(DB_LOAD!$AU:$AU,DB_LOAD!$AW:$AW,'Refi-Annual Review'!$CJ$1,DB_LOAD!$AR:$AR,'Refi-Annual Review'!$CF11,DB_LOAD!$AP:$AP,'Refi-Annual Review'!$CK$1,DB_LOAD!$AQ:$AQ,'Refi-Annual Review'!CK$2)/DB_LOAD!$K$2</f>
        <v>#DIV/0!</v>
      </c>
      <c r="CL11" s="494" t="e">
        <f ca="1">SUMIFS(DB_LOAD!$AU:$AU,DB_LOAD!$AW:$AW,'Refi-Annual Review'!$CJ$1,DB_LOAD!$AR:$AR,'Refi-Annual Review'!$CF11,DB_LOAD!$AP:$AP,'Refi-Annual Review'!$CK$1,DB_LOAD!$AQ:$AQ,'Refi-Annual Review'!CL$2)/DB_LOAD!$K$2</f>
        <v>#DIV/0!</v>
      </c>
      <c r="CM11" s="494" t="e">
        <f ca="1">SUMIFS(DB_LOAD!$AU:$AU,DB_LOAD!$AW:$AW,'Refi-Annual Review'!$CJ$1,DB_LOAD!$AR:$AR,'Refi-Annual Review'!$CF11,DB_LOAD!$AP:$AP,'Refi-Annual Review'!$CK$1,DB_LOAD!$AQ:$AQ,'Refi-Annual Review'!CM$2)/DB_LOAD!$K$2</f>
        <v>#DIV/0!</v>
      </c>
      <c r="CN11" s="494" t="e">
        <f ca="1">SUMIFS(DB_LOAD!$AU:$AU,DB_LOAD!$AW:$AW,'Refi-Annual Review'!$CJ$1,DB_LOAD!$AR:$AR,'Refi-Annual Review'!$CF11,DB_LOAD!$AP:$AP,'Refi-Annual Review'!$CK$1,DB_LOAD!$AQ:$AQ,'Refi-Annual Review'!CN$2)/DB_LOAD!$K$2</f>
        <v>#DIV/0!</v>
      </c>
      <c r="CO11" s="494" t="e">
        <f ca="1">SUMIFS(DB_LOAD!$AU:$AU,DB_LOAD!$AW:$AW,'Refi-Annual Review'!$CJ$1,DB_LOAD!$AR:$AR,'Refi-Annual Review'!$CF11,DB_LOAD!$AP:$AP,'Refi-Annual Review'!$CK$1,DB_LOAD!$AQ:$AQ,'Refi-Annual Review'!CO$2)/DB_LOAD!$K$2</f>
        <v>#DIV/0!</v>
      </c>
      <c r="CP11" s="494" t="e">
        <f t="shared" ca="1" si="8"/>
        <v>#DIV/0!</v>
      </c>
      <c r="CR11" s="494">
        <f ca="1">SUMIFS(DB_LOAD!$AV:$AV,DB_LOAD!$AW:$AW,'Refi-Annual Review'!$CS$1,DB_LOAD!$AR:$AR,'Refi-Annual Review'!$CF11,DB_LOAD!$AP:$AP,'Refi-Annual Review'!$CT$1,DB_LOAD!$AQ:$AQ,'Refi-Annual Review'!CR$2)</f>
        <v>0</v>
      </c>
      <c r="CS11" s="494">
        <f ca="1">SUMIFS(DB_LOAD!$AV:$AV,DB_LOAD!$AW:$AW,'Refi-Annual Review'!$CS$1,DB_LOAD!$AR:$AR,'Refi-Annual Review'!$CF11,DB_LOAD!$AP:$AP,'Refi-Annual Review'!$CT$1,DB_LOAD!$AQ:$AQ,'Refi-Annual Review'!CS$2)</f>
        <v>0</v>
      </c>
      <c r="CT11" s="494">
        <f ca="1">SUMIFS(DB_LOAD!$AV:$AV,DB_LOAD!$AW:$AW,'Refi-Annual Review'!$CS$1,DB_LOAD!$AR:$AR,'Refi-Annual Review'!$CF11,DB_LOAD!$AP:$AP,'Refi-Annual Review'!$CT$1,DB_LOAD!$AQ:$AQ,'Refi-Annual Review'!CT$2)</f>
        <v>0</v>
      </c>
      <c r="CU11" s="494">
        <f ca="1">SUMIFS(DB_LOAD!$AV:$AV,DB_LOAD!$AW:$AW,'Refi-Annual Review'!$CS$1,DB_LOAD!$AR:$AR,'Refi-Annual Review'!$CF11,DB_LOAD!$AP:$AP,'Refi-Annual Review'!$CT$1,DB_LOAD!$AQ:$AQ,'Refi-Annual Review'!CU$2)</f>
        <v>0</v>
      </c>
      <c r="CV11" s="494">
        <f ca="1">SUMIFS(DB_LOAD!$AV:$AV,DB_LOAD!$AW:$AW,'Refi-Annual Review'!$CS$1,DB_LOAD!$AR:$AR,'Refi-Annual Review'!$CF11,DB_LOAD!$AP:$AP,'Refi-Annual Review'!$CT$1,DB_LOAD!$AQ:$AQ,'Refi-Annual Review'!CV$2)</f>
        <v>0</v>
      </c>
      <c r="CW11" s="494">
        <f ca="1">SUMIFS(DB_LOAD!$AV:$AV,DB_LOAD!$AW:$AW,'Refi-Annual Review'!$CS$1,DB_LOAD!$AR:$AR,'Refi-Annual Review'!$CF11,DB_LOAD!$AP:$AP,'Refi-Annual Review'!$CT$1,DB_LOAD!$AQ:$AQ,'Refi-Annual Review'!CW$2)</f>
        <v>0</v>
      </c>
      <c r="CX11" s="494">
        <f ca="1">SUMIFS(DB_LOAD!$AV:$AV,DB_LOAD!$AW:$AW,'Refi-Annual Review'!$CS$1,DB_LOAD!$AR:$AR,'Refi-Annual Review'!$CF11,DB_LOAD!$AP:$AP,'Refi-Annual Review'!$CT$1,DB_LOAD!$AQ:$AQ,'Refi-Annual Review'!CX$2)</f>
        <v>0</v>
      </c>
      <c r="CY11" s="494" t="str">
        <f t="shared" ca="1" si="9"/>
        <v/>
      </c>
      <c r="DA11" s="494" t="e">
        <f ca="1">SUMIFS(DB_LOAD!$AU:$AU,DB_LOAD!$AW:$AW,'Refi-Annual Review'!$DB$1,DB_LOAD!$AR:$AR,'Refi-Annual Review'!$CF11,DB_LOAD!$AP:$AP,'Refi-Annual Review'!$DC$1,DB_LOAD!$AQ:$AQ,'Refi-Annual Review'!DA$2)/IF($A$23="No Data Found",1,$A$23)</f>
        <v>#NAME?</v>
      </c>
      <c r="DB11" s="494" t="e">
        <f ca="1">SUMIFS(DB_LOAD!$AU:$AU,DB_LOAD!$AW:$AW,'Refi-Annual Review'!$DB$1,DB_LOAD!$AR:$AR,'Refi-Annual Review'!$CF11,DB_LOAD!$AP:$AP,'Refi-Annual Review'!$DC$1,DB_LOAD!$AQ:$AQ,'Refi-Annual Review'!DB$2)/IF($A$23="No Data Found",1,$A$23)</f>
        <v>#NAME?</v>
      </c>
      <c r="DC11" s="494" t="e">
        <f ca="1">SUMIFS(DB_LOAD!$AU:$AU,DB_LOAD!$AW:$AW,'Refi-Annual Review'!$DB$1,DB_LOAD!$AR:$AR,'Refi-Annual Review'!$CF11,DB_LOAD!$AP:$AP,'Refi-Annual Review'!$DC$1,DB_LOAD!$AQ:$AQ,'Refi-Annual Review'!DC$2)/IF($A$23="No Data Found",1,$A$23)</f>
        <v>#NAME?</v>
      </c>
      <c r="DD11" s="494" t="e">
        <f ca="1">SUMIFS(DB_LOAD!$AU:$AU,DB_LOAD!$AW:$AW,'Refi-Annual Review'!$DB$1,DB_LOAD!$AR:$AR,'Refi-Annual Review'!$CF11,DB_LOAD!$AP:$AP,'Refi-Annual Review'!$DC$1,DB_LOAD!$AQ:$AQ,'Refi-Annual Review'!DD$2)/IF($A$23="No Data Found",1,$A$23)</f>
        <v>#NAME?</v>
      </c>
      <c r="DE11" s="494" t="e">
        <f ca="1">SUMIFS(DB_LOAD!$AU:$AU,DB_LOAD!$AW:$AW,'Refi-Annual Review'!$DB$1,DB_LOAD!$AR:$AR,'Refi-Annual Review'!$CF11,DB_LOAD!$AP:$AP,'Refi-Annual Review'!$DC$1,DB_LOAD!$AQ:$AQ,'Refi-Annual Review'!DE$2)/IF($A$23="No Data Found",1,$A$23)</f>
        <v>#NAME?</v>
      </c>
      <c r="DF11" s="494" t="e">
        <f ca="1">SUMIFS(DB_LOAD!$AU:$AU,DB_LOAD!$AW:$AW,'Refi-Annual Review'!$DB$1,DB_LOAD!$AR:$AR,'Refi-Annual Review'!$CF11,DB_LOAD!$AP:$AP,'Refi-Annual Review'!$DC$1,DB_LOAD!$AQ:$AQ,'Refi-Annual Review'!DF$2)/IF($A$23="No Data Found",1,$A$23)</f>
        <v>#NAME?</v>
      </c>
      <c r="DG11" s="494" t="e">
        <f ca="1">SUMIFS(DB_LOAD!$AU:$AU,DB_LOAD!$AW:$AW,'Refi-Annual Review'!$DB$1,DB_LOAD!$AR:$AR,'Refi-Annual Review'!$CF11,DB_LOAD!$AP:$AP,'Refi-Annual Review'!$DC$1,DB_LOAD!$AQ:$AQ,'Refi-Annual Review'!DG$2)/IF($A$23="No Data Found",1,$A$23)</f>
        <v>#NAME?</v>
      </c>
      <c r="DH11" s="494" t="e">
        <f t="shared" ca="1" si="10"/>
        <v>#NAME?</v>
      </c>
      <c r="DJ11" s="494">
        <f ca="1">SUMIFS(DB_LOAD!$AV:$AV,DB_LOAD!$AW:$AW,'Refi-Annual Review'!$DK$1,DB_LOAD!$AR:$AR,'Refi-Annual Review'!$CF11,DB_LOAD!$AP:$AP,'Refi-Annual Review'!$DL$1,DB_LOAD!$AQ:$AQ,'Refi-Annual Review'!DJ$2)</f>
        <v>0</v>
      </c>
      <c r="DK11" s="494">
        <f ca="1">SUMIFS(DB_LOAD!$AV:$AV,DB_LOAD!$AW:$AW,'Refi-Annual Review'!$DK$1,DB_LOAD!$AR:$AR,'Refi-Annual Review'!$CF11,DB_LOAD!$AP:$AP,'Refi-Annual Review'!$DL$1,DB_LOAD!$AQ:$AQ,'Refi-Annual Review'!DK$2)</f>
        <v>0</v>
      </c>
      <c r="DL11" s="494">
        <f ca="1">SUMIFS(DB_LOAD!$AV:$AV,DB_LOAD!$AW:$AW,'Refi-Annual Review'!$DK$1,DB_LOAD!$AR:$AR,'Refi-Annual Review'!$CF11,DB_LOAD!$AP:$AP,'Refi-Annual Review'!$DL$1,DB_LOAD!$AQ:$AQ,'Refi-Annual Review'!DL$2)</f>
        <v>0</v>
      </c>
      <c r="DM11" s="494">
        <f ca="1">SUMIFS(DB_LOAD!$AV:$AV,DB_LOAD!$AW:$AW,'Refi-Annual Review'!$DK$1,DB_LOAD!$AR:$AR,'Refi-Annual Review'!$CF11,DB_LOAD!$AP:$AP,'Refi-Annual Review'!$DL$1,DB_LOAD!$AQ:$AQ,'Refi-Annual Review'!DM$2)</f>
        <v>0</v>
      </c>
      <c r="DN11" s="494">
        <f ca="1">SUMIFS(DB_LOAD!$AV:$AV,DB_LOAD!$AW:$AW,'Refi-Annual Review'!$DK$1,DB_LOAD!$AR:$AR,'Refi-Annual Review'!$CF11,DB_LOAD!$AP:$AP,'Refi-Annual Review'!$DL$1,DB_LOAD!$AQ:$AQ,'Refi-Annual Review'!DN$2)</f>
        <v>0</v>
      </c>
      <c r="DO11" s="494">
        <f ca="1">SUMIFS(DB_LOAD!$AV:$AV,DB_LOAD!$AW:$AW,'Refi-Annual Review'!$DK$1,DB_LOAD!$AR:$AR,'Refi-Annual Review'!$CF11,DB_LOAD!$AP:$AP,'Refi-Annual Review'!$DL$1,DB_LOAD!$AQ:$AQ,'Refi-Annual Review'!DO$2)</f>
        <v>0</v>
      </c>
      <c r="DP11" s="494">
        <f ca="1">SUMIFS(DB_LOAD!$AV:$AV,DB_LOAD!$AW:$AW,'Refi-Annual Review'!$DK$1,DB_LOAD!$AR:$AR,'Refi-Annual Review'!$CF11,DB_LOAD!$AP:$AP,'Refi-Annual Review'!$DL$1,DB_LOAD!$AQ:$AQ,'Refi-Annual Review'!DP$2)</f>
        <v>0</v>
      </c>
      <c r="DQ11" s="494" t="str">
        <f t="shared" ca="1" si="11"/>
        <v/>
      </c>
      <c r="DS11" s="494">
        <f>SUMIFS(DB_LOAD!$AV:$AV,DB_LOAD!$AW:$AW,'Refi-Annual Review'!$DT$1,DB_LOAD!$AR:$AR,'Refi-Annual Review'!$CF11,DB_LOAD!$AP:$AP,'Refi-Annual Review'!$DU$1,DB_LOAD!$AQ:$AQ,'Refi-Annual Review'!DS$2)</f>
        <v>0</v>
      </c>
      <c r="DT11" s="494">
        <f>SUMIFS(DB_LOAD!$AV:$AV,DB_LOAD!$AW:$AW,'Refi-Annual Review'!$DT$1,DB_LOAD!$AR:$AR,'Refi-Annual Review'!$CF11,DB_LOAD!$AP:$AP,'Refi-Annual Review'!$DU$1,DB_LOAD!$AQ:$AQ,'Refi-Annual Review'!DT$2)</f>
        <v>0</v>
      </c>
      <c r="DU11" s="494">
        <f>SUMIFS(DB_LOAD!$AV:$AV,DB_LOAD!$AW:$AW,'Refi-Annual Review'!$DT$1,DB_LOAD!$AR:$AR,'Refi-Annual Review'!$CF11,DB_LOAD!$AP:$AP,'Refi-Annual Review'!$DU$1,DB_LOAD!$AQ:$AQ,'Refi-Annual Review'!DU$2)</f>
        <v>0</v>
      </c>
      <c r="DV11" s="494">
        <f>SUMIFS(DB_LOAD!$AV:$AV,DB_LOAD!$AW:$AW,'Refi-Annual Review'!$DT$1,DB_LOAD!$AR:$AR,'Refi-Annual Review'!$CF11,DB_LOAD!$AP:$AP,'Refi-Annual Review'!$DU$1,DB_LOAD!$AQ:$AQ,'Refi-Annual Review'!DV$2)</f>
        <v>0</v>
      </c>
      <c r="DW11" s="494">
        <f>SUMIFS(DB_LOAD!$AV:$AV,DB_LOAD!$AW:$AW,'Refi-Annual Review'!$DT$1,DB_LOAD!$AR:$AR,'Refi-Annual Review'!$CF11,DB_LOAD!$AP:$AP,'Refi-Annual Review'!$DU$1,DB_LOAD!$AQ:$AQ,'Refi-Annual Review'!DW$2)</f>
        <v>0</v>
      </c>
      <c r="DX11" s="494">
        <f>SUMIFS(DB_LOAD!$AV:$AV,DB_LOAD!$AW:$AW,'Refi-Annual Review'!$DT$1,DB_LOAD!$AR:$AR,'Refi-Annual Review'!$CF11,DB_LOAD!$AP:$AP,'Refi-Annual Review'!$DU$1,DB_LOAD!$AQ:$AQ,'Refi-Annual Review'!DX$2)</f>
        <v>0</v>
      </c>
      <c r="DY11" s="494">
        <f>SUMIFS(DB_LOAD!$AV:$AV,DB_LOAD!$AW:$AW,'Refi-Annual Review'!$DT$1,DB_LOAD!$AR:$AR,'Refi-Annual Review'!$CF11,DB_LOAD!$AP:$AP,'Refi-Annual Review'!$DU$1,DB_LOAD!$AQ:$AQ,'Refi-Annual Review'!DY$2)</f>
        <v>0</v>
      </c>
      <c r="DZ11" s="494" t="str">
        <f t="shared" si="12"/>
        <v/>
      </c>
      <c r="EC11" s="485" t="s">
        <v>268</v>
      </c>
      <c r="ED11" s="826" t="e">
        <f ca="1">AO145</f>
        <v>#NAME?</v>
      </c>
    </row>
    <row r="12" spans="1:134" ht="15">
      <c r="A12" s="484" t="e">
        <f ca="1">IF(ISBLANK(Config!$B$20),"",Config!$B$20)</f>
        <v>#NAME?</v>
      </c>
      <c r="C12" s="485">
        <f t="shared" si="25"/>
        <v>13</v>
      </c>
      <c r="D12" s="493" t="s">
        <v>13</v>
      </c>
      <c r="E12" s="568"/>
      <c r="F12" s="496" t="e">
        <f ca="1">(F156+F161)/F9</f>
        <v>#N/A</v>
      </c>
      <c r="G12" s="496" t="e">
        <f ca="1">(G156+G161)/G9</f>
        <v>#N/A</v>
      </c>
      <c r="H12" s="496" t="e">
        <f ca="1">(H156+H161)/H9</f>
        <v>#N/A</v>
      </c>
      <c r="I12" s="496" t="e">
        <f ca="1">(I156+I161)/I9</f>
        <v>#N/A</v>
      </c>
      <c r="J12" s="496" t="e">
        <f ca="1">(J156+J161)/J9</f>
        <v>#N/A</v>
      </c>
      <c r="K12" s="496"/>
      <c r="L12" s="496" t="e">
        <f ca="1">(L156+L161)/L9</f>
        <v>#NAME?</v>
      </c>
      <c r="M12" s="496" t="e">
        <f ca="1">(M156+M161)/M9</f>
        <v>#NAME?</v>
      </c>
      <c r="N12" s="496" t="e">
        <f ca="1">(N156+N161)/N9</f>
        <v>#NAME?</v>
      </c>
      <c r="O12" s="496" t="e">
        <f ca="1">(O156+O161)/O9</f>
        <v>#NAME?</v>
      </c>
      <c r="P12" s="496"/>
      <c r="Q12" s="496" t="e">
        <f ca="1">(Q156+Q161)/Q9</f>
        <v>#NAME?</v>
      </c>
      <c r="R12" s="496" t="e">
        <f ca="1">(R156+R161)/R9</f>
        <v>#NAME?</v>
      </c>
      <c r="S12" s="496"/>
      <c r="T12" s="496"/>
      <c r="U12" s="496"/>
      <c r="AJ12" s="493" t="s">
        <v>13</v>
      </c>
      <c r="AK12" s="496" t="e">
        <f t="shared" ca="1" si="27"/>
        <v>#N/A</v>
      </c>
      <c r="AL12" s="496" t="e">
        <f t="shared" ca="1" si="27"/>
        <v>#N/A</v>
      </c>
      <c r="AM12" s="496" t="e">
        <f t="shared" ca="1" si="23"/>
        <v>#N/A</v>
      </c>
      <c r="AN12" s="496" t="e">
        <f t="shared" ca="1" si="23"/>
        <v>#N/A</v>
      </c>
      <c r="AO12" s="496" t="e">
        <f t="shared" ca="1" si="19"/>
        <v>#NAME?</v>
      </c>
      <c r="AP12" s="496" t="e">
        <f t="shared" ca="1" si="19"/>
        <v>#NAME?</v>
      </c>
      <c r="AS12" s="485">
        <f>DB_LOAD!V6</f>
        <v>0</v>
      </c>
      <c r="AT12" s="626">
        <f>IF(ISBLANK(DB_LOAD!N6),"",DB_LOAD!N6)</f>
        <v>15</v>
      </c>
      <c r="AU12" s="627" t="str">
        <f>IF(ISBLANK(DB_LOAD!P6),"",DB_LOAD!R6)</f>
        <v>AZN</v>
      </c>
      <c r="AV12" s="628" t="str">
        <f>IF(ISBLANK(DB_LOAD!R6),"",IF('Balance Sheet'!$E$5="USD",DB_LOAD!O6,DB_LOAD!O6/DB_LOAD!$K$2))</f>
        <v>Azerbaijan</v>
      </c>
      <c r="AW12" s="629">
        <f>IF(C13=3,"-",IF(ISBLANK(DB_LOAD!S6),"",DB_LOAD!U6))</f>
        <v>0</v>
      </c>
      <c r="AX12" s="630">
        <f>IF(C13=3,"Equity ",IF(ISBLANK(DB_LOAD!T6),"",DB_LOAD!T6))</f>
        <v>1225005.001191</v>
      </c>
      <c r="AY12" s="642">
        <f t="shared" si="24"/>
        <v>1</v>
      </c>
      <c r="AZ12" s="631" t="str">
        <f>+'Risk Assessment'!N13</f>
        <v/>
      </c>
      <c r="BA12" s="643" t="e">
        <f>+'Risk Assessment'!AB13</f>
        <v>#N/A</v>
      </c>
      <c r="BB12" s="644" t="e">
        <f>+'Risk Assessment'!Z13</f>
        <v>#N/A</v>
      </c>
      <c r="BC12" s="642">
        <f t="shared" si="28"/>
        <v>0</v>
      </c>
      <c r="BD12" s="485" t="s">
        <v>140</v>
      </c>
      <c r="BE12" s="485" t="e">
        <f t="shared" ca="1" si="31"/>
        <v>#NAME?</v>
      </c>
      <c r="BF12" s="651" t="str">
        <f t="shared" si="29"/>
        <v>1572600</v>
      </c>
      <c r="BG12" s="669" t="e">
        <f t="shared" ca="1" si="30"/>
        <v>#NAME?</v>
      </c>
      <c r="BH12" s="669" t="e">
        <f t="shared" ca="1" si="30"/>
        <v>#NAME?</v>
      </c>
      <c r="BI12" s="669" t="e">
        <f t="shared" ca="1" si="30"/>
        <v>#NAME?</v>
      </c>
      <c r="BJ12" s="669" t="e">
        <f t="shared" ca="1" si="30"/>
        <v>#NAME?</v>
      </c>
      <c r="BK12" s="669" t="e">
        <f t="shared" ca="1" si="30"/>
        <v>#NAME?</v>
      </c>
      <c r="BL12" s="669" t="e">
        <f t="shared" ca="1" si="30"/>
        <v>#NAME?</v>
      </c>
      <c r="BM12" s="669" t="e">
        <f t="shared" ca="1" si="30"/>
        <v>#NAME?</v>
      </c>
      <c r="BN12" s="670" t="e">
        <f t="shared" ca="1" si="32"/>
        <v>#NAME?</v>
      </c>
      <c r="BP12" s="485" t="e">
        <f ca="1">IF(OR(DB_LOAD!AW11="USD",DB_LOAD!AW11='Refi-Annual Review'!$A$3,ISBLANK(DB_LOAD!AW11)),0,1)</f>
        <v>#NAME?</v>
      </c>
      <c r="BQ12" t="str">
        <f>(IF(ISBLANK(DB_LOAD!AR11),"",DB_LOAD!AR11))</f>
        <v/>
      </c>
      <c r="BR12" t="str">
        <f t="shared" si="3"/>
        <v/>
      </c>
      <c r="BS12" t="str">
        <f t="shared" si="7"/>
        <v/>
      </c>
      <c r="BT12" t="str">
        <f t="shared" si="13"/>
        <v>5500000250000016064001572600</v>
      </c>
      <c r="BU12" t="str">
        <f t="shared" si="4"/>
        <v/>
      </c>
      <c r="BV12" t="str">
        <f t="shared" si="14"/>
        <v>7777</v>
      </c>
      <c r="BW12" t="str">
        <f t="shared" si="5"/>
        <v/>
      </c>
      <c r="BX12" t="str">
        <f t="shared" si="15"/>
        <v>1111</v>
      </c>
      <c r="BY12"/>
      <c r="BZ12"/>
      <c r="CA12"/>
      <c r="CB12" s="683" t="str">
        <f t="shared" si="16"/>
        <v/>
      </c>
      <c r="CC12" s="683" t="str">
        <f t="shared" si="17"/>
        <v/>
      </c>
      <c r="CD12" s="683" t="str">
        <f>IF(CC12="","",VALUE(MID($BZ$5,1+SUM($CC$3:CC11),CC12)))</f>
        <v/>
      </c>
      <c r="CE12">
        <f t="shared" si="18"/>
        <v>10</v>
      </c>
      <c r="CF12" t="str">
        <f>IF(CD12="","",MID($BZ$4,1+SUM($CD$3:CD11),CD12))</f>
        <v/>
      </c>
      <c r="CI12" s="494" t="e">
        <f ca="1">SUMIFS(DB_LOAD!$AU:$AU,DB_LOAD!$AW:$AW,'Refi-Annual Review'!$CJ$1,DB_LOAD!$AR:$AR,'Refi-Annual Review'!$CF12,DB_LOAD!$AP:$AP,'Refi-Annual Review'!$CK$1,DB_LOAD!$AQ:$AQ,'Refi-Annual Review'!CI$2)/DB_LOAD!$K$2</f>
        <v>#DIV/0!</v>
      </c>
      <c r="CJ12" s="494" t="e">
        <f ca="1">SUMIFS(DB_LOAD!$AU:$AU,DB_LOAD!$AW:$AW,'Refi-Annual Review'!$CJ$1,DB_LOAD!$AR:$AR,'Refi-Annual Review'!$CF12,DB_LOAD!$AP:$AP,'Refi-Annual Review'!$CK$1,DB_LOAD!$AQ:$AQ,'Refi-Annual Review'!CJ$2)/DB_LOAD!$K$2</f>
        <v>#DIV/0!</v>
      </c>
      <c r="CK12" s="494" t="e">
        <f ca="1">SUMIFS(DB_LOAD!$AU:$AU,DB_LOAD!$AW:$AW,'Refi-Annual Review'!$CJ$1,DB_LOAD!$AR:$AR,'Refi-Annual Review'!$CF12,DB_LOAD!$AP:$AP,'Refi-Annual Review'!$CK$1,DB_LOAD!$AQ:$AQ,'Refi-Annual Review'!CK$2)/DB_LOAD!$K$2</f>
        <v>#DIV/0!</v>
      </c>
      <c r="CL12" s="494" t="e">
        <f ca="1">SUMIFS(DB_LOAD!$AU:$AU,DB_LOAD!$AW:$AW,'Refi-Annual Review'!$CJ$1,DB_LOAD!$AR:$AR,'Refi-Annual Review'!$CF12,DB_LOAD!$AP:$AP,'Refi-Annual Review'!$CK$1,DB_LOAD!$AQ:$AQ,'Refi-Annual Review'!CL$2)/DB_LOAD!$K$2</f>
        <v>#DIV/0!</v>
      </c>
      <c r="CM12" s="494" t="e">
        <f ca="1">SUMIFS(DB_LOAD!$AU:$AU,DB_LOAD!$AW:$AW,'Refi-Annual Review'!$CJ$1,DB_LOAD!$AR:$AR,'Refi-Annual Review'!$CF12,DB_LOAD!$AP:$AP,'Refi-Annual Review'!$CK$1,DB_LOAD!$AQ:$AQ,'Refi-Annual Review'!CM$2)/DB_LOAD!$K$2</f>
        <v>#DIV/0!</v>
      </c>
      <c r="CN12" s="494" t="e">
        <f ca="1">SUMIFS(DB_LOAD!$AU:$AU,DB_LOAD!$AW:$AW,'Refi-Annual Review'!$CJ$1,DB_LOAD!$AR:$AR,'Refi-Annual Review'!$CF12,DB_LOAD!$AP:$AP,'Refi-Annual Review'!$CK$1,DB_LOAD!$AQ:$AQ,'Refi-Annual Review'!CN$2)/DB_LOAD!$K$2</f>
        <v>#DIV/0!</v>
      </c>
      <c r="CO12" s="494" t="e">
        <f ca="1">SUMIFS(DB_LOAD!$AU:$AU,DB_LOAD!$AW:$AW,'Refi-Annual Review'!$CJ$1,DB_LOAD!$AR:$AR,'Refi-Annual Review'!$CF12,DB_LOAD!$AP:$AP,'Refi-Annual Review'!$CK$1,DB_LOAD!$AQ:$AQ,'Refi-Annual Review'!CO$2)/DB_LOAD!$K$2</f>
        <v>#DIV/0!</v>
      </c>
      <c r="CP12" s="494" t="e">
        <f t="shared" ca="1" si="8"/>
        <v>#DIV/0!</v>
      </c>
      <c r="CR12" s="494">
        <f ca="1">SUMIFS(DB_LOAD!$AV:$AV,DB_LOAD!$AW:$AW,'Refi-Annual Review'!$CS$1,DB_LOAD!$AR:$AR,'Refi-Annual Review'!$CF12,DB_LOAD!$AP:$AP,'Refi-Annual Review'!$CT$1,DB_LOAD!$AQ:$AQ,'Refi-Annual Review'!CR$2)</f>
        <v>0</v>
      </c>
      <c r="CS12" s="494">
        <f ca="1">SUMIFS(DB_LOAD!$AV:$AV,DB_LOAD!$AW:$AW,'Refi-Annual Review'!$CS$1,DB_LOAD!$AR:$AR,'Refi-Annual Review'!$CF12,DB_LOAD!$AP:$AP,'Refi-Annual Review'!$CT$1,DB_LOAD!$AQ:$AQ,'Refi-Annual Review'!CS$2)</f>
        <v>0</v>
      </c>
      <c r="CT12" s="494">
        <f ca="1">SUMIFS(DB_LOAD!$AV:$AV,DB_LOAD!$AW:$AW,'Refi-Annual Review'!$CS$1,DB_LOAD!$AR:$AR,'Refi-Annual Review'!$CF12,DB_LOAD!$AP:$AP,'Refi-Annual Review'!$CT$1,DB_LOAD!$AQ:$AQ,'Refi-Annual Review'!CT$2)</f>
        <v>0</v>
      </c>
      <c r="CU12" s="494">
        <f ca="1">SUMIFS(DB_LOAD!$AV:$AV,DB_LOAD!$AW:$AW,'Refi-Annual Review'!$CS$1,DB_LOAD!$AR:$AR,'Refi-Annual Review'!$CF12,DB_LOAD!$AP:$AP,'Refi-Annual Review'!$CT$1,DB_LOAD!$AQ:$AQ,'Refi-Annual Review'!CU$2)</f>
        <v>0</v>
      </c>
      <c r="CV12" s="494">
        <f ca="1">SUMIFS(DB_LOAD!$AV:$AV,DB_LOAD!$AW:$AW,'Refi-Annual Review'!$CS$1,DB_LOAD!$AR:$AR,'Refi-Annual Review'!$CF12,DB_LOAD!$AP:$AP,'Refi-Annual Review'!$CT$1,DB_LOAD!$AQ:$AQ,'Refi-Annual Review'!CV$2)</f>
        <v>0</v>
      </c>
      <c r="CW12" s="494">
        <f ca="1">SUMIFS(DB_LOAD!$AV:$AV,DB_LOAD!$AW:$AW,'Refi-Annual Review'!$CS$1,DB_LOAD!$AR:$AR,'Refi-Annual Review'!$CF12,DB_LOAD!$AP:$AP,'Refi-Annual Review'!$CT$1,DB_LOAD!$AQ:$AQ,'Refi-Annual Review'!CW$2)</f>
        <v>0</v>
      </c>
      <c r="CX12" s="494">
        <f ca="1">SUMIFS(DB_LOAD!$AV:$AV,DB_LOAD!$AW:$AW,'Refi-Annual Review'!$CS$1,DB_LOAD!$AR:$AR,'Refi-Annual Review'!$CF12,DB_LOAD!$AP:$AP,'Refi-Annual Review'!$CT$1,DB_LOAD!$AQ:$AQ,'Refi-Annual Review'!CX$2)</f>
        <v>0</v>
      </c>
      <c r="CY12" s="494" t="str">
        <f t="shared" ca="1" si="9"/>
        <v/>
      </c>
      <c r="DA12" s="494" t="e">
        <f ca="1">SUMIFS(DB_LOAD!$AU:$AU,DB_LOAD!$AW:$AW,'Refi-Annual Review'!$DB$1,DB_LOAD!$AR:$AR,'Refi-Annual Review'!$CF12,DB_LOAD!$AP:$AP,'Refi-Annual Review'!$DC$1,DB_LOAD!$AQ:$AQ,'Refi-Annual Review'!DA$2)/IF($A$23="No Data Found",1,$A$23)</f>
        <v>#NAME?</v>
      </c>
      <c r="DB12" s="494" t="e">
        <f ca="1">SUMIFS(DB_LOAD!$AU:$AU,DB_LOAD!$AW:$AW,'Refi-Annual Review'!$DB$1,DB_LOAD!$AR:$AR,'Refi-Annual Review'!$CF12,DB_LOAD!$AP:$AP,'Refi-Annual Review'!$DC$1,DB_LOAD!$AQ:$AQ,'Refi-Annual Review'!DB$2)/IF($A$23="No Data Found",1,$A$23)</f>
        <v>#NAME?</v>
      </c>
      <c r="DC12" s="494" t="e">
        <f ca="1">SUMIFS(DB_LOAD!$AU:$AU,DB_LOAD!$AW:$AW,'Refi-Annual Review'!$DB$1,DB_LOAD!$AR:$AR,'Refi-Annual Review'!$CF12,DB_LOAD!$AP:$AP,'Refi-Annual Review'!$DC$1,DB_LOAD!$AQ:$AQ,'Refi-Annual Review'!DC$2)/IF($A$23="No Data Found",1,$A$23)</f>
        <v>#NAME?</v>
      </c>
      <c r="DD12" s="494" t="e">
        <f ca="1">SUMIFS(DB_LOAD!$AU:$AU,DB_LOAD!$AW:$AW,'Refi-Annual Review'!$DB$1,DB_LOAD!$AR:$AR,'Refi-Annual Review'!$CF12,DB_LOAD!$AP:$AP,'Refi-Annual Review'!$DC$1,DB_LOAD!$AQ:$AQ,'Refi-Annual Review'!DD$2)/IF($A$23="No Data Found",1,$A$23)</f>
        <v>#NAME?</v>
      </c>
      <c r="DE12" s="494" t="e">
        <f ca="1">SUMIFS(DB_LOAD!$AU:$AU,DB_LOAD!$AW:$AW,'Refi-Annual Review'!$DB$1,DB_LOAD!$AR:$AR,'Refi-Annual Review'!$CF12,DB_LOAD!$AP:$AP,'Refi-Annual Review'!$DC$1,DB_LOAD!$AQ:$AQ,'Refi-Annual Review'!DE$2)/IF($A$23="No Data Found",1,$A$23)</f>
        <v>#NAME?</v>
      </c>
      <c r="DF12" s="494" t="e">
        <f ca="1">SUMIFS(DB_LOAD!$AU:$AU,DB_LOAD!$AW:$AW,'Refi-Annual Review'!$DB$1,DB_LOAD!$AR:$AR,'Refi-Annual Review'!$CF12,DB_LOAD!$AP:$AP,'Refi-Annual Review'!$DC$1,DB_LOAD!$AQ:$AQ,'Refi-Annual Review'!DF$2)/IF($A$23="No Data Found",1,$A$23)</f>
        <v>#NAME?</v>
      </c>
      <c r="DG12" s="494" t="e">
        <f ca="1">SUMIFS(DB_LOAD!$AU:$AU,DB_LOAD!$AW:$AW,'Refi-Annual Review'!$DB$1,DB_LOAD!$AR:$AR,'Refi-Annual Review'!$CF12,DB_LOAD!$AP:$AP,'Refi-Annual Review'!$DC$1,DB_LOAD!$AQ:$AQ,'Refi-Annual Review'!DG$2)/IF($A$23="No Data Found",1,$A$23)</f>
        <v>#NAME?</v>
      </c>
      <c r="DH12" s="494" t="e">
        <f t="shared" ca="1" si="10"/>
        <v>#NAME?</v>
      </c>
      <c r="DJ12" s="494">
        <f ca="1">SUMIFS(DB_LOAD!$AV:$AV,DB_LOAD!$AW:$AW,'Refi-Annual Review'!$DK$1,DB_LOAD!$AR:$AR,'Refi-Annual Review'!$CF12,DB_LOAD!$AP:$AP,'Refi-Annual Review'!$DL$1,DB_LOAD!$AQ:$AQ,'Refi-Annual Review'!DJ$2)</f>
        <v>0</v>
      </c>
      <c r="DK12" s="494">
        <f ca="1">SUMIFS(DB_LOAD!$AV:$AV,DB_LOAD!$AW:$AW,'Refi-Annual Review'!$DK$1,DB_LOAD!$AR:$AR,'Refi-Annual Review'!$CF12,DB_LOAD!$AP:$AP,'Refi-Annual Review'!$DL$1,DB_LOAD!$AQ:$AQ,'Refi-Annual Review'!DK$2)</f>
        <v>0</v>
      </c>
      <c r="DL12" s="494">
        <f ca="1">SUMIFS(DB_LOAD!$AV:$AV,DB_LOAD!$AW:$AW,'Refi-Annual Review'!$DK$1,DB_LOAD!$AR:$AR,'Refi-Annual Review'!$CF12,DB_LOAD!$AP:$AP,'Refi-Annual Review'!$DL$1,DB_LOAD!$AQ:$AQ,'Refi-Annual Review'!DL$2)</f>
        <v>0</v>
      </c>
      <c r="DM12" s="494">
        <f ca="1">SUMIFS(DB_LOAD!$AV:$AV,DB_LOAD!$AW:$AW,'Refi-Annual Review'!$DK$1,DB_LOAD!$AR:$AR,'Refi-Annual Review'!$CF12,DB_LOAD!$AP:$AP,'Refi-Annual Review'!$DL$1,DB_LOAD!$AQ:$AQ,'Refi-Annual Review'!DM$2)</f>
        <v>0</v>
      </c>
      <c r="DN12" s="494">
        <f ca="1">SUMIFS(DB_LOAD!$AV:$AV,DB_LOAD!$AW:$AW,'Refi-Annual Review'!$DK$1,DB_LOAD!$AR:$AR,'Refi-Annual Review'!$CF12,DB_LOAD!$AP:$AP,'Refi-Annual Review'!$DL$1,DB_LOAD!$AQ:$AQ,'Refi-Annual Review'!DN$2)</f>
        <v>0</v>
      </c>
      <c r="DO12" s="494">
        <f ca="1">SUMIFS(DB_LOAD!$AV:$AV,DB_LOAD!$AW:$AW,'Refi-Annual Review'!$DK$1,DB_LOAD!$AR:$AR,'Refi-Annual Review'!$CF12,DB_LOAD!$AP:$AP,'Refi-Annual Review'!$DL$1,DB_LOAD!$AQ:$AQ,'Refi-Annual Review'!DO$2)</f>
        <v>0</v>
      </c>
      <c r="DP12" s="494">
        <f ca="1">SUMIFS(DB_LOAD!$AV:$AV,DB_LOAD!$AW:$AW,'Refi-Annual Review'!$DK$1,DB_LOAD!$AR:$AR,'Refi-Annual Review'!$CF12,DB_LOAD!$AP:$AP,'Refi-Annual Review'!$DL$1,DB_LOAD!$AQ:$AQ,'Refi-Annual Review'!DP$2)</f>
        <v>0</v>
      </c>
      <c r="DQ12" s="494" t="str">
        <f t="shared" ca="1" si="11"/>
        <v/>
      </c>
      <c r="DS12" s="494">
        <f>SUMIFS(DB_LOAD!$AV:$AV,DB_LOAD!$AW:$AW,'Refi-Annual Review'!$DT$1,DB_LOAD!$AR:$AR,'Refi-Annual Review'!$CF12,DB_LOAD!$AP:$AP,'Refi-Annual Review'!$DU$1,DB_LOAD!$AQ:$AQ,'Refi-Annual Review'!DS$2)</f>
        <v>0</v>
      </c>
      <c r="DT12" s="494">
        <f>SUMIFS(DB_LOAD!$AV:$AV,DB_LOAD!$AW:$AW,'Refi-Annual Review'!$DT$1,DB_LOAD!$AR:$AR,'Refi-Annual Review'!$CF12,DB_LOAD!$AP:$AP,'Refi-Annual Review'!$DU$1,DB_LOAD!$AQ:$AQ,'Refi-Annual Review'!DT$2)</f>
        <v>0</v>
      </c>
      <c r="DU12" s="494">
        <f>SUMIFS(DB_LOAD!$AV:$AV,DB_LOAD!$AW:$AW,'Refi-Annual Review'!$DT$1,DB_LOAD!$AR:$AR,'Refi-Annual Review'!$CF12,DB_LOAD!$AP:$AP,'Refi-Annual Review'!$DU$1,DB_LOAD!$AQ:$AQ,'Refi-Annual Review'!DU$2)</f>
        <v>0</v>
      </c>
      <c r="DV12" s="494">
        <f>SUMIFS(DB_LOAD!$AV:$AV,DB_LOAD!$AW:$AW,'Refi-Annual Review'!$DT$1,DB_LOAD!$AR:$AR,'Refi-Annual Review'!$CF12,DB_LOAD!$AP:$AP,'Refi-Annual Review'!$DU$1,DB_LOAD!$AQ:$AQ,'Refi-Annual Review'!DV$2)</f>
        <v>0</v>
      </c>
      <c r="DW12" s="494">
        <f>SUMIFS(DB_LOAD!$AV:$AV,DB_LOAD!$AW:$AW,'Refi-Annual Review'!$DT$1,DB_LOAD!$AR:$AR,'Refi-Annual Review'!$CF12,DB_LOAD!$AP:$AP,'Refi-Annual Review'!$DU$1,DB_LOAD!$AQ:$AQ,'Refi-Annual Review'!DW$2)</f>
        <v>0</v>
      </c>
      <c r="DX12" s="494">
        <f>SUMIFS(DB_LOAD!$AV:$AV,DB_LOAD!$AW:$AW,'Refi-Annual Review'!$DT$1,DB_LOAD!$AR:$AR,'Refi-Annual Review'!$CF12,DB_LOAD!$AP:$AP,'Refi-Annual Review'!$DU$1,DB_LOAD!$AQ:$AQ,'Refi-Annual Review'!DX$2)</f>
        <v>0</v>
      </c>
      <c r="DY12" s="494">
        <f>SUMIFS(DB_LOAD!$AV:$AV,DB_LOAD!$AW:$AW,'Refi-Annual Review'!$DT$1,DB_LOAD!$AR:$AR,'Refi-Annual Review'!$CF12,DB_LOAD!$AP:$AP,'Refi-Annual Review'!$DU$1,DB_LOAD!$AQ:$AQ,'Refi-Annual Review'!DY$2)</f>
        <v>0</v>
      </c>
      <c r="DZ12" s="494" t="str">
        <f t="shared" si="12"/>
        <v/>
      </c>
      <c r="EC12" s="485" t="s">
        <v>4</v>
      </c>
      <c r="ED12" s="824" t="e">
        <f ca="1">AO35</f>
        <v>#NAME?</v>
      </c>
    </row>
    <row r="13" spans="1:134" ht="15">
      <c r="A13" s="484">
        <f>IF(ISBLANK(DB_LOAD!AO2),"",DB_LOAD!AO2)</f>
        <v>0.85</v>
      </c>
      <c r="C13" s="485">
        <f t="shared" si="25"/>
        <v>14</v>
      </c>
      <c r="D13" s="493" t="s">
        <v>14</v>
      </c>
      <c r="E13" s="568"/>
      <c r="F13" s="496" t="e">
        <f ca="1">F113/F8</f>
        <v>#N/A</v>
      </c>
      <c r="G13" s="496" t="e">
        <f ca="1">G113/G8</f>
        <v>#N/A</v>
      </c>
      <c r="H13" s="496" t="e">
        <f ca="1">H113/H8</f>
        <v>#N/A</v>
      </c>
      <c r="I13" s="496" t="e">
        <f ca="1">I113/I8</f>
        <v>#N/A</v>
      </c>
      <c r="J13" s="496" t="e">
        <f ca="1">J113/J8</f>
        <v>#N/A</v>
      </c>
      <c r="K13" s="496"/>
      <c r="L13" s="496" t="e">
        <f ca="1">L113/L8</f>
        <v>#NAME?</v>
      </c>
      <c r="M13" s="496" t="e">
        <f ca="1">M113/M8</f>
        <v>#NAME?</v>
      </c>
      <c r="N13" s="496" t="e">
        <f ca="1">N113/N8</f>
        <v>#NAME?</v>
      </c>
      <c r="O13" s="496" t="e">
        <f ca="1">O113/O8</f>
        <v>#NAME?</v>
      </c>
      <c r="P13" s="496"/>
      <c r="Q13" s="496" t="e">
        <f ca="1">Q113/Q8</f>
        <v>#NAME?</v>
      </c>
      <c r="R13" s="496" t="e">
        <f ca="1">R113/R8</f>
        <v>#NAME?</v>
      </c>
      <c r="S13" s="496"/>
      <c r="T13" s="496"/>
      <c r="U13" s="496"/>
      <c r="AJ13" s="493" t="s">
        <v>14</v>
      </c>
      <c r="AK13" s="496" t="e">
        <f t="shared" ca="1" si="27"/>
        <v>#N/A</v>
      </c>
      <c r="AL13" s="496" t="e">
        <f t="shared" ca="1" si="27"/>
        <v>#N/A</v>
      </c>
      <c r="AM13" s="496" t="e">
        <f t="shared" ca="1" si="23"/>
        <v>#N/A</v>
      </c>
      <c r="AN13" s="496" t="e">
        <f t="shared" ca="1" si="23"/>
        <v>#N/A</v>
      </c>
      <c r="AO13" s="496" t="e">
        <f t="shared" ca="1" si="19"/>
        <v>#NAME?</v>
      </c>
      <c r="AP13" s="496" t="e">
        <f t="shared" ca="1" si="19"/>
        <v>#NAME?</v>
      </c>
      <c r="AS13" s="485">
        <f>DB_LOAD!V7</f>
        <v>0</v>
      </c>
      <c r="AT13" s="626">
        <f>IF(ISBLANK(DB_LOAD!N7),"",DB_LOAD!N7)</f>
        <v>15</v>
      </c>
      <c r="AU13" s="627" t="str">
        <f>IF(ISBLANK(DB_LOAD!P7),"",DB_LOAD!R7)</f>
        <v>AZN</v>
      </c>
      <c r="AV13" s="628" t="str">
        <f>IF(ISBLANK(DB_LOAD!R7),"",IF('Balance Sheet'!$E$5="USD",DB_LOAD!O7,DB_LOAD!O7/DB_LOAD!$K$2))</f>
        <v>Azerbaijan</v>
      </c>
      <c r="AW13" s="629">
        <f>IF(C14=3,"-",IF(ISBLANK(DB_LOAD!S7),"",DB_LOAD!U7))</f>
        <v>0</v>
      </c>
      <c r="AX13" s="630">
        <f>IF(C14=3,"Equity ",IF(ISBLANK(DB_LOAD!T7),"",DB_LOAD!T7))</f>
        <v>1046115.7418430001</v>
      </c>
      <c r="AY13" s="642">
        <f t="shared" si="24"/>
        <v>1</v>
      </c>
      <c r="AZ13" s="631" t="str">
        <f>+'Risk Assessment'!N14</f>
        <v/>
      </c>
      <c r="BA13" s="643" t="e">
        <f>+'Risk Assessment'!AB14</f>
        <v>#N/A</v>
      </c>
      <c r="BB13" s="644" t="e">
        <f>+'Risk Assessment'!Z14</f>
        <v>#N/A</v>
      </c>
      <c r="BC13" s="642">
        <f t="shared" si="28"/>
        <v>0</v>
      </c>
      <c r="BD13" s="485" t="s">
        <v>140</v>
      </c>
      <c r="BE13" s="485" t="e">
        <f t="shared" ca="1" si="31"/>
        <v>#NAME?</v>
      </c>
      <c r="BF13" s="651" t="str">
        <f t="shared" si="29"/>
        <v/>
      </c>
      <c r="BG13" s="669" t="e">
        <f t="shared" ca="1" si="30"/>
        <v>#NAME?</v>
      </c>
      <c r="BH13" s="669" t="e">
        <f t="shared" ca="1" si="30"/>
        <v>#NAME?</v>
      </c>
      <c r="BI13" s="669" t="e">
        <f t="shared" ca="1" si="30"/>
        <v>#NAME?</v>
      </c>
      <c r="BJ13" s="669" t="e">
        <f t="shared" ca="1" si="30"/>
        <v>#NAME?</v>
      </c>
      <c r="BK13" s="669" t="e">
        <f t="shared" ca="1" si="30"/>
        <v>#NAME?</v>
      </c>
      <c r="BL13" s="669" t="e">
        <f t="shared" ca="1" si="30"/>
        <v>#NAME?</v>
      </c>
      <c r="BM13" s="669" t="e">
        <f t="shared" ca="1" si="30"/>
        <v>#NAME?</v>
      </c>
      <c r="BN13" s="670" t="e">
        <f t="shared" ca="1" si="32"/>
        <v>#NAME?</v>
      </c>
      <c r="BP13" s="485" t="e">
        <f ca="1">IF(OR(DB_LOAD!AW12="USD",DB_LOAD!AW12='Refi-Annual Review'!$A$3,ISBLANK(DB_LOAD!AW12)),0,1)</f>
        <v>#NAME?</v>
      </c>
      <c r="BQ13" t="str">
        <f>(IF(ISBLANK(DB_LOAD!AR12),"",DB_LOAD!AR12))</f>
        <v/>
      </c>
      <c r="BR13" t="str">
        <f t="shared" si="3"/>
        <v/>
      </c>
      <c r="BS13" t="str">
        <f t="shared" si="7"/>
        <v/>
      </c>
      <c r="BT13" t="str">
        <f t="shared" si="13"/>
        <v>5500000250000016064001572600</v>
      </c>
      <c r="BU13" t="str">
        <f t="shared" si="4"/>
        <v/>
      </c>
      <c r="BV13" t="str">
        <f t="shared" si="14"/>
        <v>7777</v>
      </c>
      <c r="BW13" t="str">
        <f t="shared" si="5"/>
        <v/>
      </c>
      <c r="BX13" t="str">
        <f t="shared" si="15"/>
        <v>1111</v>
      </c>
      <c r="BY13"/>
      <c r="BZ13"/>
      <c r="CA13"/>
      <c r="CB13" s="683" t="str">
        <f t="shared" si="16"/>
        <v/>
      </c>
      <c r="CC13" s="683" t="str">
        <f t="shared" si="17"/>
        <v/>
      </c>
      <c r="CD13" s="683" t="str">
        <f>IF(CC13="","",VALUE(MID($BZ$5,1+SUM($CC$3:CC12),CC13)))</f>
        <v/>
      </c>
      <c r="CE13">
        <f t="shared" si="18"/>
        <v>11</v>
      </c>
      <c r="CF13" t="str">
        <f>IF(CD13="","",MID($BZ$4,1+SUM($CD$3:CD12),CD13))</f>
        <v/>
      </c>
      <c r="CI13" s="494" t="e">
        <f ca="1">SUMIFS(DB_LOAD!$AU:$AU,DB_LOAD!$AW:$AW,'Refi-Annual Review'!$CJ$1,DB_LOAD!$AR:$AR,'Refi-Annual Review'!$CF13,DB_LOAD!$AP:$AP,'Refi-Annual Review'!$CK$1,DB_LOAD!$AQ:$AQ,'Refi-Annual Review'!CI$2)/DB_LOAD!$K$2</f>
        <v>#DIV/0!</v>
      </c>
      <c r="CJ13" s="494" t="e">
        <f ca="1">SUMIFS(DB_LOAD!$AU:$AU,DB_LOAD!$AW:$AW,'Refi-Annual Review'!$CJ$1,DB_LOAD!$AR:$AR,'Refi-Annual Review'!$CF13,DB_LOAD!$AP:$AP,'Refi-Annual Review'!$CK$1,DB_LOAD!$AQ:$AQ,'Refi-Annual Review'!CJ$2)/DB_LOAD!$K$2</f>
        <v>#DIV/0!</v>
      </c>
      <c r="CK13" s="494" t="e">
        <f ca="1">SUMIFS(DB_LOAD!$AU:$AU,DB_LOAD!$AW:$AW,'Refi-Annual Review'!$CJ$1,DB_LOAD!$AR:$AR,'Refi-Annual Review'!$CF13,DB_LOAD!$AP:$AP,'Refi-Annual Review'!$CK$1,DB_LOAD!$AQ:$AQ,'Refi-Annual Review'!CK$2)/DB_LOAD!$K$2</f>
        <v>#DIV/0!</v>
      </c>
      <c r="CL13" s="494" t="e">
        <f ca="1">SUMIFS(DB_LOAD!$AU:$AU,DB_LOAD!$AW:$AW,'Refi-Annual Review'!$CJ$1,DB_LOAD!$AR:$AR,'Refi-Annual Review'!$CF13,DB_LOAD!$AP:$AP,'Refi-Annual Review'!$CK$1,DB_LOAD!$AQ:$AQ,'Refi-Annual Review'!CL$2)/DB_LOAD!$K$2</f>
        <v>#DIV/0!</v>
      </c>
      <c r="CM13" s="494" t="e">
        <f ca="1">SUMIFS(DB_LOAD!$AU:$AU,DB_LOAD!$AW:$AW,'Refi-Annual Review'!$CJ$1,DB_LOAD!$AR:$AR,'Refi-Annual Review'!$CF13,DB_LOAD!$AP:$AP,'Refi-Annual Review'!$CK$1,DB_LOAD!$AQ:$AQ,'Refi-Annual Review'!CM$2)/DB_LOAD!$K$2</f>
        <v>#DIV/0!</v>
      </c>
      <c r="CN13" s="494" t="e">
        <f ca="1">SUMIFS(DB_LOAD!$AU:$AU,DB_LOAD!$AW:$AW,'Refi-Annual Review'!$CJ$1,DB_LOAD!$AR:$AR,'Refi-Annual Review'!$CF13,DB_LOAD!$AP:$AP,'Refi-Annual Review'!$CK$1,DB_LOAD!$AQ:$AQ,'Refi-Annual Review'!CN$2)/DB_LOAD!$K$2</f>
        <v>#DIV/0!</v>
      </c>
      <c r="CO13" s="494" t="e">
        <f ca="1">SUMIFS(DB_LOAD!$AU:$AU,DB_LOAD!$AW:$AW,'Refi-Annual Review'!$CJ$1,DB_LOAD!$AR:$AR,'Refi-Annual Review'!$CF13,DB_LOAD!$AP:$AP,'Refi-Annual Review'!$CK$1,DB_LOAD!$AQ:$AQ,'Refi-Annual Review'!CO$2)/DB_LOAD!$K$2</f>
        <v>#DIV/0!</v>
      </c>
      <c r="CP13" s="494" t="e">
        <f t="shared" ca="1" si="8"/>
        <v>#DIV/0!</v>
      </c>
      <c r="CR13" s="494">
        <f ca="1">SUMIFS(DB_LOAD!$AV:$AV,DB_LOAD!$AW:$AW,'Refi-Annual Review'!$CS$1,DB_LOAD!$AR:$AR,'Refi-Annual Review'!$CF13,DB_LOAD!$AP:$AP,'Refi-Annual Review'!$CT$1,DB_LOAD!$AQ:$AQ,'Refi-Annual Review'!CR$2)</f>
        <v>0</v>
      </c>
      <c r="CS13" s="494">
        <f ca="1">SUMIFS(DB_LOAD!$AV:$AV,DB_LOAD!$AW:$AW,'Refi-Annual Review'!$CS$1,DB_LOAD!$AR:$AR,'Refi-Annual Review'!$CF13,DB_LOAD!$AP:$AP,'Refi-Annual Review'!$CT$1,DB_LOAD!$AQ:$AQ,'Refi-Annual Review'!CS$2)</f>
        <v>0</v>
      </c>
      <c r="CT13" s="494">
        <f ca="1">SUMIFS(DB_LOAD!$AV:$AV,DB_LOAD!$AW:$AW,'Refi-Annual Review'!$CS$1,DB_LOAD!$AR:$AR,'Refi-Annual Review'!$CF13,DB_LOAD!$AP:$AP,'Refi-Annual Review'!$CT$1,DB_LOAD!$AQ:$AQ,'Refi-Annual Review'!CT$2)</f>
        <v>0</v>
      </c>
      <c r="CU13" s="494">
        <f ca="1">SUMIFS(DB_LOAD!$AV:$AV,DB_LOAD!$AW:$AW,'Refi-Annual Review'!$CS$1,DB_LOAD!$AR:$AR,'Refi-Annual Review'!$CF13,DB_LOAD!$AP:$AP,'Refi-Annual Review'!$CT$1,DB_LOAD!$AQ:$AQ,'Refi-Annual Review'!CU$2)</f>
        <v>0</v>
      </c>
      <c r="CV13" s="494">
        <f ca="1">SUMIFS(DB_LOAD!$AV:$AV,DB_LOAD!$AW:$AW,'Refi-Annual Review'!$CS$1,DB_LOAD!$AR:$AR,'Refi-Annual Review'!$CF13,DB_LOAD!$AP:$AP,'Refi-Annual Review'!$CT$1,DB_LOAD!$AQ:$AQ,'Refi-Annual Review'!CV$2)</f>
        <v>0</v>
      </c>
      <c r="CW13" s="494">
        <f ca="1">SUMIFS(DB_LOAD!$AV:$AV,DB_LOAD!$AW:$AW,'Refi-Annual Review'!$CS$1,DB_LOAD!$AR:$AR,'Refi-Annual Review'!$CF13,DB_LOAD!$AP:$AP,'Refi-Annual Review'!$CT$1,DB_LOAD!$AQ:$AQ,'Refi-Annual Review'!CW$2)</f>
        <v>0</v>
      </c>
      <c r="CX13" s="494">
        <f ca="1">SUMIFS(DB_LOAD!$AV:$AV,DB_LOAD!$AW:$AW,'Refi-Annual Review'!$CS$1,DB_LOAD!$AR:$AR,'Refi-Annual Review'!$CF13,DB_LOAD!$AP:$AP,'Refi-Annual Review'!$CT$1,DB_LOAD!$AQ:$AQ,'Refi-Annual Review'!CX$2)</f>
        <v>0</v>
      </c>
      <c r="CY13" s="494" t="str">
        <f t="shared" ca="1" si="9"/>
        <v/>
      </c>
      <c r="DA13" s="494" t="e">
        <f ca="1">SUMIFS(DB_LOAD!$AU:$AU,DB_LOAD!$AW:$AW,'Refi-Annual Review'!$DB$1,DB_LOAD!$AR:$AR,'Refi-Annual Review'!$CF13,DB_LOAD!$AP:$AP,'Refi-Annual Review'!$DC$1,DB_LOAD!$AQ:$AQ,'Refi-Annual Review'!DA$2)/IF($A$23="No Data Found",1,$A$23)</f>
        <v>#NAME?</v>
      </c>
      <c r="DB13" s="494" t="e">
        <f ca="1">SUMIFS(DB_LOAD!$AU:$AU,DB_LOAD!$AW:$AW,'Refi-Annual Review'!$DB$1,DB_LOAD!$AR:$AR,'Refi-Annual Review'!$CF13,DB_LOAD!$AP:$AP,'Refi-Annual Review'!$DC$1,DB_LOAD!$AQ:$AQ,'Refi-Annual Review'!DB$2)/IF($A$23="No Data Found",1,$A$23)</f>
        <v>#NAME?</v>
      </c>
      <c r="DC13" s="494" t="e">
        <f ca="1">SUMIFS(DB_LOAD!$AU:$AU,DB_LOAD!$AW:$AW,'Refi-Annual Review'!$DB$1,DB_LOAD!$AR:$AR,'Refi-Annual Review'!$CF13,DB_LOAD!$AP:$AP,'Refi-Annual Review'!$DC$1,DB_LOAD!$AQ:$AQ,'Refi-Annual Review'!DC$2)/IF($A$23="No Data Found",1,$A$23)</f>
        <v>#NAME?</v>
      </c>
      <c r="DD13" s="494" t="e">
        <f ca="1">SUMIFS(DB_LOAD!$AU:$AU,DB_LOAD!$AW:$AW,'Refi-Annual Review'!$DB$1,DB_LOAD!$AR:$AR,'Refi-Annual Review'!$CF13,DB_LOAD!$AP:$AP,'Refi-Annual Review'!$DC$1,DB_LOAD!$AQ:$AQ,'Refi-Annual Review'!DD$2)/IF($A$23="No Data Found",1,$A$23)</f>
        <v>#NAME?</v>
      </c>
      <c r="DE13" s="494" t="e">
        <f ca="1">SUMIFS(DB_LOAD!$AU:$AU,DB_LOAD!$AW:$AW,'Refi-Annual Review'!$DB$1,DB_LOAD!$AR:$AR,'Refi-Annual Review'!$CF13,DB_LOAD!$AP:$AP,'Refi-Annual Review'!$DC$1,DB_LOAD!$AQ:$AQ,'Refi-Annual Review'!DE$2)/IF($A$23="No Data Found",1,$A$23)</f>
        <v>#NAME?</v>
      </c>
      <c r="DF13" s="494" t="e">
        <f ca="1">SUMIFS(DB_LOAD!$AU:$AU,DB_LOAD!$AW:$AW,'Refi-Annual Review'!$DB$1,DB_LOAD!$AR:$AR,'Refi-Annual Review'!$CF13,DB_LOAD!$AP:$AP,'Refi-Annual Review'!$DC$1,DB_LOAD!$AQ:$AQ,'Refi-Annual Review'!DF$2)/IF($A$23="No Data Found",1,$A$23)</f>
        <v>#NAME?</v>
      </c>
      <c r="DG13" s="494" t="e">
        <f ca="1">SUMIFS(DB_LOAD!$AU:$AU,DB_LOAD!$AW:$AW,'Refi-Annual Review'!$DB$1,DB_LOAD!$AR:$AR,'Refi-Annual Review'!$CF13,DB_LOAD!$AP:$AP,'Refi-Annual Review'!$DC$1,DB_LOAD!$AQ:$AQ,'Refi-Annual Review'!DG$2)/IF($A$23="No Data Found",1,$A$23)</f>
        <v>#NAME?</v>
      </c>
      <c r="DH13" s="494" t="e">
        <f t="shared" ca="1" si="10"/>
        <v>#NAME?</v>
      </c>
      <c r="DJ13" s="494">
        <f ca="1">SUMIFS(DB_LOAD!$AV:$AV,DB_LOAD!$AW:$AW,'Refi-Annual Review'!$DK$1,DB_LOAD!$AR:$AR,'Refi-Annual Review'!$CF13,DB_LOAD!$AP:$AP,'Refi-Annual Review'!$DL$1,DB_LOAD!$AQ:$AQ,'Refi-Annual Review'!DJ$2)</f>
        <v>0</v>
      </c>
      <c r="DK13" s="494">
        <f ca="1">SUMIFS(DB_LOAD!$AV:$AV,DB_LOAD!$AW:$AW,'Refi-Annual Review'!$DK$1,DB_LOAD!$AR:$AR,'Refi-Annual Review'!$CF13,DB_LOAD!$AP:$AP,'Refi-Annual Review'!$DL$1,DB_LOAD!$AQ:$AQ,'Refi-Annual Review'!DK$2)</f>
        <v>0</v>
      </c>
      <c r="DL13" s="494">
        <f ca="1">SUMIFS(DB_LOAD!$AV:$AV,DB_LOAD!$AW:$AW,'Refi-Annual Review'!$DK$1,DB_LOAD!$AR:$AR,'Refi-Annual Review'!$CF13,DB_LOAD!$AP:$AP,'Refi-Annual Review'!$DL$1,DB_LOAD!$AQ:$AQ,'Refi-Annual Review'!DL$2)</f>
        <v>0</v>
      </c>
      <c r="DM13" s="494">
        <f ca="1">SUMIFS(DB_LOAD!$AV:$AV,DB_LOAD!$AW:$AW,'Refi-Annual Review'!$DK$1,DB_LOAD!$AR:$AR,'Refi-Annual Review'!$CF13,DB_LOAD!$AP:$AP,'Refi-Annual Review'!$DL$1,DB_LOAD!$AQ:$AQ,'Refi-Annual Review'!DM$2)</f>
        <v>0</v>
      </c>
      <c r="DN13" s="494">
        <f ca="1">SUMIFS(DB_LOAD!$AV:$AV,DB_LOAD!$AW:$AW,'Refi-Annual Review'!$DK$1,DB_LOAD!$AR:$AR,'Refi-Annual Review'!$CF13,DB_LOAD!$AP:$AP,'Refi-Annual Review'!$DL$1,DB_LOAD!$AQ:$AQ,'Refi-Annual Review'!DN$2)</f>
        <v>0</v>
      </c>
      <c r="DO13" s="494">
        <f ca="1">SUMIFS(DB_LOAD!$AV:$AV,DB_LOAD!$AW:$AW,'Refi-Annual Review'!$DK$1,DB_LOAD!$AR:$AR,'Refi-Annual Review'!$CF13,DB_LOAD!$AP:$AP,'Refi-Annual Review'!$DL$1,DB_LOAD!$AQ:$AQ,'Refi-Annual Review'!DO$2)</f>
        <v>0</v>
      </c>
      <c r="DP13" s="494">
        <f ca="1">SUMIFS(DB_LOAD!$AV:$AV,DB_LOAD!$AW:$AW,'Refi-Annual Review'!$DK$1,DB_LOAD!$AR:$AR,'Refi-Annual Review'!$CF13,DB_LOAD!$AP:$AP,'Refi-Annual Review'!$DL$1,DB_LOAD!$AQ:$AQ,'Refi-Annual Review'!DP$2)</f>
        <v>0</v>
      </c>
      <c r="DQ13" s="494" t="str">
        <f t="shared" ca="1" si="11"/>
        <v/>
      </c>
      <c r="DS13" s="494">
        <f>SUMIFS(DB_LOAD!$AV:$AV,DB_LOAD!$AW:$AW,'Refi-Annual Review'!$DT$1,DB_LOAD!$AR:$AR,'Refi-Annual Review'!$CF13,DB_LOAD!$AP:$AP,'Refi-Annual Review'!$DU$1,DB_LOAD!$AQ:$AQ,'Refi-Annual Review'!DS$2)</f>
        <v>0</v>
      </c>
      <c r="DT13" s="494">
        <f>SUMIFS(DB_LOAD!$AV:$AV,DB_LOAD!$AW:$AW,'Refi-Annual Review'!$DT$1,DB_LOAD!$AR:$AR,'Refi-Annual Review'!$CF13,DB_LOAD!$AP:$AP,'Refi-Annual Review'!$DU$1,DB_LOAD!$AQ:$AQ,'Refi-Annual Review'!DT$2)</f>
        <v>0</v>
      </c>
      <c r="DU13" s="494">
        <f>SUMIFS(DB_LOAD!$AV:$AV,DB_LOAD!$AW:$AW,'Refi-Annual Review'!$DT$1,DB_LOAD!$AR:$AR,'Refi-Annual Review'!$CF13,DB_LOAD!$AP:$AP,'Refi-Annual Review'!$DU$1,DB_LOAD!$AQ:$AQ,'Refi-Annual Review'!DU$2)</f>
        <v>0</v>
      </c>
      <c r="DV13" s="494">
        <f>SUMIFS(DB_LOAD!$AV:$AV,DB_LOAD!$AW:$AW,'Refi-Annual Review'!$DT$1,DB_LOAD!$AR:$AR,'Refi-Annual Review'!$CF13,DB_LOAD!$AP:$AP,'Refi-Annual Review'!$DU$1,DB_LOAD!$AQ:$AQ,'Refi-Annual Review'!DV$2)</f>
        <v>0</v>
      </c>
      <c r="DW13" s="494">
        <f>SUMIFS(DB_LOAD!$AV:$AV,DB_LOAD!$AW:$AW,'Refi-Annual Review'!$DT$1,DB_LOAD!$AR:$AR,'Refi-Annual Review'!$CF13,DB_LOAD!$AP:$AP,'Refi-Annual Review'!$DU$1,DB_LOAD!$AQ:$AQ,'Refi-Annual Review'!DW$2)</f>
        <v>0</v>
      </c>
      <c r="DX13" s="494">
        <f>SUMIFS(DB_LOAD!$AV:$AV,DB_LOAD!$AW:$AW,'Refi-Annual Review'!$DT$1,DB_LOAD!$AR:$AR,'Refi-Annual Review'!$CF13,DB_LOAD!$AP:$AP,'Refi-Annual Review'!$DU$1,DB_LOAD!$AQ:$AQ,'Refi-Annual Review'!DX$2)</f>
        <v>0</v>
      </c>
      <c r="DY13" s="494">
        <f>SUMIFS(DB_LOAD!$AV:$AV,DB_LOAD!$AW:$AW,'Refi-Annual Review'!$DT$1,DB_LOAD!$AR:$AR,'Refi-Annual Review'!$CF13,DB_LOAD!$AP:$AP,'Refi-Annual Review'!$DU$1,DB_LOAD!$AQ:$AQ,'Refi-Annual Review'!DY$2)</f>
        <v>0</v>
      </c>
      <c r="DZ13" s="494" t="str">
        <f t="shared" si="12"/>
        <v/>
      </c>
      <c r="EC13" s="485" t="s">
        <v>126</v>
      </c>
      <c r="ED13" s="826" t="e">
        <f ca="1">AO113</f>
        <v>#NAME?</v>
      </c>
    </row>
    <row r="14" spans="1:134" ht="15">
      <c r="A14" s="827">
        <f ca="1">TODAY()</f>
        <v>42222</v>
      </c>
      <c r="C14" s="485">
        <f t="shared" si="25"/>
        <v>15</v>
      </c>
      <c r="D14" s="493" t="s">
        <v>538</v>
      </c>
      <c r="E14" s="568"/>
      <c r="F14" s="496"/>
      <c r="G14" s="496" t="str">
        <f t="shared" ref="G14:I14" ca="1" si="33">IFERROR(-G128/AK180,"N/A")</f>
        <v>N/A</v>
      </c>
      <c r="H14" s="496" t="str">
        <f t="shared" ca="1" si="33"/>
        <v>N/A</v>
      </c>
      <c r="I14" s="496" t="str">
        <f t="shared" ca="1" si="33"/>
        <v>N/A</v>
      </c>
      <c r="J14" s="496" t="str">
        <f ca="1">IFERROR(-J128/AN180,"N/A")</f>
        <v>N/A</v>
      </c>
      <c r="K14" s="496"/>
      <c r="L14" s="496" t="str">
        <f t="shared" ref="L14:M14" ca="1" si="34">IFERROR(-(L128/AK180),"N/A")</f>
        <v>N/A</v>
      </c>
      <c r="M14" s="496" t="str">
        <f t="shared" ca="1" si="34"/>
        <v>N/A</v>
      </c>
      <c r="N14" s="496" t="str">
        <f ca="1">IFERROR(-(N128/AM180),"N/A")</f>
        <v>N/A</v>
      </c>
      <c r="O14" s="496" t="str">
        <f ca="1">IFERROR(-(O128/AVERAGE(O9,IF(J9="",N9,J9))),"N/A")</f>
        <v>N/A</v>
      </c>
      <c r="P14" s="496"/>
      <c r="Q14" s="496" t="e">
        <f ca="1">-((Q128*(12/Q1)/Q185))</f>
        <v>#NAME?</v>
      </c>
      <c r="R14" s="496" t="e">
        <f ca="1">-(R128/Q180)</f>
        <v>#NAME?</v>
      </c>
      <c r="S14" s="496"/>
      <c r="T14" s="496"/>
      <c r="U14" s="496"/>
      <c r="AJ14" s="493" t="s">
        <v>538</v>
      </c>
      <c r="AK14" s="496" t="e">
        <f t="shared" ca="1" si="27"/>
        <v>#N/A</v>
      </c>
      <c r="AL14" s="496" t="e">
        <f t="shared" ca="1" si="27"/>
        <v>#N/A</v>
      </c>
      <c r="AM14" s="496" t="e">
        <f t="shared" ca="1" si="23"/>
        <v>#N/A</v>
      </c>
      <c r="AN14" s="496" t="e">
        <f t="shared" ca="1" si="23"/>
        <v>#N/A</v>
      </c>
      <c r="AO14" s="496" t="e">
        <f t="shared" ca="1" si="19"/>
        <v>#NAME?</v>
      </c>
      <c r="AP14" s="496" t="e">
        <f t="shared" ca="1" si="19"/>
        <v>#NAME?</v>
      </c>
      <c r="AS14" s="485">
        <f>DB_LOAD!V8</f>
        <v>0</v>
      </c>
      <c r="AT14" s="626">
        <f>IF(ISBLANK(DB_LOAD!N8),"",DB_LOAD!N8)</f>
        <v>15</v>
      </c>
      <c r="AU14" s="627" t="str">
        <f>IF(ISBLANK(DB_LOAD!P8),"",DB_LOAD!R8)</f>
        <v>AZN</v>
      </c>
      <c r="AV14" s="628" t="str">
        <f>IF(ISBLANK(DB_LOAD!R8),"",IF('Balance Sheet'!$E$5="USD",DB_LOAD!O8,DB_LOAD!O8/DB_LOAD!$K$2))</f>
        <v>Azerbaijan</v>
      </c>
      <c r="AW14" s="629">
        <f>IF(C15=3,"-",IF(ISBLANK(DB_LOAD!S8),"",DB_LOAD!U8))</f>
        <v>0</v>
      </c>
      <c r="AX14" s="630">
        <f>IF(C15=3,"Equity ",IF(ISBLANK(DB_LOAD!T8),"",DB_LOAD!T8))</f>
        <v>747130.26911200001</v>
      </c>
      <c r="AY14" s="642">
        <f t="shared" si="24"/>
        <v>1</v>
      </c>
      <c r="AZ14" s="631" t="str">
        <f>+'Risk Assessment'!N15</f>
        <v/>
      </c>
      <c r="BA14" s="643" t="e">
        <f>+'Risk Assessment'!AB15</f>
        <v>#N/A</v>
      </c>
      <c r="BB14" s="644" t="e">
        <f>+'Risk Assessment'!Z15</f>
        <v>#N/A</v>
      </c>
      <c r="BC14" s="642">
        <f t="shared" si="28"/>
        <v>0</v>
      </c>
      <c r="BD14" s="485" t="s">
        <v>140</v>
      </c>
      <c r="BE14" s="485" t="e">
        <f t="shared" ca="1" si="31"/>
        <v>#NAME?</v>
      </c>
      <c r="BF14" s="651" t="str">
        <f t="shared" si="29"/>
        <v/>
      </c>
      <c r="BG14" s="669" t="e">
        <f t="shared" ca="1" si="30"/>
        <v>#NAME?</v>
      </c>
      <c r="BH14" s="669" t="e">
        <f t="shared" ca="1" si="30"/>
        <v>#NAME?</v>
      </c>
      <c r="BI14" s="669" t="e">
        <f t="shared" ca="1" si="30"/>
        <v>#NAME?</v>
      </c>
      <c r="BJ14" s="669" t="e">
        <f t="shared" ca="1" si="30"/>
        <v>#NAME?</v>
      </c>
      <c r="BK14" s="669" t="e">
        <f t="shared" ca="1" si="30"/>
        <v>#NAME?</v>
      </c>
      <c r="BL14" s="669" t="e">
        <f t="shared" ca="1" si="30"/>
        <v>#NAME?</v>
      </c>
      <c r="BM14" s="669" t="e">
        <f t="shared" ca="1" si="30"/>
        <v>#NAME?</v>
      </c>
      <c r="BN14" s="670" t="e">
        <f t="shared" ca="1" si="32"/>
        <v>#NAME?</v>
      </c>
      <c r="BP14" s="485" t="e">
        <f ca="1">IF(OR(DB_LOAD!AW13="USD",DB_LOAD!AW13='Refi-Annual Review'!$A$3,ISBLANK(DB_LOAD!AW13)),0,1)</f>
        <v>#NAME?</v>
      </c>
      <c r="BQ14" t="str">
        <f>(IF(ISBLANK(DB_LOAD!AR13),"",DB_LOAD!AR13))</f>
        <v/>
      </c>
      <c r="BR14" t="str">
        <f t="shared" si="3"/>
        <v/>
      </c>
      <c r="BS14" t="str">
        <f t="shared" si="7"/>
        <v/>
      </c>
      <c r="BT14" t="str">
        <f t="shared" si="13"/>
        <v>5500000250000016064001572600</v>
      </c>
      <c r="BU14" t="str">
        <f t="shared" si="4"/>
        <v/>
      </c>
      <c r="BV14" t="str">
        <f t="shared" si="14"/>
        <v>7777</v>
      </c>
      <c r="BW14" t="str">
        <f t="shared" si="5"/>
        <v/>
      </c>
      <c r="BX14" t="str">
        <f t="shared" si="15"/>
        <v>1111</v>
      </c>
      <c r="BY14"/>
      <c r="BZ14"/>
      <c r="CA14"/>
      <c r="CB14" s="683" t="str">
        <f t="shared" si="16"/>
        <v/>
      </c>
      <c r="CC14" s="683" t="str">
        <f t="shared" si="17"/>
        <v/>
      </c>
      <c r="CD14" s="683" t="str">
        <f>IF(CC14="","",VALUE(MID($BZ$5,1+SUM($CC$3:CC13),CC14)))</f>
        <v/>
      </c>
      <c r="CE14">
        <f t="shared" si="18"/>
        <v>12</v>
      </c>
      <c r="CF14" t="str">
        <f>IF(CD14="","",MID($BZ$4,1+SUM($CD$3:CD13),CD14))</f>
        <v/>
      </c>
      <c r="CI14" s="494" t="e">
        <f ca="1">SUMIFS(DB_LOAD!$AU:$AU,DB_LOAD!$AW:$AW,'Refi-Annual Review'!$CJ$1,DB_LOAD!$AR:$AR,'Refi-Annual Review'!$CF14,DB_LOAD!$AP:$AP,'Refi-Annual Review'!$CK$1,DB_LOAD!$AQ:$AQ,'Refi-Annual Review'!CI$2)/DB_LOAD!$K$2</f>
        <v>#DIV/0!</v>
      </c>
      <c r="CJ14" s="494" t="e">
        <f ca="1">SUMIFS(DB_LOAD!$AU:$AU,DB_LOAD!$AW:$AW,'Refi-Annual Review'!$CJ$1,DB_LOAD!$AR:$AR,'Refi-Annual Review'!$CF14,DB_LOAD!$AP:$AP,'Refi-Annual Review'!$CK$1,DB_LOAD!$AQ:$AQ,'Refi-Annual Review'!CJ$2)/DB_LOAD!$K$2</f>
        <v>#DIV/0!</v>
      </c>
      <c r="CK14" s="494" t="e">
        <f ca="1">SUMIFS(DB_LOAD!$AU:$AU,DB_LOAD!$AW:$AW,'Refi-Annual Review'!$CJ$1,DB_LOAD!$AR:$AR,'Refi-Annual Review'!$CF14,DB_LOAD!$AP:$AP,'Refi-Annual Review'!$CK$1,DB_LOAD!$AQ:$AQ,'Refi-Annual Review'!CK$2)/DB_LOAD!$K$2</f>
        <v>#DIV/0!</v>
      </c>
      <c r="CL14" s="494" t="e">
        <f ca="1">SUMIFS(DB_LOAD!$AU:$AU,DB_LOAD!$AW:$AW,'Refi-Annual Review'!$CJ$1,DB_LOAD!$AR:$AR,'Refi-Annual Review'!$CF14,DB_LOAD!$AP:$AP,'Refi-Annual Review'!$CK$1,DB_LOAD!$AQ:$AQ,'Refi-Annual Review'!CL$2)/DB_LOAD!$K$2</f>
        <v>#DIV/0!</v>
      </c>
      <c r="CM14" s="494" t="e">
        <f ca="1">SUMIFS(DB_LOAD!$AU:$AU,DB_LOAD!$AW:$AW,'Refi-Annual Review'!$CJ$1,DB_LOAD!$AR:$AR,'Refi-Annual Review'!$CF14,DB_LOAD!$AP:$AP,'Refi-Annual Review'!$CK$1,DB_LOAD!$AQ:$AQ,'Refi-Annual Review'!CM$2)/DB_LOAD!$K$2</f>
        <v>#DIV/0!</v>
      </c>
      <c r="CN14" s="494" t="e">
        <f ca="1">SUMIFS(DB_LOAD!$AU:$AU,DB_LOAD!$AW:$AW,'Refi-Annual Review'!$CJ$1,DB_LOAD!$AR:$AR,'Refi-Annual Review'!$CF14,DB_LOAD!$AP:$AP,'Refi-Annual Review'!$CK$1,DB_LOAD!$AQ:$AQ,'Refi-Annual Review'!CN$2)/DB_LOAD!$K$2</f>
        <v>#DIV/0!</v>
      </c>
      <c r="CO14" s="494" t="e">
        <f ca="1">SUMIFS(DB_LOAD!$AU:$AU,DB_LOAD!$AW:$AW,'Refi-Annual Review'!$CJ$1,DB_LOAD!$AR:$AR,'Refi-Annual Review'!$CF14,DB_LOAD!$AP:$AP,'Refi-Annual Review'!$CK$1,DB_LOAD!$AQ:$AQ,'Refi-Annual Review'!CO$2)/DB_LOAD!$K$2</f>
        <v>#DIV/0!</v>
      </c>
      <c r="CP14" s="494" t="e">
        <f t="shared" ca="1" si="8"/>
        <v>#DIV/0!</v>
      </c>
      <c r="CR14" s="494">
        <f ca="1">SUMIFS(DB_LOAD!$AV:$AV,DB_LOAD!$AW:$AW,'Refi-Annual Review'!$CS$1,DB_LOAD!$AR:$AR,'Refi-Annual Review'!$CF14,DB_LOAD!$AP:$AP,'Refi-Annual Review'!$CT$1,DB_LOAD!$AQ:$AQ,'Refi-Annual Review'!CR$2)</f>
        <v>0</v>
      </c>
      <c r="CS14" s="494">
        <f ca="1">SUMIFS(DB_LOAD!$AV:$AV,DB_LOAD!$AW:$AW,'Refi-Annual Review'!$CS$1,DB_LOAD!$AR:$AR,'Refi-Annual Review'!$CF14,DB_LOAD!$AP:$AP,'Refi-Annual Review'!$CT$1,DB_LOAD!$AQ:$AQ,'Refi-Annual Review'!CS$2)</f>
        <v>0</v>
      </c>
      <c r="CT14" s="494">
        <f ca="1">SUMIFS(DB_LOAD!$AV:$AV,DB_LOAD!$AW:$AW,'Refi-Annual Review'!$CS$1,DB_LOAD!$AR:$AR,'Refi-Annual Review'!$CF14,DB_LOAD!$AP:$AP,'Refi-Annual Review'!$CT$1,DB_LOAD!$AQ:$AQ,'Refi-Annual Review'!CT$2)</f>
        <v>0</v>
      </c>
      <c r="CU14" s="494">
        <f ca="1">SUMIFS(DB_LOAD!$AV:$AV,DB_LOAD!$AW:$AW,'Refi-Annual Review'!$CS$1,DB_LOAD!$AR:$AR,'Refi-Annual Review'!$CF14,DB_LOAD!$AP:$AP,'Refi-Annual Review'!$CT$1,DB_LOAD!$AQ:$AQ,'Refi-Annual Review'!CU$2)</f>
        <v>0</v>
      </c>
      <c r="CV14" s="494">
        <f ca="1">SUMIFS(DB_LOAD!$AV:$AV,DB_LOAD!$AW:$AW,'Refi-Annual Review'!$CS$1,DB_LOAD!$AR:$AR,'Refi-Annual Review'!$CF14,DB_LOAD!$AP:$AP,'Refi-Annual Review'!$CT$1,DB_LOAD!$AQ:$AQ,'Refi-Annual Review'!CV$2)</f>
        <v>0</v>
      </c>
      <c r="CW14" s="494">
        <f ca="1">SUMIFS(DB_LOAD!$AV:$AV,DB_LOAD!$AW:$AW,'Refi-Annual Review'!$CS$1,DB_LOAD!$AR:$AR,'Refi-Annual Review'!$CF14,DB_LOAD!$AP:$AP,'Refi-Annual Review'!$CT$1,DB_LOAD!$AQ:$AQ,'Refi-Annual Review'!CW$2)</f>
        <v>0</v>
      </c>
      <c r="CX14" s="494">
        <f ca="1">SUMIFS(DB_LOAD!$AV:$AV,DB_LOAD!$AW:$AW,'Refi-Annual Review'!$CS$1,DB_LOAD!$AR:$AR,'Refi-Annual Review'!$CF14,DB_LOAD!$AP:$AP,'Refi-Annual Review'!$CT$1,DB_LOAD!$AQ:$AQ,'Refi-Annual Review'!CX$2)</f>
        <v>0</v>
      </c>
      <c r="CY14" s="494" t="str">
        <f t="shared" ca="1" si="9"/>
        <v/>
      </c>
      <c r="DA14" s="494" t="e">
        <f ca="1">SUMIFS(DB_LOAD!$AU:$AU,DB_LOAD!$AW:$AW,'Refi-Annual Review'!$DB$1,DB_LOAD!$AR:$AR,'Refi-Annual Review'!$CF14,DB_LOAD!$AP:$AP,'Refi-Annual Review'!$DC$1,DB_LOAD!$AQ:$AQ,'Refi-Annual Review'!DA$2)/IF($A$23="No Data Found",1,$A$23)</f>
        <v>#NAME?</v>
      </c>
      <c r="DB14" s="494" t="e">
        <f ca="1">SUMIFS(DB_LOAD!$AU:$AU,DB_LOAD!$AW:$AW,'Refi-Annual Review'!$DB$1,DB_LOAD!$AR:$AR,'Refi-Annual Review'!$CF14,DB_LOAD!$AP:$AP,'Refi-Annual Review'!$DC$1,DB_LOAD!$AQ:$AQ,'Refi-Annual Review'!DB$2)/IF($A$23="No Data Found",1,$A$23)</f>
        <v>#NAME?</v>
      </c>
      <c r="DC14" s="494" t="e">
        <f ca="1">SUMIFS(DB_LOAD!$AU:$AU,DB_LOAD!$AW:$AW,'Refi-Annual Review'!$DB$1,DB_LOAD!$AR:$AR,'Refi-Annual Review'!$CF14,DB_LOAD!$AP:$AP,'Refi-Annual Review'!$DC$1,DB_LOAD!$AQ:$AQ,'Refi-Annual Review'!DC$2)/IF($A$23="No Data Found",1,$A$23)</f>
        <v>#NAME?</v>
      </c>
      <c r="DD14" s="494" t="e">
        <f ca="1">SUMIFS(DB_LOAD!$AU:$AU,DB_LOAD!$AW:$AW,'Refi-Annual Review'!$DB$1,DB_LOAD!$AR:$AR,'Refi-Annual Review'!$CF14,DB_LOAD!$AP:$AP,'Refi-Annual Review'!$DC$1,DB_LOAD!$AQ:$AQ,'Refi-Annual Review'!DD$2)/IF($A$23="No Data Found",1,$A$23)</f>
        <v>#NAME?</v>
      </c>
      <c r="DE14" s="494" t="e">
        <f ca="1">SUMIFS(DB_LOAD!$AU:$AU,DB_LOAD!$AW:$AW,'Refi-Annual Review'!$DB$1,DB_LOAD!$AR:$AR,'Refi-Annual Review'!$CF14,DB_LOAD!$AP:$AP,'Refi-Annual Review'!$DC$1,DB_LOAD!$AQ:$AQ,'Refi-Annual Review'!DE$2)/IF($A$23="No Data Found",1,$A$23)</f>
        <v>#NAME?</v>
      </c>
      <c r="DF14" s="494" t="e">
        <f ca="1">SUMIFS(DB_LOAD!$AU:$AU,DB_LOAD!$AW:$AW,'Refi-Annual Review'!$DB$1,DB_LOAD!$AR:$AR,'Refi-Annual Review'!$CF14,DB_LOAD!$AP:$AP,'Refi-Annual Review'!$DC$1,DB_LOAD!$AQ:$AQ,'Refi-Annual Review'!DF$2)/IF($A$23="No Data Found",1,$A$23)</f>
        <v>#NAME?</v>
      </c>
      <c r="DG14" s="494" t="e">
        <f ca="1">SUMIFS(DB_LOAD!$AU:$AU,DB_LOAD!$AW:$AW,'Refi-Annual Review'!$DB$1,DB_LOAD!$AR:$AR,'Refi-Annual Review'!$CF14,DB_LOAD!$AP:$AP,'Refi-Annual Review'!$DC$1,DB_LOAD!$AQ:$AQ,'Refi-Annual Review'!DG$2)/IF($A$23="No Data Found",1,$A$23)</f>
        <v>#NAME?</v>
      </c>
      <c r="DH14" s="494" t="e">
        <f t="shared" ca="1" si="10"/>
        <v>#NAME?</v>
      </c>
      <c r="DJ14" s="494">
        <f ca="1">SUMIFS(DB_LOAD!$AV:$AV,DB_LOAD!$AW:$AW,'Refi-Annual Review'!$DK$1,DB_LOAD!$AR:$AR,'Refi-Annual Review'!$CF14,DB_LOAD!$AP:$AP,'Refi-Annual Review'!$DL$1,DB_LOAD!$AQ:$AQ,'Refi-Annual Review'!DJ$2)</f>
        <v>0</v>
      </c>
      <c r="DK14" s="494">
        <f ca="1">SUMIFS(DB_LOAD!$AV:$AV,DB_LOAD!$AW:$AW,'Refi-Annual Review'!$DK$1,DB_LOAD!$AR:$AR,'Refi-Annual Review'!$CF14,DB_LOAD!$AP:$AP,'Refi-Annual Review'!$DL$1,DB_LOAD!$AQ:$AQ,'Refi-Annual Review'!DK$2)</f>
        <v>0</v>
      </c>
      <c r="DL14" s="494">
        <f ca="1">SUMIFS(DB_LOAD!$AV:$AV,DB_LOAD!$AW:$AW,'Refi-Annual Review'!$DK$1,DB_LOAD!$AR:$AR,'Refi-Annual Review'!$CF14,DB_LOAD!$AP:$AP,'Refi-Annual Review'!$DL$1,DB_LOAD!$AQ:$AQ,'Refi-Annual Review'!DL$2)</f>
        <v>0</v>
      </c>
      <c r="DM14" s="494">
        <f ca="1">SUMIFS(DB_LOAD!$AV:$AV,DB_LOAD!$AW:$AW,'Refi-Annual Review'!$DK$1,DB_LOAD!$AR:$AR,'Refi-Annual Review'!$CF14,DB_LOAD!$AP:$AP,'Refi-Annual Review'!$DL$1,DB_LOAD!$AQ:$AQ,'Refi-Annual Review'!DM$2)</f>
        <v>0</v>
      </c>
      <c r="DN14" s="494">
        <f ca="1">SUMIFS(DB_LOAD!$AV:$AV,DB_LOAD!$AW:$AW,'Refi-Annual Review'!$DK$1,DB_LOAD!$AR:$AR,'Refi-Annual Review'!$CF14,DB_LOAD!$AP:$AP,'Refi-Annual Review'!$DL$1,DB_LOAD!$AQ:$AQ,'Refi-Annual Review'!DN$2)</f>
        <v>0</v>
      </c>
      <c r="DO14" s="494">
        <f ca="1">SUMIFS(DB_LOAD!$AV:$AV,DB_LOAD!$AW:$AW,'Refi-Annual Review'!$DK$1,DB_LOAD!$AR:$AR,'Refi-Annual Review'!$CF14,DB_LOAD!$AP:$AP,'Refi-Annual Review'!$DL$1,DB_LOAD!$AQ:$AQ,'Refi-Annual Review'!DO$2)</f>
        <v>0</v>
      </c>
      <c r="DP14" s="494">
        <f ca="1">SUMIFS(DB_LOAD!$AV:$AV,DB_LOAD!$AW:$AW,'Refi-Annual Review'!$DK$1,DB_LOAD!$AR:$AR,'Refi-Annual Review'!$CF14,DB_LOAD!$AP:$AP,'Refi-Annual Review'!$DL$1,DB_LOAD!$AQ:$AQ,'Refi-Annual Review'!DP$2)</f>
        <v>0</v>
      </c>
      <c r="DQ14" s="494" t="str">
        <f t="shared" ca="1" si="11"/>
        <v/>
      </c>
      <c r="DS14" s="494">
        <f>SUMIFS(DB_LOAD!$AV:$AV,DB_LOAD!$AW:$AW,'Refi-Annual Review'!$DT$1,DB_LOAD!$AR:$AR,'Refi-Annual Review'!$CF14,DB_LOAD!$AP:$AP,'Refi-Annual Review'!$DU$1,DB_LOAD!$AQ:$AQ,'Refi-Annual Review'!DS$2)</f>
        <v>0</v>
      </c>
      <c r="DT14" s="494">
        <f>SUMIFS(DB_LOAD!$AV:$AV,DB_LOAD!$AW:$AW,'Refi-Annual Review'!$DT$1,DB_LOAD!$AR:$AR,'Refi-Annual Review'!$CF14,DB_LOAD!$AP:$AP,'Refi-Annual Review'!$DU$1,DB_LOAD!$AQ:$AQ,'Refi-Annual Review'!DT$2)</f>
        <v>0</v>
      </c>
      <c r="DU14" s="494">
        <f>SUMIFS(DB_LOAD!$AV:$AV,DB_LOAD!$AW:$AW,'Refi-Annual Review'!$DT$1,DB_LOAD!$AR:$AR,'Refi-Annual Review'!$CF14,DB_LOAD!$AP:$AP,'Refi-Annual Review'!$DU$1,DB_LOAD!$AQ:$AQ,'Refi-Annual Review'!DU$2)</f>
        <v>0</v>
      </c>
      <c r="DV14" s="494">
        <f>SUMIFS(DB_LOAD!$AV:$AV,DB_LOAD!$AW:$AW,'Refi-Annual Review'!$DT$1,DB_LOAD!$AR:$AR,'Refi-Annual Review'!$CF14,DB_LOAD!$AP:$AP,'Refi-Annual Review'!$DU$1,DB_LOAD!$AQ:$AQ,'Refi-Annual Review'!DV$2)</f>
        <v>0</v>
      </c>
      <c r="DW14" s="494">
        <f>SUMIFS(DB_LOAD!$AV:$AV,DB_LOAD!$AW:$AW,'Refi-Annual Review'!$DT$1,DB_LOAD!$AR:$AR,'Refi-Annual Review'!$CF14,DB_LOAD!$AP:$AP,'Refi-Annual Review'!$DU$1,DB_LOAD!$AQ:$AQ,'Refi-Annual Review'!DW$2)</f>
        <v>0</v>
      </c>
      <c r="DX14" s="494">
        <f>SUMIFS(DB_LOAD!$AV:$AV,DB_LOAD!$AW:$AW,'Refi-Annual Review'!$DT$1,DB_LOAD!$AR:$AR,'Refi-Annual Review'!$CF14,DB_LOAD!$AP:$AP,'Refi-Annual Review'!$DU$1,DB_LOAD!$AQ:$AQ,'Refi-Annual Review'!DX$2)</f>
        <v>0</v>
      </c>
      <c r="DY14" s="494">
        <f>SUMIFS(DB_LOAD!$AV:$AV,DB_LOAD!$AW:$AW,'Refi-Annual Review'!$DT$1,DB_LOAD!$AR:$AR,'Refi-Annual Review'!$CF14,DB_LOAD!$AP:$AP,'Refi-Annual Review'!$DU$1,DB_LOAD!$AQ:$AQ,'Refi-Annual Review'!DY$2)</f>
        <v>0</v>
      </c>
      <c r="DZ14" s="494" t="str">
        <f t="shared" si="12"/>
        <v/>
      </c>
      <c r="EC14" s="485" t="s">
        <v>351</v>
      </c>
    </row>
    <row r="15" spans="1:134" ht="15">
      <c r="A15" s="485" t="e">
        <f ca="1">UPPER(A1&amp;"/"&amp;TEXT(A14,"mmmm yyyy"))</f>
        <v>#NAME?</v>
      </c>
      <c r="C15" s="485">
        <f t="shared" si="25"/>
        <v>16</v>
      </c>
      <c r="D15" s="493" t="s">
        <v>15</v>
      </c>
      <c r="E15" s="568"/>
      <c r="F15" s="496" t="e">
        <f t="shared" ref="F15:I15" ca="1" si="35">ABS((F120+F127)/(F121+F122+F123+F128))</f>
        <v>#N/A</v>
      </c>
      <c r="G15" s="496" t="e">
        <f t="shared" ca="1" si="35"/>
        <v>#N/A</v>
      </c>
      <c r="H15" s="496" t="e">
        <f t="shared" ca="1" si="35"/>
        <v>#N/A</v>
      </c>
      <c r="I15" s="496" t="e">
        <f t="shared" ca="1" si="35"/>
        <v>#N/A</v>
      </c>
      <c r="J15" s="496" t="e">
        <f ca="1">ABS((J120+J127)/(J121+J122+J123+J128))</f>
        <v>#N/A</v>
      </c>
      <c r="K15" s="496"/>
      <c r="L15" s="496" t="e">
        <f ca="1">ABS(L120/(L121+L123+L128))</f>
        <v>#NAME?</v>
      </c>
      <c r="M15" s="496" t="e">
        <f ca="1">ABS(M120/(M121+M123+M128))</f>
        <v>#NAME?</v>
      </c>
      <c r="N15" s="496" t="e">
        <f ca="1">ABS(N120/(N121+N123+N128))</f>
        <v>#NAME?</v>
      </c>
      <c r="O15" s="496" t="e">
        <f ca="1">ABS(O120/(O121+O123+O128))</f>
        <v>#NAME?</v>
      </c>
      <c r="P15" s="496"/>
      <c r="Q15" s="496" t="e">
        <f ca="1">ABS((Q120+Q127)/(Q121+Q122+Q123+Q128))</f>
        <v>#NAME?</v>
      </c>
      <c r="R15" s="496" t="e">
        <f ca="1">ABS((R120+R127)/(R121+R122+R123+R128))</f>
        <v>#NAME?</v>
      </c>
      <c r="S15" s="496"/>
      <c r="T15" s="496"/>
      <c r="U15" s="496"/>
      <c r="AJ15" s="493" t="s">
        <v>15</v>
      </c>
      <c r="AK15" s="496" t="e">
        <f t="shared" ca="1" si="27"/>
        <v>#N/A</v>
      </c>
      <c r="AL15" s="496" t="e">
        <f t="shared" ca="1" si="27"/>
        <v>#N/A</v>
      </c>
      <c r="AM15" s="496" t="e">
        <f t="shared" ca="1" si="23"/>
        <v>#N/A</v>
      </c>
      <c r="AN15" s="496" t="e">
        <f t="shared" ca="1" si="23"/>
        <v>#N/A</v>
      </c>
      <c r="AO15" s="496" t="e">
        <f t="shared" ca="1" si="19"/>
        <v>#NAME?</v>
      </c>
      <c r="AP15" s="496" t="e">
        <f t="shared" ca="1" si="19"/>
        <v>#NAME?</v>
      </c>
      <c r="AS15" s="485">
        <f>DB_LOAD!V9</f>
        <v>0</v>
      </c>
      <c r="AT15" s="626">
        <f>IF(ISBLANK(DB_LOAD!N9),"",DB_LOAD!N9)</f>
        <v>33</v>
      </c>
      <c r="AU15" s="627" t="str">
        <f>IF(ISBLANK(DB_LOAD!P9),"",DB_LOAD!R9)</f>
        <v>AZN</v>
      </c>
      <c r="AV15" s="628" t="str">
        <f>IF(ISBLANK(DB_LOAD!R9),"",IF('Balance Sheet'!$E$5="USD",DB_LOAD!O9,DB_LOAD!O9/DB_LOAD!$K$2))</f>
        <v>Azerbaijan</v>
      </c>
      <c r="AW15" s="629">
        <f>IF(C16=3,"-",IF(ISBLANK(DB_LOAD!S9),"",DB_LOAD!U9))</f>
        <v>0</v>
      </c>
      <c r="AX15" s="630">
        <f>IF(C16=3,"Equity ",IF(ISBLANK(DB_LOAD!T9),"",DB_LOAD!T9))</f>
        <v>1494260.538223</v>
      </c>
      <c r="BD15" s="485" t="s">
        <v>140</v>
      </c>
      <c r="BE15" s="485" t="e">
        <f t="shared" ca="1" si="31"/>
        <v>#NAME?</v>
      </c>
      <c r="BF15" s="651" t="str">
        <f t="shared" si="29"/>
        <v/>
      </c>
      <c r="BG15" s="669" t="e">
        <f t="shared" ca="1" si="30"/>
        <v>#NAME?</v>
      </c>
      <c r="BH15" s="669" t="e">
        <f t="shared" ca="1" si="30"/>
        <v>#NAME?</v>
      </c>
      <c r="BI15" s="669" t="e">
        <f t="shared" ca="1" si="30"/>
        <v>#NAME?</v>
      </c>
      <c r="BJ15" s="669" t="e">
        <f t="shared" ca="1" si="30"/>
        <v>#NAME?</v>
      </c>
      <c r="BK15" s="669" t="e">
        <f t="shared" ca="1" si="30"/>
        <v>#NAME?</v>
      </c>
      <c r="BL15" s="669" t="e">
        <f t="shared" ca="1" si="30"/>
        <v>#NAME?</v>
      </c>
      <c r="BM15" s="669" t="e">
        <f t="shared" ca="1" si="30"/>
        <v>#NAME?</v>
      </c>
      <c r="BN15" s="670" t="e">
        <f t="shared" ca="1" si="32"/>
        <v>#NAME?</v>
      </c>
      <c r="BP15" s="485" t="e">
        <f ca="1">IF(OR(DB_LOAD!AW14="USD",DB_LOAD!AW14='Refi-Annual Review'!$A$3,ISBLANK(DB_LOAD!AW14)),0,1)</f>
        <v>#NAME?</v>
      </c>
      <c r="BQ15" t="str">
        <f>(IF(ISBLANK(DB_LOAD!AR14),"",DB_LOAD!AR14))</f>
        <v/>
      </c>
      <c r="BR15" t="str">
        <f t="shared" si="3"/>
        <v/>
      </c>
      <c r="BS15" t="str">
        <f t="shared" si="7"/>
        <v/>
      </c>
      <c r="BT15" t="str">
        <f t="shared" si="13"/>
        <v>5500000250000016064001572600</v>
      </c>
      <c r="BU15" t="str">
        <f t="shared" si="4"/>
        <v/>
      </c>
      <c r="BV15" t="str">
        <f t="shared" si="14"/>
        <v>7777</v>
      </c>
      <c r="BW15" t="str">
        <f t="shared" si="5"/>
        <v/>
      </c>
      <c r="BX15" t="str">
        <f t="shared" si="15"/>
        <v>1111</v>
      </c>
      <c r="BY15"/>
      <c r="BZ15"/>
      <c r="CA15"/>
      <c r="CB15" s="683" t="str">
        <f t="shared" si="16"/>
        <v/>
      </c>
      <c r="CC15" s="683" t="str">
        <f t="shared" si="17"/>
        <v/>
      </c>
      <c r="CD15" s="683" t="str">
        <f>IF(CC15="","",VALUE(MID($BZ$5,1+SUM($CC$3:CC14),CC15)))</f>
        <v/>
      </c>
      <c r="CE15">
        <f t="shared" si="18"/>
        <v>13</v>
      </c>
      <c r="CF15" t="str">
        <f>IF(CD15="","",MID($BZ$4,1+SUM($CD$3:CD14),CD15))</f>
        <v/>
      </c>
      <c r="CI15" s="494" t="e">
        <f ca="1">SUMIFS(DB_LOAD!$AU:$AU,DB_LOAD!$AW:$AW,'Refi-Annual Review'!$CJ$1,DB_LOAD!$AR:$AR,'Refi-Annual Review'!$CF15,DB_LOAD!$AP:$AP,'Refi-Annual Review'!$CK$1,DB_LOAD!$AQ:$AQ,'Refi-Annual Review'!CI$2)/DB_LOAD!$K$2</f>
        <v>#DIV/0!</v>
      </c>
      <c r="CJ15" s="494" t="e">
        <f ca="1">SUMIFS(DB_LOAD!$AU:$AU,DB_LOAD!$AW:$AW,'Refi-Annual Review'!$CJ$1,DB_LOAD!$AR:$AR,'Refi-Annual Review'!$CF15,DB_LOAD!$AP:$AP,'Refi-Annual Review'!$CK$1,DB_LOAD!$AQ:$AQ,'Refi-Annual Review'!CJ$2)/DB_LOAD!$K$2</f>
        <v>#DIV/0!</v>
      </c>
      <c r="CK15" s="494" t="e">
        <f ca="1">SUMIFS(DB_LOAD!$AU:$AU,DB_LOAD!$AW:$AW,'Refi-Annual Review'!$CJ$1,DB_LOAD!$AR:$AR,'Refi-Annual Review'!$CF15,DB_LOAD!$AP:$AP,'Refi-Annual Review'!$CK$1,DB_LOAD!$AQ:$AQ,'Refi-Annual Review'!CK$2)/DB_LOAD!$K$2</f>
        <v>#DIV/0!</v>
      </c>
      <c r="CL15" s="494" t="e">
        <f ca="1">SUMIFS(DB_LOAD!$AU:$AU,DB_LOAD!$AW:$AW,'Refi-Annual Review'!$CJ$1,DB_LOAD!$AR:$AR,'Refi-Annual Review'!$CF15,DB_LOAD!$AP:$AP,'Refi-Annual Review'!$CK$1,DB_LOAD!$AQ:$AQ,'Refi-Annual Review'!CL$2)/DB_LOAD!$K$2</f>
        <v>#DIV/0!</v>
      </c>
      <c r="CM15" s="494" t="e">
        <f ca="1">SUMIFS(DB_LOAD!$AU:$AU,DB_LOAD!$AW:$AW,'Refi-Annual Review'!$CJ$1,DB_LOAD!$AR:$AR,'Refi-Annual Review'!$CF15,DB_LOAD!$AP:$AP,'Refi-Annual Review'!$CK$1,DB_LOAD!$AQ:$AQ,'Refi-Annual Review'!CM$2)/DB_LOAD!$K$2</f>
        <v>#DIV/0!</v>
      </c>
      <c r="CN15" s="494" t="e">
        <f ca="1">SUMIFS(DB_LOAD!$AU:$AU,DB_LOAD!$AW:$AW,'Refi-Annual Review'!$CJ$1,DB_LOAD!$AR:$AR,'Refi-Annual Review'!$CF15,DB_LOAD!$AP:$AP,'Refi-Annual Review'!$CK$1,DB_LOAD!$AQ:$AQ,'Refi-Annual Review'!CN$2)/DB_LOAD!$K$2</f>
        <v>#DIV/0!</v>
      </c>
      <c r="CO15" s="494" t="e">
        <f ca="1">SUMIFS(DB_LOAD!$AU:$AU,DB_LOAD!$AW:$AW,'Refi-Annual Review'!$CJ$1,DB_LOAD!$AR:$AR,'Refi-Annual Review'!$CF15,DB_LOAD!$AP:$AP,'Refi-Annual Review'!$CK$1,DB_LOAD!$AQ:$AQ,'Refi-Annual Review'!CO$2)/DB_LOAD!$K$2</f>
        <v>#DIV/0!</v>
      </c>
      <c r="CP15" s="494" t="e">
        <f t="shared" ca="1" si="8"/>
        <v>#DIV/0!</v>
      </c>
      <c r="CR15" s="494">
        <f ca="1">SUMIFS(DB_LOAD!$AV:$AV,DB_LOAD!$AW:$AW,'Refi-Annual Review'!$CS$1,DB_LOAD!$AR:$AR,'Refi-Annual Review'!$CF15,DB_LOAD!$AP:$AP,'Refi-Annual Review'!$CT$1,DB_LOAD!$AQ:$AQ,'Refi-Annual Review'!CR$2)</f>
        <v>0</v>
      </c>
      <c r="CS15" s="494">
        <f ca="1">SUMIFS(DB_LOAD!$AV:$AV,DB_LOAD!$AW:$AW,'Refi-Annual Review'!$CS$1,DB_LOAD!$AR:$AR,'Refi-Annual Review'!$CF15,DB_LOAD!$AP:$AP,'Refi-Annual Review'!$CT$1,DB_LOAD!$AQ:$AQ,'Refi-Annual Review'!CS$2)</f>
        <v>0</v>
      </c>
      <c r="CT15" s="494">
        <f ca="1">SUMIFS(DB_LOAD!$AV:$AV,DB_LOAD!$AW:$AW,'Refi-Annual Review'!$CS$1,DB_LOAD!$AR:$AR,'Refi-Annual Review'!$CF15,DB_LOAD!$AP:$AP,'Refi-Annual Review'!$CT$1,DB_LOAD!$AQ:$AQ,'Refi-Annual Review'!CT$2)</f>
        <v>0</v>
      </c>
      <c r="CU15" s="494">
        <f ca="1">SUMIFS(DB_LOAD!$AV:$AV,DB_LOAD!$AW:$AW,'Refi-Annual Review'!$CS$1,DB_LOAD!$AR:$AR,'Refi-Annual Review'!$CF15,DB_LOAD!$AP:$AP,'Refi-Annual Review'!$CT$1,DB_LOAD!$AQ:$AQ,'Refi-Annual Review'!CU$2)</f>
        <v>0</v>
      </c>
      <c r="CV15" s="494">
        <f ca="1">SUMIFS(DB_LOAD!$AV:$AV,DB_LOAD!$AW:$AW,'Refi-Annual Review'!$CS$1,DB_LOAD!$AR:$AR,'Refi-Annual Review'!$CF15,DB_LOAD!$AP:$AP,'Refi-Annual Review'!$CT$1,DB_LOAD!$AQ:$AQ,'Refi-Annual Review'!CV$2)</f>
        <v>0</v>
      </c>
      <c r="CW15" s="494">
        <f ca="1">SUMIFS(DB_LOAD!$AV:$AV,DB_LOAD!$AW:$AW,'Refi-Annual Review'!$CS$1,DB_LOAD!$AR:$AR,'Refi-Annual Review'!$CF15,DB_LOAD!$AP:$AP,'Refi-Annual Review'!$CT$1,DB_LOAD!$AQ:$AQ,'Refi-Annual Review'!CW$2)</f>
        <v>0</v>
      </c>
      <c r="CX15" s="494">
        <f ca="1">SUMIFS(DB_LOAD!$AV:$AV,DB_LOAD!$AW:$AW,'Refi-Annual Review'!$CS$1,DB_LOAD!$AR:$AR,'Refi-Annual Review'!$CF15,DB_LOAD!$AP:$AP,'Refi-Annual Review'!$CT$1,DB_LOAD!$AQ:$AQ,'Refi-Annual Review'!CX$2)</f>
        <v>0</v>
      </c>
      <c r="CY15" s="494" t="str">
        <f t="shared" ca="1" si="9"/>
        <v/>
      </c>
      <c r="DA15" s="494" t="e">
        <f ca="1">SUMIFS(DB_LOAD!$AU:$AU,DB_LOAD!$AW:$AW,'Refi-Annual Review'!$DB$1,DB_LOAD!$AR:$AR,'Refi-Annual Review'!$CF15,DB_LOAD!$AP:$AP,'Refi-Annual Review'!$DC$1,DB_LOAD!$AQ:$AQ,'Refi-Annual Review'!DA$2)/IF($A$23="No Data Found",1,$A$23)</f>
        <v>#NAME?</v>
      </c>
      <c r="DB15" s="494" t="e">
        <f ca="1">SUMIFS(DB_LOAD!$AU:$AU,DB_LOAD!$AW:$AW,'Refi-Annual Review'!$DB$1,DB_LOAD!$AR:$AR,'Refi-Annual Review'!$CF15,DB_LOAD!$AP:$AP,'Refi-Annual Review'!$DC$1,DB_LOAD!$AQ:$AQ,'Refi-Annual Review'!DB$2)/IF($A$23="No Data Found",1,$A$23)</f>
        <v>#NAME?</v>
      </c>
      <c r="DC15" s="494" t="e">
        <f ca="1">SUMIFS(DB_LOAD!$AU:$AU,DB_LOAD!$AW:$AW,'Refi-Annual Review'!$DB$1,DB_LOAD!$AR:$AR,'Refi-Annual Review'!$CF15,DB_LOAD!$AP:$AP,'Refi-Annual Review'!$DC$1,DB_LOAD!$AQ:$AQ,'Refi-Annual Review'!DC$2)/IF($A$23="No Data Found",1,$A$23)</f>
        <v>#NAME?</v>
      </c>
      <c r="DD15" s="494" t="e">
        <f ca="1">SUMIFS(DB_LOAD!$AU:$AU,DB_LOAD!$AW:$AW,'Refi-Annual Review'!$DB$1,DB_LOAD!$AR:$AR,'Refi-Annual Review'!$CF15,DB_LOAD!$AP:$AP,'Refi-Annual Review'!$DC$1,DB_LOAD!$AQ:$AQ,'Refi-Annual Review'!DD$2)/IF($A$23="No Data Found",1,$A$23)</f>
        <v>#NAME?</v>
      </c>
      <c r="DE15" s="494" t="e">
        <f ca="1">SUMIFS(DB_LOAD!$AU:$AU,DB_LOAD!$AW:$AW,'Refi-Annual Review'!$DB$1,DB_LOAD!$AR:$AR,'Refi-Annual Review'!$CF15,DB_LOAD!$AP:$AP,'Refi-Annual Review'!$DC$1,DB_LOAD!$AQ:$AQ,'Refi-Annual Review'!DE$2)/IF($A$23="No Data Found",1,$A$23)</f>
        <v>#NAME?</v>
      </c>
      <c r="DF15" s="494" t="e">
        <f ca="1">SUMIFS(DB_LOAD!$AU:$AU,DB_LOAD!$AW:$AW,'Refi-Annual Review'!$DB$1,DB_LOAD!$AR:$AR,'Refi-Annual Review'!$CF15,DB_LOAD!$AP:$AP,'Refi-Annual Review'!$DC$1,DB_LOAD!$AQ:$AQ,'Refi-Annual Review'!DF$2)/IF($A$23="No Data Found",1,$A$23)</f>
        <v>#NAME?</v>
      </c>
      <c r="DG15" s="494" t="e">
        <f ca="1">SUMIFS(DB_LOAD!$AU:$AU,DB_LOAD!$AW:$AW,'Refi-Annual Review'!$DB$1,DB_LOAD!$AR:$AR,'Refi-Annual Review'!$CF15,DB_LOAD!$AP:$AP,'Refi-Annual Review'!$DC$1,DB_LOAD!$AQ:$AQ,'Refi-Annual Review'!DG$2)/IF($A$23="No Data Found",1,$A$23)</f>
        <v>#NAME?</v>
      </c>
      <c r="DH15" s="494" t="e">
        <f t="shared" ca="1" si="10"/>
        <v>#NAME?</v>
      </c>
      <c r="DJ15" s="494">
        <f ca="1">SUMIFS(DB_LOAD!$AV:$AV,DB_LOAD!$AW:$AW,'Refi-Annual Review'!$DK$1,DB_LOAD!$AR:$AR,'Refi-Annual Review'!$CF15,DB_LOAD!$AP:$AP,'Refi-Annual Review'!$DL$1,DB_LOAD!$AQ:$AQ,'Refi-Annual Review'!DJ$2)</f>
        <v>0</v>
      </c>
      <c r="DK15" s="494">
        <f ca="1">SUMIFS(DB_LOAD!$AV:$AV,DB_LOAD!$AW:$AW,'Refi-Annual Review'!$DK$1,DB_LOAD!$AR:$AR,'Refi-Annual Review'!$CF15,DB_LOAD!$AP:$AP,'Refi-Annual Review'!$DL$1,DB_LOAD!$AQ:$AQ,'Refi-Annual Review'!DK$2)</f>
        <v>0</v>
      </c>
      <c r="DL15" s="494">
        <f ca="1">SUMIFS(DB_LOAD!$AV:$AV,DB_LOAD!$AW:$AW,'Refi-Annual Review'!$DK$1,DB_LOAD!$AR:$AR,'Refi-Annual Review'!$CF15,DB_LOAD!$AP:$AP,'Refi-Annual Review'!$DL$1,DB_LOAD!$AQ:$AQ,'Refi-Annual Review'!DL$2)</f>
        <v>0</v>
      </c>
      <c r="DM15" s="494">
        <f ca="1">SUMIFS(DB_LOAD!$AV:$AV,DB_LOAD!$AW:$AW,'Refi-Annual Review'!$DK$1,DB_LOAD!$AR:$AR,'Refi-Annual Review'!$CF15,DB_LOAD!$AP:$AP,'Refi-Annual Review'!$DL$1,DB_LOAD!$AQ:$AQ,'Refi-Annual Review'!DM$2)</f>
        <v>0</v>
      </c>
      <c r="DN15" s="494">
        <f ca="1">SUMIFS(DB_LOAD!$AV:$AV,DB_LOAD!$AW:$AW,'Refi-Annual Review'!$DK$1,DB_LOAD!$AR:$AR,'Refi-Annual Review'!$CF15,DB_LOAD!$AP:$AP,'Refi-Annual Review'!$DL$1,DB_LOAD!$AQ:$AQ,'Refi-Annual Review'!DN$2)</f>
        <v>0</v>
      </c>
      <c r="DO15" s="494">
        <f ca="1">SUMIFS(DB_LOAD!$AV:$AV,DB_LOAD!$AW:$AW,'Refi-Annual Review'!$DK$1,DB_LOAD!$AR:$AR,'Refi-Annual Review'!$CF15,DB_LOAD!$AP:$AP,'Refi-Annual Review'!$DL$1,DB_LOAD!$AQ:$AQ,'Refi-Annual Review'!DO$2)</f>
        <v>0</v>
      </c>
      <c r="DP15" s="494">
        <f ca="1">SUMIFS(DB_LOAD!$AV:$AV,DB_LOAD!$AW:$AW,'Refi-Annual Review'!$DK$1,DB_LOAD!$AR:$AR,'Refi-Annual Review'!$CF15,DB_LOAD!$AP:$AP,'Refi-Annual Review'!$DL$1,DB_LOAD!$AQ:$AQ,'Refi-Annual Review'!DP$2)</f>
        <v>0</v>
      </c>
      <c r="DQ15" s="494" t="str">
        <f t="shared" ca="1" si="11"/>
        <v/>
      </c>
      <c r="DS15" s="494">
        <f>SUMIFS(DB_LOAD!$AV:$AV,DB_LOAD!$AW:$AW,'Refi-Annual Review'!$DT$1,DB_LOAD!$AR:$AR,'Refi-Annual Review'!$CF15,DB_LOAD!$AP:$AP,'Refi-Annual Review'!$DU$1,DB_LOAD!$AQ:$AQ,'Refi-Annual Review'!DS$2)</f>
        <v>0</v>
      </c>
      <c r="DT15" s="494">
        <f>SUMIFS(DB_LOAD!$AV:$AV,DB_LOAD!$AW:$AW,'Refi-Annual Review'!$DT$1,DB_LOAD!$AR:$AR,'Refi-Annual Review'!$CF15,DB_LOAD!$AP:$AP,'Refi-Annual Review'!$DU$1,DB_LOAD!$AQ:$AQ,'Refi-Annual Review'!DT$2)</f>
        <v>0</v>
      </c>
      <c r="DU15" s="494">
        <f>SUMIFS(DB_LOAD!$AV:$AV,DB_LOAD!$AW:$AW,'Refi-Annual Review'!$DT$1,DB_LOAD!$AR:$AR,'Refi-Annual Review'!$CF15,DB_LOAD!$AP:$AP,'Refi-Annual Review'!$DU$1,DB_LOAD!$AQ:$AQ,'Refi-Annual Review'!DU$2)</f>
        <v>0</v>
      </c>
      <c r="DV15" s="494">
        <f>SUMIFS(DB_LOAD!$AV:$AV,DB_LOAD!$AW:$AW,'Refi-Annual Review'!$DT$1,DB_LOAD!$AR:$AR,'Refi-Annual Review'!$CF15,DB_LOAD!$AP:$AP,'Refi-Annual Review'!$DU$1,DB_LOAD!$AQ:$AQ,'Refi-Annual Review'!DV$2)</f>
        <v>0</v>
      </c>
      <c r="DW15" s="494">
        <f>SUMIFS(DB_LOAD!$AV:$AV,DB_LOAD!$AW:$AW,'Refi-Annual Review'!$DT$1,DB_LOAD!$AR:$AR,'Refi-Annual Review'!$CF15,DB_LOAD!$AP:$AP,'Refi-Annual Review'!$DU$1,DB_LOAD!$AQ:$AQ,'Refi-Annual Review'!DW$2)</f>
        <v>0</v>
      </c>
      <c r="DX15" s="494">
        <f>SUMIFS(DB_LOAD!$AV:$AV,DB_LOAD!$AW:$AW,'Refi-Annual Review'!$DT$1,DB_LOAD!$AR:$AR,'Refi-Annual Review'!$CF15,DB_LOAD!$AP:$AP,'Refi-Annual Review'!$DU$1,DB_LOAD!$AQ:$AQ,'Refi-Annual Review'!DX$2)</f>
        <v>0</v>
      </c>
      <c r="DY15" s="494">
        <f>SUMIFS(DB_LOAD!$AV:$AV,DB_LOAD!$AW:$AW,'Refi-Annual Review'!$DT$1,DB_LOAD!$AR:$AR,'Refi-Annual Review'!$CF15,DB_LOAD!$AP:$AP,'Refi-Annual Review'!$DU$1,DB_LOAD!$AQ:$AQ,'Refi-Annual Review'!DY$2)</f>
        <v>0</v>
      </c>
      <c r="DZ15" s="494" t="str">
        <f t="shared" si="12"/>
        <v/>
      </c>
      <c r="EC15" s="485" t="s">
        <v>353</v>
      </c>
      <c r="ED15" s="824" t="e">
        <f ca="1">AO59</f>
        <v>#NAME?</v>
      </c>
    </row>
    <row r="16" spans="1:134" ht="15">
      <c r="A16" s="485" t="e">
        <f ca="1">UPPER(A1)</f>
        <v>#NAME?</v>
      </c>
      <c r="C16" s="485">
        <f t="shared" si="25"/>
        <v>17</v>
      </c>
      <c r="D16" s="493" t="s">
        <v>16</v>
      </c>
      <c r="E16" s="568"/>
      <c r="F16" s="496" t="str">
        <f ca="1">IFERROR(F142/AJ181,"N/A")</f>
        <v>N/A</v>
      </c>
      <c r="G16" s="496" t="str">
        <f t="shared" ref="G16:J16" ca="1" si="36">IFERROR(G142/AK181,"N/A")</f>
        <v>N/A</v>
      </c>
      <c r="H16" s="496" t="str">
        <f t="shared" ca="1" si="36"/>
        <v>N/A</v>
      </c>
      <c r="I16" s="496" t="str">
        <f t="shared" ca="1" si="36"/>
        <v>N/A</v>
      </c>
      <c r="J16" s="496" t="str">
        <f t="shared" ca="1" si="36"/>
        <v>N/A</v>
      </c>
      <c r="K16" s="496"/>
      <c r="L16" s="496" t="str">
        <f ca="1">IFERROR(L142/AK181,"N/A")</f>
        <v>N/A</v>
      </c>
      <c r="M16" s="496" t="str">
        <f t="shared" ref="M16:N16" ca="1" si="37">IFERROR(M142/AL181,"N/A")</f>
        <v>N/A</v>
      </c>
      <c r="N16" s="496" t="str">
        <f t="shared" ca="1" si="37"/>
        <v>N/A</v>
      </c>
      <c r="O16" s="496" t="str">
        <f ca="1">IFERROR(O142/AVERAGE(O101,IF(OR(J101="",J101=0),N101,J101)),"N/A")</f>
        <v>N/A</v>
      </c>
      <c r="P16" s="496"/>
      <c r="Q16" s="496" t="e">
        <f ca="1">(Q142*(12/Q1)/Q184)*(Q4/Q3)</f>
        <v>#NAME?</v>
      </c>
      <c r="R16" s="896" t="e">
        <f ca="1">R142/Q181</f>
        <v>#NAME?</v>
      </c>
      <c r="S16" s="496"/>
      <c r="T16" s="496"/>
      <c r="U16" s="496"/>
      <c r="AJ16" s="493" t="s">
        <v>16</v>
      </c>
      <c r="AK16" s="496" t="e">
        <f t="shared" ca="1" si="27"/>
        <v>#N/A</v>
      </c>
      <c r="AL16" s="496" t="e">
        <f t="shared" ca="1" si="27"/>
        <v>#N/A</v>
      </c>
      <c r="AM16" s="496" t="e">
        <f t="shared" ca="1" si="23"/>
        <v>#N/A</v>
      </c>
      <c r="AN16" s="496" t="e">
        <f t="shared" ca="1" si="23"/>
        <v>#N/A</v>
      </c>
      <c r="AO16" s="496" t="e">
        <f t="shared" ca="1" si="19"/>
        <v>#NAME?</v>
      </c>
      <c r="AP16" s="496" t="e">
        <f t="shared" ca="1" si="19"/>
        <v>#NAME?</v>
      </c>
      <c r="AT16" s="317"/>
      <c r="AU16" s="317"/>
      <c r="AV16" s="641">
        <f>SUM(AV8:AV15)</f>
        <v>0</v>
      </c>
      <c r="AW16" s="317"/>
      <c r="AX16" s="317"/>
      <c r="BD16" s="485" t="s">
        <v>140</v>
      </c>
      <c r="BE16" s="485" t="e">
        <f t="shared" ca="1" si="31"/>
        <v>#NAME?</v>
      </c>
      <c r="BF16" s="651" t="str">
        <f t="shared" si="29"/>
        <v/>
      </c>
      <c r="BG16" s="669" t="e">
        <f t="shared" ca="1" si="30"/>
        <v>#NAME?</v>
      </c>
      <c r="BH16" s="669" t="e">
        <f t="shared" ca="1" si="30"/>
        <v>#NAME?</v>
      </c>
      <c r="BI16" s="669" t="e">
        <f t="shared" ca="1" si="30"/>
        <v>#NAME?</v>
      </c>
      <c r="BJ16" s="669" t="e">
        <f t="shared" ca="1" si="30"/>
        <v>#NAME?</v>
      </c>
      <c r="BK16" s="669" t="e">
        <f t="shared" ca="1" si="30"/>
        <v>#NAME?</v>
      </c>
      <c r="BL16" s="669" t="e">
        <f t="shared" ca="1" si="30"/>
        <v>#NAME?</v>
      </c>
      <c r="BM16" s="669" t="e">
        <f t="shared" ca="1" si="30"/>
        <v>#NAME?</v>
      </c>
      <c r="BN16" s="670" t="e">
        <f t="shared" ca="1" si="32"/>
        <v>#NAME?</v>
      </c>
      <c r="BP16" s="485" t="e">
        <f ca="1">IF(OR(DB_LOAD!AW15="USD",DB_LOAD!AW15='Refi-Annual Review'!$A$3,ISBLANK(DB_LOAD!AW15)),0,1)</f>
        <v>#NAME?</v>
      </c>
      <c r="BQ16" t="str">
        <f>(IF(ISBLANK(DB_LOAD!AR15),"",DB_LOAD!AR15))</f>
        <v/>
      </c>
      <c r="BR16" t="str">
        <f t="shared" si="3"/>
        <v/>
      </c>
      <c r="BS16" t="str">
        <f t="shared" si="7"/>
        <v/>
      </c>
      <c r="BT16" t="str">
        <f t="shared" si="13"/>
        <v>5500000250000016064001572600</v>
      </c>
      <c r="BU16" t="str">
        <f t="shared" si="4"/>
        <v/>
      </c>
      <c r="BV16" t="str">
        <f t="shared" si="14"/>
        <v>7777</v>
      </c>
      <c r="BW16" t="str">
        <f t="shared" si="5"/>
        <v/>
      </c>
      <c r="BX16" t="str">
        <f t="shared" si="15"/>
        <v>1111</v>
      </c>
      <c r="BY16"/>
      <c r="BZ16"/>
      <c r="CA16"/>
      <c r="CB16" s="683" t="str">
        <f t="shared" si="16"/>
        <v/>
      </c>
      <c r="CC16" s="683" t="str">
        <f t="shared" si="17"/>
        <v/>
      </c>
      <c r="CD16" s="683" t="str">
        <f>IF(CC16="","",VALUE(MID($BZ$5,1+SUM($CC$3:CC15),CC16)))</f>
        <v/>
      </c>
      <c r="CE16">
        <f t="shared" si="18"/>
        <v>14</v>
      </c>
      <c r="CF16" t="str">
        <f>IF(CD16="","",MID($BZ$4,1+SUM($CD$3:CD15),CD16))</f>
        <v/>
      </c>
      <c r="CI16" s="494" t="e">
        <f ca="1">SUMIFS(DB_LOAD!$AU:$AU,DB_LOAD!$AW:$AW,'Refi-Annual Review'!$CJ$1,DB_LOAD!$AR:$AR,'Refi-Annual Review'!$CF16,DB_LOAD!$AP:$AP,'Refi-Annual Review'!$CK$1,DB_LOAD!$AQ:$AQ,'Refi-Annual Review'!CI$2)/DB_LOAD!$K$2</f>
        <v>#DIV/0!</v>
      </c>
      <c r="CJ16" s="494" t="e">
        <f ca="1">SUMIFS(DB_LOAD!$AU:$AU,DB_LOAD!$AW:$AW,'Refi-Annual Review'!$CJ$1,DB_LOAD!$AR:$AR,'Refi-Annual Review'!$CF16,DB_LOAD!$AP:$AP,'Refi-Annual Review'!$CK$1,DB_LOAD!$AQ:$AQ,'Refi-Annual Review'!CJ$2)/DB_LOAD!$K$2</f>
        <v>#DIV/0!</v>
      </c>
      <c r="CK16" s="494" t="e">
        <f ca="1">SUMIFS(DB_LOAD!$AU:$AU,DB_LOAD!$AW:$AW,'Refi-Annual Review'!$CJ$1,DB_LOAD!$AR:$AR,'Refi-Annual Review'!$CF16,DB_LOAD!$AP:$AP,'Refi-Annual Review'!$CK$1,DB_LOAD!$AQ:$AQ,'Refi-Annual Review'!CK$2)/DB_LOAD!$K$2</f>
        <v>#DIV/0!</v>
      </c>
      <c r="CL16" s="494" t="e">
        <f ca="1">SUMIFS(DB_LOAD!$AU:$AU,DB_LOAD!$AW:$AW,'Refi-Annual Review'!$CJ$1,DB_LOAD!$AR:$AR,'Refi-Annual Review'!$CF16,DB_LOAD!$AP:$AP,'Refi-Annual Review'!$CK$1,DB_LOAD!$AQ:$AQ,'Refi-Annual Review'!CL$2)/DB_LOAD!$K$2</f>
        <v>#DIV/0!</v>
      </c>
      <c r="CM16" s="494" t="e">
        <f ca="1">SUMIFS(DB_LOAD!$AU:$AU,DB_LOAD!$AW:$AW,'Refi-Annual Review'!$CJ$1,DB_LOAD!$AR:$AR,'Refi-Annual Review'!$CF16,DB_LOAD!$AP:$AP,'Refi-Annual Review'!$CK$1,DB_LOAD!$AQ:$AQ,'Refi-Annual Review'!CM$2)/DB_LOAD!$K$2</f>
        <v>#DIV/0!</v>
      </c>
      <c r="CN16" s="494" t="e">
        <f ca="1">SUMIFS(DB_LOAD!$AU:$AU,DB_LOAD!$AW:$AW,'Refi-Annual Review'!$CJ$1,DB_LOAD!$AR:$AR,'Refi-Annual Review'!$CF16,DB_LOAD!$AP:$AP,'Refi-Annual Review'!$CK$1,DB_LOAD!$AQ:$AQ,'Refi-Annual Review'!CN$2)/DB_LOAD!$K$2</f>
        <v>#DIV/0!</v>
      </c>
      <c r="CO16" s="494" t="e">
        <f ca="1">SUMIFS(DB_LOAD!$AU:$AU,DB_LOAD!$AW:$AW,'Refi-Annual Review'!$CJ$1,DB_LOAD!$AR:$AR,'Refi-Annual Review'!$CF16,DB_LOAD!$AP:$AP,'Refi-Annual Review'!$CK$1,DB_LOAD!$AQ:$AQ,'Refi-Annual Review'!CO$2)/DB_LOAD!$K$2</f>
        <v>#DIV/0!</v>
      </c>
      <c r="CP16" s="494" t="e">
        <f t="shared" ca="1" si="8"/>
        <v>#DIV/0!</v>
      </c>
      <c r="CR16" s="494">
        <f ca="1">SUMIFS(DB_LOAD!$AV:$AV,DB_LOAD!$AW:$AW,'Refi-Annual Review'!$CS$1,DB_LOAD!$AR:$AR,'Refi-Annual Review'!$CF16,DB_LOAD!$AP:$AP,'Refi-Annual Review'!$CT$1,DB_LOAD!$AQ:$AQ,'Refi-Annual Review'!CR$2)</f>
        <v>0</v>
      </c>
      <c r="CS16" s="494">
        <f ca="1">SUMIFS(DB_LOAD!$AV:$AV,DB_LOAD!$AW:$AW,'Refi-Annual Review'!$CS$1,DB_LOAD!$AR:$AR,'Refi-Annual Review'!$CF16,DB_LOAD!$AP:$AP,'Refi-Annual Review'!$CT$1,DB_LOAD!$AQ:$AQ,'Refi-Annual Review'!CS$2)</f>
        <v>0</v>
      </c>
      <c r="CT16" s="494">
        <f ca="1">SUMIFS(DB_LOAD!$AV:$AV,DB_LOAD!$AW:$AW,'Refi-Annual Review'!$CS$1,DB_LOAD!$AR:$AR,'Refi-Annual Review'!$CF16,DB_LOAD!$AP:$AP,'Refi-Annual Review'!$CT$1,DB_LOAD!$AQ:$AQ,'Refi-Annual Review'!CT$2)</f>
        <v>0</v>
      </c>
      <c r="CU16" s="494">
        <f ca="1">SUMIFS(DB_LOAD!$AV:$AV,DB_LOAD!$AW:$AW,'Refi-Annual Review'!$CS$1,DB_LOAD!$AR:$AR,'Refi-Annual Review'!$CF16,DB_LOAD!$AP:$AP,'Refi-Annual Review'!$CT$1,DB_LOAD!$AQ:$AQ,'Refi-Annual Review'!CU$2)</f>
        <v>0</v>
      </c>
      <c r="CV16" s="494">
        <f ca="1">SUMIFS(DB_LOAD!$AV:$AV,DB_LOAD!$AW:$AW,'Refi-Annual Review'!$CS$1,DB_LOAD!$AR:$AR,'Refi-Annual Review'!$CF16,DB_LOAD!$AP:$AP,'Refi-Annual Review'!$CT$1,DB_LOAD!$AQ:$AQ,'Refi-Annual Review'!CV$2)</f>
        <v>0</v>
      </c>
      <c r="CW16" s="494">
        <f ca="1">SUMIFS(DB_LOAD!$AV:$AV,DB_LOAD!$AW:$AW,'Refi-Annual Review'!$CS$1,DB_LOAD!$AR:$AR,'Refi-Annual Review'!$CF16,DB_LOAD!$AP:$AP,'Refi-Annual Review'!$CT$1,DB_LOAD!$AQ:$AQ,'Refi-Annual Review'!CW$2)</f>
        <v>0</v>
      </c>
      <c r="CX16" s="494">
        <f ca="1">SUMIFS(DB_LOAD!$AV:$AV,DB_LOAD!$AW:$AW,'Refi-Annual Review'!$CS$1,DB_LOAD!$AR:$AR,'Refi-Annual Review'!$CF16,DB_LOAD!$AP:$AP,'Refi-Annual Review'!$CT$1,DB_LOAD!$AQ:$AQ,'Refi-Annual Review'!CX$2)</f>
        <v>0</v>
      </c>
      <c r="CY16" s="494" t="str">
        <f t="shared" ca="1" si="9"/>
        <v/>
      </c>
      <c r="DA16" s="494" t="e">
        <f ca="1">SUMIFS(DB_LOAD!$AU:$AU,DB_LOAD!$AW:$AW,'Refi-Annual Review'!$DB$1,DB_LOAD!$AR:$AR,'Refi-Annual Review'!$CF16,DB_LOAD!$AP:$AP,'Refi-Annual Review'!$DC$1,DB_LOAD!$AQ:$AQ,'Refi-Annual Review'!DA$2)/IF($A$23="No Data Found",1,$A$23)</f>
        <v>#NAME?</v>
      </c>
      <c r="DB16" s="494" t="e">
        <f ca="1">SUMIFS(DB_LOAD!$AU:$AU,DB_LOAD!$AW:$AW,'Refi-Annual Review'!$DB$1,DB_LOAD!$AR:$AR,'Refi-Annual Review'!$CF16,DB_LOAD!$AP:$AP,'Refi-Annual Review'!$DC$1,DB_LOAD!$AQ:$AQ,'Refi-Annual Review'!DB$2)/IF($A$23="No Data Found",1,$A$23)</f>
        <v>#NAME?</v>
      </c>
      <c r="DC16" s="494" t="e">
        <f ca="1">SUMIFS(DB_LOAD!$AU:$AU,DB_LOAD!$AW:$AW,'Refi-Annual Review'!$DB$1,DB_LOAD!$AR:$AR,'Refi-Annual Review'!$CF16,DB_LOAD!$AP:$AP,'Refi-Annual Review'!$DC$1,DB_LOAD!$AQ:$AQ,'Refi-Annual Review'!DC$2)/IF($A$23="No Data Found",1,$A$23)</f>
        <v>#NAME?</v>
      </c>
      <c r="DD16" s="494" t="e">
        <f ca="1">SUMIFS(DB_LOAD!$AU:$AU,DB_LOAD!$AW:$AW,'Refi-Annual Review'!$DB$1,DB_LOAD!$AR:$AR,'Refi-Annual Review'!$CF16,DB_LOAD!$AP:$AP,'Refi-Annual Review'!$DC$1,DB_LOAD!$AQ:$AQ,'Refi-Annual Review'!DD$2)/IF($A$23="No Data Found",1,$A$23)</f>
        <v>#NAME?</v>
      </c>
      <c r="DE16" s="494" t="e">
        <f ca="1">SUMIFS(DB_LOAD!$AU:$AU,DB_LOAD!$AW:$AW,'Refi-Annual Review'!$DB$1,DB_LOAD!$AR:$AR,'Refi-Annual Review'!$CF16,DB_LOAD!$AP:$AP,'Refi-Annual Review'!$DC$1,DB_LOAD!$AQ:$AQ,'Refi-Annual Review'!DE$2)/IF($A$23="No Data Found",1,$A$23)</f>
        <v>#NAME?</v>
      </c>
      <c r="DF16" s="494" t="e">
        <f ca="1">SUMIFS(DB_LOAD!$AU:$AU,DB_LOAD!$AW:$AW,'Refi-Annual Review'!$DB$1,DB_LOAD!$AR:$AR,'Refi-Annual Review'!$CF16,DB_LOAD!$AP:$AP,'Refi-Annual Review'!$DC$1,DB_LOAD!$AQ:$AQ,'Refi-Annual Review'!DF$2)/IF($A$23="No Data Found",1,$A$23)</f>
        <v>#NAME?</v>
      </c>
      <c r="DG16" s="494" t="e">
        <f ca="1">SUMIFS(DB_LOAD!$AU:$AU,DB_LOAD!$AW:$AW,'Refi-Annual Review'!$DB$1,DB_LOAD!$AR:$AR,'Refi-Annual Review'!$CF16,DB_LOAD!$AP:$AP,'Refi-Annual Review'!$DC$1,DB_LOAD!$AQ:$AQ,'Refi-Annual Review'!DG$2)/IF($A$23="No Data Found",1,$A$23)</f>
        <v>#NAME?</v>
      </c>
      <c r="DH16" s="494" t="e">
        <f t="shared" ca="1" si="10"/>
        <v>#NAME?</v>
      </c>
      <c r="DJ16" s="494">
        <f ca="1">SUMIFS(DB_LOAD!$AV:$AV,DB_LOAD!$AW:$AW,'Refi-Annual Review'!$DK$1,DB_LOAD!$AR:$AR,'Refi-Annual Review'!$CF16,DB_LOAD!$AP:$AP,'Refi-Annual Review'!$DL$1,DB_LOAD!$AQ:$AQ,'Refi-Annual Review'!DJ$2)</f>
        <v>0</v>
      </c>
      <c r="DK16" s="494">
        <f ca="1">SUMIFS(DB_LOAD!$AV:$AV,DB_LOAD!$AW:$AW,'Refi-Annual Review'!$DK$1,DB_LOAD!$AR:$AR,'Refi-Annual Review'!$CF16,DB_LOAD!$AP:$AP,'Refi-Annual Review'!$DL$1,DB_LOAD!$AQ:$AQ,'Refi-Annual Review'!DK$2)</f>
        <v>0</v>
      </c>
      <c r="DL16" s="494">
        <f ca="1">SUMIFS(DB_LOAD!$AV:$AV,DB_LOAD!$AW:$AW,'Refi-Annual Review'!$DK$1,DB_LOAD!$AR:$AR,'Refi-Annual Review'!$CF16,DB_LOAD!$AP:$AP,'Refi-Annual Review'!$DL$1,DB_LOAD!$AQ:$AQ,'Refi-Annual Review'!DL$2)</f>
        <v>0</v>
      </c>
      <c r="DM16" s="494">
        <f ca="1">SUMIFS(DB_LOAD!$AV:$AV,DB_LOAD!$AW:$AW,'Refi-Annual Review'!$DK$1,DB_LOAD!$AR:$AR,'Refi-Annual Review'!$CF16,DB_LOAD!$AP:$AP,'Refi-Annual Review'!$DL$1,DB_LOAD!$AQ:$AQ,'Refi-Annual Review'!DM$2)</f>
        <v>0</v>
      </c>
      <c r="DN16" s="494">
        <f ca="1">SUMIFS(DB_LOAD!$AV:$AV,DB_LOAD!$AW:$AW,'Refi-Annual Review'!$DK$1,DB_LOAD!$AR:$AR,'Refi-Annual Review'!$CF16,DB_LOAD!$AP:$AP,'Refi-Annual Review'!$DL$1,DB_LOAD!$AQ:$AQ,'Refi-Annual Review'!DN$2)</f>
        <v>0</v>
      </c>
      <c r="DO16" s="494">
        <f ca="1">SUMIFS(DB_LOAD!$AV:$AV,DB_LOAD!$AW:$AW,'Refi-Annual Review'!$DK$1,DB_LOAD!$AR:$AR,'Refi-Annual Review'!$CF16,DB_LOAD!$AP:$AP,'Refi-Annual Review'!$DL$1,DB_LOAD!$AQ:$AQ,'Refi-Annual Review'!DO$2)</f>
        <v>0</v>
      </c>
      <c r="DP16" s="494">
        <f ca="1">SUMIFS(DB_LOAD!$AV:$AV,DB_LOAD!$AW:$AW,'Refi-Annual Review'!$DK$1,DB_LOAD!$AR:$AR,'Refi-Annual Review'!$CF16,DB_LOAD!$AP:$AP,'Refi-Annual Review'!$DL$1,DB_LOAD!$AQ:$AQ,'Refi-Annual Review'!DP$2)</f>
        <v>0</v>
      </c>
      <c r="DQ16" s="494" t="str">
        <f t="shared" ca="1" si="11"/>
        <v/>
      </c>
      <c r="DS16" s="494">
        <f>SUMIFS(DB_LOAD!$AV:$AV,DB_LOAD!$AW:$AW,'Refi-Annual Review'!$DT$1,DB_LOAD!$AR:$AR,'Refi-Annual Review'!$CF16,DB_LOAD!$AP:$AP,'Refi-Annual Review'!$DU$1,DB_LOAD!$AQ:$AQ,'Refi-Annual Review'!DS$2)</f>
        <v>0</v>
      </c>
      <c r="DT16" s="494">
        <f>SUMIFS(DB_LOAD!$AV:$AV,DB_LOAD!$AW:$AW,'Refi-Annual Review'!$DT$1,DB_LOAD!$AR:$AR,'Refi-Annual Review'!$CF16,DB_LOAD!$AP:$AP,'Refi-Annual Review'!$DU$1,DB_LOAD!$AQ:$AQ,'Refi-Annual Review'!DT$2)</f>
        <v>0</v>
      </c>
      <c r="DU16" s="494">
        <f>SUMIFS(DB_LOAD!$AV:$AV,DB_LOAD!$AW:$AW,'Refi-Annual Review'!$DT$1,DB_LOAD!$AR:$AR,'Refi-Annual Review'!$CF16,DB_LOAD!$AP:$AP,'Refi-Annual Review'!$DU$1,DB_LOAD!$AQ:$AQ,'Refi-Annual Review'!DU$2)</f>
        <v>0</v>
      </c>
      <c r="DV16" s="494">
        <f>SUMIFS(DB_LOAD!$AV:$AV,DB_LOAD!$AW:$AW,'Refi-Annual Review'!$DT$1,DB_LOAD!$AR:$AR,'Refi-Annual Review'!$CF16,DB_LOAD!$AP:$AP,'Refi-Annual Review'!$DU$1,DB_LOAD!$AQ:$AQ,'Refi-Annual Review'!DV$2)</f>
        <v>0</v>
      </c>
      <c r="DW16" s="494">
        <f>SUMIFS(DB_LOAD!$AV:$AV,DB_LOAD!$AW:$AW,'Refi-Annual Review'!$DT$1,DB_LOAD!$AR:$AR,'Refi-Annual Review'!$CF16,DB_LOAD!$AP:$AP,'Refi-Annual Review'!$DU$1,DB_LOAD!$AQ:$AQ,'Refi-Annual Review'!DW$2)</f>
        <v>0</v>
      </c>
      <c r="DX16" s="494">
        <f>SUMIFS(DB_LOAD!$AV:$AV,DB_LOAD!$AW:$AW,'Refi-Annual Review'!$DT$1,DB_LOAD!$AR:$AR,'Refi-Annual Review'!$CF16,DB_LOAD!$AP:$AP,'Refi-Annual Review'!$DU$1,DB_LOAD!$AQ:$AQ,'Refi-Annual Review'!DX$2)</f>
        <v>0</v>
      </c>
      <c r="DY16" s="494">
        <f>SUMIFS(DB_LOAD!$AV:$AV,DB_LOAD!$AW:$AW,'Refi-Annual Review'!$DT$1,DB_LOAD!$AR:$AR,'Refi-Annual Review'!$CF16,DB_LOAD!$AP:$AP,'Refi-Annual Review'!$DU$1,DB_LOAD!$AQ:$AQ,'Refi-Annual Review'!DY$2)</f>
        <v>0</v>
      </c>
      <c r="DZ16" s="494" t="str">
        <f t="shared" si="12"/>
        <v/>
      </c>
    </row>
    <row r="17" spans="1:130" ht="15">
      <c r="A17" s="488" t="s">
        <v>412</v>
      </c>
      <c r="C17" s="485">
        <f t="shared" si="25"/>
        <v>18</v>
      </c>
      <c r="D17" s="493" t="s">
        <v>17</v>
      </c>
      <c r="E17" s="568"/>
      <c r="F17" s="496" t="str">
        <f ca="1">IFERROR(F142/AJ182,"N/A")</f>
        <v>N/A</v>
      </c>
      <c r="G17" s="496" t="str">
        <f t="shared" ref="G17:J17" ca="1" si="38">IFERROR(G142/AK182,"N/A")</f>
        <v>N/A</v>
      </c>
      <c r="H17" s="496" t="str">
        <f t="shared" ca="1" si="38"/>
        <v>N/A</v>
      </c>
      <c r="I17" s="496" t="str">
        <f t="shared" ca="1" si="38"/>
        <v>N/A</v>
      </c>
      <c r="J17" s="496" t="str">
        <f t="shared" ca="1" si="38"/>
        <v>N/A</v>
      </c>
      <c r="K17" s="496"/>
      <c r="L17" s="496" t="str">
        <f ca="1">IFERROR(L142/AK182,"N/A")</f>
        <v>N/A</v>
      </c>
      <c r="M17" s="496" t="str">
        <f t="shared" ref="M17:N17" ca="1" si="39">IFERROR(M142/AL182,"N/A")</f>
        <v>N/A</v>
      </c>
      <c r="N17" s="496" t="str">
        <f t="shared" ca="1" si="39"/>
        <v>N/A</v>
      </c>
      <c r="O17" s="496" t="str">
        <f ca="1">IFERROR(O142/AVERAGE(O113,IF(OR(J113="",J113=0),N113,J113)),"N/A")</f>
        <v>N/A</v>
      </c>
      <c r="P17" s="496"/>
      <c r="Q17" s="496" t="e">
        <f ca="1">(Q142*(12/Q1)/Q186)*(Q4/Q3)</f>
        <v>#NAME?</v>
      </c>
      <c r="R17" s="896" t="e">
        <f ca="1">R142/Q182</f>
        <v>#NAME?</v>
      </c>
      <c r="S17" s="496"/>
      <c r="T17" s="496"/>
      <c r="U17" s="496"/>
      <c r="AJ17" s="493" t="s">
        <v>17</v>
      </c>
      <c r="AK17" s="496" t="e">
        <f t="shared" ca="1" si="27"/>
        <v>#N/A</v>
      </c>
      <c r="AL17" s="496" t="e">
        <f t="shared" ca="1" si="27"/>
        <v>#N/A</v>
      </c>
      <c r="AM17" s="496" t="e">
        <f t="shared" ca="1" si="23"/>
        <v>#N/A</v>
      </c>
      <c r="AN17" s="496" t="e">
        <f t="shared" ca="1" si="23"/>
        <v>#N/A</v>
      </c>
      <c r="AO17" s="496" t="e">
        <f t="shared" ca="1" si="19"/>
        <v>#NAME?</v>
      </c>
      <c r="AP17" s="496" t="e">
        <f t="shared" ca="1" si="19"/>
        <v>#NAME?</v>
      </c>
      <c r="BD17" s="485" t="s">
        <v>140</v>
      </c>
      <c r="BE17" s="485" t="e">
        <f t="shared" ca="1" si="31"/>
        <v>#NAME?</v>
      </c>
      <c r="BF17" s="651" t="str">
        <f t="shared" si="29"/>
        <v/>
      </c>
      <c r="BG17" s="669" t="e">
        <f t="shared" ca="1" si="30"/>
        <v>#NAME?</v>
      </c>
      <c r="BH17" s="669" t="e">
        <f t="shared" ca="1" si="30"/>
        <v>#NAME?</v>
      </c>
      <c r="BI17" s="669" t="e">
        <f t="shared" ca="1" si="30"/>
        <v>#NAME?</v>
      </c>
      <c r="BJ17" s="669" t="e">
        <f t="shared" ca="1" si="30"/>
        <v>#NAME?</v>
      </c>
      <c r="BK17" s="669" t="e">
        <f t="shared" ca="1" si="30"/>
        <v>#NAME?</v>
      </c>
      <c r="BL17" s="669" t="e">
        <f t="shared" ca="1" si="30"/>
        <v>#NAME?</v>
      </c>
      <c r="BM17" s="669" t="e">
        <f t="shared" ca="1" si="30"/>
        <v>#NAME?</v>
      </c>
      <c r="BN17" s="670" t="e">
        <f t="shared" ca="1" si="32"/>
        <v>#NAME?</v>
      </c>
      <c r="BP17" s="485" t="e">
        <f ca="1">IF(OR(DB_LOAD!AW16="USD",DB_LOAD!AW16='Refi-Annual Review'!$A$3,ISBLANK(DB_LOAD!AW16)),0,1)</f>
        <v>#NAME?</v>
      </c>
      <c r="BQ17" t="str">
        <f>(IF(ISBLANK(DB_LOAD!AR16),"",DB_LOAD!AR16))</f>
        <v/>
      </c>
      <c r="BR17" t="str">
        <f t="shared" si="3"/>
        <v/>
      </c>
      <c r="BS17" t="str">
        <f t="shared" si="7"/>
        <v/>
      </c>
      <c r="BT17" t="str">
        <f t="shared" si="13"/>
        <v>5500000250000016064001572600</v>
      </c>
      <c r="BU17" t="str">
        <f t="shared" si="4"/>
        <v/>
      </c>
      <c r="BV17" t="str">
        <f t="shared" si="14"/>
        <v>7777</v>
      </c>
      <c r="BW17" t="str">
        <f t="shared" si="5"/>
        <v/>
      </c>
      <c r="BX17" t="str">
        <f t="shared" si="15"/>
        <v>1111</v>
      </c>
      <c r="BY17"/>
      <c r="BZ17"/>
      <c r="CA17"/>
      <c r="CB17" s="683" t="str">
        <f t="shared" si="16"/>
        <v/>
      </c>
      <c r="CC17" s="683" t="str">
        <f t="shared" si="17"/>
        <v/>
      </c>
      <c r="CD17" s="683" t="str">
        <f>IF(CC17="","",VALUE(MID($BZ$5,1+SUM($CC$3:CC16),CC17)))</f>
        <v/>
      </c>
      <c r="CE17">
        <f t="shared" si="18"/>
        <v>15</v>
      </c>
      <c r="CF17" t="str">
        <f>IF(CD17="","",MID($BZ$4,1+SUM($CD$3:CD16),CD17))</f>
        <v/>
      </c>
      <c r="CI17" s="494" t="e">
        <f ca="1">SUMIFS(DB_LOAD!$AU:$AU,DB_LOAD!$AW:$AW,'Refi-Annual Review'!$CJ$1,DB_LOAD!$AR:$AR,'Refi-Annual Review'!$CF17,DB_LOAD!$AP:$AP,'Refi-Annual Review'!$CK$1,DB_LOAD!$AQ:$AQ,'Refi-Annual Review'!CI$2)/DB_LOAD!$K$2</f>
        <v>#DIV/0!</v>
      </c>
      <c r="CJ17" s="494" t="e">
        <f ca="1">SUMIFS(DB_LOAD!$AU:$AU,DB_LOAD!$AW:$AW,'Refi-Annual Review'!$CJ$1,DB_LOAD!$AR:$AR,'Refi-Annual Review'!$CF17,DB_LOAD!$AP:$AP,'Refi-Annual Review'!$CK$1,DB_LOAD!$AQ:$AQ,'Refi-Annual Review'!CJ$2)/DB_LOAD!$K$2</f>
        <v>#DIV/0!</v>
      </c>
      <c r="CK17" s="494" t="e">
        <f ca="1">SUMIFS(DB_LOAD!$AU:$AU,DB_LOAD!$AW:$AW,'Refi-Annual Review'!$CJ$1,DB_LOAD!$AR:$AR,'Refi-Annual Review'!$CF17,DB_LOAD!$AP:$AP,'Refi-Annual Review'!$CK$1,DB_LOAD!$AQ:$AQ,'Refi-Annual Review'!CK$2)/DB_LOAD!$K$2</f>
        <v>#DIV/0!</v>
      </c>
      <c r="CL17" s="494" t="e">
        <f ca="1">SUMIFS(DB_LOAD!$AU:$AU,DB_LOAD!$AW:$AW,'Refi-Annual Review'!$CJ$1,DB_LOAD!$AR:$AR,'Refi-Annual Review'!$CF17,DB_LOAD!$AP:$AP,'Refi-Annual Review'!$CK$1,DB_LOAD!$AQ:$AQ,'Refi-Annual Review'!CL$2)/DB_LOAD!$K$2</f>
        <v>#DIV/0!</v>
      </c>
      <c r="CM17" s="494" t="e">
        <f ca="1">SUMIFS(DB_LOAD!$AU:$AU,DB_LOAD!$AW:$AW,'Refi-Annual Review'!$CJ$1,DB_LOAD!$AR:$AR,'Refi-Annual Review'!$CF17,DB_LOAD!$AP:$AP,'Refi-Annual Review'!$CK$1,DB_LOAD!$AQ:$AQ,'Refi-Annual Review'!CM$2)/DB_LOAD!$K$2</f>
        <v>#DIV/0!</v>
      </c>
      <c r="CN17" s="494" t="e">
        <f ca="1">SUMIFS(DB_LOAD!$AU:$AU,DB_LOAD!$AW:$AW,'Refi-Annual Review'!$CJ$1,DB_LOAD!$AR:$AR,'Refi-Annual Review'!$CF17,DB_LOAD!$AP:$AP,'Refi-Annual Review'!$CK$1,DB_LOAD!$AQ:$AQ,'Refi-Annual Review'!CN$2)/DB_LOAD!$K$2</f>
        <v>#DIV/0!</v>
      </c>
      <c r="CO17" s="494" t="e">
        <f ca="1">SUMIFS(DB_LOAD!$AU:$AU,DB_LOAD!$AW:$AW,'Refi-Annual Review'!$CJ$1,DB_LOAD!$AR:$AR,'Refi-Annual Review'!$CF17,DB_LOAD!$AP:$AP,'Refi-Annual Review'!$CK$1,DB_LOAD!$AQ:$AQ,'Refi-Annual Review'!CO$2)/DB_LOAD!$K$2</f>
        <v>#DIV/0!</v>
      </c>
      <c r="CP17" s="494" t="e">
        <f t="shared" ca="1" si="8"/>
        <v>#DIV/0!</v>
      </c>
      <c r="CR17" s="494">
        <f ca="1">SUMIFS(DB_LOAD!$AV:$AV,DB_LOAD!$AW:$AW,'Refi-Annual Review'!$CS$1,DB_LOAD!$AR:$AR,'Refi-Annual Review'!$CF17,DB_LOAD!$AP:$AP,'Refi-Annual Review'!$CT$1,DB_LOAD!$AQ:$AQ,'Refi-Annual Review'!CR$2)</f>
        <v>0</v>
      </c>
      <c r="CS17" s="494">
        <f ca="1">SUMIFS(DB_LOAD!$AV:$AV,DB_LOAD!$AW:$AW,'Refi-Annual Review'!$CS$1,DB_LOAD!$AR:$AR,'Refi-Annual Review'!$CF17,DB_LOAD!$AP:$AP,'Refi-Annual Review'!$CT$1,DB_LOAD!$AQ:$AQ,'Refi-Annual Review'!CS$2)</f>
        <v>0</v>
      </c>
      <c r="CT17" s="494">
        <f ca="1">SUMIFS(DB_LOAD!$AV:$AV,DB_LOAD!$AW:$AW,'Refi-Annual Review'!$CS$1,DB_LOAD!$AR:$AR,'Refi-Annual Review'!$CF17,DB_LOAD!$AP:$AP,'Refi-Annual Review'!$CT$1,DB_LOAD!$AQ:$AQ,'Refi-Annual Review'!CT$2)</f>
        <v>0</v>
      </c>
      <c r="CU17" s="494">
        <f ca="1">SUMIFS(DB_LOAD!$AV:$AV,DB_LOAD!$AW:$AW,'Refi-Annual Review'!$CS$1,DB_LOAD!$AR:$AR,'Refi-Annual Review'!$CF17,DB_LOAD!$AP:$AP,'Refi-Annual Review'!$CT$1,DB_LOAD!$AQ:$AQ,'Refi-Annual Review'!CU$2)</f>
        <v>0</v>
      </c>
      <c r="CV17" s="494">
        <f ca="1">SUMIFS(DB_LOAD!$AV:$AV,DB_LOAD!$AW:$AW,'Refi-Annual Review'!$CS$1,DB_LOAD!$AR:$AR,'Refi-Annual Review'!$CF17,DB_LOAD!$AP:$AP,'Refi-Annual Review'!$CT$1,DB_LOAD!$AQ:$AQ,'Refi-Annual Review'!CV$2)</f>
        <v>0</v>
      </c>
      <c r="CW17" s="494">
        <f ca="1">SUMIFS(DB_LOAD!$AV:$AV,DB_LOAD!$AW:$AW,'Refi-Annual Review'!$CS$1,DB_LOAD!$AR:$AR,'Refi-Annual Review'!$CF17,DB_LOAD!$AP:$AP,'Refi-Annual Review'!$CT$1,DB_LOAD!$AQ:$AQ,'Refi-Annual Review'!CW$2)</f>
        <v>0</v>
      </c>
      <c r="CX17" s="494">
        <f ca="1">SUMIFS(DB_LOAD!$AV:$AV,DB_LOAD!$AW:$AW,'Refi-Annual Review'!$CS$1,DB_LOAD!$AR:$AR,'Refi-Annual Review'!$CF17,DB_LOAD!$AP:$AP,'Refi-Annual Review'!$CT$1,DB_LOAD!$AQ:$AQ,'Refi-Annual Review'!CX$2)</f>
        <v>0</v>
      </c>
      <c r="CY17" s="494" t="str">
        <f t="shared" ca="1" si="9"/>
        <v/>
      </c>
      <c r="DA17" s="494" t="e">
        <f ca="1">SUMIFS(DB_LOAD!$AU:$AU,DB_LOAD!$AW:$AW,'Refi-Annual Review'!$DB$1,DB_LOAD!$AR:$AR,'Refi-Annual Review'!$CF17,DB_LOAD!$AP:$AP,'Refi-Annual Review'!$DC$1,DB_LOAD!$AQ:$AQ,'Refi-Annual Review'!DA$2)/IF($A$23="No Data Found",1,$A$23)</f>
        <v>#NAME?</v>
      </c>
      <c r="DB17" s="494" t="e">
        <f ca="1">SUMIFS(DB_LOAD!$AU:$AU,DB_LOAD!$AW:$AW,'Refi-Annual Review'!$DB$1,DB_LOAD!$AR:$AR,'Refi-Annual Review'!$CF17,DB_LOAD!$AP:$AP,'Refi-Annual Review'!$DC$1,DB_LOAD!$AQ:$AQ,'Refi-Annual Review'!DB$2)/IF($A$23="No Data Found",1,$A$23)</f>
        <v>#NAME?</v>
      </c>
      <c r="DC17" s="494" t="e">
        <f ca="1">SUMIFS(DB_LOAD!$AU:$AU,DB_LOAD!$AW:$AW,'Refi-Annual Review'!$DB$1,DB_LOAD!$AR:$AR,'Refi-Annual Review'!$CF17,DB_LOAD!$AP:$AP,'Refi-Annual Review'!$DC$1,DB_LOAD!$AQ:$AQ,'Refi-Annual Review'!DC$2)/IF($A$23="No Data Found",1,$A$23)</f>
        <v>#NAME?</v>
      </c>
      <c r="DD17" s="494" t="e">
        <f ca="1">SUMIFS(DB_LOAD!$AU:$AU,DB_LOAD!$AW:$AW,'Refi-Annual Review'!$DB$1,DB_LOAD!$AR:$AR,'Refi-Annual Review'!$CF17,DB_LOAD!$AP:$AP,'Refi-Annual Review'!$DC$1,DB_LOAD!$AQ:$AQ,'Refi-Annual Review'!DD$2)/IF($A$23="No Data Found",1,$A$23)</f>
        <v>#NAME?</v>
      </c>
      <c r="DE17" s="494" t="e">
        <f ca="1">SUMIFS(DB_LOAD!$AU:$AU,DB_LOAD!$AW:$AW,'Refi-Annual Review'!$DB$1,DB_LOAD!$AR:$AR,'Refi-Annual Review'!$CF17,DB_LOAD!$AP:$AP,'Refi-Annual Review'!$DC$1,DB_LOAD!$AQ:$AQ,'Refi-Annual Review'!DE$2)/IF($A$23="No Data Found",1,$A$23)</f>
        <v>#NAME?</v>
      </c>
      <c r="DF17" s="494" t="e">
        <f ca="1">SUMIFS(DB_LOAD!$AU:$AU,DB_LOAD!$AW:$AW,'Refi-Annual Review'!$DB$1,DB_LOAD!$AR:$AR,'Refi-Annual Review'!$CF17,DB_LOAD!$AP:$AP,'Refi-Annual Review'!$DC$1,DB_LOAD!$AQ:$AQ,'Refi-Annual Review'!DF$2)/IF($A$23="No Data Found",1,$A$23)</f>
        <v>#NAME?</v>
      </c>
      <c r="DG17" s="494" t="e">
        <f ca="1">SUMIFS(DB_LOAD!$AU:$AU,DB_LOAD!$AW:$AW,'Refi-Annual Review'!$DB$1,DB_LOAD!$AR:$AR,'Refi-Annual Review'!$CF17,DB_LOAD!$AP:$AP,'Refi-Annual Review'!$DC$1,DB_LOAD!$AQ:$AQ,'Refi-Annual Review'!DG$2)/IF($A$23="No Data Found",1,$A$23)</f>
        <v>#NAME?</v>
      </c>
      <c r="DH17" s="494" t="e">
        <f t="shared" ca="1" si="10"/>
        <v>#NAME?</v>
      </c>
      <c r="DJ17" s="494">
        <f ca="1">SUMIFS(DB_LOAD!$AV:$AV,DB_LOAD!$AW:$AW,'Refi-Annual Review'!$DK$1,DB_LOAD!$AR:$AR,'Refi-Annual Review'!$CF17,DB_LOAD!$AP:$AP,'Refi-Annual Review'!$DL$1,DB_LOAD!$AQ:$AQ,'Refi-Annual Review'!DJ$2)</f>
        <v>0</v>
      </c>
      <c r="DK17" s="494">
        <f ca="1">SUMIFS(DB_LOAD!$AV:$AV,DB_LOAD!$AW:$AW,'Refi-Annual Review'!$DK$1,DB_LOAD!$AR:$AR,'Refi-Annual Review'!$CF17,DB_LOAD!$AP:$AP,'Refi-Annual Review'!$DL$1,DB_LOAD!$AQ:$AQ,'Refi-Annual Review'!DK$2)</f>
        <v>0</v>
      </c>
      <c r="DL17" s="494">
        <f ca="1">SUMIFS(DB_LOAD!$AV:$AV,DB_LOAD!$AW:$AW,'Refi-Annual Review'!$DK$1,DB_LOAD!$AR:$AR,'Refi-Annual Review'!$CF17,DB_LOAD!$AP:$AP,'Refi-Annual Review'!$DL$1,DB_LOAD!$AQ:$AQ,'Refi-Annual Review'!DL$2)</f>
        <v>0</v>
      </c>
      <c r="DM17" s="494">
        <f ca="1">SUMIFS(DB_LOAD!$AV:$AV,DB_LOAD!$AW:$AW,'Refi-Annual Review'!$DK$1,DB_LOAD!$AR:$AR,'Refi-Annual Review'!$CF17,DB_LOAD!$AP:$AP,'Refi-Annual Review'!$DL$1,DB_LOAD!$AQ:$AQ,'Refi-Annual Review'!DM$2)</f>
        <v>0</v>
      </c>
      <c r="DN17" s="494">
        <f ca="1">SUMIFS(DB_LOAD!$AV:$AV,DB_LOAD!$AW:$AW,'Refi-Annual Review'!$DK$1,DB_LOAD!$AR:$AR,'Refi-Annual Review'!$CF17,DB_LOAD!$AP:$AP,'Refi-Annual Review'!$DL$1,DB_LOAD!$AQ:$AQ,'Refi-Annual Review'!DN$2)</f>
        <v>0</v>
      </c>
      <c r="DO17" s="494">
        <f ca="1">SUMIFS(DB_LOAD!$AV:$AV,DB_LOAD!$AW:$AW,'Refi-Annual Review'!$DK$1,DB_LOAD!$AR:$AR,'Refi-Annual Review'!$CF17,DB_LOAD!$AP:$AP,'Refi-Annual Review'!$DL$1,DB_LOAD!$AQ:$AQ,'Refi-Annual Review'!DO$2)</f>
        <v>0</v>
      </c>
      <c r="DP17" s="494">
        <f ca="1">SUMIFS(DB_LOAD!$AV:$AV,DB_LOAD!$AW:$AW,'Refi-Annual Review'!$DK$1,DB_LOAD!$AR:$AR,'Refi-Annual Review'!$CF17,DB_LOAD!$AP:$AP,'Refi-Annual Review'!$DL$1,DB_LOAD!$AQ:$AQ,'Refi-Annual Review'!DP$2)</f>
        <v>0</v>
      </c>
      <c r="DQ17" s="494" t="str">
        <f t="shared" ca="1" si="11"/>
        <v/>
      </c>
      <c r="DS17" s="494">
        <f>SUMIFS(DB_LOAD!$AV:$AV,DB_LOAD!$AW:$AW,'Refi-Annual Review'!$DT$1,DB_LOAD!$AR:$AR,'Refi-Annual Review'!$CF17,DB_LOAD!$AP:$AP,'Refi-Annual Review'!$DU$1,DB_LOAD!$AQ:$AQ,'Refi-Annual Review'!DS$2)</f>
        <v>0</v>
      </c>
      <c r="DT17" s="494">
        <f>SUMIFS(DB_LOAD!$AV:$AV,DB_LOAD!$AW:$AW,'Refi-Annual Review'!$DT$1,DB_LOAD!$AR:$AR,'Refi-Annual Review'!$CF17,DB_LOAD!$AP:$AP,'Refi-Annual Review'!$DU$1,DB_LOAD!$AQ:$AQ,'Refi-Annual Review'!DT$2)</f>
        <v>0</v>
      </c>
      <c r="DU17" s="494">
        <f>SUMIFS(DB_LOAD!$AV:$AV,DB_LOAD!$AW:$AW,'Refi-Annual Review'!$DT$1,DB_LOAD!$AR:$AR,'Refi-Annual Review'!$CF17,DB_LOAD!$AP:$AP,'Refi-Annual Review'!$DU$1,DB_LOAD!$AQ:$AQ,'Refi-Annual Review'!DU$2)</f>
        <v>0</v>
      </c>
      <c r="DV17" s="494">
        <f>SUMIFS(DB_LOAD!$AV:$AV,DB_LOAD!$AW:$AW,'Refi-Annual Review'!$DT$1,DB_LOAD!$AR:$AR,'Refi-Annual Review'!$CF17,DB_LOAD!$AP:$AP,'Refi-Annual Review'!$DU$1,DB_LOAD!$AQ:$AQ,'Refi-Annual Review'!DV$2)</f>
        <v>0</v>
      </c>
      <c r="DW17" s="494">
        <f>SUMIFS(DB_LOAD!$AV:$AV,DB_LOAD!$AW:$AW,'Refi-Annual Review'!$DT$1,DB_LOAD!$AR:$AR,'Refi-Annual Review'!$CF17,DB_LOAD!$AP:$AP,'Refi-Annual Review'!$DU$1,DB_LOAD!$AQ:$AQ,'Refi-Annual Review'!DW$2)</f>
        <v>0</v>
      </c>
      <c r="DX17" s="494">
        <f>SUMIFS(DB_LOAD!$AV:$AV,DB_LOAD!$AW:$AW,'Refi-Annual Review'!$DT$1,DB_LOAD!$AR:$AR,'Refi-Annual Review'!$CF17,DB_LOAD!$AP:$AP,'Refi-Annual Review'!$DU$1,DB_LOAD!$AQ:$AQ,'Refi-Annual Review'!DX$2)</f>
        <v>0</v>
      </c>
      <c r="DY17" s="494">
        <f>SUMIFS(DB_LOAD!$AV:$AV,DB_LOAD!$AW:$AW,'Refi-Annual Review'!$DT$1,DB_LOAD!$AR:$AR,'Refi-Annual Review'!$CF17,DB_LOAD!$AP:$AP,'Refi-Annual Review'!$DU$1,DB_LOAD!$AQ:$AQ,'Refi-Annual Review'!DY$2)</f>
        <v>0</v>
      </c>
      <c r="DZ17" s="494" t="str">
        <f t="shared" si="12"/>
        <v/>
      </c>
    </row>
    <row r="18" spans="1:130" ht="15">
      <c r="A18" s="485" t="s">
        <v>45</v>
      </c>
      <c r="C18" s="485">
        <f t="shared" si="25"/>
        <v>19</v>
      </c>
      <c r="D18" s="493"/>
      <c r="E18" s="568"/>
      <c r="AJ18" s="828"/>
      <c r="AK18" s="496"/>
      <c r="AL18" s="496"/>
      <c r="AM18" s="496"/>
      <c r="AN18" s="496"/>
      <c r="AO18" s="496"/>
      <c r="BD18" s="485" t="s">
        <v>140</v>
      </c>
      <c r="BE18" s="485" t="e">
        <f t="shared" ca="1" si="31"/>
        <v>#NAME?</v>
      </c>
      <c r="BF18" s="651" t="str">
        <f t="shared" si="29"/>
        <v/>
      </c>
      <c r="BG18" s="669" t="e">
        <f t="shared" ca="1" si="30"/>
        <v>#NAME?</v>
      </c>
      <c r="BH18" s="669" t="e">
        <f t="shared" ca="1" si="30"/>
        <v>#NAME?</v>
      </c>
      <c r="BI18" s="669" t="e">
        <f t="shared" ca="1" si="30"/>
        <v>#NAME?</v>
      </c>
      <c r="BJ18" s="669" t="e">
        <f t="shared" ca="1" si="30"/>
        <v>#NAME?</v>
      </c>
      <c r="BK18" s="669" t="e">
        <f t="shared" ca="1" si="30"/>
        <v>#NAME?</v>
      </c>
      <c r="BL18" s="669" t="e">
        <f t="shared" ca="1" si="30"/>
        <v>#NAME?</v>
      </c>
      <c r="BM18" s="669" t="e">
        <f t="shared" ca="1" si="30"/>
        <v>#NAME?</v>
      </c>
      <c r="BN18" s="670" t="e">
        <f t="shared" ca="1" si="32"/>
        <v>#NAME?</v>
      </c>
      <c r="BP18" s="485" t="e">
        <f ca="1">IF(OR(DB_LOAD!AW17="USD",DB_LOAD!AW17='Refi-Annual Review'!$A$3,ISBLANK(DB_LOAD!AW17)),0,1)</f>
        <v>#NAME?</v>
      </c>
      <c r="BQ18" t="str">
        <f>(IF(ISBLANK(DB_LOAD!AR17),"",DB_LOAD!AR17))</f>
        <v/>
      </c>
      <c r="BR18" t="str">
        <f t="shared" si="3"/>
        <v/>
      </c>
      <c r="BS18" t="str">
        <f t="shared" si="7"/>
        <v/>
      </c>
      <c r="BT18" t="str">
        <f t="shared" si="13"/>
        <v>5500000250000016064001572600</v>
      </c>
      <c r="BU18" t="str">
        <f t="shared" si="4"/>
        <v/>
      </c>
      <c r="BV18" t="str">
        <f t="shared" si="14"/>
        <v>7777</v>
      </c>
      <c r="BW18" t="str">
        <f t="shared" si="5"/>
        <v/>
      </c>
      <c r="BX18" t="str">
        <f t="shared" si="15"/>
        <v>1111</v>
      </c>
      <c r="BY18"/>
      <c r="BZ18"/>
      <c r="CA18"/>
      <c r="CB18" s="683" t="str">
        <f t="shared" si="16"/>
        <v/>
      </c>
      <c r="CC18" s="683" t="str">
        <f t="shared" si="17"/>
        <v/>
      </c>
      <c r="CD18" s="683" t="str">
        <f>IF(CC18="","",VALUE(MID($BZ$5,1+SUM($CC$3:CC17),CC18)))</f>
        <v/>
      </c>
      <c r="CE18">
        <f t="shared" si="18"/>
        <v>16</v>
      </c>
      <c r="CF18" t="str">
        <f>IF(CD18="","",MID($BZ$4,1+SUM($CD$3:CD17),CD18))</f>
        <v/>
      </c>
      <c r="CI18" s="494" t="e">
        <f ca="1">SUMIFS(DB_LOAD!$AU:$AU,DB_LOAD!$AW:$AW,'Refi-Annual Review'!$CJ$1,DB_LOAD!$AR:$AR,'Refi-Annual Review'!$CF18,DB_LOAD!$AP:$AP,'Refi-Annual Review'!$CK$1,DB_LOAD!$AQ:$AQ,'Refi-Annual Review'!CI$2)/DB_LOAD!$K$2</f>
        <v>#DIV/0!</v>
      </c>
      <c r="CJ18" s="494" t="e">
        <f ca="1">SUMIFS(DB_LOAD!$AU:$AU,DB_LOAD!$AW:$AW,'Refi-Annual Review'!$CJ$1,DB_LOAD!$AR:$AR,'Refi-Annual Review'!$CF18,DB_LOAD!$AP:$AP,'Refi-Annual Review'!$CK$1,DB_LOAD!$AQ:$AQ,'Refi-Annual Review'!CJ$2)/DB_LOAD!$K$2</f>
        <v>#DIV/0!</v>
      </c>
      <c r="CK18" s="494" t="e">
        <f ca="1">SUMIFS(DB_LOAD!$AU:$AU,DB_LOAD!$AW:$AW,'Refi-Annual Review'!$CJ$1,DB_LOAD!$AR:$AR,'Refi-Annual Review'!$CF18,DB_LOAD!$AP:$AP,'Refi-Annual Review'!$CK$1,DB_LOAD!$AQ:$AQ,'Refi-Annual Review'!CK$2)/DB_LOAD!$K$2</f>
        <v>#DIV/0!</v>
      </c>
      <c r="CL18" s="494" t="e">
        <f ca="1">SUMIFS(DB_LOAD!$AU:$AU,DB_LOAD!$AW:$AW,'Refi-Annual Review'!$CJ$1,DB_LOAD!$AR:$AR,'Refi-Annual Review'!$CF18,DB_LOAD!$AP:$AP,'Refi-Annual Review'!$CK$1,DB_LOAD!$AQ:$AQ,'Refi-Annual Review'!CL$2)/DB_LOAD!$K$2</f>
        <v>#DIV/0!</v>
      </c>
      <c r="CM18" s="494" t="e">
        <f ca="1">SUMIFS(DB_LOAD!$AU:$AU,DB_LOAD!$AW:$AW,'Refi-Annual Review'!$CJ$1,DB_LOAD!$AR:$AR,'Refi-Annual Review'!$CF18,DB_LOAD!$AP:$AP,'Refi-Annual Review'!$CK$1,DB_LOAD!$AQ:$AQ,'Refi-Annual Review'!CM$2)/DB_LOAD!$K$2</f>
        <v>#DIV/0!</v>
      </c>
      <c r="CN18" s="494" t="e">
        <f ca="1">SUMIFS(DB_LOAD!$AU:$AU,DB_LOAD!$AW:$AW,'Refi-Annual Review'!$CJ$1,DB_LOAD!$AR:$AR,'Refi-Annual Review'!$CF18,DB_LOAD!$AP:$AP,'Refi-Annual Review'!$CK$1,DB_LOAD!$AQ:$AQ,'Refi-Annual Review'!CN$2)/DB_LOAD!$K$2</f>
        <v>#DIV/0!</v>
      </c>
      <c r="CO18" s="494" t="e">
        <f ca="1">SUMIFS(DB_LOAD!$AU:$AU,DB_LOAD!$AW:$AW,'Refi-Annual Review'!$CJ$1,DB_LOAD!$AR:$AR,'Refi-Annual Review'!$CF18,DB_LOAD!$AP:$AP,'Refi-Annual Review'!$CK$1,DB_LOAD!$AQ:$AQ,'Refi-Annual Review'!CO$2)/DB_LOAD!$K$2</f>
        <v>#DIV/0!</v>
      </c>
      <c r="CP18" s="494" t="e">
        <f t="shared" ca="1" si="8"/>
        <v>#DIV/0!</v>
      </c>
      <c r="CR18" s="494">
        <f ca="1">SUMIFS(DB_LOAD!$AV:$AV,DB_LOAD!$AW:$AW,'Refi-Annual Review'!$CS$1,DB_LOAD!$AR:$AR,'Refi-Annual Review'!$CF18,DB_LOAD!$AP:$AP,'Refi-Annual Review'!$CT$1,DB_LOAD!$AQ:$AQ,'Refi-Annual Review'!CR$2)</f>
        <v>0</v>
      </c>
      <c r="CS18" s="494">
        <f ca="1">SUMIFS(DB_LOAD!$AV:$AV,DB_LOAD!$AW:$AW,'Refi-Annual Review'!$CS$1,DB_LOAD!$AR:$AR,'Refi-Annual Review'!$CF18,DB_LOAD!$AP:$AP,'Refi-Annual Review'!$CT$1,DB_LOAD!$AQ:$AQ,'Refi-Annual Review'!CS$2)</f>
        <v>0</v>
      </c>
      <c r="CT18" s="494">
        <f ca="1">SUMIFS(DB_LOAD!$AV:$AV,DB_LOAD!$AW:$AW,'Refi-Annual Review'!$CS$1,DB_LOAD!$AR:$AR,'Refi-Annual Review'!$CF18,DB_LOAD!$AP:$AP,'Refi-Annual Review'!$CT$1,DB_LOAD!$AQ:$AQ,'Refi-Annual Review'!CT$2)</f>
        <v>0</v>
      </c>
      <c r="CU18" s="494">
        <f ca="1">SUMIFS(DB_LOAD!$AV:$AV,DB_LOAD!$AW:$AW,'Refi-Annual Review'!$CS$1,DB_LOAD!$AR:$AR,'Refi-Annual Review'!$CF18,DB_LOAD!$AP:$AP,'Refi-Annual Review'!$CT$1,DB_LOAD!$AQ:$AQ,'Refi-Annual Review'!CU$2)</f>
        <v>0</v>
      </c>
      <c r="CV18" s="494">
        <f ca="1">SUMIFS(DB_LOAD!$AV:$AV,DB_LOAD!$AW:$AW,'Refi-Annual Review'!$CS$1,DB_LOAD!$AR:$AR,'Refi-Annual Review'!$CF18,DB_LOAD!$AP:$AP,'Refi-Annual Review'!$CT$1,DB_LOAD!$AQ:$AQ,'Refi-Annual Review'!CV$2)</f>
        <v>0</v>
      </c>
      <c r="CW18" s="494">
        <f ca="1">SUMIFS(DB_LOAD!$AV:$AV,DB_LOAD!$AW:$AW,'Refi-Annual Review'!$CS$1,DB_LOAD!$AR:$AR,'Refi-Annual Review'!$CF18,DB_LOAD!$AP:$AP,'Refi-Annual Review'!$CT$1,DB_LOAD!$AQ:$AQ,'Refi-Annual Review'!CW$2)</f>
        <v>0</v>
      </c>
      <c r="CX18" s="494">
        <f ca="1">SUMIFS(DB_LOAD!$AV:$AV,DB_LOAD!$AW:$AW,'Refi-Annual Review'!$CS$1,DB_LOAD!$AR:$AR,'Refi-Annual Review'!$CF18,DB_LOAD!$AP:$AP,'Refi-Annual Review'!$CT$1,DB_LOAD!$AQ:$AQ,'Refi-Annual Review'!CX$2)</f>
        <v>0</v>
      </c>
      <c r="CY18" s="494" t="str">
        <f t="shared" ca="1" si="9"/>
        <v/>
      </c>
      <c r="DA18" s="494" t="e">
        <f ca="1">SUMIFS(DB_LOAD!$AU:$AU,DB_LOAD!$AW:$AW,'Refi-Annual Review'!$DB$1,DB_LOAD!$AR:$AR,'Refi-Annual Review'!$CF18,DB_LOAD!$AP:$AP,'Refi-Annual Review'!$DC$1,DB_LOAD!$AQ:$AQ,'Refi-Annual Review'!DA$2)/IF($A$23="No Data Found",1,$A$23)</f>
        <v>#NAME?</v>
      </c>
      <c r="DB18" s="494" t="e">
        <f ca="1">SUMIFS(DB_LOAD!$AU:$AU,DB_LOAD!$AW:$AW,'Refi-Annual Review'!$DB$1,DB_LOAD!$AR:$AR,'Refi-Annual Review'!$CF18,DB_LOAD!$AP:$AP,'Refi-Annual Review'!$DC$1,DB_LOAD!$AQ:$AQ,'Refi-Annual Review'!DB$2)/IF($A$23="No Data Found",1,$A$23)</f>
        <v>#NAME?</v>
      </c>
      <c r="DC18" s="494" t="e">
        <f ca="1">SUMIFS(DB_LOAD!$AU:$AU,DB_LOAD!$AW:$AW,'Refi-Annual Review'!$DB$1,DB_LOAD!$AR:$AR,'Refi-Annual Review'!$CF18,DB_LOAD!$AP:$AP,'Refi-Annual Review'!$DC$1,DB_LOAD!$AQ:$AQ,'Refi-Annual Review'!DC$2)/IF($A$23="No Data Found",1,$A$23)</f>
        <v>#NAME?</v>
      </c>
      <c r="DD18" s="494" t="e">
        <f ca="1">SUMIFS(DB_LOAD!$AU:$AU,DB_LOAD!$AW:$AW,'Refi-Annual Review'!$DB$1,DB_LOAD!$AR:$AR,'Refi-Annual Review'!$CF18,DB_LOAD!$AP:$AP,'Refi-Annual Review'!$DC$1,DB_LOAD!$AQ:$AQ,'Refi-Annual Review'!DD$2)/IF($A$23="No Data Found",1,$A$23)</f>
        <v>#NAME?</v>
      </c>
      <c r="DE18" s="494" t="e">
        <f ca="1">SUMIFS(DB_LOAD!$AU:$AU,DB_LOAD!$AW:$AW,'Refi-Annual Review'!$DB$1,DB_LOAD!$AR:$AR,'Refi-Annual Review'!$CF18,DB_LOAD!$AP:$AP,'Refi-Annual Review'!$DC$1,DB_LOAD!$AQ:$AQ,'Refi-Annual Review'!DE$2)/IF($A$23="No Data Found",1,$A$23)</f>
        <v>#NAME?</v>
      </c>
      <c r="DF18" s="494" t="e">
        <f ca="1">SUMIFS(DB_LOAD!$AU:$AU,DB_LOAD!$AW:$AW,'Refi-Annual Review'!$DB$1,DB_LOAD!$AR:$AR,'Refi-Annual Review'!$CF18,DB_LOAD!$AP:$AP,'Refi-Annual Review'!$DC$1,DB_LOAD!$AQ:$AQ,'Refi-Annual Review'!DF$2)/IF($A$23="No Data Found",1,$A$23)</f>
        <v>#NAME?</v>
      </c>
      <c r="DG18" s="494" t="e">
        <f ca="1">SUMIFS(DB_LOAD!$AU:$AU,DB_LOAD!$AW:$AW,'Refi-Annual Review'!$DB$1,DB_LOAD!$AR:$AR,'Refi-Annual Review'!$CF18,DB_LOAD!$AP:$AP,'Refi-Annual Review'!$DC$1,DB_LOAD!$AQ:$AQ,'Refi-Annual Review'!DG$2)/IF($A$23="No Data Found",1,$A$23)</f>
        <v>#NAME?</v>
      </c>
      <c r="DH18" s="494" t="e">
        <f t="shared" ca="1" si="10"/>
        <v>#NAME?</v>
      </c>
      <c r="DJ18" s="494">
        <f ca="1">SUMIFS(DB_LOAD!$AV:$AV,DB_LOAD!$AW:$AW,'Refi-Annual Review'!$DK$1,DB_LOAD!$AR:$AR,'Refi-Annual Review'!$CF18,DB_LOAD!$AP:$AP,'Refi-Annual Review'!$DL$1,DB_LOAD!$AQ:$AQ,'Refi-Annual Review'!DJ$2)</f>
        <v>0</v>
      </c>
      <c r="DK18" s="494">
        <f ca="1">SUMIFS(DB_LOAD!$AV:$AV,DB_LOAD!$AW:$AW,'Refi-Annual Review'!$DK$1,DB_LOAD!$AR:$AR,'Refi-Annual Review'!$CF18,DB_LOAD!$AP:$AP,'Refi-Annual Review'!$DL$1,DB_LOAD!$AQ:$AQ,'Refi-Annual Review'!DK$2)</f>
        <v>0</v>
      </c>
      <c r="DL18" s="494">
        <f ca="1">SUMIFS(DB_LOAD!$AV:$AV,DB_LOAD!$AW:$AW,'Refi-Annual Review'!$DK$1,DB_LOAD!$AR:$AR,'Refi-Annual Review'!$CF18,DB_LOAD!$AP:$AP,'Refi-Annual Review'!$DL$1,DB_LOAD!$AQ:$AQ,'Refi-Annual Review'!DL$2)</f>
        <v>0</v>
      </c>
      <c r="DM18" s="494">
        <f ca="1">SUMIFS(DB_LOAD!$AV:$AV,DB_LOAD!$AW:$AW,'Refi-Annual Review'!$DK$1,DB_LOAD!$AR:$AR,'Refi-Annual Review'!$CF18,DB_LOAD!$AP:$AP,'Refi-Annual Review'!$DL$1,DB_LOAD!$AQ:$AQ,'Refi-Annual Review'!DM$2)</f>
        <v>0</v>
      </c>
      <c r="DN18" s="494">
        <f ca="1">SUMIFS(DB_LOAD!$AV:$AV,DB_LOAD!$AW:$AW,'Refi-Annual Review'!$DK$1,DB_LOAD!$AR:$AR,'Refi-Annual Review'!$CF18,DB_LOAD!$AP:$AP,'Refi-Annual Review'!$DL$1,DB_LOAD!$AQ:$AQ,'Refi-Annual Review'!DN$2)</f>
        <v>0</v>
      </c>
      <c r="DO18" s="494">
        <f ca="1">SUMIFS(DB_LOAD!$AV:$AV,DB_LOAD!$AW:$AW,'Refi-Annual Review'!$DK$1,DB_LOAD!$AR:$AR,'Refi-Annual Review'!$CF18,DB_LOAD!$AP:$AP,'Refi-Annual Review'!$DL$1,DB_LOAD!$AQ:$AQ,'Refi-Annual Review'!DO$2)</f>
        <v>0</v>
      </c>
      <c r="DP18" s="494">
        <f ca="1">SUMIFS(DB_LOAD!$AV:$AV,DB_LOAD!$AW:$AW,'Refi-Annual Review'!$DK$1,DB_LOAD!$AR:$AR,'Refi-Annual Review'!$CF18,DB_LOAD!$AP:$AP,'Refi-Annual Review'!$DL$1,DB_LOAD!$AQ:$AQ,'Refi-Annual Review'!DP$2)</f>
        <v>0</v>
      </c>
      <c r="DQ18" s="494" t="str">
        <f t="shared" ca="1" si="11"/>
        <v/>
      </c>
      <c r="DS18" s="494">
        <f>SUMIFS(DB_LOAD!$AV:$AV,DB_LOAD!$AW:$AW,'Refi-Annual Review'!$DT$1,DB_LOAD!$AR:$AR,'Refi-Annual Review'!$CF18,DB_LOAD!$AP:$AP,'Refi-Annual Review'!$DU$1,DB_LOAD!$AQ:$AQ,'Refi-Annual Review'!DS$2)</f>
        <v>0</v>
      </c>
      <c r="DT18" s="494">
        <f>SUMIFS(DB_LOAD!$AV:$AV,DB_LOAD!$AW:$AW,'Refi-Annual Review'!$DT$1,DB_LOAD!$AR:$AR,'Refi-Annual Review'!$CF18,DB_LOAD!$AP:$AP,'Refi-Annual Review'!$DU$1,DB_LOAD!$AQ:$AQ,'Refi-Annual Review'!DT$2)</f>
        <v>0</v>
      </c>
      <c r="DU18" s="494">
        <f>SUMIFS(DB_LOAD!$AV:$AV,DB_LOAD!$AW:$AW,'Refi-Annual Review'!$DT$1,DB_LOAD!$AR:$AR,'Refi-Annual Review'!$CF18,DB_LOAD!$AP:$AP,'Refi-Annual Review'!$DU$1,DB_LOAD!$AQ:$AQ,'Refi-Annual Review'!DU$2)</f>
        <v>0</v>
      </c>
      <c r="DV18" s="494">
        <f>SUMIFS(DB_LOAD!$AV:$AV,DB_LOAD!$AW:$AW,'Refi-Annual Review'!$DT$1,DB_LOAD!$AR:$AR,'Refi-Annual Review'!$CF18,DB_LOAD!$AP:$AP,'Refi-Annual Review'!$DU$1,DB_LOAD!$AQ:$AQ,'Refi-Annual Review'!DV$2)</f>
        <v>0</v>
      </c>
      <c r="DW18" s="494">
        <f>SUMIFS(DB_LOAD!$AV:$AV,DB_LOAD!$AW:$AW,'Refi-Annual Review'!$DT$1,DB_LOAD!$AR:$AR,'Refi-Annual Review'!$CF18,DB_LOAD!$AP:$AP,'Refi-Annual Review'!$DU$1,DB_LOAD!$AQ:$AQ,'Refi-Annual Review'!DW$2)</f>
        <v>0</v>
      </c>
      <c r="DX18" s="494">
        <f>SUMIFS(DB_LOAD!$AV:$AV,DB_LOAD!$AW:$AW,'Refi-Annual Review'!$DT$1,DB_LOAD!$AR:$AR,'Refi-Annual Review'!$CF18,DB_LOAD!$AP:$AP,'Refi-Annual Review'!$DU$1,DB_LOAD!$AQ:$AQ,'Refi-Annual Review'!DX$2)</f>
        <v>0</v>
      </c>
      <c r="DY18" s="494">
        <f>SUMIFS(DB_LOAD!$AV:$AV,DB_LOAD!$AW:$AW,'Refi-Annual Review'!$DT$1,DB_LOAD!$AR:$AR,'Refi-Annual Review'!$CF18,DB_LOAD!$AP:$AP,'Refi-Annual Review'!$DU$1,DB_LOAD!$AQ:$AQ,'Refi-Annual Review'!DY$2)</f>
        <v>0</v>
      </c>
      <c r="DZ18" s="494" t="str">
        <f t="shared" si="12"/>
        <v/>
      </c>
    </row>
    <row r="19" spans="1:130" ht="15">
      <c r="A19" s="485" t="s">
        <v>46</v>
      </c>
      <c r="C19" s="485">
        <f t="shared" si="25"/>
        <v>20</v>
      </c>
      <c r="D19" s="493" t="s">
        <v>414</v>
      </c>
      <c r="E19" s="568"/>
      <c r="G19" s="496" t="e">
        <f ca="1">G9/F9-1</f>
        <v>#N/A</v>
      </c>
      <c r="H19" s="496" t="e">
        <f t="shared" ref="H19:J20" ca="1" si="40">IFERROR(H9/G9-1,H9/L9-1)</f>
        <v>#N/A</v>
      </c>
      <c r="I19" s="496" t="e">
        <f t="shared" ca="1" si="40"/>
        <v>#N/A</v>
      </c>
      <c r="J19" s="496" t="e">
        <f t="shared" ca="1" si="40"/>
        <v>#N/A</v>
      </c>
      <c r="K19" s="496"/>
      <c r="L19" s="496" t="e">
        <f ca="1">L9/G9-1</f>
        <v>#NAME?</v>
      </c>
      <c r="M19" s="496" t="e">
        <f t="shared" ref="M19:O20" ca="1" si="41">M9/L9-1</f>
        <v>#NAME?</v>
      </c>
      <c r="N19" s="496" t="e">
        <f t="shared" ca="1" si="41"/>
        <v>#NAME?</v>
      </c>
      <c r="O19" s="496" t="e">
        <f t="shared" ca="1" si="41"/>
        <v>#NAME?</v>
      </c>
      <c r="P19" s="496"/>
      <c r="Q19" s="496" t="e">
        <f ca="1">Q9/U9-1</f>
        <v>#NAME?</v>
      </c>
      <c r="R19" s="496" t="e">
        <f ca="1">R9/U9-1</f>
        <v>#NAME?</v>
      </c>
      <c r="S19" s="496"/>
      <c r="T19" s="496"/>
      <c r="U19" s="496" t="e">
        <f ca="1">U9/T9-1</f>
        <v>#NUM!</v>
      </c>
      <c r="AJ19" s="493" t="s">
        <v>414</v>
      </c>
      <c r="AK19" s="496" t="e">
        <f t="shared" ref="AK19:AK20" ca="1" si="42">HLOOKUP(AK$4,$G$1:$O$213,$C19-1,FALSE)</f>
        <v>#N/A</v>
      </c>
      <c r="AL19" s="496" t="e">
        <f ca="1">AL9/AK9-1</f>
        <v>#N/A</v>
      </c>
      <c r="AM19" s="496" t="e">
        <f t="shared" ref="AM19:AN20" ca="1" si="43">AM9/AL9-1</f>
        <v>#N/A</v>
      </c>
      <c r="AN19" s="496" t="e">
        <f t="shared" ca="1" si="43"/>
        <v>#N/A</v>
      </c>
      <c r="AO19" s="496" t="e">
        <f ca="1">Q19</f>
        <v>#NAME?</v>
      </c>
      <c r="AP19" s="496" t="e">
        <f ca="1">R19</f>
        <v>#NAME?</v>
      </c>
      <c r="BD19" s="485" t="s">
        <v>140</v>
      </c>
      <c r="BE19" s="485" t="e">
        <f t="shared" ca="1" si="31"/>
        <v>#NAME?</v>
      </c>
      <c r="BF19" s="651" t="str">
        <f t="shared" si="29"/>
        <v/>
      </c>
      <c r="BG19" s="669" t="e">
        <f t="shared" ca="1" si="30"/>
        <v>#NAME?</v>
      </c>
      <c r="BH19" s="669" t="e">
        <f t="shared" ca="1" si="30"/>
        <v>#NAME?</v>
      </c>
      <c r="BI19" s="669" t="e">
        <f t="shared" ca="1" si="30"/>
        <v>#NAME?</v>
      </c>
      <c r="BJ19" s="669" t="e">
        <f t="shared" ca="1" si="30"/>
        <v>#NAME?</v>
      </c>
      <c r="BK19" s="669" t="e">
        <f t="shared" ca="1" si="30"/>
        <v>#NAME?</v>
      </c>
      <c r="BL19" s="669" t="e">
        <f t="shared" ca="1" si="30"/>
        <v>#NAME?</v>
      </c>
      <c r="BM19" s="669" t="e">
        <f t="shared" ca="1" si="30"/>
        <v>#NAME?</v>
      </c>
      <c r="BN19" s="670" t="e">
        <f t="shared" ca="1" si="32"/>
        <v>#NAME?</v>
      </c>
      <c r="BP19" s="485" t="e">
        <f ca="1">IF(OR(DB_LOAD!AW18="USD",DB_LOAD!AW18='Refi-Annual Review'!$A$3,ISBLANK(DB_LOAD!AW18)),0,1)</f>
        <v>#NAME?</v>
      </c>
      <c r="BQ19" t="str">
        <f>(IF(ISBLANK(DB_LOAD!AR18),"",DB_LOAD!AR18))</f>
        <v/>
      </c>
      <c r="BR19" t="str">
        <f t="shared" si="3"/>
        <v/>
      </c>
      <c r="BS19" t="str">
        <f t="shared" si="7"/>
        <v/>
      </c>
      <c r="BT19" t="str">
        <f t="shared" si="13"/>
        <v>5500000250000016064001572600</v>
      </c>
      <c r="BU19" t="str">
        <f t="shared" si="4"/>
        <v/>
      </c>
      <c r="BV19" t="str">
        <f t="shared" si="14"/>
        <v>7777</v>
      </c>
      <c r="BW19" t="str">
        <f t="shared" si="5"/>
        <v/>
      </c>
      <c r="BX19" t="str">
        <f t="shared" si="15"/>
        <v>1111</v>
      </c>
      <c r="BY19"/>
      <c r="BZ19"/>
      <c r="CA19"/>
      <c r="CB19" s="683" t="str">
        <f t="shared" si="16"/>
        <v/>
      </c>
      <c r="CC19" s="683" t="str">
        <f t="shared" si="17"/>
        <v/>
      </c>
      <c r="CD19" s="683" t="str">
        <f>IF(CC19="","",VALUE(MID($BZ$5,1+SUM($CC$3:CC18),CC19)))</f>
        <v/>
      </c>
      <c r="CE19">
        <f t="shared" si="18"/>
        <v>17</v>
      </c>
      <c r="CF19" t="str">
        <f>IF(CD19="","",MID($BZ$4,1+SUM($CD$3:CD18),CD19))</f>
        <v/>
      </c>
      <c r="CI19" s="494" t="e">
        <f ca="1">SUMIFS(DB_LOAD!$AU:$AU,DB_LOAD!$AW:$AW,'Refi-Annual Review'!$CJ$1,DB_LOAD!$AR:$AR,'Refi-Annual Review'!$CF19,DB_LOAD!$AP:$AP,'Refi-Annual Review'!$CK$1,DB_LOAD!$AQ:$AQ,'Refi-Annual Review'!CI$2)/DB_LOAD!$K$2</f>
        <v>#DIV/0!</v>
      </c>
      <c r="CJ19" s="494" t="e">
        <f ca="1">SUMIFS(DB_LOAD!$AU:$AU,DB_LOAD!$AW:$AW,'Refi-Annual Review'!$CJ$1,DB_LOAD!$AR:$AR,'Refi-Annual Review'!$CF19,DB_LOAD!$AP:$AP,'Refi-Annual Review'!$CK$1,DB_LOAD!$AQ:$AQ,'Refi-Annual Review'!CJ$2)/DB_LOAD!$K$2</f>
        <v>#DIV/0!</v>
      </c>
      <c r="CK19" s="494" t="e">
        <f ca="1">SUMIFS(DB_LOAD!$AU:$AU,DB_LOAD!$AW:$AW,'Refi-Annual Review'!$CJ$1,DB_LOAD!$AR:$AR,'Refi-Annual Review'!$CF19,DB_LOAD!$AP:$AP,'Refi-Annual Review'!$CK$1,DB_LOAD!$AQ:$AQ,'Refi-Annual Review'!CK$2)/DB_LOAD!$K$2</f>
        <v>#DIV/0!</v>
      </c>
      <c r="CL19" s="494" t="e">
        <f ca="1">SUMIFS(DB_LOAD!$AU:$AU,DB_LOAD!$AW:$AW,'Refi-Annual Review'!$CJ$1,DB_LOAD!$AR:$AR,'Refi-Annual Review'!$CF19,DB_LOAD!$AP:$AP,'Refi-Annual Review'!$CK$1,DB_LOAD!$AQ:$AQ,'Refi-Annual Review'!CL$2)/DB_LOAD!$K$2</f>
        <v>#DIV/0!</v>
      </c>
      <c r="CM19" s="494" t="e">
        <f ca="1">SUMIFS(DB_LOAD!$AU:$AU,DB_LOAD!$AW:$AW,'Refi-Annual Review'!$CJ$1,DB_LOAD!$AR:$AR,'Refi-Annual Review'!$CF19,DB_LOAD!$AP:$AP,'Refi-Annual Review'!$CK$1,DB_LOAD!$AQ:$AQ,'Refi-Annual Review'!CM$2)/DB_LOAD!$K$2</f>
        <v>#DIV/0!</v>
      </c>
      <c r="CN19" s="494" t="e">
        <f ca="1">SUMIFS(DB_LOAD!$AU:$AU,DB_LOAD!$AW:$AW,'Refi-Annual Review'!$CJ$1,DB_LOAD!$AR:$AR,'Refi-Annual Review'!$CF19,DB_LOAD!$AP:$AP,'Refi-Annual Review'!$CK$1,DB_LOAD!$AQ:$AQ,'Refi-Annual Review'!CN$2)/DB_LOAD!$K$2</f>
        <v>#DIV/0!</v>
      </c>
      <c r="CO19" s="494" t="e">
        <f ca="1">SUMIFS(DB_LOAD!$AU:$AU,DB_LOAD!$AW:$AW,'Refi-Annual Review'!$CJ$1,DB_LOAD!$AR:$AR,'Refi-Annual Review'!$CF19,DB_LOAD!$AP:$AP,'Refi-Annual Review'!$CK$1,DB_LOAD!$AQ:$AQ,'Refi-Annual Review'!CO$2)/DB_LOAD!$K$2</f>
        <v>#DIV/0!</v>
      </c>
      <c r="CP19" s="494" t="e">
        <f t="shared" ca="1" si="8"/>
        <v>#DIV/0!</v>
      </c>
      <c r="CR19" s="494">
        <f ca="1">SUMIFS(DB_LOAD!$AV:$AV,DB_LOAD!$AW:$AW,'Refi-Annual Review'!$CS$1,DB_LOAD!$AR:$AR,'Refi-Annual Review'!$CF19,DB_LOAD!$AP:$AP,'Refi-Annual Review'!$CT$1,DB_LOAD!$AQ:$AQ,'Refi-Annual Review'!CR$2)</f>
        <v>0</v>
      </c>
      <c r="CS19" s="494">
        <f ca="1">SUMIFS(DB_LOAD!$AV:$AV,DB_LOAD!$AW:$AW,'Refi-Annual Review'!$CS$1,DB_LOAD!$AR:$AR,'Refi-Annual Review'!$CF19,DB_LOAD!$AP:$AP,'Refi-Annual Review'!$CT$1,DB_LOAD!$AQ:$AQ,'Refi-Annual Review'!CS$2)</f>
        <v>0</v>
      </c>
      <c r="CT19" s="494">
        <f ca="1">SUMIFS(DB_LOAD!$AV:$AV,DB_LOAD!$AW:$AW,'Refi-Annual Review'!$CS$1,DB_LOAD!$AR:$AR,'Refi-Annual Review'!$CF19,DB_LOAD!$AP:$AP,'Refi-Annual Review'!$CT$1,DB_LOAD!$AQ:$AQ,'Refi-Annual Review'!CT$2)</f>
        <v>0</v>
      </c>
      <c r="CU19" s="494">
        <f ca="1">SUMIFS(DB_LOAD!$AV:$AV,DB_LOAD!$AW:$AW,'Refi-Annual Review'!$CS$1,DB_LOAD!$AR:$AR,'Refi-Annual Review'!$CF19,DB_LOAD!$AP:$AP,'Refi-Annual Review'!$CT$1,DB_LOAD!$AQ:$AQ,'Refi-Annual Review'!CU$2)</f>
        <v>0</v>
      </c>
      <c r="CV19" s="494">
        <f ca="1">SUMIFS(DB_LOAD!$AV:$AV,DB_LOAD!$AW:$AW,'Refi-Annual Review'!$CS$1,DB_LOAD!$AR:$AR,'Refi-Annual Review'!$CF19,DB_LOAD!$AP:$AP,'Refi-Annual Review'!$CT$1,DB_LOAD!$AQ:$AQ,'Refi-Annual Review'!CV$2)</f>
        <v>0</v>
      </c>
      <c r="CW19" s="494">
        <f ca="1">SUMIFS(DB_LOAD!$AV:$AV,DB_LOAD!$AW:$AW,'Refi-Annual Review'!$CS$1,DB_LOAD!$AR:$AR,'Refi-Annual Review'!$CF19,DB_LOAD!$AP:$AP,'Refi-Annual Review'!$CT$1,DB_LOAD!$AQ:$AQ,'Refi-Annual Review'!CW$2)</f>
        <v>0</v>
      </c>
      <c r="CX19" s="494">
        <f ca="1">SUMIFS(DB_LOAD!$AV:$AV,DB_LOAD!$AW:$AW,'Refi-Annual Review'!$CS$1,DB_LOAD!$AR:$AR,'Refi-Annual Review'!$CF19,DB_LOAD!$AP:$AP,'Refi-Annual Review'!$CT$1,DB_LOAD!$AQ:$AQ,'Refi-Annual Review'!CX$2)</f>
        <v>0</v>
      </c>
      <c r="CY19" s="494" t="str">
        <f t="shared" ca="1" si="9"/>
        <v/>
      </c>
      <c r="DA19" s="494" t="e">
        <f ca="1">SUMIFS(DB_LOAD!$AU:$AU,DB_LOAD!$AW:$AW,'Refi-Annual Review'!$DB$1,DB_LOAD!$AR:$AR,'Refi-Annual Review'!$CF19,DB_LOAD!$AP:$AP,'Refi-Annual Review'!$DC$1,DB_LOAD!$AQ:$AQ,'Refi-Annual Review'!DA$2)/IF($A$23="No Data Found",1,$A$23)</f>
        <v>#NAME?</v>
      </c>
      <c r="DB19" s="494" t="e">
        <f ca="1">SUMIFS(DB_LOAD!$AU:$AU,DB_LOAD!$AW:$AW,'Refi-Annual Review'!$DB$1,DB_LOAD!$AR:$AR,'Refi-Annual Review'!$CF19,DB_LOAD!$AP:$AP,'Refi-Annual Review'!$DC$1,DB_LOAD!$AQ:$AQ,'Refi-Annual Review'!DB$2)/IF($A$23="No Data Found",1,$A$23)</f>
        <v>#NAME?</v>
      </c>
      <c r="DC19" s="494" t="e">
        <f ca="1">SUMIFS(DB_LOAD!$AU:$AU,DB_LOAD!$AW:$AW,'Refi-Annual Review'!$DB$1,DB_LOAD!$AR:$AR,'Refi-Annual Review'!$CF19,DB_LOAD!$AP:$AP,'Refi-Annual Review'!$DC$1,DB_LOAD!$AQ:$AQ,'Refi-Annual Review'!DC$2)/IF($A$23="No Data Found",1,$A$23)</f>
        <v>#NAME?</v>
      </c>
      <c r="DD19" s="494" t="e">
        <f ca="1">SUMIFS(DB_LOAD!$AU:$AU,DB_LOAD!$AW:$AW,'Refi-Annual Review'!$DB$1,DB_LOAD!$AR:$AR,'Refi-Annual Review'!$CF19,DB_LOAD!$AP:$AP,'Refi-Annual Review'!$DC$1,DB_LOAD!$AQ:$AQ,'Refi-Annual Review'!DD$2)/IF($A$23="No Data Found",1,$A$23)</f>
        <v>#NAME?</v>
      </c>
      <c r="DE19" s="494" t="e">
        <f ca="1">SUMIFS(DB_LOAD!$AU:$AU,DB_LOAD!$AW:$AW,'Refi-Annual Review'!$DB$1,DB_LOAD!$AR:$AR,'Refi-Annual Review'!$CF19,DB_LOAD!$AP:$AP,'Refi-Annual Review'!$DC$1,DB_LOAD!$AQ:$AQ,'Refi-Annual Review'!DE$2)/IF($A$23="No Data Found",1,$A$23)</f>
        <v>#NAME?</v>
      </c>
      <c r="DF19" s="494" t="e">
        <f ca="1">SUMIFS(DB_LOAD!$AU:$AU,DB_LOAD!$AW:$AW,'Refi-Annual Review'!$DB$1,DB_LOAD!$AR:$AR,'Refi-Annual Review'!$CF19,DB_LOAD!$AP:$AP,'Refi-Annual Review'!$DC$1,DB_LOAD!$AQ:$AQ,'Refi-Annual Review'!DF$2)/IF($A$23="No Data Found",1,$A$23)</f>
        <v>#NAME?</v>
      </c>
      <c r="DG19" s="494" t="e">
        <f ca="1">SUMIFS(DB_LOAD!$AU:$AU,DB_LOAD!$AW:$AW,'Refi-Annual Review'!$DB$1,DB_LOAD!$AR:$AR,'Refi-Annual Review'!$CF19,DB_LOAD!$AP:$AP,'Refi-Annual Review'!$DC$1,DB_LOAD!$AQ:$AQ,'Refi-Annual Review'!DG$2)/IF($A$23="No Data Found",1,$A$23)</f>
        <v>#NAME?</v>
      </c>
      <c r="DH19" s="494" t="e">
        <f t="shared" ca="1" si="10"/>
        <v>#NAME?</v>
      </c>
      <c r="DJ19" s="494">
        <f ca="1">SUMIFS(DB_LOAD!$AV:$AV,DB_LOAD!$AW:$AW,'Refi-Annual Review'!$DK$1,DB_LOAD!$AR:$AR,'Refi-Annual Review'!$CF19,DB_LOAD!$AP:$AP,'Refi-Annual Review'!$DL$1,DB_LOAD!$AQ:$AQ,'Refi-Annual Review'!DJ$2)</f>
        <v>0</v>
      </c>
      <c r="DK19" s="494">
        <f ca="1">SUMIFS(DB_LOAD!$AV:$AV,DB_LOAD!$AW:$AW,'Refi-Annual Review'!$DK$1,DB_LOAD!$AR:$AR,'Refi-Annual Review'!$CF19,DB_LOAD!$AP:$AP,'Refi-Annual Review'!$DL$1,DB_LOAD!$AQ:$AQ,'Refi-Annual Review'!DK$2)</f>
        <v>0</v>
      </c>
      <c r="DL19" s="494">
        <f ca="1">SUMIFS(DB_LOAD!$AV:$AV,DB_LOAD!$AW:$AW,'Refi-Annual Review'!$DK$1,DB_LOAD!$AR:$AR,'Refi-Annual Review'!$CF19,DB_LOAD!$AP:$AP,'Refi-Annual Review'!$DL$1,DB_LOAD!$AQ:$AQ,'Refi-Annual Review'!DL$2)</f>
        <v>0</v>
      </c>
      <c r="DM19" s="494">
        <f ca="1">SUMIFS(DB_LOAD!$AV:$AV,DB_LOAD!$AW:$AW,'Refi-Annual Review'!$DK$1,DB_LOAD!$AR:$AR,'Refi-Annual Review'!$CF19,DB_LOAD!$AP:$AP,'Refi-Annual Review'!$DL$1,DB_LOAD!$AQ:$AQ,'Refi-Annual Review'!DM$2)</f>
        <v>0</v>
      </c>
      <c r="DN19" s="494">
        <f ca="1">SUMIFS(DB_LOAD!$AV:$AV,DB_LOAD!$AW:$AW,'Refi-Annual Review'!$DK$1,DB_LOAD!$AR:$AR,'Refi-Annual Review'!$CF19,DB_LOAD!$AP:$AP,'Refi-Annual Review'!$DL$1,DB_LOAD!$AQ:$AQ,'Refi-Annual Review'!DN$2)</f>
        <v>0</v>
      </c>
      <c r="DO19" s="494">
        <f ca="1">SUMIFS(DB_LOAD!$AV:$AV,DB_LOAD!$AW:$AW,'Refi-Annual Review'!$DK$1,DB_LOAD!$AR:$AR,'Refi-Annual Review'!$CF19,DB_LOAD!$AP:$AP,'Refi-Annual Review'!$DL$1,DB_LOAD!$AQ:$AQ,'Refi-Annual Review'!DO$2)</f>
        <v>0</v>
      </c>
      <c r="DP19" s="494">
        <f ca="1">SUMIFS(DB_LOAD!$AV:$AV,DB_LOAD!$AW:$AW,'Refi-Annual Review'!$DK$1,DB_LOAD!$AR:$AR,'Refi-Annual Review'!$CF19,DB_LOAD!$AP:$AP,'Refi-Annual Review'!$DL$1,DB_LOAD!$AQ:$AQ,'Refi-Annual Review'!DP$2)</f>
        <v>0</v>
      </c>
      <c r="DQ19" s="494" t="str">
        <f t="shared" ca="1" si="11"/>
        <v/>
      </c>
      <c r="DS19" s="494">
        <f>SUMIFS(DB_LOAD!$AV:$AV,DB_LOAD!$AW:$AW,'Refi-Annual Review'!$DT$1,DB_LOAD!$AR:$AR,'Refi-Annual Review'!$CF19,DB_LOAD!$AP:$AP,'Refi-Annual Review'!$DU$1,DB_LOAD!$AQ:$AQ,'Refi-Annual Review'!DS$2)</f>
        <v>0</v>
      </c>
      <c r="DT19" s="494">
        <f>SUMIFS(DB_LOAD!$AV:$AV,DB_LOAD!$AW:$AW,'Refi-Annual Review'!$DT$1,DB_LOAD!$AR:$AR,'Refi-Annual Review'!$CF19,DB_LOAD!$AP:$AP,'Refi-Annual Review'!$DU$1,DB_LOAD!$AQ:$AQ,'Refi-Annual Review'!DT$2)</f>
        <v>0</v>
      </c>
      <c r="DU19" s="494">
        <f>SUMIFS(DB_LOAD!$AV:$AV,DB_LOAD!$AW:$AW,'Refi-Annual Review'!$DT$1,DB_LOAD!$AR:$AR,'Refi-Annual Review'!$CF19,DB_LOAD!$AP:$AP,'Refi-Annual Review'!$DU$1,DB_LOAD!$AQ:$AQ,'Refi-Annual Review'!DU$2)</f>
        <v>0</v>
      </c>
      <c r="DV19" s="494">
        <f>SUMIFS(DB_LOAD!$AV:$AV,DB_LOAD!$AW:$AW,'Refi-Annual Review'!$DT$1,DB_LOAD!$AR:$AR,'Refi-Annual Review'!$CF19,DB_LOAD!$AP:$AP,'Refi-Annual Review'!$DU$1,DB_LOAD!$AQ:$AQ,'Refi-Annual Review'!DV$2)</f>
        <v>0</v>
      </c>
      <c r="DW19" s="494">
        <f>SUMIFS(DB_LOAD!$AV:$AV,DB_LOAD!$AW:$AW,'Refi-Annual Review'!$DT$1,DB_LOAD!$AR:$AR,'Refi-Annual Review'!$CF19,DB_LOAD!$AP:$AP,'Refi-Annual Review'!$DU$1,DB_LOAD!$AQ:$AQ,'Refi-Annual Review'!DW$2)</f>
        <v>0</v>
      </c>
      <c r="DX19" s="494">
        <f>SUMIFS(DB_LOAD!$AV:$AV,DB_LOAD!$AW:$AW,'Refi-Annual Review'!$DT$1,DB_LOAD!$AR:$AR,'Refi-Annual Review'!$CF19,DB_LOAD!$AP:$AP,'Refi-Annual Review'!$DU$1,DB_LOAD!$AQ:$AQ,'Refi-Annual Review'!DX$2)</f>
        <v>0</v>
      </c>
      <c r="DY19" s="494">
        <f>SUMIFS(DB_LOAD!$AV:$AV,DB_LOAD!$AW:$AW,'Refi-Annual Review'!$DT$1,DB_LOAD!$AR:$AR,'Refi-Annual Review'!$CF19,DB_LOAD!$AP:$AP,'Refi-Annual Review'!$DU$1,DB_LOAD!$AQ:$AQ,'Refi-Annual Review'!DY$2)</f>
        <v>0</v>
      </c>
      <c r="DZ19" s="494" t="str">
        <f t="shared" si="12"/>
        <v/>
      </c>
    </row>
    <row r="20" spans="1:130" ht="15">
      <c r="A20" s="485" t="s">
        <v>47</v>
      </c>
      <c r="C20" s="485">
        <f t="shared" si="25"/>
        <v>21</v>
      </c>
      <c r="D20" s="493" t="s">
        <v>415</v>
      </c>
      <c r="E20" s="568"/>
      <c r="G20" s="496" t="e">
        <f ca="1">G10/F10-1</f>
        <v>#N/A</v>
      </c>
      <c r="H20" s="496" t="e">
        <f t="shared" ca="1" si="40"/>
        <v>#N/A</v>
      </c>
      <c r="I20" s="496" t="e">
        <f t="shared" ca="1" si="40"/>
        <v>#N/A</v>
      </c>
      <c r="J20" s="496" t="e">
        <f t="shared" ca="1" si="40"/>
        <v>#N/A</v>
      </c>
      <c r="K20" s="496"/>
      <c r="L20" s="496" t="e">
        <f ca="1">L10/G10-1</f>
        <v>#NAME?</v>
      </c>
      <c r="M20" s="496" t="e">
        <f t="shared" si="41"/>
        <v>#NAME?</v>
      </c>
      <c r="N20" s="496" t="e">
        <f t="shared" si="41"/>
        <v>#NAME?</v>
      </c>
      <c r="O20" s="496" t="e">
        <f t="shared" si="41"/>
        <v>#NAME?</v>
      </c>
      <c r="P20" s="496"/>
      <c r="Q20" s="496" t="e">
        <f>Q10/U10-1</f>
        <v>#NAME?</v>
      </c>
      <c r="R20" s="496" t="e">
        <f>R10/U10-1</f>
        <v>#NAME?</v>
      </c>
      <c r="S20" s="496"/>
      <c r="T20" s="496"/>
      <c r="U20" s="496" t="e">
        <f>U10/T10-1</f>
        <v>#NAME?</v>
      </c>
      <c r="AJ20" s="493" t="s">
        <v>415</v>
      </c>
      <c r="AK20" s="496" t="e">
        <f t="shared" ca="1" si="42"/>
        <v>#N/A</v>
      </c>
      <c r="AL20" s="496" t="e">
        <f ca="1">AL10/AK10-1</f>
        <v>#N/A</v>
      </c>
      <c r="AM20" s="496" t="e">
        <f t="shared" ca="1" si="43"/>
        <v>#N/A</v>
      </c>
      <c r="AN20" s="496" t="e">
        <f t="shared" ca="1" si="43"/>
        <v>#N/A</v>
      </c>
      <c r="AO20" s="496" t="e">
        <f>Q20</f>
        <v>#NAME?</v>
      </c>
      <c r="AP20" s="496" t="e">
        <f>R20</f>
        <v>#NAME?</v>
      </c>
      <c r="BD20" s="485" t="s">
        <v>140</v>
      </c>
      <c r="BE20" s="485" t="e">
        <f t="shared" ca="1" si="31"/>
        <v>#NAME?</v>
      </c>
      <c r="BF20" s="651" t="str">
        <f t="shared" si="29"/>
        <v/>
      </c>
      <c r="BG20" s="669" t="e">
        <f t="shared" ca="1" si="30"/>
        <v>#NAME?</v>
      </c>
      <c r="BH20" s="669" t="e">
        <f t="shared" ca="1" si="30"/>
        <v>#NAME?</v>
      </c>
      <c r="BI20" s="669" t="e">
        <f t="shared" ca="1" si="30"/>
        <v>#NAME?</v>
      </c>
      <c r="BJ20" s="669" t="e">
        <f t="shared" ca="1" si="30"/>
        <v>#NAME?</v>
      </c>
      <c r="BK20" s="669" t="e">
        <f t="shared" ca="1" si="30"/>
        <v>#NAME?</v>
      </c>
      <c r="BL20" s="669" t="e">
        <f t="shared" ca="1" si="30"/>
        <v>#NAME?</v>
      </c>
      <c r="BM20" s="669" t="e">
        <f t="shared" ca="1" si="30"/>
        <v>#NAME?</v>
      </c>
      <c r="BN20" s="670" t="e">
        <f t="shared" ca="1" si="32"/>
        <v>#NAME?</v>
      </c>
      <c r="BP20" s="485" t="e">
        <f ca="1">IF(OR(DB_LOAD!AW19="USD",DB_LOAD!AW19='Refi-Annual Review'!$A$3,ISBLANK(DB_LOAD!AW19)),0,1)</f>
        <v>#NAME?</v>
      </c>
      <c r="BQ20" t="str">
        <f>(IF(ISBLANK(DB_LOAD!AR19),"",DB_LOAD!AR19))</f>
        <v/>
      </c>
      <c r="BR20" t="str">
        <f t="shared" si="3"/>
        <v/>
      </c>
      <c r="BS20" t="str">
        <f t="shared" si="7"/>
        <v/>
      </c>
      <c r="BT20" t="str">
        <f t="shared" si="13"/>
        <v>5500000250000016064001572600</v>
      </c>
      <c r="BU20" t="str">
        <f t="shared" si="4"/>
        <v/>
      </c>
      <c r="BV20" t="str">
        <f t="shared" si="14"/>
        <v>7777</v>
      </c>
      <c r="BW20" t="str">
        <f t="shared" si="5"/>
        <v/>
      </c>
      <c r="BX20" t="str">
        <f t="shared" si="15"/>
        <v>1111</v>
      </c>
      <c r="BY20"/>
      <c r="BZ20"/>
      <c r="CA20"/>
      <c r="CB20" s="683" t="str">
        <f t="shared" si="16"/>
        <v/>
      </c>
      <c r="CC20" s="683" t="str">
        <f t="shared" si="17"/>
        <v/>
      </c>
      <c r="CD20" s="683" t="str">
        <f>IF(CC20="","",VALUE(MID($BZ$5,1+SUM($CC$3:CC19),CC20)))</f>
        <v/>
      </c>
      <c r="CE20">
        <f t="shared" si="18"/>
        <v>18</v>
      </c>
      <c r="CF20" t="str">
        <f>IF(CD20="","",MID($BZ$4,1+SUM($CD$3:CD19),CD20))</f>
        <v/>
      </c>
      <c r="CI20" s="494" t="e">
        <f ca="1">SUMIFS(DB_LOAD!$AU:$AU,DB_LOAD!$AW:$AW,'Refi-Annual Review'!$CJ$1,DB_LOAD!$AR:$AR,'Refi-Annual Review'!$CF20,DB_LOAD!$AP:$AP,'Refi-Annual Review'!$CK$1,DB_LOAD!$AQ:$AQ,'Refi-Annual Review'!CI$2)/DB_LOAD!$K$2</f>
        <v>#DIV/0!</v>
      </c>
      <c r="CJ20" s="494" t="e">
        <f ca="1">SUMIFS(DB_LOAD!$AU:$AU,DB_LOAD!$AW:$AW,'Refi-Annual Review'!$CJ$1,DB_LOAD!$AR:$AR,'Refi-Annual Review'!$CF20,DB_LOAD!$AP:$AP,'Refi-Annual Review'!$CK$1,DB_LOAD!$AQ:$AQ,'Refi-Annual Review'!CJ$2)/DB_LOAD!$K$2</f>
        <v>#DIV/0!</v>
      </c>
      <c r="CK20" s="494" t="e">
        <f ca="1">SUMIFS(DB_LOAD!$AU:$AU,DB_LOAD!$AW:$AW,'Refi-Annual Review'!$CJ$1,DB_LOAD!$AR:$AR,'Refi-Annual Review'!$CF20,DB_LOAD!$AP:$AP,'Refi-Annual Review'!$CK$1,DB_LOAD!$AQ:$AQ,'Refi-Annual Review'!CK$2)/DB_LOAD!$K$2</f>
        <v>#DIV/0!</v>
      </c>
      <c r="CL20" s="494" t="e">
        <f ca="1">SUMIFS(DB_LOAD!$AU:$AU,DB_LOAD!$AW:$AW,'Refi-Annual Review'!$CJ$1,DB_LOAD!$AR:$AR,'Refi-Annual Review'!$CF20,DB_LOAD!$AP:$AP,'Refi-Annual Review'!$CK$1,DB_LOAD!$AQ:$AQ,'Refi-Annual Review'!CL$2)/DB_LOAD!$K$2</f>
        <v>#DIV/0!</v>
      </c>
      <c r="CM20" s="494" t="e">
        <f ca="1">SUMIFS(DB_LOAD!$AU:$AU,DB_LOAD!$AW:$AW,'Refi-Annual Review'!$CJ$1,DB_LOAD!$AR:$AR,'Refi-Annual Review'!$CF20,DB_LOAD!$AP:$AP,'Refi-Annual Review'!$CK$1,DB_LOAD!$AQ:$AQ,'Refi-Annual Review'!CM$2)/DB_LOAD!$K$2</f>
        <v>#DIV/0!</v>
      </c>
      <c r="CN20" s="494" t="e">
        <f ca="1">SUMIFS(DB_LOAD!$AU:$AU,DB_LOAD!$AW:$AW,'Refi-Annual Review'!$CJ$1,DB_LOAD!$AR:$AR,'Refi-Annual Review'!$CF20,DB_LOAD!$AP:$AP,'Refi-Annual Review'!$CK$1,DB_LOAD!$AQ:$AQ,'Refi-Annual Review'!CN$2)/DB_LOAD!$K$2</f>
        <v>#DIV/0!</v>
      </c>
      <c r="CO20" s="494" t="e">
        <f ca="1">SUMIFS(DB_LOAD!$AU:$AU,DB_LOAD!$AW:$AW,'Refi-Annual Review'!$CJ$1,DB_LOAD!$AR:$AR,'Refi-Annual Review'!$CF20,DB_LOAD!$AP:$AP,'Refi-Annual Review'!$CK$1,DB_LOAD!$AQ:$AQ,'Refi-Annual Review'!CO$2)/DB_LOAD!$K$2</f>
        <v>#DIV/0!</v>
      </c>
      <c r="CP20" s="494" t="e">
        <f t="shared" ca="1" si="8"/>
        <v>#DIV/0!</v>
      </c>
      <c r="CR20" s="494">
        <f ca="1">SUMIFS(DB_LOAD!$AV:$AV,DB_LOAD!$AW:$AW,'Refi-Annual Review'!$CS$1,DB_LOAD!$AR:$AR,'Refi-Annual Review'!$CF20,DB_LOAD!$AP:$AP,'Refi-Annual Review'!$CT$1,DB_LOAD!$AQ:$AQ,'Refi-Annual Review'!CR$2)</f>
        <v>0</v>
      </c>
      <c r="CS20" s="494">
        <f ca="1">SUMIFS(DB_LOAD!$AV:$AV,DB_LOAD!$AW:$AW,'Refi-Annual Review'!$CS$1,DB_LOAD!$AR:$AR,'Refi-Annual Review'!$CF20,DB_LOAD!$AP:$AP,'Refi-Annual Review'!$CT$1,DB_LOAD!$AQ:$AQ,'Refi-Annual Review'!CS$2)</f>
        <v>0</v>
      </c>
      <c r="CT20" s="494">
        <f ca="1">SUMIFS(DB_LOAD!$AV:$AV,DB_LOAD!$AW:$AW,'Refi-Annual Review'!$CS$1,DB_LOAD!$AR:$AR,'Refi-Annual Review'!$CF20,DB_LOAD!$AP:$AP,'Refi-Annual Review'!$CT$1,DB_LOAD!$AQ:$AQ,'Refi-Annual Review'!CT$2)</f>
        <v>0</v>
      </c>
      <c r="CU20" s="494">
        <f ca="1">SUMIFS(DB_LOAD!$AV:$AV,DB_LOAD!$AW:$AW,'Refi-Annual Review'!$CS$1,DB_LOAD!$AR:$AR,'Refi-Annual Review'!$CF20,DB_LOAD!$AP:$AP,'Refi-Annual Review'!$CT$1,DB_LOAD!$AQ:$AQ,'Refi-Annual Review'!CU$2)</f>
        <v>0</v>
      </c>
      <c r="CV20" s="494">
        <f ca="1">SUMIFS(DB_LOAD!$AV:$AV,DB_LOAD!$AW:$AW,'Refi-Annual Review'!$CS$1,DB_LOAD!$AR:$AR,'Refi-Annual Review'!$CF20,DB_LOAD!$AP:$AP,'Refi-Annual Review'!$CT$1,DB_LOAD!$AQ:$AQ,'Refi-Annual Review'!CV$2)</f>
        <v>0</v>
      </c>
      <c r="CW20" s="494">
        <f ca="1">SUMIFS(DB_LOAD!$AV:$AV,DB_LOAD!$AW:$AW,'Refi-Annual Review'!$CS$1,DB_LOAD!$AR:$AR,'Refi-Annual Review'!$CF20,DB_LOAD!$AP:$AP,'Refi-Annual Review'!$CT$1,DB_LOAD!$AQ:$AQ,'Refi-Annual Review'!CW$2)</f>
        <v>0</v>
      </c>
      <c r="CX20" s="494">
        <f ca="1">SUMIFS(DB_LOAD!$AV:$AV,DB_LOAD!$AW:$AW,'Refi-Annual Review'!$CS$1,DB_LOAD!$AR:$AR,'Refi-Annual Review'!$CF20,DB_LOAD!$AP:$AP,'Refi-Annual Review'!$CT$1,DB_LOAD!$AQ:$AQ,'Refi-Annual Review'!CX$2)</f>
        <v>0</v>
      </c>
      <c r="CY20" s="494" t="str">
        <f t="shared" ca="1" si="9"/>
        <v/>
      </c>
      <c r="DA20" s="494" t="e">
        <f ca="1">SUMIFS(DB_LOAD!$AU:$AU,DB_LOAD!$AW:$AW,'Refi-Annual Review'!$DB$1,DB_LOAD!$AR:$AR,'Refi-Annual Review'!$CF20,DB_LOAD!$AP:$AP,'Refi-Annual Review'!$DC$1,DB_LOAD!$AQ:$AQ,'Refi-Annual Review'!DA$2)/IF($A$23="No Data Found",1,$A$23)</f>
        <v>#NAME?</v>
      </c>
      <c r="DB20" s="494" t="e">
        <f ca="1">SUMIFS(DB_LOAD!$AU:$AU,DB_LOAD!$AW:$AW,'Refi-Annual Review'!$DB$1,DB_LOAD!$AR:$AR,'Refi-Annual Review'!$CF20,DB_LOAD!$AP:$AP,'Refi-Annual Review'!$DC$1,DB_LOAD!$AQ:$AQ,'Refi-Annual Review'!DB$2)/IF($A$23="No Data Found",1,$A$23)</f>
        <v>#NAME?</v>
      </c>
      <c r="DC20" s="494" t="e">
        <f ca="1">SUMIFS(DB_LOAD!$AU:$AU,DB_LOAD!$AW:$AW,'Refi-Annual Review'!$DB$1,DB_LOAD!$AR:$AR,'Refi-Annual Review'!$CF20,DB_LOAD!$AP:$AP,'Refi-Annual Review'!$DC$1,DB_LOAD!$AQ:$AQ,'Refi-Annual Review'!DC$2)/IF($A$23="No Data Found",1,$A$23)</f>
        <v>#NAME?</v>
      </c>
      <c r="DD20" s="494" t="e">
        <f ca="1">SUMIFS(DB_LOAD!$AU:$AU,DB_LOAD!$AW:$AW,'Refi-Annual Review'!$DB$1,DB_LOAD!$AR:$AR,'Refi-Annual Review'!$CF20,DB_LOAD!$AP:$AP,'Refi-Annual Review'!$DC$1,DB_LOAD!$AQ:$AQ,'Refi-Annual Review'!DD$2)/IF($A$23="No Data Found",1,$A$23)</f>
        <v>#NAME?</v>
      </c>
      <c r="DE20" s="494" t="e">
        <f ca="1">SUMIFS(DB_LOAD!$AU:$AU,DB_LOAD!$AW:$AW,'Refi-Annual Review'!$DB$1,DB_LOAD!$AR:$AR,'Refi-Annual Review'!$CF20,DB_LOAD!$AP:$AP,'Refi-Annual Review'!$DC$1,DB_LOAD!$AQ:$AQ,'Refi-Annual Review'!DE$2)/IF($A$23="No Data Found",1,$A$23)</f>
        <v>#NAME?</v>
      </c>
      <c r="DF20" s="494" t="e">
        <f ca="1">SUMIFS(DB_LOAD!$AU:$AU,DB_LOAD!$AW:$AW,'Refi-Annual Review'!$DB$1,DB_LOAD!$AR:$AR,'Refi-Annual Review'!$CF20,DB_LOAD!$AP:$AP,'Refi-Annual Review'!$DC$1,DB_LOAD!$AQ:$AQ,'Refi-Annual Review'!DF$2)/IF($A$23="No Data Found",1,$A$23)</f>
        <v>#NAME?</v>
      </c>
      <c r="DG20" s="494" t="e">
        <f ca="1">SUMIFS(DB_LOAD!$AU:$AU,DB_LOAD!$AW:$AW,'Refi-Annual Review'!$DB$1,DB_LOAD!$AR:$AR,'Refi-Annual Review'!$CF20,DB_LOAD!$AP:$AP,'Refi-Annual Review'!$DC$1,DB_LOAD!$AQ:$AQ,'Refi-Annual Review'!DG$2)/IF($A$23="No Data Found",1,$A$23)</f>
        <v>#NAME?</v>
      </c>
      <c r="DH20" s="494" t="e">
        <f t="shared" ca="1" si="10"/>
        <v>#NAME?</v>
      </c>
      <c r="DJ20" s="494">
        <f ca="1">SUMIFS(DB_LOAD!$AV:$AV,DB_LOAD!$AW:$AW,'Refi-Annual Review'!$DK$1,DB_LOAD!$AR:$AR,'Refi-Annual Review'!$CF20,DB_LOAD!$AP:$AP,'Refi-Annual Review'!$DL$1,DB_LOAD!$AQ:$AQ,'Refi-Annual Review'!DJ$2)</f>
        <v>0</v>
      </c>
      <c r="DK20" s="494">
        <f ca="1">SUMIFS(DB_LOAD!$AV:$AV,DB_LOAD!$AW:$AW,'Refi-Annual Review'!$DK$1,DB_LOAD!$AR:$AR,'Refi-Annual Review'!$CF20,DB_LOAD!$AP:$AP,'Refi-Annual Review'!$DL$1,DB_LOAD!$AQ:$AQ,'Refi-Annual Review'!DK$2)</f>
        <v>0</v>
      </c>
      <c r="DL20" s="494">
        <f ca="1">SUMIFS(DB_LOAD!$AV:$AV,DB_LOAD!$AW:$AW,'Refi-Annual Review'!$DK$1,DB_LOAD!$AR:$AR,'Refi-Annual Review'!$CF20,DB_LOAD!$AP:$AP,'Refi-Annual Review'!$DL$1,DB_LOAD!$AQ:$AQ,'Refi-Annual Review'!DL$2)</f>
        <v>0</v>
      </c>
      <c r="DM20" s="494">
        <f ca="1">SUMIFS(DB_LOAD!$AV:$AV,DB_LOAD!$AW:$AW,'Refi-Annual Review'!$DK$1,DB_LOAD!$AR:$AR,'Refi-Annual Review'!$CF20,DB_LOAD!$AP:$AP,'Refi-Annual Review'!$DL$1,DB_LOAD!$AQ:$AQ,'Refi-Annual Review'!DM$2)</f>
        <v>0</v>
      </c>
      <c r="DN20" s="494">
        <f ca="1">SUMIFS(DB_LOAD!$AV:$AV,DB_LOAD!$AW:$AW,'Refi-Annual Review'!$DK$1,DB_LOAD!$AR:$AR,'Refi-Annual Review'!$CF20,DB_LOAD!$AP:$AP,'Refi-Annual Review'!$DL$1,DB_LOAD!$AQ:$AQ,'Refi-Annual Review'!DN$2)</f>
        <v>0</v>
      </c>
      <c r="DO20" s="494">
        <f ca="1">SUMIFS(DB_LOAD!$AV:$AV,DB_LOAD!$AW:$AW,'Refi-Annual Review'!$DK$1,DB_LOAD!$AR:$AR,'Refi-Annual Review'!$CF20,DB_LOAD!$AP:$AP,'Refi-Annual Review'!$DL$1,DB_LOAD!$AQ:$AQ,'Refi-Annual Review'!DO$2)</f>
        <v>0</v>
      </c>
      <c r="DP20" s="494">
        <f ca="1">SUMIFS(DB_LOAD!$AV:$AV,DB_LOAD!$AW:$AW,'Refi-Annual Review'!$DK$1,DB_LOAD!$AR:$AR,'Refi-Annual Review'!$CF20,DB_LOAD!$AP:$AP,'Refi-Annual Review'!$DL$1,DB_LOAD!$AQ:$AQ,'Refi-Annual Review'!DP$2)</f>
        <v>0</v>
      </c>
      <c r="DQ20" s="494" t="str">
        <f t="shared" ca="1" si="11"/>
        <v/>
      </c>
      <c r="DS20" s="494">
        <f>SUMIFS(DB_LOAD!$AV:$AV,DB_LOAD!$AW:$AW,'Refi-Annual Review'!$DT$1,DB_LOAD!$AR:$AR,'Refi-Annual Review'!$CF20,DB_LOAD!$AP:$AP,'Refi-Annual Review'!$DU$1,DB_LOAD!$AQ:$AQ,'Refi-Annual Review'!DS$2)</f>
        <v>0</v>
      </c>
      <c r="DT20" s="494">
        <f>SUMIFS(DB_LOAD!$AV:$AV,DB_LOAD!$AW:$AW,'Refi-Annual Review'!$DT$1,DB_LOAD!$AR:$AR,'Refi-Annual Review'!$CF20,DB_LOAD!$AP:$AP,'Refi-Annual Review'!$DU$1,DB_LOAD!$AQ:$AQ,'Refi-Annual Review'!DT$2)</f>
        <v>0</v>
      </c>
      <c r="DU20" s="494">
        <f>SUMIFS(DB_LOAD!$AV:$AV,DB_LOAD!$AW:$AW,'Refi-Annual Review'!$DT$1,DB_LOAD!$AR:$AR,'Refi-Annual Review'!$CF20,DB_LOAD!$AP:$AP,'Refi-Annual Review'!$DU$1,DB_LOAD!$AQ:$AQ,'Refi-Annual Review'!DU$2)</f>
        <v>0</v>
      </c>
      <c r="DV20" s="494">
        <f>SUMIFS(DB_LOAD!$AV:$AV,DB_LOAD!$AW:$AW,'Refi-Annual Review'!$DT$1,DB_LOAD!$AR:$AR,'Refi-Annual Review'!$CF20,DB_LOAD!$AP:$AP,'Refi-Annual Review'!$DU$1,DB_LOAD!$AQ:$AQ,'Refi-Annual Review'!DV$2)</f>
        <v>0</v>
      </c>
      <c r="DW20" s="494">
        <f>SUMIFS(DB_LOAD!$AV:$AV,DB_LOAD!$AW:$AW,'Refi-Annual Review'!$DT$1,DB_LOAD!$AR:$AR,'Refi-Annual Review'!$CF20,DB_LOAD!$AP:$AP,'Refi-Annual Review'!$DU$1,DB_LOAD!$AQ:$AQ,'Refi-Annual Review'!DW$2)</f>
        <v>0</v>
      </c>
      <c r="DX20" s="494">
        <f>SUMIFS(DB_LOAD!$AV:$AV,DB_LOAD!$AW:$AW,'Refi-Annual Review'!$DT$1,DB_LOAD!$AR:$AR,'Refi-Annual Review'!$CF20,DB_LOAD!$AP:$AP,'Refi-Annual Review'!$DU$1,DB_LOAD!$AQ:$AQ,'Refi-Annual Review'!DX$2)</f>
        <v>0</v>
      </c>
      <c r="DY20" s="494">
        <f>SUMIFS(DB_LOAD!$AV:$AV,DB_LOAD!$AW:$AW,'Refi-Annual Review'!$DT$1,DB_LOAD!$AR:$AR,'Refi-Annual Review'!$CF20,DB_LOAD!$AP:$AP,'Refi-Annual Review'!$DU$1,DB_LOAD!$AQ:$AQ,'Refi-Annual Review'!DY$2)</f>
        <v>0</v>
      </c>
      <c r="DZ20" s="494" t="str">
        <f t="shared" si="12"/>
        <v/>
      </c>
    </row>
    <row r="21" spans="1:130" ht="15">
      <c r="A21" s="485" t="s">
        <v>48</v>
      </c>
      <c r="C21" s="485">
        <f t="shared" si="25"/>
        <v>22</v>
      </c>
      <c r="D21" s="493" t="str">
        <f>AJ21</f>
        <v>Average Loan Size (USD)</v>
      </c>
      <c r="F21" s="840" t="e">
        <f ca="1">+F9/F169</f>
        <v>#N/A</v>
      </c>
      <c r="G21" s="840" t="e">
        <f t="shared" ref="G21:O21" ca="1" si="44">+G9/G169</f>
        <v>#N/A</v>
      </c>
      <c r="H21" s="840" t="e">
        <f t="shared" ca="1" si="44"/>
        <v>#N/A</v>
      </c>
      <c r="I21" s="840" t="e">
        <f t="shared" ca="1" si="44"/>
        <v>#N/A</v>
      </c>
      <c r="J21" s="840" t="e">
        <f t="shared" ca="1" si="44"/>
        <v>#N/A</v>
      </c>
      <c r="K21" s="840"/>
      <c r="L21" s="840" t="e">
        <f t="shared" ca="1" si="44"/>
        <v>#NAME?</v>
      </c>
      <c r="M21" s="840" t="e">
        <f t="shared" ca="1" si="44"/>
        <v>#NAME?</v>
      </c>
      <c r="N21" s="840" t="e">
        <f t="shared" ca="1" si="44"/>
        <v>#NAME?</v>
      </c>
      <c r="O21" s="840" t="e">
        <f t="shared" ca="1" si="44"/>
        <v>#NAME?</v>
      </c>
      <c r="P21" s="840"/>
      <c r="Q21" s="840" t="e">
        <f ca="1">+Q9/Q169</f>
        <v>#NAME?</v>
      </c>
      <c r="R21" s="840" t="e">
        <f t="shared" ref="R21:U21" ca="1" si="45">+R9/R169</f>
        <v>#NAME?</v>
      </c>
      <c r="S21" s="840"/>
      <c r="T21" s="840"/>
      <c r="U21" s="840" t="e">
        <f t="shared" ca="1" si="45"/>
        <v>#NUM!</v>
      </c>
      <c r="AJ21" s="493" t="str">
        <f>"Average Loan Size ("&amp;'Balance Sheet'!$E$5&amp;")"</f>
        <v>Average Loan Size (USD)</v>
      </c>
      <c r="AK21" s="486"/>
      <c r="AL21" s="486" t="e">
        <f ca="1">HLOOKUP(AL$4,$G$1:$O$213,$C21-1,FALSE)</f>
        <v>#N/A</v>
      </c>
      <c r="AM21" s="486" t="e">
        <f t="shared" ref="AM21:AN21" ca="1" si="46">HLOOKUP(AM$4,$G$1:$O$213,$C21-1,FALSE)</f>
        <v>#N/A</v>
      </c>
      <c r="AN21" s="486" t="e">
        <f t="shared" ca="1" si="46"/>
        <v>#N/A</v>
      </c>
      <c r="AO21" s="840" t="e">
        <f ca="1">+Q21</f>
        <v>#NAME?</v>
      </c>
      <c r="AP21" s="840" t="e">
        <f ca="1">+R21</f>
        <v>#NAME?</v>
      </c>
      <c r="BD21" s="485" t="s">
        <v>140</v>
      </c>
      <c r="BE21" s="485" t="e">
        <f t="shared" ca="1" si="31"/>
        <v>#NAME?</v>
      </c>
      <c r="BF21" s="651" t="str">
        <f t="shared" si="29"/>
        <v/>
      </c>
      <c r="BG21" s="669" t="e">
        <f t="shared" ca="1" si="30"/>
        <v>#NAME?</v>
      </c>
      <c r="BH21" s="669" t="e">
        <f t="shared" ca="1" si="30"/>
        <v>#NAME?</v>
      </c>
      <c r="BI21" s="669" t="e">
        <f t="shared" ca="1" si="30"/>
        <v>#NAME?</v>
      </c>
      <c r="BJ21" s="669" t="e">
        <f t="shared" ca="1" si="30"/>
        <v>#NAME?</v>
      </c>
      <c r="BK21" s="669" t="e">
        <f t="shared" ca="1" si="30"/>
        <v>#NAME?</v>
      </c>
      <c r="BL21" s="669" t="e">
        <f t="shared" ca="1" si="30"/>
        <v>#NAME?</v>
      </c>
      <c r="BM21" s="669" t="e">
        <f t="shared" ca="1" si="30"/>
        <v>#NAME?</v>
      </c>
      <c r="BN21" s="670" t="e">
        <f t="shared" ca="1" si="32"/>
        <v>#NAME?</v>
      </c>
      <c r="BP21" s="485" t="e">
        <f ca="1">IF(OR(DB_LOAD!AW20="USD",DB_LOAD!AW20='Refi-Annual Review'!$A$3,ISBLANK(DB_LOAD!AW20)),0,1)</f>
        <v>#NAME?</v>
      </c>
      <c r="BQ21" t="str">
        <f>(IF(ISBLANK(DB_LOAD!AR20),"",DB_LOAD!AR20))</f>
        <v/>
      </c>
      <c r="BR21" t="str">
        <f t="shared" si="3"/>
        <v/>
      </c>
      <c r="BS21" t="str">
        <f t="shared" si="7"/>
        <v/>
      </c>
      <c r="BT21" t="str">
        <f t="shared" si="13"/>
        <v>5500000250000016064001572600</v>
      </c>
      <c r="BU21" t="str">
        <f t="shared" si="4"/>
        <v/>
      </c>
      <c r="BV21" t="str">
        <f t="shared" si="14"/>
        <v>7777</v>
      </c>
      <c r="BW21" t="str">
        <f t="shared" si="5"/>
        <v/>
      </c>
      <c r="BX21" t="str">
        <f t="shared" si="15"/>
        <v>1111</v>
      </c>
      <c r="BY21"/>
      <c r="BZ21"/>
      <c r="CA21"/>
      <c r="CB21" s="683" t="str">
        <f t="shared" si="16"/>
        <v/>
      </c>
      <c r="CC21" s="683" t="str">
        <f t="shared" si="17"/>
        <v/>
      </c>
      <c r="CD21" s="683" t="str">
        <f>IF(CC21="","",VALUE(MID($BZ$5,1+SUM($CC$3:CC20),CC21)))</f>
        <v/>
      </c>
      <c r="CE21">
        <f t="shared" si="18"/>
        <v>19</v>
      </c>
      <c r="CF21" t="str">
        <f>IF(CD21="","",MID($BZ$4,1+SUM($CD$3:CD20),CD21))</f>
        <v/>
      </c>
      <c r="CI21" s="494" t="e">
        <f ca="1">SUMIFS(DB_LOAD!$AU:$AU,DB_LOAD!$AW:$AW,'Refi-Annual Review'!$CJ$1,DB_LOAD!$AR:$AR,'Refi-Annual Review'!$CF21,DB_LOAD!$AP:$AP,'Refi-Annual Review'!$CK$1,DB_LOAD!$AQ:$AQ,'Refi-Annual Review'!CI$2)/DB_LOAD!$K$2</f>
        <v>#DIV/0!</v>
      </c>
      <c r="CJ21" s="494" t="e">
        <f ca="1">SUMIFS(DB_LOAD!$AU:$AU,DB_LOAD!$AW:$AW,'Refi-Annual Review'!$CJ$1,DB_LOAD!$AR:$AR,'Refi-Annual Review'!$CF21,DB_LOAD!$AP:$AP,'Refi-Annual Review'!$CK$1,DB_LOAD!$AQ:$AQ,'Refi-Annual Review'!CJ$2)/DB_LOAD!$K$2</f>
        <v>#DIV/0!</v>
      </c>
      <c r="CK21" s="494" t="e">
        <f ca="1">SUMIFS(DB_LOAD!$AU:$AU,DB_LOAD!$AW:$AW,'Refi-Annual Review'!$CJ$1,DB_LOAD!$AR:$AR,'Refi-Annual Review'!$CF21,DB_LOAD!$AP:$AP,'Refi-Annual Review'!$CK$1,DB_LOAD!$AQ:$AQ,'Refi-Annual Review'!CK$2)/DB_LOAD!$K$2</f>
        <v>#DIV/0!</v>
      </c>
      <c r="CL21" s="494" t="e">
        <f ca="1">SUMIFS(DB_LOAD!$AU:$AU,DB_LOAD!$AW:$AW,'Refi-Annual Review'!$CJ$1,DB_LOAD!$AR:$AR,'Refi-Annual Review'!$CF21,DB_LOAD!$AP:$AP,'Refi-Annual Review'!$CK$1,DB_LOAD!$AQ:$AQ,'Refi-Annual Review'!CL$2)/DB_LOAD!$K$2</f>
        <v>#DIV/0!</v>
      </c>
      <c r="CM21" s="494" t="e">
        <f ca="1">SUMIFS(DB_LOAD!$AU:$AU,DB_LOAD!$AW:$AW,'Refi-Annual Review'!$CJ$1,DB_LOAD!$AR:$AR,'Refi-Annual Review'!$CF21,DB_LOAD!$AP:$AP,'Refi-Annual Review'!$CK$1,DB_LOAD!$AQ:$AQ,'Refi-Annual Review'!CM$2)/DB_LOAD!$K$2</f>
        <v>#DIV/0!</v>
      </c>
      <c r="CN21" s="494" t="e">
        <f ca="1">SUMIFS(DB_LOAD!$AU:$AU,DB_LOAD!$AW:$AW,'Refi-Annual Review'!$CJ$1,DB_LOAD!$AR:$AR,'Refi-Annual Review'!$CF21,DB_LOAD!$AP:$AP,'Refi-Annual Review'!$CK$1,DB_LOAD!$AQ:$AQ,'Refi-Annual Review'!CN$2)/DB_LOAD!$K$2</f>
        <v>#DIV/0!</v>
      </c>
      <c r="CO21" s="494" t="e">
        <f ca="1">SUMIFS(DB_LOAD!$AU:$AU,DB_LOAD!$AW:$AW,'Refi-Annual Review'!$CJ$1,DB_LOAD!$AR:$AR,'Refi-Annual Review'!$CF21,DB_LOAD!$AP:$AP,'Refi-Annual Review'!$CK$1,DB_LOAD!$AQ:$AQ,'Refi-Annual Review'!CO$2)/DB_LOAD!$K$2</f>
        <v>#DIV/0!</v>
      </c>
      <c r="CP21" s="494" t="e">
        <f t="shared" ca="1" si="8"/>
        <v>#DIV/0!</v>
      </c>
      <c r="CR21" s="494">
        <f ca="1">SUMIFS(DB_LOAD!$AV:$AV,DB_LOAD!$AW:$AW,'Refi-Annual Review'!$CS$1,DB_LOAD!$AR:$AR,'Refi-Annual Review'!$CF21,DB_LOAD!$AP:$AP,'Refi-Annual Review'!$CT$1,DB_LOAD!$AQ:$AQ,'Refi-Annual Review'!CR$2)</f>
        <v>0</v>
      </c>
      <c r="CS21" s="494">
        <f ca="1">SUMIFS(DB_LOAD!$AV:$AV,DB_LOAD!$AW:$AW,'Refi-Annual Review'!$CS$1,DB_LOAD!$AR:$AR,'Refi-Annual Review'!$CF21,DB_LOAD!$AP:$AP,'Refi-Annual Review'!$CT$1,DB_LOAD!$AQ:$AQ,'Refi-Annual Review'!CS$2)</f>
        <v>0</v>
      </c>
      <c r="CT21" s="494">
        <f ca="1">SUMIFS(DB_LOAD!$AV:$AV,DB_LOAD!$AW:$AW,'Refi-Annual Review'!$CS$1,DB_LOAD!$AR:$AR,'Refi-Annual Review'!$CF21,DB_LOAD!$AP:$AP,'Refi-Annual Review'!$CT$1,DB_LOAD!$AQ:$AQ,'Refi-Annual Review'!CT$2)</f>
        <v>0</v>
      </c>
      <c r="CU21" s="494">
        <f ca="1">SUMIFS(DB_LOAD!$AV:$AV,DB_LOAD!$AW:$AW,'Refi-Annual Review'!$CS$1,DB_LOAD!$AR:$AR,'Refi-Annual Review'!$CF21,DB_LOAD!$AP:$AP,'Refi-Annual Review'!$CT$1,DB_LOAD!$AQ:$AQ,'Refi-Annual Review'!CU$2)</f>
        <v>0</v>
      </c>
      <c r="CV21" s="494">
        <f ca="1">SUMIFS(DB_LOAD!$AV:$AV,DB_LOAD!$AW:$AW,'Refi-Annual Review'!$CS$1,DB_LOAD!$AR:$AR,'Refi-Annual Review'!$CF21,DB_LOAD!$AP:$AP,'Refi-Annual Review'!$CT$1,DB_LOAD!$AQ:$AQ,'Refi-Annual Review'!CV$2)</f>
        <v>0</v>
      </c>
      <c r="CW21" s="494">
        <f ca="1">SUMIFS(DB_LOAD!$AV:$AV,DB_LOAD!$AW:$AW,'Refi-Annual Review'!$CS$1,DB_LOAD!$AR:$AR,'Refi-Annual Review'!$CF21,DB_LOAD!$AP:$AP,'Refi-Annual Review'!$CT$1,DB_LOAD!$AQ:$AQ,'Refi-Annual Review'!CW$2)</f>
        <v>0</v>
      </c>
      <c r="CX21" s="494">
        <f ca="1">SUMIFS(DB_LOAD!$AV:$AV,DB_LOAD!$AW:$AW,'Refi-Annual Review'!$CS$1,DB_LOAD!$AR:$AR,'Refi-Annual Review'!$CF21,DB_LOAD!$AP:$AP,'Refi-Annual Review'!$CT$1,DB_LOAD!$AQ:$AQ,'Refi-Annual Review'!CX$2)</f>
        <v>0</v>
      </c>
      <c r="CY21" s="494" t="str">
        <f t="shared" ca="1" si="9"/>
        <v/>
      </c>
      <c r="DA21" s="494" t="e">
        <f ca="1">SUMIFS(DB_LOAD!$AU:$AU,DB_LOAD!$AW:$AW,'Refi-Annual Review'!$DB$1,DB_LOAD!$AR:$AR,'Refi-Annual Review'!$CF21,DB_LOAD!$AP:$AP,'Refi-Annual Review'!$DC$1,DB_LOAD!$AQ:$AQ,'Refi-Annual Review'!DA$2)/IF($A$23="No Data Found",1,$A$23)</f>
        <v>#NAME?</v>
      </c>
      <c r="DB21" s="494" t="e">
        <f ca="1">SUMIFS(DB_LOAD!$AU:$AU,DB_LOAD!$AW:$AW,'Refi-Annual Review'!$DB$1,DB_LOAD!$AR:$AR,'Refi-Annual Review'!$CF21,DB_LOAD!$AP:$AP,'Refi-Annual Review'!$DC$1,DB_LOAD!$AQ:$AQ,'Refi-Annual Review'!DB$2)/IF($A$23="No Data Found",1,$A$23)</f>
        <v>#NAME?</v>
      </c>
      <c r="DC21" s="494" t="e">
        <f ca="1">SUMIFS(DB_LOAD!$AU:$AU,DB_LOAD!$AW:$AW,'Refi-Annual Review'!$DB$1,DB_LOAD!$AR:$AR,'Refi-Annual Review'!$CF21,DB_LOAD!$AP:$AP,'Refi-Annual Review'!$DC$1,DB_LOAD!$AQ:$AQ,'Refi-Annual Review'!DC$2)/IF($A$23="No Data Found",1,$A$23)</f>
        <v>#NAME?</v>
      </c>
      <c r="DD21" s="494" t="e">
        <f ca="1">SUMIFS(DB_LOAD!$AU:$AU,DB_LOAD!$AW:$AW,'Refi-Annual Review'!$DB$1,DB_LOAD!$AR:$AR,'Refi-Annual Review'!$CF21,DB_LOAD!$AP:$AP,'Refi-Annual Review'!$DC$1,DB_LOAD!$AQ:$AQ,'Refi-Annual Review'!DD$2)/IF($A$23="No Data Found",1,$A$23)</f>
        <v>#NAME?</v>
      </c>
      <c r="DE21" s="494" t="e">
        <f ca="1">SUMIFS(DB_LOAD!$AU:$AU,DB_LOAD!$AW:$AW,'Refi-Annual Review'!$DB$1,DB_LOAD!$AR:$AR,'Refi-Annual Review'!$CF21,DB_LOAD!$AP:$AP,'Refi-Annual Review'!$DC$1,DB_LOAD!$AQ:$AQ,'Refi-Annual Review'!DE$2)/IF($A$23="No Data Found",1,$A$23)</f>
        <v>#NAME?</v>
      </c>
      <c r="DF21" s="494" t="e">
        <f ca="1">SUMIFS(DB_LOAD!$AU:$AU,DB_LOAD!$AW:$AW,'Refi-Annual Review'!$DB$1,DB_LOAD!$AR:$AR,'Refi-Annual Review'!$CF21,DB_LOAD!$AP:$AP,'Refi-Annual Review'!$DC$1,DB_LOAD!$AQ:$AQ,'Refi-Annual Review'!DF$2)/IF($A$23="No Data Found",1,$A$23)</f>
        <v>#NAME?</v>
      </c>
      <c r="DG21" s="494" t="e">
        <f ca="1">SUMIFS(DB_LOAD!$AU:$AU,DB_LOAD!$AW:$AW,'Refi-Annual Review'!$DB$1,DB_LOAD!$AR:$AR,'Refi-Annual Review'!$CF21,DB_LOAD!$AP:$AP,'Refi-Annual Review'!$DC$1,DB_LOAD!$AQ:$AQ,'Refi-Annual Review'!DG$2)/IF($A$23="No Data Found",1,$A$23)</f>
        <v>#NAME?</v>
      </c>
      <c r="DH21" s="494" t="e">
        <f t="shared" ca="1" si="10"/>
        <v>#NAME?</v>
      </c>
      <c r="DJ21" s="494">
        <f ca="1">SUMIFS(DB_LOAD!$AV:$AV,DB_LOAD!$AW:$AW,'Refi-Annual Review'!$DK$1,DB_LOAD!$AR:$AR,'Refi-Annual Review'!$CF21,DB_LOAD!$AP:$AP,'Refi-Annual Review'!$DL$1,DB_LOAD!$AQ:$AQ,'Refi-Annual Review'!DJ$2)</f>
        <v>0</v>
      </c>
      <c r="DK21" s="494">
        <f ca="1">SUMIFS(DB_LOAD!$AV:$AV,DB_LOAD!$AW:$AW,'Refi-Annual Review'!$DK$1,DB_LOAD!$AR:$AR,'Refi-Annual Review'!$CF21,DB_LOAD!$AP:$AP,'Refi-Annual Review'!$DL$1,DB_LOAD!$AQ:$AQ,'Refi-Annual Review'!DK$2)</f>
        <v>0</v>
      </c>
      <c r="DL21" s="494">
        <f ca="1">SUMIFS(DB_LOAD!$AV:$AV,DB_LOAD!$AW:$AW,'Refi-Annual Review'!$DK$1,DB_LOAD!$AR:$AR,'Refi-Annual Review'!$CF21,DB_LOAD!$AP:$AP,'Refi-Annual Review'!$DL$1,DB_LOAD!$AQ:$AQ,'Refi-Annual Review'!DL$2)</f>
        <v>0</v>
      </c>
      <c r="DM21" s="494">
        <f ca="1">SUMIFS(DB_LOAD!$AV:$AV,DB_LOAD!$AW:$AW,'Refi-Annual Review'!$DK$1,DB_LOAD!$AR:$AR,'Refi-Annual Review'!$CF21,DB_LOAD!$AP:$AP,'Refi-Annual Review'!$DL$1,DB_LOAD!$AQ:$AQ,'Refi-Annual Review'!DM$2)</f>
        <v>0</v>
      </c>
      <c r="DN21" s="494">
        <f ca="1">SUMIFS(DB_LOAD!$AV:$AV,DB_LOAD!$AW:$AW,'Refi-Annual Review'!$DK$1,DB_LOAD!$AR:$AR,'Refi-Annual Review'!$CF21,DB_LOAD!$AP:$AP,'Refi-Annual Review'!$DL$1,DB_LOAD!$AQ:$AQ,'Refi-Annual Review'!DN$2)</f>
        <v>0</v>
      </c>
      <c r="DO21" s="494">
        <f ca="1">SUMIFS(DB_LOAD!$AV:$AV,DB_LOAD!$AW:$AW,'Refi-Annual Review'!$DK$1,DB_LOAD!$AR:$AR,'Refi-Annual Review'!$CF21,DB_LOAD!$AP:$AP,'Refi-Annual Review'!$DL$1,DB_LOAD!$AQ:$AQ,'Refi-Annual Review'!DO$2)</f>
        <v>0</v>
      </c>
      <c r="DP21" s="494">
        <f ca="1">SUMIFS(DB_LOAD!$AV:$AV,DB_LOAD!$AW:$AW,'Refi-Annual Review'!$DK$1,DB_LOAD!$AR:$AR,'Refi-Annual Review'!$CF21,DB_LOAD!$AP:$AP,'Refi-Annual Review'!$DL$1,DB_LOAD!$AQ:$AQ,'Refi-Annual Review'!DP$2)</f>
        <v>0</v>
      </c>
      <c r="DQ21" s="494" t="str">
        <f t="shared" ca="1" si="11"/>
        <v/>
      </c>
      <c r="DS21" s="494">
        <f>SUMIFS(DB_LOAD!$AV:$AV,DB_LOAD!$AW:$AW,'Refi-Annual Review'!$DT$1,DB_LOAD!$AR:$AR,'Refi-Annual Review'!$CF21,DB_LOAD!$AP:$AP,'Refi-Annual Review'!$DU$1,DB_LOAD!$AQ:$AQ,'Refi-Annual Review'!DS$2)</f>
        <v>0</v>
      </c>
      <c r="DT21" s="494">
        <f>SUMIFS(DB_LOAD!$AV:$AV,DB_LOAD!$AW:$AW,'Refi-Annual Review'!$DT$1,DB_LOAD!$AR:$AR,'Refi-Annual Review'!$CF21,DB_LOAD!$AP:$AP,'Refi-Annual Review'!$DU$1,DB_LOAD!$AQ:$AQ,'Refi-Annual Review'!DT$2)</f>
        <v>0</v>
      </c>
      <c r="DU21" s="494">
        <f>SUMIFS(DB_LOAD!$AV:$AV,DB_LOAD!$AW:$AW,'Refi-Annual Review'!$DT$1,DB_LOAD!$AR:$AR,'Refi-Annual Review'!$CF21,DB_LOAD!$AP:$AP,'Refi-Annual Review'!$DU$1,DB_LOAD!$AQ:$AQ,'Refi-Annual Review'!DU$2)</f>
        <v>0</v>
      </c>
      <c r="DV21" s="494">
        <f>SUMIFS(DB_LOAD!$AV:$AV,DB_LOAD!$AW:$AW,'Refi-Annual Review'!$DT$1,DB_LOAD!$AR:$AR,'Refi-Annual Review'!$CF21,DB_LOAD!$AP:$AP,'Refi-Annual Review'!$DU$1,DB_LOAD!$AQ:$AQ,'Refi-Annual Review'!DV$2)</f>
        <v>0</v>
      </c>
      <c r="DW21" s="494">
        <f>SUMIFS(DB_LOAD!$AV:$AV,DB_LOAD!$AW:$AW,'Refi-Annual Review'!$DT$1,DB_LOAD!$AR:$AR,'Refi-Annual Review'!$CF21,DB_LOAD!$AP:$AP,'Refi-Annual Review'!$DU$1,DB_LOAD!$AQ:$AQ,'Refi-Annual Review'!DW$2)</f>
        <v>0</v>
      </c>
      <c r="DX21" s="494">
        <f>SUMIFS(DB_LOAD!$AV:$AV,DB_LOAD!$AW:$AW,'Refi-Annual Review'!$DT$1,DB_LOAD!$AR:$AR,'Refi-Annual Review'!$CF21,DB_LOAD!$AP:$AP,'Refi-Annual Review'!$DU$1,DB_LOAD!$AQ:$AQ,'Refi-Annual Review'!DX$2)</f>
        <v>0</v>
      </c>
      <c r="DY21" s="494">
        <f>SUMIFS(DB_LOAD!$AV:$AV,DB_LOAD!$AW:$AW,'Refi-Annual Review'!$DT$1,DB_LOAD!$AR:$AR,'Refi-Annual Review'!$CF21,DB_LOAD!$AP:$AP,'Refi-Annual Review'!$DU$1,DB_LOAD!$AQ:$AQ,'Refi-Annual Review'!DY$2)</f>
        <v>0</v>
      </c>
      <c r="DZ21" s="494" t="str">
        <f t="shared" si="12"/>
        <v/>
      </c>
    </row>
    <row r="22" spans="1:130" ht="15">
      <c r="A22" s="485" t="s">
        <v>49</v>
      </c>
      <c r="C22" s="485">
        <f t="shared" si="25"/>
        <v>23</v>
      </c>
      <c r="F22" s="489" t="s">
        <v>54</v>
      </c>
      <c r="G22" s="489" t="s">
        <v>54</v>
      </c>
      <c r="H22" s="489" t="s">
        <v>54</v>
      </c>
      <c r="I22" s="489" t="s">
        <v>54</v>
      </c>
      <c r="J22" s="489" t="s">
        <v>54</v>
      </c>
      <c r="K22" s="534"/>
      <c r="L22" s="489" t="s">
        <v>53</v>
      </c>
      <c r="M22" s="489" t="s">
        <v>53</v>
      </c>
      <c r="N22" s="489" t="s">
        <v>53</v>
      </c>
      <c r="O22" s="489" t="s">
        <v>53</v>
      </c>
      <c r="P22" s="535"/>
      <c r="Q22" s="489" t="s">
        <v>53</v>
      </c>
      <c r="R22" s="489" t="s">
        <v>53</v>
      </c>
      <c r="V22" s="497"/>
      <c r="AJ22" s="493"/>
      <c r="AK22" s="489" t="str">
        <f ca="1">AK6</f>
        <v>No Financials</v>
      </c>
      <c r="AL22" s="489" t="str">
        <f ca="1">AL6</f>
        <v>No Financials</v>
      </c>
      <c r="AM22" s="489" t="str">
        <f t="shared" ref="AM22:AN23" ca="1" si="47">AM6</f>
        <v>No Financials</v>
      </c>
      <c r="AN22" s="489" t="str">
        <f t="shared" ca="1" si="47"/>
        <v>No Financials</v>
      </c>
      <c r="AO22" s="489" t="str">
        <f t="shared" ref="AO22:AP35" si="48">Q22</f>
        <v>Unaudited</v>
      </c>
      <c r="AP22" s="489" t="str">
        <f t="shared" si="48"/>
        <v>Unaudited</v>
      </c>
      <c r="BD22" s="485" t="s">
        <v>140</v>
      </c>
      <c r="BE22" s="485" t="e">
        <f t="shared" ca="1" si="31"/>
        <v>#NAME?</v>
      </c>
      <c r="BF22" s="651" t="str">
        <f t="shared" si="29"/>
        <v/>
      </c>
      <c r="BG22" s="669" t="e">
        <f t="shared" ca="1" si="30"/>
        <v>#NAME?</v>
      </c>
      <c r="BH22" s="669" t="e">
        <f t="shared" ca="1" si="30"/>
        <v>#NAME?</v>
      </c>
      <c r="BI22" s="669" t="e">
        <f t="shared" ca="1" si="30"/>
        <v>#NAME?</v>
      </c>
      <c r="BJ22" s="669" t="e">
        <f t="shared" ca="1" si="30"/>
        <v>#NAME?</v>
      </c>
      <c r="BK22" s="669" t="e">
        <f t="shared" ca="1" si="30"/>
        <v>#NAME?</v>
      </c>
      <c r="BL22" s="669" t="e">
        <f t="shared" ca="1" si="30"/>
        <v>#NAME?</v>
      </c>
      <c r="BM22" s="669" t="e">
        <f t="shared" ca="1" si="30"/>
        <v>#NAME?</v>
      </c>
      <c r="BN22" s="670" t="e">
        <f t="shared" ca="1" si="32"/>
        <v>#NAME?</v>
      </c>
      <c r="BP22" s="485" t="e">
        <f ca="1">IF(OR(DB_LOAD!AW21="USD",DB_LOAD!AW21='Refi-Annual Review'!$A$3,ISBLANK(DB_LOAD!AW21)),0,1)</f>
        <v>#NAME?</v>
      </c>
      <c r="BQ22" t="str">
        <f>(IF(ISBLANK(DB_LOAD!AR21),"",DB_LOAD!AR21))</f>
        <v/>
      </c>
      <c r="BR22" t="str">
        <f t="shared" si="3"/>
        <v/>
      </c>
      <c r="BS22" t="str">
        <f t="shared" si="7"/>
        <v/>
      </c>
      <c r="BT22" t="str">
        <f t="shared" si="13"/>
        <v>5500000250000016064001572600</v>
      </c>
      <c r="BU22" t="str">
        <f t="shared" si="4"/>
        <v/>
      </c>
      <c r="BV22" t="str">
        <f t="shared" si="14"/>
        <v>7777</v>
      </c>
      <c r="BW22" t="str">
        <f t="shared" si="5"/>
        <v/>
      </c>
      <c r="BX22" t="str">
        <f t="shared" si="15"/>
        <v>1111</v>
      </c>
      <c r="BY22"/>
      <c r="BZ22"/>
      <c r="CA22"/>
      <c r="CB22" s="683" t="str">
        <f t="shared" si="16"/>
        <v/>
      </c>
      <c r="CC22" s="683" t="str">
        <f t="shared" si="17"/>
        <v/>
      </c>
      <c r="CD22" s="683" t="str">
        <f>IF(CC22="","",VALUE(MID($BZ$5,1+SUM($CC$3:CC21),CC22)))</f>
        <v/>
      </c>
      <c r="CE22">
        <f t="shared" si="18"/>
        <v>20</v>
      </c>
      <c r="CF22" t="str">
        <f>IF(CD22="","",MID($BZ$4,1+SUM($CD$3:CD21),CD22))</f>
        <v/>
      </c>
      <c r="CI22" s="494" t="e">
        <f ca="1">SUMIFS(DB_LOAD!$AU:$AU,DB_LOAD!$AW:$AW,'Refi-Annual Review'!$CJ$1,DB_LOAD!$AR:$AR,'Refi-Annual Review'!$CF22,DB_LOAD!$AP:$AP,'Refi-Annual Review'!$CK$1,DB_LOAD!$AQ:$AQ,'Refi-Annual Review'!CI$2)/DB_LOAD!$K$2</f>
        <v>#DIV/0!</v>
      </c>
      <c r="CJ22" s="494" t="e">
        <f ca="1">SUMIFS(DB_LOAD!$AU:$AU,DB_LOAD!$AW:$AW,'Refi-Annual Review'!$CJ$1,DB_LOAD!$AR:$AR,'Refi-Annual Review'!$CF22,DB_LOAD!$AP:$AP,'Refi-Annual Review'!$CK$1,DB_LOAD!$AQ:$AQ,'Refi-Annual Review'!CJ$2)/DB_LOAD!$K$2</f>
        <v>#DIV/0!</v>
      </c>
      <c r="CK22" s="494" t="e">
        <f ca="1">SUMIFS(DB_LOAD!$AU:$AU,DB_LOAD!$AW:$AW,'Refi-Annual Review'!$CJ$1,DB_LOAD!$AR:$AR,'Refi-Annual Review'!$CF22,DB_LOAD!$AP:$AP,'Refi-Annual Review'!$CK$1,DB_LOAD!$AQ:$AQ,'Refi-Annual Review'!CK$2)/DB_LOAD!$K$2</f>
        <v>#DIV/0!</v>
      </c>
      <c r="CL22" s="494" t="e">
        <f ca="1">SUMIFS(DB_LOAD!$AU:$AU,DB_LOAD!$AW:$AW,'Refi-Annual Review'!$CJ$1,DB_LOAD!$AR:$AR,'Refi-Annual Review'!$CF22,DB_LOAD!$AP:$AP,'Refi-Annual Review'!$CK$1,DB_LOAD!$AQ:$AQ,'Refi-Annual Review'!CL$2)/DB_LOAD!$K$2</f>
        <v>#DIV/0!</v>
      </c>
      <c r="CM22" s="494" t="e">
        <f ca="1">SUMIFS(DB_LOAD!$AU:$AU,DB_LOAD!$AW:$AW,'Refi-Annual Review'!$CJ$1,DB_LOAD!$AR:$AR,'Refi-Annual Review'!$CF22,DB_LOAD!$AP:$AP,'Refi-Annual Review'!$CK$1,DB_LOAD!$AQ:$AQ,'Refi-Annual Review'!CM$2)/DB_LOAD!$K$2</f>
        <v>#DIV/0!</v>
      </c>
      <c r="CN22" s="494" t="e">
        <f ca="1">SUMIFS(DB_LOAD!$AU:$AU,DB_LOAD!$AW:$AW,'Refi-Annual Review'!$CJ$1,DB_LOAD!$AR:$AR,'Refi-Annual Review'!$CF22,DB_LOAD!$AP:$AP,'Refi-Annual Review'!$CK$1,DB_LOAD!$AQ:$AQ,'Refi-Annual Review'!CN$2)/DB_LOAD!$K$2</f>
        <v>#DIV/0!</v>
      </c>
      <c r="CO22" s="494" t="e">
        <f ca="1">SUMIFS(DB_LOAD!$AU:$AU,DB_LOAD!$AW:$AW,'Refi-Annual Review'!$CJ$1,DB_LOAD!$AR:$AR,'Refi-Annual Review'!$CF22,DB_LOAD!$AP:$AP,'Refi-Annual Review'!$CK$1,DB_LOAD!$AQ:$AQ,'Refi-Annual Review'!CO$2)/DB_LOAD!$K$2</f>
        <v>#DIV/0!</v>
      </c>
      <c r="CP22" s="494" t="e">
        <f t="shared" ca="1" si="8"/>
        <v>#DIV/0!</v>
      </c>
      <c r="CR22" s="494">
        <f ca="1">SUMIFS(DB_LOAD!$AV:$AV,DB_LOAD!$AW:$AW,'Refi-Annual Review'!$CS$1,DB_LOAD!$AR:$AR,'Refi-Annual Review'!$CF22,DB_LOAD!$AP:$AP,'Refi-Annual Review'!$CT$1,DB_LOAD!$AQ:$AQ,'Refi-Annual Review'!CR$2)</f>
        <v>0</v>
      </c>
      <c r="CS22" s="494">
        <f ca="1">SUMIFS(DB_LOAD!$AV:$AV,DB_LOAD!$AW:$AW,'Refi-Annual Review'!$CS$1,DB_LOAD!$AR:$AR,'Refi-Annual Review'!$CF22,DB_LOAD!$AP:$AP,'Refi-Annual Review'!$CT$1,DB_LOAD!$AQ:$AQ,'Refi-Annual Review'!CS$2)</f>
        <v>0</v>
      </c>
      <c r="CT22" s="494">
        <f ca="1">SUMIFS(DB_LOAD!$AV:$AV,DB_LOAD!$AW:$AW,'Refi-Annual Review'!$CS$1,DB_LOAD!$AR:$AR,'Refi-Annual Review'!$CF22,DB_LOAD!$AP:$AP,'Refi-Annual Review'!$CT$1,DB_LOAD!$AQ:$AQ,'Refi-Annual Review'!CT$2)</f>
        <v>0</v>
      </c>
      <c r="CU22" s="494">
        <f ca="1">SUMIFS(DB_LOAD!$AV:$AV,DB_LOAD!$AW:$AW,'Refi-Annual Review'!$CS$1,DB_LOAD!$AR:$AR,'Refi-Annual Review'!$CF22,DB_LOAD!$AP:$AP,'Refi-Annual Review'!$CT$1,DB_LOAD!$AQ:$AQ,'Refi-Annual Review'!CU$2)</f>
        <v>0</v>
      </c>
      <c r="CV22" s="494">
        <f ca="1">SUMIFS(DB_LOAD!$AV:$AV,DB_LOAD!$AW:$AW,'Refi-Annual Review'!$CS$1,DB_LOAD!$AR:$AR,'Refi-Annual Review'!$CF22,DB_LOAD!$AP:$AP,'Refi-Annual Review'!$CT$1,DB_LOAD!$AQ:$AQ,'Refi-Annual Review'!CV$2)</f>
        <v>0</v>
      </c>
      <c r="CW22" s="494">
        <f ca="1">SUMIFS(DB_LOAD!$AV:$AV,DB_LOAD!$AW:$AW,'Refi-Annual Review'!$CS$1,DB_LOAD!$AR:$AR,'Refi-Annual Review'!$CF22,DB_LOAD!$AP:$AP,'Refi-Annual Review'!$CT$1,DB_LOAD!$AQ:$AQ,'Refi-Annual Review'!CW$2)</f>
        <v>0</v>
      </c>
      <c r="CX22" s="494">
        <f ca="1">SUMIFS(DB_LOAD!$AV:$AV,DB_LOAD!$AW:$AW,'Refi-Annual Review'!$CS$1,DB_LOAD!$AR:$AR,'Refi-Annual Review'!$CF22,DB_LOAD!$AP:$AP,'Refi-Annual Review'!$CT$1,DB_LOAD!$AQ:$AQ,'Refi-Annual Review'!CX$2)</f>
        <v>0</v>
      </c>
      <c r="CY22" s="494" t="str">
        <f t="shared" ca="1" si="9"/>
        <v/>
      </c>
      <c r="DA22" s="494" t="e">
        <f ca="1">SUMIFS(DB_LOAD!$AU:$AU,DB_LOAD!$AW:$AW,'Refi-Annual Review'!$DB$1,DB_LOAD!$AR:$AR,'Refi-Annual Review'!$CF22,DB_LOAD!$AP:$AP,'Refi-Annual Review'!$DC$1,DB_LOAD!$AQ:$AQ,'Refi-Annual Review'!DA$2)/IF($A$23="No Data Found",1,$A$23)</f>
        <v>#NAME?</v>
      </c>
      <c r="DB22" s="494" t="e">
        <f ca="1">SUMIFS(DB_LOAD!$AU:$AU,DB_LOAD!$AW:$AW,'Refi-Annual Review'!$DB$1,DB_LOAD!$AR:$AR,'Refi-Annual Review'!$CF22,DB_LOAD!$AP:$AP,'Refi-Annual Review'!$DC$1,DB_LOAD!$AQ:$AQ,'Refi-Annual Review'!DB$2)/IF($A$23="No Data Found",1,$A$23)</f>
        <v>#NAME?</v>
      </c>
      <c r="DC22" s="494" t="e">
        <f ca="1">SUMIFS(DB_LOAD!$AU:$AU,DB_LOAD!$AW:$AW,'Refi-Annual Review'!$DB$1,DB_LOAD!$AR:$AR,'Refi-Annual Review'!$CF22,DB_LOAD!$AP:$AP,'Refi-Annual Review'!$DC$1,DB_LOAD!$AQ:$AQ,'Refi-Annual Review'!DC$2)/IF($A$23="No Data Found",1,$A$23)</f>
        <v>#NAME?</v>
      </c>
      <c r="DD22" s="494" t="e">
        <f ca="1">SUMIFS(DB_LOAD!$AU:$AU,DB_LOAD!$AW:$AW,'Refi-Annual Review'!$DB$1,DB_LOAD!$AR:$AR,'Refi-Annual Review'!$CF22,DB_LOAD!$AP:$AP,'Refi-Annual Review'!$DC$1,DB_LOAD!$AQ:$AQ,'Refi-Annual Review'!DD$2)/IF($A$23="No Data Found",1,$A$23)</f>
        <v>#NAME?</v>
      </c>
      <c r="DE22" s="494" t="e">
        <f ca="1">SUMIFS(DB_LOAD!$AU:$AU,DB_LOAD!$AW:$AW,'Refi-Annual Review'!$DB$1,DB_LOAD!$AR:$AR,'Refi-Annual Review'!$CF22,DB_LOAD!$AP:$AP,'Refi-Annual Review'!$DC$1,DB_LOAD!$AQ:$AQ,'Refi-Annual Review'!DE$2)/IF($A$23="No Data Found",1,$A$23)</f>
        <v>#NAME?</v>
      </c>
      <c r="DF22" s="494" t="e">
        <f ca="1">SUMIFS(DB_LOAD!$AU:$AU,DB_LOAD!$AW:$AW,'Refi-Annual Review'!$DB$1,DB_LOAD!$AR:$AR,'Refi-Annual Review'!$CF22,DB_LOAD!$AP:$AP,'Refi-Annual Review'!$DC$1,DB_LOAD!$AQ:$AQ,'Refi-Annual Review'!DF$2)/IF($A$23="No Data Found",1,$A$23)</f>
        <v>#NAME?</v>
      </c>
      <c r="DG22" s="494" t="e">
        <f ca="1">SUMIFS(DB_LOAD!$AU:$AU,DB_LOAD!$AW:$AW,'Refi-Annual Review'!$DB$1,DB_LOAD!$AR:$AR,'Refi-Annual Review'!$CF22,DB_LOAD!$AP:$AP,'Refi-Annual Review'!$DC$1,DB_LOAD!$AQ:$AQ,'Refi-Annual Review'!DG$2)/IF($A$23="No Data Found",1,$A$23)</f>
        <v>#NAME?</v>
      </c>
      <c r="DH22" s="494" t="e">
        <f t="shared" ca="1" si="10"/>
        <v>#NAME?</v>
      </c>
      <c r="DJ22" s="494">
        <f ca="1">SUMIFS(DB_LOAD!$AV:$AV,DB_LOAD!$AW:$AW,'Refi-Annual Review'!$DK$1,DB_LOAD!$AR:$AR,'Refi-Annual Review'!$CF22,DB_LOAD!$AP:$AP,'Refi-Annual Review'!$DL$1,DB_LOAD!$AQ:$AQ,'Refi-Annual Review'!DJ$2)</f>
        <v>0</v>
      </c>
      <c r="DK22" s="494">
        <f ca="1">SUMIFS(DB_LOAD!$AV:$AV,DB_LOAD!$AW:$AW,'Refi-Annual Review'!$DK$1,DB_LOAD!$AR:$AR,'Refi-Annual Review'!$CF22,DB_LOAD!$AP:$AP,'Refi-Annual Review'!$DL$1,DB_LOAD!$AQ:$AQ,'Refi-Annual Review'!DK$2)</f>
        <v>0</v>
      </c>
      <c r="DL22" s="494">
        <f ca="1">SUMIFS(DB_LOAD!$AV:$AV,DB_LOAD!$AW:$AW,'Refi-Annual Review'!$DK$1,DB_LOAD!$AR:$AR,'Refi-Annual Review'!$CF22,DB_LOAD!$AP:$AP,'Refi-Annual Review'!$DL$1,DB_LOAD!$AQ:$AQ,'Refi-Annual Review'!DL$2)</f>
        <v>0</v>
      </c>
      <c r="DM22" s="494">
        <f ca="1">SUMIFS(DB_LOAD!$AV:$AV,DB_LOAD!$AW:$AW,'Refi-Annual Review'!$DK$1,DB_LOAD!$AR:$AR,'Refi-Annual Review'!$CF22,DB_LOAD!$AP:$AP,'Refi-Annual Review'!$DL$1,DB_LOAD!$AQ:$AQ,'Refi-Annual Review'!DM$2)</f>
        <v>0</v>
      </c>
      <c r="DN22" s="494">
        <f ca="1">SUMIFS(DB_LOAD!$AV:$AV,DB_LOAD!$AW:$AW,'Refi-Annual Review'!$DK$1,DB_LOAD!$AR:$AR,'Refi-Annual Review'!$CF22,DB_LOAD!$AP:$AP,'Refi-Annual Review'!$DL$1,DB_LOAD!$AQ:$AQ,'Refi-Annual Review'!DN$2)</f>
        <v>0</v>
      </c>
      <c r="DO22" s="494">
        <f ca="1">SUMIFS(DB_LOAD!$AV:$AV,DB_LOAD!$AW:$AW,'Refi-Annual Review'!$DK$1,DB_LOAD!$AR:$AR,'Refi-Annual Review'!$CF22,DB_LOAD!$AP:$AP,'Refi-Annual Review'!$DL$1,DB_LOAD!$AQ:$AQ,'Refi-Annual Review'!DO$2)</f>
        <v>0</v>
      </c>
      <c r="DP22" s="494">
        <f ca="1">SUMIFS(DB_LOAD!$AV:$AV,DB_LOAD!$AW:$AW,'Refi-Annual Review'!$DK$1,DB_LOAD!$AR:$AR,'Refi-Annual Review'!$CF22,DB_LOAD!$AP:$AP,'Refi-Annual Review'!$DL$1,DB_LOAD!$AQ:$AQ,'Refi-Annual Review'!DP$2)</f>
        <v>0</v>
      </c>
      <c r="DQ22" s="494" t="str">
        <f t="shared" ca="1" si="11"/>
        <v/>
      </c>
      <c r="DS22" s="494">
        <f>SUMIFS(DB_LOAD!$AV:$AV,DB_LOAD!$AW:$AW,'Refi-Annual Review'!$DT$1,DB_LOAD!$AR:$AR,'Refi-Annual Review'!$CF22,DB_LOAD!$AP:$AP,'Refi-Annual Review'!$DU$1,DB_LOAD!$AQ:$AQ,'Refi-Annual Review'!DS$2)</f>
        <v>0</v>
      </c>
      <c r="DT22" s="494">
        <f>SUMIFS(DB_LOAD!$AV:$AV,DB_LOAD!$AW:$AW,'Refi-Annual Review'!$DT$1,DB_LOAD!$AR:$AR,'Refi-Annual Review'!$CF22,DB_LOAD!$AP:$AP,'Refi-Annual Review'!$DU$1,DB_LOAD!$AQ:$AQ,'Refi-Annual Review'!DT$2)</f>
        <v>0</v>
      </c>
      <c r="DU22" s="494">
        <f>SUMIFS(DB_LOAD!$AV:$AV,DB_LOAD!$AW:$AW,'Refi-Annual Review'!$DT$1,DB_LOAD!$AR:$AR,'Refi-Annual Review'!$CF22,DB_LOAD!$AP:$AP,'Refi-Annual Review'!$DU$1,DB_LOAD!$AQ:$AQ,'Refi-Annual Review'!DU$2)</f>
        <v>0</v>
      </c>
      <c r="DV22" s="494">
        <f>SUMIFS(DB_LOAD!$AV:$AV,DB_LOAD!$AW:$AW,'Refi-Annual Review'!$DT$1,DB_LOAD!$AR:$AR,'Refi-Annual Review'!$CF22,DB_LOAD!$AP:$AP,'Refi-Annual Review'!$DU$1,DB_LOAD!$AQ:$AQ,'Refi-Annual Review'!DV$2)</f>
        <v>0</v>
      </c>
      <c r="DW22" s="494">
        <f>SUMIFS(DB_LOAD!$AV:$AV,DB_LOAD!$AW:$AW,'Refi-Annual Review'!$DT$1,DB_LOAD!$AR:$AR,'Refi-Annual Review'!$CF22,DB_LOAD!$AP:$AP,'Refi-Annual Review'!$DU$1,DB_LOAD!$AQ:$AQ,'Refi-Annual Review'!DW$2)</f>
        <v>0</v>
      </c>
      <c r="DX22" s="494">
        <f>SUMIFS(DB_LOAD!$AV:$AV,DB_LOAD!$AW:$AW,'Refi-Annual Review'!$DT$1,DB_LOAD!$AR:$AR,'Refi-Annual Review'!$CF22,DB_LOAD!$AP:$AP,'Refi-Annual Review'!$DU$1,DB_LOAD!$AQ:$AQ,'Refi-Annual Review'!DX$2)</f>
        <v>0</v>
      </c>
      <c r="DY22" s="494">
        <f>SUMIFS(DB_LOAD!$AV:$AV,DB_LOAD!$AW:$AW,'Refi-Annual Review'!$DT$1,DB_LOAD!$AR:$AR,'Refi-Annual Review'!$CF22,DB_LOAD!$AP:$AP,'Refi-Annual Review'!$DU$1,DB_LOAD!$AQ:$AQ,'Refi-Annual Review'!DY$2)</f>
        <v>0</v>
      </c>
      <c r="DZ22" s="494" t="str">
        <f t="shared" si="12"/>
        <v/>
      </c>
    </row>
    <row r="23" spans="1:130" ht="15">
      <c r="A23" s="485" t="e">
        <f ca="1">Config!B20</f>
        <v>#NAME?</v>
      </c>
      <c r="C23" s="485">
        <f t="shared" si="25"/>
        <v>24</v>
      </c>
      <c r="D23" s="490" t="s">
        <v>18</v>
      </c>
      <c r="E23" s="568"/>
      <c r="F23" s="491">
        <f>F7</f>
        <v>2010</v>
      </c>
      <c r="G23" s="491">
        <f>G7</f>
        <v>2011</v>
      </c>
      <c r="H23" s="491">
        <f>H7</f>
        <v>2012</v>
      </c>
      <c r="I23" s="491">
        <f>I7</f>
        <v>2013</v>
      </c>
      <c r="J23" s="491">
        <f>J7</f>
        <v>2014</v>
      </c>
      <c r="K23" s="531"/>
      <c r="L23" s="491">
        <f>L7</f>
        <v>2011</v>
      </c>
      <c r="M23" s="491">
        <f>M7</f>
        <v>2012</v>
      </c>
      <c r="N23" s="491">
        <f>N7</f>
        <v>2013</v>
      </c>
      <c r="O23" s="491">
        <f>O7</f>
        <v>2014</v>
      </c>
      <c r="P23" s="532"/>
      <c r="Q23" s="491" t="str">
        <f>Q7</f>
        <v>YTD Jan-00</v>
      </c>
      <c r="R23" s="491" t="str">
        <f>R7</f>
        <v>LTM Jan-00</v>
      </c>
      <c r="AJ23" s="490" t="s">
        <v>18</v>
      </c>
      <c r="AK23" s="491">
        <f ca="1">AK7</f>
        <v>-3</v>
      </c>
      <c r="AL23" s="491">
        <f ca="1">AL7</f>
        <v>-2</v>
      </c>
      <c r="AM23" s="491">
        <f t="shared" ca="1" si="47"/>
        <v>-1</v>
      </c>
      <c r="AN23" s="491">
        <f t="shared" ca="1" si="47"/>
        <v>0</v>
      </c>
      <c r="AO23" s="491" t="str">
        <f t="shared" si="48"/>
        <v>YTD Jan-00</v>
      </c>
      <c r="AP23" s="491" t="str">
        <f t="shared" si="48"/>
        <v>LTM Jan-00</v>
      </c>
      <c r="BD23" s="485" t="s">
        <v>140</v>
      </c>
      <c r="BE23" s="485" t="e">
        <f t="shared" ca="1" si="31"/>
        <v>#NAME?</v>
      </c>
      <c r="BF23" s="651" t="str">
        <f t="shared" si="29"/>
        <v/>
      </c>
      <c r="BG23" s="669" t="e">
        <f t="shared" ca="1" si="30"/>
        <v>#NAME?</v>
      </c>
      <c r="BH23" s="669" t="e">
        <f t="shared" ca="1" si="30"/>
        <v>#NAME?</v>
      </c>
      <c r="BI23" s="669" t="e">
        <f t="shared" ca="1" si="30"/>
        <v>#NAME?</v>
      </c>
      <c r="BJ23" s="669" t="e">
        <f t="shared" ca="1" si="30"/>
        <v>#NAME?</v>
      </c>
      <c r="BK23" s="669" t="e">
        <f t="shared" ca="1" si="30"/>
        <v>#NAME?</v>
      </c>
      <c r="BL23" s="669" t="e">
        <f t="shared" ca="1" si="30"/>
        <v>#NAME?</v>
      </c>
      <c r="BM23" s="669" t="e">
        <f t="shared" ca="1" si="30"/>
        <v>#NAME?</v>
      </c>
      <c r="BN23" s="670" t="e">
        <f t="shared" ca="1" si="32"/>
        <v>#NAME?</v>
      </c>
      <c r="BP23" s="485" t="e">
        <f ca="1">IF(OR(DB_LOAD!AW22="USD",DB_LOAD!AW22='Refi-Annual Review'!$A$3,ISBLANK(DB_LOAD!AW22)),0,1)</f>
        <v>#NAME?</v>
      </c>
      <c r="BQ23" t="str">
        <f>(IF(ISBLANK(DB_LOAD!AR22),"",DB_LOAD!AR22))</f>
        <v/>
      </c>
      <c r="BR23" t="str">
        <f t="shared" si="3"/>
        <v/>
      </c>
      <c r="BS23" t="str">
        <f t="shared" si="7"/>
        <v/>
      </c>
      <c r="BT23" t="str">
        <f t="shared" si="13"/>
        <v>5500000250000016064001572600</v>
      </c>
      <c r="BU23" t="str">
        <f t="shared" si="4"/>
        <v/>
      </c>
      <c r="BV23" t="str">
        <f t="shared" si="14"/>
        <v>7777</v>
      </c>
      <c r="BW23" t="str">
        <f t="shared" si="5"/>
        <v/>
      </c>
      <c r="BX23" t="str">
        <f t="shared" si="15"/>
        <v>1111</v>
      </c>
      <c r="BY23"/>
      <c r="BZ23"/>
      <c r="CA23"/>
      <c r="CB23" s="683" t="str">
        <f t="shared" si="16"/>
        <v/>
      </c>
      <c r="CC23" s="683" t="str">
        <f t="shared" si="17"/>
        <v/>
      </c>
      <c r="CD23" s="683" t="str">
        <f>IF(CC23="","",VALUE(MID($BZ$5,1+SUM($CC$3:CC22),CC23)))</f>
        <v/>
      </c>
      <c r="CE23">
        <f t="shared" si="18"/>
        <v>21</v>
      </c>
      <c r="CF23" t="str">
        <f>IF(CD23="","",MID($BZ$4,1+SUM($CD$3:CD22),CD23))</f>
        <v/>
      </c>
      <c r="CI23" s="494" t="e">
        <f ca="1">SUMIFS(DB_LOAD!$AU:$AU,DB_LOAD!$AW:$AW,'Refi-Annual Review'!$CJ$1,DB_LOAD!$AR:$AR,'Refi-Annual Review'!$CF23,DB_LOAD!$AP:$AP,'Refi-Annual Review'!$CK$1,DB_LOAD!$AQ:$AQ,'Refi-Annual Review'!CI$2)/DB_LOAD!$K$2</f>
        <v>#DIV/0!</v>
      </c>
      <c r="CJ23" s="494" t="e">
        <f ca="1">SUMIFS(DB_LOAD!$AU:$AU,DB_LOAD!$AW:$AW,'Refi-Annual Review'!$CJ$1,DB_LOAD!$AR:$AR,'Refi-Annual Review'!$CF23,DB_LOAD!$AP:$AP,'Refi-Annual Review'!$CK$1,DB_LOAD!$AQ:$AQ,'Refi-Annual Review'!CJ$2)/DB_LOAD!$K$2</f>
        <v>#DIV/0!</v>
      </c>
      <c r="CK23" s="494" t="e">
        <f ca="1">SUMIFS(DB_LOAD!$AU:$AU,DB_LOAD!$AW:$AW,'Refi-Annual Review'!$CJ$1,DB_LOAD!$AR:$AR,'Refi-Annual Review'!$CF23,DB_LOAD!$AP:$AP,'Refi-Annual Review'!$CK$1,DB_LOAD!$AQ:$AQ,'Refi-Annual Review'!CK$2)/DB_LOAD!$K$2</f>
        <v>#DIV/0!</v>
      </c>
      <c r="CL23" s="494" t="e">
        <f ca="1">SUMIFS(DB_LOAD!$AU:$AU,DB_LOAD!$AW:$AW,'Refi-Annual Review'!$CJ$1,DB_LOAD!$AR:$AR,'Refi-Annual Review'!$CF23,DB_LOAD!$AP:$AP,'Refi-Annual Review'!$CK$1,DB_LOAD!$AQ:$AQ,'Refi-Annual Review'!CL$2)/DB_LOAD!$K$2</f>
        <v>#DIV/0!</v>
      </c>
      <c r="CM23" s="494" t="e">
        <f ca="1">SUMIFS(DB_LOAD!$AU:$AU,DB_LOAD!$AW:$AW,'Refi-Annual Review'!$CJ$1,DB_LOAD!$AR:$AR,'Refi-Annual Review'!$CF23,DB_LOAD!$AP:$AP,'Refi-Annual Review'!$CK$1,DB_LOAD!$AQ:$AQ,'Refi-Annual Review'!CM$2)/DB_LOAD!$K$2</f>
        <v>#DIV/0!</v>
      </c>
      <c r="CN23" s="494" t="e">
        <f ca="1">SUMIFS(DB_LOAD!$AU:$AU,DB_LOAD!$AW:$AW,'Refi-Annual Review'!$CJ$1,DB_LOAD!$AR:$AR,'Refi-Annual Review'!$CF23,DB_LOAD!$AP:$AP,'Refi-Annual Review'!$CK$1,DB_LOAD!$AQ:$AQ,'Refi-Annual Review'!CN$2)/DB_LOAD!$K$2</f>
        <v>#DIV/0!</v>
      </c>
      <c r="CO23" s="494" t="e">
        <f ca="1">SUMIFS(DB_LOAD!$AU:$AU,DB_LOAD!$AW:$AW,'Refi-Annual Review'!$CJ$1,DB_LOAD!$AR:$AR,'Refi-Annual Review'!$CF23,DB_LOAD!$AP:$AP,'Refi-Annual Review'!$CK$1,DB_LOAD!$AQ:$AQ,'Refi-Annual Review'!CO$2)/DB_LOAD!$K$2</f>
        <v>#DIV/0!</v>
      </c>
      <c r="CP23" s="494" t="e">
        <f t="shared" ca="1" si="8"/>
        <v>#DIV/0!</v>
      </c>
      <c r="CR23" s="494">
        <f ca="1">SUMIFS(DB_LOAD!$AV:$AV,DB_LOAD!$AW:$AW,'Refi-Annual Review'!$CS$1,DB_LOAD!$AR:$AR,'Refi-Annual Review'!$CF23,DB_LOAD!$AP:$AP,'Refi-Annual Review'!$CT$1,DB_LOAD!$AQ:$AQ,'Refi-Annual Review'!CR$2)</f>
        <v>0</v>
      </c>
      <c r="CS23" s="494">
        <f ca="1">SUMIFS(DB_LOAD!$AV:$AV,DB_LOAD!$AW:$AW,'Refi-Annual Review'!$CS$1,DB_LOAD!$AR:$AR,'Refi-Annual Review'!$CF23,DB_LOAD!$AP:$AP,'Refi-Annual Review'!$CT$1,DB_LOAD!$AQ:$AQ,'Refi-Annual Review'!CS$2)</f>
        <v>0</v>
      </c>
      <c r="CT23" s="494">
        <f ca="1">SUMIFS(DB_LOAD!$AV:$AV,DB_LOAD!$AW:$AW,'Refi-Annual Review'!$CS$1,DB_LOAD!$AR:$AR,'Refi-Annual Review'!$CF23,DB_LOAD!$AP:$AP,'Refi-Annual Review'!$CT$1,DB_LOAD!$AQ:$AQ,'Refi-Annual Review'!CT$2)</f>
        <v>0</v>
      </c>
      <c r="CU23" s="494">
        <f ca="1">SUMIFS(DB_LOAD!$AV:$AV,DB_LOAD!$AW:$AW,'Refi-Annual Review'!$CS$1,DB_LOAD!$AR:$AR,'Refi-Annual Review'!$CF23,DB_LOAD!$AP:$AP,'Refi-Annual Review'!$CT$1,DB_LOAD!$AQ:$AQ,'Refi-Annual Review'!CU$2)</f>
        <v>0</v>
      </c>
      <c r="CV23" s="494">
        <f ca="1">SUMIFS(DB_LOAD!$AV:$AV,DB_LOAD!$AW:$AW,'Refi-Annual Review'!$CS$1,DB_LOAD!$AR:$AR,'Refi-Annual Review'!$CF23,DB_LOAD!$AP:$AP,'Refi-Annual Review'!$CT$1,DB_LOAD!$AQ:$AQ,'Refi-Annual Review'!CV$2)</f>
        <v>0</v>
      </c>
      <c r="CW23" s="494">
        <f ca="1">SUMIFS(DB_LOAD!$AV:$AV,DB_LOAD!$AW:$AW,'Refi-Annual Review'!$CS$1,DB_LOAD!$AR:$AR,'Refi-Annual Review'!$CF23,DB_LOAD!$AP:$AP,'Refi-Annual Review'!$CT$1,DB_LOAD!$AQ:$AQ,'Refi-Annual Review'!CW$2)</f>
        <v>0</v>
      </c>
      <c r="CX23" s="494">
        <f ca="1">SUMIFS(DB_LOAD!$AV:$AV,DB_LOAD!$AW:$AW,'Refi-Annual Review'!$CS$1,DB_LOAD!$AR:$AR,'Refi-Annual Review'!$CF23,DB_LOAD!$AP:$AP,'Refi-Annual Review'!$CT$1,DB_LOAD!$AQ:$AQ,'Refi-Annual Review'!CX$2)</f>
        <v>0</v>
      </c>
      <c r="CY23" s="494" t="str">
        <f t="shared" ca="1" si="9"/>
        <v/>
      </c>
      <c r="DA23" s="494" t="e">
        <f ca="1">SUMIFS(DB_LOAD!$AU:$AU,DB_LOAD!$AW:$AW,'Refi-Annual Review'!$DB$1,DB_LOAD!$AR:$AR,'Refi-Annual Review'!$CF23,DB_LOAD!$AP:$AP,'Refi-Annual Review'!$DC$1,DB_LOAD!$AQ:$AQ,'Refi-Annual Review'!DA$2)/IF($A$23="No Data Found",1,$A$23)</f>
        <v>#NAME?</v>
      </c>
      <c r="DB23" s="494" t="e">
        <f ca="1">SUMIFS(DB_LOAD!$AU:$AU,DB_LOAD!$AW:$AW,'Refi-Annual Review'!$DB$1,DB_LOAD!$AR:$AR,'Refi-Annual Review'!$CF23,DB_LOAD!$AP:$AP,'Refi-Annual Review'!$DC$1,DB_LOAD!$AQ:$AQ,'Refi-Annual Review'!DB$2)/IF($A$23="No Data Found",1,$A$23)</f>
        <v>#NAME?</v>
      </c>
      <c r="DC23" s="494" t="e">
        <f ca="1">SUMIFS(DB_LOAD!$AU:$AU,DB_LOAD!$AW:$AW,'Refi-Annual Review'!$DB$1,DB_LOAD!$AR:$AR,'Refi-Annual Review'!$CF23,DB_LOAD!$AP:$AP,'Refi-Annual Review'!$DC$1,DB_LOAD!$AQ:$AQ,'Refi-Annual Review'!DC$2)/IF($A$23="No Data Found",1,$A$23)</f>
        <v>#NAME?</v>
      </c>
      <c r="DD23" s="494" t="e">
        <f ca="1">SUMIFS(DB_LOAD!$AU:$AU,DB_LOAD!$AW:$AW,'Refi-Annual Review'!$DB$1,DB_LOAD!$AR:$AR,'Refi-Annual Review'!$CF23,DB_LOAD!$AP:$AP,'Refi-Annual Review'!$DC$1,DB_LOAD!$AQ:$AQ,'Refi-Annual Review'!DD$2)/IF($A$23="No Data Found",1,$A$23)</f>
        <v>#NAME?</v>
      </c>
      <c r="DE23" s="494" t="e">
        <f ca="1">SUMIFS(DB_LOAD!$AU:$AU,DB_LOAD!$AW:$AW,'Refi-Annual Review'!$DB$1,DB_LOAD!$AR:$AR,'Refi-Annual Review'!$CF23,DB_LOAD!$AP:$AP,'Refi-Annual Review'!$DC$1,DB_LOAD!$AQ:$AQ,'Refi-Annual Review'!DE$2)/IF($A$23="No Data Found",1,$A$23)</f>
        <v>#NAME?</v>
      </c>
      <c r="DF23" s="494" t="e">
        <f ca="1">SUMIFS(DB_LOAD!$AU:$AU,DB_LOAD!$AW:$AW,'Refi-Annual Review'!$DB$1,DB_LOAD!$AR:$AR,'Refi-Annual Review'!$CF23,DB_LOAD!$AP:$AP,'Refi-Annual Review'!$DC$1,DB_LOAD!$AQ:$AQ,'Refi-Annual Review'!DF$2)/IF($A$23="No Data Found",1,$A$23)</f>
        <v>#NAME?</v>
      </c>
      <c r="DG23" s="494" t="e">
        <f ca="1">SUMIFS(DB_LOAD!$AU:$AU,DB_LOAD!$AW:$AW,'Refi-Annual Review'!$DB$1,DB_LOAD!$AR:$AR,'Refi-Annual Review'!$CF23,DB_LOAD!$AP:$AP,'Refi-Annual Review'!$DC$1,DB_LOAD!$AQ:$AQ,'Refi-Annual Review'!DG$2)/IF($A$23="No Data Found",1,$A$23)</f>
        <v>#NAME?</v>
      </c>
      <c r="DH23" s="494" t="e">
        <f t="shared" ca="1" si="10"/>
        <v>#NAME?</v>
      </c>
      <c r="DJ23" s="494">
        <f ca="1">SUMIFS(DB_LOAD!$AV:$AV,DB_LOAD!$AW:$AW,'Refi-Annual Review'!$DK$1,DB_LOAD!$AR:$AR,'Refi-Annual Review'!$CF23,DB_LOAD!$AP:$AP,'Refi-Annual Review'!$DL$1,DB_LOAD!$AQ:$AQ,'Refi-Annual Review'!DJ$2)</f>
        <v>0</v>
      </c>
      <c r="DK23" s="494">
        <f ca="1">SUMIFS(DB_LOAD!$AV:$AV,DB_LOAD!$AW:$AW,'Refi-Annual Review'!$DK$1,DB_LOAD!$AR:$AR,'Refi-Annual Review'!$CF23,DB_LOAD!$AP:$AP,'Refi-Annual Review'!$DL$1,DB_LOAD!$AQ:$AQ,'Refi-Annual Review'!DK$2)</f>
        <v>0</v>
      </c>
      <c r="DL23" s="494">
        <f ca="1">SUMIFS(DB_LOAD!$AV:$AV,DB_LOAD!$AW:$AW,'Refi-Annual Review'!$DK$1,DB_LOAD!$AR:$AR,'Refi-Annual Review'!$CF23,DB_LOAD!$AP:$AP,'Refi-Annual Review'!$DL$1,DB_LOAD!$AQ:$AQ,'Refi-Annual Review'!DL$2)</f>
        <v>0</v>
      </c>
      <c r="DM23" s="494">
        <f ca="1">SUMIFS(DB_LOAD!$AV:$AV,DB_LOAD!$AW:$AW,'Refi-Annual Review'!$DK$1,DB_LOAD!$AR:$AR,'Refi-Annual Review'!$CF23,DB_LOAD!$AP:$AP,'Refi-Annual Review'!$DL$1,DB_LOAD!$AQ:$AQ,'Refi-Annual Review'!DM$2)</f>
        <v>0</v>
      </c>
      <c r="DN23" s="494">
        <f ca="1">SUMIFS(DB_LOAD!$AV:$AV,DB_LOAD!$AW:$AW,'Refi-Annual Review'!$DK$1,DB_LOAD!$AR:$AR,'Refi-Annual Review'!$CF23,DB_LOAD!$AP:$AP,'Refi-Annual Review'!$DL$1,DB_LOAD!$AQ:$AQ,'Refi-Annual Review'!DN$2)</f>
        <v>0</v>
      </c>
      <c r="DO23" s="494">
        <f ca="1">SUMIFS(DB_LOAD!$AV:$AV,DB_LOAD!$AW:$AW,'Refi-Annual Review'!$DK$1,DB_LOAD!$AR:$AR,'Refi-Annual Review'!$CF23,DB_LOAD!$AP:$AP,'Refi-Annual Review'!$DL$1,DB_LOAD!$AQ:$AQ,'Refi-Annual Review'!DO$2)</f>
        <v>0</v>
      </c>
      <c r="DP23" s="494">
        <f ca="1">SUMIFS(DB_LOAD!$AV:$AV,DB_LOAD!$AW:$AW,'Refi-Annual Review'!$DK$1,DB_LOAD!$AR:$AR,'Refi-Annual Review'!$CF23,DB_LOAD!$AP:$AP,'Refi-Annual Review'!$DL$1,DB_LOAD!$AQ:$AQ,'Refi-Annual Review'!DP$2)</f>
        <v>0</v>
      </c>
      <c r="DQ23" s="494" t="str">
        <f t="shared" ca="1" si="11"/>
        <v/>
      </c>
      <c r="DS23" s="494">
        <f>SUMIFS(DB_LOAD!$AV:$AV,DB_LOAD!$AW:$AW,'Refi-Annual Review'!$DT$1,DB_LOAD!$AR:$AR,'Refi-Annual Review'!$CF23,DB_LOAD!$AP:$AP,'Refi-Annual Review'!$DU$1,DB_LOAD!$AQ:$AQ,'Refi-Annual Review'!DS$2)</f>
        <v>0</v>
      </c>
      <c r="DT23" s="494">
        <f>SUMIFS(DB_LOAD!$AV:$AV,DB_LOAD!$AW:$AW,'Refi-Annual Review'!$DT$1,DB_LOAD!$AR:$AR,'Refi-Annual Review'!$CF23,DB_LOAD!$AP:$AP,'Refi-Annual Review'!$DU$1,DB_LOAD!$AQ:$AQ,'Refi-Annual Review'!DT$2)</f>
        <v>0</v>
      </c>
      <c r="DU23" s="494">
        <f>SUMIFS(DB_LOAD!$AV:$AV,DB_LOAD!$AW:$AW,'Refi-Annual Review'!$DT$1,DB_LOAD!$AR:$AR,'Refi-Annual Review'!$CF23,DB_LOAD!$AP:$AP,'Refi-Annual Review'!$DU$1,DB_LOAD!$AQ:$AQ,'Refi-Annual Review'!DU$2)</f>
        <v>0</v>
      </c>
      <c r="DV23" s="494">
        <f>SUMIFS(DB_LOAD!$AV:$AV,DB_LOAD!$AW:$AW,'Refi-Annual Review'!$DT$1,DB_LOAD!$AR:$AR,'Refi-Annual Review'!$CF23,DB_LOAD!$AP:$AP,'Refi-Annual Review'!$DU$1,DB_LOAD!$AQ:$AQ,'Refi-Annual Review'!DV$2)</f>
        <v>0</v>
      </c>
      <c r="DW23" s="494">
        <f>SUMIFS(DB_LOAD!$AV:$AV,DB_LOAD!$AW:$AW,'Refi-Annual Review'!$DT$1,DB_LOAD!$AR:$AR,'Refi-Annual Review'!$CF23,DB_LOAD!$AP:$AP,'Refi-Annual Review'!$DU$1,DB_LOAD!$AQ:$AQ,'Refi-Annual Review'!DW$2)</f>
        <v>0</v>
      </c>
      <c r="DX23" s="494">
        <f>SUMIFS(DB_LOAD!$AV:$AV,DB_LOAD!$AW:$AW,'Refi-Annual Review'!$DT$1,DB_LOAD!$AR:$AR,'Refi-Annual Review'!$CF23,DB_LOAD!$AP:$AP,'Refi-Annual Review'!$DU$1,DB_LOAD!$AQ:$AQ,'Refi-Annual Review'!DX$2)</f>
        <v>0</v>
      </c>
      <c r="DY23" s="494">
        <f>SUMIFS(DB_LOAD!$AV:$AV,DB_LOAD!$AW:$AW,'Refi-Annual Review'!$DT$1,DB_LOAD!$AR:$AR,'Refi-Annual Review'!$CF23,DB_LOAD!$AP:$AP,'Refi-Annual Review'!$DU$1,DB_LOAD!$AQ:$AQ,'Refi-Annual Review'!DY$2)</f>
        <v>0</v>
      </c>
      <c r="DZ23" s="494" t="str">
        <f t="shared" si="12"/>
        <v/>
      </c>
    </row>
    <row r="24" spans="1:130" ht="15">
      <c r="C24" s="485">
        <f t="shared" si="25"/>
        <v>25</v>
      </c>
      <c r="D24" s="493" t="s">
        <v>16</v>
      </c>
      <c r="E24" s="568"/>
      <c r="F24" s="496"/>
      <c r="G24" s="496" t="str">
        <f ca="1">G17</f>
        <v>N/A</v>
      </c>
      <c r="H24" s="496" t="str">
        <f ca="1">H17</f>
        <v>N/A</v>
      </c>
      <c r="I24" s="496" t="str">
        <f ca="1">I17</f>
        <v>N/A</v>
      </c>
      <c r="J24" s="496" t="str">
        <f ca="1">J17</f>
        <v>N/A</v>
      </c>
      <c r="K24" s="496"/>
      <c r="L24" s="496" t="str">
        <f ca="1">L17</f>
        <v>N/A</v>
      </c>
      <c r="M24" s="496" t="str">
        <f ca="1">M17</f>
        <v>N/A</v>
      </c>
      <c r="N24" s="496" t="str">
        <f ca="1">N17</f>
        <v>N/A</v>
      </c>
      <c r="O24" s="496" t="str">
        <f ca="1">O17</f>
        <v>N/A</v>
      </c>
      <c r="P24" s="496"/>
      <c r="Q24" s="496" t="e">
        <f ca="1">Q16</f>
        <v>#NAME?</v>
      </c>
      <c r="R24" s="496" t="e">
        <f ca="1">R16</f>
        <v>#NAME?</v>
      </c>
      <c r="S24" s="496"/>
      <c r="T24" s="496"/>
      <c r="U24" s="496"/>
      <c r="AJ24" s="493" t="s">
        <v>16</v>
      </c>
      <c r="AK24" s="496" t="e">
        <f t="shared" ref="AK24:AN35" ca="1" si="49">HLOOKUP(AK$4,$G$1:$O$213,$C24-1,FALSE)</f>
        <v>#N/A</v>
      </c>
      <c r="AL24" s="496" t="e">
        <f t="shared" ca="1" si="49"/>
        <v>#N/A</v>
      </c>
      <c r="AM24" s="496" t="e">
        <f t="shared" ca="1" si="49"/>
        <v>#N/A</v>
      </c>
      <c r="AN24" s="496" t="e">
        <f t="shared" ca="1" si="49"/>
        <v>#N/A</v>
      </c>
      <c r="AO24" s="496" t="e">
        <f t="shared" ca="1" si="48"/>
        <v>#NAME?</v>
      </c>
      <c r="AP24" s="496" t="e">
        <f t="shared" ca="1" si="48"/>
        <v>#NAME?</v>
      </c>
      <c r="BD24" s="485" t="s">
        <v>140</v>
      </c>
      <c r="BE24" s="485" t="e">
        <f t="shared" ca="1" si="31"/>
        <v>#NAME?</v>
      </c>
      <c r="BF24" s="651" t="str">
        <f t="shared" si="29"/>
        <v/>
      </c>
      <c r="BG24" s="669" t="e">
        <f t="shared" ca="1" si="30"/>
        <v>#NAME?</v>
      </c>
      <c r="BH24" s="669" t="e">
        <f t="shared" ca="1" si="30"/>
        <v>#NAME?</v>
      </c>
      <c r="BI24" s="669" t="e">
        <f t="shared" ca="1" si="30"/>
        <v>#NAME?</v>
      </c>
      <c r="BJ24" s="669" t="e">
        <f t="shared" ca="1" si="30"/>
        <v>#NAME?</v>
      </c>
      <c r="BK24" s="669" t="e">
        <f t="shared" ca="1" si="30"/>
        <v>#NAME?</v>
      </c>
      <c r="BL24" s="669" t="e">
        <f t="shared" ca="1" si="30"/>
        <v>#NAME?</v>
      </c>
      <c r="BM24" s="669" t="e">
        <f t="shared" ca="1" si="30"/>
        <v>#NAME?</v>
      </c>
      <c r="BN24" s="670" t="e">
        <f t="shared" ca="1" si="32"/>
        <v>#NAME?</v>
      </c>
      <c r="BP24" s="485" t="e">
        <f ca="1">IF(OR(DB_LOAD!AW23="USD",DB_LOAD!AW23='Refi-Annual Review'!$A$3,ISBLANK(DB_LOAD!AW23)),0,1)</f>
        <v>#NAME?</v>
      </c>
      <c r="BQ24" t="str">
        <f>(IF(ISBLANK(DB_LOAD!AR23),"",DB_LOAD!AR23))</f>
        <v/>
      </c>
      <c r="BR24" t="str">
        <f t="shared" si="3"/>
        <v/>
      </c>
      <c r="BS24" t="str">
        <f t="shared" si="7"/>
        <v/>
      </c>
      <c r="BT24" t="str">
        <f t="shared" si="13"/>
        <v>5500000250000016064001572600</v>
      </c>
      <c r="BU24" t="str">
        <f t="shared" si="4"/>
        <v/>
      </c>
      <c r="BV24" t="str">
        <f t="shared" si="14"/>
        <v>7777</v>
      </c>
      <c r="BW24" t="str">
        <f t="shared" si="5"/>
        <v/>
      </c>
      <c r="BX24" t="str">
        <f t="shared" si="15"/>
        <v>1111</v>
      </c>
      <c r="BY24"/>
      <c r="BZ24"/>
      <c r="CA24"/>
      <c r="CB24" s="683" t="str">
        <f t="shared" si="16"/>
        <v/>
      </c>
      <c r="CC24" s="683" t="str">
        <f t="shared" si="17"/>
        <v/>
      </c>
      <c r="CD24" s="683" t="str">
        <f>IF(CC24="","",VALUE(MID($BZ$5,1+SUM($CC$3:CC23),CC24)))</f>
        <v/>
      </c>
      <c r="CE24">
        <f t="shared" si="18"/>
        <v>22</v>
      </c>
      <c r="CF24" t="str">
        <f>IF(CD24="","",MID($BZ$4,1+SUM($CD$3:CD23),CD24))</f>
        <v/>
      </c>
      <c r="CI24" s="494" t="e">
        <f ca="1">SUMIFS(DB_LOAD!$AU:$AU,DB_LOAD!$AW:$AW,'Refi-Annual Review'!$CJ$1,DB_LOAD!$AR:$AR,'Refi-Annual Review'!$CF24,DB_LOAD!$AP:$AP,'Refi-Annual Review'!$CK$1,DB_LOAD!$AQ:$AQ,'Refi-Annual Review'!CI$2)/DB_LOAD!$K$2</f>
        <v>#DIV/0!</v>
      </c>
      <c r="CJ24" s="494" t="e">
        <f ca="1">SUMIFS(DB_LOAD!$AU:$AU,DB_LOAD!$AW:$AW,'Refi-Annual Review'!$CJ$1,DB_LOAD!$AR:$AR,'Refi-Annual Review'!$CF24,DB_LOAD!$AP:$AP,'Refi-Annual Review'!$CK$1,DB_LOAD!$AQ:$AQ,'Refi-Annual Review'!CJ$2)/DB_LOAD!$K$2</f>
        <v>#DIV/0!</v>
      </c>
      <c r="CK24" s="494" t="e">
        <f ca="1">SUMIFS(DB_LOAD!$AU:$AU,DB_LOAD!$AW:$AW,'Refi-Annual Review'!$CJ$1,DB_LOAD!$AR:$AR,'Refi-Annual Review'!$CF24,DB_LOAD!$AP:$AP,'Refi-Annual Review'!$CK$1,DB_LOAD!$AQ:$AQ,'Refi-Annual Review'!CK$2)/DB_LOAD!$K$2</f>
        <v>#DIV/0!</v>
      </c>
      <c r="CL24" s="494" t="e">
        <f ca="1">SUMIFS(DB_LOAD!$AU:$AU,DB_LOAD!$AW:$AW,'Refi-Annual Review'!$CJ$1,DB_LOAD!$AR:$AR,'Refi-Annual Review'!$CF24,DB_LOAD!$AP:$AP,'Refi-Annual Review'!$CK$1,DB_LOAD!$AQ:$AQ,'Refi-Annual Review'!CL$2)/DB_LOAD!$K$2</f>
        <v>#DIV/0!</v>
      </c>
      <c r="CM24" s="494" t="e">
        <f ca="1">SUMIFS(DB_LOAD!$AU:$AU,DB_LOAD!$AW:$AW,'Refi-Annual Review'!$CJ$1,DB_LOAD!$AR:$AR,'Refi-Annual Review'!$CF24,DB_LOAD!$AP:$AP,'Refi-Annual Review'!$CK$1,DB_LOAD!$AQ:$AQ,'Refi-Annual Review'!CM$2)/DB_LOAD!$K$2</f>
        <v>#DIV/0!</v>
      </c>
      <c r="CN24" s="494" t="e">
        <f ca="1">SUMIFS(DB_LOAD!$AU:$AU,DB_LOAD!$AW:$AW,'Refi-Annual Review'!$CJ$1,DB_LOAD!$AR:$AR,'Refi-Annual Review'!$CF24,DB_LOAD!$AP:$AP,'Refi-Annual Review'!$CK$1,DB_LOAD!$AQ:$AQ,'Refi-Annual Review'!CN$2)/DB_LOAD!$K$2</f>
        <v>#DIV/0!</v>
      </c>
      <c r="CO24" s="494" t="e">
        <f ca="1">SUMIFS(DB_LOAD!$AU:$AU,DB_LOAD!$AW:$AW,'Refi-Annual Review'!$CJ$1,DB_LOAD!$AR:$AR,'Refi-Annual Review'!$CF24,DB_LOAD!$AP:$AP,'Refi-Annual Review'!$CK$1,DB_LOAD!$AQ:$AQ,'Refi-Annual Review'!CO$2)/DB_LOAD!$K$2</f>
        <v>#DIV/0!</v>
      </c>
      <c r="CP24" s="494" t="e">
        <f t="shared" ca="1" si="8"/>
        <v>#DIV/0!</v>
      </c>
      <c r="CR24" s="494">
        <f ca="1">SUMIFS(DB_LOAD!$AV:$AV,DB_LOAD!$AW:$AW,'Refi-Annual Review'!$CS$1,DB_LOAD!$AR:$AR,'Refi-Annual Review'!$CF24,DB_LOAD!$AP:$AP,'Refi-Annual Review'!$CT$1,DB_LOAD!$AQ:$AQ,'Refi-Annual Review'!CR$2)</f>
        <v>0</v>
      </c>
      <c r="CS24" s="494">
        <f ca="1">SUMIFS(DB_LOAD!$AV:$AV,DB_LOAD!$AW:$AW,'Refi-Annual Review'!$CS$1,DB_LOAD!$AR:$AR,'Refi-Annual Review'!$CF24,DB_LOAD!$AP:$AP,'Refi-Annual Review'!$CT$1,DB_LOAD!$AQ:$AQ,'Refi-Annual Review'!CS$2)</f>
        <v>0</v>
      </c>
      <c r="CT24" s="494">
        <f ca="1">SUMIFS(DB_LOAD!$AV:$AV,DB_LOAD!$AW:$AW,'Refi-Annual Review'!$CS$1,DB_LOAD!$AR:$AR,'Refi-Annual Review'!$CF24,DB_LOAD!$AP:$AP,'Refi-Annual Review'!$CT$1,DB_LOAD!$AQ:$AQ,'Refi-Annual Review'!CT$2)</f>
        <v>0</v>
      </c>
      <c r="CU24" s="494">
        <f ca="1">SUMIFS(DB_LOAD!$AV:$AV,DB_LOAD!$AW:$AW,'Refi-Annual Review'!$CS$1,DB_LOAD!$AR:$AR,'Refi-Annual Review'!$CF24,DB_LOAD!$AP:$AP,'Refi-Annual Review'!$CT$1,DB_LOAD!$AQ:$AQ,'Refi-Annual Review'!CU$2)</f>
        <v>0</v>
      </c>
      <c r="CV24" s="494">
        <f ca="1">SUMIFS(DB_LOAD!$AV:$AV,DB_LOAD!$AW:$AW,'Refi-Annual Review'!$CS$1,DB_LOAD!$AR:$AR,'Refi-Annual Review'!$CF24,DB_LOAD!$AP:$AP,'Refi-Annual Review'!$CT$1,DB_LOAD!$AQ:$AQ,'Refi-Annual Review'!CV$2)</f>
        <v>0</v>
      </c>
      <c r="CW24" s="494">
        <f ca="1">SUMIFS(DB_LOAD!$AV:$AV,DB_LOAD!$AW:$AW,'Refi-Annual Review'!$CS$1,DB_LOAD!$AR:$AR,'Refi-Annual Review'!$CF24,DB_LOAD!$AP:$AP,'Refi-Annual Review'!$CT$1,DB_LOAD!$AQ:$AQ,'Refi-Annual Review'!CW$2)</f>
        <v>0</v>
      </c>
      <c r="CX24" s="494">
        <f ca="1">SUMIFS(DB_LOAD!$AV:$AV,DB_LOAD!$AW:$AW,'Refi-Annual Review'!$CS$1,DB_LOAD!$AR:$AR,'Refi-Annual Review'!$CF24,DB_LOAD!$AP:$AP,'Refi-Annual Review'!$CT$1,DB_LOAD!$AQ:$AQ,'Refi-Annual Review'!CX$2)</f>
        <v>0</v>
      </c>
      <c r="CY24" s="494" t="str">
        <f t="shared" ca="1" si="9"/>
        <v/>
      </c>
      <c r="DA24" s="494" t="e">
        <f ca="1">SUMIFS(DB_LOAD!$AU:$AU,DB_LOAD!$AW:$AW,'Refi-Annual Review'!$DB$1,DB_LOAD!$AR:$AR,'Refi-Annual Review'!$CF24,DB_LOAD!$AP:$AP,'Refi-Annual Review'!$DC$1,DB_LOAD!$AQ:$AQ,'Refi-Annual Review'!DA$2)/IF($A$23="No Data Found",1,$A$23)</f>
        <v>#NAME?</v>
      </c>
      <c r="DB24" s="494" t="e">
        <f ca="1">SUMIFS(DB_LOAD!$AU:$AU,DB_LOAD!$AW:$AW,'Refi-Annual Review'!$DB$1,DB_LOAD!$AR:$AR,'Refi-Annual Review'!$CF24,DB_LOAD!$AP:$AP,'Refi-Annual Review'!$DC$1,DB_LOAD!$AQ:$AQ,'Refi-Annual Review'!DB$2)/IF($A$23="No Data Found",1,$A$23)</f>
        <v>#NAME?</v>
      </c>
      <c r="DC24" s="494" t="e">
        <f ca="1">SUMIFS(DB_LOAD!$AU:$AU,DB_LOAD!$AW:$AW,'Refi-Annual Review'!$DB$1,DB_LOAD!$AR:$AR,'Refi-Annual Review'!$CF24,DB_LOAD!$AP:$AP,'Refi-Annual Review'!$DC$1,DB_LOAD!$AQ:$AQ,'Refi-Annual Review'!DC$2)/IF($A$23="No Data Found",1,$A$23)</f>
        <v>#NAME?</v>
      </c>
      <c r="DD24" s="494" t="e">
        <f ca="1">SUMIFS(DB_LOAD!$AU:$AU,DB_LOAD!$AW:$AW,'Refi-Annual Review'!$DB$1,DB_LOAD!$AR:$AR,'Refi-Annual Review'!$CF24,DB_LOAD!$AP:$AP,'Refi-Annual Review'!$DC$1,DB_LOAD!$AQ:$AQ,'Refi-Annual Review'!DD$2)/IF($A$23="No Data Found",1,$A$23)</f>
        <v>#NAME?</v>
      </c>
      <c r="DE24" s="494" t="e">
        <f ca="1">SUMIFS(DB_LOAD!$AU:$AU,DB_LOAD!$AW:$AW,'Refi-Annual Review'!$DB$1,DB_LOAD!$AR:$AR,'Refi-Annual Review'!$CF24,DB_LOAD!$AP:$AP,'Refi-Annual Review'!$DC$1,DB_LOAD!$AQ:$AQ,'Refi-Annual Review'!DE$2)/IF($A$23="No Data Found",1,$A$23)</f>
        <v>#NAME?</v>
      </c>
      <c r="DF24" s="494" t="e">
        <f ca="1">SUMIFS(DB_LOAD!$AU:$AU,DB_LOAD!$AW:$AW,'Refi-Annual Review'!$DB$1,DB_LOAD!$AR:$AR,'Refi-Annual Review'!$CF24,DB_LOAD!$AP:$AP,'Refi-Annual Review'!$DC$1,DB_LOAD!$AQ:$AQ,'Refi-Annual Review'!DF$2)/IF($A$23="No Data Found",1,$A$23)</f>
        <v>#NAME?</v>
      </c>
      <c r="DG24" s="494" t="e">
        <f ca="1">SUMIFS(DB_LOAD!$AU:$AU,DB_LOAD!$AW:$AW,'Refi-Annual Review'!$DB$1,DB_LOAD!$AR:$AR,'Refi-Annual Review'!$CF24,DB_LOAD!$AP:$AP,'Refi-Annual Review'!$DC$1,DB_LOAD!$AQ:$AQ,'Refi-Annual Review'!DG$2)/IF($A$23="No Data Found",1,$A$23)</f>
        <v>#NAME?</v>
      </c>
      <c r="DH24" s="494" t="e">
        <f t="shared" ca="1" si="10"/>
        <v>#NAME?</v>
      </c>
      <c r="DJ24" s="494">
        <f ca="1">SUMIFS(DB_LOAD!$AV:$AV,DB_LOAD!$AW:$AW,'Refi-Annual Review'!$DK$1,DB_LOAD!$AR:$AR,'Refi-Annual Review'!$CF24,DB_LOAD!$AP:$AP,'Refi-Annual Review'!$DL$1,DB_LOAD!$AQ:$AQ,'Refi-Annual Review'!DJ$2)</f>
        <v>0</v>
      </c>
      <c r="DK24" s="494">
        <f ca="1">SUMIFS(DB_LOAD!$AV:$AV,DB_LOAD!$AW:$AW,'Refi-Annual Review'!$DK$1,DB_LOAD!$AR:$AR,'Refi-Annual Review'!$CF24,DB_LOAD!$AP:$AP,'Refi-Annual Review'!$DL$1,DB_LOAD!$AQ:$AQ,'Refi-Annual Review'!DK$2)</f>
        <v>0</v>
      </c>
      <c r="DL24" s="494">
        <f ca="1">SUMIFS(DB_LOAD!$AV:$AV,DB_LOAD!$AW:$AW,'Refi-Annual Review'!$DK$1,DB_LOAD!$AR:$AR,'Refi-Annual Review'!$CF24,DB_LOAD!$AP:$AP,'Refi-Annual Review'!$DL$1,DB_LOAD!$AQ:$AQ,'Refi-Annual Review'!DL$2)</f>
        <v>0</v>
      </c>
      <c r="DM24" s="494">
        <f ca="1">SUMIFS(DB_LOAD!$AV:$AV,DB_LOAD!$AW:$AW,'Refi-Annual Review'!$DK$1,DB_LOAD!$AR:$AR,'Refi-Annual Review'!$CF24,DB_LOAD!$AP:$AP,'Refi-Annual Review'!$DL$1,DB_LOAD!$AQ:$AQ,'Refi-Annual Review'!DM$2)</f>
        <v>0</v>
      </c>
      <c r="DN24" s="494">
        <f ca="1">SUMIFS(DB_LOAD!$AV:$AV,DB_LOAD!$AW:$AW,'Refi-Annual Review'!$DK$1,DB_LOAD!$AR:$AR,'Refi-Annual Review'!$CF24,DB_LOAD!$AP:$AP,'Refi-Annual Review'!$DL$1,DB_LOAD!$AQ:$AQ,'Refi-Annual Review'!DN$2)</f>
        <v>0</v>
      </c>
      <c r="DO24" s="494">
        <f ca="1">SUMIFS(DB_LOAD!$AV:$AV,DB_LOAD!$AW:$AW,'Refi-Annual Review'!$DK$1,DB_LOAD!$AR:$AR,'Refi-Annual Review'!$CF24,DB_LOAD!$AP:$AP,'Refi-Annual Review'!$DL$1,DB_LOAD!$AQ:$AQ,'Refi-Annual Review'!DO$2)</f>
        <v>0</v>
      </c>
      <c r="DP24" s="494">
        <f ca="1">SUMIFS(DB_LOAD!$AV:$AV,DB_LOAD!$AW:$AW,'Refi-Annual Review'!$DK$1,DB_LOAD!$AR:$AR,'Refi-Annual Review'!$CF24,DB_LOAD!$AP:$AP,'Refi-Annual Review'!$DL$1,DB_LOAD!$AQ:$AQ,'Refi-Annual Review'!DP$2)</f>
        <v>0</v>
      </c>
      <c r="DQ24" s="494" t="str">
        <f t="shared" ca="1" si="11"/>
        <v/>
      </c>
      <c r="DS24" s="494">
        <f>SUMIFS(DB_LOAD!$AV:$AV,DB_LOAD!$AW:$AW,'Refi-Annual Review'!$DT$1,DB_LOAD!$AR:$AR,'Refi-Annual Review'!$CF24,DB_LOAD!$AP:$AP,'Refi-Annual Review'!$DU$1,DB_LOAD!$AQ:$AQ,'Refi-Annual Review'!DS$2)</f>
        <v>0</v>
      </c>
      <c r="DT24" s="494">
        <f>SUMIFS(DB_LOAD!$AV:$AV,DB_LOAD!$AW:$AW,'Refi-Annual Review'!$DT$1,DB_LOAD!$AR:$AR,'Refi-Annual Review'!$CF24,DB_LOAD!$AP:$AP,'Refi-Annual Review'!$DU$1,DB_LOAD!$AQ:$AQ,'Refi-Annual Review'!DT$2)</f>
        <v>0</v>
      </c>
      <c r="DU24" s="494">
        <f>SUMIFS(DB_LOAD!$AV:$AV,DB_LOAD!$AW:$AW,'Refi-Annual Review'!$DT$1,DB_LOAD!$AR:$AR,'Refi-Annual Review'!$CF24,DB_LOAD!$AP:$AP,'Refi-Annual Review'!$DU$1,DB_LOAD!$AQ:$AQ,'Refi-Annual Review'!DU$2)</f>
        <v>0</v>
      </c>
      <c r="DV24" s="494">
        <f>SUMIFS(DB_LOAD!$AV:$AV,DB_LOAD!$AW:$AW,'Refi-Annual Review'!$DT$1,DB_LOAD!$AR:$AR,'Refi-Annual Review'!$CF24,DB_LOAD!$AP:$AP,'Refi-Annual Review'!$DU$1,DB_LOAD!$AQ:$AQ,'Refi-Annual Review'!DV$2)</f>
        <v>0</v>
      </c>
      <c r="DW24" s="494">
        <f>SUMIFS(DB_LOAD!$AV:$AV,DB_LOAD!$AW:$AW,'Refi-Annual Review'!$DT$1,DB_LOAD!$AR:$AR,'Refi-Annual Review'!$CF24,DB_LOAD!$AP:$AP,'Refi-Annual Review'!$DU$1,DB_LOAD!$AQ:$AQ,'Refi-Annual Review'!DW$2)</f>
        <v>0</v>
      </c>
      <c r="DX24" s="494">
        <f>SUMIFS(DB_LOAD!$AV:$AV,DB_LOAD!$AW:$AW,'Refi-Annual Review'!$DT$1,DB_LOAD!$AR:$AR,'Refi-Annual Review'!$CF24,DB_LOAD!$AP:$AP,'Refi-Annual Review'!$DU$1,DB_LOAD!$AQ:$AQ,'Refi-Annual Review'!DX$2)</f>
        <v>0</v>
      </c>
      <c r="DY24" s="494">
        <f>SUMIFS(DB_LOAD!$AV:$AV,DB_LOAD!$AW:$AW,'Refi-Annual Review'!$DT$1,DB_LOAD!$AR:$AR,'Refi-Annual Review'!$CF24,DB_LOAD!$AP:$AP,'Refi-Annual Review'!$DU$1,DB_LOAD!$AQ:$AQ,'Refi-Annual Review'!DY$2)</f>
        <v>0</v>
      </c>
      <c r="DZ24" s="494" t="str">
        <f t="shared" si="12"/>
        <v/>
      </c>
    </row>
    <row r="25" spans="1:130" ht="15">
      <c r="C25" s="485">
        <f t="shared" si="25"/>
        <v>26</v>
      </c>
      <c r="D25" s="493" t="s">
        <v>17</v>
      </c>
      <c r="E25" s="568"/>
      <c r="F25" s="496"/>
      <c r="G25" s="496" t="str">
        <f ca="1">G16</f>
        <v>N/A</v>
      </c>
      <c r="H25" s="496" t="str">
        <f ca="1">H16</f>
        <v>N/A</v>
      </c>
      <c r="I25" s="496" t="str">
        <f ca="1">I16</f>
        <v>N/A</v>
      </c>
      <c r="J25" s="496" t="str">
        <f ca="1">J16</f>
        <v>N/A</v>
      </c>
      <c r="K25" s="496"/>
      <c r="L25" s="496" t="str">
        <f ca="1">L16</f>
        <v>N/A</v>
      </c>
      <c r="M25" s="496" t="str">
        <f ca="1">M16</f>
        <v>N/A</v>
      </c>
      <c r="N25" s="496" t="str">
        <f ca="1">N16</f>
        <v>N/A</v>
      </c>
      <c r="O25" s="496" t="str">
        <f ca="1">O16</f>
        <v>N/A</v>
      </c>
      <c r="P25" s="496"/>
      <c r="Q25" s="496" t="e">
        <f ca="1">Q17</f>
        <v>#NAME?</v>
      </c>
      <c r="R25" s="496" t="e">
        <f ca="1">R17</f>
        <v>#NAME?</v>
      </c>
      <c r="S25" s="496"/>
      <c r="T25" s="496"/>
      <c r="U25" s="496"/>
      <c r="AJ25" s="493" t="s">
        <v>17</v>
      </c>
      <c r="AK25" s="496" t="e">
        <f t="shared" ca="1" si="49"/>
        <v>#N/A</v>
      </c>
      <c r="AL25" s="496" t="e">
        <f t="shared" ca="1" si="49"/>
        <v>#N/A</v>
      </c>
      <c r="AM25" s="496" t="e">
        <f t="shared" ca="1" si="49"/>
        <v>#N/A</v>
      </c>
      <c r="AN25" s="496" t="e">
        <f t="shared" ca="1" si="49"/>
        <v>#N/A</v>
      </c>
      <c r="AO25" s="496" t="e">
        <f t="shared" ca="1" si="48"/>
        <v>#NAME?</v>
      </c>
      <c r="AP25" s="496" t="e">
        <f t="shared" ca="1" si="48"/>
        <v>#NAME?</v>
      </c>
      <c r="BD25" s="485" t="s">
        <v>140</v>
      </c>
      <c r="BE25" s="485" t="e">
        <f t="shared" ca="1" si="31"/>
        <v>#NAME?</v>
      </c>
      <c r="BF25" s="651" t="str">
        <f t="shared" si="29"/>
        <v/>
      </c>
      <c r="BG25" s="669" t="e">
        <f t="shared" ref="BG25:BM29" ca="1" si="50">IF(CR19+DA19=0,"",CR19+DA19)</f>
        <v>#NAME?</v>
      </c>
      <c r="BH25" s="669" t="e">
        <f t="shared" ca="1" si="50"/>
        <v>#NAME?</v>
      </c>
      <c r="BI25" s="669" t="e">
        <f t="shared" ca="1" si="50"/>
        <v>#NAME?</v>
      </c>
      <c r="BJ25" s="669" t="e">
        <f t="shared" ca="1" si="50"/>
        <v>#NAME?</v>
      </c>
      <c r="BK25" s="669" t="e">
        <f t="shared" ca="1" si="50"/>
        <v>#NAME?</v>
      </c>
      <c r="BL25" s="669" t="e">
        <f t="shared" ca="1" si="50"/>
        <v>#NAME?</v>
      </c>
      <c r="BM25" s="669" t="e">
        <f t="shared" ca="1" si="50"/>
        <v>#NAME?</v>
      </c>
      <c r="BN25" s="670" t="e">
        <f t="shared" ca="1" si="32"/>
        <v>#NAME?</v>
      </c>
      <c r="BP25" s="485" t="e">
        <f ca="1">IF(OR(DB_LOAD!AW24="USD",DB_LOAD!AW24='Refi-Annual Review'!$A$3,ISBLANK(DB_LOAD!AW24)),0,1)</f>
        <v>#NAME?</v>
      </c>
      <c r="BQ25" t="str">
        <f>(IF(ISBLANK(DB_LOAD!AR24),"",DB_LOAD!AR24))</f>
        <v/>
      </c>
      <c r="BR25" t="str">
        <f t="shared" si="3"/>
        <v/>
      </c>
      <c r="BS25" t="str">
        <f t="shared" si="7"/>
        <v/>
      </c>
      <c r="BT25" t="str">
        <f t="shared" si="13"/>
        <v>5500000250000016064001572600</v>
      </c>
      <c r="BU25" t="str">
        <f t="shared" si="4"/>
        <v/>
      </c>
      <c r="BV25" t="str">
        <f t="shared" si="14"/>
        <v>7777</v>
      </c>
      <c r="BW25" t="str">
        <f t="shared" si="5"/>
        <v/>
      </c>
      <c r="BX25" t="str">
        <f t="shared" si="15"/>
        <v>1111</v>
      </c>
      <c r="BY25"/>
      <c r="BZ25"/>
      <c r="CA25"/>
      <c r="CB25" s="683" t="str">
        <f t="shared" si="16"/>
        <v/>
      </c>
      <c r="CC25" s="683" t="str">
        <f t="shared" si="17"/>
        <v/>
      </c>
      <c r="CD25" s="683" t="str">
        <f>IF(CC25="","",VALUE(MID($BZ$5,1+SUM($CC$3:CC24),CC25)))</f>
        <v/>
      </c>
      <c r="CE25">
        <f t="shared" si="18"/>
        <v>23</v>
      </c>
      <c r="CF25" t="str">
        <f>IF(CD25="","",MID($BZ$4,1+SUM($CD$3:CD24),CD25))</f>
        <v/>
      </c>
      <c r="CI25" s="494" t="e">
        <f ca="1">SUMIFS(DB_LOAD!$AU:$AU,DB_LOAD!$AW:$AW,'Refi-Annual Review'!$CJ$1,DB_LOAD!$AR:$AR,'Refi-Annual Review'!$CF25,DB_LOAD!$AP:$AP,'Refi-Annual Review'!$CK$1,DB_LOAD!$AQ:$AQ,'Refi-Annual Review'!CI$2)/DB_LOAD!$K$2</f>
        <v>#DIV/0!</v>
      </c>
      <c r="CJ25" s="494" t="e">
        <f ca="1">SUMIFS(DB_LOAD!$AU:$AU,DB_LOAD!$AW:$AW,'Refi-Annual Review'!$CJ$1,DB_LOAD!$AR:$AR,'Refi-Annual Review'!$CF25,DB_LOAD!$AP:$AP,'Refi-Annual Review'!$CK$1,DB_LOAD!$AQ:$AQ,'Refi-Annual Review'!CJ$2)/DB_LOAD!$K$2</f>
        <v>#DIV/0!</v>
      </c>
      <c r="CK25" s="494" t="e">
        <f ca="1">SUMIFS(DB_LOAD!$AU:$AU,DB_LOAD!$AW:$AW,'Refi-Annual Review'!$CJ$1,DB_LOAD!$AR:$AR,'Refi-Annual Review'!$CF25,DB_LOAD!$AP:$AP,'Refi-Annual Review'!$CK$1,DB_LOAD!$AQ:$AQ,'Refi-Annual Review'!CK$2)/DB_LOAD!$K$2</f>
        <v>#DIV/0!</v>
      </c>
      <c r="CL25" s="494" t="e">
        <f ca="1">SUMIFS(DB_LOAD!$AU:$AU,DB_LOAD!$AW:$AW,'Refi-Annual Review'!$CJ$1,DB_LOAD!$AR:$AR,'Refi-Annual Review'!$CF25,DB_LOAD!$AP:$AP,'Refi-Annual Review'!$CK$1,DB_LOAD!$AQ:$AQ,'Refi-Annual Review'!CL$2)/DB_LOAD!$K$2</f>
        <v>#DIV/0!</v>
      </c>
      <c r="CM25" s="494" t="e">
        <f ca="1">SUMIFS(DB_LOAD!$AU:$AU,DB_LOAD!$AW:$AW,'Refi-Annual Review'!$CJ$1,DB_LOAD!$AR:$AR,'Refi-Annual Review'!$CF25,DB_LOAD!$AP:$AP,'Refi-Annual Review'!$CK$1,DB_LOAD!$AQ:$AQ,'Refi-Annual Review'!CM$2)/DB_LOAD!$K$2</f>
        <v>#DIV/0!</v>
      </c>
      <c r="CN25" s="494" t="e">
        <f ca="1">SUMIFS(DB_LOAD!$AU:$AU,DB_LOAD!$AW:$AW,'Refi-Annual Review'!$CJ$1,DB_LOAD!$AR:$AR,'Refi-Annual Review'!$CF25,DB_LOAD!$AP:$AP,'Refi-Annual Review'!$CK$1,DB_LOAD!$AQ:$AQ,'Refi-Annual Review'!CN$2)/DB_LOAD!$K$2</f>
        <v>#DIV/0!</v>
      </c>
      <c r="CO25" s="494" t="e">
        <f ca="1">SUMIFS(DB_LOAD!$AU:$AU,DB_LOAD!$AW:$AW,'Refi-Annual Review'!$CJ$1,DB_LOAD!$AR:$AR,'Refi-Annual Review'!$CF25,DB_LOAD!$AP:$AP,'Refi-Annual Review'!$CK$1,DB_LOAD!$AQ:$AQ,'Refi-Annual Review'!CO$2)/DB_LOAD!$K$2</f>
        <v>#DIV/0!</v>
      </c>
      <c r="CP25" s="494" t="e">
        <f t="shared" ca="1" si="8"/>
        <v>#DIV/0!</v>
      </c>
      <c r="CR25" s="494">
        <f ca="1">SUMIFS(DB_LOAD!$AV:$AV,DB_LOAD!$AW:$AW,'Refi-Annual Review'!$CS$1,DB_LOAD!$AR:$AR,'Refi-Annual Review'!$CF25,DB_LOAD!$AP:$AP,'Refi-Annual Review'!$CT$1,DB_LOAD!$AQ:$AQ,'Refi-Annual Review'!CR$2)</f>
        <v>0</v>
      </c>
      <c r="CS25" s="494">
        <f ca="1">SUMIFS(DB_LOAD!$AV:$AV,DB_LOAD!$AW:$AW,'Refi-Annual Review'!$CS$1,DB_LOAD!$AR:$AR,'Refi-Annual Review'!$CF25,DB_LOAD!$AP:$AP,'Refi-Annual Review'!$CT$1,DB_LOAD!$AQ:$AQ,'Refi-Annual Review'!CS$2)</f>
        <v>0</v>
      </c>
      <c r="CT25" s="494">
        <f ca="1">SUMIFS(DB_LOAD!$AV:$AV,DB_LOAD!$AW:$AW,'Refi-Annual Review'!$CS$1,DB_LOAD!$AR:$AR,'Refi-Annual Review'!$CF25,DB_LOAD!$AP:$AP,'Refi-Annual Review'!$CT$1,DB_LOAD!$AQ:$AQ,'Refi-Annual Review'!CT$2)</f>
        <v>0</v>
      </c>
      <c r="CU25" s="494">
        <f ca="1">SUMIFS(DB_LOAD!$AV:$AV,DB_LOAD!$AW:$AW,'Refi-Annual Review'!$CS$1,DB_LOAD!$AR:$AR,'Refi-Annual Review'!$CF25,DB_LOAD!$AP:$AP,'Refi-Annual Review'!$CT$1,DB_LOAD!$AQ:$AQ,'Refi-Annual Review'!CU$2)</f>
        <v>0</v>
      </c>
      <c r="CV25" s="494">
        <f ca="1">SUMIFS(DB_LOAD!$AV:$AV,DB_LOAD!$AW:$AW,'Refi-Annual Review'!$CS$1,DB_LOAD!$AR:$AR,'Refi-Annual Review'!$CF25,DB_LOAD!$AP:$AP,'Refi-Annual Review'!$CT$1,DB_LOAD!$AQ:$AQ,'Refi-Annual Review'!CV$2)</f>
        <v>0</v>
      </c>
      <c r="CW25" s="494">
        <f ca="1">SUMIFS(DB_LOAD!$AV:$AV,DB_LOAD!$AW:$AW,'Refi-Annual Review'!$CS$1,DB_LOAD!$AR:$AR,'Refi-Annual Review'!$CF25,DB_LOAD!$AP:$AP,'Refi-Annual Review'!$CT$1,DB_LOAD!$AQ:$AQ,'Refi-Annual Review'!CW$2)</f>
        <v>0</v>
      </c>
      <c r="CX25" s="494">
        <f ca="1">SUMIFS(DB_LOAD!$AV:$AV,DB_LOAD!$AW:$AW,'Refi-Annual Review'!$CS$1,DB_LOAD!$AR:$AR,'Refi-Annual Review'!$CF25,DB_LOAD!$AP:$AP,'Refi-Annual Review'!$CT$1,DB_LOAD!$AQ:$AQ,'Refi-Annual Review'!CX$2)</f>
        <v>0</v>
      </c>
      <c r="CY25" s="494" t="str">
        <f t="shared" ca="1" si="9"/>
        <v/>
      </c>
      <c r="DA25" s="494" t="e">
        <f ca="1">SUMIFS(DB_LOAD!$AU:$AU,DB_LOAD!$AW:$AW,'Refi-Annual Review'!$DB$1,DB_LOAD!$AR:$AR,'Refi-Annual Review'!$CF25,DB_LOAD!$AP:$AP,'Refi-Annual Review'!$DC$1,DB_LOAD!$AQ:$AQ,'Refi-Annual Review'!DA$2)/IF($A$23="No Data Found",1,$A$23)</f>
        <v>#NAME?</v>
      </c>
      <c r="DB25" s="494" t="e">
        <f ca="1">SUMIFS(DB_LOAD!$AU:$AU,DB_LOAD!$AW:$AW,'Refi-Annual Review'!$DB$1,DB_LOAD!$AR:$AR,'Refi-Annual Review'!$CF25,DB_LOAD!$AP:$AP,'Refi-Annual Review'!$DC$1,DB_LOAD!$AQ:$AQ,'Refi-Annual Review'!DB$2)/IF($A$23="No Data Found",1,$A$23)</f>
        <v>#NAME?</v>
      </c>
      <c r="DC25" s="494" t="e">
        <f ca="1">SUMIFS(DB_LOAD!$AU:$AU,DB_LOAD!$AW:$AW,'Refi-Annual Review'!$DB$1,DB_LOAD!$AR:$AR,'Refi-Annual Review'!$CF25,DB_LOAD!$AP:$AP,'Refi-Annual Review'!$DC$1,DB_LOAD!$AQ:$AQ,'Refi-Annual Review'!DC$2)/IF($A$23="No Data Found",1,$A$23)</f>
        <v>#NAME?</v>
      </c>
      <c r="DD25" s="494" t="e">
        <f ca="1">SUMIFS(DB_LOAD!$AU:$AU,DB_LOAD!$AW:$AW,'Refi-Annual Review'!$DB$1,DB_LOAD!$AR:$AR,'Refi-Annual Review'!$CF25,DB_LOAD!$AP:$AP,'Refi-Annual Review'!$DC$1,DB_LOAD!$AQ:$AQ,'Refi-Annual Review'!DD$2)/IF($A$23="No Data Found",1,$A$23)</f>
        <v>#NAME?</v>
      </c>
      <c r="DE25" s="494" t="e">
        <f ca="1">SUMIFS(DB_LOAD!$AU:$AU,DB_LOAD!$AW:$AW,'Refi-Annual Review'!$DB$1,DB_LOAD!$AR:$AR,'Refi-Annual Review'!$CF25,DB_LOAD!$AP:$AP,'Refi-Annual Review'!$DC$1,DB_LOAD!$AQ:$AQ,'Refi-Annual Review'!DE$2)/IF($A$23="No Data Found",1,$A$23)</f>
        <v>#NAME?</v>
      </c>
      <c r="DF25" s="494" t="e">
        <f ca="1">SUMIFS(DB_LOAD!$AU:$AU,DB_LOAD!$AW:$AW,'Refi-Annual Review'!$DB$1,DB_LOAD!$AR:$AR,'Refi-Annual Review'!$CF25,DB_LOAD!$AP:$AP,'Refi-Annual Review'!$DC$1,DB_LOAD!$AQ:$AQ,'Refi-Annual Review'!DF$2)/IF($A$23="No Data Found",1,$A$23)</f>
        <v>#NAME?</v>
      </c>
      <c r="DG25" s="494" t="e">
        <f ca="1">SUMIFS(DB_LOAD!$AU:$AU,DB_LOAD!$AW:$AW,'Refi-Annual Review'!$DB$1,DB_LOAD!$AR:$AR,'Refi-Annual Review'!$CF25,DB_LOAD!$AP:$AP,'Refi-Annual Review'!$DC$1,DB_LOAD!$AQ:$AQ,'Refi-Annual Review'!DG$2)/IF($A$23="No Data Found",1,$A$23)</f>
        <v>#NAME?</v>
      </c>
      <c r="DH25" s="494" t="e">
        <f t="shared" ca="1" si="10"/>
        <v>#NAME?</v>
      </c>
      <c r="DJ25" s="494">
        <f ca="1">SUMIFS(DB_LOAD!$AV:$AV,DB_LOAD!$AW:$AW,'Refi-Annual Review'!$DK$1,DB_LOAD!$AR:$AR,'Refi-Annual Review'!$CF25,DB_LOAD!$AP:$AP,'Refi-Annual Review'!$DL$1,DB_LOAD!$AQ:$AQ,'Refi-Annual Review'!DJ$2)</f>
        <v>0</v>
      </c>
      <c r="DK25" s="494">
        <f ca="1">SUMIFS(DB_LOAD!$AV:$AV,DB_LOAD!$AW:$AW,'Refi-Annual Review'!$DK$1,DB_LOAD!$AR:$AR,'Refi-Annual Review'!$CF25,DB_LOAD!$AP:$AP,'Refi-Annual Review'!$DL$1,DB_LOAD!$AQ:$AQ,'Refi-Annual Review'!DK$2)</f>
        <v>0</v>
      </c>
      <c r="DL25" s="494">
        <f ca="1">SUMIFS(DB_LOAD!$AV:$AV,DB_LOAD!$AW:$AW,'Refi-Annual Review'!$DK$1,DB_LOAD!$AR:$AR,'Refi-Annual Review'!$CF25,DB_LOAD!$AP:$AP,'Refi-Annual Review'!$DL$1,DB_LOAD!$AQ:$AQ,'Refi-Annual Review'!DL$2)</f>
        <v>0</v>
      </c>
      <c r="DM25" s="494">
        <f ca="1">SUMIFS(DB_LOAD!$AV:$AV,DB_LOAD!$AW:$AW,'Refi-Annual Review'!$DK$1,DB_LOAD!$AR:$AR,'Refi-Annual Review'!$CF25,DB_LOAD!$AP:$AP,'Refi-Annual Review'!$DL$1,DB_LOAD!$AQ:$AQ,'Refi-Annual Review'!DM$2)</f>
        <v>0</v>
      </c>
      <c r="DN25" s="494">
        <f ca="1">SUMIFS(DB_LOAD!$AV:$AV,DB_LOAD!$AW:$AW,'Refi-Annual Review'!$DK$1,DB_LOAD!$AR:$AR,'Refi-Annual Review'!$CF25,DB_LOAD!$AP:$AP,'Refi-Annual Review'!$DL$1,DB_LOAD!$AQ:$AQ,'Refi-Annual Review'!DN$2)</f>
        <v>0</v>
      </c>
      <c r="DO25" s="494">
        <f ca="1">SUMIFS(DB_LOAD!$AV:$AV,DB_LOAD!$AW:$AW,'Refi-Annual Review'!$DK$1,DB_LOAD!$AR:$AR,'Refi-Annual Review'!$CF25,DB_LOAD!$AP:$AP,'Refi-Annual Review'!$DL$1,DB_LOAD!$AQ:$AQ,'Refi-Annual Review'!DO$2)</f>
        <v>0</v>
      </c>
      <c r="DP25" s="494">
        <f ca="1">SUMIFS(DB_LOAD!$AV:$AV,DB_LOAD!$AW:$AW,'Refi-Annual Review'!$DK$1,DB_LOAD!$AR:$AR,'Refi-Annual Review'!$CF25,DB_LOAD!$AP:$AP,'Refi-Annual Review'!$DL$1,DB_LOAD!$AQ:$AQ,'Refi-Annual Review'!DP$2)</f>
        <v>0</v>
      </c>
      <c r="DQ25" s="494" t="str">
        <f t="shared" ca="1" si="11"/>
        <v/>
      </c>
      <c r="DS25" s="494">
        <f>SUMIFS(DB_LOAD!$AV:$AV,DB_LOAD!$AW:$AW,'Refi-Annual Review'!$DT$1,DB_LOAD!$AR:$AR,'Refi-Annual Review'!$CF25,DB_LOAD!$AP:$AP,'Refi-Annual Review'!$DU$1,DB_LOAD!$AQ:$AQ,'Refi-Annual Review'!DS$2)</f>
        <v>0</v>
      </c>
      <c r="DT25" s="494">
        <f>SUMIFS(DB_LOAD!$AV:$AV,DB_LOAD!$AW:$AW,'Refi-Annual Review'!$DT$1,DB_LOAD!$AR:$AR,'Refi-Annual Review'!$CF25,DB_LOAD!$AP:$AP,'Refi-Annual Review'!$DU$1,DB_LOAD!$AQ:$AQ,'Refi-Annual Review'!DT$2)</f>
        <v>0</v>
      </c>
      <c r="DU25" s="494">
        <f>SUMIFS(DB_LOAD!$AV:$AV,DB_LOAD!$AW:$AW,'Refi-Annual Review'!$DT$1,DB_LOAD!$AR:$AR,'Refi-Annual Review'!$CF25,DB_LOAD!$AP:$AP,'Refi-Annual Review'!$DU$1,DB_LOAD!$AQ:$AQ,'Refi-Annual Review'!DU$2)</f>
        <v>0</v>
      </c>
      <c r="DV25" s="494">
        <f>SUMIFS(DB_LOAD!$AV:$AV,DB_LOAD!$AW:$AW,'Refi-Annual Review'!$DT$1,DB_LOAD!$AR:$AR,'Refi-Annual Review'!$CF25,DB_LOAD!$AP:$AP,'Refi-Annual Review'!$DU$1,DB_LOAD!$AQ:$AQ,'Refi-Annual Review'!DV$2)</f>
        <v>0</v>
      </c>
      <c r="DW25" s="494">
        <f>SUMIFS(DB_LOAD!$AV:$AV,DB_LOAD!$AW:$AW,'Refi-Annual Review'!$DT$1,DB_LOAD!$AR:$AR,'Refi-Annual Review'!$CF25,DB_LOAD!$AP:$AP,'Refi-Annual Review'!$DU$1,DB_LOAD!$AQ:$AQ,'Refi-Annual Review'!DW$2)</f>
        <v>0</v>
      </c>
      <c r="DX25" s="494">
        <f>SUMIFS(DB_LOAD!$AV:$AV,DB_LOAD!$AW:$AW,'Refi-Annual Review'!$DT$1,DB_LOAD!$AR:$AR,'Refi-Annual Review'!$CF25,DB_LOAD!$AP:$AP,'Refi-Annual Review'!$DU$1,DB_LOAD!$AQ:$AQ,'Refi-Annual Review'!DX$2)</f>
        <v>0</v>
      </c>
      <c r="DY25" s="494">
        <f>SUMIFS(DB_LOAD!$AV:$AV,DB_LOAD!$AW:$AW,'Refi-Annual Review'!$DT$1,DB_LOAD!$AR:$AR,'Refi-Annual Review'!$CF25,DB_LOAD!$AP:$AP,'Refi-Annual Review'!$DU$1,DB_LOAD!$AQ:$AQ,'Refi-Annual Review'!DY$2)</f>
        <v>0</v>
      </c>
      <c r="DZ25" s="494" t="str">
        <f t="shared" si="12"/>
        <v/>
      </c>
    </row>
    <row r="26" spans="1:130" ht="15">
      <c r="C26" s="485">
        <f t="shared" si="25"/>
        <v>27</v>
      </c>
      <c r="D26" s="493" t="s">
        <v>15</v>
      </c>
      <c r="E26" s="568"/>
      <c r="F26" s="496" t="e">
        <f ca="1">ABS(F120/(F121+F123+F128))</f>
        <v>#N/A</v>
      </c>
      <c r="G26" s="496" t="e">
        <f ca="1">ABS(G120/(G121+G123+G128))</f>
        <v>#N/A</v>
      </c>
      <c r="H26" s="496" t="e">
        <f ca="1">ABS(H120/(H121+H123+H128))</f>
        <v>#N/A</v>
      </c>
      <c r="I26" s="496" t="e">
        <f ca="1">ABS(I120/(I121+I123+I128))</f>
        <v>#N/A</v>
      </c>
      <c r="J26" s="496" t="e">
        <f ca="1">ABS(J120/(J121+J123+J128))</f>
        <v>#N/A</v>
      </c>
      <c r="K26" s="496"/>
      <c r="L26" s="496" t="e">
        <f ca="1">ABS(L120/(L121+L123+L128))</f>
        <v>#NAME?</v>
      </c>
      <c r="M26" s="496" t="e">
        <f ca="1">ABS(M120/(M121+M123+M128))</f>
        <v>#NAME?</v>
      </c>
      <c r="N26" s="496" t="e">
        <f ca="1">ABS(N120/(N121+N123+N128))</f>
        <v>#NAME?</v>
      </c>
      <c r="O26" s="496" t="e">
        <f ca="1">ABS(O120/(O121+O123+O128))</f>
        <v>#NAME?</v>
      </c>
      <c r="P26" s="496"/>
      <c r="Q26" s="496" t="e">
        <f ca="1">ABS((Q120+Q127)/(Q121+Q122+Q123+Q128))</f>
        <v>#NAME?</v>
      </c>
      <c r="R26" s="496" t="e">
        <f ca="1">ABS((R120+R127)/(R121+R122+R123+R128))</f>
        <v>#NAME?</v>
      </c>
      <c r="S26" s="496"/>
      <c r="T26" s="496"/>
      <c r="U26" s="496"/>
      <c r="AJ26" s="493" t="s">
        <v>15</v>
      </c>
      <c r="AK26" s="496" t="e">
        <f t="shared" ca="1" si="49"/>
        <v>#N/A</v>
      </c>
      <c r="AL26" s="496" t="e">
        <f t="shared" ca="1" si="49"/>
        <v>#N/A</v>
      </c>
      <c r="AM26" s="496" t="e">
        <f t="shared" ca="1" si="49"/>
        <v>#N/A</v>
      </c>
      <c r="AN26" s="496" t="e">
        <f t="shared" ca="1" si="49"/>
        <v>#N/A</v>
      </c>
      <c r="AO26" s="496" t="e">
        <f t="shared" ca="1" si="48"/>
        <v>#NAME?</v>
      </c>
      <c r="AP26" s="496" t="e">
        <f t="shared" ca="1" si="48"/>
        <v>#NAME?</v>
      </c>
      <c r="BD26" s="485" t="s">
        <v>140</v>
      </c>
      <c r="BE26" s="485" t="e">
        <f t="shared" ca="1" si="31"/>
        <v>#NAME?</v>
      </c>
      <c r="BF26" s="651" t="str">
        <f t="shared" si="29"/>
        <v/>
      </c>
      <c r="BG26" s="669" t="e">
        <f t="shared" ca="1" si="50"/>
        <v>#NAME?</v>
      </c>
      <c r="BH26" s="669" t="e">
        <f t="shared" ca="1" si="50"/>
        <v>#NAME?</v>
      </c>
      <c r="BI26" s="669" t="e">
        <f t="shared" ca="1" si="50"/>
        <v>#NAME?</v>
      </c>
      <c r="BJ26" s="669" t="e">
        <f t="shared" ca="1" si="50"/>
        <v>#NAME?</v>
      </c>
      <c r="BK26" s="669" t="e">
        <f t="shared" ca="1" si="50"/>
        <v>#NAME?</v>
      </c>
      <c r="BL26" s="669" t="e">
        <f t="shared" ca="1" si="50"/>
        <v>#NAME?</v>
      </c>
      <c r="BM26" s="669" t="e">
        <f t="shared" ca="1" si="50"/>
        <v>#NAME?</v>
      </c>
      <c r="BN26" s="670" t="e">
        <f t="shared" ca="1" si="32"/>
        <v>#NAME?</v>
      </c>
      <c r="BP26" s="485" t="e">
        <f ca="1">IF(OR(DB_LOAD!AW25="USD",DB_LOAD!AW25='Refi-Annual Review'!$A$3,ISBLANK(DB_LOAD!AW25)),0,1)</f>
        <v>#NAME?</v>
      </c>
      <c r="BQ26" t="str">
        <f>(IF(ISBLANK(DB_LOAD!AR25),"",DB_LOAD!AR25))</f>
        <v/>
      </c>
      <c r="BR26" t="str">
        <f t="shared" si="3"/>
        <v/>
      </c>
      <c r="BS26" t="str">
        <f t="shared" si="7"/>
        <v/>
      </c>
      <c r="BT26" t="str">
        <f t="shared" si="13"/>
        <v>5500000250000016064001572600</v>
      </c>
      <c r="BU26" t="str">
        <f t="shared" si="4"/>
        <v/>
      </c>
      <c r="BV26" t="str">
        <f t="shared" si="14"/>
        <v>7777</v>
      </c>
      <c r="BW26" t="str">
        <f t="shared" si="5"/>
        <v/>
      </c>
      <c r="BX26" t="str">
        <f t="shared" si="15"/>
        <v>1111</v>
      </c>
      <c r="BY26"/>
      <c r="BZ26"/>
      <c r="CA26"/>
      <c r="CB26" s="683" t="str">
        <f>IF(CB25&lt;$BZ$3,CB25+1,"")</f>
        <v/>
      </c>
      <c r="CC26" s="683" t="str">
        <f t="shared" si="17"/>
        <v/>
      </c>
      <c r="CD26" s="683" t="str">
        <f>IF(CC26="","",VALUE(MID($BZ$5,1+SUM($CC$3:CC25),CC26)))</f>
        <v/>
      </c>
      <c r="CE26">
        <f>CE25+1</f>
        <v>24</v>
      </c>
      <c r="CF26" t="str">
        <f>IF(CD26="","",MID($BZ$4,1+SUM($CD$3:CD25),CD26))</f>
        <v/>
      </c>
      <c r="CI26" s="494" t="e">
        <f ca="1">SUMIFS(DB_LOAD!$AU:$AU,DB_LOAD!$AW:$AW,'Refi-Annual Review'!$CJ$1,DB_LOAD!$AR:$AR,'Refi-Annual Review'!$CF26,DB_LOAD!$AP:$AP,'Refi-Annual Review'!$CK$1,DB_LOAD!$AQ:$AQ,'Refi-Annual Review'!CI$2)/DB_LOAD!$K$2</f>
        <v>#DIV/0!</v>
      </c>
      <c r="CJ26" s="494" t="e">
        <f ca="1">SUMIFS(DB_LOAD!$AU:$AU,DB_LOAD!$AW:$AW,'Refi-Annual Review'!$CJ$1,DB_LOAD!$AR:$AR,'Refi-Annual Review'!$CF26,DB_LOAD!$AP:$AP,'Refi-Annual Review'!$CK$1,DB_LOAD!$AQ:$AQ,'Refi-Annual Review'!CJ$2)/DB_LOAD!$K$2</f>
        <v>#DIV/0!</v>
      </c>
      <c r="CK26" s="494" t="e">
        <f ca="1">SUMIFS(DB_LOAD!$AU:$AU,DB_LOAD!$AW:$AW,'Refi-Annual Review'!$CJ$1,DB_LOAD!$AR:$AR,'Refi-Annual Review'!$CF26,DB_LOAD!$AP:$AP,'Refi-Annual Review'!$CK$1,DB_LOAD!$AQ:$AQ,'Refi-Annual Review'!CK$2)/DB_LOAD!$K$2</f>
        <v>#DIV/0!</v>
      </c>
      <c r="CL26" s="494" t="e">
        <f ca="1">SUMIFS(DB_LOAD!$AU:$AU,DB_LOAD!$AW:$AW,'Refi-Annual Review'!$CJ$1,DB_LOAD!$AR:$AR,'Refi-Annual Review'!$CF26,DB_LOAD!$AP:$AP,'Refi-Annual Review'!$CK$1,DB_LOAD!$AQ:$AQ,'Refi-Annual Review'!CL$2)/DB_LOAD!$K$2</f>
        <v>#DIV/0!</v>
      </c>
      <c r="CM26" s="494" t="e">
        <f ca="1">SUMIFS(DB_LOAD!$AU:$AU,DB_LOAD!$AW:$AW,'Refi-Annual Review'!$CJ$1,DB_LOAD!$AR:$AR,'Refi-Annual Review'!$CF26,DB_LOAD!$AP:$AP,'Refi-Annual Review'!$CK$1,DB_LOAD!$AQ:$AQ,'Refi-Annual Review'!CM$2)/DB_LOAD!$K$2</f>
        <v>#DIV/0!</v>
      </c>
      <c r="CN26" s="494" t="e">
        <f ca="1">SUMIFS(DB_LOAD!$AU:$AU,DB_LOAD!$AW:$AW,'Refi-Annual Review'!$CJ$1,DB_LOAD!$AR:$AR,'Refi-Annual Review'!$CF26,DB_LOAD!$AP:$AP,'Refi-Annual Review'!$CK$1,DB_LOAD!$AQ:$AQ,'Refi-Annual Review'!CN$2)/DB_LOAD!$K$2</f>
        <v>#DIV/0!</v>
      </c>
      <c r="CO26" s="494" t="e">
        <f ca="1">SUMIFS(DB_LOAD!$AU:$AU,DB_LOAD!$AW:$AW,'Refi-Annual Review'!$CJ$1,DB_LOAD!$AR:$AR,'Refi-Annual Review'!$CF26,DB_LOAD!$AP:$AP,'Refi-Annual Review'!$CK$1,DB_LOAD!$AQ:$AQ,'Refi-Annual Review'!CO$2)/DB_LOAD!$K$2</f>
        <v>#DIV/0!</v>
      </c>
      <c r="CP26" s="494" t="e">
        <f t="shared" ref="CP26:CP34" ca="1" si="51">IF(SUM(CI26:CO26)=0,"",$CE26)</f>
        <v>#DIV/0!</v>
      </c>
      <c r="CR26" s="494">
        <f ca="1">SUMIFS(DB_LOAD!$AV:$AV,DB_LOAD!$AW:$AW,'Refi-Annual Review'!$CS$1,DB_LOAD!$AR:$AR,'Refi-Annual Review'!$CF26,DB_LOAD!$AP:$AP,'Refi-Annual Review'!$CT$1,DB_LOAD!$AQ:$AQ,'Refi-Annual Review'!CR$2)</f>
        <v>0</v>
      </c>
      <c r="CS26" s="494">
        <f ca="1">SUMIFS(DB_LOAD!$AV:$AV,DB_LOAD!$AW:$AW,'Refi-Annual Review'!$CS$1,DB_LOAD!$AR:$AR,'Refi-Annual Review'!$CF26,DB_LOAD!$AP:$AP,'Refi-Annual Review'!$CT$1,DB_LOAD!$AQ:$AQ,'Refi-Annual Review'!CS$2)</f>
        <v>0</v>
      </c>
      <c r="CT26" s="494">
        <f ca="1">SUMIFS(DB_LOAD!$AV:$AV,DB_LOAD!$AW:$AW,'Refi-Annual Review'!$CS$1,DB_LOAD!$AR:$AR,'Refi-Annual Review'!$CF26,DB_LOAD!$AP:$AP,'Refi-Annual Review'!$CT$1,DB_LOAD!$AQ:$AQ,'Refi-Annual Review'!CT$2)</f>
        <v>0</v>
      </c>
      <c r="CU26" s="494">
        <f ca="1">SUMIFS(DB_LOAD!$AV:$AV,DB_LOAD!$AW:$AW,'Refi-Annual Review'!$CS$1,DB_LOAD!$AR:$AR,'Refi-Annual Review'!$CF26,DB_LOAD!$AP:$AP,'Refi-Annual Review'!$CT$1,DB_LOAD!$AQ:$AQ,'Refi-Annual Review'!CU$2)</f>
        <v>0</v>
      </c>
      <c r="CV26" s="494">
        <f ca="1">SUMIFS(DB_LOAD!$AV:$AV,DB_LOAD!$AW:$AW,'Refi-Annual Review'!$CS$1,DB_LOAD!$AR:$AR,'Refi-Annual Review'!$CF26,DB_LOAD!$AP:$AP,'Refi-Annual Review'!$CT$1,DB_LOAD!$AQ:$AQ,'Refi-Annual Review'!CV$2)</f>
        <v>0</v>
      </c>
      <c r="CW26" s="494">
        <f ca="1">SUMIFS(DB_LOAD!$AV:$AV,DB_LOAD!$AW:$AW,'Refi-Annual Review'!$CS$1,DB_LOAD!$AR:$AR,'Refi-Annual Review'!$CF26,DB_LOAD!$AP:$AP,'Refi-Annual Review'!$CT$1,DB_LOAD!$AQ:$AQ,'Refi-Annual Review'!CW$2)</f>
        <v>0</v>
      </c>
      <c r="CX26" s="494">
        <f ca="1">SUMIFS(DB_LOAD!$AV:$AV,DB_LOAD!$AW:$AW,'Refi-Annual Review'!$CS$1,DB_LOAD!$AR:$AR,'Refi-Annual Review'!$CF26,DB_LOAD!$AP:$AP,'Refi-Annual Review'!$CT$1,DB_LOAD!$AQ:$AQ,'Refi-Annual Review'!CX$2)</f>
        <v>0</v>
      </c>
      <c r="CY26" s="494" t="str">
        <f t="shared" ref="CY26:CY34" ca="1" si="52">IF(SUM(CR26:CX26)=0,"",$CE26)</f>
        <v/>
      </c>
      <c r="DA26" s="494" t="e">
        <f ca="1">SUMIFS(DB_LOAD!$AU:$AU,DB_LOAD!$AW:$AW,'Refi-Annual Review'!$DB$1,DB_LOAD!$AR:$AR,'Refi-Annual Review'!$CF26,DB_LOAD!$AP:$AP,'Refi-Annual Review'!$DC$1,DB_LOAD!$AQ:$AQ,'Refi-Annual Review'!DA$2)/IF($A$23="No Data Found",1,$A$23)</f>
        <v>#NAME?</v>
      </c>
      <c r="DB26" s="494" t="e">
        <f ca="1">SUMIFS(DB_LOAD!$AU:$AU,DB_LOAD!$AW:$AW,'Refi-Annual Review'!$DB$1,DB_LOAD!$AR:$AR,'Refi-Annual Review'!$CF26,DB_LOAD!$AP:$AP,'Refi-Annual Review'!$DC$1,DB_LOAD!$AQ:$AQ,'Refi-Annual Review'!DB$2)/IF($A$23="No Data Found",1,$A$23)</f>
        <v>#NAME?</v>
      </c>
      <c r="DC26" s="494" t="e">
        <f ca="1">SUMIFS(DB_LOAD!$AU:$AU,DB_LOAD!$AW:$AW,'Refi-Annual Review'!$DB$1,DB_LOAD!$AR:$AR,'Refi-Annual Review'!$CF26,DB_LOAD!$AP:$AP,'Refi-Annual Review'!$DC$1,DB_LOAD!$AQ:$AQ,'Refi-Annual Review'!DC$2)/IF($A$23="No Data Found",1,$A$23)</f>
        <v>#NAME?</v>
      </c>
      <c r="DD26" s="494" t="e">
        <f ca="1">SUMIFS(DB_LOAD!$AU:$AU,DB_LOAD!$AW:$AW,'Refi-Annual Review'!$DB$1,DB_LOAD!$AR:$AR,'Refi-Annual Review'!$CF26,DB_LOAD!$AP:$AP,'Refi-Annual Review'!$DC$1,DB_LOAD!$AQ:$AQ,'Refi-Annual Review'!DD$2)/IF($A$23="No Data Found",1,$A$23)</f>
        <v>#NAME?</v>
      </c>
      <c r="DE26" s="494" t="e">
        <f ca="1">SUMIFS(DB_LOAD!$AU:$AU,DB_LOAD!$AW:$AW,'Refi-Annual Review'!$DB$1,DB_LOAD!$AR:$AR,'Refi-Annual Review'!$CF26,DB_LOAD!$AP:$AP,'Refi-Annual Review'!$DC$1,DB_LOAD!$AQ:$AQ,'Refi-Annual Review'!DE$2)/IF($A$23="No Data Found",1,$A$23)</f>
        <v>#NAME?</v>
      </c>
      <c r="DF26" s="494" t="e">
        <f ca="1">SUMIFS(DB_LOAD!$AU:$AU,DB_LOAD!$AW:$AW,'Refi-Annual Review'!$DB$1,DB_LOAD!$AR:$AR,'Refi-Annual Review'!$CF26,DB_LOAD!$AP:$AP,'Refi-Annual Review'!$DC$1,DB_LOAD!$AQ:$AQ,'Refi-Annual Review'!DF$2)/IF($A$23="No Data Found",1,$A$23)</f>
        <v>#NAME?</v>
      </c>
      <c r="DG26" s="494" t="e">
        <f ca="1">SUMIFS(DB_LOAD!$AU:$AU,DB_LOAD!$AW:$AW,'Refi-Annual Review'!$DB$1,DB_LOAD!$AR:$AR,'Refi-Annual Review'!$CF26,DB_LOAD!$AP:$AP,'Refi-Annual Review'!$DC$1,DB_LOAD!$AQ:$AQ,'Refi-Annual Review'!DG$2)/IF($A$23="No Data Found",1,$A$23)</f>
        <v>#NAME?</v>
      </c>
      <c r="DH26" s="494" t="e">
        <f t="shared" ref="DH26:DH34" ca="1" si="53">IF(SUM(DA26:DG26)=0,"",$CE26)</f>
        <v>#NAME?</v>
      </c>
      <c r="DJ26" s="494">
        <f ca="1">SUMIFS(DB_LOAD!$AV:$AV,DB_LOAD!$AW:$AW,'Refi-Annual Review'!$DK$1,DB_LOAD!$AR:$AR,'Refi-Annual Review'!$CF26,DB_LOAD!$AP:$AP,'Refi-Annual Review'!$DL$1,DB_LOAD!$AQ:$AQ,'Refi-Annual Review'!DJ$2)</f>
        <v>0</v>
      </c>
      <c r="DK26" s="494">
        <f ca="1">SUMIFS(DB_LOAD!$AV:$AV,DB_LOAD!$AW:$AW,'Refi-Annual Review'!$DK$1,DB_LOAD!$AR:$AR,'Refi-Annual Review'!$CF26,DB_LOAD!$AP:$AP,'Refi-Annual Review'!$DL$1,DB_LOAD!$AQ:$AQ,'Refi-Annual Review'!DK$2)</f>
        <v>0</v>
      </c>
      <c r="DL26" s="494">
        <f ca="1">SUMIFS(DB_LOAD!$AV:$AV,DB_LOAD!$AW:$AW,'Refi-Annual Review'!$DK$1,DB_LOAD!$AR:$AR,'Refi-Annual Review'!$CF26,DB_LOAD!$AP:$AP,'Refi-Annual Review'!$DL$1,DB_LOAD!$AQ:$AQ,'Refi-Annual Review'!DL$2)</f>
        <v>0</v>
      </c>
      <c r="DM26" s="494">
        <f ca="1">SUMIFS(DB_LOAD!$AV:$AV,DB_LOAD!$AW:$AW,'Refi-Annual Review'!$DK$1,DB_LOAD!$AR:$AR,'Refi-Annual Review'!$CF26,DB_LOAD!$AP:$AP,'Refi-Annual Review'!$DL$1,DB_LOAD!$AQ:$AQ,'Refi-Annual Review'!DM$2)</f>
        <v>0</v>
      </c>
      <c r="DN26" s="494">
        <f ca="1">SUMIFS(DB_LOAD!$AV:$AV,DB_LOAD!$AW:$AW,'Refi-Annual Review'!$DK$1,DB_LOAD!$AR:$AR,'Refi-Annual Review'!$CF26,DB_LOAD!$AP:$AP,'Refi-Annual Review'!$DL$1,DB_LOAD!$AQ:$AQ,'Refi-Annual Review'!DN$2)</f>
        <v>0</v>
      </c>
      <c r="DO26" s="494">
        <f ca="1">SUMIFS(DB_LOAD!$AV:$AV,DB_LOAD!$AW:$AW,'Refi-Annual Review'!$DK$1,DB_LOAD!$AR:$AR,'Refi-Annual Review'!$CF26,DB_LOAD!$AP:$AP,'Refi-Annual Review'!$DL$1,DB_LOAD!$AQ:$AQ,'Refi-Annual Review'!DO$2)</f>
        <v>0</v>
      </c>
      <c r="DP26" s="494">
        <f ca="1">SUMIFS(DB_LOAD!$AV:$AV,DB_LOAD!$AW:$AW,'Refi-Annual Review'!$DK$1,DB_LOAD!$AR:$AR,'Refi-Annual Review'!$CF26,DB_LOAD!$AP:$AP,'Refi-Annual Review'!$DL$1,DB_LOAD!$AQ:$AQ,'Refi-Annual Review'!DP$2)</f>
        <v>0</v>
      </c>
      <c r="DQ26" s="494" t="str">
        <f t="shared" ref="DQ26:DQ34" ca="1" si="54">IF(SUM(DJ26:DP26)=0,"",$CE26)</f>
        <v/>
      </c>
      <c r="DS26" s="494">
        <f>SUMIFS(DB_LOAD!$AV:$AV,DB_LOAD!$AW:$AW,'Refi-Annual Review'!$DT$1,DB_LOAD!$AR:$AR,'Refi-Annual Review'!$CF26,DB_LOAD!$AP:$AP,'Refi-Annual Review'!$DU$1,DB_LOAD!$AQ:$AQ,'Refi-Annual Review'!DS$2)</f>
        <v>0</v>
      </c>
      <c r="DT26" s="494">
        <f>SUMIFS(DB_LOAD!$AV:$AV,DB_LOAD!$AW:$AW,'Refi-Annual Review'!$DT$1,DB_LOAD!$AR:$AR,'Refi-Annual Review'!$CF26,DB_LOAD!$AP:$AP,'Refi-Annual Review'!$DU$1,DB_LOAD!$AQ:$AQ,'Refi-Annual Review'!DT$2)</f>
        <v>0</v>
      </c>
      <c r="DU26" s="494">
        <f>SUMIFS(DB_LOAD!$AV:$AV,DB_LOAD!$AW:$AW,'Refi-Annual Review'!$DT$1,DB_LOAD!$AR:$AR,'Refi-Annual Review'!$CF26,DB_LOAD!$AP:$AP,'Refi-Annual Review'!$DU$1,DB_LOAD!$AQ:$AQ,'Refi-Annual Review'!DU$2)</f>
        <v>0</v>
      </c>
      <c r="DV26" s="494">
        <f>SUMIFS(DB_LOAD!$AV:$AV,DB_LOAD!$AW:$AW,'Refi-Annual Review'!$DT$1,DB_LOAD!$AR:$AR,'Refi-Annual Review'!$CF26,DB_LOAD!$AP:$AP,'Refi-Annual Review'!$DU$1,DB_LOAD!$AQ:$AQ,'Refi-Annual Review'!DV$2)</f>
        <v>0</v>
      </c>
      <c r="DW26" s="494">
        <f>SUMIFS(DB_LOAD!$AV:$AV,DB_LOAD!$AW:$AW,'Refi-Annual Review'!$DT$1,DB_LOAD!$AR:$AR,'Refi-Annual Review'!$CF26,DB_LOAD!$AP:$AP,'Refi-Annual Review'!$DU$1,DB_LOAD!$AQ:$AQ,'Refi-Annual Review'!DW$2)</f>
        <v>0</v>
      </c>
      <c r="DX26" s="494">
        <f>SUMIFS(DB_LOAD!$AV:$AV,DB_LOAD!$AW:$AW,'Refi-Annual Review'!$DT$1,DB_LOAD!$AR:$AR,'Refi-Annual Review'!$CF26,DB_LOAD!$AP:$AP,'Refi-Annual Review'!$DU$1,DB_LOAD!$AQ:$AQ,'Refi-Annual Review'!DX$2)</f>
        <v>0</v>
      </c>
      <c r="DY26" s="494">
        <f>SUMIFS(DB_LOAD!$AV:$AV,DB_LOAD!$AW:$AW,'Refi-Annual Review'!$DT$1,DB_LOAD!$AR:$AR,'Refi-Annual Review'!$CF26,DB_LOAD!$AP:$AP,'Refi-Annual Review'!$DU$1,DB_LOAD!$AQ:$AQ,'Refi-Annual Review'!DY$2)</f>
        <v>0</v>
      </c>
      <c r="DZ26" s="494" t="str">
        <f t="shared" ref="DZ26:DZ34" si="55">IF(SUM(DS26:DY26)=0,"",$CE26)</f>
        <v/>
      </c>
    </row>
    <row r="27" spans="1:130" ht="15">
      <c r="C27" s="485">
        <f t="shared" si="25"/>
        <v>28</v>
      </c>
      <c r="D27" s="493" t="s">
        <v>19</v>
      </c>
      <c r="E27" s="568"/>
      <c r="F27" s="496"/>
      <c r="G27" s="496" t="str">
        <f t="shared" ref="G27:I27" ca="1" si="56">IFERROR(G120/AK180,"N/A")</f>
        <v>N/A</v>
      </c>
      <c r="H27" s="496" t="str">
        <f t="shared" ca="1" si="56"/>
        <v>N/A</v>
      </c>
      <c r="I27" s="496" t="str">
        <f t="shared" ca="1" si="56"/>
        <v>N/A</v>
      </c>
      <c r="J27" s="496" t="str">
        <f ca="1">IFERROR(J120/AN180,"N/A")</f>
        <v>N/A</v>
      </c>
      <c r="K27" s="496"/>
      <c r="L27" s="496" t="str">
        <f t="shared" ref="L27:M27" ca="1" si="57">IFERROR(L120/AK180,"N/A")</f>
        <v>N/A</v>
      </c>
      <c r="M27" s="496" t="str">
        <f t="shared" ca="1" si="57"/>
        <v>N/A</v>
      </c>
      <c r="N27" s="496" t="str">
        <f ca="1">IFERROR(N120/AM180,"N/A")</f>
        <v>N/A</v>
      </c>
      <c r="O27" s="496" t="str">
        <f t="shared" ref="O27" ca="1" si="58">IFERROR(O120/AVERAGE(O9,IF(J9="",N9,J9)),"N/A")</f>
        <v>N/A</v>
      </c>
      <c r="P27" s="496"/>
      <c r="Q27" s="496" t="e">
        <f ca="1">(Q120*(12/Q1)/Q185)</f>
        <v>#NAME?</v>
      </c>
      <c r="R27" s="496" t="e">
        <f ca="1">(R120/Q180)</f>
        <v>#NAME?</v>
      </c>
      <c r="S27" s="496"/>
      <c r="T27" s="496"/>
      <c r="U27" s="496"/>
      <c r="AJ27" s="493" t="s">
        <v>19</v>
      </c>
      <c r="AK27" s="496" t="e">
        <f t="shared" ca="1" si="49"/>
        <v>#N/A</v>
      </c>
      <c r="AL27" s="496" t="e">
        <f t="shared" ca="1" si="49"/>
        <v>#N/A</v>
      </c>
      <c r="AM27" s="496" t="e">
        <f t="shared" ca="1" si="49"/>
        <v>#N/A</v>
      </c>
      <c r="AN27" s="496" t="e">
        <f t="shared" ca="1" si="49"/>
        <v>#N/A</v>
      </c>
      <c r="AO27" s="496" t="e">
        <f t="shared" ca="1" si="48"/>
        <v>#NAME?</v>
      </c>
      <c r="AP27" s="496" t="e">
        <f t="shared" ca="1" si="48"/>
        <v>#NAME?</v>
      </c>
      <c r="BD27" s="485" t="s">
        <v>140</v>
      </c>
      <c r="BE27" s="485" t="e">
        <f t="shared" ca="1" si="31"/>
        <v>#NAME?</v>
      </c>
      <c r="BF27" s="651" t="str">
        <f t="shared" si="29"/>
        <v/>
      </c>
      <c r="BG27" s="669" t="e">
        <f t="shared" ca="1" si="50"/>
        <v>#NAME?</v>
      </c>
      <c r="BH27" s="669" t="e">
        <f t="shared" ca="1" si="50"/>
        <v>#NAME?</v>
      </c>
      <c r="BI27" s="669" t="e">
        <f t="shared" ca="1" si="50"/>
        <v>#NAME?</v>
      </c>
      <c r="BJ27" s="669" t="e">
        <f t="shared" ca="1" si="50"/>
        <v>#NAME?</v>
      </c>
      <c r="BK27" s="669" t="e">
        <f t="shared" ca="1" si="50"/>
        <v>#NAME?</v>
      </c>
      <c r="BL27" s="669" t="e">
        <f t="shared" ca="1" si="50"/>
        <v>#NAME?</v>
      </c>
      <c r="BM27" s="669" t="e">
        <f t="shared" ca="1" si="50"/>
        <v>#NAME?</v>
      </c>
      <c r="BN27" s="670" t="e">
        <f t="shared" ca="1" si="32"/>
        <v>#NAME?</v>
      </c>
      <c r="BP27" s="485" t="e">
        <f ca="1">IF(OR(DB_LOAD!AW26="USD",DB_LOAD!AW26='Refi-Annual Review'!$A$3,ISBLANK(DB_LOAD!AW26)),0,1)</f>
        <v>#NAME?</v>
      </c>
      <c r="BQ27" t="str">
        <f>(IF(ISBLANK(DB_LOAD!AR26),"",DB_LOAD!AR26))</f>
        <v/>
      </c>
      <c r="BR27" t="str">
        <f t="shared" si="3"/>
        <v/>
      </c>
      <c r="BS27" t="str">
        <f t="shared" si="7"/>
        <v/>
      </c>
      <c r="BT27" t="str">
        <f t="shared" si="13"/>
        <v>5500000250000016064001572600</v>
      </c>
      <c r="BU27" t="str">
        <f t="shared" si="4"/>
        <v/>
      </c>
      <c r="BV27" t="str">
        <f t="shared" si="14"/>
        <v>7777</v>
      </c>
      <c r="BW27" t="str">
        <f t="shared" si="5"/>
        <v/>
      </c>
      <c r="BX27" t="str">
        <f t="shared" si="15"/>
        <v>1111</v>
      </c>
      <c r="BY27"/>
      <c r="BZ27"/>
      <c r="CA27"/>
      <c r="CB27" s="683" t="str">
        <f t="shared" si="16"/>
        <v/>
      </c>
      <c r="CC27" s="683" t="str">
        <f t="shared" si="17"/>
        <v/>
      </c>
      <c r="CD27" s="683" t="str">
        <f>IF(CC27="","",VALUE(MID($BZ$5,1+SUM($CC$3:CC26),CC27)))</f>
        <v/>
      </c>
      <c r="CE27">
        <f t="shared" si="18"/>
        <v>25</v>
      </c>
      <c r="CF27" t="str">
        <f>IF(CD27="","",MID($BZ$4,1+SUM($CD$3:CD26),CD27))</f>
        <v/>
      </c>
      <c r="CI27" s="494" t="e">
        <f ca="1">SUMIFS(DB_LOAD!$AU:$AU,DB_LOAD!$AW:$AW,'Refi-Annual Review'!$CJ$1,DB_LOAD!$AR:$AR,'Refi-Annual Review'!$CF27,DB_LOAD!$AP:$AP,'Refi-Annual Review'!$CK$1,DB_LOAD!$AQ:$AQ,'Refi-Annual Review'!CI$2)/DB_LOAD!$K$2</f>
        <v>#DIV/0!</v>
      </c>
      <c r="CJ27" s="494" t="e">
        <f ca="1">SUMIFS(DB_LOAD!$AU:$AU,DB_LOAD!$AW:$AW,'Refi-Annual Review'!$CJ$1,DB_LOAD!$AR:$AR,'Refi-Annual Review'!$CF27,DB_LOAD!$AP:$AP,'Refi-Annual Review'!$CK$1,DB_LOAD!$AQ:$AQ,'Refi-Annual Review'!CJ$2)/DB_LOAD!$K$2</f>
        <v>#DIV/0!</v>
      </c>
      <c r="CK27" s="494" t="e">
        <f ca="1">SUMIFS(DB_LOAD!$AU:$AU,DB_LOAD!$AW:$AW,'Refi-Annual Review'!$CJ$1,DB_LOAD!$AR:$AR,'Refi-Annual Review'!$CF27,DB_LOAD!$AP:$AP,'Refi-Annual Review'!$CK$1,DB_LOAD!$AQ:$AQ,'Refi-Annual Review'!CK$2)/DB_LOAD!$K$2</f>
        <v>#DIV/0!</v>
      </c>
      <c r="CL27" s="494" t="e">
        <f ca="1">SUMIFS(DB_LOAD!$AU:$AU,DB_LOAD!$AW:$AW,'Refi-Annual Review'!$CJ$1,DB_LOAD!$AR:$AR,'Refi-Annual Review'!$CF27,DB_LOAD!$AP:$AP,'Refi-Annual Review'!$CK$1,DB_LOAD!$AQ:$AQ,'Refi-Annual Review'!CL$2)/DB_LOAD!$K$2</f>
        <v>#DIV/0!</v>
      </c>
      <c r="CM27" s="494" t="e">
        <f ca="1">SUMIFS(DB_LOAD!$AU:$AU,DB_LOAD!$AW:$AW,'Refi-Annual Review'!$CJ$1,DB_LOAD!$AR:$AR,'Refi-Annual Review'!$CF27,DB_LOAD!$AP:$AP,'Refi-Annual Review'!$CK$1,DB_LOAD!$AQ:$AQ,'Refi-Annual Review'!CM$2)/DB_LOAD!$K$2</f>
        <v>#DIV/0!</v>
      </c>
      <c r="CN27" s="494" t="e">
        <f ca="1">SUMIFS(DB_LOAD!$AU:$AU,DB_LOAD!$AW:$AW,'Refi-Annual Review'!$CJ$1,DB_LOAD!$AR:$AR,'Refi-Annual Review'!$CF27,DB_LOAD!$AP:$AP,'Refi-Annual Review'!$CK$1,DB_LOAD!$AQ:$AQ,'Refi-Annual Review'!CN$2)/DB_LOAD!$K$2</f>
        <v>#DIV/0!</v>
      </c>
      <c r="CO27" s="494" t="e">
        <f ca="1">SUMIFS(DB_LOAD!$AU:$AU,DB_LOAD!$AW:$AW,'Refi-Annual Review'!$CJ$1,DB_LOAD!$AR:$AR,'Refi-Annual Review'!$CF27,DB_LOAD!$AP:$AP,'Refi-Annual Review'!$CK$1,DB_LOAD!$AQ:$AQ,'Refi-Annual Review'!CO$2)/DB_LOAD!$K$2</f>
        <v>#DIV/0!</v>
      </c>
      <c r="CP27" s="494" t="e">
        <f t="shared" ca="1" si="51"/>
        <v>#DIV/0!</v>
      </c>
      <c r="CR27" s="494">
        <f ca="1">SUMIFS(DB_LOAD!$AV:$AV,DB_LOAD!$AW:$AW,'Refi-Annual Review'!$CS$1,DB_LOAD!$AR:$AR,'Refi-Annual Review'!$CF27,DB_LOAD!$AP:$AP,'Refi-Annual Review'!$CT$1,DB_LOAD!$AQ:$AQ,'Refi-Annual Review'!CR$2)</f>
        <v>0</v>
      </c>
      <c r="CS27" s="494">
        <f ca="1">SUMIFS(DB_LOAD!$AV:$AV,DB_LOAD!$AW:$AW,'Refi-Annual Review'!$CS$1,DB_LOAD!$AR:$AR,'Refi-Annual Review'!$CF27,DB_LOAD!$AP:$AP,'Refi-Annual Review'!$CT$1,DB_LOAD!$AQ:$AQ,'Refi-Annual Review'!CS$2)</f>
        <v>0</v>
      </c>
      <c r="CT27" s="494">
        <f ca="1">SUMIFS(DB_LOAD!$AV:$AV,DB_LOAD!$AW:$AW,'Refi-Annual Review'!$CS$1,DB_LOAD!$AR:$AR,'Refi-Annual Review'!$CF27,DB_LOAD!$AP:$AP,'Refi-Annual Review'!$CT$1,DB_LOAD!$AQ:$AQ,'Refi-Annual Review'!CT$2)</f>
        <v>0</v>
      </c>
      <c r="CU27" s="494">
        <f ca="1">SUMIFS(DB_LOAD!$AV:$AV,DB_LOAD!$AW:$AW,'Refi-Annual Review'!$CS$1,DB_LOAD!$AR:$AR,'Refi-Annual Review'!$CF27,DB_LOAD!$AP:$AP,'Refi-Annual Review'!$CT$1,DB_LOAD!$AQ:$AQ,'Refi-Annual Review'!CU$2)</f>
        <v>0</v>
      </c>
      <c r="CV27" s="494">
        <f ca="1">SUMIFS(DB_LOAD!$AV:$AV,DB_LOAD!$AW:$AW,'Refi-Annual Review'!$CS$1,DB_LOAD!$AR:$AR,'Refi-Annual Review'!$CF27,DB_LOAD!$AP:$AP,'Refi-Annual Review'!$CT$1,DB_LOAD!$AQ:$AQ,'Refi-Annual Review'!CV$2)</f>
        <v>0</v>
      </c>
      <c r="CW27" s="494">
        <f ca="1">SUMIFS(DB_LOAD!$AV:$AV,DB_LOAD!$AW:$AW,'Refi-Annual Review'!$CS$1,DB_LOAD!$AR:$AR,'Refi-Annual Review'!$CF27,DB_LOAD!$AP:$AP,'Refi-Annual Review'!$CT$1,DB_LOAD!$AQ:$AQ,'Refi-Annual Review'!CW$2)</f>
        <v>0</v>
      </c>
      <c r="CX27" s="494">
        <f ca="1">SUMIFS(DB_LOAD!$AV:$AV,DB_LOAD!$AW:$AW,'Refi-Annual Review'!$CS$1,DB_LOAD!$AR:$AR,'Refi-Annual Review'!$CF27,DB_LOAD!$AP:$AP,'Refi-Annual Review'!$CT$1,DB_LOAD!$AQ:$AQ,'Refi-Annual Review'!CX$2)</f>
        <v>0</v>
      </c>
      <c r="CY27" s="494" t="str">
        <f t="shared" ca="1" si="52"/>
        <v/>
      </c>
      <c r="DA27" s="494" t="e">
        <f ca="1">SUMIFS(DB_LOAD!$AU:$AU,DB_LOAD!$AW:$AW,'Refi-Annual Review'!$DB$1,DB_LOAD!$AR:$AR,'Refi-Annual Review'!$CF27,DB_LOAD!$AP:$AP,'Refi-Annual Review'!$DC$1,DB_LOAD!$AQ:$AQ,'Refi-Annual Review'!DA$2)/IF($A$23="No Data Found",1,$A$23)</f>
        <v>#NAME?</v>
      </c>
      <c r="DB27" s="494" t="e">
        <f ca="1">SUMIFS(DB_LOAD!$AU:$AU,DB_LOAD!$AW:$AW,'Refi-Annual Review'!$DB$1,DB_LOAD!$AR:$AR,'Refi-Annual Review'!$CF27,DB_LOAD!$AP:$AP,'Refi-Annual Review'!$DC$1,DB_LOAD!$AQ:$AQ,'Refi-Annual Review'!DB$2)/IF($A$23="No Data Found",1,$A$23)</f>
        <v>#NAME?</v>
      </c>
      <c r="DC27" s="494" t="e">
        <f ca="1">SUMIFS(DB_LOAD!$AU:$AU,DB_LOAD!$AW:$AW,'Refi-Annual Review'!$DB$1,DB_LOAD!$AR:$AR,'Refi-Annual Review'!$CF27,DB_LOAD!$AP:$AP,'Refi-Annual Review'!$DC$1,DB_LOAD!$AQ:$AQ,'Refi-Annual Review'!DC$2)/IF($A$23="No Data Found",1,$A$23)</f>
        <v>#NAME?</v>
      </c>
      <c r="DD27" s="494" t="e">
        <f ca="1">SUMIFS(DB_LOAD!$AU:$AU,DB_LOAD!$AW:$AW,'Refi-Annual Review'!$DB$1,DB_LOAD!$AR:$AR,'Refi-Annual Review'!$CF27,DB_LOAD!$AP:$AP,'Refi-Annual Review'!$DC$1,DB_LOAD!$AQ:$AQ,'Refi-Annual Review'!DD$2)/IF($A$23="No Data Found",1,$A$23)</f>
        <v>#NAME?</v>
      </c>
      <c r="DE27" s="494" t="e">
        <f ca="1">SUMIFS(DB_LOAD!$AU:$AU,DB_LOAD!$AW:$AW,'Refi-Annual Review'!$DB$1,DB_LOAD!$AR:$AR,'Refi-Annual Review'!$CF27,DB_LOAD!$AP:$AP,'Refi-Annual Review'!$DC$1,DB_LOAD!$AQ:$AQ,'Refi-Annual Review'!DE$2)/IF($A$23="No Data Found",1,$A$23)</f>
        <v>#NAME?</v>
      </c>
      <c r="DF27" s="494" t="e">
        <f ca="1">SUMIFS(DB_LOAD!$AU:$AU,DB_LOAD!$AW:$AW,'Refi-Annual Review'!$DB$1,DB_LOAD!$AR:$AR,'Refi-Annual Review'!$CF27,DB_LOAD!$AP:$AP,'Refi-Annual Review'!$DC$1,DB_LOAD!$AQ:$AQ,'Refi-Annual Review'!DF$2)/IF($A$23="No Data Found",1,$A$23)</f>
        <v>#NAME?</v>
      </c>
      <c r="DG27" s="494" t="e">
        <f ca="1">SUMIFS(DB_LOAD!$AU:$AU,DB_LOAD!$AW:$AW,'Refi-Annual Review'!$DB$1,DB_LOAD!$AR:$AR,'Refi-Annual Review'!$CF27,DB_LOAD!$AP:$AP,'Refi-Annual Review'!$DC$1,DB_LOAD!$AQ:$AQ,'Refi-Annual Review'!DG$2)/IF($A$23="No Data Found",1,$A$23)</f>
        <v>#NAME?</v>
      </c>
      <c r="DH27" s="494" t="e">
        <f t="shared" ca="1" si="53"/>
        <v>#NAME?</v>
      </c>
      <c r="DJ27" s="494">
        <f ca="1">SUMIFS(DB_LOAD!$AV:$AV,DB_LOAD!$AW:$AW,'Refi-Annual Review'!$DK$1,DB_LOAD!$AR:$AR,'Refi-Annual Review'!$CF27,DB_LOAD!$AP:$AP,'Refi-Annual Review'!$DL$1,DB_LOAD!$AQ:$AQ,'Refi-Annual Review'!DJ$2)</f>
        <v>0</v>
      </c>
      <c r="DK27" s="494">
        <f ca="1">SUMIFS(DB_LOAD!$AV:$AV,DB_LOAD!$AW:$AW,'Refi-Annual Review'!$DK$1,DB_LOAD!$AR:$AR,'Refi-Annual Review'!$CF27,DB_LOAD!$AP:$AP,'Refi-Annual Review'!$DL$1,DB_LOAD!$AQ:$AQ,'Refi-Annual Review'!DK$2)</f>
        <v>0</v>
      </c>
      <c r="DL27" s="494">
        <f ca="1">SUMIFS(DB_LOAD!$AV:$AV,DB_LOAD!$AW:$AW,'Refi-Annual Review'!$DK$1,DB_LOAD!$AR:$AR,'Refi-Annual Review'!$CF27,DB_LOAD!$AP:$AP,'Refi-Annual Review'!$DL$1,DB_LOAD!$AQ:$AQ,'Refi-Annual Review'!DL$2)</f>
        <v>0</v>
      </c>
      <c r="DM27" s="494">
        <f ca="1">SUMIFS(DB_LOAD!$AV:$AV,DB_LOAD!$AW:$AW,'Refi-Annual Review'!$DK$1,DB_LOAD!$AR:$AR,'Refi-Annual Review'!$CF27,DB_LOAD!$AP:$AP,'Refi-Annual Review'!$DL$1,DB_LOAD!$AQ:$AQ,'Refi-Annual Review'!DM$2)</f>
        <v>0</v>
      </c>
      <c r="DN27" s="494">
        <f ca="1">SUMIFS(DB_LOAD!$AV:$AV,DB_LOAD!$AW:$AW,'Refi-Annual Review'!$DK$1,DB_LOAD!$AR:$AR,'Refi-Annual Review'!$CF27,DB_LOAD!$AP:$AP,'Refi-Annual Review'!$DL$1,DB_LOAD!$AQ:$AQ,'Refi-Annual Review'!DN$2)</f>
        <v>0</v>
      </c>
      <c r="DO27" s="494">
        <f ca="1">SUMIFS(DB_LOAD!$AV:$AV,DB_LOAD!$AW:$AW,'Refi-Annual Review'!$DK$1,DB_LOAD!$AR:$AR,'Refi-Annual Review'!$CF27,DB_LOAD!$AP:$AP,'Refi-Annual Review'!$DL$1,DB_LOAD!$AQ:$AQ,'Refi-Annual Review'!DO$2)</f>
        <v>0</v>
      </c>
      <c r="DP27" s="494">
        <f ca="1">SUMIFS(DB_LOAD!$AV:$AV,DB_LOAD!$AW:$AW,'Refi-Annual Review'!$DK$1,DB_LOAD!$AR:$AR,'Refi-Annual Review'!$CF27,DB_LOAD!$AP:$AP,'Refi-Annual Review'!$DL$1,DB_LOAD!$AQ:$AQ,'Refi-Annual Review'!DP$2)</f>
        <v>0</v>
      </c>
      <c r="DQ27" s="494" t="str">
        <f t="shared" ca="1" si="54"/>
        <v/>
      </c>
      <c r="DS27" s="494">
        <f>SUMIFS(DB_LOAD!$AV:$AV,DB_LOAD!$AW:$AW,'Refi-Annual Review'!$DT$1,DB_LOAD!$AR:$AR,'Refi-Annual Review'!$CF27,DB_LOAD!$AP:$AP,'Refi-Annual Review'!$DU$1,DB_LOAD!$AQ:$AQ,'Refi-Annual Review'!DS$2)</f>
        <v>0</v>
      </c>
      <c r="DT27" s="494">
        <f>SUMIFS(DB_LOAD!$AV:$AV,DB_LOAD!$AW:$AW,'Refi-Annual Review'!$DT$1,DB_LOAD!$AR:$AR,'Refi-Annual Review'!$CF27,DB_LOAD!$AP:$AP,'Refi-Annual Review'!$DU$1,DB_LOAD!$AQ:$AQ,'Refi-Annual Review'!DT$2)</f>
        <v>0</v>
      </c>
      <c r="DU27" s="494">
        <f>SUMIFS(DB_LOAD!$AV:$AV,DB_LOAD!$AW:$AW,'Refi-Annual Review'!$DT$1,DB_LOAD!$AR:$AR,'Refi-Annual Review'!$CF27,DB_LOAD!$AP:$AP,'Refi-Annual Review'!$DU$1,DB_LOAD!$AQ:$AQ,'Refi-Annual Review'!DU$2)</f>
        <v>0</v>
      </c>
      <c r="DV27" s="494">
        <f>SUMIFS(DB_LOAD!$AV:$AV,DB_LOAD!$AW:$AW,'Refi-Annual Review'!$DT$1,DB_LOAD!$AR:$AR,'Refi-Annual Review'!$CF27,DB_LOAD!$AP:$AP,'Refi-Annual Review'!$DU$1,DB_LOAD!$AQ:$AQ,'Refi-Annual Review'!DV$2)</f>
        <v>0</v>
      </c>
      <c r="DW27" s="494">
        <f>SUMIFS(DB_LOAD!$AV:$AV,DB_LOAD!$AW:$AW,'Refi-Annual Review'!$DT$1,DB_LOAD!$AR:$AR,'Refi-Annual Review'!$CF27,DB_LOAD!$AP:$AP,'Refi-Annual Review'!$DU$1,DB_LOAD!$AQ:$AQ,'Refi-Annual Review'!DW$2)</f>
        <v>0</v>
      </c>
      <c r="DX27" s="494">
        <f>SUMIFS(DB_LOAD!$AV:$AV,DB_LOAD!$AW:$AW,'Refi-Annual Review'!$DT$1,DB_LOAD!$AR:$AR,'Refi-Annual Review'!$CF27,DB_LOAD!$AP:$AP,'Refi-Annual Review'!$DU$1,DB_LOAD!$AQ:$AQ,'Refi-Annual Review'!DX$2)</f>
        <v>0</v>
      </c>
      <c r="DY27" s="494">
        <f>SUMIFS(DB_LOAD!$AV:$AV,DB_LOAD!$AW:$AW,'Refi-Annual Review'!$DT$1,DB_LOAD!$AR:$AR,'Refi-Annual Review'!$CF27,DB_LOAD!$AP:$AP,'Refi-Annual Review'!$DU$1,DB_LOAD!$AQ:$AQ,'Refi-Annual Review'!DY$2)</f>
        <v>0</v>
      </c>
      <c r="DZ27" s="494" t="str">
        <f t="shared" si="55"/>
        <v/>
      </c>
    </row>
    <row r="28" spans="1:130" ht="15">
      <c r="C28" s="485">
        <f t="shared" si="25"/>
        <v>29</v>
      </c>
      <c r="D28" s="493" t="s">
        <v>20</v>
      </c>
      <c r="E28" s="568"/>
      <c r="F28" s="496"/>
      <c r="G28" s="496" t="str">
        <f t="shared" ref="G28:I28" ca="1" si="59">IFERROR(-G121/AK180,"N/A")</f>
        <v>N/A</v>
      </c>
      <c r="H28" s="496" t="str">
        <f t="shared" ca="1" si="59"/>
        <v>N/A</v>
      </c>
      <c r="I28" s="496" t="str">
        <f t="shared" ca="1" si="59"/>
        <v>N/A</v>
      </c>
      <c r="J28" s="496" t="str">
        <f ca="1">IFERROR(-J121/AN180,"N/A")</f>
        <v>N/A</v>
      </c>
      <c r="K28" s="496"/>
      <c r="L28" s="496" t="str">
        <f t="shared" ref="L28:M28" ca="1" si="60">IFERROR(-L121/AK180,"N/A")</f>
        <v>N/A</v>
      </c>
      <c r="M28" s="496" t="str">
        <f t="shared" ca="1" si="60"/>
        <v>N/A</v>
      </c>
      <c r="N28" s="496" t="str">
        <f ca="1">IFERROR(-N121/AM180,"N/A")</f>
        <v>N/A</v>
      </c>
      <c r="O28" s="496" t="str">
        <f t="shared" ref="O28" ca="1" si="61">IFERROR(-(O121/AVERAGE(O9,IF(J9="",N9,J9))),"N/A")</f>
        <v>N/A</v>
      </c>
      <c r="P28" s="496"/>
      <c r="Q28" s="496" t="e">
        <f ca="1">-((Q121*(12/Q1)/Q185))</f>
        <v>#NAME?</v>
      </c>
      <c r="R28" s="496" t="e">
        <f ca="1">-(R121/Q180)</f>
        <v>#NAME?</v>
      </c>
      <c r="S28" s="496"/>
      <c r="T28" s="496"/>
      <c r="U28" s="496"/>
      <c r="AJ28" s="493" t="s">
        <v>20</v>
      </c>
      <c r="AK28" s="496" t="e">
        <f t="shared" ca="1" si="49"/>
        <v>#N/A</v>
      </c>
      <c r="AL28" s="496" t="e">
        <f t="shared" ca="1" si="49"/>
        <v>#N/A</v>
      </c>
      <c r="AM28" s="496" t="e">
        <f t="shared" ca="1" si="49"/>
        <v>#N/A</v>
      </c>
      <c r="AN28" s="496" t="e">
        <f t="shared" ca="1" si="49"/>
        <v>#N/A</v>
      </c>
      <c r="AO28" s="496" t="e">
        <f t="shared" ca="1" si="48"/>
        <v>#NAME?</v>
      </c>
      <c r="AP28" s="496" t="e">
        <f t="shared" ca="1" si="48"/>
        <v>#NAME?</v>
      </c>
      <c r="BE28" s="485" t="e">
        <f t="shared" ca="1" si="31"/>
        <v>#NAME?</v>
      </c>
      <c r="BF28" s="651" t="str">
        <f t="shared" si="29"/>
        <v/>
      </c>
      <c r="BG28" s="669" t="e">
        <f t="shared" ca="1" si="50"/>
        <v>#NAME?</v>
      </c>
      <c r="BH28" s="669" t="e">
        <f t="shared" ca="1" si="50"/>
        <v>#NAME?</v>
      </c>
      <c r="BI28" s="669" t="e">
        <f t="shared" ca="1" si="50"/>
        <v>#NAME?</v>
      </c>
      <c r="BJ28" s="669" t="e">
        <f t="shared" ca="1" si="50"/>
        <v>#NAME?</v>
      </c>
      <c r="BK28" s="669" t="e">
        <f t="shared" ca="1" si="50"/>
        <v>#NAME?</v>
      </c>
      <c r="BL28" s="669" t="e">
        <f t="shared" ca="1" si="50"/>
        <v>#NAME?</v>
      </c>
      <c r="BM28" s="669" t="e">
        <f t="shared" ca="1" si="50"/>
        <v>#NAME?</v>
      </c>
      <c r="BN28" s="670" t="e">
        <f t="shared" ca="1" si="32"/>
        <v>#NAME?</v>
      </c>
      <c r="BP28" s="485" t="e">
        <f ca="1">IF(OR(DB_LOAD!AW27="USD",DB_LOAD!AW27='Refi-Annual Review'!$A$3,ISBLANK(DB_LOAD!AW27)),0,1)</f>
        <v>#NAME?</v>
      </c>
      <c r="BQ28" t="str">
        <f>(IF(ISBLANK(DB_LOAD!AR27),"",DB_LOAD!AR27))</f>
        <v/>
      </c>
      <c r="BR28" t="str">
        <f t="shared" si="3"/>
        <v/>
      </c>
      <c r="BS28" t="str">
        <f t="shared" si="7"/>
        <v/>
      </c>
      <c r="BT28" t="str">
        <f t="shared" si="13"/>
        <v>5500000250000016064001572600</v>
      </c>
      <c r="BU28" t="str">
        <f t="shared" si="4"/>
        <v/>
      </c>
      <c r="BV28" t="str">
        <f t="shared" si="14"/>
        <v>7777</v>
      </c>
      <c r="BW28" t="str">
        <f t="shared" si="5"/>
        <v/>
      </c>
      <c r="BX28" t="str">
        <f t="shared" si="15"/>
        <v>1111</v>
      </c>
      <c r="BY28"/>
      <c r="BZ28"/>
      <c r="CA28"/>
      <c r="CB28" s="683" t="str">
        <f t="shared" si="16"/>
        <v/>
      </c>
      <c r="CC28" s="683" t="str">
        <f t="shared" si="17"/>
        <v/>
      </c>
      <c r="CD28" s="683" t="str">
        <f>IF(CC28="","",VALUE(MID($BZ$5,1+SUM($CC$3:CC27),CC28)))</f>
        <v/>
      </c>
      <c r="CE28">
        <f t="shared" si="18"/>
        <v>26</v>
      </c>
      <c r="CF28" t="str">
        <f>IF(CD28="","",MID($BZ$4,1+SUM($CD$3:CD27),CD28))</f>
        <v/>
      </c>
      <c r="CI28" s="494" t="e">
        <f ca="1">SUMIFS(DB_LOAD!$AU:$AU,DB_LOAD!$AW:$AW,'Refi-Annual Review'!$CJ$1,DB_LOAD!$AR:$AR,'Refi-Annual Review'!$CF28,DB_LOAD!$AP:$AP,'Refi-Annual Review'!$CK$1,DB_LOAD!$AQ:$AQ,'Refi-Annual Review'!CI$2)/DB_LOAD!$K$2</f>
        <v>#DIV/0!</v>
      </c>
      <c r="CJ28" s="494" t="e">
        <f ca="1">SUMIFS(DB_LOAD!$AU:$AU,DB_LOAD!$AW:$AW,'Refi-Annual Review'!$CJ$1,DB_LOAD!$AR:$AR,'Refi-Annual Review'!$CF28,DB_LOAD!$AP:$AP,'Refi-Annual Review'!$CK$1,DB_LOAD!$AQ:$AQ,'Refi-Annual Review'!CJ$2)/DB_LOAD!$K$2</f>
        <v>#DIV/0!</v>
      </c>
      <c r="CK28" s="494" t="e">
        <f ca="1">SUMIFS(DB_LOAD!$AU:$AU,DB_LOAD!$AW:$AW,'Refi-Annual Review'!$CJ$1,DB_LOAD!$AR:$AR,'Refi-Annual Review'!$CF28,DB_LOAD!$AP:$AP,'Refi-Annual Review'!$CK$1,DB_LOAD!$AQ:$AQ,'Refi-Annual Review'!CK$2)/DB_LOAD!$K$2</f>
        <v>#DIV/0!</v>
      </c>
      <c r="CL28" s="494" t="e">
        <f ca="1">SUMIFS(DB_LOAD!$AU:$AU,DB_LOAD!$AW:$AW,'Refi-Annual Review'!$CJ$1,DB_LOAD!$AR:$AR,'Refi-Annual Review'!$CF28,DB_LOAD!$AP:$AP,'Refi-Annual Review'!$CK$1,DB_LOAD!$AQ:$AQ,'Refi-Annual Review'!CL$2)/DB_LOAD!$K$2</f>
        <v>#DIV/0!</v>
      </c>
      <c r="CM28" s="494" t="e">
        <f ca="1">SUMIFS(DB_LOAD!$AU:$AU,DB_LOAD!$AW:$AW,'Refi-Annual Review'!$CJ$1,DB_LOAD!$AR:$AR,'Refi-Annual Review'!$CF28,DB_LOAD!$AP:$AP,'Refi-Annual Review'!$CK$1,DB_LOAD!$AQ:$AQ,'Refi-Annual Review'!CM$2)/DB_LOAD!$K$2</f>
        <v>#DIV/0!</v>
      </c>
      <c r="CN28" s="494" t="e">
        <f ca="1">SUMIFS(DB_LOAD!$AU:$AU,DB_LOAD!$AW:$AW,'Refi-Annual Review'!$CJ$1,DB_LOAD!$AR:$AR,'Refi-Annual Review'!$CF28,DB_LOAD!$AP:$AP,'Refi-Annual Review'!$CK$1,DB_LOAD!$AQ:$AQ,'Refi-Annual Review'!CN$2)/DB_LOAD!$K$2</f>
        <v>#DIV/0!</v>
      </c>
      <c r="CO28" s="494" t="e">
        <f ca="1">SUMIFS(DB_LOAD!$AU:$AU,DB_LOAD!$AW:$AW,'Refi-Annual Review'!$CJ$1,DB_LOAD!$AR:$AR,'Refi-Annual Review'!$CF28,DB_LOAD!$AP:$AP,'Refi-Annual Review'!$CK$1,DB_LOAD!$AQ:$AQ,'Refi-Annual Review'!CO$2)/DB_LOAD!$K$2</f>
        <v>#DIV/0!</v>
      </c>
      <c r="CP28" s="494" t="e">
        <f t="shared" ca="1" si="51"/>
        <v>#DIV/0!</v>
      </c>
      <c r="CR28" s="494">
        <f ca="1">SUMIFS(DB_LOAD!$AV:$AV,DB_LOAD!$AW:$AW,'Refi-Annual Review'!$CS$1,DB_LOAD!$AR:$AR,'Refi-Annual Review'!$CF28,DB_LOAD!$AP:$AP,'Refi-Annual Review'!$CT$1,DB_LOAD!$AQ:$AQ,'Refi-Annual Review'!CR$2)</f>
        <v>0</v>
      </c>
      <c r="CS28" s="494">
        <f ca="1">SUMIFS(DB_LOAD!$AV:$AV,DB_LOAD!$AW:$AW,'Refi-Annual Review'!$CS$1,DB_LOAD!$AR:$AR,'Refi-Annual Review'!$CF28,DB_LOAD!$AP:$AP,'Refi-Annual Review'!$CT$1,DB_LOAD!$AQ:$AQ,'Refi-Annual Review'!CS$2)</f>
        <v>0</v>
      </c>
      <c r="CT28" s="494">
        <f ca="1">SUMIFS(DB_LOAD!$AV:$AV,DB_LOAD!$AW:$AW,'Refi-Annual Review'!$CS$1,DB_LOAD!$AR:$AR,'Refi-Annual Review'!$CF28,DB_LOAD!$AP:$AP,'Refi-Annual Review'!$CT$1,DB_LOAD!$AQ:$AQ,'Refi-Annual Review'!CT$2)</f>
        <v>0</v>
      </c>
      <c r="CU28" s="494">
        <f ca="1">SUMIFS(DB_LOAD!$AV:$AV,DB_LOAD!$AW:$AW,'Refi-Annual Review'!$CS$1,DB_LOAD!$AR:$AR,'Refi-Annual Review'!$CF28,DB_LOAD!$AP:$AP,'Refi-Annual Review'!$CT$1,DB_LOAD!$AQ:$AQ,'Refi-Annual Review'!CU$2)</f>
        <v>0</v>
      </c>
      <c r="CV28" s="494">
        <f ca="1">SUMIFS(DB_LOAD!$AV:$AV,DB_LOAD!$AW:$AW,'Refi-Annual Review'!$CS$1,DB_LOAD!$AR:$AR,'Refi-Annual Review'!$CF28,DB_LOAD!$AP:$AP,'Refi-Annual Review'!$CT$1,DB_LOAD!$AQ:$AQ,'Refi-Annual Review'!CV$2)</f>
        <v>0</v>
      </c>
      <c r="CW28" s="494">
        <f ca="1">SUMIFS(DB_LOAD!$AV:$AV,DB_LOAD!$AW:$AW,'Refi-Annual Review'!$CS$1,DB_LOAD!$AR:$AR,'Refi-Annual Review'!$CF28,DB_LOAD!$AP:$AP,'Refi-Annual Review'!$CT$1,DB_LOAD!$AQ:$AQ,'Refi-Annual Review'!CW$2)</f>
        <v>0</v>
      </c>
      <c r="CX28" s="494">
        <f ca="1">SUMIFS(DB_LOAD!$AV:$AV,DB_LOAD!$AW:$AW,'Refi-Annual Review'!$CS$1,DB_LOAD!$AR:$AR,'Refi-Annual Review'!$CF28,DB_LOAD!$AP:$AP,'Refi-Annual Review'!$CT$1,DB_LOAD!$AQ:$AQ,'Refi-Annual Review'!CX$2)</f>
        <v>0</v>
      </c>
      <c r="CY28" s="494" t="str">
        <f t="shared" ca="1" si="52"/>
        <v/>
      </c>
      <c r="DA28" s="494" t="e">
        <f ca="1">SUMIFS(DB_LOAD!$AU:$AU,DB_LOAD!$AW:$AW,'Refi-Annual Review'!$DB$1,DB_LOAD!$AR:$AR,'Refi-Annual Review'!$CF28,DB_LOAD!$AP:$AP,'Refi-Annual Review'!$DC$1,DB_LOAD!$AQ:$AQ,'Refi-Annual Review'!DA$2)/IF($A$23="No Data Found",1,$A$23)</f>
        <v>#NAME?</v>
      </c>
      <c r="DB28" s="494" t="e">
        <f ca="1">SUMIFS(DB_LOAD!$AU:$AU,DB_LOAD!$AW:$AW,'Refi-Annual Review'!$DB$1,DB_LOAD!$AR:$AR,'Refi-Annual Review'!$CF28,DB_LOAD!$AP:$AP,'Refi-Annual Review'!$DC$1,DB_LOAD!$AQ:$AQ,'Refi-Annual Review'!DB$2)/IF($A$23="No Data Found",1,$A$23)</f>
        <v>#NAME?</v>
      </c>
      <c r="DC28" s="494" t="e">
        <f ca="1">SUMIFS(DB_LOAD!$AU:$AU,DB_LOAD!$AW:$AW,'Refi-Annual Review'!$DB$1,DB_LOAD!$AR:$AR,'Refi-Annual Review'!$CF28,DB_LOAD!$AP:$AP,'Refi-Annual Review'!$DC$1,DB_LOAD!$AQ:$AQ,'Refi-Annual Review'!DC$2)/IF($A$23="No Data Found",1,$A$23)</f>
        <v>#NAME?</v>
      </c>
      <c r="DD28" s="494" t="e">
        <f ca="1">SUMIFS(DB_LOAD!$AU:$AU,DB_LOAD!$AW:$AW,'Refi-Annual Review'!$DB$1,DB_LOAD!$AR:$AR,'Refi-Annual Review'!$CF28,DB_LOAD!$AP:$AP,'Refi-Annual Review'!$DC$1,DB_LOAD!$AQ:$AQ,'Refi-Annual Review'!DD$2)/IF($A$23="No Data Found",1,$A$23)</f>
        <v>#NAME?</v>
      </c>
      <c r="DE28" s="494" t="e">
        <f ca="1">SUMIFS(DB_LOAD!$AU:$AU,DB_LOAD!$AW:$AW,'Refi-Annual Review'!$DB$1,DB_LOAD!$AR:$AR,'Refi-Annual Review'!$CF28,DB_LOAD!$AP:$AP,'Refi-Annual Review'!$DC$1,DB_LOAD!$AQ:$AQ,'Refi-Annual Review'!DE$2)/IF($A$23="No Data Found",1,$A$23)</f>
        <v>#NAME?</v>
      </c>
      <c r="DF28" s="494" t="e">
        <f ca="1">SUMIFS(DB_LOAD!$AU:$AU,DB_LOAD!$AW:$AW,'Refi-Annual Review'!$DB$1,DB_LOAD!$AR:$AR,'Refi-Annual Review'!$CF28,DB_LOAD!$AP:$AP,'Refi-Annual Review'!$DC$1,DB_LOAD!$AQ:$AQ,'Refi-Annual Review'!DF$2)/IF($A$23="No Data Found",1,$A$23)</f>
        <v>#NAME?</v>
      </c>
      <c r="DG28" s="494" t="e">
        <f ca="1">SUMIFS(DB_LOAD!$AU:$AU,DB_LOAD!$AW:$AW,'Refi-Annual Review'!$DB$1,DB_LOAD!$AR:$AR,'Refi-Annual Review'!$CF28,DB_LOAD!$AP:$AP,'Refi-Annual Review'!$DC$1,DB_LOAD!$AQ:$AQ,'Refi-Annual Review'!DG$2)/IF($A$23="No Data Found",1,$A$23)</f>
        <v>#NAME?</v>
      </c>
      <c r="DH28" s="494" t="e">
        <f t="shared" ca="1" si="53"/>
        <v>#NAME?</v>
      </c>
      <c r="DJ28" s="494">
        <f ca="1">SUMIFS(DB_LOAD!$AV:$AV,DB_LOAD!$AW:$AW,'Refi-Annual Review'!$DK$1,DB_LOAD!$AR:$AR,'Refi-Annual Review'!$CF28,DB_LOAD!$AP:$AP,'Refi-Annual Review'!$DL$1,DB_LOAD!$AQ:$AQ,'Refi-Annual Review'!DJ$2)</f>
        <v>0</v>
      </c>
      <c r="DK28" s="494">
        <f ca="1">SUMIFS(DB_LOAD!$AV:$AV,DB_LOAD!$AW:$AW,'Refi-Annual Review'!$DK$1,DB_LOAD!$AR:$AR,'Refi-Annual Review'!$CF28,DB_LOAD!$AP:$AP,'Refi-Annual Review'!$DL$1,DB_LOAD!$AQ:$AQ,'Refi-Annual Review'!DK$2)</f>
        <v>0</v>
      </c>
      <c r="DL28" s="494">
        <f ca="1">SUMIFS(DB_LOAD!$AV:$AV,DB_LOAD!$AW:$AW,'Refi-Annual Review'!$DK$1,DB_LOAD!$AR:$AR,'Refi-Annual Review'!$CF28,DB_LOAD!$AP:$AP,'Refi-Annual Review'!$DL$1,DB_LOAD!$AQ:$AQ,'Refi-Annual Review'!DL$2)</f>
        <v>0</v>
      </c>
      <c r="DM28" s="494">
        <f ca="1">SUMIFS(DB_LOAD!$AV:$AV,DB_LOAD!$AW:$AW,'Refi-Annual Review'!$DK$1,DB_LOAD!$AR:$AR,'Refi-Annual Review'!$CF28,DB_LOAD!$AP:$AP,'Refi-Annual Review'!$DL$1,DB_LOAD!$AQ:$AQ,'Refi-Annual Review'!DM$2)</f>
        <v>0</v>
      </c>
      <c r="DN28" s="494">
        <f ca="1">SUMIFS(DB_LOAD!$AV:$AV,DB_LOAD!$AW:$AW,'Refi-Annual Review'!$DK$1,DB_LOAD!$AR:$AR,'Refi-Annual Review'!$CF28,DB_LOAD!$AP:$AP,'Refi-Annual Review'!$DL$1,DB_LOAD!$AQ:$AQ,'Refi-Annual Review'!DN$2)</f>
        <v>0</v>
      </c>
      <c r="DO28" s="494">
        <f ca="1">SUMIFS(DB_LOAD!$AV:$AV,DB_LOAD!$AW:$AW,'Refi-Annual Review'!$DK$1,DB_LOAD!$AR:$AR,'Refi-Annual Review'!$CF28,DB_LOAD!$AP:$AP,'Refi-Annual Review'!$DL$1,DB_LOAD!$AQ:$AQ,'Refi-Annual Review'!DO$2)</f>
        <v>0</v>
      </c>
      <c r="DP28" s="494">
        <f ca="1">SUMIFS(DB_LOAD!$AV:$AV,DB_LOAD!$AW:$AW,'Refi-Annual Review'!$DK$1,DB_LOAD!$AR:$AR,'Refi-Annual Review'!$CF28,DB_LOAD!$AP:$AP,'Refi-Annual Review'!$DL$1,DB_LOAD!$AQ:$AQ,'Refi-Annual Review'!DP$2)</f>
        <v>0</v>
      </c>
      <c r="DQ28" s="494" t="str">
        <f t="shared" ca="1" si="54"/>
        <v/>
      </c>
      <c r="DS28" s="494">
        <f>SUMIFS(DB_LOAD!$AV:$AV,DB_LOAD!$AW:$AW,'Refi-Annual Review'!$DT$1,DB_LOAD!$AR:$AR,'Refi-Annual Review'!$CF28,DB_LOAD!$AP:$AP,'Refi-Annual Review'!$DU$1,DB_LOAD!$AQ:$AQ,'Refi-Annual Review'!DS$2)</f>
        <v>0</v>
      </c>
      <c r="DT28" s="494">
        <f>SUMIFS(DB_LOAD!$AV:$AV,DB_LOAD!$AW:$AW,'Refi-Annual Review'!$DT$1,DB_LOAD!$AR:$AR,'Refi-Annual Review'!$CF28,DB_LOAD!$AP:$AP,'Refi-Annual Review'!$DU$1,DB_LOAD!$AQ:$AQ,'Refi-Annual Review'!DT$2)</f>
        <v>0</v>
      </c>
      <c r="DU28" s="494">
        <f>SUMIFS(DB_LOAD!$AV:$AV,DB_LOAD!$AW:$AW,'Refi-Annual Review'!$DT$1,DB_LOAD!$AR:$AR,'Refi-Annual Review'!$CF28,DB_LOAD!$AP:$AP,'Refi-Annual Review'!$DU$1,DB_LOAD!$AQ:$AQ,'Refi-Annual Review'!DU$2)</f>
        <v>0</v>
      </c>
      <c r="DV28" s="494">
        <f>SUMIFS(DB_LOAD!$AV:$AV,DB_LOAD!$AW:$AW,'Refi-Annual Review'!$DT$1,DB_LOAD!$AR:$AR,'Refi-Annual Review'!$CF28,DB_LOAD!$AP:$AP,'Refi-Annual Review'!$DU$1,DB_LOAD!$AQ:$AQ,'Refi-Annual Review'!DV$2)</f>
        <v>0</v>
      </c>
      <c r="DW28" s="494">
        <f>SUMIFS(DB_LOAD!$AV:$AV,DB_LOAD!$AW:$AW,'Refi-Annual Review'!$DT$1,DB_LOAD!$AR:$AR,'Refi-Annual Review'!$CF28,DB_LOAD!$AP:$AP,'Refi-Annual Review'!$DU$1,DB_LOAD!$AQ:$AQ,'Refi-Annual Review'!DW$2)</f>
        <v>0</v>
      </c>
      <c r="DX28" s="494">
        <f>SUMIFS(DB_LOAD!$AV:$AV,DB_LOAD!$AW:$AW,'Refi-Annual Review'!$DT$1,DB_LOAD!$AR:$AR,'Refi-Annual Review'!$CF28,DB_LOAD!$AP:$AP,'Refi-Annual Review'!$DU$1,DB_LOAD!$AQ:$AQ,'Refi-Annual Review'!DX$2)</f>
        <v>0</v>
      </c>
      <c r="DY28" s="494">
        <f>SUMIFS(DB_LOAD!$AV:$AV,DB_LOAD!$AW:$AW,'Refi-Annual Review'!$DT$1,DB_LOAD!$AR:$AR,'Refi-Annual Review'!$CF28,DB_LOAD!$AP:$AP,'Refi-Annual Review'!$DU$1,DB_LOAD!$AQ:$AQ,'Refi-Annual Review'!DY$2)</f>
        <v>0</v>
      </c>
      <c r="DZ28" s="494" t="str">
        <f t="shared" si="55"/>
        <v/>
      </c>
    </row>
    <row r="29" spans="1:130" ht="15">
      <c r="C29" s="485">
        <f t="shared" si="25"/>
        <v>30</v>
      </c>
      <c r="D29" s="493" t="s">
        <v>21</v>
      </c>
      <c r="E29" s="568"/>
      <c r="F29" s="496"/>
      <c r="G29" s="496" t="e">
        <f t="shared" ref="G29:I29" ca="1" si="62">-(G123/AK180)</f>
        <v>#N/A</v>
      </c>
      <c r="H29" s="496" t="e">
        <f t="shared" ca="1" si="62"/>
        <v>#N/A</v>
      </c>
      <c r="I29" s="496" t="e">
        <f t="shared" ca="1" si="62"/>
        <v>#N/A</v>
      </c>
      <c r="J29" s="496" t="e">
        <f ca="1">-(J123/AN180)</f>
        <v>#N/A</v>
      </c>
      <c r="K29" s="496"/>
      <c r="L29" s="496" t="str">
        <f t="shared" ref="L29:M29" ca="1" si="63">IFERROR(-L123/AK180,"N/A")</f>
        <v>N/A</v>
      </c>
      <c r="M29" s="496" t="str">
        <f t="shared" ca="1" si="63"/>
        <v>N/A</v>
      </c>
      <c r="N29" s="496" t="str">
        <f ca="1">IFERROR(-N123/AM180,"N/A")</f>
        <v>N/A</v>
      </c>
      <c r="O29" s="496" t="str">
        <f t="shared" ref="O29" ca="1" si="64">IFERROR(-(O123/AVERAGE(O9,IF(J9="",N9,J9))),"N/A")</f>
        <v>N/A</v>
      </c>
      <c r="P29" s="496"/>
      <c r="Q29" s="496" t="e">
        <f ca="1">-((Q123*(12/Q1/Q185)))</f>
        <v>#NAME?</v>
      </c>
      <c r="R29" s="496" t="e">
        <f ca="1">-(R123/Q180)</f>
        <v>#NAME?</v>
      </c>
      <c r="S29" s="496"/>
      <c r="T29" s="496"/>
      <c r="U29" s="496"/>
      <c r="AJ29" s="493" t="s">
        <v>21</v>
      </c>
      <c r="AK29" s="496" t="e">
        <f t="shared" ca="1" si="49"/>
        <v>#N/A</v>
      </c>
      <c r="AL29" s="496" t="e">
        <f t="shared" ca="1" si="49"/>
        <v>#N/A</v>
      </c>
      <c r="AM29" s="496" t="e">
        <f t="shared" ca="1" si="49"/>
        <v>#N/A</v>
      </c>
      <c r="AN29" s="496" t="e">
        <f t="shared" ca="1" si="49"/>
        <v>#N/A</v>
      </c>
      <c r="AO29" s="496" t="e">
        <f t="shared" ca="1" si="48"/>
        <v>#NAME?</v>
      </c>
      <c r="AP29" s="496" t="e">
        <f t="shared" ca="1" si="48"/>
        <v>#NAME?</v>
      </c>
      <c r="BE29" s="485" t="e">
        <f t="shared" ca="1" si="31"/>
        <v>#NAME?</v>
      </c>
      <c r="BF29" s="651" t="str">
        <f t="shared" si="29"/>
        <v/>
      </c>
      <c r="BG29" s="669" t="e">
        <f t="shared" ca="1" si="50"/>
        <v>#NAME?</v>
      </c>
      <c r="BH29" s="669" t="e">
        <f t="shared" ca="1" si="50"/>
        <v>#NAME?</v>
      </c>
      <c r="BI29" s="669" t="e">
        <f t="shared" ca="1" si="50"/>
        <v>#NAME?</v>
      </c>
      <c r="BJ29" s="669" t="e">
        <f t="shared" ca="1" si="50"/>
        <v>#NAME?</v>
      </c>
      <c r="BK29" s="669" t="e">
        <f t="shared" ca="1" si="50"/>
        <v>#NAME?</v>
      </c>
      <c r="BL29" s="669" t="e">
        <f t="shared" ca="1" si="50"/>
        <v>#NAME?</v>
      </c>
      <c r="BM29" s="669" t="e">
        <f t="shared" ca="1" si="50"/>
        <v>#NAME?</v>
      </c>
      <c r="BN29" s="670" t="e">
        <f t="shared" ca="1" si="32"/>
        <v>#NAME?</v>
      </c>
      <c r="BP29" s="485" t="e">
        <f ca="1">IF(OR(DB_LOAD!AW28="USD",DB_LOAD!AW28='Refi-Annual Review'!$A$3,ISBLANK(DB_LOAD!AW28)),0,1)</f>
        <v>#NAME?</v>
      </c>
      <c r="BQ29" t="str">
        <f>(IF(ISBLANK(DB_LOAD!AR28),"",DB_LOAD!AR28))</f>
        <v/>
      </c>
      <c r="BR29" t="str">
        <f t="shared" si="3"/>
        <v/>
      </c>
      <c r="BS29" t="str">
        <f t="shared" si="7"/>
        <v/>
      </c>
      <c r="BT29" t="str">
        <f t="shared" si="13"/>
        <v>5500000250000016064001572600</v>
      </c>
      <c r="BU29" t="str">
        <f t="shared" si="4"/>
        <v/>
      </c>
      <c r="BV29" t="str">
        <f t="shared" si="14"/>
        <v>7777</v>
      </c>
      <c r="BW29" t="str">
        <f t="shared" si="5"/>
        <v/>
      </c>
      <c r="BX29" t="str">
        <f t="shared" si="15"/>
        <v>1111</v>
      </c>
      <c r="BY29"/>
      <c r="BZ29"/>
      <c r="CA29"/>
      <c r="CB29" s="683" t="str">
        <f t="shared" si="16"/>
        <v/>
      </c>
      <c r="CC29" s="683" t="str">
        <f t="shared" si="17"/>
        <v/>
      </c>
      <c r="CD29" s="683" t="str">
        <f>IF(CC29="","",VALUE(MID($BZ$5,1+SUM($CC$3:CC28),CC29)))</f>
        <v/>
      </c>
      <c r="CE29">
        <f t="shared" si="18"/>
        <v>27</v>
      </c>
      <c r="CF29" t="str">
        <f>IF(CD29="","",MID($BZ$4,1+SUM($CD$3:CD28),CD29))</f>
        <v/>
      </c>
      <c r="CI29" s="494" t="e">
        <f ca="1">SUMIFS(DB_LOAD!$AU:$AU,DB_LOAD!$AW:$AW,'Refi-Annual Review'!$CJ$1,DB_LOAD!$AR:$AR,'Refi-Annual Review'!$CF29,DB_LOAD!$AP:$AP,'Refi-Annual Review'!$CK$1,DB_LOAD!$AQ:$AQ,'Refi-Annual Review'!CI$2)/DB_LOAD!$K$2</f>
        <v>#DIV/0!</v>
      </c>
      <c r="CJ29" s="494" t="e">
        <f ca="1">SUMIFS(DB_LOAD!$AU:$AU,DB_LOAD!$AW:$AW,'Refi-Annual Review'!$CJ$1,DB_LOAD!$AR:$AR,'Refi-Annual Review'!$CF29,DB_LOAD!$AP:$AP,'Refi-Annual Review'!$CK$1,DB_LOAD!$AQ:$AQ,'Refi-Annual Review'!CJ$2)/DB_LOAD!$K$2</f>
        <v>#DIV/0!</v>
      </c>
      <c r="CK29" s="494" t="e">
        <f ca="1">SUMIFS(DB_LOAD!$AU:$AU,DB_LOAD!$AW:$AW,'Refi-Annual Review'!$CJ$1,DB_LOAD!$AR:$AR,'Refi-Annual Review'!$CF29,DB_LOAD!$AP:$AP,'Refi-Annual Review'!$CK$1,DB_LOAD!$AQ:$AQ,'Refi-Annual Review'!CK$2)/DB_LOAD!$K$2</f>
        <v>#DIV/0!</v>
      </c>
      <c r="CL29" s="494" t="e">
        <f ca="1">SUMIFS(DB_LOAD!$AU:$AU,DB_LOAD!$AW:$AW,'Refi-Annual Review'!$CJ$1,DB_LOAD!$AR:$AR,'Refi-Annual Review'!$CF29,DB_LOAD!$AP:$AP,'Refi-Annual Review'!$CK$1,DB_LOAD!$AQ:$AQ,'Refi-Annual Review'!CL$2)/DB_LOAD!$K$2</f>
        <v>#DIV/0!</v>
      </c>
      <c r="CM29" s="494" t="e">
        <f ca="1">SUMIFS(DB_LOAD!$AU:$AU,DB_LOAD!$AW:$AW,'Refi-Annual Review'!$CJ$1,DB_LOAD!$AR:$AR,'Refi-Annual Review'!$CF29,DB_LOAD!$AP:$AP,'Refi-Annual Review'!$CK$1,DB_LOAD!$AQ:$AQ,'Refi-Annual Review'!CM$2)/DB_LOAD!$K$2</f>
        <v>#DIV/0!</v>
      </c>
      <c r="CN29" s="494" t="e">
        <f ca="1">SUMIFS(DB_LOAD!$AU:$AU,DB_LOAD!$AW:$AW,'Refi-Annual Review'!$CJ$1,DB_LOAD!$AR:$AR,'Refi-Annual Review'!$CF29,DB_LOAD!$AP:$AP,'Refi-Annual Review'!$CK$1,DB_LOAD!$AQ:$AQ,'Refi-Annual Review'!CN$2)/DB_LOAD!$K$2</f>
        <v>#DIV/0!</v>
      </c>
      <c r="CO29" s="494" t="e">
        <f ca="1">SUMIFS(DB_LOAD!$AU:$AU,DB_LOAD!$AW:$AW,'Refi-Annual Review'!$CJ$1,DB_LOAD!$AR:$AR,'Refi-Annual Review'!$CF29,DB_LOAD!$AP:$AP,'Refi-Annual Review'!$CK$1,DB_LOAD!$AQ:$AQ,'Refi-Annual Review'!CO$2)/DB_LOAD!$K$2</f>
        <v>#DIV/0!</v>
      </c>
      <c r="CP29" s="494" t="e">
        <f t="shared" ca="1" si="51"/>
        <v>#DIV/0!</v>
      </c>
      <c r="CR29" s="494">
        <f ca="1">SUMIFS(DB_LOAD!$AV:$AV,DB_LOAD!$AW:$AW,'Refi-Annual Review'!$CS$1,DB_LOAD!$AR:$AR,'Refi-Annual Review'!$CF29,DB_LOAD!$AP:$AP,'Refi-Annual Review'!$CT$1,DB_LOAD!$AQ:$AQ,'Refi-Annual Review'!CR$2)</f>
        <v>0</v>
      </c>
      <c r="CS29" s="494">
        <f ca="1">SUMIFS(DB_LOAD!$AV:$AV,DB_LOAD!$AW:$AW,'Refi-Annual Review'!$CS$1,DB_LOAD!$AR:$AR,'Refi-Annual Review'!$CF29,DB_LOAD!$AP:$AP,'Refi-Annual Review'!$CT$1,DB_LOAD!$AQ:$AQ,'Refi-Annual Review'!CS$2)</f>
        <v>0</v>
      </c>
      <c r="CT29" s="494">
        <f ca="1">SUMIFS(DB_LOAD!$AV:$AV,DB_LOAD!$AW:$AW,'Refi-Annual Review'!$CS$1,DB_LOAD!$AR:$AR,'Refi-Annual Review'!$CF29,DB_LOAD!$AP:$AP,'Refi-Annual Review'!$CT$1,DB_LOAD!$AQ:$AQ,'Refi-Annual Review'!CT$2)</f>
        <v>0</v>
      </c>
      <c r="CU29" s="494">
        <f ca="1">SUMIFS(DB_LOAD!$AV:$AV,DB_LOAD!$AW:$AW,'Refi-Annual Review'!$CS$1,DB_LOAD!$AR:$AR,'Refi-Annual Review'!$CF29,DB_LOAD!$AP:$AP,'Refi-Annual Review'!$CT$1,DB_LOAD!$AQ:$AQ,'Refi-Annual Review'!CU$2)</f>
        <v>0</v>
      </c>
      <c r="CV29" s="494">
        <f ca="1">SUMIFS(DB_LOAD!$AV:$AV,DB_LOAD!$AW:$AW,'Refi-Annual Review'!$CS$1,DB_LOAD!$AR:$AR,'Refi-Annual Review'!$CF29,DB_LOAD!$AP:$AP,'Refi-Annual Review'!$CT$1,DB_LOAD!$AQ:$AQ,'Refi-Annual Review'!CV$2)</f>
        <v>0</v>
      </c>
      <c r="CW29" s="494">
        <f ca="1">SUMIFS(DB_LOAD!$AV:$AV,DB_LOAD!$AW:$AW,'Refi-Annual Review'!$CS$1,DB_LOAD!$AR:$AR,'Refi-Annual Review'!$CF29,DB_LOAD!$AP:$AP,'Refi-Annual Review'!$CT$1,DB_LOAD!$AQ:$AQ,'Refi-Annual Review'!CW$2)</f>
        <v>0</v>
      </c>
      <c r="CX29" s="494">
        <f ca="1">SUMIFS(DB_LOAD!$AV:$AV,DB_LOAD!$AW:$AW,'Refi-Annual Review'!$CS$1,DB_LOAD!$AR:$AR,'Refi-Annual Review'!$CF29,DB_LOAD!$AP:$AP,'Refi-Annual Review'!$CT$1,DB_LOAD!$AQ:$AQ,'Refi-Annual Review'!CX$2)</f>
        <v>0</v>
      </c>
      <c r="CY29" s="494" t="str">
        <f t="shared" ca="1" si="52"/>
        <v/>
      </c>
      <c r="DA29" s="494" t="e">
        <f ca="1">SUMIFS(DB_LOAD!$AU:$AU,DB_LOAD!$AW:$AW,'Refi-Annual Review'!$DB$1,DB_LOAD!$AR:$AR,'Refi-Annual Review'!$CF29,DB_LOAD!$AP:$AP,'Refi-Annual Review'!$DC$1,DB_LOAD!$AQ:$AQ,'Refi-Annual Review'!DA$2)/IF($A$23="No Data Found",1,$A$23)</f>
        <v>#NAME?</v>
      </c>
      <c r="DB29" s="494" t="e">
        <f ca="1">SUMIFS(DB_LOAD!$AU:$AU,DB_LOAD!$AW:$AW,'Refi-Annual Review'!$DB$1,DB_LOAD!$AR:$AR,'Refi-Annual Review'!$CF29,DB_LOAD!$AP:$AP,'Refi-Annual Review'!$DC$1,DB_LOAD!$AQ:$AQ,'Refi-Annual Review'!DB$2)/IF($A$23="No Data Found",1,$A$23)</f>
        <v>#NAME?</v>
      </c>
      <c r="DC29" s="494" t="e">
        <f ca="1">SUMIFS(DB_LOAD!$AU:$AU,DB_LOAD!$AW:$AW,'Refi-Annual Review'!$DB$1,DB_LOAD!$AR:$AR,'Refi-Annual Review'!$CF29,DB_LOAD!$AP:$AP,'Refi-Annual Review'!$DC$1,DB_LOAD!$AQ:$AQ,'Refi-Annual Review'!DC$2)/IF($A$23="No Data Found",1,$A$23)</f>
        <v>#NAME?</v>
      </c>
      <c r="DD29" s="494" t="e">
        <f ca="1">SUMIFS(DB_LOAD!$AU:$AU,DB_LOAD!$AW:$AW,'Refi-Annual Review'!$DB$1,DB_LOAD!$AR:$AR,'Refi-Annual Review'!$CF29,DB_LOAD!$AP:$AP,'Refi-Annual Review'!$DC$1,DB_LOAD!$AQ:$AQ,'Refi-Annual Review'!DD$2)/IF($A$23="No Data Found",1,$A$23)</f>
        <v>#NAME?</v>
      </c>
      <c r="DE29" s="494" t="e">
        <f ca="1">SUMIFS(DB_LOAD!$AU:$AU,DB_LOAD!$AW:$AW,'Refi-Annual Review'!$DB$1,DB_LOAD!$AR:$AR,'Refi-Annual Review'!$CF29,DB_LOAD!$AP:$AP,'Refi-Annual Review'!$DC$1,DB_LOAD!$AQ:$AQ,'Refi-Annual Review'!DE$2)/IF($A$23="No Data Found",1,$A$23)</f>
        <v>#NAME?</v>
      </c>
      <c r="DF29" s="494" t="e">
        <f ca="1">SUMIFS(DB_LOAD!$AU:$AU,DB_LOAD!$AW:$AW,'Refi-Annual Review'!$DB$1,DB_LOAD!$AR:$AR,'Refi-Annual Review'!$CF29,DB_LOAD!$AP:$AP,'Refi-Annual Review'!$DC$1,DB_LOAD!$AQ:$AQ,'Refi-Annual Review'!DF$2)/IF($A$23="No Data Found",1,$A$23)</f>
        <v>#NAME?</v>
      </c>
      <c r="DG29" s="494" t="e">
        <f ca="1">SUMIFS(DB_LOAD!$AU:$AU,DB_LOAD!$AW:$AW,'Refi-Annual Review'!$DB$1,DB_LOAD!$AR:$AR,'Refi-Annual Review'!$CF29,DB_LOAD!$AP:$AP,'Refi-Annual Review'!$DC$1,DB_LOAD!$AQ:$AQ,'Refi-Annual Review'!DG$2)/IF($A$23="No Data Found",1,$A$23)</f>
        <v>#NAME?</v>
      </c>
      <c r="DH29" s="494" t="e">
        <f t="shared" ca="1" si="53"/>
        <v>#NAME?</v>
      </c>
      <c r="DJ29" s="494">
        <f ca="1">SUMIFS(DB_LOAD!$AV:$AV,DB_LOAD!$AW:$AW,'Refi-Annual Review'!$DK$1,DB_LOAD!$AR:$AR,'Refi-Annual Review'!$CF29,DB_LOAD!$AP:$AP,'Refi-Annual Review'!$DL$1,DB_LOAD!$AQ:$AQ,'Refi-Annual Review'!DJ$2)</f>
        <v>0</v>
      </c>
      <c r="DK29" s="494">
        <f ca="1">SUMIFS(DB_LOAD!$AV:$AV,DB_LOAD!$AW:$AW,'Refi-Annual Review'!$DK$1,DB_LOAD!$AR:$AR,'Refi-Annual Review'!$CF29,DB_LOAD!$AP:$AP,'Refi-Annual Review'!$DL$1,DB_LOAD!$AQ:$AQ,'Refi-Annual Review'!DK$2)</f>
        <v>0</v>
      </c>
      <c r="DL29" s="494">
        <f ca="1">SUMIFS(DB_LOAD!$AV:$AV,DB_LOAD!$AW:$AW,'Refi-Annual Review'!$DK$1,DB_LOAD!$AR:$AR,'Refi-Annual Review'!$CF29,DB_LOAD!$AP:$AP,'Refi-Annual Review'!$DL$1,DB_LOAD!$AQ:$AQ,'Refi-Annual Review'!DL$2)</f>
        <v>0</v>
      </c>
      <c r="DM29" s="494">
        <f ca="1">SUMIFS(DB_LOAD!$AV:$AV,DB_LOAD!$AW:$AW,'Refi-Annual Review'!$DK$1,DB_LOAD!$AR:$AR,'Refi-Annual Review'!$CF29,DB_LOAD!$AP:$AP,'Refi-Annual Review'!$DL$1,DB_LOAD!$AQ:$AQ,'Refi-Annual Review'!DM$2)</f>
        <v>0</v>
      </c>
      <c r="DN29" s="494">
        <f ca="1">SUMIFS(DB_LOAD!$AV:$AV,DB_LOAD!$AW:$AW,'Refi-Annual Review'!$DK$1,DB_LOAD!$AR:$AR,'Refi-Annual Review'!$CF29,DB_LOAD!$AP:$AP,'Refi-Annual Review'!$DL$1,DB_LOAD!$AQ:$AQ,'Refi-Annual Review'!DN$2)</f>
        <v>0</v>
      </c>
      <c r="DO29" s="494">
        <f ca="1">SUMIFS(DB_LOAD!$AV:$AV,DB_LOAD!$AW:$AW,'Refi-Annual Review'!$DK$1,DB_LOAD!$AR:$AR,'Refi-Annual Review'!$CF29,DB_LOAD!$AP:$AP,'Refi-Annual Review'!$DL$1,DB_LOAD!$AQ:$AQ,'Refi-Annual Review'!DO$2)</f>
        <v>0</v>
      </c>
      <c r="DP29" s="494">
        <f ca="1">SUMIFS(DB_LOAD!$AV:$AV,DB_LOAD!$AW:$AW,'Refi-Annual Review'!$DK$1,DB_LOAD!$AR:$AR,'Refi-Annual Review'!$CF29,DB_LOAD!$AP:$AP,'Refi-Annual Review'!$DL$1,DB_LOAD!$AQ:$AQ,'Refi-Annual Review'!DP$2)</f>
        <v>0</v>
      </c>
      <c r="DQ29" s="494" t="str">
        <f t="shared" ca="1" si="54"/>
        <v/>
      </c>
      <c r="DS29" s="494">
        <f>SUMIFS(DB_LOAD!$AV:$AV,DB_LOAD!$AW:$AW,'Refi-Annual Review'!$DT$1,DB_LOAD!$AR:$AR,'Refi-Annual Review'!$CF29,DB_LOAD!$AP:$AP,'Refi-Annual Review'!$DU$1,DB_LOAD!$AQ:$AQ,'Refi-Annual Review'!DS$2)</f>
        <v>0</v>
      </c>
      <c r="DT29" s="494">
        <f>SUMIFS(DB_LOAD!$AV:$AV,DB_LOAD!$AW:$AW,'Refi-Annual Review'!$DT$1,DB_LOAD!$AR:$AR,'Refi-Annual Review'!$CF29,DB_LOAD!$AP:$AP,'Refi-Annual Review'!$DU$1,DB_LOAD!$AQ:$AQ,'Refi-Annual Review'!DT$2)</f>
        <v>0</v>
      </c>
      <c r="DU29" s="494">
        <f>SUMIFS(DB_LOAD!$AV:$AV,DB_LOAD!$AW:$AW,'Refi-Annual Review'!$DT$1,DB_LOAD!$AR:$AR,'Refi-Annual Review'!$CF29,DB_LOAD!$AP:$AP,'Refi-Annual Review'!$DU$1,DB_LOAD!$AQ:$AQ,'Refi-Annual Review'!DU$2)</f>
        <v>0</v>
      </c>
      <c r="DV29" s="494">
        <f>SUMIFS(DB_LOAD!$AV:$AV,DB_LOAD!$AW:$AW,'Refi-Annual Review'!$DT$1,DB_LOAD!$AR:$AR,'Refi-Annual Review'!$CF29,DB_LOAD!$AP:$AP,'Refi-Annual Review'!$DU$1,DB_LOAD!$AQ:$AQ,'Refi-Annual Review'!DV$2)</f>
        <v>0</v>
      </c>
      <c r="DW29" s="494">
        <f>SUMIFS(DB_LOAD!$AV:$AV,DB_LOAD!$AW:$AW,'Refi-Annual Review'!$DT$1,DB_LOAD!$AR:$AR,'Refi-Annual Review'!$CF29,DB_LOAD!$AP:$AP,'Refi-Annual Review'!$DU$1,DB_LOAD!$AQ:$AQ,'Refi-Annual Review'!DW$2)</f>
        <v>0</v>
      </c>
      <c r="DX29" s="494">
        <f>SUMIFS(DB_LOAD!$AV:$AV,DB_LOAD!$AW:$AW,'Refi-Annual Review'!$DT$1,DB_LOAD!$AR:$AR,'Refi-Annual Review'!$CF29,DB_LOAD!$AP:$AP,'Refi-Annual Review'!$DU$1,DB_LOAD!$AQ:$AQ,'Refi-Annual Review'!DX$2)</f>
        <v>0</v>
      </c>
      <c r="DY29" s="494">
        <f>SUMIFS(DB_LOAD!$AV:$AV,DB_LOAD!$AW:$AW,'Refi-Annual Review'!$DT$1,DB_LOAD!$AR:$AR,'Refi-Annual Review'!$CF29,DB_LOAD!$AP:$AP,'Refi-Annual Review'!$DU$1,DB_LOAD!$AQ:$AQ,'Refi-Annual Review'!DY$2)</f>
        <v>0</v>
      </c>
      <c r="DZ29" s="494" t="str">
        <f t="shared" si="55"/>
        <v/>
      </c>
    </row>
    <row r="30" spans="1:130" ht="15">
      <c r="C30" s="485">
        <f t="shared" si="25"/>
        <v>31</v>
      </c>
      <c r="D30" s="493" t="s">
        <v>22</v>
      </c>
      <c r="E30" s="568"/>
      <c r="F30" s="496"/>
      <c r="G30" s="496" t="str">
        <f ca="1">G14</f>
        <v>N/A</v>
      </c>
      <c r="H30" s="496" t="str">
        <f ca="1">H14</f>
        <v>N/A</v>
      </c>
      <c r="I30" s="496" t="str">
        <f ca="1">I14</f>
        <v>N/A</v>
      </c>
      <c r="J30" s="496" t="str">
        <f ca="1">J14</f>
        <v>N/A</v>
      </c>
      <c r="K30" s="496"/>
      <c r="L30" s="496" t="str">
        <f ca="1">L14</f>
        <v>N/A</v>
      </c>
      <c r="M30" s="496" t="str">
        <f ca="1">M14</f>
        <v>N/A</v>
      </c>
      <c r="N30" s="496" t="str">
        <f ca="1">N14</f>
        <v>N/A</v>
      </c>
      <c r="O30" s="496" t="str">
        <f ca="1">O14</f>
        <v>N/A</v>
      </c>
      <c r="P30" s="496"/>
      <c r="Q30" s="496" t="e">
        <f ca="1">Q14</f>
        <v>#NAME?</v>
      </c>
      <c r="R30" s="496" t="e">
        <f ca="1">R14</f>
        <v>#NAME?</v>
      </c>
      <c r="S30" s="496"/>
      <c r="T30" s="496"/>
      <c r="U30" s="496"/>
      <c r="AJ30" s="493" t="s">
        <v>22</v>
      </c>
      <c r="AK30" s="496" t="e">
        <f t="shared" ca="1" si="49"/>
        <v>#N/A</v>
      </c>
      <c r="AL30" s="496" t="e">
        <f t="shared" ca="1" si="49"/>
        <v>#N/A</v>
      </c>
      <c r="AM30" s="496" t="e">
        <f t="shared" ca="1" si="49"/>
        <v>#N/A</v>
      </c>
      <c r="AN30" s="496" t="e">
        <f t="shared" ca="1" si="49"/>
        <v>#N/A</v>
      </c>
      <c r="AO30" s="496" t="e">
        <f t="shared" ca="1" si="48"/>
        <v>#NAME?</v>
      </c>
      <c r="AP30" s="496" t="e">
        <f t="shared" ca="1" si="48"/>
        <v>#NAME?</v>
      </c>
      <c r="BD30" s="485" t="s">
        <v>140</v>
      </c>
      <c r="BE30" s="485" t="e">
        <f t="shared" ref="BE30:BE38" ca="1" si="65">IF(OR(BN30=0,BN30=""),1,"")</f>
        <v>#NAME?</v>
      </c>
      <c r="BF30" s="651" t="str">
        <f t="shared" ref="BF30:BF38" si="66">CF24</f>
        <v/>
      </c>
      <c r="BG30" s="669" t="e">
        <f t="shared" ref="BG30:BM35" ca="1" si="67">IF(CR24+DA24=0,"",CR24+DA24)</f>
        <v>#NAME?</v>
      </c>
      <c r="BH30" s="669" t="e">
        <f t="shared" ca="1" si="67"/>
        <v>#NAME?</v>
      </c>
      <c r="BI30" s="669" t="e">
        <f t="shared" ca="1" si="67"/>
        <v>#NAME?</v>
      </c>
      <c r="BJ30" s="669" t="e">
        <f t="shared" ca="1" si="67"/>
        <v>#NAME?</v>
      </c>
      <c r="BK30" s="669" t="e">
        <f t="shared" ca="1" si="67"/>
        <v>#NAME?</v>
      </c>
      <c r="BL30" s="669" t="e">
        <f t="shared" ca="1" si="67"/>
        <v>#NAME?</v>
      </c>
      <c r="BM30" s="669" t="e">
        <f t="shared" ca="1" si="67"/>
        <v>#NAME?</v>
      </c>
      <c r="BN30" s="670" t="e">
        <f t="shared" ref="BN30:BN38" ca="1" si="68">IF(SUM(BG30:BM30)=0,"",SUM(BG30:BM30))</f>
        <v>#NAME?</v>
      </c>
      <c r="BP30" s="485" t="e">
        <f ca="1">IF(OR(DB_LOAD!AW29="USD",DB_LOAD!AW29='Refi-Annual Review'!$A$3,ISBLANK(DB_LOAD!AW29)),0,1)</f>
        <v>#NAME?</v>
      </c>
      <c r="BQ30" t="str">
        <f>(IF(ISBLANK(DB_LOAD!AR29),"",DB_LOAD!AR29))</f>
        <v/>
      </c>
      <c r="BR30" t="str">
        <f>IF(LEN(BQ30)&gt;0,LEN(BQ30),"")</f>
        <v/>
      </c>
      <c r="BS30" t="str">
        <f>IF(AND(BQ30=BQ29,BR30=BR29,BQ30&lt;&gt;""),"",IF(BQ30="","",BQ30))</f>
        <v/>
      </c>
      <c r="BT30" t="str">
        <f>BT29&amp;BS30</f>
        <v>5500000250000016064001572600</v>
      </c>
      <c r="BU30" t="str">
        <f>IF(LEN(BS30)&gt;0,LEN(BS30),"")</f>
        <v/>
      </c>
      <c r="BV30" t="str">
        <f>BV29&amp;BU30</f>
        <v>7777</v>
      </c>
      <c r="BW30" t="str">
        <f>IF(LEN(BU30)&gt;0,LEN(BU30),"")</f>
        <v/>
      </c>
      <c r="BX30" t="str">
        <f>BX29&amp;BW30</f>
        <v>1111</v>
      </c>
      <c r="BY30"/>
      <c r="BZ30"/>
      <c r="CA30"/>
      <c r="CB30" s="683" t="str">
        <f t="shared" ref="CB30:CB68" si="69">IF(CB29&lt;$BZ$3,CB29+1,"")</f>
        <v/>
      </c>
      <c r="CC30" s="683" t="str">
        <f t="shared" ref="CC30:CC68" si="70">IF(CB30="","",VALUE(MID($BZ$6,CB30,1)))</f>
        <v/>
      </c>
      <c r="CD30" s="683" t="str">
        <f>IF(CC30="","",VALUE(MID($BZ$5,1+SUM($CC$3:CC29),CC30)))</f>
        <v/>
      </c>
      <c r="CE30">
        <f>CE29+1</f>
        <v>28</v>
      </c>
      <c r="CF30" t="str">
        <f>IF(CD30="","",MID($BZ$4,1+SUM($CD$3:CD29),CD30))</f>
        <v/>
      </c>
      <c r="CI30" s="494" t="e">
        <f ca="1">SUMIFS(DB_LOAD!$AU:$AU,DB_LOAD!$AW:$AW,'Refi-Annual Review'!$CJ$1,DB_LOAD!$AR:$AR,'Refi-Annual Review'!$CF30,DB_LOAD!$AP:$AP,'Refi-Annual Review'!$CK$1,DB_LOAD!$AQ:$AQ,'Refi-Annual Review'!CI$2)/DB_LOAD!$K$2</f>
        <v>#DIV/0!</v>
      </c>
      <c r="CJ30" s="494" t="e">
        <f ca="1">SUMIFS(DB_LOAD!$AU:$AU,DB_LOAD!$AW:$AW,'Refi-Annual Review'!$CJ$1,DB_LOAD!$AR:$AR,'Refi-Annual Review'!$CF30,DB_LOAD!$AP:$AP,'Refi-Annual Review'!$CK$1,DB_LOAD!$AQ:$AQ,'Refi-Annual Review'!CJ$2)/DB_LOAD!$K$2</f>
        <v>#DIV/0!</v>
      </c>
      <c r="CK30" s="494" t="e">
        <f ca="1">SUMIFS(DB_LOAD!$AU:$AU,DB_LOAD!$AW:$AW,'Refi-Annual Review'!$CJ$1,DB_LOAD!$AR:$AR,'Refi-Annual Review'!$CF30,DB_LOAD!$AP:$AP,'Refi-Annual Review'!$CK$1,DB_LOAD!$AQ:$AQ,'Refi-Annual Review'!CK$2)/DB_LOAD!$K$2</f>
        <v>#DIV/0!</v>
      </c>
      <c r="CL30" s="494" t="e">
        <f ca="1">SUMIFS(DB_LOAD!$AU:$AU,DB_LOAD!$AW:$AW,'Refi-Annual Review'!$CJ$1,DB_LOAD!$AR:$AR,'Refi-Annual Review'!$CF30,DB_LOAD!$AP:$AP,'Refi-Annual Review'!$CK$1,DB_LOAD!$AQ:$AQ,'Refi-Annual Review'!CL$2)/DB_LOAD!$K$2</f>
        <v>#DIV/0!</v>
      </c>
      <c r="CM30" s="494" t="e">
        <f ca="1">SUMIFS(DB_LOAD!$AU:$AU,DB_LOAD!$AW:$AW,'Refi-Annual Review'!$CJ$1,DB_LOAD!$AR:$AR,'Refi-Annual Review'!$CF30,DB_LOAD!$AP:$AP,'Refi-Annual Review'!$CK$1,DB_LOAD!$AQ:$AQ,'Refi-Annual Review'!CM$2)/DB_LOAD!$K$2</f>
        <v>#DIV/0!</v>
      </c>
      <c r="CN30" s="494" t="e">
        <f ca="1">SUMIFS(DB_LOAD!$AU:$AU,DB_LOAD!$AW:$AW,'Refi-Annual Review'!$CJ$1,DB_LOAD!$AR:$AR,'Refi-Annual Review'!$CF30,DB_LOAD!$AP:$AP,'Refi-Annual Review'!$CK$1,DB_LOAD!$AQ:$AQ,'Refi-Annual Review'!CN$2)/DB_LOAD!$K$2</f>
        <v>#DIV/0!</v>
      </c>
      <c r="CO30" s="494" t="e">
        <f ca="1">SUMIFS(DB_LOAD!$AU:$AU,DB_LOAD!$AW:$AW,'Refi-Annual Review'!$CJ$1,DB_LOAD!$AR:$AR,'Refi-Annual Review'!$CF30,DB_LOAD!$AP:$AP,'Refi-Annual Review'!$CK$1,DB_LOAD!$AQ:$AQ,'Refi-Annual Review'!CO$2)/DB_LOAD!$K$2</f>
        <v>#DIV/0!</v>
      </c>
      <c r="CP30" s="494" t="e">
        <f t="shared" ca="1" si="51"/>
        <v>#DIV/0!</v>
      </c>
      <c r="CR30" s="494">
        <f ca="1">SUMIFS(DB_LOAD!$AV:$AV,DB_LOAD!$AW:$AW,'Refi-Annual Review'!$CS$1,DB_LOAD!$AR:$AR,'Refi-Annual Review'!$CF30,DB_LOAD!$AP:$AP,'Refi-Annual Review'!$CT$1,DB_LOAD!$AQ:$AQ,'Refi-Annual Review'!CR$2)</f>
        <v>0</v>
      </c>
      <c r="CS30" s="494">
        <f ca="1">SUMIFS(DB_LOAD!$AV:$AV,DB_LOAD!$AW:$AW,'Refi-Annual Review'!$CS$1,DB_LOAD!$AR:$AR,'Refi-Annual Review'!$CF30,DB_LOAD!$AP:$AP,'Refi-Annual Review'!$CT$1,DB_LOAD!$AQ:$AQ,'Refi-Annual Review'!CS$2)</f>
        <v>0</v>
      </c>
      <c r="CT30" s="494">
        <f ca="1">SUMIFS(DB_LOAD!$AV:$AV,DB_LOAD!$AW:$AW,'Refi-Annual Review'!$CS$1,DB_LOAD!$AR:$AR,'Refi-Annual Review'!$CF30,DB_LOAD!$AP:$AP,'Refi-Annual Review'!$CT$1,DB_LOAD!$AQ:$AQ,'Refi-Annual Review'!CT$2)</f>
        <v>0</v>
      </c>
      <c r="CU30" s="494">
        <f ca="1">SUMIFS(DB_LOAD!$AV:$AV,DB_LOAD!$AW:$AW,'Refi-Annual Review'!$CS$1,DB_LOAD!$AR:$AR,'Refi-Annual Review'!$CF30,DB_LOAD!$AP:$AP,'Refi-Annual Review'!$CT$1,DB_LOAD!$AQ:$AQ,'Refi-Annual Review'!CU$2)</f>
        <v>0</v>
      </c>
      <c r="CV30" s="494">
        <f ca="1">SUMIFS(DB_LOAD!$AV:$AV,DB_LOAD!$AW:$AW,'Refi-Annual Review'!$CS$1,DB_LOAD!$AR:$AR,'Refi-Annual Review'!$CF30,DB_LOAD!$AP:$AP,'Refi-Annual Review'!$CT$1,DB_LOAD!$AQ:$AQ,'Refi-Annual Review'!CV$2)</f>
        <v>0</v>
      </c>
      <c r="CW30" s="494">
        <f ca="1">SUMIFS(DB_LOAD!$AV:$AV,DB_LOAD!$AW:$AW,'Refi-Annual Review'!$CS$1,DB_LOAD!$AR:$AR,'Refi-Annual Review'!$CF30,DB_LOAD!$AP:$AP,'Refi-Annual Review'!$CT$1,DB_LOAD!$AQ:$AQ,'Refi-Annual Review'!CW$2)</f>
        <v>0</v>
      </c>
      <c r="CX30" s="494">
        <f ca="1">SUMIFS(DB_LOAD!$AV:$AV,DB_LOAD!$AW:$AW,'Refi-Annual Review'!$CS$1,DB_LOAD!$AR:$AR,'Refi-Annual Review'!$CF30,DB_LOAD!$AP:$AP,'Refi-Annual Review'!$CT$1,DB_LOAD!$AQ:$AQ,'Refi-Annual Review'!CX$2)</f>
        <v>0</v>
      </c>
      <c r="CY30" s="494" t="str">
        <f t="shared" ca="1" si="52"/>
        <v/>
      </c>
      <c r="DA30" s="494" t="e">
        <f ca="1">SUMIFS(DB_LOAD!$AU:$AU,DB_LOAD!$AW:$AW,'Refi-Annual Review'!$DB$1,DB_LOAD!$AR:$AR,'Refi-Annual Review'!$CF30,DB_LOAD!$AP:$AP,'Refi-Annual Review'!$DC$1,DB_LOAD!$AQ:$AQ,'Refi-Annual Review'!DA$2)/IF($A$23="No Data Found",1,$A$23)</f>
        <v>#NAME?</v>
      </c>
      <c r="DB30" s="494" t="e">
        <f ca="1">SUMIFS(DB_LOAD!$AU:$AU,DB_LOAD!$AW:$AW,'Refi-Annual Review'!$DB$1,DB_LOAD!$AR:$AR,'Refi-Annual Review'!$CF30,DB_LOAD!$AP:$AP,'Refi-Annual Review'!$DC$1,DB_LOAD!$AQ:$AQ,'Refi-Annual Review'!DB$2)/IF($A$23="No Data Found",1,$A$23)</f>
        <v>#NAME?</v>
      </c>
      <c r="DC30" s="494" t="e">
        <f ca="1">SUMIFS(DB_LOAD!$AU:$AU,DB_LOAD!$AW:$AW,'Refi-Annual Review'!$DB$1,DB_LOAD!$AR:$AR,'Refi-Annual Review'!$CF30,DB_LOAD!$AP:$AP,'Refi-Annual Review'!$DC$1,DB_LOAD!$AQ:$AQ,'Refi-Annual Review'!DC$2)/IF($A$23="No Data Found",1,$A$23)</f>
        <v>#NAME?</v>
      </c>
      <c r="DD30" s="494" t="e">
        <f ca="1">SUMIFS(DB_LOAD!$AU:$AU,DB_LOAD!$AW:$AW,'Refi-Annual Review'!$DB$1,DB_LOAD!$AR:$AR,'Refi-Annual Review'!$CF30,DB_LOAD!$AP:$AP,'Refi-Annual Review'!$DC$1,DB_LOAD!$AQ:$AQ,'Refi-Annual Review'!DD$2)/IF($A$23="No Data Found",1,$A$23)</f>
        <v>#NAME?</v>
      </c>
      <c r="DE30" s="494" t="e">
        <f ca="1">SUMIFS(DB_LOAD!$AU:$AU,DB_LOAD!$AW:$AW,'Refi-Annual Review'!$DB$1,DB_LOAD!$AR:$AR,'Refi-Annual Review'!$CF30,DB_LOAD!$AP:$AP,'Refi-Annual Review'!$DC$1,DB_LOAD!$AQ:$AQ,'Refi-Annual Review'!DE$2)/IF($A$23="No Data Found",1,$A$23)</f>
        <v>#NAME?</v>
      </c>
      <c r="DF30" s="494" t="e">
        <f ca="1">SUMIFS(DB_LOAD!$AU:$AU,DB_LOAD!$AW:$AW,'Refi-Annual Review'!$DB$1,DB_LOAD!$AR:$AR,'Refi-Annual Review'!$CF30,DB_LOAD!$AP:$AP,'Refi-Annual Review'!$DC$1,DB_LOAD!$AQ:$AQ,'Refi-Annual Review'!DF$2)/IF($A$23="No Data Found",1,$A$23)</f>
        <v>#NAME?</v>
      </c>
      <c r="DG30" s="494" t="e">
        <f ca="1">SUMIFS(DB_LOAD!$AU:$AU,DB_LOAD!$AW:$AW,'Refi-Annual Review'!$DB$1,DB_LOAD!$AR:$AR,'Refi-Annual Review'!$CF30,DB_LOAD!$AP:$AP,'Refi-Annual Review'!$DC$1,DB_LOAD!$AQ:$AQ,'Refi-Annual Review'!DG$2)/IF($A$23="No Data Found",1,$A$23)</f>
        <v>#NAME?</v>
      </c>
      <c r="DH30" s="494" t="e">
        <f t="shared" ca="1" si="53"/>
        <v>#NAME?</v>
      </c>
      <c r="DJ30" s="494">
        <f ca="1">SUMIFS(DB_LOAD!$AV:$AV,DB_LOAD!$AW:$AW,'Refi-Annual Review'!$DK$1,DB_LOAD!$AR:$AR,'Refi-Annual Review'!$CF30,DB_LOAD!$AP:$AP,'Refi-Annual Review'!$DL$1,DB_LOAD!$AQ:$AQ,'Refi-Annual Review'!DJ$2)</f>
        <v>0</v>
      </c>
      <c r="DK30" s="494">
        <f ca="1">SUMIFS(DB_LOAD!$AV:$AV,DB_LOAD!$AW:$AW,'Refi-Annual Review'!$DK$1,DB_LOAD!$AR:$AR,'Refi-Annual Review'!$CF30,DB_LOAD!$AP:$AP,'Refi-Annual Review'!$DL$1,DB_LOAD!$AQ:$AQ,'Refi-Annual Review'!DK$2)</f>
        <v>0</v>
      </c>
      <c r="DL30" s="494">
        <f ca="1">SUMIFS(DB_LOAD!$AV:$AV,DB_LOAD!$AW:$AW,'Refi-Annual Review'!$DK$1,DB_LOAD!$AR:$AR,'Refi-Annual Review'!$CF30,DB_LOAD!$AP:$AP,'Refi-Annual Review'!$DL$1,DB_LOAD!$AQ:$AQ,'Refi-Annual Review'!DL$2)</f>
        <v>0</v>
      </c>
      <c r="DM30" s="494">
        <f ca="1">SUMIFS(DB_LOAD!$AV:$AV,DB_LOAD!$AW:$AW,'Refi-Annual Review'!$DK$1,DB_LOAD!$AR:$AR,'Refi-Annual Review'!$CF30,DB_LOAD!$AP:$AP,'Refi-Annual Review'!$DL$1,DB_LOAD!$AQ:$AQ,'Refi-Annual Review'!DM$2)</f>
        <v>0</v>
      </c>
      <c r="DN30" s="494">
        <f ca="1">SUMIFS(DB_LOAD!$AV:$AV,DB_LOAD!$AW:$AW,'Refi-Annual Review'!$DK$1,DB_LOAD!$AR:$AR,'Refi-Annual Review'!$CF30,DB_LOAD!$AP:$AP,'Refi-Annual Review'!$DL$1,DB_LOAD!$AQ:$AQ,'Refi-Annual Review'!DN$2)</f>
        <v>0</v>
      </c>
      <c r="DO30" s="494">
        <f ca="1">SUMIFS(DB_LOAD!$AV:$AV,DB_LOAD!$AW:$AW,'Refi-Annual Review'!$DK$1,DB_LOAD!$AR:$AR,'Refi-Annual Review'!$CF30,DB_LOAD!$AP:$AP,'Refi-Annual Review'!$DL$1,DB_LOAD!$AQ:$AQ,'Refi-Annual Review'!DO$2)</f>
        <v>0</v>
      </c>
      <c r="DP30" s="494">
        <f ca="1">SUMIFS(DB_LOAD!$AV:$AV,DB_LOAD!$AW:$AW,'Refi-Annual Review'!$DK$1,DB_LOAD!$AR:$AR,'Refi-Annual Review'!$CF30,DB_LOAD!$AP:$AP,'Refi-Annual Review'!$DL$1,DB_LOAD!$AQ:$AQ,'Refi-Annual Review'!DP$2)</f>
        <v>0</v>
      </c>
      <c r="DQ30" s="494" t="str">
        <f t="shared" ca="1" si="54"/>
        <v/>
      </c>
      <c r="DS30" s="494">
        <f>SUMIFS(DB_LOAD!$AV:$AV,DB_LOAD!$AW:$AW,'Refi-Annual Review'!$DT$1,DB_LOAD!$AR:$AR,'Refi-Annual Review'!$CF30,DB_LOAD!$AP:$AP,'Refi-Annual Review'!$DU$1,DB_LOAD!$AQ:$AQ,'Refi-Annual Review'!DS$2)</f>
        <v>0</v>
      </c>
      <c r="DT30" s="494">
        <f>SUMIFS(DB_LOAD!$AV:$AV,DB_LOAD!$AW:$AW,'Refi-Annual Review'!$DT$1,DB_LOAD!$AR:$AR,'Refi-Annual Review'!$CF30,DB_LOAD!$AP:$AP,'Refi-Annual Review'!$DU$1,DB_LOAD!$AQ:$AQ,'Refi-Annual Review'!DT$2)</f>
        <v>0</v>
      </c>
      <c r="DU30" s="494">
        <f>SUMIFS(DB_LOAD!$AV:$AV,DB_LOAD!$AW:$AW,'Refi-Annual Review'!$DT$1,DB_LOAD!$AR:$AR,'Refi-Annual Review'!$CF30,DB_LOAD!$AP:$AP,'Refi-Annual Review'!$DU$1,DB_LOAD!$AQ:$AQ,'Refi-Annual Review'!DU$2)</f>
        <v>0</v>
      </c>
      <c r="DV30" s="494">
        <f>SUMIFS(DB_LOAD!$AV:$AV,DB_LOAD!$AW:$AW,'Refi-Annual Review'!$DT$1,DB_LOAD!$AR:$AR,'Refi-Annual Review'!$CF30,DB_LOAD!$AP:$AP,'Refi-Annual Review'!$DU$1,DB_LOAD!$AQ:$AQ,'Refi-Annual Review'!DV$2)</f>
        <v>0</v>
      </c>
      <c r="DW30" s="494">
        <f>SUMIFS(DB_LOAD!$AV:$AV,DB_LOAD!$AW:$AW,'Refi-Annual Review'!$DT$1,DB_LOAD!$AR:$AR,'Refi-Annual Review'!$CF30,DB_LOAD!$AP:$AP,'Refi-Annual Review'!$DU$1,DB_LOAD!$AQ:$AQ,'Refi-Annual Review'!DW$2)</f>
        <v>0</v>
      </c>
      <c r="DX30" s="494">
        <f>SUMIFS(DB_LOAD!$AV:$AV,DB_LOAD!$AW:$AW,'Refi-Annual Review'!$DT$1,DB_LOAD!$AR:$AR,'Refi-Annual Review'!$CF30,DB_LOAD!$AP:$AP,'Refi-Annual Review'!$DU$1,DB_LOAD!$AQ:$AQ,'Refi-Annual Review'!DX$2)</f>
        <v>0</v>
      </c>
      <c r="DY30" s="494">
        <f>SUMIFS(DB_LOAD!$AV:$AV,DB_LOAD!$AW:$AW,'Refi-Annual Review'!$DT$1,DB_LOAD!$AR:$AR,'Refi-Annual Review'!$CF30,DB_LOAD!$AP:$AP,'Refi-Annual Review'!$DU$1,DB_LOAD!$AQ:$AQ,'Refi-Annual Review'!DY$2)</f>
        <v>0</v>
      </c>
      <c r="DZ30" s="494" t="str">
        <f t="shared" si="55"/>
        <v/>
      </c>
    </row>
    <row r="31" spans="1:130" ht="15">
      <c r="C31" s="485">
        <f t="shared" si="25"/>
        <v>32</v>
      </c>
      <c r="D31" s="493" t="s">
        <v>23</v>
      </c>
      <c r="E31" s="568"/>
      <c r="F31" s="496"/>
      <c r="G31" s="496" t="str">
        <f t="shared" ref="G31:I31" ca="1" si="71">IFERROR(-G121/AK183,"N/A")</f>
        <v>N/A</v>
      </c>
      <c r="H31" s="496" t="str">
        <f t="shared" ca="1" si="71"/>
        <v>N/A</v>
      </c>
      <c r="I31" s="496" t="str">
        <f t="shared" ca="1" si="71"/>
        <v>N/A</v>
      </c>
      <c r="J31" s="496" t="str">
        <f ca="1">IFERROR(-J121/AN183,"N/A")</f>
        <v>N/A</v>
      </c>
      <c r="K31" s="496"/>
      <c r="L31" s="496" t="str">
        <f t="shared" ref="L31:M31" ca="1" si="72">IFERROR(-L121/AK183,"N/A")</f>
        <v>N/A</v>
      </c>
      <c r="M31" s="496" t="str">
        <f t="shared" ca="1" si="72"/>
        <v>N/A</v>
      </c>
      <c r="N31" s="496" t="str">
        <f ca="1">IFERROR(-N121/AM183,"N/A")</f>
        <v>N/A</v>
      </c>
      <c r="O31" s="496" t="str">
        <f ca="1">IFERROR(-O121/AVERAGE(O105+O104,IF(OR(J115="",J115=0),N104+N105,J104+J105)),"N/A")</f>
        <v>N/A</v>
      </c>
      <c r="P31" s="496"/>
      <c r="Q31" s="496" t="e">
        <f ca="1">(-(Q121*(12/Q1)/AVERAGE((Q183))))</f>
        <v>#NAME?</v>
      </c>
      <c r="R31" s="496" t="e">
        <f ca="1">-R121/Q183</f>
        <v>#NAME?</v>
      </c>
      <c r="S31" s="496"/>
      <c r="T31" s="496"/>
      <c r="U31" s="496"/>
      <c r="AJ31" s="493" t="s">
        <v>23</v>
      </c>
      <c r="AK31" s="496" t="e">
        <f t="shared" ca="1" si="49"/>
        <v>#N/A</v>
      </c>
      <c r="AL31" s="496" t="e">
        <f t="shared" ca="1" si="49"/>
        <v>#N/A</v>
      </c>
      <c r="AM31" s="496" t="e">
        <f t="shared" ca="1" si="49"/>
        <v>#N/A</v>
      </c>
      <c r="AN31" s="496" t="e">
        <f t="shared" ca="1" si="49"/>
        <v>#N/A</v>
      </c>
      <c r="AO31" s="496" t="e">
        <f t="shared" ca="1" si="48"/>
        <v>#NAME?</v>
      </c>
      <c r="AP31" s="496" t="e">
        <f t="shared" ca="1" si="48"/>
        <v>#NAME?</v>
      </c>
      <c r="BD31" s="485" t="s">
        <v>140</v>
      </c>
      <c r="BE31" s="485" t="e">
        <f t="shared" ca="1" si="65"/>
        <v>#NAME?</v>
      </c>
      <c r="BF31" s="651" t="str">
        <f t="shared" si="66"/>
        <v/>
      </c>
      <c r="BG31" s="669" t="e">
        <f t="shared" ca="1" si="67"/>
        <v>#NAME?</v>
      </c>
      <c r="BH31" s="669" t="e">
        <f t="shared" ca="1" si="67"/>
        <v>#NAME?</v>
      </c>
      <c r="BI31" s="669" t="e">
        <f t="shared" ca="1" si="67"/>
        <v>#NAME?</v>
      </c>
      <c r="BJ31" s="669" t="e">
        <f t="shared" ca="1" si="67"/>
        <v>#NAME?</v>
      </c>
      <c r="BK31" s="669" t="e">
        <f t="shared" ca="1" si="67"/>
        <v>#NAME?</v>
      </c>
      <c r="BL31" s="669" t="e">
        <f t="shared" ca="1" si="67"/>
        <v>#NAME?</v>
      </c>
      <c r="BM31" s="669" t="e">
        <f t="shared" ca="1" si="67"/>
        <v>#NAME?</v>
      </c>
      <c r="BN31" s="670" t="e">
        <f t="shared" ca="1" si="68"/>
        <v>#NAME?</v>
      </c>
      <c r="BP31" s="485" t="e">
        <f ca="1">IF(OR(DB_LOAD!AW30="USD",DB_LOAD!AW30='Refi-Annual Review'!$A$3,ISBLANK(DB_LOAD!AW30)),0,1)</f>
        <v>#NAME?</v>
      </c>
      <c r="BQ31" t="str">
        <f>(IF(ISBLANK(DB_LOAD!AR30),"",DB_LOAD!AR30))</f>
        <v/>
      </c>
      <c r="BR31" t="str">
        <f>IF(LEN(BQ31)&gt;0,LEN(BQ31),"")</f>
        <v/>
      </c>
      <c r="BS31" t="str">
        <f>IF(AND(BQ31=BQ30,BR31=BR30,BQ31&lt;&gt;""),"",IF(BQ31="","",BQ31))</f>
        <v/>
      </c>
      <c r="BT31" t="str">
        <f>BT30&amp;BS31</f>
        <v>5500000250000016064001572600</v>
      </c>
      <c r="BU31" t="str">
        <f>IF(LEN(BS31)&gt;0,LEN(BS31),"")</f>
        <v/>
      </c>
      <c r="BV31" t="str">
        <f>BV30&amp;BU31</f>
        <v>7777</v>
      </c>
      <c r="BW31" t="str">
        <f>IF(LEN(BU31)&gt;0,LEN(BU31),"")</f>
        <v/>
      </c>
      <c r="BX31" t="str">
        <f>BX30&amp;BW31</f>
        <v>1111</v>
      </c>
      <c r="BY31"/>
      <c r="BZ31"/>
      <c r="CA31"/>
      <c r="CB31" s="683" t="str">
        <f t="shared" si="69"/>
        <v/>
      </c>
      <c r="CC31" s="683" t="str">
        <f t="shared" si="70"/>
        <v/>
      </c>
      <c r="CD31" s="683" t="str">
        <f>IF(CC31="","",VALUE(MID($BZ$5,1+SUM($CC$3:CC30),CC31)))</f>
        <v/>
      </c>
      <c r="CE31">
        <f>CE30+1</f>
        <v>29</v>
      </c>
      <c r="CF31" t="str">
        <f>IF(CD31="","",MID($BZ$4,1+SUM($CD$3:CD30),CD31))</f>
        <v/>
      </c>
      <c r="CI31" s="494" t="e">
        <f ca="1">SUMIFS(DB_LOAD!$AU:$AU,DB_LOAD!$AW:$AW,'Refi-Annual Review'!$CJ$1,DB_LOAD!$AR:$AR,'Refi-Annual Review'!$CF31,DB_LOAD!$AP:$AP,'Refi-Annual Review'!$CK$1,DB_LOAD!$AQ:$AQ,'Refi-Annual Review'!CI$2)/DB_LOAD!$K$2</f>
        <v>#DIV/0!</v>
      </c>
      <c r="CJ31" s="494" t="e">
        <f ca="1">SUMIFS(DB_LOAD!$AU:$AU,DB_LOAD!$AW:$AW,'Refi-Annual Review'!$CJ$1,DB_LOAD!$AR:$AR,'Refi-Annual Review'!$CF31,DB_LOAD!$AP:$AP,'Refi-Annual Review'!$CK$1,DB_LOAD!$AQ:$AQ,'Refi-Annual Review'!CJ$2)/DB_LOAD!$K$2</f>
        <v>#DIV/0!</v>
      </c>
      <c r="CK31" s="494" t="e">
        <f ca="1">SUMIFS(DB_LOAD!$AU:$AU,DB_LOAD!$AW:$AW,'Refi-Annual Review'!$CJ$1,DB_LOAD!$AR:$AR,'Refi-Annual Review'!$CF31,DB_LOAD!$AP:$AP,'Refi-Annual Review'!$CK$1,DB_LOAD!$AQ:$AQ,'Refi-Annual Review'!CK$2)/DB_LOAD!$K$2</f>
        <v>#DIV/0!</v>
      </c>
      <c r="CL31" s="494" t="e">
        <f ca="1">SUMIFS(DB_LOAD!$AU:$AU,DB_LOAD!$AW:$AW,'Refi-Annual Review'!$CJ$1,DB_LOAD!$AR:$AR,'Refi-Annual Review'!$CF31,DB_LOAD!$AP:$AP,'Refi-Annual Review'!$CK$1,DB_LOAD!$AQ:$AQ,'Refi-Annual Review'!CL$2)/DB_LOAD!$K$2</f>
        <v>#DIV/0!</v>
      </c>
      <c r="CM31" s="494" t="e">
        <f ca="1">SUMIFS(DB_LOAD!$AU:$AU,DB_LOAD!$AW:$AW,'Refi-Annual Review'!$CJ$1,DB_LOAD!$AR:$AR,'Refi-Annual Review'!$CF31,DB_LOAD!$AP:$AP,'Refi-Annual Review'!$CK$1,DB_LOAD!$AQ:$AQ,'Refi-Annual Review'!CM$2)/DB_LOAD!$K$2</f>
        <v>#DIV/0!</v>
      </c>
      <c r="CN31" s="494" t="e">
        <f ca="1">SUMIFS(DB_LOAD!$AU:$AU,DB_LOAD!$AW:$AW,'Refi-Annual Review'!$CJ$1,DB_LOAD!$AR:$AR,'Refi-Annual Review'!$CF31,DB_LOAD!$AP:$AP,'Refi-Annual Review'!$CK$1,DB_LOAD!$AQ:$AQ,'Refi-Annual Review'!CN$2)/DB_LOAD!$K$2</f>
        <v>#DIV/0!</v>
      </c>
      <c r="CO31" s="494" t="e">
        <f ca="1">SUMIFS(DB_LOAD!$AU:$AU,DB_LOAD!$AW:$AW,'Refi-Annual Review'!$CJ$1,DB_LOAD!$AR:$AR,'Refi-Annual Review'!$CF31,DB_LOAD!$AP:$AP,'Refi-Annual Review'!$CK$1,DB_LOAD!$AQ:$AQ,'Refi-Annual Review'!CO$2)/DB_LOAD!$K$2</f>
        <v>#DIV/0!</v>
      </c>
      <c r="CP31" s="494" t="e">
        <f t="shared" ca="1" si="51"/>
        <v>#DIV/0!</v>
      </c>
      <c r="CR31" s="494">
        <f ca="1">SUMIFS(DB_LOAD!$AV:$AV,DB_LOAD!$AW:$AW,'Refi-Annual Review'!$CS$1,DB_LOAD!$AR:$AR,'Refi-Annual Review'!$CF31,DB_LOAD!$AP:$AP,'Refi-Annual Review'!$CT$1,DB_LOAD!$AQ:$AQ,'Refi-Annual Review'!CR$2)</f>
        <v>0</v>
      </c>
      <c r="CS31" s="494">
        <f ca="1">SUMIFS(DB_LOAD!$AV:$AV,DB_LOAD!$AW:$AW,'Refi-Annual Review'!$CS$1,DB_LOAD!$AR:$AR,'Refi-Annual Review'!$CF31,DB_LOAD!$AP:$AP,'Refi-Annual Review'!$CT$1,DB_LOAD!$AQ:$AQ,'Refi-Annual Review'!CS$2)</f>
        <v>0</v>
      </c>
      <c r="CT31" s="494">
        <f ca="1">SUMIFS(DB_LOAD!$AV:$AV,DB_LOAD!$AW:$AW,'Refi-Annual Review'!$CS$1,DB_LOAD!$AR:$AR,'Refi-Annual Review'!$CF31,DB_LOAD!$AP:$AP,'Refi-Annual Review'!$CT$1,DB_LOAD!$AQ:$AQ,'Refi-Annual Review'!CT$2)</f>
        <v>0</v>
      </c>
      <c r="CU31" s="494">
        <f ca="1">SUMIFS(DB_LOAD!$AV:$AV,DB_LOAD!$AW:$AW,'Refi-Annual Review'!$CS$1,DB_LOAD!$AR:$AR,'Refi-Annual Review'!$CF31,DB_LOAD!$AP:$AP,'Refi-Annual Review'!$CT$1,DB_LOAD!$AQ:$AQ,'Refi-Annual Review'!CU$2)</f>
        <v>0</v>
      </c>
      <c r="CV31" s="494">
        <f ca="1">SUMIFS(DB_LOAD!$AV:$AV,DB_LOAD!$AW:$AW,'Refi-Annual Review'!$CS$1,DB_LOAD!$AR:$AR,'Refi-Annual Review'!$CF31,DB_LOAD!$AP:$AP,'Refi-Annual Review'!$CT$1,DB_LOAD!$AQ:$AQ,'Refi-Annual Review'!CV$2)</f>
        <v>0</v>
      </c>
      <c r="CW31" s="494">
        <f ca="1">SUMIFS(DB_LOAD!$AV:$AV,DB_LOAD!$AW:$AW,'Refi-Annual Review'!$CS$1,DB_LOAD!$AR:$AR,'Refi-Annual Review'!$CF31,DB_LOAD!$AP:$AP,'Refi-Annual Review'!$CT$1,DB_LOAD!$AQ:$AQ,'Refi-Annual Review'!CW$2)</f>
        <v>0</v>
      </c>
      <c r="CX31" s="494">
        <f ca="1">SUMIFS(DB_LOAD!$AV:$AV,DB_LOAD!$AW:$AW,'Refi-Annual Review'!$CS$1,DB_LOAD!$AR:$AR,'Refi-Annual Review'!$CF31,DB_LOAD!$AP:$AP,'Refi-Annual Review'!$CT$1,DB_LOAD!$AQ:$AQ,'Refi-Annual Review'!CX$2)</f>
        <v>0</v>
      </c>
      <c r="CY31" s="494" t="str">
        <f t="shared" ca="1" si="52"/>
        <v/>
      </c>
      <c r="DA31" s="494" t="e">
        <f ca="1">SUMIFS(DB_LOAD!$AU:$AU,DB_LOAD!$AW:$AW,'Refi-Annual Review'!$DB$1,DB_LOAD!$AR:$AR,'Refi-Annual Review'!$CF31,DB_LOAD!$AP:$AP,'Refi-Annual Review'!$DC$1,DB_LOAD!$AQ:$AQ,'Refi-Annual Review'!DA$2)/IF($A$23="No Data Found",1,$A$23)</f>
        <v>#NAME?</v>
      </c>
      <c r="DB31" s="494" t="e">
        <f ca="1">SUMIFS(DB_LOAD!$AU:$AU,DB_LOAD!$AW:$AW,'Refi-Annual Review'!$DB$1,DB_LOAD!$AR:$AR,'Refi-Annual Review'!$CF31,DB_LOAD!$AP:$AP,'Refi-Annual Review'!$DC$1,DB_LOAD!$AQ:$AQ,'Refi-Annual Review'!DB$2)/IF($A$23="No Data Found",1,$A$23)</f>
        <v>#NAME?</v>
      </c>
      <c r="DC31" s="494" t="e">
        <f ca="1">SUMIFS(DB_LOAD!$AU:$AU,DB_LOAD!$AW:$AW,'Refi-Annual Review'!$DB$1,DB_LOAD!$AR:$AR,'Refi-Annual Review'!$CF31,DB_LOAD!$AP:$AP,'Refi-Annual Review'!$DC$1,DB_LOAD!$AQ:$AQ,'Refi-Annual Review'!DC$2)/IF($A$23="No Data Found",1,$A$23)</f>
        <v>#NAME?</v>
      </c>
      <c r="DD31" s="494" t="e">
        <f ca="1">SUMIFS(DB_LOAD!$AU:$AU,DB_LOAD!$AW:$AW,'Refi-Annual Review'!$DB$1,DB_LOAD!$AR:$AR,'Refi-Annual Review'!$CF31,DB_LOAD!$AP:$AP,'Refi-Annual Review'!$DC$1,DB_LOAD!$AQ:$AQ,'Refi-Annual Review'!DD$2)/IF($A$23="No Data Found",1,$A$23)</f>
        <v>#NAME?</v>
      </c>
      <c r="DE31" s="494" t="e">
        <f ca="1">SUMIFS(DB_LOAD!$AU:$AU,DB_LOAD!$AW:$AW,'Refi-Annual Review'!$DB$1,DB_LOAD!$AR:$AR,'Refi-Annual Review'!$CF31,DB_LOAD!$AP:$AP,'Refi-Annual Review'!$DC$1,DB_LOAD!$AQ:$AQ,'Refi-Annual Review'!DE$2)/IF($A$23="No Data Found",1,$A$23)</f>
        <v>#NAME?</v>
      </c>
      <c r="DF31" s="494" t="e">
        <f ca="1">SUMIFS(DB_LOAD!$AU:$AU,DB_LOAD!$AW:$AW,'Refi-Annual Review'!$DB$1,DB_LOAD!$AR:$AR,'Refi-Annual Review'!$CF31,DB_LOAD!$AP:$AP,'Refi-Annual Review'!$DC$1,DB_LOAD!$AQ:$AQ,'Refi-Annual Review'!DF$2)/IF($A$23="No Data Found",1,$A$23)</f>
        <v>#NAME?</v>
      </c>
      <c r="DG31" s="494" t="e">
        <f ca="1">SUMIFS(DB_LOAD!$AU:$AU,DB_LOAD!$AW:$AW,'Refi-Annual Review'!$DB$1,DB_LOAD!$AR:$AR,'Refi-Annual Review'!$CF31,DB_LOAD!$AP:$AP,'Refi-Annual Review'!$DC$1,DB_LOAD!$AQ:$AQ,'Refi-Annual Review'!DG$2)/IF($A$23="No Data Found",1,$A$23)</f>
        <v>#NAME?</v>
      </c>
      <c r="DH31" s="494" t="e">
        <f t="shared" ca="1" si="53"/>
        <v>#NAME?</v>
      </c>
      <c r="DJ31" s="494">
        <f ca="1">SUMIFS(DB_LOAD!$AV:$AV,DB_LOAD!$AW:$AW,'Refi-Annual Review'!$DK$1,DB_LOAD!$AR:$AR,'Refi-Annual Review'!$CF31,DB_LOAD!$AP:$AP,'Refi-Annual Review'!$DL$1,DB_LOAD!$AQ:$AQ,'Refi-Annual Review'!DJ$2)</f>
        <v>0</v>
      </c>
      <c r="DK31" s="494">
        <f ca="1">SUMIFS(DB_LOAD!$AV:$AV,DB_LOAD!$AW:$AW,'Refi-Annual Review'!$DK$1,DB_LOAD!$AR:$AR,'Refi-Annual Review'!$CF31,DB_LOAD!$AP:$AP,'Refi-Annual Review'!$DL$1,DB_LOAD!$AQ:$AQ,'Refi-Annual Review'!DK$2)</f>
        <v>0</v>
      </c>
      <c r="DL31" s="494">
        <f ca="1">SUMIFS(DB_LOAD!$AV:$AV,DB_LOAD!$AW:$AW,'Refi-Annual Review'!$DK$1,DB_LOAD!$AR:$AR,'Refi-Annual Review'!$CF31,DB_LOAD!$AP:$AP,'Refi-Annual Review'!$DL$1,DB_LOAD!$AQ:$AQ,'Refi-Annual Review'!DL$2)</f>
        <v>0</v>
      </c>
      <c r="DM31" s="494">
        <f ca="1">SUMIFS(DB_LOAD!$AV:$AV,DB_LOAD!$AW:$AW,'Refi-Annual Review'!$DK$1,DB_LOAD!$AR:$AR,'Refi-Annual Review'!$CF31,DB_LOAD!$AP:$AP,'Refi-Annual Review'!$DL$1,DB_LOAD!$AQ:$AQ,'Refi-Annual Review'!DM$2)</f>
        <v>0</v>
      </c>
      <c r="DN31" s="494">
        <f ca="1">SUMIFS(DB_LOAD!$AV:$AV,DB_LOAD!$AW:$AW,'Refi-Annual Review'!$DK$1,DB_LOAD!$AR:$AR,'Refi-Annual Review'!$CF31,DB_LOAD!$AP:$AP,'Refi-Annual Review'!$DL$1,DB_LOAD!$AQ:$AQ,'Refi-Annual Review'!DN$2)</f>
        <v>0</v>
      </c>
      <c r="DO31" s="494">
        <f ca="1">SUMIFS(DB_LOAD!$AV:$AV,DB_LOAD!$AW:$AW,'Refi-Annual Review'!$DK$1,DB_LOAD!$AR:$AR,'Refi-Annual Review'!$CF31,DB_LOAD!$AP:$AP,'Refi-Annual Review'!$DL$1,DB_LOAD!$AQ:$AQ,'Refi-Annual Review'!DO$2)</f>
        <v>0</v>
      </c>
      <c r="DP31" s="494">
        <f ca="1">SUMIFS(DB_LOAD!$AV:$AV,DB_LOAD!$AW:$AW,'Refi-Annual Review'!$DK$1,DB_LOAD!$AR:$AR,'Refi-Annual Review'!$CF31,DB_LOAD!$AP:$AP,'Refi-Annual Review'!$DL$1,DB_LOAD!$AQ:$AQ,'Refi-Annual Review'!DP$2)</f>
        <v>0</v>
      </c>
      <c r="DQ31" s="494" t="str">
        <f t="shared" ca="1" si="54"/>
        <v/>
      </c>
      <c r="DS31" s="494">
        <f>SUMIFS(DB_LOAD!$AV:$AV,DB_LOAD!$AW:$AW,'Refi-Annual Review'!$DT$1,DB_LOAD!$AR:$AR,'Refi-Annual Review'!$CF31,DB_LOAD!$AP:$AP,'Refi-Annual Review'!$DU$1,DB_LOAD!$AQ:$AQ,'Refi-Annual Review'!DS$2)</f>
        <v>0</v>
      </c>
      <c r="DT31" s="494">
        <f>SUMIFS(DB_LOAD!$AV:$AV,DB_LOAD!$AW:$AW,'Refi-Annual Review'!$DT$1,DB_LOAD!$AR:$AR,'Refi-Annual Review'!$CF31,DB_LOAD!$AP:$AP,'Refi-Annual Review'!$DU$1,DB_LOAD!$AQ:$AQ,'Refi-Annual Review'!DT$2)</f>
        <v>0</v>
      </c>
      <c r="DU31" s="494">
        <f>SUMIFS(DB_LOAD!$AV:$AV,DB_LOAD!$AW:$AW,'Refi-Annual Review'!$DT$1,DB_LOAD!$AR:$AR,'Refi-Annual Review'!$CF31,DB_LOAD!$AP:$AP,'Refi-Annual Review'!$DU$1,DB_LOAD!$AQ:$AQ,'Refi-Annual Review'!DU$2)</f>
        <v>0</v>
      </c>
      <c r="DV31" s="494">
        <f>SUMIFS(DB_LOAD!$AV:$AV,DB_LOAD!$AW:$AW,'Refi-Annual Review'!$DT$1,DB_LOAD!$AR:$AR,'Refi-Annual Review'!$CF31,DB_LOAD!$AP:$AP,'Refi-Annual Review'!$DU$1,DB_LOAD!$AQ:$AQ,'Refi-Annual Review'!DV$2)</f>
        <v>0</v>
      </c>
      <c r="DW31" s="494">
        <f>SUMIFS(DB_LOAD!$AV:$AV,DB_LOAD!$AW:$AW,'Refi-Annual Review'!$DT$1,DB_LOAD!$AR:$AR,'Refi-Annual Review'!$CF31,DB_LOAD!$AP:$AP,'Refi-Annual Review'!$DU$1,DB_LOAD!$AQ:$AQ,'Refi-Annual Review'!DW$2)</f>
        <v>0</v>
      </c>
      <c r="DX31" s="494">
        <f>SUMIFS(DB_LOAD!$AV:$AV,DB_LOAD!$AW:$AW,'Refi-Annual Review'!$DT$1,DB_LOAD!$AR:$AR,'Refi-Annual Review'!$CF31,DB_LOAD!$AP:$AP,'Refi-Annual Review'!$DU$1,DB_LOAD!$AQ:$AQ,'Refi-Annual Review'!DX$2)</f>
        <v>0</v>
      </c>
      <c r="DY31" s="494">
        <f>SUMIFS(DB_LOAD!$AV:$AV,DB_LOAD!$AW:$AW,'Refi-Annual Review'!$DT$1,DB_LOAD!$AR:$AR,'Refi-Annual Review'!$CF31,DB_LOAD!$AP:$AP,'Refi-Annual Review'!$DU$1,DB_LOAD!$AQ:$AQ,'Refi-Annual Review'!DY$2)</f>
        <v>0</v>
      </c>
      <c r="DZ31" s="494" t="str">
        <f t="shared" si="55"/>
        <v/>
      </c>
    </row>
    <row r="32" spans="1:130" ht="15">
      <c r="C32" s="485">
        <f t="shared" si="25"/>
        <v>33</v>
      </c>
      <c r="D32" s="493" t="s">
        <v>24</v>
      </c>
      <c r="E32" s="568"/>
      <c r="F32" s="496" t="e">
        <f ca="1">F124/F$120</f>
        <v>#N/A</v>
      </c>
      <c r="G32" s="496" t="e">
        <f ca="1">G124/G$120</f>
        <v>#N/A</v>
      </c>
      <c r="H32" s="496" t="e">
        <f ca="1">H124/H$120</f>
        <v>#N/A</v>
      </c>
      <c r="I32" s="496" t="e">
        <f ca="1">I124/I$120</f>
        <v>#N/A</v>
      </c>
      <c r="J32" s="496" t="e">
        <f ca="1">J124/J$120</f>
        <v>#N/A</v>
      </c>
      <c r="K32" s="496"/>
      <c r="L32" s="496" t="e">
        <f ca="1">L124/L$120</f>
        <v>#NAME?</v>
      </c>
      <c r="M32" s="496" t="e">
        <f ca="1">M124/M$120</f>
        <v>#NAME?</v>
      </c>
      <c r="N32" s="496" t="e">
        <f ca="1">N124/N$120</f>
        <v>#NAME?</v>
      </c>
      <c r="O32" s="496" t="e">
        <f ca="1">O124/O$120</f>
        <v>#NAME?</v>
      </c>
      <c r="P32" s="496"/>
      <c r="Q32" s="496" t="e">
        <f ca="1">Q124/Q$120</f>
        <v>#NAME?</v>
      </c>
      <c r="R32" s="496" t="e">
        <f ca="1">R124/R$120</f>
        <v>#NAME?</v>
      </c>
      <c r="S32" s="496"/>
      <c r="T32" s="496"/>
      <c r="U32" s="496"/>
      <c r="AJ32" s="493" t="s">
        <v>24</v>
      </c>
      <c r="AK32" s="496" t="e">
        <f t="shared" ca="1" si="49"/>
        <v>#N/A</v>
      </c>
      <c r="AL32" s="496" t="e">
        <f t="shared" ca="1" si="49"/>
        <v>#N/A</v>
      </c>
      <c r="AM32" s="496" t="e">
        <f t="shared" ca="1" si="49"/>
        <v>#N/A</v>
      </c>
      <c r="AN32" s="496" t="e">
        <f t="shared" ca="1" si="49"/>
        <v>#N/A</v>
      </c>
      <c r="AO32" s="496" t="e">
        <f t="shared" ca="1" si="48"/>
        <v>#NAME?</v>
      </c>
      <c r="AP32" s="496" t="e">
        <f t="shared" ca="1" si="48"/>
        <v>#NAME?</v>
      </c>
      <c r="BD32" s="485" t="s">
        <v>140</v>
      </c>
      <c r="BE32" s="485" t="e">
        <f t="shared" ca="1" si="65"/>
        <v>#NAME?</v>
      </c>
      <c r="BF32" s="651" t="str">
        <f t="shared" si="66"/>
        <v/>
      </c>
      <c r="BG32" s="669" t="e">
        <f t="shared" ca="1" si="67"/>
        <v>#NAME?</v>
      </c>
      <c r="BH32" s="669" t="e">
        <f t="shared" ca="1" si="67"/>
        <v>#NAME?</v>
      </c>
      <c r="BI32" s="669" t="e">
        <f t="shared" ca="1" si="67"/>
        <v>#NAME?</v>
      </c>
      <c r="BJ32" s="669" t="e">
        <f t="shared" ca="1" si="67"/>
        <v>#NAME?</v>
      </c>
      <c r="BK32" s="669" t="e">
        <f t="shared" ca="1" si="67"/>
        <v>#NAME?</v>
      </c>
      <c r="BL32" s="669" t="e">
        <f t="shared" ca="1" si="67"/>
        <v>#NAME?</v>
      </c>
      <c r="BM32" s="669" t="e">
        <f t="shared" ca="1" si="67"/>
        <v>#NAME?</v>
      </c>
      <c r="BN32" s="670" t="e">
        <f t="shared" ca="1" si="68"/>
        <v>#NAME?</v>
      </c>
      <c r="BP32" s="485" t="e">
        <f ca="1">IF(OR(DB_LOAD!AW31="USD",DB_LOAD!AW31='Refi-Annual Review'!$A$3,ISBLANK(DB_LOAD!AW31)),0,1)</f>
        <v>#NAME?</v>
      </c>
      <c r="BQ32" t="str">
        <f>(IF(ISBLANK(DB_LOAD!AR31),"",DB_LOAD!AR31))</f>
        <v/>
      </c>
      <c r="BR32" t="str">
        <f t="shared" ref="BR32:BR95" si="73">IF(LEN(BQ32)&gt;0,LEN(BQ32),"")</f>
        <v/>
      </c>
      <c r="BS32" t="str">
        <f t="shared" ref="BS32:BS95" si="74">IF(AND(BQ32=BQ31,BR32=BR31,BQ32&lt;&gt;""),"",IF(BQ32="","",BQ32))</f>
        <v/>
      </c>
      <c r="BT32" t="str">
        <f t="shared" ref="BT32:BT95" si="75">BT31&amp;BS32</f>
        <v>5500000250000016064001572600</v>
      </c>
      <c r="BU32" t="str">
        <f t="shared" ref="BU32:BU95" si="76">IF(LEN(BS32)&gt;0,LEN(BS32),"")</f>
        <v/>
      </c>
      <c r="BV32" t="str">
        <f t="shared" ref="BV32:BV95" si="77">BV31&amp;BU32</f>
        <v>7777</v>
      </c>
      <c r="BW32" t="str">
        <f t="shared" ref="BW32:BW95" si="78">IF(LEN(BU32)&gt;0,LEN(BU32),"")</f>
        <v/>
      </c>
      <c r="BX32" t="str">
        <f t="shared" ref="BX32:BX95" si="79">BX31&amp;BW32</f>
        <v>1111</v>
      </c>
      <c r="CB32" s="683" t="str">
        <f t="shared" si="69"/>
        <v/>
      </c>
      <c r="CC32" s="683" t="str">
        <f t="shared" si="70"/>
        <v/>
      </c>
      <c r="CD32" s="683" t="str">
        <f>IF(CC32="","",VALUE(MID($BZ$5,1+SUM($CC$3:CC31),CC32)))</f>
        <v/>
      </c>
      <c r="CE32">
        <f>CE31+1</f>
        <v>30</v>
      </c>
      <c r="CF32" t="str">
        <f>IF(CD32="","",MID($BZ$4,1+SUM($CD$3:CD31),CD32))</f>
        <v/>
      </c>
      <c r="CI32" s="494" t="e">
        <f ca="1">SUMIFS(DB_LOAD!$AU:$AU,DB_LOAD!$AW:$AW,'Refi-Annual Review'!$CJ$1,DB_LOAD!$AR:$AR,'Refi-Annual Review'!$CF32,DB_LOAD!$AP:$AP,'Refi-Annual Review'!$CK$1,DB_LOAD!$AQ:$AQ,'Refi-Annual Review'!CI$2)/DB_LOAD!$K$2</f>
        <v>#DIV/0!</v>
      </c>
      <c r="CJ32" s="494" t="e">
        <f ca="1">SUMIFS(DB_LOAD!$AU:$AU,DB_LOAD!$AW:$AW,'Refi-Annual Review'!$CJ$1,DB_LOAD!$AR:$AR,'Refi-Annual Review'!$CF32,DB_LOAD!$AP:$AP,'Refi-Annual Review'!$CK$1,DB_LOAD!$AQ:$AQ,'Refi-Annual Review'!CJ$2)/DB_LOAD!$K$2</f>
        <v>#DIV/0!</v>
      </c>
      <c r="CK32" s="494" t="e">
        <f ca="1">SUMIFS(DB_LOAD!$AU:$AU,DB_LOAD!$AW:$AW,'Refi-Annual Review'!$CJ$1,DB_LOAD!$AR:$AR,'Refi-Annual Review'!$CF32,DB_LOAD!$AP:$AP,'Refi-Annual Review'!$CK$1,DB_LOAD!$AQ:$AQ,'Refi-Annual Review'!CK$2)/DB_LOAD!$K$2</f>
        <v>#DIV/0!</v>
      </c>
      <c r="CL32" s="494" t="e">
        <f ca="1">SUMIFS(DB_LOAD!$AU:$AU,DB_LOAD!$AW:$AW,'Refi-Annual Review'!$CJ$1,DB_LOAD!$AR:$AR,'Refi-Annual Review'!$CF32,DB_LOAD!$AP:$AP,'Refi-Annual Review'!$CK$1,DB_LOAD!$AQ:$AQ,'Refi-Annual Review'!CL$2)/DB_LOAD!$K$2</f>
        <v>#DIV/0!</v>
      </c>
      <c r="CM32" s="494" t="e">
        <f ca="1">SUMIFS(DB_LOAD!$AU:$AU,DB_LOAD!$AW:$AW,'Refi-Annual Review'!$CJ$1,DB_LOAD!$AR:$AR,'Refi-Annual Review'!$CF32,DB_LOAD!$AP:$AP,'Refi-Annual Review'!$CK$1,DB_LOAD!$AQ:$AQ,'Refi-Annual Review'!CM$2)/DB_LOAD!$K$2</f>
        <v>#DIV/0!</v>
      </c>
      <c r="CN32" s="494" t="e">
        <f ca="1">SUMIFS(DB_LOAD!$AU:$AU,DB_LOAD!$AW:$AW,'Refi-Annual Review'!$CJ$1,DB_LOAD!$AR:$AR,'Refi-Annual Review'!$CF32,DB_LOAD!$AP:$AP,'Refi-Annual Review'!$CK$1,DB_LOAD!$AQ:$AQ,'Refi-Annual Review'!CN$2)/DB_LOAD!$K$2</f>
        <v>#DIV/0!</v>
      </c>
      <c r="CO32" s="494" t="e">
        <f ca="1">SUMIFS(DB_LOAD!$AU:$AU,DB_LOAD!$AW:$AW,'Refi-Annual Review'!$CJ$1,DB_LOAD!$AR:$AR,'Refi-Annual Review'!$CF32,DB_LOAD!$AP:$AP,'Refi-Annual Review'!$CK$1,DB_LOAD!$AQ:$AQ,'Refi-Annual Review'!CO$2)/DB_LOAD!$K$2</f>
        <v>#DIV/0!</v>
      </c>
      <c r="CP32" s="494" t="e">
        <f t="shared" ca="1" si="51"/>
        <v>#DIV/0!</v>
      </c>
      <c r="CR32" s="494">
        <f ca="1">SUMIFS(DB_LOAD!$AV:$AV,DB_LOAD!$AW:$AW,'Refi-Annual Review'!$CS$1,DB_LOAD!$AR:$AR,'Refi-Annual Review'!$CF32,DB_LOAD!$AP:$AP,'Refi-Annual Review'!$CT$1,DB_LOAD!$AQ:$AQ,'Refi-Annual Review'!CR$2)</f>
        <v>0</v>
      </c>
      <c r="CS32" s="494">
        <f ca="1">SUMIFS(DB_LOAD!$AV:$AV,DB_LOAD!$AW:$AW,'Refi-Annual Review'!$CS$1,DB_LOAD!$AR:$AR,'Refi-Annual Review'!$CF32,DB_LOAD!$AP:$AP,'Refi-Annual Review'!$CT$1,DB_LOAD!$AQ:$AQ,'Refi-Annual Review'!CS$2)</f>
        <v>0</v>
      </c>
      <c r="CT32" s="494">
        <f ca="1">SUMIFS(DB_LOAD!$AV:$AV,DB_LOAD!$AW:$AW,'Refi-Annual Review'!$CS$1,DB_LOAD!$AR:$AR,'Refi-Annual Review'!$CF32,DB_LOAD!$AP:$AP,'Refi-Annual Review'!$CT$1,DB_LOAD!$AQ:$AQ,'Refi-Annual Review'!CT$2)</f>
        <v>0</v>
      </c>
      <c r="CU32" s="494">
        <f ca="1">SUMIFS(DB_LOAD!$AV:$AV,DB_LOAD!$AW:$AW,'Refi-Annual Review'!$CS$1,DB_LOAD!$AR:$AR,'Refi-Annual Review'!$CF32,DB_LOAD!$AP:$AP,'Refi-Annual Review'!$CT$1,DB_LOAD!$AQ:$AQ,'Refi-Annual Review'!CU$2)</f>
        <v>0</v>
      </c>
      <c r="CV32" s="494">
        <f ca="1">SUMIFS(DB_LOAD!$AV:$AV,DB_LOAD!$AW:$AW,'Refi-Annual Review'!$CS$1,DB_LOAD!$AR:$AR,'Refi-Annual Review'!$CF32,DB_LOAD!$AP:$AP,'Refi-Annual Review'!$CT$1,DB_LOAD!$AQ:$AQ,'Refi-Annual Review'!CV$2)</f>
        <v>0</v>
      </c>
      <c r="CW32" s="494">
        <f ca="1">SUMIFS(DB_LOAD!$AV:$AV,DB_LOAD!$AW:$AW,'Refi-Annual Review'!$CS$1,DB_LOAD!$AR:$AR,'Refi-Annual Review'!$CF32,DB_LOAD!$AP:$AP,'Refi-Annual Review'!$CT$1,DB_LOAD!$AQ:$AQ,'Refi-Annual Review'!CW$2)</f>
        <v>0</v>
      </c>
      <c r="CX32" s="494">
        <f ca="1">SUMIFS(DB_LOAD!$AV:$AV,DB_LOAD!$AW:$AW,'Refi-Annual Review'!$CS$1,DB_LOAD!$AR:$AR,'Refi-Annual Review'!$CF32,DB_LOAD!$AP:$AP,'Refi-Annual Review'!$CT$1,DB_LOAD!$AQ:$AQ,'Refi-Annual Review'!CX$2)</f>
        <v>0</v>
      </c>
      <c r="CY32" s="494" t="str">
        <f t="shared" ca="1" si="52"/>
        <v/>
      </c>
      <c r="DA32" s="494" t="e">
        <f ca="1">SUMIFS(DB_LOAD!$AU:$AU,DB_LOAD!$AW:$AW,'Refi-Annual Review'!$DB$1,DB_LOAD!$AR:$AR,'Refi-Annual Review'!$CF32,DB_LOAD!$AP:$AP,'Refi-Annual Review'!$DC$1,DB_LOAD!$AQ:$AQ,'Refi-Annual Review'!DA$2)/IF($A$23="No Data Found",1,$A$23)</f>
        <v>#NAME?</v>
      </c>
      <c r="DB32" s="494" t="e">
        <f ca="1">SUMIFS(DB_LOAD!$AU:$AU,DB_LOAD!$AW:$AW,'Refi-Annual Review'!$DB$1,DB_LOAD!$AR:$AR,'Refi-Annual Review'!$CF32,DB_LOAD!$AP:$AP,'Refi-Annual Review'!$DC$1,DB_LOAD!$AQ:$AQ,'Refi-Annual Review'!DB$2)/IF($A$23="No Data Found",1,$A$23)</f>
        <v>#NAME?</v>
      </c>
      <c r="DC32" s="494" t="e">
        <f ca="1">SUMIFS(DB_LOAD!$AU:$AU,DB_LOAD!$AW:$AW,'Refi-Annual Review'!$DB$1,DB_LOAD!$AR:$AR,'Refi-Annual Review'!$CF32,DB_LOAD!$AP:$AP,'Refi-Annual Review'!$DC$1,DB_LOAD!$AQ:$AQ,'Refi-Annual Review'!DC$2)/IF($A$23="No Data Found",1,$A$23)</f>
        <v>#NAME?</v>
      </c>
      <c r="DD32" s="494" t="e">
        <f ca="1">SUMIFS(DB_LOAD!$AU:$AU,DB_LOAD!$AW:$AW,'Refi-Annual Review'!$DB$1,DB_LOAD!$AR:$AR,'Refi-Annual Review'!$CF32,DB_LOAD!$AP:$AP,'Refi-Annual Review'!$DC$1,DB_LOAD!$AQ:$AQ,'Refi-Annual Review'!DD$2)/IF($A$23="No Data Found",1,$A$23)</f>
        <v>#NAME?</v>
      </c>
      <c r="DE32" s="494" t="e">
        <f ca="1">SUMIFS(DB_LOAD!$AU:$AU,DB_LOAD!$AW:$AW,'Refi-Annual Review'!$DB$1,DB_LOAD!$AR:$AR,'Refi-Annual Review'!$CF32,DB_LOAD!$AP:$AP,'Refi-Annual Review'!$DC$1,DB_LOAD!$AQ:$AQ,'Refi-Annual Review'!DE$2)/IF($A$23="No Data Found",1,$A$23)</f>
        <v>#NAME?</v>
      </c>
      <c r="DF32" s="494" t="e">
        <f ca="1">SUMIFS(DB_LOAD!$AU:$AU,DB_LOAD!$AW:$AW,'Refi-Annual Review'!$DB$1,DB_LOAD!$AR:$AR,'Refi-Annual Review'!$CF32,DB_LOAD!$AP:$AP,'Refi-Annual Review'!$DC$1,DB_LOAD!$AQ:$AQ,'Refi-Annual Review'!DF$2)/IF($A$23="No Data Found",1,$A$23)</f>
        <v>#NAME?</v>
      </c>
      <c r="DG32" s="494" t="e">
        <f ca="1">SUMIFS(DB_LOAD!$AU:$AU,DB_LOAD!$AW:$AW,'Refi-Annual Review'!$DB$1,DB_LOAD!$AR:$AR,'Refi-Annual Review'!$CF32,DB_LOAD!$AP:$AP,'Refi-Annual Review'!$DC$1,DB_LOAD!$AQ:$AQ,'Refi-Annual Review'!DG$2)/IF($A$23="No Data Found",1,$A$23)</f>
        <v>#NAME?</v>
      </c>
      <c r="DH32" s="494" t="e">
        <f t="shared" ca="1" si="53"/>
        <v>#NAME?</v>
      </c>
      <c r="DJ32" s="494">
        <f ca="1">SUMIFS(DB_LOAD!$AV:$AV,DB_LOAD!$AW:$AW,'Refi-Annual Review'!$DK$1,DB_LOAD!$AR:$AR,'Refi-Annual Review'!$CF32,DB_LOAD!$AP:$AP,'Refi-Annual Review'!$DL$1,DB_LOAD!$AQ:$AQ,'Refi-Annual Review'!DJ$2)</f>
        <v>0</v>
      </c>
      <c r="DK32" s="494">
        <f ca="1">SUMIFS(DB_LOAD!$AV:$AV,DB_LOAD!$AW:$AW,'Refi-Annual Review'!$DK$1,DB_LOAD!$AR:$AR,'Refi-Annual Review'!$CF32,DB_LOAD!$AP:$AP,'Refi-Annual Review'!$DL$1,DB_LOAD!$AQ:$AQ,'Refi-Annual Review'!DK$2)</f>
        <v>0</v>
      </c>
      <c r="DL32" s="494">
        <f ca="1">SUMIFS(DB_LOAD!$AV:$AV,DB_LOAD!$AW:$AW,'Refi-Annual Review'!$DK$1,DB_LOAD!$AR:$AR,'Refi-Annual Review'!$CF32,DB_LOAD!$AP:$AP,'Refi-Annual Review'!$DL$1,DB_LOAD!$AQ:$AQ,'Refi-Annual Review'!DL$2)</f>
        <v>0</v>
      </c>
      <c r="DM32" s="494">
        <f ca="1">SUMIFS(DB_LOAD!$AV:$AV,DB_LOAD!$AW:$AW,'Refi-Annual Review'!$DK$1,DB_LOAD!$AR:$AR,'Refi-Annual Review'!$CF32,DB_LOAD!$AP:$AP,'Refi-Annual Review'!$DL$1,DB_LOAD!$AQ:$AQ,'Refi-Annual Review'!DM$2)</f>
        <v>0</v>
      </c>
      <c r="DN32" s="494">
        <f ca="1">SUMIFS(DB_LOAD!$AV:$AV,DB_LOAD!$AW:$AW,'Refi-Annual Review'!$DK$1,DB_LOAD!$AR:$AR,'Refi-Annual Review'!$CF32,DB_LOAD!$AP:$AP,'Refi-Annual Review'!$DL$1,DB_LOAD!$AQ:$AQ,'Refi-Annual Review'!DN$2)</f>
        <v>0</v>
      </c>
      <c r="DO32" s="494">
        <f ca="1">SUMIFS(DB_LOAD!$AV:$AV,DB_LOAD!$AW:$AW,'Refi-Annual Review'!$DK$1,DB_LOAD!$AR:$AR,'Refi-Annual Review'!$CF32,DB_LOAD!$AP:$AP,'Refi-Annual Review'!$DL$1,DB_LOAD!$AQ:$AQ,'Refi-Annual Review'!DO$2)</f>
        <v>0</v>
      </c>
      <c r="DP32" s="494">
        <f ca="1">SUMIFS(DB_LOAD!$AV:$AV,DB_LOAD!$AW:$AW,'Refi-Annual Review'!$DK$1,DB_LOAD!$AR:$AR,'Refi-Annual Review'!$CF32,DB_LOAD!$AP:$AP,'Refi-Annual Review'!$DL$1,DB_LOAD!$AQ:$AQ,'Refi-Annual Review'!DP$2)</f>
        <v>0</v>
      </c>
      <c r="DQ32" s="494" t="str">
        <f t="shared" ca="1" si="54"/>
        <v/>
      </c>
      <c r="DS32" s="494">
        <f>SUMIFS(DB_LOAD!$AV:$AV,DB_LOAD!$AW:$AW,'Refi-Annual Review'!$DT$1,DB_LOAD!$AR:$AR,'Refi-Annual Review'!$CF32,DB_LOAD!$AP:$AP,'Refi-Annual Review'!$DU$1,DB_LOAD!$AQ:$AQ,'Refi-Annual Review'!DS$2)</f>
        <v>0</v>
      </c>
      <c r="DT32" s="494">
        <f>SUMIFS(DB_LOAD!$AV:$AV,DB_LOAD!$AW:$AW,'Refi-Annual Review'!$DT$1,DB_LOAD!$AR:$AR,'Refi-Annual Review'!$CF32,DB_LOAD!$AP:$AP,'Refi-Annual Review'!$DU$1,DB_LOAD!$AQ:$AQ,'Refi-Annual Review'!DT$2)</f>
        <v>0</v>
      </c>
      <c r="DU32" s="494">
        <f>SUMIFS(DB_LOAD!$AV:$AV,DB_LOAD!$AW:$AW,'Refi-Annual Review'!$DT$1,DB_LOAD!$AR:$AR,'Refi-Annual Review'!$CF32,DB_LOAD!$AP:$AP,'Refi-Annual Review'!$DU$1,DB_LOAD!$AQ:$AQ,'Refi-Annual Review'!DU$2)</f>
        <v>0</v>
      </c>
      <c r="DV32" s="494">
        <f>SUMIFS(DB_LOAD!$AV:$AV,DB_LOAD!$AW:$AW,'Refi-Annual Review'!$DT$1,DB_LOAD!$AR:$AR,'Refi-Annual Review'!$CF32,DB_LOAD!$AP:$AP,'Refi-Annual Review'!$DU$1,DB_LOAD!$AQ:$AQ,'Refi-Annual Review'!DV$2)</f>
        <v>0</v>
      </c>
      <c r="DW32" s="494">
        <f>SUMIFS(DB_LOAD!$AV:$AV,DB_LOAD!$AW:$AW,'Refi-Annual Review'!$DT$1,DB_LOAD!$AR:$AR,'Refi-Annual Review'!$CF32,DB_LOAD!$AP:$AP,'Refi-Annual Review'!$DU$1,DB_LOAD!$AQ:$AQ,'Refi-Annual Review'!DW$2)</f>
        <v>0</v>
      </c>
      <c r="DX32" s="494">
        <f>SUMIFS(DB_LOAD!$AV:$AV,DB_LOAD!$AW:$AW,'Refi-Annual Review'!$DT$1,DB_LOAD!$AR:$AR,'Refi-Annual Review'!$CF32,DB_LOAD!$AP:$AP,'Refi-Annual Review'!$DU$1,DB_LOAD!$AQ:$AQ,'Refi-Annual Review'!DX$2)</f>
        <v>0</v>
      </c>
      <c r="DY32" s="494">
        <f>SUMIFS(DB_LOAD!$AV:$AV,DB_LOAD!$AW:$AW,'Refi-Annual Review'!$DT$1,DB_LOAD!$AR:$AR,'Refi-Annual Review'!$CF32,DB_LOAD!$AP:$AP,'Refi-Annual Review'!$DU$1,DB_LOAD!$AQ:$AQ,'Refi-Annual Review'!DY$2)</f>
        <v>0</v>
      </c>
      <c r="DZ32" s="494" t="str">
        <f t="shared" si="55"/>
        <v/>
      </c>
    </row>
    <row r="33" spans="3:130" ht="15">
      <c r="C33" s="485">
        <f t="shared" si="25"/>
        <v>34</v>
      </c>
      <c r="D33" s="493" t="s">
        <v>25</v>
      </c>
      <c r="E33" s="568"/>
      <c r="F33" s="496" t="e">
        <f ca="1">F129/F$120</f>
        <v>#N/A</v>
      </c>
      <c r="G33" s="496" t="e">
        <f ca="1">G129/G$120</f>
        <v>#N/A</v>
      </c>
      <c r="H33" s="496" t="e">
        <f ca="1">H129/H$120</f>
        <v>#N/A</v>
      </c>
      <c r="I33" s="496" t="e">
        <f ca="1">I129/I$120</f>
        <v>#N/A</v>
      </c>
      <c r="J33" s="496" t="e">
        <f ca="1">J129/J$120</f>
        <v>#N/A</v>
      </c>
      <c r="K33" s="496"/>
      <c r="L33" s="496" t="e">
        <f ca="1">L129/L$120</f>
        <v>#NAME?</v>
      </c>
      <c r="M33" s="496" t="e">
        <f ca="1">M129/M$120</f>
        <v>#NAME?</v>
      </c>
      <c r="N33" s="496" t="e">
        <f ca="1">N129/N$120</f>
        <v>#NAME?</v>
      </c>
      <c r="O33" s="496" t="e">
        <f ca="1">O129/O$120</f>
        <v>#NAME?</v>
      </c>
      <c r="P33" s="496"/>
      <c r="Q33" s="496" t="e">
        <f ca="1">Q129/Q$120</f>
        <v>#NAME?</v>
      </c>
      <c r="R33" s="496" t="e">
        <f ca="1">R129/R$120</f>
        <v>#NAME?</v>
      </c>
      <c r="S33" s="496"/>
      <c r="T33" s="496"/>
      <c r="U33" s="496"/>
      <c r="AJ33" s="493" t="s">
        <v>25</v>
      </c>
      <c r="AK33" s="496" t="e">
        <f t="shared" ca="1" si="49"/>
        <v>#N/A</v>
      </c>
      <c r="AL33" s="496" t="e">
        <f t="shared" ca="1" si="49"/>
        <v>#N/A</v>
      </c>
      <c r="AM33" s="496" t="e">
        <f t="shared" ca="1" si="49"/>
        <v>#N/A</v>
      </c>
      <c r="AN33" s="496" t="e">
        <f t="shared" ca="1" si="49"/>
        <v>#N/A</v>
      </c>
      <c r="AO33" s="496" t="e">
        <f t="shared" ca="1" si="48"/>
        <v>#NAME?</v>
      </c>
      <c r="AP33" s="496" t="e">
        <f t="shared" ca="1" si="48"/>
        <v>#NAME?</v>
      </c>
      <c r="BD33" s="485" t="s">
        <v>140</v>
      </c>
      <c r="BE33" s="485" t="e">
        <f t="shared" ca="1" si="65"/>
        <v>#NAME?</v>
      </c>
      <c r="BF33" s="651" t="str">
        <f t="shared" si="66"/>
        <v/>
      </c>
      <c r="BG33" s="669" t="e">
        <f t="shared" ca="1" si="67"/>
        <v>#NAME?</v>
      </c>
      <c r="BH33" s="669" t="e">
        <f t="shared" ca="1" si="67"/>
        <v>#NAME?</v>
      </c>
      <c r="BI33" s="669" t="e">
        <f t="shared" ca="1" si="67"/>
        <v>#NAME?</v>
      </c>
      <c r="BJ33" s="669" t="e">
        <f t="shared" ca="1" si="67"/>
        <v>#NAME?</v>
      </c>
      <c r="BK33" s="669" t="e">
        <f t="shared" ca="1" si="67"/>
        <v>#NAME?</v>
      </c>
      <c r="BL33" s="669" t="e">
        <f t="shared" ca="1" si="67"/>
        <v>#NAME?</v>
      </c>
      <c r="BM33" s="669" t="e">
        <f t="shared" ca="1" si="67"/>
        <v>#NAME?</v>
      </c>
      <c r="BN33" s="670" t="e">
        <f t="shared" ca="1" si="68"/>
        <v>#NAME?</v>
      </c>
      <c r="BP33" s="485" t="e">
        <f ca="1">IF(OR(DB_LOAD!AW32="USD",DB_LOAD!AW32='Refi-Annual Review'!$A$3,ISBLANK(DB_LOAD!AW32)),0,1)</f>
        <v>#NAME?</v>
      </c>
      <c r="BQ33" t="str">
        <f>(IF(ISBLANK(DB_LOAD!AR32),"",DB_LOAD!AR32))</f>
        <v/>
      </c>
      <c r="BR33" t="str">
        <f t="shared" si="73"/>
        <v/>
      </c>
      <c r="BS33" t="str">
        <f t="shared" si="74"/>
        <v/>
      </c>
      <c r="BT33" t="str">
        <f t="shared" si="75"/>
        <v>5500000250000016064001572600</v>
      </c>
      <c r="BU33" t="str">
        <f t="shared" si="76"/>
        <v/>
      </c>
      <c r="BV33" t="str">
        <f t="shared" si="77"/>
        <v>7777</v>
      </c>
      <c r="BW33" t="str">
        <f t="shared" si="78"/>
        <v/>
      </c>
      <c r="BX33" t="str">
        <f t="shared" si="79"/>
        <v>1111</v>
      </c>
      <c r="CB33" s="683" t="str">
        <f t="shared" si="69"/>
        <v/>
      </c>
      <c r="CC33" s="683" t="str">
        <f t="shared" si="70"/>
        <v/>
      </c>
      <c r="CD33" s="683" t="str">
        <f>IF(CC33="","",VALUE(MID($BZ$5,1+SUM($CC$3:CC32),CC33)))</f>
        <v/>
      </c>
      <c r="CE33">
        <f>CE32+1</f>
        <v>31</v>
      </c>
      <c r="CF33" t="str">
        <f>IF(CD33="","",MID($BZ$4,1+SUM($CD$3:CD32),CD33))</f>
        <v/>
      </c>
      <c r="CI33" s="494" t="e">
        <f ca="1">SUMIFS(DB_LOAD!$AU:$AU,DB_LOAD!$AW:$AW,'Refi-Annual Review'!$CJ$1,DB_LOAD!$AR:$AR,'Refi-Annual Review'!$CF33,DB_LOAD!$AP:$AP,'Refi-Annual Review'!$CK$1,DB_LOAD!$AQ:$AQ,'Refi-Annual Review'!CI$2)/DB_LOAD!$K$2</f>
        <v>#DIV/0!</v>
      </c>
      <c r="CJ33" s="494" t="e">
        <f ca="1">SUMIFS(DB_LOAD!$AU:$AU,DB_LOAD!$AW:$AW,'Refi-Annual Review'!$CJ$1,DB_LOAD!$AR:$AR,'Refi-Annual Review'!$CF33,DB_LOAD!$AP:$AP,'Refi-Annual Review'!$CK$1,DB_LOAD!$AQ:$AQ,'Refi-Annual Review'!CJ$2)/DB_LOAD!$K$2</f>
        <v>#DIV/0!</v>
      </c>
      <c r="CK33" s="494" t="e">
        <f ca="1">SUMIFS(DB_LOAD!$AU:$AU,DB_LOAD!$AW:$AW,'Refi-Annual Review'!$CJ$1,DB_LOAD!$AR:$AR,'Refi-Annual Review'!$CF33,DB_LOAD!$AP:$AP,'Refi-Annual Review'!$CK$1,DB_LOAD!$AQ:$AQ,'Refi-Annual Review'!CK$2)/DB_LOAD!$K$2</f>
        <v>#DIV/0!</v>
      </c>
      <c r="CL33" s="494" t="e">
        <f ca="1">SUMIFS(DB_LOAD!$AU:$AU,DB_LOAD!$AW:$AW,'Refi-Annual Review'!$CJ$1,DB_LOAD!$AR:$AR,'Refi-Annual Review'!$CF33,DB_LOAD!$AP:$AP,'Refi-Annual Review'!$CK$1,DB_LOAD!$AQ:$AQ,'Refi-Annual Review'!CL$2)/DB_LOAD!$K$2</f>
        <v>#DIV/0!</v>
      </c>
      <c r="CM33" s="494" t="e">
        <f ca="1">SUMIFS(DB_LOAD!$AU:$AU,DB_LOAD!$AW:$AW,'Refi-Annual Review'!$CJ$1,DB_LOAD!$AR:$AR,'Refi-Annual Review'!$CF33,DB_LOAD!$AP:$AP,'Refi-Annual Review'!$CK$1,DB_LOAD!$AQ:$AQ,'Refi-Annual Review'!CM$2)/DB_LOAD!$K$2</f>
        <v>#DIV/0!</v>
      </c>
      <c r="CN33" s="494" t="e">
        <f ca="1">SUMIFS(DB_LOAD!$AU:$AU,DB_LOAD!$AW:$AW,'Refi-Annual Review'!$CJ$1,DB_LOAD!$AR:$AR,'Refi-Annual Review'!$CF33,DB_LOAD!$AP:$AP,'Refi-Annual Review'!$CK$1,DB_LOAD!$AQ:$AQ,'Refi-Annual Review'!CN$2)/DB_LOAD!$K$2</f>
        <v>#DIV/0!</v>
      </c>
      <c r="CO33" s="494" t="e">
        <f ca="1">SUMIFS(DB_LOAD!$AU:$AU,DB_LOAD!$AW:$AW,'Refi-Annual Review'!$CJ$1,DB_LOAD!$AR:$AR,'Refi-Annual Review'!$CF33,DB_LOAD!$AP:$AP,'Refi-Annual Review'!$CK$1,DB_LOAD!$AQ:$AQ,'Refi-Annual Review'!CO$2)/DB_LOAD!$K$2</f>
        <v>#DIV/0!</v>
      </c>
      <c r="CP33" s="494" t="e">
        <f t="shared" ca="1" si="51"/>
        <v>#DIV/0!</v>
      </c>
      <c r="CR33" s="494">
        <f ca="1">SUMIFS(DB_LOAD!$AV:$AV,DB_LOAD!$AW:$AW,'Refi-Annual Review'!$CS$1,DB_LOAD!$AR:$AR,'Refi-Annual Review'!$CF33,DB_LOAD!$AP:$AP,'Refi-Annual Review'!$CT$1,DB_LOAD!$AQ:$AQ,'Refi-Annual Review'!CR$2)</f>
        <v>0</v>
      </c>
      <c r="CS33" s="494">
        <f ca="1">SUMIFS(DB_LOAD!$AV:$AV,DB_LOAD!$AW:$AW,'Refi-Annual Review'!$CS$1,DB_LOAD!$AR:$AR,'Refi-Annual Review'!$CF33,DB_LOAD!$AP:$AP,'Refi-Annual Review'!$CT$1,DB_LOAD!$AQ:$AQ,'Refi-Annual Review'!CS$2)</f>
        <v>0</v>
      </c>
      <c r="CT33" s="494">
        <f ca="1">SUMIFS(DB_LOAD!$AV:$AV,DB_LOAD!$AW:$AW,'Refi-Annual Review'!$CS$1,DB_LOAD!$AR:$AR,'Refi-Annual Review'!$CF33,DB_LOAD!$AP:$AP,'Refi-Annual Review'!$CT$1,DB_LOAD!$AQ:$AQ,'Refi-Annual Review'!CT$2)</f>
        <v>0</v>
      </c>
      <c r="CU33" s="494">
        <f ca="1">SUMIFS(DB_LOAD!$AV:$AV,DB_LOAD!$AW:$AW,'Refi-Annual Review'!$CS$1,DB_LOAD!$AR:$AR,'Refi-Annual Review'!$CF33,DB_LOAD!$AP:$AP,'Refi-Annual Review'!$CT$1,DB_LOAD!$AQ:$AQ,'Refi-Annual Review'!CU$2)</f>
        <v>0</v>
      </c>
      <c r="CV33" s="494">
        <f ca="1">SUMIFS(DB_LOAD!$AV:$AV,DB_LOAD!$AW:$AW,'Refi-Annual Review'!$CS$1,DB_LOAD!$AR:$AR,'Refi-Annual Review'!$CF33,DB_LOAD!$AP:$AP,'Refi-Annual Review'!$CT$1,DB_LOAD!$AQ:$AQ,'Refi-Annual Review'!CV$2)</f>
        <v>0</v>
      </c>
      <c r="CW33" s="494">
        <f ca="1">SUMIFS(DB_LOAD!$AV:$AV,DB_LOAD!$AW:$AW,'Refi-Annual Review'!$CS$1,DB_LOAD!$AR:$AR,'Refi-Annual Review'!$CF33,DB_LOAD!$AP:$AP,'Refi-Annual Review'!$CT$1,DB_LOAD!$AQ:$AQ,'Refi-Annual Review'!CW$2)</f>
        <v>0</v>
      </c>
      <c r="CX33" s="494">
        <f ca="1">SUMIFS(DB_LOAD!$AV:$AV,DB_LOAD!$AW:$AW,'Refi-Annual Review'!$CS$1,DB_LOAD!$AR:$AR,'Refi-Annual Review'!$CF33,DB_LOAD!$AP:$AP,'Refi-Annual Review'!$CT$1,DB_LOAD!$AQ:$AQ,'Refi-Annual Review'!CX$2)</f>
        <v>0</v>
      </c>
      <c r="CY33" s="494" t="str">
        <f t="shared" ca="1" si="52"/>
        <v/>
      </c>
      <c r="DA33" s="494" t="e">
        <f ca="1">SUMIFS(DB_LOAD!$AU:$AU,DB_LOAD!$AW:$AW,'Refi-Annual Review'!$DB$1,DB_LOAD!$AR:$AR,'Refi-Annual Review'!$CF33,DB_LOAD!$AP:$AP,'Refi-Annual Review'!$DC$1,DB_LOAD!$AQ:$AQ,'Refi-Annual Review'!DA$2)/IF($A$23="No Data Found",1,$A$23)</f>
        <v>#NAME?</v>
      </c>
      <c r="DB33" s="494" t="e">
        <f ca="1">SUMIFS(DB_LOAD!$AU:$AU,DB_LOAD!$AW:$AW,'Refi-Annual Review'!$DB$1,DB_LOAD!$AR:$AR,'Refi-Annual Review'!$CF33,DB_LOAD!$AP:$AP,'Refi-Annual Review'!$DC$1,DB_LOAD!$AQ:$AQ,'Refi-Annual Review'!DB$2)/IF($A$23="No Data Found",1,$A$23)</f>
        <v>#NAME?</v>
      </c>
      <c r="DC33" s="494" t="e">
        <f ca="1">SUMIFS(DB_LOAD!$AU:$AU,DB_LOAD!$AW:$AW,'Refi-Annual Review'!$DB$1,DB_LOAD!$AR:$AR,'Refi-Annual Review'!$CF33,DB_LOAD!$AP:$AP,'Refi-Annual Review'!$DC$1,DB_LOAD!$AQ:$AQ,'Refi-Annual Review'!DC$2)/IF($A$23="No Data Found",1,$A$23)</f>
        <v>#NAME?</v>
      </c>
      <c r="DD33" s="494" t="e">
        <f ca="1">SUMIFS(DB_LOAD!$AU:$AU,DB_LOAD!$AW:$AW,'Refi-Annual Review'!$DB$1,DB_LOAD!$AR:$AR,'Refi-Annual Review'!$CF33,DB_LOAD!$AP:$AP,'Refi-Annual Review'!$DC$1,DB_LOAD!$AQ:$AQ,'Refi-Annual Review'!DD$2)/IF($A$23="No Data Found",1,$A$23)</f>
        <v>#NAME?</v>
      </c>
      <c r="DE33" s="494" t="e">
        <f ca="1">SUMIFS(DB_LOAD!$AU:$AU,DB_LOAD!$AW:$AW,'Refi-Annual Review'!$DB$1,DB_LOAD!$AR:$AR,'Refi-Annual Review'!$CF33,DB_LOAD!$AP:$AP,'Refi-Annual Review'!$DC$1,DB_LOAD!$AQ:$AQ,'Refi-Annual Review'!DE$2)/IF($A$23="No Data Found",1,$A$23)</f>
        <v>#NAME?</v>
      </c>
      <c r="DF33" s="494" t="e">
        <f ca="1">SUMIFS(DB_LOAD!$AU:$AU,DB_LOAD!$AW:$AW,'Refi-Annual Review'!$DB$1,DB_LOAD!$AR:$AR,'Refi-Annual Review'!$CF33,DB_LOAD!$AP:$AP,'Refi-Annual Review'!$DC$1,DB_LOAD!$AQ:$AQ,'Refi-Annual Review'!DF$2)/IF($A$23="No Data Found",1,$A$23)</f>
        <v>#NAME?</v>
      </c>
      <c r="DG33" s="494" t="e">
        <f ca="1">SUMIFS(DB_LOAD!$AU:$AU,DB_LOAD!$AW:$AW,'Refi-Annual Review'!$DB$1,DB_LOAD!$AR:$AR,'Refi-Annual Review'!$CF33,DB_LOAD!$AP:$AP,'Refi-Annual Review'!$DC$1,DB_LOAD!$AQ:$AQ,'Refi-Annual Review'!DG$2)/IF($A$23="No Data Found",1,$A$23)</f>
        <v>#NAME?</v>
      </c>
      <c r="DH33" s="494" t="e">
        <f t="shared" ca="1" si="53"/>
        <v>#NAME?</v>
      </c>
      <c r="DJ33" s="494">
        <f ca="1">SUMIFS(DB_LOAD!$AV:$AV,DB_LOAD!$AW:$AW,'Refi-Annual Review'!$DK$1,DB_LOAD!$AR:$AR,'Refi-Annual Review'!$CF33,DB_LOAD!$AP:$AP,'Refi-Annual Review'!$DL$1,DB_LOAD!$AQ:$AQ,'Refi-Annual Review'!DJ$2)</f>
        <v>0</v>
      </c>
      <c r="DK33" s="494">
        <f ca="1">SUMIFS(DB_LOAD!$AV:$AV,DB_LOAD!$AW:$AW,'Refi-Annual Review'!$DK$1,DB_LOAD!$AR:$AR,'Refi-Annual Review'!$CF33,DB_LOAD!$AP:$AP,'Refi-Annual Review'!$DL$1,DB_LOAD!$AQ:$AQ,'Refi-Annual Review'!DK$2)</f>
        <v>0</v>
      </c>
      <c r="DL33" s="494">
        <f ca="1">SUMIFS(DB_LOAD!$AV:$AV,DB_LOAD!$AW:$AW,'Refi-Annual Review'!$DK$1,DB_LOAD!$AR:$AR,'Refi-Annual Review'!$CF33,DB_LOAD!$AP:$AP,'Refi-Annual Review'!$DL$1,DB_LOAD!$AQ:$AQ,'Refi-Annual Review'!DL$2)</f>
        <v>0</v>
      </c>
      <c r="DM33" s="494">
        <f ca="1">SUMIFS(DB_LOAD!$AV:$AV,DB_LOAD!$AW:$AW,'Refi-Annual Review'!$DK$1,DB_LOAD!$AR:$AR,'Refi-Annual Review'!$CF33,DB_LOAD!$AP:$AP,'Refi-Annual Review'!$DL$1,DB_LOAD!$AQ:$AQ,'Refi-Annual Review'!DM$2)</f>
        <v>0</v>
      </c>
      <c r="DN33" s="494">
        <f ca="1">SUMIFS(DB_LOAD!$AV:$AV,DB_LOAD!$AW:$AW,'Refi-Annual Review'!$DK$1,DB_LOAD!$AR:$AR,'Refi-Annual Review'!$CF33,DB_LOAD!$AP:$AP,'Refi-Annual Review'!$DL$1,DB_LOAD!$AQ:$AQ,'Refi-Annual Review'!DN$2)</f>
        <v>0</v>
      </c>
      <c r="DO33" s="494">
        <f ca="1">SUMIFS(DB_LOAD!$AV:$AV,DB_LOAD!$AW:$AW,'Refi-Annual Review'!$DK$1,DB_LOAD!$AR:$AR,'Refi-Annual Review'!$CF33,DB_LOAD!$AP:$AP,'Refi-Annual Review'!$DL$1,DB_LOAD!$AQ:$AQ,'Refi-Annual Review'!DO$2)</f>
        <v>0</v>
      </c>
      <c r="DP33" s="494">
        <f ca="1">SUMIFS(DB_LOAD!$AV:$AV,DB_LOAD!$AW:$AW,'Refi-Annual Review'!$DK$1,DB_LOAD!$AR:$AR,'Refi-Annual Review'!$CF33,DB_LOAD!$AP:$AP,'Refi-Annual Review'!$DL$1,DB_LOAD!$AQ:$AQ,'Refi-Annual Review'!DP$2)</f>
        <v>0</v>
      </c>
      <c r="DQ33" s="494" t="str">
        <f t="shared" ca="1" si="54"/>
        <v/>
      </c>
      <c r="DS33" s="494">
        <f>SUMIFS(DB_LOAD!$AV:$AV,DB_LOAD!$AW:$AW,'Refi-Annual Review'!$DT$1,DB_LOAD!$AR:$AR,'Refi-Annual Review'!$CF33,DB_LOAD!$AP:$AP,'Refi-Annual Review'!$DU$1,DB_LOAD!$AQ:$AQ,'Refi-Annual Review'!DS$2)</f>
        <v>0</v>
      </c>
      <c r="DT33" s="494">
        <f>SUMIFS(DB_LOAD!$AV:$AV,DB_LOAD!$AW:$AW,'Refi-Annual Review'!$DT$1,DB_LOAD!$AR:$AR,'Refi-Annual Review'!$CF33,DB_LOAD!$AP:$AP,'Refi-Annual Review'!$DU$1,DB_LOAD!$AQ:$AQ,'Refi-Annual Review'!DT$2)</f>
        <v>0</v>
      </c>
      <c r="DU33" s="494">
        <f>SUMIFS(DB_LOAD!$AV:$AV,DB_LOAD!$AW:$AW,'Refi-Annual Review'!$DT$1,DB_LOAD!$AR:$AR,'Refi-Annual Review'!$CF33,DB_LOAD!$AP:$AP,'Refi-Annual Review'!$DU$1,DB_LOAD!$AQ:$AQ,'Refi-Annual Review'!DU$2)</f>
        <v>0</v>
      </c>
      <c r="DV33" s="494">
        <f>SUMIFS(DB_LOAD!$AV:$AV,DB_LOAD!$AW:$AW,'Refi-Annual Review'!$DT$1,DB_LOAD!$AR:$AR,'Refi-Annual Review'!$CF33,DB_LOAD!$AP:$AP,'Refi-Annual Review'!$DU$1,DB_LOAD!$AQ:$AQ,'Refi-Annual Review'!DV$2)</f>
        <v>0</v>
      </c>
      <c r="DW33" s="494">
        <f>SUMIFS(DB_LOAD!$AV:$AV,DB_LOAD!$AW:$AW,'Refi-Annual Review'!$DT$1,DB_LOAD!$AR:$AR,'Refi-Annual Review'!$CF33,DB_LOAD!$AP:$AP,'Refi-Annual Review'!$DU$1,DB_LOAD!$AQ:$AQ,'Refi-Annual Review'!DW$2)</f>
        <v>0</v>
      </c>
      <c r="DX33" s="494">
        <f>SUMIFS(DB_LOAD!$AV:$AV,DB_LOAD!$AW:$AW,'Refi-Annual Review'!$DT$1,DB_LOAD!$AR:$AR,'Refi-Annual Review'!$CF33,DB_LOAD!$AP:$AP,'Refi-Annual Review'!$DU$1,DB_LOAD!$AQ:$AQ,'Refi-Annual Review'!DX$2)</f>
        <v>0</v>
      </c>
      <c r="DY33" s="494">
        <f>SUMIFS(DB_LOAD!$AV:$AV,DB_LOAD!$AW:$AW,'Refi-Annual Review'!$DT$1,DB_LOAD!$AR:$AR,'Refi-Annual Review'!$CF33,DB_LOAD!$AP:$AP,'Refi-Annual Review'!$DU$1,DB_LOAD!$AQ:$AQ,'Refi-Annual Review'!DY$2)</f>
        <v>0</v>
      </c>
      <c r="DZ33" s="494" t="str">
        <f t="shared" si="55"/>
        <v/>
      </c>
    </row>
    <row r="34" spans="3:130" ht="15">
      <c r="C34" s="485">
        <f t="shared" si="25"/>
        <v>35</v>
      </c>
      <c r="D34" s="493" t="s">
        <v>5</v>
      </c>
      <c r="E34" s="568"/>
      <c r="F34" s="496" t="e">
        <f ca="1">ABS(F139/F$136)</f>
        <v>#N/A</v>
      </c>
      <c r="G34" s="496" t="e">
        <f t="shared" ref="G34:J34" ca="1" si="80">ABS(G139/G$136)</f>
        <v>#N/A</v>
      </c>
      <c r="H34" s="496" t="e">
        <f t="shared" ca="1" si="80"/>
        <v>#N/A</v>
      </c>
      <c r="I34" s="496" t="e">
        <f t="shared" ca="1" si="80"/>
        <v>#N/A</v>
      </c>
      <c r="J34" s="496" t="e">
        <f t="shared" ca="1" si="80"/>
        <v>#N/A</v>
      </c>
      <c r="K34" s="496"/>
      <c r="L34" s="496" t="e">
        <f ca="1">ABS(L139/L$136)</f>
        <v>#NAME?</v>
      </c>
      <c r="M34" s="496" t="e">
        <f t="shared" ref="M34:O34" ca="1" si="81">ABS(M139/M$136)</f>
        <v>#NAME?</v>
      </c>
      <c r="N34" s="496" t="e">
        <f t="shared" ca="1" si="81"/>
        <v>#NAME?</v>
      </c>
      <c r="O34" s="496" t="e">
        <f t="shared" ca="1" si="81"/>
        <v>#NAME?</v>
      </c>
      <c r="P34" s="496"/>
      <c r="Q34" s="496" t="e">
        <f ca="1">ABS(Q139/Q$136)</f>
        <v>#NAME?</v>
      </c>
      <c r="R34" s="496" t="e">
        <f ca="1">ABS(R139/R$136)</f>
        <v>#NAME?</v>
      </c>
      <c r="S34" s="496"/>
      <c r="T34" s="496"/>
      <c r="U34" s="496"/>
      <c r="AJ34" s="493" t="s">
        <v>5</v>
      </c>
      <c r="AK34" s="496" t="e">
        <f t="shared" ca="1" si="49"/>
        <v>#N/A</v>
      </c>
      <c r="AL34" s="496" t="e">
        <f t="shared" ca="1" si="49"/>
        <v>#N/A</v>
      </c>
      <c r="AM34" s="496" t="e">
        <f t="shared" ca="1" si="49"/>
        <v>#N/A</v>
      </c>
      <c r="AN34" s="496" t="e">
        <f t="shared" ca="1" si="49"/>
        <v>#N/A</v>
      </c>
      <c r="AO34" s="496" t="e">
        <f t="shared" ca="1" si="48"/>
        <v>#NAME?</v>
      </c>
      <c r="AP34" s="496" t="e">
        <f t="shared" ca="1" si="48"/>
        <v>#NAME?</v>
      </c>
      <c r="BD34" s="485" t="s">
        <v>140</v>
      </c>
      <c r="BE34" s="485" t="e">
        <f t="shared" ca="1" si="65"/>
        <v>#NAME?</v>
      </c>
      <c r="BF34" s="651" t="str">
        <f t="shared" si="66"/>
        <v/>
      </c>
      <c r="BG34" s="669" t="e">
        <f t="shared" ca="1" si="67"/>
        <v>#NAME?</v>
      </c>
      <c r="BH34" s="669" t="e">
        <f t="shared" ca="1" si="67"/>
        <v>#NAME?</v>
      </c>
      <c r="BI34" s="669" t="e">
        <f t="shared" ca="1" si="67"/>
        <v>#NAME?</v>
      </c>
      <c r="BJ34" s="669" t="e">
        <f t="shared" ca="1" si="67"/>
        <v>#NAME?</v>
      </c>
      <c r="BK34" s="669" t="e">
        <f t="shared" ca="1" si="67"/>
        <v>#NAME?</v>
      </c>
      <c r="BL34" s="669" t="e">
        <f t="shared" ca="1" si="67"/>
        <v>#NAME?</v>
      </c>
      <c r="BM34" s="669" t="e">
        <f t="shared" ca="1" si="67"/>
        <v>#NAME?</v>
      </c>
      <c r="BN34" s="670" t="e">
        <f t="shared" ca="1" si="68"/>
        <v>#NAME?</v>
      </c>
      <c r="BP34" s="485" t="e">
        <f ca="1">IF(OR(DB_LOAD!AW33="USD",DB_LOAD!AW33='Refi-Annual Review'!$A$3,ISBLANK(DB_LOAD!AW33)),0,1)</f>
        <v>#NAME?</v>
      </c>
      <c r="BQ34" t="str">
        <f>(IF(ISBLANK(DB_LOAD!AR33),"",DB_LOAD!AR33))</f>
        <v/>
      </c>
      <c r="BR34" t="str">
        <f t="shared" si="73"/>
        <v/>
      </c>
      <c r="BS34" t="str">
        <f t="shared" si="74"/>
        <v/>
      </c>
      <c r="BT34" t="str">
        <f t="shared" si="75"/>
        <v>5500000250000016064001572600</v>
      </c>
      <c r="BU34" t="str">
        <f t="shared" si="76"/>
        <v/>
      </c>
      <c r="BV34" t="str">
        <f t="shared" si="77"/>
        <v>7777</v>
      </c>
      <c r="BW34" t="str">
        <f t="shared" si="78"/>
        <v/>
      </c>
      <c r="BX34" t="str">
        <f t="shared" si="79"/>
        <v>1111</v>
      </c>
      <c r="CB34" s="683" t="str">
        <f t="shared" si="69"/>
        <v/>
      </c>
      <c r="CC34" s="683" t="str">
        <f t="shared" si="70"/>
        <v/>
      </c>
      <c r="CD34" s="683" t="str">
        <f>IF(CC34="","",VALUE(MID($BZ$5,1+SUM($CC$3:CC33),CC34)))</f>
        <v/>
      </c>
      <c r="CE34"/>
      <c r="CF34" t="str">
        <f>IF(CD34="","",MID($BZ$4,1+SUM($CD$3:CD33),CD34))</f>
        <v/>
      </c>
      <c r="CI34" s="494" t="e">
        <f ca="1">SUMIFS(DB_LOAD!$AU:$AU,DB_LOAD!$AW:$AW,'Refi-Annual Review'!$CJ$1,DB_LOAD!$AR:$AR,'Refi-Annual Review'!$CF34,DB_LOAD!$AP:$AP,'Refi-Annual Review'!$CK$1,DB_LOAD!$AQ:$AQ,'Refi-Annual Review'!CI$2)/DB_LOAD!$K$2</f>
        <v>#DIV/0!</v>
      </c>
      <c r="CJ34" s="494" t="e">
        <f ca="1">SUMIFS(DB_LOAD!$AU:$AU,DB_LOAD!$AW:$AW,'Refi-Annual Review'!$CJ$1,DB_LOAD!$AR:$AR,'Refi-Annual Review'!$CF34,DB_LOAD!$AP:$AP,'Refi-Annual Review'!$CK$1,DB_LOAD!$AQ:$AQ,'Refi-Annual Review'!CJ$2)/DB_LOAD!$K$2</f>
        <v>#DIV/0!</v>
      </c>
      <c r="CK34" s="494" t="e">
        <f ca="1">SUMIFS(DB_LOAD!$AU:$AU,DB_LOAD!$AW:$AW,'Refi-Annual Review'!$CJ$1,DB_LOAD!$AR:$AR,'Refi-Annual Review'!$CF34,DB_LOAD!$AP:$AP,'Refi-Annual Review'!$CK$1,DB_LOAD!$AQ:$AQ,'Refi-Annual Review'!CK$2)/DB_LOAD!$K$2</f>
        <v>#DIV/0!</v>
      </c>
      <c r="CL34" s="494" t="e">
        <f ca="1">SUMIFS(DB_LOAD!$AU:$AU,DB_LOAD!$AW:$AW,'Refi-Annual Review'!$CJ$1,DB_LOAD!$AR:$AR,'Refi-Annual Review'!$CF34,DB_LOAD!$AP:$AP,'Refi-Annual Review'!$CK$1,DB_LOAD!$AQ:$AQ,'Refi-Annual Review'!CL$2)/DB_LOAD!$K$2</f>
        <v>#DIV/0!</v>
      </c>
      <c r="CM34" s="494" t="e">
        <f ca="1">SUMIFS(DB_LOAD!$AU:$AU,DB_LOAD!$AW:$AW,'Refi-Annual Review'!$CJ$1,DB_LOAD!$AR:$AR,'Refi-Annual Review'!$CF34,DB_LOAD!$AP:$AP,'Refi-Annual Review'!$CK$1,DB_LOAD!$AQ:$AQ,'Refi-Annual Review'!CM$2)/DB_LOAD!$K$2</f>
        <v>#DIV/0!</v>
      </c>
      <c r="CN34" s="494" t="e">
        <f ca="1">SUMIFS(DB_LOAD!$AU:$AU,DB_LOAD!$AW:$AW,'Refi-Annual Review'!$CJ$1,DB_LOAD!$AR:$AR,'Refi-Annual Review'!$CF34,DB_LOAD!$AP:$AP,'Refi-Annual Review'!$CK$1,DB_LOAD!$AQ:$AQ,'Refi-Annual Review'!CN$2)/DB_LOAD!$K$2</f>
        <v>#DIV/0!</v>
      </c>
      <c r="CO34" s="494" t="e">
        <f ca="1">SUMIFS(DB_LOAD!$AU:$AU,DB_LOAD!$AW:$AW,'Refi-Annual Review'!$CJ$1,DB_LOAD!$AR:$AR,'Refi-Annual Review'!$CF34,DB_LOAD!$AP:$AP,'Refi-Annual Review'!$CK$1,DB_LOAD!$AQ:$AQ,'Refi-Annual Review'!CO$2)/DB_LOAD!$K$2</f>
        <v>#DIV/0!</v>
      </c>
      <c r="CP34" s="494" t="e">
        <f t="shared" ca="1" si="51"/>
        <v>#DIV/0!</v>
      </c>
      <c r="CR34" s="494">
        <f ca="1">SUMIFS(DB_LOAD!$AV:$AV,DB_LOAD!$AW:$AW,'Refi-Annual Review'!$CS$1,DB_LOAD!$AR:$AR,'Refi-Annual Review'!$CF34,DB_LOAD!$AP:$AP,'Refi-Annual Review'!$CT$1,DB_LOAD!$AQ:$AQ,'Refi-Annual Review'!CR$2)</f>
        <v>0</v>
      </c>
      <c r="CS34" s="494">
        <f ca="1">SUMIFS(DB_LOAD!$AV:$AV,DB_LOAD!$AW:$AW,'Refi-Annual Review'!$CS$1,DB_LOAD!$AR:$AR,'Refi-Annual Review'!$CF34,DB_LOAD!$AP:$AP,'Refi-Annual Review'!$CT$1,DB_LOAD!$AQ:$AQ,'Refi-Annual Review'!CS$2)</f>
        <v>0</v>
      </c>
      <c r="CT34" s="494">
        <f ca="1">SUMIFS(DB_LOAD!$AV:$AV,DB_LOAD!$AW:$AW,'Refi-Annual Review'!$CS$1,DB_LOAD!$AR:$AR,'Refi-Annual Review'!$CF34,DB_LOAD!$AP:$AP,'Refi-Annual Review'!$CT$1,DB_LOAD!$AQ:$AQ,'Refi-Annual Review'!CT$2)</f>
        <v>0</v>
      </c>
      <c r="CU34" s="494">
        <f ca="1">SUMIFS(DB_LOAD!$AV:$AV,DB_LOAD!$AW:$AW,'Refi-Annual Review'!$CS$1,DB_LOAD!$AR:$AR,'Refi-Annual Review'!$CF34,DB_LOAD!$AP:$AP,'Refi-Annual Review'!$CT$1,DB_LOAD!$AQ:$AQ,'Refi-Annual Review'!CU$2)</f>
        <v>0</v>
      </c>
      <c r="CV34" s="494">
        <f ca="1">SUMIFS(DB_LOAD!$AV:$AV,DB_LOAD!$AW:$AW,'Refi-Annual Review'!$CS$1,DB_LOAD!$AR:$AR,'Refi-Annual Review'!$CF34,DB_LOAD!$AP:$AP,'Refi-Annual Review'!$CT$1,DB_LOAD!$AQ:$AQ,'Refi-Annual Review'!CV$2)</f>
        <v>0</v>
      </c>
      <c r="CW34" s="494">
        <f ca="1">SUMIFS(DB_LOAD!$AV:$AV,DB_LOAD!$AW:$AW,'Refi-Annual Review'!$CS$1,DB_LOAD!$AR:$AR,'Refi-Annual Review'!$CF34,DB_LOAD!$AP:$AP,'Refi-Annual Review'!$CT$1,DB_LOAD!$AQ:$AQ,'Refi-Annual Review'!CW$2)</f>
        <v>0</v>
      </c>
      <c r="CX34" s="494">
        <f ca="1">SUMIFS(DB_LOAD!$AV:$AV,DB_LOAD!$AW:$AW,'Refi-Annual Review'!$CS$1,DB_LOAD!$AR:$AR,'Refi-Annual Review'!$CF34,DB_LOAD!$AP:$AP,'Refi-Annual Review'!$CT$1,DB_LOAD!$AQ:$AQ,'Refi-Annual Review'!CX$2)</f>
        <v>0</v>
      </c>
      <c r="CY34" s="494" t="str">
        <f t="shared" ca="1" si="52"/>
        <v/>
      </c>
      <c r="DA34" s="494" t="e">
        <f ca="1">SUMIFS(DB_LOAD!$AU:$AU,DB_LOAD!$AW:$AW,'Refi-Annual Review'!$DB$1,DB_LOAD!$AR:$AR,'Refi-Annual Review'!$CF34,DB_LOAD!$AP:$AP,'Refi-Annual Review'!$DC$1,DB_LOAD!$AQ:$AQ,'Refi-Annual Review'!DA$2)/IF($A$23="No Data Found",1,$A$23)</f>
        <v>#NAME?</v>
      </c>
      <c r="DB34" s="494" t="e">
        <f ca="1">SUMIFS(DB_LOAD!$AU:$AU,DB_LOAD!$AW:$AW,'Refi-Annual Review'!$DB$1,DB_LOAD!$AR:$AR,'Refi-Annual Review'!$CF34,DB_LOAD!$AP:$AP,'Refi-Annual Review'!$DC$1,DB_LOAD!$AQ:$AQ,'Refi-Annual Review'!DB$2)/IF($A$23="No Data Found",1,$A$23)</f>
        <v>#NAME?</v>
      </c>
      <c r="DC34" s="494" t="e">
        <f ca="1">SUMIFS(DB_LOAD!$AU:$AU,DB_LOAD!$AW:$AW,'Refi-Annual Review'!$DB$1,DB_LOAD!$AR:$AR,'Refi-Annual Review'!$CF34,DB_LOAD!$AP:$AP,'Refi-Annual Review'!$DC$1,DB_LOAD!$AQ:$AQ,'Refi-Annual Review'!DC$2)/IF($A$23="No Data Found",1,$A$23)</f>
        <v>#NAME?</v>
      </c>
      <c r="DD34" s="494" t="e">
        <f ca="1">SUMIFS(DB_LOAD!$AU:$AU,DB_LOAD!$AW:$AW,'Refi-Annual Review'!$DB$1,DB_LOAD!$AR:$AR,'Refi-Annual Review'!$CF34,DB_LOAD!$AP:$AP,'Refi-Annual Review'!$DC$1,DB_LOAD!$AQ:$AQ,'Refi-Annual Review'!DD$2)/IF($A$23="No Data Found",1,$A$23)</f>
        <v>#NAME?</v>
      </c>
      <c r="DE34" s="494" t="e">
        <f ca="1">SUMIFS(DB_LOAD!$AU:$AU,DB_LOAD!$AW:$AW,'Refi-Annual Review'!$DB$1,DB_LOAD!$AR:$AR,'Refi-Annual Review'!$CF34,DB_LOAD!$AP:$AP,'Refi-Annual Review'!$DC$1,DB_LOAD!$AQ:$AQ,'Refi-Annual Review'!DE$2)/IF($A$23="No Data Found",1,$A$23)</f>
        <v>#NAME?</v>
      </c>
      <c r="DF34" s="494" t="e">
        <f ca="1">SUMIFS(DB_LOAD!$AU:$AU,DB_LOAD!$AW:$AW,'Refi-Annual Review'!$DB$1,DB_LOAD!$AR:$AR,'Refi-Annual Review'!$CF34,DB_LOAD!$AP:$AP,'Refi-Annual Review'!$DC$1,DB_LOAD!$AQ:$AQ,'Refi-Annual Review'!DF$2)/IF($A$23="No Data Found",1,$A$23)</f>
        <v>#NAME?</v>
      </c>
      <c r="DG34" s="494" t="e">
        <f ca="1">SUMIFS(DB_LOAD!$AU:$AU,DB_LOAD!$AW:$AW,'Refi-Annual Review'!$DB$1,DB_LOAD!$AR:$AR,'Refi-Annual Review'!$CF34,DB_LOAD!$AP:$AP,'Refi-Annual Review'!$DC$1,DB_LOAD!$AQ:$AQ,'Refi-Annual Review'!DG$2)/IF($A$23="No Data Found",1,$A$23)</f>
        <v>#NAME?</v>
      </c>
      <c r="DH34" s="494" t="e">
        <f t="shared" ca="1" si="53"/>
        <v>#NAME?</v>
      </c>
      <c r="DJ34" s="494">
        <f ca="1">SUMIFS(DB_LOAD!$AV:$AV,DB_LOAD!$AW:$AW,'Refi-Annual Review'!$DK$1,DB_LOAD!$AR:$AR,'Refi-Annual Review'!$CF34,DB_LOAD!$AP:$AP,'Refi-Annual Review'!$DL$1,DB_LOAD!$AQ:$AQ,'Refi-Annual Review'!DJ$2)</f>
        <v>0</v>
      </c>
      <c r="DK34" s="494">
        <f ca="1">SUMIFS(DB_LOAD!$AV:$AV,DB_LOAD!$AW:$AW,'Refi-Annual Review'!$DK$1,DB_LOAD!$AR:$AR,'Refi-Annual Review'!$CF34,DB_LOAD!$AP:$AP,'Refi-Annual Review'!$DL$1,DB_LOAD!$AQ:$AQ,'Refi-Annual Review'!DK$2)</f>
        <v>0</v>
      </c>
      <c r="DL34" s="494">
        <f ca="1">SUMIFS(DB_LOAD!$AV:$AV,DB_LOAD!$AW:$AW,'Refi-Annual Review'!$DK$1,DB_LOAD!$AR:$AR,'Refi-Annual Review'!$CF34,DB_LOAD!$AP:$AP,'Refi-Annual Review'!$DL$1,DB_LOAD!$AQ:$AQ,'Refi-Annual Review'!DL$2)</f>
        <v>0</v>
      </c>
      <c r="DM34" s="494">
        <f ca="1">SUMIFS(DB_LOAD!$AV:$AV,DB_LOAD!$AW:$AW,'Refi-Annual Review'!$DK$1,DB_LOAD!$AR:$AR,'Refi-Annual Review'!$CF34,DB_LOAD!$AP:$AP,'Refi-Annual Review'!$DL$1,DB_LOAD!$AQ:$AQ,'Refi-Annual Review'!DM$2)</f>
        <v>0</v>
      </c>
      <c r="DN34" s="494">
        <f ca="1">SUMIFS(DB_LOAD!$AV:$AV,DB_LOAD!$AW:$AW,'Refi-Annual Review'!$DK$1,DB_LOAD!$AR:$AR,'Refi-Annual Review'!$CF34,DB_LOAD!$AP:$AP,'Refi-Annual Review'!$DL$1,DB_LOAD!$AQ:$AQ,'Refi-Annual Review'!DN$2)</f>
        <v>0</v>
      </c>
      <c r="DO34" s="494">
        <f ca="1">SUMIFS(DB_LOAD!$AV:$AV,DB_LOAD!$AW:$AW,'Refi-Annual Review'!$DK$1,DB_LOAD!$AR:$AR,'Refi-Annual Review'!$CF34,DB_LOAD!$AP:$AP,'Refi-Annual Review'!$DL$1,DB_LOAD!$AQ:$AQ,'Refi-Annual Review'!DO$2)</f>
        <v>0</v>
      </c>
      <c r="DP34" s="494">
        <f ca="1">SUMIFS(DB_LOAD!$AV:$AV,DB_LOAD!$AW:$AW,'Refi-Annual Review'!$DK$1,DB_LOAD!$AR:$AR,'Refi-Annual Review'!$CF34,DB_LOAD!$AP:$AP,'Refi-Annual Review'!$DL$1,DB_LOAD!$AQ:$AQ,'Refi-Annual Review'!DP$2)</f>
        <v>0</v>
      </c>
      <c r="DQ34" s="494" t="str">
        <f t="shared" ca="1" si="54"/>
        <v/>
      </c>
      <c r="DS34" s="494">
        <f>SUMIFS(DB_LOAD!$AV:$AV,DB_LOAD!$AW:$AW,'Refi-Annual Review'!$DT$1,DB_LOAD!$AR:$AR,'Refi-Annual Review'!$CF34,DB_LOAD!$AP:$AP,'Refi-Annual Review'!$DU$1,DB_LOAD!$AQ:$AQ,'Refi-Annual Review'!DS$2)</f>
        <v>0</v>
      </c>
      <c r="DT34" s="494">
        <f>SUMIFS(DB_LOAD!$AV:$AV,DB_LOAD!$AW:$AW,'Refi-Annual Review'!$DT$1,DB_LOAD!$AR:$AR,'Refi-Annual Review'!$CF34,DB_LOAD!$AP:$AP,'Refi-Annual Review'!$DU$1,DB_LOAD!$AQ:$AQ,'Refi-Annual Review'!DT$2)</f>
        <v>0</v>
      </c>
      <c r="DU34" s="494">
        <f>SUMIFS(DB_LOAD!$AV:$AV,DB_LOAD!$AW:$AW,'Refi-Annual Review'!$DT$1,DB_LOAD!$AR:$AR,'Refi-Annual Review'!$CF34,DB_LOAD!$AP:$AP,'Refi-Annual Review'!$DU$1,DB_LOAD!$AQ:$AQ,'Refi-Annual Review'!DU$2)</f>
        <v>0</v>
      </c>
      <c r="DV34" s="494">
        <f>SUMIFS(DB_LOAD!$AV:$AV,DB_LOAD!$AW:$AW,'Refi-Annual Review'!$DT$1,DB_LOAD!$AR:$AR,'Refi-Annual Review'!$CF34,DB_LOAD!$AP:$AP,'Refi-Annual Review'!$DU$1,DB_LOAD!$AQ:$AQ,'Refi-Annual Review'!DV$2)</f>
        <v>0</v>
      </c>
      <c r="DW34" s="494">
        <f>SUMIFS(DB_LOAD!$AV:$AV,DB_LOAD!$AW:$AW,'Refi-Annual Review'!$DT$1,DB_LOAD!$AR:$AR,'Refi-Annual Review'!$CF34,DB_LOAD!$AP:$AP,'Refi-Annual Review'!$DU$1,DB_LOAD!$AQ:$AQ,'Refi-Annual Review'!DW$2)</f>
        <v>0</v>
      </c>
      <c r="DX34" s="494">
        <f>SUMIFS(DB_LOAD!$AV:$AV,DB_LOAD!$AW:$AW,'Refi-Annual Review'!$DT$1,DB_LOAD!$AR:$AR,'Refi-Annual Review'!$CF34,DB_LOAD!$AP:$AP,'Refi-Annual Review'!$DU$1,DB_LOAD!$AQ:$AQ,'Refi-Annual Review'!DX$2)</f>
        <v>0</v>
      </c>
      <c r="DY34" s="494">
        <f>SUMIFS(DB_LOAD!$AV:$AV,DB_LOAD!$AW:$AW,'Refi-Annual Review'!$DT$1,DB_LOAD!$AR:$AR,'Refi-Annual Review'!$CF34,DB_LOAD!$AP:$AP,'Refi-Annual Review'!$DU$1,DB_LOAD!$AQ:$AQ,'Refi-Annual Review'!DY$2)</f>
        <v>0</v>
      </c>
      <c r="DZ34" s="494" t="str">
        <f t="shared" si="55"/>
        <v/>
      </c>
    </row>
    <row r="35" spans="3:130" ht="15">
      <c r="C35" s="485">
        <f t="shared" si="25"/>
        <v>36</v>
      </c>
      <c r="D35" s="493" t="s">
        <v>4</v>
      </c>
      <c r="E35" s="568"/>
      <c r="F35" s="496" t="e">
        <f ca="1">F145/F$120</f>
        <v>#N/A</v>
      </c>
      <c r="G35" s="496" t="e">
        <f ca="1">G145/G$120</f>
        <v>#N/A</v>
      </c>
      <c r="H35" s="496" t="e">
        <f ca="1">H145/H$120</f>
        <v>#N/A</v>
      </c>
      <c r="I35" s="496" t="e">
        <f ca="1">I145/I$120</f>
        <v>#N/A</v>
      </c>
      <c r="J35" s="496" t="e">
        <f ca="1">J145/J$120</f>
        <v>#N/A</v>
      </c>
      <c r="K35" s="496"/>
      <c r="L35" s="496" t="e">
        <f ca="1">L145/L$120</f>
        <v>#NAME?</v>
      </c>
      <c r="M35" s="496" t="e">
        <f ca="1">M145/M$120</f>
        <v>#NAME?</v>
      </c>
      <c r="N35" s="496" t="e">
        <f ca="1">N145/N$120</f>
        <v>#NAME?</v>
      </c>
      <c r="O35" s="496" t="e">
        <f ca="1">O145/O$120</f>
        <v>#NAME?</v>
      </c>
      <c r="P35" s="496"/>
      <c r="Q35" s="496" t="e">
        <f ca="1">Q145/Q$120</f>
        <v>#NAME?</v>
      </c>
      <c r="R35" s="496" t="e">
        <f ca="1">R145/R$120</f>
        <v>#NAME?</v>
      </c>
      <c r="S35" s="496"/>
      <c r="T35" s="496"/>
      <c r="U35" s="496"/>
      <c r="AJ35" s="493" t="s">
        <v>4</v>
      </c>
      <c r="AK35" s="496" t="e">
        <f t="shared" ca="1" si="49"/>
        <v>#N/A</v>
      </c>
      <c r="AL35" s="496" t="e">
        <f t="shared" ca="1" si="49"/>
        <v>#N/A</v>
      </c>
      <c r="AM35" s="496" t="e">
        <f t="shared" ca="1" si="49"/>
        <v>#N/A</v>
      </c>
      <c r="AN35" s="496" t="e">
        <f t="shared" ca="1" si="49"/>
        <v>#N/A</v>
      </c>
      <c r="AO35" s="496" t="e">
        <f t="shared" ca="1" si="48"/>
        <v>#NAME?</v>
      </c>
      <c r="AP35" s="496" t="e">
        <f t="shared" ca="1" si="48"/>
        <v>#NAME?</v>
      </c>
      <c r="BD35" s="485" t="s">
        <v>140</v>
      </c>
      <c r="BE35" s="485" t="e">
        <f t="shared" ca="1" si="65"/>
        <v>#NAME?</v>
      </c>
      <c r="BF35" s="651" t="str">
        <f t="shared" si="66"/>
        <v/>
      </c>
      <c r="BG35" s="669" t="e">
        <f t="shared" ca="1" si="67"/>
        <v>#NAME?</v>
      </c>
      <c r="BH35" s="669" t="e">
        <f t="shared" ca="1" si="67"/>
        <v>#NAME?</v>
      </c>
      <c r="BI35" s="669" t="e">
        <f t="shared" ca="1" si="67"/>
        <v>#NAME?</v>
      </c>
      <c r="BJ35" s="669" t="e">
        <f t="shared" ca="1" si="67"/>
        <v>#NAME?</v>
      </c>
      <c r="BK35" s="669" t="e">
        <f t="shared" ca="1" si="67"/>
        <v>#NAME?</v>
      </c>
      <c r="BL35" s="669" t="e">
        <f t="shared" ca="1" si="67"/>
        <v>#NAME?</v>
      </c>
      <c r="BM35" s="669" t="e">
        <f t="shared" ca="1" si="67"/>
        <v>#NAME?</v>
      </c>
      <c r="BN35" s="670" t="e">
        <f t="shared" ca="1" si="68"/>
        <v>#NAME?</v>
      </c>
      <c r="BP35" s="485" t="e">
        <f ca="1">IF(OR(DB_LOAD!AW34="USD",DB_LOAD!AW34='Refi-Annual Review'!$A$3,ISBLANK(DB_LOAD!AW34)),0,1)</f>
        <v>#NAME?</v>
      </c>
      <c r="BQ35" t="str">
        <f>(IF(ISBLANK(DB_LOAD!AR34),"",DB_LOAD!AR34))</f>
        <v/>
      </c>
      <c r="BR35" t="str">
        <f t="shared" si="73"/>
        <v/>
      </c>
      <c r="BS35" t="str">
        <f t="shared" si="74"/>
        <v/>
      </c>
      <c r="BT35" t="str">
        <f t="shared" si="75"/>
        <v>5500000250000016064001572600</v>
      </c>
      <c r="BU35" t="str">
        <f t="shared" si="76"/>
        <v/>
      </c>
      <c r="BV35" t="str">
        <f t="shared" si="77"/>
        <v>7777</v>
      </c>
      <c r="BW35" t="str">
        <f t="shared" si="78"/>
        <v/>
      </c>
      <c r="BX35" t="str">
        <f t="shared" si="79"/>
        <v>1111</v>
      </c>
      <c r="CB35" s="683" t="str">
        <f t="shared" si="69"/>
        <v/>
      </c>
      <c r="CC35" s="683" t="str">
        <f t="shared" si="70"/>
        <v/>
      </c>
      <c r="CD35" s="683" t="str">
        <f>IF(CC35="","",VALUE(MID($BZ$5,1+SUM($CC$3:CC34),CC35)))</f>
        <v/>
      </c>
      <c r="CE35"/>
      <c r="CF35" t="str">
        <f>IF(CD35="","",MID($BZ$4,1+SUM($CD$3:CD34),CD35))</f>
        <v/>
      </c>
    </row>
    <row r="36" spans="3:130" ht="15">
      <c r="C36" s="485">
        <f t="shared" si="25"/>
        <v>37</v>
      </c>
      <c r="AK36" s="486"/>
      <c r="AL36" s="486"/>
      <c r="AM36" s="486"/>
      <c r="AN36" s="486"/>
      <c r="AO36" s="486"/>
      <c r="BD36" s="485" t="s">
        <v>140</v>
      </c>
      <c r="BE36" s="485" t="e">
        <f t="shared" ca="1" si="65"/>
        <v>#NAME?</v>
      </c>
      <c r="BF36" s="651" t="str">
        <f t="shared" si="66"/>
        <v/>
      </c>
      <c r="BG36" s="669" t="e">
        <f t="shared" ref="BG36:BM38" ca="1" si="82">IF(CR30+DA30=0,"",CR30+DA30)</f>
        <v>#NAME?</v>
      </c>
      <c r="BH36" s="669" t="e">
        <f t="shared" ca="1" si="82"/>
        <v>#NAME?</v>
      </c>
      <c r="BI36" s="669" t="e">
        <f t="shared" ca="1" si="82"/>
        <v>#NAME?</v>
      </c>
      <c r="BJ36" s="669" t="e">
        <f t="shared" ca="1" si="82"/>
        <v>#NAME?</v>
      </c>
      <c r="BK36" s="669" t="e">
        <f t="shared" ca="1" si="82"/>
        <v>#NAME?</v>
      </c>
      <c r="BL36" s="669" t="e">
        <f t="shared" ca="1" si="82"/>
        <v>#NAME?</v>
      </c>
      <c r="BM36" s="669" t="e">
        <f t="shared" ca="1" si="82"/>
        <v>#NAME?</v>
      </c>
      <c r="BN36" s="670" t="e">
        <f t="shared" ca="1" si="68"/>
        <v>#NAME?</v>
      </c>
      <c r="BP36" s="485" t="e">
        <f ca="1">IF(OR(DB_LOAD!AW35="USD",DB_LOAD!AW35='Refi-Annual Review'!$A$3,ISBLANK(DB_LOAD!AW35)),0,1)</f>
        <v>#NAME?</v>
      </c>
      <c r="BQ36" t="str">
        <f>(IF(ISBLANK(DB_LOAD!AR35),"",DB_LOAD!AR35))</f>
        <v/>
      </c>
      <c r="BR36" t="str">
        <f t="shared" si="73"/>
        <v/>
      </c>
      <c r="BS36" t="str">
        <f t="shared" si="74"/>
        <v/>
      </c>
      <c r="BT36" t="str">
        <f t="shared" si="75"/>
        <v>5500000250000016064001572600</v>
      </c>
      <c r="BU36" t="str">
        <f t="shared" si="76"/>
        <v/>
      </c>
      <c r="BV36" t="str">
        <f t="shared" si="77"/>
        <v>7777</v>
      </c>
      <c r="BW36" t="str">
        <f t="shared" si="78"/>
        <v/>
      </c>
      <c r="BX36" t="str">
        <f t="shared" si="79"/>
        <v>1111</v>
      </c>
      <c r="CB36" s="683" t="str">
        <f t="shared" si="69"/>
        <v/>
      </c>
      <c r="CC36" s="683" t="str">
        <f t="shared" si="70"/>
        <v/>
      </c>
      <c r="CD36" s="683" t="str">
        <f>IF(CC36="","",VALUE(MID($BZ$5,1+SUM($CC$3:CC35),CC36)))</f>
        <v/>
      </c>
      <c r="CE36"/>
      <c r="CF36" t="str">
        <f>IF(CD36="","",MID($BZ$4,1+SUM($CD$3:CD35),CD36))</f>
        <v/>
      </c>
    </row>
    <row r="37" spans="3:130" ht="15">
      <c r="C37" s="485">
        <f t="shared" si="25"/>
        <v>38</v>
      </c>
      <c r="D37" s="493" t="s">
        <v>394</v>
      </c>
      <c r="E37" s="568"/>
      <c r="G37" s="496" t="e">
        <f ca="1">G27-SUM(G28:G30)</f>
        <v>#VALUE!</v>
      </c>
      <c r="H37" s="496" t="e">
        <f ca="1">H27-SUM(H28:H30)</f>
        <v>#VALUE!</v>
      </c>
      <c r="I37" s="496" t="e">
        <f ca="1">I27-SUM(I28:I30)</f>
        <v>#VALUE!</v>
      </c>
      <c r="J37" s="496" t="e">
        <f ca="1">J27-SUM(J28:J30)</f>
        <v>#VALUE!</v>
      </c>
      <c r="K37" s="496"/>
      <c r="L37" s="496" t="e">
        <f ca="1">L27-SUM(L28:L30)</f>
        <v>#VALUE!</v>
      </c>
      <c r="M37" s="496" t="e">
        <f ca="1">M27-SUM(M28:M30)</f>
        <v>#VALUE!</v>
      </c>
      <c r="N37" s="496" t="e">
        <f ca="1">N27-SUM(N28:N30)</f>
        <v>#VALUE!</v>
      </c>
      <c r="O37" s="496" t="e">
        <f ca="1">O27-SUM(O28:O30)</f>
        <v>#VALUE!</v>
      </c>
      <c r="P37" s="496"/>
      <c r="Q37" s="496" t="e">
        <f ca="1">Q27-SUM(Q28:Q30)</f>
        <v>#NAME?</v>
      </c>
      <c r="R37" s="496" t="e">
        <f ca="1">R27-SUM(R28:R30)</f>
        <v>#NAME?</v>
      </c>
      <c r="AJ37" s="493" t="s">
        <v>394</v>
      </c>
      <c r="AK37" s="496" t="e">
        <f t="shared" ref="AK37:AN37" ca="1" si="83">HLOOKUP(AK$4,$G$1:$O$213,$C37-1,FALSE)</f>
        <v>#N/A</v>
      </c>
      <c r="AL37" s="496" t="e">
        <f t="shared" ca="1" si="83"/>
        <v>#N/A</v>
      </c>
      <c r="AM37" s="496" t="e">
        <f t="shared" ca="1" si="83"/>
        <v>#N/A</v>
      </c>
      <c r="AN37" s="496" t="e">
        <f t="shared" ca="1" si="83"/>
        <v>#N/A</v>
      </c>
      <c r="AO37" s="496" t="e">
        <f ca="1">Q37</f>
        <v>#NAME?</v>
      </c>
      <c r="AP37" s="496" t="e">
        <f ca="1">R37</f>
        <v>#NAME?</v>
      </c>
      <c r="BD37" s="485" t="s">
        <v>140</v>
      </c>
      <c r="BE37" s="485" t="e">
        <f t="shared" ca="1" si="65"/>
        <v>#NAME?</v>
      </c>
      <c r="BF37" s="651" t="str">
        <f t="shared" si="66"/>
        <v/>
      </c>
      <c r="BG37" s="669" t="e">
        <f t="shared" ca="1" si="82"/>
        <v>#NAME?</v>
      </c>
      <c r="BH37" s="669" t="e">
        <f t="shared" ca="1" si="82"/>
        <v>#NAME?</v>
      </c>
      <c r="BI37" s="669" t="e">
        <f t="shared" ca="1" si="82"/>
        <v>#NAME?</v>
      </c>
      <c r="BJ37" s="669" t="e">
        <f t="shared" ca="1" si="82"/>
        <v>#NAME?</v>
      </c>
      <c r="BK37" s="669" t="e">
        <f t="shared" ca="1" si="82"/>
        <v>#NAME?</v>
      </c>
      <c r="BL37" s="669" t="e">
        <f t="shared" ca="1" si="82"/>
        <v>#NAME?</v>
      </c>
      <c r="BM37" s="669" t="e">
        <f t="shared" ca="1" si="82"/>
        <v>#NAME?</v>
      </c>
      <c r="BN37" s="670" t="e">
        <f t="shared" ca="1" si="68"/>
        <v>#NAME?</v>
      </c>
      <c r="BP37" s="485" t="e">
        <f ca="1">IF(OR(DB_LOAD!AW36="USD",DB_LOAD!AW36='Refi-Annual Review'!$A$3,ISBLANK(DB_LOAD!AW36)),0,1)</f>
        <v>#NAME?</v>
      </c>
      <c r="BQ37" t="str">
        <f>(IF(ISBLANK(DB_LOAD!AR36),"",DB_LOAD!AR36))</f>
        <v/>
      </c>
      <c r="BR37" t="str">
        <f t="shared" si="73"/>
        <v/>
      </c>
      <c r="BS37" t="str">
        <f t="shared" si="74"/>
        <v/>
      </c>
      <c r="BT37" t="str">
        <f t="shared" si="75"/>
        <v>5500000250000016064001572600</v>
      </c>
      <c r="BU37" t="str">
        <f t="shared" si="76"/>
        <v/>
      </c>
      <c r="BV37" t="str">
        <f t="shared" si="77"/>
        <v>7777</v>
      </c>
      <c r="BW37" t="str">
        <f t="shared" si="78"/>
        <v/>
      </c>
      <c r="BX37" t="str">
        <f t="shared" si="79"/>
        <v>1111</v>
      </c>
      <c r="CB37" s="683" t="str">
        <f t="shared" si="69"/>
        <v/>
      </c>
      <c r="CC37" s="683" t="str">
        <f t="shared" si="70"/>
        <v/>
      </c>
      <c r="CD37" s="683" t="str">
        <f>IF(CC37="","",VALUE(MID($BZ$5,1+SUM($CC$3:CC36),CC37)))</f>
        <v/>
      </c>
      <c r="CE37"/>
      <c r="CF37" t="str">
        <f>IF(CD37="","",MID($BZ$4,1+SUM($CD$3:CD36),CD37))</f>
        <v/>
      </c>
    </row>
    <row r="38" spans="3:130" ht="15">
      <c r="C38" s="485">
        <f t="shared" si="25"/>
        <v>39</v>
      </c>
      <c r="AK38" s="486"/>
      <c r="AL38" s="486"/>
      <c r="AM38" s="486"/>
      <c r="AN38" s="486"/>
      <c r="AO38" s="486"/>
      <c r="BD38" s="485" t="s">
        <v>140</v>
      </c>
      <c r="BE38" s="485" t="e">
        <f t="shared" ca="1" si="65"/>
        <v>#NAME?</v>
      </c>
      <c r="BF38" s="651" t="str">
        <f t="shared" si="66"/>
        <v/>
      </c>
      <c r="BG38" s="669" t="e">
        <f t="shared" ca="1" si="82"/>
        <v>#NAME?</v>
      </c>
      <c r="BH38" s="669" t="e">
        <f t="shared" ca="1" si="82"/>
        <v>#NAME?</v>
      </c>
      <c r="BI38" s="669" t="e">
        <f t="shared" ca="1" si="82"/>
        <v>#NAME?</v>
      </c>
      <c r="BJ38" s="669" t="e">
        <f t="shared" ca="1" si="82"/>
        <v>#NAME?</v>
      </c>
      <c r="BK38" s="669" t="e">
        <f t="shared" ca="1" si="82"/>
        <v>#NAME?</v>
      </c>
      <c r="BL38" s="669" t="e">
        <f t="shared" ca="1" si="82"/>
        <v>#NAME?</v>
      </c>
      <c r="BM38" s="669" t="e">
        <f t="shared" ca="1" si="82"/>
        <v>#NAME?</v>
      </c>
      <c r="BN38" s="670" t="e">
        <f t="shared" ca="1" si="68"/>
        <v>#NAME?</v>
      </c>
      <c r="BP38" s="485" t="e">
        <f ca="1">IF(OR(DB_LOAD!AW37="USD",DB_LOAD!AW37='Refi-Annual Review'!$A$3,ISBLANK(DB_LOAD!AW37)),0,1)</f>
        <v>#NAME?</v>
      </c>
      <c r="BQ38" t="str">
        <f>(IF(ISBLANK(DB_LOAD!AR37),"",DB_LOAD!AR37))</f>
        <v/>
      </c>
      <c r="BR38" t="str">
        <f t="shared" si="73"/>
        <v/>
      </c>
      <c r="BS38" t="str">
        <f t="shared" si="74"/>
        <v/>
      </c>
      <c r="BT38" t="str">
        <f t="shared" si="75"/>
        <v>5500000250000016064001572600</v>
      </c>
      <c r="BU38" t="str">
        <f t="shared" si="76"/>
        <v/>
      </c>
      <c r="BV38" t="str">
        <f t="shared" si="77"/>
        <v>7777</v>
      </c>
      <c r="BW38" t="str">
        <f t="shared" si="78"/>
        <v/>
      </c>
      <c r="BX38" t="str">
        <f t="shared" si="79"/>
        <v>1111</v>
      </c>
      <c r="CB38" s="683" t="str">
        <f t="shared" si="69"/>
        <v/>
      </c>
      <c r="CC38" s="683" t="str">
        <f t="shared" si="70"/>
        <v/>
      </c>
      <c r="CD38" s="683" t="str">
        <f>IF(CC38="","",VALUE(MID($BZ$5,1+SUM($CC$3:CC37),CC38)))</f>
        <v/>
      </c>
      <c r="CE38"/>
      <c r="CF38" t="str">
        <f>IF(CD38="","",MID($BZ$4,1+SUM($CD$3:CD37),CD38))</f>
        <v/>
      </c>
    </row>
    <row r="39" spans="3:130" ht="15">
      <c r="C39" s="485">
        <f t="shared" si="25"/>
        <v>40</v>
      </c>
      <c r="F39" s="536" t="s">
        <v>54</v>
      </c>
      <c r="G39" s="536" t="s">
        <v>54</v>
      </c>
      <c r="H39" s="536" t="s">
        <v>54</v>
      </c>
      <c r="I39" s="536" t="s">
        <v>54</v>
      </c>
      <c r="J39" s="536" t="s">
        <v>54</v>
      </c>
      <c r="K39" s="537"/>
      <c r="L39" s="536" t="s">
        <v>53</v>
      </c>
      <c r="M39" s="536" t="s">
        <v>53</v>
      </c>
      <c r="N39" s="536" t="s">
        <v>53</v>
      </c>
      <c r="O39" s="536" t="s">
        <v>53</v>
      </c>
      <c r="P39" s="538"/>
      <c r="Q39" s="536" t="s">
        <v>53</v>
      </c>
      <c r="R39" s="536" t="s">
        <v>53</v>
      </c>
      <c r="AK39" s="536" t="str">
        <f ca="1">AK6</f>
        <v>No Financials</v>
      </c>
      <c r="AL39" s="536" t="str">
        <f ca="1">AL6</f>
        <v>No Financials</v>
      </c>
      <c r="AM39" s="536" t="str">
        <f t="shared" ref="AM39:AN40" ca="1" si="84">AM6</f>
        <v>No Financials</v>
      </c>
      <c r="AN39" s="536" t="str">
        <f t="shared" ca="1" si="84"/>
        <v>No Financials</v>
      </c>
      <c r="AO39" s="536" t="str">
        <f t="shared" ref="AO39:AP45" si="85">Q39</f>
        <v>Unaudited</v>
      </c>
      <c r="AP39" s="489" t="str">
        <f t="shared" si="85"/>
        <v>Unaudited</v>
      </c>
      <c r="BF39" s="652" t="s">
        <v>477</v>
      </c>
      <c r="BG39" s="671" t="e">
        <f t="shared" ref="BG39:BM39" ca="1" si="86">IF(SUM(BG9:BG38)=0,"",SUM(BG9:BG38))</f>
        <v>#NAME?</v>
      </c>
      <c r="BH39" s="671" t="e">
        <f t="shared" ca="1" si="86"/>
        <v>#NAME?</v>
      </c>
      <c r="BI39" s="671" t="e">
        <f t="shared" ca="1" si="86"/>
        <v>#NAME?</v>
      </c>
      <c r="BJ39" s="671" t="e">
        <f t="shared" ca="1" si="86"/>
        <v>#NAME?</v>
      </c>
      <c r="BK39" s="671" t="e">
        <f t="shared" ca="1" si="86"/>
        <v>#NAME?</v>
      </c>
      <c r="BL39" s="671" t="e">
        <f t="shared" ca="1" si="86"/>
        <v>#NAME?</v>
      </c>
      <c r="BM39" s="671" t="e">
        <f t="shared" ca="1" si="86"/>
        <v>#NAME?</v>
      </c>
      <c r="BN39" s="837" t="e">
        <f t="shared" ref="BN39" ca="1" si="87">SUM(BG39:BM39)</f>
        <v>#NAME?</v>
      </c>
      <c r="BP39" s="485" t="e">
        <f ca="1">IF(OR(DB_LOAD!AW38="USD",DB_LOAD!AW38='Refi-Annual Review'!$A$3,ISBLANK(DB_LOAD!AW38)),0,1)</f>
        <v>#NAME?</v>
      </c>
      <c r="BQ39" t="str">
        <f>(IF(ISBLANK(DB_LOAD!AR38),"",DB_LOAD!AR38))</f>
        <v/>
      </c>
      <c r="BR39" t="str">
        <f t="shared" si="73"/>
        <v/>
      </c>
      <c r="BS39" t="str">
        <f t="shared" si="74"/>
        <v/>
      </c>
      <c r="BT39" t="str">
        <f t="shared" si="75"/>
        <v>5500000250000016064001572600</v>
      </c>
      <c r="BU39" t="str">
        <f t="shared" si="76"/>
        <v/>
      </c>
      <c r="BV39" t="str">
        <f t="shared" si="77"/>
        <v>7777</v>
      </c>
      <c r="BW39" t="str">
        <f t="shared" si="78"/>
        <v/>
      </c>
      <c r="BX39" t="str">
        <f t="shared" si="79"/>
        <v>1111</v>
      </c>
      <c r="CB39" s="683" t="str">
        <f t="shared" si="69"/>
        <v/>
      </c>
      <c r="CC39" s="683" t="str">
        <f t="shared" si="70"/>
        <v/>
      </c>
      <c r="CD39" s="683" t="str">
        <f>IF(CC39="","",VALUE(MID($BZ$5,1+SUM($CC$3:CC38),CC39)))</f>
        <v/>
      </c>
      <c r="CE39"/>
      <c r="CF39" t="str">
        <f>IF(CD39="","",MID($BZ$4,1+SUM($CD$3:CD38),CD39))</f>
        <v/>
      </c>
    </row>
    <row r="40" spans="3:130" ht="15">
      <c r="C40" s="485">
        <f t="shared" si="25"/>
        <v>41</v>
      </c>
      <c r="D40" s="490" t="s">
        <v>26</v>
      </c>
      <c r="E40" s="568"/>
      <c r="F40" s="539">
        <f>F23</f>
        <v>2010</v>
      </c>
      <c r="G40" s="539">
        <f>G23</f>
        <v>2011</v>
      </c>
      <c r="H40" s="539">
        <f>H23</f>
        <v>2012</v>
      </c>
      <c r="I40" s="539">
        <f>I23</f>
        <v>2013</v>
      </c>
      <c r="J40" s="539">
        <f>J23</f>
        <v>2014</v>
      </c>
      <c r="K40" s="540"/>
      <c r="L40" s="539">
        <f>L23</f>
        <v>2011</v>
      </c>
      <c r="M40" s="539">
        <f>M23</f>
        <v>2012</v>
      </c>
      <c r="N40" s="539">
        <f>N23</f>
        <v>2013</v>
      </c>
      <c r="O40" s="539">
        <f>O23</f>
        <v>2014</v>
      </c>
      <c r="P40" s="541"/>
      <c r="Q40" s="539" t="str">
        <f>Q23</f>
        <v>YTD Jan-00</v>
      </c>
      <c r="R40" s="539" t="str">
        <f>R23</f>
        <v>LTM Jan-00</v>
      </c>
      <c r="AJ40" s="490" t="s">
        <v>26</v>
      </c>
      <c r="AK40" s="539">
        <f ca="1">AK7</f>
        <v>-3</v>
      </c>
      <c r="AL40" s="539">
        <f ca="1">AL7</f>
        <v>-2</v>
      </c>
      <c r="AM40" s="539">
        <f t="shared" ca="1" si="84"/>
        <v>-1</v>
      </c>
      <c r="AN40" s="539">
        <f t="shared" ca="1" si="84"/>
        <v>0</v>
      </c>
      <c r="AO40" s="539" t="str">
        <f t="shared" si="85"/>
        <v>YTD Jan-00</v>
      </c>
      <c r="AP40" s="491" t="str">
        <f t="shared" si="85"/>
        <v>LTM Jan-00</v>
      </c>
      <c r="BF40" s="653" t="e">
        <f ca="1">"Debt ("&amp;A3&amp;")"</f>
        <v>#NAME?</v>
      </c>
      <c r="BG40" s="673" t="str">
        <f t="shared" ref="BG40:BN40" si="88">BG8</f>
        <v>SIMF I</v>
      </c>
      <c r="BH40" s="673" t="str">
        <f t="shared" si="88"/>
        <v>SIMF II</v>
      </c>
      <c r="BI40" s="673" t="str">
        <f t="shared" si="88"/>
        <v>DWMF</v>
      </c>
      <c r="BJ40" s="673" t="str">
        <f t="shared" si="88"/>
        <v>DWMF-Q</v>
      </c>
      <c r="BK40" s="673" t="str">
        <f t="shared" si="88"/>
        <v>DWMF-J</v>
      </c>
      <c r="BL40" s="673" t="str">
        <f t="shared" si="88"/>
        <v>XXEB</v>
      </c>
      <c r="BM40" s="673" t="str">
        <f t="shared" si="88"/>
        <v>OTHER</v>
      </c>
      <c r="BN40" s="674" t="str">
        <f t="shared" si="88"/>
        <v>Total</v>
      </c>
      <c r="BP40" s="485" t="e">
        <f ca="1">IF(OR(DB_LOAD!AW39="USD",DB_LOAD!AW39='Refi-Annual Review'!$A$3,ISBLANK(DB_LOAD!AW39)),0,1)</f>
        <v>#NAME?</v>
      </c>
      <c r="BQ40" t="str">
        <f>(IF(ISBLANK(DB_LOAD!AR39),"",DB_LOAD!AR39))</f>
        <v/>
      </c>
      <c r="BR40" t="str">
        <f t="shared" si="73"/>
        <v/>
      </c>
      <c r="BS40" t="str">
        <f t="shared" si="74"/>
        <v/>
      </c>
      <c r="BT40" t="str">
        <f t="shared" si="75"/>
        <v>5500000250000016064001572600</v>
      </c>
      <c r="BU40" t="str">
        <f t="shared" si="76"/>
        <v/>
      </c>
      <c r="BV40" t="str">
        <f t="shared" si="77"/>
        <v>7777</v>
      </c>
      <c r="BW40" t="str">
        <f t="shared" si="78"/>
        <v/>
      </c>
      <c r="BX40" t="str">
        <f t="shared" si="79"/>
        <v>1111</v>
      </c>
      <c r="CB40" s="683" t="str">
        <f t="shared" si="69"/>
        <v/>
      </c>
      <c r="CC40" s="683" t="str">
        <f t="shared" si="70"/>
        <v/>
      </c>
      <c r="CD40" s="683" t="str">
        <f>IF(CC40="","",VALUE(MID($BZ$5,1+SUM($CC$3:CC39),CC40)))</f>
        <v/>
      </c>
      <c r="CE40"/>
      <c r="CF40" t="str">
        <f>IF(CD40="","",MID($BZ$4,1+SUM($CD$3:CD39),CD40))</f>
        <v/>
      </c>
    </row>
    <row r="41" spans="3:130" ht="15">
      <c r="C41" s="485">
        <f t="shared" si="25"/>
        <v>42</v>
      </c>
      <c r="D41" s="493" t="s">
        <v>390</v>
      </c>
      <c r="E41" s="568"/>
      <c r="F41" s="542" t="e">
        <f ca="1">F10/F11</f>
        <v>#N/A</v>
      </c>
      <c r="G41" s="542" t="e">
        <f ca="1">G10/G11</f>
        <v>#N/A</v>
      </c>
      <c r="H41" s="542" t="e">
        <f ca="1">H10/H11</f>
        <v>#N/A</v>
      </c>
      <c r="I41" s="542" t="e">
        <f ca="1">I10/I11</f>
        <v>#N/A</v>
      </c>
      <c r="J41" s="542" t="e">
        <f ca="1">J10/J11</f>
        <v>#N/A</v>
      </c>
      <c r="K41" s="542"/>
      <c r="L41" s="542" t="e">
        <f>L10/L11</f>
        <v>#NAME?</v>
      </c>
      <c r="M41" s="542" t="e">
        <f>M10/M11</f>
        <v>#NAME?</v>
      </c>
      <c r="N41" s="542" t="e">
        <f>N10/N11</f>
        <v>#NAME?</v>
      </c>
      <c r="O41" s="542" t="e">
        <f>O10/O11</f>
        <v>#NAME?</v>
      </c>
      <c r="P41" s="542"/>
      <c r="Q41" s="542" t="e">
        <f>Q10/Q11</f>
        <v>#NAME?</v>
      </c>
      <c r="R41" s="542" t="e">
        <f>R10/R11</f>
        <v>#NAME?</v>
      </c>
      <c r="S41" s="542"/>
      <c r="T41" s="542"/>
      <c r="U41" s="494" t="e">
        <f>U10/U11</f>
        <v>#NAME?</v>
      </c>
      <c r="AJ41" s="493" t="s">
        <v>390</v>
      </c>
      <c r="AK41" s="542" t="e">
        <f t="shared" ref="AK41:AN45" ca="1" si="89">HLOOKUP(AK$4,$G$1:$O$213,$C41-1,FALSE)</f>
        <v>#N/A</v>
      </c>
      <c r="AL41" s="542" t="e">
        <f t="shared" ca="1" si="89"/>
        <v>#N/A</v>
      </c>
      <c r="AM41" s="542" t="e">
        <f t="shared" ca="1" si="89"/>
        <v>#N/A</v>
      </c>
      <c r="AN41" s="542" t="e">
        <f t="shared" ca="1" si="89"/>
        <v>#N/A</v>
      </c>
      <c r="AO41" s="542" t="e">
        <f t="shared" si="85"/>
        <v>#NAME?</v>
      </c>
      <c r="AP41" s="494" t="e">
        <f t="shared" si="85"/>
        <v>#NAME?</v>
      </c>
      <c r="BE41" s="485" t="e">
        <f t="shared" ref="BE41:BE70" ca="1" si="90">IF(OR(BN41=0,BN41=""),1,"")</f>
        <v>#DIV/0!</v>
      </c>
      <c r="BF41" s="654" t="str">
        <f t="shared" ref="BF41:BF70" si="91">CF3</f>
        <v>5500000</v>
      </c>
      <c r="BG41" s="675" t="e">
        <f t="shared" ref="BG41:BG67" ca="1" si="92">IF(CI3=0,"",CI3)</f>
        <v>#DIV/0!</v>
      </c>
      <c r="BH41" s="675" t="e">
        <f t="shared" ref="BH41:BH67" ca="1" si="93">IF(CJ3=0,"",CJ3)</f>
        <v>#DIV/0!</v>
      </c>
      <c r="BI41" s="675" t="e">
        <f t="shared" ref="BI41:BI67" ca="1" si="94">IF(CK3=0,"",CK3)</f>
        <v>#DIV/0!</v>
      </c>
      <c r="BJ41" s="675" t="e">
        <f t="shared" ref="BJ41:BJ67" ca="1" si="95">IF(CL3=0,"",CL3)</f>
        <v>#DIV/0!</v>
      </c>
      <c r="BK41" s="675" t="e">
        <f t="shared" ref="BK41:BK67" ca="1" si="96">IF(CM3=0,"",CM3)</f>
        <v>#DIV/0!</v>
      </c>
      <c r="BL41" s="675" t="e">
        <f t="shared" ref="BL41:BL67" ca="1" si="97">IF(CN3=0,"",CN3)</f>
        <v>#DIV/0!</v>
      </c>
      <c r="BM41" s="675" t="e">
        <f t="shared" ref="BM41:BM67" ca="1" si="98">IF(CO3=0,"",CO3)</f>
        <v>#DIV/0!</v>
      </c>
      <c r="BN41" s="670" t="e">
        <f ca="1">IF(SUM(BG41:BM41)=0,"",SUM(BG41:BM41))</f>
        <v>#DIV/0!</v>
      </c>
      <c r="BP41" s="485" t="e">
        <f ca="1">IF(OR(DB_LOAD!AW40="USD",DB_LOAD!AW40='Refi-Annual Review'!$A$3,ISBLANK(DB_LOAD!AW40)),0,1)</f>
        <v>#NAME?</v>
      </c>
      <c r="BQ41" t="str">
        <f>(IF(ISBLANK(DB_LOAD!AR40),"",DB_LOAD!AR40))</f>
        <v/>
      </c>
      <c r="BR41" t="str">
        <f t="shared" si="73"/>
        <v/>
      </c>
      <c r="BS41" t="str">
        <f t="shared" si="74"/>
        <v/>
      </c>
      <c r="BT41" t="str">
        <f t="shared" si="75"/>
        <v>5500000250000016064001572600</v>
      </c>
      <c r="BU41" t="str">
        <f t="shared" si="76"/>
        <v/>
      </c>
      <c r="BV41" t="str">
        <f t="shared" si="77"/>
        <v>7777</v>
      </c>
      <c r="BW41" t="str">
        <f t="shared" si="78"/>
        <v/>
      </c>
      <c r="BX41" t="str">
        <f t="shared" si="79"/>
        <v>1111</v>
      </c>
      <c r="CB41" s="683" t="str">
        <f t="shared" si="69"/>
        <v/>
      </c>
      <c r="CC41" s="683" t="str">
        <f t="shared" si="70"/>
        <v/>
      </c>
      <c r="CD41" s="683" t="str">
        <f>IF(CC41="","",VALUE(MID($BZ$5,1+SUM($CC$3:CC40),CC41)))</f>
        <v/>
      </c>
      <c r="CE41"/>
      <c r="CF41" t="str">
        <f>IF(CD41="","",MID($BZ$4,1+SUM($CD$3:CD40),CD41))</f>
        <v/>
      </c>
    </row>
    <row r="42" spans="3:130" ht="15">
      <c r="C42" s="485">
        <f t="shared" si="25"/>
        <v>43</v>
      </c>
      <c r="D42" s="493" t="str">
        <f>"Loan Officer Productivity (GLP in "&amp;'Balance Sheet'!$E$5&amp;" / LO)"</f>
        <v>Loan Officer Productivity (GLP in USD / LO)</v>
      </c>
      <c r="E42" s="568"/>
      <c r="F42" s="542" t="e">
        <f ca="1">F9/F11</f>
        <v>#N/A</v>
      </c>
      <c r="G42" s="542" t="e">
        <f ca="1">G9/G11</f>
        <v>#N/A</v>
      </c>
      <c r="H42" s="542" t="e">
        <f ca="1">H9/H11</f>
        <v>#N/A</v>
      </c>
      <c r="I42" s="542" t="e">
        <f ca="1">I9/I11</f>
        <v>#N/A</v>
      </c>
      <c r="J42" s="542" t="e">
        <f ca="1">J9/J11</f>
        <v>#N/A</v>
      </c>
      <c r="K42" s="542"/>
      <c r="L42" s="542" t="e">
        <f ca="1">L9/L11</f>
        <v>#NAME?</v>
      </c>
      <c r="M42" s="542" t="e">
        <f ca="1">M9/M11</f>
        <v>#NAME?</v>
      </c>
      <c r="N42" s="542" t="e">
        <f ca="1">N9/N11</f>
        <v>#NAME?</v>
      </c>
      <c r="O42" s="542" t="e">
        <f ca="1">O9/O11</f>
        <v>#NAME?</v>
      </c>
      <c r="P42" s="542"/>
      <c r="Q42" s="542" t="e">
        <f ca="1">Q9/Q11</f>
        <v>#NAME?</v>
      </c>
      <c r="R42" s="542" t="e">
        <f ca="1">R9/R11</f>
        <v>#NAME?</v>
      </c>
      <c r="S42" s="542"/>
      <c r="T42" s="542"/>
      <c r="U42" s="494" t="e">
        <f ca="1">U9/U11</f>
        <v>#NUM!</v>
      </c>
      <c r="AJ42" s="493" t="str">
        <f>"Loan Officer Productivity (GLP in "&amp;'Balance Sheet'!$E$5&amp;" / LO)"</f>
        <v>Loan Officer Productivity (GLP in USD / LO)</v>
      </c>
      <c r="AK42" s="542" t="e">
        <f t="shared" ca="1" si="89"/>
        <v>#N/A</v>
      </c>
      <c r="AL42" s="542" t="e">
        <f t="shared" ca="1" si="89"/>
        <v>#N/A</v>
      </c>
      <c r="AM42" s="542" t="e">
        <f t="shared" ca="1" si="89"/>
        <v>#N/A</v>
      </c>
      <c r="AN42" s="542" t="e">
        <f t="shared" ca="1" si="89"/>
        <v>#N/A</v>
      </c>
      <c r="AO42" s="542" t="e">
        <f t="shared" ca="1" si="85"/>
        <v>#NAME?</v>
      </c>
      <c r="AP42" s="494" t="e">
        <f t="shared" ca="1" si="85"/>
        <v>#NAME?</v>
      </c>
      <c r="BE42" s="485" t="e">
        <f t="shared" ca="1" si="90"/>
        <v>#DIV/0!</v>
      </c>
      <c r="BF42" s="654" t="str">
        <f t="shared" si="91"/>
        <v>2500000</v>
      </c>
      <c r="BG42" s="675" t="e">
        <f t="shared" ca="1" si="92"/>
        <v>#DIV/0!</v>
      </c>
      <c r="BH42" s="675" t="e">
        <f t="shared" ca="1" si="93"/>
        <v>#DIV/0!</v>
      </c>
      <c r="BI42" s="675" t="e">
        <f t="shared" ca="1" si="94"/>
        <v>#DIV/0!</v>
      </c>
      <c r="BJ42" s="675" t="e">
        <f t="shared" ca="1" si="95"/>
        <v>#DIV/0!</v>
      </c>
      <c r="BK42" s="675" t="e">
        <f t="shared" ca="1" si="96"/>
        <v>#DIV/0!</v>
      </c>
      <c r="BL42" s="675" t="e">
        <f t="shared" ca="1" si="97"/>
        <v>#DIV/0!</v>
      </c>
      <c r="BM42" s="675" t="e">
        <f t="shared" ca="1" si="98"/>
        <v>#DIV/0!</v>
      </c>
      <c r="BN42" s="676" t="e">
        <f t="shared" ref="BN42:BN74" ca="1" si="99">IF(SUM(BG42:BM42)=0,"",SUM(BG42:BM42))</f>
        <v>#DIV/0!</v>
      </c>
      <c r="BP42" s="485" t="e">
        <f ca="1">IF(OR(DB_LOAD!AW41="USD",DB_LOAD!AW41='Refi-Annual Review'!$A$3,ISBLANK(DB_LOAD!AW41)),0,1)</f>
        <v>#NAME?</v>
      </c>
      <c r="BQ42" t="str">
        <f>(IF(ISBLANK(DB_LOAD!AR41),"",DB_LOAD!AR41))</f>
        <v/>
      </c>
      <c r="BR42" t="str">
        <f t="shared" si="73"/>
        <v/>
      </c>
      <c r="BS42" t="str">
        <f t="shared" si="74"/>
        <v/>
      </c>
      <c r="BT42" t="str">
        <f t="shared" si="75"/>
        <v>5500000250000016064001572600</v>
      </c>
      <c r="BU42" t="str">
        <f t="shared" si="76"/>
        <v/>
      </c>
      <c r="BV42" t="str">
        <f t="shared" si="77"/>
        <v>7777</v>
      </c>
      <c r="BW42" t="str">
        <f t="shared" si="78"/>
        <v/>
      </c>
      <c r="BX42" t="str">
        <f t="shared" si="79"/>
        <v>1111</v>
      </c>
      <c r="CB42" s="683" t="str">
        <f t="shared" si="69"/>
        <v/>
      </c>
      <c r="CC42" s="683" t="str">
        <f t="shared" si="70"/>
        <v/>
      </c>
      <c r="CD42" s="683" t="str">
        <f>IF(CC42="","",VALUE(MID($BZ$5,1+SUM($CC$3:CC41),CC42)))</f>
        <v/>
      </c>
      <c r="CE42"/>
      <c r="CF42" t="str">
        <f>IF(CD42="","",MID($BZ$4,1+SUM($CD$3:CD41),CD42))</f>
        <v/>
      </c>
    </row>
    <row r="43" spans="3:130" ht="15">
      <c r="C43" s="485">
        <f t="shared" si="25"/>
        <v>44</v>
      </c>
      <c r="D43" s="493" t="s">
        <v>393</v>
      </c>
      <c r="E43" s="568"/>
      <c r="F43" s="542" t="e">
        <f ca="1">F10/F167</f>
        <v>#N/A</v>
      </c>
      <c r="G43" s="542" t="e">
        <f ca="1">G10/G167</f>
        <v>#N/A</v>
      </c>
      <c r="H43" s="542" t="e">
        <f ca="1">H10/H167</f>
        <v>#N/A</v>
      </c>
      <c r="I43" s="542" t="e">
        <f ca="1">I10/I167</f>
        <v>#N/A</v>
      </c>
      <c r="J43" s="542" t="e">
        <f ca="1">J10/J167</f>
        <v>#N/A</v>
      </c>
      <c r="K43" s="542"/>
      <c r="L43" s="542" t="e">
        <f>L10/L167</f>
        <v>#NAME?</v>
      </c>
      <c r="M43" s="542" t="e">
        <f>M10/M167</f>
        <v>#NAME?</v>
      </c>
      <c r="N43" s="542" t="e">
        <f>N10/N167</f>
        <v>#NAME?</v>
      </c>
      <c r="O43" s="542" t="e">
        <f>O10/O167</f>
        <v>#NAME?</v>
      </c>
      <c r="P43" s="542"/>
      <c r="Q43" s="542" t="e">
        <f>Q10/Q167</f>
        <v>#NAME?</v>
      </c>
      <c r="R43" s="542" t="e">
        <f>R10/R167</f>
        <v>#NAME?</v>
      </c>
      <c r="S43" s="542"/>
      <c r="T43" s="542"/>
      <c r="U43" s="494" t="e">
        <f>U10/U167</f>
        <v>#NAME?</v>
      </c>
      <c r="AJ43" s="493" t="s">
        <v>393</v>
      </c>
      <c r="AK43" s="542" t="e">
        <f t="shared" ca="1" si="89"/>
        <v>#N/A</v>
      </c>
      <c r="AL43" s="542" t="e">
        <f t="shared" ca="1" si="89"/>
        <v>#N/A</v>
      </c>
      <c r="AM43" s="542" t="e">
        <f t="shared" ca="1" si="89"/>
        <v>#N/A</v>
      </c>
      <c r="AN43" s="542" t="e">
        <f t="shared" ca="1" si="89"/>
        <v>#N/A</v>
      </c>
      <c r="AO43" s="542" t="e">
        <f t="shared" si="85"/>
        <v>#NAME?</v>
      </c>
      <c r="AP43" s="494" t="e">
        <f t="shared" si="85"/>
        <v>#NAME?</v>
      </c>
      <c r="BE43" s="485" t="e">
        <f t="shared" ca="1" si="90"/>
        <v>#DIV/0!</v>
      </c>
      <c r="BF43" s="654" t="str">
        <f t="shared" si="91"/>
        <v>1606400</v>
      </c>
      <c r="BG43" s="675" t="e">
        <f t="shared" ca="1" si="92"/>
        <v>#DIV/0!</v>
      </c>
      <c r="BH43" s="675" t="e">
        <f t="shared" ca="1" si="93"/>
        <v>#DIV/0!</v>
      </c>
      <c r="BI43" s="675" t="e">
        <f t="shared" ca="1" si="94"/>
        <v>#DIV/0!</v>
      </c>
      <c r="BJ43" s="675" t="e">
        <f t="shared" ca="1" si="95"/>
        <v>#DIV/0!</v>
      </c>
      <c r="BK43" s="675" t="e">
        <f t="shared" ca="1" si="96"/>
        <v>#DIV/0!</v>
      </c>
      <c r="BL43" s="675" t="e">
        <f t="shared" ca="1" si="97"/>
        <v>#DIV/0!</v>
      </c>
      <c r="BM43" s="675" t="e">
        <f t="shared" ca="1" si="98"/>
        <v>#DIV/0!</v>
      </c>
      <c r="BN43" s="676" t="e">
        <f t="shared" ca="1" si="99"/>
        <v>#DIV/0!</v>
      </c>
      <c r="BP43" s="485" t="e">
        <f ca="1">IF(OR(DB_LOAD!AW42="USD",DB_LOAD!AW42='Refi-Annual Review'!$A$3,ISBLANK(DB_LOAD!AW42)),0,1)</f>
        <v>#NAME?</v>
      </c>
      <c r="BQ43" t="str">
        <f>(IF(ISBLANK(DB_LOAD!AR42),"",DB_LOAD!AR42))</f>
        <v/>
      </c>
      <c r="BR43" t="str">
        <f t="shared" si="73"/>
        <v/>
      </c>
      <c r="BS43" t="str">
        <f t="shared" si="74"/>
        <v/>
      </c>
      <c r="BT43" t="str">
        <f t="shared" si="75"/>
        <v>5500000250000016064001572600</v>
      </c>
      <c r="BU43" t="str">
        <f t="shared" si="76"/>
        <v/>
      </c>
      <c r="BV43" t="str">
        <f t="shared" si="77"/>
        <v>7777</v>
      </c>
      <c r="BW43" t="str">
        <f t="shared" si="78"/>
        <v/>
      </c>
      <c r="BX43" t="str">
        <f t="shared" si="79"/>
        <v>1111</v>
      </c>
      <c r="CB43" s="683" t="str">
        <f t="shared" si="69"/>
        <v/>
      </c>
      <c r="CC43" s="683" t="str">
        <f t="shared" si="70"/>
        <v/>
      </c>
      <c r="CD43" s="683" t="str">
        <f>IF(CC43="","",VALUE(MID($BZ$5,1+SUM($CC$3:CC42),CC43)))</f>
        <v/>
      </c>
      <c r="CE43"/>
      <c r="CF43" t="str">
        <f>IF(CD43="","",MID($BZ$4,1+SUM($CD$3:CD42),CD43))</f>
        <v/>
      </c>
    </row>
    <row r="44" spans="3:130" ht="15">
      <c r="C44" s="485">
        <f t="shared" si="25"/>
        <v>45</v>
      </c>
      <c r="D44" s="493" t="str">
        <f>"Staff Productivity (GLP in "&amp;'Balance Sheet'!$E$5&amp;" / Employees)"</f>
        <v>Staff Productivity (GLP in USD / Employees)</v>
      </c>
      <c r="E44" s="568"/>
      <c r="F44" s="542" t="e">
        <f ca="1">F9/F167</f>
        <v>#N/A</v>
      </c>
      <c r="G44" s="542" t="e">
        <f ca="1">G9/G167</f>
        <v>#N/A</v>
      </c>
      <c r="H44" s="542" t="e">
        <f ca="1">H9/H167</f>
        <v>#N/A</v>
      </c>
      <c r="I44" s="542" t="e">
        <f ca="1">I9/I167</f>
        <v>#N/A</v>
      </c>
      <c r="J44" s="542" t="e">
        <f ca="1">J9/J167</f>
        <v>#N/A</v>
      </c>
      <c r="K44" s="542"/>
      <c r="L44" s="542" t="e">
        <f ca="1">L9/L167</f>
        <v>#NAME?</v>
      </c>
      <c r="M44" s="542" t="e">
        <f ca="1">M9/M167</f>
        <v>#NAME?</v>
      </c>
      <c r="N44" s="542" t="e">
        <f ca="1">N9/N167</f>
        <v>#NAME?</v>
      </c>
      <c r="O44" s="542" t="e">
        <f ca="1">O9/O167</f>
        <v>#NAME?</v>
      </c>
      <c r="P44" s="542"/>
      <c r="Q44" s="542" t="e">
        <f ca="1">Q9/Q167</f>
        <v>#NAME?</v>
      </c>
      <c r="R44" s="542" t="e">
        <f ca="1">R9/R167</f>
        <v>#NAME?</v>
      </c>
      <c r="S44" s="542"/>
      <c r="T44" s="542"/>
      <c r="U44" s="494" t="e">
        <f ca="1">U9/U167</f>
        <v>#NUM!</v>
      </c>
      <c r="AJ44" s="493" t="str">
        <f>"Staff Productivity (GLP in "&amp;'Balance Sheet'!$E$5&amp;" / Employees)"</f>
        <v>Staff Productivity (GLP in USD / Employees)</v>
      </c>
      <c r="AK44" s="542" t="e">
        <f t="shared" ca="1" si="89"/>
        <v>#N/A</v>
      </c>
      <c r="AL44" s="542" t="e">
        <f t="shared" ca="1" si="89"/>
        <v>#N/A</v>
      </c>
      <c r="AM44" s="542" t="e">
        <f t="shared" ca="1" si="89"/>
        <v>#N/A</v>
      </c>
      <c r="AN44" s="542" t="e">
        <f t="shared" ca="1" si="89"/>
        <v>#N/A</v>
      </c>
      <c r="AO44" s="542" t="e">
        <f t="shared" ca="1" si="85"/>
        <v>#NAME?</v>
      </c>
      <c r="AP44" s="494" t="e">
        <f t="shared" ca="1" si="85"/>
        <v>#NAME?</v>
      </c>
      <c r="BE44" s="485" t="e">
        <f t="shared" ca="1" si="90"/>
        <v>#DIV/0!</v>
      </c>
      <c r="BF44" s="654" t="str">
        <f t="shared" si="91"/>
        <v>1572600</v>
      </c>
      <c r="BG44" s="675" t="e">
        <f t="shared" ca="1" si="92"/>
        <v>#DIV/0!</v>
      </c>
      <c r="BH44" s="675" t="e">
        <f t="shared" ca="1" si="93"/>
        <v>#DIV/0!</v>
      </c>
      <c r="BI44" s="675" t="e">
        <f t="shared" ca="1" si="94"/>
        <v>#DIV/0!</v>
      </c>
      <c r="BJ44" s="675" t="e">
        <f t="shared" ca="1" si="95"/>
        <v>#DIV/0!</v>
      </c>
      <c r="BK44" s="675" t="e">
        <f t="shared" ca="1" si="96"/>
        <v>#DIV/0!</v>
      </c>
      <c r="BL44" s="675" t="e">
        <f t="shared" ca="1" si="97"/>
        <v>#DIV/0!</v>
      </c>
      <c r="BM44" s="675" t="e">
        <f t="shared" ca="1" si="98"/>
        <v>#DIV/0!</v>
      </c>
      <c r="BN44" s="676" t="e">
        <f t="shared" ca="1" si="99"/>
        <v>#DIV/0!</v>
      </c>
      <c r="BP44" s="485" t="e">
        <f ca="1">IF(OR(DB_LOAD!AW43="USD",DB_LOAD!AW43='Refi-Annual Review'!$A$3,ISBLANK(DB_LOAD!AW43)),0,1)</f>
        <v>#NAME?</v>
      </c>
      <c r="BQ44" t="str">
        <f>(IF(ISBLANK(DB_LOAD!AR43),"",DB_LOAD!AR43))</f>
        <v/>
      </c>
      <c r="BR44" t="str">
        <f t="shared" si="73"/>
        <v/>
      </c>
      <c r="BS44" t="str">
        <f t="shared" si="74"/>
        <v/>
      </c>
      <c r="BT44" t="str">
        <f t="shared" si="75"/>
        <v>5500000250000016064001572600</v>
      </c>
      <c r="BU44" t="str">
        <f t="shared" si="76"/>
        <v/>
      </c>
      <c r="BV44" t="str">
        <f t="shared" si="77"/>
        <v>7777</v>
      </c>
      <c r="BW44" t="str">
        <f t="shared" si="78"/>
        <v/>
      </c>
      <c r="BX44" t="str">
        <f t="shared" si="79"/>
        <v>1111</v>
      </c>
      <c r="CB44" s="683" t="str">
        <f t="shared" si="69"/>
        <v/>
      </c>
      <c r="CC44" s="683" t="str">
        <f t="shared" si="70"/>
        <v/>
      </c>
      <c r="CD44" s="683" t="str">
        <f>IF(CC44="","",VALUE(MID($BZ$5,1+SUM($CC$3:CC43),CC44)))</f>
        <v/>
      </c>
      <c r="CE44"/>
      <c r="CF44" t="str">
        <f>IF(CD44="","",MID($BZ$4,1+SUM($CD$3:CD43),CD44))</f>
        <v/>
      </c>
    </row>
    <row r="45" spans="3:130" ht="15">
      <c r="C45" s="485">
        <f t="shared" si="25"/>
        <v>46</v>
      </c>
      <c r="D45" s="493" t="str">
        <f>"Cost per Client (Opex in  "&amp;'Balance Sheet'!$E$5&amp;" / clients)"</f>
        <v>Cost per Client (Opex in  USD / clients)</v>
      </c>
      <c r="E45" s="568"/>
      <c r="F45" s="542" t="e">
        <f ca="1">ABS(F128/F10)</f>
        <v>#N/A</v>
      </c>
      <c r="G45" s="542" t="e">
        <f ca="1">ABS(G128/G10)</f>
        <v>#N/A</v>
      </c>
      <c r="H45" s="542" t="e">
        <f ca="1">ABS(H128/H10)</f>
        <v>#N/A</v>
      </c>
      <c r="I45" s="542" t="e">
        <f ca="1">ABS(I128/I10)</f>
        <v>#N/A</v>
      </c>
      <c r="J45" s="542" t="e">
        <f ca="1">ABS(J128/J10)</f>
        <v>#N/A</v>
      </c>
      <c r="K45" s="542"/>
      <c r="L45" s="542" t="e">
        <f ca="1">ABS(L128/L10)</f>
        <v>#NAME?</v>
      </c>
      <c r="M45" s="542" t="e">
        <f ca="1">ABS(M128/M10)</f>
        <v>#NAME?</v>
      </c>
      <c r="N45" s="542" t="e">
        <f ca="1">ABS(N128/N10)</f>
        <v>#NAME?</v>
      </c>
      <c r="O45" s="542" t="e">
        <f ca="1">ABS(O128/O10)</f>
        <v>#NAME?</v>
      </c>
      <c r="P45" s="542"/>
      <c r="Q45" s="542" t="e">
        <f ca="1">ABS(Q128/Q10)</f>
        <v>#NAME?</v>
      </c>
      <c r="R45" s="542" t="e">
        <f ca="1">ABS(R128/R10)</f>
        <v>#NAME?</v>
      </c>
      <c r="S45" s="542"/>
      <c r="T45" s="542"/>
      <c r="U45" s="494" t="e">
        <f>ABS(U128/U10)</f>
        <v>#NAME?</v>
      </c>
      <c r="AJ45" s="493" t="str">
        <f>"Cost per Client (Opex in  "&amp;'Balance Sheet'!$E$5&amp;" / clients)"</f>
        <v>Cost per Client (Opex in  USD / clients)</v>
      </c>
      <c r="AK45" s="542" t="e">
        <f t="shared" ca="1" si="89"/>
        <v>#N/A</v>
      </c>
      <c r="AL45" s="542" t="e">
        <f t="shared" ca="1" si="89"/>
        <v>#N/A</v>
      </c>
      <c r="AM45" s="542" t="e">
        <f t="shared" ca="1" si="89"/>
        <v>#N/A</v>
      </c>
      <c r="AN45" s="542" t="e">
        <f t="shared" ca="1" si="89"/>
        <v>#N/A</v>
      </c>
      <c r="AO45" s="542" t="e">
        <f t="shared" ca="1" si="85"/>
        <v>#NAME?</v>
      </c>
      <c r="AP45" s="494" t="e">
        <f t="shared" ca="1" si="85"/>
        <v>#NAME?</v>
      </c>
      <c r="BE45" s="485" t="e">
        <f t="shared" ca="1" si="90"/>
        <v>#DIV/0!</v>
      </c>
      <c r="BF45" s="654" t="str">
        <f t="shared" si="91"/>
        <v/>
      </c>
      <c r="BG45" s="675" t="e">
        <f t="shared" ca="1" si="92"/>
        <v>#DIV/0!</v>
      </c>
      <c r="BH45" s="675" t="e">
        <f t="shared" ca="1" si="93"/>
        <v>#DIV/0!</v>
      </c>
      <c r="BI45" s="675" t="e">
        <f t="shared" ca="1" si="94"/>
        <v>#DIV/0!</v>
      </c>
      <c r="BJ45" s="675" t="e">
        <f t="shared" ca="1" si="95"/>
        <v>#DIV/0!</v>
      </c>
      <c r="BK45" s="675" t="e">
        <f t="shared" ca="1" si="96"/>
        <v>#DIV/0!</v>
      </c>
      <c r="BL45" s="675" t="e">
        <f t="shared" ca="1" si="97"/>
        <v>#DIV/0!</v>
      </c>
      <c r="BM45" s="675" t="e">
        <f t="shared" ca="1" si="98"/>
        <v>#DIV/0!</v>
      </c>
      <c r="BN45" s="676" t="e">
        <f t="shared" ca="1" si="99"/>
        <v>#DIV/0!</v>
      </c>
      <c r="BP45" s="485" t="e">
        <f ca="1">IF(OR(DB_LOAD!AW44="USD",DB_LOAD!AW44='Refi-Annual Review'!$A$3,ISBLANK(DB_LOAD!AW44)),0,1)</f>
        <v>#NAME?</v>
      </c>
      <c r="BQ45" t="str">
        <f>(IF(ISBLANK(DB_LOAD!AR44),"",DB_LOAD!AR44))</f>
        <v/>
      </c>
      <c r="BR45" t="str">
        <f t="shared" si="73"/>
        <v/>
      </c>
      <c r="BS45" t="str">
        <f t="shared" si="74"/>
        <v/>
      </c>
      <c r="BT45" t="str">
        <f t="shared" si="75"/>
        <v>5500000250000016064001572600</v>
      </c>
      <c r="BU45" t="str">
        <f t="shared" si="76"/>
        <v/>
      </c>
      <c r="BV45" t="str">
        <f t="shared" si="77"/>
        <v>7777</v>
      </c>
      <c r="BW45" t="str">
        <f t="shared" si="78"/>
        <v/>
      </c>
      <c r="BX45" t="str">
        <f t="shared" si="79"/>
        <v>1111</v>
      </c>
      <c r="CB45" s="683" t="str">
        <f t="shared" si="69"/>
        <v/>
      </c>
      <c r="CC45" s="683" t="str">
        <f t="shared" si="70"/>
        <v/>
      </c>
      <c r="CD45" s="683" t="str">
        <f>IF(CC45="","",VALUE(MID($BZ$5,1+SUM($CC$3:CC44),CC45)))</f>
        <v/>
      </c>
      <c r="CE45"/>
      <c r="CF45" t="str">
        <f>IF(CD45="","",MID($BZ$4,1+SUM($CD$3:CD44),CD45))</f>
        <v/>
      </c>
    </row>
    <row r="46" spans="3:130" ht="15">
      <c r="C46" s="485">
        <f t="shared" si="25"/>
        <v>47</v>
      </c>
      <c r="AK46" s="486"/>
      <c r="AL46" s="486"/>
      <c r="AM46" s="486"/>
      <c r="AN46" s="486"/>
      <c r="AO46" s="486"/>
      <c r="BE46" s="485" t="e">
        <f t="shared" ca="1" si="90"/>
        <v>#DIV/0!</v>
      </c>
      <c r="BF46" s="654" t="str">
        <f t="shared" si="91"/>
        <v/>
      </c>
      <c r="BG46" s="675" t="e">
        <f t="shared" ca="1" si="92"/>
        <v>#DIV/0!</v>
      </c>
      <c r="BH46" s="675" t="e">
        <f t="shared" ca="1" si="93"/>
        <v>#DIV/0!</v>
      </c>
      <c r="BI46" s="675" t="e">
        <f t="shared" ca="1" si="94"/>
        <v>#DIV/0!</v>
      </c>
      <c r="BJ46" s="675" t="e">
        <f t="shared" ca="1" si="95"/>
        <v>#DIV/0!</v>
      </c>
      <c r="BK46" s="675" t="e">
        <f t="shared" ca="1" si="96"/>
        <v>#DIV/0!</v>
      </c>
      <c r="BL46" s="675" t="e">
        <f t="shared" ca="1" si="97"/>
        <v>#DIV/0!</v>
      </c>
      <c r="BM46" s="675" t="e">
        <f t="shared" ca="1" si="98"/>
        <v>#DIV/0!</v>
      </c>
      <c r="BN46" s="676" t="e">
        <f t="shared" ca="1" si="99"/>
        <v>#DIV/0!</v>
      </c>
      <c r="BP46" s="485" t="e">
        <f ca="1">IF(OR(DB_LOAD!AW45="USD",DB_LOAD!AW45='Refi-Annual Review'!$A$3,ISBLANK(DB_LOAD!AW45)),0,1)</f>
        <v>#NAME?</v>
      </c>
      <c r="BQ46" t="str">
        <f>(IF(ISBLANK(DB_LOAD!AR45),"",DB_LOAD!AR45))</f>
        <v/>
      </c>
      <c r="BR46" t="str">
        <f t="shared" si="73"/>
        <v/>
      </c>
      <c r="BS46" t="str">
        <f t="shared" si="74"/>
        <v/>
      </c>
      <c r="BT46" t="str">
        <f t="shared" si="75"/>
        <v>5500000250000016064001572600</v>
      </c>
      <c r="BU46" t="str">
        <f t="shared" si="76"/>
        <v/>
      </c>
      <c r="BV46" t="str">
        <f t="shared" si="77"/>
        <v>7777</v>
      </c>
      <c r="BW46" t="str">
        <f t="shared" si="78"/>
        <v/>
      </c>
      <c r="BX46" t="str">
        <f t="shared" si="79"/>
        <v>1111</v>
      </c>
      <c r="CB46" s="683" t="str">
        <f t="shared" si="69"/>
        <v/>
      </c>
      <c r="CC46" s="683" t="str">
        <f t="shared" si="70"/>
        <v/>
      </c>
      <c r="CD46" s="683" t="str">
        <f>IF(CC46="","",VALUE(MID($BZ$5,1+SUM($CC$3:CC45),CC46)))</f>
        <v/>
      </c>
      <c r="CE46"/>
      <c r="CF46" t="str">
        <f>IF(CD46="","",MID($BZ$4,1+SUM($CD$3:CD45),CD46))</f>
        <v/>
      </c>
    </row>
    <row r="47" spans="3:130" ht="15">
      <c r="C47" s="485">
        <f t="shared" si="25"/>
        <v>48</v>
      </c>
      <c r="F47" s="489" t="s">
        <v>54</v>
      </c>
      <c r="G47" s="536" t="s">
        <v>54</v>
      </c>
      <c r="H47" s="536" t="s">
        <v>54</v>
      </c>
      <c r="I47" s="536" t="s">
        <v>54</v>
      </c>
      <c r="J47" s="536" t="s">
        <v>54</v>
      </c>
      <c r="K47" s="537"/>
      <c r="L47" s="536" t="s">
        <v>53</v>
      </c>
      <c r="M47" s="536" t="s">
        <v>53</v>
      </c>
      <c r="N47" s="536" t="s">
        <v>53</v>
      </c>
      <c r="O47" s="536" t="s">
        <v>53</v>
      </c>
      <c r="P47" s="538"/>
      <c r="Q47" s="536" t="s">
        <v>53</v>
      </c>
      <c r="R47" s="536" t="s">
        <v>53</v>
      </c>
      <c r="AK47" s="489" t="str">
        <f ca="1">AK6</f>
        <v>No Financials</v>
      </c>
      <c r="AL47" s="489" t="str">
        <f ca="1">AL6</f>
        <v>No Financials</v>
      </c>
      <c r="AM47" s="536" t="str">
        <f t="shared" ref="AM47:AN47" ca="1" si="100">AM6</f>
        <v>No Financials</v>
      </c>
      <c r="AN47" s="536" t="str">
        <f t="shared" ca="1" si="100"/>
        <v>No Financials</v>
      </c>
      <c r="AO47" s="536" t="str">
        <f t="shared" ref="AO47:AP61" si="101">Q47</f>
        <v>Unaudited</v>
      </c>
      <c r="AP47" s="489" t="str">
        <f t="shared" si="101"/>
        <v>Unaudited</v>
      </c>
      <c r="BE47" s="485" t="e">
        <f t="shared" ca="1" si="90"/>
        <v>#DIV/0!</v>
      </c>
      <c r="BF47" s="654" t="str">
        <f t="shared" si="91"/>
        <v/>
      </c>
      <c r="BG47" s="675" t="e">
        <f t="shared" ca="1" si="92"/>
        <v>#DIV/0!</v>
      </c>
      <c r="BH47" s="675" t="e">
        <f t="shared" ca="1" si="93"/>
        <v>#DIV/0!</v>
      </c>
      <c r="BI47" s="675" t="e">
        <f t="shared" ca="1" si="94"/>
        <v>#DIV/0!</v>
      </c>
      <c r="BJ47" s="675" t="e">
        <f t="shared" ca="1" si="95"/>
        <v>#DIV/0!</v>
      </c>
      <c r="BK47" s="675" t="e">
        <f t="shared" ca="1" si="96"/>
        <v>#DIV/0!</v>
      </c>
      <c r="BL47" s="675" t="e">
        <f t="shared" ca="1" si="97"/>
        <v>#DIV/0!</v>
      </c>
      <c r="BM47" s="675" t="e">
        <f t="shared" ca="1" si="98"/>
        <v>#DIV/0!</v>
      </c>
      <c r="BN47" s="676" t="e">
        <f t="shared" ca="1" si="99"/>
        <v>#DIV/0!</v>
      </c>
      <c r="BP47" s="485" t="e">
        <f ca="1">IF(OR(DB_LOAD!AW46="USD",DB_LOAD!AW46='Refi-Annual Review'!$A$3,ISBLANK(DB_LOAD!AW46)),0,1)</f>
        <v>#NAME?</v>
      </c>
      <c r="BQ47" t="str">
        <f>(IF(ISBLANK(DB_LOAD!AR46),"",DB_LOAD!AR46))</f>
        <v/>
      </c>
      <c r="BR47" t="str">
        <f t="shared" si="73"/>
        <v/>
      </c>
      <c r="BS47" t="str">
        <f t="shared" si="74"/>
        <v/>
      </c>
      <c r="BT47" t="str">
        <f t="shared" si="75"/>
        <v>5500000250000016064001572600</v>
      </c>
      <c r="BU47" t="str">
        <f t="shared" si="76"/>
        <v/>
      </c>
      <c r="BV47" t="str">
        <f t="shared" si="77"/>
        <v>7777</v>
      </c>
      <c r="BW47" t="str">
        <f t="shared" si="78"/>
        <v/>
      </c>
      <c r="BX47" t="str">
        <f t="shared" si="79"/>
        <v>1111</v>
      </c>
      <c r="CB47" s="683" t="str">
        <f t="shared" si="69"/>
        <v/>
      </c>
      <c r="CC47" s="683" t="str">
        <f t="shared" si="70"/>
        <v/>
      </c>
      <c r="CD47" s="683" t="str">
        <f>IF(CC47="","",VALUE(MID($BZ$5,1+SUM($CC$3:CC46),CC47)))</f>
        <v/>
      </c>
      <c r="CE47"/>
      <c r="CF47" t="str">
        <f>IF(CD47="","",MID($BZ$4,1+SUM($CD$3:CD46),CD47))</f>
        <v/>
      </c>
    </row>
    <row r="48" spans="3:130" ht="15">
      <c r="C48" s="485">
        <f t="shared" si="25"/>
        <v>49</v>
      </c>
      <c r="D48" s="490" t="s">
        <v>27</v>
      </c>
      <c r="E48" s="568"/>
      <c r="F48" s="491">
        <f>F40</f>
        <v>2010</v>
      </c>
      <c r="G48" s="491">
        <f>G40</f>
        <v>2011</v>
      </c>
      <c r="H48" s="491">
        <f>H40</f>
        <v>2012</v>
      </c>
      <c r="I48" s="491">
        <f>I40</f>
        <v>2013</v>
      </c>
      <c r="J48" s="491">
        <f>J40</f>
        <v>2014</v>
      </c>
      <c r="K48" s="531"/>
      <c r="L48" s="491">
        <f>L40</f>
        <v>2011</v>
      </c>
      <c r="M48" s="491">
        <f>M40</f>
        <v>2012</v>
      </c>
      <c r="N48" s="491">
        <f>N40</f>
        <v>2013</v>
      </c>
      <c r="O48" s="491">
        <f>O40</f>
        <v>2014</v>
      </c>
      <c r="P48" s="532"/>
      <c r="Q48" s="491" t="str">
        <f>Q40</f>
        <v>YTD Jan-00</v>
      </c>
      <c r="R48" s="491" t="str">
        <f>R40</f>
        <v>LTM Jan-00</v>
      </c>
      <c r="AJ48" s="490" t="s">
        <v>27</v>
      </c>
      <c r="AK48" s="491">
        <f t="shared" ref="AK48:AN48" ca="1" si="102">AK7</f>
        <v>-3</v>
      </c>
      <c r="AL48" s="491">
        <f t="shared" ca="1" si="102"/>
        <v>-2</v>
      </c>
      <c r="AM48" s="491">
        <f t="shared" ca="1" si="102"/>
        <v>-1</v>
      </c>
      <c r="AN48" s="491">
        <f t="shared" ca="1" si="102"/>
        <v>0</v>
      </c>
      <c r="AO48" s="491" t="str">
        <f t="shared" si="101"/>
        <v>YTD Jan-00</v>
      </c>
      <c r="AP48" s="491" t="str">
        <f t="shared" si="101"/>
        <v>LTM Jan-00</v>
      </c>
      <c r="BE48" s="485" t="e">
        <f t="shared" ca="1" si="90"/>
        <v>#DIV/0!</v>
      </c>
      <c r="BF48" s="654" t="str">
        <f t="shared" si="91"/>
        <v/>
      </c>
      <c r="BG48" s="675" t="e">
        <f t="shared" ca="1" si="92"/>
        <v>#DIV/0!</v>
      </c>
      <c r="BH48" s="675" t="e">
        <f t="shared" ca="1" si="93"/>
        <v>#DIV/0!</v>
      </c>
      <c r="BI48" s="675" t="e">
        <f t="shared" ca="1" si="94"/>
        <v>#DIV/0!</v>
      </c>
      <c r="BJ48" s="675" t="e">
        <f t="shared" ca="1" si="95"/>
        <v>#DIV/0!</v>
      </c>
      <c r="BK48" s="675" t="e">
        <f t="shared" ca="1" si="96"/>
        <v>#DIV/0!</v>
      </c>
      <c r="BL48" s="675" t="e">
        <f t="shared" ca="1" si="97"/>
        <v>#DIV/0!</v>
      </c>
      <c r="BM48" s="675" t="e">
        <f t="shared" ca="1" si="98"/>
        <v>#DIV/0!</v>
      </c>
      <c r="BN48" s="676" t="e">
        <f t="shared" ca="1" si="99"/>
        <v>#DIV/0!</v>
      </c>
      <c r="BP48" s="485" t="e">
        <f ca="1">IF(OR(DB_LOAD!AW47="USD",DB_LOAD!AW47='Refi-Annual Review'!$A$3,ISBLANK(DB_LOAD!AW47)),0,1)</f>
        <v>#NAME?</v>
      </c>
      <c r="BQ48" t="str">
        <f>(IF(ISBLANK(DB_LOAD!AR47),"",DB_LOAD!AR47))</f>
        <v/>
      </c>
      <c r="BR48" t="str">
        <f t="shared" si="73"/>
        <v/>
      </c>
      <c r="BS48" t="str">
        <f>IF(AND(BQ48=BQ47,BR48=BR47,BQ48&lt;&gt;""),"",IF(BQ48="","",BQ48))</f>
        <v/>
      </c>
      <c r="BT48" t="str">
        <f>BT47&amp;BS48</f>
        <v>5500000250000016064001572600</v>
      </c>
      <c r="BU48" t="str">
        <f t="shared" si="76"/>
        <v/>
      </c>
      <c r="BV48" t="str">
        <f>BV47&amp;BU48</f>
        <v>7777</v>
      </c>
      <c r="BW48" t="str">
        <f t="shared" si="78"/>
        <v/>
      </c>
      <c r="BX48" t="str">
        <f>BX47&amp;BW48</f>
        <v>1111</v>
      </c>
      <c r="CB48" s="683" t="str">
        <f t="shared" si="69"/>
        <v/>
      </c>
      <c r="CC48" s="683" t="str">
        <f t="shared" si="70"/>
        <v/>
      </c>
      <c r="CD48" s="683" t="str">
        <f>IF(CC48="","",VALUE(MID($BZ$5,1+SUM($CC$3:CC47),CC48)))</f>
        <v/>
      </c>
      <c r="CE48"/>
      <c r="CF48" t="str">
        <f>IF(CD48="","",MID($BZ$4,1+SUM($CD$3:CD47),CD48))</f>
        <v/>
      </c>
    </row>
    <row r="49" spans="3:84" ht="15">
      <c r="C49" s="485">
        <f t="shared" si="25"/>
        <v>50</v>
      </c>
      <c r="D49" s="493" t="str">
        <f>"Total Assets ("&amp;'Balance Sheet'!$E$5&amp;")"</f>
        <v>Total Assets (USD)</v>
      </c>
      <c r="E49" s="568"/>
      <c r="F49" s="494" t="e">
        <f t="shared" ref="F49:J50" ca="1" si="103">F8</f>
        <v>#N/A</v>
      </c>
      <c r="G49" s="494" t="e">
        <f t="shared" ca="1" si="103"/>
        <v>#N/A</v>
      </c>
      <c r="H49" s="494" t="e">
        <f t="shared" ca="1" si="103"/>
        <v>#N/A</v>
      </c>
      <c r="I49" s="494" t="e">
        <f t="shared" ca="1" si="103"/>
        <v>#N/A</v>
      </c>
      <c r="J49" s="494" t="e">
        <f t="shared" ca="1" si="103"/>
        <v>#N/A</v>
      </c>
      <c r="K49" s="494"/>
      <c r="L49" s="494" t="e">
        <f t="shared" ref="L49:O50" ca="1" si="104">L8</f>
        <v>#NAME?</v>
      </c>
      <c r="M49" s="494" t="e">
        <f t="shared" ca="1" si="104"/>
        <v>#NAME?</v>
      </c>
      <c r="N49" s="494" t="e">
        <f t="shared" ca="1" si="104"/>
        <v>#NAME?</v>
      </c>
      <c r="O49" s="494" t="e">
        <f t="shared" ca="1" si="104"/>
        <v>#NAME?</v>
      </c>
      <c r="P49" s="494"/>
      <c r="Q49" s="494" t="e">
        <f ca="1">Q8</f>
        <v>#NAME?</v>
      </c>
      <c r="R49" s="494" t="e">
        <f ca="1">R8</f>
        <v>#NAME?</v>
      </c>
      <c r="S49" s="494"/>
      <c r="T49" s="494"/>
      <c r="U49" s="494" t="e">
        <f ca="1">U8</f>
        <v>#NUM!</v>
      </c>
      <c r="AJ49" s="493" t="str">
        <f>"Total Assets ("&amp;'Balance Sheet'!$E$5&amp;")"</f>
        <v>Total Assets (USD)</v>
      </c>
      <c r="AK49" s="494" t="e">
        <f t="shared" ref="AK49:AN61" ca="1" si="105">HLOOKUP(AK$4,$G$1:$O$213,$C49-1,FALSE)</f>
        <v>#N/A</v>
      </c>
      <c r="AL49" s="494" t="e">
        <f t="shared" ca="1" si="105"/>
        <v>#N/A</v>
      </c>
      <c r="AM49" s="494" t="e">
        <f t="shared" ca="1" si="105"/>
        <v>#N/A</v>
      </c>
      <c r="AN49" s="494" t="e">
        <f t="shared" ca="1" si="105"/>
        <v>#N/A</v>
      </c>
      <c r="AO49" s="494" t="e">
        <f t="shared" ca="1" si="101"/>
        <v>#NAME?</v>
      </c>
      <c r="AP49" s="494" t="e">
        <f t="shared" ca="1" si="101"/>
        <v>#NAME?</v>
      </c>
      <c r="BE49" s="485" t="e">
        <f t="shared" ca="1" si="90"/>
        <v>#DIV/0!</v>
      </c>
      <c r="BF49" s="654" t="str">
        <f t="shared" si="91"/>
        <v/>
      </c>
      <c r="BG49" s="675" t="e">
        <f t="shared" ca="1" si="92"/>
        <v>#DIV/0!</v>
      </c>
      <c r="BH49" s="675" t="e">
        <f t="shared" ca="1" si="93"/>
        <v>#DIV/0!</v>
      </c>
      <c r="BI49" s="675" t="e">
        <f t="shared" ca="1" si="94"/>
        <v>#DIV/0!</v>
      </c>
      <c r="BJ49" s="675" t="e">
        <f t="shared" ca="1" si="95"/>
        <v>#DIV/0!</v>
      </c>
      <c r="BK49" s="675" t="e">
        <f t="shared" ca="1" si="96"/>
        <v>#DIV/0!</v>
      </c>
      <c r="BL49" s="675" t="e">
        <f t="shared" ca="1" si="97"/>
        <v>#DIV/0!</v>
      </c>
      <c r="BM49" s="675" t="e">
        <f t="shared" ca="1" si="98"/>
        <v>#DIV/0!</v>
      </c>
      <c r="BN49" s="676" t="e">
        <f t="shared" ca="1" si="99"/>
        <v>#DIV/0!</v>
      </c>
      <c r="BP49" s="485" t="e">
        <f ca="1">IF(OR(DB_LOAD!AW48="USD",DB_LOAD!AW48='Refi-Annual Review'!$A$3,ISBLANK(DB_LOAD!AW48)),0,1)</f>
        <v>#NAME?</v>
      </c>
      <c r="BQ49" t="str">
        <f>(IF(ISBLANK(DB_LOAD!AR48),"",DB_LOAD!AR48))</f>
        <v/>
      </c>
      <c r="BR49" t="str">
        <f t="shared" si="73"/>
        <v/>
      </c>
      <c r="BS49" t="str">
        <f t="shared" si="74"/>
        <v/>
      </c>
      <c r="BT49" t="str">
        <f t="shared" si="75"/>
        <v>5500000250000016064001572600</v>
      </c>
      <c r="BU49" t="str">
        <f t="shared" si="76"/>
        <v/>
      </c>
      <c r="BV49" t="str">
        <f t="shared" si="77"/>
        <v>7777</v>
      </c>
      <c r="BW49" t="str">
        <f t="shared" si="78"/>
        <v/>
      </c>
      <c r="BX49" t="str">
        <f t="shared" si="79"/>
        <v>1111</v>
      </c>
      <c r="CB49" s="683" t="str">
        <f t="shared" si="69"/>
        <v/>
      </c>
      <c r="CC49" s="683" t="str">
        <f t="shared" si="70"/>
        <v/>
      </c>
      <c r="CD49" s="683" t="str">
        <f>IF(CC49="","",VALUE(MID($BZ$5,1+SUM($CC$3:CC48),CC49)))</f>
        <v/>
      </c>
      <c r="CE49"/>
      <c r="CF49" t="str">
        <f>IF(CD49="","",MID($BZ$4,1+SUM($CD$3:CD48),CD49))</f>
        <v/>
      </c>
    </row>
    <row r="50" spans="3:84" ht="15">
      <c r="C50" s="485">
        <f t="shared" si="25"/>
        <v>51</v>
      </c>
      <c r="D50" s="493" t="str">
        <f>"Gross Loan Portfolio ("&amp;'Balance Sheet'!$E$5&amp;")"</f>
        <v>Gross Loan Portfolio (USD)</v>
      </c>
      <c r="E50" s="568"/>
      <c r="F50" s="494" t="e">
        <f t="shared" ca="1" si="103"/>
        <v>#N/A</v>
      </c>
      <c r="G50" s="494" t="e">
        <f t="shared" ca="1" si="103"/>
        <v>#N/A</v>
      </c>
      <c r="H50" s="494" t="e">
        <f t="shared" ca="1" si="103"/>
        <v>#N/A</v>
      </c>
      <c r="I50" s="494" t="e">
        <f t="shared" ca="1" si="103"/>
        <v>#N/A</v>
      </c>
      <c r="J50" s="494" t="e">
        <f t="shared" ca="1" si="103"/>
        <v>#N/A</v>
      </c>
      <c r="K50" s="494"/>
      <c r="L50" s="494" t="e">
        <f t="shared" ca="1" si="104"/>
        <v>#NAME?</v>
      </c>
      <c r="M50" s="494" t="e">
        <f t="shared" ca="1" si="104"/>
        <v>#NAME?</v>
      </c>
      <c r="N50" s="494" t="e">
        <f t="shared" ca="1" si="104"/>
        <v>#NAME?</v>
      </c>
      <c r="O50" s="494" t="e">
        <f t="shared" ca="1" si="104"/>
        <v>#NAME?</v>
      </c>
      <c r="P50" s="494"/>
      <c r="Q50" s="494" t="e">
        <f ca="1">Q9</f>
        <v>#NAME?</v>
      </c>
      <c r="R50" s="494" t="e">
        <f ca="1">R9</f>
        <v>#NAME?</v>
      </c>
      <c r="S50" s="494"/>
      <c r="T50" s="494"/>
      <c r="U50" s="494" t="e">
        <f ca="1">U9</f>
        <v>#NUM!</v>
      </c>
      <c r="AJ50" s="493" t="str">
        <f>"Gross Loan Portfolio ("&amp;'Balance Sheet'!$E$5&amp;")"</f>
        <v>Gross Loan Portfolio (USD)</v>
      </c>
      <c r="AK50" s="494" t="e">
        <f t="shared" ca="1" si="105"/>
        <v>#N/A</v>
      </c>
      <c r="AL50" s="494" t="e">
        <f t="shared" ca="1" si="105"/>
        <v>#N/A</v>
      </c>
      <c r="AM50" s="494" t="e">
        <f t="shared" ca="1" si="105"/>
        <v>#N/A</v>
      </c>
      <c r="AN50" s="494" t="e">
        <f t="shared" ca="1" si="105"/>
        <v>#N/A</v>
      </c>
      <c r="AO50" s="494" t="e">
        <f t="shared" ca="1" si="101"/>
        <v>#NAME?</v>
      </c>
      <c r="AP50" s="494" t="e">
        <f t="shared" ca="1" si="101"/>
        <v>#NAME?</v>
      </c>
      <c r="BE50" s="485" t="e">
        <f t="shared" ca="1" si="90"/>
        <v>#DIV/0!</v>
      </c>
      <c r="BF50" s="654" t="str">
        <f t="shared" si="91"/>
        <v/>
      </c>
      <c r="BG50" s="675" t="e">
        <f t="shared" ca="1" si="92"/>
        <v>#DIV/0!</v>
      </c>
      <c r="BH50" s="675" t="e">
        <f t="shared" ca="1" si="93"/>
        <v>#DIV/0!</v>
      </c>
      <c r="BI50" s="675" t="e">
        <f t="shared" ca="1" si="94"/>
        <v>#DIV/0!</v>
      </c>
      <c r="BJ50" s="675" t="e">
        <f t="shared" ca="1" si="95"/>
        <v>#DIV/0!</v>
      </c>
      <c r="BK50" s="675" t="e">
        <f t="shared" ca="1" si="96"/>
        <v>#DIV/0!</v>
      </c>
      <c r="BL50" s="675" t="e">
        <f t="shared" ca="1" si="97"/>
        <v>#DIV/0!</v>
      </c>
      <c r="BM50" s="675" t="e">
        <f t="shared" ca="1" si="98"/>
        <v>#DIV/0!</v>
      </c>
      <c r="BN50" s="676" t="e">
        <f t="shared" ca="1" si="99"/>
        <v>#DIV/0!</v>
      </c>
      <c r="BP50" s="485" t="e">
        <f ca="1">IF(OR(DB_LOAD!AW49="USD",DB_LOAD!AW49='Refi-Annual Review'!$A$3,ISBLANK(DB_LOAD!AW49)),0,1)</f>
        <v>#NAME?</v>
      </c>
      <c r="BQ50" t="str">
        <f>(IF(ISBLANK(DB_LOAD!AR49),"",DB_LOAD!AR49))</f>
        <v/>
      </c>
      <c r="BR50" t="str">
        <f t="shared" si="73"/>
        <v/>
      </c>
      <c r="BS50" t="str">
        <f t="shared" si="74"/>
        <v/>
      </c>
      <c r="BT50" t="str">
        <f t="shared" si="75"/>
        <v>5500000250000016064001572600</v>
      </c>
      <c r="BU50" t="str">
        <f t="shared" si="76"/>
        <v/>
      </c>
      <c r="BV50" t="str">
        <f t="shared" si="77"/>
        <v>7777</v>
      </c>
      <c r="BW50" t="str">
        <f t="shared" si="78"/>
        <v/>
      </c>
      <c r="BX50" t="str">
        <f t="shared" si="79"/>
        <v>1111</v>
      </c>
      <c r="CB50" s="683" t="str">
        <f t="shared" si="69"/>
        <v/>
      </c>
      <c r="CC50" s="683" t="str">
        <f t="shared" si="70"/>
        <v/>
      </c>
      <c r="CD50" s="683" t="str">
        <f>IF(CC50="","",VALUE(MID($BZ$5,1+SUM($CC$3:CC49),CC50)))</f>
        <v/>
      </c>
      <c r="CE50"/>
      <c r="CF50" t="str">
        <f>IF(CD50="","",MID($BZ$4,1+SUM($CD$3:CD49),CD50))</f>
        <v/>
      </c>
    </row>
    <row r="51" spans="3:84" ht="15">
      <c r="C51" s="485">
        <f t="shared" si="25"/>
        <v>52</v>
      </c>
      <c r="D51" s="493" t="s">
        <v>19</v>
      </c>
      <c r="E51" s="568"/>
      <c r="F51" s="496"/>
      <c r="G51" s="496" t="str">
        <f ca="1">G27</f>
        <v>N/A</v>
      </c>
      <c r="H51" s="496" t="str">
        <f ca="1">H27</f>
        <v>N/A</v>
      </c>
      <c r="I51" s="496" t="str">
        <f ca="1">I27</f>
        <v>N/A</v>
      </c>
      <c r="J51" s="496" t="str">
        <f ca="1">J27</f>
        <v>N/A</v>
      </c>
      <c r="K51" s="496"/>
      <c r="L51" s="496" t="str">
        <f ca="1">L27</f>
        <v>N/A</v>
      </c>
      <c r="M51" s="496" t="str">
        <f ca="1">M27</f>
        <v>N/A</v>
      </c>
      <c r="N51" s="496" t="str">
        <f ca="1">N27</f>
        <v>N/A</v>
      </c>
      <c r="O51" s="496" t="str">
        <f ca="1">O27</f>
        <v>N/A</v>
      </c>
      <c r="P51" s="496"/>
      <c r="Q51" s="496" t="e">
        <f ca="1">Q27</f>
        <v>#NAME?</v>
      </c>
      <c r="R51" s="496" t="e">
        <f ca="1">R27</f>
        <v>#NAME?</v>
      </c>
      <c r="S51" s="496"/>
      <c r="T51" s="496"/>
      <c r="U51" s="496"/>
      <c r="AJ51" s="493" t="s">
        <v>19</v>
      </c>
      <c r="AK51" s="496" t="e">
        <f t="shared" ca="1" si="105"/>
        <v>#N/A</v>
      </c>
      <c r="AL51" s="496" t="e">
        <f t="shared" ca="1" si="105"/>
        <v>#N/A</v>
      </c>
      <c r="AM51" s="496" t="e">
        <f t="shared" ca="1" si="105"/>
        <v>#N/A</v>
      </c>
      <c r="AN51" s="496" t="e">
        <f t="shared" ca="1" si="105"/>
        <v>#N/A</v>
      </c>
      <c r="AO51" s="496" t="e">
        <f t="shared" ca="1" si="101"/>
        <v>#NAME?</v>
      </c>
      <c r="AP51" s="496" t="e">
        <f t="shared" ca="1" si="101"/>
        <v>#NAME?</v>
      </c>
      <c r="BE51" s="485" t="e">
        <f t="shared" ca="1" si="90"/>
        <v>#DIV/0!</v>
      </c>
      <c r="BF51" s="654" t="str">
        <f t="shared" si="91"/>
        <v/>
      </c>
      <c r="BG51" s="675" t="e">
        <f t="shared" ca="1" si="92"/>
        <v>#DIV/0!</v>
      </c>
      <c r="BH51" s="675" t="e">
        <f t="shared" ca="1" si="93"/>
        <v>#DIV/0!</v>
      </c>
      <c r="BI51" s="675" t="e">
        <f t="shared" ca="1" si="94"/>
        <v>#DIV/0!</v>
      </c>
      <c r="BJ51" s="675" t="e">
        <f t="shared" ca="1" si="95"/>
        <v>#DIV/0!</v>
      </c>
      <c r="BK51" s="675" t="e">
        <f t="shared" ca="1" si="96"/>
        <v>#DIV/0!</v>
      </c>
      <c r="BL51" s="675" t="e">
        <f t="shared" ca="1" si="97"/>
        <v>#DIV/0!</v>
      </c>
      <c r="BM51" s="675" t="e">
        <f t="shared" ca="1" si="98"/>
        <v>#DIV/0!</v>
      </c>
      <c r="BN51" s="676" t="e">
        <f t="shared" ca="1" si="99"/>
        <v>#DIV/0!</v>
      </c>
      <c r="BP51" s="485" t="e">
        <f ca="1">IF(OR(DB_LOAD!AW50="USD",DB_LOAD!AW50='Refi-Annual Review'!$A$3,ISBLANK(DB_LOAD!AW50)),0,1)</f>
        <v>#NAME?</v>
      </c>
      <c r="BQ51" t="str">
        <f>(IF(ISBLANK(DB_LOAD!AR50),"",DB_LOAD!AR50))</f>
        <v/>
      </c>
      <c r="BR51" t="str">
        <f t="shared" si="73"/>
        <v/>
      </c>
      <c r="BS51" t="str">
        <f t="shared" si="74"/>
        <v/>
      </c>
      <c r="BT51" t="str">
        <f t="shared" si="75"/>
        <v>5500000250000016064001572600</v>
      </c>
      <c r="BU51" t="str">
        <f t="shared" si="76"/>
        <v/>
      </c>
      <c r="BV51" t="str">
        <f t="shared" si="77"/>
        <v>7777</v>
      </c>
      <c r="BW51" t="str">
        <f t="shared" si="78"/>
        <v/>
      </c>
      <c r="BX51" t="str">
        <f t="shared" si="79"/>
        <v>1111</v>
      </c>
      <c r="CB51" s="683" t="str">
        <f t="shared" si="69"/>
        <v/>
      </c>
      <c r="CC51" s="683" t="str">
        <f t="shared" si="70"/>
        <v/>
      </c>
      <c r="CD51" s="683" t="str">
        <f>IF(CC51="","",VALUE(MID($BZ$5,1+SUM($CC$3:CC50),CC51)))</f>
        <v/>
      </c>
      <c r="CE51"/>
      <c r="CF51" t="str">
        <f>IF(CD51="","",MID($BZ$4,1+SUM($CD$3:CD50),CD51))</f>
        <v/>
      </c>
    </row>
    <row r="52" spans="3:84" ht="15">
      <c r="C52" s="485">
        <f t="shared" si="25"/>
        <v>53</v>
      </c>
      <c r="D52" s="493" t="s">
        <v>29</v>
      </c>
      <c r="E52" s="568"/>
      <c r="F52" s="514" t="e">
        <f ca="1">F156/F9</f>
        <v>#N/A</v>
      </c>
      <c r="G52" s="514" t="e">
        <f ca="1">G156/G9</f>
        <v>#N/A</v>
      </c>
      <c r="H52" s="514" t="e">
        <f ca="1">H156/H9</f>
        <v>#N/A</v>
      </c>
      <c r="I52" s="514" t="e">
        <f ca="1">I156/I9</f>
        <v>#N/A</v>
      </c>
      <c r="J52" s="514" t="e">
        <f ca="1">J156/J9</f>
        <v>#N/A</v>
      </c>
      <c r="K52" s="514"/>
      <c r="L52" s="514" t="e">
        <f ca="1">L156/L9</f>
        <v>#NAME?</v>
      </c>
      <c r="M52" s="514" t="e">
        <f ca="1">M156/M9</f>
        <v>#NAME?</v>
      </c>
      <c r="N52" s="514" t="e">
        <f ca="1">N156/N9</f>
        <v>#NAME?</v>
      </c>
      <c r="O52" s="514" t="e">
        <f ca="1">O156/O9</f>
        <v>#NAME?</v>
      </c>
      <c r="P52" s="514"/>
      <c r="Q52" s="514" t="e">
        <f ca="1">Q156/Q9</f>
        <v>#NAME?</v>
      </c>
      <c r="R52" s="514" t="e">
        <f ca="1">R156/R9</f>
        <v>#NAME?</v>
      </c>
      <c r="S52" s="514"/>
      <c r="T52" s="514"/>
      <c r="U52" s="514"/>
      <c r="AJ52" s="493" t="s">
        <v>29</v>
      </c>
      <c r="AK52" s="514" t="e">
        <f t="shared" ca="1" si="105"/>
        <v>#N/A</v>
      </c>
      <c r="AL52" s="514" t="e">
        <f t="shared" ca="1" si="105"/>
        <v>#N/A</v>
      </c>
      <c r="AM52" s="514" t="e">
        <f t="shared" ca="1" si="105"/>
        <v>#N/A</v>
      </c>
      <c r="AN52" s="514" t="e">
        <f t="shared" ca="1" si="105"/>
        <v>#N/A</v>
      </c>
      <c r="AO52" s="514" t="e">
        <f t="shared" ca="1" si="101"/>
        <v>#NAME?</v>
      </c>
      <c r="AP52" s="496" t="e">
        <f t="shared" ca="1" si="101"/>
        <v>#NAME?</v>
      </c>
      <c r="BE52" s="485" t="e">
        <f t="shared" ca="1" si="90"/>
        <v>#DIV/0!</v>
      </c>
      <c r="BF52" s="654" t="str">
        <f t="shared" si="91"/>
        <v/>
      </c>
      <c r="BG52" s="675" t="e">
        <f t="shared" ca="1" si="92"/>
        <v>#DIV/0!</v>
      </c>
      <c r="BH52" s="675" t="e">
        <f t="shared" ca="1" si="93"/>
        <v>#DIV/0!</v>
      </c>
      <c r="BI52" s="675" t="e">
        <f t="shared" ca="1" si="94"/>
        <v>#DIV/0!</v>
      </c>
      <c r="BJ52" s="675" t="e">
        <f t="shared" ca="1" si="95"/>
        <v>#DIV/0!</v>
      </c>
      <c r="BK52" s="675" t="e">
        <f t="shared" ca="1" si="96"/>
        <v>#DIV/0!</v>
      </c>
      <c r="BL52" s="675" t="e">
        <f t="shared" ca="1" si="97"/>
        <v>#DIV/0!</v>
      </c>
      <c r="BM52" s="675" t="e">
        <f t="shared" ca="1" si="98"/>
        <v>#DIV/0!</v>
      </c>
      <c r="BN52" s="676" t="e">
        <f t="shared" ca="1" si="99"/>
        <v>#DIV/0!</v>
      </c>
      <c r="BP52" s="485" t="e">
        <f ca="1">IF(OR(DB_LOAD!AW51="USD",DB_LOAD!AW51='Refi-Annual Review'!$A$3,ISBLANK(DB_LOAD!AW51)),0,1)</f>
        <v>#NAME?</v>
      </c>
      <c r="BQ52" t="str">
        <f>(IF(ISBLANK(DB_LOAD!AR51),"",DB_LOAD!AR51))</f>
        <v/>
      </c>
      <c r="BR52" t="str">
        <f t="shared" si="73"/>
        <v/>
      </c>
      <c r="BS52" t="str">
        <f t="shared" si="74"/>
        <v/>
      </c>
      <c r="BT52" t="str">
        <f t="shared" si="75"/>
        <v>5500000250000016064001572600</v>
      </c>
      <c r="BU52" t="str">
        <f t="shared" si="76"/>
        <v/>
      </c>
      <c r="BV52" t="str">
        <f t="shared" si="77"/>
        <v>7777</v>
      </c>
      <c r="BW52" t="str">
        <f t="shared" si="78"/>
        <v/>
      </c>
      <c r="BX52" t="str">
        <f t="shared" si="79"/>
        <v>1111</v>
      </c>
      <c r="CB52" s="683" t="str">
        <f t="shared" si="69"/>
        <v/>
      </c>
      <c r="CC52" s="683" t="str">
        <f t="shared" si="70"/>
        <v/>
      </c>
      <c r="CD52" s="683" t="str">
        <f>IF(CC52="","",VALUE(MID($BZ$5,1+SUM($CC$3:CC51),CC52)))</f>
        <v/>
      </c>
      <c r="CE52"/>
      <c r="CF52" t="str">
        <f>IF(CD52="","",MID($BZ$4,1+SUM($CD$3:CD51),CD52))</f>
        <v/>
      </c>
    </row>
    <row r="53" spans="3:84" ht="15">
      <c r="C53" s="485">
        <f t="shared" si="25"/>
        <v>54</v>
      </c>
      <c r="D53" s="493" t="s">
        <v>30</v>
      </c>
      <c r="E53" s="568"/>
      <c r="F53" s="514" t="e">
        <f ca="1">F161/F9</f>
        <v>#N/A</v>
      </c>
      <c r="G53" s="514" t="e">
        <f ca="1">G161/G9</f>
        <v>#N/A</v>
      </c>
      <c r="H53" s="514" t="e">
        <f ca="1">H161/H9</f>
        <v>#N/A</v>
      </c>
      <c r="I53" s="514" t="e">
        <f ca="1">I161/I9</f>
        <v>#N/A</v>
      </c>
      <c r="J53" s="514" t="e">
        <f ca="1">J161/J9</f>
        <v>#N/A</v>
      </c>
      <c r="K53" s="514"/>
      <c r="L53" s="514" t="e">
        <f ca="1">L161/L9</f>
        <v>#NAME?</v>
      </c>
      <c r="M53" s="514" t="e">
        <f ca="1">M161/M9</f>
        <v>#NAME?</v>
      </c>
      <c r="N53" s="514" t="e">
        <f ca="1">N161/N9</f>
        <v>#NAME?</v>
      </c>
      <c r="O53" s="514" t="e">
        <f ca="1">O161/O9</f>
        <v>#NAME?</v>
      </c>
      <c r="P53" s="514"/>
      <c r="Q53" s="514" t="e">
        <f ca="1">Q161/Q9</f>
        <v>#NAME?</v>
      </c>
      <c r="R53" s="514" t="e">
        <f ca="1">R161/R9</f>
        <v>#NAME?</v>
      </c>
      <c r="S53" s="514"/>
      <c r="T53" s="514"/>
      <c r="U53" s="514"/>
      <c r="AJ53" s="493" t="s">
        <v>30</v>
      </c>
      <c r="AK53" s="514" t="e">
        <f t="shared" ca="1" si="105"/>
        <v>#N/A</v>
      </c>
      <c r="AL53" s="514" t="e">
        <f t="shared" ca="1" si="105"/>
        <v>#N/A</v>
      </c>
      <c r="AM53" s="514" t="e">
        <f t="shared" ca="1" si="105"/>
        <v>#N/A</v>
      </c>
      <c r="AN53" s="514" t="e">
        <f t="shared" ca="1" si="105"/>
        <v>#N/A</v>
      </c>
      <c r="AO53" s="514" t="e">
        <f t="shared" ca="1" si="101"/>
        <v>#NAME?</v>
      </c>
      <c r="AP53" s="496" t="e">
        <f t="shared" ca="1" si="101"/>
        <v>#NAME?</v>
      </c>
      <c r="BE53" s="485" t="e">
        <f t="shared" ca="1" si="90"/>
        <v>#DIV/0!</v>
      </c>
      <c r="BF53" s="654" t="str">
        <f t="shared" si="91"/>
        <v/>
      </c>
      <c r="BG53" s="675" t="e">
        <f t="shared" ca="1" si="92"/>
        <v>#DIV/0!</v>
      </c>
      <c r="BH53" s="675" t="e">
        <f t="shared" ca="1" si="93"/>
        <v>#DIV/0!</v>
      </c>
      <c r="BI53" s="675" t="e">
        <f t="shared" ca="1" si="94"/>
        <v>#DIV/0!</v>
      </c>
      <c r="BJ53" s="675" t="e">
        <f t="shared" ca="1" si="95"/>
        <v>#DIV/0!</v>
      </c>
      <c r="BK53" s="675" t="e">
        <f t="shared" ca="1" si="96"/>
        <v>#DIV/0!</v>
      </c>
      <c r="BL53" s="675" t="e">
        <f t="shared" ca="1" si="97"/>
        <v>#DIV/0!</v>
      </c>
      <c r="BM53" s="675" t="e">
        <f t="shared" ca="1" si="98"/>
        <v>#DIV/0!</v>
      </c>
      <c r="BN53" s="676" t="e">
        <f t="shared" ca="1" si="99"/>
        <v>#DIV/0!</v>
      </c>
      <c r="BP53" s="485" t="e">
        <f ca="1">IF(OR(DB_LOAD!AW52="USD",DB_LOAD!AW52='Refi-Annual Review'!$A$3,ISBLANK(DB_LOAD!AW52)),0,1)</f>
        <v>#NAME?</v>
      </c>
      <c r="BQ53" t="str">
        <f>(IF(ISBLANK(DB_LOAD!AR52),"",DB_LOAD!AR52))</f>
        <v/>
      </c>
      <c r="BR53" t="str">
        <f t="shared" si="73"/>
        <v/>
      </c>
      <c r="BS53" t="str">
        <f t="shared" si="74"/>
        <v/>
      </c>
      <c r="BT53" t="str">
        <f t="shared" si="75"/>
        <v>5500000250000016064001572600</v>
      </c>
      <c r="BU53" t="str">
        <f t="shared" si="76"/>
        <v/>
      </c>
      <c r="BV53" t="str">
        <f t="shared" si="77"/>
        <v>7777</v>
      </c>
      <c r="BW53" t="str">
        <f t="shared" si="78"/>
        <v/>
      </c>
      <c r="BX53" t="str">
        <f t="shared" si="79"/>
        <v>1111</v>
      </c>
      <c r="CB53" s="683" t="str">
        <f t="shared" si="69"/>
        <v/>
      </c>
      <c r="CC53" s="683" t="str">
        <f t="shared" si="70"/>
        <v/>
      </c>
      <c r="CD53" s="683" t="str">
        <f>IF(CC53="","",VALUE(MID($BZ$5,1+SUM($CC$3:CC52),CC53)))</f>
        <v/>
      </c>
      <c r="CE53"/>
      <c r="CF53" t="str">
        <f>IF(CD53="","",MID($BZ$4,1+SUM($CD$3:CD52),CD53))</f>
        <v/>
      </c>
    </row>
    <row r="54" spans="3:84" ht="15">
      <c r="C54" s="485">
        <f t="shared" si="25"/>
        <v>55</v>
      </c>
      <c r="D54" s="493" t="s">
        <v>31</v>
      </c>
      <c r="E54" s="568"/>
      <c r="F54" s="496"/>
      <c r="G54" s="496" t="str">
        <f t="shared" ref="G54:I54" ca="1" si="106">IFERROR(G162/AK180,"N/A")</f>
        <v>N/A</v>
      </c>
      <c r="H54" s="496" t="str">
        <f t="shared" ca="1" si="106"/>
        <v>N/A</v>
      </c>
      <c r="I54" s="496" t="str">
        <f t="shared" ca="1" si="106"/>
        <v>N/A</v>
      </c>
      <c r="J54" s="496" t="str">
        <f ca="1">IFERROR(J162/AN180,"N/A")</f>
        <v>N/A</v>
      </c>
      <c r="K54" s="496"/>
      <c r="L54" s="496" t="str">
        <f t="shared" ref="L54:M54" ca="1" si="107">IFERROR(L162/AK180,"N/A")</f>
        <v>N/A</v>
      </c>
      <c r="M54" s="496" t="str">
        <f t="shared" ca="1" si="107"/>
        <v>N/A</v>
      </c>
      <c r="N54" s="496" t="str">
        <f ca="1">IFERROR(N162/AM180,"N/A")</f>
        <v>N/A</v>
      </c>
      <c r="O54" s="496" t="str">
        <f t="shared" ref="O54" ca="1" si="108">IFERROR(O162/AVERAGE(O9,IF(J9="",N9,J9)),"N/A")</f>
        <v>N/A</v>
      </c>
      <c r="P54" s="496"/>
      <c r="Q54" s="496" t="e">
        <f ca="1">Q162/Q180</f>
        <v>#NAME?</v>
      </c>
      <c r="R54" s="496" t="e">
        <f ca="1">R162/Q180</f>
        <v>#NAME?</v>
      </c>
      <c r="S54" s="496"/>
      <c r="T54" s="496"/>
      <c r="U54" s="496"/>
      <c r="AJ54" s="493" t="s">
        <v>31</v>
      </c>
      <c r="AK54" s="496" t="e">
        <f t="shared" ca="1" si="105"/>
        <v>#N/A</v>
      </c>
      <c r="AL54" s="496" t="e">
        <f t="shared" ca="1" si="105"/>
        <v>#N/A</v>
      </c>
      <c r="AM54" s="496" t="e">
        <f t="shared" ca="1" si="105"/>
        <v>#N/A</v>
      </c>
      <c r="AN54" s="496" t="e">
        <f t="shared" ca="1" si="105"/>
        <v>#N/A</v>
      </c>
      <c r="AO54" s="496" t="e">
        <f t="shared" ca="1" si="101"/>
        <v>#NAME?</v>
      </c>
      <c r="AP54" s="496" t="e">
        <f t="shared" ca="1" si="101"/>
        <v>#NAME?</v>
      </c>
      <c r="BE54" s="485" t="e">
        <f t="shared" ca="1" si="90"/>
        <v>#DIV/0!</v>
      </c>
      <c r="BF54" s="654" t="str">
        <f t="shared" si="91"/>
        <v/>
      </c>
      <c r="BG54" s="675" t="e">
        <f t="shared" ca="1" si="92"/>
        <v>#DIV/0!</v>
      </c>
      <c r="BH54" s="675" t="e">
        <f t="shared" ca="1" si="93"/>
        <v>#DIV/0!</v>
      </c>
      <c r="BI54" s="675" t="e">
        <f t="shared" ca="1" si="94"/>
        <v>#DIV/0!</v>
      </c>
      <c r="BJ54" s="675" t="e">
        <f t="shared" ca="1" si="95"/>
        <v>#DIV/0!</v>
      </c>
      <c r="BK54" s="675" t="e">
        <f t="shared" ca="1" si="96"/>
        <v>#DIV/0!</v>
      </c>
      <c r="BL54" s="675" t="e">
        <f t="shared" ca="1" si="97"/>
        <v>#DIV/0!</v>
      </c>
      <c r="BM54" s="675" t="e">
        <f t="shared" ca="1" si="98"/>
        <v>#DIV/0!</v>
      </c>
      <c r="BN54" s="676" t="e">
        <f t="shared" ca="1" si="99"/>
        <v>#DIV/0!</v>
      </c>
      <c r="BP54" s="485" t="e">
        <f ca="1">IF(OR(DB_LOAD!AW53="USD",DB_LOAD!AW53='Refi-Annual Review'!$A$3,ISBLANK(DB_LOAD!AW53)),0,1)</f>
        <v>#NAME?</v>
      </c>
      <c r="BQ54" t="str">
        <f>(IF(ISBLANK(DB_LOAD!AR53),"",DB_LOAD!AR53))</f>
        <v/>
      </c>
      <c r="BR54" t="str">
        <f t="shared" si="73"/>
        <v/>
      </c>
      <c r="BS54" t="str">
        <f t="shared" si="74"/>
        <v/>
      </c>
      <c r="BT54" t="str">
        <f t="shared" si="75"/>
        <v>5500000250000016064001572600</v>
      </c>
      <c r="BU54" t="str">
        <f t="shared" si="76"/>
        <v/>
      </c>
      <c r="BV54" t="str">
        <f t="shared" si="77"/>
        <v>7777</v>
      </c>
      <c r="BW54" t="str">
        <f t="shared" si="78"/>
        <v/>
      </c>
      <c r="BX54" t="str">
        <f t="shared" si="79"/>
        <v>1111</v>
      </c>
      <c r="CB54" s="683" t="str">
        <f t="shared" si="69"/>
        <v/>
      </c>
      <c r="CC54" s="683" t="str">
        <f t="shared" si="70"/>
        <v/>
      </c>
      <c r="CD54" s="683" t="str">
        <f>IF(CC54="","",VALUE(MID($BZ$5,1+SUM($CC$3:CC53),CC54)))</f>
        <v/>
      </c>
      <c r="CE54"/>
      <c r="CF54" t="str">
        <f>IF(CD54="","",MID($BZ$4,1+SUM($CD$3:CD53),CD54))</f>
        <v/>
      </c>
    </row>
    <row r="55" spans="3:84" ht="15">
      <c r="C55" s="485">
        <f t="shared" si="25"/>
        <v>56</v>
      </c>
      <c r="D55" s="493" t="s">
        <v>32</v>
      </c>
      <c r="E55" s="568"/>
      <c r="F55" s="496" t="e">
        <f ca="1">F161/F156</f>
        <v>#N/A</v>
      </c>
      <c r="G55" s="496" t="e">
        <f ca="1">G161/G156</f>
        <v>#N/A</v>
      </c>
      <c r="H55" s="496" t="e">
        <f ca="1">H161/H156</f>
        <v>#N/A</v>
      </c>
      <c r="I55" s="496" t="e">
        <f ca="1">I161/I156</f>
        <v>#N/A</v>
      </c>
      <c r="J55" s="496" t="e">
        <f ca="1">J161/J156</f>
        <v>#N/A</v>
      </c>
      <c r="K55" s="496"/>
      <c r="L55" s="496" t="e">
        <f ca="1">L161/L156</f>
        <v>#NAME?</v>
      </c>
      <c r="M55" s="496" t="e">
        <f ca="1">M161/M156</f>
        <v>#NAME?</v>
      </c>
      <c r="N55" s="496" t="e">
        <f ca="1">N161/N156</f>
        <v>#NAME?</v>
      </c>
      <c r="O55" s="496" t="e">
        <f ca="1">O161/O156</f>
        <v>#NAME?</v>
      </c>
      <c r="P55" s="496"/>
      <c r="Q55" s="496" t="e">
        <f ca="1">Q161/Q156</f>
        <v>#NAME?</v>
      </c>
      <c r="R55" s="496" t="e">
        <f ca="1">R161/R156</f>
        <v>#NAME?</v>
      </c>
      <c r="S55" s="496"/>
      <c r="T55" s="496"/>
      <c r="U55" s="496"/>
      <c r="AJ55" s="493" t="s">
        <v>32</v>
      </c>
      <c r="AK55" s="496" t="e">
        <f t="shared" ca="1" si="105"/>
        <v>#N/A</v>
      </c>
      <c r="AL55" s="496" t="e">
        <f t="shared" ca="1" si="105"/>
        <v>#N/A</v>
      </c>
      <c r="AM55" s="496" t="e">
        <f t="shared" ca="1" si="105"/>
        <v>#N/A</v>
      </c>
      <c r="AN55" s="496" t="e">
        <f t="shared" ca="1" si="105"/>
        <v>#N/A</v>
      </c>
      <c r="AO55" s="496" t="e">
        <f t="shared" ca="1" si="101"/>
        <v>#NAME?</v>
      </c>
      <c r="AP55" s="496" t="e">
        <f t="shared" ca="1" si="101"/>
        <v>#NAME?</v>
      </c>
      <c r="BE55" s="485" t="e">
        <f t="shared" ca="1" si="90"/>
        <v>#DIV/0!</v>
      </c>
      <c r="BF55" s="654" t="str">
        <f t="shared" si="91"/>
        <v/>
      </c>
      <c r="BG55" s="675" t="e">
        <f t="shared" ca="1" si="92"/>
        <v>#DIV/0!</v>
      </c>
      <c r="BH55" s="675" t="e">
        <f t="shared" ca="1" si="93"/>
        <v>#DIV/0!</v>
      </c>
      <c r="BI55" s="675" t="e">
        <f t="shared" ca="1" si="94"/>
        <v>#DIV/0!</v>
      </c>
      <c r="BJ55" s="675" t="e">
        <f t="shared" ca="1" si="95"/>
        <v>#DIV/0!</v>
      </c>
      <c r="BK55" s="675" t="e">
        <f t="shared" ca="1" si="96"/>
        <v>#DIV/0!</v>
      </c>
      <c r="BL55" s="675" t="e">
        <f t="shared" ca="1" si="97"/>
        <v>#DIV/0!</v>
      </c>
      <c r="BM55" s="675" t="e">
        <f t="shared" ca="1" si="98"/>
        <v>#DIV/0!</v>
      </c>
      <c r="BN55" s="676" t="e">
        <f t="shared" ca="1" si="99"/>
        <v>#DIV/0!</v>
      </c>
      <c r="BP55" s="485" t="e">
        <f ca="1">IF(OR(DB_LOAD!AW54="USD",DB_LOAD!AW54='Refi-Annual Review'!$A$3,ISBLANK(DB_LOAD!AW54)),0,1)</f>
        <v>#NAME?</v>
      </c>
      <c r="BQ55" t="str">
        <f>(IF(ISBLANK(DB_LOAD!AR54),"",DB_LOAD!AR54))</f>
        <v/>
      </c>
      <c r="BR55" t="str">
        <f t="shared" si="73"/>
        <v/>
      </c>
      <c r="BS55" t="str">
        <f t="shared" si="74"/>
        <v/>
      </c>
      <c r="BT55" t="str">
        <f t="shared" si="75"/>
        <v>5500000250000016064001572600</v>
      </c>
      <c r="BU55" t="str">
        <f t="shared" si="76"/>
        <v/>
      </c>
      <c r="BV55" t="str">
        <f t="shared" si="77"/>
        <v>7777</v>
      </c>
      <c r="BW55" t="str">
        <f t="shared" si="78"/>
        <v/>
      </c>
      <c r="BX55" t="str">
        <f t="shared" si="79"/>
        <v>1111</v>
      </c>
      <c r="CB55" s="683" t="str">
        <f t="shared" si="69"/>
        <v/>
      </c>
      <c r="CC55" s="683" t="str">
        <f t="shared" si="70"/>
        <v/>
      </c>
      <c r="CD55" s="683" t="str">
        <f>IF(CC55="","",VALUE(MID($BZ$5,1+SUM($CC$3:CC54),CC55)))</f>
        <v/>
      </c>
      <c r="CE55"/>
      <c r="CF55" t="str">
        <f>IF(CD55="","",MID($BZ$4,1+SUM($CD$3:CD54),CD55))</f>
        <v/>
      </c>
    </row>
    <row r="56" spans="3:84" ht="15">
      <c r="C56" s="485">
        <f t="shared" si="25"/>
        <v>57</v>
      </c>
      <c r="D56" s="493" t="s">
        <v>391</v>
      </c>
      <c r="E56" s="568"/>
      <c r="F56" s="496"/>
      <c r="G56" s="496" t="e">
        <f ca="1">G162/(G161+G156)</f>
        <v>#N/A</v>
      </c>
      <c r="H56" s="496" t="e">
        <f ca="1">H162/(H161+H156)</f>
        <v>#N/A</v>
      </c>
      <c r="I56" s="496" t="e">
        <f ca="1">I162/(I161+I156)</f>
        <v>#N/A</v>
      </c>
      <c r="J56" s="496" t="e">
        <f ca="1">J162/(J161+J156)</f>
        <v>#N/A</v>
      </c>
      <c r="K56" s="496"/>
      <c r="L56" s="496" t="e">
        <f ca="1">L162/(L161+L156)</f>
        <v>#NAME?</v>
      </c>
      <c r="M56" s="496" t="e">
        <f ca="1">M162/(M161+M156)</f>
        <v>#NAME?</v>
      </c>
      <c r="N56" s="496" t="e">
        <f ca="1">N162/(N161+N156)</f>
        <v>#NAME?</v>
      </c>
      <c r="O56" s="496" t="e">
        <f ca="1">O162/(O161+O156)</f>
        <v>#NAME?</v>
      </c>
      <c r="P56" s="496"/>
      <c r="Q56" s="496" t="e">
        <f ca="1">Q162/(Q161+Q156)</f>
        <v>#NAME?</v>
      </c>
      <c r="R56" s="496" t="e">
        <f ca="1">R162/(R161+R156)</f>
        <v>#NAME?</v>
      </c>
      <c r="S56" s="496"/>
      <c r="T56" s="496"/>
      <c r="U56" s="496"/>
      <c r="AJ56" s="493" t="s">
        <v>391</v>
      </c>
      <c r="AK56" s="496" t="e">
        <f t="shared" ca="1" si="105"/>
        <v>#N/A</v>
      </c>
      <c r="AL56" s="496" t="e">
        <f t="shared" ca="1" si="105"/>
        <v>#N/A</v>
      </c>
      <c r="AM56" s="496" t="e">
        <f t="shared" ca="1" si="105"/>
        <v>#N/A</v>
      </c>
      <c r="AN56" s="496" t="e">
        <f t="shared" ca="1" si="105"/>
        <v>#N/A</v>
      </c>
      <c r="AO56" s="496" t="e">
        <f t="shared" ca="1" si="101"/>
        <v>#NAME?</v>
      </c>
      <c r="AP56" s="496" t="e">
        <f t="shared" ca="1" si="101"/>
        <v>#NAME?</v>
      </c>
      <c r="BE56" s="485" t="e">
        <f t="shared" ca="1" si="90"/>
        <v>#DIV/0!</v>
      </c>
      <c r="BF56" s="654" t="str">
        <f t="shared" si="91"/>
        <v/>
      </c>
      <c r="BG56" s="675" t="e">
        <f t="shared" ca="1" si="92"/>
        <v>#DIV/0!</v>
      </c>
      <c r="BH56" s="675" t="e">
        <f t="shared" ca="1" si="93"/>
        <v>#DIV/0!</v>
      </c>
      <c r="BI56" s="675" t="e">
        <f t="shared" ca="1" si="94"/>
        <v>#DIV/0!</v>
      </c>
      <c r="BJ56" s="675" t="e">
        <f t="shared" ca="1" si="95"/>
        <v>#DIV/0!</v>
      </c>
      <c r="BK56" s="675" t="e">
        <f t="shared" ca="1" si="96"/>
        <v>#DIV/0!</v>
      </c>
      <c r="BL56" s="675" t="e">
        <f t="shared" ca="1" si="97"/>
        <v>#DIV/0!</v>
      </c>
      <c r="BM56" s="675" t="e">
        <f t="shared" ca="1" si="98"/>
        <v>#DIV/0!</v>
      </c>
      <c r="BN56" s="676" t="e">
        <f t="shared" ca="1" si="99"/>
        <v>#DIV/0!</v>
      </c>
      <c r="BP56" s="485" t="e">
        <f ca="1">IF(OR(DB_LOAD!AW55="USD",DB_LOAD!AW55='Refi-Annual Review'!$A$3,ISBLANK(DB_LOAD!AW55)),0,1)</f>
        <v>#NAME?</v>
      </c>
      <c r="BQ56" t="str">
        <f>(IF(ISBLANK(DB_LOAD!AR55),"",DB_LOAD!AR55))</f>
        <v/>
      </c>
      <c r="BR56" t="str">
        <f t="shared" si="73"/>
        <v/>
      </c>
      <c r="BS56" t="str">
        <f t="shared" si="74"/>
        <v/>
      </c>
      <c r="BT56" t="str">
        <f t="shared" si="75"/>
        <v>5500000250000016064001572600</v>
      </c>
      <c r="BU56" t="str">
        <f t="shared" si="76"/>
        <v/>
      </c>
      <c r="BV56" t="str">
        <f t="shared" si="77"/>
        <v>7777</v>
      </c>
      <c r="BW56" t="str">
        <f t="shared" si="78"/>
        <v/>
      </c>
      <c r="BX56" t="str">
        <f t="shared" si="79"/>
        <v>1111</v>
      </c>
      <c r="CB56" s="683" t="str">
        <f t="shared" si="69"/>
        <v/>
      </c>
      <c r="CC56" s="683" t="str">
        <f t="shared" si="70"/>
        <v/>
      </c>
      <c r="CD56" s="683" t="str">
        <f>IF(CC56="","",VALUE(MID($BZ$5,1+SUM($CC$3:CC55),CC56)))</f>
        <v/>
      </c>
      <c r="CE56"/>
      <c r="CF56" t="str">
        <f>IF(CD56="","",MID($BZ$4,1+SUM($CD$3:CD55),CD56))</f>
        <v/>
      </c>
    </row>
    <row r="57" spans="3:84" ht="15">
      <c r="C57" s="485">
        <f t="shared" si="25"/>
        <v>58</v>
      </c>
      <c r="D57" s="493" t="s">
        <v>33</v>
      </c>
      <c r="E57" s="568"/>
      <c r="F57" s="496" t="str">
        <f ca="1">IFERROR(F163/F162,"N/A")</f>
        <v>N/A</v>
      </c>
      <c r="G57" s="496" t="str">
        <f ca="1">IFERROR(G163/G162,"N/A")</f>
        <v>N/A</v>
      </c>
      <c r="H57" s="496" t="str">
        <f ca="1">IFERROR(H163/H162,"N/A")</f>
        <v>N/A</v>
      </c>
      <c r="I57" s="496" t="str">
        <f ca="1">IFERROR(I163/I162,"N/A")</f>
        <v>N/A</v>
      </c>
      <c r="J57" s="496" t="str">
        <f ca="1">IFERROR(J163/J162,"N/A")</f>
        <v>N/A</v>
      </c>
      <c r="K57" s="496"/>
      <c r="L57" s="496" t="str">
        <f ca="1">IFERROR(L163/L162,"N/A")</f>
        <v>N/A</v>
      </c>
      <c r="M57" s="496" t="str">
        <f ca="1">IFERROR(M163/M162,"N/A")</f>
        <v>N/A</v>
      </c>
      <c r="N57" s="496" t="str">
        <f ca="1">IFERROR(N163/N162,"N/A")</f>
        <v>N/A</v>
      </c>
      <c r="O57" s="496" t="str">
        <f ca="1">IFERROR(O163/O162,"N/A")</f>
        <v>N/A</v>
      </c>
      <c r="P57" s="496"/>
      <c r="Q57" s="496" t="str">
        <f ca="1">IFERROR(Q163/Q162,"N/A")</f>
        <v>N/A</v>
      </c>
      <c r="R57" s="496" t="str">
        <f ca="1">IFERROR(R163/R162,"N/A")</f>
        <v>N/A</v>
      </c>
      <c r="S57" s="496"/>
      <c r="T57" s="496"/>
      <c r="U57" s="496"/>
      <c r="AJ57" s="493" t="s">
        <v>33</v>
      </c>
      <c r="AK57" s="496" t="e">
        <f t="shared" ca="1" si="105"/>
        <v>#N/A</v>
      </c>
      <c r="AL57" s="496" t="e">
        <f t="shared" ca="1" si="105"/>
        <v>#N/A</v>
      </c>
      <c r="AM57" s="496" t="e">
        <f t="shared" ca="1" si="105"/>
        <v>#N/A</v>
      </c>
      <c r="AN57" s="496" t="e">
        <f t="shared" ca="1" si="105"/>
        <v>#N/A</v>
      </c>
      <c r="AO57" s="496" t="str">
        <f t="shared" ca="1" si="101"/>
        <v>N/A</v>
      </c>
      <c r="AP57" s="496" t="str">
        <f t="shared" ca="1" si="101"/>
        <v>N/A</v>
      </c>
      <c r="BE57" s="485" t="e">
        <f t="shared" ca="1" si="90"/>
        <v>#DIV/0!</v>
      </c>
      <c r="BF57" s="654" t="str">
        <f t="shared" si="91"/>
        <v/>
      </c>
      <c r="BG57" s="675" t="e">
        <f t="shared" ca="1" si="92"/>
        <v>#DIV/0!</v>
      </c>
      <c r="BH57" s="675" t="e">
        <f t="shared" ca="1" si="93"/>
        <v>#DIV/0!</v>
      </c>
      <c r="BI57" s="675" t="e">
        <f t="shared" ca="1" si="94"/>
        <v>#DIV/0!</v>
      </c>
      <c r="BJ57" s="675" t="e">
        <f t="shared" ca="1" si="95"/>
        <v>#DIV/0!</v>
      </c>
      <c r="BK57" s="675" t="e">
        <f t="shared" ca="1" si="96"/>
        <v>#DIV/0!</v>
      </c>
      <c r="BL57" s="675" t="e">
        <f t="shared" ca="1" si="97"/>
        <v>#DIV/0!</v>
      </c>
      <c r="BM57" s="675" t="e">
        <f t="shared" ca="1" si="98"/>
        <v>#DIV/0!</v>
      </c>
      <c r="BN57" s="676" t="e">
        <f t="shared" ca="1" si="99"/>
        <v>#DIV/0!</v>
      </c>
      <c r="BP57" s="485" t="e">
        <f ca="1">IF(OR(DB_LOAD!AW56="USD",DB_LOAD!AW56='Refi-Annual Review'!$A$3,ISBLANK(DB_LOAD!AW56)),0,1)</f>
        <v>#NAME?</v>
      </c>
      <c r="BQ57" t="str">
        <f>(IF(ISBLANK(DB_LOAD!AR56),"",DB_LOAD!AR56))</f>
        <v/>
      </c>
      <c r="BR57" t="str">
        <f t="shared" si="73"/>
        <v/>
      </c>
      <c r="BS57" t="str">
        <f t="shared" si="74"/>
        <v/>
      </c>
      <c r="BT57" t="str">
        <f t="shared" si="75"/>
        <v>5500000250000016064001572600</v>
      </c>
      <c r="BU57" t="str">
        <f t="shared" si="76"/>
        <v/>
      </c>
      <c r="BV57" t="str">
        <f t="shared" si="77"/>
        <v>7777</v>
      </c>
      <c r="BW57" t="str">
        <f t="shared" si="78"/>
        <v/>
      </c>
      <c r="BX57" t="str">
        <f t="shared" si="79"/>
        <v>1111</v>
      </c>
      <c r="CB57" s="683" t="str">
        <f t="shared" si="69"/>
        <v/>
      </c>
      <c r="CC57" s="683" t="str">
        <f t="shared" si="70"/>
        <v/>
      </c>
      <c r="CD57" s="683" t="str">
        <f>IF(CC57="","",VALUE(MID($BZ$5,1+SUM($CC$3:CC56),CC57)))</f>
        <v/>
      </c>
      <c r="CE57"/>
      <c r="CF57" t="str">
        <f>IF(CD57="","",MID($BZ$4,1+SUM($CD$3:CD56),CD57))</f>
        <v/>
      </c>
    </row>
    <row r="58" spans="3:84" ht="15">
      <c r="C58" s="485">
        <f t="shared" si="25"/>
        <v>59</v>
      </c>
      <c r="D58" s="493" t="s">
        <v>34</v>
      </c>
      <c r="E58" s="568"/>
      <c r="F58" s="496" t="e">
        <f ca="1">ABS(F97/F95)</f>
        <v>#N/A</v>
      </c>
      <c r="G58" s="496" t="e">
        <f ca="1">ABS(G97/G95)</f>
        <v>#N/A</v>
      </c>
      <c r="H58" s="496" t="e">
        <f ca="1">ABS(H97/H95)</f>
        <v>#N/A</v>
      </c>
      <c r="I58" s="496" t="e">
        <f ca="1">ABS(I97/I95)</f>
        <v>#N/A</v>
      </c>
      <c r="J58" s="496" t="e">
        <f ca="1">ABS(J97/J95)</f>
        <v>#N/A</v>
      </c>
      <c r="K58" s="496"/>
      <c r="L58" s="496" t="e">
        <f ca="1">ABS(L97/L95)</f>
        <v>#NAME?</v>
      </c>
      <c r="M58" s="496" t="e">
        <f ca="1">ABS(M97/M95)</f>
        <v>#NAME?</v>
      </c>
      <c r="N58" s="496" t="e">
        <f ca="1">ABS(N97/N95)</f>
        <v>#NAME?</v>
      </c>
      <c r="O58" s="496" t="e">
        <f ca="1">ABS(O97/O95)</f>
        <v>#NAME?</v>
      </c>
      <c r="P58" s="496"/>
      <c r="Q58" s="496" t="e">
        <f ca="1">ABS(Q97/Q95)</f>
        <v>#NAME?</v>
      </c>
      <c r="R58" s="496" t="e">
        <f ca="1">ABS(R97/R95)</f>
        <v>#NAME?</v>
      </c>
      <c r="S58" s="496"/>
      <c r="T58" s="496"/>
      <c r="U58" s="496"/>
      <c r="AJ58" s="493" t="s">
        <v>34</v>
      </c>
      <c r="AK58" s="496" t="e">
        <f t="shared" ca="1" si="105"/>
        <v>#N/A</v>
      </c>
      <c r="AL58" s="496" t="e">
        <f t="shared" ca="1" si="105"/>
        <v>#N/A</v>
      </c>
      <c r="AM58" s="496" t="e">
        <f t="shared" ca="1" si="105"/>
        <v>#N/A</v>
      </c>
      <c r="AN58" s="496" t="e">
        <f t="shared" ca="1" si="105"/>
        <v>#N/A</v>
      </c>
      <c r="AO58" s="496" t="e">
        <f t="shared" ca="1" si="101"/>
        <v>#NAME?</v>
      </c>
      <c r="AP58" s="496" t="e">
        <f t="shared" ca="1" si="101"/>
        <v>#NAME?</v>
      </c>
      <c r="BE58" s="485" t="e">
        <f t="shared" ca="1" si="90"/>
        <v>#DIV/0!</v>
      </c>
      <c r="BF58" s="654" t="str">
        <f t="shared" si="91"/>
        <v/>
      </c>
      <c r="BG58" s="675" t="e">
        <f t="shared" ca="1" si="92"/>
        <v>#DIV/0!</v>
      </c>
      <c r="BH58" s="675" t="e">
        <f t="shared" ca="1" si="93"/>
        <v>#DIV/0!</v>
      </c>
      <c r="BI58" s="675" t="e">
        <f t="shared" ca="1" si="94"/>
        <v>#DIV/0!</v>
      </c>
      <c r="BJ58" s="675" t="e">
        <f t="shared" ca="1" si="95"/>
        <v>#DIV/0!</v>
      </c>
      <c r="BK58" s="675" t="e">
        <f t="shared" ca="1" si="96"/>
        <v>#DIV/0!</v>
      </c>
      <c r="BL58" s="675" t="e">
        <f t="shared" ca="1" si="97"/>
        <v>#DIV/0!</v>
      </c>
      <c r="BM58" s="675" t="e">
        <f t="shared" ca="1" si="98"/>
        <v>#DIV/0!</v>
      </c>
      <c r="BN58" s="676" t="e">
        <f t="shared" ca="1" si="99"/>
        <v>#DIV/0!</v>
      </c>
      <c r="BP58" s="485" t="e">
        <f ca="1">IF(OR(DB_LOAD!AW57="USD",DB_LOAD!AW57='Refi-Annual Review'!$A$3,ISBLANK(DB_LOAD!AW57)),0,1)</f>
        <v>#NAME?</v>
      </c>
      <c r="BQ58" t="str">
        <f>(IF(ISBLANK(DB_LOAD!AR57),"",DB_LOAD!AR57))</f>
        <v/>
      </c>
      <c r="BR58" t="str">
        <f t="shared" si="73"/>
        <v/>
      </c>
      <c r="BS58" t="str">
        <f t="shared" si="74"/>
        <v/>
      </c>
      <c r="BT58" t="str">
        <f t="shared" si="75"/>
        <v>5500000250000016064001572600</v>
      </c>
      <c r="BU58" t="str">
        <f t="shared" si="76"/>
        <v/>
      </c>
      <c r="BV58" t="str">
        <f t="shared" si="77"/>
        <v>7777</v>
      </c>
      <c r="BW58" t="str">
        <f t="shared" si="78"/>
        <v/>
      </c>
      <c r="BX58" t="str">
        <f t="shared" si="79"/>
        <v>1111</v>
      </c>
      <c r="CB58" s="683" t="str">
        <f t="shared" si="69"/>
        <v/>
      </c>
      <c r="CC58" s="683" t="str">
        <f t="shared" si="70"/>
        <v/>
      </c>
      <c r="CD58" s="683" t="str">
        <f>IF(CC58="","",VALUE(MID($BZ$5,1+SUM($CC$3:CC57),CC58)))</f>
        <v/>
      </c>
      <c r="CE58"/>
      <c r="CF58" t="str">
        <f>IF(CD58="","",MID($BZ$4,1+SUM($CD$3:CD57),CD58))</f>
        <v/>
      </c>
    </row>
    <row r="59" spans="3:84" ht="15">
      <c r="C59" s="485">
        <f t="shared" si="25"/>
        <v>60</v>
      </c>
      <c r="D59" s="493" t="s">
        <v>35</v>
      </c>
      <c r="E59" s="568"/>
      <c r="F59" s="496" t="e">
        <f ca="1">ABS(F97/(F156+F161))</f>
        <v>#N/A</v>
      </c>
      <c r="G59" s="496" t="e">
        <f ca="1">ABS(G97/(G156+G161))</f>
        <v>#N/A</v>
      </c>
      <c r="H59" s="496" t="e">
        <f ca="1">ABS(H97/(H156+H161))</f>
        <v>#N/A</v>
      </c>
      <c r="I59" s="496" t="e">
        <f ca="1">ABS(I97/(I156+I161))</f>
        <v>#N/A</v>
      </c>
      <c r="J59" s="496" t="e">
        <f ca="1">ABS(J97/(J156+J161))</f>
        <v>#N/A</v>
      </c>
      <c r="K59" s="496"/>
      <c r="L59" s="496" t="e">
        <f ca="1">ABS(L97/(L156+L161))</f>
        <v>#NAME?</v>
      </c>
      <c r="M59" s="496" t="e">
        <f ca="1">ABS(M97/(M156+M161))</f>
        <v>#NAME?</v>
      </c>
      <c r="N59" s="496" t="e">
        <f ca="1">ABS(N97/(N156+N161))</f>
        <v>#NAME?</v>
      </c>
      <c r="O59" s="496" t="e">
        <f ca="1">ABS(O97/(O156+O161))</f>
        <v>#NAME?</v>
      </c>
      <c r="P59" s="496"/>
      <c r="Q59" s="496" t="e">
        <f ca="1">ABS(Q97/(Q156+Q161))</f>
        <v>#NAME?</v>
      </c>
      <c r="R59" s="496" t="e">
        <f ca="1">ABS(R97/(R156+R161))</f>
        <v>#NAME?</v>
      </c>
      <c r="S59" s="496"/>
      <c r="T59" s="496"/>
      <c r="U59" s="496"/>
      <c r="AJ59" s="493" t="s">
        <v>35</v>
      </c>
      <c r="AK59" s="496" t="e">
        <f t="shared" ca="1" si="105"/>
        <v>#N/A</v>
      </c>
      <c r="AL59" s="496" t="e">
        <f t="shared" ca="1" si="105"/>
        <v>#N/A</v>
      </c>
      <c r="AM59" s="496" t="e">
        <f t="shared" ca="1" si="105"/>
        <v>#N/A</v>
      </c>
      <c r="AN59" s="496" t="e">
        <f t="shared" ca="1" si="105"/>
        <v>#N/A</v>
      </c>
      <c r="AO59" s="496" t="e">
        <f t="shared" ca="1" si="101"/>
        <v>#NAME?</v>
      </c>
      <c r="AP59" s="496" t="e">
        <f t="shared" ca="1" si="101"/>
        <v>#NAME?</v>
      </c>
      <c r="BE59" s="485" t="e">
        <f t="shared" ca="1" si="90"/>
        <v>#DIV/0!</v>
      </c>
      <c r="BF59" s="654" t="str">
        <f t="shared" si="91"/>
        <v/>
      </c>
      <c r="BG59" s="675" t="e">
        <f t="shared" ca="1" si="92"/>
        <v>#DIV/0!</v>
      </c>
      <c r="BH59" s="675" t="e">
        <f t="shared" ca="1" si="93"/>
        <v>#DIV/0!</v>
      </c>
      <c r="BI59" s="675" t="e">
        <f t="shared" ca="1" si="94"/>
        <v>#DIV/0!</v>
      </c>
      <c r="BJ59" s="675" t="e">
        <f t="shared" ca="1" si="95"/>
        <v>#DIV/0!</v>
      </c>
      <c r="BK59" s="675" t="e">
        <f t="shared" ca="1" si="96"/>
        <v>#DIV/0!</v>
      </c>
      <c r="BL59" s="675" t="e">
        <f t="shared" ca="1" si="97"/>
        <v>#DIV/0!</v>
      </c>
      <c r="BM59" s="675" t="e">
        <f t="shared" ca="1" si="98"/>
        <v>#DIV/0!</v>
      </c>
      <c r="BN59" s="676" t="e">
        <f t="shared" ca="1" si="99"/>
        <v>#DIV/0!</v>
      </c>
      <c r="BP59" s="485" t="e">
        <f ca="1">IF(OR(DB_LOAD!AW58="USD",DB_LOAD!AW58='Refi-Annual Review'!$A$3,ISBLANK(DB_LOAD!AW58)),0,1)</f>
        <v>#NAME?</v>
      </c>
      <c r="BQ59" t="str">
        <f>(IF(ISBLANK(DB_LOAD!AR58),"",DB_LOAD!AR58))</f>
        <v/>
      </c>
      <c r="BR59" t="str">
        <f t="shared" si="73"/>
        <v/>
      </c>
      <c r="BS59" t="str">
        <f t="shared" si="74"/>
        <v/>
      </c>
      <c r="BT59" t="str">
        <f t="shared" si="75"/>
        <v>5500000250000016064001572600</v>
      </c>
      <c r="BU59" t="str">
        <f t="shared" si="76"/>
        <v/>
      </c>
      <c r="BV59" t="str">
        <f t="shared" si="77"/>
        <v>7777</v>
      </c>
      <c r="BW59" t="str">
        <f t="shared" si="78"/>
        <v/>
      </c>
      <c r="BX59" t="str">
        <f t="shared" si="79"/>
        <v>1111</v>
      </c>
      <c r="CB59" s="683" t="str">
        <f t="shared" si="69"/>
        <v/>
      </c>
      <c r="CC59" s="683" t="str">
        <f t="shared" si="70"/>
        <v/>
      </c>
      <c r="CD59" s="683" t="str">
        <f>IF(CC59="","",VALUE(MID($BZ$5,1+SUM($CC$3:CC58),CC59)))</f>
        <v/>
      </c>
      <c r="CE59"/>
      <c r="CF59" t="str">
        <f>IF(CD59="","",MID($BZ$4,1+SUM($CD$3:CD58),CD59))</f>
        <v/>
      </c>
    </row>
    <row r="60" spans="3:84" ht="15">
      <c r="C60" s="485">
        <f t="shared" si="25"/>
        <v>61</v>
      </c>
      <c r="D60" s="493" t="s">
        <v>283</v>
      </c>
      <c r="E60" s="568"/>
      <c r="F60" s="496"/>
      <c r="G60" s="496" t="e">
        <f ca="1">G29</f>
        <v>#N/A</v>
      </c>
      <c r="H60" s="496" t="e">
        <f ca="1">H29</f>
        <v>#N/A</v>
      </c>
      <c r="I60" s="496" t="e">
        <f ca="1">I29</f>
        <v>#N/A</v>
      </c>
      <c r="J60" s="496" t="e">
        <f ca="1">J29</f>
        <v>#N/A</v>
      </c>
      <c r="K60" s="496"/>
      <c r="L60" s="496" t="str">
        <f ca="1">L29</f>
        <v>N/A</v>
      </c>
      <c r="M60" s="496" t="str">
        <f ca="1">M29</f>
        <v>N/A</v>
      </c>
      <c r="N60" s="496" t="str">
        <f ca="1">N29</f>
        <v>N/A</v>
      </c>
      <c r="O60" s="496" t="str">
        <f ca="1">O29</f>
        <v>N/A</v>
      </c>
      <c r="P60" s="496"/>
      <c r="Q60" s="496" t="e">
        <f ca="1">Q29</f>
        <v>#NAME?</v>
      </c>
      <c r="R60" s="496" t="e">
        <f ca="1">R29</f>
        <v>#NAME?</v>
      </c>
      <c r="S60" s="496"/>
      <c r="T60" s="496"/>
      <c r="U60" s="496"/>
      <c r="AJ60" s="493" t="s">
        <v>283</v>
      </c>
      <c r="AK60" s="496" t="e">
        <f t="shared" ca="1" si="105"/>
        <v>#N/A</v>
      </c>
      <c r="AL60" s="496" t="e">
        <f t="shared" ca="1" si="105"/>
        <v>#N/A</v>
      </c>
      <c r="AM60" s="496" t="e">
        <f t="shared" ca="1" si="105"/>
        <v>#N/A</v>
      </c>
      <c r="AN60" s="496" t="e">
        <f t="shared" ca="1" si="105"/>
        <v>#N/A</v>
      </c>
      <c r="AO60" s="496" t="e">
        <f t="shared" ca="1" si="101"/>
        <v>#NAME?</v>
      </c>
      <c r="AP60" s="496" t="e">
        <f t="shared" ca="1" si="101"/>
        <v>#NAME?</v>
      </c>
      <c r="BE60" s="485" t="e">
        <f t="shared" ca="1" si="90"/>
        <v>#DIV/0!</v>
      </c>
      <c r="BF60" s="654" t="str">
        <f t="shared" si="91"/>
        <v/>
      </c>
      <c r="BG60" s="675" t="e">
        <f t="shared" ca="1" si="92"/>
        <v>#DIV/0!</v>
      </c>
      <c r="BH60" s="675" t="e">
        <f t="shared" ca="1" si="93"/>
        <v>#DIV/0!</v>
      </c>
      <c r="BI60" s="675" t="e">
        <f t="shared" ca="1" si="94"/>
        <v>#DIV/0!</v>
      </c>
      <c r="BJ60" s="675" t="e">
        <f t="shared" ca="1" si="95"/>
        <v>#DIV/0!</v>
      </c>
      <c r="BK60" s="675" t="e">
        <f t="shared" ca="1" si="96"/>
        <v>#DIV/0!</v>
      </c>
      <c r="BL60" s="675" t="e">
        <f t="shared" ca="1" si="97"/>
        <v>#DIV/0!</v>
      </c>
      <c r="BM60" s="675" t="e">
        <f t="shared" ca="1" si="98"/>
        <v>#DIV/0!</v>
      </c>
      <c r="BN60" s="676" t="e">
        <f t="shared" ca="1" si="99"/>
        <v>#DIV/0!</v>
      </c>
      <c r="BP60" s="485" t="e">
        <f ca="1">IF(OR(DB_LOAD!AW59="USD",DB_LOAD!AW59='Refi-Annual Review'!$A$3,ISBLANK(DB_LOAD!AW59)),0,1)</f>
        <v>#NAME?</v>
      </c>
      <c r="BQ60" t="str">
        <f>(IF(ISBLANK(DB_LOAD!AR59),"",DB_LOAD!AR59))</f>
        <v/>
      </c>
      <c r="BR60" t="str">
        <f t="shared" si="73"/>
        <v/>
      </c>
      <c r="BS60" t="str">
        <f t="shared" si="74"/>
        <v/>
      </c>
      <c r="BT60" t="str">
        <f t="shared" si="75"/>
        <v>5500000250000016064001572600</v>
      </c>
      <c r="BU60" t="str">
        <f t="shared" si="76"/>
        <v/>
      </c>
      <c r="BV60" t="str">
        <f t="shared" si="77"/>
        <v>7777</v>
      </c>
      <c r="BW60" t="str">
        <f t="shared" si="78"/>
        <v/>
      </c>
      <c r="BX60" t="str">
        <f t="shared" si="79"/>
        <v>1111</v>
      </c>
      <c r="CB60" s="683" t="str">
        <f t="shared" si="69"/>
        <v/>
      </c>
      <c r="CC60" s="683" t="str">
        <f t="shared" si="70"/>
        <v/>
      </c>
      <c r="CD60" s="683" t="str">
        <f>IF(CC60="","",VALUE(MID($BZ$5,1+SUM($CC$3:CC59),CC60)))</f>
        <v/>
      </c>
      <c r="CE60"/>
      <c r="CF60" t="str">
        <f>IF(CD60="","",MID($BZ$4,1+SUM($CD$3:CD59),CD60))</f>
        <v/>
      </c>
    </row>
    <row r="61" spans="3:84" ht="15">
      <c r="C61" s="485">
        <f t="shared" si="25"/>
        <v>62</v>
      </c>
      <c r="D61" s="493" t="s">
        <v>36</v>
      </c>
      <c r="E61" s="568"/>
      <c r="F61" s="496"/>
      <c r="G61" s="496" t="e">
        <f ca="1">ABS(G123/AVERAGE((F161+F156),(G161+G156)))</f>
        <v>#N/A</v>
      </c>
      <c r="H61" s="496" t="str">
        <f t="shared" ref="H61:I61" ca="1" si="109">IFERROR(ABS(H123/AVERAGE(H161+H156,IF(OR(G154="",G154=0),L161+L156,G161+G156))),"N/A")</f>
        <v>N/A</v>
      </c>
      <c r="I61" s="496" t="str">
        <f t="shared" ca="1" si="109"/>
        <v>N/A</v>
      </c>
      <c r="J61" s="496" t="str">
        <f ca="1">IFERROR(ABS(J123/AVERAGE(J161+J156,IF(OR(I154="",I154=0),N161+N156,I161+I156))),"N/A")</f>
        <v>N/A</v>
      </c>
      <c r="K61" s="496"/>
      <c r="L61" s="496" t="e">
        <f ca="1">ABS(L123/AVERAGE((L161+L156),(F161+F156)))</f>
        <v>#NAME?</v>
      </c>
      <c r="M61" s="496" t="str">
        <f t="shared" ref="M61:N61" ca="1" si="110">IFERROR(ABS(M123/AVERAGE(M156+M161,IF(OR(G154="",G154=0),L161+L156,G161+G156))),"N/A")</f>
        <v>N/A</v>
      </c>
      <c r="N61" s="496" t="str">
        <f t="shared" ca="1" si="110"/>
        <v>N/A</v>
      </c>
      <c r="O61" s="496" t="str">
        <f ca="1">IFERROR(ABS(O123/AVERAGE(O156+O161,IF(OR(I154="",I154=0),N161+N156,I161+I156))),"N/A")</f>
        <v>N/A</v>
      </c>
      <c r="P61" s="496"/>
      <c r="Q61" s="496" t="e">
        <f ca="1">-((Q123*(12/MONTH(U7))/(Q161+Q156)))</f>
        <v>#NAME?</v>
      </c>
      <c r="R61" s="496" t="e">
        <f ca="1">ABS(R123/AVERAGE((U161+U156),(R161+R156)))</f>
        <v>#NAME?</v>
      </c>
      <c r="S61" s="496"/>
      <c r="T61" s="496"/>
      <c r="U61" s="496"/>
      <c r="AJ61" s="493" t="s">
        <v>36</v>
      </c>
      <c r="AK61" s="496" t="e">
        <f t="shared" ca="1" si="105"/>
        <v>#N/A</v>
      </c>
      <c r="AL61" s="496" t="e">
        <f t="shared" ca="1" si="105"/>
        <v>#N/A</v>
      </c>
      <c r="AM61" s="496" t="e">
        <f t="shared" ca="1" si="105"/>
        <v>#N/A</v>
      </c>
      <c r="AN61" s="496" t="e">
        <f t="shared" ca="1" si="105"/>
        <v>#N/A</v>
      </c>
      <c r="AO61" s="496" t="e">
        <f t="shared" ca="1" si="101"/>
        <v>#NAME?</v>
      </c>
      <c r="AP61" s="496" t="e">
        <f t="shared" ca="1" si="101"/>
        <v>#NAME?</v>
      </c>
      <c r="BE61" s="485" t="e">
        <f t="shared" ca="1" si="90"/>
        <v>#DIV/0!</v>
      </c>
      <c r="BF61" s="654" t="str">
        <f t="shared" si="91"/>
        <v/>
      </c>
      <c r="BG61" s="675" t="e">
        <f t="shared" ca="1" si="92"/>
        <v>#DIV/0!</v>
      </c>
      <c r="BH61" s="675" t="e">
        <f t="shared" ca="1" si="93"/>
        <v>#DIV/0!</v>
      </c>
      <c r="BI61" s="675" t="e">
        <f t="shared" ca="1" si="94"/>
        <v>#DIV/0!</v>
      </c>
      <c r="BJ61" s="675" t="e">
        <f t="shared" ca="1" si="95"/>
        <v>#DIV/0!</v>
      </c>
      <c r="BK61" s="675" t="e">
        <f t="shared" ca="1" si="96"/>
        <v>#DIV/0!</v>
      </c>
      <c r="BL61" s="675" t="e">
        <f t="shared" ca="1" si="97"/>
        <v>#DIV/0!</v>
      </c>
      <c r="BM61" s="675" t="e">
        <f t="shared" ca="1" si="98"/>
        <v>#DIV/0!</v>
      </c>
      <c r="BN61" s="676" t="e">
        <f t="shared" ca="1" si="99"/>
        <v>#DIV/0!</v>
      </c>
      <c r="BP61" s="485" t="e">
        <f ca="1">IF(OR(DB_LOAD!AW60="USD",DB_LOAD!AW60='Refi-Annual Review'!$A$3,ISBLANK(DB_LOAD!AW60)),0,1)</f>
        <v>#NAME?</v>
      </c>
      <c r="BQ61" t="str">
        <f>(IF(ISBLANK(DB_LOAD!AR60),"",DB_LOAD!AR60))</f>
        <v/>
      </c>
      <c r="BR61" t="str">
        <f t="shared" si="73"/>
        <v/>
      </c>
      <c r="BS61" t="str">
        <f t="shared" si="74"/>
        <v/>
      </c>
      <c r="BT61" t="str">
        <f t="shared" si="75"/>
        <v>5500000250000016064001572600</v>
      </c>
      <c r="BU61" t="str">
        <f t="shared" si="76"/>
        <v/>
      </c>
      <c r="BV61" t="str">
        <f t="shared" si="77"/>
        <v>7777</v>
      </c>
      <c r="BW61" t="str">
        <f t="shared" si="78"/>
        <v/>
      </c>
      <c r="BX61" t="str">
        <f t="shared" si="79"/>
        <v>1111</v>
      </c>
      <c r="CB61" s="683" t="str">
        <f t="shared" si="69"/>
        <v/>
      </c>
      <c r="CC61" s="683" t="str">
        <f t="shared" si="70"/>
        <v/>
      </c>
      <c r="CD61" s="683" t="str">
        <f>IF(CC61="","",VALUE(MID($BZ$5,1+SUM($CC$3:CC60),CC61)))</f>
        <v/>
      </c>
      <c r="CE61"/>
      <c r="CF61" t="str">
        <f>IF(CD61="","",MID($BZ$4,1+SUM($CD$3:CD60),CD61))</f>
        <v/>
      </c>
    </row>
    <row r="62" spans="3:84" ht="15">
      <c r="C62" s="485">
        <f t="shared" si="25"/>
        <v>63</v>
      </c>
      <c r="AK62" s="486"/>
      <c r="AL62" s="486"/>
      <c r="AM62" s="486"/>
      <c r="AN62" s="486"/>
      <c r="AO62" s="486"/>
      <c r="BE62" s="485" t="e">
        <f t="shared" ca="1" si="90"/>
        <v>#DIV/0!</v>
      </c>
      <c r="BF62" s="654" t="str">
        <f t="shared" si="91"/>
        <v/>
      </c>
      <c r="BG62" s="675" t="e">
        <f t="shared" ca="1" si="92"/>
        <v>#DIV/0!</v>
      </c>
      <c r="BH62" s="675" t="e">
        <f t="shared" ca="1" si="93"/>
        <v>#DIV/0!</v>
      </c>
      <c r="BI62" s="675" t="e">
        <f t="shared" ca="1" si="94"/>
        <v>#DIV/0!</v>
      </c>
      <c r="BJ62" s="675" t="e">
        <f t="shared" ca="1" si="95"/>
        <v>#DIV/0!</v>
      </c>
      <c r="BK62" s="675" t="e">
        <f t="shared" ca="1" si="96"/>
        <v>#DIV/0!</v>
      </c>
      <c r="BL62" s="675" t="e">
        <f t="shared" ca="1" si="97"/>
        <v>#DIV/0!</v>
      </c>
      <c r="BM62" s="675" t="e">
        <f t="shared" ca="1" si="98"/>
        <v>#DIV/0!</v>
      </c>
      <c r="BN62" s="676" t="e">
        <f t="shared" ca="1" si="99"/>
        <v>#DIV/0!</v>
      </c>
      <c r="BP62" s="485" t="e">
        <f ca="1">IF(OR(DB_LOAD!AW61="USD",DB_LOAD!AW61='Refi-Annual Review'!$A$3,ISBLANK(DB_LOAD!AW61)),0,1)</f>
        <v>#NAME?</v>
      </c>
      <c r="BQ62" t="str">
        <f>(IF(ISBLANK(DB_LOAD!AR61),"",DB_LOAD!AR61))</f>
        <v/>
      </c>
      <c r="BR62" t="str">
        <f t="shared" si="73"/>
        <v/>
      </c>
      <c r="BS62" t="str">
        <f t="shared" si="74"/>
        <v/>
      </c>
      <c r="BT62" t="str">
        <f t="shared" si="75"/>
        <v>5500000250000016064001572600</v>
      </c>
      <c r="BU62" t="str">
        <f t="shared" si="76"/>
        <v/>
      </c>
      <c r="BV62" t="str">
        <f t="shared" si="77"/>
        <v>7777</v>
      </c>
      <c r="BW62" t="str">
        <f t="shared" si="78"/>
        <v/>
      </c>
      <c r="BX62" t="str">
        <f t="shared" si="79"/>
        <v>1111</v>
      </c>
      <c r="CB62" s="683" t="str">
        <f t="shared" si="69"/>
        <v/>
      </c>
      <c r="CC62" s="683" t="str">
        <f t="shared" si="70"/>
        <v/>
      </c>
      <c r="CD62" s="683" t="str">
        <f>IF(CC62="","",VALUE(MID($BZ$5,1+SUM($CC$3:CC61),CC62)))</f>
        <v/>
      </c>
      <c r="CE62"/>
      <c r="CF62" t="str">
        <f>IF(CD62="","",MID($BZ$4,1+SUM($CD$3:CD61),CD62))</f>
        <v/>
      </c>
    </row>
    <row r="63" spans="3:84" ht="15">
      <c r="C63" s="485">
        <f t="shared" si="25"/>
        <v>64</v>
      </c>
      <c r="F63" s="489" t="s">
        <v>54</v>
      </c>
      <c r="G63" s="489" t="s">
        <v>54</v>
      </c>
      <c r="H63" s="489" t="s">
        <v>54</v>
      </c>
      <c r="I63" s="489" t="s">
        <v>54</v>
      </c>
      <c r="J63" s="489" t="s">
        <v>54</v>
      </c>
      <c r="K63" s="534"/>
      <c r="L63" s="489" t="s">
        <v>53</v>
      </c>
      <c r="M63" s="489" t="s">
        <v>53</v>
      </c>
      <c r="N63" s="489" t="s">
        <v>53</v>
      </c>
      <c r="O63" s="489" t="s">
        <v>53</v>
      </c>
      <c r="P63" s="535"/>
      <c r="Q63" s="489" t="s">
        <v>53</v>
      </c>
      <c r="R63" s="489" t="s">
        <v>53</v>
      </c>
      <c r="AK63" s="489" t="str">
        <f ca="1">AK6</f>
        <v>No Financials</v>
      </c>
      <c r="AL63" s="489" t="str">
        <f ca="1">AL6</f>
        <v>No Financials</v>
      </c>
      <c r="AM63" s="489" t="str">
        <f t="shared" ref="AM63:AN64" ca="1" si="111">AM6</f>
        <v>No Financials</v>
      </c>
      <c r="AN63" s="489" t="str">
        <f t="shared" ca="1" si="111"/>
        <v>No Financials</v>
      </c>
      <c r="AO63" s="489" t="str">
        <f t="shared" ref="AO63:AP73" si="112">Q63</f>
        <v>Unaudited</v>
      </c>
      <c r="AP63" s="489" t="str">
        <f t="shared" si="112"/>
        <v>Unaudited</v>
      </c>
      <c r="BE63" s="485" t="e">
        <f t="shared" ca="1" si="90"/>
        <v>#DIV/0!</v>
      </c>
      <c r="BF63" s="654" t="str">
        <f t="shared" si="91"/>
        <v/>
      </c>
      <c r="BG63" s="675" t="e">
        <f t="shared" ca="1" si="92"/>
        <v>#DIV/0!</v>
      </c>
      <c r="BH63" s="675" t="e">
        <f t="shared" ca="1" si="93"/>
        <v>#DIV/0!</v>
      </c>
      <c r="BI63" s="675" t="e">
        <f t="shared" ca="1" si="94"/>
        <v>#DIV/0!</v>
      </c>
      <c r="BJ63" s="675" t="e">
        <f t="shared" ca="1" si="95"/>
        <v>#DIV/0!</v>
      </c>
      <c r="BK63" s="675" t="e">
        <f t="shared" ca="1" si="96"/>
        <v>#DIV/0!</v>
      </c>
      <c r="BL63" s="675" t="e">
        <f t="shared" ca="1" si="97"/>
        <v>#DIV/0!</v>
      </c>
      <c r="BM63" s="675" t="e">
        <f t="shared" ca="1" si="98"/>
        <v>#DIV/0!</v>
      </c>
      <c r="BN63" s="676" t="e">
        <f t="shared" ca="1" si="99"/>
        <v>#DIV/0!</v>
      </c>
      <c r="BP63" s="485" t="e">
        <f ca="1">IF(OR(DB_LOAD!AW62="USD",DB_LOAD!AW62='Refi-Annual Review'!$A$3,ISBLANK(DB_LOAD!AW62)),0,1)</f>
        <v>#NAME?</v>
      </c>
      <c r="BQ63" t="str">
        <f>(IF(ISBLANK(DB_LOAD!AR62),"",DB_LOAD!AR62))</f>
        <v/>
      </c>
      <c r="BR63" t="str">
        <f t="shared" si="73"/>
        <v/>
      </c>
      <c r="BS63" t="str">
        <f t="shared" si="74"/>
        <v/>
      </c>
      <c r="BT63" t="str">
        <f t="shared" si="75"/>
        <v>5500000250000016064001572600</v>
      </c>
      <c r="BU63" t="str">
        <f t="shared" si="76"/>
        <v/>
      </c>
      <c r="BV63" t="str">
        <f t="shared" si="77"/>
        <v>7777</v>
      </c>
      <c r="BW63" t="str">
        <f t="shared" si="78"/>
        <v/>
      </c>
      <c r="BX63" t="str">
        <f t="shared" si="79"/>
        <v>1111</v>
      </c>
      <c r="CB63" s="683" t="str">
        <f t="shared" si="69"/>
        <v/>
      </c>
      <c r="CC63" s="683" t="str">
        <f t="shared" si="70"/>
        <v/>
      </c>
      <c r="CD63" s="683" t="str">
        <f>IF(CC63="","",VALUE(MID($BZ$5,1+SUM($CC$3:CC62),CC63)))</f>
        <v/>
      </c>
      <c r="CE63"/>
      <c r="CF63" t="str">
        <f>IF(CD63="","",MID($BZ$4,1+SUM($CD$3:CD62),CD63))</f>
        <v/>
      </c>
    </row>
    <row r="64" spans="3:84" ht="15">
      <c r="C64" s="485">
        <f t="shared" si="25"/>
        <v>65</v>
      </c>
      <c r="D64" s="490" t="s">
        <v>37</v>
      </c>
      <c r="E64" s="568"/>
      <c r="F64" s="491">
        <f>F48</f>
        <v>2010</v>
      </c>
      <c r="G64" s="491">
        <f>G48</f>
        <v>2011</v>
      </c>
      <c r="H64" s="491">
        <f>H48</f>
        <v>2012</v>
      </c>
      <c r="I64" s="491">
        <f>I48</f>
        <v>2013</v>
      </c>
      <c r="J64" s="491">
        <f>J48</f>
        <v>2014</v>
      </c>
      <c r="K64" s="531"/>
      <c r="L64" s="491">
        <f>L48</f>
        <v>2011</v>
      </c>
      <c r="M64" s="491">
        <f>M48</f>
        <v>2012</v>
      </c>
      <c r="N64" s="491">
        <f>N48</f>
        <v>2013</v>
      </c>
      <c r="O64" s="491">
        <f>O48</f>
        <v>2014</v>
      </c>
      <c r="P64" s="532"/>
      <c r="Q64" s="491" t="str">
        <f>Q48</f>
        <v>YTD Jan-00</v>
      </c>
      <c r="R64" s="491" t="str">
        <f>R48</f>
        <v>LTM Jan-00</v>
      </c>
      <c r="AJ64" s="490" t="s">
        <v>37</v>
      </c>
      <c r="AK64" s="491">
        <f ca="1">AK7</f>
        <v>-3</v>
      </c>
      <c r="AL64" s="491">
        <f ca="1">AL7</f>
        <v>-2</v>
      </c>
      <c r="AM64" s="491">
        <f t="shared" ca="1" si="111"/>
        <v>-1</v>
      </c>
      <c r="AN64" s="491">
        <f t="shared" ca="1" si="111"/>
        <v>0</v>
      </c>
      <c r="AO64" s="491" t="str">
        <f t="shared" si="112"/>
        <v>YTD Jan-00</v>
      </c>
      <c r="AP64" s="491" t="str">
        <f t="shared" si="112"/>
        <v>LTM Jan-00</v>
      </c>
      <c r="BE64" s="485" t="e">
        <f t="shared" ca="1" si="90"/>
        <v>#DIV/0!</v>
      </c>
      <c r="BF64" s="654" t="str">
        <f t="shared" si="91"/>
        <v/>
      </c>
      <c r="BG64" s="675" t="e">
        <f t="shared" ca="1" si="92"/>
        <v>#DIV/0!</v>
      </c>
      <c r="BH64" s="675" t="e">
        <f t="shared" ca="1" si="93"/>
        <v>#DIV/0!</v>
      </c>
      <c r="BI64" s="675" t="e">
        <f t="shared" ca="1" si="94"/>
        <v>#DIV/0!</v>
      </c>
      <c r="BJ64" s="675" t="e">
        <f t="shared" ca="1" si="95"/>
        <v>#DIV/0!</v>
      </c>
      <c r="BK64" s="675" t="e">
        <f t="shared" ca="1" si="96"/>
        <v>#DIV/0!</v>
      </c>
      <c r="BL64" s="675" t="e">
        <f t="shared" ca="1" si="97"/>
        <v>#DIV/0!</v>
      </c>
      <c r="BM64" s="675" t="e">
        <f t="shared" ca="1" si="98"/>
        <v>#DIV/0!</v>
      </c>
      <c r="BN64" s="676" t="e">
        <f t="shared" ca="1" si="99"/>
        <v>#DIV/0!</v>
      </c>
      <c r="BP64" s="485" t="e">
        <f ca="1">IF(OR(DB_LOAD!AW63="USD",DB_LOAD!AW63='Refi-Annual Review'!$A$3,ISBLANK(DB_LOAD!AW63)),0,1)</f>
        <v>#NAME?</v>
      </c>
      <c r="BQ64" t="str">
        <f>(IF(ISBLANK(DB_LOAD!AR63),"",DB_LOAD!AR63))</f>
        <v/>
      </c>
      <c r="BR64" t="str">
        <f t="shared" si="73"/>
        <v/>
      </c>
      <c r="BS64" t="str">
        <f t="shared" si="74"/>
        <v/>
      </c>
      <c r="BT64" t="str">
        <f t="shared" si="75"/>
        <v>5500000250000016064001572600</v>
      </c>
      <c r="BU64" t="str">
        <f t="shared" si="76"/>
        <v/>
      </c>
      <c r="BV64" t="str">
        <f t="shared" si="77"/>
        <v>7777</v>
      </c>
      <c r="BW64" t="str">
        <f t="shared" si="78"/>
        <v/>
      </c>
      <c r="BX64" t="str">
        <f t="shared" si="79"/>
        <v>1111</v>
      </c>
      <c r="CB64" s="683" t="str">
        <f t="shared" si="69"/>
        <v/>
      </c>
      <c r="CC64" s="683" t="str">
        <f t="shared" si="70"/>
        <v/>
      </c>
      <c r="CD64" s="683" t="str">
        <f>IF(CC64="","",VALUE(MID($BZ$5,1+SUM($CC$3:CC63),CC64)))</f>
        <v/>
      </c>
      <c r="CE64"/>
      <c r="CF64" t="str">
        <f>IF(CD64="","",MID($BZ$4,1+SUM($CD$3:CD63),CD64))</f>
        <v/>
      </c>
    </row>
    <row r="65" spans="3:84" ht="15">
      <c r="C65" s="485">
        <f t="shared" si="25"/>
        <v>66</v>
      </c>
      <c r="D65" s="493" t="s">
        <v>14</v>
      </c>
      <c r="E65" s="568"/>
      <c r="F65" s="496" t="e">
        <f ca="1">F13</f>
        <v>#N/A</v>
      </c>
      <c r="G65" s="496" t="e">
        <f ca="1">G13</f>
        <v>#N/A</v>
      </c>
      <c r="H65" s="496" t="e">
        <f ca="1">H13</f>
        <v>#N/A</v>
      </c>
      <c r="I65" s="496" t="e">
        <f ca="1">I13</f>
        <v>#N/A</v>
      </c>
      <c r="J65" s="496" t="e">
        <f ca="1">J13</f>
        <v>#N/A</v>
      </c>
      <c r="K65" s="496"/>
      <c r="L65" s="496" t="e">
        <f ca="1">L13</f>
        <v>#NAME?</v>
      </c>
      <c r="M65" s="496" t="e">
        <f ca="1">M13</f>
        <v>#NAME?</v>
      </c>
      <c r="N65" s="496" t="e">
        <f ca="1">N13</f>
        <v>#NAME?</v>
      </c>
      <c r="O65" s="496" t="e">
        <f ca="1">O13</f>
        <v>#NAME?</v>
      </c>
      <c r="P65" s="496"/>
      <c r="Q65" s="496" t="e">
        <f ca="1">Q13</f>
        <v>#NAME?</v>
      </c>
      <c r="R65" s="496" t="e">
        <f ca="1">R13</f>
        <v>#NAME?</v>
      </c>
      <c r="S65" s="496"/>
      <c r="T65" s="496"/>
      <c r="U65" s="496">
        <f>U13</f>
        <v>0</v>
      </c>
      <c r="AJ65" s="493" t="s">
        <v>14</v>
      </c>
      <c r="AK65" s="496" t="e">
        <f t="shared" ref="AK65:AN73" ca="1" si="113">HLOOKUP(AK$4,$G$1:$O$213,$C65-1,FALSE)</f>
        <v>#N/A</v>
      </c>
      <c r="AL65" s="496" t="e">
        <f t="shared" ca="1" si="113"/>
        <v>#N/A</v>
      </c>
      <c r="AM65" s="496" t="e">
        <f t="shared" ca="1" si="113"/>
        <v>#N/A</v>
      </c>
      <c r="AN65" s="496" t="e">
        <f t="shared" ca="1" si="113"/>
        <v>#N/A</v>
      </c>
      <c r="AO65" s="496" t="e">
        <f t="shared" ca="1" si="112"/>
        <v>#NAME?</v>
      </c>
      <c r="AP65" s="496" t="e">
        <f t="shared" ca="1" si="112"/>
        <v>#NAME?</v>
      </c>
      <c r="BE65" s="485" t="e">
        <f t="shared" ca="1" si="90"/>
        <v>#DIV/0!</v>
      </c>
      <c r="BF65" s="654" t="str">
        <f t="shared" si="91"/>
        <v/>
      </c>
      <c r="BG65" s="675" t="e">
        <f t="shared" ca="1" si="92"/>
        <v>#DIV/0!</v>
      </c>
      <c r="BH65" s="675" t="e">
        <f t="shared" ca="1" si="93"/>
        <v>#DIV/0!</v>
      </c>
      <c r="BI65" s="675" t="e">
        <f t="shared" ca="1" si="94"/>
        <v>#DIV/0!</v>
      </c>
      <c r="BJ65" s="675" t="e">
        <f t="shared" ca="1" si="95"/>
        <v>#DIV/0!</v>
      </c>
      <c r="BK65" s="675" t="e">
        <f t="shared" ca="1" si="96"/>
        <v>#DIV/0!</v>
      </c>
      <c r="BL65" s="675" t="e">
        <f t="shared" ca="1" si="97"/>
        <v>#DIV/0!</v>
      </c>
      <c r="BM65" s="675" t="e">
        <f t="shared" ca="1" si="98"/>
        <v>#DIV/0!</v>
      </c>
      <c r="BN65" s="676" t="e">
        <f t="shared" ca="1" si="99"/>
        <v>#DIV/0!</v>
      </c>
      <c r="BP65" s="485" t="e">
        <f ca="1">IF(OR(DB_LOAD!AW64="USD",DB_LOAD!AW64='Refi-Annual Review'!$A$3,ISBLANK(DB_LOAD!AW64)),0,1)</f>
        <v>#NAME?</v>
      </c>
      <c r="BQ65" t="str">
        <f>(IF(ISBLANK(DB_LOAD!AR64),"",DB_LOAD!AR64))</f>
        <v/>
      </c>
      <c r="BR65" t="str">
        <f t="shared" si="73"/>
        <v/>
      </c>
      <c r="BS65" t="str">
        <f t="shared" si="74"/>
        <v/>
      </c>
      <c r="BT65" t="str">
        <f t="shared" si="75"/>
        <v>5500000250000016064001572600</v>
      </c>
      <c r="BU65" t="str">
        <f t="shared" si="76"/>
        <v/>
      </c>
      <c r="BV65" t="str">
        <f t="shared" si="77"/>
        <v>7777</v>
      </c>
      <c r="BW65" t="str">
        <f t="shared" si="78"/>
        <v/>
      </c>
      <c r="BX65" t="str">
        <f t="shared" si="79"/>
        <v>1111</v>
      </c>
      <c r="CB65" s="683" t="str">
        <f t="shared" si="69"/>
        <v/>
      </c>
      <c r="CC65" s="683" t="str">
        <f t="shared" si="70"/>
        <v/>
      </c>
      <c r="CD65" s="683" t="str">
        <f>IF(CC65="","",VALUE(MID($BZ$5,1+SUM($CC$3:CC64),CC65)))</f>
        <v/>
      </c>
      <c r="CE65"/>
      <c r="CF65" t="str">
        <f>IF(CD65="","",MID($BZ$4,1+SUM($CD$3:CD64),CD65))</f>
        <v/>
      </c>
    </row>
    <row r="66" spans="3:84" ht="15">
      <c r="C66" s="485">
        <f t="shared" si="25"/>
        <v>67</v>
      </c>
      <c r="D66" s="493" t="s">
        <v>38</v>
      </c>
      <c r="E66" s="568"/>
      <c r="F66" s="496" t="e">
        <f ca="1">F104/F101</f>
        <v>#N/A</v>
      </c>
      <c r="G66" s="496" t="e">
        <f ca="1">G104/G101</f>
        <v>#N/A</v>
      </c>
      <c r="H66" s="496" t="e">
        <f ca="1">H104/H101</f>
        <v>#N/A</v>
      </c>
      <c r="I66" s="496" t="e">
        <f ca="1">I104/I101</f>
        <v>#N/A</v>
      </c>
      <c r="J66" s="496" t="e">
        <f ca="1">J104/J101</f>
        <v>#N/A</v>
      </c>
      <c r="K66" s="496"/>
      <c r="L66" s="496" t="e">
        <f ca="1">L104/L101</f>
        <v>#NAME?</v>
      </c>
      <c r="M66" s="496" t="e">
        <f ca="1">M104/M101</f>
        <v>#NAME?</v>
      </c>
      <c r="N66" s="496" t="e">
        <f ca="1">N104/N101</f>
        <v>#NAME?</v>
      </c>
      <c r="O66" s="496" t="e">
        <f ca="1">O104/O101</f>
        <v>#NAME?</v>
      </c>
      <c r="P66" s="496"/>
      <c r="Q66" s="496" t="e">
        <f ca="1">Q104/Q101</f>
        <v>#NAME?</v>
      </c>
      <c r="R66" s="496" t="e">
        <f ca="1">R104/R101</f>
        <v>#NAME?</v>
      </c>
      <c r="S66" s="496"/>
      <c r="T66" s="496"/>
      <c r="U66" s="496" t="e">
        <f ca="1">U104/U101</f>
        <v>#NUM!</v>
      </c>
      <c r="AJ66" s="493" t="s">
        <v>38</v>
      </c>
      <c r="AK66" s="496" t="e">
        <f t="shared" ca="1" si="113"/>
        <v>#N/A</v>
      </c>
      <c r="AL66" s="496" t="e">
        <f t="shared" ca="1" si="113"/>
        <v>#N/A</v>
      </c>
      <c r="AM66" s="496" t="e">
        <f t="shared" ca="1" si="113"/>
        <v>#N/A</v>
      </c>
      <c r="AN66" s="496" t="e">
        <f t="shared" ca="1" si="113"/>
        <v>#N/A</v>
      </c>
      <c r="AO66" s="496" t="e">
        <f t="shared" ca="1" si="112"/>
        <v>#NAME?</v>
      </c>
      <c r="AP66" s="496" t="e">
        <f t="shared" ca="1" si="112"/>
        <v>#NAME?</v>
      </c>
      <c r="BE66" s="485" t="e">
        <f t="shared" ca="1" si="90"/>
        <v>#DIV/0!</v>
      </c>
      <c r="BF66" s="654" t="str">
        <f t="shared" si="91"/>
        <v/>
      </c>
      <c r="BG66" s="675" t="e">
        <f t="shared" ca="1" si="92"/>
        <v>#DIV/0!</v>
      </c>
      <c r="BH66" s="675" t="e">
        <f t="shared" ca="1" si="93"/>
        <v>#DIV/0!</v>
      </c>
      <c r="BI66" s="675" t="e">
        <f t="shared" ca="1" si="94"/>
        <v>#DIV/0!</v>
      </c>
      <c r="BJ66" s="675" t="e">
        <f t="shared" ca="1" si="95"/>
        <v>#DIV/0!</v>
      </c>
      <c r="BK66" s="675" t="e">
        <f t="shared" ca="1" si="96"/>
        <v>#DIV/0!</v>
      </c>
      <c r="BL66" s="675" t="e">
        <f t="shared" ca="1" si="97"/>
        <v>#DIV/0!</v>
      </c>
      <c r="BM66" s="675" t="e">
        <f t="shared" ca="1" si="98"/>
        <v>#DIV/0!</v>
      </c>
      <c r="BN66" s="676" t="e">
        <f t="shared" ca="1" si="99"/>
        <v>#DIV/0!</v>
      </c>
      <c r="BP66" s="485" t="e">
        <f ca="1">IF(OR(DB_LOAD!AW65="USD",DB_LOAD!AW65='Refi-Annual Review'!$A$3,ISBLANK(DB_LOAD!AW65)),0,1)</f>
        <v>#NAME?</v>
      </c>
      <c r="BQ66" t="str">
        <f>(IF(ISBLANK(DB_LOAD!AR65),"",DB_LOAD!AR65))</f>
        <v/>
      </c>
      <c r="BR66" t="str">
        <f t="shared" si="73"/>
        <v/>
      </c>
      <c r="BS66" t="str">
        <f t="shared" si="74"/>
        <v/>
      </c>
      <c r="BT66" t="str">
        <f t="shared" si="75"/>
        <v>5500000250000016064001572600</v>
      </c>
      <c r="BU66" t="str">
        <f t="shared" si="76"/>
        <v/>
      </c>
      <c r="BV66" t="str">
        <f t="shared" si="77"/>
        <v>7777</v>
      </c>
      <c r="BW66" t="str">
        <f t="shared" si="78"/>
        <v/>
      </c>
      <c r="BX66" t="str">
        <f t="shared" si="79"/>
        <v>1111</v>
      </c>
      <c r="CB66" s="683" t="str">
        <f t="shared" si="69"/>
        <v/>
      </c>
      <c r="CC66" s="683" t="str">
        <f t="shared" si="70"/>
        <v/>
      </c>
      <c r="CD66" s="683" t="str">
        <f>IF(CC66="","",VALUE(MID($BZ$5,1+SUM($CC$3:CC65),CC66)))</f>
        <v/>
      </c>
      <c r="CE66"/>
      <c r="CF66" t="str">
        <f>IF(CD66="","",MID($BZ$4,1+SUM($CD$3:CD65),CD66))</f>
        <v/>
      </c>
    </row>
    <row r="67" spans="3:84" ht="15">
      <c r="C67" s="485">
        <f t="shared" si="25"/>
        <v>68</v>
      </c>
      <c r="D67" s="493" t="s">
        <v>39</v>
      </c>
      <c r="E67" s="568"/>
      <c r="F67" s="496" t="e">
        <f ca="1">F105/F101</f>
        <v>#N/A</v>
      </c>
      <c r="G67" s="496" t="e">
        <f ca="1">G105/G101</f>
        <v>#N/A</v>
      </c>
      <c r="H67" s="496" t="e">
        <f ca="1">H105/H101</f>
        <v>#N/A</v>
      </c>
      <c r="I67" s="496" t="e">
        <f ca="1">I105/I101</f>
        <v>#N/A</v>
      </c>
      <c r="J67" s="496" t="e">
        <f ca="1">J105/J101</f>
        <v>#N/A</v>
      </c>
      <c r="K67" s="496"/>
      <c r="L67" s="496" t="e">
        <f ca="1">L105/L101</f>
        <v>#NAME?</v>
      </c>
      <c r="M67" s="496" t="e">
        <f ca="1">M105/M101</f>
        <v>#NAME?</v>
      </c>
      <c r="N67" s="496" t="e">
        <f ca="1">N105/N101</f>
        <v>#NAME?</v>
      </c>
      <c r="O67" s="496" t="e">
        <f ca="1">O105/O101</f>
        <v>#NAME?</v>
      </c>
      <c r="P67" s="496"/>
      <c r="Q67" s="496" t="e">
        <f ca="1">Q105/Q101</f>
        <v>#NAME?</v>
      </c>
      <c r="R67" s="496" t="e">
        <f ca="1">R105/R101</f>
        <v>#NAME?</v>
      </c>
      <c r="S67" s="496"/>
      <c r="T67" s="496"/>
      <c r="U67" s="496" t="e">
        <f ca="1">U105/U101</f>
        <v>#NUM!</v>
      </c>
      <c r="AJ67" s="493" t="s">
        <v>39</v>
      </c>
      <c r="AK67" s="496" t="e">
        <f t="shared" ca="1" si="113"/>
        <v>#N/A</v>
      </c>
      <c r="AL67" s="496" t="e">
        <f t="shared" ca="1" si="113"/>
        <v>#N/A</v>
      </c>
      <c r="AM67" s="496" t="e">
        <f t="shared" ca="1" si="113"/>
        <v>#N/A</v>
      </c>
      <c r="AN67" s="496" t="e">
        <f t="shared" ca="1" si="113"/>
        <v>#N/A</v>
      </c>
      <c r="AO67" s="496" t="e">
        <f t="shared" ca="1" si="112"/>
        <v>#NAME?</v>
      </c>
      <c r="AP67" s="496" t="e">
        <f t="shared" ca="1" si="112"/>
        <v>#NAME?</v>
      </c>
      <c r="BE67" s="485" t="e">
        <f t="shared" ca="1" si="90"/>
        <v>#DIV/0!</v>
      </c>
      <c r="BF67" s="654" t="str">
        <f t="shared" si="91"/>
        <v/>
      </c>
      <c r="BG67" s="675" t="e">
        <f t="shared" ca="1" si="92"/>
        <v>#DIV/0!</v>
      </c>
      <c r="BH67" s="675" t="e">
        <f t="shared" ca="1" si="93"/>
        <v>#DIV/0!</v>
      </c>
      <c r="BI67" s="675" t="e">
        <f t="shared" ca="1" si="94"/>
        <v>#DIV/0!</v>
      </c>
      <c r="BJ67" s="675" t="e">
        <f t="shared" ca="1" si="95"/>
        <v>#DIV/0!</v>
      </c>
      <c r="BK67" s="675" t="e">
        <f t="shared" ca="1" si="96"/>
        <v>#DIV/0!</v>
      </c>
      <c r="BL67" s="675" t="e">
        <f t="shared" ca="1" si="97"/>
        <v>#DIV/0!</v>
      </c>
      <c r="BM67" s="675" t="e">
        <f t="shared" ca="1" si="98"/>
        <v>#DIV/0!</v>
      </c>
      <c r="BN67" s="676" t="e">
        <f t="shared" ca="1" si="99"/>
        <v>#DIV/0!</v>
      </c>
      <c r="BP67" s="485" t="e">
        <f ca="1">IF(OR(DB_LOAD!AW66="USD",DB_LOAD!AW66='Refi-Annual Review'!$A$3,ISBLANK(DB_LOAD!AW66)),0,1)</f>
        <v>#NAME?</v>
      </c>
      <c r="BQ67" t="str">
        <f>(IF(ISBLANK(DB_LOAD!AR66),"",DB_LOAD!AR66))</f>
        <v/>
      </c>
      <c r="BR67" t="str">
        <f t="shared" si="73"/>
        <v/>
      </c>
      <c r="BS67" t="str">
        <f t="shared" si="74"/>
        <v/>
      </c>
      <c r="BT67" t="str">
        <f t="shared" si="75"/>
        <v>5500000250000016064001572600</v>
      </c>
      <c r="BU67" t="str">
        <f t="shared" si="76"/>
        <v/>
      </c>
      <c r="BV67" t="str">
        <f t="shared" si="77"/>
        <v>7777</v>
      </c>
      <c r="BW67" t="str">
        <f t="shared" si="78"/>
        <v/>
      </c>
      <c r="BX67" t="str">
        <f t="shared" si="79"/>
        <v>1111</v>
      </c>
      <c r="CB67" s="683" t="str">
        <f t="shared" si="69"/>
        <v/>
      </c>
      <c r="CC67" s="683" t="str">
        <f t="shared" si="70"/>
        <v/>
      </c>
      <c r="CD67" s="683" t="str">
        <f>IF(CC67="","",VALUE(MID($BZ$5,1+SUM($CC$3:CC66),CC67)))</f>
        <v/>
      </c>
      <c r="CE67"/>
      <c r="CF67" t="str">
        <f>IF(CD67="","",MID($BZ$4,1+SUM($CD$3:CD66),CD67))</f>
        <v/>
      </c>
    </row>
    <row r="68" spans="3:84" ht="15">
      <c r="C68" s="485">
        <f t="shared" si="25"/>
        <v>69</v>
      </c>
      <c r="D68" s="493" t="s">
        <v>6</v>
      </c>
      <c r="E68" s="568"/>
      <c r="F68" s="496" t="e">
        <f ca="1">F148/F145</f>
        <v>#N/A</v>
      </c>
      <c r="G68" s="496" t="e">
        <f ca="1">G148/G145</f>
        <v>#N/A</v>
      </c>
      <c r="H68" s="496" t="e">
        <f ca="1">H148/H145</f>
        <v>#N/A</v>
      </c>
      <c r="I68" s="496" t="e">
        <f ca="1">I148/I145</f>
        <v>#N/A</v>
      </c>
      <c r="J68" s="496" t="e">
        <f ca="1">J148/J145</f>
        <v>#N/A</v>
      </c>
      <c r="K68" s="496"/>
      <c r="L68" s="496" t="e">
        <f ca="1">L148/L145</f>
        <v>#NAME?</v>
      </c>
      <c r="M68" s="496" t="e">
        <f ca="1">M148/M145</f>
        <v>#NAME?</v>
      </c>
      <c r="N68" s="496" t="e">
        <f ca="1">N148/N145</f>
        <v>#NAME?</v>
      </c>
      <c r="O68" s="496" t="e">
        <f ca="1">O148/O145</f>
        <v>#NAME?</v>
      </c>
      <c r="P68" s="496"/>
      <c r="Q68" s="496" t="e">
        <f ca="1">Q148/Q145</f>
        <v>#NAME?</v>
      </c>
      <c r="R68" s="496" t="e">
        <f ca="1">R148/R145</f>
        <v>#NAME?</v>
      </c>
      <c r="S68" s="496"/>
      <c r="T68" s="496"/>
      <c r="U68" s="496" t="e">
        <f>U148/U145</f>
        <v>#DIV/0!</v>
      </c>
      <c r="AJ68" s="493" t="s">
        <v>6</v>
      </c>
      <c r="AK68" s="496" t="e">
        <f t="shared" ca="1" si="113"/>
        <v>#N/A</v>
      </c>
      <c r="AL68" s="496" t="e">
        <f t="shared" ca="1" si="113"/>
        <v>#N/A</v>
      </c>
      <c r="AM68" s="496" t="e">
        <f t="shared" ca="1" si="113"/>
        <v>#N/A</v>
      </c>
      <c r="AN68" s="496" t="e">
        <f t="shared" ca="1" si="113"/>
        <v>#N/A</v>
      </c>
      <c r="AO68" s="496" t="e">
        <f t="shared" ca="1" si="112"/>
        <v>#NAME?</v>
      </c>
      <c r="AP68" s="496" t="e">
        <f t="shared" ca="1" si="112"/>
        <v>#NAME?</v>
      </c>
      <c r="BE68" s="485" t="e">
        <f t="shared" ca="1" si="90"/>
        <v>#DIV/0!</v>
      </c>
      <c r="BF68" s="654" t="str">
        <f t="shared" si="91"/>
        <v/>
      </c>
      <c r="BG68" s="675" t="e">
        <f t="shared" ref="BG68:BM70" ca="1" si="114">IF(CI30=0,"",CI30)</f>
        <v>#DIV/0!</v>
      </c>
      <c r="BH68" s="675" t="e">
        <f t="shared" ca="1" si="114"/>
        <v>#DIV/0!</v>
      </c>
      <c r="BI68" s="675" t="e">
        <f t="shared" ca="1" si="114"/>
        <v>#DIV/0!</v>
      </c>
      <c r="BJ68" s="675" t="e">
        <f t="shared" ca="1" si="114"/>
        <v>#DIV/0!</v>
      </c>
      <c r="BK68" s="675" t="e">
        <f t="shared" ca="1" si="114"/>
        <v>#DIV/0!</v>
      </c>
      <c r="BL68" s="675" t="e">
        <f t="shared" ca="1" si="114"/>
        <v>#DIV/0!</v>
      </c>
      <c r="BM68" s="675" t="e">
        <f t="shared" ca="1" si="114"/>
        <v>#DIV/0!</v>
      </c>
      <c r="BN68" s="676" t="e">
        <f t="shared" ca="1" si="99"/>
        <v>#DIV/0!</v>
      </c>
      <c r="BP68" s="485" t="e">
        <f ca="1">IF(OR(DB_LOAD!AW67="USD",DB_LOAD!AW67='Refi-Annual Review'!$A$3,ISBLANK(DB_LOAD!AW67)),0,1)</f>
        <v>#NAME?</v>
      </c>
      <c r="BQ68" t="str">
        <f>(IF(ISBLANK(DB_LOAD!AR67),"",DB_LOAD!AR67))</f>
        <v/>
      </c>
      <c r="BR68" t="str">
        <f t="shared" si="73"/>
        <v/>
      </c>
      <c r="BS68" t="str">
        <f t="shared" si="74"/>
        <v/>
      </c>
      <c r="BT68" t="str">
        <f t="shared" si="75"/>
        <v>5500000250000016064001572600</v>
      </c>
      <c r="BU68" t="str">
        <f t="shared" si="76"/>
        <v/>
      </c>
      <c r="BV68" t="str">
        <f t="shared" si="77"/>
        <v>7777</v>
      </c>
      <c r="BW68" t="str">
        <f t="shared" si="78"/>
        <v/>
      </c>
      <c r="BX68" t="str">
        <f t="shared" si="79"/>
        <v>1111</v>
      </c>
      <c r="CB68" s="683" t="str">
        <f t="shared" si="69"/>
        <v/>
      </c>
      <c r="CC68" s="683" t="str">
        <f t="shared" si="70"/>
        <v/>
      </c>
      <c r="CD68" s="683" t="str">
        <f>IF(CC68="","",VALUE(MID($BZ$5,1+SUM($CC$3:CC67),CC68)))</f>
        <v/>
      </c>
      <c r="CE68"/>
      <c r="CF68" t="str">
        <f>IF(CD68="","",MID($BZ$4,1+SUM($CD$3:CD67),CD68))</f>
        <v/>
      </c>
    </row>
    <row r="69" spans="3:84" ht="15">
      <c r="C69" s="485">
        <f t="shared" si="25"/>
        <v>70</v>
      </c>
      <c r="D69" s="493" t="s">
        <v>40</v>
      </c>
      <c r="E69" s="568"/>
      <c r="F69" s="496" t="e">
        <f ca="1">F90/F101</f>
        <v>#N/A</v>
      </c>
      <c r="G69" s="496" t="e">
        <f ca="1">G90/G101</f>
        <v>#N/A</v>
      </c>
      <c r="H69" s="496" t="e">
        <f ca="1">H90/H101</f>
        <v>#N/A</v>
      </c>
      <c r="I69" s="496" t="e">
        <f ca="1">I90/I101</f>
        <v>#N/A</v>
      </c>
      <c r="J69" s="496" t="e">
        <f ca="1">J90/J101</f>
        <v>#N/A</v>
      </c>
      <c r="K69" s="496"/>
      <c r="L69" s="496" t="e">
        <f ca="1">L90/L101</f>
        <v>#NAME?</v>
      </c>
      <c r="M69" s="496" t="e">
        <f ca="1">M90/M101</f>
        <v>#NAME?</v>
      </c>
      <c r="N69" s="496" t="e">
        <f ca="1">N90/N101</f>
        <v>#NAME?</v>
      </c>
      <c r="O69" s="496" t="e">
        <f ca="1">O90/O101</f>
        <v>#NAME?</v>
      </c>
      <c r="P69" s="496"/>
      <c r="Q69" s="496" t="e">
        <f ca="1">Q90/Q101</f>
        <v>#NAME?</v>
      </c>
      <c r="R69" s="496" t="e">
        <f ca="1">R90/R101</f>
        <v>#NAME?</v>
      </c>
      <c r="S69" s="496"/>
      <c r="T69" s="496"/>
      <c r="U69" s="496" t="e">
        <f ca="1">U90/U101</f>
        <v>#NUM!</v>
      </c>
      <c r="AJ69" s="493" t="s">
        <v>40</v>
      </c>
      <c r="AK69" s="496" t="e">
        <f t="shared" ca="1" si="113"/>
        <v>#N/A</v>
      </c>
      <c r="AL69" s="496" t="e">
        <f t="shared" ca="1" si="113"/>
        <v>#N/A</v>
      </c>
      <c r="AM69" s="496" t="e">
        <f t="shared" ca="1" si="113"/>
        <v>#N/A</v>
      </c>
      <c r="AN69" s="496" t="e">
        <f t="shared" ca="1" si="113"/>
        <v>#N/A</v>
      </c>
      <c r="AO69" s="496" t="e">
        <f t="shared" ca="1" si="112"/>
        <v>#NAME?</v>
      </c>
      <c r="AP69" s="496" t="e">
        <f t="shared" ca="1" si="112"/>
        <v>#NAME?</v>
      </c>
      <c r="BE69" s="485" t="e">
        <f t="shared" ca="1" si="90"/>
        <v>#DIV/0!</v>
      </c>
      <c r="BF69" s="654" t="str">
        <f t="shared" si="91"/>
        <v/>
      </c>
      <c r="BG69" s="675" t="e">
        <f t="shared" ca="1" si="114"/>
        <v>#DIV/0!</v>
      </c>
      <c r="BH69" s="675" t="e">
        <f t="shared" ca="1" si="114"/>
        <v>#DIV/0!</v>
      </c>
      <c r="BI69" s="675" t="e">
        <f t="shared" ca="1" si="114"/>
        <v>#DIV/0!</v>
      </c>
      <c r="BJ69" s="675" t="e">
        <f t="shared" ca="1" si="114"/>
        <v>#DIV/0!</v>
      </c>
      <c r="BK69" s="675" t="e">
        <f t="shared" ca="1" si="114"/>
        <v>#DIV/0!</v>
      </c>
      <c r="BL69" s="675" t="e">
        <f t="shared" ca="1" si="114"/>
        <v>#DIV/0!</v>
      </c>
      <c r="BM69" s="675" t="e">
        <f t="shared" ca="1" si="114"/>
        <v>#DIV/0!</v>
      </c>
      <c r="BN69" s="676" t="e">
        <f t="shared" ca="1" si="99"/>
        <v>#DIV/0!</v>
      </c>
      <c r="BP69" s="485" t="e">
        <f ca="1">IF(OR(DB_LOAD!AW68="USD",DB_LOAD!AW68='Refi-Annual Review'!$A$3,ISBLANK(DB_LOAD!AW68)),0,1)</f>
        <v>#NAME?</v>
      </c>
      <c r="BQ69" t="str">
        <f>(IF(ISBLANK(DB_LOAD!AR68),"",DB_LOAD!AR68))</f>
        <v/>
      </c>
      <c r="BR69" t="str">
        <f t="shared" si="73"/>
        <v/>
      </c>
      <c r="BS69" t="str">
        <f t="shared" si="74"/>
        <v/>
      </c>
      <c r="BT69" t="str">
        <f t="shared" si="75"/>
        <v>5500000250000016064001572600</v>
      </c>
      <c r="BU69" t="str">
        <f t="shared" si="76"/>
        <v/>
      </c>
      <c r="BV69" t="str">
        <f t="shared" si="77"/>
        <v>7777</v>
      </c>
      <c r="BW69" t="str">
        <f t="shared" si="78"/>
        <v/>
      </c>
      <c r="BX69" t="str">
        <f t="shared" si="79"/>
        <v>1111</v>
      </c>
      <c r="CB69" s="683" t="str">
        <f t="shared" ref="CB69:CB108" si="115">IF(CB68&lt;$BZ$3,CB68+1,"")</f>
        <v/>
      </c>
      <c r="CC69" s="683" t="str">
        <f t="shared" ref="CC69:CC108" si="116">IF(CB69="","",VALUE(MID($BZ$6,CB69,1)))</f>
        <v/>
      </c>
      <c r="CD69" s="683" t="str">
        <f>IF(CC69="","",VALUE(MID($BZ$5,1+SUM($CC$3:CC68),CC69)))</f>
        <v/>
      </c>
      <c r="CE69"/>
      <c r="CF69" t="str">
        <f>IF(CD69="","",MID($BZ$4,1+SUM($CD$3:CD68),CD69))</f>
        <v/>
      </c>
    </row>
    <row r="70" spans="3:84" ht="15">
      <c r="C70" s="485">
        <f t="shared" si="25"/>
        <v>71</v>
      </c>
      <c r="D70" s="493" t="s">
        <v>41</v>
      </c>
      <c r="E70" s="568"/>
      <c r="F70" s="496" t="e">
        <f ca="1">F95/F101</f>
        <v>#N/A</v>
      </c>
      <c r="G70" s="496" t="e">
        <f ca="1">G95/G101</f>
        <v>#N/A</v>
      </c>
      <c r="H70" s="496" t="e">
        <f ca="1">H95/H101</f>
        <v>#N/A</v>
      </c>
      <c r="I70" s="496" t="e">
        <f ca="1">I95/I101</f>
        <v>#N/A</v>
      </c>
      <c r="J70" s="496" t="e">
        <f ca="1">J95/J101</f>
        <v>#N/A</v>
      </c>
      <c r="K70" s="496"/>
      <c r="L70" s="496" t="e">
        <f ca="1">L95/L101</f>
        <v>#NAME?</v>
      </c>
      <c r="M70" s="496" t="e">
        <f ca="1">M95/M101</f>
        <v>#NAME?</v>
      </c>
      <c r="N70" s="496" t="e">
        <f ca="1">N95/N101</f>
        <v>#NAME?</v>
      </c>
      <c r="O70" s="496" t="e">
        <f ca="1">O95/O101</f>
        <v>#NAME?</v>
      </c>
      <c r="P70" s="496"/>
      <c r="Q70" s="496" t="e">
        <f ca="1">Q95/Q101</f>
        <v>#NAME?</v>
      </c>
      <c r="R70" s="496" t="e">
        <f ca="1">R95/R101</f>
        <v>#NAME?</v>
      </c>
      <c r="S70" s="496"/>
      <c r="T70" s="496"/>
      <c r="U70" s="496" t="e">
        <f ca="1">U95/U101</f>
        <v>#NUM!</v>
      </c>
      <c r="AJ70" s="493" t="s">
        <v>41</v>
      </c>
      <c r="AK70" s="496" t="e">
        <f t="shared" ca="1" si="113"/>
        <v>#N/A</v>
      </c>
      <c r="AL70" s="496" t="e">
        <f t="shared" ca="1" si="113"/>
        <v>#N/A</v>
      </c>
      <c r="AM70" s="496" t="e">
        <f t="shared" ca="1" si="113"/>
        <v>#N/A</v>
      </c>
      <c r="AN70" s="496" t="e">
        <f t="shared" ca="1" si="113"/>
        <v>#N/A</v>
      </c>
      <c r="AO70" s="496" t="e">
        <f t="shared" ca="1" si="112"/>
        <v>#NAME?</v>
      </c>
      <c r="AP70" s="496" t="e">
        <f t="shared" ca="1" si="112"/>
        <v>#NAME?</v>
      </c>
      <c r="BE70" s="485" t="e">
        <f t="shared" ca="1" si="90"/>
        <v>#DIV/0!</v>
      </c>
      <c r="BF70" s="654" t="str">
        <f t="shared" si="91"/>
        <v/>
      </c>
      <c r="BG70" s="675" t="e">
        <f t="shared" ca="1" si="114"/>
        <v>#DIV/0!</v>
      </c>
      <c r="BH70" s="675" t="e">
        <f t="shared" ca="1" si="114"/>
        <v>#DIV/0!</v>
      </c>
      <c r="BI70" s="675" t="e">
        <f t="shared" ca="1" si="114"/>
        <v>#DIV/0!</v>
      </c>
      <c r="BJ70" s="675" t="e">
        <f t="shared" ca="1" si="114"/>
        <v>#DIV/0!</v>
      </c>
      <c r="BK70" s="675" t="e">
        <f t="shared" ca="1" si="114"/>
        <v>#DIV/0!</v>
      </c>
      <c r="BL70" s="675" t="e">
        <f t="shared" ca="1" si="114"/>
        <v>#DIV/0!</v>
      </c>
      <c r="BM70" s="675" t="e">
        <f t="shared" ca="1" si="114"/>
        <v>#DIV/0!</v>
      </c>
      <c r="BN70" s="676" t="e">
        <f t="shared" ca="1" si="99"/>
        <v>#DIV/0!</v>
      </c>
      <c r="BP70" s="485" t="e">
        <f ca="1">IF(OR(DB_LOAD!AW69="USD",DB_LOAD!AW69='Refi-Annual Review'!$A$3,ISBLANK(DB_LOAD!AW69)),0,1)</f>
        <v>#NAME?</v>
      </c>
      <c r="BQ70" t="str">
        <f>(IF(ISBLANK(DB_LOAD!AR69),"",DB_LOAD!AR69))</f>
        <v/>
      </c>
      <c r="BR70" t="str">
        <f t="shared" si="73"/>
        <v/>
      </c>
      <c r="BS70" t="str">
        <f t="shared" si="74"/>
        <v/>
      </c>
      <c r="BT70" t="str">
        <f t="shared" si="75"/>
        <v>5500000250000016064001572600</v>
      </c>
      <c r="BU70" t="str">
        <f t="shared" si="76"/>
        <v/>
      </c>
      <c r="BV70" t="str">
        <f t="shared" si="77"/>
        <v>7777</v>
      </c>
      <c r="BW70" t="str">
        <f t="shared" si="78"/>
        <v/>
      </c>
      <c r="BX70" t="str">
        <f t="shared" si="79"/>
        <v>1111</v>
      </c>
      <c r="CB70" s="683" t="str">
        <f t="shared" si="115"/>
        <v/>
      </c>
      <c r="CC70" s="683" t="str">
        <f t="shared" si="116"/>
        <v/>
      </c>
      <c r="CD70" s="683" t="str">
        <f>IF(CC70="","",VALUE(MID($BZ$5,1+SUM($CC$3:CC69),CC70)))</f>
        <v/>
      </c>
      <c r="CE70"/>
      <c r="CF70" t="str">
        <f>IF(CD70="","",MID($BZ$4,1+SUM($CD$3:CD69),CD70))</f>
        <v/>
      </c>
    </row>
    <row r="71" spans="3:84" ht="15">
      <c r="C71" s="485">
        <f t="shared" si="25"/>
        <v>72</v>
      </c>
      <c r="D71" s="493" t="s">
        <v>42</v>
      </c>
      <c r="E71" s="568"/>
      <c r="F71" s="498" t="e">
        <f t="shared" ref="F71:J71" ca="1" si="117">F112/F113</f>
        <v>#N/A</v>
      </c>
      <c r="G71" s="498" t="e">
        <f t="shared" ca="1" si="117"/>
        <v>#N/A</v>
      </c>
      <c r="H71" s="498" t="e">
        <f t="shared" ca="1" si="117"/>
        <v>#N/A</v>
      </c>
      <c r="I71" s="498" t="e">
        <f t="shared" ca="1" si="117"/>
        <v>#N/A</v>
      </c>
      <c r="J71" s="498" t="e">
        <f t="shared" ca="1" si="117"/>
        <v>#N/A</v>
      </c>
      <c r="K71" s="498"/>
      <c r="L71" s="498" t="e">
        <f ca="1">L112/L113</f>
        <v>#NAME?</v>
      </c>
      <c r="M71" s="498" t="e">
        <f t="shared" ref="M71:O71" ca="1" si="118">M112/M113</f>
        <v>#NAME?</v>
      </c>
      <c r="N71" s="498" t="e">
        <f t="shared" ca="1" si="118"/>
        <v>#NAME?</v>
      </c>
      <c r="O71" s="498" t="e">
        <f t="shared" ca="1" si="118"/>
        <v>#NAME?</v>
      </c>
      <c r="P71" s="498"/>
      <c r="Q71" s="498" t="e">
        <f ca="1">Q112/Q113</f>
        <v>#NAME?</v>
      </c>
      <c r="R71" s="498" t="e">
        <f ca="1">R112/R113</f>
        <v>#NAME?</v>
      </c>
      <c r="S71" s="498"/>
      <c r="T71" s="498"/>
      <c r="U71" s="498" t="e">
        <f ca="1">U112/U115</f>
        <v>#NUM!</v>
      </c>
      <c r="AJ71" s="493" t="s">
        <v>42</v>
      </c>
      <c r="AK71" s="498" t="e">
        <f t="shared" ca="1" si="113"/>
        <v>#N/A</v>
      </c>
      <c r="AL71" s="498" t="e">
        <f t="shared" ca="1" si="113"/>
        <v>#N/A</v>
      </c>
      <c r="AM71" s="498" t="e">
        <f t="shared" ca="1" si="113"/>
        <v>#N/A</v>
      </c>
      <c r="AN71" s="498" t="e">
        <f t="shared" ca="1" si="113"/>
        <v>#N/A</v>
      </c>
      <c r="AO71" s="498" t="e">
        <f t="shared" ca="1" si="112"/>
        <v>#NAME?</v>
      </c>
      <c r="AP71" s="498" t="e">
        <f t="shared" ca="1" si="112"/>
        <v>#NAME?</v>
      </c>
      <c r="BF71" s="652" t="e">
        <f ca="1">"Total "&amp;A3&amp;" Exposure"</f>
        <v>#NAME?</v>
      </c>
      <c r="BG71" s="671" t="e">
        <f ca="1">IF(SUM(BG41:BG70)=0,"",SUM(BG41:BG70))</f>
        <v>#DIV/0!</v>
      </c>
      <c r="BH71" s="671" t="e">
        <f t="shared" ref="BH71:BM71" ca="1" si="119">IF(SUM(BH41:BH70)=0,"",SUM(BH41:BH70))</f>
        <v>#DIV/0!</v>
      </c>
      <c r="BI71" s="671" t="e">
        <f t="shared" ca="1" si="119"/>
        <v>#DIV/0!</v>
      </c>
      <c r="BJ71" s="671" t="e">
        <f t="shared" ca="1" si="119"/>
        <v>#DIV/0!</v>
      </c>
      <c r="BK71" s="671" t="e">
        <f t="shared" ca="1" si="119"/>
        <v>#DIV/0!</v>
      </c>
      <c r="BL71" s="671" t="e">
        <f t="shared" ca="1" si="119"/>
        <v>#DIV/0!</v>
      </c>
      <c r="BM71" s="671" t="e">
        <f t="shared" ca="1" si="119"/>
        <v>#DIV/0!</v>
      </c>
      <c r="BN71" s="672" t="e">
        <f t="shared" ca="1" si="99"/>
        <v>#DIV/0!</v>
      </c>
      <c r="BP71" s="485" t="e">
        <f ca="1">IF(OR(DB_LOAD!AW70="USD",DB_LOAD!AW70='Refi-Annual Review'!$A$3,ISBLANK(DB_LOAD!AW70)),0,1)</f>
        <v>#NAME?</v>
      </c>
      <c r="BQ71" t="str">
        <f>(IF(ISBLANK(DB_LOAD!AR70),"",DB_LOAD!AR70))</f>
        <v/>
      </c>
      <c r="BR71" t="str">
        <f t="shared" si="73"/>
        <v/>
      </c>
      <c r="BS71" t="str">
        <f t="shared" si="74"/>
        <v/>
      </c>
      <c r="BT71" t="str">
        <f t="shared" si="75"/>
        <v>5500000250000016064001572600</v>
      </c>
      <c r="BU71" t="str">
        <f t="shared" si="76"/>
        <v/>
      </c>
      <c r="BV71" t="str">
        <f t="shared" si="77"/>
        <v>7777</v>
      </c>
      <c r="BW71" t="str">
        <f t="shared" si="78"/>
        <v/>
      </c>
      <c r="BX71" t="str">
        <f t="shared" si="79"/>
        <v>1111</v>
      </c>
      <c r="CB71" s="683" t="str">
        <f t="shared" si="115"/>
        <v/>
      </c>
      <c r="CC71" s="683" t="str">
        <f t="shared" si="116"/>
        <v/>
      </c>
      <c r="CD71" s="683" t="str">
        <f>IF(CC71="","",VALUE(MID($BZ$5,1+SUM($CC$3:CC70),CC71)))</f>
        <v/>
      </c>
      <c r="CE71"/>
      <c r="CF71" t="str">
        <f>IF(CD71="","",MID($BZ$4,1+SUM($CD$3:CD70),CD71))</f>
        <v/>
      </c>
    </row>
    <row r="72" spans="3:84" ht="15">
      <c r="C72" s="485">
        <f t="shared" si="25"/>
        <v>73</v>
      </c>
      <c r="D72" s="493" t="s">
        <v>43</v>
      </c>
      <c r="E72" s="568"/>
      <c r="F72" s="562" t="e">
        <f ca="1">(F173-F175)/F113</f>
        <v>#N/A</v>
      </c>
      <c r="G72" s="562" t="e">
        <f ca="1">(G173-G175)/G113</f>
        <v>#N/A</v>
      </c>
      <c r="H72" s="562" t="e">
        <f ca="1">(H173-H175)/H113</f>
        <v>#N/A</v>
      </c>
      <c r="I72" s="562" t="e">
        <f ca="1">(I173-I175)/I113</f>
        <v>#N/A</v>
      </c>
      <c r="J72" s="562" t="e">
        <f ca="1">(J173-J175)/J113</f>
        <v>#N/A</v>
      </c>
      <c r="K72" s="562"/>
      <c r="L72" s="562" t="e">
        <f ca="1">(L173-L175)/L113</f>
        <v>#NAME?</v>
      </c>
      <c r="M72" s="562" t="e">
        <f ca="1">(M173-M175)/M113</f>
        <v>#NAME?</v>
      </c>
      <c r="N72" s="562" t="e">
        <f ca="1">(N173-N175)/N113</f>
        <v>#NAME?</v>
      </c>
      <c r="O72" s="562" t="e">
        <f ca="1">(O173-O175)/O113</f>
        <v>#NAME?</v>
      </c>
      <c r="P72" s="562"/>
      <c r="Q72" s="562" t="e">
        <f ca="1">(Q173-Q175)/Q113</f>
        <v>#NAME?</v>
      </c>
      <c r="R72" s="562" t="e">
        <f ca="1">(R173-R175)/R113</f>
        <v>#NAME?</v>
      </c>
      <c r="S72" s="543"/>
      <c r="T72" s="543"/>
      <c r="U72" s="543" t="e">
        <f ca="1">(U173-U175)/U113</f>
        <v>#NAME?</v>
      </c>
      <c r="AJ72" s="493" t="s">
        <v>43</v>
      </c>
      <c r="AK72" s="562" t="e">
        <f t="shared" ca="1" si="113"/>
        <v>#N/A</v>
      </c>
      <c r="AL72" s="562" t="e">
        <f t="shared" ca="1" si="113"/>
        <v>#N/A</v>
      </c>
      <c r="AM72" s="562" t="e">
        <f t="shared" ca="1" si="113"/>
        <v>#N/A</v>
      </c>
      <c r="AN72" s="562" t="e">
        <f t="shared" ca="1" si="113"/>
        <v>#N/A</v>
      </c>
      <c r="AO72" s="562" t="e">
        <f t="shared" ca="1" si="112"/>
        <v>#NAME?</v>
      </c>
      <c r="AP72" s="496" t="e">
        <f t="shared" ca="1" si="112"/>
        <v>#NAME?</v>
      </c>
      <c r="BF72" s="655" t="s">
        <v>463</v>
      </c>
      <c r="BG72" s="677" t="e">
        <f t="shared" ref="BG72:BN72" ca="1" si="120">IF(IF(BG39="",0,BG39)+IF(BG71="",0,BG71)=0,"-",IF(BG39="",0,BG39)+IF(BG71="",0,BG71))</f>
        <v>#NAME?</v>
      </c>
      <c r="BH72" s="677" t="e">
        <f t="shared" ca="1" si="120"/>
        <v>#NAME?</v>
      </c>
      <c r="BI72" s="677" t="e">
        <f t="shared" ca="1" si="120"/>
        <v>#NAME?</v>
      </c>
      <c r="BJ72" s="677" t="e">
        <f t="shared" ca="1" si="120"/>
        <v>#NAME?</v>
      </c>
      <c r="BK72" s="677" t="e">
        <f t="shared" ca="1" si="120"/>
        <v>#NAME?</v>
      </c>
      <c r="BL72" s="677" t="e">
        <f t="shared" ca="1" si="120"/>
        <v>#NAME?</v>
      </c>
      <c r="BM72" s="677" t="e">
        <f t="shared" ca="1" si="120"/>
        <v>#NAME?</v>
      </c>
      <c r="BN72" s="677" t="e">
        <f t="shared" ca="1" si="120"/>
        <v>#NAME?</v>
      </c>
      <c r="BP72" s="485" t="e">
        <f ca="1">IF(OR(DB_LOAD!AW71="USD",DB_LOAD!AW71='Refi-Annual Review'!$A$3,ISBLANK(DB_LOAD!AW71)),0,1)</f>
        <v>#NAME?</v>
      </c>
      <c r="BQ72" t="str">
        <f>(IF(ISBLANK(DB_LOAD!AR71),"",DB_LOAD!AR71))</f>
        <v/>
      </c>
      <c r="BR72" t="str">
        <f t="shared" si="73"/>
        <v/>
      </c>
      <c r="BS72" t="str">
        <f t="shared" si="74"/>
        <v/>
      </c>
      <c r="BT72" t="str">
        <f t="shared" si="75"/>
        <v>5500000250000016064001572600</v>
      </c>
      <c r="BU72" t="str">
        <f t="shared" si="76"/>
        <v/>
      </c>
      <c r="BV72" t="str">
        <f t="shared" si="77"/>
        <v>7777</v>
      </c>
      <c r="BW72" t="str">
        <f t="shared" si="78"/>
        <v/>
      </c>
      <c r="BX72" t="str">
        <f t="shared" si="79"/>
        <v>1111</v>
      </c>
      <c r="CB72" s="683" t="str">
        <f t="shared" si="115"/>
        <v/>
      </c>
      <c r="CC72" s="683" t="str">
        <f t="shared" si="116"/>
        <v/>
      </c>
      <c r="CD72" s="683" t="str">
        <f>IF(CC72="","",VALUE(MID($BZ$5,1+SUM($CC$3:CC71),CC72)))</f>
        <v/>
      </c>
      <c r="CE72"/>
      <c r="CF72" t="str">
        <f>IF(CD72="","",MID($BZ$4,1+SUM($CD$3:CD71),CD72))</f>
        <v/>
      </c>
    </row>
    <row r="73" spans="3:84" ht="15">
      <c r="C73" s="485">
        <f t="shared" ref="C73:C136" si="121">C72+1</f>
        <v>74</v>
      </c>
      <c r="D73" s="493" t="s">
        <v>44</v>
      </c>
      <c r="E73" s="568"/>
      <c r="F73" s="496" t="e">
        <f ca="1">F104/F95</f>
        <v>#N/A</v>
      </c>
      <c r="G73" s="496" t="e">
        <f ca="1">G104/G95</f>
        <v>#N/A</v>
      </c>
      <c r="H73" s="496" t="e">
        <f ca="1">H104/H95</f>
        <v>#N/A</v>
      </c>
      <c r="I73" s="496" t="e">
        <f ca="1">I104/I95</f>
        <v>#N/A</v>
      </c>
      <c r="J73" s="496" t="e">
        <f ca="1">J104/J95</f>
        <v>#N/A</v>
      </c>
      <c r="K73" s="496"/>
      <c r="L73" s="496" t="e">
        <f ca="1">L104/L95</f>
        <v>#NAME?</v>
      </c>
      <c r="M73" s="496" t="e">
        <f ca="1">M104/M95</f>
        <v>#NAME?</v>
      </c>
      <c r="N73" s="496" t="e">
        <f ca="1">N104/N95</f>
        <v>#NAME?</v>
      </c>
      <c r="O73" s="496" t="e">
        <f ca="1">O104/O95</f>
        <v>#NAME?</v>
      </c>
      <c r="P73" s="496"/>
      <c r="Q73" s="496" t="e">
        <f ca="1">Q104/Q95</f>
        <v>#NAME?</v>
      </c>
      <c r="R73" s="496" t="e">
        <f ca="1">R104/R95</f>
        <v>#NAME?</v>
      </c>
      <c r="S73" s="496"/>
      <c r="T73" s="496"/>
      <c r="U73" s="496" t="e">
        <f ca="1">U104/U95</f>
        <v>#NUM!</v>
      </c>
      <c r="AJ73" s="493" t="s">
        <v>44</v>
      </c>
      <c r="AK73" s="496" t="e">
        <f t="shared" ca="1" si="113"/>
        <v>#N/A</v>
      </c>
      <c r="AL73" s="496" t="e">
        <f t="shared" ca="1" si="113"/>
        <v>#N/A</v>
      </c>
      <c r="AM73" s="496" t="e">
        <f t="shared" ca="1" si="113"/>
        <v>#N/A</v>
      </c>
      <c r="AN73" s="496" t="e">
        <f t="shared" ca="1" si="113"/>
        <v>#N/A</v>
      </c>
      <c r="AO73" s="496" t="e">
        <f t="shared" ca="1" si="112"/>
        <v>#NAME?</v>
      </c>
      <c r="AP73" s="496" t="e">
        <f t="shared" ca="1" si="112"/>
        <v>#NAME?</v>
      </c>
      <c r="BF73" s="653" t="s">
        <v>453</v>
      </c>
      <c r="BG73" s="673" t="s">
        <v>456</v>
      </c>
      <c r="BH73" s="673" t="s">
        <v>457</v>
      </c>
      <c r="BI73" s="673" t="s">
        <v>455</v>
      </c>
      <c r="BJ73" s="673" t="s">
        <v>459</v>
      </c>
      <c r="BK73" s="673" t="s">
        <v>460</v>
      </c>
      <c r="BL73" s="673" t="s">
        <v>461</v>
      </c>
      <c r="BM73" s="673" t="s">
        <v>462</v>
      </c>
      <c r="BN73" s="674" t="s">
        <v>328</v>
      </c>
      <c r="BP73" s="485" t="e">
        <f ca="1">IF(OR(DB_LOAD!AW72="USD",DB_LOAD!AW72='Refi-Annual Review'!$A$3,ISBLANK(DB_LOAD!AW72)),0,1)</f>
        <v>#NAME?</v>
      </c>
      <c r="BQ73" t="str">
        <f>(IF(ISBLANK(DB_LOAD!AR72),"",DB_LOAD!AR72))</f>
        <v/>
      </c>
      <c r="BR73" t="str">
        <f t="shared" si="73"/>
        <v/>
      </c>
      <c r="BS73" t="str">
        <f t="shared" si="74"/>
        <v/>
      </c>
      <c r="BT73" t="str">
        <f t="shared" si="75"/>
        <v>5500000250000016064001572600</v>
      </c>
      <c r="BU73" t="str">
        <f t="shared" si="76"/>
        <v/>
      </c>
      <c r="BV73" t="str">
        <f t="shared" si="77"/>
        <v>7777</v>
      </c>
      <c r="BW73" t="str">
        <f t="shared" si="78"/>
        <v/>
      </c>
      <c r="BX73" t="str">
        <f t="shared" si="79"/>
        <v>1111</v>
      </c>
      <c r="CB73" s="683" t="str">
        <f t="shared" si="115"/>
        <v/>
      </c>
      <c r="CC73" s="683" t="str">
        <f t="shared" si="116"/>
        <v/>
      </c>
      <c r="CD73" s="683" t="str">
        <f>IF(CC73="","",VALUE(MID($BZ$5,1+SUM($CC$3:CC72),CC73)))</f>
        <v/>
      </c>
      <c r="CE73"/>
      <c r="CF73" t="str">
        <f>IF(CD73="","",MID($BZ$4,1+SUM($CD$3:CD72),CD73))</f>
        <v/>
      </c>
    </row>
    <row r="74" spans="3:84" ht="15">
      <c r="C74" s="485">
        <f t="shared" si="121"/>
        <v>75</v>
      </c>
      <c r="AK74" s="486"/>
      <c r="AL74" s="486"/>
      <c r="AM74" s="486"/>
      <c r="AN74" s="486"/>
      <c r="AO74" s="486"/>
      <c r="BE74" s="485">
        <f t="shared" ref="BE74:BE103" ca="1" si="122">IF(OR(BN74=0,BN74=""),1,"")</f>
        <v>1</v>
      </c>
      <c r="BF74" s="654" t="str">
        <f t="shared" ref="BF74:BF103" si="123">CF3</f>
        <v>5500000</v>
      </c>
      <c r="BG74" s="669" t="str">
        <f t="shared" ref="BG74:BG100" ca="1" si="124">IF(DJ3+DS3=0,"",DJ3+DS3)</f>
        <v/>
      </c>
      <c r="BH74" s="669" t="str">
        <f t="shared" ref="BH74:BH100" ca="1" si="125">IF(DK3+DT3=0,"",DK3+DT3)</f>
        <v/>
      </c>
      <c r="BI74" s="669" t="str">
        <f t="shared" ref="BI74:BI100" ca="1" si="126">IF(DL3+DU3=0,"",DL3+DU3)</f>
        <v/>
      </c>
      <c r="BJ74" s="669" t="str">
        <f t="shared" ref="BJ74:BJ100" ca="1" si="127">IF(DM3+DV3=0,"",DM3+DV3)</f>
        <v/>
      </c>
      <c r="BK74" s="669" t="str">
        <f t="shared" ref="BK74:BK100" ca="1" si="128">IF(DN3+DW3=0,"",DN3+DW3)</f>
        <v/>
      </c>
      <c r="BL74" s="669" t="str">
        <f t="shared" ref="BL74:BL100" ca="1" si="129">IF(DO3+DX3=0,"",DO3+DX3)</f>
        <v/>
      </c>
      <c r="BM74" s="669" t="str">
        <f t="shared" ref="BM74:BM100" ca="1" si="130">IF(DP3+DY3=0,"",DP3+DY3)</f>
        <v/>
      </c>
      <c r="BN74" s="676" t="str">
        <f t="shared" ca="1" si="99"/>
        <v/>
      </c>
      <c r="BP74" s="485" t="e">
        <f ca="1">IF(OR(DB_LOAD!AW73="USD",DB_LOAD!AW73='Refi-Annual Review'!$A$3,ISBLANK(DB_LOAD!AW73)),0,1)</f>
        <v>#NAME?</v>
      </c>
      <c r="BQ74" t="str">
        <f>(IF(ISBLANK(DB_LOAD!AR73),"",DB_LOAD!AR73))</f>
        <v/>
      </c>
      <c r="BR74" t="str">
        <f t="shared" si="73"/>
        <v/>
      </c>
      <c r="BS74" t="str">
        <f t="shared" si="74"/>
        <v/>
      </c>
      <c r="BT74" t="str">
        <f t="shared" si="75"/>
        <v>5500000250000016064001572600</v>
      </c>
      <c r="BU74" t="str">
        <f t="shared" si="76"/>
        <v/>
      </c>
      <c r="BV74" t="str">
        <f t="shared" si="77"/>
        <v>7777</v>
      </c>
      <c r="BW74" t="str">
        <f t="shared" si="78"/>
        <v/>
      </c>
      <c r="BX74" t="str">
        <f t="shared" si="79"/>
        <v>1111</v>
      </c>
      <c r="CB74" s="683" t="str">
        <f t="shared" si="115"/>
        <v/>
      </c>
      <c r="CC74" s="683" t="str">
        <f t="shared" si="116"/>
        <v/>
      </c>
      <c r="CD74" s="683" t="str">
        <f>IF(CC74="","",VALUE(MID($BZ$5,1+SUM($CC$3:CC73),CC74)))</f>
        <v/>
      </c>
      <c r="CE74"/>
      <c r="CF74" t="str">
        <f>IF(CD74="","",MID($BZ$4,1+SUM($CD$3:CD73),CD74))</f>
        <v/>
      </c>
    </row>
    <row r="75" spans="3:84" ht="15">
      <c r="C75" s="485">
        <f t="shared" si="121"/>
        <v>76</v>
      </c>
      <c r="D75" s="499" t="s">
        <v>421</v>
      </c>
      <c r="E75" s="569"/>
      <c r="F75" s="456"/>
      <c r="G75" s="456"/>
      <c r="AJ75" s="499" t="s">
        <v>421</v>
      </c>
      <c r="AK75" s="456"/>
      <c r="AL75" s="456"/>
      <c r="AM75" s="486"/>
      <c r="AN75" s="486"/>
      <c r="AO75" s="486"/>
      <c r="BE75" s="485">
        <f t="shared" ca="1" si="122"/>
        <v>1</v>
      </c>
      <c r="BF75" s="654" t="str">
        <f t="shared" si="123"/>
        <v>2500000</v>
      </c>
      <c r="BG75" s="669" t="str">
        <f t="shared" ca="1" si="124"/>
        <v/>
      </c>
      <c r="BH75" s="669" t="str">
        <f t="shared" ca="1" si="125"/>
        <v/>
      </c>
      <c r="BI75" s="669" t="str">
        <f t="shared" ca="1" si="126"/>
        <v/>
      </c>
      <c r="BJ75" s="669" t="str">
        <f t="shared" ca="1" si="127"/>
        <v/>
      </c>
      <c r="BK75" s="669" t="str">
        <f t="shared" ca="1" si="128"/>
        <v/>
      </c>
      <c r="BL75" s="669" t="str">
        <f t="shared" ca="1" si="129"/>
        <v/>
      </c>
      <c r="BM75" s="669" t="str">
        <f t="shared" ca="1" si="130"/>
        <v/>
      </c>
      <c r="BN75" s="670" t="str">
        <f t="shared" ref="BN75:BN103" ca="1" si="131">IF(SUM(BG75:BM75)=0,"",SUM(BG75:BM75))</f>
        <v/>
      </c>
      <c r="BP75" s="485" t="e">
        <f ca="1">IF(OR(DB_LOAD!AW74="USD",DB_LOAD!AW74='Refi-Annual Review'!$A$3,ISBLANK(DB_LOAD!AW74)),0,1)</f>
        <v>#NAME?</v>
      </c>
      <c r="BQ75" t="str">
        <f>(IF(ISBLANK(DB_LOAD!AR74),"",DB_LOAD!AR74))</f>
        <v/>
      </c>
      <c r="BR75" t="str">
        <f t="shared" si="73"/>
        <v/>
      </c>
      <c r="BS75" t="str">
        <f t="shared" si="74"/>
        <v/>
      </c>
      <c r="BT75" t="str">
        <f t="shared" si="75"/>
        <v>5500000250000016064001572600</v>
      </c>
      <c r="BU75" t="str">
        <f t="shared" si="76"/>
        <v/>
      </c>
      <c r="BV75" t="str">
        <f t="shared" si="77"/>
        <v>7777</v>
      </c>
      <c r="BW75" t="str">
        <f t="shared" si="78"/>
        <v/>
      </c>
      <c r="BX75" t="str">
        <f t="shared" si="79"/>
        <v>1111</v>
      </c>
      <c r="CB75" s="683" t="str">
        <f t="shared" si="115"/>
        <v/>
      </c>
      <c r="CC75" s="683" t="str">
        <f t="shared" si="116"/>
        <v/>
      </c>
      <c r="CD75" s="683" t="str">
        <f>IF(CC75="","",VALUE(MID($BZ$5,1+SUM($CC$3:CC74),CC75)))</f>
        <v/>
      </c>
      <c r="CE75"/>
      <c r="CF75" t="str">
        <f>IF(CD75="","",MID($BZ$4,1+SUM($CD$3:CD74),CD75))</f>
        <v/>
      </c>
    </row>
    <row r="76" spans="3:84" ht="15.75" thickBot="1">
      <c r="C76" s="485">
        <f t="shared" si="121"/>
        <v>77</v>
      </c>
      <c r="D76" s="457" t="s">
        <v>409</v>
      </c>
      <c r="E76" s="570"/>
      <c r="F76" s="458" t="s">
        <v>410</v>
      </c>
      <c r="G76" s="458" t="s">
        <v>411</v>
      </c>
      <c r="AJ76" s="457" t="s">
        <v>409</v>
      </c>
      <c r="AK76" s="458"/>
      <c r="AL76" s="458"/>
      <c r="AM76" s="486"/>
      <c r="AN76" s="486"/>
      <c r="AO76" s="486"/>
      <c r="BE76" s="485">
        <f t="shared" ca="1" si="122"/>
        <v>1</v>
      </c>
      <c r="BF76" s="654" t="str">
        <f t="shared" si="123"/>
        <v>1606400</v>
      </c>
      <c r="BG76" s="675" t="str">
        <f t="shared" ca="1" si="124"/>
        <v/>
      </c>
      <c r="BH76" s="675" t="str">
        <f t="shared" ca="1" si="125"/>
        <v/>
      </c>
      <c r="BI76" s="675" t="str">
        <f t="shared" ca="1" si="126"/>
        <v/>
      </c>
      <c r="BJ76" s="675" t="str">
        <f t="shared" ca="1" si="127"/>
        <v/>
      </c>
      <c r="BK76" s="675" t="str">
        <f t="shared" ca="1" si="128"/>
        <v/>
      </c>
      <c r="BL76" s="675" t="str">
        <f t="shared" ca="1" si="129"/>
        <v/>
      </c>
      <c r="BM76" s="675" t="str">
        <f t="shared" ca="1" si="130"/>
        <v/>
      </c>
      <c r="BN76" s="676" t="str">
        <f t="shared" ca="1" si="131"/>
        <v/>
      </c>
      <c r="BP76" s="485" t="e">
        <f ca="1">IF(OR(DB_LOAD!AW75="USD",DB_LOAD!AW75='Refi-Annual Review'!$A$3,ISBLANK(DB_LOAD!AW75)),0,1)</f>
        <v>#NAME?</v>
      </c>
      <c r="BQ76" t="str">
        <f>(IF(ISBLANK(DB_LOAD!AR75),"",DB_LOAD!AR75))</f>
        <v/>
      </c>
      <c r="BR76" t="str">
        <f t="shared" si="73"/>
        <v/>
      </c>
      <c r="BS76" t="str">
        <f t="shared" si="74"/>
        <v/>
      </c>
      <c r="BT76" t="str">
        <f t="shared" si="75"/>
        <v>5500000250000016064001572600</v>
      </c>
      <c r="BU76" t="str">
        <f t="shared" si="76"/>
        <v/>
      </c>
      <c r="BV76" t="str">
        <f t="shared" si="77"/>
        <v>7777</v>
      </c>
      <c r="BW76" t="str">
        <f t="shared" si="78"/>
        <v/>
      </c>
      <c r="BX76" t="str">
        <f t="shared" si="79"/>
        <v>1111</v>
      </c>
      <c r="CB76" s="683" t="str">
        <f t="shared" si="115"/>
        <v/>
      </c>
      <c r="CC76" s="683" t="str">
        <f t="shared" si="116"/>
        <v/>
      </c>
      <c r="CD76" s="683" t="str">
        <f>IF(CC76="","",VALUE(MID($BZ$5,1+SUM($CC$3:CC75),CC76)))</f>
        <v/>
      </c>
      <c r="CE76"/>
      <c r="CF76" t="str">
        <f>IF(CD76="","",MID($BZ$4,1+SUM($CD$3:CD75),CD76))</f>
        <v/>
      </c>
    </row>
    <row r="77" spans="3:84" ht="15">
      <c r="C77" s="485">
        <f t="shared" si="121"/>
        <v>78</v>
      </c>
      <c r="D77" s="511" t="s">
        <v>416</v>
      </c>
      <c r="E77" s="571"/>
      <c r="F77" s="500"/>
      <c r="G77" s="501"/>
      <c r="AJ77" s="511" t="s">
        <v>416</v>
      </c>
      <c r="AK77" s="500"/>
      <c r="AL77" s="500"/>
      <c r="AM77" s="486"/>
      <c r="AN77" s="486"/>
      <c r="AO77" s="486"/>
      <c r="BE77" s="485">
        <f t="shared" ca="1" si="122"/>
        <v>1</v>
      </c>
      <c r="BF77" s="654" t="str">
        <f t="shared" si="123"/>
        <v>1572600</v>
      </c>
      <c r="BG77" s="675" t="str">
        <f t="shared" ca="1" si="124"/>
        <v/>
      </c>
      <c r="BH77" s="675" t="str">
        <f t="shared" ca="1" si="125"/>
        <v/>
      </c>
      <c r="BI77" s="675" t="str">
        <f t="shared" ca="1" si="126"/>
        <v/>
      </c>
      <c r="BJ77" s="675" t="str">
        <f t="shared" ca="1" si="127"/>
        <v/>
      </c>
      <c r="BK77" s="675" t="str">
        <f t="shared" ca="1" si="128"/>
        <v/>
      </c>
      <c r="BL77" s="675" t="str">
        <f t="shared" ca="1" si="129"/>
        <v/>
      </c>
      <c r="BM77" s="675" t="str">
        <f t="shared" ca="1" si="130"/>
        <v/>
      </c>
      <c r="BN77" s="676" t="str">
        <f t="shared" ca="1" si="131"/>
        <v/>
      </c>
      <c r="BP77" s="485" t="e">
        <f ca="1">IF(OR(DB_LOAD!AW76="USD",DB_LOAD!AW76='Refi-Annual Review'!$A$3,ISBLANK(DB_LOAD!AW76)),0,1)</f>
        <v>#NAME?</v>
      </c>
      <c r="BQ77" t="str">
        <f>(IF(ISBLANK(DB_LOAD!AR76),"",DB_LOAD!AR76))</f>
        <v/>
      </c>
      <c r="BR77" t="str">
        <f t="shared" si="73"/>
        <v/>
      </c>
      <c r="BS77" t="str">
        <f t="shared" si="74"/>
        <v/>
      </c>
      <c r="BT77" t="str">
        <f t="shared" si="75"/>
        <v>5500000250000016064001572600</v>
      </c>
      <c r="BU77" t="str">
        <f t="shared" si="76"/>
        <v/>
      </c>
      <c r="BV77" t="str">
        <f t="shared" si="77"/>
        <v>7777</v>
      </c>
      <c r="BW77" t="str">
        <f t="shared" si="78"/>
        <v/>
      </c>
      <c r="BX77" t="str">
        <f t="shared" si="79"/>
        <v>1111</v>
      </c>
      <c r="CB77" s="683" t="str">
        <f t="shared" si="115"/>
        <v/>
      </c>
      <c r="CC77" s="683" t="str">
        <f t="shared" si="116"/>
        <v/>
      </c>
      <c r="CD77" s="683" t="str">
        <f>IF(CC77="","",VALUE(MID($BZ$5,1+SUM($CC$3:CC76),CC77)))</f>
        <v/>
      </c>
      <c r="CE77"/>
      <c r="CF77" t="str">
        <f>IF(CD77="","",MID($BZ$4,1+SUM($CD$3:CD76),CD77))</f>
        <v/>
      </c>
    </row>
    <row r="78" spans="3:84" ht="15">
      <c r="C78" s="485">
        <f t="shared" si="121"/>
        <v>79</v>
      </c>
      <c r="D78" s="512" t="s">
        <v>417</v>
      </c>
      <c r="E78" s="571"/>
      <c r="F78" s="502"/>
      <c r="G78" s="503"/>
      <c r="AJ78" s="512" t="s">
        <v>417</v>
      </c>
      <c r="AK78" s="502"/>
      <c r="AL78" s="502"/>
      <c r="AM78" s="486"/>
      <c r="AN78" s="486"/>
      <c r="AO78" s="486"/>
      <c r="BE78" s="485">
        <f t="shared" ca="1" si="122"/>
        <v>1</v>
      </c>
      <c r="BF78" s="654" t="str">
        <f t="shared" si="123"/>
        <v/>
      </c>
      <c r="BG78" s="675" t="str">
        <f t="shared" ca="1" si="124"/>
        <v/>
      </c>
      <c r="BH78" s="675" t="str">
        <f t="shared" ca="1" si="125"/>
        <v/>
      </c>
      <c r="BI78" s="675" t="str">
        <f t="shared" ca="1" si="126"/>
        <v/>
      </c>
      <c r="BJ78" s="675" t="str">
        <f t="shared" ca="1" si="127"/>
        <v/>
      </c>
      <c r="BK78" s="675" t="str">
        <f t="shared" ca="1" si="128"/>
        <v/>
      </c>
      <c r="BL78" s="675" t="str">
        <f t="shared" ca="1" si="129"/>
        <v/>
      </c>
      <c r="BM78" s="675" t="str">
        <f t="shared" ca="1" si="130"/>
        <v/>
      </c>
      <c r="BN78" s="676" t="str">
        <f t="shared" ca="1" si="131"/>
        <v/>
      </c>
      <c r="BP78" s="485" t="e">
        <f ca="1">IF(OR(DB_LOAD!AW77="USD",DB_LOAD!AW77='Refi-Annual Review'!$A$3,ISBLANK(DB_LOAD!AW77)),0,1)</f>
        <v>#NAME?</v>
      </c>
      <c r="BQ78" t="str">
        <f>(IF(ISBLANK(DB_LOAD!AR77),"",DB_LOAD!AR77))</f>
        <v/>
      </c>
      <c r="BR78" t="str">
        <f t="shared" si="73"/>
        <v/>
      </c>
      <c r="BS78" t="str">
        <f t="shared" si="74"/>
        <v/>
      </c>
      <c r="BT78" t="str">
        <f t="shared" si="75"/>
        <v>5500000250000016064001572600</v>
      </c>
      <c r="BU78" t="str">
        <f t="shared" si="76"/>
        <v/>
      </c>
      <c r="BV78" t="str">
        <f t="shared" si="77"/>
        <v>7777</v>
      </c>
      <c r="BW78" t="str">
        <f t="shared" si="78"/>
        <v/>
      </c>
      <c r="BX78" t="str">
        <f t="shared" si="79"/>
        <v>1111</v>
      </c>
      <c r="CB78" s="683" t="str">
        <f t="shared" si="115"/>
        <v/>
      </c>
      <c r="CC78" s="683" t="str">
        <f t="shared" si="116"/>
        <v/>
      </c>
      <c r="CD78" s="683" t="str">
        <f>IF(CC78="","",VALUE(MID($BZ$5,1+SUM($CC$3:CC77),CC78)))</f>
        <v/>
      </c>
      <c r="CE78"/>
      <c r="CF78" t="str">
        <f>IF(CD78="","",MID($BZ$4,1+SUM($CD$3:CD77),CD78))</f>
        <v/>
      </c>
    </row>
    <row r="79" spans="3:84" ht="15">
      <c r="C79" s="485">
        <f t="shared" si="121"/>
        <v>80</v>
      </c>
      <c r="D79" s="513" t="s">
        <v>418</v>
      </c>
      <c r="E79" s="571"/>
      <c r="F79" s="504"/>
      <c r="G79" s="505"/>
      <c r="AJ79" s="513" t="s">
        <v>418</v>
      </c>
      <c r="AK79" s="504"/>
      <c r="AL79" s="504"/>
      <c r="AM79" s="486"/>
      <c r="AN79" s="486"/>
      <c r="AO79" s="486"/>
      <c r="BE79" s="485">
        <f t="shared" ca="1" si="122"/>
        <v>1</v>
      </c>
      <c r="BF79" s="654" t="str">
        <f t="shared" si="123"/>
        <v/>
      </c>
      <c r="BG79" s="675" t="str">
        <f t="shared" ca="1" si="124"/>
        <v/>
      </c>
      <c r="BH79" s="675" t="str">
        <f t="shared" ca="1" si="125"/>
        <v/>
      </c>
      <c r="BI79" s="675" t="str">
        <f t="shared" ca="1" si="126"/>
        <v/>
      </c>
      <c r="BJ79" s="675" t="str">
        <f t="shared" ca="1" si="127"/>
        <v/>
      </c>
      <c r="BK79" s="675" t="str">
        <f t="shared" ca="1" si="128"/>
        <v/>
      </c>
      <c r="BL79" s="675" t="str">
        <f t="shared" ca="1" si="129"/>
        <v/>
      </c>
      <c r="BM79" s="675" t="str">
        <f t="shared" ca="1" si="130"/>
        <v/>
      </c>
      <c r="BN79" s="676" t="str">
        <f t="shared" ca="1" si="131"/>
        <v/>
      </c>
      <c r="BP79" s="485" t="e">
        <f ca="1">IF(OR(DB_LOAD!AW78="USD",DB_LOAD!AW78='Refi-Annual Review'!$A$3,ISBLANK(DB_LOAD!AW78)),0,1)</f>
        <v>#NAME?</v>
      </c>
      <c r="BQ79" t="str">
        <f>(IF(ISBLANK(DB_LOAD!AR78),"",DB_LOAD!AR78))</f>
        <v/>
      </c>
      <c r="BR79" t="str">
        <f t="shared" si="73"/>
        <v/>
      </c>
      <c r="BS79" t="str">
        <f t="shared" si="74"/>
        <v/>
      </c>
      <c r="BT79" t="str">
        <f t="shared" si="75"/>
        <v>5500000250000016064001572600</v>
      </c>
      <c r="BU79" t="str">
        <f t="shared" si="76"/>
        <v/>
      </c>
      <c r="BV79" t="str">
        <f t="shared" si="77"/>
        <v>7777</v>
      </c>
      <c r="BW79" t="str">
        <f t="shared" si="78"/>
        <v/>
      </c>
      <c r="BX79" t="str">
        <f t="shared" si="79"/>
        <v>1111</v>
      </c>
      <c r="CB79" s="683" t="str">
        <f t="shared" si="115"/>
        <v/>
      </c>
      <c r="CC79" s="683" t="str">
        <f t="shared" si="116"/>
        <v/>
      </c>
      <c r="CD79" s="683" t="str">
        <f>IF(CC79="","",VALUE(MID($BZ$5,1+SUM($CC$3:CC78),CC79)))</f>
        <v/>
      </c>
      <c r="CE79"/>
      <c r="CF79" t="str">
        <f>IF(CD79="","",MID($BZ$4,1+SUM($CD$3:CD78),CD79))</f>
        <v/>
      </c>
    </row>
    <row r="80" spans="3:84" ht="15">
      <c r="C80" s="485">
        <f t="shared" si="121"/>
        <v>81</v>
      </c>
      <c r="D80" s="512" t="s">
        <v>419</v>
      </c>
      <c r="E80" s="571"/>
      <c r="F80" s="502"/>
      <c r="G80" s="503"/>
      <c r="AJ80" s="512" t="s">
        <v>419</v>
      </c>
      <c r="AK80" s="502"/>
      <c r="AL80" s="502"/>
      <c r="AM80" s="486"/>
      <c r="AN80" s="486"/>
      <c r="AO80" s="486"/>
      <c r="BE80" s="485">
        <f t="shared" ca="1" si="122"/>
        <v>1</v>
      </c>
      <c r="BF80" s="654" t="str">
        <f t="shared" si="123"/>
        <v/>
      </c>
      <c r="BG80" s="675" t="str">
        <f t="shared" ca="1" si="124"/>
        <v/>
      </c>
      <c r="BH80" s="675" t="str">
        <f t="shared" ca="1" si="125"/>
        <v/>
      </c>
      <c r="BI80" s="675" t="str">
        <f t="shared" ca="1" si="126"/>
        <v/>
      </c>
      <c r="BJ80" s="675" t="str">
        <f t="shared" ca="1" si="127"/>
        <v/>
      </c>
      <c r="BK80" s="675" t="str">
        <f t="shared" ca="1" si="128"/>
        <v/>
      </c>
      <c r="BL80" s="675" t="str">
        <f t="shared" ca="1" si="129"/>
        <v/>
      </c>
      <c r="BM80" s="675" t="str">
        <f t="shared" ca="1" si="130"/>
        <v/>
      </c>
      <c r="BN80" s="676" t="str">
        <f t="shared" ca="1" si="131"/>
        <v/>
      </c>
      <c r="BP80" s="485" t="e">
        <f ca="1">IF(OR(DB_LOAD!AW79="USD",DB_LOAD!AW79='Refi-Annual Review'!$A$3,ISBLANK(DB_LOAD!AW79)),0,1)</f>
        <v>#NAME?</v>
      </c>
      <c r="BQ80" t="str">
        <f>(IF(ISBLANK(DB_LOAD!AR79),"",DB_LOAD!AR79))</f>
        <v/>
      </c>
      <c r="BR80" t="str">
        <f t="shared" si="73"/>
        <v/>
      </c>
      <c r="BS80" t="str">
        <f t="shared" si="74"/>
        <v/>
      </c>
      <c r="BT80" t="str">
        <f t="shared" si="75"/>
        <v>5500000250000016064001572600</v>
      </c>
      <c r="BU80" t="str">
        <f t="shared" si="76"/>
        <v/>
      </c>
      <c r="BV80" t="str">
        <f t="shared" si="77"/>
        <v>7777</v>
      </c>
      <c r="BW80" t="str">
        <f t="shared" si="78"/>
        <v/>
      </c>
      <c r="BX80" t="str">
        <f t="shared" si="79"/>
        <v>1111</v>
      </c>
      <c r="CB80" s="683" t="str">
        <f t="shared" si="115"/>
        <v/>
      </c>
      <c r="CC80" s="683" t="str">
        <f t="shared" si="116"/>
        <v/>
      </c>
      <c r="CD80" s="683" t="str">
        <f>IF(CC80="","",VALUE(MID($BZ$5,1+SUM($CC$3:CC79),CC80)))</f>
        <v/>
      </c>
      <c r="CE80"/>
      <c r="CF80" t="str">
        <f>IF(CD80="","",MID($BZ$4,1+SUM($CD$3:CD79),CD80))</f>
        <v/>
      </c>
    </row>
    <row r="81" spans="3:84" ht="15.75" thickBot="1">
      <c r="C81" s="485">
        <f t="shared" si="121"/>
        <v>82</v>
      </c>
      <c r="D81" s="455" t="s">
        <v>420</v>
      </c>
      <c r="E81" s="570"/>
      <c r="F81" s="454"/>
      <c r="G81" s="454"/>
      <c r="AJ81" s="455" t="s">
        <v>420</v>
      </c>
      <c r="AK81" s="454"/>
      <c r="AL81" s="454"/>
      <c r="AM81" s="486"/>
      <c r="AN81" s="486"/>
      <c r="AO81" s="486"/>
      <c r="BE81" s="485">
        <f t="shared" ca="1" si="122"/>
        <v>1</v>
      </c>
      <c r="BF81" s="654" t="str">
        <f t="shared" si="123"/>
        <v/>
      </c>
      <c r="BG81" s="675" t="str">
        <f t="shared" ca="1" si="124"/>
        <v/>
      </c>
      <c r="BH81" s="675" t="str">
        <f t="shared" ca="1" si="125"/>
        <v/>
      </c>
      <c r="BI81" s="675" t="str">
        <f t="shared" ca="1" si="126"/>
        <v/>
      </c>
      <c r="BJ81" s="675" t="str">
        <f t="shared" ca="1" si="127"/>
        <v/>
      </c>
      <c r="BK81" s="675" t="str">
        <f t="shared" ca="1" si="128"/>
        <v/>
      </c>
      <c r="BL81" s="675" t="str">
        <f t="shared" ca="1" si="129"/>
        <v/>
      </c>
      <c r="BM81" s="675" t="str">
        <f t="shared" ca="1" si="130"/>
        <v/>
      </c>
      <c r="BN81" s="676" t="str">
        <f t="shared" ca="1" si="131"/>
        <v/>
      </c>
      <c r="BP81" s="485" t="e">
        <f ca="1">IF(OR(DB_LOAD!AW80="USD",DB_LOAD!AW80='Refi-Annual Review'!$A$3,ISBLANK(DB_LOAD!AW80)),0,1)</f>
        <v>#NAME?</v>
      </c>
      <c r="BQ81" t="str">
        <f>(IF(ISBLANK(DB_LOAD!AR80),"",DB_LOAD!AR80))</f>
        <v/>
      </c>
      <c r="BR81" t="str">
        <f t="shared" si="73"/>
        <v/>
      </c>
      <c r="BS81" t="str">
        <f t="shared" si="74"/>
        <v/>
      </c>
      <c r="BT81" t="str">
        <f t="shared" si="75"/>
        <v>5500000250000016064001572600</v>
      </c>
      <c r="BU81" t="str">
        <f t="shared" si="76"/>
        <v/>
      </c>
      <c r="BV81" t="str">
        <f t="shared" si="77"/>
        <v>7777</v>
      </c>
      <c r="BW81" t="str">
        <f t="shared" si="78"/>
        <v/>
      </c>
      <c r="BX81" t="str">
        <f t="shared" si="79"/>
        <v>1111</v>
      </c>
      <c r="CB81" s="683" t="str">
        <f t="shared" si="115"/>
        <v/>
      </c>
      <c r="CC81" s="683" t="str">
        <f t="shared" si="116"/>
        <v/>
      </c>
      <c r="CD81" s="683" t="str">
        <f>IF(CC81="","",VALUE(MID($BZ$5,1+SUM($CC$3:CC80),CC81)))</f>
        <v/>
      </c>
      <c r="CE81"/>
      <c r="CF81" t="str">
        <f>IF(CD81="","",MID($BZ$4,1+SUM($CD$3:CD80),CD81))</f>
        <v/>
      </c>
    </row>
    <row r="82" spans="3:84" ht="15">
      <c r="C82" s="485">
        <f t="shared" si="121"/>
        <v>83</v>
      </c>
      <c r="AK82" s="486"/>
      <c r="AL82" s="486"/>
      <c r="AM82" s="486"/>
      <c r="AN82" s="486"/>
      <c r="AO82" s="486"/>
      <c r="BE82" s="485">
        <f t="shared" ca="1" si="122"/>
        <v>1</v>
      </c>
      <c r="BF82" s="654" t="str">
        <f t="shared" si="123"/>
        <v/>
      </c>
      <c r="BG82" s="675" t="str">
        <f t="shared" ca="1" si="124"/>
        <v/>
      </c>
      <c r="BH82" s="675" t="str">
        <f t="shared" ca="1" si="125"/>
        <v/>
      </c>
      <c r="BI82" s="675" t="str">
        <f t="shared" ca="1" si="126"/>
        <v/>
      </c>
      <c r="BJ82" s="675" t="str">
        <f t="shared" ca="1" si="127"/>
        <v/>
      </c>
      <c r="BK82" s="675" t="str">
        <f t="shared" ca="1" si="128"/>
        <v/>
      </c>
      <c r="BL82" s="675" t="str">
        <f t="shared" ca="1" si="129"/>
        <v/>
      </c>
      <c r="BM82" s="675" t="str">
        <f t="shared" ca="1" si="130"/>
        <v/>
      </c>
      <c r="BN82" s="676" t="str">
        <f t="shared" ca="1" si="131"/>
        <v/>
      </c>
      <c r="BP82" s="485" t="e">
        <f ca="1">IF(OR(DB_LOAD!AW81="USD",DB_LOAD!AW81='Refi-Annual Review'!$A$3,ISBLANK(DB_LOAD!AW81)),0,1)</f>
        <v>#NAME?</v>
      </c>
      <c r="BQ82" t="str">
        <f>(IF(ISBLANK(DB_LOAD!AR81),"",DB_LOAD!AR81))</f>
        <v/>
      </c>
      <c r="BR82" t="str">
        <f t="shared" si="73"/>
        <v/>
      </c>
      <c r="BS82" t="str">
        <f t="shared" si="74"/>
        <v/>
      </c>
      <c r="BT82" t="str">
        <f t="shared" si="75"/>
        <v>5500000250000016064001572600</v>
      </c>
      <c r="BU82" t="str">
        <f t="shared" si="76"/>
        <v/>
      </c>
      <c r="BV82" t="str">
        <f t="shared" si="77"/>
        <v>7777</v>
      </c>
      <c r="BW82" t="str">
        <f t="shared" si="78"/>
        <v/>
      </c>
      <c r="BX82" t="str">
        <f t="shared" si="79"/>
        <v>1111</v>
      </c>
      <c r="CB82" s="683" t="str">
        <f t="shared" si="115"/>
        <v/>
      </c>
      <c r="CC82" s="683" t="str">
        <f t="shared" si="116"/>
        <v/>
      </c>
      <c r="CD82" s="683" t="str">
        <f>IF(CC82="","",VALUE(MID($BZ$5,1+SUM($CC$3:CC81),CC82)))</f>
        <v/>
      </c>
      <c r="CE82"/>
      <c r="CF82" t="str">
        <f>IF(CD82="","",MID($BZ$4,1+SUM($CD$3:CD81),CD82))</f>
        <v/>
      </c>
    </row>
    <row r="83" spans="3:84" ht="15">
      <c r="C83" s="485">
        <f t="shared" si="121"/>
        <v>84</v>
      </c>
      <c r="D83" s="488"/>
      <c r="E83" s="567"/>
      <c r="AJ83" s="488"/>
      <c r="AK83" s="486"/>
      <c r="AL83" s="486"/>
      <c r="AM83" s="486"/>
      <c r="AN83" s="486"/>
      <c r="AO83" s="486"/>
      <c r="BE83" s="485">
        <f t="shared" ca="1" si="122"/>
        <v>1</v>
      </c>
      <c r="BF83" s="654" t="str">
        <f t="shared" si="123"/>
        <v/>
      </c>
      <c r="BG83" s="675" t="str">
        <f t="shared" ca="1" si="124"/>
        <v/>
      </c>
      <c r="BH83" s="675" t="str">
        <f t="shared" ca="1" si="125"/>
        <v/>
      </c>
      <c r="BI83" s="675" t="str">
        <f t="shared" ca="1" si="126"/>
        <v/>
      </c>
      <c r="BJ83" s="675" t="str">
        <f t="shared" ca="1" si="127"/>
        <v/>
      </c>
      <c r="BK83" s="675" t="str">
        <f t="shared" ca="1" si="128"/>
        <v/>
      </c>
      <c r="BL83" s="675" t="str">
        <f t="shared" ca="1" si="129"/>
        <v/>
      </c>
      <c r="BM83" s="675" t="str">
        <f t="shared" ca="1" si="130"/>
        <v/>
      </c>
      <c r="BN83" s="676" t="str">
        <f t="shared" ca="1" si="131"/>
        <v/>
      </c>
      <c r="BP83" s="485" t="e">
        <f ca="1">IF(OR(DB_LOAD!AW82="USD",DB_LOAD!AW82='Refi-Annual Review'!$A$3,ISBLANK(DB_LOAD!AW82)),0,1)</f>
        <v>#NAME?</v>
      </c>
      <c r="BQ83" t="str">
        <f>(IF(ISBLANK(DB_LOAD!AR82),"",DB_LOAD!AR82))</f>
        <v/>
      </c>
      <c r="BR83" t="str">
        <f t="shared" si="73"/>
        <v/>
      </c>
      <c r="BS83" t="str">
        <f t="shared" si="74"/>
        <v/>
      </c>
      <c r="BT83" t="str">
        <f t="shared" si="75"/>
        <v>5500000250000016064001572600</v>
      </c>
      <c r="BU83" t="str">
        <f t="shared" si="76"/>
        <v/>
      </c>
      <c r="BV83" t="str">
        <f t="shared" si="77"/>
        <v>7777</v>
      </c>
      <c r="BW83" t="str">
        <f t="shared" si="78"/>
        <v/>
      </c>
      <c r="BX83" t="str">
        <f t="shared" si="79"/>
        <v>1111</v>
      </c>
      <c r="CB83" s="683" t="str">
        <f t="shared" si="115"/>
        <v/>
      </c>
      <c r="CC83" s="683" t="str">
        <f t="shared" si="116"/>
        <v/>
      </c>
      <c r="CD83" s="683" t="str">
        <f>IF(CC83="","",VALUE(MID($BZ$5,1+SUM($CC$3:CC82),CC83)))</f>
        <v/>
      </c>
      <c r="CE83"/>
      <c r="CF83" t="str">
        <f>IF(CD83="","",MID($BZ$4,1+SUM($CD$3:CD82),CD83))</f>
        <v/>
      </c>
    </row>
    <row r="84" spans="3:84" ht="15">
      <c r="C84" s="485">
        <f t="shared" si="121"/>
        <v>85</v>
      </c>
      <c r="AK84" s="486"/>
      <c r="AL84" s="486"/>
      <c r="AM84" s="486"/>
      <c r="AN84" s="486"/>
      <c r="AO84" s="486"/>
      <c r="BE84" s="485">
        <f t="shared" ca="1" si="122"/>
        <v>1</v>
      </c>
      <c r="BF84" s="654" t="str">
        <f t="shared" si="123"/>
        <v/>
      </c>
      <c r="BG84" s="675" t="str">
        <f t="shared" ca="1" si="124"/>
        <v/>
      </c>
      <c r="BH84" s="675" t="str">
        <f t="shared" ca="1" si="125"/>
        <v/>
      </c>
      <c r="BI84" s="675" t="str">
        <f t="shared" ca="1" si="126"/>
        <v/>
      </c>
      <c r="BJ84" s="675" t="str">
        <f t="shared" ca="1" si="127"/>
        <v/>
      </c>
      <c r="BK84" s="675" t="str">
        <f t="shared" ca="1" si="128"/>
        <v/>
      </c>
      <c r="BL84" s="675" t="str">
        <f t="shared" ca="1" si="129"/>
        <v/>
      </c>
      <c r="BM84" s="675" t="str">
        <f t="shared" ca="1" si="130"/>
        <v/>
      </c>
      <c r="BN84" s="676" t="str">
        <f t="shared" ca="1" si="131"/>
        <v/>
      </c>
      <c r="BP84" s="485" t="e">
        <f ca="1">IF(OR(DB_LOAD!AW83="USD",DB_LOAD!AW83='Refi-Annual Review'!$A$3,ISBLANK(DB_LOAD!AW83)),0,1)</f>
        <v>#NAME?</v>
      </c>
      <c r="BQ84" t="str">
        <f>(IF(ISBLANK(DB_LOAD!AR83),"",DB_LOAD!AR83))</f>
        <v/>
      </c>
      <c r="BR84" t="str">
        <f t="shared" si="73"/>
        <v/>
      </c>
      <c r="BS84" t="str">
        <f t="shared" si="74"/>
        <v/>
      </c>
      <c r="BT84" t="str">
        <f t="shared" si="75"/>
        <v>5500000250000016064001572600</v>
      </c>
      <c r="BU84" t="str">
        <f t="shared" si="76"/>
        <v/>
      </c>
      <c r="BV84" t="str">
        <f t="shared" si="77"/>
        <v>7777</v>
      </c>
      <c r="BW84" t="str">
        <f t="shared" si="78"/>
        <v/>
      </c>
      <c r="BX84" t="str">
        <f t="shared" si="79"/>
        <v>1111</v>
      </c>
      <c r="CB84" s="683" t="str">
        <f t="shared" si="115"/>
        <v/>
      </c>
      <c r="CC84" s="683" t="str">
        <f t="shared" si="116"/>
        <v/>
      </c>
      <c r="CD84" s="683" t="str">
        <f>IF(CC84="","",VALUE(MID($BZ$5,1+SUM($CC$3:CC83),CC84)))</f>
        <v/>
      </c>
      <c r="CE84"/>
      <c r="CF84" t="str">
        <f>IF(CD84="","",MID($BZ$4,1+SUM($CD$3:CD83),CD84))</f>
        <v/>
      </c>
    </row>
    <row r="85" spans="3:84" ht="15">
      <c r="C85" s="485">
        <f t="shared" si="121"/>
        <v>86</v>
      </c>
      <c r="D85" s="488" t="s">
        <v>413</v>
      </c>
      <c r="E85" s="567"/>
      <c r="F85" s="485"/>
      <c r="G85" s="485"/>
      <c r="H85" s="485"/>
      <c r="I85" s="485"/>
      <c r="J85" s="485"/>
      <c r="K85" s="544"/>
      <c r="L85" s="485"/>
      <c r="M85" s="485"/>
      <c r="N85" s="485"/>
      <c r="O85" s="485"/>
      <c r="P85" s="545"/>
      <c r="Q85" s="485"/>
      <c r="AJ85" s="488" t="s">
        <v>413</v>
      </c>
      <c r="BE85" s="485">
        <f t="shared" ca="1" si="122"/>
        <v>1</v>
      </c>
      <c r="BF85" s="654" t="str">
        <f t="shared" si="123"/>
        <v/>
      </c>
      <c r="BG85" s="675" t="str">
        <f t="shared" ca="1" si="124"/>
        <v/>
      </c>
      <c r="BH85" s="675" t="str">
        <f t="shared" ca="1" si="125"/>
        <v/>
      </c>
      <c r="BI85" s="675" t="str">
        <f t="shared" ca="1" si="126"/>
        <v/>
      </c>
      <c r="BJ85" s="675" t="str">
        <f t="shared" ca="1" si="127"/>
        <v/>
      </c>
      <c r="BK85" s="675" t="str">
        <f t="shared" ca="1" si="128"/>
        <v/>
      </c>
      <c r="BL85" s="675" t="str">
        <f t="shared" ca="1" si="129"/>
        <v/>
      </c>
      <c r="BM85" s="675" t="str">
        <f t="shared" ca="1" si="130"/>
        <v/>
      </c>
      <c r="BN85" s="676" t="str">
        <f t="shared" ca="1" si="131"/>
        <v/>
      </c>
      <c r="BP85" s="485" t="e">
        <f ca="1">IF(OR(DB_LOAD!AW84="USD",DB_LOAD!AW84='Refi-Annual Review'!$A$3,ISBLANK(DB_LOAD!AW84)),0,1)</f>
        <v>#NAME?</v>
      </c>
      <c r="BQ85" t="str">
        <f>(IF(ISBLANK(DB_LOAD!AR84),"",DB_LOAD!AR84))</f>
        <v/>
      </c>
      <c r="BR85" t="str">
        <f t="shared" si="73"/>
        <v/>
      </c>
      <c r="BS85" t="str">
        <f t="shared" si="74"/>
        <v/>
      </c>
      <c r="BT85" t="str">
        <f t="shared" si="75"/>
        <v>5500000250000016064001572600</v>
      </c>
      <c r="BU85" t="str">
        <f t="shared" si="76"/>
        <v/>
      </c>
      <c r="BV85" t="str">
        <f t="shared" si="77"/>
        <v>7777</v>
      </c>
      <c r="BW85" t="str">
        <f t="shared" si="78"/>
        <v/>
      </c>
      <c r="BX85" t="str">
        <f t="shared" si="79"/>
        <v>1111</v>
      </c>
      <c r="CB85" s="683" t="str">
        <f t="shared" si="115"/>
        <v/>
      </c>
      <c r="CC85" s="683" t="str">
        <f t="shared" si="116"/>
        <v/>
      </c>
      <c r="CD85" s="683" t="str">
        <f>IF(CC85="","",VALUE(MID($BZ$5,1+SUM($CC$3:CC84),CC85)))</f>
        <v/>
      </c>
      <c r="CE85"/>
      <c r="CF85" t="str">
        <f>IF(CD85="","",MID($BZ$4,1+SUM($CD$3:CD84),CD85))</f>
        <v/>
      </c>
    </row>
    <row r="86" spans="3:84" ht="15">
      <c r="C86" s="485">
        <f t="shared" si="121"/>
        <v>87</v>
      </c>
      <c r="F86" s="485" t="e">
        <f ca="1">F5</f>
        <v>#N/A</v>
      </c>
      <c r="G86" s="485" t="e">
        <f ca="1">G5</f>
        <v>#N/A</v>
      </c>
      <c r="H86" s="485" t="e">
        <f ca="1">H5</f>
        <v>#N/A</v>
      </c>
      <c r="I86" s="485" t="e">
        <f ca="1">I5</f>
        <v>#N/A</v>
      </c>
      <c r="J86" s="485" t="e">
        <f ca="1">J5</f>
        <v>#N/A</v>
      </c>
      <c r="K86" s="544"/>
      <c r="L86" s="485" t="e">
        <f ca="1">L5</f>
        <v>#N/A</v>
      </c>
      <c r="M86" s="485" t="e">
        <f ca="1">M5</f>
        <v>#N/A</v>
      </c>
      <c r="N86" s="485" t="e">
        <f ca="1">N5</f>
        <v>#N/A</v>
      </c>
      <c r="O86" s="485" t="e">
        <f ca="1">O5</f>
        <v>#N/A</v>
      </c>
      <c r="P86" s="545"/>
      <c r="Q86" s="485" t="e">
        <f ca="1">Q5</f>
        <v>#N/A</v>
      </c>
      <c r="U86" s="486" t="e">
        <f ca="1">IF('Balance Sheet'!$E$5="USD",(OFFSET(DB_LOAD!$K:$K,MATCH(EOMONTH(MAX(DB_LOAD!F:F),-12),DB_LOAD!$H:$H,0)-1,0,1,1)),1)</f>
        <v>#NUM!</v>
      </c>
      <c r="BE86" s="485">
        <f t="shared" ca="1" si="122"/>
        <v>1</v>
      </c>
      <c r="BF86" s="654" t="str">
        <f t="shared" si="123"/>
        <v/>
      </c>
      <c r="BG86" s="675" t="str">
        <f t="shared" ca="1" si="124"/>
        <v/>
      </c>
      <c r="BH86" s="675" t="str">
        <f t="shared" ca="1" si="125"/>
        <v/>
      </c>
      <c r="BI86" s="675" t="str">
        <f t="shared" ca="1" si="126"/>
        <v/>
      </c>
      <c r="BJ86" s="675" t="str">
        <f t="shared" ca="1" si="127"/>
        <v/>
      </c>
      <c r="BK86" s="675" t="str">
        <f t="shared" ca="1" si="128"/>
        <v/>
      </c>
      <c r="BL86" s="675" t="str">
        <f t="shared" ca="1" si="129"/>
        <v/>
      </c>
      <c r="BM86" s="675" t="str">
        <f t="shared" ca="1" si="130"/>
        <v/>
      </c>
      <c r="BN86" s="676" t="str">
        <f t="shared" ca="1" si="131"/>
        <v/>
      </c>
      <c r="BP86" s="485" t="e">
        <f ca="1">IF(OR(DB_LOAD!AW85="USD",DB_LOAD!AW85='Refi-Annual Review'!$A$3,ISBLANK(DB_LOAD!AW85)),0,1)</f>
        <v>#NAME?</v>
      </c>
      <c r="BQ86" t="str">
        <f>(IF(ISBLANK(DB_LOAD!AR85),"",DB_LOAD!AR85))</f>
        <v/>
      </c>
      <c r="BR86" t="str">
        <f t="shared" si="73"/>
        <v/>
      </c>
      <c r="BS86" t="str">
        <f t="shared" si="74"/>
        <v/>
      </c>
      <c r="BT86" t="str">
        <f t="shared" si="75"/>
        <v>5500000250000016064001572600</v>
      </c>
      <c r="BU86" t="str">
        <f t="shared" si="76"/>
        <v/>
      </c>
      <c r="BV86" t="str">
        <f t="shared" si="77"/>
        <v>7777</v>
      </c>
      <c r="BW86" t="str">
        <f t="shared" si="78"/>
        <v/>
      </c>
      <c r="BX86" t="str">
        <f t="shared" si="79"/>
        <v>1111</v>
      </c>
      <c r="CB86" s="683" t="str">
        <f t="shared" si="115"/>
        <v/>
      </c>
      <c r="CC86" s="683" t="str">
        <f t="shared" si="116"/>
        <v/>
      </c>
      <c r="CD86" s="683" t="str">
        <f>IF(CC86="","",VALUE(MID($BZ$5,1+SUM($CC$3:CC85),CC86)))</f>
        <v/>
      </c>
      <c r="CE86"/>
      <c r="CF86" t="str">
        <f>IF(CD86="","",MID($BZ$4,1+SUM($CD$3:CD85),CD86))</f>
        <v/>
      </c>
    </row>
    <row r="87" spans="3:84" ht="15">
      <c r="C87" s="485">
        <f t="shared" si="121"/>
        <v>88</v>
      </c>
      <c r="D87" s="459" t="str">
        <f>"BALANCE SHEET ("&amp;T2&amp;")"</f>
        <v>BALANCE SHEET ()</v>
      </c>
      <c r="E87" s="471"/>
      <c r="F87" s="460">
        <f>F7</f>
        <v>2010</v>
      </c>
      <c r="G87" s="460">
        <f>G7</f>
        <v>2011</v>
      </c>
      <c r="H87" s="460">
        <f>H7</f>
        <v>2012</v>
      </c>
      <c r="I87" s="460">
        <f>I7</f>
        <v>2013</v>
      </c>
      <c r="J87" s="460">
        <f>J7</f>
        <v>2014</v>
      </c>
      <c r="K87" s="546"/>
      <c r="L87" s="460">
        <f>L7</f>
        <v>2011</v>
      </c>
      <c r="M87" s="460">
        <f>M7</f>
        <v>2012</v>
      </c>
      <c r="N87" s="460">
        <f>N7</f>
        <v>2013</v>
      </c>
      <c r="O87" s="460">
        <f>O7</f>
        <v>2014</v>
      </c>
      <c r="P87" s="546"/>
      <c r="Q87" s="460" t="str">
        <f>Q7</f>
        <v>YTD Jan-00</v>
      </c>
      <c r="R87" s="460" t="str">
        <f>Q87</f>
        <v>YTD Jan-00</v>
      </c>
      <c r="U87" s="453" t="e">
        <f>U7</f>
        <v>#NUM!</v>
      </c>
      <c r="V87" s="453" t="str">
        <f>"Average "&amp;Q87</f>
        <v>Average YTD Jan-00</v>
      </c>
      <c r="AJ87" s="459" t="e">
        <f ca="1">"BALANCE SHEET ("&amp;$A$3&amp;")"</f>
        <v>#NAME?</v>
      </c>
      <c r="AK87" s="460">
        <f ca="1">AK7</f>
        <v>-3</v>
      </c>
      <c r="AL87" s="460">
        <f ca="1">AL7</f>
        <v>-2</v>
      </c>
      <c r="AM87" s="460">
        <f t="shared" ref="AM87:AN87" ca="1" si="132">AM7</f>
        <v>-1</v>
      </c>
      <c r="AN87" s="460">
        <f t="shared" ca="1" si="132"/>
        <v>0</v>
      </c>
      <c r="AO87" s="460" t="str">
        <f>Q87</f>
        <v>YTD Jan-00</v>
      </c>
      <c r="AP87" s="838" t="str">
        <f>R87</f>
        <v>YTD Jan-00</v>
      </c>
      <c r="BE87" s="485">
        <f t="shared" ca="1" si="122"/>
        <v>1</v>
      </c>
      <c r="BF87" s="654" t="str">
        <f t="shared" si="123"/>
        <v/>
      </c>
      <c r="BG87" s="675" t="str">
        <f t="shared" ca="1" si="124"/>
        <v/>
      </c>
      <c r="BH87" s="675" t="str">
        <f t="shared" ca="1" si="125"/>
        <v/>
      </c>
      <c r="BI87" s="675" t="str">
        <f t="shared" ca="1" si="126"/>
        <v/>
      </c>
      <c r="BJ87" s="675" t="str">
        <f t="shared" ca="1" si="127"/>
        <v/>
      </c>
      <c r="BK87" s="675" t="str">
        <f t="shared" ca="1" si="128"/>
        <v/>
      </c>
      <c r="BL87" s="675" t="str">
        <f t="shared" ca="1" si="129"/>
        <v/>
      </c>
      <c r="BM87" s="675" t="str">
        <f t="shared" ca="1" si="130"/>
        <v/>
      </c>
      <c r="BN87" s="676" t="str">
        <f t="shared" ca="1" si="131"/>
        <v/>
      </c>
      <c r="BP87" s="485" t="e">
        <f ca="1">IF(OR(DB_LOAD!AW86="USD",DB_LOAD!AW86='Refi-Annual Review'!$A$3,ISBLANK(DB_LOAD!AW86)),0,1)</f>
        <v>#NAME?</v>
      </c>
      <c r="BQ87" t="str">
        <f>(IF(ISBLANK(DB_LOAD!AR86),"",DB_LOAD!AR86))</f>
        <v/>
      </c>
      <c r="BR87" t="str">
        <f t="shared" si="73"/>
        <v/>
      </c>
      <c r="BS87" t="str">
        <f t="shared" si="74"/>
        <v/>
      </c>
      <c r="BT87" t="str">
        <f t="shared" si="75"/>
        <v>5500000250000016064001572600</v>
      </c>
      <c r="BU87" t="str">
        <f t="shared" si="76"/>
        <v/>
      </c>
      <c r="BV87" t="str">
        <f t="shared" si="77"/>
        <v>7777</v>
      </c>
      <c r="BW87" t="str">
        <f t="shared" si="78"/>
        <v/>
      </c>
      <c r="BX87" t="str">
        <f t="shared" si="79"/>
        <v>1111</v>
      </c>
      <c r="CB87" s="683" t="str">
        <f t="shared" si="115"/>
        <v/>
      </c>
      <c r="CC87" s="683" t="str">
        <f t="shared" si="116"/>
        <v/>
      </c>
      <c r="CD87" s="683" t="str">
        <f>IF(CC87="","",VALUE(MID($BZ$5,1+SUM($CC$3:CC86),CC87)))</f>
        <v/>
      </c>
      <c r="CE87"/>
      <c r="CF87" t="str">
        <f>IF(CD87="","",MID($BZ$4,1+SUM($CD$3:CD86),CD87))</f>
        <v/>
      </c>
    </row>
    <row r="88" spans="3:84" ht="12.75" customHeight="1">
      <c r="C88" s="485">
        <f t="shared" si="121"/>
        <v>89</v>
      </c>
      <c r="D88" s="459"/>
      <c r="E88" s="471"/>
      <c r="F88" s="461" t="str">
        <f>F6</f>
        <v>Audited</v>
      </c>
      <c r="G88" s="461" t="str">
        <f>G6</f>
        <v>Audited</v>
      </c>
      <c r="H88" s="461" t="str">
        <f>H6</f>
        <v>Audited</v>
      </c>
      <c r="I88" s="461" t="str">
        <f>I6</f>
        <v>Audited</v>
      </c>
      <c r="J88" s="461" t="str">
        <f>J6</f>
        <v>Audited</v>
      </c>
      <c r="K88" s="547"/>
      <c r="L88" s="461" t="str">
        <f>L6</f>
        <v>Unaudited</v>
      </c>
      <c r="M88" s="461" t="str">
        <f>M6</f>
        <v>Unaudited</v>
      </c>
      <c r="N88" s="461" t="str">
        <f>N6</f>
        <v>Unaudited</v>
      </c>
      <c r="O88" s="461" t="str">
        <f>O6</f>
        <v>Unaudited</v>
      </c>
      <c r="P88" s="547"/>
      <c r="Q88" s="461" t="str">
        <f>Q6</f>
        <v>Unaudited</v>
      </c>
      <c r="R88" s="461" t="str">
        <f>Q88</f>
        <v>Unaudited</v>
      </c>
      <c r="U88" s="452" t="str">
        <f>Q88</f>
        <v>Unaudited</v>
      </c>
      <c r="V88" s="452" t="str">
        <f>Q88</f>
        <v>Unaudited</v>
      </c>
      <c r="AJ88" s="459"/>
      <c r="AK88" s="461" t="str">
        <f ca="1">AK6</f>
        <v>No Financials</v>
      </c>
      <c r="AL88" s="461" t="str">
        <f ca="1">AL6</f>
        <v>No Financials</v>
      </c>
      <c r="AM88" s="461" t="str">
        <f t="shared" ref="AM88:AN88" ca="1" si="133">AM6</f>
        <v>No Financials</v>
      </c>
      <c r="AN88" s="461" t="str">
        <f t="shared" ca="1" si="133"/>
        <v>No Financials</v>
      </c>
      <c r="AO88" s="461" t="str">
        <f>Q88</f>
        <v>Unaudited</v>
      </c>
      <c r="AP88" s="839" t="str">
        <f>R88</f>
        <v>Unaudited</v>
      </c>
      <c r="BE88" s="485">
        <f t="shared" ca="1" si="122"/>
        <v>1</v>
      </c>
      <c r="BF88" s="654" t="str">
        <f t="shared" si="123"/>
        <v/>
      </c>
      <c r="BG88" s="675" t="str">
        <f t="shared" ca="1" si="124"/>
        <v/>
      </c>
      <c r="BH88" s="675" t="str">
        <f t="shared" ca="1" si="125"/>
        <v/>
      </c>
      <c r="BI88" s="675" t="str">
        <f t="shared" ca="1" si="126"/>
        <v/>
      </c>
      <c r="BJ88" s="675" t="str">
        <f t="shared" ca="1" si="127"/>
        <v/>
      </c>
      <c r="BK88" s="675" t="str">
        <f t="shared" ca="1" si="128"/>
        <v/>
      </c>
      <c r="BL88" s="675" t="str">
        <f t="shared" ca="1" si="129"/>
        <v/>
      </c>
      <c r="BM88" s="675" t="str">
        <f t="shared" ca="1" si="130"/>
        <v/>
      </c>
      <c r="BN88" s="676" t="str">
        <f t="shared" ca="1" si="131"/>
        <v/>
      </c>
      <c r="BP88" s="485" t="e">
        <f ca="1">IF(OR(DB_LOAD!AW87="USD",DB_LOAD!AW87='Refi-Annual Review'!$A$3,ISBLANK(DB_LOAD!AW87)),0,1)</f>
        <v>#NAME?</v>
      </c>
      <c r="BQ88" t="str">
        <f>(IF(ISBLANK(DB_LOAD!AR87),"",DB_LOAD!AR87))</f>
        <v/>
      </c>
      <c r="BR88" t="str">
        <f t="shared" si="73"/>
        <v/>
      </c>
      <c r="BS88" t="str">
        <f t="shared" si="74"/>
        <v/>
      </c>
      <c r="BT88" t="str">
        <f t="shared" si="75"/>
        <v>5500000250000016064001572600</v>
      </c>
      <c r="BU88" t="str">
        <f t="shared" si="76"/>
        <v/>
      </c>
      <c r="BV88" t="str">
        <f t="shared" si="77"/>
        <v>7777</v>
      </c>
      <c r="BW88" t="str">
        <f t="shared" si="78"/>
        <v/>
      </c>
      <c r="BX88" t="str">
        <f t="shared" si="79"/>
        <v>1111</v>
      </c>
      <c r="CB88" s="683" t="str">
        <f t="shared" si="115"/>
        <v/>
      </c>
      <c r="CC88" s="683" t="str">
        <f t="shared" si="116"/>
        <v/>
      </c>
      <c r="CD88" s="683" t="str">
        <f>IF(CC88="","",VALUE(MID($BZ$5,1+SUM($CC$3:CC87),CC88)))</f>
        <v/>
      </c>
      <c r="CE88"/>
      <c r="CF88" t="str">
        <f>IF(CD88="","",MID($BZ$4,1+SUM($CD$3:CD87),CD88))</f>
        <v/>
      </c>
    </row>
    <row r="89" spans="3:84" ht="13.5" customHeight="1">
      <c r="C89" s="485">
        <f t="shared" si="121"/>
        <v>90</v>
      </c>
      <c r="D89" s="462" t="s">
        <v>64</v>
      </c>
      <c r="E89" s="462"/>
      <c r="F89" s="462"/>
      <c r="G89" s="462"/>
      <c r="H89" s="462"/>
      <c r="I89" s="462"/>
      <c r="J89" s="506"/>
      <c r="K89" s="548"/>
      <c r="L89" s="506"/>
      <c r="M89" s="506"/>
      <c r="N89" s="462"/>
      <c r="O89" s="462"/>
      <c r="P89" s="462"/>
      <c r="Q89" s="462"/>
      <c r="R89" s="462"/>
      <c r="U89" s="549"/>
      <c r="V89" s="449"/>
      <c r="AJ89" s="462" t="s">
        <v>64</v>
      </c>
      <c r="AK89" s="462"/>
      <c r="AL89" s="462"/>
      <c r="AM89" s="462"/>
      <c r="AN89" s="462"/>
      <c r="AO89" s="506"/>
      <c r="BE89" s="485">
        <f t="shared" ca="1" si="122"/>
        <v>1</v>
      </c>
      <c r="BF89" s="654" t="str">
        <f t="shared" si="123"/>
        <v/>
      </c>
      <c r="BG89" s="675" t="str">
        <f t="shared" ca="1" si="124"/>
        <v/>
      </c>
      <c r="BH89" s="675" t="str">
        <f t="shared" ca="1" si="125"/>
        <v/>
      </c>
      <c r="BI89" s="675" t="str">
        <f t="shared" ca="1" si="126"/>
        <v/>
      </c>
      <c r="BJ89" s="675" t="str">
        <f t="shared" ca="1" si="127"/>
        <v/>
      </c>
      <c r="BK89" s="675" t="str">
        <f t="shared" ca="1" si="128"/>
        <v/>
      </c>
      <c r="BL89" s="675" t="str">
        <f t="shared" ca="1" si="129"/>
        <v/>
      </c>
      <c r="BM89" s="675" t="str">
        <f t="shared" ca="1" si="130"/>
        <v/>
      </c>
      <c r="BN89" s="676" t="str">
        <f t="shared" ca="1" si="131"/>
        <v/>
      </c>
      <c r="BP89" s="485" t="e">
        <f ca="1">IF(OR(DB_LOAD!AW88="USD",DB_LOAD!AW88='Refi-Annual Review'!$A$3,ISBLANK(DB_LOAD!AW88)),0,1)</f>
        <v>#NAME?</v>
      </c>
      <c r="BQ89" t="str">
        <f>(IF(ISBLANK(DB_LOAD!AR88),"",DB_LOAD!AR88))</f>
        <v/>
      </c>
      <c r="BR89" t="str">
        <f t="shared" si="73"/>
        <v/>
      </c>
      <c r="BS89" t="str">
        <f t="shared" si="74"/>
        <v/>
      </c>
      <c r="BT89" t="str">
        <f t="shared" si="75"/>
        <v>5500000250000016064001572600</v>
      </c>
      <c r="BU89" t="str">
        <f t="shared" si="76"/>
        <v/>
      </c>
      <c r="BV89" t="str">
        <f t="shared" si="77"/>
        <v>7777</v>
      </c>
      <c r="BW89" t="str">
        <f t="shared" si="78"/>
        <v/>
      </c>
      <c r="BX89" t="str">
        <f t="shared" si="79"/>
        <v>1111</v>
      </c>
      <c r="CB89" s="683" t="str">
        <f t="shared" si="115"/>
        <v/>
      </c>
      <c r="CC89" s="683" t="str">
        <f t="shared" si="116"/>
        <v/>
      </c>
      <c r="CD89" s="683" t="str">
        <f>IF(CC89="","",VALUE(MID($BZ$5,1+SUM($CC$3:CC88),CC89)))</f>
        <v/>
      </c>
      <c r="CE89"/>
      <c r="CF89" t="str">
        <f>IF(CD89="","",MID($BZ$4,1+SUM($CD$3:CD88),CD89))</f>
        <v/>
      </c>
    </row>
    <row r="90" spans="3:84" ht="14.25" customHeight="1">
      <c r="C90" s="485">
        <f t="shared" si="121"/>
        <v>91</v>
      </c>
      <c r="D90" s="463" t="s">
        <v>395</v>
      </c>
      <c r="E90" s="463"/>
      <c r="F90" s="464" t="e">
        <f ca="1">DATA_FORMATTING!AQ124/F$86</f>
        <v>#N/A</v>
      </c>
      <c r="G90" s="464" t="e">
        <f ca="1">DATA_FORMATTING!AR124/G$86</f>
        <v>#N/A</v>
      </c>
      <c r="H90" s="464" t="e">
        <f ca="1">DATA_FORMATTING!AS124/H$86</f>
        <v>#N/A</v>
      </c>
      <c r="I90" s="464" t="e">
        <f ca="1">DATA_FORMATTING!AT124/I$86</f>
        <v>#N/A</v>
      </c>
      <c r="J90" s="464" t="e">
        <f ca="1">DATA_FORMATTING!AU124/J$86</f>
        <v>#N/A</v>
      </c>
      <c r="K90" s="464"/>
      <c r="L90" s="464" t="e">
        <f ca="1">DATA_FORMATTING!E182/L$86</f>
        <v>#NAME?</v>
      </c>
      <c r="M90" s="464" t="e">
        <f ca="1">DATA_FORMATTING!F182/M$86</f>
        <v>#NAME?</v>
      </c>
      <c r="N90" s="464" t="e">
        <f ca="1">DATA_FORMATTING!G182/N$86</f>
        <v>#NAME?</v>
      </c>
      <c r="O90" s="464" t="e">
        <f ca="1">DATA_FORMATTING!I182/O$86</f>
        <v>#NAME?</v>
      </c>
      <c r="P90" s="464"/>
      <c r="Q90" s="464" t="e">
        <f ca="1">DATA_FORMATTING!AN124/Q$86</f>
        <v>#NAME?</v>
      </c>
      <c r="R90" s="464" t="e">
        <f t="shared" ref="R90:R115" ca="1" si="134">Q90</f>
        <v>#NAME?</v>
      </c>
      <c r="U90" s="550" t="e">
        <f ca="1">DATA_FORMATTING!AN153/U$86</f>
        <v>#NUM!</v>
      </c>
      <c r="V90" s="450" t="e">
        <f ca="1">AVERAGE(U90,Q90)</f>
        <v>#NUM!</v>
      </c>
      <c r="AJ90" s="463" t="s">
        <v>395</v>
      </c>
      <c r="AK90" s="464" t="e">
        <f t="shared" ref="AK90:AN101" ca="1" si="135">HLOOKUP(AK$4,$G$1:$O$213,$C90-1,FALSE)</f>
        <v>#N/A</v>
      </c>
      <c r="AL90" s="464" t="e">
        <f t="shared" ca="1" si="135"/>
        <v>#N/A</v>
      </c>
      <c r="AM90" s="464" t="e">
        <f t="shared" ca="1" si="135"/>
        <v>#N/A</v>
      </c>
      <c r="AN90" s="464" t="e">
        <f t="shared" ca="1" si="135"/>
        <v>#N/A</v>
      </c>
      <c r="AO90" s="464" t="e">
        <f t="shared" ref="AO90:AP93" ca="1" si="136">Q90</f>
        <v>#NAME?</v>
      </c>
      <c r="AP90" s="840" t="e">
        <f t="shared" ca="1" si="136"/>
        <v>#NAME?</v>
      </c>
      <c r="BE90" s="485">
        <f t="shared" ca="1" si="122"/>
        <v>1</v>
      </c>
      <c r="BF90" s="654" t="str">
        <f t="shared" si="123"/>
        <v/>
      </c>
      <c r="BG90" s="675" t="str">
        <f t="shared" ca="1" si="124"/>
        <v/>
      </c>
      <c r="BH90" s="675" t="str">
        <f t="shared" ca="1" si="125"/>
        <v/>
      </c>
      <c r="BI90" s="675" t="str">
        <f t="shared" ca="1" si="126"/>
        <v/>
      </c>
      <c r="BJ90" s="675" t="str">
        <f t="shared" ca="1" si="127"/>
        <v/>
      </c>
      <c r="BK90" s="675" t="str">
        <f t="shared" ca="1" si="128"/>
        <v/>
      </c>
      <c r="BL90" s="675" t="str">
        <f t="shared" ca="1" si="129"/>
        <v/>
      </c>
      <c r="BM90" s="675" t="str">
        <f t="shared" ca="1" si="130"/>
        <v/>
      </c>
      <c r="BN90" s="676" t="str">
        <f t="shared" ca="1" si="131"/>
        <v/>
      </c>
      <c r="BP90" s="485" t="e">
        <f ca="1">IF(OR(DB_LOAD!AW89="USD",DB_LOAD!AW89='Refi-Annual Review'!$A$3,ISBLANK(DB_LOAD!AW89)),0,1)</f>
        <v>#NAME?</v>
      </c>
      <c r="BQ90" t="str">
        <f>(IF(ISBLANK(DB_LOAD!AR89),"",DB_LOAD!AR89))</f>
        <v/>
      </c>
      <c r="BR90" t="str">
        <f t="shared" si="73"/>
        <v/>
      </c>
      <c r="BS90" t="str">
        <f t="shared" si="74"/>
        <v/>
      </c>
      <c r="BT90" t="str">
        <f t="shared" si="75"/>
        <v>5500000250000016064001572600</v>
      </c>
      <c r="BU90" t="str">
        <f t="shared" si="76"/>
        <v/>
      </c>
      <c r="BV90" t="str">
        <f t="shared" si="77"/>
        <v>7777</v>
      </c>
      <c r="BW90" t="str">
        <f t="shared" si="78"/>
        <v/>
      </c>
      <c r="BX90" t="str">
        <f t="shared" si="79"/>
        <v>1111</v>
      </c>
      <c r="CB90" s="683" t="str">
        <f t="shared" si="115"/>
        <v/>
      </c>
      <c r="CC90" s="683" t="str">
        <f t="shared" si="116"/>
        <v/>
      </c>
      <c r="CD90" s="683" t="str">
        <f>IF(CC90="","",VALUE(MID($BZ$5,1+SUM($CC$3:CC89),CC90)))</f>
        <v/>
      </c>
      <c r="CE90"/>
      <c r="CF90" t="str">
        <f>IF(CD90="","",MID($BZ$4,1+SUM($CD$3:CD89),CD90))</f>
        <v/>
      </c>
    </row>
    <row r="91" spans="3:84" ht="14.25" customHeight="1">
      <c r="C91" s="485">
        <f t="shared" si="121"/>
        <v>92</v>
      </c>
      <c r="D91" s="465" t="s">
        <v>396</v>
      </c>
      <c r="E91" s="465"/>
      <c r="F91" s="464" t="e">
        <f ca="1">DATA_FORMATTING!AQ125/F$86</f>
        <v>#N/A</v>
      </c>
      <c r="G91" s="464" t="e">
        <f ca="1">DATA_FORMATTING!AR125/G$86</f>
        <v>#N/A</v>
      </c>
      <c r="H91" s="464" t="e">
        <f ca="1">DATA_FORMATTING!AS125/H$86</f>
        <v>#N/A</v>
      </c>
      <c r="I91" s="464" t="e">
        <f ca="1">DATA_FORMATTING!AT125/I$86</f>
        <v>#N/A</v>
      </c>
      <c r="J91" s="464" t="e">
        <f ca="1">DATA_FORMATTING!AU125/J$86</f>
        <v>#N/A</v>
      </c>
      <c r="K91" s="464"/>
      <c r="L91" s="464" t="e">
        <f ca="1">DATA_FORMATTING!E183/L$86</f>
        <v>#NAME?</v>
      </c>
      <c r="M91" s="464" t="e">
        <f ca="1">DATA_FORMATTING!F183/M$86</f>
        <v>#NAME?</v>
      </c>
      <c r="N91" s="464" t="e">
        <f ca="1">DATA_FORMATTING!G183/N$86</f>
        <v>#NAME?</v>
      </c>
      <c r="O91" s="464" t="e">
        <f ca="1">DATA_FORMATTING!I183/O$86</f>
        <v>#NAME?</v>
      </c>
      <c r="P91" s="464"/>
      <c r="Q91" s="464" t="e">
        <f ca="1">DATA_FORMATTING!AN125/Q$86</f>
        <v>#NAME?</v>
      </c>
      <c r="R91" s="464" t="e">
        <f t="shared" ca="1" si="134"/>
        <v>#NAME?</v>
      </c>
      <c r="U91" s="550" t="e">
        <f ca="1">DATA_FORMATTING!AN154/U$86</f>
        <v>#NUM!</v>
      </c>
      <c r="V91" s="450" t="e">
        <f ca="1">AVERAGE(U91,Q91)</f>
        <v>#NUM!</v>
      </c>
      <c r="AJ91" s="465" t="s">
        <v>396</v>
      </c>
      <c r="AK91" s="464" t="e">
        <f t="shared" ca="1" si="135"/>
        <v>#N/A</v>
      </c>
      <c r="AL91" s="464" t="e">
        <f t="shared" ca="1" si="135"/>
        <v>#N/A</v>
      </c>
      <c r="AM91" s="464" t="e">
        <f t="shared" ca="1" si="135"/>
        <v>#N/A</v>
      </c>
      <c r="AN91" s="464" t="e">
        <f t="shared" ca="1" si="135"/>
        <v>#N/A</v>
      </c>
      <c r="AO91" s="464" t="e">
        <f t="shared" ca="1" si="136"/>
        <v>#NAME?</v>
      </c>
      <c r="AP91" s="840" t="e">
        <f t="shared" ca="1" si="136"/>
        <v>#NAME?</v>
      </c>
      <c r="BE91" s="485">
        <f t="shared" ca="1" si="122"/>
        <v>1</v>
      </c>
      <c r="BF91" s="654" t="str">
        <f t="shared" si="123"/>
        <v/>
      </c>
      <c r="BG91" s="675" t="str">
        <f t="shared" ca="1" si="124"/>
        <v/>
      </c>
      <c r="BH91" s="675" t="str">
        <f t="shared" ca="1" si="125"/>
        <v/>
      </c>
      <c r="BI91" s="675" t="str">
        <f t="shared" ca="1" si="126"/>
        <v/>
      </c>
      <c r="BJ91" s="675" t="str">
        <f t="shared" ca="1" si="127"/>
        <v/>
      </c>
      <c r="BK91" s="675" t="str">
        <f t="shared" ca="1" si="128"/>
        <v/>
      </c>
      <c r="BL91" s="675" t="str">
        <f t="shared" ca="1" si="129"/>
        <v/>
      </c>
      <c r="BM91" s="675" t="str">
        <f t="shared" ca="1" si="130"/>
        <v/>
      </c>
      <c r="BN91" s="676" t="str">
        <f t="shared" ca="1" si="131"/>
        <v/>
      </c>
      <c r="BP91" s="485" t="e">
        <f ca="1">IF(OR(DB_LOAD!AW90="USD",DB_LOAD!AW90='Refi-Annual Review'!$A$3,ISBLANK(DB_LOAD!AW90)),0,1)</f>
        <v>#NAME?</v>
      </c>
      <c r="BQ91" t="str">
        <f>(IF(ISBLANK(DB_LOAD!AR90),"",DB_LOAD!AR90))</f>
        <v/>
      </c>
      <c r="BR91" t="str">
        <f t="shared" si="73"/>
        <v/>
      </c>
      <c r="BS91" t="str">
        <f t="shared" si="74"/>
        <v/>
      </c>
      <c r="BT91" t="str">
        <f t="shared" si="75"/>
        <v>5500000250000016064001572600</v>
      </c>
      <c r="BU91" t="str">
        <f t="shared" si="76"/>
        <v/>
      </c>
      <c r="BV91" t="str">
        <f t="shared" si="77"/>
        <v>7777</v>
      </c>
      <c r="BW91" t="str">
        <f t="shared" si="78"/>
        <v/>
      </c>
      <c r="BX91" t="str">
        <f t="shared" si="79"/>
        <v>1111</v>
      </c>
      <c r="CB91" s="683" t="str">
        <f t="shared" si="115"/>
        <v/>
      </c>
      <c r="CC91" s="683" t="str">
        <f t="shared" si="116"/>
        <v/>
      </c>
      <c r="CD91" s="683" t="str">
        <f>IF(CC91="","",VALUE(MID($BZ$5,1+SUM($CC$3:CC90),CC91)))</f>
        <v/>
      </c>
      <c r="CE91"/>
      <c r="CF91" t="str">
        <f>IF(CD91="","",MID($BZ$4,1+SUM($CD$3:CD90),CD91))</f>
        <v/>
      </c>
    </row>
    <row r="92" spans="3:84" ht="14.25" customHeight="1">
      <c r="C92" s="485">
        <f t="shared" si="121"/>
        <v>93</v>
      </c>
      <c r="D92" s="465" t="s">
        <v>397</v>
      </c>
      <c r="E92" s="465"/>
      <c r="F92" s="464" t="e">
        <f ca="1">DATA_FORMATTING!AQ126/F$86</f>
        <v>#N/A</v>
      </c>
      <c r="G92" s="464" t="e">
        <f ca="1">DATA_FORMATTING!AR126/G$86</f>
        <v>#N/A</v>
      </c>
      <c r="H92" s="464" t="e">
        <f ca="1">DATA_FORMATTING!AS126/H$86</f>
        <v>#N/A</v>
      </c>
      <c r="I92" s="464" t="e">
        <f ca="1">DATA_FORMATTING!AT126/I$86</f>
        <v>#N/A</v>
      </c>
      <c r="J92" s="464" t="e">
        <f ca="1">DATA_FORMATTING!AU126/J$86</f>
        <v>#N/A</v>
      </c>
      <c r="K92" s="464"/>
      <c r="L92" s="464" t="e">
        <f ca="1">DATA_FORMATTING!E184/L$86</f>
        <v>#NAME?</v>
      </c>
      <c r="M92" s="464" t="e">
        <f ca="1">DATA_FORMATTING!F184/M$86</f>
        <v>#NAME?</v>
      </c>
      <c r="N92" s="464" t="e">
        <f ca="1">DATA_FORMATTING!G184/N$86</f>
        <v>#NAME?</v>
      </c>
      <c r="O92" s="464" t="e">
        <f ca="1">DATA_FORMATTING!I184/O$86</f>
        <v>#NAME?</v>
      </c>
      <c r="P92" s="464"/>
      <c r="Q92" s="464" t="e">
        <f ca="1">DATA_FORMATTING!AN126/Q$86</f>
        <v>#NAME?</v>
      </c>
      <c r="R92" s="464" t="e">
        <f t="shared" ca="1" si="134"/>
        <v>#NAME?</v>
      </c>
      <c r="U92" s="550" t="e">
        <f ca="1">DATA_FORMATTING!AN155/U$86</f>
        <v>#NUM!</v>
      </c>
      <c r="V92" s="450" t="e">
        <f ca="1">AVERAGE(U92,Q92)</f>
        <v>#NUM!</v>
      </c>
      <c r="AJ92" s="465" t="s">
        <v>397</v>
      </c>
      <c r="AK92" s="464" t="e">
        <f t="shared" ca="1" si="135"/>
        <v>#N/A</v>
      </c>
      <c r="AL92" s="464" t="e">
        <f t="shared" ca="1" si="135"/>
        <v>#N/A</v>
      </c>
      <c r="AM92" s="464" t="e">
        <f t="shared" ca="1" si="135"/>
        <v>#N/A</v>
      </c>
      <c r="AN92" s="464" t="e">
        <f t="shared" ca="1" si="135"/>
        <v>#N/A</v>
      </c>
      <c r="AO92" s="464" t="e">
        <f t="shared" ca="1" si="136"/>
        <v>#NAME?</v>
      </c>
      <c r="AP92" s="840" t="e">
        <f t="shared" ca="1" si="136"/>
        <v>#NAME?</v>
      </c>
      <c r="BE92" s="485">
        <f t="shared" ca="1" si="122"/>
        <v>1</v>
      </c>
      <c r="BF92" s="654" t="str">
        <f t="shared" si="123"/>
        <v/>
      </c>
      <c r="BG92" s="675" t="str">
        <f t="shared" ca="1" si="124"/>
        <v/>
      </c>
      <c r="BH92" s="675" t="str">
        <f t="shared" ca="1" si="125"/>
        <v/>
      </c>
      <c r="BI92" s="675" t="str">
        <f t="shared" ca="1" si="126"/>
        <v/>
      </c>
      <c r="BJ92" s="675" t="str">
        <f t="shared" ca="1" si="127"/>
        <v/>
      </c>
      <c r="BK92" s="675" t="str">
        <f t="shared" ca="1" si="128"/>
        <v/>
      </c>
      <c r="BL92" s="675" t="str">
        <f t="shared" ca="1" si="129"/>
        <v/>
      </c>
      <c r="BM92" s="675" t="str">
        <f t="shared" ca="1" si="130"/>
        <v/>
      </c>
      <c r="BN92" s="676" t="str">
        <f t="shared" ca="1" si="131"/>
        <v/>
      </c>
      <c r="BP92" s="485" t="e">
        <f ca="1">IF(OR(DB_LOAD!AW91="USD",DB_LOAD!AW91='Refi-Annual Review'!$A$3,ISBLANK(DB_LOAD!AW91)),0,1)</f>
        <v>#NAME?</v>
      </c>
      <c r="BQ92" t="str">
        <f>(IF(ISBLANK(DB_LOAD!AR91),"",DB_LOAD!AR91))</f>
        <v/>
      </c>
      <c r="BR92" t="str">
        <f t="shared" si="73"/>
        <v/>
      </c>
      <c r="BS92" t="str">
        <f t="shared" si="74"/>
        <v/>
      </c>
      <c r="BT92" t="str">
        <f t="shared" si="75"/>
        <v>5500000250000016064001572600</v>
      </c>
      <c r="BU92" t="str">
        <f t="shared" si="76"/>
        <v/>
      </c>
      <c r="BV92" t="str">
        <f t="shared" si="77"/>
        <v>7777</v>
      </c>
      <c r="BW92" t="str">
        <f t="shared" si="78"/>
        <v/>
      </c>
      <c r="BX92" t="str">
        <f t="shared" si="79"/>
        <v>1111</v>
      </c>
      <c r="CB92" s="683" t="str">
        <f t="shared" si="115"/>
        <v/>
      </c>
      <c r="CC92" s="683" t="str">
        <f t="shared" si="116"/>
        <v/>
      </c>
      <c r="CD92" s="683" t="str">
        <f>IF(CC92="","",VALUE(MID($BZ$5,1+SUM($CC$3:CC91),CC92)))</f>
        <v/>
      </c>
      <c r="CE92"/>
      <c r="CF92" t="str">
        <f>IF(CD92="","",MID($BZ$4,1+SUM($CD$3:CD91),CD92))</f>
        <v/>
      </c>
    </row>
    <row r="93" spans="3:84" ht="14.25" customHeight="1">
      <c r="C93" s="485">
        <f t="shared" si="121"/>
        <v>94</v>
      </c>
      <c r="D93" s="465" t="s">
        <v>398</v>
      </c>
      <c r="E93" s="465"/>
      <c r="F93" s="464" t="e">
        <f ca="1">DATA_FORMATTING!AQ127/F$86</f>
        <v>#N/A</v>
      </c>
      <c r="G93" s="464" t="e">
        <f ca="1">DATA_FORMATTING!AR127/G$86</f>
        <v>#N/A</v>
      </c>
      <c r="H93" s="464" t="e">
        <f ca="1">DATA_FORMATTING!AS127/H$86</f>
        <v>#N/A</v>
      </c>
      <c r="I93" s="464" t="e">
        <f ca="1">DATA_FORMATTING!AT127/I$86</f>
        <v>#N/A</v>
      </c>
      <c r="J93" s="464" t="e">
        <f ca="1">DATA_FORMATTING!AU127/J$86</f>
        <v>#N/A</v>
      </c>
      <c r="K93" s="464"/>
      <c r="L93" s="464" t="e">
        <f ca="1">DATA_FORMATTING!E185/L$86</f>
        <v>#NAME?</v>
      </c>
      <c r="M93" s="464" t="e">
        <f ca="1">DATA_FORMATTING!F185/M$86</f>
        <v>#NAME?</v>
      </c>
      <c r="N93" s="464" t="e">
        <f ca="1">DATA_FORMATTING!G185/N$86</f>
        <v>#NAME?</v>
      </c>
      <c r="O93" s="464" t="e">
        <f ca="1">DATA_FORMATTING!I185/O$86</f>
        <v>#NAME?</v>
      </c>
      <c r="P93" s="464"/>
      <c r="Q93" s="464" t="e">
        <f ca="1">DATA_FORMATTING!AN127/Q$86</f>
        <v>#NAME?</v>
      </c>
      <c r="R93" s="464" t="e">
        <f t="shared" ca="1" si="134"/>
        <v>#NAME?</v>
      </c>
      <c r="U93" s="550" t="e">
        <f ca="1">DATA_FORMATTING!AN156/U$86</f>
        <v>#NUM!</v>
      </c>
      <c r="V93" s="450" t="e">
        <f ca="1">AVERAGE(U93,Q93)</f>
        <v>#NUM!</v>
      </c>
      <c r="AJ93" s="465" t="s">
        <v>398</v>
      </c>
      <c r="AK93" s="464" t="e">
        <f t="shared" ca="1" si="135"/>
        <v>#N/A</v>
      </c>
      <c r="AL93" s="464" t="e">
        <f t="shared" ca="1" si="135"/>
        <v>#N/A</v>
      </c>
      <c r="AM93" s="464" t="e">
        <f t="shared" ca="1" si="135"/>
        <v>#N/A</v>
      </c>
      <c r="AN93" s="464" t="e">
        <f t="shared" ca="1" si="135"/>
        <v>#N/A</v>
      </c>
      <c r="AO93" s="464" t="e">
        <f t="shared" ca="1" si="136"/>
        <v>#NAME?</v>
      </c>
      <c r="AP93" s="840" t="e">
        <f t="shared" ca="1" si="136"/>
        <v>#NAME?</v>
      </c>
      <c r="BE93" s="485">
        <f t="shared" ca="1" si="122"/>
        <v>1</v>
      </c>
      <c r="BF93" s="654" t="str">
        <f t="shared" si="123"/>
        <v/>
      </c>
      <c r="BG93" s="675" t="str">
        <f t="shared" ca="1" si="124"/>
        <v/>
      </c>
      <c r="BH93" s="675" t="str">
        <f t="shared" ca="1" si="125"/>
        <v/>
      </c>
      <c r="BI93" s="675" t="str">
        <f t="shared" ca="1" si="126"/>
        <v/>
      </c>
      <c r="BJ93" s="675" t="str">
        <f t="shared" ca="1" si="127"/>
        <v/>
      </c>
      <c r="BK93" s="675" t="str">
        <f t="shared" ca="1" si="128"/>
        <v/>
      </c>
      <c r="BL93" s="675" t="str">
        <f t="shared" ca="1" si="129"/>
        <v/>
      </c>
      <c r="BM93" s="675" t="str">
        <f t="shared" ca="1" si="130"/>
        <v/>
      </c>
      <c r="BN93" s="676" t="str">
        <f t="shared" ca="1" si="131"/>
        <v/>
      </c>
      <c r="BP93" s="485" t="e">
        <f ca="1">IF(OR(DB_LOAD!AW92="USD",DB_LOAD!AW92='Refi-Annual Review'!$A$3,ISBLANK(DB_LOAD!AW92)),0,1)</f>
        <v>#NAME?</v>
      </c>
      <c r="BQ93" t="str">
        <f>(IF(ISBLANK(DB_LOAD!AR92),"",DB_LOAD!AR92))</f>
        <v/>
      </c>
      <c r="BR93" t="str">
        <f t="shared" si="73"/>
        <v/>
      </c>
      <c r="BS93" t="str">
        <f t="shared" si="74"/>
        <v/>
      </c>
      <c r="BT93" t="str">
        <f t="shared" si="75"/>
        <v>5500000250000016064001572600</v>
      </c>
      <c r="BU93" t="str">
        <f t="shared" si="76"/>
        <v/>
      </c>
      <c r="BV93" t="str">
        <f t="shared" si="77"/>
        <v>7777</v>
      </c>
      <c r="BW93" t="str">
        <f t="shared" si="78"/>
        <v/>
      </c>
      <c r="BX93" t="str">
        <f t="shared" si="79"/>
        <v>1111</v>
      </c>
      <c r="CB93" s="683" t="str">
        <f t="shared" si="115"/>
        <v/>
      </c>
      <c r="CC93" s="683" t="str">
        <f t="shared" si="116"/>
        <v/>
      </c>
      <c r="CD93" s="683" t="str">
        <f>IF(CC93="","",VALUE(MID($BZ$5,1+SUM($CC$3:CC92),CC93)))</f>
        <v/>
      </c>
      <c r="CE93"/>
      <c r="CF93" t="str">
        <f>IF(CD93="","",MID($BZ$4,1+SUM($CD$3:CD92),CD93))</f>
        <v/>
      </c>
    </row>
    <row r="94" spans="3:84" ht="14.25" customHeight="1">
      <c r="C94" s="485">
        <f t="shared" si="121"/>
        <v>95</v>
      </c>
      <c r="D94" s="466"/>
      <c r="E94" s="466"/>
      <c r="F94" s="466"/>
      <c r="G94" s="466"/>
      <c r="H94" s="466"/>
      <c r="I94" s="466"/>
      <c r="J94" s="466"/>
      <c r="K94" s="466"/>
      <c r="L94" s="464"/>
      <c r="R94" s="486">
        <f t="shared" si="134"/>
        <v>0</v>
      </c>
      <c r="V94" s="450"/>
      <c r="AJ94" s="466"/>
      <c r="AK94" s="466"/>
      <c r="AL94" s="466"/>
      <c r="AM94" s="466"/>
      <c r="AN94" s="466"/>
      <c r="AO94" s="466"/>
      <c r="BE94" s="485">
        <f t="shared" ca="1" si="122"/>
        <v>1</v>
      </c>
      <c r="BF94" s="654" t="str">
        <f t="shared" si="123"/>
        <v/>
      </c>
      <c r="BG94" s="675" t="str">
        <f t="shared" ca="1" si="124"/>
        <v/>
      </c>
      <c r="BH94" s="675" t="str">
        <f t="shared" ca="1" si="125"/>
        <v/>
      </c>
      <c r="BI94" s="675" t="str">
        <f t="shared" ca="1" si="126"/>
        <v/>
      </c>
      <c r="BJ94" s="675" t="str">
        <f t="shared" ca="1" si="127"/>
        <v/>
      </c>
      <c r="BK94" s="675" t="str">
        <f t="shared" ca="1" si="128"/>
        <v/>
      </c>
      <c r="BL94" s="675" t="str">
        <f t="shared" ca="1" si="129"/>
        <v/>
      </c>
      <c r="BM94" s="675" t="str">
        <f t="shared" ca="1" si="130"/>
        <v/>
      </c>
      <c r="BN94" s="676" t="str">
        <f t="shared" ca="1" si="131"/>
        <v/>
      </c>
      <c r="BP94" s="485" t="e">
        <f ca="1">IF(OR(DB_LOAD!AW93="USD",DB_LOAD!AW93='Refi-Annual Review'!$A$3,ISBLANK(DB_LOAD!AW93)),0,1)</f>
        <v>#NAME?</v>
      </c>
      <c r="BQ94" t="str">
        <f>(IF(ISBLANK(DB_LOAD!AR93),"",DB_LOAD!AR93))</f>
        <v/>
      </c>
      <c r="BR94" t="str">
        <f t="shared" si="73"/>
        <v/>
      </c>
      <c r="BS94" t="str">
        <f t="shared" si="74"/>
        <v/>
      </c>
      <c r="BT94" t="str">
        <f t="shared" si="75"/>
        <v>5500000250000016064001572600</v>
      </c>
      <c r="BU94" t="str">
        <f t="shared" si="76"/>
        <v/>
      </c>
      <c r="BV94" t="str">
        <f t="shared" si="77"/>
        <v>7777</v>
      </c>
      <c r="BW94" t="str">
        <f t="shared" si="78"/>
        <v/>
      </c>
      <c r="BX94" t="str">
        <f t="shared" si="79"/>
        <v>1111</v>
      </c>
      <c r="CB94" s="683" t="str">
        <f t="shared" si="115"/>
        <v/>
      </c>
      <c r="CC94" s="683" t="str">
        <f t="shared" si="116"/>
        <v/>
      </c>
      <c r="CD94" s="683" t="str">
        <f>IF(CC94="","",VALUE(MID($BZ$5,1+SUM($CC$3:CC93),CC94)))</f>
        <v/>
      </c>
      <c r="CE94"/>
      <c r="CF94" t="str">
        <f>IF(CD94="","",MID($BZ$4,1+SUM($CD$3:CD93),CD94))</f>
        <v/>
      </c>
    </row>
    <row r="95" spans="3:84" ht="15">
      <c r="C95" s="485">
        <f t="shared" si="121"/>
        <v>96</v>
      </c>
      <c r="D95" s="467" t="s">
        <v>10</v>
      </c>
      <c r="E95" s="467"/>
      <c r="F95" s="464" t="e">
        <f ca="1">DATA_FORMATTING!AQ128/F$86</f>
        <v>#N/A</v>
      </c>
      <c r="G95" s="464" t="e">
        <f ca="1">DATA_FORMATTING!AR128/G$86</f>
        <v>#N/A</v>
      </c>
      <c r="H95" s="464" t="e">
        <f ca="1">DATA_FORMATTING!AS128/H$86</f>
        <v>#N/A</v>
      </c>
      <c r="I95" s="464" t="e">
        <f ca="1">DATA_FORMATTING!AT128/I$86</f>
        <v>#N/A</v>
      </c>
      <c r="J95" s="464" t="e">
        <f ca="1">DATA_FORMATTING!AU128/J$86</f>
        <v>#N/A</v>
      </c>
      <c r="K95" s="464"/>
      <c r="L95" s="464" t="e">
        <f ca="1">DATA_FORMATTING!E186/L$86</f>
        <v>#NAME?</v>
      </c>
      <c r="M95" s="464" t="e">
        <f ca="1">DATA_FORMATTING!F186/M$86</f>
        <v>#NAME?</v>
      </c>
      <c r="N95" s="464" t="e">
        <f ca="1">DATA_FORMATTING!G186/N$86</f>
        <v>#NAME?</v>
      </c>
      <c r="O95" s="464" t="e">
        <f ca="1">DATA_FORMATTING!I186/O$86</f>
        <v>#NAME?</v>
      </c>
      <c r="P95" s="464"/>
      <c r="Q95" s="464" t="e">
        <f ca="1">DATA_FORMATTING!AN128/Q$86</f>
        <v>#NAME?</v>
      </c>
      <c r="R95" s="464" t="e">
        <f t="shared" ca="1" si="134"/>
        <v>#NAME?</v>
      </c>
      <c r="U95" s="550" t="e">
        <f ca="1">DATA_FORMATTING!AN157/U$86</f>
        <v>#NUM!</v>
      </c>
      <c r="V95" s="450" t="e">
        <f ca="1">AVERAGE(U95,Q95)</f>
        <v>#NUM!</v>
      </c>
      <c r="AJ95" s="467" t="s">
        <v>10</v>
      </c>
      <c r="AK95" s="464" t="e">
        <f t="shared" ca="1" si="135"/>
        <v>#N/A</v>
      </c>
      <c r="AL95" s="464" t="e">
        <f t="shared" ca="1" si="135"/>
        <v>#N/A</v>
      </c>
      <c r="AM95" s="464" t="e">
        <f t="shared" ca="1" si="135"/>
        <v>#N/A</v>
      </c>
      <c r="AN95" s="464" t="e">
        <f t="shared" ca="1" si="135"/>
        <v>#N/A</v>
      </c>
      <c r="AO95" s="464" t="e">
        <f t="shared" ref="AO95:AP98" ca="1" si="137">Q95</f>
        <v>#NAME?</v>
      </c>
      <c r="AP95" s="840" t="e">
        <f t="shared" ca="1" si="137"/>
        <v>#NAME?</v>
      </c>
      <c r="BE95" s="485">
        <f t="shared" ca="1" si="122"/>
        <v>1</v>
      </c>
      <c r="BF95" s="654" t="str">
        <f t="shared" si="123"/>
        <v/>
      </c>
      <c r="BG95" s="675" t="str">
        <f t="shared" ca="1" si="124"/>
        <v/>
      </c>
      <c r="BH95" s="675" t="str">
        <f t="shared" ca="1" si="125"/>
        <v/>
      </c>
      <c r="BI95" s="675" t="str">
        <f t="shared" ca="1" si="126"/>
        <v/>
      </c>
      <c r="BJ95" s="675" t="str">
        <f t="shared" ca="1" si="127"/>
        <v/>
      </c>
      <c r="BK95" s="675" t="str">
        <f t="shared" ca="1" si="128"/>
        <v/>
      </c>
      <c r="BL95" s="675" t="str">
        <f t="shared" ca="1" si="129"/>
        <v/>
      </c>
      <c r="BM95" s="675" t="str">
        <f t="shared" ca="1" si="130"/>
        <v/>
      </c>
      <c r="BN95" s="676" t="str">
        <f t="shared" ca="1" si="131"/>
        <v/>
      </c>
      <c r="BP95" s="485" t="e">
        <f ca="1">IF(OR(DB_LOAD!AW94="USD",DB_LOAD!AW94='Refi-Annual Review'!$A$3,ISBLANK(DB_LOAD!AW94)),0,1)</f>
        <v>#NAME?</v>
      </c>
      <c r="BQ95" t="str">
        <f>(IF(ISBLANK(DB_LOAD!AR94),"",DB_LOAD!AR94))</f>
        <v/>
      </c>
      <c r="BR95" t="str">
        <f t="shared" si="73"/>
        <v/>
      </c>
      <c r="BS95" t="str">
        <f t="shared" si="74"/>
        <v/>
      </c>
      <c r="BT95" t="str">
        <f t="shared" si="75"/>
        <v>5500000250000016064001572600</v>
      </c>
      <c r="BU95" t="str">
        <f t="shared" si="76"/>
        <v/>
      </c>
      <c r="BV95" t="str">
        <f t="shared" si="77"/>
        <v>7777</v>
      </c>
      <c r="BW95" t="str">
        <f t="shared" si="78"/>
        <v/>
      </c>
      <c r="BX95" t="str">
        <f t="shared" si="79"/>
        <v>1111</v>
      </c>
      <c r="CB95" s="683" t="str">
        <f t="shared" si="115"/>
        <v/>
      </c>
      <c r="CC95" s="683" t="str">
        <f t="shared" si="116"/>
        <v/>
      </c>
      <c r="CD95" s="683" t="str">
        <f>IF(CC95="","",VALUE(MID($BZ$5,1+SUM($CC$3:CC94),CC95)))</f>
        <v/>
      </c>
      <c r="CE95"/>
      <c r="CF95" t="str">
        <f>IF(CD95="","",MID($BZ$4,1+SUM($CD$3:CD94),CD95))</f>
        <v/>
      </c>
    </row>
    <row r="96" spans="3:84" ht="15">
      <c r="C96" s="485">
        <f t="shared" si="121"/>
        <v>97</v>
      </c>
      <c r="D96" s="468" t="s">
        <v>28</v>
      </c>
      <c r="E96" s="481"/>
      <c r="F96" s="469"/>
      <c r="G96" s="470"/>
      <c r="H96" s="470"/>
      <c r="I96" s="470"/>
      <c r="J96" s="470"/>
      <c r="K96" s="470"/>
      <c r="L96" s="470"/>
      <c r="M96" s="470"/>
      <c r="N96" s="470"/>
      <c r="O96" s="470"/>
      <c r="P96" s="470"/>
      <c r="Q96" s="470" t="e">
        <f ca="1">Q95/U95-1</f>
        <v>#NAME?</v>
      </c>
      <c r="R96" s="470" t="e">
        <f t="shared" ca="1" si="134"/>
        <v>#NAME?</v>
      </c>
      <c r="U96" s="684"/>
      <c r="V96" s="450"/>
      <c r="AJ96" s="468" t="s">
        <v>28</v>
      </c>
      <c r="AK96" s="565">
        <f ca="1">IF($AT$2=TRUE,IF($AT$3=TRUE,K96,F96),IF($AT$3=TRUE,L96,G96))</f>
        <v>0</v>
      </c>
      <c r="AL96" s="565" t="e">
        <f ca="1">AL95/AK95-1</f>
        <v>#N/A</v>
      </c>
      <c r="AM96" s="552" t="e">
        <f t="shared" ref="AM96:AN96" ca="1" si="138">AM95/AL95-1</f>
        <v>#N/A</v>
      </c>
      <c r="AN96" s="552" t="e">
        <f t="shared" ca="1" si="138"/>
        <v>#N/A</v>
      </c>
      <c r="AO96" s="470" t="e">
        <f t="shared" ca="1" si="137"/>
        <v>#NAME?</v>
      </c>
      <c r="AP96" s="841" t="e">
        <f t="shared" ca="1" si="137"/>
        <v>#NAME?</v>
      </c>
      <c r="BE96" s="485">
        <f t="shared" ca="1" si="122"/>
        <v>1</v>
      </c>
      <c r="BF96" s="654" t="str">
        <f t="shared" si="123"/>
        <v/>
      </c>
      <c r="BG96" s="675" t="str">
        <f t="shared" ca="1" si="124"/>
        <v/>
      </c>
      <c r="BH96" s="675" t="str">
        <f t="shared" ca="1" si="125"/>
        <v/>
      </c>
      <c r="BI96" s="675" t="str">
        <f t="shared" ca="1" si="126"/>
        <v/>
      </c>
      <c r="BJ96" s="675" t="str">
        <f t="shared" ca="1" si="127"/>
        <v/>
      </c>
      <c r="BK96" s="675" t="str">
        <f t="shared" ca="1" si="128"/>
        <v/>
      </c>
      <c r="BL96" s="675" t="str">
        <f t="shared" ca="1" si="129"/>
        <v/>
      </c>
      <c r="BM96" s="675" t="str">
        <f t="shared" ca="1" si="130"/>
        <v/>
      </c>
      <c r="BN96" s="676" t="str">
        <f t="shared" ca="1" si="131"/>
        <v/>
      </c>
      <c r="BP96" s="485" t="e">
        <f ca="1">IF(OR(DB_LOAD!AW95="USD",DB_LOAD!AW95='Refi-Annual Review'!$A$3,ISBLANK(DB_LOAD!AW95)),0,1)</f>
        <v>#NAME?</v>
      </c>
      <c r="BQ96" t="str">
        <f>(IF(ISBLANK(DB_LOAD!AR95),"",DB_LOAD!AR95))</f>
        <v/>
      </c>
      <c r="BR96" t="str">
        <f t="shared" ref="BR96:BR108" si="139">IF(LEN(BQ96)&gt;0,LEN(BQ96),"")</f>
        <v/>
      </c>
      <c r="BS96" t="str">
        <f t="shared" ref="BS96:BS108" si="140">IF(AND(BQ96=BQ95,BR96=BR95,BQ96&lt;&gt;""),"",IF(BQ96="","",BQ96))</f>
        <v/>
      </c>
      <c r="BT96" t="str">
        <f t="shared" ref="BT96:BT108" si="141">BT95&amp;BS96</f>
        <v>5500000250000016064001572600</v>
      </c>
      <c r="BU96" t="str">
        <f t="shared" ref="BU96:BU108" si="142">IF(LEN(BS96)&gt;0,LEN(BS96),"")</f>
        <v/>
      </c>
      <c r="BV96" t="str">
        <f t="shared" ref="BV96:BV108" si="143">BV95&amp;BU96</f>
        <v>7777</v>
      </c>
      <c r="BW96" t="str">
        <f t="shared" ref="BW96:BW108" si="144">IF(LEN(BU96)&gt;0,LEN(BU96),"")</f>
        <v/>
      </c>
      <c r="BX96" t="str">
        <f t="shared" ref="BX96:BX108" si="145">BX95&amp;BW96</f>
        <v>1111</v>
      </c>
      <c r="CB96" s="683" t="str">
        <f t="shared" si="115"/>
        <v/>
      </c>
      <c r="CC96" s="683" t="str">
        <f t="shared" si="116"/>
        <v/>
      </c>
      <c r="CD96" s="683" t="str">
        <f>IF(CC96="","",VALUE(MID($BZ$5,1+SUM($CC$3:CC95),CC96)))</f>
        <v/>
      </c>
      <c r="CE96"/>
      <c r="CF96" t="str">
        <f>IF(CD96="","",MID($BZ$4,1+SUM($CD$3:CD95),CD96))</f>
        <v/>
      </c>
    </row>
    <row r="97" spans="3:84" ht="15">
      <c r="C97" s="485">
        <f t="shared" si="121"/>
        <v>98</v>
      </c>
      <c r="D97" s="467" t="s">
        <v>91</v>
      </c>
      <c r="E97" s="467"/>
      <c r="F97" s="464" t="e">
        <f ca="1">DATA_FORMATTING!AQ129/F$86</f>
        <v>#N/A</v>
      </c>
      <c r="G97" s="464" t="e">
        <f ca="1">DATA_FORMATTING!AR129/G$86</f>
        <v>#N/A</v>
      </c>
      <c r="H97" s="464" t="e">
        <f ca="1">DATA_FORMATTING!AS129/H$86</f>
        <v>#N/A</v>
      </c>
      <c r="I97" s="464" t="e">
        <f ca="1">DATA_FORMATTING!AT129/I$86</f>
        <v>#N/A</v>
      </c>
      <c r="J97" s="464" t="e">
        <f ca="1">DATA_FORMATTING!AU129/J$86</f>
        <v>#N/A</v>
      </c>
      <c r="K97" s="464"/>
      <c r="L97" s="464" t="e">
        <f ca="1">DATA_FORMATTING!E187/L$86</f>
        <v>#NAME?</v>
      </c>
      <c r="M97" s="464" t="e">
        <f ca="1">DATA_FORMATTING!F187/M$86</f>
        <v>#NAME?</v>
      </c>
      <c r="N97" s="464" t="e">
        <f ca="1">DATA_FORMATTING!G187/N$86</f>
        <v>#NAME?</v>
      </c>
      <c r="O97" s="464" t="e">
        <f ca="1">DATA_FORMATTING!I187/O$86</f>
        <v>#NAME?</v>
      </c>
      <c r="P97" s="464"/>
      <c r="Q97" s="464" t="e">
        <f ca="1">DATA_FORMATTING!AN129/Q$86</f>
        <v>#NAME?</v>
      </c>
      <c r="R97" s="464" t="e">
        <f t="shared" ca="1" si="134"/>
        <v>#NAME?</v>
      </c>
      <c r="U97" s="550" t="e">
        <f ca="1">DATA_FORMATTING!AN158/U$86</f>
        <v>#NUM!</v>
      </c>
      <c r="V97" s="450" t="e">
        <f ca="1">AVERAGE(U97,Q97)</f>
        <v>#NUM!</v>
      </c>
      <c r="AJ97" s="467" t="s">
        <v>91</v>
      </c>
      <c r="AK97" s="464" t="e">
        <f t="shared" ca="1" si="135"/>
        <v>#N/A</v>
      </c>
      <c r="AL97" s="464" t="e">
        <f t="shared" ca="1" si="135"/>
        <v>#N/A</v>
      </c>
      <c r="AM97" s="464" t="e">
        <f t="shared" ca="1" si="135"/>
        <v>#N/A</v>
      </c>
      <c r="AN97" s="464" t="e">
        <f t="shared" ca="1" si="135"/>
        <v>#N/A</v>
      </c>
      <c r="AO97" s="464" t="e">
        <f t="shared" ca="1" si="137"/>
        <v>#NAME?</v>
      </c>
      <c r="AP97" s="840" t="e">
        <f t="shared" ca="1" si="137"/>
        <v>#NAME?</v>
      </c>
      <c r="BE97" s="485">
        <f t="shared" ca="1" si="122"/>
        <v>1</v>
      </c>
      <c r="BF97" s="654" t="str">
        <f t="shared" si="123"/>
        <v/>
      </c>
      <c r="BG97" s="675" t="str">
        <f t="shared" ca="1" si="124"/>
        <v/>
      </c>
      <c r="BH97" s="675" t="str">
        <f t="shared" ca="1" si="125"/>
        <v/>
      </c>
      <c r="BI97" s="675" t="str">
        <f t="shared" ca="1" si="126"/>
        <v/>
      </c>
      <c r="BJ97" s="675" t="str">
        <f t="shared" ca="1" si="127"/>
        <v/>
      </c>
      <c r="BK97" s="675" t="str">
        <f t="shared" ca="1" si="128"/>
        <v/>
      </c>
      <c r="BL97" s="675" t="str">
        <f t="shared" ca="1" si="129"/>
        <v/>
      </c>
      <c r="BM97" s="675" t="str">
        <f t="shared" ca="1" si="130"/>
        <v/>
      </c>
      <c r="BN97" s="676" t="str">
        <f t="shared" ca="1" si="131"/>
        <v/>
      </c>
      <c r="BP97" s="485" t="e">
        <f ca="1">IF(OR(DB_LOAD!AW96="USD",DB_LOAD!AW96='Refi-Annual Review'!$A$3,ISBLANK(DB_LOAD!AW96)),0,1)</f>
        <v>#NAME?</v>
      </c>
      <c r="BQ97" t="str">
        <f>(IF(ISBLANK(DB_LOAD!AR96),"",DB_LOAD!AR96))</f>
        <v/>
      </c>
      <c r="BR97" t="str">
        <f t="shared" si="139"/>
        <v/>
      </c>
      <c r="BS97" t="str">
        <f t="shared" si="140"/>
        <v/>
      </c>
      <c r="BT97" t="str">
        <f t="shared" si="141"/>
        <v>5500000250000016064001572600</v>
      </c>
      <c r="BU97" t="str">
        <f t="shared" si="142"/>
        <v/>
      </c>
      <c r="BV97" t="str">
        <f t="shared" si="143"/>
        <v>7777</v>
      </c>
      <c r="BW97" t="str">
        <f t="shared" si="144"/>
        <v/>
      </c>
      <c r="BX97" t="str">
        <f t="shared" si="145"/>
        <v>1111</v>
      </c>
      <c r="CB97" s="683" t="str">
        <f t="shared" si="115"/>
        <v/>
      </c>
      <c r="CC97" s="683" t="str">
        <f t="shared" si="116"/>
        <v/>
      </c>
      <c r="CD97" s="683" t="str">
        <f>IF(CC97="","",VALUE(MID($BZ$5,1+SUM($CC$3:CC96),CC97)))</f>
        <v/>
      </c>
      <c r="CE97"/>
      <c r="CF97" t="str">
        <f>IF(CD97="","",MID($BZ$4,1+SUM($CD$3:CD96),CD97))</f>
        <v/>
      </c>
    </row>
    <row r="98" spans="3:84" ht="14.25" customHeight="1">
      <c r="C98" s="485">
        <f t="shared" si="121"/>
        <v>99</v>
      </c>
      <c r="D98" s="471" t="s">
        <v>166</v>
      </c>
      <c r="E98" s="471"/>
      <c r="F98" s="660" t="e">
        <f ca="1">SUM(F97,F95)</f>
        <v>#N/A</v>
      </c>
      <c r="G98" s="660" t="e">
        <f ca="1">SUM(G97,G95)</f>
        <v>#N/A</v>
      </c>
      <c r="H98" s="660" t="e">
        <f ca="1">SUM(H97,H95)</f>
        <v>#N/A</v>
      </c>
      <c r="I98" s="660" t="e">
        <f ca="1">SUM(I97,I95)</f>
        <v>#N/A</v>
      </c>
      <c r="J98" s="660" t="e">
        <f ca="1">SUM(J97,J95)</f>
        <v>#N/A</v>
      </c>
      <c r="K98" s="466"/>
      <c r="L98" s="660" t="e">
        <f ca="1">SUM(L97,L95)</f>
        <v>#NAME?</v>
      </c>
      <c r="M98" s="660" t="e">
        <f ca="1">SUM(M97,M95)</f>
        <v>#NAME?</v>
      </c>
      <c r="N98" s="660" t="e">
        <f ca="1">SUM(N97,N95)</f>
        <v>#NAME?</v>
      </c>
      <c r="O98" s="660" t="e">
        <f ca="1">SUM(O97,O95)</f>
        <v>#NAME?</v>
      </c>
      <c r="P98" s="660"/>
      <c r="Q98" s="660" t="e">
        <f ca="1">SUM(Q97,Q95)</f>
        <v>#NAME?</v>
      </c>
      <c r="R98" s="660" t="e">
        <f t="shared" ca="1" si="134"/>
        <v>#NAME?</v>
      </c>
      <c r="U98" s="661" t="e">
        <f ca="1">SUM(U97,U95)</f>
        <v>#NUM!</v>
      </c>
      <c r="V98" s="658" t="e">
        <f ca="1">SUM(V97,V95)</f>
        <v>#NUM!</v>
      </c>
      <c r="AJ98" s="471" t="s">
        <v>166</v>
      </c>
      <c r="AK98" s="660" t="e">
        <f t="shared" ca="1" si="135"/>
        <v>#N/A</v>
      </c>
      <c r="AL98" s="660" t="e">
        <f t="shared" ca="1" si="135"/>
        <v>#N/A</v>
      </c>
      <c r="AM98" s="660" t="e">
        <f t="shared" ca="1" si="135"/>
        <v>#N/A</v>
      </c>
      <c r="AN98" s="660" t="e">
        <f t="shared" ca="1" si="135"/>
        <v>#N/A</v>
      </c>
      <c r="AO98" s="660" t="e">
        <f t="shared" ca="1" si="137"/>
        <v>#NAME?</v>
      </c>
      <c r="AP98" s="840" t="e">
        <f t="shared" ca="1" si="137"/>
        <v>#NAME?</v>
      </c>
      <c r="BE98" s="485">
        <f t="shared" ca="1" si="122"/>
        <v>1</v>
      </c>
      <c r="BF98" s="654" t="str">
        <f t="shared" si="123"/>
        <v/>
      </c>
      <c r="BG98" s="675" t="str">
        <f t="shared" ca="1" si="124"/>
        <v/>
      </c>
      <c r="BH98" s="675" t="str">
        <f t="shared" ca="1" si="125"/>
        <v/>
      </c>
      <c r="BI98" s="675" t="str">
        <f t="shared" ca="1" si="126"/>
        <v/>
      </c>
      <c r="BJ98" s="675" t="str">
        <f t="shared" ca="1" si="127"/>
        <v/>
      </c>
      <c r="BK98" s="675" t="str">
        <f t="shared" ca="1" si="128"/>
        <v/>
      </c>
      <c r="BL98" s="675" t="str">
        <f t="shared" ca="1" si="129"/>
        <v/>
      </c>
      <c r="BM98" s="675" t="str">
        <f t="shared" ca="1" si="130"/>
        <v/>
      </c>
      <c r="BN98" s="676" t="str">
        <f t="shared" ca="1" si="131"/>
        <v/>
      </c>
      <c r="BP98" s="485" t="e">
        <f ca="1">IF(OR(DB_LOAD!AW97="USD",DB_LOAD!AW97='Refi-Annual Review'!$A$3,ISBLANK(DB_LOAD!AW97)),0,1)</f>
        <v>#NAME?</v>
      </c>
      <c r="BQ98" t="str">
        <f>(IF(ISBLANK(DB_LOAD!AR97),"",DB_LOAD!AR97))</f>
        <v/>
      </c>
      <c r="BR98" t="str">
        <f t="shared" si="139"/>
        <v/>
      </c>
      <c r="BS98" t="str">
        <f t="shared" si="140"/>
        <v/>
      </c>
      <c r="BT98" t="str">
        <f t="shared" si="141"/>
        <v>5500000250000016064001572600</v>
      </c>
      <c r="BU98" t="str">
        <f t="shared" si="142"/>
        <v/>
      </c>
      <c r="BV98" t="str">
        <f t="shared" si="143"/>
        <v>7777</v>
      </c>
      <c r="BW98" t="str">
        <f t="shared" si="144"/>
        <v/>
      </c>
      <c r="BX98" t="str">
        <f t="shared" si="145"/>
        <v>1111</v>
      </c>
      <c r="CB98" s="683" t="str">
        <f t="shared" si="115"/>
        <v/>
      </c>
      <c r="CC98" s="683" t="str">
        <f t="shared" si="116"/>
        <v/>
      </c>
      <c r="CD98" s="683" t="str">
        <f>IF(CC98="","",VALUE(MID($BZ$5,1+SUM($CC$3:CC97),CC98)))</f>
        <v/>
      </c>
      <c r="CE98"/>
      <c r="CF98" t="str">
        <f>IF(CD98="","",MID($BZ$4,1+SUM($CD$3:CD97),CD98))</f>
        <v/>
      </c>
    </row>
    <row r="99" spans="3:84" ht="15" customHeight="1">
      <c r="C99" s="485">
        <f t="shared" si="121"/>
        <v>100</v>
      </c>
      <c r="D99" s="466"/>
      <c r="E99" s="466"/>
      <c r="F99" s="466"/>
      <c r="G99" s="466"/>
      <c r="H99" s="466"/>
      <c r="I99" s="466"/>
      <c r="J99" s="466"/>
      <c r="K99" s="466"/>
      <c r="L99" s="466"/>
      <c r="M99" s="466"/>
      <c r="N99" s="466"/>
      <c r="O99" s="466"/>
      <c r="P99" s="466"/>
      <c r="Q99" s="466"/>
      <c r="R99" s="466">
        <f t="shared" si="134"/>
        <v>0</v>
      </c>
      <c r="U99" s="551"/>
      <c r="V99" s="451"/>
      <c r="AJ99" s="466"/>
      <c r="AK99" s="466"/>
      <c r="AL99" s="466"/>
      <c r="AM99" s="466"/>
      <c r="AN99" s="466"/>
      <c r="AO99" s="466"/>
      <c r="BE99" s="485">
        <f t="shared" ca="1" si="122"/>
        <v>1</v>
      </c>
      <c r="BF99" s="654" t="str">
        <f t="shared" si="123"/>
        <v/>
      </c>
      <c r="BG99" s="675" t="str">
        <f t="shared" ca="1" si="124"/>
        <v/>
      </c>
      <c r="BH99" s="675" t="str">
        <f t="shared" ca="1" si="125"/>
        <v/>
      </c>
      <c r="BI99" s="675" t="str">
        <f t="shared" ca="1" si="126"/>
        <v/>
      </c>
      <c r="BJ99" s="675" t="str">
        <f t="shared" ca="1" si="127"/>
        <v/>
      </c>
      <c r="BK99" s="675" t="str">
        <f t="shared" ca="1" si="128"/>
        <v/>
      </c>
      <c r="BL99" s="675" t="str">
        <f t="shared" ca="1" si="129"/>
        <v/>
      </c>
      <c r="BM99" s="675" t="str">
        <f t="shared" ca="1" si="130"/>
        <v/>
      </c>
      <c r="BN99" s="676" t="str">
        <f t="shared" ca="1" si="131"/>
        <v/>
      </c>
      <c r="BP99" s="485" t="e">
        <f ca="1">IF(OR(DB_LOAD!AW98="USD",DB_LOAD!AW98='Refi-Annual Review'!$A$3,ISBLANK(DB_LOAD!AW98)),0,1)</f>
        <v>#NAME?</v>
      </c>
      <c r="BQ99" t="str">
        <f>(IF(ISBLANK(DB_LOAD!AR98),"",DB_LOAD!AR98))</f>
        <v/>
      </c>
      <c r="BR99" t="str">
        <f t="shared" si="139"/>
        <v/>
      </c>
      <c r="BS99" t="str">
        <f t="shared" si="140"/>
        <v/>
      </c>
      <c r="BT99" t="str">
        <f t="shared" si="141"/>
        <v>5500000250000016064001572600</v>
      </c>
      <c r="BU99" t="str">
        <f t="shared" si="142"/>
        <v/>
      </c>
      <c r="BV99" t="str">
        <f t="shared" si="143"/>
        <v>7777</v>
      </c>
      <c r="BW99" t="str">
        <f t="shared" si="144"/>
        <v/>
      </c>
      <c r="BX99" t="str">
        <f t="shared" si="145"/>
        <v>1111</v>
      </c>
      <c r="CB99" s="683" t="str">
        <f t="shared" si="115"/>
        <v/>
      </c>
      <c r="CC99" s="683" t="str">
        <f t="shared" si="116"/>
        <v/>
      </c>
      <c r="CD99" s="683" t="str">
        <f>IF(CC99="","",VALUE(MID($BZ$5,1+SUM($CC$3:CC98),CC99)))</f>
        <v/>
      </c>
      <c r="CE99"/>
      <c r="CF99" t="str">
        <f>IF(CD99="","",MID($BZ$4,1+SUM($CD$3:CD98),CD99))</f>
        <v/>
      </c>
    </row>
    <row r="100" spans="3:84" ht="15">
      <c r="C100" s="485">
        <f t="shared" si="121"/>
        <v>101</v>
      </c>
      <c r="D100" s="463" t="s">
        <v>94</v>
      </c>
      <c r="E100" s="463"/>
      <c r="F100" s="464" t="e">
        <f ca="1">DATA_FORMATTING!AQ130/F$86</f>
        <v>#N/A</v>
      </c>
      <c r="G100" s="464" t="e">
        <f ca="1">DATA_FORMATTING!AR130/G$86</f>
        <v>#N/A</v>
      </c>
      <c r="H100" s="464" t="e">
        <f ca="1">DATA_FORMATTING!AS130/H$86</f>
        <v>#N/A</v>
      </c>
      <c r="I100" s="464" t="e">
        <f ca="1">DATA_FORMATTING!AT130/I$86</f>
        <v>#N/A</v>
      </c>
      <c r="J100" s="464" t="e">
        <f ca="1">DATA_FORMATTING!AU130/J$86</f>
        <v>#N/A</v>
      </c>
      <c r="K100" s="464"/>
      <c r="L100" s="464" t="e">
        <f ca="1">DATA_FORMATTING!E188/L$86</f>
        <v>#NAME?</v>
      </c>
      <c r="M100" s="464" t="e">
        <f ca="1">DATA_FORMATTING!F188/M$86</f>
        <v>#NAME?</v>
      </c>
      <c r="N100" s="464" t="e">
        <f ca="1">DATA_FORMATTING!G188/N$86</f>
        <v>#NAME?</v>
      </c>
      <c r="O100" s="464" t="e">
        <f ca="1">DATA_FORMATTING!I188/O$86</f>
        <v>#NAME?</v>
      </c>
      <c r="P100" s="464"/>
      <c r="Q100" s="464" t="e">
        <f ca="1">DATA_FORMATTING!AN130/Q$86</f>
        <v>#NAME?</v>
      </c>
      <c r="R100" s="464" t="e">
        <f t="shared" ca="1" si="134"/>
        <v>#NAME?</v>
      </c>
      <c r="U100" s="550" t="e">
        <f ca="1">DATA_FORMATTING!AN159/U$86</f>
        <v>#NUM!</v>
      </c>
      <c r="V100" s="450" t="e">
        <f ca="1">AVERAGE(U100,Q100)</f>
        <v>#NUM!</v>
      </c>
      <c r="AJ100" s="463" t="s">
        <v>94</v>
      </c>
      <c r="AK100" s="464" t="e">
        <f t="shared" ca="1" si="135"/>
        <v>#N/A</v>
      </c>
      <c r="AL100" s="464" t="e">
        <f t="shared" ca="1" si="135"/>
        <v>#N/A</v>
      </c>
      <c r="AM100" s="464" t="e">
        <f t="shared" ca="1" si="135"/>
        <v>#N/A</v>
      </c>
      <c r="AN100" s="464" t="e">
        <f t="shared" ca="1" si="135"/>
        <v>#N/A</v>
      </c>
      <c r="AO100" s="464" t="e">
        <f ca="1">Q100</f>
        <v>#NAME?</v>
      </c>
      <c r="AP100" s="840" t="e">
        <f ca="1">R100</f>
        <v>#NAME?</v>
      </c>
      <c r="BE100" s="485">
        <f t="shared" ca="1" si="122"/>
        <v>1</v>
      </c>
      <c r="BF100" s="654" t="str">
        <f t="shared" si="123"/>
        <v/>
      </c>
      <c r="BG100" s="675" t="str">
        <f t="shared" ca="1" si="124"/>
        <v/>
      </c>
      <c r="BH100" s="675" t="str">
        <f t="shared" ca="1" si="125"/>
        <v/>
      </c>
      <c r="BI100" s="675" t="str">
        <f t="shared" ca="1" si="126"/>
        <v/>
      </c>
      <c r="BJ100" s="675" t="str">
        <f t="shared" ca="1" si="127"/>
        <v/>
      </c>
      <c r="BK100" s="675" t="str">
        <f t="shared" ca="1" si="128"/>
        <v/>
      </c>
      <c r="BL100" s="675" t="str">
        <f t="shared" ca="1" si="129"/>
        <v/>
      </c>
      <c r="BM100" s="675" t="str">
        <f t="shared" ca="1" si="130"/>
        <v/>
      </c>
      <c r="BN100" s="676" t="str">
        <f t="shared" ca="1" si="131"/>
        <v/>
      </c>
      <c r="BP100" s="485" t="e">
        <f ca="1">IF(OR(DB_LOAD!AW99="USD",DB_LOAD!AW99='Refi-Annual Review'!$A$3,ISBLANK(DB_LOAD!AW99)),0,1)</f>
        <v>#NAME?</v>
      </c>
      <c r="BQ100" t="str">
        <f>(IF(ISBLANK(DB_LOAD!AR99),"",DB_LOAD!AR99))</f>
        <v/>
      </c>
      <c r="BR100" t="str">
        <f t="shared" si="139"/>
        <v/>
      </c>
      <c r="BS100" t="str">
        <f t="shared" si="140"/>
        <v/>
      </c>
      <c r="BT100" t="str">
        <f t="shared" si="141"/>
        <v>5500000250000016064001572600</v>
      </c>
      <c r="BU100" t="str">
        <f t="shared" si="142"/>
        <v/>
      </c>
      <c r="BV100" t="str">
        <f t="shared" si="143"/>
        <v>7777</v>
      </c>
      <c r="BW100" t="str">
        <f t="shared" si="144"/>
        <v/>
      </c>
      <c r="BX100" t="str">
        <f t="shared" si="145"/>
        <v>1111</v>
      </c>
      <c r="CB100" s="683" t="str">
        <f t="shared" si="115"/>
        <v/>
      </c>
      <c r="CC100" s="683" t="str">
        <f t="shared" si="116"/>
        <v/>
      </c>
      <c r="CD100" s="683" t="str">
        <f>IF(CC100="","",VALUE(MID($BZ$5,1+SUM($CC$3:CC99),CC100)))</f>
        <v/>
      </c>
      <c r="CE100"/>
      <c r="CF100" t="str">
        <f>IF(CD100="","",MID($BZ$4,1+SUM($CD$3:CD99),CD100))</f>
        <v/>
      </c>
    </row>
    <row r="101" spans="3:84" ht="14.25" customHeight="1">
      <c r="C101" s="485">
        <f t="shared" si="121"/>
        <v>102</v>
      </c>
      <c r="D101" s="472" t="s">
        <v>370</v>
      </c>
      <c r="E101" s="462"/>
      <c r="F101" s="662" t="e">
        <f ca="1">SUM(F100,F98,F90)</f>
        <v>#N/A</v>
      </c>
      <c r="G101" s="662" t="e">
        <f ca="1">SUM(G100,G98,G90)</f>
        <v>#N/A</v>
      </c>
      <c r="H101" s="662" t="e">
        <f ca="1">SUM(H100,H98,H90)</f>
        <v>#N/A</v>
      </c>
      <c r="I101" s="662" t="e">
        <f ca="1">SUM(I100,I98,I90)</f>
        <v>#N/A</v>
      </c>
      <c r="J101" s="662" t="e">
        <f ca="1">SUM(J100,J98,J90)</f>
        <v>#N/A</v>
      </c>
      <c r="K101" s="466"/>
      <c r="L101" s="662" t="e">
        <f ca="1">SUM(L100,L98,L90)</f>
        <v>#NAME?</v>
      </c>
      <c r="M101" s="662" t="e">
        <f ca="1">SUM(M100,M98,M90)</f>
        <v>#NAME?</v>
      </c>
      <c r="N101" s="662" t="e">
        <f ca="1">SUM(N100,N98,N90)</f>
        <v>#NAME?</v>
      </c>
      <c r="O101" s="662" t="e">
        <f ca="1">SUM(O100,O98,O90)</f>
        <v>#NAME?</v>
      </c>
      <c r="P101" s="660"/>
      <c r="Q101" s="662" t="e">
        <f ca="1">SUM(Q100,Q98,Q90)</f>
        <v>#NAME?</v>
      </c>
      <c r="R101" s="662" t="e">
        <f t="shared" ca="1" si="134"/>
        <v>#NAME?</v>
      </c>
      <c r="U101" s="663" t="e">
        <f ca="1">SUM(U100,U98,U90)</f>
        <v>#NUM!</v>
      </c>
      <c r="V101" s="659" t="e">
        <f ca="1">SUM(V100,V98,V90)</f>
        <v>#NUM!</v>
      </c>
      <c r="AJ101" s="472" t="s">
        <v>370</v>
      </c>
      <c r="AK101" s="662" t="e">
        <f t="shared" ca="1" si="135"/>
        <v>#N/A</v>
      </c>
      <c r="AL101" s="662" t="e">
        <f t="shared" ca="1" si="135"/>
        <v>#N/A</v>
      </c>
      <c r="AM101" s="662" t="e">
        <f t="shared" ca="1" si="135"/>
        <v>#N/A</v>
      </c>
      <c r="AN101" s="662" t="e">
        <f t="shared" ca="1" si="135"/>
        <v>#N/A</v>
      </c>
      <c r="AO101" s="662" t="e">
        <f ca="1">Q101</f>
        <v>#NAME?</v>
      </c>
      <c r="AP101" s="840" t="e">
        <f ca="1">R101</f>
        <v>#NAME?</v>
      </c>
      <c r="BE101" s="485">
        <f t="shared" ca="1" si="122"/>
        <v>1</v>
      </c>
      <c r="BF101" s="654" t="str">
        <f t="shared" si="123"/>
        <v/>
      </c>
      <c r="BG101" s="675" t="str">
        <f t="shared" ref="BG101:BM103" ca="1" si="146">IF(DJ30+DS30=0,"",DJ30+DS30)</f>
        <v/>
      </c>
      <c r="BH101" s="675" t="str">
        <f t="shared" ca="1" si="146"/>
        <v/>
      </c>
      <c r="BI101" s="675" t="str">
        <f t="shared" ca="1" si="146"/>
        <v/>
      </c>
      <c r="BJ101" s="675" t="str">
        <f t="shared" ca="1" si="146"/>
        <v/>
      </c>
      <c r="BK101" s="675" t="str">
        <f t="shared" ca="1" si="146"/>
        <v/>
      </c>
      <c r="BL101" s="675" t="str">
        <f t="shared" ca="1" si="146"/>
        <v/>
      </c>
      <c r="BM101" s="675" t="str">
        <f t="shared" ca="1" si="146"/>
        <v/>
      </c>
      <c r="BN101" s="676" t="str">
        <f t="shared" ca="1" si="131"/>
        <v/>
      </c>
      <c r="BP101" s="485" t="e">
        <f ca="1">IF(OR(DB_LOAD!AW100="USD",DB_LOAD!AW100='Refi-Annual Review'!$A$3,ISBLANK(DB_LOAD!AW100)),0,1)</f>
        <v>#NAME?</v>
      </c>
      <c r="BQ101" t="str">
        <f>(IF(ISBLANK(DB_LOAD!AR100),"",DB_LOAD!AR100))</f>
        <v/>
      </c>
      <c r="BR101" t="str">
        <f t="shared" si="139"/>
        <v/>
      </c>
      <c r="BS101" t="str">
        <f t="shared" si="140"/>
        <v/>
      </c>
      <c r="BT101" t="str">
        <f t="shared" si="141"/>
        <v>5500000250000016064001572600</v>
      </c>
      <c r="BU101" t="str">
        <f t="shared" si="142"/>
        <v/>
      </c>
      <c r="BV101" t="str">
        <f t="shared" si="143"/>
        <v>7777</v>
      </c>
      <c r="BW101" t="str">
        <f t="shared" si="144"/>
        <v/>
      </c>
      <c r="BX101" t="str">
        <f t="shared" si="145"/>
        <v>1111</v>
      </c>
      <c r="CB101" s="683" t="str">
        <f t="shared" si="115"/>
        <v/>
      </c>
      <c r="CC101" s="683" t="str">
        <f t="shared" si="116"/>
        <v/>
      </c>
      <c r="CD101" s="683" t="str">
        <f>IF(CC101="","",VALUE(MID($BZ$5,1+SUM($CC$3:CC100),CC101)))</f>
        <v/>
      </c>
      <c r="CE101"/>
      <c r="CF101" t="str">
        <f>IF(CD101="","",MID($BZ$4,1+SUM($CD$3:CD100),CD101))</f>
        <v/>
      </c>
    </row>
    <row r="102" spans="3:84" ht="14.25" customHeight="1">
      <c r="C102" s="485">
        <f t="shared" si="121"/>
        <v>103</v>
      </c>
      <c r="D102" s="466"/>
      <c r="E102" s="466"/>
      <c r="F102" s="466"/>
      <c r="G102" s="466"/>
      <c r="H102" s="466"/>
      <c r="I102" s="466"/>
      <c r="J102" s="466"/>
      <c r="K102" s="466"/>
      <c r="L102" s="466"/>
      <c r="M102" s="466"/>
      <c r="N102" s="466"/>
      <c r="O102" s="466"/>
      <c r="P102" s="466"/>
      <c r="Q102" s="466"/>
      <c r="R102" s="466">
        <f t="shared" si="134"/>
        <v>0</v>
      </c>
      <c r="U102" s="551"/>
      <c r="V102" s="451"/>
      <c r="AJ102" s="466"/>
      <c r="AK102" s="466"/>
      <c r="AL102" s="466"/>
      <c r="AM102" s="466"/>
      <c r="AN102" s="466"/>
      <c r="AO102" s="466"/>
      <c r="BE102" s="485">
        <f t="shared" ca="1" si="122"/>
        <v>1</v>
      </c>
      <c r="BF102" s="654" t="str">
        <f t="shared" si="123"/>
        <v/>
      </c>
      <c r="BG102" s="675" t="str">
        <f t="shared" ca="1" si="146"/>
        <v/>
      </c>
      <c r="BH102" s="675" t="str">
        <f t="shared" ca="1" si="146"/>
        <v/>
      </c>
      <c r="BI102" s="675" t="str">
        <f t="shared" ca="1" si="146"/>
        <v/>
      </c>
      <c r="BJ102" s="675" t="str">
        <f t="shared" ca="1" si="146"/>
        <v/>
      </c>
      <c r="BK102" s="675" t="str">
        <f t="shared" ca="1" si="146"/>
        <v/>
      </c>
      <c r="BL102" s="675" t="str">
        <f t="shared" ca="1" si="146"/>
        <v/>
      </c>
      <c r="BM102" s="675" t="str">
        <f t="shared" ca="1" si="146"/>
        <v/>
      </c>
      <c r="BN102" s="676" t="str">
        <f t="shared" ca="1" si="131"/>
        <v/>
      </c>
      <c r="BP102" s="485" t="e">
        <f ca="1">IF(OR(DB_LOAD!AW101="USD",DB_LOAD!AW101='Refi-Annual Review'!$A$3,ISBLANK(DB_LOAD!AW101)),0,1)</f>
        <v>#NAME?</v>
      </c>
      <c r="BQ102" t="str">
        <f>(IF(ISBLANK(DB_LOAD!AR101),"",DB_LOAD!AR101))</f>
        <v/>
      </c>
      <c r="BR102" t="str">
        <f t="shared" si="139"/>
        <v/>
      </c>
      <c r="BS102" t="str">
        <f t="shared" si="140"/>
        <v/>
      </c>
      <c r="BT102" t="str">
        <f t="shared" si="141"/>
        <v>5500000250000016064001572600</v>
      </c>
      <c r="BU102" t="str">
        <f t="shared" si="142"/>
        <v/>
      </c>
      <c r="BV102" t="str">
        <f t="shared" si="143"/>
        <v>7777</v>
      </c>
      <c r="BW102" t="str">
        <f t="shared" si="144"/>
        <v/>
      </c>
      <c r="BX102" t="str">
        <f t="shared" si="145"/>
        <v>1111</v>
      </c>
      <c r="CB102" s="683" t="str">
        <f t="shared" si="115"/>
        <v/>
      </c>
      <c r="CC102" s="683" t="str">
        <f t="shared" si="116"/>
        <v/>
      </c>
      <c r="CD102" s="683" t="str">
        <f>IF(CC102="","",VALUE(MID($BZ$5,1+SUM($CC$3:CC101),CC102)))</f>
        <v/>
      </c>
      <c r="CE102"/>
      <c r="CF102" t="str">
        <f>IF(CD102="","",MID($BZ$4,1+SUM($CD$3:CD101),CD102))</f>
        <v/>
      </c>
    </row>
    <row r="103" spans="3:84" ht="8.25" customHeight="1">
      <c r="C103" s="485">
        <f t="shared" si="121"/>
        <v>104</v>
      </c>
      <c r="D103" s="462" t="s">
        <v>100</v>
      </c>
      <c r="E103" s="462"/>
      <c r="F103" s="464"/>
      <c r="G103" s="464"/>
      <c r="H103" s="464"/>
      <c r="I103" s="464"/>
      <c r="J103" s="464"/>
      <c r="K103" s="464"/>
      <c r="L103" s="464"/>
      <c r="M103" s="464"/>
      <c r="N103" s="464"/>
      <c r="O103" s="464"/>
      <c r="P103" s="464"/>
      <c r="Q103" s="464"/>
      <c r="R103" s="464">
        <f t="shared" si="134"/>
        <v>0</v>
      </c>
      <c r="U103" s="550"/>
      <c r="V103" s="450"/>
      <c r="AJ103" s="462" t="s">
        <v>100</v>
      </c>
      <c r="AK103" s="464"/>
      <c r="AL103" s="464"/>
      <c r="AM103" s="464"/>
      <c r="AN103" s="464"/>
      <c r="AO103" s="464"/>
      <c r="BE103" s="485">
        <f t="shared" ca="1" si="122"/>
        <v>1</v>
      </c>
      <c r="BF103" s="654" t="str">
        <f t="shared" si="123"/>
        <v/>
      </c>
      <c r="BG103" s="675" t="str">
        <f t="shared" ca="1" si="146"/>
        <v/>
      </c>
      <c r="BH103" s="675" t="str">
        <f t="shared" ca="1" si="146"/>
        <v/>
      </c>
      <c r="BI103" s="675" t="str">
        <f t="shared" ca="1" si="146"/>
        <v/>
      </c>
      <c r="BJ103" s="675" t="str">
        <f t="shared" ca="1" si="146"/>
        <v/>
      </c>
      <c r="BK103" s="675" t="str">
        <f t="shared" ca="1" si="146"/>
        <v/>
      </c>
      <c r="BL103" s="675" t="str">
        <f t="shared" ca="1" si="146"/>
        <v/>
      </c>
      <c r="BM103" s="675" t="str">
        <f t="shared" ca="1" si="146"/>
        <v/>
      </c>
      <c r="BN103" s="676" t="str">
        <f t="shared" ca="1" si="131"/>
        <v/>
      </c>
      <c r="BP103" s="485" t="e">
        <f ca="1">IF(OR(DB_LOAD!AW102="USD",DB_LOAD!AW102='Refi-Annual Review'!$A$3,ISBLANK(DB_LOAD!AW102)),0,1)</f>
        <v>#NAME?</v>
      </c>
      <c r="BQ103" t="str">
        <f>(IF(ISBLANK(DB_LOAD!AR102),"",DB_LOAD!AR102))</f>
        <v/>
      </c>
      <c r="BR103" t="str">
        <f t="shared" si="139"/>
        <v/>
      </c>
      <c r="BS103" t="str">
        <f t="shared" si="140"/>
        <v/>
      </c>
      <c r="BT103" t="str">
        <f t="shared" si="141"/>
        <v>5500000250000016064001572600</v>
      </c>
      <c r="BU103" t="str">
        <f t="shared" si="142"/>
        <v/>
      </c>
      <c r="BV103" t="str">
        <f t="shared" si="143"/>
        <v>7777</v>
      </c>
      <c r="BW103" t="str">
        <f t="shared" si="144"/>
        <v/>
      </c>
      <c r="BX103" t="str">
        <f t="shared" si="145"/>
        <v>1111</v>
      </c>
      <c r="CB103" s="683" t="str">
        <f t="shared" si="115"/>
        <v/>
      </c>
      <c r="CC103" s="683" t="str">
        <f t="shared" si="116"/>
        <v/>
      </c>
      <c r="CD103" s="683" t="str">
        <f>IF(CC103="","",VALUE(MID($BZ$5,1+SUM($CC$3:CC102),CC103)))</f>
        <v/>
      </c>
      <c r="CE103"/>
      <c r="CF103" t="str">
        <f>IF(CD103="","",MID($BZ$4,1+SUM($CD$3:CD102),CD103))</f>
        <v/>
      </c>
    </row>
    <row r="104" spans="3:84" ht="14.25" customHeight="1">
      <c r="C104" s="485">
        <f t="shared" si="121"/>
        <v>105</v>
      </c>
      <c r="D104" s="463" t="s">
        <v>103</v>
      </c>
      <c r="E104" s="463"/>
      <c r="F104" s="464" t="e">
        <f ca="1">DATA_FORMATTING!AQ134/F$86</f>
        <v>#N/A</v>
      </c>
      <c r="G104" s="464" t="e">
        <f ca="1">DATA_FORMATTING!AR134/G$86</f>
        <v>#N/A</v>
      </c>
      <c r="H104" s="464" t="e">
        <f ca="1">DATA_FORMATTING!AS134/H$86</f>
        <v>#N/A</v>
      </c>
      <c r="I104" s="464" t="e">
        <f ca="1">DATA_FORMATTING!AT134/I$86</f>
        <v>#N/A</v>
      </c>
      <c r="J104" s="464" t="e">
        <f ca="1">DATA_FORMATTING!AU134/J$86</f>
        <v>#N/A</v>
      </c>
      <c r="K104" s="464"/>
      <c r="L104" s="464" t="e">
        <f ca="1">DATA_FORMATTING!E192/L$86</f>
        <v>#NAME?</v>
      </c>
      <c r="M104" s="464" t="e">
        <f ca="1">DATA_FORMATTING!F192/M$86</f>
        <v>#NAME?</v>
      </c>
      <c r="N104" s="464" t="e">
        <f ca="1">DATA_FORMATTING!G192/N$86</f>
        <v>#NAME?</v>
      </c>
      <c r="O104" s="464" t="e">
        <f ca="1">DATA_FORMATTING!I192/O$86</f>
        <v>#NAME?</v>
      </c>
      <c r="P104" s="464"/>
      <c r="Q104" s="464" t="e">
        <f ca="1">DATA_FORMATTING!AN134/Q$86</f>
        <v>#NAME?</v>
      </c>
      <c r="R104" s="464" t="e">
        <f t="shared" ca="1" si="134"/>
        <v>#NAME?</v>
      </c>
      <c r="U104" s="550" t="e">
        <f ca="1">DATA_FORMATTING!AN163/U$86</f>
        <v>#NUM!</v>
      </c>
      <c r="V104" s="450" t="e">
        <f t="shared" ref="V104:V111" ca="1" si="147">AVERAGE(U104,Q104)</f>
        <v>#NUM!</v>
      </c>
      <c r="AJ104" s="463" t="s">
        <v>103</v>
      </c>
      <c r="AK104" s="464" t="e">
        <f t="shared" ref="AK104:AN113" ca="1" si="148">HLOOKUP(AK$4,$G$1:$O$213,$C104-1,FALSE)</f>
        <v>#N/A</v>
      </c>
      <c r="AL104" s="464" t="e">
        <f t="shared" ca="1" si="148"/>
        <v>#N/A</v>
      </c>
      <c r="AM104" s="464" t="e">
        <f t="shared" ca="1" si="148"/>
        <v>#N/A</v>
      </c>
      <c r="AN104" s="464" t="e">
        <f t="shared" ca="1" si="148"/>
        <v>#N/A</v>
      </c>
      <c r="AO104" s="464" t="e">
        <f t="shared" ref="AO104:AP115" ca="1" si="149">Q104</f>
        <v>#NAME?</v>
      </c>
      <c r="AP104" s="840" t="e">
        <f t="shared" ca="1" si="149"/>
        <v>#NAME?</v>
      </c>
      <c r="BF104" s="655" t="s">
        <v>464</v>
      </c>
      <c r="BG104" s="677" t="str">
        <f ca="1">IF(SUM(BG74:BG103)=0,"-",SUM(BG74:BG103))</f>
        <v>-</v>
      </c>
      <c r="BH104" s="677" t="str">
        <f t="shared" ref="BH104:BN104" ca="1" si="150">IF(SUM(BH74:BH103)=0,"-",SUM(BH74:BH103))</f>
        <v>-</v>
      </c>
      <c r="BI104" s="677" t="str">
        <f t="shared" ca="1" si="150"/>
        <v>-</v>
      </c>
      <c r="BJ104" s="677" t="str">
        <f t="shared" ca="1" si="150"/>
        <v>-</v>
      </c>
      <c r="BK104" s="677" t="str">
        <f t="shared" ca="1" si="150"/>
        <v>-</v>
      </c>
      <c r="BL104" s="677" t="str">
        <f t="shared" ca="1" si="150"/>
        <v>-</v>
      </c>
      <c r="BM104" s="677" t="str">
        <f t="shared" ca="1" si="150"/>
        <v>-</v>
      </c>
      <c r="BN104" s="678" t="str">
        <f t="shared" ca="1" si="150"/>
        <v>-</v>
      </c>
      <c r="BP104" s="485" t="e">
        <f ca="1">IF(OR(DB_LOAD!AW103="USD",DB_LOAD!AW103='Refi-Annual Review'!$A$3,ISBLANK(DB_LOAD!AW103)),0,1)</f>
        <v>#NAME?</v>
      </c>
      <c r="BQ104" t="str">
        <f>(IF(ISBLANK(DB_LOAD!AR103),"",DB_LOAD!AR103))</f>
        <v/>
      </c>
      <c r="BR104" t="str">
        <f t="shared" si="139"/>
        <v/>
      </c>
      <c r="BS104" t="str">
        <f t="shared" si="140"/>
        <v/>
      </c>
      <c r="BT104" t="str">
        <f t="shared" si="141"/>
        <v>5500000250000016064001572600</v>
      </c>
      <c r="BU104" t="str">
        <f t="shared" si="142"/>
        <v/>
      </c>
      <c r="BV104" t="str">
        <f t="shared" si="143"/>
        <v>7777</v>
      </c>
      <c r="BW104" t="str">
        <f t="shared" si="144"/>
        <v/>
      </c>
      <c r="BX104" t="str">
        <f t="shared" si="145"/>
        <v>1111</v>
      </c>
      <c r="CB104" s="683" t="str">
        <f t="shared" si="115"/>
        <v/>
      </c>
      <c r="CC104" s="683" t="str">
        <f t="shared" si="116"/>
        <v/>
      </c>
      <c r="CD104" s="683" t="str">
        <f>IF(CC104="","",VALUE(MID($BZ$5,1+SUM($CC$3:CC103),CC104)))</f>
        <v/>
      </c>
      <c r="CE104"/>
      <c r="CF104" t="str">
        <f>IF(CD104="","",MID($BZ$4,1+SUM($CD$3:CD103),CD104))</f>
        <v/>
      </c>
    </row>
    <row r="105" spans="3:84" ht="14.25" customHeight="1">
      <c r="C105" s="485">
        <f t="shared" si="121"/>
        <v>106</v>
      </c>
      <c r="D105" s="463" t="s">
        <v>90</v>
      </c>
      <c r="E105" s="463"/>
      <c r="F105" s="464" t="e">
        <f ca="1">DATA_FORMATTING!AQ135/F$86</f>
        <v>#N/A</v>
      </c>
      <c r="G105" s="464" t="e">
        <f ca="1">DATA_FORMATTING!AR135/G$86</f>
        <v>#N/A</v>
      </c>
      <c r="H105" s="464" t="e">
        <f ca="1">DATA_FORMATTING!AS135/H$86</f>
        <v>#N/A</v>
      </c>
      <c r="I105" s="464" t="e">
        <f ca="1">DATA_FORMATTING!AT135/I$86</f>
        <v>#N/A</v>
      </c>
      <c r="J105" s="464" t="e">
        <f ca="1">DATA_FORMATTING!AU135/J$86</f>
        <v>#N/A</v>
      </c>
      <c r="K105" s="464"/>
      <c r="L105" s="464" t="e">
        <f ca="1">DATA_FORMATTING!E193/L$86</f>
        <v>#NAME?</v>
      </c>
      <c r="M105" s="464" t="e">
        <f ca="1">DATA_FORMATTING!F193/M$86</f>
        <v>#NAME?</v>
      </c>
      <c r="N105" s="464" t="e">
        <f ca="1">DATA_FORMATTING!G193/N$86</f>
        <v>#NAME?</v>
      </c>
      <c r="O105" s="464" t="e">
        <f ca="1">DATA_FORMATTING!I193/O$86</f>
        <v>#NAME?</v>
      </c>
      <c r="P105" s="464"/>
      <c r="Q105" s="464" t="e">
        <f ca="1">DATA_FORMATTING!AN135/Q$86</f>
        <v>#NAME?</v>
      </c>
      <c r="R105" s="464" t="e">
        <f t="shared" ca="1" si="134"/>
        <v>#NAME?</v>
      </c>
      <c r="U105" s="550" t="e">
        <f ca="1">DATA_FORMATTING!AN164/U$86</f>
        <v>#NUM!</v>
      </c>
      <c r="V105" s="450" t="e">
        <f t="shared" ca="1" si="147"/>
        <v>#NUM!</v>
      </c>
      <c r="AJ105" s="463" t="s">
        <v>90</v>
      </c>
      <c r="AK105" s="464" t="e">
        <f t="shared" ca="1" si="148"/>
        <v>#N/A</v>
      </c>
      <c r="AL105" s="464" t="e">
        <f t="shared" ca="1" si="148"/>
        <v>#N/A</v>
      </c>
      <c r="AM105" s="464" t="e">
        <f t="shared" ca="1" si="148"/>
        <v>#N/A</v>
      </c>
      <c r="AN105" s="464" t="e">
        <f t="shared" ca="1" si="148"/>
        <v>#N/A</v>
      </c>
      <c r="AO105" s="464" t="e">
        <f t="shared" ca="1" si="149"/>
        <v>#NAME?</v>
      </c>
      <c r="AP105" s="840" t="e">
        <f t="shared" ca="1" si="149"/>
        <v>#NAME?</v>
      </c>
      <c r="BF105" s="656" t="e">
        <f ca="1">"Total "&amp;A6&amp;" Exposure"</f>
        <v>#NAME?</v>
      </c>
      <c r="BG105" s="679" t="e">
        <f ca="1">IF(IF(BG72="-",0,BG72+IF(BG104="-",0,BG104))=0,"-",IF(BG72="-",0,BG72+IF(BG104="-",0,BG104)))</f>
        <v>#NAME?</v>
      </c>
      <c r="BH105" s="679" t="e">
        <f t="shared" ref="BH105:BN105" ca="1" si="151">IF(IF(BH72="-",0,BH72+IF(BH104="-",0,BH104))=0,"-",IF(BH72="-",0,BH72+IF(BH104="-",0,BH104)))</f>
        <v>#NAME?</v>
      </c>
      <c r="BI105" s="679" t="e">
        <f t="shared" ca="1" si="151"/>
        <v>#NAME?</v>
      </c>
      <c r="BJ105" s="679" t="e">
        <f t="shared" ca="1" si="151"/>
        <v>#NAME?</v>
      </c>
      <c r="BK105" s="679" t="e">
        <f t="shared" ca="1" si="151"/>
        <v>#NAME?</v>
      </c>
      <c r="BL105" s="679" t="e">
        <f t="shared" ca="1" si="151"/>
        <v>#NAME?</v>
      </c>
      <c r="BM105" s="679" t="e">
        <f t="shared" ca="1" si="151"/>
        <v>#NAME?</v>
      </c>
      <c r="BN105" s="680" t="e">
        <f t="shared" ca="1" si="151"/>
        <v>#NAME?</v>
      </c>
      <c r="BO105" s="485" t="s">
        <v>537</v>
      </c>
      <c r="BP105" s="485" t="e">
        <f ca="1">IF(OR(DB_LOAD!AW104="USD",DB_LOAD!AW104='Refi-Annual Review'!$A$3,ISBLANK(DB_LOAD!AW104)),0,1)</f>
        <v>#NAME?</v>
      </c>
      <c r="BQ105" t="str">
        <f>(IF(ISBLANK(DB_LOAD!AR104),"",DB_LOAD!AR104))</f>
        <v/>
      </c>
      <c r="BR105" t="str">
        <f t="shared" si="139"/>
        <v/>
      </c>
      <c r="BS105" t="str">
        <f t="shared" si="140"/>
        <v/>
      </c>
      <c r="BT105" t="str">
        <f t="shared" si="141"/>
        <v>5500000250000016064001572600</v>
      </c>
      <c r="BU105" t="str">
        <f t="shared" si="142"/>
        <v/>
      </c>
      <c r="BV105" t="str">
        <f t="shared" si="143"/>
        <v>7777</v>
      </c>
      <c r="BW105" t="str">
        <f t="shared" si="144"/>
        <v/>
      </c>
      <c r="BX105" t="str">
        <f t="shared" si="145"/>
        <v>1111</v>
      </c>
      <c r="CB105" s="683" t="str">
        <f t="shared" si="115"/>
        <v/>
      </c>
      <c r="CC105" s="683" t="str">
        <f t="shared" si="116"/>
        <v/>
      </c>
      <c r="CD105" s="683" t="str">
        <f>IF(CC105="","",VALUE(MID($BZ$5,1+SUM($CC$3:CC104),CC105)))</f>
        <v/>
      </c>
      <c r="CE105"/>
      <c r="CF105" t="str">
        <f>IF(CD105="","",MID($BZ$4,1+SUM($CD$3:CD104),CD105))</f>
        <v/>
      </c>
    </row>
    <row r="106" spans="3:84" ht="14.25" customHeight="1">
      <c r="C106" s="485">
        <f t="shared" si="121"/>
        <v>107</v>
      </c>
      <c r="D106" s="465" t="s">
        <v>399</v>
      </c>
      <c r="E106" s="465"/>
      <c r="F106" s="464" t="e">
        <f ca="1">DATA_FORMATTING!AQ136/F$86</f>
        <v>#N/A</v>
      </c>
      <c r="G106" s="464" t="e">
        <f ca="1">DATA_FORMATTING!AR136/G$86</f>
        <v>#N/A</v>
      </c>
      <c r="H106" s="464" t="e">
        <f ca="1">DATA_FORMATTING!AS136/H$86</f>
        <v>#N/A</v>
      </c>
      <c r="I106" s="464" t="e">
        <f ca="1">DATA_FORMATTING!AT136/I$86</f>
        <v>#N/A</v>
      </c>
      <c r="J106" s="464" t="e">
        <f ca="1">DATA_FORMATTING!AU136/J$86</f>
        <v>#N/A</v>
      </c>
      <c r="K106" s="464"/>
      <c r="L106" s="464" t="e">
        <f ca="1">DATA_FORMATTING!E194/L$86</f>
        <v>#NAME?</v>
      </c>
      <c r="M106" s="464" t="e">
        <f ca="1">DATA_FORMATTING!F194/M$86</f>
        <v>#NAME?</v>
      </c>
      <c r="N106" s="464" t="e">
        <f ca="1">DATA_FORMATTING!G194/N$86</f>
        <v>#NAME?</v>
      </c>
      <c r="O106" s="464" t="e">
        <f ca="1">DATA_FORMATTING!I194/O$86</f>
        <v>#NAME?</v>
      </c>
      <c r="P106" s="464"/>
      <c r="Q106" s="464" t="e">
        <f ca="1">DATA_FORMATTING!AN136/Q$86</f>
        <v>#NAME?</v>
      </c>
      <c r="R106" s="464" t="e">
        <f t="shared" ca="1" si="134"/>
        <v>#NAME?</v>
      </c>
      <c r="U106" s="550" t="e">
        <f ca="1">DATA_FORMATTING!AN165/U$86</f>
        <v>#NUM!</v>
      </c>
      <c r="V106" s="450" t="e">
        <f t="shared" ca="1" si="147"/>
        <v>#NUM!</v>
      </c>
      <c r="AJ106" s="465" t="s">
        <v>399</v>
      </c>
      <c r="AK106" s="464" t="e">
        <f t="shared" ca="1" si="148"/>
        <v>#N/A</v>
      </c>
      <c r="AL106" s="464" t="e">
        <f t="shared" ca="1" si="148"/>
        <v>#N/A</v>
      </c>
      <c r="AM106" s="464" t="e">
        <f t="shared" ca="1" si="148"/>
        <v>#N/A</v>
      </c>
      <c r="AN106" s="464" t="e">
        <f t="shared" ca="1" si="148"/>
        <v>#N/A</v>
      </c>
      <c r="AO106" s="464" t="e">
        <f t="shared" ca="1" si="149"/>
        <v>#NAME?</v>
      </c>
      <c r="AP106" s="840" t="e">
        <f t="shared" ca="1" si="149"/>
        <v>#NAME?</v>
      </c>
      <c r="BP106" s="485" t="e">
        <f ca="1">IF(OR(DB_LOAD!AW105="USD",DB_LOAD!AW105='Refi-Annual Review'!$A$3,ISBLANK(DB_LOAD!AW105)),0,1)</f>
        <v>#NAME?</v>
      </c>
      <c r="BQ106" t="str">
        <f>(IF(ISBLANK(DB_LOAD!AR105),"",DB_LOAD!AR105))</f>
        <v/>
      </c>
      <c r="BR106" t="str">
        <f t="shared" si="139"/>
        <v/>
      </c>
      <c r="BS106" t="str">
        <f t="shared" si="140"/>
        <v/>
      </c>
      <c r="BT106" t="str">
        <f t="shared" si="141"/>
        <v>5500000250000016064001572600</v>
      </c>
      <c r="BU106" t="str">
        <f t="shared" si="142"/>
        <v/>
      </c>
      <c r="BV106" t="str">
        <f t="shared" si="143"/>
        <v>7777</v>
      </c>
      <c r="BW106" t="str">
        <f t="shared" si="144"/>
        <v/>
      </c>
      <c r="BX106" t="str">
        <f t="shared" si="145"/>
        <v>1111</v>
      </c>
      <c r="CB106" s="683" t="str">
        <f t="shared" si="115"/>
        <v/>
      </c>
      <c r="CC106" s="683" t="str">
        <f t="shared" si="116"/>
        <v/>
      </c>
      <c r="CD106" s="683" t="str">
        <f>IF(CC106="","",VALUE(MID($BZ$5,1+SUM($CC$3:CC105),CC106)))</f>
        <v/>
      </c>
      <c r="CE106"/>
      <c r="CF106" t="str">
        <f>IF(CD106="","",MID($BZ$4,1+SUM($CD$3:CD105),CD106))</f>
        <v/>
      </c>
    </row>
    <row r="107" spans="3:84" ht="14.25" customHeight="1">
      <c r="C107" s="485">
        <f t="shared" si="121"/>
        <v>108</v>
      </c>
      <c r="D107" s="465" t="s">
        <v>400</v>
      </c>
      <c r="E107" s="465"/>
      <c r="F107" s="464" t="e">
        <f ca="1">DATA_FORMATTING!AQ137/F$86</f>
        <v>#N/A</v>
      </c>
      <c r="G107" s="464" t="e">
        <f ca="1">DATA_FORMATTING!AR137/G$86</f>
        <v>#N/A</v>
      </c>
      <c r="H107" s="464" t="e">
        <f ca="1">DATA_FORMATTING!AS137/H$86</f>
        <v>#N/A</v>
      </c>
      <c r="I107" s="464" t="e">
        <f ca="1">DATA_FORMATTING!AT137/I$86</f>
        <v>#N/A</v>
      </c>
      <c r="J107" s="464" t="e">
        <f ca="1">DATA_FORMATTING!AU137/J$86</f>
        <v>#N/A</v>
      </c>
      <c r="K107" s="464"/>
      <c r="L107" s="464" t="e">
        <f ca="1">DATA_FORMATTING!E195/L$86</f>
        <v>#NAME?</v>
      </c>
      <c r="M107" s="464" t="e">
        <f ca="1">DATA_FORMATTING!F195/M$86</f>
        <v>#NAME?</v>
      </c>
      <c r="N107" s="464" t="e">
        <f ca="1">DATA_FORMATTING!G195/N$86</f>
        <v>#NAME?</v>
      </c>
      <c r="O107" s="464" t="e">
        <f ca="1">DATA_FORMATTING!I195/O$86</f>
        <v>#NAME?</v>
      </c>
      <c r="P107" s="464"/>
      <c r="Q107" s="464" t="e">
        <f ca="1">DATA_FORMATTING!AN137/Q$86</f>
        <v>#NAME?</v>
      </c>
      <c r="R107" s="464" t="e">
        <f t="shared" ca="1" si="134"/>
        <v>#NAME?</v>
      </c>
      <c r="U107" s="550" t="e">
        <f ca="1">DATA_FORMATTING!AN166/U$86</f>
        <v>#NUM!</v>
      </c>
      <c r="V107" s="450" t="e">
        <f t="shared" ca="1" si="147"/>
        <v>#NUM!</v>
      </c>
      <c r="AJ107" s="465" t="s">
        <v>400</v>
      </c>
      <c r="AK107" s="464" t="e">
        <f t="shared" ca="1" si="148"/>
        <v>#N/A</v>
      </c>
      <c r="AL107" s="464" t="e">
        <f t="shared" ca="1" si="148"/>
        <v>#N/A</v>
      </c>
      <c r="AM107" s="464" t="e">
        <f t="shared" ca="1" si="148"/>
        <v>#N/A</v>
      </c>
      <c r="AN107" s="464" t="e">
        <f t="shared" ca="1" si="148"/>
        <v>#N/A</v>
      </c>
      <c r="AO107" s="464" t="e">
        <f t="shared" ca="1" si="149"/>
        <v>#NAME?</v>
      </c>
      <c r="AP107" s="840" t="e">
        <f t="shared" ca="1" si="149"/>
        <v>#NAME?</v>
      </c>
      <c r="BP107" s="485" t="e">
        <f ca="1">IF(OR(DB_LOAD!AW106="USD",DB_LOAD!AW106='Refi-Annual Review'!$A$3,ISBLANK(DB_LOAD!AW106)),0,1)</f>
        <v>#NAME?</v>
      </c>
      <c r="BQ107" t="str">
        <f>(IF(ISBLANK(DB_LOAD!AR106),"",DB_LOAD!AR106))</f>
        <v/>
      </c>
      <c r="BR107" t="str">
        <f t="shared" si="139"/>
        <v/>
      </c>
      <c r="BS107" t="str">
        <f t="shared" si="140"/>
        <v/>
      </c>
      <c r="BT107" t="str">
        <f t="shared" si="141"/>
        <v>5500000250000016064001572600</v>
      </c>
      <c r="BU107" t="str">
        <f t="shared" si="142"/>
        <v/>
      </c>
      <c r="BV107" t="str">
        <f t="shared" si="143"/>
        <v>7777</v>
      </c>
      <c r="BW107" t="str">
        <f t="shared" si="144"/>
        <v/>
      </c>
      <c r="BX107" t="str">
        <f t="shared" si="145"/>
        <v>1111</v>
      </c>
      <c r="CB107" s="683" t="str">
        <f t="shared" si="115"/>
        <v/>
      </c>
      <c r="CC107" s="683" t="str">
        <f t="shared" si="116"/>
        <v/>
      </c>
      <c r="CD107" s="683" t="str">
        <f>IF(CC107="","",VALUE(MID($BZ$5,1+SUM($CC$3:CC106),CC107)))</f>
        <v/>
      </c>
      <c r="CE107"/>
      <c r="CF107" t="str">
        <f>IF(CD107="","",MID($BZ$4,1+SUM($CD$3:CD106),CD107))</f>
        <v/>
      </c>
    </row>
    <row r="108" spans="3:84" ht="14.25" customHeight="1">
      <c r="C108" s="485">
        <f t="shared" si="121"/>
        <v>109</v>
      </c>
      <c r="D108" s="473" t="s">
        <v>401</v>
      </c>
      <c r="E108" s="473"/>
      <c r="F108" s="464" t="e">
        <f ca="1">DATA_FORMATTING!AQ138/F$86</f>
        <v>#N/A</v>
      </c>
      <c r="G108" s="464" t="e">
        <f ca="1">DATA_FORMATTING!AR138/G$86</f>
        <v>#N/A</v>
      </c>
      <c r="H108" s="464" t="e">
        <f ca="1">DATA_FORMATTING!AS138/H$86</f>
        <v>#N/A</v>
      </c>
      <c r="I108" s="464" t="e">
        <f ca="1">DATA_FORMATTING!AT138/I$86</f>
        <v>#N/A</v>
      </c>
      <c r="J108" s="464" t="e">
        <f ca="1">DATA_FORMATTING!AU138/J$86</f>
        <v>#N/A</v>
      </c>
      <c r="K108" s="464"/>
      <c r="L108" s="464" t="e">
        <f ca="1">DATA_FORMATTING!E196/L$86</f>
        <v>#NAME?</v>
      </c>
      <c r="M108" s="464" t="e">
        <f ca="1">DATA_FORMATTING!F196/M$86</f>
        <v>#NAME?</v>
      </c>
      <c r="N108" s="464" t="e">
        <f ca="1">DATA_FORMATTING!G196/N$86</f>
        <v>#NAME?</v>
      </c>
      <c r="O108" s="464" t="e">
        <f ca="1">DATA_FORMATTING!I196/O$86</f>
        <v>#NAME?</v>
      </c>
      <c r="P108" s="464"/>
      <c r="Q108" s="464" t="e">
        <f ca="1">DATA_FORMATTING!AN138/Q$86</f>
        <v>#NAME?</v>
      </c>
      <c r="R108" s="464" t="e">
        <f t="shared" ca="1" si="134"/>
        <v>#NAME?</v>
      </c>
      <c r="U108" s="550" t="e">
        <f ca="1">DATA_FORMATTING!AN167/U$86</f>
        <v>#NUM!</v>
      </c>
      <c r="V108" s="450" t="e">
        <f t="shared" ca="1" si="147"/>
        <v>#NUM!</v>
      </c>
      <c r="AJ108" s="473" t="s">
        <v>401</v>
      </c>
      <c r="AK108" s="464" t="e">
        <f t="shared" ca="1" si="148"/>
        <v>#N/A</v>
      </c>
      <c r="AL108" s="464" t="e">
        <f t="shared" ca="1" si="148"/>
        <v>#N/A</v>
      </c>
      <c r="AM108" s="464" t="e">
        <f t="shared" ca="1" si="148"/>
        <v>#N/A</v>
      </c>
      <c r="AN108" s="464" t="e">
        <f t="shared" ca="1" si="148"/>
        <v>#N/A</v>
      </c>
      <c r="AO108" s="464" t="e">
        <f t="shared" ca="1" si="149"/>
        <v>#NAME?</v>
      </c>
      <c r="AP108" s="840" t="e">
        <f t="shared" ca="1" si="149"/>
        <v>#NAME?</v>
      </c>
      <c r="BE108" s="485" t="s">
        <v>512</v>
      </c>
      <c r="BF108" s="1101" t="e">
        <f ca="1">A6&amp;" Exposure (in USD)"</f>
        <v>#NAME?</v>
      </c>
      <c r="BG108" s="741"/>
      <c r="BH108" s="741"/>
      <c r="BI108" s="741"/>
      <c r="BJ108" s="741"/>
      <c r="BK108" s="741"/>
      <c r="BL108" s="741"/>
      <c r="BM108" s="741"/>
      <c r="BN108" s="741"/>
      <c r="BP108" s="485" t="e">
        <f ca="1">IF(OR(DB_LOAD!AW107="USD",DB_LOAD!AW107='Refi-Annual Review'!$A$3,ISBLANK(DB_LOAD!AW107)),0,1)</f>
        <v>#NAME?</v>
      </c>
      <c r="BQ108" t="str">
        <f>(IF(ISBLANK(DB_LOAD!AR107),"",DB_LOAD!AR107))</f>
        <v/>
      </c>
      <c r="BR108" t="str">
        <f t="shared" si="139"/>
        <v/>
      </c>
      <c r="BS108" t="str">
        <f t="shared" si="140"/>
        <v/>
      </c>
      <c r="BT108" t="str">
        <f t="shared" si="141"/>
        <v>5500000250000016064001572600</v>
      </c>
      <c r="BU108" t="str">
        <f t="shared" si="142"/>
        <v/>
      </c>
      <c r="BV108" t="str">
        <f t="shared" si="143"/>
        <v>7777</v>
      </c>
      <c r="BW108" t="str">
        <f t="shared" si="144"/>
        <v/>
      </c>
      <c r="BX108" t="str">
        <f t="shared" si="145"/>
        <v>1111</v>
      </c>
      <c r="CB108" s="683" t="str">
        <f t="shared" si="115"/>
        <v/>
      </c>
      <c r="CC108" s="683" t="str">
        <f t="shared" si="116"/>
        <v/>
      </c>
      <c r="CD108" s="683" t="str">
        <f>IF(CC108="","",VALUE(MID($BZ$5,1+SUM($CC$3:CC107),CC108)))</f>
        <v/>
      </c>
      <c r="CE108"/>
      <c r="CF108" t="str">
        <f>IF(CD108="","",MID($BZ$4,1+SUM($CD$3:CD107),CD108))</f>
        <v/>
      </c>
    </row>
    <row r="109" spans="3:84" ht="15">
      <c r="C109" s="485">
        <f t="shared" si="121"/>
        <v>110</v>
      </c>
      <c r="D109" s="473" t="s">
        <v>402</v>
      </c>
      <c r="E109" s="473"/>
      <c r="F109" s="464" t="e">
        <f ca="1">DATA_FORMATTING!AQ139/F$86</f>
        <v>#N/A</v>
      </c>
      <c r="G109" s="464" t="e">
        <f ca="1">DATA_FORMATTING!AR139/G$86</f>
        <v>#N/A</v>
      </c>
      <c r="H109" s="464" t="e">
        <f ca="1">DATA_FORMATTING!AS139/H$86</f>
        <v>#N/A</v>
      </c>
      <c r="I109" s="464" t="e">
        <f ca="1">DATA_FORMATTING!AT139/I$86</f>
        <v>#N/A</v>
      </c>
      <c r="J109" s="464" t="e">
        <f ca="1">DATA_FORMATTING!AU139/J$86</f>
        <v>#N/A</v>
      </c>
      <c r="K109" s="464"/>
      <c r="L109" s="464" t="e">
        <f ca="1">DATA_FORMATTING!E197/L$86</f>
        <v>#NAME?</v>
      </c>
      <c r="M109" s="464" t="e">
        <f ca="1">DATA_FORMATTING!F197/M$86</f>
        <v>#NAME?</v>
      </c>
      <c r="N109" s="464" t="e">
        <f ca="1">DATA_FORMATTING!G197/N$86</f>
        <v>#NAME?</v>
      </c>
      <c r="O109" s="464" t="e">
        <f ca="1">DATA_FORMATTING!I197/O$86</f>
        <v>#NAME?</v>
      </c>
      <c r="P109" s="464"/>
      <c r="Q109" s="464" t="e">
        <f ca="1">DATA_FORMATTING!AN139/Q$86</f>
        <v>#NAME?</v>
      </c>
      <c r="R109" s="464" t="e">
        <f t="shared" ca="1" si="134"/>
        <v>#NAME?</v>
      </c>
      <c r="U109" s="550" t="e">
        <f ca="1">DATA_FORMATTING!AN168/U$86</f>
        <v>#NUM!</v>
      </c>
      <c r="V109" s="450" t="e">
        <f t="shared" ca="1" si="147"/>
        <v>#NUM!</v>
      </c>
      <c r="AJ109" s="473" t="s">
        <v>402</v>
      </c>
      <c r="AK109" s="464" t="e">
        <f t="shared" ca="1" si="148"/>
        <v>#N/A</v>
      </c>
      <c r="AL109" s="464" t="e">
        <f t="shared" ca="1" si="148"/>
        <v>#N/A</v>
      </c>
      <c r="AM109" s="464" t="e">
        <f t="shared" ca="1" si="148"/>
        <v>#N/A</v>
      </c>
      <c r="AN109" s="464" t="e">
        <f t="shared" ca="1" si="148"/>
        <v>#N/A</v>
      </c>
      <c r="AO109" s="464" t="e">
        <f t="shared" ca="1" si="149"/>
        <v>#NAME?</v>
      </c>
      <c r="AP109" s="840" t="e">
        <f t="shared" ca="1" si="149"/>
        <v>#NAME?</v>
      </c>
      <c r="BF109" s="731" t="s">
        <v>479</v>
      </c>
      <c r="BG109" s="732" t="s">
        <v>456</v>
      </c>
      <c r="BH109" s="732" t="s">
        <v>457</v>
      </c>
      <c r="BI109" s="732" t="s">
        <v>455</v>
      </c>
      <c r="BJ109" s="732" t="s">
        <v>459</v>
      </c>
      <c r="BK109" s="732" t="s">
        <v>460</v>
      </c>
      <c r="BL109" s="732" t="s">
        <v>461</v>
      </c>
      <c r="BM109" s="732" t="s">
        <v>462</v>
      </c>
      <c r="BN109" s="733" t="s">
        <v>328</v>
      </c>
      <c r="BP109" s="485" t="e">
        <f ca="1">IF(OR(DB_LOAD!AW108="USD",DB_LOAD!AW108='Refi-Annual Review'!$A$3,ISBLANK(DB_LOAD!AW108)),0,1)</f>
        <v>#NAME?</v>
      </c>
      <c r="BQ109" t="str">
        <f>(IF(ISBLANK(DB_LOAD!AR108),"",DB_LOAD!AR108))</f>
        <v/>
      </c>
      <c r="BR109" t="str">
        <f t="shared" ref="BR109:BR140" si="152">IF(LEN(BQ109)&gt;0,LEN(BQ109),"")</f>
        <v/>
      </c>
      <c r="BS109" t="str">
        <f t="shared" ref="BS109:BS140" si="153">IF(AND(BQ109=BQ108,BR109=BR108,BQ109&lt;&gt;""),"",IF(BQ109="","",BQ109))</f>
        <v/>
      </c>
      <c r="BT109" t="str">
        <f t="shared" ref="BT109:BT140" si="154">BT108&amp;BS109</f>
        <v>5500000250000016064001572600</v>
      </c>
      <c r="BU109" t="str">
        <f t="shared" ref="BU109:BU140" si="155">IF(LEN(BS109)&gt;0,LEN(BS109),"")</f>
        <v/>
      </c>
      <c r="BV109" t="str">
        <f t="shared" ref="BV109:BV140" si="156">BV108&amp;BU109</f>
        <v>7777</v>
      </c>
      <c r="BW109" t="str">
        <f t="shared" ref="BW109:BW140" si="157">IF(LEN(BU109)&gt;0,LEN(BU109),"")</f>
        <v/>
      </c>
      <c r="BX109" t="str">
        <f t="shared" ref="BX109:BX140" si="158">BX108&amp;BW109</f>
        <v>1111</v>
      </c>
      <c r="CB109" s="683" t="str">
        <f t="shared" ref="CB109:CB140" si="159">IF(CB108&lt;$BZ$3,CB108+1,"")</f>
        <v/>
      </c>
      <c r="CC109" s="683" t="str">
        <f t="shared" ref="CC109:CC140" si="160">IF(CB109="","",VALUE(MID($BZ$6,CB109,1)))</f>
        <v/>
      </c>
      <c r="CD109" s="683" t="str">
        <f>IF(CC109="","",VALUE(MID($BZ$5,1+SUM($CC$3:CC108),CC109)))</f>
        <v/>
      </c>
      <c r="CE109"/>
      <c r="CF109" t="str">
        <f>IF(CD109="","",MID($BZ$4,1+SUM($CD$3:CD108),CD109))</f>
        <v/>
      </c>
    </row>
    <row r="110" spans="3:84" ht="15">
      <c r="C110" s="485">
        <f t="shared" si="121"/>
        <v>111</v>
      </c>
      <c r="D110" s="473" t="s">
        <v>403</v>
      </c>
      <c r="E110" s="473"/>
      <c r="F110" s="464" t="e">
        <f ca="1">DATA_FORMATTING!AQ140/F$86</f>
        <v>#N/A</v>
      </c>
      <c r="G110" s="464" t="e">
        <f ca="1">DATA_FORMATTING!AR140/G$86</f>
        <v>#N/A</v>
      </c>
      <c r="H110" s="464" t="e">
        <f ca="1">DATA_FORMATTING!AS140/H$86</f>
        <v>#N/A</v>
      </c>
      <c r="I110" s="464" t="e">
        <f ca="1">DATA_FORMATTING!AT140/I$86</f>
        <v>#N/A</v>
      </c>
      <c r="J110" s="464" t="e">
        <f ca="1">DATA_FORMATTING!AU140/J$86</f>
        <v>#N/A</v>
      </c>
      <c r="K110" s="464"/>
      <c r="L110" s="464" t="e">
        <f ca="1">DATA_FORMATTING!E198/L$86</f>
        <v>#NAME?</v>
      </c>
      <c r="M110" s="464" t="e">
        <f ca="1">DATA_FORMATTING!F198/M$86</f>
        <v>#NAME?</v>
      </c>
      <c r="N110" s="464" t="e">
        <f ca="1">DATA_FORMATTING!G198/N$86</f>
        <v>#NAME?</v>
      </c>
      <c r="O110" s="464" t="e">
        <f ca="1">DATA_FORMATTING!I198/O$86</f>
        <v>#NAME?</v>
      </c>
      <c r="P110" s="464"/>
      <c r="Q110" s="464" t="e">
        <f ca="1">DATA_FORMATTING!AN140/Q$86</f>
        <v>#NAME?</v>
      </c>
      <c r="R110" s="464" t="e">
        <f t="shared" ca="1" si="134"/>
        <v>#NAME?</v>
      </c>
      <c r="U110" s="550" t="e">
        <f ca="1">DATA_FORMATTING!AN169/U$86</f>
        <v>#NUM!</v>
      </c>
      <c r="V110" s="450" t="e">
        <f t="shared" ca="1" si="147"/>
        <v>#NUM!</v>
      </c>
      <c r="AJ110" s="473" t="s">
        <v>403</v>
      </c>
      <c r="AK110" s="464" t="e">
        <f t="shared" ca="1" si="148"/>
        <v>#N/A</v>
      </c>
      <c r="AL110" s="464" t="e">
        <f t="shared" ca="1" si="148"/>
        <v>#N/A</v>
      </c>
      <c r="AM110" s="464" t="e">
        <f t="shared" ca="1" si="148"/>
        <v>#N/A</v>
      </c>
      <c r="AN110" s="464" t="e">
        <f t="shared" ca="1" si="148"/>
        <v>#N/A</v>
      </c>
      <c r="AO110" s="464" t="e">
        <f t="shared" ca="1" si="149"/>
        <v>#NAME?</v>
      </c>
      <c r="AP110" s="840" t="e">
        <f t="shared" ca="1" si="149"/>
        <v>#NAME?</v>
      </c>
      <c r="BE110" s="485" t="e">
        <f t="shared" ref="BE110:BE139" ca="1" si="161">IF(OR(BN110=0,BN110=""),1,"")</f>
        <v>#NAME?</v>
      </c>
      <c r="BF110" s="734" t="str">
        <f t="shared" ref="BF110:BF139" si="162">CF3</f>
        <v>5500000</v>
      </c>
      <c r="BG110" s="668" t="e">
        <f t="shared" ref="BG110:BM119" ca="1" si="163">IF(IF(BG9="",0,BG9)+IF(BG41="",0,BG41)+IF(BG74="",0,BG74)=0,"",IF(BG9="",0,BG9)+IF(BG41="",0,BG41)+IF(BG74="",0,BG74))</f>
        <v>#NAME?</v>
      </c>
      <c r="BH110" s="668" t="e">
        <f t="shared" ca="1" si="163"/>
        <v>#NAME?</v>
      </c>
      <c r="BI110" s="668" t="e">
        <f t="shared" ca="1" si="163"/>
        <v>#NAME?</v>
      </c>
      <c r="BJ110" s="668" t="e">
        <f t="shared" ca="1" si="163"/>
        <v>#NAME?</v>
      </c>
      <c r="BK110" s="668" t="e">
        <f t="shared" ca="1" si="163"/>
        <v>#NAME?</v>
      </c>
      <c r="BL110" s="668" t="e">
        <f t="shared" ca="1" si="163"/>
        <v>#NAME?</v>
      </c>
      <c r="BM110" s="668" t="e">
        <f t="shared" ca="1" si="163"/>
        <v>#NAME?</v>
      </c>
      <c r="BN110" s="735" t="e">
        <f ca="1">IF(SUM(BG110:BM110)=0,"",SUM(BG110:BM110))</f>
        <v>#NAME?</v>
      </c>
      <c r="BP110" s="485" t="e">
        <f ca="1">IF(OR(DB_LOAD!AW109="USD",DB_LOAD!AW109='Refi-Annual Review'!$A$3,ISBLANK(DB_LOAD!AW109)),0,1)</f>
        <v>#NAME?</v>
      </c>
      <c r="BQ110" t="str">
        <f>(IF(ISBLANK(DB_LOAD!AR109),"",DB_LOAD!AR109))</f>
        <v/>
      </c>
      <c r="BR110" t="str">
        <f t="shared" si="152"/>
        <v/>
      </c>
      <c r="BS110" t="str">
        <f t="shared" si="153"/>
        <v/>
      </c>
      <c r="BT110" t="str">
        <f t="shared" si="154"/>
        <v>5500000250000016064001572600</v>
      </c>
      <c r="BU110" t="str">
        <f t="shared" si="155"/>
        <v/>
      </c>
      <c r="BV110" t="str">
        <f t="shared" si="156"/>
        <v>7777</v>
      </c>
      <c r="BW110" t="str">
        <f t="shared" si="157"/>
        <v/>
      </c>
      <c r="BX110" t="str">
        <f t="shared" si="158"/>
        <v>1111</v>
      </c>
      <c r="CB110" s="683" t="str">
        <f t="shared" si="159"/>
        <v/>
      </c>
      <c r="CC110" s="683" t="str">
        <f t="shared" si="160"/>
        <v/>
      </c>
      <c r="CD110" s="683" t="str">
        <f>IF(CC110="","",VALUE(MID($BZ$5,1+SUM($CC$3:CC109),CC110)))</f>
        <v/>
      </c>
      <c r="CE110"/>
      <c r="CF110" t="str">
        <f>IF(CD110="","",MID($BZ$4,1+SUM($CD$3:CD109),CD110))</f>
        <v/>
      </c>
    </row>
    <row r="111" spans="3:84" ht="15">
      <c r="C111" s="485">
        <f t="shared" si="121"/>
        <v>112</v>
      </c>
      <c r="D111" s="463" t="s">
        <v>117</v>
      </c>
      <c r="E111" s="463"/>
      <c r="F111" s="464" t="e">
        <f ca="1">DATA_FORMATTING!AQ141/F$86</f>
        <v>#N/A</v>
      </c>
      <c r="G111" s="464" t="e">
        <f ca="1">DATA_FORMATTING!AR141/G$86</f>
        <v>#N/A</v>
      </c>
      <c r="H111" s="464" t="e">
        <f ca="1">DATA_FORMATTING!AS141/H$86</f>
        <v>#N/A</v>
      </c>
      <c r="I111" s="464" t="e">
        <f ca="1">DATA_FORMATTING!AT141/I$86</f>
        <v>#N/A</v>
      </c>
      <c r="J111" s="464" t="e">
        <f ca="1">DATA_FORMATTING!AU141/J$86</f>
        <v>#N/A</v>
      </c>
      <c r="K111" s="464"/>
      <c r="L111" s="464" t="e">
        <f ca="1">DATA_FORMATTING!E199/L$86</f>
        <v>#NAME?</v>
      </c>
      <c r="M111" s="464" t="e">
        <f ca="1">DATA_FORMATTING!F199/M$86</f>
        <v>#NAME?</v>
      </c>
      <c r="N111" s="464" t="e">
        <f ca="1">DATA_FORMATTING!G199/N$86</f>
        <v>#NAME?</v>
      </c>
      <c r="O111" s="464" t="e">
        <f ca="1">DATA_FORMATTING!I199/O$86</f>
        <v>#NAME?</v>
      </c>
      <c r="P111" s="464"/>
      <c r="Q111" s="464" t="e">
        <f ca="1">DATA_FORMATTING!AN141/Q$86</f>
        <v>#NAME?</v>
      </c>
      <c r="R111" s="464" t="e">
        <f t="shared" ca="1" si="134"/>
        <v>#NAME?</v>
      </c>
      <c r="U111" s="550" t="e">
        <f ca="1">DATA_FORMATTING!AN170/U$86</f>
        <v>#NUM!</v>
      </c>
      <c r="V111" s="450" t="e">
        <f t="shared" ca="1" si="147"/>
        <v>#NUM!</v>
      </c>
      <c r="AJ111" s="463" t="s">
        <v>117</v>
      </c>
      <c r="AK111" s="464" t="e">
        <f t="shared" ca="1" si="148"/>
        <v>#N/A</v>
      </c>
      <c r="AL111" s="464" t="e">
        <f t="shared" ca="1" si="148"/>
        <v>#N/A</v>
      </c>
      <c r="AM111" s="464" t="e">
        <f t="shared" ca="1" si="148"/>
        <v>#N/A</v>
      </c>
      <c r="AN111" s="464" t="e">
        <f t="shared" ca="1" si="148"/>
        <v>#N/A</v>
      </c>
      <c r="AO111" s="464" t="e">
        <f t="shared" ca="1" si="149"/>
        <v>#NAME?</v>
      </c>
      <c r="AP111" s="840" t="e">
        <f t="shared" ca="1" si="149"/>
        <v>#NAME?</v>
      </c>
      <c r="BE111" s="485" t="e">
        <f t="shared" ca="1" si="161"/>
        <v>#NAME?</v>
      </c>
      <c r="BF111" s="734" t="str">
        <f t="shared" si="162"/>
        <v>2500000</v>
      </c>
      <c r="BG111" s="668" t="e">
        <f t="shared" ca="1" si="163"/>
        <v>#NAME?</v>
      </c>
      <c r="BH111" s="668" t="e">
        <f t="shared" ca="1" si="163"/>
        <v>#NAME?</v>
      </c>
      <c r="BI111" s="668" t="e">
        <f t="shared" ca="1" si="163"/>
        <v>#NAME?</v>
      </c>
      <c r="BJ111" s="668" t="e">
        <f t="shared" ca="1" si="163"/>
        <v>#NAME?</v>
      </c>
      <c r="BK111" s="668" t="e">
        <f t="shared" ca="1" si="163"/>
        <v>#NAME?</v>
      </c>
      <c r="BL111" s="668" t="e">
        <f t="shared" ca="1" si="163"/>
        <v>#NAME?</v>
      </c>
      <c r="BM111" s="668" t="e">
        <f t="shared" ca="1" si="163"/>
        <v>#NAME?</v>
      </c>
      <c r="BN111" s="735" t="e">
        <f t="shared" ref="BN111:BN139" ca="1" si="164">IF(SUM(BG111:BM111)=0,"",SUM(BG111:BM111))</f>
        <v>#NAME?</v>
      </c>
      <c r="BP111" s="485" t="e">
        <f ca="1">IF(OR(DB_LOAD!AW110="USD",DB_LOAD!AW110='Refi-Annual Review'!$A$3,ISBLANK(DB_LOAD!AW110)),0,1)</f>
        <v>#NAME?</v>
      </c>
      <c r="BQ111" t="str">
        <f>(IF(ISBLANK(DB_LOAD!AR110),"",DB_LOAD!AR110))</f>
        <v/>
      </c>
      <c r="BR111" t="str">
        <f t="shared" si="152"/>
        <v/>
      </c>
      <c r="BS111" t="str">
        <f t="shared" si="153"/>
        <v/>
      </c>
      <c r="BT111" t="str">
        <f t="shared" si="154"/>
        <v>5500000250000016064001572600</v>
      </c>
      <c r="BU111" t="str">
        <f t="shared" si="155"/>
        <v/>
      </c>
      <c r="BV111" t="str">
        <f t="shared" si="156"/>
        <v>7777</v>
      </c>
      <c r="BW111" t="str">
        <f t="shared" si="157"/>
        <v/>
      </c>
      <c r="BX111" t="str">
        <f t="shared" si="158"/>
        <v>1111</v>
      </c>
      <c r="CB111" s="683" t="str">
        <f t="shared" si="159"/>
        <v/>
      </c>
      <c r="CC111" s="683" t="str">
        <f t="shared" si="160"/>
        <v/>
      </c>
      <c r="CD111" s="683" t="str">
        <f>IF(CC111="","",VALUE(MID($BZ$5,1+SUM($CC$3:CC110),CC111)))</f>
        <v/>
      </c>
      <c r="CE111"/>
      <c r="CF111" t="str">
        <f>IF(CD111="","",MID($BZ$4,1+SUM($CD$3:CD110),CD111))</f>
        <v/>
      </c>
    </row>
    <row r="112" spans="3:84" ht="15">
      <c r="C112" s="485">
        <f t="shared" si="121"/>
        <v>113</v>
      </c>
      <c r="D112" s="462" t="s">
        <v>119</v>
      </c>
      <c r="E112" s="462"/>
      <c r="F112" s="660" t="e">
        <f ca="1">SUM(F104,F105,F111)</f>
        <v>#N/A</v>
      </c>
      <c r="G112" s="660" t="e">
        <f ca="1">SUM(G104,G105,G111)</f>
        <v>#N/A</v>
      </c>
      <c r="H112" s="660" t="e">
        <f ca="1">SUM(H104,H105,H111)</f>
        <v>#N/A</v>
      </c>
      <c r="I112" s="660" t="e">
        <f ca="1">SUM(I104,I105,I111)</f>
        <v>#N/A</v>
      </c>
      <c r="J112" s="660" t="e">
        <f ca="1">SUM(J104,J105,J111)</f>
        <v>#N/A</v>
      </c>
      <c r="K112" s="660"/>
      <c r="L112" s="660" t="e">
        <f ca="1">SUM(L104,L105,L111)</f>
        <v>#NAME?</v>
      </c>
      <c r="M112" s="660" t="e">
        <f ca="1">SUM(M104,M105,M111)</f>
        <v>#NAME?</v>
      </c>
      <c r="N112" s="660" t="e">
        <f ca="1">SUM(N104,N105,N111)</f>
        <v>#NAME?</v>
      </c>
      <c r="O112" s="660" t="e">
        <f ca="1">SUM(O104,O105,O111)</f>
        <v>#NAME?</v>
      </c>
      <c r="P112" s="660"/>
      <c r="Q112" s="660" t="e">
        <f ca="1">SUM(Q104,Q105,Q111)</f>
        <v>#NAME?</v>
      </c>
      <c r="R112" s="660" t="e">
        <f t="shared" ca="1" si="134"/>
        <v>#NAME?</v>
      </c>
      <c r="S112" s="660"/>
      <c r="T112" s="660"/>
      <c r="U112" s="664" t="e">
        <f ca="1">SUM(U104,U105,U111)</f>
        <v>#NUM!</v>
      </c>
      <c r="V112" s="660" t="e">
        <f ca="1">SUM(V104,V105,V111)</f>
        <v>#NUM!</v>
      </c>
      <c r="AJ112" s="462" t="s">
        <v>119</v>
      </c>
      <c r="AK112" s="660" t="e">
        <f t="shared" ca="1" si="148"/>
        <v>#N/A</v>
      </c>
      <c r="AL112" s="660" t="e">
        <f t="shared" ca="1" si="148"/>
        <v>#N/A</v>
      </c>
      <c r="AM112" s="660" t="e">
        <f t="shared" ca="1" si="148"/>
        <v>#N/A</v>
      </c>
      <c r="AN112" s="660" t="e">
        <f t="shared" ca="1" si="148"/>
        <v>#N/A</v>
      </c>
      <c r="AO112" s="660" t="e">
        <f t="shared" ca="1" si="149"/>
        <v>#NAME?</v>
      </c>
      <c r="AP112" s="840" t="e">
        <f t="shared" ca="1" si="149"/>
        <v>#NAME?</v>
      </c>
      <c r="BE112" s="485" t="e">
        <f t="shared" ca="1" si="161"/>
        <v>#NAME?</v>
      </c>
      <c r="BF112" s="734" t="str">
        <f t="shared" si="162"/>
        <v>1606400</v>
      </c>
      <c r="BG112" s="668" t="e">
        <f t="shared" ca="1" si="163"/>
        <v>#NAME?</v>
      </c>
      <c r="BH112" s="668" t="e">
        <f t="shared" ca="1" si="163"/>
        <v>#NAME?</v>
      </c>
      <c r="BI112" s="668" t="e">
        <f t="shared" ca="1" si="163"/>
        <v>#NAME?</v>
      </c>
      <c r="BJ112" s="668" t="e">
        <f t="shared" ca="1" si="163"/>
        <v>#NAME?</v>
      </c>
      <c r="BK112" s="668" t="e">
        <f t="shared" ca="1" si="163"/>
        <v>#NAME?</v>
      </c>
      <c r="BL112" s="668" t="e">
        <f t="shared" ca="1" si="163"/>
        <v>#NAME?</v>
      </c>
      <c r="BM112" s="668" t="e">
        <f t="shared" ca="1" si="163"/>
        <v>#NAME?</v>
      </c>
      <c r="BN112" s="735" t="e">
        <f t="shared" ca="1" si="164"/>
        <v>#NAME?</v>
      </c>
      <c r="BP112" s="485" t="e">
        <f ca="1">IF(OR(DB_LOAD!AW111="USD",DB_LOAD!AW111='Refi-Annual Review'!$A$3,ISBLANK(DB_LOAD!AW111)),0,1)</f>
        <v>#NAME?</v>
      </c>
      <c r="BQ112" t="str">
        <f>(IF(ISBLANK(DB_LOAD!AR111),"",DB_LOAD!AR111))</f>
        <v/>
      </c>
      <c r="BR112" t="str">
        <f t="shared" si="152"/>
        <v/>
      </c>
      <c r="BS112" t="str">
        <f t="shared" si="153"/>
        <v/>
      </c>
      <c r="BT112" t="str">
        <f t="shared" si="154"/>
        <v>5500000250000016064001572600</v>
      </c>
      <c r="BU112" t="str">
        <f t="shared" si="155"/>
        <v/>
      </c>
      <c r="BV112" t="str">
        <f t="shared" si="156"/>
        <v>7777</v>
      </c>
      <c r="BW112" t="str">
        <f t="shared" si="157"/>
        <v/>
      </c>
      <c r="BX112" t="str">
        <f t="shared" si="158"/>
        <v>1111</v>
      </c>
      <c r="CB112" s="683" t="str">
        <f t="shared" si="159"/>
        <v/>
      </c>
      <c r="CC112" s="683" t="str">
        <f t="shared" si="160"/>
        <v/>
      </c>
      <c r="CD112" s="683" t="str">
        <f>IF(CC112="","",VALUE(MID($BZ$5,1+SUM($CC$3:CC111),CC112)))</f>
        <v/>
      </c>
      <c r="CE112"/>
      <c r="CF112" t="str">
        <f>IF(CD112="","",MID($BZ$4,1+SUM($CD$3:CD111),CD112))</f>
        <v/>
      </c>
    </row>
    <row r="113" spans="3:84" ht="15">
      <c r="C113" s="485">
        <f t="shared" si="121"/>
        <v>114</v>
      </c>
      <c r="D113" s="462" t="s">
        <v>126</v>
      </c>
      <c r="E113" s="462"/>
      <c r="F113" s="466" t="e">
        <f ca="1">DATA_FORMATTING!AQ147/F$86</f>
        <v>#N/A</v>
      </c>
      <c r="G113" s="466" t="e">
        <f ca="1">DATA_FORMATTING!AR147/G$86</f>
        <v>#N/A</v>
      </c>
      <c r="H113" s="466" t="e">
        <f ca="1">DATA_FORMATTING!AS147/H$86</f>
        <v>#N/A</v>
      </c>
      <c r="I113" s="466" t="e">
        <f ca="1">DATA_FORMATTING!AT147/I$86</f>
        <v>#N/A</v>
      </c>
      <c r="J113" s="466" t="e">
        <f ca="1">DATA_FORMATTING!AU147/J$86</f>
        <v>#N/A</v>
      </c>
      <c r="K113" s="466"/>
      <c r="L113" s="466" t="e">
        <f ca="1">DATA_FORMATTING!E205/L$86</f>
        <v>#NAME?</v>
      </c>
      <c r="M113" s="466" t="e">
        <f ca="1">DATA_FORMATTING!F205/M$86</f>
        <v>#NAME?</v>
      </c>
      <c r="N113" s="466" t="e">
        <f ca="1">DATA_FORMATTING!G205/N$86</f>
        <v>#NAME?</v>
      </c>
      <c r="O113" s="466" t="e">
        <f ca="1">DATA_FORMATTING!I205/O$86</f>
        <v>#NAME?</v>
      </c>
      <c r="P113" s="466"/>
      <c r="Q113" s="466" t="e">
        <f ca="1">DATA_FORMATTING!AN147/Q$86</f>
        <v>#NAME?</v>
      </c>
      <c r="R113" s="466" t="e">
        <f t="shared" ca="1" si="134"/>
        <v>#NAME?</v>
      </c>
      <c r="U113" s="551" t="e">
        <f ca="1">DATA_FORMATTING!AN176/U$86</f>
        <v>#NUM!</v>
      </c>
      <c r="V113" s="451" t="e">
        <f ca="1">AVERAGE(U113,Q113)</f>
        <v>#NUM!</v>
      </c>
      <c r="AJ113" s="462" t="s">
        <v>126</v>
      </c>
      <c r="AK113" s="466" t="e">
        <f t="shared" ca="1" si="148"/>
        <v>#N/A</v>
      </c>
      <c r="AL113" s="466" t="e">
        <f t="shared" ca="1" si="148"/>
        <v>#N/A</v>
      </c>
      <c r="AM113" s="466" t="e">
        <f t="shared" ca="1" si="148"/>
        <v>#N/A</v>
      </c>
      <c r="AN113" s="466" t="e">
        <f t="shared" ca="1" si="148"/>
        <v>#N/A</v>
      </c>
      <c r="AO113" s="466" t="e">
        <f t="shared" ca="1" si="149"/>
        <v>#NAME?</v>
      </c>
      <c r="AP113" s="840" t="e">
        <f t="shared" ca="1" si="149"/>
        <v>#NAME?</v>
      </c>
      <c r="BE113" s="485" t="e">
        <f t="shared" ca="1" si="161"/>
        <v>#NAME?</v>
      </c>
      <c r="BF113" s="734" t="str">
        <f t="shared" si="162"/>
        <v>1572600</v>
      </c>
      <c r="BG113" s="668" t="e">
        <f t="shared" ca="1" si="163"/>
        <v>#NAME?</v>
      </c>
      <c r="BH113" s="668" t="e">
        <f t="shared" ca="1" si="163"/>
        <v>#NAME?</v>
      </c>
      <c r="BI113" s="668" t="e">
        <f t="shared" ca="1" si="163"/>
        <v>#NAME?</v>
      </c>
      <c r="BJ113" s="668" t="e">
        <f t="shared" ca="1" si="163"/>
        <v>#NAME?</v>
      </c>
      <c r="BK113" s="668" t="e">
        <f t="shared" ca="1" si="163"/>
        <v>#NAME?</v>
      </c>
      <c r="BL113" s="668" t="e">
        <f t="shared" ca="1" si="163"/>
        <v>#NAME?</v>
      </c>
      <c r="BM113" s="668" t="e">
        <f t="shared" ca="1" si="163"/>
        <v>#NAME?</v>
      </c>
      <c r="BN113" s="735" t="e">
        <f t="shared" ca="1" si="164"/>
        <v>#NAME?</v>
      </c>
      <c r="BP113" s="485" t="e">
        <f ca="1">IF(OR(DB_LOAD!AW112="USD",DB_LOAD!AW112='Refi-Annual Review'!$A$3,ISBLANK(DB_LOAD!AW112)),0,1)</f>
        <v>#NAME?</v>
      </c>
      <c r="BQ113" t="str">
        <f>(IF(ISBLANK(DB_LOAD!AR112),"",DB_LOAD!AR112))</f>
        <v/>
      </c>
      <c r="BR113" t="str">
        <f t="shared" si="152"/>
        <v/>
      </c>
      <c r="BS113" t="str">
        <f t="shared" si="153"/>
        <v/>
      </c>
      <c r="BT113" t="str">
        <f t="shared" si="154"/>
        <v>5500000250000016064001572600</v>
      </c>
      <c r="BU113" t="str">
        <f t="shared" si="155"/>
        <v/>
      </c>
      <c r="BV113" t="str">
        <f t="shared" si="156"/>
        <v>7777</v>
      </c>
      <c r="BW113" t="str">
        <f t="shared" si="157"/>
        <v/>
      </c>
      <c r="BX113" t="str">
        <f t="shared" si="158"/>
        <v>1111</v>
      </c>
      <c r="CB113" s="683" t="str">
        <f t="shared" si="159"/>
        <v/>
      </c>
      <c r="CC113" s="683" t="str">
        <f t="shared" si="160"/>
        <v/>
      </c>
      <c r="CD113" s="683" t="str">
        <f>IF(CC113="","",VALUE(MID($BZ$5,1+SUM($CC$3:CC112),CC113)))</f>
        <v/>
      </c>
      <c r="CE113"/>
      <c r="CF113" t="str">
        <f>IF(CD113="","",MID($BZ$4,1+SUM($CD$3:CD112),CD113))</f>
        <v/>
      </c>
    </row>
    <row r="114" spans="3:84" ht="15">
      <c r="C114" s="485">
        <f t="shared" si="121"/>
        <v>115</v>
      </c>
      <c r="D114" s="466"/>
      <c r="E114" s="466"/>
      <c r="F114" s="466"/>
      <c r="G114" s="466"/>
      <c r="H114" s="466"/>
      <c r="I114" s="466"/>
      <c r="J114" s="466"/>
      <c r="K114" s="466"/>
      <c r="L114" s="466"/>
      <c r="M114" s="466"/>
      <c r="N114" s="466"/>
      <c r="O114" s="466"/>
      <c r="P114" s="466"/>
      <c r="Q114" s="466"/>
      <c r="R114" s="466">
        <f t="shared" si="134"/>
        <v>0</v>
      </c>
      <c r="U114" s="551"/>
      <c r="V114" s="451"/>
      <c r="AJ114" s="466"/>
      <c r="AK114" s="466"/>
      <c r="AL114" s="466"/>
      <c r="AM114" s="466"/>
      <c r="AN114" s="466"/>
      <c r="AO114" s="466">
        <f t="shared" si="149"/>
        <v>0</v>
      </c>
      <c r="AP114" s="840">
        <f t="shared" si="149"/>
        <v>0</v>
      </c>
      <c r="BE114" s="485" t="e">
        <f t="shared" ca="1" si="161"/>
        <v>#NAME?</v>
      </c>
      <c r="BF114" s="734" t="str">
        <f t="shared" si="162"/>
        <v/>
      </c>
      <c r="BG114" s="668" t="e">
        <f t="shared" ca="1" si="163"/>
        <v>#NAME?</v>
      </c>
      <c r="BH114" s="668" t="e">
        <f t="shared" ca="1" si="163"/>
        <v>#NAME?</v>
      </c>
      <c r="BI114" s="668" t="e">
        <f t="shared" ca="1" si="163"/>
        <v>#NAME?</v>
      </c>
      <c r="BJ114" s="668" t="e">
        <f t="shared" ca="1" si="163"/>
        <v>#NAME?</v>
      </c>
      <c r="BK114" s="668" t="e">
        <f t="shared" ca="1" si="163"/>
        <v>#NAME?</v>
      </c>
      <c r="BL114" s="668" t="e">
        <f t="shared" ca="1" si="163"/>
        <v>#NAME?</v>
      </c>
      <c r="BM114" s="668" t="e">
        <f t="shared" ca="1" si="163"/>
        <v>#NAME?</v>
      </c>
      <c r="BN114" s="735" t="e">
        <f t="shared" ca="1" si="164"/>
        <v>#NAME?</v>
      </c>
      <c r="BP114" s="485" t="e">
        <f ca="1">IF(OR(DB_LOAD!AW113="USD",DB_LOAD!AW113='Refi-Annual Review'!$A$3,ISBLANK(DB_LOAD!AW113)),0,1)</f>
        <v>#NAME?</v>
      </c>
      <c r="BQ114" t="str">
        <f>(IF(ISBLANK(DB_LOAD!AR113),"",DB_LOAD!AR113))</f>
        <v/>
      </c>
      <c r="BR114" t="str">
        <f t="shared" si="152"/>
        <v/>
      </c>
      <c r="BS114" t="str">
        <f t="shared" si="153"/>
        <v/>
      </c>
      <c r="BT114" t="str">
        <f t="shared" si="154"/>
        <v>5500000250000016064001572600</v>
      </c>
      <c r="BU114" t="str">
        <f t="shared" si="155"/>
        <v/>
      </c>
      <c r="BV114" t="str">
        <f t="shared" si="156"/>
        <v>7777</v>
      </c>
      <c r="BW114" t="str">
        <f t="shared" si="157"/>
        <v/>
      </c>
      <c r="BX114" t="str">
        <f t="shared" si="158"/>
        <v>1111</v>
      </c>
      <c r="CB114" s="683" t="str">
        <f t="shared" si="159"/>
        <v/>
      </c>
      <c r="CC114" s="683" t="str">
        <f t="shared" si="160"/>
        <v/>
      </c>
      <c r="CD114" s="683" t="str">
        <f>IF(CC114="","",VALUE(MID($BZ$5,1+SUM($CC$3:CC113),CC114)))</f>
        <v/>
      </c>
      <c r="CE114"/>
      <c r="CF114" t="str">
        <f>IF(CD114="","",MID($BZ$4,1+SUM($CD$3:CD113),CD114))</f>
        <v/>
      </c>
    </row>
    <row r="115" spans="3:84" ht="15">
      <c r="C115" s="485">
        <f t="shared" si="121"/>
        <v>116</v>
      </c>
      <c r="D115" s="472" t="s">
        <v>404</v>
      </c>
      <c r="E115" s="462"/>
      <c r="F115" s="662" t="e">
        <f ca="1">SUM(F113,F112)</f>
        <v>#N/A</v>
      </c>
      <c r="G115" s="662" t="e">
        <f ca="1">SUM(G113,G112)</f>
        <v>#N/A</v>
      </c>
      <c r="H115" s="662" t="e">
        <f ca="1">SUM(H113,H112)</f>
        <v>#N/A</v>
      </c>
      <c r="I115" s="662" t="e">
        <f ca="1">SUM(I113,I112)</f>
        <v>#N/A</v>
      </c>
      <c r="J115" s="662" t="e">
        <f ca="1">SUM(J113,J112)</f>
        <v>#N/A</v>
      </c>
      <c r="K115" s="466"/>
      <c r="L115" s="662" t="e">
        <f ca="1">SUM(L113,L112)</f>
        <v>#NAME?</v>
      </c>
      <c r="M115" s="662" t="e">
        <f ca="1">SUM(M113,M112)</f>
        <v>#NAME?</v>
      </c>
      <c r="N115" s="662" t="e">
        <f ca="1">SUM(N113,N112)</f>
        <v>#NAME?</v>
      </c>
      <c r="O115" s="662" t="e">
        <f ca="1">SUM(O113,O112)</f>
        <v>#NAME?</v>
      </c>
      <c r="P115" s="660"/>
      <c r="Q115" s="662" t="e">
        <f ca="1">SUM(Q113,Q112)</f>
        <v>#NAME?</v>
      </c>
      <c r="R115" s="662" t="e">
        <f t="shared" ca="1" si="134"/>
        <v>#NAME?</v>
      </c>
      <c r="U115" s="663" t="e">
        <f ca="1">SUM(U113,U112)</f>
        <v>#NUM!</v>
      </c>
      <c r="V115" s="659" t="e">
        <f ca="1">SUM(V113,V112)</f>
        <v>#NUM!</v>
      </c>
      <c r="AJ115" s="472" t="s">
        <v>404</v>
      </c>
      <c r="AK115" s="662" t="e">
        <f t="shared" ref="AK115:AN115" ca="1" si="165">HLOOKUP(AK$4,$G$1:$O$213,$C115-1,FALSE)</f>
        <v>#N/A</v>
      </c>
      <c r="AL115" s="662" t="e">
        <f t="shared" ca="1" si="165"/>
        <v>#N/A</v>
      </c>
      <c r="AM115" s="662" t="e">
        <f t="shared" ca="1" si="165"/>
        <v>#N/A</v>
      </c>
      <c r="AN115" s="662" t="e">
        <f t="shared" ca="1" si="165"/>
        <v>#N/A</v>
      </c>
      <c r="AO115" s="662" t="e">
        <f t="shared" ca="1" si="149"/>
        <v>#NAME?</v>
      </c>
      <c r="AP115" s="840" t="e">
        <f t="shared" ca="1" si="149"/>
        <v>#NAME?</v>
      </c>
      <c r="BE115" s="485" t="e">
        <f t="shared" ca="1" si="161"/>
        <v>#NAME?</v>
      </c>
      <c r="BF115" s="734" t="str">
        <f t="shared" si="162"/>
        <v/>
      </c>
      <c r="BG115" s="668" t="e">
        <f t="shared" ca="1" si="163"/>
        <v>#NAME?</v>
      </c>
      <c r="BH115" s="668" t="e">
        <f t="shared" ca="1" si="163"/>
        <v>#NAME?</v>
      </c>
      <c r="BI115" s="668" t="e">
        <f t="shared" ca="1" si="163"/>
        <v>#NAME?</v>
      </c>
      <c r="BJ115" s="668" t="e">
        <f t="shared" ca="1" si="163"/>
        <v>#NAME?</v>
      </c>
      <c r="BK115" s="668" t="e">
        <f t="shared" ca="1" si="163"/>
        <v>#NAME?</v>
      </c>
      <c r="BL115" s="668" t="e">
        <f t="shared" ca="1" si="163"/>
        <v>#NAME?</v>
      </c>
      <c r="BM115" s="668" t="e">
        <f t="shared" ca="1" si="163"/>
        <v>#NAME?</v>
      </c>
      <c r="BN115" s="735" t="e">
        <f t="shared" ca="1" si="164"/>
        <v>#NAME?</v>
      </c>
      <c r="BP115" s="485" t="e">
        <f ca="1">IF(OR(DB_LOAD!AW114="USD",DB_LOAD!AW114='Refi-Annual Review'!$A$3,ISBLANK(DB_LOAD!AW114)),0,1)</f>
        <v>#NAME?</v>
      </c>
      <c r="BQ115" t="str">
        <f>(IF(ISBLANK(DB_LOAD!AR114),"",DB_LOAD!AR114))</f>
        <v/>
      </c>
      <c r="BR115" t="str">
        <f t="shared" si="152"/>
        <v/>
      </c>
      <c r="BS115" t="str">
        <f t="shared" si="153"/>
        <v/>
      </c>
      <c r="BT115" t="str">
        <f t="shared" si="154"/>
        <v>5500000250000016064001572600</v>
      </c>
      <c r="BU115" t="str">
        <f t="shared" si="155"/>
        <v/>
      </c>
      <c r="BV115" t="str">
        <f t="shared" si="156"/>
        <v>7777</v>
      </c>
      <c r="BW115" t="str">
        <f t="shared" si="157"/>
        <v/>
      </c>
      <c r="BX115" t="str">
        <f t="shared" si="158"/>
        <v>1111</v>
      </c>
      <c r="CB115" s="683" t="str">
        <f t="shared" si="159"/>
        <v/>
      </c>
      <c r="CC115" s="683" t="str">
        <f t="shared" si="160"/>
        <v/>
      </c>
      <c r="CD115" s="683" t="str">
        <f>IF(CC115="","",VALUE(MID($BZ$5,1+SUM($CC$3:CC114),CC115)))</f>
        <v/>
      </c>
      <c r="CE115"/>
      <c r="CF115" t="str">
        <f>IF(CD115="","",MID($BZ$4,1+SUM($CD$3:CD114),CD115))</f>
        <v/>
      </c>
    </row>
    <row r="116" spans="3:84" ht="15">
      <c r="C116" s="485">
        <f t="shared" si="121"/>
        <v>117</v>
      </c>
      <c r="AK116" s="486"/>
      <c r="AL116" s="486"/>
      <c r="AM116" s="486"/>
      <c r="AN116" s="486"/>
      <c r="AO116" s="486"/>
      <c r="BE116" s="485" t="e">
        <f t="shared" ca="1" si="161"/>
        <v>#NAME?</v>
      </c>
      <c r="BF116" s="734" t="str">
        <f t="shared" si="162"/>
        <v/>
      </c>
      <c r="BG116" s="668" t="e">
        <f t="shared" ca="1" si="163"/>
        <v>#NAME?</v>
      </c>
      <c r="BH116" s="668" t="e">
        <f t="shared" ca="1" si="163"/>
        <v>#NAME?</v>
      </c>
      <c r="BI116" s="668" t="e">
        <f t="shared" ca="1" si="163"/>
        <v>#NAME?</v>
      </c>
      <c r="BJ116" s="668" t="e">
        <f t="shared" ca="1" si="163"/>
        <v>#NAME?</v>
      </c>
      <c r="BK116" s="668" t="e">
        <f t="shared" ca="1" si="163"/>
        <v>#NAME?</v>
      </c>
      <c r="BL116" s="668" t="e">
        <f t="shared" ca="1" si="163"/>
        <v>#NAME?</v>
      </c>
      <c r="BM116" s="668" t="e">
        <f t="shared" ca="1" si="163"/>
        <v>#NAME?</v>
      </c>
      <c r="BN116" s="735" t="e">
        <f t="shared" ca="1" si="164"/>
        <v>#NAME?</v>
      </c>
      <c r="BP116" s="485" t="e">
        <f ca="1">IF(OR(DB_LOAD!AW115="USD",DB_LOAD!AW115='Refi-Annual Review'!$A$3,ISBLANK(DB_LOAD!AW115)),0,1)</f>
        <v>#NAME?</v>
      </c>
      <c r="BQ116" t="str">
        <f>(IF(ISBLANK(DB_LOAD!AR115),"",DB_LOAD!AR115))</f>
        <v/>
      </c>
      <c r="BR116" t="str">
        <f t="shared" si="152"/>
        <v/>
      </c>
      <c r="BS116" t="str">
        <f t="shared" si="153"/>
        <v/>
      </c>
      <c r="BT116" t="str">
        <f t="shared" si="154"/>
        <v>5500000250000016064001572600</v>
      </c>
      <c r="BU116" t="str">
        <f t="shared" si="155"/>
        <v/>
      </c>
      <c r="BV116" t="str">
        <f t="shared" si="156"/>
        <v>7777</v>
      </c>
      <c r="BW116" t="str">
        <f t="shared" si="157"/>
        <v/>
      </c>
      <c r="BX116" t="str">
        <f t="shared" si="158"/>
        <v>1111</v>
      </c>
      <c r="CB116" s="683" t="str">
        <f t="shared" si="159"/>
        <v/>
      </c>
      <c r="CC116" s="683" t="str">
        <f t="shared" si="160"/>
        <v/>
      </c>
      <c r="CD116" s="683" t="str">
        <f>IF(CC116="","",VALUE(MID($BZ$5,1+SUM($CC$3:CC115),CC116)))</f>
        <v/>
      </c>
      <c r="CE116"/>
      <c r="CF116" t="str">
        <f>IF(CD116="","",MID($BZ$4,1+SUM($CD$3:CD115),CD116))</f>
        <v/>
      </c>
    </row>
    <row r="117" spans="3:84" ht="15">
      <c r="C117" s="485">
        <f t="shared" si="121"/>
        <v>118</v>
      </c>
      <c r="F117" s="582" t="e">
        <f ca="1">F4</f>
        <v>#N/A</v>
      </c>
      <c r="G117" s="486" t="e">
        <f ca="1">G4</f>
        <v>#N/A</v>
      </c>
      <c r="H117" s="486" t="e">
        <f ca="1">H4</f>
        <v>#N/A</v>
      </c>
      <c r="I117" s="486" t="e">
        <f ca="1">I4</f>
        <v>#N/A</v>
      </c>
      <c r="J117" s="486" t="e">
        <f ca="1">J4</f>
        <v>#N/A</v>
      </c>
      <c r="L117" s="486" t="e">
        <f ca="1">G117</f>
        <v>#N/A</v>
      </c>
      <c r="M117" s="486" t="e">
        <f ca="1">H117</f>
        <v>#N/A</v>
      </c>
      <c r="N117" s="486" t="e">
        <f ca="1">I117</f>
        <v>#N/A</v>
      </c>
      <c r="O117" s="486" t="e">
        <f ca="1">J117</f>
        <v>#N/A</v>
      </c>
      <c r="Q117" s="572" t="e">
        <f ca="1">Q4</f>
        <v>#N/A</v>
      </c>
      <c r="R117" s="572" t="e">
        <f ca="1">Q117</f>
        <v>#N/A</v>
      </c>
      <c r="U117" s="486" t="e">
        <f ca="1">IF('Balance Sheet'!$E$5="USD",AVERAGE((OFFSET(DB_LOAD!$K:$K,MATCH(EOMONTH(MAX(DB_LOAD!F:F),-12),DB_LOAD!$H:$H,0)-1,0,12,1))),1)</f>
        <v>#NUM!</v>
      </c>
      <c r="AK117" s="486"/>
      <c r="AL117" s="486"/>
      <c r="AM117" s="486"/>
      <c r="AN117" s="486"/>
      <c r="AO117" s="486"/>
      <c r="BE117" s="485" t="e">
        <f t="shared" ca="1" si="161"/>
        <v>#NAME?</v>
      </c>
      <c r="BF117" s="734" t="str">
        <f t="shared" si="162"/>
        <v/>
      </c>
      <c r="BG117" s="668" t="e">
        <f t="shared" ca="1" si="163"/>
        <v>#NAME?</v>
      </c>
      <c r="BH117" s="668" t="e">
        <f t="shared" ca="1" si="163"/>
        <v>#NAME?</v>
      </c>
      <c r="BI117" s="668" t="e">
        <f t="shared" ca="1" si="163"/>
        <v>#NAME?</v>
      </c>
      <c r="BJ117" s="668" t="e">
        <f t="shared" ca="1" si="163"/>
        <v>#NAME?</v>
      </c>
      <c r="BK117" s="668" t="e">
        <f t="shared" ca="1" si="163"/>
        <v>#NAME?</v>
      </c>
      <c r="BL117" s="668" t="e">
        <f t="shared" ca="1" si="163"/>
        <v>#NAME?</v>
      </c>
      <c r="BM117" s="668" t="e">
        <f t="shared" ca="1" si="163"/>
        <v>#NAME?</v>
      </c>
      <c r="BN117" s="735" t="e">
        <f t="shared" ca="1" si="164"/>
        <v>#NAME?</v>
      </c>
      <c r="BP117" s="485" t="e">
        <f ca="1">IF(OR(DB_LOAD!AW116="USD",DB_LOAD!AW116='Refi-Annual Review'!$A$3,ISBLANK(DB_LOAD!AW116)),0,1)</f>
        <v>#NAME?</v>
      </c>
      <c r="BQ117" t="str">
        <f>(IF(ISBLANK(DB_LOAD!AR116),"",DB_LOAD!AR116))</f>
        <v/>
      </c>
      <c r="BR117" t="str">
        <f t="shared" si="152"/>
        <v/>
      </c>
      <c r="BS117" t="str">
        <f t="shared" si="153"/>
        <v/>
      </c>
      <c r="BT117" t="str">
        <f t="shared" si="154"/>
        <v>5500000250000016064001572600</v>
      </c>
      <c r="BU117" t="str">
        <f t="shared" si="155"/>
        <v/>
      </c>
      <c r="BV117" t="str">
        <f t="shared" si="156"/>
        <v>7777</v>
      </c>
      <c r="BW117" t="str">
        <f t="shared" si="157"/>
        <v/>
      </c>
      <c r="BX117" t="str">
        <f t="shared" si="158"/>
        <v>1111</v>
      </c>
      <c r="CB117" s="683" t="str">
        <f t="shared" si="159"/>
        <v/>
      </c>
      <c r="CC117" s="683" t="str">
        <f t="shared" si="160"/>
        <v/>
      </c>
      <c r="CD117" s="683" t="str">
        <f>IF(CC117="","",VALUE(MID($BZ$5,1+SUM($CC$3:CC116),CC117)))</f>
        <v/>
      </c>
      <c r="CE117"/>
      <c r="CF117" t="str">
        <f>IF(CD117="","",MID($BZ$4,1+SUM($CD$3:CD116),CD117))</f>
        <v/>
      </c>
    </row>
    <row r="118" spans="3:84" ht="15">
      <c r="C118" s="485">
        <f t="shared" si="121"/>
        <v>119</v>
      </c>
      <c r="D118" s="474" t="str">
        <f>"INCOME STATEMENT ("&amp;T2&amp;")"</f>
        <v>INCOME STATEMENT ()</v>
      </c>
      <c r="E118" s="573"/>
      <c r="F118" s="460">
        <f t="shared" ref="F118:J119" si="166">F87</f>
        <v>2010</v>
      </c>
      <c r="G118" s="460">
        <f t="shared" si="166"/>
        <v>2011</v>
      </c>
      <c r="H118" s="460">
        <f t="shared" si="166"/>
        <v>2012</v>
      </c>
      <c r="I118" s="460">
        <f t="shared" si="166"/>
        <v>2013</v>
      </c>
      <c r="J118" s="460">
        <f t="shared" si="166"/>
        <v>2014</v>
      </c>
      <c r="K118" s="546"/>
      <c r="L118" s="460">
        <f t="shared" ref="L118:O119" si="167">L87</f>
        <v>2011</v>
      </c>
      <c r="M118" s="460">
        <f t="shared" si="167"/>
        <v>2012</v>
      </c>
      <c r="N118" s="460">
        <f t="shared" si="167"/>
        <v>2013</v>
      </c>
      <c r="O118" s="460">
        <f t="shared" si="167"/>
        <v>2014</v>
      </c>
      <c r="P118" s="546"/>
      <c r="Q118" s="460" t="str">
        <f>Q87</f>
        <v>YTD Jan-00</v>
      </c>
      <c r="R118" s="460" t="str">
        <f>R7</f>
        <v>LTM Jan-00</v>
      </c>
      <c r="U118" s="453" t="e">
        <f>U87</f>
        <v>#NUM!</v>
      </c>
      <c r="V118" s="453"/>
      <c r="AJ118" s="474" t="e">
        <f ca="1">"INCOME STATEMENT ("&amp;$A$3&amp;")"</f>
        <v>#NAME?</v>
      </c>
      <c r="AK118" s="460">
        <f t="shared" ref="AK118:AM118" ca="1" si="168">AK7</f>
        <v>-3</v>
      </c>
      <c r="AL118" s="460">
        <f t="shared" ca="1" si="168"/>
        <v>-2</v>
      </c>
      <c r="AM118" s="460">
        <f t="shared" ca="1" si="168"/>
        <v>-1</v>
      </c>
      <c r="AN118" s="460">
        <f ca="1">AN7</f>
        <v>0</v>
      </c>
      <c r="AO118" s="460" t="str">
        <f t="shared" ref="AO118:AP124" si="169">Q118</f>
        <v>YTD Jan-00</v>
      </c>
      <c r="AP118" s="460" t="str">
        <f t="shared" si="169"/>
        <v>LTM Jan-00</v>
      </c>
      <c r="BE118" s="485" t="e">
        <f t="shared" ca="1" si="161"/>
        <v>#NAME?</v>
      </c>
      <c r="BF118" s="734" t="str">
        <f t="shared" si="162"/>
        <v/>
      </c>
      <c r="BG118" s="668" t="e">
        <f t="shared" ca="1" si="163"/>
        <v>#NAME?</v>
      </c>
      <c r="BH118" s="668" t="e">
        <f t="shared" ca="1" si="163"/>
        <v>#NAME?</v>
      </c>
      <c r="BI118" s="668" t="e">
        <f t="shared" ca="1" si="163"/>
        <v>#NAME?</v>
      </c>
      <c r="BJ118" s="668" t="e">
        <f t="shared" ca="1" si="163"/>
        <v>#NAME?</v>
      </c>
      <c r="BK118" s="668" t="e">
        <f t="shared" ca="1" si="163"/>
        <v>#NAME?</v>
      </c>
      <c r="BL118" s="668" t="e">
        <f t="shared" ca="1" si="163"/>
        <v>#NAME?</v>
      </c>
      <c r="BM118" s="668" t="e">
        <f t="shared" ca="1" si="163"/>
        <v>#NAME?</v>
      </c>
      <c r="BN118" s="735" t="e">
        <f t="shared" ca="1" si="164"/>
        <v>#NAME?</v>
      </c>
      <c r="BP118" s="485" t="e">
        <f ca="1">IF(OR(DB_LOAD!AW117="USD",DB_LOAD!AW117='Refi-Annual Review'!$A$3,ISBLANK(DB_LOAD!AW117)),0,1)</f>
        <v>#NAME?</v>
      </c>
      <c r="BQ118" t="str">
        <f>(IF(ISBLANK(DB_LOAD!AR117),"",DB_LOAD!AR117))</f>
        <v/>
      </c>
      <c r="BR118" t="str">
        <f t="shared" si="152"/>
        <v/>
      </c>
      <c r="BS118" t="str">
        <f t="shared" si="153"/>
        <v/>
      </c>
      <c r="BT118" t="str">
        <f t="shared" si="154"/>
        <v>5500000250000016064001572600</v>
      </c>
      <c r="BU118" t="str">
        <f t="shared" si="155"/>
        <v/>
      </c>
      <c r="BV118" t="str">
        <f t="shared" si="156"/>
        <v>7777</v>
      </c>
      <c r="BW118" t="str">
        <f t="shared" si="157"/>
        <v/>
      </c>
      <c r="BX118" t="str">
        <f t="shared" si="158"/>
        <v>1111</v>
      </c>
      <c r="CB118" s="683" t="str">
        <f t="shared" si="159"/>
        <v/>
      </c>
      <c r="CC118" s="683" t="str">
        <f t="shared" si="160"/>
        <v/>
      </c>
      <c r="CD118" s="683" t="str">
        <f>IF(CC118="","",VALUE(MID($BZ$5,1+SUM($CC$3:CC117),CC118)))</f>
        <v/>
      </c>
      <c r="CE118"/>
      <c r="CF118" t="str">
        <f>IF(CD118="","",MID($BZ$4,1+SUM($CD$3:CD117),CD118))</f>
        <v/>
      </c>
    </row>
    <row r="119" spans="3:84" ht="15">
      <c r="C119" s="485">
        <f t="shared" si="121"/>
        <v>120</v>
      </c>
      <c r="D119" s="461"/>
      <c r="E119" s="574"/>
      <c r="F119" s="461" t="str">
        <f t="shared" si="166"/>
        <v>Audited</v>
      </c>
      <c r="G119" s="461" t="str">
        <f t="shared" si="166"/>
        <v>Audited</v>
      </c>
      <c r="H119" s="461" t="str">
        <f t="shared" si="166"/>
        <v>Audited</v>
      </c>
      <c r="I119" s="461" t="str">
        <f t="shared" si="166"/>
        <v>Audited</v>
      </c>
      <c r="J119" s="461" t="str">
        <f t="shared" si="166"/>
        <v>Audited</v>
      </c>
      <c r="K119" s="547"/>
      <c r="L119" s="461" t="str">
        <f t="shared" si="167"/>
        <v>Unaudited</v>
      </c>
      <c r="M119" s="461" t="str">
        <f t="shared" si="167"/>
        <v>Unaudited</v>
      </c>
      <c r="N119" s="461" t="str">
        <f t="shared" si="167"/>
        <v>Unaudited</v>
      </c>
      <c r="O119" s="461" t="str">
        <f t="shared" si="167"/>
        <v>Unaudited</v>
      </c>
      <c r="P119" s="547"/>
      <c r="Q119" s="461" t="str">
        <f>Q88</f>
        <v>Unaudited</v>
      </c>
      <c r="R119" s="461" t="str">
        <f>R6</f>
        <v>Unaudited</v>
      </c>
      <c r="U119" s="452" t="str">
        <f>U88</f>
        <v>Unaudited</v>
      </c>
      <c r="V119" s="452"/>
      <c r="AJ119" s="461"/>
      <c r="AK119" s="461" t="str">
        <f t="shared" ref="AK119:AM119" ca="1" si="170">AK6</f>
        <v>No Financials</v>
      </c>
      <c r="AL119" s="461" t="str">
        <f t="shared" ca="1" si="170"/>
        <v>No Financials</v>
      </c>
      <c r="AM119" s="461" t="str">
        <f t="shared" ca="1" si="170"/>
        <v>No Financials</v>
      </c>
      <c r="AN119" s="461" t="str">
        <f ca="1">AN6</f>
        <v>No Financials</v>
      </c>
      <c r="AO119" s="461" t="str">
        <f t="shared" si="169"/>
        <v>Unaudited</v>
      </c>
      <c r="AP119" s="461" t="str">
        <f t="shared" si="169"/>
        <v>Unaudited</v>
      </c>
      <c r="BE119" s="485" t="e">
        <f t="shared" ca="1" si="161"/>
        <v>#NAME?</v>
      </c>
      <c r="BF119" s="734" t="str">
        <f t="shared" si="162"/>
        <v/>
      </c>
      <c r="BG119" s="668" t="e">
        <f t="shared" ca="1" si="163"/>
        <v>#NAME?</v>
      </c>
      <c r="BH119" s="668" t="e">
        <f t="shared" ca="1" si="163"/>
        <v>#NAME?</v>
      </c>
      <c r="BI119" s="668" t="e">
        <f t="shared" ca="1" si="163"/>
        <v>#NAME?</v>
      </c>
      <c r="BJ119" s="668" t="e">
        <f t="shared" ca="1" si="163"/>
        <v>#NAME?</v>
      </c>
      <c r="BK119" s="668" t="e">
        <f t="shared" ca="1" si="163"/>
        <v>#NAME?</v>
      </c>
      <c r="BL119" s="668" t="e">
        <f t="shared" ca="1" si="163"/>
        <v>#NAME?</v>
      </c>
      <c r="BM119" s="668" t="e">
        <f t="shared" ca="1" si="163"/>
        <v>#NAME?</v>
      </c>
      <c r="BN119" s="735" t="e">
        <f t="shared" ca="1" si="164"/>
        <v>#NAME?</v>
      </c>
      <c r="BP119" s="485" t="e">
        <f ca="1">IF(OR(DB_LOAD!AW118="USD",DB_LOAD!AW118='Refi-Annual Review'!$A$3,ISBLANK(DB_LOAD!AW118)),0,1)</f>
        <v>#NAME?</v>
      </c>
      <c r="BQ119" t="str">
        <f>(IF(ISBLANK(DB_LOAD!AR118),"",DB_LOAD!AR118))</f>
        <v/>
      </c>
      <c r="BR119" t="str">
        <f t="shared" si="152"/>
        <v/>
      </c>
      <c r="BS119" t="str">
        <f t="shared" si="153"/>
        <v/>
      </c>
      <c r="BT119" t="str">
        <f t="shared" si="154"/>
        <v>5500000250000016064001572600</v>
      </c>
      <c r="BU119" t="str">
        <f t="shared" si="155"/>
        <v/>
      </c>
      <c r="BV119" t="str">
        <f t="shared" si="156"/>
        <v>7777</v>
      </c>
      <c r="BW119" t="str">
        <f t="shared" si="157"/>
        <v/>
      </c>
      <c r="BX119" t="str">
        <f t="shared" si="158"/>
        <v>1111</v>
      </c>
      <c r="CB119" s="683" t="str">
        <f t="shared" si="159"/>
        <v/>
      </c>
      <c r="CC119" s="683" t="str">
        <f t="shared" si="160"/>
        <v/>
      </c>
      <c r="CD119" s="683" t="str">
        <f>IF(CC119="","",VALUE(MID($BZ$5,1+SUM($CC$3:CC118),CC119)))</f>
        <v/>
      </c>
      <c r="CE119"/>
      <c r="CF119" t="str">
        <f>IF(CD119="","",MID($BZ$4,1+SUM($CD$3:CD118),CD119))</f>
        <v/>
      </c>
    </row>
    <row r="120" spans="3:84" ht="15">
      <c r="C120" s="485">
        <f t="shared" si="121"/>
        <v>121</v>
      </c>
      <c r="D120" s="463" t="s">
        <v>300</v>
      </c>
      <c r="E120" s="463"/>
      <c r="F120" s="464" t="e">
        <f ca="1">DATA_FORMATTING!CL123/F$117</f>
        <v>#N/A</v>
      </c>
      <c r="G120" s="464" t="e">
        <f ca="1">DATA_FORMATTING!CM123/G$117</f>
        <v>#N/A</v>
      </c>
      <c r="H120" s="464" t="e">
        <f ca="1">DATA_FORMATTING!CN123/H$117</f>
        <v>#N/A</v>
      </c>
      <c r="I120" s="464" t="e">
        <f ca="1">DATA_FORMATTING!CO123/I$117</f>
        <v>#N/A</v>
      </c>
      <c r="J120" s="464" t="e">
        <f ca="1">DATA_FORMATTING!CP123/J$117</f>
        <v>#N/A</v>
      </c>
      <c r="K120" s="464"/>
      <c r="L120" s="464" t="e">
        <f ca="1">DATA_FORMATTING!L181/L$117</f>
        <v>#NAME?</v>
      </c>
      <c r="M120" s="464" t="e">
        <f ca="1">DATA_FORMATTING!M181/M$117</f>
        <v>#NAME?</v>
      </c>
      <c r="N120" s="464" t="e">
        <f ca="1">DATA_FORMATTING!N181/N$117</f>
        <v>#NAME?</v>
      </c>
      <c r="O120" s="464" t="e">
        <f ca="1">DATA_FORMATTING!P181/O$117</f>
        <v>#NAME?</v>
      </c>
      <c r="P120" s="464"/>
      <c r="Q120" s="464" t="e">
        <f ca="1">DATA_FORMATTING!CH123/Q$117</f>
        <v>#NAME?</v>
      </c>
      <c r="R120" s="464" t="e">
        <f ca="1">DATA_FORMATTING!CH186/R$117</f>
        <v>#NAME?</v>
      </c>
      <c r="U120" s="550"/>
      <c r="AJ120" s="463" t="s">
        <v>300</v>
      </c>
      <c r="AK120" s="464" t="e">
        <f t="shared" ref="AK120:AN124" ca="1" si="171">HLOOKUP(AK$4,$G$1:$O$213,$C120-1,FALSE)</f>
        <v>#N/A</v>
      </c>
      <c r="AL120" s="464" t="e">
        <f t="shared" ca="1" si="171"/>
        <v>#N/A</v>
      </c>
      <c r="AM120" s="464" t="e">
        <f t="shared" ca="1" si="171"/>
        <v>#N/A</v>
      </c>
      <c r="AN120" s="464" t="e">
        <f t="shared" ca="1" si="171"/>
        <v>#N/A</v>
      </c>
      <c r="AO120" s="464" t="e">
        <f t="shared" ca="1" si="169"/>
        <v>#NAME?</v>
      </c>
      <c r="AP120" s="842" t="e">
        <f t="shared" ca="1" si="169"/>
        <v>#NAME?</v>
      </c>
      <c r="BE120" s="485" t="e">
        <f t="shared" ca="1" si="161"/>
        <v>#NAME?</v>
      </c>
      <c r="BF120" s="734" t="str">
        <f t="shared" si="162"/>
        <v/>
      </c>
      <c r="BG120" s="668" t="e">
        <f t="shared" ref="BG120:BM129" ca="1" si="172">IF(IF(BG19="",0,BG19)+IF(BG51="",0,BG51)+IF(BG84="",0,BG84)=0,"",IF(BG19="",0,BG19)+IF(BG51="",0,BG51)+IF(BG84="",0,BG84))</f>
        <v>#NAME?</v>
      </c>
      <c r="BH120" s="668" t="e">
        <f t="shared" ca="1" si="172"/>
        <v>#NAME?</v>
      </c>
      <c r="BI120" s="668" t="e">
        <f t="shared" ca="1" si="172"/>
        <v>#NAME?</v>
      </c>
      <c r="BJ120" s="668" t="e">
        <f t="shared" ca="1" si="172"/>
        <v>#NAME?</v>
      </c>
      <c r="BK120" s="668" t="e">
        <f t="shared" ca="1" si="172"/>
        <v>#NAME?</v>
      </c>
      <c r="BL120" s="668" t="e">
        <f t="shared" ca="1" si="172"/>
        <v>#NAME?</v>
      </c>
      <c r="BM120" s="668" t="e">
        <f t="shared" ca="1" si="172"/>
        <v>#NAME?</v>
      </c>
      <c r="BN120" s="735" t="e">
        <f t="shared" ca="1" si="164"/>
        <v>#NAME?</v>
      </c>
      <c r="BP120" s="485" t="e">
        <f ca="1">IF(OR(DB_LOAD!AW119="USD",DB_LOAD!AW119='Refi-Annual Review'!$A$3,ISBLANK(DB_LOAD!AW119)),0,1)</f>
        <v>#NAME?</v>
      </c>
      <c r="BQ120" t="str">
        <f>(IF(ISBLANK(DB_LOAD!AR119),"",DB_LOAD!AR119))</f>
        <v/>
      </c>
      <c r="BR120" t="str">
        <f t="shared" si="152"/>
        <v/>
      </c>
      <c r="BS120" t="str">
        <f t="shared" si="153"/>
        <v/>
      </c>
      <c r="BT120" t="str">
        <f t="shared" si="154"/>
        <v>5500000250000016064001572600</v>
      </c>
      <c r="BU120" t="str">
        <f t="shared" si="155"/>
        <v/>
      </c>
      <c r="BV120" t="str">
        <f t="shared" si="156"/>
        <v>7777</v>
      </c>
      <c r="BW120" t="str">
        <f t="shared" si="157"/>
        <v/>
      </c>
      <c r="BX120" t="str">
        <f t="shared" si="158"/>
        <v>1111</v>
      </c>
      <c r="CB120" s="683" t="str">
        <f t="shared" si="159"/>
        <v/>
      </c>
      <c r="CC120" s="683" t="str">
        <f t="shared" si="160"/>
        <v/>
      </c>
      <c r="CD120" s="683" t="str">
        <f>IF(CC120="","",VALUE(MID($BZ$5,1+SUM($CC$3:CC119),CC120)))</f>
        <v/>
      </c>
      <c r="CE120"/>
      <c r="CF120" t="str">
        <f>IF(CD120="","",MID($BZ$4,1+SUM($CD$3:CD119),CD120))</f>
        <v/>
      </c>
    </row>
    <row r="121" spans="3:84" ht="15">
      <c r="C121" s="485">
        <f t="shared" si="121"/>
        <v>122</v>
      </c>
      <c r="D121" s="463" t="s">
        <v>67</v>
      </c>
      <c r="E121" s="463"/>
      <c r="F121" s="464" t="e">
        <f ca="1">DATA_FORMATTING!CL124/F$117</f>
        <v>#N/A</v>
      </c>
      <c r="G121" s="464" t="e">
        <f ca="1">DATA_FORMATTING!CM124/G$117</f>
        <v>#N/A</v>
      </c>
      <c r="H121" s="464" t="e">
        <f ca="1">DATA_FORMATTING!CN124/H$117</f>
        <v>#N/A</v>
      </c>
      <c r="I121" s="464" t="e">
        <f ca="1">DATA_FORMATTING!CO124/I$117</f>
        <v>#N/A</v>
      </c>
      <c r="J121" s="464" t="e">
        <f ca="1">DATA_FORMATTING!CP124/J$117</f>
        <v>#N/A</v>
      </c>
      <c r="K121" s="464"/>
      <c r="L121" s="464" t="e">
        <f ca="1">DATA_FORMATTING!L182/L$117</f>
        <v>#NAME?</v>
      </c>
      <c r="M121" s="464" t="e">
        <f ca="1">DATA_FORMATTING!M182/M$117</f>
        <v>#NAME?</v>
      </c>
      <c r="N121" s="464" t="e">
        <f ca="1">DATA_FORMATTING!N182/N$117</f>
        <v>#NAME?</v>
      </c>
      <c r="O121" s="464" t="e">
        <f ca="1">DATA_FORMATTING!P182/O$117</f>
        <v>#NAME?</v>
      </c>
      <c r="P121" s="464"/>
      <c r="Q121" s="464" t="e">
        <f ca="1">DATA_FORMATTING!CH124/Q$117</f>
        <v>#NAME?</v>
      </c>
      <c r="R121" s="464" t="e">
        <f ca="1">DATA_FORMATTING!CH187/R$117</f>
        <v>#NAME?</v>
      </c>
      <c r="U121" s="550"/>
      <c r="AJ121" s="463" t="s">
        <v>67</v>
      </c>
      <c r="AK121" s="464" t="e">
        <f t="shared" ca="1" si="171"/>
        <v>#N/A</v>
      </c>
      <c r="AL121" s="464" t="e">
        <f t="shared" ca="1" si="171"/>
        <v>#N/A</v>
      </c>
      <c r="AM121" s="464" t="e">
        <f t="shared" ca="1" si="171"/>
        <v>#N/A</v>
      </c>
      <c r="AN121" s="464" t="e">
        <f t="shared" ca="1" si="171"/>
        <v>#N/A</v>
      </c>
      <c r="AO121" s="464" t="e">
        <f t="shared" ca="1" si="169"/>
        <v>#NAME?</v>
      </c>
      <c r="AP121" s="842" t="e">
        <f t="shared" ca="1" si="169"/>
        <v>#NAME?</v>
      </c>
      <c r="BE121" s="485" t="e">
        <f t="shared" ca="1" si="161"/>
        <v>#NAME?</v>
      </c>
      <c r="BF121" s="734" t="str">
        <f t="shared" si="162"/>
        <v/>
      </c>
      <c r="BG121" s="668" t="e">
        <f t="shared" ca="1" si="172"/>
        <v>#NAME?</v>
      </c>
      <c r="BH121" s="668" t="e">
        <f t="shared" ca="1" si="172"/>
        <v>#NAME?</v>
      </c>
      <c r="BI121" s="668" t="e">
        <f t="shared" ca="1" si="172"/>
        <v>#NAME?</v>
      </c>
      <c r="BJ121" s="668" t="e">
        <f t="shared" ca="1" si="172"/>
        <v>#NAME?</v>
      </c>
      <c r="BK121" s="668" t="e">
        <f t="shared" ca="1" si="172"/>
        <v>#NAME?</v>
      </c>
      <c r="BL121" s="668" t="e">
        <f t="shared" ca="1" si="172"/>
        <v>#NAME?</v>
      </c>
      <c r="BM121" s="668" t="e">
        <f t="shared" ca="1" si="172"/>
        <v>#NAME?</v>
      </c>
      <c r="BN121" s="735" t="e">
        <f t="shared" ca="1" si="164"/>
        <v>#NAME?</v>
      </c>
      <c r="BP121" s="485" t="e">
        <f ca="1">IF(OR(DB_LOAD!AW120="USD",DB_LOAD!AW120='Refi-Annual Review'!$A$3,ISBLANK(DB_LOAD!AW120)),0,1)</f>
        <v>#NAME?</v>
      </c>
      <c r="BQ121" t="str">
        <f>(IF(ISBLANK(DB_LOAD!AR120),"",DB_LOAD!AR120))</f>
        <v/>
      </c>
      <c r="BR121" t="str">
        <f t="shared" si="152"/>
        <v/>
      </c>
      <c r="BS121" t="str">
        <f t="shared" si="153"/>
        <v/>
      </c>
      <c r="BT121" t="str">
        <f t="shared" si="154"/>
        <v>5500000250000016064001572600</v>
      </c>
      <c r="BU121" t="str">
        <f t="shared" si="155"/>
        <v/>
      </c>
      <c r="BV121" t="str">
        <f t="shared" si="156"/>
        <v>7777</v>
      </c>
      <c r="BW121" t="str">
        <f t="shared" si="157"/>
        <v/>
      </c>
      <c r="BX121" t="str">
        <f t="shared" si="158"/>
        <v>1111</v>
      </c>
      <c r="CB121" s="683" t="str">
        <f t="shared" si="159"/>
        <v/>
      </c>
      <c r="CC121" s="683" t="str">
        <f t="shared" si="160"/>
        <v/>
      </c>
      <c r="CD121" s="683" t="str">
        <f>IF(CC121="","",VALUE(MID($BZ$5,1+SUM($CC$3:CC120),CC121)))</f>
        <v/>
      </c>
      <c r="CE121"/>
      <c r="CF121" t="str">
        <f>IF(CD121="","",MID($BZ$4,1+SUM($CD$3:CD120),CD121))</f>
        <v/>
      </c>
    </row>
    <row r="122" spans="3:84" ht="15">
      <c r="C122" s="485">
        <f t="shared" si="121"/>
        <v>123</v>
      </c>
      <c r="D122" s="467" t="s">
        <v>72</v>
      </c>
      <c r="E122" s="467"/>
      <c r="F122" s="464" t="e">
        <f ca="1">DATA_FORMATTING!CL125/F$117</f>
        <v>#N/A</v>
      </c>
      <c r="G122" s="464" t="e">
        <f ca="1">DATA_FORMATTING!CM125/G$117</f>
        <v>#N/A</v>
      </c>
      <c r="H122" s="464" t="e">
        <f ca="1">DATA_FORMATTING!CN125/H$117</f>
        <v>#N/A</v>
      </c>
      <c r="I122" s="464" t="e">
        <f ca="1">DATA_FORMATTING!CO125/I$117</f>
        <v>#N/A</v>
      </c>
      <c r="J122" s="464" t="e">
        <f ca="1">DATA_FORMATTING!CP125/J$117</f>
        <v>#N/A</v>
      </c>
      <c r="K122" s="464"/>
      <c r="L122" s="464" t="e">
        <f ca="1">DATA_FORMATTING!L183/L$117</f>
        <v>#NAME?</v>
      </c>
      <c r="M122" s="464" t="e">
        <f ca="1">DATA_FORMATTING!M183/M$117</f>
        <v>#NAME?</v>
      </c>
      <c r="N122" s="464" t="e">
        <f ca="1">DATA_FORMATTING!N183/N$117</f>
        <v>#NAME?</v>
      </c>
      <c r="O122" s="464" t="e">
        <f ca="1">DATA_FORMATTING!P183/O$117</f>
        <v>#NAME?</v>
      </c>
      <c r="P122" s="464"/>
      <c r="Q122" s="464" t="e">
        <f ca="1">DATA_FORMATTING!CH125/Q$117</f>
        <v>#NAME?</v>
      </c>
      <c r="R122" s="464" t="e">
        <f ca="1">DATA_FORMATTING!CH188/R$117</f>
        <v>#NAME?</v>
      </c>
      <c r="U122" s="550"/>
      <c r="AJ122" s="467" t="s">
        <v>72</v>
      </c>
      <c r="AK122" s="464" t="e">
        <f t="shared" ca="1" si="171"/>
        <v>#N/A</v>
      </c>
      <c r="AL122" s="464" t="e">
        <f t="shared" ca="1" si="171"/>
        <v>#N/A</v>
      </c>
      <c r="AM122" s="464" t="e">
        <f t="shared" ca="1" si="171"/>
        <v>#N/A</v>
      </c>
      <c r="AN122" s="464" t="e">
        <f t="shared" ca="1" si="171"/>
        <v>#N/A</v>
      </c>
      <c r="AO122" s="464" t="e">
        <f t="shared" ca="1" si="169"/>
        <v>#NAME?</v>
      </c>
      <c r="AP122" s="842" t="e">
        <f t="shared" ca="1" si="169"/>
        <v>#NAME?</v>
      </c>
      <c r="BE122" s="485" t="e">
        <f t="shared" ca="1" si="161"/>
        <v>#NAME?</v>
      </c>
      <c r="BF122" s="734" t="str">
        <f t="shared" si="162"/>
        <v/>
      </c>
      <c r="BG122" s="668" t="e">
        <f t="shared" ca="1" si="172"/>
        <v>#NAME?</v>
      </c>
      <c r="BH122" s="668" t="e">
        <f t="shared" ca="1" si="172"/>
        <v>#NAME?</v>
      </c>
      <c r="BI122" s="668" t="e">
        <f t="shared" ca="1" si="172"/>
        <v>#NAME?</v>
      </c>
      <c r="BJ122" s="668" t="e">
        <f t="shared" ca="1" si="172"/>
        <v>#NAME?</v>
      </c>
      <c r="BK122" s="668" t="e">
        <f t="shared" ca="1" si="172"/>
        <v>#NAME?</v>
      </c>
      <c r="BL122" s="668" t="e">
        <f t="shared" ca="1" si="172"/>
        <v>#NAME?</v>
      </c>
      <c r="BM122" s="668" t="e">
        <f t="shared" ca="1" si="172"/>
        <v>#NAME?</v>
      </c>
      <c r="BN122" s="735" t="e">
        <f t="shared" ca="1" si="164"/>
        <v>#NAME?</v>
      </c>
      <c r="BP122" s="485" t="e">
        <f ca="1">IF(OR(DB_LOAD!AW121="USD",DB_LOAD!AW121='Refi-Annual Review'!$A$3,ISBLANK(DB_LOAD!AW121)),0,1)</f>
        <v>#NAME?</v>
      </c>
      <c r="BQ122" t="str">
        <f>(IF(ISBLANK(DB_LOAD!AR121),"",DB_LOAD!AR121))</f>
        <v/>
      </c>
      <c r="BR122" t="str">
        <f t="shared" si="152"/>
        <v/>
      </c>
      <c r="BS122" t="str">
        <f t="shared" si="153"/>
        <v/>
      </c>
      <c r="BT122" t="str">
        <f t="shared" si="154"/>
        <v>5500000250000016064001572600</v>
      </c>
      <c r="BU122" t="str">
        <f t="shared" si="155"/>
        <v/>
      </c>
      <c r="BV122" t="str">
        <f t="shared" si="156"/>
        <v>7777</v>
      </c>
      <c r="BW122" t="str">
        <f t="shared" si="157"/>
        <v/>
      </c>
      <c r="BX122" t="str">
        <f t="shared" si="158"/>
        <v>1111</v>
      </c>
      <c r="CB122" s="683" t="str">
        <f t="shared" si="159"/>
        <v/>
      </c>
      <c r="CC122" s="683" t="str">
        <f t="shared" si="160"/>
        <v/>
      </c>
      <c r="CD122" s="683" t="str">
        <f>IF(CC122="","",VALUE(MID($BZ$5,1+SUM($CC$3:CC121),CC122)))</f>
        <v/>
      </c>
      <c r="CE122"/>
      <c r="CF122" t="str">
        <f>IF(CD122="","",MID($BZ$4,1+SUM($CD$3:CD121),CD122))</f>
        <v/>
      </c>
    </row>
    <row r="123" spans="3:84" ht="15">
      <c r="C123" s="485">
        <f t="shared" si="121"/>
        <v>124</v>
      </c>
      <c r="D123" s="475" t="s">
        <v>77</v>
      </c>
      <c r="E123" s="475"/>
      <c r="F123" s="464" t="e">
        <f ca="1">DATA_FORMATTING!CL126/F$117</f>
        <v>#N/A</v>
      </c>
      <c r="G123" s="464" t="e">
        <f ca="1">DATA_FORMATTING!CM126/G$117</f>
        <v>#N/A</v>
      </c>
      <c r="H123" s="464" t="e">
        <f ca="1">DATA_FORMATTING!CN126/H$117</f>
        <v>#N/A</v>
      </c>
      <c r="I123" s="464" t="e">
        <f ca="1">DATA_FORMATTING!CO126/I$117</f>
        <v>#N/A</v>
      </c>
      <c r="J123" s="464" t="e">
        <f ca="1">DATA_FORMATTING!CP126/J$117</f>
        <v>#N/A</v>
      </c>
      <c r="K123" s="464"/>
      <c r="L123" s="464" t="e">
        <f ca="1">DATA_FORMATTING!L184/L$117</f>
        <v>#NAME?</v>
      </c>
      <c r="M123" s="464" t="e">
        <f ca="1">DATA_FORMATTING!M184/M$117</f>
        <v>#NAME?</v>
      </c>
      <c r="N123" s="464" t="e">
        <f ca="1">DATA_FORMATTING!N184/N$117</f>
        <v>#NAME?</v>
      </c>
      <c r="O123" s="464" t="e">
        <f ca="1">DATA_FORMATTING!P184/O$117</f>
        <v>#NAME?</v>
      </c>
      <c r="P123" s="464"/>
      <c r="Q123" s="464" t="e">
        <f ca="1">DATA_FORMATTING!CH126/Q$117</f>
        <v>#NAME?</v>
      </c>
      <c r="R123" s="464" t="e">
        <f ca="1">DATA_FORMATTING!CH189/R$117</f>
        <v>#NAME?</v>
      </c>
      <c r="U123" s="550"/>
      <c r="AJ123" s="475" t="s">
        <v>77</v>
      </c>
      <c r="AK123" s="464" t="e">
        <f t="shared" ca="1" si="171"/>
        <v>#N/A</v>
      </c>
      <c r="AL123" s="464" t="e">
        <f t="shared" ca="1" si="171"/>
        <v>#N/A</v>
      </c>
      <c r="AM123" s="464" t="e">
        <f t="shared" ca="1" si="171"/>
        <v>#N/A</v>
      </c>
      <c r="AN123" s="464" t="e">
        <f t="shared" ca="1" si="171"/>
        <v>#N/A</v>
      </c>
      <c r="AO123" s="464" t="e">
        <f t="shared" ca="1" si="169"/>
        <v>#NAME?</v>
      </c>
      <c r="AP123" s="842" t="e">
        <f t="shared" ca="1" si="169"/>
        <v>#NAME?</v>
      </c>
      <c r="BE123" s="485" t="e">
        <f t="shared" ca="1" si="161"/>
        <v>#NAME?</v>
      </c>
      <c r="BF123" s="734" t="str">
        <f t="shared" si="162"/>
        <v/>
      </c>
      <c r="BG123" s="668" t="e">
        <f t="shared" ca="1" si="172"/>
        <v>#NAME?</v>
      </c>
      <c r="BH123" s="668" t="e">
        <f t="shared" ca="1" si="172"/>
        <v>#NAME?</v>
      </c>
      <c r="BI123" s="668" t="e">
        <f t="shared" ca="1" si="172"/>
        <v>#NAME?</v>
      </c>
      <c r="BJ123" s="668" t="e">
        <f t="shared" ca="1" si="172"/>
        <v>#NAME?</v>
      </c>
      <c r="BK123" s="668" t="e">
        <f t="shared" ca="1" si="172"/>
        <v>#NAME?</v>
      </c>
      <c r="BL123" s="668" t="e">
        <f t="shared" ca="1" si="172"/>
        <v>#NAME?</v>
      </c>
      <c r="BM123" s="668" t="e">
        <f t="shared" ca="1" si="172"/>
        <v>#NAME?</v>
      </c>
      <c r="BN123" s="735" t="e">
        <f t="shared" ca="1" si="164"/>
        <v>#NAME?</v>
      </c>
      <c r="BP123" s="485" t="e">
        <f ca="1">IF(OR(DB_LOAD!AW122="USD",DB_LOAD!AW122='Refi-Annual Review'!$A$3,ISBLANK(DB_LOAD!AW122)),0,1)</f>
        <v>#NAME?</v>
      </c>
      <c r="BQ123" t="str">
        <f>(IF(ISBLANK(DB_LOAD!AR122),"",DB_LOAD!AR122))</f>
        <v/>
      </c>
      <c r="BR123" t="str">
        <f t="shared" si="152"/>
        <v/>
      </c>
      <c r="BS123" t="str">
        <f t="shared" si="153"/>
        <v/>
      </c>
      <c r="BT123" t="str">
        <f t="shared" si="154"/>
        <v>5500000250000016064001572600</v>
      </c>
      <c r="BU123" t="str">
        <f t="shared" si="155"/>
        <v/>
      </c>
      <c r="BV123" t="str">
        <f t="shared" si="156"/>
        <v>7777</v>
      </c>
      <c r="BW123" t="str">
        <f t="shared" si="157"/>
        <v/>
      </c>
      <c r="BX123" t="str">
        <f t="shared" si="158"/>
        <v>1111</v>
      </c>
      <c r="CB123" s="683" t="str">
        <f t="shared" si="159"/>
        <v/>
      </c>
      <c r="CC123" s="683" t="str">
        <f t="shared" si="160"/>
        <v/>
      </c>
      <c r="CD123" s="683" t="str">
        <f>IF(CC123="","",VALUE(MID($BZ$5,1+SUM($CC$3:CC122),CC123)))</f>
        <v/>
      </c>
      <c r="CE123"/>
      <c r="CF123" t="str">
        <f>IF(CD123="","",MID($BZ$4,1+SUM($CD$3:CD122),CD123))</f>
        <v/>
      </c>
    </row>
    <row r="124" spans="3:84" ht="15">
      <c r="C124" s="485">
        <f t="shared" si="121"/>
        <v>125</v>
      </c>
      <c r="D124" s="476" t="s">
        <v>82</v>
      </c>
      <c r="E124" s="575"/>
      <c r="F124" s="665" t="e">
        <f ca="1">SUM(F120:F123)</f>
        <v>#N/A</v>
      </c>
      <c r="G124" s="665" t="e">
        <f ca="1">SUM(G120:G123)</f>
        <v>#N/A</v>
      </c>
      <c r="H124" s="665" t="e">
        <f ca="1">SUM(H120:H123)</f>
        <v>#N/A</v>
      </c>
      <c r="I124" s="665" t="e">
        <f ca="1">SUM(I120:I123)</f>
        <v>#N/A</v>
      </c>
      <c r="J124" s="665" t="e">
        <f ca="1">SUM(J120:J123)</f>
        <v>#N/A</v>
      </c>
      <c r="K124" s="466"/>
      <c r="L124" s="665" t="e">
        <f ca="1">SUM(L120:L123)</f>
        <v>#NAME?</v>
      </c>
      <c r="M124" s="665" t="e">
        <f ca="1">SUM(M120:M123)</f>
        <v>#NAME?</v>
      </c>
      <c r="N124" s="665" t="e">
        <f ca="1">SUM(N120:N123)</f>
        <v>#NAME?</v>
      </c>
      <c r="O124" s="665" t="e">
        <f ca="1">SUM(O120:O123)</f>
        <v>#NAME?</v>
      </c>
      <c r="P124" s="660"/>
      <c r="Q124" s="665" t="e">
        <f ca="1">SUM(Q120:Q123)</f>
        <v>#NAME?</v>
      </c>
      <c r="R124" s="665" t="e">
        <f ca="1">SUM(R120:R123)</f>
        <v>#NAME?</v>
      </c>
      <c r="U124" s="666">
        <f>SUM(U120:U123)</f>
        <v>0</v>
      </c>
      <c r="V124" s="665">
        <f>SUM(V120:V123)</f>
        <v>0</v>
      </c>
      <c r="AJ124" s="476" t="s">
        <v>82</v>
      </c>
      <c r="AK124" s="665" t="e">
        <f t="shared" ca="1" si="171"/>
        <v>#N/A</v>
      </c>
      <c r="AL124" s="665" t="e">
        <f t="shared" ca="1" si="171"/>
        <v>#N/A</v>
      </c>
      <c r="AM124" s="665" t="e">
        <f t="shared" ca="1" si="171"/>
        <v>#N/A</v>
      </c>
      <c r="AN124" s="665" t="e">
        <f t="shared" ca="1" si="171"/>
        <v>#N/A</v>
      </c>
      <c r="AO124" s="665" t="e">
        <f t="shared" ca="1" si="169"/>
        <v>#NAME?</v>
      </c>
      <c r="AP124" s="666" t="e">
        <f t="shared" ca="1" si="169"/>
        <v>#NAME?</v>
      </c>
      <c r="BE124" s="485" t="e">
        <f t="shared" ca="1" si="161"/>
        <v>#NAME?</v>
      </c>
      <c r="BF124" s="734" t="str">
        <f t="shared" si="162"/>
        <v/>
      </c>
      <c r="BG124" s="668" t="e">
        <f t="shared" ca="1" si="172"/>
        <v>#NAME?</v>
      </c>
      <c r="BH124" s="668" t="e">
        <f t="shared" ca="1" si="172"/>
        <v>#NAME?</v>
      </c>
      <c r="BI124" s="668" t="e">
        <f t="shared" ca="1" si="172"/>
        <v>#NAME?</v>
      </c>
      <c r="BJ124" s="668" t="e">
        <f t="shared" ca="1" si="172"/>
        <v>#NAME?</v>
      </c>
      <c r="BK124" s="668" t="e">
        <f t="shared" ca="1" si="172"/>
        <v>#NAME?</v>
      </c>
      <c r="BL124" s="668" t="e">
        <f t="shared" ca="1" si="172"/>
        <v>#NAME?</v>
      </c>
      <c r="BM124" s="668" t="e">
        <f t="shared" ca="1" si="172"/>
        <v>#NAME?</v>
      </c>
      <c r="BN124" s="735" t="e">
        <f t="shared" ca="1" si="164"/>
        <v>#NAME?</v>
      </c>
      <c r="BP124" s="485" t="e">
        <f ca="1">IF(OR(DB_LOAD!AW123="USD",DB_LOAD!AW123='Refi-Annual Review'!$A$3,ISBLANK(DB_LOAD!AW123)),0,1)</f>
        <v>#NAME?</v>
      </c>
      <c r="BQ124" t="str">
        <f>(IF(ISBLANK(DB_LOAD!AR123),"",DB_LOAD!AR123))</f>
        <v/>
      </c>
      <c r="BR124" t="str">
        <f t="shared" si="152"/>
        <v/>
      </c>
      <c r="BS124" t="str">
        <f t="shared" si="153"/>
        <v/>
      </c>
      <c r="BT124" t="str">
        <f t="shared" si="154"/>
        <v>5500000250000016064001572600</v>
      </c>
      <c r="BU124" t="str">
        <f t="shared" si="155"/>
        <v/>
      </c>
      <c r="BV124" t="str">
        <f t="shared" si="156"/>
        <v>7777</v>
      </c>
      <c r="BW124" t="str">
        <f t="shared" si="157"/>
        <v/>
      </c>
      <c r="BX124" t="str">
        <f t="shared" si="158"/>
        <v>1111</v>
      </c>
      <c r="CB124" s="683" t="str">
        <f t="shared" si="159"/>
        <v/>
      </c>
      <c r="CC124" s="683" t="str">
        <f t="shared" si="160"/>
        <v/>
      </c>
      <c r="CD124" s="683" t="str">
        <f>IF(CC124="","",VALUE(MID($BZ$5,1+SUM($CC$3:CC123),CC124)))</f>
        <v/>
      </c>
      <c r="CE124"/>
      <c r="CF124" t="str">
        <f>IF(CD124="","",MID($BZ$4,1+SUM($CD$3:CD123),CD124))</f>
        <v/>
      </c>
    </row>
    <row r="125" spans="3:84" ht="15">
      <c r="C125" s="485">
        <f t="shared" si="121"/>
        <v>126</v>
      </c>
      <c r="D125" s="468" t="s">
        <v>87</v>
      </c>
      <c r="E125" s="481"/>
      <c r="F125" s="552" t="e">
        <f ca="1">F124/F$120</f>
        <v>#N/A</v>
      </c>
      <c r="G125" s="552" t="e">
        <f ca="1">G124/G$120</f>
        <v>#N/A</v>
      </c>
      <c r="H125" s="552" t="e">
        <f ca="1">H124/H$120</f>
        <v>#N/A</v>
      </c>
      <c r="I125" s="552" t="e">
        <f ca="1">I124/I$120</f>
        <v>#N/A</v>
      </c>
      <c r="J125" s="552" t="e">
        <f ca="1">J124/J$120</f>
        <v>#N/A</v>
      </c>
      <c r="K125" s="552"/>
      <c r="L125" s="552" t="e">
        <f ca="1">L124/L$120</f>
        <v>#NAME?</v>
      </c>
      <c r="M125" s="552" t="e">
        <f ca="1">M124/M$120</f>
        <v>#NAME?</v>
      </c>
      <c r="N125" s="552" t="e">
        <f ca="1">N124/N$120</f>
        <v>#NAME?</v>
      </c>
      <c r="O125" s="552" t="e">
        <f ca="1">O124/O$120</f>
        <v>#NAME?</v>
      </c>
      <c r="P125" s="552"/>
      <c r="Q125" s="552" t="e">
        <f ca="1">Q124/Q$120</f>
        <v>#NAME?</v>
      </c>
      <c r="R125" s="552" t="e">
        <f ca="1">R124/R$120</f>
        <v>#NAME?</v>
      </c>
      <c r="U125" s="553"/>
      <c r="AJ125" s="468" t="s">
        <v>87</v>
      </c>
      <c r="AK125" s="552" t="e">
        <f ca="1">IF($AT$2=TRUE,IF($AT$3=TRUE,K125,F125),IF($AT$3=TRUE,L125,G125))</f>
        <v>#NAME?</v>
      </c>
      <c r="AL125" s="552" t="e">
        <f ca="1">AL124/AL120</f>
        <v>#N/A</v>
      </c>
      <c r="AM125" s="552" t="e">
        <f t="shared" ref="AM125:AP125" ca="1" si="173">AM124/AM120</f>
        <v>#N/A</v>
      </c>
      <c r="AN125" s="552" t="e">
        <f t="shared" ca="1" si="173"/>
        <v>#N/A</v>
      </c>
      <c r="AO125" s="552" t="e">
        <f t="shared" ca="1" si="173"/>
        <v>#NAME?</v>
      </c>
      <c r="AP125" s="843" t="e">
        <f t="shared" ca="1" si="173"/>
        <v>#NAME?</v>
      </c>
      <c r="BE125" s="485" t="e">
        <f t="shared" ca="1" si="161"/>
        <v>#NAME?</v>
      </c>
      <c r="BF125" s="734" t="str">
        <f t="shared" si="162"/>
        <v/>
      </c>
      <c r="BG125" s="668" t="e">
        <f t="shared" ca="1" si="172"/>
        <v>#NAME?</v>
      </c>
      <c r="BH125" s="668" t="e">
        <f t="shared" ca="1" si="172"/>
        <v>#NAME?</v>
      </c>
      <c r="BI125" s="668" t="e">
        <f t="shared" ca="1" si="172"/>
        <v>#NAME?</v>
      </c>
      <c r="BJ125" s="668" t="e">
        <f t="shared" ca="1" si="172"/>
        <v>#NAME?</v>
      </c>
      <c r="BK125" s="668" t="e">
        <f t="shared" ca="1" si="172"/>
        <v>#NAME?</v>
      </c>
      <c r="BL125" s="668" t="e">
        <f t="shared" ca="1" si="172"/>
        <v>#NAME?</v>
      </c>
      <c r="BM125" s="668" t="e">
        <f t="shared" ca="1" si="172"/>
        <v>#NAME?</v>
      </c>
      <c r="BN125" s="735" t="e">
        <f t="shared" ca="1" si="164"/>
        <v>#NAME?</v>
      </c>
      <c r="BP125" s="485" t="e">
        <f ca="1">IF(OR(DB_LOAD!AW124="USD",DB_LOAD!AW124='Refi-Annual Review'!$A$3,ISBLANK(DB_LOAD!AW124)),0,1)</f>
        <v>#NAME?</v>
      </c>
      <c r="BQ125" t="str">
        <f>(IF(ISBLANK(DB_LOAD!AR124),"",DB_LOAD!AR124))</f>
        <v/>
      </c>
      <c r="BR125" t="str">
        <f t="shared" si="152"/>
        <v/>
      </c>
      <c r="BS125" t="str">
        <f t="shared" si="153"/>
        <v/>
      </c>
      <c r="BT125" t="str">
        <f t="shared" si="154"/>
        <v>5500000250000016064001572600</v>
      </c>
      <c r="BU125" t="str">
        <f t="shared" si="155"/>
        <v/>
      </c>
      <c r="BV125" t="str">
        <f t="shared" si="156"/>
        <v>7777</v>
      </c>
      <c r="BW125" t="str">
        <f t="shared" si="157"/>
        <v/>
      </c>
      <c r="BX125" t="str">
        <f t="shared" si="158"/>
        <v>1111</v>
      </c>
      <c r="CB125" s="683" t="str">
        <f t="shared" si="159"/>
        <v/>
      </c>
      <c r="CC125" s="683" t="str">
        <f t="shared" si="160"/>
        <v/>
      </c>
      <c r="CD125" s="683" t="str">
        <f>IF(CC125="","",VALUE(MID($BZ$5,1+SUM($CC$3:CC124),CC125)))</f>
        <v/>
      </c>
      <c r="CE125"/>
      <c r="CF125" t="str">
        <f>IF(CD125="","",MID($BZ$4,1+SUM($CD$3:CD124),CD125))</f>
        <v/>
      </c>
    </row>
    <row r="126" spans="3:84" ht="15">
      <c r="C126" s="485">
        <f t="shared" si="121"/>
        <v>127</v>
      </c>
      <c r="D126" s="466"/>
      <c r="E126" s="466"/>
      <c r="F126" s="464"/>
      <c r="G126" s="464"/>
      <c r="H126" s="464"/>
      <c r="I126" s="464"/>
      <c r="J126" s="464"/>
      <c r="K126" s="464"/>
      <c r="L126" s="464"/>
      <c r="M126" s="464"/>
      <c r="N126" s="464"/>
      <c r="O126" s="464"/>
      <c r="P126" s="464"/>
      <c r="Q126" s="464"/>
      <c r="R126" s="464"/>
      <c r="U126" s="550"/>
      <c r="AJ126" s="466"/>
      <c r="AK126" s="464"/>
      <c r="AL126" s="464"/>
      <c r="AM126" s="464"/>
      <c r="AN126" s="464"/>
      <c r="AO126" s="464"/>
      <c r="AP126" s="842"/>
      <c r="BE126" s="485" t="e">
        <f t="shared" ca="1" si="161"/>
        <v>#NAME?</v>
      </c>
      <c r="BF126" s="734" t="str">
        <f t="shared" si="162"/>
        <v/>
      </c>
      <c r="BG126" s="668" t="e">
        <f t="shared" ca="1" si="172"/>
        <v>#NAME?</v>
      </c>
      <c r="BH126" s="668" t="e">
        <f t="shared" ca="1" si="172"/>
        <v>#NAME?</v>
      </c>
      <c r="BI126" s="668" t="e">
        <f t="shared" ca="1" si="172"/>
        <v>#NAME?</v>
      </c>
      <c r="BJ126" s="668" t="e">
        <f t="shared" ca="1" si="172"/>
        <v>#NAME?</v>
      </c>
      <c r="BK126" s="668" t="e">
        <f t="shared" ca="1" si="172"/>
        <v>#NAME?</v>
      </c>
      <c r="BL126" s="668" t="e">
        <f t="shared" ca="1" si="172"/>
        <v>#NAME?</v>
      </c>
      <c r="BM126" s="668" t="e">
        <f t="shared" ca="1" si="172"/>
        <v>#NAME?</v>
      </c>
      <c r="BN126" s="735" t="e">
        <f t="shared" ca="1" si="164"/>
        <v>#NAME?</v>
      </c>
      <c r="BP126" s="485" t="e">
        <f ca="1">IF(OR(DB_LOAD!AW125="USD",DB_LOAD!AW125='Refi-Annual Review'!$A$3,ISBLANK(DB_LOAD!AW125)),0,1)</f>
        <v>#NAME?</v>
      </c>
      <c r="BQ126" t="str">
        <f>(IF(ISBLANK(DB_LOAD!AR125),"",DB_LOAD!AR125))</f>
        <v/>
      </c>
      <c r="BR126" t="str">
        <f t="shared" si="152"/>
        <v/>
      </c>
      <c r="BS126" t="str">
        <f t="shared" si="153"/>
        <v/>
      </c>
      <c r="BT126" t="str">
        <f t="shared" si="154"/>
        <v>5500000250000016064001572600</v>
      </c>
      <c r="BU126" t="str">
        <f t="shared" si="155"/>
        <v/>
      </c>
      <c r="BV126" t="str">
        <f t="shared" si="156"/>
        <v>7777</v>
      </c>
      <c r="BW126" t="str">
        <f t="shared" si="157"/>
        <v/>
      </c>
      <c r="BX126" t="str">
        <f t="shared" si="158"/>
        <v>1111</v>
      </c>
      <c r="CB126" s="683" t="str">
        <f t="shared" si="159"/>
        <v/>
      </c>
      <c r="CC126" s="683" t="str">
        <f t="shared" si="160"/>
        <v/>
      </c>
      <c r="CD126" s="683" t="str">
        <f>IF(CC126="","",VALUE(MID($BZ$5,1+SUM($CC$3:CC125),CC126)))</f>
        <v/>
      </c>
      <c r="CE126"/>
      <c r="CF126" t="str">
        <f>IF(CD126="","",MID($BZ$4,1+SUM($CD$3:CD125),CD126))</f>
        <v/>
      </c>
    </row>
    <row r="127" spans="3:84" ht="15">
      <c r="C127" s="485">
        <f t="shared" si="121"/>
        <v>128</v>
      </c>
      <c r="D127" s="463" t="s">
        <v>95</v>
      </c>
      <c r="E127" s="463"/>
      <c r="F127" s="464" t="e">
        <f ca="1">DATA_FORMATTING!CL130/F$117</f>
        <v>#N/A</v>
      </c>
      <c r="G127" s="464" t="e">
        <f ca="1">DATA_FORMATTING!CM130/G$117</f>
        <v>#N/A</v>
      </c>
      <c r="H127" s="464" t="e">
        <f ca="1">DATA_FORMATTING!CN130/H$117</f>
        <v>#N/A</v>
      </c>
      <c r="I127" s="464" t="e">
        <f ca="1">DATA_FORMATTING!CO130/I$117</f>
        <v>#N/A</v>
      </c>
      <c r="J127" s="464" t="e">
        <f ca="1">DATA_FORMATTING!CP130/J$117</f>
        <v>#N/A</v>
      </c>
      <c r="K127" s="464"/>
      <c r="L127" s="464" t="e">
        <f ca="1">DATA_FORMATTING!L188/L$117</f>
        <v>#NAME?</v>
      </c>
      <c r="M127" s="464" t="e">
        <f ca="1">DATA_FORMATTING!M188/M$117</f>
        <v>#NAME?</v>
      </c>
      <c r="N127" s="464" t="e">
        <f ca="1">DATA_FORMATTING!N188/N$117</f>
        <v>#NAME?</v>
      </c>
      <c r="O127" s="464" t="e">
        <f ca="1">DATA_FORMATTING!P188/O$117</f>
        <v>#NAME?</v>
      </c>
      <c r="P127" s="464"/>
      <c r="Q127" s="464" t="e">
        <f ca="1">DATA_FORMATTING!CH130/Q$117</f>
        <v>#NAME?</v>
      </c>
      <c r="R127" s="464" t="e">
        <f ca="1">DATA_FORMATTING!CH193/R$117</f>
        <v>#NAME?</v>
      </c>
      <c r="U127" s="550"/>
      <c r="AJ127" s="463" t="s">
        <v>95</v>
      </c>
      <c r="AK127" s="464" t="e">
        <f t="shared" ref="AK127:AN129" ca="1" si="174">HLOOKUP(AK$4,$G$1:$O$213,$C127-1,FALSE)</f>
        <v>#N/A</v>
      </c>
      <c r="AL127" s="464" t="e">
        <f t="shared" ca="1" si="174"/>
        <v>#N/A</v>
      </c>
      <c r="AM127" s="464" t="e">
        <f t="shared" ca="1" si="174"/>
        <v>#N/A</v>
      </c>
      <c r="AN127" s="464" t="e">
        <f t="shared" ca="1" si="174"/>
        <v>#N/A</v>
      </c>
      <c r="AO127" s="464" t="e">
        <f t="shared" ref="AO127:AP129" ca="1" si="175">Q127</f>
        <v>#NAME?</v>
      </c>
      <c r="AP127" s="842" t="e">
        <f t="shared" ca="1" si="175"/>
        <v>#NAME?</v>
      </c>
      <c r="BE127" s="485" t="e">
        <f t="shared" ca="1" si="161"/>
        <v>#NAME?</v>
      </c>
      <c r="BF127" s="734" t="str">
        <f t="shared" si="162"/>
        <v/>
      </c>
      <c r="BG127" s="668" t="e">
        <f t="shared" ca="1" si="172"/>
        <v>#NAME?</v>
      </c>
      <c r="BH127" s="668" t="e">
        <f t="shared" ca="1" si="172"/>
        <v>#NAME?</v>
      </c>
      <c r="BI127" s="668" t="e">
        <f t="shared" ca="1" si="172"/>
        <v>#NAME?</v>
      </c>
      <c r="BJ127" s="668" t="e">
        <f t="shared" ca="1" si="172"/>
        <v>#NAME?</v>
      </c>
      <c r="BK127" s="668" t="e">
        <f t="shared" ca="1" si="172"/>
        <v>#NAME?</v>
      </c>
      <c r="BL127" s="668" t="e">
        <f t="shared" ca="1" si="172"/>
        <v>#NAME?</v>
      </c>
      <c r="BM127" s="668" t="e">
        <f t="shared" ca="1" si="172"/>
        <v>#NAME?</v>
      </c>
      <c r="BN127" s="735" t="e">
        <f t="shared" ca="1" si="164"/>
        <v>#NAME?</v>
      </c>
      <c r="BP127" s="485" t="e">
        <f ca="1">IF(OR(DB_LOAD!AW126="USD",DB_LOAD!AW126='Refi-Annual Review'!$A$3,ISBLANK(DB_LOAD!AW126)),0,1)</f>
        <v>#NAME?</v>
      </c>
      <c r="BQ127" t="str">
        <f>(IF(ISBLANK(DB_LOAD!AR126),"",DB_LOAD!AR126))</f>
        <v/>
      </c>
      <c r="BR127" t="str">
        <f t="shared" si="152"/>
        <v/>
      </c>
      <c r="BS127" t="str">
        <f t="shared" si="153"/>
        <v/>
      </c>
      <c r="BT127" t="str">
        <f t="shared" si="154"/>
        <v>5500000250000016064001572600</v>
      </c>
      <c r="BU127" t="str">
        <f t="shared" si="155"/>
        <v/>
      </c>
      <c r="BV127" t="str">
        <f t="shared" si="156"/>
        <v>7777</v>
      </c>
      <c r="BW127" t="str">
        <f t="shared" si="157"/>
        <v/>
      </c>
      <c r="BX127" t="str">
        <f t="shared" si="158"/>
        <v>1111</v>
      </c>
      <c r="CB127" s="683" t="str">
        <f t="shared" si="159"/>
        <v/>
      </c>
      <c r="CC127" s="683" t="str">
        <f t="shared" si="160"/>
        <v/>
      </c>
      <c r="CD127" s="683" t="str">
        <f>IF(CC127="","",VALUE(MID($BZ$5,1+SUM($CC$3:CC126),CC127)))</f>
        <v/>
      </c>
      <c r="CE127"/>
      <c r="CF127" t="str">
        <f>IF(CD127="","",MID($BZ$4,1+SUM($CD$3:CD126),CD127))</f>
        <v/>
      </c>
    </row>
    <row r="128" spans="3:84" ht="15">
      <c r="C128" s="485">
        <f t="shared" si="121"/>
        <v>129</v>
      </c>
      <c r="D128" s="463" t="s">
        <v>98</v>
      </c>
      <c r="E128" s="463"/>
      <c r="F128" s="464" t="e">
        <f ca="1">DATA_FORMATTING!CL131/F$117</f>
        <v>#N/A</v>
      </c>
      <c r="G128" s="464" t="e">
        <f ca="1">DATA_FORMATTING!CM131/G$117</f>
        <v>#N/A</v>
      </c>
      <c r="H128" s="464" t="e">
        <f ca="1">DATA_FORMATTING!CN131/H$117</f>
        <v>#N/A</v>
      </c>
      <c r="I128" s="464" t="e">
        <f ca="1">DATA_FORMATTING!CO131/I$117</f>
        <v>#N/A</v>
      </c>
      <c r="J128" s="464" t="e">
        <f ca="1">DATA_FORMATTING!CP131/J$117</f>
        <v>#N/A</v>
      </c>
      <c r="K128" s="464"/>
      <c r="L128" s="464" t="e">
        <f ca="1">DATA_FORMATTING!L189/L$117</f>
        <v>#NAME?</v>
      </c>
      <c r="M128" s="464" t="e">
        <f ca="1">DATA_FORMATTING!M189/M$117</f>
        <v>#NAME?</v>
      </c>
      <c r="N128" s="464" t="e">
        <f ca="1">DATA_FORMATTING!N189/N$117</f>
        <v>#NAME?</v>
      </c>
      <c r="O128" s="464" t="e">
        <f ca="1">DATA_FORMATTING!P189/O$117</f>
        <v>#NAME?</v>
      </c>
      <c r="P128" s="464"/>
      <c r="Q128" s="464" t="e">
        <f ca="1">DATA_FORMATTING!CH131/Q$117</f>
        <v>#NAME?</v>
      </c>
      <c r="R128" s="464" t="e">
        <f ca="1">DATA_FORMATTING!CH194/R$117</f>
        <v>#NAME?</v>
      </c>
      <c r="U128" s="550"/>
      <c r="AJ128" s="463" t="s">
        <v>98</v>
      </c>
      <c r="AK128" s="464" t="e">
        <f t="shared" ca="1" si="174"/>
        <v>#N/A</v>
      </c>
      <c r="AL128" s="464" t="e">
        <f t="shared" ca="1" si="174"/>
        <v>#N/A</v>
      </c>
      <c r="AM128" s="464" t="e">
        <f t="shared" ca="1" si="174"/>
        <v>#N/A</v>
      </c>
      <c r="AN128" s="464" t="e">
        <f t="shared" ca="1" si="174"/>
        <v>#N/A</v>
      </c>
      <c r="AO128" s="464" t="e">
        <f t="shared" ca="1" si="175"/>
        <v>#NAME?</v>
      </c>
      <c r="AP128" s="842" t="e">
        <f t="shared" ca="1" si="175"/>
        <v>#NAME?</v>
      </c>
      <c r="BE128" s="485" t="e">
        <f t="shared" ca="1" si="161"/>
        <v>#NAME?</v>
      </c>
      <c r="BF128" s="734" t="str">
        <f t="shared" si="162"/>
        <v/>
      </c>
      <c r="BG128" s="668" t="e">
        <f t="shared" ca="1" si="172"/>
        <v>#NAME?</v>
      </c>
      <c r="BH128" s="668" t="e">
        <f t="shared" ca="1" si="172"/>
        <v>#NAME?</v>
      </c>
      <c r="BI128" s="668" t="e">
        <f t="shared" ca="1" si="172"/>
        <v>#NAME?</v>
      </c>
      <c r="BJ128" s="668" t="e">
        <f t="shared" ca="1" si="172"/>
        <v>#NAME?</v>
      </c>
      <c r="BK128" s="668" t="e">
        <f t="shared" ca="1" si="172"/>
        <v>#NAME?</v>
      </c>
      <c r="BL128" s="668" t="e">
        <f t="shared" ca="1" si="172"/>
        <v>#NAME?</v>
      </c>
      <c r="BM128" s="668" t="e">
        <f t="shared" ca="1" si="172"/>
        <v>#NAME?</v>
      </c>
      <c r="BN128" s="735" t="e">
        <f t="shared" ca="1" si="164"/>
        <v>#NAME?</v>
      </c>
      <c r="BP128" s="485" t="e">
        <f ca="1">IF(OR(DB_LOAD!AW127="USD",DB_LOAD!AW127='Refi-Annual Review'!$A$3,ISBLANK(DB_LOAD!AW127)),0,1)</f>
        <v>#NAME?</v>
      </c>
      <c r="BQ128" t="str">
        <f>(IF(ISBLANK(DB_LOAD!AR127),"",DB_LOAD!AR127))</f>
        <v/>
      </c>
      <c r="BR128" t="str">
        <f t="shared" si="152"/>
        <v/>
      </c>
      <c r="BS128" t="str">
        <f t="shared" si="153"/>
        <v/>
      </c>
      <c r="BT128" t="str">
        <f t="shared" si="154"/>
        <v>5500000250000016064001572600</v>
      </c>
      <c r="BU128" t="str">
        <f t="shared" si="155"/>
        <v/>
      </c>
      <c r="BV128" t="str">
        <f t="shared" si="156"/>
        <v>7777</v>
      </c>
      <c r="BW128" t="str">
        <f t="shared" si="157"/>
        <v/>
      </c>
      <c r="BX128" t="str">
        <f t="shared" si="158"/>
        <v>1111</v>
      </c>
      <c r="CB128" s="683" t="str">
        <f t="shared" si="159"/>
        <v/>
      </c>
      <c r="CC128" s="683" t="str">
        <f t="shared" si="160"/>
        <v/>
      </c>
      <c r="CD128" s="683" t="str">
        <f>IF(CC128="","",VALUE(MID($BZ$5,1+SUM($CC$3:CC127),CC128)))</f>
        <v/>
      </c>
      <c r="CE128"/>
      <c r="CF128" t="str">
        <f>IF(CD128="","",MID($BZ$4,1+SUM($CD$3:CD127),CD128))</f>
        <v/>
      </c>
    </row>
    <row r="129" spans="3:84" ht="15">
      <c r="C129" s="485">
        <f t="shared" si="121"/>
        <v>130</v>
      </c>
      <c r="D129" s="478" t="s">
        <v>99</v>
      </c>
      <c r="E129" s="466"/>
      <c r="F129" s="665" t="e">
        <f ca="1">SUM(F127:F128,F124)</f>
        <v>#N/A</v>
      </c>
      <c r="G129" s="665" t="e">
        <f ca="1">SUM(G127:G128,G124)</f>
        <v>#N/A</v>
      </c>
      <c r="H129" s="665" t="e">
        <f ca="1">SUM(H127:H128,H124)</f>
        <v>#N/A</v>
      </c>
      <c r="I129" s="665" t="e">
        <f ca="1">SUM(I127:I128,I124)</f>
        <v>#N/A</v>
      </c>
      <c r="J129" s="665" t="e">
        <f ca="1">SUM(J127:J128,J124)</f>
        <v>#N/A</v>
      </c>
      <c r="K129" s="466"/>
      <c r="L129" s="665" t="e">
        <f ca="1">SUM(L127:L128,L124)</f>
        <v>#NAME?</v>
      </c>
      <c r="M129" s="665" t="e">
        <f ca="1">SUM(M127:M128,M124)</f>
        <v>#NAME?</v>
      </c>
      <c r="N129" s="665" t="e">
        <f ca="1">SUM(N127:N128,N124)</f>
        <v>#NAME?</v>
      </c>
      <c r="O129" s="665" t="e">
        <f ca="1">SUM(O127:O128,O124)</f>
        <v>#NAME?</v>
      </c>
      <c r="P129" s="660"/>
      <c r="Q129" s="665" t="e">
        <f ca="1">SUM(Q127:Q128,Q124)</f>
        <v>#NAME?</v>
      </c>
      <c r="R129" s="665" t="e">
        <f ca="1">SUM(R127:R128,R124)</f>
        <v>#NAME?</v>
      </c>
      <c r="U129" s="667"/>
      <c r="AJ129" s="478" t="s">
        <v>99</v>
      </c>
      <c r="AK129" s="665" t="e">
        <f t="shared" ca="1" si="174"/>
        <v>#N/A</v>
      </c>
      <c r="AL129" s="665" t="e">
        <f t="shared" ca="1" si="174"/>
        <v>#N/A</v>
      </c>
      <c r="AM129" s="665" t="e">
        <f t="shared" ca="1" si="174"/>
        <v>#N/A</v>
      </c>
      <c r="AN129" s="665" t="e">
        <f t="shared" ca="1" si="174"/>
        <v>#N/A</v>
      </c>
      <c r="AO129" s="665" t="e">
        <f t="shared" ca="1" si="175"/>
        <v>#NAME?</v>
      </c>
      <c r="AP129" s="666" t="e">
        <f t="shared" ca="1" si="175"/>
        <v>#NAME?</v>
      </c>
      <c r="BE129" s="485" t="e">
        <f t="shared" ca="1" si="161"/>
        <v>#NAME?</v>
      </c>
      <c r="BF129" s="734" t="str">
        <f t="shared" si="162"/>
        <v/>
      </c>
      <c r="BG129" s="668" t="e">
        <f t="shared" ca="1" si="172"/>
        <v>#NAME?</v>
      </c>
      <c r="BH129" s="668" t="e">
        <f t="shared" ca="1" si="172"/>
        <v>#NAME?</v>
      </c>
      <c r="BI129" s="668" t="e">
        <f t="shared" ca="1" si="172"/>
        <v>#NAME?</v>
      </c>
      <c r="BJ129" s="668" t="e">
        <f t="shared" ca="1" si="172"/>
        <v>#NAME?</v>
      </c>
      <c r="BK129" s="668" t="e">
        <f t="shared" ca="1" si="172"/>
        <v>#NAME?</v>
      </c>
      <c r="BL129" s="668" t="e">
        <f t="shared" ca="1" si="172"/>
        <v>#NAME?</v>
      </c>
      <c r="BM129" s="668" t="e">
        <f t="shared" ca="1" si="172"/>
        <v>#NAME?</v>
      </c>
      <c r="BN129" s="735" t="e">
        <f t="shared" ca="1" si="164"/>
        <v>#NAME?</v>
      </c>
      <c r="BP129" s="485" t="e">
        <f ca="1">IF(OR(DB_LOAD!AW128="USD",DB_LOAD!AW128='Refi-Annual Review'!$A$3,ISBLANK(DB_LOAD!AW128)),0,1)</f>
        <v>#NAME?</v>
      </c>
      <c r="BQ129" t="str">
        <f>(IF(ISBLANK(DB_LOAD!AR128),"",DB_LOAD!AR128))</f>
        <v/>
      </c>
      <c r="BR129" t="str">
        <f t="shared" si="152"/>
        <v/>
      </c>
      <c r="BS129" t="str">
        <f t="shared" si="153"/>
        <v/>
      </c>
      <c r="BT129" t="str">
        <f t="shared" si="154"/>
        <v>5500000250000016064001572600</v>
      </c>
      <c r="BU129" t="str">
        <f t="shared" si="155"/>
        <v/>
      </c>
      <c r="BV129" t="str">
        <f t="shared" si="156"/>
        <v>7777</v>
      </c>
      <c r="BW129" t="str">
        <f t="shared" si="157"/>
        <v/>
      </c>
      <c r="BX129" t="str">
        <f t="shared" si="158"/>
        <v>1111</v>
      </c>
      <c r="CB129" s="683" t="str">
        <f t="shared" si="159"/>
        <v/>
      </c>
      <c r="CC129" s="683" t="str">
        <f t="shared" si="160"/>
        <v/>
      </c>
      <c r="CD129" s="683" t="str">
        <f>IF(CC129="","",VALUE(MID($BZ$5,1+SUM($CC$3:CC128),CC129)))</f>
        <v/>
      </c>
      <c r="CE129"/>
      <c r="CF129" t="str">
        <f>IF(CD129="","",MID($BZ$4,1+SUM($CD$3:CD128),CD129))</f>
        <v/>
      </c>
    </row>
    <row r="130" spans="3:84" ht="15">
      <c r="C130" s="485">
        <f t="shared" si="121"/>
        <v>131</v>
      </c>
      <c r="D130" s="468" t="s">
        <v>101</v>
      </c>
      <c r="E130" s="481"/>
      <c r="F130" s="477" t="e">
        <f ca="1">F129/F$120</f>
        <v>#N/A</v>
      </c>
      <c r="G130" s="477" t="e">
        <f ca="1">G129/G$120</f>
        <v>#N/A</v>
      </c>
      <c r="H130" s="477" t="e">
        <f ca="1">H129/H$120</f>
        <v>#N/A</v>
      </c>
      <c r="I130" s="477" t="e">
        <f ca="1">I129/I$120</f>
        <v>#N/A</v>
      </c>
      <c r="J130" s="477" t="e">
        <f ca="1">J129/J$120</f>
        <v>#N/A</v>
      </c>
      <c r="K130" s="477"/>
      <c r="L130" s="477" t="e">
        <f ca="1">L129/L$120</f>
        <v>#NAME?</v>
      </c>
      <c r="M130" s="477" t="e">
        <f ca="1">M129/M$120</f>
        <v>#NAME?</v>
      </c>
      <c r="N130" s="477" t="e">
        <f ca="1">N129/N$120</f>
        <v>#NAME?</v>
      </c>
      <c r="O130" s="477" t="e">
        <f ca="1">O129/O$120</f>
        <v>#NAME?</v>
      </c>
      <c r="P130" s="477"/>
      <c r="Q130" s="477" t="e">
        <f ca="1">Q129/Q$120</f>
        <v>#NAME?</v>
      </c>
      <c r="R130" s="477" t="e">
        <f ca="1">R129/R$120</f>
        <v>#NAME?</v>
      </c>
      <c r="U130" s="553"/>
      <c r="AJ130" s="468" t="s">
        <v>101</v>
      </c>
      <c r="AK130" s="477" t="e">
        <f ca="1">IF($AT$2=TRUE,IF($AT$3=TRUE,K130,F130),IF($AT$3=TRUE,L130,G130))</f>
        <v>#NAME?</v>
      </c>
      <c r="AL130" s="477" t="e">
        <f ca="1">AL129/AL120</f>
        <v>#N/A</v>
      </c>
      <c r="AM130" s="477" t="e">
        <f t="shared" ref="AM130:AP130" ca="1" si="176">AM129/AM120</f>
        <v>#N/A</v>
      </c>
      <c r="AN130" s="477" t="e">
        <f t="shared" ca="1" si="176"/>
        <v>#N/A</v>
      </c>
      <c r="AO130" s="477" t="e">
        <f t="shared" ca="1" si="176"/>
        <v>#NAME?</v>
      </c>
      <c r="AP130" s="844" t="e">
        <f t="shared" ca="1" si="176"/>
        <v>#NAME?</v>
      </c>
      <c r="BE130" s="485" t="e">
        <f t="shared" ca="1" si="161"/>
        <v>#NAME?</v>
      </c>
      <c r="BF130" s="734" t="str">
        <f t="shared" si="162"/>
        <v/>
      </c>
      <c r="BG130" s="668" t="e">
        <f t="shared" ref="BG130:BM139" ca="1" si="177">IF(IF(BG29="",0,BG29)+IF(BG61="",0,BG61)+IF(BG94="",0,BG94)=0,"",IF(BG29="",0,BG29)+IF(BG61="",0,BG61)+IF(BG94="",0,BG94))</f>
        <v>#NAME?</v>
      </c>
      <c r="BH130" s="668" t="e">
        <f t="shared" ca="1" si="177"/>
        <v>#NAME?</v>
      </c>
      <c r="BI130" s="668" t="e">
        <f t="shared" ca="1" si="177"/>
        <v>#NAME?</v>
      </c>
      <c r="BJ130" s="668" t="e">
        <f t="shared" ca="1" si="177"/>
        <v>#NAME?</v>
      </c>
      <c r="BK130" s="668" t="e">
        <f t="shared" ca="1" si="177"/>
        <v>#NAME?</v>
      </c>
      <c r="BL130" s="668" t="e">
        <f t="shared" ca="1" si="177"/>
        <v>#NAME?</v>
      </c>
      <c r="BM130" s="668" t="e">
        <f t="shared" ca="1" si="177"/>
        <v>#NAME?</v>
      </c>
      <c r="BN130" s="735" t="e">
        <f t="shared" ca="1" si="164"/>
        <v>#NAME?</v>
      </c>
      <c r="BP130" s="485" t="e">
        <f ca="1">IF(OR(DB_LOAD!AW129="USD",DB_LOAD!AW129='Refi-Annual Review'!$A$3,ISBLANK(DB_LOAD!AW129)),0,1)</f>
        <v>#NAME?</v>
      </c>
      <c r="BQ130" t="str">
        <f>(IF(ISBLANK(DB_LOAD!AR129),"",DB_LOAD!AR129))</f>
        <v/>
      </c>
      <c r="BR130" t="str">
        <f t="shared" si="152"/>
        <v/>
      </c>
      <c r="BS130" t="str">
        <f t="shared" si="153"/>
        <v/>
      </c>
      <c r="BT130" t="str">
        <f t="shared" si="154"/>
        <v>5500000250000016064001572600</v>
      </c>
      <c r="BU130" t="str">
        <f t="shared" si="155"/>
        <v/>
      </c>
      <c r="BV130" t="str">
        <f t="shared" si="156"/>
        <v>7777</v>
      </c>
      <c r="BW130" t="str">
        <f t="shared" si="157"/>
        <v/>
      </c>
      <c r="BX130" t="str">
        <f t="shared" si="158"/>
        <v>1111</v>
      </c>
      <c r="CB130" s="683" t="str">
        <f t="shared" si="159"/>
        <v/>
      </c>
      <c r="CC130" s="683" t="str">
        <f t="shared" si="160"/>
        <v/>
      </c>
      <c r="CD130" s="683" t="str">
        <f>IF(CC130="","",VALUE(MID($BZ$5,1+SUM($CC$3:CC129),CC130)))</f>
        <v/>
      </c>
      <c r="CE130"/>
      <c r="CF130" t="str">
        <f>IF(CD130="","",MID($BZ$4,1+SUM($CD$3:CD129),CD130))</f>
        <v/>
      </c>
    </row>
    <row r="131" spans="3:84" ht="15">
      <c r="C131" s="485">
        <f t="shared" si="121"/>
        <v>132</v>
      </c>
      <c r="D131" s="479"/>
      <c r="E131" s="466"/>
      <c r="F131" s="464"/>
      <c r="G131" s="464"/>
      <c r="H131" s="464"/>
      <c r="I131" s="464"/>
      <c r="J131" s="464"/>
      <c r="K131" s="464"/>
      <c r="L131" s="464"/>
      <c r="M131" s="464"/>
      <c r="N131" s="464"/>
      <c r="O131" s="464"/>
      <c r="P131" s="464"/>
      <c r="Q131" s="464"/>
      <c r="R131" s="464"/>
      <c r="U131" s="550"/>
      <c r="AJ131" s="479"/>
      <c r="AK131" s="464"/>
      <c r="AL131" s="464"/>
      <c r="AM131" s="464"/>
      <c r="AN131" s="464"/>
      <c r="AO131" s="464"/>
      <c r="AP131" s="842"/>
      <c r="BE131" s="485" t="e">
        <f t="shared" ca="1" si="161"/>
        <v>#NAME?</v>
      </c>
      <c r="BF131" s="734" t="str">
        <f t="shared" si="162"/>
        <v/>
      </c>
      <c r="BG131" s="668" t="e">
        <f t="shared" ca="1" si="177"/>
        <v>#NAME?</v>
      </c>
      <c r="BH131" s="668" t="e">
        <f t="shared" ca="1" si="177"/>
        <v>#NAME?</v>
      </c>
      <c r="BI131" s="668" t="e">
        <f t="shared" ca="1" si="177"/>
        <v>#NAME?</v>
      </c>
      <c r="BJ131" s="668" t="e">
        <f t="shared" ca="1" si="177"/>
        <v>#NAME?</v>
      </c>
      <c r="BK131" s="668" t="e">
        <f t="shared" ca="1" si="177"/>
        <v>#NAME?</v>
      </c>
      <c r="BL131" s="668" t="e">
        <f t="shared" ca="1" si="177"/>
        <v>#NAME?</v>
      </c>
      <c r="BM131" s="668" t="e">
        <f t="shared" ca="1" si="177"/>
        <v>#NAME?</v>
      </c>
      <c r="BN131" s="735" t="e">
        <f t="shared" ca="1" si="164"/>
        <v>#NAME?</v>
      </c>
      <c r="BP131" s="485" t="e">
        <f ca="1">IF(OR(DB_LOAD!AW130="USD",DB_LOAD!AW130='Refi-Annual Review'!$A$3,ISBLANK(DB_LOAD!AW130)),0,1)</f>
        <v>#NAME?</v>
      </c>
      <c r="BQ131" t="str">
        <f>(IF(ISBLANK(DB_LOAD!AR130),"",DB_LOAD!AR130))</f>
        <v/>
      </c>
      <c r="BR131" t="str">
        <f t="shared" si="152"/>
        <v/>
      </c>
      <c r="BS131" t="str">
        <f t="shared" si="153"/>
        <v/>
      </c>
      <c r="BT131" t="str">
        <f t="shared" si="154"/>
        <v>5500000250000016064001572600</v>
      </c>
      <c r="BU131" t="str">
        <f t="shared" si="155"/>
        <v/>
      </c>
      <c r="BV131" t="str">
        <f t="shared" si="156"/>
        <v>7777</v>
      </c>
      <c r="BW131" t="str">
        <f t="shared" si="157"/>
        <v/>
      </c>
      <c r="BX131" t="str">
        <f t="shared" si="158"/>
        <v>1111</v>
      </c>
      <c r="CB131" s="683" t="str">
        <f t="shared" si="159"/>
        <v/>
      </c>
      <c r="CC131" s="683" t="str">
        <f t="shared" si="160"/>
        <v/>
      </c>
      <c r="CD131" s="683" t="str">
        <f>IF(CC131="","",VALUE(MID($BZ$5,1+SUM($CC$3:CC130),CC131)))</f>
        <v/>
      </c>
      <c r="CE131"/>
      <c r="CF131" t="str">
        <f>IF(CD131="","",MID($BZ$4,1+SUM($CD$3:CD130),CD131))</f>
        <v/>
      </c>
    </row>
    <row r="132" spans="3:84" ht="15">
      <c r="C132" s="485">
        <f t="shared" si="121"/>
        <v>133</v>
      </c>
      <c r="D132" s="480" t="s">
        <v>106</v>
      </c>
      <c r="E132" s="480"/>
      <c r="F132" s="464" t="e">
        <f ca="1">DATA_FORMATTING!CL135/F$117</f>
        <v>#N/A</v>
      </c>
      <c r="G132" s="464" t="e">
        <f ca="1">DATA_FORMATTING!CM135/G$117</f>
        <v>#N/A</v>
      </c>
      <c r="H132" s="464" t="e">
        <f ca="1">DATA_FORMATTING!CN135/H$117</f>
        <v>#N/A</v>
      </c>
      <c r="I132" s="464" t="e">
        <f ca="1">DATA_FORMATTING!CO135/I$117</f>
        <v>#N/A</v>
      </c>
      <c r="J132" s="464" t="e">
        <f ca="1">DATA_FORMATTING!CP135/J$117</f>
        <v>#N/A</v>
      </c>
      <c r="K132" s="464"/>
      <c r="L132" s="464" t="e">
        <f ca="1">DATA_FORMATTING!L193/L$117</f>
        <v>#NAME?</v>
      </c>
      <c r="M132" s="464" t="e">
        <f ca="1">DATA_FORMATTING!M193/M$117</f>
        <v>#NAME?</v>
      </c>
      <c r="N132" s="464" t="e">
        <f ca="1">DATA_FORMATTING!N193/N$117</f>
        <v>#NAME?</v>
      </c>
      <c r="O132" s="464" t="e">
        <f ca="1">DATA_FORMATTING!P193/O$117</f>
        <v>#NAME?</v>
      </c>
      <c r="P132" s="464"/>
      <c r="Q132" s="464" t="e">
        <f ca="1">DATA_FORMATTING!CH135/Q$117</f>
        <v>#NAME?</v>
      </c>
      <c r="R132" s="464" t="e">
        <f ca="1">DATA_FORMATTING!CH198/R$117</f>
        <v>#NAME?</v>
      </c>
      <c r="U132" s="550"/>
      <c r="AJ132" s="480" t="s">
        <v>106</v>
      </c>
      <c r="AK132" s="464" t="e">
        <f t="shared" ref="AK132:AN134" ca="1" si="178">HLOOKUP(AK$4,$G$1:$O$213,$C132-1,FALSE)</f>
        <v>#N/A</v>
      </c>
      <c r="AL132" s="464" t="e">
        <f t="shared" ca="1" si="178"/>
        <v>#N/A</v>
      </c>
      <c r="AM132" s="464" t="e">
        <f t="shared" ca="1" si="178"/>
        <v>#N/A</v>
      </c>
      <c r="AN132" s="464" t="e">
        <f t="shared" ca="1" si="178"/>
        <v>#N/A</v>
      </c>
      <c r="AO132" s="464" t="e">
        <f t="shared" ref="AO132:AP136" ca="1" si="179">Q132</f>
        <v>#NAME?</v>
      </c>
      <c r="AP132" s="842" t="e">
        <f t="shared" ca="1" si="179"/>
        <v>#NAME?</v>
      </c>
      <c r="BE132" s="485" t="e">
        <f t="shared" ca="1" si="161"/>
        <v>#NAME?</v>
      </c>
      <c r="BF132" s="734" t="str">
        <f t="shared" si="162"/>
        <v/>
      </c>
      <c r="BG132" s="668" t="e">
        <f t="shared" ca="1" si="177"/>
        <v>#NAME?</v>
      </c>
      <c r="BH132" s="668" t="e">
        <f t="shared" ca="1" si="177"/>
        <v>#NAME?</v>
      </c>
      <c r="BI132" s="668" t="e">
        <f t="shared" ca="1" si="177"/>
        <v>#NAME?</v>
      </c>
      <c r="BJ132" s="668" t="e">
        <f t="shared" ca="1" si="177"/>
        <v>#NAME?</v>
      </c>
      <c r="BK132" s="668" t="e">
        <f t="shared" ca="1" si="177"/>
        <v>#NAME?</v>
      </c>
      <c r="BL132" s="668" t="e">
        <f t="shared" ca="1" si="177"/>
        <v>#NAME?</v>
      </c>
      <c r="BM132" s="668" t="e">
        <f t="shared" ca="1" si="177"/>
        <v>#NAME?</v>
      </c>
      <c r="BN132" s="735" t="e">
        <f t="shared" ca="1" si="164"/>
        <v>#NAME?</v>
      </c>
      <c r="BP132" s="485" t="e">
        <f ca="1">IF(OR(DB_LOAD!AW131="USD",DB_LOAD!AW131='Refi-Annual Review'!$A$3,ISBLANK(DB_LOAD!AW131)),0,1)</f>
        <v>#NAME?</v>
      </c>
      <c r="BQ132" t="str">
        <f>(IF(ISBLANK(DB_LOAD!AR131),"",DB_LOAD!AR131))</f>
        <v/>
      </c>
      <c r="BR132" t="str">
        <f t="shared" si="152"/>
        <v/>
      </c>
      <c r="BS132" t="str">
        <f t="shared" si="153"/>
        <v/>
      </c>
      <c r="BT132" t="str">
        <f t="shared" si="154"/>
        <v>5500000250000016064001572600</v>
      </c>
      <c r="BU132" t="str">
        <f t="shared" si="155"/>
        <v/>
      </c>
      <c r="BV132" t="str">
        <f t="shared" si="156"/>
        <v>7777</v>
      </c>
      <c r="BW132" t="str">
        <f t="shared" si="157"/>
        <v/>
      </c>
      <c r="BX132" t="str">
        <f t="shared" si="158"/>
        <v>1111</v>
      </c>
      <c r="CB132" s="683" t="str">
        <f t="shared" si="159"/>
        <v/>
      </c>
      <c r="CC132" s="683" t="str">
        <f t="shared" si="160"/>
        <v/>
      </c>
      <c r="CD132" s="683" t="str">
        <f>IF(CC132="","",VALUE(MID($BZ$5,1+SUM($CC$3:CC131),CC132)))</f>
        <v/>
      </c>
      <c r="CE132"/>
      <c r="CF132" t="str">
        <f>IF(CD132="","",MID($BZ$4,1+SUM($CD$3:CD131),CD132))</f>
        <v/>
      </c>
    </row>
    <row r="133" spans="3:84" ht="15">
      <c r="C133" s="485">
        <f t="shared" si="121"/>
        <v>134</v>
      </c>
      <c r="D133" s="480" t="s">
        <v>109</v>
      </c>
      <c r="E133" s="480"/>
      <c r="F133" s="464" t="e">
        <f ca="1">DATA_FORMATTING!CL136/F$117</f>
        <v>#N/A</v>
      </c>
      <c r="G133" s="464" t="e">
        <f ca="1">DATA_FORMATTING!CM136/G$117</f>
        <v>#N/A</v>
      </c>
      <c r="H133" s="464" t="e">
        <f ca="1">DATA_FORMATTING!CN136/H$117</f>
        <v>#N/A</v>
      </c>
      <c r="I133" s="464" t="e">
        <f ca="1">DATA_FORMATTING!CO136/I$117</f>
        <v>#N/A</v>
      </c>
      <c r="J133" s="464" t="e">
        <f ca="1">DATA_FORMATTING!CP136/J$117</f>
        <v>#N/A</v>
      </c>
      <c r="K133" s="464"/>
      <c r="L133" s="464" t="e">
        <f ca="1">DATA_FORMATTING!L194/L$117</f>
        <v>#NAME?</v>
      </c>
      <c r="M133" s="464" t="e">
        <f ca="1">DATA_FORMATTING!M194/M$117</f>
        <v>#NAME?</v>
      </c>
      <c r="N133" s="464" t="e">
        <f ca="1">DATA_FORMATTING!N194/N$117</f>
        <v>#NAME?</v>
      </c>
      <c r="O133" s="464" t="e">
        <f ca="1">DATA_FORMATTING!P194/O$117</f>
        <v>#NAME?</v>
      </c>
      <c r="P133" s="464"/>
      <c r="Q133" s="464" t="e">
        <f ca="1">DATA_FORMATTING!CH136/Q$117</f>
        <v>#NAME?</v>
      </c>
      <c r="R133" s="464" t="e">
        <f ca="1">DATA_FORMATTING!CH199/R$117</f>
        <v>#NAME?</v>
      </c>
      <c r="U133" s="550"/>
      <c r="AJ133" s="480" t="s">
        <v>109</v>
      </c>
      <c r="AK133" s="464" t="e">
        <f t="shared" ca="1" si="178"/>
        <v>#N/A</v>
      </c>
      <c r="AL133" s="464" t="e">
        <f t="shared" ca="1" si="178"/>
        <v>#N/A</v>
      </c>
      <c r="AM133" s="464" t="e">
        <f t="shared" ca="1" si="178"/>
        <v>#N/A</v>
      </c>
      <c r="AN133" s="464" t="e">
        <f t="shared" ca="1" si="178"/>
        <v>#N/A</v>
      </c>
      <c r="AO133" s="464" t="e">
        <f t="shared" ca="1" si="179"/>
        <v>#NAME?</v>
      </c>
      <c r="AP133" s="842" t="e">
        <f t="shared" ca="1" si="179"/>
        <v>#NAME?</v>
      </c>
      <c r="BE133" s="485" t="e">
        <f t="shared" ca="1" si="161"/>
        <v>#NAME?</v>
      </c>
      <c r="BF133" s="734" t="str">
        <f t="shared" si="162"/>
        <v/>
      </c>
      <c r="BG133" s="668" t="e">
        <f t="shared" ca="1" si="177"/>
        <v>#NAME?</v>
      </c>
      <c r="BH133" s="668" t="e">
        <f t="shared" ca="1" si="177"/>
        <v>#NAME?</v>
      </c>
      <c r="BI133" s="668" t="e">
        <f t="shared" ca="1" si="177"/>
        <v>#NAME?</v>
      </c>
      <c r="BJ133" s="668" t="e">
        <f t="shared" ca="1" si="177"/>
        <v>#NAME?</v>
      </c>
      <c r="BK133" s="668" t="e">
        <f t="shared" ca="1" si="177"/>
        <v>#NAME?</v>
      </c>
      <c r="BL133" s="668" t="e">
        <f t="shared" ca="1" si="177"/>
        <v>#NAME?</v>
      </c>
      <c r="BM133" s="668" t="e">
        <f t="shared" ca="1" si="177"/>
        <v>#NAME?</v>
      </c>
      <c r="BN133" s="735" t="e">
        <f t="shared" ca="1" si="164"/>
        <v>#NAME?</v>
      </c>
      <c r="BP133" s="485" t="e">
        <f ca="1">IF(OR(DB_LOAD!AW132="USD",DB_LOAD!AW132='Refi-Annual Review'!$A$3,ISBLANK(DB_LOAD!AW132)),0,1)</f>
        <v>#NAME?</v>
      </c>
      <c r="BQ133" t="str">
        <f>(IF(ISBLANK(DB_LOAD!AR132),"",DB_LOAD!AR132))</f>
        <v/>
      </c>
      <c r="BR133" t="str">
        <f t="shared" si="152"/>
        <v/>
      </c>
      <c r="BS133" t="str">
        <f t="shared" si="153"/>
        <v/>
      </c>
      <c r="BT133" t="str">
        <f t="shared" si="154"/>
        <v>5500000250000016064001572600</v>
      </c>
      <c r="BU133" t="str">
        <f t="shared" si="155"/>
        <v/>
      </c>
      <c r="BV133" t="str">
        <f t="shared" si="156"/>
        <v>7777</v>
      </c>
      <c r="BW133" t="str">
        <f t="shared" si="157"/>
        <v/>
      </c>
      <c r="BX133" t="str">
        <f t="shared" si="158"/>
        <v>1111</v>
      </c>
      <c r="CB133" s="683" t="str">
        <f t="shared" si="159"/>
        <v/>
      </c>
      <c r="CC133" s="683" t="str">
        <f t="shared" si="160"/>
        <v/>
      </c>
      <c r="CD133" s="683" t="str">
        <f>IF(CC133="","",VALUE(MID($BZ$5,1+SUM($CC$3:CC132),CC133)))</f>
        <v/>
      </c>
      <c r="CE133"/>
      <c r="CF133" t="str">
        <f>IF(CD133="","",MID($BZ$4,1+SUM($CD$3:CD132),CD133))</f>
        <v/>
      </c>
    </row>
    <row r="134" spans="3:84" ht="15">
      <c r="C134" s="485">
        <f t="shared" si="121"/>
        <v>135</v>
      </c>
      <c r="D134" s="462" t="s">
        <v>111</v>
      </c>
      <c r="E134" s="462"/>
      <c r="F134" s="466" t="e">
        <f ca="1">SUM(F132:F133)</f>
        <v>#N/A</v>
      </c>
      <c r="G134" s="466" t="e">
        <f ca="1">SUM(G132:G133)</f>
        <v>#N/A</v>
      </c>
      <c r="H134" s="466" t="e">
        <f ca="1">SUM(H132:H133)</f>
        <v>#N/A</v>
      </c>
      <c r="I134" s="466" t="e">
        <f ca="1">SUM(I132:I133)</f>
        <v>#N/A</v>
      </c>
      <c r="J134" s="466" t="e">
        <f ca="1">SUM(J132:J133)</f>
        <v>#N/A</v>
      </c>
      <c r="K134" s="466"/>
      <c r="L134" s="466" t="e">
        <f ca="1">SUM(L132:L133)</f>
        <v>#NAME?</v>
      </c>
      <c r="M134" s="466" t="e">
        <f ca="1">SUM(M132:M133)</f>
        <v>#NAME?</v>
      </c>
      <c r="N134" s="466" t="e">
        <f ca="1">SUM(N132:N133)</f>
        <v>#NAME?</v>
      </c>
      <c r="O134" s="466" t="e">
        <f ca="1">SUM(O132:O133)</f>
        <v>#NAME?</v>
      </c>
      <c r="P134" s="466"/>
      <c r="Q134" s="466" t="e">
        <f ca="1">SUM(Q132:Q133)</f>
        <v>#NAME?</v>
      </c>
      <c r="R134" s="466" t="e">
        <f ca="1">SUM(R132:R133)</f>
        <v>#NAME?</v>
      </c>
      <c r="U134" s="551"/>
      <c r="AJ134" s="462" t="s">
        <v>111</v>
      </c>
      <c r="AK134" s="466" t="e">
        <f t="shared" ca="1" si="178"/>
        <v>#N/A</v>
      </c>
      <c r="AL134" s="466" t="e">
        <f t="shared" ca="1" si="178"/>
        <v>#N/A</v>
      </c>
      <c r="AM134" s="466" t="e">
        <f t="shared" ca="1" si="178"/>
        <v>#N/A</v>
      </c>
      <c r="AN134" s="466" t="e">
        <f t="shared" ca="1" si="178"/>
        <v>#N/A</v>
      </c>
      <c r="AO134" s="466" t="e">
        <f t="shared" ca="1" si="179"/>
        <v>#NAME?</v>
      </c>
      <c r="AP134" s="845" t="e">
        <f t="shared" ca="1" si="179"/>
        <v>#NAME?</v>
      </c>
      <c r="BE134" s="485" t="e">
        <f t="shared" ca="1" si="161"/>
        <v>#NAME?</v>
      </c>
      <c r="BF134" s="734" t="str">
        <f t="shared" si="162"/>
        <v/>
      </c>
      <c r="BG134" s="668" t="e">
        <f t="shared" ca="1" si="177"/>
        <v>#NAME?</v>
      </c>
      <c r="BH134" s="668" t="e">
        <f t="shared" ca="1" si="177"/>
        <v>#NAME?</v>
      </c>
      <c r="BI134" s="668" t="e">
        <f t="shared" ca="1" si="177"/>
        <v>#NAME?</v>
      </c>
      <c r="BJ134" s="668" t="e">
        <f t="shared" ca="1" si="177"/>
        <v>#NAME?</v>
      </c>
      <c r="BK134" s="668" t="e">
        <f t="shared" ca="1" si="177"/>
        <v>#NAME?</v>
      </c>
      <c r="BL134" s="668" t="e">
        <f t="shared" ca="1" si="177"/>
        <v>#NAME?</v>
      </c>
      <c r="BM134" s="668" t="e">
        <f t="shared" ca="1" si="177"/>
        <v>#NAME?</v>
      </c>
      <c r="BN134" s="735" t="e">
        <f t="shared" ca="1" si="164"/>
        <v>#NAME?</v>
      </c>
      <c r="BP134" s="485" t="e">
        <f ca="1">IF(OR(DB_LOAD!AW133="USD",DB_LOAD!AW133='Refi-Annual Review'!$A$3,ISBLANK(DB_LOAD!AW133)),0,1)</f>
        <v>#NAME?</v>
      </c>
      <c r="BQ134" t="str">
        <f>(IF(ISBLANK(DB_LOAD!AR133),"",DB_LOAD!AR133))</f>
        <v/>
      </c>
      <c r="BR134" t="str">
        <f t="shared" si="152"/>
        <v/>
      </c>
      <c r="BS134" t="str">
        <f t="shared" si="153"/>
        <v/>
      </c>
      <c r="BT134" t="str">
        <f t="shared" si="154"/>
        <v>5500000250000016064001572600</v>
      </c>
      <c r="BU134" t="str">
        <f t="shared" si="155"/>
        <v/>
      </c>
      <c r="BV134" t="str">
        <f t="shared" si="156"/>
        <v>7777</v>
      </c>
      <c r="BW134" t="str">
        <f t="shared" si="157"/>
        <v/>
      </c>
      <c r="BX134" t="str">
        <f t="shared" si="158"/>
        <v>1111</v>
      </c>
      <c r="CB134" s="683" t="str">
        <f t="shared" si="159"/>
        <v/>
      </c>
      <c r="CC134" s="683" t="str">
        <f t="shared" si="160"/>
        <v/>
      </c>
      <c r="CD134" s="683" t="str">
        <f>IF(CC134="","",VALUE(MID($BZ$5,1+SUM($CC$3:CC133),CC134)))</f>
        <v/>
      </c>
      <c r="CE134"/>
      <c r="CF134" t="str">
        <f>IF(CD134="","",MID($BZ$4,1+SUM($CD$3:CD133),CD134))</f>
        <v/>
      </c>
    </row>
    <row r="135" spans="3:84" ht="15">
      <c r="C135" s="485">
        <f t="shared" si="121"/>
        <v>136</v>
      </c>
      <c r="D135" s="463"/>
      <c r="E135" s="463"/>
      <c r="F135" s="464"/>
      <c r="G135" s="464"/>
      <c r="H135" s="464"/>
      <c r="I135" s="464"/>
      <c r="J135" s="464"/>
      <c r="K135" s="464"/>
      <c r="L135" s="464"/>
      <c r="M135" s="464"/>
      <c r="N135" s="464"/>
      <c r="O135" s="464"/>
      <c r="P135" s="464"/>
      <c r="Q135" s="464"/>
      <c r="R135" s="464"/>
      <c r="U135" s="550"/>
      <c r="AJ135" s="463"/>
      <c r="AK135" s="464"/>
      <c r="AL135" s="464"/>
      <c r="AM135" s="464"/>
      <c r="AN135" s="464"/>
      <c r="AO135" s="464">
        <f t="shared" si="179"/>
        <v>0</v>
      </c>
      <c r="AP135" s="842">
        <f t="shared" si="179"/>
        <v>0</v>
      </c>
      <c r="BE135" s="485" t="e">
        <f t="shared" ca="1" si="161"/>
        <v>#NAME?</v>
      </c>
      <c r="BF135" s="734" t="str">
        <f t="shared" si="162"/>
        <v/>
      </c>
      <c r="BG135" s="668" t="e">
        <f t="shared" ca="1" si="177"/>
        <v>#NAME?</v>
      </c>
      <c r="BH135" s="668" t="e">
        <f t="shared" ca="1" si="177"/>
        <v>#NAME?</v>
      </c>
      <c r="BI135" s="668" t="e">
        <f t="shared" ca="1" si="177"/>
        <v>#NAME?</v>
      </c>
      <c r="BJ135" s="668" t="e">
        <f t="shared" ca="1" si="177"/>
        <v>#NAME?</v>
      </c>
      <c r="BK135" s="668" t="e">
        <f t="shared" ca="1" si="177"/>
        <v>#NAME?</v>
      </c>
      <c r="BL135" s="668" t="e">
        <f t="shared" ca="1" si="177"/>
        <v>#NAME?</v>
      </c>
      <c r="BM135" s="668" t="e">
        <f t="shared" ca="1" si="177"/>
        <v>#NAME?</v>
      </c>
      <c r="BN135" s="735" t="e">
        <f t="shared" ca="1" si="164"/>
        <v>#NAME?</v>
      </c>
      <c r="BP135" s="485" t="e">
        <f ca="1">IF(OR(DB_LOAD!AW134="USD",DB_LOAD!AW134='Refi-Annual Review'!$A$3,ISBLANK(DB_LOAD!AW134)),0,1)</f>
        <v>#NAME?</v>
      </c>
      <c r="BQ135" t="str">
        <f>(IF(ISBLANK(DB_LOAD!AR134),"",DB_LOAD!AR134))</f>
        <v/>
      </c>
      <c r="BR135" t="str">
        <f t="shared" si="152"/>
        <v/>
      </c>
      <c r="BS135" t="str">
        <f t="shared" si="153"/>
        <v/>
      </c>
      <c r="BT135" t="str">
        <f t="shared" si="154"/>
        <v>5500000250000016064001572600</v>
      </c>
      <c r="BU135" t="str">
        <f t="shared" si="155"/>
        <v/>
      </c>
      <c r="BV135" t="str">
        <f t="shared" si="156"/>
        <v>7777</v>
      </c>
      <c r="BW135" t="str">
        <f t="shared" si="157"/>
        <v/>
      </c>
      <c r="BX135" t="str">
        <f t="shared" si="158"/>
        <v>1111</v>
      </c>
      <c r="CB135" s="683" t="str">
        <f t="shared" si="159"/>
        <v/>
      </c>
      <c r="CC135" s="683" t="str">
        <f t="shared" si="160"/>
        <v/>
      </c>
      <c r="CD135" s="683" t="str">
        <f>IF(CC135="","",VALUE(MID($BZ$5,1+SUM($CC$3:CC134),CC135)))</f>
        <v/>
      </c>
      <c r="CE135"/>
      <c r="CF135" t="str">
        <f>IF(CD135="","",MID($BZ$4,1+SUM($CD$3:CD134),CD135))</f>
        <v/>
      </c>
    </row>
    <row r="136" spans="3:84" ht="15">
      <c r="C136" s="485">
        <f t="shared" si="121"/>
        <v>137</v>
      </c>
      <c r="D136" s="478" t="s">
        <v>113</v>
      </c>
      <c r="E136" s="466"/>
      <c r="F136" s="665" t="e">
        <f ca="1">SUM(F134,F129)</f>
        <v>#N/A</v>
      </c>
      <c r="G136" s="665" t="e">
        <f ca="1">SUM(G134,G129)</f>
        <v>#N/A</v>
      </c>
      <c r="H136" s="665" t="e">
        <f ca="1">SUM(H134,H129)</f>
        <v>#N/A</v>
      </c>
      <c r="I136" s="665" t="e">
        <f ca="1">SUM(I134,I129)</f>
        <v>#N/A</v>
      </c>
      <c r="J136" s="665" t="e">
        <f ca="1">SUM(J134,J129)</f>
        <v>#N/A</v>
      </c>
      <c r="K136" s="466"/>
      <c r="L136" s="665" t="e">
        <f ca="1">SUM(L134,L129)</f>
        <v>#NAME?</v>
      </c>
      <c r="M136" s="665" t="e">
        <f ca="1">SUM(M134,M129)</f>
        <v>#NAME?</v>
      </c>
      <c r="N136" s="665" t="e">
        <f ca="1">SUM(N134,N129)</f>
        <v>#NAME?</v>
      </c>
      <c r="O136" s="665" t="e">
        <f ca="1">SUM(O134,O129)</f>
        <v>#NAME?</v>
      </c>
      <c r="P136" s="660"/>
      <c r="Q136" s="665" t="e">
        <f ca="1">SUM(Q134,Q129)</f>
        <v>#NAME?</v>
      </c>
      <c r="R136" s="665" t="e">
        <f ca="1">SUM(R134,R129)</f>
        <v>#NAME?</v>
      </c>
      <c r="U136" s="667"/>
      <c r="AJ136" s="478" t="s">
        <v>113</v>
      </c>
      <c r="AK136" s="665" t="e">
        <f t="shared" ref="AK136:AN136" ca="1" si="180">HLOOKUP(AK$4,$G$1:$O$213,$C136-1,FALSE)</f>
        <v>#N/A</v>
      </c>
      <c r="AL136" s="665" t="e">
        <f t="shared" ca="1" si="180"/>
        <v>#N/A</v>
      </c>
      <c r="AM136" s="665" t="e">
        <f t="shared" ca="1" si="180"/>
        <v>#N/A</v>
      </c>
      <c r="AN136" s="665" t="e">
        <f t="shared" ca="1" si="180"/>
        <v>#N/A</v>
      </c>
      <c r="AO136" s="665" t="e">
        <f t="shared" ca="1" si="179"/>
        <v>#NAME?</v>
      </c>
      <c r="AP136" s="666" t="e">
        <f t="shared" ca="1" si="179"/>
        <v>#NAME?</v>
      </c>
      <c r="BE136" s="485" t="e">
        <f t="shared" ca="1" si="161"/>
        <v>#NAME?</v>
      </c>
      <c r="BF136" s="734" t="str">
        <f t="shared" si="162"/>
        <v/>
      </c>
      <c r="BG136" s="668" t="e">
        <f t="shared" ca="1" si="177"/>
        <v>#NAME?</v>
      </c>
      <c r="BH136" s="668" t="e">
        <f t="shared" ca="1" si="177"/>
        <v>#NAME?</v>
      </c>
      <c r="BI136" s="668" t="e">
        <f t="shared" ca="1" si="177"/>
        <v>#NAME?</v>
      </c>
      <c r="BJ136" s="668" t="e">
        <f t="shared" ca="1" si="177"/>
        <v>#NAME?</v>
      </c>
      <c r="BK136" s="668" t="e">
        <f t="shared" ca="1" si="177"/>
        <v>#NAME?</v>
      </c>
      <c r="BL136" s="668" t="e">
        <f t="shared" ca="1" si="177"/>
        <v>#NAME?</v>
      </c>
      <c r="BM136" s="668" t="e">
        <f t="shared" ca="1" si="177"/>
        <v>#NAME?</v>
      </c>
      <c r="BN136" s="735" t="e">
        <f t="shared" ca="1" si="164"/>
        <v>#NAME?</v>
      </c>
      <c r="BP136" s="485" t="e">
        <f ca="1">IF(OR(DB_LOAD!AW135="USD",DB_LOAD!AW135='Refi-Annual Review'!$A$3,ISBLANK(DB_LOAD!AW135)),0,1)</f>
        <v>#NAME?</v>
      </c>
      <c r="BQ136" t="str">
        <f>(IF(ISBLANK(DB_LOAD!AR135),"",DB_LOAD!AR135))</f>
        <v/>
      </c>
      <c r="BR136" t="str">
        <f t="shared" si="152"/>
        <v/>
      </c>
      <c r="BS136" t="str">
        <f t="shared" si="153"/>
        <v/>
      </c>
      <c r="BT136" t="str">
        <f t="shared" si="154"/>
        <v>5500000250000016064001572600</v>
      </c>
      <c r="BU136" t="str">
        <f t="shared" si="155"/>
        <v/>
      </c>
      <c r="BV136" t="str">
        <f t="shared" si="156"/>
        <v>7777</v>
      </c>
      <c r="BW136" t="str">
        <f t="shared" si="157"/>
        <v/>
      </c>
      <c r="BX136" t="str">
        <f t="shared" si="158"/>
        <v>1111</v>
      </c>
      <c r="CB136" s="683" t="str">
        <f t="shared" si="159"/>
        <v/>
      </c>
      <c r="CC136" s="683" t="str">
        <f t="shared" si="160"/>
        <v/>
      </c>
      <c r="CD136" s="683" t="str">
        <f>IF(CC136="","",VALUE(MID($BZ$5,1+SUM($CC$3:CC135),CC136)))</f>
        <v/>
      </c>
      <c r="CE136"/>
      <c r="CF136" t="str">
        <f>IF(CD136="","",MID($BZ$4,1+SUM($CD$3:CD135),CD136))</f>
        <v/>
      </c>
    </row>
    <row r="137" spans="3:84" ht="15">
      <c r="C137" s="485">
        <f t="shared" ref="C137:C177" si="181">C136+1</f>
        <v>138</v>
      </c>
      <c r="D137" s="468" t="s">
        <v>115</v>
      </c>
      <c r="E137" s="481"/>
      <c r="F137" s="477" t="e">
        <f ca="1">F136/F$120</f>
        <v>#N/A</v>
      </c>
      <c r="G137" s="477" t="e">
        <f ca="1">G136/G$120</f>
        <v>#N/A</v>
      </c>
      <c r="H137" s="477" t="e">
        <f ca="1">H136/H$120</f>
        <v>#N/A</v>
      </c>
      <c r="I137" s="477" t="e">
        <f ca="1">I136/I$120</f>
        <v>#N/A</v>
      </c>
      <c r="J137" s="477" t="e">
        <f ca="1">J136/J$120</f>
        <v>#N/A</v>
      </c>
      <c r="K137" s="477"/>
      <c r="L137" s="477" t="e">
        <f ca="1">L136/L$120</f>
        <v>#NAME?</v>
      </c>
      <c r="M137" s="477" t="e">
        <f ca="1">M136/M$120</f>
        <v>#NAME?</v>
      </c>
      <c r="N137" s="477" t="e">
        <f ca="1">N136/N$120</f>
        <v>#NAME?</v>
      </c>
      <c r="O137" s="477" t="e">
        <f ca="1">O136/O$120</f>
        <v>#NAME?</v>
      </c>
      <c r="P137" s="477"/>
      <c r="Q137" s="477" t="e">
        <f ca="1">Q136/Q$120</f>
        <v>#NAME?</v>
      </c>
      <c r="R137" s="477" t="e">
        <f ca="1">R136/R$120</f>
        <v>#NAME?</v>
      </c>
      <c r="U137" s="553"/>
      <c r="AJ137" s="468" t="s">
        <v>115</v>
      </c>
      <c r="AK137" s="477" t="e">
        <f ca="1">IF($AT$2=TRUE,IF($AT$3=TRUE,K137,F137),IF($AT$3=TRUE,L137,G137))</f>
        <v>#NAME?</v>
      </c>
      <c r="AL137" s="477" t="e">
        <f ca="1">AL136/AL120</f>
        <v>#N/A</v>
      </c>
      <c r="AM137" s="477" t="e">
        <f t="shared" ref="AM137:AP137" ca="1" si="182">AM136/AM120</f>
        <v>#N/A</v>
      </c>
      <c r="AN137" s="477" t="e">
        <f t="shared" ca="1" si="182"/>
        <v>#N/A</v>
      </c>
      <c r="AO137" s="477" t="e">
        <f t="shared" ca="1" si="182"/>
        <v>#NAME?</v>
      </c>
      <c r="AP137" s="844" t="e">
        <f t="shared" ca="1" si="182"/>
        <v>#NAME?</v>
      </c>
      <c r="BE137" s="485" t="e">
        <f t="shared" ca="1" si="161"/>
        <v>#NAME?</v>
      </c>
      <c r="BF137" s="734" t="str">
        <f t="shared" si="162"/>
        <v/>
      </c>
      <c r="BG137" s="668" t="e">
        <f t="shared" ca="1" si="177"/>
        <v>#NAME?</v>
      </c>
      <c r="BH137" s="668" t="e">
        <f t="shared" ca="1" si="177"/>
        <v>#NAME?</v>
      </c>
      <c r="BI137" s="668" t="e">
        <f t="shared" ca="1" si="177"/>
        <v>#NAME?</v>
      </c>
      <c r="BJ137" s="668" t="e">
        <f t="shared" ca="1" si="177"/>
        <v>#NAME?</v>
      </c>
      <c r="BK137" s="668" t="e">
        <f t="shared" ca="1" si="177"/>
        <v>#NAME?</v>
      </c>
      <c r="BL137" s="668" t="e">
        <f t="shared" ca="1" si="177"/>
        <v>#NAME?</v>
      </c>
      <c r="BM137" s="668" t="e">
        <f t="shared" ca="1" si="177"/>
        <v>#NAME?</v>
      </c>
      <c r="BN137" s="735" t="e">
        <f t="shared" ca="1" si="164"/>
        <v>#NAME?</v>
      </c>
      <c r="BP137" s="485" t="e">
        <f ca="1">IF(OR(DB_LOAD!AW136="USD",DB_LOAD!AW136='Refi-Annual Review'!$A$3,ISBLANK(DB_LOAD!AW136)),0,1)</f>
        <v>#NAME?</v>
      </c>
      <c r="BQ137" t="str">
        <f>(IF(ISBLANK(DB_LOAD!AR136),"",DB_LOAD!AR136))</f>
        <v/>
      </c>
      <c r="BR137" t="str">
        <f t="shared" si="152"/>
        <v/>
      </c>
      <c r="BS137" t="str">
        <f t="shared" si="153"/>
        <v/>
      </c>
      <c r="BT137" t="str">
        <f t="shared" si="154"/>
        <v>5500000250000016064001572600</v>
      </c>
      <c r="BU137" t="str">
        <f t="shared" si="155"/>
        <v/>
      </c>
      <c r="BV137" t="str">
        <f t="shared" si="156"/>
        <v>7777</v>
      </c>
      <c r="BW137" t="str">
        <f t="shared" si="157"/>
        <v/>
      </c>
      <c r="BX137" t="str">
        <f t="shared" si="158"/>
        <v>1111</v>
      </c>
      <c r="CB137" s="683" t="str">
        <f t="shared" si="159"/>
        <v/>
      </c>
      <c r="CC137" s="683" t="str">
        <f t="shared" si="160"/>
        <v/>
      </c>
      <c r="CD137" s="683" t="str">
        <f>IF(CC137="","",VALUE(MID($BZ$5,1+SUM($CC$3:CC136),CC137)))</f>
        <v/>
      </c>
      <c r="CE137"/>
      <c r="CF137" t="str">
        <f>IF(CD137="","",MID($BZ$4,1+SUM($CD$3:CD136),CD137))</f>
        <v/>
      </c>
    </row>
    <row r="138" spans="3:84" ht="15">
      <c r="C138" s="485">
        <f t="shared" si="181"/>
        <v>139</v>
      </c>
      <c r="D138" s="466"/>
      <c r="E138" s="466"/>
      <c r="F138" s="466"/>
      <c r="G138" s="466"/>
      <c r="H138" s="466"/>
      <c r="I138" s="466"/>
      <c r="J138" s="466"/>
      <c r="K138" s="466"/>
      <c r="L138" s="466"/>
      <c r="M138" s="466"/>
      <c r="N138" s="466"/>
      <c r="O138" s="466"/>
      <c r="P138" s="466"/>
      <c r="Q138" s="466"/>
      <c r="R138" s="466"/>
      <c r="U138" s="551"/>
      <c r="AJ138" s="466"/>
      <c r="AK138" s="466"/>
      <c r="AL138" s="466"/>
      <c r="AM138" s="466"/>
      <c r="AN138" s="466"/>
      <c r="AO138" s="466"/>
      <c r="AP138" s="845"/>
      <c r="BE138" s="485" t="e">
        <f t="shared" ca="1" si="161"/>
        <v>#NAME?</v>
      </c>
      <c r="BF138" s="734" t="str">
        <f t="shared" si="162"/>
        <v/>
      </c>
      <c r="BG138" s="668" t="e">
        <f t="shared" ca="1" si="177"/>
        <v>#NAME?</v>
      </c>
      <c r="BH138" s="668" t="e">
        <f t="shared" ca="1" si="177"/>
        <v>#NAME?</v>
      </c>
      <c r="BI138" s="668" t="e">
        <f t="shared" ca="1" si="177"/>
        <v>#NAME?</v>
      </c>
      <c r="BJ138" s="668" t="e">
        <f t="shared" ca="1" si="177"/>
        <v>#NAME?</v>
      </c>
      <c r="BK138" s="668" t="e">
        <f t="shared" ca="1" si="177"/>
        <v>#NAME?</v>
      </c>
      <c r="BL138" s="668" t="e">
        <f t="shared" ca="1" si="177"/>
        <v>#NAME?</v>
      </c>
      <c r="BM138" s="668" t="e">
        <f t="shared" ca="1" si="177"/>
        <v>#NAME?</v>
      </c>
      <c r="BN138" s="735" t="e">
        <f t="shared" ca="1" si="164"/>
        <v>#NAME?</v>
      </c>
      <c r="BP138" s="485" t="e">
        <f ca="1">IF(OR(DB_LOAD!AW137="USD",DB_LOAD!AW137='Refi-Annual Review'!$A$3,ISBLANK(DB_LOAD!AW137)),0,1)</f>
        <v>#NAME?</v>
      </c>
      <c r="BQ138" t="str">
        <f>(IF(ISBLANK(DB_LOAD!AR137),"",DB_LOAD!AR137))</f>
        <v/>
      </c>
      <c r="BR138" t="str">
        <f t="shared" si="152"/>
        <v/>
      </c>
      <c r="BS138" t="str">
        <f t="shared" si="153"/>
        <v/>
      </c>
      <c r="BT138" t="str">
        <f t="shared" si="154"/>
        <v>5500000250000016064001572600</v>
      </c>
      <c r="BU138" t="str">
        <f t="shared" si="155"/>
        <v/>
      </c>
      <c r="BV138" t="str">
        <f t="shared" si="156"/>
        <v>7777</v>
      </c>
      <c r="BW138" t="str">
        <f t="shared" si="157"/>
        <v/>
      </c>
      <c r="BX138" t="str">
        <f t="shared" si="158"/>
        <v>1111</v>
      </c>
      <c r="CB138" s="683" t="str">
        <f t="shared" si="159"/>
        <v/>
      </c>
      <c r="CC138" s="683" t="str">
        <f t="shared" si="160"/>
        <v/>
      </c>
      <c r="CD138" s="683" t="str">
        <f>IF(CC138="","",VALUE(MID($BZ$5,1+SUM($CC$3:CC137),CC138)))</f>
        <v/>
      </c>
      <c r="CE138"/>
      <c r="CF138" t="str">
        <f>IF(CD138="","",MID($BZ$4,1+SUM($CD$3:CD137),CD138))</f>
        <v/>
      </c>
    </row>
    <row r="139" spans="3:84" ht="15">
      <c r="C139" s="485">
        <f t="shared" si="181"/>
        <v>140</v>
      </c>
      <c r="D139" s="464" t="s">
        <v>118</v>
      </c>
      <c r="E139" s="464"/>
      <c r="F139" s="464" t="e">
        <f ca="1">DATA_FORMATTING!CL141/F$117</f>
        <v>#N/A</v>
      </c>
      <c r="G139" s="464" t="e">
        <f ca="1">DATA_FORMATTING!CM141/G$117</f>
        <v>#N/A</v>
      </c>
      <c r="H139" s="464" t="e">
        <f ca="1">DATA_FORMATTING!CN141/H$117</f>
        <v>#N/A</v>
      </c>
      <c r="I139" s="464" t="e">
        <f ca="1">DATA_FORMATTING!CO141/I$117</f>
        <v>#N/A</v>
      </c>
      <c r="J139" s="464" t="e">
        <f ca="1">DATA_FORMATTING!CP141/J$117</f>
        <v>#N/A</v>
      </c>
      <c r="K139" s="464"/>
      <c r="L139" s="464" t="e">
        <f ca="1">DATA_FORMATTING!L199/L$117</f>
        <v>#NAME?</v>
      </c>
      <c r="M139" s="464" t="e">
        <f ca="1">DATA_FORMATTING!M199/M$117</f>
        <v>#NAME?</v>
      </c>
      <c r="N139" s="464" t="e">
        <f ca="1">DATA_FORMATTING!N199/N$117</f>
        <v>#NAME?</v>
      </c>
      <c r="O139" s="464" t="e">
        <f ca="1">DATA_FORMATTING!P199/O$117</f>
        <v>#NAME?</v>
      </c>
      <c r="P139" s="464"/>
      <c r="Q139" s="464" t="e">
        <f ca="1">DATA_FORMATTING!CH141/Q$117</f>
        <v>#NAME?</v>
      </c>
      <c r="R139" s="464" t="e">
        <f ca="1">DATA_FORMATTING!CH204/R$117</f>
        <v>#NAME?</v>
      </c>
      <c r="U139" s="550"/>
      <c r="AJ139" s="464" t="s">
        <v>118</v>
      </c>
      <c r="AK139" s="464" t="e">
        <f t="shared" ref="AK139:AN139" ca="1" si="183">HLOOKUP(AK$4,$G$1:$O$213,$C139-1,FALSE)</f>
        <v>#N/A</v>
      </c>
      <c r="AL139" s="464" t="e">
        <f t="shared" ca="1" si="183"/>
        <v>#N/A</v>
      </c>
      <c r="AM139" s="464" t="e">
        <f t="shared" ca="1" si="183"/>
        <v>#N/A</v>
      </c>
      <c r="AN139" s="464" t="e">
        <f t="shared" ca="1" si="183"/>
        <v>#N/A</v>
      </c>
      <c r="AO139" s="464" t="e">
        <f ca="1">Q139</f>
        <v>#NAME?</v>
      </c>
      <c r="AP139" s="842" t="e">
        <f ca="1">R139</f>
        <v>#NAME?</v>
      </c>
      <c r="BE139" s="485" t="e">
        <f t="shared" ca="1" si="161"/>
        <v>#NAME?</v>
      </c>
      <c r="BF139" s="734" t="str">
        <f t="shared" si="162"/>
        <v/>
      </c>
      <c r="BG139" s="668" t="e">
        <f t="shared" ca="1" si="177"/>
        <v>#NAME?</v>
      </c>
      <c r="BH139" s="668" t="e">
        <f t="shared" ca="1" si="177"/>
        <v>#NAME?</v>
      </c>
      <c r="BI139" s="668" t="e">
        <f t="shared" ca="1" si="177"/>
        <v>#NAME?</v>
      </c>
      <c r="BJ139" s="668" t="e">
        <f t="shared" ca="1" si="177"/>
        <v>#NAME?</v>
      </c>
      <c r="BK139" s="668" t="e">
        <f t="shared" ca="1" si="177"/>
        <v>#NAME?</v>
      </c>
      <c r="BL139" s="668" t="e">
        <f t="shared" ca="1" si="177"/>
        <v>#NAME?</v>
      </c>
      <c r="BM139" s="668" t="e">
        <f t="shared" ca="1" si="177"/>
        <v>#NAME?</v>
      </c>
      <c r="BN139" s="735" t="e">
        <f t="shared" ca="1" si="164"/>
        <v>#NAME?</v>
      </c>
      <c r="BP139" s="485" t="e">
        <f ca="1">IF(OR(DB_LOAD!AW138="USD",DB_LOAD!AW138='Refi-Annual Review'!$A$3,ISBLANK(DB_LOAD!AW138)),0,1)</f>
        <v>#NAME?</v>
      </c>
      <c r="BQ139" t="str">
        <f>(IF(ISBLANK(DB_LOAD!AR138),"",DB_LOAD!AR138))</f>
        <v/>
      </c>
      <c r="BR139" t="str">
        <f t="shared" si="152"/>
        <v/>
      </c>
      <c r="BS139" t="str">
        <f t="shared" si="153"/>
        <v/>
      </c>
      <c r="BT139" t="str">
        <f t="shared" si="154"/>
        <v>5500000250000016064001572600</v>
      </c>
      <c r="BU139" t="str">
        <f t="shared" si="155"/>
        <v/>
      </c>
      <c r="BV139" t="str">
        <f t="shared" si="156"/>
        <v>7777</v>
      </c>
      <c r="BW139" t="str">
        <f t="shared" si="157"/>
        <v/>
      </c>
      <c r="BX139" t="str">
        <f t="shared" si="158"/>
        <v>1111</v>
      </c>
      <c r="CB139" s="683" t="str">
        <f t="shared" si="159"/>
        <v/>
      </c>
      <c r="CC139" s="683" t="str">
        <f t="shared" si="160"/>
        <v/>
      </c>
      <c r="CD139" s="683" t="str">
        <f>IF(CC139="","",VALUE(MID($BZ$5,1+SUM($CC$3:CC138),CC139)))</f>
        <v/>
      </c>
      <c r="CE139"/>
      <c r="CF139" t="str">
        <f>IF(CD139="","",MID($BZ$4,1+SUM($CD$3:CD138),CD139))</f>
        <v/>
      </c>
    </row>
    <row r="140" spans="3:84" ht="15">
      <c r="C140" s="485">
        <f t="shared" si="181"/>
        <v>141</v>
      </c>
      <c r="D140" s="468" t="s">
        <v>405</v>
      </c>
      <c r="E140" s="481"/>
      <c r="F140" s="477" t="e">
        <f ca="1">ABS(F139/F136)</f>
        <v>#N/A</v>
      </c>
      <c r="G140" s="477" t="e">
        <f ca="1">ABS(G139/G136)</f>
        <v>#N/A</v>
      </c>
      <c r="H140" s="477" t="e">
        <f ca="1">ABS(H139/H136)</f>
        <v>#N/A</v>
      </c>
      <c r="I140" s="477" t="e">
        <f ca="1">ABS(I139/I136)</f>
        <v>#N/A</v>
      </c>
      <c r="J140" s="477" t="e">
        <f ca="1">ABS(J139/J136)</f>
        <v>#N/A</v>
      </c>
      <c r="K140" s="477"/>
      <c r="L140" s="477" t="e">
        <f ca="1">ABS(L139/L136)</f>
        <v>#NAME?</v>
      </c>
      <c r="M140" s="477" t="e">
        <f ca="1">ABS(M139/M136)</f>
        <v>#NAME?</v>
      </c>
      <c r="N140" s="477" t="e">
        <f ca="1">ABS(N139/N136)</f>
        <v>#NAME?</v>
      </c>
      <c r="O140" s="477" t="e">
        <f ca="1">ABS(O139/O136)</f>
        <v>#NAME?</v>
      </c>
      <c r="P140" s="477"/>
      <c r="Q140" s="477" t="e">
        <f ca="1">ABS(Q139/Q136)</f>
        <v>#NAME?</v>
      </c>
      <c r="R140" s="477" t="e">
        <f ca="1">ABS(R139/R136)</f>
        <v>#NAME?</v>
      </c>
      <c r="U140" s="553"/>
      <c r="AJ140" s="468" t="s">
        <v>405</v>
      </c>
      <c r="AK140" s="477" t="e">
        <f ca="1">IF($AT$2=TRUE,IF($AT$3=TRUE,K140,F140),IF($AT$3=TRUE,L140,G140))</f>
        <v>#NAME?</v>
      </c>
      <c r="AL140" s="477" t="e">
        <f ca="1">ABS(AL139/AL136)</f>
        <v>#N/A</v>
      </c>
      <c r="AM140" s="477" t="e">
        <f t="shared" ref="AM140:AP140" ca="1" si="184">ABS(AM139/AM136)</f>
        <v>#N/A</v>
      </c>
      <c r="AN140" s="477" t="e">
        <f t="shared" ca="1" si="184"/>
        <v>#N/A</v>
      </c>
      <c r="AO140" s="477" t="e">
        <f t="shared" ca="1" si="184"/>
        <v>#NAME?</v>
      </c>
      <c r="AP140" s="844" t="e">
        <f t="shared" ca="1" si="184"/>
        <v>#NAME?</v>
      </c>
      <c r="BF140" s="737" t="str">
        <f>"Total "&amp;A41&amp;" Exposure"</f>
        <v>Total  Exposure</v>
      </c>
      <c r="BG140" s="738" t="e">
        <f ca="1">IF(SUM(BG110:BG139)=0,"-",SUM(BG110:BG139))</f>
        <v>#NAME?</v>
      </c>
      <c r="BH140" s="738" t="e">
        <f t="shared" ref="BH140:BN140" ca="1" si="185">IF(SUM(BH110:BH139)=0,"-",SUM(BH110:BH139))</f>
        <v>#NAME?</v>
      </c>
      <c r="BI140" s="738" t="e">
        <f t="shared" ca="1" si="185"/>
        <v>#NAME?</v>
      </c>
      <c r="BJ140" s="738" t="e">
        <f t="shared" ca="1" si="185"/>
        <v>#NAME?</v>
      </c>
      <c r="BK140" s="738" t="e">
        <f t="shared" ca="1" si="185"/>
        <v>#NAME?</v>
      </c>
      <c r="BL140" s="738" t="e">
        <f t="shared" ca="1" si="185"/>
        <v>#NAME?</v>
      </c>
      <c r="BM140" s="738" t="e">
        <f t="shared" ca="1" si="185"/>
        <v>#NAME?</v>
      </c>
      <c r="BN140" s="739" t="e">
        <f t="shared" ca="1" si="185"/>
        <v>#NAME?</v>
      </c>
      <c r="BO140" s="485" t="s">
        <v>513</v>
      </c>
      <c r="BP140" s="485" t="e">
        <f ca="1">IF(OR(DB_LOAD!AW139="USD",DB_LOAD!AW139='Refi-Annual Review'!$A$3,ISBLANK(DB_LOAD!AW139)),0,1)</f>
        <v>#NAME?</v>
      </c>
      <c r="BQ140" t="str">
        <f>(IF(ISBLANK(DB_LOAD!AR139),"",DB_LOAD!AR139))</f>
        <v/>
      </c>
      <c r="BR140" t="str">
        <f t="shared" si="152"/>
        <v/>
      </c>
      <c r="BS140" t="str">
        <f t="shared" si="153"/>
        <v/>
      </c>
      <c r="BT140" t="str">
        <f t="shared" si="154"/>
        <v>5500000250000016064001572600</v>
      </c>
      <c r="BU140" t="str">
        <f t="shared" si="155"/>
        <v/>
      </c>
      <c r="BV140" t="str">
        <f t="shared" si="156"/>
        <v>7777</v>
      </c>
      <c r="BW140" t="str">
        <f t="shared" si="157"/>
        <v/>
      </c>
      <c r="BX140" t="str">
        <f t="shared" si="158"/>
        <v>1111</v>
      </c>
      <c r="CB140" s="683" t="str">
        <f t="shared" si="159"/>
        <v/>
      </c>
      <c r="CC140" s="683" t="str">
        <f t="shared" si="160"/>
        <v/>
      </c>
      <c r="CD140" s="683" t="str">
        <f>IF(CC140="","",VALUE(MID($BZ$5,1+SUM($CC$3:CC139),CC140)))</f>
        <v/>
      </c>
      <c r="CE140"/>
      <c r="CF140" t="str">
        <f>IF(CD140="","",MID($BZ$4,1+SUM($CD$3:CD139),CD140))</f>
        <v/>
      </c>
    </row>
    <row r="141" spans="3:84" ht="15">
      <c r="C141" s="485">
        <f t="shared" si="181"/>
        <v>142</v>
      </c>
      <c r="D141" s="481"/>
      <c r="E141" s="481"/>
      <c r="F141" s="482"/>
      <c r="G141" s="482"/>
      <c r="H141" s="482"/>
      <c r="I141" s="482"/>
      <c r="J141" s="482"/>
      <c r="K141" s="482"/>
      <c r="L141" s="482"/>
      <c r="M141" s="482"/>
      <c r="N141" s="482"/>
      <c r="O141" s="482"/>
      <c r="P141" s="482"/>
      <c r="Q141" s="482"/>
      <c r="R141" s="482"/>
      <c r="U141" s="554"/>
      <c r="AJ141" s="481"/>
      <c r="AK141" s="482"/>
      <c r="AL141" s="482"/>
      <c r="AM141" s="482"/>
      <c r="AN141" s="482"/>
      <c r="AO141" s="482"/>
      <c r="AP141" s="846"/>
      <c r="BP141" s="485" t="e">
        <f ca="1">IF(OR(DB_LOAD!AW140="USD",DB_LOAD!AW140='Refi-Annual Review'!$A$3,ISBLANK(DB_LOAD!AW140)),0,1)</f>
        <v>#NAME?</v>
      </c>
      <c r="BQ141" t="str">
        <f>(IF(ISBLANK(DB_LOAD!AR140),"",DB_LOAD!AR140))</f>
        <v/>
      </c>
      <c r="BR141" t="str">
        <f t="shared" ref="BR141:BR172" si="186">IF(LEN(BQ141)&gt;0,LEN(BQ141),"")</f>
        <v/>
      </c>
      <c r="BS141" t="str">
        <f t="shared" ref="BS141:BS172" si="187">IF(AND(BQ141=BQ140,BR141=BR140,BQ141&lt;&gt;""),"",IF(BQ141="","",BQ141))</f>
        <v/>
      </c>
      <c r="BT141" t="str">
        <f t="shared" ref="BT141:BT172" si="188">BT140&amp;BS141</f>
        <v>5500000250000016064001572600</v>
      </c>
      <c r="BU141" t="str">
        <f t="shared" ref="BU141:BU177" si="189">IF(LEN(BS141)&gt;0,LEN(BS141),"")</f>
        <v/>
      </c>
      <c r="BV141" t="str">
        <f t="shared" ref="BV141:BV172" si="190">BV140&amp;BU141</f>
        <v>7777</v>
      </c>
      <c r="BW141" t="str">
        <f t="shared" ref="BW141:BW177" si="191">IF(LEN(BU141)&gt;0,LEN(BU141),"")</f>
        <v/>
      </c>
      <c r="BX141" t="str">
        <f t="shared" ref="BX141:BX172" si="192">BX140&amp;BW141</f>
        <v>1111</v>
      </c>
      <c r="CB141" s="683" t="str">
        <f t="shared" ref="CB141:CB172" si="193">IF(CB140&lt;$BZ$3,CB140+1,"")</f>
        <v/>
      </c>
      <c r="CC141" s="683" t="str">
        <f t="shared" ref="CC141:CC172" si="194">IF(CB141="","",VALUE(MID($BZ$6,CB141,1)))</f>
        <v/>
      </c>
      <c r="CD141" s="683" t="str">
        <f>IF(CC141="","",VALUE(MID($BZ$5,1+SUM($CC$3:CC140),CC141)))</f>
        <v/>
      </c>
      <c r="CE141"/>
      <c r="CF141" t="str">
        <f>IF(CD141="","",MID($BZ$4,1+SUM($CD$3:CD140),CD141))</f>
        <v/>
      </c>
    </row>
    <row r="142" spans="3:84" ht="15">
      <c r="C142" s="485">
        <f t="shared" si="181"/>
        <v>143</v>
      </c>
      <c r="D142" s="483" t="s">
        <v>406</v>
      </c>
      <c r="E142" s="466"/>
      <c r="F142" s="483" t="e">
        <f ca="1">SUM(F139,F136)</f>
        <v>#N/A</v>
      </c>
      <c r="G142" s="483" t="e">
        <f ca="1">SUM(G139,G136)</f>
        <v>#N/A</v>
      </c>
      <c r="H142" s="483" t="e">
        <f ca="1">SUM(H139,H136)</f>
        <v>#N/A</v>
      </c>
      <c r="I142" s="483" t="e">
        <f ca="1">SUM(I139,I136)</f>
        <v>#N/A</v>
      </c>
      <c r="J142" s="483" t="e">
        <f ca="1">SUM(J139,J136)</f>
        <v>#N/A</v>
      </c>
      <c r="K142" s="466"/>
      <c r="L142" s="483" t="e">
        <f ca="1">SUM(L139,L136)</f>
        <v>#NAME?</v>
      </c>
      <c r="M142" s="483" t="e">
        <f ca="1">SUM(M139,M136)</f>
        <v>#NAME?</v>
      </c>
      <c r="N142" s="483" t="e">
        <f ca="1">SUM(N139,N136)</f>
        <v>#NAME?</v>
      </c>
      <c r="O142" s="483" t="e">
        <f ca="1">SUM(O139,O136)</f>
        <v>#NAME?</v>
      </c>
      <c r="P142" s="466"/>
      <c r="Q142" s="483" t="e">
        <f ca="1">SUM(Q139,Q136)</f>
        <v>#NAME?</v>
      </c>
      <c r="R142" s="483" t="e">
        <f ca="1">SUM(R139,R136)</f>
        <v>#NAME?</v>
      </c>
      <c r="U142" s="555"/>
      <c r="AJ142" s="483" t="s">
        <v>406</v>
      </c>
      <c r="AK142" s="483" t="e">
        <f t="shared" ref="AK142:AN142" ca="1" si="195">HLOOKUP(AK$4,$G$1:$O$213,$C142-1,FALSE)</f>
        <v>#N/A</v>
      </c>
      <c r="AL142" s="483" t="e">
        <f t="shared" ca="1" si="195"/>
        <v>#N/A</v>
      </c>
      <c r="AM142" s="483" t="e">
        <f t="shared" ca="1" si="195"/>
        <v>#N/A</v>
      </c>
      <c r="AN142" s="483" t="e">
        <f t="shared" ca="1" si="195"/>
        <v>#N/A</v>
      </c>
      <c r="AO142" s="483" t="e">
        <f ca="1">Q142</f>
        <v>#NAME?</v>
      </c>
      <c r="AP142" s="847" t="e">
        <f ca="1">R142</f>
        <v>#NAME?</v>
      </c>
      <c r="BP142" s="485" t="e">
        <f ca="1">IF(OR(DB_LOAD!AW141="USD",DB_LOAD!AW141='Refi-Annual Review'!$A$3,ISBLANK(DB_LOAD!AW141)),0,1)</f>
        <v>#NAME?</v>
      </c>
      <c r="BQ142" t="str">
        <f>(IF(ISBLANK(DB_LOAD!AR141),"",DB_LOAD!AR141))</f>
        <v/>
      </c>
      <c r="BR142" t="str">
        <f t="shared" si="186"/>
        <v/>
      </c>
      <c r="BS142" t="str">
        <f t="shared" si="187"/>
        <v/>
      </c>
      <c r="BT142" t="str">
        <f t="shared" si="188"/>
        <v>5500000250000016064001572600</v>
      </c>
      <c r="BU142" t="str">
        <f t="shared" si="189"/>
        <v/>
      </c>
      <c r="BV142" t="str">
        <f t="shared" si="190"/>
        <v>7777</v>
      </c>
      <c r="BW142" t="str">
        <f t="shared" si="191"/>
        <v/>
      </c>
      <c r="BX142" t="str">
        <f t="shared" si="192"/>
        <v>1111</v>
      </c>
      <c r="CB142" s="683" t="str">
        <f t="shared" si="193"/>
        <v/>
      </c>
      <c r="CC142" s="683" t="str">
        <f t="shared" si="194"/>
        <v/>
      </c>
      <c r="CD142" s="683" t="str">
        <f>IF(CC142="","",VALUE(MID($BZ$5,1+SUM($CC$3:CC141),CC142)))</f>
        <v/>
      </c>
      <c r="CE142"/>
      <c r="CF142" t="str">
        <f>IF(CD142="","",MID($BZ$4,1+SUM($CD$3:CD141),CD142))</f>
        <v/>
      </c>
    </row>
    <row r="143" spans="3:84" ht="15">
      <c r="C143" s="485">
        <f t="shared" si="181"/>
        <v>144</v>
      </c>
      <c r="D143" s="466"/>
      <c r="E143" s="466"/>
      <c r="F143" s="466"/>
      <c r="G143" s="466"/>
      <c r="H143" s="466"/>
      <c r="I143" s="466"/>
      <c r="J143" s="466"/>
      <c r="K143" s="466"/>
      <c r="L143" s="466"/>
      <c r="M143" s="466"/>
      <c r="N143" s="466"/>
      <c r="O143" s="466"/>
      <c r="P143" s="466"/>
      <c r="Q143" s="466"/>
      <c r="R143" s="466"/>
      <c r="U143" s="551"/>
      <c r="AJ143" s="466"/>
      <c r="AK143" s="466"/>
      <c r="AL143" s="466"/>
      <c r="AM143" s="466"/>
      <c r="AN143" s="466"/>
      <c r="AO143" s="466"/>
      <c r="AP143" s="845"/>
      <c r="BP143" s="485" t="e">
        <f ca="1">IF(OR(DB_LOAD!AW142="USD",DB_LOAD!AW142='Refi-Annual Review'!$A$3,ISBLANK(DB_LOAD!AW142)),0,1)</f>
        <v>#NAME?</v>
      </c>
      <c r="BQ143" t="str">
        <f>(IF(ISBLANK(DB_LOAD!AR142),"",DB_LOAD!AR142))</f>
        <v/>
      </c>
      <c r="BR143" t="str">
        <f t="shared" si="186"/>
        <v/>
      </c>
      <c r="BS143" t="str">
        <f t="shared" si="187"/>
        <v/>
      </c>
      <c r="BT143" t="str">
        <f t="shared" si="188"/>
        <v>5500000250000016064001572600</v>
      </c>
      <c r="BU143" t="str">
        <f t="shared" si="189"/>
        <v/>
      </c>
      <c r="BV143" t="str">
        <f t="shared" si="190"/>
        <v>7777</v>
      </c>
      <c r="BW143" t="str">
        <f t="shared" si="191"/>
        <v/>
      </c>
      <c r="BX143" t="str">
        <f t="shared" si="192"/>
        <v>1111</v>
      </c>
      <c r="CB143" s="683" t="str">
        <f t="shared" si="193"/>
        <v/>
      </c>
      <c r="CC143" s="683" t="str">
        <f t="shared" si="194"/>
        <v/>
      </c>
      <c r="CD143" s="683" t="str">
        <f>IF(CC143="","",VALUE(MID($BZ$5,1+SUM($CC$3:CC142),CC143)))</f>
        <v/>
      </c>
      <c r="CE143"/>
      <c r="CF143" t="str">
        <f>IF(CD143="","",MID($BZ$4,1+SUM($CD$3:CD142),CD143))</f>
        <v/>
      </c>
    </row>
    <row r="144" spans="3:84" ht="15">
      <c r="C144" s="485">
        <f t="shared" si="181"/>
        <v>145</v>
      </c>
      <c r="D144" s="464" t="s">
        <v>122</v>
      </c>
      <c r="E144" s="464"/>
      <c r="F144" s="464" t="e">
        <f ca="1">DATA_FORMATTING!CL144/F$117</f>
        <v>#N/A</v>
      </c>
      <c r="G144" s="464" t="e">
        <f ca="1">DATA_FORMATTING!CM144/G$117</f>
        <v>#N/A</v>
      </c>
      <c r="H144" s="464" t="e">
        <f ca="1">DATA_FORMATTING!CN144/H$117</f>
        <v>#N/A</v>
      </c>
      <c r="I144" s="464" t="e">
        <f ca="1">DATA_FORMATTING!CO144/I$117</f>
        <v>#N/A</v>
      </c>
      <c r="J144" s="464" t="e">
        <f ca="1">DATA_FORMATTING!CP144/J$117</f>
        <v>#N/A</v>
      </c>
      <c r="K144" s="464"/>
      <c r="L144" s="464" t="e">
        <f ca="1">DATA_FORMATTING!L202/L$117</f>
        <v>#NAME?</v>
      </c>
      <c r="M144" s="464" t="e">
        <f ca="1">DATA_FORMATTING!M202/M$117</f>
        <v>#NAME?</v>
      </c>
      <c r="N144" s="464" t="e">
        <f ca="1">DATA_FORMATTING!N202/N$117</f>
        <v>#NAME?</v>
      </c>
      <c r="O144" s="464" t="e">
        <f ca="1">DATA_FORMATTING!P202/O$117</f>
        <v>#NAME?</v>
      </c>
      <c r="P144" s="464"/>
      <c r="Q144" s="464" t="e">
        <f ca="1">DATA_FORMATTING!CH144/Q$117</f>
        <v>#NAME?</v>
      </c>
      <c r="R144" s="464" t="e">
        <f ca="1">DATA_FORMATTING!CH207/R$117</f>
        <v>#NAME?</v>
      </c>
      <c r="U144" s="550"/>
      <c r="AJ144" s="464" t="s">
        <v>122</v>
      </c>
      <c r="AK144" s="464" t="e">
        <f t="shared" ref="AK144:AN145" ca="1" si="196">HLOOKUP(AK$4,$G$1:$O$213,$C144-1,FALSE)</f>
        <v>#N/A</v>
      </c>
      <c r="AL144" s="464" t="e">
        <f t="shared" ca="1" si="196"/>
        <v>#N/A</v>
      </c>
      <c r="AM144" s="464" t="e">
        <f t="shared" ca="1" si="196"/>
        <v>#N/A</v>
      </c>
      <c r="AN144" s="464" t="e">
        <f t="shared" ca="1" si="196"/>
        <v>#N/A</v>
      </c>
      <c r="AO144" s="464" t="e">
        <f t="shared" ref="AO144:AP145" ca="1" si="197">Q144</f>
        <v>#NAME?</v>
      </c>
      <c r="AP144" s="842" t="e">
        <f t="shared" ca="1" si="197"/>
        <v>#NAME?</v>
      </c>
      <c r="BP144" s="485" t="e">
        <f ca="1">IF(OR(DB_LOAD!AW143="USD",DB_LOAD!AW143='Refi-Annual Review'!$A$3,ISBLANK(DB_LOAD!AW143)),0,1)</f>
        <v>#NAME?</v>
      </c>
      <c r="BQ144" t="str">
        <f>(IF(ISBLANK(DB_LOAD!AR143),"",DB_LOAD!AR143))</f>
        <v/>
      </c>
      <c r="BR144" t="str">
        <f t="shared" si="186"/>
        <v/>
      </c>
      <c r="BS144" t="str">
        <f t="shared" si="187"/>
        <v/>
      </c>
      <c r="BT144" t="str">
        <f t="shared" si="188"/>
        <v>5500000250000016064001572600</v>
      </c>
      <c r="BU144" t="str">
        <f t="shared" si="189"/>
        <v/>
      </c>
      <c r="BV144" t="str">
        <f t="shared" si="190"/>
        <v>7777</v>
      </c>
      <c r="BW144" t="str">
        <f t="shared" si="191"/>
        <v/>
      </c>
      <c r="BX144" t="str">
        <f t="shared" si="192"/>
        <v>1111</v>
      </c>
      <c r="CB144" s="683" t="str">
        <f t="shared" si="193"/>
        <v/>
      </c>
      <c r="CC144" s="683" t="str">
        <f t="shared" si="194"/>
        <v/>
      </c>
      <c r="CD144" s="683" t="str">
        <f>IF(CC144="","",VALUE(MID($BZ$5,1+SUM($CC$3:CC143),CC144)))</f>
        <v/>
      </c>
      <c r="CE144"/>
      <c r="CF144" t="str">
        <f>IF(CD144="","",MID($BZ$4,1+SUM($CD$3:CD143),CD144))</f>
        <v/>
      </c>
    </row>
    <row r="145" spans="3:84" ht="15">
      <c r="C145" s="485">
        <f t="shared" si="181"/>
        <v>146</v>
      </c>
      <c r="D145" s="483" t="s">
        <v>124</v>
      </c>
      <c r="E145" s="466"/>
      <c r="F145" s="483" t="e">
        <f ca="1">SUM(F144,F142)</f>
        <v>#N/A</v>
      </c>
      <c r="G145" s="483" t="e">
        <f ca="1">SUM(G144,G142)</f>
        <v>#N/A</v>
      </c>
      <c r="H145" s="483" t="e">
        <f ca="1">SUM(H144,H142)</f>
        <v>#N/A</v>
      </c>
      <c r="I145" s="483" t="e">
        <f ca="1">SUM(I144,I142)</f>
        <v>#N/A</v>
      </c>
      <c r="J145" s="483" t="e">
        <f ca="1">SUM(J144,J142)</f>
        <v>#N/A</v>
      </c>
      <c r="K145" s="466"/>
      <c r="L145" s="483" t="e">
        <f ca="1">SUM(L144,L142)</f>
        <v>#NAME?</v>
      </c>
      <c r="M145" s="483" t="e">
        <f ca="1">SUM(M144,M142)</f>
        <v>#NAME?</v>
      </c>
      <c r="N145" s="483" t="e">
        <f ca="1">SUM(N144,N142)</f>
        <v>#NAME?</v>
      </c>
      <c r="O145" s="483" t="e">
        <f ca="1">SUM(O144,O142)</f>
        <v>#NAME?</v>
      </c>
      <c r="P145" s="466"/>
      <c r="Q145" s="483" t="e">
        <f ca="1">SUM(Q144,Q142)</f>
        <v>#NAME?</v>
      </c>
      <c r="R145" s="483" t="e">
        <f ca="1">SUM(R144,R142)</f>
        <v>#NAME?</v>
      </c>
      <c r="U145" s="555"/>
      <c r="AJ145" s="483" t="s">
        <v>124</v>
      </c>
      <c r="AK145" s="483" t="e">
        <f t="shared" ca="1" si="196"/>
        <v>#N/A</v>
      </c>
      <c r="AL145" s="483" t="e">
        <f t="shared" ca="1" si="196"/>
        <v>#N/A</v>
      </c>
      <c r="AM145" s="483" t="e">
        <f t="shared" ca="1" si="196"/>
        <v>#N/A</v>
      </c>
      <c r="AN145" s="483" t="e">
        <f t="shared" ca="1" si="196"/>
        <v>#N/A</v>
      </c>
      <c r="AO145" s="483" t="e">
        <f t="shared" ca="1" si="197"/>
        <v>#NAME?</v>
      </c>
      <c r="AP145" s="847" t="e">
        <f t="shared" ca="1" si="197"/>
        <v>#NAME?</v>
      </c>
      <c r="BP145" s="485" t="e">
        <f ca="1">IF(OR(DB_LOAD!AW144="USD",DB_LOAD!AW144='Refi-Annual Review'!$A$3,ISBLANK(DB_LOAD!AW144)),0,1)</f>
        <v>#NAME?</v>
      </c>
      <c r="BQ145" t="str">
        <f>(IF(ISBLANK(DB_LOAD!AR144),"",DB_LOAD!AR144))</f>
        <v/>
      </c>
      <c r="BR145" t="str">
        <f t="shared" si="186"/>
        <v/>
      </c>
      <c r="BS145" t="str">
        <f t="shared" si="187"/>
        <v/>
      </c>
      <c r="BT145" t="str">
        <f t="shared" si="188"/>
        <v>5500000250000016064001572600</v>
      </c>
      <c r="BU145" t="str">
        <f t="shared" si="189"/>
        <v/>
      </c>
      <c r="BV145" t="str">
        <f t="shared" si="190"/>
        <v>7777</v>
      </c>
      <c r="BW145" t="str">
        <f t="shared" si="191"/>
        <v/>
      </c>
      <c r="BX145" t="str">
        <f t="shared" si="192"/>
        <v>1111</v>
      </c>
      <c r="CB145" s="683" t="str">
        <f t="shared" si="193"/>
        <v/>
      </c>
      <c r="CC145" s="683" t="str">
        <f t="shared" si="194"/>
        <v/>
      </c>
      <c r="CD145" s="683" t="str">
        <f>IF(CC145="","",VALUE(MID($BZ$5,1+SUM($CC$3:CC144),CC145)))</f>
        <v/>
      </c>
      <c r="CE145"/>
      <c r="CF145" t="str">
        <f>IF(CD145="","",MID($BZ$4,1+SUM($CD$3:CD144),CD145))</f>
        <v/>
      </c>
    </row>
    <row r="146" spans="3:84" ht="15">
      <c r="C146" s="485">
        <f t="shared" si="181"/>
        <v>147</v>
      </c>
      <c r="D146" s="468" t="s">
        <v>407</v>
      </c>
      <c r="E146" s="481"/>
      <c r="F146" s="477" t="e">
        <f ca="1">F145/F$120</f>
        <v>#N/A</v>
      </c>
      <c r="G146" s="477" t="e">
        <f ca="1">G145/G$120</f>
        <v>#N/A</v>
      </c>
      <c r="H146" s="477" t="e">
        <f ca="1">H145/H$120</f>
        <v>#N/A</v>
      </c>
      <c r="I146" s="477" t="e">
        <f ca="1">I145/I$120</f>
        <v>#N/A</v>
      </c>
      <c r="J146" s="477" t="e">
        <f ca="1">J145/J$120</f>
        <v>#N/A</v>
      </c>
      <c r="K146" s="477"/>
      <c r="L146" s="477" t="e">
        <f ca="1">L145/L$120</f>
        <v>#NAME?</v>
      </c>
      <c r="M146" s="477" t="e">
        <f ca="1">M145/M$120</f>
        <v>#NAME?</v>
      </c>
      <c r="N146" s="477" t="e">
        <f ca="1">N145/N$120</f>
        <v>#NAME?</v>
      </c>
      <c r="O146" s="477" t="e">
        <f ca="1">O145/O$120</f>
        <v>#NAME?</v>
      </c>
      <c r="P146" s="477"/>
      <c r="Q146" s="477" t="e">
        <f ca="1">Q145/Q$120</f>
        <v>#NAME?</v>
      </c>
      <c r="R146" s="477" t="e">
        <f ca="1">R145/R$120</f>
        <v>#NAME?</v>
      </c>
      <c r="U146" s="553"/>
      <c r="AJ146" s="468" t="s">
        <v>407</v>
      </c>
      <c r="AK146" s="477" t="e">
        <f ca="1">IF($AT$2=TRUE,IF($AT$3=TRUE,K146,F146),IF($AT$3=TRUE,L146,G146))</f>
        <v>#NAME?</v>
      </c>
      <c r="AL146" s="477" t="e">
        <f ca="1">AL145/AL120</f>
        <v>#N/A</v>
      </c>
      <c r="AM146" s="477" t="e">
        <f t="shared" ref="AM146:AP146" ca="1" si="198">AM145/AM120</f>
        <v>#N/A</v>
      </c>
      <c r="AN146" s="477" t="e">
        <f t="shared" ca="1" si="198"/>
        <v>#N/A</v>
      </c>
      <c r="AO146" s="477" t="e">
        <f t="shared" ca="1" si="198"/>
        <v>#NAME?</v>
      </c>
      <c r="AP146" s="844" t="e">
        <f t="shared" ca="1" si="198"/>
        <v>#NAME?</v>
      </c>
      <c r="BP146" s="485" t="e">
        <f ca="1">IF(OR(DB_LOAD!AW145="USD",DB_LOAD!AW145='Refi-Annual Review'!$A$3,ISBLANK(DB_LOAD!AW145)),0,1)</f>
        <v>#NAME?</v>
      </c>
      <c r="BQ146" t="str">
        <f>(IF(ISBLANK(DB_LOAD!AR145),"",DB_LOAD!AR145))</f>
        <v/>
      </c>
      <c r="BR146" t="str">
        <f t="shared" si="186"/>
        <v/>
      </c>
      <c r="BS146" t="str">
        <f t="shared" si="187"/>
        <v/>
      </c>
      <c r="BT146" t="str">
        <f t="shared" si="188"/>
        <v>5500000250000016064001572600</v>
      </c>
      <c r="BU146" t="str">
        <f t="shared" si="189"/>
        <v/>
      </c>
      <c r="BV146" t="str">
        <f t="shared" si="190"/>
        <v>7777</v>
      </c>
      <c r="BW146" t="str">
        <f t="shared" si="191"/>
        <v/>
      </c>
      <c r="BX146" t="str">
        <f t="shared" si="192"/>
        <v>1111</v>
      </c>
      <c r="CB146" s="683" t="str">
        <f t="shared" si="193"/>
        <v/>
      </c>
      <c r="CC146" s="683" t="str">
        <f t="shared" si="194"/>
        <v/>
      </c>
      <c r="CD146" s="683" t="str">
        <f>IF(CC146="","",VALUE(MID($BZ$5,1+SUM($CC$3:CC145),CC146)))</f>
        <v/>
      </c>
      <c r="CE146"/>
      <c r="CF146" t="str">
        <f>IF(CD146="","",MID($BZ$4,1+SUM($CD$3:CD145),CD146))</f>
        <v/>
      </c>
    </row>
    <row r="147" spans="3:84" ht="15">
      <c r="C147" s="485">
        <f t="shared" si="181"/>
        <v>148</v>
      </c>
      <c r="D147" s="506"/>
      <c r="E147" s="576"/>
      <c r="F147" s="507"/>
      <c r="G147" s="507"/>
      <c r="H147" s="507"/>
      <c r="I147" s="507"/>
      <c r="J147" s="507"/>
      <c r="K147" s="556"/>
      <c r="L147" s="507"/>
      <c r="M147" s="507"/>
      <c r="N147" s="507"/>
      <c r="O147" s="507"/>
      <c r="P147" s="557"/>
      <c r="Q147" s="507"/>
      <c r="R147" s="507"/>
      <c r="AJ147" s="506"/>
      <c r="AK147" s="507"/>
      <c r="AL147" s="507"/>
      <c r="AM147" s="507"/>
      <c r="AN147" s="507"/>
      <c r="AO147" s="507"/>
      <c r="AP147" s="507"/>
      <c r="BP147" s="485" t="e">
        <f ca="1">IF(OR(DB_LOAD!AW146="USD",DB_LOAD!AW146='Refi-Annual Review'!$A$3,ISBLANK(DB_LOAD!AW146)),0,1)</f>
        <v>#NAME?</v>
      </c>
      <c r="BQ147" t="str">
        <f>(IF(ISBLANK(DB_LOAD!AR146),"",DB_LOAD!AR146))</f>
        <v/>
      </c>
      <c r="BR147" t="str">
        <f t="shared" si="186"/>
        <v/>
      </c>
      <c r="BS147" t="str">
        <f t="shared" si="187"/>
        <v/>
      </c>
      <c r="BT147" t="str">
        <f t="shared" si="188"/>
        <v>5500000250000016064001572600</v>
      </c>
      <c r="BU147" t="str">
        <f t="shared" si="189"/>
        <v/>
      </c>
      <c r="BV147" t="str">
        <f t="shared" si="190"/>
        <v>7777</v>
      </c>
      <c r="BW147" t="str">
        <f t="shared" si="191"/>
        <v/>
      </c>
      <c r="BX147" t="str">
        <f t="shared" si="192"/>
        <v>1111</v>
      </c>
      <c r="CB147" s="683" t="str">
        <f t="shared" si="193"/>
        <v/>
      </c>
      <c r="CC147" s="683" t="str">
        <f t="shared" si="194"/>
        <v/>
      </c>
      <c r="CD147" s="683" t="str">
        <f>IF(CC147="","",VALUE(MID($BZ$5,1+SUM($CC$3:CC146),CC147)))</f>
        <v/>
      </c>
      <c r="CE147"/>
      <c r="CF147" t="str">
        <f>IF(CD147="","",MID($BZ$4,1+SUM($CD$3:CD146),CD147))</f>
        <v/>
      </c>
    </row>
    <row r="148" spans="3:84" ht="15">
      <c r="C148" s="485">
        <f t="shared" si="181"/>
        <v>149</v>
      </c>
      <c r="D148" s="466" t="s">
        <v>128</v>
      </c>
      <c r="E148" s="466"/>
      <c r="F148" s="466" t="e">
        <f ca="1">DATA_FORMATTING!CL148/F$117</f>
        <v>#N/A</v>
      </c>
      <c r="G148" s="466" t="e">
        <f ca="1">DATA_FORMATTING!CM148/G$117</f>
        <v>#N/A</v>
      </c>
      <c r="H148" s="466" t="e">
        <f ca="1">DATA_FORMATTING!CN148/H$117</f>
        <v>#N/A</v>
      </c>
      <c r="I148" s="466" t="e">
        <f ca="1">DATA_FORMATTING!CO148/I$117</f>
        <v>#N/A</v>
      </c>
      <c r="J148" s="466" t="e">
        <f ca="1">DATA_FORMATTING!CP148/J$117</f>
        <v>#N/A</v>
      </c>
      <c r="K148" s="466"/>
      <c r="L148" s="464" t="e">
        <f ca="1">DATA_FORMATTING!L206/L$117</f>
        <v>#NAME?</v>
      </c>
      <c r="M148" s="464" t="e">
        <f ca="1">DATA_FORMATTING!M206/M$117</f>
        <v>#NAME?</v>
      </c>
      <c r="N148" s="464" t="e">
        <f ca="1">DATA_FORMATTING!N206/N$117</f>
        <v>#NAME?</v>
      </c>
      <c r="O148" s="464" t="e">
        <f ca="1">DATA_FORMATTING!P206/O$117</f>
        <v>#NAME?</v>
      </c>
      <c r="P148" s="464"/>
      <c r="Q148" s="466" t="e">
        <f ca="1">DATA_FORMATTING!CH148/Q$117</f>
        <v>#NAME?</v>
      </c>
      <c r="R148" s="466" t="e">
        <f ca="1">DATA_FORMATTING!CH211/R$117</f>
        <v>#NAME?</v>
      </c>
      <c r="U148" s="558"/>
      <c r="AJ148" s="466" t="s">
        <v>128</v>
      </c>
      <c r="AK148" s="466" t="e">
        <f t="shared" ref="AK148:AN148" ca="1" si="199">HLOOKUP(AK$4,$G$1:$O$213,$C148-1,FALSE)</f>
        <v>#N/A</v>
      </c>
      <c r="AL148" s="466" t="e">
        <f t="shared" ca="1" si="199"/>
        <v>#N/A</v>
      </c>
      <c r="AM148" s="466" t="e">
        <f t="shared" ca="1" si="199"/>
        <v>#N/A</v>
      </c>
      <c r="AN148" s="466" t="e">
        <f t="shared" ca="1" si="199"/>
        <v>#N/A</v>
      </c>
      <c r="AO148" s="466" t="e">
        <f ca="1">Q148</f>
        <v>#NAME?</v>
      </c>
      <c r="AP148" s="845" t="e">
        <f ca="1">R148</f>
        <v>#NAME?</v>
      </c>
      <c r="BP148" s="485" t="e">
        <f ca="1">IF(OR(DB_LOAD!AW147="USD",DB_LOAD!AW147='Refi-Annual Review'!$A$3,ISBLANK(DB_LOAD!AW147)),0,1)</f>
        <v>#NAME?</v>
      </c>
      <c r="BQ148" t="str">
        <f>(IF(ISBLANK(DB_LOAD!AR147),"",DB_LOAD!AR147))</f>
        <v/>
      </c>
      <c r="BR148" t="str">
        <f t="shared" si="186"/>
        <v/>
      </c>
      <c r="BS148" t="str">
        <f t="shared" si="187"/>
        <v/>
      </c>
      <c r="BT148" t="str">
        <f t="shared" si="188"/>
        <v>5500000250000016064001572600</v>
      </c>
      <c r="BU148" t="str">
        <f t="shared" si="189"/>
        <v/>
      </c>
      <c r="BV148" t="str">
        <f t="shared" si="190"/>
        <v>7777</v>
      </c>
      <c r="BW148" t="str">
        <f t="shared" si="191"/>
        <v/>
      </c>
      <c r="BX148" t="str">
        <f t="shared" si="192"/>
        <v>1111</v>
      </c>
      <c r="CB148" s="683" t="str">
        <f t="shared" si="193"/>
        <v/>
      </c>
      <c r="CC148" s="683" t="str">
        <f t="shared" si="194"/>
        <v/>
      </c>
      <c r="CD148" s="683" t="str">
        <f>IF(CC148="","",VALUE(MID($BZ$5,1+SUM($CC$3:CC147),CC148)))</f>
        <v/>
      </c>
      <c r="CE148"/>
      <c r="CF148" t="str">
        <f>IF(CD148="","",MID($BZ$4,1+SUM($CD$3:CD147),CD148))</f>
        <v/>
      </c>
    </row>
    <row r="149" spans="3:84" ht="15">
      <c r="C149" s="485">
        <f t="shared" si="181"/>
        <v>150</v>
      </c>
      <c r="D149" s="468" t="s">
        <v>408</v>
      </c>
      <c r="E149" s="481"/>
      <c r="F149" s="477" t="e">
        <f ca="1">F148/F145</f>
        <v>#N/A</v>
      </c>
      <c r="G149" s="477" t="e">
        <f ca="1">G148/G145</f>
        <v>#N/A</v>
      </c>
      <c r="H149" s="477" t="e">
        <f ca="1">H148/H145</f>
        <v>#N/A</v>
      </c>
      <c r="I149" s="477" t="e">
        <f ca="1">I148/I145</f>
        <v>#N/A</v>
      </c>
      <c r="J149" s="477" t="e">
        <f ca="1">J148/J145</f>
        <v>#N/A</v>
      </c>
      <c r="K149" s="477"/>
      <c r="L149" s="477" t="e">
        <f ca="1">L148/L145</f>
        <v>#NAME?</v>
      </c>
      <c r="M149" s="477" t="e">
        <f ca="1">M148/M145</f>
        <v>#NAME?</v>
      </c>
      <c r="N149" s="477" t="e">
        <f ca="1">N148/N145</f>
        <v>#NAME?</v>
      </c>
      <c r="O149" s="477" t="e">
        <f ca="1">O148/O145</f>
        <v>#NAME?</v>
      </c>
      <c r="P149" s="477"/>
      <c r="Q149" s="477" t="e">
        <f ca="1">Q148/Q145</f>
        <v>#NAME?</v>
      </c>
      <c r="R149" s="477" t="e">
        <f ca="1">R148/R145</f>
        <v>#NAME?</v>
      </c>
      <c r="U149" s="553"/>
      <c r="AJ149" s="468" t="s">
        <v>408</v>
      </c>
      <c r="AK149" s="477" t="e">
        <f ca="1">IF($AT$2=TRUE,IF($AT$3=TRUE,K149,F149),IF($AT$3=TRUE,L149,G149))</f>
        <v>#NAME?</v>
      </c>
      <c r="AL149" s="477" t="e">
        <f ca="1">AL148/AL145</f>
        <v>#N/A</v>
      </c>
      <c r="AM149" s="477" t="e">
        <f t="shared" ref="AM149:AP149" ca="1" si="200">AM148/AM145</f>
        <v>#N/A</v>
      </c>
      <c r="AN149" s="477" t="e">
        <f t="shared" ca="1" si="200"/>
        <v>#N/A</v>
      </c>
      <c r="AO149" s="477" t="e">
        <f t="shared" ca="1" si="200"/>
        <v>#NAME?</v>
      </c>
      <c r="AP149" s="844" t="e">
        <f t="shared" ca="1" si="200"/>
        <v>#NAME?</v>
      </c>
      <c r="BP149" s="485" t="e">
        <f ca="1">IF(OR(DB_LOAD!AW148="USD",DB_LOAD!AW148='Refi-Annual Review'!$A$3,ISBLANK(DB_LOAD!AW148)),0,1)</f>
        <v>#NAME?</v>
      </c>
      <c r="BQ149" t="str">
        <f>(IF(ISBLANK(DB_LOAD!AR148),"",DB_LOAD!AR148))</f>
        <v/>
      </c>
      <c r="BR149" t="str">
        <f t="shared" si="186"/>
        <v/>
      </c>
      <c r="BS149" t="str">
        <f t="shared" si="187"/>
        <v/>
      </c>
      <c r="BT149" t="str">
        <f t="shared" si="188"/>
        <v>5500000250000016064001572600</v>
      </c>
      <c r="BU149" t="str">
        <f t="shared" si="189"/>
        <v/>
      </c>
      <c r="BV149" t="str">
        <f t="shared" si="190"/>
        <v>7777</v>
      </c>
      <c r="BW149" t="str">
        <f t="shared" si="191"/>
        <v/>
      </c>
      <c r="BX149" t="str">
        <f t="shared" si="192"/>
        <v>1111</v>
      </c>
      <c r="CB149" s="683" t="str">
        <f t="shared" si="193"/>
        <v/>
      </c>
      <c r="CC149" s="683" t="str">
        <f t="shared" si="194"/>
        <v/>
      </c>
      <c r="CD149" s="683" t="str">
        <f>IF(CC149="","",VALUE(MID($BZ$5,1+SUM($CC$3:CC148),CC149)))</f>
        <v/>
      </c>
      <c r="CE149"/>
      <c r="CF149" t="str">
        <f>IF(CD149="","",MID($BZ$4,1+SUM($CD$3:CD148),CD149))</f>
        <v/>
      </c>
    </row>
    <row r="150" spans="3:84" ht="15">
      <c r="C150" s="485">
        <f t="shared" si="181"/>
        <v>151</v>
      </c>
      <c r="AK150" s="486"/>
      <c r="AL150" s="486"/>
      <c r="AM150" s="486"/>
      <c r="AN150" s="486"/>
      <c r="AO150" s="486"/>
      <c r="BP150" s="485" t="e">
        <f ca="1">IF(OR(DB_LOAD!AW149="USD",DB_LOAD!AW149='Refi-Annual Review'!$A$3,ISBLANK(DB_LOAD!AW149)),0,1)</f>
        <v>#NAME?</v>
      </c>
      <c r="BQ150" t="str">
        <f>(IF(ISBLANK(DB_LOAD!AR149),"",DB_LOAD!AR149))</f>
        <v/>
      </c>
      <c r="BR150" t="str">
        <f t="shared" si="186"/>
        <v/>
      </c>
      <c r="BS150" t="str">
        <f t="shared" si="187"/>
        <v/>
      </c>
      <c r="BT150" t="str">
        <f t="shared" si="188"/>
        <v>5500000250000016064001572600</v>
      </c>
      <c r="BU150" t="str">
        <f t="shared" si="189"/>
        <v/>
      </c>
      <c r="BV150" t="str">
        <f t="shared" si="190"/>
        <v>7777</v>
      </c>
      <c r="BW150" t="str">
        <f t="shared" si="191"/>
        <v/>
      </c>
      <c r="BX150" t="str">
        <f t="shared" si="192"/>
        <v>1111</v>
      </c>
      <c r="CB150" s="683" t="str">
        <f t="shared" si="193"/>
        <v/>
      </c>
      <c r="CC150" s="683" t="str">
        <f t="shared" si="194"/>
        <v/>
      </c>
      <c r="CD150" s="683" t="str">
        <f>IF(CC150="","",VALUE(MID($BZ$5,1+SUM($CC$3:CC149),CC150)))</f>
        <v/>
      </c>
      <c r="CE150"/>
      <c r="CF150" t="str">
        <f>IF(CD150="","",MID($BZ$4,1+SUM($CD$3:CD149),CD150))</f>
        <v/>
      </c>
    </row>
    <row r="151" spans="3:84" ht="15">
      <c r="C151" s="485">
        <f t="shared" si="181"/>
        <v>152</v>
      </c>
      <c r="AK151" s="486"/>
      <c r="AL151" s="486"/>
      <c r="AM151" s="486"/>
      <c r="AN151" s="486"/>
      <c r="AO151" s="486"/>
      <c r="BP151" s="485" t="e">
        <f ca="1">IF(OR(DB_LOAD!AW150="USD",DB_LOAD!AW150='Refi-Annual Review'!$A$3,ISBLANK(DB_LOAD!AW150)),0,1)</f>
        <v>#NAME?</v>
      </c>
      <c r="BQ151" t="str">
        <f>(IF(ISBLANK(DB_LOAD!AR150),"",DB_LOAD!AR150))</f>
        <v/>
      </c>
      <c r="BR151" t="str">
        <f t="shared" si="186"/>
        <v/>
      </c>
      <c r="BS151" t="str">
        <f t="shared" si="187"/>
        <v/>
      </c>
      <c r="BT151" t="str">
        <f t="shared" si="188"/>
        <v>5500000250000016064001572600</v>
      </c>
      <c r="BU151" t="str">
        <f t="shared" si="189"/>
        <v/>
      </c>
      <c r="BV151" t="str">
        <f t="shared" si="190"/>
        <v>7777</v>
      </c>
      <c r="BW151" t="str">
        <f t="shared" si="191"/>
        <v/>
      </c>
      <c r="BX151" t="str">
        <f t="shared" si="192"/>
        <v>1111</v>
      </c>
      <c r="CB151" s="683" t="str">
        <f t="shared" si="193"/>
        <v/>
      </c>
      <c r="CC151" s="683" t="str">
        <f t="shared" si="194"/>
        <v/>
      </c>
      <c r="CD151" s="683" t="str">
        <f>IF(CC151="","",VALUE(MID($BZ$5,1+SUM($CC$3:CC150),CC151)))</f>
        <v/>
      </c>
      <c r="CE151"/>
      <c r="CF151" t="str">
        <f>IF(CD151="","",MID($BZ$4,1+SUM($CD$3:CD150),CD151))</f>
        <v/>
      </c>
    </row>
    <row r="152" spans="3:84" ht="15">
      <c r="C152" s="485">
        <f t="shared" si="181"/>
        <v>153</v>
      </c>
      <c r="D152" s="474" t="s">
        <v>422</v>
      </c>
      <c r="E152" s="573"/>
      <c r="F152" s="460">
        <f t="shared" ref="F152:J153" si="201">F118</f>
        <v>2010</v>
      </c>
      <c r="G152" s="460">
        <f t="shared" si="201"/>
        <v>2011</v>
      </c>
      <c r="H152" s="460">
        <f t="shared" si="201"/>
        <v>2012</v>
      </c>
      <c r="I152" s="460">
        <f t="shared" si="201"/>
        <v>2013</v>
      </c>
      <c r="J152" s="460">
        <f t="shared" si="201"/>
        <v>2014</v>
      </c>
      <c r="K152" s="546"/>
      <c r="L152" s="460">
        <f t="shared" ref="L152:O153" si="202">L118</f>
        <v>2011</v>
      </c>
      <c r="M152" s="460">
        <f t="shared" si="202"/>
        <v>2012</v>
      </c>
      <c r="N152" s="460">
        <f t="shared" si="202"/>
        <v>2013</v>
      </c>
      <c r="O152" s="460">
        <f t="shared" si="202"/>
        <v>2014</v>
      </c>
      <c r="P152" s="546"/>
      <c r="Q152" s="460" t="str">
        <f>Q118</f>
        <v>YTD Jan-00</v>
      </c>
      <c r="R152" s="464" t="str">
        <f t="shared" ref="R152:R177" si="203">Q152</f>
        <v>YTD Jan-00</v>
      </c>
      <c r="U152" s="453" t="e">
        <f>U87</f>
        <v>#NUM!</v>
      </c>
      <c r="AJ152" s="474" t="s">
        <v>422</v>
      </c>
      <c r="AK152" s="460">
        <f ca="1">AK7</f>
        <v>-3</v>
      </c>
      <c r="AL152" s="460">
        <f ca="1">AL7</f>
        <v>-2</v>
      </c>
      <c r="AM152" s="460">
        <f t="shared" ref="AM152:AN152" ca="1" si="204">AM7</f>
        <v>-1</v>
      </c>
      <c r="AN152" s="460">
        <f t="shared" ca="1" si="204"/>
        <v>0</v>
      </c>
      <c r="AO152" s="460" t="str">
        <f t="shared" ref="AO152:AP164" si="205">Q152</f>
        <v>YTD Jan-00</v>
      </c>
      <c r="AP152" s="840" t="str">
        <f t="shared" si="205"/>
        <v>YTD Jan-00</v>
      </c>
      <c r="BP152" s="485" t="e">
        <f ca="1">IF(OR(DB_LOAD!AW151="USD",DB_LOAD!AW151='Refi-Annual Review'!$A$3,ISBLANK(DB_LOAD!AW151)),0,1)</f>
        <v>#NAME?</v>
      </c>
      <c r="BQ152" t="str">
        <f>(IF(ISBLANK(DB_LOAD!AR151),"",DB_LOAD!AR151))</f>
        <v/>
      </c>
      <c r="BR152" t="str">
        <f t="shared" si="186"/>
        <v/>
      </c>
      <c r="BS152" t="str">
        <f t="shared" si="187"/>
        <v/>
      </c>
      <c r="BT152" t="str">
        <f t="shared" si="188"/>
        <v>5500000250000016064001572600</v>
      </c>
      <c r="BU152" t="str">
        <f t="shared" si="189"/>
        <v/>
      </c>
      <c r="BV152" t="str">
        <f t="shared" si="190"/>
        <v>7777</v>
      </c>
      <c r="BW152" t="str">
        <f t="shared" si="191"/>
        <v/>
      </c>
      <c r="BX152" t="str">
        <f t="shared" si="192"/>
        <v>1111</v>
      </c>
      <c r="CB152" s="683" t="str">
        <f t="shared" si="193"/>
        <v/>
      </c>
      <c r="CC152" s="683" t="str">
        <f t="shared" si="194"/>
        <v/>
      </c>
      <c r="CD152" s="683" t="str">
        <f>IF(CC152="","",VALUE(MID($BZ$5,1+SUM($CC$3:CC151),CC152)))</f>
        <v/>
      </c>
      <c r="CE152"/>
      <c r="CF152" t="str">
        <f>IF(CD152="","",MID($BZ$4,1+SUM($CD$3:CD151),CD152))</f>
        <v/>
      </c>
    </row>
    <row r="153" spans="3:84" ht="15">
      <c r="C153" s="485">
        <f t="shared" si="181"/>
        <v>154</v>
      </c>
      <c r="D153" s="461"/>
      <c r="E153" s="574"/>
      <c r="F153" s="461" t="str">
        <f t="shared" si="201"/>
        <v>Audited</v>
      </c>
      <c r="G153" s="461" t="str">
        <f t="shared" si="201"/>
        <v>Audited</v>
      </c>
      <c r="H153" s="461" t="str">
        <f t="shared" si="201"/>
        <v>Audited</v>
      </c>
      <c r="I153" s="461" t="str">
        <f t="shared" si="201"/>
        <v>Audited</v>
      </c>
      <c r="J153" s="461" t="str">
        <f t="shared" si="201"/>
        <v>Audited</v>
      </c>
      <c r="K153" s="547"/>
      <c r="L153" s="461" t="str">
        <f t="shared" si="202"/>
        <v>Unaudited</v>
      </c>
      <c r="M153" s="461" t="str">
        <f t="shared" si="202"/>
        <v>Unaudited</v>
      </c>
      <c r="N153" s="461" t="str">
        <f t="shared" si="202"/>
        <v>Unaudited</v>
      </c>
      <c r="O153" s="461" t="str">
        <f t="shared" si="202"/>
        <v>Unaudited</v>
      </c>
      <c r="P153" s="547"/>
      <c r="Q153" s="461" t="str">
        <f>Q119</f>
        <v>Unaudited</v>
      </c>
      <c r="R153" s="464" t="str">
        <f t="shared" si="203"/>
        <v>Unaudited</v>
      </c>
      <c r="U153" s="452" t="str">
        <f>U88</f>
        <v>Unaudited</v>
      </c>
      <c r="AJ153" s="461"/>
      <c r="AK153" s="461" t="str">
        <f ca="1">AK6</f>
        <v>No Financials</v>
      </c>
      <c r="AL153" s="461" t="str">
        <f ca="1">AL6</f>
        <v>No Financials</v>
      </c>
      <c r="AM153" s="461" t="str">
        <f t="shared" ref="AM153:AN153" ca="1" si="206">AM6</f>
        <v>No Financials</v>
      </c>
      <c r="AN153" s="461" t="str">
        <f t="shared" ca="1" si="206"/>
        <v>No Financials</v>
      </c>
      <c r="AO153" s="577" t="str">
        <f t="shared" si="205"/>
        <v>Unaudited</v>
      </c>
      <c r="AP153" s="840" t="str">
        <f t="shared" si="205"/>
        <v>Unaudited</v>
      </c>
      <c r="BP153" s="485" t="e">
        <f ca="1">IF(OR(DB_LOAD!AW152="USD",DB_LOAD!AW152='Refi-Annual Review'!$A$3,ISBLANK(DB_LOAD!AW152)),0,1)</f>
        <v>#NAME?</v>
      </c>
      <c r="BQ153" t="str">
        <f>(IF(ISBLANK(DB_LOAD!AR152),"",DB_LOAD!AR152))</f>
        <v/>
      </c>
      <c r="BR153" t="str">
        <f t="shared" si="186"/>
        <v/>
      </c>
      <c r="BS153" t="str">
        <f t="shared" si="187"/>
        <v/>
      </c>
      <c r="BT153" t="str">
        <f t="shared" si="188"/>
        <v>5500000250000016064001572600</v>
      </c>
      <c r="BU153" t="str">
        <f t="shared" si="189"/>
        <v/>
      </c>
      <c r="BV153" t="str">
        <f t="shared" si="190"/>
        <v>7777</v>
      </c>
      <c r="BW153" t="str">
        <f t="shared" si="191"/>
        <v/>
      </c>
      <c r="BX153" t="str">
        <f t="shared" si="192"/>
        <v>1111</v>
      </c>
      <c r="CB153" s="683" t="str">
        <f t="shared" si="193"/>
        <v/>
      </c>
      <c r="CC153" s="683" t="str">
        <f t="shared" si="194"/>
        <v/>
      </c>
      <c r="CD153" s="683" t="str">
        <f>IF(CC153="","",VALUE(MID($BZ$5,1+SUM($CC$3:CC152),CC153)))</f>
        <v/>
      </c>
      <c r="CE153"/>
      <c r="CF153" t="str">
        <f>IF(CD153="","",MID($BZ$4,1+SUM($CD$3:CD152),CD153))</f>
        <v/>
      </c>
    </row>
    <row r="154" spans="3:84" ht="15">
      <c r="C154" s="485">
        <f t="shared" si="181"/>
        <v>155</v>
      </c>
      <c r="D154" s="467" t="s">
        <v>68</v>
      </c>
      <c r="E154" s="467"/>
      <c r="F154" s="464" t="e">
        <f ca="1">DATA_FORMATTING!EF124/F$86</f>
        <v>#N/A</v>
      </c>
      <c r="G154" s="464" t="e">
        <f ca="1">DATA_FORMATTING!EG124/G$86</f>
        <v>#N/A</v>
      </c>
      <c r="H154" s="464" t="e">
        <f ca="1">DATA_FORMATTING!EH124/H$86</f>
        <v>#N/A</v>
      </c>
      <c r="I154" s="464" t="e">
        <f ca="1">DATA_FORMATTING!EI124/I$86</f>
        <v>#N/A</v>
      </c>
      <c r="J154" s="464" t="e">
        <f ca="1">DATA_FORMATTING!EJ124/J$86</f>
        <v>#N/A</v>
      </c>
      <c r="K154" s="464"/>
      <c r="L154" s="464" t="e">
        <f ca="1">DATA_FORMATTING!S182/L$86</f>
        <v>#NAME?</v>
      </c>
      <c r="M154" s="464" t="e">
        <f ca="1">DATA_FORMATTING!T182/M$86</f>
        <v>#NAME?</v>
      </c>
      <c r="N154" s="464" t="e">
        <f ca="1">DATA_FORMATTING!U182/N$86</f>
        <v>#NAME?</v>
      </c>
      <c r="O154" s="464" t="e">
        <f ca="1">DATA_FORMATTING!W182/O$86</f>
        <v>#NAME?</v>
      </c>
      <c r="P154" s="464"/>
      <c r="Q154" s="464" t="e">
        <f ca="1">DATA_FORMATTING!EC124/Q$86</f>
        <v>#NAME?</v>
      </c>
      <c r="R154" s="464" t="e">
        <f t="shared" ca="1" si="203"/>
        <v>#NAME?</v>
      </c>
      <c r="U154" s="559" t="e">
        <f ca="1">DATA_FORMATTING!DQ9/$U$86</f>
        <v>#NAME?</v>
      </c>
      <c r="AJ154" s="467" t="s">
        <v>68</v>
      </c>
      <c r="AK154" s="464" t="e">
        <f t="shared" ref="AK154:AN164" ca="1" si="207">HLOOKUP(AK$4,$G$1:$O$213,$C154-1,FALSE)</f>
        <v>#N/A</v>
      </c>
      <c r="AL154" s="464" t="e">
        <f t="shared" ca="1" si="207"/>
        <v>#N/A</v>
      </c>
      <c r="AM154" s="464" t="e">
        <f t="shared" ca="1" si="207"/>
        <v>#N/A</v>
      </c>
      <c r="AN154" s="464" t="e">
        <f t="shared" ca="1" si="207"/>
        <v>#N/A</v>
      </c>
      <c r="AO154" s="464" t="e">
        <f t="shared" ca="1" si="205"/>
        <v>#NAME?</v>
      </c>
      <c r="AP154" s="840" t="e">
        <f t="shared" ca="1" si="205"/>
        <v>#NAME?</v>
      </c>
      <c r="BP154" s="485" t="e">
        <f ca="1">IF(OR(DB_LOAD!AW153="USD",DB_LOAD!AW153='Refi-Annual Review'!$A$3,ISBLANK(DB_LOAD!AW153)),0,1)</f>
        <v>#NAME?</v>
      </c>
      <c r="BQ154" t="str">
        <f>(IF(ISBLANK(DB_LOAD!AR153),"",DB_LOAD!AR153))</f>
        <v/>
      </c>
      <c r="BR154" t="str">
        <f t="shared" si="186"/>
        <v/>
      </c>
      <c r="BS154" t="str">
        <f t="shared" si="187"/>
        <v/>
      </c>
      <c r="BT154" t="str">
        <f t="shared" si="188"/>
        <v>5500000250000016064001572600</v>
      </c>
      <c r="BU154" t="str">
        <f t="shared" si="189"/>
        <v/>
      </c>
      <c r="BV154" t="str">
        <f t="shared" si="190"/>
        <v>7777</v>
      </c>
      <c r="BW154" t="str">
        <f t="shared" si="191"/>
        <v/>
      </c>
      <c r="BX154" t="str">
        <f t="shared" si="192"/>
        <v>1111</v>
      </c>
      <c r="CB154" s="683" t="str">
        <f t="shared" si="193"/>
        <v/>
      </c>
      <c r="CC154" s="683" t="str">
        <f t="shared" si="194"/>
        <v/>
      </c>
      <c r="CD154" s="683" t="str">
        <f>IF(CC154="","",VALUE(MID($BZ$5,1+SUM($CC$3:CC153),CC154)))</f>
        <v/>
      </c>
      <c r="CE154"/>
      <c r="CF154" t="str">
        <f>IF(CD154="","",MID($BZ$4,1+SUM($CD$3:CD153),CD154))</f>
        <v/>
      </c>
    </row>
    <row r="155" spans="3:84" ht="15">
      <c r="C155" s="485">
        <f t="shared" si="181"/>
        <v>156</v>
      </c>
      <c r="D155" s="467" t="s">
        <v>73</v>
      </c>
      <c r="E155" s="467"/>
      <c r="F155" s="464" t="e">
        <f ca="1">DATA_FORMATTING!EF125/F$86</f>
        <v>#N/A</v>
      </c>
      <c r="G155" s="464" t="e">
        <f ca="1">DATA_FORMATTING!EG125/G$86</f>
        <v>#N/A</v>
      </c>
      <c r="H155" s="464" t="e">
        <f ca="1">DATA_FORMATTING!EH125/H$86</f>
        <v>#N/A</v>
      </c>
      <c r="I155" s="464" t="e">
        <f ca="1">DATA_FORMATTING!EI125/I$86</f>
        <v>#N/A</v>
      </c>
      <c r="J155" s="464" t="e">
        <f ca="1">DATA_FORMATTING!EJ125/J$86</f>
        <v>#N/A</v>
      </c>
      <c r="K155" s="464"/>
      <c r="L155" s="464" t="e">
        <f ca="1">DATA_FORMATTING!S183/L$86</f>
        <v>#NAME?</v>
      </c>
      <c r="M155" s="464" t="e">
        <f ca="1">DATA_FORMATTING!T183/M$86</f>
        <v>#NAME?</v>
      </c>
      <c r="N155" s="464" t="e">
        <f ca="1">DATA_FORMATTING!U183/N$86</f>
        <v>#NAME?</v>
      </c>
      <c r="O155" s="464" t="e">
        <f ca="1">DATA_FORMATTING!W183/O$86</f>
        <v>#NAME?</v>
      </c>
      <c r="P155" s="464"/>
      <c r="Q155" s="464" t="e">
        <f ca="1">DATA_FORMATTING!EC125/Q$86</f>
        <v>#NAME?</v>
      </c>
      <c r="R155" s="464" t="e">
        <f t="shared" ca="1" si="203"/>
        <v>#NAME?</v>
      </c>
      <c r="U155" s="559" t="e">
        <f ca="1">DATA_FORMATTING!DQ10/$U$86</f>
        <v>#NAME?</v>
      </c>
      <c r="AJ155" s="467" t="s">
        <v>73</v>
      </c>
      <c r="AK155" s="464" t="e">
        <f t="shared" ca="1" si="207"/>
        <v>#N/A</v>
      </c>
      <c r="AL155" s="464" t="e">
        <f t="shared" ca="1" si="207"/>
        <v>#N/A</v>
      </c>
      <c r="AM155" s="464" t="e">
        <f t="shared" ca="1" si="207"/>
        <v>#N/A</v>
      </c>
      <c r="AN155" s="464" t="e">
        <f t="shared" ca="1" si="207"/>
        <v>#N/A</v>
      </c>
      <c r="AO155" s="464" t="e">
        <f t="shared" ca="1" si="205"/>
        <v>#NAME?</v>
      </c>
      <c r="AP155" s="840" t="e">
        <f t="shared" ca="1" si="205"/>
        <v>#NAME?</v>
      </c>
      <c r="BP155" s="485" t="e">
        <f ca="1">IF(OR(DB_LOAD!AW154="USD",DB_LOAD!AW154='Refi-Annual Review'!$A$3,ISBLANK(DB_LOAD!AW154)),0,1)</f>
        <v>#NAME?</v>
      </c>
      <c r="BQ155" t="str">
        <f>(IF(ISBLANK(DB_LOAD!AR154),"",DB_LOAD!AR154))</f>
        <v/>
      </c>
      <c r="BR155" t="str">
        <f t="shared" si="186"/>
        <v/>
      </c>
      <c r="BS155" t="str">
        <f t="shared" si="187"/>
        <v/>
      </c>
      <c r="BT155" t="str">
        <f t="shared" si="188"/>
        <v>5500000250000016064001572600</v>
      </c>
      <c r="BU155" t="str">
        <f t="shared" si="189"/>
        <v/>
      </c>
      <c r="BV155" t="str">
        <f t="shared" si="190"/>
        <v>7777</v>
      </c>
      <c r="BW155" t="str">
        <f t="shared" si="191"/>
        <v/>
      </c>
      <c r="BX155" t="str">
        <f t="shared" si="192"/>
        <v>1111</v>
      </c>
      <c r="CB155" s="683" t="str">
        <f t="shared" si="193"/>
        <v/>
      </c>
      <c r="CC155" s="683" t="str">
        <f t="shared" si="194"/>
        <v/>
      </c>
      <c r="CD155" s="683" t="str">
        <f>IF(CC155="","",VALUE(MID($BZ$5,1+SUM($CC$3:CC154),CC155)))</f>
        <v/>
      </c>
      <c r="CE155"/>
      <c r="CF155" t="str">
        <f>IF(CD155="","",MID($BZ$4,1+SUM($CD$3:CD154),CD155))</f>
        <v/>
      </c>
    </row>
    <row r="156" spans="3:84" ht="15">
      <c r="C156" s="485">
        <f t="shared" si="181"/>
        <v>157</v>
      </c>
      <c r="D156" s="471" t="s">
        <v>78</v>
      </c>
      <c r="E156" s="471"/>
      <c r="F156" s="466" t="e">
        <f ca="1">DATA_FORMATTING!EF126/F$86</f>
        <v>#N/A</v>
      </c>
      <c r="G156" s="466" t="e">
        <f ca="1">DATA_FORMATTING!EG126/G$86</f>
        <v>#N/A</v>
      </c>
      <c r="H156" s="466" t="e">
        <f ca="1">DATA_FORMATTING!EH126/H$86</f>
        <v>#N/A</v>
      </c>
      <c r="I156" s="466" t="e">
        <f ca="1">DATA_FORMATTING!EI126/I$86</f>
        <v>#N/A</v>
      </c>
      <c r="J156" s="466" t="e">
        <f ca="1">DATA_FORMATTING!EJ126/J$86</f>
        <v>#N/A</v>
      </c>
      <c r="K156" s="466"/>
      <c r="L156" s="464" t="e">
        <f ca="1">DATA_FORMATTING!S184/L$86</f>
        <v>#NAME?</v>
      </c>
      <c r="M156" s="464" t="e">
        <f ca="1">DATA_FORMATTING!T184/M$86</f>
        <v>#NAME?</v>
      </c>
      <c r="N156" s="464" t="e">
        <f ca="1">DATA_FORMATTING!U184/N$86</f>
        <v>#NAME?</v>
      </c>
      <c r="O156" s="464" t="e">
        <f ca="1">DATA_FORMATTING!W184/O$86</f>
        <v>#NAME?</v>
      </c>
      <c r="P156" s="464"/>
      <c r="Q156" s="464" t="e">
        <f ca="1">DATA_FORMATTING!EC126/Q$86</f>
        <v>#NAME?</v>
      </c>
      <c r="R156" s="464" t="e">
        <f t="shared" ca="1" si="203"/>
        <v>#NAME?</v>
      </c>
      <c r="S156" s="560"/>
      <c r="U156" s="559" t="e">
        <f ca="1">DATA_FORMATTING!DQ11/$U$86</f>
        <v>#NAME?</v>
      </c>
      <c r="AJ156" s="471" t="s">
        <v>78</v>
      </c>
      <c r="AK156" s="466" t="e">
        <f t="shared" ca="1" si="207"/>
        <v>#N/A</v>
      </c>
      <c r="AL156" s="466" t="e">
        <f t="shared" ca="1" si="207"/>
        <v>#N/A</v>
      </c>
      <c r="AM156" s="466" t="e">
        <f t="shared" ca="1" si="207"/>
        <v>#N/A</v>
      </c>
      <c r="AN156" s="466" t="e">
        <f t="shared" ca="1" si="207"/>
        <v>#N/A</v>
      </c>
      <c r="AO156" s="466" t="e">
        <f t="shared" ca="1" si="205"/>
        <v>#NAME?</v>
      </c>
      <c r="AP156" s="840" t="e">
        <f t="shared" ca="1" si="205"/>
        <v>#NAME?</v>
      </c>
      <c r="BP156" s="485" t="e">
        <f ca="1">IF(OR(DB_LOAD!AW155="USD",DB_LOAD!AW155='Refi-Annual Review'!$A$3,ISBLANK(DB_LOAD!AW155)),0,1)</f>
        <v>#NAME?</v>
      </c>
      <c r="BQ156" t="str">
        <f>(IF(ISBLANK(DB_LOAD!AR155),"",DB_LOAD!AR155))</f>
        <v/>
      </c>
      <c r="BR156" t="str">
        <f t="shared" si="186"/>
        <v/>
      </c>
      <c r="BS156" t="str">
        <f t="shared" si="187"/>
        <v/>
      </c>
      <c r="BT156" t="str">
        <f t="shared" si="188"/>
        <v>5500000250000016064001572600</v>
      </c>
      <c r="BU156" t="str">
        <f t="shared" si="189"/>
        <v/>
      </c>
      <c r="BV156" t="str">
        <f t="shared" si="190"/>
        <v>7777</v>
      </c>
      <c r="BW156" t="str">
        <f t="shared" si="191"/>
        <v/>
      </c>
      <c r="BX156" t="str">
        <f t="shared" si="192"/>
        <v>1111</v>
      </c>
      <c r="CB156" s="683" t="str">
        <f t="shared" si="193"/>
        <v/>
      </c>
      <c r="CC156" s="683" t="str">
        <f t="shared" si="194"/>
        <v/>
      </c>
      <c r="CD156" s="683" t="str">
        <f>IF(CC156="","",VALUE(MID($BZ$5,1+SUM($CC$3:CC155),CC156)))</f>
        <v/>
      </c>
      <c r="CE156"/>
      <c r="CF156" t="str">
        <f>IF(CD156="","",MID($BZ$4,1+SUM($CD$3:CD155),CD156))</f>
        <v/>
      </c>
    </row>
    <row r="157" spans="3:84" ht="15">
      <c r="C157" s="485">
        <f t="shared" si="181"/>
        <v>158</v>
      </c>
      <c r="D157" s="467" t="s">
        <v>83</v>
      </c>
      <c r="E157" s="467"/>
      <c r="F157" s="464" t="e">
        <f ca="1">DATA_FORMATTING!EF127/F$86</f>
        <v>#N/A</v>
      </c>
      <c r="G157" s="464" t="e">
        <f ca="1">DATA_FORMATTING!EG127/G$86</f>
        <v>#N/A</v>
      </c>
      <c r="H157" s="464" t="e">
        <f ca="1">DATA_FORMATTING!EH127/H$86</f>
        <v>#N/A</v>
      </c>
      <c r="I157" s="464" t="e">
        <f ca="1">DATA_FORMATTING!EI127/I$86</f>
        <v>#N/A</v>
      </c>
      <c r="J157" s="464" t="e">
        <f ca="1">DATA_FORMATTING!EJ127/J$86</f>
        <v>#N/A</v>
      </c>
      <c r="K157" s="464"/>
      <c r="L157" s="464" t="e">
        <f ca="1">DATA_FORMATTING!S185/L$86</f>
        <v>#NAME?</v>
      </c>
      <c r="M157" s="464" t="e">
        <f ca="1">DATA_FORMATTING!T185/M$86</f>
        <v>#NAME?</v>
      </c>
      <c r="N157" s="464" t="e">
        <f ca="1">DATA_FORMATTING!U185/N$86</f>
        <v>#NAME?</v>
      </c>
      <c r="O157" s="464" t="e">
        <f ca="1">DATA_FORMATTING!W185/O$86</f>
        <v>#NAME?</v>
      </c>
      <c r="P157" s="464"/>
      <c r="Q157" s="464" t="e">
        <f ca="1">DATA_FORMATTING!EC127/Q$86</f>
        <v>#NAME?</v>
      </c>
      <c r="R157" s="464" t="e">
        <f t="shared" ca="1" si="203"/>
        <v>#NAME?</v>
      </c>
      <c r="S157" s="560"/>
      <c r="U157" s="559" t="e">
        <f ca="1">DATA_FORMATTING!DQ12/$U$86</f>
        <v>#NAME?</v>
      </c>
      <c r="AJ157" s="467" t="s">
        <v>83</v>
      </c>
      <c r="AK157" s="464" t="e">
        <f t="shared" ca="1" si="207"/>
        <v>#N/A</v>
      </c>
      <c r="AL157" s="464" t="e">
        <f t="shared" ca="1" si="207"/>
        <v>#N/A</v>
      </c>
      <c r="AM157" s="464" t="e">
        <f t="shared" ca="1" si="207"/>
        <v>#N/A</v>
      </c>
      <c r="AN157" s="464" t="e">
        <f t="shared" ca="1" si="207"/>
        <v>#N/A</v>
      </c>
      <c r="AO157" s="464" t="e">
        <f t="shared" ca="1" si="205"/>
        <v>#NAME?</v>
      </c>
      <c r="AP157" s="840" t="e">
        <f t="shared" ca="1" si="205"/>
        <v>#NAME?</v>
      </c>
      <c r="BP157" s="485" t="e">
        <f ca="1">IF(OR(DB_LOAD!AW156="USD",DB_LOAD!AW156='Refi-Annual Review'!$A$3,ISBLANK(DB_LOAD!AW156)),0,1)</f>
        <v>#NAME?</v>
      </c>
      <c r="BQ157" t="str">
        <f>(IF(ISBLANK(DB_LOAD!AR156),"",DB_LOAD!AR156))</f>
        <v/>
      </c>
      <c r="BR157" t="str">
        <f t="shared" si="186"/>
        <v/>
      </c>
      <c r="BS157" t="str">
        <f t="shared" si="187"/>
        <v/>
      </c>
      <c r="BT157" t="str">
        <f t="shared" si="188"/>
        <v>5500000250000016064001572600</v>
      </c>
      <c r="BU157" t="str">
        <f t="shared" si="189"/>
        <v/>
      </c>
      <c r="BV157" t="str">
        <f t="shared" si="190"/>
        <v>7777</v>
      </c>
      <c r="BW157" t="str">
        <f t="shared" si="191"/>
        <v/>
      </c>
      <c r="BX157" t="str">
        <f t="shared" si="192"/>
        <v>1111</v>
      </c>
      <c r="CB157" s="683" t="str">
        <f t="shared" si="193"/>
        <v/>
      </c>
      <c r="CC157" s="683" t="str">
        <f t="shared" si="194"/>
        <v/>
      </c>
      <c r="CD157" s="683" t="str">
        <f>IF(CC157="","",VALUE(MID($BZ$5,1+SUM($CC$3:CC156),CC157)))</f>
        <v/>
      </c>
      <c r="CE157"/>
      <c r="CF157" t="str">
        <f>IF(CD157="","",MID($BZ$4,1+SUM($CD$3:CD156),CD157))</f>
        <v/>
      </c>
    </row>
    <row r="158" spans="3:84" ht="15">
      <c r="C158" s="485">
        <f t="shared" si="181"/>
        <v>159</v>
      </c>
      <c r="D158" s="467" t="s">
        <v>88</v>
      </c>
      <c r="E158" s="467"/>
      <c r="F158" s="464" t="e">
        <f ca="1">DATA_FORMATTING!EF128/F$86</f>
        <v>#N/A</v>
      </c>
      <c r="G158" s="464" t="e">
        <f ca="1">DATA_FORMATTING!EG128/G$86</f>
        <v>#N/A</v>
      </c>
      <c r="H158" s="464" t="e">
        <f ca="1">DATA_FORMATTING!EH128/H$86</f>
        <v>#N/A</v>
      </c>
      <c r="I158" s="464" t="e">
        <f ca="1">DATA_FORMATTING!EI128/I$86</f>
        <v>#N/A</v>
      </c>
      <c r="J158" s="464" t="e">
        <f ca="1">DATA_FORMATTING!EJ128/J$86</f>
        <v>#N/A</v>
      </c>
      <c r="K158" s="464"/>
      <c r="L158" s="464" t="e">
        <f ca="1">DATA_FORMATTING!S186/L$86</f>
        <v>#NAME?</v>
      </c>
      <c r="M158" s="464" t="e">
        <f ca="1">DATA_FORMATTING!T186/M$86</f>
        <v>#NAME?</v>
      </c>
      <c r="N158" s="464" t="e">
        <f ca="1">DATA_FORMATTING!U186/N$86</f>
        <v>#NAME?</v>
      </c>
      <c r="O158" s="464" t="e">
        <f ca="1">DATA_FORMATTING!W186/O$86</f>
        <v>#NAME?</v>
      </c>
      <c r="P158" s="464"/>
      <c r="Q158" s="464" t="e">
        <f ca="1">DATA_FORMATTING!EC128/Q$86</f>
        <v>#NAME?</v>
      </c>
      <c r="R158" s="464" t="e">
        <f t="shared" ca="1" si="203"/>
        <v>#NAME?</v>
      </c>
      <c r="S158" s="560"/>
      <c r="U158" s="559" t="e">
        <f ca="1">DATA_FORMATTING!DQ13/$U$86</f>
        <v>#NAME?</v>
      </c>
      <c r="AJ158" s="467" t="s">
        <v>88</v>
      </c>
      <c r="AK158" s="464" t="e">
        <f t="shared" ca="1" si="207"/>
        <v>#N/A</v>
      </c>
      <c r="AL158" s="464" t="e">
        <f t="shared" ca="1" si="207"/>
        <v>#N/A</v>
      </c>
      <c r="AM158" s="464" t="e">
        <f t="shared" ca="1" si="207"/>
        <v>#N/A</v>
      </c>
      <c r="AN158" s="464" t="e">
        <f t="shared" ca="1" si="207"/>
        <v>#N/A</v>
      </c>
      <c r="AO158" s="464" t="e">
        <f t="shared" ca="1" si="205"/>
        <v>#NAME?</v>
      </c>
      <c r="AP158" s="840" t="e">
        <f t="shared" ca="1" si="205"/>
        <v>#NAME?</v>
      </c>
      <c r="BP158" s="485" t="e">
        <f ca="1">IF(OR(DB_LOAD!AW157="USD",DB_LOAD!AW157='Refi-Annual Review'!$A$3,ISBLANK(DB_LOAD!AW157)),0,1)</f>
        <v>#NAME?</v>
      </c>
      <c r="BQ158" t="str">
        <f>(IF(ISBLANK(DB_LOAD!AR157),"",DB_LOAD!AR157))</f>
        <v/>
      </c>
      <c r="BR158" t="str">
        <f t="shared" si="186"/>
        <v/>
      </c>
      <c r="BS158" t="str">
        <f t="shared" si="187"/>
        <v/>
      </c>
      <c r="BT158" t="str">
        <f t="shared" si="188"/>
        <v>5500000250000016064001572600</v>
      </c>
      <c r="BU158" t="str">
        <f t="shared" si="189"/>
        <v/>
      </c>
      <c r="BV158" t="str">
        <f t="shared" si="190"/>
        <v>7777</v>
      </c>
      <c r="BW158" t="str">
        <f t="shared" si="191"/>
        <v/>
      </c>
      <c r="BX158" t="str">
        <f t="shared" si="192"/>
        <v>1111</v>
      </c>
      <c r="CB158" s="683" t="str">
        <f t="shared" si="193"/>
        <v/>
      </c>
      <c r="CC158" s="683" t="str">
        <f t="shared" si="194"/>
        <v/>
      </c>
      <c r="CD158" s="683" t="str">
        <f>IF(CC158="","",VALUE(MID($BZ$5,1+SUM($CC$3:CC157),CC158)))</f>
        <v/>
      </c>
      <c r="CE158"/>
      <c r="CF158" t="str">
        <f>IF(CD158="","",MID($BZ$4,1+SUM($CD$3:CD157),CD158))</f>
        <v/>
      </c>
    </row>
    <row r="159" spans="3:84" ht="15">
      <c r="C159" s="485">
        <f t="shared" si="181"/>
        <v>160</v>
      </c>
      <c r="D159" s="467" t="s">
        <v>92</v>
      </c>
      <c r="E159" s="467"/>
      <c r="F159" s="464" t="e">
        <f ca="1">DATA_FORMATTING!EF129/F$86</f>
        <v>#N/A</v>
      </c>
      <c r="G159" s="464" t="e">
        <f ca="1">DATA_FORMATTING!EG129/G$86</f>
        <v>#N/A</v>
      </c>
      <c r="H159" s="464" t="e">
        <f ca="1">DATA_FORMATTING!EH129/H$86</f>
        <v>#N/A</v>
      </c>
      <c r="I159" s="464" t="e">
        <f ca="1">DATA_FORMATTING!EI129/I$86</f>
        <v>#N/A</v>
      </c>
      <c r="J159" s="464" t="e">
        <f ca="1">DATA_FORMATTING!EJ129/J$86</f>
        <v>#N/A</v>
      </c>
      <c r="K159" s="464"/>
      <c r="L159" s="464" t="e">
        <f ca="1">DATA_FORMATTING!S187/L$86</f>
        <v>#NAME?</v>
      </c>
      <c r="M159" s="464" t="e">
        <f ca="1">DATA_FORMATTING!T187/M$86</f>
        <v>#NAME?</v>
      </c>
      <c r="N159" s="464" t="e">
        <f ca="1">DATA_FORMATTING!U187/N$86</f>
        <v>#NAME?</v>
      </c>
      <c r="O159" s="464" t="e">
        <f ca="1">DATA_FORMATTING!W187/O$86</f>
        <v>#NAME?</v>
      </c>
      <c r="P159" s="464"/>
      <c r="Q159" s="464" t="e">
        <f ca="1">DATA_FORMATTING!EC129/Q$86</f>
        <v>#NAME?</v>
      </c>
      <c r="R159" s="464" t="e">
        <f t="shared" ca="1" si="203"/>
        <v>#NAME?</v>
      </c>
      <c r="S159" s="560"/>
      <c r="U159" s="559" t="e">
        <f ca="1">DATA_FORMATTING!DQ14/$U$86</f>
        <v>#NAME?</v>
      </c>
      <c r="AJ159" s="467" t="s">
        <v>92</v>
      </c>
      <c r="AK159" s="464" t="e">
        <f t="shared" ca="1" si="207"/>
        <v>#N/A</v>
      </c>
      <c r="AL159" s="464" t="e">
        <f t="shared" ca="1" si="207"/>
        <v>#N/A</v>
      </c>
      <c r="AM159" s="464" t="e">
        <f t="shared" ca="1" si="207"/>
        <v>#N/A</v>
      </c>
      <c r="AN159" s="464" t="e">
        <f t="shared" ca="1" si="207"/>
        <v>#N/A</v>
      </c>
      <c r="AO159" s="464" t="e">
        <f t="shared" ca="1" si="205"/>
        <v>#NAME?</v>
      </c>
      <c r="AP159" s="840" t="e">
        <f t="shared" ca="1" si="205"/>
        <v>#NAME?</v>
      </c>
      <c r="BP159" s="485" t="e">
        <f ca="1">IF(OR(DB_LOAD!AW158="USD",DB_LOAD!AW158='Refi-Annual Review'!$A$3,ISBLANK(DB_LOAD!AW158)),0,1)</f>
        <v>#NAME?</v>
      </c>
      <c r="BQ159" t="str">
        <f>(IF(ISBLANK(DB_LOAD!AR158),"",DB_LOAD!AR158))</f>
        <v/>
      </c>
      <c r="BR159" t="str">
        <f t="shared" si="186"/>
        <v/>
      </c>
      <c r="BS159" t="str">
        <f t="shared" si="187"/>
        <v/>
      </c>
      <c r="BT159" t="str">
        <f t="shared" si="188"/>
        <v>5500000250000016064001572600</v>
      </c>
      <c r="BU159" t="str">
        <f t="shared" si="189"/>
        <v/>
      </c>
      <c r="BV159" t="str">
        <f t="shared" si="190"/>
        <v>7777</v>
      </c>
      <c r="BW159" t="str">
        <f t="shared" si="191"/>
        <v/>
      </c>
      <c r="BX159" t="str">
        <f t="shared" si="192"/>
        <v>1111</v>
      </c>
      <c r="CB159" s="683" t="str">
        <f t="shared" si="193"/>
        <v/>
      </c>
      <c r="CC159" s="683" t="str">
        <f t="shared" si="194"/>
        <v/>
      </c>
      <c r="CD159" s="683" t="str">
        <f>IF(CC159="","",VALUE(MID($BZ$5,1+SUM($CC$3:CC158),CC159)))</f>
        <v/>
      </c>
      <c r="CE159"/>
      <c r="CF159" t="str">
        <f>IF(CD159="","",MID($BZ$4,1+SUM($CD$3:CD158),CD159))</f>
        <v/>
      </c>
    </row>
    <row r="160" spans="3:84" ht="15">
      <c r="C160" s="485">
        <f t="shared" si="181"/>
        <v>161</v>
      </c>
      <c r="D160" s="467" t="s">
        <v>96</v>
      </c>
      <c r="E160" s="467"/>
      <c r="F160" s="464" t="e">
        <f ca="1">DATA_FORMATTING!EF130/F$86</f>
        <v>#N/A</v>
      </c>
      <c r="G160" s="464" t="e">
        <f ca="1">DATA_FORMATTING!EG130/G$86</f>
        <v>#N/A</v>
      </c>
      <c r="H160" s="464" t="e">
        <f ca="1">DATA_FORMATTING!EH130/H$86</f>
        <v>#N/A</v>
      </c>
      <c r="I160" s="464" t="e">
        <f ca="1">DATA_FORMATTING!EI130/I$86</f>
        <v>#N/A</v>
      </c>
      <c r="J160" s="464" t="e">
        <f ca="1">DATA_FORMATTING!EJ130/J$86</f>
        <v>#N/A</v>
      </c>
      <c r="K160" s="464"/>
      <c r="L160" s="464" t="e">
        <f ca="1">DATA_FORMATTING!S188/L$86</f>
        <v>#NAME?</v>
      </c>
      <c r="M160" s="464" t="e">
        <f ca="1">DATA_FORMATTING!T188/M$86</f>
        <v>#NAME?</v>
      </c>
      <c r="N160" s="464" t="e">
        <f ca="1">DATA_FORMATTING!U188/N$86</f>
        <v>#NAME?</v>
      </c>
      <c r="O160" s="464" t="e">
        <f ca="1">DATA_FORMATTING!W188/O$86</f>
        <v>#NAME?</v>
      </c>
      <c r="P160" s="464"/>
      <c r="Q160" s="464" t="e">
        <f ca="1">DATA_FORMATTING!EC130/Q$86</f>
        <v>#NAME?</v>
      </c>
      <c r="R160" s="464" t="e">
        <f t="shared" ca="1" si="203"/>
        <v>#NAME?</v>
      </c>
      <c r="S160" s="560"/>
      <c r="U160" s="559" t="e">
        <f ca="1">DATA_FORMATTING!DQ15/$U$86</f>
        <v>#NAME?</v>
      </c>
      <c r="AJ160" s="467" t="s">
        <v>96</v>
      </c>
      <c r="AK160" s="464" t="e">
        <f t="shared" ca="1" si="207"/>
        <v>#N/A</v>
      </c>
      <c r="AL160" s="464" t="e">
        <f t="shared" ca="1" si="207"/>
        <v>#N/A</v>
      </c>
      <c r="AM160" s="464" t="e">
        <f t="shared" ca="1" si="207"/>
        <v>#N/A</v>
      </c>
      <c r="AN160" s="464" t="e">
        <f t="shared" ca="1" si="207"/>
        <v>#N/A</v>
      </c>
      <c r="AO160" s="464" t="e">
        <f t="shared" ca="1" si="205"/>
        <v>#NAME?</v>
      </c>
      <c r="AP160" s="840" t="e">
        <f t="shared" ca="1" si="205"/>
        <v>#NAME?</v>
      </c>
      <c r="BP160" s="485" t="e">
        <f ca="1">IF(OR(DB_LOAD!AW159="USD",DB_LOAD!AW159='Refi-Annual Review'!$A$3,ISBLANK(DB_LOAD!AW159)),0,1)</f>
        <v>#NAME?</v>
      </c>
      <c r="BQ160" t="str">
        <f>(IF(ISBLANK(DB_LOAD!AR159),"",DB_LOAD!AR159))</f>
        <v/>
      </c>
      <c r="BR160" t="str">
        <f t="shared" si="186"/>
        <v/>
      </c>
      <c r="BS160" t="str">
        <f t="shared" si="187"/>
        <v/>
      </c>
      <c r="BT160" t="str">
        <f t="shared" si="188"/>
        <v>5500000250000016064001572600</v>
      </c>
      <c r="BU160" t="str">
        <f t="shared" si="189"/>
        <v/>
      </c>
      <c r="BV160" t="str">
        <f t="shared" si="190"/>
        <v>7777</v>
      </c>
      <c r="BW160" t="str">
        <f t="shared" si="191"/>
        <v/>
      </c>
      <c r="BX160" t="str">
        <f t="shared" si="192"/>
        <v>1111</v>
      </c>
      <c r="CB160" s="683" t="str">
        <f t="shared" si="193"/>
        <v/>
      </c>
      <c r="CC160" s="683" t="str">
        <f t="shared" si="194"/>
        <v/>
      </c>
      <c r="CD160" s="683" t="str">
        <f>IF(CC160="","",VALUE(MID($BZ$5,1+SUM($CC$3:CC159),CC160)))</f>
        <v/>
      </c>
      <c r="CE160"/>
      <c r="CF160" t="str">
        <f>IF(CD160="","",MID($BZ$4,1+SUM($CD$3:CD159),CD160))</f>
        <v/>
      </c>
    </row>
    <row r="161" spans="3:84" ht="15">
      <c r="C161" s="485">
        <f t="shared" si="181"/>
        <v>162</v>
      </c>
      <c r="D161" s="467" t="s">
        <v>30</v>
      </c>
      <c r="E161" s="467"/>
      <c r="F161" s="464" t="e">
        <f ca="1">DATA_FORMATTING!EF131/F$86</f>
        <v>#N/A</v>
      </c>
      <c r="G161" s="464" t="e">
        <f ca="1">DATA_FORMATTING!EG131/G$86</f>
        <v>#N/A</v>
      </c>
      <c r="H161" s="464" t="e">
        <f ca="1">DATA_FORMATTING!EH131/H$86</f>
        <v>#N/A</v>
      </c>
      <c r="I161" s="464" t="e">
        <f ca="1">DATA_FORMATTING!EI131/I$86</f>
        <v>#N/A</v>
      </c>
      <c r="J161" s="464" t="e">
        <f ca="1">DATA_FORMATTING!EJ131/J$86</f>
        <v>#N/A</v>
      </c>
      <c r="K161" s="464"/>
      <c r="L161" s="464" t="e">
        <f ca="1">DATA_FORMATTING!S189/L$86</f>
        <v>#NAME?</v>
      </c>
      <c r="M161" s="464" t="e">
        <f ca="1">DATA_FORMATTING!T189/M$86</f>
        <v>#NAME?</v>
      </c>
      <c r="N161" s="464" t="e">
        <f ca="1">DATA_FORMATTING!U189/N$86</f>
        <v>#NAME?</v>
      </c>
      <c r="O161" s="464" t="e">
        <f ca="1">DATA_FORMATTING!W189/O$86</f>
        <v>#NAME?</v>
      </c>
      <c r="P161" s="464"/>
      <c r="Q161" s="464" t="e">
        <f ca="1">DATA_FORMATTING!EC131/Q$86</f>
        <v>#NAME?</v>
      </c>
      <c r="R161" s="464" t="e">
        <f t="shared" ca="1" si="203"/>
        <v>#NAME?</v>
      </c>
      <c r="S161" s="560"/>
      <c r="U161" s="559" t="e">
        <f ca="1">DATA_FORMATTING!DQ16/$U$86</f>
        <v>#NAME?</v>
      </c>
      <c r="AJ161" s="467" t="s">
        <v>30</v>
      </c>
      <c r="AK161" s="464" t="e">
        <f t="shared" ca="1" si="207"/>
        <v>#N/A</v>
      </c>
      <c r="AL161" s="464" t="e">
        <f t="shared" ca="1" si="207"/>
        <v>#N/A</v>
      </c>
      <c r="AM161" s="464" t="e">
        <f t="shared" ca="1" si="207"/>
        <v>#N/A</v>
      </c>
      <c r="AN161" s="464" t="e">
        <f t="shared" ca="1" si="207"/>
        <v>#N/A</v>
      </c>
      <c r="AO161" s="464" t="e">
        <f t="shared" ca="1" si="205"/>
        <v>#NAME?</v>
      </c>
      <c r="AP161" s="840" t="e">
        <f t="shared" ca="1" si="205"/>
        <v>#NAME?</v>
      </c>
      <c r="BP161" s="485" t="e">
        <f ca="1">IF(OR(DB_LOAD!AW160="USD",DB_LOAD!AW160='Refi-Annual Review'!$A$3,ISBLANK(DB_LOAD!AW160)),0,1)</f>
        <v>#NAME?</v>
      </c>
      <c r="BQ161" t="str">
        <f>(IF(ISBLANK(DB_LOAD!AR160),"",DB_LOAD!AR160))</f>
        <v/>
      </c>
      <c r="BR161" t="str">
        <f t="shared" si="186"/>
        <v/>
      </c>
      <c r="BS161" t="str">
        <f t="shared" si="187"/>
        <v/>
      </c>
      <c r="BT161" t="str">
        <f t="shared" si="188"/>
        <v>5500000250000016064001572600</v>
      </c>
      <c r="BU161" t="str">
        <f t="shared" si="189"/>
        <v/>
      </c>
      <c r="BV161" t="str">
        <f t="shared" si="190"/>
        <v>7777</v>
      </c>
      <c r="BW161" t="str">
        <f t="shared" si="191"/>
        <v/>
      </c>
      <c r="BX161" t="str">
        <f t="shared" si="192"/>
        <v>1111</v>
      </c>
      <c r="CB161" s="683" t="str">
        <f t="shared" si="193"/>
        <v/>
      </c>
      <c r="CC161" s="683" t="str">
        <f t="shared" si="194"/>
        <v/>
      </c>
      <c r="CD161" s="683" t="str">
        <f>IF(CC161="","",VALUE(MID($BZ$5,1+SUM($CC$3:CC160),CC161)))</f>
        <v/>
      </c>
      <c r="CE161"/>
      <c r="CF161" t="str">
        <f>IF(CD161="","",MID($BZ$4,1+SUM($CD$3:CD160),CD161))</f>
        <v/>
      </c>
    </row>
    <row r="162" spans="3:84" ht="15">
      <c r="C162" s="485">
        <f t="shared" si="181"/>
        <v>163</v>
      </c>
      <c r="D162" s="467" t="s">
        <v>47</v>
      </c>
      <c r="E162" s="467"/>
      <c r="F162" s="464" t="e">
        <f ca="1">DATA_FORMATTING!EF132/F$4</f>
        <v>#N/A</v>
      </c>
      <c r="G162" s="464" t="e">
        <f ca="1">DATA_FORMATTING!EG132/G$4</f>
        <v>#N/A</v>
      </c>
      <c r="H162" s="464" t="e">
        <f ca="1">DATA_FORMATTING!EH132/H$4</f>
        <v>#N/A</v>
      </c>
      <c r="I162" s="464" t="e">
        <f ca="1">DATA_FORMATTING!EI132/I$4</f>
        <v>#N/A</v>
      </c>
      <c r="J162" s="464" t="e">
        <f ca="1">DATA_FORMATTING!EJ132/J$4</f>
        <v>#N/A</v>
      </c>
      <c r="K162" s="464"/>
      <c r="L162" s="464" t="e">
        <f ca="1">DATA_FORMATTING!S190/L$4</f>
        <v>#NAME?</v>
      </c>
      <c r="M162" s="464" t="e">
        <f ca="1">DATA_FORMATTING!T190/M$4</f>
        <v>#NAME?</v>
      </c>
      <c r="N162" s="464" t="e">
        <f ca="1">DATA_FORMATTING!U190/N$4</f>
        <v>#NAME?</v>
      </c>
      <c r="O162" s="464" t="e">
        <f ca="1">DATA_FORMATTING!W190/O$4</f>
        <v>#NAME?</v>
      </c>
      <c r="P162" s="464"/>
      <c r="Q162" s="464" t="e">
        <f ca="1">DATA_FORMATTING!EC140/Q$4</f>
        <v>#NAME?</v>
      </c>
      <c r="R162" s="464" t="e">
        <f t="shared" ca="1" si="203"/>
        <v>#NAME?</v>
      </c>
      <c r="S162" s="560"/>
      <c r="U162" s="559" t="e">
        <f ca="1">DATA_FORMATTING!DQ17/$U$86</f>
        <v>#NAME?</v>
      </c>
      <c r="AJ162" s="467" t="s">
        <v>47</v>
      </c>
      <c r="AK162" s="464" t="e">
        <f t="shared" ca="1" si="207"/>
        <v>#N/A</v>
      </c>
      <c r="AL162" s="464" t="e">
        <f t="shared" ca="1" si="207"/>
        <v>#N/A</v>
      </c>
      <c r="AM162" s="464" t="e">
        <f t="shared" ca="1" si="207"/>
        <v>#N/A</v>
      </c>
      <c r="AN162" s="464" t="e">
        <f t="shared" ca="1" si="207"/>
        <v>#N/A</v>
      </c>
      <c r="AO162" s="464" t="e">
        <f t="shared" ca="1" si="205"/>
        <v>#NAME?</v>
      </c>
      <c r="AP162" s="840" t="e">
        <f t="shared" ca="1" si="205"/>
        <v>#NAME?</v>
      </c>
      <c r="BP162" s="485" t="e">
        <f ca="1">IF(OR(DB_LOAD!AW161="USD",DB_LOAD!AW161='Refi-Annual Review'!$A$3,ISBLANK(DB_LOAD!AW161)),0,1)</f>
        <v>#NAME?</v>
      </c>
      <c r="BQ162" t="str">
        <f>(IF(ISBLANK(DB_LOAD!AR161),"",DB_LOAD!AR161))</f>
        <v/>
      </c>
      <c r="BR162" t="str">
        <f t="shared" si="186"/>
        <v/>
      </c>
      <c r="BS162" t="str">
        <f t="shared" si="187"/>
        <v/>
      </c>
      <c r="BT162" t="str">
        <f t="shared" si="188"/>
        <v>5500000250000016064001572600</v>
      </c>
      <c r="BU162" t="str">
        <f t="shared" si="189"/>
        <v/>
      </c>
      <c r="BV162" t="str">
        <f t="shared" si="190"/>
        <v>7777</v>
      </c>
      <c r="BW162" t="str">
        <f t="shared" si="191"/>
        <v/>
      </c>
      <c r="BX162" t="str">
        <f t="shared" si="192"/>
        <v>1111</v>
      </c>
      <c r="CB162" s="683" t="str">
        <f t="shared" si="193"/>
        <v/>
      </c>
      <c r="CC162" s="683" t="str">
        <f t="shared" si="194"/>
        <v/>
      </c>
      <c r="CD162" s="683" t="str">
        <f>IF(CC162="","",VALUE(MID($BZ$5,1+SUM($CC$3:CC161),CC162)))</f>
        <v/>
      </c>
      <c r="CE162"/>
      <c r="CF162" t="str">
        <f>IF(CD162="","",MID($BZ$4,1+SUM($CD$3:CD161),CD162))</f>
        <v/>
      </c>
    </row>
    <row r="163" spans="3:84" ht="15">
      <c r="C163" s="485">
        <f t="shared" si="181"/>
        <v>164</v>
      </c>
      <c r="D163" s="467" t="s">
        <v>102</v>
      </c>
      <c r="E163" s="467"/>
      <c r="F163" s="464" t="e">
        <f ca="1">DATA_FORMATTING!EF133/F$86</f>
        <v>#N/A</v>
      </c>
      <c r="G163" s="464" t="e">
        <f ca="1">DATA_FORMATTING!EG133/G$86</f>
        <v>#N/A</v>
      </c>
      <c r="H163" s="464" t="e">
        <f ca="1">DATA_FORMATTING!EH133/H$86</f>
        <v>#N/A</v>
      </c>
      <c r="I163" s="464" t="e">
        <f ca="1">DATA_FORMATTING!EI133/I$86</f>
        <v>#N/A</v>
      </c>
      <c r="J163" s="464" t="e">
        <f ca="1">DATA_FORMATTING!EJ133/J$86</f>
        <v>#N/A</v>
      </c>
      <c r="K163" s="464"/>
      <c r="L163" s="464" t="e">
        <f ca="1">DATA_FORMATTING!S191/L$86</f>
        <v>#NAME?</v>
      </c>
      <c r="M163" s="464" t="e">
        <f ca="1">DATA_FORMATTING!T191/M$86</f>
        <v>#NAME?</v>
      </c>
      <c r="N163" s="464" t="e">
        <f ca="1">DATA_FORMATTING!U191/N$86</f>
        <v>#NAME?</v>
      </c>
      <c r="O163" s="464" t="e">
        <f ca="1">DATA_FORMATTING!W191/O$86</f>
        <v>#NAME?</v>
      </c>
      <c r="P163" s="464"/>
      <c r="Q163" s="464" t="e">
        <f ca="1">DATA_FORMATTING!EC141/Q$4</f>
        <v>#NAME?</v>
      </c>
      <c r="R163" s="464" t="e">
        <f t="shared" ca="1" si="203"/>
        <v>#NAME?</v>
      </c>
      <c r="S163" s="560"/>
      <c r="U163" s="559" t="e">
        <f ca="1">DATA_FORMATTING!DQ18/$U$86</f>
        <v>#NAME?</v>
      </c>
      <c r="AJ163" s="467" t="s">
        <v>102</v>
      </c>
      <c r="AK163" s="464" t="e">
        <f t="shared" ca="1" si="207"/>
        <v>#N/A</v>
      </c>
      <c r="AL163" s="464" t="e">
        <f t="shared" ca="1" si="207"/>
        <v>#N/A</v>
      </c>
      <c r="AM163" s="464" t="e">
        <f t="shared" ca="1" si="207"/>
        <v>#N/A</v>
      </c>
      <c r="AN163" s="464" t="e">
        <f t="shared" ca="1" si="207"/>
        <v>#N/A</v>
      </c>
      <c r="AO163" s="464" t="e">
        <f t="shared" ca="1" si="205"/>
        <v>#NAME?</v>
      </c>
      <c r="AP163" s="840" t="e">
        <f t="shared" ca="1" si="205"/>
        <v>#NAME?</v>
      </c>
      <c r="BP163" s="485" t="e">
        <f ca="1">IF(OR(DB_LOAD!AW162="USD",DB_LOAD!AW162='Refi-Annual Review'!$A$3,ISBLANK(DB_LOAD!AW162)),0,1)</f>
        <v>#NAME?</v>
      </c>
      <c r="BQ163" t="str">
        <f>(IF(ISBLANK(DB_LOAD!AR162),"",DB_LOAD!AR162))</f>
        <v/>
      </c>
      <c r="BR163" t="str">
        <f t="shared" si="186"/>
        <v/>
      </c>
      <c r="BS163" t="str">
        <f t="shared" si="187"/>
        <v/>
      </c>
      <c r="BT163" t="str">
        <f t="shared" si="188"/>
        <v>5500000250000016064001572600</v>
      </c>
      <c r="BU163" t="str">
        <f t="shared" si="189"/>
        <v/>
      </c>
      <c r="BV163" t="str">
        <f t="shared" si="190"/>
        <v>7777</v>
      </c>
      <c r="BW163" t="str">
        <f t="shared" si="191"/>
        <v/>
      </c>
      <c r="BX163" t="str">
        <f t="shared" si="192"/>
        <v>1111</v>
      </c>
      <c r="CB163" s="683" t="str">
        <f t="shared" si="193"/>
        <v/>
      </c>
      <c r="CC163" s="683" t="str">
        <f t="shared" si="194"/>
        <v/>
      </c>
      <c r="CD163" s="683" t="str">
        <f>IF(CC163="","",VALUE(MID($BZ$5,1+SUM($CC$3:CC162),CC163)))</f>
        <v/>
      </c>
      <c r="CE163"/>
      <c r="CF163" t="str">
        <f>IF(CD163="","",MID($BZ$4,1+SUM($CD$3:CD162),CD163))</f>
        <v/>
      </c>
    </row>
    <row r="164" spans="3:84" ht="15">
      <c r="C164" s="485">
        <f t="shared" si="181"/>
        <v>165</v>
      </c>
      <c r="D164" s="467" t="s">
        <v>104</v>
      </c>
      <c r="E164" s="467"/>
      <c r="F164" s="464" t="e">
        <f t="shared" ref="F164:I164" ca="1" si="208">+F162-F163</f>
        <v>#N/A</v>
      </c>
      <c r="G164" s="464" t="e">
        <f t="shared" ca="1" si="208"/>
        <v>#N/A</v>
      </c>
      <c r="H164" s="464" t="e">
        <f t="shared" ca="1" si="208"/>
        <v>#N/A</v>
      </c>
      <c r="I164" s="464" t="e">
        <f t="shared" ca="1" si="208"/>
        <v>#N/A</v>
      </c>
      <c r="J164" s="464" t="e">
        <f ca="1">+J162-J163</f>
        <v>#N/A</v>
      </c>
      <c r="K164" s="464"/>
      <c r="L164" s="464" t="e">
        <f t="shared" ref="L164:N164" ca="1" si="209">+L162-L163</f>
        <v>#NAME?</v>
      </c>
      <c r="M164" s="464" t="e">
        <f t="shared" ca="1" si="209"/>
        <v>#NAME?</v>
      </c>
      <c r="N164" s="464" t="e">
        <f t="shared" ca="1" si="209"/>
        <v>#NAME?</v>
      </c>
      <c r="O164" s="464" t="e">
        <f ca="1">+O162-O163</f>
        <v>#NAME?</v>
      </c>
      <c r="P164" s="464"/>
      <c r="Q164" s="464" t="e">
        <f ca="1">+Q162-Q163</f>
        <v>#NAME?</v>
      </c>
      <c r="R164" s="464" t="e">
        <f t="shared" ca="1" si="203"/>
        <v>#NAME?</v>
      </c>
      <c r="S164" s="560"/>
      <c r="U164" s="559" t="e">
        <f ca="1">DATA_FORMATTING!DQ19/$U$86</f>
        <v>#NUM!</v>
      </c>
      <c r="AJ164" s="467" t="s">
        <v>104</v>
      </c>
      <c r="AK164" s="464" t="e">
        <f t="shared" ca="1" si="207"/>
        <v>#N/A</v>
      </c>
      <c r="AL164" s="464" t="e">
        <f t="shared" ca="1" si="207"/>
        <v>#N/A</v>
      </c>
      <c r="AM164" s="464" t="e">
        <f t="shared" ca="1" si="207"/>
        <v>#N/A</v>
      </c>
      <c r="AN164" s="464" t="e">
        <f t="shared" ca="1" si="207"/>
        <v>#N/A</v>
      </c>
      <c r="AO164" s="464" t="e">
        <f t="shared" ca="1" si="205"/>
        <v>#NAME?</v>
      </c>
      <c r="AP164" s="840" t="e">
        <f t="shared" ca="1" si="205"/>
        <v>#NAME?</v>
      </c>
      <c r="BP164" s="485" t="e">
        <f ca="1">IF(OR(DB_LOAD!AW163="USD",DB_LOAD!AW163='Refi-Annual Review'!$A$3,ISBLANK(DB_LOAD!AW163)),0,1)</f>
        <v>#NAME?</v>
      </c>
      <c r="BQ164" t="str">
        <f>(IF(ISBLANK(DB_LOAD!AR163),"",DB_LOAD!AR163))</f>
        <v/>
      </c>
      <c r="BR164" t="str">
        <f t="shared" si="186"/>
        <v/>
      </c>
      <c r="BS164" t="str">
        <f t="shared" si="187"/>
        <v/>
      </c>
      <c r="BT164" t="str">
        <f t="shared" si="188"/>
        <v>5500000250000016064001572600</v>
      </c>
      <c r="BU164" t="str">
        <f t="shared" si="189"/>
        <v/>
      </c>
      <c r="BV164" t="str">
        <f t="shared" si="190"/>
        <v>7777</v>
      </c>
      <c r="BW164" t="str">
        <f t="shared" si="191"/>
        <v/>
      </c>
      <c r="BX164" t="str">
        <f t="shared" si="192"/>
        <v>1111</v>
      </c>
      <c r="CB164" s="683" t="str">
        <f t="shared" si="193"/>
        <v/>
      </c>
      <c r="CC164" s="683" t="str">
        <f t="shared" si="194"/>
        <v/>
      </c>
      <c r="CD164" s="683" t="str">
        <f>IF(CC164="","",VALUE(MID($BZ$5,1+SUM($CC$3:CC163),CC164)))</f>
        <v/>
      </c>
      <c r="CE164"/>
      <c r="CF164" t="str">
        <f>IF(CD164="","",MID($BZ$4,1+SUM($CD$3:CD163),CD164))</f>
        <v/>
      </c>
    </row>
    <row r="165" spans="3:84" ht="15">
      <c r="C165" s="485">
        <f t="shared" si="181"/>
        <v>166</v>
      </c>
      <c r="D165" s="467"/>
      <c r="E165" s="467"/>
      <c r="F165" s="464"/>
      <c r="G165" s="464"/>
      <c r="H165" s="464"/>
      <c r="I165" s="464"/>
      <c r="J165" s="464"/>
      <c r="K165" s="464"/>
      <c r="L165" s="464"/>
      <c r="M165" s="464"/>
      <c r="N165" s="464"/>
      <c r="O165" s="464"/>
      <c r="P165" s="464"/>
      <c r="Q165" s="464"/>
      <c r="R165" s="464"/>
      <c r="AJ165" s="467"/>
      <c r="AK165" s="464"/>
      <c r="AL165" s="464"/>
      <c r="AM165" s="464"/>
      <c r="AN165" s="464"/>
      <c r="AO165" s="464"/>
      <c r="BP165" s="485" t="e">
        <f ca="1">IF(OR(DB_LOAD!AW164="USD",DB_LOAD!AW164='Refi-Annual Review'!$A$3,ISBLANK(DB_LOAD!AW164)),0,1)</f>
        <v>#NAME?</v>
      </c>
      <c r="BQ165" t="str">
        <f>(IF(ISBLANK(DB_LOAD!AR164),"",DB_LOAD!AR164))</f>
        <v/>
      </c>
      <c r="BR165" t="str">
        <f t="shared" si="186"/>
        <v/>
      </c>
      <c r="BS165" t="str">
        <f t="shared" si="187"/>
        <v/>
      </c>
      <c r="BT165" t="str">
        <f t="shared" si="188"/>
        <v>5500000250000016064001572600</v>
      </c>
      <c r="BU165" t="str">
        <f t="shared" si="189"/>
        <v/>
      </c>
      <c r="BV165" t="str">
        <f t="shared" si="190"/>
        <v>7777</v>
      </c>
      <c r="BW165" t="str">
        <f t="shared" si="191"/>
        <v/>
      </c>
      <c r="BX165" t="str">
        <f t="shared" si="192"/>
        <v>1111</v>
      </c>
      <c r="CB165" s="683" t="str">
        <f t="shared" si="193"/>
        <v/>
      </c>
      <c r="CC165" s="683" t="str">
        <f t="shared" si="194"/>
        <v/>
      </c>
      <c r="CD165" s="683" t="str">
        <f>IF(CC165="","",VALUE(MID($BZ$5,1+SUM($CC$3:CC164),CC165)))</f>
        <v/>
      </c>
      <c r="CE165"/>
      <c r="CF165" t="str">
        <f>IF(CD165="","",MID($BZ$4,1+SUM($CD$3:CD164),CD165))</f>
        <v/>
      </c>
    </row>
    <row r="166" spans="3:84" ht="15">
      <c r="C166" s="485">
        <f t="shared" si="181"/>
        <v>167</v>
      </c>
      <c r="D166" s="467" t="s">
        <v>69</v>
      </c>
      <c r="E166" s="467"/>
      <c r="F166" s="464">
        <f>DATA_FORMATTING!GA124</f>
        <v>0</v>
      </c>
      <c r="G166" s="464">
        <f>DATA_FORMATTING!GB124</f>
        <v>0</v>
      </c>
      <c r="H166" s="464">
        <f>DATA_FORMATTING!GC124</f>
        <v>0</v>
      </c>
      <c r="I166" s="464">
        <f>DATA_FORMATTING!GD124</f>
        <v>0</v>
      </c>
      <c r="J166" s="464">
        <f>DATA_FORMATTING!GE124</f>
        <v>0</v>
      </c>
      <c r="K166" s="464"/>
      <c r="L166" s="464" t="e">
        <f>DATA_FORMATTING!Z182</f>
        <v>#NAME?</v>
      </c>
      <c r="M166" s="464" t="e">
        <f>DATA_FORMATTING!AA182</f>
        <v>#NAME?</v>
      </c>
      <c r="N166" s="464" t="e">
        <f>DATA_FORMATTING!AB182</f>
        <v>#NAME?</v>
      </c>
      <c r="O166" s="464" t="e">
        <f>DATA_FORMATTING!AD182</f>
        <v>#NAME?</v>
      </c>
      <c r="P166" s="464"/>
      <c r="Q166" s="464" t="e">
        <f>DATA_FORMATTING!FX124</f>
        <v>#NAME?</v>
      </c>
      <c r="R166" s="464" t="e">
        <f t="shared" si="203"/>
        <v>#NAME?</v>
      </c>
      <c r="U166" s="486" t="e">
        <f>DATA_FORMATTING!FL9</f>
        <v>#NAME?</v>
      </c>
      <c r="AJ166" s="467" t="s">
        <v>69</v>
      </c>
      <c r="AK166" s="464" t="e">
        <f t="shared" ref="AK166:AN171" ca="1" si="210">HLOOKUP(AK$4,$G$1:$O$213,$C166-1,FALSE)</f>
        <v>#N/A</v>
      </c>
      <c r="AL166" s="464" t="e">
        <f t="shared" ca="1" si="210"/>
        <v>#N/A</v>
      </c>
      <c r="AM166" s="464" t="e">
        <f t="shared" ca="1" si="210"/>
        <v>#N/A</v>
      </c>
      <c r="AN166" s="464" t="e">
        <f t="shared" ca="1" si="210"/>
        <v>#N/A</v>
      </c>
      <c r="AO166" s="464" t="e">
        <f t="shared" ref="AO166:AP171" si="211">Q166</f>
        <v>#NAME?</v>
      </c>
      <c r="AP166" s="840" t="e">
        <f t="shared" si="211"/>
        <v>#NAME?</v>
      </c>
      <c r="BP166" s="485" t="e">
        <f ca="1">IF(OR(DB_LOAD!AW165="USD",DB_LOAD!AW165='Refi-Annual Review'!$A$3,ISBLANK(DB_LOAD!AW165)),0,1)</f>
        <v>#NAME?</v>
      </c>
      <c r="BQ166" t="str">
        <f>(IF(ISBLANK(DB_LOAD!AR165),"",DB_LOAD!AR165))</f>
        <v/>
      </c>
      <c r="BR166" t="str">
        <f t="shared" si="186"/>
        <v/>
      </c>
      <c r="BS166" t="str">
        <f t="shared" si="187"/>
        <v/>
      </c>
      <c r="BT166" t="str">
        <f t="shared" si="188"/>
        <v>5500000250000016064001572600</v>
      </c>
      <c r="BU166" t="str">
        <f t="shared" si="189"/>
        <v/>
      </c>
      <c r="BV166" t="str">
        <f t="shared" si="190"/>
        <v>7777</v>
      </c>
      <c r="BW166" t="str">
        <f t="shared" si="191"/>
        <v/>
      </c>
      <c r="BX166" t="str">
        <f t="shared" si="192"/>
        <v>1111</v>
      </c>
      <c r="CB166" s="683" t="str">
        <f t="shared" si="193"/>
        <v/>
      </c>
      <c r="CC166" s="683" t="str">
        <f t="shared" si="194"/>
        <v/>
      </c>
      <c r="CD166" s="683" t="str">
        <f>IF(CC166="","",VALUE(MID($BZ$5,1+SUM($CC$3:CC165),CC166)))</f>
        <v/>
      </c>
      <c r="CE166"/>
      <c r="CF166" t="str">
        <f>IF(CD166="","",MID($BZ$4,1+SUM($CD$3:CD165),CD166))</f>
        <v/>
      </c>
    </row>
    <row r="167" spans="3:84" ht="15">
      <c r="C167" s="485">
        <f t="shared" si="181"/>
        <v>168</v>
      </c>
      <c r="D167" s="467" t="s">
        <v>74</v>
      </c>
      <c r="E167" s="467"/>
      <c r="F167" s="464">
        <f>DATA_FORMATTING!GA125</f>
        <v>0</v>
      </c>
      <c r="G167" s="464">
        <f>DATA_FORMATTING!GB125</f>
        <v>0</v>
      </c>
      <c r="H167" s="464">
        <f>DATA_FORMATTING!GC125</f>
        <v>0</v>
      </c>
      <c r="I167" s="464">
        <f>DATA_FORMATTING!GD125</f>
        <v>0</v>
      </c>
      <c r="J167" s="464">
        <f>DATA_FORMATTING!GE125</f>
        <v>0</v>
      </c>
      <c r="K167" s="464"/>
      <c r="L167" s="464" t="e">
        <f>DATA_FORMATTING!Z183</f>
        <v>#NAME?</v>
      </c>
      <c r="M167" s="464" t="e">
        <f>DATA_FORMATTING!AA183</f>
        <v>#NAME?</v>
      </c>
      <c r="N167" s="464" t="e">
        <f>DATA_FORMATTING!AB183</f>
        <v>#NAME?</v>
      </c>
      <c r="O167" s="464" t="e">
        <f>DATA_FORMATTING!AD183</f>
        <v>#NAME?</v>
      </c>
      <c r="P167" s="464"/>
      <c r="Q167" s="464" t="e">
        <f>DATA_FORMATTING!FX125</f>
        <v>#NAME?</v>
      </c>
      <c r="R167" s="464" t="e">
        <f t="shared" si="203"/>
        <v>#NAME?</v>
      </c>
      <c r="U167" s="486" t="e">
        <f>DATA_FORMATTING!FL10</f>
        <v>#NAME?</v>
      </c>
      <c r="AJ167" s="467" t="s">
        <v>74</v>
      </c>
      <c r="AK167" s="464" t="e">
        <f t="shared" ca="1" si="210"/>
        <v>#N/A</v>
      </c>
      <c r="AL167" s="464" t="e">
        <f t="shared" ca="1" si="210"/>
        <v>#N/A</v>
      </c>
      <c r="AM167" s="464" t="e">
        <f t="shared" ca="1" si="210"/>
        <v>#N/A</v>
      </c>
      <c r="AN167" s="464" t="e">
        <f t="shared" ca="1" si="210"/>
        <v>#N/A</v>
      </c>
      <c r="AO167" s="464" t="e">
        <f t="shared" si="211"/>
        <v>#NAME?</v>
      </c>
      <c r="AP167" s="840" t="e">
        <f t="shared" si="211"/>
        <v>#NAME?</v>
      </c>
      <c r="BP167" s="485" t="e">
        <f ca="1">IF(OR(DB_LOAD!AW166="USD",DB_LOAD!AW166='Refi-Annual Review'!$A$3,ISBLANK(DB_LOAD!AW166)),0,1)</f>
        <v>#NAME?</v>
      </c>
      <c r="BQ167" t="str">
        <f>(IF(ISBLANK(DB_LOAD!AR166),"",DB_LOAD!AR166))</f>
        <v/>
      </c>
      <c r="BR167" t="str">
        <f t="shared" si="186"/>
        <v/>
      </c>
      <c r="BS167" t="str">
        <f t="shared" si="187"/>
        <v/>
      </c>
      <c r="BT167" t="str">
        <f t="shared" si="188"/>
        <v>5500000250000016064001572600</v>
      </c>
      <c r="BU167" t="str">
        <f t="shared" si="189"/>
        <v/>
      </c>
      <c r="BV167" t="str">
        <f t="shared" si="190"/>
        <v>7777</v>
      </c>
      <c r="BW167" t="str">
        <f t="shared" si="191"/>
        <v/>
      </c>
      <c r="BX167" t="str">
        <f t="shared" si="192"/>
        <v>1111</v>
      </c>
      <c r="CB167" s="683" t="str">
        <f t="shared" si="193"/>
        <v/>
      </c>
      <c r="CC167" s="683" t="str">
        <f t="shared" si="194"/>
        <v/>
      </c>
      <c r="CD167" s="683" t="str">
        <f>IF(CC167="","",VALUE(MID($BZ$5,1+SUM($CC$3:CC166),CC167)))</f>
        <v/>
      </c>
      <c r="CE167"/>
      <c r="CF167" t="str">
        <f>IF(CD167="","",MID($BZ$4,1+SUM($CD$3:CD166),CD167))</f>
        <v/>
      </c>
    </row>
    <row r="168" spans="3:84" ht="15">
      <c r="C168" s="485">
        <f t="shared" si="181"/>
        <v>169</v>
      </c>
      <c r="D168" s="467" t="s">
        <v>79</v>
      </c>
      <c r="E168" s="467"/>
      <c r="F168" s="464">
        <f>DATA_FORMATTING!GA126</f>
        <v>0</v>
      </c>
      <c r="G168" s="464">
        <f>DATA_FORMATTING!GB126</f>
        <v>0</v>
      </c>
      <c r="H168" s="464">
        <f>DATA_FORMATTING!GC126</f>
        <v>0</v>
      </c>
      <c r="I168" s="464">
        <f>DATA_FORMATTING!GD126</f>
        <v>0</v>
      </c>
      <c r="J168" s="464">
        <f>DATA_FORMATTING!GE126</f>
        <v>0</v>
      </c>
      <c r="K168" s="464"/>
      <c r="L168" s="464" t="e">
        <f>DATA_FORMATTING!Z184</f>
        <v>#NAME?</v>
      </c>
      <c r="M168" s="464" t="e">
        <f>DATA_FORMATTING!AA184</f>
        <v>#NAME?</v>
      </c>
      <c r="N168" s="464" t="e">
        <f>DATA_FORMATTING!AB184</f>
        <v>#NAME?</v>
      </c>
      <c r="O168" s="464" t="e">
        <f>DATA_FORMATTING!AD184</f>
        <v>#NAME?</v>
      </c>
      <c r="P168" s="464"/>
      <c r="Q168" s="464" t="e">
        <f>DATA_FORMATTING!FX126</f>
        <v>#NAME?</v>
      </c>
      <c r="R168" s="464" t="e">
        <f t="shared" si="203"/>
        <v>#NAME?</v>
      </c>
      <c r="U168" s="486" t="e">
        <f>DATA_FORMATTING!FL11</f>
        <v>#NAME?</v>
      </c>
      <c r="AJ168" s="467" t="s">
        <v>79</v>
      </c>
      <c r="AK168" s="464" t="e">
        <f t="shared" ca="1" si="210"/>
        <v>#N/A</v>
      </c>
      <c r="AL168" s="464" t="e">
        <f t="shared" ca="1" si="210"/>
        <v>#N/A</v>
      </c>
      <c r="AM168" s="464" t="e">
        <f t="shared" ca="1" si="210"/>
        <v>#N/A</v>
      </c>
      <c r="AN168" s="464" t="e">
        <f t="shared" ca="1" si="210"/>
        <v>#N/A</v>
      </c>
      <c r="AO168" s="464" t="e">
        <f t="shared" si="211"/>
        <v>#NAME?</v>
      </c>
      <c r="AP168" s="840" t="e">
        <f t="shared" si="211"/>
        <v>#NAME?</v>
      </c>
      <c r="BP168" s="485" t="e">
        <f ca="1">IF(OR(DB_LOAD!AW167="USD",DB_LOAD!AW167='Refi-Annual Review'!$A$3,ISBLANK(DB_LOAD!AW167)),0,1)</f>
        <v>#NAME?</v>
      </c>
      <c r="BQ168" t="str">
        <f>(IF(ISBLANK(DB_LOAD!AR167),"",DB_LOAD!AR167))</f>
        <v/>
      </c>
      <c r="BR168" t="str">
        <f t="shared" si="186"/>
        <v/>
      </c>
      <c r="BS168" t="str">
        <f t="shared" si="187"/>
        <v/>
      </c>
      <c r="BT168" t="str">
        <f t="shared" si="188"/>
        <v>5500000250000016064001572600</v>
      </c>
      <c r="BU168" t="str">
        <f t="shared" si="189"/>
        <v/>
      </c>
      <c r="BV168" t="str">
        <f t="shared" si="190"/>
        <v>7777</v>
      </c>
      <c r="BW168" t="str">
        <f t="shared" si="191"/>
        <v/>
      </c>
      <c r="BX168" t="str">
        <f t="shared" si="192"/>
        <v>1111</v>
      </c>
      <c r="CB168" s="683" t="str">
        <f t="shared" si="193"/>
        <v/>
      </c>
      <c r="CC168" s="683" t="str">
        <f t="shared" si="194"/>
        <v/>
      </c>
      <c r="CD168" s="683" t="str">
        <f>IF(CC168="","",VALUE(MID($BZ$5,1+SUM($CC$3:CC167),CC168)))</f>
        <v/>
      </c>
      <c r="CE168"/>
      <c r="CF168" t="str">
        <f>IF(CD168="","",MID($BZ$4,1+SUM($CD$3:CD167),CD168))</f>
        <v/>
      </c>
    </row>
    <row r="169" spans="3:84" ht="1.5" customHeight="1">
      <c r="C169" s="485">
        <f t="shared" si="181"/>
        <v>170</v>
      </c>
      <c r="D169" s="485" t="s">
        <v>84</v>
      </c>
      <c r="F169" s="464">
        <f>DATA_FORMATTING!GA127</f>
        <v>0</v>
      </c>
      <c r="G169" s="464">
        <f>DATA_FORMATTING!GB127</f>
        <v>0</v>
      </c>
      <c r="H169" s="464">
        <f>DATA_FORMATTING!GC127</f>
        <v>0</v>
      </c>
      <c r="I169" s="464">
        <f>DATA_FORMATTING!GD127</f>
        <v>0</v>
      </c>
      <c r="J169" s="464">
        <f>DATA_FORMATTING!GE127</f>
        <v>0</v>
      </c>
      <c r="K169" s="464"/>
      <c r="L169" s="464" t="e">
        <f>DATA_FORMATTING!Z185</f>
        <v>#NAME?</v>
      </c>
      <c r="M169" s="464" t="e">
        <f>DATA_FORMATTING!AA185</f>
        <v>#NAME?</v>
      </c>
      <c r="N169" s="464" t="e">
        <f>DATA_FORMATTING!AB185</f>
        <v>#NAME?</v>
      </c>
      <c r="O169" s="464" t="e">
        <f>DATA_FORMATTING!AD185</f>
        <v>#NAME?</v>
      </c>
      <c r="P169" s="464"/>
      <c r="Q169" s="464" t="e">
        <f>DATA_FORMATTING!FX127</f>
        <v>#NAME?</v>
      </c>
      <c r="R169" s="464" t="e">
        <f t="shared" si="203"/>
        <v>#NAME?</v>
      </c>
      <c r="U169" s="486" t="e">
        <f>DATA_FORMATTING!FL12</f>
        <v>#NAME?</v>
      </c>
      <c r="AJ169" s="485" t="s">
        <v>84</v>
      </c>
      <c r="AK169" s="464" t="e">
        <f t="shared" ca="1" si="210"/>
        <v>#N/A</v>
      </c>
      <c r="AL169" s="464" t="e">
        <f t="shared" ca="1" si="210"/>
        <v>#N/A</v>
      </c>
      <c r="AM169" s="464" t="e">
        <f t="shared" ca="1" si="210"/>
        <v>#N/A</v>
      </c>
      <c r="AN169" s="464" t="e">
        <f t="shared" ca="1" si="210"/>
        <v>#N/A</v>
      </c>
      <c r="AO169" s="464" t="e">
        <f t="shared" si="211"/>
        <v>#NAME?</v>
      </c>
      <c r="AP169" s="840" t="e">
        <f t="shared" si="211"/>
        <v>#NAME?</v>
      </c>
      <c r="BP169" s="485" t="e">
        <f ca="1">IF(OR(DB_LOAD!AW168="USD",DB_LOAD!AW168='Refi-Annual Review'!$A$3,ISBLANK(DB_LOAD!AW168)),0,1)</f>
        <v>#NAME?</v>
      </c>
      <c r="BQ169" t="str">
        <f>(IF(ISBLANK(DB_LOAD!AR168),"",DB_LOAD!AR168))</f>
        <v/>
      </c>
      <c r="BR169" t="str">
        <f t="shared" si="186"/>
        <v/>
      </c>
      <c r="BS169" t="str">
        <f t="shared" si="187"/>
        <v/>
      </c>
      <c r="BT169" t="str">
        <f t="shared" si="188"/>
        <v>5500000250000016064001572600</v>
      </c>
      <c r="BU169" t="str">
        <f t="shared" si="189"/>
        <v/>
      </c>
      <c r="BV169" t="str">
        <f t="shared" si="190"/>
        <v>7777</v>
      </c>
      <c r="BW169" t="str">
        <f t="shared" si="191"/>
        <v/>
      </c>
      <c r="BX169" t="str">
        <f t="shared" si="192"/>
        <v>1111</v>
      </c>
      <c r="CB169" s="683" t="str">
        <f t="shared" si="193"/>
        <v/>
      </c>
      <c r="CC169" s="683" t="str">
        <f t="shared" si="194"/>
        <v/>
      </c>
      <c r="CD169" s="683" t="str">
        <f>IF(CC169="","",VALUE(MID($BZ$5,1+SUM($CC$3:CC168),CC169)))</f>
        <v/>
      </c>
      <c r="CE169"/>
      <c r="CF169" t="str">
        <f>IF(CD169="","",MID($BZ$4,1+SUM($CD$3:CD168),CD169))</f>
        <v/>
      </c>
    </row>
    <row r="170" spans="3:84" ht="15">
      <c r="C170" s="485">
        <f t="shared" si="181"/>
        <v>171</v>
      </c>
      <c r="D170" s="485" t="s">
        <v>89</v>
      </c>
      <c r="F170" s="464">
        <f>DATA_FORMATTING!GA128</f>
        <v>0</v>
      </c>
      <c r="G170" s="464">
        <f>DATA_FORMATTING!GB128</f>
        <v>0</v>
      </c>
      <c r="H170" s="464">
        <f>DATA_FORMATTING!GC128</f>
        <v>0</v>
      </c>
      <c r="I170" s="464">
        <f>DATA_FORMATTING!GD128</f>
        <v>0</v>
      </c>
      <c r="J170" s="464">
        <f>DATA_FORMATTING!GE128</f>
        <v>0</v>
      </c>
      <c r="K170" s="464"/>
      <c r="L170" s="464" t="e">
        <f>DATA_FORMATTING!Z186</f>
        <v>#NAME?</v>
      </c>
      <c r="M170" s="464" t="e">
        <f>DATA_FORMATTING!AA186</f>
        <v>#NAME?</v>
      </c>
      <c r="N170" s="464" t="e">
        <f>DATA_FORMATTING!AB186</f>
        <v>#NAME?</v>
      </c>
      <c r="O170" s="464" t="e">
        <f>DATA_FORMATTING!AD186</f>
        <v>#NAME?</v>
      </c>
      <c r="P170" s="464"/>
      <c r="Q170" s="464" t="e">
        <f>DATA_FORMATTING!FX128</f>
        <v>#NAME?</v>
      </c>
      <c r="R170" s="464" t="e">
        <f t="shared" si="203"/>
        <v>#NAME?</v>
      </c>
      <c r="U170" s="486" t="e">
        <f>DATA_FORMATTING!FL13</f>
        <v>#NAME?</v>
      </c>
      <c r="AJ170" s="485" t="s">
        <v>89</v>
      </c>
      <c r="AK170" s="464" t="e">
        <f t="shared" ca="1" si="210"/>
        <v>#N/A</v>
      </c>
      <c r="AL170" s="464" t="e">
        <f t="shared" ca="1" si="210"/>
        <v>#N/A</v>
      </c>
      <c r="AM170" s="464" t="e">
        <f t="shared" ca="1" si="210"/>
        <v>#N/A</v>
      </c>
      <c r="AN170" s="464" t="e">
        <f t="shared" ca="1" si="210"/>
        <v>#N/A</v>
      </c>
      <c r="AO170" s="464" t="e">
        <f t="shared" si="211"/>
        <v>#NAME?</v>
      </c>
      <c r="AP170" s="840" t="e">
        <f t="shared" si="211"/>
        <v>#NAME?</v>
      </c>
      <c r="BP170" s="485" t="e">
        <f ca="1">IF(OR(DB_LOAD!AW169="USD",DB_LOAD!AW169='Refi-Annual Review'!$A$3,ISBLANK(DB_LOAD!AW169)),0,1)</f>
        <v>#NAME?</v>
      </c>
      <c r="BQ170" t="str">
        <f>(IF(ISBLANK(DB_LOAD!AR169),"",DB_LOAD!AR169))</f>
        <v/>
      </c>
      <c r="BR170" t="str">
        <f t="shared" si="186"/>
        <v/>
      </c>
      <c r="BS170" t="str">
        <f t="shared" si="187"/>
        <v/>
      </c>
      <c r="BT170" t="str">
        <f t="shared" si="188"/>
        <v>5500000250000016064001572600</v>
      </c>
      <c r="BU170" t="str">
        <f t="shared" si="189"/>
        <v/>
      </c>
      <c r="BV170" t="str">
        <f t="shared" si="190"/>
        <v>7777</v>
      </c>
      <c r="BW170" t="str">
        <f t="shared" si="191"/>
        <v/>
      </c>
      <c r="BX170" t="str">
        <f t="shared" si="192"/>
        <v>1111</v>
      </c>
      <c r="CB170" s="683" t="str">
        <f t="shared" si="193"/>
        <v/>
      </c>
      <c r="CC170" s="683" t="str">
        <f t="shared" si="194"/>
        <v/>
      </c>
      <c r="CD170" s="683" t="str">
        <f>IF(CC170="","",VALUE(MID($BZ$5,1+SUM($CC$3:CC169),CC170)))</f>
        <v/>
      </c>
      <c r="CE170"/>
      <c r="CF170" t="str">
        <f>IF(CD170="","",MID($BZ$4,1+SUM($CD$3:CD169),CD170))</f>
        <v/>
      </c>
    </row>
    <row r="171" spans="3:84" ht="15">
      <c r="C171" s="485">
        <f t="shared" si="181"/>
        <v>172</v>
      </c>
      <c r="D171" s="485" t="s">
        <v>93</v>
      </c>
      <c r="F171" s="464">
        <f>DATA_FORMATTING!GA129</f>
        <v>0</v>
      </c>
      <c r="G171" s="464">
        <f>DATA_FORMATTING!GB129</f>
        <v>0</v>
      </c>
      <c r="H171" s="464">
        <f>DATA_FORMATTING!GC129</f>
        <v>0</v>
      </c>
      <c r="I171" s="464">
        <f>DATA_FORMATTING!GD129</f>
        <v>0</v>
      </c>
      <c r="J171" s="464">
        <f>DATA_FORMATTING!GE129</f>
        <v>0</v>
      </c>
      <c r="K171" s="464"/>
      <c r="L171" s="464" t="e">
        <f>DATA_FORMATTING!Z187</f>
        <v>#NAME?</v>
      </c>
      <c r="M171" s="464" t="e">
        <f>DATA_FORMATTING!AA187</f>
        <v>#NAME?</v>
      </c>
      <c r="N171" s="464" t="e">
        <f>DATA_FORMATTING!AB187</f>
        <v>#NAME?</v>
      </c>
      <c r="O171" s="464" t="e">
        <f>DATA_FORMATTING!AD187</f>
        <v>#NAME?</v>
      </c>
      <c r="P171" s="464"/>
      <c r="Q171" s="464" t="e">
        <f>DATA_FORMATTING!FX129</f>
        <v>#NAME?</v>
      </c>
      <c r="R171" s="464" t="e">
        <f t="shared" si="203"/>
        <v>#NAME?</v>
      </c>
      <c r="U171" s="486" t="e">
        <f>DATA_FORMATTING!FL14</f>
        <v>#NAME?</v>
      </c>
      <c r="AJ171" s="485" t="s">
        <v>93</v>
      </c>
      <c r="AK171" s="464" t="e">
        <f t="shared" ca="1" si="210"/>
        <v>#N/A</v>
      </c>
      <c r="AL171" s="464" t="e">
        <f t="shared" ca="1" si="210"/>
        <v>#N/A</v>
      </c>
      <c r="AM171" s="464" t="e">
        <f t="shared" ca="1" si="210"/>
        <v>#N/A</v>
      </c>
      <c r="AN171" s="464" t="e">
        <f t="shared" ca="1" si="210"/>
        <v>#N/A</v>
      </c>
      <c r="AO171" s="464" t="e">
        <f t="shared" si="211"/>
        <v>#NAME?</v>
      </c>
      <c r="AP171" s="840" t="e">
        <f t="shared" si="211"/>
        <v>#NAME?</v>
      </c>
      <c r="BP171" s="485" t="e">
        <f ca="1">IF(OR(DB_LOAD!AW170="USD",DB_LOAD!AW170='Refi-Annual Review'!$A$3,ISBLANK(DB_LOAD!AW170)),0,1)</f>
        <v>#NAME?</v>
      </c>
      <c r="BQ171" t="str">
        <f>(IF(ISBLANK(DB_LOAD!AR170),"",DB_LOAD!AR170))</f>
        <v/>
      </c>
      <c r="BR171" t="str">
        <f t="shared" si="186"/>
        <v/>
      </c>
      <c r="BS171" t="str">
        <f t="shared" si="187"/>
        <v/>
      </c>
      <c r="BT171" t="str">
        <f t="shared" si="188"/>
        <v>5500000250000016064001572600</v>
      </c>
      <c r="BU171" t="str">
        <f t="shared" si="189"/>
        <v/>
      </c>
      <c r="BV171" t="str">
        <f t="shared" si="190"/>
        <v>7777</v>
      </c>
      <c r="BW171" t="str">
        <f t="shared" si="191"/>
        <v/>
      </c>
      <c r="BX171" t="str">
        <f t="shared" si="192"/>
        <v>1111</v>
      </c>
      <c r="CB171" s="683" t="str">
        <f t="shared" si="193"/>
        <v/>
      </c>
      <c r="CC171" s="683" t="str">
        <f t="shared" si="194"/>
        <v/>
      </c>
      <c r="CD171" s="683" t="str">
        <f>IF(CC171="","",VALUE(MID($BZ$5,1+SUM($CC$3:CC170),CC171)))</f>
        <v/>
      </c>
      <c r="CE171"/>
      <c r="CF171" t="str">
        <f>IF(CD171="","",MID($BZ$4,1+SUM($CD$3:CD170),CD171))</f>
        <v/>
      </c>
    </row>
    <row r="172" spans="3:84" ht="15">
      <c r="C172" s="485">
        <f t="shared" si="181"/>
        <v>173</v>
      </c>
      <c r="R172" s="464">
        <f t="shared" si="203"/>
        <v>0</v>
      </c>
      <c r="AK172" s="486"/>
      <c r="AL172" s="486"/>
      <c r="AM172" s="486"/>
      <c r="AN172" s="486"/>
      <c r="AO172" s="486"/>
      <c r="BP172" s="485" t="e">
        <f ca="1">IF(OR(DB_LOAD!AW171="USD",DB_LOAD!AW171='Refi-Annual Review'!$A$3,ISBLANK(DB_LOAD!AW171)),0,1)</f>
        <v>#NAME?</v>
      </c>
      <c r="BQ172" t="str">
        <f>(IF(ISBLANK(DB_LOAD!AR171),"",DB_LOAD!AR171))</f>
        <v/>
      </c>
      <c r="BR172" t="str">
        <f t="shared" si="186"/>
        <v/>
      </c>
      <c r="BS172" t="str">
        <f t="shared" si="187"/>
        <v/>
      </c>
      <c r="BT172" t="str">
        <f t="shared" si="188"/>
        <v>5500000250000016064001572600</v>
      </c>
      <c r="BU172" t="str">
        <f t="shared" si="189"/>
        <v/>
      </c>
      <c r="BV172" t="str">
        <f t="shared" si="190"/>
        <v>7777</v>
      </c>
      <c r="BW172" t="str">
        <f t="shared" si="191"/>
        <v/>
      </c>
      <c r="BX172" t="str">
        <f t="shared" si="192"/>
        <v>1111</v>
      </c>
      <c r="CB172" s="683" t="str">
        <f t="shared" si="193"/>
        <v/>
      </c>
      <c r="CC172" s="683" t="str">
        <f t="shared" si="194"/>
        <v/>
      </c>
      <c r="CD172" s="683" t="str">
        <f>IF(CC172="","",VALUE(MID($BZ$5,1+SUM($CC$3:CC171),CC172)))</f>
        <v/>
      </c>
      <c r="CE172"/>
      <c r="CF172" t="str">
        <f>IF(CD172="","",MID($BZ$4,1+SUM($CD$3:CD171),CD172))</f>
        <v/>
      </c>
    </row>
    <row r="173" spans="3:84" ht="15">
      <c r="C173" s="485">
        <f t="shared" si="181"/>
        <v>174</v>
      </c>
      <c r="D173" s="485" t="s">
        <v>70</v>
      </c>
      <c r="F173" s="464" t="e">
        <f ca="1">DATA_FORMATTING!HU10/F$86</f>
        <v>#N/A</v>
      </c>
      <c r="G173" s="464" t="e">
        <f ca="1">DATA_FORMATTING!HV10/G$86</f>
        <v>#N/A</v>
      </c>
      <c r="H173" s="464" t="e">
        <f ca="1">DATA_FORMATTING!HW10/H$86</f>
        <v>#N/A</v>
      </c>
      <c r="I173" s="464" t="e">
        <f ca="1">DATA_FORMATTING!HX10/I$86</f>
        <v>#N/A</v>
      </c>
      <c r="J173" s="464" t="e">
        <f ca="1">DATA_FORMATTING!HY10/J$86</f>
        <v>#N/A</v>
      </c>
      <c r="K173" s="464"/>
      <c r="L173" s="486" t="e">
        <f ca="1">DATA_FORMATTING!AH182/L$86</f>
        <v>#NAME?</v>
      </c>
      <c r="M173" s="464" t="e">
        <f ca="1">DATA_FORMATTING!AI182/M$86</f>
        <v>#NAME?</v>
      </c>
      <c r="N173" s="464" t="e">
        <f ca="1">DATA_FORMATTING!AJ182/N$86</f>
        <v>#NAME?</v>
      </c>
      <c r="O173" s="464" t="e">
        <f ca="1">DATA_FORMATTING!AL182/O$86</f>
        <v>#NAME?</v>
      </c>
      <c r="P173" s="464"/>
      <c r="Q173" s="464" t="e">
        <f ca="1">DATA_FORMATTING!HQ10/Q$86</f>
        <v>#NAME?</v>
      </c>
      <c r="R173" s="464" t="e">
        <f t="shared" ca="1" si="203"/>
        <v>#NAME?</v>
      </c>
      <c r="U173" s="486" t="e">
        <f ca="1">DATA_FORMATTING!HE10/U$86</f>
        <v>#NAME?</v>
      </c>
      <c r="AJ173" s="485" t="s">
        <v>70</v>
      </c>
      <c r="AK173" s="464" t="e">
        <f t="shared" ref="AK173:AN177" ca="1" si="212">HLOOKUP(AK$4,$G$1:$O$213,$C173-1,FALSE)</f>
        <v>#N/A</v>
      </c>
      <c r="AL173" s="464" t="e">
        <f t="shared" ca="1" si="212"/>
        <v>#N/A</v>
      </c>
      <c r="AM173" s="464" t="e">
        <f t="shared" ca="1" si="212"/>
        <v>#N/A</v>
      </c>
      <c r="AN173" s="464" t="e">
        <f t="shared" ca="1" si="212"/>
        <v>#N/A</v>
      </c>
      <c r="AO173" s="464" t="e">
        <f t="shared" ref="AO173:AP177" ca="1" si="213">Q173</f>
        <v>#NAME?</v>
      </c>
      <c r="AP173" s="840" t="e">
        <f t="shared" ca="1" si="213"/>
        <v>#NAME?</v>
      </c>
      <c r="BP173" s="485" t="e">
        <f ca="1">IF(OR(DB_LOAD!AW172="USD",DB_LOAD!AW172='Refi-Annual Review'!$A$3,ISBLANK(DB_LOAD!AW172)),0,1)</f>
        <v>#NAME?</v>
      </c>
      <c r="BQ173" t="str">
        <f>(IF(ISBLANK(DB_LOAD!AR172),"",DB_LOAD!AR172))</f>
        <v/>
      </c>
      <c r="BR173" t="str">
        <f t="shared" ref="BR173:BR177" si="214">IF(LEN(BQ173)&gt;0,LEN(BQ173),"")</f>
        <v/>
      </c>
      <c r="BS173" t="str">
        <f t="shared" ref="BS173:BS178" si="215">IF(AND(BQ173=BQ172,BR173=BR172,BQ173&lt;&gt;""),"",IF(BQ173="","",BQ173))</f>
        <v/>
      </c>
      <c r="BT173" t="str">
        <f t="shared" ref="BT173:BT178" si="216">BT172&amp;BS173</f>
        <v>5500000250000016064001572600</v>
      </c>
      <c r="BU173" t="str">
        <f t="shared" si="189"/>
        <v/>
      </c>
      <c r="BV173" t="str">
        <f t="shared" ref="BV173:BV178" si="217">BV172&amp;BU173</f>
        <v>7777</v>
      </c>
      <c r="BW173" t="str">
        <f t="shared" si="191"/>
        <v/>
      </c>
      <c r="BX173" t="str">
        <f t="shared" ref="BX173:BX178" si="218">BX172&amp;BW173</f>
        <v>1111</v>
      </c>
      <c r="CB173" s="683" t="str">
        <f t="shared" ref="CB173:CB178" si="219">IF(CB172&lt;$BZ$3,CB172+1,"")</f>
        <v/>
      </c>
      <c r="CC173" s="683" t="str">
        <f t="shared" ref="CC173:CC177" si="220">IF(CB173="","",VALUE(MID($BZ$6,CB173,1)))</f>
        <v/>
      </c>
      <c r="CD173" s="683" t="str">
        <f>IF(CC173="","",VALUE(MID($BZ$5,1+SUM($CC$3:CC172),CC173)))</f>
        <v/>
      </c>
      <c r="CE173"/>
      <c r="CF173" t="str">
        <f>IF(CD173="","",MID($BZ$4,1+SUM($CD$3:CD172),CD173))</f>
        <v/>
      </c>
    </row>
    <row r="174" spans="3:84" ht="15">
      <c r="C174" s="485">
        <f t="shared" si="181"/>
        <v>175</v>
      </c>
      <c r="D174" s="485" t="s">
        <v>75</v>
      </c>
      <c r="F174" s="464" t="e">
        <f ca="1">DATA_FORMATTING!HU11/F$86</f>
        <v>#N/A</v>
      </c>
      <c r="G174" s="464" t="e">
        <f ca="1">DATA_FORMATTING!HV11/G$86</f>
        <v>#N/A</v>
      </c>
      <c r="H174" s="464" t="e">
        <f ca="1">DATA_FORMATTING!HW11/H$86</f>
        <v>#N/A</v>
      </c>
      <c r="I174" s="464" t="e">
        <f ca="1">DATA_FORMATTING!HX11/I$86</f>
        <v>#N/A</v>
      </c>
      <c r="J174" s="464" t="e">
        <f ca="1">DATA_FORMATTING!HY11/J$86</f>
        <v>#N/A</v>
      </c>
      <c r="K174" s="464"/>
      <c r="L174" s="486" t="e">
        <f ca="1">DATA_FORMATTING!AH183/L$86</f>
        <v>#NAME?</v>
      </c>
      <c r="M174" s="464" t="e">
        <f ca="1">DATA_FORMATTING!AI183/M$86</f>
        <v>#NAME?</v>
      </c>
      <c r="N174" s="464" t="e">
        <f ca="1">DATA_FORMATTING!AJ183/N$86</f>
        <v>#NAME?</v>
      </c>
      <c r="O174" s="464" t="e">
        <f ca="1">DATA_FORMATTING!AL183/O$86</f>
        <v>#NAME?</v>
      </c>
      <c r="P174" s="464"/>
      <c r="Q174" s="464" t="e">
        <f ca="1">DATA_FORMATTING!HQ11/Q$86</f>
        <v>#NAME?</v>
      </c>
      <c r="R174" s="464" t="e">
        <f t="shared" ca="1" si="203"/>
        <v>#NAME?</v>
      </c>
      <c r="U174" s="486" t="e">
        <f ca="1">DATA_FORMATTING!HE11/U$86</f>
        <v>#NAME?</v>
      </c>
      <c r="AJ174" s="485" t="s">
        <v>75</v>
      </c>
      <c r="AK174" s="464" t="e">
        <f t="shared" ca="1" si="212"/>
        <v>#N/A</v>
      </c>
      <c r="AL174" s="464" t="e">
        <f t="shared" ca="1" si="212"/>
        <v>#N/A</v>
      </c>
      <c r="AM174" s="464" t="e">
        <f t="shared" ca="1" si="212"/>
        <v>#N/A</v>
      </c>
      <c r="AN174" s="464" t="e">
        <f t="shared" ca="1" si="212"/>
        <v>#N/A</v>
      </c>
      <c r="AO174" s="464" t="e">
        <f t="shared" ca="1" si="213"/>
        <v>#NAME?</v>
      </c>
      <c r="AP174" s="840" t="e">
        <f t="shared" ca="1" si="213"/>
        <v>#NAME?</v>
      </c>
      <c r="BP174" s="485" t="e">
        <f ca="1">IF(OR(DB_LOAD!AW173="USD",DB_LOAD!AW173='Refi-Annual Review'!$A$3,ISBLANK(DB_LOAD!AW173)),0,1)</f>
        <v>#NAME?</v>
      </c>
      <c r="BQ174" t="str">
        <f>(IF(ISBLANK(DB_LOAD!AR173),"",DB_LOAD!AR173))</f>
        <v/>
      </c>
      <c r="BR174" t="str">
        <f t="shared" si="214"/>
        <v/>
      </c>
      <c r="BS174" t="str">
        <f t="shared" si="215"/>
        <v/>
      </c>
      <c r="BT174" t="str">
        <f t="shared" si="216"/>
        <v>5500000250000016064001572600</v>
      </c>
      <c r="BU174" t="str">
        <f t="shared" si="189"/>
        <v/>
      </c>
      <c r="BV174" t="str">
        <f t="shared" si="217"/>
        <v>7777</v>
      </c>
      <c r="BW174" t="str">
        <f t="shared" si="191"/>
        <v/>
      </c>
      <c r="BX174" t="str">
        <f t="shared" si="218"/>
        <v>1111</v>
      </c>
      <c r="CB174" s="683" t="str">
        <f t="shared" si="219"/>
        <v/>
      </c>
      <c r="CC174" s="683" t="str">
        <f t="shared" si="220"/>
        <v/>
      </c>
      <c r="CD174" s="683" t="str">
        <f>IF(CC174="","",VALUE(MID($BZ$5,1+SUM($CC$3:CC173),CC174)))</f>
        <v/>
      </c>
      <c r="CE174"/>
      <c r="CF174" t="str">
        <f>IF(CD174="","",MID($BZ$4,1+SUM($CD$3:CD173),CD174))</f>
        <v/>
      </c>
    </row>
    <row r="175" spans="3:84" ht="15">
      <c r="C175" s="485">
        <f t="shared" si="181"/>
        <v>176</v>
      </c>
      <c r="D175" s="485" t="s">
        <v>80</v>
      </c>
      <c r="F175" s="464" t="e">
        <f ca="1">DATA_FORMATTING!HU12/F$86</f>
        <v>#N/A</v>
      </c>
      <c r="G175" s="464" t="e">
        <f ca="1">DATA_FORMATTING!HV12/G$86</f>
        <v>#N/A</v>
      </c>
      <c r="H175" s="464" t="e">
        <f ca="1">DATA_FORMATTING!HW12/H$86</f>
        <v>#N/A</v>
      </c>
      <c r="I175" s="464" t="e">
        <f ca="1">DATA_FORMATTING!HX12/I$86</f>
        <v>#N/A</v>
      </c>
      <c r="J175" s="464" t="e">
        <f ca="1">DATA_FORMATTING!HY12/J$86</f>
        <v>#N/A</v>
      </c>
      <c r="K175" s="464"/>
      <c r="L175" s="486" t="e">
        <f ca="1">DATA_FORMATTING!AH184/L$86</f>
        <v>#NAME?</v>
      </c>
      <c r="M175" s="464" t="e">
        <f ca="1">DATA_FORMATTING!AI184/M$86</f>
        <v>#NAME?</v>
      </c>
      <c r="N175" s="464" t="e">
        <f ca="1">DATA_FORMATTING!AJ184/N$86</f>
        <v>#NAME?</v>
      </c>
      <c r="O175" s="464" t="e">
        <f ca="1">DATA_FORMATTING!AL184/O$86</f>
        <v>#NAME?</v>
      </c>
      <c r="P175" s="464"/>
      <c r="Q175" s="464" t="e">
        <f ca="1">DATA_FORMATTING!HQ12/Q$86</f>
        <v>#NAME?</v>
      </c>
      <c r="R175" s="464" t="e">
        <f t="shared" ca="1" si="203"/>
        <v>#NAME?</v>
      </c>
      <c r="U175" s="486" t="e">
        <f ca="1">DATA_FORMATTING!HE12/U$86</f>
        <v>#NAME?</v>
      </c>
      <c r="AJ175" s="485" t="s">
        <v>80</v>
      </c>
      <c r="AK175" s="464" t="e">
        <f t="shared" ca="1" si="212"/>
        <v>#N/A</v>
      </c>
      <c r="AL175" s="464" t="e">
        <f t="shared" ca="1" si="212"/>
        <v>#N/A</v>
      </c>
      <c r="AM175" s="464" t="e">
        <f t="shared" ca="1" si="212"/>
        <v>#N/A</v>
      </c>
      <c r="AN175" s="464" t="e">
        <f t="shared" ca="1" si="212"/>
        <v>#N/A</v>
      </c>
      <c r="AO175" s="464" t="e">
        <f t="shared" ca="1" si="213"/>
        <v>#NAME?</v>
      </c>
      <c r="AP175" s="840" t="e">
        <f t="shared" ca="1" si="213"/>
        <v>#NAME?</v>
      </c>
      <c r="BP175" s="485" t="e">
        <f ca="1">IF(OR(DB_LOAD!AW174="USD",DB_LOAD!AW174='Refi-Annual Review'!$A$3,ISBLANK(DB_LOAD!AW174)),0,1)</f>
        <v>#NAME?</v>
      </c>
      <c r="BQ175" t="str">
        <f>(IF(ISBLANK(DB_LOAD!AR174),"",DB_LOAD!AR174))</f>
        <v/>
      </c>
      <c r="BR175" t="str">
        <f t="shared" si="214"/>
        <v/>
      </c>
      <c r="BS175" t="str">
        <f t="shared" si="215"/>
        <v/>
      </c>
      <c r="BT175" t="str">
        <f t="shared" si="216"/>
        <v>5500000250000016064001572600</v>
      </c>
      <c r="BU175" t="str">
        <f t="shared" si="189"/>
        <v/>
      </c>
      <c r="BV175" t="str">
        <f t="shared" si="217"/>
        <v>7777</v>
      </c>
      <c r="BW175" t="str">
        <f t="shared" si="191"/>
        <v/>
      </c>
      <c r="BX175" t="str">
        <f t="shared" si="218"/>
        <v>1111</v>
      </c>
      <c r="CB175" s="683" t="str">
        <f t="shared" si="219"/>
        <v/>
      </c>
      <c r="CC175" s="683" t="str">
        <f t="shared" si="220"/>
        <v/>
      </c>
      <c r="CD175" s="683" t="str">
        <f>IF(CC175="","",VALUE(MID($BZ$5,1+SUM($CC$3:CC174),CC175)))</f>
        <v/>
      </c>
      <c r="CE175"/>
      <c r="CF175" t="str">
        <f>IF(CD175="","",MID($BZ$4,1+SUM($CD$3:CD174),CD175))</f>
        <v/>
      </c>
    </row>
    <row r="176" spans="3:84" ht="15">
      <c r="C176" s="485">
        <f t="shared" si="181"/>
        <v>177</v>
      </c>
      <c r="D176" s="485" t="s">
        <v>85</v>
      </c>
      <c r="F176" s="464" t="e">
        <f ca="1">DATA_FORMATTING!HU13/F$86</f>
        <v>#N/A</v>
      </c>
      <c r="G176" s="464" t="e">
        <f ca="1">DATA_FORMATTING!HV13/G$86</f>
        <v>#N/A</v>
      </c>
      <c r="H176" s="464" t="e">
        <f ca="1">DATA_FORMATTING!HW13/H$86</f>
        <v>#N/A</v>
      </c>
      <c r="I176" s="464" t="e">
        <f ca="1">DATA_FORMATTING!HX13/I$86</f>
        <v>#N/A</v>
      </c>
      <c r="J176" s="464" t="e">
        <f ca="1">DATA_FORMATTING!HY13/J$86</f>
        <v>#N/A</v>
      </c>
      <c r="K176" s="464"/>
      <c r="L176" s="486" t="e">
        <f ca="1">DATA_FORMATTING!AH185/L$86</f>
        <v>#NAME?</v>
      </c>
      <c r="M176" s="464" t="e">
        <f ca="1">DATA_FORMATTING!AI185/M$86</f>
        <v>#NAME?</v>
      </c>
      <c r="N176" s="464" t="e">
        <f ca="1">DATA_FORMATTING!AJ185/N$86</f>
        <v>#NAME?</v>
      </c>
      <c r="O176" s="464" t="e">
        <f ca="1">DATA_FORMATTING!AL185/O$86</f>
        <v>#NAME?</v>
      </c>
      <c r="P176" s="464"/>
      <c r="Q176" s="464" t="e">
        <f ca="1">DATA_FORMATTING!HQ13/Q$86</f>
        <v>#NAME?</v>
      </c>
      <c r="R176" s="464" t="e">
        <f t="shared" ca="1" si="203"/>
        <v>#NAME?</v>
      </c>
      <c r="U176" s="486" t="e">
        <f ca="1">DATA_FORMATTING!HE13/U$86</f>
        <v>#NAME?</v>
      </c>
      <c r="AJ176" s="485" t="s">
        <v>85</v>
      </c>
      <c r="AK176" s="464" t="e">
        <f t="shared" ca="1" si="212"/>
        <v>#N/A</v>
      </c>
      <c r="AL176" s="464" t="e">
        <f t="shared" ca="1" si="212"/>
        <v>#N/A</v>
      </c>
      <c r="AM176" s="464" t="e">
        <f t="shared" ca="1" si="212"/>
        <v>#N/A</v>
      </c>
      <c r="AN176" s="464" t="e">
        <f t="shared" ca="1" si="212"/>
        <v>#N/A</v>
      </c>
      <c r="AO176" s="464" t="e">
        <f t="shared" ca="1" si="213"/>
        <v>#NAME?</v>
      </c>
      <c r="AP176" s="840" t="e">
        <f t="shared" ca="1" si="213"/>
        <v>#NAME?</v>
      </c>
      <c r="BP176" s="485" t="e">
        <f ca="1">IF(OR(DB_LOAD!AW175="USD",DB_LOAD!AW175='Refi-Annual Review'!$A$3,ISBLANK(DB_LOAD!AW175)),0,1)</f>
        <v>#NAME?</v>
      </c>
      <c r="BQ176" t="str">
        <f>(IF(ISBLANK(DB_LOAD!AR175),"",DB_LOAD!AR175))</f>
        <v/>
      </c>
      <c r="BR176" t="str">
        <f t="shared" si="214"/>
        <v/>
      </c>
      <c r="BS176" t="str">
        <f t="shared" si="215"/>
        <v/>
      </c>
      <c r="BT176" t="str">
        <f t="shared" si="216"/>
        <v>5500000250000016064001572600</v>
      </c>
      <c r="BU176" t="str">
        <f t="shared" si="189"/>
        <v/>
      </c>
      <c r="BV176" t="str">
        <f t="shared" si="217"/>
        <v>7777</v>
      </c>
      <c r="BW176" t="str">
        <f t="shared" si="191"/>
        <v/>
      </c>
      <c r="BX176" t="str">
        <f t="shared" si="218"/>
        <v>1111</v>
      </c>
      <c r="CB176" s="683" t="str">
        <f t="shared" si="219"/>
        <v/>
      </c>
      <c r="CC176" s="683" t="str">
        <f t="shared" si="220"/>
        <v/>
      </c>
      <c r="CD176" s="683" t="str">
        <f>IF(CC176="","",VALUE(MID($BZ$5,1+SUM($CC$3:CC175),CC176)))</f>
        <v/>
      </c>
      <c r="CE176"/>
      <c r="CF176" t="str">
        <f>IF(CD176="","",MID($BZ$4,1+SUM($CD$3:CD175),CD176))</f>
        <v/>
      </c>
    </row>
    <row r="177" spans="3:84" ht="15">
      <c r="C177" s="485">
        <f t="shared" si="181"/>
        <v>178</v>
      </c>
      <c r="D177" s="485" t="s">
        <v>90</v>
      </c>
      <c r="F177" s="464" t="e">
        <f ca="1">DATA_FORMATTING!HU14/F$86</f>
        <v>#N/A</v>
      </c>
      <c r="G177" s="464" t="e">
        <f ca="1">DATA_FORMATTING!HV14/G$86</f>
        <v>#N/A</v>
      </c>
      <c r="H177" s="464" t="e">
        <f ca="1">DATA_FORMATTING!HW14/H$86</f>
        <v>#N/A</v>
      </c>
      <c r="I177" s="464" t="e">
        <f ca="1">DATA_FORMATTING!HX14/I$86</f>
        <v>#N/A</v>
      </c>
      <c r="J177" s="464" t="e">
        <f ca="1">DATA_FORMATTING!HY14/J$86</f>
        <v>#N/A</v>
      </c>
      <c r="K177" s="464"/>
      <c r="L177" s="486" t="e">
        <f ca="1">DATA_FORMATTING!AH186/L$86</f>
        <v>#NAME?</v>
      </c>
      <c r="M177" s="464" t="e">
        <f ca="1">DATA_FORMATTING!AI186/M$86</f>
        <v>#NAME?</v>
      </c>
      <c r="N177" s="464" t="e">
        <f ca="1">DATA_FORMATTING!AJ186/N$86</f>
        <v>#NAME?</v>
      </c>
      <c r="O177" s="464" t="e">
        <f ca="1">DATA_FORMATTING!AL186/O$86</f>
        <v>#NAME?</v>
      </c>
      <c r="P177" s="464"/>
      <c r="Q177" s="464" t="e">
        <f ca="1">DATA_FORMATTING!HQ14/Q$86</f>
        <v>#NAME?</v>
      </c>
      <c r="R177" s="464" t="e">
        <f t="shared" ca="1" si="203"/>
        <v>#NAME?</v>
      </c>
      <c r="U177" s="486" t="e">
        <f ca="1">DATA_FORMATTING!HE14/U$86</f>
        <v>#NAME?</v>
      </c>
      <c r="AJ177" s="485" t="s">
        <v>90</v>
      </c>
      <c r="AK177" s="464" t="e">
        <f t="shared" ca="1" si="212"/>
        <v>#N/A</v>
      </c>
      <c r="AL177" s="464" t="e">
        <f t="shared" ca="1" si="212"/>
        <v>#N/A</v>
      </c>
      <c r="AM177" s="464" t="e">
        <f t="shared" ca="1" si="212"/>
        <v>#N/A</v>
      </c>
      <c r="AN177" s="464" t="e">
        <f t="shared" ca="1" si="212"/>
        <v>#N/A</v>
      </c>
      <c r="AO177" s="464" t="e">
        <f t="shared" ca="1" si="213"/>
        <v>#NAME?</v>
      </c>
      <c r="AP177" s="840" t="e">
        <f t="shared" ca="1" si="213"/>
        <v>#NAME?</v>
      </c>
      <c r="BP177" s="485" t="e">
        <f ca="1">IF(OR(DB_LOAD!AW176="USD",DB_LOAD!AW176='Refi-Annual Review'!$A$3,ISBLANK(DB_LOAD!AW176)),0,1)</f>
        <v>#NAME?</v>
      </c>
      <c r="BQ177" t="str">
        <f>(IF(ISBLANK(DB_LOAD!AR176),"",DB_LOAD!AR176))</f>
        <v/>
      </c>
      <c r="BR177" t="str">
        <f t="shared" si="214"/>
        <v/>
      </c>
      <c r="BS177" t="str">
        <f t="shared" si="215"/>
        <v/>
      </c>
      <c r="BT177" t="str">
        <f t="shared" si="216"/>
        <v>5500000250000016064001572600</v>
      </c>
      <c r="BU177" t="str">
        <f t="shared" si="189"/>
        <v/>
      </c>
      <c r="BV177" t="str">
        <f t="shared" si="217"/>
        <v>7777</v>
      </c>
      <c r="BW177" t="str">
        <f t="shared" si="191"/>
        <v/>
      </c>
      <c r="BX177" t="str">
        <f t="shared" si="218"/>
        <v>1111</v>
      </c>
      <c r="CB177" s="683" t="str">
        <f t="shared" si="219"/>
        <v/>
      </c>
      <c r="CC177" s="683" t="str">
        <f t="shared" si="220"/>
        <v/>
      </c>
      <c r="CD177" s="683" t="str">
        <f>IF(CC177="","",VALUE(MID($BZ$5,1+SUM($CC$3:CC176),CC177)))</f>
        <v/>
      </c>
      <c r="CE177"/>
      <c r="CF177" t="str">
        <f>IF(CD177="","",MID($BZ$4,1+SUM($CD$3:CD176),CD177))</f>
        <v/>
      </c>
    </row>
    <row r="178" spans="3:84" ht="15">
      <c r="BP178" s="485" t="e">
        <f ca="1">IF(OR(DB_LOAD!AW177="USD",DB_LOAD!AW177='Refi-Annual Review'!$A$3,ISBLANK(DB_LOAD!AW177)),0,1)</f>
        <v>#NAME?</v>
      </c>
      <c r="BQ178" t="str">
        <f>(IF(ISBLANK(DB_LOAD!AR177),"",DB_LOAD!AR177))</f>
        <v/>
      </c>
      <c r="BR178" t="str">
        <f t="shared" ref="BR178:BR241" si="221">IF(LEN(BQ178)&gt;0,LEN(BQ178),"")</f>
        <v/>
      </c>
      <c r="BS178" t="str">
        <f t="shared" si="215"/>
        <v/>
      </c>
      <c r="BT178" t="str">
        <f t="shared" si="216"/>
        <v>5500000250000016064001572600</v>
      </c>
      <c r="BU178" t="str">
        <f t="shared" ref="BU178:BU241" si="222">IF(LEN(BS178)&gt;0,LEN(BS178),"")</f>
        <v/>
      </c>
      <c r="BV178" t="str">
        <f t="shared" si="217"/>
        <v>7777</v>
      </c>
      <c r="BW178" t="str">
        <f t="shared" ref="BW178:BW241" si="223">IF(LEN(BU178)&gt;0,LEN(BU178),"")</f>
        <v/>
      </c>
      <c r="BX178" t="str">
        <f t="shared" si="218"/>
        <v>1111</v>
      </c>
      <c r="CB178" s="683" t="str">
        <f t="shared" si="219"/>
        <v/>
      </c>
      <c r="CC178" s="683" t="str">
        <f t="shared" ref="CC178:CC241" si="224">IF(CB178="","",VALUE(MID($BZ$6,CB178,1)))</f>
        <v/>
      </c>
      <c r="CD178" s="683" t="str">
        <f>IF(CC178="","",VALUE(MID($BZ$5,1+SUM($CC$3:CC177),CC178)))</f>
        <v/>
      </c>
      <c r="CE178"/>
      <c r="CF178" t="str">
        <f>IF(CD178="","",MID($BZ$4,1+SUM($CD$3:CD177),CD178))</f>
        <v/>
      </c>
    </row>
    <row r="179" spans="3:84" ht="15">
      <c r="AK179" s="485">
        <f ca="1">AK7</f>
        <v>-3</v>
      </c>
      <c r="AL179" s="485">
        <f ca="1">AL7</f>
        <v>-2</v>
      </c>
      <c r="AM179" s="485">
        <f ca="1">AM7</f>
        <v>-1</v>
      </c>
      <c r="AN179" s="485">
        <f ca="1">AN7</f>
        <v>0</v>
      </c>
      <c r="BP179" s="485" t="e">
        <f ca="1">IF(OR(DB_LOAD!AW178="USD",DB_LOAD!AW178='Refi-Annual Review'!$A$3,ISBLANK(DB_LOAD!AW178)),0,1)</f>
        <v>#NAME?</v>
      </c>
      <c r="BQ179" t="str">
        <f>(IF(ISBLANK(DB_LOAD!AR178),"",DB_LOAD!AR178))</f>
        <v/>
      </c>
      <c r="BR179" t="str">
        <f t="shared" si="221"/>
        <v/>
      </c>
      <c r="BS179" t="str">
        <f t="shared" ref="BS179:BS242" si="225">IF(AND(BQ179=BQ178,BR179=BR178,BQ179&lt;&gt;""),"",IF(BQ179="","",BQ179))</f>
        <v/>
      </c>
      <c r="BT179" t="str">
        <f t="shared" ref="BT179:BT242" si="226">BT178&amp;BS179</f>
        <v>5500000250000016064001572600</v>
      </c>
      <c r="BU179" t="str">
        <f t="shared" si="222"/>
        <v/>
      </c>
      <c r="BV179" t="str">
        <f t="shared" ref="BV179:BV242" si="227">BV178&amp;BU179</f>
        <v>7777</v>
      </c>
      <c r="BW179" t="str">
        <f t="shared" si="223"/>
        <v/>
      </c>
      <c r="BX179" t="str">
        <f t="shared" ref="BX179:BX242" si="228">BX178&amp;BW179</f>
        <v>1111</v>
      </c>
      <c r="CB179" s="683" t="str">
        <f t="shared" ref="CB179:CB242" si="229">IF(CB178&lt;$BZ$3,CB178+1,"")</f>
        <v/>
      </c>
      <c r="CC179" s="683" t="str">
        <f t="shared" si="224"/>
        <v/>
      </c>
      <c r="CD179" s="683" t="str">
        <f>IF(CC179="","",VALUE(MID($BZ$5,1+SUM($CC$3:CC178),CC179)))</f>
        <v/>
      </c>
      <c r="CE179"/>
      <c r="CF179" t="str">
        <f>IF(CD179="","",MID($BZ$4,1+SUM($CD$3:CD178),CD179))</f>
        <v/>
      </c>
    </row>
    <row r="180" spans="3:84" ht="15">
      <c r="D180" s="485" t="s">
        <v>568</v>
      </c>
      <c r="Q180" s="486" t="e">
        <f ca="1">AGGREGATED_DATA!AL31/Q4</f>
        <v>#DIV/0!</v>
      </c>
      <c r="R180" s="450"/>
      <c r="AK180" s="464" t="e">
        <f ca="1">IFERROR(HLOOKUP(AK$1,AGGREGATED_DATA!$C$1:$AL$44,ROW(AGGREGATED_DATA!$B31),FALSE),AVERAGE(AK95,AJ95))/G$4</f>
        <v>#N/A</v>
      </c>
      <c r="AL180" s="464" t="e">
        <f ca="1">IFERROR(HLOOKUP(AL$1,AGGREGATED_DATA!$C$1:$AL$44,ROW(AGGREGATED_DATA!$B31),FALSE),AVERAGE(AL95,AK95))/H$4</f>
        <v>#N/A</v>
      </c>
      <c r="AM180" s="464" t="e">
        <f ca="1">IFERROR(HLOOKUP(AM$1,AGGREGATED_DATA!$C$1:$AL$44,ROW(AGGREGATED_DATA!$B31),FALSE),AVERAGE(AM95,AL95))/I$4</f>
        <v>#N/A</v>
      </c>
      <c r="AN180" s="464" t="e">
        <f ca="1">IFERROR(HLOOKUP(AN$1,AGGREGATED_DATA!$C$1:$AL$44,ROW(AGGREGATED_DATA!$B31),FALSE),AVERAGE(AN95,AM95))/J$4</f>
        <v>#N/A</v>
      </c>
      <c r="BP180" s="485" t="e">
        <f ca="1">IF(OR(DB_LOAD!AW179="USD",DB_LOAD!AW179='Refi-Annual Review'!$A$3,ISBLANK(DB_LOAD!AW179)),0,1)</f>
        <v>#NAME?</v>
      </c>
      <c r="BQ180" t="str">
        <f>(IF(ISBLANK(DB_LOAD!AR179),"",DB_LOAD!AR179))</f>
        <v/>
      </c>
      <c r="BR180" t="str">
        <f t="shared" si="221"/>
        <v/>
      </c>
      <c r="BS180" t="str">
        <f t="shared" si="225"/>
        <v/>
      </c>
      <c r="BT180" t="str">
        <f t="shared" si="226"/>
        <v>5500000250000016064001572600</v>
      </c>
      <c r="BU180" t="str">
        <f t="shared" si="222"/>
        <v/>
      </c>
      <c r="BV180" t="str">
        <f t="shared" si="227"/>
        <v>7777</v>
      </c>
      <c r="BW180" t="str">
        <f t="shared" si="223"/>
        <v/>
      </c>
      <c r="BX180" t="str">
        <f t="shared" si="228"/>
        <v>1111</v>
      </c>
      <c r="CB180" s="683" t="str">
        <f t="shared" si="229"/>
        <v/>
      </c>
      <c r="CC180" s="683" t="str">
        <f t="shared" si="224"/>
        <v/>
      </c>
      <c r="CD180" s="683" t="str">
        <f>IF(CC180="","",VALUE(MID($BZ$5,1+SUM($CC$3:CC179),CC180)))</f>
        <v/>
      </c>
      <c r="CE180"/>
      <c r="CF180" t="str">
        <f>IF(CD180="","",MID($BZ$4,1+SUM($CD$3:CD179),CD180))</f>
        <v/>
      </c>
    </row>
    <row r="181" spans="3:84" ht="15">
      <c r="D181" s="485" t="s">
        <v>569</v>
      </c>
      <c r="Q181" s="486" t="e">
        <f ca="1">AGGREGATED_DATA!AL32/Q4</f>
        <v>#DIV/0!</v>
      </c>
      <c r="R181" s="450"/>
      <c r="AK181" s="464" t="e">
        <f ca="1">IFERROR(HLOOKUP(AK$1,AGGREGATED_DATA!$C$1:$AL$44,ROW(AGGREGATED_DATA!$B32),FALSE),AVERAGE(AK101,AJ101))/G$4</f>
        <v>#N/A</v>
      </c>
      <c r="AL181" s="464" t="e">
        <f ca="1">IFERROR(HLOOKUP(AL$1,AGGREGATED_DATA!$C$1:$AL$44,ROW(AGGREGATED_DATA!$B32),FALSE),AVERAGE(AL101,AK101))/H$4</f>
        <v>#N/A</v>
      </c>
      <c r="AM181" s="464" t="e">
        <f ca="1">IFERROR(HLOOKUP(AM$1,AGGREGATED_DATA!$C$1:$AL$44,ROW(AGGREGATED_DATA!$B32),FALSE),AVERAGE(AM101,AL101))/I$4</f>
        <v>#N/A</v>
      </c>
      <c r="AN181" s="464" t="e">
        <f ca="1">IFERROR(HLOOKUP(AN$1,AGGREGATED_DATA!$C$1:$AL$44,ROW(AGGREGATED_DATA!$B32),FALSE),AVERAGE(AN101,AM101))/J$4</f>
        <v>#N/A</v>
      </c>
      <c r="BP181" s="485" t="e">
        <f ca="1">IF(OR(DB_LOAD!AW180="USD",DB_LOAD!AW180='Refi-Annual Review'!$A$3,ISBLANK(DB_LOAD!AW180)),0,1)</f>
        <v>#NAME?</v>
      </c>
      <c r="BQ181" t="str">
        <f>(IF(ISBLANK(DB_LOAD!AR180),"",DB_LOAD!AR180))</f>
        <v/>
      </c>
      <c r="BR181" t="str">
        <f t="shared" si="221"/>
        <v/>
      </c>
      <c r="BS181" t="str">
        <f t="shared" si="225"/>
        <v/>
      </c>
      <c r="BT181" t="str">
        <f t="shared" si="226"/>
        <v>5500000250000016064001572600</v>
      </c>
      <c r="BU181" t="str">
        <f t="shared" si="222"/>
        <v/>
      </c>
      <c r="BV181" t="str">
        <f t="shared" si="227"/>
        <v>7777</v>
      </c>
      <c r="BW181" t="str">
        <f t="shared" si="223"/>
        <v/>
      </c>
      <c r="BX181" t="str">
        <f t="shared" si="228"/>
        <v>1111</v>
      </c>
      <c r="CB181" s="683" t="str">
        <f t="shared" si="229"/>
        <v/>
      </c>
      <c r="CC181" s="683" t="str">
        <f t="shared" si="224"/>
        <v/>
      </c>
      <c r="CD181" s="683" t="str">
        <f>IF(CC181="","",VALUE(MID($BZ$5,1+SUM($CC$3:CC180),CC181)))</f>
        <v/>
      </c>
      <c r="CE181"/>
      <c r="CF181" t="str">
        <f>IF(CD181="","",MID($BZ$4,1+SUM($CD$3:CD180),CD181))</f>
        <v/>
      </c>
    </row>
    <row r="182" spans="3:84" ht="15">
      <c r="D182" s="485" t="s">
        <v>570</v>
      </c>
      <c r="Q182" s="486" t="e">
        <f ca="1">AGGREGATED_DATA!AL33/Q4</f>
        <v>#DIV/0!</v>
      </c>
      <c r="R182" s="450"/>
      <c r="AK182" s="464" t="e">
        <f ca="1">IFERROR(HLOOKUP(AK$1,AGGREGATED_DATA!$C$1:$AL$44,ROW(AGGREGATED_DATA!$B33),FALSE),AVERAGE(AK113,AJ113))/G$4</f>
        <v>#N/A</v>
      </c>
      <c r="AL182" s="464" t="e">
        <f ca="1">IFERROR(HLOOKUP(AL$1,AGGREGATED_DATA!$C$1:$AL$44,ROW(AGGREGATED_DATA!$B33),FALSE),AVERAGE(AL113,AK113))/H$4</f>
        <v>#N/A</v>
      </c>
      <c r="AM182" s="464" t="e">
        <f ca="1">IFERROR(HLOOKUP(AM$1,AGGREGATED_DATA!$C$1:$AL$44,ROW(AGGREGATED_DATA!$B33),FALSE),AVERAGE(AM113,AL113))/I$4</f>
        <v>#N/A</v>
      </c>
      <c r="AN182" s="464" t="e">
        <f ca="1">IFERROR(HLOOKUP(AN$1,AGGREGATED_DATA!$C$1:$AL$44,ROW(AGGREGATED_DATA!$B33),FALSE),AVERAGE(AN113,AM113))/J$4</f>
        <v>#N/A</v>
      </c>
      <c r="BP182" s="485" t="e">
        <f ca="1">IF(OR(DB_LOAD!AW181="USD",DB_LOAD!AW181='Refi-Annual Review'!$A$3,ISBLANK(DB_LOAD!AW181)),0,1)</f>
        <v>#NAME?</v>
      </c>
      <c r="BQ182" t="str">
        <f>(IF(ISBLANK(DB_LOAD!AR181),"",DB_LOAD!AR181))</f>
        <v/>
      </c>
      <c r="BR182" t="str">
        <f t="shared" si="221"/>
        <v/>
      </c>
      <c r="BS182" t="str">
        <f t="shared" si="225"/>
        <v/>
      </c>
      <c r="BT182" t="str">
        <f t="shared" si="226"/>
        <v>5500000250000016064001572600</v>
      </c>
      <c r="BU182" t="str">
        <f t="shared" si="222"/>
        <v/>
      </c>
      <c r="BV182" t="str">
        <f t="shared" si="227"/>
        <v>7777</v>
      </c>
      <c r="BW182" t="str">
        <f t="shared" si="223"/>
        <v/>
      </c>
      <c r="BX182" t="str">
        <f t="shared" si="228"/>
        <v>1111</v>
      </c>
      <c r="CB182" s="683" t="str">
        <f t="shared" si="229"/>
        <v/>
      </c>
      <c r="CC182" s="683" t="str">
        <f t="shared" si="224"/>
        <v/>
      </c>
      <c r="CD182" s="683" t="str">
        <f>IF(CC182="","",VALUE(MID($BZ$5,1+SUM($CC$3:CC181),CC182)))</f>
        <v/>
      </c>
      <c r="CE182"/>
      <c r="CF182" t="str">
        <f>IF(CD182="","",MID($BZ$4,1+SUM($CD$3:CD181),CD182))</f>
        <v/>
      </c>
    </row>
    <row r="183" spans="3:84" ht="15">
      <c r="D183" s="485" t="s">
        <v>571</v>
      </c>
      <c r="Q183" s="486" t="e">
        <f ca="1">AGGREGATED_DATA!AL34/Q4</f>
        <v>#DIV/0!</v>
      </c>
      <c r="R183" s="450"/>
      <c r="AK183" s="464" t="e">
        <f ca="1">IFERROR(HLOOKUP(AK$1,AGGREGATED_DATA!$C$1:$AL$44,ROW(AGGREGATED_DATA!$B34),FALSE),AVERAGE(AK105,AJ105))/G$4</f>
        <v>#N/A</v>
      </c>
      <c r="AL183" s="464" t="e">
        <f ca="1">IFERROR(HLOOKUP(AL$1,AGGREGATED_DATA!$C$1:$AL$44,ROW(AGGREGATED_DATA!$B34),FALSE),AVERAGE(AL105,AK105))/H$4</f>
        <v>#N/A</v>
      </c>
      <c r="AM183" s="464" t="e">
        <f ca="1">IFERROR(HLOOKUP(AM$1,AGGREGATED_DATA!$C$1:$AL$44,ROW(AGGREGATED_DATA!$B34),FALSE),AVERAGE(AM105,AL105))/I$4</f>
        <v>#N/A</v>
      </c>
      <c r="AN183" s="464" t="e">
        <f ca="1">IFERROR(HLOOKUP(AN$1,AGGREGATED_DATA!$C$1:$AL$44,ROW(AGGREGATED_DATA!$B34),FALSE),AVERAGE(AN105,AM105))/J$4</f>
        <v>#N/A</v>
      </c>
      <c r="BP183" s="485" t="e">
        <f ca="1">IF(OR(DB_LOAD!AW182="USD",DB_LOAD!AW182='Refi-Annual Review'!$A$3,ISBLANK(DB_LOAD!AW182)),0,1)</f>
        <v>#NAME?</v>
      </c>
      <c r="BQ183" t="str">
        <f>(IF(ISBLANK(DB_LOAD!AR182),"",DB_LOAD!AR182))</f>
        <v/>
      </c>
      <c r="BR183" t="str">
        <f t="shared" si="221"/>
        <v/>
      </c>
      <c r="BS183" t="str">
        <f t="shared" si="225"/>
        <v/>
      </c>
      <c r="BT183" t="str">
        <f t="shared" si="226"/>
        <v>5500000250000016064001572600</v>
      </c>
      <c r="BU183" t="str">
        <f t="shared" si="222"/>
        <v/>
      </c>
      <c r="BV183" t="str">
        <f t="shared" si="227"/>
        <v>7777</v>
      </c>
      <c r="BW183" t="str">
        <f t="shared" si="223"/>
        <v/>
      </c>
      <c r="BX183" t="str">
        <f t="shared" si="228"/>
        <v>1111</v>
      </c>
      <c r="CB183" s="683" t="str">
        <f t="shared" si="229"/>
        <v/>
      </c>
      <c r="CC183" s="683" t="str">
        <f t="shared" si="224"/>
        <v/>
      </c>
      <c r="CD183" s="683" t="str">
        <f>IF(CC183="","",VALUE(MID($BZ$5,1+SUM($CC$3:CC182),CC183)))</f>
        <v/>
      </c>
      <c r="CE183"/>
      <c r="CF183" t="str">
        <f>IF(CD183="","",MID($BZ$4,1+SUM($CD$3:CD182),CD183))</f>
        <v/>
      </c>
    </row>
    <row r="184" spans="3:84" ht="15">
      <c r="D184" s="485" t="s">
        <v>573</v>
      </c>
      <c r="Q184" s="494" t="e">
        <f ca="1">AGGREGATED_DATA!AL36/Q3</f>
        <v>#NAME?</v>
      </c>
      <c r="R184" s="450"/>
      <c r="AK184" s="464" t="e">
        <f ca="1">IF(HLOOKUP('Refi-Annual Review'!AK$1,DATA_FORMATTING!$AY$153:$CH$181,ROW(DATA_FORMATTING!AU154)-ROW(DATA_FORMATTING!$AX$153)+1,FALSE)=0,"N/A",HLOOKUP('Refi-Annual Review'!AK$1,DATA_FORMATTING!$AY$153:$CH$181,ROW(DATA_FORMATTING!AU176)-ROW(DATA_FORMATTING!$AX$153)+1,FALSE)/G$5)</f>
        <v>#NUM!</v>
      </c>
      <c r="AL184" s="464" t="e">
        <f ca="1">IF(HLOOKUP('Refi-Annual Review'!AL$1,DATA_FORMATTING!$AY$153:$CH$181,ROW(DATA_FORMATTING!AV154)-ROW(DATA_FORMATTING!$AX$153)+1,FALSE)=0,"N/A",HLOOKUP('Refi-Annual Review'!AL$1,DATA_FORMATTING!$AY$153:$CH$181,ROW(DATA_FORMATTING!AV176)-ROW(DATA_FORMATTING!$AX$153)+1,FALSE)/H$5)</f>
        <v>#NUM!</v>
      </c>
      <c r="AM184" s="464" t="e">
        <f ca="1">IF(HLOOKUP('Refi-Annual Review'!AM$1,DATA_FORMATTING!$AY$153:$CH$181,ROW(DATA_FORMATTING!AW154)-ROW(DATA_FORMATTING!$AX$153)+1,FALSE)=0,"N/A",HLOOKUP('Refi-Annual Review'!AM$1,DATA_FORMATTING!$AY$153:$CH$181,ROW(DATA_FORMATTING!AW176)-ROW(DATA_FORMATTING!$AX$153)+1,FALSE)/I$5)</f>
        <v>#NUM!</v>
      </c>
      <c r="AN184" s="464" t="e">
        <f ca="1">IF(HLOOKUP('Refi-Annual Review'!AN$1,DATA_FORMATTING!$AY$153:$CH$181,ROW(DATA_FORMATTING!AX154)-ROW(DATA_FORMATTING!$AX$153)+1,FALSE)=0,"N/A",HLOOKUP('Refi-Annual Review'!AN$1,DATA_FORMATTING!$AY$153:$CH$181,ROW(DATA_FORMATTING!AX176)-ROW(DATA_FORMATTING!$AX$153)+1,FALSE)/J$5)</f>
        <v>#N/A</v>
      </c>
      <c r="BP184" s="485" t="e">
        <f ca="1">IF(OR(DB_LOAD!AW183="USD",DB_LOAD!AW183='Refi-Annual Review'!$A$3,ISBLANK(DB_LOAD!AW183)),0,1)</f>
        <v>#NAME?</v>
      </c>
      <c r="BQ184" t="str">
        <f>(IF(ISBLANK(DB_LOAD!AR183),"",DB_LOAD!AR183))</f>
        <v/>
      </c>
      <c r="BR184" t="str">
        <f t="shared" si="221"/>
        <v/>
      </c>
      <c r="BS184" t="str">
        <f t="shared" si="225"/>
        <v/>
      </c>
      <c r="BT184" t="str">
        <f t="shared" si="226"/>
        <v>5500000250000016064001572600</v>
      </c>
      <c r="BU184" t="str">
        <f t="shared" si="222"/>
        <v/>
      </c>
      <c r="BV184" t="str">
        <f t="shared" si="227"/>
        <v>7777</v>
      </c>
      <c r="BW184" t="str">
        <f t="shared" si="223"/>
        <v/>
      </c>
      <c r="BX184" t="str">
        <f t="shared" si="228"/>
        <v>1111</v>
      </c>
      <c r="CB184" s="683" t="str">
        <f t="shared" si="229"/>
        <v/>
      </c>
      <c r="CC184" s="683" t="str">
        <f t="shared" si="224"/>
        <v/>
      </c>
      <c r="CD184" s="683" t="str">
        <f>IF(CC184="","",VALUE(MID($BZ$5,1+SUM($CC$3:CC183),CC184)))</f>
        <v/>
      </c>
      <c r="CE184"/>
      <c r="CF184" t="str">
        <f>IF(CD184="","",MID($BZ$4,1+SUM($CD$3:CD183),CD184))</f>
        <v/>
      </c>
    </row>
    <row r="185" spans="3:84" ht="15">
      <c r="D185" s="485" t="s">
        <v>574</v>
      </c>
      <c r="Q185" s="494" t="e">
        <f ca="1">AGGREGATED_DATA!AL37/Q3</f>
        <v>#NAME?</v>
      </c>
      <c r="R185" s="451"/>
      <c r="BP185" s="485" t="e">
        <f ca="1">IF(OR(DB_LOAD!AW184="USD",DB_LOAD!AW184='Refi-Annual Review'!$A$3,ISBLANK(DB_LOAD!AW184)),0,1)</f>
        <v>#NAME?</v>
      </c>
      <c r="BQ185" t="str">
        <f>(IF(ISBLANK(DB_LOAD!AR184),"",DB_LOAD!AR184))</f>
        <v/>
      </c>
      <c r="BR185" t="str">
        <f t="shared" si="221"/>
        <v/>
      </c>
      <c r="BS185" t="str">
        <f t="shared" si="225"/>
        <v/>
      </c>
      <c r="BT185" t="str">
        <f t="shared" si="226"/>
        <v>5500000250000016064001572600</v>
      </c>
      <c r="BU185" t="str">
        <f t="shared" si="222"/>
        <v/>
      </c>
      <c r="BV185" t="str">
        <f t="shared" si="227"/>
        <v>7777</v>
      </c>
      <c r="BW185" t="str">
        <f t="shared" si="223"/>
        <v/>
      </c>
      <c r="BX185" t="str">
        <f t="shared" si="228"/>
        <v>1111</v>
      </c>
      <c r="CB185" s="683" t="str">
        <f t="shared" si="229"/>
        <v/>
      </c>
      <c r="CC185" s="683" t="str">
        <f t="shared" si="224"/>
        <v/>
      </c>
      <c r="CD185" s="683" t="str">
        <f>IF(CC185="","",VALUE(MID($BZ$5,1+SUM($CC$3:CC184),CC185)))</f>
        <v/>
      </c>
      <c r="CE185"/>
      <c r="CF185" t="str">
        <f>IF(CD185="","",MID($BZ$4,1+SUM($CD$3:CD184),CD185))</f>
        <v/>
      </c>
    </row>
    <row r="186" spans="3:84" ht="15">
      <c r="D186" s="485" t="s">
        <v>575</v>
      </c>
      <c r="Q186" s="494" t="e">
        <f ca="1">AGGREGATED_DATA!AL38/Q3</f>
        <v>#NAME?</v>
      </c>
      <c r="R186" s="451"/>
      <c r="BP186" s="485" t="e">
        <f ca="1">IF(OR(DB_LOAD!AW185="USD",DB_LOAD!AW185='Refi-Annual Review'!$A$3,ISBLANK(DB_LOAD!AW185)),0,1)</f>
        <v>#NAME?</v>
      </c>
      <c r="BQ186" t="str">
        <f>(IF(ISBLANK(DB_LOAD!AR185),"",DB_LOAD!AR185))</f>
        <v/>
      </c>
      <c r="BR186" t="str">
        <f t="shared" si="221"/>
        <v/>
      </c>
      <c r="BS186" t="str">
        <f t="shared" si="225"/>
        <v/>
      </c>
      <c r="BT186" t="str">
        <f t="shared" si="226"/>
        <v>5500000250000016064001572600</v>
      </c>
      <c r="BU186" t="str">
        <f t="shared" si="222"/>
        <v/>
      </c>
      <c r="BV186" t="str">
        <f t="shared" si="227"/>
        <v>7777</v>
      </c>
      <c r="BW186" t="str">
        <f t="shared" si="223"/>
        <v/>
      </c>
      <c r="BX186" t="str">
        <f t="shared" si="228"/>
        <v>1111</v>
      </c>
      <c r="CB186" s="683" t="str">
        <f t="shared" si="229"/>
        <v/>
      </c>
      <c r="CC186" s="683" t="str">
        <f t="shared" si="224"/>
        <v/>
      </c>
      <c r="CD186" s="683" t="str">
        <f>IF(CC186="","",VALUE(MID($BZ$5,1+SUM($CC$3:CC185),CC186)))</f>
        <v/>
      </c>
      <c r="CE186"/>
      <c r="CF186" t="str">
        <f>IF(CD186="","",MID($BZ$4,1+SUM($CD$3:CD185),CD186))</f>
        <v/>
      </c>
    </row>
    <row r="187" spans="3:84" ht="15">
      <c r="D187" s="485" t="s">
        <v>576</v>
      </c>
      <c r="Q187" s="494" t="e">
        <f ca="1">AGGREGATED_DATA!AL39/Q3</f>
        <v>#NAME?</v>
      </c>
      <c r="R187" s="451"/>
      <c r="BP187" s="485" t="e">
        <f ca="1">IF(OR(DB_LOAD!AW186="USD",DB_LOAD!AW186='Refi-Annual Review'!$A$3,ISBLANK(DB_LOAD!AW186)),0,1)</f>
        <v>#NAME?</v>
      </c>
      <c r="BQ187" t="str">
        <f>(IF(ISBLANK(DB_LOAD!AR186),"",DB_LOAD!AR186))</f>
        <v/>
      </c>
      <c r="BR187" t="str">
        <f t="shared" si="221"/>
        <v/>
      </c>
      <c r="BS187" t="str">
        <f t="shared" si="225"/>
        <v/>
      </c>
      <c r="BT187" t="str">
        <f t="shared" si="226"/>
        <v>5500000250000016064001572600</v>
      </c>
      <c r="BU187" t="str">
        <f t="shared" si="222"/>
        <v/>
      </c>
      <c r="BV187" t="str">
        <f t="shared" si="227"/>
        <v>7777</v>
      </c>
      <c r="BW187" t="str">
        <f t="shared" si="223"/>
        <v/>
      </c>
      <c r="BX187" t="str">
        <f t="shared" si="228"/>
        <v>1111</v>
      </c>
      <c r="CB187" s="683" t="str">
        <f t="shared" si="229"/>
        <v/>
      </c>
      <c r="CC187" s="683" t="str">
        <f t="shared" si="224"/>
        <v/>
      </c>
      <c r="CD187" s="683" t="str">
        <f>IF(CC187="","",VALUE(MID($BZ$5,1+SUM($CC$3:CC186),CC187)))</f>
        <v/>
      </c>
      <c r="CE187"/>
      <c r="CF187" t="str">
        <f>IF(CD187="","",MID($BZ$4,1+SUM($CD$3:CD186),CD187))</f>
        <v/>
      </c>
    </row>
    <row r="188" spans="3:84" ht="15">
      <c r="D188" s="485" t="s">
        <v>651</v>
      </c>
      <c r="Q188" s="486" t="e">
        <f ca="1">AGGREGATED_DATA!AL51/Q4</f>
        <v>#DIV/0!</v>
      </c>
      <c r="R188" s="451"/>
      <c r="AK188" s="464" t="e">
        <f ca="1">IFERROR(HLOOKUP(AK$1,AGGREGATED_DATA!$C$1:$AL$51,ROW(AGGREGATED_DATA!$B51),FALSE),AVERAGE(AK104,AJ104))/G$4</f>
        <v>#N/A</v>
      </c>
      <c r="AL188" s="464" t="e">
        <f ca="1">IFERROR(HLOOKUP(AL$1,AGGREGATED_DATA!$C$1:$AL$51,ROW(AGGREGATED_DATA!$B51),FALSE),AVERAGE(AL104,AK104))/H$4</f>
        <v>#N/A</v>
      </c>
      <c r="AM188" s="464" t="e">
        <f ca="1">IFERROR(HLOOKUP(AM$1,AGGREGATED_DATA!$C$1:$AL$51,ROW(AGGREGATED_DATA!$B51),FALSE),AVERAGE(AM104,AL104))/I$4</f>
        <v>#N/A</v>
      </c>
      <c r="AN188" s="464" t="e">
        <f ca="1">IFERROR(HLOOKUP(AN$1,AGGREGATED_DATA!$C$1:$AL$51,ROW(AGGREGATED_DATA!$B51),FALSE),AVERAGE(AN104,AM104))/J$4</f>
        <v>#N/A</v>
      </c>
      <c r="BP188" s="485" t="e">
        <f ca="1">IF(OR(DB_LOAD!AW187="USD",DB_LOAD!AW187='Refi-Annual Review'!$A$3,ISBLANK(DB_LOAD!AW187)),0,1)</f>
        <v>#NAME?</v>
      </c>
      <c r="BQ188" t="str">
        <f>(IF(ISBLANK(DB_LOAD!AR187),"",DB_LOAD!AR187))</f>
        <v/>
      </c>
      <c r="BR188" t="str">
        <f t="shared" si="221"/>
        <v/>
      </c>
      <c r="BS188" t="str">
        <f t="shared" si="225"/>
        <v/>
      </c>
      <c r="BT188" t="str">
        <f t="shared" si="226"/>
        <v>5500000250000016064001572600</v>
      </c>
      <c r="BU188" t="str">
        <f t="shared" si="222"/>
        <v/>
      </c>
      <c r="BV188" t="str">
        <f t="shared" si="227"/>
        <v>7777</v>
      </c>
      <c r="BW188" t="str">
        <f t="shared" si="223"/>
        <v/>
      </c>
      <c r="BX188" t="str">
        <f t="shared" si="228"/>
        <v>1111</v>
      </c>
      <c r="CB188" s="683" t="str">
        <f t="shared" si="229"/>
        <v/>
      </c>
      <c r="CC188" s="683" t="str">
        <f t="shared" si="224"/>
        <v/>
      </c>
      <c r="CD188" s="683" t="str">
        <f>IF(CC188="","",VALUE(MID($BZ$5,1+SUM($CC$3:CC187),CC188)))</f>
        <v/>
      </c>
      <c r="CE188"/>
      <c r="CF188" t="str">
        <f>IF(CD188="","",MID($BZ$4,1+SUM($CD$3:CD187),CD188))</f>
        <v/>
      </c>
    </row>
    <row r="189" spans="3:84" ht="15">
      <c r="BP189" s="485" t="e">
        <f ca="1">IF(OR(DB_LOAD!AW188="USD",DB_LOAD!AW188='Refi-Annual Review'!$A$3,ISBLANK(DB_LOAD!AW188)),0,1)</f>
        <v>#NAME?</v>
      </c>
      <c r="BQ189" t="str">
        <f>(IF(ISBLANK(DB_LOAD!AR188),"",DB_LOAD!AR188))</f>
        <v/>
      </c>
      <c r="BR189" t="str">
        <f t="shared" si="221"/>
        <v/>
      </c>
      <c r="BS189" t="str">
        <f t="shared" si="225"/>
        <v/>
      </c>
      <c r="BT189" t="str">
        <f t="shared" si="226"/>
        <v>5500000250000016064001572600</v>
      </c>
      <c r="BU189" t="str">
        <f t="shared" si="222"/>
        <v/>
      </c>
      <c r="BV189" t="str">
        <f t="shared" si="227"/>
        <v>7777</v>
      </c>
      <c r="BW189" t="str">
        <f t="shared" si="223"/>
        <v/>
      </c>
      <c r="BX189" t="str">
        <f t="shared" si="228"/>
        <v>1111</v>
      </c>
      <c r="CB189" s="683" t="str">
        <f t="shared" si="229"/>
        <v/>
      </c>
      <c r="CC189" s="683" t="str">
        <f t="shared" si="224"/>
        <v/>
      </c>
      <c r="CD189" s="683" t="str">
        <f>IF(CC189="","",VALUE(MID($BZ$5,1+SUM($CC$3:CC188),CC189)))</f>
        <v/>
      </c>
      <c r="CE189"/>
      <c r="CF189" t="str">
        <f>IF(CD189="","",MID($BZ$4,1+SUM($CD$3:CD188),CD189))</f>
        <v/>
      </c>
    </row>
    <row r="190" spans="3:84" ht="15">
      <c r="BP190" s="485" t="e">
        <f ca="1">IF(OR(DB_LOAD!AW189="USD",DB_LOAD!AW189='Refi-Annual Review'!$A$3,ISBLANK(DB_LOAD!AW189)),0,1)</f>
        <v>#NAME?</v>
      </c>
      <c r="BQ190" t="str">
        <f>(IF(ISBLANK(DB_LOAD!AR189),"",DB_LOAD!AR189))</f>
        <v/>
      </c>
      <c r="BR190" t="str">
        <f t="shared" si="221"/>
        <v/>
      </c>
      <c r="BS190" t="str">
        <f t="shared" si="225"/>
        <v/>
      </c>
      <c r="BT190" t="str">
        <f t="shared" si="226"/>
        <v>5500000250000016064001572600</v>
      </c>
      <c r="BU190" t="str">
        <f t="shared" si="222"/>
        <v/>
      </c>
      <c r="BV190" t="str">
        <f t="shared" si="227"/>
        <v>7777</v>
      </c>
      <c r="BW190" t="str">
        <f t="shared" si="223"/>
        <v/>
      </c>
      <c r="BX190" t="str">
        <f t="shared" si="228"/>
        <v>1111</v>
      </c>
      <c r="CB190" s="683" t="str">
        <f t="shared" si="229"/>
        <v/>
      </c>
      <c r="CC190" s="683" t="str">
        <f t="shared" si="224"/>
        <v/>
      </c>
      <c r="CD190" s="683" t="str">
        <f>IF(CC190="","",VALUE(MID($BZ$5,1+SUM($CC$3:CC189),CC190)))</f>
        <v/>
      </c>
      <c r="CE190"/>
      <c r="CF190" t="str">
        <f>IF(CD190="","",MID($BZ$4,1+SUM($CD$3:CD189),CD190))</f>
        <v/>
      </c>
    </row>
    <row r="191" spans="3:84" ht="15">
      <c r="BP191" s="485" t="e">
        <f ca="1">IF(OR(DB_LOAD!AW190="USD",DB_LOAD!AW190='Refi-Annual Review'!$A$3,ISBLANK(DB_LOAD!AW190)),0,1)</f>
        <v>#NAME?</v>
      </c>
      <c r="BQ191" t="str">
        <f>(IF(ISBLANK(DB_LOAD!AR190),"",DB_LOAD!AR190))</f>
        <v/>
      </c>
      <c r="BR191" t="str">
        <f t="shared" si="221"/>
        <v/>
      </c>
      <c r="BS191" t="str">
        <f t="shared" si="225"/>
        <v/>
      </c>
      <c r="BT191" t="str">
        <f t="shared" si="226"/>
        <v>5500000250000016064001572600</v>
      </c>
      <c r="BU191" t="str">
        <f t="shared" si="222"/>
        <v/>
      </c>
      <c r="BV191" t="str">
        <f t="shared" si="227"/>
        <v>7777</v>
      </c>
      <c r="BW191" t="str">
        <f t="shared" si="223"/>
        <v/>
      </c>
      <c r="BX191" t="str">
        <f t="shared" si="228"/>
        <v>1111</v>
      </c>
      <c r="CB191" s="683" t="str">
        <f t="shared" si="229"/>
        <v/>
      </c>
      <c r="CC191" s="683" t="str">
        <f t="shared" si="224"/>
        <v/>
      </c>
      <c r="CD191" s="683" t="str">
        <f>IF(CC191="","",VALUE(MID($BZ$5,1+SUM($CC$3:CC190),CC191)))</f>
        <v/>
      </c>
      <c r="CE191"/>
      <c r="CF191" t="str">
        <f>IF(CD191="","",MID($BZ$4,1+SUM($CD$3:CD190),CD191))</f>
        <v/>
      </c>
    </row>
    <row r="192" spans="3:84" ht="15">
      <c r="BP192" s="485" t="e">
        <f ca="1">IF(OR(DB_LOAD!AW191="USD",DB_LOAD!AW191='Refi-Annual Review'!$A$3,ISBLANK(DB_LOAD!AW191)),0,1)</f>
        <v>#NAME?</v>
      </c>
      <c r="BQ192" t="str">
        <f>(IF(ISBLANK(DB_LOAD!AR191),"",DB_LOAD!AR191))</f>
        <v/>
      </c>
      <c r="BR192" t="str">
        <f t="shared" si="221"/>
        <v/>
      </c>
      <c r="BS192" t="str">
        <f t="shared" si="225"/>
        <v/>
      </c>
      <c r="BT192" t="str">
        <f t="shared" si="226"/>
        <v>5500000250000016064001572600</v>
      </c>
      <c r="BU192" t="str">
        <f t="shared" si="222"/>
        <v/>
      </c>
      <c r="BV192" t="str">
        <f t="shared" si="227"/>
        <v>7777</v>
      </c>
      <c r="BW192" t="str">
        <f t="shared" si="223"/>
        <v/>
      </c>
      <c r="BX192" t="str">
        <f t="shared" si="228"/>
        <v>1111</v>
      </c>
      <c r="CB192" s="683" t="str">
        <f t="shared" si="229"/>
        <v/>
      </c>
      <c r="CC192" s="683" t="str">
        <f t="shared" si="224"/>
        <v/>
      </c>
      <c r="CD192" s="683" t="str">
        <f>IF(CC192="","",VALUE(MID($BZ$5,1+SUM($CC$3:CC191),CC192)))</f>
        <v/>
      </c>
      <c r="CE192"/>
      <c r="CF192" t="str">
        <f>IF(CD192="","",MID($BZ$4,1+SUM($CD$3:CD191),CD192))</f>
        <v/>
      </c>
    </row>
    <row r="193" spans="68:84" ht="15">
      <c r="BP193" s="485" t="e">
        <f ca="1">IF(OR(DB_LOAD!AW192="USD",DB_LOAD!AW192='Refi-Annual Review'!$A$3,ISBLANK(DB_LOAD!AW192)),0,1)</f>
        <v>#NAME?</v>
      </c>
      <c r="BQ193" t="str">
        <f>(IF(ISBLANK(DB_LOAD!AR192),"",DB_LOAD!AR192))</f>
        <v/>
      </c>
      <c r="BR193" t="str">
        <f t="shared" si="221"/>
        <v/>
      </c>
      <c r="BS193" t="str">
        <f t="shared" si="225"/>
        <v/>
      </c>
      <c r="BT193" t="str">
        <f t="shared" si="226"/>
        <v>5500000250000016064001572600</v>
      </c>
      <c r="BU193" t="str">
        <f t="shared" si="222"/>
        <v/>
      </c>
      <c r="BV193" t="str">
        <f t="shared" si="227"/>
        <v>7777</v>
      </c>
      <c r="BW193" t="str">
        <f t="shared" si="223"/>
        <v/>
      </c>
      <c r="BX193" t="str">
        <f t="shared" si="228"/>
        <v>1111</v>
      </c>
      <c r="CB193" s="683" t="str">
        <f t="shared" si="229"/>
        <v/>
      </c>
      <c r="CC193" s="683" t="str">
        <f t="shared" si="224"/>
        <v/>
      </c>
      <c r="CD193" s="683" t="str">
        <f>IF(CC193="","",VALUE(MID($BZ$5,1+SUM($CC$3:CC192),CC193)))</f>
        <v/>
      </c>
      <c r="CE193"/>
      <c r="CF193" t="str">
        <f>IF(CD193="","",MID($BZ$4,1+SUM($CD$3:CD192),CD193))</f>
        <v/>
      </c>
    </row>
    <row r="194" spans="68:84" ht="15">
      <c r="BP194" s="485" t="e">
        <f ca="1">IF(OR(DB_LOAD!AW193="USD",DB_LOAD!AW193='Refi-Annual Review'!$A$3,ISBLANK(DB_LOAD!AW193)),0,1)</f>
        <v>#NAME?</v>
      </c>
      <c r="BQ194" t="str">
        <f>(IF(ISBLANK(DB_LOAD!AR193),"",DB_LOAD!AR193))</f>
        <v/>
      </c>
      <c r="BR194" t="str">
        <f t="shared" si="221"/>
        <v/>
      </c>
      <c r="BS194" t="str">
        <f t="shared" si="225"/>
        <v/>
      </c>
      <c r="BT194" t="str">
        <f t="shared" si="226"/>
        <v>5500000250000016064001572600</v>
      </c>
      <c r="BU194" t="str">
        <f t="shared" si="222"/>
        <v/>
      </c>
      <c r="BV194" t="str">
        <f t="shared" si="227"/>
        <v>7777</v>
      </c>
      <c r="BW194" t="str">
        <f t="shared" si="223"/>
        <v/>
      </c>
      <c r="BX194" t="str">
        <f t="shared" si="228"/>
        <v>1111</v>
      </c>
      <c r="CB194" s="683" t="str">
        <f t="shared" si="229"/>
        <v/>
      </c>
      <c r="CC194" s="683" t="str">
        <f t="shared" si="224"/>
        <v/>
      </c>
      <c r="CD194" s="683" t="str">
        <f>IF(CC194="","",VALUE(MID($BZ$5,1+SUM($CC$3:CC193),CC194)))</f>
        <v/>
      </c>
      <c r="CE194"/>
      <c r="CF194" t="str">
        <f>IF(CD194="","",MID($BZ$4,1+SUM($CD$3:CD193),CD194))</f>
        <v/>
      </c>
    </row>
    <row r="195" spans="68:84" ht="15">
      <c r="BP195" s="485" t="e">
        <f ca="1">IF(OR(DB_LOAD!AW194="USD",DB_LOAD!AW194='Refi-Annual Review'!$A$3,ISBLANK(DB_LOAD!AW194)),0,1)</f>
        <v>#NAME?</v>
      </c>
      <c r="BQ195" t="str">
        <f>(IF(ISBLANK(DB_LOAD!AR194),"",DB_LOAD!AR194))</f>
        <v/>
      </c>
      <c r="BR195" t="str">
        <f t="shared" si="221"/>
        <v/>
      </c>
      <c r="BS195" t="str">
        <f t="shared" si="225"/>
        <v/>
      </c>
      <c r="BT195" t="str">
        <f t="shared" si="226"/>
        <v>5500000250000016064001572600</v>
      </c>
      <c r="BU195" t="str">
        <f t="shared" si="222"/>
        <v/>
      </c>
      <c r="BV195" t="str">
        <f t="shared" si="227"/>
        <v>7777</v>
      </c>
      <c r="BW195" t="str">
        <f t="shared" si="223"/>
        <v/>
      </c>
      <c r="BX195" t="str">
        <f t="shared" si="228"/>
        <v>1111</v>
      </c>
      <c r="CB195" s="683" t="str">
        <f t="shared" si="229"/>
        <v/>
      </c>
      <c r="CC195" s="683" t="str">
        <f t="shared" si="224"/>
        <v/>
      </c>
      <c r="CD195" s="683" t="str">
        <f>IF(CC195="","",VALUE(MID($BZ$5,1+SUM($CC$3:CC194),CC195)))</f>
        <v/>
      </c>
      <c r="CE195"/>
      <c r="CF195" t="str">
        <f>IF(CD195="","",MID($BZ$4,1+SUM($CD$3:CD194),CD195))</f>
        <v/>
      </c>
    </row>
    <row r="196" spans="68:84" ht="15">
      <c r="BP196" s="485" t="e">
        <f ca="1">IF(OR(DB_LOAD!AW195="USD",DB_LOAD!AW195='Refi-Annual Review'!$A$3,ISBLANK(DB_LOAD!AW195)),0,1)</f>
        <v>#NAME?</v>
      </c>
      <c r="BQ196" t="str">
        <f>(IF(ISBLANK(DB_LOAD!AR195),"",DB_LOAD!AR195))</f>
        <v/>
      </c>
      <c r="BR196" t="str">
        <f t="shared" si="221"/>
        <v/>
      </c>
      <c r="BS196" t="str">
        <f t="shared" si="225"/>
        <v/>
      </c>
      <c r="BT196" t="str">
        <f t="shared" si="226"/>
        <v>5500000250000016064001572600</v>
      </c>
      <c r="BU196" t="str">
        <f t="shared" si="222"/>
        <v/>
      </c>
      <c r="BV196" t="str">
        <f t="shared" si="227"/>
        <v>7777</v>
      </c>
      <c r="BW196" t="str">
        <f t="shared" si="223"/>
        <v/>
      </c>
      <c r="BX196" t="str">
        <f t="shared" si="228"/>
        <v>1111</v>
      </c>
      <c r="CB196" s="683" t="str">
        <f t="shared" si="229"/>
        <v/>
      </c>
      <c r="CC196" s="683" t="str">
        <f t="shared" si="224"/>
        <v/>
      </c>
      <c r="CD196" s="683" t="str">
        <f>IF(CC196="","",VALUE(MID($BZ$5,1+SUM($CC$3:CC195),CC196)))</f>
        <v/>
      </c>
      <c r="CE196"/>
      <c r="CF196" t="str">
        <f>IF(CD196="","",MID($BZ$4,1+SUM($CD$3:CD195),CD196))</f>
        <v/>
      </c>
    </row>
    <row r="197" spans="68:84" ht="15">
      <c r="BP197" s="485" t="e">
        <f ca="1">IF(OR(DB_LOAD!AW196="USD",DB_LOAD!AW196='Refi-Annual Review'!$A$3,ISBLANK(DB_LOAD!AW196)),0,1)</f>
        <v>#NAME?</v>
      </c>
      <c r="BQ197" t="str">
        <f>(IF(ISBLANK(DB_LOAD!AR196),"",DB_LOAD!AR196))</f>
        <v/>
      </c>
      <c r="BR197" t="str">
        <f t="shared" si="221"/>
        <v/>
      </c>
      <c r="BS197" t="str">
        <f t="shared" si="225"/>
        <v/>
      </c>
      <c r="BT197" t="str">
        <f t="shared" si="226"/>
        <v>5500000250000016064001572600</v>
      </c>
      <c r="BU197" t="str">
        <f t="shared" si="222"/>
        <v/>
      </c>
      <c r="BV197" t="str">
        <f t="shared" si="227"/>
        <v>7777</v>
      </c>
      <c r="BW197" t="str">
        <f t="shared" si="223"/>
        <v/>
      </c>
      <c r="BX197" t="str">
        <f t="shared" si="228"/>
        <v>1111</v>
      </c>
      <c r="CB197" s="683" t="str">
        <f t="shared" si="229"/>
        <v/>
      </c>
      <c r="CC197" s="683" t="str">
        <f t="shared" si="224"/>
        <v/>
      </c>
      <c r="CD197" s="683" t="str">
        <f>IF(CC197="","",VALUE(MID($BZ$5,1+SUM($CC$3:CC196),CC197)))</f>
        <v/>
      </c>
      <c r="CE197"/>
      <c r="CF197" t="str">
        <f>IF(CD197="","",MID($BZ$4,1+SUM($CD$3:CD196),CD197))</f>
        <v/>
      </c>
    </row>
    <row r="198" spans="68:84" ht="15">
      <c r="BP198" s="485" t="e">
        <f ca="1">IF(OR(DB_LOAD!AW197="USD",DB_LOAD!AW197='Refi-Annual Review'!$A$3,ISBLANK(DB_LOAD!AW197)),0,1)</f>
        <v>#NAME?</v>
      </c>
      <c r="BQ198" t="str">
        <f>(IF(ISBLANK(DB_LOAD!AR197),"",DB_LOAD!AR197))</f>
        <v/>
      </c>
      <c r="BR198" t="str">
        <f t="shared" si="221"/>
        <v/>
      </c>
      <c r="BS198" t="str">
        <f t="shared" si="225"/>
        <v/>
      </c>
      <c r="BT198" t="str">
        <f t="shared" si="226"/>
        <v>5500000250000016064001572600</v>
      </c>
      <c r="BU198" t="str">
        <f t="shared" si="222"/>
        <v/>
      </c>
      <c r="BV198" t="str">
        <f t="shared" si="227"/>
        <v>7777</v>
      </c>
      <c r="BW198" t="str">
        <f t="shared" si="223"/>
        <v/>
      </c>
      <c r="BX198" t="str">
        <f t="shared" si="228"/>
        <v>1111</v>
      </c>
      <c r="CB198" s="683" t="str">
        <f t="shared" si="229"/>
        <v/>
      </c>
      <c r="CC198" s="683" t="str">
        <f t="shared" si="224"/>
        <v/>
      </c>
      <c r="CD198" s="683" t="str">
        <f>IF(CC198="","",VALUE(MID($BZ$5,1+SUM($CC$3:CC197),CC198)))</f>
        <v/>
      </c>
      <c r="CE198"/>
      <c r="CF198" t="str">
        <f>IF(CD198="","",MID($BZ$4,1+SUM($CD$3:CD197),CD198))</f>
        <v/>
      </c>
    </row>
    <row r="199" spans="68:84" ht="15">
      <c r="BP199" s="485" t="e">
        <f ca="1">IF(OR(DB_LOAD!AW198="USD",DB_LOAD!AW198='Refi-Annual Review'!$A$3,ISBLANK(DB_LOAD!AW198)),0,1)</f>
        <v>#NAME?</v>
      </c>
      <c r="BQ199" t="str">
        <f>(IF(ISBLANK(DB_LOAD!AR198),"",DB_LOAD!AR198))</f>
        <v/>
      </c>
      <c r="BR199" t="str">
        <f t="shared" si="221"/>
        <v/>
      </c>
      <c r="BS199" t="str">
        <f t="shared" si="225"/>
        <v/>
      </c>
      <c r="BT199" t="str">
        <f t="shared" si="226"/>
        <v>5500000250000016064001572600</v>
      </c>
      <c r="BU199" t="str">
        <f t="shared" si="222"/>
        <v/>
      </c>
      <c r="BV199" t="str">
        <f t="shared" si="227"/>
        <v>7777</v>
      </c>
      <c r="BW199" t="str">
        <f t="shared" si="223"/>
        <v/>
      </c>
      <c r="BX199" t="str">
        <f t="shared" si="228"/>
        <v>1111</v>
      </c>
      <c r="CB199" s="683" t="str">
        <f t="shared" si="229"/>
        <v/>
      </c>
      <c r="CC199" s="683" t="str">
        <f t="shared" si="224"/>
        <v/>
      </c>
      <c r="CD199" s="683" t="str">
        <f>IF(CC199="","",VALUE(MID($BZ$5,1+SUM($CC$3:CC198),CC199)))</f>
        <v/>
      </c>
      <c r="CE199"/>
      <c r="CF199" t="str">
        <f>IF(CD199="","",MID($BZ$4,1+SUM($CD$3:CD198),CD199))</f>
        <v/>
      </c>
    </row>
    <row r="200" spans="68:84" ht="15">
      <c r="BP200" s="485" t="e">
        <f ca="1">IF(OR(DB_LOAD!AW199="USD",DB_LOAD!AW199='Refi-Annual Review'!$A$3,ISBLANK(DB_LOAD!AW199)),0,1)</f>
        <v>#NAME?</v>
      </c>
      <c r="BQ200" t="str">
        <f>(IF(ISBLANK(DB_LOAD!AR199),"",DB_LOAD!AR199))</f>
        <v/>
      </c>
      <c r="BR200" t="str">
        <f t="shared" si="221"/>
        <v/>
      </c>
      <c r="BS200" t="str">
        <f t="shared" si="225"/>
        <v/>
      </c>
      <c r="BT200" t="str">
        <f t="shared" si="226"/>
        <v>5500000250000016064001572600</v>
      </c>
      <c r="BU200" t="str">
        <f t="shared" si="222"/>
        <v/>
      </c>
      <c r="BV200" t="str">
        <f t="shared" si="227"/>
        <v>7777</v>
      </c>
      <c r="BW200" t="str">
        <f t="shared" si="223"/>
        <v/>
      </c>
      <c r="BX200" t="str">
        <f t="shared" si="228"/>
        <v>1111</v>
      </c>
      <c r="CB200" s="683" t="str">
        <f t="shared" si="229"/>
        <v/>
      </c>
      <c r="CC200" s="683" t="str">
        <f t="shared" si="224"/>
        <v/>
      </c>
      <c r="CD200" s="683" t="str">
        <f>IF(CC200="","",VALUE(MID($BZ$5,1+SUM($CC$3:CC199),CC200)))</f>
        <v/>
      </c>
      <c r="CE200"/>
      <c r="CF200" t="str">
        <f>IF(CD200="","",MID($BZ$4,1+SUM($CD$3:CD199),CD200))</f>
        <v/>
      </c>
    </row>
    <row r="201" spans="68:84" ht="15">
      <c r="BP201" s="485" t="e">
        <f ca="1">IF(OR(DB_LOAD!AW200="USD",DB_LOAD!AW200='Refi-Annual Review'!$A$3,ISBLANK(DB_LOAD!AW200)),0,1)</f>
        <v>#NAME?</v>
      </c>
      <c r="BQ201" t="str">
        <f>(IF(ISBLANK(DB_LOAD!AR200),"",DB_LOAD!AR200))</f>
        <v/>
      </c>
      <c r="BR201" t="str">
        <f t="shared" si="221"/>
        <v/>
      </c>
      <c r="BS201" t="str">
        <f t="shared" si="225"/>
        <v/>
      </c>
      <c r="BT201" t="str">
        <f t="shared" si="226"/>
        <v>5500000250000016064001572600</v>
      </c>
      <c r="BU201" t="str">
        <f t="shared" si="222"/>
        <v/>
      </c>
      <c r="BV201" t="str">
        <f t="shared" si="227"/>
        <v>7777</v>
      </c>
      <c r="BW201" t="str">
        <f t="shared" si="223"/>
        <v/>
      </c>
      <c r="BX201" t="str">
        <f t="shared" si="228"/>
        <v>1111</v>
      </c>
      <c r="CB201" s="683" t="str">
        <f t="shared" si="229"/>
        <v/>
      </c>
      <c r="CC201" s="683" t="str">
        <f t="shared" si="224"/>
        <v/>
      </c>
      <c r="CD201" s="683" t="str">
        <f>IF(CC201="","",VALUE(MID($BZ$5,1+SUM($CC$3:CC200),CC201)))</f>
        <v/>
      </c>
      <c r="CE201"/>
      <c r="CF201" t="str">
        <f>IF(CD201="","",MID($BZ$4,1+SUM($CD$3:CD200),CD201))</f>
        <v/>
      </c>
    </row>
    <row r="202" spans="68:84" ht="15">
      <c r="BP202" s="485" t="e">
        <f ca="1">IF(OR(DB_LOAD!AW201="USD",DB_LOAD!AW201='Refi-Annual Review'!$A$3,ISBLANK(DB_LOAD!AW201)),0,1)</f>
        <v>#NAME?</v>
      </c>
      <c r="BQ202" t="str">
        <f>(IF(ISBLANK(DB_LOAD!AR201),"",DB_LOAD!AR201))</f>
        <v/>
      </c>
      <c r="BR202" t="str">
        <f t="shared" si="221"/>
        <v/>
      </c>
      <c r="BS202" t="str">
        <f t="shared" si="225"/>
        <v/>
      </c>
      <c r="BT202" t="str">
        <f t="shared" si="226"/>
        <v>5500000250000016064001572600</v>
      </c>
      <c r="BU202" t="str">
        <f t="shared" si="222"/>
        <v/>
      </c>
      <c r="BV202" t="str">
        <f t="shared" si="227"/>
        <v>7777</v>
      </c>
      <c r="BW202" t="str">
        <f t="shared" si="223"/>
        <v/>
      </c>
      <c r="BX202" t="str">
        <f t="shared" si="228"/>
        <v>1111</v>
      </c>
      <c r="CB202" s="683" t="str">
        <f t="shared" si="229"/>
        <v/>
      </c>
      <c r="CC202" s="683" t="str">
        <f t="shared" si="224"/>
        <v/>
      </c>
      <c r="CD202" s="683" t="str">
        <f>IF(CC202="","",VALUE(MID($BZ$5,1+SUM($CC$3:CC201),CC202)))</f>
        <v/>
      </c>
      <c r="CE202"/>
      <c r="CF202" t="str">
        <f>IF(CD202="","",MID($BZ$4,1+SUM($CD$3:CD201),CD202))</f>
        <v/>
      </c>
    </row>
    <row r="203" spans="68:84" ht="15">
      <c r="BP203" s="485" t="e">
        <f ca="1">IF(OR(DB_LOAD!AW202="USD",DB_LOAD!AW202='Refi-Annual Review'!$A$3,ISBLANK(DB_LOAD!AW202)),0,1)</f>
        <v>#NAME?</v>
      </c>
      <c r="BQ203" t="str">
        <f>(IF(ISBLANK(DB_LOAD!AR202),"",DB_LOAD!AR202))</f>
        <v/>
      </c>
      <c r="BR203" t="str">
        <f t="shared" si="221"/>
        <v/>
      </c>
      <c r="BS203" t="str">
        <f t="shared" si="225"/>
        <v/>
      </c>
      <c r="BT203" t="str">
        <f t="shared" si="226"/>
        <v>5500000250000016064001572600</v>
      </c>
      <c r="BU203" t="str">
        <f t="shared" si="222"/>
        <v/>
      </c>
      <c r="BV203" t="str">
        <f t="shared" si="227"/>
        <v>7777</v>
      </c>
      <c r="BW203" t="str">
        <f t="shared" si="223"/>
        <v/>
      </c>
      <c r="BX203" t="str">
        <f t="shared" si="228"/>
        <v>1111</v>
      </c>
      <c r="CB203" s="683" t="str">
        <f t="shared" si="229"/>
        <v/>
      </c>
      <c r="CC203" s="683" t="str">
        <f t="shared" si="224"/>
        <v/>
      </c>
      <c r="CD203" s="683" t="str">
        <f>IF(CC203="","",VALUE(MID($BZ$5,1+SUM($CC$3:CC202),CC203)))</f>
        <v/>
      </c>
      <c r="CE203"/>
      <c r="CF203" t="str">
        <f>IF(CD203="","",MID($BZ$4,1+SUM($CD$3:CD202),CD203))</f>
        <v/>
      </c>
    </row>
    <row r="204" spans="68:84" ht="15">
      <c r="BP204" s="485" t="e">
        <f ca="1">IF(OR(DB_LOAD!AW203="USD",DB_LOAD!AW203='Refi-Annual Review'!$A$3,ISBLANK(DB_LOAD!AW203)),0,1)</f>
        <v>#NAME?</v>
      </c>
      <c r="BQ204" t="str">
        <f>(IF(ISBLANK(DB_LOAD!AR203),"",DB_LOAD!AR203))</f>
        <v/>
      </c>
      <c r="BR204" t="str">
        <f t="shared" si="221"/>
        <v/>
      </c>
      <c r="BS204" t="str">
        <f t="shared" si="225"/>
        <v/>
      </c>
      <c r="BT204" t="str">
        <f t="shared" si="226"/>
        <v>5500000250000016064001572600</v>
      </c>
      <c r="BU204" t="str">
        <f t="shared" si="222"/>
        <v/>
      </c>
      <c r="BV204" t="str">
        <f t="shared" si="227"/>
        <v>7777</v>
      </c>
      <c r="BW204" t="str">
        <f t="shared" si="223"/>
        <v/>
      </c>
      <c r="BX204" t="str">
        <f t="shared" si="228"/>
        <v>1111</v>
      </c>
      <c r="CB204" s="683" t="str">
        <f t="shared" si="229"/>
        <v/>
      </c>
      <c r="CC204" s="683" t="str">
        <f t="shared" si="224"/>
        <v/>
      </c>
      <c r="CD204" s="683" t="str">
        <f>IF(CC204="","",VALUE(MID($BZ$5,1+SUM($CC$3:CC203),CC204)))</f>
        <v/>
      </c>
      <c r="CE204"/>
      <c r="CF204" t="str">
        <f>IF(CD204="","",MID($BZ$4,1+SUM($CD$3:CD203),CD204))</f>
        <v/>
      </c>
    </row>
    <row r="205" spans="68:84" ht="15">
      <c r="BP205" s="485" t="e">
        <f ca="1">IF(OR(DB_LOAD!AW204="USD",DB_LOAD!AW204='Refi-Annual Review'!$A$3,ISBLANK(DB_LOAD!AW204)),0,1)</f>
        <v>#NAME?</v>
      </c>
      <c r="BQ205" t="str">
        <f>(IF(ISBLANK(DB_LOAD!AR204),"",DB_LOAD!AR204))</f>
        <v/>
      </c>
      <c r="BR205" t="str">
        <f t="shared" si="221"/>
        <v/>
      </c>
      <c r="BS205" t="str">
        <f t="shared" si="225"/>
        <v/>
      </c>
      <c r="BT205" t="str">
        <f t="shared" si="226"/>
        <v>5500000250000016064001572600</v>
      </c>
      <c r="BU205" t="str">
        <f t="shared" si="222"/>
        <v/>
      </c>
      <c r="BV205" t="str">
        <f t="shared" si="227"/>
        <v>7777</v>
      </c>
      <c r="BW205" t="str">
        <f t="shared" si="223"/>
        <v/>
      </c>
      <c r="BX205" t="str">
        <f t="shared" si="228"/>
        <v>1111</v>
      </c>
      <c r="CB205" s="683" t="str">
        <f t="shared" si="229"/>
        <v/>
      </c>
      <c r="CC205" s="683" t="str">
        <f t="shared" si="224"/>
        <v/>
      </c>
      <c r="CD205" s="683" t="str">
        <f>IF(CC205="","",VALUE(MID($BZ$5,1+SUM($CC$3:CC204),CC205)))</f>
        <v/>
      </c>
      <c r="CE205"/>
      <c r="CF205" t="str">
        <f>IF(CD205="","",MID($BZ$4,1+SUM($CD$3:CD204),CD205))</f>
        <v/>
      </c>
    </row>
    <row r="206" spans="68:84" ht="15">
      <c r="BP206" s="485" t="e">
        <f ca="1">IF(OR(DB_LOAD!AW205="USD",DB_LOAD!AW205='Refi-Annual Review'!$A$3,ISBLANK(DB_LOAD!AW205)),0,1)</f>
        <v>#NAME?</v>
      </c>
      <c r="BQ206" t="str">
        <f>(IF(ISBLANK(DB_LOAD!AR205),"",DB_LOAD!AR205))</f>
        <v/>
      </c>
      <c r="BR206" t="str">
        <f t="shared" si="221"/>
        <v/>
      </c>
      <c r="BS206" t="str">
        <f t="shared" si="225"/>
        <v/>
      </c>
      <c r="BT206" t="str">
        <f t="shared" si="226"/>
        <v>5500000250000016064001572600</v>
      </c>
      <c r="BU206" t="str">
        <f t="shared" si="222"/>
        <v/>
      </c>
      <c r="BV206" t="str">
        <f t="shared" si="227"/>
        <v>7777</v>
      </c>
      <c r="BW206" t="str">
        <f t="shared" si="223"/>
        <v/>
      </c>
      <c r="BX206" t="str">
        <f t="shared" si="228"/>
        <v>1111</v>
      </c>
      <c r="CB206" s="683" t="str">
        <f t="shared" si="229"/>
        <v/>
      </c>
      <c r="CC206" s="683" t="str">
        <f t="shared" si="224"/>
        <v/>
      </c>
      <c r="CD206" s="683" t="str">
        <f>IF(CC206="","",VALUE(MID($BZ$5,1+SUM($CC$3:CC205),CC206)))</f>
        <v/>
      </c>
      <c r="CE206"/>
      <c r="CF206" t="str">
        <f>IF(CD206="","",MID($BZ$4,1+SUM($CD$3:CD205),CD206))</f>
        <v/>
      </c>
    </row>
    <row r="207" spans="68:84" ht="15">
      <c r="BP207" s="485" t="e">
        <f ca="1">IF(OR(DB_LOAD!AW206="USD",DB_LOAD!AW206='Refi-Annual Review'!$A$3,ISBLANK(DB_LOAD!AW206)),0,1)</f>
        <v>#NAME?</v>
      </c>
      <c r="BQ207" t="str">
        <f>(IF(ISBLANK(DB_LOAD!AR206),"",DB_LOAD!AR206))</f>
        <v/>
      </c>
      <c r="BR207" t="str">
        <f t="shared" si="221"/>
        <v/>
      </c>
      <c r="BS207" t="str">
        <f t="shared" si="225"/>
        <v/>
      </c>
      <c r="BT207" t="str">
        <f t="shared" si="226"/>
        <v>5500000250000016064001572600</v>
      </c>
      <c r="BU207" t="str">
        <f t="shared" si="222"/>
        <v/>
      </c>
      <c r="BV207" t="str">
        <f t="shared" si="227"/>
        <v>7777</v>
      </c>
      <c r="BW207" t="str">
        <f t="shared" si="223"/>
        <v/>
      </c>
      <c r="BX207" t="str">
        <f t="shared" si="228"/>
        <v>1111</v>
      </c>
      <c r="CB207" s="683" t="str">
        <f t="shared" si="229"/>
        <v/>
      </c>
      <c r="CC207" s="683" t="str">
        <f t="shared" si="224"/>
        <v/>
      </c>
      <c r="CD207" s="683" t="str">
        <f>IF(CC207="","",VALUE(MID($BZ$5,1+SUM($CC$3:CC206),CC207)))</f>
        <v/>
      </c>
      <c r="CE207"/>
      <c r="CF207" t="str">
        <f>IF(CD207="","",MID($BZ$4,1+SUM($CD$3:CD206),CD207))</f>
        <v/>
      </c>
    </row>
    <row r="208" spans="68:84" ht="15">
      <c r="BP208" s="485" t="e">
        <f ca="1">IF(OR(DB_LOAD!AW207="USD",DB_LOAD!AW207='Refi-Annual Review'!$A$3,ISBLANK(DB_LOAD!AW207)),0,1)</f>
        <v>#NAME?</v>
      </c>
      <c r="BQ208" t="str">
        <f>(IF(ISBLANK(DB_LOAD!AR207),"",DB_LOAD!AR207))</f>
        <v/>
      </c>
      <c r="BR208" t="str">
        <f t="shared" si="221"/>
        <v/>
      </c>
      <c r="BS208" t="str">
        <f t="shared" si="225"/>
        <v/>
      </c>
      <c r="BT208" t="str">
        <f t="shared" si="226"/>
        <v>5500000250000016064001572600</v>
      </c>
      <c r="BU208" t="str">
        <f t="shared" si="222"/>
        <v/>
      </c>
      <c r="BV208" t="str">
        <f t="shared" si="227"/>
        <v>7777</v>
      </c>
      <c r="BW208" t="str">
        <f t="shared" si="223"/>
        <v/>
      </c>
      <c r="BX208" t="str">
        <f t="shared" si="228"/>
        <v>1111</v>
      </c>
      <c r="CB208" s="683" t="str">
        <f t="shared" si="229"/>
        <v/>
      </c>
      <c r="CC208" s="683" t="str">
        <f t="shared" si="224"/>
        <v/>
      </c>
      <c r="CD208" s="683" t="str">
        <f>IF(CC208="","",VALUE(MID($BZ$5,1+SUM($CC$3:CC207),CC208)))</f>
        <v/>
      </c>
      <c r="CE208"/>
      <c r="CF208" t="str">
        <f>IF(CD208="","",MID($BZ$4,1+SUM($CD$3:CD207),CD208))</f>
        <v/>
      </c>
    </row>
    <row r="209" spans="68:84" ht="15">
      <c r="BP209" s="485" t="e">
        <f ca="1">IF(OR(DB_LOAD!AW208="USD",DB_LOAD!AW208='Refi-Annual Review'!$A$3,ISBLANK(DB_LOAD!AW208)),0,1)</f>
        <v>#NAME?</v>
      </c>
      <c r="BQ209" t="str">
        <f>(IF(ISBLANK(DB_LOAD!AR208),"",DB_LOAD!AR208))</f>
        <v/>
      </c>
      <c r="BR209" t="str">
        <f t="shared" si="221"/>
        <v/>
      </c>
      <c r="BS209" t="str">
        <f t="shared" si="225"/>
        <v/>
      </c>
      <c r="BT209" t="str">
        <f t="shared" si="226"/>
        <v>5500000250000016064001572600</v>
      </c>
      <c r="BU209" t="str">
        <f t="shared" si="222"/>
        <v/>
      </c>
      <c r="BV209" t="str">
        <f t="shared" si="227"/>
        <v>7777</v>
      </c>
      <c r="BW209" t="str">
        <f t="shared" si="223"/>
        <v/>
      </c>
      <c r="BX209" t="str">
        <f t="shared" si="228"/>
        <v>1111</v>
      </c>
      <c r="CB209" s="683" t="str">
        <f t="shared" si="229"/>
        <v/>
      </c>
      <c r="CC209" s="683" t="str">
        <f t="shared" si="224"/>
        <v/>
      </c>
      <c r="CD209" s="683" t="str">
        <f>IF(CC209="","",VALUE(MID($BZ$5,1+SUM($CC$3:CC208),CC209)))</f>
        <v/>
      </c>
      <c r="CE209"/>
      <c r="CF209" t="str">
        <f>IF(CD209="","",MID($BZ$4,1+SUM($CD$3:CD208),CD209))</f>
        <v/>
      </c>
    </row>
    <row r="210" spans="68:84" ht="15">
      <c r="BP210" s="485" t="e">
        <f ca="1">IF(OR(DB_LOAD!AW209="USD",DB_LOAD!AW209='Refi-Annual Review'!$A$3,ISBLANK(DB_LOAD!AW209)),0,1)</f>
        <v>#NAME?</v>
      </c>
      <c r="BQ210" t="str">
        <f>(IF(ISBLANK(DB_LOAD!AR209),"",DB_LOAD!AR209))</f>
        <v/>
      </c>
      <c r="BR210" t="str">
        <f t="shared" si="221"/>
        <v/>
      </c>
      <c r="BS210" t="str">
        <f t="shared" si="225"/>
        <v/>
      </c>
      <c r="BT210" t="str">
        <f t="shared" si="226"/>
        <v>5500000250000016064001572600</v>
      </c>
      <c r="BU210" t="str">
        <f t="shared" si="222"/>
        <v/>
      </c>
      <c r="BV210" t="str">
        <f t="shared" si="227"/>
        <v>7777</v>
      </c>
      <c r="BW210" t="str">
        <f t="shared" si="223"/>
        <v/>
      </c>
      <c r="BX210" t="str">
        <f t="shared" si="228"/>
        <v>1111</v>
      </c>
      <c r="CB210" s="683" t="str">
        <f t="shared" si="229"/>
        <v/>
      </c>
      <c r="CC210" s="683" t="str">
        <f t="shared" si="224"/>
        <v/>
      </c>
      <c r="CD210" s="683" t="str">
        <f>IF(CC210="","",VALUE(MID($BZ$5,1+SUM($CC$3:CC209),CC210)))</f>
        <v/>
      </c>
      <c r="CE210"/>
      <c r="CF210" t="str">
        <f>IF(CD210="","",MID($BZ$4,1+SUM($CD$3:CD209),CD210))</f>
        <v/>
      </c>
    </row>
    <row r="211" spans="68:84" ht="15">
      <c r="BP211" s="485" t="e">
        <f ca="1">IF(OR(DB_LOAD!AW210="USD",DB_LOAD!AW210='Refi-Annual Review'!$A$3,ISBLANK(DB_LOAD!AW210)),0,1)</f>
        <v>#NAME?</v>
      </c>
      <c r="BQ211" t="str">
        <f>(IF(ISBLANK(DB_LOAD!AR210),"",DB_LOAD!AR210))</f>
        <v/>
      </c>
      <c r="BR211" t="str">
        <f t="shared" si="221"/>
        <v/>
      </c>
      <c r="BS211" t="str">
        <f t="shared" si="225"/>
        <v/>
      </c>
      <c r="BT211" t="str">
        <f t="shared" si="226"/>
        <v>5500000250000016064001572600</v>
      </c>
      <c r="BU211" t="str">
        <f t="shared" si="222"/>
        <v/>
      </c>
      <c r="BV211" t="str">
        <f t="shared" si="227"/>
        <v>7777</v>
      </c>
      <c r="BW211" t="str">
        <f t="shared" si="223"/>
        <v/>
      </c>
      <c r="BX211" t="str">
        <f t="shared" si="228"/>
        <v>1111</v>
      </c>
      <c r="CB211" s="683" t="str">
        <f t="shared" si="229"/>
        <v/>
      </c>
      <c r="CC211" s="683" t="str">
        <f t="shared" si="224"/>
        <v/>
      </c>
      <c r="CD211" s="683" t="str">
        <f>IF(CC211="","",VALUE(MID($BZ$5,1+SUM($CC$3:CC210),CC211)))</f>
        <v/>
      </c>
      <c r="CE211"/>
      <c r="CF211" t="str">
        <f>IF(CD211="","",MID($BZ$4,1+SUM($CD$3:CD210),CD211))</f>
        <v/>
      </c>
    </row>
    <row r="212" spans="68:84" ht="15">
      <c r="BP212" s="485" t="e">
        <f ca="1">IF(OR(DB_LOAD!AW211="USD",DB_LOAD!AW211='Refi-Annual Review'!$A$3,ISBLANK(DB_LOAD!AW211)),0,1)</f>
        <v>#NAME?</v>
      </c>
      <c r="BQ212" t="str">
        <f>(IF(ISBLANK(DB_LOAD!AR211),"",DB_LOAD!AR211))</f>
        <v/>
      </c>
      <c r="BR212" t="str">
        <f t="shared" si="221"/>
        <v/>
      </c>
      <c r="BS212" t="str">
        <f t="shared" si="225"/>
        <v/>
      </c>
      <c r="BT212" t="str">
        <f t="shared" si="226"/>
        <v>5500000250000016064001572600</v>
      </c>
      <c r="BU212" t="str">
        <f t="shared" si="222"/>
        <v/>
      </c>
      <c r="BV212" t="str">
        <f t="shared" si="227"/>
        <v>7777</v>
      </c>
      <c r="BW212" t="str">
        <f t="shared" si="223"/>
        <v/>
      </c>
      <c r="BX212" t="str">
        <f t="shared" si="228"/>
        <v>1111</v>
      </c>
      <c r="CB212" s="683" t="str">
        <f t="shared" si="229"/>
        <v/>
      </c>
      <c r="CC212" s="683" t="str">
        <f t="shared" si="224"/>
        <v/>
      </c>
      <c r="CD212" s="683" t="str">
        <f>IF(CC212="","",VALUE(MID($BZ$5,1+SUM($CC$3:CC211),CC212)))</f>
        <v/>
      </c>
      <c r="CE212"/>
      <c r="CF212" t="str">
        <f>IF(CD212="","",MID($BZ$4,1+SUM($CD$3:CD211),CD212))</f>
        <v/>
      </c>
    </row>
    <row r="213" spans="68:84" ht="15">
      <c r="BP213" s="485" t="e">
        <f ca="1">IF(OR(DB_LOAD!AW212="USD",DB_LOAD!AW212='Refi-Annual Review'!$A$3,ISBLANK(DB_LOAD!AW212)),0,1)</f>
        <v>#NAME?</v>
      </c>
      <c r="BQ213" t="str">
        <f>(IF(ISBLANK(DB_LOAD!AR212),"",DB_LOAD!AR212))</f>
        <v/>
      </c>
      <c r="BR213" t="str">
        <f t="shared" si="221"/>
        <v/>
      </c>
      <c r="BS213" t="str">
        <f t="shared" si="225"/>
        <v/>
      </c>
      <c r="BT213" t="str">
        <f t="shared" si="226"/>
        <v>5500000250000016064001572600</v>
      </c>
      <c r="BU213" t="str">
        <f t="shared" si="222"/>
        <v/>
      </c>
      <c r="BV213" t="str">
        <f t="shared" si="227"/>
        <v>7777</v>
      </c>
      <c r="BW213" t="str">
        <f t="shared" si="223"/>
        <v/>
      </c>
      <c r="BX213" t="str">
        <f t="shared" si="228"/>
        <v>1111</v>
      </c>
      <c r="CB213" s="683" t="str">
        <f t="shared" si="229"/>
        <v/>
      </c>
      <c r="CC213" s="683" t="str">
        <f t="shared" si="224"/>
        <v/>
      </c>
      <c r="CD213" s="683" t="str">
        <f>IF(CC213="","",VALUE(MID($BZ$5,1+SUM($CC$3:CC212),CC213)))</f>
        <v/>
      </c>
      <c r="CE213"/>
      <c r="CF213" t="str">
        <f>IF(CD213="","",MID($BZ$4,1+SUM($CD$3:CD212),CD213))</f>
        <v/>
      </c>
    </row>
    <row r="214" spans="68:84" ht="15">
      <c r="BP214" s="485" t="e">
        <f ca="1">IF(OR(DB_LOAD!AW213="USD",DB_LOAD!AW213='Refi-Annual Review'!$A$3,ISBLANK(DB_LOAD!AW213)),0,1)</f>
        <v>#NAME?</v>
      </c>
      <c r="BQ214" t="str">
        <f>(IF(ISBLANK(DB_LOAD!AR213),"",DB_LOAD!AR213))</f>
        <v/>
      </c>
      <c r="BR214" t="str">
        <f t="shared" si="221"/>
        <v/>
      </c>
      <c r="BS214" t="str">
        <f t="shared" si="225"/>
        <v/>
      </c>
      <c r="BT214" t="str">
        <f t="shared" si="226"/>
        <v>5500000250000016064001572600</v>
      </c>
      <c r="BU214" t="str">
        <f t="shared" si="222"/>
        <v/>
      </c>
      <c r="BV214" t="str">
        <f t="shared" si="227"/>
        <v>7777</v>
      </c>
      <c r="BW214" t="str">
        <f t="shared" si="223"/>
        <v/>
      </c>
      <c r="BX214" t="str">
        <f t="shared" si="228"/>
        <v>1111</v>
      </c>
      <c r="CB214" s="683" t="str">
        <f t="shared" si="229"/>
        <v/>
      </c>
      <c r="CC214" s="683" t="str">
        <f t="shared" si="224"/>
        <v/>
      </c>
      <c r="CD214" s="683" t="str">
        <f>IF(CC214="","",VALUE(MID($BZ$5,1+SUM($CC$3:CC213),CC214)))</f>
        <v/>
      </c>
      <c r="CE214"/>
      <c r="CF214" t="str">
        <f>IF(CD214="","",MID($BZ$4,1+SUM($CD$3:CD213),CD214))</f>
        <v/>
      </c>
    </row>
    <row r="215" spans="68:84" ht="15">
      <c r="BP215" s="485" t="e">
        <f ca="1">IF(OR(DB_LOAD!AW214="USD",DB_LOAD!AW214='Refi-Annual Review'!$A$3,ISBLANK(DB_LOAD!AW214)),0,1)</f>
        <v>#NAME?</v>
      </c>
      <c r="BQ215" t="str">
        <f>(IF(ISBLANK(DB_LOAD!AR214),"",DB_LOAD!AR214))</f>
        <v/>
      </c>
      <c r="BR215" t="str">
        <f t="shared" si="221"/>
        <v/>
      </c>
      <c r="BS215" t="str">
        <f t="shared" si="225"/>
        <v/>
      </c>
      <c r="BT215" t="str">
        <f t="shared" si="226"/>
        <v>5500000250000016064001572600</v>
      </c>
      <c r="BU215" t="str">
        <f t="shared" si="222"/>
        <v/>
      </c>
      <c r="BV215" t="str">
        <f t="shared" si="227"/>
        <v>7777</v>
      </c>
      <c r="BW215" t="str">
        <f t="shared" si="223"/>
        <v/>
      </c>
      <c r="BX215" t="str">
        <f t="shared" si="228"/>
        <v>1111</v>
      </c>
      <c r="CB215" s="683" t="str">
        <f t="shared" si="229"/>
        <v/>
      </c>
      <c r="CC215" s="683" t="str">
        <f t="shared" si="224"/>
        <v/>
      </c>
      <c r="CD215" s="683" t="str">
        <f>IF(CC215="","",VALUE(MID($BZ$5,1+SUM($CC$3:CC214),CC215)))</f>
        <v/>
      </c>
      <c r="CE215"/>
      <c r="CF215" t="str">
        <f>IF(CD215="","",MID($BZ$4,1+SUM($CD$3:CD214),CD215))</f>
        <v/>
      </c>
    </row>
    <row r="216" spans="68:84" ht="15">
      <c r="BP216" s="485" t="e">
        <f ca="1">IF(OR(DB_LOAD!AW215="USD",DB_LOAD!AW215='Refi-Annual Review'!$A$3,ISBLANK(DB_LOAD!AW215)),0,1)</f>
        <v>#NAME?</v>
      </c>
      <c r="BQ216" t="str">
        <f>(IF(ISBLANK(DB_LOAD!AR215),"",DB_LOAD!AR215))</f>
        <v/>
      </c>
      <c r="BR216" t="str">
        <f t="shared" si="221"/>
        <v/>
      </c>
      <c r="BS216" t="str">
        <f t="shared" si="225"/>
        <v/>
      </c>
      <c r="BT216" t="str">
        <f t="shared" si="226"/>
        <v>5500000250000016064001572600</v>
      </c>
      <c r="BU216" t="str">
        <f t="shared" si="222"/>
        <v/>
      </c>
      <c r="BV216" t="str">
        <f t="shared" si="227"/>
        <v>7777</v>
      </c>
      <c r="BW216" t="str">
        <f t="shared" si="223"/>
        <v/>
      </c>
      <c r="BX216" t="str">
        <f t="shared" si="228"/>
        <v>1111</v>
      </c>
      <c r="CB216" s="683" t="str">
        <f t="shared" si="229"/>
        <v/>
      </c>
      <c r="CC216" s="683" t="str">
        <f t="shared" si="224"/>
        <v/>
      </c>
      <c r="CD216" s="683" t="str">
        <f>IF(CC216="","",VALUE(MID($BZ$5,1+SUM($CC$3:CC215),CC216)))</f>
        <v/>
      </c>
      <c r="CE216"/>
      <c r="CF216" t="str">
        <f>IF(CD216="","",MID($BZ$4,1+SUM($CD$3:CD215),CD216))</f>
        <v/>
      </c>
    </row>
    <row r="217" spans="68:84" ht="15">
      <c r="BP217" s="485" t="e">
        <f ca="1">IF(OR(DB_LOAD!AW216="USD",DB_LOAD!AW216='Refi-Annual Review'!$A$3,ISBLANK(DB_LOAD!AW216)),0,1)</f>
        <v>#NAME?</v>
      </c>
      <c r="BQ217" t="str">
        <f>(IF(ISBLANK(DB_LOAD!AR216),"",DB_LOAD!AR216))</f>
        <v/>
      </c>
      <c r="BR217" t="str">
        <f t="shared" si="221"/>
        <v/>
      </c>
      <c r="BS217" t="str">
        <f t="shared" si="225"/>
        <v/>
      </c>
      <c r="BT217" t="str">
        <f t="shared" si="226"/>
        <v>5500000250000016064001572600</v>
      </c>
      <c r="BU217" t="str">
        <f t="shared" si="222"/>
        <v/>
      </c>
      <c r="BV217" t="str">
        <f t="shared" si="227"/>
        <v>7777</v>
      </c>
      <c r="BW217" t="str">
        <f t="shared" si="223"/>
        <v/>
      </c>
      <c r="BX217" t="str">
        <f t="shared" si="228"/>
        <v>1111</v>
      </c>
      <c r="CB217" s="683" t="str">
        <f t="shared" si="229"/>
        <v/>
      </c>
      <c r="CC217" s="683" t="str">
        <f t="shared" si="224"/>
        <v/>
      </c>
      <c r="CD217" s="683" t="str">
        <f>IF(CC217="","",VALUE(MID($BZ$5,1+SUM($CC$3:CC216),CC217)))</f>
        <v/>
      </c>
      <c r="CE217"/>
      <c r="CF217" t="str">
        <f>IF(CD217="","",MID($BZ$4,1+SUM($CD$3:CD216),CD217))</f>
        <v/>
      </c>
    </row>
    <row r="218" spans="68:84" ht="15">
      <c r="BP218" s="485" t="e">
        <f ca="1">IF(OR(DB_LOAD!AW217="USD",DB_LOAD!AW217='Refi-Annual Review'!$A$3,ISBLANK(DB_LOAD!AW217)),0,1)</f>
        <v>#NAME?</v>
      </c>
      <c r="BQ218" t="str">
        <f>(IF(ISBLANK(DB_LOAD!AR217),"",DB_LOAD!AR217))</f>
        <v/>
      </c>
      <c r="BR218" t="str">
        <f t="shared" si="221"/>
        <v/>
      </c>
      <c r="BS218" t="str">
        <f t="shared" si="225"/>
        <v/>
      </c>
      <c r="BT218" t="str">
        <f t="shared" si="226"/>
        <v>5500000250000016064001572600</v>
      </c>
      <c r="BU218" t="str">
        <f t="shared" si="222"/>
        <v/>
      </c>
      <c r="BV218" t="str">
        <f t="shared" si="227"/>
        <v>7777</v>
      </c>
      <c r="BW218" t="str">
        <f t="shared" si="223"/>
        <v/>
      </c>
      <c r="BX218" t="str">
        <f t="shared" si="228"/>
        <v>1111</v>
      </c>
      <c r="CB218" s="683" t="str">
        <f t="shared" si="229"/>
        <v/>
      </c>
      <c r="CC218" s="683" t="str">
        <f t="shared" si="224"/>
        <v/>
      </c>
      <c r="CD218" s="683" t="str">
        <f>IF(CC218="","",VALUE(MID($BZ$5,1+SUM($CC$3:CC217),CC218)))</f>
        <v/>
      </c>
      <c r="CE218"/>
      <c r="CF218" t="str">
        <f>IF(CD218="","",MID($BZ$4,1+SUM($CD$3:CD217),CD218))</f>
        <v/>
      </c>
    </row>
    <row r="219" spans="68:84" ht="15">
      <c r="BP219" s="485" t="e">
        <f ca="1">IF(OR(DB_LOAD!AW218="USD",DB_LOAD!AW218='Refi-Annual Review'!$A$3,ISBLANK(DB_LOAD!AW218)),0,1)</f>
        <v>#NAME?</v>
      </c>
      <c r="BQ219" t="str">
        <f>(IF(ISBLANK(DB_LOAD!AR218),"",DB_LOAD!AR218))</f>
        <v/>
      </c>
      <c r="BR219" t="str">
        <f t="shared" si="221"/>
        <v/>
      </c>
      <c r="BS219" t="str">
        <f t="shared" si="225"/>
        <v/>
      </c>
      <c r="BT219" t="str">
        <f t="shared" si="226"/>
        <v>5500000250000016064001572600</v>
      </c>
      <c r="BU219" t="str">
        <f t="shared" si="222"/>
        <v/>
      </c>
      <c r="BV219" t="str">
        <f t="shared" si="227"/>
        <v>7777</v>
      </c>
      <c r="BW219" t="str">
        <f t="shared" si="223"/>
        <v/>
      </c>
      <c r="BX219" t="str">
        <f t="shared" si="228"/>
        <v>1111</v>
      </c>
      <c r="CB219" s="683" t="str">
        <f t="shared" si="229"/>
        <v/>
      </c>
      <c r="CC219" s="683" t="str">
        <f t="shared" si="224"/>
        <v/>
      </c>
      <c r="CD219" s="683" t="str">
        <f>IF(CC219="","",VALUE(MID($BZ$5,1+SUM($CC$3:CC218),CC219)))</f>
        <v/>
      </c>
      <c r="CE219"/>
      <c r="CF219" t="str">
        <f>IF(CD219="","",MID($BZ$4,1+SUM($CD$3:CD218),CD219))</f>
        <v/>
      </c>
    </row>
    <row r="220" spans="68:84" ht="15">
      <c r="BP220" s="485" t="e">
        <f ca="1">IF(OR(DB_LOAD!AW219="USD",DB_LOAD!AW219='Refi-Annual Review'!$A$3,ISBLANK(DB_LOAD!AW219)),0,1)</f>
        <v>#NAME?</v>
      </c>
      <c r="BQ220" t="str">
        <f>(IF(ISBLANK(DB_LOAD!AR219),"",DB_LOAD!AR219))</f>
        <v/>
      </c>
      <c r="BR220" t="str">
        <f t="shared" si="221"/>
        <v/>
      </c>
      <c r="BS220" t="str">
        <f t="shared" si="225"/>
        <v/>
      </c>
      <c r="BT220" t="str">
        <f t="shared" si="226"/>
        <v>5500000250000016064001572600</v>
      </c>
      <c r="BU220" t="str">
        <f t="shared" si="222"/>
        <v/>
      </c>
      <c r="BV220" t="str">
        <f t="shared" si="227"/>
        <v>7777</v>
      </c>
      <c r="BW220" t="str">
        <f t="shared" si="223"/>
        <v/>
      </c>
      <c r="BX220" t="str">
        <f t="shared" si="228"/>
        <v>1111</v>
      </c>
      <c r="CB220" s="683" t="str">
        <f t="shared" si="229"/>
        <v/>
      </c>
      <c r="CC220" s="683" t="str">
        <f t="shared" si="224"/>
        <v/>
      </c>
      <c r="CD220" s="683" t="str">
        <f>IF(CC220="","",VALUE(MID($BZ$5,1+SUM($CC$3:CC219),CC220)))</f>
        <v/>
      </c>
      <c r="CE220"/>
      <c r="CF220" t="str">
        <f>IF(CD220="","",MID($BZ$4,1+SUM($CD$3:CD219),CD220))</f>
        <v/>
      </c>
    </row>
    <row r="221" spans="68:84" ht="15">
      <c r="BP221" s="485" t="e">
        <f ca="1">IF(OR(DB_LOAD!AW220="USD",DB_LOAD!AW220='Refi-Annual Review'!$A$3,ISBLANK(DB_LOAD!AW220)),0,1)</f>
        <v>#NAME?</v>
      </c>
      <c r="BQ221" t="str">
        <f>(IF(ISBLANK(DB_LOAD!AR220),"",DB_LOAD!AR220))</f>
        <v/>
      </c>
      <c r="BR221" t="str">
        <f t="shared" si="221"/>
        <v/>
      </c>
      <c r="BS221" t="str">
        <f t="shared" si="225"/>
        <v/>
      </c>
      <c r="BT221" t="str">
        <f t="shared" si="226"/>
        <v>5500000250000016064001572600</v>
      </c>
      <c r="BU221" t="str">
        <f t="shared" si="222"/>
        <v/>
      </c>
      <c r="BV221" t="str">
        <f t="shared" si="227"/>
        <v>7777</v>
      </c>
      <c r="BW221" t="str">
        <f t="shared" si="223"/>
        <v/>
      </c>
      <c r="BX221" t="str">
        <f t="shared" si="228"/>
        <v>1111</v>
      </c>
      <c r="CB221" s="683" t="str">
        <f t="shared" si="229"/>
        <v/>
      </c>
      <c r="CC221" s="683" t="str">
        <f t="shared" si="224"/>
        <v/>
      </c>
      <c r="CD221" s="683" t="str">
        <f>IF(CC221="","",VALUE(MID($BZ$5,1+SUM($CC$3:CC220),CC221)))</f>
        <v/>
      </c>
      <c r="CE221"/>
      <c r="CF221" t="str">
        <f>IF(CD221="","",MID($BZ$4,1+SUM($CD$3:CD220),CD221))</f>
        <v/>
      </c>
    </row>
    <row r="222" spans="68:84" ht="15">
      <c r="BP222" s="485" t="e">
        <f ca="1">IF(OR(DB_LOAD!AW221="USD",DB_LOAD!AW221='Refi-Annual Review'!$A$3,ISBLANK(DB_LOAD!AW221)),0,1)</f>
        <v>#NAME?</v>
      </c>
      <c r="BQ222" t="str">
        <f>(IF(ISBLANK(DB_LOAD!AR221),"",DB_LOAD!AR221))</f>
        <v/>
      </c>
      <c r="BR222" t="str">
        <f t="shared" si="221"/>
        <v/>
      </c>
      <c r="BS222" t="str">
        <f t="shared" si="225"/>
        <v/>
      </c>
      <c r="BT222" t="str">
        <f t="shared" si="226"/>
        <v>5500000250000016064001572600</v>
      </c>
      <c r="BU222" t="str">
        <f t="shared" si="222"/>
        <v/>
      </c>
      <c r="BV222" t="str">
        <f t="shared" si="227"/>
        <v>7777</v>
      </c>
      <c r="BW222" t="str">
        <f t="shared" si="223"/>
        <v/>
      </c>
      <c r="BX222" t="str">
        <f t="shared" si="228"/>
        <v>1111</v>
      </c>
      <c r="CB222" s="683" t="str">
        <f t="shared" si="229"/>
        <v/>
      </c>
      <c r="CC222" s="683" t="str">
        <f t="shared" si="224"/>
        <v/>
      </c>
      <c r="CD222" s="683" t="str">
        <f>IF(CC222="","",VALUE(MID($BZ$5,1+SUM($CC$3:CC221),CC222)))</f>
        <v/>
      </c>
      <c r="CE222"/>
      <c r="CF222" t="str">
        <f>IF(CD222="","",MID($BZ$4,1+SUM($CD$3:CD221),CD222))</f>
        <v/>
      </c>
    </row>
    <row r="223" spans="68:84" ht="15">
      <c r="BP223" s="485" t="e">
        <f ca="1">IF(OR(DB_LOAD!AW222="USD",DB_LOAD!AW222='Refi-Annual Review'!$A$3,ISBLANK(DB_LOAD!AW222)),0,1)</f>
        <v>#NAME?</v>
      </c>
      <c r="BQ223" t="str">
        <f>(IF(ISBLANK(DB_LOAD!AR222),"",DB_LOAD!AR222))</f>
        <v/>
      </c>
      <c r="BR223" t="str">
        <f t="shared" si="221"/>
        <v/>
      </c>
      <c r="BS223" t="str">
        <f t="shared" si="225"/>
        <v/>
      </c>
      <c r="BT223" t="str">
        <f t="shared" si="226"/>
        <v>5500000250000016064001572600</v>
      </c>
      <c r="BU223" t="str">
        <f t="shared" si="222"/>
        <v/>
      </c>
      <c r="BV223" t="str">
        <f t="shared" si="227"/>
        <v>7777</v>
      </c>
      <c r="BW223" t="str">
        <f t="shared" si="223"/>
        <v/>
      </c>
      <c r="BX223" t="str">
        <f t="shared" si="228"/>
        <v>1111</v>
      </c>
      <c r="CB223" s="683" t="str">
        <f t="shared" si="229"/>
        <v/>
      </c>
      <c r="CC223" s="683" t="str">
        <f t="shared" si="224"/>
        <v/>
      </c>
      <c r="CD223" s="683" t="str">
        <f>IF(CC223="","",VALUE(MID($BZ$5,1+SUM($CC$3:CC222),CC223)))</f>
        <v/>
      </c>
      <c r="CE223"/>
      <c r="CF223" t="str">
        <f>IF(CD223="","",MID($BZ$4,1+SUM($CD$3:CD222),CD223))</f>
        <v/>
      </c>
    </row>
    <row r="224" spans="68:84" ht="15">
      <c r="BP224" s="485" t="e">
        <f ca="1">IF(OR(DB_LOAD!AW223="USD",DB_LOAD!AW223='Refi-Annual Review'!$A$3,ISBLANK(DB_LOAD!AW223)),0,1)</f>
        <v>#NAME?</v>
      </c>
      <c r="BQ224" t="str">
        <f>(IF(ISBLANK(DB_LOAD!AR223),"",DB_LOAD!AR223))</f>
        <v/>
      </c>
      <c r="BR224" t="str">
        <f t="shared" si="221"/>
        <v/>
      </c>
      <c r="BS224" t="str">
        <f t="shared" si="225"/>
        <v/>
      </c>
      <c r="BT224" t="str">
        <f t="shared" si="226"/>
        <v>5500000250000016064001572600</v>
      </c>
      <c r="BU224" t="str">
        <f t="shared" si="222"/>
        <v/>
      </c>
      <c r="BV224" t="str">
        <f t="shared" si="227"/>
        <v>7777</v>
      </c>
      <c r="BW224" t="str">
        <f t="shared" si="223"/>
        <v/>
      </c>
      <c r="BX224" t="str">
        <f t="shared" si="228"/>
        <v>1111</v>
      </c>
      <c r="CB224" s="683" t="str">
        <f t="shared" si="229"/>
        <v/>
      </c>
      <c r="CC224" s="683" t="str">
        <f t="shared" si="224"/>
        <v/>
      </c>
      <c r="CD224" s="683" t="str">
        <f>IF(CC224="","",VALUE(MID($BZ$5,1+SUM($CC$3:CC223),CC224)))</f>
        <v/>
      </c>
      <c r="CE224"/>
      <c r="CF224" t="str">
        <f>IF(CD224="","",MID($BZ$4,1+SUM($CD$3:CD223),CD224))</f>
        <v/>
      </c>
    </row>
    <row r="225" spans="68:84" ht="15">
      <c r="BP225" s="485" t="e">
        <f ca="1">IF(OR(DB_LOAD!AW224="USD",DB_LOAD!AW224='Refi-Annual Review'!$A$3,ISBLANK(DB_LOAD!AW224)),0,1)</f>
        <v>#NAME?</v>
      </c>
      <c r="BQ225" t="str">
        <f>(IF(ISBLANK(DB_LOAD!AR224),"",DB_LOAD!AR224))</f>
        <v/>
      </c>
      <c r="BR225" t="str">
        <f t="shared" si="221"/>
        <v/>
      </c>
      <c r="BS225" t="str">
        <f t="shared" si="225"/>
        <v/>
      </c>
      <c r="BT225" t="str">
        <f t="shared" si="226"/>
        <v>5500000250000016064001572600</v>
      </c>
      <c r="BU225" t="str">
        <f t="shared" si="222"/>
        <v/>
      </c>
      <c r="BV225" t="str">
        <f t="shared" si="227"/>
        <v>7777</v>
      </c>
      <c r="BW225" t="str">
        <f t="shared" si="223"/>
        <v/>
      </c>
      <c r="BX225" t="str">
        <f t="shared" si="228"/>
        <v>1111</v>
      </c>
      <c r="CB225" s="683" t="str">
        <f t="shared" si="229"/>
        <v/>
      </c>
      <c r="CC225" s="683" t="str">
        <f t="shared" si="224"/>
        <v/>
      </c>
      <c r="CD225" s="683" t="str">
        <f>IF(CC225="","",VALUE(MID($BZ$5,1+SUM($CC$3:CC224),CC225)))</f>
        <v/>
      </c>
      <c r="CE225"/>
      <c r="CF225" t="str">
        <f>IF(CD225="","",MID($BZ$4,1+SUM($CD$3:CD224),CD225))</f>
        <v/>
      </c>
    </row>
    <row r="226" spans="68:84" ht="15">
      <c r="BP226" s="485" t="e">
        <f ca="1">IF(OR(DB_LOAD!AW225="USD",DB_LOAD!AW225='Refi-Annual Review'!$A$3,ISBLANK(DB_LOAD!AW225)),0,1)</f>
        <v>#NAME?</v>
      </c>
      <c r="BQ226" t="str">
        <f>(IF(ISBLANK(DB_LOAD!AR225),"",DB_LOAD!AR225))</f>
        <v/>
      </c>
      <c r="BR226" t="str">
        <f t="shared" si="221"/>
        <v/>
      </c>
      <c r="BS226" t="str">
        <f t="shared" si="225"/>
        <v/>
      </c>
      <c r="BT226" t="str">
        <f t="shared" si="226"/>
        <v>5500000250000016064001572600</v>
      </c>
      <c r="BU226" t="str">
        <f t="shared" si="222"/>
        <v/>
      </c>
      <c r="BV226" t="str">
        <f t="shared" si="227"/>
        <v>7777</v>
      </c>
      <c r="BW226" t="str">
        <f t="shared" si="223"/>
        <v/>
      </c>
      <c r="BX226" t="str">
        <f t="shared" si="228"/>
        <v>1111</v>
      </c>
      <c r="CB226" s="683" t="str">
        <f t="shared" si="229"/>
        <v/>
      </c>
      <c r="CC226" s="683" t="str">
        <f t="shared" si="224"/>
        <v/>
      </c>
      <c r="CD226" s="683" t="str">
        <f>IF(CC226="","",VALUE(MID($BZ$5,1+SUM($CC$3:CC225),CC226)))</f>
        <v/>
      </c>
      <c r="CE226"/>
      <c r="CF226" t="str">
        <f>IF(CD226="","",MID($BZ$4,1+SUM($CD$3:CD225),CD226))</f>
        <v/>
      </c>
    </row>
    <row r="227" spans="68:84" ht="15">
      <c r="BP227" s="485" t="e">
        <f ca="1">IF(OR(DB_LOAD!AW226="USD",DB_LOAD!AW226='Refi-Annual Review'!$A$3,ISBLANK(DB_LOAD!AW226)),0,1)</f>
        <v>#NAME?</v>
      </c>
      <c r="BQ227" t="str">
        <f>(IF(ISBLANK(DB_LOAD!AR226),"",DB_LOAD!AR226))</f>
        <v/>
      </c>
      <c r="BR227" t="str">
        <f t="shared" si="221"/>
        <v/>
      </c>
      <c r="BS227" t="str">
        <f t="shared" si="225"/>
        <v/>
      </c>
      <c r="BT227" t="str">
        <f t="shared" si="226"/>
        <v>5500000250000016064001572600</v>
      </c>
      <c r="BU227" t="str">
        <f t="shared" si="222"/>
        <v/>
      </c>
      <c r="BV227" t="str">
        <f t="shared" si="227"/>
        <v>7777</v>
      </c>
      <c r="BW227" t="str">
        <f t="shared" si="223"/>
        <v/>
      </c>
      <c r="BX227" t="str">
        <f t="shared" si="228"/>
        <v>1111</v>
      </c>
      <c r="CB227" s="683" t="str">
        <f t="shared" si="229"/>
        <v/>
      </c>
      <c r="CC227" s="683" t="str">
        <f t="shared" si="224"/>
        <v/>
      </c>
      <c r="CD227" s="683" t="str">
        <f>IF(CC227="","",VALUE(MID($BZ$5,1+SUM($CC$3:CC226),CC227)))</f>
        <v/>
      </c>
      <c r="CE227"/>
      <c r="CF227" t="str">
        <f>IF(CD227="","",MID($BZ$4,1+SUM($CD$3:CD226),CD227))</f>
        <v/>
      </c>
    </row>
    <row r="228" spans="68:84" ht="15">
      <c r="BP228" s="485" t="e">
        <f ca="1">IF(OR(DB_LOAD!AW227="USD",DB_LOAD!AW227='Refi-Annual Review'!$A$3,ISBLANK(DB_LOAD!AW227)),0,1)</f>
        <v>#NAME?</v>
      </c>
      <c r="BQ228" t="str">
        <f>(IF(ISBLANK(DB_LOAD!AR227),"",DB_LOAD!AR227))</f>
        <v/>
      </c>
      <c r="BR228" t="str">
        <f t="shared" si="221"/>
        <v/>
      </c>
      <c r="BS228" t="str">
        <f t="shared" si="225"/>
        <v/>
      </c>
      <c r="BT228" t="str">
        <f t="shared" si="226"/>
        <v>5500000250000016064001572600</v>
      </c>
      <c r="BU228" t="str">
        <f t="shared" si="222"/>
        <v/>
      </c>
      <c r="BV228" t="str">
        <f t="shared" si="227"/>
        <v>7777</v>
      </c>
      <c r="BW228" t="str">
        <f t="shared" si="223"/>
        <v/>
      </c>
      <c r="BX228" t="str">
        <f t="shared" si="228"/>
        <v>1111</v>
      </c>
      <c r="CB228" s="683" t="str">
        <f t="shared" si="229"/>
        <v/>
      </c>
      <c r="CC228" s="683" t="str">
        <f t="shared" si="224"/>
        <v/>
      </c>
      <c r="CD228" s="683" t="str">
        <f>IF(CC228="","",VALUE(MID($BZ$5,1+SUM($CC$3:CC227),CC228)))</f>
        <v/>
      </c>
      <c r="CE228"/>
      <c r="CF228" t="str">
        <f>IF(CD228="","",MID($BZ$4,1+SUM($CD$3:CD227),CD228))</f>
        <v/>
      </c>
    </row>
    <row r="229" spans="68:84" ht="15">
      <c r="BP229" s="485" t="e">
        <f ca="1">IF(OR(DB_LOAD!AW228="USD",DB_LOAD!AW228='Refi-Annual Review'!$A$3,ISBLANK(DB_LOAD!AW228)),0,1)</f>
        <v>#NAME?</v>
      </c>
      <c r="BQ229" t="str">
        <f>(IF(ISBLANK(DB_LOAD!AR228),"",DB_LOAD!AR228))</f>
        <v/>
      </c>
      <c r="BR229" t="str">
        <f t="shared" si="221"/>
        <v/>
      </c>
      <c r="BS229" t="str">
        <f t="shared" si="225"/>
        <v/>
      </c>
      <c r="BT229" t="str">
        <f t="shared" si="226"/>
        <v>5500000250000016064001572600</v>
      </c>
      <c r="BU229" t="str">
        <f t="shared" si="222"/>
        <v/>
      </c>
      <c r="BV229" t="str">
        <f t="shared" si="227"/>
        <v>7777</v>
      </c>
      <c r="BW229" t="str">
        <f t="shared" si="223"/>
        <v/>
      </c>
      <c r="BX229" t="str">
        <f t="shared" si="228"/>
        <v>1111</v>
      </c>
      <c r="CB229" s="683" t="str">
        <f t="shared" si="229"/>
        <v/>
      </c>
      <c r="CC229" s="683" t="str">
        <f t="shared" si="224"/>
        <v/>
      </c>
      <c r="CD229" s="683" t="str">
        <f>IF(CC229="","",VALUE(MID($BZ$5,1+SUM($CC$3:CC228),CC229)))</f>
        <v/>
      </c>
      <c r="CE229"/>
      <c r="CF229" t="str">
        <f>IF(CD229="","",MID($BZ$4,1+SUM($CD$3:CD228),CD229))</f>
        <v/>
      </c>
    </row>
    <row r="230" spans="68:84" ht="15">
      <c r="BP230" s="485" t="e">
        <f ca="1">IF(OR(DB_LOAD!AW229="USD",DB_LOAD!AW229='Refi-Annual Review'!$A$3,ISBLANK(DB_LOAD!AW229)),0,1)</f>
        <v>#NAME?</v>
      </c>
      <c r="BQ230" t="str">
        <f>(IF(ISBLANK(DB_LOAD!AR229),"",DB_LOAD!AR229))</f>
        <v/>
      </c>
      <c r="BR230" t="str">
        <f t="shared" si="221"/>
        <v/>
      </c>
      <c r="BS230" t="str">
        <f t="shared" si="225"/>
        <v/>
      </c>
      <c r="BT230" t="str">
        <f t="shared" si="226"/>
        <v>5500000250000016064001572600</v>
      </c>
      <c r="BU230" t="str">
        <f t="shared" si="222"/>
        <v/>
      </c>
      <c r="BV230" t="str">
        <f t="shared" si="227"/>
        <v>7777</v>
      </c>
      <c r="BW230" t="str">
        <f t="shared" si="223"/>
        <v/>
      </c>
      <c r="BX230" t="str">
        <f t="shared" si="228"/>
        <v>1111</v>
      </c>
      <c r="CB230" s="683" t="str">
        <f t="shared" si="229"/>
        <v/>
      </c>
      <c r="CC230" s="683" t="str">
        <f t="shared" si="224"/>
        <v/>
      </c>
      <c r="CD230" s="683" t="str">
        <f>IF(CC230="","",VALUE(MID($BZ$5,1+SUM($CC$3:CC229),CC230)))</f>
        <v/>
      </c>
      <c r="CE230"/>
      <c r="CF230" t="str">
        <f>IF(CD230="","",MID($BZ$4,1+SUM($CD$3:CD229),CD230))</f>
        <v/>
      </c>
    </row>
    <row r="231" spans="68:84" ht="15">
      <c r="BP231" s="485" t="e">
        <f ca="1">IF(OR(DB_LOAD!AW230="USD",DB_LOAD!AW230='Refi-Annual Review'!$A$3,ISBLANK(DB_LOAD!AW230)),0,1)</f>
        <v>#NAME?</v>
      </c>
      <c r="BQ231" t="str">
        <f>(IF(ISBLANK(DB_LOAD!AR230),"",DB_LOAD!AR230))</f>
        <v/>
      </c>
      <c r="BR231" t="str">
        <f t="shared" si="221"/>
        <v/>
      </c>
      <c r="BS231" t="str">
        <f t="shared" si="225"/>
        <v/>
      </c>
      <c r="BT231" t="str">
        <f t="shared" si="226"/>
        <v>5500000250000016064001572600</v>
      </c>
      <c r="BU231" t="str">
        <f t="shared" si="222"/>
        <v/>
      </c>
      <c r="BV231" t="str">
        <f t="shared" si="227"/>
        <v>7777</v>
      </c>
      <c r="BW231" t="str">
        <f t="shared" si="223"/>
        <v/>
      </c>
      <c r="BX231" t="str">
        <f t="shared" si="228"/>
        <v>1111</v>
      </c>
      <c r="CB231" s="683" t="str">
        <f t="shared" si="229"/>
        <v/>
      </c>
      <c r="CC231" s="683" t="str">
        <f t="shared" si="224"/>
        <v/>
      </c>
      <c r="CD231" s="683" t="str">
        <f>IF(CC231="","",VALUE(MID($BZ$5,1+SUM($CC$3:CC230),CC231)))</f>
        <v/>
      </c>
      <c r="CE231"/>
      <c r="CF231" t="str">
        <f>IF(CD231="","",MID($BZ$4,1+SUM($CD$3:CD230),CD231))</f>
        <v/>
      </c>
    </row>
    <row r="232" spans="68:84" ht="15">
      <c r="BP232" s="485" t="e">
        <f ca="1">IF(OR(DB_LOAD!AW231="USD",DB_LOAD!AW231='Refi-Annual Review'!$A$3,ISBLANK(DB_LOAD!AW231)),0,1)</f>
        <v>#NAME?</v>
      </c>
      <c r="BQ232" t="str">
        <f>(IF(ISBLANK(DB_LOAD!AR231),"",DB_LOAD!AR231))</f>
        <v/>
      </c>
      <c r="BR232" t="str">
        <f t="shared" si="221"/>
        <v/>
      </c>
      <c r="BS232" t="str">
        <f t="shared" si="225"/>
        <v/>
      </c>
      <c r="BT232" t="str">
        <f t="shared" si="226"/>
        <v>5500000250000016064001572600</v>
      </c>
      <c r="BU232" t="str">
        <f t="shared" si="222"/>
        <v/>
      </c>
      <c r="BV232" t="str">
        <f t="shared" si="227"/>
        <v>7777</v>
      </c>
      <c r="BW232" t="str">
        <f t="shared" si="223"/>
        <v/>
      </c>
      <c r="BX232" t="str">
        <f t="shared" si="228"/>
        <v>1111</v>
      </c>
      <c r="CB232" s="683" t="str">
        <f t="shared" si="229"/>
        <v/>
      </c>
      <c r="CC232" s="683" t="str">
        <f t="shared" si="224"/>
        <v/>
      </c>
      <c r="CD232" s="683" t="str">
        <f>IF(CC232="","",VALUE(MID($BZ$5,1+SUM($CC$3:CC231),CC232)))</f>
        <v/>
      </c>
      <c r="CE232"/>
      <c r="CF232" t="str">
        <f>IF(CD232="","",MID($BZ$4,1+SUM($CD$3:CD231),CD232))</f>
        <v/>
      </c>
    </row>
    <row r="233" spans="68:84" ht="15">
      <c r="BP233" s="485" t="e">
        <f ca="1">IF(OR(DB_LOAD!AW232="USD",DB_LOAD!AW232='Refi-Annual Review'!$A$3,ISBLANK(DB_LOAD!AW232)),0,1)</f>
        <v>#NAME?</v>
      </c>
      <c r="BQ233" t="str">
        <f>(IF(ISBLANK(DB_LOAD!AR232),"",DB_LOAD!AR232))</f>
        <v/>
      </c>
      <c r="BR233" t="str">
        <f t="shared" si="221"/>
        <v/>
      </c>
      <c r="BS233" t="str">
        <f t="shared" si="225"/>
        <v/>
      </c>
      <c r="BT233" t="str">
        <f t="shared" si="226"/>
        <v>5500000250000016064001572600</v>
      </c>
      <c r="BU233" t="str">
        <f t="shared" si="222"/>
        <v/>
      </c>
      <c r="BV233" t="str">
        <f t="shared" si="227"/>
        <v>7777</v>
      </c>
      <c r="BW233" t="str">
        <f t="shared" si="223"/>
        <v/>
      </c>
      <c r="BX233" t="str">
        <f t="shared" si="228"/>
        <v>1111</v>
      </c>
      <c r="CB233" s="683" t="str">
        <f t="shared" si="229"/>
        <v/>
      </c>
      <c r="CC233" s="683" t="str">
        <f t="shared" si="224"/>
        <v/>
      </c>
      <c r="CD233" s="683" t="str">
        <f>IF(CC233="","",VALUE(MID($BZ$5,1+SUM($CC$3:CC232),CC233)))</f>
        <v/>
      </c>
      <c r="CE233"/>
      <c r="CF233" t="str">
        <f>IF(CD233="","",MID($BZ$4,1+SUM($CD$3:CD232),CD233))</f>
        <v/>
      </c>
    </row>
    <row r="234" spans="68:84" ht="15">
      <c r="BP234" s="485" t="e">
        <f ca="1">IF(OR(DB_LOAD!AW233="USD",DB_LOAD!AW233='Refi-Annual Review'!$A$3,ISBLANK(DB_LOAD!AW233)),0,1)</f>
        <v>#NAME?</v>
      </c>
      <c r="BQ234" t="str">
        <f>(IF(ISBLANK(DB_LOAD!AR233),"",DB_LOAD!AR233))</f>
        <v/>
      </c>
      <c r="BR234" t="str">
        <f t="shared" si="221"/>
        <v/>
      </c>
      <c r="BS234" t="str">
        <f t="shared" si="225"/>
        <v/>
      </c>
      <c r="BT234" t="str">
        <f t="shared" si="226"/>
        <v>5500000250000016064001572600</v>
      </c>
      <c r="BU234" t="str">
        <f t="shared" si="222"/>
        <v/>
      </c>
      <c r="BV234" t="str">
        <f t="shared" si="227"/>
        <v>7777</v>
      </c>
      <c r="BW234" t="str">
        <f t="shared" si="223"/>
        <v/>
      </c>
      <c r="BX234" t="str">
        <f t="shared" si="228"/>
        <v>1111</v>
      </c>
      <c r="CB234" s="683" t="str">
        <f t="shared" si="229"/>
        <v/>
      </c>
      <c r="CC234" s="683" t="str">
        <f t="shared" si="224"/>
        <v/>
      </c>
      <c r="CD234" s="683" t="str">
        <f>IF(CC234="","",VALUE(MID($BZ$5,1+SUM($CC$3:CC233),CC234)))</f>
        <v/>
      </c>
      <c r="CE234"/>
      <c r="CF234" t="str">
        <f>IF(CD234="","",MID($BZ$4,1+SUM($CD$3:CD233),CD234))</f>
        <v/>
      </c>
    </row>
    <row r="235" spans="68:84" ht="15">
      <c r="BP235" s="485" t="e">
        <f ca="1">IF(OR(DB_LOAD!AW234="USD",DB_LOAD!AW234='Refi-Annual Review'!$A$3,ISBLANK(DB_LOAD!AW234)),0,1)</f>
        <v>#NAME?</v>
      </c>
      <c r="BQ235" t="str">
        <f>(IF(ISBLANK(DB_LOAD!AR234),"",DB_LOAD!AR234))</f>
        <v/>
      </c>
      <c r="BR235" t="str">
        <f t="shared" si="221"/>
        <v/>
      </c>
      <c r="BS235" t="str">
        <f t="shared" si="225"/>
        <v/>
      </c>
      <c r="BT235" t="str">
        <f t="shared" si="226"/>
        <v>5500000250000016064001572600</v>
      </c>
      <c r="BU235" t="str">
        <f t="shared" si="222"/>
        <v/>
      </c>
      <c r="BV235" t="str">
        <f t="shared" si="227"/>
        <v>7777</v>
      </c>
      <c r="BW235" t="str">
        <f t="shared" si="223"/>
        <v/>
      </c>
      <c r="BX235" t="str">
        <f t="shared" si="228"/>
        <v>1111</v>
      </c>
      <c r="CB235" s="683" t="str">
        <f t="shared" si="229"/>
        <v/>
      </c>
      <c r="CC235" s="683" t="str">
        <f t="shared" si="224"/>
        <v/>
      </c>
      <c r="CD235" s="683" t="str">
        <f>IF(CC235="","",VALUE(MID($BZ$5,1+SUM($CC$3:CC234),CC235)))</f>
        <v/>
      </c>
      <c r="CE235"/>
      <c r="CF235" t="str">
        <f>IF(CD235="","",MID($BZ$4,1+SUM($CD$3:CD234),CD235))</f>
        <v/>
      </c>
    </row>
    <row r="236" spans="68:84" ht="15">
      <c r="BP236" s="485" t="e">
        <f ca="1">IF(OR(DB_LOAD!AW235="USD",DB_LOAD!AW235='Refi-Annual Review'!$A$3,ISBLANK(DB_LOAD!AW235)),0,1)</f>
        <v>#NAME?</v>
      </c>
      <c r="BQ236" t="str">
        <f>(IF(ISBLANK(DB_LOAD!AR235),"",DB_LOAD!AR235))</f>
        <v/>
      </c>
      <c r="BR236" t="str">
        <f t="shared" si="221"/>
        <v/>
      </c>
      <c r="BS236" t="str">
        <f t="shared" si="225"/>
        <v/>
      </c>
      <c r="BT236" t="str">
        <f t="shared" si="226"/>
        <v>5500000250000016064001572600</v>
      </c>
      <c r="BU236" t="str">
        <f t="shared" si="222"/>
        <v/>
      </c>
      <c r="BV236" t="str">
        <f t="shared" si="227"/>
        <v>7777</v>
      </c>
      <c r="BW236" t="str">
        <f t="shared" si="223"/>
        <v/>
      </c>
      <c r="BX236" t="str">
        <f t="shared" si="228"/>
        <v>1111</v>
      </c>
      <c r="CB236" s="683" t="str">
        <f t="shared" si="229"/>
        <v/>
      </c>
      <c r="CC236" s="683" t="str">
        <f t="shared" si="224"/>
        <v/>
      </c>
      <c r="CD236" s="683" t="str">
        <f>IF(CC236="","",VALUE(MID($BZ$5,1+SUM($CC$3:CC235),CC236)))</f>
        <v/>
      </c>
      <c r="CE236"/>
      <c r="CF236" t="str">
        <f>IF(CD236="","",MID($BZ$4,1+SUM($CD$3:CD235),CD236))</f>
        <v/>
      </c>
    </row>
    <row r="237" spans="68:84" ht="15">
      <c r="BP237" s="485" t="e">
        <f ca="1">IF(OR(DB_LOAD!AW236="USD",DB_LOAD!AW236='Refi-Annual Review'!$A$3,ISBLANK(DB_LOAD!AW236)),0,1)</f>
        <v>#NAME?</v>
      </c>
      <c r="BQ237" t="str">
        <f>(IF(ISBLANK(DB_LOAD!AR236),"",DB_LOAD!AR236))</f>
        <v/>
      </c>
      <c r="BR237" t="str">
        <f t="shared" si="221"/>
        <v/>
      </c>
      <c r="BS237" t="str">
        <f t="shared" si="225"/>
        <v/>
      </c>
      <c r="BT237" t="str">
        <f t="shared" si="226"/>
        <v>5500000250000016064001572600</v>
      </c>
      <c r="BU237" t="str">
        <f t="shared" si="222"/>
        <v/>
      </c>
      <c r="BV237" t="str">
        <f t="shared" si="227"/>
        <v>7777</v>
      </c>
      <c r="BW237" t="str">
        <f t="shared" si="223"/>
        <v/>
      </c>
      <c r="BX237" t="str">
        <f t="shared" si="228"/>
        <v>1111</v>
      </c>
      <c r="CB237" s="683" t="str">
        <f t="shared" si="229"/>
        <v/>
      </c>
      <c r="CC237" s="683" t="str">
        <f t="shared" si="224"/>
        <v/>
      </c>
      <c r="CD237" s="683" t="str">
        <f>IF(CC237="","",VALUE(MID($BZ$5,1+SUM($CC$3:CC236),CC237)))</f>
        <v/>
      </c>
      <c r="CE237"/>
      <c r="CF237" t="str">
        <f>IF(CD237="","",MID($BZ$4,1+SUM($CD$3:CD236),CD237))</f>
        <v/>
      </c>
    </row>
    <row r="238" spans="68:84" ht="15">
      <c r="BP238" s="485" t="e">
        <f ca="1">IF(OR(DB_LOAD!AW237="USD",DB_LOAD!AW237='Refi-Annual Review'!$A$3,ISBLANK(DB_LOAD!AW237)),0,1)</f>
        <v>#NAME?</v>
      </c>
      <c r="BQ238" t="str">
        <f>(IF(ISBLANK(DB_LOAD!AR237),"",DB_LOAD!AR237))</f>
        <v/>
      </c>
      <c r="BR238" t="str">
        <f t="shared" si="221"/>
        <v/>
      </c>
      <c r="BS238" t="str">
        <f t="shared" si="225"/>
        <v/>
      </c>
      <c r="BT238" t="str">
        <f t="shared" si="226"/>
        <v>5500000250000016064001572600</v>
      </c>
      <c r="BU238" t="str">
        <f t="shared" si="222"/>
        <v/>
      </c>
      <c r="BV238" t="str">
        <f t="shared" si="227"/>
        <v>7777</v>
      </c>
      <c r="BW238" t="str">
        <f t="shared" si="223"/>
        <v/>
      </c>
      <c r="BX238" t="str">
        <f t="shared" si="228"/>
        <v>1111</v>
      </c>
      <c r="CB238" s="683" t="str">
        <f t="shared" si="229"/>
        <v/>
      </c>
      <c r="CC238" s="683" t="str">
        <f t="shared" si="224"/>
        <v/>
      </c>
      <c r="CD238" s="683" t="str">
        <f>IF(CC238="","",VALUE(MID($BZ$5,1+SUM($CC$3:CC237),CC238)))</f>
        <v/>
      </c>
      <c r="CE238"/>
      <c r="CF238" t="str">
        <f>IF(CD238="","",MID($BZ$4,1+SUM($CD$3:CD237),CD238))</f>
        <v/>
      </c>
    </row>
    <row r="239" spans="68:84" ht="15">
      <c r="BP239" s="485" t="e">
        <f ca="1">IF(OR(DB_LOAD!AW238="USD",DB_LOAD!AW238='Refi-Annual Review'!$A$3,ISBLANK(DB_LOAD!AW238)),0,1)</f>
        <v>#NAME?</v>
      </c>
      <c r="BQ239" t="str">
        <f>(IF(ISBLANK(DB_LOAD!AR238),"",DB_LOAD!AR238))</f>
        <v/>
      </c>
      <c r="BR239" t="str">
        <f t="shared" si="221"/>
        <v/>
      </c>
      <c r="BS239" t="str">
        <f t="shared" si="225"/>
        <v/>
      </c>
      <c r="BT239" t="str">
        <f t="shared" si="226"/>
        <v>5500000250000016064001572600</v>
      </c>
      <c r="BU239" t="str">
        <f t="shared" si="222"/>
        <v/>
      </c>
      <c r="BV239" t="str">
        <f t="shared" si="227"/>
        <v>7777</v>
      </c>
      <c r="BW239" t="str">
        <f t="shared" si="223"/>
        <v/>
      </c>
      <c r="BX239" t="str">
        <f t="shared" si="228"/>
        <v>1111</v>
      </c>
      <c r="CB239" s="683" t="str">
        <f t="shared" si="229"/>
        <v/>
      </c>
      <c r="CC239" s="683" t="str">
        <f t="shared" si="224"/>
        <v/>
      </c>
      <c r="CD239" s="683" t="str">
        <f>IF(CC239="","",VALUE(MID($BZ$5,1+SUM($CC$3:CC238),CC239)))</f>
        <v/>
      </c>
      <c r="CE239"/>
      <c r="CF239" t="str">
        <f>IF(CD239="","",MID($BZ$4,1+SUM($CD$3:CD238),CD239))</f>
        <v/>
      </c>
    </row>
    <row r="240" spans="68:84" ht="15">
      <c r="BP240" s="485" t="e">
        <f ca="1">IF(OR(DB_LOAD!AW239="USD",DB_LOAD!AW239='Refi-Annual Review'!$A$3,ISBLANK(DB_LOAD!AW239)),0,1)</f>
        <v>#NAME?</v>
      </c>
      <c r="BQ240" t="str">
        <f>(IF(ISBLANK(DB_LOAD!AR239),"",DB_LOAD!AR239))</f>
        <v/>
      </c>
      <c r="BR240" t="str">
        <f t="shared" si="221"/>
        <v/>
      </c>
      <c r="BS240" t="str">
        <f t="shared" si="225"/>
        <v/>
      </c>
      <c r="BT240" t="str">
        <f t="shared" si="226"/>
        <v>5500000250000016064001572600</v>
      </c>
      <c r="BU240" t="str">
        <f t="shared" si="222"/>
        <v/>
      </c>
      <c r="BV240" t="str">
        <f t="shared" si="227"/>
        <v>7777</v>
      </c>
      <c r="BW240" t="str">
        <f t="shared" si="223"/>
        <v/>
      </c>
      <c r="BX240" t="str">
        <f t="shared" si="228"/>
        <v>1111</v>
      </c>
      <c r="CB240" s="683" t="str">
        <f t="shared" si="229"/>
        <v/>
      </c>
      <c r="CC240" s="683" t="str">
        <f t="shared" si="224"/>
        <v/>
      </c>
      <c r="CD240" s="683" t="str">
        <f>IF(CC240="","",VALUE(MID($BZ$5,1+SUM($CC$3:CC239),CC240)))</f>
        <v/>
      </c>
      <c r="CE240"/>
      <c r="CF240" t="str">
        <f>IF(CD240="","",MID($BZ$4,1+SUM($CD$3:CD239),CD240))</f>
        <v/>
      </c>
    </row>
    <row r="241" spans="68:84" ht="15">
      <c r="BP241" s="485" t="e">
        <f ca="1">IF(OR(DB_LOAD!AW240="USD",DB_LOAD!AW240='Refi-Annual Review'!$A$3,ISBLANK(DB_LOAD!AW240)),0,1)</f>
        <v>#NAME?</v>
      </c>
      <c r="BQ241" t="str">
        <f>(IF(ISBLANK(DB_LOAD!AR240),"",DB_LOAD!AR240))</f>
        <v/>
      </c>
      <c r="BR241" t="str">
        <f t="shared" si="221"/>
        <v/>
      </c>
      <c r="BS241" t="str">
        <f t="shared" si="225"/>
        <v/>
      </c>
      <c r="BT241" t="str">
        <f t="shared" si="226"/>
        <v>5500000250000016064001572600</v>
      </c>
      <c r="BU241" t="str">
        <f t="shared" si="222"/>
        <v/>
      </c>
      <c r="BV241" t="str">
        <f t="shared" si="227"/>
        <v>7777</v>
      </c>
      <c r="BW241" t="str">
        <f t="shared" si="223"/>
        <v/>
      </c>
      <c r="BX241" t="str">
        <f t="shared" si="228"/>
        <v>1111</v>
      </c>
      <c r="CB241" s="683" t="str">
        <f t="shared" si="229"/>
        <v/>
      </c>
      <c r="CC241" s="683" t="str">
        <f t="shared" si="224"/>
        <v/>
      </c>
      <c r="CD241" s="683" t="str">
        <f>IF(CC241="","",VALUE(MID($BZ$5,1+SUM($CC$3:CC240),CC241)))</f>
        <v/>
      </c>
      <c r="CE241"/>
      <c r="CF241" t="str">
        <f>IF(CD241="","",MID($BZ$4,1+SUM($CD$3:CD240),CD241))</f>
        <v/>
      </c>
    </row>
    <row r="242" spans="68:84" ht="15">
      <c r="BP242" s="485" t="e">
        <f ca="1">IF(OR(DB_LOAD!AW241="USD",DB_LOAD!AW241='Refi-Annual Review'!$A$3,ISBLANK(DB_LOAD!AW241)),0,1)</f>
        <v>#NAME?</v>
      </c>
      <c r="BQ242" t="str">
        <f>(IF(ISBLANK(DB_LOAD!AR241),"",DB_LOAD!AR241))</f>
        <v/>
      </c>
      <c r="BR242" t="str">
        <f t="shared" ref="BR242:BR300" si="230">IF(LEN(BQ242)&gt;0,LEN(BQ242),"")</f>
        <v/>
      </c>
      <c r="BS242" t="str">
        <f t="shared" si="225"/>
        <v/>
      </c>
      <c r="BT242" t="str">
        <f t="shared" si="226"/>
        <v>5500000250000016064001572600</v>
      </c>
      <c r="BU242" t="str">
        <f t="shared" ref="BU242:BU300" si="231">IF(LEN(BS242)&gt;0,LEN(BS242),"")</f>
        <v/>
      </c>
      <c r="BV242" t="str">
        <f t="shared" si="227"/>
        <v>7777</v>
      </c>
      <c r="BW242" t="str">
        <f t="shared" ref="BW242:BW300" si="232">IF(LEN(BU242)&gt;0,LEN(BU242),"")</f>
        <v/>
      </c>
      <c r="BX242" t="str">
        <f t="shared" si="228"/>
        <v>1111</v>
      </c>
      <c r="CB242" s="683" t="str">
        <f t="shared" si="229"/>
        <v/>
      </c>
      <c r="CC242" s="683" t="str">
        <f t="shared" ref="CC242:CC300" si="233">IF(CB242="","",VALUE(MID($BZ$6,CB242,1)))</f>
        <v/>
      </c>
      <c r="CD242" s="683" t="str">
        <f>IF(CC242="","",VALUE(MID($BZ$5,1+SUM($CC$3:CC241),CC242)))</f>
        <v/>
      </c>
      <c r="CE242"/>
      <c r="CF242" t="str">
        <f>IF(CD242="","",MID($BZ$4,1+SUM($CD$3:CD241),CD242))</f>
        <v/>
      </c>
    </row>
    <row r="243" spans="68:84" ht="15">
      <c r="BP243" s="485" t="e">
        <f ca="1">IF(OR(DB_LOAD!AW242="USD",DB_LOAD!AW242='Refi-Annual Review'!$A$3,ISBLANK(DB_LOAD!AW242)),0,1)</f>
        <v>#NAME?</v>
      </c>
      <c r="BQ243" t="str">
        <f>(IF(ISBLANK(DB_LOAD!AR242),"",DB_LOAD!AR242))</f>
        <v/>
      </c>
      <c r="BR243" t="str">
        <f t="shared" si="230"/>
        <v/>
      </c>
      <c r="BS243" t="str">
        <f t="shared" ref="BS243:BS300" si="234">IF(AND(BQ243=BQ242,BR243=BR242,BQ243&lt;&gt;""),"",IF(BQ243="","",BQ243))</f>
        <v/>
      </c>
      <c r="BT243" t="str">
        <f t="shared" ref="BT243:BT300" si="235">BT242&amp;BS243</f>
        <v>5500000250000016064001572600</v>
      </c>
      <c r="BU243" t="str">
        <f t="shared" si="231"/>
        <v/>
      </c>
      <c r="BV243" t="str">
        <f t="shared" ref="BV243:BV300" si="236">BV242&amp;BU243</f>
        <v>7777</v>
      </c>
      <c r="BW243" t="str">
        <f t="shared" si="232"/>
        <v/>
      </c>
      <c r="BX243" t="str">
        <f t="shared" ref="BX243:BX300" si="237">BX242&amp;BW243</f>
        <v>1111</v>
      </c>
      <c r="CB243" s="683" t="str">
        <f t="shared" ref="CB243:CB300" si="238">IF(CB242&lt;$BZ$3,CB242+1,"")</f>
        <v/>
      </c>
      <c r="CC243" s="683" t="str">
        <f t="shared" si="233"/>
        <v/>
      </c>
      <c r="CD243" s="683" t="str">
        <f>IF(CC243="","",VALUE(MID($BZ$5,1+SUM($CC$3:CC242),CC243)))</f>
        <v/>
      </c>
      <c r="CE243"/>
      <c r="CF243" t="str">
        <f>IF(CD243="","",MID($BZ$4,1+SUM($CD$3:CD242),CD243))</f>
        <v/>
      </c>
    </row>
    <row r="244" spans="68:84" ht="15">
      <c r="BP244" s="485" t="e">
        <f ca="1">IF(OR(DB_LOAD!AW243="USD",DB_LOAD!AW243='Refi-Annual Review'!$A$3,ISBLANK(DB_LOAD!AW243)),0,1)</f>
        <v>#NAME?</v>
      </c>
      <c r="BQ244" t="str">
        <f>(IF(ISBLANK(DB_LOAD!AR243),"",DB_LOAD!AR243))</f>
        <v/>
      </c>
      <c r="BR244" t="str">
        <f t="shared" si="230"/>
        <v/>
      </c>
      <c r="BS244" t="str">
        <f t="shared" si="234"/>
        <v/>
      </c>
      <c r="BT244" t="str">
        <f t="shared" si="235"/>
        <v>5500000250000016064001572600</v>
      </c>
      <c r="BU244" t="str">
        <f t="shared" si="231"/>
        <v/>
      </c>
      <c r="BV244" t="str">
        <f t="shared" si="236"/>
        <v>7777</v>
      </c>
      <c r="BW244" t="str">
        <f t="shared" si="232"/>
        <v/>
      </c>
      <c r="BX244" t="str">
        <f t="shared" si="237"/>
        <v>1111</v>
      </c>
      <c r="CB244" s="683" t="str">
        <f t="shared" si="238"/>
        <v/>
      </c>
      <c r="CC244" s="683" t="str">
        <f t="shared" si="233"/>
        <v/>
      </c>
      <c r="CD244" s="683" t="str">
        <f>IF(CC244="","",VALUE(MID($BZ$5,1+SUM($CC$3:CC243),CC244)))</f>
        <v/>
      </c>
      <c r="CE244"/>
      <c r="CF244" t="str">
        <f>IF(CD244="","",MID($BZ$4,1+SUM($CD$3:CD243),CD244))</f>
        <v/>
      </c>
    </row>
    <row r="245" spans="68:84" ht="15">
      <c r="BP245" s="485" t="e">
        <f ca="1">IF(OR(DB_LOAD!AW244="USD",DB_LOAD!AW244='Refi-Annual Review'!$A$3,ISBLANK(DB_LOAD!AW244)),0,1)</f>
        <v>#NAME?</v>
      </c>
      <c r="BQ245" t="str">
        <f>(IF(ISBLANK(DB_LOAD!AR244),"",DB_LOAD!AR244))</f>
        <v/>
      </c>
      <c r="BR245" t="str">
        <f t="shared" si="230"/>
        <v/>
      </c>
      <c r="BS245" t="str">
        <f t="shared" si="234"/>
        <v/>
      </c>
      <c r="BT245" t="str">
        <f t="shared" si="235"/>
        <v>5500000250000016064001572600</v>
      </c>
      <c r="BU245" t="str">
        <f t="shared" si="231"/>
        <v/>
      </c>
      <c r="BV245" t="str">
        <f t="shared" si="236"/>
        <v>7777</v>
      </c>
      <c r="BW245" t="str">
        <f t="shared" si="232"/>
        <v/>
      </c>
      <c r="BX245" t="str">
        <f t="shared" si="237"/>
        <v>1111</v>
      </c>
      <c r="CB245" s="683" t="str">
        <f t="shared" si="238"/>
        <v/>
      </c>
      <c r="CC245" s="683" t="str">
        <f t="shared" si="233"/>
        <v/>
      </c>
      <c r="CD245" s="683" t="str">
        <f>IF(CC245="","",VALUE(MID($BZ$5,1+SUM($CC$3:CC244),CC245)))</f>
        <v/>
      </c>
      <c r="CE245"/>
      <c r="CF245" t="str">
        <f>IF(CD245="","",MID($BZ$4,1+SUM($CD$3:CD244),CD245))</f>
        <v/>
      </c>
    </row>
    <row r="246" spans="68:84" ht="15">
      <c r="BP246" s="485" t="e">
        <f ca="1">IF(OR(DB_LOAD!AW245="USD",DB_LOAD!AW245='Refi-Annual Review'!$A$3,ISBLANK(DB_LOAD!AW245)),0,1)</f>
        <v>#NAME?</v>
      </c>
      <c r="BQ246" t="str">
        <f>(IF(ISBLANK(DB_LOAD!AR245),"",DB_LOAD!AR245))</f>
        <v/>
      </c>
      <c r="BR246" t="str">
        <f t="shared" si="230"/>
        <v/>
      </c>
      <c r="BS246" t="str">
        <f t="shared" si="234"/>
        <v/>
      </c>
      <c r="BT246" t="str">
        <f t="shared" si="235"/>
        <v>5500000250000016064001572600</v>
      </c>
      <c r="BU246" t="str">
        <f t="shared" si="231"/>
        <v/>
      </c>
      <c r="BV246" t="str">
        <f t="shared" si="236"/>
        <v>7777</v>
      </c>
      <c r="BW246" t="str">
        <f t="shared" si="232"/>
        <v/>
      </c>
      <c r="BX246" t="str">
        <f t="shared" si="237"/>
        <v>1111</v>
      </c>
      <c r="CB246" s="683" t="str">
        <f t="shared" si="238"/>
        <v/>
      </c>
      <c r="CC246" s="683" t="str">
        <f t="shared" si="233"/>
        <v/>
      </c>
      <c r="CD246" s="683" t="str">
        <f>IF(CC246="","",VALUE(MID($BZ$5,1+SUM($CC$3:CC245),CC246)))</f>
        <v/>
      </c>
      <c r="CE246"/>
      <c r="CF246" t="str">
        <f>IF(CD246="","",MID($BZ$4,1+SUM($CD$3:CD245),CD246))</f>
        <v/>
      </c>
    </row>
    <row r="247" spans="68:84" ht="15">
      <c r="BP247" s="485" t="e">
        <f ca="1">IF(OR(DB_LOAD!AW246="USD",DB_LOAD!AW246='Refi-Annual Review'!$A$3,ISBLANK(DB_LOAD!AW246)),0,1)</f>
        <v>#NAME?</v>
      </c>
      <c r="BQ247" t="str">
        <f>(IF(ISBLANK(DB_LOAD!AR246),"",DB_LOAD!AR246))</f>
        <v/>
      </c>
      <c r="BR247" t="str">
        <f t="shared" si="230"/>
        <v/>
      </c>
      <c r="BS247" t="str">
        <f t="shared" si="234"/>
        <v/>
      </c>
      <c r="BT247" t="str">
        <f t="shared" si="235"/>
        <v>5500000250000016064001572600</v>
      </c>
      <c r="BU247" t="str">
        <f t="shared" si="231"/>
        <v/>
      </c>
      <c r="BV247" t="str">
        <f t="shared" si="236"/>
        <v>7777</v>
      </c>
      <c r="BW247" t="str">
        <f t="shared" si="232"/>
        <v/>
      </c>
      <c r="BX247" t="str">
        <f t="shared" si="237"/>
        <v>1111</v>
      </c>
      <c r="CB247" s="683" t="str">
        <f t="shared" si="238"/>
        <v/>
      </c>
      <c r="CC247" s="683" t="str">
        <f t="shared" si="233"/>
        <v/>
      </c>
      <c r="CD247" s="683" t="str">
        <f>IF(CC247="","",VALUE(MID($BZ$5,1+SUM($CC$3:CC246),CC247)))</f>
        <v/>
      </c>
      <c r="CE247"/>
      <c r="CF247" t="str">
        <f>IF(CD247="","",MID($BZ$4,1+SUM($CD$3:CD246),CD247))</f>
        <v/>
      </c>
    </row>
    <row r="248" spans="68:84" ht="15">
      <c r="BP248" s="485" t="e">
        <f ca="1">IF(OR(DB_LOAD!AW247="USD",DB_LOAD!AW247='Refi-Annual Review'!$A$3,ISBLANK(DB_LOAD!AW247)),0,1)</f>
        <v>#NAME?</v>
      </c>
      <c r="BQ248" t="str">
        <f>(IF(ISBLANK(DB_LOAD!AR247),"",DB_LOAD!AR247))</f>
        <v/>
      </c>
      <c r="BR248" t="str">
        <f t="shared" si="230"/>
        <v/>
      </c>
      <c r="BS248" t="str">
        <f t="shared" si="234"/>
        <v/>
      </c>
      <c r="BT248" t="str">
        <f t="shared" si="235"/>
        <v>5500000250000016064001572600</v>
      </c>
      <c r="BU248" t="str">
        <f t="shared" si="231"/>
        <v/>
      </c>
      <c r="BV248" t="str">
        <f t="shared" si="236"/>
        <v>7777</v>
      </c>
      <c r="BW248" t="str">
        <f t="shared" si="232"/>
        <v/>
      </c>
      <c r="BX248" t="str">
        <f t="shared" si="237"/>
        <v>1111</v>
      </c>
      <c r="CB248" s="683" t="str">
        <f t="shared" si="238"/>
        <v/>
      </c>
      <c r="CC248" s="683" t="str">
        <f t="shared" si="233"/>
        <v/>
      </c>
      <c r="CD248" s="683" t="str">
        <f>IF(CC248="","",VALUE(MID($BZ$5,1+SUM($CC$3:CC247),CC248)))</f>
        <v/>
      </c>
      <c r="CE248"/>
      <c r="CF248" t="str">
        <f>IF(CD248="","",MID($BZ$4,1+SUM($CD$3:CD247),CD248))</f>
        <v/>
      </c>
    </row>
    <row r="249" spans="68:84" ht="15">
      <c r="BP249" s="485" t="e">
        <f ca="1">IF(OR(DB_LOAD!AW248="USD",DB_LOAD!AW248='Refi-Annual Review'!$A$3,ISBLANK(DB_LOAD!AW248)),0,1)</f>
        <v>#NAME?</v>
      </c>
      <c r="BQ249" t="str">
        <f>(IF(ISBLANK(DB_LOAD!AR248),"",DB_LOAD!AR248))</f>
        <v/>
      </c>
      <c r="BR249" t="str">
        <f t="shared" si="230"/>
        <v/>
      </c>
      <c r="BS249" t="str">
        <f t="shared" si="234"/>
        <v/>
      </c>
      <c r="BT249" t="str">
        <f t="shared" si="235"/>
        <v>5500000250000016064001572600</v>
      </c>
      <c r="BU249" t="str">
        <f t="shared" si="231"/>
        <v/>
      </c>
      <c r="BV249" t="str">
        <f t="shared" si="236"/>
        <v>7777</v>
      </c>
      <c r="BW249" t="str">
        <f t="shared" si="232"/>
        <v/>
      </c>
      <c r="BX249" t="str">
        <f t="shared" si="237"/>
        <v>1111</v>
      </c>
      <c r="CB249" s="683" t="str">
        <f t="shared" si="238"/>
        <v/>
      </c>
      <c r="CC249" s="683" t="str">
        <f t="shared" si="233"/>
        <v/>
      </c>
      <c r="CD249" s="683" t="str">
        <f>IF(CC249="","",VALUE(MID($BZ$5,1+SUM($CC$3:CC248),CC249)))</f>
        <v/>
      </c>
      <c r="CE249"/>
      <c r="CF249" t="str">
        <f>IF(CD249="","",MID($BZ$4,1+SUM($CD$3:CD248),CD249))</f>
        <v/>
      </c>
    </row>
    <row r="250" spans="68:84" ht="15">
      <c r="BP250" s="485" t="e">
        <f ca="1">IF(OR(DB_LOAD!AW249="USD",DB_LOAD!AW249='Refi-Annual Review'!$A$3,ISBLANK(DB_LOAD!AW249)),0,1)</f>
        <v>#NAME?</v>
      </c>
      <c r="BQ250" t="str">
        <f>(IF(ISBLANK(DB_LOAD!AR249),"",DB_LOAD!AR249))</f>
        <v/>
      </c>
      <c r="BR250" t="str">
        <f t="shared" si="230"/>
        <v/>
      </c>
      <c r="BS250" t="str">
        <f t="shared" si="234"/>
        <v/>
      </c>
      <c r="BT250" t="str">
        <f t="shared" si="235"/>
        <v>5500000250000016064001572600</v>
      </c>
      <c r="BU250" t="str">
        <f t="shared" si="231"/>
        <v/>
      </c>
      <c r="BV250" t="str">
        <f t="shared" si="236"/>
        <v>7777</v>
      </c>
      <c r="BW250" t="str">
        <f t="shared" si="232"/>
        <v/>
      </c>
      <c r="BX250" t="str">
        <f t="shared" si="237"/>
        <v>1111</v>
      </c>
      <c r="CB250" s="683" t="str">
        <f t="shared" si="238"/>
        <v/>
      </c>
      <c r="CC250" s="683" t="str">
        <f t="shared" si="233"/>
        <v/>
      </c>
      <c r="CD250" s="683" t="str">
        <f>IF(CC250="","",VALUE(MID($BZ$5,1+SUM($CC$3:CC249),CC250)))</f>
        <v/>
      </c>
      <c r="CE250"/>
      <c r="CF250" t="str">
        <f>IF(CD250="","",MID($BZ$4,1+SUM($CD$3:CD249),CD250))</f>
        <v/>
      </c>
    </row>
    <row r="251" spans="68:84" ht="15">
      <c r="BP251" s="485" t="e">
        <f ca="1">IF(OR(DB_LOAD!AW250="USD",DB_LOAD!AW250='Refi-Annual Review'!$A$3,ISBLANK(DB_LOAD!AW250)),0,1)</f>
        <v>#NAME?</v>
      </c>
      <c r="BQ251" t="str">
        <f>(IF(ISBLANK(DB_LOAD!AR250),"",DB_LOAD!AR250))</f>
        <v/>
      </c>
      <c r="BR251" t="str">
        <f t="shared" si="230"/>
        <v/>
      </c>
      <c r="BS251" t="str">
        <f t="shared" si="234"/>
        <v/>
      </c>
      <c r="BT251" t="str">
        <f t="shared" si="235"/>
        <v>5500000250000016064001572600</v>
      </c>
      <c r="BU251" t="str">
        <f t="shared" si="231"/>
        <v/>
      </c>
      <c r="BV251" t="str">
        <f t="shared" si="236"/>
        <v>7777</v>
      </c>
      <c r="BW251" t="str">
        <f t="shared" si="232"/>
        <v/>
      </c>
      <c r="BX251" t="str">
        <f t="shared" si="237"/>
        <v>1111</v>
      </c>
      <c r="CB251" s="683" t="str">
        <f t="shared" si="238"/>
        <v/>
      </c>
      <c r="CC251" s="683" t="str">
        <f t="shared" si="233"/>
        <v/>
      </c>
      <c r="CD251" s="683" t="str">
        <f>IF(CC251="","",VALUE(MID($BZ$5,1+SUM($CC$3:CC250),CC251)))</f>
        <v/>
      </c>
      <c r="CE251"/>
      <c r="CF251" t="str">
        <f>IF(CD251="","",MID($BZ$4,1+SUM($CD$3:CD250),CD251))</f>
        <v/>
      </c>
    </row>
    <row r="252" spans="68:84" ht="15">
      <c r="BP252" s="485" t="e">
        <f ca="1">IF(OR(DB_LOAD!AW251="USD",DB_LOAD!AW251='Refi-Annual Review'!$A$3,ISBLANK(DB_LOAD!AW251)),0,1)</f>
        <v>#NAME?</v>
      </c>
      <c r="BQ252" t="str">
        <f>(IF(ISBLANK(DB_LOAD!AR251),"",DB_LOAD!AR251))</f>
        <v/>
      </c>
      <c r="BR252" t="str">
        <f t="shared" si="230"/>
        <v/>
      </c>
      <c r="BS252" t="str">
        <f t="shared" si="234"/>
        <v/>
      </c>
      <c r="BT252" t="str">
        <f t="shared" si="235"/>
        <v>5500000250000016064001572600</v>
      </c>
      <c r="BU252" t="str">
        <f t="shared" si="231"/>
        <v/>
      </c>
      <c r="BV252" t="str">
        <f t="shared" si="236"/>
        <v>7777</v>
      </c>
      <c r="BW252" t="str">
        <f t="shared" si="232"/>
        <v/>
      </c>
      <c r="BX252" t="str">
        <f t="shared" si="237"/>
        <v>1111</v>
      </c>
      <c r="CB252" s="683" t="str">
        <f t="shared" si="238"/>
        <v/>
      </c>
      <c r="CC252" s="683" t="str">
        <f t="shared" si="233"/>
        <v/>
      </c>
      <c r="CD252" s="683" t="str">
        <f>IF(CC252="","",VALUE(MID($BZ$5,1+SUM($CC$3:CC251),CC252)))</f>
        <v/>
      </c>
      <c r="CE252"/>
      <c r="CF252" t="str">
        <f>IF(CD252="","",MID($BZ$4,1+SUM($CD$3:CD251),CD252))</f>
        <v/>
      </c>
    </row>
    <row r="253" spans="68:84" ht="15">
      <c r="BP253" s="485" t="e">
        <f ca="1">IF(OR(DB_LOAD!AW252="USD",DB_LOAD!AW252='Refi-Annual Review'!$A$3,ISBLANK(DB_LOAD!AW252)),0,1)</f>
        <v>#NAME?</v>
      </c>
      <c r="BQ253" t="str">
        <f>(IF(ISBLANK(DB_LOAD!AR252),"",DB_LOAD!AR252))</f>
        <v/>
      </c>
      <c r="BR253" t="str">
        <f t="shared" si="230"/>
        <v/>
      </c>
      <c r="BS253" t="str">
        <f t="shared" si="234"/>
        <v/>
      </c>
      <c r="BT253" t="str">
        <f t="shared" si="235"/>
        <v>5500000250000016064001572600</v>
      </c>
      <c r="BU253" t="str">
        <f t="shared" si="231"/>
        <v/>
      </c>
      <c r="BV253" t="str">
        <f t="shared" si="236"/>
        <v>7777</v>
      </c>
      <c r="BW253" t="str">
        <f t="shared" si="232"/>
        <v/>
      </c>
      <c r="BX253" t="str">
        <f t="shared" si="237"/>
        <v>1111</v>
      </c>
      <c r="CB253" s="683" t="str">
        <f t="shared" si="238"/>
        <v/>
      </c>
      <c r="CC253" s="683" t="str">
        <f t="shared" si="233"/>
        <v/>
      </c>
      <c r="CD253" s="683" t="str">
        <f>IF(CC253="","",VALUE(MID($BZ$5,1+SUM($CC$3:CC252),CC253)))</f>
        <v/>
      </c>
      <c r="CE253"/>
      <c r="CF253" t="str">
        <f>IF(CD253="","",MID($BZ$4,1+SUM($CD$3:CD252),CD253))</f>
        <v/>
      </c>
    </row>
    <row r="254" spans="68:84" ht="15">
      <c r="BP254" s="485" t="e">
        <f ca="1">IF(OR(DB_LOAD!AW253="USD",DB_LOAD!AW253='Refi-Annual Review'!$A$3,ISBLANK(DB_LOAD!AW253)),0,1)</f>
        <v>#NAME?</v>
      </c>
      <c r="BQ254" t="str">
        <f>(IF(ISBLANK(DB_LOAD!AR253),"",DB_LOAD!AR253))</f>
        <v/>
      </c>
      <c r="BR254" t="str">
        <f t="shared" si="230"/>
        <v/>
      </c>
      <c r="BS254" t="str">
        <f t="shared" si="234"/>
        <v/>
      </c>
      <c r="BT254" t="str">
        <f t="shared" si="235"/>
        <v>5500000250000016064001572600</v>
      </c>
      <c r="BU254" t="str">
        <f t="shared" si="231"/>
        <v/>
      </c>
      <c r="BV254" t="str">
        <f t="shared" si="236"/>
        <v>7777</v>
      </c>
      <c r="BW254" t="str">
        <f t="shared" si="232"/>
        <v/>
      </c>
      <c r="BX254" t="str">
        <f t="shared" si="237"/>
        <v>1111</v>
      </c>
      <c r="CB254" s="683" t="str">
        <f t="shared" si="238"/>
        <v/>
      </c>
      <c r="CC254" s="683" t="str">
        <f t="shared" si="233"/>
        <v/>
      </c>
      <c r="CD254" s="683" t="str">
        <f>IF(CC254="","",VALUE(MID($BZ$5,1+SUM($CC$3:CC253),CC254)))</f>
        <v/>
      </c>
      <c r="CE254"/>
      <c r="CF254" t="str">
        <f>IF(CD254="","",MID($BZ$4,1+SUM($CD$3:CD253),CD254))</f>
        <v/>
      </c>
    </row>
    <row r="255" spans="68:84" ht="15">
      <c r="BP255" s="485" t="e">
        <f ca="1">IF(OR(DB_LOAD!AW254="USD",DB_LOAD!AW254='Refi-Annual Review'!$A$3,ISBLANK(DB_LOAD!AW254)),0,1)</f>
        <v>#NAME?</v>
      </c>
      <c r="BQ255" t="str">
        <f>(IF(ISBLANK(DB_LOAD!AR254),"",DB_LOAD!AR254))</f>
        <v/>
      </c>
      <c r="BR255" t="str">
        <f t="shared" si="230"/>
        <v/>
      </c>
      <c r="BS255" t="str">
        <f t="shared" si="234"/>
        <v/>
      </c>
      <c r="BT255" t="str">
        <f t="shared" si="235"/>
        <v>5500000250000016064001572600</v>
      </c>
      <c r="BU255" t="str">
        <f t="shared" si="231"/>
        <v/>
      </c>
      <c r="BV255" t="str">
        <f t="shared" si="236"/>
        <v>7777</v>
      </c>
      <c r="BW255" t="str">
        <f t="shared" si="232"/>
        <v/>
      </c>
      <c r="BX255" t="str">
        <f t="shared" si="237"/>
        <v>1111</v>
      </c>
      <c r="CB255" s="683" t="str">
        <f t="shared" si="238"/>
        <v/>
      </c>
      <c r="CC255" s="683" t="str">
        <f t="shared" si="233"/>
        <v/>
      </c>
      <c r="CD255" s="683" t="str">
        <f>IF(CC255="","",VALUE(MID($BZ$5,1+SUM($CC$3:CC254),CC255)))</f>
        <v/>
      </c>
      <c r="CE255"/>
      <c r="CF255" t="str">
        <f>IF(CD255="","",MID($BZ$4,1+SUM($CD$3:CD254),CD255))</f>
        <v/>
      </c>
    </row>
    <row r="256" spans="68:84" ht="15">
      <c r="BP256" s="485" t="e">
        <f ca="1">IF(OR(DB_LOAD!AW255="USD",DB_LOAD!AW255='Refi-Annual Review'!$A$3,ISBLANK(DB_LOAD!AW255)),0,1)</f>
        <v>#NAME?</v>
      </c>
      <c r="BQ256" t="str">
        <f>(IF(ISBLANK(DB_LOAD!AR255),"",DB_LOAD!AR255))</f>
        <v/>
      </c>
      <c r="BR256" t="str">
        <f t="shared" si="230"/>
        <v/>
      </c>
      <c r="BS256" t="str">
        <f t="shared" si="234"/>
        <v/>
      </c>
      <c r="BT256" t="str">
        <f t="shared" si="235"/>
        <v>5500000250000016064001572600</v>
      </c>
      <c r="BU256" t="str">
        <f t="shared" si="231"/>
        <v/>
      </c>
      <c r="BV256" t="str">
        <f t="shared" si="236"/>
        <v>7777</v>
      </c>
      <c r="BW256" t="str">
        <f t="shared" si="232"/>
        <v/>
      </c>
      <c r="BX256" t="str">
        <f t="shared" si="237"/>
        <v>1111</v>
      </c>
      <c r="CB256" s="683" t="str">
        <f t="shared" si="238"/>
        <v/>
      </c>
      <c r="CC256" s="683" t="str">
        <f t="shared" si="233"/>
        <v/>
      </c>
      <c r="CD256" s="683" t="str">
        <f>IF(CC256="","",VALUE(MID($BZ$5,1+SUM($CC$3:CC255),CC256)))</f>
        <v/>
      </c>
      <c r="CE256"/>
      <c r="CF256" t="str">
        <f>IF(CD256="","",MID($BZ$4,1+SUM($CD$3:CD255),CD256))</f>
        <v/>
      </c>
    </row>
    <row r="257" spans="68:84" ht="15">
      <c r="BP257" s="485" t="e">
        <f ca="1">IF(OR(DB_LOAD!AW256="USD",DB_LOAD!AW256='Refi-Annual Review'!$A$3,ISBLANK(DB_LOAD!AW256)),0,1)</f>
        <v>#NAME?</v>
      </c>
      <c r="BQ257" t="str">
        <f>(IF(ISBLANK(DB_LOAD!AR256),"",DB_LOAD!AR256))</f>
        <v/>
      </c>
      <c r="BR257" t="str">
        <f t="shared" si="230"/>
        <v/>
      </c>
      <c r="BS257" t="str">
        <f t="shared" si="234"/>
        <v/>
      </c>
      <c r="BT257" t="str">
        <f t="shared" si="235"/>
        <v>5500000250000016064001572600</v>
      </c>
      <c r="BU257" t="str">
        <f t="shared" si="231"/>
        <v/>
      </c>
      <c r="BV257" t="str">
        <f t="shared" si="236"/>
        <v>7777</v>
      </c>
      <c r="BW257" t="str">
        <f t="shared" si="232"/>
        <v/>
      </c>
      <c r="BX257" t="str">
        <f t="shared" si="237"/>
        <v>1111</v>
      </c>
      <c r="CB257" s="683" t="str">
        <f t="shared" si="238"/>
        <v/>
      </c>
      <c r="CC257" s="683" t="str">
        <f t="shared" si="233"/>
        <v/>
      </c>
      <c r="CD257" s="683" t="str">
        <f>IF(CC257="","",VALUE(MID($BZ$5,1+SUM($CC$3:CC256),CC257)))</f>
        <v/>
      </c>
      <c r="CE257"/>
      <c r="CF257" t="str">
        <f>IF(CD257="","",MID($BZ$4,1+SUM($CD$3:CD256),CD257))</f>
        <v/>
      </c>
    </row>
    <row r="258" spans="68:84" ht="15">
      <c r="BP258" s="485" t="e">
        <f ca="1">IF(OR(DB_LOAD!AW257="USD",DB_LOAD!AW257='Refi-Annual Review'!$A$3,ISBLANK(DB_LOAD!AW257)),0,1)</f>
        <v>#NAME?</v>
      </c>
      <c r="BQ258" t="str">
        <f>(IF(ISBLANK(DB_LOAD!AR257),"",DB_LOAD!AR257))</f>
        <v/>
      </c>
      <c r="BR258" t="str">
        <f t="shared" si="230"/>
        <v/>
      </c>
      <c r="BS258" t="str">
        <f t="shared" si="234"/>
        <v/>
      </c>
      <c r="BT258" t="str">
        <f t="shared" si="235"/>
        <v>5500000250000016064001572600</v>
      </c>
      <c r="BU258" t="str">
        <f t="shared" si="231"/>
        <v/>
      </c>
      <c r="BV258" t="str">
        <f t="shared" si="236"/>
        <v>7777</v>
      </c>
      <c r="BW258" t="str">
        <f t="shared" si="232"/>
        <v/>
      </c>
      <c r="BX258" t="str">
        <f t="shared" si="237"/>
        <v>1111</v>
      </c>
      <c r="CB258" s="683" t="str">
        <f t="shared" si="238"/>
        <v/>
      </c>
      <c r="CC258" s="683" t="str">
        <f t="shared" si="233"/>
        <v/>
      </c>
      <c r="CD258" s="683" t="str">
        <f>IF(CC258="","",VALUE(MID($BZ$5,1+SUM($CC$3:CC257),CC258)))</f>
        <v/>
      </c>
      <c r="CE258"/>
      <c r="CF258" t="str">
        <f>IF(CD258="","",MID($BZ$4,1+SUM($CD$3:CD257),CD258))</f>
        <v/>
      </c>
    </row>
    <row r="259" spans="68:84" ht="15">
      <c r="BP259" s="485" t="e">
        <f ca="1">IF(OR(DB_LOAD!AW258="USD",DB_LOAD!AW258='Refi-Annual Review'!$A$3,ISBLANK(DB_LOAD!AW258)),0,1)</f>
        <v>#NAME?</v>
      </c>
      <c r="BQ259" t="str">
        <f>(IF(ISBLANK(DB_LOAD!AR258),"",DB_LOAD!AR258))</f>
        <v/>
      </c>
      <c r="BR259" t="str">
        <f t="shared" si="230"/>
        <v/>
      </c>
      <c r="BS259" t="str">
        <f t="shared" si="234"/>
        <v/>
      </c>
      <c r="BT259" t="str">
        <f t="shared" si="235"/>
        <v>5500000250000016064001572600</v>
      </c>
      <c r="BU259" t="str">
        <f t="shared" si="231"/>
        <v/>
      </c>
      <c r="BV259" t="str">
        <f t="shared" si="236"/>
        <v>7777</v>
      </c>
      <c r="BW259" t="str">
        <f t="shared" si="232"/>
        <v/>
      </c>
      <c r="BX259" t="str">
        <f t="shared" si="237"/>
        <v>1111</v>
      </c>
      <c r="CB259" s="683" t="str">
        <f t="shared" si="238"/>
        <v/>
      </c>
      <c r="CC259" s="683" t="str">
        <f t="shared" si="233"/>
        <v/>
      </c>
      <c r="CD259" s="683" t="str">
        <f>IF(CC259="","",VALUE(MID($BZ$5,1+SUM($CC$3:CC258),CC259)))</f>
        <v/>
      </c>
      <c r="CE259"/>
      <c r="CF259" t="str">
        <f>IF(CD259="","",MID($BZ$4,1+SUM($CD$3:CD258),CD259))</f>
        <v/>
      </c>
    </row>
    <row r="260" spans="68:84" ht="15">
      <c r="BP260" s="485" t="e">
        <f ca="1">IF(OR(DB_LOAD!AW259="USD",DB_LOAD!AW259='Refi-Annual Review'!$A$3,ISBLANK(DB_LOAD!AW259)),0,1)</f>
        <v>#NAME?</v>
      </c>
      <c r="BQ260" t="str">
        <f>(IF(ISBLANK(DB_LOAD!AR259),"",DB_LOAD!AR259))</f>
        <v/>
      </c>
      <c r="BR260" t="str">
        <f t="shared" si="230"/>
        <v/>
      </c>
      <c r="BS260" t="str">
        <f t="shared" si="234"/>
        <v/>
      </c>
      <c r="BT260" t="str">
        <f t="shared" si="235"/>
        <v>5500000250000016064001572600</v>
      </c>
      <c r="BU260" t="str">
        <f t="shared" si="231"/>
        <v/>
      </c>
      <c r="BV260" t="str">
        <f t="shared" si="236"/>
        <v>7777</v>
      </c>
      <c r="BW260" t="str">
        <f t="shared" si="232"/>
        <v/>
      </c>
      <c r="BX260" t="str">
        <f t="shared" si="237"/>
        <v>1111</v>
      </c>
      <c r="CB260" s="683" t="str">
        <f t="shared" si="238"/>
        <v/>
      </c>
      <c r="CC260" s="683" t="str">
        <f t="shared" si="233"/>
        <v/>
      </c>
      <c r="CD260" s="683" t="str">
        <f>IF(CC260="","",VALUE(MID($BZ$5,1+SUM($CC$3:CC259),CC260)))</f>
        <v/>
      </c>
      <c r="CE260"/>
      <c r="CF260" t="str">
        <f>IF(CD260="","",MID($BZ$4,1+SUM($CD$3:CD259),CD260))</f>
        <v/>
      </c>
    </row>
    <row r="261" spans="68:84" ht="15">
      <c r="BP261" s="485" t="e">
        <f ca="1">IF(OR(DB_LOAD!AW260="USD",DB_LOAD!AW260='Refi-Annual Review'!$A$3,ISBLANK(DB_LOAD!AW260)),0,1)</f>
        <v>#NAME?</v>
      </c>
      <c r="BQ261" t="str">
        <f>(IF(ISBLANK(DB_LOAD!AR260),"",DB_LOAD!AR260))</f>
        <v/>
      </c>
      <c r="BR261" t="str">
        <f t="shared" si="230"/>
        <v/>
      </c>
      <c r="BS261" t="str">
        <f t="shared" si="234"/>
        <v/>
      </c>
      <c r="BT261" t="str">
        <f t="shared" si="235"/>
        <v>5500000250000016064001572600</v>
      </c>
      <c r="BU261" t="str">
        <f t="shared" si="231"/>
        <v/>
      </c>
      <c r="BV261" t="str">
        <f t="shared" si="236"/>
        <v>7777</v>
      </c>
      <c r="BW261" t="str">
        <f t="shared" si="232"/>
        <v/>
      </c>
      <c r="BX261" t="str">
        <f t="shared" si="237"/>
        <v>1111</v>
      </c>
      <c r="CB261" s="683" t="str">
        <f t="shared" si="238"/>
        <v/>
      </c>
      <c r="CC261" s="683" t="str">
        <f t="shared" si="233"/>
        <v/>
      </c>
      <c r="CD261" s="683" t="str">
        <f>IF(CC261="","",VALUE(MID($BZ$5,1+SUM($CC$3:CC260),CC261)))</f>
        <v/>
      </c>
      <c r="CE261"/>
      <c r="CF261" t="str">
        <f>IF(CD261="","",MID($BZ$4,1+SUM($CD$3:CD260),CD261))</f>
        <v/>
      </c>
    </row>
    <row r="262" spans="68:84" ht="15">
      <c r="BP262" s="485" t="e">
        <f ca="1">IF(OR(DB_LOAD!AW261="USD",DB_LOAD!AW261='Refi-Annual Review'!$A$3,ISBLANK(DB_LOAD!AW261)),0,1)</f>
        <v>#NAME?</v>
      </c>
      <c r="BQ262" t="str">
        <f>(IF(ISBLANK(DB_LOAD!AR261),"",DB_LOAD!AR261))</f>
        <v/>
      </c>
      <c r="BR262" t="str">
        <f t="shared" si="230"/>
        <v/>
      </c>
      <c r="BS262" t="str">
        <f t="shared" si="234"/>
        <v/>
      </c>
      <c r="BT262" t="str">
        <f t="shared" si="235"/>
        <v>5500000250000016064001572600</v>
      </c>
      <c r="BU262" t="str">
        <f t="shared" si="231"/>
        <v/>
      </c>
      <c r="BV262" t="str">
        <f t="shared" si="236"/>
        <v>7777</v>
      </c>
      <c r="BW262" t="str">
        <f t="shared" si="232"/>
        <v/>
      </c>
      <c r="BX262" t="str">
        <f t="shared" si="237"/>
        <v>1111</v>
      </c>
      <c r="CB262" s="683" t="str">
        <f t="shared" si="238"/>
        <v/>
      </c>
      <c r="CC262" s="683" t="str">
        <f t="shared" si="233"/>
        <v/>
      </c>
      <c r="CD262" s="683" t="str">
        <f>IF(CC262="","",VALUE(MID($BZ$5,1+SUM($CC$3:CC261),CC262)))</f>
        <v/>
      </c>
      <c r="CE262"/>
      <c r="CF262" t="str">
        <f>IF(CD262="","",MID($BZ$4,1+SUM($CD$3:CD261),CD262))</f>
        <v/>
      </c>
    </row>
    <row r="263" spans="68:84" ht="15">
      <c r="BP263" s="485" t="e">
        <f ca="1">IF(OR(DB_LOAD!AW262="USD",DB_LOAD!AW262='Refi-Annual Review'!$A$3,ISBLANK(DB_LOAD!AW262)),0,1)</f>
        <v>#NAME?</v>
      </c>
      <c r="BQ263" t="str">
        <f>(IF(ISBLANK(DB_LOAD!AR262),"",DB_LOAD!AR262))</f>
        <v/>
      </c>
      <c r="BR263" t="str">
        <f t="shared" si="230"/>
        <v/>
      </c>
      <c r="BS263" t="str">
        <f t="shared" si="234"/>
        <v/>
      </c>
      <c r="BT263" t="str">
        <f t="shared" si="235"/>
        <v>5500000250000016064001572600</v>
      </c>
      <c r="BU263" t="str">
        <f t="shared" si="231"/>
        <v/>
      </c>
      <c r="BV263" t="str">
        <f t="shared" si="236"/>
        <v>7777</v>
      </c>
      <c r="BW263" t="str">
        <f t="shared" si="232"/>
        <v/>
      </c>
      <c r="BX263" t="str">
        <f t="shared" si="237"/>
        <v>1111</v>
      </c>
      <c r="CB263" s="683" t="str">
        <f t="shared" si="238"/>
        <v/>
      </c>
      <c r="CC263" s="683" t="str">
        <f t="shared" si="233"/>
        <v/>
      </c>
      <c r="CD263" s="683" t="str">
        <f>IF(CC263="","",VALUE(MID($BZ$5,1+SUM($CC$3:CC262),CC263)))</f>
        <v/>
      </c>
      <c r="CE263"/>
      <c r="CF263" t="str">
        <f>IF(CD263="","",MID($BZ$4,1+SUM($CD$3:CD262),CD263))</f>
        <v/>
      </c>
    </row>
    <row r="264" spans="68:84" ht="15">
      <c r="BP264" s="485" t="e">
        <f ca="1">IF(OR(DB_LOAD!AW263="USD",DB_LOAD!AW263='Refi-Annual Review'!$A$3,ISBLANK(DB_LOAD!AW263)),0,1)</f>
        <v>#NAME?</v>
      </c>
      <c r="BQ264" t="str">
        <f>(IF(ISBLANK(DB_LOAD!AR263),"",DB_LOAD!AR263))</f>
        <v/>
      </c>
      <c r="BR264" t="str">
        <f t="shared" si="230"/>
        <v/>
      </c>
      <c r="BS264" t="str">
        <f t="shared" si="234"/>
        <v/>
      </c>
      <c r="BT264" t="str">
        <f t="shared" si="235"/>
        <v>5500000250000016064001572600</v>
      </c>
      <c r="BU264" t="str">
        <f t="shared" si="231"/>
        <v/>
      </c>
      <c r="BV264" t="str">
        <f t="shared" si="236"/>
        <v>7777</v>
      </c>
      <c r="BW264" t="str">
        <f t="shared" si="232"/>
        <v/>
      </c>
      <c r="BX264" t="str">
        <f t="shared" si="237"/>
        <v>1111</v>
      </c>
      <c r="CB264" s="683" t="str">
        <f t="shared" si="238"/>
        <v/>
      </c>
      <c r="CC264" s="683" t="str">
        <f t="shared" si="233"/>
        <v/>
      </c>
      <c r="CD264" s="683" t="str">
        <f>IF(CC264="","",VALUE(MID($BZ$5,1+SUM($CC$3:CC263),CC264)))</f>
        <v/>
      </c>
      <c r="CE264"/>
      <c r="CF264" t="str">
        <f>IF(CD264="","",MID($BZ$4,1+SUM($CD$3:CD263),CD264))</f>
        <v/>
      </c>
    </row>
    <row r="265" spans="68:84" ht="15">
      <c r="BP265" s="485" t="e">
        <f ca="1">IF(OR(DB_LOAD!AW264="USD",DB_LOAD!AW264='Refi-Annual Review'!$A$3,ISBLANK(DB_LOAD!AW264)),0,1)</f>
        <v>#NAME?</v>
      </c>
      <c r="BQ265" t="str">
        <f>(IF(ISBLANK(DB_LOAD!AR264),"",DB_LOAD!AR264))</f>
        <v/>
      </c>
      <c r="BR265" t="str">
        <f t="shared" si="230"/>
        <v/>
      </c>
      <c r="BS265" t="str">
        <f t="shared" si="234"/>
        <v/>
      </c>
      <c r="BT265" t="str">
        <f t="shared" si="235"/>
        <v>5500000250000016064001572600</v>
      </c>
      <c r="BU265" t="str">
        <f t="shared" si="231"/>
        <v/>
      </c>
      <c r="BV265" t="str">
        <f t="shared" si="236"/>
        <v>7777</v>
      </c>
      <c r="BW265" t="str">
        <f t="shared" si="232"/>
        <v/>
      </c>
      <c r="BX265" t="str">
        <f t="shared" si="237"/>
        <v>1111</v>
      </c>
      <c r="CB265" s="683" t="str">
        <f t="shared" si="238"/>
        <v/>
      </c>
      <c r="CC265" s="683" t="str">
        <f t="shared" si="233"/>
        <v/>
      </c>
      <c r="CD265" s="683" t="str">
        <f>IF(CC265="","",VALUE(MID($BZ$5,1+SUM($CC$3:CC264),CC265)))</f>
        <v/>
      </c>
      <c r="CE265"/>
      <c r="CF265" t="str">
        <f>IF(CD265="","",MID($BZ$4,1+SUM($CD$3:CD264),CD265))</f>
        <v/>
      </c>
    </row>
    <row r="266" spans="68:84" ht="15">
      <c r="BP266" s="485" t="e">
        <f ca="1">IF(OR(DB_LOAD!AW265="USD",DB_LOAD!AW265='Refi-Annual Review'!$A$3,ISBLANK(DB_LOAD!AW265)),0,1)</f>
        <v>#NAME?</v>
      </c>
      <c r="BQ266" t="str">
        <f>(IF(ISBLANK(DB_LOAD!AR265),"",DB_LOAD!AR265))</f>
        <v/>
      </c>
      <c r="BR266" t="str">
        <f t="shared" si="230"/>
        <v/>
      </c>
      <c r="BS266" t="str">
        <f t="shared" si="234"/>
        <v/>
      </c>
      <c r="BT266" t="str">
        <f t="shared" si="235"/>
        <v>5500000250000016064001572600</v>
      </c>
      <c r="BU266" t="str">
        <f t="shared" si="231"/>
        <v/>
      </c>
      <c r="BV266" t="str">
        <f t="shared" si="236"/>
        <v>7777</v>
      </c>
      <c r="BW266" t="str">
        <f t="shared" si="232"/>
        <v/>
      </c>
      <c r="BX266" t="str">
        <f t="shared" si="237"/>
        <v>1111</v>
      </c>
      <c r="CB266" s="683" t="str">
        <f t="shared" si="238"/>
        <v/>
      </c>
      <c r="CC266" s="683" t="str">
        <f t="shared" si="233"/>
        <v/>
      </c>
      <c r="CD266" s="683" t="str">
        <f>IF(CC266="","",VALUE(MID($BZ$5,1+SUM($CC$3:CC265),CC266)))</f>
        <v/>
      </c>
      <c r="CE266"/>
      <c r="CF266" t="str">
        <f>IF(CD266="","",MID($BZ$4,1+SUM($CD$3:CD265),CD266))</f>
        <v/>
      </c>
    </row>
    <row r="267" spans="68:84" ht="15">
      <c r="BP267" s="485" t="e">
        <f ca="1">IF(OR(DB_LOAD!AW266="USD",DB_LOAD!AW266='Refi-Annual Review'!$A$3,ISBLANK(DB_LOAD!AW266)),0,1)</f>
        <v>#NAME?</v>
      </c>
      <c r="BQ267" t="str">
        <f>(IF(ISBLANK(DB_LOAD!AR266),"",DB_LOAD!AR266))</f>
        <v/>
      </c>
      <c r="BR267" t="str">
        <f t="shared" si="230"/>
        <v/>
      </c>
      <c r="BS267" t="str">
        <f t="shared" si="234"/>
        <v/>
      </c>
      <c r="BT267" t="str">
        <f t="shared" si="235"/>
        <v>5500000250000016064001572600</v>
      </c>
      <c r="BU267" t="str">
        <f t="shared" si="231"/>
        <v/>
      </c>
      <c r="BV267" t="str">
        <f t="shared" si="236"/>
        <v>7777</v>
      </c>
      <c r="BW267" t="str">
        <f t="shared" si="232"/>
        <v/>
      </c>
      <c r="BX267" t="str">
        <f t="shared" si="237"/>
        <v>1111</v>
      </c>
      <c r="CB267" s="683" t="str">
        <f t="shared" si="238"/>
        <v/>
      </c>
      <c r="CC267" s="683" t="str">
        <f t="shared" si="233"/>
        <v/>
      </c>
      <c r="CD267" s="683" t="str">
        <f>IF(CC267="","",VALUE(MID($BZ$5,1+SUM($CC$3:CC266),CC267)))</f>
        <v/>
      </c>
      <c r="CE267"/>
      <c r="CF267" t="str">
        <f>IF(CD267="","",MID($BZ$4,1+SUM($CD$3:CD266),CD267))</f>
        <v/>
      </c>
    </row>
    <row r="268" spans="68:84" ht="15">
      <c r="BP268" s="485" t="e">
        <f ca="1">IF(OR(DB_LOAD!AW267="USD",DB_LOAD!AW267='Refi-Annual Review'!$A$3,ISBLANK(DB_LOAD!AW267)),0,1)</f>
        <v>#NAME?</v>
      </c>
      <c r="BQ268" t="str">
        <f>(IF(ISBLANK(DB_LOAD!AR267),"",DB_LOAD!AR267))</f>
        <v/>
      </c>
      <c r="BR268" t="str">
        <f t="shared" si="230"/>
        <v/>
      </c>
      <c r="BS268" t="str">
        <f t="shared" si="234"/>
        <v/>
      </c>
      <c r="BT268" t="str">
        <f t="shared" si="235"/>
        <v>5500000250000016064001572600</v>
      </c>
      <c r="BU268" t="str">
        <f t="shared" si="231"/>
        <v/>
      </c>
      <c r="BV268" t="str">
        <f t="shared" si="236"/>
        <v>7777</v>
      </c>
      <c r="BW268" t="str">
        <f t="shared" si="232"/>
        <v/>
      </c>
      <c r="BX268" t="str">
        <f t="shared" si="237"/>
        <v>1111</v>
      </c>
      <c r="CB268" s="683" t="str">
        <f t="shared" si="238"/>
        <v/>
      </c>
      <c r="CC268" s="683" t="str">
        <f t="shared" si="233"/>
        <v/>
      </c>
      <c r="CD268" s="683" t="str">
        <f>IF(CC268="","",VALUE(MID($BZ$5,1+SUM($CC$3:CC267),CC268)))</f>
        <v/>
      </c>
      <c r="CE268"/>
      <c r="CF268" t="str">
        <f>IF(CD268="","",MID($BZ$4,1+SUM($CD$3:CD267),CD268))</f>
        <v/>
      </c>
    </row>
    <row r="269" spans="68:84" ht="15">
      <c r="BP269" s="485" t="e">
        <f ca="1">IF(OR(DB_LOAD!AW268="USD",DB_LOAD!AW268='Refi-Annual Review'!$A$3,ISBLANK(DB_LOAD!AW268)),0,1)</f>
        <v>#NAME?</v>
      </c>
      <c r="BQ269" t="str">
        <f>(IF(ISBLANK(DB_LOAD!AR268),"",DB_LOAD!AR268))</f>
        <v/>
      </c>
      <c r="BR269" t="str">
        <f t="shared" si="230"/>
        <v/>
      </c>
      <c r="BS269" t="str">
        <f t="shared" si="234"/>
        <v/>
      </c>
      <c r="BT269" t="str">
        <f t="shared" si="235"/>
        <v>5500000250000016064001572600</v>
      </c>
      <c r="BU269" t="str">
        <f t="shared" si="231"/>
        <v/>
      </c>
      <c r="BV269" t="str">
        <f t="shared" si="236"/>
        <v>7777</v>
      </c>
      <c r="BW269" t="str">
        <f t="shared" si="232"/>
        <v/>
      </c>
      <c r="BX269" t="str">
        <f t="shared" si="237"/>
        <v>1111</v>
      </c>
      <c r="CB269" s="683" t="str">
        <f t="shared" si="238"/>
        <v/>
      </c>
      <c r="CC269" s="683" t="str">
        <f t="shared" si="233"/>
        <v/>
      </c>
      <c r="CD269" s="683" t="str">
        <f>IF(CC269="","",VALUE(MID($BZ$5,1+SUM($CC$3:CC268),CC269)))</f>
        <v/>
      </c>
      <c r="CE269"/>
      <c r="CF269" t="str">
        <f>IF(CD269="","",MID($BZ$4,1+SUM($CD$3:CD268),CD269))</f>
        <v/>
      </c>
    </row>
    <row r="270" spans="68:84" ht="15">
      <c r="BP270" s="485" t="e">
        <f ca="1">IF(OR(DB_LOAD!AW269="USD",DB_LOAD!AW269='Refi-Annual Review'!$A$3,ISBLANK(DB_LOAD!AW269)),0,1)</f>
        <v>#NAME?</v>
      </c>
      <c r="BQ270" t="str">
        <f>(IF(ISBLANK(DB_LOAD!AR269),"",DB_LOAD!AR269))</f>
        <v/>
      </c>
      <c r="BR270" t="str">
        <f t="shared" si="230"/>
        <v/>
      </c>
      <c r="BS270" t="str">
        <f t="shared" si="234"/>
        <v/>
      </c>
      <c r="BT270" t="str">
        <f t="shared" si="235"/>
        <v>5500000250000016064001572600</v>
      </c>
      <c r="BU270" t="str">
        <f t="shared" si="231"/>
        <v/>
      </c>
      <c r="BV270" t="str">
        <f t="shared" si="236"/>
        <v>7777</v>
      </c>
      <c r="BW270" t="str">
        <f t="shared" si="232"/>
        <v/>
      </c>
      <c r="BX270" t="str">
        <f t="shared" si="237"/>
        <v>1111</v>
      </c>
      <c r="CB270" s="683" t="str">
        <f t="shared" si="238"/>
        <v/>
      </c>
      <c r="CC270" s="683" t="str">
        <f t="shared" si="233"/>
        <v/>
      </c>
      <c r="CD270" s="683" t="str">
        <f>IF(CC270="","",VALUE(MID($BZ$5,1+SUM($CC$3:CC269),CC270)))</f>
        <v/>
      </c>
      <c r="CE270"/>
      <c r="CF270" t="str">
        <f>IF(CD270="","",MID($BZ$4,1+SUM($CD$3:CD269),CD270))</f>
        <v/>
      </c>
    </row>
    <row r="271" spans="68:84" ht="15">
      <c r="BP271" s="485" t="e">
        <f ca="1">IF(OR(DB_LOAD!AW270="USD",DB_LOAD!AW270='Refi-Annual Review'!$A$3,ISBLANK(DB_LOAD!AW270)),0,1)</f>
        <v>#NAME?</v>
      </c>
      <c r="BQ271" t="str">
        <f>(IF(ISBLANK(DB_LOAD!AR270),"",DB_LOAD!AR270))</f>
        <v/>
      </c>
      <c r="BR271" t="str">
        <f t="shared" si="230"/>
        <v/>
      </c>
      <c r="BS271" t="str">
        <f t="shared" si="234"/>
        <v/>
      </c>
      <c r="BT271" t="str">
        <f t="shared" si="235"/>
        <v>5500000250000016064001572600</v>
      </c>
      <c r="BU271" t="str">
        <f t="shared" si="231"/>
        <v/>
      </c>
      <c r="BV271" t="str">
        <f t="shared" si="236"/>
        <v>7777</v>
      </c>
      <c r="BW271" t="str">
        <f t="shared" si="232"/>
        <v/>
      </c>
      <c r="BX271" t="str">
        <f t="shared" si="237"/>
        <v>1111</v>
      </c>
      <c r="CB271" s="683" t="str">
        <f t="shared" si="238"/>
        <v/>
      </c>
      <c r="CC271" s="683" t="str">
        <f t="shared" si="233"/>
        <v/>
      </c>
      <c r="CD271" s="683" t="str">
        <f>IF(CC271="","",VALUE(MID($BZ$5,1+SUM($CC$3:CC270),CC271)))</f>
        <v/>
      </c>
      <c r="CE271"/>
      <c r="CF271" t="str">
        <f>IF(CD271="","",MID($BZ$4,1+SUM($CD$3:CD270),CD271))</f>
        <v/>
      </c>
    </row>
    <row r="272" spans="68:84" ht="15">
      <c r="BP272" s="485" t="e">
        <f ca="1">IF(OR(DB_LOAD!AW271="USD",DB_LOAD!AW271='Refi-Annual Review'!$A$3,ISBLANK(DB_LOAD!AW271)),0,1)</f>
        <v>#NAME?</v>
      </c>
      <c r="BQ272" t="str">
        <f>(IF(ISBLANK(DB_LOAD!AR271),"",DB_LOAD!AR271))</f>
        <v/>
      </c>
      <c r="BR272" t="str">
        <f t="shared" si="230"/>
        <v/>
      </c>
      <c r="BS272" t="str">
        <f t="shared" si="234"/>
        <v/>
      </c>
      <c r="BT272" t="str">
        <f t="shared" si="235"/>
        <v>5500000250000016064001572600</v>
      </c>
      <c r="BU272" t="str">
        <f t="shared" si="231"/>
        <v/>
      </c>
      <c r="BV272" t="str">
        <f t="shared" si="236"/>
        <v>7777</v>
      </c>
      <c r="BW272" t="str">
        <f t="shared" si="232"/>
        <v/>
      </c>
      <c r="BX272" t="str">
        <f t="shared" si="237"/>
        <v>1111</v>
      </c>
      <c r="CB272" s="683" t="str">
        <f t="shared" si="238"/>
        <v/>
      </c>
      <c r="CC272" s="683" t="str">
        <f t="shared" si="233"/>
        <v/>
      </c>
      <c r="CD272" s="683" t="str">
        <f>IF(CC272="","",VALUE(MID($BZ$5,1+SUM($CC$3:CC271),CC272)))</f>
        <v/>
      </c>
      <c r="CE272"/>
      <c r="CF272" t="str">
        <f>IF(CD272="","",MID($BZ$4,1+SUM($CD$3:CD271),CD272))</f>
        <v/>
      </c>
    </row>
    <row r="273" spans="68:84" ht="15">
      <c r="BP273" s="485" t="e">
        <f ca="1">IF(OR(DB_LOAD!AW272="USD",DB_LOAD!AW272='Refi-Annual Review'!$A$3,ISBLANK(DB_LOAD!AW272)),0,1)</f>
        <v>#NAME?</v>
      </c>
      <c r="BQ273" t="str">
        <f>(IF(ISBLANK(DB_LOAD!AR272),"",DB_LOAD!AR272))</f>
        <v/>
      </c>
      <c r="BR273" t="str">
        <f t="shared" si="230"/>
        <v/>
      </c>
      <c r="BS273" t="str">
        <f t="shared" si="234"/>
        <v/>
      </c>
      <c r="BT273" t="str">
        <f t="shared" si="235"/>
        <v>5500000250000016064001572600</v>
      </c>
      <c r="BU273" t="str">
        <f t="shared" si="231"/>
        <v/>
      </c>
      <c r="BV273" t="str">
        <f t="shared" si="236"/>
        <v>7777</v>
      </c>
      <c r="BW273" t="str">
        <f t="shared" si="232"/>
        <v/>
      </c>
      <c r="BX273" t="str">
        <f t="shared" si="237"/>
        <v>1111</v>
      </c>
      <c r="CB273" s="683" t="str">
        <f t="shared" si="238"/>
        <v/>
      </c>
      <c r="CC273" s="683" t="str">
        <f t="shared" si="233"/>
        <v/>
      </c>
      <c r="CD273" s="683" t="str">
        <f>IF(CC273="","",VALUE(MID($BZ$5,1+SUM($CC$3:CC272),CC273)))</f>
        <v/>
      </c>
      <c r="CE273"/>
      <c r="CF273" t="str">
        <f>IF(CD273="","",MID($BZ$4,1+SUM($CD$3:CD272),CD273))</f>
        <v/>
      </c>
    </row>
    <row r="274" spans="68:84" ht="15">
      <c r="BP274" s="485" t="e">
        <f ca="1">IF(OR(DB_LOAD!AW273="USD",DB_LOAD!AW273='Refi-Annual Review'!$A$3,ISBLANK(DB_LOAD!AW273)),0,1)</f>
        <v>#NAME?</v>
      </c>
      <c r="BQ274" t="str">
        <f>(IF(ISBLANK(DB_LOAD!AR273),"",DB_LOAD!AR273))</f>
        <v/>
      </c>
      <c r="BR274" t="str">
        <f t="shared" si="230"/>
        <v/>
      </c>
      <c r="BS274" t="str">
        <f t="shared" si="234"/>
        <v/>
      </c>
      <c r="BT274" t="str">
        <f t="shared" si="235"/>
        <v>5500000250000016064001572600</v>
      </c>
      <c r="BU274" t="str">
        <f t="shared" si="231"/>
        <v/>
      </c>
      <c r="BV274" t="str">
        <f t="shared" si="236"/>
        <v>7777</v>
      </c>
      <c r="BW274" t="str">
        <f t="shared" si="232"/>
        <v/>
      </c>
      <c r="BX274" t="str">
        <f t="shared" si="237"/>
        <v>1111</v>
      </c>
      <c r="CB274" s="683" t="str">
        <f t="shared" si="238"/>
        <v/>
      </c>
      <c r="CC274" s="683" t="str">
        <f t="shared" si="233"/>
        <v/>
      </c>
      <c r="CD274" s="683" t="str">
        <f>IF(CC274="","",VALUE(MID($BZ$5,1+SUM($CC$3:CC273),CC274)))</f>
        <v/>
      </c>
      <c r="CE274"/>
      <c r="CF274" t="str">
        <f>IF(CD274="","",MID($BZ$4,1+SUM($CD$3:CD273),CD274))</f>
        <v/>
      </c>
    </row>
    <row r="275" spans="68:84" ht="15">
      <c r="BP275" s="485" t="e">
        <f ca="1">IF(OR(DB_LOAD!AW274="USD",DB_LOAD!AW274='Refi-Annual Review'!$A$3,ISBLANK(DB_LOAD!AW274)),0,1)</f>
        <v>#NAME?</v>
      </c>
      <c r="BQ275" t="str">
        <f>(IF(ISBLANK(DB_LOAD!AR274),"",DB_LOAD!AR274))</f>
        <v/>
      </c>
      <c r="BR275" t="str">
        <f t="shared" si="230"/>
        <v/>
      </c>
      <c r="BS275" t="str">
        <f t="shared" si="234"/>
        <v/>
      </c>
      <c r="BT275" t="str">
        <f t="shared" si="235"/>
        <v>5500000250000016064001572600</v>
      </c>
      <c r="BU275" t="str">
        <f t="shared" si="231"/>
        <v/>
      </c>
      <c r="BV275" t="str">
        <f t="shared" si="236"/>
        <v>7777</v>
      </c>
      <c r="BW275" t="str">
        <f t="shared" si="232"/>
        <v/>
      </c>
      <c r="BX275" t="str">
        <f t="shared" si="237"/>
        <v>1111</v>
      </c>
      <c r="CB275" s="683" t="str">
        <f t="shared" si="238"/>
        <v/>
      </c>
      <c r="CC275" s="683" t="str">
        <f t="shared" si="233"/>
        <v/>
      </c>
      <c r="CD275" s="683" t="str">
        <f>IF(CC275="","",VALUE(MID($BZ$5,1+SUM($CC$3:CC274),CC275)))</f>
        <v/>
      </c>
      <c r="CE275"/>
      <c r="CF275" t="str">
        <f>IF(CD275="","",MID($BZ$4,1+SUM($CD$3:CD274),CD275))</f>
        <v/>
      </c>
    </row>
    <row r="276" spans="68:84" ht="15">
      <c r="BP276" s="485" t="e">
        <f ca="1">IF(OR(DB_LOAD!AW275="USD",DB_LOAD!AW275='Refi-Annual Review'!$A$3,ISBLANK(DB_LOAD!AW275)),0,1)</f>
        <v>#NAME?</v>
      </c>
      <c r="BQ276" t="str">
        <f>(IF(ISBLANK(DB_LOAD!AR275),"",DB_LOAD!AR275))</f>
        <v/>
      </c>
      <c r="BR276" t="str">
        <f t="shared" si="230"/>
        <v/>
      </c>
      <c r="BS276" t="str">
        <f t="shared" si="234"/>
        <v/>
      </c>
      <c r="BT276" t="str">
        <f t="shared" si="235"/>
        <v>5500000250000016064001572600</v>
      </c>
      <c r="BU276" t="str">
        <f t="shared" si="231"/>
        <v/>
      </c>
      <c r="BV276" t="str">
        <f t="shared" si="236"/>
        <v>7777</v>
      </c>
      <c r="BW276" t="str">
        <f t="shared" si="232"/>
        <v/>
      </c>
      <c r="BX276" t="str">
        <f t="shared" si="237"/>
        <v>1111</v>
      </c>
      <c r="CB276" s="683" t="str">
        <f t="shared" si="238"/>
        <v/>
      </c>
      <c r="CC276" s="683" t="str">
        <f t="shared" si="233"/>
        <v/>
      </c>
      <c r="CD276" s="683" t="str">
        <f>IF(CC276="","",VALUE(MID($BZ$5,1+SUM($CC$3:CC275),CC276)))</f>
        <v/>
      </c>
      <c r="CE276"/>
      <c r="CF276" t="str">
        <f>IF(CD276="","",MID($BZ$4,1+SUM($CD$3:CD275),CD276))</f>
        <v/>
      </c>
    </row>
    <row r="277" spans="68:84" ht="15">
      <c r="BP277" s="485" t="e">
        <f ca="1">IF(OR(DB_LOAD!AW276="USD",DB_LOAD!AW276='Refi-Annual Review'!$A$3,ISBLANK(DB_LOAD!AW276)),0,1)</f>
        <v>#NAME?</v>
      </c>
      <c r="BQ277" t="str">
        <f>(IF(ISBLANK(DB_LOAD!AR276),"",DB_LOAD!AR276))</f>
        <v/>
      </c>
      <c r="BR277" t="str">
        <f t="shared" si="230"/>
        <v/>
      </c>
      <c r="BS277" t="str">
        <f t="shared" si="234"/>
        <v/>
      </c>
      <c r="BT277" t="str">
        <f t="shared" si="235"/>
        <v>5500000250000016064001572600</v>
      </c>
      <c r="BU277" t="str">
        <f t="shared" si="231"/>
        <v/>
      </c>
      <c r="BV277" t="str">
        <f t="shared" si="236"/>
        <v>7777</v>
      </c>
      <c r="BW277" t="str">
        <f t="shared" si="232"/>
        <v/>
      </c>
      <c r="BX277" t="str">
        <f t="shared" si="237"/>
        <v>1111</v>
      </c>
      <c r="CB277" s="683" t="str">
        <f t="shared" si="238"/>
        <v/>
      </c>
      <c r="CC277" s="683" t="str">
        <f t="shared" si="233"/>
        <v/>
      </c>
      <c r="CD277" s="683" t="str">
        <f>IF(CC277="","",VALUE(MID($BZ$5,1+SUM($CC$3:CC276),CC277)))</f>
        <v/>
      </c>
      <c r="CE277"/>
      <c r="CF277" t="str">
        <f>IF(CD277="","",MID($BZ$4,1+SUM($CD$3:CD276),CD277))</f>
        <v/>
      </c>
    </row>
    <row r="278" spans="68:84" ht="15">
      <c r="BP278" s="485" t="e">
        <f ca="1">IF(OR(DB_LOAD!AW277="USD",DB_LOAD!AW277='Refi-Annual Review'!$A$3,ISBLANK(DB_LOAD!AW277)),0,1)</f>
        <v>#NAME?</v>
      </c>
      <c r="BQ278" t="str">
        <f>(IF(ISBLANK(DB_LOAD!AR277),"",DB_LOAD!AR277))</f>
        <v/>
      </c>
      <c r="BR278" t="str">
        <f t="shared" si="230"/>
        <v/>
      </c>
      <c r="BS278" t="str">
        <f t="shared" si="234"/>
        <v/>
      </c>
      <c r="BT278" t="str">
        <f t="shared" si="235"/>
        <v>5500000250000016064001572600</v>
      </c>
      <c r="BU278" t="str">
        <f t="shared" si="231"/>
        <v/>
      </c>
      <c r="BV278" t="str">
        <f t="shared" si="236"/>
        <v>7777</v>
      </c>
      <c r="BW278" t="str">
        <f t="shared" si="232"/>
        <v/>
      </c>
      <c r="BX278" t="str">
        <f t="shared" si="237"/>
        <v>1111</v>
      </c>
      <c r="CB278" s="683" t="str">
        <f t="shared" si="238"/>
        <v/>
      </c>
      <c r="CC278" s="683" t="str">
        <f t="shared" si="233"/>
        <v/>
      </c>
      <c r="CD278" s="683" t="str">
        <f>IF(CC278="","",VALUE(MID($BZ$5,1+SUM($CC$3:CC277),CC278)))</f>
        <v/>
      </c>
      <c r="CE278"/>
      <c r="CF278" t="str">
        <f>IF(CD278="","",MID($BZ$4,1+SUM($CD$3:CD277),CD278))</f>
        <v/>
      </c>
    </row>
    <row r="279" spans="68:84" ht="15">
      <c r="BP279" s="485" t="e">
        <f ca="1">IF(OR(DB_LOAD!AW278="USD",DB_LOAD!AW278='Refi-Annual Review'!$A$3,ISBLANK(DB_LOAD!AW278)),0,1)</f>
        <v>#NAME?</v>
      </c>
      <c r="BQ279" t="str">
        <f>(IF(ISBLANK(DB_LOAD!AR278),"",DB_LOAD!AR278))</f>
        <v/>
      </c>
      <c r="BR279" t="str">
        <f t="shared" si="230"/>
        <v/>
      </c>
      <c r="BS279" t="str">
        <f t="shared" si="234"/>
        <v/>
      </c>
      <c r="BT279" t="str">
        <f t="shared" si="235"/>
        <v>5500000250000016064001572600</v>
      </c>
      <c r="BU279" t="str">
        <f t="shared" si="231"/>
        <v/>
      </c>
      <c r="BV279" t="str">
        <f t="shared" si="236"/>
        <v>7777</v>
      </c>
      <c r="BW279" t="str">
        <f t="shared" si="232"/>
        <v/>
      </c>
      <c r="BX279" t="str">
        <f t="shared" si="237"/>
        <v>1111</v>
      </c>
      <c r="CB279" s="683" t="str">
        <f t="shared" si="238"/>
        <v/>
      </c>
      <c r="CC279" s="683" t="str">
        <f t="shared" si="233"/>
        <v/>
      </c>
      <c r="CD279" s="683" t="str">
        <f>IF(CC279="","",VALUE(MID($BZ$5,1+SUM($CC$3:CC278),CC279)))</f>
        <v/>
      </c>
      <c r="CE279"/>
      <c r="CF279" t="str">
        <f>IF(CD279="","",MID($BZ$4,1+SUM($CD$3:CD278),CD279))</f>
        <v/>
      </c>
    </row>
    <row r="280" spans="68:84" ht="15">
      <c r="BP280" s="485" t="e">
        <f ca="1">IF(OR(DB_LOAD!AW279="USD",DB_LOAD!AW279='Refi-Annual Review'!$A$3,ISBLANK(DB_LOAD!AW279)),0,1)</f>
        <v>#NAME?</v>
      </c>
      <c r="BQ280" t="str">
        <f>(IF(ISBLANK(DB_LOAD!AR279),"",DB_LOAD!AR279))</f>
        <v/>
      </c>
      <c r="BR280" t="str">
        <f t="shared" si="230"/>
        <v/>
      </c>
      <c r="BS280" t="str">
        <f t="shared" si="234"/>
        <v/>
      </c>
      <c r="BT280" t="str">
        <f t="shared" si="235"/>
        <v>5500000250000016064001572600</v>
      </c>
      <c r="BU280" t="str">
        <f t="shared" si="231"/>
        <v/>
      </c>
      <c r="BV280" t="str">
        <f t="shared" si="236"/>
        <v>7777</v>
      </c>
      <c r="BW280" t="str">
        <f t="shared" si="232"/>
        <v/>
      </c>
      <c r="BX280" t="str">
        <f t="shared" si="237"/>
        <v>1111</v>
      </c>
      <c r="CB280" s="683" t="str">
        <f t="shared" si="238"/>
        <v/>
      </c>
      <c r="CC280" s="683" t="str">
        <f t="shared" si="233"/>
        <v/>
      </c>
      <c r="CD280" s="683" t="str">
        <f>IF(CC280="","",VALUE(MID($BZ$5,1+SUM($CC$3:CC279),CC280)))</f>
        <v/>
      </c>
      <c r="CE280"/>
      <c r="CF280" t="str">
        <f>IF(CD280="","",MID($BZ$4,1+SUM($CD$3:CD279),CD280))</f>
        <v/>
      </c>
    </row>
    <row r="281" spans="68:84" ht="15">
      <c r="BP281" s="485" t="e">
        <f ca="1">IF(OR(DB_LOAD!AW280="USD",DB_LOAD!AW280='Refi-Annual Review'!$A$3,ISBLANK(DB_LOAD!AW280)),0,1)</f>
        <v>#NAME?</v>
      </c>
      <c r="BQ281" t="str">
        <f>(IF(ISBLANK(DB_LOAD!AR280),"",DB_LOAD!AR280))</f>
        <v/>
      </c>
      <c r="BR281" t="str">
        <f t="shared" si="230"/>
        <v/>
      </c>
      <c r="BS281" t="str">
        <f t="shared" si="234"/>
        <v/>
      </c>
      <c r="BT281" t="str">
        <f t="shared" si="235"/>
        <v>5500000250000016064001572600</v>
      </c>
      <c r="BU281" t="str">
        <f t="shared" si="231"/>
        <v/>
      </c>
      <c r="BV281" t="str">
        <f t="shared" si="236"/>
        <v>7777</v>
      </c>
      <c r="BW281" t="str">
        <f t="shared" si="232"/>
        <v/>
      </c>
      <c r="BX281" t="str">
        <f t="shared" si="237"/>
        <v>1111</v>
      </c>
      <c r="CB281" s="683" t="str">
        <f t="shared" si="238"/>
        <v/>
      </c>
      <c r="CC281" s="683" t="str">
        <f t="shared" si="233"/>
        <v/>
      </c>
      <c r="CD281" s="683" t="str">
        <f>IF(CC281="","",VALUE(MID($BZ$5,1+SUM($CC$3:CC280),CC281)))</f>
        <v/>
      </c>
      <c r="CE281"/>
      <c r="CF281" t="str">
        <f>IF(CD281="","",MID($BZ$4,1+SUM($CD$3:CD280),CD281))</f>
        <v/>
      </c>
    </row>
    <row r="282" spans="68:84" ht="15">
      <c r="BP282" s="485" t="e">
        <f ca="1">IF(OR(DB_LOAD!AW281="USD",DB_LOAD!AW281='Refi-Annual Review'!$A$3,ISBLANK(DB_LOAD!AW281)),0,1)</f>
        <v>#NAME?</v>
      </c>
      <c r="BQ282" t="str">
        <f>(IF(ISBLANK(DB_LOAD!AR281),"",DB_LOAD!AR281))</f>
        <v/>
      </c>
      <c r="BR282" t="str">
        <f t="shared" si="230"/>
        <v/>
      </c>
      <c r="BS282" t="str">
        <f t="shared" si="234"/>
        <v/>
      </c>
      <c r="BT282" t="str">
        <f t="shared" si="235"/>
        <v>5500000250000016064001572600</v>
      </c>
      <c r="BU282" t="str">
        <f t="shared" si="231"/>
        <v/>
      </c>
      <c r="BV282" t="str">
        <f t="shared" si="236"/>
        <v>7777</v>
      </c>
      <c r="BW282" t="str">
        <f t="shared" si="232"/>
        <v/>
      </c>
      <c r="BX282" t="str">
        <f t="shared" si="237"/>
        <v>1111</v>
      </c>
      <c r="CB282" s="683" t="str">
        <f t="shared" si="238"/>
        <v/>
      </c>
      <c r="CC282" s="683" t="str">
        <f t="shared" si="233"/>
        <v/>
      </c>
      <c r="CD282" s="683" t="str">
        <f>IF(CC282="","",VALUE(MID($BZ$5,1+SUM($CC$3:CC281),CC282)))</f>
        <v/>
      </c>
      <c r="CE282"/>
      <c r="CF282" t="str">
        <f>IF(CD282="","",MID($BZ$4,1+SUM($CD$3:CD281),CD282))</f>
        <v/>
      </c>
    </row>
    <row r="283" spans="68:84" ht="15">
      <c r="BP283" s="485" t="e">
        <f ca="1">IF(OR(DB_LOAD!AW282="USD",DB_LOAD!AW282='Refi-Annual Review'!$A$3,ISBLANK(DB_LOAD!AW282)),0,1)</f>
        <v>#NAME?</v>
      </c>
      <c r="BQ283" t="str">
        <f>(IF(ISBLANK(DB_LOAD!AR282),"",DB_LOAD!AR282))</f>
        <v/>
      </c>
      <c r="BR283" t="str">
        <f t="shared" si="230"/>
        <v/>
      </c>
      <c r="BS283" t="str">
        <f t="shared" si="234"/>
        <v/>
      </c>
      <c r="BT283" t="str">
        <f t="shared" si="235"/>
        <v>5500000250000016064001572600</v>
      </c>
      <c r="BU283" t="str">
        <f t="shared" si="231"/>
        <v/>
      </c>
      <c r="BV283" t="str">
        <f t="shared" si="236"/>
        <v>7777</v>
      </c>
      <c r="BW283" t="str">
        <f t="shared" si="232"/>
        <v/>
      </c>
      <c r="BX283" t="str">
        <f t="shared" si="237"/>
        <v>1111</v>
      </c>
      <c r="CB283" s="683" t="str">
        <f t="shared" si="238"/>
        <v/>
      </c>
      <c r="CC283" s="683" t="str">
        <f t="shared" si="233"/>
        <v/>
      </c>
      <c r="CD283" s="683" t="str">
        <f>IF(CC283="","",VALUE(MID($BZ$5,1+SUM($CC$3:CC282),CC283)))</f>
        <v/>
      </c>
      <c r="CE283"/>
      <c r="CF283" t="str">
        <f>IF(CD283="","",MID($BZ$4,1+SUM($CD$3:CD282),CD283))</f>
        <v/>
      </c>
    </row>
    <row r="284" spans="68:84" ht="15">
      <c r="BP284" s="485" t="e">
        <f ca="1">IF(OR(DB_LOAD!AW283="USD",DB_LOAD!AW283='Refi-Annual Review'!$A$3,ISBLANK(DB_LOAD!AW283)),0,1)</f>
        <v>#NAME?</v>
      </c>
      <c r="BQ284" t="str">
        <f>(IF(ISBLANK(DB_LOAD!AR283),"",DB_LOAD!AR283))</f>
        <v/>
      </c>
      <c r="BR284" t="str">
        <f t="shared" si="230"/>
        <v/>
      </c>
      <c r="BS284" t="str">
        <f t="shared" si="234"/>
        <v/>
      </c>
      <c r="BT284" t="str">
        <f t="shared" si="235"/>
        <v>5500000250000016064001572600</v>
      </c>
      <c r="BU284" t="str">
        <f t="shared" si="231"/>
        <v/>
      </c>
      <c r="BV284" t="str">
        <f t="shared" si="236"/>
        <v>7777</v>
      </c>
      <c r="BW284" t="str">
        <f t="shared" si="232"/>
        <v/>
      </c>
      <c r="BX284" t="str">
        <f t="shared" si="237"/>
        <v>1111</v>
      </c>
      <c r="CB284" s="683" t="str">
        <f t="shared" si="238"/>
        <v/>
      </c>
      <c r="CC284" s="683" t="str">
        <f t="shared" si="233"/>
        <v/>
      </c>
      <c r="CD284" s="683" t="str">
        <f>IF(CC284="","",VALUE(MID($BZ$5,1+SUM($CC$3:CC283),CC284)))</f>
        <v/>
      </c>
      <c r="CE284"/>
      <c r="CF284" t="str">
        <f>IF(CD284="","",MID($BZ$4,1+SUM($CD$3:CD283),CD284))</f>
        <v/>
      </c>
    </row>
    <row r="285" spans="68:84" ht="15">
      <c r="BP285" s="485" t="e">
        <f ca="1">IF(OR(DB_LOAD!AW284="USD",DB_LOAD!AW284='Refi-Annual Review'!$A$3,ISBLANK(DB_LOAD!AW284)),0,1)</f>
        <v>#NAME?</v>
      </c>
      <c r="BQ285" t="str">
        <f>(IF(ISBLANK(DB_LOAD!AR284),"",DB_LOAD!AR284))</f>
        <v/>
      </c>
      <c r="BR285" t="str">
        <f t="shared" si="230"/>
        <v/>
      </c>
      <c r="BS285" t="str">
        <f t="shared" si="234"/>
        <v/>
      </c>
      <c r="BT285" t="str">
        <f t="shared" si="235"/>
        <v>5500000250000016064001572600</v>
      </c>
      <c r="BU285" t="str">
        <f t="shared" si="231"/>
        <v/>
      </c>
      <c r="BV285" t="str">
        <f t="shared" si="236"/>
        <v>7777</v>
      </c>
      <c r="BW285" t="str">
        <f t="shared" si="232"/>
        <v/>
      </c>
      <c r="BX285" t="str">
        <f t="shared" si="237"/>
        <v>1111</v>
      </c>
      <c r="CB285" s="683" t="str">
        <f t="shared" si="238"/>
        <v/>
      </c>
      <c r="CC285" s="683" t="str">
        <f t="shared" si="233"/>
        <v/>
      </c>
      <c r="CD285" s="683" t="str">
        <f>IF(CC285="","",VALUE(MID($BZ$5,1+SUM($CC$3:CC284),CC285)))</f>
        <v/>
      </c>
      <c r="CE285"/>
      <c r="CF285" t="str">
        <f>IF(CD285="","",MID($BZ$4,1+SUM($CD$3:CD284),CD285))</f>
        <v/>
      </c>
    </row>
    <row r="286" spans="68:84" ht="15">
      <c r="BP286" s="485" t="e">
        <f ca="1">IF(OR(DB_LOAD!AW285="USD",DB_LOAD!AW285='Refi-Annual Review'!$A$3,ISBLANK(DB_LOAD!AW285)),0,1)</f>
        <v>#NAME?</v>
      </c>
      <c r="BQ286" t="str">
        <f>(IF(ISBLANK(DB_LOAD!AR285),"",DB_LOAD!AR285))</f>
        <v/>
      </c>
      <c r="BR286" t="str">
        <f t="shared" si="230"/>
        <v/>
      </c>
      <c r="BS286" t="str">
        <f t="shared" si="234"/>
        <v/>
      </c>
      <c r="BT286" t="str">
        <f t="shared" si="235"/>
        <v>5500000250000016064001572600</v>
      </c>
      <c r="BU286" t="str">
        <f t="shared" si="231"/>
        <v/>
      </c>
      <c r="BV286" t="str">
        <f t="shared" si="236"/>
        <v>7777</v>
      </c>
      <c r="BW286" t="str">
        <f t="shared" si="232"/>
        <v/>
      </c>
      <c r="BX286" t="str">
        <f t="shared" si="237"/>
        <v>1111</v>
      </c>
      <c r="CB286" s="683" t="str">
        <f t="shared" si="238"/>
        <v/>
      </c>
      <c r="CC286" s="683" t="str">
        <f t="shared" si="233"/>
        <v/>
      </c>
      <c r="CD286" s="683" t="str">
        <f>IF(CC286="","",VALUE(MID($BZ$5,1+SUM($CC$3:CC285),CC286)))</f>
        <v/>
      </c>
      <c r="CE286"/>
      <c r="CF286" t="str">
        <f>IF(CD286="","",MID($BZ$4,1+SUM($CD$3:CD285),CD286))</f>
        <v/>
      </c>
    </row>
    <row r="287" spans="68:84" ht="15">
      <c r="BP287" s="485" t="e">
        <f ca="1">IF(OR(DB_LOAD!AW286="USD",DB_LOAD!AW286='Refi-Annual Review'!$A$3,ISBLANK(DB_LOAD!AW286)),0,1)</f>
        <v>#NAME?</v>
      </c>
      <c r="BQ287" t="str">
        <f>(IF(ISBLANK(DB_LOAD!AR286),"",DB_LOAD!AR286))</f>
        <v/>
      </c>
      <c r="BR287" t="str">
        <f t="shared" si="230"/>
        <v/>
      </c>
      <c r="BS287" t="str">
        <f t="shared" si="234"/>
        <v/>
      </c>
      <c r="BT287" t="str">
        <f t="shared" si="235"/>
        <v>5500000250000016064001572600</v>
      </c>
      <c r="BU287" t="str">
        <f t="shared" si="231"/>
        <v/>
      </c>
      <c r="BV287" t="str">
        <f t="shared" si="236"/>
        <v>7777</v>
      </c>
      <c r="BW287" t="str">
        <f t="shared" si="232"/>
        <v/>
      </c>
      <c r="BX287" t="str">
        <f t="shared" si="237"/>
        <v>1111</v>
      </c>
      <c r="CB287" s="683" t="str">
        <f t="shared" si="238"/>
        <v/>
      </c>
      <c r="CC287" s="683" t="str">
        <f t="shared" si="233"/>
        <v/>
      </c>
      <c r="CD287" s="683" t="str">
        <f>IF(CC287="","",VALUE(MID($BZ$5,1+SUM($CC$3:CC286),CC287)))</f>
        <v/>
      </c>
      <c r="CE287"/>
      <c r="CF287" t="str">
        <f>IF(CD287="","",MID($BZ$4,1+SUM($CD$3:CD286),CD287))</f>
        <v/>
      </c>
    </row>
    <row r="288" spans="68:84" ht="15">
      <c r="BP288" s="485" t="e">
        <f ca="1">IF(OR(DB_LOAD!AW287="USD",DB_LOAD!AW287='Refi-Annual Review'!$A$3,ISBLANK(DB_LOAD!AW287)),0,1)</f>
        <v>#NAME?</v>
      </c>
      <c r="BQ288" t="str">
        <f>(IF(ISBLANK(DB_LOAD!AR287),"",DB_LOAD!AR287))</f>
        <v/>
      </c>
      <c r="BR288" t="str">
        <f t="shared" si="230"/>
        <v/>
      </c>
      <c r="BS288" t="str">
        <f t="shared" si="234"/>
        <v/>
      </c>
      <c r="BT288" t="str">
        <f t="shared" si="235"/>
        <v>5500000250000016064001572600</v>
      </c>
      <c r="BU288" t="str">
        <f t="shared" si="231"/>
        <v/>
      </c>
      <c r="BV288" t="str">
        <f t="shared" si="236"/>
        <v>7777</v>
      </c>
      <c r="BW288" t="str">
        <f t="shared" si="232"/>
        <v/>
      </c>
      <c r="BX288" t="str">
        <f t="shared" si="237"/>
        <v>1111</v>
      </c>
      <c r="CB288" s="683" t="str">
        <f t="shared" si="238"/>
        <v/>
      </c>
      <c r="CC288" s="683" t="str">
        <f t="shared" si="233"/>
        <v/>
      </c>
      <c r="CD288" s="683" t="str">
        <f>IF(CC288="","",VALUE(MID($BZ$5,1+SUM($CC$3:CC287),CC288)))</f>
        <v/>
      </c>
      <c r="CE288"/>
      <c r="CF288" t="str">
        <f>IF(CD288="","",MID($BZ$4,1+SUM($CD$3:CD287),CD288))</f>
        <v/>
      </c>
    </row>
    <row r="289" spans="68:84" ht="15">
      <c r="BP289" s="485" t="e">
        <f ca="1">IF(OR(DB_LOAD!AW288="USD",DB_LOAD!AW288='Refi-Annual Review'!$A$3,ISBLANK(DB_LOAD!AW288)),0,1)</f>
        <v>#NAME?</v>
      </c>
      <c r="BQ289" t="str">
        <f>(IF(ISBLANK(DB_LOAD!AR288),"",DB_LOAD!AR288))</f>
        <v/>
      </c>
      <c r="BR289" t="str">
        <f t="shared" si="230"/>
        <v/>
      </c>
      <c r="BS289" t="str">
        <f t="shared" si="234"/>
        <v/>
      </c>
      <c r="BT289" t="str">
        <f t="shared" si="235"/>
        <v>5500000250000016064001572600</v>
      </c>
      <c r="BU289" t="str">
        <f t="shared" si="231"/>
        <v/>
      </c>
      <c r="BV289" t="str">
        <f t="shared" si="236"/>
        <v>7777</v>
      </c>
      <c r="BW289" t="str">
        <f t="shared" si="232"/>
        <v/>
      </c>
      <c r="BX289" t="str">
        <f t="shared" si="237"/>
        <v>1111</v>
      </c>
      <c r="CB289" s="683" t="str">
        <f t="shared" si="238"/>
        <v/>
      </c>
      <c r="CC289" s="683" t="str">
        <f t="shared" si="233"/>
        <v/>
      </c>
      <c r="CD289" s="683" t="str">
        <f>IF(CC289="","",VALUE(MID($BZ$5,1+SUM($CC$3:CC288),CC289)))</f>
        <v/>
      </c>
      <c r="CE289"/>
      <c r="CF289" t="str">
        <f>IF(CD289="","",MID($BZ$4,1+SUM($CD$3:CD288),CD289))</f>
        <v/>
      </c>
    </row>
    <row r="290" spans="68:84" ht="15">
      <c r="BP290" s="485" t="e">
        <f ca="1">IF(OR(DB_LOAD!AW289="USD",DB_LOAD!AW289='Refi-Annual Review'!$A$3,ISBLANK(DB_LOAD!AW289)),0,1)</f>
        <v>#NAME?</v>
      </c>
      <c r="BQ290" t="str">
        <f>(IF(ISBLANK(DB_LOAD!AR289),"",DB_LOAD!AR289))</f>
        <v/>
      </c>
      <c r="BR290" t="str">
        <f t="shared" si="230"/>
        <v/>
      </c>
      <c r="BS290" t="str">
        <f t="shared" si="234"/>
        <v/>
      </c>
      <c r="BT290" t="str">
        <f t="shared" si="235"/>
        <v>5500000250000016064001572600</v>
      </c>
      <c r="BU290" t="str">
        <f t="shared" si="231"/>
        <v/>
      </c>
      <c r="BV290" t="str">
        <f t="shared" si="236"/>
        <v>7777</v>
      </c>
      <c r="BW290" t="str">
        <f t="shared" si="232"/>
        <v/>
      </c>
      <c r="BX290" t="str">
        <f t="shared" si="237"/>
        <v>1111</v>
      </c>
      <c r="CB290" s="683" t="str">
        <f t="shared" si="238"/>
        <v/>
      </c>
      <c r="CC290" s="683" t="str">
        <f t="shared" si="233"/>
        <v/>
      </c>
      <c r="CD290" s="683" t="str">
        <f>IF(CC290="","",VALUE(MID($BZ$5,1+SUM($CC$3:CC289),CC290)))</f>
        <v/>
      </c>
      <c r="CE290"/>
      <c r="CF290" t="str">
        <f>IF(CD290="","",MID($BZ$4,1+SUM($CD$3:CD289),CD290))</f>
        <v/>
      </c>
    </row>
    <row r="291" spans="68:84" ht="15">
      <c r="BP291" s="485" t="e">
        <f ca="1">IF(OR(DB_LOAD!AW290="USD",DB_LOAD!AW290='Refi-Annual Review'!$A$3,ISBLANK(DB_LOAD!AW290)),0,1)</f>
        <v>#NAME?</v>
      </c>
      <c r="BQ291" t="str">
        <f>(IF(ISBLANK(DB_LOAD!AR290),"",DB_LOAD!AR290))</f>
        <v/>
      </c>
      <c r="BR291" t="str">
        <f t="shared" si="230"/>
        <v/>
      </c>
      <c r="BS291" t="str">
        <f t="shared" si="234"/>
        <v/>
      </c>
      <c r="BT291" t="str">
        <f t="shared" si="235"/>
        <v>5500000250000016064001572600</v>
      </c>
      <c r="BU291" t="str">
        <f t="shared" si="231"/>
        <v/>
      </c>
      <c r="BV291" t="str">
        <f t="shared" si="236"/>
        <v>7777</v>
      </c>
      <c r="BW291" t="str">
        <f t="shared" si="232"/>
        <v/>
      </c>
      <c r="BX291" t="str">
        <f t="shared" si="237"/>
        <v>1111</v>
      </c>
      <c r="CB291" s="683" t="str">
        <f t="shared" si="238"/>
        <v/>
      </c>
      <c r="CC291" s="683" t="str">
        <f t="shared" si="233"/>
        <v/>
      </c>
      <c r="CD291" s="683" t="str">
        <f>IF(CC291="","",VALUE(MID($BZ$5,1+SUM($CC$3:CC290),CC291)))</f>
        <v/>
      </c>
      <c r="CE291"/>
      <c r="CF291" t="str">
        <f>IF(CD291="","",MID($BZ$4,1+SUM($CD$3:CD290),CD291))</f>
        <v/>
      </c>
    </row>
    <row r="292" spans="68:84" ht="15">
      <c r="BP292" s="485" t="e">
        <f ca="1">IF(OR(DB_LOAD!AW291="USD",DB_LOAD!AW291='Refi-Annual Review'!$A$3,ISBLANK(DB_LOAD!AW291)),0,1)</f>
        <v>#NAME?</v>
      </c>
      <c r="BQ292" t="str">
        <f>(IF(ISBLANK(DB_LOAD!AR291),"",DB_LOAD!AR291))</f>
        <v/>
      </c>
      <c r="BR292" t="str">
        <f t="shared" si="230"/>
        <v/>
      </c>
      <c r="BS292" t="str">
        <f t="shared" si="234"/>
        <v/>
      </c>
      <c r="BT292" t="str">
        <f t="shared" si="235"/>
        <v>5500000250000016064001572600</v>
      </c>
      <c r="BU292" t="str">
        <f t="shared" si="231"/>
        <v/>
      </c>
      <c r="BV292" t="str">
        <f t="shared" si="236"/>
        <v>7777</v>
      </c>
      <c r="BW292" t="str">
        <f t="shared" si="232"/>
        <v/>
      </c>
      <c r="BX292" t="str">
        <f t="shared" si="237"/>
        <v>1111</v>
      </c>
      <c r="CB292" s="683" t="str">
        <f t="shared" si="238"/>
        <v/>
      </c>
      <c r="CC292" s="683" t="str">
        <f t="shared" si="233"/>
        <v/>
      </c>
      <c r="CD292" s="683" t="str">
        <f>IF(CC292="","",VALUE(MID($BZ$5,1+SUM($CC$3:CC291),CC292)))</f>
        <v/>
      </c>
      <c r="CE292"/>
      <c r="CF292" t="str">
        <f>IF(CD292="","",MID($BZ$4,1+SUM($CD$3:CD291),CD292))</f>
        <v/>
      </c>
    </row>
    <row r="293" spans="68:84" ht="15">
      <c r="BP293" s="485" t="e">
        <f ca="1">IF(OR(DB_LOAD!AW292="USD",DB_LOAD!AW292='Refi-Annual Review'!$A$3,ISBLANK(DB_LOAD!AW292)),0,1)</f>
        <v>#NAME?</v>
      </c>
      <c r="BQ293" t="str">
        <f>(IF(ISBLANK(DB_LOAD!AR292),"",DB_LOAD!AR292))</f>
        <v/>
      </c>
      <c r="BR293" t="str">
        <f t="shared" si="230"/>
        <v/>
      </c>
      <c r="BS293" t="str">
        <f t="shared" si="234"/>
        <v/>
      </c>
      <c r="BT293" t="str">
        <f t="shared" si="235"/>
        <v>5500000250000016064001572600</v>
      </c>
      <c r="BU293" t="str">
        <f t="shared" si="231"/>
        <v/>
      </c>
      <c r="BV293" t="str">
        <f t="shared" si="236"/>
        <v>7777</v>
      </c>
      <c r="BW293" t="str">
        <f t="shared" si="232"/>
        <v/>
      </c>
      <c r="BX293" t="str">
        <f t="shared" si="237"/>
        <v>1111</v>
      </c>
      <c r="CB293" s="683" t="str">
        <f t="shared" si="238"/>
        <v/>
      </c>
      <c r="CC293" s="683" t="str">
        <f t="shared" si="233"/>
        <v/>
      </c>
      <c r="CD293" s="683" t="str">
        <f>IF(CC293="","",VALUE(MID($BZ$5,1+SUM($CC$3:CC292),CC293)))</f>
        <v/>
      </c>
      <c r="CE293"/>
      <c r="CF293" t="str">
        <f>IF(CD293="","",MID($BZ$4,1+SUM($CD$3:CD292),CD293))</f>
        <v/>
      </c>
    </row>
    <row r="294" spans="68:84" ht="15">
      <c r="BP294" s="485" t="e">
        <f ca="1">IF(OR(DB_LOAD!AW293="USD",DB_LOAD!AW293='Refi-Annual Review'!$A$3,ISBLANK(DB_LOAD!AW293)),0,1)</f>
        <v>#NAME?</v>
      </c>
      <c r="BQ294" t="str">
        <f>(IF(ISBLANK(DB_LOAD!AR293),"",DB_LOAD!AR293))</f>
        <v/>
      </c>
      <c r="BR294" t="str">
        <f t="shared" si="230"/>
        <v/>
      </c>
      <c r="BS294" t="str">
        <f t="shared" si="234"/>
        <v/>
      </c>
      <c r="BT294" t="str">
        <f t="shared" si="235"/>
        <v>5500000250000016064001572600</v>
      </c>
      <c r="BU294" t="str">
        <f t="shared" si="231"/>
        <v/>
      </c>
      <c r="BV294" t="str">
        <f t="shared" si="236"/>
        <v>7777</v>
      </c>
      <c r="BW294" t="str">
        <f t="shared" si="232"/>
        <v/>
      </c>
      <c r="BX294" t="str">
        <f t="shared" si="237"/>
        <v>1111</v>
      </c>
      <c r="CB294" s="683" t="str">
        <f t="shared" si="238"/>
        <v/>
      </c>
      <c r="CC294" s="683" t="str">
        <f t="shared" si="233"/>
        <v/>
      </c>
      <c r="CD294" s="683" t="str">
        <f>IF(CC294="","",VALUE(MID($BZ$5,1+SUM($CC$3:CC293),CC294)))</f>
        <v/>
      </c>
      <c r="CE294"/>
      <c r="CF294" t="str">
        <f>IF(CD294="","",MID($BZ$4,1+SUM($CD$3:CD293),CD294))</f>
        <v/>
      </c>
    </row>
    <row r="295" spans="68:84" ht="15">
      <c r="BP295" s="485" t="e">
        <f ca="1">IF(OR(DB_LOAD!AW294="USD",DB_LOAD!AW294='Refi-Annual Review'!$A$3,ISBLANK(DB_LOAD!AW294)),0,1)</f>
        <v>#NAME?</v>
      </c>
      <c r="BQ295" t="str">
        <f>(IF(ISBLANK(DB_LOAD!AR294),"",DB_LOAD!AR294))</f>
        <v/>
      </c>
      <c r="BR295" t="str">
        <f t="shared" si="230"/>
        <v/>
      </c>
      <c r="BS295" t="str">
        <f t="shared" si="234"/>
        <v/>
      </c>
      <c r="BT295" t="str">
        <f t="shared" si="235"/>
        <v>5500000250000016064001572600</v>
      </c>
      <c r="BU295" t="str">
        <f t="shared" si="231"/>
        <v/>
      </c>
      <c r="BV295" t="str">
        <f t="shared" si="236"/>
        <v>7777</v>
      </c>
      <c r="BW295" t="str">
        <f t="shared" si="232"/>
        <v/>
      </c>
      <c r="BX295" t="str">
        <f t="shared" si="237"/>
        <v>1111</v>
      </c>
      <c r="CB295" s="683" t="str">
        <f t="shared" si="238"/>
        <v/>
      </c>
      <c r="CC295" s="683" t="str">
        <f t="shared" si="233"/>
        <v/>
      </c>
      <c r="CD295" s="683" t="str">
        <f>IF(CC295="","",VALUE(MID($BZ$5,1+SUM($CC$3:CC294),CC295)))</f>
        <v/>
      </c>
      <c r="CE295"/>
      <c r="CF295" t="str">
        <f>IF(CD295="","",MID($BZ$4,1+SUM($CD$3:CD294),CD295))</f>
        <v/>
      </c>
    </row>
    <row r="296" spans="68:84" ht="15">
      <c r="BP296" s="485" t="e">
        <f ca="1">IF(OR(DB_LOAD!AW295="USD",DB_LOAD!AW295='Refi-Annual Review'!$A$3,ISBLANK(DB_LOAD!AW295)),0,1)</f>
        <v>#NAME?</v>
      </c>
      <c r="BQ296" t="str">
        <f>(IF(ISBLANK(DB_LOAD!AR295),"",DB_LOAD!AR295))</f>
        <v/>
      </c>
      <c r="BR296" t="str">
        <f t="shared" si="230"/>
        <v/>
      </c>
      <c r="BS296" t="str">
        <f t="shared" si="234"/>
        <v/>
      </c>
      <c r="BT296" t="str">
        <f t="shared" si="235"/>
        <v>5500000250000016064001572600</v>
      </c>
      <c r="BU296" t="str">
        <f t="shared" si="231"/>
        <v/>
      </c>
      <c r="BV296" t="str">
        <f t="shared" si="236"/>
        <v>7777</v>
      </c>
      <c r="BW296" t="str">
        <f t="shared" si="232"/>
        <v/>
      </c>
      <c r="BX296" t="str">
        <f t="shared" si="237"/>
        <v>1111</v>
      </c>
      <c r="CB296" s="683" t="str">
        <f t="shared" si="238"/>
        <v/>
      </c>
      <c r="CC296" s="683" t="str">
        <f t="shared" si="233"/>
        <v/>
      </c>
      <c r="CD296" s="683" t="str">
        <f>IF(CC296="","",VALUE(MID($BZ$5,1+SUM($CC$3:CC295),CC296)))</f>
        <v/>
      </c>
      <c r="CE296"/>
      <c r="CF296" t="str">
        <f>IF(CD296="","",MID($BZ$4,1+SUM($CD$3:CD295),CD296))</f>
        <v/>
      </c>
    </row>
    <row r="297" spans="68:84" ht="15">
      <c r="BP297" s="485" t="e">
        <f ca="1">IF(OR(DB_LOAD!AW296="USD",DB_LOAD!AW296='Refi-Annual Review'!$A$3,ISBLANK(DB_LOAD!AW296)),0,1)</f>
        <v>#NAME?</v>
      </c>
      <c r="BQ297" t="str">
        <f>(IF(ISBLANK(DB_LOAD!AR296),"",DB_LOAD!AR296))</f>
        <v/>
      </c>
      <c r="BR297" t="str">
        <f t="shared" si="230"/>
        <v/>
      </c>
      <c r="BS297" t="str">
        <f t="shared" si="234"/>
        <v/>
      </c>
      <c r="BT297" t="str">
        <f t="shared" si="235"/>
        <v>5500000250000016064001572600</v>
      </c>
      <c r="BU297" t="str">
        <f t="shared" si="231"/>
        <v/>
      </c>
      <c r="BV297" t="str">
        <f t="shared" si="236"/>
        <v>7777</v>
      </c>
      <c r="BW297" t="str">
        <f t="shared" si="232"/>
        <v/>
      </c>
      <c r="BX297" t="str">
        <f t="shared" si="237"/>
        <v>1111</v>
      </c>
      <c r="CB297" s="683" t="str">
        <f t="shared" si="238"/>
        <v/>
      </c>
      <c r="CC297" s="683" t="str">
        <f t="shared" si="233"/>
        <v/>
      </c>
      <c r="CD297" s="683" t="str">
        <f>IF(CC297="","",VALUE(MID($BZ$5,1+SUM($CC$3:CC296),CC297)))</f>
        <v/>
      </c>
      <c r="CE297"/>
      <c r="CF297" t="str">
        <f>IF(CD297="","",MID($BZ$4,1+SUM($CD$3:CD296),CD297))</f>
        <v/>
      </c>
    </row>
    <row r="298" spans="68:84" ht="15">
      <c r="BP298" s="485" t="e">
        <f ca="1">IF(OR(DB_LOAD!AW297="USD",DB_LOAD!AW297='Refi-Annual Review'!$A$3,ISBLANK(DB_LOAD!AW297)),0,1)</f>
        <v>#NAME?</v>
      </c>
      <c r="BQ298" t="str">
        <f>(IF(ISBLANK(DB_LOAD!AR297),"",DB_LOAD!AR297))</f>
        <v/>
      </c>
      <c r="BR298" t="str">
        <f t="shared" si="230"/>
        <v/>
      </c>
      <c r="BS298" t="str">
        <f t="shared" si="234"/>
        <v/>
      </c>
      <c r="BT298" t="str">
        <f t="shared" si="235"/>
        <v>5500000250000016064001572600</v>
      </c>
      <c r="BU298" t="str">
        <f t="shared" si="231"/>
        <v/>
      </c>
      <c r="BV298" t="str">
        <f t="shared" si="236"/>
        <v>7777</v>
      </c>
      <c r="BW298" t="str">
        <f t="shared" si="232"/>
        <v/>
      </c>
      <c r="BX298" t="str">
        <f t="shared" si="237"/>
        <v>1111</v>
      </c>
      <c r="CB298" s="683" t="str">
        <f t="shared" si="238"/>
        <v/>
      </c>
      <c r="CC298" s="683" t="str">
        <f t="shared" si="233"/>
        <v/>
      </c>
      <c r="CD298" s="683" t="str">
        <f>IF(CC298="","",VALUE(MID($BZ$5,1+SUM($CC$3:CC297),CC298)))</f>
        <v/>
      </c>
      <c r="CE298"/>
      <c r="CF298" t="str">
        <f>IF(CD298="","",MID($BZ$4,1+SUM($CD$3:CD297),CD298))</f>
        <v/>
      </c>
    </row>
    <row r="299" spans="68:84" ht="15">
      <c r="BP299" s="485" t="e">
        <f ca="1">IF(OR(DB_LOAD!AW298="USD",DB_LOAD!AW298='Refi-Annual Review'!$A$3,ISBLANK(DB_LOAD!AW298)),0,1)</f>
        <v>#NAME?</v>
      </c>
      <c r="BQ299" t="str">
        <f>(IF(ISBLANK(DB_LOAD!AR298),"",DB_LOAD!AR298))</f>
        <v/>
      </c>
      <c r="BR299" t="str">
        <f t="shared" si="230"/>
        <v/>
      </c>
      <c r="BS299" t="str">
        <f t="shared" si="234"/>
        <v/>
      </c>
      <c r="BT299" t="str">
        <f t="shared" si="235"/>
        <v>5500000250000016064001572600</v>
      </c>
      <c r="BU299" t="str">
        <f t="shared" si="231"/>
        <v/>
      </c>
      <c r="BV299" t="str">
        <f t="shared" si="236"/>
        <v>7777</v>
      </c>
      <c r="BW299" t="str">
        <f t="shared" si="232"/>
        <v/>
      </c>
      <c r="BX299" t="str">
        <f t="shared" si="237"/>
        <v>1111</v>
      </c>
      <c r="CB299" s="683" t="str">
        <f t="shared" si="238"/>
        <v/>
      </c>
      <c r="CC299" s="683" t="str">
        <f t="shared" si="233"/>
        <v/>
      </c>
      <c r="CD299" s="683" t="str">
        <f>IF(CC299="","",VALUE(MID($BZ$5,1+SUM($CC$3:CC298),CC299)))</f>
        <v/>
      </c>
      <c r="CE299"/>
      <c r="CF299" t="str">
        <f>IF(CD299="","",MID($BZ$4,1+SUM($CD$3:CD298),CD299))</f>
        <v/>
      </c>
    </row>
    <row r="300" spans="68:84" ht="15">
      <c r="BP300" s="485" t="e">
        <f ca="1">IF(OR(DB_LOAD!AW299="USD",DB_LOAD!AW299='Refi-Annual Review'!$A$3,ISBLANK(DB_LOAD!AW299)),0,1)</f>
        <v>#NAME?</v>
      </c>
      <c r="BQ300" t="str">
        <f>(IF(ISBLANK(DB_LOAD!AR299),"",DB_LOAD!AR299))</f>
        <v/>
      </c>
      <c r="BR300" t="str">
        <f t="shared" si="230"/>
        <v/>
      </c>
      <c r="BS300" t="str">
        <f t="shared" si="234"/>
        <v/>
      </c>
      <c r="BT300" t="str">
        <f t="shared" si="235"/>
        <v>5500000250000016064001572600</v>
      </c>
      <c r="BU300" t="str">
        <f t="shared" si="231"/>
        <v/>
      </c>
      <c r="BV300" t="str">
        <f t="shared" si="236"/>
        <v>7777</v>
      </c>
      <c r="BW300" t="str">
        <f t="shared" si="232"/>
        <v/>
      </c>
      <c r="BX300" t="str">
        <f t="shared" si="237"/>
        <v>1111</v>
      </c>
      <c r="CB300" s="683" t="str">
        <f t="shared" si="238"/>
        <v/>
      </c>
      <c r="CC300" s="683" t="str">
        <f t="shared" si="233"/>
        <v/>
      </c>
      <c r="CD300" s="683" t="str">
        <f>IF(CC300="","",VALUE(MID($BZ$5,1+SUM($CC$3:CC299),CC300)))</f>
        <v/>
      </c>
      <c r="CE300"/>
      <c r="CF300" t="str">
        <f>IF(CD300="","",MID($BZ$4,1+SUM($CD$3:CD299),CD300))</f>
        <v/>
      </c>
    </row>
  </sheetData>
  <sortState ref="BG7:BJ23">
    <sortCondition ref="BI7:BI23"/>
  </sortState>
  <conditionalFormatting sqref="AZ8:BB14">
    <cfRule type="expression" dxfId="3" priority="3">
      <formula>$BC8=1</formula>
    </cfRule>
    <cfRule type="expression" dxfId="2" priority="4">
      <formula>$AY8=1</formula>
    </cfRule>
  </conditionalFormatting>
  <conditionalFormatting sqref="AZ8:BB14">
    <cfRule type="expression" dxfId="1" priority="1">
      <formula>$BC8=1</formula>
    </cfRule>
    <cfRule type="expression" dxfId="0" priority="2">
      <formula>$AY8=1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3" tint="-0.499984740745262"/>
  </sheetPr>
  <dimension ref="B2:AC61"/>
  <sheetViews>
    <sheetView showGridLines="0" view="pageBreakPreview" zoomScale="85" zoomScaleNormal="70" zoomScaleSheetLayoutView="85" workbookViewId="0"/>
  </sheetViews>
  <sheetFormatPr defaultRowHeight="26.25" outlineLevelRow="1" outlineLevelCol="1"/>
  <cols>
    <col min="1" max="1" width="9.140625" style="419" customWidth="1"/>
    <col min="2" max="2" width="42" style="753" bestFit="1" customWidth="1"/>
    <col min="3" max="3" width="9.28515625" style="446" hidden="1" customWidth="1" outlineLevel="1"/>
    <col min="4" max="4" width="6.5703125" style="446" hidden="1" customWidth="1" outlineLevel="1"/>
    <col min="5" max="5" width="14" style="446" bestFit="1" customWidth="1" collapsed="1"/>
    <col min="6" max="6" width="12.5703125" style="446" customWidth="1"/>
    <col min="7" max="7" width="15.85546875" style="419" bestFit="1" customWidth="1"/>
    <col min="8" max="8" width="25.28515625" style="419" hidden="1" customWidth="1" outlineLevel="1"/>
    <col min="9" max="9" width="25.28515625" style="419" bestFit="1" customWidth="1" collapsed="1"/>
    <col min="10" max="10" width="23" style="419" bestFit="1" customWidth="1"/>
    <col min="11" max="11" width="20.28515625" style="419" bestFit="1" customWidth="1"/>
    <col min="12" max="12" width="7.28515625" style="419" customWidth="1"/>
    <col min="13" max="13" width="15.140625" style="419" customWidth="1"/>
    <col min="14" max="14" width="1" customWidth="1"/>
    <col min="15" max="15" width="8.5703125" style="419" bestFit="1" customWidth="1"/>
    <col min="16" max="16" width="19.7109375" style="419" bestFit="1" customWidth="1"/>
    <col min="17" max="17" width="22.5703125" style="419" bestFit="1" customWidth="1"/>
    <col min="18" max="18" width="28" style="419" bestFit="1" customWidth="1"/>
    <col min="19" max="19" width="22.5703125" style="419" bestFit="1" customWidth="1"/>
    <col min="20" max="20" width="16.42578125" style="419" bestFit="1" customWidth="1"/>
    <col min="21" max="21" width="15.85546875" style="419" bestFit="1" customWidth="1"/>
    <col min="22" max="22" width="15.7109375" style="419" customWidth="1"/>
    <col min="23" max="23" width="24.7109375" style="419" bestFit="1" customWidth="1"/>
    <col min="24" max="24" width="22.85546875" style="419" customWidth="1"/>
    <col min="25" max="25" width="20.85546875" style="419" bestFit="1" customWidth="1"/>
    <col min="26" max="26" width="30.28515625" style="419" bestFit="1" customWidth="1"/>
    <col min="27" max="27" width="29.140625" style="419" customWidth="1"/>
    <col min="28" max="28" width="39.7109375" style="419" customWidth="1"/>
    <col min="29" max="29" width="34.7109375" style="415" bestFit="1" customWidth="1"/>
    <col min="30" max="30" width="20.140625" style="419" bestFit="1" customWidth="1"/>
    <col min="31" max="31" width="22.5703125" style="419" bestFit="1" customWidth="1"/>
    <col min="32" max="32" width="28.85546875" style="419" bestFit="1" customWidth="1"/>
    <col min="33" max="33" width="25.42578125" style="419" bestFit="1" customWidth="1"/>
    <col min="34" max="34" width="26.85546875" style="419" bestFit="1" customWidth="1"/>
    <col min="35" max="35" width="16.5703125" style="419" bestFit="1" customWidth="1"/>
    <col min="36" max="36" width="22.7109375" style="419" bestFit="1" customWidth="1"/>
    <col min="37" max="37" width="57.5703125" style="419" bestFit="1" customWidth="1"/>
    <col min="38" max="38" width="55.140625" style="419" bestFit="1" customWidth="1"/>
    <col min="39" max="39" width="25.85546875" style="419" bestFit="1" customWidth="1"/>
    <col min="40" max="40" width="28.7109375" style="419" bestFit="1" customWidth="1"/>
    <col min="41" max="41" width="23.5703125" style="419" bestFit="1" customWidth="1"/>
    <col min="42" max="42" width="19.85546875" style="419" bestFit="1" customWidth="1"/>
    <col min="43" max="43" width="43" style="419" bestFit="1" customWidth="1"/>
    <col min="44" max="44" width="44.7109375" style="419" bestFit="1" customWidth="1"/>
    <col min="45" max="45" width="23.28515625" style="419" bestFit="1" customWidth="1"/>
    <col min="46" max="46" width="24.140625" style="419" bestFit="1" customWidth="1"/>
    <col min="47" max="47" width="42.5703125" style="419" bestFit="1" customWidth="1"/>
    <col min="48" max="48" width="35.5703125" style="419" bestFit="1" customWidth="1"/>
    <col min="49" max="49" width="50.42578125" style="419" bestFit="1" customWidth="1"/>
    <col min="50" max="50" width="23.7109375" style="419" bestFit="1" customWidth="1"/>
    <col min="51" max="51" width="30.140625" style="419" bestFit="1" customWidth="1"/>
    <col min="52" max="52" width="29.7109375" style="419" bestFit="1" customWidth="1"/>
    <col min="53" max="53" width="12.5703125" style="419" bestFit="1" customWidth="1"/>
    <col min="54" max="54" width="13.28515625" style="419" bestFit="1" customWidth="1"/>
    <col min="55" max="55" width="13" style="419" bestFit="1" customWidth="1"/>
    <col min="56" max="56" width="37.42578125" style="419" bestFit="1" customWidth="1"/>
    <col min="57" max="57" width="48.5703125" style="419" bestFit="1" customWidth="1"/>
    <col min="58" max="58" width="47.42578125" style="419" bestFit="1" customWidth="1"/>
    <col min="59" max="59" width="9.28515625" style="419" bestFit="1" customWidth="1"/>
    <col min="60" max="60" width="17.85546875" style="419" bestFit="1" customWidth="1"/>
    <col min="61" max="61" width="10.7109375" style="419" bestFit="1" customWidth="1"/>
    <col min="62" max="62" width="14.28515625" style="419" bestFit="1" customWidth="1"/>
    <col min="63" max="63" width="25.7109375" style="419" bestFit="1" customWidth="1"/>
    <col min="64" max="64" width="10.5703125" style="419" bestFit="1" customWidth="1"/>
    <col min="65" max="65" width="12" style="419" bestFit="1" customWidth="1"/>
    <col min="66" max="66" width="9.140625" style="419"/>
    <col min="67" max="67" width="53.140625" style="419" bestFit="1" customWidth="1"/>
    <col min="68" max="68" width="20.5703125" style="419" bestFit="1" customWidth="1"/>
    <col min="69" max="69" width="20.28515625" style="419" bestFit="1" customWidth="1"/>
    <col min="70" max="70" width="19.42578125" style="419" bestFit="1" customWidth="1"/>
    <col min="71" max="72" width="21.85546875" style="419" bestFit="1" customWidth="1"/>
    <col min="73" max="73" width="23" style="419" bestFit="1" customWidth="1"/>
    <col min="74" max="74" width="20.42578125" style="419" bestFit="1" customWidth="1"/>
    <col min="75" max="75" width="39.28515625" style="419" bestFit="1" customWidth="1"/>
    <col min="76" max="76" width="13.5703125" style="419" bestFit="1" customWidth="1"/>
    <col min="77" max="77" width="21.140625" style="419" bestFit="1" customWidth="1"/>
    <col min="78" max="78" width="29" style="419" bestFit="1" customWidth="1"/>
    <col min="79" max="79" width="26.42578125" style="419" bestFit="1" customWidth="1"/>
    <col min="80" max="80" width="25.140625" style="419" bestFit="1" customWidth="1"/>
    <col min="81" max="81" width="36.140625" style="419" bestFit="1" customWidth="1"/>
    <col min="82" max="82" width="33.7109375" style="419" bestFit="1" customWidth="1"/>
    <col min="83" max="83" width="47.42578125" style="419" bestFit="1" customWidth="1"/>
    <col min="84" max="84" width="9.28515625" style="419" bestFit="1" customWidth="1"/>
    <col min="85" max="16384" width="9.140625" style="419"/>
  </cols>
  <sheetData>
    <row r="2" spans="2:29" s="414" customFormat="1" ht="15.75">
      <c r="B2" s="759" t="e">
        <f ca="1">Config!B10</f>
        <v>#NAME?</v>
      </c>
      <c r="C2" s="413"/>
      <c r="D2" s="413"/>
      <c r="E2" s="413"/>
      <c r="F2" s="413"/>
      <c r="N2"/>
      <c r="AC2" s="415"/>
    </row>
    <row r="3" spans="2:29" s="414" customFormat="1" ht="4.5" customHeight="1">
      <c r="C3" s="413"/>
      <c r="D3" s="413"/>
      <c r="E3" s="413"/>
      <c r="F3" s="413"/>
      <c r="N3"/>
      <c r="AC3" s="415"/>
    </row>
    <row r="4" spans="2:29" s="414" customFormat="1" ht="15.75">
      <c r="B4" s="760" t="str">
        <f>TEXT(I8,"mmm 'yy")&amp;" Equity Monitoring Report"</f>
        <v>Jan '00 Equity Monitoring Report</v>
      </c>
      <c r="C4" s="761" t="e">
        <f ca="1">IF('Balance Sheet'!$E$5="USD",AVERAGE((OFFSET(DB_LOAD!$K:$K,MATCH(C9,DB_LOAD!$H:$H,0)-1,0,12,1))),1)</f>
        <v>#N/A</v>
      </c>
      <c r="D4" s="761" t="e">
        <f ca="1">IF('Balance Sheet'!$E$5="USD",AVERAGE((OFFSET(DB_LOAD!$K:$K,MATCH(D9,DB_LOAD!$H:$H,0)-1,0,12,1))),1)</f>
        <v>#N/A</v>
      </c>
      <c r="E4" s="761" t="e">
        <f ca="1">IF('Balance Sheet'!$E$5="USD",AVERAGE((OFFSET(DB_LOAD!$K:$K,MATCH(E9,DB_LOAD!$H:$H,0)-1,0,12,1))),1)</f>
        <v>#N/A</v>
      </c>
      <c r="F4" s="761" t="e">
        <f ca="1">IF('Balance Sheet'!$E$5="USD",AVERAGE((OFFSET(DB_LOAD!$K:$K,MATCH(F9,DB_LOAD!$H:$H,0)-1,0,12,1))),1)</f>
        <v>#NAME?</v>
      </c>
      <c r="G4" s="762"/>
      <c r="H4" s="763" t="e">
        <f ca="1">IF('Balance Sheet'!$E$5="USD",AVERAGE((OFFSET(DB_LOAD!$K:$K,MATCH(H8,DB_LOAD!$H:$H,0)-1,0,12,1))),1)</f>
        <v>#N/A</v>
      </c>
      <c r="I4" s="763" t="e">
        <f ca="1">IF('Balance Sheet'!$E$5="USD",AVERAGE((OFFSET(DB_LOAD!$K:$K,MATCH(I8,DB_LOAD!$H:$H,0)-1,0,12,1))),1)</f>
        <v>#N/A</v>
      </c>
      <c r="J4" s="416" t="s">
        <v>515</v>
      </c>
      <c r="N4"/>
      <c r="AC4" s="415"/>
    </row>
    <row r="5" spans="2:29" s="416" customFormat="1" ht="16.5" thickBot="1">
      <c r="C5" s="764" t="e">
        <f ca="1">IF('Balance Sheet'!$E$5="USD",(OFFSET(DB_LOAD!$K:$K,MATCH(C9,DB_LOAD!$H:$H,0)-1,0,1,1)),1)</f>
        <v>#N/A</v>
      </c>
      <c r="D5" s="764" t="e">
        <f ca="1">IF('Balance Sheet'!$E$5="USD",(OFFSET(DB_LOAD!$K:$K,MATCH(D9,DB_LOAD!$H:$H,0)-1,0,1,1)),1)</f>
        <v>#N/A</v>
      </c>
      <c r="E5" s="764" t="e">
        <f ca="1">IF('Balance Sheet'!$E$5="USD",(OFFSET(DB_LOAD!$K:$K,MATCH(E9,DB_LOAD!$H:$H,0)-1,0,1,1)),1)</f>
        <v>#N/A</v>
      </c>
      <c r="F5" s="764" t="e">
        <f ca="1">IF('Balance Sheet'!$E$5="USD",(OFFSET(DB_LOAD!$K:$K,MATCH(F9,DB_LOAD!$H:$H,0)-1,0,1,1)),1)</f>
        <v>#NAME?</v>
      </c>
      <c r="H5" s="765" t="e">
        <f ca="1">IF('Balance Sheet'!$E$5="USD",(OFFSET(DB_LOAD!$K:$K,MATCH(H8,DB_LOAD!$H:$H,0)-1,0,1,1)),1)</f>
        <v>#N/A</v>
      </c>
      <c r="I5" s="765" t="e">
        <f ca="1">IF('Balance Sheet'!$E$5="USD",(OFFSET(DB_LOAD!$K:$K,MATCH(I8,DB_LOAD!$H:$H,0)-1,0,1,1)),1)</f>
        <v>#N/A</v>
      </c>
      <c r="J5" s="416" t="s">
        <v>514</v>
      </c>
      <c r="N5"/>
      <c r="O5" s="417">
        <v>1000</v>
      </c>
      <c r="AC5" s="418"/>
    </row>
    <row r="6" spans="2:29" ht="47.25" customHeight="1" thickBot="1">
      <c r="B6" s="766" t="s">
        <v>364</v>
      </c>
      <c r="C6" s="767"/>
      <c r="D6" s="768"/>
      <c r="E6" s="769" t="s">
        <v>365</v>
      </c>
      <c r="F6" s="769"/>
      <c r="G6" s="769"/>
      <c r="H6" s="770">
        <f>H8</f>
        <v>693601</v>
      </c>
      <c r="I6" s="771" t="str">
        <f>TEXT(I8,"mmm 'yy")&amp;" TTM"</f>
        <v>Jan '00 TTM</v>
      </c>
      <c r="J6" s="772"/>
      <c r="K6" s="820" t="s">
        <v>366</v>
      </c>
      <c r="L6" s="821"/>
      <c r="M6" s="822"/>
    </row>
    <row r="7" spans="2:29" ht="15.75" hidden="1" outlineLevel="1">
      <c r="B7" s="773"/>
      <c r="C7" s="774" t="s">
        <v>54</v>
      </c>
      <c r="D7" s="775" t="e">
        <f ca="1">IF((DATA_FORMATTING!AS131/D$5)/$O$5=0,"Unaudited","Audited")</f>
        <v>#N/A</v>
      </c>
      <c r="E7" s="775" t="e">
        <f ca="1">IF((DATA_FORMATTING!AT131/E$5)/$O$5=0,"Unaudited","Audited")</f>
        <v>#N/A</v>
      </c>
      <c r="F7" s="775" t="e">
        <f ca="1">IF((DATA_FORMATTING!AU131/F$5)/$O$5=0,"Unaudited","Audited")</f>
        <v>#NAME?</v>
      </c>
      <c r="G7" s="776"/>
      <c r="H7" s="777" t="s">
        <v>367</v>
      </c>
      <c r="I7" s="777" t="s">
        <v>367</v>
      </c>
      <c r="J7" s="778"/>
      <c r="K7" s="420"/>
      <c r="L7" s="420"/>
      <c r="M7" s="421"/>
    </row>
    <row r="8" spans="2:29" ht="15.75" hidden="1" outlineLevel="1">
      <c r="B8" s="773"/>
      <c r="C8" s="779" t="e">
        <f>YEAR(C9)</f>
        <v>#VALUE!</v>
      </c>
      <c r="D8" s="779" t="e">
        <f>YEAR(D9)</f>
        <v>#VALUE!</v>
      </c>
      <c r="E8" s="779" t="e">
        <f>YEAR(E9)</f>
        <v>#VALUE!</v>
      </c>
      <c r="F8" s="779" t="e">
        <f>YEAR(F9)</f>
        <v>#NAME?</v>
      </c>
      <c r="G8" s="780"/>
      <c r="H8" s="781">
        <f>DATE(YEAR(I8)-1,MONTH(I8),DAY(I8))</f>
        <v>693601</v>
      </c>
      <c r="I8" s="781">
        <f>MAX(DB_LOAD!F:F)</f>
        <v>4</v>
      </c>
      <c r="J8" s="782"/>
      <c r="K8" s="420"/>
      <c r="L8" s="420"/>
      <c r="M8" s="421"/>
    </row>
    <row r="9" spans="2:29" ht="16.5" collapsed="1" thickBot="1">
      <c r="B9" s="1114"/>
      <c r="C9" s="1115" t="str">
        <f>DATA_FORMATTING!AR7</f>
        <v/>
      </c>
      <c r="D9" s="1115" t="str">
        <f>DATA_FORMATTING!AS7</f>
        <v/>
      </c>
      <c r="E9" s="1115" t="str">
        <f>DATA_FORMATTING!AT7</f>
        <v/>
      </c>
      <c r="F9" s="1115" t="e">
        <f>DATA_FORMATTING!AU7</f>
        <v>#NAME?</v>
      </c>
      <c r="G9" s="1116" t="e">
        <f>"Growth in "&amp;TEXT(F9,"'yy")</f>
        <v>#NAME?</v>
      </c>
      <c r="H9" s="1117" t="s">
        <v>368</v>
      </c>
      <c r="I9" s="1117" t="s">
        <v>368</v>
      </c>
      <c r="J9" s="1118" t="str">
        <f>TEXT(I8,"mmm 'yy")&amp;" Growth"</f>
        <v>Jan '00 Growth</v>
      </c>
      <c r="K9" s="1116">
        <v>2009</v>
      </c>
      <c r="L9" s="1116" t="s">
        <v>369</v>
      </c>
      <c r="M9" s="1119">
        <v>2010</v>
      </c>
    </row>
    <row r="10" spans="2:29" ht="16.5" hidden="1" outlineLevel="1" thickBot="1">
      <c r="B10" s="1120" t="s">
        <v>531</v>
      </c>
      <c r="C10" s="1121"/>
      <c r="D10" s="1121"/>
      <c r="E10" s="1121"/>
      <c r="F10" s="1121"/>
      <c r="G10" s="1122"/>
      <c r="H10" s="1122"/>
      <c r="I10" s="1122"/>
      <c r="J10" s="1123"/>
      <c r="K10" s="1122"/>
      <c r="L10" s="1122"/>
      <c r="M10" s="1124"/>
    </row>
    <row r="11" spans="2:29" ht="15.75" collapsed="1">
      <c r="B11" s="1125" t="s">
        <v>657</v>
      </c>
      <c r="C11" s="1126"/>
      <c r="D11" s="1126"/>
      <c r="E11" s="1127" t="e">
        <f ca="1">E4</f>
        <v>#N/A</v>
      </c>
      <c r="F11" s="1127" t="e">
        <f t="shared" ref="F11:F12" ca="1" si="0">F4</f>
        <v>#NAME?</v>
      </c>
      <c r="G11" s="1128" t="e">
        <f ca="1">E11/F11-1</f>
        <v>#N/A</v>
      </c>
      <c r="H11" s="1127" t="e">
        <f t="shared" ref="H11" ca="1" si="1">H4</f>
        <v>#N/A</v>
      </c>
      <c r="I11" s="1127" t="e">
        <f ca="1">I4</f>
        <v>#N/A</v>
      </c>
      <c r="J11" s="1128" t="e">
        <f ca="1">H11/I11-1</f>
        <v>#N/A</v>
      </c>
      <c r="K11" s="1129"/>
      <c r="L11" s="1129"/>
      <c r="M11" s="1130"/>
    </row>
    <row r="12" spans="2:29" ht="15.75">
      <c r="B12" s="1108" t="s">
        <v>658</v>
      </c>
      <c r="C12" s="1109"/>
      <c r="D12" s="1109"/>
      <c r="E12" s="1112" t="e">
        <f t="shared" ref="E12" ca="1" si="2">E5</f>
        <v>#N/A</v>
      </c>
      <c r="F12" s="1112" t="e">
        <f t="shared" ca="1" si="0"/>
        <v>#NAME?</v>
      </c>
      <c r="G12" s="1113" t="e">
        <f ca="1">E12/F12-1</f>
        <v>#N/A</v>
      </c>
      <c r="H12" s="1112" t="e">
        <f t="shared" ref="H12:I12" ca="1" si="3">H5</f>
        <v>#N/A</v>
      </c>
      <c r="I12" s="1112" t="e">
        <f t="shared" ca="1" si="3"/>
        <v>#N/A</v>
      </c>
      <c r="J12" s="1113" t="e">
        <f ca="1">H12/I12-1</f>
        <v>#N/A</v>
      </c>
      <c r="K12" s="1110"/>
      <c r="L12" s="1110"/>
      <c r="M12" s="1111"/>
    </row>
    <row r="13" spans="2:29" ht="15.75">
      <c r="B13" s="783" t="s">
        <v>370</v>
      </c>
      <c r="C13" s="784" t="e">
        <f ca="1">(DATA_FORMATTING!AR131/C$5)/$O$5</f>
        <v>#N/A</v>
      </c>
      <c r="D13" s="784" t="e">
        <f ca="1">IF((DATA_FORMATTING!AS131/D$5)=0,DATA_FORMATTING!F189/D$5,(DATA_FORMATTING!AS131/D$5))/$O$5</f>
        <v>#N/A</v>
      </c>
      <c r="E13" s="784" t="e">
        <f ca="1">IF((DATA_FORMATTING!AT131/E$5)=0,DATA_FORMATTING!G189/E$5,(DATA_FORMATTING!AT131/E$5))/$O$5</f>
        <v>#N/A</v>
      </c>
      <c r="F13" s="784" t="e">
        <f ca="1">IF((DATA_FORMATTING!AU131/F$5)=0,DATA_FORMATTING!I189/F$5,(DATA_FORMATTING!AU131/F$5))/$O$5</f>
        <v>#NAME?</v>
      </c>
      <c r="G13" s="785" t="str">
        <f ca="1">IFERROR((F13-E13)/ABS(E13),"")</f>
        <v/>
      </c>
      <c r="H13" s="786" t="e">
        <f ca="1">(DATA_FORMATTING!AB131/H$5)/$O$5</f>
        <v>#VALUE!</v>
      </c>
      <c r="I13" s="784" t="e">
        <f ca="1">(DATA_FORMATTING!AN131/I$5)/$O$5</f>
        <v>#NAME?</v>
      </c>
      <c r="J13" s="785" t="str">
        <f ca="1">IFERROR((I13-H13)/ABS(H13),"")</f>
        <v/>
      </c>
      <c r="K13" s="422"/>
      <c r="L13" s="423"/>
      <c r="M13" s="424"/>
    </row>
    <row r="14" spans="2:29" ht="15.75" hidden="1" outlineLevel="1">
      <c r="B14" s="783" t="s">
        <v>528</v>
      </c>
      <c r="C14" s="784"/>
      <c r="D14" s="784"/>
      <c r="E14" s="784"/>
      <c r="F14" s="784"/>
      <c r="G14" s="785"/>
      <c r="H14" s="786"/>
      <c r="I14" s="784"/>
      <c r="J14" s="785"/>
      <c r="K14" s="422"/>
      <c r="L14" s="423"/>
      <c r="M14" s="424"/>
    </row>
    <row r="15" spans="2:29" ht="15.75" collapsed="1">
      <c r="B15" s="783" t="s">
        <v>10</v>
      </c>
      <c r="C15" s="784" t="e">
        <f ca="1">(DATA_FORMATTING!AR128/C$5)/$O$5</f>
        <v>#N/A</v>
      </c>
      <c r="D15" s="784" t="e">
        <f ca="1">IF((DATA_FORMATTING!AS128/D$5)=0,DATA_FORMATTING!F186/D$5,(DATA_FORMATTING!AS128/D$5))/$O$5</f>
        <v>#N/A</v>
      </c>
      <c r="E15" s="784" t="e">
        <f ca="1">IF((DATA_FORMATTING!AT128/E$5)=0,DATA_FORMATTING!G186/E$5,(DATA_FORMATTING!AT128/E$5))/$O$5</f>
        <v>#N/A</v>
      </c>
      <c r="F15" s="784" t="e">
        <f ca="1">IF((DATA_FORMATTING!AU128/F$5)=0,DATA_FORMATTING!I186/F$5,(DATA_FORMATTING!AU128/F$5))/$O$5</f>
        <v>#NAME?</v>
      </c>
      <c r="G15" s="785" t="str">
        <f ca="1">IFERROR((F15-E15)/ABS(E15),"")</f>
        <v/>
      </c>
      <c r="H15" s="786" t="e">
        <f ca="1">(DATA_FORMATTING!AB128/H$5)/$O$5</f>
        <v>#VALUE!</v>
      </c>
      <c r="I15" s="784" t="e">
        <f ca="1">(DATA_FORMATTING!AN128/I$5)/$O$5</f>
        <v>#NAME?</v>
      </c>
      <c r="J15" s="785" t="str">
        <f ca="1">IFERROR((I15-H15)/ABS(H15),"")</f>
        <v/>
      </c>
      <c r="K15" s="422"/>
      <c r="L15" s="423"/>
      <c r="M15" s="424"/>
    </row>
    <row r="16" spans="2:29" ht="15.75" hidden="1" outlineLevel="1">
      <c r="B16" s="783" t="s">
        <v>192</v>
      </c>
      <c r="C16" s="784" t="e">
        <f ca="1">(DATA_FORMATTING!AR129/C$5)/$O$5</f>
        <v>#N/A</v>
      </c>
      <c r="D16" s="784" t="e">
        <f ca="1">IF((DATA_FORMATTING!AS129/D$5)=0,DATA_FORMATTING!F187/D$5,(DATA_FORMATTING!AS129/D$5))/$O$5</f>
        <v>#N/A</v>
      </c>
      <c r="E16" s="784" t="e">
        <f ca="1">IF((DATA_FORMATTING!AT129/E$5)=0,DATA_FORMATTING!G187/E$5,(DATA_FORMATTING!AT129/E$5))/$O$5</f>
        <v>#N/A</v>
      </c>
      <c r="F16" s="784" t="e">
        <f ca="1">IF((DATA_FORMATTING!AU129/F$5)=0,DATA_FORMATTING!I187/F$5,(DATA_FORMATTING!AU129/F$5))/$O$5</f>
        <v>#NAME?</v>
      </c>
      <c r="G16" s="785"/>
      <c r="H16" s="786" t="e">
        <f ca="1">(DATA_FORMATTING!AB129/H$5)/$O$5</f>
        <v>#VALUE!</v>
      </c>
      <c r="I16" s="784" t="e">
        <f ca="1">(DATA_FORMATTING!AN129/I$5)/$O$5</f>
        <v>#NAME?</v>
      </c>
      <c r="J16" s="785"/>
      <c r="K16" s="422"/>
      <c r="L16" s="425"/>
      <c r="M16" s="424"/>
    </row>
    <row r="17" spans="2:13" ht="15.75" hidden="1" outlineLevel="1">
      <c r="B17" s="783" t="s">
        <v>66</v>
      </c>
      <c r="C17" s="784" t="e">
        <f ca="1">(DATA_FORMATTING!AR124/C$5)/$O$5</f>
        <v>#N/A</v>
      </c>
      <c r="D17" s="784" t="e">
        <f ca="1">IF((DATA_FORMATTING!AS124/D$5)=0,DATA_FORMATTING!F182/D$5,(DATA_FORMATTING!AS124/D$5))/$O$5</f>
        <v>#N/A</v>
      </c>
      <c r="E17" s="784" t="e">
        <f ca="1">IF((DATA_FORMATTING!AT124/E$5)=0,DATA_FORMATTING!G182/E$5,(DATA_FORMATTING!AT124/E$5))/$O$5</f>
        <v>#N/A</v>
      </c>
      <c r="F17" s="784" t="e">
        <f ca="1">IF((DATA_FORMATTING!AU124/F$5)=0,DATA_FORMATTING!I182/F$5,(DATA_FORMATTING!AU124/F$5))/$O$5</f>
        <v>#NAME?</v>
      </c>
      <c r="G17" s="785"/>
      <c r="H17" s="786" t="e">
        <f ca="1">(DATA_FORMATTING!AB124/H$5)/$O$5</f>
        <v>#VALUE!</v>
      </c>
      <c r="I17" s="784" t="e">
        <f ca="1">(DATA_FORMATTING!AN124/I$5)/$O$5</f>
        <v>#NAME?</v>
      </c>
      <c r="J17" s="785"/>
      <c r="K17" s="422"/>
      <c r="L17" s="423"/>
      <c r="M17" s="424"/>
    </row>
    <row r="18" spans="2:13" ht="15.75" collapsed="1">
      <c r="B18" s="787" t="s">
        <v>371</v>
      </c>
      <c r="C18" s="784" t="e">
        <f ca="1">(DATA_FORMATTING!AR134/C$5)/$O$5</f>
        <v>#N/A</v>
      </c>
      <c r="D18" s="784" t="e">
        <f ca="1">IF(IF((DATA_FORMATTING!AS134/D$5)=0,DATA_FORMATTING!F192/D$5,(DATA_FORMATTING!AS134/D$5))/$O$5=0,"N/A",IF((DATA_FORMATTING!AS134/D$5)=0,DATA_FORMATTING!E192/D$5,(DATA_FORMATTING!AS134/D$5))/$O$5)</f>
        <v>#N/A</v>
      </c>
      <c r="E18" s="784" t="e">
        <f ca="1">IF(IF((DATA_FORMATTING!AT134/E$5)=0,DATA_FORMATTING!G192/E$5,(DATA_FORMATTING!AT134/E$5))/$O$5=0,"N/A",IF((DATA_FORMATTING!AT134/E$5)=0,DATA_FORMATTING!F192/E$5,(DATA_FORMATTING!AT134/E$5))/$O$5)</f>
        <v>#N/A</v>
      </c>
      <c r="F18" s="784" t="e">
        <f ca="1">IF((DATA_FORMATTING!AI134/F$5)/$O$5=0,"N/A",(DATA_FORMATTING!AI134/F$5)/$O$5)</f>
        <v>#VALUE!</v>
      </c>
      <c r="G18" s="785" t="str">
        <f ca="1">IFERROR((F18-E18)/ABS(E18),"")</f>
        <v/>
      </c>
      <c r="H18" s="786" t="e">
        <f ca="1">(DATA_FORMATTING!AB134/H$5)/$O$5</f>
        <v>#VALUE!</v>
      </c>
      <c r="I18" s="784" t="e">
        <f ca="1">IF((DATA_FORMATTING!AN134/I$5)/$O$5=0,"N/A",(DATA_FORMATTING!AN134/I$5)/$O$5)</f>
        <v>#NAME?</v>
      </c>
      <c r="J18" s="785" t="str">
        <f ca="1">IFERROR((I18-H18)/ABS(H18),"")</f>
        <v/>
      </c>
      <c r="K18" s="422"/>
      <c r="L18" s="423"/>
      <c r="M18" s="424"/>
    </row>
    <row r="19" spans="2:13" ht="15.75">
      <c r="B19" s="783" t="s">
        <v>372</v>
      </c>
      <c r="C19" s="784" t="e">
        <f ca="1">(DATA_FORMATTING!AR142/C$5)/$O$5</f>
        <v>#N/A</v>
      </c>
      <c r="D19" s="784" t="e">
        <f ca="1">IF((DATA_FORMATTING!AS142/D$5)=0,DATA_FORMATTING!F200/D$5,(DATA_FORMATTING!AS142/D$5))/$O$5</f>
        <v>#N/A</v>
      </c>
      <c r="E19" s="784" t="e">
        <f ca="1">IF((DATA_FORMATTING!AT142/E$5)=0,DATA_FORMATTING!G200/E$5,(DATA_FORMATTING!AT142/E$5))/$O$5</f>
        <v>#N/A</v>
      </c>
      <c r="F19" s="784" t="e">
        <f ca="1">IF((DATA_FORMATTING!AU142/F$5)=0,DATA_FORMATTING!I200/F$5,(DATA_FORMATTING!AU142/F$5))/$O$5</f>
        <v>#NAME?</v>
      </c>
      <c r="G19" s="785" t="str">
        <f ca="1">IFERROR((F19-E19)/ABS(E19),"")</f>
        <v/>
      </c>
      <c r="H19" s="786" t="e">
        <f ca="1">(DATA_FORMATTING!AB142/H$5)/$O$5</f>
        <v>#VALUE!</v>
      </c>
      <c r="I19" s="784" t="e">
        <f ca="1">(DATA_FORMATTING!AN142/I$5)/$O$5</f>
        <v>#NAME?</v>
      </c>
      <c r="J19" s="785" t="str">
        <f ca="1">IFERROR((I19-H19)/ABS(H19),"")</f>
        <v/>
      </c>
      <c r="K19" s="422"/>
      <c r="L19" s="423"/>
      <c r="M19" s="424"/>
    </row>
    <row r="20" spans="2:13" ht="15.75">
      <c r="B20" s="783" t="s">
        <v>126</v>
      </c>
      <c r="C20" s="784" t="e">
        <f ca="1">(DATA_FORMATTING!AR147/C$5)/$O$5</f>
        <v>#N/A</v>
      </c>
      <c r="D20" s="784" t="e">
        <f ca="1">IF((DATA_FORMATTING!AS147/D$5)=0,DATA_FORMATTING!F205/D$5,(DATA_FORMATTING!AS147/D$5))/$O$5</f>
        <v>#N/A</v>
      </c>
      <c r="E20" s="784" t="e">
        <f ca="1">IF((DATA_FORMATTING!AT147/E$5)=0,DATA_FORMATTING!G205/E$5,(DATA_FORMATTING!AT147/E$5))/$O$5</f>
        <v>#N/A</v>
      </c>
      <c r="F20" s="784" t="e">
        <f ca="1">IF((DATA_FORMATTING!AU147/F$5)=0,DATA_FORMATTING!I205/F$5,(DATA_FORMATTING!AU147/F$5))/$O$5</f>
        <v>#NAME?</v>
      </c>
      <c r="G20" s="785" t="str">
        <f ca="1">IFERROR((F20-E20)/ABS(E20),"")</f>
        <v/>
      </c>
      <c r="H20" s="786" t="e">
        <f ca="1">(DATA_FORMATTING!AB147/H$5)/$O$5</f>
        <v>#VALUE!</v>
      </c>
      <c r="I20" s="784" t="e">
        <f ca="1">(DATA_FORMATTING!AN147/I$5)/$O$5</f>
        <v>#NAME?</v>
      </c>
      <c r="J20" s="785" t="str">
        <f ca="1">IFERROR((I20-H20)/ABS(H20),"")</f>
        <v/>
      </c>
      <c r="K20" s="426"/>
      <c r="L20" s="427"/>
      <c r="M20" s="428"/>
    </row>
    <row r="21" spans="2:13" ht="15.75" hidden="1" outlineLevel="1">
      <c r="B21" s="783" t="s">
        <v>373</v>
      </c>
      <c r="C21" s="784" t="e">
        <f ca="1">(DATA_FORMATTING!HV124/C$5)/$O$5</f>
        <v>#N/A</v>
      </c>
      <c r="D21" s="784" t="e">
        <f ca="1">IF((DATA_FORMATTING!HW124/D$5)=0,DATA_FORMATTING!AI182/D$5,(DATA_FORMATTING!HW124/D$5))/$O$5</f>
        <v>#N/A</v>
      </c>
      <c r="E21" s="784" t="e">
        <f ca="1">IF((DATA_FORMATTING!HX124/E$5)=0,DATA_FORMATTING!AJ182/E$5,(DATA_FORMATTING!HX124/E$5))/$O$5</f>
        <v>#N/A</v>
      </c>
      <c r="F21" s="784" t="e">
        <f ca="1">IF((DATA_FORMATTING!HY124/F$5)=0,DATA_FORMATTING!AL182/F$5,(DATA_FORMATTING!HY124/F$5))/$O$5</f>
        <v>#NAME?</v>
      </c>
      <c r="G21" s="785"/>
      <c r="H21" s="786" t="e">
        <f ca="1">(DATA_FORMATTING!HE124/H$5)/$O$5</f>
        <v>#NAME?</v>
      </c>
      <c r="I21" s="784" t="e">
        <f ca="1">(DATA_FORMATTING!HQ124/I$5)/$O$5</f>
        <v>#NAME?</v>
      </c>
      <c r="J21" s="785"/>
      <c r="K21" s="426"/>
      <c r="L21" s="427"/>
      <c r="M21" s="428"/>
    </row>
    <row r="22" spans="2:13" ht="15.75" hidden="1" outlineLevel="1">
      <c r="B22" s="783" t="s">
        <v>374</v>
      </c>
      <c r="C22" s="784" t="e">
        <f ca="1">(DATA_FORMATTING!HV126/C$5)/$O$5</f>
        <v>#N/A</v>
      </c>
      <c r="D22" s="784" t="e">
        <f ca="1">IF((DATA_FORMATTING!HW126/D$5)=0,DATA_FORMATTING!AI184/D$5,(DATA_FORMATTING!HW126/D$5))/$O$5</f>
        <v>#N/A</v>
      </c>
      <c r="E22" s="784" t="e">
        <f ca="1">IF((DATA_FORMATTING!HX126/E$5)=0,DATA_FORMATTING!AJ184/E$5,(DATA_FORMATTING!HX126/E$5))/$O$5</f>
        <v>#N/A</v>
      </c>
      <c r="F22" s="784" t="e">
        <f ca="1">IF((DATA_FORMATTING!HY126/F$5)=0,DATA_FORMATTING!AL184/F$5,(DATA_FORMATTING!HY126/F$5))/$O$5</f>
        <v>#NAME?</v>
      </c>
      <c r="G22" s="785"/>
      <c r="H22" s="786" t="e">
        <f ca="1">(DATA_FORMATTING!HE126/H$5)/$O$5</f>
        <v>#NAME?</v>
      </c>
      <c r="I22" s="784" t="e">
        <f ca="1">(DATA_FORMATTING!HQ126/I$5)/$O$5</f>
        <v>#NAME?</v>
      </c>
      <c r="J22" s="785"/>
      <c r="K22" s="426"/>
      <c r="L22" s="427"/>
      <c r="M22" s="428"/>
    </row>
    <row r="23" spans="2:13" ht="15.75" collapsed="1">
      <c r="B23" s="788" t="s">
        <v>375</v>
      </c>
      <c r="C23" s="789" t="e">
        <f ca="1">(DATA_FORMATTING!CM145/C$4)/$O$5</f>
        <v>#N/A</v>
      </c>
      <c r="D23" s="789" t="e">
        <f ca="1">(IF(DATA_FORMATTING!CN145/D$4=0,DATA_FORMATTING!M200/D$4,DATA_FORMATTING!CN145/D$4)/$O$5)</f>
        <v>#N/A</v>
      </c>
      <c r="E23" s="789" t="e">
        <f ca="1">(IF(DATA_FORMATTING!CO145/E$4=0,DATA_FORMATTING!N200/E$4,DATA_FORMATTING!CO145/E$4)/$O$5)</f>
        <v>#N/A</v>
      </c>
      <c r="F23" s="789" t="e">
        <f ca="1">(IF(DATA_FORMATTING!CP145/F$4=0,DATA_FORMATTING!P200/F$4,DATA_FORMATTING!CP145/F$4)/$O$5)</f>
        <v>#NAME?</v>
      </c>
      <c r="G23" s="790" t="str">
        <f ca="1">IFERROR((F23-E23)/ABS(E23),"")</f>
        <v/>
      </c>
      <c r="H23" s="791" t="e">
        <f ca="1">(DATA_FORMATTING!BV208/H$4)/$O$5</f>
        <v>#NAME?</v>
      </c>
      <c r="I23" s="789" t="e">
        <f ca="1">(DATA_FORMATTING!CH208/I$4)/$O$5</f>
        <v>#NAME?</v>
      </c>
      <c r="J23" s="790" t="str">
        <f ca="1">IFERROR((I23-H23)/ABS(H23),"")</f>
        <v/>
      </c>
      <c r="K23" s="430"/>
      <c r="L23" s="431"/>
      <c r="M23" s="432"/>
    </row>
    <row r="24" spans="2:13" ht="15.75" hidden="1" outlineLevel="1">
      <c r="B24" s="783" t="s">
        <v>376</v>
      </c>
      <c r="C24" s="792" t="e">
        <f ca="1">(DATA_FORMATTING!CM123/C$4)/$O$5</f>
        <v>#N/A</v>
      </c>
      <c r="D24" s="792" t="e">
        <f ca="1">(IF(DATA_FORMATTING!CN123/D$4=0,DATA_FORMATTING!M181/D$4,DATA_FORMATTING!CN123/D$4)/$O$5)</f>
        <v>#N/A</v>
      </c>
      <c r="E24" s="792" t="e">
        <f ca="1">(IF(DATA_FORMATTING!CO123/E$4=0,DATA_FORMATTING!N181/E$4,DATA_FORMATTING!CO123/E$4)/$O$5)</f>
        <v>#N/A</v>
      </c>
      <c r="F24" s="792" t="e">
        <f ca="1">(IF(DATA_FORMATTING!CP123/F$4=0,DATA_FORMATTING!P181/F$4,DATA_FORMATTING!CP123/F$4)/$O$5)</f>
        <v>#NAME?</v>
      </c>
      <c r="G24" s="785"/>
      <c r="H24" s="786" t="e">
        <f ca="1">(DATA_FORMATTING!BV186/H$4)/$O$5</f>
        <v>#NAME?</v>
      </c>
      <c r="I24" s="784" t="e">
        <f ca="1">(DATA_FORMATTING!CH186/I$4)/$O$5</f>
        <v>#NAME?</v>
      </c>
      <c r="J24" s="785"/>
      <c r="K24" s="426"/>
      <c r="L24" s="427"/>
      <c r="M24" s="428"/>
    </row>
    <row r="25" spans="2:13" ht="15.75" hidden="1" outlineLevel="1">
      <c r="B25" s="783" t="s">
        <v>67</v>
      </c>
      <c r="C25" s="792" t="e">
        <f ca="1">(DATA_FORMATTING!CM124/C$4)/$O$5</f>
        <v>#N/A</v>
      </c>
      <c r="D25" s="792" t="e">
        <f ca="1">(IF(DATA_FORMATTING!CN124/D$4=0,DATA_FORMATTING!M182/D$4,DATA_FORMATTING!CN124/D$4)/$O$5)</f>
        <v>#N/A</v>
      </c>
      <c r="E25" s="792" t="e">
        <f ca="1">(IF(DATA_FORMATTING!CO124/E$4=0,DATA_FORMATTING!N182/E$4,DATA_FORMATTING!CO124/E$4)/$O$5)</f>
        <v>#N/A</v>
      </c>
      <c r="F25" s="792" t="e">
        <f ca="1">(IF(DATA_FORMATTING!CP124/F$4=0,DATA_FORMATTING!P182/F$4,DATA_FORMATTING!CP124/F$4)/$O$5)</f>
        <v>#NAME?</v>
      </c>
      <c r="G25" s="785"/>
      <c r="H25" s="786" t="e">
        <f ca="1">(DATA_FORMATTING!BV187/H$4)/$O$5</f>
        <v>#NAME?</v>
      </c>
      <c r="I25" s="784" t="e">
        <f ca="1">(DATA_FORMATTING!CH187/I$4)/$O$5</f>
        <v>#NAME?</v>
      </c>
      <c r="J25" s="785"/>
      <c r="K25" s="426"/>
      <c r="L25" s="427"/>
      <c r="M25" s="428"/>
    </row>
    <row r="26" spans="2:13" ht="15.75" hidden="1" outlineLevel="1">
      <c r="B26" s="783" t="s">
        <v>377</v>
      </c>
      <c r="C26" s="784" t="e">
        <f ca="1">(DATA_FORMATTING!CM126/C$4)/$O$5</f>
        <v>#N/A</v>
      </c>
      <c r="D26" s="784" t="e">
        <f ca="1">(IF(DATA_FORMATTING!CN126/D$4=0,DATA_FORMATTING!M184/D$4,DATA_FORMATTING!CN126/D$4)/$O$5)</f>
        <v>#N/A</v>
      </c>
      <c r="E26" s="784" t="e">
        <f ca="1">(IF(DATA_FORMATTING!CO126/E$4=0,DATA_FORMATTING!N184/E$4,DATA_FORMATTING!CO126/E$4)/$O$5)</f>
        <v>#N/A</v>
      </c>
      <c r="F26" s="784" t="e">
        <f ca="1">(IF(DATA_FORMATTING!CP126/F$4=0,DATA_FORMATTING!P184/F$4,DATA_FORMATTING!CP126/F$4)/$O$5)</f>
        <v>#NAME?</v>
      </c>
      <c r="G26" s="785"/>
      <c r="H26" s="786" t="e">
        <f ca="1">(DATA_FORMATTING!BV189/H$4)/$O$5</f>
        <v>#NAME?</v>
      </c>
      <c r="I26" s="784" t="e">
        <f ca="1">(DATA_FORMATTING!CH189/I$4)/$O$5</f>
        <v>#NAME?</v>
      </c>
      <c r="J26" s="785"/>
      <c r="K26" s="426"/>
      <c r="L26" s="427"/>
      <c r="M26" s="428"/>
    </row>
    <row r="27" spans="2:13" ht="15.75" hidden="1" outlineLevel="1">
      <c r="B27" s="783" t="s">
        <v>378</v>
      </c>
      <c r="C27" s="784" t="e">
        <f ca="1">(DATA_FORMATTING!CM130/C$4)/$O$5</f>
        <v>#N/A</v>
      </c>
      <c r="D27" s="784" t="e">
        <f ca="1">(IF(DATA_FORMATTING!CN130/D$4=0,DATA_FORMATTING!M188/D$4,DATA_FORMATTING!CN130/D$4)/$O$5)</f>
        <v>#N/A</v>
      </c>
      <c r="E27" s="784" t="e">
        <f ca="1">(IF(DATA_FORMATTING!CO130/E$4=0,DATA_FORMATTING!N188/E$4,DATA_FORMATTING!CO130/E$4)/$O$5)</f>
        <v>#N/A</v>
      </c>
      <c r="F27" s="784" t="e">
        <f ca="1">(IF(DATA_FORMATTING!CP130/F$4=0,DATA_FORMATTING!P188/F$4,DATA_FORMATTING!CP130/F$4)/$O$5)</f>
        <v>#NAME?</v>
      </c>
      <c r="G27" s="785"/>
      <c r="H27" s="786" t="e">
        <f ca="1">(DATA_FORMATTING!BV193/H$4)/$O$5</f>
        <v>#NAME?</v>
      </c>
      <c r="I27" s="784" t="e">
        <f ca="1">(DATA_FORMATTING!CH193/I$4)/$O$5</f>
        <v>#NAME?</v>
      </c>
      <c r="J27" s="785"/>
      <c r="K27" s="426"/>
      <c r="L27" s="427"/>
      <c r="M27" s="428"/>
    </row>
    <row r="28" spans="2:13" ht="15.75" hidden="1" outlineLevel="1">
      <c r="B28" s="783" t="s">
        <v>379</v>
      </c>
      <c r="C28" s="784" t="e">
        <f ca="1">(DATA_FORMATTING!CM131/C$4)/$O$5</f>
        <v>#N/A</v>
      </c>
      <c r="D28" s="784" t="e">
        <f ca="1">(IF(DATA_FORMATTING!CN131/D$4=0,DATA_FORMATTING!M189/D$4,DATA_FORMATTING!CN131/D$4)/$O$5)</f>
        <v>#N/A</v>
      </c>
      <c r="E28" s="784" t="e">
        <f ca="1">(IF(DATA_FORMATTING!CO131/E$4=0,DATA_FORMATTING!N189/E$4,DATA_FORMATTING!CO131/E$4)/$O$5)</f>
        <v>#N/A</v>
      </c>
      <c r="F28" s="784" t="e">
        <f ca="1">(IF(DATA_FORMATTING!CP131/F$4=0,DATA_FORMATTING!P189/F$4,DATA_FORMATTING!CP131/F$4)/$O$5)</f>
        <v>#NAME?</v>
      </c>
      <c r="G28" s="785"/>
      <c r="H28" s="786" t="e">
        <f ca="1">(DATA_FORMATTING!BV194/H$4)/$O$5</f>
        <v>#NAME?</v>
      </c>
      <c r="I28" s="784" t="e">
        <f ca="1">(DATA_FORMATTING!CH194/I$4)/$O$5</f>
        <v>#NAME?</v>
      </c>
      <c r="J28" s="785"/>
      <c r="K28" s="433"/>
      <c r="L28" s="427"/>
      <c r="M28" s="434"/>
    </row>
    <row r="29" spans="2:13" ht="15.75" hidden="1" outlineLevel="1">
      <c r="B29" s="783" t="s">
        <v>380</v>
      </c>
      <c r="C29" s="793" t="e">
        <f ca="1">(DATA_FORMATTING!EG126/C$5)/$O$5</f>
        <v>#N/A</v>
      </c>
      <c r="D29" s="793" t="e">
        <f ca="1">(IF(DATA_FORMATTING!EH126/D$5=0,DATA_FORMATTING!T184/D$5,DATA_FORMATTING!EH126/D$5)/$O$5)</f>
        <v>#N/A</v>
      </c>
      <c r="E29" s="793" t="e">
        <f ca="1">(IF(DATA_FORMATTING!EI126/E$5=0,DATA_FORMATTING!U184/E$5,DATA_FORMATTING!EI126/E$5)/$O$5)</f>
        <v>#N/A</v>
      </c>
      <c r="F29" s="793" t="e">
        <f ca="1">(IF(DATA_FORMATTING!EJ126/F$5=0,DATA_FORMATTING!W184/F$5,DATA_FORMATTING!EJ126/F$5)/$O$5)</f>
        <v>#NAME?</v>
      </c>
      <c r="G29" s="785"/>
      <c r="H29" s="786" t="e">
        <f ca="1">(DATA_FORMATTING!DQ126/H$5)/$O$5</f>
        <v>#NAME?</v>
      </c>
      <c r="I29" s="784" t="e">
        <f ca="1">(DATA_FORMATTING!EC126/I$5)/$O$5</f>
        <v>#NAME?</v>
      </c>
      <c r="J29" s="785"/>
      <c r="K29" s="435"/>
      <c r="L29" s="423"/>
      <c r="M29" s="436"/>
    </row>
    <row r="30" spans="2:13" ht="15.75" hidden="1" outlineLevel="1">
      <c r="B30" s="783" t="s">
        <v>381</v>
      </c>
      <c r="C30" s="793" t="e">
        <f ca="1">(DATA_FORMATTING!EG131/C$5)/$O$5</f>
        <v>#N/A</v>
      </c>
      <c r="D30" s="793" t="e">
        <f ca="1">(IF(DATA_FORMATTING!EH131/D$5=0,DATA_FORMATTING!T189/D$5,DATA_FORMATTING!EH131/D$5)/$O$5)</f>
        <v>#N/A</v>
      </c>
      <c r="E30" s="793" t="e">
        <f ca="1">(IF(DATA_FORMATTING!EI131/E$5=0,DATA_FORMATTING!U189/E$5,DATA_FORMATTING!EI131/E$5)/$O$5)</f>
        <v>#N/A</v>
      </c>
      <c r="F30" s="793" t="e">
        <f ca="1">(IF(DATA_FORMATTING!EJ131/F$5=0,DATA_FORMATTING!W189/F$5,DATA_FORMATTING!EJ131/F$5)/$O$5)</f>
        <v>#NAME?</v>
      </c>
      <c r="G30" s="785"/>
      <c r="H30" s="786" t="e">
        <f ca="1">(DATA_FORMATTING!DQ131/H$5)/$O$5</f>
        <v>#NAME?</v>
      </c>
      <c r="I30" s="784" t="e">
        <f ca="1">(DATA_FORMATTING!EC131/I$5)/$O$5</f>
        <v>#NAME?</v>
      </c>
      <c r="J30" s="785"/>
      <c r="K30" s="435"/>
      <c r="L30" s="423"/>
      <c r="M30" s="436"/>
    </row>
    <row r="31" spans="2:13" ht="15.75" hidden="1" outlineLevel="1">
      <c r="B31" s="788" t="s">
        <v>382</v>
      </c>
      <c r="C31" s="794" t="e">
        <f ca="1">(DATA_FORMATTING!EG134/C$4)/$O$5</f>
        <v>#N/A</v>
      </c>
      <c r="D31" s="794" t="e">
        <f ca="1">(IF(DATA_FORMATTING!EH134/D$4=0,DATA_FORMATTING!T192/D$4,DATA_FORMATTING!EH134/D$4)/$O$5)</f>
        <v>#N/A</v>
      </c>
      <c r="E31" s="794" t="e">
        <f ca="1">(IF(DATA_FORMATTING!EI134/E$4=0,DATA_FORMATTING!U192/E$4,DATA_FORMATTING!EI134/E$4)/$O$5)</f>
        <v>#N/A</v>
      </c>
      <c r="F31" s="794" t="e">
        <f ca="1">(IF(DATA_FORMATTING!EJ134/F$4=0,DATA_FORMATTING!W192/F$4,DATA_FORMATTING!EJ134/F$4)/$O$5)</f>
        <v>#NAME?</v>
      </c>
      <c r="G31" s="795"/>
      <c r="H31" s="796" t="e">
        <f ca="1">(DATA_FORMATTING!DQ142/H$4)/$O$5</f>
        <v>#NAME?</v>
      </c>
      <c r="I31" s="797" t="e">
        <f ca="1">(DATA_FORMATTING!EC142/I$4)/$O$5</f>
        <v>#NAME?</v>
      </c>
      <c r="J31" s="795"/>
      <c r="K31" s="437"/>
      <c r="L31" s="437"/>
      <c r="M31" s="438"/>
    </row>
    <row r="32" spans="2:13" ht="15.75" hidden="1" outlineLevel="1">
      <c r="B32" s="783" t="s">
        <v>383</v>
      </c>
      <c r="C32" s="427" t="e">
        <f ca="1">C20/C13</f>
        <v>#N/A</v>
      </c>
      <c r="D32" s="427" t="e">
        <f ca="1">D20/D13</f>
        <v>#N/A</v>
      </c>
      <c r="E32" s="427" t="e">
        <f ca="1">E20/E13</f>
        <v>#N/A</v>
      </c>
      <c r="F32" s="427" t="e">
        <f ca="1">F20/F13</f>
        <v>#NAME?</v>
      </c>
      <c r="G32" s="785"/>
      <c r="H32" s="798" t="e">
        <f ca="1">H20/H13</f>
        <v>#VALUE!</v>
      </c>
      <c r="I32" s="427" t="e">
        <f ca="1">I20/I13</f>
        <v>#NAME?</v>
      </c>
      <c r="J32" s="785"/>
      <c r="K32" s="426"/>
      <c r="L32" s="427"/>
      <c r="M32" s="428"/>
    </row>
    <row r="33" spans="2:13" ht="15.75" collapsed="1">
      <c r="B33" s="783" t="s">
        <v>384</v>
      </c>
      <c r="C33" s="427" t="e">
        <f ca="1">C15/C13</f>
        <v>#N/A</v>
      </c>
      <c r="D33" s="427" t="e">
        <f ca="1">D15/D13</f>
        <v>#N/A</v>
      </c>
      <c r="E33" s="427" t="e">
        <f ca="1">E15/E13</f>
        <v>#N/A</v>
      </c>
      <c r="F33" s="427" t="e">
        <f ca="1">F15/F13</f>
        <v>#NAME?</v>
      </c>
      <c r="G33" s="785"/>
      <c r="H33" s="798" t="e">
        <f ca="1">H15/H13</f>
        <v>#VALUE!</v>
      </c>
      <c r="I33" s="427" t="e">
        <f ca="1">I15/I13</f>
        <v>#NAME?</v>
      </c>
      <c r="J33" s="785"/>
      <c r="K33" s="426"/>
      <c r="L33" s="427"/>
      <c r="M33" s="428"/>
    </row>
    <row r="34" spans="2:13" ht="15.75" hidden="1" outlineLevel="1">
      <c r="B34" s="783" t="s">
        <v>529</v>
      </c>
      <c r="C34" s="427"/>
      <c r="D34" s="427"/>
      <c r="E34" s="427"/>
      <c r="F34" s="427"/>
      <c r="G34" s="785"/>
      <c r="H34" s="798"/>
      <c r="I34" s="427"/>
      <c r="J34" s="785"/>
      <c r="K34" s="426"/>
      <c r="L34" s="427"/>
      <c r="M34" s="428"/>
    </row>
    <row r="35" spans="2:13" ht="15.75" collapsed="1">
      <c r="B35" s="783" t="s">
        <v>385</v>
      </c>
      <c r="C35" s="429" t="e">
        <f ca="1">C17/C13</f>
        <v>#N/A</v>
      </c>
      <c r="D35" s="429" t="e">
        <f ca="1">D17/D13</f>
        <v>#N/A</v>
      </c>
      <c r="E35" s="429" t="e">
        <f ca="1">E17/E13</f>
        <v>#N/A</v>
      </c>
      <c r="F35" s="429" t="e">
        <f ca="1">F17/F13</f>
        <v>#NAME?</v>
      </c>
      <c r="G35" s="799"/>
      <c r="H35" s="800" t="e">
        <f ca="1">H17/H13</f>
        <v>#VALUE!</v>
      </c>
      <c r="I35" s="427" t="e">
        <f ca="1">I17/I13</f>
        <v>#NAME?</v>
      </c>
      <c r="J35" s="799"/>
      <c r="K35" s="429"/>
      <c r="L35" s="429"/>
      <c r="M35" s="428"/>
    </row>
    <row r="36" spans="2:13" ht="15.75">
      <c r="B36" s="783" t="s">
        <v>2</v>
      </c>
      <c r="C36" s="429" t="e">
        <f ca="1">C24/(AVERAGE(C15,B15))</f>
        <v>#N/A</v>
      </c>
      <c r="D36" s="429" t="e">
        <f ca="1">D24/(AVERAGE(D15,C15))</f>
        <v>#N/A</v>
      </c>
      <c r="E36" s="429" t="e">
        <f ca="1">E24/(AVERAGE(E15,D15))</f>
        <v>#N/A</v>
      </c>
      <c r="F36" s="429" t="e">
        <f ca="1">F24/(AVERAGE(F15,E15))</f>
        <v>#NAME?</v>
      </c>
      <c r="G36" s="799"/>
      <c r="H36" s="800" t="e">
        <f ca="1">H24/(AVERAGE(H15,E15))</f>
        <v>#NAME?</v>
      </c>
      <c r="I36" s="427" t="e">
        <f ca="1">I24/(AVERAGE(I15,H15))</f>
        <v>#NAME?</v>
      </c>
      <c r="J36" s="799"/>
      <c r="K36" s="429"/>
      <c r="L36" s="429"/>
      <c r="M36" s="428"/>
    </row>
    <row r="37" spans="2:13" ht="15.75">
      <c r="B37" s="783" t="s">
        <v>386</v>
      </c>
      <c r="C37" s="801" t="e">
        <f ca="1">-C28/SUM(C24:C25,C27)</f>
        <v>#N/A</v>
      </c>
      <c r="D37" s="801" t="e">
        <f ca="1">-D28/SUM(D24:D25,D27)</f>
        <v>#N/A</v>
      </c>
      <c r="E37" s="801" t="e">
        <f ca="1">-E28/SUM(E24:E25,E27)</f>
        <v>#N/A</v>
      </c>
      <c r="F37" s="801" t="e">
        <f ca="1">-F28/SUM(F24:F25,F27)</f>
        <v>#NAME?</v>
      </c>
      <c r="G37" s="799"/>
      <c r="H37" s="800" t="e">
        <f ca="1">-H28/SUM(H24:H25,H27)</f>
        <v>#NAME?</v>
      </c>
      <c r="I37" s="427" t="e">
        <f ca="1">-I28/SUM(I24:I25,I27)</f>
        <v>#NAME?</v>
      </c>
      <c r="J37" s="799"/>
      <c r="K37" s="429"/>
      <c r="L37" s="429"/>
      <c r="M37" s="428"/>
    </row>
    <row r="38" spans="2:13" ht="15.75">
      <c r="B38" s="783" t="s">
        <v>387</v>
      </c>
      <c r="C38" s="427" t="e">
        <f ca="1">-C28/(AVERAGE(C15,B15))</f>
        <v>#N/A</v>
      </c>
      <c r="D38" s="427" t="e">
        <f ca="1">-D28/(AVERAGE(D15,C15))</f>
        <v>#N/A</v>
      </c>
      <c r="E38" s="427" t="e">
        <f ca="1">-E28/(AVERAGE(E15,D15))</f>
        <v>#N/A</v>
      </c>
      <c r="F38" s="427" t="e">
        <f ca="1">-F28/(AVERAGE(F15,E15))</f>
        <v>#NAME?</v>
      </c>
      <c r="G38" s="799"/>
      <c r="H38" s="800" t="e">
        <f ca="1">-H28/(AVERAGE(H15,E16))</f>
        <v>#NAME?</v>
      </c>
      <c r="I38" s="427" t="e">
        <f ca="1">-I28/(AVERAGE(I15,H15))</f>
        <v>#NAME?</v>
      </c>
      <c r="J38" s="799"/>
      <c r="K38" s="429"/>
      <c r="L38" s="429"/>
      <c r="M38" s="428"/>
    </row>
    <row r="39" spans="2:13" ht="15.75">
      <c r="B39" s="783" t="s">
        <v>42</v>
      </c>
      <c r="C39" s="802" t="e">
        <f ca="1">C19/C20</f>
        <v>#N/A</v>
      </c>
      <c r="D39" s="802" t="e">
        <f ca="1">D19/D20</f>
        <v>#N/A</v>
      </c>
      <c r="E39" s="802" t="e">
        <f ca="1">E19/E20</f>
        <v>#N/A</v>
      </c>
      <c r="F39" s="802" t="e">
        <f ca="1">F19/F20</f>
        <v>#NAME?</v>
      </c>
      <c r="G39" s="785"/>
      <c r="H39" s="803" t="e">
        <f ca="1">H19/H20</f>
        <v>#VALUE!</v>
      </c>
      <c r="I39" s="804" t="e">
        <f ca="1">I19/I20</f>
        <v>#NAME?</v>
      </c>
      <c r="J39" s="785"/>
      <c r="K39" s="440"/>
      <c r="L39" s="423"/>
      <c r="M39" s="441"/>
    </row>
    <row r="40" spans="2:13" ht="15.75">
      <c r="B40" s="783" t="s">
        <v>0</v>
      </c>
      <c r="C40" s="429" t="e">
        <f ca="1">C23/(AVERAGE(C13,B13))</f>
        <v>#N/A</v>
      </c>
      <c r="D40" s="429" t="e">
        <f ca="1">D23/(AVERAGE(D13,C13))</f>
        <v>#N/A</v>
      </c>
      <c r="E40" s="429" t="e">
        <f ca="1">E23/(AVERAGE(E13,D13))</f>
        <v>#N/A</v>
      </c>
      <c r="F40" s="429" t="e">
        <f ca="1">F23/(AVERAGE(F13,E13))</f>
        <v>#NAME?</v>
      </c>
      <c r="G40" s="785"/>
      <c r="H40" s="798" t="e">
        <f ca="1">H23/(AVERAGE(H13,E13))</f>
        <v>#NAME?</v>
      </c>
      <c r="I40" s="427" t="e">
        <f ca="1">I23/(AVERAGE(I13,H13))</f>
        <v>#NAME?</v>
      </c>
      <c r="J40" s="785"/>
      <c r="K40" s="440"/>
      <c r="L40" s="423"/>
      <c r="M40" s="441"/>
    </row>
    <row r="41" spans="2:13" ht="15.75">
      <c r="B41" s="783" t="s">
        <v>1</v>
      </c>
      <c r="C41" s="427" t="e">
        <f ca="1">C23/(AVERAGE(C20,B20))</f>
        <v>#N/A</v>
      </c>
      <c r="D41" s="427" t="e">
        <f ca="1">D23/(AVERAGE(D20,C20))</f>
        <v>#N/A</v>
      </c>
      <c r="E41" s="427" t="e">
        <f ca="1">E23/(AVERAGE(E20,D20))</f>
        <v>#N/A</v>
      </c>
      <c r="F41" s="427" t="e">
        <f ca="1">F23/(AVERAGE(F20,E20))</f>
        <v>#NAME?</v>
      </c>
      <c r="G41" s="785"/>
      <c r="H41" s="798" t="e">
        <f ca="1">H23/(AVERAGE(H20,E20))</f>
        <v>#NAME?</v>
      </c>
      <c r="I41" s="427" t="e">
        <f ca="1">I23/(AVERAGE(I20,H20))</f>
        <v>#NAME?</v>
      </c>
      <c r="J41" s="785"/>
      <c r="K41" s="422"/>
      <c r="L41" s="425"/>
      <c r="M41" s="424"/>
    </row>
    <row r="42" spans="2:13" ht="15.75">
      <c r="B42" s="783" t="s">
        <v>516</v>
      </c>
      <c r="C42" s="427" t="e">
        <f ca="1">SUM(C29:C30)/C15</f>
        <v>#N/A</v>
      </c>
      <c r="D42" s="427" t="e">
        <f ca="1">SUM(D29:D30)/D15</f>
        <v>#N/A</v>
      </c>
      <c r="E42" s="427" t="e">
        <f ca="1">SUM(E29:E30)/E15</f>
        <v>#N/A</v>
      </c>
      <c r="F42" s="427" t="e">
        <f ca="1">SUM(F29:F30)/F15</f>
        <v>#NAME?</v>
      </c>
      <c r="G42" s="785"/>
      <c r="H42" s="798" t="e">
        <f ca="1">SUM(H29:H30)/H15</f>
        <v>#NAME?</v>
      </c>
      <c r="I42" s="427" t="e">
        <f ca="1">SUM(I29:I30)/I15</f>
        <v>#NAME?</v>
      </c>
      <c r="J42" s="785"/>
      <c r="K42" s="422"/>
      <c r="L42" s="425"/>
      <c r="M42" s="424"/>
    </row>
    <row r="43" spans="2:13" ht="15.75">
      <c r="B43" s="783" t="s">
        <v>388</v>
      </c>
      <c r="C43" s="805" t="e">
        <f ca="1">C31/AVERAGE(B15,C15)</f>
        <v>#N/A</v>
      </c>
      <c r="D43" s="805" t="e">
        <f ca="1">D31/AVERAGE(C15,D15)</f>
        <v>#N/A</v>
      </c>
      <c r="E43" s="805" t="e">
        <f ca="1">E31/AVERAGE(D15,E15)</f>
        <v>#N/A</v>
      </c>
      <c r="F43" s="805" t="e">
        <f ca="1">F31/AVERAGE(E15,F15)</f>
        <v>#NAME?</v>
      </c>
      <c r="G43" s="806"/>
      <c r="H43" s="807" t="e">
        <f ca="1">H31/AVERAGE(E15,H15)</f>
        <v>#NAME?</v>
      </c>
      <c r="I43" s="805" t="e">
        <f ca="1">I31/AVERAGE(H15,I15)</f>
        <v>#NAME?</v>
      </c>
      <c r="J43" s="806"/>
      <c r="K43" s="439"/>
      <c r="L43" s="439"/>
      <c r="M43" s="442"/>
    </row>
    <row r="44" spans="2:13" ht="15.75">
      <c r="B44" s="783" t="s">
        <v>254</v>
      </c>
      <c r="C44" s="805" t="e">
        <f ca="1">-C16/SUM(C29:C30)</f>
        <v>#N/A</v>
      </c>
      <c r="D44" s="805" t="e">
        <f ca="1">-D16/SUM(D29:D30)</f>
        <v>#N/A</v>
      </c>
      <c r="E44" s="805" t="e">
        <f ca="1">-E16/SUM(E29:E30)</f>
        <v>#N/A</v>
      </c>
      <c r="F44" s="805" t="e">
        <f ca="1">-F16/SUM(F29:F30)</f>
        <v>#NAME?</v>
      </c>
      <c r="G44" s="806"/>
      <c r="H44" s="807" t="e">
        <f ca="1">-H16/SUM(H29:H30)</f>
        <v>#VALUE!</v>
      </c>
      <c r="I44" s="805" t="e">
        <f ca="1">-I16/SUM(I29:I30)</f>
        <v>#NAME?</v>
      </c>
      <c r="J44" s="806"/>
      <c r="K44" s="439"/>
      <c r="L44" s="439"/>
      <c r="M44" s="442"/>
    </row>
    <row r="45" spans="2:13" ht="15.75">
      <c r="B45" s="788" t="s">
        <v>389</v>
      </c>
      <c r="C45" s="808" t="e">
        <f ca="1">(C21-C22)/AVERAGE(C20,B20)</f>
        <v>#N/A</v>
      </c>
      <c r="D45" s="808" t="e">
        <f ca="1">(D21-D22)/AVERAGE(D20,C20)</f>
        <v>#N/A</v>
      </c>
      <c r="E45" s="808" t="e">
        <f ca="1">(E21-E22)/E20</f>
        <v>#N/A</v>
      </c>
      <c r="F45" s="808" t="e">
        <f ca="1">(F21-F22)/F20</f>
        <v>#NAME?</v>
      </c>
      <c r="G45" s="795"/>
      <c r="H45" s="809" t="e">
        <f ca="1">(H21-H22)/AVERAGE(H20,E20)</f>
        <v>#NAME?</v>
      </c>
      <c r="I45" s="808" t="e">
        <f ca="1">(I21-I22)/I20</f>
        <v>#NAME?</v>
      </c>
      <c r="J45" s="795"/>
      <c r="K45" s="437"/>
      <c r="L45" s="437"/>
      <c r="M45" s="438"/>
    </row>
    <row r="46" spans="2:13" ht="15.75">
      <c r="B46" s="787" t="s">
        <v>638</v>
      </c>
      <c r="C46" s="810" t="e">
        <f ca="1">C15*$O$5/C51</f>
        <v>#N/A</v>
      </c>
      <c r="D46" s="810" t="e">
        <f ca="1">D15*$O$5/D51</f>
        <v>#N/A</v>
      </c>
      <c r="E46" s="810" t="e">
        <f ca="1">E15*$O$5/E51</f>
        <v>#N/A</v>
      </c>
      <c r="F46" s="810" t="e">
        <f ca="1">F15*$O$5/F51</f>
        <v>#NAME?</v>
      </c>
      <c r="G46" s="811" t="str">
        <f ca="1">IFERROR((F46-E46)/ABS(E46),"")</f>
        <v/>
      </c>
      <c r="H46" s="812" t="e">
        <f ca="1">H15*$O$5/H51</f>
        <v>#VALUE!</v>
      </c>
      <c r="I46" s="810" t="e">
        <f ca="1">I15*$O$5/I51</f>
        <v>#NAME?</v>
      </c>
      <c r="J46" s="806" t="str">
        <f ca="1">IFERROR((I46-H46)/ABS(H46),"")</f>
        <v/>
      </c>
      <c r="K46" s="439"/>
      <c r="L46" s="439"/>
      <c r="M46" s="442"/>
    </row>
    <row r="47" spans="2:13" ht="15.75" hidden="1" outlineLevel="1">
      <c r="B47" s="783" t="s">
        <v>530</v>
      </c>
      <c r="C47" s="813">
        <f>DATA_FORMATTING!GB124</f>
        <v>0</v>
      </c>
      <c r="D47" s="813" t="e">
        <f>(IF(DATA_FORMATTING!GC124=0,DATA_FORMATTING!AA182,DATA_FORMATTING!GC124))</f>
        <v>#NAME?</v>
      </c>
      <c r="E47" s="813" t="e">
        <f>(IF(DATA_FORMATTING!GD124=0,DATA_FORMATTING!AB182,DATA_FORMATTING!GD124))</f>
        <v>#NAME?</v>
      </c>
      <c r="F47" s="813" t="e">
        <f>(IF(DATA_FORMATTING!GE124=0,DATA_FORMATTING!AD182,DATA_FORMATTING!GE124))</f>
        <v>#NAME?</v>
      </c>
      <c r="G47" s="806" t="str">
        <f>IFERROR((F47-E47)/ABS(E47),"")</f>
        <v/>
      </c>
      <c r="H47" s="814" t="e">
        <f>DATA_FORMATTING!FL124</f>
        <v>#NAME?</v>
      </c>
      <c r="I47" s="815" t="e">
        <f>DATA_FORMATTING!FX124</f>
        <v>#NAME?</v>
      </c>
      <c r="J47" s="806" t="str">
        <f>IFERROR((I47-H47)/ABS(H47),"")</f>
        <v/>
      </c>
      <c r="K47" s="439"/>
      <c r="L47" s="439"/>
      <c r="M47" s="442"/>
    </row>
    <row r="48" spans="2:13" ht="15.75" collapsed="1">
      <c r="B48" s="783" t="s">
        <v>639</v>
      </c>
      <c r="C48" s="813"/>
      <c r="D48" s="813"/>
      <c r="E48" s="805" t="e">
        <f ca="1">E46/E59</f>
        <v>#N/A</v>
      </c>
      <c r="F48" s="805" t="e">
        <f ca="1">F46/F59</f>
        <v>#NAME?</v>
      </c>
      <c r="G48" s="806"/>
      <c r="H48" s="814"/>
      <c r="I48" s="1087" t="e">
        <f ca="1">I46/I59</f>
        <v>#NAME?</v>
      </c>
      <c r="J48" s="806"/>
      <c r="K48" s="439"/>
      <c r="L48" s="439"/>
      <c r="M48" s="442"/>
    </row>
    <row r="49" spans="2:13" ht="15.75">
      <c r="B49" s="783" t="s">
        <v>74</v>
      </c>
      <c r="C49" s="813">
        <f>DATA_FORMATTING!GB125</f>
        <v>0</v>
      </c>
      <c r="D49" s="813" t="e">
        <f>(IF(DATA_FORMATTING!GC125=0,DATA_FORMATTING!AA183,DATA_FORMATTING!GC125))</f>
        <v>#NAME?</v>
      </c>
      <c r="E49" s="813" t="e">
        <f>(IF(DATA_FORMATTING!GD125=0,DATA_FORMATTING!AB183,DATA_FORMATTING!GD125))</f>
        <v>#NAME?</v>
      </c>
      <c r="F49" s="813" t="e">
        <f>(IF(DATA_FORMATTING!GE125=0,DATA_FORMATTING!AD183,DATA_FORMATTING!GE125))</f>
        <v>#NAME?</v>
      </c>
      <c r="G49" s="806"/>
      <c r="H49" s="814" t="e">
        <f>DATA_FORMATTING!FL125</f>
        <v>#NAME?</v>
      </c>
      <c r="I49" s="815" t="e">
        <f>DATA_FORMATTING!FX125</f>
        <v>#NAME?</v>
      </c>
      <c r="J49" s="806"/>
      <c r="K49" s="439"/>
      <c r="L49" s="439"/>
      <c r="M49" s="442"/>
    </row>
    <row r="50" spans="2:13" ht="15.75">
      <c r="B50" s="783" t="s">
        <v>79</v>
      </c>
      <c r="C50" s="813">
        <f>DATA_FORMATTING!GB126</f>
        <v>0</v>
      </c>
      <c r="D50" s="813" t="e">
        <f>(IF(DATA_FORMATTING!GC126=0,DATA_FORMATTING!AA184,DATA_FORMATTING!GC126))</f>
        <v>#NAME?</v>
      </c>
      <c r="E50" s="813" t="e">
        <f>(IF(DATA_FORMATTING!GD126=0,DATA_FORMATTING!AB184,DATA_FORMATTING!GD126))</f>
        <v>#NAME?</v>
      </c>
      <c r="F50" s="813" t="e">
        <f>(IF(DATA_FORMATTING!GE126=0,DATA_FORMATTING!AD184,DATA_FORMATTING!GE126))</f>
        <v>#NAME?</v>
      </c>
      <c r="G50" s="806" t="str">
        <f>IFERROR((F50-E50)/ABS(E50),"")</f>
        <v/>
      </c>
      <c r="H50" s="814" t="e">
        <f>DATA_FORMATTING!FL126</f>
        <v>#NAME?</v>
      </c>
      <c r="I50" s="815" t="e">
        <f>DATA_FORMATTING!FX126</f>
        <v>#NAME?</v>
      </c>
      <c r="J50" s="806" t="str">
        <f>IFERROR((I50-H50)/ABS(H50),"")</f>
        <v/>
      </c>
      <c r="K50" s="439"/>
      <c r="L50" s="439"/>
      <c r="M50" s="442"/>
    </row>
    <row r="51" spans="2:13" ht="15.75" hidden="1" outlineLevel="1">
      <c r="B51" s="783" t="s">
        <v>84</v>
      </c>
      <c r="C51" s="813">
        <f>DATA_FORMATTING!GB127</f>
        <v>0</v>
      </c>
      <c r="D51" s="813" t="e">
        <f>(IF(DATA_FORMATTING!GC127=0,DATA_FORMATTING!AA185,DATA_FORMATTING!GC127))</f>
        <v>#NAME?</v>
      </c>
      <c r="E51" s="813" t="e">
        <f>(IF(DATA_FORMATTING!GD127=0,DATA_FORMATTING!AB185,DATA_FORMATTING!GD127))</f>
        <v>#NAME?</v>
      </c>
      <c r="F51" s="813" t="e">
        <f>(IF(DATA_FORMATTING!GE127=0,DATA_FORMATTING!AD185,DATA_FORMATTING!GE127))</f>
        <v>#NAME?</v>
      </c>
      <c r="G51" s="806"/>
      <c r="H51" s="814" t="e">
        <f>DATA_FORMATTING!FL127</f>
        <v>#NAME?</v>
      </c>
      <c r="I51" s="815" t="e">
        <f>DATA_FORMATTING!FX127</f>
        <v>#NAME?</v>
      </c>
      <c r="J51" s="806"/>
      <c r="K51" s="439"/>
      <c r="L51" s="439"/>
      <c r="M51" s="442"/>
    </row>
    <row r="52" spans="2:13" ht="15.75" collapsed="1">
      <c r="B52" s="783" t="s">
        <v>89</v>
      </c>
      <c r="C52" s="813">
        <f>DATA_FORMATTING!GB128</f>
        <v>0</v>
      </c>
      <c r="D52" s="813" t="e">
        <f>(IF(DATA_FORMATTING!GC128=0,DATA_FORMATTING!AA186,DATA_FORMATTING!GC128))</f>
        <v>#NAME?</v>
      </c>
      <c r="E52" s="813" t="e">
        <f>(IF(DATA_FORMATTING!GD128=0,DATA_FORMATTING!AB186,DATA_FORMATTING!GD128))</f>
        <v>#NAME?</v>
      </c>
      <c r="F52" s="813" t="e">
        <f>(IF(DATA_FORMATTING!GE128=0,DATA_FORMATTING!AD186,DATA_FORMATTING!GE128))</f>
        <v>#NAME?</v>
      </c>
      <c r="G52" s="806" t="str">
        <f>IFERROR((F52-E52)/ABS(E52),"")</f>
        <v/>
      </c>
      <c r="H52" s="814" t="e">
        <f>DATA_FORMATTING!FL128</f>
        <v>#NAME?</v>
      </c>
      <c r="I52" s="815" t="e">
        <f>DATA_FORMATTING!FX128</f>
        <v>#NAME?</v>
      </c>
      <c r="J52" s="806" t="str">
        <f>IFERROR((I52-H52)/ABS(H52),"")</f>
        <v/>
      </c>
      <c r="K52" s="439"/>
      <c r="L52" s="439"/>
      <c r="M52" s="442"/>
    </row>
    <row r="53" spans="2:13" ht="16.5" thickBot="1">
      <c r="B53" s="816" t="s">
        <v>93</v>
      </c>
      <c r="C53" s="817">
        <f>DATA_FORMATTING!GB129</f>
        <v>0</v>
      </c>
      <c r="D53" s="817" t="e">
        <f>IF((IF(DATA_FORMATTING!GC129=0,DATA_FORMATTING!AA187,DATA_FORMATTING!GC129))=0,"N/A",(IF(DATA_FORMATTING!GC129=0,DATA_FORMATTING!Z187,DATA_FORMATTING!GC129)))</f>
        <v>#NAME?</v>
      </c>
      <c r="E53" s="817" t="e">
        <f>IF((IF(DATA_FORMATTING!GD129=0,DATA_FORMATTING!AB187,DATA_FORMATTING!GD129))=0,"N/A",(IF(DATA_FORMATTING!GD129=0,DATA_FORMATTING!AB187,DATA_FORMATTING!GD129)))</f>
        <v>#NAME?</v>
      </c>
      <c r="F53" s="817" t="e">
        <f>IF((IF(DATA_FORMATTING!GE129=0,DATA_FORMATTING!AD187,DATA_FORMATTING!GE129))=0,"N/A",(IF(DATA_FORMATTING!GE129=0,DATA_FORMATTING!AB187,DATA_FORMATTING!GE129)))</f>
        <v>#NAME?</v>
      </c>
      <c r="G53" s="818" t="str">
        <f>IFERROR((F53-E53)/ABS(E53),"")</f>
        <v/>
      </c>
      <c r="H53" s="819" t="e">
        <f>DATA_FORMATTING!FL129</f>
        <v>#NAME?</v>
      </c>
      <c r="I53" s="817" t="e">
        <f>IF(DATA_FORMATTING!FX129=0,"N/A",DATA_FORMATTING!FX129)</f>
        <v>#NAME?</v>
      </c>
      <c r="J53" s="818" t="str">
        <f>IFERROR((I53-H53)/ABS(H53),"")</f>
        <v/>
      </c>
      <c r="K53" s="443"/>
      <c r="L53" s="443"/>
      <c r="M53" s="444"/>
    </row>
    <row r="54" spans="2:13" ht="6" customHeight="1">
      <c r="B54" s="1088"/>
      <c r="C54" s="813"/>
      <c r="D54" s="813"/>
      <c r="E54" s="813"/>
      <c r="F54" s="813"/>
      <c r="G54" s="1087"/>
      <c r="H54" s="815"/>
      <c r="I54" s="813"/>
      <c r="J54" s="1087"/>
      <c r="K54" s="439"/>
      <c r="L54" s="439"/>
      <c r="M54" s="439"/>
    </row>
    <row r="55" spans="2:13" ht="15.75">
      <c r="B55" s="1131" t="s">
        <v>659</v>
      </c>
    </row>
    <row r="56" spans="2:13" ht="15.75">
      <c r="B56" s="1131"/>
    </row>
    <row r="57" spans="2:13" ht="15.75">
      <c r="B57" s="1088" t="s">
        <v>640</v>
      </c>
      <c r="E57" s="1089"/>
      <c r="F57" s="1089"/>
      <c r="G57" s="1090"/>
      <c r="H57" s="1090"/>
      <c r="I57" s="1091">
        <f>F57</f>
        <v>0</v>
      </c>
      <c r="J57" s="1092" t="s">
        <v>641</v>
      </c>
    </row>
    <row r="58" spans="2:13" ht="15.75">
      <c r="B58" s="1088" t="s">
        <v>642</v>
      </c>
      <c r="E58" s="1089"/>
      <c r="F58" s="1089"/>
      <c r="G58" s="1090"/>
      <c r="H58" s="1090"/>
      <c r="I58" s="1091">
        <f>F58</f>
        <v>0</v>
      </c>
    </row>
    <row r="59" spans="2:13" ht="15.75">
      <c r="B59" s="1088" t="s">
        <v>643</v>
      </c>
      <c r="E59" s="1093" t="e">
        <f>E57/E58</f>
        <v>#DIV/0!</v>
      </c>
      <c r="F59" s="1093" t="e">
        <f>F57/F58</f>
        <v>#DIV/0!</v>
      </c>
      <c r="I59" s="1093" t="e">
        <f>I57/I58</f>
        <v>#DIV/0!</v>
      </c>
    </row>
    <row r="61" spans="2:13">
      <c r="C61" s="445"/>
      <c r="D61" s="445"/>
      <c r="E61" s="445"/>
      <c r="F61" s="445"/>
    </row>
  </sheetData>
  <pageMargins left="0.7" right="0.7" top="0.75" bottom="0.75" header="0.3" footer="0.3"/>
  <pageSetup scale="40" orientation="portrait" r:id="rId1"/>
  <colBreaks count="1" manualBreakCount="1">
    <brk id="15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73</vt:i4>
      </vt:variant>
    </vt:vector>
  </HeadingPairs>
  <TitlesOfParts>
    <vt:vector size="87" baseType="lpstr">
      <vt:lpstr>DB_LOAD</vt:lpstr>
      <vt:lpstr>Config</vt:lpstr>
      <vt:lpstr>AGGREGATED_DATA</vt:lpstr>
      <vt:lpstr>DATA_FORMATTING</vt:lpstr>
      <vt:lpstr>_config</vt:lpstr>
      <vt:lpstr>MFI Home</vt:lpstr>
      <vt:lpstr>Ratios &amp; Trend Analysis</vt:lpstr>
      <vt:lpstr>Balance Sheet</vt:lpstr>
      <vt:lpstr>Income Statement</vt:lpstr>
      <vt:lpstr>Portfolio Quality</vt:lpstr>
      <vt:lpstr>Organizational Data</vt:lpstr>
      <vt:lpstr>Risk Assessment</vt:lpstr>
      <vt:lpstr>Refi-Annual Review</vt:lpstr>
      <vt:lpstr>Equity Monitoring Report</vt:lpstr>
      <vt:lpstr>BS</vt:lpstr>
      <vt:lpstr>BS_PERIOD_START</vt:lpstr>
      <vt:lpstr>BS_PERIODS</vt:lpstr>
      <vt:lpstr>data.amortization_history</vt:lpstr>
      <vt:lpstr>data.commentary</vt:lpstr>
      <vt:lpstr>data.country_deals</vt:lpstr>
      <vt:lpstr>data.covenants</vt:lpstr>
      <vt:lpstr>data.historical_FX</vt:lpstr>
      <vt:lpstr>data.monthly_financials</vt:lpstr>
      <vt:lpstr>data.other_ratings</vt:lpstr>
      <vt:lpstr>data.portfolio_transactions</vt:lpstr>
      <vt:lpstr>data.ratings</vt:lpstr>
      <vt:lpstr>data.social</vt:lpstr>
      <vt:lpstr>FX_1</vt:lpstr>
      <vt:lpstr>input.17.dateRange</vt:lpstr>
      <vt:lpstr>input.17.fieldRange</vt:lpstr>
      <vt:lpstr>'Income Statement'!IS</vt:lpstr>
      <vt:lpstr>'Income Statement'!IS_PERIOD_START</vt:lpstr>
      <vt:lpstr>'Income Statement'!IS_PERIODS</vt:lpstr>
      <vt:lpstr>mapping.amortization_history.Fund</vt:lpstr>
      <vt:lpstr>mapping.amortization_history.lookup_key</vt:lpstr>
      <vt:lpstr>mapping.commentary.comment_date</vt:lpstr>
      <vt:lpstr>mapping.commentary.comments</vt:lpstr>
      <vt:lpstr>mapping.country_deals.country_name</vt:lpstr>
      <vt:lpstr>mapping.country_deals.currency_code</vt:lpstr>
      <vt:lpstr>mapping.country_deals.deal_type_id</vt:lpstr>
      <vt:lpstr>mapping.country_deals.fund_name</vt:lpstr>
      <vt:lpstr>mapping.country_deals.mfi_id</vt:lpstr>
      <vt:lpstr>mapping.country_deals.mfi_name</vt:lpstr>
      <vt:lpstr>mapping.country_deals.sumt</vt:lpstr>
      <vt:lpstr>mapping.country_deals.sumt_fx</vt:lpstr>
      <vt:lpstr>mapping.covenants.covenant_type</vt:lpstr>
      <vt:lpstr>mapping.covenants.covenant_value</vt:lpstr>
      <vt:lpstr>mapping.covenants.end_date</vt:lpstr>
      <vt:lpstr>mapping.covenants.start_date</vt:lpstr>
      <vt:lpstr>mapping.historical_FX.conversion_currency_code</vt:lpstr>
      <vt:lpstr>mapping.historical_FX.fx_date</vt:lpstr>
      <vt:lpstr>mapping.historical_FX.fx_value</vt:lpstr>
      <vt:lpstr>mapping.historical_FX.month_year</vt:lpstr>
      <vt:lpstr>mapping.monthly_financials.field_label_english</vt:lpstr>
      <vt:lpstr>mapping.monthly_financials.field_set_date</vt:lpstr>
      <vt:lpstr>mapping.monthly_financials.field_value</vt:lpstr>
      <vt:lpstr>mapping.monthly_financials.is_audited</vt:lpstr>
      <vt:lpstr>mapping.monthly_financials.mapping</vt:lpstr>
      <vt:lpstr>mapping.monthly_financials.sheet_name</vt:lpstr>
      <vt:lpstr>mapping.other_ratings.rating_date</vt:lpstr>
      <vt:lpstr>mapping.other_ratings.rating_type</vt:lpstr>
      <vt:lpstr>mapping.other_ratings.rating_value</vt:lpstr>
      <vt:lpstr>mapping.portfolio_transactions.deal_date</vt:lpstr>
      <vt:lpstr>mapping.portfolio_transactions.fund_name</vt:lpstr>
      <vt:lpstr>mapping.portfolio_transactions.sum_of_deals_fx_at_latest</vt:lpstr>
      <vt:lpstr>mapping.portfolio_transactions.sum_of_deals_fx_at_trans_date</vt:lpstr>
      <vt:lpstr>mapping.portfolio_transactions.sum_of_deals_OC</vt:lpstr>
      <vt:lpstr>mapping.ratings.rating_date</vt:lpstr>
      <vt:lpstr>mapping.ratings.rating_label_long</vt:lpstr>
      <vt:lpstr>mapping.ratings.rating_label_short</vt:lpstr>
      <vt:lpstr>mapping.social.field_id</vt:lpstr>
      <vt:lpstr>mapping.social.field_name</vt:lpstr>
      <vt:lpstr>mapping.social.field_value</vt:lpstr>
      <vt:lpstr>mapping.social.mfi_id</vt:lpstr>
      <vt:lpstr>mapping.social.mfi_name</vt:lpstr>
      <vt:lpstr>mapping.social.questionnaire_year</vt:lpstr>
      <vt:lpstr>OD</vt:lpstr>
      <vt:lpstr>PQ</vt:lpstr>
      <vt:lpstr>'Equity Monitoring Report'!Print_Area</vt:lpstr>
      <vt:lpstr>pull.32jk.range</vt:lpstr>
      <vt:lpstr>pull.last_reported.2</vt:lpstr>
      <vt:lpstr>pull.last_reported.range</vt:lpstr>
      <vt:lpstr>pull.last_reported_prior.2</vt:lpstr>
      <vt:lpstr>pull.last_reported_prior.range</vt:lpstr>
      <vt:lpstr>push.32jk</vt:lpstr>
      <vt:lpstr>push.last_reported</vt:lpstr>
      <vt:lpstr>push.last_reported_prior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gerren</dc:creator>
  <cp:lastModifiedBy>gerren</cp:lastModifiedBy>
  <dcterms:created xsi:type="dcterms:W3CDTF">2011-04-06T19:47:05Z</dcterms:created>
  <dcterms:modified xsi:type="dcterms:W3CDTF">2015-08-06T13:51:00Z</dcterms:modified>
</cp:coreProperties>
</file>